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DATA\Data\Pramod\GIS\USPS Vacancy Data\092019\USPS Crosswalk 092019\"/>
    </mc:Choice>
  </mc:AlternateContent>
  <xr:revisionPtr revIDLastSave="0" documentId="13_ncr:40009_{CFAE91F1-2A03-4B00-8766-214467991623}" xr6:coauthVersionLast="44" xr6:coauthVersionMax="44" xr10:uidLastSave="{00000000-0000-0000-0000-000000000000}"/>
  <bookViews>
    <workbookView xWindow="-120" yWindow="-120" windowWidth="29040" windowHeight="15840"/>
  </bookViews>
  <sheets>
    <sheet name="Sheet1" sheetId="1" r:id="rId1"/>
  </sheets>
  <calcPr calcId="0"/>
</workbook>
</file>

<file path=xl/calcChain.xml><?xml version="1.0" encoding="utf-8"?>
<calcChain xmlns="http://schemas.openxmlformats.org/spreadsheetml/2006/main">
  <c r="A1" i="1" l="1"/>
  <c r="B1" i="1"/>
  <c r="C1" i="1"/>
  <c r="D1" i="1"/>
  <c r="E1" i="1"/>
  <c r="F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50008" i="1"/>
  <c r="B50008" i="1"/>
  <c r="A50009" i="1"/>
  <c r="B50009" i="1"/>
  <c r="A50010" i="1"/>
  <c r="B50010" i="1"/>
  <c r="A50011" i="1"/>
  <c r="B50011" i="1"/>
  <c r="A50012" i="1"/>
  <c r="B50012" i="1"/>
  <c r="A50013" i="1"/>
  <c r="B50013" i="1"/>
  <c r="A50014" i="1"/>
  <c r="B50014" i="1"/>
  <c r="A50015" i="1"/>
  <c r="B50015" i="1"/>
  <c r="A50016" i="1"/>
  <c r="B50016" i="1"/>
  <c r="A50017" i="1"/>
  <c r="B50017" i="1"/>
  <c r="A50018" i="1"/>
  <c r="B50018" i="1"/>
  <c r="A50019" i="1"/>
  <c r="B50019" i="1"/>
  <c r="A50020" i="1"/>
  <c r="B50020" i="1"/>
  <c r="A50021" i="1"/>
  <c r="B50021" i="1"/>
  <c r="A50022" i="1"/>
  <c r="B50022" i="1"/>
  <c r="A50023" i="1"/>
  <c r="B50023" i="1"/>
  <c r="A50024" i="1"/>
  <c r="B50024" i="1"/>
  <c r="A50025" i="1"/>
  <c r="B50025" i="1"/>
  <c r="A50026" i="1"/>
  <c r="B50026" i="1"/>
  <c r="A50027" i="1"/>
  <c r="B50027" i="1"/>
  <c r="A50028" i="1"/>
  <c r="B50028" i="1"/>
  <c r="A50029" i="1"/>
  <c r="B50029" i="1"/>
  <c r="A50030" i="1"/>
  <c r="B50030" i="1"/>
  <c r="A50031" i="1"/>
  <c r="B50031" i="1"/>
  <c r="A50032" i="1"/>
  <c r="B50032" i="1"/>
  <c r="A50033" i="1"/>
  <c r="B50033" i="1"/>
  <c r="A50034" i="1"/>
  <c r="B50034" i="1"/>
  <c r="A50035" i="1"/>
  <c r="B50035" i="1"/>
  <c r="A50036" i="1"/>
  <c r="B50036" i="1"/>
  <c r="A50037" i="1"/>
  <c r="B50037" i="1"/>
  <c r="A50038" i="1"/>
  <c r="B50038" i="1"/>
  <c r="A50039" i="1"/>
  <c r="B50039" i="1"/>
  <c r="A50040" i="1"/>
  <c r="B50040" i="1"/>
  <c r="A50041" i="1"/>
  <c r="B50041" i="1"/>
  <c r="A50042" i="1"/>
  <c r="B50042" i="1"/>
  <c r="A50043" i="1"/>
  <c r="B50043" i="1"/>
  <c r="A50044" i="1"/>
  <c r="B50044" i="1"/>
  <c r="A50045" i="1"/>
  <c r="B50045" i="1"/>
  <c r="A50046" i="1"/>
  <c r="B50046" i="1"/>
  <c r="A50047" i="1"/>
  <c r="B50047" i="1"/>
  <c r="A50048" i="1"/>
  <c r="B50048" i="1"/>
  <c r="A50049" i="1"/>
  <c r="B50049" i="1"/>
  <c r="A50050" i="1"/>
  <c r="B50050" i="1"/>
  <c r="A50051" i="1"/>
  <c r="B50051" i="1"/>
  <c r="A50052" i="1"/>
  <c r="B50052" i="1"/>
  <c r="A50053" i="1"/>
  <c r="B50053" i="1"/>
  <c r="A50054" i="1"/>
  <c r="B50054" i="1"/>
  <c r="A50055" i="1"/>
  <c r="B50055" i="1"/>
  <c r="A50056" i="1"/>
  <c r="B50056" i="1"/>
  <c r="A50057" i="1"/>
  <c r="B50057" i="1"/>
  <c r="A50058" i="1"/>
  <c r="B50058" i="1"/>
  <c r="A50059" i="1"/>
  <c r="B50059" i="1"/>
  <c r="A50060" i="1"/>
  <c r="B50060" i="1"/>
  <c r="A50061" i="1"/>
  <c r="B50061" i="1"/>
  <c r="A50062" i="1"/>
  <c r="B50062" i="1"/>
  <c r="A50063" i="1"/>
  <c r="B50063" i="1"/>
  <c r="A50064" i="1"/>
  <c r="B50064" i="1"/>
  <c r="A50065" i="1"/>
  <c r="B50065" i="1"/>
  <c r="A50066" i="1"/>
  <c r="B50066" i="1"/>
  <c r="A50067" i="1"/>
  <c r="B50067" i="1"/>
  <c r="A50068" i="1"/>
  <c r="B50068" i="1"/>
  <c r="A50069" i="1"/>
  <c r="B50069" i="1"/>
  <c r="A50070" i="1"/>
  <c r="B50070" i="1"/>
  <c r="A50071" i="1"/>
  <c r="B50071" i="1"/>
  <c r="A50072" i="1"/>
  <c r="B50072" i="1"/>
  <c r="A50073" i="1"/>
  <c r="B50073" i="1"/>
  <c r="A50074" i="1"/>
  <c r="B50074" i="1"/>
  <c r="A50075" i="1"/>
  <c r="B50075" i="1"/>
  <c r="A50076" i="1"/>
  <c r="B50076" i="1"/>
  <c r="A50077" i="1"/>
  <c r="B50077" i="1"/>
  <c r="A50078" i="1"/>
  <c r="B50078" i="1"/>
  <c r="A50079" i="1"/>
  <c r="B50079" i="1"/>
  <c r="A50080" i="1"/>
  <c r="B50080" i="1"/>
  <c r="A50081" i="1"/>
  <c r="B50081" i="1"/>
  <c r="A50082" i="1"/>
  <c r="B50082" i="1"/>
  <c r="A50083" i="1"/>
  <c r="B50083" i="1"/>
  <c r="A50084" i="1"/>
  <c r="B50084" i="1"/>
  <c r="A50085" i="1"/>
  <c r="B50085" i="1"/>
  <c r="A50086" i="1"/>
  <c r="B50086" i="1"/>
  <c r="A50087" i="1"/>
  <c r="B50087" i="1"/>
  <c r="A50088" i="1"/>
  <c r="B50088" i="1"/>
  <c r="A50089" i="1"/>
  <c r="B50089" i="1"/>
  <c r="A50090" i="1"/>
  <c r="B50090" i="1"/>
  <c r="A50091" i="1"/>
  <c r="B50091" i="1"/>
  <c r="A50092" i="1"/>
  <c r="B50092" i="1"/>
  <c r="A50093" i="1"/>
  <c r="B50093" i="1"/>
  <c r="A50094" i="1"/>
  <c r="B50094" i="1"/>
  <c r="A50095" i="1"/>
  <c r="B50095" i="1"/>
  <c r="A50096" i="1"/>
  <c r="B50096" i="1"/>
  <c r="A50097" i="1"/>
  <c r="B50097" i="1"/>
  <c r="A50098" i="1"/>
  <c r="B50098" i="1"/>
  <c r="A50099" i="1"/>
  <c r="B50099" i="1"/>
  <c r="A50100" i="1"/>
  <c r="B50100" i="1"/>
  <c r="A50101" i="1"/>
  <c r="B50101" i="1"/>
  <c r="A50102" i="1"/>
  <c r="B50102" i="1"/>
  <c r="A50103" i="1"/>
  <c r="B50103" i="1"/>
  <c r="A50104" i="1"/>
  <c r="B50104" i="1"/>
  <c r="A50105" i="1"/>
  <c r="B50105" i="1"/>
  <c r="A50106" i="1"/>
  <c r="B50106" i="1"/>
  <c r="A50107" i="1"/>
  <c r="B50107" i="1"/>
  <c r="A50108" i="1"/>
  <c r="B50108" i="1"/>
  <c r="A50109" i="1"/>
  <c r="B50109" i="1"/>
  <c r="A50110" i="1"/>
  <c r="B50110" i="1"/>
  <c r="A50111" i="1"/>
  <c r="B50111" i="1"/>
  <c r="A50112" i="1"/>
  <c r="B50112" i="1"/>
  <c r="A50113" i="1"/>
  <c r="B50113" i="1"/>
  <c r="A50114" i="1"/>
  <c r="B50114" i="1"/>
  <c r="A50115" i="1"/>
  <c r="B50115" i="1"/>
  <c r="A50116" i="1"/>
  <c r="B50116" i="1"/>
  <c r="A50117" i="1"/>
  <c r="B50117" i="1"/>
  <c r="A50118" i="1"/>
  <c r="B50118" i="1"/>
  <c r="A50119" i="1"/>
  <c r="B50119" i="1"/>
  <c r="A50120" i="1"/>
  <c r="B50120" i="1"/>
  <c r="A50121" i="1"/>
  <c r="B50121" i="1"/>
  <c r="A50122" i="1"/>
  <c r="B50122" i="1"/>
  <c r="A50123" i="1"/>
  <c r="B50123" i="1"/>
  <c r="A50124" i="1"/>
  <c r="B50124" i="1"/>
  <c r="A50125" i="1"/>
  <c r="B50125" i="1"/>
  <c r="A50126" i="1"/>
  <c r="B50126" i="1"/>
  <c r="A50127" i="1"/>
  <c r="B50127" i="1"/>
  <c r="A50128" i="1"/>
  <c r="B50128" i="1"/>
  <c r="A50129" i="1"/>
  <c r="B50129" i="1"/>
  <c r="A50130" i="1"/>
  <c r="B50130" i="1"/>
  <c r="A50131" i="1"/>
  <c r="B50131" i="1"/>
  <c r="A50132" i="1"/>
  <c r="B50132" i="1"/>
  <c r="A50133" i="1"/>
  <c r="B50133" i="1"/>
  <c r="A50134" i="1"/>
  <c r="B50134" i="1"/>
  <c r="A50135" i="1"/>
  <c r="B50135" i="1"/>
  <c r="A50136" i="1"/>
  <c r="B50136" i="1"/>
  <c r="A50137" i="1"/>
  <c r="B50137" i="1"/>
  <c r="A50138" i="1"/>
  <c r="B50138" i="1"/>
  <c r="A50139" i="1"/>
  <c r="B50139" i="1"/>
  <c r="A50140" i="1"/>
  <c r="B50140" i="1"/>
  <c r="A50141" i="1"/>
  <c r="B50141" i="1"/>
  <c r="A50142" i="1"/>
  <c r="B50142" i="1"/>
  <c r="A50143" i="1"/>
  <c r="B50143" i="1"/>
  <c r="A50144" i="1"/>
  <c r="B50144" i="1"/>
  <c r="A50145" i="1"/>
  <c r="B50145" i="1"/>
  <c r="A50146" i="1"/>
  <c r="B50146" i="1"/>
  <c r="A50147" i="1"/>
  <c r="B50147" i="1"/>
  <c r="A50148" i="1"/>
  <c r="B50148" i="1"/>
  <c r="A50149" i="1"/>
  <c r="B50149" i="1"/>
  <c r="A50150" i="1"/>
  <c r="B50150" i="1"/>
  <c r="A50151" i="1"/>
  <c r="B50151" i="1"/>
  <c r="A50152" i="1"/>
  <c r="B50152" i="1"/>
  <c r="A50153" i="1"/>
  <c r="B50153" i="1"/>
  <c r="A50154" i="1"/>
  <c r="B50154" i="1"/>
  <c r="A50155" i="1"/>
  <c r="B50155" i="1"/>
  <c r="A50156" i="1"/>
  <c r="B50156" i="1"/>
  <c r="A50157" i="1"/>
  <c r="B50157" i="1"/>
  <c r="A50158" i="1"/>
  <c r="B50158" i="1"/>
  <c r="A50159" i="1"/>
  <c r="B50159" i="1"/>
  <c r="A50160" i="1"/>
  <c r="B50160" i="1"/>
  <c r="A50161" i="1"/>
  <c r="B50161" i="1"/>
  <c r="A50162" i="1"/>
  <c r="B50162" i="1"/>
  <c r="A50163" i="1"/>
  <c r="B50163" i="1"/>
  <c r="A50164" i="1"/>
  <c r="B50164" i="1"/>
  <c r="A50165" i="1"/>
  <c r="B50165" i="1"/>
  <c r="A50166" i="1"/>
  <c r="B50166" i="1"/>
  <c r="A50167" i="1"/>
  <c r="B50167" i="1"/>
  <c r="A50168" i="1"/>
  <c r="B50168" i="1"/>
  <c r="A50169" i="1"/>
  <c r="B50169" i="1"/>
  <c r="A50170" i="1"/>
  <c r="B50170" i="1"/>
  <c r="A50171" i="1"/>
  <c r="B50171" i="1"/>
  <c r="A50172" i="1"/>
  <c r="B50172" i="1"/>
  <c r="A50173" i="1"/>
  <c r="B50173" i="1"/>
  <c r="A50174" i="1"/>
  <c r="B50174" i="1"/>
  <c r="A50175" i="1"/>
  <c r="B50175" i="1"/>
  <c r="A50176" i="1"/>
  <c r="B50176" i="1"/>
  <c r="A50177" i="1"/>
  <c r="B50177" i="1"/>
  <c r="A50178" i="1"/>
  <c r="B50178" i="1"/>
  <c r="A50179" i="1"/>
  <c r="B50179" i="1"/>
  <c r="A50180" i="1"/>
  <c r="B50180" i="1"/>
  <c r="A50181" i="1"/>
  <c r="B50181" i="1"/>
  <c r="A50182" i="1"/>
  <c r="B50182" i="1"/>
  <c r="A50183" i="1"/>
  <c r="B50183" i="1"/>
  <c r="A50184" i="1"/>
  <c r="B50184" i="1"/>
  <c r="A50185" i="1"/>
  <c r="B50185" i="1"/>
  <c r="A50186" i="1"/>
  <c r="B50186" i="1"/>
  <c r="A50187" i="1"/>
  <c r="B50187" i="1"/>
  <c r="A50188" i="1"/>
  <c r="B50188" i="1"/>
  <c r="A50189" i="1"/>
  <c r="B50189" i="1"/>
  <c r="A50190" i="1"/>
  <c r="B50190" i="1"/>
  <c r="A50191" i="1"/>
  <c r="B50191" i="1"/>
  <c r="A50192" i="1"/>
  <c r="B50192" i="1"/>
  <c r="A50193" i="1"/>
  <c r="B50193" i="1"/>
  <c r="A50194" i="1"/>
  <c r="B50194" i="1"/>
  <c r="A50195" i="1"/>
  <c r="B50195" i="1"/>
  <c r="A50196" i="1"/>
  <c r="B50196" i="1"/>
  <c r="A50197" i="1"/>
  <c r="B50197" i="1"/>
  <c r="A50198" i="1"/>
  <c r="B50198" i="1"/>
  <c r="A50199" i="1"/>
  <c r="B50199" i="1"/>
  <c r="A50200" i="1"/>
  <c r="B50200" i="1"/>
  <c r="A50201" i="1"/>
  <c r="B50201" i="1"/>
  <c r="A50202" i="1"/>
  <c r="B50202" i="1"/>
  <c r="A50203" i="1"/>
  <c r="B50203" i="1"/>
  <c r="A50204" i="1"/>
  <c r="B50204" i="1"/>
  <c r="A50205" i="1"/>
  <c r="B50205" i="1"/>
  <c r="A50206" i="1"/>
  <c r="B50206" i="1"/>
  <c r="A50207" i="1"/>
  <c r="B50207" i="1"/>
  <c r="A50208" i="1"/>
  <c r="B50208" i="1"/>
  <c r="A50209" i="1"/>
  <c r="B50209" i="1"/>
  <c r="A50210" i="1"/>
  <c r="B50210" i="1"/>
  <c r="A50211" i="1"/>
  <c r="B50211" i="1"/>
  <c r="A50212" i="1"/>
  <c r="B50212" i="1"/>
  <c r="A50213" i="1"/>
  <c r="B50213" i="1"/>
  <c r="A50214" i="1"/>
  <c r="B50214" i="1"/>
  <c r="A50215" i="1"/>
  <c r="B50215" i="1"/>
  <c r="A50216" i="1"/>
  <c r="B50216" i="1"/>
  <c r="A50217" i="1"/>
  <c r="B50217" i="1"/>
  <c r="A50218" i="1"/>
  <c r="B50218" i="1"/>
  <c r="A50219" i="1"/>
  <c r="B50219" i="1"/>
  <c r="A50220" i="1"/>
  <c r="B50220" i="1"/>
  <c r="A50221" i="1"/>
  <c r="B50221" i="1"/>
  <c r="A50222" i="1"/>
  <c r="B50222" i="1"/>
  <c r="A50223" i="1"/>
  <c r="B50223" i="1"/>
  <c r="A50224" i="1"/>
  <c r="B50224" i="1"/>
  <c r="A50225" i="1"/>
  <c r="B50225" i="1"/>
  <c r="A50226" i="1"/>
  <c r="B50226" i="1"/>
  <c r="A50227" i="1"/>
  <c r="B50227" i="1"/>
  <c r="A50228" i="1"/>
  <c r="B50228" i="1"/>
  <c r="A50229" i="1"/>
  <c r="B50229" i="1"/>
  <c r="A50230" i="1"/>
  <c r="B50230" i="1"/>
  <c r="A50231" i="1"/>
  <c r="B50231" i="1"/>
  <c r="A50232" i="1"/>
  <c r="B50232" i="1"/>
  <c r="A50233" i="1"/>
  <c r="B50233" i="1"/>
  <c r="A50234" i="1"/>
  <c r="B50234" i="1"/>
  <c r="A50235" i="1"/>
  <c r="B50235" i="1"/>
  <c r="A50236" i="1"/>
  <c r="B50236" i="1"/>
  <c r="A50237" i="1"/>
  <c r="B50237" i="1"/>
  <c r="A50238" i="1"/>
  <c r="B50238" i="1"/>
  <c r="A50239" i="1"/>
  <c r="B50239" i="1"/>
  <c r="A50240" i="1"/>
  <c r="B50240" i="1"/>
  <c r="A50241" i="1"/>
  <c r="B50241" i="1"/>
  <c r="A50242" i="1"/>
  <c r="B50242" i="1"/>
  <c r="A50243" i="1"/>
  <c r="B50243" i="1"/>
  <c r="A50244" i="1"/>
  <c r="B50244" i="1"/>
  <c r="A50245" i="1"/>
  <c r="B50245" i="1"/>
  <c r="A50246" i="1"/>
  <c r="B50246" i="1"/>
  <c r="A50247" i="1"/>
  <c r="B50247" i="1"/>
  <c r="A50248" i="1"/>
  <c r="B50248" i="1"/>
  <c r="A50249" i="1"/>
  <c r="B50249" i="1"/>
  <c r="A50250" i="1"/>
  <c r="B50250" i="1"/>
  <c r="A50251" i="1"/>
  <c r="B50251" i="1"/>
  <c r="A50252" i="1"/>
  <c r="B50252" i="1"/>
  <c r="A50253" i="1"/>
  <c r="B50253" i="1"/>
  <c r="A50254" i="1"/>
  <c r="B50254" i="1"/>
  <c r="A50255" i="1"/>
  <c r="B50255" i="1"/>
  <c r="A50256" i="1"/>
  <c r="B50256" i="1"/>
  <c r="A50257" i="1"/>
  <c r="B50257" i="1"/>
  <c r="A50258" i="1"/>
  <c r="B50258" i="1"/>
  <c r="A50259" i="1"/>
  <c r="B50259" i="1"/>
  <c r="A50260" i="1"/>
  <c r="B50260" i="1"/>
  <c r="A50261" i="1"/>
  <c r="B50261" i="1"/>
  <c r="A50262" i="1"/>
  <c r="B50262" i="1"/>
  <c r="A50263" i="1"/>
  <c r="B50263" i="1"/>
  <c r="A50264" i="1"/>
  <c r="B50264" i="1"/>
  <c r="A50265" i="1"/>
  <c r="B50265" i="1"/>
  <c r="A50266" i="1"/>
  <c r="B50266" i="1"/>
  <c r="A50267" i="1"/>
  <c r="B50267" i="1"/>
  <c r="A50268" i="1"/>
  <c r="B50268" i="1"/>
  <c r="A50269" i="1"/>
  <c r="B50269" i="1"/>
  <c r="A50270" i="1"/>
  <c r="B50270" i="1"/>
  <c r="A50271" i="1"/>
  <c r="B50271" i="1"/>
  <c r="A50272" i="1"/>
  <c r="B50272" i="1"/>
  <c r="A50273" i="1"/>
  <c r="B50273" i="1"/>
  <c r="A50274" i="1"/>
  <c r="B50274" i="1"/>
  <c r="A50275" i="1"/>
  <c r="B50275" i="1"/>
  <c r="A50276" i="1"/>
  <c r="B50276" i="1"/>
  <c r="A50277" i="1"/>
  <c r="B50277" i="1"/>
  <c r="A50278" i="1"/>
  <c r="B50278" i="1"/>
  <c r="A50279" i="1"/>
  <c r="B50279" i="1"/>
  <c r="A50280" i="1"/>
  <c r="B50280" i="1"/>
  <c r="A50281" i="1"/>
  <c r="B50281" i="1"/>
  <c r="A50282" i="1"/>
  <c r="B50282" i="1"/>
  <c r="A50283" i="1"/>
  <c r="B50283" i="1"/>
  <c r="A50284" i="1"/>
  <c r="B50284" i="1"/>
  <c r="A50285" i="1"/>
  <c r="B50285" i="1"/>
  <c r="A50286" i="1"/>
  <c r="B50286" i="1"/>
  <c r="A50287" i="1"/>
  <c r="B50287" i="1"/>
  <c r="A50288" i="1"/>
  <c r="B50288" i="1"/>
  <c r="A50289" i="1"/>
  <c r="B50289" i="1"/>
  <c r="A50290" i="1"/>
  <c r="B50290" i="1"/>
  <c r="A50291" i="1"/>
  <c r="B50291" i="1"/>
  <c r="A50292" i="1"/>
  <c r="B50292" i="1"/>
  <c r="A50293" i="1"/>
  <c r="B50293" i="1"/>
  <c r="A50294" i="1"/>
  <c r="B50294" i="1"/>
  <c r="A50295" i="1"/>
  <c r="B50295" i="1"/>
  <c r="A50296" i="1"/>
  <c r="B50296" i="1"/>
  <c r="A50297" i="1"/>
  <c r="B50297" i="1"/>
  <c r="A50298" i="1"/>
  <c r="B50298" i="1"/>
  <c r="A50299" i="1"/>
  <c r="B50299" i="1"/>
  <c r="A50300" i="1"/>
  <c r="B50300" i="1"/>
  <c r="A50301" i="1"/>
  <c r="B50301" i="1"/>
  <c r="A50302" i="1"/>
  <c r="B50302" i="1"/>
  <c r="A50303" i="1"/>
  <c r="B50303" i="1"/>
  <c r="A50304" i="1"/>
  <c r="B50304" i="1"/>
  <c r="A50305" i="1"/>
  <c r="B50305" i="1"/>
  <c r="A50306" i="1"/>
  <c r="B50306" i="1"/>
  <c r="A50307" i="1"/>
  <c r="B50307" i="1"/>
  <c r="A50308" i="1"/>
  <c r="B50308" i="1"/>
  <c r="A50309" i="1"/>
  <c r="B50309" i="1"/>
  <c r="A50310" i="1"/>
  <c r="B50310" i="1"/>
  <c r="A50311" i="1"/>
  <c r="B50311" i="1"/>
  <c r="A50312" i="1"/>
  <c r="B50312" i="1"/>
  <c r="A50313" i="1"/>
  <c r="B50313" i="1"/>
  <c r="A50314" i="1"/>
  <c r="B50314" i="1"/>
  <c r="A50315" i="1"/>
  <c r="B50315" i="1"/>
  <c r="A50316" i="1"/>
  <c r="B50316" i="1"/>
  <c r="A50317" i="1"/>
  <c r="B50317" i="1"/>
  <c r="A50318" i="1"/>
  <c r="B50318" i="1"/>
  <c r="A50319" i="1"/>
  <c r="B50319" i="1"/>
  <c r="A50320" i="1"/>
  <c r="B50320" i="1"/>
  <c r="A50321" i="1"/>
  <c r="B50321" i="1"/>
  <c r="A50322" i="1"/>
  <c r="B50322" i="1"/>
  <c r="A50323" i="1"/>
  <c r="B50323" i="1"/>
  <c r="A50324" i="1"/>
  <c r="B50324" i="1"/>
  <c r="A50325" i="1"/>
  <c r="B50325" i="1"/>
  <c r="A50326" i="1"/>
  <c r="B50326" i="1"/>
  <c r="A50327" i="1"/>
  <c r="B50327" i="1"/>
  <c r="A50328" i="1"/>
  <c r="B50328" i="1"/>
  <c r="A50329" i="1"/>
  <c r="B50329" i="1"/>
  <c r="A50330" i="1"/>
  <c r="B50330" i="1"/>
  <c r="A50331" i="1"/>
  <c r="B50331" i="1"/>
  <c r="A50332" i="1"/>
  <c r="B50332" i="1"/>
  <c r="A50333" i="1"/>
  <c r="B50333" i="1"/>
  <c r="A50334" i="1"/>
  <c r="B50334" i="1"/>
  <c r="A50335" i="1"/>
  <c r="B50335" i="1"/>
  <c r="A50336" i="1"/>
  <c r="B50336" i="1"/>
  <c r="A50337" i="1"/>
  <c r="B50337" i="1"/>
  <c r="A50338" i="1"/>
  <c r="B50338" i="1"/>
  <c r="A50339" i="1"/>
  <c r="B50339" i="1"/>
  <c r="A50340" i="1"/>
  <c r="B50340" i="1"/>
  <c r="A50341" i="1"/>
  <c r="B50341" i="1"/>
  <c r="A50342" i="1"/>
  <c r="B50342" i="1"/>
  <c r="A50343" i="1"/>
  <c r="B50343" i="1"/>
  <c r="A50344" i="1"/>
  <c r="B50344" i="1"/>
  <c r="A50345" i="1"/>
  <c r="B50345" i="1"/>
  <c r="A50346" i="1"/>
  <c r="B50346" i="1"/>
  <c r="A50347" i="1"/>
  <c r="B50347" i="1"/>
  <c r="A50348" i="1"/>
  <c r="B50348" i="1"/>
  <c r="A50349" i="1"/>
  <c r="B50349" i="1"/>
  <c r="A50350" i="1"/>
  <c r="B50350" i="1"/>
  <c r="A50351" i="1"/>
  <c r="B50351" i="1"/>
  <c r="A50352" i="1"/>
  <c r="B50352" i="1"/>
  <c r="A50353" i="1"/>
  <c r="B50353" i="1"/>
  <c r="A50354" i="1"/>
  <c r="B50354" i="1"/>
  <c r="A50355" i="1"/>
  <c r="B50355" i="1"/>
  <c r="A50356" i="1"/>
  <c r="B50356" i="1"/>
  <c r="A50357" i="1"/>
  <c r="B50357" i="1"/>
  <c r="A50358" i="1"/>
  <c r="B50358" i="1"/>
  <c r="A50359" i="1"/>
  <c r="B50359" i="1"/>
  <c r="A50360" i="1"/>
  <c r="B50360" i="1"/>
  <c r="A50361" i="1"/>
  <c r="B50361" i="1"/>
  <c r="A50362" i="1"/>
  <c r="B50362" i="1"/>
  <c r="A50363" i="1"/>
  <c r="B50363" i="1"/>
  <c r="A50364" i="1"/>
  <c r="B50364" i="1"/>
  <c r="A50365" i="1"/>
  <c r="B50365" i="1"/>
  <c r="A50366" i="1"/>
  <c r="B50366" i="1"/>
  <c r="A50367" i="1"/>
  <c r="B50367" i="1"/>
  <c r="A50368" i="1"/>
  <c r="B50368" i="1"/>
  <c r="A50369" i="1"/>
  <c r="B50369" i="1"/>
  <c r="A50370" i="1"/>
  <c r="B50370" i="1"/>
  <c r="A50371" i="1"/>
  <c r="B50371" i="1"/>
  <c r="A50372" i="1"/>
  <c r="B50372" i="1"/>
  <c r="A50373" i="1"/>
  <c r="B50373" i="1"/>
  <c r="A50374" i="1"/>
  <c r="B50374" i="1"/>
  <c r="A50375" i="1"/>
  <c r="B50375" i="1"/>
  <c r="A50376" i="1"/>
  <c r="B50376" i="1"/>
  <c r="A50377" i="1"/>
  <c r="B50377" i="1"/>
  <c r="A50378" i="1"/>
  <c r="B50378" i="1"/>
  <c r="A50379" i="1"/>
  <c r="B50379" i="1"/>
  <c r="A50380" i="1"/>
  <c r="B50380" i="1"/>
  <c r="A50381" i="1"/>
  <c r="B50381" i="1"/>
  <c r="A50382" i="1"/>
  <c r="B50382" i="1"/>
  <c r="A50383" i="1"/>
  <c r="B50383" i="1"/>
  <c r="A50384" i="1"/>
  <c r="B50384" i="1"/>
  <c r="A50385" i="1"/>
  <c r="B50385" i="1"/>
  <c r="A50386" i="1"/>
  <c r="B50386" i="1"/>
  <c r="A50387" i="1"/>
  <c r="B50387" i="1"/>
  <c r="A50388" i="1"/>
  <c r="B50388" i="1"/>
  <c r="A50389" i="1"/>
  <c r="B50389" i="1"/>
  <c r="A50390" i="1"/>
  <c r="B50390" i="1"/>
  <c r="A50391" i="1"/>
  <c r="B50391" i="1"/>
  <c r="A50392" i="1"/>
  <c r="B50392" i="1"/>
  <c r="A50393" i="1"/>
  <c r="B50393" i="1"/>
  <c r="A50394" i="1"/>
  <c r="B50394" i="1"/>
  <c r="A50395" i="1"/>
  <c r="B50395" i="1"/>
  <c r="A50396" i="1"/>
  <c r="B50396" i="1"/>
  <c r="A50397" i="1"/>
  <c r="B50397" i="1"/>
  <c r="A50398" i="1"/>
  <c r="B50398" i="1"/>
  <c r="A50399" i="1"/>
  <c r="B50399" i="1"/>
  <c r="A50400" i="1"/>
  <c r="B50400" i="1"/>
  <c r="A50401" i="1"/>
  <c r="B50401" i="1"/>
  <c r="A50402" i="1"/>
  <c r="B50402" i="1"/>
  <c r="A50403" i="1"/>
  <c r="B50403" i="1"/>
  <c r="A50404" i="1"/>
  <c r="B50404" i="1"/>
  <c r="A50405" i="1"/>
  <c r="B50405" i="1"/>
  <c r="A50406" i="1"/>
  <c r="B50406" i="1"/>
  <c r="A50407" i="1"/>
  <c r="B50407" i="1"/>
  <c r="A50408" i="1"/>
  <c r="B50408" i="1"/>
  <c r="A50409" i="1"/>
  <c r="B50409" i="1"/>
  <c r="A50410" i="1"/>
  <c r="B50410" i="1"/>
  <c r="A50411" i="1"/>
  <c r="B50411" i="1"/>
  <c r="A50412" i="1"/>
  <c r="B50412" i="1"/>
  <c r="A50413" i="1"/>
  <c r="B50413" i="1"/>
  <c r="A50414" i="1"/>
  <c r="B50414" i="1"/>
  <c r="A50415" i="1"/>
  <c r="B50415" i="1"/>
  <c r="A50416" i="1"/>
  <c r="B50416" i="1"/>
  <c r="A50417" i="1"/>
  <c r="B50417" i="1"/>
  <c r="A50418" i="1"/>
  <c r="B50418" i="1"/>
  <c r="A50419" i="1"/>
  <c r="B50419" i="1"/>
  <c r="A50420" i="1"/>
  <c r="B50420" i="1"/>
  <c r="A50421" i="1"/>
  <c r="B50421" i="1"/>
  <c r="A50422" i="1"/>
  <c r="B50422" i="1"/>
  <c r="A50423" i="1"/>
  <c r="B50423" i="1"/>
  <c r="A50424" i="1"/>
  <c r="B50424" i="1"/>
  <c r="A50425" i="1"/>
  <c r="B50425" i="1"/>
  <c r="A50426" i="1"/>
  <c r="B50426" i="1"/>
  <c r="A50427" i="1"/>
  <c r="B50427" i="1"/>
  <c r="A50428" i="1"/>
  <c r="B50428" i="1"/>
  <c r="A50429" i="1"/>
  <c r="B50429" i="1"/>
  <c r="A50430" i="1"/>
  <c r="B50430" i="1"/>
  <c r="A50431" i="1"/>
  <c r="B50431" i="1"/>
  <c r="A50432" i="1"/>
  <c r="B50432" i="1"/>
  <c r="A50433" i="1"/>
  <c r="B50433" i="1"/>
  <c r="A50434" i="1"/>
  <c r="B50434" i="1"/>
  <c r="A50435" i="1"/>
  <c r="B50435" i="1"/>
  <c r="A50436" i="1"/>
  <c r="B50436" i="1"/>
  <c r="A50437" i="1"/>
  <c r="B50437" i="1"/>
  <c r="A50438" i="1"/>
  <c r="B50438" i="1"/>
  <c r="A50439" i="1"/>
  <c r="B50439" i="1"/>
  <c r="A50440" i="1"/>
  <c r="B50440" i="1"/>
  <c r="A50441" i="1"/>
  <c r="B50441" i="1"/>
  <c r="A50442" i="1"/>
  <c r="B50442" i="1"/>
  <c r="A50443" i="1"/>
  <c r="B50443" i="1"/>
  <c r="A50444" i="1"/>
  <c r="B50444" i="1"/>
  <c r="A50445" i="1"/>
  <c r="B50445" i="1"/>
  <c r="A50446" i="1"/>
  <c r="B50446" i="1"/>
  <c r="A50447" i="1"/>
  <c r="B50447" i="1"/>
  <c r="A50448" i="1"/>
  <c r="B50448" i="1"/>
  <c r="A50449" i="1"/>
  <c r="B50449" i="1"/>
  <c r="A50450" i="1"/>
  <c r="B50450" i="1"/>
  <c r="A50451" i="1"/>
  <c r="B50451" i="1"/>
  <c r="A50452" i="1"/>
  <c r="B50452" i="1"/>
  <c r="A50453" i="1"/>
  <c r="B50453" i="1"/>
  <c r="A50454" i="1"/>
  <c r="B50454" i="1"/>
  <c r="A50455" i="1"/>
  <c r="B50455" i="1"/>
  <c r="A50456" i="1"/>
  <c r="B50456" i="1"/>
  <c r="A50457" i="1"/>
  <c r="B50457" i="1"/>
  <c r="A50458" i="1"/>
  <c r="B50458" i="1"/>
  <c r="A50459" i="1"/>
  <c r="B50459" i="1"/>
  <c r="A50460" i="1"/>
  <c r="B50460" i="1"/>
  <c r="A50461" i="1"/>
  <c r="B50461" i="1"/>
  <c r="A50462" i="1"/>
  <c r="B50462" i="1"/>
  <c r="A50463" i="1"/>
  <c r="B50463" i="1"/>
  <c r="A50464" i="1"/>
  <c r="B50464" i="1"/>
  <c r="A50465" i="1"/>
  <c r="B50465" i="1"/>
  <c r="A50466" i="1"/>
  <c r="B50466" i="1"/>
  <c r="A50467" i="1"/>
  <c r="B50467" i="1"/>
  <c r="A50468" i="1"/>
  <c r="B50468" i="1"/>
  <c r="A50469" i="1"/>
  <c r="B50469" i="1"/>
  <c r="A50470" i="1"/>
  <c r="B50470" i="1"/>
  <c r="A50471" i="1"/>
  <c r="B50471" i="1"/>
  <c r="A50472" i="1"/>
  <c r="B50472" i="1"/>
  <c r="A50473" i="1"/>
  <c r="B50473" i="1"/>
  <c r="A50474" i="1"/>
  <c r="B50474" i="1"/>
  <c r="A50475" i="1"/>
  <c r="B50475" i="1"/>
  <c r="A50476" i="1"/>
  <c r="B50476" i="1"/>
  <c r="A50477" i="1"/>
  <c r="B50477" i="1"/>
  <c r="A50478" i="1"/>
  <c r="B50478" i="1"/>
  <c r="A50479" i="1"/>
  <c r="B50479" i="1"/>
  <c r="A50480" i="1"/>
  <c r="B50480" i="1"/>
  <c r="A50481" i="1"/>
  <c r="B50481" i="1"/>
  <c r="A50482" i="1"/>
  <c r="B50482" i="1"/>
  <c r="A50483" i="1"/>
  <c r="B50483" i="1"/>
  <c r="A50484" i="1"/>
  <c r="B50484" i="1"/>
  <c r="A50485" i="1"/>
  <c r="B50485" i="1"/>
  <c r="A50486" i="1"/>
  <c r="B50486" i="1"/>
  <c r="A50487" i="1"/>
  <c r="B50487" i="1"/>
  <c r="A50488" i="1"/>
  <c r="B50488" i="1"/>
  <c r="A50489" i="1"/>
  <c r="B50489" i="1"/>
  <c r="A50490" i="1"/>
  <c r="B50490" i="1"/>
  <c r="A50491" i="1"/>
  <c r="B50491" i="1"/>
  <c r="A50492" i="1"/>
  <c r="B50492" i="1"/>
  <c r="A50493" i="1"/>
  <c r="B50493" i="1"/>
  <c r="A50494" i="1"/>
  <c r="B50494" i="1"/>
  <c r="A50495" i="1"/>
  <c r="B50495" i="1"/>
  <c r="A50496" i="1"/>
  <c r="B50496" i="1"/>
  <c r="A50497" i="1"/>
  <c r="B50497" i="1"/>
  <c r="A50498" i="1"/>
  <c r="B50498" i="1"/>
  <c r="A50499" i="1"/>
  <c r="B50499" i="1"/>
  <c r="A50500" i="1"/>
  <c r="B50500" i="1"/>
  <c r="A50501" i="1"/>
  <c r="B50501" i="1"/>
  <c r="A50502" i="1"/>
  <c r="B50502" i="1"/>
  <c r="A50503" i="1"/>
  <c r="B50503" i="1"/>
  <c r="A50504" i="1"/>
  <c r="B50504" i="1"/>
  <c r="A50505" i="1"/>
  <c r="B50505" i="1"/>
  <c r="A50506" i="1"/>
  <c r="B50506" i="1"/>
  <c r="A50507" i="1"/>
  <c r="B50507" i="1"/>
  <c r="A50508" i="1"/>
  <c r="B50508" i="1"/>
  <c r="A50509" i="1"/>
  <c r="B50509" i="1"/>
  <c r="A50510" i="1"/>
  <c r="B50510" i="1"/>
  <c r="A50511" i="1"/>
  <c r="B50511" i="1"/>
  <c r="A50512" i="1"/>
  <c r="B50512" i="1"/>
  <c r="A50513" i="1"/>
  <c r="B50513" i="1"/>
  <c r="A50514" i="1"/>
  <c r="B50514" i="1"/>
  <c r="A50515" i="1"/>
  <c r="B50515" i="1"/>
  <c r="A50516" i="1"/>
  <c r="B50516" i="1"/>
  <c r="A50517" i="1"/>
  <c r="B50517" i="1"/>
  <c r="A50518" i="1"/>
  <c r="B50518" i="1"/>
  <c r="A50519" i="1"/>
  <c r="B50519" i="1"/>
  <c r="A50520" i="1"/>
  <c r="B50520" i="1"/>
  <c r="A50521" i="1"/>
  <c r="B50521" i="1"/>
  <c r="A50522" i="1"/>
  <c r="B50522" i="1"/>
  <c r="A50523" i="1"/>
  <c r="B50523" i="1"/>
  <c r="A50524" i="1"/>
  <c r="B50524" i="1"/>
  <c r="A50525" i="1"/>
  <c r="B50525" i="1"/>
  <c r="A50526" i="1"/>
  <c r="B50526" i="1"/>
  <c r="A50527" i="1"/>
  <c r="B50527" i="1"/>
  <c r="A50528" i="1"/>
  <c r="B50528" i="1"/>
  <c r="A50529" i="1"/>
  <c r="B50529" i="1"/>
  <c r="A50530" i="1"/>
  <c r="B50530" i="1"/>
  <c r="A50531" i="1"/>
  <c r="B50531" i="1"/>
  <c r="A50532" i="1"/>
  <c r="B50532" i="1"/>
  <c r="A50533" i="1"/>
  <c r="B50533" i="1"/>
  <c r="A50534" i="1"/>
  <c r="B50534" i="1"/>
  <c r="A50535" i="1"/>
  <c r="B50535" i="1"/>
  <c r="A50536" i="1"/>
  <c r="B50536" i="1"/>
  <c r="A50537" i="1"/>
  <c r="B50537" i="1"/>
  <c r="A50538" i="1"/>
  <c r="B50538" i="1"/>
  <c r="A50539" i="1"/>
  <c r="B50539" i="1"/>
  <c r="A50540" i="1"/>
  <c r="B50540" i="1"/>
  <c r="A50541" i="1"/>
  <c r="B50541" i="1"/>
  <c r="A50542" i="1"/>
  <c r="B50542" i="1"/>
  <c r="A50543" i="1"/>
  <c r="B50543" i="1"/>
  <c r="A50544" i="1"/>
  <c r="B50544" i="1"/>
  <c r="A50545" i="1"/>
  <c r="B50545" i="1"/>
  <c r="A50546" i="1"/>
  <c r="B50546" i="1"/>
  <c r="A50547" i="1"/>
  <c r="B50547" i="1"/>
  <c r="A50548" i="1"/>
  <c r="B50548" i="1"/>
  <c r="A50549" i="1"/>
  <c r="B50549" i="1"/>
  <c r="A50550" i="1"/>
  <c r="B50550" i="1"/>
  <c r="A50551" i="1"/>
  <c r="B50551" i="1"/>
  <c r="A50552" i="1"/>
  <c r="B50552" i="1"/>
  <c r="A50553" i="1"/>
  <c r="B50553" i="1"/>
  <c r="A50554" i="1"/>
  <c r="B50554" i="1"/>
  <c r="A50555" i="1"/>
  <c r="B50555" i="1"/>
  <c r="A50556" i="1"/>
  <c r="B50556" i="1"/>
  <c r="A50557" i="1"/>
  <c r="B50557" i="1"/>
  <c r="A50558" i="1"/>
  <c r="B50558" i="1"/>
  <c r="A50559" i="1"/>
  <c r="B50559" i="1"/>
  <c r="A50560" i="1"/>
  <c r="B50560" i="1"/>
  <c r="A50561" i="1"/>
  <c r="B50561" i="1"/>
  <c r="A50562" i="1"/>
  <c r="B50562" i="1"/>
  <c r="A50563" i="1"/>
  <c r="B50563" i="1"/>
  <c r="A50564" i="1"/>
  <c r="B50564" i="1"/>
  <c r="A50565" i="1"/>
  <c r="B50565" i="1"/>
  <c r="A50566" i="1"/>
  <c r="B50566" i="1"/>
  <c r="A50567" i="1"/>
  <c r="B50567" i="1"/>
  <c r="A50568" i="1"/>
  <c r="B50568" i="1"/>
  <c r="A50569" i="1"/>
  <c r="B50569" i="1"/>
  <c r="A50570" i="1"/>
  <c r="B50570" i="1"/>
  <c r="A50571" i="1"/>
  <c r="B50571" i="1"/>
  <c r="A50572" i="1"/>
  <c r="B50572" i="1"/>
  <c r="A50573" i="1"/>
  <c r="B50573" i="1"/>
  <c r="A50574" i="1"/>
  <c r="B50574" i="1"/>
  <c r="A50575" i="1"/>
  <c r="B50575" i="1"/>
  <c r="A50576" i="1"/>
  <c r="B50576" i="1"/>
  <c r="A50577" i="1"/>
  <c r="B50577" i="1"/>
  <c r="A50578" i="1"/>
  <c r="B50578" i="1"/>
  <c r="A50579" i="1"/>
  <c r="B50579" i="1"/>
  <c r="A50580" i="1"/>
  <c r="B50580" i="1"/>
  <c r="A50581" i="1"/>
  <c r="B50581" i="1"/>
  <c r="A50582" i="1"/>
  <c r="B50582" i="1"/>
  <c r="A50583" i="1"/>
  <c r="B50583" i="1"/>
  <c r="A50584" i="1"/>
  <c r="B50584" i="1"/>
  <c r="A50585" i="1"/>
  <c r="B50585" i="1"/>
  <c r="A50586" i="1"/>
  <c r="B50586" i="1"/>
  <c r="A50587" i="1"/>
  <c r="B50587" i="1"/>
  <c r="A50588" i="1"/>
  <c r="B50588" i="1"/>
  <c r="A50589" i="1"/>
  <c r="B50589" i="1"/>
  <c r="A50590" i="1"/>
  <c r="B50590" i="1"/>
  <c r="A50591" i="1"/>
  <c r="B50591" i="1"/>
  <c r="A50592" i="1"/>
  <c r="B50592" i="1"/>
  <c r="A50593" i="1"/>
  <c r="B50593" i="1"/>
  <c r="A50594" i="1"/>
  <c r="B50594" i="1"/>
  <c r="A50595" i="1"/>
  <c r="B50595" i="1"/>
  <c r="A50596" i="1"/>
  <c r="B50596" i="1"/>
  <c r="A50597" i="1"/>
  <c r="B50597" i="1"/>
  <c r="A50598" i="1"/>
  <c r="B50598" i="1"/>
  <c r="A50599" i="1"/>
  <c r="B50599" i="1"/>
  <c r="A50600" i="1"/>
  <c r="B50600" i="1"/>
  <c r="A50601" i="1"/>
  <c r="B50601" i="1"/>
  <c r="A50602" i="1"/>
  <c r="B50602" i="1"/>
  <c r="A50603" i="1"/>
  <c r="B50603" i="1"/>
  <c r="A50604" i="1"/>
  <c r="B50604" i="1"/>
  <c r="A50605" i="1"/>
  <c r="B50605" i="1"/>
  <c r="A50606" i="1"/>
  <c r="B50606" i="1"/>
  <c r="A50607" i="1"/>
  <c r="B50607" i="1"/>
  <c r="A50608" i="1"/>
  <c r="B50608" i="1"/>
  <c r="A50609" i="1"/>
  <c r="B50609" i="1"/>
  <c r="A50610" i="1"/>
  <c r="B50610" i="1"/>
  <c r="A50611" i="1"/>
  <c r="B50611" i="1"/>
  <c r="A50612" i="1"/>
  <c r="B50612" i="1"/>
  <c r="A50613" i="1"/>
  <c r="B50613" i="1"/>
  <c r="A50614" i="1"/>
  <c r="B50614" i="1"/>
  <c r="A50615" i="1"/>
  <c r="B50615" i="1"/>
  <c r="A50616" i="1"/>
  <c r="B50616" i="1"/>
  <c r="A50617" i="1"/>
  <c r="B50617" i="1"/>
  <c r="A50618" i="1"/>
  <c r="B50618" i="1"/>
  <c r="A50619" i="1"/>
  <c r="B50619" i="1"/>
  <c r="A50620" i="1"/>
  <c r="B50620" i="1"/>
  <c r="A50621" i="1"/>
  <c r="B50621" i="1"/>
  <c r="A50622" i="1"/>
  <c r="B50622" i="1"/>
  <c r="A50623" i="1"/>
  <c r="B50623" i="1"/>
  <c r="A50624" i="1"/>
  <c r="B50624" i="1"/>
  <c r="A50625" i="1"/>
  <c r="B50625" i="1"/>
  <c r="A50626" i="1"/>
  <c r="B50626" i="1"/>
  <c r="A50627" i="1"/>
  <c r="B50627" i="1"/>
  <c r="A50628" i="1"/>
  <c r="B50628" i="1"/>
  <c r="A50629" i="1"/>
  <c r="B50629" i="1"/>
  <c r="A50630" i="1"/>
  <c r="B50630" i="1"/>
  <c r="A50631" i="1"/>
  <c r="B50631" i="1"/>
  <c r="A50632" i="1"/>
  <c r="B50632" i="1"/>
  <c r="A50633" i="1"/>
  <c r="B50633" i="1"/>
  <c r="A50634" i="1"/>
  <c r="B50634" i="1"/>
  <c r="A50635" i="1"/>
  <c r="B50635" i="1"/>
  <c r="A50636" i="1"/>
  <c r="B50636" i="1"/>
  <c r="A50637" i="1"/>
  <c r="B50637" i="1"/>
  <c r="A50638" i="1"/>
  <c r="B50638" i="1"/>
  <c r="A50639" i="1"/>
  <c r="B50639" i="1"/>
  <c r="A50640" i="1"/>
  <c r="B50640" i="1"/>
  <c r="A50641" i="1"/>
  <c r="B50641" i="1"/>
  <c r="A50642" i="1"/>
  <c r="B50642" i="1"/>
  <c r="A50643" i="1"/>
  <c r="B50643" i="1"/>
  <c r="A50644" i="1"/>
  <c r="B50644" i="1"/>
  <c r="A50645" i="1"/>
  <c r="B50645" i="1"/>
  <c r="A50646" i="1"/>
  <c r="B50646" i="1"/>
  <c r="A50647" i="1"/>
  <c r="B50647" i="1"/>
  <c r="A50648" i="1"/>
  <c r="B5064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648"/>
  <sheetViews>
    <sheetView tabSelected="1" workbookViewId="0">
      <selection activeCell="J35" sqref="J35"/>
    </sheetView>
  </sheetViews>
  <sheetFormatPr defaultRowHeight="15" x14ac:dyDescent="0.25"/>
  <cols>
    <col min="1" max="2" width="6" style="1" bestFit="1" customWidth="1"/>
    <col min="3" max="6" width="11.5703125" style="2" bestFit="1" customWidth="1"/>
  </cols>
  <sheetData>
    <row r="1" spans="1:6" x14ac:dyDescent="0.25">
      <c r="A1" s="3" t="str">
        <f>"cbsa"</f>
        <v>cbsa</v>
      </c>
      <c r="B1" s="3" t="str">
        <f>"zip"</f>
        <v>zip</v>
      </c>
      <c r="C1" s="4" t="str">
        <f>"res_ratio"</f>
        <v>res_ratio</v>
      </c>
      <c r="D1" s="4" t="str">
        <f>"bus_ratio"</f>
        <v>bus_ratio</v>
      </c>
      <c r="E1" s="4" t="str">
        <f>"oth_ratio"</f>
        <v>oth_ratio</v>
      </c>
      <c r="F1" s="4" t="str">
        <f>"tot_ratio"</f>
        <v>tot_ratio</v>
      </c>
    </row>
    <row r="2" spans="1:6" x14ac:dyDescent="0.25">
      <c r="A2" s="1" t="str">
        <f t="shared" ref="A2:A27" si="0">"10100"</f>
        <v>10100</v>
      </c>
      <c r="B2" s="1" t="str">
        <f>"57439"</f>
        <v>57439</v>
      </c>
      <c r="C2" s="2">
        <v>8.8751868460388596E-4</v>
      </c>
      <c r="D2" s="2">
        <v>0</v>
      </c>
      <c r="E2" s="2">
        <v>6.3897763578274697E-4</v>
      </c>
      <c r="F2" s="2">
        <v>7.8998301536516895E-4</v>
      </c>
    </row>
    <row r="3" spans="1:6" x14ac:dyDescent="0.25">
      <c r="A3" s="1" t="str">
        <f t="shared" si="0"/>
        <v>10100</v>
      </c>
      <c r="B3" s="1" t="str">
        <f>"57449"</f>
        <v>57449</v>
      </c>
      <c r="C3" s="2">
        <v>4.8112855007473804E-3</v>
      </c>
      <c r="D3" s="2">
        <v>8.5324232081911199E-4</v>
      </c>
      <c r="E3" s="2">
        <v>0</v>
      </c>
      <c r="F3" s="2">
        <v>4.1474108306671399E-3</v>
      </c>
    </row>
    <row r="4" spans="1:6" x14ac:dyDescent="0.25">
      <c r="A4" s="1" t="str">
        <f t="shared" si="0"/>
        <v>10100</v>
      </c>
      <c r="B4" s="1" t="str">
        <f>"57435"</f>
        <v>57435</v>
      </c>
      <c r="C4" s="2">
        <v>7.0067264573990995E-4</v>
      </c>
      <c r="D4" s="2">
        <v>0</v>
      </c>
      <c r="E4" s="2">
        <v>0</v>
      </c>
      <c r="F4" s="2">
        <v>5.9248726152387704E-4</v>
      </c>
    </row>
    <row r="5" spans="1:6" x14ac:dyDescent="0.25">
      <c r="A5" s="1" t="str">
        <f t="shared" si="0"/>
        <v>10100</v>
      </c>
      <c r="B5" s="1" t="str">
        <f>"57466"</f>
        <v>57466</v>
      </c>
      <c r="C5" s="2">
        <v>9.8094170403587402E-4</v>
      </c>
      <c r="D5" s="2">
        <v>0</v>
      </c>
      <c r="E5" s="2">
        <v>0</v>
      </c>
      <c r="F5" s="2">
        <v>8.2948216613342796E-4</v>
      </c>
    </row>
    <row r="6" spans="1:6" x14ac:dyDescent="0.25">
      <c r="A6" s="1" t="str">
        <f t="shared" si="0"/>
        <v>10100</v>
      </c>
      <c r="B6" s="1" t="str">
        <f>"57422"</f>
        <v>57422</v>
      </c>
      <c r="C6" s="2">
        <v>2.8026905829596401E-4</v>
      </c>
      <c r="D6" s="2">
        <v>0</v>
      </c>
      <c r="E6" s="2">
        <v>0</v>
      </c>
      <c r="F6" s="2">
        <v>2.3699490460955E-4</v>
      </c>
    </row>
    <row r="7" spans="1:6" x14ac:dyDescent="0.25">
      <c r="A7" s="1" t="str">
        <f t="shared" si="0"/>
        <v>10100</v>
      </c>
      <c r="B7" s="1" t="str">
        <f>"57441"</f>
        <v>57441</v>
      </c>
      <c r="C7" s="2">
        <v>1.46674140508221E-2</v>
      </c>
      <c r="D7" s="2">
        <v>2.9863481228668901E-3</v>
      </c>
      <c r="E7" s="2">
        <v>1.27795527156549E-3</v>
      </c>
      <c r="F7" s="2">
        <v>1.2758225698147401E-2</v>
      </c>
    </row>
    <row r="8" spans="1:6" x14ac:dyDescent="0.25">
      <c r="A8" s="1" t="str">
        <f t="shared" si="0"/>
        <v>10100</v>
      </c>
      <c r="B8" s="1" t="str">
        <f>"57445"</f>
        <v>57445</v>
      </c>
      <c r="C8" s="2">
        <v>4.41890881913303E-2</v>
      </c>
      <c r="D8" s="2">
        <v>1.62116040955631E-2</v>
      </c>
      <c r="E8" s="2">
        <v>3.5782747603833799E-2</v>
      </c>
      <c r="F8" s="2">
        <v>4.1079116798988798E-2</v>
      </c>
    </row>
    <row r="9" spans="1:6" x14ac:dyDescent="0.25">
      <c r="A9" s="1" t="str">
        <f t="shared" si="0"/>
        <v>10100</v>
      </c>
      <c r="B9" s="1" t="str">
        <f>"57460"</f>
        <v>57460</v>
      </c>
      <c r="C9" s="2">
        <v>6.3994768310911797E-3</v>
      </c>
      <c r="D9" s="2">
        <v>0</v>
      </c>
      <c r="E9" s="2">
        <v>0</v>
      </c>
      <c r="F9" s="2">
        <v>5.4113836552514101E-3</v>
      </c>
    </row>
    <row r="10" spans="1:6" x14ac:dyDescent="0.25">
      <c r="A10" s="1" t="str">
        <f t="shared" si="0"/>
        <v>10100</v>
      </c>
      <c r="B10" s="1" t="str">
        <f>"57456"</f>
        <v>57456</v>
      </c>
      <c r="C10" s="2">
        <v>4.6711509715994002E-5</v>
      </c>
      <c r="D10" s="2">
        <v>0</v>
      </c>
      <c r="E10" s="2">
        <v>0</v>
      </c>
      <c r="F10" s="2">
        <v>3.9499150768258401E-5</v>
      </c>
    </row>
    <row r="11" spans="1:6" x14ac:dyDescent="0.25">
      <c r="A11" s="1" t="str">
        <f t="shared" si="0"/>
        <v>10100</v>
      </c>
      <c r="B11" s="1" t="str">
        <f>"57471"</f>
        <v>57471</v>
      </c>
      <c r="C11" s="2">
        <v>1.21917040358744E-2</v>
      </c>
      <c r="D11" s="2">
        <v>1.7064846416382201E-3</v>
      </c>
      <c r="E11" s="2">
        <v>1.91693290734824E-3</v>
      </c>
      <c r="F11" s="2">
        <v>1.0585772405893199E-2</v>
      </c>
    </row>
    <row r="12" spans="1:6" x14ac:dyDescent="0.25">
      <c r="A12" s="1" t="str">
        <f t="shared" si="0"/>
        <v>10100</v>
      </c>
      <c r="B12" s="1" t="str">
        <f>"57427"</f>
        <v>57427</v>
      </c>
      <c r="C12" s="2">
        <v>1.38733183856502E-2</v>
      </c>
      <c r="D12" s="2">
        <v>3.4129692832764501E-3</v>
      </c>
      <c r="E12" s="2">
        <v>3.1948881789137301E-3</v>
      </c>
      <c r="F12" s="2">
        <v>1.22447367381601E-2</v>
      </c>
    </row>
    <row r="13" spans="1:6" x14ac:dyDescent="0.25">
      <c r="A13" s="1" t="str">
        <f t="shared" si="0"/>
        <v>10100</v>
      </c>
      <c r="B13" s="1" t="str">
        <f>"57481"</f>
        <v>57481</v>
      </c>
      <c r="C13" s="2">
        <v>7.2402840059790701E-3</v>
      </c>
      <c r="D13" s="2">
        <v>8.5324232081911199E-4</v>
      </c>
      <c r="E13" s="2">
        <v>6.3897763578274697E-4</v>
      </c>
      <c r="F13" s="2">
        <v>6.2408658213848403E-3</v>
      </c>
    </row>
    <row r="14" spans="1:6" x14ac:dyDescent="0.25">
      <c r="A14" s="1" t="str">
        <f t="shared" si="0"/>
        <v>10100</v>
      </c>
      <c r="B14" s="1" t="str">
        <f>"57474"</f>
        <v>57474</v>
      </c>
      <c r="C14" s="2">
        <v>5.7922272047832499E-3</v>
      </c>
      <c r="D14" s="2">
        <v>3.4129692832764501E-3</v>
      </c>
      <c r="E14" s="2">
        <v>1.27795527156549E-3</v>
      </c>
      <c r="F14" s="2">
        <v>5.2928862029466301E-3</v>
      </c>
    </row>
    <row r="15" spans="1:6" x14ac:dyDescent="0.25">
      <c r="A15" s="1" t="str">
        <f t="shared" si="0"/>
        <v>10100</v>
      </c>
      <c r="B15" s="1" t="str">
        <f>"57451"</f>
        <v>57451</v>
      </c>
      <c r="C15" s="2">
        <v>3.4566517189835499E-2</v>
      </c>
      <c r="D15" s="2">
        <v>1.36518771331058E-2</v>
      </c>
      <c r="E15" s="2">
        <v>6.3897763578274697E-3</v>
      </c>
      <c r="F15" s="2">
        <v>3.0888335900778101E-2</v>
      </c>
    </row>
    <row r="16" spans="1:6" x14ac:dyDescent="0.25">
      <c r="A16" s="1" t="str">
        <f t="shared" si="0"/>
        <v>10100</v>
      </c>
      <c r="B16" s="1" t="str">
        <f>"57428"</f>
        <v>57428</v>
      </c>
      <c r="C16" s="2">
        <v>9.3890134529147906E-3</v>
      </c>
      <c r="D16" s="2">
        <v>2.1331058020477799E-3</v>
      </c>
      <c r="E16" s="2">
        <v>4.4728434504792301E-3</v>
      </c>
      <c r="F16" s="2">
        <v>8.4133191136390503E-3</v>
      </c>
    </row>
    <row r="17" spans="1:6" x14ac:dyDescent="0.25">
      <c r="A17" s="1" t="str">
        <f t="shared" si="0"/>
        <v>10100</v>
      </c>
      <c r="B17" s="1" t="str">
        <f>"57446"</f>
        <v>57446</v>
      </c>
      <c r="C17" s="2">
        <v>1.36397608370702E-2</v>
      </c>
      <c r="D17" s="2">
        <v>1.27986348122866E-3</v>
      </c>
      <c r="E17" s="2">
        <v>6.3897763578274697E-4</v>
      </c>
      <c r="F17" s="2">
        <v>1.16917486274045E-2</v>
      </c>
    </row>
    <row r="18" spans="1:6" x14ac:dyDescent="0.25">
      <c r="A18" s="1" t="str">
        <f t="shared" si="0"/>
        <v>10100</v>
      </c>
      <c r="B18" s="1" t="str">
        <f>"57461"</f>
        <v>57461</v>
      </c>
      <c r="C18" s="2">
        <v>1.4013452914798201E-4</v>
      </c>
      <c r="D18" s="2">
        <v>0</v>
      </c>
      <c r="E18" s="2">
        <v>0</v>
      </c>
      <c r="F18" s="2">
        <v>1.18497452304775E-4</v>
      </c>
    </row>
    <row r="19" spans="1:6" x14ac:dyDescent="0.25">
      <c r="A19" s="1" t="str">
        <f t="shared" si="0"/>
        <v>10100</v>
      </c>
      <c r="B19" s="1" t="str">
        <f>"57433"</f>
        <v>57433</v>
      </c>
      <c r="C19" s="2">
        <v>1.0930493273542599E-2</v>
      </c>
      <c r="D19" s="2">
        <v>2.1331058020477799E-3</v>
      </c>
      <c r="E19" s="2">
        <v>3.1948881789137301E-3</v>
      </c>
      <c r="F19" s="2">
        <v>9.6377927874550604E-3</v>
      </c>
    </row>
    <row r="20" spans="1:6" x14ac:dyDescent="0.25">
      <c r="A20" s="1" t="str">
        <f t="shared" si="0"/>
        <v>10100</v>
      </c>
      <c r="B20" s="1" t="str">
        <f>"57432"</f>
        <v>57432</v>
      </c>
      <c r="C20" s="2">
        <v>6.5396113602391604E-3</v>
      </c>
      <c r="D20" s="2">
        <v>6.3993174061433402E-3</v>
      </c>
      <c r="E20" s="2">
        <v>6.3897763578274697E-4</v>
      </c>
      <c r="F20" s="2">
        <v>6.1618675198483203E-3</v>
      </c>
    </row>
    <row r="21" spans="1:6" x14ac:dyDescent="0.25">
      <c r="A21" s="1" t="str">
        <f t="shared" si="0"/>
        <v>10100</v>
      </c>
      <c r="B21" s="1" t="str">
        <f>"57402"</f>
        <v>57402</v>
      </c>
      <c r="C21" s="2">
        <v>4.0031763826606802E-2</v>
      </c>
      <c r="D21" s="2">
        <v>0.15571672354948801</v>
      </c>
      <c r="E21" s="2">
        <v>1.27795527156549E-3</v>
      </c>
      <c r="F21" s="2">
        <v>4.8346960540348302E-2</v>
      </c>
    </row>
    <row r="22" spans="1:6" x14ac:dyDescent="0.25">
      <c r="A22" s="1" t="str">
        <f t="shared" si="0"/>
        <v>10100</v>
      </c>
      <c r="B22" s="1" t="str">
        <f>"57401"</f>
        <v>57401</v>
      </c>
      <c r="C22" s="2">
        <v>0.75294282511210697</v>
      </c>
      <c r="D22" s="2">
        <v>0.786689419795221</v>
      </c>
      <c r="E22" s="2">
        <v>0.93482428115015903</v>
      </c>
      <c r="F22" s="2">
        <v>0.767310502824189</v>
      </c>
    </row>
    <row r="23" spans="1:6" x14ac:dyDescent="0.25">
      <c r="A23" s="1" t="str">
        <f t="shared" si="0"/>
        <v>10100</v>
      </c>
      <c r="B23" s="1" t="str">
        <f>"57475"</f>
        <v>57475</v>
      </c>
      <c r="C23" s="2">
        <v>1.6816143497757801E-3</v>
      </c>
      <c r="D23" s="2">
        <v>0</v>
      </c>
      <c r="E23" s="2">
        <v>6.3897763578274697E-4</v>
      </c>
      <c r="F23" s="2">
        <v>1.4614685784255599E-3</v>
      </c>
    </row>
    <row r="24" spans="1:6" x14ac:dyDescent="0.25">
      <c r="A24" s="1" t="str">
        <f t="shared" si="0"/>
        <v>10100</v>
      </c>
      <c r="B24" s="1" t="str">
        <f>"57448"</f>
        <v>57448</v>
      </c>
      <c r="C24" s="2">
        <v>4.6711509715993997E-3</v>
      </c>
      <c r="D24" s="2">
        <v>4.2662116040955599E-4</v>
      </c>
      <c r="E24" s="2">
        <v>1.27795527156549E-3</v>
      </c>
      <c r="F24" s="2">
        <v>4.0684125291306199E-3</v>
      </c>
    </row>
    <row r="25" spans="1:6" x14ac:dyDescent="0.25">
      <c r="A25" s="1" t="str">
        <f t="shared" si="0"/>
        <v>10100</v>
      </c>
      <c r="B25" s="1" t="str">
        <f>"57434"</f>
        <v>57434</v>
      </c>
      <c r="C25" s="2">
        <v>1.72832585949177E-3</v>
      </c>
      <c r="D25" s="2">
        <v>8.5324232081911199E-4</v>
      </c>
      <c r="E25" s="2">
        <v>0</v>
      </c>
      <c r="F25" s="2">
        <v>1.5404668799620801E-3</v>
      </c>
    </row>
    <row r="26" spans="1:6" x14ac:dyDescent="0.25">
      <c r="A26" s="1" t="str">
        <f t="shared" si="0"/>
        <v>10100</v>
      </c>
      <c r="B26" s="1" t="str">
        <f>"57426"</f>
        <v>57426</v>
      </c>
      <c r="C26" s="2">
        <v>1.12107623318385E-3</v>
      </c>
      <c r="D26" s="2">
        <v>0</v>
      </c>
      <c r="E26" s="2">
        <v>6.3897763578274697E-4</v>
      </c>
      <c r="F26" s="2">
        <v>9.8747876920646195E-4</v>
      </c>
    </row>
    <row r="27" spans="1:6" x14ac:dyDescent="0.25">
      <c r="A27" s="1" t="str">
        <f t="shared" si="0"/>
        <v>10100</v>
      </c>
      <c r="B27" s="1" t="str">
        <f>"57479"</f>
        <v>57479</v>
      </c>
      <c r="C27" s="2">
        <v>1.05568011958146E-2</v>
      </c>
      <c r="D27" s="2">
        <v>1.27986348122866E-3</v>
      </c>
      <c r="E27" s="2">
        <v>1.27795527156549E-3</v>
      </c>
      <c r="F27" s="2">
        <v>9.1243038274677005E-3</v>
      </c>
    </row>
    <row r="28" spans="1:6" x14ac:dyDescent="0.25">
      <c r="A28" s="1" t="str">
        <f t="shared" ref="A28:A49" si="1">"10140"</f>
        <v>10140</v>
      </c>
      <c r="B28" s="1" t="str">
        <f>"98566"</f>
        <v>98566</v>
      </c>
      <c r="C28" s="2">
        <v>0</v>
      </c>
      <c r="D28" s="2">
        <v>0</v>
      </c>
      <c r="E28" s="2">
        <v>2.8374543980543101E-3</v>
      </c>
      <c r="F28" s="2">
        <v>1.8357766646560499E-4</v>
      </c>
    </row>
    <row r="29" spans="1:6" x14ac:dyDescent="0.25">
      <c r="A29" s="1" t="str">
        <f t="shared" si="1"/>
        <v>10140</v>
      </c>
      <c r="B29" s="1" t="str">
        <f>"98536"</f>
        <v>98536</v>
      </c>
      <c r="C29" s="2">
        <v>1.9738839963559002E-3</v>
      </c>
      <c r="D29" s="2">
        <v>7.3152889539136701E-4</v>
      </c>
      <c r="E29" s="2">
        <v>0</v>
      </c>
      <c r="F29" s="2">
        <v>1.75710052188508E-3</v>
      </c>
    </row>
    <row r="30" spans="1:6" x14ac:dyDescent="0.25">
      <c r="A30" s="1" t="str">
        <f t="shared" si="1"/>
        <v>10140</v>
      </c>
      <c r="B30" s="1" t="str">
        <f>"98579"</f>
        <v>98579</v>
      </c>
      <c r="C30" s="2">
        <v>2.4293956878226501E-4</v>
      </c>
      <c r="D30" s="2">
        <v>0</v>
      </c>
      <c r="E30" s="2">
        <v>0</v>
      </c>
      <c r="F30" s="2">
        <v>2.09803047389263E-4</v>
      </c>
    </row>
    <row r="31" spans="1:6" x14ac:dyDescent="0.25">
      <c r="A31" s="1" t="str">
        <f t="shared" si="1"/>
        <v>10140</v>
      </c>
      <c r="B31" s="1" t="str">
        <f>"98537"</f>
        <v>98537</v>
      </c>
      <c r="C31" s="2">
        <v>3.5894321287579703E-2</v>
      </c>
      <c r="D31" s="2">
        <v>1.68251645940014E-2</v>
      </c>
      <c r="E31" s="2">
        <v>0.206323469801378</v>
      </c>
      <c r="F31" s="2">
        <v>4.5553486664393801E-2</v>
      </c>
    </row>
    <row r="32" spans="1:6" x14ac:dyDescent="0.25">
      <c r="A32" s="1" t="str">
        <f t="shared" si="1"/>
        <v>10140</v>
      </c>
      <c r="B32" s="1" t="str">
        <f>"98535"</f>
        <v>98535</v>
      </c>
      <c r="C32" s="2">
        <v>2.8241724870938299E-3</v>
      </c>
      <c r="D32" s="2">
        <v>1.0972933430870499E-3</v>
      </c>
      <c r="E32" s="2">
        <v>6.8098905553303599E-2</v>
      </c>
      <c r="F32" s="2">
        <v>6.9235005638456802E-3</v>
      </c>
    </row>
    <row r="33" spans="1:6" x14ac:dyDescent="0.25">
      <c r="A33" s="1" t="str">
        <f t="shared" si="1"/>
        <v>10140</v>
      </c>
      <c r="B33" s="1" t="str">
        <f>"98595"</f>
        <v>98595</v>
      </c>
      <c r="C33" s="2">
        <v>1.7248709383540801E-2</v>
      </c>
      <c r="D33" s="2">
        <v>9.8756400877834608E-3</v>
      </c>
      <c r="E33" s="2">
        <v>4.4183218483988602E-2</v>
      </c>
      <c r="F33" s="2">
        <v>1.84626681702551E-2</v>
      </c>
    </row>
    <row r="34" spans="1:6" x14ac:dyDescent="0.25">
      <c r="A34" s="1" t="str">
        <f t="shared" si="1"/>
        <v>10140</v>
      </c>
      <c r="B34" s="1" t="str">
        <f>"98520"</f>
        <v>98520</v>
      </c>
      <c r="C34" s="2">
        <v>0.330063771636805</v>
      </c>
      <c r="D34" s="2">
        <v>0.550475493782004</v>
      </c>
      <c r="E34" s="2">
        <v>0.21078232671260599</v>
      </c>
      <c r="F34" s="2">
        <v>0.338150061629645</v>
      </c>
    </row>
    <row r="35" spans="1:6" x14ac:dyDescent="0.25">
      <c r="A35" s="1" t="str">
        <f t="shared" si="1"/>
        <v>10140</v>
      </c>
      <c r="B35" s="1" t="str">
        <f>"98557"</f>
        <v>98557</v>
      </c>
      <c r="C35" s="2">
        <v>4.4063164287883302E-2</v>
      </c>
      <c r="D35" s="2">
        <v>1.3533284564740299E-2</v>
      </c>
      <c r="E35" s="2">
        <v>8.5123631941629498E-3</v>
      </c>
      <c r="F35" s="2">
        <v>3.9574099813799703E-2</v>
      </c>
    </row>
    <row r="36" spans="1:6" x14ac:dyDescent="0.25">
      <c r="A36" s="1" t="str">
        <f t="shared" si="1"/>
        <v>10140</v>
      </c>
      <c r="B36" s="1" t="str">
        <f>"98550"</f>
        <v>98550</v>
      </c>
      <c r="C36" s="2">
        <v>0.179684178560583</v>
      </c>
      <c r="D36" s="2">
        <v>0.173738112655449</v>
      </c>
      <c r="E36" s="2">
        <v>0.113498175922172</v>
      </c>
      <c r="F36" s="2">
        <v>0.174975741522645</v>
      </c>
    </row>
    <row r="37" spans="1:6" x14ac:dyDescent="0.25">
      <c r="A37" s="1" t="str">
        <f t="shared" si="1"/>
        <v>10140</v>
      </c>
      <c r="B37" s="1" t="str">
        <f>"98587"</f>
        <v>98587</v>
      </c>
      <c r="C37" s="2">
        <v>0</v>
      </c>
      <c r="D37" s="2">
        <v>0</v>
      </c>
      <c r="E37" s="2">
        <v>4.7020672882042903E-2</v>
      </c>
      <c r="F37" s="2">
        <v>3.0421441871443101E-3</v>
      </c>
    </row>
    <row r="38" spans="1:6" x14ac:dyDescent="0.25">
      <c r="A38" s="1" t="str">
        <f t="shared" si="1"/>
        <v>10140</v>
      </c>
      <c r="B38" s="1" t="str">
        <f>"98568"</f>
        <v>98568</v>
      </c>
      <c r="C38" s="2">
        <v>2.1560886729426E-2</v>
      </c>
      <c r="D38" s="2">
        <v>2.9261155815654698E-3</v>
      </c>
      <c r="E38" s="2">
        <v>2.8374543980543101E-3</v>
      </c>
      <c r="F38" s="2">
        <v>1.9013401169651899E-2</v>
      </c>
    </row>
    <row r="39" spans="1:6" x14ac:dyDescent="0.25">
      <c r="A39" s="1" t="str">
        <f t="shared" si="1"/>
        <v>10140</v>
      </c>
      <c r="B39" s="1" t="str">
        <f>"98571"</f>
        <v>98571</v>
      </c>
      <c r="C39" s="2">
        <v>0</v>
      </c>
      <c r="D39" s="2">
        <v>0</v>
      </c>
      <c r="E39" s="2">
        <v>9.9716254560194506E-2</v>
      </c>
      <c r="F39" s="2">
        <v>6.4514437072198403E-3</v>
      </c>
    </row>
    <row r="40" spans="1:6" x14ac:dyDescent="0.25">
      <c r="A40" s="1" t="str">
        <f t="shared" si="1"/>
        <v>10140</v>
      </c>
      <c r="B40" s="1" t="str">
        <f>"98563"</f>
        <v>98563</v>
      </c>
      <c r="C40" s="2">
        <v>0.114363802004251</v>
      </c>
      <c r="D40" s="2">
        <v>9.83906364301389E-2</v>
      </c>
      <c r="E40" s="2">
        <v>5.3100932306444998E-2</v>
      </c>
      <c r="F40" s="2">
        <v>0.109254936927958</v>
      </c>
    </row>
    <row r="41" spans="1:6" x14ac:dyDescent="0.25">
      <c r="A41" s="1" t="str">
        <f t="shared" si="1"/>
        <v>10140</v>
      </c>
      <c r="B41" s="1" t="str">
        <f>"98541"</f>
        <v>98541</v>
      </c>
      <c r="C41" s="2">
        <v>0.100759186152444</v>
      </c>
      <c r="D41" s="2">
        <v>3.6210680321872697E-2</v>
      </c>
      <c r="E41" s="2">
        <v>3.0806647750303999E-2</v>
      </c>
      <c r="F41" s="2">
        <v>9.1605255566337099E-2</v>
      </c>
    </row>
    <row r="42" spans="1:6" x14ac:dyDescent="0.25">
      <c r="A42" s="1" t="str">
        <f t="shared" si="1"/>
        <v>10140</v>
      </c>
      <c r="B42" s="1" t="str">
        <f>"98552"</f>
        <v>98552</v>
      </c>
      <c r="C42" s="2">
        <v>2.0649863346492501E-3</v>
      </c>
      <c r="D42" s="2">
        <v>2.5603511338697801E-3</v>
      </c>
      <c r="E42" s="2">
        <v>8.1070125658694696E-3</v>
      </c>
      <c r="F42" s="2">
        <v>2.4914111877475001E-3</v>
      </c>
    </row>
    <row r="43" spans="1:6" x14ac:dyDescent="0.25">
      <c r="A43" s="1" t="str">
        <f t="shared" si="1"/>
        <v>10140</v>
      </c>
      <c r="B43" s="1" t="str">
        <f>"98569"</f>
        <v>98569</v>
      </c>
      <c r="C43" s="2">
        <v>0.13777710294564199</v>
      </c>
      <c r="D43" s="2">
        <v>8.3394294074615904E-2</v>
      </c>
      <c r="E43" s="2">
        <v>6.89096068098905E-2</v>
      </c>
      <c r="F43" s="2">
        <v>0.12942225485825101</v>
      </c>
    </row>
    <row r="44" spans="1:6" x14ac:dyDescent="0.25">
      <c r="A44" s="1" t="str">
        <f t="shared" si="1"/>
        <v>10140</v>
      </c>
      <c r="B44" s="1" t="str">
        <f>"98562"</f>
        <v>98562</v>
      </c>
      <c r="C44" s="2">
        <v>3.0367446097783099E-5</v>
      </c>
      <c r="D44" s="2">
        <v>3.6576444769568302E-4</v>
      </c>
      <c r="E44" s="2">
        <v>4.0535062829347298E-4</v>
      </c>
      <c r="F44" s="2">
        <v>7.8676142770973704E-5</v>
      </c>
    </row>
    <row r="45" spans="1:6" x14ac:dyDescent="0.25">
      <c r="A45" s="1" t="str">
        <f t="shared" si="1"/>
        <v>10140</v>
      </c>
      <c r="B45" s="1" t="str">
        <f>"98526"</f>
        <v>98526</v>
      </c>
      <c r="C45" s="2">
        <v>2.3990282417248698E-3</v>
      </c>
      <c r="D45" s="2">
        <v>5.1207022677395696E-3</v>
      </c>
      <c r="E45" s="2">
        <v>4.8642075395216797E-3</v>
      </c>
      <c r="F45" s="2">
        <v>2.7536649969840802E-3</v>
      </c>
    </row>
    <row r="46" spans="1:6" x14ac:dyDescent="0.25">
      <c r="A46" s="1" t="str">
        <f t="shared" si="1"/>
        <v>10140</v>
      </c>
      <c r="B46" s="1" t="str">
        <f>"98575"</f>
        <v>98575</v>
      </c>
      <c r="C46" s="2">
        <v>2.85453993319161E-3</v>
      </c>
      <c r="D46" s="2">
        <v>1.4630577907827299E-3</v>
      </c>
      <c r="E46" s="2">
        <v>4.0535062829347298E-4</v>
      </c>
      <c r="F46" s="2">
        <v>2.59631271144213E-3</v>
      </c>
    </row>
    <row r="47" spans="1:6" x14ac:dyDescent="0.25">
      <c r="A47" s="1" t="str">
        <f t="shared" si="1"/>
        <v>10140</v>
      </c>
      <c r="B47" s="1" t="str">
        <f>"98559"</f>
        <v>98559</v>
      </c>
      <c r="C47" s="2">
        <v>3.0367446097783099E-5</v>
      </c>
      <c r="D47" s="2">
        <v>7.3152889539136701E-4</v>
      </c>
      <c r="E47" s="2">
        <v>0</v>
      </c>
      <c r="F47" s="2">
        <v>7.8676142770973704E-5</v>
      </c>
    </row>
    <row r="48" spans="1:6" x14ac:dyDescent="0.25">
      <c r="A48" s="1" t="str">
        <f t="shared" si="1"/>
        <v>10140</v>
      </c>
      <c r="B48" s="1" t="str">
        <f>"98547"</f>
        <v>98547</v>
      </c>
      <c r="C48" s="2">
        <v>6.1645915578499803E-3</v>
      </c>
      <c r="D48" s="2">
        <v>2.5603511338697801E-3</v>
      </c>
      <c r="E48" s="2">
        <v>2.9185245237130099E-2</v>
      </c>
      <c r="F48" s="2">
        <v>7.3955574204715296E-3</v>
      </c>
    </row>
    <row r="49" spans="1:6" x14ac:dyDescent="0.25">
      <c r="A49" s="1" t="str">
        <f t="shared" si="1"/>
        <v>10140</v>
      </c>
      <c r="B49" s="1" t="str">
        <f>"98583"</f>
        <v>98583</v>
      </c>
      <c r="C49" s="2">
        <v>0</v>
      </c>
      <c r="D49" s="2">
        <v>0</v>
      </c>
      <c r="E49" s="2">
        <v>4.0535062829347298E-4</v>
      </c>
      <c r="F49" s="2">
        <v>2.6225380923657899E-5</v>
      </c>
    </row>
    <row r="50" spans="1:6" x14ac:dyDescent="0.25">
      <c r="A50" s="1" t="str">
        <f t="shared" ref="A50:A84" si="2">"10180"</f>
        <v>10180</v>
      </c>
      <c r="B50" s="1" t="str">
        <f>"79566"</f>
        <v>79566</v>
      </c>
      <c r="C50" s="2">
        <v>1.2430743003267501E-3</v>
      </c>
      <c r="D50" s="2">
        <v>1.01708706265256E-4</v>
      </c>
      <c r="E50" s="2">
        <v>5.6032872618602897E-3</v>
      </c>
      <c r="F50" s="2">
        <v>1.2477185311981099E-3</v>
      </c>
    </row>
    <row r="51" spans="1:6" x14ac:dyDescent="0.25">
      <c r="A51" s="1" t="str">
        <f t="shared" si="2"/>
        <v>10180</v>
      </c>
      <c r="B51" s="1" t="str">
        <f>"79608"</f>
        <v>79608</v>
      </c>
      <c r="C51" s="2">
        <v>1.6680873230098901E-2</v>
      </c>
      <c r="D51" s="2">
        <v>6.1330349877949497E-2</v>
      </c>
      <c r="E51" s="2">
        <v>7.4710496824803802E-4</v>
      </c>
      <c r="F51" s="2">
        <v>2.07678109242397E-2</v>
      </c>
    </row>
    <row r="52" spans="1:6" x14ac:dyDescent="0.25">
      <c r="A52" s="1" t="str">
        <f t="shared" si="2"/>
        <v>10180</v>
      </c>
      <c r="B52" s="1" t="str">
        <f>"79503"</f>
        <v>79503</v>
      </c>
      <c r="C52" s="2">
        <v>1.26675190604726E-3</v>
      </c>
      <c r="D52" s="2">
        <v>7.1196094385679403E-4</v>
      </c>
      <c r="E52" s="2">
        <v>2.2413149047441098E-3</v>
      </c>
      <c r="F52" s="2">
        <v>1.2374068077997799E-3</v>
      </c>
    </row>
    <row r="53" spans="1:6" x14ac:dyDescent="0.25">
      <c r="A53" s="1" t="str">
        <f t="shared" si="2"/>
        <v>10180</v>
      </c>
      <c r="B53" s="1" t="str">
        <f>"79553"</f>
        <v>79553</v>
      </c>
      <c r="C53" s="2">
        <v>2.0552161765402199E-2</v>
      </c>
      <c r="D53" s="2">
        <v>2.6139137510170801E-2</v>
      </c>
      <c r="E53" s="2">
        <v>8.9652596189764601E-3</v>
      </c>
      <c r="F53" s="2">
        <v>2.07987460944347E-2</v>
      </c>
    </row>
    <row r="54" spans="1:6" x14ac:dyDescent="0.25">
      <c r="A54" s="1" t="str">
        <f t="shared" si="2"/>
        <v>10180</v>
      </c>
      <c r="B54" s="1" t="str">
        <f>"79520"</f>
        <v>79520</v>
      </c>
      <c r="C54" s="2">
        <v>1.4691954349576101E-2</v>
      </c>
      <c r="D54" s="2">
        <v>1.8104149715215598E-2</v>
      </c>
      <c r="E54" s="2">
        <v>1.12065745237205E-2</v>
      </c>
      <c r="F54" s="2">
        <v>1.4941687204182401E-2</v>
      </c>
    </row>
    <row r="55" spans="1:6" x14ac:dyDescent="0.25">
      <c r="A55" s="1" t="str">
        <f t="shared" si="2"/>
        <v>10180</v>
      </c>
      <c r="B55" s="1" t="str">
        <f>"79530"</f>
        <v>79530</v>
      </c>
      <c r="C55" s="2">
        <v>2.92418430648292E-3</v>
      </c>
      <c r="D55" s="2">
        <v>5.0854353132628101E-4</v>
      </c>
      <c r="E55" s="2">
        <v>2.6148673888681299E-3</v>
      </c>
      <c r="F55" s="2">
        <v>2.6707363601678699E-3</v>
      </c>
    </row>
    <row r="56" spans="1:6" x14ac:dyDescent="0.25">
      <c r="A56" s="1" t="str">
        <f t="shared" si="2"/>
        <v>10180</v>
      </c>
      <c r="B56" s="1" t="str">
        <f>"79519"</f>
        <v>79519</v>
      </c>
      <c r="C56" s="2">
        <v>1.42065634323057E-4</v>
      </c>
      <c r="D56" s="2">
        <v>0</v>
      </c>
      <c r="E56" s="2">
        <v>3.7355248412401901E-4</v>
      </c>
      <c r="F56" s="2">
        <v>1.3405240417831E-4</v>
      </c>
    </row>
    <row r="57" spans="1:6" x14ac:dyDescent="0.25">
      <c r="A57" s="1" t="str">
        <f t="shared" si="2"/>
        <v>10180</v>
      </c>
      <c r="B57" s="1" t="str">
        <f>"79525"</f>
        <v>79525</v>
      </c>
      <c r="C57" s="2">
        <v>1.5781124212719599E-2</v>
      </c>
      <c r="D57" s="2">
        <v>2.4410089503661501E-3</v>
      </c>
      <c r="E57" s="2">
        <v>4.48262980948823E-3</v>
      </c>
      <c r="F57" s="2">
        <v>1.41167493323159E-2</v>
      </c>
    </row>
    <row r="58" spans="1:6" x14ac:dyDescent="0.25">
      <c r="A58" s="1" t="str">
        <f t="shared" si="2"/>
        <v>10180</v>
      </c>
      <c r="B58" s="1" t="str">
        <f>"79536"</f>
        <v>79536</v>
      </c>
      <c r="C58" s="2">
        <v>3.0106075673627799E-2</v>
      </c>
      <c r="D58" s="2">
        <v>1.91212367778681E-2</v>
      </c>
      <c r="E58" s="2">
        <v>2.5775121404557299E-2</v>
      </c>
      <c r="F58" s="2">
        <v>2.8872825515328299E-2</v>
      </c>
    </row>
    <row r="59" spans="1:6" x14ac:dyDescent="0.25">
      <c r="A59" s="1" t="str">
        <f t="shared" si="2"/>
        <v>10180</v>
      </c>
      <c r="B59" s="1" t="str">
        <f>"79601"</f>
        <v>79601</v>
      </c>
      <c r="C59" s="2">
        <v>0.117796088459534</v>
      </c>
      <c r="D59" s="2">
        <v>0.190500406834825</v>
      </c>
      <c r="E59" s="2">
        <v>0.20732162868883</v>
      </c>
      <c r="F59" s="2">
        <v>0.127638512224548</v>
      </c>
    </row>
    <row r="60" spans="1:6" x14ac:dyDescent="0.25">
      <c r="A60" s="1" t="str">
        <f t="shared" si="2"/>
        <v>10180</v>
      </c>
      <c r="B60" s="1" t="str">
        <f>"79605"</f>
        <v>79605</v>
      </c>
      <c r="C60" s="2">
        <v>0.161398399393853</v>
      </c>
      <c r="D60" s="2">
        <v>0.14391781936533701</v>
      </c>
      <c r="E60" s="2">
        <v>0.182293612252521</v>
      </c>
      <c r="F60" s="2">
        <v>0.16020293471647901</v>
      </c>
    </row>
    <row r="61" spans="1:6" x14ac:dyDescent="0.25">
      <c r="A61" s="1" t="str">
        <f t="shared" si="2"/>
        <v>10180</v>
      </c>
      <c r="B61" s="1" t="str">
        <f>"76437"</f>
        <v>76437</v>
      </c>
      <c r="C61" s="2">
        <v>1.0773310602831801E-3</v>
      </c>
      <c r="D61" s="2">
        <v>1.01708706265256E-4</v>
      </c>
      <c r="E61" s="2">
        <v>0</v>
      </c>
      <c r="F61" s="2">
        <v>9.48678552646503E-4</v>
      </c>
    </row>
    <row r="62" spans="1:6" x14ac:dyDescent="0.25">
      <c r="A62" s="1" t="str">
        <f t="shared" si="2"/>
        <v>10180</v>
      </c>
      <c r="B62" s="1" t="str">
        <f>"79698"</f>
        <v>79698</v>
      </c>
      <c r="C62" s="2">
        <v>0</v>
      </c>
      <c r="D62" s="2">
        <v>1.01708706265256E-4</v>
      </c>
      <c r="E62" s="2">
        <v>0</v>
      </c>
      <c r="F62" s="2">
        <v>1.03117233983315E-5</v>
      </c>
    </row>
    <row r="63" spans="1:6" x14ac:dyDescent="0.25">
      <c r="A63" s="1" t="str">
        <f t="shared" si="2"/>
        <v>10180</v>
      </c>
      <c r="B63" s="1" t="str">
        <f>"79699"</f>
        <v>79699</v>
      </c>
      <c r="C63" s="2">
        <v>0</v>
      </c>
      <c r="D63" s="2">
        <v>1.01708706265256E-4</v>
      </c>
      <c r="E63" s="2">
        <v>0</v>
      </c>
      <c r="F63" s="2">
        <v>1.03117233983315E-5</v>
      </c>
    </row>
    <row r="64" spans="1:6" x14ac:dyDescent="0.25">
      <c r="A64" s="1" t="str">
        <f t="shared" si="2"/>
        <v>10180</v>
      </c>
      <c r="B64" s="1" t="str">
        <f>"79602"</f>
        <v>79602</v>
      </c>
      <c r="C64" s="2">
        <v>0.12925604962826101</v>
      </c>
      <c r="D64" s="2">
        <v>0.17168429617575201</v>
      </c>
      <c r="E64" s="2">
        <v>0.16361598804631999</v>
      </c>
      <c r="F64" s="2">
        <v>0.13450612000783599</v>
      </c>
    </row>
    <row r="65" spans="1:6" x14ac:dyDescent="0.25">
      <c r="A65" s="1" t="str">
        <f t="shared" si="2"/>
        <v>10180</v>
      </c>
      <c r="B65" s="1" t="str">
        <f>"79562"</f>
        <v>79562</v>
      </c>
      <c r="C65" s="2">
        <v>2.6400530378368099E-2</v>
      </c>
      <c r="D65" s="2">
        <v>4.4751830756712702E-3</v>
      </c>
      <c r="E65" s="2">
        <v>3.6234590960029803E-2</v>
      </c>
      <c r="F65" s="2">
        <v>2.4449096177444101E-2</v>
      </c>
    </row>
    <row r="66" spans="1:6" x14ac:dyDescent="0.25">
      <c r="A66" s="1" t="str">
        <f t="shared" si="2"/>
        <v>10180</v>
      </c>
      <c r="B66" s="1" t="str">
        <f>"79508"</f>
        <v>79508</v>
      </c>
      <c r="C66" s="2">
        <v>7.20983094189515E-3</v>
      </c>
      <c r="D66" s="2">
        <v>3.1529698942229399E-3</v>
      </c>
      <c r="E66" s="2">
        <v>6.7239447142323399E-3</v>
      </c>
      <c r="F66" s="2">
        <v>6.7851139961021597E-3</v>
      </c>
    </row>
    <row r="67" spans="1:6" x14ac:dyDescent="0.25">
      <c r="A67" s="1" t="str">
        <f t="shared" si="2"/>
        <v>10180</v>
      </c>
      <c r="B67" s="1" t="str">
        <f>"79504"</f>
        <v>79504</v>
      </c>
      <c r="C67" s="2">
        <v>1.9427475493678001E-2</v>
      </c>
      <c r="D67" s="2">
        <v>1.7087062652563E-2</v>
      </c>
      <c r="E67" s="2">
        <v>7.0974971983563603E-3</v>
      </c>
      <c r="F67" s="2">
        <v>1.884983037215E-2</v>
      </c>
    </row>
    <row r="68" spans="1:6" x14ac:dyDescent="0.25">
      <c r="A68" s="1" t="str">
        <f t="shared" si="2"/>
        <v>10180</v>
      </c>
      <c r="B68" s="1" t="str">
        <f>"79563"</f>
        <v>79563</v>
      </c>
      <c r="C68" s="2">
        <v>1.1992707297438E-2</v>
      </c>
      <c r="D68" s="2">
        <v>7.1196094385679396E-3</v>
      </c>
      <c r="E68" s="2">
        <v>8.9652596189764601E-3</v>
      </c>
      <c r="F68" s="2">
        <v>1.1415077801953E-2</v>
      </c>
    </row>
    <row r="69" spans="1:6" x14ac:dyDescent="0.25">
      <c r="A69" s="1" t="str">
        <f t="shared" si="2"/>
        <v>10180</v>
      </c>
      <c r="B69" s="1" t="str">
        <f>"79561"</f>
        <v>79561</v>
      </c>
      <c r="C69" s="2">
        <v>2.4624709949329902E-3</v>
      </c>
      <c r="D69" s="2">
        <v>6.1025223759153698E-4</v>
      </c>
      <c r="E69" s="2">
        <v>5.2297347777362701E-3</v>
      </c>
      <c r="F69" s="2">
        <v>2.3510729348195899E-3</v>
      </c>
    </row>
    <row r="70" spans="1:6" x14ac:dyDescent="0.25">
      <c r="A70" s="1" t="str">
        <f t="shared" si="2"/>
        <v>10180</v>
      </c>
      <c r="B70" s="1" t="str">
        <f>"79541"</f>
        <v>79541</v>
      </c>
      <c r="C70" s="2">
        <v>4.8420703698441999E-3</v>
      </c>
      <c r="D70" s="2">
        <v>2.0341741253051201E-4</v>
      </c>
      <c r="E70" s="2">
        <v>8.5917071348524405E-3</v>
      </c>
      <c r="F70" s="2">
        <v>4.4752879548758898E-3</v>
      </c>
    </row>
    <row r="71" spans="1:6" x14ac:dyDescent="0.25">
      <c r="A71" s="1" t="str">
        <f t="shared" si="2"/>
        <v>10180</v>
      </c>
      <c r="B71" s="1" t="str">
        <f>"79603"</f>
        <v>79603</v>
      </c>
      <c r="C71" s="2">
        <v>0.116979211062177</v>
      </c>
      <c r="D71" s="2">
        <v>8.9605370219690797E-2</v>
      </c>
      <c r="E71" s="2">
        <v>0.16212177810982401</v>
      </c>
      <c r="F71" s="2">
        <v>0.11545005516772</v>
      </c>
    </row>
    <row r="72" spans="1:6" x14ac:dyDescent="0.25">
      <c r="A72" s="1" t="str">
        <f t="shared" si="2"/>
        <v>10180</v>
      </c>
      <c r="B72" s="1" t="str">
        <f>"79607"</f>
        <v>79607</v>
      </c>
      <c r="C72" s="2">
        <v>4.1755457688118502E-2</v>
      </c>
      <c r="D72" s="2">
        <v>4.4446704637917001E-2</v>
      </c>
      <c r="E72" s="2">
        <v>2.6148673888681299E-3</v>
      </c>
      <c r="F72" s="2">
        <v>4.0947853614774599E-2</v>
      </c>
    </row>
    <row r="73" spans="1:6" x14ac:dyDescent="0.25">
      <c r="A73" s="1" t="str">
        <f t="shared" si="2"/>
        <v>10180</v>
      </c>
      <c r="B73" s="1" t="str">
        <f>"79697"</f>
        <v>79697</v>
      </c>
      <c r="C73" s="2">
        <v>0</v>
      </c>
      <c r="D73" s="2">
        <v>1.01708706265256E-4</v>
      </c>
      <c r="E73" s="2">
        <v>0</v>
      </c>
      <c r="F73" s="2">
        <v>1.03117233983315E-5</v>
      </c>
    </row>
    <row r="74" spans="1:6" x14ac:dyDescent="0.25">
      <c r="A74" s="1" t="str">
        <f t="shared" si="2"/>
        <v>10180</v>
      </c>
      <c r="B74" s="1" t="str">
        <f>"79560"</f>
        <v>79560</v>
      </c>
      <c r="C74" s="2">
        <v>8.2871620021783305E-5</v>
      </c>
      <c r="D74" s="2">
        <v>1.01708706265256E-4</v>
      </c>
      <c r="E74" s="2">
        <v>0</v>
      </c>
      <c r="F74" s="2">
        <v>8.2493787186652503E-5</v>
      </c>
    </row>
    <row r="75" spans="1:6" x14ac:dyDescent="0.25">
      <c r="A75" s="1" t="str">
        <f t="shared" si="2"/>
        <v>10180</v>
      </c>
      <c r="B75" s="1" t="str">
        <f>"79567"</f>
        <v>79567</v>
      </c>
      <c r="C75" s="2">
        <v>4.1435810010891598E-4</v>
      </c>
      <c r="D75" s="2">
        <v>3.05126118795768E-4</v>
      </c>
      <c r="E75" s="2">
        <v>1.1206574523720499E-3</v>
      </c>
      <c r="F75" s="2">
        <v>4.2278065933159397E-4</v>
      </c>
    </row>
    <row r="76" spans="1:6" x14ac:dyDescent="0.25">
      <c r="A76" s="1" t="str">
        <f t="shared" si="2"/>
        <v>10180</v>
      </c>
      <c r="B76" s="1" t="str">
        <f>"76464"</f>
        <v>76464</v>
      </c>
      <c r="C76" s="2">
        <v>1.6574324004356601E-4</v>
      </c>
      <c r="D76" s="2">
        <v>0</v>
      </c>
      <c r="E76" s="2">
        <v>0</v>
      </c>
      <c r="F76" s="2">
        <v>1.44364127576641E-4</v>
      </c>
    </row>
    <row r="77" spans="1:6" x14ac:dyDescent="0.25">
      <c r="A77" s="1" t="str">
        <f t="shared" si="2"/>
        <v>10180</v>
      </c>
      <c r="B77" s="1" t="str">
        <f>"79501"</f>
        <v>79501</v>
      </c>
      <c r="C77" s="2">
        <v>2.08126154283278E-2</v>
      </c>
      <c r="D77" s="2">
        <v>1.84092758340113E-2</v>
      </c>
      <c r="E77" s="2">
        <v>9.7123645872244993E-3</v>
      </c>
      <c r="F77" s="2">
        <v>2.0262536477721499E-2</v>
      </c>
    </row>
    <row r="78" spans="1:6" x14ac:dyDescent="0.25">
      <c r="A78" s="1" t="str">
        <f t="shared" si="2"/>
        <v>10180</v>
      </c>
      <c r="B78" s="1" t="str">
        <f>"79606"</f>
        <v>79606</v>
      </c>
      <c r="C78" s="2">
        <v>0.156295875361083</v>
      </c>
      <c r="D78" s="2">
        <v>9.2249796582587404E-2</v>
      </c>
      <c r="E78" s="2">
        <v>0.106462457975345</v>
      </c>
      <c r="F78" s="2">
        <v>0.148426946595584</v>
      </c>
    </row>
    <row r="79" spans="1:6" x14ac:dyDescent="0.25">
      <c r="A79" s="1" t="str">
        <f t="shared" si="2"/>
        <v>10180</v>
      </c>
      <c r="B79" s="1" t="str">
        <f>"79533"</f>
        <v>79533</v>
      </c>
      <c r="C79" s="2">
        <v>1.2193966946062399E-3</v>
      </c>
      <c r="D79" s="2">
        <v>7.1196094385679403E-4</v>
      </c>
      <c r="E79" s="2">
        <v>7.4710496824803802E-4</v>
      </c>
      <c r="F79" s="2">
        <v>1.1549130206131299E-3</v>
      </c>
    </row>
    <row r="80" spans="1:6" x14ac:dyDescent="0.25">
      <c r="A80" s="1" t="str">
        <f t="shared" si="2"/>
        <v>10180</v>
      </c>
      <c r="B80" s="1" t="str">
        <f>"79521"</f>
        <v>79521</v>
      </c>
      <c r="C80" s="2">
        <v>1.1838802860254699E-5</v>
      </c>
      <c r="D80" s="2">
        <v>0</v>
      </c>
      <c r="E80" s="2">
        <v>0</v>
      </c>
      <c r="F80" s="2">
        <v>1.03117233983315E-5</v>
      </c>
    </row>
    <row r="81" spans="1:6" x14ac:dyDescent="0.25">
      <c r="A81" s="1" t="str">
        <f t="shared" si="2"/>
        <v>10180</v>
      </c>
      <c r="B81" s="1" t="str">
        <f>"76469"</f>
        <v>76469</v>
      </c>
      <c r="C81" s="2">
        <v>0</v>
      </c>
      <c r="D81" s="2">
        <v>0</v>
      </c>
      <c r="E81" s="2">
        <v>3.7355248412401901E-4</v>
      </c>
      <c r="F81" s="2">
        <v>1.03117233983315E-5</v>
      </c>
    </row>
    <row r="82" spans="1:6" x14ac:dyDescent="0.25">
      <c r="A82" s="1" t="str">
        <f t="shared" si="2"/>
        <v>10180</v>
      </c>
      <c r="B82" s="1" t="str">
        <f>"79510"</f>
        <v>79510</v>
      </c>
      <c r="C82" s="2">
        <v>4.6005587914949998E-2</v>
      </c>
      <c r="D82" s="2">
        <v>1.3934092758340099E-2</v>
      </c>
      <c r="E82" s="2">
        <v>2.1292491595069098E-2</v>
      </c>
      <c r="F82" s="2">
        <v>4.2071831465192701E-2</v>
      </c>
    </row>
    <row r="83" spans="1:6" x14ac:dyDescent="0.25">
      <c r="A83" s="1" t="str">
        <f t="shared" si="2"/>
        <v>10180</v>
      </c>
      <c r="B83" s="1" t="str">
        <f>"76443"</f>
        <v>76443</v>
      </c>
      <c r="C83" s="2">
        <v>9.6604631339678899E-3</v>
      </c>
      <c r="D83" s="2">
        <v>3.76322213181448E-3</v>
      </c>
      <c r="E83" s="2">
        <v>6.7239447142323399E-3</v>
      </c>
      <c r="F83" s="2">
        <v>8.9815110799467898E-3</v>
      </c>
    </row>
    <row r="84" spans="1:6" x14ac:dyDescent="0.25">
      <c r="A84" s="1" t="str">
        <f t="shared" si="2"/>
        <v>10180</v>
      </c>
      <c r="B84" s="1" t="str">
        <f>"79604"</f>
        <v>79604</v>
      </c>
      <c r="C84" s="2">
        <v>2.13453615570393E-2</v>
      </c>
      <c r="D84" s="2">
        <v>6.8856794141578498E-2</v>
      </c>
      <c r="E84" s="2">
        <v>7.4710496824803802E-4</v>
      </c>
      <c r="F84" s="2">
        <v>2.5593697474658901E-2</v>
      </c>
    </row>
    <row r="85" spans="1:6" x14ac:dyDescent="0.25">
      <c r="A85" s="1" t="str">
        <f t="shared" ref="A85:A95" si="3">"10220"</f>
        <v>10220</v>
      </c>
      <c r="B85" s="1" t="str">
        <f>"74871"</f>
        <v>74871</v>
      </c>
      <c r="C85" s="2">
        <v>4.8870447210696097E-2</v>
      </c>
      <c r="D85" s="2">
        <v>8.7719298245613996E-3</v>
      </c>
      <c r="E85" s="2">
        <v>0</v>
      </c>
      <c r="F85" s="2">
        <v>4.3524890517472499E-2</v>
      </c>
    </row>
    <row r="86" spans="1:6" x14ac:dyDescent="0.25">
      <c r="A86" s="1" t="str">
        <f t="shared" si="3"/>
        <v>10220</v>
      </c>
      <c r="B86" s="1" t="str">
        <f>"74842"</f>
        <v>74842</v>
      </c>
      <c r="C86" s="2">
        <v>1.02453767737308E-4</v>
      </c>
      <c r="D86" s="2">
        <v>0</v>
      </c>
      <c r="E86" s="2">
        <v>1.73310225303292E-3</v>
      </c>
      <c r="F86" s="2">
        <v>1.3406023773348801E-4</v>
      </c>
    </row>
    <row r="87" spans="1:6" x14ac:dyDescent="0.25">
      <c r="A87" s="1" t="str">
        <f t="shared" si="3"/>
        <v>10220</v>
      </c>
      <c r="B87" s="1" t="str">
        <f>"74821"</f>
        <v>74821</v>
      </c>
      <c r="C87" s="2">
        <v>6.2650478971364096E-2</v>
      </c>
      <c r="D87" s="2">
        <v>0.18640350877192899</v>
      </c>
      <c r="E87" s="2">
        <v>3.4662045060658499E-3</v>
      </c>
      <c r="F87" s="2">
        <v>7.3733130753418502E-2</v>
      </c>
    </row>
    <row r="88" spans="1:6" x14ac:dyDescent="0.25">
      <c r="A88" s="1" t="str">
        <f t="shared" si="3"/>
        <v>10220</v>
      </c>
      <c r="B88" s="1" t="str">
        <f>"74843"</f>
        <v>74843</v>
      </c>
      <c r="C88" s="2">
        <v>5.7886378771579297E-3</v>
      </c>
      <c r="D88" s="2">
        <v>2.1929824561403499E-3</v>
      </c>
      <c r="E88" s="2">
        <v>1.73310225303292E-3</v>
      </c>
      <c r="F88" s="2">
        <v>5.31772276342836E-3</v>
      </c>
    </row>
    <row r="89" spans="1:6" x14ac:dyDescent="0.25">
      <c r="A89" s="1" t="str">
        <f t="shared" si="3"/>
        <v>10220</v>
      </c>
      <c r="B89" s="1" t="str">
        <f>"74572"</f>
        <v>74572</v>
      </c>
      <c r="C89" s="2">
        <v>5.6349572255519603E-3</v>
      </c>
      <c r="D89" s="2">
        <v>1.7543859649122801E-3</v>
      </c>
      <c r="E89" s="2">
        <v>1.73310225303292E-3</v>
      </c>
      <c r="F89" s="2">
        <v>5.1389757797837103E-3</v>
      </c>
    </row>
    <row r="90" spans="1:6" x14ac:dyDescent="0.25">
      <c r="A90" s="1" t="str">
        <f t="shared" si="3"/>
        <v>10220</v>
      </c>
      <c r="B90" s="1" t="str">
        <f>"74865"</f>
        <v>74865</v>
      </c>
      <c r="C90" s="2">
        <v>2.35643665795809E-2</v>
      </c>
      <c r="D90" s="2">
        <v>7.8947368421052599E-3</v>
      </c>
      <c r="E90" s="2">
        <v>5.1993067590987803E-3</v>
      </c>
      <c r="F90" s="2">
        <v>2.1494324783269202E-2</v>
      </c>
    </row>
    <row r="91" spans="1:6" x14ac:dyDescent="0.25">
      <c r="A91" s="1" t="str">
        <f t="shared" si="3"/>
        <v>10220</v>
      </c>
      <c r="B91" s="1" t="str">
        <f>"74820"</f>
        <v>74820</v>
      </c>
      <c r="C91" s="2">
        <v>0.78766456636442805</v>
      </c>
      <c r="D91" s="2">
        <v>0.78201754385964894</v>
      </c>
      <c r="E91" s="2">
        <v>0.98093587521663705</v>
      </c>
      <c r="F91" s="2">
        <v>0.79207257127535902</v>
      </c>
    </row>
    <row r="92" spans="1:6" x14ac:dyDescent="0.25">
      <c r="A92" s="1" t="str">
        <f t="shared" si="3"/>
        <v>10220</v>
      </c>
      <c r="B92" s="1" t="str">
        <f>"74844"</f>
        <v>74844</v>
      </c>
      <c r="C92" s="2">
        <v>0</v>
      </c>
      <c r="D92" s="2">
        <v>0</v>
      </c>
      <c r="E92" s="2">
        <v>1.73310225303292E-3</v>
      </c>
      <c r="F92" s="2">
        <v>4.4686745911162703E-5</v>
      </c>
    </row>
    <row r="93" spans="1:6" x14ac:dyDescent="0.25">
      <c r="A93" s="1" t="str">
        <f t="shared" si="3"/>
        <v>10220</v>
      </c>
      <c r="B93" s="1" t="str">
        <f>"74831"</f>
        <v>74831</v>
      </c>
      <c r="C93" s="2">
        <v>2.04907535474617E-3</v>
      </c>
      <c r="D93" s="2">
        <v>0</v>
      </c>
      <c r="E93" s="2">
        <v>0</v>
      </c>
      <c r="F93" s="2">
        <v>1.7874698364465E-3</v>
      </c>
    </row>
    <row r="94" spans="1:6" x14ac:dyDescent="0.25">
      <c r="A94" s="1" t="str">
        <f t="shared" si="3"/>
        <v>10220</v>
      </c>
      <c r="B94" s="1" t="str">
        <f>"74872"</f>
        <v>74872</v>
      </c>
      <c r="C94" s="2">
        <v>1.58291071154141E-2</v>
      </c>
      <c r="D94" s="2">
        <v>4.3859649122807002E-4</v>
      </c>
      <c r="E94" s="2">
        <v>0</v>
      </c>
      <c r="F94" s="2">
        <v>1.3852891232460401E-2</v>
      </c>
    </row>
    <row r="95" spans="1:6" x14ac:dyDescent="0.25">
      <c r="A95" s="1" t="str">
        <f t="shared" si="3"/>
        <v>10220</v>
      </c>
      <c r="B95" s="1" t="str">
        <f>"74825"</f>
        <v>74825</v>
      </c>
      <c r="C95" s="2">
        <v>4.7845909533323003E-2</v>
      </c>
      <c r="D95" s="2">
        <v>1.0526315789473601E-2</v>
      </c>
      <c r="E95" s="2">
        <v>3.4662045060658499E-3</v>
      </c>
      <c r="F95" s="2">
        <v>4.2899276074716199E-2</v>
      </c>
    </row>
    <row r="96" spans="1:6" x14ac:dyDescent="0.25">
      <c r="A96" s="1" t="str">
        <f t="shared" ref="A96:A119" si="4">"10300"</f>
        <v>10300</v>
      </c>
      <c r="B96" s="1" t="str">
        <f>"49235"</f>
        <v>49235</v>
      </c>
      <c r="C96" s="2">
        <v>1.9968482665466001E-2</v>
      </c>
      <c r="D96" s="2">
        <v>5.44402858115005E-3</v>
      </c>
      <c r="E96" s="2">
        <v>2.00803212851405E-3</v>
      </c>
      <c r="F96" s="2">
        <v>1.85454322150123E-2</v>
      </c>
    </row>
    <row r="97" spans="1:6" x14ac:dyDescent="0.25">
      <c r="A97" s="1" t="str">
        <f t="shared" si="4"/>
        <v>10300</v>
      </c>
      <c r="B97" s="1" t="str">
        <f>"49230"</f>
        <v>49230</v>
      </c>
      <c r="C97" s="2">
        <v>3.0729401170643801E-2</v>
      </c>
      <c r="D97" s="2">
        <v>1.42905750255188E-2</v>
      </c>
      <c r="E97" s="2">
        <v>2.6773761713520701E-3</v>
      </c>
      <c r="F97" s="2">
        <v>2.88825660655435E-2</v>
      </c>
    </row>
    <row r="98" spans="1:6" x14ac:dyDescent="0.25">
      <c r="A98" s="1" t="str">
        <f t="shared" si="4"/>
        <v>10300</v>
      </c>
      <c r="B98" s="1" t="str">
        <f>"48160"</f>
        <v>48160</v>
      </c>
      <c r="C98" s="2">
        <v>4.5024763619990897E-5</v>
      </c>
      <c r="D98" s="2">
        <v>0</v>
      </c>
      <c r="E98" s="2">
        <v>0</v>
      </c>
      <c r="F98" s="2">
        <v>4.0939143962499699E-5</v>
      </c>
    </row>
    <row r="99" spans="1:6" x14ac:dyDescent="0.25">
      <c r="A99" s="1" t="str">
        <f t="shared" si="4"/>
        <v>10300</v>
      </c>
      <c r="B99" s="1" t="str">
        <f>"49267"</f>
        <v>49267</v>
      </c>
      <c r="C99" s="2">
        <v>2.94912201710941E-3</v>
      </c>
      <c r="D99" s="2">
        <v>1.3610071452875099E-3</v>
      </c>
      <c r="E99" s="2">
        <v>0</v>
      </c>
      <c r="F99" s="2">
        <v>2.76339221746873E-3</v>
      </c>
    </row>
    <row r="100" spans="1:6" x14ac:dyDescent="0.25">
      <c r="A100" s="1" t="str">
        <f t="shared" si="4"/>
        <v>10300</v>
      </c>
      <c r="B100" s="1" t="str">
        <f>"49256"</f>
        <v>49256</v>
      </c>
      <c r="C100" s="2">
        <v>3.8496172895092301E-2</v>
      </c>
      <c r="D100" s="2">
        <v>4.5593739367131597E-2</v>
      </c>
      <c r="E100" s="2">
        <v>5.0200803212851398E-2</v>
      </c>
      <c r="F100" s="2">
        <v>3.9281108632018502E-2</v>
      </c>
    </row>
    <row r="101" spans="1:6" x14ac:dyDescent="0.25">
      <c r="A101" s="1" t="str">
        <f t="shared" si="4"/>
        <v>10300</v>
      </c>
      <c r="B101" s="1" t="str">
        <f>"49248"</f>
        <v>49248</v>
      </c>
      <c r="C101" s="2">
        <v>8.9374155785682096E-3</v>
      </c>
      <c r="D101" s="2">
        <v>3.7427696495406599E-3</v>
      </c>
      <c r="E101" s="2">
        <v>6.6934404283801796E-4</v>
      </c>
      <c r="F101" s="2">
        <v>8.37205494033119E-3</v>
      </c>
    </row>
    <row r="102" spans="1:6" x14ac:dyDescent="0.25">
      <c r="A102" s="1" t="str">
        <f t="shared" si="4"/>
        <v>10300</v>
      </c>
      <c r="B102" s="1" t="str">
        <f>"49279"</f>
        <v>49279</v>
      </c>
      <c r="C102" s="2">
        <v>7.7442593426384496E-3</v>
      </c>
      <c r="D102" s="2">
        <v>2.3817625042531401E-3</v>
      </c>
      <c r="E102" s="2">
        <v>6.6934404283801796E-4</v>
      </c>
      <c r="F102" s="2">
        <v>7.2052893373999501E-3</v>
      </c>
    </row>
    <row r="103" spans="1:6" x14ac:dyDescent="0.25">
      <c r="A103" s="1" t="str">
        <f t="shared" si="4"/>
        <v>10300</v>
      </c>
      <c r="B103" s="1" t="str">
        <f>"49276"</f>
        <v>49276</v>
      </c>
      <c r="C103" s="2">
        <v>5.9432687978388096E-3</v>
      </c>
      <c r="D103" s="2">
        <v>6.8050357264375604E-4</v>
      </c>
      <c r="E103" s="2">
        <v>6.6934404283801796E-4</v>
      </c>
      <c r="F103" s="2">
        <v>5.4653757189937098E-3</v>
      </c>
    </row>
    <row r="104" spans="1:6" x14ac:dyDescent="0.25">
      <c r="A104" s="1" t="str">
        <f t="shared" si="4"/>
        <v>10300</v>
      </c>
      <c r="B104" s="1" t="str">
        <f>"49229"</f>
        <v>49229</v>
      </c>
      <c r="C104" s="2">
        <v>2.8027915353444299E-2</v>
      </c>
      <c r="D104" s="2">
        <v>9.5270500170125793E-3</v>
      </c>
      <c r="E104" s="2">
        <v>1.4725568942436399E-2</v>
      </c>
      <c r="F104" s="2">
        <v>2.6508095715718501E-2</v>
      </c>
    </row>
    <row r="105" spans="1:6" x14ac:dyDescent="0.25">
      <c r="A105" s="1" t="str">
        <f t="shared" si="4"/>
        <v>10300</v>
      </c>
      <c r="B105" s="1" t="str">
        <f>"49236"</f>
        <v>49236</v>
      </c>
      <c r="C105" s="2">
        <v>4.08374606033318E-2</v>
      </c>
      <c r="D105" s="2">
        <v>3.84484518543722E-2</v>
      </c>
      <c r="E105" s="2">
        <v>4.0160642570281103E-2</v>
      </c>
      <c r="F105" s="2">
        <v>4.06730395267434E-2</v>
      </c>
    </row>
    <row r="106" spans="1:6" x14ac:dyDescent="0.25">
      <c r="A106" s="1" t="str">
        <f t="shared" si="4"/>
        <v>10300</v>
      </c>
      <c r="B106" s="1" t="str">
        <f>"49233"</f>
        <v>49233</v>
      </c>
      <c r="C106" s="2">
        <v>9.5227375056280896E-3</v>
      </c>
      <c r="D106" s="2">
        <v>1.49710785981626E-2</v>
      </c>
      <c r="E106" s="2">
        <v>7.3627844712181997E-3</v>
      </c>
      <c r="F106" s="2">
        <v>9.7844554070374307E-3</v>
      </c>
    </row>
    <row r="107" spans="1:6" x14ac:dyDescent="0.25">
      <c r="A107" s="1" t="str">
        <f t="shared" si="4"/>
        <v>10300</v>
      </c>
      <c r="B107" s="1" t="str">
        <f>"49287"</f>
        <v>49287</v>
      </c>
      <c r="C107" s="2">
        <v>1.9180549302116101E-2</v>
      </c>
      <c r="D107" s="2">
        <v>9.1867982306907108E-3</v>
      </c>
      <c r="E107" s="2">
        <v>3.3467202141900898E-3</v>
      </c>
      <c r="F107" s="2">
        <v>1.80951016314248E-2</v>
      </c>
    </row>
    <row r="108" spans="1:6" x14ac:dyDescent="0.25">
      <c r="A108" s="1" t="str">
        <f t="shared" si="4"/>
        <v>10300</v>
      </c>
      <c r="B108" s="1" t="str">
        <f>"49228"</f>
        <v>49228</v>
      </c>
      <c r="C108" s="2">
        <v>5.4502476361999001E-2</v>
      </c>
      <c r="D108" s="2">
        <v>7.3494385845525603E-2</v>
      </c>
      <c r="E108" s="2">
        <v>4.4846050870147203E-2</v>
      </c>
      <c r="F108" s="2">
        <v>5.5349722637299599E-2</v>
      </c>
    </row>
    <row r="109" spans="1:6" x14ac:dyDescent="0.25">
      <c r="A109" s="1" t="str">
        <f t="shared" si="4"/>
        <v>10300</v>
      </c>
      <c r="B109" s="1" t="str">
        <f>"49289"</f>
        <v>49289</v>
      </c>
      <c r="C109" s="2">
        <v>2.2512381809995401E-5</v>
      </c>
      <c r="D109" s="2">
        <v>0</v>
      </c>
      <c r="E109" s="2">
        <v>6.6934404283801796E-4</v>
      </c>
      <c r="F109" s="2">
        <v>4.0939143962499699E-5</v>
      </c>
    </row>
    <row r="110" spans="1:6" x14ac:dyDescent="0.25">
      <c r="A110" s="1" t="str">
        <f t="shared" si="4"/>
        <v>10300</v>
      </c>
      <c r="B110" s="1" t="str">
        <f>"49268"</f>
        <v>49268</v>
      </c>
      <c r="C110" s="2">
        <v>1.0918505177847799E-2</v>
      </c>
      <c r="D110" s="2">
        <v>1.0207553589656299E-3</v>
      </c>
      <c r="E110" s="2">
        <v>4.6854082998661296E-3</v>
      </c>
      <c r="F110" s="2">
        <v>1.01324381307186E-2</v>
      </c>
    </row>
    <row r="111" spans="1:6" x14ac:dyDescent="0.25">
      <c r="A111" s="1" t="str">
        <f t="shared" si="4"/>
        <v>10300</v>
      </c>
      <c r="B111" s="1" t="str">
        <f>"48176"</f>
        <v>48176</v>
      </c>
      <c r="C111" s="2">
        <v>2.25123818099954E-4</v>
      </c>
      <c r="D111" s="2">
        <v>0</v>
      </c>
      <c r="E111" s="2">
        <v>0</v>
      </c>
      <c r="F111" s="2">
        <v>2.0469571981249801E-4</v>
      </c>
    </row>
    <row r="112" spans="1:6" x14ac:dyDescent="0.25">
      <c r="A112" s="1" t="str">
        <f t="shared" si="4"/>
        <v>10300</v>
      </c>
      <c r="B112" s="1" t="str">
        <f>"49221"</f>
        <v>49221</v>
      </c>
      <c r="C112" s="2">
        <v>0.38180999549752298</v>
      </c>
      <c r="D112" s="2">
        <v>0.49676760802994202</v>
      </c>
      <c r="E112" s="2">
        <v>0.55087014725568895</v>
      </c>
      <c r="F112" s="2">
        <v>0.39389597363519102</v>
      </c>
    </row>
    <row r="113" spans="1:6" x14ac:dyDescent="0.25">
      <c r="A113" s="1" t="str">
        <f t="shared" si="4"/>
        <v>10300</v>
      </c>
      <c r="B113" s="1" t="str">
        <f>"49265"</f>
        <v>49265</v>
      </c>
      <c r="C113" s="2">
        <v>5.4750112561909002E-2</v>
      </c>
      <c r="D113" s="2">
        <v>2.9601905410003401E-2</v>
      </c>
      <c r="E113" s="2">
        <v>2.5435073627844699E-2</v>
      </c>
      <c r="F113" s="2">
        <v>5.2340695556055902E-2</v>
      </c>
    </row>
    <row r="114" spans="1:6" x14ac:dyDescent="0.25">
      <c r="A114" s="1" t="str">
        <f t="shared" si="4"/>
        <v>10300</v>
      </c>
      <c r="B114" s="1" t="str">
        <f>"49247"</f>
        <v>49247</v>
      </c>
      <c r="C114" s="2">
        <v>4.6488068437640702E-2</v>
      </c>
      <c r="D114" s="2">
        <v>5.8183055461041099E-2</v>
      </c>
      <c r="E114" s="2">
        <v>4.8192771084337303E-2</v>
      </c>
      <c r="F114" s="2">
        <v>4.7243772132724703E-2</v>
      </c>
    </row>
    <row r="115" spans="1:6" x14ac:dyDescent="0.25">
      <c r="A115" s="1" t="str">
        <f t="shared" si="4"/>
        <v>10300</v>
      </c>
      <c r="B115" s="1" t="str">
        <f>"49286"</f>
        <v>49286</v>
      </c>
      <c r="C115" s="2">
        <v>0.15279153534443901</v>
      </c>
      <c r="D115" s="2">
        <v>0.156515821708063</v>
      </c>
      <c r="E115" s="2">
        <v>0.17269076305220801</v>
      </c>
      <c r="F115" s="2">
        <v>0.15362413771927999</v>
      </c>
    </row>
    <row r="116" spans="1:6" x14ac:dyDescent="0.25">
      <c r="A116" s="1" t="str">
        <f t="shared" si="4"/>
        <v>10300</v>
      </c>
      <c r="B116" s="1" t="str">
        <f>"49253"</f>
        <v>49253</v>
      </c>
      <c r="C116" s="2">
        <v>4.9257091400270098E-2</v>
      </c>
      <c r="D116" s="2">
        <v>1.7012589316093899E-2</v>
      </c>
      <c r="E116" s="2">
        <v>1.20481927710843E-2</v>
      </c>
      <c r="F116" s="2">
        <v>4.6179354389699702E-2</v>
      </c>
    </row>
    <row r="117" spans="1:6" x14ac:dyDescent="0.25">
      <c r="A117" s="1" t="str">
        <f t="shared" si="4"/>
        <v>10300</v>
      </c>
      <c r="B117" s="1" t="str">
        <f>"49288"</f>
        <v>49288</v>
      </c>
      <c r="C117" s="2">
        <v>6.0783430886987805E-4</v>
      </c>
      <c r="D117" s="2">
        <v>0</v>
      </c>
      <c r="E117" s="2">
        <v>0</v>
      </c>
      <c r="F117" s="2">
        <v>5.5267844349374598E-4</v>
      </c>
    </row>
    <row r="118" spans="1:6" x14ac:dyDescent="0.25">
      <c r="A118" s="1" t="str">
        <f t="shared" si="4"/>
        <v>10300</v>
      </c>
      <c r="B118" s="1" t="str">
        <f>"49220"</f>
        <v>49220</v>
      </c>
      <c r="C118" s="2">
        <v>2.28275551553354E-2</v>
      </c>
      <c r="D118" s="2">
        <v>1.3950323239197E-2</v>
      </c>
      <c r="E118" s="2">
        <v>1.2717536813922301E-2</v>
      </c>
      <c r="F118" s="2">
        <v>2.19843203078623E-2</v>
      </c>
    </row>
    <row r="119" spans="1:6" x14ac:dyDescent="0.25">
      <c r="A119" s="1" t="str">
        <f t="shared" si="4"/>
        <v>10300</v>
      </c>
      <c r="B119" s="1" t="str">
        <f>"49238"</f>
        <v>49238</v>
      </c>
      <c r="C119" s="2">
        <v>1.3417379558757299E-2</v>
      </c>
      <c r="D119" s="2">
        <v>7.8257910854031901E-3</v>
      </c>
      <c r="E119" s="2">
        <v>5.3547523427041402E-3</v>
      </c>
      <c r="F119" s="2">
        <v>1.28344216322436E-2</v>
      </c>
    </row>
    <row r="120" spans="1:6" x14ac:dyDescent="0.25">
      <c r="A120" s="1" t="str">
        <f t="shared" ref="A120:A134" si="5">"10380"</f>
        <v>10380</v>
      </c>
      <c r="B120" s="1" t="str">
        <f>"00610"</f>
        <v>00610</v>
      </c>
      <c r="C120" s="2">
        <v>8.4855710228268794E-2</v>
      </c>
      <c r="D120" s="2">
        <v>7.4616922051965295E-2</v>
      </c>
      <c r="E120" s="2">
        <v>4.97382198952879E-2</v>
      </c>
      <c r="F120" s="2">
        <v>8.3795660755915394E-2</v>
      </c>
    </row>
    <row r="121" spans="1:6" x14ac:dyDescent="0.25">
      <c r="A121" s="1" t="str">
        <f t="shared" si="5"/>
        <v>10380</v>
      </c>
      <c r="B121" s="1" t="str">
        <f>"00662"</f>
        <v>00662</v>
      </c>
      <c r="C121" s="2">
        <v>0.16437287422420099</v>
      </c>
      <c r="D121" s="2">
        <v>0.18161225849433699</v>
      </c>
      <c r="E121" s="2">
        <v>0.149214659685863</v>
      </c>
      <c r="F121" s="2">
        <v>0.165235685449479</v>
      </c>
    </row>
    <row r="122" spans="1:6" x14ac:dyDescent="0.25">
      <c r="A122" s="1" t="str">
        <f t="shared" si="5"/>
        <v>10380</v>
      </c>
      <c r="B122" s="1" t="str">
        <f>"00603"</f>
        <v>00603</v>
      </c>
      <c r="C122" s="2">
        <v>0.156746379606578</v>
      </c>
      <c r="D122" s="2">
        <v>0.14390406395736099</v>
      </c>
      <c r="E122" s="2">
        <v>0.367801047120418</v>
      </c>
      <c r="F122" s="2">
        <v>0.15858304429407999</v>
      </c>
    </row>
    <row r="123" spans="1:6" x14ac:dyDescent="0.25">
      <c r="A123" s="1" t="str">
        <f t="shared" si="5"/>
        <v>10380</v>
      </c>
      <c r="B123" s="1" t="str">
        <f>"00604"</f>
        <v>00604</v>
      </c>
      <c r="C123" s="2">
        <v>6.1800904660051104E-3</v>
      </c>
      <c r="D123" s="2">
        <v>1.7321785476349098E-2</v>
      </c>
      <c r="E123" s="2">
        <v>1.3089005235602E-3</v>
      </c>
      <c r="F123" s="2">
        <v>6.7988530489241196E-3</v>
      </c>
    </row>
    <row r="124" spans="1:6" x14ac:dyDescent="0.25">
      <c r="A124" s="1" t="str">
        <f t="shared" si="5"/>
        <v>10380</v>
      </c>
      <c r="B124" s="1" t="str">
        <f>"00669"</f>
        <v>00669</v>
      </c>
      <c r="C124" s="2">
        <v>6.7104386549317899E-2</v>
      </c>
      <c r="D124" s="2">
        <v>5.52964690206528E-2</v>
      </c>
      <c r="E124" s="2">
        <v>4.3193717277486901E-2</v>
      </c>
      <c r="F124" s="2">
        <v>6.6087775873412899E-2</v>
      </c>
    </row>
    <row r="125" spans="1:6" x14ac:dyDescent="0.25">
      <c r="A125" s="1" t="str">
        <f t="shared" si="5"/>
        <v>10380</v>
      </c>
      <c r="B125" s="1" t="str">
        <f>"00605"</f>
        <v>00605</v>
      </c>
      <c r="C125" s="2">
        <v>3.3302359830288501E-2</v>
      </c>
      <c r="D125" s="2">
        <v>4.5436375749500303E-2</v>
      </c>
      <c r="E125" s="2">
        <v>1.9633507853403101E-3</v>
      </c>
      <c r="F125" s="2">
        <v>3.3653104159728303E-2</v>
      </c>
    </row>
    <row r="126" spans="1:6" x14ac:dyDescent="0.25">
      <c r="A126" s="1" t="str">
        <f t="shared" si="5"/>
        <v>10380</v>
      </c>
      <c r="B126" s="1" t="str">
        <f>"00631"</f>
        <v>00631</v>
      </c>
      <c r="C126" s="2">
        <v>0</v>
      </c>
      <c r="D126" s="2">
        <v>0</v>
      </c>
      <c r="E126" s="2">
        <v>1.3089005235602E-3</v>
      </c>
      <c r="F126" s="2">
        <v>1.6245765947249902E-5</v>
      </c>
    </row>
    <row r="127" spans="1:6" x14ac:dyDescent="0.25">
      <c r="A127" s="1" t="str">
        <f t="shared" si="5"/>
        <v>10380</v>
      </c>
      <c r="B127" s="1" t="str">
        <f>"00602"</f>
        <v>00602</v>
      </c>
      <c r="C127" s="2">
        <v>9.9644096917844205E-2</v>
      </c>
      <c r="D127" s="2">
        <v>0.11032644903397699</v>
      </c>
      <c r="E127" s="2">
        <v>0.117146596858638</v>
      </c>
      <c r="F127" s="2">
        <v>0.100512553915635</v>
      </c>
    </row>
    <row r="128" spans="1:6" x14ac:dyDescent="0.25">
      <c r="A128" s="1" t="str">
        <f t="shared" si="5"/>
        <v>10380</v>
      </c>
      <c r="B128" s="1" t="str">
        <f>"00677"</f>
        <v>00677</v>
      </c>
      <c r="C128" s="2">
        <v>5.7146113117570702E-2</v>
      </c>
      <c r="D128" s="2">
        <v>6.0892738174550202E-2</v>
      </c>
      <c r="E128" s="2">
        <v>8.3769633507853394E-2</v>
      </c>
      <c r="F128" s="2">
        <v>5.7704960644631903E-2</v>
      </c>
    </row>
    <row r="129" spans="1:6" x14ac:dyDescent="0.25">
      <c r="A129" s="1" t="str">
        <f t="shared" si="5"/>
        <v>10380</v>
      </c>
      <c r="B129" s="1" t="str">
        <f>"00612"</f>
        <v>00612</v>
      </c>
      <c r="C129" s="2">
        <v>1.9285388688242901E-4</v>
      </c>
      <c r="D129" s="2">
        <v>1.3324450366422301E-4</v>
      </c>
      <c r="E129" s="2">
        <v>1.3089005235602E-3</v>
      </c>
      <c r="F129" s="2">
        <v>2.0307207434062401E-4</v>
      </c>
    </row>
    <row r="130" spans="1:6" x14ac:dyDescent="0.25">
      <c r="A130" s="1" t="str">
        <f t="shared" si="5"/>
        <v>10380</v>
      </c>
      <c r="B130" s="1" t="str">
        <f>"00690"</f>
        <v>00690</v>
      </c>
      <c r="C130" s="2">
        <v>2.5956379957221502E-2</v>
      </c>
      <c r="D130" s="2">
        <v>1.9853431045969299E-2</v>
      </c>
      <c r="E130" s="2">
        <v>6.5445026178010401E-3</v>
      </c>
      <c r="F130" s="2">
        <v>2.53433948777099E-2</v>
      </c>
    </row>
    <row r="131" spans="1:6" x14ac:dyDescent="0.25">
      <c r="A131" s="1" t="str">
        <f t="shared" si="5"/>
        <v>10380</v>
      </c>
      <c r="B131" s="1" t="str">
        <f>"00611"</f>
        <v>00611</v>
      </c>
      <c r="C131" s="2">
        <v>5.5927627195904396E-3</v>
      </c>
      <c r="D131" s="2">
        <v>2.93137908061292E-3</v>
      </c>
      <c r="E131" s="2">
        <v>1.3089005235602E-3</v>
      </c>
      <c r="F131" s="2">
        <v>5.3773485285397403E-3</v>
      </c>
    </row>
    <row r="132" spans="1:6" x14ac:dyDescent="0.25">
      <c r="A132" s="1" t="str">
        <f t="shared" si="5"/>
        <v>10380</v>
      </c>
      <c r="B132" s="1" t="str">
        <f>"00685"</f>
        <v>00685</v>
      </c>
      <c r="C132" s="2">
        <v>0.13472597215891099</v>
      </c>
      <c r="D132" s="2">
        <v>0.134310459693537</v>
      </c>
      <c r="E132" s="2">
        <v>6.8717277486910894E-2</v>
      </c>
      <c r="F132" s="2">
        <v>0.13388135717128699</v>
      </c>
    </row>
    <row r="133" spans="1:6" x14ac:dyDescent="0.25">
      <c r="A133" s="1" t="str">
        <f t="shared" si="5"/>
        <v>10380</v>
      </c>
      <c r="B133" s="1" t="str">
        <f>"00641"</f>
        <v>00641</v>
      </c>
      <c r="C133" s="2">
        <v>8.2392440127634206E-2</v>
      </c>
      <c r="D133" s="2">
        <v>8.7408394403730799E-2</v>
      </c>
      <c r="E133" s="2">
        <v>7.3952879581151806E-2</v>
      </c>
      <c r="F133" s="2">
        <v>8.2593474075818907E-2</v>
      </c>
    </row>
    <row r="134" spans="1:6" x14ac:dyDescent="0.25">
      <c r="A134" s="1" t="str">
        <f t="shared" si="5"/>
        <v>10380</v>
      </c>
      <c r="B134" s="1" t="str">
        <f>"00676"</f>
        <v>00676</v>
      </c>
      <c r="C134" s="2">
        <v>8.1787580209684699E-2</v>
      </c>
      <c r="D134" s="2">
        <v>6.5956029313790798E-2</v>
      </c>
      <c r="E134" s="2">
        <v>3.2722513089005201E-2</v>
      </c>
      <c r="F134" s="2">
        <v>8.0213469364546805E-2</v>
      </c>
    </row>
    <row r="135" spans="1:6" x14ac:dyDescent="0.25">
      <c r="A135" s="1" t="str">
        <f t="shared" ref="A135:A166" si="6">"10420"</f>
        <v>10420</v>
      </c>
      <c r="B135" s="1" t="str">
        <f>"44236"</f>
        <v>44236</v>
      </c>
      <c r="C135" s="2">
        <v>3.16746647198307E-2</v>
      </c>
      <c r="D135" s="2">
        <v>5.6075409384890598E-2</v>
      </c>
      <c r="E135" s="2">
        <v>2.75776397515527E-2</v>
      </c>
      <c r="F135" s="2">
        <v>3.3419730230097797E-2</v>
      </c>
    </row>
    <row r="136" spans="1:6" x14ac:dyDescent="0.25">
      <c r="A136" s="1" t="str">
        <f t="shared" si="6"/>
        <v>10420</v>
      </c>
      <c r="B136" s="1" t="str">
        <f>"44234"</f>
        <v>44234</v>
      </c>
      <c r="C136" s="2">
        <v>2.7154800167380399E-3</v>
      </c>
      <c r="D136" s="2">
        <v>2.7521673317737699E-4</v>
      </c>
      <c r="E136" s="2">
        <v>2.0703933747412001E-3</v>
      </c>
      <c r="F136" s="2">
        <v>2.50727320814599E-3</v>
      </c>
    </row>
    <row r="137" spans="1:6" x14ac:dyDescent="0.25">
      <c r="A137" s="1" t="str">
        <f t="shared" si="6"/>
        <v>10420</v>
      </c>
      <c r="B137" s="1" t="str">
        <f>"44315"</f>
        <v>44315</v>
      </c>
      <c r="C137" s="2">
        <v>0</v>
      </c>
      <c r="D137" s="2">
        <v>3.4402091647172097E-5</v>
      </c>
      <c r="E137" s="2">
        <v>0</v>
      </c>
      <c r="F137" s="2">
        <v>2.6448029621793101E-6</v>
      </c>
    </row>
    <row r="138" spans="1:6" x14ac:dyDescent="0.25">
      <c r="A138" s="1" t="str">
        <f t="shared" si="6"/>
        <v>10420</v>
      </c>
      <c r="B138" s="1" t="str">
        <f>"44614"</f>
        <v>44614</v>
      </c>
      <c r="C138" s="2">
        <v>2.2554806696403301E-4</v>
      </c>
      <c r="D138" s="2">
        <v>1.7201045823586001E-4</v>
      </c>
      <c r="E138" s="2">
        <v>0</v>
      </c>
      <c r="F138" s="2">
        <v>2.14229039936524E-4</v>
      </c>
    </row>
    <row r="139" spans="1:6" x14ac:dyDescent="0.25">
      <c r="A139" s="1" t="str">
        <f t="shared" si="6"/>
        <v>10420</v>
      </c>
      <c r="B139" s="1" t="str">
        <f>"44334"</f>
        <v>44334</v>
      </c>
      <c r="C139" s="2">
        <v>2.27625483370281E-3</v>
      </c>
      <c r="D139" s="2">
        <v>1.17311132516857E-2</v>
      </c>
      <c r="E139" s="2">
        <v>1.65631469979296E-4</v>
      </c>
      <c r="F139" s="2">
        <v>2.9357312880190401E-3</v>
      </c>
    </row>
    <row r="140" spans="1:6" x14ac:dyDescent="0.25">
      <c r="A140" s="1" t="str">
        <f t="shared" si="6"/>
        <v>10420</v>
      </c>
      <c r="B140" s="1" t="str">
        <f>"44449"</f>
        <v>44449</v>
      </c>
      <c r="C140" s="2">
        <v>9.3483738281145603E-4</v>
      </c>
      <c r="D140" s="2">
        <v>1.7201045823586001E-4</v>
      </c>
      <c r="E140" s="2">
        <v>0</v>
      </c>
      <c r="F140" s="2">
        <v>8.4633694789738097E-4</v>
      </c>
    </row>
    <row r="141" spans="1:6" x14ac:dyDescent="0.25">
      <c r="A141" s="1" t="str">
        <f t="shared" si="6"/>
        <v>10420</v>
      </c>
      <c r="B141" s="1" t="str">
        <f>"44309"</f>
        <v>44309</v>
      </c>
      <c r="C141" s="2">
        <v>5.0837347198603904E-3</v>
      </c>
      <c r="D141" s="2">
        <v>1.3416815742397101E-2</v>
      </c>
      <c r="E141" s="2">
        <v>1.65631469979296E-4</v>
      </c>
      <c r="F141" s="2">
        <v>5.5673102353874602E-3</v>
      </c>
    </row>
    <row r="142" spans="1:6" x14ac:dyDescent="0.25">
      <c r="A142" s="1" t="str">
        <f t="shared" si="6"/>
        <v>10420</v>
      </c>
      <c r="B142" s="1" t="str">
        <f>"44632"</f>
        <v>44632</v>
      </c>
      <c r="C142" s="2">
        <v>7.0632157812421104E-4</v>
      </c>
      <c r="D142" s="2">
        <v>3.78423008118893E-4</v>
      </c>
      <c r="E142" s="2">
        <v>0</v>
      </c>
      <c r="F142" s="2">
        <v>6.5855593758264999E-4</v>
      </c>
    </row>
    <row r="143" spans="1:6" x14ac:dyDescent="0.25">
      <c r="A143" s="1" t="str">
        <f t="shared" si="6"/>
        <v>10420</v>
      </c>
      <c r="B143" s="1" t="str">
        <f>"44316"</f>
        <v>44316</v>
      </c>
      <c r="C143" s="2">
        <v>0</v>
      </c>
      <c r="D143" s="2">
        <v>1.0320627494151599E-4</v>
      </c>
      <c r="E143" s="2">
        <v>8.2815734989648E-5</v>
      </c>
      <c r="F143" s="2">
        <v>1.05792118487172E-5</v>
      </c>
    </row>
    <row r="144" spans="1:6" x14ac:dyDescent="0.25">
      <c r="A144" s="1" t="str">
        <f t="shared" si="6"/>
        <v>10420</v>
      </c>
      <c r="B144" s="1" t="str">
        <f>"44210"</f>
        <v>44210</v>
      </c>
      <c r="C144" s="2">
        <v>2.3059322109349198E-3</v>
      </c>
      <c r="D144" s="2">
        <v>8.6349250034401994E-3</v>
      </c>
      <c r="E144" s="2">
        <v>1.65631469979296E-4</v>
      </c>
      <c r="F144" s="2">
        <v>2.7241470510446899E-3</v>
      </c>
    </row>
    <row r="145" spans="1:6" x14ac:dyDescent="0.25">
      <c r="A145" s="1" t="str">
        <f t="shared" si="6"/>
        <v>10420</v>
      </c>
      <c r="B145" s="1" t="str">
        <f>"44313"</f>
        <v>44313</v>
      </c>
      <c r="C145" s="2">
        <v>3.9910136901741097E-2</v>
      </c>
      <c r="D145" s="2">
        <v>2.6145589651850799E-2</v>
      </c>
      <c r="E145" s="2">
        <v>0.12695652173913</v>
      </c>
      <c r="F145" s="2">
        <v>4.16318434276646E-2</v>
      </c>
    </row>
    <row r="146" spans="1:6" x14ac:dyDescent="0.25">
      <c r="A146" s="1" t="str">
        <f t="shared" si="6"/>
        <v>10420</v>
      </c>
      <c r="B146" s="1" t="str">
        <f>"44255"</f>
        <v>44255</v>
      </c>
      <c r="C146" s="2">
        <v>1.02713402600331E-2</v>
      </c>
      <c r="D146" s="2">
        <v>4.5410760974267201E-3</v>
      </c>
      <c r="E146" s="2">
        <v>6.5424430641821902E-3</v>
      </c>
      <c r="F146" s="2">
        <v>9.7117164771224496E-3</v>
      </c>
    </row>
    <row r="147" spans="1:6" x14ac:dyDescent="0.25">
      <c r="A147" s="1" t="str">
        <f t="shared" si="6"/>
        <v>10420</v>
      </c>
      <c r="B147" s="1" t="str">
        <f>"44685"</f>
        <v>44685</v>
      </c>
      <c r="C147" s="2">
        <v>1.9664230153995901E-2</v>
      </c>
      <c r="D147" s="2">
        <v>1.46208889500481E-2</v>
      </c>
      <c r="E147" s="2">
        <v>2.0041407867494799E-2</v>
      </c>
      <c r="F147" s="2">
        <v>1.92885480031737E-2</v>
      </c>
    </row>
    <row r="148" spans="1:6" x14ac:dyDescent="0.25">
      <c r="A148" s="1" t="str">
        <f t="shared" si="6"/>
        <v>10420</v>
      </c>
      <c r="B148" s="1" t="str">
        <f>"44311"</f>
        <v>44311</v>
      </c>
      <c r="C148" s="2">
        <v>1.0639339737711299E-2</v>
      </c>
      <c r="D148" s="2">
        <v>2.40126599697261E-2</v>
      </c>
      <c r="E148" s="2">
        <v>2.8240165631469898E-2</v>
      </c>
      <c r="F148" s="2">
        <v>1.2229568897117101E-2</v>
      </c>
    </row>
    <row r="149" spans="1:6" x14ac:dyDescent="0.25">
      <c r="A149" s="1" t="str">
        <f t="shared" si="6"/>
        <v>10420</v>
      </c>
      <c r="B149" s="1" t="str">
        <f>"44312"</f>
        <v>44312</v>
      </c>
      <c r="C149" s="2">
        <v>4.6029612087002097E-2</v>
      </c>
      <c r="D149" s="2">
        <v>3.9906426310719598E-2</v>
      </c>
      <c r="E149" s="2">
        <v>2.4430641821946101E-2</v>
      </c>
      <c r="F149" s="2">
        <v>4.4869082253372099E-2</v>
      </c>
    </row>
    <row r="150" spans="1:6" x14ac:dyDescent="0.25">
      <c r="A150" s="1" t="str">
        <f t="shared" si="6"/>
        <v>10420</v>
      </c>
      <c r="B150" s="1" t="str">
        <f>"44320"</f>
        <v>44320</v>
      </c>
      <c r="C150" s="2">
        <v>2.9923699463136201E-2</v>
      </c>
      <c r="D150" s="2">
        <v>2.21205449291316E-2</v>
      </c>
      <c r="E150" s="2">
        <v>1.9958592132505101E-2</v>
      </c>
      <c r="F150" s="2">
        <v>2.9005554086220499E-2</v>
      </c>
    </row>
    <row r="151" spans="1:6" x14ac:dyDescent="0.25">
      <c r="A151" s="1" t="str">
        <f t="shared" si="6"/>
        <v>10420</v>
      </c>
      <c r="B151" s="1" t="str">
        <f>"44240"</f>
        <v>44240</v>
      </c>
      <c r="C151" s="2">
        <v>5.9046109741005499E-2</v>
      </c>
      <c r="D151" s="2">
        <v>5.3220035778175301E-2</v>
      </c>
      <c r="E151" s="2">
        <v>7.7018633540372597E-2</v>
      </c>
      <c r="F151" s="2">
        <v>5.9172176672837799E-2</v>
      </c>
    </row>
    <row r="152" spans="1:6" x14ac:dyDescent="0.25">
      <c r="A152" s="1" t="str">
        <f t="shared" si="6"/>
        <v>10420</v>
      </c>
      <c r="B152" s="1" t="str">
        <f>"44056"</f>
        <v>44056</v>
      </c>
      <c r="C152" s="2">
        <v>1.6019848229892799E-2</v>
      </c>
      <c r="D152" s="2">
        <v>1.9574790147240902E-2</v>
      </c>
      <c r="E152" s="2">
        <v>7.0393374741200797E-3</v>
      </c>
      <c r="F152" s="2">
        <v>1.6006347527109201E-2</v>
      </c>
    </row>
    <row r="153" spans="1:6" x14ac:dyDescent="0.25">
      <c r="A153" s="1" t="str">
        <f t="shared" si="6"/>
        <v>10420</v>
      </c>
      <c r="B153" s="1" t="str">
        <f>"44242"</f>
        <v>44242</v>
      </c>
      <c r="C153" s="2">
        <v>0</v>
      </c>
      <c r="D153" s="2">
        <v>0</v>
      </c>
      <c r="E153" s="2">
        <v>8.2815734989648E-5</v>
      </c>
      <c r="F153" s="2">
        <v>2.6448029621793101E-6</v>
      </c>
    </row>
    <row r="154" spans="1:6" x14ac:dyDescent="0.25">
      <c r="A154" s="1" t="str">
        <f t="shared" si="6"/>
        <v>10420</v>
      </c>
      <c r="B154" s="1" t="str">
        <f>"44211"</f>
        <v>44211</v>
      </c>
      <c r="C154" s="2">
        <v>0</v>
      </c>
      <c r="D154" s="2">
        <v>0</v>
      </c>
      <c r="E154" s="2">
        <v>8.2815734989648E-5</v>
      </c>
      <c r="F154" s="2">
        <v>2.6448029621793101E-6</v>
      </c>
    </row>
    <row r="155" spans="1:6" x14ac:dyDescent="0.25">
      <c r="A155" s="1" t="str">
        <f t="shared" si="6"/>
        <v>10420</v>
      </c>
      <c r="B155" s="1" t="str">
        <f>"44317"</f>
        <v>44317</v>
      </c>
      <c r="C155" s="2">
        <v>0</v>
      </c>
      <c r="D155" s="2">
        <v>6.8804183294344194E-5</v>
      </c>
      <c r="E155" s="2">
        <v>0</v>
      </c>
      <c r="F155" s="2">
        <v>5.2896059243586304E-6</v>
      </c>
    </row>
    <row r="156" spans="1:6" x14ac:dyDescent="0.25">
      <c r="A156" s="1" t="str">
        <f t="shared" si="6"/>
        <v>10420</v>
      </c>
      <c r="B156" s="1" t="str">
        <f>"44645"</f>
        <v>44645</v>
      </c>
      <c r="C156" s="2">
        <v>2.9677377232109699E-5</v>
      </c>
      <c r="D156" s="2">
        <v>0</v>
      </c>
      <c r="E156" s="2">
        <v>0</v>
      </c>
      <c r="F156" s="2">
        <v>2.6448029621793101E-5</v>
      </c>
    </row>
    <row r="157" spans="1:6" x14ac:dyDescent="0.25">
      <c r="A157" s="1" t="str">
        <f t="shared" si="6"/>
        <v>10420</v>
      </c>
      <c r="B157" s="1" t="str">
        <f>"44470"</f>
        <v>44470</v>
      </c>
      <c r="C157" s="2">
        <v>2.0774164062476801E-5</v>
      </c>
      <c r="D157" s="2">
        <v>0</v>
      </c>
      <c r="E157" s="2">
        <v>0</v>
      </c>
      <c r="F157" s="2">
        <v>1.85136207352552E-5</v>
      </c>
    </row>
    <row r="158" spans="1:6" x14ac:dyDescent="0.25">
      <c r="A158" s="1" t="str">
        <f t="shared" si="6"/>
        <v>10420</v>
      </c>
      <c r="B158" s="1" t="str">
        <f>"44232"</f>
        <v>44232</v>
      </c>
      <c r="C158" s="2">
        <v>1.12180485937374E-3</v>
      </c>
      <c r="D158" s="2">
        <v>5.8827576716664297E-3</v>
      </c>
      <c r="E158" s="2">
        <v>1.65631469979296E-4</v>
      </c>
      <c r="F158" s="2">
        <v>1.4572864321607999E-3</v>
      </c>
    </row>
    <row r="159" spans="1:6" x14ac:dyDescent="0.25">
      <c r="A159" s="1" t="str">
        <f t="shared" si="6"/>
        <v>10420</v>
      </c>
      <c r="B159" s="1" t="str">
        <f>"44222"</f>
        <v>44222</v>
      </c>
      <c r="C159" s="2">
        <v>1.5343204029000699E-3</v>
      </c>
      <c r="D159" s="2">
        <v>4.7474886473097503E-3</v>
      </c>
      <c r="E159" s="2">
        <v>1.65631469979296E-4</v>
      </c>
      <c r="F159" s="2">
        <v>1.7376355461518099E-3</v>
      </c>
    </row>
    <row r="160" spans="1:6" x14ac:dyDescent="0.25">
      <c r="A160" s="1" t="str">
        <f t="shared" si="6"/>
        <v>10420</v>
      </c>
      <c r="B160" s="1" t="str">
        <f>"44201"</f>
        <v>44201</v>
      </c>
      <c r="C160" s="2">
        <v>7.9119887700804508E-3</v>
      </c>
      <c r="D160" s="2">
        <v>8.9445438282647499E-4</v>
      </c>
      <c r="E160" s="2">
        <v>7.45341614906832E-4</v>
      </c>
      <c r="F160" s="2">
        <v>7.1436128008463299E-3</v>
      </c>
    </row>
    <row r="161" spans="1:6" x14ac:dyDescent="0.25">
      <c r="A161" s="1" t="str">
        <f t="shared" si="6"/>
        <v>10420</v>
      </c>
      <c r="B161" s="1" t="str">
        <f>"44203"</f>
        <v>44203</v>
      </c>
      <c r="C161" s="2">
        <v>5.4152310235430601E-2</v>
      </c>
      <c r="D161" s="2">
        <v>4.3174625017200999E-2</v>
      </c>
      <c r="E161" s="2">
        <v>4.57142857142857E-2</v>
      </c>
      <c r="F161" s="2">
        <v>5.3038878603543997E-2</v>
      </c>
    </row>
    <row r="162" spans="1:6" x14ac:dyDescent="0.25">
      <c r="A162" s="1" t="str">
        <f t="shared" si="6"/>
        <v>10420</v>
      </c>
      <c r="B162" s="1" t="str">
        <f>"44301"</f>
        <v>44301</v>
      </c>
      <c r="C162" s="2">
        <v>2.0486293503325301E-2</v>
      </c>
      <c r="D162" s="2">
        <v>1.4036053392046201E-2</v>
      </c>
      <c r="E162" s="2">
        <v>1.2422360248447201E-2</v>
      </c>
      <c r="F162" s="2">
        <v>1.9732874900819802E-2</v>
      </c>
    </row>
    <row r="163" spans="1:6" x14ac:dyDescent="0.25">
      <c r="A163" s="1" t="str">
        <f t="shared" si="6"/>
        <v>10420</v>
      </c>
      <c r="B163" s="1" t="str">
        <f>"44303"</f>
        <v>44303</v>
      </c>
      <c r="C163" s="2">
        <v>1.1903596007799199E-2</v>
      </c>
      <c r="D163" s="2">
        <v>9.6669877528553702E-3</v>
      </c>
      <c r="E163" s="2">
        <v>2.55900621118012E-2</v>
      </c>
      <c r="F163" s="2">
        <v>1.2168738428987001E-2</v>
      </c>
    </row>
    <row r="164" spans="1:6" x14ac:dyDescent="0.25">
      <c r="A164" s="1" t="str">
        <f t="shared" si="6"/>
        <v>10420</v>
      </c>
      <c r="B164" s="1" t="str">
        <f>"44286"</f>
        <v>44286</v>
      </c>
      <c r="C164" s="2">
        <v>8.9477292354810806E-3</v>
      </c>
      <c r="D164" s="2">
        <v>1.57217558827576E-2</v>
      </c>
      <c r="E164" s="2">
        <v>9.1925465838509305E-3</v>
      </c>
      <c r="F164" s="2">
        <v>9.4763290134884902E-3</v>
      </c>
    </row>
    <row r="165" spans="1:6" x14ac:dyDescent="0.25">
      <c r="A165" s="1" t="str">
        <f t="shared" si="6"/>
        <v>10420</v>
      </c>
      <c r="B165" s="1" t="str">
        <f>"44444"</f>
        <v>44444</v>
      </c>
      <c r="C165" s="2">
        <v>1.1069661707576899E-3</v>
      </c>
      <c r="D165" s="2">
        <v>0</v>
      </c>
      <c r="E165" s="2">
        <v>1.65631469979296E-4</v>
      </c>
      <c r="F165" s="2">
        <v>9.9180111081724411E-4</v>
      </c>
    </row>
    <row r="166" spans="1:6" x14ac:dyDescent="0.25">
      <c r="A166" s="1" t="str">
        <f t="shared" si="6"/>
        <v>10420</v>
      </c>
      <c r="B166" s="1" t="str">
        <f>"44328"</f>
        <v>44328</v>
      </c>
      <c r="C166" s="2">
        <v>0</v>
      </c>
      <c r="D166" s="2">
        <v>3.4402091647172097E-5</v>
      </c>
      <c r="E166" s="2">
        <v>0</v>
      </c>
      <c r="F166" s="2">
        <v>2.6448029621793101E-6</v>
      </c>
    </row>
    <row r="167" spans="1:6" x14ac:dyDescent="0.25">
      <c r="A167" s="1" t="str">
        <f t="shared" ref="A167:A198" si="7">"10420"</f>
        <v>10420</v>
      </c>
      <c r="B167" s="1" t="str">
        <f>"44491"</f>
        <v>44491</v>
      </c>
      <c r="C167" s="2">
        <v>5.9354754464219399E-5</v>
      </c>
      <c r="D167" s="2">
        <v>3.4402091647172097E-5</v>
      </c>
      <c r="E167" s="2">
        <v>0</v>
      </c>
      <c r="F167" s="2">
        <v>5.5540862205765599E-5</v>
      </c>
    </row>
    <row r="168" spans="1:6" x14ac:dyDescent="0.25">
      <c r="A168" s="1" t="str">
        <f t="shared" si="7"/>
        <v>10420</v>
      </c>
      <c r="B168" s="1" t="str">
        <f>"44141"</f>
        <v>44141</v>
      </c>
      <c r="C168" s="2">
        <v>5.3716052790118605E-4</v>
      </c>
      <c r="D168" s="2">
        <v>1.0320627494151599E-4</v>
      </c>
      <c r="E168" s="2">
        <v>0</v>
      </c>
      <c r="F168" s="2">
        <v>4.86643745040994E-4</v>
      </c>
    </row>
    <row r="169" spans="1:6" x14ac:dyDescent="0.25">
      <c r="A169" s="1" t="str">
        <f t="shared" si="7"/>
        <v>10420</v>
      </c>
      <c r="B169" s="1" t="str">
        <f>"44256"</f>
        <v>44256</v>
      </c>
      <c r="C169" s="2">
        <v>5.9354754464219399E-5</v>
      </c>
      <c r="D169" s="2">
        <v>0</v>
      </c>
      <c r="E169" s="2">
        <v>0</v>
      </c>
      <c r="F169" s="2">
        <v>5.2896059243586297E-5</v>
      </c>
    </row>
    <row r="170" spans="1:6" x14ac:dyDescent="0.25">
      <c r="A170" s="1" t="str">
        <f t="shared" si="7"/>
        <v>10420</v>
      </c>
      <c r="B170" s="1" t="str">
        <f>"44412"</f>
        <v>44412</v>
      </c>
      <c r="C170" s="2">
        <v>2.6590929999970301E-3</v>
      </c>
      <c r="D170" s="2">
        <v>4.8162928306040998E-4</v>
      </c>
      <c r="E170" s="2">
        <v>1.65631469979296E-4</v>
      </c>
      <c r="F170" s="2">
        <v>2.41206030150753E-3</v>
      </c>
    </row>
    <row r="171" spans="1:6" x14ac:dyDescent="0.25">
      <c r="A171" s="1" t="str">
        <f t="shared" si="7"/>
        <v>10420</v>
      </c>
      <c r="B171" s="1" t="str">
        <f>"44281"</f>
        <v>44281</v>
      </c>
      <c r="C171" s="2">
        <v>2.6412865736577599E-4</v>
      </c>
      <c r="D171" s="2">
        <v>6.8804183294344194E-5</v>
      </c>
      <c r="E171" s="2">
        <v>0</v>
      </c>
      <c r="F171" s="2">
        <v>2.4067706955831699E-4</v>
      </c>
    </row>
    <row r="172" spans="1:6" x14ac:dyDescent="0.25">
      <c r="A172" s="1" t="str">
        <f t="shared" si="7"/>
        <v>10420</v>
      </c>
      <c r="B172" s="1" t="str">
        <f>"44087"</f>
        <v>44087</v>
      </c>
      <c r="C172" s="2">
        <v>2.9472603329208098E-2</v>
      </c>
      <c r="D172" s="2">
        <v>4.7406082289803197E-2</v>
      </c>
      <c r="E172" s="2">
        <v>4.1325051759834301E-2</v>
      </c>
      <c r="F172" s="2">
        <v>3.1229833377413301E-2</v>
      </c>
    </row>
    <row r="173" spans="1:6" x14ac:dyDescent="0.25">
      <c r="A173" s="1" t="str">
        <f t="shared" si="7"/>
        <v>10420</v>
      </c>
      <c r="B173" s="1" t="str">
        <f>"44241"</f>
        <v>44241</v>
      </c>
      <c r="C173" s="2">
        <v>2.5759963437471198E-2</v>
      </c>
      <c r="D173" s="2">
        <v>2.1294894729599501E-2</v>
      </c>
      <c r="E173" s="2">
        <v>1.93788819875776E-2</v>
      </c>
      <c r="F173" s="2">
        <v>2.52129066384554E-2</v>
      </c>
    </row>
    <row r="174" spans="1:6" x14ac:dyDescent="0.25">
      <c r="A174" s="1" t="str">
        <f t="shared" si="7"/>
        <v>10420</v>
      </c>
      <c r="B174" s="1" t="str">
        <f>"44266"</f>
        <v>44266</v>
      </c>
      <c r="C174" s="2">
        <v>4.5934644479859399E-2</v>
      </c>
      <c r="D174" s="2">
        <v>3.3198018439521103E-2</v>
      </c>
      <c r="E174" s="2">
        <v>4.1159420289855003E-2</v>
      </c>
      <c r="F174" s="2">
        <v>4.4802962179317597E-2</v>
      </c>
    </row>
    <row r="175" spans="1:6" x14ac:dyDescent="0.25">
      <c r="A175" s="1" t="str">
        <f t="shared" si="7"/>
        <v>10420</v>
      </c>
      <c r="B175" s="1" t="str">
        <f>"44333"</f>
        <v>44333</v>
      </c>
      <c r="C175" s="2">
        <v>2.3676611555777102E-2</v>
      </c>
      <c r="D175" s="2">
        <v>6.0375670840787099E-2</v>
      </c>
      <c r="E175" s="2">
        <v>3.4865424430641799E-2</v>
      </c>
      <c r="F175" s="2">
        <v>2.6855329277968701E-2</v>
      </c>
    </row>
    <row r="176" spans="1:6" x14ac:dyDescent="0.25">
      <c r="A176" s="1" t="str">
        <f t="shared" si="7"/>
        <v>10420</v>
      </c>
      <c r="B176" s="1" t="str">
        <f>"44260"</f>
        <v>44260</v>
      </c>
      <c r="C176" s="2">
        <v>1.5580623046857599E-2</v>
      </c>
      <c r="D176" s="2">
        <v>8.1188936287326201E-3</v>
      </c>
      <c r="E176" s="2">
        <v>4.8033126293995799E-3</v>
      </c>
      <c r="F176" s="2">
        <v>1.46627876223221E-2</v>
      </c>
    </row>
    <row r="177" spans="1:6" x14ac:dyDescent="0.25">
      <c r="A177" s="1" t="str">
        <f t="shared" si="7"/>
        <v>10420</v>
      </c>
      <c r="B177" s="1" t="str">
        <f>"44302"</f>
        <v>44302</v>
      </c>
      <c r="C177" s="2">
        <v>9.7935344865962108E-3</v>
      </c>
      <c r="D177" s="2">
        <v>8.3597082702628299E-3</v>
      </c>
      <c r="E177" s="2">
        <v>1.93788819875776E-2</v>
      </c>
      <c r="F177" s="2">
        <v>9.9894207881512792E-3</v>
      </c>
    </row>
    <row r="178" spans="1:6" x14ac:dyDescent="0.25">
      <c r="A178" s="1" t="str">
        <f t="shared" si="7"/>
        <v>10420</v>
      </c>
      <c r="B178" s="1" t="str">
        <f>"44224"</f>
        <v>44224</v>
      </c>
      <c r="C178" s="2">
        <v>5.5570888867125398E-2</v>
      </c>
      <c r="D178" s="2">
        <v>4.5101142149442601E-2</v>
      </c>
      <c r="E178" s="2">
        <v>6.4016563146997899E-2</v>
      </c>
      <c r="F178" s="2">
        <v>5.5035704839989402E-2</v>
      </c>
    </row>
    <row r="179" spans="1:6" x14ac:dyDescent="0.25">
      <c r="A179" s="1" t="str">
        <f t="shared" si="7"/>
        <v>10420</v>
      </c>
      <c r="B179" s="1" t="str">
        <f>"44221"</f>
        <v>44221</v>
      </c>
      <c r="C179" s="2">
        <v>4.41836792231649E-2</v>
      </c>
      <c r="D179" s="2">
        <v>3.2509976606577597E-2</v>
      </c>
      <c r="E179" s="2">
        <v>4.9937888198757698E-2</v>
      </c>
      <c r="F179" s="2">
        <v>4.3469981486379199E-2</v>
      </c>
    </row>
    <row r="180" spans="1:6" x14ac:dyDescent="0.25">
      <c r="A180" s="1" t="str">
        <f t="shared" si="7"/>
        <v>10420</v>
      </c>
      <c r="B180" s="1" t="str">
        <f>"44223"</f>
        <v>44223</v>
      </c>
      <c r="C180" s="2">
        <v>2.7003445543496599E-2</v>
      </c>
      <c r="D180" s="2">
        <v>2.5732764552084699E-2</v>
      </c>
      <c r="E180" s="2">
        <v>1.81366459627329E-2</v>
      </c>
      <c r="F180" s="2">
        <v>2.6622586617296998E-2</v>
      </c>
    </row>
    <row r="181" spans="1:6" x14ac:dyDescent="0.25">
      <c r="A181" s="1" t="str">
        <f t="shared" si="7"/>
        <v>10420</v>
      </c>
      <c r="B181" s="1" t="str">
        <f>"44067"</f>
        <v>44067</v>
      </c>
      <c r="C181" s="2">
        <v>2.8294411453093402E-2</v>
      </c>
      <c r="D181" s="2">
        <v>2.1914132379248601E-2</v>
      </c>
      <c r="E181" s="2">
        <v>2.7743271221532001E-2</v>
      </c>
      <c r="F181" s="2">
        <v>2.7786299920655899E-2</v>
      </c>
    </row>
    <row r="182" spans="1:6" x14ac:dyDescent="0.25">
      <c r="A182" s="1" t="str">
        <f t="shared" si="7"/>
        <v>10420</v>
      </c>
      <c r="B182" s="1" t="str">
        <f>"44278"</f>
        <v>44278</v>
      </c>
      <c r="C182" s="2">
        <v>2.51604804173826E-2</v>
      </c>
      <c r="D182" s="2">
        <v>2.9551396724920801E-2</v>
      </c>
      <c r="E182" s="2">
        <v>1.4906832298136601E-2</v>
      </c>
      <c r="F182" s="2">
        <v>2.5170589791060499E-2</v>
      </c>
    </row>
    <row r="183" spans="1:6" x14ac:dyDescent="0.25">
      <c r="A183" s="1" t="str">
        <f t="shared" si="7"/>
        <v>10420</v>
      </c>
      <c r="B183" s="1" t="str">
        <f>"44308"</f>
        <v>44308</v>
      </c>
      <c r="C183" s="2">
        <v>1.42748184486447E-3</v>
      </c>
      <c r="D183" s="2">
        <v>3.9906426310719598E-2</v>
      </c>
      <c r="E183" s="2">
        <v>1.1677018633540299E-2</v>
      </c>
      <c r="F183" s="2">
        <v>4.7130388786035399E-3</v>
      </c>
    </row>
    <row r="184" spans="1:6" x14ac:dyDescent="0.25">
      <c r="A184" s="1" t="str">
        <f t="shared" si="7"/>
        <v>10420</v>
      </c>
      <c r="B184" s="1" t="str">
        <f>"44314"</f>
        <v>44314</v>
      </c>
      <c r="C184" s="2">
        <v>2.62288659977385E-2</v>
      </c>
      <c r="D184" s="2">
        <v>1.4758497316636801E-2</v>
      </c>
      <c r="E184" s="2">
        <v>1.7225672877846699E-2</v>
      </c>
      <c r="F184" s="2">
        <v>2.5059508066649E-2</v>
      </c>
    </row>
    <row r="185" spans="1:6" x14ac:dyDescent="0.25">
      <c r="A185" s="1" t="str">
        <f t="shared" si="7"/>
        <v>10420</v>
      </c>
      <c r="B185" s="1" t="str">
        <f>"44264"</f>
        <v>44264</v>
      </c>
      <c r="C185" s="2">
        <v>4.4486388470932397E-3</v>
      </c>
      <c r="D185" s="2">
        <v>4.8506949222512702E-3</v>
      </c>
      <c r="E185" s="2">
        <v>4.0579710144927504E-3</v>
      </c>
      <c r="F185" s="2">
        <v>4.4670722031208603E-3</v>
      </c>
    </row>
    <row r="186" spans="1:6" x14ac:dyDescent="0.25">
      <c r="A186" s="1" t="str">
        <f t="shared" si="7"/>
        <v>10420</v>
      </c>
      <c r="B186" s="1" t="str">
        <f>"44288"</f>
        <v>44288</v>
      </c>
      <c r="C186" s="2">
        <v>4.7008965535661803E-3</v>
      </c>
      <c r="D186" s="2">
        <v>2.6145589651850802E-3</v>
      </c>
      <c r="E186" s="2">
        <v>7.8674948240165608E-3</v>
      </c>
      <c r="F186" s="2">
        <v>4.6416291986246996E-3</v>
      </c>
    </row>
    <row r="187" spans="1:6" x14ac:dyDescent="0.25">
      <c r="A187" s="1" t="str">
        <f t="shared" si="7"/>
        <v>10420</v>
      </c>
      <c r="B187" s="1" t="str">
        <f>"44237"</f>
        <v>44237</v>
      </c>
      <c r="C187" s="2">
        <v>0</v>
      </c>
      <c r="D187" s="2">
        <v>6.8804183294344194E-5</v>
      </c>
      <c r="E187" s="2">
        <v>0</v>
      </c>
      <c r="F187" s="2">
        <v>5.2896059243586304E-6</v>
      </c>
    </row>
    <row r="188" spans="1:6" x14ac:dyDescent="0.25">
      <c r="A188" s="1" t="str">
        <f t="shared" si="7"/>
        <v>10420</v>
      </c>
      <c r="B188" s="1" t="str">
        <f>"44429"</f>
        <v>44429</v>
      </c>
      <c r="C188" s="2">
        <v>2.9677377232109699E-5</v>
      </c>
      <c r="D188" s="2">
        <v>0</v>
      </c>
      <c r="E188" s="2">
        <v>0</v>
      </c>
      <c r="F188" s="2">
        <v>2.6448029621793101E-5</v>
      </c>
    </row>
    <row r="189" spans="1:6" x14ac:dyDescent="0.25">
      <c r="A189" s="1" t="str">
        <f t="shared" si="7"/>
        <v>10420</v>
      </c>
      <c r="B189" s="1" t="str">
        <f>"44601"</f>
        <v>44601</v>
      </c>
      <c r="C189" s="2">
        <v>3.2645114955320697E-5</v>
      </c>
      <c r="D189" s="2">
        <v>0</v>
      </c>
      <c r="E189" s="2">
        <v>0</v>
      </c>
      <c r="F189" s="2">
        <v>2.9092832583972399E-5</v>
      </c>
    </row>
    <row r="190" spans="1:6" x14ac:dyDescent="0.25">
      <c r="A190" s="1" t="str">
        <f t="shared" si="7"/>
        <v>10420</v>
      </c>
      <c r="B190" s="1" t="str">
        <f>"44285"</f>
        <v>44285</v>
      </c>
      <c r="C190" s="2">
        <v>2.3741901785687701E-5</v>
      </c>
      <c r="D190" s="2">
        <v>0</v>
      </c>
      <c r="E190" s="2">
        <v>8.2815734989648E-5</v>
      </c>
      <c r="F190" s="2">
        <v>2.38032266596138E-5</v>
      </c>
    </row>
    <row r="191" spans="1:6" x14ac:dyDescent="0.25">
      <c r="A191" s="1" t="str">
        <f t="shared" si="7"/>
        <v>10420</v>
      </c>
      <c r="B191" s="1" t="str">
        <f>"44265"</f>
        <v>44265</v>
      </c>
      <c r="C191" s="2">
        <v>2.9677377232109702E-6</v>
      </c>
      <c r="D191" s="2">
        <v>0</v>
      </c>
      <c r="E191" s="2">
        <v>8.2815734989648E-5</v>
      </c>
      <c r="F191" s="2">
        <v>5.2896059243586304E-6</v>
      </c>
    </row>
    <row r="192" spans="1:6" x14ac:dyDescent="0.25">
      <c r="A192" s="1" t="str">
        <f t="shared" si="7"/>
        <v>10420</v>
      </c>
      <c r="B192" s="1" t="str">
        <f>"44202"</f>
        <v>44202</v>
      </c>
      <c r="C192" s="2">
        <v>2.88345397187178E-2</v>
      </c>
      <c r="D192" s="2">
        <v>2.4528691344433699E-2</v>
      </c>
      <c r="E192" s="2">
        <v>8.4472049689440897E-3</v>
      </c>
      <c r="F192" s="2">
        <v>2.78524199947103E-2</v>
      </c>
    </row>
    <row r="193" spans="1:6" x14ac:dyDescent="0.25">
      <c r="A193" s="1" t="str">
        <f t="shared" si="7"/>
        <v>10420</v>
      </c>
      <c r="B193" s="1" t="str">
        <f>"44720"</f>
        <v>44720</v>
      </c>
      <c r="C193" s="2">
        <v>4.59109025780737E-3</v>
      </c>
      <c r="D193" s="2">
        <v>8.08449153708545E-3</v>
      </c>
      <c r="E193" s="2">
        <v>2.9813664596273202E-3</v>
      </c>
      <c r="F193" s="2">
        <v>4.8082517852419899E-3</v>
      </c>
    </row>
    <row r="194" spans="1:6" x14ac:dyDescent="0.25">
      <c r="A194" s="1" t="str">
        <f t="shared" si="7"/>
        <v>10420</v>
      </c>
      <c r="B194" s="1" t="str">
        <f>"44307"</f>
        <v>44307</v>
      </c>
      <c r="C194" s="2">
        <v>1.2506046765611E-2</v>
      </c>
      <c r="D194" s="2">
        <v>6.2955827714325004E-3</v>
      </c>
      <c r="E194" s="2">
        <v>7.1221532091097304E-3</v>
      </c>
      <c r="F194" s="2">
        <v>1.18566516794498E-2</v>
      </c>
    </row>
    <row r="195" spans="1:6" x14ac:dyDescent="0.25">
      <c r="A195" s="1" t="str">
        <f t="shared" si="7"/>
        <v>10420</v>
      </c>
      <c r="B195" s="1" t="str">
        <f>"44321"</f>
        <v>44321</v>
      </c>
      <c r="C195" s="2">
        <v>2.15843564609134E-2</v>
      </c>
      <c r="D195" s="2">
        <v>1.67538186321728E-2</v>
      </c>
      <c r="E195" s="2">
        <v>2.3768115942028899E-2</v>
      </c>
      <c r="F195" s="2">
        <v>2.1282729436656898E-2</v>
      </c>
    </row>
    <row r="196" spans="1:6" x14ac:dyDescent="0.25">
      <c r="A196" s="1" t="str">
        <f t="shared" si="7"/>
        <v>10420</v>
      </c>
      <c r="B196" s="1" t="str">
        <f>"44305"</f>
        <v>44305</v>
      </c>
      <c r="C196" s="2">
        <v>3.0920859338135102E-2</v>
      </c>
      <c r="D196" s="2">
        <v>2.0228429888537201E-2</v>
      </c>
      <c r="E196" s="2">
        <v>2.30227743271221E-2</v>
      </c>
      <c r="F196" s="2">
        <v>2.9846601428193498E-2</v>
      </c>
    </row>
    <row r="197" spans="1:6" x14ac:dyDescent="0.25">
      <c r="A197" s="1" t="str">
        <f t="shared" si="7"/>
        <v>10420</v>
      </c>
      <c r="B197" s="1" t="str">
        <f>"44250"</f>
        <v>44250</v>
      </c>
      <c r="C197" s="2">
        <v>1.79844906026584E-3</v>
      </c>
      <c r="D197" s="2">
        <v>0</v>
      </c>
      <c r="E197" s="2">
        <v>2.7329192546583802E-3</v>
      </c>
      <c r="F197" s="2">
        <v>1.69002909283258E-3</v>
      </c>
    </row>
    <row r="198" spans="1:6" x14ac:dyDescent="0.25">
      <c r="A198" s="1" t="str">
        <f t="shared" si="7"/>
        <v>10420</v>
      </c>
      <c r="B198" s="1" t="str">
        <f>"44326"</f>
        <v>44326</v>
      </c>
      <c r="C198" s="2">
        <v>0</v>
      </c>
      <c r="D198" s="2">
        <v>3.4402091647172097E-5</v>
      </c>
      <c r="E198" s="2">
        <v>0</v>
      </c>
      <c r="F198" s="2">
        <v>2.6448029621793101E-6</v>
      </c>
    </row>
    <row r="199" spans="1:6" x14ac:dyDescent="0.25">
      <c r="A199" s="1" t="str">
        <f t="shared" ref="A199:A211" si="8">"10420"</f>
        <v>10420</v>
      </c>
      <c r="B199" s="1" t="str">
        <f>"44306"</f>
        <v>44306</v>
      </c>
      <c r="C199" s="2">
        <v>3.1965503016705303E-2</v>
      </c>
      <c r="D199" s="2">
        <v>2.8140910967386801E-2</v>
      </c>
      <c r="E199" s="2">
        <v>3.3954451345755601E-2</v>
      </c>
      <c r="F199" s="2">
        <v>3.1734990743189598E-2</v>
      </c>
    </row>
    <row r="200" spans="1:6" x14ac:dyDescent="0.25">
      <c r="A200" s="1" t="str">
        <f t="shared" si="8"/>
        <v>10420</v>
      </c>
      <c r="B200" s="1" t="str">
        <f>"44319"</f>
        <v>44319</v>
      </c>
      <c r="C200" s="2">
        <v>3.4164596669604697E-2</v>
      </c>
      <c r="D200" s="2">
        <v>3.6431815054355297E-2</v>
      </c>
      <c r="E200" s="2">
        <v>2.3354037267080699E-2</v>
      </c>
      <c r="F200" s="2">
        <v>3.3993652472890698E-2</v>
      </c>
    </row>
    <row r="201" spans="1:6" x14ac:dyDescent="0.25">
      <c r="A201" s="1" t="str">
        <f t="shared" si="8"/>
        <v>10420</v>
      </c>
      <c r="B201" s="1" t="str">
        <f>"44262"</f>
        <v>44262</v>
      </c>
      <c r="C201" s="2">
        <v>6.6002486964211998E-3</v>
      </c>
      <c r="D201" s="2">
        <v>3.5778175313058999E-3</v>
      </c>
      <c r="E201" s="2">
        <v>4.3892339544513402E-3</v>
      </c>
      <c r="F201" s="2">
        <v>6.2972758529489499E-3</v>
      </c>
    </row>
    <row r="202" spans="1:6" x14ac:dyDescent="0.25">
      <c r="A202" s="1" t="str">
        <f t="shared" si="8"/>
        <v>10420</v>
      </c>
      <c r="B202" s="1" t="str">
        <f>"44216"</f>
        <v>44216</v>
      </c>
      <c r="C202" s="2">
        <v>1.08708232801217E-2</v>
      </c>
      <c r="D202" s="2">
        <v>2.0641254988303199E-3</v>
      </c>
      <c r="E202" s="2">
        <v>1.40786749482401E-3</v>
      </c>
      <c r="F202" s="2">
        <v>9.8915630785506407E-3</v>
      </c>
    </row>
    <row r="203" spans="1:6" x14ac:dyDescent="0.25">
      <c r="A203" s="1" t="str">
        <f t="shared" si="8"/>
        <v>10420</v>
      </c>
      <c r="B203" s="1" t="str">
        <f>"44231"</f>
        <v>44231</v>
      </c>
      <c r="C203" s="2">
        <v>9.8677279296764796E-3</v>
      </c>
      <c r="D203" s="2">
        <v>6.1235723131966404E-3</v>
      </c>
      <c r="E203" s="2">
        <v>4.8861283643892297E-3</v>
      </c>
      <c r="F203" s="2">
        <v>9.4207881512827201E-3</v>
      </c>
    </row>
    <row r="204" spans="1:6" x14ac:dyDescent="0.25">
      <c r="A204" s="1" t="str">
        <f t="shared" si="8"/>
        <v>10420</v>
      </c>
      <c r="B204" s="1" t="str">
        <f>"44325"</f>
        <v>44325</v>
      </c>
      <c r="C204" s="2">
        <v>1.78064263392658E-5</v>
      </c>
      <c r="D204" s="2">
        <v>2.0641254988303199E-3</v>
      </c>
      <c r="E204" s="2">
        <v>0</v>
      </c>
      <c r="F204" s="2">
        <v>1.7455699550383399E-4</v>
      </c>
    </row>
    <row r="205" spans="1:6" x14ac:dyDescent="0.25">
      <c r="A205" s="1" t="str">
        <f t="shared" si="8"/>
        <v>10420</v>
      </c>
      <c r="B205" s="1" t="str">
        <f>"44243"</f>
        <v>44243</v>
      </c>
      <c r="C205" s="2">
        <v>2.16644853794401E-4</v>
      </c>
      <c r="D205" s="2">
        <v>2.2705380487133601E-3</v>
      </c>
      <c r="E205" s="2">
        <v>2.9813664596273202E-3</v>
      </c>
      <c r="F205" s="2">
        <v>4.6284051838137998E-4</v>
      </c>
    </row>
    <row r="206" spans="1:6" x14ac:dyDescent="0.25">
      <c r="A206" s="1" t="str">
        <f t="shared" si="8"/>
        <v>10420</v>
      </c>
      <c r="B206" s="1" t="str">
        <f>"44396"</f>
        <v>44396</v>
      </c>
      <c r="C206" s="2">
        <v>0</v>
      </c>
      <c r="D206" s="2">
        <v>3.4402091647172097E-5</v>
      </c>
      <c r="E206" s="2">
        <v>0</v>
      </c>
      <c r="F206" s="2">
        <v>2.6448029621793101E-6</v>
      </c>
    </row>
    <row r="207" spans="1:6" x14ac:dyDescent="0.25">
      <c r="A207" s="1" t="str">
        <f t="shared" si="8"/>
        <v>10420</v>
      </c>
      <c r="B207" s="1" t="str">
        <f>"44230"</f>
        <v>44230</v>
      </c>
      <c r="C207" s="2">
        <v>2.9677377232109702E-6</v>
      </c>
      <c r="D207" s="2">
        <v>0</v>
      </c>
      <c r="E207" s="2">
        <v>0</v>
      </c>
      <c r="F207" s="2">
        <v>2.6448029621793101E-6</v>
      </c>
    </row>
    <row r="208" spans="1:6" x14ac:dyDescent="0.25">
      <c r="A208" s="1" t="str">
        <f t="shared" si="8"/>
        <v>10420</v>
      </c>
      <c r="B208" s="1" t="str">
        <f>"44310"</f>
        <v>44310</v>
      </c>
      <c r="C208" s="2">
        <v>3.42031772600064E-2</v>
      </c>
      <c r="D208" s="2">
        <v>4.1695335076372603E-2</v>
      </c>
      <c r="E208" s="2">
        <v>2.9730848861283601E-2</v>
      </c>
      <c r="F208" s="2">
        <v>3.4636339592700301E-2</v>
      </c>
    </row>
    <row r="209" spans="1:6" x14ac:dyDescent="0.25">
      <c r="A209" s="1" t="str">
        <f t="shared" si="8"/>
        <v>10420</v>
      </c>
      <c r="B209" s="1" t="str">
        <f>"44411"</f>
        <v>44411</v>
      </c>
      <c r="C209" s="2">
        <v>3.2140599542374798E-3</v>
      </c>
      <c r="D209" s="2">
        <v>4.4722719141323701E-4</v>
      </c>
      <c r="E209" s="2">
        <v>2.48447204968944E-4</v>
      </c>
      <c r="F209" s="2">
        <v>2.9066384554350699E-3</v>
      </c>
    </row>
    <row r="210" spans="1:6" x14ac:dyDescent="0.25">
      <c r="A210" s="1" t="str">
        <f t="shared" si="8"/>
        <v>10420</v>
      </c>
      <c r="B210" s="1" t="str">
        <f>"44272"</f>
        <v>44272</v>
      </c>
      <c r="C210" s="2">
        <v>6.9445062723136703E-3</v>
      </c>
      <c r="D210" s="2">
        <v>4.4034677308380302E-3</v>
      </c>
      <c r="E210" s="2">
        <v>2.5672877846790801E-3</v>
      </c>
      <c r="F210" s="2">
        <v>6.6093626024861102E-3</v>
      </c>
    </row>
    <row r="211" spans="1:6" x14ac:dyDescent="0.25">
      <c r="A211" s="1" t="str">
        <f t="shared" si="8"/>
        <v>10420</v>
      </c>
      <c r="B211" s="1" t="str">
        <f>"44304"</f>
        <v>44304</v>
      </c>
      <c r="C211" s="2">
        <v>6.1491525624931299E-3</v>
      </c>
      <c r="D211" s="2">
        <v>1.1008669327095001E-2</v>
      </c>
      <c r="E211" s="2">
        <v>1.6811594202898499E-2</v>
      </c>
      <c r="F211" s="2">
        <v>6.8632636868553197E-3</v>
      </c>
    </row>
    <row r="212" spans="1:6" x14ac:dyDescent="0.25">
      <c r="A212" s="1" t="str">
        <f t="shared" ref="A212:A228" si="9">"10460"</f>
        <v>10460</v>
      </c>
      <c r="B212" s="1" t="str">
        <f>"88342"</f>
        <v>88342</v>
      </c>
      <c r="C212" s="2">
        <v>0</v>
      </c>
      <c r="D212" s="2">
        <v>4.3610989969472297E-4</v>
      </c>
      <c r="E212" s="2">
        <v>0</v>
      </c>
      <c r="F212" s="2">
        <v>2.5714212245107799E-5</v>
      </c>
    </row>
    <row r="213" spans="1:6" x14ac:dyDescent="0.25">
      <c r="A213" s="1" t="str">
        <f t="shared" si="9"/>
        <v>10460</v>
      </c>
      <c r="B213" s="1" t="str">
        <f>"88339"</f>
        <v>88339</v>
      </c>
      <c r="C213" s="2">
        <v>1.3791308873276001E-2</v>
      </c>
      <c r="D213" s="2">
        <v>2.6166593981683298E-3</v>
      </c>
      <c r="E213" s="2">
        <v>6.9686411149825697E-3</v>
      </c>
      <c r="F213" s="2">
        <v>1.2779963485818601E-2</v>
      </c>
    </row>
    <row r="214" spans="1:6" x14ac:dyDescent="0.25">
      <c r="A214" s="1" t="str">
        <f t="shared" si="9"/>
        <v>10460</v>
      </c>
      <c r="B214" s="1" t="str">
        <f>"88340"</f>
        <v>88340</v>
      </c>
      <c r="C214" s="2">
        <v>4.3397808425130802E-2</v>
      </c>
      <c r="D214" s="2">
        <v>1.7008286088094099E-2</v>
      </c>
      <c r="E214" s="2">
        <v>2.4390243902439001E-2</v>
      </c>
      <c r="F214" s="2">
        <v>4.0859883257476401E-2</v>
      </c>
    </row>
    <row r="215" spans="1:6" x14ac:dyDescent="0.25">
      <c r="A215" s="1" t="str">
        <f t="shared" si="9"/>
        <v>10460</v>
      </c>
      <c r="B215" s="1" t="str">
        <f>"88347"</f>
        <v>88347</v>
      </c>
      <c r="C215" s="2">
        <v>2.3708329719258599E-3</v>
      </c>
      <c r="D215" s="2">
        <v>1.7444395987788899E-3</v>
      </c>
      <c r="E215" s="2">
        <v>5.9731209556993497E-3</v>
      </c>
      <c r="F215" s="2">
        <v>2.5199928000205702E-3</v>
      </c>
    </row>
    <row r="216" spans="1:6" x14ac:dyDescent="0.25">
      <c r="A216" s="1" t="str">
        <f t="shared" si="9"/>
        <v>10460</v>
      </c>
      <c r="B216" s="1" t="str">
        <f>"88352"</f>
        <v>88352</v>
      </c>
      <c r="C216" s="2">
        <v>7.0864775782808503E-2</v>
      </c>
      <c r="D216" s="2">
        <v>5.6258177060619197E-2</v>
      </c>
      <c r="E216" s="2">
        <v>1.7919362867097999E-2</v>
      </c>
      <c r="F216" s="2">
        <v>6.72683792332021E-2</v>
      </c>
    </row>
    <row r="217" spans="1:6" x14ac:dyDescent="0.25">
      <c r="A217" s="1" t="str">
        <f t="shared" si="9"/>
        <v>10460</v>
      </c>
      <c r="B217" s="1" t="str">
        <f>"88344"</f>
        <v>88344</v>
      </c>
      <c r="C217" s="2">
        <v>4.0477636106051398E-4</v>
      </c>
      <c r="D217" s="2">
        <v>0</v>
      </c>
      <c r="E217" s="2">
        <v>0</v>
      </c>
      <c r="F217" s="2">
        <v>3.5999897143150999E-4</v>
      </c>
    </row>
    <row r="218" spans="1:6" x14ac:dyDescent="0.25">
      <c r="A218" s="1" t="str">
        <f t="shared" si="9"/>
        <v>10460</v>
      </c>
      <c r="B218" s="1" t="str">
        <f>"88350"</f>
        <v>88350</v>
      </c>
      <c r="C218" s="2">
        <v>4.7416659438517302E-3</v>
      </c>
      <c r="D218" s="2">
        <v>8.7221979938944595E-4</v>
      </c>
      <c r="E218" s="2">
        <v>1.49328023892483E-3</v>
      </c>
      <c r="F218" s="2">
        <v>4.34570186942323E-3</v>
      </c>
    </row>
    <row r="219" spans="1:6" x14ac:dyDescent="0.25">
      <c r="A219" s="1" t="str">
        <f t="shared" si="9"/>
        <v>10460</v>
      </c>
      <c r="B219" s="1" t="str">
        <f>"88310"</f>
        <v>88310</v>
      </c>
      <c r="C219" s="2">
        <v>0.53774539566889201</v>
      </c>
      <c r="D219" s="2">
        <v>0.67945922372437795</v>
      </c>
      <c r="E219" s="2">
        <v>0.358885017421602</v>
      </c>
      <c r="F219" s="2">
        <v>0.536861323253362</v>
      </c>
    </row>
    <row r="220" spans="1:6" x14ac:dyDescent="0.25">
      <c r="A220" s="1" t="str">
        <f t="shared" si="9"/>
        <v>10460</v>
      </c>
      <c r="B220" s="1" t="str">
        <f>"88314"</f>
        <v>88314</v>
      </c>
      <c r="C220" s="2">
        <v>2.5732211524561199E-3</v>
      </c>
      <c r="D220" s="2">
        <v>4.3610989969472297E-4</v>
      </c>
      <c r="E220" s="2">
        <v>0</v>
      </c>
      <c r="F220" s="2">
        <v>2.3142791020596999E-3</v>
      </c>
    </row>
    <row r="221" spans="1:6" x14ac:dyDescent="0.25">
      <c r="A221" s="1" t="str">
        <f t="shared" si="9"/>
        <v>10460</v>
      </c>
      <c r="B221" s="1" t="str">
        <f>"88330"</f>
        <v>88330</v>
      </c>
      <c r="C221" s="2">
        <v>7.10382513661202E-2</v>
      </c>
      <c r="D221" s="2">
        <v>1.7008286088094099E-2</v>
      </c>
      <c r="E221" s="2">
        <v>0.42757590841214499</v>
      </c>
      <c r="F221" s="2">
        <v>8.6271182082336903E-2</v>
      </c>
    </row>
    <row r="222" spans="1:6" x14ac:dyDescent="0.25">
      <c r="A222" s="1" t="str">
        <f t="shared" si="9"/>
        <v>10460</v>
      </c>
      <c r="B222" s="1" t="str">
        <f>"88317"</f>
        <v>88317</v>
      </c>
      <c r="C222" s="2">
        <v>2.9837800329603599E-2</v>
      </c>
      <c r="D222" s="2">
        <v>5.6694286960313903E-3</v>
      </c>
      <c r="E222" s="2">
        <v>7.1677451468392203E-2</v>
      </c>
      <c r="F222" s="2">
        <v>3.0574198359433199E-2</v>
      </c>
    </row>
    <row r="223" spans="1:6" x14ac:dyDescent="0.25">
      <c r="A223" s="1" t="str">
        <f t="shared" si="9"/>
        <v>10460</v>
      </c>
      <c r="B223" s="1" t="str">
        <f>"88337"</f>
        <v>88337</v>
      </c>
      <c r="C223" s="2">
        <v>5.44135079654205E-2</v>
      </c>
      <c r="D223" s="2">
        <v>3.4888791975577801E-2</v>
      </c>
      <c r="E223" s="2">
        <v>2.4888003982080601E-3</v>
      </c>
      <c r="F223" s="2">
        <v>5.0579855486127097E-2</v>
      </c>
    </row>
    <row r="224" spans="1:6" x14ac:dyDescent="0.25">
      <c r="A224" s="1" t="str">
        <f t="shared" si="9"/>
        <v>10460</v>
      </c>
      <c r="B224" s="1" t="str">
        <f>"88325"</f>
        <v>88325</v>
      </c>
      <c r="C224" s="2">
        <v>0</v>
      </c>
      <c r="D224" s="2">
        <v>4.3610989969472297E-4</v>
      </c>
      <c r="E224" s="2">
        <v>4.3305126928820298E-2</v>
      </c>
      <c r="F224" s="2">
        <v>2.2628506775694899E-3</v>
      </c>
    </row>
    <row r="225" spans="1:6" x14ac:dyDescent="0.25">
      <c r="A225" s="1" t="str">
        <f t="shared" si="9"/>
        <v>10460</v>
      </c>
      <c r="B225" s="1" t="str">
        <f>"88311"</f>
        <v>88311</v>
      </c>
      <c r="C225" s="2">
        <v>8.1417873767600499E-2</v>
      </c>
      <c r="D225" s="2">
        <v>0.17051897078063599</v>
      </c>
      <c r="E225" s="2">
        <v>1.99104031856645E-3</v>
      </c>
      <c r="F225" s="2">
        <v>8.2568335519041303E-2</v>
      </c>
    </row>
    <row r="226" spans="1:6" x14ac:dyDescent="0.25">
      <c r="A226" s="1" t="str">
        <f t="shared" si="9"/>
        <v>10460</v>
      </c>
      <c r="B226" s="1" t="str">
        <f>"88354"</f>
        <v>88354</v>
      </c>
      <c r="C226" s="2">
        <v>1.2143290831815401E-3</v>
      </c>
      <c r="D226" s="2">
        <v>4.3610989969472297E-4</v>
      </c>
      <c r="E226" s="2">
        <v>1.99104031856645E-3</v>
      </c>
      <c r="F226" s="2">
        <v>1.2085679755200599E-3</v>
      </c>
    </row>
    <row r="227" spans="1:6" x14ac:dyDescent="0.25">
      <c r="A227" s="1" t="str">
        <f t="shared" si="9"/>
        <v>10460</v>
      </c>
      <c r="B227" s="1" t="str">
        <f>"88081"</f>
        <v>88081</v>
      </c>
      <c r="C227" s="2">
        <v>8.6188452308670796E-2</v>
      </c>
      <c r="D227" s="2">
        <v>1.1774967291757499E-2</v>
      </c>
      <c r="E227" s="2">
        <v>3.2852165256346398E-2</v>
      </c>
      <c r="F227" s="2">
        <v>7.9045488441461503E-2</v>
      </c>
    </row>
    <row r="228" spans="1:6" x14ac:dyDescent="0.25">
      <c r="A228" s="1" t="str">
        <f t="shared" si="9"/>
        <v>10460</v>
      </c>
      <c r="B228" s="1" t="str">
        <f>"88349"</f>
        <v>88349</v>
      </c>
      <c r="C228" s="2">
        <v>0</v>
      </c>
      <c r="D228" s="2">
        <v>4.3610989969472297E-4</v>
      </c>
      <c r="E228" s="2">
        <v>2.4888003982080601E-3</v>
      </c>
      <c r="F228" s="2">
        <v>1.54285273470647E-4</v>
      </c>
    </row>
    <row r="229" spans="1:6" x14ac:dyDescent="0.25">
      <c r="A229" s="1" t="str">
        <f t="shared" ref="A229:A260" si="10">"10500"</f>
        <v>10500</v>
      </c>
      <c r="B229" s="1" t="str">
        <f>"31763"</f>
        <v>31763</v>
      </c>
      <c r="C229" s="2">
        <v>0.158457708330726</v>
      </c>
      <c r="D229" s="2">
        <v>8.3915332545395904E-2</v>
      </c>
      <c r="E229" s="2">
        <v>9.0364583333333304E-2</v>
      </c>
      <c r="F229" s="2">
        <v>0.145903838217086</v>
      </c>
    </row>
    <row r="230" spans="1:6" x14ac:dyDescent="0.25">
      <c r="A230" s="1" t="str">
        <f t="shared" si="10"/>
        <v>10500</v>
      </c>
      <c r="B230" s="1" t="str">
        <f>"31768"</f>
        <v>31768</v>
      </c>
      <c r="C230" s="2">
        <v>1.50125730299125E-4</v>
      </c>
      <c r="D230" s="2">
        <v>0</v>
      </c>
      <c r="E230" s="2">
        <v>0</v>
      </c>
      <c r="F230" s="2">
        <v>1.23813454395377E-4</v>
      </c>
    </row>
    <row r="231" spans="1:6" x14ac:dyDescent="0.25">
      <c r="A231" s="1" t="str">
        <f t="shared" si="10"/>
        <v>10500</v>
      </c>
      <c r="B231" s="1" t="str">
        <f>"39886"</f>
        <v>39886</v>
      </c>
      <c r="C231" s="2">
        <v>4.6288766842230301E-4</v>
      </c>
      <c r="D231" s="2">
        <v>1.0744600838078799E-4</v>
      </c>
      <c r="E231" s="2">
        <v>0</v>
      </c>
      <c r="F231" s="2">
        <v>3.9207593891869499E-4</v>
      </c>
    </row>
    <row r="232" spans="1:6" x14ac:dyDescent="0.25">
      <c r="A232" s="1" t="str">
        <f t="shared" si="10"/>
        <v>10500</v>
      </c>
      <c r="B232" s="1" t="str">
        <f>"31704"</f>
        <v>31704</v>
      </c>
      <c r="C232" s="2">
        <v>0</v>
      </c>
      <c r="D232" s="2">
        <v>2.1489201676157699E-4</v>
      </c>
      <c r="E232" s="2">
        <v>9.2447916666666602E-2</v>
      </c>
      <c r="F232" s="2">
        <v>7.3462649607924004E-3</v>
      </c>
    </row>
    <row r="233" spans="1:6" x14ac:dyDescent="0.25">
      <c r="A233" s="1" t="str">
        <f t="shared" si="10"/>
        <v>10500</v>
      </c>
      <c r="B233" s="1" t="str">
        <f>"31781"</f>
        <v>31781</v>
      </c>
      <c r="C233" s="2">
        <v>1.08716049691616E-2</v>
      </c>
      <c r="D233" s="2">
        <v>4.2978403352315403E-3</v>
      </c>
      <c r="E233" s="2">
        <v>5.20833333333333E-4</v>
      </c>
      <c r="F233" s="2">
        <v>9.4201403219149795E-3</v>
      </c>
    </row>
    <row r="234" spans="1:6" x14ac:dyDescent="0.25">
      <c r="A234" s="1" t="str">
        <f t="shared" si="10"/>
        <v>10500</v>
      </c>
      <c r="B234" s="1" t="str">
        <f>"31795"</f>
        <v>31795</v>
      </c>
      <c r="C234" s="2">
        <v>4.5538138190734699E-3</v>
      </c>
      <c r="D234" s="2">
        <v>1.18190609218867E-3</v>
      </c>
      <c r="E234" s="2">
        <v>1.0416666666666599E-3</v>
      </c>
      <c r="F234" s="2">
        <v>3.9517127527858003E-3</v>
      </c>
    </row>
    <row r="235" spans="1:6" x14ac:dyDescent="0.25">
      <c r="A235" s="1" t="str">
        <f t="shared" si="10"/>
        <v>10500</v>
      </c>
      <c r="B235" s="1" t="str">
        <f>"39826"</f>
        <v>39826</v>
      </c>
      <c r="C235" s="2">
        <v>3.2902555890558299E-3</v>
      </c>
      <c r="D235" s="2">
        <v>4.2978403352315398E-4</v>
      </c>
      <c r="E235" s="2">
        <v>2.6041666666666601E-4</v>
      </c>
      <c r="F235" s="2">
        <v>2.7754849360297098E-3</v>
      </c>
    </row>
    <row r="236" spans="1:6" x14ac:dyDescent="0.25">
      <c r="A236" s="1" t="str">
        <f t="shared" si="10"/>
        <v>10500</v>
      </c>
      <c r="B236" s="1" t="str">
        <f>"39877"</f>
        <v>39877</v>
      </c>
      <c r="C236" s="2">
        <v>1.7139354209150101E-3</v>
      </c>
      <c r="D236" s="2">
        <v>6.4467605028473097E-4</v>
      </c>
      <c r="E236" s="2">
        <v>0</v>
      </c>
      <c r="F236" s="2">
        <v>1.47544366487825E-3</v>
      </c>
    </row>
    <row r="237" spans="1:6" x14ac:dyDescent="0.25">
      <c r="A237" s="1" t="str">
        <f t="shared" si="10"/>
        <v>10500</v>
      </c>
      <c r="B237" s="1" t="str">
        <f>"31701"</f>
        <v>31701</v>
      </c>
      <c r="C237" s="2">
        <v>0.131897964545306</v>
      </c>
      <c r="D237" s="2">
        <v>0.27860749973138399</v>
      </c>
      <c r="E237" s="2">
        <v>0.286197916666666</v>
      </c>
      <c r="F237" s="2">
        <v>0.15821295914156</v>
      </c>
    </row>
    <row r="238" spans="1:6" x14ac:dyDescent="0.25">
      <c r="A238" s="1" t="str">
        <f t="shared" si="10"/>
        <v>10500</v>
      </c>
      <c r="B238" s="1" t="str">
        <f>"31744"</f>
        <v>31744</v>
      </c>
      <c r="C238" s="2">
        <v>6.1926863748389196E-3</v>
      </c>
      <c r="D238" s="2">
        <v>1.0744600838078801E-3</v>
      </c>
      <c r="E238" s="2">
        <v>0</v>
      </c>
      <c r="F238" s="2">
        <v>5.2104828724721403E-3</v>
      </c>
    </row>
    <row r="239" spans="1:6" x14ac:dyDescent="0.25">
      <c r="A239" s="1" t="str">
        <f t="shared" si="10"/>
        <v>10500</v>
      </c>
      <c r="B239" s="1" t="str">
        <f>"31706"</f>
        <v>31706</v>
      </c>
      <c r="C239" s="2">
        <v>1.6839102748551899E-2</v>
      </c>
      <c r="D239" s="2">
        <v>3.9002901042226201E-2</v>
      </c>
      <c r="E239" s="2">
        <v>2.6041666666666601E-4</v>
      </c>
      <c r="F239" s="2">
        <v>1.7653735039207499E-2</v>
      </c>
    </row>
    <row r="240" spans="1:6" x14ac:dyDescent="0.25">
      <c r="A240" s="1" t="str">
        <f t="shared" si="10"/>
        <v>10500</v>
      </c>
      <c r="B240" s="1" t="str">
        <f>"31714"</f>
        <v>31714</v>
      </c>
      <c r="C240" s="2">
        <v>1.1384534547683599E-3</v>
      </c>
      <c r="D240" s="2">
        <v>4.2978403352315398E-4</v>
      </c>
      <c r="E240" s="2">
        <v>0</v>
      </c>
      <c r="F240" s="2">
        <v>9.8018984729673908E-4</v>
      </c>
    </row>
    <row r="241" spans="1:6" x14ac:dyDescent="0.25">
      <c r="A241" s="1" t="str">
        <f t="shared" si="10"/>
        <v>10500</v>
      </c>
      <c r="B241" s="1" t="str">
        <f>"31782"</f>
        <v>31782</v>
      </c>
      <c r="C241" s="2">
        <v>0</v>
      </c>
      <c r="D241" s="2">
        <v>0</v>
      </c>
      <c r="E241" s="2">
        <v>1.3020833333333301E-4</v>
      </c>
      <c r="F241" s="2">
        <v>1.0317787866281401E-5</v>
      </c>
    </row>
    <row r="242" spans="1:6" x14ac:dyDescent="0.25">
      <c r="A242" s="1" t="str">
        <f t="shared" si="10"/>
        <v>10500</v>
      </c>
      <c r="B242" s="1" t="str">
        <f>"31775"</f>
        <v>31775</v>
      </c>
      <c r="C242" s="2">
        <v>1.6638935108153001E-3</v>
      </c>
      <c r="D242" s="2">
        <v>1.0744600838078799E-4</v>
      </c>
      <c r="E242" s="2">
        <v>0</v>
      </c>
      <c r="F242" s="2">
        <v>1.3825835740817101E-3</v>
      </c>
    </row>
    <row r="243" spans="1:6" x14ac:dyDescent="0.25">
      <c r="A243" s="1" t="str">
        <f t="shared" si="10"/>
        <v>10500</v>
      </c>
      <c r="B243" s="1" t="str">
        <f>"31771"</f>
        <v>31771</v>
      </c>
      <c r="C243" s="2">
        <v>4.1284575832259499E-4</v>
      </c>
      <c r="D243" s="2">
        <v>2.1489201676157699E-4</v>
      </c>
      <c r="E243" s="2">
        <v>0</v>
      </c>
      <c r="F243" s="2">
        <v>3.6112257531985102E-4</v>
      </c>
    </row>
    <row r="244" spans="1:6" x14ac:dyDescent="0.25">
      <c r="A244" s="1" t="str">
        <f t="shared" si="10"/>
        <v>10500</v>
      </c>
      <c r="B244" s="1" t="str">
        <f>"31712"</f>
        <v>31712</v>
      </c>
      <c r="C244" s="2">
        <v>2.0016764039883399E-4</v>
      </c>
      <c r="D244" s="2">
        <v>0</v>
      </c>
      <c r="E244" s="2">
        <v>0</v>
      </c>
      <c r="F244" s="2">
        <v>1.6508460586050301E-4</v>
      </c>
    </row>
    <row r="245" spans="1:6" x14ac:dyDescent="0.25">
      <c r="A245" s="1" t="str">
        <f t="shared" si="10"/>
        <v>10500</v>
      </c>
      <c r="B245" s="1" t="str">
        <f>"31708"</f>
        <v>31708</v>
      </c>
      <c r="C245" s="2">
        <v>9.8082143795428598E-3</v>
      </c>
      <c r="D245" s="2">
        <v>6.4252713011711607E-2</v>
      </c>
      <c r="E245" s="2">
        <v>2.6041666666666601E-4</v>
      </c>
      <c r="F245" s="2">
        <v>1.42798184069335E-2</v>
      </c>
    </row>
    <row r="246" spans="1:6" x14ac:dyDescent="0.25">
      <c r="A246" s="1" t="str">
        <f t="shared" si="10"/>
        <v>10500</v>
      </c>
      <c r="B246" s="1" t="str">
        <f>"31791"</f>
        <v>31791</v>
      </c>
      <c r="C246" s="2">
        <v>7.4137089812718104E-2</v>
      </c>
      <c r="D246" s="2">
        <v>6.0062318684860803E-2</v>
      </c>
      <c r="E246" s="2">
        <v>2.9687499999999999E-2</v>
      </c>
      <c r="F246" s="2">
        <v>6.9263309946347495E-2</v>
      </c>
    </row>
    <row r="247" spans="1:6" x14ac:dyDescent="0.25">
      <c r="A247" s="1" t="str">
        <f t="shared" si="10"/>
        <v>10500</v>
      </c>
      <c r="B247" s="1" t="str">
        <f>"31721"</f>
        <v>31721</v>
      </c>
      <c r="C247" s="2">
        <v>0.119587654660778</v>
      </c>
      <c r="D247" s="2">
        <v>2.2456215751584799E-2</v>
      </c>
      <c r="E247" s="2">
        <v>0.104036458333333</v>
      </c>
      <c r="F247" s="2">
        <v>0.109028064382996</v>
      </c>
    </row>
    <row r="248" spans="1:6" x14ac:dyDescent="0.25">
      <c r="A248" s="1" t="str">
        <f t="shared" si="10"/>
        <v>10500</v>
      </c>
      <c r="B248" s="1" t="str">
        <f>"31707"</f>
        <v>31707</v>
      </c>
      <c r="C248" s="2">
        <v>0.154104062152052</v>
      </c>
      <c r="D248" s="2">
        <v>0.211883528526915</v>
      </c>
      <c r="E248" s="2">
        <v>0.21015624999999999</v>
      </c>
      <c r="F248" s="2">
        <v>0.16409409822533999</v>
      </c>
    </row>
    <row r="249" spans="1:6" x14ac:dyDescent="0.25">
      <c r="A249" s="1" t="str">
        <f t="shared" si="10"/>
        <v>10500</v>
      </c>
      <c r="B249" s="1" t="str">
        <f>"31787"</f>
        <v>31787</v>
      </c>
      <c r="C249" s="2">
        <v>8.3695094641762398E-3</v>
      </c>
      <c r="D249" s="2">
        <v>7.5212205866551996E-4</v>
      </c>
      <c r="E249" s="2">
        <v>2.8645833333333301E-3</v>
      </c>
      <c r="F249" s="2">
        <v>7.2018159306644599E-3</v>
      </c>
    </row>
    <row r="250" spans="1:6" x14ac:dyDescent="0.25">
      <c r="A250" s="1" t="str">
        <f t="shared" si="10"/>
        <v>10500</v>
      </c>
      <c r="B250" s="1" t="str">
        <f>"39862"</f>
        <v>39862</v>
      </c>
      <c r="C250" s="2">
        <v>6.2552387624635603E-5</v>
      </c>
      <c r="D250" s="2">
        <v>0</v>
      </c>
      <c r="E250" s="2">
        <v>0</v>
      </c>
      <c r="F250" s="2">
        <v>5.1588939331407302E-5</v>
      </c>
    </row>
    <row r="251" spans="1:6" x14ac:dyDescent="0.25">
      <c r="A251" s="1" t="str">
        <f t="shared" si="10"/>
        <v>10500</v>
      </c>
      <c r="B251" s="1" t="str">
        <f>"31743"</f>
        <v>31743</v>
      </c>
      <c r="C251" s="2">
        <v>8.7573342674489795E-4</v>
      </c>
      <c r="D251" s="2">
        <v>0</v>
      </c>
      <c r="E251" s="2">
        <v>2.6041666666666601E-4</v>
      </c>
      <c r="F251" s="2">
        <v>7.4288072637226498E-4</v>
      </c>
    </row>
    <row r="252" spans="1:6" x14ac:dyDescent="0.25">
      <c r="A252" s="1" t="str">
        <f t="shared" si="10"/>
        <v>10500</v>
      </c>
      <c r="B252" s="1" t="str">
        <f>"31772"</f>
        <v>31772</v>
      </c>
      <c r="C252" s="2">
        <v>3.3778289317303199E-3</v>
      </c>
      <c r="D252" s="2">
        <v>1.5042441173310399E-3</v>
      </c>
      <c r="E252" s="2">
        <v>6.5104166666666598E-4</v>
      </c>
      <c r="F252" s="2">
        <v>2.9818406933553401E-3</v>
      </c>
    </row>
    <row r="253" spans="1:6" x14ac:dyDescent="0.25">
      <c r="A253" s="1" t="str">
        <f t="shared" si="10"/>
        <v>10500</v>
      </c>
      <c r="B253" s="1" t="str">
        <f>"39842"</f>
        <v>39842</v>
      </c>
      <c r="C253" s="2">
        <v>5.2081117936271598E-2</v>
      </c>
      <c r="D253" s="2">
        <v>4.2870957343934597E-2</v>
      </c>
      <c r="E253" s="2">
        <v>1.4843749999999999E-2</v>
      </c>
      <c r="F253" s="2">
        <v>4.82459760627321E-2</v>
      </c>
    </row>
    <row r="254" spans="1:6" x14ac:dyDescent="0.25">
      <c r="A254" s="1" t="str">
        <f t="shared" si="10"/>
        <v>10500</v>
      </c>
      <c r="B254" s="1" t="str">
        <f>"39885"</f>
        <v>39885</v>
      </c>
      <c r="C254" s="2">
        <v>0</v>
      </c>
      <c r="D254" s="2">
        <v>1.0744600838078799E-4</v>
      </c>
      <c r="E254" s="2">
        <v>0</v>
      </c>
      <c r="F254" s="2">
        <v>1.0317787866281401E-5</v>
      </c>
    </row>
    <row r="255" spans="1:6" x14ac:dyDescent="0.25">
      <c r="A255" s="1" t="str">
        <f t="shared" si="10"/>
        <v>10500</v>
      </c>
      <c r="B255" s="1" t="str">
        <f>"31705"</f>
        <v>31705</v>
      </c>
      <c r="C255" s="2">
        <v>0.186593772284288</v>
      </c>
      <c r="D255" s="2">
        <v>0.11593424304287001</v>
      </c>
      <c r="E255" s="2">
        <v>0.16380208333333299</v>
      </c>
      <c r="F255" s="2">
        <v>0.178002476269087</v>
      </c>
    </row>
    <row r="256" spans="1:6" x14ac:dyDescent="0.25">
      <c r="A256" s="1" t="str">
        <f t="shared" si="10"/>
        <v>10500</v>
      </c>
      <c r="B256" s="1" t="str">
        <f>"31703"</f>
        <v>31703</v>
      </c>
      <c r="C256" s="2">
        <v>1.7864961905595899E-2</v>
      </c>
      <c r="D256" s="2">
        <v>1.4827549156548801E-2</v>
      </c>
      <c r="E256" s="2">
        <v>2.6041666666666601E-4</v>
      </c>
      <c r="F256" s="2">
        <v>1.6178291374329301E-2</v>
      </c>
    </row>
    <row r="257" spans="1:6" x14ac:dyDescent="0.25">
      <c r="A257" s="1" t="str">
        <f t="shared" si="10"/>
        <v>10500</v>
      </c>
      <c r="B257" s="1" t="str">
        <f>"31789"</f>
        <v>31789</v>
      </c>
      <c r="C257" s="2">
        <v>1.02210601378654E-2</v>
      </c>
      <c r="D257" s="2">
        <v>1.93402815085419E-3</v>
      </c>
      <c r="E257" s="2">
        <v>5.20833333333333E-4</v>
      </c>
      <c r="F257" s="2">
        <v>8.65662401981015E-3</v>
      </c>
    </row>
    <row r="258" spans="1:6" x14ac:dyDescent="0.25">
      <c r="A258" s="1" t="str">
        <f t="shared" si="10"/>
        <v>10500</v>
      </c>
      <c r="B258" s="1" t="str">
        <f>"31796"</f>
        <v>31796</v>
      </c>
      <c r="C258" s="2">
        <v>1.00584239300414E-2</v>
      </c>
      <c r="D258" s="2">
        <v>3.5457182765660199E-3</v>
      </c>
      <c r="E258" s="2">
        <v>6.5104166666666598E-4</v>
      </c>
      <c r="F258" s="2">
        <v>8.6875773834089905E-3</v>
      </c>
    </row>
    <row r="259" spans="1:6" x14ac:dyDescent="0.25">
      <c r="A259" s="1" t="str">
        <f t="shared" si="10"/>
        <v>10500</v>
      </c>
      <c r="B259" s="1" t="str">
        <f>"31764"</f>
        <v>31764</v>
      </c>
      <c r="C259" s="2">
        <v>4.6288766842230301E-4</v>
      </c>
      <c r="D259" s="2">
        <v>0</v>
      </c>
      <c r="E259" s="2">
        <v>5.20833333333333E-4</v>
      </c>
      <c r="F259" s="2">
        <v>4.2302930251753999E-4</v>
      </c>
    </row>
    <row r="260" spans="1:6" x14ac:dyDescent="0.25">
      <c r="A260" s="1" t="str">
        <f t="shared" si="10"/>
        <v>10500</v>
      </c>
      <c r="B260" s="1" t="str">
        <f>"31702"</f>
        <v>31702</v>
      </c>
      <c r="C260" s="2">
        <v>1.45496853614902E-2</v>
      </c>
      <c r="D260" s="2">
        <v>4.9640055871924299E-2</v>
      </c>
      <c r="E260" s="2">
        <v>2.6041666666666601E-4</v>
      </c>
      <c r="F260" s="2">
        <v>1.6787040858439899E-2</v>
      </c>
    </row>
    <row r="261" spans="1:6" x14ac:dyDescent="0.25">
      <c r="A261" s="1" t="str">
        <f t="shared" ref="A261:A281" si="11">"10540"</f>
        <v>10540</v>
      </c>
      <c r="B261" s="1" t="str">
        <f>"97352"</f>
        <v>97352</v>
      </c>
      <c r="C261" s="2">
        <v>6.0944818819760004E-4</v>
      </c>
      <c r="D261" s="2">
        <v>0</v>
      </c>
      <c r="E261" s="2">
        <v>1.10071546505228E-3</v>
      </c>
      <c r="F261" s="2">
        <v>5.8166954881307901E-4</v>
      </c>
    </row>
    <row r="262" spans="1:6" x14ac:dyDescent="0.25">
      <c r="A262" s="1" t="str">
        <f t="shared" si="11"/>
        <v>10540</v>
      </c>
      <c r="B262" s="1" t="str">
        <f>"97329"</f>
        <v>97329</v>
      </c>
      <c r="C262" s="2">
        <v>6.4427379895174895E-4</v>
      </c>
      <c r="D262" s="2">
        <v>2.29147571035747E-4</v>
      </c>
      <c r="E262" s="2">
        <v>0</v>
      </c>
      <c r="F262" s="2">
        <v>5.9739034742964901E-4</v>
      </c>
    </row>
    <row r="263" spans="1:6" x14ac:dyDescent="0.25">
      <c r="A263" s="1" t="str">
        <f t="shared" si="11"/>
        <v>10540</v>
      </c>
      <c r="B263" s="1" t="str">
        <f>"97374"</f>
        <v>97374</v>
      </c>
      <c r="C263" s="2">
        <v>5.37185045882742E-2</v>
      </c>
      <c r="D263" s="2">
        <v>3.3913840513290501E-2</v>
      </c>
      <c r="E263" s="2">
        <v>8.8057237204182699E-3</v>
      </c>
      <c r="F263" s="2">
        <v>5.1076874705234997E-2</v>
      </c>
    </row>
    <row r="264" spans="1:6" x14ac:dyDescent="0.25">
      <c r="A264" s="1" t="str">
        <f t="shared" si="11"/>
        <v>10540</v>
      </c>
      <c r="B264" s="1" t="str">
        <f>"97446"</f>
        <v>97446</v>
      </c>
      <c r="C264" s="2">
        <v>3.6253460795068602E-2</v>
      </c>
      <c r="D264" s="2">
        <v>1.23739688359303E-2</v>
      </c>
      <c r="E264" s="2">
        <v>2.8068244358833198E-2</v>
      </c>
      <c r="F264" s="2">
        <v>3.43813865744379E-2</v>
      </c>
    </row>
    <row r="265" spans="1:6" x14ac:dyDescent="0.25">
      <c r="A265" s="1" t="str">
        <f t="shared" si="11"/>
        <v>10540</v>
      </c>
      <c r="B265" s="1" t="str">
        <f>"97333"</f>
        <v>97333</v>
      </c>
      <c r="C265" s="2">
        <v>1.23456790123456E-2</v>
      </c>
      <c r="D265" s="2">
        <v>1.5123739688359301E-2</v>
      </c>
      <c r="E265" s="2">
        <v>7.1546505228398402E-3</v>
      </c>
      <c r="F265" s="2">
        <v>1.2387989309856901E-2</v>
      </c>
    </row>
    <row r="266" spans="1:6" x14ac:dyDescent="0.25">
      <c r="A266" s="1" t="str">
        <f t="shared" si="11"/>
        <v>10540</v>
      </c>
      <c r="B266" s="1" t="str">
        <f>"97389"</f>
        <v>97389</v>
      </c>
      <c r="C266" s="2">
        <v>1.4034721133921801E-2</v>
      </c>
      <c r="D266" s="2">
        <v>2.74977085242896E-2</v>
      </c>
      <c r="E266" s="2">
        <v>1.54100165107319E-2</v>
      </c>
      <c r="F266" s="2">
        <v>1.49976418802075E-2</v>
      </c>
    </row>
    <row r="267" spans="1:6" x14ac:dyDescent="0.25">
      <c r="A267" s="1" t="str">
        <f t="shared" si="11"/>
        <v>10540</v>
      </c>
      <c r="B267" s="1" t="str">
        <f>"97336"</f>
        <v>97336</v>
      </c>
      <c r="C267" s="2">
        <v>5.3979696668930298E-4</v>
      </c>
      <c r="D267" s="2">
        <v>0</v>
      </c>
      <c r="E267" s="2">
        <v>5.50357732526141E-4</v>
      </c>
      <c r="F267" s="2">
        <v>5.0306555573023095E-4</v>
      </c>
    </row>
    <row r="268" spans="1:6" x14ac:dyDescent="0.25">
      <c r="A268" s="1" t="str">
        <f t="shared" si="11"/>
        <v>10540</v>
      </c>
      <c r="B268" s="1" t="str">
        <f>"97345"</f>
        <v>97345</v>
      </c>
      <c r="C268" s="2">
        <v>4.8059342840725003E-3</v>
      </c>
      <c r="D268" s="2">
        <v>1.3748854262144799E-3</v>
      </c>
      <c r="E268" s="2">
        <v>5.50357732526141E-4</v>
      </c>
      <c r="F268" s="2">
        <v>4.4489860084892304E-3</v>
      </c>
    </row>
    <row r="269" spans="1:6" x14ac:dyDescent="0.25">
      <c r="A269" s="1" t="str">
        <f t="shared" si="11"/>
        <v>10540</v>
      </c>
      <c r="B269" s="1" t="str">
        <f>"97348"</f>
        <v>97348</v>
      </c>
      <c r="C269" s="2">
        <v>1.8527224921207001E-2</v>
      </c>
      <c r="D269" s="2">
        <v>8.93675527039413E-3</v>
      </c>
      <c r="E269" s="2">
        <v>6.6042927903137002E-3</v>
      </c>
      <c r="F269" s="2">
        <v>1.75286904574752E-2</v>
      </c>
    </row>
    <row r="270" spans="1:6" x14ac:dyDescent="0.25">
      <c r="A270" s="1" t="str">
        <f t="shared" si="11"/>
        <v>10540</v>
      </c>
      <c r="B270" s="1" t="str">
        <f>"97321"</f>
        <v>97321</v>
      </c>
      <c r="C270" s="2">
        <v>0.16199132842292199</v>
      </c>
      <c r="D270" s="2">
        <v>0.36640696608615902</v>
      </c>
      <c r="E270" s="2">
        <v>0.21794166208035201</v>
      </c>
      <c r="F270" s="2">
        <v>0.177613582770004</v>
      </c>
    </row>
    <row r="271" spans="1:6" x14ac:dyDescent="0.25">
      <c r="A271" s="1" t="str">
        <f t="shared" si="11"/>
        <v>10540</v>
      </c>
      <c r="B271" s="1" t="str">
        <f>"97358"</f>
        <v>97358</v>
      </c>
      <c r="C271" s="2">
        <v>1.4853122986644301E-2</v>
      </c>
      <c r="D271" s="2">
        <v>1.2832263978001799E-2</v>
      </c>
      <c r="E271" s="2">
        <v>6.6042927903137002E-3</v>
      </c>
      <c r="F271" s="2">
        <v>1.4478855525860699E-2</v>
      </c>
    </row>
    <row r="272" spans="1:6" x14ac:dyDescent="0.25">
      <c r="A272" s="1" t="str">
        <f t="shared" si="11"/>
        <v>10540</v>
      </c>
      <c r="B272" s="1" t="str">
        <f>"97355"</f>
        <v>97355</v>
      </c>
      <c r="C272" s="2">
        <v>0.25213742186003502</v>
      </c>
      <c r="D272" s="2">
        <v>0.21700274977085199</v>
      </c>
      <c r="E272" s="2">
        <v>0.188772702256466</v>
      </c>
      <c r="F272" s="2">
        <v>0.24791699418330401</v>
      </c>
    </row>
    <row r="273" spans="1:6" x14ac:dyDescent="0.25">
      <c r="A273" s="1" t="str">
        <f t="shared" si="11"/>
        <v>10540</v>
      </c>
      <c r="B273" s="1" t="str">
        <f>"97327"</f>
        <v>97327</v>
      </c>
      <c r="C273" s="2">
        <v>2.3298333594525399E-2</v>
      </c>
      <c r="D273" s="2">
        <v>5.95783684692942E-3</v>
      </c>
      <c r="E273" s="2">
        <v>1.21078701155751E-2</v>
      </c>
      <c r="F273" s="2">
        <v>2.17890268825656E-2</v>
      </c>
    </row>
    <row r="274" spans="1:6" x14ac:dyDescent="0.25">
      <c r="A274" s="1" t="str">
        <f t="shared" si="11"/>
        <v>10540</v>
      </c>
      <c r="B274" s="1" t="str">
        <f>"97346"</f>
        <v>97346</v>
      </c>
      <c r="C274" s="2">
        <v>2.28107750439673E-3</v>
      </c>
      <c r="D274" s="2">
        <v>4.58295142071494E-4</v>
      </c>
      <c r="E274" s="2">
        <v>5.50357732526141E-4</v>
      </c>
      <c r="F274" s="2">
        <v>2.1065870146203401E-3</v>
      </c>
    </row>
    <row r="275" spans="1:6" x14ac:dyDescent="0.25">
      <c r="A275" s="1" t="str">
        <f t="shared" si="11"/>
        <v>10540</v>
      </c>
      <c r="B275" s="1" t="str">
        <f>"97350"</f>
        <v>97350</v>
      </c>
      <c r="C275" s="2">
        <v>4.3532013442685702E-4</v>
      </c>
      <c r="D275" s="2">
        <v>6.8744271310724103E-4</v>
      </c>
      <c r="E275" s="2">
        <v>0</v>
      </c>
      <c r="F275" s="2">
        <v>4.4018236126395198E-4</v>
      </c>
    </row>
    <row r="276" spans="1:6" x14ac:dyDescent="0.25">
      <c r="A276" s="1" t="str">
        <f t="shared" si="11"/>
        <v>10540</v>
      </c>
      <c r="B276" s="1" t="str">
        <f>"97322"</f>
        <v>97322</v>
      </c>
      <c r="C276" s="2">
        <v>0.266781591182155</v>
      </c>
      <c r="D276" s="2">
        <v>0.21356553620531599</v>
      </c>
      <c r="E276" s="2">
        <v>0.42762795817281202</v>
      </c>
      <c r="F276" s="2">
        <v>0.267725200440182</v>
      </c>
    </row>
    <row r="277" spans="1:6" x14ac:dyDescent="0.25">
      <c r="A277" s="1" t="str">
        <f t="shared" si="11"/>
        <v>10540</v>
      </c>
      <c r="B277" s="1" t="str">
        <f>"97383"</f>
        <v>97383</v>
      </c>
      <c r="C277" s="2">
        <v>5.1890160023681398E-3</v>
      </c>
      <c r="D277" s="2">
        <v>2.2914757103574702E-3</v>
      </c>
      <c r="E277" s="2">
        <v>0</v>
      </c>
      <c r="F277" s="2">
        <v>4.8420059739034699E-3</v>
      </c>
    </row>
    <row r="278" spans="1:6" x14ac:dyDescent="0.25">
      <c r="A278" s="1" t="str">
        <f t="shared" si="11"/>
        <v>10540</v>
      </c>
      <c r="B278" s="1" t="str">
        <f>"97386"</f>
        <v>97386</v>
      </c>
      <c r="C278" s="2">
        <v>0.108342475056156</v>
      </c>
      <c r="D278" s="2">
        <v>7.4702108157653505E-2</v>
      </c>
      <c r="E278" s="2">
        <v>7.4848651623555307E-2</v>
      </c>
      <c r="F278" s="2">
        <v>0.10507781795315201</v>
      </c>
    </row>
    <row r="279" spans="1:6" x14ac:dyDescent="0.25">
      <c r="A279" s="1" t="str">
        <f t="shared" si="11"/>
        <v>10540</v>
      </c>
      <c r="B279" s="1" t="str">
        <f>"97335"</f>
        <v>97335</v>
      </c>
      <c r="C279" s="2">
        <v>1.81093175921572E-3</v>
      </c>
      <c r="D279" s="2">
        <v>0</v>
      </c>
      <c r="E279" s="2">
        <v>1.10071546505228E-3</v>
      </c>
      <c r="F279" s="2">
        <v>1.6664046533563901E-3</v>
      </c>
    </row>
    <row r="280" spans="1:6" x14ac:dyDescent="0.25">
      <c r="A280" s="1" t="str">
        <f t="shared" si="11"/>
        <v>10540</v>
      </c>
      <c r="B280" s="1" t="str">
        <f>"97360"</f>
        <v>97360</v>
      </c>
      <c r="C280" s="2">
        <v>1.41566107715614E-2</v>
      </c>
      <c r="D280" s="2">
        <v>1.3748854262144799E-3</v>
      </c>
      <c r="E280" s="2">
        <v>2.2014309301045601E-3</v>
      </c>
      <c r="F280" s="2">
        <v>1.2938217261436799E-2</v>
      </c>
    </row>
    <row r="281" spans="1:6" x14ac:dyDescent="0.25">
      <c r="A281" s="1" t="str">
        <f t="shared" si="11"/>
        <v>10540</v>
      </c>
      <c r="B281" s="1" t="str">
        <f>"97377"</f>
        <v>97377</v>
      </c>
      <c r="C281" s="2">
        <v>7.2437270368629E-3</v>
      </c>
      <c r="D281" s="2">
        <v>5.2703941338221802E-3</v>
      </c>
      <c r="E281" s="2">
        <v>0</v>
      </c>
      <c r="F281" s="2">
        <v>6.9014305926741E-3</v>
      </c>
    </row>
    <row r="282" spans="1:6" x14ac:dyDescent="0.25">
      <c r="A282" s="1" t="str">
        <f t="shared" ref="A282:A313" si="12">"10580"</f>
        <v>10580</v>
      </c>
      <c r="B282" s="1" t="str">
        <f>"12345"</f>
        <v>12345</v>
      </c>
      <c r="C282" s="2">
        <v>0</v>
      </c>
      <c r="D282" s="2">
        <v>0</v>
      </c>
      <c r="E282" s="2">
        <v>5.1135201472693798E-5</v>
      </c>
      <c r="F282" s="2">
        <v>2.0777148461036602E-6</v>
      </c>
    </row>
    <row r="283" spans="1:6" x14ac:dyDescent="0.25">
      <c r="A283" s="1" t="str">
        <f t="shared" si="12"/>
        <v>10580</v>
      </c>
      <c r="B283" s="1" t="str">
        <f>"12237"</f>
        <v>12237</v>
      </c>
      <c r="C283" s="2">
        <v>0</v>
      </c>
      <c r="D283" s="2">
        <v>3.0049882805457002E-5</v>
      </c>
      <c r="E283" s="2">
        <v>5.1135201472693798E-5</v>
      </c>
      <c r="F283" s="2">
        <v>4.1554296922073204E-6</v>
      </c>
    </row>
    <row r="284" spans="1:6" x14ac:dyDescent="0.25">
      <c r="A284" s="1" t="str">
        <f t="shared" si="12"/>
        <v>10580</v>
      </c>
      <c r="B284" s="1" t="str">
        <f>"12260"</f>
        <v>12260</v>
      </c>
      <c r="C284" s="2">
        <v>0</v>
      </c>
      <c r="D284" s="2">
        <v>3.0049882805457002E-5</v>
      </c>
      <c r="E284" s="2">
        <v>5.1135201472693798E-5</v>
      </c>
      <c r="F284" s="2">
        <v>4.1554296922073204E-6</v>
      </c>
    </row>
    <row r="285" spans="1:6" x14ac:dyDescent="0.25">
      <c r="A285" s="1" t="str">
        <f t="shared" si="12"/>
        <v>10580</v>
      </c>
      <c r="B285" s="1" t="str">
        <f>"12223"</f>
        <v>12223</v>
      </c>
      <c r="C285" s="2">
        <v>0</v>
      </c>
      <c r="D285" s="2">
        <v>8.71446601358254E-4</v>
      </c>
      <c r="E285" s="2">
        <v>6.1362241767232498E-4</v>
      </c>
      <c r="F285" s="2">
        <v>8.51863086902501E-5</v>
      </c>
    </row>
    <row r="286" spans="1:6" x14ac:dyDescent="0.25">
      <c r="A286" s="1" t="str">
        <f t="shared" si="12"/>
        <v>10580</v>
      </c>
      <c r="B286" s="1" t="str">
        <f>"12249"</f>
        <v>12249</v>
      </c>
      <c r="C286" s="2">
        <v>0</v>
      </c>
      <c r="D286" s="2">
        <v>3.0049882805457002E-5</v>
      </c>
      <c r="E286" s="2">
        <v>0</v>
      </c>
      <c r="F286" s="2">
        <v>2.0777148461036602E-6</v>
      </c>
    </row>
    <row r="287" spans="1:6" x14ac:dyDescent="0.25">
      <c r="A287" s="1" t="str">
        <f t="shared" si="12"/>
        <v>10580</v>
      </c>
      <c r="B287" s="1" t="str">
        <f>"12071"</f>
        <v>12071</v>
      </c>
      <c r="C287" s="2">
        <v>2.2405616341162799E-4</v>
      </c>
      <c r="D287" s="2">
        <v>3.0049882805457002E-5</v>
      </c>
      <c r="E287" s="2">
        <v>5.1135201472693798E-5</v>
      </c>
      <c r="F287" s="2">
        <v>2.0361605491815799E-4</v>
      </c>
    </row>
    <row r="288" spans="1:6" x14ac:dyDescent="0.25">
      <c r="A288" s="1" t="str">
        <f t="shared" si="12"/>
        <v>10580</v>
      </c>
      <c r="B288" s="1" t="str">
        <f>"12010"</f>
        <v>12010</v>
      </c>
      <c r="C288" s="2">
        <v>1.2323088987639501E-3</v>
      </c>
      <c r="D288" s="2">
        <v>1.8029929683274201E-4</v>
      </c>
      <c r="E288" s="2">
        <v>0</v>
      </c>
      <c r="F288" s="2">
        <v>1.10949972781935E-3</v>
      </c>
    </row>
    <row r="289" spans="1:6" x14ac:dyDescent="0.25">
      <c r="A289" s="1" t="str">
        <f t="shared" si="12"/>
        <v>10580</v>
      </c>
      <c r="B289" s="1" t="str">
        <f>"12007"</f>
        <v>12007</v>
      </c>
      <c r="C289" s="2">
        <v>2.0305089809178801E-4</v>
      </c>
      <c r="D289" s="2">
        <v>0</v>
      </c>
      <c r="E289" s="2">
        <v>5.1135201472693798E-5</v>
      </c>
      <c r="F289" s="2">
        <v>1.8283890645712201E-4</v>
      </c>
    </row>
    <row r="290" spans="1:6" x14ac:dyDescent="0.25">
      <c r="A290" s="1" t="str">
        <f t="shared" si="12"/>
        <v>10580</v>
      </c>
      <c r="B290" s="1" t="str">
        <f>"12036"</f>
        <v>12036</v>
      </c>
      <c r="C290" s="2">
        <v>2.0538481646065901E-4</v>
      </c>
      <c r="D290" s="2">
        <v>6.0099765610914098E-5</v>
      </c>
      <c r="E290" s="2">
        <v>5.1135201472693798E-5</v>
      </c>
      <c r="F290" s="2">
        <v>1.8907205099543301E-4</v>
      </c>
    </row>
    <row r="291" spans="1:6" x14ac:dyDescent="0.25">
      <c r="A291" s="1" t="str">
        <f t="shared" si="12"/>
        <v>10580</v>
      </c>
      <c r="B291" s="1" t="str">
        <f>"12156"</f>
        <v>12156</v>
      </c>
      <c r="C291" s="2">
        <v>6.7450240860375597E-4</v>
      </c>
      <c r="D291" s="2">
        <v>3.0049882805457002E-4</v>
      </c>
      <c r="E291" s="2">
        <v>3.57946410308856E-4</v>
      </c>
      <c r="F291" s="2">
        <v>6.3578074290772E-4</v>
      </c>
    </row>
    <row r="292" spans="1:6" x14ac:dyDescent="0.25">
      <c r="A292" s="1" t="str">
        <f t="shared" si="12"/>
        <v>10580</v>
      </c>
      <c r="B292" s="1" t="str">
        <f>"12151"</f>
        <v>12151</v>
      </c>
      <c r="C292" s="2">
        <v>1.15762351096008E-3</v>
      </c>
      <c r="D292" s="2">
        <v>1.4123444918564801E-3</v>
      </c>
      <c r="E292" s="2">
        <v>4.0908161178155E-4</v>
      </c>
      <c r="F292" s="2">
        <v>1.14482088020311E-3</v>
      </c>
    </row>
    <row r="293" spans="1:6" x14ac:dyDescent="0.25">
      <c r="A293" s="1" t="str">
        <f t="shared" si="12"/>
        <v>10580</v>
      </c>
      <c r="B293" s="1" t="str">
        <f>"13459"</f>
        <v>13459</v>
      </c>
      <c r="C293" s="2">
        <v>2.2102206953209598E-3</v>
      </c>
      <c r="D293" s="2">
        <v>9.6159624977462503E-4</v>
      </c>
      <c r="E293" s="2">
        <v>1.3806504397627299E-3</v>
      </c>
      <c r="F293" s="2">
        <v>2.0901811351802801E-3</v>
      </c>
    </row>
    <row r="294" spans="1:6" x14ac:dyDescent="0.25">
      <c r="A294" s="1" t="str">
        <f t="shared" si="12"/>
        <v>10580</v>
      </c>
      <c r="B294" s="1" t="str">
        <f>"12208"</f>
        <v>12208</v>
      </c>
      <c r="C294" s="2">
        <v>2.5885488629149699E-2</v>
      </c>
      <c r="D294" s="2">
        <v>1.6827934371055901E-2</v>
      </c>
      <c r="E294" s="2">
        <v>4.2339946819390399E-2</v>
      </c>
      <c r="F294" s="2">
        <v>2.59278035645275E-2</v>
      </c>
    </row>
    <row r="295" spans="1:6" x14ac:dyDescent="0.25">
      <c r="A295" s="1" t="str">
        <f t="shared" si="12"/>
        <v>10580</v>
      </c>
      <c r="B295" s="1" t="str">
        <f>"12204"</f>
        <v>12204</v>
      </c>
      <c r="C295" s="2">
        <v>9.2516524142051606E-3</v>
      </c>
      <c r="D295" s="2">
        <v>1.4453993629424801E-2</v>
      </c>
      <c r="E295" s="2">
        <v>2.4493761505420299E-2</v>
      </c>
      <c r="F295" s="2">
        <v>1.0230667902214399E-2</v>
      </c>
    </row>
    <row r="296" spans="1:6" x14ac:dyDescent="0.25">
      <c r="A296" s="1" t="str">
        <f t="shared" si="12"/>
        <v>10580</v>
      </c>
      <c r="B296" s="1" t="str">
        <f>"12307"</f>
        <v>12307</v>
      </c>
      <c r="C296" s="2">
        <v>8.3344224952388007E-3</v>
      </c>
      <c r="D296" s="2">
        <v>5.7695774986477504E-3</v>
      </c>
      <c r="E296" s="2">
        <v>1.1045203518101799E-2</v>
      </c>
      <c r="F296" s="2">
        <v>8.2672273726464608E-3</v>
      </c>
    </row>
    <row r="297" spans="1:6" x14ac:dyDescent="0.25">
      <c r="A297" s="1" t="str">
        <f t="shared" si="12"/>
        <v>10580</v>
      </c>
      <c r="B297" s="1" t="str">
        <f>"12247"</f>
        <v>12247</v>
      </c>
      <c r="C297" s="2">
        <v>0</v>
      </c>
      <c r="D297" s="2">
        <v>3.0049882805457002E-5</v>
      </c>
      <c r="E297" s="2">
        <v>5.1135201472693798E-5</v>
      </c>
      <c r="F297" s="2">
        <v>4.1554296922073204E-6</v>
      </c>
    </row>
    <row r="298" spans="1:6" x14ac:dyDescent="0.25">
      <c r="A298" s="1" t="str">
        <f t="shared" si="12"/>
        <v>10580</v>
      </c>
      <c r="B298" s="1" t="str">
        <f>"12158"</f>
        <v>12158</v>
      </c>
      <c r="C298" s="2">
        <v>6.7940363717838596E-3</v>
      </c>
      <c r="D298" s="2">
        <v>2.0433920307710699E-3</v>
      </c>
      <c r="E298" s="2">
        <v>2.19881366332583E-3</v>
      </c>
      <c r="F298" s="2">
        <v>6.2788542649252601E-3</v>
      </c>
    </row>
    <row r="299" spans="1:6" x14ac:dyDescent="0.25">
      <c r="A299" s="1" t="str">
        <f t="shared" si="12"/>
        <v>10580</v>
      </c>
      <c r="B299" s="1" t="str">
        <f>"12084"</f>
        <v>12084</v>
      </c>
      <c r="C299" s="2">
        <v>7.1651293924343698E-3</v>
      </c>
      <c r="D299" s="2">
        <v>1.1388905583268201E-2</v>
      </c>
      <c r="E299" s="2">
        <v>1.7130292493352399E-2</v>
      </c>
      <c r="F299" s="2">
        <v>7.8620729776562506E-3</v>
      </c>
    </row>
    <row r="300" spans="1:6" x14ac:dyDescent="0.25">
      <c r="A300" s="1" t="str">
        <f t="shared" si="12"/>
        <v>10580</v>
      </c>
      <c r="B300" s="1" t="str">
        <f>"12121"</f>
        <v>12121</v>
      </c>
      <c r="C300" s="2">
        <v>1.7224317562268901E-3</v>
      </c>
      <c r="D300" s="2">
        <v>5.7094777330368403E-4</v>
      </c>
      <c r="E300" s="2">
        <v>1.02270402945387E-4</v>
      </c>
      <c r="F300" s="2">
        <v>1.5769855681926699E-3</v>
      </c>
    </row>
    <row r="301" spans="1:6" x14ac:dyDescent="0.25">
      <c r="A301" s="1" t="str">
        <f t="shared" si="12"/>
        <v>10580</v>
      </c>
      <c r="B301" s="1" t="str">
        <f>"12202"</f>
        <v>12202</v>
      </c>
      <c r="C301" s="2">
        <v>1.19800029874155E-2</v>
      </c>
      <c r="D301" s="2">
        <v>1.10884067552136E-2</v>
      </c>
      <c r="E301" s="2">
        <v>2.1323379014113301E-2</v>
      </c>
      <c r="F301" s="2">
        <v>1.2297994174087499E-2</v>
      </c>
    </row>
    <row r="302" spans="1:6" x14ac:dyDescent="0.25">
      <c r="A302" s="1" t="str">
        <f t="shared" si="12"/>
        <v>10580</v>
      </c>
      <c r="B302" s="1" t="str">
        <f>"12193"</f>
        <v>12193</v>
      </c>
      <c r="C302" s="2">
        <v>2.1752119197878902E-3</v>
      </c>
      <c r="D302" s="2">
        <v>1.8029929683274201E-4</v>
      </c>
      <c r="E302" s="2">
        <v>2.5567600736346898E-4</v>
      </c>
      <c r="F302" s="2">
        <v>1.9592850998757499E-3</v>
      </c>
    </row>
    <row r="303" spans="1:6" x14ac:dyDescent="0.25">
      <c r="A303" s="1" t="str">
        <f t="shared" si="12"/>
        <v>10580</v>
      </c>
      <c r="B303" s="1" t="str">
        <f>"12183"</f>
        <v>12183</v>
      </c>
      <c r="C303" s="2">
        <v>2.9547406549908502E-3</v>
      </c>
      <c r="D303" s="2">
        <v>3.4557365226275602E-3</v>
      </c>
      <c r="E303" s="2">
        <v>2.5567600736346899E-3</v>
      </c>
      <c r="F303" s="2">
        <v>2.97320994477433E-3</v>
      </c>
    </row>
    <row r="304" spans="1:6" x14ac:dyDescent="0.25">
      <c r="A304" s="1" t="str">
        <f t="shared" si="12"/>
        <v>10580</v>
      </c>
      <c r="B304" s="1" t="str">
        <f>"12054"</f>
        <v>12054</v>
      </c>
      <c r="C304" s="2">
        <v>1.83796071548601E-2</v>
      </c>
      <c r="D304" s="2">
        <v>1.74589819099705E-2</v>
      </c>
      <c r="E304" s="2">
        <v>2.2652894252403299E-2</v>
      </c>
      <c r="F304" s="2">
        <v>1.84895844154764E-2</v>
      </c>
    </row>
    <row r="305" spans="1:6" x14ac:dyDescent="0.25">
      <c r="A305" s="1" t="str">
        <f t="shared" si="12"/>
        <v>10580</v>
      </c>
      <c r="B305" s="1" t="str">
        <f>"12053"</f>
        <v>12053</v>
      </c>
      <c r="C305" s="2">
        <v>4.2594010231898098E-3</v>
      </c>
      <c r="D305" s="2">
        <v>9.3154636696916805E-4</v>
      </c>
      <c r="E305" s="2">
        <v>5.1135201472693795E-4</v>
      </c>
      <c r="F305" s="2">
        <v>3.8770159028294299E-3</v>
      </c>
    </row>
    <row r="306" spans="1:6" x14ac:dyDescent="0.25">
      <c r="A306" s="1" t="str">
        <f t="shared" si="12"/>
        <v>10580</v>
      </c>
      <c r="B306" s="1" t="str">
        <f>"12850"</f>
        <v>12850</v>
      </c>
      <c r="C306" s="2">
        <v>2.8287090630718099E-3</v>
      </c>
      <c r="D306" s="2">
        <v>4.8079812488731203E-4</v>
      </c>
      <c r="E306" s="2">
        <v>2.5567600736346898E-4</v>
      </c>
      <c r="F306" s="2">
        <v>2.5618224052458101E-3</v>
      </c>
    </row>
    <row r="307" spans="1:6" x14ac:dyDescent="0.25">
      <c r="A307" s="1" t="str">
        <f t="shared" si="12"/>
        <v>10580</v>
      </c>
      <c r="B307" s="1" t="str">
        <f>"12835"</f>
        <v>12835</v>
      </c>
      <c r="C307" s="2">
        <v>4.1963852272302897E-3</v>
      </c>
      <c r="D307" s="2">
        <v>9.6159624977462503E-4</v>
      </c>
      <c r="E307" s="2">
        <v>1.8920024544896699E-3</v>
      </c>
      <c r="F307" s="2">
        <v>3.8790936176755302E-3</v>
      </c>
    </row>
    <row r="308" spans="1:6" x14ac:dyDescent="0.25">
      <c r="A308" s="1" t="str">
        <f t="shared" si="12"/>
        <v>10580</v>
      </c>
      <c r="B308" s="1" t="str">
        <f>"12024"</f>
        <v>12024</v>
      </c>
      <c r="C308" s="2">
        <v>1.40035102132267E-5</v>
      </c>
      <c r="D308" s="2">
        <v>0</v>
      </c>
      <c r="E308" s="2">
        <v>5.1135201472693798E-5</v>
      </c>
      <c r="F308" s="2">
        <v>1.45440039227256E-5</v>
      </c>
    </row>
    <row r="309" spans="1:6" x14ac:dyDescent="0.25">
      <c r="A309" s="1" t="str">
        <f t="shared" si="12"/>
        <v>10580</v>
      </c>
      <c r="B309" s="1" t="str">
        <f>"12133"</f>
        <v>12133</v>
      </c>
      <c r="C309" s="2">
        <v>0</v>
      </c>
      <c r="D309" s="2">
        <v>0</v>
      </c>
      <c r="E309" s="2">
        <v>5.1135201472693798E-5</v>
      </c>
      <c r="F309" s="2">
        <v>2.0777148461036602E-6</v>
      </c>
    </row>
    <row r="310" spans="1:6" x14ac:dyDescent="0.25">
      <c r="A310" s="1" t="str">
        <f t="shared" si="12"/>
        <v>10580</v>
      </c>
      <c r="B310" s="1" t="str">
        <f>"12064"</f>
        <v>12064</v>
      </c>
      <c r="C310" s="2">
        <v>1.2603159191904099E-4</v>
      </c>
      <c r="D310" s="2">
        <v>0</v>
      </c>
      <c r="E310" s="2">
        <v>0</v>
      </c>
      <c r="F310" s="2">
        <v>1.12196601689597E-4</v>
      </c>
    </row>
    <row r="311" spans="1:6" x14ac:dyDescent="0.25">
      <c r="A311" s="1" t="str">
        <f t="shared" si="12"/>
        <v>10580</v>
      </c>
      <c r="B311" s="1" t="str">
        <f>"12222"</f>
        <v>12222</v>
      </c>
      <c r="C311" s="2">
        <v>0</v>
      </c>
      <c r="D311" s="2">
        <v>6.0099765610914098E-5</v>
      </c>
      <c r="E311" s="2">
        <v>3.06811208836162E-4</v>
      </c>
      <c r="F311" s="2">
        <v>1.66217187688292E-5</v>
      </c>
    </row>
    <row r="312" spans="1:6" x14ac:dyDescent="0.25">
      <c r="A312" s="1" t="str">
        <f t="shared" si="12"/>
        <v>10580</v>
      </c>
      <c r="B312" s="1" t="str">
        <f>"12255"</f>
        <v>12255</v>
      </c>
      <c r="C312" s="2">
        <v>0</v>
      </c>
      <c r="D312" s="2">
        <v>3.0049882805457002E-5</v>
      </c>
      <c r="E312" s="2">
        <v>0</v>
      </c>
      <c r="F312" s="2">
        <v>2.0777148461036602E-6</v>
      </c>
    </row>
    <row r="313" spans="1:6" x14ac:dyDescent="0.25">
      <c r="A313" s="1" t="str">
        <f t="shared" si="12"/>
        <v>10580</v>
      </c>
      <c r="B313" s="1" t="str">
        <f>"12220"</f>
        <v>12220</v>
      </c>
      <c r="C313" s="2">
        <v>9.8024571492587396E-4</v>
      </c>
      <c r="D313" s="2">
        <v>2.5241901556583902E-3</v>
      </c>
      <c r="E313" s="2">
        <v>1.02270402945387E-4</v>
      </c>
      <c r="F313" s="2">
        <v>1.05132371212845E-3</v>
      </c>
    </row>
    <row r="314" spans="1:6" x14ac:dyDescent="0.25">
      <c r="A314" s="1" t="str">
        <f t="shared" ref="A314:A345" si="13">"10580"</f>
        <v>10580</v>
      </c>
      <c r="B314" s="1" t="str">
        <f>"12008"</f>
        <v>12008</v>
      </c>
      <c r="C314" s="2">
        <v>4.4577840845438498E-4</v>
      </c>
      <c r="D314" s="2">
        <v>1.2019953122182801E-4</v>
      </c>
      <c r="E314" s="2">
        <v>5.1135201472693798E-5</v>
      </c>
      <c r="F314" s="2">
        <v>4.0723210983631701E-4</v>
      </c>
    </row>
    <row r="315" spans="1:6" x14ac:dyDescent="0.25">
      <c r="A315" s="1" t="str">
        <f t="shared" si="13"/>
        <v>10580</v>
      </c>
      <c r="B315" s="1" t="str">
        <f>"12884"</f>
        <v>12884</v>
      </c>
      <c r="C315" s="2">
        <v>3.5242167369954001E-4</v>
      </c>
      <c r="D315" s="2">
        <v>9.01496484163711E-5</v>
      </c>
      <c r="E315" s="2">
        <v>5.1135201472693798E-5</v>
      </c>
      <c r="F315" s="2">
        <v>3.2204580114606699E-4</v>
      </c>
    </row>
    <row r="316" spans="1:6" x14ac:dyDescent="0.25">
      <c r="A316" s="1" t="str">
        <f t="shared" si="13"/>
        <v>10580</v>
      </c>
      <c r="B316" s="1" t="str">
        <f>"12045"</f>
        <v>12045</v>
      </c>
      <c r="C316" s="2">
        <v>8.0286791889166802E-4</v>
      </c>
      <c r="D316" s="2">
        <v>3.3054871086002699E-4</v>
      </c>
      <c r="E316" s="2">
        <v>1.3806504397627299E-3</v>
      </c>
      <c r="F316" s="2">
        <v>7.9368707121159798E-4</v>
      </c>
    </row>
    <row r="317" spans="1:6" x14ac:dyDescent="0.25">
      <c r="A317" s="1" t="str">
        <f t="shared" si="13"/>
        <v>10580</v>
      </c>
      <c r="B317" s="1" t="str">
        <f>"12833"</f>
        <v>12833</v>
      </c>
      <c r="C317" s="2">
        <v>4.7331864520706503E-3</v>
      </c>
      <c r="D317" s="2">
        <v>7.2119718733096902E-4</v>
      </c>
      <c r="E317" s="2">
        <v>1.12497443239926E-3</v>
      </c>
      <c r="F317" s="2">
        <v>4.3091805908189902E-3</v>
      </c>
    </row>
    <row r="318" spans="1:6" x14ac:dyDescent="0.25">
      <c r="A318" s="1" t="str">
        <f t="shared" si="13"/>
        <v>10580</v>
      </c>
      <c r="B318" s="1" t="str">
        <f>"12157"</f>
        <v>12157</v>
      </c>
      <c r="C318" s="2">
        <v>3.83696179842413E-3</v>
      </c>
      <c r="D318" s="2">
        <v>1.7428932027165E-3</v>
      </c>
      <c r="E318" s="2">
        <v>1.78973205154428E-3</v>
      </c>
      <c r="F318" s="2">
        <v>3.60899068768205E-3</v>
      </c>
    </row>
    <row r="319" spans="1:6" x14ac:dyDescent="0.25">
      <c r="A319" s="1" t="str">
        <f t="shared" si="13"/>
        <v>10580</v>
      </c>
      <c r="B319" s="1" t="str">
        <f>"12134"</f>
        <v>12134</v>
      </c>
      <c r="C319" s="2">
        <v>1.6780873072183399E-3</v>
      </c>
      <c r="D319" s="2">
        <v>6.0099765610914101E-4</v>
      </c>
      <c r="E319" s="2">
        <v>2.04540805890775E-4</v>
      </c>
      <c r="F319" s="2">
        <v>1.5437421306550201E-3</v>
      </c>
    </row>
    <row r="320" spans="1:6" x14ac:dyDescent="0.25">
      <c r="A320" s="1" t="str">
        <f t="shared" si="13"/>
        <v>10580</v>
      </c>
      <c r="B320" s="1" t="str">
        <f>"12198"</f>
        <v>12198</v>
      </c>
      <c r="C320" s="2">
        <v>8.7241868628402802E-3</v>
      </c>
      <c r="D320" s="2">
        <v>6.2804255063405199E-3</v>
      </c>
      <c r="E320" s="2">
        <v>4.5510329310697404E-3</v>
      </c>
      <c r="F320" s="2">
        <v>8.3856571188743699E-3</v>
      </c>
    </row>
    <row r="321" spans="1:6" x14ac:dyDescent="0.25">
      <c r="A321" s="1" t="str">
        <f t="shared" si="13"/>
        <v>10580</v>
      </c>
      <c r="B321" s="1" t="str">
        <f>"12182"</f>
        <v>12182</v>
      </c>
      <c r="C321" s="2">
        <v>1.6486799357705601E-2</v>
      </c>
      <c r="D321" s="2">
        <v>1.09682072239918E-2</v>
      </c>
      <c r="E321" s="2">
        <v>1.3192881979954999E-2</v>
      </c>
      <c r="F321" s="2">
        <v>1.5971394021998798E-2</v>
      </c>
    </row>
    <row r="322" spans="1:6" x14ac:dyDescent="0.25">
      <c r="A322" s="1" t="str">
        <f t="shared" si="13"/>
        <v>10580</v>
      </c>
      <c r="B322" s="1" t="str">
        <f>"12167"</f>
        <v>12167</v>
      </c>
      <c r="C322" s="2">
        <v>9.7557787818813196E-4</v>
      </c>
      <c r="D322" s="2">
        <v>2.7044894524911299E-4</v>
      </c>
      <c r="E322" s="2">
        <v>1.02270402945387E-4</v>
      </c>
      <c r="F322" s="2">
        <v>8.9133966897846995E-4</v>
      </c>
    </row>
    <row r="323" spans="1:6" x14ac:dyDescent="0.25">
      <c r="A323" s="1" t="str">
        <f t="shared" si="13"/>
        <v>10580</v>
      </c>
      <c r="B323" s="1" t="str">
        <f>"12185"</f>
        <v>12185</v>
      </c>
      <c r="C323" s="2">
        <v>1.6220732663654301E-3</v>
      </c>
      <c r="D323" s="2">
        <v>4.8079812488731203E-4</v>
      </c>
      <c r="E323" s="2">
        <v>5.6248721619963098E-4</v>
      </c>
      <c r="F323" s="2">
        <v>1.5001101188868401E-3</v>
      </c>
    </row>
    <row r="324" spans="1:6" x14ac:dyDescent="0.25">
      <c r="A324" s="1" t="str">
        <f t="shared" si="13"/>
        <v>10580</v>
      </c>
      <c r="B324" s="1" t="str">
        <f>"12065"</f>
        <v>12065</v>
      </c>
      <c r="C324" s="2">
        <v>5.0400967175771999E-2</v>
      </c>
      <c r="D324" s="2">
        <v>7.2119718733096902E-2</v>
      </c>
      <c r="E324" s="2">
        <v>2.5005113520147199E-2</v>
      </c>
      <c r="F324" s="2">
        <v>5.0870770292002002E-2</v>
      </c>
    </row>
    <row r="325" spans="1:6" x14ac:dyDescent="0.25">
      <c r="A325" s="1" t="str">
        <f t="shared" si="13"/>
        <v>10580</v>
      </c>
      <c r="B325" s="1" t="str">
        <f>"12028"</f>
        <v>12028</v>
      </c>
      <c r="C325" s="2">
        <v>7.0717726576795205E-4</v>
      </c>
      <c r="D325" s="2">
        <v>1.5024941402728501E-4</v>
      </c>
      <c r="E325" s="2">
        <v>5.1135201472693798E-5</v>
      </c>
      <c r="F325" s="2">
        <v>6.4201388744603103E-4</v>
      </c>
    </row>
    <row r="326" spans="1:6" x14ac:dyDescent="0.25">
      <c r="A326" s="1" t="str">
        <f t="shared" si="13"/>
        <v>10580</v>
      </c>
      <c r="B326" s="1" t="str">
        <f>"12871"</f>
        <v>12871</v>
      </c>
      <c r="C326" s="2">
        <v>4.2243922476567402E-3</v>
      </c>
      <c r="D326" s="2">
        <v>2.8246889837129602E-3</v>
      </c>
      <c r="E326" s="2">
        <v>4.6021681325424399E-3</v>
      </c>
      <c r="F326" s="2">
        <v>4.1429634031307002E-3</v>
      </c>
    </row>
    <row r="327" spans="1:6" x14ac:dyDescent="0.25">
      <c r="A327" s="1" t="str">
        <f t="shared" si="13"/>
        <v>10580</v>
      </c>
      <c r="B327" s="1" t="str">
        <f>"12210"</f>
        <v>12210</v>
      </c>
      <c r="C327" s="2">
        <v>1.4229900295007199E-2</v>
      </c>
      <c r="D327" s="2">
        <v>2.08245687841817E-2</v>
      </c>
      <c r="E327" s="2">
        <v>3.9374105133974199E-2</v>
      </c>
      <c r="F327" s="2">
        <v>1.5707524236543601E-2</v>
      </c>
    </row>
    <row r="328" spans="1:6" x14ac:dyDescent="0.25">
      <c r="A328" s="1" t="str">
        <f t="shared" si="13"/>
        <v>10580</v>
      </c>
      <c r="B328" s="1" t="str">
        <f>"12206"</f>
        <v>12206</v>
      </c>
      <c r="C328" s="2">
        <v>2.0501138952163999E-2</v>
      </c>
      <c r="D328" s="2">
        <v>3.2724322375142702E-2</v>
      </c>
      <c r="E328" s="2">
        <v>2.7408467989363802E-2</v>
      </c>
      <c r="F328" s="2">
        <v>2.1626933833092998E-2</v>
      </c>
    </row>
    <row r="329" spans="1:6" x14ac:dyDescent="0.25">
      <c r="A329" s="1" t="str">
        <f t="shared" si="13"/>
        <v>10580</v>
      </c>
      <c r="B329" s="1" t="str">
        <f>"12153"</f>
        <v>12153</v>
      </c>
      <c r="C329" s="2">
        <v>7.7486089846521503E-4</v>
      </c>
      <c r="D329" s="2">
        <v>0</v>
      </c>
      <c r="E329" s="2">
        <v>5.1135201472693798E-5</v>
      </c>
      <c r="F329" s="2">
        <v>6.9187904375251903E-4</v>
      </c>
    </row>
    <row r="330" spans="1:6" x14ac:dyDescent="0.25">
      <c r="A330" s="1" t="str">
        <f t="shared" si="13"/>
        <v>10580</v>
      </c>
      <c r="B330" s="1" t="str">
        <f>"12137"</f>
        <v>12137</v>
      </c>
      <c r="C330" s="2">
        <v>1.3980171029538001E-3</v>
      </c>
      <c r="D330" s="2">
        <v>1.8029929683274201E-4</v>
      </c>
      <c r="E330" s="2">
        <v>4.60216813254244E-4</v>
      </c>
      <c r="F330" s="2">
        <v>1.2757169155076401E-3</v>
      </c>
    </row>
    <row r="331" spans="1:6" x14ac:dyDescent="0.25">
      <c r="A331" s="1" t="str">
        <f t="shared" si="13"/>
        <v>10580</v>
      </c>
      <c r="B331" s="1" t="str">
        <f>"12094"</f>
        <v>12094</v>
      </c>
      <c r="C331" s="2">
        <v>2.0468464094999801E-3</v>
      </c>
      <c r="D331" s="2">
        <v>3.9064847647094099E-4</v>
      </c>
      <c r="E331" s="2">
        <v>6.6475761914501898E-4</v>
      </c>
      <c r="F331" s="2">
        <v>1.8761765060316001E-3</v>
      </c>
    </row>
    <row r="332" spans="1:6" x14ac:dyDescent="0.25">
      <c r="A332" s="1" t="str">
        <f t="shared" si="13"/>
        <v>10580</v>
      </c>
      <c r="B332" s="1" t="str">
        <f>"12131"</f>
        <v>12131</v>
      </c>
      <c r="C332" s="2">
        <v>2.4972926546921E-4</v>
      </c>
      <c r="D332" s="2">
        <v>1.2019953122182801E-4</v>
      </c>
      <c r="E332" s="2">
        <v>5.1135201472693798E-5</v>
      </c>
      <c r="F332" s="2">
        <v>2.3270406276361001E-4</v>
      </c>
    </row>
    <row r="333" spans="1:6" x14ac:dyDescent="0.25">
      <c r="A333" s="1" t="str">
        <f t="shared" si="13"/>
        <v>10580</v>
      </c>
      <c r="B333" s="1" t="str">
        <f>"12180"</f>
        <v>12180</v>
      </c>
      <c r="C333" s="2">
        <v>5.9596605549124299E-2</v>
      </c>
      <c r="D333" s="2">
        <v>5.9288418775166697E-2</v>
      </c>
      <c r="E333" s="2">
        <v>9.17876866434853E-2</v>
      </c>
      <c r="F333" s="2">
        <v>6.0883278135375501E-2</v>
      </c>
    </row>
    <row r="334" spans="1:6" x14ac:dyDescent="0.25">
      <c r="A334" s="1" t="str">
        <f t="shared" si="13"/>
        <v>10580</v>
      </c>
      <c r="B334" s="1" t="str">
        <f>"12201"</f>
        <v>12201</v>
      </c>
      <c r="C334" s="2">
        <v>3.1717950632958601E-3</v>
      </c>
      <c r="D334" s="2">
        <v>1.25909008954865E-2</v>
      </c>
      <c r="E334" s="2">
        <v>1.02270402945387E-4</v>
      </c>
      <c r="F334" s="2">
        <v>3.69833242606451E-3</v>
      </c>
    </row>
    <row r="335" spans="1:6" x14ac:dyDescent="0.25">
      <c r="A335" s="1" t="str">
        <f t="shared" si="13"/>
        <v>10580</v>
      </c>
      <c r="B335" s="1" t="str">
        <f>"12077"</f>
        <v>12077</v>
      </c>
      <c r="C335" s="2">
        <v>7.8559692296202195E-3</v>
      </c>
      <c r="D335" s="2">
        <v>8.1134683574734003E-3</v>
      </c>
      <c r="E335" s="2">
        <v>5.2669257516874601E-3</v>
      </c>
      <c r="F335" s="2">
        <v>7.7685758095815804E-3</v>
      </c>
    </row>
    <row r="336" spans="1:6" x14ac:dyDescent="0.25">
      <c r="A336" s="1" t="str">
        <f t="shared" si="13"/>
        <v>10580</v>
      </c>
      <c r="B336" s="1" t="str">
        <f>"12033"</f>
        <v>12033</v>
      </c>
      <c r="C336" s="2">
        <v>8.4651219238955806E-3</v>
      </c>
      <c r="D336" s="2">
        <v>8.4740669511388905E-3</v>
      </c>
      <c r="E336" s="2">
        <v>1.0175905093066E-2</v>
      </c>
      <c r="F336" s="2">
        <v>8.5352525877938398E-3</v>
      </c>
    </row>
    <row r="337" spans="1:6" x14ac:dyDescent="0.25">
      <c r="A337" s="1" t="str">
        <f t="shared" si="13"/>
        <v>10580</v>
      </c>
      <c r="B337" s="1" t="str">
        <f>"12066"</f>
        <v>12066</v>
      </c>
      <c r="C337" s="2">
        <v>1.40735277642929E-3</v>
      </c>
      <c r="D337" s="2">
        <v>4.2069835927639802E-4</v>
      </c>
      <c r="E337" s="2">
        <v>1.53405604418081E-4</v>
      </c>
      <c r="F337" s="2">
        <v>1.2881832045842699E-3</v>
      </c>
    </row>
    <row r="338" spans="1:6" x14ac:dyDescent="0.25">
      <c r="A338" s="1" t="str">
        <f t="shared" si="13"/>
        <v>10580</v>
      </c>
      <c r="B338" s="1" t="str">
        <f>"12866"</f>
        <v>12866</v>
      </c>
      <c r="C338" s="2">
        <v>5.06296911759214E-2</v>
      </c>
      <c r="D338" s="2">
        <v>7.8249894825410102E-2</v>
      </c>
      <c r="E338" s="2">
        <v>6.6935978727756099E-2</v>
      </c>
      <c r="F338" s="2">
        <v>5.3201966349330297E-2</v>
      </c>
    </row>
    <row r="339" spans="1:6" x14ac:dyDescent="0.25">
      <c r="A339" s="1" t="str">
        <f t="shared" si="13"/>
        <v>10580</v>
      </c>
      <c r="B339" s="1" t="str">
        <f>"12828"</f>
        <v>12828</v>
      </c>
      <c r="C339" s="2">
        <v>4.3060793905672296E-3</v>
      </c>
      <c r="D339" s="2">
        <v>1.6827934371055899E-3</v>
      </c>
      <c r="E339" s="2">
        <v>8.6929842503579401E-4</v>
      </c>
      <c r="F339" s="2">
        <v>3.9850570748268203E-3</v>
      </c>
    </row>
    <row r="340" spans="1:6" x14ac:dyDescent="0.25">
      <c r="A340" s="1" t="str">
        <f t="shared" si="13"/>
        <v>10580</v>
      </c>
      <c r="B340" s="1" t="str">
        <f>"12089"</f>
        <v>12089</v>
      </c>
      <c r="C340" s="2">
        <v>0</v>
      </c>
      <c r="D340" s="2">
        <v>0</v>
      </c>
      <c r="E340" s="2">
        <v>5.1135201472693798E-5</v>
      </c>
      <c r="F340" s="2">
        <v>2.0777148461036602E-6</v>
      </c>
    </row>
    <row r="341" spans="1:6" x14ac:dyDescent="0.25">
      <c r="A341" s="1" t="str">
        <f t="shared" si="13"/>
        <v>10580</v>
      </c>
      <c r="B341" s="1" t="str">
        <f>"12161"</f>
        <v>12161</v>
      </c>
      <c r="C341" s="2">
        <v>1.2836551028791199E-4</v>
      </c>
      <c r="D341" s="2">
        <v>0</v>
      </c>
      <c r="E341" s="2">
        <v>5.1135201472693798E-5</v>
      </c>
      <c r="F341" s="2">
        <v>1.1635203138180501E-4</v>
      </c>
    </row>
    <row r="342" spans="1:6" x14ac:dyDescent="0.25">
      <c r="A342" s="1" t="str">
        <f t="shared" si="13"/>
        <v>10580</v>
      </c>
      <c r="B342" s="1" t="str">
        <f>"12055"</f>
        <v>12055</v>
      </c>
      <c r="C342" s="2">
        <v>0</v>
      </c>
      <c r="D342" s="2">
        <v>0</v>
      </c>
      <c r="E342" s="2">
        <v>5.1135201472693798E-5</v>
      </c>
      <c r="F342" s="2">
        <v>2.0777148461036602E-6</v>
      </c>
    </row>
    <row r="343" spans="1:6" x14ac:dyDescent="0.25">
      <c r="A343" s="1" t="str">
        <f t="shared" si="13"/>
        <v>10580</v>
      </c>
      <c r="B343" s="1" t="str">
        <f>"12107"</f>
        <v>12107</v>
      </c>
      <c r="C343" s="2">
        <v>0</v>
      </c>
      <c r="D343" s="2">
        <v>0</v>
      </c>
      <c r="E343" s="2">
        <v>5.1135201472693798E-5</v>
      </c>
      <c r="F343" s="2">
        <v>2.0777148461036602E-6</v>
      </c>
    </row>
    <row r="344" spans="1:6" x14ac:dyDescent="0.25">
      <c r="A344" s="1" t="str">
        <f t="shared" si="13"/>
        <v>10580</v>
      </c>
      <c r="B344" s="1" t="str">
        <f>"12140"</f>
        <v>12140</v>
      </c>
      <c r="C344" s="2">
        <v>1.47503640912655E-3</v>
      </c>
      <c r="D344" s="2">
        <v>1.5024941402728501E-4</v>
      </c>
      <c r="E344" s="2">
        <v>9.7156882798118201E-4</v>
      </c>
      <c r="F344" s="2">
        <v>1.3629809390440001E-3</v>
      </c>
    </row>
    <row r="345" spans="1:6" x14ac:dyDescent="0.25">
      <c r="A345" s="1" t="str">
        <f t="shared" si="13"/>
        <v>10580</v>
      </c>
      <c r="B345" s="1" t="str">
        <f>"12085"</f>
        <v>12085</v>
      </c>
      <c r="C345" s="2">
        <v>3.9910004107696301E-4</v>
      </c>
      <c r="D345" s="2">
        <v>2.7044894524911299E-4</v>
      </c>
      <c r="E345" s="2">
        <v>2.04540805890775E-4</v>
      </c>
      <c r="F345" s="2">
        <v>3.8229953168307301E-4</v>
      </c>
    </row>
    <row r="346" spans="1:6" x14ac:dyDescent="0.25">
      <c r="A346" s="1" t="str">
        <f t="shared" ref="A346:A377" si="14">"10580"</f>
        <v>10580</v>
      </c>
      <c r="B346" s="1" t="str">
        <f>"12067"</f>
        <v>12067</v>
      </c>
      <c r="C346" s="2">
        <v>1.40968669479816E-3</v>
      </c>
      <c r="D346" s="2">
        <v>4.2069835927639802E-4</v>
      </c>
      <c r="E346" s="2">
        <v>5.6248721619963098E-4</v>
      </c>
      <c r="F346" s="2">
        <v>1.3068826381992E-3</v>
      </c>
    </row>
    <row r="347" spans="1:6" x14ac:dyDescent="0.25">
      <c r="A347" s="1" t="str">
        <f t="shared" si="14"/>
        <v>10580</v>
      </c>
      <c r="B347" s="1" t="str">
        <f>"12181"</f>
        <v>12181</v>
      </c>
      <c r="C347" s="2">
        <v>2.3199148586579002E-3</v>
      </c>
      <c r="D347" s="2">
        <v>6.6109742172005496E-3</v>
      </c>
      <c r="E347" s="2">
        <v>1.02270402945387E-4</v>
      </c>
      <c r="F347" s="2">
        <v>2.5265012528620499E-3</v>
      </c>
    </row>
    <row r="348" spans="1:6" x14ac:dyDescent="0.25">
      <c r="A348" s="1" t="str">
        <f t="shared" si="14"/>
        <v>10580</v>
      </c>
      <c r="B348" s="1" t="str">
        <f>"12061"</f>
        <v>12061</v>
      </c>
      <c r="C348" s="2">
        <v>1.0715019231487301E-2</v>
      </c>
      <c r="D348" s="2">
        <v>1.1268706052046299E-2</v>
      </c>
      <c r="E348" s="2">
        <v>6.3407649826140297E-3</v>
      </c>
      <c r="F348" s="2">
        <v>1.05755685666676E-2</v>
      </c>
    </row>
    <row r="349" spans="1:6" x14ac:dyDescent="0.25">
      <c r="A349" s="1" t="str">
        <f t="shared" si="14"/>
        <v>10580</v>
      </c>
      <c r="B349" s="1" t="str">
        <f>"12059"</f>
        <v>12059</v>
      </c>
      <c r="C349" s="2">
        <v>1.73876918480899E-3</v>
      </c>
      <c r="D349" s="2">
        <v>4.2069835927639802E-4</v>
      </c>
      <c r="E349" s="2">
        <v>5.6248721619963098E-4</v>
      </c>
      <c r="F349" s="2">
        <v>1.59984043149981E-3</v>
      </c>
    </row>
    <row r="350" spans="1:6" x14ac:dyDescent="0.25">
      <c r="A350" s="1" t="str">
        <f t="shared" si="14"/>
        <v>10580</v>
      </c>
      <c r="B350" s="1" t="str">
        <f>"12062"</f>
        <v>12062</v>
      </c>
      <c r="C350" s="2">
        <v>1.61273759288995E-3</v>
      </c>
      <c r="D350" s="2">
        <v>1.5024941402728501E-4</v>
      </c>
      <c r="E350" s="2">
        <v>4.0908161178155E-4</v>
      </c>
      <c r="F350" s="2">
        <v>1.46271125165697E-3</v>
      </c>
    </row>
    <row r="351" spans="1:6" x14ac:dyDescent="0.25">
      <c r="A351" s="1" t="str">
        <f t="shared" si="14"/>
        <v>10580</v>
      </c>
      <c r="B351" s="1" t="str">
        <f>"12074"</f>
        <v>12074</v>
      </c>
      <c r="C351" s="2">
        <v>2.8217073079651899E-3</v>
      </c>
      <c r="D351" s="2">
        <v>7.2119718733096902E-4</v>
      </c>
      <c r="E351" s="2">
        <v>5.1135201472693795E-4</v>
      </c>
      <c r="F351" s="2">
        <v>2.58259955370685E-3</v>
      </c>
    </row>
    <row r="352" spans="1:6" x14ac:dyDescent="0.25">
      <c r="A352" s="1" t="str">
        <f t="shared" si="14"/>
        <v>10580</v>
      </c>
      <c r="B352" s="1" t="str">
        <f>"12057"</f>
        <v>12057</v>
      </c>
      <c r="C352" s="2">
        <v>4.1543746965906099E-4</v>
      </c>
      <c r="D352" s="2">
        <v>9.01496484163711E-5</v>
      </c>
      <c r="E352" s="2">
        <v>1.53405604418081E-4</v>
      </c>
      <c r="F352" s="2">
        <v>3.8229953168307301E-4</v>
      </c>
    </row>
    <row r="353" spans="1:6" x14ac:dyDescent="0.25">
      <c r="A353" s="1" t="str">
        <f t="shared" si="14"/>
        <v>10580</v>
      </c>
      <c r="B353" s="1" t="str">
        <f>"12018"</f>
        <v>12018</v>
      </c>
      <c r="C353" s="2">
        <v>7.6319130662085904E-3</v>
      </c>
      <c r="D353" s="2">
        <v>1.3221948434401099E-3</v>
      </c>
      <c r="E353" s="2">
        <v>3.42605849867048E-3</v>
      </c>
      <c r="F353" s="2">
        <v>7.02475389467647E-3</v>
      </c>
    </row>
    <row r="354" spans="1:6" x14ac:dyDescent="0.25">
      <c r="A354" s="1" t="str">
        <f t="shared" si="14"/>
        <v>10580</v>
      </c>
      <c r="B354" s="1" t="str">
        <f>"12025"</f>
        <v>12025</v>
      </c>
      <c r="C354" s="2">
        <v>6.7450240860375597E-4</v>
      </c>
      <c r="D354" s="2">
        <v>6.0099765610914098E-5</v>
      </c>
      <c r="E354" s="2">
        <v>2.04540805890775E-4</v>
      </c>
      <c r="F354" s="2">
        <v>6.1292587960058004E-4</v>
      </c>
    </row>
    <row r="355" spans="1:6" x14ac:dyDescent="0.25">
      <c r="A355" s="1" t="str">
        <f t="shared" si="14"/>
        <v>10580</v>
      </c>
      <c r="B355" s="1" t="str">
        <f>"12211"</f>
        <v>12211</v>
      </c>
      <c r="C355" s="2">
        <v>1.1639250905560301E-2</v>
      </c>
      <c r="D355" s="2">
        <v>1.51451409339503E-2</v>
      </c>
      <c r="E355" s="2">
        <v>2.5056248721619899E-3</v>
      </c>
      <c r="F355" s="2">
        <v>1.15105402474142E-2</v>
      </c>
    </row>
    <row r="356" spans="1:6" x14ac:dyDescent="0.25">
      <c r="A356" s="1" t="str">
        <f t="shared" si="14"/>
        <v>10580</v>
      </c>
      <c r="B356" s="1" t="str">
        <f>"12090"</f>
        <v>12090</v>
      </c>
      <c r="C356" s="2">
        <v>6.3622614735427E-3</v>
      </c>
      <c r="D356" s="2">
        <v>5.0483803113167804E-3</v>
      </c>
      <c r="E356" s="2">
        <v>9.1020658621394895E-3</v>
      </c>
      <c r="F356" s="2">
        <v>6.3827400072304398E-3</v>
      </c>
    </row>
    <row r="357" spans="1:6" x14ac:dyDescent="0.25">
      <c r="A357" s="1" t="str">
        <f t="shared" si="14"/>
        <v>10580</v>
      </c>
      <c r="B357" s="1" t="str">
        <f>"12110"</f>
        <v>12110</v>
      </c>
      <c r="C357" s="2">
        <v>2.1922495238806499E-2</v>
      </c>
      <c r="D357" s="2">
        <v>5.5922831900955497E-2</v>
      </c>
      <c r="E357" s="2">
        <v>2.1988136633258298E-2</v>
      </c>
      <c r="F357" s="2">
        <v>2.42760202618751E-2</v>
      </c>
    </row>
    <row r="358" spans="1:6" x14ac:dyDescent="0.25">
      <c r="A358" s="1" t="str">
        <f t="shared" si="14"/>
        <v>10580</v>
      </c>
      <c r="B358" s="1" t="str">
        <f>"12122"</f>
        <v>12122</v>
      </c>
      <c r="C358" s="2">
        <v>4.4951267784457899E-3</v>
      </c>
      <c r="D358" s="2">
        <v>1.08179578099645E-3</v>
      </c>
      <c r="E358" s="2">
        <v>1.9942728574350501E-3</v>
      </c>
      <c r="F358" s="2">
        <v>4.15750740705342E-3</v>
      </c>
    </row>
    <row r="359" spans="1:6" x14ac:dyDescent="0.25">
      <c r="A359" s="1" t="str">
        <f t="shared" si="14"/>
        <v>10580</v>
      </c>
      <c r="B359" s="1" t="str">
        <f>"12154"</f>
        <v>12154</v>
      </c>
      <c r="C359" s="2">
        <v>2.0095037155980402E-3</v>
      </c>
      <c r="D359" s="2">
        <v>1.1719454294128199E-3</v>
      </c>
      <c r="E359" s="2">
        <v>2.5567600736346898E-4</v>
      </c>
      <c r="F359" s="2">
        <v>1.8803319357238099E-3</v>
      </c>
    </row>
    <row r="360" spans="1:6" x14ac:dyDescent="0.25">
      <c r="A360" s="1" t="str">
        <f t="shared" si="14"/>
        <v>10580</v>
      </c>
      <c r="B360" s="1" t="str">
        <f>"12203"</f>
        <v>12203</v>
      </c>
      <c r="C360" s="2">
        <v>3.3676108144441497E-2</v>
      </c>
      <c r="D360" s="2">
        <v>4.3271831239858102E-2</v>
      </c>
      <c r="E360" s="2">
        <v>5.3998772755164598E-2</v>
      </c>
      <c r="F360" s="2">
        <v>3.5165323770304402E-2</v>
      </c>
    </row>
    <row r="361" spans="1:6" x14ac:dyDescent="0.25">
      <c r="A361" s="1" t="str">
        <f t="shared" si="14"/>
        <v>10580</v>
      </c>
      <c r="B361" s="1" t="str">
        <f>"12168"</f>
        <v>12168</v>
      </c>
      <c r="C361" s="2">
        <v>1.9068113073677101E-3</v>
      </c>
      <c r="D361" s="2">
        <v>7.2119718733096902E-4</v>
      </c>
      <c r="E361" s="2">
        <v>8.1816322356310001E-4</v>
      </c>
      <c r="F361" s="2">
        <v>1.78060162311083E-3</v>
      </c>
    </row>
    <row r="362" spans="1:6" x14ac:dyDescent="0.25">
      <c r="A362" s="1" t="str">
        <f t="shared" si="14"/>
        <v>10580</v>
      </c>
      <c r="B362" s="1" t="str">
        <f>"12239"</f>
        <v>12239</v>
      </c>
      <c r="C362" s="2">
        <v>0</v>
      </c>
      <c r="D362" s="2">
        <v>3.0049882805457002E-5</v>
      </c>
      <c r="E362" s="2">
        <v>0</v>
      </c>
      <c r="F362" s="2">
        <v>2.0777148461036602E-6</v>
      </c>
    </row>
    <row r="363" spans="1:6" x14ac:dyDescent="0.25">
      <c r="A363" s="1" t="str">
        <f t="shared" si="14"/>
        <v>10580</v>
      </c>
      <c r="B363" s="1" t="str">
        <f>"12040"</f>
        <v>12040</v>
      </c>
      <c r="C363" s="2">
        <v>2.3339183688711301E-6</v>
      </c>
      <c r="D363" s="2">
        <v>0</v>
      </c>
      <c r="E363" s="2">
        <v>5.1135201472693798E-5</v>
      </c>
      <c r="F363" s="2">
        <v>4.1554296922073204E-6</v>
      </c>
    </row>
    <row r="364" spans="1:6" x14ac:dyDescent="0.25">
      <c r="A364" s="1" t="str">
        <f t="shared" si="14"/>
        <v>10580</v>
      </c>
      <c r="B364" s="1" t="str">
        <f>"12236"</f>
        <v>12236</v>
      </c>
      <c r="C364" s="2">
        <v>0</v>
      </c>
      <c r="D364" s="2">
        <v>3.0049882805457002E-5</v>
      </c>
      <c r="E364" s="2">
        <v>5.1135201472693798E-5</v>
      </c>
      <c r="F364" s="2">
        <v>4.1554296922073204E-6</v>
      </c>
    </row>
    <row r="365" spans="1:6" x14ac:dyDescent="0.25">
      <c r="A365" s="1" t="str">
        <f t="shared" si="14"/>
        <v>10580</v>
      </c>
      <c r="B365" s="1" t="str">
        <f>"12022"</f>
        <v>12022</v>
      </c>
      <c r="C365" s="2">
        <v>5.5313865342245699E-4</v>
      </c>
      <c r="D365" s="2">
        <v>1.2019953122182801E-4</v>
      </c>
      <c r="E365" s="2">
        <v>2.5567600736346898E-4</v>
      </c>
      <c r="F365" s="2">
        <v>5.111178521415E-4</v>
      </c>
    </row>
    <row r="366" spans="1:6" x14ac:dyDescent="0.25">
      <c r="A366" s="1" t="str">
        <f t="shared" si="14"/>
        <v>10580</v>
      </c>
      <c r="B366" s="1" t="str">
        <f>"12308"</f>
        <v>12308</v>
      </c>
      <c r="C366" s="2">
        <v>1.6839221031405199E-2</v>
      </c>
      <c r="D366" s="2">
        <v>9.2854137868862308E-3</v>
      </c>
      <c r="E366" s="2">
        <v>2.3624463080384499E-2</v>
      </c>
      <c r="F366" s="2">
        <v>1.6592630760983801E-2</v>
      </c>
    </row>
    <row r="367" spans="1:6" x14ac:dyDescent="0.25">
      <c r="A367" s="1" t="str">
        <f t="shared" si="14"/>
        <v>10580</v>
      </c>
      <c r="B367" s="1" t="str">
        <f>"12138"</f>
        <v>12138</v>
      </c>
      <c r="C367" s="2">
        <v>3.2651517980507101E-3</v>
      </c>
      <c r="D367" s="2">
        <v>5.4089789049822695E-4</v>
      </c>
      <c r="E367" s="2">
        <v>5.1135201472693795E-4</v>
      </c>
      <c r="F367" s="2">
        <v>2.96489908538992E-3</v>
      </c>
    </row>
    <row r="368" spans="1:6" x14ac:dyDescent="0.25">
      <c r="A368" s="1" t="str">
        <f t="shared" si="14"/>
        <v>10580</v>
      </c>
      <c r="B368" s="1" t="str">
        <f>"12144"</f>
        <v>12144</v>
      </c>
      <c r="C368" s="2">
        <v>2.4713861607976301E-2</v>
      </c>
      <c r="D368" s="2">
        <v>2.1515716088707199E-2</v>
      </c>
      <c r="E368" s="2">
        <v>3.2931069748414803E-2</v>
      </c>
      <c r="F368" s="2">
        <v>2.4826614696092601E-2</v>
      </c>
    </row>
    <row r="369" spans="1:6" x14ac:dyDescent="0.25">
      <c r="A369" s="1" t="str">
        <f t="shared" si="14"/>
        <v>10580</v>
      </c>
      <c r="B369" s="1" t="str">
        <f>"12159"</f>
        <v>12159</v>
      </c>
      <c r="C369" s="2">
        <v>1.00125098024571E-2</v>
      </c>
      <c r="D369" s="2">
        <v>8.5942664823607101E-3</v>
      </c>
      <c r="E369" s="2">
        <v>6.8009817958682699E-3</v>
      </c>
      <c r="F369" s="2">
        <v>9.7839592103021403E-3</v>
      </c>
    </row>
    <row r="370" spans="1:6" x14ac:dyDescent="0.25">
      <c r="A370" s="1" t="str">
        <f t="shared" si="14"/>
        <v>10580</v>
      </c>
      <c r="B370" s="1" t="str">
        <f>"12118"</f>
        <v>12118</v>
      </c>
      <c r="C370" s="2">
        <v>1.83025878486874E-2</v>
      </c>
      <c r="D370" s="2">
        <v>8.6844161307770805E-3</v>
      </c>
      <c r="E370" s="2">
        <v>1.59030476580077E-2</v>
      </c>
      <c r="F370" s="2">
        <v>1.7540068730807101E-2</v>
      </c>
    </row>
    <row r="371" spans="1:6" x14ac:dyDescent="0.25">
      <c r="A371" s="1" t="str">
        <f t="shared" si="14"/>
        <v>10580</v>
      </c>
      <c r="B371" s="1" t="str">
        <f>"12147"</f>
        <v>12147</v>
      </c>
      <c r="C371" s="2">
        <v>5.8114567384891095E-4</v>
      </c>
      <c r="D371" s="2">
        <v>1.5024941402728501E-4</v>
      </c>
      <c r="E371" s="2">
        <v>5.1135201472693798E-5</v>
      </c>
      <c r="F371" s="2">
        <v>5.2981728575643297E-4</v>
      </c>
    </row>
    <row r="372" spans="1:6" x14ac:dyDescent="0.25">
      <c r="A372" s="1" t="str">
        <f t="shared" si="14"/>
        <v>10580</v>
      </c>
      <c r="B372" s="1" t="str">
        <f>"12082"</f>
        <v>12082</v>
      </c>
      <c r="C372" s="2">
        <v>6.76836326972627E-5</v>
      </c>
      <c r="D372" s="2">
        <v>0</v>
      </c>
      <c r="E372" s="2">
        <v>5.1135201472693798E-5</v>
      </c>
      <c r="F372" s="2">
        <v>6.2331445383109798E-5</v>
      </c>
    </row>
    <row r="373" spans="1:6" x14ac:dyDescent="0.25">
      <c r="A373" s="1" t="str">
        <f t="shared" si="14"/>
        <v>10580</v>
      </c>
      <c r="B373" s="1" t="str">
        <f>"12187"</f>
        <v>12187</v>
      </c>
      <c r="C373" s="2">
        <v>6.2082228611971997E-4</v>
      </c>
      <c r="D373" s="2">
        <v>0</v>
      </c>
      <c r="E373" s="2">
        <v>2.5567600736346898E-4</v>
      </c>
      <c r="F373" s="2">
        <v>5.6306072329409204E-4</v>
      </c>
    </row>
    <row r="374" spans="1:6" x14ac:dyDescent="0.25">
      <c r="A374" s="1" t="str">
        <f t="shared" si="14"/>
        <v>10580</v>
      </c>
      <c r="B374" s="1" t="str">
        <f>"12160"</f>
        <v>12160</v>
      </c>
      <c r="C374" s="2">
        <v>8.7755330669554504E-4</v>
      </c>
      <c r="D374" s="2">
        <v>2.1034917963819901E-4</v>
      </c>
      <c r="E374" s="2">
        <v>5.6248721619963098E-4</v>
      </c>
      <c r="F374" s="2">
        <v>8.1861964936484199E-4</v>
      </c>
    </row>
    <row r="375" spans="1:6" x14ac:dyDescent="0.25">
      <c r="A375" s="1" t="str">
        <f t="shared" si="14"/>
        <v>10580</v>
      </c>
      <c r="B375" s="1" t="str">
        <f>"12170"</f>
        <v>12170</v>
      </c>
      <c r="C375" s="2">
        <v>5.5010455954292497E-3</v>
      </c>
      <c r="D375" s="2">
        <v>2.7044894524911299E-4</v>
      </c>
      <c r="E375" s="2">
        <v>2.14767846185313E-3</v>
      </c>
      <c r="F375" s="2">
        <v>5.0031373494176098E-3</v>
      </c>
    </row>
    <row r="376" spans="1:6" x14ac:dyDescent="0.25">
      <c r="A376" s="1" t="str">
        <f t="shared" si="14"/>
        <v>10580</v>
      </c>
      <c r="B376" s="1" t="str">
        <f>"12047"</f>
        <v>12047</v>
      </c>
      <c r="C376" s="2">
        <v>2.7738619814033302E-2</v>
      </c>
      <c r="D376" s="2">
        <v>1.73087324959432E-2</v>
      </c>
      <c r="E376" s="2">
        <v>4.4078543669461998E-2</v>
      </c>
      <c r="F376" s="2">
        <v>2.7681394894639E-2</v>
      </c>
    </row>
    <row r="377" spans="1:6" x14ac:dyDescent="0.25">
      <c r="A377" s="1" t="str">
        <f t="shared" si="14"/>
        <v>10580</v>
      </c>
      <c r="B377" s="1" t="str">
        <f>"12035"</f>
        <v>12035</v>
      </c>
      <c r="C377" s="2">
        <v>7.6552522498973005E-4</v>
      </c>
      <c r="D377" s="2">
        <v>1.8029929683274201E-4</v>
      </c>
      <c r="E377" s="2">
        <v>8.1816322356310001E-4</v>
      </c>
      <c r="F377" s="2">
        <v>7.2720019613628105E-4</v>
      </c>
    </row>
    <row r="378" spans="1:6" x14ac:dyDescent="0.25">
      <c r="A378" s="1" t="str">
        <f t="shared" ref="A378:A409" si="15">"10580"</f>
        <v>10580</v>
      </c>
      <c r="B378" s="1" t="str">
        <f>"12073"</f>
        <v>12073</v>
      </c>
      <c r="C378" s="2">
        <v>0</v>
      </c>
      <c r="D378" s="2">
        <v>0</v>
      </c>
      <c r="E378" s="2">
        <v>5.1135201472693798E-5</v>
      </c>
      <c r="F378" s="2">
        <v>2.0777148461036602E-6</v>
      </c>
    </row>
    <row r="379" spans="1:6" x14ac:dyDescent="0.25">
      <c r="A379" s="1" t="str">
        <f t="shared" si="15"/>
        <v>10580</v>
      </c>
      <c r="B379" s="1" t="str">
        <f>"12224"</f>
        <v>12224</v>
      </c>
      <c r="C379" s="2">
        <v>0</v>
      </c>
      <c r="D379" s="2">
        <v>3.0049882805457002E-5</v>
      </c>
      <c r="E379" s="2">
        <v>0</v>
      </c>
      <c r="F379" s="2">
        <v>2.0777148461036602E-6</v>
      </c>
    </row>
    <row r="380" spans="1:6" x14ac:dyDescent="0.25">
      <c r="A380" s="1" t="str">
        <f t="shared" si="15"/>
        <v>10580</v>
      </c>
      <c r="B380" s="1" t="str">
        <f>"12233"</f>
        <v>12233</v>
      </c>
      <c r="C380" s="2">
        <v>0</v>
      </c>
      <c r="D380" s="2">
        <v>3.0049882805457002E-5</v>
      </c>
      <c r="E380" s="2">
        <v>0</v>
      </c>
      <c r="F380" s="2">
        <v>2.0777148461036602E-6</v>
      </c>
    </row>
    <row r="381" spans="1:6" x14ac:dyDescent="0.25">
      <c r="A381" s="1" t="str">
        <f t="shared" si="15"/>
        <v>10580</v>
      </c>
      <c r="B381" s="1" t="str">
        <f>"12248"</f>
        <v>12248</v>
      </c>
      <c r="C381" s="2">
        <v>0</v>
      </c>
      <c r="D381" s="2">
        <v>3.0049882805457002E-5</v>
      </c>
      <c r="E381" s="2">
        <v>0</v>
      </c>
      <c r="F381" s="2">
        <v>2.0777148461036602E-6</v>
      </c>
    </row>
    <row r="382" spans="1:6" x14ac:dyDescent="0.25">
      <c r="A382" s="1" t="str">
        <f t="shared" si="15"/>
        <v>10580</v>
      </c>
      <c r="B382" s="1" t="str">
        <f>"12469"</f>
        <v>12469</v>
      </c>
      <c r="C382" s="2">
        <v>1.14362000074685E-3</v>
      </c>
      <c r="D382" s="2">
        <v>2.4039906244365601E-4</v>
      </c>
      <c r="E382" s="2">
        <v>1.53405604418081E-4</v>
      </c>
      <c r="F382" s="2">
        <v>1.04093513789793E-3</v>
      </c>
    </row>
    <row r="383" spans="1:6" x14ac:dyDescent="0.25">
      <c r="A383" s="1" t="str">
        <f t="shared" si="15"/>
        <v>10580</v>
      </c>
      <c r="B383" s="1" t="str">
        <f>"12304"</f>
        <v>12304</v>
      </c>
      <c r="C383" s="2">
        <v>2.2891071361888001E-2</v>
      </c>
      <c r="D383" s="2">
        <v>2.00733217140453E-2</v>
      </c>
      <c r="E383" s="2">
        <v>2.2908570259766801E-2</v>
      </c>
      <c r="F383" s="2">
        <v>2.2696956978836301E-2</v>
      </c>
    </row>
    <row r="384" spans="1:6" x14ac:dyDescent="0.25">
      <c r="A384" s="1" t="str">
        <f t="shared" si="15"/>
        <v>10580</v>
      </c>
      <c r="B384" s="1" t="str">
        <f>"12305"</f>
        <v>12305</v>
      </c>
      <c r="C384" s="2">
        <v>8.0520183726053903E-3</v>
      </c>
      <c r="D384" s="2">
        <v>2.2747761283730902E-2</v>
      </c>
      <c r="E384" s="2">
        <v>2.5209654326038E-2</v>
      </c>
      <c r="F384" s="2">
        <v>9.7652597766872008E-3</v>
      </c>
    </row>
    <row r="385" spans="1:6" x14ac:dyDescent="0.25">
      <c r="A385" s="1" t="str">
        <f t="shared" si="15"/>
        <v>10580</v>
      </c>
      <c r="B385" s="1" t="str">
        <f>"12149"</f>
        <v>12149</v>
      </c>
      <c r="C385" s="2">
        <v>2.1098622054595002E-3</v>
      </c>
      <c r="D385" s="2">
        <v>6.6109742172005496E-4</v>
      </c>
      <c r="E385" s="2">
        <v>1.22724483534465E-3</v>
      </c>
      <c r="F385" s="2">
        <v>1.9738291037984701E-3</v>
      </c>
    </row>
    <row r="386" spans="1:6" x14ac:dyDescent="0.25">
      <c r="A386" s="1" t="str">
        <f t="shared" si="15"/>
        <v>10580</v>
      </c>
      <c r="B386" s="1" t="str">
        <f>"12150"</f>
        <v>12150</v>
      </c>
      <c r="C386" s="2">
        <v>8.0986967399828205E-4</v>
      </c>
      <c r="D386" s="2">
        <v>1.2019953122182801E-4</v>
      </c>
      <c r="E386" s="2">
        <v>4.0908161178155E-4</v>
      </c>
      <c r="F386" s="2">
        <v>7.4589962975121402E-4</v>
      </c>
    </row>
    <row r="387" spans="1:6" x14ac:dyDescent="0.25">
      <c r="A387" s="1" t="str">
        <f t="shared" si="15"/>
        <v>10580</v>
      </c>
      <c r="B387" s="1" t="str">
        <f>"12123"</f>
        <v>12123</v>
      </c>
      <c r="C387" s="2">
        <v>4.9829157175398601E-3</v>
      </c>
      <c r="D387" s="2">
        <v>1.14189554660736E-3</v>
      </c>
      <c r="E387" s="2">
        <v>3.0169768868889301E-3</v>
      </c>
      <c r="F387" s="2">
        <v>4.6374595365033704E-3</v>
      </c>
    </row>
    <row r="388" spans="1:6" x14ac:dyDescent="0.25">
      <c r="A388" s="1" t="str">
        <f t="shared" si="15"/>
        <v>10580</v>
      </c>
      <c r="B388" s="1" t="str">
        <f>"12093"</f>
        <v>12093</v>
      </c>
      <c r="C388" s="2">
        <v>1.40735277642929E-3</v>
      </c>
      <c r="D388" s="2">
        <v>1.8029929683274201E-4</v>
      </c>
      <c r="E388" s="2">
        <v>5.1135201472693798E-5</v>
      </c>
      <c r="F388" s="2">
        <v>1.26740605612323E-3</v>
      </c>
    </row>
    <row r="389" spans="1:6" x14ac:dyDescent="0.25">
      <c r="A389" s="1" t="str">
        <f t="shared" si="15"/>
        <v>10580</v>
      </c>
      <c r="B389" s="1" t="str">
        <f>"12120"</f>
        <v>12120</v>
      </c>
      <c r="C389" s="2">
        <v>6.2082228611971997E-4</v>
      </c>
      <c r="D389" s="2">
        <v>2.1034917963819901E-4</v>
      </c>
      <c r="E389" s="2">
        <v>2.5567600736346898E-4</v>
      </c>
      <c r="F389" s="2">
        <v>5.7760472721681705E-4</v>
      </c>
    </row>
    <row r="390" spans="1:6" x14ac:dyDescent="0.25">
      <c r="A390" s="1" t="str">
        <f t="shared" si="15"/>
        <v>10580</v>
      </c>
      <c r="B390" s="1" t="str">
        <f>"12143"</f>
        <v>12143</v>
      </c>
      <c r="C390" s="2">
        <v>5.0949437992456699E-3</v>
      </c>
      <c r="D390" s="2">
        <v>4.53753230362401E-3</v>
      </c>
      <c r="E390" s="2">
        <v>8.0793618326856203E-3</v>
      </c>
      <c r="F390" s="2">
        <v>5.1776653964903203E-3</v>
      </c>
    </row>
    <row r="391" spans="1:6" x14ac:dyDescent="0.25">
      <c r="A391" s="1" t="str">
        <f t="shared" si="15"/>
        <v>10580</v>
      </c>
      <c r="B391" s="1" t="str">
        <f>"12186"</f>
        <v>12186</v>
      </c>
      <c r="C391" s="2">
        <v>7.2841592292467901E-3</v>
      </c>
      <c r="D391" s="2">
        <v>5.0183304285113198E-3</v>
      </c>
      <c r="E391" s="2">
        <v>8.0282266312129199E-3</v>
      </c>
      <c r="F391" s="2">
        <v>7.1577276448271101E-3</v>
      </c>
    </row>
    <row r="392" spans="1:6" x14ac:dyDescent="0.25">
      <c r="A392" s="1" t="str">
        <f t="shared" si="15"/>
        <v>10580</v>
      </c>
      <c r="B392" s="1" t="str">
        <f>"12189"</f>
        <v>12189</v>
      </c>
      <c r="C392" s="2">
        <v>2.2428955524851499E-2</v>
      </c>
      <c r="D392" s="2">
        <v>1.34022477312338E-2</v>
      </c>
      <c r="E392" s="2">
        <v>2.22949478420944E-2</v>
      </c>
      <c r="F392" s="2">
        <v>2.17993841653196E-2</v>
      </c>
    </row>
    <row r="393" spans="1:6" x14ac:dyDescent="0.25">
      <c r="A393" s="1" t="str">
        <f t="shared" si="15"/>
        <v>10580</v>
      </c>
      <c r="B393" s="1" t="str">
        <f>"12043"</f>
        <v>12043</v>
      </c>
      <c r="C393" s="2">
        <v>8.0240113521789398E-3</v>
      </c>
      <c r="D393" s="2">
        <v>1.35524971452611E-2</v>
      </c>
      <c r="E393" s="2">
        <v>2.0198404581714E-2</v>
      </c>
      <c r="F393" s="2">
        <v>8.9009304007080792E-3</v>
      </c>
    </row>
    <row r="394" spans="1:6" x14ac:dyDescent="0.25">
      <c r="A394" s="1" t="str">
        <f t="shared" si="15"/>
        <v>10580</v>
      </c>
      <c r="B394" s="1" t="str">
        <f>"12063"</f>
        <v>12063</v>
      </c>
      <c r="C394" s="2">
        <v>3.5708951043728201E-4</v>
      </c>
      <c r="D394" s="2">
        <v>9.01496484163711E-5</v>
      </c>
      <c r="E394" s="2">
        <v>5.1135201472693798E-5</v>
      </c>
      <c r="F394" s="2">
        <v>3.2620123083827398E-4</v>
      </c>
    </row>
    <row r="395" spans="1:6" x14ac:dyDescent="0.25">
      <c r="A395" s="1" t="str">
        <f t="shared" si="15"/>
        <v>10580</v>
      </c>
      <c r="B395" s="1" t="str">
        <f>"12031"</f>
        <v>12031</v>
      </c>
      <c r="C395" s="2">
        <v>1.2369767355016901E-4</v>
      </c>
      <c r="D395" s="2">
        <v>3.0049882805457002E-5</v>
      </c>
      <c r="E395" s="2">
        <v>5.1135201472693798E-5</v>
      </c>
      <c r="F395" s="2">
        <v>1.14274316535701E-4</v>
      </c>
    </row>
    <row r="396" spans="1:6" x14ac:dyDescent="0.25">
      <c r="A396" s="1" t="str">
        <f t="shared" si="15"/>
        <v>10580</v>
      </c>
      <c r="B396" s="1" t="str">
        <f>"12859"</f>
        <v>12859</v>
      </c>
      <c r="C396" s="2">
        <v>2.1752119197878902E-3</v>
      </c>
      <c r="D396" s="2">
        <v>1.5024941402728501E-4</v>
      </c>
      <c r="E396" s="2">
        <v>7.6702802209040698E-4</v>
      </c>
      <c r="F396" s="2">
        <v>1.9779845334906799E-3</v>
      </c>
    </row>
    <row r="397" spans="1:6" x14ac:dyDescent="0.25">
      <c r="A397" s="1" t="str">
        <f t="shared" si="15"/>
        <v>10580</v>
      </c>
      <c r="B397" s="1" t="str">
        <f>"12831"</f>
        <v>12831</v>
      </c>
      <c r="C397" s="2">
        <v>1.79338287464057E-2</v>
      </c>
      <c r="D397" s="2">
        <v>5.7695774986477504E-3</v>
      </c>
      <c r="E397" s="2">
        <v>7.72141542237676E-3</v>
      </c>
      <c r="F397" s="2">
        <v>1.6677817069674E-2</v>
      </c>
    </row>
    <row r="398" spans="1:6" x14ac:dyDescent="0.25">
      <c r="A398" s="1" t="str">
        <f t="shared" si="15"/>
        <v>10580</v>
      </c>
      <c r="B398" s="1" t="str">
        <f>"12309"</f>
        <v>12309</v>
      </c>
      <c r="C398" s="2">
        <v>3.0887075693640499E-2</v>
      </c>
      <c r="D398" s="2">
        <v>1.6256986597752199E-2</v>
      </c>
      <c r="E398" s="2">
        <v>1.7692779709551999E-2</v>
      </c>
      <c r="F398" s="2">
        <v>2.93394113418298E-2</v>
      </c>
    </row>
    <row r="399" spans="1:6" x14ac:dyDescent="0.25">
      <c r="A399" s="1" t="str">
        <f t="shared" si="15"/>
        <v>10580</v>
      </c>
      <c r="B399" s="1" t="str">
        <f>"12288"</f>
        <v>12288</v>
      </c>
      <c r="C399" s="2">
        <v>0</v>
      </c>
      <c r="D399" s="2">
        <v>3.0049882805457002E-5</v>
      </c>
      <c r="E399" s="2">
        <v>5.1135201472693798E-5</v>
      </c>
      <c r="F399" s="2">
        <v>4.1554296922073204E-6</v>
      </c>
    </row>
    <row r="400" spans="1:6" x14ac:dyDescent="0.25">
      <c r="A400" s="1" t="str">
        <f t="shared" si="15"/>
        <v>10580</v>
      </c>
      <c r="B400" s="1" t="str">
        <f>"12460"</f>
        <v>12460</v>
      </c>
      <c r="C400" s="2">
        <v>1.16695918443556E-4</v>
      </c>
      <c r="D400" s="2">
        <v>0</v>
      </c>
      <c r="E400" s="2">
        <v>0</v>
      </c>
      <c r="F400" s="2">
        <v>1.03885742305183E-4</v>
      </c>
    </row>
    <row r="401" spans="1:6" x14ac:dyDescent="0.25">
      <c r="A401" s="1" t="str">
        <f t="shared" si="15"/>
        <v>10580</v>
      </c>
      <c r="B401" s="1" t="str">
        <f>"12092"</f>
        <v>12092</v>
      </c>
      <c r="C401" s="2">
        <v>1.2253071436573401E-3</v>
      </c>
      <c r="D401" s="2">
        <v>4.2069835927639802E-4</v>
      </c>
      <c r="E401" s="2">
        <v>8.6929842503579401E-4</v>
      </c>
      <c r="F401" s="2">
        <v>1.15520945443363E-3</v>
      </c>
    </row>
    <row r="402" spans="1:6" x14ac:dyDescent="0.25">
      <c r="A402" s="1" t="str">
        <f t="shared" si="15"/>
        <v>10580</v>
      </c>
      <c r="B402" s="1" t="str">
        <f>"12175"</f>
        <v>12175</v>
      </c>
      <c r="C402" s="2">
        <v>6.3249187796407601E-4</v>
      </c>
      <c r="D402" s="2">
        <v>6.0099765610914098E-5</v>
      </c>
      <c r="E402" s="2">
        <v>5.1135201472693798E-5</v>
      </c>
      <c r="F402" s="2">
        <v>5.6929386783240296E-4</v>
      </c>
    </row>
    <row r="403" spans="1:6" x14ac:dyDescent="0.25">
      <c r="A403" s="1" t="str">
        <f t="shared" si="15"/>
        <v>10580</v>
      </c>
      <c r="B403" s="1" t="str">
        <f>"12301"</f>
        <v>12301</v>
      </c>
      <c r="C403" s="2">
        <v>2.9150640427200399E-3</v>
      </c>
      <c r="D403" s="2">
        <v>6.5809243343950899E-3</v>
      </c>
      <c r="E403" s="2">
        <v>1.02270402945387E-4</v>
      </c>
      <c r="F403" s="2">
        <v>3.0542408237723799E-3</v>
      </c>
    </row>
    <row r="404" spans="1:6" x14ac:dyDescent="0.25">
      <c r="A404" s="1" t="str">
        <f t="shared" si="15"/>
        <v>10580</v>
      </c>
      <c r="B404" s="1" t="str">
        <f>"12169"</f>
        <v>12169</v>
      </c>
      <c r="C404" s="2">
        <v>5.2279771462713305E-4</v>
      </c>
      <c r="D404" s="2">
        <v>0</v>
      </c>
      <c r="E404" s="2">
        <v>3.06811208836162E-4</v>
      </c>
      <c r="F404" s="2">
        <v>4.7787441460384202E-4</v>
      </c>
    </row>
    <row r="405" spans="1:6" x14ac:dyDescent="0.25">
      <c r="A405" s="1" t="str">
        <f t="shared" si="15"/>
        <v>10580</v>
      </c>
      <c r="B405" s="1" t="str">
        <f>"12027"</f>
        <v>12027</v>
      </c>
      <c r="C405" s="2">
        <v>4.47178759475708E-3</v>
      </c>
      <c r="D405" s="2">
        <v>8.0834184746679406E-3</v>
      </c>
      <c r="E405" s="2">
        <v>1.8920024544896699E-3</v>
      </c>
      <c r="F405" s="2">
        <v>4.6166823880423296E-3</v>
      </c>
    </row>
    <row r="406" spans="1:6" x14ac:dyDescent="0.25">
      <c r="A406" s="1" t="str">
        <f t="shared" si="15"/>
        <v>10580</v>
      </c>
      <c r="B406" s="1" t="str">
        <f>"12023"</f>
        <v>12023</v>
      </c>
      <c r="C406" s="2">
        <v>2.22189028716531E-3</v>
      </c>
      <c r="D406" s="2">
        <v>6.0099765610914101E-4</v>
      </c>
      <c r="E406" s="2">
        <v>3.57946410308856E-4</v>
      </c>
      <c r="F406" s="2">
        <v>2.03408283433548E-3</v>
      </c>
    </row>
    <row r="407" spans="1:6" x14ac:dyDescent="0.25">
      <c r="A407" s="1" t="str">
        <f t="shared" si="15"/>
        <v>10580</v>
      </c>
      <c r="B407" s="1" t="str">
        <f>"12302"</f>
        <v>12302</v>
      </c>
      <c r="C407" s="2">
        <v>2.9232327570110898E-2</v>
      </c>
      <c r="D407" s="2">
        <v>1.9592523589158001E-2</v>
      </c>
      <c r="E407" s="2">
        <v>1.41133156064634E-2</v>
      </c>
      <c r="F407" s="2">
        <v>2.79514978246325E-2</v>
      </c>
    </row>
    <row r="408" spans="1:6" x14ac:dyDescent="0.25">
      <c r="A408" s="1" t="str">
        <f t="shared" si="15"/>
        <v>10580</v>
      </c>
      <c r="B408" s="1" t="str">
        <f>"12303"</f>
        <v>12303</v>
      </c>
      <c r="C408" s="2">
        <v>3.1428544755218599E-2</v>
      </c>
      <c r="D408" s="2">
        <v>2.1064967846625302E-2</v>
      </c>
      <c r="E408" s="2">
        <v>1.55451012476989E-2</v>
      </c>
      <c r="F408" s="2">
        <v>3.0066611537966002E-2</v>
      </c>
    </row>
    <row r="409" spans="1:6" x14ac:dyDescent="0.25">
      <c r="A409" s="1" t="str">
        <f t="shared" si="15"/>
        <v>10580</v>
      </c>
      <c r="B409" s="1" t="str">
        <f>"12209"</f>
        <v>12209</v>
      </c>
      <c r="C409" s="2">
        <v>1.0745360170282599E-2</v>
      </c>
      <c r="D409" s="2">
        <v>5.0183304285113198E-3</v>
      </c>
      <c r="E409" s="2">
        <v>1.3448557987318401E-2</v>
      </c>
      <c r="F409" s="2">
        <v>1.04592165352858E-2</v>
      </c>
    </row>
    <row r="410" spans="1:6" x14ac:dyDescent="0.25">
      <c r="A410" s="1" t="str">
        <f t="shared" ref="A410:A445" si="16">"10580"</f>
        <v>10580</v>
      </c>
      <c r="B410" s="1" t="str">
        <f>"12196"</f>
        <v>12196</v>
      </c>
      <c r="C410" s="2">
        <v>3.8766384106949398E-3</v>
      </c>
      <c r="D410" s="2">
        <v>3.72618546787667E-3</v>
      </c>
      <c r="E410" s="2">
        <v>1.68746164859889E-3</v>
      </c>
      <c r="F410" s="2">
        <v>3.77728559021645E-3</v>
      </c>
    </row>
    <row r="411" spans="1:6" x14ac:dyDescent="0.25">
      <c r="A411" s="1" t="str">
        <f t="shared" si="16"/>
        <v>10580</v>
      </c>
      <c r="B411" s="1" t="str">
        <f>"12052"</f>
        <v>12052</v>
      </c>
      <c r="C411" s="2">
        <v>1.48203816423316E-3</v>
      </c>
      <c r="D411" s="2">
        <v>3.0049882805457002E-5</v>
      </c>
      <c r="E411" s="2">
        <v>5.6248721619963098E-4</v>
      </c>
      <c r="F411" s="2">
        <v>1.3442815054290601E-3</v>
      </c>
    </row>
    <row r="412" spans="1:6" x14ac:dyDescent="0.25">
      <c r="A412" s="1" t="str">
        <f t="shared" si="16"/>
        <v>10580</v>
      </c>
      <c r="B412" s="1" t="str">
        <f>"12076"</f>
        <v>12076</v>
      </c>
      <c r="C412" s="2">
        <v>2.1892154300011202E-3</v>
      </c>
      <c r="D412" s="2">
        <v>4.50748242081855E-4</v>
      </c>
      <c r="E412" s="2">
        <v>5.1135201472693798E-5</v>
      </c>
      <c r="F412" s="2">
        <v>1.9821399631828902E-3</v>
      </c>
    </row>
    <row r="413" spans="1:6" x14ac:dyDescent="0.25">
      <c r="A413" s="1" t="str">
        <f t="shared" si="16"/>
        <v>10580</v>
      </c>
      <c r="B413" s="1" t="str">
        <f>"12009"</f>
        <v>12009</v>
      </c>
      <c r="C413" s="2">
        <v>7.7299376377011801E-3</v>
      </c>
      <c r="D413" s="2">
        <v>3.9665845303203297E-3</v>
      </c>
      <c r="E413" s="2">
        <v>2.9658416854162401E-3</v>
      </c>
      <c r="F413" s="2">
        <v>7.2761573910550201E-3</v>
      </c>
    </row>
    <row r="414" spans="1:6" x14ac:dyDescent="0.25">
      <c r="A414" s="1" t="str">
        <f t="shared" si="16"/>
        <v>10580</v>
      </c>
      <c r="B414" s="1" t="str">
        <f>"12019"</f>
        <v>12019</v>
      </c>
      <c r="C414" s="2">
        <v>1.61390455207438E-2</v>
      </c>
      <c r="D414" s="2">
        <v>6.6109742172005496E-3</v>
      </c>
      <c r="E414" s="2">
        <v>3.32378809572509E-3</v>
      </c>
      <c r="F414" s="2">
        <v>1.49595468919463E-2</v>
      </c>
    </row>
    <row r="415" spans="1:6" x14ac:dyDescent="0.25">
      <c r="A415" s="1" t="str">
        <f t="shared" si="16"/>
        <v>10580</v>
      </c>
      <c r="B415" s="1" t="str">
        <f>"12083"</f>
        <v>12083</v>
      </c>
      <c r="C415" s="2">
        <v>1.3373352253631501E-3</v>
      </c>
      <c r="D415" s="2">
        <v>2.1034917963819901E-4</v>
      </c>
      <c r="E415" s="2">
        <v>1.22724483534465E-3</v>
      </c>
      <c r="F415" s="2">
        <v>1.2549397670466101E-3</v>
      </c>
    </row>
    <row r="416" spans="1:6" x14ac:dyDescent="0.25">
      <c r="A416" s="1" t="str">
        <f t="shared" si="16"/>
        <v>10580</v>
      </c>
      <c r="B416" s="1" t="str">
        <f>"12148"</f>
        <v>12148</v>
      </c>
      <c r="C416" s="2">
        <v>4.8032040031367801E-3</v>
      </c>
      <c r="D416" s="2">
        <v>7.8129695294188296E-4</v>
      </c>
      <c r="E416" s="2">
        <v>3.57946410308856E-4</v>
      </c>
      <c r="F416" s="2">
        <v>4.34450174320275E-3</v>
      </c>
    </row>
    <row r="417" spans="1:6" x14ac:dyDescent="0.25">
      <c r="A417" s="1" t="str">
        <f t="shared" si="16"/>
        <v>10580</v>
      </c>
      <c r="B417" s="1" t="str">
        <f>"12188"</f>
        <v>12188</v>
      </c>
      <c r="C417" s="2">
        <v>1.17932895179058E-2</v>
      </c>
      <c r="D417" s="2">
        <v>5.0183304285113198E-3</v>
      </c>
      <c r="E417" s="2">
        <v>8.3861730415217793E-3</v>
      </c>
      <c r="F417" s="2">
        <v>1.1186416731422099E-2</v>
      </c>
    </row>
    <row r="418" spans="1:6" x14ac:dyDescent="0.25">
      <c r="A418" s="1" t="str">
        <f t="shared" si="16"/>
        <v>10580</v>
      </c>
      <c r="B418" s="1" t="str">
        <f>"12194"</f>
        <v>12194</v>
      </c>
      <c r="C418" s="2">
        <v>2.5439710220695298E-4</v>
      </c>
      <c r="D418" s="2">
        <v>3.0049882805457002E-5</v>
      </c>
      <c r="E418" s="2">
        <v>5.1135201472693798E-5</v>
      </c>
      <c r="F418" s="2">
        <v>2.30626347917506E-4</v>
      </c>
    </row>
    <row r="419" spans="1:6" x14ac:dyDescent="0.25">
      <c r="A419" s="1" t="str">
        <f t="shared" si="16"/>
        <v>10580</v>
      </c>
      <c r="B419" s="1" t="str">
        <f>"12056"</f>
        <v>12056</v>
      </c>
      <c r="C419" s="2">
        <v>2.1892154300011202E-3</v>
      </c>
      <c r="D419" s="2">
        <v>1.6226936714946801E-3</v>
      </c>
      <c r="E419" s="2">
        <v>1.3806504397627299E-3</v>
      </c>
      <c r="F419" s="2">
        <v>2.1171914281796298E-3</v>
      </c>
    </row>
    <row r="420" spans="1:6" x14ac:dyDescent="0.25">
      <c r="A420" s="1" t="str">
        <f t="shared" si="16"/>
        <v>10580</v>
      </c>
      <c r="B420" s="1" t="str">
        <f>"12863"</f>
        <v>12863</v>
      </c>
      <c r="C420" s="2">
        <v>7.3051644945666303E-4</v>
      </c>
      <c r="D420" s="2">
        <v>3.0049882805457002E-5</v>
      </c>
      <c r="E420" s="2">
        <v>3.57946410308856E-4</v>
      </c>
      <c r="F420" s="2">
        <v>6.6694646559927503E-4</v>
      </c>
    </row>
    <row r="421" spans="1:6" x14ac:dyDescent="0.25">
      <c r="A421" s="1" t="str">
        <f t="shared" si="16"/>
        <v>10580</v>
      </c>
      <c r="B421" s="1" t="str">
        <f>"12822"</f>
        <v>12822</v>
      </c>
      <c r="C421" s="2">
        <v>6.8173755554725704E-3</v>
      </c>
      <c r="D421" s="2">
        <v>3.1552376945729898E-3</v>
      </c>
      <c r="E421" s="2">
        <v>6.2384945796686402E-3</v>
      </c>
      <c r="F421" s="2">
        <v>6.5406463355343197E-3</v>
      </c>
    </row>
    <row r="422" spans="1:6" x14ac:dyDescent="0.25">
      <c r="A422" s="1" t="str">
        <f t="shared" si="16"/>
        <v>10580</v>
      </c>
      <c r="B422" s="1" t="str">
        <f>"12803"</f>
        <v>12803</v>
      </c>
      <c r="C422" s="2">
        <v>9.5924044960603392E-3</v>
      </c>
      <c r="D422" s="2">
        <v>7.4824208185587998E-3</v>
      </c>
      <c r="E422" s="2">
        <v>1.2988341174064199E-2</v>
      </c>
      <c r="F422" s="2">
        <v>9.5844985850761805E-3</v>
      </c>
    </row>
    <row r="423" spans="1:6" x14ac:dyDescent="0.25">
      <c r="A423" s="1" t="str">
        <f t="shared" si="16"/>
        <v>10580</v>
      </c>
      <c r="B423" s="1" t="str">
        <f>"12128"</f>
        <v>12128</v>
      </c>
      <c r="C423" s="2">
        <v>0</v>
      </c>
      <c r="D423" s="2">
        <v>3.0049882805457002E-5</v>
      </c>
      <c r="E423" s="2">
        <v>5.1135201472693798E-5</v>
      </c>
      <c r="F423" s="2">
        <v>4.1554296922073204E-6</v>
      </c>
    </row>
    <row r="424" spans="1:6" x14ac:dyDescent="0.25">
      <c r="A424" s="1" t="str">
        <f t="shared" si="16"/>
        <v>10580</v>
      </c>
      <c r="B424" s="1" t="str">
        <f>"12232"</f>
        <v>12232</v>
      </c>
      <c r="C424" s="2">
        <v>0</v>
      </c>
      <c r="D424" s="2">
        <v>3.0049882805457002E-5</v>
      </c>
      <c r="E424" s="2">
        <v>0</v>
      </c>
      <c r="F424" s="2">
        <v>2.0777148461036602E-6</v>
      </c>
    </row>
    <row r="425" spans="1:6" x14ac:dyDescent="0.25">
      <c r="A425" s="1" t="str">
        <f t="shared" si="16"/>
        <v>10580</v>
      </c>
      <c r="B425" s="1" t="str">
        <f>"12141"</f>
        <v>12141</v>
      </c>
      <c r="C425" s="2">
        <v>0</v>
      </c>
      <c r="D425" s="2">
        <v>0</v>
      </c>
      <c r="E425" s="2">
        <v>5.1135201472693798E-5</v>
      </c>
      <c r="F425" s="2">
        <v>2.0777148461036602E-6</v>
      </c>
    </row>
    <row r="426" spans="1:6" x14ac:dyDescent="0.25">
      <c r="A426" s="1" t="str">
        <f t="shared" si="16"/>
        <v>10580</v>
      </c>
      <c r="B426" s="1" t="str">
        <f>"12240"</f>
        <v>12240</v>
      </c>
      <c r="C426" s="2">
        <v>0</v>
      </c>
      <c r="D426" s="2">
        <v>3.0049882805457002E-5</v>
      </c>
      <c r="E426" s="2">
        <v>0</v>
      </c>
      <c r="F426" s="2">
        <v>2.0777148461036602E-6</v>
      </c>
    </row>
    <row r="427" spans="1:6" x14ac:dyDescent="0.25">
      <c r="A427" s="1" t="str">
        <f t="shared" si="16"/>
        <v>10580</v>
      </c>
      <c r="B427" s="1" t="str">
        <f>"12246"</f>
        <v>12246</v>
      </c>
      <c r="C427" s="2">
        <v>0</v>
      </c>
      <c r="D427" s="2">
        <v>9.01496484163711E-5</v>
      </c>
      <c r="E427" s="2">
        <v>0</v>
      </c>
      <c r="F427" s="2">
        <v>6.2331445383109798E-6</v>
      </c>
    </row>
    <row r="428" spans="1:6" x14ac:dyDescent="0.25">
      <c r="A428" s="1" t="str">
        <f t="shared" si="16"/>
        <v>10580</v>
      </c>
      <c r="B428" s="1" t="str">
        <f>"12257"</f>
        <v>12257</v>
      </c>
      <c r="C428" s="2">
        <v>0</v>
      </c>
      <c r="D428" s="2">
        <v>3.0049882805457002E-5</v>
      </c>
      <c r="E428" s="2">
        <v>0</v>
      </c>
      <c r="F428" s="2">
        <v>2.0777148461036602E-6</v>
      </c>
    </row>
    <row r="429" spans="1:6" x14ac:dyDescent="0.25">
      <c r="A429" s="1" t="str">
        <f t="shared" si="16"/>
        <v>10580</v>
      </c>
      <c r="B429" s="1" t="str">
        <f>"12227"</f>
        <v>12227</v>
      </c>
      <c r="C429" s="2">
        <v>0</v>
      </c>
      <c r="D429" s="2">
        <v>0</v>
      </c>
      <c r="E429" s="2">
        <v>5.1135201472693798E-5</v>
      </c>
      <c r="F429" s="2">
        <v>2.0777148461036602E-6</v>
      </c>
    </row>
    <row r="430" spans="1:6" x14ac:dyDescent="0.25">
      <c r="A430" s="1" t="str">
        <f t="shared" si="16"/>
        <v>10580</v>
      </c>
      <c r="B430" s="1" t="str">
        <f>"13320"</f>
        <v>13320</v>
      </c>
      <c r="C430" s="2">
        <v>9.3356734754845205E-6</v>
      </c>
      <c r="D430" s="2">
        <v>0</v>
      </c>
      <c r="E430" s="2">
        <v>0</v>
      </c>
      <c r="F430" s="2">
        <v>8.3108593844146408E-6</v>
      </c>
    </row>
    <row r="431" spans="1:6" x14ac:dyDescent="0.25">
      <c r="A431" s="1" t="str">
        <f t="shared" si="16"/>
        <v>10580</v>
      </c>
      <c r="B431" s="1" t="str">
        <f>"12245"</f>
        <v>12245</v>
      </c>
      <c r="C431" s="2">
        <v>0</v>
      </c>
      <c r="D431" s="2">
        <v>3.0049882805457002E-5</v>
      </c>
      <c r="E431" s="2">
        <v>0</v>
      </c>
      <c r="F431" s="2">
        <v>2.0777148461036602E-6</v>
      </c>
    </row>
    <row r="432" spans="1:6" x14ac:dyDescent="0.25">
      <c r="A432" s="1" t="str">
        <f t="shared" si="16"/>
        <v>10580</v>
      </c>
      <c r="B432" s="1" t="str">
        <f>"12234"</f>
        <v>12234</v>
      </c>
      <c r="C432" s="2">
        <v>0</v>
      </c>
      <c r="D432" s="2">
        <v>3.0049882805457002E-5</v>
      </c>
      <c r="E432" s="2">
        <v>0</v>
      </c>
      <c r="F432" s="2">
        <v>2.0777148461036602E-6</v>
      </c>
    </row>
    <row r="433" spans="1:6" x14ac:dyDescent="0.25">
      <c r="A433" s="1" t="str">
        <f t="shared" si="16"/>
        <v>10580</v>
      </c>
      <c r="B433" s="1" t="str">
        <f>"12235"</f>
        <v>12235</v>
      </c>
      <c r="C433" s="2">
        <v>0</v>
      </c>
      <c r="D433" s="2">
        <v>3.0049882805457002E-5</v>
      </c>
      <c r="E433" s="2">
        <v>0</v>
      </c>
      <c r="F433" s="2">
        <v>2.0777148461036602E-6</v>
      </c>
    </row>
    <row r="434" spans="1:6" x14ac:dyDescent="0.25">
      <c r="A434" s="1" t="str">
        <f t="shared" si="16"/>
        <v>10580</v>
      </c>
      <c r="B434" s="1" t="str">
        <f>"12226"</f>
        <v>12226</v>
      </c>
      <c r="C434" s="2">
        <v>0</v>
      </c>
      <c r="D434" s="2">
        <v>6.3104753891459798E-4</v>
      </c>
      <c r="E434" s="2">
        <v>1.53405604418081E-4</v>
      </c>
      <c r="F434" s="2">
        <v>4.9865156306487797E-5</v>
      </c>
    </row>
    <row r="435" spans="1:6" x14ac:dyDescent="0.25">
      <c r="A435" s="1" t="str">
        <f t="shared" si="16"/>
        <v>10580</v>
      </c>
      <c r="B435" s="1" t="str">
        <f>"12086"</f>
        <v>12086</v>
      </c>
      <c r="C435" s="2">
        <v>2.91739796108891E-4</v>
      </c>
      <c r="D435" s="2">
        <v>1.5024941402728501E-4</v>
      </c>
      <c r="E435" s="2">
        <v>1.02270402945387E-4</v>
      </c>
      <c r="F435" s="2">
        <v>2.7425835968568297E-4</v>
      </c>
    </row>
    <row r="436" spans="1:6" x14ac:dyDescent="0.25">
      <c r="A436" s="1" t="str">
        <f t="shared" si="16"/>
        <v>10580</v>
      </c>
      <c r="B436" s="1" t="str">
        <f>"12166"</f>
        <v>12166</v>
      </c>
      <c r="C436" s="2">
        <v>1.6337428582097901E-5</v>
      </c>
      <c r="D436" s="2">
        <v>0</v>
      </c>
      <c r="E436" s="2">
        <v>0</v>
      </c>
      <c r="F436" s="2">
        <v>1.45440039227256E-5</v>
      </c>
    </row>
    <row r="437" spans="1:6" x14ac:dyDescent="0.25">
      <c r="A437" s="1" t="str">
        <f t="shared" si="16"/>
        <v>10580</v>
      </c>
      <c r="B437" s="1" t="str">
        <f>"12046"</f>
        <v>12046</v>
      </c>
      <c r="C437" s="2">
        <v>6.4182755143956001E-4</v>
      </c>
      <c r="D437" s="2">
        <v>2.1034917963819901E-4</v>
      </c>
      <c r="E437" s="2">
        <v>7.6702802209040698E-4</v>
      </c>
      <c r="F437" s="2">
        <v>6.1708130929278703E-4</v>
      </c>
    </row>
    <row r="438" spans="1:6" x14ac:dyDescent="0.25">
      <c r="A438" s="1" t="str">
        <f t="shared" si="16"/>
        <v>10580</v>
      </c>
      <c r="B438" s="1" t="str">
        <f>"12041"</f>
        <v>12041</v>
      </c>
      <c r="C438" s="2">
        <v>2.6840061242017899E-4</v>
      </c>
      <c r="D438" s="2">
        <v>3.0049882805457002E-5</v>
      </c>
      <c r="E438" s="2">
        <v>1.53405604418081E-4</v>
      </c>
      <c r="F438" s="2">
        <v>2.4724806668633499E-4</v>
      </c>
    </row>
    <row r="439" spans="1:6" x14ac:dyDescent="0.25">
      <c r="A439" s="1" t="str">
        <f t="shared" si="16"/>
        <v>10580</v>
      </c>
      <c r="B439" s="1" t="str">
        <f>"12087"</f>
        <v>12087</v>
      </c>
      <c r="C439" s="2">
        <v>1.5637253071436501E-4</v>
      </c>
      <c r="D439" s="2">
        <v>3.0049882805457002E-5</v>
      </c>
      <c r="E439" s="2">
        <v>1.02270402945387E-4</v>
      </c>
      <c r="F439" s="2">
        <v>1.4544003922725601E-4</v>
      </c>
    </row>
    <row r="440" spans="1:6" x14ac:dyDescent="0.25">
      <c r="A440" s="1" t="str">
        <f t="shared" si="16"/>
        <v>10580</v>
      </c>
      <c r="B440" s="1" t="str">
        <f>"12184"</f>
        <v>12184</v>
      </c>
      <c r="C440" s="2">
        <v>4.6678367377422601E-5</v>
      </c>
      <c r="D440" s="2">
        <v>0</v>
      </c>
      <c r="E440" s="2">
        <v>0</v>
      </c>
      <c r="F440" s="2">
        <v>4.1554296922073201E-5</v>
      </c>
    </row>
    <row r="441" spans="1:6" x14ac:dyDescent="0.25">
      <c r="A441" s="1" t="str">
        <f t="shared" si="16"/>
        <v>10580</v>
      </c>
      <c r="B441" s="1" t="str">
        <f>"12020"</f>
        <v>12020</v>
      </c>
      <c r="C441" s="2">
        <v>3.8259923820904401E-2</v>
      </c>
      <c r="D441" s="2">
        <v>3.0140032453873401E-2</v>
      </c>
      <c r="E441" s="2">
        <v>2.81754960114542E-2</v>
      </c>
      <c r="F441" s="2">
        <v>3.7288748343022399E-2</v>
      </c>
    </row>
    <row r="442" spans="1:6" x14ac:dyDescent="0.25">
      <c r="A442" s="1" t="str">
        <f t="shared" si="16"/>
        <v>10580</v>
      </c>
      <c r="B442" s="1" t="str">
        <f>"12306"</f>
        <v>12306</v>
      </c>
      <c r="C442" s="2">
        <v>2.96174241009746E-2</v>
      </c>
      <c r="D442" s="2">
        <v>1.60766873009195E-2</v>
      </c>
      <c r="E442" s="2">
        <v>1.8510942933115102E-2</v>
      </c>
      <c r="F442" s="2">
        <v>2.8229911614010401E-2</v>
      </c>
    </row>
    <row r="443" spans="1:6" x14ac:dyDescent="0.25">
      <c r="A443" s="1" t="str">
        <f t="shared" si="16"/>
        <v>10580</v>
      </c>
      <c r="B443" s="1" t="str">
        <f>"12205"</f>
        <v>12205</v>
      </c>
      <c r="C443" s="2">
        <v>2.9958176182829799E-2</v>
      </c>
      <c r="D443" s="2">
        <v>8.3418474667948703E-2</v>
      </c>
      <c r="E443" s="2">
        <v>3.6203722642667198E-2</v>
      </c>
      <c r="F443" s="2">
        <v>3.3908306288411703E-2</v>
      </c>
    </row>
    <row r="444" spans="1:6" x14ac:dyDescent="0.25">
      <c r="A444" s="1" t="str">
        <f t="shared" si="16"/>
        <v>10580</v>
      </c>
      <c r="B444" s="1" t="str">
        <f>"12207"</f>
        <v>12207</v>
      </c>
      <c r="C444" s="2">
        <v>3.60590387990589E-3</v>
      </c>
      <c r="D444" s="2">
        <v>3.3295270148446403E-2</v>
      </c>
      <c r="E444" s="2">
        <v>1.23235835549192E-2</v>
      </c>
      <c r="F444" s="2">
        <v>6.0129067646239901E-3</v>
      </c>
    </row>
    <row r="445" spans="1:6" x14ac:dyDescent="0.25">
      <c r="A445" s="1" t="str">
        <f t="shared" si="16"/>
        <v>10580</v>
      </c>
      <c r="B445" s="1" t="str">
        <f>"12212"</f>
        <v>12212</v>
      </c>
      <c r="C445" s="2">
        <v>2.5813137159714701E-3</v>
      </c>
      <c r="D445" s="2">
        <v>1.41835446841757E-2</v>
      </c>
      <c r="E445" s="2">
        <v>1.02270402945387E-4</v>
      </c>
      <c r="F445" s="2">
        <v>3.2827894568437802E-3</v>
      </c>
    </row>
    <row r="446" spans="1:6" x14ac:dyDescent="0.25">
      <c r="A446" s="1" t="str">
        <f t="shared" ref="A446:A458" si="17">"10620"</f>
        <v>10620</v>
      </c>
      <c r="B446" s="1" t="str">
        <f>"28107"</f>
        <v>28107</v>
      </c>
      <c r="C446" s="2">
        <v>1.6136623411551101E-3</v>
      </c>
      <c r="D446" s="2">
        <v>0</v>
      </c>
      <c r="E446" s="2">
        <v>0</v>
      </c>
      <c r="F446" s="2">
        <v>1.4593657839530501E-3</v>
      </c>
    </row>
    <row r="447" spans="1:6" x14ac:dyDescent="0.25">
      <c r="A447" s="1" t="str">
        <f t="shared" si="17"/>
        <v>10620</v>
      </c>
      <c r="B447" s="1" t="str">
        <f>"28009"</f>
        <v>28009</v>
      </c>
      <c r="C447" s="2">
        <v>0</v>
      </c>
      <c r="D447" s="2">
        <v>0</v>
      </c>
      <c r="E447" s="2">
        <v>1.4285714285714199E-3</v>
      </c>
      <c r="F447" s="2">
        <v>3.0403453832355299E-5</v>
      </c>
    </row>
    <row r="448" spans="1:6" x14ac:dyDescent="0.25">
      <c r="A448" s="1" t="str">
        <f t="shared" si="17"/>
        <v>10620</v>
      </c>
      <c r="B448" s="1" t="str">
        <f>"28163"</f>
        <v>28163</v>
      </c>
      <c r="C448" s="2">
        <v>7.2648423317420802E-2</v>
      </c>
      <c r="D448" s="2">
        <v>1.0633946830265801E-2</v>
      </c>
      <c r="E448" s="2">
        <v>1.42857142857142E-2</v>
      </c>
      <c r="F448" s="2">
        <v>6.6796388069684701E-2</v>
      </c>
    </row>
    <row r="449" spans="1:6" x14ac:dyDescent="0.25">
      <c r="A449" s="1" t="str">
        <f t="shared" si="17"/>
        <v>10620</v>
      </c>
      <c r="B449" s="1" t="str">
        <f>"28002"</f>
        <v>28002</v>
      </c>
      <c r="C449" s="2">
        <v>6.5353324816781994E-2</v>
      </c>
      <c r="D449" s="2">
        <v>0.178323108384458</v>
      </c>
      <c r="E449" s="2">
        <v>2.8571428571428502E-3</v>
      </c>
      <c r="F449" s="2">
        <v>7.2421027028670398E-2</v>
      </c>
    </row>
    <row r="450" spans="1:6" x14ac:dyDescent="0.25">
      <c r="A450" s="1" t="str">
        <f t="shared" si="17"/>
        <v>10620</v>
      </c>
      <c r="B450" s="1" t="str">
        <f>"28137"</f>
        <v>28137</v>
      </c>
      <c r="C450" s="2">
        <v>2.8945068244469799E-2</v>
      </c>
      <c r="D450" s="2">
        <v>2.1676891615541899E-2</v>
      </c>
      <c r="E450" s="2">
        <v>1.42857142857142E-2</v>
      </c>
      <c r="F450" s="2">
        <v>2.8092791341096299E-2</v>
      </c>
    </row>
    <row r="451" spans="1:6" x14ac:dyDescent="0.25">
      <c r="A451" s="1" t="str">
        <f t="shared" si="17"/>
        <v>10620</v>
      </c>
      <c r="B451" s="1" t="str">
        <f>"28128"</f>
        <v>28128</v>
      </c>
      <c r="C451" s="2">
        <v>0.118671418005782</v>
      </c>
      <c r="D451" s="2">
        <v>5.9304703476482597E-2</v>
      </c>
      <c r="E451" s="2">
        <v>0.11714285714285699</v>
      </c>
      <c r="F451" s="2">
        <v>0.11422577604815901</v>
      </c>
    </row>
    <row r="452" spans="1:6" x14ac:dyDescent="0.25">
      <c r="A452" s="1" t="str">
        <f t="shared" si="17"/>
        <v>10620</v>
      </c>
      <c r="B452" s="1" t="str">
        <f>"28001"</f>
        <v>28001</v>
      </c>
      <c r="C452" s="2">
        <v>0.43478114704498</v>
      </c>
      <c r="D452" s="2">
        <v>0.56850715746421199</v>
      </c>
      <c r="E452" s="2">
        <v>0.68857142857142795</v>
      </c>
      <c r="F452" s="2">
        <v>0.45012313398802101</v>
      </c>
    </row>
    <row r="453" spans="1:6" x14ac:dyDescent="0.25">
      <c r="A453" s="1" t="str">
        <f t="shared" si="17"/>
        <v>10620</v>
      </c>
      <c r="B453" s="1" t="str">
        <f>"28127"</f>
        <v>28127</v>
      </c>
      <c r="C453" s="2">
        <v>7.1639884354198796E-2</v>
      </c>
      <c r="D453" s="2">
        <v>3.2719836400817902E-2</v>
      </c>
      <c r="E453" s="2">
        <v>0.03</v>
      </c>
      <c r="F453" s="2">
        <v>6.7860508953817095E-2</v>
      </c>
    </row>
    <row r="454" spans="1:6" x14ac:dyDescent="0.25">
      <c r="A454" s="1" t="str">
        <f t="shared" si="17"/>
        <v>10620</v>
      </c>
      <c r="B454" s="1" t="str">
        <f>"28097"</f>
        <v>28097</v>
      </c>
      <c r="C454" s="2">
        <v>9.6012909298729202E-2</v>
      </c>
      <c r="D454" s="2">
        <v>9.8568507157464194E-2</v>
      </c>
      <c r="E454" s="2">
        <v>0.122857142857142</v>
      </c>
      <c r="F454" s="2">
        <v>9.6774193548386997E-2</v>
      </c>
    </row>
    <row r="455" spans="1:6" x14ac:dyDescent="0.25">
      <c r="A455" s="1" t="str">
        <f t="shared" si="17"/>
        <v>10620</v>
      </c>
      <c r="B455" s="1" t="str">
        <f>"28071"</f>
        <v>28071</v>
      </c>
      <c r="C455" s="2">
        <v>3.4962684058360699E-3</v>
      </c>
      <c r="D455" s="2">
        <v>4.0899795501022398E-4</v>
      </c>
      <c r="E455" s="2">
        <v>2.8571428571428502E-3</v>
      </c>
      <c r="F455" s="2">
        <v>3.25316956006202E-3</v>
      </c>
    </row>
    <row r="456" spans="1:6" x14ac:dyDescent="0.25">
      <c r="A456" s="1" t="str">
        <f t="shared" si="17"/>
        <v>10620</v>
      </c>
      <c r="B456" s="1" t="str">
        <f>"28109"</f>
        <v>28109</v>
      </c>
      <c r="C456" s="2">
        <v>0</v>
      </c>
      <c r="D456" s="2">
        <v>4.0899795501022398E-4</v>
      </c>
      <c r="E456" s="2">
        <v>0</v>
      </c>
      <c r="F456" s="2">
        <v>3.0403453832355299E-5</v>
      </c>
    </row>
    <row r="457" spans="1:6" x14ac:dyDescent="0.25">
      <c r="A457" s="1" t="str">
        <f t="shared" si="17"/>
        <v>10620</v>
      </c>
      <c r="B457" s="1" t="str">
        <f>"28124"</f>
        <v>28124</v>
      </c>
      <c r="C457" s="2">
        <v>1.04551872520675E-2</v>
      </c>
      <c r="D457" s="2">
        <v>2.86298568507157E-3</v>
      </c>
      <c r="E457" s="2">
        <v>2.8571428571428502E-3</v>
      </c>
      <c r="F457" s="2">
        <v>9.7291052263537101E-3</v>
      </c>
    </row>
    <row r="458" spans="1:6" x14ac:dyDescent="0.25">
      <c r="A458" s="1" t="str">
        <f t="shared" si="17"/>
        <v>10620</v>
      </c>
      <c r="B458" s="1" t="str">
        <f>"28129"</f>
        <v>28129</v>
      </c>
      <c r="C458" s="2">
        <v>9.6382706918577199E-2</v>
      </c>
      <c r="D458" s="2">
        <v>2.6584867075664601E-2</v>
      </c>
      <c r="E458" s="2">
        <v>2.8571428571428502E-3</v>
      </c>
      <c r="F458" s="2">
        <v>8.9203733544130595E-2</v>
      </c>
    </row>
    <row r="459" spans="1:6" x14ac:dyDescent="0.25">
      <c r="A459" s="1" t="str">
        <f t="shared" ref="A459:A477" si="18">"10660"</f>
        <v>10660</v>
      </c>
      <c r="B459" s="1" t="str">
        <f>"56089"</f>
        <v>56089</v>
      </c>
      <c r="C459" s="2">
        <v>6.9736842105263099E-3</v>
      </c>
      <c r="D459" s="2">
        <v>1.45772594752186E-3</v>
      </c>
      <c r="E459" s="2">
        <v>2.77008310249307E-3</v>
      </c>
      <c r="F459" s="2">
        <v>6.4371345892635604E-3</v>
      </c>
    </row>
    <row r="460" spans="1:6" x14ac:dyDescent="0.25">
      <c r="A460" s="1" t="str">
        <f t="shared" si="18"/>
        <v>10660</v>
      </c>
      <c r="B460" s="1" t="str">
        <f>"56072"</f>
        <v>56072</v>
      </c>
      <c r="C460" s="2">
        <v>2.30263157894736E-3</v>
      </c>
      <c r="D460" s="2">
        <v>0</v>
      </c>
      <c r="E460" s="2">
        <v>0</v>
      </c>
      <c r="F460" s="2">
        <v>2.0669698222405899E-3</v>
      </c>
    </row>
    <row r="461" spans="1:6" x14ac:dyDescent="0.25">
      <c r="A461" s="1" t="str">
        <f t="shared" si="18"/>
        <v>10660</v>
      </c>
      <c r="B461" s="1" t="str">
        <f>"56009"</f>
        <v>56009</v>
      </c>
      <c r="C461" s="2">
        <v>4.7368421052631497E-2</v>
      </c>
      <c r="D461" s="2">
        <v>2.6967930029154499E-2</v>
      </c>
      <c r="E461" s="2">
        <v>1.3850415512465301E-2</v>
      </c>
      <c r="F461" s="2">
        <v>4.5000885844209498E-2</v>
      </c>
    </row>
    <row r="462" spans="1:6" x14ac:dyDescent="0.25">
      <c r="A462" s="1" t="str">
        <f t="shared" si="18"/>
        <v>10660</v>
      </c>
      <c r="B462" s="1" t="str">
        <f>"56051"</f>
        <v>56051</v>
      </c>
      <c r="C462" s="2">
        <v>6.5789473684210498E-5</v>
      </c>
      <c r="D462" s="2">
        <v>0</v>
      </c>
      <c r="E462" s="2">
        <v>0</v>
      </c>
      <c r="F462" s="2">
        <v>5.9056280635445497E-5</v>
      </c>
    </row>
    <row r="463" spans="1:6" x14ac:dyDescent="0.25">
      <c r="A463" s="1" t="str">
        <f t="shared" si="18"/>
        <v>10660</v>
      </c>
      <c r="B463" s="1" t="str">
        <f>"55912"</f>
        <v>55912</v>
      </c>
      <c r="C463" s="2">
        <v>1.55263157894736E-2</v>
      </c>
      <c r="D463" s="2">
        <v>2.91545189504373E-3</v>
      </c>
      <c r="E463" s="2">
        <v>5.5401662049861401E-3</v>
      </c>
      <c r="F463" s="2">
        <v>1.42916199137778E-2</v>
      </c>
    </row>
    <row r="464" spans="1:6" x14ac:dyDescent="0.25">
      <c r="A464" s="1" t="str">
        <f t="shared" si="18"/>
        <v>10660</v>
      </c>
      <c r="B464" s="1" t="str">
        <f>"56043"</f>
        <v>56043</v>
      </c>
      <c r="C464" s="2">
        <v>9.0131578947368392E-3</v>
      </c>
      <c r="D464" s="2">
        <v>8.0174927113702606E-3</v>
      </c>
      <c r="E464" s="2">
        <v>2.77008310249307E-3</v>
      </c>
      <c r="F464" s="2">
        <v>8.7993858146813899E-3</v>
      </c>
    </row>
    <row r="465" spans="1:6" x14ac:dyDescent="0.25">
      <c r="A465" s="1" t="str">
        <f t="shared" si="18"/>
        <v>10660</v>
      </c>
      <c r="B465" s="1" t="str">
        <f>"56035"</f>
        <v>56035</v>
      </c>
      <c r="C465" s="2">
        <v>1.38157894736842E-2</v>
      </c>
      <c r="D465" s="2">
        <v>0</v>
      </c>
      <c r="E465" s="2">
        <v>5.5401662049861401E-3</v>
      </c>
      <c r="F465" s="2">
        <v>1.2519931494714399E-2</v>
      </c>
    </row>
    <row r="466" spans="1:6" x14ac:dyDescent="0.25">
      <c r="A466" s="1" t="str">
        <f t="shared" si="18"/>
        <v>10660</v>
      </c>
      <c r="B466" s="1" t="str">
        <f>"56029"</f>
        <v>56029</v>
      </c>
      <c r="C466" s="2">
        <v>0.02</v>
      </c>
      <c r="D466" s="2">
        <v>8.7463556851311904E-3</v>
      </c>
      <c r="E466" s="2">
        <v>1.10803324099722E-2</v>
      </c>
      <c r="F466" s="2">
        <v>1.88980098033425E-2</v>
      </c>
    </row>
    <row r="467" spans="1:6" x14ac:dyDescent="0.25">
      <c r="A467" s="1" t="str">
        <f t="shared" si="18"/>
        <v>10660</v>
      </c>
      <c r="B467" s="1" t="str">
        <f>"56032"</f>
        <v>56032</v>
      </c>
      <c r="C467" s="2">
        <v>1.05921052631578E-2</v>
      </c>
      <c r="D467" s="2">
        <v>0</v>
      </c>
      <c r="E467" s="2">
        <v>8.3102493074792196E-3</v>
      </c>
      <c r="F467" s="2">
        <v>9.6852300242130703E-3</v>
      </c>
    </row>
    <row r="468" spans="1:6" x14ac:dyDescent="0.25">
      <c r="A468" s="1" t="str">
        <f t="shared" si="18"/>
        <v>10660</v>
      </c>
      <c r="B468" s="1" t="str">
        <f>"56036"</f>
        <v>56036</v>
      </c>
      <c r="C468" s="2">
        <v>6.0263157894736803E-2</v>
      </c>
      <c r="D468" s="2">
        <v>2.6967930029154499E-2</v>
      </c>
      <c r="E468" s="2">
        <v>1.9390581717451501E-2</v>
      </c>
      <c r="F468" s="2">
        <v>5.6694029410027699E-2</v>
      </c>
    </row>
    <row r="469" spans="1:6" x14ac:dyDescent="0.25">
      <c r="A469" s="1" t="str">
        <f t="shared" si="18"/>
        <v>10660</v>
      </c>
      <c r="B469" s="1" t="str">
        <f>"56042"</f>
        <v>56042</v>
      </c>
      <c r="C469" s="2">
        <v>2.0526315789473601E-2</v>
      </c>
      <c r="D469" s="2">
        <v>4.37317784256559E-3</v>
      </c>
      <c r="E469" s="2">
        <v>1.9390581717451501E-2</v>
      </c>
      <c r="F469" s="2">
        <v>1.9193291206519799E-2</v>
      </c>
    </row>
    <row r="470" spans="1:6" x14ac:dyDescent="0.25">
      <c r="A470" s="1" t="str">
        <f t="shared" si="18"/>
        <v>10660</v>
      </c>
      <c r="B470" s="1" t="str">
        <f>"56045"</f>
        <v>56045</v>
      </c>
      <c r="C470" s="2">
        <v>2.44736842105263E-2</v>
      </c>
      <c r="D470" s="2">
        <v>1.53061224489795E-2</v>
      </c>
      <c r="E470" s="2">
        <v>1.10803324099722E-2</v>
      </c>
      <c r="F470" s="2">
        <v>2.34453434122718E-2</v>
      </c>
    </row>
    <row r="471" spans="1:6" x14ac:dyDescent="0.25">
      <c r="A471" s="1" t="str">
        <f t="shared" si="18"/>
        <v>10660</v>
      </c>
      <c r="B471" s="1" t="str">
        <f>"56026"</f>
        <v>56026</v>
      </c>
      <c r="C471" s="2">
        <v>1.17763157894736E-2</v>
      </c>
      <c r="D471" s="2">
        <v>2.1865889212827898E-3</v>
      </c>
      <c r="E471" s="2">
        <v>0</v>
      </c>
      <c r="F471" s="2">
        <v>1.0748243075651E-2</v>
      </c>
    </row>
    <row r="472" spans="1:6" x14ac:dyDescent="0.25">
      <c r="A472" s="1" t="str">
        <f t="shared" si="18"/>
        <v>10660</v>
      </c>
      <c r="B472" s="1" t="str">
        <f>"56020"</f>
        <v>56020</v>
      </c>
      <c r="C472" s="2">
        <v>0</v>
      </c>
      <c r="D472" s="2">
        <v>0</v>
      </c>
      <c r="E472" s="2">
        <v>2.77008310249307E-3</v>
      </c>
      <c r="F472" s="2">
        <v>5.9056280635445497E-5</v>
      </c>
    </row>
    <row r="473" spans="1:6" x14ac:dyDescent="0.25">
      <c r="A473" s="1" t="str">
        <f t="shared" si="18"/>
        <v>10660</v>
      </c>
      <c r="B473" s="1" t="str">
        <f>"56097"</f>
        <v>56097</v>
      </c>
      <c r="C473" s="2">
        <v>6.3157894736842104E-3</v>
      </c>
      <c r="D473" s="2">
        <v>1.45772594752186E-3</v>
      </c>
      <c r="E473" s="2">
        <v>0</v>
      </c>
      <c r="F473" s="2">
        <v>5.7875155022736602E-3</v>
      </c>
    </row>
    <row r="474" spans="1:6" x14ac:dyDescent="0.25">
      <c r="A474" s="1" t="str">
        <f t="shared" si="18"/>
        <v>10660</v>
      </c>
      <c r="B474" s="1" t="str">
        <f>"56007"</f>
        <v>56007</v>
      </c>
      <c r="C474" s="2">
        <v>0.71282894736842095</v>
      </c>
      <c r="D474" s="2">
        <v>0.870262390670553</v>
      </c>
      <c r="E474" s="2">
        <v>0.88088642659279703</v>
      </c>
      <c r="F474" s="2">
        <v>0.72916789700584606</v>
      </c>
    </row>
    <row r="475" spans="1:6" x14ac:dyDescent="0.25">
      <c r="A475" s="1" t="str">
        <f t="shared" si="18"/>
        <v>10660</v>
      </c>
      <c r="B475" s="1" t="str">
        <f>"56016"</f>
        <v>56016</v>
      </c>
      <c r="C475" s="2">
        <v>3.2368421052631498E-2</v>
      </c>
      <c r="D475" s="2">
        <v>2.9883381924198201E-2</v>
      </c>
      <c r="E475" s="2">
        <v>1.6620498614958401E-2</v>
      </c>
      <c r="F475" s="2">
        <v>3.1831335262505103E-2</v>
      </c>
    </row>
    <row r="476" spans="1:6" x14ac:dyDescent="0.25">
      <c r="A476" s="1" t="str">
        <f t="shared" si="18"/>
        <v>10660</v>
      </c>
      <c r="B476" s="1" t="str">
        <f>"55953"</f>
        <v>55953</v>
      </c>
      <c r="C476" s="2">
        <v>7.2368421052631496E-4</v>
      </c>
      <c r="D476" s="2">
        <v>0</v>
      </c>
      <c r="E476" s="2">
        <v>0</v>
      </c>
      <c r="F476" s="2">
        <v>6.49619086989901E-4</v>
      </c>
    </row>
    <row r="477" spans="1:6" x14ac:dyDescent="0.25">
      <c r="A477" s="1" t="str">
        <f t="shared" si="18"/>
        <v>10660</v>
      </c>
      <c r="B477" s="1" t="str">
        <f>"55917"</f>
        <v>55917</v>
      </c>
      <c r="C477" s="2">
        <v>5.0657894736842101E-3</v>
      </c>
      <c r="D477" s="2">
        <v>1.45772594752186E-3</v>
      </c>
      <c r="E477" s="2">
        <v>0</v>
      </c>
      <c r="F477" s="2">
        <v>4.6654461702001996E-3</v>
      </c>
    </row>
    <row r="478" spans="1:6" x14ac:dyDescent="0.25">
      <c r="A478" s="1" t="str">
        <f t="shared" ref="A478:A496" si="19">"10700"</f>
        <v>10700</v>
      </c>
      <c r="B478" s="1" t="str">
        <f>"35747"</f>
        <v>35747</v>
      </c>
      <c r="C478" s="2">
        <v>6.8168495100912802E-2</v>
      </c>
      <c r="D478" s="2">
        <v>2.1710526315789399E-2</v>
      </c>
      <c r="E478" s="2">
        <v>2.1551724137931001E-2</v>
      </c>
      <c r="F478" s="2">
        <v>6.3560920407393404E-2</v>
      </c>
    </row>
    <row r="479" spans="1:6" x14ac:dyDescent="0.25">
      <c r="A479" s="1" t="str">
        <f t="shared" si="19"/>
        <v>10700</v>
      </c>
      <c r="B479" s="1" t="str">
        <f>"35975"</f>
        <v>35975</v>
      </c>
      <c r="C479" s="2">
        <v>1.13055857968344E-3</v>
      </c>
      <c r="D479" s="2">
        <v>0</v>
      </c>
      <c r="E479" s="2">
        <v>0</v>
      </c>
      <c r="F479" s="2">
        <v>1.01848359109769E-3</v>
      </c>
    </row>
    <row r="480" spans="1:6" x14ac:dyDescent="0.25">
      <c r="A480" s="1" t="str">
        <f t="shared" si="19"/>
        <v>10700</v>
      </c>
      <c r="B480" s="1" t="str">
        <f>"35175"</f>
        <v>35175</v>
      </c>
      <c r="C480" s="2">
        <v>4.25215643580939E-2</v>
      </c>
      <c r="D480" s="2">
        <v>1.09649122807017E-2</v>
      </c>
      <c r="E480" s="2">
        <v>5.7471264367815996E-3</v>
      </c>
      <c r="F480" s="2">
        <v>3.9324783100716701E-2</v>
      </c>
    </row>
    <row r="481" spans="1:6" x14ac:dyDescent="0.25">
      <c r="A481" s="1" t="str">
        <f t="shared" si="19"/>
        <v>10700</v>
      </c>
      <c r="B481" s="1" t="str">
        <f>"35031"</f>
        <v>35031</v>
      </c>
      <c r="C481" s="2">
        <v>4.1872539988275599E-5</v>
      </c>
      <c r="D481" s="2">
        <v>0</v>
      </c>
      <c r="E481" s="2">
        <v>0</v>
      </c>
      <c r="F481" s="2">
        <v>3.7721614485099902E-5</v>
      </c>
    </row>
    <row r="482" spans="1:6" x14ac:dyDescent="0.25">
      <c r="A482" s="1" t="str">
        <f t="shared" si="19"/>
        <v>10700</v>
      </c>
      <c r="B482" s="1" t="str">
        <f>"35956"</f>
        <v>35956</v>
      </c>
      <c r="C482" s="2">
        <v>3.7685285989448098E-4</v>
      </c>
      <c r="D482" s="2">
        <v>0</v>
      </c>
      <c r="E482" s="2">
        <v>0</v>
      </c>
      <c r="F482" s="2">
        <v>3.3949453036589901E-4</v>
      </c>
    </row>
    <row r="483" spans="1:6" x14ac:dyDescent="0.25">
      <c r="A483" s="1" t="str">
        <f t="shared" si="19"/>
        <v>10700</v>
      </c>
      <c r="B483" s="1" t="str">
        <f>"35087"</f>
        <v>35087</v>
      </c>
      <c r="C483" s="2">
        <v>2.0936269994137799E-3</v>
      </c>
      <c r="D483" s="2">
        <v>4.3859649122807002E-4</v>
      </c>
      <c r="E483" s="2">
        <v>0</v>
      </c>
      <c r="F483" s="2">
        <v>1.9238023387400901E-3</v>
      </c>
    </row>
    <row r="484" spans="1:6" x14ac:dyDescent="0.25">
      <c r="A484" s="1" t="str">
        <f t="shared" si="19"/>
        <v>10700</v>
      </c>
      <c r="B484" s="1" t="str">
        <f>"35962"</f>
        <v>35962</v>
      </c>
      <c r="C484" s="2">
        <v>4.9618959886106604E-3</v>
      </c>
      <c r="D484" s="2">
        <v>4.3859649122807002E-4</v>
      </c>
      <c r="E484" s="2">
        <v>2.8735632183907998E-3</v>
      </c>
      <c r="F484" s="2">
        <v>4.54545454545454E-3</v>
      </c>
    </row>
    <row r="485" spans="1:6" x14ac:dyDescent="0.25">
      <c r="A485" s="1" t="str">
        <f t="shared" si="19"/>
        <v>10700</v>
      </c>
      <c r="B485" s="1" t="str">
        <f>"35016"</f>
        <v>35016</v>
      </c>
      <c r="C485" s="2">
        <v>0.15356754040700099</v>
      </c>
      <c r="D485" s="2">
        <v>0.143201754385964</v>
      </c>
      <c r="E485" s="2">
        <v>0.122126436781609</v>
      </c>
      <c r="F485" s="2">
        <v>0.152263296869105</v>
      </c>
    </row>
    <row r="486" spans="1:6" x14ac:dyDescent="0.25">
      <c r="A486" s="1" t="str">
        <f t="shared" si="19"/>
        <v>10700</v>
      </c>
      <c r="B486" s="1" t="str">
        <f>"35760"</f>
        <v>35760</v>
      </c>
      <c r="C486" s="2">
        <v>3.01482287915584E-3</v>
      </c>
      <c r="D486" s="2">
        <v>4.3859649122807002E-4</v>
      </c>
      <c r="E486" s="2">
        <v>2.8735632183907998E-3</v>
      </c>
      <c r="F486" s="2">
        <v>2.7913994718973901E-3</v>
      </c>
    </row>
    <row r="487" spans="1:6" x14ac:dyDescent="0.25">
      <c r="A487" s="1" t="str">
        <f t="shared" si="19"/>
        <v>10700</v>
      </c>
      <c r="B487" s="1" t="str">
        <f>"35769"</f>
        <v>35769</v>
      </c>
      <c r="C487" s="2">
        <v>2.6254082572648801E-2</v>
      </c>
      <c r="D487" s="2">
        <v>3.94736842105263E-3</v>
      </c>
      <c r="E487" s="2">
        <v>1.00574712643678E-2</v>
      </c>
      <c r="F487" s="2">
        <v>2.4122972463221402E-2</v>
      </c>
    </row>
    <row r="488" spans="1:6" x14ac:dyDescent="0.25">
      <c r="A488" s="1" t="str">
        <f t="shared" si="19"/>
        <v>10700</v>
      </c>
      <c r="B488" s="1" t="str">
        <f>"35950"</f>
        <v>35950</v>
      </c>
      <c r="C488" s="2">
        <v>0.187442425257516</v>
      </c>
      <c r="D488" s="2">
        <v>0.26622807017543798</v>
      </c>
      <c r="E488" s="2">
        <v>0.31321839080459701</v>
      </c>
      <c r="F488" s="2">
        <v>0.19586948321388101</v>
      </c>
    </row>
    <row r="489" spans="1:6" x14ac:dyDescent="0.25">
      <c r="A489" s="1" t="str">
        <f t="shared" si="19"/>
        <v>10700</v>
      </c>
      <c r="B489" s="1" t="str">
        <f>"35980"</f>
        <v>35980</v>
      </c>
      <c r="C489" s="2">
        <v>3.9171761159031898E-2</v>
      </c>
      <c r="D489" s="2">
        <v>9.4298245614034999E-3</v>
      </c>
      <c r="E489" s="2">
        <v>2.0114942528735601E-2</v>
      </c>
      <c r="F489" s="2">
        <v>3.6363636363636299E-2</v>
      </c>
    </row>
    <row r="490" spans="1:6" x14ac:dyDescent="0.25">
      <c r="A490" s="1" t="str">
        <f t="shared" si="19"/>
        <v>10700</v>
      </c>
      <c r="B490" s="1" t="str">
        <f>"35964"</f>
        <v>35964</v>
      </c>
      <c r="C490" s="2">
        <v>0</v>
      </c>
      <c r="D490" s="2">
        <v>2.1929824561403501E-4</v>
      </c>
      <c r="E490" s="2">
        <v>0</v>
      </c>
      <c r="F490" s="2">
        <v>1.88608072425499E-5</v>
      </c>
    </row>
    <row r="491" spans="1:6" x14ac:dyDescent="0.25">
      <c r="A491" s="1" t="str">
        <f t="shared" si="19"/>
        <v>10700</v>
      </c>
      <c r="B491" s="1" t="str">
        <f>"35951"</f>
        <v>35951</v>
      </c>
      <c r="C491" s="2">
        <v>0.11707562180721801</v>
      </c>
      <c r="D491" s="2">
        <v>4.8903508771929803E-2</v>
      </c>
      <c r="E491" s="2">
        <v>0.11206896551724101</v>
      </c>
      <c r="F491" s="2">
        <v>0.111146737080347</v>
      </c>
    </row>
    <row r="492" spans="1:6" x14ac:dyDescent="0.25">
      <c r="A492" s="1" t="str">
        <f t="shared" si="19"/>
        <v>10700</v>
      </c>
      <c r="B492" s="1" t="str">
        <f>"35754"</f>
        <v>35754</v>
      </c>
      <c r="C492" s="2">
        <v>6.2808809982413502E-4</v>
      </c>
      <c r="D492" s="2">
        <v>0</v>
      </c>
      <c r="E492" s="2">
        <v>0</v>
      </c>
      <c r="F492" s="2">
        <v>5.6582421727649902E-4</v>
      </c>
    </row>
    <row r="493" spans="1:6" x14ac:dyDescent="0.25">
      <c r="A493" s="1" t="str">
        <f t="shared" si="19"/>
        <v>10700</v>
      </c>
      <c r="B493" s="1" t="str">
        <f>"35755"</f>
        <v>35755</v>
      </c>
      <c r="C493" s="2">
        <v>7.9139100577841001E-3</v>
      </c>
      <c r="D493" s="2">
        <v>3.5087719298245602E-3</v>
      </c>
      <c r="E493" s="2">
        <v>8.6206896551724102E-3</v>
      </c>
      <c r="F493" s="2">
        <v>7.5443228970199904E-3</v>
      </c>
    </row>
    <row r="494" spans="1:6" x14ac:dyDescent="0.25">
      <c r="A494" s="1" t="str">
        <f t="shared" si="19"/>
        <v>10700</v>
      </c>
      <c r="B494" s="1" t="str">
        <f>"35957"</f>
        <v>35957</v>
      </c>
      <c r="C494" s="2">
        <v>0.12963738380370099</v>
      </c>
      <c r="D494" s="2">
        <v>0.19714912280701699</v>
      </c>
      <c r="E494" s="2">
        <v>0.16810344827586199</v>
      </c>
      <c r="F494" s="2">
        <v>0.13594869860430001</v>
      </c>
    </row>
    <row r="495" spans="1:6" x14ac:dyDescent="0.25">
      <c r="A495" s="1" t="str">
        <f t="shared" si="19"/>
        <v>10700</v>
      </c>
      <c r="B495" s="1" t="str">
        <f>"35976"</f>
        <v>35976</v>
      </c>
      <c r="C495" s="2">
        <v>0.21047232225106699</v>
      </c>
      <c r="D495" s="2">
        <v>0.29232456140350799</v>
      </c>
      <c r="E495" s="2">
        <v>0.212643678160919</v>
      </c>
      <c r="F495" s="2">
        <v>0.21754055073557099</v>
      </c>
    </row>
    <row r="496" spans="1:6" x14ac:dyDescent="0.25">
      <c r="A496" s="1" t="str">
        <f t="shared" si="19"/>
        <v>10700</v>
      </c>
      <c r="B496" s="1" t="str">
        <f>"35776"</f>
        <v>35776</v>
      </c>
      <c r="C496" s="2">
        <v>5.5271752784523901E-3</v>
      </c>
      <c r="D496" s="2">
        <v>1.09649122807017E-3</v>
      </c>
      <c r="E496" s="2">
        <v>0</v>
      </c>
      <c r="F496" s="2">
        <v>5.0735571482459401E-3</v>
      </c>
    </row>
    <row r="497" spans="1:6" x14ac:dyDescent="0.25">
      <c r="A497" s="1" t="str">
        <f t="shared" ref="A497:A528" si="20">"10740"</f>
        <v>10740</v>
      </c>
      <c r="B497" s="1" t="str">
        <f>"87048"</f>
        <v>87048</v>
      </c>
      <c r="C497" s="2">
        <v>1.50422195137181E-2</v>
      </c>
      <c r="D497" s="2">
        <v>1.22541603630862E-2</v>
      </c>
      <c r="E497" s="2">
        <v>9.4361877801368203E-4</v>
      </c>
      <c r="F497" s="2">
        <v>1.4327227663042201E-2</v>
      </c>
    </row>
    <row r="498" spans="1:6" x14ac:dyDescent="0.25">
      <c r="A498" s="1" t="str">
        <f t="shared" si="20"/>
        <v>10740</v>
      </c>
      <c r="B498" s="1" t="str">
        <f>"87106"</f>
        <v>87106</v>
      </c>
      <c r="C498" s="2">
        <v>3.17426910863748E-2</v>
      </c>
      <c r="D498" s="2">
        <v>3.5350479072112903E-2</v>
      </c>
      <c r="E498" s="2">
        <v>9.1707949988204696E-2</v>
      </c>
      <c r="F498" s="2">
        <v>3.4114589191388899E-2</v>
      </c>
    </row>
    <row r="499" spans="1:6" x14ac:dyDescent="0.25">
      <c r="A499" s="1" t="str">
        <f t="shared" si="20"/>
        <v>10740</v>
      </c>
      <c r="B499" s="1" t="str">
        <f>"87107"</f>
        <v>87107</v>
      </c>
      <c r="C499" s="2">
        <v>3.5958860547246299E-2</v>
      </c>
      <c r="D499" s="2">
        <v>8.0358043368633295E-2</v>
      </c>
      <c r="E499" s="2">
        <v>7.8910120311394105E-2</v>
      </c>
      <c r="F499" s="2">
        <v>4.1049163699721197E-2</v>
      </c>
    </row>
    <row r="500" spans="1:6" x14ac:dyDescent="0.25">
      <c r="A500" s="1" t="str">
        <f t="shared" si="20"/>
        <v>10740</v>
      </c>
      <c r="B500" s="1" t="str">
        <f>"87109"</f>
        <v>87109</v>
      </c>
      <c r="C500" s="2">
        <v>4.7039314681659498E-2</v>
      </c>
      <c r="D500" s="2">
        <v>8.0963187090267202E-2</v>
      </c>
      <c r="E500" s="2">
        <v>5.9330030667610202E-2</v>
      </c>
      <c r="F500" s="2">
        <v>5.0216871609144301E-2</v>
      </c>
    </row>
    <row r="501" spans="1:6" x14ac:dyDescent="0.25">
      <c r="A501" s="1" t="str">
        <f t="shared" si="20"/>
        <v>10740</v>
      </c>
      <c r="B501" s="1" t="str">
        <f>"87035"</f>
        <v>87035</v>
      </c>
      <c r="C501" s="2">
        <v>3.1754254908264198E-3</v>
      </c>
      <c r="D501" s="2">
        <v>8.3207261724659596E-4</v>
      </c>
      <c r="E501" s="2">
        <v>1.8872375560273599E-3</v>
      </c>
      <c r="F501" s="2">
        <v>2.9407013102276201E-3</v>
      </c>
    </row>
    <row r="502" spans="1:6" x14ac:dyDescent="0.25">
      <c r="A502" s="1" t="str">
        <f t="shared" si="20"/>
        <v>10740</v>
      </c>
      <c r="B502" s="1" t="str">
        <f>"87013"</f>
        <v>87013</v>
      </c>
      <c r="C502" s="2">
        <v>4.9076860098570003E-3</v>
      </c>
      <c r="D502" s="2">
        <v>2.4205748865355498E-3</v>
      </c>
      <c r="E502" s="2">
        <v>1.1795234725171E-4</v>
      </c>
      <c r="F502" s="2">
        <v>4.5398865846351397E-3</v>
      </c>
    </row>
    <row r="503" spans="1:6" x14ac:dyDescent="0.25">
      <c r="A503" s="1" t="str">
        <f t="shared" si="20"/>
        <v>10740</v>
      </c>
      <c r="B503" s="1" t="str">
        <f>"87122"</f>
        <v>87122</v>
      </c>
      <c r="C503" s="2">
        <v>1.7255535023347299E-2</v>
      </c>
      <c r="D503" s="2">
        <v>5.6480080685829496E-3</v>
      </c>
      <c r="E503" s="2">
        <v>5.1899032790752499E-3</v>
      </c>
      <c r="F503" s="2">
        <v>1.5895738028094099E-2</v>
      </c>
    </row>
    <row r="504" spans="1:6" x14ac:dyDescent="0.25">
      <c r="A504" s="1" t="str">
        <f t="shared" si="20"/>
        <v>10740</v>
      </c>
      <c r="B504" s="1" t="str">
        <f>"87176"</f>
        <v>87176</v>
      </c>
      <c r="C504" s="2">
        <v>3.41132745736997E-3</v>
      </c>
      <c r="D504" s="2">
        <v>1.24054462934947E-2</v>
      </c>
      <c r="E504" s="2">
        <v>1.1795234725171E-4</v>
      </c>
      <c r="F504" s="2">
        <v>4.0265931014173799E-3</v>
      </c>
    </row>
    <row r="505" spans="1:6" x14ac:dyDescent="0.25">
      <c r="A505" s="1" t="str">
        <f t="shared" si="20"/>
        <v>10740</v>
      </c>
      <c r="B505" s="1" t="str">
        <f>"87072"</f>
        <v>87072</v>
      </c>
      <c r="C505" s="2">
        <v>0</v>
      </c>
      <c r="D505" s="2">
        <v>0</v>
      </c>
      <c r="E505" s="2">
        <v>5.89761736258551E-5</v>
      </c>
      <c r="F505" s="2">
        <v>2.04499395704285E-6</v>
      </c>
    </row>
    <row r="506" spans="1:6" x14ac:dyDescent="0.25">
      <c r="A506" s="1" t="str">
        <f t="shared" si="20"/>
        <v>10740</v>
      </c>
      <c r="B506" s="1" t="str">
        <f>"87022"</f>
        <v>87022</v>
      </c>
      <c r="C506" s="2">
        <v>0</v>
      </c>
      <c r="D506" s="2">
        <v>7.5642965204236E-5</v>
      </c>
      <c r="E506" s="2">
        <v>5.89761736258551E-5</v>
      </c>
      <c r="F506" s="2">
        <v>8.1799758281714204E-6</v>
      </c>
    </row>
    <row r="507" spans="1:6" x14ac:dyDescent="0.25">
      <c r="A507" s="1" t="str">
        <f t="shared" si="20"/>
        <v>10740</v>
      </c>
      <c r="B507" s="1" t="str">
        <f>"87061"</f>
        <v>87061</v>
      </c>
      <c r="C507" s="2">
        <v>2.3127643778779399E-6</v>
      </c>
      <c r="D507" s="2">
        <v>0</v>
      </c>
      <c r="E507" s="2">
        <v>5.89761736258551E-5</v>
      </c>
      <c r="F507" s="2">
        <v>4.0899879140857102E-6</v>
      </c>
    </row>
    <row r="508" spans="1:6" x14ac:dyDescent="0.25">
      <c r="A508" s="1" t="str">
        <f t="shared" si="20"/>
        <v>10740</v>
      </c>
      <c r="B508" s="1" t="str">
        <f>"87151"</f>
        <v>87151</v>
      </c>
      <c r="C508" s="2">
        <v>0</v>
      </c>
      <c r="D508" s="2">
        <v>7.5642965204236E-5</v>
      </c>
      <c r="E508" s="2">
        <v>0</v>
      </c>
      <c r="F508" s="2">
        <v>6.13498187112857E-6</v>
      </c>
    </row>
    <row r="509" spans="1:6" x14ac:dyDescent="0.25">
      <c r="A509" s="1" t="str">
        <f t="shared" si="20"/>
        <v>10740</v>
      </c>
      <c r="B509" s="1" t="str">
        <f>"87191"</f>
        <v>87191</v>
      </c>
      <c r="C509" s="2">
        <v>2.16243469331587E-3</v>
      </c>
      <c r="D509" s="2">
        <v>6.7574382249117404E-3</v>
      </c>
      <c r="E509" s="2">
        <v>1.1795234725171E-4</v>
      </c>
      <c r="F509" s="2">
        <v>2.4642177182366402E-3</v>
      </c>
    </row>
    <row r="510" spans="1:6" x14ac:dyDescent="0.25">
      <c r="A510" s="1" t="str">
        <f t="shared" si="20"/>
        <v>10740</v>
      </c>
      <c r="B510" s="1" t="str">
        <f>"87018"</f>
        <v>87018</v>
      </c>
      <c r="C510" s="2">
        <v>2.3127643778779399E-6</v>
      </c>
      <c r="D510" s="2">
        <v>0</v>
      </c>
      <c r="E510" s="2">
        <v>5.89761736258551E-5</v>
      </c>
      <c r="F510" s="2">
        <v>4.0899879140857102E-6</v>
      </c>
    </row>
    <row r="511" spans="1:6" x14ac:dyDescent="0.25">
      <c r="A511" s="1" t="str">
        <f t="shared" si="20"/>
        <v>10740</v>
      </c>
      <c r="B511" s="1" t="str">
        <f>"87041"</f>
        <v>87041</v>
      </c>
      <c r="C511" s="2">
        <v>2.7059343221171901E-4</v>
      </c>
      <c r="D511" s="2">
        <v>5.0428643469490601E-5</v>
      </c>
      <c r="E511" s="2">
        <v>5.89761736258551E-5</v>
      </c>
      <c r="F511" s="2">
        <v>2.4539927484514202E-4</v>
      </c>
    </row>
    <row r="512" spans="1:6" x14ac:dyDescent="0.25">
      <c r="A512" s="1" t="str">
        <f t="shared" si="20"/>
        <v>10740</v>
      </c>
      <c r="B512" s="1" t="str">
        <f>"87026"</f>
        <v>87026</v>
      </c>
      <c r="C512" s="2">
        <v>1.2789587009665001E-3</v>
      </c>
      <c r="D512" s="2">
        <v>0</v>
      </c>
      <c r="E512" s="2">
        <v>1.7692852087756501E-4</v>
      </c>
      <c r="F512" s="2">
        <v>1.13701664011582E-3</v>
      </c>
    </row>
    <row r="513" spans="1:6" x14ac:dyDescent="0.25">
      <c r="A513" s="1" t="str">
        <f t="shared" si="20"/>
        <v>10740</v>
      </c>
      <c r="B513" s="1" t="str">
        <f>"87195"</f>
        <v>87195</v>
      </c>
      <c r="C513" s="2">
        <v>3.1176063813794699E-3</v>
      </c>
      <c r="D513" s="2">
        <v>5.1689359556227896E-3</v>
      </c>
      <c r="E513" s="2">
        <v>5.89761736258551E-5</v>
      </c>
      <c r="F513" s="2">
        <v>3.17792060924459E-3</v>
      </c>
    </row>
    <row r="514" spans="1:6" x14ac:dyDescent="0.25">
      <c r="A514" s="1" t="str">
        <f t="shared" si="20"/>
        <v>10740</v>
      </c>
      <c r="B514" s="1" t="str">
        <f>"87042"</f>
        <v>87042</v>
      </c>
      <c r="C514" s="2">
        <v>5.9646193305472198E-3</v>
      </c>
      <c r="D514" s="2">
        <v>4.9672213817448302E-3</v>
      </c>
      <c r="E514" s="2">
        <v>7.0771408351026101E-4</v>
      </c>
      <c r="F514" s="2">
        <v>5.7014431522354799E-3</v>
      </c>
    </row>
    <row r="515" spans="1:6" x14ac:dyDescent="0.25">
      <c r="A515" s="1" t="str">
        <f t="shared" si="20"/>
        <v>10740</v>
      </c>
      <c r="B515" s="1" t="str">
        <f>"87059"</f>
        <v>87059</v>
      </c>
      <c r="C515" s="2">
        <v>9.2117405170878495E-3</v>
      </c>
      <c r="D515" s="2">
        <v>2.0927887039838599E-3</v>
      </c>
      <c r="E515" s="2">
        <v>8.2566643076197196E-4</v>
      </c>
      <c r="F515" s="2">
        <v>8.3435753447348507E-3</v>
      </c>
    </row>
    <row r="516" spans="1:6" x14ac:dyDescent="0.25">
      <c r="A516" s="1" t="str">
        <f t="shared" si="20"/>
        <v>10740</v>
      </c>
      <c r="B516" s="1" t="str">
        <f>"87119"</f>
        <v>87119</v>
      </c>
      <c r="C516" s="2">
        <v>1.8224583297678199E-3</v>
      </c>
      <c r="D516" s="2">
        <v>4.4377206253151703E-3</v>
      </c>
      <c r="E516" s="2">
        <v>5.89761736258551E-5</v>
      </c>
      <c r="F516" s="2">
        <v>1.9734191685463502E-3</v>
      </c>
    </row>
    <row r="517" spans="1:6" x14ac:dyDescent="0.25">
      <c r="A517" s="1" t="str">
        <f t="shared" si="20"/>
        <v>10740</v>
      </c>
      <c r="B517" s="1" t="str">
        <f>"87181"</f>
        <v>87181</v>
      </c>
      <c r="C517" s="2">
        <v>2.6434896839144899E-3</v>
      </c>
      <c r="D517" s="2">
        <v>7.0852244074634304E-3</v>
      </c>
      <c r="E517" s="2">
        <v>5.89761736258551E-5</v>
      </c>
      <c r="F517" s="2">
        <v>2.9141163887860702E-3</v>
      </c>
    </row>
    <row r="518" spans="1:6" x14ac:dyDescent="0.25">
      <c r="A518" s="1" t="str">
        <f t="shared" si="20"/>
        <v>10740</v>
      </c>
      <c r="B518" s="1" t="str">
        <f>"87115"</f>
        <v>87115</v>
      </c>
      <c r="C518" s="2">
        <v>0</v>
      </c>
      <c r="D518" s="2">
        <v>2.52143217347453E-5</v>
      </c>
      <c r="E518" s="2">
        <v>1.1795234725171E-4</v>
      </c>
      <c r="F518" s="2">
        <v>6.13498187112857E-6</v>
      </c>
    </row>
    <row r="519" spans="1:6" x14ac:dyDescent="0.25">
      <c r="A519" s="1" t="str">
        <f t="shared" si="20"/>
        <v>10740</v>
      </c>
      <c r="B519" s="1" t="str">
        <f>"87131"</f>
        <v>87131</v>
      </c>
      <c r="C519" s="2">
        <v>0</v>
      </c>
      <c r="D519" s="2">
        <v>2.52143217347453E-5</v>
      </c>
      <c r="E519" s="2">
        <v>0</v>
      </c>
      <c r="F519" s="2">
        <v>2.04499395704285E-6</v>
      </c>
    </row>
    <row r="520" spans="1:6" x14ac:dyDescent="0.25">
      <c r="A520" s="1" t="str">
        <f t="shared" si="20"/>
        <v>10740</v>
      </c>
      <c r="B520" s="1" t="str">
        <f>"87062"</f>
        <v>87062</v>
      </c>
      <c r="C520" s="2">
        <v>4.6255287557558897E-5</v>
      </c>
      <c r="D520" s="2">
        <v>0</v>
      </c>
      <c r="E520" s="2">
        <v>0</v>
      </c>
      <c r="F520" s="2">
        <v>4.08998791408571E-5</v>
      </c>
    </row>
    <row r="521" spans="1:6" x14ac:dyDescent="0.25">
      <c r="A521" s="1" t="str">
        <f t="shared" si="20"/>
        <v>10740</v>
      </c>
      <c r="B521" s="1" t="str">
        <f>"87083"</f>
        <v>87083</v>
      </c>
      <c r="C521" s="2">
        <v>6.6838890520672599E-4</v>
      </c>
      <c r="D521" s="2">
        <v>1.7650025214321701E-4</v>
      </c>
      <c r="E521" s="2">
        <v>1.7692852087756501E-4</v>
      </c>
      <c r="F521" s="2">
        <v>6.1145319315581402E-4</v>
      </c>
    </row>
    <row r="522" spans="1:6" x14ac:dyDescent="0.25">
      <c r="A522" s="1" t="str">
        <f t="shared" si="20"/>
        <v>10740</v>
      </c>
      <c r="B522" s="1" t="str">
        <f>"87008"</f>
        <v>87008</v>
      </c>
      <c r="C522" s="2">
        <v>2.160121928938E-3</v>
      </c>
      <c r="D522" s="2">
        <v>2.672718103883E-3</v>
      </c>
      <c r="E522" s="2">
        <v>1.0025949516395301E-3</v>
      </c>
      <c r="F522" s="2">
        <v>2.16155861259429E-3</v>
      </c>
    </row>
    <row r="523" spans="1:6" x14ac:dyDescent="0.25">
      <c r="A523" s="1" t="str">
        <f t="shared" si="20"/>
        <v>10740</v>
      </c>
      <c r="B523" s="1" t="str">
        <f>"87032"</f>
        <v>87032</v>
      </c>
      <c r="C523" s="2">
        <v>4.6255287557558899E-6</v>
      </c>
      <c r="D523" s="2">
        <v>0</v>
      </c>
      <c r="E523" s="2">
        <v>3.5385704175513002E-4</v>
      </c>
      <c r="F523" s="2">
        <v>1.63599516563428E-5</v>
      </c>
    </row>
    <row r="524" spans="1:6" x14ac:dyDescent="0.25">
      <c r="A524" s="1" t="str">
        <f t="shared" si="20"/>
        <v>10740</v>
      </c>
      <c r="B524" s="1" t="str">
        <f>"87190"</f>
        <v>87190</v>
      </c>
      <c r="C524" s="2">
        <v>2.21331550962919E-3</v>
      </c>
      <c r="D524" s="2">
        <v>1.0211800302571799E-2</v>
      </c>
      <c r="E524" s="2">
        <v>1.1795234725171E-4</v>
      </c>
      <c r="F524" s="2">
        <v>2.7893717574064502E-3</v>
      </c>
    </row>
    <row r="525" spans="1:6" x14ac:dyDescent="0.25">
      <c r="A525" s="1" t="str">
        <f t="shared" si="20"/>
        <v>10740</v>
      </c>
      <c r="B525" s="1" t="str">
        <f>"87144"</f>
        <v>87144</v>
      </c>
      <c r="C525" s="2">
        <v>4.1194959098761898E-2</v>
      </c>
      <c r="D525" s="2">
        <v>5.2193645990922799E-3</v>
      </c>
      <c r="E525" s="2">
        <v>2.1821184241566402E-3</v>
      </c>
      <c r="F525" s="2">
        <v>3.6924410888365802E-2</v>
      </c>
    </row>
    <row r="526" spans="1:6" x14ac:dyDescent="0.25">
      <c r="A526" s="1" t="str">
        <f t="shared" si="20"/>
        <v>10740</v>
      </c>
      <c r="B526" s="1" t="str">
        <f>"87174"</f>
        <v>87174</v>
      </c>
      <c r="C526" s="2">
        <v>3.6055996651117102E-3</v>
      </c>
      <c r="D526" s="2">
        <v>1.1195158850226899E-2</v>
      </c>
      <c r="E526" s="2">
        <v>5.89761736258551E-5</v>
      </c>
      <c r="F526" s="2">
        <v>4.0981678899138802E-3</v>
      </c>
    </row>
    <row r="527" spans="1:6" x14ac:dyDescent="0.25">
      <c r="A527" s="1" t="str">
        <f t="shared" si="20"/>
        <v>10740</v>
      </c>
      <c r="B527" s="1" t="str">
        <f>"87046"</f>
        <v>87046</v>
      </c>
      <c r="C527" s="2">
        <v>9.9448868248751596E-5</v>
      </c>
      <c r="D527" s="2">
        <v>5.0428643469490601E-5</v>
      </c>
      <c r="E527" s="2">
        <v>5.89761736258551E-5</v>
      </c>
      <c r="F527" s="2">
        <v>9.4069722023971397E-5</v>
      </c>
    </row>
    <row r="528" spans="1:6" x14ac:dyDescent="0.25">
      <c r="A528" s="1" t="str">
        <f t="shared" si="20"/>
        <v>10740</v>
      </c>
      <c r="B528" s="1" t="str">
        <f>"87006"</f>
        <v>87006</v>
      </c>
      <c r="C528" s="2">
        <v>1.61893506451456E-5</v>
      </c>
      <c r="D528" s="2">
        <v>0</v>
      </c>
      <c r="E528" s="2">
        <v>5.89761736258551E-5</v>
      </c>
      <c r="F528" s="2">
        <v>1.63599516563428E-5</v>
      </c>
    </row>
    <row r="529" spans="1:6" x14ac:dyDescent="0.25">
      <c r="A529" s="1" t="str">
        <f t="shared" ref="A529:A560" si="21">"10740"</f>
        <v>10740</v>
      </c>
      <c r="B529" s="1" t="str">
        <f>"87044"</f>
        <v>87044</v>
      </c>
      <c r="C529" s="2">
        <v>3.2841254165866799E-4</v>
      </c>
      <c r="D529" s="2">
        <v>2.52143217347453E-5</v>
      </c>
      <c r="E529" s="2">
        <v>2.3590469450341999E-4</v>
      </c>
      <c r="F529" s="2">
        <v>3.0061411168529902E-4</v>
      </c>
    </row>
    <row r="530" spans="1:6" x14ac:dyDescent="0.25">
      <c r="A530" s="1" t="str">
        <f t="shared" si="21"/>
        <v>10740</v>
      </c>
      <c r="B530" s="1" t="str">
        <f>"87036"</f>
        <v>87036</v>
      </c>
      <c r="C530" s="2">
        <v>9.5517168806359101E-4</v>
      </c>
      <c r="D530" s="2">
        <v>2.7735753908219798E-4</v>
      </c>
      <c r="E530" s="2">
        <v>2.9488086812927498E-4</v>
      </c>
      <c r="F530" s="2">
        <v>8.77302407571385E-4</v>
      </c>
    </row>
    <row r="531" spans="1:6" x14ac:dyDescent="0.25">
      <c r="A531" s="1" t="str">
        <f t="shared" si="21"/>
        <v>10740</v>
      </c>
      <c r="B531" s="1" t="str">
        <f>"87103"</f>
        <v>87103</v>
      </c>
      <c r="C531" s="2">
        <v>2.6087982182463202E-3</v>
      </c>
      <c r="D531" s="2">
        <v>9.0771558245083192E-3</v>
      </c>
      <c r="E531" s="2">
        <v>5.89761736258551E-5</v>
      </c>
      <c r="F531" s="2">
        <v>3.0449960020368099E-3</v>
      </c>
    </row>
    <row r="532" spans="1:6" x14ac:dyDescent="0.25">
      <c r="A532" s="1" t="str">
        <f t="shared" si="21"/>
        <v>10740</v>
      </c>
      <c r="B532" s="1" t="str">
        <f>"87544"</f>
        <v>87544</v>
      </c>
      <c r="C532" s="2">
        <v>7.4008460092094198E-5</v>
      </c>
      <c r="D532" s="2">
        <v>0</v>
      </c>
      <c r="E532" s="2">
        <v>0</v>
      </c>
      <c r="F532" s="2">
        <v>6.5439806625371404E-5</v>
      </c>
    </row>
    <row r="533" spans="1:6" x14ac:dyDescent="0.25">
      <c r="A533" s="1" t="str">
        <f t="shared" si="21"/>
        <v>10740</v>
      </c>
      <c r="B533" s="1" t="str">
        <f>"87125"</f>
        <v>87125</v>
      </c>
      <c r="C533" s="2">
        <v>2.2688218546982599E-3</v>
      </c>
      <c r="D533" s="2">
        <v>1.37165910237014E-2</v>
      </c>
      <c r="E533" s="2">
        <v>5.89761736258551E-5</v>
      </c>
      <c r="F533" s="2">
        <v>3.1206607784473898E-3</v>
      </c>
    </row>
    <row r="534" spans="1:6" x14ac:dyDescent="0.25">
      <c r="A534" s="1" t="str">
        <f t="shared" si="21"/>
        <v>10740</v>
      </c>
      <c r="B534" s="1" t="str">
        <f>"87004"</f>
        <v>87004</v>
      </c>
      <c r="C534" s="2">
        <v>1.50237173986951E-2</v>
      </c>
      <c r="D534" s="2">
        <v>1.3035804336863299E-2</v>
      </c>
      <c r="E534" s="2">
        <v>5.60273649445623E-3</v>
      </c>
      <c r="F534" s="2">
        <v>1.45358170466606E-2</v>
      </c>
    </row>
    <row r="535" spans="1:6" x14ac:dyDescent="0.25">
      <c r="A535" s="1" t="str">
        <f t="shared" si="21"/>
        <v>10740</v>
      </c>
      <c r="B535" s="1" t="str">
        <f>"87102"</f>
        <v>87102</v>
      </c>
      <c r="C535" s="2">
        <v>2.8447001847898699E-2</v>
      </c>
      <c r="D535" s="2">
        <v>7.2163388804841105E-2</v>
      </c>
      <c r="E535" s="2">
        <v>6.2455767869780597E-2</v>
      </c>
      <c r="F535" s="2">
        <v>3.3171846977192103E-2</v>
      </c>
    </row>
    <row r="536" spans="1:6" x14ac:dyDescent="0.25">
      <c r="A536" s="1" t="str">
        <f t="shared" si="21"/>
        <v>10740</v>
      </c>
      <c r="B536" s="1" t="str">
        <f>"87104"</f>
        <v>87104</v>
      </c>
      <c r="C536" s="2">
        <v>1.4968211053626E-2</v>
      </c>
      <c r="D536" s="2">
        <v>2.0675743822491099E-2</v>
      </c>
      <c r="E536" s="2">
        <v>2.6244397263505501E-2</v>
      </c>
      <c r="F536" s="2">
        <v>1.5822118245640501E-2</v>
      </c>
    </row>
    <row r="537" spans="1:6" x14ac:dyDescent="0.25">
      <c r="A537" s="1" t="str">
        <f t="shared" si="21"/>
        <v>10740</v>
      </c>
      <c r="B537" s="1" t="str">
        <f>"87002"</f>
        <v>87002</v>
      </c>
      <c r="C537" s="2">
        <v>2.2688218546982601E-2</v>
      </c>
      <c r="D537" s="2">
        <v>1.5658093797276802E-2</v>
      </c>
      <c r="E537" s="2">
        <v>9.0823307383816904E-3</v>
      </c>
      <c r="F537" s="2">
        <v>2.1646261035298601E-2</v>
      </c>
    </row>
    <row r="538" spans="1:6" x14ac:dyDescent="0.25">
      <c r="A538" s="1" t="str">
        <f t="shared" si="21"/>
        <v>10740</v>
      </c>
      <c r="B538" s="1" t="str">
        <f>"87110"</f>
        <v>87110</v>
      </c>
      <c r="C538" s="2">
        <v>4.4143733680556303E-2</v>
      </c>
      <c r="D538" s="2">
        <v>9.7478567826525406E-2</v>
      </c>
      <c r="E538" s="2">
        <v>6.52866242038216E-2</v>
      </c>
      <c r="F538" s="2">
        <v>4.92025546064511E-2</v>
      </c>
    </row>
    <row r="539" spans="1:6" x14ac:dyDescent="0.25">
      <c r="A539" s="1" t="str">
        <f t="shared" si="21"/>
        <v>10740</v>
      </c>
      <c r="B539" s="1" t="str">
        <f>"87001"</f>
        <v>87001</v>
      </c>
      <c r="C539" s="2">
        <v>4.5283926518850104E-3</v>
      </c>
      <c r="D539" s="2">
        <v>1.9415027735753901E-3</v>
      </c>
      <c r="E539" s="2">
        <v>6.4873790988440603E-4</v>
      </c>
      <c r="F539" s="2">
        <v>4.1840576361096803E-3</v>
      </c>
    </row>
    <row r="540" spans="1:6" x14ac:dyDescent="0.25">
      <c r="A540" s="1" t="str">
        <f t="shared" si="21"/>
        <v>10740</v>
      </c>
      <c r="B540" s="1" t="str">
        <f>"87154"</f>
        <v>87154</v>
      </c>
      <c r="C540" s="2">
        <v>2.9094575873704499E-3</v>
      </c>
      <c r="D540" s="2">
        <v>9.40494200706001E-3</v>
      </c>
      <c r="E540" s="2">
        <v>1.1795234725171E-4</v>
      </c>
      <c r="F540" s="2">
        <v>3.33947513185098E-3</v>
      </c>
    </row>
    <row r="541" spans="1:6" x14ac:dyDescent="0.25">
      <c r="A541" s="1" t="str">
        <f t="shared" si="21"/>
        <v>10740</v>
      </c>
      <c r="B541" s="1" t="str">
        <f>"87198"</f>
        <v>87198</v>
      </c>
      <c r="C541" s="2">
        <v>5.46737498930346E-3</v>
      </c>
      <c r="D541" s="2">
        <v>6.8330811901159798E-3</v>
      </c>
      <c r="E541" s="2">
        <v>5.89761736258551E-5</v>
      </c>
      <c r="F541" s="2">
        <v>5.3906040707649696E-3</v>
      </c>
    </row>
    <row r="542" spans="1:6" x14ac:dyDescent="0.25">
      <c r="A542" s="1" t="str">
        <f t="shared" si="21"/>
        <v>10740</v>
      </c>
      <c r="B542" s="1" t="str">
        <f>"87009"</f>
        <v>87009</v>
      </c>
      <c r="C542" s="2">
        <v>1.3876586267267599E-5</v>
      </c>
      <c r="D542" s="2">
        <v>0</v>
      </c>
      <c r="E542" s="2">
        <v>5.89761736258551E-5</v>
      </c>
      <c r="F542" s="2">
        <v>1.43149576992999E-5</v>
      </c>
    </row>
    <row r="543" spans="1:6" x14ac:dyDescent="0.25">
      <c r="A543" s="1" t="str">
        <f t="shared" si="21"/>
        <v>10740</v>
      </c>
      <c r="B543" s="1" t="str">
        <f>"87060"</f>
        <v>87060</v>
      </c>
      <c r="C543" s="2">
        <v>0</v>
      </c>
      <c r="D543" s="2">
        <v>0</v>
      </c>
      <c r="E543" s="2">
        <v>5.89761736258551E-5</v>
      </c>
      <c r="F543" s="2">
        <v>2.04499395704285E-6</v>
      </c>
    </row>
    <row r="544" spans="1:6" x14ac:dyDescent="0.25">
      <c r="A544" s="1" t="str">
        <f t="shared" si="21"/>
        <v>10740</v>
      </c>
      <c r="B544" s="1" t="str">
        <f>"87192"</f>
        <v>87192</v>
      </c>
      <c r="C544" s="2">
        <v>2.68511944271629E-3</v>
      </c>
      <c r="D544" s="2">
        <v>8.1442259203227396E-3</v>
      </c>
      <c r="E544" s="2">
        <v>1.1795234725171E-4</v>
      </c>
      <c r="F544" s="2">
        <v>3.0388610201656798E-3</v>
      </c>
    </row>
    <row r="545" spans="1:6" x14ac:dyDescent="0.25">
      <c r="A545" s="1" t="str">
        <f t="shared" si="21"/>
        <v>10740</v>
      </c>
      <c r="B545" s="1" t="str">
        <f>"87196"</f>
        <v>87196</v>
      </c>
      <c r="C545" s="2">
        <v>2.9140831161262098E-3</v>
      </c>
      <c r="D545" s="2">
        <v>5.1185073121533002E-3</v>
      </c>
      <c r="E545" s="2">
        <v>5.89761736258551E-5</v>
      </c>
      <c r="F545" s="2">
        <v>2.9938711531107402E-3</v>
      </c>
    </row>
    <row r="546" spans="1:6" x14ac:dyDescent="0.25">
      <c r="A546" s="1" t="str">
        <f t="shared" si="21"/>
        <v>10740</v>
      </c>
      <c r="B546" s="1" t="str">
        <f>"87108"</f>
        <v>87108</v>
      </c>
      <c r="C546" s="2">
        <v>4.63732385408306E-2</v>
      </c>
      <c r="D546" s="2">
        <v>4.8562783661119498E-2</v>
      </c>
      <c r="E546" s="2">
        <v>0.190139183769757</v>
      </c>
      <c r="F546" s="2">
        <v>5.1535892711436999E-2</v>
      </c>
    </row>
    <row r="547" spans="1:6" x14ac:dyDescent="0.25">
      <c r="A547" s="1" t="str">
        <f t="shared" si="21"/>
        <v>10740</v>
      </c>
      <c r="B547" s="1" t="str">
        <f>"87111"</f>
        <v>87111</v>
      </c>
      <c r="C547" s="2">
        <v>6.6362461058829703E-2</v>
      </c>
      <c r="D547" s="2">
        <v>3.3938477054967199E-2</v>
      </c>
      <c r="E547" s="2">
        <v>4.3288511441377603E-2</v>
      </c>
      <c r="F547" s="2">
        <v>6.2932644034036797E-2</v>
      </c>
    </row>
    <row r="548" spans="1:6" x14ac:dyDescent="0.25">
      <c r="A548" s="1" t="str">
        <f t="shared" si="21"/>
        <v>10740</v>
      </c>
      <c r="B548" s="1" t="str">
        <f>"87197"</f>
        <v>87197</v>
      </c>
      <c r="C548" s="2">
        <v>1.75770092718723E-3</v>
      </c>
      <c r="D548" s="2">
        <v>9.0015128593040807E-3</v>
      </c>
      <c r="E548" s="2">
        <v>5.89761736258551E-5</v>
      </c>
      <c r="F548" s="2">
        <v>2.28630324397391E-3</v>
      </c>
    </row>
    <row r="549" spans="1:6" x14ac:dyDescent="0.25">
      <c r="A549" s="1" t="str">
        <f t="shared" si="21"/>
        <v>10740</v>
      </c>
      <c r="B549" s="1" t="str">
        <f>"87070"</f>
        <v>87070</v>
      </c>
      <c r="C549" s="2">
        <v>0</v>
      </c>
      <c r="D549" s="2">
        <v>0</v>
      </c>
      <c r="E549" s="2">
        <v>5.89761736258551E-5</v>
      </c>
      <c r="F549" s="2">
        <v>2.04499395704285E-6</v>
      </c>
    </row>
    <row r="550" spans="1:6" x14ac:dyDescent="0.25">
      <c r="A550" s="1" t="str">
        <f t="shared" si="21"/>
        <v>10740</v>
      </c>
      <c r="B550" s="1" t="str">
        <f>"87053"</f>
        <v>87053</v>
      </c>
      <c r="C550" s="2">
        <v>5.6662727258009597E-4</v>
      </c>
      <c r="D550" s="2">
        <v>1.2607160867372601E-4</v>
      </c>
      <c r="E550" s="2">
        <v>1.1795234725171E-4</v>
      </c>
      <c r="F550" s="2">
        <v>5.1533847717479897E-4</v>
      </c>
    </row>
    <row r="551" spans="1:6" x14ac:dyDescent="0.25">
      <c r="A551" s="1" t="str">
        <f t="shared" si="21"/>
        <v>10740</v>
      </c>
      <c r="B551" s="1" t="str">
        <f>"87116"</f>
        <v>87116</v>
      </c>
      <c r="C551" s="2">
        <v>5.5298196275061599E-3</v>
      </c>
      <c r="D551" s="2">
        <v>3.5300050428643402E-4</v>
      </c>
      <c r="E551" s="2">
        <v>4.7180938900684102E-4</v>
      </c>
      <c r="F551" s="2">
        <v>4.9345704183444104E-3</v>
      </c>
    </row>
    <row r="552" spans="1:6" x14ac:dyDescent="0.25">
      <c r="A552" s="1" t="str">
        <f t="shared" si="21"/>
        <v>10740</v>
      </c>
      <c r="B552" s="1" t="str">
        <f>"87187"</f>
        <v>87187</v>
      </c>
      <c r="C552" s="2">
        <v>1.7299477546527E-3</v>
      </c>
      <c r="D552" s="2">
        <v>1.8658598083711501E-3</v>
      </c>
      <c r="E552" s="2">
        <v>1.1795234725171E-4</v>
      </c>
      <c r="F552" s="2">
        <v>1.6850750206033099E-3</v>
      </c>
    </row>
    <row r="553" spans="1:6" x14ac:dyDescent="0.25">
      <c r="A553" s="1" t="str">
        <f t="shared" si="21"/>
        <v>10740</v>
      </c>
      <c r="B553" s="1" t="str">
        <f>"87052"</f>
        <v>87052</v>
      </c>
      <c r="C553" s="2">
        <v>3.2147424852503403E-4</v>
      </c>
      <c r="D553" s="2">
        <v>1.00857286938981E-4</v>
      </c>
      <c r="E553" s="2">
        <v>5.89761736258551E-5</v>
      </c>
      <c r="F553" s="2">
        <v>2.9447912981417102E-4</v>
      </c>
    </row>
    <row r="554" spans="1:6" x14ac:dyDescent="0.25">
      <c r="A554" s="1" t="str">
        <f t="shared" si="21"/>
        <v>10740</v>
      </c>
      <c r="B554" s="1" t="str">
        <f>"87047"</f>
        <v>87047</v>
      </c>
      <c r="C554" s="2">
        <v>4.9562540617924299E-3</v>
      </c>
      <c r="D554" s="2">
        <v>4.5385779122541603E-4</v>
      </c>
      <c r="E554" s="2">
        <v>1.1795234725171E-4</v>
      </c>
      <c r="F554" s="2">
        <v>4.4233219290836902E-3</v>
      </c>
    </row>
    <row r="555" spans="1:6" x14ac:dyDescent="0.25">
      <c r="A555" s="1" t="str">
        <f t="shared" si="21"/>
        <v>10740</v>
      </c>
      <c r="B555" s="1" t="str">
        <f>"87025"</f>
        <v>87025</v>
      </c>
      <c r="C555" s="2">
        <v>1.7993306859890399E-3</v>
      </c>
      <c r="D555" s="2">
        <v>1.2607160867372601E-4</v>
      </c>
      <c r="E555" s="2">
        <v>2.9488086812927498E-4</v>
      </c>
      <c r="F555" s="2">
        <v>1.61145523814977E-3</v>
      </c>
    </row>
    <row r="556" spans="1:6" x14ac:dyDescent="0.25">
      <c r="A556" s="1" t="str">
        <f t="shared" si="21"/>
        <v>10740</v>
      </c>
      <c r="B556" s="1" t="str">
        <f>"87027"</f>
        <v>87027</v>
      </c>
      <c r="C556" s="2">
        <v>2.1046155838689299E-4</v>
      </c>
      <c r="D556" s="2">
        <v>0</v>
      </c>
      <c r="E556" s="2">
        <v>5.89761736258551E-5</v>
      </c>
      <c r="F556" s="2">
        <v>1.8813944404794201E-4</v>
      </c>
    </row>
    <row r="557" spans="1:6" x14ac:dyDescent="0.25">
      <c r="A557" s="1" t="str">
        <f t="shared" si="21"/>
        <v>10740</v>
      </c>
      <c r="B557" s="1" t="str">
        <f>"87193"</f>
        <v>87193</v>
      </c>
      <c r="C557" s="2">
        <v>3.8229995166322401E-3</v>
      </c>
      <c r="D557" s="2">
        <v>1.46243066061522E-2</v>
      </c>
      <c r="E557" s="2">
        <v>1.1795234725171E-4</v>
      </c>
      <c r="F557" s="2">
        <v>4.5705614939907796E-3</v>
      </c>
    </row>
    <row r="558" spans="1:6" x14ac:dyDescent="0.25">
      <c r="A558" s="1" t="str">
        <f t="shared" si="21"/>
        <v>10740</v>
      </c>
      <c r="B558" s="1" t="str">
        <f>"87199"</f>
        <v>87199</v>
      </c>
      <c r="C558" s="2">
        <v>5.6038280875982602E-3</v>
      </c>
      <c r="D558" s="2">
        <v>2.6273323247604601E-2</v>
      </c>
      <c r="E558" s="2">
        <v>1.1795234725171E-4</v>
      </c>
      <c r="F558" s="2">
        <v>7.0899940490675804E-3</v>
      </c>
    </row>
    <row r="559" spans="1:6" x14ac:dyDescent="0.25">
      <c r="A559" s="1" t="str">
        <f t="shared" si="21"/>
        <v>10740</v>
      </c>
      <c r="B559" s="1" t="str">
        <f>"87185"</f>
        <v>87185</v>
      </c>
      <c r="C559" s="2">
        <v>1.2974608159895199E-3</v>
      </c>
      <c r="D559" s="2">
        <v>1.03378719112455E-3</v>
      </c>
      <c r="E559" s="2">
        <v>1.1795234725171E-4</v>
      </c>
      <c r="F559" s="2">
        <v>1.2351763500538799E-3</v>
      </c>
    </row>
    <row r="560" spans="1:6" x14ac:dyDescent="0.25">
      <c r="A560" s="1" t="str">
        <f t="shared" si="21"/>
        <v>10740</v>
      </c>
      <c r="B560" s="1" t="str">
        <f>"87112"</f>
        <v>87112</v>
      </c>
      <c r="C560" s="2">
        <v>5.2104268669212202E-2</v>
      </c>
      <c r="D560" s="2">
        <v>4.7629853756933897E-2</v>
      </c>
      <c r="E560" s="2">
        <v>8.9761736258551494E-2</v>
      </c>
      <c r="F560" s="2">
        <v>5.3047143245691701E-2</v>
      </c>
    </row>
    <row r="561" spans="1:6" x14ac:dyDescent="0.25">
      <c r="A561" s="1" t="str">
        <f t="shared" ref="A561:A581" si="22">"10740"</f>
        <v>10740</v>
      </c>
      <c r="B561" s="1" t="str">
        <f>"87113"</f>
        <v>87113</v>
      </c>
      <c r="C561" s="2">
        <v>1.61754740588783E-2</v>
      </c>
      <c r="D561" s="2">
        <v>3.0030257186081599E-2</v>
      </c>
      <c r="E561" s="2">
        <v>2.2764803019580001E-2</v>
      </c>
      <c r="F561" s="2">
        <v>1.7527643205814299E-2</v>
      </c>
    </row>
    <row r="562" spans="1:6" x14ac:dyDescent="0.25">
      <c r="A562" s="1" t="str">
        <f t="shared" si="22"/>
        <v>10740</v>
      </c>
      <c r="B562" s="1" t="str">
        <f>"87024"</f>
        <v>87024</v>
      </c>
      <c r="C562" s="2">
        <v>5.3193580691192701E-4</v>
      </c>
      <c r="D562" s="2">
        <v>1.7650025214321701E-4</v>
      </c>
      <c r="E562" s="2">
        <v>5.89761736258551E-5</v>
      </c>
      <c r="F562" s="2">
        <v>4.8670856177619899E-4</v>
      </c>
    </row>
    <row r="563" spans="1:6" x14ac:dyDescent="0.25">
      <c r="A563" s="1" t="str">
        <f t="shared" si="22"/>
        <v>10740</v>
      </c>
      <c r="B563" s="1" t="str">
        <f>"87015"</f>
        <v>87015</v>
      </c>
      <c r="C563" s="2">
        <v>4.1120950638669799E-3</v>
      </c>
      <c r="D563" s="2">
        <v>2.52143217347453E-5</v>
      </c>
      <c r="E563" s="2">
        <v>1.7692852087756501E-4</v>
      </c>
      <c r="F563" s="2">
        <v>3.6441792314503701E-3</v>
      </c>
    </row>
    <row r="564" spans="1:6" x14ac:dyDescent="0.25">
      <c r="A564" s="1" t="str">
        <f t="shared" si="22"/>
        <v>10740</v>
      </c>
      <c r="B564" s="1" t="str">
        <f>"87121"</f>
        <v>87121</v>
      </c>
      <c r="C564" s="2">
        <v>5.96184401329376E-2</v>
      </c>
      <c r="D564" s="2">
        <v>2.4558749369641902E-2</v>
      </c>
      <c r="E564" s="2">
        <v>1.73979712196272E-2</v>
      </c>
      <c r="F564" s="2">
        <v>5.5310951556138098E-2</v>
      </c>
    </row>
    <row r="565" spans="1:6" x14ac:dyDescent="0.25">
      <c r="A565" s="1" t="str">
        <f t="shared" si="22"/>
        <v>10740</v>
      </c>
      <c r="B565" s="1" t="str">
        <f>"87153"</f>
        <v>87153</v>
      </c>
      <c r="C565" s="2">
        <v>9.1816745801754404E-4</v>
      </c>
      <c r="D565" s="2">
        <v>2.0927887039838599E-3</v>
      </c>
      <c r="E565" s="2">
        <v>1.1795234725171E-4</v>
      </c>
      <c r="F565" s="2">
        <v>9.8568708729465703E-4</v>
      </c>
    </row>
    <row r="566" spans="1:6" x14ac:dyDescent="0.25">
      <c r="A566" s="1" t="str">
        <f t="shared" si="22"/>
        <v>10740</v>
      </c>
      <c r="B566" s="1" t="str">
        <f>"88321"</f>
        <v>88321</v>
      </c>
      <c r="C566" s="2">
        <v>1.17950983271775E-4</v>
      </c>
      <c r="D566" s="2">
        <v>2.52143217347453E-5</v>
      </c>
      <c r="E566" s="2">
        <v>0</v>
      </c>
      <c r="F566" s="2">
        <v>1.06339685766228E-4</v>
      </c>
    </row>
    <row r="567" spans="1:6" x14ac:dyDescent="0.25">
      <c r="A567" s="1" t="str">
        <f t="shared" si="22"/>
        <v>10740</v>
      </c>
      <c r="B567" s="1" t="str">
        <f>"87101"</f>
        <v>87101</v>
      </c>
      <c r="C567" s="2">
        <v>0</v>
      </c>
      <c r="D567" s="2">
        <v>1.56328794755421E-3</v>
      </c>
      <c r="E567" s="2">
        <v>1.1795234725171E-4</v>
      </c>
      <c r="F567" s="2">
        <v>1.3087961325074199E-4</v>
      </c>
    </row>
    <row r="568" spans="1:6" x14ac:dyDescent="0.25">
      <c r="A568" s="1" t="str">
        <f t="shared" si="22"/>
        <v>10740</v>
      </c>
      <c r="B568" s="1" t="str">
        <f>"87023"</f>
        <v>87023</v>
      </c>
      <c r="C568" s="2">
        <v>1.22576512027531E-4</v>
      </c>
      <c r="D568" s="2">
        <v>2.52143217347453E-5</v>
      </c>
      <c r="E568" s="2">
        <v>5.89761736258551E-5</v>
      </c>
      <c r="F568" s="2">
        <v>1.12474667637357E-4</v>
      </c>
    </row>
    <row r="569" spans="1:6" x14ac:dyDescent="0.25">
      <c r="A569" s="1" t="str">
        <f t="shared" si="22"/>
        <v>10740</v>
      </c>
      <c r="B569" s="1" t="str">
        <f>"87063"</f>
        <v>87063</v>
      </c>
      <c r="C569" s="2">
        <v>2.3127643778779401E-5</v>
      </c>
      <c r="D569" s="2">
        <v>0</v>
      </c>
      <c r="E569" s="2">
        <v>5.89761736258551E-5</v>
      </c>
      <c r="F569" s="2">
        <v>2.2494933527471402E-5</v>
      </c>
    </row>
    <row r="570" spans="1:6" x14ac:dyDescent="0.25">
      <c r="A570" s="1" t="str">
        <f t="shared" si="22"/>
        <v>10740</v>
      </c>
      <c r="B570" s="1" t="str">
        <f>"87194"</f>
        <v>87194</v>
      </c>
      <c r="C570" s="2">
        <v>1.23964170654257E-3</v>
      </c>
      <c r="D570" s="2">
        <v>4.3116490166414502E-3</v>
      </c>
      <c r="E570" s="2">
        <v>1.1795234725171E-4</v>
      </c>
      <c r="F570" s="2">
        <v>1.44990071554338E-3</v>
      </c>
    </row>
    <row r="571" spans="1:6" x14ac:dyDescent="0.25">
      <c r="A571" s="1" t="str">
        <f t="shared" si="22"/>
        <v>10740</v>
      </c>
      <c r="B571" s="1" t="str">
        <f>"87184"</f>
        <v>87184</v>
      </c>
      <c r="C571" s="2">
        <v>1.3252139885240599E-3</v>
      </c>
      <c r="D571" s="2">
        <v>4.23600605143721E-3</v>
      </c>
      <c r="E571" s="2">
        <v>5.89761736258551E-5</v>
      </c>
      <c r="F571" s="2">
        <v>1.5173855161257899E-3</v>
      </c>
    </row>
    <row r="572" spans="1:6" x14ac:dyDescent="0.25">
      <c r="A572" s="1" t="str">
        <f t="shared" si="22"/>
        <v>10740</v>
      </c>
      <c r="B572" s="1" t="str">
        <f>"87031"</f>
        <v>87031</v>
      </c>
      <c r="C572" s="2">
        <v>4.4201552790003297E-2</v>
      </c>
      <c r="D572" s="2">
        <v>2.3651033787191099E-2</v>
      </c>
      <c r="E572" s="2">
        <v>1.5982543052606699E-2</v>
      </c>
      <c r="F572" s="2">
        <v>4.1556322201067801E-2</v>
      </c>
    </row>
    <row r="573" spans="1:6" x14ac:dyDescent="0.25">
      <c r="A573" s="1" t="str">
        <f t="shared" si="22"/>
        <v>10740</v>
      </c>
      <c r="B573" s="1" t="str">
        <f>"87043"</f>
        <v>87043</v>
      </c>
      <c r="C573" s="2">
        <v>9.6904827433085903E-3</v>
      </c>
      <c r="D573" s="2">
        <v>4.2107917297024696E-3</v>
      </c>
      <c r="E573" s="2">
        <v>1.7692852087756501E-4</v>
      </c>
      <c r="F573" s="2">
        <v>8.9161736527068498E-3</v>
      </c>
    </row>
    <row r="574" spans="1:6" x14ac:dyDescent="0.25">
      <c r="A574" s="1" t="str">
        <f t="shared" si="22"/>
        <v>10740</v>
      </c>
      <c r="B574" s="1" t="str">
        <f>"87105"</f>
        <v>87105</v>
      </c>
      <c r="C574" s="2">
        <v>4.8711443326865299E-2</v>
      </c>
      <c r="D574" s="2">
        <v>2.8139183055975701E-2</v>
      </c>
      <c r="E574" s="2">
        <v>5.0955414012738801E-2</v>
      </c>
      <c r="F574" s="2">
        <v>4.71207507581815E-2</v>
      </c>
    </row>
    <row r="575" spans="1:6" x14ac:dyDescent="0.25">
      <c r="A575" s="1" t="str">
        <f t="shared" si="22"/>
        <v>10740</v>
      </c>
      <c r="B575" s="1" t="str">
        <f>"87120"</f>
        <v>87120</v>
      </c>
      <c r="C575" s="2">
        <v>6.3048269705330603E-2</v>
      </c>
      <c r="D575" s="2">
        <v>2.2768532526475E-2</v>
      </c>
      <c r="E575" s="2">
        <v>1.36234961075725E-2</v>
      </c>
      <c r="F575" s="2">
        <v>5.8067603410231899E-2</v>
      </c>
    </row>
    <row r="576" spans="1:6" x14ac:dyDescent="0.25">
      <c r="A576" s="1" t="str">
        <f t="shared" si="22"/>
        <v>10740</v>
      </c>
      <c r="B576" s="1" t="str">
        <f>"87068"</f>
        <v>87068</v>
      </c>
      <c r="C576" s="2">
        <v>4.4173799617468696E-3</v>
      </c>
      <c r="D576" s="2">
        <v>3.9586485123550104E-3</v>
      </c>
      <c r="E576" s="2">
        <v>1.1795234725170999E-3</v>
      </c>
      <c r="F576" s="2">
        <v>4.2679023883484398E-3</v>
      </c>
    </row>
    <row r="577" spans="1:6" x14ac:dyDescent="0.25">
      <c r="A577" s="1" t="str">
        <f t="shared" si="22"/>
        <v>10740</v>
      </c>
      <c r="B577" s="1" t="str">
        <f>"87114"</f>
        <v>87114</v>
      </c>
      <c r="C577" s="2">
        <v>6.5589997756618501E-2</v>
      </c>
      <c r="D577" s="2">
        <v>3.2526475037821398E-2</v>
      </c>
      <c r="E577" s="2">
        <v>3.0726586459070501E-2</v>
      </c>
      <c r="F577" s="2">
        <v>6.1699512677940001E-2</v>
      </c>
    </row>
    <row r="578" spans="1:6" x14ac:dyDescent="0.25">
      <c r="A578" s="1" t="str">
        <f t="shared" si="22"/>
        <v>10740</v>
      </c>
      <c r="B578" s="1" t="str">
        <f>"87016"</f>
        <v>87016</v>
      </c>
      <c r="C578" s="2">
        <v>1.5426138400445901E-3</v>
      </c>
      <c r="D578" s="2">
        <v>7.5642965204236E-5</v>
      </c>
      <c r="E578" s="2">
        <v>4.7180938900684102E-4</v>
      </c>
      <c r="F578" s="2">
        <v>1.38650590287505E-3</v>
      </c>
    </row>
    <row r="579" spans="1:6" x14ac:dyDescent="0.25">
      <c r="A579" s="1" t="str">
        <f t="shared" si="22"/>
        <v>10740</v>
      </c>
      <c r="B579" s="1" t="str">
        <f>"87117"</f>
        <v>87117</v>
      </c>
      <c r="C579" s="2">
        <v>0</v>
      </c>
      <c r="D579" s="2">
        <v>1.5128593040847199E-3</v>
      </c>
      <c r="E579" s="2">
        <v>2.9488086812927498E-4</v>
      </c>
      <c r="F579" s="2">
        <v>1.3292460720778501E-4</v>
      </c>
    </row>
    <row r="580" spans="1:6" x14ac:dyDescent="0.25">
      <c r="A580" s="1" t="str">
        <f t="shared" si="22"/>
        <v>10740</v>
      </c>
      <c r="B580" s="1" t="str">
        <f>"87123"</f>
        <v>87123</v>
      </c>
      <c r="C580" s="2">
        <v>4.7423233568387201E-2</v>
      </c>
      <c r="D580" s="2">
        <v>2.8517397881996899E-2</v>
      </c>
      <c r="E580" s="2">
        <v>6.0214673271998101E-2</v>
      </c>
      <c r="F580" s="2">
        <v>4.6333428084719998E-2</v>
      </c>
    </row>
    <row r="581" spans="1:6" x14ac:dyDescent="0.25">
      <c r="A581" s="1" t="str">
        <f t="shared" si="22"/>
        <v>10740</v>
      </c>
      <c r="B581" s="1" t="str">
        <f>"87124"</f>
        <v>87124</v>
      </c>
      <c r="C581" s="2">
        <v>5.3711639911837403E-2</v>
      </c>
      <c r="D581" s="2">
        <v>3.9435199193141701E-2</v>
      </c>
      <c r="E581" s="2">
        <v>4.5470629865534302E-2</v>
      </c>
      <c r="F581" s="2">
        <v>5.2268000548058302E-2</v>
      </c>
    </row>
    <row r="582" spans="1:6" x14ac:dyDescent="0.25">
      <c r="A582" s="1" t="str">
        <f t="shared" ref="A582:A602" si="23">"10760"</f>
        <v>10760</v>
      </c>
      <c r="B582" s="1" t="str">
        <f>"35150"</f>
        <v>35150</v>
      </c>
      <c r="C582" s="2">
        <v>3.9385466462222999E-3</v>
      </c>
      <c r="D582" s="2">
        <v>4.5620437956204298E-3</v>
      </c>
      <c r="E582" s="2">
        <v>0</v>
      </c>
      <c r="F582" s="2">
        <v>3.8267383162351402E-3</v>
      </c>
    </row>
    <row r="583" spans="1:6" x14ac:dyDescent="0.25">
      <c r="A583" s="1" t="str">
        <f t="shared" si="23"/>
        <v>10760</v>
      </c>
      <c r="B583" s="1" t="str">
        <f>"35010"</f>
        <v>35010</v>
      </c>
      <c r="C583" s="2">
        <v>0.35230450076666298</v>
      </c>
      <c r="D583" s="2">
        <v>0.47992700729927001</v>
      </c>
      <c r="E583" s="2">
        <v>0.78033022254127704</v>
      </c>
      <c r="F583" s="2">
        <v>0.37607881452532099</v>
      </c>
    </row>
    <row r="584" spans="1:6" x14ac:dyDescent="0.25">
      <c r="A584" s="1" t="str">
        <f t="shared" si="23"/>
        <v>10760</v>
      </c>
      <c r="B584" s="1" t="str">
        <f>"36861"</f>
        <v>36861</v>
      </c>
      <c r="C584" s="2">
        <v>6.7676858783560306E-2</v>
      </c>
      <c r="D584" s="2">
        <v>2.7372262773722601E-2</v>
      </c>
      <c r="E584" s="2">
        <v>3.1586503948312902E-2</v>
      </c>
      <c r="F584" s="2">
        <v>6.3914671877544293E-2</v>
      </c>
    </row>
    <row r="585" spans="1:6" x14ac:dyDescent="0.25">
      <c r="A585" s="1" t="str">
        <f t="shared" si="23"/>
        <v>10760</v>
      </c>
      <c r="B585" s="1" t="str">
        <f>"35046"</f>
        <v>35046</v>
      </c>
      <c r="C585" s="2">
        <v>4.3594600282613203E-3</v>
      </c>
      <c r="D585" s="2">
        <v>2.2810218978102101E-3</v>
      </c>
      <c r="E585" s="2">
        <v>0</v>
      </c>
      <c r="F585" s="2">
        <v>4.0709982087607796E-3</v>
      </c>
    </row>
    <row r="586" spans="1:6" x14ac:dyDescent="0.25">
      <c r="A586" s="1" t="str">
        <f t="shared" si="23"/>
        <v>10760</v>
      </c>
      <c r="B586" s="1" t="str">
        <f>"36879"</f>
        <v>36879</v>
      </c>
      <c r="C586" s="2">
        <v>1.0222182135233399E-3</v>
      </c>
      <c r="D586" s="2">
        <v>4.5620437956204302E-4</v>
      </c>
      <c r="E586" s="2">
        <v>7.1787508973438603E-4</v>
      </c>
      <c r="F586" s="2">
        <v>9.7703957010258891E-4</v>
      </c>
    </row>
    <row r="587" spans="1:6" x14ac:dyDescent="0.25">
      <c r="A587" s="1" t="str">
        <f t="shared" si="23"/>
        <v>10760</v>
      </c>
      <c r="B587" s="1" t="str">
        <f>"36853"</f>
        <v>36853</v>
      </c>
      <c r="C587" s="2">
        <v>0.19178617600192399</v>
      </c>
      <c r="D587" s="2">
        <v>0.22992700729926999</v>
      </c>
      <c r="E587" s="2">
        <v>0.124192390524048</v>
      </c>
      <c r="F587" s="2">
        <v>0.191499755740107</v>
      </c>
    </row>
    <row r="588" spans="1:6" x14ac:dyDescent="0.25">
      <c r="A588" s="1" t="str">
        <f t="shared" si="23"/>
        <v>10760</v>
      </c>
      <c r="B588" s="1" t="str">
        <f>"36276"</f>
        <v>36276</v>
      </c>
      <c r="C588" s="2">
        <v>1.0222182135233399E-3</v>
      </c>
      <c r="D588" s="2">
        <v>0</v>
      </c>
      <c r="E588" s="2">
        <v>0</v>
      </c>
      <c r="F588" s="2">
        <v>9.2275959398577798E-4</v>
      </c>
    </row>
    <row r="589" spans="1:6" x14ac:dyDescent="0.25">
      <c r="A589" s="1" t="str">
        <f t="shared" si="23"/>
        <v>10760</v>
      </c>
      <c r="B589" s="1" t="str">
        <f>"36255"</f>
        <v>36255</v>
      </c>
      <c r="C589" s="2">
        <v>3.6078289889059198E-4</v>
      </c>
      <c r="D589" s="2">
        <v>4.5620437956204302E-4</v>
      </c>
      <c r="E589" s="2">
        <v>0</v>
      </c>
      <c r="F589" s="2">
        <v>3.52819844759268E-4</v>
      </c>
    </row>
    <row r="590" spans="1:6" x14ac:dyDescent="0.25">
      <c r="A590" s="1" t="str">
        <f t="shared" si="23"/>
        <v>10760</v>
      </c>
      <c r="B590" s="1" t="str">
        <f>"36849"</f>
        <v>36849</v>
      </c>
      <c r="C590" s="2">
        <v>0</v>
      </c>
      <c r="D590" s="2">
        <v>0</v>
      </c>
      <c r="E590" s="2">
        <v>2.1536252692031499E-3</v>
      </c>
      <c r="F590" s="2">
        <v>8.1419964175215702E-5</v>
      </c>
    </row>
    <row r="591" spans="1:6" x14ac:dyDescent="0.25">
      <c r="A591" s="1" t="str">
        <f t="shared" si="23"/>
        <v>10760</v>
      </c>
      <c r="B591" s="1" t="str">
        <f>"36026"</f>
        <v>36026</v>
      </c>
      <c r="C591" s="2">
        <v>1.4581642163494699E-2</v>
      </c>
      <c r="D591" s="2">
        <v>5.01824817518248E-3</v>
      </c>
      <c r="E591" s="2">
        <v>1.4357501794687701E-3</v>
      </c>
      <c r="F591" s="2">
        <v>1.3515714053085799E-2</v>
      </c>
    </row>
    <row r="592" spans="1:6" x14ac:dyDescent="0.25">
      <c r="A592" s="1" t="str">
        <f t="shared" si="23"/>
        <v>10760</v>
      </c>
      <c r="B592" s="1" t="str">
        <f>"36080"</f>
        <v>36080</v>
      </c>
      <c r="C592" s="2">
        <v>3.0065241574215998E-4</v>
      </c>
      <c r="D592" s="2">
        <v>0</v>
      </c>
      <c r="E592" s="2">
        <v>0</v>
      </c>
      <c r="F592" s="2">
        <v>2.7139988058405199E-4</v>
      </c>
    </row>
    <row r="593" spans="1:6" x14ac:dyDescent="0.25">
      <c r="A593" s="1" t="str">
        <f t="shared" si="23"/>
        <v>10760</v>
      </c>
      <c r="B593" s="1" t="str">
        <f>"36251"</f>
        <v>36251</v>
      </c>
      <c r="C593" s="2">
        <v>0</v>
      </c>
      <c r="D593" s="2">
        <v>2.2810218978102101E-3</v>
      </c>
      <c r="E593" s="2">
        <v>0</v>
      </c>
      <c r="F593" s="2">
        <v>1.3569994029202599E-4</v>
      </c>
    </row>
    <row r="594" spans="1:6" x14ac:dyDescent="0.25">
      <c r="A594" s="1" t="str">
        <f t="shared" si="23"/>
        <v>10760</v>
      </c>
      <c r="B594" s="1" t="str">
        <f>"36256"</f>
        <v>36256</v>
      </c>
      <c r="C594" s="2">
        <v>2.6036499203270998E-2</v>
      </c>
      <c r="D594" s="2">
        <v>2.2810218978102099E-2</v>
      </c>
      <c r="E594" s="2">
        <v>1.4357501794687701E-3</v>
      </c>
      <c r="F594" s="2">
        <v>2.4914509037615998E-2</v>
      </c>
    </row>
    <row r="595" spans="1:6" x14ac:dyDescent="0.25">
      <c r="A595" s="1" t="str">
        <f t="shared" si="23"/>
        <v>10760</v>
      </c>
      <c r="B595" s="1" t="str">
        <f>"35089"</f>
        <v>35089</v>
      </c>
      <c r="C595" s="2">
        <v>4.8134451760319802E-2</v>
      </c>
      <c r="D595" s="2">
        <v>2.8284671532846702E-2</v>
      </c>
      <c r="E595" s="2">
        <v>8.6145010768126293E-3</v>
      </c>
      <c r="F595" s="2">
        <v>4.5459479997828803E-2</v>
      </c>
    </row>
    <row r="596" spans="1:6" x14ac:dyDescent="0.25">
      <c r="A596" s="1" t="str">
        <f t="shared" si="23"/>
        <v>10760</v>
      </c>
      <c r="B596" s="1" t="str">
        <f>"36866"</f>
        <v>36866</v>
      </c>
      <c r="C596" s="2">
        <v>1.44313159556237E-2</v>
      </c>
      <c r="D596" s="2">
        <v>9.5802919708029097E-3</v>
      </c>
      <c r="E596" s="2">
        <v>0</v>
      </c>
      <c r="F596" s="2">
        <v>1.3597134017261E-2</v>
      </c>
    </row>
    <row r="597" spans="1:6" x14ac:dyDescent="0.25">
      <c r="A597" s="1" t="str">
        <f t="shared" si="23"/>
        <v>10760</v>
      </c>
      <c r="B597" s="1" t="str">
        <f>"36850"</f>
        <v>36850</v>
      </c>
      <c r="C597" s="2">
        <v>3.7912269625086398E-2</v>
      </c>
      <c r="D597" s="2">
        <v>2.46350364963503E-2</v>
      </c>
      <c r="E597" s="2">
        <v>2.7997128499640998E-2</v>
      </c>
      <c r="F597" s="2">
        <v>3.6747543831080698E-2</v>
      </c>
    </row>
    <row r="598" spans="1:6" x14ac:dyDescent="0.25">
      <c r="A598" s="1" t="str">
        <f t="shared" si="23"/>
        <v>10760</v>
      </c>
      <c r="B598" s="1" t="str">
        <f>"35183"</f>
        <v>35183</v>
      </c>
      <c r="C598" s="2">
        <v>2.2158083040197198E-2</v>
      </c>
      <c r="D598" s="2">
        <v>1.27737226277372E-2</v>
      </c>
      <c r="E598" s="2">
        <v>7.1787508973438603E-4</v>
      </c>
      <c r="F598" s="2">
        <v>2.07892308527384E-2</v>
      </c>
    </row>
    <row r="599" spans="1:6" x14ac:dyDescent="0.25">
      <c r="A599" s="1" t="str">
        <f t="shared" si="23"/>
        <v>10760</v>
      </c>
      <c r="B599" s="1" t="str">
        <f>"35136"</f>
        <v>35136</v>
      </c>
      <c r="C599" s="2">
        <v>3.46652235350711E-2</v>
      </c>
      <c r="D599" s="2">
        <v>3.05656934306569E-2</v>
      </c>
      <c r="E599" s="2">
        <v>3.58937544867193E-3</v>
      </c>
      <c r="F599" s="2">
        <v>3.3246485371546397E-2</v>
      </c>
    </row>
    <row r="600" spans="1:6" x14ac:dyDescent="0.25">
      <c r="A600" s="1" t="str">
        <f t="shared" si="23"/>
        <v>10760</v>
      </c>
      <c r="B600" s="1" t="str">
        <f>"35151"</f>
        <v>35151</v>
      </c>
      <c r="C600" s="2">
        <v>5.2343585580710103E-2</v>
      </c>
      <c r="D600" s="2">
        <v>1.77919708029197E-2</v>
      </c>
      <c r="E600" s="2">
        <v>0</v>
      </c>
      <c r="F600" s="2">
        <v>4.8309178743961297E-2</v>
      </c>
    </row>
    <row r="601" spans="1:6" x14ac:dyDescent="0.25">
      <c r="A601" s="1" t="str">
        <f t="shared" si="23"/>
        <v>10760</v>
      </c>
      <c r="B601" s="1" t="str">
        <f>"36078"</f>
        <v>36078</v>
      </c>
      <c r="C601" s="2">
        <v>7.3329124199512902E-2</v>
      </c>
      <c r="D601" s="2">
        <v>7.2080291970802901E-2</v>
      </c>
      <c r="E601" s="2">
        <v>1.00502512562814E-2</v>
      </c>
      <c r="F601" s="2">
        <v>7.0862508820496106E-2</v>
      </c>
    </row>
    <row r="602" spans="1:6" x14ac:dyDescent="0.25">
      <c r="A602" s="1" t="str">
        <f t="shared" si="23"/>
        <v>10760</v>
      </c>
      <c r="B602" s="1" t="str">
        <f>"35072"</f>
        <v>35072</v>
      </c>
      <c r="C602" s="2">
        <v>5.36363909684014E-2</v>
      </c>
      <c r="D602" s="2">
        <v>2.9197080291970798E-2</v>
      </c>
      <c r="E602" s="2">
        <v>7.17875089734386E-3</v>
      </c>
      <c r="F602" s="2">
        <v>5.0426097812516897E-2</v>
      </c>
    </row>
    <row r="603" spans="1:6" x14ac:dyDescent="0.25">
      <c r="A603" s="1" t="str">
        <f t="shared" ref="A603:A643" si="24">"10780"</f>
        <v>10780</v>
      </c>
      <c r="B603" s="1" t="str">
        <f>"71351"</f>
        <v>71351</v>
      </c>
      <c r="C603" s="2">
        <v>6.3976043013679897E-4</v>
      </c>
      <c r="D603" s="2">
        <v>0</v>
      </c>
      <c r="E603" s="2">
        <v>0</v>
      </c>
      <c r="F603" s="2">
        <v>5.6983511154219202E-4</v>
      </c>
    </row>
    <row r="604" spans="1:6" x14ac:dyDescent="0.25">
      <c r="A604" s="1" t="str">
        <f t="shared" si="24"/>
        <v>10780</v>
      </c>
      <c r="B604" s="1" t="str">
        <f>"71466"</f>
        <v>71466</v>
      </c>
      <c r="C604" s="2">
        <v>3.22602599877492E-3</v>
      </c>
      <c r="D604" s="2">
        <v>4.0760869565217302E-4</v>
      </c>
      <c r="E604" s="2">
        <v>1.81268882175226E-3</v>
      </c>
      <c r="F604" s="2">
        <v>2.9461687681862198E-3</v>
      </c>
    </row>
    <row r="605" spans="1:6" x14ac:dyDescent="0.25">
      <c r="A605" s="1" t="str">
        <f t="shared" si="24"/>
        <v>10780</v>
      </c>
      <c r="B605" s="1" t="str">
        <f>"71472"</f>
        <v>71472</v>
      </c>
      <c r="C605" s="2">
        <v>1.878445518274E-3</v>
      </c>
      <c r="D605" s="2">
        <v>0</v>
      </c>
      <c r="E605" s="2">
        <v>6.0422960725075496E-4</v>
      </c>
      <c r="F605" s="2">
        <v>1.6852570320077501E-3</v>
      </c>
    </row>
    <row r="606" spans="1:6" x14ac:dyDescent="0.25">
      <c r="A606" s="1" t="str">
        <f t="shared" si="24"/>
        <v>10780</v>
      </c>
      <c r="B606" s="1" t="str">
        <f>"71409"</f>
        <v>71409</v>
      </c>
      <c r="C606" s="2">
        <v>4.0454638263118403E-2</v>
      </c>
      <c r="D606" s="2">
        <v>1.4266304347825999E-2</v>
      </c>
      <c r="E606" s="2">
        <v>1.0271903323262801E-2</v>
      </c>
      <c r="F606" s="2">
        <v>3.7512124151309403E-2</v>
      </c>
    </row>
    <row r="607" spans="1:6" x14ac:dyDescent="0.25">
      <c r="A607" s="1" t="str">
        <f t="shared" si="24"/>
        <v>10780</v>
      </c>
      <c r="B607" s="1" t="str">
        <f>"71405"</f>
        <v>71405</v>
      </c>
      <c r="C607" s="2">
        <v>3.3961750493432197E-2</v>
      </c>
      <c r="D607" s="2">
        <v>2.0923913043478199E-2</v>
      </c>
      <c r="E607" s="2">
        <v>3.2628398791540697E-2</v>
      </c>
      <c r="F607" s="2">
        <v>3.2771580989330702E-2</v>
      </c>
    </row>
    <row r="608" spans="1:6" x14ac:dyDescent="0.25">
      <c r="A608" s="1" t="str">
        <f t="shared" si="24"/>
        <v>10780</v>
      </c>
      <c r="B608" s="1" t="str">
        <f>"71303"</f>
        <v>71303</v>
      </c>
      <c r="C608" s="2">
        <v>0.14498060300823501</v>
      </c>
      <c r="D608" s="2">
        <v>0.18559782608695599</v>
      </c>
      <c r="E608" s="2">
        <v>0.34380664652567899</v>
      </c>
      <c r="F608" s="2">
        <v>0.15259456838021301</v>
      </c>
    </row>
    <row r="609" spans="1:6" x14ac:dyDescent="0.25">
      <c r="A609" s="1" t="str">
        <f t="shared" si="24"/>
        <v>10780</v>
      </c>
      <c r="B609" s="1" t="str">
        <f>"71307"</f>
        <v>71307</v>
      </c>
      <c r="C609" s="2">
        <v>1.4564758728646199E-2</v>
      </c>
      <c r="D609" s="2">
        <v>2.8804347826086901E-2</v>
      </c>
      <c r="E609" s="2">
        <v>1.2084592145015099E-3</v>
      </c>
      <c r="F609" s="2">
        <v>1.55674102812803E-2</v>
      </c>
    </row>
    <row r="610" spans="1:6" x14ac:dyDescent="0.25">
      <c r="A610" s="1" t="str">
        <f t="shared" si="24"/>
        <v>10780</v>
      </c>
      <c r="B610" s="1" t="str">
        <f>"71404"</f>
        <v>71404</v>
      </c>
      <c r="C610" s="2">
        <v>1.78316204995576E-3</v>
      </c>
      <c r="D610" s="2">
        <v>8.1521739130434702E-4</v>
      </c>
      <c r="E610" s="2">
        <v>0</v>
      </c>
      <c r="F610" s="2">
        <v>1.6610087293889399E-3</v>
      </c>
    </row>
    <row r="611" spans="1:6" x14ac:dyDescent="0.25">
      <c r="A611" s="1" t="str">
        <f t="shared" si="24"/>
        <v>10780</v>
      </c>
      <c r="B611" s="1" t="str">
        <f>"71330"</f>
        <v>71330</v>
      </c>
      <c r="C611" s="2">
        <v>0</v>
      </c>
      <c r="D611" s="2">
        <v>0</v>
      </c>
      <c r="E611" s="2">
        <v>6.0422960725075496E-4</v>
      </c>
      <c r="F611" s="2">
        <v>1.2124151309408301E-5</v>
      </c>
    </row>
    <row r="612" spans="1:6" x14ac:dyDescent="0.25">
      <c r="A612" s="1" t="str">
        <f t="shared" si="24"/>
        <v>10780</v>
      </c>
      <c r="B612" s="1" t="str">
        <f>"71455"</f>
        <v>71455</v>
      </c>
      <c r="C612" s="2">
        <v>9.5283468318246704E-4</v>
      </c>
      <c r="D612" s="2">
        <v>2.7173913043478202E-4</v>
      </c>
      <c r="E612" s="2">
        <v>0</v>
      </c>
      <c r="F612" s="2">
        <v>8.7293889427740004E-4</v>
      </c>
    </row>
    <row r="613" spans="1:6" x14ac:dyDescent="0.25">
      <c r="A613" s="1" t="str">
        <f t="shared" si="24"/>
        <v>10780</v>
      </c>
      <c r="B613" s="1" t="str">
        <f>"71323"</f>
        <v>71323</v>
      </c>
      <c r="C613" s="2">
        <v>1.6334308854556499E-4</v>
      </c>
      <c r="D613" s="2">
        <v>0</v>
      </c>
      <c r="E613" s="2">
        <v>0</v>
      </c>
      <c r="F613" s="2">
        <v>1.4548981571290001E-4</v>
      </c>
    </row>
    <row r="614" spans="1:6" x14ac:dyDescent="0.25">
      <c r="A614" s="1" t="str">
        <f t="shared" si="24"/>
        <v>10780</v>
      </c>
      <c r="B614" s="1" t="str">
        <f>"71348"</f>
        <v>71348</v>
      </c>
      <c r="C614" s="2">
        <v>0</v>
      </c>
      <c r="D614" s="2">
        <v>0</v>
      </c>
      <c r="E614" s="2">
        <v>6.0422960725075496E-4</v>
      </c>
      <c r="F614" s="2">
        <v>1.2124151309408301E-5</v>
      </c>
    </row>
    <row r="615" spans="1:6" x14ac:dyDescent="0.25">
      <c r="A615" s="1" t="str">
        <f t="shared" si="24"/>
        <v>10780</v>
      </c>
      <c r="B615" s="1" t="str">
        <f>"71315"</f>
        <v>71315</v>
      </c>
      <c r="C615" s="2">
        <v>2.0050364118968201E-2</v>
      </c>
      <c r="D615" s="2">
        <v>6.9429347826086896E-2</v>
      </c>
      <c r="E615" s="2">
        <v>1.2084592145015099E-3</v>
      </c>
      <c r="F615" s="2">
        <v>2.40785645004849E-2</v>
      </c>
    </row>
    <row r="616" spans="1:6" x14ac:dyDescent="0.25">
      <c r="A616" s="1" t="str">
        <f t="shared" si="24"/>
        <v>10780</v>
      </c>
      <c r="B616" s="1" t="str">
        <f>"71325"</f>
        <v>71325</v>
      </c>
      <c r="C616" s="2">
        <v>1.59259511331926E-3</v>
      </c>
      <c r="D616" s="2">
        <v>6.7934782608695596E-4</v>
      </c>
      <c r="E616" s="2">
        <v>1.81268882175226E-3</v>
      </c>
      <c r="F616" s="2">
        <v>1.51551891367604E-3</v>
      </c>
    </row>
    <row r="617" spans="1:6" x14ac:dyDescent="0.25">
      <c r="A617" s="1" t="str">
        <f t="shared" si="24"/>
        <v>10780</v>
      </c>
      <c r="B617" s="1" t="str">
        <f>"71454"</f>
        <v>71454</v>
      </c>
      <c r="C617" s="2">
        <v>1.16790308310079E-2</v>
      </c>
      <c r="D617" s="2">
        <v>1.6304347826086899E-3</v>
      </c>
      <c r="E617" s="2">
        <v>3.0211480362537699E-3</v>
      </c>
      <c r="F617" s="2">
        <v>1.06086323957322E-2</v>
      </c>
    </row>
    <row r="618" spans="1:6" x14ac:dyDescent="0.25">
      <c r="A618" s="1" t="str">
        <f t="shared" si="24"/>
        <v>10780</v>
      </c>
      <c r="B618" s="1" t="str">
        <f>"71301"</f>
        <v>71301</v>
      </c>
      <c r="C618" s="2">
        <v>0.13929081875723101</v>
      </c>
      <c r="D618" s="2">
        <v>0.301222826086956</v>
      </c>
      <c r="E618" s="2">
        <v>0.251359516616314</v>
      </c>
      <c r="F618" s="2">
        <v>0.15598933074684701</v>
      </c>
    </row>
    <row r="619" spans="1:6" x14ac:dyDescent="0.25">
      <c r="A619" s="1" t="str">
        <f t="shared" si="24"/>
        <v>10780</v>
      </c>
      <c r="B619" s="1" t="str">
        <f>"71306"</f>
        <v>71306</v>
      </c>
      <c r="C619" s="2">
        <v>1.36119240454638E-2</v>
      </c>
      <c r="D619" s="2">
        <v>4.5516304347825998E-2</v>
      </c>
      <c r="E619" s="2">
        <v>1.2084592145015099E-3</v>
      </c>
      <c r="F619" s="2">
        <v>1.6209990300678899E-2</v>
      </c>
    </row>
    <row r="620" spans="1:6" x14ac:dyDescent="0.25">
      <c r="A620" s="1" t="str">
        <f t="shared" si="24"/>
        <v>10780</v>
      </c>
      <c r="B620" s="1" t="str">
        <f>"71417"</f>
        <v>71417</v>
      </c>
      <c r="C620" s="2">
        <v>3.4070645885795899E-2</v>
      </c>
      <c r="D620" s="2">
        <v>2.0923913043478199E-2</v>
      </c>
      <c r="E620" s="2">
        <v>1.3293051359516601E-2</v>
      </c>
      <c r="F620" s="2">
        <v>3.2480601357904898E-2</v>
      </c>
    </row>
    <row r="621" spans="1:6" x14ac:dyDescent="0.25">
      <c r="A621" s="1" t="str">
        <f t="shared" si="24"/>
        <v>10780</v>
      </c>
      <c r="B621" s="1" t="str">
        <f>"71424"</f>
        <v>71424</v>
      </c>
      <c r="C621" s="2">
        <v>7.4457224528687097E-3</v>
      </c>
      <c r="D621" s="2">
        <v>5.4347826086956501E-4</v>
      </c>
      <c r="E621" s="2">
        <v>6.0422960725075496E-4</v>
      </c>
      <c r="F621" s="2">
        <v>6.6925315227934004E-3</v>
      </c>
    </row>
    <row r="622" spans="1:6" x14ac:dyDescent="0.25">
      <c r="A622" s="1" t="str">
        <f t="shared" si="24"/>
        <v>10780</v>
      </c>
      <c r="B622" s="1" t="str">
        <f>"71448"</f>
        <v>71448</v>
      </c>
      <c r="C622" s="2">
        <v>0</v>
      </c>
      <c r="D622" s="2">
        <v>0</v>
      </c>
      <c r="E622" s="2">
        <v>6.0422960725075496E-4</v>
      </c>
      <c r="F622" s="2">
        <v>1.2124151309408301E-5</v>
      </c>
    </row>
    <row r="623" spans="1:6" x14ac:dyDescent="0.25">
      <c r="A623" s="1" t="str">
        <f t="shared" si="24"/>
        <v>10780</v>
      </c>
      <c r="B623" s="1" t="str">
        <f>"71365"</f>
        <v>71365</v>
      </c>
      <c r="C623" s="2">
        <v>0</v>
      </c>
      <c r="D623" s="2">
        <v>0</v>
      </c>
      <c r="E623" s="2">
        <v>6.0422960725075496E-4</v>
      </c>
      <c r="F623" s="2">
        <v>1.2124151309408301E-5</v>
      </c>
    </row>
    <row r="624" spans="1:6" x14ac:dyDescent="0.25">
      <c r="A624" s="1" t="str">
        <f t="shared" si="24"/>
        <v>10780</v>
      </c>
      <c r="B624" s="1" t="str">
        <f>"71485"</f>
        <v>71485</v>
      </c>
      <c r="C624" s="2">
        <v>1.39386102225549E-2</v>
      </c>
      <c r="D624" s="2">
        <v>4.7554347826086899E-3</v>
      </c>
      <c r="E624" s="2">
        <v>1.0271903323262801E-2</v>
      </c>
      <c r="F624" s="2">
        <v>1.30455868089233E-2</v>
      </c>
    </row>
    <row r="625" spans="1:6" x14ac:dyDescent="0.25">
      <c r="A625" s="1" t="str">
        <f t="shared" si="24"/>
        <v>10780</v>
      </c>
      <c r="B625" s="1" t="str">
        <f>"71467"</f>
        <v>71467</v>
      </c>
      <c r="C625" s="2">
        <v>3.4274824746477903E-2</v>
      </c>
      <c r="D625" s="2">
        <v>8.6956521739130401E-3</v>
      </c>
      <c r="E625" s="2">
        <v>7.8549848942598092E-3</v>
      </c>
      <c r="F625" s="2">
        <v>3.14621726479146E-2</v>
      </c>
    </row>
    <row r="626" spans="1:6" x14ac:dyDescent="0.25">
      <c r="A626" s="1" t="str">
        <f t="shared" si="24"/>
        <v>10780</v>
      </c>
      <c r="B626" s="1" t="str">
        <f>"71433"</f>
        <v>71433</v>
      </c>
      <c r="C626" s="2">
        <v>2.00911998911046E-2</v>
      </c>
      <c r="D626" s="2">
        <v>2.5815217391304299E-3</v>
      </c>
      <c r="E626" s="2">
        <v>9.0634441087613198E-3</v>
      </c>
      <c r="F626" s="2">
        <v>1.83074684772065E-2</v>
      </c>
    </row>
    <row r="627" spans="1:6" x14ac:dyDescent="0.25">
      <c r="A627" s="1" t="str">
        <f t="shared" si="24"/>
        <v>10780</v>
      </c>
      <c r="B627" s="1" t="str">
        <f>"71302"</f>
        <v>71302</v>
      </c>
      <c r="C627" s="2">
        <v>9.3840604369427594E-2</v>
      </c>
      <c r="D627" s="2">
        <v>8.1521739130434701E-2</v>
      </c>
      <c r="E627" s="2">
        <v>8.9425981873111696E-2</v>
      </c>
      <c r="F627" s="2">
        <v>9.2652764306498506E-2</v>
      </c>
    </row>
    <row r="628" spans="1:6" x14ac:dyDescent="0.25">
      <c r="A628" s="1" t="str">
        <f t="shared" si="24"/>
        <v>10780</v>
      </c>
      <c r="B628" s="1" t="str">
        <f>"71407"</f>
        <v>71407</v>
      </c>
      <c r="C628" s="2">
        <v>5.0227999727761501E-3</v>
      </c>
      <c r="D628" s="2">
        <v>2.3097826086956501E-3</v>
      </c>
      <c r="E628" s="2">
        <v>1.81268882175226E-3</v>
      </c>
      <c r="F628" s="2">
        <v>4.7162948593598396E-3</v>
      </c>
    </row>
    <row r="629" spans="1:6" x14ac:dyDescent="0.25">
      <c r="A629" s="1" t="str">
        <f t="shared" si="24"/>
        <v>10780</v>
      </c>
      <c r="B629" s="1" t="str">
        <f>"71430"</f>
        <v>71430</v>
      </c>
      <c r="C629" s="2">
        <v>1.2618253590144899E-2</v>
      </c>
      <c r="D629" s="2">
        <v>4.8913043478260804E-3</v>
      </c>
      <c r="E629" s="2">
        <v>1.81268882175226E-3</v>
      </c>
      <c r="F629" s="2">
        <v>1.17119301648884E-2</v>
      </c>
    </row>
    <row r="630" spans="1:6" x14ac:dyDescent="0.25">
      <c r="A630" s="1" t="str">
        <f t="shared" si="24"/>
        <v>10780</v>
      </c>
      <c r="B630" s="1" t="str">
        <f>"71463"</f>
        <v>71463</v>
      </c>
      <c r="C630" s="2">
        <v>2.47737017627441E-3</v>
      </c>
      <c r="D630" s="2">
        <v>1.3586956521739101E-4</v>
      </c>
      <c r="E630" s="2">
        <v>6.0422960725075496E-4</v>
      </c>
      <c r="F630" s="2">
        <v>2.23084384093113E-3</v>
      </c>
    </row>
    <row r="631" spans="1:6" x14ac:dyDescent="0.25">
      <c r="A631" s="1" t="str">
        <f t="shared" si="24"/>
        <v>10780</v>
      </c>
      <c r="B631" s="1" t="str">
        <f>"71360"</f>
        <v>71360</v>
      </c>
      <c r="C631" s="2">
        <v>0.22303137548492399</v>
      </c>
      <c r="D631" s="2">
        <v>0.157744565217391</v>
      </c>
      <c r="E631" s="2">
        <v>0.17824773413897199</v>
      </c>
      <c r="F631" s="2">
        <v>0.21630698351115399</v>
      </c>
    </row>
    <row r="632" spans="1:6" x14ac:dyDescent="0.25">
      <c r="A632" s="1" t="str">
        <f t="shared" si="24"/>
        <v>10780</v>
      </c>
      <c r="B632" s="1" t="str">
        <f>"71427"</f>
        <v>71427</v>
      </c>
      <c r="C632" s="2">
        <v>1.7151024297284399E-3</v>
      </c>
      <c r="D632" s="2">
        <v>2.7173913043478202E-4</v>
      </c>
      <c r="E632" s="2">
        <v>1.81268882175226E-3</v>
      </c>
      <c r="F632" s="2">
        <v>1.58826382153249E-3</v>
      </c>
    </row>
    <row r="633" spans="1:6" x14ac:dyDescent="0.25">
      <c r="A633" s="1" t="str">
        <f t="shared" si="24"/>
        <v>10780</v>
      </c>
      <c r="B633" s="1" t="str">
        <f>"70656"</f>
        <v>70656</v>
      </c>
      <c r="C633" s="2">
        <v>3.1171306064112099E-3</v>
      </c>
      <c r="D633" s="2">
        <v>2.7173913043478202E-4</v>
      </c>
      <c r="E633" s="2">
        <v>0</v>
      </c>
      <c r="F633" s="2">
        <v>2.8006789524733199E-3</v>
      </c>
    </row>
    <row r="634" spans="1:6" x14ac:dyDescent="0.25">
      <c r="A634" s="1" t="str">
        <f t="shared" si="24"/>
        <v>10780</v>
      </c>
      <c r="B634" s="1" t="str">
        <f>"71477"</f>
        <v>71477</v>
      </c>
      <c r="C634" s="2">
        <v>0</v>
      </c>
      <c r="D634" s="2">
        <v>0</v>
      </c>
      <c r="E634" s="2">
        <v>6.0422960725075496E-4</v>
      </c>
      <c r="F634" s="2">
        <v>1.2124151309408301E-5</v>
      </c>
    </row>
    <row r="635" spans="1:6" x14ac:dyDescent="0.25">
      <c r="A635" s="1" t="str">
        <f t="shared" si="24"/>
        <v>10780</v>
      </c>
      <c r="B635" s="1" t="str">
        <f>"71309"</f>
        <v>71309</v>
      </c>
      <c r="C635" s="2">
        <v>1.5640100728237901E-2</v>
      </c>
      <c r="D635" s="2">
        <v>2.48641304347826E-2</v>
      </c>
      <c r="E635" s="2">
        <v>1.2084592145015099E-3</v>
      </c>
      <c r="F635" s="2">
        <v>1.6173617846750699E-2</v>
      </c>
    </row>
    <row r="636" spans="1:6" x14ac:dyDescent="0.25">
      <c r="A636" s="1" t="str">
        <f t="shared" si="24"/>
        <v>10780</v>
      </c>
      <c r="B636" s="1" t="str">
        <f>"71438"</f>
        <v>71438</v>
      </c>
      <c r="C636" s="2">
        <v>5.8667392635949004E-3</v>
      </c>
      <c r="D636" s="2">
        <v>1.4945652173913001E-3</v>
      </c>
      <c r="E636" s="2">
        <v>0</v>
      </c>
      <c r="F636" s="2">
        <v>5.3588748787584796E-3</v>
      </c>
    </row>
    <row r="637" spans="1:6" x14ac:dyDescent="0.25">
      <c r="A637" s="1" t="str">
        <f t="shared" si="24"/>
        <v>10780</v>
      </c>
      <c r="B637" s="1" t="str">
        <f>"71447"</f>
        <v>71447</v>
      </c>
      <c r="C637" s="2">
        <v>6.4248281494589197E-3</v>
      </c>
      <c r="D637" s="2">
        <v>2.85326086956521E-3</v>
      </c>
      <c r="E637" s="2">
        <v>6.0422960725075496E-4</v>
      </c>
      <c r="F637" s="2">
        <v>5.9893307468477201E-3</v>
      </c>
    </row>
    <row r="638" spans="1:6" x14ac:dyDescent="0.25">
      <c r="A638" s="1" t="str">
        <f t="shared" si="24"/>
        <v>10780</v>
      </c>
      <c r="B638" s="1" t="str">
        <f>"71322"</f>
        <v>71322</v>
      </c>
      <c r="C638" s="2">
        <v>1.2250731640917401E-4</v>
      </c>
      <c r="D638" s="2">
        <v>0</v>
      </c>
      <c r="E638" s="2">
        <v>0</v>
      </c>
      <c r="F638" s="2">
        <v>1.09117361784675E-4</v>
      </c>
    </row>
    <row r="639" spans="1:6" x14ac:dyDescent="0.25">
      <c r="A639" s="1" t="str">
        <f t="shared" si="24"/>
        <v>10780</v>
      </c>
      <c r="B639" s="1" t="str">
        <f>"71359"</f>
        <v>71359</v>
      </c>
      <c r="C639" s="2">
        <v>0</v>
      </c>
      <c r="D639" s="2">
        <v>1.3586956521739101E-4</v>
      </c>
      <c r="E639" s="2">
        <v>0</v>
      </c>
      <c r="F639" s="2">
        <v>1.2124151309408301E-5</v>
      </c>
    </row>
    <row r="640" spans="1:6" x14ac:dyDescent="0.25">
      <c r="A640" s="1" t="str">
        <f t="shared" si="24"/>
        <v>10780</v>
      </c>
      <c r="B640" s="1" t="str">
        <f>"71346"</f>
        <v>71346</v>
      </c>
      <c r="C640" s="2">
        <v>1.1257061185598501E-2</v>
      </c>
      <c r="D640" s="2">
        <v>3.9402173913043398E-3</v>
      </c>
      <c r="E640" s="2">
        <v>3.0211480362537699E-3</v>
      </c>
      <c r="F640" s="2">
        <v>1.0438894277400501E-2</v>
      </c>
    </row>
    <row r="641" spans="1:6" x14ac:dyDescent="0.25">
      <c r="A641" s="1" t="str">
        <f t="shared" si="24"/>
        <v>10780</v>
      </c>
      <c r="B641" s="1" t="str">
        <f>"71432"</f>
        <v>71432</v>
      </c>
      <c r="C641" s="2">
        <v>5.9892465800040796E-3</v>
      </c>
      <c r="D641" s="2">
        <v>5.4347826086956501E-4</v>
      </c>
      <c r="E641" s="2">
        <v>1.81268882175226E-3</v>
      </c>
      <c r="F641" s="2">
        <v>5.4194956353055199E-3</v>
      </c>
    </row>
    <row r="642" spans="1:6" x14ac:dyDescent="0.25">
      <c r="A642" s="1" t="str">
        <f t="shared" si="24"/>
        <v>10780</v>
      </c>
      <c r="B642" s="1" t="str">
        <f>"71423"</f>
        <v>71423</v>
      </c>
      <c r="C642" s="2">
        <v>3.1239365684339399E-2</v>
      </c>
      <c r="D642" s="2">
        <v>8.6956521739130401E-3</v>
      </c>
      <c r="E642" s="2">
        <v>1.08761329305135E-2</v>
      </c>
      <c r="F642" s="2">
        <v>2.8819107662463601E-2</v>
      </c>
    </row>
    <row r="643" spans="1:6" x14ac:dyDescent="0.25">
      <c r="A643" s="1" t="str">
        <f t="shared" si="24"/>
        <v>10780</v>
      </c>
      <c r="B643" s="1" t="str">
        <f>"71328"</f>
        <v>71328</v>
      </c>
      <c r="C643" s="2">
        <v>4.2986456135574697E-2</v>
      </c>
      <c r="D643" s="2">
        <v>3.2608695652173898E-3</v>
      </c>
      <c r="E643" s="2">
        <v>1.5709969788519601E-2</v>
      </c>
      <c r="F643" s="2">
        <v>3.8894277400581899E-2</v>
      </c>
    </row>
    <row r="644" spans="1:6" x14ac:dyDescent="0.25">
      <c r="A644" s="1" t="str">
        <f t="shared" ref="A644:A661" si="25">"10820"</f>
        <v>10820</v>
      </c>
      <c r="B644" s="1" t="str">
        <f>"56319"</f>
        <v>56319</v>
      </c>
      <c r="C644" s="2">
        <v>2.7860078371403901E-2</v>
      </c>
      <c r="D644" s="2">
        <v>4.3520309477756199E-3</v>
      </c>
      <c r="E644" s="2">
        <v>1.1695906432748499E-2</v>
      </c>
      <c r="F644" s="2">
        <v>2.5339978038685599E-2</v>
      </c>
    </row>
    <row r="645" spans="1:6" x14ac:dyDescent="0.25">
      <c r="A645" s="1" t="str">
        <f t="shared" si="25"/>
        <v>10820</v>
      </c>
      <c r="B645" s="1" t="str">
        <f>"56327"</f>
        <v>56327</v>
      </c>
      <c r="C645" s="2">
        <v>1.6582242186753301E-2</v>
      </c>
      <c r="D645" s="2">
        <v>2.9013539651837499E-3</v>
      </c>
      <c r="E645" s="2">
        <v>1.46198830409356E-3</v>
      </c>
      <c r="F645" s="2">
        <v>1.49505870428245E-2</v>
      </c>
    </row>
    <row r="646" spans="1:6" x14ac:dyDescent="0.25">
      <c r="A646" s="1" t="str">
        <f t="shared" si="25"/>
        <v>10820</v>
      </c>
      <c r="B646" s="1" t="str">
        <f>"56309"</f>
        <v>56309</v>
      </c>
      <c r="C646" s="2">
        <v>7.1681162190576303E-4</v>
      </c>
      <c r="D646" s="2">
        <v>0</v>
      </c>
      <c r="E646" s="2">
        <v>0</v>
      </c>
      <c r="F646" s="2">
        <v>6.3349945096714203E-4</v>
      </c>
    </row>
    <row r="647" spans="1:6" x14ac:dyDescent="0.25">
      <c r="A647" s="1" t="str">
        <f t="shared" si="25"/>
        <v>10820</v>
      </c>
      <c r="B647" s="1" t="str">
        <f>"56334"</f>
        <v>56334</v>
      </c>
      <c r="C647" s="2">
        <v>4.5398069387365004E-3</v>
      </c>
      <c r="D647" s="2">
        <v>1.45067698259187E-3</v>
      </c>
      <c r="E647" s="2">
        <v>1.46198830409356E-3</v>
      </c>
      <c r="F647" s="2">
        <v>4.1810963763831404E-3</v>
      </c>
    </row>
    <row r="648" spans="1:6" x14ac:dyDescent="0.25">
      <c r="A648" s="1" t="str">
        <f t="shared" si="25"/>
        <v>10820</v>
      </c>
      <c r="B648" s="1" t="str">
        <f>"56355"</f>
        <v>56355</v>
      </c>
      <c r="C648" s="2">
        <v>1.1325623626111E-2</v>
      </c>
      <c r="D648" s="2">
        <v>8.7040618955512503E-3</v>
      </c>
      <c r="E648" s="2">
        <v>4.3859649122806998E-3</v>
      </c>
      <c r="F648" s="2">
        <v>1.0896190556634801E-2</v>
      </c>
    </row>
    <row r="649" spans="1:6" x14ac:dyDescent="0.25">
      <c r="A649" s="1" t="str">
        <f t="shared" si="25"/>
        <v>10820</v>
      </c>
      <c r="B649" s="1" t="str">
        <f>"56446"</f>
        <v>56446</v>
      </c>
      <c r="C649" s="2">
        <v>1.8159227754945999E-3</v>
      </c>
      <c r="D649" s="2">
        <v>1.45067698259187E-3</v>
      </c>
      <c r="E649" s="2">
        <v>0</v>
      </c>
      <c r="F649" s="2">
        <v>1.7315651659768499E-3</v>
      </c>
    </row>
    <row r="650" spans="1:6" x14ac:dyDescent="0.25">
      <c r="A650" s="1" t="str">
        <f t="shared" si="25"/>
        <v>10820</v>
      </c>
      <c r="B650" s="1" t="str">
        <f>"56385"</f>
        <v>56385</v>
      </c>
      <c r="C650" s="2">
        <v>6.2123673898499402E-4</v>
      </c>
      <c r="D650" s="2">
        <v>0</v>
      </c>
      <c r="E650" s="2">
        <v>0</v>
      </c>
      <c r="F650" s="2">
        <v>5.4903285750485605E-4</v>
      </c>
    </row>
    <row r="651" spans="1:6" x14ac:dyDescent="0.25">
      <c r="A651" s="1" t="str">
        <f t="shared" si="25"/>
        <v>10820</v>
      </c>
      <c r="B651" s="1" t="str">
        <f>"56354"</f>
        <v>56354</v>
      </c>
      <c r="C651" s="2">
        <v>4.0523750358405802E-2</v>
      </c>
      <c r="D651" s="2">
        <v>9.1876208897485392E-3</v>
      </c>
      <c r="E651" s="2">
        <v>1.7543859649122799E-2</v>
      </c>
      <c r="F651" s="2">
        <v>3.7123067826674502E-2</v>
      </c>
    </row>
    <row r="652" spans="1:6" x14ac:dyDescent="0.25">
      <c r="A652" s="1" t="str">
        <f t="shared" si="25"/>
        <v>10820</v>
      </c>
      <c r="B652" s="1" t="str">
        <f>"56360"</f>
        <v>56360</v>
      </c>
      <c r="C652" s="2">
        <v>5.5672369301347599E-2</v>
      </c>
      <c r="D652" s="2">
        <v>1.4990328820116E-2</v>
      </c>
      <c r="E652" s="2">
        <v>4.9707602339181201E-2</v>
      </c>
      <c r="F652" s="2">
        <v>5.1946954979305598E-2</v>
      </c>
    </row>
    <row r="653" spans="1:6" x14ac:dyDescent="0.25">
      <c r="A653" s="1" t="str">
        <f t="shared" si="25"/>
        <v>10820</v>
      </c>
      <c r="B653" s="1" t="str">
        <f>"56308"</f>
        <v>56308</v>
      </c>
      <c r="C653" s="2">
        <v>0.70668068431616105</v>
      </c>
      <c r="D653" s="2">
        <v>0.91779497098646001</v>
      </c>
      <c r="E653" s="2">
        <v>0.86111111111111105</v>
      </c>
      <c r="F653" s="2">
        <v>0.72958020103049204</v>
      </c>
    </row>
    <row r="654" spans="1:6" x14ac:dyDescent="0.25">
      <c r="A654" s="1" t="str">
        <f t="shared" si="25"/>
        <v>10820</v>
      </c>
      <c r="B654" s="1" t="str">
        <f>"56332"</f>
        <v>56332</v>
      </c>
      <c r="C654" s="2">
        <v>3.18742234540762E-2</v>
      </c>
      <c r="D654" s="2">
        <v>9.1876208897485392E-3</v>
      </c>
      <c r="E654" s="2">
        <v>1.4619883040935601E-2</v>
      </c>
      <c r="F654" s="2">
        <v>2.9394374524875401E-2</v>
      </c>
    </row>
    <row r="655" spans="1:6" x14ac:dyDescent="0.25">
      <c r="A655" s="1" t="str">
        <f t="shared" si="25"/>
        <v>10820</v>
      </c>
      <c r="B655" s="1" t="str">
        <f>"56343"</f>
        <v>56343</v>
      </c>
      <c r="C655" s="2">
        <v>1.6199942655070201E-2</v>
      </c>
      <c r="D655" s="2">
        <v>4.8355899419729202E-3</v>
      </c>
      <c r="E655" s="2">
        <v>1.46198830409356E-3</v>
      </c>
      <c r="F655" s="2">
        <v>1.47816538558999E-2</v>
      </c>
    </row>
    <row r="656" spans="1:6" x14ac:dyDescent="0.25">
      <c r="A656" s="1" t="str">
        <f t="shared" si="25"/>
        <v>10820</v>
      </c>
      <c r="B656" s="1" t="str">
        <f>"56361"</f>
        <v>56361</v>
      </c>
      <c r="C656" s="2">
        <v>1.0083150148141E-2</v>
      </c>
      <c r="D656" s="2">
        <v>0</v>
      </c>
      <c r="E656" s="2">
        <v>2.92397660818713E-3</v>
      </c>
      <c r="F656" s="2">
        <v>8.9956922037334203E-3</v>
      </c>
    </row>
    <row r="657" spans="1:6" x14ac:dyDescent="0.25">
      <c r="A657" s="1" t="str">
        <f t="shared" si="25"/>
        <v>10820</v>
      </c>
      <c r="B657" s="1" t="str">
        <f>"56315"</f>
        <v>56315</v>
      </c>
      <c r="C657" s="2">
        <v>3.3403421580808501E-2</v>
      </c>
      <c r="D657" s="2">
        <v>1.25725338491295E-2</v>
      </c>
      <c r="E657" s="2">
        <v>7.3099415204678298E-3</v>
      </c>
      <c r="F657" s="2">
        <v>3.0830306613734201E-2</v>
      </c>
    </row>
    <row r="658" spans="1:6" x14ac:dyDescent="0.25">
      <c r="A658" s="1" t="str">
        <f t="shared" si="25"/>
        <v>10820</v>
      </c>
      <c r="B658" s="1" t="str">
        <f>"56339"</f>
        <v>56339</v>
      </c>
      <c r="C658" s="2">
        <v>3.0583962534645802E-3</v>
      </c>
      <c r="D658" s="2">
        <v>4.8355899419729202E-4</v>
      </c>
      <c r="E658" s="2">
        <v>0</v>
      </c>
      <c r="F658" s="2">
        <v>2.74516428752428E-3</v>
      </c>
    </row>
    <row r="659" spans="1:6" x14ac:dyDescent="0.25">
      <c r="A659" s="1" t="str">
        <f t="shared" si="25"/>
        <v>10820</v>
      </c>
      <c r="B659" s="1" t="str">
        <f>"56349"</f>
        <v>56349</v>
      </c>
      <c r="C659" s="2">
        <v>2.48494695593997E-3</v>
      </c>
      <c r="D659" s="2">
        <v>0</v>
      </c>
      <c r="E659" s="2">
        <v>0</v>
      </c>
      <c r="F659" s="2">
        <v>2.1961314300194199E-3</v>
      </c>
    </row>
    <row r="660" spans="1:6" x14ac:dyDescent="0.25">
      <c r="A660" s="1" t="str">
        <f t="shared" si="25"/>
        <v>10820</v>
      </c>
      <c r="B660" s="1" t="str">
        <f>"56341"</f>
        <v>56341</v>
      </c>
      <c r="C660" s="2">
        <v>0</v>
      </c>
      <c r="D660" s="2">
        <v>0</v>
      </c>
      <c r="E660" s="2">
        <v>1.46198830409356E-3</v>
      </c>
      <c r="F660" s="2">
        <v>4.2233296731142797E-5</v>
      </c>
    </row>
    <row r="661" spans="1:6" x14ac:dyDescent="0.25">
      <c r="A661" s="1" t="str">
        <f t="shared" si="25"/>
        <v>10820</v>
      </c>
      <c r="B661" s="1" t="str">
        <f>"56326"</f>
        <v>56326</v>
      </c>
      <c r="C661" s="2">
        <v>3.6557392717193903E-2</v>
      </c>
      <c r="D661" s="2">
        <v>1.2088974854932299E-2</v>
      </c>
      <c r="E661" s="2">
        <v>2.48538011695906E-2</v>
      </c>
      <c r="F661" s="2">
        <v>3.4082270462032202E-2</v>
      </c>
    </row>
    <row r="662" spans="1:6" x14ac:dyDescent="0.25">
      <c r="A662" s="1" t="str">
        <f t="shared" ref="A662:A673" si="26">"10860"</f>
        <v>10860</v>
      </c>
      <c r="B662" s="1" t="str">
        <f>"78383"</f>
        <v>78383</v>
      </c>
      <c r="C662" s="2">
        <v>4.1567824024153502E-2</v>
      </c>
      <c r="D662" s="2">
        <v>8.6058519793459493E-3</v>
      </c>
      <c r="E662" s="2">
        <v>3.7128712871287099E-2</v>
      </c>
      <c r="F662" s="2">
        <v>3.87050012080212E-2</v>
      </c>
    </row>
    <row r="663" spans="1:6" x14ac:dyDescent="0.25">
      <c r="A663" s="1" t="str">
        <f t="shared" si="26"/>
        <v>10860</v>
      </c>
      <c r="B663" s="1" t="str">
        <f>"78355"</f>
        <v>78355</v>
      </c>
      <c r="C663" s="2">
        <v>4.7444468406297102E-3</v>
      </c>
      <c r="D663" s="2">
        <v>2.2948938611589199E-3</v>
      </c>
      <c r="E663" s="2">
        <v>7.4257425742574202E-3</v>
      </c>
      <c r="F663" s="2">
        <v>4.5904807924619399E-3</v>
      </c>
    </row>
    <row r="664" spans="1:6" x14ac:dyDescent="0.25">
      <c r="A664" s="1" t="str">
        <f t="shared" si="26"/>
        <v>10860</v>
      </c>
      <c r="B664" s="1" t="str">
        <f>"78380"</f>
        <v>78380</v>
      </c>
      <c r="C664" s="2">
        <v>8.6262669829631196E-4</v>
      </c>
      <c r="D664" s="2">
        <v>0</v>
      </c>
      <c r="E664" s="2">
        <v>4.9504950495049497E-3</v>
      </c>
      <c r="F664" s="2">
        <v>8.6977530804542103E-4</v>
      </c>
    </row>
    <row r="665" spans="1:6" x14ac:dyDescent="0.25">
      <c r="A665" s="1" t="str">
        <f t="shared" si="26"/>
        <v>10860</v>
      </c>
      <c r="B665" s="1" t="str">
        <f>"78349"</f>
        <v>78349</v>
      </c>
      <c r="C665" s="2">
        <v>1.33167996549493E-2</v>
      </c>
      <c r="D665" s="2">
        <v>1.72117039586919E-3</v>
      </c>
      <c r="E665" s="2">
        <v>9.9009900990098994E-3</v>
      </c>
      <c r="F665" s="2">
        <v>1.2273496013529801E-2</v>
      </c>
    </row>
    <row r="666" spans="1:6" x14ac:dyDescent="0.25">
      <c r="A666" s="1" t="str">
        <f t="shared" si="26"/>
        <v>10860</v>
      </c>
      <c r="B666" s="1" t="str">
        <f>"78384"</f>
        <v>78384</v>
      </c>
      <c r="C666" s="2">
        <v>0.13208971317662199</v>
      </c>
      <c r="D666" s="2">
        <v>0.107286288009179</v>
      </c>
      <c r="E666" s="2">
        <v>7.9207920792079195E-2</v>
      </c>
      <c r="F666" s="2">
        <v>0.12896834984295699</v>
      </c>
    </row>
    <row r="667" spans="1:6" x14ac:dyDescent="0.25">
      <c r="A667" s="1" t="str">
        <f t="shared" si="26"/>
        <v>10860</v>
      </c>
      <c r="B667" s="1" t="str">
        <f>"78372"</f>
        <v>78372</v>
      </c>
      <c r="C667" s="2">
        <v>9.9956868665085102E-2</v>
      </c>
      <c r="D667" s="2">
        <v>2.1801491681009699E-2</v>
      </c>
      <c r="E667" s="2">
        <v>0.113861386138613</v>
      </c>
      <c r="F667" s="2">
        <v>9.3645808166223699E-2</v>
      </c>
    </row>
    <row r="668" spans="1:6" x14ac:dyDescent="0.25">
      <c r="A668" s="1" t="str">
        <f t="shared" si="26"/>
        <v>10860</v>
      </c>
      <c r="B668" s="1" t="str">
        <f>"78332"</f>
        <v>78332</v>
      </c>
      <c r="C668" s="2">
        <v>0.63527064912659004</v>
      </c>
      <c r="D668" s="2">
        <v>0.83534136546184701</v>
      </c>
      <c r="E668" s="2">
        <v>0.725247524752475</v>
      </c>
      <c r="F668" s="2">
        <v>0.65387774824836897</v>
      </c>
    </row>
    <row r="669" spans="1:6" x14ac:dyDescent="0.25">
      <c r="A669" s="1" t="str">
        <f t="shared" si="26"/>
        <v>10860</v>
      </c>
      <c r="B669" s="1" t="str">
        <f>"78357"</f>
        <v>78357</v>
      </c>
      <c r="C669" s="2">
        <v>2.5393573431097601E-2</v>
      </c>
      <c r="D669" s="2">
        <v>6.3109581181870298E-3</v>
      </c>
      <c r="E669" s="2">
        <v>1.23762376237623E-2</v>
      </c>
      <c r="F669" s="2">
        <v>2.3532254167673301E-2</v>
      </c>
    </row>
    <row r="670" spans="1:6" x14ac:dyDescent="0.25">
      <c r="A670" s="1" t="str">
        <f t="shared" si="26"/>
        <v>10860</v>
      </c>
      <c r="B670" s="1" t="str">
        <f>"78342"</f>
        <v>78342</v>
      </c>
      <c r="C670" s="2">
        <v>0</v>
      </c>
      <c r="D670" s="2">
        <v>5.7372346528972997E-4</v>
      </c>
      <c r="E670" s="2">
        <v>0</v>
      </c>
      <c r="F670" s="2">
        <v>4.8320850446967797E-5</v>
      </c>
    </row>
    <row r="671" spans="1:6" x14ac:dyDescent="0.25">
      <c r="A671" s="1" t="str">
        <f t="shared" si="26"/>
        <v>10860</v>
      </c>
      <c r="B671" s="1" t="str">
        <f>"78375"</f>
        <v>78375</v>
      </c>
      <c r="C671" s="2">
        <v>2.57709726116023E-2</v>
      </c>
      <c r="D671" s="2">
        <v>1.2621916236374001E-2</v>
      </c>
      <c r="E671" s="2">
        <v>4.9504950495049497E-3</v>
      </c>
      <c r="F671" s="2">
        <v>2.4257066924377801E-2</v>
      </c>
    </row>
    <row r="672" spans="1:6" x14ac:dyDescent="0.25">
      <c r="A672" s="1" t="str">
        <f t="shared" si="26"/>
        <v>10860</v>
      </c>
      <c r="B672" s="1" t="str">
        <f>"78376"</f>
        <v>78376</v>
      </c>
      <c r="C672" s="2">
        <v>7.2244985982316103E-3</v>
      </c>
      <c r="D672" s="2">
        <v>2.2948938611589199E-3</v>
      </c>
      <c r="E672" s="2">
        <v>0</v>
      </c>
      <c r="F672" s="2">
        <v>6.6682773616815599E-3</v>
      </c>
    </row>
    <row r="673" spans="1:6" x14ac:dyDescent="0.25">
      <c r="A673" s="1" t="str">
        <f t="shared" si="26"/>
        <v>10860</v>
      </c>
      <c r="B673" s="1" t="str">
        <f>"78341"</f>
        <v>78341</v>
      </c>
      <c r="C673" s="2">
        <v>1.3802027172740899E-2</v>
      </c>
      <c r="D673" s="2">
        <v>1.1474469305794599E-3</v>
      </c>
      <c r="E673" s="2">
        <v>4.9504950495049497E-3</v>
      </c>
      <c r="F673" s="2">
        <v>1.2563421116211599E-2</v>
      </c>
    </row>
    <row r="674" spans="1:6" x14ac:dyDescent="0.25">
      <c r="A674" s="1" t="str">
        <f t="shared" ref="A674:A705" si="27">"10900"</f>
        <v>10900</v>
      </c>
      <c r="B674" s="1" t="str">
        <f>"07832"</f>
        <v>07832</v>
      </c>
      <c r="C674" s="2">
        <v>3.9047923663308201E-3</v>
      </c>
      <c r="D674" s="2">
        <v>1.7073004165813E-3</v>
      </c>
      <c r="E674" s="2">
        <v>2.30644558035157E-3</v>
      </c>
      <c r="F674" s="2">
        <v>3.69077401618994E-3</v>
      </c>
    </row>
    <row r="675" spans="1:6" x14ac:dyDescent="0.25">
      <c r="A675" s="1" t="str">
        <f t="shared" si="27"/>
        <v>10900</v>
      </c>
      <c r="B675" s="1" t="str">
        <f>"18068"</f>
        <v>18068</v>
      </c>
      <c r="C675" s="2">
        <v>0</v>
      </c>
      <c r="D675" s="2">
        <v>3.4146008331625999E-5</v>
      </c>
      <c r="E675" s="2">
        <v>0</v>
      </c>
      <c r="F675" s="2">
        <v>2.3780760413594901E-6</v>
      </c>
    </row>
    <row r="676" spans="1:6" x14ac:dyDescent="0.25">
      <c r="A676" s="1" t="str">
        <f t="shared" si="27"/>
        <v>10900</v>
      </c>
      <c r="B676" s="1" t="str">
        <f>"08848"</f>
        <v>08848</v>
      </c>
      <c r="C676" s="2">
        <v>7.4630843861613001E-5</v>
      </c>
      <c r="D676" s="2">
        <v>3.4146008331625999E-5</v>
      </c>
      <c r="E676" s="2">
        <v>0</v>
      </c>
      <c r="F676" s="2">
        <v>6.8964205199425403E-5</v>
      </c>
    </row>
    <row r="677" spans="1:6" x14ac:dyDescent="0.25">
      <c r="A677" s="1" t="str">
        <f t="shared" si="27"/>
        <v>10900</v>
      </c>
      <c r="B677" s="1" t="str">
        <f>"18046"</f>
        <v>18046</v>
      </c>
      <c r="C677" s="2">
        <v>2.6653872807718901E-6</v>
      </c>
      <c r="D677" s="2">
        <v>3.4146008331625999E-5</v>
      </c>
      <c r="E677" s="2">
        <v>0</v>
      </c>
      <c r="F677" s="2">
        <v>4.7561520827189903E-6</v>
      </c>
    </row>
    <row r="678" spans="1:6" x14ac:dyDescent="0.25">
      <c r="A678" s="1" t="str">
        <f t="shared" si="27"/>
        <v>10900</v>
      </c>
      <c r="B678" s="1" t="str">
        <f>"18254"</f>
        <v>18254</v>
      </c>
      <c r="C678" s="2">
        <v>1.1994242763473501E-3</v>
      </c>
      <c r="D678" s="2">
        <v>5.1219012497439004E-4</v>
      </c>
      <c r="E678" s="2">
        <v>6.2336367036529094E-5</v>
      </c>
      <c r="F678" s="2">
        <v>1.1081834352735199E-3</v>
      </c>
    </row>
    <row r="679" spans="1:6" x14ac:dyDescent="0.25">
      <c r="A679" s="1" t="str">
        <f t="shared" si="27"/>
        <v>10900</v>
      </c>
      <c r="B679" s="1" t="str">
        <f>"18252"</f>
        <v>18252</v>
      </c>
      <c r="C679" s="2">
        <v>1.0661549123087499E-5</v>
      </c>
      <c r="D679" s="2">
        <v>0</v>
      </c>
      <c r="E679" s="2">
        <v>0</v>
      </c>
      <c r="F679" s="2">
        <v>9.5123041654379907E-6</v>
      </c>
    </row>
    <row r="680" spans="1:6" x14ac:dyDescent="0.25">
      <c r="A680" s="1" t="str">
        <f t="shared" si="27"/>
        <v>10900</v>
      </c>
      <c r="B680" s="1" t="str">
        <f>"08808"</f>
        <v>08808</v>
      </c>
      <c r="C680" s="2">
        <v>0</v>
      </c>
      <c r="D680" s="2">
        <v>3.4146008331625999E-5</v>
      </c>
      <c r="E680" s="2">
        <v>0</v>
      </c>
      <c r="F680" s="2">
        <v>2.3780760413594901E-6</v>
      </c>
    </row>
    <row r="681" spans="1:6" x14ac:dyDescent="0.25">
      <c r="A681" s="1" t="str">
        <f t="shared" si="27"/>
        <v>10900</v>
      </c>
      <c r="B681" s="1" t="str">
        <f>"18230"</f>
        <v>18230</v>
      </c>
      <c r="C681" s="2">
        <v>2.6653872807718901E-6</v>
      </c>
      <c r="D681" s="2">
        <v>3.4146008331625999E-5</v>
      </c>
      <c r="E681" s="2">
        <v>0</v>
      </c>
      <c r="F681" s="2">
        <v>4.7561520827189903E-6</v>
      </c>
    </row>
    <row r="682" spans="1:6" x14ac:dyDescent="0.25">
      <c r="A682" s="1" t="str">
        <f t="shared" si="27"/>
        <v>10900</v>
      </c>
      <c r="B682" s="1" t="str">
        <f>"07821"</f>
        <v>07821</v>
      </c>
      <c r="C682" s="2">
        <v>7.4630843861612996E-4</v>
      </c>
      <c r="D682" s="2">
        <v>1.36584033326504E-4</v>
      </c>
      <c r="E682" s="2">
        <v>1.8700910110958701E-4</v>
      </c>
      <c r="F682" s="2">
        <v>6.8250782387017602E-4</v>
      </c>
    </row>
    <row r="683" spans="1:6" x14ac:dyDescent="0.25">
      <c r="A683" s="1" t="str">
        <f t="shared" si="27"/>
        <v>10900</v>
      </c>
      <c r="B683" s="1" t="str">
        <f>"07846"</f>
        <v>07846</v>
      </c>
      <c r="C683" s="2">
        <v>0</v>
      </c>
      <c r="D683" s="2">
        <v>1.02438024994878E-4</v>
      </c>
      <c r="E683" s="2">
        <v>6.2336367036529094E-5</v>
      </c>
      <c r="F683" s="2">
        <v>9.5123041654379907E-6</v>
      </c>
    </row>
    <row r="684" spans="1:6" x14ac:dyDescent="0.25">
      <c r="A684" s="1" t="str">
        <f t="shared" si="27"/>
        <v>10900</v>
      </c>
      <c r="B684" s="1" t="str">
        <f>"18083"</f>
        <v>18083</v>
      </c>
      <c r="C684" s="2">
        <v>1.75115944346713E-3</v>
      </c>
      <c r="D684" s="2">
        <v>2.3560745748821901E-3</v>
      </c>
      <c r="E684" s="2">
        <v>1.8700910110958701E-4</v>
      </c>
      <c r="F684" s="2">
        <v>1.7336174341510699E-3</v>
      </c>
    </row>
    <row r="685" spans="1:6" x14ac:dyDescent="0.25">
      <c r="A685" s="1" t="str">
        <f t="shared" si="27"/>
        <v>10900</v>
      </c>
      <c r="B685" s="1" t="str">
        <f>"18066"</f>
        <v>18066</v>
      </c>
      <c r="C685" s="2">
        <v>6.5248680633295999E-3</v>
      </c>
      <c r="D685" s="2">
        <v>3.4828928498258499E-3</v>
      </c>
      <c r="E685" s="2">
        <v>3.6155092881186802E-3</v>
      </c>
      <c r="F685" s="2">
        <v>6.2020223158655704E-3</v>
      </c>
    </row>
    <row r="686" spans="1:6" x14ac:dyDescent="0.25">
      <c r="A686" s="1" t="str">
        <f t="shared" si="27"/>
        <v>10900</v>
      </c>
      <c r="B686" s="1" t="str">
        <f>"18103"</f>
        <v>18103</v>
      </c>
      <c r="C686" s="2">
        <v>5.2604083373314098E-2</v>
      </c>
      <c r="D686" s="2">
        <v>5.0023902205832103E-2</v>
      </c>
      <c r="E686" s="2">
        <v>7.6050367784565504E-2</v>
      </c>
      <c r="F686" s="2">
        <v>5.33188429233213E-2</v>
      </c>
    </row>
    <row r="687" spans="1:6" x14ac:dyDescent="0.25">
      <c r="A687" s="1" t="str">
        <f t="shared" si="27"/>
        <v>10900</v>
      </c>
      <c r="B687" s="1" t="str">
        <f>"18031"</f>
        <v>18031</v>
      </c>
      <c r="C687" s="2">
        <v>1.19835812143504E-2</v>
      </c>
      <c r="D687" s="2">
        <v>5.0194632247490198E-3</v>
      </c>
      <c r="E687" s="2">
        <v>2.11943647924198E-3</v>
      </c>
      <c r="F687" s="2">
        <v>1.11222616454383E-2</v>
      </c>
    </row>
    <row r="688" spans="1:6" x14ac:dyDescent="0.25">
      <c r="A688" s="1" t="str">
        <f t="shared" si="27"/>
        <v>10900</v>
      </c>
      <c r="B688" s="1" t="str">
        <f>"18037"</f>
        <v>18037</v>
      </c>
      <c r="C688" s="2">
        <v>8.2040620502158903E-3</v>
      </c>
      <c r="D688" s="2">
        <v>4.9511712080857698E-3</v>
      </c>
      <c r="E688" s="2">
        <v>4.7999002618127401E-3</v>
      </c>
      <c r="F688" s="2">
        <v>7.8476509364863393E-3</v>
      </c>
    </row>
    <row r="689" spans="1:6" x14ac:dyDescent="0.25">
      <c r="A689" s="1" t="str">
        <f t="shared" si="27"/>
        <v>10900</v>
      </c>
      <c r="B689" s="1" t="str">
        <f>"07838"</f>
        <v>07838</v>
      </c>
      <c r="C689" s="2">
        <v>3.4463457540380598E-3</v>
      </c>
      <c r="D689" s="2">
        <v>1.8780304582394301E-3</v>
      </c>
      <c r="E689" s="2">
        <v>9.9738187258446506E-4</v>
      </c>
      <c r="F689" s="2">
        <v>3.2436957204143501E-3</v>
      </c>
    </row>
    <row r="690" spans="1:6" x14ac:dyDescent="0.25">
      <c r="A690" s="1" t="str">
        <f t="shared" si="27"/>
        <v>10900</v>
      </c>
      <c r="B690" s="1" t="str">
        <f>"18333"</f>
        <v>18333</v>
      </c>
      <c r="C690" s="2">
        <v>1.0661549123087499E-5</v>
      </c>
      <c r="D690" s="2">
        <v>3.4146008331625999E-5</v>
      </c>
      <c r="E690" s="2">
        <v>0</v>
      </c>
      <c r="F690" s="2">
        <v>1.1890380206797399E-5</v>
      </c>
    </row>
    <row r="691" spans="1:6" x14ac:dyDescent="0.25">
      <c r="A691" s="1" t="str">
        <f t="shared" si="27"/>
        <v>10900</v>
      </c>
      <c r="B691" s="1" t="str">
        <f>"18237"</f>
        <v>18237</v>
      </c>
      <c r="C691" s="2">
        <v>1.33269364038594E-5</v>
      </c>
      <c r="D691" s="2">
        <v>3.07314074984634E-4</v>
      </c>
      <c r="E691" s="2">
        <v>0</v>
      </c>
      <c r="F691" s="2">
        <v>3.3293064579032898E-5</v>
      </c>
    </row>
    <row r="692" spans="1:6" x14ac:dyDescent="0.25">
      <c r="A692" s="1" t="str">
        <f t="shared" si="27"/>
        <v>10900</v>
      </c>
      <c r="B692" s="1" t="str">
        <f>"18065"</f>
        <v>18065</v>
      </c>
      <c r="C692" s="2">
        <v>9.5953942107788206E-5</v>
      </c>
      <c r="D692" s="2">
        <v>2.0487604998975601E-4</v>
      </c>
      <c r="E692" s="2">
        <v>1.24672734073058E-4</v>
      </c>
      <c r="F692" s="2">
        <v>1.04635345819817E-4</v>
      </c>
    </row>
    <row r="693" spans="1:6" x14ac:dyDescent="0.25">
      <c r="A693" s="1" t="str">
        <f t="shared" si="27"/>
        <v>10900</v>
      </c>
      <c r="B693" s="1" t="str">
        <f>"18030"</f>
        <v>18030</v>
      </c>
      <c r="C693" s="2">
        <v>0</v>
      </c>
      <c r="D693" s="2">
        <v>1.02438024994878E-4</v>
      </c>
      <c r="E693" s="2">
        <v>0</v>
      </c>
      <c r="F693" s="2">
        <v>7.1342281240784896E-6</v>
      </c>
    </row>
    <row r="694" spans="1:6" x14ac:dyDescent="0.25">
      <c r="A694" s="1" t="str">
        <f t="shared" si="27"/>
        <v>10900</v>
      </c>
      <c r="B694" s="1" t="str">
        <f>"07844"</f>
        <v>07844</v>
      </c>
      <c r="C694" s="2">
        <v>0</v>
      </c>
      <c r="D694" s="2">
        <v>1.36584033326504E-4</v>
      </c>
      <c r="E694" s="2">
        <v>6.2336367036529094E-5</v>
      </c>
      <c r="F694" s="2">
        <v>1.1890380206797399E-5</v>
      </c>
    </row>
    <row r="695" spans="1:6" x14ac:dyDescent="0.25">
      <c r="A695" s="1" t="str">
        <f t="shared" si="27"/>
        <v>10900</v>
      </c>
      <c r="B695" s="1" t="str">
        <f>"18016"</f>
        <v>18016</v>
      </c>
      <c r="C695" s="2">
        <v>2.69204115357961E-3</v>
      </c>
      <c r="D695" s="2">
        <v>8.2974800245851198E-3</v>
      </c>
      <c r="E695" s="2">
        <v>6.2336367036529094E-5</v>
      </c>
      <c r="F695" s="2">
        <v>2.9821073558648102E-3</v>
      </c>
    </row>
    <row r="696" spans="1:6" x14ac:dyDescent="0.25">
      <c r="A696" s="1" t="str">
        <f t="shared" si="27"/>
        <v>10900</v>
      </c>
      <c r="B696" s="1" t="str">
        <f>"07860"</f>
        <v>07860</v>
      </c>
      <c r="C696" s="2">
        <v>4.4245428860813398E-4</v>
      </c>
      <c r="D696" s="2">
        <v>1.7073004165813E-4</v>
      </c>
      <c r="E696" s="2">
        <v>4.3635456925570298E-4</v>
      </c>
      <c r="F696" s="2">
        <v>4.2329753536198998E-4</v>
      </c>
    </row>
    <row r="697" spans="1:6" x14ac:dyDescent="0.25">
      <c r="A697" s="1" t="str">
        <f t="shared" si="27"/>
        <v>10900</v>
      </c>
      <c r="B697" s="1" t="str">
        <f>"18240"</f>
        <v>18240</v>
      </c>
      <c r="C697" s="2">
        <v>4.7390585852124297E-3</v>
      </c>
      <c r="D697" s="2">
        <v>3.96093696646861E-3</v>
      </c>
      <c r="E697" s="2">
        <v>3.0544819847899201E-3</v>
      </c>
      <c r="F697" s="2">
        <v>4.6206017483614997E-3</v>
      </c>
    </row>
    <row r="698" spans="1:6" x14ac:dyDescent="0.25">
      <c r="A698" s="1" t="str">
        <f t="shared" si="27"/>
        <v>10900</v>
      </c>
      <c r="B698" s="1" t="str">
        <f>"18211"</f>
        <v>18211</v>
      </c>
      <c r="C698" s="2">
        <v>9.86193293885601E-5</v>
      </c>
      <c r="D698" s="2">
        <v>0</v>
      </c>
      <c r="E698" s="2">
        <v>0</v>
      </c>
      <c r="F698" s="2">
        <v>8.7988813530301405E-5</v>
      </c>
    </row>
    <row r="699" spans="1:6" x14ac:dyDescent="0.25">
      <c r="A699" s="1" t="str">
        <f t="shared" si="27"/>
        <v>10900</v>
      </c>
      <c r="B699" s="1" t="str">
        <f>"18661"</f>
        <v>18661</v>
      </c>
      <c r="C699" s="2">
        <v>1.0688202995895301E-3</v>
      </c>
      <c r="D699" s="2">
        <v>2.7316806665300799E-4</v>
      </c>
      <c r="E699" s="2">
        <v>3.7401820221917402E-4</v>
      </c>
      <c r="F699" s="2">
        <v>9.8690155716419097E-4</v>
      </c>
    </row>
    <row r="700" spans="1:6" x14ac:dyDescent="0.25">
      <c r="A700" s="1" t="str">
        <f t="shared" si="27"/>
        <v>10900</v>
      </c>
      <c r="B700" s="1" t="str">
        <f>"08804"</f>
        <v>08804</v>
      </c>
      <c r="C700" s="2">
        <v>9.0356628818167195E-4</v>
      </c>
      <c r="D700" s="2">
        <v>3.07314074984634E-4</v>
      </c>
      <c r="E700" s="2">
        <v>1.8700910110958701E-4</v>
      </c>
      <c r="F700" s="2">
        <v>8.3470469051718295E-4</v>
      </c>
    </row>
    <row r="701" spans="1:6" x14ac:dyDescent="0.25">
      <c r="A701" s="1" t="str">
        <f t="shared" si="27"/>
        <v>10900</v>
      </c>
      <c r="B701" s="1" t="str">
        <f>"18041"</f>
        <v>18041</v>
      </c>
      <c r="C701" s="2">
        <v>4.0247347939655602E-4</v>
      </c>
      <c r="D701" s="2">
        <v>3.4146008331625999E-5</v>
      </c>
      <c r="E701" s="2">
        <v>6.2336367036529094E-5</v>
      </c>
      <c r="F701" s="2">
        <v>3.63845634328003E-4</v>
      </c>
    </row>
    <row r="702" spans="1:6" x14ac:dyDescent="0.25">
      <c r="A702" s="1" t="str">
        <f t="shared" si="27"/>
        <v>10900</v>
      </c>
      <c r="B702" s="1" t="str">
        <f>"07863"</f>
        <v>07863</v>
      </c>
      <c r="C702" s="2">
        <v>4.59246228476997E-3</v>
      </c>
      <c r="D702" s="2">
        <v>2.4243665915454401E-3</v>
      </c>
      <c r="E702" s="2">
        <v>1.9324273781324E-3</v>
      </c>
      <c r="F702" s="2">
        <v>4.3399887754810799E-3</v>
      </c>
    </row>
    <row r="703" spans="1:6" x14ac:dyDescent="0.25">
      <c r="A703" s="1" t="str">
        <f t="shared" si="27"/>
        <v>10900</v>
      </c>
      <c r="B703" s="1" t="str">
        <f>"18229"</f>
        <v>18229</v>
      </c>
      <c r="C703" s="2">
        <v>1.2130177514792799E-2</v>
      </c>
      <c r="D703" s="2">
        <v>1.1029160691115199E-2</v>
      </c>
      <c r="E703" s="2">
        <v>7.60503677845655E-3</v>
      </c>
      <c r="F703" s="2">
        <v>1.1880867902632E-2</v>
      </c>
    </row>
    <row r="704" spans="1:6" x14ac:dyDescent="0.25">
      <c r="A704" s="1" t="str">
        <f t="shared" si="27"/>
        <v>10900</v>
      </c>
      <c r="B704" s="1" t="str">
        <f>"18201"</f>
        <v>18201</v>
      </c>
      <c r="C704" s="2">
        <v>1.75915560530945E-4</v>
      </c>
      <c r="D704" s="2">
        <v>2.3902205832138199E-4</v>
      </c>
      <c r="E704" s="2">
        <v>0</v>
      </c>
      <c r="F704" s="2">
        <v>1.7359955101924301E-4</v>
      </c>
    </row>
    <row r="705" spans="1:6" x14ac:dyDescent="0.25">
      <c r="A705" s="1" t="str">
        <f t="shared" si="27"/>
        <v>10900</v>
      </c>
      <c r="B705" s="1" t="str">
        <f>"18067"</f>
        <v>18067</v>
      </c>
      <c r="C705" s="2">
        <v>2.2980969134815201E-2</v>
      </c>
      <c r="D705" s="2">
        <v>1.21218329577272E-2</v>
      </c>
      <c r="E705" s="2">
        <v>1.8077546440593398E-2</v>
      </c>
      <c r="F705" s="2">
        <v>2.2037630675278402E-2</v>
      </c>
    </row>
    <row r="706" spans="1:6" x14ac:dyDescent="0.25">
      <c r="A706" s="1" t="str">
        <f t="shared" ref="A706:A737" si="28">"10900"</f>
        <v>10900</v>
      </c>
      <c r="B706" s="1" t="str">
        <f>"18080"</f>
        <v>18080</v>
      </c>
      <c r="C706" s="2">
        <v>1.3785383016152199E-2</v>
      </c>
      <c r="D706" s="2">
        <v>5.6340913747182902E-3</v>
      </c>
      <c r="E706" s="2">
        <v>1.09712005984291E-2</v>
      </c>
      <c r="F706" s="2">
        <v>1.31103332160149E-2</v>
      </c>
    </row>
    <row r="707" spans="1:6" x14ac:dyDescent="0.25">
      <c r="A707" s="1" t="str">
        <f t="shared" si="28"/>
        <v>10900</v>
      </c>
      <c r="B707" s="1" t="str">
        <f>"18071"</f>
        <v>18071</v>
      </c>
      <c r="C707" s="2">
        <v>1.25086625086625E-2</v>
      </c>
      <c r="D707" s="2">
        <v>9.4925903161920296E-3</v>
      </c>
      <c r="E707" s="2">
        <v>1.0285500561027301E-2</v>
      </c>
      <c r="F707" s="2">
        <v>1.22137985484223E-2</v>
      </c>
    </row>
    <row r="708" spans="1:6" x14ac:dyDescent="0.25">
      <c r="A708" s="1" t="str">
        <f t="shared" si="28"/>
        <v>10900</v>
      </c>
      <c r="B708" s="1" t="str">
        <f>"18091"</f>
        <v>18091</v>
      </c>
      <c r="C708" s="2">
        <v>6.8047337278106497E-3</v>
      </c>
      <c r="D708" s="2">
        <v>9.0145461995492695E-3</v>
      </c>
      <c r="E708" s="2">
        <v>3.9271911233013301E-3</v>
      </c>
      <c r="F708" s="2">
        <v>6.8488589991153497E-3</v>
      </c>
    </row>
    <row r="709" spans="1:6" x14ac:dyDescent="0.25">
      <c r="A709" s="1" t="str">
        <f t="shared" si="28"/>
        <v>10900</v>
      </c>
      <c r="B709" s="1" t="str">
        <f>"18020"</f>
        <v>18020</v>
      </c>
      <c r="C709" s="2">
        <v>2.2106722106722099E-2</v>
      </c>
      <c r="D709" s="2">
        <v>2.25022194905415E-2</v>
      </c>
      <c r="E709" s="2">
        <v>1.3714000748036401E-2</v>
      </c>
      <c r="F709" s="2">
        <v>2.1814091527390601E-2</v>
      </c>
    </row>
    <row r="710" spans="1:6" x14ac:dyDescent="0.25">
      <c r="A710" s="1" t="str">
        <f t="shared" si="28"/>
        <v>10900</v>
      </c>
      <c r="B710" s="1" t="str">
        <f>"18034"</f>
        <v>18034</v>
      </c>
      <c r="C710" s="2">
        <v>9.7579828349059101E-3</v>
      </c>
      <c r="D710" s="2">
        <v>1.0619408591135601E-2</v>
      </c>
      <c r="E710" s="2">
        <v>3.8648547562647999E-3</v>
      </c>
      <c r="F710" s="2">
        <v>9.5931587508442107E-3</v>
      </c>
    </row>
    <row r="711" spans="1:6" x14ac:dyDescent="0.25">
      <c r="A711" s="1" t="str">
        <f t="shared" si="28"/>
        <v>10900</v>
      </c>
      <c r="B711" s="1" t="str">
        <f>"18044"</f>
        <v>18044</v>
      </c>
      <c r="C711" s="2">
        <v>3.2331147715763098E-3</v>
      </c>
      <c r="D711" s="2">
        <v>6.3170115413508096E-3</v>
      </c>
      <c r="E711" s="2">
        <v>6.2336367036529094E-5</v>
      </c>
      <c r="F711" s="2">
        <v>3.3269283818619299E-3</v>
      </c>
    </row>
    <row r="712" spans="1:6" x14ac:dyDescent="0.25">
      <c r="A712" s="1" t="str">
        <f t="shared" si="28"/>
        <v>10900</v>
      </c>
      <c r="B712" s="1" t="str">
        <f>"07840"</f>
        <v>07840</v>
      </c>
      <c r="C712" s="2">
        <v>2.9287275441121498E-2</v>
      </c>
      <c r="D712" s="2">
        <v>3.95410776480229E-2</v>
      </c>
      <c r="E712" s="2">
        <v>4.6752275277396803E-2</v>
      </c>
      <c r="F712" s="2">
        <v>3.0667668629372001E-2</v>
      </c>
    </row>
    <row r="713" spans="1:6" x14ac:dyDescent="0.25">
      <c r="A713" s="1" t="str">
        <f t="shared" si="28"/>
        <v>10900</v>
      </c>
      <c r="B713" s="1" t="str">
        <f>"07833"</f>
        <v>07833</v>
      </c>
      <c r="C713" s="2">
        <v>0</v>
      </c>
      <c r="D713" s="2">
        <v>0</v>
      </c>
      <c r="E713" s="2">
        <v>6.2336367036529094E-5</v>
      </c>
      <c r="F713" s="2">
        <v>2.3780760413594901E-6</v>
      </c>
    </row>
    <row r="714" spans="1:6" x14ac:dyDescent="0.25">
      <c r="A714" s="1" t="str">
        <f t="shared" si="28"/>
        <v>10900</v>
      </c>
      <c r="B714" s="1" t="str">
        <f>"18032"</f>
        <v>18032</v>
      </c>
      <c r="C714" s="2">
        <v>1.0850791620022299E-2</v>
      </c>
      <c r="D714" s="2">
        <v>6.5901796080038199E-3</v>
      </c>
      <c r="E714" s="2">
        <v>1.3339982545817201E-2</v>
      </c>
      <c r="F714" s="2">
        <v>1.0649024513207799E-2</v>
      </c>
    </row>
    <row r="715" spans="1:6" x14ac:dyDescent="0.25">
      <c r="A715" s="1" t="str">
        <f t="shared" si="28"/>
        <v>10900</v>
      </c>
      <c r="B715" s="1" t="str">
        <f>"07882"</f>
        <v>07882</v>
      </c>
      <c r="C715" s="2">
        <v>1.5973665973665899E-2</v>
      </c>
      <c r="D715" s="2">
        <v>1.8438844499078001E-2</v>
      </c>
      <c r="E715" s="2">
        <v>2.1381373893529398E-2</v>
      </c>
      <c r="F715" s="2">
        <v>1.6351650860387899E-2</v>
      </c>
    </row>
    <row r="716" spans="1:6" x14ac:dyDescent="0.25">
      <c r="A716" s="1" t="str">
        <f t="shared" si="28"/>
        <v>10900</v>
      </c>
      <c r="B716" s="1" t="str">
        <f>"08802"</f>
        <v>08802</v>
      </c>
      <c r="C716" s="2">
        <v>1.2580627965243299E-3</v>
      </c>
      <c r="D716" s="2">
        <v>3.4146008331626001E-4</v>
      </c>
      <c r="E716" s="2">
        <v>1.8700910110958701E-4</v>
      </c>
      <c r="F716" s="2">
        <v>1.1533668800593499E-3</v>
      </c>
    </row>
    <row r="717" spans="1:6" x14ac:dyDescent="0.25">
      <c r="A717" s="1" t="str">
        <f t="shared" si="28"/>
        <v>10900</v>
      </c>
      <c r="B717" s="1" t="str">
        <f>"18212"</f>
        <v>18212</v>
      </c>
      <c r="C717" s="2">
        <v>0</v>
      </c>
      <c r="D717" s="2">
        <v>0</v>
      </c>
      <c r="E717" s="2">
        <v>6.2336367036529094E-5</v>
      </c>
      <c r="F717" s="2">
        <v>2.3780760413594901E-6</v>
      </c>
    </row>
    <row r="718" spans="1:6" x14ac:dyDescent="0.25">
      <c r="A718" s="1" t="str">
        <f t="shared" si="28"/>
        <v>10900</v>
      </c>
      <c r="B718" s="1" t="str">
        <f>"18951"</f>
        <v>18951</v>
      </c>
      <c r="C718" s="2">
        <v>6.9300069300069295E-5</v>
      </c>
      <c r="D718" s="2">
        <v>0</v>
      </c>
      <c r="E718" s="2">
        <v>0</v>
      </c>
      <c r="F718" s="2">
        <v>6.1829977075346894E-5</v>
      </c>
    </row>
    <row r="719" spans="1:6" x14ac:dyDescent="0.25">
      <c r="A719" s="1" t="str">
        <f t="shared" si="28"/>
        <v>10900</v>
      </c>
      <c r="B719" s="1" t="str">
        <f>"07874"</f>
        <v>07874</v>
      </c>
      <c r="C719" s="2">
        <v>8.5292392984700604E-5</v>
      </c>
      <c r="D719" s="2">
        <v>0</v>
      </c>
      <c r="E719" s="2">
        <v>0</v>
      </c>
      <c r="F719" s="2">
        <v>7.6098433323503899E-5</v>
      </c>
    </row>
    <row r="720" spans="1:6" x14ac:dyDescent="0.25">
      <c r="A720" s="1" t="str">
        <f t="shared" si="28"/>
        <v>10900</v>
      </c>
      <c r="B720" s="1" t="str">
        <f>"18195"</f>
        <v>18195</v>
      </c>
      <c r="C720" s="2">
        <v>0</v>
      </c>
      <c r="D720" s="2">
        <v>2.1170525165608101E-3</v>
      </c>
      <c r="E720" s="2">
        <v>4.3635456925570298E-4</v>
      </c>
      <c r="F720" s="2">
        <v>1.6408724685380499E-4</v>
      </c>
    </row>
    <row r="721" spans="1:6" x14ac:dyDescent="0.25">
      <c r="A721" s="1" t="str">
        <f t="shared" si="28"/>
        <v>10900</v>
      </c>
      <c r="B721" s="1" t="str">
        <f>"19539"</f>
        <v>19539</v>
      </c>
      <c r="C721" s="2">
        <v>1.1727704035396301E-4</v>
      </c>
      <c r="D721" s="2">
        <v>0</v>
      </c>
      <c r="E721" s="2">
        <v>0</v>
      </c>
      <c r="F721" s="2">
        <v>1.04635345819817E-4</v>
      </c>
    </row>
    <row r="722" spans="1:6" x14ac:dyDescent="0.25">
      <c r="A722" s="1" t="str">
        <f t="shared" si="28"/>
        <v>10900</v>
      </c>
      <c r="B722" s="1" t="str">
        <f>"18079"</f>
        <v>18079</v>
      </c>
      <c r="C722" s="2">
        <v>3.9447731755424002E-4</v>
      </c>
      <c r="D722" s="2">
        <v>1.02438024994878E-4</v>
      </c>
      <c r="E722" s="2">
        <v>6.2336367036529094E-5</v>
      </c>
      <c r="F722" s="2">
        <v>3.6146755828664302E-4</v>
      </c>
    </row>
    <row r="723" spans="1:6" x14ac:dyDescent="0.25">
      <c r="A723" s="1" t="str">
        <f t="shared" si="28"/>
        <v>10900</v>
      </c>
      <c r="B723" s="1" t="str">
        <f>"08827"</f>
        <v>08827</v>
      </c>
      <c r="C723" s="2">
        <v>2.87861826323364E-4</v>
      </c>
      <c r="D723" s="2">
        <v>7.5121218329577202E-4</v>
      </c>
      <c r="E723" s="2">
        <v>1.8700910110958701E-4</v>
      </c>
      <c r="F723" s="2">
        <v>3.1628411350081298E-4</v>
      </c>
    </row>
    <row r="724" spans="1:6" x14ac:dyDescent="0.25">
      <c r="A724" s="1" t="str">
        <f t="shared" si="28"/>
        <v>10900</v>
      </c>
      <c r="B724" s="1" t="str">
        <f>"18002"</f>
        <v>18002</v>
      </c>
      <c r="C724" s="2">
        <v>3.5236419851804399E-3</v>
      </c>
      <c r="D724" s="2">
        <v>1.32486512326709E-2</v>
      </c>
      <c r="E724" s="2">
        <v>1.8700910110958701E-4</v>
      </c>
      <c r="F724" s="2">
        <v>4.0736442588488204E-3</v>
      </c>
    </row>
    <row r="725" spans="1:6" x14ac:dyDescent="0.25">
      <c r="A725" s="1" t="str">
        <f t="shared" si="28"/>
        <v>10900</v>
      </c>
      <c r="B725" s="1" t="str">
        <f>"18035"</f>
        <v>18035</v>
      </c>
      <c r="C725" s="2">
        <v>2.05234820619436E-4</v>
      </c>
      <c r="D725" s="2">
        <v>1.02438024994878E-4</v>
      </c>
      <c r="E725" s="2">
        <v>0</v>
      </c>
      <c r="F725" s="2">
        <v>1.9024608330875899E-4</v>
      </c>
    </row>
    <row r="726" spans="1:6" x14ac:dyDescent="0.25">
      <c r="A726" s="1" t="str">
        <f t="shared" si="28"/>
        <v>10900</v>
      </c>
      <c r="B726" s="1" t="str">
        <f>"18014"</f>
        <v>18014</v>
      </c>
      <c r="C726" s="2">
        <v>1.3534836611759599E-2</v>
      </c>
      <c r="D726" s="2">
        <v>1.1609642832752801E-2</v>
      </c>
      <c r="E726" s="2">
        <v>6.9816731080912598E-3</v>
      </c>
      <c r="F726" s="2">
        <v>1.3150760508717999E-2</v>
      </c>
    </row>
    <row r="727" spans="1:6" x14ac:dyDescent="0.25">
      <c r="A727" s="1" t="str">
        <f t="shared" si="28"/>
        <v>10900</v>
      </c>
      <c r="B727" s="1" t="str">
        <f>"18017"</f>
        <v>18017</v>
      </c>
      <c r="C727" s="2">
        <v>4.5394210778826098E-2</v>
      </c>
      <c r="D727" s="2">
        <v>4.6062965239363499E-2</v>
      </c>
      <c r="E727" s="2">
        <v>2.6804637825707502E-2</v>
      </c>
      <c r="F727" s="2">
        <v>4.47316103379721E-2</v>
      </c>
    </row>
    <row r="728" spans="1:6" x14ac:dyDescent="0.25">
      <c r="A728" s="1" t="str">
        <f t="shared" si="28"/>
        <v>10900</v>
      </c>
      <c r="B728" s="1" t="str">
        <f>"18104"</f>
        <v>18104</v>
      </c>
      <c r="C728" s="2">
        <v>5.1900421131190297E-2</v>
      </c>
      <c r="D728" s="2">
        <v>5.1082428464112498E-2</v>
      </c>
      <c r="E728" s="2">
        <v>4.57548934048123E-2</v>
      </c>
      <c r="F728" s="2">
        <v>5.1609006249583797E-2</v>
      </c>
    </row>
    <row r="729" spans="1:6" x14ac:dyDescent="0.25">
      <c r="A729" s="1" t="str">
        <f t="shared" si="28"/>
        <v>10900</v>
      </c>
      <c r="B729" s="1" t="str">
        <f>"18092"</f>
        <v>18092</v>
      </c>
      <c r="C729" s="2">
        <v>3.13982621674929E-3</v>
      </c>
      <c r="D729" s="2">
        <v>7.8535819162739798E-4</v>
      </c>
      <c r="E729" s="2">
        <v>6.2336367036529099E-4</v>
      </c>
      <c r="F729" s="2">
        <v>2.8798500860863501E-3</v>
      </c>
    </row>
    <row r="730" spans="1:6" x14ac:dyDescent="0.25">
      <c r="A730" s="1" t="str">
        <f t="shared" si="28"/>
        <v>10900</v>
      </c>
      <c r="B730" s="1" t="str">
        <f>"18045"</f>
        <v>18045</v>
      </c>
      <c r="C730" s="2">
        <v>3.3935710858787702E-2</v>
      </c>
      <c r="D730" s="2">
        <v>2.88533770402239E-2</v>
      </c>
      <c r="E730" s="2">
        <v>1.2591946141378801E-2</v>
      </c>
      <c r="F730" s="2">
        <v>3.2767509773892499E-2</v>
      </c>
    </row>
    <row r="731" spans="1:6" x14ac:dyDescent="0.25">
      <c r="A731" s="1" t="str">
        <f t="shared" si="28"/>
        <v>10900</v>
      </c>
      <c r="B731" s="1" t="str">
        <f>"18040"</f>
        <v>18040</v>
      </c>
      <c r="C731" s="2">
        <v>1.9105496028572901E-2</v>
      </c>
      <c r="D731" s="2">
        <v>9.7999043911766708E-3</v>
      </c>
      <c r="E731" s="2">
        <v>3.5531729210821501E-3</v>
      </c>
      <c r="F731" s="2">
        <v>1.78641072226925E-2</v>
      </c>
    </row>
    <row r="732" spans="1:6" x14ac:dyDescent="0.25">
      <c r="A732" s="1" t="str">
        <f t="shared" si="28"/>
        <v>10900</v>
      </c>
      <c r="B732" s="1" t="str">
        <f>"18013"</f>
        <v>18013</v>
      </c>
      <c r="C732" s="2">
        <v>2.0859320859320799E-2</v>
      </c>
      <c r="D732" s="2">
        <v>1.32486512326709E-2</v>
      </c>
      <c r="E732" s="2">
        <v>1.15945642687944E-2</v>
      </c>
      <c r="F732" s="2">
        <v>1.9975838747419698E-2</v>
      </c>
    </row>
    <row r="733" spans="1:6" x14ac:dyDescent="0.25">
      <c r="A733" s="1" t="str">
        <f t="shared" si="28"/>
        <v>10900</v>
      </c>
      <c r="B733" s="1" t="str">
        <f>"18011"</f>
        <v>18011</v>
      </c>
      <c r="C733" s="2">
        <v>4.2619542619542596E-3</v>
      </c>
      <c r="D733" s="2">
        <v>1.8780304582394301E-3</v>
      </c>
      <c r="E733" s="2">
        <v>1.4337364418401601E-3</v>
      </c>
      <c r="F733" s="2">
        <v>3.9880335213598704E-3</v>
      </c>
    </row>
    <row r="734" spans="1:6" x14ac:dyDescent="0.25">
      <c r="A734" s="1" t="str">
        <f t="shared" si="28"/>
        <v>10900</v>
      </c>
      <c r="B734" s="1" t="str">
        <f>"18088"</f>
        <v>18088</v>
      </c>
      <c r="C734" s="2">
        <v>1.03656911349219E-2</v>
      </c>
      <c r="D734" s="2">
        <v>5.1219012497438999E-3</v>
      </c>
      <c r="E734" s="2">
        <v>2.3687819473881002E-3</v>
      </c>
      <c r="F734" s="2">
        <v>9.6954160206226703E-3</v>
      </c>
    </row>
    <row r="735" spans="1:6" x14ac:dyDescent="0.25">
      <c r="A735" s="1" t="str">
        <f t="shared" si="28"/>
        <v>10900</v>
      </c>
      <c r="B735" s="1" t="str">
        <f>"18043"</f>
        <v>18043</v>
      </c>
      <c r="C735" s="2">
        <v>3.0758569220107599E-3</v>
      </c>
      <c r="D735" s="2">
        <v>6.6584716246670698E-3</v>
      </c>
      <c r="E735" s="2">
        <v>6.2336367036529094E-5</v>
      </c>
      <c r="F735" s="2">
        <v>3.2104026558353199E-3</v>
      </c>
    </row>
    <row r="736" spans="1:6" x14ac:dyDescent="0.25">
      <c r="A736" s="1" t="str">
        <f t="shared" si="28"/>
        <v>10900</v>
      </c>
      <c r="B736" s="1" t="str">
        <f>"19530"</f>
        <v>19530</v>
      </c>
      <c r="C736" s="2">
        <v>1.1167972706434201E-3</v>
      </c>
      <c r="D736" s="2">
        <v>8.5365020829064999E-4</v>
      </c>
      <c r="E736" s="2">
        <v>6.8570003740181995E-4</v>
      </c>
      <c r="F736" s="2">
        <v>1.08202459881857E-3</v>
      </c>
    </row>
    <row r="737" spans="1:6" x14ac:dyDescent="0.25">
      <c r="A737" s="1" t="str">
        <f t="shared" si="28"/>
        <v>10900</v>
      </c>
      <c r="B737" s="1" t="str">
        <f>"19529"</f>
        <v>19529</v>
      </c>
      <c r="C737" s="2">
        <v>1.48728610267071E-3</v>
      </c>
      <c r="D737" s="2">
        <v>5.4633613330601599E-4</v>
      </c>
      <c r="E737" s="2">
        <v>1.24672734073058E-4</v>
      </c>
      <c r="F737" s="2">
        <v>1.3697717998230701E-3</v>
      </c>
    </row>
    <row r="738" spans="1:6" x14ac:dyDescent="0.25">
      <c r="A738" s="1" t="str">
        <f t="shared" ref="A738:A769" si="29">"10900"</f>
        <v>10900</v>
      </c>
      <c r="B738" s="1" t="str">
        <f>"18018"</f>
        <v>18018</v>
      </c>
      <c r="C738" s="2">
        <v>4.2667519590596503E-2</v>
      </c>
      <c r="D738" s="2">
        <v>4.7667827630949899E-2</v>
      </c>
      <c r="E738" s="2">
        <v>7.4678967709761804E-2</v>
      </c>
      <c r="F738" s="2">
        <v>4.4236970521369302E-2</v>
      </c>
    </row>
    <row r="739" spans="1:6" x14ac:dyDescent="0.25">
      <c r="A739" s="1" t="str">
        <f t="shared" si="29"/>
        <v>10900</v>
      </c>
      <c r="B739" s="1" t="str">
        <f>"18069"</f>
        <v>18069</v>
      </c>
      <c r="C739" s="2">
        <v>8.1241004317927305E-3</v>
      </c>
      <c r="D739" s="2">
        <v>4.4731270914430098E-3</v>
      </c>
      <c r="E739" s="2">
        <v>1.49607280887669E-3</v>
      </c>
      <c r="F739" s="2">
        <v>7.6169775604744703E-3</v>
      </c>
    </row>
    <row r="740" spans="1:6" x14ac:dyDescent="0.25">
      <c r="A740" s="1" t="str">
        <f t="shared" si="29"/>
        <v>10900</v>
      </c>
      <c r="B740" s="1" t="str">
        <f>"18062"</f>
        <v>18062</v>
      </c>
      <c r="C740" s="2">
        <v>2.66938536169305E-2</v>
      </c>
      <c r="D740" s="2">
        <v>1.1234036741104901E-2</v>
      </c>
      <c r="E740" s="2">
        <v>4.7375638947762099E-3</v>
      </c>
      <c r="F740" s="2">
        <v>2.4779552350965899E-2</v>
      </c>
    </row>
    <row r="741" spans="1:6" x14ac:dyDescent="0.25">
      <c r="A741" s="1" t="str">
        <f t="shared" si="29"/>
        <v>10900</v>
      </c>
      <c r="B741" s="1" t="str">
        <f>"18059"</f>
        <v>18059</v>
      </c>
      <c r="C741" s="2">
        <v>1.40732448424756E-3</v>
      </c>
      <c r="D741" s="2">
        <v>8.8779621662227605E-4</v>
      </c>
      <c r="E741" s="2">
        <v>3.7401820221917402E-4</v>
      </c>
      <c r="F741" s="2">
        <v>1.3317225831613101E-3</v>
      </c>
    </row>
    <row r="742" spans="1:6" x14ac:dyDescent="0.25">
      <c r="A742" s="1" t="str">
        <f t="shared" si="29"/>
        <v>10900</v>
      </c>
      <c r="B742" s="1" t="str">
        <f>"18063"</f>
        <v>18063</v>
      </c>
      <c r="C742" s="2">
        <v>1.26605895836665E-3</v>
      </c>
      <c r="D742" s="2">
        <v>1.0585262582804001E-3</v>
      </c>
      <c r="E742" s="2">
        <v>6.2336367036529094E-5</v>
      </c>
      <c r="F742" s="2">
        <v>1.2056845529692601E-3</v>
      </c>
    </row>
    <row r="743" spans="1:6" x14ac:dyDescent="0.25">
      <c r="A743" s="1" t="str">
        <f t="shared" si="29"/>
        <v>10900</v>
      </c>
      <c r="B743" s="1" t="str">
        <f>"18106"</f>
        <v>18106</v>
      </c>
      <c r="C743" s="2">
        <v>9.1369475984860605E-3</v>
      </c>
      <c r="D743" s="2">
        <v>3.5341118623232901E-2</v>
      </c>
      <c r="E743" s="2">
        <v>1.01608278269542E-2</v>
      </c>
      <c r="F743" s="2">
        <v>1.1000979767329E-2</v>
      </c>
    </row>
    <row r="744" spans="1:6" x14ac:dyDescent="0.25">
      <c r="A744" s="1" t="str">
        <f t="shared" si="29"/>
        <v>10900</v>
      </c>
      <c r="B744" s="1" t="str">
        <f>"18102"</f>
        <v>18102</v>
      </c>
      <c r="C744" s="2">
        <v>5.2262913801375301E-2</v>
      </c>
      <c r="D744" s="2">
        <v>4.7019053472649001E-2</v>
      </c>
      <c r="E744" s="2">
        <v>0.15852138137389299</v>
      </c>
      <c r="F744" s="2">
        <v>5.5951373101106198E-2</v>
      </c>
    </row>
    <row r="745" spans="1:6" x14ac:dyDescent="0.25">
      <c r="A745" s="1" t="str">
        <f t="shared" si="29"/>
        <v>10900</v>
      </c>
      <c r="B745" s="1" t="str">
        <f>"18087"</f>
        <v>18087</v>
      </c>
      <c r="C745" s="2">
        <v>2.91859907244522E-3</v>
      </c>
      <c r="D745" s="2">
        <v>6.9657856996517102E-3</v>
      </c>
      <c r="E745" s="2">
        <v>4.9869093629223199E-4</v>
      </c>
      <c r="F745" s="2">
        <v>3.1081453860568602E-3</v>
      </c>
    </row>
    <row r="746" spans="1:6" x14ac:dyDescent="0.25">
      <c r="A746" s="1" t="str">
        <f t="shared" si="29"/>
        <v>10900</v>
      </c>
      <c r="B746" s="1" t="str">
        <f>"18101"</f>
        <v>18101</v>
      </c>
      <c r="C746" s="2">
        <v>6.0504291273522004E-3</v>
      </c>
      <c r="D746" s="2">
        <v>2.5370484190398099E-2</v>
      </c>
      <c r="E746" s="2">
        <v>3.3100610896396897E-2</v>
      </c>
      <c r="F746" s="2">
        <v>8.4279014905780606E-3</v>
      </c>
    </row>
    <row r="747" spans="1:6" x14ac:dyDescent="0.25">
      <c r="A747" s="1" t="str">
        <f t="shared" si="29"/>
        <v>10900</v>
      </c>
      <c r="B747" s="1" t="str">
        <f>"18049"</f>
        <v>18049</v>
      </c>
      <c r="C747" s="2">
        <v>2.3319473319473299E-2</v>
      </c>
      <c r="D747" s="2">
        <v>2.5985112340367399E-2</v>
      </c>
      <c r="E747" s="2">
        <v>1.6581473631716699E-2</v>
      </c>
      <c r="F747" s="2">
        <v>2.3248071380330401E-2</v>
      </c>
    </row>
    <row r="748" spans="1:6" x14ac:dyDescent="0.25">
      <c r="A748" s="1" t="str">
        <f t="shared" si="29"/>
        <v>10900</v>
      </c>
      <c r="B748" s="1" t="str">
        <f>"18038"</f>
        <v>18038</v>
      </c>
      <c r="C748" s="2">
        <v>3.3930380084226199E-3</v>
      </c>
      <c r="D748" s="2">
        <v>3.07314074984634E-4</v>
      </c>
      <c r="E748" s="2">
        <v>3.7401820221917402E-4</v>
      </c>
      <c r="F748" s="2">
        <v>3.0629619412710302E-3</v>
      </c>
    </row>
    <row r="749" spans="1:6" x14ac:dyDescent="0.25">
      <c r="A749" s="1" t="str">
        <f t="shared" si="29"/>
        <v>10900</v>
      </c>
      <c r="B749" s="1" t="str">
        <f>"18351"</f>
        <v>18351</v>
      </c>
      <c r="C749" s="2">
        <v>1.35934751319366E-4</v>
      </c>
      <c r="D749" s="2">
        <v>6.8292016663251998E-5</v>
      </c>
      <c r="E749" s="2">
        <v>0</v>
      </c>
      <c r="F749" s="2">
        <v>1.2603803019205299E-4</v>
      </c>
    </row>
    <row r="750" spans="1:6" x14ac:dyDescent="0.25">
      <c r="A750" s="1" t="str">
        <f t="shared" si="29"/>
        <v>10900</v>
      </c>
      <c r="B750" s="1" t="str">
        <f>"18343"</f>
        <v>18343</v>
      </c>
      <c r="C750" s="2">
        <v>4.7177354869662501E-3</v>
      </c>
      <c r="D750" s="2">
        <v>2.8341186915249602E-3</v>
      </c>
      <c r="E750" s="2">
        <v>4.9869093629223199E-4</v>
      </c>
      <c r="F750" s="2">
        <v>4.4255995129700203E-3</v>
      </c>
    </row>
    <row r="751" spans="1:6" x14ac:dyDescent="0.25">
      <c r="A751" s="1" t="str">
        <f t="shared" si="29"/>
        <v>10900</v>
      </c>
      <c r="B751" s="1" t="str">
        <f>"07823"</f>
        <v>07823</v>
      </c>
      <c r="C751" s="2">
        <v>9.2515592515592503E-3</v>
      </c>
      <c r="D751" s="2">
        <v>7.7511438912791003E-3</v>
      </c>
      <c r="E751" s="2">
        <v>1.10958733325021E-2</v>
      </c>
      <c r="F751" s="2">
        <v>9.2174227363094104E-3</v>
      </c>
    </row>
    <row r="752" spans="1:6" x14ac:dyDescent="0.25">
      <c r="A752" s="1" t="str">
        <f t="shared" si="29"/>
        <v>10900</v>
      </c>
      <c r="B752" s="1" t="str">
        <f>"07865"</f>
        <v>07865</v>
      </c>
      <c r="C752" s="2">
        <v>1.74849405618636E-3</v>
      </c>
      <c r="D752" s="2">
        <v>1.2975483166017801E-3</v>
      </c>
      <c r="E752" s="2">
        <v>1.1220546066575199E-3</v>
      </c>
      <c r="F752" s="2">
        <v>1.6931901414479599E-3</v>
      </c>
    </row>
    <row r="753" spans="1:6" x14ac:dyDescent="0.25">
      <c r="A753" s="1" t="str">
        <f t="shared" si="29"/>
        <v>10900</v>
      </c>
      <c r="B753" s="1" t="str">
        <f>"08886"</f>
        <v>08886</v>
      </c>
      <c r="C753" s="2">
        <v>6.7034490111413103E-3</v>
      </c>
      <c r="D753" s="2">
        <v>2.1511985248924398E-3</v>
      </c>
      <c r="E753" s="2">
        <v>8.7270913851140704E-4</v>
      </c>
      <c r="F753" s="2">
        <v>6.1639730992038202E-3</v>
      </c>
    </row>
    <row r="754" spans="1:6" x14ac:dyDescent="0.25">
      <c r="A754" s="1" t="str">
        <f t="shared" si="29"/>
        <v>10900</v>
      </c>
      <c r="B754" s="1" t="str">
        <f>"18244"</f>
        <v>18244</v>
      </c>
      <c r="C754" s="2">
        <v>0</v>
      </c>
      <c r="D754" s="2">
        <v>3.4146008331625999E-5</v>
      </c>
      <c r="E754" s="2">
        <v>0</v>
      </c>
      <c r="F754" s="2">
        <v>2.3780760413594901E-6</v>
      </c>
    </row>
    <row r="755" spans="1:6" x14ac:dyDescent="0.25">
      <c r="A755" s="1" t="str">
        <f t="shared" si="29"/>
        <v>10900</v>
      </c>
      <c r="B755" s="1" t="str">
        <f>"18060"</f>
        <v>18060</v>
      </c>
      <c r="C755" s="2">
        <v>0</v>
      </c>
      <c r="D755" s="2">
        <v>3.4146008331625999E-5</v>
      </c>
      <c r="E755" s="2">
        <v>0</v>
      </c>
      <c r="F755" s="2">
        <v>2.3780760413594901E-6</v>
      </c>
    </row>
    <row r="756" spans="1:6" x14ac:dyDescent="0.25">
      <c r="A756" s="1" t="str">
        <f t="shared" si="29"/>
        <v>10900</v>
      </c>
      <c r="B756" s="1" t="str">
        <f>"18086"</f>
        <v>18086</v>
      </c>
      <c r="C756" s="2">
        <v>2.6653872807718901E-6</v>
      </c>
      <c r="D756" s="2">
        <v>3.4146008331625999E-5</v>
      </c>
      <c r="E756" s="2">
        <v>0</v>
      </c>
      <c r="F756" s="2">
        <v>4.7561520827189903E-6</v>
      </c>
    </row>
    <row r="757" spans="1:6" x14ac:dyDescent="0.25">
      <c r="A757" s="1" t="str">
        <f t="shared" si="29"/>
        <v>10900</v>
      </c>
      <c r="B757" s="1" t="str">
        <f>"07820"</f>
        <v>07820</v>
      </c>
      <c r="C757" s="2">
        <v>9.0623167546244397E-4</v>
      </c>
      <c r="D757" s="2">
        <v>2.8341186915249602E-3</v>
      </c>
      <c r="E757" s="2">
        <v>1.8700910110958701E-4</v>
      </c>
      <c r="F757" s="2">
        <v>1.01306039361914E-3</v>
      </c>
    </row>
    <row r="758" spans="1:6" x14ac:dyDescent="0.25">
      <c r="A758" s="1" t="str">
        <f t="shared" si="29"/>
        <v>10900</v>
      </c>
      <c r="B758" s="1" t="str">
        <f>"18216"</f>
        <v>18216</v>
      </c>
      <c r="C758" s="2">
        <v>6.2103523641985096E-4</v>
      </c>
      <c r="D758" s="2">
        <v>1.7073004165813E-4</v>
      </c>
      <c r="E758" s="2">
        <v>6.2336367036529094E-5</v>
      </c>
      <c r="F758" s="2">
        <v>5.6836017388491999E-4</v>
      </c>
    </row>
    <row r="759" spans="1:6" x14ac:dyDescent="0.25">
      <c r="A759" s="1" t="str">
        <f t="shared" si="29"/>
        <v>10900</v>
      </c>
      <c r="B759" s="1" t="str">
        <f>"18058"</f>
        <v>18058</v>
      </c>
      <c r="C759" s="2">
        <v>1.3780052241590701E-3</v>
      </c>
      <c r="D759" s="2">
        <v>1.7073004165813E-4</v>
      </c>
      <c r="E759" s="2">
        <v>2.4934546814611599E-4</v>
      </c>
      <c r="F759" s="2">
        <v>1.25086799775509E-3</v>
      </c>
    </row>
    <row r="760" spans="1:6" x14ac:dyDescent="0.25">
      <c r="A760" s="1" t="str">
        <f t="shared" si="29"/>
        <v>10900</v>
      </c>
      <c r="B760" s="1" t="str">
        <f>"18235"</f>
        <v>18235</v>
      </c>
      <c r="C760" s="2">
        <v>2.3058265365957599E-2</v>
      </c>
      <c r="D760" s="2">
        <v>2.25022194905415E-2</v>
      </c>
      <c r="E760" s="2">
        <v>1.51477371898765E-2</v>
      </c>
      <c r="F760" s="2">
        <v>2.2717760423107199E-2</v>
      </c>
    </row>
    <row r="761" spans="1:6" x14ac:dyDescent="0.25">
      <c r="A761" s="1" t="str">
        <f t="shared" si="29"/>
        <v>10900</v>
      </c>
      <c r="B761" s="1" t="str">
        <f>"18051"</f>
        <v>18051</v>
      </c>
      <c r="C761" s="2">
        <v>4.8936510474972003E-3</v>
      </c>
      <c r="D761" s="2">
        <v>7.8535819162739804E-3</v>
      </c>
      <c r="E761" s="2">
        <v>1.30906370776711E-3</v>
      </c>
      <c r="F761" s="2">
        <v>4.9630446983172701E-3</v>
      </c>
    </row>
    <row r="762" spans="1:6" x14ac:dyDescent="0.25">
      <c r="A762" s="1" t="str">
        <f t="shared" si="29"/>
        <v>10900</v>
      </c>
      <c r="B762" s="1" t="str">
        <f>"18255"</f>
        <v>18255</v>
      </c>
      <c r="C762" s="2">
        <v>5.1788474865397897E-3</v>
      </c>
      <c r="D762" s="2">
        <v>2.9707027248514601E-3</v>
      </c>
      <c r="E762" s="2">
        <v>2.2441092133150399E-3</v>
      </c>
      <c r="F762" s="2">
        <v>4.9131051014487202E-3</v>
      </c>
    </row>
    <row r="763" spans="1:6" x14ac:dyDescent="0.25">
      <c r="A763" s="1" t="str">
        <f t="shared" si="29"/>
        <v>10900</v>
      </c>
      <c r="B763" s="1" t="str">
        <f>"18072"</f>
        <v>18072</v>
      </c>
      <c r="C763" s="2">
        <v>7.7722693107308404E-3</v>
      </c>
      <c r="D763" s="2">
        <v>6.5901796080038199E-3</v>
      </c>
      <c r="E763" s="2">
        <v>3.6778456551552099E-3</v>
      </c>
      <c r="F763" s="2">
        <v>7.5337448990268896E-3</v>
      </c>
    </row>
    <row r="764" spans="1:6" x14ac:dyDescent="0.25">
      <c r="A764" s="1" t="str">
        <f t="shared" si="29"/>
        <v>10900</v>
      </c>
      <c r="B764" s="1" t="str">
        <f>"18105"</f>
        <v>18105</v>
      </c>
      <c r="C764" s="2">
        <v>5.5653286422517097E-3</v>
      </c>
      <c r="D764" s="2">
        <v>1.0824284641125399E-2</v>
      </c>
      <c r="E764" s="2">
        <v>6.2336367036529094E-5</v>
      </c>
      <c r="F764" s="2">
        <v>5.7216509555109499E-3</v>
      </c>
    </row>
    <row r="765" spans="1:6" x14ac:dyDescent="0.25">
      <c r="A765" s="1" t="str">
        <f t="shared" si="29"/>
        <v>10900</v>
      </c>
      <c r="B765" s="1" t="str">
        <f>"07825"</f>
        <v>07825</v>
      </c>
      <c r="C765" s="2">
        <v>8.8384242230395999E-3</v>
      </c>
      <c r="D765" s="2">
        <v>5.3950693163969101E-3</v>
      </c>
      <c r="E765" s="2">
        <v>7.23101857623737E-3</v>
      </c>
      <c r="F765" s="2">
        <v>8.5372929884805892E-3</v>
      </c>
    </row>
    <row r="766" spans="1:6" x14ac:dyDescent="0.25">
      <c r="A766" s="1" t="str">
        <f t="shared" si="29"/>
        <v>10900</v>
      </c>
      <c r="B766" s="1" t="str">
        <f>"18232"</f>
        <v>18232</v>
      </c>
      <c r="C766" s="2">
        <v>6.2423370115677803E-3</v>
      </c>
      <c r="D766" s="2">
        <v>5.6682373830499204E-3</v>
      </c>
      <c r="E766" s="2">
        <v>8.2907368158583704E-3</v>
      </c>
      <c r="F766" s="2">
        <v>6.2804988252304298E-3</v>
      </c>
    </row>
    <row r="767" spans="1:6" x14ac:dyDescent="0.25">
      <c r="A767" s="1" t="str">
        <f t="shared" si="29"/>
        <v>10900</v>
      </c>
      <c r="B767" s="1" t="str">
        <f>"18250"</f>
        <v>18250</v>
      </c>
      <c r="C767" s="2">
        <v>4.0114078575617003E-3</v>
      </c>
      <c r="D767" s="2">
        <v>2.86826469985658E-3</v>
      </c>
      <c r="E767" s="2">
        <v>1.87009101109587E-3</v>
      </c>
      <c r="F767" s="2">
        <v>3.8501051109610198E-3</v>
      </c>
    </row>
    <row r="768" spans="1:6" x14ac:dyDescent="0.25">
      <c r="A768" s="1" t="str">
        <f t="shared" si="29"/>
        <v>10900</v>
      </c>
      <c r="B768" s="1" t="str">
        <f>"18052"</f>
        <v>18052</v>
      </c>
      <c r="C768" s="2">
        <v>3.4879257956180999E-2</v>
      </c>
      <c r="D768" s="2">
        <v>3.9677661681349403E-2</v>
      </c>
      <c r="E768" s="2">
        <v>3.40979927689814E-2</v>
      </c>
      <c r="F768" s="2">
        <v>3.5183635031913699E-2</v>
      </c>
    </row>
    <row r="769" spans="1:6" x14ac:dyDescent="0.25">
      <c r="A769" s="1" t="str">
        <f t="shared" si="29"/>
        <v>10900</v>
      </c>
      <c r="B769" s="1" t="str">
        <f>"18064"</f>
        <v>18064</v>
      </c>
      <c r="C769" s="2">
        <v>2.8930113545498098E-2</v>
      </c>
      <c r="D769" s="2">
        <v>2.4687564023765599E-2</v>
      </c>
      <c r="E769" s="2">
        <v>1.97606283505797E-2</v>
      </c>
      <c r="F769" s="2">
        <v>2.82848364359298E-2</v>
      </c>
    </row>
    <row r="770" spans="1:6" x14ac:dyDescent="0.25">
      <c r="A770" s="1" t="str">
        <f t="shared" ref="A770:A783" si="30">"10900"</f>
        <v>10900</v>
      </c>
      <c r="B770" s="1" t="str">
        <f>"18078"</f>
        <v>18078</v>
      </c>
      <c r="C770" s="2">
        <v>7.6043499120422098E-3</v>
      </c>
      <c r="D770" s="2">
        <v>4.8828791914225199E-3</v>
      </c>
      <c r="E770" s="2">
        <v>2.9298092507168598E-3</v>
      </c>
      <c r="F770" s="2">
        <v>7.2364853938569496E-3</v>
      </c>
    </row>
    <row r="771" spans="1:6" x14ac:dyDescent="0.25">
      <c r="A771" s="1" t="str">
        <f t="shared" si="30"/>
        <v>10900</v>
      </c>
      <c r="B771" s="1" t="str">
        <f>"18055"</f>
        <v>18055</v>
      </c>
      <c r="C771" s="2">
        <v>1.3961298576683099E-2</v>
      </c>
      <c r="D771" s="2">
        <v>1.33852352659974E-2</v>
      </c>
      <c r="E771" s="2">
        <v>1.0098491459917701E-2</v>
      </c>
      <c r="F771" s="2">
        <v>1.37738164315542E-2</v>
      </c>
    </row>
    <row r="772" spans="1:6" x14ac:dyDescent="0.25">
      <c r="A772" s="1" t="str">
        <f t="shared" si="30"/>
        <v>10900</v>
      </c>
      <c r="B772" s="1" t="str">
        <f>"18109"</f>
        <v>18109</v>
      </c>
      <c r="C772" s="2">
        <v>2.2485207100591698E-2</v>
      </c>
      <c r="D772" s="2">
        <v>5.1560472580755301E-2</v>
      </c>
      <c r="E772" s="2">
        <v>4.38848023937164E-2</v>
      </c>
      <c r="F772" s="2">
        <v>2.53265098404786E-2</v>
      </c>
    </row>
    <row r="773" spans="1:6" x14ac:dyDescent="0.25">
      <c r="A773" s="1" t="str">
        <f t="shared" si="30"/>
        <v>10900</v>
      </c>
      <c r="B773" s="1" t="str">
        <f>"18042"</f>
        <v>18042</v>
      </c>
      <c r="C773" s="2">
        <v>4.7158697158697097E-2</v>
      </c>
      <c r="D773" s="2">
        <v>5.2004370689066402E-2</v>
      </c>
      <c r="E773" s="2">
        <v>6.81959855379628E-2</v>
      </c>
      <c r="F773" s="2">
        <v>4.82987244000114E-2</v>
      </c>
    </row>
    <row r="774" spans="1:6" x14ac:dyDescent="0.25">
      <c r="A774" s="1" t="str">
        <f t="shared" si="30"/>
        <v>10900</v>
      </c>
      <c r="B774" s="1" t="str">
        <f>"18036"</f>
        <v>18036</v>
      </c>
      <c r="C774" s="2">
        <v>1.3961298576683099E-2</v>
      </c>
      <c r="D774" s="2">
        <v>1.02779485078194E-2</v>
      </c>
      <c r="E774" s="2">
        <v>5.8596185014337301E-3</v>
      </c>
      <c r="F774" s="2">
        <v>1.3395702340978E-2</v>
      </c>
    </row>
    <row r="775" spans="1:6" x14ac:dyDescent="0.25">
      <c r="A775" s="1" t="str">
        <f t="shared" si="30"/>
        <v>10900</v>
      </c>
      <c r="B775" s="1" t="str">
        <f>"18624"</f>
        <v>18624</v>
      </c>
      <c r="C775" s="2">
        <v>6.1836984913907905E-4</v>
      </c>
      <c r="D775" s="2">
        <v>0</v>
      </c>
      <c r="E775" s="2">
        <v>1.24672734073058E-4</v>
      </c>
      <c r="F775" s="2">
        <v>5.56469793678122E-4</v>
      </c>
    </row>
    <row r="776" spans="1:6" x14ac:dyDescent="0.25">
      <c r="A776" s="1" t="str">
        <f t="shared" si="30"/>
        <v>10900</v>
      </c>
      <c r="B776" s="1" t="str">
        <f>"18077"</f>
        <v>18077</v>
      </c>
      <c r="C776" s="2">
        <v>2.3455408070792601E-4</v>
      </c>
      <c r="D776" s="2">
        <v>0</v>
      </c>
      <c r="E776" s="2">
        <v>0</v>
      </c>
      <c r="F776" s="2">
        <v>2.09270691639635E-4</v>
      </c>
    </row>
    <row r="777" spans="1:6" x14ac:dyDescent="0.25">
      <c r="A777" s="1" t="str">
        <f t="shared" si="30"/>
        <v>10900</v>
      </c>
      <c r="B777" s="1" t="str">
        <f>"07880"</f>
        <v>07880</v>
      </c>
      <c r="C777" s="2">
        <v>0</v>
      </c>
      <c r="D777" s="2">
        <v>0</v>
      </c>
      <c r="E777" s="2">
        <v>6.2336367036529094E-5</v>
      </c>
      <c r="F777" s="2">
        <v>2.3780760413594901E-6</v>
      </c>
    </row>
    <row r="778" spans="1:6" x14ac:dyDescent="0.25">
      <c r="A778" s="1" t="str">
        <f t="shared" si="30"/>
        <v>10900</v>
      </c>
      <c r="B778" s="1" t="str">
        <f>"18012"</f>
        <v>18012</v>
      </c>
      <c r="C778" s="2">
        <v>0</v>
      </c>
      <c r="D778" s="2">
        <v>3.4146008331625999E-5</v>
      </c>
      <c r="E778" s="2">
        <v>0</v>
      </c>
      <c r="F778" s="2">
        <v>2.3780760413594901E-6</v>
      </c>
    </row>
    <row r="779" spans="1:6" x14ac:dyDescent="0.25">
      <c r="A779" s="1" t="str">
        <f t="shared" si="30"/>
        <v>10900</v>
      </c>
      <c r="B779" s="1" t="str">
        <f>"18015"</f>
        <v>18015</v>
      </c>
      <c r="C779" s="2">
        <v>3.38797377258915E-2</v>
      </c>
      <c r="D779" s="2">
        <v>3.4111862323294398E-2</v>
      </c>
      <c r="E779" s="2">
        <v>6.02169305572871E-2</v>
      </c>
      <c r="F779" s="2">
        <v>3.4900643982992002E-2</v>
      </c>
    </row>
    <row r="780" spans="1:6" x14ac:dyDescent="0.25">
      <c r="A780" s="1" t="str">
        <f t="shared" si="30"/>
        <v>10900</v>
      </c>
      <c r="B780" s="1" t="str">
        <f>"18053"</f>
        <v>18053</v>
      </c>
      <c r="C780" s="2">
        <v>2.4814755583986302E-3</v>
      </c>
      <c r="D780" s="2">
        <v>4.7804411664276398E-4</v>
      </c>
      <c r="E780" s="2">
        <v>2.4934546814611599E-4</v>
      </c>
      <c r="F780" s="2">
        <v>2.2567941632501598E-3</v>
      </c>
    </row>
    <row r="781" spans="1:6" x14ac:dyDescent="0.25">
      <c r="A781" s="1" t="str">
        <f t="shared" si="30"/>
        <v>10900</v>
      </c>
      <c r="B781" s="1" t="str">
        <f>"18085"</f>
        <v>18085</v>
      </c>
      <c r="C781" s="2">
        <v>2.2869022869022801E-3</v>
      </c>
      <c r="D781" s="2">
        <v>1.2975483166017801E-3</v>
      </c>
      <c r="E781" s="2">
        <v>6.2336367036529094E-5</v>
      </c>
      <c r="F781" s="2">
        <v>2.13313420909947E-3</v>
      </c>
    </row>
    <row r="782" spans="1:6" x14ac:dyDescent="0.25">
      <c r="A782" s="1" t="str">
        <f t="shared" si="30"/>
        <v>10900</v>
      </c>
      <c r="B782" s="1" t="str">
        <f>"08865"</f>
        <v>08865</v>
      </c>
      <c r="C782" s="2">
        <v>3.7328748867210403E-2</v>
      </c>
      <c r="D782" s="2">
        <v>4.6916615447654103E-2</v>
      </c>
      <c r="E782" s="2">
        <v>3.9271911233013303E-2</v>
      </c>
      <c r="F782" s="2">
        <v>3.8070619346124199E-2</v>
      </c>
    </row>
    <row r="783" spans="1:6" x14ac:dyDescent="0.25">
      <c r="A783" s="1" t="str">
        <f t="shared" si="30"/>
        <v>10900</v>
      </c>
      <c r="B783" s="1" t="str">
        <f>"18210"</f>
        <v>18210</v>
      </c>
      <c r="C783" s="2">
        <v>6.6954528492990002E-3</v>
      </c>
      <c r="D783" s="2">
        <v>1.0243802499487801E-3</v>
      </c>
      <c r="E783" s="2">
        <v>2.4934546814611599E-4</v>
      </c>
      <c r="F783" s="2">
        <v>6.0545816013012803E-3</v>
      </c>
    </row>
    <row r="784" spans="1:6" x14ac:dyDescent="0.25">
      <c r="A784" s="1" t="str">
        <f t="shared" ref="A784:A807" si="31">"10940"</f>
        <v>10940</v>
      </c>
      <c r="B784" s="1" t="str">
        <f>"48614"</f>
        <v>48614</v>
      </c>
      <c r="C784" s="2">
        <v>7.0829890213670095E-4</v>
      </c>
      <c r="D784" s="2">
        <v>0</v>
      </c>
      <c r="E784" s="2">
        <v>0</v>
      </c>
      <c r="F784" s="2">
        <v>6.4343163538873899E-4</v>
      </c>
    </row>
    <row r="785" spans="1:6" x14ac:dyDescent="0.25">
      <c r="A785" s="1" t="str">
        <f t="shared" si="31"/>
        <v>10940</v>
      </c>
      <c r="B785" s="1" t="str">
        <f>"48856"</f>
        <v>48856</v>
      </c>
      <c r="C785" s="2">
        <v>2.3787038130090799E-2</v>
      </c>
      <c r="D785" s="2">
        <v>1.0458567980691801E-2</v>
      </c>
      <c r="E785" s="2">
        <v>4.3010752688172E-3</v>
      </c>
      <c r="F785" s="2">
        <v>2.2412868632707701E-2</v>
      </c>
    </row>
    <row r="786" spans="1:6" x14ac:dyDescent="0.25">
      <c r="A786" s="1" t="str">
        <f t="shared" si="31"/>
        <v>10940</v>
      </c>
      <c r="B786" s="1" t="str">
        <f>"48835"</f>
        <v>48835</v>
      </c>
      <c r="C786" s="2">
        <v>2.9512454255695901E-4</v>
      </c>
      <c r="D786" s="2">
        <v>0</v>
      </c>
      <c r="E786" s="2">
        <v>0</v>
      </c>
      <c r="F786" s="2">
        <v>2.6809651474530801E-4</v>
      </c>
    </row>
    <row r="787" spans="1:6" x14ac:dyDescent="0.25">
      <c r="A787" s="1" t="str">
        <f t="shared" si="31"/>
        <v>10940</v>
      </c>
      <c r="B787" s="1" t="str">
        <f>"48880"</f>
        <v>48880</v>
      </c>
      <c r="C787" s="2">
        <v>0.15553063392751701</v>
      </c>
      <c r="D787" s="2">
        <v>0.18825422365245301</v>
      </c>
      <c r="E787" s="2">
        <v>0.25806451612903197</v>
      </c>
      <c r="F787" s="2">
        <v>0.160268096514745</v>
      </c>
    </row>
    <row r="788" spans="1:6" x14ac:dyDescent="0.25">
      <c r="A788" s="1" t="str">
        <f t="shared" si="31"/>
        <v>10940</v>
      </c>
      <c r="B788" s="1" t="str">
        <f>"48662"</f>
        <v>48662</v>
      </c>
      <c r="C788" s="2">
        <v>3.1932475504662897E-2</v>
      </c>
      <c r="D788" s="2">
        <v>1.7699115044247701E-2</v>
      </c>
      <c r="E788" s="2">
        <v>0</v>
      </c>
      <c r="F788" s="2">
        <v>3.01876675603217E-2</v>
      </c>
    </row>
    <row r="789" spans="1:6" x14ac:dyDescent="0.25">
      <c r="A789" s="1" t="str">
        <f t="shared" si="31"/>
        <v>10940</v>
      </c>
      <c r="B789" s="1" t="str">
        <f>"48871"</f>
        <v>48871</v>
      </c>
      <c r="C789" s="2">
        <v>5.1587770038956399E-2</v>
      </c>
      <c r="D789" s="2">
        <v>1.0458567980691801E-2</v>
      </c>
      <c r="E789" s="2">
        <v>1.72043010752688E-2</v>
      </c>
      <c r="F789" s="2">
        <v>4.7989276139410099E-2</v>
      </c>
    </row>
    <row r="790" spans="1:6" x14ac:dyDescent="0.25">
      <c r="A790" s="1" t="str">
        <f t="shared" si="31"/>
        <v>10940</v>
      </c>
      <c r="B790" s="1" t="str">
        <f>"48847"</f>
        <v>48847</v>
      </c>
      <c r="C790" s="2">
        <v>0.16161019950419001</v>
      </c>
      <c r="D790" s="2">
        <v>0.18423169750603299</v>
      </c>
      <c r="E790" s="2">
        <v>0.13978494623655899</v>
      </c>
      <c r="F790" s="2">
        <v>0.162573726541554</v>
      </c>
    </row>
    <row r="791" spans="1:6" x14ac:dyDescent="0.25">
      <c r="A791" s="1" t="str">
        <f t="shared" si="31"/>
        <v>10940</v>
      </c>
      <c r="B791" s="1" t="str">
        <f>"48845"</f>
        <v>48845</v>
      </c>
      <c r="C791" s="2">
        <v>6.49273993625309E-4</v>
      </c>
      <c r="D791" s="2">
        <v>0</v>
      </c>
      <c r="E791" s="2">
        <v>0</v>
      </c>
      <c r="F791" s="2">
        <v>5.89812332439678E-4</v>
      </c>
    </row>
    <row r="792" spans="1:6" x14ac:dyDescent="0.25">
      <c r="A792" s="1" t="str">
        <f t="shared" si="31"/>
        <v>10940</v>
      </c>
      <c r="B792" s="1" t="str">
        <f>"48891"</f>
        <v>48891</v>
      </c>
      <c r="C792" s="2">
        <v>4.13174359579742E-4</v>
      </c>
      <c r="D792" s="2">
        <v>0</v>
      </c>
      <c r="E792" s="2">
        <v>0</v>
      </c>
      <c r="F792" s="2">
        <v>3.7533512064343098E-4</v>
      </c>
    </row>
    <row r="793" spans="1:6" x14ac:dyDescent="0.25">
      <c r="A793" s="1" t="str">
        <f t="shared" si="31"/>
        <v>10940</v>
      </c>
      <c r="B793" s="1" t="str">
        <f>"48811"</f>
        <v>48811</v>
      </c>
      <c r="C793" s="2">
        <v>8.6176366426632001E-3</v>
      </c>
      <c r="D793" s="2">
        <v>6.4360418342719198E-3</v>
      </c>
      <c r="E793" s="2">
        <v>0</v>
      </c>
      <c r="F793" s="2">
        <v>8.2573726541554909E-3</v>
      </c>
    </row>
    <row r="794" spans="1:6" x14ac:dyDescent="0.25">
      <c r="A794" s="1" t="str">
        <f t="shared" si="31"/>
        <v>10940</v>
      </c>
      <c r="B794" s="1" t="str">
        <f>"48874"</f>
        <v>48874</v>
      </c>
      <c r="C794" s="2">
        <v>2.36099634045567E-4</v>
      </c>
      <c r="D794" s="2">
        <v>8.0450522928398997E-4</v>
      </c>
      <c r="E794" s="2">
        <v>0</v>
      </c>
      <c r="F794" s="2">
        <v>2.6809651474530801E-4</v>
      </c>
    </row>
    <row r="795" spans="1:6" x14ac:dyDescent="0.25">
      <c r="A795" s="1" t="str">
        <f t="shared" si="31"/>
        <v>10940</v>
      </c>
      <c r="B795" s="1" t="str">
        <f>"48883"</f>
        <v>48883</v>
      </c>
      <c r="C795" s="2">
        <v>1.59367252980757E-3</v>
      </c>
      <c r="D795" s="2">
        <v>0</v>
      </c>
      <c r="E795" s="2">
        <v>0</v>
      </c>
      <c r="F795" s="2">
        <v>1.4477211796246601E-3</v>
      </c>
    </row>
    <row r="796" spans="1:6" x14ac:dyDescent="0.25">
      <c r="A796" s="1" t="str">
        <f t="shared" si="31"/>
        <v>10940</v>
      </c>
      <c r="B796" s="1" t="str">
        <f>"48879"</f>
        <v>48879</v>
      </c>
      <c r="C796" s="2">
        <v>4.0727186872860296E-3</v>
      </c>
      <c r="D796" s="2">
        <v>8.0450522928398997E-4</v>
      </c>
      <c r="E796" s="2">
        <v>0</v>
      </c>
      <c r="F796" s="2">
        <v>3.75335120643431E-3</v>
      </c>
    </row>
    <row r="797" spans="1:6" x14ac:dyDescent="0.25">
      <c r="A797" s="1" t="str">
        <f t="shared" si="31"/>
        <v>10940</v>
      </c>
      <c r="B797" s="1" t="str">
        <f>"48877"</f>
        <v>48877</v>
      </c>
      <c r="C797" s="2">
        <v>4.0077912879234998E-2</v>
      </c>
      <c r="D797" s="2">
        <v>1.0458567980691801E-2</v>
      </c>
      <c r="E797" s="2">
        <v>6.4516129032258004E-3</v>
      </c>
      <c r="F797" s="2">
        <v>3.7265415549597801E-2</v>
      </c>
    </row>
    <row r="798" spans="1:6" x14ac:dyDescent="0.25">
      <c r="A798" s="1" t="str">
        <f t="shared" si="31"/>
        <v>10940</v>
      </c>
      <c r="B798" s="1" t="str">
        <f>"48806"</f>
        <v>48806</v>
      </c>
      <c r="C798" s="2">
        <v>4.26750088537362E-2</v>
      </c>
      <c r="D798" s="2">
        <v>2.5744167337087599E-2</v>
      </c>
      <c r="E798" s="2">
        <v>8.6021505376343999E-3</v>
      </c>
      <c r="F798" s="2">
        <v>4.0697050938337802E-2</v>
      </c>
    </row>
    <row r="799" spans="1:6" x14ac:dyDescent="0.25">
      <c r="A799" s="1" t="str">
        <f t="shared" si="31"/>
        <v>10940</v>
      </c>
      <c r="B799" s="1" t="str">
        <f>"48801"</f>
        <v>48801</v>
      </c>
      <c r="C799" s="2">
        <v>0.31596033526147999</v>
      </c>
      <c r="D799" s="2">
        <v>0.48028962188254198</v>
      </c>
      <c r="E799" s="2">
        <v>0.52688172043010695</v>
      </c>
      <c r="F799" s="2">
        <v>0.33217158176943601</v>
      </c>
    </row>
    <row r="800" spans="1:6" x14ac:dyDescent="0.25">
      <c r="A800" s="1" t="str">
        <f t="shared" si="31"/>
        <v>10940</v>
      </c>
      <c r="B800" s="1" t="str">
        <f>"48830"</f>
        <v>48830</v>
      </c>
      <c r="C800" s="2">
        <v>5.3122417660252596E-4</v>
      </c>
      <c r="D800" s="2">
        <v>8.0450522928398997E-4</v>
      </c>
      <c r="E800" s="2">
        <v>0</v>
      </c>
      <c r="F800" s="2">
        <v>5.3619302949061603E-4</v>
      </c>
    </row>
    <row r="801" spans="1:6" x14ac:dyDescent="0.25">
      <c r="A801" s="1" t="str">
        <f t="shared" si="31"/>
        <v>10940</v>
      </c>
      <c r="B801" s="1" t="str">
        <f>"48889"</f>
        <v>48889</v>
      </c>
      <c r="C801" s="2">
        <v>3.4765671113209697E-2</v>
      </c>
      <c r="D801" s="2">
        <v>8.8495575221238902E-3</v>
      </c>
      <c r="E801" s="2">
        <v>0</v>
      </c>
      <c r="F801" s="2">
        <v>3.2171581769436901E-2</v>
      </c>
    </row>
    <row r="802" spans="1:6" x14ac:dyDescent="0.25">
      <c r="A802" s="1" t="str">
        <f t="shared" si="31"/>
        <v>10940</v>
      </c>
      <c r="B802" s="1" t="str">
        <f>"48831"</f>
        <v>48831</v>
      </c>
      <c r="C802" s="2">
        <v>1.4165978042734E-3</v>
      </c>
      <c r="D802" s="2">
        <v>0</v>
      </c>
      <c r="E802" s="2">
        <v>0</v>
      </c>
      <c r="F802" s="2">
        <v>1.28686327077747E-3</v>
      </c>
    </row>
    <row r="803" spans="1:6" x14ac:dyDescent="0.25">
      <c r="A803" s="1" t="str">
        <f t="shared" si="31"/>
        <v>10940</v>
      </c>
      <c r="B803" s="1" t="str">
        <f>"48615"</f>
        <v>48615</v>
      </c>
      <c r="C803" s="2">
        <v>6.0618581041199299E-2</v>
      </c>
      <c r="D803" s="2">
        <v>3.7007240547063502E-2</v>
      </c>
      <c r="E803" s="2">
        <v>3.8709677419354799E-2</v>
      </c>
      <c r="F803" s="2">
        <v>5.8498659517426201E-2</v>
      </c>
    </row>
    <row r="804" spans="1:6" x14ac:dyDescent="0.25">
      <c r="A804" s="1" t="str">
        <f t="shared" si="31"/>
        <v>10940</v>
      </c>
      <c r="B804" s="1" t="str">
        <f>"48832"</f>
        <v>48832</v>
      </c>
      <c r="C804" s="2">
        <v>3.7775941447290698E-2</v>
      </c>
      <c r="D804" s="2">
        <v>8.0450522928399004E-3</v>
      </c>
      <c r="E804" s="2">
        <v>0</v>
      </c>
      <c r="F804" s="2">
        <v>3.485254691689E-2</v>
      </c>
    </row>
    <row r="805" spans="1:6" x14ac:dyDescent="0.25">
      <c r="A805" s="1" t="str">
        <f t="shared" si="31"/>
        <v>10940</v>
      </c>
      <c r="B805" s="1" t="str">
        <f>"48807"</f>
        <v>48807</v>
      </c>
      <c r="C805" s="2">
        <v>1.6467949474678299E-2</v>
      </c>
      <c r="D805" s="2">
        <v>3.2180209171359599E-3</v>
      </c>
      <c r="E805" s="2">
        <v>0</v>
      </c>
      <c r="F805" s="2">
        <v>1.5174262734584399E-2</v>
      </c>
    </row>
    <row r="806" spans="1:6" x14ac:dyDescent="0.25">
      <c r="A806" s="1" t="str">
        <f t="shared" si="31"/>
        <v>10940</v>
      </c>
      <c r="B806" s="1" t="str">
        <f>"48862"</f>
        <v>48862</v>
      </c>
      <c r="C806" s="2">
        <v>2.4200212489670601E-3</v>
      </c>
      <c r="D806" s="2">
        <v>3.2180209171359599E-3</v>
      </c>
      <c r="E806" s="2">
        <v>0</v>
      </c>
      <c r="F806" s="2">
        <v>2.4128686327077702E-3</v>
      </c>
    </row>
    <row r="807" spans="1:6" x14ac:dyDescent="0.25">
      <c r="A807" s="1" t="str">
        <f t="shared" si="31"/>
        <v>10940</v>
      </c>
      <c r="B807" s="1" t="str">
        <f>"48637"</f>
        <v>48637</v>
      </c>
      <c r="C807" s="2">
        <v>6.2566403022075298E-3</v>
      </c>
      <c r="D807" s="2">
        <v>3.2180209171359599E-3</v>
      </c>
      <c r="E807" s="2">
        <v>0</v>
      </c>
      <c r="F807" s="2">
        <v>5.8981233243967802E-3</v>
      </c>
    </row>
    <row r="808" spans="1:6" x14ac:dyDescent="0.25">
      <c r="A808" s="1" t="str">
        <f t="shared" ref="A808:A815" si="32">"10980"</f>
        <v>10980</v>
      </c>
      <c r="B808" s="1" t="str">
        <f>"49753"</f>
        <v>49753</v>
      </c>
      <c r="C808" s="2">
        <v>7.9412683536394801E-2</v>
      </c>
      <c r="D808" s="2">
        <v>2.1419009370816498E-2</v>
      </c>
      <c r="E808" s="2">
        <v>7.3619631901840399E-2</v>
      </c>
      <c r="F808" s="2">
        <v>7.4438514565265707E-2</v>
      </c>
    </row>
    <row r="809" spans="1:6" x14ac:dyDescent="0.25">
      <c r="A809" s="1" t="str">
        <f t="shared" si="32"/>
        <v>10980</v>
      </c>
      <c r="B809" s="1" t="str">
        <f>"49744"</f>
        <v>49744</v>
      </c>
      <c r="C809" s="2">
        <v>2.7116526085598201E-2</v>
      </c>
      <c r="D809" s="2">
        <v>9.3708165997322592E-3</v>
      </c>
      <c r="E809" s="2">
        <v>0</v>
      </c>
      <c r="F809" s="2">
        <v>2.4905492550589201E-2</v>
      </c>
    </row>
    <row r="810" spans="1:6" x14ac:dyDescent="0.25">
      <c r="A810" s="1" t="str">
        <f t="shared" si="32"/>
        <v>10980</v>
      </c>
      <c r="B810" s="1" t="str">
        <f>"49707"</f>
        <v>49707</v>
      </c>
      <c r="C810" s="2">
        <v>0.73945641986879096</v>
      </c>
      <c r="D810" s="2">
        <v>0.90562248995983896</v>
      </c>
      <c r="E810" s="2">
        <v>0.83640081799591004</v>
      </c>
      <c r="F810" s="2">
        <v>0.75589281743384396</v>
      </c>
    </row>
    <row r="811" spans="1:6" x14ac:dyDescent="0.25">
      <c r="A811" s="1" t="str">
        <f t="shared" si="32"/>
        <v>10980</v>
      </c>
      <c r="B811" s="1" t="str">
        <f>"49776"</f>
        <v>49776</v>
      </c>
      <c r="C811" s="2">
        <v>1.4058106841611901E-2</v>
      </c>
      <c r="D811" s="2">
        <v>7.3627844712181997E-3</v>
      </c>
      <c r="E811" s="2">
        <v>0</v>
      </c>
      <c r="F811" s="2">
        <v>1.3119857682899701E-2</v>
      </c>
    </row>
    <row r="812" spans="1:6" x14ac:dyDescent="0.25">
      <c r="A812" s="1" t="str">
        <f t="shared" si="32"/>
        <v>10980</v>
      </c>
      <c r="B812" s="1" t="str">
        <f>"49747"</f>
        <v>49747</v>
      </c>
      <c r="C812" s="2">
        <v>3.8925335832552303E-2</v>
      </c>
      <c r="D812" s="2">
        <v>1.4725568942436399E-2</v>
      </c>
      <c r="E812" s="2">
        <v>4.0899795501022403E-3</v>
      </c>
      <c r="F812" s="2">
        <v>3.5968423393373299E-2</v>
      </c>
    </row>
    <row r="813" spans="1:6" x14ac:dyDescent="0.25">
      <c r="A813" s="1" t="str">
        <f t="shared" si="32"/>
        <v>10980</v>
      </c>
      <c r="B813" s="1" t="str">
        <f>"48762"</f>
        <v>48762</v>
      </c>
      <c r="C813" s="2">
        <v>3.1240237425804399E-3</v>
      </c>
      <c r="D813" s="2">
        <v>0</v>
      </c>
      <c r="E813" s="2">
        <v>0</v>
      </c>
      <c r="F813" s="2">
        <v>2.7796308650211198E-3</v>
      </c>
    </row>
    <row r="814" spans="1:6" x14ac:dyDescent="0.25">
      <c r="A814" s="1" t="str">
        <f t="shared" si="32"/>
        <v>10980</v>
      </c>
      <c r="B814" s="1" t="str">
        <f>"49746"</f>
        <v>49746</v>
      </c>
      <c r="C814" s="2">
        <v>1.4058106841611901E-2</v>
      </c>
      <c r="D814" s="2">
        <v>6.0240963855421603E-3</v>
      </c>
      <c r="E814" s="2">
        <v>4.0899795501022403E-3</v>
      </c>
      <c r="F814" s="2">
        <v>1.3119857682899701E-2</v>
      </c>
    </row>
    <row r="815" spans="1:6" x14ac:dyDescent="0.25">
      <c r="A815" s="1" t="str">
        <f t="shared" si="32"/>
        <v>10980</v>
      </c>
      <c r="B815" s="1" t="str">
        <f>"49766"</f>
        <v>49766</v>
      </c>
      <c r="C815" s="2">
        <v>8.38487972508591E-2</v>
      </c>
      <c r="D815" s="2">
        <v>3.54752342704149E-2</v>
      </c>
      <c r="E815" s="2">
        <v>8.1799591002044897E-2</v>
      </c>
      <c r="F815" s="2">
        <v>7.9775405826106205E-2</v>
      </c>
    </row>
    <row r="816" spans="1:6" x14ac:dyDescent="0.25">
      <c r="A816" s="1" t="str">
        <f t="shared" ref="A816:A837" si="33">"11020"</f>
        <v>11020</v>
      </c>
      <c r="B816" s="1" t="str">
        <f>"16637"</f>
        <v>16637</v>
      </c>
      <c r="C816" s="2">
        <v>2.0228932307085001E-2</v>
      </c>
      <c r="D816" s="2">
        <v>9.7843812284834197E-3</v>
      </c>
      <c r="E816" s="2">
        <v>1.20087336244541E-2</v>
      </c>
      <c r="F816" s="2">
        <v>1.9162203800161301E-2</v>
      </c>
    </row>
    <row r="817" spans="1:6" x14ac:dyDescent="0.25">
      <c r="A817" s="1" t="str">
        <f t="shared" si="33"/>
        <v>11020</v>
      </c>
      <c r="B817" s="1" t="str">
        <f>"16641"</f>
        <v>16641</v>
      </c>
      <c r="C817" s="2">
        <v>9.3743832642589301E-4</v>
      </c>
      <c r="D817" s="2">
        <v>3.6238448994383002E-4</v>
      </c>
      <c r="E817" s="2">
        <v>0</v>
      </c>
      <c r="F817" s="2">
        <v>8.6567383170713802E-4</v>
      </c>
    </row>
    <row r="818" spans="1:6" x14ac:dyDescent="0.25">
      <c r="A818" s="1" t="str">
        <f t="shared" si="33"/>
        <v>11020</v>
      </c>
      <c r="B818" s="1" t="str">
        <f>"16617"</f>
        <v>16617</v>
      </c>
      <c r="C818" s="2">
        <v>1.9735543714229298E-2</v>
      </c>
      <c r="D818" s="2">
        <v>1.81192244971915E-2</v>
      </c>
      <c r="E818" s="2">
        <v>1.31004366812227E-2</v>
      </c>
      <c r="F818" s="2">
        <v>1.9426307681021202E-2</v>
      </c>
    </row>
    <row r="819" spans="1:6" x14ac:dyDescent="0.25">
      <c r="A819" s="1" t="str">
        <f t="shared" si="33"/>
        <v>11020</v>
      </c>
      <c r="B819" s="1" t="str">
        <f>"16613"</f>
        <v>16613</v>
      </c>
      <c r="C819" s="2">
        <v>2.1380172357081699E-4</v>
      </c>
      <c r="D819" s="2">
        <v>1.8119224497191501E-4</v>
      </c>
      <c r="E819" s="2">
        <v>0</v>
      </c>
      <c r="F819" s="2">
        <v>2.05414129557625E-4</v>
      </c>
    </row>
    <row r="820" spans="1:6" x14ac:dyDescent="0.25">
      <c r="A820" s="1" t="str">
        <f t="shared" si="33"/>
        <v>11020</v>
      </c>
      <c r="B820" s="1" t="str">
        <f>"16682"</f>
        <v>16682</v>
      </c>
      <c r="C820" s="2">
        <v>1.31570291428195E-3</v>
      </c>
      <c r="D820" s="2">
        <v>7.2476897988766004E-4</v>
      </c>
      <c r="E820" s="2">
        <v>0</v>
      </c>
      <c r="F820" s="2">
        <v>1.2324847773457501E-3</v>
      </c>
    </row>
    <row r="821" spans="1:6" x14ac:dyDescent="0.25">
      <c r="A821" s="1" t="str">
        <f t="shared" si="33"/>
        <v>11020</v>
      </c>
      <c r="B821" s="1" t="str">
        <f>"16603"</f>
        <v>16603</v>
      </c>
      <c r="C821" s="2">
        <v>1.9505295704229899E-2</v>
      </c>
      <c r="D821" s="2">
        <v>5.7619133901069E-2</v>
      </c>
      <c r="E821" s="2">
        <v>1.09170305676855E-3</v>
      </c>
      <c r="F821" s="2">
        <v>2.2096691365270298E-2</v>
      </c>
    </row>
    <row r="822" spans="1:6" x14ac:dyDescent="0.25">
      <c r="A822" s="1" t="str">
        <f t="shared" si="33"/>
        <v>11020</v>
      </c>
      <c r="B822" s="1" t="str">
        <f>"16665"</f>
        <v>16665</v>
      </c>
      <c r="C822" s="2">
        <v>0</v>
      </c>
      <c r="D822" s="2">
        <v>1.8119224497191501E-4</v>
      </c>
      <c r="E822" s="2">
        <v>1.6375545851528301E-3</v>
      </c>
      <c r="F822" s="2">
        <v>5.8689751302178802E-5</v>
      </c>
    </row>
    <row r="823" spans="1:6" x14ac:dyDescent="0.25">
      <c r="A823" s="1" t="str">
        <f t="shared" si="33"/>
        <v>11020</v>
      </c>
      <c r="B823" s="1" t="str">
        <f>"16611"</f>
        <v>16611</v>
      </c>
      <c r="C823" s="2">
        <v>1.64462864285244E-4</v>
      </c>
      <c r="D823" s="2">
        <v>1.8119224497191501E-4</v>
      </c>
      <c r="E823" s="2">
        <v>0</v>
      </c>
      <c r="F823" s="2">
        <v>1.6139681608099099E-4</v>
      </c>
    </row>
    <row r="824" spans="1:6" x14ac:dyDescent="0.25">
      <c r="A824" s="1" t="str">
        <f t="shared" si="33"/>
        <v>11020</v>
      </c>
      <c r="B824" s="1" t="str">
        <f>"16631"</f>
        <v>16631</v>
      </c>
      <c r="C824" s="2">
        <v>0</v>
      </c>
      <c r="D824" s="2">
        <v>1.8119224497191501E-4</v>
      </c>
      <c r="E824" s="2">
        <v>0</v>
      </c>
      <c r="F824" s="2">
        <v>1.46724378255447E-5</v>
      </c>
    </row>
    <row r="825" spans="1:6" x14ac:dyDescent="0.25">
      <c r="A825" s="1" t="str">
        <f t="shared" si="33"/>
        <v>11020</v>
      </c>
      <c r="B825" s="1" t="str">
        <f>"16648"</f>
        <v>16648</v>
      </c>
      <c r="C825" s="2">
        <v>0.125781198605354</v>
      </c>
      <c r="D825" s="2">
        <v>0.136800144953795</v>
      </c>
      <c r="E825" s="2">
        <v>0.14792576419213899</v>
      </c>
      <c r="F825" s="2">
        <v>0.12726872569877401</v>
      </c>
    </row>
    <row r="826" spans="1:6" x14ac:dyDescent="0.25">
      <c r="A826" s="1" t="str">
        <f t="shared" si="33"/>
        <v>11020</v>
      </c>
      <c r="B826" s="1" t="str">
        <f>"16655"</f>
        <v>16655</v>
      </c>
      <c r="C826" s="2">
        <v>4.7694230642720799E-4</v>
      </c>
      <c r="D826" s="2">
        <v>0</v>
      </c>
      <c r="E826" s="2">
        <v>0</v>
      </c>
      <c r="F826" s="2">
        <v>4.2550069694079602E-4</v>
      </c>
    </row>
    <row r="827" spans="1:6" x14ac:dyDescent="0.25">
      <c r="A827" s="1" t="str">
        <f t="shared" si="33"/>
        <v>11020</v>
      </c>
      <c r="B827" s="1" t="str">
        <f>"16684"</f>
        <v>16684</v>
      </c>
      <c r="C827" s="2">
        <v>0</v>
      </c>
      <c r="D827" s="2">
        <v>1.8119224497191501E-4</v>
      </c>
      <c r="E827" s="2">
        <v>5.4585152838427901E-4</v>
      </c>
      <c r="F827" s="2">
        <v>2.9344875651089401E-5</v>
      </c>
    </row>
    <row r="828" spans="1:6" x14ac:dyDescent="0.25">
      <c r="A828" s="1" t="str">
        <f t="shared" si="33"/>
        <v>11020</v>
      </c>
      <c r="B828" s="1" t="str">
        <f>"16601"</f>
        <v>16601</v>
      </c>
      <c r="C828" s="2">
        <v>0.25873297809354601</v>
      </c>
      <c r="D828" s="2">
        <v>0.20637796702301101</v>
      </c>
      <c r="E828" s="2">
        <v>0.272379912663755</v>
      </c>
      <c r="F828" s="2">
        <v>0.254860245029711</v>
      </c>
    </row>
    <row r="829" spans="1:6" x14ac:dyDescent="0.25">
      <c r="A829" s="1" t="str">
        <f t="shared" si="33"/>
        <v>11020</v>
      </c>
      <c r="B829" s="1" t="str">
        <f>"16636"</f>
        <v>16636</v>
      </c>
      <c r="C829" s="2">
        <v>4.9338859285573303E-4</v>
      </c>
      <c r="D829" s="2">
        <v>0</v>
      </c>
      <c r="E829" s="2">
        <v>0</v>
      </c>
      <c r="F829" s="2">
        <v>4.4017313476634102E-4</v>
      </c>
    </row>
    <row r="830" spans="1:6" x14ac:dyDescent="0.25">
      <c r="A830" s="1" t="str">
        <f t="shared" si="33"/>
        <v>11020</v>
      </c>
      <c r="B830" s="1" t="str">
        <f>"15946"</f>
        <v>15946</v>
      </c>
      <c r="C830" s="2">
        <v>2.9438852707058699E-3</v>
      </c>
      <c r="D830" s="2">
        <v>3.6238448994383002E-4</v>
      </c>
      <c r="E830" s="2">
        <v>0</v>
      </c>
      <c r="F830" s="2">
        <v>2.6557112464235901E-3</v>
      </c>
    </row>
    <row r="831" spans="1:6" x14ac:dyDescent="0.25">
      <c r="A831" s="1" t="str">
        <f t="shared" si="33"/>
        <v>11020</v>
      </c>
      <c r="B831" s="1" t="str">
        <f>"16686"</f>
        <v>16686</v>
      </c>
      <c r="C831" s="2">
        <v>9.4220774949016498E-2</v>
      </c>
      <c r="D831" s="2">
        <v>6.2511324515310704E-2</v>
      </c>
      <c r="E831" s="2">
        <v>8.6244541484716095E-2</v>
      </c>
      <c r="F831" s="2">
        <v>9.1438632528794597E-2</v>
      </c>
    </row>
    <row r="832" spans="1:6" x14ac:dyDescent="0.25">
      <c r="A832" s="1" t="str">
        <f t="shared" si="33"/>
        <v>11020</v>
      </c>
      <c r="B832" s="1" t="str">
        <f>"16635"</f>
        <v>16635</v>
      </c>
      <c r="C832" s="2">
        <v>0.100453917505427</v>
      </c>
      <c r="D832" s="2">
        <v>0.111614422902699</v>
      </c>
      <c r="E832" s="2">
        <v>3.1113537117903899E-2</v>
      </c>
      <c r="F832" s="2">
        <v>9.9493800895018705E-2</v>
      </c>
    </row>
    <row r="833" spans="1:6" x14ac:dyDescent="0.25">
      <c r="A833" s="1" t="str">
        <f t="shared" si="33"/>
        <v>11020</v>
      </c>
      <c r="B833" s="1" t="str">
        <f>"16625"</f>
        <v>16625</v>
      </c>
      <c r="C833" s="2">
        <v>1.9554634563515499E-2</v>
      </c>
      <c r="D833" s="2">
        <v>1.39518028628374E-2</v>
      </c>
      <c r="E833" s="2">
        <v>3.0021834061135299E-2</v>
      </c>
      <c r="F833" s="2">
        <v>1.9382290367544502E-2</v>
      </c>
    </row>
    <row r="834" spans="1:6" x14ac:dyDescent="0.25">
      <c r="A834" s="1" t="str">
        <f t="shared" si="33"/>
        <v>11020</v>
      </c>
      <c r="B834" s="1" t="str">
        <f>"16693"</f>
        <v>16693</v>
      </c>
      <c r="C834" s="2">
        <v>3.02118281691993E-2</v>
      </c>
      <c r="D834" s="2">
        <v>1.7032071027359999E-2</v>
      </c>
      <c r="E834" s="2">
        <v>2.12882096069868E-2</v>
      </c>
      <c r="F834" s="2">
        <v>2.8904702516322999E-2</v>
      </c>
    </row>
    <row r="835" spans="1:6" x14ac:dyDescent="0.25">
      <c r="A835" s="1" t="str">
        <f t="shared" si="33"/>
        <v>11020</v>
      </c>
      <c r="B835" s="1" t="str">
        <f>"16662"</f>
        <v>16662</v>
      </c>
      <c r="C835" s="2">
        <v>3.89283599763173E-2</v>
      </c>
      <c r="D835" s="2">
        <v>3.1527450625113203E-2</v>
      </c>
      <c r="E835" s="2">
        <v>3.7663755458515198E-2</v>
      </c>
      <c r="F835" s="2">
        <v>3.8295062724671702E-2</v>
      </c>
    </row>
    <row r="836" spans="1:6" x14ac:dyDescent="0.25">
      <c r="A836" s="1" t="str">
        <f t="shared" si="33"/>
        <v>11020</v>
      </c>
      <c r="B836" s="1" t="str">
        <f>"16602"</f>
        <v>16602</v>
      </c>
      <c r="C836" s="2">
        <v>0.23067561344648299</v>
      </c>
      <c r="D836" s="2">
        <v>0.29951078093857503</v>
      </c>
      <c r="E836" s="2">
        <v>0.31004366812227002</v>
      </c>
      <c r="F836" s="2">
        <v>0.238383097351624</v>
      </c>
    </row>
    <row r="837" spans="1:6" x14ac:dyDescent="0.25">
      <c r="A837" s="1" t="str">
        <f t="shared" si="33"/>
        <v>11020</v>
      </c>
      <c r="B837" s="1" t="str">
        <f>"16673"</f>
        <v>16673</v>
      </c>
      <c r="C837" s="2">
        <v>3.5425300967041599E-2</v>
      </c>
      <c r="D837" s="2">
        <v>3.2795796339916597E-2</v>
      </c>
      <c r="E837" s="2">
        <v>3.4934497816593801E-2</v>
      </c>
      <c r="F837" s="2">
        <v>3.5199178343481699E-2</v>
      </c>
    </row>
    <row r="838" spans="1:6" x14ac:dyDescent="0.25">
      <c r="A838" s="1" t="str">
        <f t="shared" ref="A838:A847" si="34">"11060"</f>
        <v>11060</v>
      </c>
      <c r="B838" s="1" t="str">
        <f>"73523"</f>
        <v>73523</v>
      </c>
      <c r="C838" s="2">
        <v>5.3124335059224002E-2</v>
      </c>
      <c r="D838" s="2">
        <v>8.0405405405405403E-2</v>
      </c>
      <c r="E838" s="2">
        <v>7.3033707865168496E-2</v>
      </c>
      <c r="F838" s="2">
        <v>5.6102918104800698E-2</v>
      </c>
    </row>
    <row r="839" spans="1:6" x14ac:dyDescent="0.25">
      <c r="A839" s="1" t="str">
        <f t="shared" si="34"/>
        <v>11060</v>
      </c>
      <c r="B839" s="1" t="str">
        <f>"73556"</f>
        <v>73556</v>
      </c>
      <c r="C839" s="2">
        <v>0</v>
      </c>
      <c r="D839" s="2">
        <v>0</v>
      </c>
      <c r="E839" s="2">
        <v>2.8089887640449398E-3</v>
      </c>
      <c r="F839" s="2">
        <v>6.2754941951678606E-5</v>
      </c>
    </row>
    <row r="840" spans="1:6" x14ac:dyDescent="0.25">
      <c r="A840" s="1" t="str">
        <f t="shared" si="34"/>
        <v>11060</v>
      </c>
      <c r="B840" s="1" t="str">
        <f>"73526"</f>
        <v>73526</v>
      </c>
      <c r="C840" s="2">
        <v>4.1846939499255199E-2</v>
      </c>
      <c r="D840" s="2">
        <v>4.0540540540540499E-3</v>
      </c>
      <c r="E840" s="2">
        <v>8.4269662921348295E-3</v>
      </c>
      <c r="F840" s="2">
        <v>3.7590210229055503E-2</v>
      </c>
    </row>
    <row r="841" spans="1:6" x14ac:dyDescent="0.25">
      <c r="A841" s="1" t="str">
        <f t="shared" si="34"/>
        <v>11060</v>
      </c>
      <c r="B841" s="1" t="str">
        <f>"73532"</f>
        <v>73532</v>
      </c>
      <c r="C841" s="2">
        <v>1.6667848783601599E-2</v>
      </c>
      <c r="D841" s="2">
        <v>3.3783783783783699E-3</v>
      </c>
      <c r="E841" s="2">
        <v>2.8089887640449398E-3</v>
      </c>
      <c r="F841" s="2">
        <v>1.51239410103545E-2</v>
      </c>
    </row>
    <row r="842" spans="1:6" x14ac:dyDescent="0.25">
      <c r="A842" s="1" t="str">
        <f t="shared" si="34"/>
        <v>11060</v>
      </c>
      <c r="B842" s="1" t="str">
        <f>"73539"</f>
        <v>73539</v>
      </c>
      <c r="C842" s="2">
        <v>4.6811830626285501E-3</v>
      </c>
      <c r="D842" s="2">
        <v>2.0270270270270202E-3</v>
      </c>
      <c r="E842" s="2">
        <v>2.8089887640449398E-3</v>
      </c>
      <c r="F842" s="2">
        <v>4.3928459366175E-3</v>
      </c>
    </row>
    <row r="843" spans="1:6" x14ac:dyDescent="0.25">
      <c r="A843" s="1" t="str">
        <f t="shared" si="34"/>
        <v>11060</v>
      </c>
      <c r="B843" s="1" t="str">
        <f>"73560"</f>
        <v>73560</v>
      </c>
      <c r="C843" s="2">
        <v>8.4403149159514804E-3</v>
      </c>
      <c r="D843" s="2">
        <v>1.3513513513513499E-3</v>
      </c>
      <c r="E843" s="2">
        <v>2.8089887640449398E-3</v>
      </c>
      <c r="F843" s="2">
        <v>7.6561029181048002E-3</v>
      </c>
    </row>
    <row r="844" spans="1:6" x14ac:dyDescent="0.25">
      <c r="A844" s="1" t="str">
        <f t="shared" si="34"/>
        <v>11060</v>
      </c>
      <c r="B844" s="1" t="str">
        <f>"73522"</f>
        <v>73522</v>
      </c>
      <c r="C844" s="2">
        <v>9.2559756011064601E-2</v>
      </c>
      <c r="D844" s="2">
        <v>0.168243243243243</v>
      </c>
      <c r="E844" s="2">
        <v>0</v>
      </c>
      <c r="F844" s="2">
        <v>9.7521179792908599E-2</v>
      </c>
    </row>
    <row r="845" spans="1:6" x14ac:dyDescent="0.25">
      <c r="A845" s="1" t="str">
        <f t="shared" si="34"/>
        <v>11060</v>
      </c>
      <c r="B845" s="1" t="str">
        <f>"73549"</f>
        <v>73549</v>
      </c>
      <c r="C845" s="2">
        <v>9.2205120930562399E-3</v>
      </c>
      <c r="D845" s="2">
        <v>6.7567567567567495E-4</v>
      </c>
      <c r="E845" s="2">
        <v>2.8089887640449398E-3</v>
      </c>
      <c r="F845" s="2">
        <v>8.2836523376215807E-3</v>
      </c>
    </row>
    <row r="846" spans="1:6" x14ac:dyDescent="0.25">
      <c r="A846" s="1" t="str">
        <f t="shared" si="34"/>
        <v>11060</v>
      </c>
      <c r="B846" s="1" t="str">
        <f>"73521"</f>
        <v>73521</v>
      </c>
      <c r="C846" s="2">
        <v>0.75672033477551504</v>
      </c>
      <c r="D846" s="2">
        <v>0.73986486486486402</v>
      </c>
      <c r="E846" s="2">
        <v>0.901685393258426</v>
      </c>
      <c r="F846" s="2">
        <v>0.75839347348603703</v>
      </c>
    </row>
    <row r="847" spans="1:6" x14ac:dyDescent="0.25">
      <c r="A847" s="1" t="str">
        <f t="shared" si="34"/>
        <v>11060</v>
      </c>
      <c r="B847" s="1" t="str">
        <f>"73537"</f>
        <v>73537</v>
      </c>
      <c r="C847" s="2">
        <v>1.6738775799702101E-2</v>
      </c>
      <c r="D847" s="2">
        <v>0</v>
      </c>
      <c r="E847" s="2">
        <v>2.8089887640449398E-3</v>
      </c>
      <c r="F847" s="2">
        <v>1.48729212425478E-2</v>
      </c>
    </row>
    <row r="848" spans="1:6" x14ac:dyDescent="0.25">
      <c r="A848" s="1" t="str">
        <f t="shared" ref="A848:A885" si="35">"11100"</f>
        <v>11100</v>
      </c>
      <c r="B848" s="1" t="str">
        <f>"79039"</f>
        <v>79039</v>
      </c>
      <c r="C848" s="2">
        <v>1.34538072682402E-3</v>
      </c>
      <c r="D848" s="2">
        <v>1.6792611251049501E-3</v>
      </c>
      <c r="E848" s="2">
        <v>1.6949152542372801E-4</v>
      </c>
      <c r="F848" s="2">
        <v>1.33052596926073E-3</v>
      </c>
    </row>
    <row r="849" spans="1:6" x14ac:dyDescent="0.25">
      <c r="A849" s="1" t="str">
        <f t="shared" si="35"/>
        <v>11100</v>
      </c>
      <c r="B849" s="1" t="str">
        <f>"79042"</f>
        <v>79042</v>
      </c>
      <c r="C849" s="2">
        <v>1.34538072682402E-3</v>
      </c>
      <c r="D849" s="2">
        <v>6.9969213546039704E-5</v>
      </c>
      <c r="E849" s="2">
        <v>5.0847457627118601E-4</v>
      </c>
      <c r="F849" s="2">
        <v>1.1864999622788999E-3</v>
      </c>
    </row>
    <row r="850" spans="1:6" x14ac:dyDescent="0.25">
      <c r="A850" s="1" t="str">
        <f t="shared" si="35"/>
        <v>11100</v>
      </c>
      <c r="B850" s="1" t="str">
        <f>"79109"</f>
        <v>79109</v>
      </c>
      <c r="C850" s="2">
        <v>0.17053695816582401</v>
      </c>
      <c r="D850" s="2">
        <v>0.16267842149454201</v>
      </c>
      <c r="E850" s="2">
        <v>0.207966101694915</v>
      </c>
      <c r="F850" s="2">
        <v>0.171281214207822</v>
      </c>
    </row>
    <row r="851" spans="1:6" x14ac:dyDescent="0.25">
      <c r="A851" s="1" t="str">
        <f t="shared" si="35"/>
        <v>11100</v>
      </c>
      <c r="B851" s="1" t="str">
        <f>"79114"</f>
        <v>79114</v>
      </c>
      <c r="C851" s="2">
        <v>1.55634279345619E-2</v>
      </c>
      <c r="D851" s="2">
        <v>5.8354324097397103E-2</v>
      </c>
      <c r="E851" s="2">
        <v>3.38983050847457E-4</v>
      </c>
      <c r="F851" s="2">
        <v>1.91417421660139E-2</v>
      </c>
    </row>
    <row r="852" spans="1:6" x14ac:dyDescent="0.25">
      <c r="A852" s="1" t="str">
        <f t="shared" si="35"/>
        <v>11100</v>
      </c>
      <c r="B852" s="1" t="str">
        <f>"79118"</f>
        <v>79118</v>
      </c>
      <c r="C852" s="2">
        <v>8.9272777932571698E-2</v>
      </c>
      <c r="D852" s="2">
        <v>3.1136300027987601E-2</v>
      </c>
      <c r="E852" s="2">
        <v>4.0338983050847398E-2</v>
      </c>
      <c r="F852" s="2">
        <v>8.1594162145850302E-2</v>
      </c>
    </row>
    <row r="853" spans="1:6" x14ac:dyDescent="0.25">
      <c r="A853" s="1" t="str">
        <f t="shared" si="35"/>
        <v>11100</v>
      </c>
      <c r="B853" s="1" t="str">
        <f>"79116"</f>
        <v>79116</v>
      </c>
      <c r="C853" s="2">
        <v>6.3527444970743899E-3</v>
      </c>
      <c r="D853" s="2">
        <v>1.5813042261404901E-2</v>
      </c>
      <c r="E853" s="2">
        <v>3.38983050847457E-4</v>
      </c>
      <c r="F853" s="2">
        <v>7.03669919825522E-3</v>
      </c>
    </row>
    <row r="854" spans="1:6" x14ac:dyDescent="0.25">
      <c r="A854" s="1" t="str">
        <f t="shared" si="35"/>
        <v>11100</v>
      </c>
      <c r="B854" s="1" t="str">
        <f>"79001"</f>
        <v>79001</v>
      </c>
      <c r="C854" s="2">
        <v>4.9357162759224602E-4</v>
      </c>
      <c r="D854" s="2">
        <v>0</v>
      </c>
      <c r="E854" s="2">
        <v>1.6949152542372801E-4</v>
      </c>
      <c r="F854" s="2">
        <v>4.3207802094549601E-4</v>
      </c>
    </row>
    <row r="855" spans="1:6" x14ac:dyDescent="0.25">
      <c r="A855" s="1" t="str">
        <f t="shared" si="35"/>
        <v>11100</v>
      </c>
      <c r="B855" s="1" t="str">
        <f>"79010"</f>
        <v>79010</v>
      </c>
      <c r="C855" s="2">
        <v>7.9608327031007408E-6</v>
      </c>
      <c r="D855" s="2">
        <v>2.0990764063811901E-4</v>
      </c>
      <c r="E855" s="2">
        <v>0</v>
      </c>
      <c r="F855" s="2">
        <v>2.7433525139396499E-5</v>
      </c>
    </row>
    <row r="856" spans="1:6" x14ac:dyDescent="0.25">
      <c r="A856" s="1" t="str">
        <f t="shared" si="35"/>
        <v>11100</v>
      </c>
      <c r="B856" s="1" t="str">
        <f>"79058"</f>
        <v>79058</v>
      </c>
      <c r="C856" s="2">
        <v>1.51255821358914E-4</v>
      </c>
      <c r="D856" s="2">
        <v>0</v>
      </c>
      <c r="E856" s="2">
        <v>6.7796610169491497E-4</v>
      </c>
      <c r="F856" s="2">
        <v>1.5774276955153E-4</v>
      </c>
    </row>
    <row r="857" spans="1:6" x14ac:dyDescent="0.25">
      <c r="A857" s="1" t="str">
        <f t="shared" si="35"/>
        <v>11100</v>
      </c>
      <c r="B857" s="1" t="str">
        <f>"79105"</f>
        <v>79105</v>
      </c>
      <c r="C857" s="2">
        <v>1.35015722644588E-2</v>
      </c>
      <c r="D857" s="2">
        <v>6.0313462076686197E-2</v>
      </c>
      <c r="E857" s="2">
        <v>3.38983050847457E-4</v>
      </c>
      <c r="F857" s="2">
        <v>1.7557456089213799E-2</v>
      </c>
    </row>
    <row r="858" spans="1:6" x14ac:dyDescent="0.25">
      <c r="A858" s="1" t="str">
        <f t="shared" si="35"/>
        <v>11100</v>
      </c>
      <c r="B858" s="1" t="str">
        <f>"79111"</f>
        <v>79111</v>
      </c>
      <c r="C858" s="2">
        <v>4.0759463439875802E-3</v>
      </c>
      <c r="D858" s="2">
        <v>6.5071368597816896E-3</v>
      </c>
      <c r="E858" s="2">
        <v>2.2033898305084702E-3</v>
      </c>
      <c r="F858" s="2">
        <v>4.23847963403677E-3</v>
      </c>
    </row>
    <row r="859" spans="1:6" x14ac:dyDescent="0.25">
      <c r="A859" s="1" t="str">
        <f t="shared" si="35"/>
        <v>11100</v>
      </c>
      <c r="B859" s="1" t="str">
        <f>"79106"</f>
        <v>79106</v>
      </c>
      <c r="C859" s="2">
        <v>0.109851530470087</v>
      </c>
      <c r="D859" s="2">
        <v>0.117338371116708</v>
      </c>
      <c r="E859" s="2">
        <v>0.174237288135593</v>
      </c>
      <c r="F859" s="2">
        <v>0.11319072472515</v>
      </c>
    </row>
    <row r="860" spans="1:6" x14ac:dyDescent="0.25">
      <c r="A860" s="1" t="str">
        <f t="shared" si="35"/>
        <v>11100</v>
      </c>
      <c r="B860" s="1" t="str">
        <f>"79015"</f>
        <v>79015</v>
      </c>
      <c r="C860" s="2">
        <v>8.8922501293635298E-2</v>
      </c>
      <c r="D860" s="2">
        <v>5.8844108592219398E-2</v>
      </c>
      <c r="E860" s="2">
        <v>0.112881355932203</v>
      </c>
      <c r="F860" s="2">
        <v>8.6943699548032605E-2</v>
      </c>
    </row>
    <row r="861" spans="1:6" x14ac:dyDescent="0.25">
      <c r="A861" s="1" t="str">
        <f t="shared" si="35"/>
        <v>11100</v>
      </c>
      <c r="B861" s="1" t="str">
        <f>"79110"</f>
        <v>79110</v>
      </c>
      <c r="C861" s="2">
        <v>6.1362098475500497E-2</v>
      </c>
      <c r="D861" s="2">
        <v>4.9748110831234198E-2</v>
      </c>
      <c r="E861" s="2">
        <v>3.3559322033898303E-2</v>
      </c>
      <c r="F861" s="2">
        <v>5.9098671531545098E-2</v>
      </c>
    </row>
    <row r="862" spans="1:6" x14ac:dyDescent="0.25">
      <c r="A862" s="1" t="str">
        <f t="shared" si="35"/>
        <v>11100</v>
      </c>
      <c r="B862" s="1" t="str">
        <f>"79092"</f>
        <v>79092</v>
      </c>
      <c r="C862" s="2">
        <v>7.8016160490387203E-4</v>
      </c>
      <c r="D862" s="2">
        <v>0</v>
      </c>
      <c r="E862" s="2">
        <v>0</v>
      </c>
      <c r="F862" s="2">
        <v>6.7212136591521601E-4</v>
      </c>
    </row>
    <row r="863" spans="1:6" x14ac:dyDescent="0.25">
      <c r="A863" s="1" t="str">
        <f t="shared" si="35"/>
        <v>11100</v>
      </c>
      <c r="B863" s="1" t="str">
        <f>"79094"</f>
        <v>79094</v>
      </c>
      <c r="C863" s="2">
        <v>2.4678581379612301E-4</v>
      </c>
      <c r="D863" s="2">
        <v>0</v>
      </c>
      <c r="E863" s="2">
        <v>1.6949152542372801E-4</v>
      </c>
      <c r="F863" s="2">
        <v>2.1946820111517199E-4</v>
      </c>
    </row>
    <row r="864" spans="1:6" x14ac:dyDescent="0.25">
      <c r="A864" s="1" t="str">
        <f t="shared" si="35"/>
        <v>11100</v>
      </c>
      <c r="B864" s="1" t="str">
        <f>"79036"</f>
        <v>79036</v>
      </c>
      <c r="C864" s="2">
        <v>2.77036978067905E-3</v>
      </c>
      <c r="D864" s="2">
        <v>0</v>
      </c>
      <c r="E864" s="2">
        <v>1.6949152542372801E-4</v>
      </c>
      <c r="F864" s="2">
        <v>2.3935750684123498E-3</v>
      </c>
    </row>
    <row r="865" spans="1:6" x14ac:dyDescent="0.25">
      <c r="A865" s="1" t="str">
        <f t="shared" si="35"/>
        <v>11100</v>
      </c>
      <c r="B865" s="1" t="str">
        <f>"79226"</f>
        <v>79226</v>
      </c>
      <c r="C865" s="2">
        <v>4.13963300561238E-4</v>
      </c>
      <c r="D865" s="2">
        <v>2.0990764063811901E-4</v>
      </c>
      <c r="E865" s="2">
        <v>1.6949152542372801E-4</v>
      </c>
      <c r="F865" s="2">
        <v>3.8406935195155201E-4</v>
      </c>
    </row>
    <row r="866" spans="1:6" x14ac:dyDescent="0.25">
      <c r="A866" s="1" t="str">
        <f t="shared" si="35"/>
        <v>11100</v>
      </c>
      <c r="B866" s="1" t="str">
        <f>"79016"</f>
        <v>79016</v>
      </c>
      <c r="C866" s="2">
        <v>0</v>
      </c>
      <c r="D866" s="2">
        <v>2.79876854184158E-4</v>
      </c>
      <c r="E866" s="2">
        <v>0</v>
      </c>
      <c r="F866" s="2">
        <v>2.7433525139396499E-5</v>
      </c>
    </row>
    <row r="867" spans="1:6" x14ac:dyDescent="0.25">
      <c r="A867" s="1" t="str">
        <f t="shared" si="35"/>
        <v>11100</v>
      </c>
      <c r="B867" s="1" t="str">
        <f>"79012"</f>
        <v>79012</v>
      </c>
      <c r="C867" s="2">
        <v>7.9608327031007408E-6</v>
      </c>
      <c r="D867" s="2">
        <v>0</v>
      </c>
      <c r="E867" s="2">
        <v>0</v>
      </c>
      <c r="F867" s="2">
        <v>6.8583812848491401E-6</v>
      </c>
    </row>
    <row r="868" spans="1:6" x14ac:dyDescent="0.25">
      <c r="A868" s="1" t="str">
        <f t="shared" si="35"/>
        <v>11100</v>
      </c>
      <c r="B868" s="1" t="str">
        <f>"79124"</f>
        <v>79124</v>
      </c>
      <c r="C868" s="2">
        <v>4.1268956732874201E-2</v>
      </c>
      <c r="D868" s="2">
        <v>2.7008116428771298E-2</v>
      </c>
      <c r="E868" s="2">
        <v>1.6949152542372801E-2</v>
      </c>
      <c r="F868" s="2">
        <v>3.8887021885094603E-2</v>
      </c>
    </row>
    <row r="869" spans="1:6" x14ac:dyDescent="0.25">
      <c r="A869" s="1" t="str">
        <f t="shared" si="35"/>
        <v>11100</v>
      </c>
      <c r="B869" s="1" t="str">
        <f>"79097"</f>
        <v>79097</v>
      </c>
      <c r="C869" s="2">
        <v>7.2443577598216703E-4</v>
      </c>
      <c r="D869" s="2">
        <v>2.0990764063811901E-4</v>
      </c>
      <c r="E869" s="2">
        <v>0</v>
      </c>
      <c r="F869" s="2">
        <v>6.4468784077581997E-4</v>
      </c>
    </row>
    <row r="870" spans="1:6" x14ac:dyDescent="0.25">
      <c r="A870" s="1" t="str">
        <f t="shared" si="35"/>
        <v>11100</v>
      </c>
      <c r="B870" s="1" t="str">
        <f>"79108"</f>
        <v>79108</v>
      </c>
      <c r="C870" s="2">
        <v>4.4843370616566403E-2</v>
      </c>
      <c r="D870" s="2">
        <v>1.8681780016792601E-2</v>
      </c>
      <c r="E870" s="2">
        <v>5.6949152542372802E-2</v>
      </c>
      <c r="F870" s="2">
        <v>4.2768865692319198E-2</v>
      </c>
    </row>
    <row r="871" spans="1:6" x14ac:dyDescent="0.25">
      <c r="A871" s="1" t="str">
        <f t="shared" si="35"/>
        <v>11100</v>
      </c>
      <c r="B871" s="1" t="str">
        <f>"79120"</f>
        <v>79120</v>
      </c>
      <c r="C871" s="2">
        <v>1.4066791386379E-2</v>
      </c>
      <c r="D871" s="2">
        <v>2.7427931710047499E-2</v>
      </c>
      <c r="E871" s="2">
        <v>3.38983050847457E-4</v>
      </c>
      <c r="F871" s="2">
        <v>1.4820961956558999E-2</v>
      </c>
    </row>
    <row r="872" spans="1:6" x14ac:dyDescent="0.25">
      <c r="A872" s="1" t="str">
        <f t="shared" si="35"/>
        <v>11100</v>
      </c>
      <c r="B872" s="1" t="str">
        <f>"79080"</f>
        <v>79080</v>
      </c>
      <c r="C872" s="2">
        <v>1.6717748676511499E-4</v>
      </c>
      <c r="D872" s="2">
        <v>1.39938427092079E-4</v>
      </c>
      <c r="E872" s="2">
        <v>0</v>
      </c>
      <c r="F872" s="2">
        <v>1.5774276955153E-4</v>
      </c>
    </row>
    <row r="873" spans="1:6" x14ac:dyDescent="0.25">
      <c r="A873" s="1" t="str">
        <f t="shared" si="35"/>
        <v>11100</v>
      </c>
      <c r="B873" s="1" t="str">
        <f>"79119"</f>
        <v>79119</v>
      </c>
      <c r="C873" s="2">
        <v>7.8143533813636895E-2</v>
      </c>
      <c r="D873" s="2">
        <v>3.9392667226420298E-2</v>
      </c>
      <c r="E873" s="2">
        <v>2.6271186440677899E-2</v>
      </c>
      <c r="F873" s="2">
        <v>7.2246188454600901E-2</v>
      </c>
    </row>
    <row r="874" spans="1:6" x14ac:dyDescent="0.25">
      <c r="A874" s="1" t="str">
        <f t="shared" si="35"/>
        <v>11100</v>
      </c>
      <c r="B874" s="1" t="str">
        <f>"79159"</f>
        <v>79159</v>
      </c>
      <c r="C874" s="2">
        <v>1.28169406519921E-2</v>
      </c>
      <c r="D874" s="2">
        <v>3.2255807444724303E-2</v>
      </c>
      <c r="E874" s="2">
        <v>3.38983050847457E-4</v>
      </c>
      <c r="F874" s="2">
        <v>1.4217424403492201E-2</v>
      </c>
    </row>
    <row r="875" spans="1:6" x14ac:dyDescent="0.25">
      <c r="A875" s="1" t="str">
        <f t="shared" si="35"/>
        <v>11100</v>
      </c>
      <c r="B875" s="1" t="str">
        <f>"79107"</f>
        <v>79107</v>
      </c>
      <c r="C875" s="2">
        <v>9.9645742944711999E-2</v>
      </c>
      <c r="D875" s="2">
        <v>6.8150013993842698E-2</v>
      </c>
      <c r="E875" s="2">
        <v>0.100847457627118</v>
      </c>
      <c r="F875" s="2">
        <v>9.6607158778385105E-2</v>
      </c>
    </row>
    <row r="876" spans="1:6" x14ac:dyDescent="0.25">
      <c r="A876" s="1" t="str">
        <f t="shared" si="35"/>
        <v>11100</v>
      </c>
      <c r="B876" s="1" t="str">
        <f>"79098"</f>
        <v>79098</v>
      </c>
      <c r="C876" s="2">
        <v>1.24188990168371E-3</v>
      </c>
      <c r="D876" s="2">
        <v>6.9969213546039704E-4</v>
      </c>
      <c r="E876" s="2">
        <v>3.38983050847457E-4</v>
      </c>
      <c r="F876" s="2">
        <v>1.1522080558546499E-3</v>
      </c>
    </row>
    <row r="877" spans="1:6" x14ac:dyDescent="0.25">
      <c r="A877" s="1" t="str">
        <f t="shared" si="35"/>
        <v>11100</v>
      </c>
      <c r="B877" s="1" t="str">
        <f>"79091"</f>
        <v>79091</v>
      </c>
      <c r="C877" s="2">
        <v>7.9608327031007408E-6</v>
      </c>
      <c r="D877" s="2">
        <v>0</v>
      </c>
      <c r="E877" s="2">
        <v>3.38983050847457E-4</v>
      </c>
      <c r="F877" s="2">
        <v>2.05751438545474E-5</v>
      </c>
    </row>
    <row r="878" spans="1:6" x14ac:dyDescent="0.25">
      <c r="A878" s="1" t="str">
        <f t="shared" si="35"/>
        <v>11100</v>
      </c>
      <c r="B878" s="1" t="str">
        <f>"79117"</f>
        <v>79117</v>
      </c>
      <c r="C878" s="2">
        <v>7.2125144290092697E-3</v>
      </c>
      <c r="D878" s="2">
        <v>5.8074447243212897E-3</v>
      </c>
      <c r="E878" s="2">
        <v>3.38983050847457E-4</v>
      </c>
      <c r="F878" s="2">
        <v>6.7966558532855E-3</v>
      </c>
    </row>
    <row r="879" spans="1:6" x14ac:dyDescent="0.25">
      <c r="A879" s="1" t="str">
        <f t="shared" si="35"/>
        <v>11100</v>
      </c>
      <c r="B879" s="1" t="str">
        <f>"79101"</f>
        <v>79101</v>
      </c>
      <c r="C879" s="2">
        <v>1.2832862317398301E-2</v>
      </c>
      <c r="D879" s="2">
        <v>0.111321018751749</v>
      </c>
      <c r="E879" s="2">
        <v>8.1355932203389797E-2</v>
      </c>
      <c r="F879" s="2">
        <v>2.5259418272099401E-2</v>
      </c>
    </row>
    <row r="880" spans="1:6" x14ac:dyDescent="0.25">
      <c r="A880" s="1" t="str">
        <f t="shared" si="35"/>
        <v>11100</v>
      </c>
      <c r="B880" s="1" t="str">
        <f>"79102"</f>
        <v>79102</v>
      </c>
      <c r="C880" s="2">
        <v>3.5322214703657998E-2</v>
      </c>
      <c r="D880" s="2">
        <v>4.6949342289392598E-2</v>
      </c>
      <c r="E880" s="2">
        <v>8.2881355932203304E-2</v>
      </c>
      <c r="F880" s="2">
        <v>3.8386360051300597E-2</v>
      </c>
    </row>
    <row r="881" spans="1:6" x14ac:dyDescent="0.25">
      <c r="A881" s="1" t="str">
        <f t="shared" si="35"/>
        <v>11100</v>
      </c>
      <c r="B881" s="1" t="str">
        <f>"79104"</f>
        <v>79104</v>
      </c>
      <c r="C881" s="2">
        <v>2.3118258169804499E-2</v>
      </c>
      <c r="D881" s="2">
        <v>1.6302826756227198E-2</v>
      </c>
      <c r="E881" s="2">
        <v>3.4576271186440598E-2</v>
      </c>
      <c r="F881" s="2">
        <v>2.2913851872680999E-2</v>
      </c>
    </row>
    <row r="882" spans="1:6" x14ac:dyDescent="0.25">
      <c r="A882" s="1" t="str">
        <f t="shared" si="35"/>
        <v>11100</v>
      </c>
      <c r="B882" s="1" t="str">
        <f>"79019"</f>
        <v>79019</v>
      </c>
      <c r="C882" s="2">
        <v>4.19535883453409E-3</v>
      </c>
      <c r="D882" s="2">
        <v>9.7956898964455608E-4</v>
      </c>
      <c r="E882" s="2">
        <v>8.4745762711864404E-4</v>
      </c>
      <c r="F882" s="2">
        <v>3.7446761815276299E-3</v>
      </c>
    </row>
    <row r="883" spans="1:6" x14ac:dyDescent="0.25">
      <c r="A883" s="1" t="str">
        <f t="shared" si="35"/>
        <v>11100</v>
      </c>
      <c r="B883" s="1" t="str">
        <f>"79121"</f>
        <v>79121</v>
      </c>
      <c r="C883" s="2">
        <v>2.3142140667913799E-2</v>
      </c>
      <c r="D883" s="2">
        <v>2.0291071928351501E-2</v>
      </c>
      <c r="E883" s="2">
        <v>1.30508474576271E-2</v>
      </c>
      <c r="F883" s="2">
        <v>2.2454340326596101E-2</v>
      </c>
    </row>
    <row r="884" spans="1:6" x14ac:dyDescent="0.25">
      <c r="A884" s="1" t="str">
        <f t="shared" si="35"/>
        <v>11100</v>
      </c>
      <c r="B884" s="1" t="str">
        <f>"79103"</f>
        <v>79103</v>
      </c>
      <c r="C884" s="2">
        <v>3.1063169207499099E-2</v>
      </c>
      <c r="D884" s="2">
        <v>1.99412258606213E-2</v>
      </c>
      <c r="E884" s="2">
        <v>8.8135593220338895E-3</v>
      </c>
      <c r="F884" s="2">
        <v>2.9072678266475499E-2</v>
      </c>
    </row>
    <row r="885" spans="1:6" x14ac:dyDescent="0.25">
      <c r="A885" s="1" t="str">
        <f t="shared" si="35"/>
        <v>11100</v>
      </c>
      <c r="B885" s="1" t="str">
        <f>"79068"</f>
        <v>79068</v>
      </c>
      <c r="C885" s="2">
        <v>3.1843330812402898E-3</v>
      </c>
      <c r="D885" s="2">
        <v>1.2594458438287099E-3</v>
      </c>
      <c r="E885" s="2">
        <v>1.52542372881355E-3</v>
      </c>
      <c r="F885" s="2">
        <v>2.9285288086305802E-3</v>
      </c>
    </row>
    <row r="886" spans="1:6" x14ac:dyDescent="0.25">
      <c r="A886" s="1" t="str">
        <f t="shared" ref="A886:A898" si="36">"11140"</f>
        <v>11140</v>
      </c>
      <c r="B886" s="1" t="str">
        <f>"31081"</f>
        <v>31081</v>
      </c>
      <c r="C886" s="2">
        <v>5.2882072977260702E-5</v>
      </c>
      <c r="D886" s="2">
        <v>0</v>
      </c>
      <c r="E886" s="2">
        <v>0</v>
      </c>
      <c r="F886" s="2">
        <v>4.4155958846646301E-5</v>
      </c>
    </row>
    <row r="887" spans="1:6" x14ac:dyDescent="0.25">
      <c r="A887" s="1" t="str">
        <f t="shared" si="36"/>
        <v>11140</v>
      </c>
      <c r="B887" s="1" t="str">
        <f>"31709"</f>
        <v>31709</v>
      </c>
      <c r="C887" s="2">
        <v>0.489687995769434</v>
      </c>
      <c r="D887" s="2">
        <v>0.73261758691206502</v>
      </c>
      <c r="E887" s="2">
        <v>0.58057271195957305</v>
      </c>
      <c r="F887" s="2">
        <v>0.51781692939462098</v>
      </c>
    </row>
    <row r="888" spans="1:6" x14ac:dyDescent="0.25">
      <c r="A888" s="1" t="str">
        <f t="shared" si="36"/>
        <v>11140</v>
      </c>
      <c r="B888" s="1" t="str">
        <f>"31711"</f>
        <v>31711</v>
      </c>
      <c r="C888" s="2">
        <v>1.76097303014278E-2</v>
      </c>
      <c r="D888" s="2">
        <v>2.5562372188139E-3</v>
      </c>
      <c r="E888" s="2">
        <v>1.34755755193711E-2</v>
      </c>
      <c r="F888" s="2">
        <v>1.5984457102485899E-2</v>
      </c>
    </row>
    <row r="889" spans="1:6" x14ac:dyDescent="0.25">
      <c r="A889" s="1" t="str">
        <f t="shared" si="36"/>
        <v>11140</v>
      </c>
      <c r="B889" s="1" t="str">
        <f>"31068"</f>
        <v>31068</v>
      </c>
      <c r="C889" s="2">
        <v>2.1152829190904199E-4</v>
      </c>
      <c r="D889" s="2">
        <v>0</v>
      </c>
      <c r="E889" s="2">
        <v>0</v>
      </c>
      <c r="F889" s="2">
        <v>1.7662383538658499E-4</v>
      </c>
    </row>
    <row r="890" spans="1:6" x14ac:dyDescent="0.25">
      <c r="A890" s="1" t="str">
        <f t="shared" si="36"/>
        <v>11140</v>
      </c>
      <c r="B890" s="1" t="str">
        <f>"31058"</f>
        <v>31058</v>
      </c>
      <c r="C890" s="2">
        <v>2.64410364886303E-4</v>
      </c>
      <c r="D890" s="2">
        <v>0</v>
      </c>
      <c r="E890" s="2">
        <v>0</v>
      </c>
      <c r="F890" s="2">
        <v>2.2077979423323099E-4</v>
      </c>
    </row>
    <row r="891" spans="1:6" x14ac:dyDescent="0.25">
      <c r="A891" s="1" t="str">
        <f t="shared" si="36"/>
        <v>11140</v>
      </c>
      <c r="B891" s="1" t="str">
        <f>"31743"</f>
        <v>31743</v>
      </c>
      <c r="C891" s="2">
        <v>1.05235325224748E-2</v>
      </c>
      <c r="D891" s="2">
        <v>4.0899795501022403E-3</v>
      </c>
      <c r="E891" s="2">
        <v>4.49185850645704E-3</v>
      </c>
      <c r="F891" s="2">
        <v>9.4935311520289601E-3</v>
      </c>
    </row>
    <row r="892" spans="1:6" x14ac:dyDescent="0.25">
      <c r="A892" s="1" t="str">
        <f t="shared" si="36"/>
        <v>11140</v>
      </c>
      <c r="B892" s="1" t="str">
        <f>"31780"</f>
        <v>31780</v>
      </c>
      <c r="C892" s="2">
        <v>4.6906398730830197E-2</v>
      </c>
      <c r="D892" s="2">
        <v>1.6359918200408899E-2</v>
      </c>
      <c r="E892" s="2">
        <v>2.3020774845592298E-2</v>
      </c>
      <c r="F892" s="2">
        <v>4.2389720492780503E-2</v>
      </c>
    </row>
    <row r="893" spans="1:6" x14ac:dyDescent="0.25">
      <c r="A893" s="1" t="str">
        <f t="shared" si="36"/>
        <v>11140</v>
      </c>
      <c r="B893" s="1" t="str">
        <f>"31764"</f>
        <v>31764</v>
      </c>
      <c r="C893" s="2">
        <v>3.5378106821787401E-2</v>
      </c>
      <c r="D893" s="2">
        <v>1.84049079754601E-2</v>
      </c>
      <c r="E893" s="2">
        <v>1.17911285794497E-2</v>
      </c>
      <c r="F893" s="2">
        <v>3.2057226122665199E-2</v>
      </c>
    </row>
    <row r="894" spans="1:6" x14ac:dyDescent="0.25">
      <c r="A894" s="1" t="str">
        <f t="shared" si="36"/>
        <v>11140</v>
      </c>
      <c r="B894" s="1" t="str">
        <f>"31735"</f>
        <v>31735</v>
      </c>
      <c r="C894" s="2">
        <v>3.1253305129561003E-2</v>
      </c>
      <c r="D894" s="2">
        <v>2.5562372188139E-3</v>
      </c>
      <c r="E894" s="2">
        <v>7.8607523862998293E-3</v>
      </c>
      <c r="F894" s="2">
        <v>2.6935134896454199E-2</v>
      </c>
    </row>
    <row r="895" spans="1:6" x14ac:dyDescent="0.25">
      <c r="A895" s="1" t="str">
        <f t="shared" si="36"/>
        <v>11140</v>
      </c>
      <c r="B895" s="1" t="str">
        <f>"31806"</f>
        <v>31806</v>
      </c>
      <c r="C895" s="2">
        <v>0.10243257535695301</v>
      </c>
      <c r="D895" s="2">
        <v>5.0613496932515302E-2</v>
      </c>
      <c r="E895" s="2">
        <v>1.90903986524424E-2</v>
      </c>
      <c r="F895" s="2">
        <v>9.1402834812557898E-2</v>
      </c>
    </row>
    <row r="896" spans="1:6" x14ac:dyDescent="0.25">
      <c r="A896" s="1" t="str">
        <f t="shared" si="36"/>
        <v>11140</v>
      </c>
      <c r="B896" s="1" t="str">
        <f>"31719"</f>
        <v>31719</v>
      </c>
      <c r="C896" s="2">
        <v>0.24955050237969301</v>
      </c>
      <c r="D896" s="2">
        <v>0.16666666666666599</v>
      </c>
      <c r="E896" s="2">
        <v>0.335204941044357</v>
      </c>
      <c r="F896" s="2">
        <v>0.24912791981277799</v>
      </c>
    </row>
    <row r="897" spans="1:6" x14ac:dyDescent="0.25">
      <c r="A897" s="1" t="str">
        <f t="shared" si="36"/>
        <v>11140</v>
      </c>
      <c r="B897" s="1" t="str">
        <f>"31787"</f>
        <v>31787</v>
      </c>
      <c r="C897" s="2">
        <v>9.9418297197250097E-3</v>
      </c>
      <c r="D897" s="2">
        <v>4.6012269938650301E-3</v>
      </c>
      <c r="E897" s="2">
        <v>4.49185850645704E-3</v>
      </c>
      <c r="F897" s="2">
        <v>9.0519715635624994E-3</v>
      </c>
    </row>
    <row r="898" spans="1:6" x14ac:dyDescent="0.25">
      <c r="A898" s="1" t="str">
        <f t="shared" si="36"/>
        <v>11140</v>
      </c>
      <c r="B898" s="1" t="str">
        <f>"31803"</f>
        <v>31803</v>
      </c>
      <c r="C898" s="2">
        <v>6.1872025383394999E-3</v>
      </c>
      <c r="D898" s="2">
        <v>1.5337423312883399E-3</v>
      </c>
      <c r="E898" s="2">
        <v>0</v>
      </c>
      <c r="F898" s="2">
        <v>5.2987150615975602E-3</v>
      </c>
    </row>
    <row r="899" spans="1:6" x14ac:dyDescent="0.25">
      <c r="A899" s="1" t="str">
        <f t="shared" ref="A899:A939" si="37">"11180"</f>
        <v>11180</v>
      </c>
      <c r="B899" s="1" t="str">
        <f>"50011"</f>
        <v>50011</v>
      </c>
      <c r="C899" s="2">
        <v>1.6581273110149299E-5</v>
      </c>
      <c r="D899" s="2">
        <v>0.143862987630827</v>
      </c>
      <c r="E899" s="2">
        <v>1.47401086113266E-2</v>
      </c>
      <c r="F899" s="2">
        <v>1.17238697411818E-2</v>
      </c>
    </row>
    <row r="900" spans="1:6" x14ac:dyDescent="0.25">
      <c r="A900" s="1" t="str">
        <f t="shared" si="37"/>
        <v>11180</v>
      </c>
      <c r="B900" s="1" t="str">
        <f>"50105"</f>
        <v>50105</v>
      </c>
      <c r="C900" s="2">
        <v>8.7880747483791797E-3</v>
      </c>
      <c r="D900" s="2">
        <v>2.6641294005708802E-3</v>
      </c>
      <c r="E900" s="2">
        <v>5.9477631238686298E-3</v>
      </c>
      <c r="F900" s="2">
        <v>8.1663810113638009E-3</v>
      </c>
    </row>
    <row r="901" spans="1:6" x14ac:dyDescent="0.25">
      <c r="A901" s="1" t="str">
        <f t="shared" si="37"/>
        <v>11180</v>
      </c>
      <c r="B901" s="1" t="str">
        <f>"50230"</f>
        <v>50230</v>
      </c>
      <c r="C901" s="2">
        <v>6.6325092440597494E-5</v>
      </c>
      <c r="D901" s="2">
        <v>0</v>
      </c>
      <c r="E901" s="2">
        <v>0</v>
      </c>
      <c r="F901" s="2">
        <v>5.76111535193213E-5</v>
      </c>
    </row>
    <row r="902" spans="1:6" x14ac:dyDescent="0.25">
      <c r="A902" s="1" t="str">
        <f t="shared" si="37"/>
        <v>11180</v>
      </c>
      <c r="B902" s="1" t="str">
        <f>"50154"</f>
        <v>50154</v>
      </c>
      <c r="C902" s="2">
        <v>3.5815549917922601E-3</v>
      </c>
      <c r="D902" s="2">
        <v>0</v>
      </c>
      <c r="E902" s="2">
        <v>7.7579519006982102E-4</v>
      </c>
      <c r="F902" s="2">
        <v>3.15421065518284E-3</v>
      </c>
    </row>
    <row r="903" spans="1:6" x14ac:dyDescent="0.25">
      <c r="A903" s="1" t="str">
        <f t="shared" si="37"/>
        <v>11180</v>
      </c>
      <c r="B903" s="1" t="str">
        <f>"50220"</f>
        <v>50220</v>
      </c>
      <c r="C903" s="2">
        <v>3.2665108026994302E-3</v>
      </c>
      <c r="D903" s="2">
        <v>5.7088487155090297E-4</v>
      </c>
      <c r="E903" s="2">
        <v>0</v>
      </c>
      <c r="F903" s="2">
        <v>2.8805576759660602E-3</v>
      </c>
    </row>
    <row r="904" spans="1:6" x14ac:dyDescent="0.25">
      <c r="A904" s="1" t="str">
        <f t="shared" si="37"/>
        <v>11180</v>
      </c>
      <c r="B904" s="1" t="str">
        <f>"50010"</f>
        <v>50010</v>
      </c>
      <c r="C904" s="2">
        <v>0.30133147623074402</v>
      </c>
      <c r="D904" s="2">
        <v>0.43273073263558498</v>
      </c>
      <c r="E904" s="2">
        <v>0.45047840703387598</v>
      </c>
      <c r="F904" s="2">
        <v>0.31958347136005499</v>
      </c>
    </row>
    <row r="905" spans="1:6" x14ac:dyDescent="0.25">
      <c r="A905" s="1" t="str">
        <f t="shared" si="37"/>
        <v>11180</v>
      </c>
      <c r="B905" s="1" t="str">
        <f>"50014"</f>
        <v>50014</v>
      </c>
      <c r="C905" s="2">
        <v>0.245419423303321</v>
      </c>
      <c r="D905" s="2">
        <v>0.106184586108468</v>
      </c>
      <c r="E905" s="2">
        <v>0.30023273855701998</v>
      </c>
      <c r="F905" s="2">
        <v>0.237934064034797</v>
      </c>
    </row>
    <row r="906" spans="1:6" x14ac:dyDescent="0.25">
      <c r="A906" s="1" t="str">
        <f t="shared" si="37"/>
        <v>11180</v>
      </c>
      <c r="B906" s="1" t="str">
        <f>"50124"</f>
        <v>50124</v>
      </c>
      <c r="C906" s="2">
        <v>3.1222537266411301E-2</v>
      </c>
      <c r="D906" s="2">
        <v>1.8458610846812499E-2</v>
      </c>
      <c r="E906" s="2">
        <v>1.44815102146366E-2</v>
      </c>
      <c r="F906" s="2">
        <v>2.93240771413345E-2</v>
      </c>
    </row>
    <row r="907" spans="1:6" x14ac:dyDescent="0.25">
      <c r="A907" s="1" t="str">
        <f t="shared" si="37"/>
        <v>11180</v>
      </c>
      <c r="B907" s="1" t="str">
        <f>"50064"</f>
        <v>50064</v>
      </c>
      <c r="C907" s="2">
        <v>6.6325092440597494E-5</v>
      </c>
      <c r="D907" s="2">
        <v>0</v>
      </c>
      <c r="E907" s="2">
        <v>0</v>
      </c>
      <c r="F907" s="2">
        <v>5.76111535193213E-5</v>
      </c>
    </row>
    <row r="908" spans="1:6" x14ac:dyDescent="0.25">
      <c r="A908" s="1" t="str">
        <f t="shared" si="37"/>
        <v>11180</v>
      </c>
      <c r="B908" s="1" t="str">
        <f>"50040"</f>
        <v>50040</v>
      </c>
      <c r="C908" s="2">
        <v>1.90684640766718E-3</v>
      </c>
      <c r="D908" s="2">
        <v>5.7088487155090297E-4</v>
      </c>
      <c r="E908" s="2">
        <v>5.1719679337988104E-4</v>
      </c>
      <c r="F908" s="2">
        <v>1.72833460557964E-3</v>
      </c>
    </row>
    <row r="909" spans="1:6" x14ac:dyDescent="0.25">
      <c r="A909" s="1" t="str">
        <f t="shared" si="37"/>
        <v>11180</v>
      </c>
      <c r="B909" s="1" t="str">
        <f>"50276"</f>
        <v>50276</v>
      </c>
      <c r="C909" s="2">
        <v>4.1784808237576403E-3</v>
      </c>
      <c r="D909" s="2">
        <v>7.6117982873453798E-4</v>
      </c>
      <c r="E909" s="2">
        <v>5.1719679337988104E-4</v>
      </c>
      <c r="F909" s="2">
        <v>3.71591940199622E-3</v>
      </c>
    </row>
    <row r="910" spans="1:6" x14ac:dyDescent="0.25">
      <c r="A910" s="1" t="str">
        <f t="shared" si="37"/>
        <v>11180</v>
      </c>
      <c r="B910" s="1" t="str">
        <f>"50107"</f>
        <v>50107</v>
      </c>
      <c r="C910" s="2">
        <v>2.81881642872539E-4</v>
      </c>
      <c r="D910" s="2">
        <v>0</v>
      </c>
      <c r="E910" s="2">
        <v>0</v>
      </c>
      <c r="F910" s="2">
        <v>2.4484740245711502E-4</v>
      </c>
    </row>
    <row r="911" spans="1:6" x14ac:dyDescent="0.25">
      <c r="A911" s="1" t="str">
        <f t="shared" si="37"/>
        <v>11180</v>
      </c>
      <c r="B911" s="1" t="str">
        <f>"50056"</f>
        <v>50056</v>
      </c>
      <c r="C911" s="2">
        <v>1.04296207862839E-2</v>
      </c>
      <c r="D911" s="2">
        <v>4.3767840152235896E-3</v>
      </c>
      <c r="E911" s="2">
        <v>3.1031807602792802E-3</v>
      </c>
      <c r="F911" s="2">
        <v>9.5634514842073397E-3</v>
      </c>
    </row>
    <row r="912" spans="1:6" x14ac:dyDescent="0.25">
      <c r="A912" s="1" t="str">
        <f t="shared" si="37"/>
        <v>11180</v>
      </c>
      <c r="B912" s="1" t="str">
        <f>"50122"</f>
        <v>50122</v>
      </c>
      <c r="C912" s="2">
        <v>4.97438193304481E-5</v>
      </c>
      <c r="D912" s="2">
        <v>1.9029495718363401E-4</v>
      </c>
      <c r="E912" s="2">
        <v>0</v>
      </c>
      <c r="F912" s="2">
        <v>5.76111535193213E-5</v>
      </c>
    </row>
    <row r="913" spans="1:6" x14ac:dyDescent="0.25">
      <c r="A913" s="1" t="str">
        <f t="shared" si="37"/>
        <v>11180</v>
      </c>
      <c r="B913" s="1" t="str">
        <f>"50530"</f>
        <v>50530</v>
      </c>
      <c r="C913" s="2">
        <v>1.82394004211643E-4</v>
      </c>
      <c r="D913" s="2">
        <v>0</v>
      </c>
      <c r="E913" s="2">
        <v>0</v>
      </c>
      <c r="F913" s="2">
        <v>1.5843067217813299E-4</v>
      </c>
    </row>
    <row r="914" spans="1:6" x14ac:dyDescent="0.25">
      <c r="A914" s="1" t="str">
        <f t="shared" si="37"/>
        <v>11180</v>
      </c>
      <c r="B914" s="1" t="str">
        <f>"50217"</f>
        <v>50217</v>
      </c>
      <c r="C914" s="2">
        <v>2.9846291598268899E-4</v>
      </c>
      <c r="D914" s="2">
        <v>1.9029495718363401E-4</v>
      </c>
      <c r="E914" s="2">
        <v>0</v>
      </c>
      <c r="F914" s="2">
        <v>2.7365297921677601E-4</v>
      </c>
    </row>
    <row r="915" spans="1:6" x14ac:dyDescent="0.25">
      <c r="A915" s="1" t="str">
        <f t="shared" si="37"/>
        <v>11180</v>
      </c>
      <c r="B915" s="1" t="str">
        <f>"50152"</f>
        <v>50152</v>
      </c>
      <c r="C915" s="2">
        <v>9.1197002105821595E-4</v>
      </c>
      <c r="D915" s="2">
        <v>1.9029495718363401E-4</v>
      </c>
      <c r="E915" s="2">
        <v>5.1719679337988104E-4</v>
      </c>
      <c r="F915" s="2">
        <v>8.3536172603015902E-4</v>
      </c>
    </row>
    <row r="916" spans="1:6" x14ac:dyDescent="0.25">
      <c r="A916" s="1" t="str">
        <f t="shared" si="37"/>
        <v>11180</v>
      </c>
      <c r="B916" s="1" t="str">
        <f>"50244"</f>
        <v>50244</v>
      </c>
      <c r="C916" s="2">
        <v>1.21209106435192E-2</v>
      </c>
      <c r="D916" s="2">
        <v>3.61560418648905E-3</v>
      </c>
      <c r="E916" s="2">
        <v>4.6547711404189198E-3</v>
      </c>
      <c r="F916" s="2">
        <v>1.1061341475709601E-2</v>
      </c>
    </row>
    <row r="917" spans="1:6" x14ac:dyDescent="0.25">
      <c r="A917" s="1" t="str">
        <f t="shared" si="37"/>
        <v>11180</v>
      </c>
      <c r="B917" s="1" t="str">
        <f>"50201"</f>
        <v>50201</v>
      </c>
      <c r="C917" s="2">
        <v>6.9873484886169498E-2</v>
      </c>
      <c r="D917" s="2">
        <v>6.1845861084681202E-2</v>
      </c>
      <c r="E917" s="2">
        <v>4.8616498577708799E-2</v>
      </c>
      <c r="F917" s="2">
        <v>6.8081980671457903E-2</v>
      </c>
    </row>
    <row r="918" spans="1:6" x14ac:dyDescent="0.25">
      <c r="A918" s="1" t="str">
        <f t="shared" si="37"/>
        <v>11180</v>
      </c>
      <c r="B918" s="1" t="str">
        <f>"50247"</f>
        <v>50247</v>
      </c>
      <c r="C918" s="2">
        <v>2.9846291598268899E-4</v>
      </c>
      <c r="D918" s="2">
        <v>0</v>
      </c>
      <c r="E918" s="2">
        <v>0</v>
      </c>
      <c r="F918" s="2">
        <v>2.59250190836946E-4</v>
      </c>
    </row>
    <row r="919" spans="1:6" x14ac:dyDescent="0.25">
      <c r="A919" s="1" t="str">
        <f t="shared" si="37"/>
        <v>11180</v>
      </c>
      <c r="B919" s="1" t="str">
        <f>"50156"</f>
        <v>50156</v>
      </c>
      <c r="C919" s="2">
        <v>3.11230496277504E-2</v>
      </c>
      <c r="D919" s="2">
        <v>2.01712654614652E-2</v>
      </c>
      <c r="E919" s="2">
        <v>1.78432893716058E-2</v>
      </c>
      <c r="F919" s="2">
        <v>2.9554521755411799E-2</v>
      </c>
    </row>
    <row r="920" spans="1:6" x14ac:dyDescent="0.25">
      <c r="A920" s="1" t="str">
        <f t="shared" si="37"/>
        <v>11180</v>
      </c>
      <c r="B920" s="1" t="str">
        <f>"50134"</f>
        <v>50134</v>
      </c>
      <c r="C920" s="2">
        <v>4.7919879288331703E-3</v>
      </c>
      <c r="D920" s="2">
        <v>2.6641294005708802E-3</v>
      </c>
      <c r="E920" s="2">
        <v>1.2929919834497E-3</v>
      </c>
      <c r="F920" s="2">
        <v>4.4360588209877401E-3</v>
      </c>
    </row>
    <row r="921" spans="1:6" x14ac:dyDescent="0.25">
      <c r="A921" s="1" t="str">
        <f t="shared" si="37"/>
        <v>11180</v>
      </c>
      <c r="B921" s="1" t="str">
        <f>"50235"</f>
        <v>50235</v>
      </c>
      <c r="C921" s="2">
        <v>1.4923145799134401E-4</v>
      </c>
      <c r="D921" s="2">
        <v>1.9029495718363401E-4</v>
      </c>
      <c r="E921" s="2">
        <v>0</v>
      </c>
      <c r="F921" s="2">
        <v>1.4402788379830301E-4</v>
      </c>
    </row>
    <row r="922" spans="1:6" x14ac:dyDescent="0.25">
      <c r="A922" s="1" t="str">
        <f t="shared" si="37"/>
        <v>11180</v>
      </c>
      <c r="B922" s="1" t="str">
        <f>"50212"</f>
        <v>50212</v>
      </c>
      <c r="C922" s="2">
        <v>2.5087466215655999E-2</v>
      </c>
      <c r="D922" s="2">
        <v>9.5147478591817297E-3</v>
      </c>
      <c r="E922" s="2">
        <v>9.30954228083785E-3</v>
      </c>
      <c r="F922" s="2">
        <v>2.30300586193487E-2</v>
      </c>
    </row>
    <row r="923" spans="1:6" x14ac:dyDescent="0.25">
      <c r="A923" s="1" t="str">
        <f t="shared" si="37"/>
        <v>11180</v>
      </c>
      <c r="B923" s="1" t="str">
        <f>"50248"</f>
        <v>50248</v>
      </c>
      <c r="C923" s="2">
        <v>3.2565620388333397E-2</v>
      </c>
      <c r="D923" s="2">
        <v>3.5965746907706903E-2</v>
      </c>
      <c r="E923" s="2">
        <v>2.4308249288854399E-2</v>
      </c>
      <c r="F923" s="2">
        <v>3.2363065489478697E-2</v>
      </c>
    </row>
    <row r="924" spans="1:6" x14ac:dyDescent="0.25">
      <c r="A924" s="1" t="str">
        <f t="shared" si="37"/>
        <v>11180</v>
      </c>
      <c r="B924" s="1" t="str">
        <f>"50161"</f>
        <v>50161</v>
      </c>
      <c r="C924" s="2">
        <v>1.2071166824188699E-2</v>
      </c>
      <c r="D924" s="2">
        <v>1.7126546146527099E-3</v>
      </c>
      <c r="E924" s="2">
        <v>3.1031807602792802E-3</v>
      </c>
      <c r="F924" s="2">
        <v>1.0787688496492901E-2</v>
      </c>
    </row>
    <row r="925" spans="1:6" x14ac:dyDescent="0.25">
      <c r="A925" s="1" t="str">
        <f t="shared" si="37"/>
        <v>11180</v>
      </c>
      <c r="B925" s="1" t="str">
        <f>"50036"</f>
        <v>50036</v>
      </c>
      <c r="C925" s="2">
        <v>0.14004543268832101</v>
      </c>
      <c r="D925" s="2">
        <v>0.144814462416745</v>
      </c>
      <c r="E925" s="2">
        <v>8.3010085337470896E-2</v>
      </c>
      <c r="F925" s="2">
        <v>0.137229767683023</v>
      </c>
    </row>
    <row r="926" spans="1:6" x14ac:dyDescent="0.25">
      <c r="A926" s="1" t="str">
        <f t="shared" si="37"/>
        <v>11180</v>
      </c>
      <c r="B926" s="1" t="str">
        <f>"50013"</f>
        <v>50013</v>
      </c>
      <c r="C926" s="2">
        <v>1.9980434097729999E-2</v>
      </c>
      <c r="D926" s="2">
        <v>7.6117982873453798E-4</v>
      </c>
      <c r="E926" s="2">
        <v>4.1375743470390396E-3</v>
      </c>
      <c r="F926" s="2">
        <v>1.76434157652921E-2</v>
      </c>
    </row>
    <row r="927" spans="1:6" x14ac:dyDescent="0.25">
      <c r="A927" s="1" t="str">
        <f t="shared" si="37"/>
        <v>11180</v>
      </c>
      <c r="B927" s="1" t="str">
        <f>"50226"</f>
        <v>50226</v>
      </c>
      <c r="C927" s="2">
        <v>4.97438193304481E-5</v>
      </c>
      <c r="D927" s="2">
        <v>1.9029495718363401E-4</v>
      </c>
      <c r="E927" s="2">
        <v>0</v>
      </c>
      <c r="F927" s="2">
        <v>5.76111535193213E-5</v>
      </c>
    </row>
    <row r="928" spans="1:6" x14ac:dyDescent="0.25">
      <c r="A928" s="1" t="str">
        <f t="shared" si="37"/>
        <v>11180</v>
      </c>
      <c r="B928" s="1" t="str">
        <f>"50039"</f>
        <v>50039</v>
      </c>
      <c r="C928" s="2">
        <v>9.9487638660896295E-5</v>
      </c>
      <c r="D928" s="2">
        <v>0</v>
      </c>
      <c r="E928" s="2">
        <v>0</v>
      </c>
      <c r="F928" s="2">
        <v>8.6416730278982001E-5</v>
      </c>
    </row>
    <row r="929" spans="1:6" x14ac:dyDescent="0.25">
      <c r="A929" s="1" t="str">
        <f t="shared" si="37"/>
        <v>11180</v>
      </c>
      <c r="B929" s="1" t="str">
        <f>"50206"</f>
        <v>50206</v>
      </c>
      <c r="C929" s="2">
        <v>1.16068911771045E-4</v>
      </c>
      <c r="D929" s="2">
        <v>0</v>
      </c>
      <c r="E929" s="2">
        <v>0</v>
      </c>
      <c r="F929" s="2">
        <v>1.00819518658812E-4</v>
      </c>
    </row>
    <row r="930" spans="1:6" x14ac:dyDescent="0.25">
      <c r="A930" s="1" t="str">
        <f t="shared" si="37"/>
        <v>11180</v>
      </c>
      <c r="B930" s="1" t="str">
        <f>"50031"</f>
        <v>50031</v>
      </c>
      <c r="C930" s="2">
        <v>2.81881642872539E-4</v>
      </c>
      <c r="D930" s="2">
        <v>1.9029495718363401E-4</v>
      </c>
      <c r="E930" s="2">
        <v>2.5859839668993998E-4</v>
      </c>
      <c r="F930" s="2">
        <v>2.7365297921677601E-4</v>
      </c>
    </row>
    <row r="931" spans="1:6" x14ac:dyDescent="0.25">
      <c r="A931" s="1" t="str">
        <f t="shared" si="37"/>
        <v>11180</v>
      </c>
      <c r="B931" s="1" t="str">
        <f>"50249"</f>
        <v>50249</v>
      </c>
      <c r="C931" s="2">
        <v>5.1401946641463098E-4</v>
      </c>
      <c r="D931" s="2">
        <v>0</v>
      </c>
      <c r="E931" s="2">
        <v>0</v>
      </c>
      <c r="F931" s="2">
        <v>4.4648643977474001E-4</v>
      </c>
    </row>
    <row r="932" spans="1:6" x14ac:dyDescent="0.25">
      <c r="A932" s="1" t="str">
        <f t="shared" si="37"/>
        <v>11180</v>
      </c>
      <c r="B932" s="1" t="str">
        <f>"50243"</f>
        <v>50243</v>
      </c>
      <c r="C932" s="2">
        <v>1.0612014790495599E-3</v>
      </c>
      <c r="D932" s="2">
        <v>0</v>
      </c>
      <c r="E932" s="2">
        <v>0</v>
      </c>
      <c r="F932" s="2">
        <v>9.2177845630914102E-4</v>
      </c>
    </row>
    <row r="933" spans="1:6" x14ac:dyDescent="0.25">
      <c r="A933" s="1" t="str">
        <f t="shared" si="37"/>
        <v>11180</v>
      </c>
      <c r="B933" s="1" t="str">
        <f>"50055"</f>
        <v>50055</v>
      </c>
      <c r="C933" s="2">
        <v>6.5496028785090102E-3</v>
      </c>
      <c r="D933" s="2">
        <v>5.7088487155090297E-4</v>
      </c>
      <c r="E933" s="2">
        <v>3.8789759503491E-3</v>
      </c>
      <c r="F933" s="2">
        <v>5.94835160086992E-3</v>
      </c>
    </row>
    <row r="934" spans="1:6" x14ac:dyDescent="0.25">
      <c r="A934" s="1" t="str">
        <f t="shared" si="37"/>
        <v>11180</v>
      </c>
      <c r="B934" s="1" t="str">
        <f>"50046"</f>
        <v>50046</v>
      </c>
      <c r="C934" s="2">
        <v>9.7000447694373902E-3</v>
      </c>
      <c r="D934" s="2">
        <v>2.4738344433872499E-3</v>
      </c>
      <c r="E934" s="2">
        <v>1.8101887768295799E-3</v>
      </c>
      <c r="F934" s="2">
        <v>8.7136869697973501E-3</v>
      </c>
    </row>
    <row r="935" spans="1:6" x14ac:dyDescent="0.25">
      <c r="A935" s="1" t="str">
        <f t="shared" si="37"/>
        <v>11180</v>
      </c>
      <c r="B935" s="1" t="str">
        <f>"50012"</f>
        <v>50012</v>
      </c>
      <c r="C935" s="2">
        <v>0</v>
      </c>
      <c r="D935" s="2">
        <v>1.1417697431018001E-3</v>
      </c>
      <c r="E935" s="2">
        <v>2.5859839668993998E-4</v>
      </c>
      <c r="F935" s="2">
        <v>1.00819518658812E-4</v>
      </c>
    </row>
    <row r="936" spans="1:6" x14ac:dyDescent="0.25">
      <c r="A936" s="1" t="str">
        <f t="shared" si="37"/>
        <v>11180</v>
      </c>
      <c r="B936" s="1" t="str">
        <f>"50239"</f>
        <v>50239</v>
      </c>
      <c r="C936" s="2">
        <v>1.4923145799134401E-4</v>
      </c>
      <c r="D936" s="2">
        <v>0</v>
      </c>
      <c r="E936" s="2">
        <v>0</v>
      </c>
      <c r="F936" s="2">
        <v>1.29625095418473E-4</v>
      </c>
    </row>
    <row r="937" spans="1:6" x14ac:dyDescent="0.25">
      <c r="A937" s="1" t="str">
        <f t="shared" si="37"/>
        <v>11180</v>
      </c>
      <c r="B937" s="1" t="str">
        <f>"50236"</f>
        <v>50236</v>
      </c>
      <c r="C937" s="2">
        <v>1.1722960088875601E-2</v>
      </c>
      <c r="D937" s="2">
        <v>1.1417697431018001E-3</v>
      </c>
      <c r="E937" s="2">
        <v>3.6203775536591599E-3</v>
      </c>
      <c r="F937" s="2">
        <v>1.04708271521366E-2</v>
      </c>
    </row>
    <row r="938" spans="1:6" x14ac:dyDescent="0.25">
      <c r="A938" s="1" t="str">
        <f t="shared" si="37"/>
        <v>11180</v>
      </c>
      <c r="B938" s="1" t="str">
        <f>"50278"</f>
        <v>50278</v>
      </c>
      <c r="C938" s="2">
        <v>6.4666965129582601E-3</v>
      </c>
      <c r="D938" s="2">
        <v>2.0932445290199799E-3</v>
      </c>
      <c r="E938" s="2">
        <v>1.8101887768295799E-3</v>
      </c>
      <c r="F938" s="2">
        <v>5.87633765897077E-3</v>
      </c>
    </row>
    <row r="939" spans="1:6" x14ac:dyDescent="0.25">
      <c r="A939" s="1" t="str">
        <f t="shared" si="37"/>
        <v>11180</v>
      </c>
      <c r="B939" s="1" t="str">
        <f>"50223"</f>
        <v>50223</v>
      </c>
      <c r="C939" s="2">
        <v>3.1836044371486801E-3</v>
      </c>
      <c r="D939" s="2">
        <v>1.9029495718363401E-4</v>
      </c>
      <c r="E939" s="2">
        <v>7.7579519006982102E-4</v>
      </c>
      <c r="F939" s="2">
        <v>2.8229465224467402E-3</v>
      </c>
    </row>
    <row r="940" spans="1:6" x14ac:dyDescent="0.25">
      <c r="A940" s="1" t="str">
        <f t="shared" ref="A940:A959" si="38">"11220"</f>
        <v>11220</v>
      </c>
      <c r="B940" s="1" t="str">
        <f>"13317"</f>
        <v>13317</v>
      </c>
      <c r="C940" s="2">
        <v>7.2642310960067902E-2</v>
      </c>
      <c r="D940" s="2">
        <v>7.3241061130334406E-2</v>
      </c>
      <c r="E940" s="2">
        <v>0.102928127772848</v>
      </c>
      <c r="F940" s="2">
        <v>7.3974470663990002E-2</v>
      </c>
    </row>
    <row r="941" spans="1:6" x14ac:dyDescent="0.25">
      <c r="A941" s="1" t="str">
        <f t="shared" si="38"/>
        <v>11220</v>
      </c>
      <c r="B941" s="1" t="str">
        <f>"12068"</f>
        <v>12068</v>
      </c>
      <c r="C941" s="2">
        <v>5.1614273576890302E-2</v>
      </c>
      <c r="D941" s="2">
        <v>3.9215686274509803E-2</v>
      </c>
      <c r="E941" s="2">
        <v>1.41969831410825E-2</v>
      </c>
      <c r="F941" s="2">
        <v>4.9202681716601603E-2</v>
      </c>
    </row>
    <row r="942" spans="1:6" x14ac:dyDescent="0.25">
      <c r="A942" s="1" t="str">
        <f t="shared" si="38"/>
        <v>11220</v>
      </c>
      <c r="B942" s="1" t="str">
        <f>"12072"</f>
        <v>12072</v>
      </c>
      <c r="C942" s="2">
        <v>5.1529311809685598E-2</v>
      </c>
      <c r="D942" s="2">
        <v>2.9988465974625102E-2</v>
      </c>
      <c r="E942" s="2">
        <v>1.0647737355811799E-2</v>
      </c>
      <c r="F942" s="2">
        <v>4.8369379947729198E-2</v>
      </c>
    </row>
    <row r="943" spans="1:6" x14ac:dyDescent="0.25">
      <c r="A943" s="1" t="str">
        <f t="shared" si="38"/>
        <v>11220</v>
      </c>
      <c r="B943" s="1" t="str">
        <f>"13339"</f>
        <v>13339</v>
      </c>
      <c r="C943" s="2">
        <v>0.108241291418861</v>
      </c>
      <c r="D943" s="2">
        <v>9.5155709342560499E-2</v>
      </c>
      <c r="E943" s="2">
        <v>9.4055013309671601E-2</v>
      </c>
      <c r="F943" s="2">
        <v>0.10677625847505701</v>
      </c>
    </row>
    <row r="944" spans="1:6" x14ac:dyDescent="0.25">
      <c r="A944" s="1" t="str">
        <f t="shared" si="38"/>
        <v>11220</v>
      </c>
      <c r="B944" s="1" t="str">
        <f>"12166"</f>
        <v>12166</v>
      </c>
      <c r="C944" s="2">
        <v>2.8887000849617601E-2</v>
      </c>
      <c r="D944" s="2">
        <v>9.2272202998846496E-3</v>
      </c>
      <c r="E944" s="2">
        <v>8.8731144631765699E-4</v>
      </c>
      <c r="F944" s="2">
        <v>2.6400515132002499E-2</v>
      </c>
    </row>
    <row r="945" spans="1:6" x14ac:dyDescent="0.25">
      <c r="A945" s="1" t="str">
        <f t="shared" si="38"/>
        <v>11220</v>
      </c>
      <c r="B945" s="1" t="str">
        <f>"13452"</f>
        <v>13452</v>
      </c>
      <c r="C945" s="2">
        <v>5.17417162276975E-2</v>
      </c>
      <c r="D945" s="2">
        <v>4.9019607843137199E-2</v>
      </c>
      <c r="E945" s="2">
        <v>3.2830523513753297E-2</v>
      </c>
      <c r="F945" s="2">
        <v>5.0755653194954703E-2</v>
      </c>
    </row>
    <row r="946" spans="1:6" x14ac:dyDescent="0.25">
      <c r="A946" s="1" t="str">
        <f t="shared" si="38"/>
        <v>11220</v>
      </c>
      <c r="B946" s="1" t="str">
        <f>"13410"</f>
        <v>13410</v>
      </c>
      <c r="C946" s="2">
        <v>6.9668649107901401E-3</v>
      </c>
      <c r="D946" s="2">
        <v>0</v>
      </c>
      <c r="E946" s="2">
        <v>7.9858030168589098E-3</v>
      </c>
      <c r="F946" s="2">
        <v>6.5527820915874304E-3</v>
      </c>
    </row>
    <row r="947" spans="1:6" x14ac:dyDescent="0.25">
      <c r="A947" s="1" t="str">
        <f t="shared" si="38"/>
        <v>11220</v>
      </c>
      <c r="B947" s="1" t="str">
        <f>"12069"</f>
        <v>12069</v>
      </c>
      <c r="C947" s="2">
        <v>2.803738317757E-3</v>
      </c>
      <c r="D947" s="2">
        <v>0</v>
      </c>
      <c r="E947" s="2">
        <v>1.7746228926353101E-3</v>
      </c>
      <c r="F947" s="2">
        <v>2.5756600128783E-3</v>
      </c>
    </row>
    <row r="948" spans="1:6" x14ac:dyDescent="0.25">
      <c r="A948" s="1" t="str">
        <f t="shared" si="38"/>
        <v>11220</v>
      </c>
      <c r="B948" s="1" t="str">
        <f>"13428"</f>
        <v>13428</v>
      </c>
      <c r="C948" s="2">
        <v>2.4001699235343999E-2</v>
      </c>
      <c r="D948" s="2">
        <v>2.24913494809688E-2</v>
      </c>
      <c r="E948" s="2">
        <v>1.5084294587400101E-2</v>
      </c>
      <c r="F948" s="2">
        <v>2.3521836294079699E-2</v>
      </c>
    </row>
    <row r="949" spans="1:6" x14ac:dyDescent="0.25">
      <c r="A949" s="1" t="str">
        <f t="shared" si="38"/>
        <v>11220</v>
      </c>
      <c r="B949" s="1" t="str">
        <f>"13320"</f>
        <v>13320</v>
      </c>
      <c r="C949" s="2">
        <v>6.7969413763806197E-4</v>
      </c>
      <c r="D949" s="2">
        <v>0</v>
      </c>
      <c r="E949" s="2">
        <v>0</v>
      </c>
      <c r="F949" s="2">
        <v>6.0603765008901097E-4</v>
      </c>
    </row>
    <row r="950" spans="1:6" x14ac:dyDescent="0.25">
      <c r="A950" s="1" t="str">
        <f t="shared" si="38"/>
        <v>11220</v>
      </c>
      <c r="B950" s="1" t="str">
        <f>"13459"</f>
        <v>13459</v>
      </c>
      <c r="C950" s="2">
        <v>1.5293118096856399E-3</v>
      </c>
      <c r="D950" s="2">
        <v>0</v>
      </c>
      <c r="E950" s="2">
        <v>0</v>
      </c>
      <c r="F950" s="2">
        <v>1.36358471270027E-3</v>
      </c>
    </row>
    <row r="951" spans="1:6" x14ac:dyDescent="0.25">
      <c r="A951" s="1" t="str">
        <f t="shared" si="38"/>
        <v>11220</v>
      </c>
      <c r="B951" s="1" t="str">
        <f>"12053"</f>
        <v>12053</v>
      </c>
      <c r="C951" s="2">
        <v>2.0815632965165598E-3</v>
      </c>
      <c r="D951" s="2">
        <v>0</v>
      </c>
      <c r="E951" s="2">
        <v>0</v>
      </c>
      <c r="F951" s="2">
        <v>1.8559903033975901E-3</v>
      </c>
    </row>
    <row r="952" spans="1:6" x14ac:dyDescent="0.25">
      <c r="A952" s="1" t="str">
        <f t="shared" si="38"/>
        <v>11220</v>
      </c>
      <c r="B952" s="1" t="str">
        <f>"12177"</f>
        <v>12177</v>
      </c>
      <c r="C952" s="2">
        <v>8.2412914188615093E-3</v>
      </c>
      <c r="D952" s="2">
        <v>0</v>
      </c>
      <c r="E952" s="2">
        <v>5.3238686779059404E-3</v>
      </c>
      <c r="F952" s="2">
        <v>7.57547062611264E-3</v>
      </c>
    </row>
    <row r="953" spans="1:6" x14ac:dyDescent="0.25">
      <c r="A953" s="1" t="str">
        <f t="shared" si="38"/>
        <v>11220</v>
      </c>
      <c r="B953" s="1" t="str">
        <f>"12160"</f>
        <v>12160</v>
      </c>
      <c r="C953" s="2">
        <v>1.2744265080713601E-3</v>
      </c>
      <c r="D953" s="2">
        <v>0</v>
      </c>
      <c r="E953" s="2">
        <v>1.7746228926353101E-3</v>
      </c>
      <c r="F953" s="2">
        <v>1.21207530017802E-3</v>
      </c>
    </row>
    <row r="954" spans="1:6" x14ac:dyDescent="0.25">
      <c r="A954" s="1" t="str">
        <f t="shared" si="38"/>
        <v>11220</v>
      </c>
      <c r="B954" s="1" t="str">
        <f>"12086"</f>
        <v>12086</v>
      </c>
      <c r="C954" s="2">
        <v>2.3576890399320299E-2</v>
      </c>
      <c r="D954" s="2">
        <v>4.6136101499423196E-3</v>
      </c>
      <c r="E954" s="2">
        <v>1.0647737355811799E-2</v>
      </c>
      <c r="F954" s="2">
        <v>2.1779478050073801E-2</v>
      </c>
    </row>
    <row r="955" spans="1:6" x14ac:dyDescent="0.25">
      <c r="A955" s="1" t="str">
        <f t="shared" si="38"/>
        <v>11220</v>
      </c>
      <c r="B955" s="1" t="str">
        <f>"12095"</f>
        <v>12095</v>
      </c>
      <c r="C955" s="2">
        <v>7.73152081563296E-3</v>
      </c>
      <c r="D955" s="2">
        <v>5.7670126874279099E-3</v>
      </c>
      <c r="E955" s="2">
        <v>0</v>
      </c>
      <c r="F955" s="2">
        <v>7.2724518010681399E-3</v>
      </c>
    </row>
    <row r="956" spans="1:6" x14ac:dyDescent="0.25">
      <c r="A956" s="1" t="str">
        <f t="shared" si="38"/>
        <v>11220</v>
      </c>
      <c r="B956" s="1" t="str">
        <f>"12066"</f>
        <v>12066</v>
      </c>
      <c r="C956" s="2">
        <v>1.24044180118946E-2</v>
      </c>
      <c r="D956" s="2">
        <v>1.1534025374855799E-3</v>
      </c>
      <c r="E956" s="2">
        <v>0</v>
      </c>
      <c r="F956" s="2">
        <v>1.1135941820385501E-2</v>
      </c>
    </row>
    <row r="957" spans="1:6" x14ac:dyDescent="0.25">
      <c r="A957" s="1" t="str">
        <f t="shared" si="38"/>
        <v>11220</v>
      </c>
      <c r="B957" s="1" t="str">
        <f>"12010"</f>
        <v>12010</v>
      </c>
      <c r="C957" s="2">
        <v>0.51932880203908205</v>
      </c>
      <c r="D957" s="2">
        <v>0.66435986159169502</v>
      </c>
      <c r="E957" s="2">
        <v>0.69387755102040805</v>
      </c>
      <c r="F957" s="2">
        <v>0.53630544297564398</v>
      </c>
    </row>
    <row r="958" spans="1:6" x14ac:dyDescent="0.25">
      <c r="A958" s="1" t="str">
        <f t="shared" si="38"/>
        <v>11220</v>
      </c>
      <c r="B958" s="1" t="str">
        <f>"12070"</f>
        <v>12070</v>
      </c>
      <c r="C958" s="2">
        <v>1.7926932880203899E-2</v>
      </c>
      <c r="D958" s="2">
        <v>5.19031141868512E-3</v>
      </c>
      <c r="E958" s="2">
        <v>8.8731144631765699E-4</v>
      </c>
      <c r="F958" s="2">
        <v>1.6363016552403301E-2</v>
      </c>
    </row>
    <row r="959" spans="1:6" x14ac:dyDescent="0.25">
      <c r="A959" s="1" t="str">
        <f t="shared" si="38"/>
        <v>11220</v>
      </c>
      <c r="B959" s="1" t="str">
        <f>"12137"</f>
        <v>12137</v>
      </c>
      <c r="C959" s="2">
        <v>6.7969413763806202E-3</v>
      </c>
      <c r="D959" s="2">
        <v>5.7670126874279103E-4</v>
      </c>
      <c r="E959" s="2">
        <v>7.0984915705412498E-3</v>
      </c>
      <c r="F959" s="2">
        <v>6.4012726790651803E-3</v>
      </c>
    </row>
    <row r="960" spans="1:6" x14ac:dyDescent="0.25">
      <c r="A960" s="1" t="str">
        <f t="shared" ref="A960:A991" si="39">"11244"</f>
        <v>11244</v>
      </c>
      <c r="B960" s="1" t="str">
        <f>"92684"</f>
        <v>92684</v>
      </c>
      <c r="C960" s="2">
        <v>0</v>
      </c>
      <c r="D960" s="2">
        <v>0</v>
      </c>
      <c r="E960" s="2">
        <v>1.09409190371991E-3</v>
      </c>
      <c r="F960" s="2">
        <v>1.2828736369467601E-4</v>
      </c>
    </row>
    <row r="961" spans="1:6" x14ac:dyDescent="0.25">
      <c r="A961" s="1" t="str">
        <f t="shared" si="39"/>
        <v>11244</v>
      </c>
      <c r="B961" s="1" t="str">
        <f>"92864"</f>
        <v>92864</v>
      </c>
      <c r="C961" s="2">
        <v>0</v>
      </c>
      <c r="D961" s="2">
        <v>0</v>
      </c>
      <c r="E961" s="2">
        <v>1.09409190371991E-3</v>
      </c>
      <c r="F961" s="2">
        <v>1.2828736369467601E-4</v>
      </c>
    </row>
    <row r="962" spans="1:6" x14ac:dyDescent="0.25">
      <c r="A962" s="1" t="str">
        <f t="shared" si="39"/>
        <v>11244</v>
      </c>
      <c r="B962" s="1" t="str">
        <f>"92708"</f>
        <v>92708</v>
      </c>
      <c r="C962" s="2">
        <v>0</v>
      </c>
      <c r="D962" s="2">
        <v>9.3808630393996204E-4</v>
      </c>
      <c r="E962" s="2">
        <v>1.09409190371991E-3</v>
      </c>
      <c r="F962" s="2">
        <v>2.5657472738935201E-4</v>
      </c>
    </row>
    <row r="963" spans="1:6" x14ac:dyDescent="0.25">
      <c r="A963" s="1" t="str">
        <f t="shared" si="39"/>
        <v>11244</v>
      </c>
      <c r="B963" s="1" t="str">
        <f>"90720"</f>
        <v>90720</v>
      </c>
      <c r="C963" s="2">
        <v>8.5984522785898503E-3</v>
      </c>
      <c r="D963" s="2">
        <v>0</v>
      </c>
      <c r="E963" s="2">
        <v>1.09409190371991E-3</v>
      </c>
      <c r="F963" s="2">
        <v>6.5426555484284698E-3</v>
      </c>
    </row>
    <row r="964" spans="1:6" x14ac:dyDescent="0.25">
      <c r="A964" s="1" t="str">
        <f t="shared" si="39"/>
        <v>11244</v>
      </c>
      <c r="B964" s="1" t="str">
        <f>"92706"</f>
        <v>92706</v>
      </c>
      <c r="C964" s="2">
        <v>6.8787618228718797E-4</v>
      </c>
      <c r="D964" s="2">
        <v>0</v>
      </c>
      <c r="E964" s="2">
        <v>1.09409190371991E-3</v>
      </c>
      <c r="F964" s="2">
        <v>6.4143681847338E-4</v>
      </c>
    </row>
    <row r="965" spans="1:6" x14ac:dyDescent="0.25">
      <c r="A965" s="1" t="str">
        <f t="shared" si="39"/>
        <v>11244</v>
      </c>
      <c r="B965" s="1" t="str">
        <f>"90633"</f>
        <v>90633</v>
      </c>
      <c r="C965" s="2">
        <v>0</v>
      </c>
      <c r="D965" s="2">
        <v>0</v>
      </c>
      <c r="E965" s="2">
        <v>1.09409190371991E-3</v>
      </c>
      <c r="F965" s="2">
        <v>1.2828736369467601E-4</v>
      </c>
    </row>
    <row r="966" spans="1:6" x14ac:dyDescent="0.25">
      <c r="A966" s="1" t="str">
        <f t="shared" si="39"/>
        <v>11244</v>
      </c>
      <c r="B966" s="1" t="str">
        <f>"92704"</f>
        <v>92704</v>
      </c>
      <c r="C966" s="2">
        <v>2.7515047291487502E-3</v>
      </c>
      <c r="D966" s="2">
        <v>4.6904315196998102E-3</v>
      </c>
      <c r="E966" s="2">
        <v>8.7527352297592908E-3</v>
      </c>
      <c r="F966" s="2">
        <v>3.7203335471455998E-3</v>
      </c>
    </row>
    <row r="967" spans="1:6" x14ac:dyDescent="0.25">
      <c r="A967" s="1" t="str">
        <f t="shared" si="39"/>
        <v>11244</v>
      </c>
      <c r="B967" s="1" t="str">
        <f>"92707"</f>
        <v>92707</v>
      </c>
      <c r="C967" s="2">
        <v>0</v>
      </c>
      <c r="D967" s="2">
        <v>2.53283302063789E-2</v>
      </c>
      <c r="E967" s="2">
        <v>1.09409190371991E-3</v>
      </c>
      <c r="F967" s="2">
        <v>3.59204618345093E-3</v>
      </c>
    </row>
    <row r="968" spans="1:6" x14ac:dyDescent="0.25">
      <c r="A968" s="1" t="str">
        <f t="shared" si="39"/>
        <v>11244</v>
      </c>
      <c r="B968" s="1" t="str">
        <f>"92870"</f>
        <v>92870</v>
      </c>
      <c r="C968" s="2">
        <v>2.06362854686156E-3</v>
      </c>
      <c r="D968" s="2">
        <v>1.87617260787992E-3</v>
      </c>
      <c r="E968" s="2">
        <v>4.3763676148796402E-3</v>
      </c>
      <c r="F968" s="2">
        <v>2.30917254650416E-3</v>
      </c>
    </row>
    <row r="969" spans="1:6" x14ac:dyDescent="0.25">
      <c r="A969" s="1" t="str">
        <f t="shared" si="39"/>
        <v>11244</v>
      </c>
      <c r="B969" s="1" t="str">
        <f>"92648"</f>
        <v>92648</v>
      </c>
      <c r="C969" s="2">
        <v>2.1496130696474599E-2</v>
      </c>
      <c r="D969" s="2">
        <v>2.53283302063789E-2</v>
      </c>
      <c r="E969" s="2">
        <v>1.7505470459518498E-2</v>
      </c>
      <c r="F969" s="2">
        <v>2.1552277100705501E-2</v>
      </c>
    </row>
    <row r="970" spans="1:6" x14ac:dyDescent="0.25">
      <c r="A970" s="1" t="str">
        <f t="shared" si="39"/>
        <v>11244</v>
      </c>
      <c r="B970" s="1" t="str">
        <f>"92663"</f>
        <v>92663</v>
      </c>
      <c r="C970" s="2">
        <v>1.35855546001719E-2</v>
      </c>
      <c r="D970" s="2">
        <v>9.3808630393996204E-4</v>
      </c>
      <c r="E970" s="2">
        <v>4.48577680525164E-2</v>
      </c>
      <c r="F970" s="2">
        <v>1.55227710070558E-2</v>
      </c>
    </row>
    <row r="971" spans="1:6" x14ac:dyDescent="0.25">
      <c r="A971" s="1" t="str">
        <f t="shared" si="39"/>
        <v>11244</v>
      </c>
      <c r="B971" s="1" t="str">
        <f>"92624"</f>
        <v>92624</v>
      </c>
      <c r="C971" s="2">
        <v>3.4737747205503003E-2</v>
      </c>
      <c r="D971" s="2">
        <v>1.87617260787992E-3</v>
      </c>
      <c r="E971" s="2">
        <v>0.111597374179431</v>
      </c>
      <c r="F971" s="2">
        <v>3.9255933290570803E-2</v>
      </c>
    </row>
    <row r="972" spans="1:6" x14ac:dyDescent="0.25">
      <c r="A972" s="1" t="str">
        <f t="shared" si="39"/>
        <v>11244</v>
      </c>
      <c r="B972" s="1" t="str">
        <f>"92868"</f>
        <v>92868</v>
      </c>
      <c r="C972" s="2">
        <v>4.7979363714531299E-2</v>
      </c>
      <c r="D972" s="2">
        <v>6.56660412757973E-3</v>
      </c>
      <c r="E972" s="2">
        <v>8.7527352297592908E-3</v>
      </c>
      <c r="F972" s="2">
        <v>3.7716484926234702E-2</v>
      </c>
    </row>
    <row r="973" spans="1:6" x14ac:dyDescent="0.25">
      <c r="A973" s="1" t="str">
        <f t="shared" si="39"/>
        <v>11244</v>
      </c>
      <c r="B973" s="1" t="str">
        <f>"90631"</f>
        <v>90631</v>
      </c>
      <c r="C973" s="2">
        <v>1.8916595012897601E-3</v>
      </c>
      <c r="D973" s="2">
        <v>1.87617260787992E-3</v>
      </c>
      <c r="E973" s="2">
        <v>3.2822757111597299E-3</v>
      </c>
      <c r="F973" s="2">
        <v>2.05259781911481E-3</v>
      </c>
    </row>
    <row r="974" spans="1:6" x14ac:dyDescent="0.25">
      <c r="A974" s="1" t="str">
        <f t="shared" si="39"/>
        <v>11244</v>
      </c>
      <c r="B974" s="1" t="str">
        <f>"92886"</f>
        <v>92886</v>
      </c>
      <c r="C974" s="2">
        <v>3.7833190025795302E-3</v>
      </c>
      <c r="D974" s="2">
        <v>6.56660412757973E-3</v>
      </c>
      <c r="E974" s="2">
        <v>4.3763676148796402E-3</v>
      </c>
      <c r="F974" s="2">
        <v>4.2334830019243102E-3</v>
      </c>
    </row>
    <row r="975" spans="1:6" x14ac:dyDescent="0.25">
      <c r="A975" s="1" t="str">
        <f t="shared" si="39"/>
        <v>11244</v>
      </c>
      <c r="B975" s="1" t="str">
        <f>"92688"</f>
        <v>92688</v>
      </c>
      <c r="C975" s="2">
        <v>0</v>
      </c>
      <c r="D975" s="2">
        <v>5.6285178236397697E-3</v>
      </c>
      <c r="E975" s="2">
        <v>6.5645514223194703E-3</v>
      </c>
      <c r="F975" s="2">
        <v>1.53944836433611E-3</v>
      </c>
    </row>
    <row r="976" spans="1:6" x14ac:dyDescent="0.25">
      <c r="A976" s="1" t="str">
        <f t="shared" si="39"/>
        <v>11244</v>
      </c>
      <c r="B976" s="1" t="str">
        <f>"90680"</f>
        <v>90680</v>
      </c>
      <c r="C976" s="2">
        <v>3.6629406706792697E-2</v>
      </c>
      <c r="D976" s="2">
        <v>4.6904315196998102E-3</v>
      </c>
      <c r="E976" s="2">
        <v>5.4704595185995604E-3</v>
      </c>
      <c r="F976" s="2">
        <v>2.8608082103912701E-2</v>
      </c>
    </row>
    <row r="977" spans="1:6" x14ac:dyDescent="0.25">
      <c r="A977" s="1" t="str">
        <f t="shared" si="39"/>
        <v>11244</v>
      </c>
      <c r="B977" s="1" t="str">
        <f>"92804"</f>
        <v>92804</v>
      </c>
      <c r="C977" s="2">
        <v>1.3757523645743701E-3</v>
      </c>
      <c r="D977" s="2">
        <v>1.87617260787992E-3</v>
      </c>
      <c r="E977" s="2">
        <v>7.6586433260393801E-3</v>
      </c>
      <c r="F977" s="2">
        <v>2.1808851828094898E-3</v>
      </c>
    </row>
    <row r="978" spans="1:6" x14ac:dyDescent="0.25">
      <c r="A978" s="1" t="str">
        <f t="shared" si="39"/>
        <v>11244</v>
      </c>
      <c r="B978" s="1" t="str">
        <f>"92647"</f>
        <v>92647</v>
      </c>
      <c r="C978" s="2">
        <v>8.7704213241616494E-3</v>
      </c>
      <c r="D978" s="2">
        <v>1.40712945590994E-2</v>
      </c>
      <c r="E978" s="2">
        <v>1.7505470459518498E-2</v>
      </c>
      <c r="F978" s="2">
        <v>1.05195638229634E-2</v>
      </c>
    </row>
    <row r="979" spans="1:6" x14ac:dyDescent="0.25">
      <c r="A979" s="1" t="str">
        <f t="shared" si="39"/>
        <v>11244</v>
      </c>
      <c r="B979" s="1" t="str">
        <f>"92865"</f>
        <v>92865</v>
      </c>
      <c r="C979" s="2">
        <v>1.54772141014617E-3</v>
      </c>
      <c r="D979" s="2">
        <v>0</v>
      </c>
      <c r="E979" s="2">
        <v>3.1728665207877399E-2</v>
      </c>
      <c r="F979" s="2">
        <v>4.87491982039769E-3</v>
      </c>
    </row>
    <row r="980" spans="1:6" x14ac:dyDescent="0.25">
      <c r="A980" s="1" t="str">
        <f t="shared" si="39"/>
        <v>11244</v>
      </c>
      <c r="B980" s="1" t="str">
        <f>"92660"</f>
        <v>92660</v>
      </c>
      <c r="C980" s="2">
        <v>6.8787618228718797E-4</v>
      </c>
      <c r="D980" s="2">
        <v>2.90806754221388E-2</v>
      </c>
      <c r="E980" s="2">
        <v>9.8468271334792093E-3</v>
      </c>
      <c r="F980" s="2">
        <v>5.64464400256574E-3</v>
      </c>
    </row>
    <row r="981" spans="1:6" x14ac:dyDescent="0.25">
      <c r="A981" s="1" t="str">
        <f t="shared" si="39"/>
        <v>11244</v>
      </c>
      <c r="B981" s="1" t="str">
        <f>"92805"</f>
        <v>92805</v>
      </c>
      <c r="C981" s="2">
        <v>8.5640584694754898E-2</v>
      </c>
      <c r="D981" s="2">
        <v>1.1257035647279499E-2</v>
      </c>
      <c r="E981" s="2">
        <v>4.0481400437636698E-2</v>
      </c>
      <c r="F981" s="2">
        <v>7.01731879409878E-2</v>
      </c>
    </row>
    <row r="982" spans="1:6" x14ac:dyDescent="0.25">
      <c r="A982" s="1" t="str">
        <f t="shared" si="39"/>
        <v>11244</v>
      </c>
      <c r="B982" s="1" t="str">
        <f>"90621"</f>
        <v>90621</v>
      </c>
      <c r="C982" s="2">
        <v>8.4264832330180495E-3</v>
      </c>
      <c r="D982" s="2">
        <v>9.3808630393996204E-3</v>
      </c>
      <c r="E982" s="2">
        <v>2.0787746170678301E-2</v>
      </c>
      <c r="F982" s="2">
        <v>1.00064143681847E-2</v>
      </c>
    </row>
    <row r="983" spans="1:6" x14ac:dyDescent="0.25">
      <c r="A983" s="1" t="str">
        <f t="shared" si="39"/>
        <v>11244</v>
      </c>
      <c r="B983" s="1" t="str">
        <f>"92614"</f>
        <v>92614</v>
      </c>
      <c r="C983" s="2">
        <v>3.8177128116938901E-2</v>
      </c>
      <c r="D983" s="2">
        <v>1.40712945590994E-2</v>
      </c>
      <c r="E983" s="2">
        <v>4.3763676148796402E-3</v>
      </c>
      <c r="F983" s="2">
        <v>3.0917254650416899E-2</v>
      </c>
    </row>
    <row r="984" spans="1:6" x14ac:dyDescent="0.25">
      <c r="A984" s="1" t="str">
        <f t="shared" si="39"/>
        <v>11244</v>
      </c>
      <c r="B984" s="1" t="str">
        <f>"92782"</f>
        <v>92782</v>
      </c>
      <c r="C984" s="2">
        <v>0</v>
      </c>
      <c r="D984" s="2">
        <v>4.4090056285178203E-2</v>
      </c>
      <c r="E984" s="2">
        <v>1.2035010940918999E-2</v>
      </c>
      <c r="F984" s="2">
        <v>7.44066709429121E-3</v>
      </c>
    </row>
    <row r="985" spans="1:6" x14ac:dyDescent="0.25">
      <c r="A985" s="1" t="str">
        <f t="shared" si="39"/>
        <v>11244</v>
      </c>
      <c r="B985" s="1" t="str">
        <f>"92799"</f>
        <v>92799</v>
      </c>
      <c r="C985" s="2">
        <v>0</v>
      </c>
      <c r="D985" s="2">
        <v>0.25609756097560898</v>
      </c>
      <c r="E985" s="2">
        <v>1.09409190371991E-3</v>
      </c>
      <c r="F985" s="2">
        <v>3.5150737652341203E-2</v>
      </c>
    </row>
    <row r="986" spans="1:6" x14ac:dyDescent="0.25">
      <c r="A986" s="1" t="str">
        <f t="shared" si="39"/>
        <v>11244</v>
      </c>
      <c r="B986" s="1" t="str">
        <f>"92823"</f>
        <v>92823</v>
      </c>
      <c r="C986" s="2">
        <v>3.4393809114359399E-4</v>
      </c>
      <c r="D986" s="2">
        <v>0</v>
      </c>
      <c r="E986" s="2">
        <v>2.1881838074398201E-3</v>
      </c>
      <c r="F986" s="2">
        <v>5.1314945477870402E-4</v>
      </c>
    </row>
    <row r="987" spans="1:6" x14ac:dyDescent="0.25">
      <c r="A987" s="1" t="str">
        <f t="shared" si="39"/>
        <v>11244</v>
      </c>
      <c r="B987" s="1" t="str">
        <f>"92806"</f>
        <v>92806</v>
      </c>
      <c r="C987" s="2">
        <v>9.8022355975924298E-3</v>
      </c>
      <c r="D987" s="2">
        <v>6.56660412757973E-3</v>
      </c>
      <c r="E987" s="2">
        <v>1.09409190371991E-2</v>
      </c>
      <c r="F987" s="2">
        <v>9.4932649134060205E-3</v>
      </c>
    </row>
    <row r="988" spans="1:6" x14ac:dyDescent="0.25">
      <c r="A988" s="1" t="str">
        <f t="shared" si="39"/>
        <v>11244</v>
      </c>
      <c r="B988" s="1" t="str">
        <f>"92606"</f>
        <v>92606</v>
      </c>
      <c r="C988" s="2">
        <v>2.94067067927773E-2</v>
      </c>
      <c r="D988" s="2">
        <v>9.3808630393996204E-4</v>
      </c>
      <c r="E988" s="2">
        <v>1.09409190371991E-3</v>
      </c>
      <c r="F988" s="2">
        <v>2.21937139191789E-2</v>
      </c>
    </row>
    <row r="989" spans="1:6" x14ac:dyDescent="0.25">
      <c r="A989" s="1" t="str">
        <f t="shared" si="39"/>
        <v>11244</v>
      </c>
      <c r="B989" s="1" t="str">
        <f>"92617"</f>
        <v>92617</v>
      </c>
      <c r="C989" s="2">
        <v>7.1023215821152105E-2</v>
      </c>
      <c r="D989" s="2">
        <v>3.1894934333958701E-2</v>
      </c>
      <c r="E989" s="2">
        <v>9.8468271334792093E-3</v>
      </c>
      <c r="F989" s="2">
        <v>5.84990378447722E-2</v>
      </c>
    </row>
    <row r="990" spans="1:6" x14ac:dyDescent="0.25">
      <c r="A990" s="1" t="str">
        <f t="shared" si="39"/>
        <v>11244</v>
      </c>
      <c r="B990" s="1" t="str">
        <f>"92618"</f>
        <v>92618</v>
      </c>
      <c r="C990" s="2">
        <v>0.17351676698194299</v>
      </c>
      <c r="D990" s="2">
        <v>0.109756097560975</v>
      </c>
      <c r="E990" s="2">
        <v>1.7505470459518498E-2</v>
      </c>
      <c r="F990" s="2">
        <v>0.14650416933932001</v>
      </c>
    </row>
    <row r="991" spans="1:6" x14ac:dyDescent="0.25">
      <c r="A991" s="1" t="str">
        <f t="shared" si="39"/>
        <v>11244</v>
      </c>
      <c r="B991" s="1" t="str">
        <f>"92840"</f>
        <v>92840</v>
      </c>
      <c r="C991" s="2">
        <v>1.7196904557179701E-2</v>
      </c>
      <c r="D991" s="2">
        <v>9.3808630393996204E-4</v>
      </c>
      <c r="E991" s="2">
        <v>2.8446389496717701E-2</v>
      </c>
      <c r="F991" s="2">
        <v>1.62924951892238E-2</v>
      </c>
    </row>
    <row r="992" spans="1:6" x14ac:dyDescent="0.25">
      <c r="A992" s="1" t="str">
        <f t="shared" ref="A992:A1023" si="40">"11244"</f>
        <v>11244</v>
      </c>
      <c r="B992" s="1" t="str">
        <f>"92655"</f>
        <v>92655</v>
      </c>
      <c r="C992" s="2">
        <v>0</v>
      </c>
      <c r="D992" s="2">
        <v>1.87617260787992E-3</v>
      </c>
      <c r="E992" s="2">
        <v>0</v>
      </c>
      <c r="F992" s="2">
        <v>2.5657472738935201E-4</v>
      </c>
    </row>
    <row r="993" spans="1:6" x14ac:dyDescent="0.25">
      <c r="A993" s="1" t="str">
        <f t="shared" si="40"/>
        <v>11244</v>
      </c>
      <c r="B993" s="1" t="str">
        <f>"92637"</f>
        <v>92637</v>
      </c>
      <c r="C993" s="2">
        <v>6.8787618228718797E-4</v>
      </c>
      <c r="D993" s="2">
        <v>0</v>
      </c>
      <c r="E993" s="2">
        <v>2.0787746170678301E-2</v>
      </c>
      <c r="F993" s="2">
        <v>2.9506093649775398E-3</v>
      </c>
    </row>
    <row r="994" spans="1:6" x14ac:dyDescent="0.25">
      <c r="A994" s="1" t="str">
        <f t="shared" si="40"/>
        <v>11244</v>
      </c>
      <c r="B994" s="1" t="str">
        <f>"92869"</f>
        <v>92869</v>
      </c>
      <c r="C994" s="2">
        <v>1.7196904557179699E-3</v>
      </c>
      <c r="D994" s="2">
        <v>9.3808630393996204E-4</v>
      </c>
      <c r="E994" s="2">
        <v>8.7527352297592908E-3</v>
      </c>
      <c r="F994" s="2">
        <v>2.4374599101988398E-3</v>
      </c>
    </row>
    <row r="995" spans="1:6" x14ac:dyDescent="0.25">
      <c r="A995" s="1" t="str">
        <f t="shared" si="40"/>
        <v>11244</v>
      </c>
      <c r="B995" s="1" t="str">
        <f>"92841"</f>
        <v>92841</v>
      </c>
      <c r="C995" s="2">
        <v>2.5795356835769498E-3</v>
      </c>
      <c r="D995" s="2">
        <v>0</v>
      </c>
      <c r="E995" s="2">
        <v>3.2822757111597299E-3</v>
      </c>
      <c r="F995" s="2">
        <v>2.30917254650416E-3</v>
      </c>
    </row>
    <row r="996" spans="1:6" x14ac:dyDescent="0.25">
      <c r="A996" s="1" t="str">
        <f t="shared" si="40"/>
        <v>11244</v>
      </c>
      <c r="B996" s="1" t="str">
        <f>"92801"</f>
        <v>92801</v>
      </c>
      <c r="C996" s="2">
        <v>0</v>
      </c>
      <c r="D996" s="2">
        <v>3.7523452157598399E-3</v>
      </c>
      <c r="E996" s="2">
        <v>5.4704595185995604E-3</v>
      </c>
      <c r="F996" s="2">
        <v>1.15458627325208E-3</v>
      </c>
    </row>
    <row r="997" spans="1:6" x14ac:dyDescent="0.25">
      <c r="A997" s="1" t="str">
        <f t="shared" si="40"/>
        <v>11244</v>
      </c>
      <c r="B997" s="1" t="str">
        <f>"92662"</f>
        <v>92662</v>
      </c>
      <c r="C997" s="2">
        <v>3.4393809114359399E-4</v>
      </c>
      <c r="D997" s="2">
        <v>0</v>
      </c>
      <c r="E997" s="2">
        <v>2.1881838074398201E-3</v>
      </c>
      <c r="F997" s="2">
        <v>5.1314945477870402E-4</v>
      </c>
    </row>
    <row r="998" spans="1:6" x14ac:dyDescent="0.25">
      <c r="A998" s="1" t="str">
        <f t="shared" si="40"/>
        <v>11244</v>
      </c>
      <c r="B998" s="1" t="str">
        <f>"92808"</f>
        <v>92808</v>
      </c>
      <c r="C998" s="2">
        <v>0</v>
      </c>
      <c r="D998" s="2">
        <v>0</v>
      </c>
      <c r="E998" s="2">
        <v>1.09409190371991E-3</v>
      </c>
      <c r="F998" s="2">
        <v>1.2828736369467601E-4</v>
      </c>
    </row>
    <row r="999" spans="1:6" x14ac:dyDescent="0.25">
      <c r="A999" s="1" t="str">
        <f t="shared" si="40"/>
        <v>11244</v>
      </c>
      <c r="B999" s="1" t="str">
        <f>"92679"</f>
        <v>92679</v>
      </c>
      <c r="C999" s="2">
        <v>1.7196904557179699E-4</v>
      </c>
      <c r="D999" s="2">
        <v>0</v>
      </c>
      <c r="E999" s="2">
        <v>2.1881838074398201E-3</v>
      </c>
      <c r="F999" s="2">
        <v>3.8486209108402799E-4</v>
      </c>
    </row>
    <row r="1000" spans="1:6" x14ac:dyDescent="0.25">
      <c r="A1000" s="1" t="str">
        <f t="shared" si="40"/>
        <v>11244</v>
      </c>
      <c r="B1000" s="1" t="str">
        <f>"92620"</f>
        <v>92620</v>
      </c>
      <c r="C1000" s="2">
        <v>0</v>
      </c>
      <c r="D1000" s="2">
        <v>1.87617260787992E-3</v>
      </c>
      <c r="E1000" s="2">
        <v>2.1881838074398201E-3</v>
      </c>
      <c r="F1000" s="2">
        <v>5.1314945477870402E-4</v>
      </c>
    </row>
    <row r="1001" spans="1:6" x14ac:dyDescent="0.25">
      <c r="A1001" s="1" t="str">
        <f t="shared" si="40"/>
        <v>11244</v>
      </c>
      <c r="B1001" s="1" t="str">
        <f>"92844"</f>
        <v>92844</v>
      </c>
      <c r="C1001" s="2">
        <v>0</v>
      </c>
      <c r="D1001" s="2">
        <v>5.6285178236397697E-3</v>
      </c>
      <c r="E1001" s="2">
        <v>3.2822757111597299E-3</v>
      </c>
      <c r="F1001" s="2">
        <v>1.15458627325208E-3</v>
      </c>
    </row>
    <row r="1002" spans="1:6" x14ac:dyDescent="0.25">
      <c r="A1002" s="1" t="str">
        <f t="shared" si="40"/>
        <v>11244</v>
      </c>
      <c r="B1002" s="1" t="str">
        <f>"90721"</f>
        <v>90721</v>
      </c>
      <c r="C1002" s="2">
        <v>0</v>
      </c>
      <c r="D1002" s="2">
        <v>0</v>
      </c>
      <c r="E1002" s="2">
        <v>1.09409190371991E-3</v>
      </c>
      <c r="F1002" s="2">
        <v>1.2828736369467601E-4</v>
      </c>
    </row>
    <row r="1003" spans="1:6" x14ac:dyDescent="0.25">
      <c r="A1003" s="1" t="str">
        <f t="shared" si="40"/>
        <v>11244</v>
      </c>
      <c r="B1003" s="1" t="str">
        <f>"92603"</f>
        <v>92603</v>
      </c>
      <c r="C1003" s="2">
        <v>0</v>
      </c>
      <c r="D1003" s="2">
        <v>0</v>
      </c>
      <c r="E1003" s="2">
        <v>1.09409190371991E-3</v>
      </c>
      <c r="F1003" s="2">
        <v>1.2828736369467601E-4</v>
      </c>
    </row>
    <row r="1004" spans="1:6" x14ac:dyDescent="0.25">
      <c r="A1004" s="1" t="str">
        <f t="shared" si="40"/>
        <v>11244</v>
      </c>
      <c r="B1004" s="1" t="str">
        <f>"92657"</f>
        <v>92657</v>
      </c>
      <c r="C1004" s="2">
        <v>1.7196904557179699E-4</v>
      </c>
      <c r="D1004" s="2">
        <v>0</v>
      </c>
      <c r="E1004" s="2">
        <v>1.09409190371991E-3</v>
      </c>
      <c r="F1004" s="2">
        <v>2.5657472738935201E-4</v>
      </c>
    </row>
    <row r="1005" spans="1:6" x14ac:dyDescent="0.25">
      <c r="A1005" s="1" t="str">
        <f t="shared" si="40"/>
        <v>11244</v>
      </c>
      <c r="B1005" s="1" t="str">
        <f>"90620"</f>
        <v>90620</v>
      </c>
      <c r="C1005" s="2">
        <v>8.5984522785898497E-4</v>
      </c>
      <c r="D1005" s="2">
        <v>2.8142589118198801E-3</v>
      </c>
      <c r="E1005" s="2">
        <v>7.6586433260393801E-3</v>
      </c>
      <c r="F1005" s="2">
        <v>1.92431045542014E-3</v>
      </c>
    </row>
    <row r="1006" spans="1:6" x14ac:dyDescent="0.25">
      <c r="A1006" s="1" t="str">
        <f t="shared" si="40"/>
        <v>11244</v>
      </c>
      <c r="B1006" s="1" t="str">
        <f>"92675"</f>
        <v>92675</v>
      </c>
      <c r="C1006" s="2">
        <v>8.5984522785898497E-4</v>
      </c>
      <c r="D1006" s="2">
        <v>3.7523452157598399E-3</v>
      </c>
      <c r="E1006" s="2">
        <v>6.5645514223194703E-3</v>
      </c>
      <c r="F1006" s="2">
        <v>1.92431045542014E-3</v>
      </c>
    </row>
    <row r="1007" spans="1:6" x14ac:dyDescent="0.25">
      <c r="A1007" s="1" t="str">
        <f t="shared" si="40"/>
        <v>11244</v>
      </c>
      <c r="B1007" s="1" t="str">
        <f>"92807"</f>
        <v>92807</v>
      </c>
      <c r="C1007" s="2">
        <v>0</v>
      </c>
      <c r="D1007" s="2">
        <v>6.56660412757973E-3</v>
      </c>
      <c r="E1007" s="2">
        <v>3.2822757111597299E-3</v>
      </c>
      <c r="F1007" s="2">
        <v>1.28287363694676E-3</v>
      </c>
    </row>
    <row r="1008" spans="1:6" x14ac:dyDescent="0.25">
      <c r="A1008" s="1" t="str">
        <f t="shared" si="40"/>
        <v>11244</v>
      </c>
      <c r="B1008" s="1" t="str">
        <f>"92677"</f>
        <v>92677</v>
      </c>
      <c r="C1008" s="2">
        <v>1.7196904557179699E-4</v>
      </c>
      <c r="D1008" s="2">
        <v>6.56660412757973E-3</v>
      </c>
      <c r="E1008" s="2">
        <v>8.7527352297592908E-3</v>
      </c>
      <c r="F1008" s="2">
        <v>2.05259781911481E-3</v>
      </c>
    </row>
    <row r="1009" spans="1:6" x14ac:dyDescent="0.25">
      <c r="A1009" s="1" t="str">
        <f t="shared" si="40"/>
        <v>11244</v>
      </c>
      <c r="B1009" s="1" t="str">
        <f>"92612"</f>
        <v>92612</v>
      </c>
      <c r="C1009" s="2">
        <v>0</v>
      </c>
      <c r="D1009" s="2">
        <v>1.3133208255159399E-2</v>
      </c>
      <c r="E1009" s="2">
        <v>4.3763676148796402E-3</v>
      </c>
      <c r="F1009" s="2">
        <v>2.30917254650416E-3</v>
      </c>
    </row>
    <row r="1010" spans="1:6" x14ac:dyDescent="0.25">
      <c r="A1010" s="1" t="str">
        <f t="shared" si="40"/>
        <v>11244</v>
      </c>
      <c r="B1010" s="1" t="str">
        <f>"92694"</f>
        <v>92694</v>
      </c>
      <c r="C1010" s="2">
        <v>0</v>
      </c>
      <c r="D1010" s="2">
        <v>1.87617260787992E-3</v>
      </c>
      <c r="E1010" s="2">
        <v>1.09409190371991E-3</v>
      </c>
      <c r="F1010" s="2">
        <v>3.8486209108402799E-4</v>
      </c>
    </row>
    <row r="1011" spans="1:6" x14ac:dyDescent="0.25">
      <c r="A1011" s="1" t="str">
        <f t="shared" si="40"/>
        <v>11244</v>
      </c>
      <c r="B1011" s="1" t="str">
        <f>"92646"</f>
        <v>92646</v>
      </c>
      <c r="C1011" s="2">
        <v>0</v>
      </c>
      <c r="D1011" s="2">
        <v>5.6285178236397697E-3</v>
      </c>
      <c r="E1011" s="2">
        <v>5.4704595185995604E-3</v>
      </c>
      <c r="F1011" s="2">
        <v>1.41116100064143E-3</v>
      </c>
    </row>
    <row r="1012" spans="1:6" x14ac:dyDescent="0.25">
      <c r="A1012" s="1" t="str">
        <f t="shared" si="40"/>
        <v>11244</v>
      </c>
      <c r="B1012" s="1" t="str">
        <f>"92604"</f>
        <v>92604</v>
      </c>
      <c r="C1012" s="2">
        <v>0</v>
      </c>
      <c r="D1012" s="2">
        <v>5.6285178236397697E-3</v>
      </c>
      <c r="E1012" s="2">
        <v>1.09409190371991E-3</v>
      </c>
      <c r="F1012" s="2">
        <v>8.9801154586273196E-4</v>
      </c>
    </row>
    <row r="1013" spans="1:6" x14ac:dyDescent="0.25">
      <c r="A1013" s="1" t="str">
        <f t="shared" si="40"/>
        <v>11244</v>
      </c>
      <c r="B1013" s="1" t="str">
        <f>"92602"</f>
        <v>92602</v>
      </c>
      <c r="C1013" s="2">
        <v>5.5889939810833997E-2</v>
      </c>
      <c r="D1013" s="2">
        <v>2.0637898686679101E-2</v>
      </c>
      <c r="E1013" s="2">
        <v>0</v>
      </c>
      <c r="F1013" s="2">
        <v>4.4515715202052497E-2</v>
      </c>
    </row>
    <row r="1014" spans="1:6" x14ac:dyDescent="0.25">
      <c r="A1014" s="1" t="str">
        <f t="shared" si="40"/>
        <v>11244</v>
      </c>
      <c r="B1014" s="1" t="str">
        <f>"92683"</f>
        <v>92683</v>
      </c>
      <c r="C1014" s="2">
        <v>1.47893379191745E-2</v>
      </c>
      <c r="D1014" s="2">
        <v>3.7523452157598399E-3</v>
      </c>
      <c r="E1014" s="2">
        <v>5.1422319474835797E-2</v>
      </c>
      <c r="F1014" s="2">
        <v>1.7575368826170602E-2</v>
      </c>
    </row>
    <row r="1015" spans="1:6" x14ac:dyDescent="0.25">
      <c r="A1015" s="1" t="str">
        <f t="shared" si="40"/>
        <v>11244</v>
      </c>
      <c r="B1015" s="1" t="str">
        <f>"92703"</f>
        <v>92703</v>
      </c>
      <c r="C1015" s="2">
        <v>3.4393809114359399E-3</v>
      </c>
      <c r="D1015" s="2">
        <v>2.53283302063789E-2</v>
      </c>
      <c r="E1015" s="2">
        <v>1.2035010940918999E-2</v>
      </c>
      <c r="F1015" s="2">
        <v>7.44066709429121E-3</v>
      </c>
    </row>
    <row r="1016" spans="1:6" x14ac:dyDescent="0.25">
      <c r="A1016" s="1" t="str">
        <f t="shared" si="40"/>
        <v>11244</v>
      </c>
      <c r="B1016" s="1" t="str">
        <f>"90632"</f>
        <v>90632</v>
      </c>
      <c r="C1016" s="2">
        <v>0</v>
      </c>
      <c r="D1016" s="2">
        <v>0</v>
      </c>
      <c r="E1016" s="2">
        <v>1.09409190371991E-3</v>
      </c>
      <c r="F1016" s="2">
        <v>1.2828736369467601E-4</v>
      </c>
    </row>
    <row r="1017" spans="1:6" x14ac:dyDescent="0.25">
      <c r="A1017" s="1" t="str">
        <f t="shared" si="40"/>
        <v>11244</v>
      </c>
      <c r="B1017" s="1" t="str">
        <f>"92701"</f>
        <v>92701</v>
      </c>
      <c r="C1017" s="2">
        <v>9.1143594153052405E-3</v>
      </c>
      <c r="D1017" s="2">
        <v>2.53283302063789E-2</v>
      </c>
      <c r="E1017" s="2">
        <v>3.5010940919037101E-2</v>
      </c>
      <c r="F1017" s="2">
        <v>1.4368184733803699E-2</v>
      </c>
    </row>
    <row r="1018" spans="1:6" x14ac:dyDescent="0.25">
      <c r="A1018" s="1" t="str">
        <f t="shared" si="40"/>
        <v>11244</v>
      </c>
      <c r="B1018" s="1" t="str">
        <f>"92845"</f>
        <v>92845</v>
      </c>
      <c r="C1018" s="2">
        <v>0</v>
      </c>
      <c r="D1018" s="2">
        <v>0</v>
      </c>
      <c r="E1018" s="2">
        <v>1.09409190371991E-3</v>
      </c>
      <c r="F1018" s="2">
        <v>1.2828736369467601E-4</v>
      </c>
    </row>
    <row r="1019" spans="1:6" x14ac:dyDescent="0.25">
      <c r="A1019" s="1" t="str">
        <f t="shared" si="40"/>
        <v>11244</v>
      </c>
      <c r="B1019" s="1" t="str">
        <f>"92692"</f>
        <v>92692</v>
      </c>
      <c r="C1019" s="2">
        <v>0</v>
      </c>
      <c r="D1019" s="2">
        <v>0</v>
      </c>
      <c r="E1019" s="2">
        <v>4.3763676148796402E-3</v>
      </c>
      <c r="F1019" s="2">
        <v>5.1314945477870402E-4</v>
      </c>
    </row>
    <row r="1020" spans="1:6" x14ac:dyDescent="0.25">
      <c r="A1020" s="1" t="str">
        <f t="shared" si="40"/>
        <v>11244</v>
      </c>
      <c r="B1020" s="1" t="str">
        <f>"92862"</f>
        <v>92862</v>
      </c>
      <c r="C1020" s="2">
        <v>0</v>
      </c>
      <c r="D1020" s="2">
        <v>0</v>
      </c>
      <c r="E1020" s="2">
        <v>1.09409190371991E-3</v>
      </c>
      <c r="F1020" s="2">
        <v>1.2828736369467601E-4</v>
      </c>
    </row>
    <row r="1021" spans="1:6" x14ac:dyDescent="0.25">
      <c r="A1021" s="1" t="str">
        <f t="shared" si="40"/>
        <v>11244</v>
      </c>
      <c r="B1021" s="1" t="str">
        <f>"90623"</f>
        <v>90623</v>
      </c>
      <c r="C1021" s="2">
        <v>0</v>
      </c>
      <c r="D1021" s="2">
        <v>9.3808630393996204E-4</v>
      </c>
      <c r="E1021" s="2">
        <v>2.1881838074398201E-3</v>
      </c>
      <c r="F1021" s="2">
        <v>3.8486209108402799E-4</v>
      </c>
    </row>
    <row r="1022" spans="1:6" x14ac:dyDescent="0.25">
      <c r="A1022" s="1" t="str">
        <f t="shared" si="40"/>
        <v>11244</v>
      </c>
      <c r="B1022" s="1" t="str">
        <f>"92861"</f>
        <v>92861</v>
      </c>
      <c r="C1022" s="2">
        <v>1.7196904557179699E-4</v>
      </c>
      <c r="D1022" s="2">
        <v>0</v>
      </c>
      <c r="E1022" s="2">
        <v>2.1881838074398201E-3</v>
      </c>
      <c r="F1022" s="2">
        <v>3.8486209108402799E-4</v>
      </c>
    </row>
    <row r="1023" spans="1:6" x14ac:dyDescent="0.25">
      <c r="A1023" s="1" t="str">
        <f t="shared" si="40"/>
        <v>11244</v>
      </c>
      <c r="B1023" s="1" t="str">
        <f>"92626"</f>
        <v>92626</v>
      </c>
      <c r="C1023" s="2">
        <v>0</v>
      </c>
      <c r="D1023" s="2">
        <v>2.0637898686679101E-2</v>
      </c>
      <c r="E1023" s="2">
        <v>9.8468271334792093E-3</v>
      </c>
      <c r="F1023" s="2">
        <v>3.9769082745349498E-3</v>
      </c>
    </row>
    <row r="1024" spans="1:6" x14ac:dyDescent="0.25">
      <c r="A1024" s="1" t="str">
        <f t="shared" ref="A1024:A1050" si="41">"11244"</f>
        <v>11244</v>
      </c>
      <c r="B1024" s="1" t="str">
        <f>"92780"</f>
        <v>92780</v>
      </c>
      <c r="C1024" s="2">
        <v>1.54772141014617E-3</v>
      </c>
      <c r="D1024" s="2">
        <v>2.8142589118198801E-3</v>
      </c>
      <c r="E1024" s="2">
        <v>1.6411378555798599E-2</v>
      </c>
      <c r="F1024" s="2">
        <v>3.4637588197562498E-3</v>
      </c>
    </row>
    <row r="1025" spans="1:6" x14ac:dyDescent="0.25">
      <c r="A1025" s="1" t="str">
        <f t="shared" si="41"/>
        <v>11244</v>
      </c>
      <c r="B1025" s="1" t="str">
        <f>"92653"</f>
        <v>92653</v>
      </c>
      <c r="C1025" s="2">
        <v>0</v>
      </c>
      <c r="D1025" s="2">
        <v>2.8142589118198801E-2</v>
      </c>
      <c r="E1025" s="2">
        <v>7.6586433260393801E-3</v>
      </c>
      <c r="F1025" s="2">
        <v>4.7466324567030102E-3</v>
      </c>
    </row>
    <row r="1026" spans="1:6" x14ac:dyDescent="0.25">
      <c r="A1026" s="1" t="str">
        <f t="shared" si="41"/>
        <v>11244</v>
      </c>
      <c r="B1026" s="1" t="str">
        <f>"92627"</f>
        <v>92627</v>
      </c>
      <c r="C1026" s="2">
        <v>1.8056749785038601E-2</v>
      </c>
      <c r="D1026" s="2">
        <v>1.8761726078799199E-2</v>
      </c>
      <c r="E1026" s="2">
        <v>5.4704595185995603E-2</v>
      </c>
      <c r="F1026" s="2">
        <v>2.2450288646568301E-2</v>
      </c>
    </row>
    <row r="1027" spans="1:6" x14ac:dyDescent="0.25">
      <c r="A1027" s="1" t="str">
        <f t="shared" si="41"/>
        <v>11244</v>
      </c>
      <c r="B1027" s="1" t="str">
        <f>"92629"</f>
        <v>92629</v>
      </c>
      <c r="C1027" s="2">
        <v>3.4393809114359399E-4</v>
      </c>
      <c r="D1027" s="2">
        <v>2.8142589118198801E-3</v>
      </c>
      <c r="E1027" s="2">
        <v>2.1881838074398201E-3</v>
      </c>
      <c r="F1027" s="2">
        <v>8.9801154586273196E-4</v>
      </c>
    </row>
    <row r="1028" spans="1:6" x14ac:dyDescent="0.25">
      <c r="A1028" s="1" t="str">
        <f t="shared" si="41"/>
        <v>11244</v>
      </c>
      <c r="B1028" s="1" t="str">
        <f>"92661"</f>
        <v>92661</v>
      </c>
      <c r="C1028" s="2">
        <v>3.09544282029234E-3</v>
      </c>
      <c r="D1028" s="2">
        <v>3.7523452157598399E-3</v>
      </c>
      <c r="E1028" s="2">
        <v>8.7527352297592908E-3</v>
      </c>
      <c r="F1028" s="2">
        <v>3.84862091084028E-3</v>
      </c>
    </row>
    <row r="1029" spans="1:6" x14ac:dyDescent="0.25">
      <c r="A1029" s="1" t="str">
        <f t="shared" si="41"/>
        <v>11244</v>
      </c>
      <c r="B1029" s="1" t="str">
        <f>"92656"</f>
        <v>92656</v>
      </c>
      <c r="C1029" s="2">
        <v>5.88134135855546E-2</v>
      </c>
      <c r="D1029" s="2">
        <v>6.56660412757973E-3</v>
      </c>
      <c r="E1029" s="2">
        <v>5.4704595185995604E-3</v>
      </c>
      <c r="F1029" s="2">
        <v>4.5413726747915301E-2</v>
      </c>
    </row>
    <row r="1030" spans="1:6" x14ac:dyDescent="0.25">
      <c r="A1030" s="1" t="str">
        <f t="shared" si="41"/>
        <v>11244</v>
      </c>
      <c r="B1030" s="1" t="str">
        <f>"92705"</f>
        <v>92705</v>
      </c>
      <c r="C1030" s="2">
        <v>1.6165090283748899E-2</v>
      </c>
      <c r="D1030" s="2">
        <v>2.2514071294558999E-2</v>
      </c>
      <c r="E1030" s="2">
        <v>6.5645514223194703E-3</v>
      </c>
      <c r="F1030" s="2">
        <v>1.5907633098139799E-2</v>
      </c>
    </row>
    <row r="1031" spans="1:6" x14ac:dyDescent="0.25">
      <c r="A1031" s="1" t="str">
        <f t="shared" si="41"/>
        <v>11244</v>
      </c>
      <c r="B1031" s="1" t="str">
        <f>"92867"</f>
        <v>92867</v>
      </c>
      <c r="C1031" s="2">
        <v>0</v>
      </c>
      <c r="D1031" s="2">
        <v>1.87617260787992E-3</v>
      </c>
      <c r="E1031" s="2">
        <v>5.4704595185995604E-3</v>
      </c>
      <c r="F1031" s="2">
        <v>8.9801154586273196E-4</v>
      </c>
    </row>
    <row r="1032" spans="1:6" x14ac:dyDescent="0.25">
      <c r="A1032" s="1" t="str">
        <f t="shared" si="41"/>
        <v>11244</v>
      </c>
      <c r="B1032" s="1" t="str">
        <f>"90630"</f>
        <v>90630</v>
      </c>
      <c r="C1032" s="2">
        <v>1.3757523645743701E-3</v>
      </c>
      <c r="D1032" s="2">
        <v>1.87617260787992E-3</v>
      </c>
      <c r="E1032" s="2">
        <v>5.4704595185995604E-3</v>
      </c>
      <c r="F1032" s="2">
        <v>1.92431045542014E-3</v>
      </c>
    </row>
    <row r="1033" spans="1:6" x14ac:dyDescent="0.25">
      <c r="A1033" s="1" t="str">
        <f t="shared" si="41"/>
        <v>11244</v>
      </c>
      <c r="B1033" s="1" t="str">
        <f>"92821"</f>
        <v>92821</v>
      </c>
      <c r="C1033" s="2">
        <v>1.2725709372312899E-2</v>
      </c>
      <c r="D1033" s="2">
        <v>3.7523452157598398E-2</v>
      </c>
      <c r="E1033" s="2">
        <v>1.2035010940918999E-2</v>
      </c>
      <c r="F1033" s="2">
        <v>1.60359204618345E-2</v>
      </c>
    </row>
    <row r="1034" spans="1:6" x14ac:dyDescent="0.25">
      <c r="A1034" s="1" t="str">
        <f t="shared" si="41"/>
        <v>11244</v>
      </c>
      <c r="B1034" s="1" t="str">
        <f>"92651"</f>
        <v>92651</v>
      </c>
      <c r="C1034" s="2">
        <v>1.9948409286328399E-2</v>
      </c>
      <c r="D1034" s="2">
        <v>4.6904315196998102E-3</v>
      </c>
      <c r="E1034" s="2">
        <v>7.9868708971553598E-2</v>
      </c>
      <c r="F1034" s="2">
        <v>2.4887748556767099E-2</v>
      </c>
    </row>
    <row r="1035" spans="1:6" x14ac:dyDescent="0.25">
      <c r="A1035" s="1" t="str">
        <f t="shared" si="41"/>
        <v>11244</v>
      </c>
      <c r="B1035" s="1" t="str">
        <f>"90740"</f>
        <v>90740</v>
      </c>
      <c r="C1035" s="2">
        <v>0</v>
      </c>
      <c r="D1035" s="2">
        <v>9.3808630393996204E-4</v>
      </c>
      <c r="E1035" s="2">
        <v>5.4704595185995604E-3</v>
      </c>
      <c r="F1035" s="2">
        <v>7.6972418216805598E-4</v>
      </c>
    </row>
    <row r="1036" spans="1:6" x14ac:dyDescent="0.25">
      <c r="A1036" s="1" t="str">
        <f t="shared" si="41"/>
        <v>11244</v>
      </c>
      <c r="B1036" s="1" t="str">
        <f>"92835"</f>
        <v>92835</v>
      </c>
      <c r="C1036" s="2">
        <v>6.8787618228718797E-4</v>
      </c>
      <c r="D1036" s="2">
        <v>4.6904315196998102E-3</v>
      </c>
      <c r="E1036" s="2">
        <v>2.1881838074398201E-3</v>
      </c>
      <c r="F1036" s="2">
        <v>1.41116100064143E-3</v>
      </c>
    </row>
    <row r="1037" spans="1:6" x14ac:dyDescent="0.25">
      <c r="A1037" s="1" t="str">
        <f t="shared" si="41"/>
        <v>11244</v>
      </c>
      <c r="B1037" s="1" t="str">
        <f>"92802"</f>
        <v>92802</v>
      </c>
      <c r="C1037" s="2">
        <v>5.1590713671539098E-4</v>
      </c>
      <c r="D1037" s="2">
        <v>7.5046904315196903E-3</v>
      </c>
      <c r="E1037" s="2">
        <v>6.5645514223194703E-3</v>
      </c>
      <c r="F1037" s="2">
        <v>2.1808851828094898E-3</v>
      </c>
    </row>
    <row r="1038" spans="1:6" x14ac:dyDescent="0.25">
      <c r="A1038" s="1" t="str">
        <f t="shared" si="41"/>
        <v>11244</v>
      </c>
      <c r="B1038" s="1" t="str">
        <f>"92672"</f>
        <v>92672</v>
      </c>
      <c r="C1038" s="2">
        <v>1.3757523645743701E-3</v>
      </c>
      <c r="D1038" s="2">
        <v>2.6266416510318899E-2</v>
      </c>
      <c r="E1038" s="2">
        <v>7.6586433260393801E-3</v>
      </c>
      <c r="F1038" s="2">
        <v>5.5163566388710698E-3</v>
      </c>
    </row>
    <row r="1039" spans="1:6" x14ac:dyDescent="0.25">
      <c r="A1039" s="1" t="str">
        <f t="shared" si="41"/>
        <v>11244</v>
      </c>
      <c r="B1039" s="1" t="str">
        <f>"92832"</f>
        <v>92832</v>
      </c>
      <c r="C1039" s="2">
        <v>5.0214961306964699E-2</v>
      </c>
      <c r="D1039" s="2">
        <v>1.03189493433395E-2</v>
      </c>
      <c r="E1039" s="2">
        <v>1.2035010940918999E-2</v>
      </c>
      <c r="F1039" s="2">
        <v>4.02822322001282E-2</v>
      </c>
    </row>
    <row r="1040" spans="1:6" x14ac:dyDescent="0.25">
      <c r="A1040" s="1" t="str">
        <f t="shared" si="41"/>
        <v>11244</v>
      </c>
      <c r="B1040" s="1" t="str">
        <f>"92843"</f>
        <v>92843</v>
      </c>
      <c r="C1040" s="2">
        <v>0</v>
      </c>
      <c r="D1040" s="2">
        <v>1.40712945590994E-2</v>
      </c>
      <c r="E1040" s="2">
        <v>5.4704595185995604E-3</v>
      </c>
      <c r="F1040" s="2">
        <v>2.56574727389352E-3</v>
      </c>
    </row>
    <row r="1041" spans="1:6" x14ac:dyDescent="0.25">
      <c r="A1041" s="1" t="str">
        <f t="shared" si="41"/>
        <v>11244</v>
      </c>
      <c r="B1041" s="1" t="str">
        <f>"92691"</f>
        <v>92691</v>
      </c>
      <c r="C1041" s="2">
        <v>7.22269991401547E-3</v>
      </c>
      <c r="D1041" s="2">
        <v>0</v>
      </c>
      <c r="E1041" s="2">
        <v>4.3763676148796402E-3</v>
      </c>
      <c r="F1041" s="2">
        <v>5.90121872995509E-3</v>
      </c>
    </row>
    <row r="1042" spans="1:6" x14ac:dyDescent="0.25">
      <c r="A1042" s="1" t="str">
        <f t="shared" si="41"/>
        <v>11244</v>
      </c>
      <c r="B1042" s="1" t="str">
        <f>"92625"</f>
        <v>92625</v>
      </c>
      <c r="C1042" s="2">
        <v>3.7833190025795302E-3</v>
      </c>
      <c r="D1042" s="2">
        <v>2.8142589118198801E-3</v>
      </c>
      <c r="E1042" s="2">
        <v>1.8599562363238498E-2</v>
      </c>
      <c r="F1042" s="2">
        <v>5.38806927517639E-3</v>
      </c>
    </row>
    <row r="1043" spans="1:6" x14ac:dyDescent="0.25">
      <c r="A1043" s="1" t="str">
        <f t="shared" si="41"/>
        <v>11244</v>
      </c>
      <c r="B1043" s="1" t="str">
        <f>"92630"</f>
        <v>92630</v>
      </c>
      <c r="C1043" s="2">
        <v>9.2347377472055001E-2</v>
      </c>
      <c r="D1043" s="2">
        <v>1.3133208255159399E-2</v>
      </c>
      <c r="E1043" s="2">
        <v>5.4704595185995604E-3</v>
      </c>
      <c r="F1043" s="2">
        <v>7.1327774214239803E-2</v>
      </c>
    </row>
    <row r="1044" spans="1:6" x14ac:dyDescent="0.25">
      <c r="A1044" s="1" t="str">
        <f t="shared" si="41"/>
        <v>11244</v>
      </c>
      <c r="B1044" s="1" t="str">
        <f>"92831"</f>
        <v>92831</v>
      </c>
      <c r="C1044" s="2">
        <v>5.1590713671539098E-4</v>
      </c>
      <c r="D1044" s="2">
        <v>0</v>
      </c>
      <c r="E1044" s="2">
        <v>4.3763676148796402E-3</v>
      </c>
      <c r="F1044" s="2">
        <v>8.9801154586273196E-4</v>
      </c>
    </row>
    <row r="1045" spans="1:6" x14ac:dyDescent="0.25">
      <c r="A1045" s="1" t="str">
        <f t="shared" si="41"/>
        <v>11244</v>
      </c>
      <c r="B1045" s="1" t="str">
        <f>"92887"</f>
        <v>92887</v>
      </c>
      <c r="C1045" s="2">
        <v>0</v>
      </c>
      <c r="D1045" s="2">
        <v>1.87617260787992E-3</v>
      </c>
      <c r="E1045" s="2">
        <v>6.0175054704595103E-2</v>
      </c>
      <c r="F1045" s="2">
        <v>7.3123797305965303E-3</v>
      </c>
    </row>
    <row r="1046" spans="1:6" x14ac:dyDescent="0.25">
      <c r="A1046" s="1" t="str">
        <f t="shared" si="41"/>
        <v>11244</v>
      </c>
      <c r="B1046" s="1" t="str">
        <f>"90624"</f>
        <v>90624</v>
      </c>
      <c r="C1046" s="2">
        <v>0</v>
      </c>
      <c r="D1046" s="2">
        <v>0</v>
      </c>
      <c r="E1046" s="2">
        <v>1.09409190371991E-3</v>
      </c>
      <c r="F1046" s="2">
        <v>1.2828736369467601E-4</v>
      </c>
    </row>
    <row r="1047" spans="1:6" x14ac:dyDescent="0.25">
      <c r="A1047" s="1" t="str">
        <f t="shared" si="41"/>
        <v>11244</v>
      </c>
      <c r="B1047" s="1" t="str">
        <f>"92649"</f>
        <v>92649</v>
      </c>
      <c r="C1047" s="2">
        <v>0</v>
      </c>
      <c r="D1047" s="2">
        <v>0</v>
      </c>
      <c r="E1047" s="2">
        <v>2.1881838074398201E-3</v>
      </c>
      <c r="F1047" s="2">
        <v>2.5657472738935201E-4</v>
      </c>
    </row>
    <row r="1048" spans="1:6" x14ac:dyDescent="0.25">
      <c r="A1048" s="1" t="str">
        <f t="shared" si="41"/>
        <v>11244</v>
      </c>
      <c r="B1048" s="1" t="str">
        <f>"92610"</f>
        <v>92610</v>
      </c>
      <c r="C1048" s="2">
        <v>0</v>
      </c>
      <c r="D1048" s="2">
        <v>2.8142589118198801E-3</v>
      </c>
      <c r="E1048" s="2">
        <v>3.2822757111597299E-3</v>
      </c>
      <c r="F1048" s="2">
        <v>7.6972418216805598E-4</v>
      </c>
    </row>
    <row r="1049" spans="1:6" x14ac:dyDescent="0.25">
      <c r="A1049" s="1" t="str">
        <f t="shared" si="41"/>
        <v>11244</v>
      </c>
      <c r="B1049" s="1" t="str">
        <f>"92866"</f>
        <v>92866</v>
      </c>
      <c r="C1049" s="2">
        <v>0</v>
      </c>
      <c r="D1049" s="2">
        <v>4.6904315196998102E-3</v>
      </c>
      <c r="E1049" s="2">
        <v>3.2822757111597299E-3</v>
      </c>
      <c r="F1049" s="2">
        <v>1.0262989095574E-3</v>
      </c>
    </row>
    <row r="1050" spans="1:6" x14ac:dyDescent="0.25">
      <c r="A1050" s="1" t="str">
        <f t="shared" si="41"/>
        <v>11244</v>
      </c>
      <c r="B1050" s="1" t="str">
        <f>"92833"</f>
        <v>92833</v>
      </c>
      <c r="C1050" s="2">
        <v>1.7196904557179699E-4</v>
      </c>
      <c r="D1050" s="2">
        <v>6.56660412757973E-3</v>
      </c>
      <c r="E1050" s="2">
        <v>3.2822757111597299E-3</v>
      </c>
      <c r="F1050" s="2">
        <v>1.41116100064143E-3</v>
      </c>
    </row>
    <row r="1051" spans="1:6" x14ac:dyDescent="0.25">
      <c r="A1051" s="1" t="str">
        <f t="shared" ref="A1051:A1091" si="42">"11260"</f>
        <v>11260</v>
      </c>
      <c r="B1051" s="1" t="str">
        <f>"99667"</f>
        <v>99667</v>
      </c>
      <c r="C1051" s="2">
        <v>0</v>
      </c>
      <c r="D1051" s="2">
        <v>0</v>
      </c>
      <c r="E1051" s="2">
        <v>6.9739870283841199E-5</v>
      </c>
      <c r="F1051" s="2">
        <v>4.6099732160556104E-6</v>
      </c>
    </row>
    <row r="1052" spans="1:6" x14ac:dyDescent="0.25">
      <c r="A1052" s="1" t="str">
        <f t="shared" si="42"/>
        <v>11260</v>
      </c>
      <c r="B1052" s="1" t="str">
        <f>"99505"</f>
        <v>99505</v>
      </c>
      <c r="C1052" s="2">
        <v>6.1835001334764302E-3</v>
      </c>
      <c r="D1052" s="2">
        <v>4.4143149929055598E-3</v>
      </c>
      <c r="E1052" s="2">
        <v>3.6194992677313603E-2</v>
      </c>
      <c r="F1052" s="2">
        <v>8.0121334495046499E-3</v>
      </c>
    </row>
    <row r="1053" spans="1:6" x14ac:dyDescent="0.25">
      <c r="A1053" s="1" t="str">
        <f t="shared" si="42"/>
        <v>11260</v>
      </c>
      <c r="B1053" s="1" t="str">
        <f>"99501"</f>
        <v>99501</v>
      </c>
      <c r="C1053" s="2">
        <v>5.1581831950444801E-2</v>
      </c>
      <c r="D1053" s="2">
        <v>0.135267223711177</v>
      </c>
      <c r="E1053" s="2">
        <v>0.118278820001394</v>
      </c>
      <c r="F1053" s="2">
        <v>6.3331812042172003E-2</v>
      </c>
    </row>
    <row r="1054" spans="1:6" x14ac:dyDescent="0.25">
      <c r="A1054" s="1" t="str">
        <f t="shared" si="42"/>
        <v>11260</v>
      </c>
      <c r="B1054" s="1" t="str">
        <f>"99577"</f>
        <v>99577</v>
      </c>
      <c r="C1054" s="2">
        <v>7.3226806426481703E-2</v>
      </c>
      <c r="D1054" s="2">
        <v>4.2724262967050203E-2</v>
      </c>
      <c r="E1054" s="2">
        <v>2.6361670967292E-2</v>
      </c>
      <c r="F1054" s="2">
        <v>6.7453128097325704E-2</v>
      </c>
    </row>
    <row r="1055" spans="1:6" x14ac:dyDescent="0.25">
      <c r="A1055" s="1" t="str">
        <f t="shared" si="42"/>
        <v>11260</v>
      </c>
      <c r="B1055" s="1" t="str">
        <f>"99521"</f>
        <v>99521</v>
      </c>
      <c r="C1055" s="2">
        <v>1.23234161250429E-2</v>
      </c>
      <c r="D1055" s="2">
        <v>1.2139366230490301E-2</v>
      </c>
      <c r="E1055" s="2">
        <v>6.9739870283841199E-5</v>
      </c>
      <c r="F1055" s="2">
        <v>1.1497273200842701E-2</v>
      </c>
    </row>
    <row r="1056" spans="1:6" x14ac:dyDescent="0.25">
      <c r="A1056" s="1" t="str">
        <f t="shared" si="42"/>
        <v>11260</v>
      </c>
      <c r="B1056" s="1" t="str">
        <f>"99654"</f>
        <v>99654</v>
      </c>
      <c r="C1056" s="2">
        <v>7.8712960289398698E-2</v>
      </c>
      <c r="D1056" s="2">
        <v>9.0651111461453507E-2</v>
      </c>
      <c r="E1056" s="2">
        <v>7.6434897831090004E-2</v>
      </c>
      <c r="F1056" s="2">
        <v>7.9609627468064395E-2</v>
      </c>
    </row>
    <row r="1057" spans="1:6" x14ac:dyDescent="0.25">
      <c r="A1057" s="1" t="str">
        <f t="shared" si="42"/>
        <v>11260</v>
      </c>
      <c r="B1057" s="1" t="str">
        <f>"99529"</f>
        <v>99529</v>
      </c>
      <c r="C1057" s="2">
        <v>0</v>
      </c>
      <c r="D1057" s="2">
        <v>2.6275684481580699E-4</v>
      </c>
      <c r="E1057" s="2">
        <v>6.9739870283841199E-5</v>
      </c>
      <c r="F1057" s="2">
        <v>2.7659839296333601E-5</v>
      </c>
    </row>
    <row r="1058" spans="1:6" x14ac:dyDescent="0.25">
      <c r="A1058" s="1" t="str">
        <f t="shared" si="42"/>
        <v>11260</v>
      </c>
      <c r="B1058" s="1" t="str">
        <f>"99507"</f>
        <v>99507</v>
      </c>
      <c r="C1058" s="2">
        <v>8.6144056485047901E-2</v>
      </c>
      <c r="D1058" s="2">
        <v>4.6560512901360998E-2</v>
      </c>
      <c r="E1058" s="2">
        <v>8.1874607713229602E-2</v>
      </c>
      <c r="F1058" s="2">
        <v>8.2389441317345893E-2</v>
      </c>
    </row>
    <row r="1059" spans="1:6" x14ac:dyDescent="0.25">
      <c r="A1059" s="1" t="str">
        <f t="shared" si="42"/>
        <v>11260</v>
      </c>
      <c r="B1059" s="1" t="str">
        <f>"99516"</f>
        <v>99516</v>
      </c>
      <c r="C1059" s="2">
        <v>4.2184001351108301E-2</v>
      </c>
      <c r="D1059" s="2">
        <v>1.9444006516369701E-3</v>
      </c>
      <c r="E1059" s="2">
        <v>1.8829764976637099E-3</v>
      </c>
      <c r="F1059" s="2">
        <v>3.5990060897746097E-2</v>
      </c>
    </row>
    <row r="1060" spans="1:6" x14ac:dyDescent="0.25">
      <c r="A1060" s="1" t="str">
        <f t="shared" si="42"/>
        <v>11260</v>
      </c>
      <c r="B1060" s="1" t="str">
        <f>"99517"</f>
        <v>99517</v>
      </c>
      <c r="C1060" s="2">
        <v>4.0849237005115599E-2</v>
      </c>
      <c r="D1060" s="2">
        <v>1.3768458668348299E-2</v>
      </c>
      <c r="E1060" s="2">
        <v>5.4885277913382997E-2</v>
      </c>
      <c r="F1060" s="2">
        <v>3.9401441077627303E-2</v>
      </c>
    </row>
    <row r="1061" spans="1:6" x14ac:dyDescent="0.25">
      <c r="A1061" s="1" t="str">
        <f t="shared" si="42"/>
        <v>11260</v>
      </c>
      <c r="B1061" s="1" t="str">
        <f>"99567"</f>
        <v>99567</v>
      </c>
      <c r="C1061" s="2">
        <v>1.27647055618813E-2</v>
      </c>
      <c r="D1061" s="2">
        <v>1.83929791371065E-3</v>
      </c>
      <c r="E1061" s="2">
        <v>4.4633516981658402E-3</v>
      </c>
      <c r="F1061" s="2">
        <v>1.12575545936078E-2</v>
      </c>
    </row>
    <row r="1062" spans="1:6" x14ac:dyDescent="0.25">
      <c r="A1062" s="1" t="str">
        <f t="shared" si="42"/>
        <v>11260</v>
      </c>
      <c r="B1062" s="1" t="str">
        <f>"99523"</f>
        <v>99523</v>
      </c>
      <c r="C1062" s="2">
        <v>1.0852451335581499E-2</v>
      </c>
      <c r="D1062" s="2">
        <v>2.3543013295496299E-2</v>
      </c>
      <c r="E1062" s="2">
        <v>6.9739870283841199E-5</v>
      </c>
      <c r="F1062" s="2">
        <v>1.1252944620391701E-2</v>
      </c>
    </row>
    <row r="1063" spans="1:6" x14ac:dyDescent="0.25">
      <c r="A1063" s="1" t="str">
        <f t="shared" si="42"/>
        <v>11260</v>
      </c>
      <c r="B1063" s="1" t="str">
        <f>"99510"</f>
        <v>99510</v>
      </c>
      <c r="C1063" s="2">
        <v>1.05037782003018E-2</v>
      </c>
      <c r="D1063" s="2">
        <v>9.8796573650743597E-3</v>
      </c>
      <c r="E1063" s="2">
        <v>1.3947974056768199E-4</v>
      </c>
      <c r="F1063" s="2">
        <v>9.7639232716057907E-3</v>
      </c>
    </row>
    <row r="1064" spans="1:6" x14ac:dyDescent="0.25">
      <c r="A1064" s="1" t="str">
        <f t="shared" si="42"/>
        <v>11260</v>
      </c>
      <c r="B1064" s="1" t="str">
        <f>"99652"</f>
        <v>99652</v>
      </c>
      <c r="C1064" s="2">
        <v>0</v>
      </c>
      <c r="D1064" s="2">
        <v>0</v>
      </c>
      <c r="E1064" s="2">
        <v>1.3947974056768199E-4</v>
      </c>
      <c r="F1064" s="2">
        <v>9.2199464321112208E-6</v>
      </c>
    </row>
    <row r="1065" spans="1:6" x14ac:dyDescent="0.25">
      <c r="A1065" s="1" t="str">
        <f t="shared" si="42"/>
        <v>11260</v>
      </c>
      <c r="B1065" s="1" t="str">
        <f>"99540"</f>
        <v>99540</v>
      </c>
      <c r="C1065" s="2">
        <v>1.56902910875877E-3</v>
      </c>
      <c r="D1065" s="2">
        <v>1.15613011718955E-3</v>
      </c>
      <c r="E1065" s="2">
        <v>6.9739870283841199E-5</v>
      </c>
      <c r="F1065" s="2">
        <v>1.4337016701932901E-3</v>
      </c>
    </row>
    <row r="1066" spans="1:6" x14ac:dyDescent="0.25">
      <c r="A1066" s="1" t="str">
        <f t="shared" si="42"/>
        <v>11260</v>
      </c>
      <c r="B1066" s="1" t="str">
        <f>"99504"</f>
        <v>99504</v>
      </c>
      <c r="C1066" s="2">
        <v>9.3335439900192302E-2</v>
      </c>
      <c r="D1066" s="2">
        <v>2.42261810920174E-2</v>
      </c>
      <c r="E1066" s="2">
        <v>9.49159634563079E-2</v>
      </c>
      <c r="F1066" s="2">
        <v>8.7377432337118102E-2</v>
      </c>
    </row>
    <row r="1067" spans="1:6" x14ac:dyDescent="0.25">
      <c r="A1067" s="1" t="str">
        <f t="shared" si="42"/>
        <v>11260</v>
      </c>
      <c r="B1067" s="1" t="str">
        <f>"99674"</f>
        <v>99674</v>
      </c>
      <c r="C1067" s="2">
        <v>1.4655167717225999E-3</v>
      </c>
      <c r="D1067" s="2">
        <v>5.2551368963161399E-4</v>
      </c>
      <c r="E1067" s="2">
        <v>5.5791896227073002E-4</v>
      </c>
      <c r="F1067" s="2">
        <v>1.3230623130079599E-3</v>
      </c>
    </row>
    <row r="1068" spans="1:6" x14ac:dyDescent="0.25">
      <c r="A1068" s="1" t="str">
        <f t="shared" si="42"/>
        <v>11260</v>
      </c>
      <c r="B1068" s="1" t="str">
        <f>"99503"</f>
        <v>99503</v>
      </c>
      <c r="C1068" s="2">
        <v>3.7874619319760501E-2</v>
      </c>
      <c r="D1068" s="2">
        <v>0.15034946660360499</v>
      </c>
      <c r="E1068" s="2">
        <v>0.10175047074412399</v>
      </c>
      <c r="F1068" s="2">
        <v>5.1963618091378803E-2</v>
      </c>
    </row>
    <row r="1069" spans="1:6" x14ac:dyDescent="0.25">
      <c r="A1069" s="1" t="str">
        <f t="shared" si="42"/>
        <v>11260</v>
      </c>
      <c r="B1069" s="1" t="str">
        <f>"99623"</f>
        <v>99623</v>
      </c>
      <c r="C1069" s="2">
        <v>3.66324712753264E-2</v>
      </c>
      <c r="D1069" s="2">
        <v>3.6260444584581401E-3</v>
      </c>
      <c r="E1069" s="2">
        <v>1.22044772996722E-2</v>
      </c>
      <c r="F1069" s="2">
        <v>3.2122293369475502E-2</v>
      </c>
    </row>
    <row r="1070" spans="1:6" x14ac:dyDescent="0.25">
      <c r="A1070" s="1" t="str">
        <f t="shared" si="42"/>
        <v>11260</v>
      </c>
      <c r="B1070" s="1" t="str">
        <f>"99522"</f>
        <v>99522</v>
      </c>
      <c r="C1070" s="2">
        <v>1.03348896504007E-2</v>
      </c>
      <c r="D1070" s="2">
        <v>1.1824058016711299E-2</v>
      </c>
      <c r="E1070" s="2">
        <v>6.9739870283841199E-5</v>
      </c>
      <c r="F1070" s="2">
        <v>9.78697313768607E-3</v>
      </c>
    </row>
    <row r="1071" spans="1:6" x14ac:dyDescent="0.25">
      <c r="A1071" s="1" t="str">
        <f t="shared" si="42"/>
        <v>11260</v>
      </c>
      <c r="B1071" s="1" t="str">
        <f>"99687"</f>
        <v>99687</v>
      </c>
      <c r="C1071" s="2">
        <v>2.4216438848724799E-2</v>
      </c>
      <c r="D1071" s="2">
        <v>1.9391455147406499E-2</v>
      </c>
      <c r="E1071" s="2">
        <v>1.3947974056768199E-4</v>
      </c>
      <c r="F1071" s="2">
        <v>2.2201631008523799E-2</v>
      </c>
    </row>
    <row r="1072" spans="1:6" x14ac:dyDescent="0.25">
      <c r="A1072" s="1" t="str">
        <f t="shared" si="42"/>
        <v>11260</v>
      </c>
      <c r="B1072" s="1" t="str">
        <f>"99513"</f>
        <v>99513</v>
      </c>
      <c r="C1072" s="2">
        <v>0</v>
      </c>
      <c r="D1072" s="2">
        <v>4.0464554101634301E-3</v>
      </c>
      <c r="E1072" s="2">
        <v>2.7895948113536501E-4</v>
      </c>
      <c r="F1072" s="2">
        <v>3.73407830500504E-4</v>
      </c>
    </row>
    <row r="1073" spans="1:6" x14ac:dyDescent="0.25">
      <c r="A1073" s="1" t="str">
        <f t="shared" si="42"/>
        <v>11260</v>
      </c>
      <c r="B1073" s="1" t="str">
        <f>"99511"</f>
        <v>99511</v>
      </c>
      <c r="C1073" s="2">
        <v>1.26611932248451E-2</v>
      </c>
      <c r="D1073" s="2">
        <v>2.5382311209206899E-2</v>
      </c>
      <c r="E1073" s="2">
        <v>1.3947974056768199E-4</v>
      </c>
      <c r="F1073" s="2">
        <v>1.2949414763900199E-2</v>
      </c>
    </row>
    <row r="1074" spans="1:6" x14ac:dyDescent="0.25">
      <c r="A1074" s="1" t="str">
        <f t="shared" si="42"/>
        <v>11260</v>
      </c>
      <c r="B1074" s="1" t="str">
        <f>"99587"</f>
        <v>99587</v>
      </c>
      <c r="C1074" s="2">
        <v>0</v>
      </c>
      <c r="D1074" s="2">
        <v>1.05102737926322E-4</v>
      </c>
      <c r="E1074" s="2">
        <v>6.9739870283841199E-5</v>
      </c>
      <c r="F1074" s="2">
        <v>1.3829919648166801E-5</v>
      </c>
    </row>
    <row r="1075" spans="1:6" x14ac:dyDescent="0.25">
      <c r="A1075" s="1" t="str">
        <f t="shared" si="42"/>
        <v>11260</v>
      </c>
      <c r="B1075" s="1" t="str">
        <f>"99676"</f>
        <v>99676</v>
      </c>
      <c r="C1075" s="2">
        <v>1.2911802040827399E-3</v>
      </c>
      <c r="D1075" s="2">
        <v>1.1035787482263899E-3</v>
      </c>
      <c r="E1075" s="2">
        <v>6.9739870283841199E-5</v>
      </c>
      <c r="F1075" s="2">
        <v>1.1939830629584E-3</v>
      </c>
    </row>
    <row r="1076" spans="1:6" x14ac:dyDescent="0.25">
      <c r="A1076" s="1" t="str">
        <f t="shared" si="42"/>
        <v>11260</v>
      </c>
      <c r="B1076" s="1" t="str">
        <f>"99688"</f>
        <v>99688</v>
      </c>
      <c r="C1076" s="2">
        <v>3.5793476543559601E-3</v>
      </c>
      <c r="D1076" s="2">
        <v>5.7806505859477595E-4</v>
      </c>
      <c r="E1076" s="2">
        <v>6.9739870283841199E-5</v>
      </c>
      <c r="F1076" s="2">
        <v>3.0840720815412002E-3</v>
      </c>
    </row>
    <row r="1077" spans="1:6" x14ac:dyDescent="0.25">
      <c r="A1077" s="1" t="str">
        <f t="shared" si="42"/>
        <v>11260</v>
      </c>
      <c r="B1077" s="1" t="str">
        <f>"99519"</f>
        <v>99519</v>
      </c>
      <c r="C1077" s="2">
        <v>3.2361225368149702E-3</v>
      </c>
      <c r="D1077" s="2">
        <v>9.5643491512953892E-3</v>
      </c>
      <c r="E1077" s="2">
        <v>6.9739870283841199E-5</v>
      </c>
      <c r="F1077" s="2">
        <v>3.5819491888752098E-3</v>
      </c>
    </row>
    <row r="1078" spans="1:6" x14ac:dyDescent="0.25">
      <c r="A1078" s="1" t="str">
        <f t="shared" si="42"/>
        <v>11260</v>
      </c>
      <c r="B1078" s="1" t="str">
        <f>"99502"</f>
        <v>99502</v>
      </c>
      <c r="C1078" s="2">
        <v>5.3635734637951897E-2</v>
      </c>
      <c r="D1078" s="2">
        <v>2.2754742761048899E-2</v>
      </c>
      <c r="E1078" s="2">
        <v>5.9976288444103402E-2</v>
      </c>
      <c r="F1078" s="2">
        <v>5.1345881680427398E-2</v>
      </c>
    </row>
    <row r="1079" spans="1:6" x14ac:dyDescent="0.25">
      <c r="A1079" s="1" t="str">
        <f t="shared" si="42"/>
        <v>11260</v>
      </c>
      <c r="B1079" s="1" t="str">
        <f>"99515"</f>
        <v>99515</v>
      </c>
      <c r="C1079" s="2">
        <v>4.7059977227285797E-2</v>
      </c>
      <c r="D1079" s="2">
        <v>5.6702927111251203E-2</v>
      </c>
      <c r="E1079" s="2">
        <v>4.3587418927400701E-2</v>
      </c>
      <c r="F1079" s="2">
        <v>4.7676343000447097E-2</v>
      </c>
    </row>
    <row r="1080" spans="1:6" x14ac:dyDescent="0.25">
      <c r="A1080" s="1" t="str">
        <f t="shared" si="42"/>
        <v>11260</v>
      </c>
      <c r="B1080" s="1" t="str">
        <f>"99683"</f>
        <v>99683</v>
      </c>
      <c r="C1080" s="2">
        <v>5.4480177387457498E-6</v>
      </c>
      <c r="D1080" s="2">
        <v>0</v>
      </c>
      <c r="E1080" s="2">
        <v>6.9739870283841199E-5</v>
      </c>
      <c r="F1080" s="2">
        <v>9.2199464321112208E-6</v>
      </c>
    </row>
    <row r="1081" spans="1:6" x14ac:dyDescent="0.25">
      <c r="A1081" s="1" t="str">
        <f t="shared" si="42"/>
        <v>11260</v>
      </c>
      <c r="B1081" s="1" t="str">
        <f>"99530"</f>
        <v>99530</v>
      </c>
      <c r="C1081" s="2">
        <v>0</v>
      </c>
      <c r="D1081" s="2">
        <v>1.9444006516369701E-3</v>
      </c>
      <c r="E1081" s="2">
        <v>6.9739870283841199E-5</v>
      </c>
      <c r="F1081" s="2">
        <v>1.75178982210113E-4</v>
      </c>
    </row>
    <row r="1082" spans="1:6" x14ac:dyDescent="0.25">
      <c r="A1082" s="1" t="str">
        <f t="shared" si="42"/>
        <v>11260</v>
      </c>
      <c r="B1082" s="1" t="str">
        <f>"99518"</f>
        <v>99518</v>
      </c>
      <c r="C1082" s="2">
        <v>2.4358087309932198E-2</v>
      </c>
      <c r="D1082" s="2">
        <v>8.5395974565137395E-2</v>
      </c>
      <c r="E1082" s="2">
        <v>5.4048399469976902E-2</v>
      </c>
      <c r="F1082" s="2">
        <v>3.1675125967518099E-2</v>
      </c>
    </row>
    <row r="1083" spans="1:6" x14ac:dyDescent="0.25">
      <c r="A1083" s="1" t="str">
        <f t="shared" si="42"/>
        <v>11260</v>
      </c>
      <c r="B1083" s="1" t="str">
        <f>"99509"</f>
        <v>99509</v>
      </c>
      <c r="C1083" s="2">
        <v>1.5810147477840101E-2</v>
      </c>
      <c r="D1083" s="2">
        <v>2.2176677702454101E-2</v>
      </c>
      <c r="E1083" s="2">
        <v>6.9739870283841199E-5</v>
      </c>
      <c r="F1083" s="2">
        <v>1.53281609433849E-2</v>
      </c>
    </row>
    <row r="1084" spans="1:6" x14ac:dyDescent="0.25">
      <c r="A1084" s="1" t="str">
        <f t="shared" si="42"/>
        <v>11260</v>
      </c>
      <c r="B1084" s="1" t="str">
        <f>"99506"</f>
        <v>99506</v>
      </c>
      <c r="C1084" s="2">
        <v>1.19093667768982E-2</v>
      </c>
      <c r="D1084" s="2">
        <v>6.6214724893583401E-3</v>
      </c>
      <c r="E1084" s="2">
        <v>7.3017644187181804E-2</v>
      </c>
      <c r="F1084" s="2">
        <v>1.54849000327308E-2</v>
      </c>
    </row>
    <row r="1085" spans="1:6" x14ac:dyDescent="0.25">
      <c r="A1085" s="1" t="str">
        <f t="shared" si="42"/>
        <v>11260</v>
      </c>
      <c r="B1085" s="1" t="str">
        <f>"99508"</f>
        <v>99508</v>
      </c>
      <c r="C1085" s="2">
        <v>7.8936329016687207E-2</v>
      </c>
      <c r="D1085" s="2">
        <v>6.6214724893583404E-2</v>
      </c>
      <c r="E1085" s="2">
        <v>0.12999511820908</v>
      </c>
      <c r="F1085" s="2">
        <v>8.1195458254387495E-2</v>
      </c>
    </row>
    <row r="1086" spans="1:6" x14ac:dyDescent="0.25">
      <c r="A1086" s="1" t="str">
        <f t="shared" si="42"/>
        <v>11260</v>
      </c>
      <c r="B1086" s="1" t="str">
        <f>"99645"</f>
        <v>99645</v>
      </c>
      <c r="C1086" s="2">
        <v>7.3074261929796797E-2</v>
      </c>
      <c r="D1086" s="2">
        <v>5.2551368963161399E-2</v>
      </c>
      <c r="E1086" s="2">
        <v>2.74775088918334E-2</v>
      </c>
      <c r="F1086" s="2">
        <v>6.8259873410135397E-2</v>
      </c>
    </row>
    <row r="1087" spans="1:6" x14ac:dyDescent="0.25">
      <c r="A1087" s="1" t="str">
        <f t="shared" si="42"/>
        <v>11260</v>
      </c>
      <c r="B1087" s="1" t="str">
        <f>"99599"</f>
        <v>99599</v>
      </c>
      <c r="C1087" s="2">
        <v>0</v>
      </c>
      <c r="D1087" s="2">
        <v>0</v>
      </c>
      <c r="E1087" s="2">
        <v>6.9739870283841199E-5</v>
      </c>
      <c r="F1087" s="2">
        <v>4.6099732160556104E-6</v>
      </c>
    </row>
    <row r="1088" spans="1:6" x14ac:dyDescent="0.25">
      <c r="A1088" s="1" t="str">
        <f t="shared" si="42"/>
        <v>11260</v>
      </c>
      <c r="B1088" s="1" t="str">
        <f>"99694"</f>
        <v>99694</v>
      </c>
      <c r="C1088" s="2">
        <v>0</v>
      </c>
      <c r="D1088" s="2">
        <v>0</v>
      </c>
      <c r="E1088" s="2">
        <v>6.9739870283841199E-5</v>
      </c>
      <c r="F1088" s="2">
        <v>4.6099732160556104E-6</v>
      </c>
    </row>
    <row r="1089" spans="1:6" x14ac:dyDescent="0.25">
      <c r="A1089" s="1" t="str">
        <f t="shared" si="42"/>
        <v>11260</v>
      </c>
      <c r="B1089" s="1" t="str">
        <f>"99524"</f>
        <v>99524</v>
      </c>
      <c r="C1089" s="2">
        <v>1.4747784018784699E-2</v>
      </c>
      <c r="D1089" s="2">
        <v>2.6853749540175501E-2</v>
      </c>
      <c r="E1089" s="2">
        <v>6.9739870283841199E-5</v>
      </c>
      <c r="F1089" s="2">
        <v>1.4839503782483001E-2</v>
      </c>
    </row>
    <row r="1090" spans="1:6" x14ac:dyDescent="0.25">
      <c r="A1090" s="1" t="str">
        <f t="shared" si="42"/>
        <v>11260</v>
      </c>
      <c r="B1090" s="1" t="str">
        <f>"99520"</f>
        <v>99520</v>
      </c>
      <c r="C1090" s="2">
        <v>1.4802264196172201E-2</v>
      </c>
      <c r="D1090" s="2">
        <v>1.2717431289085E-2</v>
      </c>
      <c r="E1090" s="2">
        <v>6.9739870283841199E-5</v>
      </c>
      <c r="F1090" s="2">
        <v>1.3645520719524599E-2</v>
      </c>
    </row>
    <row r="1091" spans="1:6" x14ac:dyDescent="0.25">
      <c r="A1091" s="1" t="str">
        <f t="shared" si="42"/>
        <v>11260</v>
      </c>
      <c r="B1091" s="1" t="str">
        <f>"99514"</f>
        <v>99514</v>
      </c>
      <c r="C1091" s="2">
        <v>1.41376060320452E-2</v>
      </c>
      <c r="D1091" s="2">
        <v>1.1193441589153299E-2</v>
      </c>
      <c r="E1091" s="2">
        <v>6.9739870283841199E-5</v>
      </c>
      <c r="F1091" s="2">
        <v>1.2949414763900199E-2</v>
      </c>
    </row>
    <row r="1092" spans="1:6" x14ac:dyDescent="0.25">
      <c r="A1092" s="1" t="str">
        <f>"11380"</f>
        <v>11380</v>
      </c>
      <c r="B1092" s="1" t="str">
        <f>"79714"</f>
        <v>79714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tr">
        <f t="shared" ref="A1093:A1102" si="43">"11420"</f>
        <v>11420</v>
      </c>
      <c r="B1093" s="1" t="str">
        <f>"46793"</f>
        <v>46793</v>
      </c>
      <c r="C1093" s="2">
        <v>5.07202272266179E-4</v>
      </c>
      <c r="D1093" s="2">
        <v>0</v>
      </c>
      <c r="E1093" s="2">
        <v>0</v>
      </c>
      <c r="F1093" s="2">
        <v>4.6025682330740498E-4</v>
      </c>
    </row>
    <row r="1094" spans="1:6" x14ac:dyDescent="0.25">
      <c r="A1094" s="1" t="str">
        <f t="shared" si="43"/>
        <v>11420</v>
      </c>
      <c r="B1094" s="1" t="str">
        <f>"46776"</f>
        <v>46776</v>
      </c>
      <c r="C1094" s="2">
        <v>3.3272469060661301E-2</v>
      </c>
      <c r="D1094" s="2">
        <v>8.7719298245613996E-3</v>
      </c>
      <c r="E1094" s="2">
        <v>1.20481927710843E-2</v>
      </c>
      <c r="F1094" s="2">
        <v>3.10673355732498E-2</v>
      </c>
    </row>
    <row r="1095" spans="1:6" x14ac:dyDescent="0.25">
      <c r="A1095" s="1" t="str">
        <f t="shared" si="43"/>
        <v>11420</v>
      </c>
      <c r="B1095" s="1" t="str">
        <f>"46779"</f>
        <v>46779</v>
      </c>
      <c r="C1095" s="2">
        <v>4.65611685940353E-2</v>
      </c>
      <c r="D1095" s="2">
        <v>8.1453634085212993E-3</v>
      </c>
      <c r="E1095" s="2">
        <v>4.8192771084337302E-3</v>
      </c>
      <c r="F1095" s="2">
        <v>4.2941961614580901E-2</v>
      </c>
    </row>
    <row r="1096" spans="1:6" x14ac:dyDescent="0.25">
      <c r="A1096" s="1" t="str">
        <f t="shared" si="43"/>
        <v>11420</v>
      </c>
      <c r="B1096" s="1" t="str">
        <f>"46737"</f>
        <v>46737</v>
      </c>
      <c r="C1096" s="2">
        <v>0.22976262933657901</v>
      </c>
      <c r="D1096" s="2">
        <v>0.13095238095237999</v>
      </c>
      <c r="E1096" s="2">
        <v>0.12530120481927701</v>
      </c>
      <c r="F1096" s="2">
        <v>0.22050904404657701</v>
      </c>
    </row>
    <row r="1097" spans="1:6" x14ac:dyDescent="0.25">
      <c r="A1097" s="1" t="str">
        <f t="shared" si="43"/>
        <v>11420</v>
      </c>
      <c r="B1097" s="1" t="str">
        <f>"46742"</f>
        <v>46742</v>
      </c>
      <c r="C1097" s="2">
        <v>7.8920673564617502E-2</v>
      </c>
      <c r="D1097" s="2">
        <v>1.6290726817042599E-2</v>
      </c>
      <c r="E1097" s="2">
        <v>0.103614457831325</v>
      </c>
      <c r="F1097" s="2">
        <v>7.4791733787453296E-2</v>
      </c>
    </row>
    <row r="1098" spans="1:6" x14ac:dyDescent="0.25">
      <c r="A1098" s="1" t="str">
        <f t="shared" si="43"/>
        <v>11420</v>
      </c>
      <c r="B1098" s="1" t="str">
        <f>"46761"</f>
        <v>46761</v>
      </c>
      <c r="C1098" s="2">
        <v>9.7382836275106497E-3</v>
      </c>
      <c r="D1098" s="2">
        <v>0</v>
      </c>
      <c r="E1098" s="2">
        <v>0</v>
      </c>
      <c r="F1098" s="2">
        <v>8.8369310075021804E-3</v>
      </c>
    </row>
    <row r="1099" spans="1:6" x14ac:dyDescent="0.25">
      <c r="A1099" s="1" t="str">
        <f t="shared" si="43"/>
        <v>11420</v>
      </c>
      <c r="B1099" s="1" t="str">
        <f>"46747"</f>
        <v>46747</v>
      </c>
      <c r="C1099" s="2">
        <v>5.3256238587948798E-2</v>
      </c>
      <c r="D1099" s="2">
        <v>2.6315789473684199E-2</v>
      </c>
      <c r="E1099" s="2">
        <v>2.16867469879518E-2</v>
      </c>
      <c r="F1099" s="2">
        <v>5.0674276246145303E-2</v>
      </c>
    </row>
    <row r="1100" spans="1:6" x14ac:dyDescent="0.25">
      <c r="A1100" s="1" t="str">
        <f t="shared" si="43"/>
        <v>11420</v>
      </c>
      <c r="B1100" s="1" t="str">
        <f>"46703"</f>
        <v>46703</v>
      </c>
      <c r="C1100" s="2">
        <v>0.53555487928585899</v>
      </c>
      <c r="D1100" s="2">
        <v>0.80451127819548796</v>
      </c>
      <c r="E1100" s="2">
        <v>0.72530120481927696</v>
      </c>
      <c r="F1100" s="2">
        <v>0.55893588622451296</v>
      </c>
    </row>
    <row r="1101" spans="1:6" x14ac:dyDescent="0.25">
      <c r="A1101" s="1" t="str">
        <f t="shared" si="43"/>
        <v>11420</v>
      </c>
      <c r="B1101" s="1" t="str">
        <f>"46705"</f>
        <v>46705</v>
      </c>
      <c r="C1101" s="2">
        <v>1.2223574761614901E-2</v>
      </c>
      <c r="D1101" s="2">
        <v>5.0125313283208E-3</v>
      </c>
      <c r="E1101" s="2">
        <v>7.2289156626506E-3</v>
      </c>
      <c r="F1101" s="2">
        <v>1.15984719473466E-2</v>
      </c>
    </row>
    <row r="1102" spans="1:6" x14ac:dyDescent="0.25">
      <c r="A1102" s="1" t="str">
        <f t="shared" si="43"/>
        <v>11420</v>
      </c>
      <c r="B1102" s="1" t="str">
        <f>"46795"</f>
        <v>46795</v>
      </c>
      <c r="C1102" s="2">
        <v>2.0288090890647101E-4</v>
      </c>
      <c r="D1102" s="2">
        <v>0</v>
      </c>
      <c r="E1102" s="2">
        <v>0</v>
      </c>
      <c r="F1102" s="2">
        <v>1.84102729322962E-4</v>
      </c>
    </row>
    <row r="1103" spans="1:6" x14ac:dyDescent="0.25">
      <c r="A1103" s="1" t="str">
        <f t="shared" ref="A1103:A1134" si="44">"11460"</f>
        <v>11460</v>
      </c>
      <c r="B1103" s="1" t="str">
        <f>"48198"</f>
        <v>48198</v>
      </c>
      <c r="C1103" s="2">
        <v>0.115221545443688</v>
      </c>
      <c r="D1103" s="2">
        <v>7.3957985995331696E-2</v>
      </c>
      <c r="E1103" s="2">
        <v>9.4812164579606395E-2</v>
      </c>
      <c r="F1103" s="2">
        <v>0.110847728974617</v>
      </c>
    </row>
    <row r="1104" spans="1:6" x14ac:dyDescent="0.25">
      <c r="A1104" s="1" t="str">
        <f t="shared" si="44"/>
        <v>11460</v>
      </c>
      <c r="B1104" s="1" t="str">
        <f>"48168"</f>
        <v>48168</v>
      </c>
      <c r="C1104" s="2">
        <v>2.9977308013854E-3</v>
      </c>
      <c r="D1104" s="2">
        <v>3.0676892297432398E-3</v>
      </c>
      <c r="E1104" s="2">
        <v>8.0500894454382799E-4</v>
      </c>
      <c r="F1104" s="2">
        <v>2.87654607896299E-3</v>
      </c>
    </row>
    <row r="1105" spans="1:6" x14ac:dyDescent="0.25">
      <c r="A1105" s="1" t="str">
        <f t="shared" si="44"/>
        <v>11460</v>
      </c>
      <c r="B1105" s="1" t="str">
        <f>"48107"</f>
        <v>48107</v>
      </c>
      <c r="C1105" s="2">
        <v>5.46996297623313E-3</v>
      </c>
      <c r="D1105" s="2">
        <v>2.1940646882293999E-2</v>
      </c>
      <c r="E1105" s="2">
        <v>8.9445438282647501E-5</v>
      </c>
      <c r="F1105" s="2">
        <v>6.4347870994396596E-3</v>
      </c>
    </row>
    <row r="1106" spans="1:6" x14ac:dyDescent="0.25">
      <c r="A1106" s="1" t="str">
        <f t="shared" si="44"/>
        <v>11460</v>
      </c>
      <c r="B1106" s="1" t="str">
        <f>"48108"</f>
        <v>48108</v>
      </c>
      <c r="C1106" s="2">
        <v>7.1551415263346393E-2</v>
      </c>
      <c r="D1106" s="2">
        <v>0.11850616872290699</v>
      </c>
      <c r="E1106" s="2">
        <v>8.9177101967799599E-2</v>
      </c>
      <c r="F1106" s="2">
        <v>7.6205231492240497E-2</v>
      </c>
    </row>
    <row r="1107" spans="1:6" x14ac:dyDescent="0.25">
      <c r="A1107" s="1" t="str">
        <f t="shared" si="44"/>
        <v>11460</v>
      </c>
      <c r="B1107" s="1" t="str">
        <f>"48109"</f>
        <v>48109</v>
      </c>
      <c r="C1107" s="2">
        <v>6.5687328317210004E-5</v>
      </c>
      <c r="D1107" s="2">
        <v>4.5215071690563498E-2</v>
      </c>
      <c r="E1107" s="2">
        <v>1.34168157423971E-3</v>
      </c>
      <c r="F1107" s="2">
        <v>3.63570635473958E-3</v>
      </c>
    </row>
    <row r="1108" spans="1:6" x14ac:dyDescent="0.25">
      <c r="A1108" s="1" t="str">
        <f t="shared" si="44"/>
        <v>11460</v>
      </c>
      <c r="B1108" s="1" t="str">
        <f>"48167"</f>
        <v>48167</v>
      </c>
      <c r="C1108" s="2">
        <v>5.8103427684223002E-3</v>
      </c>
      <c r="D1108" s="2">
        <v>8.6695565188396097E-4</v>
      </c>
      <c r="E1108" s="2">
        <v>0</v>
      </c>
      <c r="F1108" s="2">
        <v>5.09205463888243E-3</v>
      </c>
    </row>
    <row r="1109" spans="1:6" x14ac:dyDescent="0.25">
      <c r="A1109" s="1" t="str">
        <f t="shared" si="44"/>
        <v>11460</v>
      </c>
      <c r="B1109" s="1" t="str">
        <f>"48118"</f>
        <v>48118</v>
      </c>
      <c r="C1109" s="2">
        <v>3.8253911381822499E-2</v>
      </c>
      <c r="D1109" s="2">
        <v>4.6482160720240001E-2</v>
      </c>
      <c r="E1109" s="2">
        <v>1.88729874776386E-2</v>
      </c>
      <c r="F1109" s="2">
        <v>3.7772096986598398E-2</v>
      </c>
    </row>
    <row r="1110" spans="1:6" x14ac:dyDescent="0.25">
      <c r="A1110" s="1" t="str">
        <f t="shared" si="44"/>
        <v>11460</v>
      </c>
      <c r="B1110" s="1" t="str">
        <f>"48111"</f>
        <v>48111</v>
      </c>
      <c r="C1110" s="2">
        <v>7.5241848799713297E-4</v>
      </c>
      <c r="D1110" s="2">
        <v>2.6675558519506501E-3</v>
      </c>
      <c r="E1110" s="2">
        <v>0</v>
      </c>
      <c r="F1110" s="2">
        <v>8.5728303250961796E-4</v>
      </c>
    </row>
    <row r="1111" spans="1:6" x14ac:dyDescent="0.25">
      <c r="A1111" s="1" t="str">
        <f t="shared" si="44"/>
        <v>11460</v>
      </c>
      <c r="B1111" s="1" t="str">
        <f>"49230"</f>
        <v>49230</v>
      </c>
      <c r="C1111" s="2">
        <v>2.3886301206258199E-5</v>
      </c>
      <c r="D1111" s="2">
        <v>0</v>
      </c>
      <c r="E1111" s="2">
        <v>0</v>
      </c>
      <c r="F1111" s="2">
        <v>2.06574224701112E-5</v>
      </c>
    </row>
    <row r="1112" spans="1:6" x14ac:dyDescent="0.25">
      <c r="A1112" s="1" t="str">
        <f t="shared" si="44"/>
        <v>11460</v>
      </c>
      <c r="B1112" s="1" t="str">
        <f>"48189"</f>
        <v>48189</v>
      </c>
      <c r="C1112" s="2">
        <v>2.49910426370476E-2</v>
      </c>
      <c r="D1112" s="2">
        <v>1.5605201733911301E-2</v>
      </c>
      <c r="E1112" s="2">
        <v>1.26118067978533E-2</v>
      </c>
      <c r="F1112" s="2">
        <v>2.35494616159268E-2</v>
      </c>
    </row>
    <row r="1113" spans="1:6" x14ac:dyDescent="0.25">
      <c r="A1113" s="1" t="str">
        <f t="shared" si="44"/>
        <v>11460</v>
      </c>
      <c r="B1113" s="1" t="str">
        <f>"49285"</f>
        <v>49285</v>
      </c>
      <c r="C1113" s="2">
        <v>3.4037979218917898E-4</v>
      </c>
      <c r="D1113" s="2">
        <v>0</v>
      </c>
      <c r="E1113" s="2">
        <v>0</v>
      </c>
      <c r="F1113" s="2">
        <v>2.9436827019908499E-4</v>
      </c>
    </row>
    <row r="1114" spans="1:6" x14ac:dyDescent="0.25">
      <c r="A1114" s="1" t="str">
        <f t="shared" si="44"/>
        <v>11460</v>
      </c>
      <c r="B1114" s="1" t="str">
        <f>"49287"</f>
        <v>49287</v>
      </c>
      <c r="C1114" s="2">
        <v>5.37441777140809E-4</v>
      </c>
      <c r="D1114" s="2">
        <v>2.6675558519506502E-4</v>
      </c>
      <c r="E1114" s="2">
        <v>0</v>
      </c>
      <c r="F1114" s="2">
        <v>4.8544942804761498E-4</v>
      </c>
    </row>
    <row r="1115" spans="1:6" x14ac:dyDescent="0.25">
      <c r="A1115" s="1" t="str">
        <f t="shared" si="44"/>
        <v>11460</v>
      </c>
      <c r="B1115" s="1" t="str">
        <f>"48178"</f>
        <v>48178</v>
      </c>
      <c r="C1115" s="2">
        <v>5.7685417413113503E-3</v>
      </c>
      <c r="D1115" s="2">
        <v>7.3357785928642805E-4</v>
      </c>
      <c r="E1115" s="2">
        <v>3.5778175313059001E-4</v>
      </c>
      <c r="F1115" s="2">
        <v>5.06623286079479E-3</v>
      </c>
    </row>
    <row r="1116" spans="1:6" x14ac:dyDescent="0.25">
      <c r="A1116" s="1" t="str">
        <f t="shared" si="44"/>
        <v>11460</v>
      </c>
      <c r="B1116" s="1" t="str">
        <f>"48176"</f>
        <v>48176</v>
      </c>
      <c r="C1116" s="2">
        <v>5.6867311596799197E-2</v>
      </c>
      <c r="D1116" s="2">
        <v>5.80860286762254E-2</v>
      </c>
      <c r="E1116" s="2">
        <v>3.2915921288014301E-2</v>
      </c>
      <c r="F1116" s="2">
        <v>5.5578795155834401E-2</v>
      </c>
    </row>
    <row r="1117" spans="1:6" x14ac:dyDescent="0.25">
      <c r="A1117" s="1" t="str">
        <f t="shared" si="44"/>
        <v>11460</v>
      </c>
      <c r="B1117" s="1" t="str">
        <f>"48113"</f>
        <v>48113</v>
      </c>
      <c r="C1117" s="2">
        <v>5.2729009912815001E-3</v>
      </c>
      <c r="D1117" s="2">
        <v>2.0340113371123701E-2</v>
      </c>
      <c r="E1117" s="2">
        <v>1.78890876565295E-4</v>
      </c>
      <c r="F1117" s="2">
        <v>6.1455831848580998E-3</v>
      </c>
    </row>
    <row r="1118" spans="1:6" x14ac:dyDescent="0.25">
      <c r="A1118" s="1" t="str">
        <f t="shared" si="44"/>
        <v>11460</v>
      </c>
      <c r="B1118" s="1" t="str">
        <f>"48191"</f>
        <v>48191</v>
      </c>
      <c r="C1118" s="2">
        <v>8.1213424101277895E-3</v>
      </c>
      <c r="D1118" s="2">
        <v>1.2004001333777901E-3</v>
      </c>
      <c r="E1118" s="2">
        <v>1.0733452593917701E-3</v>
      </c>
      <c r="F1118" s="2">
        <v>7.1784543083636696E-3</v>
      </c>
    </row>
    <row r="1119" spans="1:6" x14ac:dyDescent="0.25">
      <c r="A1119" s="1" t="str">
        <f t="shared" si="44"/>
        <v>11460</v>
      </c>
      <c r="B1119" s="1" t="str">
        <f>"48169"</f>
        <v>48169</v>
      </c>
      <c r="C1119" s="2">
        <v>3.5650304550340298E-3</v>
      </c>
      <c r="D1119" s="2">
        <v>1.00033344448149E-3</v>
      </c>
      <c r="E1119" s="2">
        <v>1.0733452593917701E-3</v>
      </c>
      <c r="F1119" s="2">
        <v>3.2225579053373598E-3</v>
      </c>
    </row>
    <row r="1120" spans="1:6" x14ac:dyDescent="0.25">
      <c r="A1120" s="1" t="str">
        <f t="shared" si="44"/>
        <v>11460</v>
      </c>
      <c r="B1120" s="1" t="str">
        <f>"48130"</f>
        <v>48130</v>
      </c>
      <c r="C1120" s="2">
        <v>3.8056849396870797E-2</v>
      </c>
      <c r="D1120" s="2">
        <v>2.74091363787929E-2</v>
      </c>
      <c r="E1120" s="2">
        <v>2.1288014311270101E-2</v>
      </c>
      <c r="F1120" s="2">
        <v>3.6264105146280298E-2</v>
      </c>
    </row>
    <row r="1121" spans="1:6" x14ac:dyDescent="0.25">
      <c r="A1121" s="1" t="str">
        <f t="shared" si="44"/>
        <v>11460</v>
      </c>
      <c r="B1121" s="1" t="str">
        <f>"48103"</f>
        <v>48103</v>
      </c>
      <c r="C1121" s="2">
        <v>0.152012420876627</v>
      </c>
      <c r="D1121" s="2">
        <v>0.12510836945648501</v>
      </c>
      <c r="E1121" s="2">
        <v>0.140161001788908</v>
      </c>
      <c r="F1121" s="2">
        <v>0.149244712990936</v>
      </c>
    </row>
    <row r="1122" spans="1:6" x14ac:dyDescent="0.25">
      <c r="A1122" s="1" t="str">
        <f t="shared" si="44"/>
        <v>11460</v>
      </c>
      <c r="B1122" s="1" t="str">
        <f>"48105"</f>
        <v>48105</v>
      </c>
      <c r="C1122" s="2">
        <v>0.105147497909948</v>
      </c>
      <c r="D1122" s="2">
        <v>5.43514504834944E-2</v>
      </c>
      <c r="E1122" s="2">
        <v>0.115384615384615</v>
      </c>
      <c r="F1122" s="2">
        <v>0.101804942288325</v>
      </c>
    </row>
    <row r="1123" spans="1:6" x14ac:dyDescent="0.25">
      <c r="A1123" s="1" t="str">
        <f t="shared" si="44"/>
        <v>11460</v>
      </c>
      <c r="B1123" s="1" t="str">
        <f>"48106"</f>
        <v>48106</v>
      </c>
      <c r="C1123" s="2">
        <v>1.20745252597635E-2</v>
      </c>
      <c r="D1123" s="2">
        <v>5.3417805935311702E-2</v>
      </c>
      <c r="E1123" s="2">
        <v>3.5778175313059001E-4</v>
      </c>
      <c r="F1123" s="2">
        <v>1.4599633330751099E-2</v>
      </c>
    </row>
    <row r="1124" spans="1:6" x14ac:dyDescent="0.25">
      <c r="A1124" s="1" t="str">
        <f t="shared" si="44"/>
        <v>11460</v>
      </c>
      <c r="B1124" s="1" t="str">
        <f>"48197"</f>
        <v>48197</v>
      </c>
      <c r="C1124" s="2">
        <v>0.18348262271587201</v>
      </c>
      <c r="D1124" s="2">
        <v>0.129509836612204</v>
      </c>
      <c r="E1124" s="2">
        <v>0.24007155635062599</v>
      </c>
      <c r="F1124" s="2">
        <v>0.18257029979084299</v>
      </c>
    </row>
    <row r="1125" spans="1:6" x14ac:dyDescent="0.25">
      <c r="A1125" s="1" t="str">
        <f t="shared" si="44"/>
        <v>11460</v>
      </c>
      <c r="B1125" s="1" t="str">
        <f>"48104"</f>
        <v>48104</v>
      </c>
      <c r="C1125" s="2">
        <v>0.11030693897049999</v>
      </c>
      <c r="D1125" s="2">
        <v>0.17772590863621199</v>
      </c>
      <c r="E1125" s="2">
        <v>0.21261180679785299</v>
      </c>
      <c r="F1125" s="2">
        <v>0.12143465799054901</v>
      </c>
    </row>
    <row r="1126" spans="1:6" x14ac:dyDescent="0.25">
      <c r="A1126" s="1" t="str">
        <f t="shared" si="44"/>
        <v>11460</v>
      </c>
      <c r="B1126" s="1" t="str">
        <f>"48170"</f>
        <v>48170</v>
      </c>
      <c r="C1126" s="2">
        <v>4.63991400931565E-3</v>
      </c>
      <c r="D1126" s="2">
        <v>2.5341780593531099E-3</v>
      </c>
      <c r="E1126" s="2">
        <v>0</v>
      </c>
      <c r="F1126" s="2">
        <v>4.2089498282851696E-3</v>
      </c>
    </row>
    <row r="1127" spans="1:6" x14ac:dyDescent="0.25">
      <c r="A1127" s="1" t="str">
        <f t="shared" si="44"/>
        <v>11460</v>
      </c>
      <c r="B1127" s="1" t="str">
        <f>"49240"</f>
        <v>49240</v>
      </c>
      <c r="C1127" s="2">
        <v>1.9586766989131699E-3</v>
      </c>
      <c r="D1127" s="2">
        <v>3.3344448149383099E-4</v>
      </c>
      <c r="E1127" s="2">
        <v>3.5778175313059001E-4</v>
      </c>
      <c r="F1127" s="2">
        <v>1.74038784310687E-3</v>
      </c>
    </row>
    <row r="1128" spans="1:6" x14ac:dyDescent="0.25">
      <c r="A1128" s="1" t="str">
        <f t="shared" si="44"/>
        <v>11460</v>
      </c>
      <c r="B1128" s="1" t="str">
        <f>"49229"</f>
        <v>49229</v>
      </c>
      <c r="C1128" s="2">
        <v>1.37346231935984E-4</v>
      </c>
      <c r="D1128" s="2">
        <v>0</v>
      </c>
      <c r="E1128" s="2">
        <v>0</v>
      </c>
      <c r="F1128" s="2">
        <v>1.1878017920313901E-4</v>
      </c>
    </row>
    <row r="1129" spans="1:6" x14ac:dyDescent="0.25">
      <c r="A1129" s="1" t="str">
        <f t="shared" si="44"/>
        <v>11460</v>
      </c>
      <c r="B1129" s="1" t="str">
        <f>"48175"</f>
        <v>48175</v>
      </c>
      <c r="C1129" s="2">
        <v>0</v>
      </c>
      <c r="D1129" s="2">
        <v>0</v>
      </c>
      <c r="E1129" s="2">
        <v>8.9445438282647501E-5</v>
      </c>
      <c r="F1129" s="2">
        <v>5.1643556175278204E-6</v>
      </c>
    </row>
    <row r="1130" spans="1:6" x14ac:dyDescent="0.25">
      <c r="A1130" s="1" t="str">
        <f t="shared" si="44"/>
        <v>11460</v>
      </c>
      <c r="B1130" s="1" t="str">
        <f>"48137"</f>
        <v>48137</v>
      </c>
      <c r="C1130" s="2">
        <v>4.7772602412516404E-3</v>
      </c>
      <c r="D1130" s="2">
        <v>5.3351117039013003E-4</v>
      </c>
      <c r="E1130" s="2">
        <v>1.78890876565295E-4</v>
      </c>
      <c r="F1130" s="2">
        <v>4.1831280501975297E-3</v>
      </c>
    </row>
    <row r="1131" spans="1:6" x14ac:dyDescent="0.25">
      <c r="A1131" s="1" t="str">
        <f t="shared" si="44"/>
        <v>11460</v>
      </c>
      <c r="B1131" s="1" t="str">
        <f>"48160"</f>
        <v>48160</v>
      </c>
      <c r="C1131" s="2">
        <v>2.0500418010271099E-2</v>
      </c>
      <c r="D1131" s="2">
        <v>1.15371790596865E-2</v>
      </c>
      <c r="E1131" s="2">
        <v>1.14490161001788E-2</v>
      </c>
      <c r="F1131" s="2">
        <v>1.9283703875848799E-2</v>
      </c>
    </row>
    <row r="1132" spans="1:6" x14ac:dyDescent="0.25">
      <c r="A1132" s="1" t="str">
        <f t="shared" si="44"/>
        <v>11460</v>
      </c>
      <c r="B1132" s="1" t="str">
        <f>"48190"</f>
        <v>48190</v>
      </c>
      <c r="C1132" s="2">
        <v>1.7914725904693599E-5</v>
      </c>
      <c r="D1132" s="2">
        <v>0</v>
      </c>
      <c r="E1132" s="2">
        <v>8.9445438282647501E-5</v>
      </c>
      <c r="F1132" s="2">
        <v>2.06574224701112E-5</v>
      </c>
    </row>
    <row r="1133" spans="1:6" x14ac:dyDescent="0.25">
      <c r="A1133" s="1" t="str">
        <f t="shared" si="44"/>
        <v>11460</v>
      </c>
      <c r="B1133" s="1" t="str">
        <f>"49236"</f>
        <v>49236</v>
      </c>
      <c r="C1133" s="2">
        <v>1.80938731637405E-3</v>
      </c>
      <c r="D1133" s="2">
        <v>3.3344448149383099E-4</v>
      </c>
      <c r="E1133" s="2">
        <v>2.6833631484794198E-4</v>
      </c>
      <c r="F1133" s="2">
        <v>1.6061145970511499E-3</v>
      </c>
    </row>
    <row r="1134" spans="1:6" x14ac:dyDescent="0.25">
      <c r="A1134" s="1" t="str">
        <f t="shared" si="44"/>
        <v>11460</v>
      </c>
      <c r="B1134" s="1" t="str">
        <f>"48158"</f>
        <v>48158</v>
      </c>
      <c r="C1134" s="2">
        <v>1.9467335483100399E-2</v>
      </c>
      <c r="D1134" s="2">
        <v>7.26908969656552E-3</v>
      </c>
      <c r="E1134" s="2">
        <v>4.3828264758497297E-3</v>
      </c>
      <c r="F1134" s="2">
        <v>1.765176750071E-2</v>
      </c>
    </row>
    <row r="1135" spans="1:6" x14ac:dyDescent="0.25">
      <c r="A1135" s="1" t="str">
        <f t="shared" ref="A1135:A1153" si="45">"11500"</f>
        <v>11500</v>
      </c>
      <c r="B1135" s="1" t="str">
        <f>"36271"</f>
        <v>36271</v>
      </c>
      <c r="C1135" s="2">
        <v>4.93072898085384E-2</v>
      </c>
      <c r="D1135" s="2">
        <v>1.44487790781678E-2</v>
      </c>
      <c r="E1135" s="2">
        <v>1.0714285714285701E-2</v>
      </c>
      <c r="F1135" s="2">
        <v>4.5401029195824998E-2</v>
      </c>
    </row>
    <row r="1136" spans="1:6" x14ac:dyDescent="0.25">
      <c r="A1136" s="1" t="str">
        <f t="shared" si="45"/>
        <v>11500</v>
      </c>
      <c r="B1136" s="1" t="str">
        <f>"35905"</f>
        <v>35905</v>
      </c>
      <c r="C1136" s="2">
        <v>4.9203234629563502E-3</v>
      </c>
      <c r="D1136" s="2">
        <v>2.8897558156335702E-3</v>
      </c>
      <c r="E1136" s="2">
        <v>1.4285714285714199E-3</v>
      </c>
      <c r="F1136" s="2">
        <v>4.66974455306708E-3</v>
      </c>
    </row>
    <row r="1137" spans="1:6" x14ac:dyDescent="0.25">
      <c r="A1137" s="1" t="str">
        <f t="shared" si="45"/>
        <v>11500</v>
      </c>
      <c r="B1137" s="1" t="str">
        <f>"36254"</f>
        <v>36254</v>
      </c>
      <c r="C1137" s="2">
        <v>0</v>
      </c>
      <c r="D1137" s="2">
        <v>1.4448779078167799E-4</v>
      </c>
      <c r="E1137" s="2">
        <v>0</v>
      </c>
      <c r="F1137" s="2">
        <v>1.32287381106716E-5</v>
      </c>
    </row>
    <row r="1138" spans="1:6" x14ac:dyDescent="0.25">
      <c r="A1138" s="1" t="str">
        <f t="shared" si="45"/>
        <v>11500</v>
      </c>
      <c r="B1138" s="1" t="str">
        <f>"36207"</f>
        <v>36207</v>
      </c>
      <c r="C1138" s="2">
        <v>0.15675169461291399</v>
      </c>
      <c r="D1138" s="2">
        <v>0.118913451813321</v>
      </c>
      <c r="E1138" s="2">
        <v>0.2</v>
      </c>
      <c r="F1138" s="2">
        <v>0.15408834151310299</v>
      </c>
    </row>
    <row r="1139" spans="1:6" x14ac:dyDescent="0.25">
      <c r="A1139" s="1" t="str">
        <f t="shared" si="45"/>
        <v>11500</v>
      </c>
      <c r="B1139" s="1" t="str">
        <f>"36260"</f>
        <v>36260</v>
      </c>
      <c r="C1139" s="2">
        <v>2.0305624925674799E-2</v>
      </c>
      <c r="D1139" s="2">
        <v>8.0913162837740193E-3</v>
      </c>
      <c r="E1139" s="2">
        <v>4.2857142857142799E-3</v>
      </c>
      <c r="F1139" s="2">
        <v>1.8890638022039E-2</v>
      </c>
    </row>
    <row r="1140" spans="1:6" x14ac:dyDescent="0.25">
      <c r="A1140" s="1" t="str">
        <f t="shared" si="45"/>
        <v>11500</v>
      </c>
      <c r="B1140" s="1" t="str">
        <f>"36277"</f>
        <v>36277</v>
      </c>
      <c r="C1140" s="2">
        <v>3.9570698061600601E-2</v>
      </c>
      <c r="D1140" s="2">
        <v>7.07990174830226E-3</v>
      </c>
      <c r="E1140" s="2">
        <v>1.7142857142857099E-2</v>
      </c>
      <c r="F1140" s="2">
        <v>3.6180598732686801E-2</v>
      </c>
    </row>
    <row r="1141" spans="1:6" x14ac:dyDescent="0.25">
      <c r="A1141" s="1" t="str">
        <f t="shared" si="45"/>
        <v>11500</v>
      </c>
      <c r="B1141" s="1" t="str">
        <f>"36205"</f>
        <v>36205</v>
      </c>
      <c r="C1141" s="2">
        <v>1.4760970388868999E-2</v>
      </c>
      <c r="D1141" s="2">
        <v>1.28594133795694E-2</v>
      </c>
      <c r="E1141" s="2">
        <v>4.78571428571428E-2</v>
      </c>
      <c r="F1141" s="2">
        <v>1.5199820089161599E-2</v>
      </c>
    </row>
    <row r="1142" spans="1:6" x14ac:dyDescent="0.25">
      <c r="A1142" s="1" t="str">
        <f t="shared" si="45"/>
        <v>11500</v>
      </c>
      <c r="B1142" s="1" t="str">
        <f>"36201"</f>
        <v>36201</v>
      </c>
      <c r="C1142" s="2">
        <v>0.17021940777738101</v>
      </c>
      <c r="D1142" s="2">
        <v>0.28391850888599901</v>
      </c>
      <c r="E1142" s="2">
        <v>0.13214285714285701</v>
      </c>
      <c r="F1142" s="2">
        <v>0.17992406704324401</v>
      </c>
    </row>
    <row r="1143" spans="1:6" x14ac:dyDescent="0.25">
      <c r="A1143" s="1" t="str">
        <f t="shared" si="45"/>
        <v>11500</v>
      </c>
      <c r="B1143" s="1" t="str">
        <f>"36202"</f>
        <v>36202</v>
      </c>
      <c r="C1143" s="2">
        <v>2.8035438220953699E-2</v>
      </c>
      <c r="D1143" s="2">
        <v>8.5681259933535606E-2</v>
      </c>
      <c r="E1143" s="2">
        <v>1.4285714285714199E-3</v>
      </c>
      <c r="F1143" s="2">
        <v>3.2820499252576199E-2</v>
      </c>
    </row>
    <row r="1144" spans="1:6" x14ac:dyDescent="0.25">
      <c r="A1144" s="1" t="str">
        <f t="shared" si="45"/>
        <v>11500</v>
      </c>
      <c r="B1144" s="1" t="str">
        <f>"36272"</f>
        <v>36272</v>
      </c>
      <c r="C1144" s="2">
        <v>7.3210250921631498E-2</v>
      </c>
      <c r="D1144" s="2">
        <v>6.3719115734720402E-2</v>
      </c>
      <c r="E1144" s="2">
        <v>5.5714285714285702E-2</v>
      </c>
      <c r="F1144" s="2">
        <v>7.2017250274496306E-2</v>
      </c>
    </row>
    <row r="1145" spans="1:6" x14ac:dyDescent="0.25">
      <c r="A1145" s="1" t="str">
        <f t="shared" si="45"/>
        <v>11500</v>
      </c>
      <c r="B1145" s="1" t="str">
        <f>"36206"</f>
        <v>36206</v>
      </c>
      <c r="C1145" s="2">
        <v>8.5087406350338901E-2</v>
      </c>
      <c r="D1145" s="2">
        <v>6.3719115734720402E-2</v>
      </c>
      <c r="E1145" s="2">
        <v>8.2857142857142796E-2</v>
      </c>
      <c r="F1145" s="2">
        <v>8.3089704073128406E-2</v>
      </c>
    </row>
    <row r="1146" spans="1:6" x14ac:dyDescent="0.25">
      <c r="A1146" s="1" t="str">
        <f t="shared" si="45"/>
        <v>11500</v>
      </c>
      <c r="B1146" s="1" t="str">
        <f>"36265"</f>
        <v>36265</v>
      </c>
      <c r="C1146" s="2">
        <v>0.16070579141396099</v>
      </c>
      <c r="D1146" s="2">
        <v>8.0335211674613397E-2</v>
      </c>
      <c r="E1146" s="2">
        <v>0.20642857142857099</v>
      </c>
      <c r="F1146" s="2">
        <v>0.154194171417988</v>
      </c>
    </row>
    <row r="1147" spans="1:6" x14ac:dyDescent="0.25">
      <c r="A1147" s="1" t="str">
        <f t="shared" si="45"/>
        <v>11500</v>
      </c>
      <c r="B1147" s="1" t="str">
        <f>"36279"</f>
        <v>36279</v>
      </c>
      <c r="C1147" s="2">
        <v>2.0394815079081901E-2</v>
      </c>
      <c r="D1147" s="2">
        <v>5.4905360497038E-3</v>
      </c>
      <c r="E1147" s="2">
        <v>4.2857142857142799E-3</v>
      </c>
      <c r="F1147" s="2">
        <v>1.8731893164711001E-2</v>
      </c>
    </row>
    <row r="1148" spans="1:6" x14ac:dyDescent="0.25">
      <c r="A1148" s="1" t="str">
        <f t="shared" si="45"/>
        <v>11500</v>
      </c>
      <c r="B1148" s="1" t="str">
        <f>"36253"</f>
        <v>36253</v>
      </c>
      <c r="C1148" s="2">
        <v>0</v>
      </c>
      <c r="D1148" s="2">
        <v>2.8897558156335701E-4</v>
      </c>
      <c r="E1148" s="2">
        <v>0</v>
      </c>
      <c r="F1148" s="2">
        <v>2.64574762213432E-5</v>
      </c>
    </row>
    <row r="1149" spans="1:6" x14ac:dyDescent="0.25">
      <c r="A1149" s="1" t="str">
        <f t="shared" si="45"/>
        <v>11500</v>
      </c>
      <c r="B1149" s="1" t="str">
        <f>"36257"</f>
        <v>36257</v>
      </c>
      <c r="C1149" s="2">
        <v>6.1243905339517096E-3</v>
      </c>
      <c r="D1149" s="2">
        <v>3.90117035110533E-3</v>
      </c>
      <c r="E1149" s="2">
        <v>7.1428571428571396E-4</v>
      </c>
      <c r="F1149" s="2">
        <v>5.8206447686955098E-3</v>
      </c>
    </row>
    <row r="1150" spans="1:6" x14ac:dyDescent="0.25">
      <c r="A1150" s="1" t="str">
        <f t="shared" si="45"/>
        <v>11500</v>
      </c>
      <c r="B1150" s="1" t="str">
        <f>"36204"</f>
        <v>36204</v>
      </c>
      <c r="C1150" s="2">
        <v>1.08217386133904E-2</v>
      </c>
      <c r="D1150" s="2">
        <v>1.34373645426961E-2</v>
      </c>
      <c r="E1150" s="2">
        <v>7.1428571428571396E-4</v>
      </c>
      <c r="F1150" s="2">
        <v>1.0874022726972001E-2</v>
      </c>
    </row>
    <row r="1151" spans="1:6" x14ac:dyDescent="0.25">
      <c r="A1151" s="1" t="str">
        <f t="shared" si="45"/>
        <v>11500</v>
      </c>
      <c r="B1151" s="1" t="str">
        <f>"35096"</f>
        <v>35096</v>
      </c>
      <c r="C1151" s="2">
        <v>2.2594838863122801E-3</v>
      </c>
      <c r="D1151" s="2">
        <v>4.3346337234503602E-4</v>
      </c>
      <c r="E1151" s="2">
        <v>0</v>
      </c>
      <c r="F1151" s="2">
        <v>2.0504544071541001E-3</v>
      </c>
    </row>
    <row r="1152" spans="1:6" x14ac:dyDescent="0.25">
      <c r="A1152" s="1" t="str">
        <f t="shared" si="45"/>
        <v>11500</v>
      </c>
      <c r="B1152" s="1" t="str">
        <f>"36203"</f>
        <v>36203</v>
      </c>
      <c r="C1152" s="2">
        <v>0.12696218337495499</v>
      </c>
      <c r="D1152" s="2">
        <v>0.209073833261089</v>
      </c>
      <c r="E1152" s="2">
        <v>0.20214285714285701</v>
      </c>
      <c r="F1152" s="2">
        <v>0.13587236913470799</v>
      </c>
    </row>
    <row r="1153" spans="1:6" x14ac:dyDescent="0.25">
      <c r="A1153" s="1" t="str">
        <f t="shared" si="45"/>
        <v>11500</v>
      </c>
      <c r="B1153" s="1" t="str">
        <f>"36250"</f>
        <v>36250</v>
      </c>
      <c r="C1153" s="2">
        <v>3.05624925674872E-2</v>
      </c>
      <c r="D1153" s="2">
        <v>2.5574338968357101E-2</v>
      </c>
      <c r="E1153" s="2">
        <v>3.2142857142857098E-2</v>
      </c>
      <c r="F1153" s="2">
        <v>3.0135065416109899E-2</v>
      </c>
    </row>
    <row r="1154" spans="1:6" x14ac:dyDescent="0.25">
      <c r="A1154" s="1" t="str">
        <f t="shared" ref="A1154:A1194" si="46">"11540"</f>
        <v>11540</v>
      </c>
      <c r="B1154" s="1" t="str">
        <f>"54165"</f>
        <v>54165</v>
      </c>
      <c r="C1154" s="2">
        <v>2.9303197228689799E-2</v>
      </c>
      <c r="D1154" s="2">
        <v>2.1575342465753398E-2</v>
      </c>
      <c r="E1154" s="2">
        <v>1.87061574434918E-2</v>
      </c>
      <c r="F1154" s="2">
        <v>2.8385885695441499E-2</v>
      </c>
    </row>
    <row r="1155" spans="1:6" x14ac:dyDescent="0.25">
      <c r="A1155" s="1" t="str">
        <f t="shared" si="46"/>
        <v>11540</v>
      </c>
      <c r="B1155" s="1" t="str">
        <f>"54944"</f>
        <v>54944</v>
      </c>
      <c r="C1155" s="2">
        <v>3.45940522838699E-2</v>
      </c>
      <c r="D1155" s="2">
        <v>1.9748858447488499E-2</v>
      </c>
      <c r="E1155" s="2">
        <v>1.40296180826188E-2</v>
      </c>
      <c r="F1155" s="2">
        <v>3.28251439588036E-2</v>
      </c>
    </row>
    <row r="1156" spans="1:6" x14ac:dyDescent="0.25">
      <c r="A1156" s="1" t="str">
        <f t="shared" si="46"/>
        <v>11540</v>
      </c>
      <c r="B1156" s="1" t="str">
        <f>"54942"</f>
        <v>54942</v>
      </c>
      <c r="C1156" s="2">
        <v>3.6411304825184003E-2</v>
      </c>
      <c r="D1156" s="2">
        <v>3.29908675799086E-2</v>
      </c>
      <c r="E1156" s="2">
        <v>2.3122889062094001E-2</v>
      </c>
      <c r="F1156" s="2">
        <v>3.5725459357533601E-2</v>
      </c>
    </row>
    <row r="1157" spans="1:6" x14ac:dyDescent="0.25">
      <c r="A1157" s="1" t="str">
        <f t="shared" si="46"/>
        <v>11540</v>
      </c>
      <c r="B1157" s="1" t="str">
        <f>"53020"</f>
        <v>53020</v>
      </c>
      <c r="C1157" s="2">
        <v>3.3126999451038201E-4</v>
      </c>
      <c r="D1157" s="2">
        <v>2.2831050228310499E-4</v>
      </c>
      <c r="E1157" s="2">
        <v>0</v>
      </c>
      <c r="F1157" s="2">
        <v>3.1286201094171402E-4</v>
      </c>
    </row>
    <row r="1158" spans="1:6" x14ac:dyDescent="0.25">
      <c r="A1158" s="1" t="str">
        <f t="shared" si="46"/>
        <v>11540</v>
      </c>
      <c r="B1158" s="1" t="str">
        <f>"54940"</f>
        <v>54940</v>
      </c>
      <c r="C1158" s="2">
        <v>1.98761996706229E-3</v>
      </c>
      <c r="D1158" s="2">
        <v>4.5662100456620998E-4</v>
      </c>
      <c r="E1158" s="2">
        <v>0</v>
      </c>
      <c r="F1158" s="2">
        <v>1.8095262254466699E-3</v>
      </c>
    </row>
    <row r="1159" spans="1:6" x14ac:dyDescent="0.25">
      <c r="A1159" s="1" t="str">
        <f t="shared" si="46"/>
        <v>11540</v>
      </c>
      <c r="B1159" s="1" t="str">
        <f>"53079"</f>
        <v>53079</v>
      </c>
      <c r="C1159" s="2">
        <v>3.7859427944043698E-5</v>
      </c>
      <c r="D1159" s="2">
        <v>0</v>
      </c>
      <c r="E1159" s="2">
        <v>0</v>
      </c>
      <c r="F1159" s="2">
        <v>3.3822920101806902E-5</v>
      </c>
    </row>
    <row r="1160" spans="1:6" x14ac:dyDescent="0.25">
      <c r="A1160" s="1" t="str">
        <f t="shared" si="46"/>
        <v>11540</v>
      </c>
      <c r="B1160" s="1" t="str">
        <f>"54180"</f>
        <v>54180</v>
      </c>
      <c r="C1160" s="2">
        <v>1.15471255229333E-3</v>
      </c>
      <c r="D1160" s="2">
        <v>4.5662100456620998E-4</v>
      </c>
      <c r="E1160" s="2">
        <v>0</v>
      </c>
      <c r="F1160" s="2">
        <v>1.0654219832069199E-3</v>
      </c>
    </row>
    <row r="1161" spans="1:6" x14ac:dyDescent="0.25">
      <c r="A1161" s="1" t="str">
        <f t="shared" si="46"/>
        <v>11540</v>
      </c>
      <c r="B1161" s="1" t="str">
        <f>"54929"</f>
        <v>54929</v>
      </c>
      <c r="C1161" s="2">
        <v>1.3250799780415299E-4</v>
      </c>
      <c r="D1161" s="2">
        <v>0</v>
      </c>
      <c r="E1161" s="2">
        <v>0</v>
      </c>
      <c r="F1161" s="2">
        <v>1.18380220356324E-4</v>
      </c>
    </row>
    <row r="1162" spans="1:6" x14ac:dyDescent="0.25">
      <c r="A1162" s="1" t="str">
        <f t="shared" si="46"/>
        <v>11540</v>
      </c>
      <c r="B1162" s="1" t="str">
        <f>"54160"</f>
        <v>54160</v>
      </c>
      <c r="C1162" s="2">
        <v>1.0222045544891799E-3</v>
      </c>
      <c r="D1162" s="2">
        <v>1.1415525114155201E-4</v>
      </c>
      <c r="E1162" s="2">
        <v>7.7942322681215901E-4</v>
      </c>
      <c r="F1162" s="2">
        <v>9.47041762850595E-4</v>
      </c>
    </row>
    <row r="1163" spans="1:6" x14ac:dyDescent="0.25">
      <c r="A1163" s="1" t="str">
        <f t="shared" si="46"/>
        <v>11540</v>
      </c>
      <c r="B1163" s="1" t="str">
        <f>"54914"</f>
        <v>54914</v>
      </c>
      <c r="C1163" s="2">
        <v>0.12784182331004901</v>
      </c>
      <c r="D1163" s="2">
        <v>0.195890410958904</v>
      </c>
      <c r="E1163" s="2">
        <v>0.18810080540400101</v>
      </c>
      <c r="F1163" s="2">
        <v>0.13484352671587899</v>
      </c>
    </row>
    <row r="1164" spans="1:6" x14ac:dyDescent="0.25">
      <c r="A1164" s="1" t="str">
        <f t="shared" si="46"/>
        <v>11540</v>
      </c>
      <c r="B1164" s="1" t="str">
        <f>"54140"</f>
        <v>54140</v>
      </c>
      <c r="C1164" s="2">
        <v>3.4537263141953899E-2</v>
      </c>
      <c r="D1164" s="2">
        <v>3.2876712328767099E-2</v>
      </c>
      <c r="E1164" s="2">
        <v>2.67601974538841E-2</v>
      </c>
      <c r="F1164" s="2">
        <v>3.4161149302825003E-2</v>
      </c>
    </row>
    <row r="1165" spans="1:6" x14ac:dyDescent="0.25">
      <c r="A1165" s="1" t="str">
        <f t="shared" si="46"/>
        <v>11540</v>
      </c>
      <c r="B1165" s="1" t="str">
        <f>"54155"</f>
        <v>54155</v>
      </c>
      <c r="C1165" s="2">
        <v>4.6661744941033896E-3</v>
      </c>
      <c r="D1165" s="2">
        <v>3.3105022831050198E-3</v>
      </c>
      <c r="E1165" s="2">
        <v>1.0392309690828701E-3</v>
      </c>
      <c r="F1165" s="2">
        <v>4.4477139933876099E-3</v>
      </c>
    </row>
    <row r="1166" spans="1:6" x14ac:dyDescent="0.25">
      <c r="A1166" s="1" t="str">
        <f t="shared" si="46"/>
        <v>11540</v>
      </c>
      <c r="B1166" s="1" t="str">
        <f>"53049"</f>
        <v>53049</v>
      </c>
      <c r="C1166" s="2">
        <v>4.7324284930054701E-4</v>
      </c>
      <c r="D1166" s="2">
        <v>0</v>
      </c>
      <c r="E1166" s="2">
        <v>0</v>
      </c>
      <c r="F1166" s="2">
        <v>4.22786501272587E-4</v>
      </c>
    </row>
    <row r="1167" spans="1:6" x14ac:dyDescent="0.25">
      <c r="A1167" s="1" t="str">
        <f t="shared" si="46"/>
        <v>11540</v>
      </c>
      <c r="B1167" s="1" t="str">
        <f>"54152"</f>
        <v>54152</v>
      </c>
      <c r="C1167" s="2">
        <v>8.6130198572699501E-4</v>
      </c>
      <c r="D1167" s="2">
        <v>0</v>
      </c>
      <c r="E1167" s="2">
        <v>1.0392309690828701E-3</v>
      </c>
      <c r="F1167" s="2">
        <v>8.03294352417916E-4</v>
      </c>
    </row>
    <row r="1168" spans="1:6" x14ac:dyDescent="0.25">
      <c r="A1168" s="1" t="str">
        <f t="shared" si="46"/>
        <v>11540</v>
      </c>
      <c r="B1168" s="1" t="str">
        <f>"54123"</f>
        <v>54123</v>
      </c>
      <c r="C1168" s="2">
        <v>1.40079883392961E-3</v>
      </c>
      <c r="D1168" s="2">
        <v>1.1415525114155201E-4</v>
      </c>
      <c r="E1168" s="2">
        <v>1.8186541958950301E-3</v>
      </c>
      <c r="F1168" s="2">
        <v>1.3190938839704701E-3</v>
      </c>
    </row>
    <row r="1169" spans="1:6" x14ac:dyDescent="0.25">
      <c r="A1169" s="1" t="str">
        <f t="shared" si="46"/>
        <v>11540</v>
      </c>
      <c r="B1169" s="1" t="str">
        <f>"54913"</f>
        <v>54913</v>
      </c>
      <c r="C1169" s="2">
        <v>9.8699528650122006E-2</v>
      </c>
      <c r="D1169" s="2">
        <v>0.12557077625570701</v>
      </c>
      <c r="E1169" s="2">
        <v>0.17147310989867401</v>
      </c>
      <c r="F1169" s="2">
        <v>0.103058437550205</v>
      </c>
    </row>
    <row r="1170" spans="1:6" x14ac:dyDescent="0.25">
      <c r="A1170" s="1" t="str">
        <f t="shared" si="46"/>
        <v>11540</v>
      </c>
      <c r="B1170" s="1" t="str">
        <f>"54922"</f>
        <v>54922</v>
      </c>
      <c r="C1170" s="2">
        <v>3.5114619418100501E-3</v>
      </c>
      <c r="D1170" s="2">
        <v>1.59817351598173E-3</v>
      </c>
      <c r="E1170" s="2">
        <v>1.8186541958950301E-3</v>
      </c>
      <c r="F1170" s="2">
        <v>3.3146461699770798E-3</v>
      </c>
    </row>
    <row r="1171" spans="1:6" x14ac:dyDescent="0.25">
      <c r="A1171" s="1" t="str">
        <f t="shared" si="46"/>
        <v>11540</v>
      </c>
      <c r="B1171" s="1" t="str">
        <f>"54952"</f>
        <v>54952</v>
      </c>
      <c r="C1171" s="2">
        <v>2.5384746436481299E-2</v>
      </c>
      <c r="D1171" s="2">
        <v>8.5616438356164292E-3</v>
      </c>
      <c r="E1171" s="2">
        <v>1.9745388412574599E-2</v>
      </c>
      <c r="F1171" s="2">
        <v>2.39550831621048E-2</v>
      </c>
    </row>
    <row r="1172" spans="1:6" x14ac:dyDescent="0.25">
      <c r="A1172" s="1" t="str">
        <f t="shared" si="46"/>
        <v>11540</v>
      </c>
      <c r="B1172" s="1" t="str">
        <f>"54915"</f>
        <v>54915</v>
      </c>
      <c r="C1172" s="2">
        <v>0.14838056296969299</v>
      </c>
      <c r="D1172" s="2">
        <v>7.9452054794520499E-2</v>
      </c>
      <c r="E1172" s="2">
        <v>0.15744349181605599</v>
      </c>
      <c r="F1172" s="2">
        <v>0.14356984010214499</v>
      </c>
    </row>
    <row r="1173" spans="1:6" x14ac:dyDescent="0.25">
      <c r="A1173" s="1" t="str">
        <f t="shared" si="46"/>
        <v>11540</v>
      </c>
      <c r="B1173" s="1" t="str">
        <f>"54911"</f>
        <v>54911</v>
      </c>
      <c r="C1173" s="2">
        <v>0.12797433130785299</v>
      </c>
      <c r="D1173" s="2">
        <v>0.176141552511415</v>
      </c>
      <c r="E1173" s="2">
        <v>0.160561184723304</v>
      </c>
      <c r="F1173" s="2">
        <v>0.13260275825913401</v>
      </c>
    </row>
    <row r="1174" spans="1:6" x14ac:dyDescent="0.25">
      <c r="A1174" s="1" t="str">
        <f t="shared" si="46"/>
        <v>11540</v>
      </c>
      <c r="B1174" s="1" t="str">
        <f>"53061"</f>
        <v>53061</v>
      </c>
      <c r="C1174" s="2">
        <v>2.1844889923713199E-2</v>
      </c>
      <c r="D1174" s="2">
        <v>1.7351598173515899E-2</v>
      </c>
      <c r="E1174" s="2">
        <v>1.74071187321382E-2</v>
      </c>
      <c r="F1174" s="2">
        <v>2.1367629774316499E-2</v>
      </c>
    </row>
    <row r="1175" spans="1:6" x14ac:dyDescent="0.25">
      <c r="A1175" s="1" t="str">
        <f t="shared" si="46"/>
        <v>11540</v>
      </c>
      <c r="B1175" s="1" t="str">
        <f>"54170"</f>
        <v>54170</v>
      </c>
      <c r="C1175" s="2">
        <v>1.4689458042288901E-2</v>
      </c>
      <c r="D1175" s="2">
        <v>2.9680365296803602E-3</v>
      </c>
      <c r="E1175" s="2">
        <v>2.3382696804364702E-3</v>
      </c>
      <c r="F1175" s="2">
        <v>1.34192435503919E-2</v>
      </c>
    </row>
    <row r="1176" spans="1:6" x14ac:dyDescent="0.25">
      <c r="A1176" s="1" t="str">
        <f t="shared" si="46"/>
        <v>11540</v>
      </c>
      <c r="B1176" s="1" t="str">
        <f>"53042"</f>
        <v>53042</v>
      </c>
      <c r="C1176" s="2">
        <v>3.0098245215514699E-3</v>
      </c>
      <c r="D1176" s="2">
        <v>3.1963470319634701E-3</v>
      </c>
      <c r="E1176" s="2">
        <v>5.1961548454143905E-4</v>
      </c>
      <c r="F1176" s="2">
        <v>2.9425940488572002E-3</v>
      </c>
    </row>
    <row r="1177" spans="1:6" x14ac:dyDescent="0.25">
      <c r="A1177" s="1" t="str">
        <f t="shared" si="46"/>
        <v>11540</v>
      </c>
      <c r="B1177" s="1" t="str">
        <f>"54136"</f>
        <v>54136</v>
      </c>
      <c r="C1177" s="2">
        <v>2.9511424082382099E-2</v>
      </c>
      <c r="D1177" s="2">
        <v>2.3630136986301301E-2</v>
      </c>
      <c r="E1177" s="2">
        <v>2.3122889062094001E-2</v>
      </c>
      <c r="F1177" s="2">
        <v>2.88678623068922E-2</v>
      </c>
    </row>
    <row r="1178" spans="1:6" x14ac:dyDescent="0.25">
      <c r="A1178" s="1" t="str">
        <f t="shared" si="46"/>
        <v>11540</v>
      </c>
      <c r="B1178" s="1" t="str">
        <f>"54931"</f>
        <v>54931</v>
      </c>
      <c r="C1178" s="2">
        <v>3.7859427944043699E-4</v>
      </c>
      <c r="D1178" s="2">
        <v>0</v>
      </c>
      <c r="E1178" s="2">
        <v>1.0392309690828701E-3</v>
      </c>
      <c r="F1178" s="2">
        <v>3.72052121119876E-4</v>
      </c>
    </row>
    <row r="1179" spans="1:6" x14ac:dyDescent="0.25">
      <c r="A1179" s="1" t="str">
        <f t="shared" si="46"/>
        <v>11540</v>
      </c>
      <c r="B1179" s="1" t="str">
        <f>"53088"</f>
        <v>53088</v>
      </c>
      <c r="C1179" s="2">
        <v>7.47723701894864E-4</v>
      </c>
      <c r="D1179" s="2">
        <v>0</v>
      </c>
      <c r="E1179" s="2">
        <v>7.7942322681215901E-4</v>
      </c>
      <c r="F1179" s="2">
        <v>6.9336986208704302E-4</v>
      </c>
    </row>
    <row r="1180" spans="1:6" x14ac:dyDescent="0.25">
      <c r="A1180" s="1" t="str">
        <f t="shared" si="46"/>
        <v>11540</v>
      </c>
      <c r="B1180" s="1" t="str">
        <f>"54956"</f>
        <v>54956</v>
      </c>
      <c r="C1180" s="2">
        <v>5.1110227724458996E-4</v>
      </c>
      <c r="D1180" s="2">
        <v>2.2831050228310499E-4</v>
      </c>
      <c r="E1180" s="2">
        <v>0</v>
      </c>
      <c r="F1180" s="2">
        <v>4.7352088142529701E-4</v>
      </c>
    </row>
    <row r="1181" spans="1:6" x14ac:dyDescent="0.25">
      <c r="A1181" s="1" t="str">
        <f t="shared" si="46"/>
        <v>11540</v>
      </c>
      <c r="B1181" s="1" t="str">
        <f>"54919"</f>
        <v>54919</v>
      </c>
      <c r="C1181" s="2">
        <v>0</v>
      </c>
      <c r="D1181" s="2">
        <v>1.1415525114155201E-4</v>
      </c>
      <c r="E1181" s="2">
        <v>0</v>
      </c>
      <c r="F1181" s="2">
        <v>8.4557300254517406E-6</v>
      </c>
    </row>
    <row r="1182" spans="1:6" x14ac:dyDescent="0.25">
      <c r="A1182" s="1" t="str">
        <f t="shared" si="46"/>
        <v>11540</v>
      </c>
      <c r="B1182" s="1" t="str">
        <f>"54313"</f>
        <v>54313</v>
      </c>
      <c r="C1182" s="2">
        <v>1.1357828383213101E-4</v>
      </c>
      <c r="D1182" s="2">
        <v>0</v>
      </c>
      <c r="E1182" s="2">
        <v>0</v>
      </c>
      <c r="F1182" s="2">
        <v>1.0146876030542001E-4</v>
      </c>
    </row>
    <row r="1183" spans="1:6" x14ac:dyDescent="0.25">
      <c r="A1183" s="1" t="str">
        <f t="shared" si="46"/>
        <v>11540</v>
      </c>
      <c r="B1183" s="1" t="str">
        <f>"54107"</f>
        <v>54107</v>
      </c>
      <c r="C1183" s="2">
        <v>2.4608628163628403E-4</v>
      </c>
      <c r="D1183" s="2">
        <v>0</v>
      </c>
      <c r="E1183" s="2">
        <v>0</v>
      </c>
      <c r="F1183" s="2">
        <v>2.1984898066174501E-4</v>
      </c>
    </row>
    <row r="1184" spans="1:6" x14ac:dyDescent="0.25">
      <c r="A1184" s="1" t="str">
        <f t="shared" si="46"/>
        <v>11540</v>
      </c>
      <c r="B1184" s="1" t="str">
        <f>"54961"</f>
        <v>54961</v>
      </c>
      <c r="C1184" s="2">
        <v>1.32886592083593E-2</v>
      </c>
      <c r="D1184" s="2">
        <v>8.9041095890410905E-3</v>
      </c>
      <c r="E1184" s="2">
        <v>1.45492335671603E-2</v>
      </c>
      <c r="F1184" s="2">
        <v>1.3004912779144701E-2</v>
      </c>
    </row>
    <row r="1185" spans="1:6" x14ac:dyDescent="0.25">
      <c r="A1185" s="1" t="str">
        <f t="shared" si="46"/>
        <v>11540</v>
      </c>
      <c r="B1185" s="1" t="str">
        <f>"54912"</f>
        <v>54912</v>
      </c>
      <c r="C1185" s="2">
        <v>9.9664944062695209E-3</v>
      </c>
      <c r="D1185" s="2">
        <v>7.9680365296803599E-2</v>
      </c>
      <c r="E1185" s="2">
        <v>1.0392309690828701E-3</v>
      </c>
      <c r="F1185" s="2">
        <v>1.48398061946678E-2</v>
      </c>
    </row>
    <row r="1186" spans="1:6" x14ac:dyDescent="0.25">
      <c r="A1186" s="1" t="str">
        <f t="shared" si="46"/>
        <v>11540</v>
      </c>
      <c r="B1186" s="1" t="str">
        <f>"53014"</f>
        <v>53014</v>
      </c>
      <c r="C1186" s="2">
        <v>3.43479660022337E-2</v>
      </c>
      <c r="D1186" s="2">
        <v>2.8196347031963401E-2</v>
      </c>
      <c r="E1186" s="2">
        <v>2.39023122889062E-2</v>
      </c>
      <c r="F1186" s="2">
        <v>3.3552336740992499E-2</v>
      </c>
    </row>
    <row r="1187" spans="1:6" x14ac:dyDescent="0.25">
      <c r="A1187" s="1" t="str">
        <f t="shared" si="46"/>
        <v>11540</v>
      </c>
      <c r="B1187" s="1" t="str">
        <f>"54115"</f>
        <v>54115</v>
      </c>
      <c r="C1187" s="2">
        <v>6.7484430310257998E-3</v>
      </c>
      <c r="D1187" s="2">
        <v>1.71232876712328E-3</v>
      </c>
      <c r="E1187" s="2">
        <v>5.1961548454143905E-4</v>
      </c>
      <c r="F1187" s="2">
        <v>6.1726829185797701E-3</v>
      </c>
    </row>
    <row r="1188" spans="1:6" x14ac:dyDescent="0.25">
      <c r="A1188" s="1" t="str">
        <f t="shared" si="46"/>
        <v>11540</v>
      </c>
      <c r="B1188" s="1" t="str">
        <f>"54130"</f>
        <v>54130</v>
      </c>
      <c r="C1188" s="2">
        <v>0.10907301190679</v>
      </c>
      <c r="D1188" s="2">
        <v>9.9086757990867497E-2</v>
      </c>
      <c r="E1188" s="2">
        <v>9.1712133021564002E-2</v>
      </c>
      <c r="F1188" s="2">
        <v>0.107768279174382</v>
      </c>
    </row>
    <row r="1189" spans="1:6" x14ac:dyDescent="0.25">
      <c r="A1189" s="1" t="str">
        <f t="shared" si="46"/>
        <v>11540</v>
      </c>
      <c r="B1189" s="1" t="str">
        <f>"54106"</f>
        <v>54106</v>
      </c>
      <c r="C1189" s="2">
        <v>1.76424934219243E-2</v>
      </c>
      <c r="D1189" s="2">
        <v>5.8219178082191698E-3</v>
      </c>
      <c r="E1189" s="2">
        <v>7.2746167835801498E-3</v>
      </c>
      <c r="F1189" s="2">
        <v>1.6429483439452702E-2</v>
      </c>
    </row>
    <row r="1190" spans="1:6" x14ac:dyDescent="0.25">
      <c r="A1190" s="1" t="str">
        <f t="shared" si="46"/>
        <v>11540</v>
      </c>
      <c r="B1190" s="1" t="str">
        <f>"54169"</f>
        <v>54169</v>
      </c>
      <c r="C1190" s="2">
        <v>1.16323092358074E-2</v>
      </c>
      <c r="D1190" s="2">
        <v>3.8812785388127801E-3</v>
      </c>
      <c r="E1190" s="2">
        <v>3.6373083917900701E-3</v>
      </c>
      <c r="F1190" s="2">
        <v>1.07979672425018E-2</v>
      </c>
    </row>
    <row r="1191" spans="1:6" x14ac:dyDescent="0.25">
      <c r="A1191" s="1" t="str">
        <f t="shared" si="46"/>
        <v>11540</v>
      </c>
      <c r="B1191" s="1" t="str">
        <f>"54129"</f>
        <v>54129</v>
      </c>
      <c r="C1191" s="2">
        <v>1.4632668900372899E-2</v>
      </c>
      <c r="D1191" s="2">
        <v>6.0502283105022796E-3</v>
      </c>
      <c r="E1191" s="2">
        <v>4.4167316186022303E-3</v>
      </c>
      <c r="F1191" s="2">
        <v>1.366445972113E-2</v>
      </c>
    </row>
    <row r="1192" spans="1:6" x14ac:dyDescent="0.25">
      <c r="A1192" s="1" t="str">
        <f t="shared" si="46"/>
        <v>11540</v>
      </c>
      <c r="B1192" s="1" t="str">
        <f>"53062"</f>
        <v>53062</v>
      </c>
      <c r="C1192" s="2">
        <v>0</v>
      </c>
      <c r="D1192" s="2">
        <v>1.1415525114155201E-4</v>
      </c>
      <c r="E1192" s="2">
        <v>0</v>
      </c>
      <c r="F1192" s="2">
        <v>8.4557300254517406E-6</v>
      </c>
    </row>
    <row r="1193" spans="1:6" x14ac:dyDescent="0.25">
      <c r="A1193" s="1" t="str">
        <f t="shared" si="46"/>
        <v>11540</v>
      </c>
      <c r="B1193" s="1" t="str">
        <f>"54113"</f>
        <v>54113</v>
      </c>
      <c r="C1193" s="2">
        <v>1.34117023491775E-2</v>
      </c>
      <c r="D1193" s="2">
        <v>1.59817351598173E-3</v>
      </c>
      <c r="E1193" s="2">
        <v>1.55884645362431E-3</v>
      </c>
      <c r="F1193" s="2">
        <v>1.2150884046574099E-2</v>
      </c>
    </row>
    <row r="1194" spans="1:6" x14ac:dyDescent="0.25">
      <c r="A1194" s="1" t="str">
        <f t="shared" si="46"/>
        <v>11540</v>
      </c>
      <c r="B1194" s="1" t="str">
        <f>"54110"</f>
        <v>54110</v>
      </c>
      <c r="C1194" s="2">
        <v>1.9497605391182501E-2</v>
      </c>
      <c r="D1194" s="2">
        <v>1.8378995433789899E-2</v>
      </c>
      <c r="E1194" s="2">
        <v>1.9745388412574599E-2</v>
      </c>
      <c r="F1194" s="2">
        <v>1.9422811868462599E-2</v>
      </c>
    </row>
    <row r="1195" spans="1:6" x14ac:dyDescent="0.25">
      <c r="A1195" s="1" t="str">
        <f>"11580"</f>
        <v>11580</v>
      </c>
      <c r="B1195" s="1" t="str">
        <f>"34267"</f>
        <v>34267</v>
      </c>
      <c r="C1195" s="2">
        <v>0</v>
      </c>
      <c r="D1195" s="2">
        <v>0</v>
      </c>
      <c r="E1195" s="2">
        <v>7.4349442379182101E-3</v>
      </c>
      <c r="F1195" s="2">
        <v>1.0117361392148901E-4</v>
      </c>
    </row>
    <row r="1196" spans="1:6" x14ac:dyDescent="0.25">
      <c r="A1196" s="1" t="str">
        <f>"11580"</f>
        <v>11580</v>
      </c>
      <c r="B1196" s="1" t="str">
        <f>"34266"</f>
        <v>34266</v>
      </c>
      <c r="C1196" s="2">
        <v>0.74178403755868505</v>
      </c>
      <c r="D1196" s="2">
        <v>0.97862118664424602</v>
      </c>
      <c r="E1196" s="2">
        <v>0.858736059479553</v>
      </c>
      <c r="F1196" s="2">
        <v>0.79325171995143595</v>
      </c>
    </row>
    <row r="1197" spans="1:6" x14ac:dyDescent="0.25">
      <c r="A1197" s="1" t="str">
        <f>"11580"</f>
        <v>11580</v>
      </c>
      <c r="B1197" s="1" t="str">
        <f>"34268"</f>
        <v>34268</v>
      </c>
      <c r="C1197" s="2">
        <v>0</v>
      </c>
      <c r="D1197" s="2">
        <v>0</v>
      </c>
      <c r="E1197" s="2">
        <v>7.4349442379182101E-3</v>
      </c>
      <c r="F1197" s="2">
        <v>1.0117361392148901E-4</v>
      </c>
    </row>
    <row r="1198" spans="1:6" x14ac:dyDescent="0.25">
      <c r="A1198" s="1" t="str">
        <f>"11580"</f>
        <v>11580</v>
      </c>
      <c r="B1198" s="1" t="str">
        <f>"33865"</f>
        <v>33865</v>
      </c>
      <c r="C1198" s="2">
        <v>5.8685446009389597E-4</v>
      </c>
      <c r="D1198" s="2">
        <v>0</v>
      </c>
      <c r="E1198" s="2">
        <v>0</v>
      </c>
      <c r="F1198" s="2">
        <v>4.5528126264670103E-4</v>
      </c>
    </row>
    <row r="1199" spans="1:6" x14ac:dyDescent="0.25">
      <c r="A1199" s="1" t="str">
        <f>"11580"</f>
        <v>11580</v>
      </c>
      <c r="B1199" s="1" t="str">
        <f>"34269"</f>
        <v>34269</v>
      </c>
      <c r="C1199" s="2">
        <v>0.25762910798122002</v>
      </c>
      <c r="D1199" s="2">
        <v>2.1378813355753E-2</v>
      </c>
      <c r="E1199" s="2">
        <v>0.12639405204460899</v>
      </c>
      <c r="F1199" s="2">
        <v>0.20609065155807299</v>
      </c>
    </row>
    <row r="1200" spans="1:6" x14ac:dyDescent="0.25">
      <c r="A1200" s="1" t="str">
        <f t="shared" ref="A1200:A1221" si="47">"11620"</f>
        <v>11620</v>
      </c>
      <c r="B1200" s="1" t="str">
        <f>"73487"</f>
        <v>73487</v>
      </c>
      <c r="C1200" s="2">
        <v>0</v>
      </c>
      <c r="D1200" s="2">
        <v>0</v>
      </c>
      <c r="E1200" s="2">
        <v>2.2522522522522501E-3</v>
      </c>
      <c r="F1200" s="2">
        <v>2.8682059371862801E-5</v>
      </c>
    </row>
    <row r="1201" spans="1:6" x14ac:dyDescent="0.25">
      <c r="A1201" s="1" t="str">
        <f t="shared" si="47"/>
        <v>11620</v>
      </c>
      <c r="B1201" s="1" t="str">
        <f>"73443"</f>
        <v>73443</v>
      </c>
      <c r="C1201" s="2">
        <v>3.9507138666145102E-2</v>
      </c>
      <c r="D1201" s="2">
        <v>1.0686615014693999E-2</v>
      </c>
      <c r="E1201" s="2">
        <v>2.0270270270270199E-2</v>
      </c>
      <c r="F1201" s="2">
        <v>3.6168076867919098E-2</v>
      </c>
    </row>
    <row r="1202" spans="1:6" x14ac:dyDescent="0.25">
      <c r="A1202" s="1" t="str">
        <f t="shared" si="47"/>
        <v>11620</v>
      </c>
      <c r="B1202" s="1" t="str">
        <f>"73448"</f>
        <v>73448</v>
      </c>
      <c r="C1202" s="2">
        <v>0.12145511441423799</v>
      </c>
      <c r="D1202" s="2">
        <v>8.0683943360940397E-2</v>
      </c>
      <c r="E1202" s="2">
        <v>6.9819819819819801E-2</v>
      </c>
      <c r="F1202" s="2">
        <v>0.116420478990391</v>
      </c>
    </row>
    <row r="1203" spans="1:6" x14ac:dyDescent="0.25">
      <c r="A1203" s="1" t="str">
        <f t="shared" si="47"/>
        <v>11620</v>
      </c>
      <c r="B1203" s="1" t="str">
        <f>"73402"</f>
        <v>73402</v>
      </c>
      <c r="C1203" s="2">
        <v>3.9930895103983302E-2</v>
      </c>
      <c r="D1203" s="2">
        <v>0.116484103660165</v>
      </c>
      <c r="E1203" s="2">
        <v>4.5045045045045001E-3</v>
      </c>
      <c r="F1203" s="2">
        <v>4.7698264735408002E-2</v>
      </c>
    </row>
    <row r="1204" spans="1:6" x14ac:dyDescent="0.25">
      <c r="A1204" s="1" t="str">
        <f t="shared" si="47"/>
        <v>11620</v>
      </c>
      <c r="B1204" s="1" t="str">
        <f>"73430"</f>
        <v>73430</v>
      </c>
      <c r="C1204" s="2">
        <v>2.54905795684203E-2</v>
      </c>
      <c r="D1204" s="2">
        <v>3.4731498797755801E-3</v>
      </c>
      <c r="E1204" s="2">
        <v>5.18018018018018E-2</v>
      </c>
      <c r="F1204" s="2">
        <v>2.34619245661838E-2</v>
      </c>
    </row>
    <row r="1205" spans="1:6" x14ac:dyDescent="0.25">
      <c r="A1205" s="1" t="str">
        <f t="shared" si="47"/>
        <v>11620</v>
      </c>
      <c r="B1205" s="1" t="str">
        <f>"73436"</f>
        <v>73436</v>
      </c>
      <c r="C1205" s="2">
        <v>0</v>
      </c>
      <c r="D1205" s="2">
        <v>0</v>
      </c>
      <c r="E1205" s="2">
        <v>2.2522522522522501E-3</v>
      </c>
      <c r="F1205" s="2">
        <v>2.8682059371862801E-5</v>
      </c>
    </row>
    <row r="1206" spans="1:6" x14ac:dyDescent="0.25">
      <c r="A1206" s="1" t="str">
        <f t="shared" si="47"/>
        <v>11620</v>
      </c>
      <c r="B1206" s="1" t="str">
        <f>"73456"</f>
        <v>73456</v>
      </c>
      <c r="C1206" s="2">
        <v>8.4099354586348492E-3</v>
      </c>
      <c r="D1206" s="2">
        <v>2.6716537536735198E-3</v>
      </c>
      <c r="E1206" s="2">
        <v>0</v>
      </c>
      <c r="F1206" s="2">
        <v>7.6867919116592499E-3</v>
      </c>
    </row>
    <row r="1207" spans="1:6" x14ac:dyDescent="0.25">
      <c r="A1207" s="1" t="str">
        <f t="shared" si="47"/>
        <v>11620</v>
      </c>
      <c r="B1207" s="1" t="str">
        <f>"73444"</f>
        <v>73444</v>
      </c>
      <c r="C1207" s="2">
        <v>1.1408827172566601E-3</v>
      </c>
      <c r="D1207" s="2">
        <v>0</v>
      </c>
      <c r="E1207" s="2">
        <v>2.2522522522522501E-3</v>
      </c>
      <c r="F1207" s="2">
        <v>1.03255413738706E-3</v>
      </c>
    </row>
    <row r="1208" spans="1:6" x14ac:dyDescent="0.25">
      <c r="A1208" s="1" t="str">
        <f t="shared" si="47"/>
        <v>11620</v>
      </c>
      <c r="B1208" s="1" t="str">
        <f>"73463"</f>
        <v>73463</v>
      </c>
      <c r="C1208" s="2">
        <v>5.7826455440380703E-2</v>
      </c>
      <c r="D1208" s="2">
        <v>4.2746460058776303E-2</v>
      </c>
      <c r="E1208" s="2">
        <v>2.2522522522522501E-2</v>
      </c>
      <c r="F1208" s="2">
        <v>5.5757923418901401E-2</v>
      </c>
    </row>
    <row r="1209" spans="1:6" x14ac:dyDescent="0.25">
      <c r="A1209" s="1" t="str">
        <f t="shared" si="47"/>
        <v>11620</v>
      </c>
      <c r="B1209" s="1" t="str">
        <f>"73459"</f>
        <v>73459</v>
      </c>
      <c r="C1209" s="2">
        <v>2.59143360062585E-2</v>
      </c>
      <c r="D1209" s="2">
        <v>1.2289607266898201E-2</v>
      </c>
      <c r="E1209" s="2">
        <v>7.4324324324324301E-2</v>
      </c>
      <c r="F1209" s="2">
        <v>2.50681198910081E-2</v>
      </c>
    </row>
    <row r="1210" spans="1:6" x14ac:dyDescent="0.25">
      <c r="A1210" s="1" t="str">
        <f t="shared" si="47"/>
        <v>11620</v>
      </c>
      <c r="B1210" s="1" t="str">
        <f>"73401"</f>
        <v>73401</v>
      </c>
      <c r="C1210" s="2">
        <v>0.56858334963165702</v>
      </c>
      <c r="D1210" s="2">
        <v>0.66550895004007404</v>
      </c>
      <c r="E1210" s="2">
        <v>0.66666666666666596</v>
      </c>
      <c r="F1210" s="2">
        <v>0.58023806109278597</v>
      </c>
    </row>
    <row r="1211" spans="1:6" x14ac:dyDescent="0.25">
      <c r="A1211" s="1" t="str">
        <f t="shared" si="47"/>
        <v>11620</v>
      </c>
      <c r="B1211" s="1" t="str">
        <f>"73441"</f>
        <v>73441</v>
      </c>
      <c r="C1211" s="2">
        <v>2.1187821891909498E-3</v>
      </c>
      <c r="D1211" s="2">
        <v>0</v>
      </c>
      <c r="E1211" s="2">
        <v>4.5045045045045001E-3</v>
      </c>
      <c r="F1211" s="2">
        <v>1.9216979779148101E-3</v>
      </c>
    </row>
    <row r="1212" spans="1:6" x14ac:dyDescent="0.25">
      <c r="A1212" s="1" t="str">
        <f t="shared" si="47"/>
        <v>11620</v>
      </c>
      <c r="B1212" s="1" t="str">
        <f>"73446"</f>
        <v>73446</v>
      </c>
      <c r="C1212" s="2">
        <v>1.0756894191277101E-3</v>
      </c>
      <c r="D1212" s="2">
        <v>0</v>
      </c>
      <c r="E1212" s="2">
        <v>0</v>
      </c>
      <c r="F1212" s="2">
        <v>9.4650795927147505E-4</v>
      </c>
    </row>
    <row r="1213" spans="1:6" x14ac:dyDescent="0.25">
      <c r="A1213" s="1" t="str">
        <f t="shared" si="47"/>
        <v>11620</v>
      </c>
      <c r="B1213" s="1" t="str">
        <f>"73488"</f>
        <v>73488</v>
      </c>
      <c r="C1213" s="2">
        <v>7.4972292848295098E-4</v>
      </c>
      <c r="D1213" s="2">
        <v>1.3358268768367599E-3</v>
      </c>
      <c r="E1213" s="2">
        <v>2.2522522522522501E-3</v>
      </c>
      <c r="F1213" s="2">
        <v>8.3177972178402398E-4</v>
      </c>
    </row>
    <row r="1214" spans="1:6" x14ac:dyDescent="0.25">
      <c r="A1214" s="1" t="str">
        <f t="shared" si="47"/>
        <v>11620</v>
      </c>
      <c r="B1214" s="1" t="str">
        <f>"73458"</f>
        <v>73458</v>
      </c>
      <c r="C1214" s="2">
        <v>6.8452963035399899E-3</v>
      </c>
      <c r="D1214" s="2">
        <v>3.2059845044082199E-3</v>
      </c>
      <c r="E1214" s="2">
        <v>2.2522522522522501E-3</v>
      </c>
      <c r="F1214" s="2">
        <v>6.3960992399254204E-3</v>
      </c>
    </row>
    <row r="1215" spans="1:6" x14ac:dyDescent="0.25">
      <c r="A1215" s="1" t="str">
        <f t="shared" si="47"/>
        <v>11620</v>
      </c>
      <c r="B1215" s="1" t="str">
        <f>"73453"</f>
        <v>73453</v>
      </c>
      <c r="C1215" s="2">
        <v>1.7536997196688098E-2</v>
      </c>
      <c r="D1215" s="2">
        <v>1.3358268768367599E-3</v>
      </c>
      <c r="E1215" s="2">
        <v>2.2522522522522501E-3</v>
      </c>
      <c r="F1215" s="2">
        <v>1.5603040298293401E-2</v>
      </c>
    </row>
    <row r="1216" spans="1:6" x14ac:dyDescent="0.25">
      <c r="A1216" s="1" t="str">
        <f t="shared" si="47"/>
        <v>11620</v>
      </c>
      <c r="B1216" s="1" t="str">
        <f>"73438"</f>
        <v>73438</v>
      </c>
      <c r="C1216" s="2">
        <v>5.5903253145576599E-2</v>
      </c>
      <c r="D1216" s="2">
        <v>4.4349452310980399E-2</v>
      </c>
      <c r="E1216" s="2">
        <v>6.08108108108108E-2</v>
      </c>
      <c r="F1216" s="2">
        <v>5.4725369281514398E-2</v>
      </c>
    </row>
    <row r="1217" spans="1:6" x14ac:dyDescent="0.25">
      <c r="A1217" s="1" t="str">
        <f t="shared" si="47"/>
        <v>11620</v>
      </c>
      <c r="B1217" s="1" t="str">
        <f>"73437"</f>
        <v>73437</v>
      </c>
      <c r="C1217" s="2">
        <v>1.0756894191277101E-3</v>
      </c>
      <c r="D1217" s="2">
        <v>0</v>
      </c>
      <c r="E1217" s="2">
        <v>2.2522522522522501E-3</v>
      </c>
      <c r="F1217" s="2">
        <v>9.7519001864333798E-4</v>
      </c>
    </row>
    <row r="1218" spans="1:6" x14ac:dyDescent="0.25">
      <c r="A1218" s="1" t="str">
        <f t="shared" si="47"/>
        <v>11620</v>
      </c>
      <c r="B1218" s="1" t="str">
        <f>"73435"</f>
        <v>73435</v>
      </c>
      <c r="C1218" s="2">
        <v>0</v>
      </c>
      <c r="D1218" s="2">
        <v>0</v>
      </c>
      <c r="E1218" s="2">
        <v>2.2522522522522501E-3</v>
      </c>
      <c r="F1218" s="2">
        <v>2.8682059371862801E-5</v>
      </c>
    </row>
    <row r="1219" spans="1:6" x14ac:dyDescent="0.25">
      <c r="A1219" s="1" t="str">
        <f t="shared" si="47"/>
        <v>11620</v>
      </c>
      <c r="B1219" s="1" t="str">
        <f>"73481"</f>
        <v>73481</v>
      </c>
      <c r="C1219" s="2">
        <v>1.3071256274854901E-2</v>
      </c>
      <c r="D1219" s="2">
        <v>5.6104728827143999E-3</v>
      </c>
      <c r="E1219" s="2">
        <v>2.2522522522522501E-3</v>
      </c>
      <c r="F1219" s="2">
        <v>1.2132511114298E-2</v>
      </c>
    </row>
    <row r="1220" spans="1:6" x14ac:dyDescent="0.25">
      <c r="A1220" s="1" t="str">
        <f t="shared" si="47"/>
        <v>11620</v>
      </c>
      <c r="B1220" s="1" t="str">
        <f>"73433"</f>
        <v>73433</v>
      </c>
      <c r="C1220" s="2">
        <v>9.7789947193428504E-5</v>
      </c>
      <c r="D1220" s="2">
        <v>0</v>
      </c>
      <c r="E1220" s="2">
        <v>0</v>
      </c>
      <c r="F1220" s="2">
        <v>8.6046178115588599E-5</v>
      </c>
    </row>
    <row r="1221" spans="1:6" x14ac:dyDescent="0.25">
      <c r="A1221" s="1" t="str">
        <f t="shared" si="47"/>
        <v>11620</v>
      </c>
      <c r="B1221" s="1" t="str">
        <f>"73403"</f>
        <v>73403</v>
      </c>
      <c r="C1221" s="2">
        <v>1.32668361692418E-2</v>
      </c>
      <c r="D1221" s="2">
        <v>9.61795351322468E-3</v>
      </c>
      <c r="E1221" s="2">
        <v>4.5045045045045001E-3</v>
      </c>
      <c r="F1221" s="2">
        <v>1.2763516420478901E-2</v>
      </c>
    </row>
    <row r="1222" spans="1:6" x14ac:dyDescent="0.25">
      <c r="A1222" s="1" t="str">
        <f t="shared" ref="A1222:A1232" si="48">"11640"</f>
        <v>11640</v>
      </c>
      <c r="B1222" s="1" t="str">
        <f>"00616"</f>
        <v>00616</v>
      </c>
      <c r="C1222" s="2">
        <v>5.0516860340771297E-2</v>
      </c>
      <c r="D1222" s="2">
        <v>3.6929057337220599E-3</v>
      </c>
      <c r="E1222" s="2">
        <v>7.0564516129032204E-3</v>
      </c>
      <c r="F1222" s="2">
        <v>4.6793056429620297E-2</v>
      </c>
    </row>
    <row r="1223" spans="1:6" x14ac:dyDescent="0.25">
      <c r="A1223" s="1" t="str">
        <f t="shared" si="48"/>
        <v>11640</v>
      </c>
      <c r="B1223" s="1" t="str">
        <f>"00612"</f>
        <v>00612</v>
      </c>
      <c r="C1223" s="2">
        <v>0.32875169316318498</v>
      </c>
      <c r="D1223" s="2">
        <v>0.47871720116618</v>
      </c>
      <c r="E1223" s="2">
        <v>0.65020161290322498</v>
      </c>
      <c r="F1223" s="2">
        <v>0.34304856303754899</v>
      </c>
    </row>
    <row r="1224" spans="1:6" x14ac:dyDescent="0.25">
      <c r="A1224" s="1" t="str">
        <f t="shared" si="48"/>
        <v>11640</v>
      </c>
      <c r="B1224" s="1" t="str">
        <f>"00662"</f>
        <v>00662</v>
      </c>
      <c r="C1224" s="2">
        <v>3.27938974834248E-4</v>
      </c>
      <c r="D1224" s="2">
        <v>1.9436345966958199E-4</v>
      </c>
      <c r="E1224" s="2">
        <v>0</v>
      </c>
      <c r="F1224" s="2">
        <v>3.1466331025802301E-4</v>
      </c>
    </row>
    <row r="1225" spans="1:6" x14ac:dyDescent="0.25">
      <c r="A1225" s="1" t="str">
        <f t="shared" si="48"/>
        <v>11640</v>
      </c>
      <c r="B1225" s="1" t="str">
        <f>"00650"</f>
        <v>00650</v>
      </c>
      <c r="C1225" s="2">
        <v>1.03372068154273E-2</v>
      </c>
      <c r="D1225" s="2">
        <v>1.9436345966958199E-4</v>
      </c>
      <c r="E1225" s="2">
        <v>4.0322580645161202E-3</v>
      </c>
      <c r="F1225" s="2">
        <v>9.5710090203482198E-3</v>
      </c>
    </row>
    <row r="1226" spans="1:6" x14ac:dyDescent="0.25">
      <c r="A1226" s="1" t="str">
        <f t="shared" si="48"/>
        <v>11640</v>
      </c>
      <c r="B1226" s="1" t="str">
        <f>"00627"</f>
        <v>00627</v>
      </c>
      <c r="C1226" s="2">
        <v>0.13799101732373201</v>
      </c>
      <c r="D1226" s="2">
        <v>0.121477162293488</v>
      </c>
      <c r="E1226" s="2">
        <v>0.126008064516129</v>
      </c>
      <c r="F1226" s="2">
        <v>0.13672120830711099</v>
      </c>
    </row>
    <row r="1227" spans="1:6" x14ac:dyDescent="0.25">
      <c r="A1227" s="1" t="str">
        <f t="shared" si="48"/>
        <v>11640</v>
      </c>
      <c r="B1227" s="1" t="str">
        <f>"00613"</f>
        <v>00613</v>
      </c>
      <c r="C1227" s="2">
        <v>4.3074071433663597E-2</v>
      </c>
      <c r="D1227" s="2">
        <v>4.8979591836734601E-2</v>
      </c>
      <c r="E1227" s="2">
        <v>4.0322580645161202E-3</v>
      </c>
      <c r="F1227" s="2">
        <v>4.2964652821481E-2</v>
      </c>
    </row>
    <row r="1228" spans="1:6" x14ac:dyDescent="0.25">
      <c r="A1228" s="1" t="str">
        <f t="shared" si="48"/>
        <v>11640</v>
      </c>
      <c r="B1228" s="1" t="str">
        <f>"00688"</f>
        <v>00688</v>
      </c>
      <c r="C1228" s="2">
        <v>5.3995865117273799E-2</v>
      </c>
      <c r="D1228" s="2">
        <v>2.1574344023323599E-2</v>
      </c>
      <c r="E1228" s="2">
        <v>4.0322580645161202E-3</v>
      </c>
      <c r="F1228" s="2">
        <v>5.1159009859450301E-2</v>
      </c>
    </row>
    <row r="1229" spans="1:6" x14ac:dyDescent="0.25">
      <c r="A1229" s="1" t="str">
        <f t="shared" si="48"/>
        <v>11640</v>
      </c>
      <c r="B1229" s="1" t="str">
        <f>"00652"</f>
        <v>00652</v>
      </c>
      <c r="C1229" s="2">
        <v>2.8744564055036701E-2</v>
      </c>
      <c r="D1229" s="2">
        <v>2.1379980563654001E-3</v>
      </c>
      <c r="E1229" s="2">
        <v>2.0161290322580601E-3</v>
      </c>
      <c r="F1229" s="2">
        <v>2.6602160688063699E-2</v>
      </c>
    </row>
    <row r="1230" spans="1:6" x14ac:dyDescent="0.25">
      <c r="A1230" s="1" t="str">
        <f t="shared" si="48"/>
        <v>11640</v>
      </c>
      <c r="B1230" s="1" t="str">
        <f>"00614"</f>
        <v>00614</v>
      </c>
      <c r="C1230" s="2">
        <v>3.8354601839309901E-2</v>
      </c>
      <c r="D1230" s="2">
        <v>4.9173955296404198E-2</v>
      </c>
      <c r="E1230" s="2">
        <v>2.0161290322580601E-3</v>
      </c>
      <c r="F1230" s="2">
        <v>3.86118103629116E-2</v>
      </c>
    </row>
    <row r="1231" spans="1:6" x14ac:dyDescent="0.25">
      <c r="A1231" s="1" t="str">
        <f t="shared" si="48"/>
        <v>11640</v>
      </c>
      <c r="B1231" s="1" t="str">
        <f>"00678"</f>
        <v>00678</v>
      </c>
      <c r="C1231" s="2">
        <v>0.14573322877308001</v>
      </c>
      <c r="D1231" s="2">
        <v>0.114674441205053</v>
      </c>
      <c r="E1231" s="2">
        <v>0.12701612903225801</v>
      </c>
      <c r="F1231" s="2">
        <v>0.14339469267883301</v>
      </c>
    </row>
    <row r="1232" spans="1:6" x14ac:dyDescent="0.25">
      <c r="A1232" s="1" t="str">
        <f t="shared" si="48"/>
        <v>11640</v>
      </c>
      <c r="B1232" s="1" t="str">
        <f>"00659"</f>
        <v>00659</v>
      </c>
      <c r="C1232" s="2">
        <v>0.16217295216368399</v>
      </c>
      <c r="D1232" s="2">
        <v>0.159183673469387</v>
      </c>
      <c r="E1232" s="2">
        <v>7.3588709677419303E-2</v>
      </c>
      <c r="F1232" s="2">
        <v>0.160819173484371</v>
      </c>
    </row>
    <row r="1233" spans="1:6" x14ac:dyDescent="0.25">
      <c r="A1233" s="1" t="str">
        <f t="shared" ref="A1233:A1243" si="49">"11660"</f>
        <v>11660</v>
      </c>
      <c r="B1233" s="1" t="str">
        <f>"71998"</f>
        <v>71998</v>
      </c>
      <c r="C1233" s="2">
        <v>0</v>
      </c>
      <c r="D1233" s="2">
        <v>7.93650793650793E-4</v>
      </c>
      <c r="E1233" s="2">
        <v>0</v>
      </c>
      <c r="F1233" s="2">
        <v>7.2353664713117695E-5</v>
      </c>
    </row>
    <row r="1234" spans="1:6" x14ac:dyDescent="0.25">
      <c r="A1234" s="1" t="str">
        <f t="shared" si="49"/>
        <v>11660</v>
      </c>
      <c r="B1234" s="1" t="str">
        <f>"71728"</f>
        <v>71728</v>
      </c>
      <c r="C1234" s="2">
        <v>0</v>
      </c>
      <c r="D1234" s="2">
        <v>0</v>
      </c>
      <c r="E1234" s="2">
        <v>3.8759689922480598E-3</v>
      </c>
      <c r="F1234" s="2">
        <v>7.2353664713117695E-5</v>
      </c>
    </row>
    <row r="1235" spans="1:6" x14ac:dyDescent="0.25">
      <c r="A1235" s="1" t="str">
        <f t="shared" si="49"/>
        <v>11660</v>
      </c>
      <c r="B1235" s="1" t="str">
        <f>"71721"</f>
        <v>71721</v>
      </c>
      <c r="C1235" s="2">
        <v>0</v>
      </c>
      <c r="D1235" s="2">
        <v>0</v>
      </c>
      <c r="E1235" s="2">
        <v>3.8759689922480598E-3</v>
      </c>
      <c r="F1235" s="2">
        <v>7.2353664713117695E-5</v>
      </c>
    </row>
    <row r="1236" spans="1:6" x14ac:dyDescent="0.25">
      <c r="A1236" s="1" t="str">
        <f t="shared" si="49"/>
        <v>11660</v>
      </c>
      <c r="B1236" s="1" t="str">
        <f>"71962"</f>
        <v>71962</v>
      </c>
      <c r="C1236" s="2">
        <v>3.7145411688206099E-2</v>
      </c>
      <c r="D1236" s="2">
        <v>1.1111111111111099E-2</v>
      </c>
      <c r="E1236" s="2">
        <v>3.8759689922480598E-3</v>
      </c>
      <c r="F1236" s="2">
        <v>3.4150929744591503E-2</v>
      </c>
    </row>
    <row r="1237" spans="1:6" x14ac:dyDescent="0.25">
      <c r="A1237" s="1" t="str">
        <f t="shared" si="49"/>
        <v>11660</v>
      </c>
      <c r="B1237" s="1" t="str">
        <f>"71923"</f>
        <v>71923</v>
      </c>
      <c r="C1237" s="2">
        <v>0.69048199626107398</v>
      </c>
      <c r="D1237" s="2">
        <v>0.83571428571428497</v>
      </c>
      <c r="E1237" s="2">
        <v>0.85658914728682101</v>
      </c>
      <c r="F1237" s="2">
        <v>0.70682295058244704</v>
      </c>
    </row>
    <row r="1238" spans="1:6" x14ac:dyDescent="0.25">
      <c r="A1238" s="1" t="str">
        <f t="shared" si="49"/>
        <v>11660</v>
      </c>
      <c r="B1238" s="1" t="str">
        <f>"71921"</f>
        <v>71921</v>
      </c>
      <c r="C1238" s="2">
        <v>8.8108591400471406E-2</v>
      </c>
      <c r="D1238" s="2">
        <v>2.3015873015873E-2</v>
      </c>
      <c r="E1238" s="2">
        <v>2.7131782945736399E-2</v>
      </c>
      <c r="F1238" s="2">
        <v>8.1036104478691806E-2</v>
      </c>
    </row>
    <row r="1239" spans="1:6" x14ac:dyDescent="0.25">
      <c r="A1239" s="1" t="str">
        <f t="shared" si="49"/>
        <v>11660</v>
      </c>
      <c r="B1239" s="1" t="str">
        <f>"71763"</f>
        <v>71763</v>
      </c>
      <c r="C1239" s="2">
        <v>1.7881817442900101E-3</v>
      </c>
      <c r="D1239" s="2">
        <v>0</v>
      </c>
      <c r="E1239" s="2">
        <v>0</v>
      </c>
      <c r="F1239" s="2">
        <v>1.5917806236885801E-3</v>
      </c>
    </row>
    <row r="1240" spans="1:6" x14ac:dyDescent="0.25">
      <c r="A1240" s="1" t="str">
        <f t="shared" si="49"/>
        <v>11660</v>
      </c>
      <c r="B1240" s="1" t="str">
        <f>"71743"</f>
        <v>71743</v>
      </c>
      <c r="C1240" s="2">
        <v>0.182313256929204</v>
      </c>
      <c r="D1240" s="2">
        <v>0.128571428571428</v>
      </c>
      <c r="E1240" s="2">
        <v>0.100775193798449</v>
      </c>
      <c r="F1240" s="2">
        <v>0.17589175891758899</v>
      </c>
    </row>
    <row r="1241" spans="1:6" x14ac:dyDescent="0.25">
      <c r="A1241" s="1" t="str">
        <f t="shared" si="49"/>
        <v>11660</v>
      </c>
      <c r="B1241" s="1" t="str">
        <f>"71929"</f>
        <v>71929</v>
      </c>
      <c r="C1241" s="2">
        <v>1.6256197675363699E-4</v>
      </c>
      <c r="D1241" s="2">
        <v>0</v>
      </c>
      <c r="E1241" s="2">
        <v>0</v>
      </c>
      <c r="F1241" s="2">
        <v>1.4470732942623501E-4</v>
      </c>
    </row>
    <row r="1242" spans="1:6" x14ac:dyDescent="0.25">
      <c r="A1242" s="1" t="str">
        <f t="shared" si="49"/>
        <v>11660</v>
      </c>
      <c r="B1242" s="1" t="str">
        <f>"71999"</f>
        <v>71999</v>
      </c>
      <c r="C1242" s="2">
        <v>0</v>
      </c>
      <c r="D1242" s="2">
        <v>7.93650793650793E-4</v>
      </c>
      <c r="E1242" s="2">
        <v>0</v>
      </c>
      <c r="F1242" s="2">
        <v>7.2353664713117695E-5</v>
      </c>
    </row>
    <row r="1243" spans="1:6" x14ac:dyDescent="0.25">
      <c r="A1243" s="1" t="str">
        <f t="shared" si="49"/>
        <v>11660</v>
      </c>
      <c r="B1243" s="1" t="str">
        <f>"71772"</f>
        <v>71772</v>
      </c>
      <c r="C1243" s="2">
        <v>0</v>
      </c>
      <c r="D1243" s="2">
        <v>0</v>
      </c>
      <c r="E1243" s="2">
        <v>3.8759689922480598E-3</v>
      </c>
      <c r="F1243" s="2">
        <v>7.2353664713117695E-5</v>
      </c>
    </row>
    <row r="1244" spans="1:6" x14ac:dyDescent="0.25">
      <c r="A1244" s="1" t="str">
        <f t="shared" ref="A1244:A1275" si="50">"11700"</f>
        <v>11700</v>
      </c>
      <c r="B1244" s="1" t="str">
        <f>"28719"</f>
        <v>28719</v>
      </c>
      <c r="C1244" s="2">
        <v>7.35856831694825E-6</v>
      </c>
      <c r="D1244" s="2">
        <v>0</v>
      </c>
      <c r="E1244" s="2">
        <v>0</v>
      </c>
      <c r="F1244" s="2">
        <v>6.6216395179446403E-6</v>
      </c>
    </row>
    <row r="1245" spans="1:6" x14ac:dyDescent="0.25">
      <c r="A1245" s="1" t="str">
        <f t="shared" si="50"/>
        <v>11700</v>
      </c>
      <c r="B1245" s="1" t="str">
        <f>"28770"</f>
        <v>28770</v>
      </c>
      <c r="C1245" s="2">
        <v>0</v>
      </c>
      <c r="D1245" s="2">
        <v>0</v>
      </c>
      <c r="E1245" s="2">
        <v>1.4190435646374301E-4</v>
      </c>
      <c r="F1245" s="2">
        <v>3.3108197589723202E-6</v>
      </c>
    </row>
    <row r="1246" spans="1:6" x14ac:dyDescent="0.25">
      <c r="A1246" s="1" t="str">
        <f t="shared" si="50"/>
        <v>11700</v>
      </c>
      <c r="B1246" s="1" t="str">
        <f>"28766"</f>
        <v>28766</v>
      </c>
      <c r="C1246" s="2">
        <v>2.8330488020250697E-4</v>
      </c>
      <c r="D1246" s="2">
        <v>1.7240636179475E-4</v>
      </c>
      <c r="E1246" s="2">
        <v>0</v>
      </c>
      <c r="F1246" s="2">
        <v>2.68176400476758E-4</v>
      </c>
    </row>
    <row r="1247" spans="1:6" x14ac:dyDescent="0.25">
      <c r="A1247" s="1" t="str">
        <f t="shared" si="50"/>
        <v>11700</v>
      </c>
      <c r="B1247" s="1" t="str">
        <f>"28714"</f>
        <v>28714</v>
      </c>
      <c r="C1247" s="2">
        <v>4.0472125743215402E-5</v>
      </c>
      <c r="D1247" s="2">
        <v>0</v>
      </c>
      <c r="E1247" s="2">
        <v>0</v>
      </c>
      <c r="F1247" s="2">
        <v>3.6419017348695497E-5</v>
      </c>
    </row>
    <row r="1248" spans="1:6" x14ac:dyDescent="0.25">
      <c r="A1248" s="1" t="str">
        <f t="shared" si="50"/>
        <v>11700</v>
      </c>
      <c r="B1248" s="1" t="str">
        <f>"28738"</f>
        <v>28738</v>
      </c>
      <c r="C1248" s="2">
        <v>2.6748395832106898E-3</v>
      </c>
      <c r="D1248" s="2">
        <v>2.1119779319856901E-3</v>
      </c>
      <c r="E1248" s="2">
        <v>2.8380871292748601E-4</v>
      </c>
      <c r="F1248" s="2">
        <v>2.57581777248046E-3</v>
      </c>
    </row>
    <row r="1249" spans="1:6" x14ac:dyDescent="0.25">
      <c r="A1249" s="1" t="str">
        <f t="shared" si="50"/>
        <v>11700</v>
      </c>
      <c r="B1249" s="1" t="str">
        <f>"28758"</f>
        <v>28758</v>
      </c>
      <c r="C1249" s="2">
        <v>5.8684582327662299E-3</v>
      </c>
      <c r="D1249" s="2">
        <v>3.3619240549976198E-3</v>
      </c>
      <c r="E1249" s="2">
        <v>1.4190435646374301E-4</v>
      </c>
      <c r="F1249" s="2">
        <v>5.5423122765196602E-3</v>
      </c>
    </row>
    <row r="1250" spans="1:6" x14ac:dyDescent="0.25">
      <c r="A1250" s="1" t="str">
        <f t="shared" si="50"/>
        <v>11700</v>
      </c>
      <c r="B1250" s="1" t="str">
        <f>"28732"</f>
        <v>28732</v>
      </c>
      <c r="C1250" s="2">
        <v>3.6031229763937099E-2</v>
      </c>
      <c r="D1250" s="2">
        <v>3.2800310331451199E-2</v>
      </c>
      <c r="E1250" s="2">
        <v>1.9582801191996499E-2</v>
      </c>
      <c r="F1250" s="2">
        <v>3.5399284862932E-2</v>
      </c>
    </row>
    <row r="1251" spans="1:6" x14ac:dyDescent="0.25">
      <c r="A1251" s="1" t="str">
        <f t="shared" si="50"/>
        <v>11700</v>
      </c>
      <c r="B1251" s="1" t="str">
        <f>"28731"</f>
        <v>28731</v>
      </c>
      <c r="C1251" s="2">
        <v>2.1921175016188801E-2</v>
      </c>
      <c r="D1251" s="2">
        <v>1.85767854833843E-2</v>
      </c>
      <c r="E1251" s="2">
        <v>7.0952178231871704E-3</v>
      </c>
      <c r="F1251" s="2">
        <v>2.1318368428022701E-2</v>
      </c>
    </row>
    <row r="1252" spans="1:6" x14ac:dyDescent="0.25">
      <c r="A1252" s="1" t="str">
        <f t="shared" si="50"/>
        <v>11700</v>
      </c>
      <c r="B1252" s="1" t="str">
        <f>"28726"</f>
        <v>28726</v>
      </c>
      <c r="C1252" s="2">
        <v>8.6573556248896195E-3</v>
      </c>
      <c r="D1252" s="2">
        <v>8.23240377569932E-3</v>
      </c>
      <c r="E1252" s="2">
        <v>4.2571306939122996E-3</v>
      </c>
      <c r="F1252" s="2">
        <v>8.5220500595947508E-3</v>
      </c>
    </row>
    <row r="1253" spans="1:6" x14ac:dyDescent="0.25">
      <c r="A1253" s="1" t="str">
        <f t="shared" si="50"/>
        <v>11700</v>
      </c>
      <c r="B1253" s="1" t="str">
        <f>"28701"</f>
        <v>28701</v>
      </c>
      <c r="C1253" s="2">
        <v>7.6161182080414398E-3</v>
      </c>
      <c r="D1253" s="2">
        <v>4.7411749493556299E-4</v>
      </c>
      <c r="E1253" s="2">
        <v>3.26380019866609E-3</v>
      </c>
      <c r="F1253" s="2">
        <v>6.9659647728777599E-3</v>
      </c>
    </row>
    <row r="1254" spans="1:6" x14ac:dyDescent="0.25">
      <c r="A1254" s="1" t="str">
        <f t="shared" si="50"/>
        <v>11700</v>
      </c>
      <c r="B1254" s="1" t="str">
        <f>"28805"</f>
        <v>28805</v>
      </c>
      <c r="C1254" s="2">
        <v>3.8349178783775799E-2</v>
      </c>
      <c r="D1254" s="2">
        <v>2.96969958191457E-2</v>
      </c>
      <c r="E1254" s="2">
        <v>5.7471264367816001E-2</v>
      </c>
      <c r="F1254" s="2">
        <v>3.8130711164084202E-2</v>
      </c>
    </row>
    <row r="1255" spans="1:6" x14ac:dyDescent="0.25">
      <c r="A1255" s="1" t="str">
        <f t="shared" si="50"/>
        <v>11700</v>
      </c>
      <c r="B1255" s="1" t="str">
        <f>"28792"</f>
        <v>28792</v>
      </c>
      <c r="C1255" s="2">
        <v>6.4431624183198893E-2</v>
      </c>
      <c r="D1255" s="2">
        <v>7.8789707340200799E-2</v>
      </c>
      <c r="E1255" s="2">
        <v>0.101887327940967</v>
      </c>
      <c r="F1255" s="2">
        <v>6.6408422725466806E-2</v>
      </c>
    </row>
    <row r="1256" spans="1:6" x14ac:dyDescent="0.25">
      <c r="A1256" s="1" t="str">
        <f t="shared" si="50"/>
        <v>11700</v>
      </c>
      <c r="B1256" s="1" t="str">
        <f>"28754"</f>
        <v>28754</v>
      </c>
      <c r="C1256" s="2">
        <v>1.4415435332901599E-2</v>
      </c>
      <c r="D1256" s="2">
        <v>5.7325115296754398E-3</v>
      </c>
      <c r="E1256" s="2">
        <v>1.0075209308925699E-2</v>
      </c>
      <c r="F1256" s="2">
        <v>1.3647199046483901E-2</v>
      </c>
    </row>
    <row r="1257" spans="1:6" x14ac:dyDescent="0.25">
      <c r="A1257" s="1" t="str">
        <f t="shared" si="50"/>
        <v>11700</v>
      </c>
      <c r="B1257" s="1" t="str">
        <f>"28753"</f>
        <v>28753</v>
      </c>
      <c r="C1257" s="2">
        <v>2.4897715900394399E-2</v>
      </c>
      <c r="D1257" s="2">
        <v>1.1077108745312699E-2</v>
      </c>
      <c r="E1257" s="2">
        <v>8.5142613878245992E-3</v>
      </c>
      <c r="F1257" s="2">
        <v>2.34538471725599E-2</v>
      </c>
    </row>
    <row r="1258" spans="1:6" x14ac:dyDescent="0.25">
      <c r="A1258" s="1" t="str">
        <f t="shared" si="50"/>
        <v>11700</v>
      </c>
      <c r="B1258" s="1" t="str">
        <f>"28757"</f>
        <v>28757</v>
      </c>
      <c r="C1258" s="2">
        <v>3.2745629010419702E-3</v>
      </c>
      <c r="D1258" s="2">
        <v>1.6378604370501199E-3</v>
      </c>
      <c r="E1258" s="2">
        <v>2.8380871292748601E-4</v>
      </c>
      <c r="F1258" s="2">
        <v>3.0790623758442499E-3</v>
      </c>
    </row>
    <row r="1259" spans="1:6" x14ac:dyDescent="0.25">
      <c r="A1259" s="1" t="str">
        <f t="shared" si="50"/>
        <v>11700</v>
      </c>
      <c r="B1259" s="1" t="str">
        <f>"28743"</f>
        <v>28743</v>
      </c>
      <c r="C1259" s="2">
        <v>4.3709895802672601E-3</v>
      </c>
      <c r="D1259" s="2">
        <v>4.6980733589069403E-3</v>
      </c>
      <c r="E1259" s="2">
        <v>3.1218958422023499E-3</v>
      </c>
      <c r="F1259" s="2">
        <v>4.3669712620844903E-3</v>
      </c>
    </row>
    <row r="1260" spans="1:6" x14ac:dyDescent="0.25">
      <c r="A1260" s="1" t="str">
        <f t="shared" si="50"/>
        <v>11700</v>
      </c>
      <c r="B1260" s="1" t="str">
        <f>"28816"</f>
        <v>28816</v>
      </c>
      <c r="C1260" s="2">
        <v>5.7139282981103099E-3</v>
      </c>
      <c r="D1260" s="2">
        <v>1.7068229817680199E-2</v>
      </c>
      <c r="E1260" s="2">
        <v>2.8380871292748601E-4</v>
      </c>
      <c r="F1260" s="2">
        <v>6.4594093497549899E-3</v>
      </c>
    </row>
    <row r="1261" spans="1:6" x14ac:dyDescent="0.25">
      <c r="A1261" s="1" t="str">
        <f t="shared" si="50"/>
        <v>11700</v>
      </c>
      <c r="B1261" s="1" t="str">
        <f>"28768"</f>
        <v>28768</v>
      </c>
      <c r="C1261" s="2">
        <v>2.2075704950844699E-5</v>
      </c>
      <c r="D1261" s="2">
        <v>0</v>
      </c>
      <c r="E1261" s="2">
        <v>0</v>
      </c>
      <c r="F1261" s="2">
        <v>1.9864918553833901E-5</v>
      </c>
    </row>
    <row r="1262" spans="1:6" x14ac:dyDescent="0.25">
      <c r="A1262" s="1" t="str">
        <f t="shared" si="50"/>
        <v>11700</v>
      </c>
      <c r="B1262" s="1" t="str">
        <f>"28806"</f>
        <v>28806</v>
      </c>
      <c r="C1262" s="2">
        <v>8.3644846058750805E-2</v>
      </c>
      <c r="D1262" s="2">
        <v>8.7884142924873898E-2</v>
      </c>
      <c r="E1262" s="2">
        <v>0.13225486022420799</v>
      </c>
      <c r="F1262" s="2">
        <v>8.5104621904383504E-2</v>
      </c>
    </row>
    <row r="1263" spans="1:6" x14ac:dyDescent="0.25">
      <c r="A1263" s="1" t="str">
        <f t="shared" si="50"/>
        <v>11700</v>
      </c>
      <c r="B1263" s="1" t="str">
        <f>"28748"</f>
        <v>28748</v>
      </c>
      <c r="C1263" s="2">
        <v>2.24951433449108E-2</v>
      </c>
      <c r="D1263" s="2">
        <v>4.0946510926253097E-3</v>
      </c>
      <c r="E1263" s="2">
        <v>8.0885483184333692E-3</v>
      </c>
      <c r="F1263" s="2">
        <v>2.0745596609720501E-2</v>
      </c>
    </row>
    <row r="1264" spans="1:6" x14ac:dyDescent="0.25">
      <c r="A1264" s="1" t="str">
        <f t="shared" si="50"/>
        <v>11700</v>
      </c>
      <c r="B1264" s="1" t="str">
        <f>"28739"</f>
        <v>28739</v>
      </c>
      <c r="C1264" s="2">
        <v>4.5740860658150299E-2</v>
      </c>
      <c r="D1264" s="2">
        <v>1.54734709710788E-2</v>
      </c>
      <c r="E1264" s="2">
        <v>5.7755073080743499E-2</v>
      </c>
      <c r="F1264" s="2">
        <v>4.3696199178916602E-2</v>
      </c>
    </row>
    <row r="1265" spans="1:6" x14ac:dyDescent="0.25">
      <c r="A1265" s="1" t="str">
        <f t="shared" si="50"/>
        <v>11700</v>
      </c>
      <c r="B1265" s="1" t="str">
        <f>"28723"</f>
        <v>28723</v>
      </c>
      <c r="C1265" s="2">
        <v>7.35856831694825E-6</v>
      </c>
      <c r="D1265" s="2">
        <v>0</v>
      </c>
      <c r="E1265" s="2">
        <v>0</v>
      </c>
      <c r="F1265" s="2">
        <v>6.6216395179446403E-6</v>
      </c>
    </row>
    <row r="1266" spans="1:6" x14ac:dyDescent="0.25">
      <c r="A1266" s="1" t="str">
        <f t="shared" si="50"/>
        <v>11700</v>
      </c>
      <c r="B1266" s="1" t="str">
        <f>"28813"</f>
        <v>28813</v>
      </c>
      <c r="C1266" s="2">
        <v>6.5491258020839403E-3</v>
      </c>
      <c r="D1266" s="2">
        <v>1.5516572561527499E-2</v>
      </c>
      <c r="E1266" s="2">
        <v>2.8380871292748601E-4</v>
      </c>
      <c r="F1266" s="2">
        <v>7.0917759237187098E-3</v>
      </c>
    </row>
    <row r="1267" spans="1:6" x14ac:dyDescent="0.25">
      <c r="A1267" s="1" t="str">
        <f t="shared" si="50"/>
        <v>11700</v>
      </c>
      <c r="B1267" s="1" t="str">
        <f>"28785"</f>
        <v>28785</v>
      </c>
      <c r="C1267" s="2">
        <v>1.7693677518102E-2</v>
      </c>
      <c r="D1267" s="2">
        <v>5.4308003965346302E-3</v>
      </c>
      <c r="E1267" s="2">
        <v>4.2571306939122996E-3</v>
      </c>
      <c r="F1267" s="2">
        <v>1.6438220103297499E-2</v>
      </c>
    </row>
    <row r="1268" spans="1:6" x14ac:dyDescent="0.25">
      <c r="A1268" s="1" t="str">
        <f t="shared" si="50"/>
        <v>11700</v>
      </c>
      <c r="B1268" s="1" t="str">
        <f>"28729"</f>
        <v>28729</v>
      </c>
      <c r="C1268" s="2">
        <v>4.8419379525519498E-3</v>
      </c>
      <c r="D1268" s="2">
        <v>2.4136890651264998E-3</v>
      </c>
      <c r="E1268" s="2">
        <v>4.5409394068397797E-3</v>
      </c>
      <c r="F1268" s="2">
        <v>4.6483909415971298E-3</v>
      </c>
    </row>
    <row r="1269" spans="1:6" x14ac:dyDescent="0.25">
      <c r="A1269" s="1" t="str">
        <f t="shared" si="50"/>
        <v>11700</v>
      </c>
      <c r="B1269" s="1" t="str">
        <f>"28704"</f>
        <v>28704</v>
      </c>
      <c r="C1269" s="2">
        <v>4.7091157944310298E-2</v>
      </c>
      <c r="D1269" s="2">
        <v>5.0730571958105201E-2</v>
      </c>
      <c r="E1269" s="2">
        <v>5.7613168724279802E-2</v>
      </c>
      <c r="F1269" s="2">
        <v>4.7616209773539898E-2</v>
      </c>
    </row>
    <row r="1270" spans="1:6" x14ac:dyDescent="0.25">
      <c r="A1270" s="1" t="str">
        <f t="shared" si="50"/>
        <v>11700</v>
      </c>
      <c r="B1270" s="1" t="str">
        <f>"28709"</f>
        <v>28709</v>
      </c>
      <c r="C1270" s="2">
        <v>4.1024018366986499E-3</v>
      </c>
      <c r="D1270" s="2">
        <v>8.6203180897375103E-4</v>
      </c>
      <c r="E1270" s="2">
        <v>0</v>
      </c>
      <c r="F1270" s="2">
        <v>3.7577804264335799E-3</v>
      </c>
    </row>
    <row r="1271" spans="1:6" x14ac:dyDescent="0.25">
      <c r="A1271" s="1" t="str">
        <f t="shared" si="50"/>
        <v>11700</v>
      </c>
      <c r="B1271" s="1" t="str">
        <f>"28802"</f>
        <v>28802</v>
      </c>
      <c r="C1271" s="2">
        <v>6.64478719020427E-3</v>
      </c>
      <c r="D1271" s="2">
        <v>2.92228783242101E-2</v>
      </c>
      <c r="E1271" s="2">
        <v>2.8380871292748601E-4</v>
      </c>
      <c r="F1271" s="2">
        <v>8.2306979208051894E-3</v>
      </c>
    </row>
    <row r="1272" spans="1:6" x14ac:dyDescent="0.25">
      <c r="A1272" s="1" t="str">
        <f t="shared" si="50"/>
        <v>11700</v>
      </c>
      <c r="B1272" s="1" t="str">
        <f>"28760"</f>
        <v>28760</v>
      </c>
      <c r="C1272" s="2">
        <v>2.6601224465767899E-3</v>
      </c>
      <c r="D1272" s="2">
        <v>3.0602129218568102E-3</v>
      </c>
      <c r="E1272" s="2">
        <v>4.2571306939122999E-4</v>
      </c>
      <c r="F1272" s="2">
        <v>2.6387233479009402E-3</v>
      </c>
    </row>
    <row r="1273" spans="1:6" x14ac:dyDescent="0.25">
      <c r="A1273" s="1" t="str">
        <f t="shared" si="50"/>
        <v>11700</v>
      </c>
      <c r="B1273" s="1" t="str">
        <f>"28787"</f>
        <v>28787</v>
      </c>
      <c r="C1273" s="2">
        <v>4.40962206393124E-2</v>
      </c>
      <c r="D1273" s="2">
        <v>1.53441661997327E-2</v>
      </c>
      <c r="E1273" s="2">
        <v>3.4482758620689599E-2</v>
      </c>
      <c r="F1273" s="2">
        <v>4.1663355846907599E-2</v>
      </c>
    </row>
    <row r="1274" spans="1:6" x14ac:dyDescent="0.25">
      <c r="A1274" s="1" t="str">
        <f t="shared" si="50"/>
        <v>11700</v>
      </c>
      <c r="B1274" s="1" t="str">
        <f>"28751"</f>
        <v>28751</v>
      </c>
      <c r="C1274" s="2">
        <v>1.07140754694766E-2</v>
      </c>
      <c r="D1274" s="2">
        <v>7.2841687858281904E-3</v>
      </c>
      <c r="E1274" s="2">
        <v>2.2704697034198898E-3</v>
      </c>
      <c r="F1274" s="2">
        <v>1.02536087935372E-2</v>
      </c>
    </row>
    <row r="1275" spans="1:6" x14ac:dyDescent="0.25">
      <c r="A1275" s="1" t="str">
        <f t="shared" si="50"/>
        <v>11700</v>
      </c>
      <c r="B1275" s="1" t="str">
        <f>"28745"</f>
        <v>28745</v>
      </c>
      <c r="C1275" s="2">
        <v>6.2621416377229601E-3</v>
      </c>
      <c r="D1275" s="2">
        <v>5.1721908538425003E-3</v>
      </c>
      <c r="E1275" s="2">
        <v>3.68951326805732E-3</v>
      </c>
      <c r="F1275" s="2">
        <v>6.1183949145808504E-3</v>
      </c>
    </row>
    <row r="1276" spans="1:6" x14ac:dyDescent="0.25">
      <c r="A1276" s="1" t="str">
        <f t="shared" ref="A1276:A1305" si="51">"11700"</f>
        <v>11700</v>
      </c>
      <c r="B1276" s="1" t="str">
        <f>"28710"</f>
        <v>28710</v>
      </c>
      <c r="C1276" s="2">
        <v>0</v>
      </c>
      <c r="D1276" s="2">
        <v>0</v>
      </c>
      <c r="E1276" s="2">
        <v>1.4190435646374301E-4</v>
      </c>
      <c r="F1276" s="2">
        <v>3.3108197589723202E-6</v>
      </c>
    </row>
    <row r="1277" spans="1:6" x14ac:dyDescent="0.25">
      <c r="A1277" s="1" t="str">
        <f t="shared" si="51"/>
        <v>11700</v>
      </c>
      <c r="B1277" s="1" t="str">
        <f>"28793"</f>
        <v>28793</v>
      </c>
      <c r="C1277" s="2">
        <v>9.5955730853005197E-3</v>
      </c>
      <c r="D1277" s="2">
        <v>1.9869833196844901E-2</v>
      </c>
      <c r="E1277" s="2">
        <v>2.8380871292748601E-4</v>
      </c>
      <c r="F1277" s="2">
        <v>1.0167527479803901E-2</v>
      </c>
    </row>
    <row r="1278" spans="1:6" x14ac:dyDescent="0.25">
      <c r="A1278" s="1" t="str">
        <f t="shared" si="51"/>
        <v>11700</v>
      </c>
      <c r="B1278" s="1" t="str">
        <f>"28762"</f>
        <v>28762</v>
      </c>
      <c r="C1278" s="2">
        <v>1.8396420792370601E-5</v>
      </c>
      <c r="D1278" s="2">
        <v>0</v>
      </c>
      <c r="E1278" s="2">
        <v>0</v>
      </c>
      <c r="F1278" s="2">
        <v>1.6554098794861599E-5</v>
      </c>
    </row>
    <row r="1279" spans="1:6" x14ac:dyDescent="0.25">
      <c r="A1279" s="1" t="str">
        <f t="shared" si="51"/>
        <v>11700</v>
      </c>
      <c r="B1279" s="1" t="str">
        <f>"28715"</f>
        <v>28715</v>
      </c>
      <c r="C1279" s="2">
        <v>4.9243539177017702E-2</v>
      </c>
      <c r="D1279" s="2">
        <v>1.88784966165251E-2</v>
      </c>
      <c r="E1279" s="2">
        <v>2.7529445153966201E-2</v>
      </c>
      <c r="F1279" s="2">
        <v>4.6404449741755997E-2</v>
      </c>
    </row>
    <row r="1280" spans="1:6" x14ac:dyDescent="0.25">
      <c r="A1280" s="1" t="str">
        <f t="shared" si="51"/>
        <v>11700</v>
      </c>
      <c r="B1280" s="1" t="str">
        <f>"28803"</f>
        <v>28803</v>
      </c>
      <c r="C1280" s="2">
        <v>6.7879113439689095E-2</v>
      </c>
      <c r="D1280" s="2">
        <v>8.0987888453083898E-2</v>
      </c>
      <c r="E1280" s="2">
        <v>0.10841492833829899</v>
      </c>
      <c r="F1280" s="2">
        <v>6.9831810356244195E-2</v>
      </c>
    </row>
    <row r="1281" spans="1:6" x14ac:dyDescent="0.25">
      <c r="A1281" s="1" t="str">
        <f t="shared" si="51"/>
        <v>11700</v>
      </c>
      <c r="B1281" s="1" t="str">
        <f>"28759"</f>
        <v>28759</v>
      </c>
      <c r="C1281" s="2">
        <v>1.3418349325955099E-2</v>
      </c>
      <c r="D1281" s="2">
        <v>1.07322960217232E-2</v>
      </c>
      <c r="E1281" s="2">
        <v>3.4057045551298399E-3</v>
      </c>
      <c r="F1281" s="2">
        <v>1.2978413455171501E-2</v>
      </c>
    </row>
    <row r="1282" spans="1:6" x14ac:dyDescent="0.25">
      <c r="A1282" s="1" t="str">
        <f t="shared" si="51"/>
        <v>11700</v>
      </c>
      <c r="B1282" s="1" t="str">
        <f>"28735"</f>
        <v>28735</v>
      </c>
      <c r="C1282" s="2">
        <v>4.9670336139400698E-4</v>
      </c>
      <c r="D1282" s="2">
        <v>1.2930477134606201E-4</v>
      </c>
      <c r="E1282" s="2">
        <v>0</v>
      </c>
      <c r="F1282" s="2">
        <v>4.5689312673818E-4</v>
      </c>
    </row>
    <row r="1283" spans="1:6" x14ac:dyDescent="0.25">
      <c r="A1283" s="1" t="str">
        <f t="shared" si="51"/>
        <v>11700</v>
      </c>
      <c r="B1283" s="1" t="str">
        <f>"28655"</f>
        <v>28655</v>
      </c>
      <c r="C1283" s="2">
        <v>7.35856831694825E-6</v>
      </c>
      <c r="D1283" s="2">
        <v>0</v>
      </c>
      <c r="E1283" s="2">
        <v>0</v>
      </c>
      <c r="F1283" s="2">
        <v>6.6216395179446403E-6</v>
      </c>
    </row>
    <row r="1284" spans="1:6" x14ac:dyDescent="0.25">
      <c r="A1284" s="1" t="str">
        <f t="shared" si="51"/>
        <v>11700</v>
      </c>
      <c r="B1284" s="1" t="str">
        <f>"28810"</f>
        <v>28810</v>
      </c>
      <c r="C1284" s="2">
        <v>0</v>
      </c>
      <c r="D1284" s="2">
        <v>4.3101590448687501E-5</v>
      </c>
      <c r="E1284" s="2">
        <v>1.4190435646374301E-4</v>
      </c>
      <c r="F1284" s="2">
        <v>6.6216395179446403E-6</v>
      </c>
    </row>
    <row r="1285" spans="1:6" x14ac:dyDescent="0.25">
      <c r="A1285" s="1" t="str">
        <f t="shared" si="51"/>
        <v>11700</v>
      </c>
      <c r="B1285" s="1" t="str">
        <f>"28814"</f>
        <v>28814</v>
      </c>
      <c r="C1285" s="2">
        <v>2.9176723376699801E-3</v>
      </c>
      <c r="D1285" s="2">
        <v>1.71975345890263E-2</v>
      </c>
      <c r="E1285" s="2">
        <v>1.4190435646374301E-4</v>
      </c>
      <c r="F1285" s="2">
        <v>3.9498079724539703E-3</v>
      </c>
    </row>
    <row r="1286" spans="1:6" x14ac:dyDescent="0.25">
      <c r="A1286" s="1" t="str">
        <f t="shared" si="51"/>
        <v>11700</v>
      </c>
      <c r="B1286" s="1" t="str">
        <f>"28730"</f>
        <v>28730</v>
      </c>
      <c r="C1286" s="2">
        <v>1.73036733973038E-2</v>
      </c>
      <c r="D1286" s="2">
        <v>5.2583940347398798E-3</v>
      </c>
      <c r="E1286" s="2">
        <v>3.4057045551298399E-3</v>
      </c>
      <c r="F1286" s="2">
        <v>1.6054165011256699E-2</v>
      </c>
    </row>
    <row r="1287" spans="1:6" x14ac:dyDescent="0.25">
      <c r="A1287" s="1" t="str">
        <f t="shared" si="51"/>
        <v>11700</v>
      </c>
      <c r="B1287" s="1" t="str">
        <f>"28716"</f>
        <v>28716</v>
      </c>
      <c r="C1287" s="2">
        <v>3.4176870548066098E-2</v>
      </c>
      <c r="D1287" s="2">
        <v>2.2068014309728001E-2</v>
      </c>
      <c r="E1287" s="2">
        <v>1.67447140627217E-2</v>
      </c>
      <c r="F1287" s="2">
        <v>3.28400211892464E-2</v>
      </c>
    </row>
    <row r="1288" spans="1:6" x14ac:dyDescent="0.25">
      <c r="A1288" s="1" t="str">
        <f t="shared" si="51"/>
        <v>11700</v>
      </c>
      <c r="B1288" s="1" t="str">
        <f>"28804"</f>
        <v>28804</v>
      </c>
      <c r="C1288" s="2">
        <v>4.4243392005651298E-2</v>
      </c>
      <c r="D1288" s="2">
        <v>3.5472608939269797E-2</v>
      </c>
      <c r="E1288" s="2">
        <v>6.27217255569745E-2</v>
      </c>
      <c r="F1288" s="2">
        <v>4.4000794596742103E-2</v>
      </c>
    </row>
    <row r="1289" spans="1:6" x14ac:dyDescent="0.25">
      <c r="A1289" s="1" t="str">
        <f t="shared" si="51"/>
        <v>11700</v>
      </c>
      <c r="B1289" s="1" t="str">
        <f>"28801"</f>
        <v>28801</v>
      </c>
      <c r="C1289" s="2">
        <v>3.1825807970801201E-2</v>
      </c>
      <c r="D1289" s="2">
        <v>0.139649153053747</v>
      </c>
      <c r="E1289" s="2">
        <v>0.13310628636299099</v>
      </c>
      <c r="F1289" s="2">
        <v>4.2471195868096903E-2</v>
      </c>
    </row>
    <row r="1290" spans="1:6" x14ac:dyDescent="0.25">
      <c r="A1290" s="1" t="str">
        <f t="shared" si="51"/>
        <v>11700</v>
      </c>
      <c r="B1290" s="1" t="str">
        <f>"28791"</f>
        <v>28791</v>
      </c>
      <c r="C1290" s="2">
        <v>2.66343380231942E-2</v>
      </c>
      <c r="D1290" s="2">
        <v>2.11628809103055E-2</v>
      </c>
      <c r="E1290" s="2">
        <v>4.0726550305094297E-2</v>
      </c>
      <c r="F1290" s="2">
        <v>2.6542842007681099E-2</v>
      </c>
    </row>
    <row r="1291" spans="1:6" x14ac:dyDescent="0.25">
      <c r="A1291" s="1" t="str">
        <f t="shared" si="51"/>
        <v>11700</v>
      </c>
      <c r="B1291" s="1" t="str">
        <f>"28815"</f>
        <v>28815</v>
      </c>
      <c r="C1291" s="2">
        <v>4.3562724436333597E-3</v>
      </c>
      <c r="D1291" s="2">
        <v>1.0387483298133699E-2</v>
      </c>
      <c r="E1291" s="2">
        <v>2.8380871292748601E-4</v>
      </c>
      <c r="F1291" s="2">
        <v>4.7245397960534999E-3</v>
      </c>
    </row>
    <row r="1292" spans="1:6" x14ac:dyDescent="0.25">
      <c r="A1292" s="1" t="str">
        <f t="shared" si="51"/>
        <v>11700</v>
      </c>
      <c r="B1292" s="1" t="str">
        <f>"28773"</f>
        <v>28773</v>
      </c>
      <c r="C1292" s="2">
        <v>2.95814446341319E-3</v>
      </c>
      <c r="D1292" s="2">
        <v>4.3101590448687501E-5</v>
      </c>
      <c r="E1292" s="2">
        <v>7.0952178231871704E-4</v>
      </c>
      <c r="F1292" s="2">
        <v>2.6817640047675801E-3</v>
      </c>
    </row>
    <row r="1293" spans="1:6" x14ac:dyDescent="0.25">
      <c r="A1293" s="1" t="str">
        <f t="shared" si="51"/>
        <v>11700</v>
      </c>
      <c r="B1293" s="1" t="str">
        <f>"28786"</f>
        <v>28786</v>
      </c>
      <c r="C1293" s="2">
        <v>4.7804939071054299E-2</v>
      </c>
      <c r="D1293" s="2">
        <v>7.0815913107193595E-2</v>
      </c>
      <c r="E1293" s="2">
        <v>3.5050376046544603E-2</v>
      </c>
      <c r="F1293" s="2">
        <v>4.9274930472785E-2</v>
      </c>
    </row>
    <row r="1294" spans="1:6" x14ac:dyDescent="0.25">
      <c r="A1294" s="1" t="str">
        <f t="shared" si="51"/>
        <v>11700</v>
      </c>
      <c r="B1294" s="1" t="str">
        <f>"28742"</f>
        <v>28742</v>
      </c>
      <c r="C1294" s="2">
        <v>7.5057396832872098E-3</v>
      </c>
      <c r="D1294" s="2">
        <v>4.91358131115038E-3</v>
      </c>
      <c r="E1294" s="2">
        <v>5.67617425854973E-4</v>
      </c>
      <c r="F1294" s="2">
        <v>7.1447490398622599E-3</v>
      </c>
    </row>
    <row r="1295" spans="1:6" x14ac:dyDescent="0.25">
      <c r="A1295" s="1" t="str">
        <f t="shared" si="51"/>
        <v>11700</v>
      </c>
      <c r="B1295" s="1" t="str">
        <f>"28784"</f>
        <v>28784</v>
      </c>
      <c r="C1295" s="2">
        <v>1.2509566138812001E-4</v>
      </c>
      <c r="D1295" s="2">
        <v>2.5860954269212499E-4</v>
      </c>
      <c r="E1295" s="2">
        <v>2.8380871292748601E-4</v>
      </c>
      <c r="F1295" s="2">
        <v>1.3905442987683701E-4</v>
      </c>
    </row>
    <row r="1296" spans="1:6" x14ac:dyDescent="0.25">
      <c r="A1296" s="1" t="str">
        <f t="shared" si="51"/>
        <v>11700</v>
      </c>
      <c r="B1296" s="1" t="str">
        <f>"28790"</f>
        <v>28790</v>
      </c>
      <c r="C1296" s="2">
        <v>7.4689468417024696E-3</v>
      </c>
      <c r="D1296" s="2">
        <v>2.5860954269212501E-3</v>
      </c>
      <c r="E1296" s="2">
        <v>2.6961827728111199E-3</v>
      </c>
      <c r="F1296" s="2">
        <v>6.9825188716726204E-3</v>
      </c>
    </row>
    <row r="1297" spans="1:6" x14ac:dyDescent="0.25">
      <c r="A1297" s="1" t="str">
        <f t="shared" si="51"/>
        <v>11700</v>
      </c>
      <c r="B1297" s="1" t="str">
        <f>"28721"</f>
        <v>28721</v>
      </c>
      <c r="C1297" s="2">
        <v>2.35805321716606E-2</v>
      </c>
      <c r="D1297" s="2">
        <v>1.30166803155036E-2</v>
      </c>
      <c r="E1297" s="2">
        <v>9.2237831701433206E-3</v>
      </c>
      <c r="F1297" s="2">
        <v>2.2434114686796399E-2</v>
      </c>
    </row>
    <row r="1298" spans="1:6" x14ac:dyDescent="0.25">
      <c r="A1298" s="1" t="str">
        <f t="shared" si="51"/>
        <v>11700</v>
      </c>
      <c r="B1298" s="1" t="str">
        <f>"28728"</f>
        <v>28728</v>
      </c>
      <c r="C1298" s="2">
        <v>2.7668216871725398E-3</v>
      </c>
      <c r="D1298" s="2">
        <v>5.3445972156372498E-3</v>
      </c>
      <c r="E1298" s="2">
        <v>5.67617425854973E-4</v>
      </c>
      <c r="F1298" s="2">
        <v>2.9135213878956402E-3</v>
      </c>
    </row>
    <row r="1299" spans="1:6" x14ac:dyDescent="0.25">
      <c r="A1299" s="1" t="str">
        <f t="shared" si="51"/>
        <v>11700</v>
      </c>
      <c r="B1299" s="1" t="str">
        <f>"28711"</f>
        <v>28711</v>
      </c>
      <c r="C1299" s="2">
        <v>3.2863366103490901E-2</v>
      </c>
      <c r="D1299" s="2">
        <v>3.3705443730873599E-2</v>
      </c>
      <c r="E1299" s="2">
        <v>2.3981836242372601E-2</v>
      </c>
      <c r="F1299" s="2">
        <v>3.2720831677923397E-2</v>
      </c>
    </row>
    <row r="1300" spans="1:6" x14ac:dyDescent="0.25">
      <c r="A1300" s="1" t="str">
        <f t="shared" si="51"/>
        <v>11700</v>
      </c>
      <c r="B1300" s="1" t="str">
        <f>"28778"</f>
        <v>28778</v>
      </c>
      <c r="C1300" s="2">
        <v>2.17298522399481E-2</v>
      </c>
      <c r="D1300" s="2">
        <v>1.80164648075513E-2</v>
      </c>
      <c r="E1300" s="2">
        <v>6.9533134667234204E-3</v>
      </c>
      <c r="F1300" s="2">
        <v>2.1099854323930599E-2</v>
      </c>
    </row>
    <row r="1301" spans="1:6" x14ac:dyDescent="0.25">
      <c r="A1301" s="1" t="str">
        <f t="shared" si="51"/>
        <v>11700</v>
      </c>
      <c r="B1301" s="1" t="str">
        <f>"28776"</f>
        <v>28776</v>
      </c>
      <c r="C1301" s="2">
        <v>6.1775181020780499E-3</v>
      </c>
      <c r="D1301" s="2">
        <v>1.06891944312745E-2</v>
      </c>
      <c r="E1301" s="2">
        <v>1.4190435646374301E-4</v>
      </c>
      <c r="F1301" s="2">
        <v>6.3832604952986302E-3</v>
      </c>
    </row>
    <row r="1302" spans="1:6" x14ac:dyDescent="0.25">
      <c r="A1302" s="1" t="str">
        <f t="shared" si="51"/>
        <v>11700</v>
      </c>
      <c r="B1302" s="1" t="str">
        <f>"28727"</f>
        <v>28727</v>
      </c>
      <c r="C1302" s="2">
        <v>3.6792841584741199E-6</v>
      </c>
      <c r="D1302" s="2">
        <v>0</v>
      </c>
      <c r="E1302" s="2">
        <v>1.4190435646374301E-4</v>
      </c>
      <c r="F1302" s="2">
        <v>6.6216395179446403E-6</v>
      </c>
    </row>
    <row r="1303" spans="1:6" x14ac:dyDescent="0.25">
      <c r="A1303" s="1" t="str">
        <f t="shared" si="51"/>
        <v>11700</v>
      </c>
      <c r="B1303" s="1" t="str">
        <f>"28779"</f>
        <v>28779</v>
      </c>
      <c r="C1303" s="2">
        <v>1.8396420792370601E-5</v>
      </c>
      <c r="D1303" s="2">
        <v>0</v>
      </c>
      <c r="E1303" s="2">
        <v>0</v>
      </c>
      <c r="F1303" s="2">
        <v>1.6554098794861599E-5</v>
      </c>
    </row>
    <row r="1304" spans="1:6" x14ac:dyDescent="0.25">
      <c r="A1304" s="1" t="str">
        <f t="shared" si="51"/>
        <v>11700</v>
      </c>
      <c r="B1304" s="1" t="str">
        <f>"28756"</f>
        <v>28756</v>
      </c>
      <c r="C1304" s="2">
        <v>1.10378524754223E-5</v>
      </c>
      <c r="D1304" s="2">
        <v>0</v>
      </c>
      <c r="E1304" s="2">
        <v>0</v>
      </c>
      <c r="F1304" s="2">
        <v>9.9324592769169592E-6</v>
      </c>
    </row>
    <row r="1305" spans="1:6" x14ac:dyDescent="0.25">
      <c r="A1305" s="1" t="str">
        <f t="shared" si="51"/>
        <v>11700</v>
      </c>
      <c r="B1305" s="1" t="str">
        <f>"28724"</f>
        <v>28724</v>
      </c>
      <c r="C1305" s="2">
        <v>3.74919055748513E-3</v>
      </c>
      <c r="D1305" s="2">
        <v>1.85336838929356E-3</v>
      </c>
      <c r="E1305" s="2">
        <v>2.8380871292748601E-4</v>
      </c>
      <c r="F1305" s="2">
        <v>3.5227122235465501E-3</v>
      </c>
    </row>
    <row r="1306" spans="1:6" x14ac:dyDescent="0.25">
      <c r="A1306" s="1" t="str">
        <f t="shared" ref="A1306:A1325" si="52">"11740"</f>
        <v>11740</v>
      </c>
      <c r="B1306" s="1" t="str">
        <f>"44843"</f>
        <v>44843</v>
      </c>
      <c r="C1306" s="2">
        <v>1.9042782785324299E-3</v>
      </c>
      <c r="D1306" s="2">
        <v>0</v>
      </c>
      <c r="E1306" s="2">
        <v>0</v>
      </c>
      <c r="F1306" s="2">
        <v>1.74189053185724E-3</v>
      </c>
    </row>
    <row r="1307" spans="1:6" x14ac:dyDescent="0.25">
      <c r="A1307" s="1" t="str">
        <f t="shared" si="52"/>
        <v>11740</v>
      </c>
      <c r="B1307" s="1" t="str">
        <f>"44903"</f>
        <v>44903</v>
      </c>
      <c r="C1307" s="2">
        <v>1.1425669671194601E-3</v>
      </c>
      <c r="D1307" s="2">
        <v>0</v>
      </c>
      <c r="E1307" s="2">
        <v>3.7664783427495199E-3</v>
      </c>
      <c r="F1307" s="2">
        <v>1.1225516760857699E-3</v>
      </c>
    </row>
    <row r="1308" spans="1:6" x14ac:dyDescent="0.25">
      <c r="A1308" s="1" t="str">
        <f t="shared" si="52"/>
        <v>11740</v>
      </c>
      <c r="B1308" s="1" t="str">
        <f>"44874"</f>
        <v>44874</v>
      </c>
      <c r="C1308" s="2">
        <v>1.6926918031399401E-4</v>
      </c>
      <c r="D1308" s="2">
        <v>5.9808612440191298E-4</v>
      </c>
      <c r="E1308" s="2">
        <v>1.88323917137476E-3</v>
      </c>
      <c r="F1308" s="2">
        <v>2.3225207091429799E-4</v>
      </c>
    </row>
    <row r="1309" spans="1:6" x14ac:dyDescent="0.25">
      <c r="A1309" s="1" t="str">
        <f t="shared" si="52"/>
        <v>11740</v>
      </c>
      <c r="B1309" s="1" t="str">
        <f>"44837"</f>
        <v>44837</v>
      </c>
      <c r="C1309" s="2">
        <v>8.0402860649147305E-3</v>
      </c>
      <c r="D1309" s="2">
        <v>2.9904306220095598E-3</v>
      </c>
      <c r="E1309" s="2">
        <v>0</v>
      </c>
      <c r="F1309" s="2">
        <v>7.5481923047147096E-3</v>
      </c>
    </row>
    <row r="1310" spans="1:6" x14ac:dyDescent="0.25">
      <c r="A1310" s="1" t="str">
        <f t="shared" si="52"/>
        <v>11740</v>
      </c>
      <c r="B1310" s="1" t="str">
        <f>"44878"</f>
        <v>44878</v>
      </c>
      <c r="C1310" s="2">
        <v>1.10024967204096E-3</v>
      </c>
      <c r="D1310" s="2">
        <v>0</v>
      </c>
      <c r="E1310" s="2">
        <v>0</v>
      </c>
      <c r="F1310" s="2">
        <v>1.0064256406286201E-3</v>
      </c>
    </row>
    <row r="1311" spans="1:6" x14ac:dyDescent="0.25">
      <c r="A1311" s="1" t="str">
        <f t="shared" si="52"/>
        <v>11740</v>
      </c>
      <c r="B1311" s="1" t="str">
        <f>"44287"</f>
        <v>44287</v>
      </c>
      <c r="C1311" s="2">
        <v>4.5491092209385901E-2</v>
      </c>
      <c r="D1311" s="2">
        <v>6.5789473684210497E-3</v>
      </c>
      <c r="E1311" s="2">
        <v>1.5065913370998101E-2</v>
      </c>
      <c r="F1311" s="2">
        <v>4.2347294263373803E-2</v>
      </c>
    </row>
    <row r="1312" spans="1:6" x14ac:dyDescent="0.25">
      <c r="A1312" s="1" t="str">
        <f t="shared" si="52"/>
        <v>11740</v>
      </c>
      <c r="B1312" s="1" t="str">
        <f>"44235"</f>
        <v>44235</v>
      </c>
      <c r="C1312" s="2">
        <v>3.8085565570648698E-4</v>
      </c>
      <c r="D1312" s="2">
        <v>0</v>
      </c>
      <c r="E1312" s="2">
        <v>0</v>
      </c>
      <c r="F1312" s="2">
        <v>3.4837810637144799E-4</v>
      </c>
    </row>
    <row r="1313" spans="1:6" x14ac:dyDescent="0.25">
      <c r="A1313" s="1" t="str">
        <f t="shared" si="52"/>
        <v>11740</v>
      </c>
      <c r="B1313" s="1" t="str">
        <f>"44805"</f>
        <v>44805</v>
      </c>
      <c r="C1313" s="2">
        <v>0.62282594896534205</v>
      </c>
      <c r="D1313" s="2">
        <v>0.80741626794258303</v>
      </c>
      <c r="E1313" s="2">
        <v>0.79661016949152497</v>
      </c>
      <c r="F1313" s="2">
        <v>0.63834481690794997</v>
      </c>
    </row>
    <row r="1314" spans="1:6" x14ac:dyDescent="0.25">
      <c r="A1314" s="1" t="str">
        <f t="shared" si="52"/>
        <v>11740</v>
      </c>
      <c r="B1314" s="1" t="str">
        <f>"44840"</f>
        <v>44840</v>
      </c>
      <c r="C1314" s="2">
        <v>5.1288561635140201E-2</v>
      </c>
      <c r="D1314" s="2">
        <v>2.5717703349282198E-2</v>
      </c>
      <c r="E1314" s="2">
        <v>1.88323917137476E-2</v>
      </c>
      <c r="F1314" s="2">
        <v>4.8966478284431299E-2</v>
      </c>
    </row>
    <row r="1315" spans="1:6" x14ac:dyDescent="0.25">
      <c r="A1315" s="1" t="str">
        <f t="shared" si="52"/>
        <v>11740</v>
      </c>
      <c r="B1315" s="1" t="str">
        <f>"44842"</f>
        <v>44842</v>
      </c>
      <c r="C1315" s="2">
        <v>9.8980153188608103E-2</v>
      </c>
      <c r="D1315" s="2">
        <v>0.107057416267942</v>
      </c>
      <c r="E1315" s="2">
        <v>8.6629001883239104E-2</v>
      </c>
      <c r="F1315" s="2">
        <v>9.9249051637377003E-2</v>
      </c>
    </row>
    <row r="1316" spans="1:6" x14ac:dyDescent="0.25">
      <c r="A1316" s="1" t="str">
        <f t="shared" si="52"/>
        <v>11740</v>
      </c>
      <c r="B1316" s="1" t="str">
        <f>"44880"</f>
        <v>44880</v>
      </c>
      <c r="C1316" s="2">
        <v>4.2401929668655497E-2</v>
      </c>
      <c r="D1316" s="2">
        <v>1.07655502392344E-2</v>
      </c>
      <c r="E1316" s="2">
        <v>1.1299435028248501E-2</v>
      </c>
      <c r="F1316" s="2">
        <v>3.9715104126345102E-2</v>
      </c>
    </row>
    <row r="1317" spans="1:6" x14ac:dyDescent="0.25">
      <c r="A1317" s="1" t="str">
        <f t="shared" si="52"/>
        <v>11740</v>
      </c>
      <c r="B1317" s="1" t="str">
        <f>"44859"</f>
        <v>44859</v>
      </c>
      <c r="C1317" s="2">
        <v>3.02145486860479E-2</v>
      </c>
      <c r="D1317" s="2">
        <v>7.7751196172248802E-3</v>
      </c>
      <c r="E1317" s="2">
        <v>5.6497175141242903E-3</v>
      </c>
      <c r="F1317" s="2">
        <v>2.8257335294572999E-2</v>
      </c>
    </row>
    <row r="1318" spans="1:6" x14ac:dyDescent="0.25">
      <c r="A1318" s="1" t="str">
        <f t="shared" si="52"/>
        <v>11740</v>
      </c>
      <c r="B1318" s="1" t="str">
        <f>"44838"</f>
        <v>44838</v>
      </c>
      <c r="C1318" s="2">
        <v>2.62367229486691E-3</v>
      </c>
      <c r="D1318" s="2">
        <v>5.9808612440191298E-4</v>
      </c>
      <c r="E1318" s="2">
        <v>0</v>
      </c>
      <c r="F1318" s="2">
        <v>2.4386467446001299E-3</v>
      </c>
    </row>
    <row r="1319" spans="1:6" x14ac:dyDescent="0.25">
      <c r="A1319" s="1" t="str">
        <f t="shared" si="52"/>
        <v>11740</v>
      </c>
      <c r="B1319" s="1" t="str">
        <f>"44638"</f>
        <v>44638</v>
      </c>
      <c r="C1319" s="2">
        <v>5.0357581143413302E-3</v>
      </c>
      <c r="D1319" s="2">
        <v>3.5885167464114799E-3</v>
      </c>
      <c r="E1319" s="2">
        <v>1.88323917137476E-3</v>
      </c>
      <c r="F1319" s="2">
        <v>4.8772934892002701E-3</v>
      </c>
    </row>
    <row r="1320" spans="1:6" x14ac:dyDescent="0.25">
      <c r="A1320" s="1" t="str">
        <f t="shared" si="52"/>
        <v>11740</v>
      </c>
      <c r="B1320" s="1" t="str">
        <f>"44822"</f>
        <v>44822</v>
      </c>
      <c r="C1320" s="2">
        <v>2.5390377047099097E-4</v>
      </c>
      <c r="D1320" s="2">
        <v>0</v>
      </c>
      <c r="E1320" s="2">
        <v>0</v>
      </c>
      <c r="F1320" s="2">
        <v>2.3225207091429799E-4</v>
      </c>
    </row>
    <row r="1321" spans="1:6" x14ac:dyDescent="0.25">
      <c r="A1321" s="1" t="str">
        <f t="shared" si="52"/>
        <v>11740</v>
      </c>
      <c r="B1321" s="1" t="str">
        <f>"44848"</f>
        <v>44848</v>
      </c>
      <c r="C1321" s="2">
        <v>0</v>
      </c>
      <c r="D1321" s="2">
        <v>0</v>
      </c>
      <c r="E1321" s="2">
        <v>1.88323917137476E-3</v>
      </c>
      <c r="F1321" s="2">
        <v>3.8708678485716397E-5</v>
      </c>
    </row>
    <row r="1322" spans="1:6" x14ac:dyDescent="0.25">
      <c r="A1322" s="1" t="str">
        <f t="shared" si="52"/>
        <v>11740</v>
      </c>
      <c r="B1322" s="1" t="str">
        <f>"44866"</f>
        <v>44866</v>
      </c>
      <c r="C1322" s="2">
        <v>3.6435191062587198E-2</v>
      </c>
      <c r="D1322" s="2">
        <v>1.07655502392344E-2</v>
      </c>
      <c r="E1322" s="2">
        <v>2.0715630885122401E-2</v>
      </c>
      <c r="F1322" s="2">
        <v>3.4450723852287597E-2</v>
      </c>
    </row>
    <row r="1323" spans="1:6" x14ac:dyDescent="0.25">
      <c r="A1323" s="1" t="str">
        <f t="shared" si="52"/>
        <v>11740</v>
      </c>
      <c r="B1323" s="1" t="str">
        <f>"44691"</f>
        <v>44691</v>
      </c>
      <c r="C1323" s="2">
        <v>5.9244213109897997E-4</v>
      </c>
      <c r="D1323" s="2">
        <v>0</v>
      </c>
      <c r="E1323" s="2">
        <v>0</v>
      </c>
      <c r="F1323" s="2">
        <v>5.4192149880003004E-4</v>
      </c>
    </row>
    <row r="1324" spans="1:6" x14ac:dyDescent="0.25">
      <c r="A1324" s="1" t="str">
        <f t="shared" si="52"/>
        <v>11740</v>
      </c>
      <c r="B1324" s="1" t="str">
        <f>"44864"</f>
        <v>44864</v>
      </c>
      <c r="C1324" s="2">
        <v>4.71414667174474E-2</v>
      </c>
      <c r="D1324" s="2">
        <v>1.43540669856459E-2</v>
      </c>
      <c r="E1324" s="2">
        <v>3.5781544256120498E-2</v>
      </c>
      <c r="F1324" s="2">
        <v>4.4785941007973902E-2</v>
      </c>
    </row>
    <row r="1325" spans="1:6" x14ac:dyDescent="0.25">
      <c r="A1325" s="1" t="str">
        <f t="shared" si="52"/>
        <v>11740</v>
      </c>
      <c r="B1325" s="1" t="str">
        <f>"44851"</f>
        <v>44851</v>
      </c>
      <c r="C1325" s="2">
        <v>3.9778257373788602E-3</v>
      </c>
      <c r="D1325" s="2">
        <v>1.7942583732057399E-3</v>
      </c>
      <c r="E1325" s="2">
        <v>0</v>
      </c>
      <c r="F1325" s="2">
        <v>3.7547418131145E-3</v>
      </c>
    </row>
    <row r="1326" spans="1:6" x14ac:dyDescent="0.25">
      <c r="A1326" s="1" t="str">
        <f t="shared" ref="A1326:A1347" si="53">"11780"</f>
        <v>11780</v>
      </c>
      <c r="B1326" s="1" t="str">
        <f>"44032"</f>
        <v>44032</v>
      </c>
      <c r="C1326" s="2">
        <v>1.5180836881262601E-2</v>
      </c>
      <c r="D1326" s="2">
        <v>6.3371356147021501E-3</v>
      </c>
      <c r="E1326" s="2">
        <v>8.7032201914708396E-4</v>
      </c>
      <c r="F1326" s="2">
        <v>1.43079254492137E-2</v>
      </c>
    </row>
    <row r="1327" spans="1:6" x14ac:dyDescent="0.25">
      <c r="A1327" s="1" t="str">
        <f t="shared" si="53"/>
        <v>11780</v>
      </c>
      <c r="B1327" s="1" t="str">
        <f>"44428"</f>
        <v>44428</v>
      </c>
      <c r="C1327" s="2">
        <v>7.3108846170386597E-4</v>
      </c>
      <c r="D1327" s="2">
        <v>0</v>
      </c>
      <c r="E1327" s="2">
        <v>0</v>
      </c>
      <c r="F1327" s="2">
        <v>6.6914644466749295E-4</v>
      </c>
    </row>
    <row r="1328" spans="1:6" x14ac:dyDescent="0.25">
      <c r="A1328" s="1" t="str">
        <f t="shared" si="53"/>
        <v>11780</v>
      </c>
      <c r="B1328" s="1" t="str">
        <f>"44084"</f>
        <v>44084</v>
      </c>
      <c r="C1328" s="2">
        <v>3.8210123424934399E-2</v>
      </c>
      <c r="D1328" s="2">
        <v>1.5525982256020201E-2</v>
      </c>
      <c r="E1328" s="2">
        <v>1.6536118363794601E-2</v>
      </c>
      <c r="F1328" s="2">
        <v>3.6311035012103601E-2</v>
      </c>
    </row>
    <row r="1329" spans="1:6" x14ac:dyDescent="0.25">
      <c r="A1329" s="1" t="str">
        <f t="shared" si="53"/>
        <v>11780</v>
      </c>
      <c r="B1329" s="1" t="str">
        <f>"44010"</f>
        <v>44010</v>
      </c>
      <c r="C1329" s="2">
        <v>1.33961209306326E-2</v>
      </c>
      <c r="D1329" s="2">
        <v>1.45754119138149E-2</v>
      </c>
      <c r="E1329" s="2">
        <v>4.3516100957354201E-3</v>
      </c>
      <c r="F1329" s="2">
        <v>1.3264844226643801E-2</v>
      </c>
    </row>
    <row r="1330" spans="1:6" x14ac:dyDescent="0.25">
      <c r="A1330" s="1" t="str">
        <f t="shared" si="53"/>
        <v>11780</v>
      </c>
      <c r="B1330" s="1" t="str">
        <f>"44004"</f>
        <v>44004</v>
      </c>
      <c r="C1330" s="2">
        <v>0.35197608910678102</v>
      </c>
      <c r="D1330" s="2">
        <v>0.47972116603295301</v>
      </c>
      <c r="E1330" s="2">
        <v>0.46649260226283701</v>
      </c>
      <c r="F1330" s="2">
        <v>0.36250024600972203</v>
      </c>
    </row>
    <row r="1331" spans="1:6" x14ac:dyDescent="0.25">
      <c r="A1331" s="1" t="str">
        <f t="shared" si="53"/>
        <v>11780</v>
      </c>
      <c r="B1331" s="1" t="str">
        <f>"44048"</f>
        <v>44048</v>
      </c>
      <c r="C1331" s="2">
        <v>2.2061669462004899E-2</v>
      </c>
      <c r="D1331" s="2">
        <v>1.3941698352344699E-2</v>
      </c>
      <c r="E1331" s="2">
        <v>2.0887728459529999E-2</v>
      </c>
      <c r="F1331" s="2">
        <v>2.1530770896065799E-2</v>
      </c>
    </row>
    <row r="1332" spans="1:6" x14ac:dyDescent="0.25">
      <c r="A1332" s="1" t="str">
        <f t="shared" si="53"/>
        <v>11780</v>
      </c>
      <c r="B1332" s="1" t="str">
        <f>"44085"</f>
        <v>44085</v>
      </c>
      <c r="C1332" s="2">
        <v>3.1049757020599401E-2</v>
      </c>
      <c r="D1332" s="2">
        <v>1.2991128010139401E-2</v>
      </c>
      <c r="E1332" s="2">
        <v>1.30548302872062E-2</v>
      </c>
      <c r="F1332" s="2">
        <v>2.9521166676507001E-2</v>
      </c>
    </row>
    <row r="1333" spans="1:6" x14ac:dyDescent="0.25">
      <c r="A1333" s="1" t="str">
        <f t="shared" si="53"/>
        <v>11780</v>
      </c>
      <c r="B1333" s="1" t="str">
        <f>"44086"</f>
        <v>44086</v>
      </c>
      <c r="C1333" s="2">
        <v>6.4507805444458696E-4</v>
      </c>
      <c r="D1333" s="2">
        <v>0</v>
      </c>
      <c r="E1333" s="2">
        <v>0</v>
      </c>
      <c r="F1333" s="2">
        <v>5.9042333353014097E-4</v>
      </c>
    </row>
    <row r="1334" spans="1:6" x14ac:dyDescent="0.25">
      <c r="A1334" s="1" t="str">
        <f t="shared" si="53"/>
        <v>11780</v>
      </c>
      <c r="B1334" s="1" t="str">
        <f>"44099"</f>
        <v>44099</v>
      </c>
      <c r="C1334" s="2">
        <v>1.35896443469659E-2</v>
      </c>
      <c r="D1334" s="2">
        <v>3.8022813688212902E-3</v>
      </c>
      <c r="E1334" s="2">
        <v>4.3516100957354201E-3</v>
      </c>
      <c r="F1334" s="2">
        <v>1.27728247820353E-2</v>
      </c>
    </row>
    <row r="1335" spans="1:6" x14ac:dyDescent="0.25">
      <c r="A1335" s="1" t="str">
        <f t="shared" si="53"/>
        <v>11780</v>
      </c>
      <c r="B1335" s="1" t="str">
        <f>"44064"</f>
        <v>44064</v>
      </c>
      <c r="C1335" s="2">
        <v>6.0207285081494805E-4</v>
      </c>
      <c r="D1335" s="2">
        <v>0</v>
      </c>
      <c r="E1335" s="2">
        <v>0</v>
      </c>
      <c r="F1335" s="2">
        <v>5.5106177796146504E-4</v>
      </c>
    </row>
    <row r="1336" spans="1:6" x14ac:dyDescent="0.25">
      <c r="A1336" s="1" t="str">
        <f t="shared" si="53"/>
        <v>11780</v>
      </c>
      <c r="B1336" s="1" t="str">
        <f>"44088"</f>
        <v>44088</v>
      </c>
      <c r="C1336" s="2">
        <v>0</v>
      </c>
      <c r="D1336" s="2">
        <v>0</v>
      </c>
      <c r="E1336" s="2">
        <v>8.7032201914708396E-4</v>
      </c>
      <c r="F1336" s="2">
        <v>1.9680777784338001E-5</v>
      </c>
    </row>
    <row r="1337" spans="1:6" x14ac:dyDescent="0.25">
      <c r="A1337" s="1" t="str">
        <f t="shared" si="53"/>
        <v>11780</v>
      </c>
      <c r="B1337" s="1" t="str">
        <f>"44047"</f>
        <v>44047</v>
      </c>
      <c r="C1337" s="2">
        <v>8.89562637079086E-2</v>
      </c>
      <c r="D1337" s="2">
        <v>9.5690747782002497E-2</v>
      </c>
      <c r="E1337" s="2">
        <v>7.5718015665796307E-2</v>
      </c>
      <c r="F1337" s="2">
        <v>8.90752002519139E-2</v>
      </c>
    </row>
    <row r="1338" spans="1:6" x14ac:dyDescent="0.25">
      <c r="A1338" s="1" t="str">
        <f t="shared" si="53"/>
        <v>11780</v>
      </c>
      <c r="B1338" s="1" t="str">
        <f>"44068"</f>
        <v>44068</v>
      </c>
      <c r="C1338" s="2">
        <v>3.0103642540747403E-4</v>
      </c>
      <c r="D1338" s="2">
        <v>0</v>
      </c>
      <c r="E1338" s="2">
        <v>8.7032201914708396E-4</v>
      </c>
      <c r="F1338" s="2">
        <v>2.9521166676507E-4</v>
      </c>
    </row>
    <row r="1339" spans="1:6" x14ac:dyDescent="0.25">
      <c r="A1339" s="1" t="str">
        <f t="shared" si="53"/>
        <v>11780</v>
      </c>
      <c r="B1339" s="1" t="str">
        <f>"44057"</f>
        <v>44057</v>
      </c>
      <c r="C1339" s="2">
        <v>4.3005203629639102E-4</v>
      </c>
      <c r="D1339" s="2">
        <v>1.26742712294043E-3</v>
      </c>
      <c r="E1339" s="2">
        <v>0</v>
      </c>
      <c r="F1339" s="2">
        <v>4.7233866682411198E-4</v>
      </c>
    </row>
    <row r="1340" spans="1:6" x14ac:dyDescent="0.25">
      <c r="A1340" s="1" t="str">
        <f t="shared" si="53"/>
        <v>11780</v>
      </c>
      <c r="B1340" s="1" t="str">
        <f>"44062"</f>
        <v>44062</v>
      </c>
      <c r="C1340" s="2">
        <v>2.2147679869264098E-3</v>
      </c>
      <c r="D1340" s="2">
        <v>3.1685678073510701E-4</v>
      </c>
      <c r="E1340" s="2">
        <v>0</v>
      </c>
      <c r="F1340" s="2">
        <v>2.0468008895711499E-3</v>
      </c>
    </row>
    <row r="1341" spans="1:6" x14ac:dyDescent="0.25">
      <c r="A1341" s="1" t="str">
        <f t="shared" si="53"/>
        <v>11780</v>
      </c>
      <c r="B1341" s="1" t="str">
        <f>"44076"</f>
        <v>44076</v>
      </c>
      <c r="C1341" s="2">
        <v>3.9048724895712303E-2</v>
      </c>
      <c r="D1341" s="2">
        <v>2.34474017743979E-2</v>
      </c>
      <c r="E1341" s="2">
        <v>2.1758050478677099E-2</v>
      </c>
      <c r="F1341" s="2">
        <v>3.7688689457007298E-2</v>
      </c>
    </row>
    <row r="1342" spans="1:6" x14ac:dyDescent="0.25">
      <c r="A1342" s="1" t="str">
        <f t="shared" si="53"/>
        <v>11780</v>
      </c>
      <c r="B1342" s="1" t="str">
        <f>"44093"</f>
        <v>44093</v>
      </c>
      <c r="C1342" s="2">
        <v>1.41057067905216E-2</v>
      </c>
      <c r="D1342" s="2">
        <v>4.7528517110266098E-3</v>
      </c>
      <c r="E1342" s="2">
        <v>6.0922541340295896E-3</v>
      </c>
      <c r="F1342" s="2">
        <v>1.3343567337781101E-2</v>
      </c>
    </row>
    <row r="1343" spans="1:6" x14ac:dyDescent="0.25">
      <c r="A1343" s="1" t="str">
        <f t="shared" si="53"/>
        <v>11780</v>
      </c>
      <c r="B1343" s="1" t="str">
        <f>"44030"</f>
        <v>44030</v>
      </c>
      <c r="C1343" s="2">
        <v>0.15985034189136799</v>
      </c>
      <c r="D1343" s="2">
        <v>0.14290240811153301</v>
      </c>
      <c r="E1343" s="2">
        <v>0.15056570931244501</v>
      </c>
      <c r="F1343" s="2">
        <v>0.15858770738619499</v>
      </c>
    </row>
    <row r="1344" spans="1:6" x14ac:dyDescent="0.25">
      <c r="A1344" s="1" t="str">
        <f t="shared" si="53"/>
        <v>11780</v>
      </c>
      <c r="B1344" s="1" t="str">
        <f>"44003"</f>
        <v>44003</v>
      </c>
      <c r="C1344" s="2">
        <v>3.8640175461230802E-2</v>
      </c>
      <c r="D1344" s="2">
        <v>2.34474017743979E-2</v>
      </c>
      <c r="E1344" s="2">
        <v>7.8328981723237504E-3</v>
      </c>
      <c r="F1344" s="2">
        <v>3.6999862234555501E-2</v>
      </c>
    </row>
    <row r="1345" spans="1:6" x14ac:dyDescent="0.25">
      <c r="A1345" s="1" t="str">
        <f t="shared" si="53"/>
        <v>11780</v>
      </c>
      <c r="B1345" s="1" t="str">
        <f>"44041"</f>
        <v>44041</v>
      </c>
      <c r="C1345" s="2">
        <v>0.154625209650367</v>
      </c>
      <c r="D1345" s="2">
        <v>0.15747782002534799</v>
      </c>
      <c r="E1345" s="2">
        <v>0.2088772845953</v>
      </c>
      <c r="F1345" s="2">
        <v>0.156029206274231</v>
      </c>
    </row>
    <row r="1346" spans="1:6" x14ac:dyDescent="0.25">
      <c r="A1346" s="1" t="str">
        <f t="shared" si="53"/>
        <v>11780</v>
      </c>
      <c r="B1346" s="1" t="str">
        <f>"44082"</f>
        <v>44082</v>
      </c>
      <c r="C1346" s="2">
        <v>1.4299230206855E-2</v>
      </c>
      <c r="D1346" s="2">
        <v>3.8022813688212902E-3</v>
      </c>
      <c r="E1346" s="2">
        <v>8.7032201914708396E-4</v>
      </c>
      <c r="F1346" s="2">
        <v>1.3343567337781101E-2</v>
      </c>
    </row>
    <row r="1347" spans="1:6" x14ac:dyDescent="0.25">
      <c r="A1347" s="1" t="str">
        <f t="shared" si="53"/>
        <v>11780</v>
      </c>
      <c r="B1347" s="1" t="str">
        <f>"44046"</f>
        <v>44046</v>
      </c>
      <c r="C1347" s="2">
        <v>8.6010407259278301E-5</v>
      </c>
      <c r="D1347" s="2">
        <v>0</v>
      </c>
      <c r="E1347" s="2">
        <v>0</v>
      </c>
      <c r="F1347" s="2">
        <v>7.87231111373521E-5</v>
      </c>
    </row>
    <row r="1348" spans="1:6" x14ac:dyDescent="0.25">
      <c r="A1348" s="1" t="str">
        <f t="shared" ref="A1348:A1356" si="54">"11820"</f>
        <v>11820</v>
      </c>
      <c r="B1348" s="1" t="str">
        <f>"97145"</f>
        <v>97145</v>
      </c>
      <c r="C1348" s="2">
        <v>0</v>
      </c>
      <c r="D1348" s="2">
        <v>0</v>
      </c>
      <c r="E1348" s="2">
        <v>6.4557779212395003E-4</v>
      </c>
      <c r="F1348" s="2">
        <v>3.5978988270849799E-5</v>
      </c>
    </row>
    <row r="1349" spans="1:6" x14ac:dyDescent="0.25">
      <c r="A1349" s="1" t="str">
        <f t="shared" si="54"/>
        <v>11820</v>
      </c>
      <c r="B1349" s="1" t="str">
        <f>"97121"</f>
        <v>97121</v>
      </c>
      <c r="C1349" s="2">
        <v>2.5000000000000001E-2</v>
      </c>
      <c r="D1349" s="2">
        <v>2.6070763500931002E-3</v>
      </c>
      <c r="E1349" s="2">
        <v>9.0380890897353103E-3</v>
      </c>
      <c r="F1349" s="2">
        <v>2.1947182845218301E-2</v>
      </c>
    </row>
    <row r="1350" spans="1:6" x14ac:dyDescent="0.25">
      <c r="A1350" s="1" t="str">
        <f t="shared" si="54"/>
        <v>11820</v>
      </c>
      <c r="B1350" s="1" t="str">
        <f>"97102"</f>
        <v>97102</v>
      </c>
      <c r="C1350" s="2">
        <v>1.1078098471986399E-2</v>
      </c>
      <c r="D1350" s="2">
        <v>2.2346368715083702E-3</v>
      </c>
      <c r="E1350" s="2">
        <v>3.2278889606197499E-3</v>
      </c>
      <c r="F1350" s="2">
        <v>9.7862848096711506E-3</v>
      </c>
    </row>
    <row r="1351" spans="1:6" x14ac:dyDescent="0.25">
      <c r="A1351" s="1" t="str">
        <f t="shared" si="54"/>
        <v>11820</v>
      </c>
      <c r="B1351" s="1" t="str">
        <f>"97131"</f>
        <v>97131</v>
      </c>
      <c r="C1351" s="2">
        <v>2.4617996604414201E-3</v>
      </c>
      <c r="D1351" s="2">
        <v>7.4487895716945896E-4</v>
      </c>
      <c r="E1351" s="2">
        <v>0</v>
      </c>
      <c r="F1351" s="2">
        <v>2.1587392962509801E-3</v>
      </c>
    </row>
    <row r="1352" spans="1:6" x14ac:dyDescent="0.25">
      <c r="A1352" s="1" t="str">
        <f t="shared" si="54"/>
        <v>11820</v>
      </c>
      <c r="B1352" s="1" t="str">
        <f>"97110"</f>
        <v>97110</v>
      </c>
      <c r="C1352" s="2">
        <v>7.7843803056027103E-2</v>
      </c>
      <c r="D1352" s="2">
        <v>1.8621973929236399E-3</v>
      </c>
      <c r="E1352" s="2">
        <v>1.4848289218850799E-2</v>
      </c>
      <c r="F1352" s="2">
        <v>6.6992876160322304E-2</v>
      </c>
    </row>
    <row r="1353" spans="1:6" x14ac:dyDescent="0.25">
      <c r="A1353" s="1" t="str">
        <f t="shared" si="54"/>
        <v>11820</v>
      </c>
      <c r="B1353" s="1" t="str">
        <f>"97138"</f>
        <v>97138</v>
      </c>
      <c r="C1353" s="2">
        <v>0.28552631578947302</v>
      </c>
      <c r="D1353" s="2">
        <v>0.26219739292364902</v>
      </c>
      <c r="E1353" s="2">
        <v>0.32730794060684298</v>
      </c>
      <c r="F1353" s="2">
        <v>0.28560120889400498</v>
      </c>
    </row>
    <row r="1354" spans="1:6" x14ac:dyDescent="0.25">
      <c r="A1354" s="1" t="str">
        <f t="shared" si="54"/>
        <v>11820</v>
      </c>
      <c r="B1354" s="1" t="str">
        <f>"97016"</f>
        <v>97016</v>
      </c>
      <c r="C1354" s="2">
        <v>2.5509337860780901E-2</v>
      </c>
      <c r="D1354" s="2">
        <v>2.9795158286778302E-3</v>
      </c>
      <c r="E1354" s="2">
        <v>9.0380890897353103E-3</v>
      </c>
      <c r="F1354" s="2">
        <v>2.2414909692739401E-2</v>
      </c>
    </row>
    <row r="1355" spans="1:6" x14ac:dyDescent="0.25">
      <c r="A1355" s="1" t="str">
        <f t="shared" si="54"/>
        <v>11820</v>
      </c>
      <c r="B1355" s="1" t="str">
        <f>"97146"</f>
        <v>97146</v>
      </c>
      <c r="C1355" s="2">
        <v>0.172665534804753</v>
      </c>
      <c r="D1355" s="2">
        <v>0.16610800744878901</v>
      </c>
      <c r="E1355" s="2">
        <v>0.15235635894125199</v>
      </c>
      <c r="F1355" s="2">
        <v>0.17090019428653599</v>
      </c>
    </row>
    <row r="1356" spans="1:6" x14ac:dyDescent="0.25">
      <c r="A1356" s="1" t="str">
        <f t="shared" si="54"/>
        <v>11820</v>
      </c>
      <c r="B1356" s="1" t="str">
        <f>"97103"</f>
        <v>97103</v>
      </c>
      <c r="C1356" s="2">
        <v>0.39991511035653599</v>
      </c>
      <c r="D1356" s="2">
        <v>0.56126629422718799</v>
      </c>
      <c r="E1356" s="2">
        <v>0.483537766300839</v>
      </c>
      <c r="F1356" s="2">
        <v>0.42016262502698398</v>
      </c>
    </row>
    <row r="1357" spans="1:6" x14ac:dyDescent="0.25">
      <c r="A1357" s="1" t="str">
        <f t="shared" ref="A1357:A1367" si="55">"11860"</f>
        <v>11860</v>
      </c>
      <c r="B1357" s="1" t="str">
        <f>"66424"</f>
        <v>66424</v>
      </c>
      <c r="C1357" s="2">
        <v>7.5404442007129101E-3</v>
      </c>
      <c r="D1357" s="2">
        <v>4.59418070444104E-3</v>
      </c>
      <c r="E1357" s="2">
        <v>0</v>
      </c>
      <c r="F1357" s="2">
        <v>7.1888943976202201E-3</v>
      </c>
    </row>
    <row r="1358" spans="1:6" x14ac:dyDescent="0.25">
      <c r="A1358" s="1" t="str">
        <f t="shared" si="55"/>
        <v>11860</v>
      </c>
      <c r="B1358" s="1" t="str">
        <f>"66436"</f>
        <v>66436</v>
      </c>
      <c r="C1358" s="2">
        <v>8.0888401425829402E-3</v>
      </c>
      <c r="D1358" s="2">
        <v>3.0627871362940199E-3</v>
      </c>
      <c r="E1358" s="2">
        <v>0</v>
      </c>
      <c r="F1358" s="2">
        <v>7.5607337630143696E-3</v>
      </c>
    </row>
    <row r="1359" spans="1:6" x14ac:dyDescent="0.25">
      <c r="A1359" s="1" t="str">
        <f t="shared" si="55"/>
        <v>11860</v>
      </c>
      <c r="B1359" s="1" t="str">
        <f>"66439"</f>
        <v>66439</v>
      </c>
      <c r="C1359" s="2">
        <v>1.39840965176857E-2</v>
      </c>
      <c r="D1359" s="2">
        <v>7.6569678407350603E-3</v>
      </c>
      <c r="E1359" s="2">
        <v>0</v>
      </c>
      <c r="F1359" s="2">
        <v>1.3262270699058E-2</v>
      </c>
    </row>
    <row r="1360" spans="1:6" x14ac:dyDescent="0.25">
      <c r="A1360" s="1" t="str">
        <f t="shared" si="55"/>
        <v>11860</v>
      </c>
      <c r="B1360" s="1" t="str">
        <f>"66552"</f>
        <v>66552</v>
      </c>
      <c r="C1360" s="2">
        <v>1.3709898546750699E-4</v>
      </c>
      <c r="D1360" s="2">
        <v>0</v>
      </c>
      <c r="E1360" s="2">
        <v>0</v>
      </c>
      <c r="F1360" s="2">
        <v>1.2394645513138299E-4</v>
      </c>
    </row>
    <row r="1361" spans="1:6" x14ac:dyDescent="0.25">
      <c r="A1361" s="1" t="str">
        <f t="shared" si="55"/>
        <v>11860</v>
      </c>
      <c r="B1361" s="1" t="str">
        <f>"66058"</f>
        <v>66058</v>
      </c>
      <c r="C1361" s="2">
        <v>2.2072936660268699E-2</v>
      </c>
      <c r="D1361" s="2">
        <v>9.18836140888208E-3</v>
      </c>
      <c r="E1361" s="2">
        <v>8.2644628099173504E-3</v>
      </c>
      <c r="F1361" s="2">
        <v>2.08230044620723E-2</v>
      </c>
    </row>
    <row r="1362" spans="1:6" x14ac:dyDescent="0.25">
      <c r="A1362" s="1" t="str">
        <f t="shared" si="55"/>
        <v>11860</v>
      </c>
      <c r="B1362" s="1" t="str">
        <f>"66023"</f>
        <v>66023</v>
      </c>
      <c r="C1362" s="2">
        <v>7.3622155196051503E-2</v>
      </c>
      <c r="D1362" s="2">
        <v>3.3690658499234298E-2</v>
      </c>
      <c r="E1362" s="2">
        <v>2.4793388429752001E-2</v>
      </c>
      <c r="F1362" s="2">
        <v>6.9657907783837306E-2</v>
      </c>
    </row>
    <row r="1363" spans="1:6" x14ac:dyDescent="0.25">
      <c r="A1363" s="1" t="str">
        <f t="shared" si="55"/>
        <v>11860</v>
      </c>
      <c r="B1363" s="1" t="str">
        <f>"66088"</f>
        <v>66088</v>
      </c>
      <c r="C1363" s="2">
        <v>2.1935837674801201E-3</v>
      </c>
      <c r="D1363" s="2">
        <v>1.5313935681470099E-3</v>
      </c>
      <c r="E1363" s="2">
        <v>0</v>
      </c>
      <c r="F1363" s="2">
        <v>2.1070897372335098E-3</v>
      </c>
    </row>
    <row r="1364" spans="1:6" x14ac:dyDescent="0.25">
      <c r="A1364" s="1" t="str">
        <f t="shared" si="55"/>
        <v>11860</v>
      </c>
      <c r="B1364" s="1" t="str">
        <f>"66002"</f>
        <v>66002</v>
      </c>
      <c r="C1364" s="2">
        <v>0.78544008774334995</v>
      </c>
      <c r="D1364" s="2">
        <v>0.91271056661562</v>
      </c>
      <c r="E1364" s="2">
        <v>0.92561983471074305</v>
      </c>
      <c r="F1364" s="2">
        <v>0.79784333168071297</v>
      </c>
    </row>
    <row r="1365" spans="1:6" x14ac:dyDescent="0.25">
      <c r="A1365" s="1" t="str">
        <f t="shared" si="55"/>
        <v>11860</v>
      </c>
      <c r="B1365" s="1" t="str">
        <f>"66041"</f>
        <v>66041</v>
      </c>
      <c r="C1365" s="2">
        <v>3.7565122018097002E-2</v>
      </c>
      <c r="D1365" s="2">
        <v>1.0719754977029001E-2</v>
      </c>
      <c r="E1365" s="2">
        <v>3.3057851239669402E-2</v>
      </c>
      <c r="F1365" s="2">
        <v>3.5324739712444202E-2</v>
      </c>
    </row>
    <row r="1366" spans="1:6" x14ac:dyDescent="0.25">
      <c r="A1366" s="1" t="str">
        <f t="shared" si="55"/>
        <v>11860</v>
      </c>
      <c r="B1366" s="1" t="str">
        <f>"66060"</f>
        <v>66060</v>
      </c>
      <c r="C1366" s="2">
        <v>1.6040581299698299E-2</v>
      </c>
      <c r="D1366" s="2">
        <v>3.0627871362940199E-3</v>
      </c>
      <c r="E1366" s="2">
        <v>0</v>
      </c>
      <c r="F1366" s="2">
        <v>1.47496281606346E-2</v>
      </c>
    </row>
    <row r="1367" spans="1:6" x14ac:dyDescent="0.25">
      <c r="A1367" s="1" t="str">
        <f t="shared" si="55"/>
        <v>11860</v>
      </c>
      <c r="B1367" s="1" t="str">
        <f>"66016"</f>
        <v>66016</v>
      </c>
      <c r="C1367" s="2">
        <v>3.3315053468604298E-2</v>
      </c>
      <c r="D1367" s="2">
        <v>1.3782542113323099E-2</v>
      </c>
      <c r="E1367" s="2">
        <v>8.2644628099173504E-3</v>
      </c>
      <c r="F1367" s="2">
        <v>3.1358453148239901E-2</v>
      </c>
    </row>
    <row r="1368" spans="1:6" x14ac:dyDescent="0.25">
      <c r="A1368" s="1" t="str">
        <f t="shared" ref="A1368:A1386" si="56">"11900"</f>
        <v>11900</v>
      </c>
      <c r="B1368" s="1" t="str">
        <f>"45723"</f>
        <v>45723</v>
      </c>
      <c r="C1368" s="2">
        <v>5.9581553608919098E-2</v>
      </c>
      <c r="D1368" s="2">
        <v>1.6862544711292698E-2</v>
      </c>
      <c r="E1368" s="2">
        <v>3.0983733539891498E-3</v>
      </c>
      <c r="F1368" s="2">
        <v>5.4511887024680898E-2</v>
      </c>
    </row>
    <row r="1369" spans="1:6" x14ac:dyDescent="0.25">
      <c r="A1369" s="1" t="str">
        <f t="shared" si="56"/>
        <v>11900</v>
      </c>
      <c r="B1369" s="1" t="str">
        <f>"45719"</f>
        <v>45719</v>
      </c>
      <c r="C1369" s="2">
        <v>1.4841091725186399E-3</v>
      </c>
      <c r="D1369" s="2">
        <v>1.02197240674501E-3</v>
      </c>
      <c r="E1369" s="2">
        <v>1.5491866769945699E-3</v>
      </c>
      <c r="F1369" s="2">
        <v>1.4575370862214101E-3</v>
      </c>
    </row>
    <row r="1370" spans="1:6" x14ac:dyDescent="0.25">
      <c r="A1370" s="1" t="str">
        <f t="shared" si="56"/>
        <v>11900</v>
      </c>
      <c r="B1370" s="1" t="str">
        <f>"45710"</f>
        <v>45710</v>
      </c>
      <c r="C1370" s="2">
        <v>6.1862014044740399E-2</v>
      </c>
      <c r="D1370" s="2">
        <v>4.24118548799182E-2</v>
      </c>
      <c r="E1370" s="2">
        <v>3.8729666924864403E-2</v>
      </c>
      <c r="F1370" s="2">
        <v>5.9661851395996598E-2</v>
      </c>
    </row>
    <row r="1371" spans="1:6" x14ac:dyDescent="0.25">
      <c r="A1371" s="1" t="str">
        <f t="shared" si="56"/>
        <v>11900</v>
      </c>
      <c r="B1371" s="1" t="str">
        <f>"45766"</f>
        <v>45766</v>
      </c>
      <c r="C1371" s="2">
        <v>2.4505900238905299E-2</v>
      </c>
      <c r="D1371" s="2">
        <v>2.0439448134900299E-3</v>
      </c>
      <c r="E1371" s="2">
        <v>1.5491866769945699E-3</v>
      </c>
      <c r="F1371" s="2">
        <v>2.21221739975383E-2</v>
      </c>
    </row>
    <row r="1372" spans="1:6" x14ac:dyDescent="0.25">
      <c r="A1372" s="1" t="str">
        <f t="shared" si="56"/>
        <v>11900</v>
      </c>
      <c r="B1372" s="1" t="str">
        <f>"45780"</f>
        <v>45780</v>
      </c>
      <c r="C1372" s="2">
        <v>6.24773763845652E-2</v>
      </c>
      <c r="D1372" s="2">
        <v>6.2340316811446E-2</v>
      </c>
      <c r="E1372" s="2">
        <v>0.101471727343144</v>
      </c>
      <c r="F1372" s="2">
        <v>6.4099242080715102E-2</v>
      </c>
    </row>
    <row r="1373" spans="1:6" x14ac:dyDescent="0.25">
      <c r="A1373" s="1" t="str">
        <f t="shared" si="56"/>
        <v>11900</v>
      </c>
      <c r="B1373" s="1" t="str">
        <f>"45739"</f>
        <v>45739</v>
      </c>
      <c r="C1373" s="2">
        <v>1.2669224643451799E-3</v>
      </c>
      <c r="D1373" s="2">
        <v>1.02197240674501E-3</v>
      </c>
      <c r="E1373" s="2">
        <v>1.5491866769945699E-3</v>
      </c>
      <c r="F1373" s="2">
        <v>1.2631988080585601E-3</v>
      </c>
    </row>
    <row r="1374" spans="1:6" x14ac:dyDescent="0.25">
      <c r="A1374" s="1" t="str">
        <f t="shared" si="56"/>
        <v>11900</v>
      </c>
      <c r="B1374" s="1" t="str">
        <f>"45742"</f>
        <v>45742</v>
      </c>
      <c r="C1374" s="2">
        <v>1.37551581843191E-3</v>
      </c>
      <c r="D1374" s="2">
        <v>5.1098620337250802E-4</v>
      </c>
      <c r="E1374" s="2">
        <v>0</v>
      </c>
      <c r="F1374" s="2">
        <v>1.2631988080585601E-3</v>
      </c>
    </row>
    <row r="1375" spans="1:6" x14ac:dyDescent="0.25">
      <c r="A1375" s="1" t="str">
        <f t="shared" si="56"/>
        <v>11900</v>
      </c>
      <c r="B1375" s="1" t="str">
        <f>"45701"</f>
        <v>45701</v>
      </c>
      <c r="C1375" s="2">
        <v>0.48613624846159398</v>
      </c>
      <c r="D1375" s="2">
        <v>0.65815022994379102</v>
      </c>
      <c r="E1375" s="2">
        <v>0.67389620449264098</v>
      </c>
      <c r="F1375" s="2">
        <v>0.50489084666709805</v>
      </c>
    </row>
    <row r="1376" spans="1:6" x14ac:dyDescent="0.25">
      <c r="A1376" s="1" t="str">
        <f t="shared" si="56"/>
        <v>11900</v>
      </c>
      <c r="B1376" s="1" t="str">
        <f>"45735"</f>
        <v>45735</v>
      </c>
      <c r="C1376" s="2">
        <v>3.3084775211756998E-2</v>
      </c>
      <c r="D1376" s="2">
        <v>8.1757792539601404E-3</v>
      </c>
      <c r="E1376" s="2">
        <v>4.6475600309837297E-3</v>
      </c>
      <c r="F1376" s="2">
        <v>3.0316771393405401E-2</v>
      </c>
    </row>
    <row r="1377" spans="1:6" x14ac:dyDescent="0.25">
      <c r="A1377" s="1" t="str">
        <f t="shared" si="56"/>
        <v>11900</v>
      </c>
      <c r="B1377" s="1" t="str">
        <f>"43728"</f>
        <v>43728</v>
      </c>
      <c r="C1377" s="2">
        <v>8.3254904799826197E-4</v>
      </c>
      <c r="D1377" s="2">
        <v>1.02197240674501E-3</v>
      </c>
      <c r="E1377" s="2">
        <v>0</v>
      </c>
      <c r="F1377" s="2">
        <v>8.0974282567856395E-4</v>
      </c>
    </row>
    <row r="1378" spans="1:6" x14ac:dyDescent="0.25">
      <c r="A1378" s="1" t="str">
        <f t="shared" si="56"/>
        <v>11900</v>
      </c>
      <c r="B1378" s="1" t="str">
        <f>"45761"</f>
        <v>45761</v>
      </c>
      <c r="C1378" s="2">
        <v>2.8415260986027601E-2</v>
      </c>
      <c r="D1378" s="2">
        <v>8.68676545733265E-3</v>
      </c>
      <c r="E1378" s="2">
        <v>3.0983733539891498E-3</v>
      </c>
      <c r="F1378" s="2">
        <v>2.6106108699876899E-2</v>
      </c>
    </row>
    <row r="1379" spans="1:6" x14ac:dyDescent="0.25">
      <c r="A1379" s="1" t="str">
        <f t="shared" si="56"/>
        <v>11900</v>
      </c>
      <c r="B1379" s="1" t="str">
        <f>"45778"</f>
        <v>45778</v>
      </c>
      <c r="C1379" s="2">
        <v>1.4261927170057099E-2</v>
      </c>
      <c r="D1379" s="2">
        <v>4.5988758303525798E-3</v>
      </c>
      <c r="E1379" s="2">
        <v>0</v>
      </c>
      <c r="F1379" s="2">
        <v>1.3053054349938399E-2</v>
      </c>
    </row>
    <row r="1380" spans="1:6" x14ac:dyDescent="0.25">
      <c r="A1380" s="1" t="str">
        <f t="shared" si="56"/>
        <v>11900</v>
      </c>
      <c r="B1380" s="1" t="str">
        <f>"45716"</f>
        <v>45716</v>
      </c>
      <c r="C1380" s="2">
        <v>1.0859335408672901E-3</v>
      </c>
      <c r="D1380" s="2">
        <v>5.1098620337250802E-4</v>
      </c>
      <c r="E1380" s="2">
        <v>0</v>
      </c>
      <c r="F1380" s="2">
        <v>1.0040811038414101E-3</v>
      </c>
    </row>
    <row r="1381" spans="1:6" x14ac:dyDescent="0.25">
      <c r="A1381" s="1" t="str">
        <f t="shared" si="56"/>
        <v>11900</v>
      </c>
      <c r="B1381" s="1" t="str">
        <f>"45764"</f>
        <v>45764</v>
      </c>
      <c r="C1381" s="2">
        <v>0.13429378122058899</v>
      </c>
      <c r="D1381" s="2">
        <v>0.134389371486969</v>
      </c>
      <c r="E1381" s="2">
        <v>0.15104570100697101</v>
      </c>
      <c r="F1381" s="2">
        <v>0.13500032389712999</v>
      </c>
    </row>
    <row r="1382" spans="1:6" x14ac:dyDescent="0.25">
      <c r="A1382" s="1" t="str">
        <f t="shared" si="56"/>
        <v>11900</v>
      </c>
      <c r="B1382" s="1" t="str">
        <f>"45776"</f>
        <v>45776</v>
      </c>
      <c r="C1382" s="2">
        <v>6.6241945992905199E-3</v>
      </c>
      <c r="D1382" s="2">
        <v>1.02197240674501E-3</v>
      </c>
      <c r="E1382" s="2">
        <v>0</v>
      </c>
      <c r="F1382" s="2">
        <v>5.9920969100213696E-3</v>
      </c>
    </row>
    <row r="1383" spans="1:6" x14ac:dyDescent="0.25">
      <c r="A1383" s="1" t="str">
        <f t="shared" si="56"/>
        <v>11900</v>
      </c>
      <c r="B1383" s="1" t="str">
        <f>"45732"</f>
        <v>45732</v>
      </c>
      <c r="C1383" s="2">
        <v>6.5698979222471504E-2</v>
      </c>
      <c r="D1383" s="2">
        <v>5.3142565150740902E-2</v>
      </c>
      <c r="E1383" s="2">
        <v>1.8590240123934901E-2</v>
      </c>
      <c r="F1383" s="2">
        <v>6.2933212411737993E-2</v>
      </c>
    </row>
    <row r="1384" spans="1:6" x14ac:dyDescent="0.25">
      <c r="A1384" s="1" t="str">
        <f t="shared" si="56"/>
        <v>11900</v>
      </c>
      <c r="B1384" s="1" t="str">
        <f>"45782"</f>
        <v>45782</v>
      </c>
      <c r="C1384" s="2">
        <v>3.8007673930355399E-3</v>
      </c>
      <c r="D1384" s="2">
        <v>5.1098620337250802E-4</v>
      </c>
      <c r="E1384" s="2">
        <v>0</v>
      </c>
      <c r="F1384" s="2">
        <v>3.4333095808771101E-3</v>
      </c>
    </row>
    <row r="1385" spans="1:6" x14ac:dyDescent="0.25">
      <c r="A1385" s="1" t="str">
        <f t="shared" si="56"/>
        <v>11900</v>
      </c>
      <c r="B1385" s="1" t="str">
        <f>"45711"</f>
        <v>45711</v>
      </c>
      <c r="C1385" s="2">
        <v>1.30674002751031E-2</v>
      </c>
      <c r="D1385" s="2">
        <v>3.0659172202350498E-3</v>
      </c>
      <c r="E1385" s="2">
        <v>0</v>
      </c>
      <c r="F1385" s="2">
        <v>1.1887024680961301E-2</v>
      </c>
    </row>
    <row r="1386" spans="1:6" x14ac:dyDescent="0.25">
      <c r="A1386" s="1" t="str">
        <f t="shared" si="56"/>
        <v>11900</v>
      </c>
      <c r="B1386" s="1" t="str">
        <f>"45740"</f>
        <v>45740</v>
      </c>
      <c r="C1386" s="2">
        <v>1.44791138782306E-4</v>
      </c>
      <c r="D1386" s="2">
        <v>5.1098620337250802E-4</v>
      </c>
      <c r="E1386" s="2">
        <v>7.7459333849728799E-4</v>
      </c>
      <c r="F1386" s="2">
        <v>1.9433827816285501E-4</v>
      </c>
    </row>
    <row r="1387" spans="1:6" x14ac:dyDescent="0.25">
      <c r="A1387" s="1" t="str">
        <f t="shared" ref="A1387:A1399" si="57">"11940"</f>
        <v>11940</v>
      </c>
      <c r="B1387" s="1" t="str">
        <f>"37303"</f>
        <v>37303</v>
      </c>
      <c r="C1387" s="2">
        <v>0.46848907282364</v>
      </c>
      <c r="D1387" s="2">
        <v>0.6368330464716</v>
      </c>
      <c r="E1387" s="2">
        <v>0.80449141347424002</v>
      </c>
      <c r="F1387" s="2">
        <v>0.48956802821040202</v>
      </c>
    </row>
    <row r="1388" spans="1:6" x14ac:dyDescent="0.25">
      <c r="A1388" s="1" t="str">
        <f t="shared" si="57"/>
        <v>11940</v>
      </c>
      <c r="B1388" s="1" t="str">
        <f>"37370"</f>
        <v>37370</v>
      </c>
      <c r="C1388" s="2">
        <v>8.2698032382197001E-2</v>
      </c>
      <c r="D1388" s="2">
        <v>2.15146299483648E-2</v>
      </c>
      <c r="E1388" s="2">
        <v>1.3210039630118801E-2</v>
      </c>
      <c r="F1388" s="2">
        <v>7.6337871812452995E-2</v>
      </c>
    </row>
    <row r="1389" spans="1:6" x14ac:dyDescent="0.25">
      <c r="A1389" s="1" t="str">
        <f t="shared" si="57"/>
        <v>11940</v>
      </c>
      <c r="B1389" s="1" t="str">
        <f>"37331"</f>
        <v>37331</v>
      </c>
      <c r="C1389" s="2">
        <v>0.14466710230160401</v>
      </c>
      <c r="D1389" s="2">
        <v>0.12779690189328699</v>
      </c>
      <c r="E1389" s="2">
        <v>0.124174372523117</v>
      </c>
      <c r="F1389" s="2">
        <v>0.14288046494922699</v>
      </c>
    </row>
    <row r="1390" spans="1:6" x14ac:dyDescent="0.25">
      <c r="A1390" s="1" t="str">
        <f t="shared" si="57"/>
        <v>11940</v>
      </c>
      <c r="B1390" s="1" t="str">
        <f>"37874"</f>
        <v>37874</v>
      </c>
      <c r="C1390" s="2">
        <v>3.2273288317722998E-2</v>
      </c>
      <c r="D1390" s="2">
        <v>9.0361445783132491E-3</v>
      </c>
      <c r="E1390" s="2">
        <v>1.3210039630118799E-3</v>
      </c>
      <c r="F1390" s="2">
        <v>2.97449962451431E-2</v>
      </c>
    </row>
    <row r="1391" spans="1:6" x14ac:dyDescent="0.25">
      <c r="A1391" s="1" t="str">
        <f t="shared" si="57"/>
        <v>11940</v>
      </c>
      <c r="B1391" s="1" t="str">
        <f>"37325"</f>
        <v>37325</v>
      </c>
      <c r="C1391" s="2">
        <v>5.1913163435707496E-3</v>
      </c>
      <c r="D1391" s="2">
        <v>1.72117039586919E-3</v>
      </c>
      <c r="E1391" s="2">
        <v>0</v>
      </c>
      <c r="F1391" s="2">
        <v>4.7996865510823699E-3</v>
      </c>
    </row>
    <row r="1392" spans="1:6" x14ac:dyDescent="0.25">
      <c r="A1392" s="1" t="str">
        <f t="shared" si="57"/>
        <v>11940</v>
      </c>
      <c r="B1392" s="1" t="str">
        <f>"37354"</f>
        <v>37354</v>
      </c>
      <c r="C1392" s="2">
        <v>4.2111377332462001E-3</v>
      </c>
      <c r="D1392" s="2">
        <v>4.3029259896729702E-4</v>
      </c>
      <c r="E1392" s="2">
        <v>0</v>
      </c>
      <c r="F1392" s="2">
        <v>3.8201586835145398E-3</v>
      </c>
    </row>
    <row r="1393" spans="1:6" x14ac:dyDescent="0.25">
      <c r="A1393" s="1" t="str">
        <f t="shared" si="57"/>
        <v>11940</v>
      </c>
      <c r="B1393" s="1" t="str">
        <f>"37371"</f>
        <v>37371</v>
      </c>
      <c r="C1393" s="2">
        <v>4.1421622014085502E-2</v>
      </c>
      <c r="D1393" s="2">
        <v>0.13898450946643701</v>
      </c>
      <c r="E1393" s="2">
        <v>2.6420079260237699E-3</v>
      </c>
      <c r="F1393" s="2">
        <v>4.7866261795148003E-2</v>
      </c>
    </row>
    <row r="1394" spans="1:6" x14ac:dyDescent="0.25">
      <c r="A1394" s="1" t="str">
        <f t="shared" si="57"/>
        <v>11940</v>
      </c>
      <c r="B1394" s="1" t="str">
        <f>"37309"</f>
        <v>37309</v>
      </c>
      <c r="C1394" s="2">
        <v>3.3362375662528101E-2</v>
      </c>
      <c r="D1394" s="2">
        <v>1.5920826161790001E-2</v>
      </c>
      <c r="E1394" s="2">
        <v>7.9260237780713304E-3</v>
      </c>
      <c r="F1394" s="2">
        <v>3.1410193620008402E-2</v>
      </c>
    </row>
    <row r="1395" spans="1:6" x14ac:dyDescent="0.25">
      <c r="A1395" s="1" t="str">
        <f t="shared" si="57"/>
        <v>11940</v>
      </c>
      <c r="B1395" s="1" t="str">
        <f>"37322"</f>
        <v>37322</v>
      </c>
      <c r="C1395" s="2">
        <v>1.1798446235388E-2</v>
      </c>
      <c r="D1395" s="2">
        <v>8.6058519793459501E-4</v>
      </c>
      <c r="E1395" s="2">
        <v>5.2840158520475501E-3</v>
      </c>
      <c r="F1395" s="2">
        <v>1.0807457472164999E-2</v>
      </c>
    </row>
    <row r="1396" spans="1:6" x14ac:dyDescent="0.25">
      <c r="A1396" s="1" t="str">
        <f t="shared" si="57"/>
        <v>11940</v>
      </c>
      <c r="B1396" s="1" t="str">
        <f>"37826"</f>
        <v>37826</v>
      </c>
      <c r="C1396" s="2">
        <v>7.9975314020184401E-2</v>
      </c>
      <c r="D1396" s="2">
        <v>2.7108433734939701E-2</v>
      </c>
      <c r="E1396" s="2">
        <v>1.45310435931307E-2</v>
      </c>
      <c r="F1396" s="2">
        <v>7.4346165148398397E-2</v>
      </c>
    </row>
    <row r="1397" spans="1:6" x14ac:dyDescent="0.25">
      <c r="A1397" s="1" t="str">
        <f t="shared" si="57"/>
        <v>11940</v>
      </c>
      <c r="B1397" s="1" t="str">
        <f>"37880"</f>
        <v>37880</v>
      </c>
      <c r="C1397" s="2">
        <v>5.44543672402526E-4</v>
      </c>
      <c r="D1397" s="2">
        <v>0</v>
      </c>
      <c r="E1397" s="2">
        <v>0</v>
      </c>
      <c r="F1397" s="2">
        <v>4.8976393378391601E-4</v>
      </c>
    </row>
    <row r="1398" spans="1:6" x14ac:dyDescent="0.25">
      <c r="A1398" s="1" t="str">
        <f t="shared" si="57"/>
        <v>11940</v>
      </c>
      <c r="B1398" s="1" t="str">
        <f>"37846"</f>
        <v>37846</v>
      </c>
      <c r="C1398" s="2">
        <v>2.1418717781165999E-3</v>
      </c>
      <c r="D1398" s="2">
        <v>0</v>
      </c>
      <c r="E1398" s="2">
        <v>0</v>
      </c>
      <c r="F1398" s="2">
        <v>1.9264048062167299E-3</v>
      </c>
    </row>
    <row r="1399" spans="1:6" x14ac:dyDescent="0.25">
      <c r="A1399" s="1" t="str">
        <f t="shared" si="57"/>
        <v>11940</v>
      </c>
      <c r="B1399" s="1" t="str">
        <f>"37329"</f>
        <v>37329</v>
      </c>
      <c r="C1399" s="2">
        <v>9.3225876715312503E-2</v>
      </c>
      <c r="D1399" s="2">
        <v>1.9793459552495601E-2</v>
      </c>
      <c r="E1399" s="2">
        <v>2.6420079260237699E-2</v>
      </c>
      <c r="F1399" s="2">
        <v>8.6002546772455599E-2</v>
      </c>
    </row>
    <row r="1400" spans="1:6" x14ac:dyDescent="0.25">
      <c r="A1400" s="1" t="str">
        <f t="shared" ref="A1400:A1415" si="58">"11980"</f>
        <v>11980</v>
      </c>
      <c r="B1400" s="1" t="str">
        <f>"75778"</f>
        <v>75778</v>
      </c>
      <c r="C1400" s="2">
        <v>2.1726131154076098E-2</v>
      </c>
      <c r="D1400" s="2">
        <v>1.6890595009596901E-2</v>
      </c>
      <c r="E1400" s="2">
        <v>4.0705563093622697E-3</v>
      </c>
      <c r="F1400" s="2">
        <v>2.1198061655840799E-2</v>
      </c>
    </row>
    <row r="1401" spans="1:6" x14ac:dyDescent="0.25">
      <c r="A1401" s="1" t="str">
        <f t="shared" si="58"/>
        <v>11980</v>
      </c>
      <c r="B1401" s="1" t="str">
        <f>"75756"</f>
        <v>75756</v>
      </c>
      <c r="C1401" s="2">
        <v>3.8402763935950997E-2</v>
      </c>
      <c r="D1401" s="2">
        <v>3.10940499040307E-2</v>
      </c>
      <c r="E1401" s="2">
        <v>3.3921302578018897E-2</v>
      </c>
      <c r="F1401" s="2">
        <v>3.7942055882049602E-2</v>
      </c>
    </row>
    <row r="1402" spans="1:6" x14ac:dyDescent="0.25">
      <c r="A1402" s="1" t="str">
        <f t="shared" si="58"/>
        <v>11980</v>
      </c>
      <c r="B1402" s="1" t="str">
        <f>"75782"</f>
        <v>75782</v>
      </c>
      <c r="C1402" s="2">
        <v>0</v>
      </c>
      <c r="D1402" s="2">
        <v>0</v>
      </c>
      <c r="E1402" s="2">
        <v>1.35685210312075E-3</v>
      </c>
      <c r="F1402" s="2">
        <v>2.0620682544592201E-5</v>
      </c>
    </row>
    <row r="1403" spans="1:6" x14ac:dyDescent="0.25">
      <c r="A1403" s="1" t="str">
        <f t="shared" si="58"/>
        <v>11980</v>
      </c>
      <c r="B1403" s="1" t="str">
        <f>"75770"</f>
        <v>75770</v>
      </c>
      <c r="C1403" s="2">
        <v>3.7915531636879003E-2</v>
      </c>
      <c r="D1403" s="2">
        <v>9.9808061420345404E-3</v>
      </c>
      <c r="E1403" s="2">
        <v>5.4274084124830303E-3</v>
      </c>
      <c r="F1403" s="2">
        <v>3.5921228992679598E-2</v>
      </c>
    </row>
    <row r="1404" spans="1:6" x14ac:dyDescent="0.25">
      <c r="A1404" s="1" t="str">
        <f t="shared" si="58"/>
        <v>11980</v>
      </c>
      <c r="B1404" s="1" t="str">
        <f>"75163"</f>
        <v>75163</v>
      </c>
      <c r="C1404" s="2">
        <v>3.4814962460965999E-2</v>
      </c>
      <c r="D1404" s="2">
        <v>6.9097888675623796E-3</v>
      </c>
      <c r="E1404" s="2">
        <v>9.4979647218453103E-3</v>
      </c>
      <c r="F1404" s="2">
        <v>3.2931230023713703E-2</v>
      </c>
    </row>
    <row r="1405" spans="1:6" x14ac:dyDescent="0.25">
      <c r="A1405" s="1" t="str">
        <f t="shared" si="58"/>
        <v>11980</v>
      </c>
      <c r="B1405" s="1" t="str">
        <f>"75758"</f>
        <v>75758</v>
      </c>
      <c r="C1405" s="2">
        <v>0.111465461874072</v>
      </c>
      <c r="D1405" s="2">
        <v>3.3013435700575799E-2</v>
      </c>
      <c r="E1405" s="2">
        <v>5.9701492537313397E-2</v>
      </c>
      <c r="F1405" s="2">
        <v>0.106464583977729</v>
      </c>
    </row>
    <row r="1406" spans="1:6" x14ac:dyDescent="0.25">
      <c r="A1406" s="1" t="str">
        <f t="shared" si="58"/>
        <v>11980</v>
      </c>
      <c r="B1406" s="1" t="str">
        <f>"75148"</f>
        <v>75148</v>
      </c>
      <c r="C1406" s="2">
        <v>7.1800323345071193E-2</v>
      </c>
      <c r="D1406" s="2">
        <v>5.6046065259116998E-2</v>
      </c>
      <c r="E1406" s="2">
        <v>8.2767978290366306E-2</v>
      </c>
      <c r="F1406" s="2">
        <v>7.1120734096298502E-2</v>
      </c>
    </row>
    <row r="1407" spans="1:6" x14ac:dyDescent="0.25">
      <c r="A1407" s="1" t="str">
        <f t="shared" si="58"/>
        <v>11980</v>
      </c>
      <c r="B1407" s="1" t="str">
        <f>"75147"</f>
        <v>75147</v>
      </c>
      <c r="C1407" s="2">
        <v>5.9353752796048901E-3</v>
      </c>
      <c r="D1407" s="2">
        <v>1.1516314779270601E-3</v>
      </c>
      <c r="E1407" s="2">
        <v>1.35685210312075E-2</v>
      </c>
      <c r="F1407" s="2">
        <v>5.7944117950304097E-3</v>
      </c>
    </row>
    <row r="1408" spans="1:6" x14ac:dyDescent="0.25">
      <c r="A1408" s="1" t="str">
        <f t="shared" si="58"/>
        <v>11980</v>
      </c>
      <c r="B1408" s="1" t="str">
        <f>"75803"</f>
        <v>75803</v>
      </c>
      <c r="C1408" s="2">
        <v>6.2011383518260097E-4</v>
      </c>
      <c r="D1408" s="2">
        <v>0</v>
      </c>
      <c r="E1408" s="2">
        <v>0</v>
      </c>
      <c r="F1408" s="2">
        <v>5.77379111248582E-4</v>
      </c>
    </row>
    <row r="1409" spans="1:6" x14ac:dyDescent="0.25">
      <c r="A1409" s="1" t="str">
        <f t="shared" si="58"/>
        <v>11980</v>
      </c>
      <c r="B1409" s="1" t="str">
        <f>"75752"</f>
        <v>75752</v>
      </c>
      <c r="C1409" s="2">
        <v>8.7125993843155405E-2</v>
      </c>
      <c r="D1409" s="2">
        <v>3.4932821497120903E-2</v>
      </c>
      <c r="E1409" s="2">
        <v>3.5278154681139699E-2</v>
      </c>
      <c r="F1409" s="2">
        <v>8.3534384988143098E-2</v>
      </c>
    </row>
    <row r="1410" spans="1:6" x14ac:dyDescent="0.25">
      <c r="A1410" s="1" t="str">
        <f t="shared" si="58"/>
        <v>11980</v>
      </c>
      <c r="B1410" s="1" t="str">
        <f>"75763"</f>
        <v>75763</v>
      </c>
      <c r="C1410" s="2">
        <v>3.4615640156800201E-2</v>
      </c>
      <c r="D1410" s="2">
        <v>1.19001919385796E-2</v>
      </c>
      <c r="E1410" s="2">
        <v>1.6282225237449099E-2</v>
      </c>
      <c r="F1410" s="2">
        <v>3.3116816166615097E-2</v>
      </c>
    </row>
    <row r="1411" spans="1:6" x14ac:dyDescent="0.25">
      <c r="A1411" s="1" t="str">
        <f t="shared" si="58"/>
        <v>11980</v>
      </c>
      <c r="B1411" s="1" t="str">
        <f>"75853"</f>
        <v>75853</v>
      </c>
      <c r="C1411" s="2">
        <v>1.9932230416583601E-4</v>
      </c>
      <c r="D1411" s="2">
        <v>0</v>
      </c>
      <c r="E1411" s="2">
        <v>0</v>
      </c>
      <c r="F1411" s="2">
        <v>1.8558614290132999E-4</v>
      </c>
    </row>
    <row r="1412" spans="1:6" x14ac:dyDescent="0.25">
      <c r="A1412" s="1" t="str">
        <f t="shared" si="58"/>
        <v>11980</v>
      </c>
      <c r="B1412" s="1" t="str">
        <f>"75124"</f>
        <v>75124</v>
      </c>
      <c r="C1412" s="2">
        <v>6.1546298141873103E-2</v>
      </c>
      <c r="D1412" s="2">
        <v>4.10748560460652E-2</v>
      </c>
      <c r="E1412" s="2">
        <v>3.5278154681139699E-2</v>
      </c>
      <c r="F1412" s="2">
        <v>6.0047427569852499E-2</v>
      </c>
    </row>
    <row r="1413" spans="1:6" x14ac:dyDescent="0.25">
      <c r="A1413" s="1" t="str">
        <f t="shared" si="58"/>
        <v>11980</v>
      </c>
      <c r="B1413" s="1" t="str">
        <f>"75156"</f>
        <v>75156</v>
      </c>
      <c r="C1413" s="2">
        <v>0.20605496866210399</v>
      </c>
      <c r="D1413" s="2">
        <v>0.18809980806141999</v>
      </c>
      <c r="E1413" s="2">
        <v>0.16146540027136999</v>
      </c>
      <c r="F1413" s="2">
        <v>0.204412826064542</v>
      </c>
    </row>
    <row r="1414" spans="1:6" x14ac:dyDescent="0.25">
      <c r="A1414" s="1" t="str">
        <f t="shared" si="58"/>
        <v>11980</v>
      </c>
      <c r="B1414" s="1" t="str">
        <f>"75751"</f>
        <v>75751</v>
      </c>
      <c r="C1414" s="2">
        <v>0.16537107168958801</v>
      </c>
      <c r="D1414" s="2">
        <v>0.429174664107485</v>
      </c>
      <c r="E1414" s="2">
        <v>0.44776119402984998</v>
      </c>
      <c r="F1414" s="2">
        <v>0.183833384885039</v>
      </c>
    </row>
    <row r="1415" spans="1:6" x14ac:dyDescent="0.25">
      <c r="A1415" s="1" t="str">
        <f t="shared" si="58"/>
        <v>11980</v>
      </c>
      <c r="B1415" s="1" t="str">
        <f>"75143"</f>
        <v>75143</v>
      </c>
      <c r="C1415" s="2">
        <v>0.122406041680508</v>
      </c>
      <c r="D1415" s="2">
        <v>0.139731285988483</v>
      </c>
      <c r="E1415" s="2">
        <v>9.3622795115332405E-2</v>
      </c>
      <c r="F1415" s="2">
        <v>0.122899267965769</v>
      </c>
    </row>
    <row r="1416" spans="1:6" x14ac:dyDescent="0.25">
      <c r="A1416" s="1" t="str">
        <f t="shared" ref="A1416:A1448" si="59">"12020"</f>
        <v>12020</v>
      </c>
      <c r="B1416" s="1" t="str">
        <f>"30628"</f>
        <v>30628</v>
      </c>
      <c r="C1416" s="2">
        <v>3.08511287991368E-2</v>
      </c>
      <c r="D1416" s="2">
        <v>8.6073714411829608E-3</v>
      </c>
      <c r="E1416" s="2">
        <v>5.7315233785822E-3</v>
      </c>
      <c r="F1416" s="2">
        <v>2.82762174231398E-2</v>
      </c>
    </row>
    <row r="1417" spans="1:6" x14ac:dyDescent="0.25">
      <c r="A1417" s="1" t="str">
        <f t="shared" si="59"/>
        <v>12020</v>
      </c>
      <c r="B1417" s="1" t="str">
        <f>"30633"</f>
        <v>30633</v>
      </c>
      <c r="C1417" s="2">
        <v>3.7762351647904202E-2</v>
      </c>
      <c r="D1417" s="2">
        <v>1.60008828073273E-2</v>
      </c>
      <c r="E1417" s="2">
        <v>5.7315233785822E-3</v>
      </c>
      <c r="F1417" s="2">
        <v>3.5019842166637997E-2</v>
      </c>
    </row>
    <row r="1418" spans="1:6" x14ac:dyDescent="0.25">
      <c r="A1418" s="1" t="str">
        <f t="shared" si="59"/>
        <v>12020</v>
      </c>
      <c r="B1418" s="1" t="str">
        <f>"30630"</f>
        <v>30630</v>
      </c>
      <c r="C1418" s="2">
        <v>1.03413879445473E-2</v>
      </c>
      <c r="D1418" s="2">
        <v>1.0372986095784501E-2</v>
      </c>
      <c r="E1418" s="2">
        <v>1.2066365007541401E-3</v>
      </c>
      <c r="F1418" s="2">
        <v>1.00702385579852E-2</v>
      </c>
    </row>
    <row r="1419" spans="1:6" x14ac:dyDescent="0.25">
      <c r="A1419" s="1" t="str">
        <f t="shared" si="59"/>
        <v>12020</v>
      </c>
      <c r="B1419" s="1" t="str">
        <f>"30683"</f>
        <v>30683</v>
      </c>
      <c r="C1419" s="2">
        <v>3.9411273741424502E-2</v>
      </c>
      <c r="D1419" s="2">
        <v>1.4676671816376E-2</v>
      </c>
      <c r="E1419" s="2">
        <v>9.0497737556561007E-3</v>
      </c>
      <c r="F1419" s="2">
        <v>3.6475235710476103E-2</v>
      </c>
    </row>
    <row r="1420" spans="1:6" x14ac:dyDescent="0.25">
      <c r="A1420" s="1" t="str">
        <f t="shared" si="59"/>
        <v>12020</v>
      </c>
      <c r="B1420" s="1" t="str">
        <f>"30660"</f>
        <v>30660</v>
      </c>
      <c r="C1420" s="2">
        <v>1.3028520245098999E-3</v>
      </c>
      <c r="D1420" s="2">
        <v>5.5175457956301E-4</v>
      </c>
      <c r="E1420" s="2">
        <v>0</v>
      </c>
      <c r="F1420" s="2">
        <v>1.2022816231705799E-3</v>
      </c>
    </row>
    <row r="1421" spans="1:6" x14ac:dyDescent="0.25">
      <c r="A1421" s="1" t="str">
        <f t="shared" si="59"/>
        <v>12020</v>
      </c>
      <c r="B1421" s="1" t="str">
        <f>"30669"</f>
        <v>30669</v>
      </c>
      <c r="C1421" s="2">
        <v>8.4481810964313995E-4</v>
      </c>
      <c r="D1421" s="2">
        <v>1.10350915912602E-4</v>
      </c>
      <c r="E1421" s="2">
        <v>0</v>
      </c>
      <c r="F1421" s="2">
        <v>7.5933576200247596E-4</v>
      </c>
    </row>
    <row r="1422" spans="1:6" x14ac:dyDescent="0.25">
      <c r="A1422" s="1" t="str">
        <f t="shared" si="59"/>
        <v>12020</v>
      </c>
      <c r="B1422" s="1" t="str">
        <f>"30662"</f>
        <v>30662</v>
      </c>
      <c r="C1422" s="2">
        <v>3.7456995704659699E-3</v>
      </c>
      <c r="D1422" s="2">
        <v>9.93158243213418E-4</v>
      </c>
      <c r="E1422" s="2">
        <v>0</v>
      </c>
      <c r="F1422" s="2">
        <v>3.4079712175587298E-3</v>
      </c>
    </row>
    <row r="1423" spans="1:6" x14ac:dyDescent="0.25">
      <c r="A1423" s="1" t="str">
        <f t="shared" si="59"/>
        <v>12020</v>
      </c>
      <c r="B1423" s="1" t="str">
        <f>"30605"</f>
        <v>30605</v>
      </c>
      <c r="C1423" s="2">
        <v>0.194745842069906</v>
      </c>
      <c r="D1423" s="2">
        <v>0.11366144338997999</v>
      </c>
      <c r="E1423" s="2">
        <v>0.34871794871794798</v>
      </c>
      <c r="F1423" s="2">
        <v>0.19271760845393801</v>
      </c>
    </row>
    <row r="1424" spans="1:6" x14ac:dyDescent="0.25">
      <c r="A1424" s="1" t="str">
        <f t="shared" si="59"/>
        <v>12020</v>
      </c>
      <c r="B1424" s="1" t="str">
        <f>"30604"</f>
        <v>30604</v>
      </c>
      <c r="C1424" s="2">
        <v>1.43720863953748E-2</v>
      </c>
      <c r="D1424" s="2">
        <v>6.0582652836018498E-2</v>
      </c>
      <c r="E1424" s="2">
        <v>3.0165912518853599E-4</v>
      </c>
      <c r="F1424" s="2">
        <v>1.7735913869629201E-2</v>
      </c>
    </row>
    <row r="1425" spans="1:6" x14ac:dyDescent="0.25">
      <c r="A1425" s="1" t="str">
        <f t="shared" si="59"/>
        <v>12020</v>
      </c>
      <c r="B1425" s="1" t="str">
        <f>"30677"</f>
        <v>30677</v>
      </c>
      <c r="C1425" s="2">
        <v>9.3530525415793E-2</v>
      </c>
      <c r="D1425" s="2">
        <v>0.16144338998013599</v>
      </c>
      <c r="E1425" s="2">
        <v>7.69230769230769E-2</v>
      </c>
      <c r="F1425" s="2">
        <v>9.8596132811440598E-2</v>
      </c>
    </row>
    <row r="1426" spans="1:6" x14ac:dyDescent="0.25">
      <c r="A1426" s="1" t="str">
        <f t="shared" si="59"/>
        <v>12020</v>
      </c>
      <c r="B1426" s="1" t="str">
        <f>"30638"</f>
        <v>30638</v>
      </c>
      <c r="C1426" s="2">
        <v>0</v>
      </c>
      <c r="D1426" s="2">
        <v>0</v>
      </c>
      <c r="E1426" s="2">
        <v>3.0165912518853599E-4</v>
      </c>
      <c r="F1426" s="2">
        <v>9.0397114524104303E-6</v>
      </c>
    </row>
    <row r="1427" spans="1:6" x14ac:dyDescent="0.25">
      <c r="A1427" s="1" t="str">
        <f t="shared" si="59"/>
        <v>12020</v>
      </c>
      <c r="B1427" s="1" t="str">
        <f>"30647"</f>
        <v>30647</v>
      </c>
      <c r="C1427" s="2">
        <v>0</v>
      </c>
      <c r="D1427" s="2">
        <v>0</v>
      </c>
      <c r="E1427" s="2">
        <v>3.0165912518853599E-4</v>
      </c>
      <c r="F1427" s="2">
        <v>9.0397114524104303E-6</v>
      </c>
    </row>
    <row r="1428" spans="1:6" x14ac:dyDescent="0.25">
      <c r="A1428" s="1" t="str">
        <f t="shared" si="59"/>
        <v>12020</v>
      </c>
      <c r="B1428" s="1" t="str">
        <f>"30609"</f>
        <v>30609</v>
      </c>
      <c r="C1428" s="2">
        <v>2.23927691712639E-4</v>
      </c>
      <c r="D1428" s="2">
        <v>0</v>
      </c>
      <c r="E1428" s="2">
        <v>0</v>
      </c>
      <c r="F1428" s="2">
        <v>1.9887365195302899E-4</v>
      </c>
    </row>
    <row r="1429" spans="1:6" x14ac:dyDescent="0.25">
      <c r="A1429" s="1" t="str">
        <f t="shared" si="59"/>
        <v>12020</v>
      </c>
      <c r="B1429" s="1" t="str">
        <f>"30624"</f>
        <v>30624</v>
      </c>
      <c r="C1429" s="2">
        <v>9.05889298292042E-4</v>
      </c>
      <c r="D1429" s="2">
        <v>0</v>
      </c>
      <c r="E1429" s="2">
        <v>0</v>
      </c>
      <c r="F1429" s="2">
        <v>8.0453431926452896E-4</v>
      </c>
    </row>
    <row r="1430" spans="1:6" x14ac:dyDescent="0.25">
      <c r="A1430" s="1" t="str">
        <f t="shared" si="59"/>
        <v>12020</v>
      </c>
      <c r="B1430" s="1" t="str">
        <f>"30619"</f>
        <v>30619</v>
      </c>
      <c r="C1430" s="2">
        <v>7.1758646662459496E-3</v>
      </c>
      <c r="D1430" s="2">
        <v>2.09666740233943E-3</v>
      </c>
      <c r="E1430" s="2">
        <v>9.0497737556561003E-4</v>
      </c>
      <c r="F1430" s="2">
        <v>6.5718702259023798E-3</v>
      </c>
    </row>
    <row r="1431" spans="1:6" x14ac:dyDescent="0.25">
      <c r="A1431" s="1" t="str">
        <f t="shared" si="59"/>
        <v>12020</v>
      </c>
      <c r="B1431" s="1" t="str">
        <f>"30608"</f>
        <v>30608</v>
      </c>
      <c r="C1431" s="2">
        <v>1.3954766606274E-2</v>
      </c>
      <c r="D1431" s="2">
        <v>2.4828956080335401E-2</v>
      </c>
      <c r="E1431" s="2">
        <v>6.0331825037707296E-4</v>
      </c>
      <c r="F1431" s="2">
        <v>1.4445458900951801E-2</v>
      </c>
    </row>
    <row r="1432" spans="1:6" x14ac:dyDescent="0.25">
      <c r="A1432" s="1" t="str">
        <f t="shared" si="59"/>
        <v>12020</v>
      </c>
      <c r="B1432" s="1" t="str">
        <f>"30601"</f>
        <v>30601</v>
      </c>
      <c r="C1432" s="2">
        <v>0.113714553264255</v>
      </c>
      <c r="D1432" s="2">
        <v>0.15272566762304099</v>
      </c>
      <c r="E1432" s="2">
        <v>0.13906485671191501</v>
      </c>
      <c r="F1432" s="2">
        <v>0.11766992397602601</v>
      </c>
    </row>
    <row r="1433" spans="1:6" x14ac:dyDescent="0.25">
      <c r="A1433" s="1" t="str">
        <f t="shared" si="59"/>
        <v>12020</v>
      </c>
      <c r="B1433" s="1" t="str">
        <f>"30680"</f>
        <v>30680</v>
      </c>
      <c r="C1433" s="2">
        <v>1.35374468171732E-3</v>
      </c>
      <c r="D1433" s="2">
        <v>2.20701831825204E-4</v>
      </c>
      <c r="E1433" s="2">
        <v>0</v>
      </c>
      <c r="F1433" s="2">
        <v>1.2203610460754001E-3</v>
      </c>
    </row>
    <row r="1434" spans="1:6" x14ac:dyDescent="0.25">
      <c r="A1434" s="1" t="str">
        <f t="shared" si="59"/>
        <v>12020</v>
      </c>
      <c r="B1434" s="1" t="str">
        <f>"30565"</f>
        <v>30565</v>
      </c>
      <c r="C1434" s="2">
        <v>2.0458848197382E-3</v>
      </c>
      <c r="D1434" s="2">
        <v>2.20701831825204E-4</v>
      </c>
      <c r="E1434" s="2">
        <v>0</v>
      </c>
      <c r="F1434" s="2">
        <v>1.83506142483931E-3</v>
      </c>
    </row>
    <row r="1435" spans="1:6" x14ac:dyDescent="0.25">
      <c r="A1435" s="1" t="str">
        <f t="shared" si="59"/>
        <v>12020</v>
      </c>
      <c r="B1435" s="1" t="str">
        <f>"30667"</f>
        <v>30667</v>
      </c>
      <c r="C1435" s="2">
        <v>3.6744498503755801E-3</v>
      </c>
      <c r="D1435" s="2">
        <v>1.3242109909512201E-3</v>
      </c>
      <c r="E1435" s="2">
        <v>0</v>
      </c>
      <c r="F1435" s="2">
        <v>3.3718123717490899E-3</v>
      </c>
    </row>
    <row r="1436" spans="1:6" x14ac:dyDescent="0.25">
      <c r="A1436" s="1" t="str">
        <f t="shared" si="59"/>
        <v>12020</v>
      </c>
      <c r="B1436" s="1" t="str">
        <f>"30648"</f>
        <v>30648</v>
      </c>
      <c r="C1436" s="2">
        <v>1.29776275878916E-2</v>
      </c>
      <c r="D1436" s="2">
        <v>1.05936879276097E-2</v>
      </c>
      <c r="E1436" s="2">
        <v>3.3182503770738999E-3</v>
      </c>
      <c r="F1436" s="2">
        <v>1.24928812272312E-2</v>
      </c>
    </row>
    <row r="1437" spans="1:6" x14ac:dyDescent="0.25">
      <c r="A1437" s="1" t="str">
        <f t="shared" si="59"/>
        <v>12020</v>
      </c>
      <c r="B1437" s="1" t="str">
        <f>"30622"</f>
        <v>30622</v>
      </c>
      <c r="C1437" s="2">
        <v>4.2831260305763001E-2</v>
      </c>
      <c r="D1437" s="2">
        <v>3.7188258662546797E-2</v>
      </c>
      <c r="E1437" s="2">
        <v>1.6892911010557999E-2</v>
      </c>
      <c r="F1437" s="2">
        <v>4.1591712392540399E-2</v>
      </c>
    </row>
    <row r="1438" spans="1:6" x14ac:dyDescent="0.25">
      <c r="A1438" s="1" t="str">
        <f t="shared" si="59"/>
        <v>12020</v>
      </c>
      <c r="B1438" s="1" t="str">
        <f>"30645"</f>
        <v>30645</v>
      </c>
      <c r="C1438" s="2">
        <v>0</v>
      </c>
      <c r="D1438" s="2">
        <v>0</v>
      </c>
      <c r="E1438" s="2">
        <v>3.0165912518853599E-4</v>
      </c>
      <c r="F1438" s="2">
        <v>9.0397114524104303E-6</v>
      </c>
    </row>
    <row r="1439" spans="1:6" x14ac:dyDescent="0.25">
      <c r="A1439" s="1" t="str">
        <f t="shared" si="59"/>
        <v>12020</v>
      </c>
      <c r="B1439" s="1" t="str">
        <f>"30607"</f>
        <v>30607</v>
      </c>
      <c r="C1439" s="2">
        <v>3.4484864523746502E-2</v>
      </c>
      <c r="D1439" s="2">
        <v>3.48708894283822E-2</v>
      </c>
      <c r="E1439" s="2">
        <v>2.0814479638009E-2</v>
      </c>
      <c r="F1439" s="2">
        <v>3.4106831309944498E-2</v>
      </c>
    </row>
    <row r="1440" spans="1:6" x14ac:dyDescent="0.25">
      <c r="A1440" s="1" t="str">
        <f t="shared" si="59"/>
        <v>12020</v>
      </c>
      <c r="B1440" s="1" t="str">
        <f>"30621"</f>
        <v>30621</v>
      </c>
      <c r="C1440" s="2">
        <v>2.0489383791706499E-2</v>
      </c>
      <c r="D1440" s="2">
        <v>5.1864930478922903E-3</v>
      </c>
      <c r="E1440" s="2">
        <v>0</v>
      </c>
      <c r="F1440" s="2">
        <v>1.8621805591965499E-2</v>
      </c>
    </row>
    <row r="1441" spans="1:6" x14ac:dyDescent="0.25">
      <c r="A1441" s="1" t="str">
        <f t="shared" si="59"/>
        <v>12020</v>
      </c>
      <c r="B1441" s="1" t="str">
        <f>"30627"</f>
        <v>30627</v>
      </c>
      <c r="C1441" s="2">
        <v>1.20920953524825E-2</v>
      </c>
      <c r="D1441" s="2">
        <v>4.7450893842418797E-3</v>
      </c>
      <c r="E1441" s="2">
        <v>3.0165912518853599E-4</v>
      </c>
      <c r="F1441" s="2">
        <v>1.11369245093696E-2</v>
      </c>
    </row>
    <row r="1442" spans="1:6" x14ac:dyDescent="0.25">
      <c r="A1442" s="1" t="str">
        <f t="shared" si="59"/>
        <v>12020</v>
      </c>
      <c r="B1442" s="1" t="str">
        <f>"30646"</f>
        <v>30646</v>
      </c>
      <c r="C1442" s="2">
        <v>3.36400464141033E-2</v>
      </c>
      <c r="D1442" s="2">
        <v>1.43456190686382E-2</v>
      </c>
      <c r="E1442" s="2">
        <v>7.2398190045248802E-3</v>
      </c>
      <c r="F1442" s="2">
        <v>3.1268361913887703E-2</v>
      </c>
    </row>
    <row r="1443" spans="1:6" x14ac:dyDescent="0.25">
      <c r="A1443" s="1" t="str">
        <f t="shared" si="59"/>
        <v>12020</v>
      </c>
      <c r="B1443" s="1" t="str">
        <f>"30629"</f>
        <v>30629</v>
      </c>
      <c r="C1443" s="2">
        <v>2.2321519451173499E-2</v>
      </c>
      <c r="D1443" s="2">
        <v>7.7245641138821404E-3</v>
      </c>
      <c r="E1443" s="2">
        <v>4.8265460030165897E-3</v>
      </c>
      <c r="F1443" s="2">
        <v>2.0601502400043301E-2</v>
      </c>
    </row>
    <row r="1444" spans="1:6" x14ac:dyDescent="0.25">
      <c r="A1444" s="1" t="str">
        <f t="shared" si="59"/>
        <v>12020</v>
      </c>
      <c r="B1444" s="1" t="str">
        <f>"30603"</f>
        <v>30603</v>
      </c>
      <c r="C1444" s="2">
        <v>7.3183641064267198E-3</v>
      </c>
      <c r="D1444" s="2">
        <v>4.4912822776429003E-2</v>
      </c>
      <c r="E1444" s="2">
        <v>3.0165912518853599E-4</v>
      </c>
      <c r="F1444" s="2">
        <v>1.0187754806866499E-2</v>
      </c>
    </row>
    <row r="1445" spans="1:6" x14ac:dyDescent="0.25">
      <c r="A1445" s="1" t="str">
        <f t="shared" si="59"/>
        <v>12020</v>
      </c>
      <c r="B1445" s="1" t="str">
        <f>"30666"</f>
        <v>30666</v>
      </c>
      <c r="C1445" s="2">
        <v>1.09317427681534E-2</v>
      </c>
      <c r="D1445" s="2">
        <v>7.72456411388214E-4</v>
      </c>
      <c r="E1445" s="2">
        <v>0</v>
      </c>
      <c r="F1445" s="2">
        <v>9.77192808005568E-3</v>
      </c>
    </row>
    <row r="1446" spans="1:6" x14ac:dyDescent="0.25">
      <c r="A1446" s="1" t="str">
        <f t="shared" si="59"/>
        <v>12020</v>
      </c>
      <c r="B1446" s="1" t="str">
        <f>"30530"</f>
        <v>30530</v>
      </c>
      <c r="C1446" s="2">
        <v>6.5447957168739603E-3</v>
      </c>
      <c r="D1446" s="2">
        <v>1.65526373868903E-3</v>
      </c>
      <c r="E1446" s="2">
        <v>9.0497737556561003E-4</v>
      </c>
      <c r="F1446" s="2">
        <v>5.9752492700433004E-3</v>
      </c>
    </row>
    <row r="1447" spans="1:6" x14ac:dyDescent="0.25">
      <c r="A1447" s="1" t="str">
        <f t="shared" si="59"/>
        <v>12020</v>
      </c>
      <c r="B1447" s="1" t="str">
        <f>"30602"</f>
        <v>30602</v>
      </c>
      <c r="C1447" s="2">
        <v>0</v>
      </c>
      <c r="D1447" s="2">
        <v>2.75877289781505E-2</v>
      </c>
      <c r="E1447" s="2">
        <v>6.0331825037707296E-4</v>
      </c>
      <c r="F1447" s="2">
        <v>2.2780072860074298E-3</v>
      </c>
    </row>
    <row r="1448" spans="1:6" x14ac:dyDescent="0.25">
      <c r="A1448" s="1" t="str">
        <f t="shared" si="59"/>
        <v>12020</v>
      </c>
      <c r="B1448" s="1" t="str">
        <f>"30606"</f>
        <v>30606</v>
      </c>
      <c r="C1448" s="2">
        <v>0.22641125338436099</v>
      </c>
      <c r="D1448" s="2">
        <v>0.24199955859633601</v>
      </c>
      <c r="E1448" s="2">
        <v>0.35565610859728503</v>
      </c>
      <c r="F1448" s="2">
        <v>0.231561248564945</v>
      </c>
    </row>
    <row r="1449" spans="1:6" x14ac:dyDescent="0.25">
      <c r="A1449" s="1" t="str">
        <f t="shared" ref="A1449:A1512" si="60">"12060"</f>
        <v>12060</v>
      </c>
      <c r="B1449" s="1" t="str">
        <f>"30024"</f>
        <v>30024</v>
      </c>
      <c r="C1449" s="2">
        <v>1.1956528649854701E-2</v>
      </c>
      <c r="D1449" s="2">
        <v>1.6727722737468202E-2</v>
      </c>
      <c r="E1449" s="2">
        <v>1.05971153127568E-2</v>
      </c>
      <c r="F1449" s="2">
        <v>1.2375065946140301E-2</v>
      </c>
    </row>
    <row r="1450" spans="1:6" x14ac:dyDescent="0.25">
      <c r="A1450" s="1" t="str">
        <f t="shared" si="60"/>
        <v>12060</v>
      </c>
      <c r="B1450" s="1" t="str">
        <f>"30094"</f>
        <v>30094</v>
      </c>
      <c r="C1450" s="2">
        <v>4.7788715385625102E-3</v>
      </c>
      <c r="D1450" s="2">
        <v>2.6086528522911798E-3</v>
      </c>
      <c r="E1450" s="2">
        <v>2.3466108661534999E-3</v>
      </c>
      <c r="F1450" s="2">
        <v>4.5210293812367802E-3</v>
      </c>
    </row>
    <row r="1451" spans="1:6" x14ac:dyDescent="0.25">
      <c r="A1451" s="1" t="str">
        <f t="shared" si="60"/>
        <v>12060</v>
      </c>
      <c r="B1451" s="1" t="str">
        <f>"30084"</f>
        <v>30084</v>
      </c>
      <c r="C1451" s="2">
        <v>6.1226252901711497E-3</v>
      </c>
      <c r="D1451" s="2">
        <v>1.01252293997285E-2</v>
      </c>
      <c r="E1451" s="2">
        <v>1.2928779612883899E-2</v>
      </c>
      <c r="F1451" s="2">
        <v>6.6494865126094302E-3</v>
      </c>
    </row>
    <row r="1452" spans="1:6" x14ac:dyDescent="0.25">
      <c r="A1452" s="1" t="str">
        <f t="shared" si="60"/>
        <v>12060</v>
      </c>
      <c r="B1452" s="1" t="str">
        <f>"30071"</f>
        <v>30071</v>
      </c>
      <c r="C1452" s="2">
        <v>3.1905269287428998E-3</v>
      </c>
      <c r="D1452" s="2">
        <v>1.1914723067944499E-2</v>
      </c>
      <c r="E1452" s="2">
        <v>1.2809207084672199E-2</v>
      </c>
      <c r="F1452" s="2">
        <v>4.22352799620256E-3</v>
      </c>
    </row>
    <row r="1453" spans="1:6" x14ac:dyDescent="0.25">
      <c r="A1453" s="1" t="str">
        <f t="shared" si="60"/>
        <v>12060</v>
      </c>
      <c r="B1453" s="1" t="str">
        <f>"30068"</f>
        <v>30068</v>
      </c>
      <c r="C1453" s="2">
        <v>5.5990362970589598E-3</v>
      </c>
      <c r="D1453" s="2">
        <v>4.9255022184096298E-3</v>
      </c>
      <c r="E1453" s="2">
        <v>2.5110230924445102E-3</v>
      </c>
      <c r="F1453" s="2">
        <v>5.4674143427400996E-3</v>
      </c>
    </row>
    <row r="1454" spans="1:6" x14ac:dyDescent="0.25">
      <c r="A1454" s="1" t="str">
        <f t="shared" si="60"/>
        <v>12060</v>
      </c>
      <c r="B1454" s="1" t="str">
        <f>"30082"</f>
        <v>30082</v>
      </c>
      <c r="C1454" s="2">
        <v>4.6333885969049096E-3</v>
      </c>
      <c r="D1454" s="2">
        <v>2.3273964800765001E-3</v>
      </c>
      <c r="E1454" s="2">
        <v>4.1999850534339698E-3</v>
      </c>
      <c r="F1454" s="2">
        <v>4.4069871836403297E-3</v>
      </c>
    </row>
    <row r="1455" spans="1:6" x14ac:dyDescent="0.25">
      <c r="A1455" s="1" t="str">
        <f t="shared" si="60"/>
        <v>12060</v>
      </c>
      <c r="B1455" s="1" t="str">
        <f>"30065"</f>
        <v>30065</v>
      </c>
      <c r="C1455" s="2">
        <v>4.5776637683522602E-4</v>
      </c>
      <c r="D1455" s="2">
        <v>1.04767998649969E-3</v>
      </c>
      <c r="E1455" s="2">
        <v>1.4946566026455399E-5</v>
      </c>
      <c r="F1455" s="2">
        <v>5.0343845489680603E-4</v>
      </c>
    </row>
    <row r="1456" spans="1:6" x14ac:dyDescent="0.25">
      <c r="A1456" s="1" t="str">
        <f t="shared" si="60"/>
        <v>12060</v>
      </c>
      <c r="B1456" s="1" t="str">
        <f>"30056"</f>
        <v>30056</v>
      </c>
      <c r="C1456" s="2">
        <v>4.2597704511055702E-4</v>
      </c>
      <c r="D1456" s="2">
        <v>1.01955434927822E-4</v>
      </c>
      <c r="E1456" s="2">
        <v>3.7366415066138501E-4</v>
      </c>
      <c r="F1456" s="2">
        <v>3.9435461371759001E-4</v>
      </c>
    </row>
    <row r="1457" spans="1:6" x14ac:dyDescent="0.25">
      <c r="A1457" s="1" t="str">
        <f t="shared" si="60"/>
        <v>12060</v>
      </c>
      <c r="B1457" s="1" t="str">
        <f>"30220"</f>
        <v>30220</v>
      </c>
      <c r="C1457" s="2">
        <v>8.5158009808317797E-4</v>
      </c>
      <c r="D1457" s="2">
        <v>1.6523811867612601E-4</v>
      </c>
      <c r="E1457" s="2">
        <v>5.9786264105821597E-5</v>
      </c>
      <c r="F1457" s="2">
        <v>7.6953691595519702E-4</v>
      </c>
    </row>
    <row r="1458" spans="1:6" x14ac:dyDescent="0.25">
      <c r="A1458" s="1" t="str">
        <f t="shared" si="60"/>
        <v>12060</v>
      </c>
      <c r="B1458" s="1" t="str">
        <f>"30206"</f>
        <v>30206</v>
      </c>
      <c r="C1458" s="2">
        <v>4.40562738490111E-4</v>
      </c>
      <c r="D1458" s="2">
        <v>9.8439730275138996E-5</v>
      </c>
      <c r="E1458" s="2">
        <v>7.4732830132277103E-5</v>
      </c>
      <c r="F1458" s="2">
        <v>4.0030464141827497E-4</v>
      </c>
    </row>
    <row r="1459" spans="1:6" x14ac:dyDescent="0.25">
      <c r="A1459" s="1" t="str">
        <f t="shared" si="60"/>
        <v>12060</v>
      </c>
      <c r="B1459" s="1" t="str">
        <f>"30212"</f>
        <v>30212</v>
      </c>
      <c r="C1459" s="2">
        <v>4.1064336745512902E-4</v>
      </c>
      <c r="D1459" s="2">
        <v>2.03910869855645E-4</v>
      </c>
      <c r="E1459" s="2">
        <v>2.9893132052910798E-5</v>
      </c>
      <c r="F1459" s="2">
        <v>3.8278511541070298E-4</v>
      </c>
    </row>
    <row r="1460" spans="1:6" x14ac:dyDescent="0.25">
      <c r="A1460" s="1" t="str">
        <f t="shared" si="60"/>
        <v>12060</v>
      </c>
      <c r="B1460" s="1" t="str">
        <f>"30168"</f>
        <v>30168</v>
      </c>
      <c r="C1460" s="2">
        <v>4.5092232071097397E-3</v>
      </c>
      <c r="D1460" s="2">
        <v>4.2012670599568197E-3</v>
      </c>
      <c r="E1460" s="2">
        <v>6.9800463343546804E-3</v>
      </c>
      <c r="F1460" s="2">
        <v>4.5349127792050402E-3</v>
      </c>
    </row>
    <row r="1461" spans="1:6" x14ac:dyDescent="0.25">
      <c r="A1461" s="1" t="str">
        <f t="shared" si="60"/>
        <v>12060</v>
      </c>
      <c r="B1461" s="1" t="str">
        <f>"30175"</f>
        <v>30175</v>
      </c>
      <c r="C1461" s="2">
        <v>1.0340882613965601E-3</v>
      </c>
      <c r="D1461" s="2">
        <v>2.63677848951265E-4</v>
      </c>
      <c r="E1461" s="2">
        <v>4.3345041476720701E-4</v>
      </c>
      <c r="F1461" s="2">
        <v>9.4836830407021497E-4</v>
      </c>
    </row>
    <row r="1462" spans="1:6" x14ac:dyDescent="0.25">
      <c r="A1462" s="1" t="str">
        <f t="shared" si="60"/>
        <v>12060</v>
      </c>
      <c r="B1462" s="1" t="str">
        <f>"30187"</f>
        <v>30187</v>
      </c>
      <c r="C1462" s="2">
        <v>1.5786208142332401E-3</v>
      </c>
      <c r="D1462" s="2">
        <v>1.08283703302652E-3</v>
      </c>
      <c r="E1462" s="2">
        <v>3.7366415066138501E-4</v>
      </c>
      <c r="F1462" s="2">
        <v>1.50535700827318E-3</v>
      </c>
    </row>
    <row r="1463" spans="1:6" x14ac:dyDescent="0.25">
      <c r="A1463" s="1" t="str">
        <f t="shared" si="60"/>
        <v>12060</v>
      </c>
      <c r="B1463" s="1" t="str">
        <f>"30177"</f>
        <v>30177</v>
      </c>
      <c r="C1463" s="2">
        <v>3.3173102635036399E-4</v>
      </c>
      <c r="D1463" s="2">
        <v>2.74224962909315E-4</v>
      </c>
      <c r="E1463" s="2">
        <v>1.9430535834392E-4</v>
      </c>
      <c r="F1463" s="2">
        <v>3.2328483840385802E-4</v>
      </c>
    </row>
    <row r="1464" spans="1:6" x14ac:dyDescent="0.25">
      <c r="A1464" s="1" t="str">
        <f t="shared" si="60"/>
        <v>12060</v>
      </c>
      <c r="B1464" s="1" t="str">
        <f>"30146"</f>
        <v>30146</v>
      </c>
      <c r="C1464" s="2">
        <v>1.8512610827895099E-4</v>
      </c>
      <c r="D1464" s="2">
        <v>5.66028449082049E-4</v>
      </c>
      <c r="E1464" s="2">
        <v>2.9893132052910798E-5</v>
      </c>
      <c r="F1464" s="2">
        <v>2.17506568169467E-4</v>
      </c>
    </row>
    <row r="1465" spans="1:6" x14ac:dyDescent="0.25">
      <c r="A1465" s="1" t="str">
        <f t="shared" si="60"/>
        <v>12060</v>
      </c>
      <c r="B1465" s="1" t="str">
        <f>"30296"</f>
        <v>30296</v>
      </c>
      <c r="C1465" s="2">
        <v>4.6001032966284904E-3</v>
      </c>
      <c r="D1465" s="2">
        <v>1.98637312876619E-3</v>
      </c>
      <c r="E1465" s="2">
        <v>3.8861071668784E-4</v>
      </c>
      <c r="F1465" s="2">
        <v>4.2612115049735604E-3</v>
      </c>
    </row>
    <row r="1466" spans="1:6" x14ac:dyDescent="0.25">
      <c r="A1466" s="1" t="str">
        <f t="shared" si="60"/>
        <v>12060</v>
      </c>
      <c r="B1466" s="1" t="str">
        <f>"30297"</f>
        <v>30297</v>
      </c>
      <c r="C1466" s="2">
        <v>4.1139135173100302E-3</v>
      </c>
      <c r="D1466" s="2">
        <v>7.5974377544491198E-3</v>
      </c>
      <c r="E1466" s="2">
        <v>5.0070996188625603E-3</v>
      </c>
      <c r="F1466" s="2">
        <v>4.4611985471354502E-3</v>
      </c>
    </row>
    <row r="1467" spans="1:6" x14ac:dyDescent="0.25">
      <c r="A1467" s="1" t="str">
        <f t="shared" si="60"/>
        <v>12060</v>
      </c>
      <c r="B1467" s="1" t="str">
        <f>"30265"</f>
        <v>30265</v>
      </c>
      <c r="C1467" s="2">
        <v>5.4180241022973204E-3</v>
      </c>
      <c r="D1467" s="2">
        <v>4.1274372622504699E-3</v>
      </c>
      <c r="E1467" s="2">
        <v>3.0341529033704501E-3</v>
      </c>
      <c r="F1467" s="2">
        <v>5.24395774686995E-3</v>
      </c>
    </row>
    <row r="1468" spans="1:6" x14ac:dyDescent="0.25">
      <c r="A1468" s="1" t="str">
        <f t="shared" si="60"/>
        <v>12060</v>
      </c>
      <c r="B1468" s="1" t="str">
        <f>"30269"</f>
        <v>30269</v>
      </c>
      <c r="C1468" s="2">
        <v>6.1424468734818201E-3</v>
      </c>
      <c r="D1468" s="2">
        <v>8.5923821711585604E-3</v>
      </c>
      <c r="E1468" s="2">
        <v>4.1999850534339698E-3</v>
      </c>
      <c r="F1468" s="2">
        <v>6.32983780224487E-3</v>
      </c>
    </row>
    <row r="1469" spans="1:6" x14ac:dyDescent="0.25">
      <c r="A1469" s="1" t="str">
        <f t="shared" si="60"/>
        <v>12060</v>
      </c>
      <c r="B1469" s="1" t="str">
        <f>"30273"</f>
        <v>30273</v>
      </c>
      <c r="C1469" s="2">
        <v>2.7308905912179901E-3</v>
      </c>
      <c r="D1469" s="2">
        <v>1.3535462912831601E-3</v>
      </c>
      <c r="E1469" s="2">
        <v>4.6334354682011801E-4</v>
      </c>
      <c r="F1469" s="2">
        <v>2.5512396552157201E-3</v>
      </c>
    </row>
    <row r="1470" spans="1:6" x14ac:dyDescent="0.25">
      <c r="A1470" s="1" t="str">
        <f t="shared" si="60"/>
        <v>12060</v>
      </c>
      <c r="B1470" s="1" t="str">
        <f>"30318"</f>
        <v>30318</v>
      </c>
      <c r="C1470" s="2">
        <v>1.14609890670878E-2</v>
      </c>
      <c r="D1470" s="2">
        <v>1.2452625879805E-2</v>
      </c>
      <c r="E1470" s="2">
        <v>1.87878334952544E-2</v>
      </c>
      <c r="F1470" s="2">
        <v>1.17162656568367E-2</v>
      </c>
    </row>
    <row r="1471" spans="1:6" x14ac:dyDescent="0.25">
      <c r="A1471" s="1" t="str">
        <f t="shared" si="60"/>
        <v>12060</v>
      </c>
      <c r="B1471" s="1" t="str">
        <f>"30663"</f>
        <v>30663</v>
      </c>
      <c r="C1471" s="2">
        <v>5.0114946483595E-4</v>
      </c>
      <c r="D1471" s="2">
        <v>2.4961503034053099E-4</v>
      </c>
      <c r="E1471" s="2">
        <v>2.9893132052910798E-4</v>
      </c>
      <c r="F1471" s="2">
        <v>4.73027202204419E-4</v>
      </c>
    </row>
    <row r="1472" spans="1:6" x14ac:dyDescent="0.25">
      <c r="A1472" s="1" t="str">
        <f t="shared" si="60"/>
        <v>12060</v>
      </c>
      <c r="B1472" s="1" t="str">
        <f>"30388"</f>
        <v>30388</v>
      </c>
      <c r="C1472" s="2">
        <v>0</v>
      </c>
      <c r="D1472" s="2">
        <v>0</v>
      </c>
      <c r="E1472" s="2">
        <v>1.4946566026455399E-5</v>
      </c>
      <c r="F1472" s="2">
        <v>3.3055709448247299E-7</v>
      </c>
    </row>
    <row r="1473" spans="1:6" x14ac:dyDescent="0.25">
      <c r="A1473" s="1" t="str">
        <f t="shared" si="60"/>
        <v>12060</v>
      </c>
      <c r="B1473" s="1" t="str">
        <f>"31169"</f>
        <v>31169</v>
      </c>
      <c r="C1473" s="2">
        <v>0</v>
      </c>
      <c r="D1473" s="2">
        <v>3.5157046526835302E-6</v>
      </c>
      <c r="E1473" s="2">
        <v>0</v>
      </c>
      <c r="F1473" s="2">
        <v>3.3055709448247299E-7</v>
      </c>
    </row>
    <row r="1474" spans="1:6" x14ac:dyDescent="0.25">
      <c r="A1474" s="1" t="str">
        <f t="shared" si="60"/>
        <v>12060</v>
      </c>
      <c r="B1474" s="1" t="str">
        <f>"30366"</f>
        <v>30366</v>
      </c>
      <c r="C1474" s="2">
        <v>4.6150629821459802E-4</v>
      </c>
      <c r="D1474" s="2">
        <v>1.38518763315731E-3</v>
      </c>
      <c r="E1474" s="2">
        <v>1.4946566026455399E-5</v>
      </c>
      <c r="F1474" s="2">
        <v>5.3847750691194795E-4</v>
      </c>
    </row>
    <row r="1475" spans="1:6" x14ac:dyDescent="0.25">
      <c r="A1475" s="1" t="str">
        <f t="shared" si="60"/>
        <v>12060</v>
      </c>
      <c r="B1475" s="1" t="str">
        <f>"30160"</f>
        <v>30160</v>
      </c>
      <c r="C1475" s="2">
        <v>2.2439528276236499E-4</v>
      </c>
      <c r="D1475" s="2">
        <v>5.8360697234546702E-4</v>
      </c>
      <c r="E1475" s="2">
        <v>1.4946566026455399E-5</v>
      </c>
      <c r="F1475" s="2">
        <v>2.5353729146805598E-4</v>
      </c>
    </row>
    <row r="1476" spans="1:6" x14ac:dyDescent="0.25">
      <c r="A1476" s="1" t="str">
        <f t="shared" si="60"/>
        <v>12060</v>
      </c>
      <c r="B1476" s="1" t="str">
        <f>"30322"</f>
        <v>30322</v>
      </c>
      <c r="C1476" s="2">
        <v>0</v>
      </c>
      <c r="D1476" s="2">
        <v>2.4258362103516399E-4</v>
      </c>
      <c r="E1476" s="2">
        <v>0</v>
      </c>
      <c r="F1476" s="2">
        <v>2.2808439519290601E-5</v>
      </c>
    </row>
    <row r="1477" spans="1:6" x14ac:dyDescent="0.25">
      <c r="A1477" s="1" t="str">
        <f t="shared" si="60"/>
        <v>12060</v>
      </c>
      <c r="B1477" s="1" t="str">
        <f>"30205"</f>
        <v>30205</v>
      </c>
      <c r="C1477" s="2">
        <v>5.15735158215503E-4</v>
      </c>
      <c r="D1477" s="2">
        <v>2.0742657450832801E-4</v>
      </c>
      <c r="E1477" s="2">
        <v>7.4732830132277103E-5</v>
      </c>
      <c r="F1477" s="2">
        <v>4.76993887338208E-4</v>
      </c>
    </row>
    <row r="1478" spans="1:6" x14ac:dyDescent="0.25">
      <c r="A1478" s="1" t="str">
        <f t="shared" si="60"/>
        <v>12060</v>
      </c>
      <c r="B1478" s="1" t="str">
        <f>"30142"</f>
        <v>30142</v>
      </c>
      <c r="C1478" s="2">
        <v>2.9657576538426003E-4</v>
      </c>
      <c r="D1478" s="2">
        <v>1.32190494940901E-3</v>
      </c>
      <c r="E1478" s="2">
        <v>4.4839698079366199E-5</v>
      </c>
      <c r="F1478" s="2">
        <v>3.8741291473345799E-4</v>
      </c>
    </row>
    <row r="1479" spans="1:6" x14ac:dyDescent="0.25">
      <c r="A1479" s="1" t="str">
        <f t="shared" si="60"/>
        <v>12060</v>
      </c>
      <c r="B1479" s="1" t="str">
        <f>"30154"</f>
        <v>30154</v>
      </c>
      <c r="C1479" s="2">
        <v>3.0480359241887999E-4</v>
      </c>
      <c r="D1479" s="2">
        <v>1.58206709370759E-3</v>
      </c>
      <c r="E1479" s="2">
        <v>1.4946566026455399E-5</v>
      </c>
      <c r="F1479" s="2">
        <v>4.1848528161481102E-4</v>
      </c>
    </row>
    <row r="1480" spans="1:6" x14ac:dyDescent="0.25">
      <c r="A1480" s="1" t="str">
        <f t="shared" si="60"/>
        <v>12060</v>
      </c>
      <c r="B1480" s="1" t="str">
        <f>"30334"</f>
        <v>30334</v>
      </c>
      <c r="C1480" s="2">
        <v>1.4959685517491E-6</v>
      </c>
      <c r="D1480" s="2">
        <v>3.9903247807958099E-3</v>
      </c>
      <c r="E1480" s="2">
        <v>9.5658022569314598E-4</v>
      </c>
      <c r="F1480" s="2">
        <v>3.9766018466241501E-4</v>
      </c>
    </row>
    <row r="1481" spans="1:6" x14ac:dyDescent="0.25">
      <c r="A1481" s="1" t="str">
        <f t="shared" si="60"/>
        <v>12060</v>
      </c>
      <c r="B1481" s="1" t="str">
        <f>"31150"</f>
        <v>31150</v>
      </c>
      <c r="C1481" s="2">
        <v>5.2209302456043697E-4</v>
      </c>
      <c r="D1481" s="2">
        <v>7.3829797706354201E-4</v>
      </c>
      <c r="E1481" s="2">
        <v>1.4946566026455399E-5</v>
      </c>
      <c r="F1481" s="2">
        <v>5.3120525083333401E-4</v>
      </c>
    </row>
    <row r="1482" spans="1:6" x14ac:dyDescent="0.25">
      <c r="A1482" s="1" t="str">
        <f t="shared" si="60"/>
        <v>12060</v>
      </c>
      <c r="B1482" s="1" t="str">
        <f>"30111"</f>
        <v>30111</v>
      </c>
      <c r="C1482" s="2">
        <v>2.3748500759017001E-4</v>
      </c>
      <c r="D1482" s="2">
        <v>2.9180348617273302E-4</v>
      </c>
      <c r="E1482" s="2">
        <v>2.9893132052910798E-5</v>
      </c>
      <c r="F1482" s="2">
        <v>2.3800110802738001E-4</v>
      </c>
    </row>
    <row r="1483" spans="1:6" x14ac:dyDescent="0.25">
      <c r="A1483" s="1" t="str">
        <f t="shared" si="60"/>
        <v>12060</v>
      </c>
      <c r="B1483" s="1" t="str">
        <f>"30118"</f>
        <v>30118</v>
      </c>
      <c r="C1483" s="2">
        <v>0</v>
      </c>
      <c r="D1483" s="2">
        <v>3.5157046526835302E-6</v>
      </c>
      <c r="E1483" s="2">
        <v>0</v>
      </c>
      <c r="F1483" s="2">
        <v>3.3055709448247299E-7</v>
      </c>
    </row>
    <row r="1484" spans="1:6" x14ac:dyDescent="0.25">
      <c r="A1484" s="1" t="str">
        <f t="shared" si="60"/>
        <v>12060</v>
      </c>
      <c r="B1484" s="1" t="str">
        <f>"30362"</f>
        <v>30362</v>
      </c>
      <c r="C1484" s="2">
        <v>5.5986623049210198E-4</v>
      </c>
      <c r="D1484" s="2">
        <v>9.5275596087723803E-4</v>
      </c>
      <c r="E1484" s="2">
        <v>1.4946566026455399E-5</v>
      </c>
      <c r="F1484" s="2">
        <v>5.8475550013949499E-4</v>
      </c>
    </row>
    <row r="1485" spans="1:6" x14ac:dyDescent="0.25">
      <c r="A1485" s="1" t="str">
        <f t="shared" si="60"/>
        <v>12060</v>
      </c>
      <c r="B1485" s="1" t="str">
        <f>"30355"</f>
        <v>30355</v>
      </c>
      <c r="C1485" s="2">
        <v>6.3728260304511805E-4</v>
      </c>
      <c r="D1485" s="2">
        <v>2.2852080242442901E-3</v>
      </c>
      <c r="E1485" s="2">
        <v>2.9893132052910798E-5</v>
      </c>
      <c r="F1485" s="2">
        <v>7.7879251460070595E-4</v>
      </c>
    </row>
    <row r="1486" spans="1:6" x14ac:dyDescent="0.25">
      <c r="A1486" s="1" t="str">
        <f t="shared" si="60"/>
        <v>12060</v>
      </c>
      <c r="B1486" s="1" t="str">
        <f>"30622"</f>
        <v>30622</v>
      </c>
      <c r="C1486" s="2">
        <v>2.9919371034982101E-6</v>
      </c>
      <c r="D1486" s="2">
        <v>0</v>
      </c>
      <c r="E1486" s="2">
        <v>0</v>
      </c>
      <c r="F1486" s="2">
        <v>2.6444567558597801E-6</v>
      </c>
    </row>
    <row r="1487" spans="1:6" x14ac:dyDescent="0.25">
      <c r="A1487" s="1" t="str">
        <f t="shared" si="60"/>
        <v>12060</v>
      </c>
      <c r="B1487" s="1" t="str">
        <f>"31126"</f>
        <v>31126</v>
      </c>
      <c r="C1487" s="2">
        <v>2.5020074028003699E-4</v>
      </c>
      <c r="D1487" s="2">
        <v>7.4181368171622603E-4</v>
      </c>
      <c r="E1487" s="2">
        <v>1.4946566026455399E-5</v>
      </c>
      <c r="F1487" s="2">
        <v>2.9122080023905798E-4</v>
      </c>
    </row>
    <row r="1488" spans="1:6" x14ac:dyDescent="0.25">
      <c r="A1488" s="1" t="str">
        <f t="shared" si="60"/>
        <v>12060</v>
      </c>
      <c r="B1488" s="1" t="str">
        <f>"30077"</f>
        <v>30077</v>
      </c>
      <c r="C1488" s="2">
        <v>4.54026455455853E-4</v>
      </c>
      <c r="D1488" s="2">
        <v>1.86332346592227E-3</v>
      </c>
      <c r="E1488" s="2">
        <v>1.4946566026455399E-5</v>
      </c>
      <c r="F1488" s="2">
        <v>5.7682212987191504E-4</v>
      </c>
    </row>
    <row r="1489" spans="1:6" x14ac:dyDescent="0.25">
      <c r="A1489" s="1" t="str">
        <f t="shared" si="60"/>
        <v>12060</v>
      </c>
      <c r="B1489" s="1" t="str">
        <f>"30320"</f>
        <v>30320</v>
      </c>
      <c r="C1489" s="2">
        <v>4.7646598373208898E-4</v>
      </c>
      <c r="D1489" s="2">
        <v>7.3829797706354201E-4</v>
      </c>
      <c r="E1489" s="2">
        <v>5.9786264105821597E-5</v>
      </c>
      <c r="F1489" s="2">
        <v>4.9186895658992003E-4</v>
      </c>
    </row>
    <row r="1490" spans="1:6" x14ac:dyDescent="0.25">
      <c r="A1490" s="1" t="str">
        <f t="shared" si="60"/>
        <v>12060</v>
      </c>
      <c r="B1490" s="1" t="str">
        <f>"30333"</f>
        <v>30333</v>
      </c>
      <c r="C1490" s="2">
        <v>1.9896381738263E-4</v>
      </c>
      <c r="D1490" s="2">
        <v>6.6798388400987195E-4</v>
      </c>
      <c r="E1490" s="2">
        <v>5.9786264105821597E-5</v>
      </c>
      <c r="F1490" s="2">
        <v>2.39984450594275E-4</v>
      </c>
    </row>
    <row r="1491" spans="1:6" x14ac:dyDescent="0.25">
      <c r="A1491" s="1" t="str">
        <f t="shared" si="60"/>
        <v>12060</v>
      </c>
      <c r="B1491" s="1" t="str">
        <f>"30152"</f>
        <v>30152</v>
      </c>
      <c r="C1491" s="2">
        <v>6.2725961374839904E-3</v>
      </c>
      <c r="D1491" s="2">
        <v>3.2414796897742202E-3</v>
      </c>
      <c r="E1491" s="2">
        <v>5.6796950900530599E-3</v>
      </c>
      <c r="F1491" s="2">
        <v>5.9744889256762197E-3</v>
      </c>
    </row>
    <row r="1492" spans="1:6" x14ac:dyDescent="0.25">
      <c r="A1492" s="1" t="str">
        <f t="shared" si="60"/>
        <v>12060</v>
      </c>
      <c r="B1492" s="1" t="str">
        <f>"30290"</f>
        <v>30290</v>
      </c>
      <c r="C1492" s="2">
        <v>1.4533334480242501E-3</v>
      </c>
      <c r="D1492" s="2">
        <v>3.1219457315829801E-3</v>
      </c>
      <c r="E1492" s="2">
        <v>3.0490994693968998E-3</v>
      </c>
      <c r="F1492" s="2">
        <v>1.6455132163337501E-3</v>
      </c>
    </row>
    <row r="1493" spans="1:6" x14ac:dyDescent="0.25">
      <c r="A1493" s="1" t="str">
        <f t="shared" si="60"/>
        <v>12060</v>
      </c>
      <c r="B1493" s="1" t="str">
        <f>"30253"</f>
        <v>30253</v>
      </c>
      <c r="C1493" s="2">
        <v>9.8382371805779793E-3</v>
      </c>
      <c r="D1493" s="2">
        <v>1.2392858900709401E-2</v>
      </c>
      <c r="E1493" s="2">
        <v>2.7501681488677899E-3</v>
      </c>
      <c r="F1493" s="2">
        <v>9.9216711908914294E-3</v>
      </c>
    </row>
    <row r="1494" spans="1:6" x14ac:dyDescent="0.25">
      <c r="A1494" s="1" t="str">
        <f t="shared" si="60"/>
        <v>12060</v>
      </c>
      <c r="B1494" s="1" t="str">
        <f>"30259"</f>
        <v>30259</v>
      </c>
      <c r="C1494" s="2">
        <v>5.3929666290555205E-4</v>
      </c>
      <c r="D1494" s="2">
        <v>1.23049662843923E-4</v>
      </c>
      <c r="E1494" s="2">
        <v>7.4732830132277103E-5</v>
      </c>
      <c r="F1494" s="2">
        <v>4.8988561402302504E-4</v>
      </c>
    </row>
    <row r="1495" spans="1:6" x14ac:dyDescent="0.25">
      <c r="A1495" s="1" t="str">
        <f t="shared" si="60"/>
        <v>12060</v>
      </c>
      <c r="B1495" s="1" t="str">
        <f>"30236"</f>
        <v>30236</v>
      </c>
      <c r="C1495" s="2">
        <v>7.6107400070235696E-3</v>
      </c>
      <c r="D1495" s="2">
        <v>7.2775086310549204E-3</v>
      </c>
      <c r="E1495" s="2">
        <v>5.5451759958149603E-3</v>
      </c>
      <c r="F1495" s="2">
        <v>7.5337267403500401E-3</v>
      </c>
    </row>
    <row r="1496" spans="1:6" x14ac:dyDescent="0.25">
      <c r="A1496" s="1" t="str">
        <f t="shared" si="60"/>
        <v>12060</v>
      </c>
      <c r="B1496" s="1" t="str">
        <f>"30338"</f>
        <v>30338</v>
      </c>
      <c r="C1496" s="2">
        <v>5.8634487385806101E-3</v>
      </c>
      <c r="D1496" s="2">
        <v>5.37199670930044E-3</v>
      </c>
      <c r="E1496" s="2">
        <v>9.5359091248785506E-3</v>
      </c>
      <c r="F1496" s="2">
        <v>5.8984607939452502E-3</v>
      </c>
    </row>
    <row r="1497" spans="1:6" x14ac:dyDescent="0.25">
      <c r="A1497" s="1" t="str">
        <f t="shared" si="60"/>
        <v>12060</v>
      </c>
      <c r="B1497" s="1" t="str">
        <f>"30331"</f>
        <v>30331</v>
      </c>
      <c r="C1497" s="2">
        <v>1.03517283859658E-2</v>
      </c>
      <c r="D1497" s="2">
        <v>4.7321384625120403E-3</v>
      </c>
      <c r="E1497" s="2">
        <v>5.6498019580001396E-3</v>
      </c>
      <c r="F1497" s="2">
        <v>9.7193702490681495E-3</v>
      </c>
    </row>
    <row r="1498" spans="1:6" x14ac:dyDescent="0.25">
      <c r="A1498" s="1" t="str">
        <f t="shared" si="60"/>
        <v>12060</v>
      </c>
      <c r="B1498" s="1" t="str">
        <f>"30327"</f>
        <v>30327</v>
      </c>
      <c r="C1498" s="2">
        <v>3.9882521589631103E-3</v>
      </c>
      <c r="D1498" s="2">
        <v>2.4047419824355298E-3</v>
      </c>
      <c r="E1498" s="2">
        <v>2.3017711680741299E-3</v>
      </c>
      <c r="F1498" s="2">
        <v>3.8020677007374001E-3</v>
      </c>
    </row>
    <row r="1499" spans="1:6" x14ac:dyDescent="0.25">
      <c r="A1499" s="1" t="str">
        <f t="shared" si="60"/>
        <v>12060</v>
      </c>
      <c r="B1499" s="1" t="str">
        <f>"30309"</f>
        <v>30309</v>
      </c>
      <c r="C1499" s="2">
        <v>8.9907709960121204E-3</v>
      </c>
      <c r="D1499" s="2">
        <v>1.00232739648007E-2</v>
      </c>
      <c r="E1499" s="2">
        <v>1.52604439130109E-2</v>
      </c>
      <c r="F1499" s="2">
        <v>9.2265096211947908E-3</v>
      </c>
    </row>
    <row r="1500" spans="1:6" x14ac:dyDescent="0.25">
      <c r="A1500" s="1" t="str">
        <f t="shared" si="60"/>
        <v>12060</v>
      </c>
      <c r="B1500" s="1" t="str">
        <f>"30308"</f>
        <v>30308</v>
      </c>
      <c r="C1500" s="2">
        <v>6.1379589678265704E-3</v>
      </c>
      <c r="D1500" s="2">
        <v>6.6692917261406701E-3</v>
      </c>
      <c r="E1500" s="2">
        <v>1.48419400642702E-2</v>
      </c>
      <c r="F1500" s="2">
        <v>6.3804130377006904E-3</v>
      </c>
    </row>
    <row r="1501" spans="1:6" x14ac:dyDescent="0.25">
      <c r="A1501" s="1" t="str">
        <f t="shared" si="60"/>
        <v>12060</v>
      </c>
      <c r="B1501" s="1" t="str">
        <f>"30519"</f>
        <v>30519</v>
      </c>
      <c r="C1501" s="2">
        <v>6.7210127108707904E-3</v>
      </c>
      <c r="D1501" s="2">
        <v>3.6950055899703902E-3</v>
      </c>
      <c r="E1501" s="2">
        <v>1.8384276212540099E-3</v>
      </c>
      <c r="F1501" s="2">
        <v>6.3285155738669399E-3</v>
      </c>
    </row>
    <row r="1502" spans="1:6" x14ac:dyDescent="0.25">
      <c r="A1502" s="1" t="str">
        <f t="shared" si="60"/>
        <v>12060</v>
      </c>
      <c r="B1502" s="1" t="str">
        <f>"30517"</f>
        <v>30517</v>
      </c>
      <c r="C1502" s="2">
        <v>7.33398582494998E-4</v>
      </c>
      <c r="D1502" s="2">
        <v>5.5548133512399803E-4</v>
      </c>
      <c r="E1502" s="2">
        <v>3.1387788655556302E-4</v>
      </c>
      <c r="F1502" s="2">
        <v>7.0739218219249204E-4</v>
      </c>
    </row>
    <row r="1503" spans="1:6" x14ac:dyDescent="0.25">
      <c r="A1503" s="1" t="str">
        <f t="shared" si="60"/>
        <v>12060</v>
      </c>
      <c r="B1503" s="1" t="str">
        <f>"30350"</f>
        <v>30350</v>
      </c>
      <c r="C1503" s="2">
        <v>6.5351386183159603E-3</v>
      </c>
      <c r="D1503" s="2">
        <v>4.15204719481925E-3</v>
      </c>
      <c r="E1503" s="2">
        <v>1.2002092519243701E-2</v>
      </c>
      <c r="F1503" s="2">
        <v>6.4319799444399603E-3</v>
      </c>
    </row>
    <row r="1504" spans="1:6" x14ac:dyDescent="0.25">
      <c r="A1504" s="1" t="str">
        <f t="shared" si="60"/>
        <v>12060</v>
      </c>
      <c r="B1504" s="1" t="str">
        <f>"30354"</f>
        <v>30354</v>
      </c>
      <c r="C1504" s="2">
        <v>3.0454179792232402E-3</v>
      </c>
      <c r="D1504" s="2">
        <v>4.1415000808611999E-3</v>
      </c>
      <c r="E1504" s="2">
        <v>5.9935729766086203E-3</v>
      </c>
      <c r="F1504" s="2">
        <v>3.2136760725586001E-3</v>
      </c>
    </row>
    <row r="1505" spans="1:6" x14ac:dyDescent="0.25">
      <c r="A1505" s="1" t="str">
        <f t="shared" si="60"/>
        <v>12060</v>
      </c>
      <c r="B1505" s="1" t="str">
        <f>"30345"</f>
        <v>30345</v>
      </c>
      <c r="C1505" s="2">
        <v>4.26837227027813E-3</v>
      </c>
      <c r="D1505" s="2">
        <v>4.5141647740456602E-3</v>
      </c>
      <c r="E1505" s="2">
        <v>8.0860922203123808E-3</v>
      </c>
      <c r="F1505" s="2">
        <v>4.3759148167589797E-3</v>
      </c>
    </row>
    <row r="1506" spans="1:6" x14ac:dyDescent="0.25">
      <c r="A1506" s="1" t="str">
        <f t="shared" si="60"/>
        <v>12060</v>
      </c>
      <c r="B1506" s="1" t="str">
        <f>"30625"</f>
        <v>30625</v>
      </c>
      <c r="C1506" s="2">
        <v>4.2074115517943498E-4</v>
      </c>
      <c r="D1506" s="2">
        <v>8.7892616317088407E-5</v>
      </c>
      <c r="E1506" s="2">
        <v>1.4946566026455399E-5</v>
      </c>
      <c r="F1506" s="2">
        <v>3.8047121574932602E-4</v>
      </c>
    </row>
    <row r="1507" spans="1:6" x14ac:dyDescent="0.25">
      <c r="A1507" s="1" t="str">
        <f t="shared" si="60"/>
        <v>12060</v>
      </c>
      <c r="B1507" s="1" t="str">
        <f>"30641"</f>
        <v>30641</v>
      </c>
      <c r="C1507" s="2">
        <v>3.4220280621260698E-4</v>
      </c>
      <c r="D1507" s="2">
        <v>6.6798388400987201E-5</v>
      </c>
      <c r="E1507" s="2">
        <v>0</v>
      </c>
      <c r="F1507" s="2">
        <v>3.08740326246629E-4</v>
      </c>
    </row>
    <row r="1508" spans="1:6" x14ac:dyDescent="0.25">
      <c r="A1508" s="1" t="str">
        <f t="shared" si="60"/>
        <v>12060</v>
      </c>
      <c r="B1508" s="1" t="str">
        <f>"30085"</f>
        <v>30085</v>
      </c>
      <c r="C1508" s="2">
        <v>6.2120094111381505E-4</v>
      </c>
      <c r="D1508" s="2">
        <v>1.80355648682665E-3</v>
      </c>
      <c r="E1508" s="2">
        <v>1.4946566026455399E-5</v>
      </c>
      <c r="F1508" s="2">
        <v>7.1896168049937902E-4</v>
      </c>
    </row>
    <row r="1509" spans="1:6" x14ac:dyDescent="0.25">
      <c r="A1509" s="1" t="str">
        <f t="shared" si="60"/>
        <v>12060</v>
      </c>
      <c r="B1509" s="1" t="str">
        <f>"30017"</f>
        <v>30017</v>
      </c>
      <c r="C1509" s="2">
        <v>3.37490505274598E-3</v>
      </c>
      <c r="D1509" s="2">
        <v>2.9215505663800099E-3</v>
      </c>
      <c r="E1509" s="2">
        <v>8.9679396158732496E-4</v>
      </c>
      <c r="F1509" s="2">
        <v>3.2774735917937199E-3</v>
      </c>
    </row>
    <row r="1510" spans="1:6" x14ac:dyDescent="0.25">
      <c r="A1510" s="1" t="str">
        <f t="shared" si="60"/>
        <v>12060</v>
      </c>
      <c r="B1510" s="1" t="str">
        <f>"30014"</f>
        <v>30014</v>
      </c>
      <c r="C1510" s="2">
        <v>6.3832978103134297E-3</v>
      </c>
      <c r="D1510" s="2">
        <v>7.3196970868871199E-3</v>
      </c>
      <c r="E1510" s="2">
        <v>4.4092369778043396E-3</v>
      </c>
      <c r="F1510" s="2">
        <v>6.4276827022116904E-3</v>
      </c>
    </row>
    <row r="1511" spans="1:6" x14ac:dyDescent="0.25">
      <c r="A1511" s="1" t="str">
        <f t="shared" si="60"/>
        <v>12060</v>
      </c>
      <c r="B1511" s="1" t="str">
        <f>"30008"</f>
        <v>30008</v>
      </c>
      <c r="C1511" s="2">
        <v>4.5870135718006902E-3</v>
      </c>
      <c r="D1511" s="2">
        <v>2.0250458799457101E-3</v>
      </c>
      <c r="E1511" s="2">
        <v>6.0384126746879903E-3</v>
      </c>
      <c r="F1511" s="2">
        <v>4.3782287164203498E-3</v>
      </c>
    </row>
    <row r="1512" spans="1:6" x14ac:dyDescent="0.25">
      <c r="A1512" s="1" t="str">
        <f t="shared" si="60"/>
        <v>12060</v>
      </c>
      <c r="B1512" s="1" t="str">
        <f>"30005"</f>
        <v>30005</v>
      </c>
      <c r="C1512" s="2">
        <v>5.21831230063881E-3</v>
      </c>
      <c r="D1512" s="2">
        <v>8.1634662035311705E-3</v>
      </c>
      <c r="E1512" s="2">
        <v>5.60496225992078E-3</v>
      </c>
      <c r="F1512" s="2">
        <v>5.5037756231331699E-3</v>
      </c>
    </row>
    <row r="1513" spans="1:6" x14ac:dyDescent="0.25">
      <c r="A1513" s="1" t="str">
        <f t="shared" ref="A1513:A1576" si="61">"12060"</f>
        <v>12060</v>
      </c>
      <c r="B1513" s="1" t="str">
        <f>"30036"</f>
        <v>30036</v>
      </c>
      <c r="C1513" s="2">
        <v>5.4341057642286195E-4</v>
      </c>
      <c r="D1513" s="2">
        <v>1.95121608223936E-3</v>
      </c>
      <c r="E1513" s="2">
        <v>1.4946566026455399E-5</v>
      </c>
      <c r="F1513" s="2">
        <v>6.6408920281528798E-4</v>
      </c>
    </row>
    <row r="1514" spans="1:6" x14ac:dyDescent="0.25">
      <c r="A1514" s="1" t="str">
        <f t="shared" si="61"/>
        <v>12060</v>
      </c>
      <c r="B1514" s="1" t="str">
        <f>"30025"</f>
        <v>30025</v>
      </c>
      <c r="C1514" s="2">
        <v>1.6380855641652699E-3</v>
      </c>
      <c r="D1514" s="2">
        <v>6.9962522588402302E-4</v>
      </c>
      <c r="E1514" s="2">
        <v>1.46476347059263E-3</v>
      </c>
      <c r="F1514" s="2">
        <v>1.5460155308945199E-3</v>
      </c>
    </row>
    <row r="1515" spans="1:6" x14ac:dyDescent="0.25">
      <c r="A1515" s="1" t="str">
        <f t="shared" si="61"/>
        <v>12060</v>
      </c>
      <c r="B1515" s="1" t="str">
        <f>"30023"</f>
        <v>30023</v>
      </c>
      <c r="C1515" s="2">
        <v>5.3032085159505698E-4</v>
      </c>
      <c r="D1515" s="2">
        <v>2.6508413081233798E-3</v>
      </c>
      <c r="E1515" s="2">
        <v>1.4946566026455399E-5</v>
      </c>
      <c r="F1515" s="2">
        <v>7.1830056631041399E-4</v>
      </c>
    </row>
    <row r="1516" spans="1:6" x14ac:dyDescent="0.25">
      <c r="A1516" s="1" t="str">
        <f t="shared" si="61"/>
        <v>12060</v>
      </c>
      <c r="B1516" s="1" t="str">
        <f>"30088"</f>
        <v>30088</v>
      </c>
      <c r="C1516" s="2">
        <v>4.0260253648947697E-3</v>
      </c>
      <c r="D1516" s="2">
        <v>8.0158066081184598E-4</v>
      </c>
      <c r="E1516" s="2">
        <v>9.1174052761378E-4</v>
      </c>
      <c r="F1516" s="2">
        <v>3.6539781224092498E-3</v>
      </c>
    </row>
    <row r="1517" spans="1:6" x14ac:dyDescent="0.25">
      <c r="A1517" s="1" t="str">
        <f t="shared" si="61"/>
        <v>12060</v>
      </c>
      <c r="B1517" s="1" t="str">
        <f>"30132"</f>
        <v>30132</v>
      </c>
      <c r="C1517" s="2">
        <v>7.2195442307411801E-3</v>
      </c>
      <c r="D1517" s="2">
        <v>5.7587242210956303E-3</v>
      </c>
      <c r="E1517" s="2">
        <v>2.7202750168148801E-3</v>
      </c>
      <c r="F1517" s="2">
        <v>6.9826880638477603E-3</v>
      </c>
    </row>
    <row r="1518" spans="1:6" x14ac:dyDescent="0.25">
      <c r="A1518" s="1" t="str">
        <f t="shared" si="61"/>
        <v>12060</v>
      </c>
      <c r="B1518" s="1" t="str">
        <f>"30115"</f>
        <v>30115</v>
      </c>
      <c r="C1518" s="2">
        <v>7.2311379870172304E-3</v>
      </c>
      <c r="D1518" s="2">
        <v>3.74070975045528E-3</v>
      </c>
      <c r="E1518" s="2">
        <v>2.2868246020476702E-3</v>
      </c>
      <c r="F1518" s="2">
        <v>6.7936094058037803E-3</v>
      </c>
    </row>
    <row r="1519" spans="1:6" x14ac:dyDescent="0.25">
      <c r="A1519" s="1" t="str">
        <f t="shared" si="61"/>
        <v>12060</v>
      </c>
      <c r="B1519" s="1" t="str">
        <f>"30117"</f>
        <v>30117</v>
      </c>
      <c r="C1519" s="2">
        <v>6.2505306013456901E-3</v>
      </c>
      <c r="D1519" s="2">
        <v>7.7732229870833003E-3</v>
      </c>
      <c r="E1519" s="2">
        <v>8.7287945594499601E-3</v>
      </c>
      <c r="F1519" s="2">
        <v>6.4485077991640804E-3</v>
      </c>
    </row>
    <row r="1520" spans="1:6" x14ac:dyDescent="0.25">
      <c r="A1520" s="1" t="str">
        <f t="shared" si="61"/>
        <v>12060</v>
      </c>
      <c r="B1520" s="1" t="str">
        <f>"30113"</f>
        <v>30113</v>
      </c>
      <c r="C1520" s="2">
        <v>9.11044848015205E-4</v>
      </c>
      <c r="D1520" s="2">
        <v>4.14853149016657E-4</v>
      </c>
      <c r="E1520" s="2">
        <v>4.9323667887302798E-4</v>
      </c>
      <c r="F1520" s="2">
        <v>8.5515120342615804E-4</v>
      </c>
    </row>
    <row r="1521" spans="1:6" x14ac:dyDescent="0.25">
      <c r="A1521" s="1" t="str">
        <f t="shared" si="61"/>
        <v>12060</v>
      </c>
      <c r="B1521" s="1" t="str">
        <f>"30204"</f>
        <v>30204</v>
      </c>
      <c r="C1521" s="2">
        <v>2.0094597571369802E-3</v>
      </c>
      <c r="D1521" s="2">
        <v>1.9547317868920402E-3</v>
      </c>
      <c r="E1521" s="2">
        <v>1.49465660264554E-3</v>
      </c>
      <c r="F1521" s="2">
        <v>1.9929287226348302E-3</v>
      </c>
    </row>
    <row r="1522" spans="1:6" x14ac:dyDescent="0.25">
      <c r="A1522" s="1" t="str">
        <f t="shared" si="61"/>
        <v>12060</v>
      </c>
      <c r="B1522" s="1" t="str">
        <f>"30170"</f>
        <v>30170</v>
      </c>
      <c r="C1522" s="2">
        <v>5.4079263145730095E-4</v>
      </c>
      <c r="D1522" s="2">
        <v>2.3555221172979701E-4</v>
      </c>
      <c r="E1522" s="2">
        <v>1.04625962185187E-4</v>
      </c>
      <c r="F1522" s="2">
        <v>5.0244678361335902E-4</v>
      </c>
    </row>
    <row r="1523" spans="1:6" x14ac:dyDescent="0.25">
      <c r="A1523" s="1" t="str">
        <f t="shared" si="61"/>
        <v>12060</v>
      </c>
      <c r="B1523" s="1" t="str">
        <f>"30240"</f>
        <v>30240</v>
      </c>
      <c r="C1523" s="2">
        <v>3.73992137937276E-7</v>
      </c>
      <c r="D1523" s="2">
        <v>0</v>
      </c>
      <c r="E1523" s="2">
        <v>0</v>
      </c>
      <c r="F1523" s="2">
        <v>3.3055709448247299E-7</v>
      </c>
    </row>
    <row r="1524" spans="1:6" x14ac:dyDescent="0.25">
      <c r="A1524" s="1" t="str">
        <f t="shared" si="61"/>
        <v>12060</v>
      </c>
      <c r="B1524" s="1" t="str">
        <f>"30369"</f>
        <v>30369</v>
      </c>
      <c r="C1524" s="2">
        <v>0</v>
      </c>
      <c r="D1524" s="2">
        <v>0</v>
      </c>
      <c r="E1524" s="2">
        <v>1.4946566026455399E-5</v>
      </c>
      <c r="F1524" s="2">
        <v>3.3055709448247299E-7</v>
      </c>
    </row>
    <row r="1525" spans="1:6" x14ac:dyDescent="0.25">
      <c r="A1525" s="1" t="str">
        <f t="shared" si="61"/>
        <v>12060</v>
      </c>
      <c r="B1525" s="1" t="str">
        <f>"30241"</f>
        <v>30241</v>
      </c>
      <c r="C1525" s="2">
        <v>1.12197641381182E-6</v>
      </c>
      <c r="D1525" s="2">
        <v>0</v>
      </c>
      <c r="E1525" s="2">
        <v>0</v>
      </c>
      <c r="F1525" s="2">
        <v>9.9167128344741898E-7</v>
      </c>
    </row>
    <row r="1526" spans="1:6" x14ac:dyDescent="0.25">
      <c r="A1526" s="1" t="str">
        <f t="shared" si="61"/>
        <v>12060</v>
      </c>
      <c r="B1526" s="1" t="str">
        <f>"30099"</f>
        <v>30099</v>
      </c>
      <c r="C1526" s="2">
        <v>0</v>
      </c>
      <c r="D1526" s="2">
        <v>3.5157046526835302E-6</v>
      </c>
      <c r="E1526" s="2">
        <v>0</v>
      </c>
      <c r="F1526" s="2">
        <v>3.3055709448247299E-7</v>
      </c>
    </row>
    <row r="1527" spans="1:6" x14ac:dyDescent="0.25">
      <c r="A1527" s="1" t="str">
        <f t="shared" si="61"/>
        <v>12060</v>
      </c>
      <c r="B1527" s="1" t="str">
        <f>"30151"</f>
        <v>30151</v>
      </c>
      <c r="C1527" s="2">
        <v>0</v>
      </c>
      <c r="D1527" s="2">
        <v>0</v>
      </c>
      <c r="E1527" s="2">
        <v>1.4946566026455399E-5</v>
      </c>
      <c r="F1527" s="2">
        <v>3.3055709448247299E-7</v>
      </c>
    </row>
    <row r="1528" spans="1:6" x14ac:dyDescent="0.25">
      <c r="A1528" s="1" t="str">
        <f t="shared" si="61"/>
        <v>12060</v>
      </c>
      <c r="B1528" s="1" t="str">
        <f>"30385"</f>
        <v>30385</v>
      </c>
      <c r="C1528" s="2">
        <v>0</v>
      </c>
      <c r="D1528" s="2">
        <v>0</v>
      </c>
      <c r="E1528" s="2">
        <v>1.4946566026455399E-5</v>
      </c>
      <c r="F1528" s="2">
        <v>3.3055709448247299E-7</v>
      </c>
    </row>
    <row r="1529" spans="1:6" x14ac:dyDescent="0.25">
      <c r="A1529" s="1" t="str">
        <f t="shared" si="61"/>
        <v>12060</v>
      </c>
      <c r="B1529" s="1" t="str">
        <f>"30536"</f>
        <v>30536</v>
      </c>
      <c r="C1529" s="2">
        <v>1.8325614758926499E-5</v>
      </c>
      <c r="D1529" s="2">
        <v>7.0314093053670697E-6</v>
      </c>
      <c r="E1529" s="2">
        <v>0</v>
      </c>
      <c r="F1529" s="2">
        <v>1.6858411818606099E-5</v>
      </c>
    </row>
    <row r="1530" spans="1:6" x14ac:dyDescent="0.25">
      <c r="A1530" s="1" t="str">
        <f t="shared" si="61"/>
        <v>12060</v>
      </c>
      <c r="B1530" s="1" t="str">
        <f>"31029"</f>
        <v>31029</v>
      </c>
      <c r="C1530" s="2">
        <v>3.73992137937276E-7</v>
      </c>
      <c r="D1530" s="2">
        <v>3.5157046526835302E-6</v>
      </c>
      <c r="E1530" s="2">
        <v>0</v>
      </c>
      <c r="F1530" s="2">
        <v>6.6111418896494599E-7</v>
      </c>
    </row>
    <row r="1531" spans="1:6" x14ac:dyDescent="0.25">
      <c r="A1531" s="1" t="str">
        <f t="shared" si="61"/>
        <v>12060</v>
      </c>
      <c r="B1531" s="1" t="str">
        <f>"30266"</f>
        <v>30266</v>
      </c>
      <c r="C1531" s="2">
        <v>2.65908410073403E-4</v>
      </c>
      <c r="D1531" s="2">
        <v>1.4414389076002499E-4</v>
      </c>
      <c r="E1531" s="2">
        <v>2.9893132052910798E-5</v>
      </c>
      <c r="F1531" s="2">
        <v>2.4924004923978398E-4</v>
      </c>
    </row>
    <row r="1532" spans="1:6" x14ac:dyDescent="0.25">
      <c r="A1532" s="1" t="str">
        <f t="shared" si="61"/>
        <v>12060</v>
      </c>
      <c r="B1532" s="1" t="str">
        <f>"30377"</f>
        <v>30377</v>
      </c>
      <c r="C1532" s="2">
        <v>4.2223712373118399E-4</v>
      </c>
      <c r="D1532" s="2">
        <v>9.9846012136212397E-4</v>
      </c>
      <c r="E1532" s="2">
        <v>1.4946566026455399E-5</v>
      </c>
      <c r="F1532" s="2">
        <v>4.6740773159821699E-4</v>
      </c>
    </row>
    <row r="1533" spans="1:6" x14ac:dyDescent="0.25">
      <c r="A1533" s="1" t="str">
        <f t="shared" si="61"/>
        <v>12060</v>
      </c>
      <c r="B1533" s="1" t="str">
        <f>"30086"</f>
        <v>30086</v>
      </c>
      <c r="C1533" s="2">
        <v>5.5313437200923098E-4</v>
      </c>
      <c r="D1533" s="2">
        <v>1.3254206540616899E-3</v>
      </c>
      <c r="E1533" s="2">
        <v>1.4946566026455399E-5</v>
      </c>
      <c r="F1533" s="2">
        <v>6.1384452445395195E-4</v>
      </c>
    </row>
    <row r="1534" spans="1:6" x14ac:dyDescent="0.25">
      <c r="A1534" s="1" t="str">
        <f t="shared" si="61"/>
        <v>12060</v>
      </c>
      <c r="B1534" s="1" t="str">
        <f>"30061"</f>
        <v>30061</v>
      </c>
      <c r="C1534" s="2">
        <v>6.8851952594252495E-4</v>
      </c>
      <c r="D1534" s="2">
        <v>2.53482305458483E-3</v>
      </c>
      <c r="E1534" s="2">
        <v>1.4946566026455399E-5</v>
      </c>
      <c r="F1534" s="2">
        <v>8.4721783315857798E-4</v>
      </c>
    </row>
    <row r="1535" spans="1:6" x14ac:dyDescent="0.25">
      <c r="A1535" s="1" t="str">
        <f t="shared" si="61"/>
        <v>12060</v>
      </c>
      <c r="B1535" s="1" t="str">
        <f>"31085"</f>
        <v>31085</v>
      </c>
      <c r="C1535" s="2">
        <v>1.5520673724396899E-4</v>
      </c>
      <c r="D1535" s="2">
        <v>6.3282683748303603E-5</v>
      </c>
      <c r="E1535" s="2">
        <v>0</v>
      </c>
      <c r="F1535" s="2">
        <v>1.4313122191091001E-4</v>
      </c>
    </row>
    <row r="1536" spans="1:6" x14ac:dyDescent="0.25">
      <c r="A1536" s="1" t="str">
        <f t="shared" si="61"/>
        <v>12060</v>
      </c>
      <c r="B1536" s="1" t="str">
        <f>"30011"</f>
        <v>30011</v>
      </c>
      <c r="C1536" s="2">
        <v>2.8374783505301102E-3</v>
      </c>
      <c r="D1536" s="2">
        <v>1.3605777005885201E-3</v>
      </c>
      <c r="E1536" s="2">
        <v>2.3466108661534999E-3</v>
      </c>
      <c r="F1536" s="2">
        <v>2.6877597352369799E-3</v>
      </c>
    </row>
    <row r="1537" spans="1:6" x14ac:dyDescent="0.25">
      <c r="A1537" s="1" t="str">
        <f t="shared" si="61"/>
        <v>12060</v>
      </c>
      <c r="B1537" s="1" t="str">
        <f>"30015"</f>
        <v>30015</v>
      </c>
      <c r="C1537" s="2">
        <v>5.1872709531900201E-4</v>
      </c>
      <c r="D1537" s="2">
        <v>1.76136803099445E-3</v>
      </c>
      <c r="E1537" s="2">
        <v>1.4946566026455399E-5</v>
      </c>
      <c r="F1537" s="2">
        <v>6.2442235147739105E-4</v>
      </c>
    </row>
    <row r="1538" spans="1:6" x14ac:dyDescent="0.25">
      <c r="A1538" s="1" t="str">
        <f t="shared" si="61"/>
        <v>12060</v>
      </c>
      <c r="B1538" s="1" t="str">
        <f>"30035"</f>
        <v>30035</v>
      </c>
      <c r="C1538" s="2">
        <v>3.4624192130233E-3</v>
      </c>
      <c r="D1538" s="2">
        <v>3.8391494807304199E-3</v>
      </c>
      <c r="E1538" s="2">
        <v>3.78148120469322E-3</v>
      </c>
      <c r="F1538" s="2">
        <v>3.5048968727976601E-3</v>
      </c>
    </row>
    <row r="1539" spans="1:6" x14ac:dyDescent="0.25">
      <c r="A1539" s="1" t="str">
        <f t="shared" si="61"/>
        <v>12060</v>
      </c>
      <c r="B1539" s="1" t="str">
        <f>"30034"</f>
        <v>30034</v>
      </c>
      <c r="C1539" s="2">
        <v>7.1686812999817101E-3</v>
      </c>
      <c r="D1539" s="2">
        <v>3.8743065272572501E-3</v>
      </c>
      <c r="E1539" s="2">
        <v>9.29676406845527E-3</v>
      </c>
      <c r="F1539" s="2">
        <v>6.9059988179278296E-3</v>
      </c>
    </row>
    <row r="1540" spans="1:6" x14ac:dyDescent="0.25">
      <c r="A1540" s="1" t="str">
        <f t="shared" si="61"/>
        <v>12060</v>
      </c>
      <c r="B1540" s="1" t="str">
        <f>"30041"</f>
        <v>30041</v>
      </c>
      <c r="C1540" s="2">
        <v>1.00532826598919E-2</v>
      </c>
      <c r="D1540" s="2">
        <v>7.0384407146724401E-3</v>
      </c>
      <c r="E1540" s="2">
        <v>4.8576339585980101E-3</v>
      </c>
      <c r="F1540" s="2">
        <v>9.6549116156440708E-3</v>
      </c>
    </row>
    <row r="1541" spans="1:6" x14ac:dyDescent="0.25">
      <c r="A1541" s="1" t="str">
        <f t="shared" si="61"/>
        <v>12060</v>
      </c>
      <c r="B1541" s="1" t="str">
        <f>"30110"</f>
        <v>30110</v>
      </c>
      <c r="C1541" s="2">
        <v>2.4234690538335502E-3</v>
      </c>
      <c r="D1541" s="2">
        <v>2.1059070869574302E-3</v>
      </c>
      <c r="E1541" s="2">
        <v>1.92810701741274E-3</v>
      </c>
      <c r="F1541" s="2">
        <v>2.3826555370296599E-3</v>
      </c>
    </row>
    <row r="1542" spans="1:6" x14ac:dyDescent="0.25">
      <c r="A1542" s="1" t="str">
        <f t="shared" si="61"/>
        <v>12060</v>
      </c>
      <c r="B1542" s="1" t="str">
        <f>"30126"</f>
        <v>30126</v>
      </c>
      <c r="C1542" s="2">
        <v>6.78272141363044E-3</v>
      </c>
      <c r="D1542" s="2">
        <v>6.1138103910166703E-3</v>
      </c>
      <c r="E1542" s="2">
        <v>3.1238322995291801E-3</v>
      </c>
      <c r="F1542" s="2">
        <v>6.6389086855859897E-3</v>
      </c>
    </row>
    <row r="1543" spans="1:6" x14ac:dyDescent="0.25">
      <c r="A1543" s="1" t="str">
        <f t="shared" si="61"/>
        <v>12060</v>
      </c>
      <c r="B1543" s="1" t="str">
        <f>"30215"</f>
        <v>30215</v>
      </c>
      <c r="C1543" s="2">
        <v>5.0803092017399597E-3</v>
      </c>
      <c r="D1543" s="2">
        <v>9.63303074835289E-4</v>
      </c>
      <c r="E1543" s="2">
        <v>2.4811299603915999E-3</v>
      </c>
      <c r="F1543" s="2">
        <v>4.6357326930221996E-3</v>
      </c>
    </row>
    <row r="1544" spans="1:6" x14ac:dyDescent="0.25">
      <c r="A1544" s="1" t="str">
        <f t="shared" si="61"/>
        <v>12060</v>
      </c>
      <c r="B1544" s="1" t="str">
        <f>"30180"</f>
        <v>30180</v>
      </c>
      <c r="C1544" s="2">
        <v>6.5979692974894198E-3</v>
      </c>
      <c r="D1544" s="2">
        <v>4.8938608765354804E-3</v>
      </c>
      <c r="E1544" s="2">
        <v>2.7651147148942501E-3</v>
      </c>
      <c r="F1544" s="2">
        <v>6.35297679885865E-3</v>
      </c>
    </row>
    <row r="1545" spans="1:6" x14ac:dyDescent="0.25">
      <c r="A1545" s="1" t="str">
        <f t="shared" si="61"/>
        <v>12060</v>
      </c>
      <c r="B1545" s="1" t="str">
        <f>"30179"</f>
        <v>30179</v>
      </c>
      <c r="C1545" s="2">
        <v>2.8068109952192502E-3</v>
      </c>
      <c r="D1545" s="2">
        <v>8.7189475386551701E-4</v>
      </c>
      <c r="E1545" s="2">
        <v>3.7366415066138501E-4</v>
      </c>
      <c r="F1545" s="2">
        <v>2.5710730808846702E-3</v>
      </c>
    </row>
    <row r="1546" spans="1:6" x14ac:dyDescent="0.25">
      <c r="A1546" s="1" t="str">
        <f t="shared" si="61"/>
        <v>12060</v>
      </c>
      <c r="B1546" s="1" t="str">
        <f>"30156"</f>
        <v>30156</v>
      </c>
      <c r="C1546" s="2">
        <v>4.7683997587002699E-4</v>
      </c>
      <c r="D1546" s="2">
        <v>1.9793417194608298E-3</v>
      </c>
      <c r="E1546" s="2">
        <v>1.4946566026455399E-5</v>
      </c>
      <c r="F1546" s="2">
        <v>6.0789449675326796E-4</v>
      </c>
    </row>
    <row r="1547" spans="1:6" x14ac:dyDescent="0.25">
      <c r="A1547" s="1" t="str">
        <f t="shared" si="61"/>
        <v>12060</v>
      </c>
      <c r="B1547" s="1" t="str">
        <f>"30292"</f>
        <v>30292</v>
      </c>
      <c r="C1547" s="2">
        <v>1.1077647125702101E-3</v>
      </c>
      <c r="D1547" s="2">
        <v>4.1836885366933999E-4</v>
      </c>
      <c r="E1547" s="2">
        <v>1.9430535834392E-4</v>
      </c>
      <c r="F1547" s="2">
        <v>1.02274365032877E-3</v>
      </c>
    </row>
    <row r="1548" spans="1:6" x14ac:dyDescent="0.25">
      <c r="A1548" s="1" t="str">
        <f t="shared" si="61"/>
        <v>12060</v>
      </c>
      <c r="B1548" s="1" t="str">
        <f>"30274"</f>
        <v>30274</v>
      </c>
      <c r="C1548" s="2">
        <v>5.78341442106204E-3</v>
      </c>
      <c r="D1548" s="2">
        <v>5.6497373768624399E-3</v>
      </c>
      <c r="E1548" s="2">
        <v>5.5900156938943199E-3</v>
      </c>
      <c r="F1548" s="2">
        <v>5.7665685132467399E-3</v>
      </c>
    </row>
    <row r="1549" spans="1:6" x14ac:dyDescent="0.25">
      <c r="A1549" s="1" t="str">
        <f t="shared" si="61"/>
        <v>12060</v>
      </c>
      <c r="B1549" s="1" t="str">
        <f>"30228"</f>
        <v>30228</v>
      </c>
      <c r="C1549" s="2">
        <v>7.7764185241297797E-3</v>
      </c>
      <c r="D1549" s="2">
        <v>2.9356133849907499E-3</v>
      </c>
      <c r="E1549" s="2">
        <v>1.1658321500635201E-3</v>
      </c>
      <c r="F1549" s="2">
        <v>7.1750722928365599E-3</v>
      </c>
    </row>
    <row r="1550" spans="1:6" x14ac:dyDescent="0.25">
      <c r="A1550" s="1" t="str">
        <f t="shared" si="61"/>
        <v>12060</v>
      </c>
      <c r="B1550" s="1" t="str">
        <f>"30233"</f>
        <v>30233</v>
      </c>
      <c r="C1550" s="2">
        <v>3.50767226171371E-3</v>
      </c>
      <c r="D1550" s="2">
        <v>2.3695849359087E-3</v>
      </c>
      <c r="E1550" s="2">
        <v>2.3466108661534999E-3</v>
      </c>
      <c r="F1550" s="2">
        <v>3.3749879346660502E-3</v>
      </c>
    </row>
    <row r="1551" spans="1:6" x14ac:dyDescent="0.25">
      <c r="A1551" s="1" t="str">
        <f t="shared" si="61"/>
        <v>12060</v>
      </c>
      <c r="B1551" s="1" t="str">
        <f>"30340"</f>
        <v>30340</v>
      </c>
      <c r="C1551" s="2">
        <v>4.6562021173190797E-3</v>
      </c>
      <c r="D1551" s="2">
        <v>9.5978737018260502E-3</v>
      </c>
      <c r="E1551" s="2">
        <v>1.47971003661908E-2</v>
      </c>
      <c r="F1551" s="2">
        <v>5.34510821778159E-3</v>
      </c>
    </row>
    <row r="1552" spans="1:6" x14ac:dyDescent="0.25">
      <c r="A1552" s="1" t="str">
        <f t="shared" si="61"/>
        <v>12060</v>
      </c>
      <c r="B1552" s="1" t="str">
        <f>"30316"</f>
        <v>30316</v>
      </c>
      <c r="C1552" s="2">
        <v>7.0344181224622198E-3</v>
      </c>
      <c r="D1552" s="2">
        <v>4.6020573903627496E-3</v>
      </c>
      <c r="E1552" s="2">
        <v>1.06120618787833E-2</v>
      </c>
      <c r="F1552" s="2">
        <v>6.8848431638809503E-3</v>
      </c>
    </row>
    <row r="1553" spans="1:6" x14ac:dyDescent="0.25">
      <c r="A1553" s="1" t="str">
        <f t="shared" si="61"/>
        <v>12060</v>
      </c>
      <c r="B1553" s="1" t="str">
        <f>"30098"</f>
        <v>30098</v>
      </c>
      <c r="C1553" s="2">
        <v>0</v>
      </c>
      <c r="D1553" s="2">
        <v>3.5157046526835302E-6</v>
      </c>
      <c r="E1553" s="2">
        <v>0</v>
      </c>
      <c r="F1553" s="2">
        <v>3.3055709448247299E-7</v>
      </c>
    </row>
    <row r="1554" spans="1:6" x14ac:dyDescent="0.25">
      <c r="A1554" s="1" t="str">
        <f t="shared" si="61"/>
        <v>12060</v>
      </c>
      <c r="B1554" s="1" t="str">
        <f>"31107"</f>
        <v>31107</v>
      </c>
      <c r="C1554" s="2">
        <v>1.4623092593347501E-4</v>
      </c>
      <c r="D1554" s="2">
        <v>6.9259381657865596E-4</v>
      </c>
      <c r="E1554" s="2">
        <v>1.4946566026455399E-5</v>
      </c>
      <c r="F1554" s="2">
        <v>1.94698128650176E-4</v>
      </c>
    </row>
    <row r="1555" spans="1:6" x14ac:dyDescent="0.25">
      <c r="A1555" s="1" t="str">
        <f t="shared" si="61"/>
        <v>12060</v>
      </c>
      <c r="B1555" s="1" t="str">
        <f>"30264"</f>
        <v>30264</v>
      </c>
      <c r="C1555" s="2">
        <v>4.0278953255844599E-4</v>
      </c>
      <c r="D1555" s="2">
        <v>1.4976901820431801E-3</v>
      </c>
      <c r="E1555" s="2">
        <v>1.4946566026455399E-5</v>
      </c>
      <c r="F1555" s="2">
        <v>4.9715787010163898E-4</v>
      </c>
    </row>
    <row r="1556" spans="1:6" x14ac:dyDescent="0.25">
      <c r="A1556" s="1" t="str">
        <f t="shared" si="61"/>
        <v>12060</v>
      </c>
      <c r="B1556" s="1" t="str">
        <f>"30081"</f>
        <v>30081</v>
      </c>
      <c r="C1556" s="2">
        <v>7.3489455104674701E-4</v>
      </c>
      <c r="D1556" s="2">
        <v>1.7508209170364001E-3</v>
      </c>
      <c r="E1556" s="2">
        <v>2.9893132052910798E-5</v>
      </c>
      <c r="F1556" s="2">
        <v>8.1482323789929597E-4</v>
      </c>
    </row>
    <row r="1557" spans="1:6" x14ac:dyDescent="0.25">
      <c r="A1557" s="1" t="str">
        <f t="shared" si="61"/>
        <v>12060</v>
      </c>
      <c r="B1557" s="1" t="str">
        <f>"30171"</f>
        <v>30171</v>
      </c>
      <c r="C1557" s="2">
        <v>5.4191460787111304E-4</v>
      </c>
      <c r="D1557" s="2">
        <v>9.8439730275138996E-5</v>
      </c>
      <c r="E1557" s="2">
        <v>7.4732830132277103E-5</v>
      </c>
      <c r="F1557" s="2">
        <v>4.8988561402302504E-4</v>
      </c>
    </row>
    <row r="1558" spans="1:6" x14ac:dyDescent="0.25">
      <c r="A1558" s="1" t="str">
        <f t="shared" si="61"/>
        <v>12060</v>
      </c>
      <c r="B1558" s="1" t="str">
        <f>"30284"</f>
        <v>30284</v>
      </c>
      <c r="C1558" s="2">
        <v>2.3972896041779399E-4</v>
      </c>
      <c r="D1558" s="2">
        <v>2.3555221172979701E-4</v>
      </c>
      <c r="E1558" s="2">
        <v>2.9893132052910798E-5</v>
      </c>
      <c r="F1558" s="2">
        <v>2.3469553708255501E-4</v>
      </c>
    </row>
    <row r="1559" spans="1:6" x14ac:dyDescent="0.25">
      <c r="A1559" s="1" t="str">
        <f t="shared" si="61"/>
        <v>12060</v>
      </c>
      <c r="B1559" s="1" t="str">
        <f>"30343"</f>
        <v>30343</v>
      </c>
      <c r="C1559" s="2">
        <v>2.8311204841851802E-4</v>
      </c>
      <c r="D1559" s="2">
        <v>6.3985824678840296E-4</v>
      </c>
      <c r="E1559" s="2">
        <v>1.4946566026455399E-5</v>
      </c>
      <c r="F1559" s="2">
        <v>3.1072366881352399E-4</v>
      </c>
    </row>
    <row r="1560" spans="1:6" x14ac:dyDescent="0.25">
      <c r="A1560" s="1" t="str">
        <f t="shared" si="61"/>
        <v>12060</v>
      </c>
      <c r="B1560" s="1" t="str">
        <f>"30325"</f>
        <v>30325</v>
      </c>
      <c r="C1560" s="2">
        <v>2.6142050441815601E-4</v>
      </c>
      <c r="D1560" s="2">
        <v>1.68402252863541E-3</v>
      </c>
      <c r="E1560" s="2">
        <v>1.4946566026455399E-5</v>
      </c>
      <c r="F1560" s="2">
        <v>3.89726814394835E-4</v>
      </c>
    </row>
    <row r="1561" spans="1:6" x14ac:dyDescent="0.25">
      <c r="A1561" s="1" t="str">
        <f t="shared" si="61"/>
        <v>12060</v>
      </c>
      <c r="B1561" s="1" t="str">
        <f>"30359"</f>
        <v>30359</v>
      </c>
      <c r="C1561" s="2">
        <v>4.2971696648992999E-4</v>
      </c>
      <c r="D1561" s="2">
        <v>9.3869314226650402E-4</v>
      </c>
      <c r="E1561" s="2">
        <v>1.4946566026455399E-5</v>
      </c>
      <c r="F1561" s="2">
        <v>4.68399402881664E-4</v>
      </c>
    </row>
    <row r="1562" spans="1:6" x14ac:dyDescent="0.25">
      <c r="A1562" s="1" t="str">
        <f t="shared" si="61"/>
        <v>12060</v>
      </c>
      <c r="B1562" s="1" t="str">
        <f>"31145"</f>
        <v>31145</v>
      </c>
      <c r="C1562" s="2">
        <v>2.9769774179807097E-4</v>
      </c>
      <c r="D1562" s="2">
        <v>7.5587650032696004E-4</v>
      </c>
      <c r="E1562" s="2">
        <v>1.4946566026455399E-5</v>
      </c>
      <c r="F1562" s="2">
        <v>3.3452377961626199E-4</v>
      </c>
    </row>
    <row r="1563" spans="1:6" x14ac:dyDescent="0.25">
      <c r="A1563" s="1" t="str">
        <f t="shared" si="61"/>
        <v>12060</v>
      </c>
      <c r="B1563" s="1" t="str">
        <f>"30289"</f>
        <v>30289</v>
      </c>
      <c r="C1563" s="2">
        <v>0</v>
      </c>
      <c r="D1563" s="2">
        <v>0</v>
      </c>
      <c r="E1563" s="2">
        <v>1.4946566026455399E-5</v>
      </c>
      <c r="F1563" s="2">
        <v>3.3055709448247299E-7</v>
      </c>
    </row>
    <row r="1564" spans="1:6" x14ac:dyDescent="0.25">
      <c r="A1564" s="1" t="str">
        <f t="shared" si="61"/>
        <v>12060</v>
      </c>
      <c r="B1564" s="1" t="str">
        <f>"30019"</f>
        <v>30019</v>
      </c>
      <c r="C1564" s="2">
        <v>6.5908634468686096E-3</v>
      </c>
      <c r="D1564" s="2">
        <v>4.30322249488464E-3</v>
      </c>
      <c r="E1564" s="2">
        <v>2.3615574321799501E-3</v>
      </c>
      <c r="F1564" s="2">
        <v>6.2822375806393998E-3</v>
      </c>
    </row>
    <row r="1565" spans="1:6" x14ac:dyDescent="0.25">
      <c r="A1565" s="1" t="str">
        <f t="shared" si="61"/>
        <v>12060</v>
      </c>
      <c r="B1565" s="1" t="str">
        <f>"30013"</f>
        <v>30013</v>
      </c>
      <c r="C1565" s="2">
        <v>4.7597979395277096E-3</v>
      </c>
      <c r="D1565" s="2">
        <v>8.7716831084454199E-3</v>
      </c>
      <c r="E1565" s="2">
        <v>5.9636798445557096E-3</v>
      </c>
      <c r="F1565" s="2">
        <v>5.1636323729107097E-3</v>
      </c>
    </row>
    <row r="1566" spans="1:6" x14ac:dyDescent="0.25">
      <c r="A1566" s="1" t="str">
        <f t="shared" si="61"/>
        <v>12060</v>
      </c>
      <c r="B1566" s="1" t="str">
        <f>"30004"</f>
        <v>30004</v>
      </c>
      <c r="C1566" s="2">
        <v>9.6340374732642297E-3</v>
      </c>
      <c r="D1566" s="2">
        <v>8.2513588198482608E-3</v>
      </c>
      <c r="E1566" s="2">
        <v>6.6362753157461997E-3</v>
      </c>
      <c r="F1566" s="2">
        <v>9.4377356045690902E-3</v>
      </c>
    </row>
    <row r="1567" spans="1:6" x14ac:dyDescent="0.25">
      <c r="A1567" s="1" t="str">
        <f t="shared" si="61"/>
        <v>12060</v>
      </c>
      <c r="B1567" s="1" t="str">
        <f>"30002"</f>
        <v>30002</v>
      </c>
      <c r="C1567" s="2">
        <v>1.2622234655383E-3</v>
      </c>
      <c r="D1567" s="2">
        <v>1.21291810517582E-3</v>
      </c>
      <c r="E1567" s="2">
        <v>1.01636648979896E-3</v>
      </c>
      <c r="F1567" s="2">
        <v>1.2521502738996001E-3</v>
      </c>
    </row>
    <row r="1568" spans="1:6" x14ac:dyDescent="0.25">
      <c r="A1568" s="1" t="str">
        <f t="shared" si="61"/>
        <v>12060</v>
      </c>
      <c r="B1568" s="1" t="str">
        <f>"30039"</f>
        <v>30039</v>
      </c>
      <c r="C1568" s="2">
        <v>6.7210127108707904E-3</v>
      </c>
      <c r="D1568" s="2">
        <v>3.7618039783713802E-3</v>
      </c>
      <c r="E1568" s="2">
        <v>1.9430535834392001E-3</v>
      </c>
      <c r="F1568" s="2">
        <v>6.3371100583234901E-3</v>
      </c>
    </row>
    <row r="1569" spans="1:6" x14ac:dyDescent="0.25">
      <c r="A1569" s="1" t="str">
        <f t="shared" si="61"/>
        <v>12060</v>
      </c>
      <c r="B1569" s="1" t="str">
        <f>"30095"</f>
        <v>30095</v>
      </c>
      <c r="C1569" s="2">
        <v>3.9792763476526098E-4</v>
      </c>
      <c r="D1569" s="2">
        <v>1.06877421441579E-3</v>
      </c>
      <c r="E1569" s="2">
        <v>1.4946566026455399E-5</v>
      </c>
      <c r="F1569" s="2">
        <v>4.5253266234650502E-4</v>
      </c>
    </row>
    <row r="1570" spans="1:6" x14ac:dyDescent="0.25">
      <c r="A1570" s="1" t="str">
        <f t="shared" si="61"/>
        <v>12060</v>
      </c>
      <c r="B1570" s="1" t="str">
        <f>"30067"</f>
        <v>30067</v>
      </c>
      <c r="C1570" s="2">
        <v>8.4552142544859401E-3</v>
      </c>
      <c r="D1570" s="2">
        <v>1.13733045514312E-2</v>
      </c>
      <c r="E1570" s="2">
        <v>1.70839249682385E-2</v>
      </c>
      <c r="F1570" s="2">
        <v>8.9204137517040205E-3</v>
      </c>
    </row>
    <row r="1571" spans="1:6" x14ac:dyDescent="0.25">
      <c r="A1571" s="1" t="str">
        <f t="shared" si="61"/>
        <v>12060</v>
      </c>
      <c r="B1571" s="1" t="str">
        <f>"30080"</f>
        <v>30080</v>
      </c>
      <c r="C1571" s="2">
        <v>9.9410850185107404E-3</v>
      </c>
      <c r="D1571" s="2">
        <v>7.8400213754842799E-3</v>
      </c>
      <c r="E1571" s="2">
        <v>1.41693445930797E-2</v>
      </c>
      <c r="F1571" s="2">
        <v>9.8370485747039191E-3</v>
      </c>
    </row>
    <row r="1572" spans="1:6" x14ac:dyDescent="0.25">
      <c r="A1572" s="1" t="str">
        <f t="shared" si="61"/>
        <v>12060</v>
      </c>
      <c r="B1572" s="1" t="str">
        <f>"30064"</f>
        <v>30064</v>
      </c>
      <c r="C1572" s="2">
        <v>7.6391634095068E-3</v>
      </c>
      <c r="D1572" s="2">
        <v>5.0063634254213498E-3</v>
      </c>
      <c r="E1572" s="2">
        <v>5.0070996188625603E-3</v>
      </c>
      <c r="F1572" s="2">
        <v>7.3334091410936601E-3</v>
      </c>
    </row>
    <row r="1573" spans="1:6" x14ac:dyDescent="0.25">
      <c r="A1573" s="1" t="str">
        <f t="shared" si="61"/>
        <v>12060</v>
      </c>
      <c r="B1573" s="1" t="str">
        <f>"30134"</f>
        <v>30134</v>
      </c>
      <c r="C1573" s="2">
        <v>6.8036649733549297E-3</v>
      </c>
      <c r="D1573" s="2">
        <v>6.3071741469142599E-3</v>
      </c>
      <c r="E1573" s="2">
        <v>6.1878783349525396E-3</v>
      </c>
      <c r="F1573" s="2">
        <v>6.74336472744245E-3</v>
      </c>
    </row>
    <row r="1574" spans="1:6" x14ac:dyDescent="0.25">
      <c r="A1574" s="1" t="str">
        <f t="shared" si="61"/>
        <v>12060</v>
      </c>
      <c r="B1574" s="1" t="str">
        <f>"30127"</f>
        <v>30127</v>
      </c>
      <c r="C1574" s="2">
        <v>9.5921503538152608E-3</v>
      </c>
      <c r="D1574" s="2">
        <v>4.7215913485539902E-3</v>
      </c>
      <c r="E1574" s="2">
        <v>1.6590688289365499E-3</v>
      </c>
      <c r="F1574" s="2">
        <v>8.9587583746639794E-3</v>
      </c>
    </row>
    <row r="1575" spans="1:6" x14ac:dyDescent="0.25">
      <c r="A1575" s="1" t="str">
        <f t="shared" si="61"/>
        <v>12060</v>
      </c>
      <c r="B1575" s="1" t="str">
        <f>"30120"</f>
        <v>30120</v>
      </c>
      <c r="C1575" s="2">
        <v>7.51462402757369E-3</v>
      </c>
      <c r="D1575" s="2">
        <v>9.8896771879987896E-3</v>
      </c>
      <c r="E1575" s="2">
        <v>6.9053135042223997E-3</v>
      </c>
      <c r="F1575" s="2">
        <v>7.7244581838664299E-3</v>
      </c>
    </row>
    <row r="1576" spans="1:6" x14ac:dyDescent="0.25">
      <c r="A1576" s="1" t="str">
        <f t="shared" si="61"/>
        <v>12060</v>
      </c>
      <c r="B1576" s="1" t="str">
        <f>"30101"</f>
        <v>30101</v>
      </c>
      <c r="C1576" s="2">
        <v>8.95860767214951E-3</v>
      </c>
      <c r="D1576" s="2">
        <v>6.8204670262060601E-3</v>
      </c>
      <c r="E1576" s="2">
        <v>3.6619086764815702E-3</v>
      </c>
      <c r="F1576" s="2">
        <v>8.6404318926773596E-3</v>
      </c>
    </row>
    <row r="1577" spans="1:6" x14ac:dyDescent="0.25">
      <c r="A1577" s="1" t="str">
        <f t="shared" ref="A1577:A1640" si="62">"12060"</f>
        <v>12060</v>
      </c>
      <c r="B1577" s="1" t="str">
        <f>"30103"</f>
        <v>30103</v>
      </c>
      <c r="C1577" s="2">
        <v>1.9140917619629801E-3</v>
      </c>
      <c r="D1577" s="2">
        <v>1.45901743086366E-3</v>
      </c>
      <c r="E1577" s="2">
        <v>1.13593901801061E-3</v>
      </c>
      <c r="F1577" s="2">
        <v>1.8540947429521899E-3</v>
      </c>
    </row>
    <row r="1578" spans="1:6" x14ac:dyDescent="0.25">
      <c r="A1578" s="1" t="str">
        <f t="shared" si="62"/>
        <v>12060</v>
      </c>
      <c r="B1578" s="1" t="str">
        <f>"30106"</f>
        <v>30106</v>
      </c>
      <c r="C1578" s="2">
        <v>3.5731208858527301E-3</v>
      </c>
      <c r="D1578" s="2">
        <v>3.4278120363664399E-3</v>
      </c>
      <c r="E1578" s="2">
        <v>2.3615574321799501E-3</v>
      </c>
      <c r="F1578" s="2">
        <v>3.5326636687341901E-3</v>
      </c>
    </row>
    <row r="1579" spans="1:6" x14ac:dyDescent="0.25">
      <c r="A1579" s="1" t="str">
        <f t="shared" si="62"/>
        <v>12060</v>
      </c>
      <c r="B1579" s="1" t="str">
        <f>"30218"</f>
        <v>30218</v>
      </c>
      <c r="C1579" s="2">
        <v>3.3808889269529698E-4</v>
      </c>
      <c r="D1579" s="2">
        <v>1.23049662843923E-4</v>
      </c>
      <c r="E1579" s="2">
        <v>8.9679396158732493E-5</v>
      </c>
      <c r="F1579" s="2">
        <v>3.12376454285937E-4</v>
      </c>
    </row>
    <row r="1580" spans="1:6" x14ac:dyDescent="0.25">
      <c r="A1580" s="1" t="str">
        <f t="shared" si="62"/>
        <v>12060</v>
      </c>
      <c r="B1580" s="1" t="str">
        <f>"30182"</f>
        <v>30182</v>
      </c>
      <c r="C1580" s="2">
        <v>4.6674218814572E-4</v>
      </c>
      <c r="D1580" s="2">
        <v>9.4924025622455507E-5</v>
      </c>
      <c r="E1580" s="2">
        <v>1.04625962185187E-4</v>
      </c>
      <c r="F1580" s="2">
        <v>4.2377419512652998E-4</v>
      </c>
    </row>
    <row r="1581" spans="1:6" x14ac:dyDescent="0.25">
      <c r="A1581" s="1" t="str">
        <f t="shared" si="62"/>
        <v>12060</v>
      </c>
      <c r="B1581" s="1" t="str">
        <f>"30183"</f>
        <v>30183</v>
      </c>
      <c r="C1581" s="2">
        <v>1.02586043436194E-3</v>
      </c>
      <c r="D1581" s="2">
        <v>2.21489393119062E-4</v>
      </c>
      <c r="E1581" s="2">
        <v>7.4732830132277103E-5</v>
      </c>
      <c r="F1581" s="2">
        <v>9.2919599259023197E-4</v>
      </c>
    </row>
    <row r="1582" spans="1:6" x14ac:dyDescent="0.25">
      <c r="A1582" s="1" t="str">
        <f t="shared" si="62"/>
        <v>12060</v>
      </c>
      <c r="B1582" s="1" t="str">
        <f>"30185"</f>
        <v>30185</v>
      </c>
      <c r="C1582" s="2">
        <v>6.6084410773516698E-4</v>
      </c>
      <c r="D1582" s="2">
        <v>2.8828778152004998E-4</v>
      </c>
      <c r="E1582" s="2">
        <v>1.19572528211643E-4</v>
      </c>
      <c r="F1582" s="2">
        <v>6.1384452445395195E-4</v>
      </c>
    </row>
    <row r="1583" spans="1:6" x14ac:dyDescent="0.25">
      <c r="A1583" s="1" t="str">
        <f t="shared" si="62"/>
        <v>12060</v>
      </c>
      <c r="B1583" s="1" t="str">
        <f>"30153"</f>
        <v>30153</v>
      </c>
      <c r="C1583" s="2">
        <v>8.6990571284210395E-4</v>
      </c>
      <c r="D1583" s="2">
        <v>9.8439730275138996E-5</v>
      </c>
      <c r="E1583" s="2">
        <v>5.9786264105821597E-5</v>
      </c>
      <c r="F1583" s="2">
        <v>7.7945362878967099E-4</v>
      </c>
    </row>
    <row r="1584" spans="1:6" x14ac:dyDescent="0.25">
      <c r="A1584" s="1" t="str">
        <f t="shared" si="62"/>
        <v>12060</v>
      </c>
      <c r="B1584" s="1" t="str">
        <f>"30303"</f>
        <v>30303</v>
      </c>
      <c r="C1584" s="2">
        <v>5.6285816759560001E-4</v>
      </c>
      <c r="D1584" s="2">
        <v>2.6234188118324502E-2</v>
      </c>
      <c r="E1584" s="2">
        <v>4.4241835438307998E-3</v>
      </c>
      <c r="F1584" s="2">
        <v>3.0619503661911398E-3</v>
      </c>
    </row>
    <row r="1585" spans="1:6" x14ac:dyDescent="0.25">
      <c r="A1585" s="1" t="str">
        <f t="shared" si="62"/>
        <v>12060</v>
      </c>
      <c r="B1585" s="1" t="str">
        <f>"30293"</f>
        <v>30293</v>
      </c>
      <c r="C1585" s="2">
        <v>4.4505064414535799E-4</v>
      </c>
      <c r="D1585" s="2">
        <v>1.9687946055027799E-4</v>
      </c>
      <c r="E1585" s="2">
        <v>7.4732830132277103E-5</v>
      </c>
      <c r="F1585" s="2">
        <v>4.1352692519757301E-4</v>
      </c>
    </row>
    <row r="1586" spans="1:6" x14ac:dyDescent="0.25">
      <c r="A1586" s="1" t="str">
        <f t="shared" si="62"/>
        <v>12060</v>
      </c>
      <c r="B1586" s="1" t="str">
        <f>"30287"</f>
        <v>30287</v>
      </c>
      <c r="C1586" s="2">
        <v>1.74654328416708E-4</v>
      </c>
      <c r="D1586" s="2">
        <v>2.7774066756199901E-4</v>
      </c>
      <c r="E1586" s="2">
        <v>1.4946566026455399E-5</v>
      </c>
      <c r="F1586" s="2">
        <v>1.8081473068191201E-4</v>
      </c>
    </row>
    <row r="1587" spans="1:6" x14ac:dyDescent="0.25">
      <c r="A1587" s="1" t="str">
        <f t="shared" si="62"/>
        <v>12060</v>
      </c>
      <c r="B1587" s="1" t="str">
        <f>"30288"</f>
        <v>30288</v>
      </c>
      <c r="C1587" s="2">
        <v>1.5266359070599601E-3</v>
      </c>
      <c r="D1587" s="2">
        <v>1.84222923800617E-3</v>
      </c>
      <c r="E1587" s="2">
        <v>2.9893132052910798E-4</v>
      </c>
      <c r="F1587" s="2">
        <v>1.5291571190759201E-3</v>
      </c>
    </row>
    <row r="1588" spans="1:6" x14ac:dyDescent="0.25">
      <c r="A1588" s="1" t="str">
        <f t="shared" si="62"/>
        <v>12060</v>
      </c>
      <c r="B1588" s="1" t="str">
        <f>"30248"</f>
        <v>30248</v>
      </c>
      <c r="C1588" s="2">
        <v>4.2047936068287904E-3</v>
      </c>
      <c r="D1588" s="2">
        <v>2.61568426159655E-3</v>
      </c>
      <c r="E1588" s="2">
        <v>7.1743516926985995E-4</v>
      </c>
      <c r="F1588" s="2">
        <v>3.9782546320965596E-3</v>
      </c>
    </row>
    <row r="1589" spans="1:6" x14ac:dyDescent="0.25">
      <c r="A1589" s="1" t="str">
        <f t="shared" si="62"/>
        <v>12060</v>
      </c>
      <c r="B1589" s="1" t="str">
        <f>"30314"</f>
        <v>30314</v>
      </c>
      <c r="C1589" s="2">
        <v>4.1064336745512903E-3</v>
      </c>
      <c r="D1589" s="2">
        <v>2.2781766149389299E-3</v>
      </c>
      <c r="E1589" s="2">
        <v>1.1224871085867999E-2</v>
      </c>
      <c r="F1589" s="2">
        <v>4.0919662725985304E-3</v>
      </c>
    </row>
    <row r="1590" spans="1:6" x14ac:dyDescent="0.25">
      <c r="A1590" s="1" t="str">
        <f t="shared" si="62"/>
        <v>12060</v>
      </c>
      <c r="B1590" s="1" t="str">
        <f>"30315"</f>
        <v>30315</v>
      </c>
      <c r="C1590" s="2">
        <v>6.4393966310040199E-3</v>
      </c>
      <c r="D1590" s="2">
        <v>4.30322249488464E-3</v>
      </c>
      <c r="E1590" s="2">
        <v>1.14939092743442E-2</v>
      </c>
      <c r="F1590" s="2">
        <v>6.3503323421027899E-3</v>
      </c>
    </row>
    <row r="1591" spans="1:6" x14ac:dyDescent="0.25">
      <c r="A1591" s="1" t="str">
        <f t="shared" si="62"/>
        <v>12060</v>
      </c>
      <c r="B1591" s="1" t="str">
        <f>"30336"</f>
        <v>30336</v>
      </c>
      <c r="C1591" s="2">
        <v>5.6472812828528703E-4</v>
      </c>
      <c r="D1591" s="2">
        <v>6.5673362912128403E-3</v>
      </c>
      <c r="E1591" s="2">
        <v>3.2284582617143698E-3</v>
      </c>
      <c r="F1591" s="2">
        <v>1.18802219757E-3</v>
      </c>
    </row>
    <row r="1592" spans="1:6" x14ac:dyDescent="0.25">
      <c r="A1592" s="1" t="str">
        <f t="shared" si="62"/>
        <v>12060</v>
      </c>
      <c r="B1592" s="1" t="str">
        <f>"30310"</f>
        <v>30310</v>
      </c>
      <c r="C1592" s="2">
        <v>6.0433389569284398E-3</v>
      </c>
      <c r="D1592" s="2">
        <v>5.5934861024194999E-3</v>
      </c>
      <c r="E1592" s="2">
        <v>8.6092220312383207E-3</v>
      </c>
      <c r="F1592" s="2">
        <v>6.0577893134857999E-3</v>
      </c>
    </row>
    <row r="1593" spans="1:6" x14ac:dyDescent="0.25">
      <c r="A1593" s="1" t="str">
        <f t="shared" si="62"/>
        <v>12060</v>
      </c>
      <c r="B1593" s="1" t="str">
        <f>"30506"</f>
        <v>30506</v>
      </c>
      <c r="C1593" s="2">
        <v>2.1152995321732301E-3</v>
      </c>
      <c r="D1593" s="2">
        <v>2.4961503034053099E-4</v>
      </c>
      <c r="E1593" s="2">
        <v>1.04625962185187E-4</v>
      </c>
      <c r="F1593" s="2">
        <v>1.8954143797625001E-3</v>
      </c>
    </row>
    <row r="1594" spans="1:6" x14ac:dyDescent="0.25">
      <c r="A1594" s="1" t="str">
        <f t="shared" si="62"/>
        <v>12060</v>
      </c>
      <c r="B1594" s="1" t="str">
        <f>"30358"</f>
        <v>30358</v>
      </c>
      <c r="C1594" s="2">
        <v>6.1409509049300702E-4</v>
      </c>
      <c r="D1594" s="2">
        <v>1.25510656100802E-3</v>
      </c>
      <c r="E1594" s="2">
        <v>1.4946566026455399E-5</v>
      </c>
      <c r="F1594" s="2">
        <v>6.6111418896494599E-4</v>
      </c>
    </row>
    <row r="1595" spans="1:6" x14ac:dyDescent="0.25">
      <c r="A1595" s="1" t="str">
        <f t="shared" si="62"/>
        <v>12060</v>
      </c>
      <c r="B1595" s="1" t="str">
        <f>"30361"</f>
        <v>30361</v>
      </c>
      <c r="C1595" s="2">
        <v>0</v>
      </c>
      <c r="D1595" s="2">
        <v>1.28674790288217E-3</v>
      </c>
      <c r="E1595" s="2">
        <v>1.64412226291009E-4</v>
      </c>
      <c r="F1595" s="2">
        <v>1.2462002461989199E-4</v>
      </c>
    </row>
    <row r="1596" spans="1:6" x14ac:dyDescent="0.25">
      <c r="A1596" s="1" t="str">
        <f t="shared" si="62"/>
        <v>12060</v>
      </c>
      <c r="B1596" s="1" t="str">
        <f>"30540"</f>
        <v>30540</v>
      </c>
      <c r="C1596" s="2">
        <v>3.73992137937276E-7</v>
      </c>
      <c r="D1596" s="2">
        <v>0</v>
      </c>
      <c r="E1596" s="2">
        <v>0</v>
      </c>
      <c r="F1596" s="2">
        <v>3.3055709448247299E-7</v>
      </c>
    </row>
    <row r="1597" spans="1:6" x14ac:dyDescent="0.25">
      <c r="A1597" s="1" t="str">
        <f t="shared" si="62"/>
        <v>12060</v>
      </c>
      <c r="B1597" s="1" t="str">
        <f>"30140"</f>
        <v>30140</v>
      </c>
      <c r="C1597" s="2">
        <v>0</v>
      </c>
      <c r="D1597" s="2">
        <v>0</v>
      </c>
      <c r="E1597" s="2">
        <v>1.4946566026455399E-5</v>
      </c>
      <c r="F1597" s="2">
        <v>3.3055709448247299E-7</v>
      </c>
    </row>
    <row r="1598" spans="1:6" x14ac:dyDescent="0.25">
      <c r="A1598" s="1" t="str">
        <f t="shared" si="62"/>
        <v>12060</v>
      </c>
      <c r="B1598" s="1" t="str">
        <f>"39901"</f>
        <v>39901</v>
      </c>
      <c r="C1598" s="2">
        <v>0</v>
      </c>
      <c r="D1598" s="2">
        <v>0</v>
      </c>
      <c r="E1598" s="2">
        <v>1.4946566026455399E-5</v>
      </c>
      <c r="F1598" s="2">
        <v>3.3055709448247299E-7</v>
      </c>
    </row>
    <row r="1599" spans="1:6" x14ac:dyDescent="0.25">
      <c r="A1599" s="1" t="str">
        <f t="shared" si="62"/>
        <v>12060</v>
      </c>
      <c r="B1599" s="1" t="str">
        <f>"31016"</f>
        <v>31016</v>
      </c>
      <c r="C1599" s="2">
        <v>2.91713867591075E-5</v>
      </c>
      <c r="D1599" s="2">
        <v>3.5157046526835302E-6</v>
      </c>
      <c r="E1599" s="2">
        <v>0</v>
      </c>
      <c r="F1599" s="2">
        <v>2.61140104641153E-5</v>
      </c>
    </row>
    <row r="1600" spans="1:6" x14ac:dyDescent="0.25">
      <c r="A1600" s="1" t="str">
        <f t="shared" si="62"/>
        <v>12060</v>
      </c>
      <c r="B1600" s="1" t="str">
        <f>"30380"</f>
        <v>30380</v>
      </c>
      <c r="C1600" s="2">
        <v>0</v>
      </c>
      <c r="D1600" s="2">
        <v>0</v>
      </c>
      <c r="E1600" s="2">
        <v>1.4946566026455399E-5</v>
      </c>
      <c r="F1600" s="2">
        <v>3.3055709448247299E-7</v>
      </c>
    </row>
    <row r="1601" spans="1:6" x14ac:dyDescent="0.25">
      <c r="A1601" s="1" t="str">
        <f t="shared" si="62"/>
        <v>12060</v>
      </c>
      <c r="B1601" s="1" t="str">
        <f>"30150"</f>
        <v>30150</v>
      </c>
      <c r="C1601" s="2">
        <v>0</v>
      </c>
      <c r="D1601" s="2">
        <v>0</v>
      </c>
      <c r="E1601" s="2">
        <v>2.9893132052910798E-5</v>
      </c>
      <c r="F1601" s="2">
        <v>6.6111418896494599E-7</v>
      </c>
    </row>
    <row r="1602" spans="1:6" x14ac:dyDescent="0.25">
      <c r="A1602" s="1" t="str">
        <f t="shared" si="62"/>
        <v>12060</v>
      </c>
      <c r="B1602" s="1" t="str">
        <f>"30109"</f>
        <v>30109</v>
      </c>
      <c r="C1602" s="2">
        <v>0</v>
      </c>
      <c r="D1602" s="2">
        <v>0</v>
      </c>
      <c r="E1602" s="2">
        <v>1.4946566026455399E-5</v>
      </c>
      <c r="F1602" s="2">
        <v>3.3055709448247299E-7</v>
      </c>
    </row>
    <row r="1603" spans="1:6" x14ac:dyDescent="0.25">
      <c r="A1603" s="1" t="str">
        <f t="shared" si="62"/>
        <v>12060</v>
      </c>
      <c r="B1603" s="1" t="str">
        <f>"30747"</f>
        <v>30747</v>
      </c>
      <c r="C1603" s="2">
        <v>7.4798427587455199E-7</v>
      </c>
      <c r="D1603" s="2">
        <v>0</v>
      </c>
      <c r="E1603" s="2">
        <v>0</v>
      </c>
      <c r="F1603" s="2">
        <v>6.6111418896494599E-7</v>
      </c>
    </row>
    <row r="1604" spans="1:6" x14ac:dyDescent="0.25">
      <c r="A1604" s="1" t="str">
        <f t="shared" si="62"/>
        <v>12060</v>
      </c>
      <c r="B1604" s="1" t="str">
        <f>"31136"</f>
        <v>31136</v>
      </c>
      <c r="C1604" s="2">
        <v>0</v>
      </c>
      <c r="D1604" s="2">
        <v>7.0314093053670697E-6</v>
      </c>
      <c r="E1604" s="2">
        <v>0</v>
      </c>
      <c r="F1604" s="2">
        <v>6.6111418896494599E-7</v>
      </c>
    </row>
    <row r="1605" spans="1:6" x14ac:dyDescent="0.25">
      <c r="A1605" s="1" t="str">
        <f t="shared" si="62"/>
        <v>12060</v>
      </c>
      <c r="B1605" s="1" t="str">
        <f>"30250"</f>
        <v>30250</v>
      </c>
      <c r="C1605" s="2">
        <v>1.8849203752038701E-4</v>
      </c>
      <c r="D1605" s="2">
        <v>6.3282683748303601E-4</v>
      </c>
      <c r="E1605" s="2">
        <v>2.9893132052910798E-5</v>
      </c>
      <c r="F1605" s="2">
        <v>2.2676216681497601E-4</v>
      </c>
    </row>
    <row r="1606" spans="1:6" x14ac:dyDescent="0.25">
      <c r="A1606" s="1" t="str">
        <f t="shared" si="62"/>
        <v>12060</v>
      </c>
      <c r="B1606" s="1" t="str">
        <f>"30650"</f>
        <v>30650</v>
      </c>
      <c r="C1606" s="2">
        <v>2.1388610368632799E-3</v>
      </c>
      <c r="D1606" s="2">
        <v>2.6332627848599599E-3</v>
      </c>
      <c r="E1606" s="2">
        <v>1.4797100366190799E-3</v>
      </c>
      <c r="F1606" s="2">
        <v>2.1707684394663999E-3</v>
      </c>
    </row>
    <row r="1607" spans="1:6" x14ac:dyDescent="0.25">
      <c r="A1607" s="1" t="str">
        <f t="shared" si="62"/>
        <v>12060</v>
      </c>
      <c r="B1607" s="1" t="str">
        <f>"30655"</f>
        <v>30655</v>
      </c>
      <c r="C1607" s="2">
        <v>4.7665297980105797E-3</v>
      </c>
      <c r="D1607" s="2">
        <v>5.0661304045169697E-3</v>
      </c>
      <c r="E1607" s="2">
        <v>5.4256034676033096E-3</v>
      </c>
      <c r="F1607" s="2">
        <v>4.8092751676255003E-3</v>
      </c>
    </row>
    <row r="1608" spans="1:6" x14ac:dyDescent="0.25">
      <c r="A1608" s="1" t="str">
        <f t="shared" si="62"/>
        <v>12060</v>
      </c>
      <c r="B1608" s="1" t="str">
        <f>"30033"</f>
        <v>30033</v>
      </c>
      <c r="C1608" s="2">
        <v>6.36048428989925E-3</v>
      </c>
      <c r="D1608" s="2">
        <v>4.6864343020271504E-3</v>
      </c>
      <c r="E1608" s="2">
        <v>7.0547791644869498E-3</v>
      </c>
      <c r="F1608" s="2">
        <v>6.2184400614042797E-3</v>
      </c>
    </row>
    <row r="1609" spans="1:6" x14ac:dyDescent="0.25">
      <c r="A1609" s="1" t="str">
        <f t="shared" si="62"/>
        <v>12060</v>
      </c>
      <c r="B1609" s="1" t="str">
        <f>"30043"</f>
        <v>30043</v>
      </c>
      <c r="C1609" s="2">
        <v>1.1561218960055001E-2</v>
      </c>
      <c r="D1609" s="2">
        <v>7.5587650032696001E-3</v>
      </c>
      <c r="E1609" s="2">
        <v>5.60496225992078E-3</v>
      </c>
      <c r="F1609" s="2">
        <v>1.1053168125304901E-2</v>
      </c>
    </row>
    <row r="1610" spans="1:6" x14ac:dyDescent="0.25">
      <c r="A1610" s="1" t="str">
        <f t="shared" si="62"/>
        <v>12060</v>
      </c>
      <c r="B1610" s="1" t="str">
        <f>"30022"</f>
        <v>30022</v>
      </c>
      <c r="C1610" s="2">
        <v>9.2331179013954694E-3</v>
      </c>
      <c r="D1610" s="2">
        <v>8.4341754617877993E-3</v>
      </c>
      <c r="E1610" s="2">
        <v>4.4839698079366204E-3</v>
      </c>
      <c r="F1610" s="2">
        <v>9.0529671465914893E-3</v>
      </c>
    </row>
    <row r="1611" spans="1:6" x14ac:dyDescent="0.25">
      <c r="A1611" s="1" t="str">
        <f t="shared" si="62"/>
        <v>12060</v>
      </c>
      <c r="B1611" s="1" t="str">
        <f>"30087"</f>
        <v>30087</v>
      </c>
      <c r="C1611" s="2">
        <v>5.7235756789920699E-3</v>
      </c>
      <c r="D1611" s="2">
        <v>4.2118141739148698E-3</v>
      </c>
      <c r="E1611" s="2">
        <v>2.1672520738360299E-3</v>
      </c>
      <c r="F1611" s="2">
        <v>5.5027839518497299E-3</v>
      </c>
    </row>
    <row r="1612" spans="1:6" x14ac:dyDescent="0.25">
      <c r="A1612" s="1" t="str">
        <f t="shared" si="62"/>
        <v>12060</v>
      </c>
      <c r="B1612" s="1" t="str">
        <f>"30079"</f>
        <v>30079</v>
      </c>
      <c r="C1612" s="2">
        <v>8.2240871132407002E-4</v>
      </c>
      <c r="D1612" s="2">
        <v>1.1496354214275101E-3</v>
      </c>
      <c r="E1612" s="2">
        <v>1.1658321500635201E-3</v>
      </c>
      <c r="F1612" s="2">
        <v>8.6077067403236005E-4</v>
      </c>
    </row>
    <row r="1613" spans="1:6" x14ac:dyDescent="0.25">
      <c r="A1613" s="1" t="str">
        <f t="shared" si="62"/>
        <v>12060</v>
      </c>
      <c r="B1613" s="1" t="str">
        <f>"30060"</f>
        <v>30060</v>
      </c>
      <c r="C1613" s="2">
        <v>6.0942018876879098E-3</v>
      </c>
      <c r="D1613" s="2">
        <v>1.1503385623580499E-2</v>
      </c>
      <c r="E1613" s="2">
        <v>1.54696958373813E-2</v>
      </c>
      <c r="F1613" s="2">
        <v>6.81013726052791E-3</v>
      </c>
    </row>
    <row r="1614" spans="1:6" x14ac:dyDescent="0.25">
      <c r="A1614" s="1" t="str">
        <f t="shared" si="62"/>
        <v>12060</v>
      </c>
      <c r="B1614" s="1" t="str">
        <f>"30141"</f>
        <v>30141</v>
      </c>
      <c r="C1614" s="2">
        <v>4.2227452294497803E-3</v>
      </c>
      <c r="D1614" s="2">
        <v>4.8129996695237603E-3</v>
      </c>
      <c r="E1614" s="2">
        <v>2.0327329795979299E-3</v>
      </c>
      <c r="F1614" s="2">
        <v>4.2298085809977203E-3</v>
      </c>
    </row>
    <row r="1615" spans="1:6" x14ac:dyDescent="0.25">
      <c r="A1615" s="1" t="str">
        <f t="shared" si="62"/>
        <v>12060</v>
      </c>
      <c r="B1615" s="1" t="str">
        <f>"30116"</f>
        <v>30116</v>
      </c>
      <c r="C1615" s="2">
        <v>3.82780953178802E-3</v>
      </c>
      <c r="D1615" s="2">
        <v>1.3957347471153601E-3</v>
      </c>
      <c r="E1615" s="2">
        <v>1.7039085270159099E-3</v>
      </c>
      <c r="F1615" s="2">
        <v>3.5521665373086501E-3</v>
      </c>
    </row>
    <row r="1616" spans="1:6" x14ac:dyDescent="0.25">
      <c r="A1616" s="1" t="str">
        <f t="shared" si="62"/>
        <v>12060</v>
      </c>
      <c r="B1616" s="1" t="str">
        <f>"30123"</f>
        <v>30123</v>
      </c>
      <c r="C1616" s="2">
        <v>3.28365097108928E-4</v>
      </c>
      <c r="D1616" s="2">
        <v>3.7266469318445399E-4</v>
      </c>
      <c r="E1616" s="2">
        <v>2.9893132052910798E-5</v>
      </c>
      <c r="F1616" s="2">
        <v>3.2592929515971799E-4</v>
      </c>
    </row>
    <row r="1617" spans="1:6" x14ac:dyDescent="0.25">
      <c r="A1617" s="1" t="str">
        <f t="shared" si="62"/>
        <v>12060</v>
      </c>
      <c r="B1617" s="1" t="str">
        <f>"30223"</f>
        <v>30223</v>
      </c>
      <c r="C1617" s="2">
        <v>6.4573482536250098E-3</v>
      </c>
      <c r="D1617" s="2">
        <v>5.4844992581863103E-3</v>
      </c>
      <c r="E1617" s="2">
        <v>6.3821836932964598E-3</v>
      </c>
      <c r="F1617" s="2">
        <v>6.3642157400710499E-3</v>
      </c>
    </row>
    <row r="1618" spans="1:6" x14ac:dyDescent="0.25">
      <c r="A1618" s="1" t="str">
        <f t="shared" si="62"/>
        <v>12060</v>
      </c>
      <c r="B1618" s="1" t="str">
        <f>"30188"</f>
        <v>30188</v>
      </c>
      <c r="C1618" s="2">
        <v>1.0673735616729799E-2</v>
      </c>
      <c r="D1618" s="2">
        <v>1.0684226439505199E-2</v>
      </c>
      <c r="E1618" s="2">
        <v>8.0113593901800992E-3</v>
      </c>
      <c r="F1618" s="2">
        <v>1.0615841089304599E-2</v>
      </c>
    </row>
    <row r="1619" spans="1:6" x14ac:dyDescent="0.25">
      <c r="A1619" s="1" t="str">
        <f t="shared" si="62"/>
        <v>12060</v>
      </c>
      <c r="B1619" s="1" t="str">
        <f>"30184"</f>
        <v>30184</v>
      </c>
      <c r="C1619" s="2">
        <v>1.3445017358844999E-3</v>
      </c>
      <c r="D1619" s="2">
        <v>4.5352590019617599E-4</v>
      </c>
      <c r="E1619" s="2">
        <v>1.34519094238098E-4</v>
      </c>
      <c r="F1619" s="2">
        <v>1.23396963370307E-3</v>
      </c>
    </row>
    <row r="1620" spans="1:6" x14ac:dyDescent="0.25">
      <c r="A1620" s="1" t="str">
        <f t="shared" si="62"/>
        <v>12060</v>
      </c>
      <c r="B1620" s="1" t="str">
        <f>"30178"</f>
        <v>30178</v>
      </c>
      <c r="C1620" s="2">
        <v>5.6323215973353802E-4</v>
      </c>
      <c r="D1620" s="2">
        <v>1.1601825353855599E-4</v>
      </c>
      <c r="E1620" s="2">
        <v>1.34519094238098E-4</v>
      </c>
      <c r="F1620" s="2">
        <v>5.1170238225886795E-4</v>
      </c>
    </row>
    <row r="1621" spans="1:6" x14ac:dyDescent="0.25">
      <c r="A1621" s="1" t="str">
        <f t="shared" si="62"/>
        <v>12060</v>
      </c>
      <c r="B1621" s="1" t="str">
        <f>"30143"</f>
        <v>30143</v>
      </c>
      <c r="C1621" s="2">
        <v>5.2276621040872398E-3</v>
      </c>
      <c r="D1621" s="2">
        <v>5.28761979763604E-3</v>
      </c>
      <c r="E1621" s="2">
        <v>4.6483820342276298E-3</v>
      </c>
      <c r="F1621" s="2">
        <v>5.2204881931616903E-3</v>
      </c>
    </row>
    <row r="1622" spans="1:6" x14ac:dyDescent="0.25">
      <c r="A1622" s="1" t="str">
        <f t="shared" si="62"/>
        <v>12060</v>
      </c>
      <c r="B1622" s="1" t="str">
        <f>"30145"</f>
        <v>30145</v>
      </c>
      <c r="C1622" s="2">
        <v>1.00005497684427E-3</v>
      </c>
      <c r="D1622" s="2">
        <v>2.03910869855645E-4</v>
      </c>
      <c r="E1622" s="2">
        <v>1.34519094238098E-4</v>
      </c>
      <c r="F1622" s="2">
        <v>9.0605699597645899E-4</v>
      </c>
    </row>
    <row r="1623" spans="1:6" x14ac:dyDescent="0.25">
      <c r="A1623" s="1" t="str">
        <f t="shared" si="62"/>
        <v>12060</v>
      </c>
      <c r="B1623" s="1" t="str">
        <f>"30302"</f>
        <v>30302</v>
      </c>
      <c r="C1623" s="2">
        <v>4.47294596972982E-4</v>
      </c>
      <c r="D1623" s="2">
        <v>7.1720374914744105E-4</v>
      </c>
      <c r="E1623" s="2">
        <v>1.4946566026455399E-5</v>
      </c>
      <c r="F1623" s="2">
        <v>4.6311048936994401E-4</v>
      </c>
    </row>
    <row r="1624" spans="1:6" x14ac:dyDescent="0.25">
      <c r="A1624" s="1" t="str">
        <f t="shared" si="62"/>
        <v>12060</v>
      </c>
      <c r="B1624" s="1" t="str">
        <f>"30252"</f>
        <v>30252</v>
      </c>
      <c r="C1624" s="2">
        <v>6.69894717473249E-3</v>
      </c>
      <c r="D1624" s="2">
        <v>1.4765959541270799E-3</v>
      </c>
      <c r="E1624" s="2">
        <v>3.4377101860847401E-4</v>
      </c>
      <c r="F1624" s="2">
        <v>6.06737546922579E-3</v>
      </c>
    </row>
    <row r="1625" spans="1:6" x14ac:dyDescent="0.25">
      <c r="A1625" s="1" t="str">
        <f t="shared" si="62"/>
        <v>12060</v>
      </c>
      <c r="B1625" s="1" t="str">
        <f>"30276"</f>
        <v>30276</v>
      </c>
      <c r="C1625" s="2">
        <v>3.15050976998361E-3</v>
      </c>
      <c r="D1625" s="2">
        <v>1.1953395819123999E-3</v>
      </c>
      <c r="E1625" s="2">
        <v>4.9323667887302798E-4</v>
      </c>
      <c r="F1625" s="2">
        <v>2.9079107601623099E-3</v>
      </c>
    </row>
    <row r="1626" spans="1:6" x14ac:dyDescent="0.25">
      <c r="A1626" s="1" t="str">
        <f t="shared" si="62"/>
        <v>12060</v>
      </c>
      <c r="B1626" s="1" t="str">
        <f>"30268"</f>
        <v>30268</v>
      </c>
      <c r="C1626" s="2">
        <v>2.46947008679983E-3</v>
      </c>
      <c r="D1626" s="2">
        <v>1.66644400537199E-3</v>
      </c>
      <c r="E1626" s="2">
        <v>9.71526791719602E-4</v>
      </c>
      <c r="F1626" s="2">
        <v>2.3608387687938199E-3</v>
      </c>
    </row>
    <row r="1627" spans="1:6" x14ac:dyDescent="0.25">
      <c r="A1627" s="1" t="str">
        <f t="shared" si="62"/>
        <v>12060</v>
      </c>
      <c r="B1627" s="1" t="str">
        <f>"30238"</f>
        <v>30238</v>
      </c>
      <c r="C1627" s="2">
        <v>5.7822924446482198E-3</v>
      </c>
      <c r="D1627" s="2">
        <v>1.0054915306674901E-3</v>
      </c>
      <c r="E1627" s="2">
        <v>8.6690082953441402E-4</v>
      </c>
      <c r="F1627" s="2">
        <v>5.2244548782954797E-3</v>
      </c>
    </row>
    <row r="1628" spans="1:6" x14ac:dyDescent="0.25">
      <c r="A1628" s="1" t="str">
        <f t="shared" si="62"/>
        <v>12060</v>
      </c>
      <c r="B1628" s="1" t="str">
        <f>"30342"</f>
        <v>30342</v>
      </c>
      <c r="C1628" s="2">
        <v>6.2520265698974399E-3</v>
      </c>
      <c r="D1628" s="2">
        <v>9.0564551853127909E-3</v>
      </c>
      <c r="E1628" s="2">
        <v>6.8903669381959404E-3</v>
      </c>
      <c r="F1628" s="2">
        <v>6.5298248444067702E-3</v>
      </c>
    </row>
    <row r="1629" spans="1:6" x14ac:dyDescent="0.25">
      <c r="A1629" s="1" t="str">
        <f t="shared" si="62"/>
        <v>12060</v>
      </c>
      <c r="B1629" s="1" t="str">
        <f>"30339"</f>
        <v>30339</v>
      </c>
      <c r="C1629" s="2">
        <v>7.6945142459215196E-3</v>
      </c>
      <c r="D1629" s="2">
        <v>1.4990964639042601E-2</v>
      </c>
      <c r="E1629" s="2">
        <v>1.1224871085867999E-2</v>
      </c>
      <c r="F1629" s="2">
        <v>8.4586254907119997E-3</v>
      </c>
    </row>
    <row r="1630" spans="1:6" x14ac:dyDescent="0.25">
      <c r="A1630" s="1" t="str">
        <f t="shared" si="62"/>
        <v>12060</v>
      </c>
      <c r="B1630" s="1" t="str">
        <f>"30312"</f>
        <v>30312</v>
      </c>
      <c r="C1630" s="2">
        <v>5.8170737134763898E-3</v>
      </c>
      <c r="D1630" s="2">
        <v>3.7899296155928502E-3</v>
      </c>
      <c r="E1630" s="2">
        <v>1.1344443614079601E-2</v>
      </c>
      <c r="F1630" s="2">
        <v>5.7487184301446897E-3</v>
      </c>
    </row>
    <row r="1631" spans="1:6" x14ac:dyDescent="0.25">
      <c r="A1631" s="1" t="str">
        <f t="shared" si="62"/>
        <v>12060</v>
      </c>
      <c r="B1631" s="1" t="str">
        <f>"30321"</f>
        <v>30321</v>
      </c>
      <c r="C1631" s="2">
        <v>5.3106883587093203E-4</v>
      </c>
      <c r="D1631" s="2">
        <v>2.9707704315175801E-3</v>
      </c>
      <c r="E1631" s="2">
        <v>1.4946566026455399E-5</v>
      </c>
      <c r="F1631" s="2">
        <v>7.4904237609728396E-4</v>
      </c>
    </row>
    <row r="1632" spans="1:6" x14ac:dyDescent="0.25">
      <c r="A1632" s="1" t="str">
        <f t="shared" si="62"/>
        <v>12060</v>
      </c>
      <c r="B1632" s="1" t="str">
        <f>"30349"</f>
        <v>30349</v>
      </c>
      <c r="C1632" s="2">
        <v>1.3687738256366299E-2</v>
      </c>
      <c r="D1632" s="2">
        <v>9.0740337085761999E-3</v>
      </c>
      <c r="E1632" s="2">
        <v>1.47223675360585E-2</v>
      </c>
      <c r="F1632" s="2">
        <v>1.32768256998885E-2</v>
      </c>
    </row>
    <row r="1633" spans="1:6" x14ac:dyDescent="0.25">
      <c r="A1633" s="1" t="str">
        <f t="shared" si="62"/>
        <v>12060</v>
      </c>
      <c r="B1633" s="1" t="str">
        <f>"30346"</f>
        <v>30346</v>
      </c>
      <c r="C1633" s="2">
        <v>1.53935163974982E-3</v>
      </c>
      <c r="D1633" s="2">
        <v>3.3645293526181402E-3</v>
      </c>
      <c r="E1633" s="2">
        <v>1.3451909423809799E-3</v>
      </c>
      <c r="F1633" s="2">
        <v>1.7066662788129999E-3</v>
      </c>
    </row>
    <row r="1634" spans="1:6" x14ac:dyDescent="0.25">
      <c r="A1634" s="1" t="str">
        <f t="shared" si="62"/>
        <v>12060</v>
      </c>
      <c r="B1634" s="1" t="str">
        <f>"30548"</f>
        <v>30548</v>
      </c>
      <c r="C1634" s="2">
        <v>1.1260903273291299E-3</v>
      </c>
      <c r="D1634" s="2">
        <v>1.5469100471807501E-4</v>
      </c>
      <c r="E1634" s="2">
        <v>1.7935879231746499E-4</v>
      </c>
      <c r="F1634" s="2">
        <v>1.0138186087777399E-3</v>
      </c>
    </row>
    <row r="1635" spans="1:6" x14ac:dyDescent="0.25">
      <c r="A1635" s="1" t="str">
        <f t="shared" si="62"/>
        <v>12060</v>
      </c>
      <c r="B1635" s="1" t="str">
        <f>"30285"</f>
        <v>30285</v>
      </c>
      <c r="C1635" s="2">
        <v>4.1887119448974902E-5</v>
      </c>
      <c r="D1635" s="2">
        <v>3.5157046526835302E-6</v>
      </c>
      <c r="E1635" s="2">
        <v>0</v>
      </c>
      <c r="F1635" s="2">
        <v>3.73529516765194E-5</v>
      </c>
    </row>
    <row r="1636" spans="1:6" x14ac:dyDescent="0.25">
      <c r="A1636" s="1" t="str">
        <f t="shared" si="62"/>
        <v>12060</v>
      </c>
      <c r="B1636" s="1" t="str">
        <f>"31141"</f>
        <v>31141</v>
      </c>
      <c r="C1636" s="2">
        <v>2.6142050441815601E-4</v>
      </c>
      <c r="D1636" s="2">
        <v>6.2227972352498601E-4</v>
      </c>
      <c r="E1636" s="2">
        <v>1.4946566026455399E-5</v>
      </c>
      <c r="F1636" s="2">
        <v>2.8989857186112803E-4</v>
      </c>
    </row>
    <row r="1637" spans="1:6" x14ac:dyDescent="0.25">
      <c r="A1637" s="1" t="str">
        <f t="shared" si="62"/>
        <v>12060</v>
      </c>
      <c r="B1637" s="1" t="str">
        <f>"30326"</f>
        <v>30326</v>
      </c>
      <c r="C1637" s="2">
        <v>2.7903553411500102E-3</v>
      </c>
      <c r="D1637" s="2">
        <v>6.8767183006489896E-3</v>
      </c>
      <c r="E1637" s="2">
        <v>2.6007024886032402E-3</v>
      </c>
      <c r="F1637" s="2">
        <v>3.1703730931813999E-3</v>
      </c>
    </row>
    <row r="1638" spans="1:6" x14ac:dyDescent="0.25">
      <c r="A1638" s="1" t="str">
        <f t="shared" si="62"/>
        <v>12060</v>
      </c>
      <c r="B1638" s="1" t="str">
        <f>"30306"</f>
        <v>30306</v>
      </c>
      <c r="C1638" s="2">
        <v>4.91687463746137E-3</v>
      </c>
      <c r="D1638" s="2">
        <v>2.0988756776520699E-3</v>
      </c>
      <c r="E1638" s="2">
        <v>2.01031313055825E-2</v>
      </c>
      <c r="F1638" s="2">
        <v>4.9877759986460303E-3</v>
      </c>
    </row>
    <row r="1639" spans="1:6" x14ac:dyDescent="0.25">
      <c r="A1639" s="1" t="str">
        <f t="shared" si="62"/>
        <v>12060</v>
      </c>
      <c r="B1639" s="1" t="str">
        <f>"30534"</f>
        <v>30534</v>
      </c>
      <c r="C1639" s="2">
        <v>5.1614654956723396E-3</v>
      </c>
      <c r="D1639" s="2">
        <v>5.6708316047785401E-3</v>
      </c>
      <c r="E1639" s="2">
        <v>3.01920633734399E-3</v>
      </c>
      <c r="F1639" s="2">
        <v>5.1619795874383E-3</v>
      </c>
    </row>
    <row r="1640" spans="1:6" x14ac:dyDescent="0.25">
      <c r="A1640" s="1" t="str">
        <f t="shared" si="62"/>
        <v>12060</v>
      </c>
      <c r="B1640" s="1" t="str">
        <f>"30518"</f>
        <v>30518</v>
      </c>
      <c r="C1640" s="2">
        <v>6.85789383335583E-3</v>
      </c>
      <c r="D1640" s="2">
        <v>7.6396262102813202E-3</v>
      </c>
      <c r="E1640" s="2">
        <v>7.9515731260742795E-3</v>
      </c>
      <c r="F1640" s="2">
        <v>6.9555823821001997E-3</v>
      </c>
    </row>
    <row r="1641" spans="1:6" x14ac:dyDescent="0.25">
      <c r="A1641" s="1" t="str">
        <f t="shared" ref="A1641:A1704" si="63">"12060"</f>
        <v>12060</v>
      </c>
      <c r="B1641" s="1" t="str">
        <f>"30398"</f>
        <v>30398</v>
      </c>
      <c r="C1641" s="2">
        <v>0</v>
      </c>
      <c r="D1641" s="2">
        <v>0</v>
      </c>
      <c r="E1641" s="2">
        <v>1.4946566026455399E-5</v>
      </c>
      <c r="F1641" s="2">
        <v>3.3055709448247299E-7</v>
      </c>
    </row>
    <row r="1642" spans="1:6" x14ac:dyDescent="0.25">
      <c r="A1642" s="1" t="str">
        <f t="shared" si="63"/>
        <v>12060</v>
      </c>
      <c r="B1642" s="1" t="str">
        <f>"30229"</f>
        <v>30229</v>
      </c>
      <c r="C1642" s="2">
        <v>0</v>
      </c>
      <c r="D1642" s="2">
        <v>0</v>
      </c>
      <c r="E1642" s="2">
        <v>1.4946566026455399E-5</v>
      </c>
      <c r="F1642" s="2">
        <v>3.3055709448247299E-7</v>
      </c>
    </row>
    <row r="1643" spans="1:6" x14ac:dyDescent="0.25">
      <c r="A1643" s="1" t="str">
        <f t="shared" si="63"/>
        <v>12060</v>
      </c>
      <c r="B1643" s="1" t="str">
        <f>"30656"</f>
        <v>30656</v>
      </c>
      <c r="C1643" s="2">
        <v>2.6403844938371699E-3</v>
      </c>
      <c r="D1643" s="2">
        <v>5.0626146998642904E-4</v>
      </c>
      <c r="E1643" s="2">
        <v>5.2312981092593903E-4</v>
      </c>
      <c r="F1643" s="2">
        <v>2.3929028069586199E-3</v>
      </c>
    </row>
    <row r="1644" spans="1:6" x14ac:dyDescent="0.25">
      <c r="A1644" s="1" t="str">
        <f t="shared" si="63"/>
        <v>12060</v>
      </c>
      <c r="B1644" s="1" t="str">
        <f>"31816"</f>
        <v>31816</v>
      </c>
      <c r="C1644" s="2">
        <v>9.8397331491297305E-4</v>
      </c>
      <c r="D1644" s="2">
        <v>1.0441642818470099E-3</v>
      </c>
      <c r="E1644" s="2">
        <v>8.3700769748150296E-4</v>
      </c>
      <c r="F1644" s="2">
        <v>9.8638236993569997E-4</v>
      </c>
    </row>
    <row r="1645" spans="1:6" x14ac:dyDescent="0.25">
      <c r="A1645" s="1" t="str">
        <f t="shared" si="63"/>
        <v>12060</v>
      </c>
      <c r="B1645" s="1" t="str">
        <f>"30012"</f>
        <v>30012</v>
      </c>
      <c r="C1645" s="2">
        <v>4.8604018246328397E-3</v>
      </c>
      <c r="D1645" s="2">
        <v>7.2177416519592997E-3</v>
      </c>
      <c r="E1645" s="2">
        <v>6.9650997683282203E-3</v>
      </c>
      <c r="F1645" s="2">
        <v>5.1285933208955704E-3</v>
      </c>
    </row>
    <row r="1646" spans="1:6" x14ac:dyDescent="0.25">
      <c r="A1646" s="1" t="str">
        <f t="shared" si="63"/>
        <v>12060</v>
      </c>
      <c r="B1646" s="1" t="str">
        <f>"30009"</f>
        <v>30009</v>
      </c>
      <c r="C1646" s="2">
        <v>3.7556290491661199E-3</v>
      </c>
      <c r="D1646" s="2">
        <v>9.8404573228612208E-3</v>
      </c>
      <c r="E1646" s="2">
        <v>6.6063821836932898E-3</v>
      </c>
      <c r="F1646" s="2">
        <v>4.3907898860106901E-3</v>
      </c>
    </row>
    <row r="1647" spans="1:6" x14ac:dyDescent="0.25">
      <c r="A1647" s="1" t="str">
        <f t="shared" si="63"/>
        <v>12060</v>
      </c>
      <c r="B1647" s="1" t="str">
        <f>"30006"</f>
        <v>30006</v>
      </c>
      <c r="C1647" s="2">
        <v>7.2928466897768799E-4</v>
      </c>
      <c r="D1647" s="2">
        <v>1.9090276264071601E-3</v>
      </c>
      <c r="E1647" s="2">
        <v>1.4946566026455399E-5</v>
      </c>
      <c r="F1647" s="2">
        <v>8.2440939363928795E-4</v>
      </c>
    </row>
    <row r="1648" spans="1:6" x14ac:dyDescent="0.25">
      <c r="A1648" s="1" t="str">
        <f t="shared" si="63"/>
        <v>12060</v>
      </c>
      <c r="B1648" s="1" t="str">
        <f>"30052"</f>
        <v>30052</v>
      </c>
      <c r="C1648" s="2">
        <v>1.0584351495762799E-2</v>
      </c>
      <c r="D1648" s="2">
        <v>8.1388562709623791E-3</v>
      </c>
      <c r="E1648" s="2">
        <v>5.3658172034974898E-3</v>
      </c>
      <c r="F1648" s="2">
        <v>1.02390060015946E-2</v>
      </c>
    </row>
    <row r="1649" spans="1:6" x14ac:dyDescent="0.25">
      <c r="A1649" s="1" t="str">
        <f t="shared" si="63"/>
        <v>12060</v>
      </c>
      <c r="B1649" s="1" t="str">
        <f>"30045"</f>
        <v>30045</v>
      </c>
      <c r="C1649" s="2">
        <v>5.0709593982915203E-3</v>
      </c>
      <c r="D1649" s="2">
        <v>1.1672139446909299E-3</v>
      </c>
      <c r="E1649" s="2">
        <v>7.6227486734922604E-4</v>
      </c>
      <c r="F1649" s="2">
        <v>4.6086270112746398E-3</v>
      </c>
    </row>
    <row r="1650" spans="1:6" x14ac:dyDescent="0.25">
      <c r="A1650" s="1" t="str">
        <f t="shared" si="63"/>
        <v>12060</v>
      </c>
      <c r="B1650" s="1" t="str">
        <f>"30046"</f>
        <v>30046</v>
      </c>
      <c r="C1650" s="2">
        <v>5.6442893457493704E-3</v>
      </c>
      <c r="D1650" s="2">
        <v>1.2754976479935801E-2</v>
      </c>
      <c r="E1650" s="2">
        <v>9.2668709364023601E-3</v>
      </c>
      <c r="F1650" s="2">
        <v>6.3929742072910299E-3</v>
      </c>
    </row>
    <row r="1651" spans="1:6" x14ac:dyDescent="0.25">
      <c r="A1651" s="1" t="str">
        <f t="shared" si="63"/>
        <v>12060</v>
      </c>
      <c r="B1651" s="1" t="str">
        <f>"30049"</f>
        <v>30049</v>
      </c>
      <c r="C1651" s="2">
        <v>4.9366962207720395E-4</v>
      </c>
      <c r="D1651" s="2">
        <v>1.5644885704441699E-3</v>
      </c>
      <c r="E1651" s="2">
        <v>1.4946566026455399E-5</v>
      </c>
      <c r="F1651" s="2">
        <v>5.83763828856047E-4</v>
      </c>
    </row>
    <row r="1652" spans="1:6" x14ac:dyDescent="0.25">
      <c r="A1652" s="1" t="str">
        <f t="shared" si="63"/>
        <v>12060</v>
      </c>
      <c r="B1652" s="1" t="str">
        <f>"30030"</f>
        <v>30030</v>
      </c>
      <c r="C1652" s="2">
        <v>5.7635928377513601E-3</v>
      </c>
      <c r="D1652" s="2">
        <v>6.4513180376742901E-3</v>
      </c>
      <c r="E1652" s="2">
        <v>1.3586428518047901E-2</v>
      </c>
      <c r="F1652" s="2">
        <v>6.0012640503292998E-3</v>
      </c>
    </row>
    <row r="1653" spans="1:6" x14ac:dyDescent="0.25">
      <c r="A1653" s="1" t="str">
        <f t="shared" si="63"/>
        <v>12060</v>
      </c>
      <c r="B1653" s="1" t="str">
        <f>"30040"</f>
        <v>30040</v>
      </c>
      <c r="C1653" s="2">
        <v>1.12276179730149E-2</v>
      </c>
      <c r="D1653" s="2">
        <v>9.8369416182085296E-3</v>
      </c>
      <c r="E1653" s="2">
        <v>6.7110081458784804E-3</v>
      </c>
      <c r="F1653" s="2">
        <v>1.0996973419242899E-2</v>
      </c>
    </row>
    <row r="1654" spans="1:6" x14ac:dyDescent="0.25">
      <c r="A1654" s="1" t="str">
        <f t="shared" si="63"/>
        <v>12060</v>
      </c>
      <c r="B1654" s="1" t="str">
        <f>"30092"</f>
        <v>30092</v>
      </c>
      <c r="C1654" s="2">
        <v>5.9902320733413502E-3</v>
      </c>
      <c r="D1654" s="2">
        <v>9.4045099459284607E-3</v>
      </c>
      <c r="E1654" s="2">
        <v>2.3585681189746601E-2</v>
      </c>
      <c r="F1654" s="2">
        <v>6.7003923051597303E-3</v>
      </c>
    </row>
    <row r="1655" spans="1:6" x14ac:dyDescent="0.25">
      <c r="A1655" s="1" t="str">
        <f t="shared" si="63"/>
        <v>12060</v>
      </c>
      <c r="B1655" s="1" t="str">
        <f>"30069"</f>
        <v>30069</v>
      </c>
      <c r="C1655" s="2">
        <v>0</v>
      </c>
      <c r="D1655" s="2">
        <v>3.5157046526835302E-6</v>
      </c>
      <c r="E1655" s="2">
        <v>2.3316643001270402E-3</v>
      </c>
      <c r="F1655" s="2">
        <v>5.1897463833748199E-5</v>
      </c>
    </row>
    <row r="1656" spans="1:6" x14ac:dyDescent="0.25">
      <c r="A1656" s="1" t="str">
        <f t="shared" si="63"/>
        <v>12060</v>
      </c>
      <c r="B1656" s="1" t="str">
        <f>"30133"</f>
        <v>30133</v>
      </c>
      <c r="C1656" s="2">
        <v>4.3944076207629902E-4</v>
      </c>
      <c r="D1656" s="2">
        <v>1.97231031015546E-3</v>
      </c>
      <c r="E1656" s="2">
        <v>1.4946566026455399E-5</v>
      </c>
      <c r="F1656" s="2">
        <v>5.7417767311605502E-4</v>
      </c>
    </row>
    <row r="1657" spans="1:6" x14ac:dyDescent="0.25">
      <c r="A1657" s="1" t="str">
        <f t="shared" si="63"/>
        <v>12060</v>
      </c>
      <c r="B1657" s="1" t="str">
        <f>"30291"</f>
        <v>30291</v>
      </c>
      <c r="C1657" s="2">
        <v>4.3880497544180599E-3</v>
      </c>
      <c r="D1657" s="2">
        <v>2.6824826499975301E-3</v>
      </c>
      <c r="E1657" s="2">
        <v>2.1224123757566599E-3</v>
      </c>
      <c r="F1657" s="2">
        <v>4.1775805600694901E-3</v>
      </c>
    </row>
    <row r="1658" spans="1:6" x14ac:dyDescent="0.25">
      <c r="A1658" s="1" t="str">
        <f t="shared" si="63"/>
        <v>12060</v>
      </c>
      <c r="B1658" s="1" t="str">
        <f>"30256"</f>
        <v>30256</v>
      </c>
      <c r="C1658" s="2">
        <v>3.26495136419242E-4</v>
      </c>
      <c r="D1658" s="2">
        <v>3.8672751179518902E-5</v>
      </c>
      <c r="E1658" s="2">
        <v>4.4839698079366199E-5</v>
      </c>
      <c r="F1658" s="2">
        <v>2.9320414280595302E-4</v>
      </c>
    </row>
    <row r="1659" spans="1:6" x14ac:dyDescent="0.25">
      <c r="A1659" s="1" t="str">
        <f t="shared" si="63"/>
        <v>12060</v>
      </c>
      <c r="B1659" s="1" t="str">
        <f>"30258"</f>
        <v>30258</v>
      </c>
      <c r="C1659" s="2">
        <v>3.1078746662587599E-4</v>
      </c>
      <c r="D1659" s="2">
        <v>1.05471139580506E-4</v>
      </c>
      <c r="E1659" s="2">
        <v>4.4839698079366199E-5</v>
      </c>
      <c r="F1659" s="2">
        <v>2.8560132963285602E-4</v>
      </c>
    </row>
    <row r="1660" spans="1:6" x14ac:dyDescent="0.25">
      <c r="A1660" s="1" t="str">
        <f t="shared" si="63"/>
        <v>12060</v>
      </c>
      <c r="B1660" s="1" t="str">
        <f>"30257"</f>
        <v>30257</v>
      </c>
      <c r="C1660" s="2">
        <v>1.10402479119083E-3</v>
      </c>
      <c r="D1660" s="2">
        <v>3.7969610248982203E-4</v>
      </c>
      <c r="E1660" s="2">
        <v>2.0925192437037501E-4</v>
      </c>
      <c r="F1660" s="2">
        <v>1.0161325084391199E-3</v>
      </c>
    </row>
    <row r="1661" spans="1:6" x14ac:dyDescent="0.25">
      <c r="A1661" s="1" t="str">
        <f t="shared" si="63"/>
        <v>12060</v>
      </c>
      <c r="B1661" s="1" t="str">
        <f>"30272"</f>
        <v>30272</v>
      </c>
      <c r="C1661" s="2">
        <v>4.1924518662768602E-4</v>
      </c>
      <c r="D1661" s="2">
        <v>7.66423614285011E-4</v>
      </c>
      <c r="E1661" s="2">
        <v>8.9679396158732493E-5</v>
      </c>
      <c r="F1661" s="2">
        <v>4.4459929207892599E-4</v>
      </c>
    </row>
    <row r="1662" spans="1:6" x14ac:dyDescent="0.25">
      <c r="A1662" s="1" t="str">
        <f t="shared" si="63"/>
        <v>12060</v>
      </c>
      <c r="B1662" s="1" t="str">
        <f>"30234"</f>
        <v>30234</v>
      </c>
      <c r="C1662" s="2">
        <v>2.9133987545313799E-4</v>
      </c>
      <c r="D1662" s="2">
        <v>1.7930093728685999E-4</v>
      </c>
      <c r="E1662" s="2">
        <v>2.24198490396831E-4</v>
      </c>
      <c r="F1662" s="2">
        <v>2.7932074483768898E-4</v>
      </c>
    </row>
    <row r="1663" spans="1:6" x14ac:dyDescent="0.25">
      <c r="A1663" s="1" t="str">
        <f t="shared" si="63"/>
        <v>12060</v>
      </c>
      <c r="B1663" s="1" t="str">
        <f>"30230"</f>
        <v>30230</v>
      </c>
      <c r="C1663" s="2">
        <v>3.71374192971715E-4</v>
      </c>
      <c r="D1663" s="2">
        <v>7.7345502359037804E-5</v>
      </c>
      <c r="E1663" s="2">
        <v>1.04625962185187E-4</v>
      </c>
      <c r="F1663" s="2">
        <v>3.3782935056108699E-4</v>
      </c>
    </row>
    <row r="1664" spans="1:6" x14ac:dyDescent="0.25">
      <c r="A1664" s="1" t="str">
        <f t="shared" si="63"/>
        <v>12060</v>
      </c>
      <c r="B1664" s="1" t="str">
        <f>"30317"</f>
        <v>30317</v>
      </c>
      <c r="C1664" s="2">
        <v>2.7398664025284798E-3</v>
      </c>
      <c r="D1664" s="2">
        <v>1.4308917936421901E-3</v>
      </c>
      <c r="E1664" s="2">
        <v>1.91316045138629E-3</v>
      </c>
      <c r="F1664" s="2">
        <v>2.5985093197267201E-3</v>
      </c>
    </row>
    <row r="1665" spans="1:6" x14ac:dyDescent="0.25">
      <c r="A1665" s="1" t="str">
        <f t="shared" si="63"/>
        <v>12060</v>
      </c>
      <c r="B1665" s="1" t="str">
        <f>"30319"</f>
        <v>30319</v>
      </c>
      <c r="C1665" s="2">
        <v>8.2734540754484196E-3</v>
      </c>
      <c r="D1665" s="2">
        <v>2.4609932568784702E-3</v>
      </c>
      <c r="E1665" s="2">
        <v>1.02981839922277E-2</v>
      </c>
      <c r="F1665" s="2">
        <v>7.7717278483774204E-3</v>
      </c>
    </row>
    <row r="1666" spans="1:6" x14ac:dyDescent="0.25">
      <c r="A1666" s="1" t="str">
        <f t="shared" si="63"/>
        <v>12060</v>
      </c>
      <c r="B1666" s="1" t="str">
        <f>"30324"</f>
        <v>30324</v>
      </c>
      <c r="C1666" s="2">
        <v>7.6746926626108398E-3</v>
      </c>
      <c r="D1666" s="2">
        <v>6.2157658259444897E-3</v>
      </c>
      <c r="E1666" s="2">
        <v>7.29392422091024E-3</v>
      </c>
      <c r="F1666" s="2">
        <v>7.5290989410272896E-3</v>
      </c>
    </row>
    <row r="1667" spans="1:6" x14ac:dyDescent="0.25">
      <c r="A1667" s="1" t="str">
        <f t="shared" si="63"/>
        <v>12060</v>
      </c>
      <c r="B1667" s="1" t="str">
        <f>"30311"</f>
        <v>30311</v>
      </c>
      <c r="C1667" s="2">
        <v>6.5695458950061902E-3</v>
      </c>
      <c r="D1667" s="2">
        <v>3.7160998178864899E-3</v>
      </c>
      <c r="E1667" s="2">
        <v>7.2789776548837903E-3</v>
      </c>
      <c r="F1667" s="2">
        <v>6.3169460755600603E-3</v>
      </c>
    </row>
    <row r="1668" spans="1:6" x14ac:dyDescent="0.25">
      <c r="A1668" s="1" t="str">
        <f t="shared" si="63"/>
        <v>12060</v>
      </c>
      <c r="B1668" s="1" t="str">
        <f>"31156"</f>
        <v>31156</v>
      </c>
      <c r="C1668" s="2">
        <v>3.4706470400579199E-4</v>
      </c>
      <c r="D1668" s="2">
        <v>4.0079033040592299E-4</v>
      </c>
      <c r="E1668" s="2">
        <v>1.4946566026455399E-5</v>
      </c>
      <c r="F1668" s="2">
        <v>3.4477104954521901E-4</v>
      </c>
    </row>
    <row r="1669" spans="1:6" x14ac:dyDescent="0.25">
      <c r="A1669" s="1" t="str">
        <f t="shared" si="63"/>
        <v>12060</v>
      </c>
      <c r="B1669" s="1" t="str">
        <f>"30016"</f>
        <v>30016</v>
      </c>
      <c r="C1669" s="2">
        <v>8.3246909983458305E-3</v>
      </c>
      <c r="D1669" s="2">
        <v>1.7156638705095599E-3</v>
      </c>
      <c r="E1669" s="2">
        <v>3.9757865630371397E-3</v>
      </c>
      <c r="F1669" s="2">
        <v>7.6071104153251504E-3</v>
      </c>
    </row>
    <row r="1670" spans="1:6" x14ac:dyDescent="0.25">
      <c r="A1670" s="1" t="str">
        <f t="shared" si="63"/>
        <v>12060</v>
      </c>
      <c r="B1670" s="1" t="str">
        <f>"30038"</f>
        <v>30038</v>
      </c>
      <c r="C1670" s="2">
        <v>6.55608217804045E-3</v>
      </c>
      <c r="D1670" s="2">
        <v>2.3941948684774801E-3</v>
      </c>
      <c r="E1670" s="2">
        <v>4.5437560720424401E-3</v>
      </c>
      <c r="F1670" s="2">
        <v>6.12026460434299E-3</v>
      </c>
    </row>
    <row r="1671" spans="1:6" x14ac:dyDescent="0.25">
      <c r="A1671" s="1" t="str">
        <f t="shared" si="63"/>
        <v>12060</v>
      </c>
      <c r="B1671" s="1" t="str">
        <f>"30028"</f>
        <v>30028</v>
      </c>
      <c r="C1671" s="2">
        <v>5.3353718398131801E-3</v>
      </c>
      <c r="D1671" s="2">
        <v>4.0289975319753304E-3</v>
      </c>
      <c r="E1671" s="2">
        <v>5.5302294297884997E-4</v>
      </c>
      <c r="F1671" s="2">
        <v>5.1067765526597196E-3</v>
      </c>
    </row>
    <row r="1672" spans="1:6" x14ac:dyDescent="0.25">
      <c r="A1672" s="1" t="str">
        <f t="shared" si="63"/>
        <v>12060</v>
      </c>
      <c r="B1672" s="1" t="str">
        <f>"30368"</f>
        <v>30368</v>
      </c>
      <c r="C1672" s="2">
        <v>0</v>
      </c>
      <c r="D1672" s="2">
        <v>0</v>
      </c>
      <c r="E1672" s="2">
        <v>1.4946566026455399E-5</v>
      </c>
      <c r="F1672" s="2">
        <v>3.3055709448247299E-7</v>
      </c>
    </row>
    <row r="1673" spans="1:6" x14ac:dyDescent="0.25">
      <c r="A1673" s="1" t="str">
        <f t="shared" si="63"/>
        <v>12060</v>
      </c>
      <c r="B1673" s="1" t="str">
        <f>"30018"</f>
        <v>30018</v>
      </c>
      <c r="C1673" s="2">
        <v>0</v>
      </c>
      <c r="D1673" s="2">
        <v>0</v>
      </c>
      <c r="E1673" s="2">
        <v>1.4946566026455399E-5</v>
      </c>
      <c r="F1673" s="2">
        <v>3.3055709448247299E-7</v>
      </c>
    </row>
    <row r="1674" spans="1:6" x14ac:dyDescent="0.25">
      <c r="A1674" s="1" t="str">
        <f t="shared" si="63"/>
        <v>12060</v>
      </c>
      <c r="B1674" s="1" t="str">
        <f>"30378"</f>
        <v>30378</v>
      </c>
      <c r="C1674" s="2">
        <v>0</v>
      </c>
      <c r="D1674" s="2">
        <v>3.5157046526835302E-6</v>
      </c>
      <c r="E1674" s="2">
        <v>0</v>
      </c>
      <c r="F1674" s="2">
        <v>3.3055709448247299E-7</v>
      </c>
    </row>
    <row r="1675" spans="1:6" x14ac:dyDescent="0.25">
      <c r="A1675" s="1" t="str">
        <f t="shared" si="63"/>
        <v>12060</v>
      </c>
      <c r="B1675" s="1" t="str">
        <f>"31131"</f>
        <v>31131</v>
      </c>
      <c r="C1675" s="2">
        <v>4.5440044759378998E-4</v>
      </c>
      <c r="D1675" s="2">
        <v>1.7719151449525001E-3</v>
      </c>
      <c r="E1675" s="2">
        <v>1.4946566026455399E-5</v>
      </c>
      <c r="F1675" s="2">
        <v>5.68558202509853E-4</v>
      </c>
    </row>
    <row r="1676" spans="1:6" x14ac:dyDescent="0.25">
      <c r="A1676" s="1" t="str">
        <f t="shared" si="63"/>
        <v>12060</v>
      </c>
      <c r="B1676" s="1" t="str">
        <f>"30037"</f>
        <v>30037</v>
      </c>
      <c r="C1676" s="2">
        <v>1.1840591087094101E-3</v>
      </c>
      <c r="D1676" s="2">
        <v>2.1129384962627999E-3</v>
      </c>
      <c r="E1676" s="2">
        <v>1.4946566026455399E-5</v>
      </c>
      <c r="F1676" s="2">
        <v>1.24553913200995E-3</v>
      </c>
    </row>
    <row r="1677" spans="1:6" x14ac:dyDescent="0.25">
      <c r="A1677" s="1" t="str">
        <f t="shared" si="63"/>
        <v>12060</v>
      </c>
      <c r="B1677" s="1" t="str">
        <f>"30104"</f>
        <v>30104</v>
      </c>
      <c r="C1677" s="2">
        <v>2.6179449655609301E-5</v>
      </c>
      <c r="D1677" s="2">
        <v>3.5157046526835302E-6</v>
      </c>
      <c r="E1677" s="2">
        <v>0</v>
      </c>
      <c r="F1677" s="2">
        <v>2.3469553708255501E-5</v>
      </c>
    </row>
    <row r="1678" spans="1:6" x14ac:dyDescent="0.25">
      <c r="A1678" s="1" t="str">
        <f t="shared" si="63"/>
        <v>12060</v>
      </c>
      <c r="B1678" s="1" t="str">
        <f>"30364"</f>
        <v>30364</v>
      </c>
      <c r="C1678" s="2">
        <v>4.5926234538697498E-4</v>
      </c>
      <c r="D1678" s="2">
        <v>1.1496354214275101E-3</v>
      </c>
      <c r="E1678" s="2">
        <v>1.4946566026455399E-5</v>
      </c>
      <c r="F1678" s="2">
        <v>5.1434683901472797E-4</v>
      </c>
    </row>
    <row r="1679" spans="1:6" x14ac:dyDescent="0.25">
      <c r="A1679" s="1" t="str">
        <f t="shared" si="63"/>
        <v>12060</v>
      </c>
      <c r="B1679" s="1" t="str">
        <f>"30007"</f>
        <v>30007</v>
      </c>
      <c r="C1679" s="2">
        <v>3.8446391779952001E-4</v>
      </c>
      <c r="D1679" s="2">
        <v>1.7226952798149299E-3</v>
      </c>
      <c r="E1679" s="2">
        <v>1.4946566026455399E-5</v>
      </c>
      <c r="F1679" s="2">
        <v>5.0211622651887596E-4</v>
      </c>
    </row>
    <row r="1680" spans="1:6" x14ac:dyDescent="0.25">
      <c r="A1680" s="1" t="str">
        <f t="shared" si="63"/>
        <v>12060</v>
      </c>
      <c r="B1680" s="1" t="str">
        <f>"30090"</f>
        <v>30090</v>
      </c>
      <c r="C1680" s="2">
        <v>0</v>
      </c>
      <c r="D1680" s="2">
        <v>3.1641341874151802E-5</v>
      </c>
      <c r="E1680" s="2">
        <v>4.1850384874075099E-4</v>
      </c>
      <c r="F1680" s="2">
        <v>1.2230612495851501E-5</v>
      </c>
    </row>
    <row r="1681" spans="1:6" x14ac:dyDescent="0.25">
      <c r="A1681" s="1" t="str">
        <f t="shared" si="63"/>
        <v>12060</v>
      </c>
      <c r="B1681" s="1" t="str">
        <f>"30363"</f>
        <v>30363</v>
      </c>
      <c r="C1681" s="2">
        <v>9.4620010898130804E-4</v>
      </c>
      <c r="D1681" s="2">
        <v>9.1759891435040295E-4</v>
      </c>
      <c r="E1681" s="2">
        <v>9.71526791719602E-4</v>
      </c>
      <c r="F1681" s="2">
        <v>9.4407106184194302E-4</v>
      </c>
    </row>
    <row r="1682" spans="1:6" x14ac:dyDescent="0.25">
      <c r="A1682" s="1" t="str">
        <f t="shared" si="63"/>
        <v>12060</v>
      </c>
      <c r="B1682" s="1" t="str">
        <f>"30329"</f>
        <v>30329</v>
      </c>
      <c r="C1682" s="2">
        <v>5.6424193850596804E-3</v>
      </c>
      <c r="D1682" s="2">
        <v>5.5407505326292503E-3</v>
      </c>
      <c r="E1682" s="2">
        <v>1.7472535684926301E-2</v>
      </c>
      <c r="F1682" s="2">
        <v>5.89449410881146E-3</v>
      </c>
    </row>
    <row r="1683" spans="1:6" x14ac:dyDescent="0.25">
      <c r="A1683" s="1" t="str">
        <f t="shared" si="63"/>
        <v>12060</v>
      </c>
      <c r="B1683" s="1" t="str">
        <f>"30337"</f>
        <v>30337</v>
      </c>
      <c r="C1683" s="2">
        <v>2.7559480644597802E-3</v>
      </c>
      <c r="D1683" s="2">
        <v>3.5789873364318399E-3</v>
      </c>
      <c r="E1683" s="2">
        <v>8.4149166728943996E-3</v>
      </c>
      <c r="F1683" s="2">
        <v>2.9584859956181299E-3</v>
      </c>
    </row>
    <row r="1684" spans="1:6" x14ac:dyDescent="0.25">
      <c r="A1684" s="1" t="str">
        <f t="shared" si="63"/>
        <v>12060</v>
      </c>
      <c r="B1684" s="1" t="str">
        <f>"30357"</f>
        <v>30357</v>
      </c>
      <c r="C1684" s="2">
        <v>6.0474528704457502E-4</v>
      </c>
      <c r="D1684" s="2">
        <v>1.65941259606662E-3</v>
      </c>
      <c r="E1684" s="2">
        <v>1.4946566026455399E-5</v>
      </c>
      <c r="F1684" s="2">
        <v>6.9086432746836798E-4</v>
      </c>
    </row>
    <row r="1685" spans="1:6" x14ac:dyDescent="0.25">
      <c r="A1685" s="1" t="str">
        <f t="shared" si="63"/>
        <v>12060</v>
      </c>
      <c r="B1685" s="1" t="str">
        <f>"30680"</f>
        <v>30680</v>
      </c>
      <c r="C1685" s="2">
        <v>6.7004431432842399E-3</v>
      </c>
      <c r="D1685" s="2">
        <v>5.5407505326292503E-3</v>
      </c>
      <c r="E1685" s="2">
        <v>5.7992676182647002E-3</v>
      </c>
      <c r="F1685" s="2">
        <v>6.5714750383115599E-3</v>
      </c>
    </row>
    <row r="1686" spans="1:6" x14ac:dyDescent="0.25">
      <c r="A1686" s="1" t="str">
        <f t="shared" si="63"/>
        <v>12060</v>
      </c>
      <c r="B1686" s="1" t="str">
        <f>"30666"</f>
        <v>30666</v>
      </c>
      <c r="C1686" s="2">
        <v>1.2659633869176799E-3</v>
      </c>
      <c r="D1686" s="2">
        <v>4.7462012811227701E-4</v>
      </c>
      <c r="E1686" s="2">
        <v>4.1850384874075099E-4</v>
      </c>
      <c r="F1686" s="2">
        <v>1.1728165712238099E-3</v>
      </c>
    </row>
    <row r="1687" spans="1:6" x14ac:dyDescent="0.25">
      <c r="A1687" s="1" t="str">
        <f t="shared" si="63"/>
        <v>12060</v>
      </c>
      <c r="B1687" s="1" t="str">
        <f>"31064"</f>
        <v>31064</v>
      </c>
      <c r="C1687" s="2">
        <v>1.61115813023378E-3</v>
      </c>
      <c r="D1687" s="2">
        <v>9.8439730275139007E-4</v>
      </c>
      <c r="E1687" s="2">
        <v>5.8291607503176102E-4</v>
      </c>
      <c r="F1687" s="2">
        <v>1.5294876761704E-3</v>
      </c>
    </row>
    <row r="1688" spans="1:6" x14ac:dyDescent="0.25">
      <c r="A1688" s="1" t="str">
        <f t="shared" si="63"/>
        <v>12060</v>
      </c>
      <c r="B1688" s="1" t="str">
        <f>"31038"</f>
        <v>31038</v>
      </c>
      <c r="C1688" s="2">
        <v>9.5741987311942695E-5</v>
      </c>
      <c r="D1688" s="2">
        <v>4.57041604848859E-5</v>
      </c>
      <c r="E1688" s="2">
        <v>0</v>
      </c>
      <c r="F1688" s="2">
        <v>8.8919858415785198E-5</v>
      </c>
    </row>
    <row r="1689" spans="1:6" x14ac:dyDescent="0.25">
      <c r="A1689" s="1" t="str">
        <f t="shared" si="63"/>
        <v>12060</v>
      </c>
      <c r="B1689" s="1" t="str">
        <f>"31830"</f>
        <v>31830</v>
      </c>
      <c r="C1689" s="2">
        <v>3.5828446814390998E-4</v>
      </c>
      <c r="D1689" s="2">
        <v>1.8984805124491101E-4</v>
      </c>
      <c r="E1689" s="2">
        <v>2.0925192437037501E-4</v>
      </c>
      <c r="F1689" s="2">
        <v>3.39151578939017E-4</v>
      </c>
    </row>
    <row r="1690" spans="1:6" x14ac:dyDescent="0.25">
      <c r="A1690" s="1" t="str">
        <f t="shared" si="63"/>
        <v>12060</v>
      </c>
      <c r="B1690" s="1" t="str">
        <f>"30047"</f>
        <v>30047</v>
      </c>
      <c r="C1690" s="2">
        <v>8.4080912451058396E-3</v>
      </c>
      <c r="D1690" s="2">
        <v>7.5447021846588701E-3</v>
      </c>
      <c r="E1690" s="2">
        <v>7.0846722965398597E-3</v>
      </c>
      <c r="F1690" s="2">
        <v>8.2976441856990393E-3</v>
      </c>
    </row>
    <row r="1691" spans="1:6" x14ac:dyDescent="0.25">
      <c r="A1691" s="1" t="str">
        <f t="shared" si="63"/>
        <v>12060</v>
      </c>
      <c r="B1691" s="1" t="str">
        <f>"30048"</f>
        <v>30048</v>
      </c>
      <c r="C1691" s="2">
        <v>8.4185630249680797E-4</v>
      </c>
      <c r="D1691" s="2">
        <v>1.58909850301295E-3</v>
      </c>
      <c r="E1691" s="2">
        <v>1.4946566026455399E-5</v>
      </c>
      <c r="F1691" s="2">
        <v>8.9382638348060699E-4</v>
      </c>
    </row>
    <row r="1692" spans="1:6" x14ac:dyDescent="0.25">
      <c r="A1692" s="1" t="str">
        <f t="shared" si="63"/>
        <v>12060</v>
      </c>
      <c r="B1692" s="1" t="str">
        <f>"30044"</f>
        <v>30044</v>
      </c>
      <c r="C1692" s="2">
        <v>1.17149297287472E-2</v>
      </c>
      <c r="D1692" s="2">
        <v>4.5247118880037103E-3</v>
      </c>
      <c r="E1692" s="2">
        <v>6.6661684477991104E-3</v>
      </c>
      <c r="F1692" s="2">
        <v>1.09272258723071E-2</v>
      </c>
    </row>
    <row r="1693" spans="1:6" x14ac:dyDescent="0.25">
      <c r="A1693" s="1" t="str">
        <f t="shared" si="63"/>
        <v>12060</v>
      </c>
      <c r="B1693" s="1" t="str">
        <f>"30054"</f>
        <v>30054</v>
      </c>
      <c r="C1693" s="2">
        <v>2.2338550398993502E-3</v>
      </c>
      <c r="D1693" s="2">
        <v>9.1759891435040295E-4</v>
      </c>
      <c r="E1693" s="2">
        <v>1.5843359988042701E-3</v>
      </c>
      <c r="F1693" s="2">
        <v>2.0957319790188798E-3</v>
      </c>
    </row>
    <row r="1694" spans="1:6" x14ac:dyDescent="0.25">
      <c r="A1694" s="1" t="str">
        <f t="shared" si="63"/>
        <v>12060</v>
      </c>
      <c r="B1694" s="1" t="str">
        <f>"30032"</f>
        <v>30032</v>
      </c>
      <c r="C1694" s="2">
        <v>7.9783742786159097E-3</v>
      </c>
      <c r="D1694" s="2">
        <v>5.0485518812535502E-3</v>
      </c>
      <c r="E1694" s="2">
        <v>1.61123981765189E-2</v>
      </c>
      <c r="F1694" s="2">
        <v>7.8827950321235293E-3</v>
      </c>
    </row>
    <row r="1695" spans="1:6" x14ac:dyDescent="0.25">
      <c r="A1695" s="1" t="str">
        <f t="shared" si="63"/>
        <v>12060</v>
      </c>
      <c r="B1695" s="1" t="str">
        <f>"30042"</f>
        <v>30042</v>
      </c>
      <c r="C1695" s="2">
        <v>5.4116662359523799E-4</v>
      </c>
      <c r="D1695" s="2">
        <v>1.5785513890548999E-3</v>
      </c>
      <c r="E1695" s="2">
        <v>1.4946566026455399E-5</v>
      </c>
      <c r="F1695" s="2">
        <v>6.2706680823325096E-4</v>
      </c>
    </row>
    <row r="1696" spans="1:6" x14ac:dyDescent="0.25">
      <c r="A1696" s="1" t="str">
        <f t="shared" si="63"/>
        <v>12060</v>
      </c>
      <c r="B1696" s="1" t="str">
        <f>"30075"</f>
        <v>30075</v>
      </c>
      <c r="C1696" s="2">
        <v>8.3228210376561397E-3</v>
      </c>
      <c r="D1696" s="2">
        <v>7.4251682264676296E-3</v>
      </c>
      <c r="E1696" s="2">
        <v>1.0582168746730399E-2</v>
      </c>
      <c r="F1696" s="2">
        <v>8.2883885870535298E-3</v>
      </c>
    </row>
    <row r="1697" spans="1:6" x14ac:dyDescent="0.25">
      <c r="A1697" s="1" t="str">
        <f t="shared" si="63"/>
        <v>12060</v>
      </c>
      <c r="B1697" s="1" t="str">
        <f>"30076"</f>
        <v>30076</v>
      </c>
      <c r="C1697" s="2">
        <v>7.3691410859160903E-3</v>
      </c>
      <c r="D1697" s="2">
        <v>1.10604068373424E-2</v>
      </c>
      <c r="E1697" s="2">
        <v>1.4438382781555899E-2</v>
      </c>
      <c r="F1697" s="2">
        <v>7.8725477621945806E-3</v>
      </c>
    </row>
    <row r="1698" spans="1:6" x14ac:dyDescent="0.25">
      <c r="A1698" s="1" t="str">
        <f t="shared" si="63"/>
        <v>12060</v>
      </c>
      <c r="B1698" s="1" t="str">
        <f>"30083"</f>
        <v>30083</v>
      </c>
      <c r="C1698" s="2">
        <v>9.0311621469093394E-3</v>
      </c>
      <c r="D1698" s="2">
        <v>5.7798184490117296E-3</v>
      </c>
      <c r="E1698" s="2">
        <v>8.5793288991854108E-3</v>
      </c>
      <c r="F1698" s="2">
        <v>8.7154683531248806E-3</v>
      </c>
    </row>
    <row r="1699" spans="1:6" x14ac:dyDescent="0.25">
      <c r="A1699" s="1" t="str">
        <f t="shared" si="63"/>
        <v>12060</v>
      </c>
      <c r="B1699" s="1" t="str">
        <f>"30078"</f>
        <v>30078</v>
      </c>
      <c r="C1699" s="2">
        <v>5.3323799027096804E-3</v>
      </c>
      <c r="D1699" s="2">
        <v>7.8294742615262307E-3</v>
      </c>
      <c r="E1699" s="2">
        <v>5.5302294297885001E-3</v>
      </c>
      <c r="F1699" s="2">
        <v>5.5715398275020802E-3</v>
      </c>
    </row>
    <row r="1700" spans="1:6" x14ac:dyDescent="0.25">
      <c r="A1700" s="1" t="str">
        <f t="shared" si="63"/>
        <v>12060</v>
      </c>
      <c r="B1700" s="1" t="str">
        <f>"30062"</f>
        <v>30062</v>
      </c>
      <c r="C1700" s="2">
        <v>9.4537732627784608E-3</v>
      </c>
      <c r="D1700" s="2">
        <v>8.8630914294151892E-3</v>
      </c>
      <c r="E1700" s="2">
        <v>6.3821836932964598E-3</v>
      </c>
      <c r="F1700" s="2">
        <v>9.3303045488622796E-3</v>
      </c>
    </row>
    <row r="1701" spans="1:6" x14ac:dyDescent="0.25">
      <c r="A1701" s="1" t="str">
        <f t="shared" si="63"/>
        <v>12060</v>
      </c>
      <c r="B1701" s="1" t="str">
        <f>"30114"</f>
        <v>30114</v>
      </c>
      <c r="C1701" s="2">
        <v>8.8879231580793697E-3</v>
      </c>
      <c r="D1701" s="2">
        <v>7.0595349425885403E-3</v>
      </c>
      <c r="E1701" s="2">
        <v>6.7259547119049301E-3</v>
      </c>
      <c r="F1701" s="2">
        <v>8.6681986886138901E-3</v>
      </c>
    </row>
    <row r="1702" spans="1:6" x14ac:dyDescent="0.25">
      <c r="A1702" s="1" t="str">
        <f t="shared" si="63"/>
        <v>12060</v>
      </c>
      <c r="B1702" s="1" t="str">
        <f>"30623"</f>
        <v>30623</v>
      </c>
      <c r="C1702" s="2">
        <v>0</v>
      </c>
      <c r="D1702" s="2">
        <v>0</v>
      </c>
      <c r="E1702" s="2">
        <v>1.4946566026455399E-5</v>
      </c>
      <c r="F1702" s="2">
        <v>3.3055709448247299E-7</v>
      </c>
    </row>
    <row r="1703" spans="1:6" x14ac:dyDescent="0.25">
      <c r="A1703" s="1" t="str">
        <f t="shared" si="63"/>
        <v>12060</v>
      </c>
      <c r="B1703" s="1" t="str">
        <f>"30070"</f>
        <v>30070</v>
      </c>
      <c r="C1703" s="2">
        <v>3.1751932510874699E-4</v>
      </c>
      <c r="D1703" s="2">
        <v>3.7266469318445399E-4</v>
      </c>
      <c r="E1703" s="2">
        <v>7.4732830132277103E-5</v>
      </c>
      <c r="F1703" s="2">
        <v>3.1733481070317398E-4</v>
      </c>
    </row>
    <row r="1704" spans="1:6" x14ac:dyDescent="0.25">
      <c r="A1704" s="1" t="str">
        <f t="shared" si="63"/>
        <v>12060</v>
      </c>
      <c r="B1704" s="1" t="str">
        <f>"30515"</f>
        <v>30515</v>
      </c>
      <c r="C1704" s="2">
        <v>3.9867561904113598E-4</v>
      </c>
      <c r="D1704" s="2">
        <v>2.2535666823701398E-3</v>
      </c>
      <c r="E1704" s="2">
        <v>1.4946566026455399E-5</v>
      </c>
      <c r="F1704" s="2">
        <v>5.64591517376064E-4</v>
      </c>
    </row>
    <row r="1705" spans="1:6" x14ac:dyDescent="0.25">
      <c r="A1705" s="1" t="str">
        <f t="shared" ref="A1705:A1768" si="64">"12060"</f>
        <v>12060</v>
      </c>
      <c r="B1705" s="1" t="str">
        <f>"30356"</f>
        <v>30356</v>
      </c>
      <c r="C1705" s="2">
        <v>4.0989538317925402E-4</v>
      </c>
      <c r="D1705" s="2">
        <v>1.2304966284392301E-3</v>
      </c>
      <c r="E1705" s="2">
        <v>1.4946566026455399E-5</v>
      </c>
      <c r="F1705" s="2">
        <v>4.7831611571613801E-4</v>
      </c>
    </row>
    <row r="1706" spans="1:6" x14ac:dyDescent="0.25">
      <c r="A1706" s="1" t="str">
        <f t="shared" si="64"/>
        <v>12060</v>
      </c>
      <c r="B1706" s="1" t="str">
        <f>"30108"</f>
        <v>30108</v>
      </c>
      <c r="C1706" s="2">
        <v>1.43238988829976E-3</v>
      </c>
      <c r="D1706" s="2">
        <v>1.0933841469845801E-3</v>
      </c>
      <c r="E1706" s="2">
        <v>5.2312981092593903E-4</v>
      </c>
      <c r="F1706" s="2">
        <v>1.3804064265588E-3</v>
      </c>
    </row>
    <row r="1707" spans="1:6" x14ac:dyDescent="0.25">
      <c r="A1707" s="1" t="str">
        <f t="shared" si="64"/>
        <v>12060</v>
      </c>
      <c r="B1707" s="1" t="str">
        <f>"30107"</f>
        <v>30107</v>
      </c>
      <c r="C1707" s="2">
        <v>2.42234707741973E-3</v>
      </c>
      <c r="D1707" s="2">
        <v>1.1461197167748299E-3</v>
      </c>
      <c r="E1707" s="2">
        <v>5.2312981092593903E-4</v>
      </c>
      <c r="F1707" s="2">
        <v>2.2603494120711498E-3</v>
      </c>
    </row>
    <row r="1708" spans="1:6" x14ac:dyDescent="0.25">
      <c r="A1708" s="1" t="str">
        <f t="shared" si="64"/>
        <v>12060</v>
      </c>
      <c r="B1708" s="1" t="str">
        <f>"30144"</f>
        <v>30144</v>
      </c>
      <c r="C1708" s="2">
        <v>8.0771082030313499E-3</v>
      </c>
      <c r="D1708" s="2">
        <v>1.27373979566724E-2</v>
      </c>
      <c r="E1708" s="2">
        <v>8.5942754652118605E-3</v>
      </c>
      <c r="F1708" s="2">
        <v>8.5267202521753897E-3</v>
      </c>
    </row>
    <row r="1709" spans="1:6" x14ac:dyDescent="0.25">
      <c r="A1709" s="1" t="str">
        <f t="shared" si="64"/>
        <v>12060</v>
      </c>
      <c r="B1709" s="1" t="str">
        <f>"30148"</f>
        <v>30148</v>
      </c>
      <c r="C1709" s="2">
        <v>1.3089724827804601E-4</v>
      </c>
      <c r="D1709" s="2">
        <v>4.9571435602837797E-4</v>
      </c>
      <c r="E1709" s="2">
        <v>1.64412226291009E-4</v>
      </c>
      <c r="F1709" s="2">
        <v>1.6593966143020101E-4</v>
      </c>
    </row>
    <row r="1710" spans="1:6" x14ac:dyDescent="0.25">
      <c r="A1710" s="1" t="str">
        <f t="shared" si="64"/>
        <v>12060</v>
      </c>
      <c r="B1710" s="1" t="str">
        <f>"30295"</f>
        <v>30295</v>
      </c>
      <c r="C1710" s="2">
        <v>6.6869794263184899E-4</v>
      </c>
      <c r="D1710" s="2">
        <v>6.5392106539913697E-4</v>
      </c>
      <c r="E1710" s="2">
        <v>1.4946566026455399E-4</v>
      </c>
      <c r="F1710" s="2">
        <v>6.5582527545322595E-4</v>
      </c>
    </row>
    <row r="1711" spans="1:6" x14ac:dyDescent="0.25">
      <c r="A1711" s="1" t="str">
        <f t="shared" si="64"/>
        <v>12060</v>
      </c>
      <c r="B1711" s="1" t="str">
        <f>"30263"</f>
        <v>30263</v>
      </c>
      <c r="C1711" s="2">
        <v>9.1254081656695404E-3</v>
      </c>
      <c r="D1711" s="2">
        <v>6.6657760214879798E-3</v>
      </c>
      <c r="E1711" s="2">
        <v>8.3102907107092099E-3</v>
      </c>
      <c r="F1711" s="2">
        <v>8.8761191010433699E-3</v>
      </c>
    </row>
    <row r="1712" spans="1:6" x14ac:dyDescent="0.25">
      <c r="A1712" s="1" t="str">
        <f t="shared" si="64"/>
        <v>12060</v>
      </c>
      <c r="B1712" s="1" t="str">
        <f>"30281"</f>
        <v>30281</v>
      </c>
      <c r="C1712" s="2">
        <v>1.0902992797285399E-2</v>
      </c>
      <c r="D1712" s="2">
        <v>1.11834565001863E-2</v>
      </c>
      <c r="E1712" s="2">
        <v>5.7095882221059697E-3</v>
      </c>
      <c r="F1712" s="2">
        <v>1.08145059030885E-2</v>
      </c>
    </row>
    <row r="1713" spans="1:6" x14ac:dyDescent="0.25">
      <c r="A1713" s="1" t="str">
        <f t="shared" si="64"/>
        <v>12060</v>
      </c>
      <c r="B1713" s="1" t="str">
        <f>"30341"</f>
        <v>30341</v>
      </c>
      <c r="C1713" s="2">
        <v>5.7965041458898402E-3</v>
      </c>
      <c r="D1713" s="2">
        <v>1.0926810060540399E-2</v>
      </c>
      <c r="E1713" s="2">
        <v>1.93408564382333E-2</v>
      </c>
      <c r="F1713" s="2">
        <v>6.5784167372956899E-3</v>
      </c>
    </row>
    <row r="1714" spans="1:6" x14ac:dyDescent="0.25">
      <c r="A1714" s="1" t="str">
        <f t="shared" si="64"/>
        <v>12060</v>
      </c>
      <c r="B1714" s="1" t="str">
        <f>"30396"</f>
        <v>30396</v>
      </c>
      <c r="C1714" s="2">
        <v>0</v>
      </c>
      <c r="D1714" s="2">
        <v>0</v>
      </c>
      <c r="E1714" s="2">
        <v>1.4946566026455399E-5</v>
      </c>
      <c r="F1714" s="2">
        <v>3.3055709448247299E-7</v>
      </c>
    </row>
    <row r="1715" spans="1:6" x14ac:dyDescent="0.25">
      <c r="A1715" s="1" t="str">
        <f t="shared" si="64"/>
        <v>12060</v>
      </c>
      <c r="B1715" s="1" t="str">
        <f>"30620"</f>
        <v>30620</v>
      </c>
      <c r="C1715" s="2">
        <v>2.0734124127242499E-3</v>
      </c>
      <c r="D1715" s="2">
        <v>8.29706298033314E-4</v>
      </c>
      <c r="E1715" s="2">
        <v>7.0248860324340404E-4</v>
      </c>
      <c r="F1715" s="2">
        <v>1.92615618954937E-3</v>
      </c>
    </row>
    <row r="1716" spans="1:6" x14ac:dyDescent="0.25">
      <c r="A1716" s="1" t="str">
        <f t="shared" si="64"/>
        <v>12060</v>
      </c>
      <c r="B1716" s="1" t="str">
        <f>"31119"</f>
        <v>31119</v>
      </c>
      <c r="C1716" s="2">
        <v>3.8670787062714299E-4</v>
      </c>
      <c r="D1716" s="2">
        <v>1.04064857719432E-3</v>
      </c>
      <c r="E1716" s="2">
        <v>1.4946566026455399E-5</v>
      </c>
      <c r="F1716" s="2">
        <v>4.3997149275617098E-4</v>
      </c>
    </row>
    <row r="1717" spans="1:6" x14ac:dyDescent="0.25">
      <c r="A1717" s="1" t="str">
        <f t="shared" si="64"/>
        <v>12060</v>
      </c>
      <c r="B1717" s="1" t="str">
        <f>"31822"</f>
        <v>31822</v>
      </c>
      <c r="C1717" s="2">
        <v>1.06961751450061E-4</v>
      </c>
      <c r="D1717" s="2">
        <v>2.4609932568784702E-5</v>
      </c>
      <c r="E1717" s="2">
        <v>7.4732830132277103E-5</v>
      </c>
      <c r="F1717" s="2">
        <v>9.8506014155776996E-5</v>
      </c>
    </row>
    <row r="1718" spans="1:6" x14ac:dyDescent="0.25">
      <c r="A1718" s="1" t="str">
        <f t="shared" si="64"/>
        <v>12060</v>
      </c>
      <c r="B1718" s="1" t="str">
        <f>"30010"</f>
        <v>30010</v>
      </c>
      <c r="C1718" s="2">
        <v>7.44244354495179E-4</v>
      </c>
      <c r="D1718" s="2">
        <v>1.93363755897594E-3</v>
      </c>
      <c r="E1718" s="2">
        <v>1.4946566026455399E-5</v>
      </c>
      <c r="F1718" s="2">
        <v>8.3994557707996404E-4</v>
      </c>
    </row>
    <row r="1719" spans="1:6" x14ac:dyDescent="0.25">
      <c r="A1719" s="1" t="str">
        <f t="shared" si="64"/>
        <v>12060</v>
      </c>
      <c r="B1719" s="1" t="str">
        <f>"30031"</f>
        <v>30031</v>
      </c>
      <c r="C1719" s="2">
        <v>9.9818501615458999E-4</v>
      </c>
      <c r="D1719" s="2">
        <v>2.61568426159655E-3</v>
      </c>
      <c r="E1719" s="2">
        <v>1.4946566026455399E-5</v>
      </c>
      <c r="F1719" s="2">
        <v>1.1285219205631599E-3</v>
      </c>
    </row>
    <row r="1720" spans="1:6" x14ac:dyDescent="0.25">
      <c r="A1720" s="1" t="str">
        <f t="shared" si="64"/>
        <v>12060</v>
      </c>
      <c r="B1720" s="1" t="str">
        <f>"30093"</f>
        <v>30093</v>
      </c>
      <c r="C1720" s="2">
        <v>7.3152862180531197E-3</v>
      </c>
      <c r="D1720" s="2">
        <v>9.4009942412757695E-3</v>
      </c>
      <c r="E1720" s="2">
        <v>2.86824602047679E-2</v>
      </c>
      <c r="F1720" s="2">
        <v>7.98394550303517E-3</v>
      </c>
    </row>
    <row r="1721" spans="1:6" x14ac:dyDescent="0.25">
      <c r="A1721" s="1" t="str">
        <f t="shared" si="64"/>
        <v>12060</v>
      </c>
      <c r="B1721" s="1" t="str">
        <f>"30066"</f>
        <v>30066</v>
      </c>
      <c r="C1721" s="2">
        <v>8.91559857628672E-3</v>
      </c>
      <c r="D1721" s="2">
        <v>1.1053375428037001E-2</v>
      </c>
      <c r="E1721" s="2">
        <v>1.43935430834765E-2</v>
      </c>
      <c r="F1721" s="2">
        <v>9.2377485624071907E-3</v>
      </c>
    </row>
    <row r="1722" spans="1:6" x14ac:dyDescent="0.25">
      <c r="A1722" s="1" t="str">
        <f t="shared" si="64"/>
        <v>12060</v>
      </c>
      <c r="B1722" s="1" t="str">
        <f>"30091"</f>
        <v>30091</v>
      </c>
      <c r="C1722" s="2">
        <v>5.2583294593981005E-4</v>
      </c>
      <c r="D1722" s="2">
        <v>1.5398786378753801E-3</v>
      </c>
      <c r="E1722" s="2">
        <v>1.4946566026455399E-5</v>
      </c>
      <c r="F1722" s="2">
        <v>6.0987783932016295E-4</v>
      </c>
    </row>
    <row r="1723" spans="1:6" x14ac:dyDescent="0.25">
      <c r="A1723" s="1" t="str">
        <f t="shared" si="64"/>
        <v>12060</v>
      </c>
      <c r="B1723" s="1" t="str">
        <f>"30058"</f>
        <v>30058</v>
      </c>
      <c r="C1723" s="2">
        <v>8.84827999145801E-3</v>
      </c>
      <c r="D1723" s="2">
        <v>6.2438914631659601E-3</v>
      </c>
      <c r="E1723" s="2">
        <v>5.8889470144234297E-3</v>
      </c>
      <c r="F1723" s="2">
        <v>8.5379591933878E-3</v>
      </c>
    </row>
    <row r="1724" spans="1:6" x14ac:dyDescent="0.25">
      <c r="A1724" s="1" t="str">
        <f t="shared" si="64"/>
        <v>12060</v>
      </c>
      <c r="B1724" s="1" t="str">
        <f>"30055"</f>
        <v>30055</v>
      </c>
      <c r="C1724" s="2">
        <v>6.0025738138932798E-4</v>
      </c>
      <c r="D1724" s="2">
        <v>1.7226952798149301E-4</v>
      </c>
      <c r="E1724" s="2">
        <v>2.0925192437037501E-4</v>
      </c>
      <c r="F1724" s="2">
        <v>5.5136923359676499E-4</v>
      </c>
    </row>
    <row r="1725" spans="1:6" x14ac:dyDescent="0.25">
      <c r="A1725" s="1" t="str">
        <f t="shared" si="64"/>
        <v>12060</v>
      </c>
      <c r="B1725" s="1" t="str">
        <f>"30137"</f>
        <v>30137</v>
      </c>
      <c r="C1725" s="2">
        <v>4.5851436111109999E-4</v>
      </c>
      <c r="D1725" s="2">
        <v>4.21884558322024E-4</v>
      </c>
      <c r="E1725" s="2">
        <v>5.9786264105821597E-5</v>
      </c>
      <c r="F1725" s="2">
        <v>4.4625207755133797E-4</v>
      </c>
    </row>
    <row r="1726" spans="1:6" x14ac:dyDescent="0.25">
      <c r="A1726" s="1" t="str">
        <f t="shared" si="64"/>
        <v>12060</v>
      </c>
      <c r="B1726" s="1" t="str">
        <f>"30112"</f>
        <v>30112</v>
      </c>
      <c r="C1726" s="2">
        <v>5.8267975090627597E-4</v>
      </c>
      <c r="D1726" s="2">
        <v>1.6137084355817401E-3</v>
      </c>
      <c r="E1726" s="2">
        <v>1.4946566026455399E-5</v>
      </c>
      <c r="F1726" s="2">
        <v>6.6706421666562997E-4</v>
      </c>
    </row>
    <row r="1727" spans="1:6" x14ac:dyDescent="0.25">
      <c r="A1727" s="1" t="str">
        <f t="shared" si="64"/>
        <v>12060</v>
      </c>
      <c r="B1727" s="1" t="str">
        <f>"30121"</f>
        <v>30121</v>
      </c>
      <c r="C1727" s="2">
        <v>3.9362672517898297E-3</v>
      </c>
      <c r="D1727" s="2">
        <v>2.80904801749414E-3</v>
      </c>
      <c r="E1727" s="2">
        <v>3.55728271429639E-3</v>
      </c>
      <c r="F1727" s="2">
        <v>3.8219011264063502E-3</v>
      </c>
    </row>
    <row r="1728" spans="1:6" x14ac:dyDescent="0.25">
      <c r="A1728" s="1" t="str">
        <f t="shared" si="64"/>
        <v>12060</v>
      </c>
      <c r="B1728" s="1" t="str">
        <f>"30222"</f>
        <v>30222</v>
      </c>
      <c r="C1728" s="2">
        <v>7.8987139532352699E-4</v>
      </c>
      <c r="D1728" s="2">
        <v>3.16413418741518E-4</v>
      </c>
      <c r="E1728" s="2">
        <v>2.8398475450265299E-4</v>
      </c>
      <c r="F1728" s="2">
        <v>7.3416730684557204E-4</v>
      </c>
    </row>
    <row r="1729" spans="1:6" x14ac:dyDescent="0.25">
      <c r="A1729" s="1" t="str">
        <f t="shared" si="64"/>
        <v>12060</v>
      </c>
      <c r="B1729" s="1" t="str">
        <f>"30157"</f>
        <v>30157</v>
      </c>
      <c r="C1729" s="2">
        <v>7.3934505748820102E-3</v>
      </c>
      <c r="D1729" s="2">
        <v>2.2676295009808802E-3</v>
      </c>
      <c r="E1729" s="2">
        <v>2.3914505642328599E-3</v>
      </c>
      <c r="F1729" s="2">
        <v>6.8008816618824004E-3</v>
      </c>
    </row>
    <row r="1730" spans="1:6" x14ac:dyDescent="0.25">
      <c r="A1730" s="1" t="str">
        <f t="shared" si="64"/>
        <v>12060</v>
      </c>
      <c r="B1730" s="1" t="str">
        <f>"30003"</f>
        <v>30003</v>
      </c>
      <c r="C1730" s="2">
        <v>3.9119577628238998E-4</v>
      </c>
      <c r="D1730" s="2">
        <v>5.9766979095620103E-4</v>
      </c>
      <c r="E1730" s="2">
        <v>1.4946566026455399E-5</v>
      </c>
      <c r="F1730" s="2">
        <v>4.0228798398516899E-4</v>
      </c>
    </row>
    <row r="1731" spans="1:6" x14ac:dyDescent="0.25">
      <c r="A1731" s="1" t="str">
        <f t="shared" si="64"/>
        <v>12060</v>
      </c>
      <c r="B1731" s="1" t="str">
        <f>"30169"</f>
        <v>30169</v>
      </c>
      <c r="C1731" s="2">
        <v>5.7370393959578101E-4</v>
      </c>
      <c r="D1731" s="2">
        <v>8.9298898178161797E-4</v>
      </c>
      <c r="E1731" s="2">
        <v>1.4946566026455399E-5</v>
      </c>
      <c r="F1731" s="2">
        <v>5.91366642029144E-4</v>
      </c>
    </row>
    <row r="1732" spans="1:6" x14ac:dyDescent="0.25">
      <c r="A1732" s="1" t="str">
        <f t="shared" si="64"/>
        <v>12060</v>
      </c>
      <c r="B1732" s="1" t="str">
        <f>"30621"</f>
        <v>30621</v>
      </c>
      <c r="C1732" s="2">
        <v>1.04717798622437E-4</v>
      </c>
      <c r="D1732" s="2">
        <v>1.7578523263417601E-5</v>
      </c>
      <c r="E1732" s="2">
        <v>0</v>
      </c>
      <c r="F1732" s="2">
        <v>9.4208771927504803E-5</v>
      </c>
    </row>
    <row r="1733" spans="1:6" x14ac:dyDescent="0.25">
      <c r="A1733" s="1" t="str">
        <f t="shared" si="64"/>
        <v>12060</v>
      </c>
      <c r="B1733" s="1" t="str">
        <f>"31106"</f>
        <v>31106</v>
      </c>
      <c r="C1733" s="2">
        <v>1.5296278441634501E-4</v>
      </c>
      <c r="D1733" s="2">
        <v>9.5275596087723803E-4</v>
      </c>
      <c r="E1733" s="2">
        <v>1.4946566026455399E-5</v>
      </c>
      <c r="F1733" s="2">
        <v>2.25109381342564E-4</v>
      </c>
    </row>
    <row r="1734" spans="1:6" x14ac:dyDescent="0.25">
      <c r="A1734" s="1" t="str">
        <f t="shared" si="64"/>
        <v>12060</v>
      </c>
      <c r="B1734" s="1" t="str">
        <f>"30216"</f>
        <v>30216</v>
      </c>
      <c r="C1734" s="2">
        <v>3.4818668041960402E-4</v>
      </c>
      <c r="D1734" s="2">
        <v>1.1250254888587301E-4</v>
      </c>
      <c r="E1734" s="2">
        <v>3.8861071668784E-4</v>
      </c>
      <c r="F1734" s="2">
        <v>3.2692096644316499E-4</v>
      </c>
    </row>
    <row r="1735" spans="1:6" x14ac:dyDescent="0.25">
      <c r="A1735" s="1" t="str">
        <f t="shared" si="64"/>
        <v>12060</v>
      </c>
      <c r="B1735" s="1" t="str">
        <f>"30294"</f>
        <v>30294</v>
      </c>
      <c r="C1735" s="2">
        <v>6.1876999221722297E-3</v>
      </c>
      <c r="D1735" s="2">
        <v>2.3941948684774801E-3</v>
      </c>
      <c r="E1735" s="2">
        <v>1.50960316867199E-3</v>
      </c>
      <c r="F1735" s="2">
        <v>5.7275627760978104E-3</v>
      </c>
    </row>
    <row r="1736" spans="1:6" x14ac:dyDescent="0.25">
      <c r="A1736" s="1" t="str">
        <f t="shared" si="64"/>
        <v>12060</v>
      </c>
      <c r="B1736" s="1" t="str">
        <f>"30301"</f>
        <v>30301</v>
      </c>
      <c r="C1736" s="2">
        <v>8.2988855408281596E-4</v>
      </c>
      <c r="D1736" s="2">
        <v>1.04064857719432E-3</v>
      </c>
      <c r="E1736" s="2">
        <v>1.4946566026455399E-5</v>
      </c>
      <c r="F1736" s="2">
        <v>8.3168164971790201E-4</v>
      </c>
    </row>
    <row r="1737" spans="1:6" x14ac:dyDescent="0.25">
      <c r="A1737" s="1" t="str">
        <f t="shared" si="64"/>
        <v>12060</v>
      </c>
      <c r="B1737" s="1" t="str">
        <f>"30305"</f>
        <v>30305</v>
      </c>
      <c r="C1737" s="2">
        <v>7.0994927544633102E-3</v>
      </c>
      <c r="D1737" s="2">
        <v>1.1063922541995E-2</v>
      </c>
      <c r="E1737" s="2">
        <v>1.01935580300425E-2</v>
      </c>
      <c r="F1737" s="2">
        <v>7.5406684393341701E-3</v>
      </c>
    </row>
    <row r="1738" spans="1:6" x14ac:dyDescent="0.25">
      <c r="A1738" s="1" t="str">
        <f t="shared" si="64"/>
        <v>12060</v>
      </c>
      <c r="B1738" s="1" t="str">
        <f>"30260"</f>
        <v>30260</v>
      </c>
      <c r="C1738" s="2">
        <v>4.32746302807222E-3</v>
      </c>
      <c r="D1738" s="2">
        <v>5.7446614024849003E-3</v>
      </c>
      <c r="E1738" s="2">
        <v>2.8697406770794398E-3</v>
      </c>
      <c r="F1738" s="2">
        <v>4.4284733947816896E-3</v>
      </c>
    </row>
    <row r="1739" spans="1:6" x14ac:dyDescent="0.25">
      <c r="A1739" s="1" t="str">
        <f t="shared" si="64"/>
        <v>12060</v>
      </c>
      <c r="B1739" s="1" t="str">
        <f>"30251"</f>
        <v>30251</v>
      </c>
      <c r="C1739" s="2">
        <v>4.25229060834683E-4</v>
      </c>
      <c r="D1739" s="2">
        <v>2.1797368846637901E-4</v>
      </c>
      <c r="E1739" s="2">
        <v>3.1387788655556302E-4</v>
      </c>
      <c r="F1739" s="2">
        <v>4.0327965526861702E-4</v>
      </c>
    </row>
    <row r="1740" spans="1:6" x14ac:dyDescent="0.25">
      <c r="A1740" s="1" t="str">
        <f t="shared" si="64"/>
        <v>12060</v>
      </c>
      <c r="B1740" s="1" t="str">
        <f>"30277"</f>
        <v>30277</v>
      </c>
      <c r="C1740" s="2">
        <v>3.3453596738489298E-3</v>
      </c>
      <c r="D1740" s="2">
        <v>1.3324520633670599E-3</v>
      </c>
      <c r="E1740" s="2">
        <v>5.2312981092593903E-4</v>
      </c>
      <c r="F1740" s="2">
        <v>3.0936838472614601E-3</v>
      </c>
    </row>
    <row r="1741" spans="1:6" x14ac:dyDescent="0.25">
      <c r="A1741" s="1" t="str">
        <f t="shared" si="64"/>
        <v>12060</v>
      </c>
      <c r="B1741" s="1" t="str">
        <f>"30271"</f>
        <v>30271</v>
      </c>
      <c r="C1741" s="2">
        <v>6.1746101973444295E-4</v>
      </c>
      <c r="D1741" s="2">
        <v>1.20588669587045E-3</v>
      </c>
      <c r="E1741" s="2">
        <v>1.4946566026455399E-5</v>
      </c>
      <c r="F1741" s="2">
        <v>6.5946140349253395E-4</v>
      </c>
    </row>
    <row r="1742" spans="1:6" x14ac:dyDescent="0.25">
      <c r="A1742" s="1" t="str">
        <f t="shared" si="64"/>
        <v>12060</v>
      </c>
      <c r="B1742" s="1" t="str">
        <f>"30224"</f>
        <v>30224</v>
      </c>
      <c r="C1742" s="2">
        <v>4.9520298984274697E-3</v>
      </c>
      <c r="D1742" s="2">
        <v>5.0239419486847701E-3</v>
      </c>
      <c r="E1742" s="2">
        <v>4.3643972797249801E-3</v>
      </c>
      <c r="F1742" s="2">
        <v>4.9457952476467601E-3</v>
      </c>
    </row>
    <row r="1743" spans="1:6" x14ac:dyDescent="0.25">
      <c r="A1743" s="1" t="str">
        <f t="shared" si="64"/>
        <v>12060</v>
      </c>
      <c r="B1743" s="1" t="str">
        <f>"30237"</f>
        <v>30237</v>
      </c>
      <c r="C1743" s="2">
        <v>5.0414140193944803E-4</v>
      </c>
      <c r="D1743" s="2">
        <v>1.7156638705095599E-3</v>
      </c>
      <c r="E1743" s="2">
        <v>1.4946566026455399E-5</v>
      </c>
      <c r="F1743" s="2">
        <v>6.0723338256430304E-4</v>
      </c>
    </row>
    <row r="1744" spans="1:6" x14ac:dyDescent="0.25">
      <c r="A1744" s="1" t="str">
        <f t="shared" si="64"/>
        <v>12060</v>
      </c>
      <c r="B1744" s="1" t="str">
        <f>"30344"</f>
        <v>30344</v>
      </c>
      <c r="C1744" s="2">
        <v>6.3369227852091998E-3</v>
      </c>
      <c r="D1744" s="2">
        <v>5.6180960349882904E-3</v>
      </c>
      <c r="E1744" s="2">
        <v>1.53800164412226E-2</v>
      </c>
      <c r="F1744" s="2">
        <v>6.46933289611648E-3</v>
      </c>
    </row>
    <row r="1745" spans="1:6" x14ac:dyDescent="0.25">
      <c r="A1745" s="1" t="str">
        <f t="shared" si="64"/>
        <v>12060</v>
      </c>
      <c r="B1745" s="1" t="str">
        <f>"30313"</f>
        <v>30313</v>
      </c>
      <c r="C1745" s="2">
        <v>1.4451056209896301E-3</v>
      </c>
      <c r="D1745" s="2">
        <v>1.0441642818470099E-3</v>
      </c>
      <c r="E1745" s="2">
        <v>4.1999850534339698E-3</v>
      </c>
      <c r="F1745" s="2">
        <v>1.46833461369114E-3</v>
      </c>
    </row>
    <row r="1746" spans="1:6" x14ac:dyDescent="0.25">
      <c r="A1746" s="1" t="str">
        <f t="shared" si="64"/>
        <v>12060</v>
      </c>
      <c r="B1746" s="1" t="str">
        <f>"30328"</f>
        <v>30328</v>
      </c>
      <c r="C1746" s="2">
        <v>7.7113438921286902E-3</v>
      </c>
      <c r="D1746" s="2">
        <v>1.27620078892412E-2</v>
      </c>
      <c r="E1746" s="2">
        <v>9.2668709364023601E-3</v>
      </c>
      <c r="F1746" s="2">
        <v>8.2206243826846194E-3</v>
      </c>
    </row>
    <row r="1747" spans="1:6" x14ac:dyDescent="0.25">
      <c r="A1747" s="1" t="str">
        <f t="shared" si="64"/>
        <v>12060</v>
      </c>
      <c r="B1747" s="1" t="str">
        <f>"30332"</f>
        <v>30332</v>
      </c>
      <c r="C1747" s="2">
        <v>3.3659292414354799E-6</v>
      </c>
      <c r="D1747" s="2">
        <v>2.4609932568784702E-5</v>
      </c>
      <c r="E1747" s="2">
        <v>0</v>
      </c>
      <c r="F1747" s="2">
        <v>5.2889135117195696E-6</v>
      </c>
    </row>
    <row r="1748" spans="1:6" x14ac:dyDescent="0.25">
      <c r="A1748" s="1" t="str">
        <f t="shared" si="64"/>
        <v>12060</v>
      </c>
      <c r="B1748" s="1" t="str">
        <f>"30307"</f>
        <v>30307</v>
      </c>
      <c r="C1748" s="2">
        <v>4.0862380991026799E-3</v>
      </c>
      <c r="D1748" s="2">
        <v>2.4715403708365198E-3</v>
      </c>
      <c r="E1748" s="2">
        <v>1.02981839922277E-2</v>
      </c>
      <c r="F1748" s="2">
        <v>4.0718022898350997E-3</v>
      </c>
    </row>
    <row r="1749" spans="1:6" x14ac:dyDescent="0.25">
      <c r="A1749" s="1" t="str">
        <f t="shared" si="64"/>
        <v>12060</v>
      </c>
      <c r="B1749" s="1" t="str">
        <f>"30360"</f>
        <v>30360</v>
      </c>
      <c r="C1749" s="2">
        <v>2.6089691542504302E-3</v>
      </c>
      <c r="D1749" s="2">
        <v>2.5102131220160399E-3</v>
      </c>
      <c r="E1749" s="2">
        <v>4.1252522233016899E-3</v>
      </c>
      <c r="F1749" s="2">
        <v>2.6332178146473801E-3</v>
      </c>
    </row>
    <row r="1750" spans="1:6" x14ac:dyDescent="0.25">
      <c r="A1750" s="1" t="str">
        <f t="shared" si="64"/>
        <v>12060</v>
      </c>
      <c r="B1750" s="1" t="str">
        <f>"30063"</f>
        <v>30063</v>
      </c>
      <c r="C1750" s="2">
        <v>0</v>
      </c>
      <c r="D1750" s="2">
        <v>3.5157046526835302E-6</v>
      </c>
      <c r="E1750" s="2">
        <v>0</v>
      </c>
      <c r="F1750" s="2">
        <v>3.3055709448247299E-7</v>
      </c>
    </row>
    <row r="1751" spans="1:6" x14ac:dyDescent="0.25">
      <c r="A1751" s="1" t="str">
        <f t="shared" si="64"/>
        <v>12060</v>
      </c>
      <c r="B1751" s="1" t="str">
        <f>"31024"</f>
        <v>31024</v>
      </c>
      <c r="C1751" s="2">
        <v>7.4798427587455199E-7</v>
      </c>
      <c r="D1751" s="2">
        <v>3.5157046526835302E-6</v>
      </c>
      <c r="E1751" s="2">
        <v>0</v>
      </c>
      <c r="F1751" s="2">
        <v>9.9167128344741898E-7</v>
      </c>
    </row>
    <row r="1752" spans="1:6" x14ac:dyDescent="0.25">
      <c r="A1752" s="1" t="str">
        <f t="shared" si="64"/>
        <v>12060</v>
      </c>
      <c r="B1752" s="1" t="str">
        <f>"30072"</f>
        <v>30072</v>
      </c>
      <c r="C1752" s="2">
        <v>4.6225428249047301E-4</v>
      </c>
      <c r="D1752" s="2">
        <v>6.60952474704505E-4</v>
      </c>
      <c r="E1752" s="2">
        <v>2.9893132052910798E-5</v>
      </c>
      <c r="F1752" s="2">
        <v>4.7137441673200599E-4</v>
      </c>
    </row>
    <row r="1753" spans="1:6" x14ac:dyDescent="0.25">
      <c r="A1753" s="1" t="str">
        <f t="shared" si="64"/>
        <v>12060</v>
      </c>
      <c r="B1753" s="1" t="str">
        <f>"30119"</f>
        <v>30119</v>
      </c>
      <c r="C1753" s="2">
        <v>0</v>
      </c>
      <c r="D1753" s="2">
        <v>0</v>
      </c>
      <c r="E1753" s="2">
        <v>1.4946566026455399E-5</v>
      </c>
      <c r="F1753" s="2">
        <v>3.3055709448247299E-7</v>
      </c>
    </row>
    <row r="1754" spans="1:6" x14ac:dyDescent="0.25">
      <c r="A1754" s="1" t="str">
        <f t="shared" si="64"/>
        <v>12060</v>
      </c>
      <c r="B1754" s="1" t="str">
        <f>"30275"</f>
        <v>30275</v>
      </c>
      <c r="C1754" s="2">
        <v>0</v>
      </c>
      <c r="D1754" s="2">
        <v>0</v>
      </c>
      <c r="E1754" s="2">
        <v>1.4946566026455399E-5</v>
      </c>
      <c r="F1754" s="2">
        <v>3.3055709448247299E-7</v>
      </c>
    </row>
    <row r="1755" spans="1:6" x14ac:dyDescent="0.25">
      <c r="A1755" s="1" t="str">
        <f t="shared" si="64"/>
        <v>12060</v>
      </c>
      <c r="B1755" s="1" t="str">
        <f>"30074"</f>
        <v>30074</v>
      </c>
      <c r="C1755" s="2">
        <v>2.7226627641833702E-4</v>
      </c>
      <c r="D1755" s="2">
        <v>1.0195543492782201E-3</v>
      </c>
      <c r="E1755" s="2">
        <v>1.4946566026455399E-5</v>
      </c>
      <c r="F1755" s="2">
        <v>3.3683767927763998E-4</v>
      </c>
    </row>
    <row r="1756" spans="1:6" x14ac:dyDescent="0.25">
      <c r="A1756" s="1" t="str">
        <f t="shared" si="64"/>
        <v>12060</v>
      </c>
      <c r="B1756" s="1" t="str">
        <f>"30161"</f>
        <v>30161</v>
      </c>
      <c r="C1756" s="2">
        <v>3.73992137937276E-5</v>
      </c>
      <c r="D1756" s="2">
        <v>3.5157046526835302E-6</v>
      </c>
      <c r="E1756" s="2">
        <v>2.9893132052910798E-5</v>
      </c>
      <c r="F1756" s="2">
        <v>3.4047380731694701E-5</v>
      </c>
    </row>
    <row r="1757" spans="1:6" x14ac:dyDescent="0.25">
      <c r="A1757" s="1" t="str">
        <f t="shared" si="64"/>
        <v>12060</v>
      </c>
      <c r="B1757" s="1" t="str">
        <f>"30533"</f>
        <v>30533</v>
      </c>
      <c r="C1757" s="2">
        <v>5.9838742069964202E-6</v>
      </c>
      <c r="D1757" s="2">
        <v>0</v>
      </c>
      <c r="E1757" s="2">
        <v>0</v>
      </c>
      <c r="F1757" s="2">
        <v>5.2889135117195696E-6</v>
      </c>
    </row>
    <row r="1758" spans="1:6" x14ac:dyDescent="0.25">
      <c r="A1758" s="1" t="str">
        <f t="shared" si="64"/>
        <v>12060</v>
      </c>
      <c r="B1758" s="1" t="str">
        <f>"30304"</f>
        <v>30304</v>
      </c>
      <c r="C1758" s="2">
        <v>0</v>
      </c>
      <c r="D1758" s="2">
        <v>0</v>
      </c>
      <c r="E1758" s="2">
        <v>7.4732830132277103E-5</v>
      </c>
      <c r="F1758" s="2">
        <v>1.6527854724123601E-6</v>
      </c>
    </row>
    <row r="1759" spans="1:6" x14ac:dyDescent="0.25">
      <c r="A1759" s="1" t="str">
        <f t="shared" si="64"/>
        <v>12060</v>
      </c>
      <c r="B1759" s="1" t="str">
        <f>"31146"</f>
        <v>31146</v>
      </c>
      <c r="C1759" s="2">
        <v>2.77502166349459E-4</v>
      </c>
      <c r="D1759" s="2">
        <v>6.9962522588402302E-4</v>
      </c>
      <c r="E1759" s="2">
        <v>1.4946566026455399E-5</v>
      </c>
      <c r="F1759" s="2">
        <v>3.1138478300248902E-4</v>
      </c>
    </row>
    <row r="1760" spans="1:6" x14ac:dyDescent="0.25">
      <c r="A1760" s="1" t="str">
        <f t="shared" si="64"/>
        <v>12060</v>
      </c>
      <c r="B1760" s="1" t="str">
        <f>"31139"</f>
        <v>31139</v>
      </c>
      <c r="C1760" s="2">
        <v>3.3621893200561098E-4</v>
      </c>
      <c r="D1760" s="2">
        <v>1.66644400537199E-3</v>
      </c>
      <c r="E1760" s="2">
        <v>1.4946566026455399E-5</v>
      </c>
      <c r="F1760" s="2">
        <v>4.5418544781891798E-4</v>
      </c>
    </row>
    <row r="1761" spans="1:6" x14ac:dyDescent="0.25">
      <c r="A1761" s="1" t="str">
        <f t="shared" si="64"/>
        <v>12060</v>
      </c>
      <c r="B1761" s="1" t="str">
        <f>"31097"</f>
        <v>31097</v>
      </c>
      <c r="C1761" s="2">
        <v>1.6455654069240102E-5</v>
      </c>
      <c r="D1761" s="2">
        <v>1.7578523263417601E-5</v>
      </c>
      <c r="E1761" s="2">
        <v>0</v>
      </c>
      <c r="F1761" s="2">
        <v>1.6197297629641101E-5</v>
      </c>
    </row>
    <row r="1762" spans="1:6" x14ac:dyDescent="0.25">
      <c r="A1762" s="1" t="str">
        <f t="shared" si="64"/>
        <v>12060</v>
      </c>
      <c r="B1762" s="1" t="str">
        <f>"30734"</f>
        <v>30734</v>
      </c>
      <c r="C1762" s="2">
        <v>1.01351869381001E-4</v>
      </c>
      <c r="D1762" s="2">
        <v>1.40628186107341E-5</v>
      </c>
      <c r="E1762" s="2">
        <v>0</v>
      </c>
      <c r="F1762" s="2">
        <v>9.0903200982680104E-5</v>
      </c>
    </row>
    <row r="1763" spans="1:6" x14ac:dyDescent="0.25">
      <c r="A1763" s="1" t="str">
        <f t="shared" si="64"/>
        <v>12060</v>
      </c>
      <c r="B1763" s="1" t="str">
        <f>"30021"</f>
        <v>30021</v>
      </c>
      <c r="C1763" s="2">
        <v>3.94187713385889E-3</v>
      </c>
      <c r="D1763" s="2">
        <v>2.0109830613349801E-3</v>
      </c>
      <c r="E1763" s="2">
        <v>1.03579702563336E-2</v>
      </c>
      <c r="F1763" s="2">
        <v>3.9022265003655901E-3</v>
      </c>
    </row>
    <row r="1764" spans="1:6" x14ac:dyDescent="0.25">
      <c r="A1764" s="1" t="str">
        <f t="shared" si="64"/>
        <v>12060</v>
      </c>
      <c r="B1764" s="1" t="str">
        <f>"30096"</f>
        <v>30096</v>
      </c>
      <c r="C1764" s="2">
        <v>1.1635269403366601E-2</v>
      </c>
      <c r="D1764" s="2">
        <v>1.83273683544392E-2</v>
      </c>
      <c r="E1764" s="2">
        <v>1.2315970405799201E-2</v>
      </c>
      <c r="F1764" s="2">
        <v>1.22795349458349E-2</v>
      </c>
    </row>
    <row r="1765" spans="1:6" x14ac:dyDescent="0.25">
      <c r="A1765" s="1" t="str">
        <f t="shared" si="64"/>
        <v>12060</v>
      </c>
      <c r="B1765" s="1" t="str">
        <f>"30135"</f>
        <v>30135</v>
      </c>
      <c r="C1765" s="2">
        <v>9.8015859510601298E-3</v>
      </c>
      <c r="D1765" s="2">
        <v>5.9098995211610203E-3</v>
      </c>
      <c r="E1765" s="2">
        <v>3.3629773559524598E-3</v>
      </c>
      <c r="F1765" s="2">
        <v>9.29328215428025E-3</v>
      </c>
    </row>
    <row r="1766" spans="1:6" x14ac:dyDescent="0.25">
      <c r="A1766" s="1" t="str">
        <f t="shared" si="64"/>
        <v>12060</v>
      </c>
      <c r="B1766" s="1" t="str">
        <f>"30139"</f>
        <v>30139</v>
      </c>
      <c r="C1766" s="2">
        <v>2.5693259876290799E-4</v>
      </c>
      <c r="D1766" s="2">
        <v>4.57041604848859E-5</v>
      </c>
      <c r="E1766" s="2">
        <v>0</v>
      </c>
      <c r="F1766" s="2">
        <v>2.3138996613773099E-4</v>
      </c>
    </row>
    <row r="1767" spans="1:6" x14ac:dyDescent="0.25">
      <c r="A1767" s="1" t="str">
        <f t="shared" si="64"/>
        <v>12060</v>
      </c>
      <c r="B1767" s="1" t="str">
        <f>"30122"</f>
        <v>30122</v>
      </c>
      <c r="C1767" s="2">
        <v>4.3076414447615402E-3</v>
      </c>
      <c r="D1767" s="2">
        <v>4.8446410113979098E-3</v>
      </c>
      <c r="E1767" s="2">
        <v>3.4974964501905599E-3</v>
      </c>
      <c r="F1767" s="2">
        <v>4.3402146505548697E-3</v>
      </c>
    </row>
    <row r="1768" spans="1:6" x14ac:dyDescent="0.25">
      <c r="A1768" s="1" t="str">
        <f t="shared" si="64"/>
        <v>12060</v>
      </c>
      <c r="B1768" s="1" t="str">
        <f>"30102"</f>
        <v>30102</v>
      </c>
      <c r="C1768" s="2">
        <v>6.4304208196935197E-3</v>
      </c>
      <c r="D1768" s="2">
        <v>2.2219253404959899E-3</v>
      </c>
      <c r="E1768" s="2">
        <v>2.4661833943651402E-3</v>
      </c>
      <c r="F1768" s="2">
        <v>5.9470526868341698E-3</v>
      </c>
    </row>
    <row r="1769" spans="1:6" x14ac:dyDescent="0.25">
      <c r="A1769" s="1" t="str">
        <f t="shared" ref="A1769:A1775" si="65">"12060"</f>
        <v>12060</v>
      </c>
      <c r="B1769" s="1" t="str">
        <f>"30097"</f>
        <v>30097</v>
      </c>
      <c r="C1769" s="2">
        <v>6.9914090265994402E-3</v>
      </c>
      <c r="D1769" s="2">
        <v>7.2212573566119804E-3</v>
      </c>
      <c r="E1769" s="2">
        <v>5.82916075031761E-3</v>
      </c>
      <c r="F1769" s="2">
        <v>6.9873158631705099E-3</v>
      </c>
    </row>
    <row r="1770" spans="1:6" x14ac:dyDescent="0.25">
      <c r="A1770" s="1" t="str">
        <f t="shared" si="65"/>
        <v>12060</v>
      </c>
      <c r="B1770" s="1" t="str">
        <f>"30213"</f>
        <v>30213</v>
      </c>
      <c r="C1770" s="2">
        <v>6.8354543050795904E-3</v>
      </c>
      <c r="D1770" s="2">
        <v>3.7758667969821102E-3</v>
      </c>
      <c r="E1770" s="2">
        <v>1.9430535834392001E-3</v>
      </c>
      <c r="F1770" s="2">
        <v>6.4395827576130601E-3</v>
      </c>
    </row>
    <row r="1771" spans="1:6" x14ac:dyDescent="0.25">
      <c r="A1771" s="1" t="str">
        <f t="shared" si="65"/>
        <v>12060</v>
      </c>
      <c r="B1771" s="1" t="str">
        <f>"30217"</f>
        <v>30217</v>
      </c>
      <c r="C1771" s="2">
        <v>1.66613497451056E-3</v>
      </c>
      <c r="D1771" s="2">
        <v>8.3673770733868095E-4</v>
      </c>
      <c r="E1771" s="2">
        <v>1.31529781032807E-3</v>
      </c>
      <c r="F1771" s="2">
        <v>1.5803934687207001E-3</v>
      </c>
    </row>
    <row r="1772" spans="1:6" x14ac:dyDescent="0.25">
      <c r="A1772" s="1" t="str">
        <f t="shared" si="65"/>
        <v>12060</v>
      </c>
      <c r="B1772" s="1" t="str">
        <f>"30214"</f>
        <v>30214</v>
      </c>
      <c r="C1772" s="2">
        <v>5.6181098960937604E-3</v>
      </c>
      <c r="D1772" s="2">
        <v>1.25510656100802E-2</v>
      </c>
      <c r="E1772" s="2">
        <v>6.3522905612435499E-3</v>
      </c>
      <c r="F1772" s="2">
        <v>6.28620426577319E-3</v>
      </c>
    </row>
    <row r="1773" spans="1:6" x14ac:dyDescent="0.25">
      <c r="A1773" s="1" t="str">
        <f t="shared" si="65"/>
        <v>12060</v>
      </c>
      <c r="B1773" s="1" t="str">
        <f>"30189"</f>
        <v>30189</v>
      </c>
      <c r="C1773" s="2">
        <v>6.0055657509967804E-3</v>
      </c>
      <c r="D1773" s="2">
        <v>4.2821282669685398E-3</v>
      </c>
      <c r="E1773" s="2">
        <v>7.7423212017039E-3</v>
      </c>
      <c r="F1773" s="2">
        <v>5.8819329392211196E-3</v>
      </c>
    </row>
    <row r="1774" spans="1:6" x14ac:dyDescent="0.25">
      <c r="A1774" s="1" t="str">
        <f t="shared" si="65"/>
        <v>12060</v>
      </c>
      <c r="B1774" s="1" t="str">
        <f>"30176"</f>
        <v>30176</v>
      </c>
      <c r="C1774" s="2">
        <v>1.28690694664216E-3</v>
      </c>
      <c r="D1774" s="2">
        <v>1.27268508427144E-3</v>
      </c>
      <c r="E1774" s="2">
        <v>9.5658022569314598E-4</v>
      </c>
      <c r="F1774" s="2">
        <v>1.2782642843637199E-3</v>
      </c>
    </row>
    <row r="1775" spans="1:6" x14ac:dyDescent="0.25">
      <c r="A1775" s="1" t="str">
        <f t="shared" si="65"/>
        <v>12060</v>
      </c>
      <c r="B1775" s="1" t="str">
        <f>"30298"</f>
        <v>30298</v>
      </c>
      <c r="C1775" s="2">
        <v>4.4243269917979699E-4</v>
      </c>
      <c r="D1775" s="2">
        <v>1.5258158192646501E-3</v>
      </c>
      <c r="E1775" s="2">
        <v>1.4946566026455399E-5</v>
      </c>
      <c r="F1775" s="2">
        <v>5.3484137887264104E-4</v>
      </c>
    </row>
    <row r="1776" spans="1:6" x14ac:dyDescent="0.25">
      <c r="A1776" s="1" t="str">
        <f t="shared" ref="A1776:A1812" si="66">"12100"</f>
        <v>12100</v>
      </c>
      <c r="B1776" s="1" t="str">
        <f>"08234"</f>
        <v>08234</v>
      </c>
      <c r="C1776" s="2">
        <v>0.123392458886549</v>
      </c>
      <c r="D1776" s="2">
        <v>9.9730223653293801E-2</v>
      </c>
      <c r="E1776" s="2">
        <v>4.4283413848631201E-2</v>
      </c>
      <c r="F1776" s="2">
        <v>0.119246835837645</v>
      </c>
    </row>
    <row r="1777" spans="1:6" x14ac:dyDescent="0.25">
      <c r="A1777" s="1" t="str">
        <f t="shared" si="66"/>
        <v>12100</v>
      </c>
      <c r="B1777" s="1" t="str">
        <f>"08405"</f>
        <v>08405</v>
      </c>
      <c r="C1777" s="2">
        <v>0</v>
      </c>
      <c r="D1777" s="2">
        <v>8.7024627969715398E-5</v>
      </c>
      <c r="E1777" s="2">
        <v>0</v>
      </c>
      <c r="F1777" s="2">
        <v>6.2348026684955396E-6</v>
      </c>
    </row>
    <row r="1778" spans="1:6" x14ac:dyDescent="0.25">
      <c r="A1778" s="1" t="str">
        <f t="shared" si="66"/>
        <v>12100</v>
      </c>
      <c r="B1778" s="1" t="str">
        <f>"08344"</f>
        <v>08344</v>
      </c>
      <c r="C1778" s="2">
        <v>4.6550083025894302E-4</v>
      </c>
      <c r="D1778" s="2">
        <v>0</v>
      </c>
      <c r="E1778" s="2">
        <v>0</v>
      </c>
      <c r="F1778" s="2">
        <v>4.17731778789201E-4</v>
      </c>
    </row>
    <row r="1779" spans="1:6" x14ac:dyDescent="0.25">
      <c r="A1779" s="1" t="str">
        <f t="shared" si="66"/>
        <v>12100</v>
      </c>
      <c r="B1779" s="1" t="str">
        <f>"08326"</f>
        <v>08326</v>
      </c>
      <c r="C1779" s="2">
        <v>4.2937240761198002E-3</v>
      </c>
      <c r="D1779" s="2">
        <v>2.6977634670611698E-3</v>
      </c>
      <c r="E1779" s="2">
        <v>8.2528180354267296E-3</v>
      </c>
      <c r="F1779" s="2">
        <v>4.3020138412619199E-3</v>
      </c>
    </row>
    <row r="1780" spans="1:6" x14ac:dyDescent="0.25">
      <c r="A1780" s="1" t="str">
        <f t="shared" si="66"/>
        <v>12100</v>
      </c>
      <c r="B1780" s="1" t="str">
        <f>"08213"</f>
        <v>08213</v>
      </c>
      <c r="C1780" s="2">
        <v>0</v>
      </c>
      <c r="D1780" s="2">
        <v>0</v>
      </c>
      <c r="E1780" s="2">
        <v>2.0128824476650501E-4</v>
      </c>
      <c r="F1780" s="2">
        <v>6.2348026684955396E-6</v>
      </c>
    </row>
    <row r="1781" spans="1:6" x14ac:dyDescent="0.25">
      <c r="A1781" s="1" t="str">
        <f t="shared" si="66"/>
        <v>12100</v>
      </c>
      <c r="B1781" s="1" t="str">
        <f>"08215"</f>
        <v>08215</v>
      </c>
      <c r="C1781" s="2">
        <v>3.9122913062509097E-2</v>
      </c>
      <c r="D1781" s="2">
        <v>3.4635801931946701E-2</v>
      </c>
      <c r="E1781" s="2">
        <v>2.6570048309178699E-2</v>
      </c>
      <c r="F1781" s="2">
        <v>3.8412619240600999E-2</v>
      </c>
    </row>
    <row r="1782" spans="1:6" x14ac:dyDescent="0.25">
      <c r="A1782" s="1" t="str">
        <f t="shared" si="66"/>
        <v>12100</v>
      </c>
      <c r="B1782" s="1" t="str">
        <f>"08225"</f>
        <v>08225</v>
      </c>
      <c r="C1782" s="2">
        <v>2.7283906872042799E-2</v>
      </c>
      <c r="D1782" s="2">
        <v>6.5268470977286497E-2</v>
      </c>
      <c r="E1782" s="2">
        <v>2.4557165861513599E-2</v>
      </c>
      <c r="F1782" s="2">
        <v>2.99208180061101E-2</v>
      </c>
    </row>
    <row r="1783" spans="1:6" x14ac:dyDescent="0.25">
      <c r="A1783" s="1" t="str">
        <f t="shared" si="66"/>
        <v>12100</v>
      </c>
      <c r="B1783" s="1" t="str">
        <f>"08404"</f>
        <v>08404</v>
      </c>
      <c r="C1783" s="2">
        <v>1.9120272908546398E-2</v>
      </c>
      <c r="D1783" s="2">
        <v>1.9145418153337299E-2</v>
      </c>
      <c r="E1783" s="2">
        <v>4.02576489533011E-4</v>
      </c>
      <c r="F1783" s="2">
        <v>1.8542303136105699E-2</v>
      </c>
    </row>
    <row r="1784" spans="1:6" x14ac:dyDescent="0.25">
      <c r="A1784" s="1" t="str">
        <f t="shared" si="66"/>
        <v>12100</v>
      </c>
      <c r="B1784" s="1" t="str">
        <f>"08270"</f>
        <v>08270</v>
      </c>
      <c r="C1784" s="2">
        <v>2.0495932078565399E-3</v>
      </c>
      <c r="D1784" s="2">
        <v>2.0015664433034501E-3</v>
      </c>
      <c r="E1784" s="2">
        <v>0</v>
      </c>
      <c r="F1784" s="2">
        <v>1.9826672485815798E-3</v>
      </c>
    </row>
    <row r="1785" spans="1:6" x14ac:dyDescent="0.25">
      <c r="A1785" s="1" t="str">
        <f t="shared" si="66"/>
        <v>12100</v>
      </c>
      <c r="B1785" s="1" t="str">
        <f>"08244"</f>
        <v>08244</v>
      </c>
      <c r="C1785" s="2">
        <v>4.2569008761142398E-2</v>
      </c>
      <c r="D1785" s="2">
        <v>5.9176747019406402E-2</v>
      </c>
      <c r="E1785" s="2">
        <v>4.3478260869565202E-2</v>
      </c>
      <c r="F1785" s="2">
        <v>4.3787019140844097E-2</v>
      </c>
    </row>
    <row r="1786" spans="1:6" x14ac:dyDescent="0.25">
      <c r="A1786" s="1" t="str">
        <f t="shared" si="66"/>
        <v>12100</v>
      </c>
      <c r="B1786" s="1" t="str">
        <f>"08240"</f>
        <v>08240</v>
      </c>
      <c r="C1786" s="2">
        <v>5.3428378875989098E-3</v>
      </c>
      <c r="D1786" s="2">
        <v>9.2246105647898306E-3</v>
      </c>
      <c r="E1786" s="2">
        <v>4.02576489533011E-4</v>
      </c>
      <c r="F1786" s="2">
        <v>5.4679219402705903E-3</v>
      </c>
    </row>
    <row r="1787" spans="1:6" x14ac:dyDescent="0.25">
      <c r="A1787" s="1" t="str">
        <f t="shared" si="66"/>
        <v>12100</v>
      </c>
      <c r="B1787" s="1" t="str">
        <f>"08241"</f>
        <v>08241</v>
      </c>
      <c r="C1787" s="2">
        <v>3.34187909484405E-3</v>
      </c>
      <c r="D1787" s="2">
        <v>1.3923940475154401E-3</v>
      </c>
      <c r="E1787" s="2">
        <v>2.0128824476650501E-4</v>
      </c>
      <c r="F1787" s="2">
        <v>3.1049317289107699E-3</v>
      </c>
    </row>
    <row r="1788" spans="1:6" x14ac:dyDescent="0.25">
      <c r="A1788" s="1" t="str">
        <f t="shared" si="66"/>
        <v>12100</v>
      </c>
      <c r="B1788" s="1" t="str">
        <f>"08319"</f>
        <v>08319</v>
      </c>
      <c r="C1788" s="2">
        <v>4.0713953213692604E-3</v>
      </c>
      <c r="D1788" s="2">
        <v>1.4794186754851599E-3</v>
      </c>
      <c r="E1788" s="2">
        <v>1.0064412238325201E-3</v>
      </c>
      <c r="F1788" s="2">
        <v>3.7907600224452798E-3</v>
      </c>
    </row>
    <row r="1789" spans="1:6" x14ac:dyDescent="0.25">
      <c r="A1789" s="1" t="str">
        <f t="shared" si="66"/>
        <v>12100</v>
      </c>
      <c r="B1789" s="1" t="str">
        <f>"08341"</f>
        <v>08341</v>
      </c>
      <c r="C1789" s="2">
        <v>8.4554404541064797E-3</v>
      </c>
      <c r="D1789" s="2">
        <v>6.9619702375772301E-3</v>
      </c>
      <c r="E1789" s="2">
        <v>6.2399355877616703E-3</v>
      </c>
      <c r="F1789" s="2">
        <v>8.2798179437620703E-3</v>
      </c>
    </row>
    <row r="1790" spans="1:6" x14ac:dyDescent="0.25">
      <c r="A1790" s="1" t="str">
        <f t="shared" si="66"/>
        <v>12100</v>
      </c>
      <c r="B1790" s="1" t="str">
        <f>"08037"</f>
        <v>08037</v>
      </c>
      <c r="C1790" s="2">
        <v>5.3838297517560398E-2</v>
      </c>
      <c r="D1790" s="2">
        <v>6.8314332956226603E-2</v>
      </c>
      <c r="E1790" s="2">
        <v>5.2938808373590898E-2</v>
      </c>
      <c r="F1790" s="2">
        <v>5.4847559074755199E-2</v>
      </c>
    </row>
    <row r="1791" spans="1:6" x14ac:dyDescent="0.25">
      <c r="A1791" s="1" t="str">
        <f t="shared" si="66"/>
        <v>12100</v>
      </c>
      <c r="B1791" s="1" t="str">
        <f>"08346"</f>
        <v>08346</v>
      </c>
      <c r="C1791" s="2">
        <v>1.3478680756751401E-3</v>
      </c>
      <c r="D1791" s="2">
        <v>0</v>
      </c>
      <c r="E1791" s="2">
        <v>4.02576489533011E-4</v>
      </c>
      <c r="F1791" s="2">
        <v>1.2220213230251199E-3</v>
      </c>
    </row>
    <row r="1792" spans="1:6" x14ac:dyDescent="0.25">
      <c r="A1792" s="1" t="str">
        <f t="shared" si="66"/>
        <v>12100</v>
      </c>
      <c r="B1792" s="1" t="str">
        <f>"08361"</f>
        <v>08361</v>
      </c>
      <c r="C1792" s="2">
        <v>3.4738867929771902E-5</v>
      </c>
      <c r="D1792" s="2">
        <v>0</v>
      </c>
      <c r="E1792" s="2">
        <v>0</v>
      </c>
      <c r="F1792" s="2">
        <v>3.11740133424777E-5</v>
      </c>
    </row>
    <row r="1793" spans="1:6" x14ac:dyDescent="0.25">
      <c r="A1793" s="1" t="str">
        <f t="shared" si="66"/>
        <v>12100</v>
      </c>
      <c r="B1793" s="1" t="str">
        <f>"08350"</f>
        <v>08350</v>
      </c>
      <c r="C1793" s="2">
        <v>1.68136120780096E-3</v>
      </c>
      <c r="D1793" s="2">
        <v>5.2214776781829195E-4</v>
      </c>
      <c r="E1793" s="2">
        <v>1.6103059581320401E-3</v>
      </c>
      <c r="F1793" s="2">
        <v>1.5961094831348499E-3</v>
      </c>
    </row>
    <row r="1794" spans="1:6" x14ac:dyDescent="0.25">
      <c r="A1794" s="1" t="str">
        <f t="shared" si="66"/>
        <v>12100</v>
      </c>
      <c r="B1794" s="1" t="str">
        <f>"08360"</f>
        <v>08360</v>
      </c>
      <c r="C1794" s="2">
        <v>7.2604233973223202E-3</v>
      </c>
      <c r="D1794" s="2">
        <v>7.4841180053955196E-3</v>
      </c>
      <c r="E1794" s="2">
        <v>3.8244766505635998E-3</v>
      </c>
      <c r="F1794" s="2">
        <v>7.1700230687698702E-3</v>
      </c>
    </row>
    <row r="1795" spans="1:6" x14ac:dyDescent="0.25">
      <c r="A1795" s="1" t="str">
        <f t="shared" si="66"/>
        <v>12100</v>
      </c>
      <c r="B1795" s="1" t="str">
        <f>"08342"</f>
        <v>08342</v>
      </c>
      <c r="C1795" s="2">
        <v>0</v>
      </c>
      <c r="D1795" s="2">
        <v>0</v>
      </c>
      <c r="E1795" s="2">
        <v>2.0128824476650501E-4</v>
      </c>
      <c r="F1795" s="2">
        <v>6.2348026684955396E-6</v>
      </c>
    </row>
    <row r="1796" spans="1:6" x14ac:dyDescent="0.25">
      <c r="A1796" s="1" t="str">
        <f t="shared" si="66"/>
        <v>12100</v>
      </c>
      <c r="B1796" s="1" t="str">
        <f>"08221"</f>
        <v>08221</v>
      </c>
      <c r="C1796" s="2">
        <v>2.0259707776642901E-2</v>
      </c>
      <c r="D1796" s="2">
        <v>4.7950570011313198E-2</v>
      </c>
      <c r="E1796" s="2">
        <v>1.54991948470209E-2</v>
      </c>
      <c r="F1796" s="2">
        <v>2.2096140657148201E-2</v>
      </c>
    </row>
    <row r="1797" spans="1:6" x14ac:dyDescent="0.25">
      <c r="A1797" s="1" t="str">
        <f t="shared" si="66"/>
        <v>12100</v>
      </c>
      <c r="B1797" s="1" t="str">
        <f>"08232"</f>
        <v>08232</v>
      </c>
      <c r="C1797" s="2">
        <v>5.8750373442830198E-2</v>
      </c>
      <c r="D1797" s="2">
        <v>8.9026194413018803E-2</v>
      </c>
      <c r="E1797" s="2">
        <v>5.1731078904991901E-2</v>
      </c>
      <c r="F1797" s="2">
        <v>6.0702038780472499E-2</v>
      </c>
    </row>
    <row r="1798" spans="1:6" x14ac:dyDescent="0.25">
      <c r="A1798" s="1" t="str">
        <f t="shared" si="66"/>
        <v>12100</v>
      </c>
      <c r="B1798" s="1" t="str">
        <f>"08402"</f>
        <v>08402</v>
      </c>
      <c r="C1798" s="2">
        <v>5.1198143554897803E-2</v>
      </c>
      <c r="D1798" s="2">
        <v>1.9928639805064801E-2</v>
      </c>
      <c r="E1798" s="2">
        <v>6.5418679549114303E-2</v>
      </c>
      <c r="F1798" s="2">
        <v>4.93983415424901E-2</v>
      </c>
    </row>
    <row r="1799" spans="1:6" x14ac:dyDescent="0.25">
      <c r="A1799" s="1" t="str">
        <f t="shared" si="66"/>
        <v>12100</v>
      </c>
      <c r="B1799" s="1" t="str">
        <f>"08403"</f>
        <v>08403</v>
      </c>
      <c r="C1799" s="2">
        <v>1.22072381905218E-2</v>
      </c>
      <c r="D1799" s="2">
        <v>1.7404925593942999E-3</v>
      </c>
      <c r="E1799" s="2">
        <v>6.8438003220611899E-3</v>
      </c>
      <c r="F1799" s="2">
        <v>1.1291227632645401E-2</v>
      </c>
    </row>
    <row r="1800" spans="1:6" x14ac:dyDescent="0.25">
      <c r="A1800" s="1" t="str">
        <f t="shared" si="66"/>
        <v>12100</v>
      </c>
      <c r="B1800" s="1" t="str">
        <f>"08231"</f>
        <v>08231</v>
      </c>
      <c r="C1800" s="2">
        <v>3.89075320813445E-3</v>
      </c>
      <c r="D1800" s="2">
        <v>7.3100687494560904E-3</v>
      </c>
      <c r="E1800" s="2">
        <v>4.02576489533011E-4</v>
      </c>
      <c r="F1800" s="2">
        <v>4.0276825238481197E-3</v>
      </c>
    </row>
    <row r="1801" spans="1:6" x14ac:dyDescent="0.25">
      <c r="A1801" s="1" t="str">
        <f t="shared" si="66"/>
        <v>12100</v>
      </c>
      <c r="B1801" s="1" t="str">
        <f>"08203"</f>
        <v>08203</v>
      </c>
      <c r="C1801" s="2">
        <v>6.9033078350042701E-2</v>
      </c>
      <c r="D1801" s="2">
        <v>2.9588373509703201E-2</v>
      </c>
      <c r="E1801" s="2">
        <v>9.2592592592592504E-2</v>
      </c>
      <c r="F1801" s="2">
        <v>6.6936841448968096E-2</v>
      </c>
    </row>
    <row r="1802" spans="1:6" x14ac:dyDescent="0.25">
      <c r="A1802" s="1" t="str">
        <f t="shared" si="66"/>
        <v>12100</v>
      </c>
      <c r="B1802" s="1" t="str">
        <f>"08205"</f>
        <v>08205</v>
      </c>
      <c r="C1802" s="2">
        <v>8.1566861899104406E-2</v>
      </c>
      <c r="D1802" s="2">
        <v>6.2309633626316203E-2</v>
      </c>
      <c r="E1802" s="2">
        <v>2.3349436392914601E-2</v>
      </c>
      <c r="F1802" s="2">
        <v>7.8383939148325907E-2</v>
      </c>
    </row>
    <row r="1803" spans="1:6" x14ac:dyDescent="0.25">
      <c r="A1803" s="1" t="str">
        <f t="shared" si="66"/>
        <v>12100</v>
      </c>
      <c r="B1803" s="1" t="str">
        <f>"08201"</f>
        <v>08201</v>
      </c>
      <c r="C1803" s="2">
        <v>4.1714432610070101E-2</v>
      </c>
      <c r="D1803" s="2">
        <v>5.6740057436254397E-2</v>
      </c>
      <c r="E1803" s="2">
        <v>3.1803542673107803E-2</v>
      </c>
      <c r="F1803" s="2">
        <v>4.24839453831286E-2</v>
      </c>
    </row>
    <row r="1804" spans="1:6" x14ac:dyDescent="0.25">
      <c r="A1804" s="1" t="str">
        <f t="shared" si="66"/>
        <v>12100</v>
      </c>
      <c r="B1804" s="1" t="str">
        <f>"08094"</f>
        <v>08094</v>
      </c>
      <c r="C1804" s="2">
        <v>8.3859627182469292E-3</v>
      </c>
      <c r="D1804" s="2">
        <v>3.65503437472804E-3</v>
      </c>
      <c r="E1804" s="2">
        <v>1.6103059581320401E-3</v>
      </c>
      <c r="F1804" s="2">
        <v>7.8371469542988896E-3</v>
      </c>
    </row>
    <row r="1805" spans="1:6" x14ac:dyDescent="0.25">
      <c r="A1805" s="1" t="str">
        <f t="shared" si="66"/>
        <v>12100</v>
      </c>
      <c r="B1805" s="1" t="str">
        <f>"08217"</f>
        <v>08217</v>
      </c>
      <c r="C1805" s="2">
        <v>0</v>
      </c>
      <c r="D1805" s="2">
        <v>0</v>
      </c>
      <c r="E1805" s="2">
        <v>2.0128824476650501E-4</v>
      </c>
      <c r="F1805" s="2">
        <v>6.2348026684955396E-6</v>
      </c>
    </row>
    <row r="1806" spans="1:6" x14ac:dyDescent="0.25">
      <c r="A1806" s="1" t="str">
        <f t="shared" si="66"/>
        <v>12100</v>
      </c>
      <c r="B1806" s="1" t="str">
        <f>"08317"</f>
        <v>08317</v>
      </c>
      <c r="C1806" s="2">
        <v>3.09175924574969E-3</v>
      </c>
      <c r="D1806" s="2">
        <v>1.3923940475154401E-3</v>
      </c>
      <c r="E1806" s="2">
        <v>1.4090177133655301E-3</v>
      </c>
      <c r="F1806" s="2">
        <v>2.9178876488559101E-3</v>
      </c>
    </row>
    <row r="1807" spans="1:6" x14ac:dyDescent="0.25">
      <c r="A1807" s="1" t="str">
        <f t="shared" si="66"/>
        <v>12100</v>
      </c>
      <c r="B1807" s="1" t="str">
        <f>"08401"</f>
        <v>08401</v>
      </c>
      <c r="C1807" s="2">
        <v>0.143534054512231</v>
      </c>
      <c r="D1807" s="2">
        <v>0.17639892089461301</v>
      </c>
      <c r="E1807" s="2">
        <v>0.36553945249597403</v>
      </c>
      <c r="F1807" s="2">
        <v>0.15276513498347699</v>
      </c>
    </row>
    <row r="1808" spans="1:6" x14ac:dyDescent="0.25">
      <c r="A1808" s="1" t="str">
        <f t="shared" si="66"/>
        <v>12100</v>
      </c>
      <c r="B1808" s="1" t="str">
        <f>"08406"</f>
        <v>08406</v>
      </c>
      <c r="C1808" s="2">
        <v>5.9410411933495902E-2</v>
      </c>
      <c r="D1808" s="2">
        <v>3.5593072839613597E-2</v>
      </c>
      <c r="E1808" s="2">
        <v>8.1119162640901701E-2</v>
      </c>
      <c r="F1808" s="2">
        <v>5.8376457385123703E-2</v>
      </c>
    </row>
    <row r="1809" spans="1:6" x14ac:dyDescent="0.25">
      <c r="A1809" s="1" t="str">
        <f t="shared" si="66"/>
        <v>12100</v>
      </c>
      <c r="B1809" s="1" t="str">
        <f>"08340"</f>
        <v>08340</v>
      </c>
      <c r="C1809" s="2">
        <v>1.4798757738082799E-3</v>
      </c>
      <c r="D1809" s="2">
        <v>3.4809851187886099E-4</v>
      </c>
      <c r="E1809" s="2">
        <v>4.02576489533011E-4</v>
      </c>
      <c r="F1809" s="2">
        <v>1.3654217844005199E-3</v>
      </c>
    </row>
    <row r="1810" spans="1:6" x14ac:dyDescent="0.25">
      <c r="A1810" s="1" t="str">
        <f t="shared" si="66"/>
        <v>12100</v>
      </c>
      <c r="B1810" s="1" t="str">
        <f>"08310"</f>
        <v>08310</v>
      </c>
      <c r="C1810" s="2">
        <v>6.3224739632184801E-3</v>
      </c>
      <c r="D1810" s="2">
        <v>4.3512313984857701E-3</v>
      </c>
      <c r="E1810" s="2">
        <v>2.2141706924315601E-3</v>
      </c>
      <c r="F1810" s="2">
        <v>6.0539933911091699E-3</v>
      </c>
    </row>
    <row r="1811" spans="1:6" x14ac:dyDescent="0.25">
      <c r="A1811" s="1" t="str">
        <f t="shared" si="66"/>
        <v>12100</v>
      </c>
      <c r="B1811" s="1" t="str">
        <f>"08220"</f>
        <v>08220</v>
      </c>
      <c r="C1811" s="2">
        <v>0</v>
      </c>
      <c r="D1811" s="2">
        <v>0</v>
      </c>
      <c r="E1811" s="2">
        <v>2.0128824476650501E-4</v>
      </c>
      <c r="F1811" s="2">
        <v>6.2348026684955396E-6</v>
      </c>
    </row>
    <row r="1812" spans="1:6" x14ac:dyDescent="0.25">
      <c r="A1812" s="1" t="str">
        <f t="shared" si="66"/>
        <v>12100</v>
      </c>
      <c r="B1812" s="1" t="str">
        <f>"08330"</f>
        <v>08330</v>
      </c>
      <c r="C1812" s="2">
        <v>9.5483252391770995E-2</v>
      </c>
      <c r="D1812" s="2">
        <v>8.5545209294230207E-2</v>
      </c>
      <c r="E1812" s="2">
        <v>4.5088566827697199E-2</v>
      </c>
      <c r="F1812" s="2">
        <v>9.3210299894008294E-2</v>
      </c>
    </row>
    <row r="1813" spans="1:6" x14ac:dyDescent="0.25">
      <c r="A1813" s="1" t="str">
        <f t="shared" ref="A1813:A1822" si="67">"12120"</f>
        <v>12120</v>
      </c>
      <c r="B1813" s="1" t="str">
        <f>"36503"</f>
        <v>36503</v>
      </c>
      <c r="C1813" s="2">
        <v>0</v>
      </c>
      <c r="D1813" s="2">
        <v>2.6954177897574099E-3</v>
      </c>
      <c r="E1813" s="2">
        <v>0</v>
      </c>
      <c r="F1813" s="2">
        <v>2.24305773630613E-4</v>
      </c>
    </row>
    <row r="1814" spans="1:6" x14ac:dyDescent="0.25">
      <c r="A1814" s="1" t="str">
        <f t="shared" si="67"/>
        <v>12120</v>
      </c>
      <c r="B1814" s="1" t="str">
        <f>"36483"</f>
        <v>36483</v>
      </c>
      <c r="C1814" s="2">
        <v>7.6499999999999997E-3</v>
      </c>
      <c r="D1814" s="2">
        <v>5.9299191374663001E-3</v>
      </c>
      <c r="E1814" s="2">
        <v>2.2935779816513702E-3</v>
      </c>
      <c r="F1814" s="2">
        <v>7.4020905298102296E-3</v>
      </c>
    </row>
    <row r="1815" spans="1:6" x14ac:dyDescent="0.25">
      <c r="A1815" s="1" t="str">
        <f t="shared" si="67"/>
        <v>12120</v>
      </c>
      <c r="B1815" s="1" t="str">
        <f>"36502"</f>
        <v>36502</v>
      </c>
      <c r="C1815" s="2">
        <v>0.42725000000000002</v>
      </c>
      <c r="D1815" s="2">
        <v>0.47169811320754701</v>
      </c>
      <c r="E1815" s="2">
        <v>0.46788990825687998</v>
      </c>
      <c r="F1815" s="2">
        <v>0.43174375308420399</v>
      </c>
    </row>
    <row r="1816" spans="1:6" x14ac:dyDescent="0.25">
      <c r="A1816" s="1" t="str">
        <f t="shared" si="67"/>
        <v>12120</v>
      </c>
      <c r="B1816" s="1" t="str">
        <f>"36420"</f>
        <v>36420</v>
      </c>
      <c r="C1816" s="2">
        <v>3.3999999999999998E-3</v>
      </c>
      <c r="D1816" s="2">
        <v>2.1563342318059201E-3</v>
      </c>
      <c r="E1816" s="2">
        <v>0</v>
      </c>
      <c r="F1816" s="2">
        <v>3.2300031402808299E-3</v>
      </c>
    </row>
    <row r="1817" spans="1:6" x14ac:dyDescent="0.25">
      <c r="A1817" s="1" t="str">
        <f t="shared" si="67"/>
        <v>12120</v>
      </c>
      <c r="B1817" s="1" t="str">
        <f>"36432"</f>
        <v>36432</v>
      </c>
      <c r="C1817" s="2">
        <v>1.355E-2</v>
      </c>
      <c r="D1817" s="2">
        <v>6.4690026954177804E-3</v>
      </c>
      <c r="E1817" s="2">
        <v>0</v>
      </c>
      <c r="F1817" s="2">
        <v>1.2695706787492701E-2</v>
      </c>
    </row>
    <row r="1818" spans="1:6" x14ac:dyDescent="0.25">
      <c r="A1818" s="1" t="str">
        <f t="shared" si="67"/>
        <v>12120</v>
      </c>
      <c r="B1818" s="1" t="str">
        <f>"36441"</f>
        <v>36441</v>
      </c>
      <c r="C1818" s="2">
        <v>0.1014</v>
      </c>
      <c r="D1818" s="2">
        <v>5.6603773584905599E-2</v>
      </c>
      <c r="E1818" s="2">
        <v>7.7981651376146696E-2</v>
      </c>
      <c r="F1818" s="2">
        <v>9.7214122291507707E-2</v>
      </c>
    </row>
    <row r="1819" spans="1:6" x14ac:dyDescent="0.25">
      <c r="A1819" s="1" t="str">
        <f t="shared" si="67"/>
        <v>12120</v>
      </c>
      <c r="B1819" s="1" t="str">
        <f>"36562"</f>
        <v>36562</v>
      </c>
      <c r="C1819" s="2">
        <v>4.8500000000000001E-3</v>
      </c>
      <c r="D1819" s="2">
        <v>5.3908355795148199E-4</v>
      </c>
      <c r="E1819" s="2">
        <v>1.14678899082568E-2</v>
      </c>
      <c r="F1819" s="2">
        <v>4.6206989367906298E-3</v>
      </c>
    </row>
    <row r="1820" spans="1:6" x14ac:dyDescent="0.25">
      <c r="A1820" s="1" t="str">
        <f t="shared" si="67"/>
        <v>12120</v>
      </c>
      <c r="B1820" s="1" t="str">
        <f>"36475"</f>
        <v>36475</v>
      </c>
      <c r="C1820" s="2">
        <v>1E-4</v>
      </c>
      <c r="D1820" s="2">
        <v>0</v>
      </c>
      <c r="E1820" s="2">
        <v>0</v>
      </c>
      <c r="F1820" s="2">
        <v>8.9722309452245301E-5</v>
      </c>
    </row>
    <row r="1821" spans="1:6" x14ac:dyDescent="0.25">
      <c r="A1821" s="1" t="str">
        <f t="shared" si="67"/>
        <v>12120</v>
      </c>
      <c r="B1821" s="1" t="str">
        <f>"36426"</f>
        <v>36426</v>
      </c>
      <c r="C1821" s="2">
        <v>0.44180000000000003</v>
      </c>
      <c r="D1821" s="2">
        <v>0.45336927223719597</v>
      </c>
      <c r="E1821" s="2">
        <v>0.44036697247706402</v>
      </c>
      <c r="F1821" s="2">
        <v>0.442734735992104</v>
      </c>
    </row>
    <row r="1822" spans="1:6" x14ac:dyDescent="0.25">
      <c r="A1822" s="1" t="str">
        <f t="shared" si="67"/>
        <v>12120</v>
      </c>
      <c r="B1822" s="1" t="str">
        <f>"36543"</f>
        <v>36543</v>
      </c>
      <c r="C1822" s="2">
        <v>0</v>
      </c>
      <c r="D1822" s="2">
        <v>5.3908355795148199E-4</v>
      </c>
      <c r="E1822" s="2">
        <v>0</v>
      </c>
      <c r="F1822" s="2">
        <v>4.4861154726122603E-5</v>
      </c>
    </row>
    <row r="1823" spans="1:6" x14ac:dyDescent="0.25">
      <c r="A1823" s="1" t="str">
        <f t="shared" ref="A1823:A1837" si="68">"12140"</f>
        <v>12140</v>
      </c>
      <c r="B1823" s="1" t="str">
        <f>"46738"</f>
        <v>46738</v>
      </c>
      <c r="C1823" s="2">
        <v>0.169530523326969</v>
      </c>
      <c r="D1823" s="2">
        <v>0.140035906642728</v>
      </c>
      <c r="E1823" s="2">
        <v>0.27923627684964197</v>
      </c>
      <c r="F1823" s="2">
        <v>0.16938313274414801</v>
      </c>
    </row>
    <row r="1824" spans="1:6" x14ac:dyDescent="0.25">
      <c r="A1824" s="1" t="str">
        <f t="shared" si="68"/>
        <v>12140</v>
      </c>
      <c r="B1824" s="1" t="str">
        <f>"46763"</f>
        <v>46763</v>
      </c>
      <c r="C1824" s="2">
        <v>3.9653399911881299E-3</v>
      </c>
      <c r="D1824" s="2">
        <v>7.1813285457809602E-3</v>
      </c>
      <c r="E1824" s="2">
        <v>0</v>
      </c>
      <c r="F1824" s="2">
        <v>4.1302127281609398E-3</v>
      </c>
    </row>
    <row r="1825" spans="1:6" x14ac:dyDescent="0.25">
      <c r="A1825" s="1" t="str">
        <f t="shared" si="68"/>
        <v>12140</v>
      </c>
      <c r="B1825" s="1" t="str">
        <f>"46721"</f>
        <v>46721</v>
      </c>
      <c r="C1825" s="2">
        <v>0.11450531159739499</v>
      </c>
      <c r="D1825" s="2">
        <v>9.5152603231597799E-2</v>
      </c>
      <c r="E1825" s="2">
        <v>7.39856801909307E-2</v>
      </c>
      <c r="F1825" s="2">
        <v>0.112315139672247</v>
      </c>
    </row>
    <row r="1826" spans="1:6" x14ac:dyDescent="0.25">
      <c r="A1826" s="1" t="str">
        <f t="shared" si="68"/>
        <v>12140</v>
      </c>
      <c r="B1826" s="1" t="str">
        <f>"46747"</f>
        <v>46747</v>
      </c>
      <c r="C1826" s="2">
        <v>6.5599451706075196E-3</v>
      </c>
      <c r="D1826" s="2">
        <v>5.9844404548174701E-4</v>
      </c>
      <c r="E1826" s="2">
        <v>9.5465393794749408E-3</v>
      </c>
      <c r="F1826" s="2">
        <v>6.1731136474663497E-3</v>
      </c>
    </row>
    <row r="1827" spans="1:6" x14ac:dyDescent="0.25">
      <c r="A1827" s="1" t="str">
        <f t="shared" si="68"/>
        <v>12140</v>
      </c>
      <c r="B1827" s="1" t="str">
        <f>"46755"</f>
        <v>46755</v>
      </c>
      <c r="C1827" s="2">
        <v>2.6925148088314402E-3</v>
      </c>
      <c r="D1827" s="2">
        <v>1.1968880909634899E-3</v>
      </c>
      <c r="E1827" s="2">
        <v>0</v>
      </c>
      <c r="F1827" s="2">
        <v>2.5314207043567001E-3</v>
      </c>
    </row>
    <row r="1828" spans="1:6" x14ac:dyDescent="0.25">
      <c r="A1828" s="1" t="str">
        <f t="shared" si="68"/>
        <v>12140</v>
      </c>
      <c r="B1828" s="1" t="str">
        <f>"46706"</f>
        <v>46706</v>
      </c>
      <c r="C1828" s="2">
        <v>0.47530229598080898</v>
      </c>
      <c r="D1828" s="2">
        <v>0.67145421903052005</v>
      </c>
      <c r="E1828" s="2">
        <v>0.37708830548925998</v>
      </c>
      <c r="F1828" s="2">
        <v>0.48803126526624302</v>
      </c>
    </row>
    <row r="1829" spans="1:6" x14ac:dyDescent="0.25">
      <c r="A1829" s="1" t="str">
        <f t="shared" si="68"/>
        <v>12140</v>
      </c>
      <c r="B1829" s="1" t="str">
        <f>"46742"</f>
        <v>46742</v>
      </c>
      <c r="C1829" s="2">
        <v>1.6840456258873E-2</v>
      </c>
      <c r="D1829" s="2">
        <v>4.78755236385397E-3</v>
      </c>
      <c r="E1829" s="2">
        <v>1.67064439140811E-2</v>
      </c>
      <c r="F1829" s="2">
        <v>1.5943509348492198E-2</v>
      </c>
    </row>
    <row r="1830" spans="1:6" x14ac:dyDescent="0.25">
      <c r="A1830" s="1" t="str">
        <f t="shared" si="68"/>
        <v>12140</v>
      </c>
      <c r="B1830" s="1" t="str">
        <f>"46793"</f>
        <v>46793</v>
      </c>
      <c r="C1830" s="2">
        <v>9.4825476085572999E-2</v>
      </c>
      <c r="D1830" s="2">
        <v>3.6505086774386498E-2</v>
      </c>
      <c r="E1830" s="2">
        <v>0.202863961813842</v>
      </c>
      <c r="F1830" s="2">
        <v>9.2507882932895094E-2</v>
      </c>
    </row>
    <row r="1831" spans="1:6" x14ac:dyDescent="0.25">
      <c r="A1831" s="1" t="str">
        <f t="shared" si="68"/>
        <v>12140</v>
      </c>
      <c r="B1831" s="1" t="str">
        <f>"46743"</f>
        <v>46743</v>
      </c>
      <c r="C1831" s="2">
        <v>2.9372888823615801E-4</v>
      </c>
      <c r="D1831" s="2">
        <v>0</v>
      </c>
      <c r="E1831" s="2">
        <v>0</v>
      </c>
      <c r="F1831" s="2">
        <v>2.6646533730070599E-4</v>
      </c>
    </row>
    <row r="1832" spans="1:6" x14ac:dyDescent="0.25">
      <c r="A1832" s="1" t="str">
        <f t="shared" si="68"/>
        <v>12140</v>
      </c>
      <c r="B1832" s="1" t="str">
        <f>"46748"</f>
        <v>46748</v>
      </c>
      <c r="C1832" s="2">
        <v>1.4686444411807901E-3</v>
      </c>
      <c r="D1832" s="2">
        <v>2.3937761819269798E-3</v>
      </c>
      <c r="E1832" s="2">
        <v>0</v>
      </c>
      <c r="F1832" s="2">
        <v>1.5099702447039999E-3</v>
      </c>
    </row>
    <row r="1833" spans="1:6" x14ac:dyDescent="0.25">
      <c r="A1833" s="1" t="str">
        <f t="shared" si="68"/>
        <v>12140</v>
      </c>
      <c r="B1833" s="1" t="str">
        <f>"46788"</f>
        <v>46788</v>
      </c>
      <c r="C1833" s="2">
        <v>2.4869045870661299E-2</v>
      </c>
      <c r="D1833" s="2">
        <v>2.9922202274087302E-3</v>
      </c>
      <c r="E1833" s="2">
        <v>2.38663484486873E-3</v>
      </c>
      <c r="F1833" s="2">
        <v>2.28271972287604E-2</v>
      </c>
    </row>
    <row r="1834" spans="1:6" x14ac:dyDescent="0.25">
      <c r="A1834" s="1" t="str">
        <f t="shared" si="68"/>
        <v>12140</v>
      </c>
      <c r="B1834" s="1" t="str">
        <f>"46710"</f>
        <v>46710</v>
      </c>
      <c r="C1834" s="2">
        <v>3.2310177705977298E-3</v>
      </c>
      <c r="D1834" s="2">
        <v>0</v>
      </c>
      <c r="E1834" s="2">
        <v>0</v>
      </c>
      <c r="F1834" s="2">
        <v>2.93111871030776E-3</v>
      </c>
    </row>
    <row r="1835" spans="1:6" x14ac:dyDescent="0.25">
      <c r="A1835" s="1" t="str">
        <f t="shared" si="68"/>
        <v>12140</v>
      </c>
      <c r="B1835" s="1" t="str">
        <f>"46730"</f>
        <v>46730</v>
      </c>
      <c r="C1835" s="2">
        <v>3.03030303030303E-2</v>
      </c>
      <c r="D1835" s="2">
        <v>1.0771992818671401E-2</v>
      </c>
      <c r="E1835" s="2">
        <v>2.38663484486873E-3</v>
      </c>
      <c r="F1835" s="2">
        <v>2.8334147532975001E-2</v>
      </c>
    </row>
    <row r="1836" spans="1:6" x14ac:dyDescent="0.25">
      <c r="A1836" s="1" t="str">
        <f t="shared" si="68"/>
        <v>12140</v>
      </c>
      <c r="B1836" s="1" t="str">
        <f>"46785"</f>
        <v>46785</v>
      </c>
      <c r="C1836" s="2">
        <v>2.9128114750085601E-2</v>
      </c>
      <c r="D1836" s="2">
        <v>5.9844404548174699E-3</v>
      </c>
      <c r="E1836" s="2">
        <v>9.5465393794749408E-3</v>
      </c>
      <c r="F1836" s="2">
        <v>2.7046231736021598E-2</v>
      </c>
    </row>
    <row r="1837" spans="1:6" x14ac:dyDescent="0.25">
      <c r="A1837" s="1" t="str">
        <f t="shared" si="68"/>
        <v>12140</v>
      </c>
      <c r="B1837" s="1" t="str">
        <f>"46705"</f>
        <v>46705</v>
      </c>
      <c r="C1837" s="2">
        <v>2.6484554755960201E-2</v>
      </c>
      <c r="D1837" s="2">
        <v>2.09455415918611E-2</v>
      </c>
      <c r="E1837" s="2">
        <v>2.6252983293556E-2</v>
      </c>
      <c r="F1837" s="2">
        <v>2.6069192165918999E-2</v>
      </c>
    </row>
    <row r="1838" spans="1:6" x14ac:dyDescent="0.25">
      <c r="A1838" s="1" t="str">
        <f t="shared" ref="A1838:A1869" si="69">"12180"</f>
        <v>12180</v>
      </c>
      <c r="B1838" s="1" t="str">
        <f>"13077"</f>
        <v>13077</v>
      </c>
      <c r="C1838" s="2">
        <v>6.1653933789036297E-4</v>
      </c>
      <c r="D1838" s="2">
        <v>0</v>
      </c>
      <c r="E1838" s="2">
        <v>0</v>
      </c>
      <c r="F1838" s="2">
        <v>5.5821178069557999E-4</v>
      </c>
    </row>
    <row r="1839" spans="1:6" x14ac:dyDescent="0.25">
      <c r="A1839" s="1" t="str">
        <f t="shared" si="69"/>
        <v>12180</v>
      </c>
      <c r="B1839" s="1" t="str">
        <f>"13027"</f>
        <v>13027</v>
      </c>
      <c r="C1839" s="2">
        <v>4.8250904704463202E-4</v>
      </c>
      <c r="D1839" s="2">
        <v>0</v>
      </c>
      <c r="E1839" s="2">
        <v>0</v>
      </c>
      <c r="F1839" s="2">
        <v>4.3686139358784502E-4</v>
      </c>
    </row>
    <row r="1840" spans="1:6" x14ac:dyDescent="0.25">
      <c r="A1840" s="1" t="str">
        <f t="shared" si="69"/>
        <v>12180</v>
      </c>
      <c r="B1840" s="1" t="str">
        <f>"13045"</f>
        <v>13045</v>
      </c>
      <c r="C1840" s="2">
        <v>1.0320332395121199E-2</v>
      </c>
      <c r="D1840" s="2">
        <v>2.0040080160320601E-3</v>
      </c>
      <c r="E1840" s="2">
        <v>8.5531004989308594E-3</v>
      </c>
      <c r="F1840" s="2">
        <v>9.7565711234618799E-3</v>
      </c>
    </row>
    <row r="1841" spans="1:6" x14ac:dyDescent="0.25">
      <c r="A1841" s="1" t="str">
        <f t="shared" si="69"/>
        <v>12180</v>
      </c>
      <c r="B1841" s="1" t="str">
        <f>"13033"</f>
        <v>13033</v>
      </c>
      <c r="C1841" s="2">
        <v>4.0423535719072499E-2</v>
      </c>
      <c r="D1841" s="2">
        <v>2.08416833667334E-2</v>
      </c>
      <c r="E1841" s="2">
        <v>2.2095509622238E-2</v>
      </c>
      <c r="F1841" s="2">
        <v>3.8613693177681201E-2</v>
      </c>
    </row>
    <row r="1842" spans="1:6" x14ac:dyDescent="0.25">
      <c r="A1842" s="1" t="str">
        <f t="shared" si="69"/>
        <v>12180</v>
      </c>
      <c r="B1842" s="1" t="str">
        <f>"13021"</f>
        <v>13021</v>
      </c>
      <c r="C1842" s="2">
        <v>0.53204664254121403</v>
      </c>
      <c r="D1842" s="2">
        <v>0.767134268537074</v>
      </c>
      <c r="E1842" s="2">
        <v>0.80898075552387705</v>
      </c>
      <c r="F1842" s="2">
        <v>0.55571196272116097</v>
      </c>
    </row>
    <row r="1843" spans="1:6" x14ac:dyDescent="0.25">
      <c r="A1843" s="1" t="str">
        <f t="shared" si="69"/>
        <v>12180</v>
      </c>
      <c r="B1843" s="1" t="str">
        <f>"13111"</f>
        <v>13111</v>
      </c>
      <c r="C1843" s="2">
        <v>1.5708350087119599E-2</v>
      </c>
      <c r="D1843" s="2">
        <v>4.8096192384769502E-3</v>
      </c>
      <c r="E1843" s="2">
        <v>2.1382751247327101E-3</v>
      </c>
      <c r="F1843" s="2">
        <v>1.45863165303497E-2</v>
      </c>
    </row>
    <row r="1844" spans="1:6" x14ac:dyDescent="0.25">
      <c r="A1844" s="1" t="str">
        <f t="shared" si="69"/>
        <v>12180</v>
      </c>
      <c r="B1844" s="1" t="str">
        <f>"13139"</f>
        <v>13139</v>
      </c>
      <c r="C1844" s="2">
        <v>0</v>
      </c>
      <c r="D1844" s="2">
        <v>0</v>
      </c>
      <c r="E1844" s="2">
        <v>7.1275837491090502E-4</v>
      </c>
      <c r="F1844" s="2">
        <v>2.4270077421546899E-5</v>
      </c>
    </row>
    <row r="1845" spans="1:6" x14ac:dyDescent="0.25">
      <c r="A1845" s="1" t="str">
        <f t="shared" si="69"/>
        <v>12180</v>
      </c>
      <c r="B1845" s="1" t="str">
        <f>"13117"</f>
        <v>13117</v>
      </c>
      <c r="C1845" s="2">
        <v>2.8414421659295002E-3</v>
      </c>
      <c r="D1845" s="2">
        <v>0</v>
      </c>
      <c r="E1845" s="2">
        <v>7.1275837491090502E-4</v>
      </c>
      <c r="F1845" s="2">
        <v>2.5968982841055202E-3</v>
      </c>
    </row>
    <row r="1846" spans="1:6" x14ac:dyDescent="0.25">
      <c r="A1846" s="1" t="str">
        <f t="shared" si="69"/>
        <v>12180</v>
      </c>
      <c r="B1846" s="1" t="str">
        <f>"13143"</f>
        <v>13143</v>
      </c>
      <c r="C1846" s="2">
        <v>1.21431443506232E-2</v>
      </c>
      <c r="D1846" s="2">
        <v>2.0040080160320601E-3</v>
      </c>
      <c r="E1846" s="2">
        <v>0</v>
      </c>
      <c r="F1846" s="2">
        <v>1.11156954590685E-2</v>
      </c>
    </row>
    <row r="1847" spans="1:6" x14ac:dyDescent="0.25">
      <c r="A1847" s="1" t="str">
        <f t="shared" si="69"/>
        <v>12180</v>
      </c>
      <c r="B1847" s="1" t="str">
        <f>"13152"</f>
        <v>13152</v>
      </c>
      <c r="C1847" s="2">
        <v>8.4707143814502003E-3</v>
      </c>
      <c r="D1847" s="2">
        <v>4.0080160320641201E-4</v>
      </c>
      <c r="E1847" s="2">
        <v>7.1275837491090502E-4</v>
      </c>
      <c r="F1847" s="2">
        <v>7.7178846200519303E-3</v>
      </c>
    </row>
    <row r="1848" spans="1:6" x14ac:dyDescent="0.25">
      <c r="A1848" s="1" t="str">
        <f t="shared" si="69"/>
        <v>12180</v>
      </c>
      <c r="B1848" s="1" t="str">
        <f>"13113"</f>
        <v>13113</v>
      </c>
      <c r="C1848" s="2">
        <v>4.8250904704463202E-4</v>
      </c>
      <c r="D1848" s="2">
        <v>0</v>
      </c>
      <c r="E1848" s="2">
        <v>7.1275837491090502E-4</v>
      </c>
      <c r="F1848" s="2">
        <v>4.6113147100939201E-4</v>
      </c>
    </row>
    <row r="1849" spans="1:6" x14ac:dyDescent="0.25">
      <c r="A1849" s="1" t="str">
        <f t="shared" si="69"/>
        <v>12180</v>
      </c>
      <c r="B1849" s="1" t="str">
        <f>"13074"</f>
        <v>13074</v>
      </c>
      <c r="C1849" s="2">
        <v>1.8228119555019401E-3</v>
      </c>
      <c r="D1849" s="2">
        <v>0</v>
      </c>
      <c r="E1849" s="2">
        <v>0</v>
      </c>
      <c r="F1849" s="2">
        <v>1.6503652646651899E-3</v>
      </c>
    </row>
    <row r="1850" spans="1:6" x14ac:dyDescent="0.25">
      <c r="A1850" s="1" t="str">
        <f t="shared" si="69"/>
        <v>12180</v>
      </c>
      <c r="B1850" s="1" t="str">
        <f>"13034"</f>
        <v>13034</v>
      </c>
      <c r="C1850" s="2">
        <v>2.3911003886878401E-2</v>
      </c>
      <c r="D1850" s="2">
        <v>1.0821643286573099E-2</v>
      </c>
      <c r="E1850" s="2">
        <v>6.4148253741981402E-3</v>
      </c>
      <c r="F1850" s="2">
        <v>2.2522631847195499E-2</v>
      </c>
    </row>
    <row r="1851" spans="1:6" x14ac:dyDescent="0.25">
      <c r="A1851" s="1" t="str">
        <f t="shared" si="69"/>
        <v>12180</v>
      </c>
      <c r="B1851" s="1" t="str">
        <f>"13126"</f>
        <v>13126</v>
      </c>
      <c r="C1851" s="2">
        <v>9.1140597775097101E-4</v>
      </c>
      <c r="D1851" s="2">
        <v>0</v>
      </c>
      <c r="E1851" s="2">
        <v>1.42551674982181E-3</v>
      </c>
      <c r="F1851" s="2">
        <v>8.7372278717569101E-4</v>
      </c>
    </row>
    <row r="1852" spans="1:6" x14ac:dyDescent="0.25">
      <c r="A1852" s="1" t="str">
        <f t="shared" si="69"/>
        <v>12180</v>
      </c>
      <c r="B1852" s="1" t="str">
        <f>"13024"</f>
        <v>13024</v>
      </c>
      <c r="C1852" s="2">
        <v>0</v>
      </c>
      <c r="D1852" s="2">
        <v>0</v>
      </c>
      <c r="E1852" s="2">
        <v>1.42551674982181E-3</v>
      </c>
      <c r="F1852" s="2">
        <v>4.8540154843093899E-5</v>
      </c>
    </row>
    <row r="1853" spans="1:6" x14ac:dyDescent="0.25">
      <c r="A1853" s="1" t="str">
        <f t="shared" si="69"/>
        <v>12180</v>
      </c>
      <c r="B1853" s="1" t="str">
        <f>"13140"</f>
        <v>13140</v>
      </c>
      <c r="C1853" s="2">
        <v>4.7339498726712198E-2</v>
      </c>
      <c r="D1853" s="2">
        <v>1.04208416833667E-2</v>
      </c>
      <c r="E1853" s="2">
        <v>6.4148253741981402E-3</v>
      </c>
      <c r="F1853" s="2">
        <v>4.3710409436206098E-2</v>
      </c>
    </row>
    <row r="1854" spans="1:6" x14ac:dyDescent="0.25">
      <c r="A1854" s="1" t="str">
        <f t="shared" si="69"/>
        <v>12180</v>
      </c>
      <c r="B1854" s="1" t="str">
        <f>"13166"</f>
        <v>13166</v>
      </c>
      <c r="C1854" s="2">
        <v>8.9880713041147198E-2</v>
      </c>
      <c r="D1854" s="2">
        <v>8.4168336673346597E-2</v>
      </c>
      <c r="E1854" s="2">
        <v>4.4903777619386999E-2</v>
      </c>
      <c r="F1854" s="2">
        <v>8.8003300730529296E-2</v>
      </c>
    </row>
    <row r="1855" spans="1:6" x14ac:dyDescent="0.25">
      <c r="A1855" s="1" t="str">
        <f t="shared" si="69"/>
        <v>12180</v>
      </c>
      <c r="B1855" s="1" t="str">
        <f>"13064"</f>
        <v>13064</v>
      </c>
      <c r="C1855" s="2">
        <v>7.5056962873609398E-4</v>
      </c>
      <c r="D1855" s="2">
        <v>0</v>
      </c>
      <c r="E1855" s="2">
        <v>7.1275837491090502E-4</v>
      </c>
      <c r="F1855" s="2">
        <v>7.0383224522486195E-4</v>
      </c>
    </row>
    <row r="1856" spans="1:6" x14ac:dyDescent="0.25">
      <c r="A1856" s="1" t="str">
        <f t="shared" si="69"/>
        <v>12180</v>
      </c>
      <c r="B1856" s="1" t="str">
        <f>"13081"</f>
        <v>13081</v>
      </c>
      <c r="C1856" s="2">
        <v>1.40999865969709E-2</v>
      </c>
      <c r="D1856" s="2">
        <v>6.4128256513026E-3</v>
      </c>
      <c r="E1856" s="2">
        <v>2.1382751247327101E-3</v>
      </c>
      <c r="F1856" s="2">
        <v>1.3227192194743101E-2</v>
      </c>
    </row>
    <row r="1857" spans="1:6" x14ac:dyDescent="0.25">
      <c r="A1857" s="1" t="str">
        <f t="shared" si="69"/>
        <v>12180</v>
      </c>
      <c r="B1857" s="1" t="str">
        <f>"13080"</f>
        <v>13080</v>
      </c>
      <c r="C1857" s="2">
        <v>1.1794665594424301E-2</v>
      </c>
      <c r="D1857" s="2">
        <v>2.8056112224448802E-3</v>
      </c>
      <c r="E1857" s="2">
        <v>8.5531004989308594E-3</v>
      </c>
      <c r="F1857" s="2">
        <v>1.113996553649E-2</v>
      </c>
    </row>
    <row r="1858" spans="1:6" x14ac:dyDescent="0.25">
      <c r="A1858" s="1" t="str">
        <f t="shared" si="69"/>
        <v>12180</v>
      </c>
      <c r="B1858" s="1" t="str">
        <f>"13156"</f>
        <v>13156</v>
      </c>
      <c r="C1858" s="2">
        <v>2.90577670553545E-2</v>
      </c>
      <c r="D1858" s="2">
        <v>7.2144288577154301E-3</v>
      </c>
      <c r="E1858" s="2">
        <v>6.4148253741981402E-3</v>
      </c>
      <c r="F1858" s="2">
        <v>2.6964056015338599E-2</v>
      </c>
    </row>
    <row r="1859" spans="1:6" x14ac:dyDescent="0.25">
      <c r="A1859" s="1" t="str">
        <f t="shared" si="69"/>
        <v>12180</v>
      </c>
      <c r="B1859" s="1" t="str">
        <f>"13146"</f>
        <v>13146</v>
      </c>
      <c r="C1859" s="2">
        <v>1.6083634901487701E-4</v>
      </c>
      <c r="D1859" s="2">
        <v>0</v>
      </c>
      <c r="E1859" s="2">
        <v>0</v>
      </c>
      <c r="F1859" s="2">
        <v>1.4562046452928101E-4</v>
      </c>
    </row>
    <row r="1860" spans="1:6" x14ac:dyDescent="0.25">
      <c r="A1860" s="1" t="str">
        <f t="shared" si="69"/>
        <v>12180</v>
      </c>
      <c r="B1860" s="1" t="str">
        <f>"13118"</f>
        <v>13118</v>
      </c>
      <c r="C1860" s="2">
        <v>6.4120091140597704E-2</v>
      </c>
      <c r="D1860" s="2">
        <v>3.60721442885771E-2</v>
      </c>
      <c r="E1860" s="2">
        <v>3.84889522451888E-2</v>
      </c>
      <c r="F1860" s="2">
        <v>6.1548916341043099E-2</v>
      </c>
    </row>
    <row r="1861" spans="1:6" x14ac:dyDescent="0.25">
      <c r="A1861" s="1" t="str">
        <f t="shared" si="69"/>
        <v>12180</v>
      </c>
      <c r="B1861" s="1" t="str">
        <f>"13160"</f>
        <v>13160</v>
      </c>
      <c r="C1861" s="2">
        <v>2.2999597909127398E-2</v>
      </c>
      <c r="D1861" s="2">
        <v>1.20240480961923E-2</v>
      </c>
      <c r="E1861" s="2">
        <v>3.5637918745545201E-3</v>
      </c>
      <c r="F1861" s="2">
        <v>2.1673179137441399E-2</v>
      </c>
    </row>
    <row r="1862" spans="1:6" x14ac:dyDescent="0.25">
      <c r="A1862" s="1" t="str">
        <f t="shared" si="69"/>
        <v>12180</v>
      </c>
      <c r="B1862" s="1" t="str">
        <f>"14882"</f>
        <v>14882</v>
      </c>
      <c r="C1862" s="2">
        <v>2.1444846535316901E-4</v>
      </c>
      <c r="D1862" s="2">
        <v>0</v>
      </c>
      <c r="E1862" s="2">
        <v>0</v>
      </c>
      <c r="F1862" s="2">
        <v>1.94160619372375E-4</v>
      </c>
    </row>
    <row r="1863" spans="1:6" x14ac:dyDescent="0.25">
      <c r="A1863" s="1" t="str">
        <f t="shared" si="69"/>
        <v>12180</v>
      </c>
      <c r="B1863" s="1" t="str">
        <f>"13060"</f>
        <v>13060</v>
      </c>
      <c r="C1863" s="2">
        <v>8.0418174507438598E-5</v>
      </c>
      <c r="D1863" s="2">
        <v>0</v>
      </c>
      <c r="E1863" s="2">
        <v>0</v>
      </c>
      <c r="F1863" s="2">
        <v>7.28102322646409E-5</v>
      </c>
    </row>
    <row r="1864" spans="1:6" x14ac:dyDescent="0.25">
      <c r="A1864" s="1" t="str">
        <f t="shared" si="69"/>
        <v>12180</v>
      </c>
      <c r="B1864" s="1" t="str">
        <f>"13073"</f>
        <v>13073</v>
      </c>
      <c r="C1864" s="2">
        <v>1.87642407184023E-3</v>
      </c>
      <c r="D1864" s="2">
        <v>0</v>
      </c>
      <c r="E1864" s="2">
        <v>7.1275837491090502E-4</v>
      </c>
      <c r="F1864" s="2">
        <v>1.7231754969298299E-3</v>
      </c>
    </row>
    <row r="1865" spans="1:6" x14ac:dyDescent="0.25">
      <c r="A1865" s="1" t="str">
        <f t="shared" si="69"/>
        <v>12180</v>
      </c>
      <c r="B1865" s="1" t="str">
        <f>"13071"</f>
        <v>13071</v>
      </c>
      <c r="C1865" s="2">
        <v>1.10977080820265E-2</v>
      </c>
      <c r="D1865" s="2">
        <v>6.8136272545090103E-3</v>
      </c>
      <c r="E1865" s="2">
        <v>4.2765502494654297E-3</v>
      </c>
      <c r="F1865" s="2">
        <v>1.0606023833216001E-2</v>
      </c>
    </row>
    <row r="1866" spans="1:6" x14ac:dyDescent="0.25">
      <c r="A1866" s="1" t="str">
        <f t="shared" si="69"/>
        <v>12180</v>
      </c>
      <c r="B1866" s="1" t="str">
        <f>"13022"</f>
        <v>13022</v>
      </c>
      <c r="C1866" s="2">
        <v>0</v>
      </c>
      <c r="D1866" s="2">
        <v>0</v>
      </c>
      <c r="E1866" s="2">
        <v>4.2765502494654297E-3</v>
      </c>
      <c r="F1866" s="2">
        <v>1.4562046452928101E-4</v>
      </c>
    </row>
    <row r="1867" spans="1:6" x14ac:dyDescent="0.25">
      <c r="A1867" s="1" t="str">
        <f t="shared" si="69"/>
        <v>12180</v>
      </c>
      <c r="B1867" s="1" t="str">
        <f>"13092"</f>
        <v>13092</v>
      </c>
      <c r="C1867" s="2">
        <v>2.7234955099852499E-2</v>
      </c>
      <c r="D1867" s="2">
        <v>1.12224448897795E-2</v>
      </c>
      <c r="E1867" s="2">
        <v>1.8531717747683502E-2</v>
      </c>
      <c r="F1867" s="2">
        <v>2.5968982841055199E-2</v>
      </c>
    </row>
    <row r="1868" spans="1:6" x14ac:dyDescent="0.25">
      <c r="A1868" s="1" t="str">
        <f t="shared" si="69"/>
        <v>12180</v>
      </c>
      <c r="B1868" s="1" t="str">
        <f>"13026"</f>
        <v>13026</v>
      </c>
      <c r="C1868" s="2">
        <v>1.5922798552472799E-2</v>
      </c>
      <c r="D1868" s="2">
        <v>6.8136272545090103E-3</v>
      </c>
      <c r="E1868" s="2">
        <v>6.4148253741981402E-3</v>
      </c>
      <c r="F1868" s="2">
        <v>1.50474480013591E-2</v>
      </c>
    </row>
    <row r="1869" spans="1:6" x14ac:dyDescent="0.25">
      <c r="A1869" s="1" t="str">
        <f t="shared" si="69"/>
        <v>12180</v>
      </c>
      <c r="B1869" s="1" t="str">
        <f>"13147"</f>
        <v>13147</v>
      </c>
      <c r="C1869" s="2">
        <v>1.3188580619219899E-2</v>
      </c>
      <c r="D1869" s="2">
        <v>8.0160320641282506E-3</v>
      </c>
      <c r="E1869" s="2">
        <v>7.1275837491090502E-4</v>
      </c>
      <c r="F1869" s="2">
        <v>1.24505497172535E-2</v>
      </c>
    </row>
    <row r="1870" spans="1:6" x14ac:dyDescent="0.25">
      <c r="A1870" s="1" t="str">
        <f t="shared" ref="A1870:A1886" si="70">"12220"</f>
        <v>12220</v>
      </c>
      <c r="B1870" s="1" t="str">
        <f>"36866"</f>
        <v>36866</v>
      </c>
      <c r="C1870" s="2">
        <v>1.84686589083464E-3</v>
      </c>
      <c r="D1870" s="2">
        <v>3.2294526077829798E-4</v>
      </c>
      <c r="E1870" s="2">
        <v>0</v>
      </c>
      <c r="F1870" s="2">
        <v>1.6885440328059901E-3</v>
      </c>
    </row>
    <row r="1871" spans="1:6" x14ac:dyDescent="0.25">
      <c r="A1871" s="1" t="str">
        <f t="shared" si="70"/>
        <v>12220</v>
      </c>
      <c r="B1871" s="1" t="str">
        <f>"36854"</f>
        <v>36854</v>
      </c>
      <c r="C1871" s="2">
        <v>2.63234017934625E-2</v>
      </c>
      <c r="D1871" s="2">
        <v>6.2974325851768102E-3</v>
      </c>
      <c r="E1871" s="2">
        <v>3.50979818660427E-3</v>
      </c>
      <c r="F1871" s="2">
        <v>2.4292922186262399E-2</v>
      </c>
    </row>
    <row r="1872" spans="1:6" x14ac:dyDescent="0.25">
      <c r="A1872" s="1" t="str">
        <f t="shared" si="70"/>
        <v>12220</v>
      </c>
      <c r="B1872" s="1" t="str">
        <f>"36865"</f>
        <v>36865</v>
      </c>
      <c r="C1872" s="2">
        <v>0</v>
      </c>
      <c r="D1872" s="2">
        <v>0</v>
      </c>
      <c r="E1872" s="2">
        <v>2.9248318221702197E-4</v>
      </c>
      <c r="F1872" s="2">
        <v>1.00508573381309E-5</v>
      </c>
    </row>
    <row r="1873" spans="1:6" x14ac:dyDescent="0.25">
      <c r="A1873" s="1" t="str">
        <f t="shared" si="70"/>
        <v>12220</v>
      </c>
      <c r="B1873" s="1" t="str">
        <f>"36831"</f>
        <v>36831</v>
      </c>
      <c r="C1873" s="2">
        <v>2.5399968848045198E-2</v>
      </c>
      <c r="D1873" s="2">
        <v>0.122880671726142</v>
      </c>
      <c r="E1873" s="2">
        <v>5.8496636443404503E-4</v>
      </c>
      <c r="F1873" s="2">
        <v>3.0614911451946801E-2</v>
      </c>
    </row>
    <row r="1874" spans="1:6" x14ac:dyDescent="0.25">
      <c r="A1874" s="1" t="str">
        <f t="shared" si="70"/>
        <v>12220</v>
      </c>
      <c r="B1874" s="1" t="str">
        <f>"36852"</f>
        <v>36852</v>
      </c>
      <c r="C1874" s="2">
        <v>1.29725640283927E-2</v>
      </c>
      <c r="D1874" s="2">
        <v>4.5212336508961698E-3</v>
      </c>
      <c r="E1874" s="2">
        <v>8.7744954665106706E-3</v>
      </c>
      <c r="F1874" s="2">
        <v>1.23022493818722E-2</v>
      </c>
    </row>
    <row r="1875" spans="1:6" x14ac:dyDescent="0.25">
      <c r="A1875" s="1" t="str">
        <f t="shared" si="70"/>
        <v>12220</v>
      </c>
      <c r="B1875" s="1" t="str">
        <f>"36867"</f>
        <v>36867</v>
      </c>
      <c r="C1875" s="2">
        <v>2.7057697870541301E-2</v>
      </c>
      <c r="D1875" s="2">
        <v>1.25948651703536E-2</v>
      </c>
      <c r="E1875" s="2">
        <v>1.0821877742029799E-2</v>
      </c>
      <c r="F1875" s="2">
        <v>2.55995336402195E-2</v>
      </c>
    </row>
    <row r="1876" spans="1:6" x14ac:dyDescent="0.25">
      <c r="A1876" s="1" t="str">
        <f t="shared" si="70"/>
        <v>12220</v>
      </c>
      <c r="B1876" s="1" t="str">
        <f>"36804"</f>
        <v>36804</v>
      </c>
      <c r="C1876" s="2">
        <v>0.11590752319708</v>
      </c>
      <c r="D1876" s="2">
        <v>5.5546584853867202E-2</v>
      </c>
      <c r="E1876" s="2">
        <v>7.2535829189821502E-2</v>
      </c>
      <c r="F1876" s="2">
        <v>0.110659939292821</v>
      </c>
    </row>
    <row r="1877" spans="1:6" x14ac:dyDescent="0.25">
      <c r="A1877" s="1" t="str">
        <f t="shared" si="70"/>
        <v>12220</v>
      </c>
      <c r="B1877" s="1" t="str">
        <f>"36877"</f>
        <v>36877</v>
      </c>
      <c r="C1877" s="2">
        <v>6.9947264190827904E-2</v>
      </c>
      <c r="D1877" s="2">
        <v>3.18101081866623E-2</v>
      </c>
      <c r="E1877" s="2">
        <v>4.29950277859023E-2</v>
      </c>
      <c r="F1877" s="2">
        <v>6.6647235009146197E-2</v>
      </c>
    </row>
    <row r="1878" spans="1:6" x14ac:dyDescent="0.25">
      <c r="A1878" s="1" t="str">
        <f t="shared" si="70"/>
        <v>12220</v>
      </c>
      <c r="B1878" s="1" t="str">
        <f>"36879"</f>
        <v>36879</v>
      </c>
      <c r="C1878" s="2">
        <v>1.0391402060479201E-2</v>
      </c>
      <c r="D1878" s="2">
        <v>1.61472630389149E-3</v>
      </c>
      <c r="E1878" s="2">
        <v>1.75489909330213E-3</v>
      </c>
      <c r="F1878" s="2">
        <v>9.5483144712243898E-3</v>
      </c>
    </row>
    <row r="1879" spans="1:6" x14ac:dyDescent="0.25">
      <c r="A1879" s="1" t="str">
        <f t="shared" si="70"/>
        <v>12220</v>
      </c>
      <c r="B1879" s="1" t="str">
        <f>"36874"</f>
        <v>36874</v>
      </c>
      <c r="C1879" s="2">
        <v>5.0710932110989898E-2</v>
      </c>
      <c r="D1879" s="2">
        <v>7.9121588890683006E-3</v>
      </c>
      <c r="E1879" s="2">
        <v>1.9888856390757499E-2</v>
      </c>
      <c r="F1879" s="2">
        <v>4.6987758055762101E-2</v>
      </c>
    </row>
    <row r="1880" spans="1:6" x14ac:dyDescent="0.25">
      <c r="A1880" s="1" t="str">
        <f t="shared" si="70"/>
        <v>12220</v>
      </c>
      <c r="B1880" s="1" t="str">
        <f>"36830"</f>
        <v>36830</v>
      </c>
      <c r="C1880" s="2">
        <v>0.25335439798847298</v>
      </c>
      <c r="D1880" s="2">
        <v>0.27563378007427702</v>
      </c>
      <c r="E1880" s="2">
        <v>0.23661889441357101</v>
      </c>
      <c r="F1880" s="2">
        <v>0.254166080366655</v>
      </c>
    </row>
    <row r="1881" spans="1:6" x14ac:dyDescent="0.25">
      <c r="A1881" s="1" t="str">
        <f t="shared" si="70"/>
        <v>12220</v>
      </c>
      <c r="B1881" s="1" t="str">
        <f>"36870"</f>
        <v>36870</v>
      </c>
      <c r="C1881" s="2">
        <v>7.14826105338109E-2</v>
      </c>
      <c r="D1881" s="2">
        <v>1.2110447279186099E-2</v>
      </c>
      <c r="E1881" s="2">
        <v>4.5042410061421401E-2</v>
      </c>
      <c r="F1881" s="2">
        <v>6.6878404727923196E-2</v>
      </c>
    </row>
    <row r="1882" spans="1:6" x14ac:dyDescent="0.25">
      <c r="A1882" s="1" t="str">
        <f t="shared" si="70"/>
        <v>12220</v>
      </c>
      <c r="B1882" s="1" t="str">
        <f>"36850"</f>
        <v>36850</v>
      </c>
      <c r="C1882" s="2">
        <v>1.13482121003092E-3</v>
      </c>
      <c r="D1882" s="2">
        <v>1.1303084127240401E-3</v>
      </c>
      <c r="E1882" s="2">
        <v>0</v>
      </c>
      <c r="F1882" s="2">
        <v>1.0955434498562699E-3</v>
      </c>
    </row>
    <row r="1883" spans="1:6" x14ac:dyDescent="0.25">
      <c r="A1883" s="1" t="str">
        <f t="shared" si="70"/>
        <v>12220</v>
      </c>
      <c r="B1883" s="1" t="str">
        <f>"36801"</f>
        <v>36801</v>
      </c>
      <c r="C1883" s="2">
        <v>0.136668075921764</v>
      </c>
      <c r="D1883" s="2">
        <v>0.308735669304052</v>
      </c>
      <c r="E1883" s="2">
        <v>0.32641123135419697</v>
      </c>
      <c r="F1883" s="2">
        <v>0.15389872756146</v>
      </c>
    </row>
    <row r="1884" spans="1:6" x14ac:dyDescent="0.25">
      <c r="A1884" s="1" t="str">
        <f t="shared" si="70"/>
        <v>12220</v>
      </c>
      <c r="B1884" s="1" t="str">
        <f>"36849"</f>
        <v>36849</v>
      </c>
      <c r="C1884" s="2">
        <v>0</v>
      </c>
      <c r="D1884" s="2">
        <v>4.8441789116744697E-4</v>
      </c>
      <c r="E1884" s="2">
        <v>7.0195963732085406E-2</v>
      </c>
      <c r="F1884" s="2">
        <v>2.44235833316581E-3</v>
      </c>
    </row>
    <row r="1885" spans="1:6" x14ac:dyDescent="0.25">
      <c r="A1885" s="1" t="str">
        <f t="shared" si="70"/>
        <v>12220</v>
      </c>
      <c r="B1885" s="1" t="str">
        <f>"36832"</f>
        <v>36832</v>
      </c>
      <c r="C1885" s="2">
        <v>0.179357379675574</v>
      </c>
      <c r="D1885" s="2">
        <v>8.8164056192475304E-2</v>
      </c>
      <c r="E1885" s="2">
        <v>0.159988300672711</v>
      </c>
      <c r="F1885" s="2">
        <v>0.17301545821858599</v>
      </c>
    </row>
    <row r="1886" spans="1:6" x14ac:dyDescent="0.25">
      <c r="A1886" s="1" t="str">
        <f t="shared" si="70"/>
        <v>12220</v>
      </c>
      <c r="B1886" s="1" t="str">
        <f>"36803"</f>
        <v>36803</v>
      </c>
      <c r="C1886" s="2">
        <v>1.74450946796911E-2</v>
      </c>
      <c r="D1886" s="2">
        <v>7.0240594219279806E-2</v>
      </c>
      <c r="E1886" s="2">
        <v>5.8496636443404503E-4</v>
      </c>
      <c r="F1886" s="2">
        <v>2.0151968962952502E-2</v>
      </c>
    </row>
    <row r="1887" spans="1:6" x14ac:dyDescent="0.25">
      <c r="A1887" s="1" t="str">
        <f t="shared" ref="A1887:A1918" si="71">"12260"</f>
        <v>12260</v>
      </c>
      <c r="B1887" s="1" t="str">
        <f>"29801"</f>
        <v>29801</v>
      </c>
      <c r="C1887" s="2">
        <v>4.9821311853901699E-2</v>
      </c>
      <c r="D1887" s="2">
        <v>7.0217917675544694E-2</v>
      </c>
      <c r="E1887" s="2">
        <v>6.2401263823064698E-2</v>
      </c>
      <c r="F1887" s="2">
        <v>5.1657120075981798E-2</v>
      </c>
    </row>
    <row r="1888" spans="1:6" x14ac:dyDescent="0.25">
      <c r="A1888" s="1" t="str">
        <f t="shared" si="71"/>
        <v>12260</v>
      </c>
      <c r="B1888" s="1" t="str">
        <f>"29803"</f>
        <v>29803</v>
      </c>
      <c r="C1888" s="2">
        <v>6.65845037217212E-2</v>
      </c>
      <c r="D1888" s="2">
        <v>4.7619047619047603E-2</v>
      </c>
      <c r="E1888" s="2">
        <v>6.1216429699842E-2</v>
      </c>
      <c r="F1888" s="2">
        <v>6.5018438502172093E-2</v>
      </c>
    </row>
    <row r="1889" spans="1:6" x14ac:dyDescent="0.25">
      <c r="A1889" s="1" t="str">
        <f t="shared" si="71"/>
        <v>12260</v>
      </c>
      <c r="B1889" s="1" t="str">
        <f>"30824"</f>
        <v>30824</v>
      </c>
      <c r="C1889" s="2">
        <v>2.71788084638672E-2</v>
      </c>
      <c r="D1889" s="2">
        <v>3.3206502940159102E-2</v>
      </c>
      <c r="E1889" s="2">
        <v>2.4881516587677701E-2</v>
      </c>
      <c r="F1889" s="2">
        <v>2.7587399672855801E-2</v>
      </c>
    </row>
    <row r="1890" spans="1:6" x14ac:dyDescent="0.25">
      <c r="A1890" s="1" t="str">
        <f t="shared" si="71"/>
        <v>12260</v>
      </c>
      <c r="B1890" s="1" t="str">
        <f>"30828"</f>
        <v>30828</v>
      </c>
      <c r="C1890" s="2">
        <v>2.60146527531632E-5</v>
      </c>
      <c r="D1890" s="2">
        <v>3.8433452477035999E-5</v>
      </c>
      <c r="E1890" s="2">
        <v>0</v>
      </c>
      <c r="F1890" s="2">
        <v>2.6382594522973301E-5</v>
      </c>
    </row>
    <row r="1891" spans="1:6" x14ac:dyDescent="0.25">
      <c r="A1891" s="1" t="str">
        <f t="shared" si="71"/>
        <v>12260</v>
      </c>
      <c r="B1891" s="1" t="str">
        <f>"30816"</f>
        <v>30816</v>
      </c>
      <c r="C1891" s="2">
        <v>3.0111960561786401E-3</v>
      </c>
      <c r="D1891" s="2">
        <v>1.4989046466043999E-3</v>
      </c>
      <c r="E1891" s="2">
        <v>2.63296471827277E-3</v>
      </c>
      <c r="F1891" s="2">
        <v>2.8874284005698599E-3</v>
      </c>
    </row>
    <row r="1892" spans="1:6" x14ac:dyDescent="0.25">
      <c r="A1892" s="1" t="str">
        <f t="shared" si="71"/>
        <v>12260</v>
      </c>
      <c r="B1892" s="1" t="str">
        <f>"30426"</f>
        <v>30426</v>
      </c>
      <c r="C1892" s="2">
        <v>1.77875188199753E-3</v>
      </c>
      <c r="D1892" s="2">
        <v>6.9180214458664803E-4</v>
      </c>
      <c r="E1892" s="2">
        <v>1.31648235913638E-3</v>
      </c>
      <c r="F1892" s="2">
        <v>1.68555465007885E-3</v>
      </c>
    </row>
    <row r="1893" spans="1:6" x14ac:dyDescent="0.25">
      <c r="A1893" s="1" t="str">
        <f t="shared" si="71"/>
        <v>12260</v>
      </c>
      <c r="B1893" s="1" t="str">
        <f>"30909"</f>
        <v>30909</v>
      </c>
      <c r="C1893" s="2">
        <v>8.2866424513607206E-2</v>
      </c>
      <c r="D1893" s="2">
        <v>9.1433183442868604E-2</v>
      </c>
      <c r="E1893" s="2">
        <v>0.113217482885729</v>
      </c>
      <c r="F1893" s="2">
        <v>8.4195653320982305E-2</v>
      </c>
    </row>
    <row r="1894" spans="1:6" x14ac:dyDescent="0.25">
      <c r="A1894" s="1" t="str">
        <f t="shared" si="71"/>
        <v>12260</v>
      </c>
      <c r="B1894" s="1" t="str">
        <f>"29835"</f>
        <v>29835</v>
      </c>
      <c r="C1894" s="2">
        <v>5.9833701332275403E-4</v>
      </c>
      <c r="D1894" s="2">
        <v>1.9216726238517999E-4</v>
      </c>
      <c r="E1894" s="2">
        <v>0</v>
      </c>
      <c r="F1894" s="2">
        <v>5.5403448498243997E-4</v>
      </c>
    </row>
    <row r="1895" spans="1:6" x14ac:dyDescent="0.25">
      <c r="A1895" s="1" t="str">
        <f t="shared" si="71"/>
        <v>12260</v>
      </c>
      <c r="B1895" s="1" t="str">
        <f>"29137"</f>
        <v>29137</v>
      </c>
      <c r="C1895" s="2">
        <v>3.8599241022505902E-3</v>
      </c>
      <c r="D1895" s="2">
        <v>1.53733809908144E-3</v>
      </c>
      <c r="E1895" s="2">
        <v>5.2659294365455498E-4</v>
      </c>
      <c r="F1895" s="2">
        <v>3.6085526508644601E-3</v>
      </c>
    </row>
    <row r="1896" spans="1:6" x14ac:dyDescent="0.25">
      <c r="A1896" s="1" t="str">
        <f t="shared" si="71"/>
        <v>12260</v>
      </c>
      <c r="B1896" s="1" t="str">
        <f>"30806"</f>
        <v>30806</v>
      </c>
      <c r="C1896" s="2">
        <v>0</v>
      </c>
      <c r="D1896" s="2">
        <v>3.8433452477035999E-5</v>
      </c>
      <c r="E1896" s="2">
        <v>0</v>
      </c>
      <c r="F1896" s="2">
        <v>2.9313993914414799E-6</v>
      </c>
    </row>
    <row r="1897" spans="1:6" x14ac:dyDescent="0.25">
      <c r="A1897" s="1" t="str">
        <f t="shared" si="71"/>
        <v>12260</v>
      </c>
      <c r="B1897" s="1" t="str">
        <f>"29138"</f>
        <v>29138</v>
      </c>
      <c r="C1897" s="2">
        <v>1.30073263765816E-5</v>
      </c>
      <c r="D1897" s="2">
        <v>0</v>
      </c>
      <c r="E1897" s="2">
        <v>0</v>
      </c>
      <c r="F1897" s="2">
        <v>1.1725597565765899E-5</v>
      </c>
    </row>
    <row r="1898" spans="1:6" x14ac:dyDescent="0.25">
      <c r="A1898" s="1" t="str">
        <f t="shared" si="71"/>
        <v>12260</v>
      </c>
      <c r="B1898" s="1" t="str">
        <f>"29816"</f>
        <v>29816</v>
      </c>
      <c r="C1898" s="2">
        <v>0</v>
      </c>
      <c r="D1898" s="2">
        <v>3.8433452477035999E-5</v>
      </c>
      <c r="E1898" s="2">
        <v>0</v>
      </c>
      <c r="F1898" s="2">
        <v>2.9313993914414799E-6</v>
      </c>
    </row>
    <row r="1899" spans="1:6" x14ac:dyDescent="0.25">
      <c r="A1899" s="1" t="str">
        <f t="shared" si="71"/>
        <v>12260</v>
      </c>
      <c r="B1899" s="1" t="str">
        <f>"30906"</f>
        <v>30906</v>
      </c>
      <c r="C1899" s="2">
        <v>8.5263024398492399E-2</v>
      </c>
      <c r="D1899" s="2">
        <v>7.2600791729120998E-2</v>
      </c>
      <c r="E1899" s="2">
        <v>6.5824117956819306E-2</v>
      </c>
      <c r="F1899" s="2">
        <v>8.38644051897494E-2</v>
      </c>
    </row>
    <row r="1900" spans="1:6" x14ac:dyDescent="0.25">
      <c r="A1900" s="1" t="str">
        <f t="shared" si="71"/>
        <v>12260</v>
      </c>
      <c r="B1900" s="1" t="str">
        <f>"30830"</f>
        <v>30830</v>
      </c>
      <c r="C1900" s="2">
        <v>2.51594210439029E-2</v>
      </c>
      <c r="D1900" s="2">
        <v>2.3559706368423E-2</v>
      </c>
      <c r="E1900" s="2">
        <v>2.96208530805687E-2</v>
      </c>
      <c r="F1900" s="2">
        <v>2.51367497816107E-2</v>
      </c>
    </row>
    <row r="1901" spans="1:6" x14ac:dyDescent="0.25">
      <c r="A1901" s="1" t="str">
        <f t="shared" si="71"/>
        <v>12260</v>
      </c>
      <c r="B1901" s="1" t="str">
        <f>"30805"</f>
        <v>30805</v>
      </c>
      <c r="C1901" s="2">
        <v>4.3704616625314203E-3</v>
      </c>
      <c r="D1901" s="2">
        <v>1.6526384565125399E-3</v>
      </c>
      <c r="E1901" s="2">
        <v>6.4507635597682899E-3</v>
      </c>
      <c r="F1901" s="2">
        <v>4.2094895261099701E-3</v>
      </c>
    </row>
    <row r="1902" spans="1:6" x14ac:dyDescent="0.25">
      <c r="A1902" s="1" t="str">
        <f t="shared" si="71"/>
        <v>12260</v>
      </c>
      <c r="B1902" s="1" t="str">
        <f>"29851"</f>
        <v>29851</v>
      </c>
      <c r="C1902" s="2">
        <v>1.3940602044101301E-2</v>
      </c>
      <c r="D1902" s="2">
        <v>5.1500826319228199E-3</v>
      </c>
      <c r="E1902" s="2">
        <v>2.36966824644549E-3</v>
      </c>
      <c r="F1902" s="2">
        <v>1.3012481898608701E-2</v>
      </c>
    </row>
    <row r="1903" spans="1:6" x14ac:dyDescent="0.25">
      <c r="A1903" s="1" t="str">
        <f t="shared" si="71"/>
        <v>12260</v>
      </c>
      <c r="B1903" s="1" t="str">
        <f>"29834"</f>
        <v>29834</v>
      </c>
      <c r="C1903" s="2">
        <v>0</v>
      </c>
      <c r="D1903" s="2">
        <v>3.8433452477035999E-5</v>
      </c>
      <c r="E1903" s="2">
        <v>0</v>
      </c>
      <c r="F1903" s="2">
        <v>2.9313993914414799E-6</v>
      </c>
    </row>
    <row r="1904" spans="1:6" x14ac:dyDescent="0.25">
      <c r="A1904" s="1" t="str">
        <f t="shared" si="71"/>
        <v>12260</v>
      </c>
      <c r="B1904" s="1" t="str">
        <f>"29861"</f>
        <v>29861</v>
      </c>
      <c r="C1904" s="2">
        <v>3.93471622891593E-3</v>
      </c>
      <c r="D1904" s="2">
        <v>1.3336408009531399E-2</v>
      </c>
      <c r="E1904" s="2">
        <v>2.63296471827277E-4</v>
      </c>
      <c r="F1904" s="2">
        <v>4.5700516512572698E-3</v>
      </c>
    </row>
    <row r="1905" spans="1:6" x14ac:dyDescent="0.25">
      <c r="A1905" s="1" t="str">
        <f t="shared" si="71"/>
        <v>12260</v>
      </c>
      <c r="B1905" s="1" t="str">
        <f>"29853"</f>
        <v>29853</v>
      </c>
      <c r="C1905" s="2">
        <v>2.3998517164793001E-3</v>
      </c>
      <c r="D1905" s="2">
        <v>4.6120142972443199E-4</v>
      </c>
      <c r="E1905" s="2">
        <v>0</v>
      </c>
      <c r="F1905" s="2">
        <v>2.19854954358111E-3</v>
      </c>
    </row>
    <row r="1906" spans="1:6" x14ac:dyDescent="0.25">
      <c r="A1906" s="1" t="str">
        <f t="shared" si="71"/>
        <v>12260</v>
      </c>
      <c r="B1906" s="1" t="str">
        <f>"29829"</f>
        <v>29829</v>
      </c>
      <c r="C1906" s="2">
        <v>1.7140404332740399E-2</v>
      </c>
      <c r="D1906" s="2">
        <v>7.5329566854990503E-3</v>
      </c>
      <c r="E1906" s="2">
        <v>4.4760400210637104E-3</v>
      </c>
      <c r="F1906" s="2">
        <v>1.61256280523196E-2</v>
      </c>
    </row>
    <row r="1907" spans="1:6" x14ac:dyDescent="0.25">
      <c r="A1907" s="1" t="str">
        <f t="shared" si="71"/>
        <v>12260</v>
      </c>
      <c r="B1907" s="1" t="str">
        <f>"29805"</f>
        <v>29805</v>
      </c>
      <c r="C1907" s="2">
        <v>1.05717045125667E-2</v>
      </c>
      <c r="D1907" s="2">
        <v>4.6504477497213504E-3</v>
      </c>
      <c r="E1907" s="2">
        <v>1.8430753027909399E-3</v>
      </c>
      <c r="F1907" s="2">
        <v>9.9257183394208699E-3</v>
      </c>
    </row>
    <row r="1908" spans="1:6" x14ac:dyDescent="0.25">
      <c r="A1908" s="1" t="str">
        <f t="shared" si="71"/>
        <v>12260</v>
      </c>
      <c r="B1908" s="1" t="str">
        <f>"30905"</f>
        <v>30905</v>
      </c>
      <c r="C1908" s="2">
        <v>7.3296284132037303E-3</v>
      </c>
      <c r="D1908" s="2">
        <v>2.4059341250624498E-2</v>
      </c>
      <c r="E1908" s="2">
        <v>0.111374407582938</v>
      </c>
      <c r="F1908" s="2">
        <v>1.09223941325109E-2</v>
      </c>
    </row>
    <row r="1909" spans="1:6" x14ac:dyDescent="0.25">
      <c r="A1909" s="1" t="str">
        <f t="shared" si="71"/>
        <v>12260</v>
      </c>
      <c r="B1909" s="1" t="str">
        <f>"30814"</f>
        <v>30814</v>
      </c>
      <c r="C1909" s="2">
        <v>1.3716225664105301E-2</v>
      </c>
      <c r="D1909" s="2">
        <v>4.9963488220146797E-3</v>
      </c>
      <c r="E1909" s="2">
        <v>2.23802001053185E-3</v>
      </c>
      <c r="F1909" s="2">
        <v>1.2795558343642001E-2</v>
      </c>
    </row>
    <row r="1910" spans="1:6" x14ac:dyDescent="0.25">
      <c r="A1910" s="1" t="str">
        <f t="shared" si="71"/>
        <v>12260</v>
      </c>
      <c r="B1910" s="1" t="str">
        <f>"30467"</f>
        <v>30467</v>
      </c>
      <c r="C1910" s="2">
        <v>3.2518315941454E-6</v>
      </c>
      <c r="D1910" s="2">
        <v>0</v>
      </c>
      <c r="E1910" s="2">
        <v>0</v>
      </c>
      <c r="F1910" s="2">
        <v>2.9313993914414799E-6</v>
      </c>
    </row>
    <row r="1911" spans="1:6" x14ac:dyDescent="0.25">
      <c r="A1911" s="1" t="str">
        <f t="shared" si="71"/>
        <v>12260</v>
      </c>
      <c r="B1911" s="1" t="str">
        <f>"29860"</f>
        <v>29860</v>
      </c>
      <c r="C1911" s="2">
        <v>2.5188687528250198E-2</v>
      </c>
      <c r="D1911" s="2">
        <v>8.1094584726545908E-3</v>
      </c>
      <c r="E1911" s="2">
        <v>4.2127435492364399E-3</v>
      </c>
      <c r="F1911" s="2">
        <v>2.3418949738225999E-2</v>
      </c>
    </row>
    <row r="1912" spans="1:6" x14ac:dyDescent="0.25">
      <c r="A1912" s="1" t="str">
        <f t="shared" si="71"/>
        <v>12260</v>
      </c>
      <c r="B1912" s="1" t="str">
        <f>"29841"</f>
        <v>29841</v>
      </c>
      <c r="C1912" s="2">
        <v>5.3388571112679202E-2</v>
      </c>
      <c r="D1912" s="2">
        <v>4.4890272493178E-2</v>
      </c>
      <c r="E1912" s="2">
        <v>2.7646129541864101E-2</v>
      </c>
      <c r="F1912" s="2">
        <v>5.2167183570092597E-2</v>
      </c>
    </row>
    <row r="1913" spans="1:6" x14ac:dyDescent="0.25">
      <c r="A1913" s="1" t="str">
        <f t="shared" si="71"/>
        <v>12260</v>
      </c>
      <c r="B1913" s="1" t="str">
        <f>"29824"</f>
        <v>29824</v>
      </c>
      <c r="C1913" s="2">
        <v>1.06530003024203E-2</v>
      </c>
      <c r="D1913" s="2">
        <v>1.29136400322841E-2</v>
      </c>
      <c r="E1913" s="2">
        <v>1.34281200631911E-2</v>
      </c>
      <c r="F1913" s="2">
        <v>1.08872173398136E-2</v>
      </c>
    </row>
    <row r="1914" spans="1:6" x14ac:dyDescent="0.25">
      <c r="A1914" s="1" t="str">
        <f t="shared" si="71"/>
        <v>12260</v>
      </c>
      <c r="B1914" s="1" t="str">
        <f>"29831"</f>
        <v>29831</v>
      </c>
      <c r="C1914" s="2">
        <v>6.9524159482828697E-3</v>
      </c>
      <c r="D1914" s="2">
        <v>3.2284100080710201E-3</v>
      </c>
      <c r="E1914" s="2">
        <v>2.1063717746182199E-3</v>
      </c>
      <c r="F1914" s="2">
        <v>6.5604718380460397E-3</v>
      </c>
    </row>
    <row r="1915" spans="1:6" x14ac:dyDescent="0.25">
      <c r="A1915" s="1" t="str">
        <f t="shared" si="71"/>
        <v>12260</v>
      </c>
      <c r="B1915" s="1" t="str">
        <f>"30817"</f>
        <v>30817</v>
      </c>
      <c r="C1915" s="2">
        <v>1.3999135012795901E-2</v>
      </c>
      <c r="D1915" s="2">
        <v>8.2631922825627396E-3</v>
      </c>
      <c r="E1915" s="2">
        <v>7.37230121116377E-3</v>
      </c>
      <c r="F1915" s="2">
        <v>1.3414083615236201E-2</v>
      </c>
    </row>
    <row r="1916" spans="1:6" x14ac:dyDescent="0.25">
      <c r="A1916" s="1" t="str">
        <f t="shared" si="71"/>
        <v>12260</v>
      </c>
      <c r="B1916" s="1" t="str">
        <f>"30809"</f>
        <v>30809</v>
      </c>
      <c r="C1916" s="2">
        <v>7.20508326314796E-2</v>
      </c>
      <c r="D1916" s="2">
        <v>7.0371651485452894E-2</v>
      </c>
      <c r="E1916" s="2">
        <v>4.48920484465508E-2</v>
      </c>
      <c r="F1916" s="2">
        <v>7.1318015794379894E-2</v>
      </c>
    </row>
    <row r="1917" spans="1:6" x14ac:dyDescent="0.25">
      <c r="A1917" s="1" t="str">
        <f t="shared" si="71"/>
        <v>12260</v>
      </c>
      <c r="B1917" s="1" t="str">
        <f>"30916"</f>
        <v>30916</v>
      </c>
      <c r="C1917" s="2">
        <v>7.6287969198651096E-3</v>
      </c>
      <c r="D1917" s="2">
        <v>1.0838233598524099E-2</v>
      </c>
      <c r="E1917" s="2">
        <v>1.3164823591363799E-4</v>
      </c>
      <c r="F1917" s="2">
        <v>7.7066490000996602E-3</v>
      </c>
    </row>
    <row r="1918" spans="1:6" x14ac:dyDescent="0.25">
      <c r="A1918" s="1" t="str">
        <f t="shared" si="71"/>
        <v>12260</v>
      </c>
      <c r="B1918" s="1" t="str">
        <f>"30919"</f>
        <v>30919</v>
      </c>
      <c r="C1918" s="2">
        <v>3.7428581648613502E-3</v>
      </c>
      <c r="D1918" s="2">
        <v>1.3105807294669199E-2</v>
      </c>
      <c r="E1918" s="2">
        <v>2.63296471827277E-4</v>
      </c>
      <c r="F1918" s="2">
        <v>4.3795106908135796E-3</v>
      </c>
    </row>
    <row r="1919" spans="1:6" x14ac:dyDescent="0.25">
      <c r="A1919" s="1" t="str">
        <f t="shared" ref="A1919:A1955" si="72">"12260"</f>
        <v>12260</v>
      </c>
      <c r="B1919" s="1" t="str">
        <f>"30812"</f>
        <v>30812</v>
      </c>
      <c r="C1919" s="2">
        <v>0</v>
      </c>
      <c r="D1919" s="2">
        <v>3.8433452477035999E-5</v>
      </c>
      <c r="E1919" s="2">
        <v>0</v>
      </c>
      <c r="F1919" s="2">
        <v>2.9313993914414799E-6</v>
      </c>
    </row>
    <row r="1920" spans="1:6" x14ac:dyDescent="0.25">
      <c r="A1920" s="1" t="str">
        <f t="shared" si="72"/>
        <v>12260</v>
      </c>
      <c r="B1920" s="1" t="str">
        <f>"29804"</f>
        <v>29804</v>
      </c>
      <c r="C1920" s="2">
        <v>4.4387501260084701E-3</v>
      </c>
      <c r="D1920" s="2">
        <v>1.0684499788616001E-2</v>
      </c>
      <c r="E1920" s="2">
        <v>2.63296471827277E-4</v>
      </c>
      <c r="F1920" s="2">
        <v>4.8221519989212402E-3</v>
      </c>
    </row>
    <row r="1921" spans="1:6" x14ac:dyDescent="0.25">
      <c r="A1921" s="1" t="str">
        <f t="shared" si="72"/>
        <v>12260</v>
      </c>
      <c r="B1921" s="1" t="str">
        <f>"29832"</f>
        <v>29832</v>
      </c>
      <c r="C1921" s="2">
        <v>7.1702886650906097E-3</v>
      </c>
      <c r="D1921" s="2">
        <v>7.8019908528383104E-3</v>
      </c>
      <c r="E1921" s="2">
        <v>5.1342812006319096E-3</v>
      </c>
      <c r="F1921" s="2">
        <v>7.1731343108573098E-3</v>
      </c>
    </row>
    <row r="1922" spans="1:6" x14ac:dyDescent="0.25">
      <c r="A1922" s="1" t="str">
        <f t="shared" si="72"/>
        <v>12260</v>
      </c>
      <c r="B1922" s="1" t="str">
        <f>"30903"</f>
        <v>30903</v>
      </c>
      <c r="C1922" s="2">
        <v>6.4061082404664399E-3</v>
      </c>
      <c r="D1922" s="2">
        <v>2.1176832314846801E-2</v>
      </c>
      <c r="E1922" s="2">
        <v>2.63296471827277E-4</v>
      </c>
      <c r="F1922" s="2">
        <v>7.3959206646068698E-3</v>
      </c>
    </row>
    <row r="1923" spans="1:6" x14ac:dyDescent="0.25">
      <c r="A1923" s="1" t="str">
        <f t="shared" si="72"/>
        <v>12260</v>
      </c>
      <c r="B1923" s="1" t="str">
        <f>"30821"</f>
        <v>30821</v>
      </c>
      <c r="C1923" s="2">
        <v>9.7554947824362007E-6</v>
      </c>
      <c r="D1923" s="2">
        <v>0</v>
      </c>
      <c r="E1923" s="2">
        <v>0</v>
      </c>
      <c r="F1923" s="2">
        <v>8.79419817432445E-6</v>
      </c>
    </row>
    <row r="1924" spans="1:6" x14ac:dyDescent="0.25">
      <c r="A1924" s="1" t="str">
        <f t="shared" si="72"/>
        <v>12260</v>
      </c>
      <c r="B1924" s="1" t="str">
        <f>"29842"</f>
        <v>29842</v>
      </c>
      <c r="C1924" s="2">
        <v>1.3329257704401999E-2</v>
      </c>
      <c r="D1924" s="2">
        <v>1.04923325262308E-2</v>
      </c>
      <c r="E1924" s="2">
        <v>2.23802001053185E-3</v>
      </c>
      <c r="F1924" s="2">
        <v>1.28659119290366E-2</v>
      </c>
    </row>
    <row r="1925" spans="1:6" x14ac:dyDescent="0.25">
      <c r="A1925" s="1" t="str">
        <f t="shared" si="72"/>
        <v>12260</v>
      </c>
      <c r="B1925" s="1" t="str">
        <f>"29838"</f>
        <v>29838</v>
      </c>
      <c r="C1925" s="2">
        <v>4.0647894926817502E-4</v>
      </c>
      <c r="D1925" s="2">
        <v>0</v>
      </c>
      <c r="E1925" s="2">
        <v>0</v>
      </c>
      <c r="F1925" s="2">
        <v>3.6642492393018498E-4</v>
      </c>
    </row>
    <row r="1926" spans="1:6" x14ac:dyDescent="0.25">
      <c r="A1926" s="1" t="str">
        <f t="shared" si="72"/>
        <v>12260</v>
      </c>
      <c r="B1926" s="1" t="str">
        <f>"29847"</f>
        <v>29847</v>
      </c>
      <c r="C1926" s="2">
        <v>8.3311925442005191E-3</v>
      </c>
      <c r="D1926" s="2">
        <v>3.5743110803643399E-3</v>
      </c>
      <c r="E1926" s="2">
        <v>2.7646129541864101E-3</v>
      </c>
      <c r="F1926" s="2">
        <v>7.8444247714974102E-3</v>
      </c>
    </row>
    <row r="1927" spans="1:6" x14ac:dyDescent="0.25">
      <c r="A1927" s="1" t="str">
        <f t="shared" si="72"/>
        <v>12260</v>
      </c>
      <c r="B1927" s="1" t="str">
        <f>"29809"</f>
        <v>29809</v>
      </c>
      <c r="C1927" s="2">
        <v>4.7866961065820297E-3</v>
      </c>
      <c r="D1927" s="2">
        <v>8.4937929974249499E-3</v>
      </c>
      <c r="E1927" s="2">
        <v>3.2912058978409602E-3</v>
      </c>
      <c r="F1927" s="2">
        <v>5.0361441544964696E-3</v>
      </c>
    </row>
    <row r="1928" spans="1:6" x14ac:dyDescent="0.25">
      <c r="A1928" s="1" t="str">
        <f t="shared" si="72"/>
        <v>12260</v>
      </c>
      <c r="B1928" s="1" t="str">
        <f>"29828"</f>
        <v>29828</v>
      </c>
      <c r="C1928" s="2">
        <v>1.0373342785323801E-3</v>
      </c>
      <c r="D1928" s="2">
        <v>7.6866904954071998E-4</v>
      </c>
      <c r="E1928" s="2">
        <v>5.2659294365455498E-4</v>
      </c>
      <c r="F1928" s="2">
        <v>1.0054699912644201E-3</v>
      </c>
    </row>
    <row r="1929" spans="1:6" x14ac:dyDescent="0.25">
      <c r="A1929" s="1" t="str">
        <f t="shared" si="72"/>
        <v>12260</v>
      </c>
      <c r="B1929" s="1" t="str">
        <f>"29821"</f>
        <v>29821</v>
      </c>
      <c r="C1929" s="2">
        <v>1.0210751205616501E-3</v>
      </c>
      <c r="D1929" s="2">
        <v>3.4590107229332402E-4</v>
      </c>
      <c r="E1929" s="2">
        <v>0</v>
      </c>
      <c r="F1929" s="2">
        <v>9.4684200343560004E-4</v>
      </c>
    </row>
    <row r="1930" spans="1:6" x14ac:dyDescent="0.25">
      <c r="A1930" s="1" t="str">
        <f t="shared" si="72"/>
        <v>12260</v>
      </c>
      <c r="B1930" s="1" t="str">
        <f>"30808"</f>
        <v>30808</v>
      </c>
      <c r="C1930" s="2">
        <v>6.4548857143786201E-3</v>
      </c>
      <c r="D1930" s="2">
        <v>1.9985395288058699E-3</v>
      </c>
      <c r="E1930" s="2">
        <v>6.0558188520273802E-3</v>
      </c>
      <c r="F1930" s="2">
        <v>6.1061049323726099E-3</v>
      </c>
    </row>
    <row r="1931" spans="1:6" x14ac:dyDescent="0.25">
      <c r="A1931" s="1" t="str">
        <f t="shared" si="72"/>
        <v>12260</v>
      </c>
      <c r="B1931" s="1" t="str">
        <f>"30815"</f>
        <v>30815</v>
      </c>
      <c r="C1931" s="2">
        <v>6.2753846103817901E-2</v>
      </c>
      <c r="D1931" s="2">
        <v>2.2598870056497099E-2</v>
      </c>
      <c r="E1931" s="2">
        <v>6.5034228541337502E-2</v>
      </c>
      <c r="F1931" s="2">
        <v>5.9741919597577402E-2</v>
      </c>
    </row>
    <row r="1932" spans="1:6" x14ac:dyDescent="0.25">
      <c r="A1932" s="1" t="str">
        <f t="shared" si="72"/>
        <v>12260</v>
      </c>
      <c r="B1932" s="1" t="str">
        <f>"30813"</f>
        <v>30813</v>
      </c>
      <c r="C1932" s="2">
        <v>6.2841645556859893E-2</v>
      </c>
      <c r="D1932" s="2">
        <v>2.29063376763134E-2</v>
      </c>
      <c r="E1932" s="2">
        <v>3.8836229594523403E-2</v>
      </c>
      <c r="F1932" s="2">
        <v>5.9261170097381001E-2</v>
      </c>
    </row>
    <row r="1933" spans="1:6" x14ac:dyDescent="0.25">
      <c r="A1933" s="1" t="str">
        <f t="shared" si="72"/>
        <v>12260</v>
      </c>
      <c r="B1933" s="1" t="str">
        <f>"30456"</f>
        <v>30456</v>
      </c>
      <c r="C1933" s="2">
        <v>3.1347656567561602E-3</v>
      </c>
      <c r="D1933" s="2">
        <v>1.53733809908144E-3</v>
      </c>
      <c r="E1933" s="2">
        <v>1.5797788309636601E-3</v>
      </c>
      <c r="F1933" s="2">
        <v>2.9783017817045501E-3</v>
      </c>
    </row>
    <row r="1934" spans="1:6" x14ac:dyDescent="0.25">
      <c r="A1934" s="1" t="str">
        <f t="shared" si="72"/>
        <v>12260</v>
      </c>
      <c r="B1934" s="1" t="str">
        <f>"29105"</f>
        <v>29105</v>
      </c>
      <c r="C1934" s="2">
        <v>2.012883756776E-3</v>
      </c>
      <c r="D1934" s="2">
        <v>7.6866904954071998E-4</v>
      </c>
      <c r="E1934" s="2">
        <v>9.2153765139547103E-4</v>
      </c>
      <c r="F1934" s="2">
        <v>1.8936840068712001E-3</v>
      </c>
    </row>
    <row r="1935" spans="1:6" x14ac:dyDescent="0.25">
      <c r="A1935" s="1" t="str">
        <f t="shared" si="72"/>
        <v>12260</v>
      </c>
      <c r="B1935" s="1" t="str">
        <f>"29129"</f>
        <v>29129</v>
      </c>
      <c r="C1935" s="2">
        <v>3.1445211515386002E-3</v>
      </c>
      <c r="D1935" s="2">
        <v>5.7650178715553996E-4</v>
      </c>
      <c r="E1935" s="2">
        <v>1.31648235913638E-3</v>
      </c>
      <c r="F1935" s="2">
        <v>2.9079481963099501E-3</v>
      </c>
    </row>
    <row r="1936" spans="1:6" x14ac:dyDescent="0.25">
      <c r="A1936" s="1" t="str">
        <f t="shared" si="72"/>
        <v>12260</v>
      </c>
      <c r="B1936" s="1" t="str">
        <f>"30912"</f>
        <v>30912</v>
      </c>
      <c r="C1936" s="2">
        <v>0</v>
      </c>
      <c r="D1936" s="2">
        <v>1.0761366693570001E-3</v>
      </c>
      <c r="E1936" s="2">
        <v>1.3164823591363799E-4</v>
      </c>
      <c r="F1936" s="2">
        <v>8.5010582351803106E-5</v>
      </c>
    </row>
    <row r="1937" spans="1:6" x14ac:dyDescent="0.25">
      <c r="A1937" s="1" t="str">
        <f t="shared" si="72"/>
        <v>12260</v>
      </c>
      <c r="B1937" s="1" t="str">
        <f>"30434"</f>
        <v>30434</v>
      </c>
      <c r="C1937" s="2">
        <v>5.5606320259886301E-4</v>
      </c>
      <c r="D1937" s="2">
        <v>1.9216726238517999E-4</v>
      </c>
      <c r="E1937" s="2">
        <v>0</v>
      </c>
      <c r="F1937" s="2">
        <v>5.1592629289370104E-4</v>
      </c>
    </row>
    <row r="1938" spans="1:6" x14ac:dyDescent="0.25">
      <c r="A1938" s="1" t="str">
        <f t="shared" si="72"/>
        <v>12260</v>
      </c>
      <c r="B1938" s="1" t="str">
        <f>"30442"</f>
        <v>30442</v>
      </c>
      <c r="C1938" s="2">
        <v>3.6745697013842998E-4</v>
      </c>
      <c r="D1938" s="2">
        <v>1.9216726238517999E-4</v>
      </c>
      <c r="E1938" s="2">
        <v>0</v>
      </c>
      <c r="F1938" s="2">
        <v>3.4590512819009502E-4</v>
      </c>
    </row>
    <row r="1939" spans="1:6" x14ac:dyDescent="0.25">
      <c r="A1939" s="1" t="str">
        <f t="shared" si="72"/>
        <v>12260</v>
      </c>
      <c r="B1939" s="1" t="str">
        <f>"29146"</f>
        <v>29146</v>
      </c>
      <c r="C1939" s="2">
        <v>8.4222438288365895E-4</v>
      </c>
      <c r="D1939" s="2">
        <v>1.9216726238517999E-4</v>
      </c>
      <c r="E1939" s="2">
        <v>1.3164823591363799E-4</v>
      </c>
      <c r="F1939" s="2">
        <v>7.7682083873199304E-4</v>
      </c>
    </row>
    <row r="1940" spans="1:6" x14ac:dyDescent="0.25">
      <c r="A1940" s="1" t="str">
        <f t="shared" si="72"/>
        <v>12260</v>
      </c>
      <c r="B1940" s="1" t="str">
        <f>"30441"</f>
        <v>30441</v>
      </c>
      <c r="C1940" s="2">
        <v>1.41454674345325E-3</v>
      </c>
      <c r="D1940" s="2">
        <v>1.1145701218340401E-3</v>
      </c>
      <c r="E1940" s="2">
        <v>5.2659294365455498E-4</v>
      </c>
      <c r="F1940" s="2">
        <v>1.37189491519461E-3</v>
      </c>
    </row>
    <row r="1941" spans="1:6" x14ac:dyDescent="0.25">
      <c r="A1941" s="1" t="str">
        <f t="shared" si="72"/>
        <v>12260</v>
      </c>
      <c r="B1941" s="1" t="str">
        <f>"29845"</f>
        <v>29845</v>
      </c>
      <c r="C1941" s="2">
        <v>2.9266484347308599E-5</v>
      </c>
      <c r="D1941" s="2">
        <v>0</v>
      </c>
      <c r="E1941" s="2">
        <v>0</v>
      </c>
      <c r="F1941" s="2">
        <v>2.6382594522973301E-5</v>
      </c>
    </row>
    <row r="1942" spans="1:6" x14ac:dyDescent="0.25">
      <c r="A1942" s="1" t="str">
        <f t="shared" si="72"/>
        <v>12260</v>
      </c>
      <c r="B1942" s="1" t="str">
        <f>"30802"</f>
        <v>30802</v>
      </c>
      <c r="C1942" s="2">
        <v>1.07700662398095E-2</v>
      </c>
      <c r="D1942" s="2">
        <v>4.3429801299050604E-3</v>
      </c>
      <c r="E1942" s="2">
        <v>2.63296471827277E-4</v>
      </c>
      <c r="F1942" s="2">
        <v>1.0045905714469901E-2</v>
      </c>
    </row>
    <row r="1943" spans="1:6" x14ac:dyDescent="0.25">
      <c r="A1943" s="1" t="str">
        <f t="shared" si="72"/>
        <v>12260</v>
      </c>
      <c r="B1943" s="1" t="str">
        <f>"30914"</f>
        <v>30914</v>
      </c>
      <c r="C1943" s="2">
        <v>3.55100010080677E-3</v>
      </c>
      <c r="D1943" s="2">
        <v>1.5911449325492901E-2</v>
      </c>
      <c r="E1943" s="2">
        <v>2.63296471827277E-4</v>
      </c>
      <c r="F1943" s="2">
        <v>4.4205502822937601E-3</v>
      </c>
    </row>
    <row r="1944" spans="1:6" x14ac:dyDescent="0.25">
      <c r="A1944" s="1" t="str">
        <f t="shared" si="72"/>
        <v>12260</v>
      </c>
      <c r="B1944" s="1" t="str">
        <f>"29006"</f>
        <v>29006</v>
      </c>
      <c r="C1944" s="2">
        <v>3.2810980784927098E-3</v>
      </c>
      <c r="D1944" s="2">
        <v>9.608363119259E-4</v>
      </c>
      <c r="E1944" s="2">
        <v>5.2659294365455498E-4</v>
      </c>
      <c r="F1944" s="2">
        <v>3.0427925683162598E-3</v>
      </c>
    </row>
    <row r="1945" spans="1:6" x14ac:dyDescent="0.25">
      <c r="A1945" s="1" t="str">
        <f t="shared" si="72"/>
        <v>12260</v>
      </c>
      <c r="B1945" s="1" t="str">
        <f>"29839"</f>
        <v>29839</v>
      </c>
      <c r="C1945" s="2">
        <v>1.4698278805537199E-3</v>
      </c>
      <c r="D1945" s="2">
        <v>1.1145701218340401E-3</v>
      </c>
      <c r="E1945" s="2">
        <v>1.3164823591363799E-4</v>
      </c>
      <c r="F1945" s="2">
        <v>1.41293450667479E-3</v>
      </c>
    </row>
    <row r="1946" spans="1:6" x14ac:dyDescent="0.25">
      <c r="A1946" s="1" t="str">
        <f t="shared" si="72"/>
        <v>12260</v>
      </c>
      <c r="B1946" s="1" t="str">
        <f>"30668"</f>
        <v>30668</v>
      </c>
      <c r="C1946" s="2">
        <v>1.5543755020015E-3</v>
      </c>
      <c r="D1946" s="2">
        <v>3.4590107229332402E-4</v>
      </c>
      <c r="E1946" s="2">
        <v>5.2659294365455498E-4</v>
      </c>
      <c r="F1946" s="2">
        <v>1.4393171011977601E-3</v>
      </c>
    </row>
    <row r="1947" spans="1:6" x14ac:dyDescent="0.25">
      <c r="A1947" s="1" t="str">
        <f t="shared" si="72"/>
        <v>12260</v>
      </c>
      <c r="B1947" s="1" t="str">
        <f>"30901"</f>
        <v>30901</v>
      </c>
      <c r="C1947" s="2">
        <v>3.1159050335101201E-2</v>
      </c>
      <c r="D1947" s="2">
        <v>9.4238825473692306E-2</v>
      </c>
      <c r="E1947" s="2">
        <v>6.7140600315955701E-2</v>
      </c>
      <c r="F1947" s="2">
        <v>3.6771473966242002E-2</v>
      </c>
    </row>
    <row r="1948" spans="1:6" x14ac:dyDescent="0.25">
      <c r="A1948" s="1" t="str">
        <f t="shared" si="72"/>
        <v>12260</v>
      </c>
      <c r="B1948" s="1" t="str">
        <f>"30904"</f>
        <v>30904</v>
      </c>
      <c r="C1948" s="2">
        <v>4.4933808967901098E-2</v>
      </c>
      <c r="D1948" s="2">
        <v>5.2692263346016302E-2</v>
      </c>
      <c r="E1948" s="2">
        <v>8.8072669826224304E-2</v>
      </c>
      <c r="F1948" s="2">
        <v>4.6486131549478997E-2</v>
      </c>
    </row>
    <row r="1949" spans="1:6" x14ac:dyDescent="0.25">
      <c r="A1949" s="1" t="str">
        <f t="shared" si="72"/>
        <v>12260</v>
      </c>
      <c r="B1949" s="1" t="str">
        <f>"30917"</f>
        <v>30917</v>
      </c>
      <c r="C1949" s="2">
        <v>5.9541036488802296E-3</v>
      </c>
      <c r="D1949" s="2">
        <v>1.7333487067143199E-2</v>
      </c>
      <c r="E1949" s="2">
        <v>2.63296471827277E-4</v>
      </c>
      <c r="F1949" s="2">
        <v>6.6953162100523503E-3</v>
      </c>
    </row>
    <row r="1950" spans="1:6" x14ac:dyDescent="0.25">
      <c r="A1950" s="1" t="str">
        <f t="shared" si="72"/>
        <v>12260</v>
      </c>
      <c r="B1950" s="1" t="str">
        <f>"29850"</f>
        <v>29850</v>
      </c>
      <c r="C1950" s="2">
        <v>0</v>
      </c>
      <c r="D1950" s="2">
        <v>7.6866904954071998E-5</v>
      </c>
      <c r="E1950" s="2">
        <v>0</v>
      </c>
      <c r="F1950" s="2">
        <v>5.8627987828829701E-6</v>
      </c>
    </row>
    <row r="1951" spans="1:6" x14ac:dyDescent="0.25">
      <c r="A1951" s="1" t="str">
        <f t="shared" si="72"/>
        <v>12260</v>
      </c>
      <c r="B1951" s="1" t="str">
        <f>"29164"</f>
        <v>29164</v>
      </c>
      <c r="C1951" s="2">
        <v>7.1800441598730402E-3</v>
      </c>
      <c r="D1951" s="2">
        <v>1.8063722664206901E-3</v>
      </c>
      <c r="E1951" s="2">
        <v>9.2153765139547103E-4</v>
      </c>
      <c r="F1951" s="2">
        <v>6.6308254234406401E-3</v>
      </c>
    </row>
    <row r="1952" spans="1:6" x14ac:dyDescent="0.25">
      <c r="A1952" s="1" t="str">
        <f t="shared" si="72"/>
        <v>12260</v>
      </c>
      <c r="B1952" s="1" t="str">
        <f>"29802"</f>
        <v>29802</v>
      </c>
      <c r="C1952" s="2">
        <v>6.9296531271238497E-3</v>
      </c>
      <c r="D1952" s="2">
        <v>2.02159960029209E-2</v>
      </c>
      <c r="E1952" s="2">
        <v>2.63296471827277E-4</v>
      </c>
      <c r="F1952" s="2">
        <v>7.7945909818429096E-3</v>
      </c>
    </row>
    <row r="1953" spans="1:6" x14ac:dyDescent="0.25">
      <c r="A1953" s="1" t="str">
        <f t="shared" si="72"/>
        <v>12260</v>
      </c>
      <c r="B1953" s="1" t="str">
        <f>"30907"</f>
        <v>30907</v>
      </c>
      <c r="C1953" s="2">
        <v>7.3845843671447906E-2</v>
      </c>
      <c r="D1953" s="2">
        <v>9.7659402744148499E-2</v>
      </c>
      <c r="E1953" s="2">
        <v>0.121774618220115</v>
      </c>
      <c r="F1953" s="2">
        <v>7.6729379070980902E-2</v>
      </c>
    </row>
    <row r="1954" spans="1:6" x14ac:dyDescent="0.25">
      <c r="A1954" s="1" t="str">
        <f t="shared" si="72"/>
        <v>12260</v>
      </c>
      <c r="B1954" s="1" t="str">
        <f>"29822"</f>
        <v>29822</v>
      </c>
      <c r="C1954" s="2">
        <v>0</v>
      </c>
      <c r="D1954" s="2">
        <v>7.6866904954071998E-5</v>
      </c>
      <c r="E1954" s="2">
        <v>0</v>
      </c>
      <c r="F1954" s="2">
        <v>5.8627987828829701E-6</v>
      </c>
    </row>
    <row r="1955" spans="1:6" x14ac:dyDescent="0.25">
      <c r="A1955" s="1" t="str">
        <f t="shared" si="72"/>
        <v>12260</v>
      </c>
      <c r="B1955" s="1" t="str">
        <f>"29856"</f>
        <v>29856</v>
      </c>
      <c r="C1955" s="2">
        <v>5.71021627931932E-3</v>
      </c>
      <c r="D1955" s="2">
        <v>4.2276797724739602E-4</v>
      </c>
      <c r="E1955" s="2">
        <v>1.3164823591363799E-4</v>
      </c>
      <c r="F1955" s="2">
        <v>5.1827141240685399E-3</v>
      </c>
    </row>
    <row r="1956" spans="1:6" x14ac:dyDescent="0.25">
      <c r="A1956" s="1" t="str">
        <f t="shared" ref="A1956:A1996" si="73">"12300"</f>
        <v>12300</v>
      </c>
      <c r="B1956" s="1" t="str">
        <f>"04989"</f>
        <v>04989</v>
      </c>
      <c r="C1956" s="2">
        <v>2.86172734097834E-2</v>
      </c>
      <c r="D1956" s="2">
        <v>7.1560008178286599E-3</v>
      </c>
      <c r="E1956" s="2">
        <v>9.6573925040239102E-3</v>
      </c>
      <c r="F1956" s="2">
        <v>2.6188594161018999E-2</v>
      </c>
    </row>
    <row r="1957" spans="1:6" x14ac:dyDescent="0.25">
      <c r="A1957" s="1" t="str">
        <f t="shared" si="73"/>
        <v>12300</v>
      </c>
      <c r="B1957" s="1" t="str">
        <f>"04917"</f>
        <v>04917</v>
      </c>
      <c r="C1957" s="2">
        <v>2.1742650630787098E-2</v>
      </c>
      <c r="D1957" s="2">
        <v>5.7248006542629298E-3</v>
      </c>
      <c r="E1957" s="2">
        <v>3.44906875143711E-3</v>
      </c>
      <c r="F1957" s="2">
        <v>1.9696518122092398E-2</v>
      </c>
    </row>
    <row r="1958" spans="1:6" x14ac:dyDescent="0.25">
      <c r="A1958" s="1" t="str">
        <f t="shared" si="73"/>
        <v>12300</v>
      </c>
      <c r="B1958" s="1" t="str">
        <f>"04360"</f>
        <v>04360</v>
      </c>
      <c r="C1958" s="2">
        <v>3.9746213069143596E-3</v>
      </c>
      <c r="D1958" s="2">
        <v>0</v>
      </c>
      <c r="E1958" s="2">
        <v>9.1975166704989602E-4</v>
      </c>
      <c r="F1958" s="2">
        <v>3.5505565562193001E-3</v>
      </c>
    </row>
    <row r="1959" spans="1:6" x14ac:dyDescent="0.25">
      <c r="A1959" s="1" t="str">
        <f t="shared" si="73"/>
        <v>12300</v>
      </c>
      <c r="B1959" s="1" t="str">
        <f>"04332"</f>
        <v>04332</v>
      </c>
      <c r="C1959" s="2">
        <v>1.40878244100631E-2</v>
      </c>
      <c r="D1959" s="2">
        <v>4.8251891228787501E-2</v>
      </c>
      <c r="E1959" s="2">
        <v>4.5987583352494801E-4</v>
      </c>
      <c r="F1959" s="2">
        <v>1.54850915499345E-2</v>
      </c>
    </row>
    <row r="1960" spans="1:6" x14ac:dyDescent="0.25">
      <c r="A1960" s="1" t="str">
        <f t="shared" si="73"/>
        <v>12300</v>
      </c>
      <c r="B1960" s="1" t="str">
        <f>"04350"</f>
        <v>04350</v>
      </c>
      <c r="C1960" s="2">
        <v>2.5187322430112902E-2</v>
      </c>
      <c r="D1960" s="2">
        <v>4.4980576569208699E-3</v>
      </c>
      <c r="E1960" s="2">
        <v>1.60956541733731E-3</v>
      </c>
      <c r="F1960" s="2">
        <v>2.25473299555532E-2</v>
      </c>
    </row>
    <row r="1961" spans="1:6" x14ac:dyDescent="0.25">
      <c r="A1961" s="1" t="str">
        <f t="shared" si="73"/>
        <v>12300</v>
      </c>
      <c r="B1961" s="1" t="str">
        <f>"04978"</f>
        <v>04978</v>
      </c>
      <c r="C1961" s="2">
        <v>1.47208196552384E-5</v>
      </c>
      <c r="D1961" s="2">
        <v>0</v>
      </c>
      <c r="E1961" s="2">
        <v>0</v>
      </c>
      <c r="F1961" s="2">
        <v>1.2958235606639699E-5</v>
      </c>
    </row>
    <row r="1962" spans="1:6" x14ac:dyDescent="0.25">
      <c r="A1962" s="1" t="str">
        <f t="shared" si="73"/>
        <v>12300</v>
      </c>
      <c r="B1962" s="1" t="str">
        <f>"04926"</f>
        <v>04926</v>
      </c>
      <c r="C1962" s="2">
        <v>2.9441639310476799E-5</v>
      </c>
      <c r="D1962" s="2">
        <v>0</v>
      </c>
      <c r="E1962" s="2">
        <v>2.29937916762474E-4</v>
      </c>
      <c r="F1962" s="2">
        <v>3.8874706819919299E-5</v>
      </c>
    </row>
    <row r="1963" spans="1:6" x14ac:dyDescent="0.25">
      <c r="A1963" s="1" t="str">
        <f t="shared" si="73"/>
        <v>12300</v>
      </c>
      <c r="B1963" s="1" t="str">
        <f>"04344"</f>
        <v>04344</v>
      </c>
      <c r="C1963" s="2">
        <v>2.1065492926646098E-2</v>
      </c>
      <c r="D1963" s="2">
        <v>2.3308116949499001E-2</v>
      </c>
      <c r="E1963" s="2">
        <v>2.5063232927109599E-2</v>
      </c>
      <c r="F1963" s="2">
        <v>2.1432921693382199E-2</v>
      </c>
    </row>
    <row r="1964" spans="1:6" x14ac:dyDescent="0.25">
      <c r="A1964" s="1" t="str">
        <f t="shared" si="73"/>
        <v>12300</v>
      </c>
      <c r="B1964" s="1" t="str">
        <f>"04927"</f>
        <v>04927</v>
      </c>
      <c r="C1964" s="2">
        <v>2.0491380960091801E-2</v>
      </c>
      <c r="D1964" s="2">
        <v>3.27131465957881E-3</v>
      </c>
      <c r="E1964" s="2">
        <v>4.5987583352494798E-3</v>
      </c>
      <c r="F1964" s="2">
        <v>1.8504360446281599E-2</v>
      </c>
    </row>
    <row r="1965" spans="1:6" x14ac:dyDescent="0.25">
      <c r="A1965" s="1" t="str">
        <f t="shared" si="73"/>
        <v>12300</v>
      </c>
      <c r="B1965" s="1" t="str">
        <f>"04346"</f>
        <v>04346</v>
      </c>
      <c r="C1965" s="2">
        <v>1.34401083452326E-2</v>
      </c>
      <c r="D1965" s="2">
        <v>8.5872009813943908E-3</v>
      </c>
      <c r="E1965" s="2">
        <v>1.4026212922510901E-2</v>
      </c>
      <c r="F1965" s="2">
        <v>1.3165567376346001E-2</v>
      </c>
    </row>
    <row r="1966" spans="1:6" x14ac:dyDescent="0.25">
      <c r="A1966" s="1" t="str">
        <f t="shared" si="73"/>
        <v>12300</v>
      </c>
      <c r="B1966" s="1" t="str">
        <f>"04358"</f>
        <v>04358</v>
      </c>
      <c r="C1966" s="2">
        <v>2.4966510135284298E-2</v>
      </c>
      <c r="D1966" s="2">
        <v>1.22674299734205E-2</v>
      </c>
      <c r="E1966" s="2">
        <v>6.2083237525868001E-3</v>
      </c>
      <c r="F1966" s="2">
        <v>2.3104534086638699E-2</v>
      </c>
    </row>
    <row r="1967" spans="1:6" x14ac:dyDescent="0.25">
      <c r="A1967" s="1" t="str">
        <f t="shared" si="73"/>
        <v>12300</v>
      </c>
      <c r="B1967" s="1" t="str">
        <f>"04330"</f>
        <v>04330</v>
      </c>
      <c r="C1967" s="2">
        <v>0.20195492485021499</v>
      </c>
      <c r="D1967" s="2">
        <v>0.34491923941934099</v>
      </c>
      <c r="E1967" s="2">
        <v>0.37157967348815801</v>
      </c>
      <c r="F1967" s="2">
        <v>0.22057508649622201</v>
      </c>
    </row>
    <row r="1968" spans="1:6" x14ac:dyDescent="0.25">
      <c r="A1968" s="1" t="str">
        <f t="shared" si="73"/>
        <v>12300</v>
      </c>
      <c r="B1968" s="1" t="str">
        <f>"04287"</f>
        <v>04287</v>
      </c>
      <c r="C1968" s="2">
        <v>1.47208196552384E-5</v>
      </c>
      <c r="D1968" s="2">
        <v>0</v>
      </c>
      <c r="E1968" s="2">
        <v>0</v>
      </c>
      <c r="F1968" s="2">
        <v>1.2958235606639699E-5</v>
      </c>
    </row>
    <row r="1969" spans="1:6" x14ac:dyDescent="0.25">
      <c r="A1969" s="1" t="str">
        <f t="shared" si="73"/>
        <v>12300</v>
      </c>
      <c r="B1969" s="1" t="str">
        <f>"04962"</f>
        <v>04962</v>
      </c>
      <c r="C1969" s="2">
        <v>0</v>
      </c>
      <c r="D1969" s="2">
        <v>0</v>
      </c>
      <c r="E1969" s="2">
        <v>2.29937916762474E-4</v>
      </c>
      <c r="F1969" s="2">
        <v>1.2958235606639699E-5</v>
      </c>
    </row>
    <row r="1970" spans="1:6" x14ac:dyDescent="0.25">
      <c r="A1970" s="1" t="str">
        <f t="shared" si="73"/>
        <v>12300</v>
      </c>
      <c r="B1970" s="1" t="str">
        <f>"04349"</f>
        <v>04349</v>
      </c>
      <c r="C1970" s="2">
        <v>9.5243703169392395E-3</v>
      </c>
      <c r="D1970" s="2">
        <v>2.2490288284604302E-3</v>
      </c>
      <c r="E1970" s="2">
        <v>4.5987583352494801E-4</v>
      </c>
      <c r="F1970" s="2">
        <v>8.5524355003822605E-3</v>
      </c>
    </row>
    <row r="1971" spans="1:6" x14ac:dyDescent="0.25">
      <c r="A1971" s="1" t="str">
        <f t="shared" si="73"/>
        <v>12300</v>
      </c>
      <c r="B1971" s="1" t="str">
        <f>"04345"</f>
        <v>04345</v>
      </c>
      <c r="C1971" s="2">
        <v>9.4993449235253394E-2</v>
      </c>
      <c r="D1971" s="2">
        <v>7.7080351666325903E-2</v>
      </c>
      <c r="E1971" s="2">
        <v>6.9441250862267101E-2</v>
      </c>
      <c r="F1971" s="2">
        <v>9.2418136346555005E-2</v>
      </c>
    </row>
    <row r="1972" spans="1:6" x14ac:dyDescent="0.25">
      <c r="A1972" s="1" t="str">
        <f t="shared" si="73"/>
        <v>12300</v>
      </c>
      <c r="B1972" s="1" t="str">
        <f>"04918"</f>
        <v>04918</v>
      </c>
      <c r="C1972" s="2">
        <v>1.8106608175943199E-3</v>
      </c>
      <c r="D1972" s="2">
        <v>0</v>
      </c>
      <c r="E1972" s="2">
        <v>8.7376408369740106E-3</v>
      </c>
      <c r="F1972" s="2">
        <v>2.086275932669E-3</v>
      </c>
    </row>
    <row r="1973" spans="1:6" x14ac:dyDescent="0.25">
      <c r="A1973" s="1" t="str">
        <f t="shared" si="73"/>
        <v>12300</v>
      </c>
      <c r="B1973" s="1" t="str">
        <f>"04988"</f>
        <v>04988</v>
      </c>
      <c r="C1973" s="2">
        <v>2.2081229482857599E-4</v>
      </c>
      <c r="D1973" s="2">
        <v>2.04457166223676E-4</v>
      </c>
      <c r="E1973" s="2">
        <v>0</v>
      </c>
      <c r="F1973" s="2">
        <v>2.07331769706236E-4</v>
      </c>
    </row>
    <row r="1974" spans="1:6" x14ac:dyDescent="0.25">
      <c r="A1974" s="1" t="str">
        <f t="shared" si="73"/>
        <v>12300</v>
      </c>
      <c r="B1974" s="1" t="str">
        <f>"04357"</f>
        <v>04357</v>
      </c>
      <c r="C1974" s="2">
        <v>4.41624589657152E-5</v>
      </c>
      <c r="D1974" s="2">
        <v>0</v>
      </c>
      <c r="E1974" s="2">
        <v>0</v>
      </c>
      <c r="F1974" s="2">
        <v>3.8874706819919299E-5</v>
      </c>
    </row>
    <row r="1975" spans="1:6" x14ac:dyDescent="0.25">
      <c r="A1975" s="1" t="str">
        <f t="shared" si="73"/>
        <v>12300</v>
      </c>
      <c r="B1975" s="1" t="str">
        <f>"04355"</f>
        <v>04355</v>
      </c>
      <c r="C1975" s="2">
        <v>1.4014220311786899E-2</v>
      </c>
      <c r="D1975" s="2">
        <v>3.4757718258024901E-3</v>
      </c>
      <c r="E1975" s="2">
        <v>1.8854909174522799E-2</v>
      </c>
      <c r="F1975" s="2">
        <v>1.36191056225784E-2</v>
      </c>
    </row>
    <row r="1976" spans="1:6" x14ac:dyDescent="0.25">
      <c r="A1976" s="1" t="str">
        <f t="shared" si="73"/>
        <v>12300</v>
      </c>
      <c r="B1976" s="1" t="str">
        <f>"04351"</f>
        <v>04351</v>
      </c>
      <c r="C1976" s="2">
        <v>2.5422855544596699E-2</v>
      </c>
      <c r="D1976" s="2">
        <v>2.7397260273972601E-2</v>
      </c>
      <c r="E1976" s="2">
        <v>1.21867095884111E-2</v>
      </c>
      <c r="F1976" s="2">
        <v>2.4802062951108501E-2</v>
      </c>
    </row>
    <row r="1977" spans="1:6" x14ac:dyDescent="0.25">
      <c r="A1977" s="1" t="str">
        <f t="shared" si="73"/>
        <v>12300</v>
      </c>
      <c r="B1977" s="1" t="str">
        <f>"04338"</f>
        <v>04338</v>
      </c>
      <c r="C1977" s="2">
        <v>1.00395990048725E-2</v>
      </c>
      <c r="D1977" s="2">
        <v>1.2062972807196801E-2</v>
      </c>
      <c r="E1977" s="2">
        <v>4.5987583352494801E-4</v>
      </c>
      <c r="F1977" s="2">
        <v>9.6279690557333694E-3</v>
      </c>
    </row>
    <row r="1978" spans="1:6" x14ac:dyDescent="0.25">
      <c r="A1978" s="1" t="str">
        <f t="shared" si="73"/>
        <v>12300</v>
      </c>
      <c r="B1978" s="1" t="str">
        <f>"04352"</f>
        <v>04352</v>
      </c>
      <c r="C1978" s="2">
        <v>1.2880717198333599E-2</v>
      </c>
      <c r="D1978" s="2">
        <v>2.8624003271314601E-3</v>
      </c>
      <c r="E1978" s="2">
        <v>1.3796275005748401E-3</v>
      </c>
      <c r="F1978" s="2">
        <v>1.1597620867942599E-2</v>
      </c>
    </row>
    <row r="1979" spans="1:6" x14ac:dyDescent="0.25">
      <c r="A1979" s="1" t="str">
        <f t="shared" si="73"/>
        <v>12300</v>
      </c>
      <c r="B1979" s="1" t="str">
        <f>"04963"</f>
        <v>04963</v>
      </c>
      <c r="C1979" s="2">
        <v>5.4540636822658202E-2</v>
      </c>
      <c r="D1979" s="2">
        <v>3.86424044162747E-2</v>
      </c>
      <c r="E1979" s="2">
        <v>4.6217521269257301E-2</v>
      </c>
      <c r="F1979" s="2">
        <v>5.3063974809189902E-2</v>
      </c>
    </row>
    <row r="1980" spans="1:6" x14ac:dyDescent="0.25">
      <c r="A1980" s="1" t="str">
        <f t="shared" si="73"/>
        <v>12300</v>
      </c>
      <c r="B1980" s="1" t="str">
        <f>"04343"</f>
        <v>04343</v>
      </c>
      <c r="C1980" s="2">
        <v>0</v>
      </c>
      <c r="D1980" s="2">
        <v>0</v>
      </c>
      <c r="E1980" s="2">
        <v>2.29937916762474E-4</v>
      </c>
      <c r="F1980" s="2">
        <v>1.2958235606639699E-5</v>
      </c>
    </row>
    <row r="1981" spans="1:6" x14ac:dyDescent="0.25">
      <c r="A1981" s="1" t="str">
        <f t="shared" si="73"/>
        <v>12300</v>
      </c>
      <c r="B1981" s="1" t="str">
        <f>"04937"</f>
        <v>04937</v>
      </c>
      <c r="C1981" s="2">
        <v>7.3604098276192003E-5</v>
      </c>
      <c r="D1981" s="2">
        <v>0</v>
      </c>
      <c r="E1981" s="2">
        <v>2.29937916762474E-4</v>
      </c>
      <c r="F1981" s="2">
        <v>7.7749413639838694E-5</v>
      </c>
    </row>
    <row r="1982" spans="1:6" x14ac:dyDescent="0.25">
      <c r="A1982" s="1" t="str">
        <f t="shared" si="73"/>
        <v>12300</v>
      </c>
      <c r="B1982" s="1" t="str">
        <f>"04336"</f>
        <v>04336</v>
      </c>
      <c r="C1982" s="2">
        <v>0</v>
      </c>
      <c r="D1982" s="2">
        <v>2.04457166223676E-4</v>
      </c>
      <c r="E1982" s="2">
        <v>0</v>
      </c>
      <c r="F1982" s="2">
        <v>1.2958235606639699E-5</v>
      </c>
    </row>
    <row r="1983" spans="1:6" x14ac:dyDescent="0.25">
      <c r="A1983" s="1" t="str">
        <f t="shared" si="73"/>
        <v>12300</v>
      </c>
      <c r="B1983" s="1" t="str">
        <f>"04254"</f>
        <v>04254</v>
      </c>
      <c r="C1983" s="2">
        <v>4.41624589657152E-5</v>
      </c>
      <c r="D1983" s="2">
        <v>0</v>
      </c>
      <c r="E1983" s="2">
        <v>0</v>
      </c>
      <c r="F1983" s="2">
        <v>3.8874706819919299E-5</v>
      </c>
    </row>
    <row r="1984" spans="1:6" x14ac:dyDescent="0.25">
      <c r="A1984" s="1" t="str">
        <f t="shared" si="73"/>
        <v>12300</v>
      </c>
      <c r="B1984" s="1" t="str">
        <f>"04364"</f>
        <v>04364</v>
      </c>
      <c r="C1984" s="2">
        <v>4.3676671917092298E-2</v>
      </c>
      <c r="D1984" s="2">
        <v>4.3753833571866602E-2</v>
      </c>
      <c r="E1984" s="2">
        <v>3.7249942515520801E-2</v>
      </c>
      <c r="F1984" s="2">
        <v>4.3319381632996798E-2</v>
      </c>
    </row>
    <row r="1985" spans="1:6" x14ac:dyDescent="0.25">
      <c r="A1985" s="1" t="str">
        <f t="shared" si="73"/>
        <v>12300</v>
      </c>
      <c r="B1985" s="1" t="str">
        <f>"04903"</f>
        <v>04903</v>
      </c>
      <c r="C1985" s="2">
        <v>2.7851790787710998E-2</v>
      </c>
      <c r="D1985" s="2">
        <v>4.2527090574524598E-2</v>
      </c>
      <c r="E1985" s="2">
        <v>2.29937916762474E-4</v>
      </c>
      <c r="F1985" s="2">
        <v>2.7225253009550199E-2</v>
      </c>
    </row>
    <row r="1986" spans="1:6" x14ac:dyDescent="0.25">
      <c r="A1986" s="1" t="str">
        <f t="shared" si="73"/>
        <v>12300</v>
      </c>
      <c r="B1986" s="1" t="str">
        <f>"04910"</f>
        <v>04910</v>
      </c>
      <c r="C1986" s="2">
        <v>1.2851275559023099E-2</v>
      </c>
      <c r="D1986" s="2">
        <v>4.2936004906971902E-3</v>
      </c>
      <c r="E1986" s="2">
        <v>2.9891929179121598E-3</v>
      </c>
      <c r="F1986" s="2">
        <v>1.17531196952222E-2</v>
      </c>
    </row>
    <row r="1987" spans="1:6" x14ac:dyDescent="0.25">
      <c r="A1987" s="1" t="str">
        <f t="shared" si="73"/>
        <v>12300</v>
      </c>
      <c r="B1987" s="1" t="str">
        <f>"04259"</f>
        <v>04259</v>
      </c>
      <c r="C1987" s="2">
        <v>2.0829959812162301E-2</v>
      </c>
      <c r="D1987" s="2">
        <v>6.9515436516049802E-3</v>
      </c>
      <c r="E1987" s="2">
        <v>5.9783858358243196E-3</v>
      </c>
      <c r="F1987" s="2">
        <v>1.9113397519793698E-2</v>
      </c>
    </row>
    <row r="1988" spans="1:6" x14ac:dyDescent="0.25">
      <c r="A1988" s="1" t="str">
        <f t="shared" si="73"/>
        <v>12300</v>
      </c>
      <c r="B1988" s="1" t="str">
        <f>"04353"</f>
        <v>04353</v>
      </c>
      <c r="C1988" s="2">
        <v>9.1269081862478099E-4</v>
      </c>
      <c r="D1988" s="2">
        <v>0</v>
      </c>
      <c r="E1988" s="2">
        <v>2.29937916762474E-4</v>
      </c>
      <c r="F1988" s="2">
        <v>8.1636884321830696E-4</v>
      </c>
    </row>
    <row r="1989" spans="1:6" x14ac:dyDescent="0.25">
      <c r="A1989" s="1" t="str">
        <f t="shared" si="73"/>
        <v>12300</v>
      </c>
      <c r="B1989" s="1" t="str">
        <f>"04901"</f>
        <v>04901</v>
      </c>
      <c r="C1989" s="2">
        <v>0.24234885398418901</v>
      </c>
      <c r="D1989" s="2">
        <v>0.230014312001635</v>
      </c>
      <c r="E1989" s="2">
        <v>0.27569556219820601</v>
      </c>
      <c r="F1989" s="2">
        <v>0.243446372341941</v>
      </c>
    </row>
    <row r="1990" spans="1:6" x14ac:dyDescent="0.25">
      <c r="A1990" s="1" t="str">
        <f t="shared" si="73"/>
        <v>12300</v>
      </c>
      <c r="B1990" s="1" t="str">
        <f>"04935"</f>
        <v>04935</v>
      </c>
      <c r="C1990" s="2">
        <v>0</v>
      </c>
      <c r="D1990" s="2">
        <v>0</v>
      </c>
      <c r="E1990" s="2">
        <v>2.29937916762474E-4</v>
      </c>
      <c r="F1990" s="2">
        <v>1.2958235606639699E-5</v>
      </c>
    </row>
    <row r="1991" spans="1:6" x14ac:dyDescent="0.25">
      <c r="A1991" s="1" t="str">
        <f t="shared" si="73"/>
        <v>12300</v>
      </c>
      <c r="B1991" s="1" t="str">
        <f>"04359"</f>
        <v>04359</v>
      </c>
      <c r="C1991" s="2">
        <v>1.5751277031104999E-3</v>
      </c>
      <c r="D1991" s="2">
        <v>0</v>
      </c>
      <c r="E1991" s="2">
        <v>2.29937916762474E-4</v>
      </c>
      <c r="F1991" s="2">
        <v>1.3994894455170901E-3</v>
      </c>
    </row>
    <row r="1992" spans="1:6" x14ac:dyDescent="0.25">
      <c r="A1992" s="1" t="str">
        <f t="shared" si="73"/>
        <v>12300</v>
      </c>
      <c r="B1992" s="1" t="str">
        <f>"04284"</f>
        <v>04284</v>
      </c>
      <c r="C1992" s="2">
        <v>8.1111716300363602E-3</v>
      </c>
      <c r="D1992" s="2">
        <v>1.6356573297894E-3</v>
      </c>
      <c r="E1992" s="2">
        <v>6.8981375028742198E-4</v>
      </c>
      <c r="F1992" s="2">
        <v>7.2825284109315604E-3</v>
      </c>
    </row>
    <row r="1993" spans="1:6" x14ac:dyDescent="0.25">
      <c r="A1993" s="1" t="str">
        <f t="shared" si="73"/>
        <v>12300</v>
      </c>
      <c r="B1993" s="1" t="str">
        <f>"04333"</f>
        <v>04333</v>
      </c>
      <c r="C1993" s="2">
        <v>0</v>
      </c>
      <c r="D1993" s="2">
        <v>0</v>
      </c>
      <c r="E1993" s="2">
        <v>3.2881122097033803E-2</v>
      </c>
      <c r="F1993" s="2">
        <v>1.8530276917494901E-3</v>
      </c>
    </row>
    <row r="1994" spans="1:6" x14ac:dyDescent="0.25">
      <c r="A1994" s="1" t="str">
        <f t="shared" si="73"/>
        <v>12300</v>
      </c>
      <c r="B1994" s="1" t="str">
        <f>"04265"</f>
        <v>04265</v>
      </c>
      <c r="C1994" s="2">
        <v>5.1670076989886703E-3</v>
      </c>
      <c r="D1994" s="2">
        <v>3.8846861582498399E-3</v>
      </c>
      <c r="E1994" s="2">
        <v>1.3796275005748401E-3</v>
      </c>
      <c r="F1994" s="2">
        <v>4.8722965880965601E-3</v>
      </c>
    </row>
    <row r="1995" spans="1:6" x14ac:dyDescent="0.25">
      <c r="A1995" s="1" t="str">
        <f t="shared" si="73"/>
        <v>12300</v>
      </c>
      <c r="B1995" s="1" t="str">
        <f>"04363"</f>
        <v>04363</v>
      </c>
      <c r="C1995" s="2">
        <v>1.6045693424209799E-2</v>
      </c>
      <c r="D1995" s="2">
        <v>3.6802289920261702E-3</v>
      </c>
      <c r="E1995" s="2">
        <v>3.2191308346746299E-3</v>
      </c>
      <c r="F1995" s="2">
        <v>1.45391403506498E-2</v>
      </c>
    </row>
    <row r="1996" spans="1:6" x14ac:dyDescent="0.25">
      <c r="A1996" s="1" t="str">
        <f t="shared" si="73"/>
        <v>12300</v>
      </c>
      <c r="B1996" s="1" t="str">
        <f>"04347"</f>
        <v>04347</v>
      </c>
      <c r="C1996" s="2">
        <v>2.14335134180271E-2</v>
      </c>
      <c r="D1996" s="2">
        <v>4.1095890410958902E-2</v>
      </c>
      <c r="E1996" s="2">
        <v>4.2768452517820098E-2</v>
      </c>
      <c r="F1996" s="2">
        <v>2.3882028223037099E-2</v>
      </c>
    </row>
    <row r="1997" spans="1:6" x14ac:dyDescent="0.25">
      <c r="A1997" s="1" t="str">
        <f t="shared" ref="A1997:A2015" si="74">"12380"</f>
        <v>12380</v>
      </c>
      <c r="B1997" s="1" t="str">
        <f>"55967"</f>
        <v>55967</v>
      </c>
      <c r="C1997" s="2">
        <v>2.0022560631697599E-2</v>
      </c>
      <c r="D1997" s="2">
        <v>1.69332079021636E-2</v>
      </c>
      <c r="E1997" s="2">
        <v>2.62467191601049E-3</v>
      </c>
      <c r="F1997" s="2">
        <v>1.9176681155714598E-2</v>
      </c>
    </row>
    <row r="1998" spans="1:6" x14ac:dyDescent="0.25">
      <c r="A1998" s="1" t="str">
        <f t="shared" si="74"/>
        <v>12380</v>
      </c>
      <c r="B1998" s="1" t="str">
        <f>"55918"</f>
        <v>55918</v>
      </c>
      <c r="C1998" s="2">
        <v>2.79751833051325E-2</v>
      </c>
      <c r="D1998" s="2">
        <v>9.4073377234242701E-3</v>
      </c>
      <c r="E1998" s="2">
        <v>1.4435695538057699E-2</v>
      </c>
      <c r="F1998" s="2">
        <v>2.6438251086678501E-2</v>
      </c>
    </row>
    <row r="1999" spans="1:6" x14ac:dyDescent="0.25">
      <c r="A1999" s="1" t="str">
        <f t="shared" si="74"/>
        <v>12380</v>
      </c>
      <c r="B1999" s="1" t="str">
        <f>"55909"</f>
        <v>55909</v>
      </c>
      <c r="C1999" s="2">
        <v>3.6266215454032698E-2</v>
      </c>
      <c r="D1999" s="2">
        <v>1.7873941674506101E-2</v>
      </c>
      <c r="E1999" s="2">
        <v>1.70603674540682E-2</v>
      </c>
      <c r="F1999" s="2">
        <v>3.4518026080286299E-2</v>
      </c>
    </row>
    <row r="2000" spans="1:6" x14ac:dyDescent="0.25">
      <c r="A2000" s="1" t="str">
        <f t="shared" si="74"/>
        <v>12380</v>
      </c>
      <c r="B2000" s="1" t="str">
        <f>"55976"</f>
        <v>55976</v>
      </c>
      <c r="C2000" s="2">
        <v>1.01522842639593E-3</v>
      </c>
      <c r="D2000" s="2">
        <v>0</v>
      </c>
      <c r="E2000" s="2">
        <v>0</v>
      </c>
      <c r="F2000" s="2">
        <v>9.2048069547430304E-4</v>
      </c>
    </row>
    <row r="2001" spans="1:6" x14ac:dyDescent="0.25">
      <c r="A2001" s="1" t="str">
        <f t="shared" si="74"/>
        <v>12380</v>
      </c>
      <c r="B2001" s="1" t="str">
        <f>"55977"</f>
        <v>55977</v>
      </c>
      <c r="C2001" s="2">
        <v>5.1325437112239103E-3</v>
      </c>
      <c r="D2001" s="2">
        <v>0</v>
      </c>
      <c r="E2001" s="2">
        <v>2.62467191601049E-3</v>
      </c>
      <c r="F2001" s="2">
        <v>4.7558169266172304E-3</v>
      </c>
    </row>
    <row r="2002" spans="1:6" x14ac:dyDescent="0.25">
      <c r="A2002" s="1" t="str">
        <f t="shared" si="74"/>
        <v>12380</v>
      </c>
      <c r="B2002" s="1" t="str">
        <f>"55940"</f>
        <v>55940</v>
      </c>
      <c r="C2002" s="2">
        <v>4.5121263395375E-4</v>
      </c>
      <c r="D2002" s="2">
        <v>0</v>
      </c>
      <c r="E2002" s="2">
        <v>0</v>
      </c>
      <c r="F2002" s="2">
        <v>4.0910253132191198E-4</v>
      </c>
    </row>
    <row r="2003" spans="1:6" x14ac:dyDescent="0.25">
      <c r="A2003" s="1" t="str">
        <f t="shared" si="74"/>
        <v>12380</v>
      </c>
      <c r="B2003" s="1" t="str">
        <f>"55950"</f>
        <v>55950</v>
      </c>
      <c r="C2003" s="2">
        <v>0</v>
      </c>
      <c r="D2003" s="2">
        <v>9.4073377234242701E-4</v>
      </c>
      <c r="E2003" s="2">
        <v>1.31233595800524E-3</v>
      </c>
      <c r="F2003" s="2">
        <v>1.0227563283047799E-4</v>
      </c>
    </row>
    <row r="2004" spans="1:6" x14ac:dyDescent="0.25">
      <c r="A2004" s="1" t="str">
        <f t="shared" si="74"/>
        <v>12380</v>
      </c>
      <c r="B2004" s="1" t="str">
        <f>"55953"</f>
        <v>55953</v>
      </c>
      <c r="C2004" s="2">
        <v>1.97969543147208E-2</v>
      </c>
      <c r="D2004" s="2">
        <v>1.69332079021636E-2</v>
      </c>
      <c r="E2004" s="2">
        <v>9.1863517060367401E-3</v>
      </c>
      <c r="F2004" s="2">
        <v>1.9227818972129801E-2</v>
      </c>
    </row>
    <row r="2005" spans="1:6" x14ac:dyDescent="0.25">
      <c r="A2005" s="1" t="str">
        <f t="shared" si="74"/>
        <v>12380</v>
      </c>
      <c r="B2005" s="1" t="str">
        <f>"55936"</f>
        <v>55936</v>
      </c>
      <c r="C2005" s="2">
        <v>4.9351381838691401E-2</v>
      </c>
      <c r="D2005" s="2">
        <v>1.5992474129821199E-2</v>
      </c>
      <c r="E2005" s="2">
        <v>2.4934383202099699E-2</v>
      </c>
      <c r="F2005" s="2">
        <v>4.6586550754282703E-2</v>
      </c>
    </row>
    <row r="2006" spans="1:6" x14ac:dyDescent="0.25">
      <c r="A2006" s="1" t="str">
        <f t="shared" si="74"/>
        <v>12380</v>
      </c>
      <c r="B2006" s="1" t="str">
        <f>"55970"</f>
        <v>55970</v>
      </c>
      <c r="C2006" s="2">
        <v>2.2165820642978E-2</v>
      </c>
      <c r="D2006" s="2">
        <v>2.1636876763875799E-2</v>
      </c>
      <c r="E2006" s="2">
        <v>1.0498687664041899E-2</v>
      </c>
      <c r="F2006" s="2">
        <v>2.1682434160061301E-2</v>
      </c>
    </row>
    <row r="2007" spans="1:6" x14ac:dyDescent="0.25">
      <c r="A2007" s="1" t="str">
        <f t="shared" si="74"/>
        <v>12380</v>
      </c>
      <c r="B2007" s="1" t="str">
        <f>"55982"</f>
        <v>55982</v>
      </c>
      <c r="C2007" s="2">
        <v>1.1393119007332199E-2</v>
      </c>
      <c r="D2007" s="2">
        <v>2.8222013170272802E-3</v>
      </c>
      <c r="E2007" s="2">
        <v>1.31233595800524E-3</v>
      </c>
      <c r="F2007" s="2">
        <v>1.05343901815392E-2</v>
      </c>
    </row>
    <row r="2008" spans="1:6" x14ac:dyDescent="0.25">
      <c r="A2008" s="1" t="str">
        <f t="shared" si="74"/>
        <v>12380</v>
      </c>
      <c r="B2008" s="1" t="str">
        <f>"55917"</f>
        <v>55917</v>
      </c>
      <c r="C2008" s="2">
        <v>4.6249294980259398E-3</v>
      </c>
      <c r="D2008" s="2">
        <v>9.4073377234242701E-4</v>
      </c>
      <c r="E2008" s="2">
        <v>0</v>
      </c>
      <c r="F2008" s="2">
        <v>4.2444387624648401E-3</v>
      </c>
    </row>
    <row r="2009" spans="1:6" x14ac:dyDescent="0.25">
      <c r="A2009" s="1" t="str">
        <f t="shared" si="74"/>
        <v>12380</v>
      </c>
      <c r="B2009" s="1" t="str">
        <f>"55975"</f>
        <v>55975</v>
      </c>
      <c r="C2009" s="2">
        <v>4.2865200225606298E-3</v>
      </c>
      <c r="D2009" s="2">
        <v>4.7036688617121299E-3</v>
      </c>
      <c r="E2009" s="2">
        <v>0</v>
      </c>
      <c r="F2009" s="2">
        <v>4.1421631296343596E-3</v>
      </c>
    </row>
    <row r="2010" spans="1:6" x14ac:dyDescent="0.25">
      <c r="A2010" s="1" t="str">
        <f t="shared" si="74"/>
        <v>12380</v>
      </c>
      <c r="B2010" s="1" t="str">
        <f>"55961"</f>
        <v>55961</v>
      </c>
      <c r="C2010" s="2">
        <v>2.5380710659898401E-3</v>
      </c>
      <c r="D2010" s="2">
        <v>0</v>
      </c>
      <c r="E2010" s="2">
        <v>0</v>
      </c>
      <c r="F2010" s="2">
        <v>2.3012017386857498E-3</v>
      </c>
    </row>
    <row r="2011" spans="1:6" x14ac:dyDescent="0.25">
      <c r="A2011" s="1" t="str">
        <f t="shared" si="74"/>
        <v>12380</v>
      </c>
      <c r="B2011" s="1" t="str">
        <f>"55926"</f>
        <v>55926</v>
      </c>
      <c r="C2011" s="2">
        <v>1.8838127467569001E-2</v>
      </c>
      <c r="D2011" s="2">
        <v>1.5051740357478799E-2</v>
      </c>
      <c r="E2011" s="2">
        <v>1.70603674540682E-2</v>
      </c>
      <c r="F2011" s="2">
        <v>1.85630273587317E-2</v>
      </c>
    </row>
    <row r="2012" spans="1:6" x14ac:dyDescent="0.25">
      <c r="A2012" s="1" t="str">
        <f t="shared" si="74"/>
        <v>12380</v>
      </c>
      <c r="B2012" s="1" t="str">
        <f>"55912"</f>
        <v>55912</v>
      </c>
      <c r="C2012" s="2">
        <v>0.72679075014100303</v>
      </c>
      <c r="D2012" s="2">
        <v>0.82878645343367796</v>
      </c>
      <c r="E2012" s="2">
        <v>0.86745406824146898</v>
      </c>
      <c r="F2012" s="2">
        <v>0.73781641523906905</v>
      </c>
    </row>
    <row r="2013" spans="1:6" x14ac:dyDescent="0.25">
      <c r="A2013" s="1" t="str">
        <f t="shared" si="74"/>
        <v>12380</v>
      </c>
      <c r="B2013" s="1" t="str">
        <f>"55973"</f>
        <v>55973</v>
      </c>
      <c r="C2013" s="2">
        <v>6.88099266779469E-3</v>
      </c>
      <c r="D2013" s="2">
        <v>7.52587017873941E-3</v>
      </c>
      <c r="E2013" s="2">
        <v>3.9370078740157402E-3</v>
      </c>
      <c r="F2013" s="2">
        <v>6.8013295832267898E-3</v>
      </c>
    </row>
    <row r="2014" spans="1:6" x14ac:dyDescent="0.25">
      <c r="A2014" s="1" t="str">
        <f t="shared" si="74"/>
        <v>12380</v>
      </c>
      <c r="B2014" s="1" t="str">
        <f>"55933"</f>
        <v>55933</v>
      </c>
      <c r="C2014" s="2">
        <v>6.6553863508178202E-3</v>
      </c>
      <c r="D2014" s="2">
        <v>1.12888052681091E-2</v>
      </c>
      <c r="E2014" s="2">
        <v>5.2493438320209904E-3</v>
      </c>
      <c r="F2014" s="2">
        <v>6.8524673996420296E-3</v>
      </c>
    </row>
    <row r="2015" spans="1:6" x14ac:dyDescent="0.25">
      <c r="A2015" s="1" t="str">
        <f t="shared" si="74"/>
        <v>12380</v>
      </c>
      <c r="B2015" s="1" t="str">
        <f>"55951"</f>
        <v>55951</v>
      </c>
      <c r="C2015" s="2">
        <v>3.5815002820078899E-2</v>
      </c>
      <c r="D2015" s="2">
        <v>2.9162746942615201E-2</v>
      </c>
      <c r="E2015" s="2">
        <v>2.23097112860892E-2</v>
      </c>
      <c r="F2015" s="2">
        <v>3.4927128611608203E-2</v>
      </c>
    </row>
    <row r="2016" spans="1:6" x14ac:dyDescent="0.25">
      <c r="A2016" s="1" t="str">
        <f t="shared" ref="A2016:A2047" si="75">"12420"</f>
        <v>12420</v>
      </c>
      <c r="B2016" s="1" t="str">
        <f>"76527"</f>
        <v>76527</v>
      </c>
      <c r="C2016" s="2">
        <v>1.4450669247841599E-3</v>
      </c>
      <c r="D2016" s="2">
        <v>5.5307287288173005E-4</v>
      </c>
      <c r="E2016" s="2">
        <v>1.5931684934998699E-3</v>
      </c>
      <c r="F2016" s="2">
        <v>1.37867406153184E-3</v>
      </c>
    </row>
    <row r="2017" spans="1:6" x14ac:dyDescent="0.25">
      <c r="A2017" s="1" t="str">
        <f t="shared" si="75"/>
        <v>12420</v>
      </c>
      <c r="B2017" s="1" t="str">
        <f>"78727"</f>
        <v>78727</v>
      </c>
      <c r="C2017" s="2">
        <v>1.40116739506643E-2</v>
      </c>
      <c r="D2017" s="2">
        <v>6.3382151232246296E-3</v>
      </c>
      <c r="E2017" s="2">
        <v>7.9339790976293602E-3</v>
      </c>
      <c r="F2017" s="2">
        <v>1.32389404653942E-2</v>
      </c>
    </row>
    <row r="2018" spans="1:6" x14ac:dyDescent="0.25">
      <c r="A2018" s="1" t="str">
        <f t="shared" si="75"/>
        <v>12420</v>
      </c>
      <c r="B2018" s="1" t="str">
        <f>"78739"</f>
        <v>78739</v>
      </c>
      <c r="C2018" s="2">
        <v>6.8479355488418898E-3</v>
      </c>
      <c r="D2018" s="2">
        <v>4.0927392593247998E-4</v>
      </c>
      <c r="E2018" s="2">
        <v>1.5931684934998699E-4</v>
      </c>
      <c r="F2018" s="2">
        <v>6.1559806321631197E-3</v>
      </c>
    </row>
    <row r="2019" spans="1:6" x14ac:dyDescent="0.25">
      <c r="A2019" s="1" t="str">
        <f t="shared" si="75"/>
        <v>12420</v>
      </c>
      <c r="B2019" s="1" t="str">
        <f>"78644"</f>
        <v>78644</v>
      </c>
      <c r="C2019" s="2">
        <v>7.52940486316839E-3</v>
      </c>
      <c r="D2019" s="2">
        <v>7.1678244325472304E-3</v>
      </c>
      <c r="E2019" s="2">
        <v>1.4306653071628799E-2</v>
      </c>
      <c r="F2019" s="2">
        <v>7.6866757879323197E-3</v>
      </c>
    </row>
    <row r="2020" spans="1:6" x14ac:dyDescent="0.25">
      <c r="A2020" s="1" t="str">
        <f t="shared" si="75"/>
        <v>12420</v>
      </c>
      <c r="B2020" s="1" t="str">
        <f>"78613"</f>
        <v>78613</v>
      </c>
      <c r="C2020" s="2">
        <v>3.2785811359125498E-2</v>
      </c>
      <c r="D2020" s="2">
        <v>3.1569399584089101E-2</v>
      </c>
      <c r="E2020" s="2">
        <v>1.5517461126688699E-2</v>
      </c>
      <c r="F2020" s="2">
        <v>3.2216240396023603E-2</v>
      </c>
    </row>
    <row r="2021" spans="1:6" x14ac:dyDescent="0.25">
      <c r="A2021" s="1" t="str">
        <f t="shared" si="75"/>
        <v>12420</v>
      </c>
      <c r="B2021" s="1" t="str">
        <f>"78799"</f>
        <v>78799</v>
      </c>
      <c r="C2021" s="2">
        <v>0</v>
      </c>
      <c r="D2021" s="2">
        <v>0</v>
      </c>
      <c r="E2021" s="2">
        <v>3.1863369869997399E-5</v>
      </c>
      <c r="F2021" s="2">
        <v>8.7368444963995395E-7</v>
      </c>
    </row>
    <row r="2022" spans="1:6" x14ac:dyDescent="0.25">
      <c r="A2022" s="1" t="str">
        <f t="shared" si="75"/>
        <v>12420</v>
      </c>
      <c r="B2022" s="1" t="str">
        <f>"78622"</f>
        <v>78622</v>
      </c>
      <c r="C2022" s="2">
        <v>0</v>
      </c>
      <c r="D2022" s="2">
        <v>2.2122914915269199E-5</v>
      </c>
      <c r="E2022" s="2">
        <v>0</v>
      </c>
      <c r="F2022" s="2">
        <v>1.7473688992799001E-6</v>
      </c>
    </row>
    <row r="2023" spans="1:6" x14ac:dyDescent="0.25">
      <c r="A2023" s="1" t="str">
        <f t="shared" si="75"/>
        <v>12420</v>
      </c>
      <c r="B2023" s="1" t="str">
        <f>"78654"</f>
        <v>78654</v>
      </c>
      <c r="C2023" s="2">
        <v>3.8815397100088898E-4</v>
      </c>
      <c r="D2023" s="2">
        <v>7.7430202203442299E-5</v>
      </c>
      <c r="E2023" s="2">
        <v>4.7795054804996098E-4</v>
      </c>
      <c r="F2023" s="2">
        <v>3.6607378439914001E-4</v>
      </c>
    </row>
    <row r="2024" spans="1:6" x14ac:dyDescent="0.25">
      <c r="A2024" s="1" t="str">
        <f t="shared" si="75"/>
        <v>12420</v>
      </c>
      <c r="B2024" s="1" t="str">
        <f>"78723"</f>
        <v>78723</v>
      </c>
      <c r="C2024" s="2">
        <v>1.61675417241075E-2</v>
      </c>
      <c r="D2024" s="2">
        <v>1.04973231272952E-2</v>
      </c>
      <c r="E2024" s="2">
        <v>1.7015039510578599E-2</v>
      </c>
      <c r="F2024" s="2">
        <v>1.5742920098062298E-2</v>
      </c>
    </row>
    <row r="2025" spans="1:6" x14ac:dyDescent="0.25">
      <c r="A2025" s="1" t="str">
        <f t="shared" si="75"/>
        <v>12420</v>
      </c>
      <c r="B2025" s="1" t="str">
        <f>"78729"</f>
        <v>78729</v>
      </c>
      <c r="C2025" s="2">
        <v>1.47390960021118E-2</v>
      </c>
      <c r="D2025" s="2">
        <v>8.1191097739037998E-3</v>
      </c>
      <c r="E2025" s="2">
        <v>9.3359673719092505E-3</v>
      </c>
      <c r="F2025" s="2">
        <v>1.40680670081025E-2</v>
      </c>
    </row>
    <row r="2026" spans="1:6" x14ac:dyDescent="0.25">
      <c r="A2026" s="1" t="str">
        <f t="shared" si="75"/>
        <v>12420</v>
      </c>
      <c r="B2026" s="1" t="str">
        <f>"78750"</f>
        <v>78750</v>
      </c>
      <c r="C2026" s="2">
        <v>1.18059425688557E-2</v>
      </c>
      <c r="D2026" s="2">
        <v>1.3019335427635901E-2</v>
      </c>
      <c r="E2026" s="2">
        <v>6.56385419321947E-3</v>
      </c>
      <c r="F2026" s="2">
        <v>1.17580453232545E-2</v>
      </c>
    </row>
    <row r="2027" spans="1:6" x14ac:dyDescent="0.25">
      <c r="A2027" s="1" t="str">
        <f t="shared" si="75"/>
        <v>12420</v>
      </c>
      <c r="B2027" s="1" t="str">
        <f>"78759"</f>
        <v>78759</v>
      </c>
      <c r="C2027" s="2">
        <v>2.17366223760498E-2</v>
      </c>
      <c r="D2027" s="2">
        <v>3.4179903544090902E-2</v>
      </c>
      <c r="E2027" s="2">
        <v>2.0615600305888299E-2</v>
      </c>
      <c r="F2027" s="2">
        <v>2.26887114726999E-2</v>
      </c>
    </row>
    <row r="2028" spans="1:6" x14ac:dyDescent="0.25">
      <c r="A2028" s="1" t="str">
        <f t="shared" si="75"/>
        <v>12420</v>
      </c>
      <c r="B2028" s="1" t="str">
        <f>"78664"</f>
        <v>78664</v>
      </c>
      <c r="C2028" s="2">
        <v>2.2856109269742499E-2</v>
      </c>
      <c r="D2028" s="2">
        <v>2.61492854298482E-2</v>
      </c>
      <c r="E2028" s="2">
        <v>2.2304358908998199E-2</v>
      </c>
      <c r="F2028" s="2">
        <v>2.310109053293E-2</v>
      </c>
    </row>
    <row r="2029" spans="1:6" x14ac:dyDescent="0.25">
      <c r="A2029" s="1" t="str">
        <f t="shared" si="75"/>
        <v>12420</v>
      </c>
      <c r="B2029" s="1" t="str">
        <f>"78665"</f>
        <v>78665</v>
      </c>
      <c r="C2029" s="2">
        <v>2.26302564553818E-2</v>
      </c>
      <c r="D2029" s="2">
        <v>1.1006150170346399E-2</v>
      </c>
      <c r="E2029" s="2">
        <v>5.86286005607953E-3</v>
      </c>
      <c r="F2029" s="2">
        <v>2.1252374237491801E-2</v>
      </c>
    </row>
    <row r="2030" spans="1:6" x14ac:dyDescent="0.25">
      <c r="A2030" s="1" t="str">
        <f t="shared" si="75"/>
        <v>12420</v>
      </c>
      <c r="B2030" s="1" t="str">
        <f>"78716"</f>
        <v>78716</v>
      </c>
      <c r="C2030" s="2">
        <v>1.49395281533843E-3</v>
      </c>
      <c r="D2030" s="2">
        <v>8.5394451572939206E-3</v>
      </c>
      <c r="E2030" s="2">
        <v>3.1863369869997399E-5</v>
      </c>
      <c r="F2030" s="2">
        <v>2.01034791862153E-3</v>
      </c>
    </row>
    <row r="2031" spans="1:6" x14ac:dyDescent="0.25">
      <c r="A2031" s="1" t="str">
        <f t="shared" si="75"/>
        <v>12420</v>
      </c>
      <c r="B2031" s="1" t="str">
        <f>"78715"</f>
        <v>78715</v>
      </c>
      <c r="C2031" s="2">
        <v>1.53990555245944E-3</v>
      </c>
      <c r="D2031" s="2">
        <v>6.5594442723773197E-3</v>
      </c>
      <c r="E2031" s="2">
        <v>3.1863369869997399E-5</v>
      </c>
      <c r="F2031" s="2">
        <v>1.89502157126906E-3</v>
      </c>
    </row>
    <row r="2032" spans="1:6" x14ac:dyDescent="0.25">
      <c r="A2032" s="1" t="str">
        <f t="shared" si="75"/>
        <v>12420</v>
      </c>
      <c r="B2032" s="1" t="str">
        <f>"78620"</f>
        <v>78620</v>
      </c>
      <c r="C2032" s="2">
        <v>9.2022800379354501E-3</v>
      </c>
      <c r="D2032" s="2">
        <v>1.19795584266182E-2</v>
      </c>
      <c r="E2032" s="2">
        <v>7.51975528931939E-3</v>
      </c>
      <c r="F2032" s="2">
        <v>9.3755078290863499E-3</v>
      </c>
    </row>
    <row r="2033" spans="1:6" x14ac:dyDescent="0.25">
      <c r="A2033" s="1" t="str">
        <f t="shared" si="75"/>
        <v>12420</v>
      </c>
      <c r="B2033" s="1" t="str">
        <f>"78640"</f>
        <v>78640</v>
      </c>
      <c r="C2033" s="2">
        <v>2.4473254529277701E-2</v>
      </c>
      <c r="D2033" s="2">
        <v>1.48002300783151E-2</v>
      </c>
      <c r="E2033" s="2">
        <v>1.81302574560285E-2</v>
      </c>
      <c r="F2033" s="2">
        <v>2.3535311704400999E-2</v>
      </c>
    </row>
    <row r="2034" spans="1:6" x14ac:dyDescent="0.25">
      <c r="A2034" s="1" t="str">
        <f t="shared" si="75"/>
        <v>12420</v>
      </c>
      <c r="B2034" s="1" t="str">
        <f>"76511"</f>
        <v>76511</v>
      </c>
      <c r="C2034" s="2">
        <v>3.7739907507895E-4</v>
      </c>
      <c r="D2034" s="2">
        <v>1.76983319322153E-4</v>
      </c>
      <c r="E2034" s="2">
        <v>2.2304358908998201E-4</v>
      </c>
      <c r="F2034" s="2">
        <v>3.5733693990274101E-4</v>
      </c>
    </row>
    <row r="2035" spans="1:6" x14ac:dyDescent="0.25">
      <c r="A2035" s="1" t="str">
        <f t="shared" si="75"/>
        <v>12420</v>
      </c>
      <c r="B2035" s="1" t="str">
        <f>"78942"</f>
        <v>78942</v>
      </c>
      <c r="C2035" s="2">
        <v>3.9108712443414497E-5</v>
      </c>
      <c r="D2035" s="2">
        <v>0</v>
      </c>
      <c r="E2035" s="2">
        <v>9.5590109609992304E-5</v>
      </c>
      <c r="F2035" s="2">
        <v>3.7568431334517999E-5</v>
      </c>
    </row>
    <row r="2036" spans="1:6" x14ac:dyDescent="0.25">
      <c r="A2036" s="1" t="str">
        <f t="shared" si="75"/>
        <v>12420</v>
      </c>
      <c r="B2036" s="1" t="str">
        <f>"78734"</f>
        <v>78734</v>
      </c>
      <c r="C2036" s="2">
        <v>1.1985842646095399E-2</v>
      </c>
      <c r="D2036" s="2">
        <v>1.9092075571877299E-2</v>
      </c>
      <c r="E2036" s="2">
        <v>2.6765230690797798E-2</v>
      </c>
      <c r="F2036" s="2">
        <v>1.2952371965912301E-2</v>
      </c>
    </row>
    <row r="2037" spans="1:6" x14ac:dyDescent="0.25">
      <c r="A2037" s="1" t="str">
        <f t="shared" si="75"/>
        <v>12420</v>
      </c>
      <c r="B2037" s="1" t="str">
        <f>"78748"</f>
        <v>78748</v>
      </c>
      <c r="C2037" s="2">
        <v>2.3769297705296202E-2</v>
      </c>
      <c r="D2037" s="2">
        <v>1.07738595637361E-2</v>
      </c>
      <c r="E2037" s="2">
        <v>2.3833800662758E-2</v>
      </c>
      <c r="F2037" s="2">
        <v>2.2744627277476899E-2</v>
      </c>
    </row>
    <row r="2038" spans="1:6" x14ac:dyDescent="0.25">
      <c r="A2038" s="1" t="str">
        <f t="shared" si="75"/>
        <v>12420</v>
      </c>
      <c r="B2038" s="1" t="str">
        <f>"78701"</f>
        <v>78701</v>
      </c>
      <c r="C2038" s="2">
        <v>7.9156033985471105E-3</v>
      </c>
      <c r="D2038" s="2">
        <v>4.2520242467147397E-2</v>
      </c>
      <c r="E2038" s="2">
        <v>1.8098394086158501E-2</v>
      </c>
      <c r="F2038" s="2">
        <v>1.09280450960965E-2</v>
      </c>
    </row>
    <row r="2039" spans="1:6" x14ac:dyDescent="0.25">
      <c r="A2039" s="1" t="str">
        <f t="shared" si="75"/>
        <v>12420</v>
      </c>
      <c r="B2039" s="1" t="str">
        <f>"78702"</f>
        <v>78702</v>
      </c>
      <c r="C2039" s="2">
        <v>1.38483950762131E-2</v>
      </c>
      <c r="D2039" s="2">
        <v>1.9954869253572802E-2</v>
      </c>
      <c r="E2039" s="2">
        <v>2.2399949018608201E-2</v>
      </c>
      <c r="F2039" s="2">
        <v>1.45651934599476E-2</v>
      </c>
    </row>
    <row r="2040" spans="1:6" x14ac:dyDescent="0.25">
      <c r="A2040" s="1" t="str">
        <f t="shared" si="75"/>
        <v>12420</v>
      </c>
      <c r="B2040" s="1" t="str">
        <f>"78652"</f>
        <v>78652</v>
      </c>
      <c r="C2040" s="2">
        <v>3.2352682368814701E-3</v>
      </c>
      <c r="D2040" s="2">
        <v>4.9444714835626697E-3</v>
      </c>
      <c r="E2040" s="2">
        <v>2.5490695895997902E-3</v>
      </c>
      <c r="F2040" s="2">
        <v>3.35145354881886E-3</v>
      </c>
    </row>
    <row r="2041" spans="1:6" x14ac:dyDescent="0.25">
      <c r="A2041" s="1" t="str">
        <f t="shared" si="75"/>
        <v>12420</v>
      </c>
      <c r="B2041" s="1" t="str">
        <f>"78719"</f>
        <v>78719</v>
      </c>
      <c r="C2041" s="2">
        <v>6.1987309222812103E-4</v>
      </c>
      <c r="D2041" s="2">
        <v>1.89150922525551E-3</v>
      </c>
      <c r="E2041" s="2">
        <v>3.3137904664797299E-3</v>
      </c>
      <c r="F2041" s="2">
        <v>7.94179164722718E-4</v>
      </c>
    </row>
    <row r="2042" spans="1:6" x14ac:dyDescent="0.25">
      <c r="A2042" s="1" t="str">
        <f t="shared" si="75"/>
        <v>12420</v>
      </c>
      <c r="B2042" s="1" t="str">
        <f>"78616"</f>
        <v>78616</v>
      </c>
      <c r="C2042" s="2">
        <v>3.5950683913608802E-3</v>
      </c>
      <c r="D2042" s="2">
        <v>4.9776558559355699E-4</v>
      </c>
      <c r="E2042" s="2">
        <v>3.1226102472597501E-3</v>
      </c>
      <c r="F2042" s="2">
        <v>3.3374745976246199E-3</v>
      </c>
    </row>
    <row r="2043" spans="1:6" x14ac:dyDescent="0.25">
      <c r="A2043" s="1" t="str">
        <f t="shared" si="75"/>
        <v>12420</v>
      </c>
      <c r="B2043" s="1" t="str">
        <f>"76574"</f>
        <v>76574</v>
      </c>
      <c r="C2043" s="2">
        <v>8.01435289746673E-3</v>
      </c>
      <c r="D2043" s="2">
        <v>8.7496128489889802E-3</v>
      </c>
      <c r="E2043" s="2">
        <v>6.2770838643894898E-3</v>
      </c>
      <c r="F2043" s="2">
        <v>8.0247916699429794E-3</v>
      </c>
    </row>
    <row r="2044" spans="1:6" x14ac:dyDescent="0.25">
      <c r="A2044" s="1" t="str">
        <f t="shared" si="75"/>
        <v>12420</v>
      </c>
      <c r="B2044" s="1" t="str">
        <f>"78735"</f>
        <v>78735</v>
      </c>
      <c r="C2044" s="2">
        <v>1.02191065614642E-2</v>
      </c>
      <c r="D2044" s="2">
        <v>9.92212733949825E-3</v>
      </c>
      <c r="E2044" s="2">
        <v>8.9854703033392797E-3</v>
      </c>
      <c r="F2044" s="2">
        <v>1.0161823833762299E-2</v>
      </c>
    </row>
    <row r="2045" spans="1:6" x14ac:dyDescent="0.25">
      <c r="A2045" s="1" t="str">
        <f t="shared" si="75"/>
        <v>12420</v>
      </c>
      <c r="B2045" s="1" t="str">
        <f>"78738"</f>
        <v>78738</v>
      </c>
      <c r="C2045" s="2">
        <v>1.20640600709823E-2</v>
      </c>
      <c r="D2045" s="2">
        <v>1.2079111543737E-2</v>
      </c>
      <c r="E2045" s="2">
        <v>8.4437930155493203E-3</v>
      </c>
      <c r="F2045" s="2">
        <v>1.1965982222268801E-2</v>
      </c>
    </row>
    <row r="2046" spans="1:6" x14ac:dyDescent="0.25">
      <c r="A2046" s="1" t="str">
        <f t="shared" si="75"/>
        <v>12420</v>
      </c>
      <c r="B2046" s="1" t="str">
        <f>"78724"</f>
        <v>78724</v>
      </c>
      <c r="C2046" s="2">
        <v>9.4770187428504307E-3</v>
      </c>
      <c r="D2046" s="2">
        <v>3.44011326932436E-3</v>
      </c>
      <c r="E2046" s="2">
        <v>6.2133571246495E-3</v>
      </c>
      <c r="F2046" s="2">
        <v>8.9107077018778895E-3</v>
      </c>
    </row>
    <row r="2047" spans="1:6" x14ac:dyDescent="0.25">
      <c r="A2047" s="1" t="str">
        <f t="shared" si="75"/>
        <v>12420</v>
      </c>
      <c r="B2047" s="1" t="str">
        <f>"78726"</f>
        <v>78726</v>
      </c>
      <c r="C2047" s="2">
        <v>6.6318599125920197E-3</v>
      </c>
      <c r="D2047" s="2">
        <v>4.5351975576301898E-3</v>
      </c>
      <c r="E2047" s="2">
        <v>2.7083864389497799E-3</v>
      </c>
      <c r="F2047" s="2">
        <v>6.3586754244795802E-3</v>
      </c>
    </row>
    <row r="2048" spans="1:6" x14ac:dyDescent="0.25">
      <c r="A2048" s="1" t="str">
        <f t="shared" ref="A2048:A2079" si="76">"12420"</f>
        <v>12420</v>
      </c>
      <c r="B2048" s="1" t="str">
        <f>"78132"</f>
        <v>78132</v>
      </c>
      <c r="C2048" s="2">
        <v>1.9554356221707201E-6</v>
      </c>
      <c r="D2048" s="2">
        <v>0</v>
      </c>
      <c r="E2048" s="2">
        <v>0</v>
      </c>
      <c r="F2048" s="2">
        <v>1.7473688992799001E-6</v>
      </c>
    </row>
    <row r="2049" spans="1:6" x14ac:dyDescent="0.25">
      <c r="A2049" s="1" t="str">
        <f t="shared" si="76"/>
        <v>12420</v>
      </c>
      <c r="B2049" s="1" t="str">
        <f>"78636"</f>
        <v>78636</v>
      </c>
      <c r="C2049" s="2">
        <v>9.7771781108536408E-7</v>
      </c>
      <c r="D2049" s="2">
        <v>0</v>
      </c>
      <c r="E2049" s="2">
        <v>0</v>
      </c>
      <c r="F2049" s="2">
        <v>8.7368444963995395E-7</v>
      </c>
    </row>
    <row r="2050" spans="1:6" x14ac:dyDescent="0.25">
      <c r="A2050" s="1" t="str">
        <f t="shared" si="76"/>
        <v>12420</v>
      </c>
      <c r="B2050" s="1" t="str">
        <f>"78772"</f>
        <v>78772</v>
      </c>
      <c r="C2050" s="2">
        <v>0</v>
      </c>
      <c r="D2050" s="2">
        <v>1.10614574576346E-5</v>
      </c>
      <c r="E2050" s="2">
        <v>0</v>
      </c>
      <c r="F2050" s="2">
        <v>8.7368444963995395E-7</v>
      </c>
    </row>
    <row r="2051" spans="1:6" x14ac:dyDescent="0.25">
      <c r="A2051" s="1" t="str">
        <f t="shared" si="76"/>
        <v>12420</v>
      </c>
      <c r="B2051" s="1" t="str">
        <f>"78941"</f>
        <v>78941</v>
      </c>
      <c r="C2051" s="2">
        <v>6.2573939909463301E-5</v>
      </c>
      <c r="D2051" s="2">
        <v>0</v>
      </c>
      <c r="E2051" s="2">
        <v>3.1863369869997399E-5</v>
      </c>
      <c r="F2051" s="2">
        <v>5.6789489226596999E-5</v>
      </c>
    </row>
    <row r="2052" spans="1:6" x14ac:dyDescent="0.25">
      <c r="A2052" s="1" t="str">
        <f t="shared" si="76"/>
        <v>12420</v>
      </c>
      <c r="B2052" s="1" t="str">
        <f>"78760"</f>
        <v>78760</v>
      </c>
      <c r="C2052" s="2">
        <v>1.25050108037818E-3</v>
      </c>
      <c r="D2052" s="2">
        <v>3.9157559400026503E-3</v>
      </c>
      <c r="E2052" s="2">
        <v>3.1863369869997399E-5</v>
      </c>
      <c r="F2052" s="2">
        <v>1.42760039071168E-3</v>
      </c>
    </row>
    <row r="2053" spans="1:6" x14ac:dyDescent="0.25">
      <c r="A2053" s="1" t="str">
        <f t="shared" si="76"/>
        <v>12420</v>
      </c>
      <c r="B2053" s="1" t="str">
        <f>"78663"</f>
        <v>78663</v>
      </c>
      <c r="C2053" s="2">
        <v>3.2264687765817003E-5</v>
      </c>
      <c r="D2053" s="2">
        <v>1.10614574576346E-5</v>
      </c>
      <c r="E2053" s="2">
        <v>0</v>
      </c>
      <c r="F2053" s="2">
        <v>2.9705271287758399E-5</v>
      </c>
    </row>
    <row r="2054" spans="1:6" x14ac:dyDescent="0.25">
      <c r="A2054" s="1" t="str">
        <f t="shared" si="76"/>
        <v>12420</v>
      </c>
      <c r="B2054" s="1" t="str">
        <f>"78720"</f>
        <v>78720</v>
      </c>
      <c r="C2054" s="2">
        <v>1.6210561307795301E-3</v>
      </c>
      <c r="D2054" s="2">
        <v>1.0740675191363199E-2</v>
      </c>
      <c r="E2054" s="2">
        <v>3.1863369869997399E-5</v>
      </c>
      <c r="F2054" s="2">
        <v>2.2977901025530798E-3</v>
      </c>
    </row>
    <row r="2055" spans="1:6" x14ac:dyDescent="0.25">
      <c r="A2055" s="1" t="str">
        <f t="shared" si="76"/>
        <v>12420</v>
      </c>
      <c r="B2055" s="1" t="str">
        <f>"78646"</f>
        <v>78646</v>
      </c>
      <c r="C2055" s="2">
        <v>1.22801357072321E-3</v>
      </c>
      <c r="D2055" s="2">
        <v>4.8449183664439604E-3</v>
      </c>
      <c r="E2055" s="2">
        <v>6.3726739739994906E-5</v>
      </c>
      <c r="F2055" s="2">
        <v>1.48176882658936E-3</v>
      </c>
    </row>
    <row r="2056" spans="1:6" x14ac:dyDescent="0.25">
      <c r="A2056" s="1" t="str">
        <f t="shared" si="76"/>
        <v>12420</v>
      </c>
      <c r="B2056" s="1" t="str">
        <f>"76537"</f>
        <v>76537</v>
      </c>
      <c r="C2056" s="2">
        <v>4.58647425180144E-3</v>
      </c>
      <c r="D2056" s="2">
        <v>1.82514048050971E-3</v>
      </c>
      <c r="E2056" s="2">
        <v>2.1667091511598201E-3</v>
      </c>
      <c r="F2056" s="2">
        <v>4.3020222300271301E-3</v>
      </c>
    </row>
    <row r="2057" spans="1:6" x14ac:dyDescent="0.25">
      <c r="A2057" s="1" t="str">
        <f t="shared" si="76"/>
        <v>12420</v>
      </c>
      <c r="B2057" s="1" t="str">
        <f>"78737"</f>
        <v>78737</v>
      </c>
      <c r="C2057" s="2">
        <v>8.0769268373761909E-3</v>
      </c>
      <c r="D2057" s="2">
        <v>4.98871731339321E-3</v>
      </c>
      <c r="E2057" s="2">
        <v>4.4290084119296396E-3</v>
      </c>
      <c r="F2057" s="2">
        <v>7.7329810637632298E-3</v>
      </c>
    </row>
    <row r="2058" spans="1:6" x14ac:dyDescent="0.25">
      <c r="A2058" s="1" t="str">
        <f t="shared" si="76"/>
        <v>12420</v>
      </c>
      <c r="B2058" s="1" t="str">
        <f>"78745"</f>
        <v>78745</v>
      </c>
      <c r="C2058" s="2">
        <v>2.87752128980533E-2</v>
      </c>
      <c r="D2058" s="2">
        <v>2.30631387991681E-2</v>
      </c>
      <c r="E2058" s="2">
        <v>2.78485852663777E-2</v>
      </c>
      <c r="F2058" s="2">
        <v>2.8298639323838099E-2</v>
      </c>
    </row>
    <row r="2059" spans="1:6" x14ac:dyDescent="0.25">
      <c r="A2059" s="1" t="str">
        <f t="shared" si="76"/>
        <v>12420</v>
      </c>
      <c r="B2059" s="1" t="str">
        <f>"78731"</f>
        <v>78731</v>
      </c>
      <c r="C2059" s="2">
        <v>1.34846840504893E-2</v>
      </c>
      <c r="D2059" s="2">
        <v>1.7200566346621801E-2</v>
      </c>
      <c r="E2059" s="2">
        <v>1.29683915370889E-2</v>
      </c>
      <c r="F2059" s="2">
        <v>1.3764024819627799E-2</v>
      </c>
    </row>
    <row r="2060" spans="1:6" x14ac:dyDescent="0.25">
      <c r="A2060" s="1" t="str">
        <f t="shared" si="76"/>
        <v>12420</v>
      </c>
      <c r="B2060" s="1" t="str">
        <f>"78766"</f>
        <v>78766</v>
      </c>
      <c r="C2060" s="2">
        <v>1.6934072487998499E-3</v>
      </c>
      <c r="D2060" s="2">
        <v>5.6966505906818196E-3</v>
      </c>
      <c r="E2060" s="2">
        <v>3.1863369869997399E-5</v>
      </c>
      <c r="F2060" s="2">
        <v>1.9640426427906098E-3</v>
      </c>
    </row>
    <row r="2061" spans="1:6" x14ac:dyDescent="0.25">
      <c r="A2061" s="1" t="str">
        <f t="shared" si="76"/>
        <v>12420</v>
      </c>
      <c r="B2061" s="1" t="str">
        <f>"78725"</f>
        <v>78725</v>
      </c>
      <c r="C2061" s="2">
        <v>3.6077787229049901E-3</v>
      </c>
      <c r="D2061" s="2">
        <v>6.08380160169903E-4</v>
      </c>
      <c r="E2061" s="2">
        <v>1.08335457557991E-3</v>
      </c>
      <c r="F2061" s="2">
        <v>3.3016535351893801E-3</v>
      </c>
    </row>
    <row r="2062" spans="1:6" x14ac:dyDescent="0.25">
      <c r="A2062" s="1" t="str">
        <f t="shared" si="76"/>
        <v>12420</v>
      </c>
      <c r="B2062" s="1" t="str">
        <f>"78755"</f>
        <v>78755</v>
      </c>
      <c r="C2062" s="2">
        <v>2.1187144966219799E-3</v>
      </c>
      <c r="D2062" s="2">
        <v>7.2010088049201297E-3</v>
      </c>
      <c r="E2062" s="2">
        <v>3.1863369869997399E-5</v>
      </c>
      <c r="F2062" s="2">
        <v>2.4629164635350301E-3</v>
      </c>
    </row>
    <row r="2063" spans="1:6" x14ac:dyDescent="0.25">
      <c r="A2063" s="1" t="str">
        <f t="shared" si="76"/>
        <v>12420</v>
      </c>
      <c r="B2063" s="1" t="str">
        <f>"78683"</f>
        <v>78683</v>
      </c>
      <c r="C2063" s="2">
        <v>1.9388144193822701E-3</v>
      </c>
      <c r="D2063" s="2">
        <v>5.8293880801734404E-3</v>
      </c>
      <c r="E2063" s="2">
        <v>3.1863369869997399E-5</v>
      </c>
      <c r="F2063" s="2">
        <v>2.1938216530459202E-3</v>
      </c>
    </row>
    <row r="2064" spans="1:6" x14ac:dyDescent="0.25">
      <c r="A2064" s="1" t="str">
        <f t="shared" si="76"/>
        <v>12420</v>
      </c>
      <c r="B2064" s="1" t="str">
        <f>"78662"</f>
        <v>78662</v>
      </c>
      <c r="C2064" s="2">
        <v>1.0285591372618001E-3</v>
      </c>
      <c r="D2064" s="2">
        <v>2.6547497898323001E-4</v>
      </c>
      <c r="E2064" s="2">
        <v>2.13484578128982E-3</v>
      </c>
      <c r="F2064" s="2">
        <v>9.9862132593846794E-4</v>
      </c>
    </row>
    <row r="2065" spans="1:6" x14ac:dyDescent="0.25">
      <c r="A2065" s="1" t="str">
        <f t="shared" si="76"/>
        <v>12420</v>
      </c>
      <c r="B2065" s="1" t="str">
        <f>"78708"</f>
        <v>78708</v>
      </c>
      <c r="C2065" s="2">
        <v>1.3629386286529901E-3</v>
      </c>
      <c r="D2065" s="2">
        <v>6.3824609530551699E-3</v>
      </c>
      <c r="E2065" s="2">
        <v>3.1863369869997399E-5</v>
      </c>
      <c r="F2065" s="2">
        <v>1.7229057346899901E-3</v>
      </c>
    </row>
    <row r="2066" spans="1:6" x14ac:dyDescent="0.25">
      <c r="A2066" s="1" t="str">
        <f t="shared" si="76"/>
        <v>12420</v>
      </c>
      <c r="B2066" s="1" t="str">
        <f>"78655"</f>
        <v>78655</v>
      </c>
      <c r="C2066" s="2">
        <v>1.28081033252182E-3</v>
      </c>
      <c r="D2066" s="2">
        <v>7.0793327728861503E-4</v>
      </c>
      <c r="E2066" s="2">
        <v>1.5931684934998699E-4</v>
      </c>
      <c r="F2066" s="2">
        <v>1.20481085605349E-3</v>
      </c>
    </row>
    <row r="2067" spans="1:6" x14ac:dyDescent="0.25">
      <c r="A2067" s="1" t="str">
        <f t="shared" si="76"/>
        <v>12420</v>
      </c>
      <c r="B2067" s="1" t="str">
        <f>"78656"</f>
        <v>78656</v>
      </c>
      <c r="C2067" s="2">
        <v>9.4545312331954703E-4</v>
      </c>
      <c r="D2067" s="2">
        <v>3.0972080881376898E-4</v>
      </c>
      <c r="E2067" s="2">
        <v>3.1863369869997399E-4</v>
      </c>
      <c r="F2067" s="2">
        <v>8.7805287188815395E-4</v>
      </c>
    </row>
    <row r="2068" spans="1:6" x14ac:dyDescent="0.25">
      <c r="A2068" s="1" t="str">
        <f t="shared" si="76"/>
        <v>12420</v>
      </c>
      <c r="B2068" s="1" t="str">
        <f>"78615"</f>
        <v>78615</v>
      </c>
      <c r="C2068" s="2">
        <v>6.3747201282765705E-4</v>
      </c>
      <c r="D2068" s="2">
        <v>1.99106234237423E-4</v>
      </c>
      <c r="E2068" s="2">
        <v>7.9658424674993605E-4</v>
      </c>
      <c r="F2068" s="2">
        <v>6.0721069249976799E-4</v>
      </c>
    </row>
    <row r="2069" spans="1:6" x14ac:dyDescent="0.25">
      <c r="A2069" s="1" t="str">
        <f t="shared" si="76"/>
        <v>12420</v>
      </c>
      <c r="B2069" s="1" t="str">
        <f>"78617"</f>
        <v>78617</v>
      </c>
      <c r="C2069" s="2">
        <v>7.9918653878117592E-3</v>
      </c>
      <c r="D2069" s="2">
        <v>3.3958674394938201E-3</v>
      </c>
      <c r="E2069" s="2">
        <v>2.18582717308182E-2</v>
      </c>
      <c r="F2069" s="2">
        <v>8.0090653498494594E-3</v>
      </c>
    </row>
    <row r="2070" spans="1:6" x14ac:dyDescent="0.25">
      <c r="A2070" s="1" t="str">
        <f t="shared" si="76"/>
        <v>12420</v>
      </c>
      <c r="B2070" s="1" t="str">
        <f>"78130"</f>
        <v>78130</v>
      </c>
      <c r="C2070" s="2">
        <v>1.75989205995365E-5</v>
      </c>
      <c r="D2070" s="2">
        <v>0</v>
      </c>
      <c r="E2070" s="2">
        <v>3.1863369869997399E-5</v>
      </c>
      <c r="F2070" s="2">
        <v>1.6600004543159099E-5</v>
      </c>
    </row>
    <row r="2071" spans="1:6" x14ac:dyDescent="0.25">
      <c r="A2071" s="1" t="str">
        <f t="shared" si="76"/>
        <v>12420</v>
      </c>
      <c r="B2071" s="1" t="str">
        <f>"78667"</f>
        <v>78667</v>
      </c>
      <c r="C2071" s="2">
        <v>1.24267933788949E-3</v>
      </c>
      <c r="D2071" s="2">
        <v>5.4754214415291304E-3</v>
      </c>
      <c r="E2071" s="2">
        <v>9.5590109609992304E-5</v>
      </c>
      <c r="F2071" s="2">
        <v>1.54554779141307E-3</v>
      </c>
    </row>
    <row r="2072" spans="1:6" x14ac:dyDescent="0.25">
      <c r="A2072" s="1" t="str">
        <f t="shared" si="76"/>
        <v>12420</v>
      </c>
      <c r="B2072" s="1" t="str">
        <f>"78705"</f>
        <v>78705</v>
      </c>
      <c r="C2072" s="2">
        <v>1.54254539054937E-2</v>
      </c>
      <c r="D2072" s="2">
        <v>1.7344365293571001E-2</v>
      </c>
      <c r="E2072" s="2">
        <v>4.2792505735406501E-2</v>
      </c>
      <c r="F2072" s="2">
        <v>1.6327414994871399E-2</v>
      </c>
    </row>
    <row r="2073" spans="1:6" x14ac:dyDescent="0.25">
      <c r="A2073" s="1" t="str">
        <f t="shared" si="76"/>
        <v>12420</v>
      </c>
      <c r="B2073" s="1" t="str">
        <f>"78717"</f>
        <v>78717</v>
      </c>
      <c r="C2073" s="2">
        <v>1.44066719463428E-2</v>
      </c>
      <c r="D2073" s="2">
        <v>9.1257024025485495E-3</v>
      </c>
      <c r="E2073" s="2">
        <v>3.34565383634973E-3</v>
      </c>
      <c r="F2073" s="2">
        <v>1.3686266903609801E-2</v>
      </c>
    </row>
    <row r="2074" spans="1:6" x14ac:dyDescent="0.25">
      <c r="A2074" s="1" t="str">
        <f t="shared" si="76"/>
        <v>12420</v>
      </c>
      <c r="B2074" s="1" t="str">
        <f>"78659"</f>
        <v>78659</v>
      </c>
      <c r="C2074" s="2">
        <v>1.3619609108419101E-3</v>
      </c>
      <c r="D2074" s="2">
        <v>1.76983319322153E-4</v>
      </c>
      <c r="E2074" s="2">
        <v>2.1667091511598201E-3</v>
      </c>
      <c r="F2074" s="2">
        <v>1.29043193211821E-3</v>
      </c>
    </row>
    <row r="2075" spans="1:6" x14ac:dyDescent="0.25">
      <c r="A2075" s="1" t="str">
        <f t="shared" si="76"/>
        <v>12420</v>
      </c>
      <c r="B2075" s="1" t="str">
        <f>"78709"</f>
        <v>78709</v>
      </c>
      <c r="C2075" s="2">
        <v>9.4447540550846205E-4</v>
      </c>
      <c r="D2075" s="2">
        <v>9.0925180301756493E-3</v>
      </c>
      <c r="E2075" s="2">
        <v>3.1863369869997399E-5</v>
      </c>
      <c r="F2075" s="2">
        <v>1.56302148040587E-3</v>
      </c>
    </row>
    <row r="2076" spans="1:6" x14ac:dyDescent="0.25">
      <c r="A2076" s="1" t="str">
        <f t="shared" si="76"/>
        <v>12420</v>
      </c>
      <c r="B2076" s="1" t="str">
        <f>"78602"</f>
        <v>78602</v>
      </c>
      <c r="C2076" s="2">
        <v>1.44115605353982E-2</v>
      </c>
      <c r="D2076" s="2">
        <v>1.72337507189947E-2</v>
      </c>
      <c r="E2076" s="2">
        <v>2.3610757073668099E-2</v>
      </c>
      <c r="F2076" s="2">
        <v>1.4886709337415101E-2</v>
      </c>
    </row>
    <row r="2077" spans="1:6" x14ac:dyDescent="0.25">
      <c r="A2077" s="1" t="str">
        <f t="shared" si="76"/>
        <v>12420</v>
      </c>
      <c r="B2077" s="1" t="str">
        <f>"78610"</f>
        <v>78610</v>
      </c>
      <c r="C2077" s="2">
        <v>1.6895941493366099E-2</v>
      </c>
      <c r="D2077" s="2">
        <v>1.3904252024246701E-2</v>
      </c>
      <c r="E2077" s="2">
        <v>1.2076217180729E-2</v>
      </c>
      <c r="F2077" s="2">
        <v>1.6527488733839E-2</v>
      </c>
    </row>
    <row r="2078" spans="1:6" x14ac:dyDescent="0.25">
      <c r="A2078" s="1" t="str">
        <f t="shared" si="76"/>
        <v>12420</v>
      </c>
      <c r="B2078" s="1" t="str">
        <f>"78626"</f>
        <v>78626</v>
      </c>
      <c r="C2078" s="2">
        <v>1.6611425610340302E-2</v>
      </c>
      <c r="D2078" s="2">
        <v>1.67581080483164E-2</v>
      </c>
      <c r="E2078" s="2">
        <v>1.6218455263828702E-2</v>
      </c>
      <c r="F2078" s="2">
        <v>1.6612236125454E-2</v>
      </c>
    </row>
    <row r="2079" spans="1:6" x14ac:dyDescent="0.25">
      <c r="A2079" s="1" t="str">
        <f t="shared" si="76"/>
        <v>12420</v>
      </c>
      <c r="B2079" s="1" t="str">
        <f>"78630"</f>
        <v>78630</v>
      </c>
      <c r="C2079" s="2">
        <v>1.9896557455587102E-3</v>
      </c>
      <c r="D2079" s="2">
        <v>9.3801159240741502E-3</v>
      </c>
      <c r="E2079" s="2">
        <v>3.1863369869997399E-5</v>
      </c>
      <c r="F2079" s="2">
        <v>2.5197059527616202E-3</v>
      </c>
    </row>
    <row r="2080" spans="1:6" x14ac:dyDescent="0.25">
      <c r="A2080" s="1" t="str">
        <f t="shared" ref="A2080:A2111" si="77">"12420"</f>
        <v>12420</v>
      </c>
      <c r="B2080" s="1" t="str">
        <f>"78710"</f>
        <v>78710</v>
      </c>
      <c r="C2080" s="2">
        <v>0</v>
      </c>
      <c r="D2080" s="2">
        <v>2.2122914915269199E-5</v>
      </c>
      <c r="E2080" s="2">
        <v>0</v>
      </c>
      <c r="F2080" s="2">
        <v>1.7473688992799001E-6</v>
      </c>
    </row>
    <row r="2081" spans="1:6" x14ac:dyDescent="0.25">
      <c r="A2081" s="1" t="str">
        <f t="shared" si="77"/>
        <v>12420</v>
      </c>
      <c r="B2081" s="1" t="str">
        <f>"78691"</f>
        <v>78691</v>
      </c>
      <c r="C2081" s="2">
        <v>2.07862806636748E-3</v>
      </c>
      <c r="D2081" s="2">
        <v>7.0129640281403399E-3</v>
      </c>
      <c r="E2081" s="2">
        <v>3.1863369869997399E-5</v>
      </c>
      <c r="F2081" s="2">
        <v>2.4122427654559098E-3</v>
      </c>
    </row>
    <row r="2082" spans="1:6" x14ac:dyDescent="0.25">
      <c r="A2082" s="1" t="str">
        <f t="shared" si="77"/>
        <v>12420</v>
      </c>
      <c r="B2082" s="1" t="str">
        <f>"76578"</f>
        <v>76578</v>
      </c>
      <c r="C2082" s="2">
        <v>6.12051349739438E-4</v>
      </c>
      <c r="D2082" s="2">
        <v>1.4379894694924999E-4</v>
      </c>
      <c r="E2082" s="2">
        <v>3.5049706856997101E-4</v>
      </c>
      <c r="F2082" s="2">
        <v>5.6789489226596998E-4</v>
      </c>
    </row>
    <row r="2083" spans="1:6" x14ac:dyDescent="0.25">
      <c r="A2083" s="1" t="str">
        <f t="shared" si="77"/>
        <v>12420</v>
      </c>
      <c r="B2083" s="1" t="str">
        <f>"76530"</f>
        <v>76530</v>
      </c>
      <c r="C2083" s="2">
        <v>9.0927756430938904E-4</v>
      </c>
      <c r="D2083" s="2">
        <v>3.2078226627140302E-4</v>
      </c>
      <c r="E2083" s="2">
        <v>9.877644659699199E-4</v>
      </c>
      <c r="F2083" s="2">
        <v>8.6494760514355497E-4</v>
      </c>
    </row>
    <row r="2084" spans="1:6" x14ac:dyDescent="0.25">
      <c r="A2084" s="1" t="str">
        <f t="shared" si="77"/>
        <v>12420</v>
      </c>
      <c r="B2084" s="1" t="str">
        <f>"78736"</f>
        <v>78736</v>
      </c>
      <c r="C2084" s="2">
        <v>4.44470516919406E-3</v>
      </c>
      <c r="D2084" s="2">
        <v>2.53307375779832E-3</v>
      </c>
      <c r="E2084" s="2">
        <v>5.6398164669895397E-3</v>
      </c>
      <c r="F2084" s="2">
        <v>4.3264853946170497E-3</v>
      </c>
    </row>
    <row r="2085" spans="1:6" x14ac:dyDescent="0.25">
      <c r="A2085" s="1" t="str">
        <f t="shared" si="77"/>
        <v>12420</v>
      </c>
      <c r="B2085" s="1" t="str">
        <f>"78741"</f>
        <v>78741</v>
      </c>
      <c r="C2085" s="2">
        <v>2.5344401098954802E-2</v>
      </c>
      <c r="D2085" s="2">
        <v>1.0685367904075E-2</v>
      </c>
      <c r="E2085" s="2">
        <v>2.67015039510578E-2</v>
      </c>
      <c r="F2085" s="2">
        <v>2.4223775050717301E-2</v>
      </c>
    </row>
    <row r="2086" spans="1:6" x14ac:dyDescent="0.25">
      <c r="A2086" s="1" t="str">
        <f t="shared" si="77"/>
        <v>12420</v>
      </c>
      <c r="B2086" s="1" t="str">
        <f>"78749"</f>
        <v>78749</v>
      </c>
      <c r="C2086" s="2">
        <v>1.61870960803292E-2</v>
      </c>
      <c r="D2086" s="2">
        <v>4.6789965045794402E-3</v>
      </c>
      <c r="E2086" s="2">
        <v>1.0578638796839099E-2</v>
      </c>
      <c r="F2086" s="2">
        <v>1.5124351507717199E-2</v>
      </c>
    </row>
    <row r="2087" spans="1:6" x14ac:dyDescent="0.25">
      <c r="A2087" s="1" t="str">
        <f t="shared" si="77"/>
        <v>12420</v>
      </c>
      <c r="B2087" s="1" t="str">
        <f>"78730"</f>
        <v>78730</v>
      </c>
      <c r="C2087" s="2">
        <v>4.2178746370222604E-3</v>
      </c>
      <c r="D2087" s="2">
        <v>4.3692756957656696E-3</v>
      </c>
      <c r="E2087" s="2">
        <v>2.9632933979097599E-3</v>
      </c>
      <c r="F2087" s="2">
        <v>4.1954327271710602E-3</v>
      </c>
    </row>
    <row r="2088" spans="1:6" x14ac:dyDescent="0.25">
      <c r="A2088" s="1" t="str">
        <f t="shared" si="77"/>
        <v>12420</v>
      </c>
      <c r="B2088" s="1" t="str">
        <f>"78752"</f>
        <v>78752</v>
      </c>
      <c r="C2088" s="2">
        <v>9.2511659284897092E-3</v>
      </c>
      <c r="D2088" s="2">
        <v>1.6769169505774E-2</v>
      </c>
      <c r="E2088" s="2">
        <v>1.8926841702778401E-2</v>
      </c>
      <c r="F2088" s="2">
        <v>1.01102764512335E-2</v>
      </c>
    </row>
    <row r="2089" spans="1:6" x14ac:dyDescent="0.25">
      <c r="A2089" s="1" t="str">
        <f t="shared" si="77"/>
        <v>12420</v>
      </c>
      <c r="B2089" s="1" t="str">
        <f>"78754"</f>
        <v>78754</v>
      </c>
      <c r="C2089" s="2">
        <v>1.09582612266447E-2</v>
      </c>
      <c r="D2089" s="2">
        <v>1.3804698907128E-2</v>
      </c>
      <c r="E2089" s="2">
        <v>8.1888860565893402E-3</v>
      </c>
      <c r="F2089" s="2">
        <v>1.11071504082727E-2</v>
      </c>
    </row>
    <row r="2090" spans="1:6" x14ac:dyDescent="0.25">
      <c r="A2090" s="1" t="str">
        <f t="shared" si="77"/>
        <v>12420</v>
      </c>
      <c r="B2090" s="1" t="str">
        <f>"78756"</f>
        <v>78756</v>
      </c>
      <c r="C2090" s="2">
        <v>4.7204215919201403E-3</v>
      </c>
      <c r="D2090" s="2">
        <v>1.03314012654307E-2</v>
      </c>
      <c r="E2090" s="2">
        <v>1.01962783583991E-2</v>
      </c>
      <c r="F2090" s="2">
        <v>5.3137488227102004E-3</v>
      </c>
    </row>
    <row r="2091" spans="1:6" x14ac:dyDescent="0.25">
      <c r="A2091" s="1" t="str">
        <f t="shared" si="77"/>
        <v>12420</v>
      </c>
      <c r="B2091" s="1" t="str">
        <f>"78764"</f>
        <v>78764</v>
      </c>
      <c r="C2091" s="2">
        <v>4.3997301498841402E-4</v>
      </c>
      <c r="D2091" s="2">
        <v>9.8446971372948E-4</v>
      </c>
      <c r="E2091" s="2">
        <v>3.1863369869997399E-5</v>
      </c>
      <c r="F2091" s="2">
        <v>4.7178960280557501E-4</v>
      </c>
    </row>
    <row r="2092" spans="1:6" x14ac:dyDescent="0.25">
      <c r="A2092" s="1" t="str">
        <f t="shared" si="77"/>
        <v>12420</v>
      </c>
      <c r="B2092" s="1" t="str">
        <f>"78660"</f>
        <v>78660</v>
      </c>
      <c r="C2092" s="2">
        <v>3.9369763098974303E-2</v>
      </c>
      <c r="D2092" s="2">
        <v>1.9877439051369399E-2</v>
      </c>
      <c r="E2092" s="2">
        <v>2.0520010196278301E-2</v>
      </c>
      <c r="F2092" s="2">
        <v>3.7313315475223097E-2</v>
      </c>
    </row>
    <row r="2093" spans="1:6" x14ac:dyDescent="0.25">
      <c r="A2093" s="1" t="str">
        <f t="shared" si="77"/>
        <v>12420</v>
      </c>
      <c r="B2093" s="1" t="str">
        <f>"78680"</f>
        <v>78680</v>
      </c>
      <c r="C2093" s="2">
        <v>1.21432552136802E-3</v>
      </c>
      <c r="D2093" s="2">
        <v>6.2939692933940902E-3</v>
      </c>
      <c r="E2093" s="2">
        <v>3.1863369869997399E-5</v>
      </c>
      <c r="F2093" s="2">
        <v>1.58311622274759E-3</v>
      </c>
    </row>
    <row r="2094" spans="1:6" x14ac:dyDescent="0.25">
      <c r="A2094" s="1" t="str">
        <f t="shared" si="77"/>
        <v>12420</v>
      </c>
      <c r="B2094" s="1" t="str">
        <f>"78648"</f>
        <v>78648</v>
      </c>
      <c r="C2094" s="2">
        <v>3.1648725544833199E-3</v>
      </c>
      <c r="D2094" s="2">
        <v>3.1967612052564002E-3</v>
      </c>
      <c r="E2094" s="2">
        <v>2.8358399184297699E-3</v>
      </c>
      <c r="F2094" s="2">
        <v>3.1583692854484299E-3</v>
      </c>
    </row>
    <row r="2095" spans="1:6" x14ac:dyDescent="0.25">
      <c r="A2095" s="1" t="str">
        <f t="shared" si="77"/>
        <v>12420</v>
      </c>
      <c r="B2095" s="1" t="str">
        <f>"78674"</f>
        <v>78674</v>
      </c>
      <c r="C2095" s="2">
        <v>1.9554356221707201E-6</v>
      </c>
      <c r="D2095" s="2">
        <v>1.10614574576346E-5</v>
      </c>
      <c r="E2095" s="2">
        <v>0</v>
      </c>
      <c r="F2095" s="2">
        <v>2.6210533489198599E-6</v>
      </c>
    </row>
    <row r="2096" spans="1:6" x14ac:dyDescent="0.25">
      <c r="A2096" s="1" t="str">
        <f t="shared" si="77"/>
        <v>12420</v>
      </c>
      <c r="B2096" s="1" t="str">
        <f>"78733"</f>
        <v>78733</v>
      </c>
      <c r="C2096" s="2">
        <v>3.3525943742117102E-3</v>
      </c>
      <c r="D2096" s="2">
        <v>1.32737489491615E-3</v>
      </c>
      <c r="E2096" s="2">
        <v>4.8432322202396098E-3</v>
      </c>
      <c r="F2096" s="2">
        <v>3.2335061481174698E-3</v>
      </c>
    </row>
    <row r="2097" spans="1:6" x14ac:dyDescent="0.25">
      <c r="A2097" s="1" t="str">
        <f t="shared" si="77"/>
        <v>12420</v>
      </c>
      <c r="B2097" s="1" t="str">
        <f>"78763"</f>
        <v>78763</v>
      </c>
      <c r="C2097" s="2">
        <v>8.7407972311031505E-4</v>
      </c>
      <c r="D2097" s="2">
        <v>4.6126277598336303E-3</v>
      </c>
      <c r="E2097" s="2">
        <v>3.1863369869997399E-5</v>
      </c>
      <c r="F2097" s="2">
        <v>1.14627399792762E-3</v>
      </c>
    </row>
    <row r="2098" spans="1:6" x14ac:dyDescent="0.25">
      <c r="A2098" s="1" t="str">
        <f t="shared" si="77"/>
        <v>12420</v>
      </c>
      <c r="B2098" s="1" t="str">
        <f>"78765"</f>
        <v>78765</v>
      </c>
      <c r="C2098" s="2">
        <v>1.2231249816677899E-3</v>
      </c>
      <c r="D2098" s="2">
        <v>4.0595548869518999E-3</v>
      </c>
      <c r="E2098" s="2">
        <v>3.1863369869997399E-5</v>
      </c>
      <c r="F2098" s="2">
        <v>1.4144951239670801E-3</v>
      </c>
    </row>
    <row r="2099" spans="1:6" x14ac:dyDescent="0.25">
      <c r="A2099" s="1" t="str">
        <f t="shared" si="77"/>
        <v>12420</v>
      </c>
      <c r="B2099" s="1" t="str">
        <f>"78642"</f>
        <v>78642</v>
      </c>
      <c r="C2099" s="2">
        <v>8.0290186646330107E-3</v>
      </c>
      <c r="D2099" s="2">
        <v>5.0882704305119202E-3</v>
      </c>
      <c r="E2099" s="2">
        <v>4.2378281927096598E-3</v>
      </c>
      <c r="F2099" s="2">
        <v>7.6927915790797998E-3</v>
      </c>
    </row>
    <row r="2100" spans="1:6" x14ac:dyDescent="0.25">
      <c r="A2100" s="1" t="str">
        <f t="shared" si="77"/>
        <v>12420</v>
      </c>
      <c r="B2100" s="1" t="str">
        <f>"78676"</f>
        <v>78676</v>
      </c>
      <c r="C2100" s="2">
        <v>9.3029849724772396E-3</v>
      </c>
      <c r="D2100" s="2">
        <v>1.1216317862041501E-2</v>
      </c>
      <c r="E2100" s="2">
        <v>9.2403772622992597E-3</v>
      </c>
      <c r="F2100" s="2">
        <v>9.4523920606546605E-3</v>
      </c>
    </row>
    <row r="2101" spans="1:6" x14ac:dyDescent="0.25">
      <c r="A2101" s="1" t="str">
        <f t="shared" si="77"/>
        <v>12420</v>
      </c>
      <c r="B2101" s="1" t="str">
        <f>"78703"</f>
        <v>78703</v>
      </c>
      <c r="C2101" s="2">
        <v>1.3972565238220901E-2</v>
      </c>
      <c r="D2101" s="2">
        <v>1.48776602805185E-2</v>
      </c>
      <c r="E2101" s="2">
        <v>2.97285240887076E-2</v>
      </c>
      <c r="F2101" s="2">
        <v>1.44760776460844E-2</v>
      </c>
    </row>
    <row r="2102" spans="1:6" x14ac:dyDescent="0.25">
      <c r="A2102" s="1" t="str">
        <f t="shared" si="77"/>
        <v>12420</v>
      </c>
      <c r="B2102" s="1" t="str">
        <f>"78712"</f>
        <v>78712</v>
      </c>
      <c r="C2102" s="2">
        <v>0</v>
      </c>
      <c r="D2102" s="2">
        <v>9.9774346267864199E-3</v>
      </c>
      <c r="E2102" s="2">
        <v>5.6716798368595398E-3</v>
      </c>
      <c r="F2102" s="2">
        <v>9.4357920561115099E-4</v>
      </c>
    </row>
    <row r="2103" spans="1:6" x14ac:dyDescent="0.25">
      <c r="A2103" s="1" t="str">
        <f t="shared" si="77"/>
        <v>12420</v>
      </c>
      <c r="B2103" s="1" t="str">
        <f>"78721"</f>
        <v>78721</v>
      </c>
      <c r="C2103" s="2">
        <v>4.9257423322480601E-3</v>
      </c>
      <c r="D2103" s="2">
        <v>4.0484934294942702E-3</v>
      </c>
      <c r="E2103" s="2">
        <v>6.43640071373948E-3</v>
      </c>
      <c r="F2103" s="2">
        <v>4.89787502468158E-3</v>
      </c>
    </row>
    <row r="2104" spans="1:6" x14ac:dyDescent="0.25">
      <c r="A2104" s="1" t="str">
        <f t="shared" si="77"/>
        <v>12420</v>
      </c>
      <c r="B2104" s="1" t="str">
        <f>"78612"</f>
        <v>78612</v>
      </c>
      <c r="C2104" s="2">
        <v>5.6834736358392203E-3</v>
      </c>
      <c r="D2104" s="2">
        <v>2.4335206406796098E-3</v>
      </c>
      <c r="E2104" s="2">
        <v>1.6059138414478698E-2</v>
      </c>
      <c r="F2104" s="2">
        <v>5.7112752472963796E-3</v>
      </c>
    </row>
    <row r="2105" spans="1:6" x14ac:dyDescent="0.25">
      <c r="A2105" s="1" t="str">
        <f t="shared" si="77"/>
        <v>12420</v>
      </c>
      <c r="B2105" s="1" t="str">
        <f>"78634"</f>
        <v>78634</v>
      </c>
      <c r="C2105" s="2">
        <v>1.42707691706019E-2</v>
      </c>
      <c r="D2105" s="2">
        <v>1.1714083447635E-2</v>
      </c>
      <c r="E2105" s="2">
        <v>8.2207494264593395E-3</v>
      </c>
      <c r="F2105" s="2">
        <v>1.39029406471205E-2</v>
      </c>
    </row>
    <row r="2106" spans="1:6" x14ac:dyDescent="0.25">
      <c r="A2106" s="1" t="str">
        <f t="shared" si="77"/>
        <v>12420</v>
      </c>
      <c r="B2106" s="1" t="str">
        <f>"78633"</f>
        <v>78633</v>
      </c>
      <c r="C2106" s="2">
        <v>1.43675632338994E-2</v>
      </c>
      <c r="D2106" s="2">
        <v>3.3848059820361901E-3</v>
      </c>
      <c r="E2106" s="2">
        <v>2.0073923018098299E-3</v>
      </c>
      <c r="F2106" s="2">
        <v>1.3161182549376199E-2</v>
      </c>
    </row>
    <row r="2107" spans="1:6" x14ac:dyDescent="0.25">
      <c r="A2107" s="1" t="str">
        <f t="shared" si="77"/>
        <v>12420</v>
      </c>
      <c r="B2107" s="1" t="str">
        <f>"78778"</f>
        <v>78778</v>
      </c>
      <c r="C2107" s="2">
        <v>0</v>
      </c>
      <c r="D2107" s="2">
        <v>1.10614574576346E-5</v>
      </c>
      <c r="E2107" s="2">
        <v>0</v>
      </c>
      <c r="F2107" s="2">
        <v>8.7368444963995395E-7</v>
      </c>
    </row>
    <row r="2108" spans="1:6" x14ac:dyDescent="0.25">
      <c r="A2108" s="1" t="str">
        <f t="shared" si="77"/>
        <v>12420</v>
      </c>
      <c r="B2108" s="1" t="str">
        <f>"78774"</f>
        <v>78774</v>
      </c>
      <c r="C2108" s="2">
        <v>0</v>
      </c>
      <c r="D2108" s="2">
        <v>1.10614574576346E-5</v>
      </c>
      <c r="E2108" s="2">
        <v>0</v>
      </c>
      <c r="F2108" s="2">
        <v>8.7368444963995395E-7</v>
      </c>
    </row>
    <row r="2109" spans="1:6" x14ac:dyDescent="0.25">
      <c r="A2109" s="1" t="str">
        <f t="shared" si="77"/>
        <v>12420</v>
      </c>
      <c r="B2109" s="1" t="str">
        <f>"78661"</f>
        <v>78661</v>
      </c>
      <c r="C2109" s="2">
        <v>0</v>
      </c>
      <c r="D2109" s="2">
        <v>1.10614574576346E-5</v>
      </c>
      <c r="E2109" s="2">
        <v>0</v>
      </c>
      <c r="F2109" s="2">
        <v>8.7368444963995395E-7</v>
      </c>
    </row>
    <row r="2110" spans="1:6" x14ac:dyDescent="0.25">
      <c r="A2110" s="1" t="str">
        <f t="shared" si="77"/>
        <v>12420</v>
      </c>
      <c r="B2110" s="1" t="str">
        <f>"78767"</f>
        <v>78767</v>
      </c>
      <c r="C2110" s="2">
        <v>7.33288358314023E-4</v>
      </c>
      <c r="D2110" s="2">
        <v>4.9555329410203002E-3</v>
      </c>
      <c r="E2110" s="2">
        <v>9.5590109609992304E-5</v>
      </c>
      <c r="F2110" s="2">
        <v>1.04929502401758E-3</v>
      </c>
    </row>
    <row r="2111" spans="1:6" x14ac:dyDescent="0.25">
      <c r="A2111" s="1" t="str">
        <f t="shared" si="77"/>
        <v>12420</v>
      </c>
      <c r="B2111" s="1" t="str">
        <f>"78762"</f>
        <v>78762</v>
      </c>
      <c r="C2111" s="2">
        <v>4.3019583687756E-4</v>
      </c>
      <c r="D2111" s="2">
        <v>2.6105039600017601E-3</v>
      </c>
      <c r="E2111" s="2">
        <v>3.1863369869997399E-5</v>
      </c>
      <c r="F2111" s="2">
        <v>5.9148437240624904E-4</v>
      </c>
    </row>
    <row r="2112" spans="1:6" x14ac:dyDescent="0.25">
      <c r="A2112" s="1" t="str">
        <f t="shared" ref="A2112:A2143" si="78">"12420"</f>
        <v>12420</v>
      </c>
      <c r="B2112" s="1" t="str">
        <f>"78711"</f>
        <v>78711</v>
      </c>
      <c r="C2112" s="2">
        <v>7.6261989264658401E-4</v>
      </c>
      <c r="D2112" s="2">
        <v>2.4777664705101501E-3</v>
      </c>
      <c r="E2112" s="2">
        <v>6.3726739739994906E-5</v>
      </c>
      <c r="F2112" s="2">
        <v>8.7892655633779401E-4</v>
      </c>
    </row>
    <row r="2113" spans="1:6" x14ac:dyDescent="0.25">
      <c r="A2113" s="1" t="str">
        <f t="shared" si="78"/>
        <v>12420</v>
      </c>
      <c r="B2113" s="1" t="str">
        <f>"78641"</f>
        <v>78641</v>
      </c>
      <c r="C2113" s="2">
        <v>3.1574418991190699E-2</v>
      </c>
      <c r="D2113" s="2">
        <v>1.0707490818990299E-2</v>
      </c>
      <c r="E2113" s="2">
        <v>1.25541677287789E-2</v>
      </c>
      <c r="F2113" s="2">
        <v>2.94047238370823E-2</v>
      </c>
    </row>
    <row r="2114" spans="1:6" x14ac:dyDescent="0.25">
      <c r="A2114" s="1" t="str">
        <f t="shared" si="78"/>
        <v>12420</v>
      </c>
      <c r="B2114" s="1" t="str">
        <f>"78732"</f>
        <v>78732</v>
      </c>
      <c r="C2114" s="2">
        <v>6.7227876690229603E-3</v>
      </c>
      <c r="D2114" s="2">
        <v>1.93575505508605E-3</v>
      </c>
      <c r="E2114" s="2">
        <v>2.51720621972979E-3</v>
      </c>
      <c r="F2114" s="2">
        <v>6.2293701259328697E-3</v>
      </c>
    </row>
    <row r="2115" spans="1:6" x14ac:dyDescent="0.25">
      <c r="A2115" s="1" t="str">
        <f t="shared" si="78"/>
        <v>12420</v>
      </c>
      <c r="B2115" s="1" t="str">
        <f>"78753"</f>
        <v>78753</v>
      </c>
      <c r="C2115" s="2">
        <v>2.3122048514357701E-2</v>
      </c>
      <c r="D2115" s="2">
        <v>1.7786823591876399E-2</v>
      </c>
      <c r="E2115" s="2">
        <v>2.24318123884782E-2</v>
      </c>
      <c r="F2115" s="2">
        <v>2.2681721997102802E-2</v>
      </c>
    </row>
    <row r="2116" spans="1:6" x14ac:dyDescent="0.25">
      <c r="A2116" s="1" t="str">
        <f t="shared" si="78"/>
        <v>12420</v>
      </c>
      <c r="B2116" s="1" t="str">
        <f>"78758"</f>
        <v>78758</v>
      </c>
      <c r="C2116" s="2">
        <v>2.4133008731019999E-2</v>
      </c>
      <c r="D2116" s="2">
        <v>2.9323923720189299E-2</v>
      </c>
      <c r="E2116" s="2">
        <v>3.3520265103237301E-2</v>
      </c>
      <c r="F2116" s="2">
        <v>2.48004067874797E-2</v>
      </c>
    </row>
    <row r="2117" spans="1:6" x14ac:dyDescent="0.25">
      <c r="A2117" s="1" t="str">
        <f t="shared" si="78"/>
        <v>12420</v>
      </c>
      <c r="B2117" s="1" t="str">
        <f>"78653"</f>
        <v>78653</v>
      </c>
      <c r="C2117" s="2">
        <v>1.13552146579454E-2</v>
      </c>
      <c r="D2117" s="2">
        <v>6.2829078359364597E-3</v>
      </c>
      <c r="E2117" s="2">
        <v>9.9095080295692004E-3</v>
      </c>
      <c r="F2117" s="2">
        <v>1.09149398293519E-2</v>
      </c>
    </row>
    <row r="2118" spans="1:6" x14ac:dyDescent="0.25">
      <c r="A2118" s="1" t="str">
        <f t="shared" si="78"/>
        <v>12420</v>
      </c>
      <c r="B2118" s="1" t="str">
        <f>"78704"</f>
        <v>78704</v>
      </c>
      <c r="C2118" s="2">
        <v>3.06964283968361E-2</v>
      </c>
      <c r="D2118" s="2">
        <v>3.6502809610194198E-2</v>
      </c>
      <c r="E2118" s="2">
        <v>5.4358908998215598E-2</v>
      </c>
      <c r="F2118" s="2">
        <v>3.1803861335793597E-2</v>
      </c>
    </row>
    <row r="2119" spans="1:6" x14ac:dyDescent="0.25">
      <c r="A2119" s="1" t="str">
        <f t="shared" si="78"/>
        <v>12420</v>
      </c>
      <c r="B2119" s="1" t="str">
        <f>"78650"</f>
        <v>78650</v>
      </c>
      <c r="C2119" s="2">
        <v>5.6707633042951103E-4</v>
      </c>
      <c r="D2119" s="2">
        <v>1.10614574576346E-4</v>
      </c>
      <c r="E2119" s="2">
        <v>1.65689523323986E-3</v>
      </c>
      <c r="F2119" s="2">
        <v>5.6090541666885003E-4</v>
      </c>
    </row>
    <row r="2120" spans="1:6" x14ac:dyDescent="0.25">
      <c r="A2120" s="1" t="str">
        <f t="shared" si="78"/>
        <v>12420</v>
      </c>
      <c r="B2120" s="1" t="str">
        <f>"78619"</f>
        <v>78619</v>
      </c>
      <c r="C2120" s="2">
        <v>2.3406564397383599E-3</v>
      </c>
      <c r="D2120" s="2">
        <v>8.5173222423786505E-4</v>
      </c>
      <c r="E2120" s="2">
        <v>1.30639816466989E-3</v>
      </c>
      <c r="F2120" s="2">
        <v>2.1946953374955601E-3</v>
      </c>
    </row>
    <row r="2121" spans="1:6" x14ac:dyDescent="0.25">
      <c r="A2121" s="1" t="str">
        <f t="shared" si="78"/>
        <v>12420</v>
      </c>
      <c r="B2121" s="1" t="str">
        <f>"78621"</f>
        <v>78621</v>
      </c>
      <c r="C2121" s="2">
        <v>9.2022800379354501E-3</v>
      </c>
      <c r="D2121" s="2">
        <v>4.4798902703420199E-3</v>
      </c>
      <c r="E2121" s="2">
        <v>1.5453734386948701E-2</v>
      </c>
      <c r="F2121" s="2">
        <v>9.0006972001908103E-3</v>
      </c>
    </row>
    <row r="2122" spans="1:6" x14ac:dyDescent="0.25">
      <c r="A2122" s="1" t="str">
        <f t="shared" si="78"/>
        <v>12420</v>
      </c>
      <c r="B2122" s="1" t="str">
        <f>"78628"</f>
        <v>78628</v>
      </c>
      <c r="C2122" s="2">
        <v>1.79166788881393E-2</v>
      </c>
      <c r="D2122" s="2">
        <v>1.16477147028892E-2</v>
      </c>
      <c r="E2122" s="2">
        <v>1.45615600305888E-2</v>
      </c>
      <c r="F2122" s="2">
        <v>1.7329531058608499E-2</v>
      </c>
    </row>
    <row r="2123" spans="1:6" x14ac:dyDescent="0.25">
      <c r="A2123" s="1" t="str">
        <f t="shared" si="78"/>
        <v>12420</v>
      </c>
      <c r="B2123" s="1" t="str">
        <f>"78632"</f>
        <v>78632</v>
      </c>
      <c r="C2123" s="2">
        <v>2.8451588302584097E-4</v>
      </c>
      <c r="D2123" s="2">
        <v>2.2122914915269199E-5</v>
      </c>
      <c r="E2123" s="2">
        <v>3.1863369869997399E-5</v>
      </c>
      <c r="F2123" s="2">
        <v>2.56863228194146E-4</v>
      </c>
    </row>
    <row r="2124" spans="1:6" x14ac:dyDescent="0.25">
      <c r="A2124" s="1" t="str">
        <f t="shared" si="78"/>
        <v>12420</v>
      </c>
      <c r="B2124" s="1" t="str">
        <f>"76577"</f>
        <v>76577</v>
      </c>
      <c r="C2124" s="2">
        <v>6.2573939909463301E-5</v>
      </c>
      <c r="D2124" s="2">
        <v>2.2122914915269199E-5</v>
      </c>
      <c r="E2124" s="2">
        <v>0</v>
      </c>
      <c r="F2124" s="2">
        <v>5.7663173676237E-5</v>
      </c>
    </row>
    <row r="2125" spans="1:6" x14ac:dyDescent="0.25">
      <c r="A2125" s="1" t="str">
        <f t="shared" si="78"/>
        <v>12420</v>
      </c>
      <c r="B2125" s="1" t="str">
        <f>"78957"</f>
        <v>78957</v>
      </c>
      <c r="C2125" s="2">
        <v>4.60211773677881E-3</v>
      </c>
      <c r="D2125" s="2">
        <v>2.7985487367815499E-3</v>
      </c>
      <c r="E2125" s="2">
        <v>8.0932959469793495E-3</v>
      </c>
      <c r="F2125" s="2">
        <v>4.5553907204227201E-3</v>
      </c>
    </row>
    <row r="2126" spans="1:6" x14ac:dyDescent="0.25">
      <c r="A2126" s="1" t="str">
        <f t="shared" si="78"/>
        <v>12420</v>
      </c>
      <c r="B2126" s="1" t="str">
        <f>"78744"</f>
        <v>78744</v>
      </c>
      <c r="C2126" s="2">
        <v>1.8186529003998801E-2</v>
      </c>
      <c r="D2126" s="2">
        <v>1.2410955267466E-2</v>
      </c>
      <c r="E2126" s="2">
        <v>1.2076217180729E-2</v>
      </c>
      <c r="F2126" s="2">
        <v>1.7562804806662301E-2</v>
      </c>
    </row>
    <row r="2127" spans="1:6" x14ac:dyDescent="0.25">
      <c r="A2127" s="1" t="str">
        <f t="shared" si="78"/>
        <v>12420</v>
      </c>
      <c r="B2127" s="1" t="str">
        <f>"78746"</f>
        <v>78746</v>
      </c>
      <c r="C2127" s="2">
        <v>1.23544422608746E-2</v>
      </c>
      <c r="D2127" s="2">
        <v>3.6016105482058303E-2</v>
      </c>
      <c r="E2127" s="2">
        <v>1.8066530716288502E-2</v>
      </c>
      <c r="F2127" s="2">
        <v>1.4379972356624001E-2</v>
      </c>
    </row>
    <row r="2128" spans="1:6" x14ac:dyDescent="0.25">
      <c r="A2128" s="1" t="str">
        <f t="shared" si="78"/>
        <v>12420</v>
      </c>
      <c r="B2128" s="1" t="str">
        <f>"78751"</f>
        <v>78751</v>
      </c>
      <c r="C2128" s="2">
        <v>1.01917304627538E-2</v>
      </c>
      <c r="D2128" s="2">
        <v>8.1744170611919801E-3</v>
      </c>
      <c r="E2128" s="2">
        <v>2.2877899566658099E-2</v>
      </c>
      <c r="F2128" s="2">
        <v>1.0380244946172301E-2</v>
      </c>
    </row>
    <row r="2129" spans="1:6" x14ac:dyDescent="0.25">
      <c r="A2129" s="1" t="str">
        <f t="shared" si="78"/>
        <v>12420</v>
      </c>
      <c r="B2129" s="1" t="str">
        <f>"78757"</f>
        <v>78757</v>
      </c>
      <c r="C2129" s="2">
        <v>1.2407239022673201E-2</v>
      </c>
      <c r="D2129" s="2">
        <v>1.7333303836113399E-2</v>
      </c>
      <c r="E2129" s="2">
        <v>1.7461126688758599E-2</v>
      </c>
      <c r="F2129" s="2">
        <v>1.29348982769195E-2</v>
      </c>
    </row>
    <row r="2130" spans="1:6" x14ac:dyDescent="0.25">
      <c r="A2130" s="1" t="str">
        <f t="shared" si="78"/>
        <v>12420</v>
      </c>
      <c r="B2130" s="1" t="str">
        <f>"78673"</f>
        <v>78673</v>
      </c>
      <c r="C2130" s="2">
        <v>0</v>
      </c>
      <c r="D2130" s="2">
        <v>1.10614574576346E-5</v>
      </c>
      <c r="E2130" s="2">
        <v>0</v>
      </c>
      <c r="F2130" s="2">
        <v>8.7368444963995395E-7</v>
      </c>
    </row>
    <row r="2131" spans="1:6" x14ac:dyDescent="0.25">
      <c r="A2131" s="1" t="str">
        <f t="shared" si="78"/>
        <v>12420</v>
      </c>
      <c r="B2131" s="1" t="str">
        <f>"78682"</f>
        <v>78682</v>
      </c>
      <c r="C2131" s="2">
        <v>0</v>
      </c>
      <c r="D2131" s="2">
        <v>2.2122914915269199E-5</v>
      </c>
      <c r="E2131" s="2">
        <v>0</v>
      </c>
      <c r="F2131" s="2">
        <v>1.7473688992799001E-6</v>
      </c>
    </row>
    <row r="2132" spans="1:6" x14ac:dyDescent="0.25">
      <c r="A2132" s="1" t="str">
        <f t="shared" si="78"/>
        <v>12420</v>
      </c>
      <c r="B2132" s="1" t="str">
        <f>"78779"</f>
        <v>78779</v>
      </c>
      <c r="C2132" s="2">
        <v>0</v>
      </c>
      <c r="D2132" s="2">
        <v>1.10614574576346E-5</v>
      </c>
      <c r="E2132" s="2">
        <v>0</v>
      </c>
      <c r="F2132" s="2">
        <v>8.7368444963995395E-7</v>
      </c>
    </row>
    <row r="2133" spans="1:6" x14ac:dyDescent="0.25">
      <c r="A2133" s="1" t="str">
        <f t="shared" si="78"/>
        <v>12420</v>
      </c>
      <c r="B2133" s="1" t="str">
        <f>"78651"</f>
        <v>78651</v>
      </c>
      <c r="C2133" s="2">
        <v>0</v>
      </c>
      <c r="D2133" s="2">
        <v>1.10614574576346E-5</v>
      </c>
      <c r="E2133" s="2">
        <v>0</v>
      </c>
      <c r="F2133" s="2">
        <v>8.7368444963995395E-7</v>
      </c>
    </row>
    <row r="2134" spans="1:6" x14ac:dyDescent="0.25">
      <c r="A2134" s="1" t="str">
        <f t="shared" si="78"/>
        <v>12420</v>
      </c>
      <c r="B2134" s="1" t="str">
        <f>"76571"</f>
        <v>76571</v>
      </c>
      <c r="C2134" s="2">
        <v>9.7771781108536408E-7</v>
      </c>
      <c r="D2134" s="2">
        <v>0</v>
      </c>
      <c r="E2134" s="2">
        <v>0</v>
      </c>
      <c r="F2134" s="2">
        <v>8.7368444963995395E-7</v>
      </c>
    </row>
    <row r="2135" spans="1:6" x14ac:dyDescent="0.25">
      <c r="A2135" s="1" t="str">
        <f t="shared" si="78"/>
        <v>12420</v>
      </c>
      <c r="B2135" s="1" t="str">
        <f>"78768"</f>
        <v>78768</v>
      </c>
      <c r="C2135" s="2">
        <v>1.15272929926964E-3</v>
      </c>
      <c r="D2135" s="2">
        <v>3.44011326932436E-3</v>
      </c>
      <c r="E2135" s="2">
        <v>9.5590109609992304E-5</v>
      </c>
      <c r="F2135" s="2">
        <v>1.3044108833124501E-3</v>
      </c>
    </row>
    <row r="2136" spans="1:6" x14ac:dyDescent="0.25">
      <c r="A2136" s="1" t="str">
        <f t="shared" si="78"/>
        <v>12420</v>
      </c>
      <c r="B2136" s="1" t="str">
        <f>"78761"</f>
        <v>78761</v>
      </c>
      <c r="C2136" s="2">
        <v>1.47048758787238E-3</v>
      </c>
      <c r="D2136" s="2">
        <v>3.7166497057652299E-3</v>
      </c>
      <c r="E2136" s="2">
        <v>3.1863369869997399E-5</v>
      </c>
      <c r="F2136" s="2">
        <v>1.6084530717871499E-3</v>
      </c>
    </row>
    <row r="2137" spans="1:6" x14ac:dyDescent="0.25">
      <c r="A2137" s="1" t="str">
        <f t="shared" si="78"/>
        <v>12420</v>
      </c>
      <c r="B2137" s="1" t="str">
        <f>"78718"</f>
        <v>78718</v>
      </c>
      <c r="C2137" s="2">
        <v>7.1471171990340103E-4</v>
      </c>
      <c r="D2137" s="2">
        <v>1.4490509269501301E-3</v>
      </c>
      <c r="E2137" s="2">
        <v>3.1863369869997399E-5</v>
      </c>
      <c r="F2137" s="2">
        <v>7.5398968003928004E-4</v>
      </c>
    </row>
    <row r="2138" spans="1:6" x14ac:dyDescent="0.25">
      <c r="A2138" s="1" t="str">
        <f t="shared" si="78"/>
        <v>12420</v>
      </c>
      <c r="B2138" s="1" t="str">
        <f>"78627"</f>
        <v>78627</v>
      </c>
      <c r="C2138" s="2">
        <v>1.29743153531027E-3</v>
      </c>
      <c r="D2138" s="2">
        <v>7.9974337418698208E-3</v>
      </c>
      <c r="E2138" s="2">
        <v>3.1863369869997399E-5</v>
      </c>
      <c r="F2138" s="2">
        <v>1.7919268062115399E-3</v>
      </c>
    </row>
    <row r="2139" spans="1:6" x14ac:dyDescent="0.25">
      <c r="A2139" s="1" t="str">
        <f t="shared" si="78"/>
        <v>12420</v>
      </c>
      <c r="B2139" s="1" t="str">
        <f>"78747"</f>
        <v>78747</v>
      </c>
      <c r="C2139" s="2">
        <v>8.08377086205379E-3</v>
      </c>
      <c r="D2139" s="2">
        <v>1.9578779700013199E-3</v>
      </c>
      <c r="E2139" s="2">
        <v>7.4241651797094001E-3</v>
      </c>
      <c r="F2139" s="2">
        <v>7.5818336539755201E-3</v>
      </c>
    </row>
    <row r="2140" spans="1:6" x14ac:dyDescent="0.25">
      <c r="A2140" s="1" t="str">
        <f t="shared" si="78"/>
        <v>12420</v>
      </c>
      <c r="B2140" s="1" t="str">
        <f>"78728"</f>
        <v>78728</v>
      </c>
      <c r="C2140" s="2">
        <v>1.2259603633199299E-2</v>
      </c>
      <c r="D2140" s="2">
        <v>1.0541568957125699E-2</v>
      </c>
      <c r="E2140" s="2">
        <v>1.2171807290338999E-2</v>
      </c>
      <c r="F2140" s="2">
        <v>1.2121498054304699E-2</v>
      </c>
    </row>
    <row r="2141" spans="1:6" x14ac:dyDescent="0.25">
      <c r="A2141" s="1" t="str">
        <f t="shared" si="78"/>
        <v>12420</v>
      </c>
      <c r="B2141" s="1" t="str">
        <f>"78742"</f>
        <v>78742</v>
      </c>
      <c r="C2141" s="2">
        <v>3.6957733259026702E-4</v>
      </c>
      <c r="D2141" s="2">
        <v>3.8715101101721098E-4</v>
      </c>
      <c r="E2141" s="2">
        <v>6.0540402752995101E-4</v>
      </c>
      <c r="F2141" s="2">
        <v>3.7743168224445999E-4</v>
      </c>
    </row>
    <row r="2142" spans="1:6" x14ac:dyDescent="0.25">
      <c r="A2142" s="1" t="str">
        <f t="shared" si="78"/>
        <v>12420</v>
      </c>
      <c r="B2142" s="1" t="str">
        <f>"78666"</f>
        <v>78666</v>
      </c>
      <c r="C2142" s="2">
        <v>3.2379080749713997E-2</v>
      </c>
      <c r="D2142" s="2">
        <v>2.9644705986460702E-2</v>
      </c>
      <c r="E2142" s="2">
        <v>4.4417537598776403E-2</v>
      </c>
      <c r="F2142" s="2">
        <v>3.2493198366559499E-2</v>
      </c>
    </row>
    <row r="2143" spans="1:6" x14ac:dyDescent="0.25">
      <c r="A2143" s="1" t="str">
        <f t="shared" si="78"/>
        <v>12420</v>
      </c>
      <c r="B2143" s="1" t="str">
        <f>"78669"</f>
        <v>78669</v>
      </c>
      <c r="C2143" s="2">
        <v>4.7732183537187401E-3</v>
      </c>
      <c r="D2143" s="2">
        <v>2.3782133533914399E-3</v>
      </c>
      <c r="E2143" s="2">
        <v>4.7476421106296199E-3</v>
      </c>
      <c r="F2143" s="2">
        <v>4.5833486228112003E-3</v>
      </c>
    </row>
    <row r="2144" spans="1:6" x14ac:dyDescent="0.25">
      <c r="A2144" s="1" t="str">
        <f t="shared" ref="A2144:A2155" si="79">"12420"</f>
        <v>12420</v>
      </c>
      <c r="B2144" s="1" t="str">
        <f>"78681"</f>
        <v>78681</v>
      </c>
      <c r="C2144" s="2">
        <v>2.0158585828957999E-2</v>
      </c>
      <c r="D2144" s="2">
        <v>1.6890845537808001E-2</v>
      </c>
      <c r="E2144" s="2">
        <v>1.6282182003568599E-2</v>
      </c>
      <c r="F2144" s="2">
        <v>1.97941948910428E-2</v>
      </c>
    </row>
    <row r="2145" spans="1:6" x14ac:dyDescent="0.25">
      <c r="A2145" s="1" t="str">
        <f t="shared" si="79"/>
        <v>12420</v>
      </c>
      <c r="B2145" s="1" t="str">
        <f>"78645"</f>
        <v>78645</v>
      </c>
      <c r="C2145" s="2">
        <v>7.4286999286265901E-3</v>
      </c>
      <c r="D2145" s="2">
        <v>3.9489403123755496E-3</v>
      </c>
      <c r="E2145" s="2">
        <v>1.32551618659189E-2</v>
      </c>
      <c r="F2145" s="2">
        <v>7.31361252793606E-3</v>
      </c>
    </row>
    <row r="2146" spans="1:6" x14ac:dyDescent="0.25">
      <c r="A2146" s="1" t="str">
        <f t="shared" si="79"/>
        <v>12420</v>
      </c>
      <c r="B2146" s="1" t="str">
        <f>"78714"</f>
        <v>78714</v>
      </c>
      <c r="C2146" s="2">
        <v>1.6425659226234101E-3</v>
      </c>
      <c r="D2146" s="2">
        <v>8.0416795717003602E-3</v>
      </c>
      <c r="E2146" s="2">
        <v>3.1863369869997399E-5</v>
      </c>
      <c r="F2146" s="2">
        <v>2.1038321547330102E-3</v>
      </c>
    </row>
    <row r="2147" spans="1:6" x14ac:dyDescent="0.25">
      <c r="A2147" s="1" t="str">
        <f t="shared" si="79"/>
        <v>12420</v>
      </c>
      <c r="B2147" s="1" t="str">
        <f>"78722"</f>
        <v>78722</v>
      </c>
      <c r="C2147" s="2">
        <v>3.4249454922320299E-3</v>
      </c>
      <c r="D2147" s="2">
        <v>2.4777664705101501E-3</v>
      </c>
      <c r="E2147" s="2">
        <v>3.6961509049197E-3</v>
      </c>
      <c r="F2147" s="2">
        <v>3.3575693399663402E-3</v>
      </c>
    </row>
    <row r="2148" spans="1:6" x14ac:dyDescent="0.25">
      <c r="A2148" s="1" t="str">
        <f t="shared" si="79"/>
        <v>12420</v>
      </c>
      <c r="B2148" s="1" t="str">
        <f>"78605"</f>
        <v>78605</v>
      </c>
      <c r="C2148" s="2">
        <v>9.7771781108536408E-7</v>
      </c>
      <c r="D2148" s="2">
        <v>0</v>
      </c>
      <c r="E2148" s="2">
        <v>0</v>
      </c>
      <c r="F2148" s="2">
        <v>8.7368444963995395E-7</v>
      </c>
    </row>
    <row r="2149" spans="1:6" x14ac:dyDescent="0.25">
      <c r="A2149" s="1" t="str">
        <f t="shared" si="79"/>
        <v>12420</v>
      </c>
      <c r="B2149" s="1" t="str">
        <f>"73301"</f>
        <v>73301</v>
      </c>
      <c r="C2149" s="2">
        <v>0</v>
      </c>
      <c r="D2149" s="2">
        <v>3.3184372372903799E-5</v>
      </c>
      <c r="E2149" s="2">
        <v>0</v>
      </c>
      <c r="F2149" s="2">
        <v>2.6210533489198599E-6</v>
      </c>
    </row>
    <row r="2150" spans="1:6" x14ac:dyDescent="0.25">
      <c r="A2150" s="1" t="str">
        <f t="shared" si="79"/>
        <v>12420</v>
      </c>
      <c r="B2150" s="1" t="str">
        <f>"76573"</f>
        <v>76573</v>
      </c>
      <c r="C2150" s="2">
        <v>9.7771781108536408E-7</v>
      </c>
      <c r="D2150" s="2">
        <v>1.10614574576346E-5</v>
      </c>
      <c r="E2150" s="2">
        <v>0</v>
      </c>
      <c r="F2150" s="2">
        <v>1.7473688992799001E-6</v>
      </c>
    </row>
    <row r="2151" spans="1:6" x14ac:dyDescent="0.25">
      <c r="A2151" s="1" t="str">
        <f t="shared" si="79"/>
        <v>12420</v>
      </c>
      <c r="B2151" s="1" t="str">
        <f>"78606"</f>
        <v>78606</v>
      </c>
      <c r="C2151" s="2">
        <v>9.7771781108536408E-7</v>
      </c>
      <c r="D2151" s="2">
        <v>0</v>
      </c>
      <c r="E2151" s="2">
        <v>0</v>
      </c>
      <c r="F2151" s="2">
        <v>8.7368444963995395E-7</v>
      </c>
    </row>
    <row r="2152" spans="1:6" x14ac:dyDescent="0.25">
      <c r="A2152" s="1" t="str">
        <f t="shared" si="79"/>
        <v>12420</v>
      </c>
      <c r="B2152" s="1" t="str">
        <f>"78623"</f>
        <v>78623</v>
      </c>
      <c r="C2152" s="2">
        <v>1.27103315441097E-5</v>
      </c>
      <c r="D2152" s="2">
        <v>0</v>
      </c>
      <c r="E2152" s="2">
        <v>0</v>
      </c>
      <c r="F2152" s="2">
        <v>1.13578978453194E-5</v>
      </c>
    </row>
    <row r="2153" spans="1:6" x14ac:dyDescent="0.25">
      <c r="A2153" s="1" t="str">
        <f t="shared" si="79"/>
        <v>12420</v>
      </c>
      <c r="B2153" s="1" t="str">
        <f>"78953"</f>
        <v>78953</v>
      </c>
      <c r="C2153" s="2">
        <v>4.7908172743182801E-4</v>
      </c>
      <c r="D2153" s="2">
        <v>1.4379894694924999E-4</v>
      </c>
      <c r="E2153" s="2">
        <v>4.7795054804996098E-4</v>
      </c>
      <c r="F2153" s="2">
        <v>4.5256854491349598E-4</v>
      </c>
    </row>
    <row r="2154" spans="1:6" x14ac:dyDescent="0.25">
      <c r="A2154" s="1" t="str">
        <f t="shared" si="79"/>
        <v>12420</v>
      </c>
      <c r="B2154" s="1" t="str">
        <f>"78959"</f>
        <v>78959</v>
      </c>
      <c r="C2154" s="2">
        <v>4.6930454932097398E-5</v>
      </c>
      <c r="D2154" s="2">
        <v>2.2122914915269199E-5</v>
      </c>
      <c r="E2154" s="2">
        <v>1.9118021921998401E-4</v>
      </c>
      <c r="F2154" s="2">
        <v>4.8926329179837399E-5</v>
      </c>
    </row>
    <row r="2155" spans="1:6" x14ac:dyDescent="0.25">
      <c r="A2155" s="1" t="str">
        <f t="shared" si="79"/>
        <v>12420</v>
      </c>
      <c r="B2155" s="1" t="str">
        <f>"78713"</f>
        <v>78713</v>
      </c>
      <c r="C2155" s="2">
        <v>1.26027825848903E-3</v>
      </c>
      <c r="D2155" s="2">
        <v>1.3494978098314201E-3</v>
      </c>
      <c r="E2155" s="2">
        <v>3.1863369869997399E-5</v>
      </c>
      <c r="F2155" s="2">
        <v>1.23364244289161E-3</v>
      </c>
    </row>
    <row r="2156" spans="1:6" x14ac:dyDescent="0.25">
      <c r="A2156" s="1" t="str">
        <f t="shared" ref="A2156:A2165" si="80">"12460"</f>
        <v>12460</v>
      </c>
      <c r="B2156" s="1" t="str">
        <f>"39818"</f>
        <v>39818</v>
      </c>
      <c r="C2156" s="2">
        <v>0.122282938676381</v>
      </c>
      <c r="D2156" s="2">
        <v>0.21583113456464301</v>
      </c>
      <c r="E2156" s="2">
        <v>6.4516129032258004E-3</v>
      </c>
      <c r="F2156" s="2">
        <v>0.129852744310575</v>
      </c>
    </row>
    <row r="2157" spans="1:6" x14ac:dyDescent="0.25">
      <c r="A2157" s="1" t="str">
        <f t="shared" si="80"/>
        <v>12460</v>
      </c>
      <c r="B2157" s="1" t="str">
        <f>"31730"</f>
        <v>31730</v>
      </c>
      <c r="C2157" s="2">
        <v>2.9143897996357E-3</v>
      </c>
      <c r="D2157" s="2">
        <v>1.05540897097625E-3</v>
      </c>
      <c r="E2157" s="2">
        <v>0</v>
      </c>
      <c r="F2157" s="2">
        <v>2.6773761713520701E-3</v>
      </c>
    </row>
    <row r="2158" spans="1:6" x14ac:dyDescent="0.25">
      <c r="A2158" s="1" t="str">
        <f t="shared" si="80"/>
        <v>12460</v>
      </c>
      <c r="B2158" s="1" t="str">
        <f>"39837"</f>
        <v>39837</v>
      </c>
      <c r="C2158" s="2">
        <v>1.12325440194292E-2</v>
      </c>
      <c r="D2158" s="2">
        <v>1.5831134564643699E-3</v>
      </c>
      <c r="E2158" s="2">
        <v>0</v>
      </c>
      <c r="F2158" s="2">
        <v>1.00669344042838E-2</v>
      </c>
    </row>
    <row r="2159" spans="1:6" x14ac:dyDescent="0.25">
      <c r="A2159" s="1" t="str">
        <f t="shared" si="80"/>
        <v>12460</v>
      </c>
      <c r="B2159" s="1" t="str">
        <f>"39815"</f>
        <v>39815</v>
      </c>
      <c r="C2159" s="2">
        <v>4.7237401335761903E-2</v>
      </c>
      <c r="D2159" s="2">
        <v>1.89973614775725E-2</v>
      </c>
      <c r="E2159" s="2">
        <v>1.2903225806451601E-2</v>
      </c>
      <c r="F2159" s="2">
        <v>4.3801874163319897E-2</v>
      </c>
    </row>
    <row r="2160" spans="1:6" x14ac:dyDescent="0.25">
      <c r="A2160" s="1" t="str">
        <f t="shared" si="80"/>
        <v>12460</v>
      </c>
      <c r="B2160" s="1" t="str">
        <f>"39852"</f>
        <v>39852</v>
      </c>
      <c r="C2160" s="2">
        <v>0</v>
      </c>
      <c r="D2160" s="2">
        <v>5.2770448548812598E-4</v>
      </c>
      <c r="E2160" s="2">
        <v>0</v>
      </c>
      <c r="F2160" s="2">
        <v>5.3547523427041403E-5</v>
      </c>
    </row>
    <row r="2161" spans="1:6" x14ac:dyDescent="0.25">
      <c r="A2161" s="1" t="str">
        <f t="shared" si="80"/>
        <v>12460</v>
      </c>
      <c r="B2161" s="1" t="str">
        <f>"39897"</f>
        <v>39897</v>
      </c>
      <c r="C2161" s="2">
        <v>4.1894353369763201E-3</v>
      </c>
      <c r="D2161" s="2">
        <v>1.05540897097625E-3</v>
      </c>
      <c r="E2161" s="2">
        <v>0</v>
      </c>
      <c r="F2161" s="2">
        <v>3.8018741633199398E-3</v>
      </c>
    </row>
    <row r="2162" spans="1:6" x14ac:dyDescent="0.25">
      <c r="A2162" s="1" t="str">
        <f t="shared" si="80"/>
        <v>12460</v>
      </c>
      <c r="B2162" s="1" t="str">
        <f>"39817"</f>
        <v>39817</v>
      </c>
      <c r="C2162" s="2">
        <v>0.33418336369155999</v>
      </c>
      <c r="D2162" s="2">
        <v>0.387335092348284</v>
      </c>
      <c r="E2162" s="2">
        <v>0.32903225806451603</v>
      </c>
      <c r="F2162" s="2">
        <v>0.33949129852744298</v>
      </c>
    </row>
    <row r="2163" spans="1:6" x14ac:dyDescent="0.25">
      <c r="A2163" s="1" t="str">
        <f t="shared" si="80"/>
        <v>12460</v>
      </c>
      <c r="B2163" s="1" t="str">
        <f>"39825"</f>
        <v>39825</v>
      </c>
      <c r="C2163" s="2">
        <v>4.4748026715239801E-2</v>
      </c>
      <c r="D2163" s="2">
        <v>1.79419525065963E-2</v>
      </c>
      <c r="E2163" s="2">
        <v>6.4516129032258004E-3</v>
      </c>
      <c r="F2163" s="2">
        <v>4.1392235609102997E-2</v>
      </c>
    </row>
    <row r="2164" spans="1:6" x14ac:dyDescent="0.25">
      <c r="A2164" s="1" t="str">
        <f t="shared" si="80"/>
        <v>12460</v>
      </c>
      <c r="B2164" s="1" t="str">
        <f>"39834"</f>
        <v>39834</v>
      </c>
      <c r="C2164" s="2">
        <v>7.3588342440801396E-2</v>
      </c>
      <c r="D2164" s="2">
        <v>3.6411609498680698E-2</v>
      </c>
      <c r="E2164" s="2">
        <v>6.4516129032258004E-3</v>
      </c>
      <c r="F2164" s="2">
        <v>6.8701472556894197E-2</v>
      </c>
    </row>
    <row r="2165" spans="1:6" x14ac:dyDescent="0.25">
      <c r="A2165" s="1" t="str">
        <f t="shared" si="80"/>
        <v>12460</v>
      </c>
      <c r="B2165" s="1" t="str">
        <f>"39819"</f>
        <v>39819</v>
      </c>
      <c r="C2165" s="2">
        <v>0.35962355798421303</v>
      </c>
      <c r="D2165" s="2">
        <v>0.31926121372031602</v>
      </c>
      <c r="E2165" s="2">
        <v>0.63870967741935403</v>
      </c>
      <c r="F2165" s="2">
        <v>0.36016064257028102</v>
      </c>
    </row>
    <row r="2166" spans="1:6" x14ac:dyDescent="0.25">
      <c r="A2166" s="1" t="str">
        <f t="shared" ref="A2166:A2197" si="81">"12540"</f>
        <v>12540</v>
      </c>
      <c r="B2166" s="1" t="str">
        <f>"93528"</f>
        <v>93528</v>
      </c>
      <c r="C2166" s="2">
        <v>0</v>
      </c>
      <c r="D2166" s="2">
        <v>3.51456788387867E-5</v>
      </c>
      <c r="E2166" s="2">
        <v>0</v>
      </c>
      <c r="F2166" s="2">
        <v>2.7683806634147398E-6</v>
      </c>
    </row>
    <row r="2167" spans="1:6" x14ac:dyDescent="0.25">
      <c r="A2167" s="1" t="str">
        <f t="shared" si="81"/>
        <v>12540</v>
      </c>
      <c r="B2167" s="1" t="str">
        <f>"93251"</f>
        <v>93251</v>
      </c>
      <c r="C2167" s="2">
        <v>1.2888623432146101E-4</v>
      </c>
      <c r="D2167" s="2">
        <v>1.15980740167996E-3</v>
      </c>
      <c r="E2167" s="2">
        <v>2.7286990927075501E-4</v>
      </c>
      <c r="F2167" s="2">
        <v>2.15933691746349E-4</v>
      </c>
    </row>
    <row r="2168" spans="1:6" x14ac:dyDescent="0.25">
      <c r="A2168" s="1" t="str">
        <f t="shared" si="81"/>
        <v>12540</v>
      </c>
      <c r="B2168" s="1" t="str">
        <f>"93249"</f>
        <v>93249</v>
      </c>
      <c r="C2168" s="2">
        <v>6.8844110527804803E-4</v>
      </c>
      <c r="D2168" s="2">
        <v>1.3706814747126801E-3</v>
      </c>
      <c r="E2168" s="2">
        <v>1.7736544102599E-3</v>
      </c>
      <c r="F2168" s="2">
        <v>7.8622010840978605E-4</v>
      </c>
    </row>
    <row r="2169" spans="1:6" x14ac:dyDescent="0.25">
      <c r="A2169" s="1" t="str">
        <f t="shared" si="81"/>
        <v>12540</v>
      </c>
      <c r="B2169" s="1" t="str">
        <f>"93301"</f>
        <v>93301</v>
      </c>
      <c r="C2169" s="2">
        <v>1.9395806482034501E-2</v>
      </c>
      <c r="D2169" s="2">
        <v>0.109373352546304</v>
      </c>
      <c r="E2169" s="2">
        <v>7.0059349205266297E-2</v>
      </c>
      <c r="F2169" s="2">
        <v>2.8539236259142502E-2</v>
      </c>
    </row>
    <row r="2170" spans="1:6" x14ac:dyDescent="0.25">
      <c r="A2170" s="1" t="str">
        <f t="shared" si="81"/>
        <v>12540</v>
      </c>
      <c r="B2170" s="1" t="str">
        <f>"93304"</f>
        <v>93304</v>
      </c>
      <c r="C2170" s="2">
        <v>5.2569865769702302E-2</v>
      </c>
      <c r="D2170" s="2">
        <v>4.2666854110287103E-2</v>
      </c>
      <c r="E2170" s="2">
        <v>6.2418991745685201E-2</v>
      </c>
      <c r="F2170" s="2">
        <v>5.2189512266694701E-2</v>
      </c>
    </row>
    <row r="2171" spans="1:6" x14ac:dyDescent="0.25">
      <c r="A2171" s="1" t="str">
        <f t="shared" si="81"/>
        <v>12540</v>
      </c>
      <c r="B2171" s="1" t="str">
        <f>"93205"</f>
        <v>93205</v>
      </c>
      <c r="C2171" s="2">
        <v>3.1027003237873601E-3</v>
      </c>
      <c r="D2171" s="2">
        <v>1.75728394193933E-4</v>
      </c>
      <c r="E2171" s="2">
        <v>5.4573981854151002E-4</v>
      </c>
      <c r="F2171" s="2">
        <v>2.7683806634147402E-3</v>
      </c>
    </row>
    <row r="2172" spans="1:6" x14ac:dyDescent="0.25">
      <c r="A2172" s="1" t="str">
        <f t="shared" si="81"/>
        <v>12540</v>
      </c>
      <c r="B2172" s="1" t="str">
        <f>"93527"</f>
        <v>93527</v>
      </c>
      <c r="C2172" s="2">
        <v>2.5997296532645898E-3</v>
      </c>
      <c r="D2172" s="2">
        <v>1.0543703651636E-4</v>
      </c>
      <c r="E2172" s="2">
        <v>4.7752234122382098E-4</v>
      </c>
      <c r="F2172" s="2">
        <v>2.3171346152781299E-3</v>
      </c>
    </row>
    <row r="2173" spans="1:6" x14ac:dyDescent="0.25">
      <c r="A2173" s="1" t="str">
        <f t="shared" si="81"/>
        <v>12540</v>
      </c>
      <c r="B2173" s="1" t="str">
        <f>"93307"</f>
        <v>93307</v>
      </c>
      <c r="C2173" s="2">
        <v>7.7165131558266001E-2</v>
      </c>
      <c r="D2173" s="2">
        <v>5.8833866376129001E-2</v>
      </c>
      <c r="E2173" s="2">
        <v>7.3743092980421504E-2</v>
      </c>
      <c r="F2173" s="2">
        <v>7.5582328872549204E-2</v>
      </c>
    </row>
    <row r="2174" spans="1:6" x14ac:dyDescent="0.25">
      <c r="A2174" s="1" t="str">
        <f t="shared" si="81"/>
        <v>12540</v>
      </c>
      <c r="B2174" s="1" t="str">
        <f>"93206"</f>
        <v>93206</v>
      </c>
      <c r="C2174" s="2">
        <v>1.6095061456728799E-3</v>
      </c>
      <c r="D2174" s="2">
        <v>1.86272097845569E-3</v>
      </c>
      <c r="E2174" s="2">
        <v>5.4573981854151002E-4</v>
      </c>
      <c r="F2174" s="2">
        <v>1.5862821201366401E-3</v>
      </c>
    </row>
    <row r="2175" spans="1:6" x14ac:dyDescent="0.25">
      <c r="A2175" s="1" t="str">
        <f t="shared" si="81"/>
        <v>12540</v>
      </c>
      <c r="B2175" s="1" t="str">
        <f>"93226"</f>
        <v>93226</v>
      </c>
      <c r="C2175" s="2">
        <v>3.4579233598440703E-5</v>
      </c>
      <c r="D2175" s="2">
        <v>3.51456788387867E-5</v>
      </c>
      <c r="E2175" s="2">
        <v>0</v>
      </c>
      <c r="F2175" s="2">
        <v>3.3220567960976898E-5</v>
      </c>
    </row>
    <row r="2176" spans="1:6" x14ac:dyDescent="0.25">
      <c r="A2176" s="1" t="str">
        <f t="shared" si="81"/>
        <v>12540</v>
      </c>
      <c r="B2176" s="1" t="str">
        <f>"93203"</f>
        <v>93203</v>
      </c>
      <c r="C2176" s="2">
        <v>1.8867687277985601E-2</v>
      </c>
      <c r="D2176" s="2">
        <v>1.5885846835131601E-2</v>
      </c>
      <c r="E2176" s="2">
        <v>8.9364895286172304E-3</v>
      </c>
      <c r="F2176" s="2">
        <v>1.8229786668586E-2</v>
      </c>
    </row>
    <row r="2177" spans="1:6" x14ac:dyDescent="0.25">
      <c r="A2177" s="1" t="str">
        <f t="shared" si="81"/>
        <v>12540</v>
      </c>
      <c r="B2177" s="1" t="str">
        <f>"93222"</f>
        <v>93222</v>
      </c>
      <c r="C2177" s="2">
        <v>6.2871333815346804E-6</v>
      </c>
      <c r="D2177" s="2">
        <v>7.0291357677573494E-5</v>
      </c>
      <c r="E2177" s="2">
        <v>0</v>
      </c>
      <c r="F2177" s="2">
        <v>1.10735226536589E-5</v>
      </c>
    </row>
    <row r="2178" spans="1:6" x14ac:dyDescent="0.25">
      <c r="A2178" s="1" t="str">
        <f t="shared" si="81"/>
        <v>12540</v>
      </c>
      <c r="B2178" s="1" t="str">
        <f>"93385"</f>
        <v>93385</v>
      </c>
      <c r="C2178" s="2">
        <v>2.30737795102323E-3</v>
      </c>
      <c r="D2178" s="2">
        <v>2.8116543071029401E-3</v>
      </c>
      <c r="E2178" s="2">
        <v>1.3643495463537699E-4</v>
      </c>
      <c r="F2178" s="2">
        <v>2.25899862134642E-3</v>
      </c>
    </row>
    <row r="2179" spans="1:6" x14ac:dyDescent="0.25">
      <c r="A2179" s="1" t="str">
        <f t="shared" si="81"/>
        <v>12540</v>
      </c>
      <c r="B2179" s="1" t="str">
        <f>"93501"</f>
        <v>93501</v>
      </c>
      <c r="C2179" s="2">
        <v>8.6039420326302195E-3</v>
      </c>
      <c r="D2179" s="2">
        <v>1.4585456718096501E-2</v>
      </c>
      <c r="E2179" s="2">
        <v>1.0710143938877099E-2</v>
      </c>
      <c r="F2179" s="2">
        <v>9.1605716152393796E-3</v>
      </c>
    </row>
    <row r="2180" spans="1:6" x14ac:dyDescent="0.25">
      <c r="A2180" s="1" t="str">
        <f t="shared" si="81"/>
        <v>12540</v>
      </c>
      <c r="B2180" s="1" t="str">
        <f>"93386"</f>
        <v>93386</v>
      </c>
      <c r="C2180" s="2">
        <v>2.7852000880198599E-3</v>
      </c>
      <c r="D2180" s="2">
        <v>7.415738234984E-3</v>
      </c>
      <c r="E2180" s="2">
        <v>1.3643495463537699E-4</v>
      </c>
      <c r="F2180" s="2">
        <v>3.0424503490928002E-3</v>
      </c>
    </row>
    <row r="2181" spans="1:6" x14ac:dyDescent="0.25">
      <c r="A2181" s="1" t="str">
        <f t="shared" si="81"/>
        <v>12540</v>
      </c>
      <c r="B2181" s="1" t="str">
        <f>"93387"</f>
        <v>93387</v>
      </c>
      <c r="C2181" s="2">
        <v>3.2127251579642199E-3</v>
      </c>
      <c r="D2181" s="2">
        <v>5.6233086142058802E-3</v>
      </c>
      <c r="E2181" s="2">
        <v>6.8217477317688698E-5</v>
      </c>
      <c r="F2181" s="2">
        <v>3.2749943248196302E-3</v>
      </c>
    </row>
    <row r="2182" spans="1:6" x14ac:dyDescent="0.25">
      <c r="A2182" s="1" t="str">
        <f t="shared" si="81"/>
        <v>12540</v>
      </c>
      <c r="B2182" s="1" t="str">
        <f>"93504"</f>
        <v>93504</v>
      </c>
      <c r="C2182" s="2">
        <v>1.70695671308666E-3</v>
      </c>
      <c r="D2182" s="2">
        <v>2.8467999859417199E-3</v>
      </c>
      <c r="E2182" s="2">
        <v>6.8217477317688698E-5</v>
      </c>
      <c r="F2182" s="2">
        <v>1.7302379146342101E-3</v>
      </c>
    </row>
    <row r="2183" spans="1:6" x14ac:dyDescent="0.25">
      <c r="A2183" s="1" t="str">
        <f t="shared" si="81"/>
        <v>12540</v>
      </c>
      <c r="B2183" s="1" t="str">
        <f>"93536"</f>
        <v>93536</v>
      </c>
      <c r="C2183" s="2">
        <v>9.1163434032252895E-5</v>
      </c>
      <c r="D2183" s="2">
        <v>0</v>
      </c>
      <c r="E2183" s="2">
        <v>0</v>
      </c>
      <c r="F2183" s="2">
        <v>8.0283039239027504E-5</v>
      </c>
    </row>
    <row r="2184" spans="1:6" x14ac:dyDescent="0.25">
      <c r="A2184" s="1" t="str">
        <f t="shared" si="81"/>
        <v>12540</v>
      </c>
      <c r="B2184" s="1" t="str">
        <f>"93581"</f>
        <v>93581</v>
      </c>
      <c r="C2184" s="2">
        <v>5.6112665430197101E-3</v>
      </c>
      <c r="D2184" s="2">
        <v>9.3487505711172796E-3</v>
      </c>
      <c r="E2184" s="2">
        <v>6.8217477317688698E-5</v>
      </c>
      <c r="F2184" s="2">
        <v>5.68071712132705E-3</v>
      </c>
    </row>
    <row r="2185" spans="1:6" x14ac:dyDescent="0.25">
      <c r="A2185" s="1" t="str">
        <f t="shared" si="81"/>
        <v>12540</v>
      </c>
      <c r="B2185" s="1" t="str">
        <f>"93384"</f>
        <v>93384</v>
      </c>
      <c r="C2185" s="2">
        <v>5.5735437427304997E-3</v>
      </c>
      <c r="D2185" s="2">
        <v>1.4901767827645501E-2</v>
      </c>
      <c r="E2185" s="2">
        <v>1.3643495463537699E-4</v>
      </c>
      <c r="F2185" s="2">
        <v>6.0876690788490102E-3</v>
      </c>
    </row>
    <row r="2186" spans="1:6" x14ac:dyDescent="0.25">
      <c r="A2186" s="1" t="str">
        <f t="shared" si="81"/>
        <v>12540</v>
      </c>
      <c r="B2186" s="1" t="str">
        <f>"93302"</f>
        <v>93302</v>
      </c>
      <c r="C2186" s="2">
        <v>2.8292100216906098E-3</v>
      </c>
      <c r="D2186" s="2">
        <v>1.4023125856675899E-2</v>
      </c>
      <c r="E2186" s="2">
        <v>1.3643495463537699E-4</v>
      </c>
      <c r="F2186" s="2">
        <v>3.6016632431025699E-3</v>
      </c>
    </row>
    <row r="2187" spans="1:6" x14ac:dyDescent="0.25">
      <c r="A2187" s="1" t="str">
        <f t="shared" si="81"/>
        <v>12540</v>
      </c>
      <c r="B2187" s="1" t="str">
        <f>"93505"</f>
        <v>93505</v>
      </c>
      <c r="C2187" s="2">
        <v>1.65886014271792E-2</v>
      </c>
      <c r="D2187" s="2">
        <v>1.0789723403507499E-2</v>
      </c>
      <c r="E2187" s="2">
        <v>1.94419810355413E-2</v>
      </c>
      <c r="F2187" s="2">
        <v>1.6247626113581101E-2</v>
      </c>
    </row>
    <row r="2188" spans="1:6" x14ac:dyDescent="0.25">
      <c r="A2188" s="1" t="str">
        <f t="shared" si="81"/>
        <v>12540</v>
      </c>
      <c r="B2188" s="1" t="str">
        <f>"93523"</f>
        <v>93523</v>
      </c>
      <c r="C2188" s="2">
        <v>4.9228254377416602E-3</v>
      </c>
      <c r="D2188" s="2">
        <v>6.6776789793694799E-4</v>
      </c>
      <c r="E2188" s="2">
        <v>2.59226413807217E-3</v>
      </c>
      <c r="F2188" s="2">
        <v>4.49308181672212E-3</v>
      </c>
    </row>
    <row r="2189" spans="1:6" x14ac:dyDescent="0.25">
      <c r="A2189" s="1" t="str">
        <f t="shared" si="81"/>
        <v>12540</v>
      </c>
      <c r="B2189" s="1" t="str">
        <f>"93380"</f>
        <v>93380</v>
      </c>
      <c r="C2189" s="2">
        <v>2.1659174499386999E-3</v>
      </c>
      <c r="D2189" s="2">
        <v>1.64833233753909E-2</v>
      </c>
      <c r="E2189" s="2">
        <v>1.3643495463537699E-4</v>
      </c>
      <c r="F2189" s="2">
        <v>3.2113215695611002E-3</v>
      </c>
    </row>
    <row r="2190" spans="1:6" x14ac:dyDescent="0.25">
      <c r="A2190" s="1" t="str">
        <f t="shared" si="81"/>
        <v>12540</v>
      </c>
      <c r="B2190" s="1" t="str">
        <f>"93554"</f>
        <v>93554</v>
      </c>
      <c r="C2190" s="2">
        <v>0</v>
      </c>
      <c r="D2190" s="2">
        <v>3.51456788387867E-5</v>
      </c>
      <c r="E2190" s="2">
        <v>0</v>
      </c>
      <c r="F2190" s="2">
        <v>2.7683806634147398E-6</v>
      </c>
    </row>
    <row r="2191" spans="1:6" x14ac:dyDescent="0.25">
      <c r="A2191" s="1" t="str">
        <f t="shared" si="81"/>
        <v>12540</v>
      </c>
      <c r="B2191" s="1" t="str">
        <f>"93204"</f>
        <v>93204</v>
      </c>
      <c r="C2191" s="2">
        <v>3.1435666907673402E-6</v>
      </c>
      <c r="D2191" s="2">
        <v>0</v>
      </c>
      <c r="E2191" s="2">
        <v>0</v>
      </c>
      <c r="F2191" s="2">
        <v>2.7683806634147398E-6</v>
      </c>
    </row>
    <row r="2192" spans="1:6" x14ac:dyDescent="0.25">
      <c r="A2192" s="1" t="str">
        <f t="shared" si="81"/>
        <v>12540</v>
      </c>
      <c r="B2192" s="1" t="str">
        <f>"93280"</f>
        <v>93280</v>
      </c>
      <c r="C2192" s="2">
        <v>2.5007073025054199E-2</v>
      </c>
      <c r="D2192" s="2">
        <v>1.9857308543914501E-2</v>
      </c>
      <c r="E2192" s="2">
        <v>1.5553584828433E-2</v>
      </c>
      <c r="F2192" s="2">
        <v>2.42177940435521E-2</v>
      </c>
    </row>
    <row r="2193" spans="1:6" x14ac:dyDescent="0.25">
      <c r="A2193" s="1" t="str">
        <f t="shared" si="81"/>
        <v>12540</v>
      </c>
      <c r="B2193" s="1" t="str">
        <f>"93263"</f>
        <v>93263</v>
      </c>
      <c r="C2193" s="2">
        <v>2.3520165980321198E-2</v>
      </c>
      <c r="D2193" s="2">
        <v>2.20363406319193E-2</v>
      </c>
      <c r="E2193" s="2">
        <v>9.8233167337471797E-3</v>
      </c>
      <c r="F2193" s="2">
        <v>2.2847445615161801E-2</v>
      </c>
    </row>
    <row r="2194" spans="1:6" x14ac:dyDescent="0.25">
      <c r="A2194" s="1" t="str">
        <f t="shared" si="81"/>
        <v>12540</v>
      </c>
      <c r="B2194" s="1" t="str">
        <f>"93250"</f>
        <v>93250</v>
      </c>
      <c r="C2194" s="2">
        <v>1.1373424287196199E-2</v>
      </c>
      <c r="D2194" s="2">
        <v>5.6584542930446704E-3</v>
      </c>
      <c r="E2194" s="2">
        <v>5.3891807080974101E-3</v>
      </c>
      <c r="F2194" s="2">
        <v>1.0680412599454001E-2</v>
      </c>
    </row>
    <row r="2195" spans="1:6" x14ac:dyDescent="0.25">
      <c r="A2195" s="1" t="str">
        <f t="shared" si="81"/>
        <v>12540</v>
      </c>
      <c r="B2195" s="1" t="str">
        <f>"93556"</f>
        <v>93556</v>
      </c>
      <c r="C2195" s="2">
        <v>4.8662412373078404E-3</v>
      </c>
      <c r="D2195" s="2">
        <v>9.5244789653112106E-3</v>
      </c>
      <c r="E2195" s="2">
        <v>6.8217477317688698E-5</v>
      </c>
      <c r="F2195" s="2">
        <v>5.03845280741483E-3</v>
      </c>
    </row>
    <row r="2196" spans="1:6" x14ac:dyDescent="0.25">
      <c r="A2196" s="1" t="str">
        <f t="shared" si="81"/>
        <v>12540</v>
      </c>
      <c r="B2196" s="1" t="str">
        <f>"93312"</f>
        <v>93312</v>
      </c>
      <c r="C2196" s="2">
        <v>6.3298858885291201E-2</v>
      </c>
      <c r="D2196" s="2">
        <v>3.2755772677749199E-2</v>
      </c>
      <c r="E2196" s="2">
        <v>3.8133569820587999E-2</v>
      </c>
      <c r="F2196" s="2">
        <v>5.98717686076706E-2</v>
      </c>
    </row>
    <row r="2197" spans="1:6" x14ac:dyDescent="0.25">
      <c r="A2197" s="1" t="str">
        <f t="shared" si="81"/>
        <v>12540</v>
      </c>
      <c r="B2197" s="1" t="str">
        <f>"93283"</f>
        <v>93283</v>
      </c>
      <c r="C2197" s="2">
        <v>2.5557197195938499E-3</v>
      </c>
      <c r="D2197" s="2">
        <v>3.5145678838786702E-4</v>
      </c>
      <c r="E2197" s="2">
        <v>2.04652431953066E-4</v>
      </c>
      <c r="F2197" s="2">
        <v>2.2866824279805702E-3</v>
      </c>
    </row>
    <row r="2198" spans="1:6" x14ac:dyDescent="0.25">
      <c r="A2198" s="1" t="str">
        <f t="shared" ref="A2198:A2232" si="82">"12540"</f>
        <v>12540</v>
      </c>
      <c r="B2198" s="1" t="str">
        <f>"93285"</f>
        <v>93285</v>
      </c>
      <c r="C2198" s="2">
        <v>3.3887648926471899E-3</v>
      </c>
      <c r="D2198" s="2">
        <v>1.3355357958738899E-3</v>
      </c>
      <c r="E2198" s="2">
        <v>1.5007845009891499E-3</v>
      </c>
      <c r="F2198" s="2">
        <v>3.15041719496597E-3</v>
      </c>
    </row>
    <row r="2199" spans="1:6" x14ac:dyDescent="0.25">
      <c r="A2199" s="1" t="str">
        <f t="shared" si="82"/>
        <v>12540</v>
      </c>
      <c r="B2199" s="1" t="str">
        <f>"93309"</f>
        <v>93309</v>
      </c>
      <c r="C2199" s="2">
        <v>7.3713495331803394E-2</v>
      </c>
      <c r="D2199" s="2">
        <v>8.5544582293606994E-2</v>
      </c>
      <c r="E2199" s="2">
        <v>0.15151101712258599</v>
      </c>
      <c r="F2199" s="2">
        <v>7.7802570164607898E-2</v>
      </c>
    </row>
    <row r="2200" spans="1:6" x14ac:dyDescent="0.25">
      <c r="A2200" s="1" t="str">
        <f t="shared" si="82"/>
        <v>12540</v>
      </c>
      <c r="B2200" s="1" t="str">
        <f>"93243"</f>
        <v>93243</v>
      </c>
      <c r="C2200" s="2">
        <v>8.6133727327025202E-4</v>
      </c>
      <c r="D2200" s="2">
        <v>1.2652444381963199E-3</v>
      </c>
      <c r="E2200" s="2">
        <v>3.4108738658844302E-4</v>
      </c>
      <c r="F2200" s="2">
        <v>8.7203990897564304E-4</v>
      </c>
    </row>
    <row r="2201" spans="1:6" x14ac:dyDescent="0.25">
      <c r="A2201" s="1" t="str">
        <f t="shared" si="82"/>
        <v>12540</v>
      </c>
      <c r="B2201" s="1" t="str">
        <f>"93215"</f>
        <v>93215</v>
      </c>
      <c r="C2201" s="2">
        <v>3.5874383075036903E-2</v>
      </c>
      <c r="D2201" s="2">
        <v>3.39155800794292E-2</v>
      </c>
      <c r="E2201" s="2">
        <v>3.1925779384678298E-2</v>
      </c>
      <c r="F2201" s="2">
        <v>3.5559849621562299E-2</v>
      </c>
    </row>
    <row r="2202" spans="1:6" x14ac:dyDescent="0.25">
      <c r="A2202" s="1" t="str">
        <f t="shared" si="82"/>
        <v>12540</v>
      </c>
      <c r="B2202" s="1" t="str">
        <f>"93225"</f>
        <v>93225</v>
      </c>
      <c r="C2202" s="2">
        <v>4.3129734997327902E-3</v>
      </c>
      <c r="D2202" s="2">
        <v>1.19495308051875E-3</v>
      </c>
      <c r="E2202" s="2">
        <v>5.4573981854151002E-4</v>
      </c>
      <c r="F2202" s="2">
        <v>3.9144902580684404E-3</v>
      </c>
    </row>
    <row r="2203" spans="1:6" x14ac:dyDescent="0.25">
      <c r="A2203" s="1" t="str">
        <f t="shared" si="82"/>
        <v>12540</v>
      </c>
      <c r="B2203" s="1" t="str">
        <f>"93524"</f>
        <v>93524</v>
      </c>
      <c r="C2203" s="2">
        <v>0</v>
      </c>
      <c r="D2203" s="2">
        <v>2.95223702245808E-3</v>
      </c>
      <c r="E2203" s="2">
        <v>4.7752234122382098E-4</v>
      </c>
      <c r="F2203" s="2">
        <v>2.5192264037074099E-4</v>
      </c>
    </row>
    <row r="2204" spans="1:6" x14ac:dyDescent="0.25">
      <c r="A2204" s="1" t="str">
        <f t="shared" si="82"/>
        <v>12540</v>
      </c>
      <c r="B2204" s="1" t="str">
        <f>"93219"</f>
        <v>93219</v>
      </c>
      <c r="C2204" s="2">
        <v>3.1435666907673402E-6</v>
      </c>
      <c r="D2204" s="2">
        <v>0</v>
      </c>
      <c r="E2204" s="2">
        <v>0</v>
      </c>
      <c r="F2204" s="2">
        <v>2.7683806634147398E-6</v>
      </c>
    </row>
    <row r="2205" spans="1:6" x14ac:dyDescent="0.25">
      <c r="A2205" s="1" t="str">
        <f t="shared" si="82"/>
        <v>12540</v>
      </c>
      <c r="B2205" s="1" t="str">
        <f>"93276"</f>
        <v>93276</v>
      </c>
      <c r="C2205" s="2">
        <v>0</v>
      </c>
      <c r="D2205" s="2">
        <v>3.51456788387867E-5</v>
      </c>
      <c r="E2205" s="2">
        <v>0</v>
      </c>
      <c r="F2205" s="2">
        <v>2.7683806634147398E-6</v>
      </c>
    </row>
    <row r="2206" spans="1:6" x14ac:dyDescent="0.25">
      <c r="A2206" s="1" t="str">
        <f t="shared" si="82"/>
        <v>12540</v>
      </c>
      <c r="B2206" s="1" t="str">
        <f>"93390"</f>
        <v>93390</v>
      </c>
      <c r="C2206" s="2">
        <v>3.4610669265348398E-3</v>
      </c>
      <c r="D2206" s="2">
        <v>2.6499841844445201E-2</v>
      </c>
      <c r="E2206" s="2">
        <v>1.3643495463537699E-4</v>
      </c>
      <c r="F2206" s="2">
        <v>5.1408828919611701E-3</v>
      </c>
    </row>
    <row r="2207" spans="1:6" x14ac:dyDescent="0.25">
      <c r="A2207" s="1" t="str">
        <f t="shared" si="82"/>
        <v>12540</v>
      </c>
      <c r="B2207" s="1" t="str">
        <f>"93241"</f>
        <v>93241</v>
      </c>
      <c r="C2207" s="2">
        <v>1.56832542202382E-2</v>
      </c>
      <c r="D2207" s="2">
        <v>1.08951604400238E-2</v>
      </c>
      <c r="E2207" s="2">
        <v>1.0914796370830201E-2</v>
      </c>
      <c r="F2207" s="2">
        <v>1.5112590041580999E-2</v>
      </c>
    </row>
    <row r="2208" spans="1:6" x14ac:dyDescent="0.25">
      <c r="A2208" s="1" t="str">
        <f t="shared" si="82"/>
        <v>12540</v>
      </c>
      <c r="B2208" s="1" t="str">
        <f>"93306"</f>
        <v>93306</v>
      </c>
      <c r="C2208" s="2">
        <v>7.7064537424161403E-2</v>
      </c>
      <c r="D2208" s="2">
        <v>2.9276350472709298E-2</v>
      </c>
      <c r="E2208" s="2">
        <v>5.5938331400504797E-2</v>
      </c>
      <c r="F2208" s="2">
        <v>7.2442985200236898E-2</v>
      </c>
    </row>
    <row r="2209" spans="1:6" x14ac:dyDescent="0.25">
      <c r="A2209" s="1" t="str">
        <f t="shared" si="82"/>
        <v>12540</v>
      </c>
      <c r="B2209" s="1" t="str">
        <f>"93252"</f>
        <v>93252</v>
      </c>
      <c r="C2209" s="2">
        <v>1.05623840809782E-3</v>
      </c>
      <c r="D2209" s="2">
        <v>5.2718518258180103E-4</v>
      </c>
      <c r="E2209" s="2">
        <v>6.8217477317688698E-5</v>
      </c>
      <c r="F2209" s="2">
        <v>9.7446999352198901E-4</v>
      </c>
    </row>
    <row r="2210" spans="1:6" x14ac:dyDescent="0.25">
      <c r="A2210" s="1" t="str">
        <f t="shared" si="82"/>
        <v>12540</v>
      </c>
      <c r="B2210" s="1" t="str">
        <f>"93389"</f>
        <v>93389</v>
      </c>
      <c r="C2210" s="2">
        <v>6.6989406180252096E-3</v>
      </c>
      <c r="D2210" s="2">
        <v>2.3688187537342201E-2</v>
      </c>
      <c r="E2210" s="2">
        <v>1.3643495463537699E-4</v>
      </c>
      <c r="F2210" s="2">
        <v>7.77084452220518E-3</v>
      </c>
    </row>
    <row r="2211" spans="1:6" x14ac:dyDescent="0.25">
      <c r="A2211" s="1" t="str">
        <f t="shared" si="82"/>
        <v>12540</v>
      </c>
      <c r="B2211" s="1" t="str">
        <f>"93314"</f>
        <v>93314</v>
      </c>
      <c r="C2211" s="2">
        <v>3.4032252994247197E-2</v>
      </c>
      <c r="D2211" s="2">
        <v>1.11060345130566E-2</v>
      </c>
      <c r="E2211" s="2">
        <v>9.2775769152056708E-3</v>
      </c>
      <c r="F2211" s="2">
        <v>3.1221797121991399E-2</v>
      </c>
    </row>
    <row r="2212" spans="1:6" x14ac:dyDescent="0.25">
      <c r="A2212" s="1" t="str">
        <f t="shared" si="82"/>
        <v>12540</v>
      </c>
      <c r="B2212" s="1" t="str">
        <f>"93303"</f>
        <v>93303</v>
      </c>
      <c r="C2212" s="2">
        <v>1.35802081041149E-3</v>
      </c>
      <c r="D2212" s="2">
        <v>9.9110814325378601E-3</v>
      </c>
      <c r="E2212" s="2">
        <v>1.3643495463537699E-4</v>
      </c>
      <c r="F2212" s="2">
        <v>1.9821605550049502E-3</v>
      </c>
    </row>
    <row r="2213" spans="1:6" x14ac:dyDescent="0.25">
      <c r="A2213" s="1" t="str">
        <f t="shared" si="82"/>
        <v>12540</v>
      </c>
      <c r="B2213" s="1" t="str">
        <f>"93305"</f>
        <v>93305</v>
      </c>
      <c r="C2213" s="2">
        <v>3.73141366194083E-2</v>
      </c>
      <c r="D2213" s="2">
        <v>3.9784908445506598E-2</v>
      </c>
      <c r="E2213" s="2">
        <v>8.0087318370966595E-2</v>
      </c>
      <c r="F2213" s="2">
        <v>3.9244564284567303E-2</v>
      </c>
    </row>
    <row r="2214" spans="1:6" x14ac:dyDescent="0.25">
      <c r="A2214" s="1" t="str">
        <f t="shared" si="82"/>
        <v>12540</v>
      </c>
      <c r="B2214" s="1" t="str">
        <f>"93308"</f>
        <v>93308</v>
      </c>
      <c r="C2214" s="2">
        <v>6.7498663984156396E-2</v>
      </c>
      <c r="D2214" s="2">
        <v>0.10308227603416099</v>
      </c>
      <c r="E2214" s="2">
        <v>0.113991404597857</v>
      </c>
      <c r="F2214" s="2">
        <v>7.2188294179202805E-2</v>
      </c>
    </row>
    <row r="2215" spans="1:6" x14ac:dyDescent="0.25">
      <c r="A2215" s="1" t="str">
        <f t="shared" si="82"/>
        <v>12540</v>
      </c>
      <c r="B2215" s="1" t="str">
        <f>"93311"</f>
        <v>93311</v>
      </c>
      <c r="C2215" s="2">
        <v>5.5763729527521899E-2</v>
      </c>
      <c r="D2215" s="2">
        <v>2.7765086282641498E-2</v>
      </c>
      <c r="E2215" s="2">
        <v>3.2880824067125898E-2</v>
      </c>
      <c r="F2215" s="2">
        <v>5.2629684792177597E-2</v>
      </c>
    </row>
    <row r="2216" spans="1:6" x14ac:dyDescent="0.25">
      <c r="A2216" s="1" t="str">
        <f t="shared" si="82"/>
        <v>12540</v>
      </c>
      <c r="B2216" s="1" t="str">
        <f>"93555"</f>
        <v>93555</v>
      </c>
      <c r="C2216" s="2">
        <v>4.8106001068812597E-2</v>
      </c>
      <c r="D2216" s="2">
        <v>3.9222577584086003E-2</v>
      </c>
      <c r="E2216" s="2">
        <v>8.2747799986356493E-2</v>
      </c>
      <c r="F2216" s="2">
        <v>4.8812087857328698E-2</v>
      </c>
    </row>
    <row r="2217" spans="1:6" x14ac:dyDescent="0.25">
      <c r="A2217" s="1" t="str">
        <f t="shared" si="82"/>
        <v>12540</v>
      </c>
      <c r="B2217" s="1" t="str">
        <f>"93560"</f>
        <v>93560</v>
      </c>
      <c r="C2217" s="2">
        <v>3.1514256074942598E-2</v>
      </c>
      <c r="D2217" s="2">
        <v>1.05085579727972E-2</v>
      </c>
      <c r="E2217" s="2">
        <v>1.3916365372808499E-2</v>
      </c>
      <c r="F2217" s="2">
        <v>2.9145511624430399E-2</v>
      </c>
    </row>
    <row r="2218" spans="1:6" x14ac:dyDescent="0.25">
      <c r="A2218" s="1" t="str">
        <f t="shared" si="82"/>
        <v>12540</v>
      </c>
      <c r="B2218" s="1" t="str">
        <f>"93313"</f>
        <v>93313</v>
      </c>
      <c r="C2218" s="2">
        <v>5.1783974097010403E-2</v>
      </c>
      <c r="D2218" s="2">
        <v>4.4916177555969397E-2</v>
      </c>
      <c r="E2218" s="2">
        <v>2.2443550037519602E-2</v>
      </c>
      <c r="F2218" s="2">
        <v>5.0052322394538502E-2</v>
      </c>
    </row>
    <row r="2219" spans="1:6" x14ac:dyDescent="0.25">
      <c r="A2219" s="1" t="str">
        <f t="shared" si="82"/>
        <v>12540</v>
      </c>
      <c r="B2219" s="1" t="str">
        <f>"93461"</f>
        <v>93461</v>
      </c>
      <c r="C2219" s="2">
        <v>3.1435666907673402E-6</v>
      </c>
      <c r="D2219" s="2">
        <v>0</v>
      </c>
      <c r="E2219" s="2">
        <v>0</v>
      </c>
      <c r="F2219" s="2">
        <v>2.7683806634147398E-6</v>
      </c>
    </row>
    <row r="2220" spans="1:6" x14ac:dyDescent="0.25">
      <c r="A2220" s="1" t="str">
        <f t="shared" si="82"/>
        <v>12540</v>
      </c>
      <c r="B2220" s="1" t="str">
        <f>"93287"</f>
        <v>93287</v>
      </c>
      <c r="C2220" s="2">
        <v>5.3440633743044801E-5</v>
      </c>
      <c r="D2220" s="2">
        <v>1.0543703651636E-4</v>
      </c>
      <c r="E2220" s="2">
        <v>0</v>
      </c>
      <c r="F2220" s="2">
        <v>5.5367613268294803E-5</v>
      </c>
    </row>
    <row r="2221" spans="1:6" x14ac:dyDescent="0.25">
      <c r="A2221" s="1" t="str">
        <f t="shared" si="82"/>
        <v>12540</v>
      </c>
      <c r="B2221" s="1" t="str">
        <f>"93531"</f>
        <v>93531</v>
      </c>
      <c r="C2221" s="2">
        <v>7.4502530571185998E-4</v>
      </c>
      <c r="D2221" s="2">
        <v>1.0543703651636E-4</v>
      </c>
      <c r="E2221" s="2">
        <v>6.8217477317688698E-5</v>
      </c>
      <c r="F2221" s="2">
        <v>6.6717973988295195E-4</v>
      </c>
    </row>
    <row r="2222" spans="1:6" x14ac:dyDescent="0.25">
      <c r="A2222" s="1" t="str">
        <f t="shared" si="82"/>
        <v>12540</v>
      </c>
      <c r="B2222" s="1" t="str">
        <f>"93516"</f>
        <v>93516</v>
      </c>
      <c r="C2222" s="2">
        <v>3.8162899625915499E-3</v>
      </c>
      <c r="D2222" s="2">
        <v>3.3739851685235301E-3</v>
      </c>
      <c r="E2222" s="2">
        <v>1.5007845009891499E-3</v>
      </c>
      <c r="F2222" s="2">
        <v>3.6874830436684301E-3</v>
      </c>
    </row>
    <row r="2223" spans="1:6" x14ac:dyDescent="0.25">
      <c r="A2223" s="1" t="str">
        <f t="shared" si="82"/>
        <v>12540</v>
      </c>
      <c r="B2223" s="1" t="str">
        <f>"93502"</f>
        <v>93502</v>
      </c>
      <c r="C2223" s="2">
        <v>2.4897048190877301E-3</v>
      </c>
      <c r="D2223" s="2">
        <v>1.8978666572944799E-3</v>
      </c>
      <c r="E2223" s="2">
        <v>6.8217477317688698E-5</v>
      </c>
      <c r="F2223" s="2">
        <v>2.3448184219122801E-3</v>
      </c>
    </row>
    <row r="2224" spans="1:6" x14ac:dyDescent="0.25">
      <c r="A2224" s="1" t="str">
        <f t="shared" si="82"/>
        <v>12540</v>
      </c>
      <c r="B2224" s="1" t="str">
        <f>"93220"</f>
        <v>93220</v>
      </c>
      <c r="C2224" s="2">
        <v>2.2004966835371401E-5</v>
      </c>
      <c r="D2224" s="2">
        <v>3.51456788387867E-5</v>
      </c>
      <c r="E2224" s="2">
        <v>2.7286990927075501E-4</v>
      </c>
      <c r="F2224" s="2">
        <v>3.3220567960976898E-5</v>
      </c>
    </row>
    <row r="2225" spans="1:6" x14ac:dyDescent="0.25">
      <c r="A2225" s="1" t="str">
        <f t="shared" si="82"/>
        <v>12540</v>
      </c>
      <c r="B2225" s="1" t="str">
        <f>"93255"</f>
        <v>93255</v>
      </c>
      <c r="C2225" s="2">
        <v>7.1044607211341896E-4</v>
      </c>
      <c r="D2225" s="2">
        <v>7.0291357677573494E-5</v>
      </c>
      <c r="E2225" s="2">
        <v>6.8217477317688698E-5</v>
      </c>
      <c r="F2225" s="2">
        <v>6.3395917192197505E-4</v>
      </c>
    </row>
    <row r="2226" spans="1:6" x14ac:dyDescent="0.25">
      <c r="A2226" s="1" t="str">
        <f t="shared" si="82"/>
        <v>12540</v>
      </c>
      <c r="B2226" s="1" t="str">
        <f>"93388"</f>
        <v>93388</v>
      </c>
      <c r="C2226" s="2">
        <v>1.37059507717456E-3</v>
      </c>
      <c r="D2226" s="2">
        <v>5.4827258988507299E-3</v>
      </c>
      <c r="E2226" s="2">
        <v>1.3643495463537699E-4</v>
      </c>
      <c r="F2226" s="2">
        <v>1.64441811406835E-3</v>
      </c>
    </row>
    <row r="2227" spans="1:6" x14ac:dyDescent="0.25">
      <c r="A2227" s="1" t="str">
        <f t="shared" si="82"/>
        <v>12540</v>
      </c>
      <c r="B2227" s="1" t="str">
        <f>"93268"</f>
        <v>93268</v>
      </c>
      <c r="C2227" s="2">
        <v>1.9867341485649601E-2</v>
      </c>
      <c r="D2227" s="2">
        <v>2.1860612237725299E-2</v>
      </c>
      <c r="E2227" s="2">
        <v>1.9851285899447398E-2</v>
      </c>
      <c r="F2227" s="2">
        <v>2.0023697338478801E-2</v>
      </c>
    </row>
    <row r="2228" spans="1:6" x14ac:dyDescent="0.25">
      <c r="A2228" s="1" t="str">
        <f t="shared" si="82"/>
        <v>12540</v>
      </c>
      <c r="B2228" s="1" t="str">
        <f>"93240"</f>
        <v>93240</v>
      </c>
      <c r="C2228" s="2">
        <v>9.0188928358115109E-3</v>
      </c>
      <c r="D2228" s="2">
        <v>4.0768987452992596E-3</v>
      </c>
      <c r="E2228" s="2">
        <v>5.5938331400504802E-3</v>
      </c>
      <c r="F2228" s="2">
        <v>8.4906234946930097E-3</v>
      </c>
    </row>
    <row r="2229" spans="1:6" x14ac:dyDescent="0.25">
      <c r="A2229" s="1" t="str">
        <f t="shared" si="82"/>
        <v>12540</v>
      </c>
      <c r="B2229" s="1" t="str">
        <f>"93238"</f>
        <v>93238</v>
      </c>
      <c r="C2229" s="2">
        <v>8.4876300650718302E-4</v>
      </c>
      <c r="D2229" s="2">
        <v>2.2844691245211398E-3</v>
      </c>
      <c r="E2229" s="2">
        <v>8.8682720512995401E-4</v>
      </c>
      <c r="F2229" s="2">
        <v>9.6339647086833005E-4</v>
      </c>
    </row>
    <row r="2230" spans="1:6" x14ac:dyDescent="0.25">
      <c r="A2230" s="1" t="str">
        <f t="shared" si="82"/>
        <v>12540</v>
      </c>
      <c r="B2230" s="1" t="str">
        <f>"93224"</f>
        <v>93224</v>
      </c>
      <c r="C2230" s="2">
        <v>5.7841627110119097E-4</v>
      </c>
      <c r="D2230" s="2">
        <v>3.8660246722665401E-4</v>
      </c>
      <c r="E2230" s="2">
        <v>6.8217477317688698E-5</v>
      </c>
      <c r="F2230" s="2">
        <v>5.4260261002928901E-4</v>
      </c>
    </row>
    <row r="2231" spans="1:6" x14ac:dyDescent="0.25">
      <c r="A2231" s="1" t="str">
        <f t="shared" si="82"/>
        <v>12540</v>
      </c>
      <c r="B2231" s="1" t="str">
        <f>"93561"</f>
        <v>93561</v>
      </c>
      <c r="C2231" s="2">
        <v>4.5352236647700397E-2</v>
      </c>
      <c r="D2231" s="2">
        <v>3.3985871437106803E-2</v>
      </c>
      <c r="E2231" s="2">
        <v>4.07940514359778E-2</v>
      </c>
      <c r="F2231" s="2">
        <v>4.4271943569328502E-2</v>
      </c>
    </row>
    <row r="2232" spans="1:6" x14ac:dyDescent="0.25">
      <c r="A2232" s="1" t="str">
        <f t="shared" si="82"/>
        <v>12540</v>
      </c>
      <c r="B2232" s="1" t="str">
        <f>"93518"</f>
        <v>93518</v>
      </c>
      <c r="C2232" s="2">
        <v>2.4425513187262202E-3</v>
      </c>
      <c r="D2232" s="2">
        <v>1.6167012265841899E-3</v>
      </c>
      <c r="E2232" s="2">
        <v>1.3643495463537699E-4</v>
      </c>
      <c r="F2232" s="2">
        <v>2.2839140473171599E-3</v>
      </c>
    </row>
    <row r="2233" spans="1:6" x14ac:dyDescent="0.25">
      <c r="A2233" s="1" t="str">
        <f t="shared" ref="A2233:A2296" si="83">"12580"</f>
        <v>12580</v>
      </c>
      <c r="B2233" s="1" t="str">
        <f>"21278"</f>
        <v>21278</v>
      </c>
      <c r="C2233" s="2">
        <v>0</v>
      </c>
      <c r="D2233" s="2">
        <v>1.63289299652193E-5</v>
      </c>
      <c r="E2233" s="2">
        <v>0</v>
      </c>
      <c r="F2233" s="2">
        <v>1.3371978350767001E-6</v>
      </c>
    </row>
    <row r="2234" spans="1:6" x14ac:dyDescent="0.25">
      <c r="A2234" s="1" t="str">
        <f t="shared" si="83"/>
        <v>12580</v>
      </c>
      <c r="B2234" s="1" t="str">
        <f>"21023"</f>
        <v>21023</v>
      </c>
      <c r="C2234" s="2">
        <v>3.08020942343869E-6</v>
      </c>
      <c r="D2234" s="2">
        <v>8.1644649826096805E-6</v>
      </c>
      <c r="E2234" s="2">
        <v>0</v>
      </c>
      <c r="F2234" s="2">
        <v>3.3429945876917599E-6</v>
      </c>
    </row>
    <row r="2235" spans="1:6" x14ac:dyDescent="0.25">
      <c r="A2235" s="1" t="str">
        <f t="shared" si="83"/>
        <v>12580</v>
      </c>
      <c r="B2235" s="1" t="str">
        <f>"21051"</f>
        <v>21051</v>
      </c>
      <c r="C2235" s="2">
        <v>8.7015916212143202E-5</v>
      </c>
      <c r="D2235" s="2">
        <v>1.63289299652193E-5</v>
      </c>
      <c r="E2235" s="2">
        <v>0</v>
      </c>
      <c r="F2235" s="2">
        <v>7.6888875516910503E-5</v>
      </c>
    </row>
    <row r="2236" spans="1:6" x14ac:dyDescent="0.25">
      <c r="A2236" s="1" t="str">
        <f t="shared" si="83"/>
        <v>12580</v>
      </c>
      <c r="B2236" s="1" t="str">
        <f>"21287"</f>
        <v>21287</v>
      </c>
      <c r="C2236" s="2">
        <v>0</v>
      </c>
      <c r="D2236" s="2">
        <v>2.6126287944350999E-4</v>
      </c>
      <c r="E2236" s="2">
        <v>8.0461311519377705E-5</v>
      </c>
      <c r="F2236" s="2">
        <v>2.54067588664573E-5</v>
      </c>
    </row>
    <row r="2237" spans="1:6" x14ac:dyDescent="0.25">
      <c r="A2237" s="1" t="str">
        <f t="shared" si="83"/>
        <v>12580</v>
      </c>
      <c r="B2237" s="1" t="str">
        <f>"21022"</f>
        <v>21022</v>
      </c>
      <c r="C2237" s="2">
        <v>2.94159999938395E-4</v>
      </c>
      <c r="D2237" s="2">
        <v>1.9758005257915399E-3</v>
      </c>
      <c r="E2237" s="2">
        <v>1.3410218586562899E-5</v>
      </c>
      <c r="F2237" s="2">
        <v>4.1787432346147E-4</v>
      </c>
    </row>
    <row r="2238" spans="1:6" x14ac:dyDescent="0.25">
      <c r="A2238" s="1" t="str">
        <f t="shared" si="83"/>
        <v>12580</v>
      </c>
      <c r="B2238" s="1" t="str">
        <f>"20723"</f>
        <v>20723</v>
      </c>
      <c r="C2238" s="2">
        <v>9.6533763330568807E-3</v>
      </c>
      <c r="D2238" s="2">
        <v>4.6047582501918599E-3</v>
      </c>
      <c r="E2238" s="2">
        <v>6.2625720799249001E-3</v>
      </c>
      <c r="F2238" s="2">
        <v>9.0708815142428196E-3</v>
      </c>
    </row>
    <row r="2239" spans="1:6" x14ac:dyDescent="0.25">
      <c r="A2239" s="1" t="str">
        <f t="shared" si="83"/>
        <v>12580</v>
      </c>
      <c r="B2239" s="1" t="str">
        <f>"20758"</f>
        <v>20758</v>
      </c>
      <c r="C2239" s="2">
        <v>2.5873759156884999E-4</v>
      </c>
      <c r="D2239" s="2">
        <v>3.2657859930438702E-5</v>
      </c>
      <c r="E2239" s="2">
        <v>5.3640874346251801E-5</v>
      </c>
      <c r="F2239" s="2">
        <v>2.2999802763319299E-4</v>
      </c>
    </row>
    <row r="2240" spans="1:6" x14ac:dyDescent="0.25">
      <c r="A2240" s="1" t="str">
        <f t="shared" si="83"/>
        <v>12580</v>
      </c>
      <c r="B2240" s="1" t="str">
        <f>"20776"</f>
        <v>20776</v>
      </c>
      <c r="C2240" s="2">
        <v>1.02262952858164E-3</v>
      </c>
      <c r="D2240" s="2">
        <v>1.30631439721755E-4</v>
      </c>
      <c r="E2240" s="2">
        <v>6.8392114791471096E-4</v>
      </c>
      <c r="F2240" s="2">
        <v>9.3269548996600103E-4</v>
      </c>
    </row>
    <row r="2241" spans="1:6" x14ac:dyDescent="0.25">
      <c r="A2241" s="1" t="str">
        <f t="shared" si="83"/>
        <v>12580</v>
      </c>
      <c r="B2241" s="1" t="str">
        <f>"21030"</f>
        <v>21030</v>
      </c>
      <c r="C2241" s="2">
        <v>1.01885627203793E-2</v>
      </c>
      <c r="D2241" s="2">
        <v>1.43857872993582E-2</v>
      </c>
      <c r="E2241" s="2">
        <v>1.73796432881855E-2</v>
      </c>
      <c r="F2241" s="2">
        <v>1.08908077677822E-2</v>
      </c>
    </row>
    <row r="2242" spans="1:6" x14ac:dyDescent="0.25">
      <c r="A2242" s="1" t="str">
        <f t="shared" si="83"/>
        <v>12580</v>
      </c>
      <c r="B2242" s="1" t="str">
        <f>"21042"</f>
        <v>21042</v>
      </c>
      <c r="C2242" s="2">
        <v>1.20590198927625E-2</v>
      </c>
      <c r="D2242" s="2">
        <v>9.8545092340098905E-3</v>
      </c>
      <c r="E2242" s="2">
        <v>6.4503151401367797E-3</v>
      </c>
      <c r="F2242" s="2">
        <v>1.15988540214553E-2</v>
      </c>
    </row>
    <row r="2243" spans="1:6" x14ac:dyDescent="0.25">
      <c r="A2243" s="1" t="str">
        <f t="shared" si="83"/>
        <v>12580</v>
      </c>
      <c r="B2243" s="1" t="str">
        <f>"21014"</f>
        <v>21014</v>
      </c>
      <c r="C2243" s="2">
        <v>1.2584965651814601E-2</v>
      </c>
      <c r="D2243" s="2">
        <v>1.7006580558775901E-2</v>
      </c>
      <c r="E2243" s="2">
        <v>1.21898886951857E-2</v>
      </c>
      <c r="F2243" s="2">
        <v>1.2927360070604001E-2</v>
      </c>
    </row>
    <row r="2244" spans="1:6" x14ac:dyDescent="0.25">
      <c r="A2244" s="1" t="str">
        <f t="shared" si="83"/>
        <v>12580</v>
      </c>
      <c r="B2244" s="1" t="str">
        <f>"21791"</f>
        <v>21791</v>
      </c>
      <c r="C2244" s="2">
        <v>7.6389193701279705E-4</v>
      </c>
      <c r="D2244" s="2">
        <v>3.0208520435655799E-4</v>
      </c>
      <c r="E2244" s="2">
        <v>1.8774306021188099E-3</v>
      </c>
      <c r="F2244" s="2">
        <v>7.8159213460233395E-4</v>
      </c>
    </row>
    <row r="2245" spans="1:6" x14ac:dyDescent="0.25">
      <c r="A2245" s="1" t="str">
        <f t="shared" si="83"/>
        <v>12580</v>
      </c>
      <c r="B2245" s="1" t="str">
        <f>"21737"</f>
        <v>21737</v>
      </c>
      <c r="C2245" s="2">
        <v>5.3980670145763199E-4</v>
      </c>
      <c r="D2245" s="2">
        <v>2.93920739373948E-4</v>
      </c>
      <c r="E2245" s="2">
        <v>6.7051092932814797E-5</v>
      </c>
      <c r="F2245" s="2">
        <v>4.9610039681345695E-4</v>
      </c>
    </row>
    <row r="2246" spans="1:6" x14ac:dyDescent="0.25">
      <c r="A2246" s="1" t="str">
        <f t="shared" si="83"/>
        <v>12580</v>
      </c>
      <c r="B2246" s="1" t="str">
        <f>"21113"</f>
        <v>21113</v>
      </c>
      <c r="C2246" s="2">
        <v>1.2363190573327E-2</v>
      </c>
      <c r="D2246" s="2">
        <v>5.5518361881745802E-3</v>
      </c>
      <c r="E2246" s="2">
        <v>1.0325868311653399E-2</v>
      </c>
      <c r="F2246" s="2">
        <v>1.1703824051508801E-2</v>
      </c>
    </row>
    <row r="2247" spans="1:6" x14ac:dyDescent="0.25">
      <c r="A2247" s="1" t="str">
        <f t="shared" si="83"/>
        <v>12580</v>
      </c>
      <c r="B2247" s="1" t="str">
        <f>"21087"</f>
        <v>21087</v>
      </c>
      <c r="C2247" s="2">
        <v>1.7349279577518399E-3</v>
      </c>
      <c r="D2247" s="2">
        <v>6.6132166359138397E-4</v>
      </c>
      <c r="E2247" s="2">
        <v>1.34102185865629E-4</v>
      </c>
      <c r="F2247" s="2">
        <v>1.56719586270989E-3</v>
      </c>
    </row>
    <row r="2248" spans="1:6" x14ac:dyDescent="0.25">
      <c r="A2248" s="1" t="str">
        <f t="shared" si="83"/>
        <v>12580</v>
      </c>
      <c r="B2248" s="1" t="str">
        <f>"21077"</f>
        <v>21077</v>
      </c>
      <c r="C2248" s="2">
        <v>1.1704795809067E-4</v>
      </c>
      <c r="D2248" s="2">
        <v>3.5923645923482598E-4</v>
      </c>
      <c r="E2248" s="2">
        <v>1.4751240445219201E-4</v>
      </c>
      <c r="F2248" s="2">
        <v>1.3839997593043801E-4</v>
      </c>
    </row>
    <row r="2249" spans="1:6" x14ac:dyDescent="0.25">
      <c r="A2249" s="1" t="str">
        <f t="shared" si="83"/>
        <v>12580</v>
      </c>
      <c r="B2249" s="1" t="str">
        <f>"21229"</f>
        <v>21229</v>
      </c>
      <c r="C2249" s="2">
        <v>1.59285329809573E-2</v>
      </c>
      <c r="D2249" s="2">
        <v>6.8581505853921301E-3</v>
      </c>
      <c r="E2249" s="2">
        <v>1.8465870993697099E-2</v>
      </c>
      <c r="F2249" s="2">
        <v>1.53122524094633E-2</v>
      </c>
    </row>
    <row r="2250" spans="1:6" x14ac:dyDescent="0.25">
      <c r="A2250" s="1" t="str">
        <f t="shared" si="83"/>
        <v>12580</v>
      </c>
      <c r="B2250" s="1" t="str">
        <f>"21215"</f>
        <v>21215</v>
      </c>
      <c r="C2250" s="2">
        <v>2.17639897336619E-2</v>
      </c>
      <c r="D2250" s="2">
        <v>1.8802762854950101E-2</v>
      </c>
      <c r="E2250" s="2">
        <v>3.48531581064771E-2</v>
      </c>
      <c r="F2250" s="2">
        <v>2.2174083100159399E-2</v>
      </c>
    </row>
    <row r="2251" spans="1:6" x14ac:dyDescent="0.25">
      <c r="A2251" s="1" t="str">
        <f t="shared" si="83"/>
        <v>12580</v>
      </c>
      <c r="B2251" s="1" t="str">
        <f>"21218"</f>
        <v>21218</v>
      </c>
      <c r="C2251" s="2">
        <v>1.9055715598103502E-2</v>
      </c>
      <c r="D2251" s="2">
        <v>1.6443232474975901E-2</v>
      </c>
      <c r="E2251" s="2">
        <v>3.4196057395735502E-2</v>
      </c>
      <c r="F2251" s="2">
        <v>1.9596634273049099E-2</v>
      </c>
    </row>
    <row r="2252" spans="1:6" x14ac:dyDescent="0.25">
      <c r="A2252" s="1" t="str">
        <f t="shared" si="83"/>
        <v>12580</v>
      </c>
      <c r="B2252" s="1" t="str">
        <f>"21223"</f>
        <v>21223</v>
      </c>
      <c r="C2252" s="2">
        <v>1.1221972981942999E-2</v>
      </c>
      <c r="D2252" s="2">
        <v>1.2458973563462299E-2</v>
      </c>
      <c r="E2252" s="2">
        <v>1.4255062357516401E-2</v>
      </c>
      <c r="F2252" s="2">
        <v>1.1474494622793201E-2</v>
      </c>
    </row>
    <row r="2253" spans="1:6" x14ac:dyDescent="0.25">
      <c r="A2253" s="1" t="str">
        <f t="shared" si="83"/>
        <v>12580</v>
      </c>
      <c r="B2253" s="1" t="str">
        <f>"21219"</f>
        <v>21219</v>
      </c>
      <c r="C2253" s="2">
        <v>3.18724670090319E-3</v>
      </c>
      <c r="D2253" s="2">
        <v>1.9921294557567601E-3</v>
      </c>
      <c r="E2253" s="2">
        <v>1.40807295158911E-3</v>
      </c>
      <c r="F2253" s="2">
        <v>3.0006719419121198E-3</v>
      </c>
    </row>
    <row r="2254" spans="1:6" x14ac:dyDescent="0.25">
      <c r="A2254" s="1" t="str">
        <f t="shared" si="83"/>
        <v>12580</v>
      </c>
      <c r="B2254" s="1" t="str">
        <f>"21409"</f>
        <v>21409</v>
      </c>
      <c r="C2254" s="2">
        <v>6.1211461767285502E-3</v>
      </c>
      <c r="D2254" s="2">
        <v>1.9104848059306599E-3</v>
      </c>
      <c r="E2254" s="2">
        <v>9.789459568190959E-4</v>
      </c>
      <c r="F2254" s="2">
        <v>5.5199526631966303E-3</v>
      </c>
    </row>
    <row r="2255" spans="1:6" x14ac:dyDescent="0.25">
      <c r="A2255" s="1" t="str">
        <f t="shared" si="83"/>
        <v>12580</v>
      </c>
      <c r="B2255" s="1" t="str">
        <f>"21623"</f>
        <v>21623</v>
      </c>
      <c r="C2255" s="2">
        <v>9.3792376943708405E-4</v>
      </c>
      <c r="D2255" s="2">
        <v>2.2044055453046099E-4</v>
      </c>
      <c r="E2255" s="2">
        <v>8.0461311519377705E-5</v>
      </c>
      <c r="F2255" s="2">
        <v>8.3641724584047796E-4</v>
      </c>
    </row>
    <row r="2256" spans="1:6" x14ac:dyDescent="0.25">
      <c r="A2256" s="1" t="str">
        <f t="shared" si="83"/>
        <v>12580</v>
      </c>
      <c r="B2256" s="1" t="str">
        <f>"21286"</f>
        <v>21286</v>
      </c>
      <c r="C2256" s="2">
        <v>7.8961168569851008E-3</v>
      </c>
      <c r="D2256" s="2">
        <v>1.14465799056187E-2</v>
      </c>
      <c r="E2256" s="2">
        <v>1.02185865629609E-2</v>
      </c>
      <c r="F2256" s="2">
        <v>8.3026613579912593E-3</v>
      </c>
    </row>
    <row r="2257" spans="1:6" x14ac:dyDescent="0.25">
      <c r="A2257" s="1" t="str">
        <f t="shared" si="83"/>
        <v>12580</v>
      </c>
      <c r="B2257" s="1" t="str">
        <f>"21765"</f>
        <v>21765</v>
      </c>
      <c r="C2257" s="2">
        <v>2.4333654445165699E-4</v>
      </c>
      <c r="D2257" s="2">
        <v>7.6745970836531005E-4</v>
      </c>
      <c r="E2257" s="2">
        <v>1.3410218586562899E-5</v>
      </c>
      <c r="F2257" s="2">
        <v>2.7479415510826198E-4</v>
      </c>
    </row>
    <row r="2258" spans="1:6" x14ac:dyDescent="0.25">
      <c r="A2258" s="1" t="str">
        <f t="shared" si="83"/>
        <v>12580</v>
      </c>
      <c r="B2258" s="1" t="str">
        <f>"21092"</f>
        <v>21092</v>
      </c>
      <c r="C2258" s="2">
        <v>0</v>
      </c>
      <c r="D2258" s="2">
        <v>8.1644649826096805E-6</v>
      </c>
      <c r="E2258" s="2">
        <v>1.3410218586562899E-5</v>
      </c>
      <c r="F2258" s="2">
        <v>1.3371978350767001E-6</v>
      </c>
    </row>
    <row r="2259" spans="1:6" x14ac:dyDescent="0.25">
      <c r="A2259" s="1" t="str">
        <f t="shared" si="83"/>
        <v>12580</v>
      </c>
      <c r="B2259" s="1" t="str">
        <f>"21290"</f>
        <v>21290</v>
      </c>
      <c r="C2259" s="2">
        <v>0</v>
      </c>
      <c r="D2259" s="2">
        <v>8.1644649826096805E-6</v>
      </c>
      <c r="E2259" s="2">
        <v>0</v>
      </c>
      <c r="F2259" s="2">
        <v>6.6859891753835205E-7</v>
      </c>
    </row>
    <row r="2260" spans="1:6" x14ac:dyDescent="0.25">
      <c r="A2260" s="1" t="str">
        <f t="shared" si="83"/>
        <v>12580</v>
      </c>
      <c r="B2260" s="1" t="str">
        <f>"20765"</f>
        <v>20765</v>
      </c>
      <c r="C2260" s="2">
        <v>7.85453402976868E-5</v>
      </c>
      <c r="D2260" s="2">
        <v>1.71453764634803E-4</v>
      </c>
      <c r="E2260" s="2">
        <v>4.0230655759688798E-5</v>
      </c>
      <c r="F2260" s="2">
        <v>8.4243463609832395E-5</v>
      </c>
    </row>
    <row r="2261" spans="1:6" x14ac:dyDescent="0.25">
      <c r="A2261" s="1" t="str">
        <f t="shared" si="83"/>
        <v>12580</v>
      </c>
      <c r="B2261" s="1" t="str">
        <f>"20751"</f>
        <v>20751</v>
      </c>
      <c r="C2261" s="2">
        <v>8.53218010292519E-4</v>
      </c>
      <c r="D2261" s="2">
        <v>1.0368870527914301E-3</v>
      </c>
      <c r="E2261" s="2">
        <v>3.35255464664074E-4</v>
      </c>
      <c r="F2261" s="2">
        <v>8.4243463609832395E-4</v>
      </c>
    </row>
    <row r="2262" spans="1:6" x14ac:dyDescent="0.25">
      <c r="A2262" s="1" t="str">
        <f t="shared" si="83"/>
        <v>12580</v>
      </c>
      <c r="B2262" s="1" t="str">
        <f>"20777"</f>
        <v>20777</v>
      </c>
      <c r="C2262" s="2">
        <v>1.12889675369028E-3</v>
      </c>
      <c r="D2262" s="2">
        <v>1.55941281167845E-3</v>
      </c>
      <c r="E2262" s="2">
        <v>9.3871530105940694E-5</v>
      </c>
      <c r="F2262" s="2">
        <v>1.11254859878381E-3</v>
      </c>
    </row>
    <row r="2263" spans="1:6" x14ac:dyDescent="0.25">
      <c r="A2263" s="1" t="str">
        <f t="shared" si="83"/>
        <v>12580</v>
      </c>
      <c r="B2263" s="1" t="str">
        <f>"20794"</f>
        <v>20794</v>
      </c>
      <c r="C2263" s="2">
        <v>4.1159298420699597E-3</v>
      </c>
      <c r="D2263" s="2">
        <v>9.2585032902793799E-3</v>
      </c>
      <c r="E2263" s="2">
        <v>4.3717312592195202E-3</v>
      </c>
      <c r="F2263" s="2">
        <v>4.5498156338484802E-3</v>
      </c>
    </row>
    <row r="2264" spans="1:6" x14ac:dyDescent="0.25">
      <c r="A2264" s="1" t="str">
        <f t="shared" si="83"/>
        <v>12580</v>
      </c>
      <c r="B2264" s="1" t="str">
        <f>"21031"</f>
        <v>21031</v>
      </c>
      <c r="C2264" s="2">
        <v>7.7005235585967397E-7</v>
      </c>
      <c r="D2264" s="2">
        <v>3.9679299815483004E-3</v>
      </c>
      <c r="E2264" s="2">
        <v>1.0057663939922201E-3</v>
      </c>
      <c r="F2264" s="2">
        <v>3.7575259165655402E-4</v>
      </c>
    </row>
    <row r="2265" spans="1:6" x14ac:dyDescent="0.25">
      <c r="A2265" s="1" t="str">
        <f t="shared" si="83"/>
        <v>12580</v>
      </c>
      <c r="B2265" s="1" t="str">
        <f>"21035"</f>
        <v>21035</v>
      </c>
      <c r="C2265" s="2">
        <v>2.3863922508091302E-3</v>
      </c>
      <c r="D2265" s="2">
        <v>1.6982087163828099E-3</v>
      </c>
      <c r="E2265" s="2">
        <v>8.0461311519377705E-5</v>
      </c>
      <c r="F2265" s="2">
        <v>2.2150682138045602E-3</v>
      </c>
    </row>
    <row r="2266" spans="1:6" x14ac:dyDescent="0.25">
      <c r="A2266" s="1" t="str">
        <f t="shared" si="83"/>
        <v>12580</v>
      </c>
      <c r="B2266" s="1" t="str">
        <f>"21029"</f>
        <v>21029</v>
      </c>
      <c r="C2266" s="2">
        <v>3.7978982190999102E-3</v>
      </c>
      <c r="D2266" s="2">
        <v>2.3350369850263699E-3</v>
      </c>
      <c r="E2266" s="2">
        <v>7.3756202226096205E-4</v>
      </c>
      <c r="F2266" s="2">
        <v>3.5255220921797301E-3</v>
      </c>
    </row>
    <row r="2267" spans="1:6" x14ac:dyDescent="0.25">
      <c r="A2267" s="1" t="str">
        <f t="shared" si="83"/>
        <v>12580</v>
      </c>
      <c r="B2267" s="1" t="str">
        <f>"21005"</f>
        <v>21005</v>
      </c>
      <c r="C2267" s="2">
        <v>2.3833120413856899E-3</v>
      </c>
      <c r="D2267" s="2">
        <v>1.5349194167306201E-3</v>
      </c>
      <c r="E2267" s="2">
        <v>5.6322918063564402E-3</v>
      </c>
      <c r="F2267" s="2">
        <v>2.4758217916445099E-3</v>
      </c>
    </row>
    <row r="2268" spans="1:6" x14ac:dyDescent="0.25">
      <c r="A2268" s="1" t="str">
        <f t="shared" si="83"/>
        <v>12580</v>
      </c>
      <c r="B2268" s="1" t="str">
        <f>"21202"</f>
        <v>21202</v>
      </c>
      <c r="C2268" s="2">
        <v>1.10479411495187E-2</v>
      </c>
      <c r="D2268" s="2">
        <v>3.8209696118613301E-2</v>
      </c>
      <c r="E2268" s="2">
        <v>1.99812256939788E-2</v>
      </c>
      <c r="F2268" s="2">
        <v>1.3717643991134299E-2</v>
      </c>
    </row>
    <row r="2269" spans="1:6" x14ac:dyDescent="0.25">
      <c r="A2269" s="1" t="str">
        <f t="shared" si="83"/>
        <v>12580</v>
      </c>
      <c r="B2269" s="1" t="str">
        <f>"21163"</f>
        <v>21163</v>
      </c>
      <c r="C2269" s="2">
        <v>2.2300716225696102E-3</v>
      </c>
      <c r="D2269" s="2">
        <v>5.4701915383484898E-4</v>
      </c>
      <c r="E2269" s="2">
        <v>8.7166420812659199E-4</v>
      </c>
      <c r="F2269" s="2">
        <v>2.0245175223061302E-3</v>
      </c>
    </row>
    <row r="2270" spans="1:6" x14ac:dyDescent="0.25">
      <c r="A2270" s="1" t="str">
        <f t="shared" si="83"/>
        <v>12580</v>
      </c>
      <c r="B2270" s="1" t="str">
        <f>"20724"</f>
        <v>20724</v>
      </c>
      <c r="C2270" s="2">
        <v>6.0526115170570398E-3</v>
      </c>
      <c r="D2270" s="2">
        <v>2.23706340523505E-3</v>
      </c>
      <c r="E2270" s="2">
        <v>5.3909078717983101E-3</v>
      </c>
      <c r="F2270" s="2">
        <v>5.7071603601073703E-3</v>
      </c>
    </row>
    <row r="2271" spans="1:6" x14ac:dyDescent="0.25">
      <c r="A2271" s="1" t="str">
        <f t="shared" si="83"/>
        <v>12580</v>
      </c>
      <c r="B2271" s="1" t="str">
        <f>"20763"</f>
        <v>20763</v>
      </c>
      <c r="C2271" s="2">
        <v>1.3067788478938599E-3</v>
      </c>
      <c r="D2271" s="2">
        <v>2.8575627439133902E-3</v>
      </c>
      <c r="E2271" s="2">
        <v>2.33337803406195E-3</v>
      </c>
      <c r="F2271" s="2">
        <v>1.48495819585268E-3</v>
      </c>
    </row>
    <row r="2272" spans="1:6" x14ac:dyDescent="0.25">
      <c r="A2272" s="1" t="str">
        <f t="shared" si="83"/>
        <v>12580</v>
      </c>
      <c r="B2272" s="1" t="str">
        <f>"20778"</f>
        <v>20778</v>
      </c>
      <c r="C2272" s="2">
        <v>6.0834136112914296E-4</v>
      </c>
      <c r="D2272" s="2">
        <v>2.2860501951307101E-4</v>
      </c>
      <c r="E2272" s="2">
        <v>5.3640874346251801E-5</v>
      </c>
      <c r="F2272" s="2">
        <v>5.4958831021652505E-4</v>
      </c>
    </row>
    <row r="2273" spans="1:6" x14ac:dyDescent="0.25">
      <c r="A2273" s="1" t="str">
        <f t="shared" si="83"/>
        <v>12580</v>
      </c>
      <c r="B2273" s="1" t="str">
        <f>"21041"</f>
        <v>21041</v>
      </c>
      <c r="C2273" s="2">
        <v>1.0449610469015699E-3</v>
      </c>
      <c r="D2273" s="2">
        <v>3.5842001273656502E-3</v>
      </c>
      <c r="E2273" s="2">
        <v>2.68204371731259E-5</v>
      </c>
      <c r="F2273" s="2">
        <v>1.2021408537339501E-3</v>
      </c>
    </row>
    <row r="2274" spans="1:6" x14ac:dyDescent="0.25">
      <c r="A2274" s="1" t="str">
        <f t="shared" si="83"/>
        <v>12580</v>
      </c>
      <c r="B2274" s="1" t="str">
        <f>"21085"</f>
        <v>21085</v>
      </c>
      <c r="C2274" s="2">
        <v>5.8223658626549999E-3</v>
      </c>
      <c r="D2274" s="2">
        <v>3.53521333746999E-3</v>
      </c>
      <c r="E2274" s="2">
        <v>3.0977604934960398E-3</v>
      </c>
      <c r="F2274" s="2">
        <v>5.4992260967529401E-3</v>
      </c>
    </row>
    <row r="2275" spans="1:6" x14ac:dyDescent="0.25">
      <c r="A2275" s="1" t="str">
        <f t="shared" si="83"/>
        <v>12580</v>
      </c>
      <c r="B2275" s="1" t="str">
        <f>"21139"</f>
        <v>21139</v>
      </c>
      <c r="C2275" s="2">
        <v>3.1957172768176499E-4</v>
      </c>
      <c r="D2275" s="2">
        <v>1.3226433271827599E-3</v>
      </c>
      <c r="E2275" s="2">
        <v>1.3410218586562899E-5</v>
      </c>
      <c r="F2275" s="2">
        <v>3.8645017433716698E-4</v>
      </c>
    </row>
    <row r="2276" spans="1:6" x14ac:dyDescent="0.25">
      <c r="A2276" s="1" t="str">
        <f t="shared" si="83"/>
        <v>12580</v>
      </c>
      <c r="B2276" s="1" t="str">
        <f>"20733"</f>
        <v>20733</v>
      </c>
      <c r="C2276" s="2">
        <v>9.5717507833357497E-4</v>
      </c>
      <c r="D2276" s="2">
        <v>2.93920739373948E-4</v>
      </c>
      <c r="E2276" s="2">
        <v>1.7433284162531799E-4</v>
      </c>
      <c r="F2276" s="2">
        <v>8.6382980145955095E-4</v>
      </c>
    </row>
    <row r="2277" spans="1:6" x14ac:dyDescent="0.25">
      <c r="A2277" s="1" t="str">
        <f t="shared" si="83"/>
        <v>12580</v>
      </c>
      <c r="B2277" s="1" t="str">
        <f>"21043"</f>
        <v>21043</v>
      </c>
      <c r="C2277" s="2">
        <v>1.50968764366289E-2</v>
      </c>
      <c r="D2277" s="2">
        <v>9.3972991949837492E-3</v>
      </c>
      <c r="E2277" s="2">
        <v>1.9592329354968401E-2</v>
      </c>
      <c r="F2277" s="2">
        <v>1.4854262150949499E-2</v>
      </c>
    </row>
    <row r="2278" spans="1:6" x14ac:dyDescent="0.25">
      <c r="A2278" s="1" t="str">
        <f t="shared" si="83"/>
        <v>12580</v>
      </c>
      <c r="B2278" s="1" t="str">
        <f>"21154"</f>
        <v>21154</v>
      </c>
      <c r="C2278" s="2">
        <v>2.01291685821719E-3</v>
      </c>
      <c r="D2278" s="2">
        <v>5.9600594373050697E-4</v>
      </c>
      <c r="E2278" s="2">
        <v>1.0728174869250301E-4</v>
      </c>
      <c r="F2278" s="2">
        <v>1.8018740827658601E-3</v>
      </c>
    </row>
    <row r="2279" spans="1:6" x14ac:dyDescent="0.25">
      <c r="A2279" s="1" t="str">
        <f t="shared" si="83"/>
        <v>12580</v>
      </c>
      <c r="B2279" s="1" t="str">
        <f>"21075"</f>
        <v>21075</v>
      </c>
      <c r="C2279" s="2">
        <v>1.09955775893202E-2</v>
      </c>
      <c r="D2279" s="2">
        <v>1.2712071977923199E-2</v>
      </c>
      <c r="E2279" s="2">
        <v>9.2664610433149993E-3</v>
      </c>
      <c r="F2279" s="2">
        <v>1.1049934310156301E-2</v>
      </c>
    </row>
    <row r="2280" spans="1:6" x14ac:dyDescent="0.25">
      <c r="A2280" s="1" t="str">
        <f t="shared" si="83"/>
        <v>12580</v>
      </c>
      <c r="B2280" s="1" t="str">
        <f>"21108"</f>
        <v>21108</v>
      </c>
      <c r="C2280" s="2">
        <v>6.27438659554463E-3</v>
      </c>
      <c r="D2280" s="2">
        <v>8.3930700021227593E-3</v>
      </c>
      <c r="E2280" s="2">
        <v>2.56135175003352E-3</v>
      </c>
      <c r="F2280" s="2">
        <v>6.2627660605817396E-3</v>
      </c>
    </row>
    <row r="2281" spans="1:6" x14ac:dyDescent="0.25">
      <c r="A2281" s="1" t="str">
        <f t="shared" si="83"/>
        <v>12580</v>
      </c>
      <c r="B2281" s="1" t="str">
        <f>"21136"</f>
        <v>21136</v>
      </c>
      <c r="C2281" s="2">
        <v>1.11495880604922E-2</v>
      </c>
      <c r="D2281" s="2">
        <v>8.0909847977661993E-3</v>
      </c>
      <c r="E2281" s="2">
        <v>7.3353895668499302E-3</v>
      </c>
      <c r="F2281" s="2">
        <v>1.0708948862211701E-2</v>
      </c>
    </row>
    <row r="2282" spans="1:6" x14ac:dyDescent="0.25">
      <c r="A2282" s="1" t="str">
        <f t="shared" si="83"/>
        <v>12580</v>
      </c>
      <c r="B2282" s="1" t="str">
        <f>"21053"</f>
        <v>21053</v>
      </c>
      <c r="C2282" s="2">
        <v>9.6872586367147096E-4</v>
      </c>
      <c r="D2282" s="2">
        <v>2.2860501951307101E-4</v>
      </c>
      <c r="E2282" s="2">
        <v>1.60922623038755E-4</v>
      </c>
      <c r="F2282" s="2">
        <v>8.6784139496478099E-4</v>
      </c>
    </row>
    <row r="2283" spans="1:6" x14ac:dyDescent="0.25">
      <c r="A2283" s="1" t="str">
        <f t="shared" si="83"/>
        <v>12580</v>
      </c>
      <c r="B2283" s="1" t="str">
        <f>"21666"</f>
        <v>21666</v>
      </c>
      <c r="C2283" s="2">
        <v>5.0245916219843704E-3</v>
      </c>
      <c r="D2283" s="2">
        <v>7.5031433190182999E-3</v>
      </c>
      <c r="E2283" s="2">
        <v>1.5689955746278599E-3</v>
      </c>
      <c r="F2283" s="2">
        <v>5.05527641550748E-3</v>
      </c>
    </row>
    <row r="2284" spans="1:6" x14ac:dyDescent="0.25">
      <c r="A2284" s="1" t="str">
        <f t="shared" si="83"/>
        <v>12580</v>
      </c>
      <c r="B2284" s="1" t="str">
        <f>"21651"</f>
        <v>21651</v>
      </c>
      <c r="C2284" s="2">
        <v>5.3749654439005305E-4</v>
      </c>
      <c r="D2284" s="2">
        <v>1.46960369686974E-4</v>
      </c>
      <c r="E2284" s="2">
        <v>0</v>
      </c>
      <c r="F2284" s="2">
        <v>4.7871682495746E-4</v>
      </c>
    </row>
    <row r="2285" spans="1:6" x14ac:dyDescent="0.25">
      <c r="A2285" s="1" t="str">
        <f t="shared" si="83"/>
        <v>12580</v>
      </c>
      <c r="B2285" s="1" t="str">
        <f>"21403"</f>
        <v>21403</v>
      </c>
      <c r="C2285" s="2">
        <v>1.2425564814151699E-2</v>
      </c>
      <c r="D2285" s="2">
        <v>8.6543328815662703E-3</v>
      </c>
      <c r="E2285" s="2">
        <v>1.6695722140270802E-2</v>
      </c>
      <c r="F2285" s="2">
        <v>1.23296326383247E-2</v>
      </c>
    </row>
    <row r="2286" spans="1:6" x14ac:dyDescent="0.25">
      <c r="A2286" s="1" t="str">
        <f t="shared" si="83"/>
        <v>12580</v>
      </c>
      <c r="B2286" s="1" t="str">
        <f>"21244"</f>
        <v>21244</v>
      </c>
      <c r="C2286" s="2">
        <v>1.1848795599612799E-2</v>
      </c>
      <c r="D2286" s="2">
        <v>1.2026256919384E-2</v>
      </c>
      <c r="E2286" s="2">
        <v>1.8948638862813401E-2</v>
      </c>
      <c r="F2286" s="2">
        <v>1.22173080201783E-2</v>
      </c>
    </row>
    <row r="2287" spans="1:6" x14ac:dyDescent="0.25">
      <c r="A2287" s="1" t="str">
        <f t="shared" si="83"/>
        <v>12580</v>
      </c>
      <c r="B2287" s="1" t="str">
        <f>"21784"</f>
        <v>21784</v>
      </c>
      <c r="C2287" s="2">
        <v>1.2286185337741101E-2</v>
      </c>
      <c r="D2287" s="2">
        <v>1.1944612269557901E-2</v>
      </c>
      <c r="E2287" s="2">
        <v>8.7836931741987305E-3</v>
      </c>
      <c r="F2287" s="2">
        <v>1.2083588236670601E-2</v>
      </c>
    </row>
    <row r="2288" spans="1:6" x14ac:dyDescent="0.25">
      <c r="A2288" s="1" t="str">
        <f t="shared" si="83"/>
        <v>12580</v>
      </c>
      <c r="B2288" s="1" t="str">
        <f>"21757"</f>
        <v>21757</v>
      </c>
      <c r="C2288" s="2">
        <v>4.2737905750211898E-4</v>
      </c>
      <c r="D2288" s="2">
        <v>2.12276089547851E-4</v>
      </c>
      <c r="E2288" s="2">
        <v>1.4751240445219201E-4</v>
      </c>
      <c r="F2288" s="2">
        <v>3.9581055918270401E-4</v>
      </c>
    </row>
    <row r="2289" spans="1:6" x14ac:dyDescent="0.25">
      <c r="A2289" s="1" t="str">
        <f t="shared" si="83"/>
        <v>12580</v>
      </c>
      <c r="B2289" s="1" t="str">
        <f>"21204"</f>
        <v>21204</v>
      </c>
      <c r="C2289" s="2">
        <v>7.6935930873940099E-3</v>
      </c>
      <c r="D2289" s="2">
        <v>2.1978739733185201E-2</v>
      </c>
      <c r="E2289" s="2">
        <v>1.18278127933485E-2</v>
      </c>
      <c r="F2289" s="2">
        <v>9.0695443164077495E-3</v>
      </c>
    </row>
    <row r="2290" spans="1:6" x14ac:dyDescent="0.25">
      <c r="A2290" s="1" t="str">
        <f t="shared" si="83"/>
        <v>12580</v>
      </c>
      <c r="B2290" s="1" t="str">
        <f>"21205"</f>
        <v>21205</v>
      </c>
      <c r="C2290" s="2">
        <v>6.72640732843426E-3</v>
      </c>
      <c r="D2290" s="2">
        <v>8.2461096324357806E-3</v>
      </c>
      <c r="E2290" s="2">
        <v>3.835322515757E-3</v>
      </c>
      <c r="F2290" s="2">
        <v>6.7067157418272101E-3</v>
      </c>
    </row>
    <row r="2291" spans="1:6" x14ac:dyDescent="0.25">
      <c r="A2291" s="1" t="str">
        <f t="shared" si="83"/>
        <v>12580</v>
      </c>
      <c r="B2291" s="1" t="str">
        <f>"21658"</f>
        <v>21658</v>
      </c>
      <c r="C2291" s="2">
        <v>1.5524255494130999E-3</v>
      </c>
      <c r="D2291" s="2">
        <v>1.72270211133064E-3</v>
      </c>
      <c r="E2291" s="2">
        <v>8.0461311519377705E-5</v>
      </c>
      <c r="F2291" s="2">
        <v>1.4929813828631401E-3</v>
      </c>
    </row>
    <row r="2292" spans="1:6" x14ac:dyDescent="0.25">
      <c r="A2292" s="1" t="str">
        <f t="shared" si="83"/>
        <v>12580</v>
      </c>
      <c r="B2292" s="1" t="str">
        <f>"21401"</f>
        <v>21401</v>
      </c>
      <c r="C2292" s="2">
        <v>1.5236255913039501E-2</v>
      </c>
      <c r="D2292" s="2">
        <v>3.9369050146143898E-2</v>
      </c>
      <c r="E2292" s="2">
        <v>2.2381654820973498E-2</v>
      </c>
      <c r="F2292" s="2">
        <v>1.75687737561552E-2</v>
      </c>
    </row>
    <row r="2293" spans="1:6" x14ac:dyDescent="0.25">
      <c r="A2293" s="1" t="str">
        <f t="shared" si="83"/>
        <v>12580</v>
      </c>
      <c r="B2293" s="1" t="str">
        <f>"21619"</f>
        <v>21619</v>
      </c>
      <c r="C2293" s="2">
        <v>3.0609581145421999E-3</v>
      </c>
      <c r="D2293" s="2">
        <v>3.9679299815483004E-3</v>
      </c>
      <c r="E2293" s="2">
        <v>1.15327879844441E-3</v>
      </c>
      <c r="F2293" s="2">
        <v>3.0401192780468802E-3</v>
      </c>
    </row>
    <row r="2294" spans="1:6" x14ac:dyDescent="0.25">
      <c r="A2294" s="1" t="str">
        <f t="shared" si="83"/>
        <v>12580</v>
      </c>
      <c r="B2294" s="1" t="str">
        <f>"21237"</f>
        <v>21237</v>
      </c>
      <c r="C2294" s="2">
        <v>1.09817166469148E-2</v>
      </c>
      <c r="D2294" s="2">
        <v>1.3136624157018899E-2</v>
      </c>
      <c r="E2294" s="2">
        <v>1.1613249295963499E-2</v>
      </c>
      <c r="F2294" s="2">
        <v>1.11896714839218E-2</v>
      </c>
    </row>
    <row r="2295" spans="1:6" x14ac:dyDescent="0.25">
      <c r="A2295" s="1" t="str">
        <f t="shared" si="83"/>
        <v>12580</v>
      </c>
      <c r="B2295" s="1" t="str">
        <f>"21670"</f>
        <v>21670</v>
      </c>
      <c r="C2295" s="2">
        <v>0</v>
      </c>
      <c r="D2295" s="2">
        <v>8.1644649826096805E-6</v>
      </c>
      <c r="E2295" s="2">
        <v>0</v>
      </c>
      <c r="F2295" s="2">
        <v>6.6859891753835205E-7</v>
      </c>
    </row>
    <row r="2296" spans="1:6" x14ac:dyDescent="0.25">
      <c r="A2296" s="1" t="str">
        <f t="shared" si="83"/>
        <v>12580</v>
      </c>
      <c r="B2296" s="1" t="str">
        <f>"21027"</f>
        <v>21027</v>
      </c>
      <c r="C2296" s="2">
        <v>0</v>
      </c>
      <c r="D2296" s="2">
        <v>8.1644649826096805E-6</v>
      </c>
      <c r="E2296" s="2">
        <v>0</v>
      </c>
      <c r="F2296" s="2">
        <v>6.6859891753835205E-7</v>
      </c>
    </row>
    <row r="2297" spans="1:6" x14ac:dyDescent="0.25">
      <c r="A2297" s="1" t="str">
        <f t="shared" ref="A2297:A2360" si="84">"12580"</f>
        <v>12580</v>
      </c>
      <c r="B2297" s="1" t="str">
        <f>"21105"</f>
        <v>21105</v>
      </c>
      <c r="C2297" s="2">
        <v>0</v>
      </c>
      <c r="D2297" s="2">
        <v>8.1644649826096805E-6</v>
      </c>
      <c r="E2297" s="2">
        <v>0</v>
      </c>
      <c r="F2297" s="2">
        <v>6.6859891753835205E-7</v>
      </c>
    </row>
    <row r="2298" spans="1:6" x14ac:dyDescent="0.25">
      <c r="A2298" s="1" t="str">
        <f t="shared" si="84"/>
        <v>12580</v>
      </c>
      <c r="B2298" s="1" t="str">
        <f>"21065"</f>
        <v>21065</v>
      </c>
      <c r="C2298" s="2">
        <v>0</v>
      </c>
      <c r="D2298" s="2">
        <v>8.1644649826096805E-6</v>
      </c>
      <c r="E2298" s="2">
        <v>0</v>
      </c>
      <c r="F2298" s="2">
        <v>6.6859891753835205E-7</v>
      </c>
    </row>
    <row r="2299" spans="1:6" x14ac:dyDescent="0.25">
      <c r="A2299" s="1" t="str">
        <f t="shared" si="84"/>
        <v>12580</v>
      </c>
      <c r="B2299" s="1" t="str">
        <f>"21657"</f>
        <v>21657</v>
      </c>
      <c r="C2299" s="2">
        <v>3.0263057585285202E-4</v>
      </c>
      <c r="D2299" s="2">
        <v>1.3879590470436401E-4</v>
      </c>
      <c r="E2299" s="2">
        <v>2.68204371731259E-5</v>
      </c>
      <c r="F2299" s="2">
        <v>2.7546275402580103E-4</v>
      </c>
    </row>
    <row r="2300" spans="1:6" x14ac:dyDescent="0.25">
      <c r="A2300" s="1" t="str">
        <f t="shared" si="84"/>
        <v>12580</v>
      </c>
      <c r="B2300" s="1" t="str">
        <f>"21405"</f>
        <v>21405</v>
      </c>
      <c r="C2300" s="2">
        <v>2.6566806277158702E-4</v>
      </c>
      <c r="D2300" s="2">
        <v>2.4493394947828999E-5</v>
      </c>
      <c r="E2300" s="2">
        <v>0</v>
      </c>
      <c r="F2300" s="2">
        <v>2.32672423303346E-4</v>
      </c>
    </row>
    <row r="2301" spans="1:6" x14ac:dyDescent="0.25">
      <c r="A2301" s="1" t="str">
        <f t="shared" si="84"/>
        <v>12580</v>
      </c>
      <c r="B2301" s="1" t="str">
        <f>"21040"</f>
        <v>21040</v>
      </c>
      <c r="C2301" s="2">
        <v>8.0431968569542999E-3</v>
      </c>
      <c r="D2301" s="2">
        <v>5.6987965578615598E-3</v>
      </c>
      <c r="E2301" s="2">
        <v>7.1208260694649297E-3</v>
      </c>
      <c r="F2301" s="2">
        <v>7.8052237633427198E-3</v>
      </c>
    </row>
    <row r="2302" spans="1:6" x14ac:dyDescent="0.25">
      <c r="A2302" s="1" t="str">
        <f t="shared" si="84"/>
        <v>12580</v>
      </c>
      <c r="B2302" s="1" t="str">
        <f>"21010"</f>
        <v>21010</v>
      </c>
      <c r="C2302" s="2">
        <v>3.2727225124036101E-4</v>
      </c>
      <c r="D2302" s="2">
        <v>1.9594715958263199E-4</v>
      </c>
      <c r="E2302" s="2">
        <v>1.2203298913772199E-3</v>
      </c>
      <c r="F2302" s="2">
        <v>3.6104341547070999E-4</v>
      </c>
    </row>
    <row r="2303" spans="1:6" x14ac:dyDescent="0.25">
      <c r="A2303" s="1" t="str">
        <f t="shared" si="84"/>
        <v>12580</v>
      </c>
      <c r="B2303" s="1" t="str">
        <f>"21201"</f>
        <v>21201</v>
      </c>
      <c r="C2303" s="2">
        <v>1.04596211496419E-2</v>
      </c>
      <c r="D2303" s="2">
        <v>3.2894629414934401E-2</v>
      </c>
      <c r="E2303" s="2">
        <v>1.7634437441330201E-2</v>
      </c>
      <c r="F2303" s="2">
        <v>1.26545717122483E-2</v>
      </c>
    </row>
    <row r="2304" spans="1:6" x14ac:dyDescent="0.25">
      <c r="A2304" s="1" t="str">
        <f t="shared" si="84"/>
        <v>12580</v>
      </c>
      <c r="B2304" s="1" t="str">
        <f>"21203"</f>
        <v>21203</v>
      </c>
      <c r="C2304" s="2">
        <v>2.33094848118723E-3</v>
      </c>
      <c r="D2304" s="2">
        <v>5.3069022386962898E-3</v>
      </c>
      <c r="E2304" s="2">
        <v>2.68204371731259E-5</v>
      </c>
      <c r="F2304" s="2">
        <v>2.4597754176235902E-3</v>
      </c>
    </row>
    <row r="2305" spans="1:6" x14ac:dyDescent="0.25">
      <c r="A2305" s="1" t="str">
        <f t="shared" si="84"/>
        <v>12580</v>
      </c>
      <c r="B2305" s="1" t="str">
        <f>"21117"</f>
        <v>21117</v>
      </c>
      <c r="C2305" s="2">
        <v>2.0045232875383099E-2</v>
      </c>
      <c r="D2305" s="2">
        <v>2.5024085171698601E-2</v>
      </c>
      <c r="E2305" s="2">
        <v>2.19927584819632E-2</v>
      </c>
      <c r="F2305" s="2">
        <v>2.0550056329458801E-2</v>
      </c>
    </row>
    <row r="2306" spans="1:6" x14ac:dyDescent="0.25">
      <c r="A2306" s="1" t="str">
        <f t="shared" si="84"/>
        <v>12580</v>
      </c>
      <c r="B2306" s="1" t="str">
        <f>"21128"</f>
        <v>21128</v>
      </c>
      <c r="C2306" s="2">
        <v>4.53021800952246E-3</v>
      </c>
      <c r="D2306" s="2">
        <v>8.8176221812184602E-4</v>
      </c>
      <c r="E2306" s="2">
        <v>2.77591524741853E-3</v>
      </c>
      <c r="F2306" s="2">
        <v>4.1439760909027E-3</v>
      </c>
    </row>
    <row r="2307" spans="1:6" x14ac:dyDescent="0.25">
      <c r="A2307" s="1" t="str">
        <f t="shared" si="84"/>
        <v>12580</v>
      </c>
      <c r="B2307" s="1" t="str">
        <f>"21208"</f>
        <v>21208</v>
      </c>
      <c r="C2307" s="2">
        <v>1.21629769608035E-2</v>
      </c>
      <c r="D2307" s="2">
        <v>1.36346565209581E-2</v>
      </c>
      <c r="E2307" s="2">
        <v>1.38527557999195E-2</v>
      </c>
      <c r="F2307" s="2">
        <v>1.2367742776624399E-2</v>
      </c>
    </row>
    <row r="2308" spans="1:6" x14ac:dyDescent="0.25">
      <c r="A2308" s="1" t="str">
        <f t="shared" si="84"/>
        <v>12580</v>
      </c>
      <c r="B2308" s="1" t="str">
        <f>"21228"</f>
        <v>21228</v>
      </c>
      <c r="C2308" s="2">
        <v>1.5819955598781101E-2</v>
      </c>
      <c r="D2308" s="2">
        <v>1.6043173690828E-2</v>
      </c>
      <c r="E2308" s="2">
        <v>2.0048276786911599E-2</v>
      </c>
      <c r="F2308" s="2">
        <v>1.6049048416590599E-2</v>
      </c>
    </row>
    <row r="2309" spans="1:6" x14ac:dyDescent="0.25">
      <c r="A2309" s="1" t="str">
        <f t="shared" si="84"/>
        <v>12580</v>
      </c>
      <c r="B2309" s="1" t="str">
        <f>"21210"</f>
        <v>21210</v>
      </c>
      <c r="C2309" s="2">
        <v>5.3295323549047997E-3</v>
      </c>
      <c r="D2309" s="2">
        <v>3.26578599304387E-3</v>
      </c>
      <c r="E2309" s="2">
        <v>6.3162129542711498E-3</v>
      </c>
      <c r="F2309" s="2">
        <v>5.2097227654588404E-3</v>
      </c>
    </row>
    <row r="2310" spans="1:6" x14ac:dyDescent="0.25">
      <c r="A2310" s="1" t="str">
        <f t="shared" si="84"/>
        <v>12580</v>
      </c>
      <c r="B2310" s="1" t="str">
        <f>"21213"</f>
        <v>21213</v>
      </c>
      <c r="C2310" s="2">
        <v>1.27613076413065E-2</v>
      </c>
      <c r="D2310" s="2">
        <v>7.3970052742443702E-3</v>
      </c>
      <c r="E2310" s="2">
        <v>4.2108086361807599E-3</v>
      </c>
      <c r="F2310" s="2">
        <v>1.18957119408423E-2</v>
      </c>
    </row>
    <row r="2311" spans="1:6" x14ac:dyDescent="0.25">
      <c r="A2311" s="1" t="str">
        <f t="shared" si="84"/>
        <v>12580</v>
      </c>
      <c r="B2311" s="1" t="str">
        <f>"21209"</f>
        <v>21209</v>
      </c>
      <c r="C2311" s="2">
        <v>1.0024541568581199E-2</v>
      </c>
      <c r="D2311" s="2">
        <v>6.5234075211051401E-3</v>
      </c>
      <c r="E2311" s="2">
        <v>2.2274373072281001E-2</v>
      </c>
      <c r="F2311" s="2">
        <v>1.0348574045658599E-2</v>
      </c>
    </row>
    <row r="2312" spans="1:6" x14ac:dyDescent="0.25">
      <c r="A2312" s="1" t="str">
        <f t="shared" si="84"/>
        <v>12580</v>
      </c>
      <c r="B2312" s="1" t="str">
        <f>"21284"</f>
        <v>21284</v>
      </c>
      <c r="C2312" s="2">
        <v>7.3308984277841002E-4</v>
      </c>
      <c r="D2312" s="2">
        <v>2.7432602341568501E-3</v>
      </c>
      <c r="E2312" s="2">
        <v>2.68204371731259E-5</v>
      </c>
      <c r="F2312" s="2">
        <v>8.6249260362447405E-4</v>
      </c>
    </row>
    <row r="2313" spans="1:6" x14ac:dyDescent="0.25">
      <c r="A2313" s="1" t="str">
        <f t="shared" si="84"/>
        <v>12580</v>
      </c>
      <c r="B2313" s="1" t="str">
        <f>"21738"</f>
        <v>21738</v>
      </c>
      <c r="C2313" s="2">
        <v>9.1790240818473195E-4</v>
      </c>
      <c r="D2313" s="2">
        <v>7.4296631341748095E-4</v>
      </c>
      <c r="E2313" s="2">
        <v>1.4751240445219201E-4</v>
      </c>
      <c r="F2313" s="2">
        <v>8.6516699929462795E-4</v>
      </c>
    </row>
    <row r="2314" spans="1:6" x14ac:dyDescent="0.25">
      <c r="A2314" s="1" t="str">
        <f t="shared" si="84"/>
        <v>12580</v>
      </c>
      <c r="B2314" s="1" t="str">
        <f>"21020"</f>
        <v>21020</v>
      </c>
      <c r="C2314" s="2">
        <v>1.5401047117193399E-6</v>
      </c>
      <c r="D2314" s="2">
        <v>8.1644649826096805E-6</v>
      </c>
      <c r="E2314" s="2">
        <v>0</v>
      </c>
      <c r="F2314" s="2">
        <v>2.0057967526150501E-6</v>
      </c>
    </row>
    <row r="2315" spans="1:6" x14ac:dyDescent="0.25">
      <c r="A2315" s="1" t="str">
        <f t="shared" si="84"/>
        <v>12580</v>
      </c>
      <c r="B2315" s="1" t="str">
        <f>"21018"</f>
        <v>21018</v>
      </c>
      <c r="C2315" s="2">
        <v>0</v>
      </c>
      <c r="D2315" s="2">
        <v>8.1644649826096805E-6</v>
      </c>
      <c r="E2315" s="2">
        <v>1.3410218586562899E-5</v>
      </c>
      <c r="F2315" s="2">
        <v>1.3371978350767001E-6</v>
      </c>
    </row>
    <row r="2316" spans="1:6" x14ac:dyDescent="0.25">
      <c r="A2316" s="1" t="str">
        <f t="shared" si="84"/>
        <v>12580</v>
      </c>
      <c r="B2316" s="1" t="str">
        <f>"21251"</f>
        <v>21251</v>
      </c>
      <c r="C2316" s="2">
        <v>0</v>
      </c>
      <c r="D2316" s="2">
        <v>1.63289299652193E-5</v>
      </c>
      <c r="E2316" s="2">
        <v>0</v>
      </c>
      <c r="F2316" s="2">
        <v>1.3371978350767001E-6</v>
      </c>
    </row>
    <row r="2317" spans="1:6" x14ac:dyDescent="0.25">
      <c r="A2317" s="1" t="str">
        <f t="shared" si="84"/>
        <v>12580</v>
      </c>
      <c r="B2317" s="1" t="str">
        <f>"21649"</f>
        <v>21649</v>
      </c>
      <c r="C2317" s="2">
        <v>1.8481256540632101E-4</v>
      </c>
      <c r="D2317" s="2">
        <v>1.63289299652193E-5</v>
      </c>
      <c r="E2317" s="2">
        <v>0</v>
      </c>
      <c r="F2317" s="2">
        <v>1.6180093804428101E-4</v>
      </c>
    </row>
    <row r="2318" spans="1:6" x14ac:dyDescent="0.25">
      <c r="A2318" s="1" t="str">
        <f t="shared" si="84"/>
        <v>12580</v>
      </c>
      <c r="B2318" s="1" t="str">
        <f>"21644"</f>
        <v>21644</v>
      </c>
      <c r="C2318" s="2">
        <v>5.7753926689475597E-5</v>
      </c>
      <c r="D2318" s="2">
        <v>3.2657859930438702E-5</v>
      </c>
      <c r="E2318" s="2">
        <v>0</v>
      </c>
      <c r="F2318" s="2">
        <v>5.2819314485529798E-5</v>
      </c>
    </row>
    <row r="2319" spans="1:6" x14ac:dyDescent="0.25">
      <c r="A2319" s="1" t="str">
        <f t="shared" si="84"/>
        <v>12580</v>
      </c>
      <c r="B2319" s="1" t="str">
        <f>"21270"</f>
        <v>21270</v>
      </c>
      <c r="C2319" s="2">
        <v>2.6181780099228899E-5</v>
      </c>
      <c r="D2319" s="2">
        <v>1.63289299652193E-5</v>
      </c>
      <c r="E2319" s="2">
        <v>2.68204371731259E-5</v>
      </c>
      <c r="F2319" s="2">
        <v>2.54067588664573E-5</v>
      </c>
    </row>
    <row r="2320" spans="1:6" x14ac:dyDescent="0.25">
      <c r="A2320" s="1" t="str">
        <f t="shared" si="84"/>
        <v>12580</v>
      </c>
      <c r="B2320" s="1" t="str">
        <f>"21082"</f>
        <v>21082</v>
      </c>
      <c r="C2320" s="2">
        <v>2.9261989522667598E-4</v>
      </c>
      <c r="D2320" s="2">
        <v>1.14302509756535E-4</v>
      </c>
      <c r="E2320" s="2">
        <v>1.0728174869250301E-4</v>
      </c>
      <c r="F2320" s="2">
        <v>2.6877676485041703E-4</v>
      </c>
    </row>
    <row r="2321" spans="1:6" x14ac:dyDescent="0.25">
      <c r="A2321" s="1" t="str">
        <f t="shared" si="84"/>
        <v>12580</v>
      </c>
      <c r="B2321" s="1" t="str">
        <f>"21640"</f>
        <v>21640</v>
      </c>
      <c r="C2321" s="2">
        <v>4.92833507750191E-5</v>
      </c>
      <c r="D2321" s="2">
        <v>2.4493394947828999E-5</v>
      </c>
      <c r="E2321" s="2">
        <v>0</v>
      </c>
      <c r="F2321" s="2">
        <v>4.4796127475069599E-5</v>
      </c>
    </row>
    <row r="2322" spans="1:6" x14ac:dyDescent="0.25">
      <c r="A2322" s="1" t="str">
        <f t="shared" si="84"/>
        <v>12580</v>
      </c>
      <c r="B2322" s="1" t="str">
        <f>"21607"</f>
        <v>21607</v>
      </c>
      <c r="C2322" s="2">
        <v>1.80192251271163E-4</v>
      </c>
      <c r="D2322" s="2">
        <v>4.0822324913048401E-5</v>
      </c>
      <c r="E2322" s="2">
        <v>1.3410218586562899E-5</v>
      </c>
      <c r="F2322" s="2">
        <v>1.60463740209204E-4</v>
      </c>
    </row>
    <row r="2323" spans="1:6" x14ac:dyDescent="0.25">
      <c r="A2323" s="1" t="str">
        <f t="shared" si="84"/>
        <v>12580</v>
      </c>
      <c r="B2323" s="1" t="str">
        <f>"21236"</f>
        <v>21236</v>
      </c>
      <c r="C2323" s="2">
        <v>1.3971059892361999E-2</v>
      </c>
      <c r="D2323" s="2">
        <v>1.4647050178801699E-2</v>
      </c>
      <c r="E2323" s="2">
        <v>1.28067587501676E-2</v>
      </c>
      <c r="F2323" s="2">
        <v>1.3968368585211201E-2</v>
      </c>
    </row>
    <row r="2324" spans="1:6" x14ac:dyDescent="0.25">
      <c r="A2324" s="1" t="str">
        <f t="shared" si="84"/>
        <v>12580</v>
      </c>
      <c r="B2324" s="1" t="str">
        <f>"21239"</f>
        <v>21239</v>
      </c>
      <c r="C2324" s="2">
        <v>1.0837716856369001E-2</v>
      </c>
      <c r="D2324" s="2">
        <v>3.7964762169135002E-3</v>
      </c>
      <c r="E2324" s="2">
        <v>1.65616199544052E-2</v>
      </c>
      <c r="F2324" s="2">
        <v>1.0546479325249899E-2</v>
      </c>
    </row>
    <row r="2325" spans="1:6" x14ac:dyDescent="0.25">
      <c r="A2325" s="1" t="str">
        <f t="shared" si="84"/>
        <v>12580</v>
      </c>
      <c r="B2325" s="1" t="str">
        <f>"21797"</f>
        <v>21797</v>
      </c>
      <c r="C2325" s="2">
        <v>2.75678743397763E-3</v>
      </c>
      <c r="D2325" s="2">
        <v>9.55242402965333E-4</v>
      </c>
      <c r="E2325" s="2">
        <v>7.7779267802065104E-4</v>
      </c>
      <c r="F2325" s="2">
        <v>2.5105889353565099E-3</v>
      </c>
    </row>
    <row r="2326" spans="1:6" x14ac:dyDescent="0.25">
      <c r="A2326" s="1" t="str">
        <f t="shared" si="84"/>
        <v>12580</v>
      </c>
      <c r="B2326" s="1" t="str">
        <f>"20701"</f>
        <v>20701</v>
      </c>
      <c r="C2326" s="2">
        <v>3.2034178003762399E-4</v>
      </c>
      <c r="D2326" s="2">
        <v>3.1841413432177699E-3</v>
      </c>
      <c r="E2326" s="2">
        <v>1.1935094542041E-3</v>
      </c>
      <c r="F2326" s="2">
        <v>5.9839603119682503E-4</v>
      </c>
    </row>
    <row r="2327" spans="1:6" x14ac:dyDescent="0.25">
      <c r="A2327" s="1" t="str">
        <f t="shared" si="84"/>
        <v>12580</v>
      </c>
      <c r="B2327" s="1" t="str">
        <f>"20779"</f>
        <v>20779</v>
      </c>
      <c r="C2327" s="2">
        <v>4.6280146587166399E-4</v>
      </c>
      <c r="D2327" s="2">
        <v>6.5315719860877498E-5</v>
      </c>
      <c r="E2327" s="2">
        <v>4.0230655759688798E-5</v>
      </c>
      <c r="F2327" s="2">
        <v>4.0918253753347098E-4</v>
      </c>
    </row>
    <row r="2328" spans="1:6" x14ac:dyDescent="0.25">
      <c r="A2328" s="1" t="str">
        <f t="shared" si="84"/>
        <v>12580</v>
      </c>
      <c r="B2328" s="1" t="str">
        <f>"21009"</f>
        <v>21009</v>
      </c>
      <c r="C2328" s="2">
        <v>1.0285589317217601E-2</v>
      </c>
      <c r="D2328" s="2">
        <v>5.3395600986267302E-3</v>
      </c>
      <c r="E2328" s="2">
        <v>5.6993428992892503E-3</v>
      </c>
      <c r="F2328" s="2">
        <v>9.6518939735836494E-3</v>
      </c>
    </row>
    <row r="2329" spans="1:6" x14ac:dyDescent="0.25">
      <c r="A2329" s="1" t="str">
        <f t="shared" si="84"/>
        <v>12580</v>
      </c>
      <c r="B2329" s="1" t="str">
        <f>"21153"</f>
        <v>21153</v>
      </c>
      <c r="C2329" s="2">
        <v>4.9668376952948998E-4</v>
      </c>
      <c r="D2329" s="2">
        <v>1.24099867735667E-3</v>
      </c>
      <c r="E2329" s="2">
        <v>9.3871530105940694E-5</v>
      </c>
      <c r="F2329" s="2">
        <v>5.3755352970083503E-4</v>
      </c>
    </row>
    <row r="2330" spans="1:6" x14ac:dyDescent="0.25">
      <c r="A2330" s="1" t="str">
        <f t="shared" si="84"/>
        <v>12580</v>
      </c>
      <c r="B2330" s="1" t="str">
        <f>"21093"</f>
        <v>21093</v>
      </c>
      <c r="C2330" s="2">
        <v>1.29661415679652E-2</v>
      </c>
      <c r="D2330" s="2">
        <v>1.8541499975506599E-2</v>
      </c>
      <c r="E2330" s="2">
        <v>1.28603996245138E-2</v>
      </c>
      <c r="F2330" s="2">
        <v>1.3417443077159599E-2</v>
      </c>
    </row>
    <row r="2331" spans="1:6" x14ac:dyDescent="0.25">
      <c r="A2331" s="1" t="str">
        <f t="shared" si="84"/>
        <v>12580</v>
      </c>
      <c r="B2331" s="1" t="str">
        <f>"21102"</f>
        <v>21102</v>
      </c>
      <c r="C2331" s="2">
        <v>4.1444217792367703E-3</v>
      </c>
      <c r="D2331" s="2">
        <v>2.1064319655132902E-3</v>
      </c>
      <c r="E2331" s="2">
        <v>1.0996379240981601E-3</v>
      </c>
      <c r="F2331" s="2">
        <v>3.8257230061544498E-3</v>
      </c>
    </row>
    <row r="2332" spans="1:6" x14ac:dyDescent="0.25">
      <c r="A2332" s="1" t="str">
        <f t="shared" si="84"/>
        <v>12580</v>
      </c>
      <c r="B2332" s="1" t="str">
        <f>"21111"</f>
        <v>21111</v>
      </c>
      <c r="C2332" s="2">
        <v>1.88816837656792E-3</v>
      </c>
      <c r="D2332" s="2">
        <v>1.6573863914697601E-3</v>
      </c>
      <c r="E2332" s="2">
        <v>6.9733136650127305E-4</v>
      </c>
      <c r="F2332" s="2">
        <v>1.80989726977632E-3</v>
      </c>
    </row>
    <row r="2333" spans="1:6" x14ac:dyDescent="0.25">
      <c r="A2333" s="1" t="str">
        <f t="shared" si="84"/>
        <v>12580</v>
      </c>
      <c r="B2333" s="1" t="str">
        <f>"21084"</f>
        <v>21084</v>
      </c>
      <c r="C2333" s="2">
        <v>2.1854085859297498E-3</v>
      </c>
      <c r="D2333" s="2">
        <v>8.7359775313923603E-4</v>
      </c>
      <c r="E2333" s="2">
        <v>9.3871530105940694E-5</v>
      </c>
      <c r="F2333" s="2">
        <v>1.97370400457321E-3</v>
      </c>
    </row>
    <row r="2334" spans="1:6" x14ac:dyDescent="0.25">
      <c r="A2334" s="1" t="str">
        <f t="shared" si="84"/>
        <v>12580</v>
      </c>
      <c r="B2334" s="1" t="str">
        <f>"21090"</f>
        <v>21090</v>
      </c>
      <c r="C2334" s="2">
        <v>3.5707327741213101E-3</v>
      </c>
      <c r="D2334" s="2">
        <v>9.8055224441142303E-3</v>
      </c>
      <c r="E2334" s="2">
        <v>3.4866568325063602E-3</v>
      </c>
      <c r="F2334" s="2">
        <v>4.0771161991488697E-3</v>
      </c>
    </row>
    <row r="2335" spans="1:6" x14ac:dyDescent="0.25">
      <c r="A2335" s="1" t="str">
        <f t="shared" si="84"/>
        <v>12580</v>
      </c>
      <c r="B2335" s="1" t="str">
        <f>"21133"</f>
        <v>21133</v>
      </c>
      <c r="C2335" s="2">
        <v>9.7334617780662908E-3</v>
      </c>
      <c r="D2335" s="2">
        <v>7.1928936496791296E-3</v>
      </c>
      <c r="E2335" s="2">
        <v>7.7242859058602601E-3</v>
      </c>
      <c r="F2335" s="2">
        <v>9.4252389405381498E-3</v>
      </c>
    </row>
    <row r="2336" spans="1:6" x14ac:dyDescent="0.25">
      <c r="A2336" s="1" t="str">
        <f t="shared" si="84"/>
        <v>12580</v>
      </c>
      <c r="B2336" s="1" t="str">
        <f>"21122"</f>
        <v>21122</v>
      </c>
      <c r="C2336" s="2">
        <v>1.8576743032758702E-2</v>
      </c>
      <c r="D2336" s="2">
        <v>9.4217925899315793E-3</v>
      </c>
      <c r="E2336" s="2">
        <v>6.4771355773099101E-3</v>
      </c>
      <c r="F2336" s="2">
        <v>1.7223776714705399E-2</v>
      </c>
    </row>
    <row r="2337" spans="1:6" x14ac:dyDescent="0.25">
      <c r="A2337" s="1" t="str">
        <f t="shared" si="84"/>
        <v>12580</v>
      </c>
      <c r="B2337" s="1" t="str">
        <f>"21120"</f>
        <v>21120</v>
      </c>
      <c r="C2337" s="2">
        <v>2.0999327744293298E-3</v>
      </c>
      <c r="D2337" s="2">
        <v>8.7359775313923603E-4</v>
      </c>
      <c r="E2337" s="2">
        <v>3.7548612042376202E-4</v>
      </c>
      <c r="F2337" s="2">
        <v>1.91353010199476E-3</v>
      </c>
    </row>
    <row r="2338" spans="1:6" x14ac:dyDescent="0.25">
      <c r="A2338" s="1" t="str">
        <f t="shared" si="84"/>
        <v>12580</v>
      </c>
      <c r="B2338" s="1" t="str">
        <f>"21123"</f>
        <v>21123</v>
      </c>
      <c r="C2338" s="2">
        <v>1.23516397879891E-3</v>
      </c>
      <c r="D2338" s="2">
        <v>2.2452278702176599E-3</v>
      </c>
      <c r="E2338" s="2">
        <v>5.3640874346251801E-5</v>
      </c>
      <c r="F2338" s="2">
        <v>1.25897176172471E-3</v>
      </c>
    </row>
    <row r="2339" spans="1:6" x14ac:dyDescent="0.25">
      <c r="A2339" s="1" t="str">
        <f t="shared" si="84"/>
        <v>12580</v>
      </c>
      <c r="B2339" s="1" t="str">
        <f>"21231"</f>
        <v>21231</v>
      </c>
      <c r="C2339" s="2">
        <v>8.6576986369303194E-3</v>
      </c>
      <c r="D2339" s="2">
        <v>9.6830554693750903E-3</v>
      </c>
      <c r="E2339" s="2">
        <v>1.28067587501676E-2</v>
      </c>
      <c r="F2339" s="2">
        <v>8.9485279123333004E-3</v>
      </c>
    </row>
    <row r="2340" spans="1:6" x14ac:dyDescent="0.25">
      <c r="A2340" s="1" t="str">
        <f t="shared" si="84"/>
        <v>12580</v>
      </c>
      <c r="B2340" s="1" t="str">
        <f>"21216"</f>
        <v>21216</v>
      </c>
      <c r="C2340" s="2">
        <v>1.1908089631014E-2</v>
      </c>
      <c r="D2340" s="2">
        <v>5.5600006531571896E-3</v>
      </c>
      <c r="E2340" s="2">
        <v>1.6990746949175201E-2</v>
      </c>
      <c r="F2340" s="2">
        <v>1.16416443521777E-2</v>
      </c>
    </row>
    <row r="2341" spans="1:6" x14ac:dyDescent="0.25">
      <c r="A2341" s="1" t="str">
        <f t="shared" si="84"/>
        <v>12580</v>
      </c>
      <c r="B2341" s="1" t="str">
        <f>"21211"</f>
        <v>21211</v>
      </c>
      <c r="C2341" s="2">
        <v>7.9500205218952808E-3</v>
      </c>
      <c r="D2341" s="2">
        <v>1.1707842785062201E-2</v>
      </c>
      <c r="E2341" s="2">
        <v>9.4944347592865706E-3</v>
      </c>
      <c r="F2341" s="2">
        <v>8.3347541060331005E-3</v>
      </c>
    </row>
    <row r="2342" spans="1:6" x14ac:dyDescent="0.25">
      <c r="A2342" s="1" t="str">
        <f t="shared" si="84"/>
        <v>12580</v>
      </c>
      <c r="B2342" s="1" t="str">
        <f>"21620"</f>
        <v>21620</v>
      </c>
      <c r="C2342" s="2">
        <v>1.37223329814194E-3</v>
      </c>
      <c r="D2342" s="2">
        <v>5.7151254878267798E-4</v>
      </c>
      <c r="E2342" s="2">
        <v>1.34102185865629E-4</v>
      </c>
      <c r="F2342" s="2">
        <v>1.2449311844564099E-3</v>
      </c>
    </row>
    <row r="2343" spans="1:6" x14ac:dyDescent="0.25">
      <c r="A2343" s="1" t="str">
        <f t="shared" si="84"/>
        <v>12580</v>
      </c>
      <c r="B2343" s="1" t="str">
        <f>"20736"</f>
        <v>20736</v>
      </c>
      <c r="C2343" s="2">
        <v>9.2406282703160902E-6</v>
      </c>
      <c r="D2343" s="2">
        <v>0</v>
      </c>
      <c r="E2343" s="2">
        <v>0</v>
      </c>
      <c r="F2343" s="2">
        <v>8.0231870104602292E-6</v>
      </c>
    </row>
    <row r="2344" spans="1:6" x14ac:dyDescent="0.25">
      <c r="A2344" s="1" t="str">
        <f t="shared" si="84"/>
        <v>12580</v>
      </c>
      <c r="B2344" s="1" t="str">
        <f>"21656"</f>
        <v>21656</v>
      </c>
      <c r="C2344" s="2">
        <v>0</v>
      </c>
      <c r="D2344" s="2">
        <v>8.1644649826096805E-6</v>
      </c>
      <c r="E2344" s="2">
        <v>0</v>
      </c>
      <c r="F2344" s="2">
        <v>6.6859891753835205E-7</v>
      </c>
    </row>
    <row r="2345" spans="1:6" x14ac:dyDescent="0.25">
      <c r="A2345" s="1" t="str">
        <f t="shared" si="84"/>
        <v>12580</v>
      </c>
      <c r="B2345" s="1" t="str">
        <f>"21130"</f>
        <v>21130</v>
      </c>
      <c r="C2345" s="2">
        <v>6.0064083757054602E-5</v>
      </c>
      <c r="D2345" s="2">
        <v>8.1644649826096805E-6</v>
      </c>
      <c r="E2345" s="2">
        <v>2.68204371731259E-5</v>
      </c>
      <c r="F2345" s="2">
        <v>5.4156512320606499E-5</v>
      </c>
    </row>
    <row r="2346" spans="1:6" x14ac:dyDescent="0.25">
      <c r="A2346" s="1" t="str">
        <f t="shared" si="84"/>
        <v>12580</v>
      </c>
      <c r="B2346" s="1" t="str">
        <f>"21235"</f>
        <v>21235</v>
      </c>
      <c r="C2346" s="2">
        <v>0</v>
      </c>
      <c r="D2346" s="2">
        <v>5.7151254878267799E-5</v>
      </c>
      <c r="E2346" s="2">
        <v>0</v>
      </c>
      <c r="F2346" s="2">
        <v>4.68019242276846E-6</v>
      </c>
    </row>
    <row r="2347" spans="1:6" x14ac:dyDescent="0.25">
      <c r="A2347" s="1" t="str">
        <f t="shared" si="84"/>
        <v>12580</v>
      </c>
      <c r="B2347" s="1" t="str">
        <f>"20833"</f>
        <v>20833</v>
      </c>
      <c r="C2347" s="2">
        <v>3.85026177929837E-5</v>
      </c>
      <c r="D2347" s="2">
        <v>0</v>
      </c>
      <c r="E2347" s="2">
        <v>0</v>
      </c>
      <c r="F2347" s="2">
        <v>3.3429945876917597E-5</v>
      </c>
    </row>
    <row r="2348" spans="1:6" x14ac:dyDescent="0.25">
      <c r="A2348" s="1" t="str">
        <f t="shared" si="84"/>
        <v>12580</v>
      </c>
      <c r="B2348" s="1" t="str">
        <f>"20754"</f>
        <v>20754</v>
      </c>
      <c r="C2348" s="2">
        <v>2.4564670151923601E-4</v>
      </c>
      <c r="D2348" s="2">
        <v>8.1644649826096805E-6</v>
      </c>
      <c r="E2348" s="2">
        <v>1.3410218586562899E-5</v>
      </c>
      <c r="F2348" s="2">
        <v>2.14620252529811E-4</v>
      </c>
    </row>
    <row r="2349" spans="1:6" x14ac:dyDescent="0.25">
      <c r="A2349" s="1" t="str">
        <f t="shared" si="84"/>
        <v>12580</v>
      </c>
      <c r="B2349" s="1" t="str">
        <f>"21282"</f>
        <v>21282</v>
      </c>
      <c r="C2349" s="2">
        <v>7.3848020926942798E-4</v>
      </c>
      <c r="D2349" s="2">
        <v>2.7106023742264102E-3</v>
      </c>
      <c r="E2349" s="2">
        <v>1.3410218586562899E-5</v>
      </c>
      <c r="F2349" s="2">
        <v>8.6382980145955095E-4</v>
      </c>
    </row>
    <row r="2350" spans="1:6" x14ac:dyDescent="0.25">
      <c r="A2350" s="1" t="str">
        <f t="shared" si="84"/>
        <v>12580</v>
      </c>
      <c r="B2350" s="1" t="str">
        <f>"20755"</f>
        <v>20755</v>
      </c>
      <c r="C2350" s="2">
        <v>2.8753754967800198E-3</v>
      </c>
      <c r="D2350" s="2">
        <v>2.32687252004376E-3</v>
      </c>
      <c r="E2350" s="2">
        <v>2.9395199141746001E-2</v>
      </c>
      <c r="F2350" s="2">
        <v>4.1526678768306997E-3</v>
      </c>
    </row>
    <row r="2351" spans="1:6" x14ac:dyDescent="0.25">
      <c r="A2351" s="1" t="str">
        <f t="shared" si="84"/>
        <v>12580</v>
      </c>
      <c r="B2351" s="1" t="str">
        <f>"21032"</f>
        <v>21032</v>
      </c>
      <c r="C2351" s="2">
        <v>3.29505403072354E-3</v>
      </c>
      <c r="D2351" s="2">
        <v>2.14725429042634E-3</v>
      </c>
      <c r="E2351" s="2">
        <v>4.0230655759688799E-4</v>
      </c>
      <c r="F2351" s="2">
        <v>3.0568342509853402E-3</v>
      </c>
    </row>
    <row r="2352" spans="1:6" x14ac:dyDescent="0.25">
      <c r="A2352" s="1" t="str">
        <f t="shared" si="84"/>
        <v>12580</v>
      </c>
      <c r="B2352" s="1" t="str">
        <f>"21037"</f>
        <v>21037</v>
      </c>
      <c r="C2352" s="2">
        <v>7.5588339251185599E-3</v>
      </c>
      <c r="D2352" s="2">
        <v>7.0704266749399896E-3</v>
      </c>
      <c r="E2352" s="2">
        <v>1.1130481426847201E-3</v>
      </c>
      <c r="F2352" s="2">
        <v>7.1974673473003603E-3</v>
      </c>
    </row>
    <row r="2353" spans="1:6" x14ac:dyDescent="0.25">
      <c r="A2353" s="1" t="str">
        <f t="shared" si="84"/>
        <v>12580</v>
      </c>
      <c r="B2353" s="1" t="str">
        <f>"21017"</f>
        <v>21017</v>
      </c>
      <c r="C2353" s="2">
        <v>2.1584567534746598E-3</v>
      </c>
      <c r="D2353" s="2">
        <v>1.7145376463480299E-3</v>
      </c>
      <c r="E2353" s="2">
        <v>2.14563497385007E-3</v>
      </c>
      <c r="F2353" s="2">
        <v>2.1214643653491901E-3</v>
      </c>
    </row>
    <row r="2354" spans="1:6" x14ac:dyDescent="0.25">
      <c r="A2354" s="1" t="str">
        <f t="shared" si="84"/>
        <v>12580</v>
      </c>
      <c r="B2354" s="1" t="str">
        <f>"21034"</f>
        <v>21034</v>
      </c>
      <c r="C2354" s="2">
        <v>1.2128324604789801E-3</v>
      </c>
      <c r="D2354" s="2">
        <v>4.8170343397397101E-4</v>
      </c>
      <c r="E2354" s="2">
        <v>3.2184524607751098E-4</v>
      </c>
      <c r="F2354" s="2">
        <v>1.10853700527858E-3</v>
      </c>
    </row>
    <row r="2355" spans="1:6" x14ac:dyDescent="0.25">
      <c r="A2355" s="1" t="str">
        <f t="shared" si="84"/>
        <v>12580</v>
      </c>
      <c r="B2355" s="1" t="str">
        <f>"21015"</f>
        <v>21015</v>
      </c>
      <c r="C2355" s="2">
        <v>8.9664896316300497E-3</v>
      </c>
      <c r="D2355" s="2">
        <v>5.1436129390441E-3</v>
      </c>
      <c r="E2355" s="2">
        <v>4.5326538822582797E-3</v>
      </c>
      <c r="F2355" s="2">
        <v>8.4323695479936994E-3</v>
      </c>
    </row>
    <row r="2356" spans="1:6" x14ac:dyDescent="0.25">
      <c r="A2356" s="1" t="str">
        <f t="shared" si="84"/>
        <v>12580</v>
      </c>
      <c r="B2356" s="1" t="str">
        <f>"21012"</f>
        <v>21012</v>
      </c>
      <c r="C2356" s="2">
        <v>6.58471769495608E-3</v>
      </c>
      <c r="D2356" s="2">
        <v>2.5146552146437799E-3</v>
      </c>
      <c r="E2356" s="2">
        <v>2.0919940995038199E-3</v>
      </c>
      <c r="F2356" s="2">
        <v>6.0274192416082404E-3</v>
      </c>
    </row>
    <row r="2357" spans="1:6" x14ac:dyDescent="0.25">
      <c r="A2357" s="1" t="str">
        <f t="shared" si="84"/>
        <v>12580</v>
      </c>
      <c r="B2357" s="1" t="str">
        <f>"21001"</f>
        <v>21001</v>
      </c>
      <c r="C2357" s="2">
        <v>9.2814410451766607E-3</v>
      </c>
      <c r="D2357" s="2">
        <v>7.6419392237226597E-3</v>
      </c>
      <c r="E2357" s="2">
        <v>8.3947968351884093E-3</v>
      </c>
      <c r="F2357" s="2">
        <v>9.1029742622846608E-3</v>
      </c>
    </row>
    <row r="2358" spans="1:6" x14ac:dyDescent="0.25">
      <c r="A2358" s="1" t="str">
        <f t="shared" si="84"/>
        <v>12580</v>
      </c>
      <c r="B2358" s="1" t="str">
        <f>"21013"</f>
        <v>21013</v>
      </c>
      <c r="C2358" s="2">
        <v>1.3776236646329499E-3</v>
      </c>
      <c r="D2358" s="2">
        <v>9.79735797913162E-5</v>
      </c>
      <c r="E2358" s="2">
        <v>4.0230655759688798E-5</v>
      </c>
      <c r="F2358" s="2">
        <v>1.20615244723918E-3</v>
      </c>
    </row>
    <row r="2359" spans="1:6" x14ac:dyDescent="0.25">
      <c r="A2359" s="1" t="str">
        <f t="shared" si="84"/>
        <v>12580</v>
      </c>
      <c r="B2359" s="1" t="str">
        <f>"21146"</f>
        <v>21146</v>
      </c>
      <c r="C2359" s="2">
        <v>8.8794737154179095E-3</v>
      </c>
      <c r="D2359" s="2">
        <v>1.00014696036968E-2</v>
      </c>
      <c r="E2359" s="2">
        <v>2.4674802199275798E-3</v>
      </c>
      <c r="F2359" s="2">
        <v>8.6516699929462797E-3</v>
      </c>
    </row>
    <row r="2360" spans="1:6" x14ac:dyDescent="0.25">
      <c r="A2360" s="1" t="str">
        <f t="shared" si="84"/>
        <v>12580</v>
      </c>
      <c r="B2360" s="1" t="str">
        <f>"21160"</f>
        <v>21160</v>
      </c>
      <c r="C2360" s="2">
        <v>8.2395602076985202E-4</v>
      </c>
      <c r="D2360" s="2">
        <v>5.061968289218E-4</v>
      </c>
      <c r="E2360" s="2">
        <v>4.2912699477001403E-4</v>
      </c>
      <c r="F2360" s="2">
        <v>7.7824914001464198E-4</v>
      </c>
    </row>
    <row r="2361" spans="1:6" x14ac:dyDescent="0.25">
      <c r="A2361" s="1" t="str">
        <f t="shared" ref="A2361:A2424" si="85">"12580"</f>
        <v>12580</v>
      </c>
      <c r="B2361" s="1" t="str">
        <f>"21094"</f>
        <v>21094</v>
      </c>
      <c r="C2361" s="2">
        <v>9.6487560189217197E-4</v>
      </c>
      <c r="D2361" s="2">
        <v>3.2086347381656E-3</v>
      </c>
      <c r="E2361" s="2">
        <v>2.68204371731259E-5</v>
      </c>
      <c r="F2361" s="2">
        <v>1.1018510161032E-3</v>
      </c>
    </row>
    <row r="2362" spans="1:6" x14ac:dyDescent="0.25">
      <c r="A2362" s="1" t="str">
        <f t="shared" si="85"/>
        <v>12580</v>
      </c>
      <c r="B2362" s="1" t="str">
        <f>"21140"</f>
        <v>21140</v>
      </c>
      <c r="C2362" s="2">
        <v>1.3791637693446701E-3</v>
      </c>
      <c r="D2362" s="2">
        <v>7.3480184843487204E-4</v>
      </c>
      <c r="E2362" s="2">
        <v>1.3410218586562899E-5</v>
      </c>
      <c r="F2362" s="2">
        <v>1.25830316280717E-3</v>
      </c>
    </row>
    <row r="2363" spans="1:6" x14ac:dyDescent="0.25">
      <c r="A2363" s="1" t="str">
        <f t="shared" si="85"/>
        <v>12580</v>
      </c>
      <c r="B2363" s="1" t="str">
        <f>"21048"</f>
        <v>21048</v>
      </c>
      <c r="C2363" s="2">
        <v>3.45137465896306E-3</v>
      </c>
      <c r="D2363" s="2">
        <v>2.96370078868731E-3</v>
      </c>
      <c r="E2363" s="2">
        <v>1.8371999463591201E-3</v>
      </c>
      <c r="F2363" s="2">
        <v>3.33095980717607E-3</v>
      </c>
    </row>
    <row r="2364" spans="1:6" x14ac:dyDescent="0.25">
      <c r="A2364" s="1" t="str">
        <f t="shared" si="85"/>
        <v>12580</v>
      </c>
      <c r="B2364" s="1" t="str">
        <f>"21054"</f>
        <v>21054</v>
      </c>
      <c r="C2364" s="2">
        <v>4.57411099380646E-3</v>
      </c>
      <c r="D2364" s="2">
        <v>5.6743031629137297E-3</v>
      </c>
      <c r="E2364" s="2">
        <v>1.47512404452192E-3</v>
      </c>
      <c r="F2364" s="2">
        <v>4.5096996987961796E-3</v>
      </c>
    </row>
    <row r="2365" spans="1:6" x14ac:dyDescent="0.25">
      <c r="A2365" s="1" t="str">
        <f t="shared" si="85"/>
        <v>12580</v>
      </c>
      <c r="B2365" s="1" t="str">
        <f>"21230"</f>
        <v>21230</v>
      </c>
      <c r="C2365" s="2">
        <v>1.51623308868769E-2</v>
      </c>
      <c r="D2365" s="2">
        <v>1.8549664440489201E-2</v>
      </c>
      <c r="E2365" s="2">
        <v>9.0921282016896803E-3</v>
      </c>
      <c r="F2365" s="2">
        <v>1.5137079493068299E-2</v>
      </c>
    </row>
    <row r="2366" spans="1:6" x14ac:dyDescent="0.25">
      <c r="A2366" s="1" t="str">
        <f t="shared" si="85"/>
        <v>12580</v>
      </c>
      <c r="B2366" s="1" t="str">
        <f>"21212"</f>
        <v>21212</v>
      </c>
      <c r="C2366" s="2">
        <v>1.1587747850976301E-2</v>
      </c>
      <c r="D2366" s="2">
        <v>6.8336571904443104E-3</v>
      </c>
      <c r="E2366" s="2">
        <v>1.7996513343167399E-2</v>
      </c>
      <c r="F2366" s="2">
        <v>1.15179535524331E-2</v>
      </c>
    </row>
    <row r="2367" spans="1:6" x14ac:dyDescent="0.25">
      <c r="A2367" s="1" t="str">
        <f t="shared" si="85"/>
        <v>12580</v>
      </c>
      <c r="B2367" s="1" t="str">
        <f>"21214"</f>
        <v>21214</v>
      </c>
      <c r="C2367" s="2">
        <v>6.8165034540698397E-3</v>
      </c>
      <c r="D2367" s="2">
        <v>4.7108962949657896E-3</v>
      </c>
      <c r="E2367" s="2">
        <v>1.0929328148048799E-2</v>
      </c>
      <c r="F2367" s="2">
        <v>6.84912731126288E-3</v>
      </c>
    </row>
    <row r="2368" spans="1:6" x14ac:dyDescent="0.25">
      <c r="A2368" s="1" t="str">
        <f t="shared" si="85"/>
        <v>12580</v>
      </c>
      <c r="B2368" s="1" t="str">
        <f>"21224"</f>
        <v>21224</v>
      </c>
      <c r="C2368" s="2">
        <v>1.9736441880683402E-2</v>
      </c>
      <c r="D2368" s="2">
        <v>2.5979327574664E-2</v>
      </c>
      <c r="E2368" s="2">
        <v>1.22032989137722E-2</v>
      </c>
      <c r="F2368" s="2">
        <v>1.98720970270749E-2</v>
      </c>
    </row>
    <row r="2369" spans="1:6" x14ac:dyDescent="0.25">
      <c r="A2369" s="1" t="str">
        <f t="shared" si="85"/>
        <v>12580</v>
      </c>
      <c r="B2369" s="1" t="str">
        <f>"21206"</f>
        <v>21206</v>
      </c>
      <c r="C2369" s="2">
        <v>1.6921900520016301E-2</v>
      </c>
      <c r="D2369" s="2">
        <v>7.6664326186704898E-3</v>
      </c>
      <c r="E2369" s="2">
        <v>2.3253319029100099E-2</v>
      </c>
      <c r="F2369" s="2">
        <v>1.6479626119485301E-2</v>
      </c>
    </row>
    <row r="2370" spans="1:6" x14ac:dyDescent="0.25">
      <c r="A2370" s="1" t="str">
        <f t="shared" si="85"/>
        <v>12580</v>
      </c>
      <c r="B2370" s="1" t="str">
        <f>"21412"</f>
        <v>21412</v>
      </c>
      <c r="C2370" s="2">
        <v>3.62001612489633E-3</v>
      </c>
      <c r="D2370" s="2">
        <v>0</v>
      </c>
      <c r="E2370" s="2">
        <v>2.68204371731259E-5</v>
      </c>
      <c r="F2370" s="2">
        <v>3.1444207091828702E-3</v>
      </c>
    </row>
    <row r="2371" spans="1:6" x14ac:dyDescent="0.25">
      <c r="A2371" s="1" t="str">
        <f t="shared" si="85"/>
        <v>12580</v>
      </c>
      <c r="B2371" s="1" t="str">
        <f>"21794"</f>
        <v>21794</v>
      </c>
      <c r="C2371" s="2">
        <v>6.9612732969714605E-4</v>
      </c>
      <c r="D2371" s="2">
        <v>8.9809114808706494E-5</v>
      </c>
      <c r="E2371" s="2">
        <v>5.3640874346251801E-5</v>
      </c>
      <c r="F2371" s="2">
        <v>6.1444240521774498E-4</v>
      </c>
    </row>
    <row r="2372" spans="1:6" x14ac:dyDescent="0.25">
      <c r="A2372" s="1" t="str">
        <f t="shared" si="85"/>
        <v>12580</v>
      </c>
      <c r="B2372" s="1" t="str">
        <f>"21106"</f>
        <v>21106</v>
      </c>
      <c r="C2372" s="2">
        <v>0</v>
      </c>
      <c r="D2372" s="2">
        <v>8.1644649826096805E-6</v>
      </c>
      <c r="E2372" s="2">
        <v>0</v>
      </c>
      <c r="F2372" s="2">
        <v>6.6859891753835205E-7</v>
      </c>
    </row>
    <row r="2373" spans="1:6" x14ac:dyDescent="0.25">
      <c r="A2373" s="1" t="str">
        <f t="shared" si="85"/>
        <v>12580</v>
      </c>
      <c r="B2373" s="1" t="str">
        <f>"21411"</f>
        <v>21411</v>
      </c>
      <c r="C2373" s="2">
        <v>0</v>
      </c>
      <c r="D2373" s="2">
        <v>1.63289299652193E-5</v>
      </c>
      <c r="E2373" s="2">
        <v>0</v>
      </c>
      <c r="F2373" s="2">
        <v>1.3371978350767001E-6</v>
      </c>
    </row>
    <row r="2374" spans="1:6" x14ac:dyDescent="0.25">
      <c r="A2374" s="1" t="str">
        <f t="shared" si="85"/>
        <v>12580</v>
      </c>
      <c r="B2374" s="1" t="str">
        <f>"21281"</f>
        <v>21281</v>
      </c>
      <c r="C2374" s="2">
        <v>0</v>
      </c>
      <c r="D2374" s="2">
        <v>8.1644649826096805E-6</v>
      </c>
      <c r="E2374" s="2">
        <v>0</v>
      </c>
      <c r="F2374" s="2">
        <v>6.6859891753835205E-7</v>
      </c>
    </row>
    <row r="2375" spans="1:6" x14ac:dyDescent="0.25">
      <c r="A2375" s="1" t="str">
        <f t="shared" si="85"/>
        <v>12580</v>
      </c>
      <c r="B2375" s="1" t="str">
        <f>"21250"</f>
        <v>21250</v>
      </c>
      <c r="C2375" s="2">
        <v>0</v>
      </c>
      <c r="D2375" s="2">
        <v>1.63289299652193E-5</v>
      </c>
      <c r="E2375" s="2">
        <v>0</v>
      </c>
      <c r="F2375" s="2">
        <v>1.3371978350767001E-6</v>
      </c>
    </row>
    <row r="2376" spans="1:6" x14ac:dyDescent="0.25">
      <c r="A2376" s="1" t="str">
        <f t="shared" si="85"/>
        <v>12580</v>
      </c>
      <c r="B2376" s="1" t="str">
        <f>"21263"</f>
        <v>21263</v>
      </c>
      <c r="C2376" s="2">
        <v>0</v>
      </c>
      <c r="D2376" s="2">
        <v>0</v>
      </c>
      <c r="E2376" s="2">
        <v>2.68204371731259E-5</v>
      </c>
      <c r="F2376" s="2">
        <v>1.3371978350767001E-6</v>
      </c>
    </row>
    <row r="2377" spans="1:6" x14ac:dyDescent="0.25">
      <c r="A2377" s="1" t="str">
        <f t="shared" si="85"/>
        <v>12580</v>
      </c>
      <c r="B2377" s="1" t="str">
        <f>"21071"</f>
        <v>21071</v>
      </c>
      <c r="C2377" s="2">
        <v>3.5037382191615202E-4</v>
      </c>
      <c r="D2377" s="2">
        <v>7.1030845348704196E-4</v>
      </c>
      <c r="E2377" s="2">
        <v>4.0230655759688798E-5</v>
      </c>
      <c r="F2377" s="2">
        <v>3.6438641005840202E-4</v>
      </c>
    </row>
    <row r="2378" spans="1:6" x14ac:dyDescent="0.25">
      <c r="A2378" s="1" t="str">
        <f t="shared" si="85"/>
        <v>12580</v>
      </c>
      <c r="B2378" s="1" t="str">
        <f>"21036"</f>
        <v>21036</v>
      </c>
      <c r="C2378" s="2">
        <v>6.2374240824633598E-4</v>
      </c>
      <c r="D2378" s="2">
        <v>1.71453764634803E-4</v>
      </c>
      <c r="E2378" s="2">
        <v>1.34102185865629E-4</v>
      </c>
      <c r="F2378" s="2">
        <v>5.62291689649754E-4</v>
      </c>
    </row>
    <row r="2379" spans="1:6" x14ac:dyDescent="0.25">
      <c r="A2379" s="1" t="str">
        <f t="shared" si="85"/>
        <v>12580</v>
      </c>
      <c r="B2379" s="1" t="str">
        <f>"21152"</f>
        <v>21152</v>
      </c>
      <c r="C2379" s="2">
        <v>2.38023183196225E-3</v>
      </c>
      <c r="D2379" s="2">
        <v>2.6126287944350998E-3</v>
      </c>
      <c r="E2379" s="2">
        <v>2.1858656296097601E-3</v>
      </c>
      <c r="F2379" s="2">
        <v>2.38957253128207E-3</v>
      </c>
    </row>
    <row r="2380" spans="1:6" x14ac:dyDescent="0.25">
      <c r="A2380" s="1" t="str">
        <f t="shared" si="85"/>
        <v>12580</v>
      </c>
      <c r="B2380" s="1" t="str">
        <f>"21157"</f>
        <v>21157</v>
      </c>
      <c r="C2380" s="2">
        <v>1.18172234530225E-2</v>
      </c>
      <c r="D2380" s="2">
        <v>1.6745317679332399E-2</v>
      </c>
      <c r="E2380" s="2">
        <v>1.86402038353225E-2</v>
      </c>
      <c r="F2380" s="2">
        <v>1.2560967863793E-2</v>
      </c>
    </row>
    <row r="2381" spans="1:6" x14ac:dyDescent="0.25">
      <c r="A2381" s="1" t="str">
        <f t="shared" si="85"/>
        <v>12580</v>
      </c>
      <c r="B2381" s="1" t="str">
        <f>"21155"</f>
        <v>21155</v>
      </c>
      <c r="C2381" s="2">
        <v>8.1548544485539505E-4</v>
      </c>
      <c r="D2381" s="2">
        <v>3.42907529269606E-4</v>
      </c>
      <c r="E2381" s="2">
        <v>1.0728174869250301E-4</v>
      </c>
      <c r="F2381" s="2">
        <v>7.4147619955003202E-4</v>
      </c>
    </row>
    <row r="2382" spans="1:6" x14ac:dyDescent="0.25">
      <c r="A2382" s="1" t="str">
        <f t="shared" si="85"/>
        <v>12580</v>
      </c>
      <c r="B2382" s="1" t="str">
        <f>"21156"</f>
        <v>21156</v>
      </c>
      <c r="C2382" s="2">
        <v>9.2406282703160899E-5</v>
      </c>
      <c r="D2382" s="2">
        <v>6.5315719860877498E-5</v>
      </c>
      <c r="E2382" s="2">
        <v>0</v>
      </c>
      <c r="F2382" s="2">
        <v>8.5580661444909103E-5</v>
      </c>
    </row>
    <row r="2383" spans="1:6" x14ac:dyDescent="0.25">
      <c r="A2383" s="1" t="str">
        <f t="shared" si="85"/>
        <v>12580</v>
      </c>
      <c r="B2383" s="1" t="str">
        <f>"21104"</f>
        <v>21104</v>
      </c>
      <c r="C2383" s="2">
        <v>1.7272274341932499E-3</v>
      </c>
      <c r="D2383" s="2">
        <v>1.5757417416436699E-3</v>
      </c>
      <c r="E2383" s="2">
        <v>6.30280273568459E-4</v>
      </c>
      <c r="F2383" s="2">
        <v>1.66013111224772E-3</v>
      </c>
    </row>
    <row r="2384" spans="1:6" x14ac:dyDescent="0.25">
      <c r="A2384" s="1" t="str">
        <f t="shared" si="85"/>
        <v>12580</v>
      </c>
      <c r="B2384" s="1" t="str">
        <f>"21078"</f>
        <v>21078</v>
      </c>
      <c r="C2384" s="2">
        <v>8.2272393700047602E-3</v>
      </c>
      <c r="D2384" s="2">
        <v>7.2908672294704499E-3</v>
      </c>
      <c r="E2384" s="2">
        <v>7.48290197130213E-3</v>
      </c>
      <c r="F2384" s="2">
        <v>8.1134478643279002E-3</v>
      </c>
    </row>
    <row r="2385" spans="1:6" x14ac:dyDescent="0.25">
      <c r="A2385" s="1" t="str">
        <f t="shared" si="85"/>
        <v>12580</v>
      </c>
      <c r="B2385" s="1" t="str">
        <f>"21114"</f>
        <v>21114</v>
      </c>
      <c r="C2385" s="2">
        <v>8.2041377993289696E-3</v>
      </c>
      <c r="D2385" s="2">
        <v>1.0017798533662E-2</v>
      </c>
      <c r="E2385" s="2">
        <v>4.25103929194045E-3</v>
      </c>
      <c r="F2385" s="2">
        <v>8.1555695961328199E-3</v>
      </c>
    </row>
    <row r="2386" spans="1:6" x14ac:dyDescent="0.25">
      <c r="A2386" s="1" t="str">
        <f t="shared" si="85"/>
        <v>12580</v>
      </c>
      <c r="B2386" s="1" t="str">
        <f>"21045"</f>
        <v>21045</v>
      </c>
      <c r="C2386" s="2">
        <v>1.29106977983433E-2</v>
      </c>
      <c r="D2386" s="2">
        <v>2.17419702486896E-2</v>
      </c>
      <c r="E2386" s="2">
        <v>1.4442805417728299E-2</v>
      </c>
      <c r="F2386" s="2">
        <v>1.3710289403041399E-2</v>
      </c>
    </row>
    <row r="2387" spans="1:6" x14ac:dyDescent="0.25">
      <c r="A2387" s="1" t="str">
        <f t="shared" si="85"/>
        <v>12580</v>
      </c>
      <c r="B2387" s="1" t="str">
        <f>"21056"</f>
        <v>21056</v>
      </c>
      <c r="C2387" s="2">
        <v>1.6248104708639101E-4</v>
      </c>
      <c r="D2387" s="2">
        <v>1.63289299652193E-5</v>
      </c>
      <c r="E2387" s="2">
        <v>0</v>
      </c>
      <c r="F2387" s="2">
        <v>1.42411569435669E-4</v>
      </c>
    </row>
    <row r="2388" spans="1:6" x14ac:dyDescent="0.25">
      <c r="A2388" s="1" t="str">
        <f t="shared" si="85"/>
        <v>12580</v>
      </c>
      <c r="B2388" s="1" t="str">
        <f>"21225"</f>
        <v>21225</v>
      </c>
      <c r="C2388" s="2">
        <v>1.08115350762698E-2</v>
      </c>
      <c r="D2388" s="2">
        <v>7.0459332799921604E-3</v>
      </c>
      <c r="E2388" s="2">
        <v>7.7511063430333897E-3</v>
      </c>
      <c r="F2388" s="2">
        <v>1.03505798424112E-2</v>
      </c>
    </row>
    <row r="2389" spans="1:6" x14ac:dyDescent="0.25">
      <c r="A2389" s="1" t="str">
        <f t="shared" si="85"/>
        <v>12580</v>
      </c>
      <c r="B2389" s="1" t="str">
        <f>"21221"</f>
        <v>21221</v>
      </c>
      <c r="C2389" s="2">
        <v>1.49598071172859E-2</v>
      </c>
      <c r="D2389" s="2">
        <v>9.6667265394098697E-3</v>
      </c>
      <c r="E2389" s="2">
        <v>1.4925573286844501E-2</v>
      </c>
      <c r="F2389" s="2">
        <v>1.45246428846031E-2</v>
      </c>
    </row>
    <row r="2390" spans="1:6" x14ac:dyDescent="0.25">
      <c r="A2390" s="1" t="str">
        <f t="shared" si="85"/>
        <v>12580</v>
      </c>
      <c r="B2390" s="1" t="str">
        <f>"21668"</f>
        <v>21668</v>
      </c>
      <c r="C2390" s="2">
        <v>6.5146429305728399E-4</v>
      </c>
      <c r="D2390" s="2">
        <v>1.71453764634803E-4</v>
      </c>
      <c r="E2390" s="2">
        <v>1.8774306021188101E-4</v>
      </c>
      <c r="F2390" s="2">
        <v>5.8903564635128804E-4</v>
      </c>
    </row>
    <row r="2391" spans="1:6" x14ac:dyDescent="0.25">
      <c r="A2391" s="1" t="str">
        <f t="shared" si="85"/>
        <v>12580</v>
      </c>
      <c r="B2391" s="1" t="str">
        <f>"21404"</f>
        <v>21404</v>
      </c>
      <c r="C2391" s="2">
        <v>6.8688670142682997E-4</v>
      </c>
      <c r="D2391" s="2">
        <v>2.2452278702176599E-3</v>
      </c>
      <c r="E2391" s="2">
        <v>1.3410218586562899E-5</v>
      </c>
      <c r="F2391" s="2">
        <v>7.8092353568479502E-4</v>
      </c>
    </row>
    <row r="2392" spans="1:6" x14ac:dyDescent="0.25">
      <c r="A2392" s="1" t="str">
        <f t="shared" si="85"/>
        <v>12580</v>
      </c>
      <c r="B2392" s="1" t="str">
        <f>"21628"</f>
        <v>21628</v>
      </c>
      <c r="C2392" s="2">
        <v>1.7172167535670701E-4</v>
      </c>
      <c r="D2392" s="2">
        <v>8.1644649826096805E-6</v>
      </c>
      <c r="E2392" s="2">
        <v>0</v>
      </c>
      <c r="F2392" s="2">
        <v>1.4976615752858999E-4</v>
      </c>
    </row>
    <row r="2393" spans="1:6" x14ac:dyDescent="0.25">
      <c r="A2393" s="1" t="str">
        <f t="shared" si="85"/>
        <v>12580</v>
      </c>
      <c r="B2393" s="1" t="str">
        <f>"21638"</f>
        <v>21638</v>
      </c>
      <c r="C2393" s="2">
        <v>2.1884887953531901E-3</v>
      </c>
      <c r="D2393" s="2">
        <v>1.9758005257915399E-3</v>
      </c>
      <c r="E2393" s="2">
        <v>2.1456349738500701E-4</v>
      </c>
      <c r="F2393" s="2">
        <v>2.0726566443688898E-3</v>
      </c>
    </row>
    <row r="2394" spans="1:6" x14ac:dyDescent="0.25">
      <c r="A2394" s="1" t="str">
        <f t="shared" si="85"/>
        <v>12580</v>
      </c>
      <c r="B2394" s="1" t="str">
        <f>"21787"</f>
        <v>21787</v>
      </c>
      <c r="C2394" s="2">
        <v>3.5499413605130999E-3</v>
      </c>
      <c r="D2394" s="2">
        <v>1.9839649907741502E-3</v>
      </c>
      <c r="E2394" s="2">
        <v>1.6628671047337999E-3</v>
      </c>
      <c r="F2394" s="2">
        <v>3.3276168125883801E-3</v>
      </c>
    </row>
    <row r="2395" spans="1:6" x14ac:dyDescent="0.25">
      <c r="A2395" s="1" t="str">
        <f t="shared" si="85"/>
        <v>12580</v>
      </c>
      <c r="B2395" s="1" t="str">
        <f>"21028"</f>
        <v>21028</v>
      </c>
      <c r="C2395" s="2">
        <v>1.29753821962355E-3</v>
      </c>
      <c r="D2395" s="2">
        <v>1.4614392318871301E-3</v>
      </c>
      <c r="E2395" s="2">
        <v>5.3640874346251801E-5</v>
      </c>
      <c r="F2395" s="2">
        <v>1.2489427779616401E-3</v>
      </c>
    </row>
    <row r="2396" spans="1:6" x14ac:dyDescent="0.25">
      <c r="A2396" s="1" t="str">
        <f t="shared" si="85"/>
        <v>12580</v>
      </c>
      <c r="B2396" s="1" t="str">
        <f>"21240"</f>
        <v>21240</v>
      </c>
      <c r="C2396" s="2">
        <v>3.7732565437124E-5</v>
      </c>
      <c r="D2396" s="2">
        <v>6.6948612857399396E-4</v>
      </c>
      <c r="E2396" s="2">
        <v>9.3871530105940694E-5</v>
      </c>
      <c r="F2396" s="2">
        <v>9.22666506202926E-5</v>
      </c>
    </row>
    <row r="2397" spans="1:6" x14ac:dyDescent="0.25">
      <c r="A2397" s="1" t="str">
        <f t="shared" si="85"/>
        <v>12580</v>
      </c>
      <c r="B2397" s="1" t="str">
        <f>"21062"</f>
        <v>21062</v>
      </c>
      <c r="C2397" s="2">
        <v>0</v>
      </c>
      <c r="D2397" s="2">
        <v>0</v>
      </c>
      <c r="E2397" s="2">
        <v>1.3410218586562899E-5</v>
      </c>
      <c r="F2397" s="2">
        <v>6.6859891753835205E-7</v>
      </c>
    </row>
    <row r="2398" spans="1:6" x14ac:dyDescent="0.25">
      <c r="A2398" s="1" t="str">
        <f t="shared" si="85"/>
        <v>12580</v>
      </c>
      <c r="B2398" s="1" t="str">
        <f>"21241"</f>
        <v>21241</v>
      </c>
      <c r="C2398" s="2">
        <v>0</v>
      </c>
      <c r="D2398" s="2">
        <v>1.63289299652193E-5</v>
      </c>
      <c r="E2398" s="2">
        <v>0</v>
      </c>
      <c r="F2398" s="2">
        <v>1.3371978350767001E-6</v>
      </c>
    </row>
    <row r="2399" spans="1:6" x14ac:dyDescent="0.25">
      <c r="A2399" s="1" t="str">
        <f t="shared" si="85"/>
        <v>12580</v>
      </c>
      <c r="B2399" s="1" t="str">
        <f>"21679"</f>
        <v>21679</v>
      </c>
      <c r="C2399" s="2">
        <v>1.07807329820354E-5</v>
      </c>
      <c r="D2399" s="2">
        <v>1.63289299652193E-5</v>
      </c>
      <c r="E2399" s="2">
        <v>0</v>
      </c>
      <c r="F2399" s="2">
        <v>1.0697582680613601E-5</v>
      </c>
    </row>
    <row r="2400" spans="1:6" x14ac:dyDescent="0.25">
      <c r="A2400" s="1" t="str">
        <f t="shared" si="85"/>
        <v>12580</v>
      </c>
      <c r="B2400" s="1" t="str">
        <f>"20714"</f>
        <v>20714</v>
      </c>
      <c r="C2400" s="2">
        <v>3.4267329835755501E-4</v>
      </c>
      <c r="D2400" s="2">
        <v>8.1644649826096802E-5</v>
      </c>
      <c r="E2400" s="2">
        <v>2.68204371731259E-5</v>
      </c>
      <c r="F2400" s="2">
        <v>3.0554970531502699E-4</v>
      </c>
    </row>
    <row r="2401" spans="1:6" x14ac:dyDescent="0.25">
      <c r="A2401" s="1" t="str">
        <f t="shared" si="85"/>
        <v>12580</v>
      </c>
      <c r="B2401" s="1" t="str">
        <f>"21150"</f>
        <v>21150</v>
      </c>
      <c r="C2401" s="2">
        <v>1.94823246032497E-4</v>
      </c>
      <c r="D2401" s="2">
        <v>9.4707793798272301E-4</v>
      </c>
      <c r="E2401" s="2">
        <v>1.3410218586562899E-5</v>
      </c>
      <c r="F2401" s="2">
        <v>2.4738159948918997E-4</v>
      </c>
    </row>
    <row r="2402" spans="1:6" x14ac:dyDescent="0.25">
      <c r="A2402" s="1" t="str">
        <f t="shared" si="85"/>
        <v>12580</v>
      </c>
      <c r="B2402" s="1" t="str">
        <f>"21252"</f>
        <v>21252</v>
      </c>
      <c r="C2402" s="2">
        <v>4.7743246063299802E-5</v>
      </c>
      <c r="D2402" s="2">
        <v>8.9809114808706494E-5</v>
      </c>
      <c r="E2402" s="2">
        <v>2.68204371731259E-5</v>
      </c>
      <c r="F2402" s="2">
        <v>5.0144918815376403E-5</v>
      </c>
    </row>
    <row r="2403" spans="1:6" x14ac:dyDescent="0.25">
      <c r="A2403" s="1" t="str">
        <f t="shared" si="85"/>
        <v>12580</v>
      </c>
      <c r="B2403" s="1" t="str">
        <f>"21233"</f>
        <v>21233</v>
      </c>
      <c r="C2403" s="2">
        <v>0</v>
      </c>
      <c r="D2403" s="2">
        <v>1.0858738426870801E-3</v>
      </c>
      <c r="E2403" s="2">
        <v>2.68204371731259E-5</v>
      </c>
      <c r="F2403" s="2">
        <v>9.0260853867677498E-5</v>
      </c>
    </row>
    <row r="2404" spans="1:6" x14ac:dyDescent="0.25">
      <c r="A2404" s="1" t="str">
        <f t="shared" si="85"/>
        <v>12580</v>
      </c>
      <c r="B2404" s="1" t="str">
        <f>"20711"</f>
        <v>20711</v>
      </c>
      <c r="C2404" s="2">
        <v>2.3517398947954398E-3</v>
      </c>
      <c r="D2404" s="2">
        <v>1.13486063258274E-3</v>
      </c>
      <c r="E2404" s="2">
        <v>2.5479415314469601E-4</v>
      </c>
      <c r="F2404" s="2">
        <v>2.14753972313318E-3</v>
      </c>
    </row>
    <row r="2405" spans="1:6" x14ac:dyDescent="0.25">
      <c r="A2405" s="1" t="str">
        <f t="shared" si="85"/>
        <v>12580</v>
      </c>
      <c r="B2405" s="1" t="str">
        <f>"20764"</f>
        <v>20764</v>
      </c>
      <c r="C2405" s="2">
        <v>1.5370245022959101E-3</v>
      </c>
      <c r="D2405" s="2">
        <v>3.7556538920004498E-4</v>
      </c>
      <c r="E2405" s="2">
        <v>1.7433284162531799E-4</v>
      </c>
      <c r="F2405" s="2">
        <v>1.37397077554131E-3</v>
      </c>
    </row>
    <row r="2406" spans="1:6" x14ac:dyDescent="0.25">
      <c r="A2406" s="1" t="str">
        <f t="shared" si="85"/>
        <v>12580</v>
      </c>
      <c r="B2406" s="1" t="str">
        <f>"21044"</f>
        <v>21044</v>
      </c>
      <c r="C2406" s="2">
        <v>1.5448790363256699E-2</v>
      </c>
      <c r="D2406" s="2">
        <v>1.47368592936104E-2</v>
      </c>
      <c r="E2406" s="2">
        <v>2.1335657771221601E-2</v>
      </c>
      <c r="F2406" s="2">
        <v>1.5683993407614599E-2</v>
      </c>
    </row>
    <row r="2407" spans="1:6" x14ac:dyDescent="0.25">
      <c r="A2407" s="1" t="str">
        <f t="shared" si="85"/>
        <v>12580</v>
      </c>
      <c r="B2407" s="1" t="str">
        <f>"21161"</f>
        <v>21161</v>
      </c>
      <c r="C2407" s="2">
        <v>1.6764039787065101E-3</v>
      </c>
      <c r="D2407" s="2">
        <v>4.5721003902614201E-4</v>
      </c>
      <c r="E2407" s="2">
        <v>8.0461311519377705E-5</v>
      </c>
      <c r="F2407" s="2">
        <v>1.49699297636837E-3</v>
      </c>
    </row>
    <row r="2408" spans="1:6" x14ac:dyDescent="0.25">
      <c r="A2408" s="1" t="str">
        <f t="shared" si="85"/>
        <v>12580</v>
      </c>
      <c r="B2408" s="1" t="str">
        <f>"21158"</f>
        <v>21158</v>
      </c>
      <c r="C2408" s="2">
        <v>7.5010799984290902E-3</v>
      </c>
      <c r="D2408" s="2">
        <v>5.0701327542006097E-3</v>
      </c>
      <c r="E2408" s="2">
        <v>2.8563765589379102E-3</v>
      </c>
      <c r="F2408" s="2">
        <v>7.0704335529680699E-3</v>
      </c>
    </row>
    <row r="2409" spans="1:6" x14ac:dyDescent="0.25">
      <c r="A2409" s="1" t="str">
        <f t="shared" si="85"/>
        <v>12580</v>
      </c>
      <c r="B2409" s="1" t="str">
        <f>"21074"</f>
        <v>21074</v>
      </c>
      <c r="C2409" s="2">
        <v>5.2332758104223498E-3</v>
      </c>
      <c r="D2409" s="2">
        <v>3.78014728694828E-3</v>
      </c>
      <c r="E2409" s="2">
        <v>2.96365830763041E-3</v>
      </c>
      <c r="F2409" s="2">
        <v>5.00111990318687E-3</v>
      </c>
    </row>
    <row r="2410" spans="1:6" x14ac:dyDescent="0.25">
      <c r="A2410" s="1" t="str">
        <f t="shared" si="85"/>
        <v>12580</v>
      </c>
      <c r="B2410" s="1" t="str">
        <f>"21162"</f>
        <v>21162</v>
      </c>
      <c r="C2410" s="2">
        <v>1.7996123556440599E-3</v>
      </c>
      <c r="D2410" s="2">
        <v>3.3474306428699701E-3</v>
      </c>
      <c r="E2410" s="2">
        <v>4.1571677618345101E-4</v>
      </c>
      <c r="F2410" s="2">
        <v>1.85736779292154E-3</v>
      </c>
    </row>
    <row r="2411" spans="1:6" x14ac:dyDescent="0.25">
      <c r="A2411" s="1" t="str">
        <f t="shared" si="85"/>
        <v>12580</v>
      </c>
      <c r="B2411" s="1" t="str">
        <f>"21076"</f>
        <v>21076</v>
      </c>
      <c r="C2411" s="2">
        <v>7.6481599983982901E-3</v>
      </c>
      <c r="D2411" s="2">
        <v>1.11608236312274E-2</v>
      </c>
      <c r="E2411" s="2">
        <v>4.3449108220463897E-3</v>
      </c>
      <c r="F2411" s="2">
        <v>7.77112521854827E-3</v>
      </c>
    </row>
    <row r="2412" spans="1:6" x14ac:dyDescent="0.25">
      <c r="A2412" s="1" t="str">
        <f t="shared" si="85"/>
        <v>12580</v>
      </c>
      <c r="B2412" s="1" t="str">
        <f>"21144"</f>
        <v>21144</v>
      </c>
      <c r="C2412" s="2">
        <v>1.0933203348495599E-2</v>
      </c>
      <c r="D2412" s="2">
        <v>2.7922470240525099E-3</v>
      </c>
      <c r="E2412" s="2">
        <v>1.0191766125787799E-3</v>
      </c>
      <c r="F2412" s="2">
        <v>9.7722417787405608E-3</v>
      </c>
    </row>
    <row r="2413" spans="1:6" x14ac:dyDescent="0.25">
      <c r="A2413" s="1" t="str">
        <f t="shared" si="85"/>
        <v>12580</v>
      </c>
      <c r="B2413" s="1" t="str">
        <f>"21061"</f>
        <v>21061</v>
      </c>
      <c r="C2413" s="2">
        <v>1.7542562718839201E-2</v>
      </c>
      <c r="D2413" s="2">
        <v>2.3791250959324599E-2</v>
      </c>
      <c r="E2413" s="2">
        <v>2.68606678288856E-2</v>
      </c>
      <c r="F2413" s="2">
        <v>1.8518852817977199E-2</v>
      </c>
    </row>
    <row r="2414" spans="1:6" x14ac:dyDescent="0.25">
      <c r="A2414" s="1" t="str">
        <f t="shared" si="85"/>
        <v>12580</v>
      </c>
      <c r="B2414" s="1" t="str">
        <f>"21060"</f>
        <v>21060</v>
      </c>
      <c r="C2414" s="2">
        <v>1.37238730861311E-2</v>
      </c>
      <c r="D2414" s="2">
        <v>8.1154781927140294E-3</v>
      </c>
      <c r="E2414" s="2">
        <v>9.7358186938447007E-3</v>
      </c>
      <c r="F2414" s="2">
        <v>1.3065760046534401E-2</v>
      </c>
    </row>
    <row r="2415" spans="1:6" x14ac:dyDescent="0.25">
      <c r="A2415" s="1" t="str">
        <f t="shared" si="85"/>
        <v>12580</v>
      </c>
      <c r="B2415" s="1" t="str">
        <f>"21047"</f>
        <v>21047</v>
      </c>
      <c r="C2415" s="2">
        <v>3.9827107845062304E-3</v>
      </c>
      <c r="D2415" s="2">
        <v>4.23735732597442E-3</v>
      </c>
      <c r="E2415" s="2">
        <v>9.6553573823253305E-4</v>
      </c>
      <c r="F2415" s="2">
        <v>3.8531355617735198E-3</v>
      </c>
    </row>
    <row r="2416" spans="1:6" x14ac:dyDescent="0.25">
      <c r="A2416" s="1" t="str">
        <f t="shared" si="85"/>
        <v>12580</v>
      </c>
      <c r="B2416" s="1" t="str">
        <f>"21050"</f>
        <v>21050</v>
      </c>
      <c r="C2416" s="2">
        <v>5.7646119359655197E-3</v>
      </c>
      <c r="D2416" s="2">
        <v>5.7559478127398303E-3</v>
      </c>
      <c r="E2416" s="2">
        <v>4.1839881990076398E-3</v>
      </c>
      <c r="F2416" s="2">
        <v>5.6850965958286101E-3</v>
      </c>
    </row>
    <row r="2417" spans="1:6" x14ac:dyDescent="0.25">
      <c r="A2417" s="1" t="str">
        <f t="shared" si="85"/>
        <v>12580</v>
      </c>
      <c r="B2417" s="1" t="str">
        <f>"21046"</f>
        <v>21046</v>
      </c>
      <c r="C2417" s="2">
        <v>5.1085273287730798E-3</v>
      </c>
      <c r="D2417" s="2">
        <v>1.4222497999705999E-2</v>
      </c>
      <c r="E2417" s="2">
        <v>1.01515354700281E-2</v>
      </c>
      <c r="F2417" s="2">
        <v>6.1063139138777698E-3</v>
      </c>
    </row>
    <row r="2418" spans="1:6" x14ac:dyDescent="0.25">
      <c r="A2418" s="1" t="str">
        <f t="shared" si="85"/>
        <v>12580</v>
      </c>
      <c r="B2418" s="1" t="str">
        <f>"21052"</f>
        <v>21052</v>
      </c>
      <c r="C2418" s="2">
        <v>1.4014952876646001E-4</v>
      </c>
      <c r="D2418" s="2">
        <v>8.1644649826096805E-6</v>
      </c>
      <c r="E2418" s="2">
        <v>6.9733136650127305E-4</v>
      </c>
      <c r="F2418" s="2">
        <v>1.57120745621512E-4</v>
      </c>
    </row>
    <row r="2419" spans="1:6" x14ac:dyDescent="0.25">
      <c r="A2419" s="1" t="str">
        <f t="shared" si="85"/>
        <v>12580</v>
      </c>
      <c r="B2419" s="1" t="str">
        <f>"21057"</f>
        <v>21057</v>
      </c>
      <c r="C2419" s="2">
        <v>1.3314205232813701E-3</v>
      </c>
      <c r="D2419" s="2">
        <v>6.1233487369572598E-4</v>
      </c>
      <c r="E2419" s="2">
        <v>8.0461311519377705E-5</v>
      </c>
      <c r="F2419" s="2">
        <v>1.2101640407444099E-3</v>
      </c>
    </row>
    <row r="2420" spans="1:6" x14ac:dyDescent="0.25">
      <c r="A2420" s="1" t="str">
        <f t="shared" si="85"/>
        <v>12580</v>
      </c>
      <c r="B2420" s="1" t="str">
        <f>"21234"</f>
        <v>21234</v>
      </c>
      <c r="C2420" s="2">
        <v>2.3015324811933899E-2</v>
      </c>
      <c r="D2420" s="2">
        <v>1.16996783200796E-2</v>
      </c>
      <c r="E2420" s="2">
        <v>2.5506235751642702E-2</v>
      </c>
      <c r="F2420" s="2">
        <v>2.2212861837376599E-2</v>
      </c>
    </row>
    <row r="2421" spans="1:6" x14ac:dyDescent="0.25">
      <c r="A2421" s="1" t="str">
        <f t="shared" si="85"/>
        <v>12580</v>
      </c>
      <c r="B2421" s="1" t="str">
        <f>"21226"</f>
        <v>21226</v>
      </c>
      <c r="C2421" s="2">
        <v>2.4572370675482202E-3</v>
      </c>
      <c r="D2421" s="2">
        <v>4.9721591744092998E-3</v>
      </c>
      <c r="E2421" s="2">
        <v>2.78932546600509E-3</v>
      </c>
      <c r="F2421" s="2">
        <v>2.67974446149371E-3</v>
      </c>
    </row>
    <row r="2422" spans="1:6" x14ac:dyDescent="0.25">
      <c r="A2422" s="1" t="str">
        <f t="shared" si="85"/>
        <v>12580</v>
      </c>
      <c r="B2422" s="1" t="str">
        <f>"21227"</f>
        <v>21227</v>
      </c>
      <c r="C2422" s="2">
        <v>1.0881609840653001E-2</v>
      </c>
      <c r="D2422" s="2">
        <v>1.5806404206332302E-2</v>
      </c>
      <c r="E2422" s="2">
        <v>1.13718653614053E-2</v>
      </c>
      <c r="F2422" s="2">
        <v>1.13093506901612E-2</v>
      </c>
    </row>
    <row r="2423" spans="1:6" x14ac:dyDescent="0.25">
      <c r="A2423" s="1" t="str">
        <f t="shared" si="85"/>
        <v>12580</v>
      </c>
      <c r="B2423" s="1" t="str">
        <f>"21217"</f>
        <v>21217</v>
      </c>
      <c r="C2423" s="2">
        <v>1.6764809839420899E-2</v>
      </c>
      <c r="D2423" s="2">
        <v>1.0042291928609901E-2</v>
      </c>
      <c r="E2423" s="2">
        <v>3.3538956684993897E-2</v>
      </c>
      <c r="F2423" s="2">
        <v>1.7050609595063E-2</v>
      </c>
    </row>
    <row r="2424" spans="1:6" x14ac:dyDescent="0.25">
      <c r="A2424" s="1" t="str">
        <f t="shared" si="85"/>
        <v>12580</v>
      </c>
      <c r="B2424" s="1" t="str">
        <f>"21222"</f>
        <v>21222</v>
      </c>
      <c r="C2424" s="2">
        <v>1.9232057587595299E-2</v>
      </c>
      <c r="D2424" s="2">
        <v>1.24997958883754E-2</v>
      </c>
      <c r="E2424" s="2">
        <v>1.6615260828751501E-2</v>
      </c>
      <c r="F2424" s="2">
        <v>1.8550276967101501E-2</v>
      </c>
    </row>
    <row r="2425" spans="1:6" x14ac:dyDescent="0.25">
      <c r="A2425" s="1" t="str">
        <f t="shared" ref="A2425:A2435" si="86">"12580"</f>
        <v>12580</v>
      </c>
      <c r="B2425" s="1" t="str">
        <f>"21220"</f>
        <v>21220</v>
      </c>
      <c r="C2425" s="2">
        <v>1.4558609839883E-2</v>
      </c>
      <c r="D2425" s="2">
        <v>1.05158308976012E-2</v>
      </c>
      <c r="E2425" s="2">
        <v>1.0138125251441499E-2</v>
      </c>
      <c r="F2425" s="2">
        <v>1.4007147322428399E-2</v>
      </c>
    </row>
    <row r="2426" spans="1:6" x14ac:dyDescent="0.25">
      <c r="A2426" s="1" t="str">
        <f t="shared" si="86"/>
        <v>12580</v>
      </c>
      <c r="B2426" s="1" t="str">
        <f>"21207"</f>
        <v>21207</v>
      </c>
      <c r="C2426" s="2">
        <v>1.6299698216481699E-2</v>
      </c>
      <c r="D2426" s="2">
        <v>8.9319246909750002E-3</v>
      </c>
      <c r="E2426" s="2">
        <v>2.6672924768673702E-2</v>
      </c>
      <c r="F2426" s="2">
        <v>1.6213523750304999E-2</v>
      </c>
    </row>
    <row r="2427" spans="1:6" x14ac:dyDescent="0.25">
      <c r="A2427" s="1" t="str">
        <f t="shared" si="86"/>
        <v>12580</v>
      </c>
      <c r="B2427" s="1" t="str">
        <f>"21402"</f>
        <v>21402</v>
      </c>
      <c r="C2427" s="2">
        <v>4.2121863865524198E-4</v>
      </c>
      <c r="D2427" s="2">
        <v>1.1593540275305701E-3</v>
      </c>
      <c r="E2427" s="2">
        <v>1.81037950918599E-3</v>
      </c>
      <c r="F2427" s="2">
        <v>5.5092550805160205E-4</v>
      </c>
    </row>
    <row r="2428" spans="1:6" x14ac:dyDescent="0.25">
      <c r="A2428" s="1" t="str">
        <f t="shared" si="86"/>
        <v>12580</v>
      </c>
      <c r="B2428" s="1" t="str">
        <f>"21617"</f>
        <v>21617</v>
      </c>
      <c r="C2428" s="2">
        <v>3.7855773814061602E-3</v>
      </c>
      <c r="D2428" s="2">
        <v>3.1269900883395098E-3</v>
      </c>
      <c r="E2428" s="2">
        <v>1.9713021322247501E-3</v>
      </c>
      <c r="F2428" s="2">
        <v>3.6411897049138599E-3</v>
      </c>
    </row>
    <row r="2429" spans="1:6" x14ac:dyDescent="0.25">
      <c r="A2429" s="1" t="str">
        <f t="shared" si="86"/>
        <v>12580</v>
      </c>
      <c r="B2429" s="1" t="str">
        <f>"21285"</f>
        <v>21285</v>
      </c>
      <c r="C2429" s="2">
        <v>6.2143225117875704E-4</v>
      </c>
      <c r="D2429" s="2">
        <v>1.7145376463480299E-3</v>
      </c>
      <c r="E2429" s="2">
        <v>1.3410218586562899E-5</v>
      </c>
      <c r="F2429" s="2">
        <v>6.8063369805404202E-4</v>
      </c>
    </row>
    <row r="2430" spans="1:6" x14ac:dyDescent="0.25">
      <c r="A2430" s="1" t="str">
        <f t="shared" si="86"/>
        <v>12580</v>
      </c>
      <c r="B2430" s="1" t="str">
        <f>"21776"</f>
        <v>21776</v>
      </c>
      <c r="C2430" s="2">
        <v>1.58245759129163E-3</v>
      </c>
      <c r="D2430" s="2">
        <v>5.8784147874789698E-4</v>
      </c>
      <c r="E2430" s="2">
        <v>5.3640874346251805E-4</v>
      </c>
      <c r="F2430" s="2">
        <v>1.4488538543055999E-3</v>
      </c>
    </row>
    <row r="2431" spans="1:6" x14ac:dyDescent="0.25">
      <c r="A2431" s="1" t="str">
        <f t="shared" si="86"/>
        <v>12580</v>
      </c>
      <c r="B2431" s="1" t="str">
        <f>"21771"</f>
        <v>21771</v>
      </c>
      <c r="C2431" s="2">
        <v>5.23943622926922E-3</v>
      </c>
      <c r="D2431" s="2">
        <v>6.1478421319050899E-3</v>
      </c>
      <c r="E2431" s="2">
        <v>1.3007912028966001E-3</v>
      </c>
      <c r="F2431" s="2">
        <v>5.1174561148385504E-3</v>
      </c>
    </row>
    <row r="2432" spans="1:6" x14ac:dyDescent="0.25">
      <c r="A2432" s="1" t="str">
        <f t="shared" si="86"/>
        <v>12580</v>
      </c>
      <c r="B2432" s="1" t="str">
        <f>"21723"</f>
        <v>21723</v>
      </c>
      <c r="C2432" s="2">
        <v>3.0725088998801001E-4</v>
      </c>
      <c r="D2432" s="2">
        <v>1.5512483466958399E-4</v>
      </c>
      <c r="E2432" s="2">
        <v>2.68204371731259E-5</v>
      </c>
      <c r="F2432" s="2">
        <v>2.8081154536610802E-4</v>
      </c>
    </row>
    <row r="2433" spans="1:6" x14ac:dyDescent="0.25">
      <c r="A2433" s="1" t="str">
        <f t="shared" si="86"/>
        <v>12580</v>
      </c>
      <c r="B2433" s="1" t="str">
        <f>"20759"</f>
        <v>20759</v>
      </c>
      <c r="C2433" s="2">
        <v>2.0098366487937501E-3</v>
      </c>
      <c r="D2433" s="2">
        <v>3.0616743684786299E-3</v>
      </c>
      <c r="E2433" s="2">
        <v>2.2260962853694502E-3</v>
      </c>
      <c r="F2433" s="2">
        <v>2.10675518916334E-3</v>
      </c>
    </row>
    <row r="2434" spans="1:6" x14ac:dyDescent="0.25">
      <c r="A2434" s="1" t="str">
        <f t="shared" si="86"/>
        <v>12580</v>
      </c>
      <c r="B2434" s="1" t="str">
        <f>"21131"</f>
        <v>21131</v>
      </c>
      <c r="C2434" s="2">
        <v>2.2801250257004899E-3</v>
      </c>
      <c r="D2434" s="2">
        <v>2.8085759540177301E-3</v>
      </c>
      <c r="E2434" s="2">
        <v>3.0843502749094802E-4</v>
      </c>
      <c r="F2434" s="2">
        <v>2.2250971975676299E-3</v>
      </c>
    </row>
    <row r="2435" spans="1:6" x14ac:dyDescent="0.25">
      <c r="A2435" s="1" t="str">
        <f t="shared" si="86"/>
        <v>12580</v>
      </c>
      <c r="B2435" s="1" t="str">
        <f>"21132"</f>
        <v>21132</v>
      </c>
      <c r="C2435" s="2">
        <v>8.1471539249953595E-4</v>
      </c>
      <c r="D2435" s="2">
        <v>1.3879590470436401E-4</v>
      </c>
      <c r="E2435" s="2">
        <v>5.3640874346251801E-5</v>
      </c>
      <c r="F2435" s="2">
        <v>7.2141823202388202E-4</v>
      </c>
    </row>
    <row r="2436" spans="1:6" x14ac:dyDescent="0.25">
      <c r="A2436" s="1" t="str">
        <f t="shared" ref="A2436:A2467" si="87">"12620"</f>
        <v>12620</v>
      </c>
      <c r="B2436" s="1" t="str">
        <f>"04457"</f>
        <v>04457</v>
      </c>
      <c r="C2436" s="2">
        <v>4.0196248350153903E-2</v>
      </c>
      <c r="D2436" s="2">
        <v>3.5625517812758897E-2</v>
      </c>
      <c r="E2436" s="2">
        <v>2.49475890985324E-2</v>
      </c>
      <c r="F2436" s="2">
        <v>3.90271756863841E-2</v>
      </c>
    </row>
    <row r="2437" spans="1:6" x14ac:dyDescent="0.25">
      <c r="A2437" s="1" t="str">
        <f t="shared" si="87"/>
        <v>12620</v>
      </c>
      <c r="B2437" s="1" t="str">
        <f>"04488"</f>
        <v>04488</v>
      </c>
      <c r="C2437" s="2">
        <v>7.3726452197794799E-3</v>
      </c>
      <c r="D2437" s="2">
        <v>1.65700082850041E-3</v>
      </c>
      <c r="E2437" s="2">
        <v>1.4675052410901401E-3</v>
      </c>
      <c r="F2437" s="2">
        <v>6.6424276324989501E-3</v>
      </c>
    </row>
    <row r="2438" spans="1:6" x14ac:dyDescent="0.25">
      <c r="A2438" s="1" t="str">
        <f t="shared" si="87"/>
        <v>12620</v>
      </c>
      <c r="B2438" s="1" t="str">
        <f>"04429"</f>
        <v>04429</v>
      </c>
      <c r="C2438" s="2">
        <v>1.94648499473382E-2</v>
      </c>
      <c r="D2438" s="2">
        <v>1.0439105219552601E-2</v>
      </c>
      <c r="E2438" s="2">
        <v>5.2410901467505201E-3</v>
      </c>
      <c r="F2438" s="2">
        <v>1.8039435044049701E-2</v>
      </c>
    </row>
    <row r="2439" spans="1:6" x14ac:dyDescent="0.25">
      <c r="A2439" s="1" t="str">
        <f t="shared" si="87"/>
        <v>12620</v>
      </c>
      <c r="B2439" s="1" t="str">
        <f>"04422"</f>
        <v>04422</v>
      </c>
      <c r="C2439" s="2">
        <v>7.3459810417694296E-3</v>
      </c>
      <c r="D2439" s="2">
        <v>1.3256006628003299E-3</v>
      </c>
      <c r="E2439" s="2">
        <v>5.8700209643605802E-3</v>
      </c>
      <c r="F2439" s="2">
        <v>6.8405351232927701E-3</v>
      </c>
    </row>
    <row r="2440" spans="1:6" x14ac:dyDescent="0.25">
      <c r="A2440" s="1" t="str">
        <f t="shared" si="87"/>
        <v>12620</v>
      </c>
      <c r="B2440" s="1" t="str">
        <f>"04495"</f>
        <v>04495</v>
      </c>
      <c r="C2440" s="2">
        <v>2.1198021517991601E-3</v>
      </c>
      <c r="D2440" s="2">
        <v>3.31400165700082E-4</v>
      </c>
      <c r="E2440" s="2">
        <v>2.0964360587002001E-4</v>
      </c>
      <c r="F2440" s="2">
        <v>1.88784785344707E-3</v>
      </c>
    </row>
    <row r="2441" spans="1:6" x14ac:dyDescent="0.25">
      <c r="A2441" s="1" t="str">
        <f t="shared" si="87"/>
        <v>12620</v>
      </c>
      <c r="B2441" s="1" t="str">
        <f>"04418"</f>
        <v>04418</v>
      </c>
      <c r="C2441" s="2">
        <v>1.0692335382031E-2</v>
      </c>
      <c r="D2441" s="2">
        <v>6.6280033140016497E-4</v>
      </c>
      <c r="E2441" s="2">
        <v>1.4675052410901401E-3</v>
      </c>
      <c r="F2441" s="2">
        <v>9.4741994126695504E-3</v>
      </c>
    </row>
    <row r="2442" spans="1:6" x14ac:dyDescent="0.25">
      <c r="A2442" s="1" t="str">
        <f t="shared" si="87"/>
        <v>12620</v>
      </c>
      <c r="B2442" s="1" t="str">
        <f>"04930"</f>
        <v>04930</v>
      </c>
      <c r="C2442" s="2">
        <v>2.7757409308464501E-2</v>
      </c>
      <c r="D2442" s="2">
        <v>2.4026512013256E-2</v>
      </c>
      <c r="E2442" s="2">
        <v>2.97693920335429E-2</v>
      </c>
      <c r="F2442" s="2">
        <v>2.7606861511210501E-2</v>
      </c>
    </row>
    <row r="2443" spans="1:6" x14ac:dyDescent="0.25">
      <c r="A2443" s="1" t="str">
        <f t="shared" si="87"/>
        <v>12620</v>
      </c>
      <c r="B2443" s="1" t="str">
        <f>"04411"</f>
        <v>04411</v>
      </c>
      <c r="C2443" s="2">
        <v>6.8926900155985397E-3</v>
      </c>
      <c r="D2443" s="2">
        <v>8.2850041425020697E-4</v>
      </c>
      <c r="E2443" s="2">
        <v>3.77358490566037E-3</v>
      </c>
      <c r="F2443" s="2">
        <v>6.2928261781569003E-3</v>
      </c>
    </row>
    <row r="2444" spans="1:6" x14ac:dyDescent="0.25">
      <c r="A2444" s="1" t="str">
        <f t="shared" si="87"/>
        <v>12620</v>
      </c>
      <c r="B2444" s="1" t="str">
        <f>"04497"</f>
        <v>04497</v>
      </c>
      <c r="C2444" s="2">
        <v>3.4663431413068101E-4</v>
      </c>
      <c r="D2444" s="2">
        <v>4.9710024855012405E-4</v>
      </c>
      <c r="E2444" s="2">
        <v>0</v>
      </c>
      <c r="F2444" s="2">
        <v>3.3794807253064802E-4</v>
      </c>
    </row>
    <row r="2445" spans="1:6" x14ac:dyDescent="0.25">
      <c r="A2445" s="1" t="str">
        <f t="shared" si="87"/>
        <v>12620</v>
      </c>
      <c r="B2445" s="1" t="str">
        <f>"04428"</f>
        <v>04428</v>
      </c>
      <c r="C2445" s="2">
        <v>1.9638167104403501E-2</v>
      </c>
      <c r="D2445" s="2">
        <v>4.1425020712510304E-3</v>
      </c>
      <c r="E2445" s="2">
        <v>9.2243186582809198E-3</v>
      </c>
      <c r="F2445" s="2">
        <v>1.7969514753181301E-2</v>
      </c>
    </row>
    <row r="2446" spans="1:6" x14ac:dyDescent="0.25">
      <c r="A2446" s="1" t="str">
        <f t="shared" si="87"/>
        <v>12620</v>
      </c>
      <c r="B2446" s="1" t="str">
        <f>"04928"</f>
        <v>04928</v>
      </c>
      <c r="C2446" s="2">
        <v>1.38120442092071E-2</v>
      </c>
      <c r="D2446" s="2">
        <v>4.1425020712510304E-3</v>
      </c>
      <c r="E2446" s="2">
        <v>4.4025157232704401E-3</v>
      </c>
      <c r="F2446" s="2">
        <v>1.26089591199366E-2</v>
      </c>
    </row>
    <row r="2447" spans="1:6" x14ac:dyDescent="0.25">
      <c r="A2447" s="1" t="str">
        <f t="shared" si="87"/>
        <v>12620</v>
      </c>
      <c r="B2447" s="1" t="str">
        <f>"04953"</f>
        <v>04953</v>
      </c>
      <c r="C2447" s="2">
        <v>2.27312117535696E-2</v>
      </c>
      <c r="D2447" s="2">
        <v>2.7837613918806899E-2</v>
      </c>
      <c r="E2447" s="2">
        <v>2.7672955974842699E-2</v>
      </c>
      <c r="F2447" s="2">
        <v>2.3365030531860301E-2</v>
      </c>
    </row>
    <row r="2448" spans="1:6" x14ac:dyDescent="0.25">
      <c r="A2448" s="1" t="str">
        <f t="shared" si="87"/>
        <v>12620</v>
      </c>
      <c r="B2448" s="1" t="str">
        <f>"04449"</f>
        <v>04449</v>
      </c>
      <c r="C2448" s="2">
        <v>8.6258615862519396E-3</v>
      </c>
      <c r="D2448" s="2">
        <v>9.9420049710024811E-4</v>
      </c>
      <c r="E2448" s="2">
        <v>2.0964360587002001E-4</v>
      </c>
      <c r="F2448" s="2">
        <v>7.6213117046566902E-3</v>
      </c>
    </row>
    <row r="2449" spans="1:6" x14ac:dyDescent="0.25">
      <c r="A2449" s="1" t="str">
        <f t="shared" si="87"/>
        <v>12620</v>
      </c>
      <c r="B2449" s="1" t="str">
        <f>"04450"</f>
        <v>04450</v>
      </c>
      <c r="C2449" s="2">
        <v>7.5459623768448199E-3</v>
      </c>
      <c r="D2449" s="2">
        <v>1.15990057995028E-3</v>
      </c>
      <c r="E2449" s="2">
        <v>1.67714884696016E-3</v>
      </c>
      <c r="F2449" s="2">
        <v>6.7706148324243598E-3</v>
      </c>
    </row>
    <row r="2450" spans="1:6" x14ac:dyDescent="0.25">
      <c r="A2450" s="1" t="str">
        <f t="shared" si="87"/>
        <v>12620</v>
      </c>
      <c r="B2450" s="1" t="str">
        <f>"04401"</f>
        <v>04401</v>
      </c>
      <c r="C2450" s="2">
        <v>0.29955870785393302</v>
      </c>
      <c r="D2450" s="2">
        <v>0.49942004971002402</v>
      </c>
      <c r="E2450" s="2">
        <v>0.46939203354297598</v>
      </c>
      <c r="F2450" s="2">
        <v>0.32305505057567702</v>
      </c>
    </row>
    <row r="2451" spans="1:6" x14ac:dyDescent="0.25">
      <c r="A2451" s="1" t="str">
        <f t="shared" si="87"/>
        <v>12620</v>
      </c>
      <c r="B2451" s="1" t="str">
        <f>"04777"</f>
        <v>04777</v>
      </c>
      <c r="C2451" s="2">
        <v>1.9998133507539199E-3</v>
      </c>
      <c r="D2451" s="2">
        <v>4.9710024855012405E-4</v>
      </c>
      <c r="E2451" s="2">
        <v>2.0964360587002001E-4</v>
      </c>
      <c r="F2451" s="2">
        <v>1.7946207989558501E-3</v>
      </c>
    </row>
    <row r="2452" spans="1:6" x14ac:dyDescent="0.25">
      <c r="A2452" s="1" t="str">
        <f t="shared" si="87"/>
        <v>12620</v>
      </c>
      <c r="B2452" s="1" t="str">
        <f>"04932"</f>
        <v>04932</v>
      </c>
      <c r="C2452" s="2">
        <v>7.6792832668950801E-3</v>
      </c>
      <c r="D2452" s="2">
        <v>6.6280033140016497E-4</v>
      </c>
      <c r="E2452" s="2">
        <v>8.3857442348008295E-4</v>
      </c>
      <c r="F2452" s="2">
        <v>6.8055749778585702E-3</v>
      </c>
    </row>
    <row r="2453" spans="1:6" x14ac:dyDescent="0.25">
      <c r="A2453" s="1" t="str">
        <f t="shared" si="87"/>
        <v>12620</v>
      </c>
      <c r="B2453" s="1" t="str">
        <f>"04921"</f>
        <v>04921</v>
      </c>
      <c r="C2453" s="2">
        <v>2.66641780100523E-5</v>
      </c>
      <c r="D2453" s="2">
        <v>0</v>
      </c>
      <c r="E2453" s="2">
        <v>0</v>
      </c>
      <c r="F2453" s="2">
        <v>2.33067636228033E-5</v>
      </c>
    </row>
    <row r="2454" spans="1:6" x14ac:dyDescent="0.25">
      <c r="A2454" s="1" t="str">
        <f t="shared" si="87"/>
        <v>12620</v>
      </c>
      <c r="B2454" s="1" t="str">
        <f>"04459"</f>
        <v>04459</v>
      </c>
      <c r="C2454" s="2">
        <v>3.5196714973269099E-3</v>
      </c>
      <c r="D2454" s="2">
        <v>4.9710024855012405E-4</v>
      </c>
      <c r="E2454" s="2">
        <v>3.5639412997903498E-3</v>
      </c>
      <c r="F2454" s="2">
        <v>3.3095604344380702E-3</v>
      </c>
    </row>
    <row r="2455" spans="1:6" x14ac:dyDescent="0.25">
      <c r="A2455" s="1" t="str">
        <f t="shared" si="87"/>
        <v>12620</v>
      </c>
      <c r="B2455" s="1" t="str">
        <f>"04733"</f>
        <v>04733</v>
      </c>
      <c r="C2455" s="2">
        <v>6.6660445025130898E-5</v>
      </c>
      <c r="D2455" s="2">
        <v>0</v>
      </c>
      <c r="E2455" s="2">
        <v>0</v>
      </c>
      <c r="F2455" s="2">
        <v>5.82669090570083E-5</v>
      </c>
    </row>
    <row r="2456" spans="1:6" x14ac:dyDescent="0.25">
      <c r="A2456" s="1" t="str">
        <f t="shared" si="87"/>
        <v>12620</v>
      </c>
      <c r="B2456" s="1" t="str">
        <f>"04487"</f>
        <v>04487</v>
      </c>
      <c r="C2456" s="2">
        <v>7.9192608689855597E-3</v>
      </c>
      <c r="D2456" s="2">
        <v>1.82270091135045E-3</v>
      </c>
      <c r="E2456" s="2">
        <v>4.1928721174004099E-4</v>
      </c>
      <c r="F2456" s="2">
        <v>7.07360275952081E-3</v>
      </c>
    </row>
    <row r="2457" spans="1:6" x14ac:dyDescent="0.25">
      <c r="A2457" s="1" t="str">
        <f t="shared" si="87"/>
        <v>12620</v>
      </c>
      <c r="B2457" s="1" t="str">
        <f>"04455"</f>
        <v>04455</v>
      </c>
      <c r="C2457" s="2">
        <v>4.8262162198194798E-3</v>
      </c>
      <c r="D2457" s="2">
        <v>1.82270091135045E-3</v>
      </c>
      <c r="E2457" s="2">
        <v>8.3857442348008295E-4</v>
      </c>
      <c r="F2457" s="2">
        <v>4.3933249428984196E-3</v>
      </c>
    </row>
    <row r="2458" spans="1:6" x14ac:dyDescent="0.25">
      <c r="A2458" s="1" t="str">
        <f t="shared" si="87"/>
        <v>12620</v>
      </c>
      <c r="B2458" s="1" t="str">
        <f>"04489"</f>
        <v>04489</v>
      </c>
      <c r="C2458" s="2">
        <v>1.27988054448251E-3</v>
      </c>
      <c r="D2458" s="2">
        <v>0</v>
      </c>
      <c r="E2458" s="2">
        <v>2.0964360587002001E-4</v>
      </c>
      <c r="F2458" s="2">
        <v>1.1303780357059599E-3</v>
      </c>
    </row>
    <row r="2459" spans="1:6" x14ac:dyDescent="0.25">
      <c r="A2459" s="1" t="str">
        <f t="shared" si="87"/>
        <v>12620</v>
      </c>
      <c r="B2459" s="1" t="str">
        <f>"04430"</f>
        <v>04430</v>
      </c>
      <c r="C2459" s="2">
        <v>1.1345607743277201E-2</v>
      </c>
      <c r="D2459" s="2">
        <v>1.01077050538525E-2</v>
      </c>
      <c r="E2459" s="2">
        <v>1.0062893081761001E-2</v>
      </c>
      <c r="F2459" s="2">
        <v>1.11872465389456E-2</v>
      </c>
    </row>
    <row r="2460" spans="1:6" x14ac:dyDescent="0.25">
      <c r="A2460" s="1" t="str">
        <f t="shared" si="87"/>
        <v>12620</v>
      </c>
      <c r="B2460" s="1" t="str">
        <f>"04417"</f>
        <v>04417</v>
      </c>
      <c r="C2460" s="2">
        <v>2.0264775287639801E-3</v>
      </c>
      <c r="D2460" s="2">
        <v>0</v>
      </c>
      <c r="E2460" s="2">
        <v>2.0964360587002001E-4</v>
      </c>
      <c r="F2460" s="2">
        <v>1.7829674171444499E-3</v>
      </c>
    </row>
    <row r="2461" spans="1:6" x14ac:dyDescent="0.25">
      <c r="A2461" s="1" t="str">
        <f t="shared" si="87"/>
        <v>12620</v>
      </c>
      <c r="B2461" s="1" t="str">
        <f>"04493"</f>
        <v>04493</v>
      </c>
      <c r="C2461" s="2">
        <v>1.14655965443225E-2</v>
      </c>
      <c r="D2461" s="2">
        <v>2.1541010770505299E-3</v>
      </c>
      <c r="E2461" s="2">
        <v>3.3542976939203301E-3</v>
      </c>
      <c r="F2461" s="2">
        <v>1.0359856430336E-2</v>
      </c>
    </row>
    <row r="2462" spans="1:6" x14ac:dyDescent="0.25">
      <c r="A2462" s="1" t="str">
        <f t="shared" si="87"/>
        <v>12620</v>
      </c>
      <c r="B2462" s="1" t="str">
        <f>"04474"</f>
        <v>04474</v>
      </c>
      <c r="C2462" s="2">
        <v>2.2824536376604799E-2</v>
      </c>
      <c r="D2462" s="2">
        <v>7.4565037282518596E-3</v>
      </c>
      <c r="E2462" s="2">
        <v>1.1111111111111099E-2</v>
      </c>
      <c r="F2462" s="2">
        <v>2.1092621078636999E-2</v>
      </c>
    </row>
    <row r="2463" spans="1:6" x14ac:dyDescent="0.25">
      <c r="A2463" s="1" t="str">
        <f t="shared" si="87"/>
        <v>12620</v>
      </c>
      <c r="B2463" s="1" t="str">
        <f>"04468"</f>
        <v>04468</v>
      </c>
      <c r="C2463" s="2">
        <v>6.0820990040929501E-2</v>
      </c>
      <c r="D2463" s="2">
        <v>3.2974316487158199E-2</v>
      </c>
      <c r="E2463" s="2">
        <v>7.67295597484276E-2</v>
      </c>
      <c r="F2463" s="2">
        <v>5.9746888547056301E-2</v>
      </c>
    </row>
    <row r="2464" spans="1:6" x14ac:dyDescent="0.25">
      <c r="A2464" s="1" t="str">
        <f t="shared" si="87"/>
        <v>12620</v>
      </c>
      <c r="B2464" s="1" t="str">
        <f>"04473"</f>
        <v>04473</v>
      </c>
      <c r="C2464" s="2">
        <v>4.7795539083018902E-2</v>
      </c>
      <c r="D2464" s="2">
        <v>2.55178127589063E-2</v>
      </c>
      <c r="E2464" s="2">
        <v>7.9664570230607898E-2</v>
      </c>
      <c r="F2464" s="2">
        <v>4.8000279681163403E-2</v>
      </c>
    </row>
    <row r="2465" spans="1:6" x14ac:dyDescent="0.25">
      <c r="A2465" s="1" t="str">
        <f t="shared" si="87"/>
        <v>12620</v>
      </c>
      <c r="B2465" s="1" t="str">
        <f>"04456"</f>
        <v>04456</v>
      </c>
      <c r="C2465" s="2">
        <v>1.5718532936925801E-2</v>
      </c>
      <c r="D2465" s="2">
        <v>2.1541010770505299E-3</v>
      </c>
      <c r="E2465" s="2">
        <v>8.8050314465408803E-3</v>
      </c>
      <c r="F2465" s="2">
        <v>1.43802731552696E-2</v>
      </c>
    </row>
    <row r="2466" spans="1:6" x14ac:dyDescent="0.25">
      <c r="A2466" s="1" t="str">
        <f t="shared" si="87"/>
        <v>12620</v>
      </c>
      <c r="B2466" s="1" t="str">
        <f>"04427"</f>
        <v>04427</v>
      </c>
      <c r="C2466" s="2">
        <v>1.6758435879317898E-2</v>
      </c>
      <c r="D2466" s="2">
        <v>4.3082021541010701E-3</v>
      </c>
      <c r="E2466" s="2">
        <v>1.13207547169811E-2</v>
      </c>
      <c r="F2466" s="2">
        <v>1.5580571481844E-2</v>
      </c>
    </row>
    <row r="2467" spans="1:6" x14ac:dyDescent="0.25">
      <c r="A2467" s="1" t="str">
        <f t="shared" si="87"/>
        <v>12620</v>
      </c>
      <c r="B2467" s="1" t="str">
        <f>"04461"</f>
        <v>04461</v>
      </c>
      <c r="C2467" s="2">
        <v>1.4278667324383E-2</v>
      </c>
      <c r="D2467" s="2">
        <v>2.31980115990057E-3</v>
      </c>
      <c r="E2467" s="2">
        <v>7.3375262054507298E-3</v>
      </c>
      <c r="F2467" s="2">
        <v>1.3051787628769801E-2</v>
      </c>
    </row>
    <row r="2468" spans="1:6" x14ac:dyDescent="0.25">
      <c r="A2468" s="1" t="str">
        <f t="shared" ref="A2468:A2485" si="88">"12620"</f>
        <v>12620</v>
      </c>
      <c r="B2468" s="1" t="str">
        <f>"04435"</f>
        <v>04435</v>
      </c>
      <c r="C2468" s="2">
        <v>6.5593877904728797E-3</v>
      </c>
      <c r="D2468" s="2">
        <v>9.9420049710024811E-4</v>
      </c>
      <c r="E2468" s="2">
        <v>2.0964360587002001E-4</v>
      </c>
      <c r="F2468" s="2">
        <v>5.8150375238894304E-3</v>
      </c>
    </row>
    <row r="2469" spans="1:6" x14ac:dyDescent="0.25">
      <c r="A2469" s="1" t="str">
        <f t="shared" si="88"/>
        <v>12620</v>
      </c>
      <c r="B2469" s="1" t="str">
        <f>"04410"</f>
        <v>04410</v>
      </c>
      <c r="C2469" s="2">
        <v>7.61262282186995E-3</v>
      </c>
      <c r="D2469" s="2">
        <v>1.15990057995028E-3</v>
      </c>
      <c r="E2469" s="2">
        <v>3.3542976939203301E-3</v>
      </c>
      <c r="F2469" s="2">
        <v>6.9221087959725897E-3</v>
      </c>
    </row>
    <row r="2470" spans="1:6" x14ac:dyDescent="0.25">
      <c r="A2470" s="1" t="str">
        <f t="shared" si="88"/>
        <v>12620</v>
      </c>
      <c r="B2470" s="1" t="str">
        <f>"04933"</f>
        <v>04933</v>
      </c>
      <c r="C2470" s="2">
        <v>1.3332089005026099E-5</v>
      </c>
      <c r="D2470" s="2">
        <v>0</v>
      </c>
      <c r="E2470" s="2">
        <v>2.0964360587002001E-4</v>
      </c>
      <c r="F2470" s="2">
        <v>2.33067636228033E-5</v>
      </c>
    </row>
    <row r="2471" spans="1:6" x14ac:dyDescent="0.25">
      <c r="A2471" s="1" t="str">
        <f t="shared" si="88"/>
        <v>12620</v>
      </c>
      <c r="B2471" s="1" t="str">
        <f>"04451"</f>
        <v>04451</v>
      </c>
      <c r="C2471" s="2">
        <v>1.5198581465729799E-3</v>
      </c>
      <c r="D2471" s="2">
        <v>1.65700082850041E-4</v>
      </c>
      <c r="E2471" s="2">
        <v>4.1928721174004099E-4</v>
      </c>
      <c r="F2471" s="2">
        <v>1.36344567193399E-3</v>
      </c>
    </row>
    <row r="2472" spans="1:6" x14ac:dyDescent="0.25">
      <c r="A2472" s="1" t="str">
        <f t="shared" si="88"/>
        <v>12620</v>
      </c>
      <c r="B2472" s="1" t="str">
        <f>"04469"</f>
        <v>04469</v>
      </c>
      <c r="C2472" s="2">
        <v>0</v>
      </c>
      <c r="D2472" s="2">
        <v>1.67357083678541E-2</v>
      </c>
      <c r="E2472" s="2">
        <v>0</v>
      </c>
      <c r="F2472" s="2">
        <v>1.17699156295156E-3</v>
      </c>
    </row>
    <row r="2473" spans="1:6" x14ac:dyDescent="0.25">
      <c r="A2473" s="1" t="str">
        <f t="shared" si="88"/>
        <v>12620</v>
      </c>
      <c r="B2473" s="1" t="str">
        <f>"04462"</f>
        <v>04462</v>
      </c>
      <c r="C2473" s="2">
        <v>4.0356233418214198E-2</v>
      </c>
      <c r="D2473" s="2">
        <v>3.3802816901408399E-2</v>
      </c>
      <c r="E2473" s="2">
        <v>3.6268343815513603E-2</v>
      </c>
      <c r="F2473" s="2">
        <v>3.9668111686011198E-2</v>
      </c>
    </row>
    <row r="2474" spans="1:6" x14ac:dyDescent="0.25">
      <c r="A2474" s="1" t="str">
        <f t="shared" si="88"/>
        <v>12620</v>
      </c>
      <c r="B2474" s="1" t="str">
        <f>"04402"</f>
        <v>04402</v>
      </c>
      <c r="C2474" s="2">
        <v>2.0238111109629701E-2</v>
      </c>
      <c r="D2474" s="2">
        <v>6.8931234465617205E-2</v>
      </c>
      <c r="E2474" s="2">
        <v>2.0964360587002001E-4</v>
      </c>
      <c r="F2474" s="2">
        <v>2.2549293805062199E-2</v>
      </c>
    </row>
    <row r="2475" spans="1:6" x14ac:dyDescent="0.25">
      <c r="A2475" s="1" t="str">
        <f t="shared" si="88"/>
        <v>12620</v>
      </c>
      <c r="B2475" s="1" t="str">
        <f>"04765"</f>
        <v>04765</v>
      </c>
      <c r="C2475" s="2">
        <v>9.0258242564027306E-3</v>
      </c>
      <c r="D2475" s="2">
        <v>5.4681027340513604E-3</v>
      </c>
      <c r="E2475" s="2">
        <v>3.9832285115303902E-3</v>
      </c>
      <c r="F2475" s="2">
        <v>8.4953153405118095E-3</v>
      </c>
    </row>
    <row r="2476" spans="1:6" x14ac:dyDescent="0.25">
      <c r="A2476" s="1" t="str">
        <f t="shared" si="88"/>
        <v>12620</v>
      </c>
      <c r="B2476" s="1" t="str">
        <f>"04969"</f>
        <v>04969</v>
      </c>
      <c r="C2476" s="2">
        <v>7.7459437119202197E-3</v>
      </c>
      <c r="D2476" s="2">
        <v>1.82270091135045E-3</v>
      </c>
      <c r="E2476" s="2">
        <v>6.2893081761006199E-4</v>
      </c>
      <c r="F2476" s="2">
        <v>6.9337621777839902E-3</v>
      </c>
    </row>
    <row r="2477" spans="1:6" x14ac:dyDescent="0.25">
      <c r="A2477" s="1" t="str">
        <f t="shared" si="88"/>
        <v>12620</v>
      </c>
      <c r="B2477" s="1" t="str">
        <f>"04419"</f>
        <v>04419</v>
      </c>
      <c r="C2477" s="2">
        <v>1.65851187222525E-2</v>
      </c>
      <c r="D2477" s="2">
        <v>4.6396023198011496E-3</v>
      </c>
      <c r="E2477" s="2">
        <v>6.0796645702306E-3</v>
      </c>
      <c r="F2477" s="2">
        <v>1.51610497366335E-2</v>
      </c>
    </row>
    <row r="2478" spans="1:6" x14ac:dyDescent="0.25">
      <c r="A2478" s="1" t="str">
        <f t="shared" si="88"/>
        <v>12620</v>
      </c>
      <c r="B2478" s="1" t="str">
        <f>"04444"</f>
        <v>04444</v>
      </c>
      <c r="C2478" s="2">
        <v>5.3568333622195201E-2</v>
      </c>
      <c r="D2478" s="2">
        <v>3.1151615575807701E-2</v>
      </c>
      <c r="E2478" s="2">
        <v>2.3270440251572301E-2</v>
      </c>
      <c r="F2478" s="2">
        <v>5.0307649279821003E-2</v>
      </c>
    </row>
    <row r="2479" spans="1:6" x14ac:dyDescent="0.25">
      <c r="A2479" s="1" t="str">
        <f t="shared" si="88"/>
        <v>12620</v>
      </c>
      <c r="B2479" s="1" t="str">
        <f>"04460"</f>
        <v>04460</v>
      </c>
      <c r="C2479" s="2">
        <v>7.1193355286839803E-3</v>
      </c>
      <c r="D2479" s="2">
        <v>2.31980115990057E-3</v>
      </c>
      <c r="E2479" s="2">
        <v>6.2893081761006199E-4</v>
      </c>
      <c r="F2479" s="2">
        <v>6.42101337808231E-3</v>
      </c>
    </row>
    <row r="2480" spans="1:6" x14ac:dyDescent="0.25">
      <c r="A2480" s="1" t="str">
        <f t="shared" si="88"/>
        <v>12620</v>
      </c>
      <c r="B2480" s="1" t="str">
        <f>"04448"</f>
        <v>04448</v>
      </c>
      <c r="C2480" s="2">
        <v>4.5195781727038796E-3</v>
      </c>
      <c r="D2480" s="2">
        <v>3.31400165700082E-4</v>
      </c>
      <c r="E2480" s="2">
        <v>1.2578616352201201E-3</v>
      </c>
      <c r="F2480" s="2">
        <v>4.0437234885563698E-3</v>
      </c>
    </row>
    <row r="2481" spans="1:6" x14ac:dyDescent="0.25">
      <c r="A2481" s="1" t="str">
        <f t="shared" si="88"/>
        <v>12620</v>
      </c>
      <c r="B2481" s="1" t="str">
        <f>"04434"</f>
        <v>04434</v>
      </c>
      <c r="C2481" s="2">
        <v>7.09267135067393E-3</v>
      </c>
      <c r="D2481" s="2">
        <v>1.3256006628003299E-3</v>
      </c>
      <c r="E2481" s="2">
        <v>1.4675052410901401E-3</v>
      </c>
      <c r="F2481" s="2">
        <v>6.3743998508367103E-3</v>
      </c>
    </row>
    <row r="2482" spans="1:6" x14ac:dyDescent="0.25">
      <c r="A2482" s="1" t="str">
        <f t="shared" si="88"/>
        <v>12620</v>
      </c>
      <c r="B2482" s="1" t="str">
        <f>"04453"</f>
        <v>04453</v>
      </c>
      <c r="C2482" s="2">
        <v>5.0528617329049204E-3</v>
      </c>
      <c r="D2482" s="2">
        <v>9.9420049710024811E-4</v>
      </c>
      <c r="E2482" s="2">
        <v>1.88679245283018E-3</v>
      </c>
      <c r="F2482" s="2">
        <v>4.59143243369225E-3</v>
      </c>
    </row>
    <row r="2483" spans="1:6" x14ac:dyDescent="0.25">
      <c r="A2483" s="1" t="str">
        <f t="shared" si="88"/>
        <v>12620</v>
      </c>
      <c r="B2483" s="1" t="str">
        <f>"04939"</f>
        <v>04939</v>
      </c>
      <c r="C2483" s="2">
        <v>6.2260855653472301E-3</v>
      </c>
      <c r="D2483" s="2">
        <v>0</v>
      </c>
      <c r="E2483" s="2">
        <v>2.7253668763102699E-3</v>
      </c>
      <c r="F2483" s="2">
        <v>5.5936232694727998E-3</v>
      </c>
    </row>
    <row r="2484" spans="1:6" x14ac:dyDescent="0.25">
      <c r="A2484" s="1" t="str">
        <f t="shared" si="88"/>
        <v>12620</v>
      </c>
      <c r="B2484" s="1" t="str">
        <f>"04475"</f>
        <v>04475</v>
      </c>
      <c r="C2484" s="2">
        <v>2.1731305078192698E-3</v>
      </c>
      <c r="D2484" s="2">
        <v>4.9710024855012405E-4</v>
      </c>
      <c r="E2484" s="2">
        <v>8.3857442348008295E-4</v>
      </c>
      <c r="F2484" s="2">
        <v>1.9810749079382799E-3</v>
      </c>
    </row>
    <row r="2485" spans="1:6" x14ac:dyDescent="0.25">
      <c r="A2485" s="1" t="str">
        <f t="shared" si="88"/>
        <v>12620</v>
      </c>
      <c r="B2485" s="1" t="str">
        <f>"04412"</f>
        <v>04412</v>
      </c>
      <c r="C2485" s="2">
        <v>8.0139187009212395E-2</v>
      </c>
      <c r="D2485" s="2">
        <v>0.12427506213753101</v>
      </c>
      <c r="E2485" s="2">
        <v>0.116561844863731</v>
      </c>
      <c r="F2485" s="2">
        <v>8.5267794714025999E-2</v>
      </c>
    </row>
    <row r="2486" spans="1:6" x14ac:dyDescent="0.25">
      <c r="A2486" s="1" t="str">
        <f t="shared" ref="A2486:A2506" si="89">"12660"</f>
        <v>12660</v>
      </c>
      <c r="B2486" s="1" t="str">
        <f>"53937"</f>
        <v>53937</v>
      </c>
      <c r="C2486" s="2">
        <v>1.1585944919278199E-2</v>
      </c>
      <c r="D2486" s="2">
        <v>5.2277819268110497E-3</v>
      </c>
      <c r="E2486" s="2">
        <v>0</v>
      </c>
      <c r="F2486" s="2">
        <v>1.0700909577314E-2</v>
      </c>
    </row>
    <row r="2487" spans="1:6" x14ac:dyDescent="0.25">
      <c r="A2487" s="1" t="str">
        <f t="shared" si="89"/>
        <v>12660</v>
      </c>
      <c r="B2487" s="1" t="str">
        <f>"53561"</f>
        <v>53561</v>
      </c>
      <c r="C2487" s="2">
        <v>3.3776511554289297E-2</v>
      </c>
      <c r="D2487" s="2">
        <v>7.0948469006721403E-3</v>
      </c>
      <c r="E2487" s="2">
        <v>2.4135156878519699E-2</v>
      </c>
      <c r="F2487" s="2">
        <v>3.1426881811269701E-2</v>
      </c>
    </row>
    <row r="2488" spans="1:6" x14ac:dyDescent="0.25">
      <c r="A2488" s="1" t="str">
        <f t="shared" si="89"/>
        <v>12660</v>
      </c>
      <c r="B2488" s="1" t="str">
        <f>"53944"</f>
        <v>53944</v>
      </c>
      <c r="C2488" s="2">
        <v>3.00728078505856E-3</v>
      </c>
      <c r="D2488" s="2">
        <v>7.4682598954443598E-4</v>
      </c>
      <c r="E2488" s="2">
        <v>0</v>
      </c>
      <c r="F2488" s="2">
        <v>2.7315479710512199E-3</v>
      </c>
    </row>
    <row r="2489" spans="1:6" x14ac:dyDescent="0.25">
      <c r="A2489" s="1" t="str">
        <f t="shared" si="89"/>
        <v>12660</v>
      </c>
      <c r="B2489" s="1" t="str">
        <f>"53951"</f>
        <v>53951</v>
      </c>
      <c r="C2489" s="2">
        <v>3.4789490345045901E-2</v>
      </c>
      <c r="D2489" s="2">
        <v>1.0455563853622099E-2</v>
      </c>
      <c r="E2489" s="2">
        <v>8.0450522928399004E-3</v>
      </c>
      <c r="F2489" s="2">
        <v>3.2018247866858099E-2</v>
      </c>
    </row>
    <row r="2490" spans="1:6" x14ac:dyDescent="0.25">
      <c r="A2490" s="1" t="str">
        <f t="shared" si="89"/>
        <v>12660</v>
      </c>
      <c r="B2490" s="1" t="str">
        <f>"53583"</f>
        <v>53583</v>
      </c>
      <c r="C2490" s="2">
        <v>6.1791706236150601E-2</v>
      </c>
      <c r="D2490" s="2">
        <v>8.8872292755787896E-2</v>
      </c>
      <c r="E2490" s="2">
        <v>7.6427996781978993E-2</v>
      </c>
      <c r="F2490" s="2">
        <v>6.4346258905691095E-2</v>
      </c>
    </row>
    <row r="2491" spans="1:6" x14ac:dyDescent="0.25">
      <c r="A2491" s="1" t="str">
        <f t="shared" si="89"/>
        <v>12660</v>
      </c>
      <c r="B2491" s="1" t="str">
        <f>"53968"</f>
        <v>53968</v>
      </c>
      <c r="C2491" s="2">
        <v>7.7872744539411202E-3</v>
      </c>
      <c r="D2491" s="2">
        <v>3.7341299477221799E-3</v>
      </c>
      <c r="E2491" s="2">
        <v>0</v>
      </c>
      <c r="F2491" s="2">
        <v>7.2090338205063201E-3</v>
      </c>
    </row>
    <row r="2492" spans="1:6" x14ac:dyDescent="0.25">
      <c r="A2492" s="1" t="str">
        <f t="shared" si="89"/>
        <v>12660</v>
      </c>
      <c r="B2492" s="1" t="str">
        <f>"53943"</f>
        <v>53943</v>
      </c>
      <c r="C2492" s="2">
        <v>1.5099715099715E-2</v>
      </c>
      <c r="D2492" s="2">
        <v>7.4682598954443598E-3</v>
      </c>
      <c r="E2492" s="2">
        <v>8.0450522928399004E-3</v>
      </c>
      <c r="F2492" s="2">
        <v>1.42772661992058E-2</v>
      </c>
    </row>
    <row r="2493" spans="1:6" x14ac:dyDescent="0.25">
      <c r="A2493" s="1" t="str">
        <f t="shared" si="89"/>
        <v>12660</v>
      </c>
      <c r="B2493" s="1" t="str">
        <f>"53965"</f>
        <v>53965</v>
      </c>
      <c r="C2493" s="2">
        <v>6.9863880974991993E-2</v>
      </c>
      <c r="D2493" s="2">
        <v>9.5593726661687806E-2</v>
      </c>
      <c r="E2493" s="2">
        <v>0.117457763475462</v>
      </c>
      <c r="F2493" s="2">
        <v>7.3470192334769494E-2</v>
      </c>
    </row>
    <row r="2494" spans="1:6" x14ac:dyDescent="0.25">
      <c r="A2494" s="1" t="str">
        <f t="shared" si="89"/>
        <v>12660</v>
      </c>
      <c r="B2494" s="1" t="str">
        <f>"53577"</f>
        <v>53577</v>
      </c>
      <c r="C2494" s="2">
        <v>2.0576131687242701E-2</v>
      </c>
      <c r="D2494" s="2">
        <v>5.97460791635548E-3</v>
      </c>
      <c r="E2494" s="2">
        <v>1.1263073209975801E-2</v>
      </c>
      <c r="F2494" s="2">
        <v>1.9148996085719901E-2</v>
      </c>
    </row>
    <row r="2495" spans="1:6" x14ac:dyDescent="0.25">
      <c r="A2495" s="1" t="str">
        <f t="shared" si="89"/>
        <v>12660</v>
      </c>
      <c r="B2495" s="1" t="str">
        <f>"53588"</f>
        <v>53588</v>
      </c>
      <c r="C2495" s="2">
        <v>5.4479265590376698E-2</v>
      </c>
      <c r="D2495" s="2">
        <v>6.4973861090365903E-2</v>
      </c>
      <c r="E2495" s="2">
        <v>4.4247787610619399E-2</v>
      </c>
      <c r="F2495" s="2">
        <v>5.4912562304637903E-2</v>
      </c>
    </row>
    <row r="2496" spans="1:6" x14ac:dyDescent="0.25">
      <c r="A2496" s="1" t="str">
        <f t="shared" si="89"/>
        <v>12660</v>
      </c>
      <c r="B2496" s="1" t="str">
        <f>"53942"</f>
        <v>53942</v>
      </c>
      <c r="C2496" s="2">
        <v>1.45615701171256E-3</v>
      </c>
      <c r="D2496" s="2">
        <v>0</v>
      </c>
      <c r="E2496" s="2">
        <v>8.0450522928398997E-4</v>
      </c>
      <c r="F2496" s="2">
        <v>1.3235335529835799E-3</v>
      </c>
    </row>
    <row r="2497" spans="1:6" x14ac:dyDescent="0.25">
      <c r="A2497" s="1" t="str">
        <f t="shared" si="89"/>
        <v>12660</v>
      </c>
      <c r="B2497" s="1" t="str">
        <f>"53959"</f>
        <v>53959</v>
      </c>
      <c r="C2497" s="2">
        <v>0.20376701487812501</v>
      </c>
      <c r="D2497" s="2">
        <v>0.185959671396564</v>
      </c>
      <c r="E2497" s="2">
        <v>0.20273531777956499</v>
      </c>
      <c r="F2497" s="2">
        <v>0.20238799245304201</v>
      </c>
    </row>
    <row r="2498" spans="1:6" x14ac:dyDescent="0.25">
      <c r="A2498" s="1" t="str">
        <f t="shared" si="89"/>
        <v>12660</v>
      </c>
      <c r="B2498" s="1" t="str">
        <f>"53578"</f>
        <v>53578</v>
      </c>
      <c r="C2498" s="2">
        <v>8.1418170307059098E-2</v>
      </c>
      <c r="D2498" s="2">
        <v>8.5884988797610098E-2</v>
      </c>
      <c r="E2498" s="2">
        <v>8.2059533386967004E-2</v>
      </c>
      <c r="F2498" s="2">
        <v>8.1777477401368495E-2</v>
      </c>
    </row>
    <row r="2499" spans="1:6" x14ac:dyDescent="0.25">
      <c r="A2499" s="1" t="str">
        <f t="shared" si="89"/>
        <v>12660</v>
      </c>
      <c r="B2499" s="1" t="str">
        <f>"53913"</f>
        <v>53913</v>
      </c>
      <c r="C2499" s="2">
        <v>0.32567268122823601</v>
      </c>
      <c r="D2499" s="2">
        <v>0.41859596713965602</v>
      </c>
      <c r="E2499" s="2">
        <v>0.41432019308125501</v>
      </c>
      <c r="F2499" s="2">
        <v>0.33578327842077099</v>
      </c>
    </row>
    <row r="2500" spans="1:6" x14ac:dyDescent="0.25">
      <c r="A2500" s="1" t="str">
        <f t="shared" si="89"/>
        <v>12660</v>
      </c>
      <c r="B2500" s="1" t="str">
        <f>"53941"</f>
        <v>53941</v>
      </c>
      <c r="C2500" s="2">
        <v>5.53972776194998E-2</v>
      </c>
      <c r="D2500" s="2">
        <v>9.3353248693054496E-3</v>
      </c>
      <c r="E2500" s="2">
        <v>6.4360418342719198E-3</v>
      </c>
      <c r="F2500" s="2">
        <v>5.0209794148291999E-2</v>
      </c>
    </row>
    <row r="2501" spans="1:6" x14ac:dyDescent="0.25">
      <c r="A2501" s="1" t="str">
        <f t="shared" si="89"/>
        <v>12660</v>
      </c>
      <c r="B2501" s="1" t="str">
        <f>"53961"</f>
        <v>53961</v>
      </c>
      <c r="C2501" s="2">
        <v>1.20924343146565E-2</v>
      </c>
      <c r="D2501" s="2">
        <v>8.96191187453323E-3</v>
      </c>
      <c r="E2501" s="2">
        <v>3.2180209171359599E-3</v>
      </c>
      <c r="F2501" s="2">
        <v>1.1545718228154599E-2</v>
      </c>
    </row>
    <row r="2502" spans="1:6" x14ac:dyDescent="0.25">
      <c r="A2502" s="1" t="str">
        <f t="shared" si="89"/>
        <v>12660</v>
      </c>
      <c r="B2502" s="1" t="str">
        <f>"53958"</f>
        <v>53958</v>
      </c>
      <c r="C2502" s="2">
        <v>0</v>
      </c>
      <c r="D2502" s="2">
        <v>3.7341299477221799E-4</v>
      </c>
      <c r="E2502" s="2">
        <v>0</v>
      </c>
      <c r="F2502" s="2">
        <v>2.8160288361352799E-5</v>
      </c>
    </row>
    <row r="2503" spans="1:6" x14ac:dyDescent="0.25">
      <c r="A2503" s="1" t="str">
        <f t="shared" si="89"/>
        <v>12660</v>
      </c>
      <c r="B2503" s="1" t="str">
        <f>"53901"</f>
        <v>53901</v>
      </c>
      <c r="C2503" s="2">
        <v>3.1655587211142701E-5</v>
      </c>
      <c r="D2503" s="2">
        <v>0</v>
      </c>
      <c r="E2503" s="2">
        <v>0</v>
      </c>
      <c r="F2503" s="2">
        <v>2.8160288361352799E-5</v>
      </c>
    </row>
    <row r="2504" spans="1:6" x14ac:dyDescent="0.25">
      <c r="A2504" s="1" t="str">
        <f t="shared" si="89"/>
        <v>12660</v>
      </c>
      <c r="B2504" s="1" t="str">
        <f>"53940"</f>
        <v>53940</v>
      </c>
      <c r="C2504" s="2">
        <v>6.3311174422285498E-5</v>
      </c>
      <c r="D2504" s="2">
        <v>0</v>
      </c>
      <c r="E2504" s="2">
        <v>8.0450522928398997E-4</v>
      </c>
      <c r="F2504" s="2">
        <v>8.4480865084058402E-5</v>
      </c>
    </row>
    <row r="2505" spans="1:6" x14ac:dyDescent="0.25">
      <c r="A2505" s="1" t="str">
        <f t="shared" si="89"/>
        <v>12660</v>
      </c>
      <c r="B2505" s="1" t="str">
        <f>"53556"</f>
        <v>53556</v>
      </c>
      <c r="C2505" s="2">
        <v>6.64767331433998E-3</v>
      </c>
      <c r="D2505" s="2">
        <v>0</v>
      </c>
      <c r="E2505" s="2">
        <v>0</v>
      </c>
      <c r="F2505" s="2">
        <v>5.9136605558840899E-3</v>
      </c>
    </row>
    <row r="2506" spans="1:6" x14ac:dyDescent="0.25">
      <c r="A2506" s="1" t="str">
        <f t="shared" si="89"/>
        <v>12660</v>
      </c>
      <c r="B2506" s="1" t="str">
        <f>"53924"</f>
        <v>53924</v>
      </c>
      <c r="C2506" s="2">
        <v>6.9642291864514003E-4</v>
      </c>
      <c r="D2506" s="2">
        <v>7.4682598954443598E-4</v>
      </c>
      <c r="E2506" s="2">
        <v>0</v>
      </c>
      <c r="F2506" s="2">
        <v>6.75846920672467E-4</v>
      </c>
    </row>
    <row r="2507" spans="1:6" x14ac:dyDescent="0.25">
      <c r="A2507" s="1" t="str">
        <f t="shared" ref="A2507:A2519" si="90">"12680"</f>
        <v>12680</v>
      </c>
      <c r="B2507" s="1" t="str">
        <f>"40048"</f>
        <v>40048</v>
      </c>
      <c r="C2507" s="2">
        <v>0</v>
      </c>
      <c r="D2507" s="2">
        <v>0</v>
      </c>
      <c r="E2507" s="2">
        <v>1.18203309692671E-3</v>
      </c>
      <c r="F2507" s="2">
        <v>4.3990849903220098E-5</v>
      </c>
    </row>
    <row r="2508" spans="1:6" x14ac:dyDescent="0.25">
      <c r="A2508" s="1" t="str">
        <f t="shared" si="90"/>
        <v>12680</v>
      </c>
      <c r="B2508" s="1" t="str">
        <f>"40013"</f>
        <v>40013</v>
      </c>
      <c r="C2508" s="2">
        <v>0.122061176014348</v>
      </c>
      <c r="D2508" s="2">
        <v>2.7048528241845601E-2</v>
      </c>
      <c r="E2508" s="2">
        <v>1.5366430260047199E-2</v>
      </c>
      <c r="F2508" s="2">
        <v>0.112836530001759</v>
      </c>
    </row>
    <row r="2509" spans="1:6" x14ac:dyDescent="0.25">
      <c r="A2509" s="1" t="str">
        <f t="shared" si="90"/>
        <v>12680</v>
      </c>
      <c r="B2509" s="1" t="str">
        <f>"40008"</f>
        <v>40008</v>
      </c>
      <c r="C2509" s="2">
        <v>7.5718648504532401E-2</v>
      </c>
      <c r="D2509" s="2">
        <v>1.98886237072394E-2</v>
      </c>
      <c r="E2509" s="2">
        <v>8.3924349881796603E-2</v>
      </c>
      <c r="F2509" s="2">
        <v>7.2936829139538903E-2</v>
      </c>
    </row>
    <row r="2510" spans="1:6" x14ac:dyDescent="0.25">
      <c r="A2510" s="1" t="str">
        <f t="shared" si="90"/>
        <v>12680</v>
      </c>
      <c r="B2510" s="1" t="str">
        <f>"42748"</f>
        <v>42748</v>
      </c>
      <c r="C2510" s="2">
        <v>9.6950894372000503E-5</v>
      </c>
      <c r="D2510" s="2">
        <v>0</v>
      </c>
      <c r="E2510" s="2">
        <v>0</v>
      </c>
      <c r="F2510" s="2">
        <v>8.7981699806440197E-5</v>
      </c>
    </row>
    <row r="2511" spans="1:6" x14ac:dyDescent="0.25">
      <c r="A2511" s="1" t="str">
        <f t="shared" si="90"/>
        <v>12680</v>
      </c>
      <c r="B2511" s="1" t="str">
        <f>"40107"</f>
        <v>40107</v>
      </c>
      <c r="C2511" s="2">
        <v>5.0075136943138303E-2</v>
      </c>
      <c r="D2511" s="2">
        <v>1.4319809069212401E-2</v>
      </c>
      <c r="E2511" s="2">
        <v>5.31914893617021E-2</v>
      </c>
      <c r="F2511" s="2">
        <v>4.8213971493929197E-2</v>
      </c>
    </row>
    <row r="2512" spans="1:6" x14ac:dyDescent="0.25">
      <c r="A2512" s="1" t="str">
        <f t="shared" si="90"/>
        <v>12680</v>
      </c>
      <c r="B2512" s="1" t="str">
        <f>"40020"</f>
        <v>40020</v>
      </c>
      <c r="C2512" s="2">
        <v>0</v>
      </c>
      <c r="D2512" s="2">
        <v>0</v>
      </c>
      <c r="E2512" s="2">
        <v>1.18203309692671E-3</v>
      </c>
      <c r="F2512" s="2">
        <v>4.3990849903220098E-5</v>
      </c>
    </row>
    <row r="2513" spans="1:6" x14ac:dyDescent="0.25">
      <c r="A2513" s="1" t="str">
        <f t="shared" si="90"/>
        <v>12680</v>
      </c>
      <c r="B2513" s="1" t="str">
        <f>"40052"</f>
        <v>40052</v>
      </c>
      <c r="C2513" s="2">
        <v>1.0082893014688E-2</v>
      </c>
      <c r="D2513" s="2">
        <v>5.5688146380270401E-3</v>
      </c>
      <c r="E2513" s="2">
        <v>8.2742316784869905E-3</v>
      </c>
      <c r="F2513" s="2">
        <v>9.7659686785148605E-3</v>
      </c>
    </row>
    <row r="2514" spans="1:6" x14ac:dyDescent="0.25">
      <c r="A2514" s="1" t="str">
        <f t="shared" si="90"/>
        <v>12680</v>
      </c>
      <c r="B2514" s="1" t="str">
        <f>"40037"</f>
        <v>40037</v>
      </c>
      <c r="C2514" s="2">
        <v>3.9265112220660198E-3</v>
      </c>
      <c r="D2514" s="2">
        <v>0</v>
      </c>
      <c r="E2514" s="2">
        <v>4.7281323877068496E-3</v>
      </c>
      <c r="F2514" s="2">
        <v>3.7392222417737099E-3</v>
      </c>
    </row>
    <row r="2515" spans="1:6" x14ac:dyDescent="0.25">
      <c r="A2515" s="1" t="str">
        <f t="shared" si="90"/>
        <v>12680</v>
      </c>
      <c r="B2515" s="1" t="str">
        <f>"40012"</f>
        <v>40012</v>
      </c>
      <c r="C2515" s="2">
        <v>1.0955451064036E-2</v>
      </c>
      <c r="D2515" s="2">
        <v>1.1933174224343601E-2</v>
      </c>
      <c r="E2515" s="2">
        <v>9.4562647754137096E-3</v>
      </c>
      <c r="F2515" s="2">
        <v>1.09537216259018E-2</v>
      </c>
    </row>
    <row r="2516" spans="1:6" x14ac:dyDescent="0.25">
      <c r="A2516" s="1" t="str">
        <f t="shared" si="90"/>
        <v>12680</v>
      </c>
      <c r="B2516" s="1" t="str">
        <f>"40069"</f>
        <v>40069</v>
      </c>
      <c r="C2516" s="2">
        <v>1.9390178874400101E-3</v>
      </c>
      <c r="D2516" s="2">
        <v>0</v>
      </c>
      <c r="E2516" s="2">
        <v>2.36406619385342E-3</v>
      </c>
      <c r="F2516" s="2">
        <v>1.8476156959352399E-3</v>
      </c>
    </row>
    <row r="2517" spans="1:6" x14ac:dyDescent="0.25">
      <c r="A2517" s="1" t="str">
        <f t="shared" si="90"/>
        <v>12680</v>
      </c>
      <c r="B2517" s="1" t="str">
        <f>"40071"</f>
        <v>40071</v>
      </c>
      <c r="C2517" s="2">
        <v>5.3322991904600301E-4</v>
      </c>
      <c r="D2517" s="2">
        <v>0</v>
      </c>
      <c r="E2517" s="2">
        <v>0</v>
      </c>
      <c r="F2517" s="2">
        <v>4.8389934893542101E-4</v>
      </c>
    </row>
    <row r="2518" spans="1:6" x14ac:dyDescent="0.25">
      <c r="A2518" s="1" t="str">
        <f t="shared" si="90"/>
        <v>12680</v>
      </c>
      <c r="B2518" s="1" t="str">
        <f>"40004"</f>
        <v>40004</v>
      </c>
      <c r="C2518" s="2">
        <v>0.64709874448591698</v>
      </c>
      <c r="D2518" s="2">
        <v>0.87509944311853605</v>
      </c>
      <c r="E2518" s="2">
        <v>0.76122931442080299</v>
      </c>
      <c r="F2518" s="2">
        <v>0.66395389758930101</v>
      </c>
    </row>
    <row r="2519" spans="1:6" x14ac:dyDescent="0.25">
      <c r="A2519" s="1" t="str">
        <f t="shared" si="90"/>
        <v>12680</v>
      </c>
      <c r="B2519" s="1" t="str">
        <f>"40051"</f>
        <v>40051</v>
      </c>
      <c r="C2519" s="2">
        <v>7.7512240050414405E-2</v>
      </c>
      <c r="D2519" s="2">
        <v>4.6141607000795497E-2</v>
      </c>
      <c r="E2519" s="2">
        <v>5.9101654846335602E-2</v>
      </c>
      <c r="F2519" s="2">
        <v>7.50923807847967E-2</v>
      </c>
    </row>
    <row r="2520" spans="1:6" x14ac:dyDescent="0.25">
      <c r="A2520" s="1" t="str">
        <f t="shared" ref="A2520:A2551" si="91">"12700"</f>
        <v>12700</v>
      </c>
      <c r="B2520" s="1" t="str">
        <f>"02648"</f>
        <v>02648</v>
      </c>
      <c r="C2520" s="2">
        <v>2.55466270192455E-2</v>
      </c>
      <c r="D2520" s="2">
        <v>2.2320809649244398E-2</v>
      </c>
      <c r="E2520" s="2">
        <v>1.4261944378416901E-2</v>
      </c>
      <c r="F2520" s="2">
        <v>2.5046909800294399E-2</v>
      </c>
    </row>
    <row r="2521" spans="1:6" x14ac:dyDescent="0.25">
      <c r="A2521" s="1" t="str">
        <f t="shared" si="91"/>
        <v>12700</v>
      </c>
      <c r="B2521" s="1" t="str">
        <f>"02540"</f>
        <v>02540</v>
      </c>
      <c r="C2521" s="2">
        <v>3.9523522956564798E-2</v>
      </c>
      <c r="D2521" s="2">
        <v>5.1850824899487002E-2</v>
      </c>
      <c r="E2521" s="2">
        <v>9.2940337532683603E-2</v>
      </c>
      <c r="F2521" s="2">
        <v>4.1663344442849699E-2</v>
      </c>
    </row>
    <row r="2522" spans="1:6" x14ac:dyDescent="0.25">
      <c r="A2522" s="1" t="str">
        <f t="shared" si="91"/>
        <v>12700</v>
      </c>
      <c r="B2522" s="1" t="str">
        <f>"02634"</f>
        <v>02634</v>
      </c>
      <c r="C2522" s="2">
        <v>1.2389819108641001E-4</v>
      </c>
      <c r="D2522" s="2">
        <v>4.8523499237487799E-4</v>
      </c>
      <c r="E2522" s="2">
        <v>2.3769907297361499E-4</v>
      </c>
      <c r="F2522" s="2">
        <v>1.5415118510367899E-4</v>
      </c>
    </row>
    <row r="2523" spans="1:6" x14ac:dyDescent="0.25">
      <c r="A2523" s="1" t="str">
        <f t="shared" si="91"/>
        <v>12700</v>
      </c>
      <c r="B2523" s="1" t="str">
        <f>"02561"</f>
        <v>02561</v>
      </c>
      <c r="C2523" s="2">
        <v>5.8999138612576202E-6</v>
      </c>
      <c r="D2523" s="2">
        <v>2.7727713849992998E-4</v>
      </c>
      <c r="E2523" s="2">
        <v>2.3769907297361499E-4</v>
      </c>
      <c r="F2523" s="2">
        <v>3.1893348642140603E-5</v>
      </c>
    </row>
    <row r="2524" spans="1:6" x14ac:dyDescent="0.25">
      <c r="A2524" s="1" t="str">
        <f t="shared" si="91"/>
        <v>12700</v>
      </c>
      <c r="B2524" s="1" t="str">
        <f>"02666"</f>
        <v>02666</v>
      </c>
      <c r="C2524" s="2">
        <v>3.5399483167545698E-5</v>
      </c>
      <c r="D2524" s="2">
        <v>0</v>
      </c>
      <c r="E2524" s="2">
        <v>2.3769907297361499E-4</v>
      </c>
      <c r="F2524" s="2">
        <v>3.7208906749164103E-5</v>
      </c>
    </row>
    <row r="2525" spans="1:6" x14ac:dyDescent="0.25">
      <c r="A2525" s="1" t="str">
        <f t="shared" si="91"/>
        <v>12700</v>
      </c>
      <c r="B2525" s="1" t="str">
        <f>"02661"</f>
        <v>02661</v>
      </c>
      <c r="C2525" s="2">
        <v>2.25966700886167E-3</v>
      </c>
      <c r="D2525" s="2">
        <v>1.87162068487453E-3</v>
      </c>
      <c r="E2525" s="2">
        <v>4.7539814594722997E-4</v>
      </c>
      <c r="F2525" s="2">
        <v>2.1900099400936602E-3</v>
      </c>
    </row>
    <row r="2526" spans="1:6" x14ac:dyDescent="0.25">
      <c r="A2526" s="1" t="str">
        <f t="shared" si="91"/>
        <v>12700</v>
      </c>
      <c r="B2526" s="1" t="str">
        <f>"02601"</f>
        <v>02601</v>
      </c>
      <c r="C2526" s="2">
        <v>5.9223335339303997E-2</v>
      </c>
      <c r="D2526" s="2">
        <v>0.17135727159295699</v>
      </c>
      <c r="E2526" s="2">
        <v>0.18017589731399999</v>
      </c>
      <c r="F2526" s="2">
        <v>7.0526824963987003E-2</v>
      </c>
    </row>
    <row r="2527" spans="1:6" x14ac:dyDescent="0.25">
      <c r="A2527" s="1" t="str">
        <f t="shared" si="91"/>
        <v>12700</v>
      </c>
      <c r="B2527" s="1" t="str">
        <f>"02559"</f>
        <v>02559</v>
      </c>
      <c r="C2527" s="2">
        <v>1.07319433136276E-2</v>
      </c>
      <c r="D2527" s="2">
        <v>1.1853597670872001E-2</v>
      </c>
      <c r="E2527" s="2">
        <v>5.46707867839315E-3</v>
      </c>
      <c r="F2527" s="2">
        <v>1.07002184694381E-2</v>
      </c>
    </row>
    <row r="2528" spans="1:6" x14ac:dyDescent="0.25">
      <c r="A2528" s="1" t="str">
        <f t="shared" si="91"/>
        <v>12700</v>
      </c>
      <c r="B2528" s="1" t="str">
        <f>"02655"</f>
        <v>02655</v>
      </c>
      <c r="C2528" s="2">
        <v>2.35937555311692E-2</v>
      </c>
      <c r="D2528" s="2">
        <v>3.5768750866490999E-2</v>
      </c>
      <c r="E2528" s="2">
        <v>5.94247682434038E-2</v>
      </c>
      <c r="F2528" s="2">
        <v>2.53286343799667E-2</v>
      </c>
    </row>
    <row r="2529" spans="1:6" x14ac:dyDescent="0.25">
      <c r="A2529" s="1" t="str">
        <f t="shared" si="91"/>
        <v>12700</v>
      </c>
      <c r="B2529" s="1" t="str">
        <f>"02542"</f>
        <v>02542</v>
      </c>
      <c r="C2529" s="2">
        <v>1.4690785514531401E-3</v>
      </c>
      <c r="D2529" s="2">
        <v>3.8125606543740402E-3</v>
      </c>
      <c r="E2529" s="2">
        <v>1.61635369622058E-2</v>
      </c>
      <c r="F2529" s="2">
        <v>1.97738761581272E-3</v>
      </c>
    </row>
    <row r="2530" spans="1:6" x14ac:dyDescent="0.25">
      <c r="A2530" s="1" t="str">
        <f t="shared" si="91"/>
        <v>12700</v>
      </c>
      <c r="B2530" s="1" t="str">
        <f>"02647"</f>
        <v>02647</v>
      </c>
      <c r="C2530" s="2">
        <v>3.6048473692284E-3</v>
      </c>
      <c r="D2530" s="2">
        <v>1.94093996949951E-3</v>
      </c>
      <c r="E2530" s="2">
        <v>4.7539814594722997E-4</v>
      </c>
      <c r="F2530" s="2">
        <v>3.40727274660202E-3</v>
      </c>
    </row>
    <row r="2531" spans="1:6" x14ac:dyDescent="0.25">
      <c r="A2531" s="1" t="str">
        <f t="shared" si="91"/>
        <v>12700</v>
      </c>
      <c r="B2531" s="1" t="str">
        <f>"02534"</f>
        <v>02534</v>
      </c>
      <c r="C2531" s="2">
        <v>2.3599655445030501E-5</v>
      </c>
      <c r="D2531" s="2">
        <v>0</v>
      </c>
      <c r="E2531" s="2">
        <v>2.3769907297361499E-4</v>
      </c>
      <c r="F2531" s="2">
        <v>2.6577790535117199E-5</v>
      </c>
    </row>
    <row r="2532" spans="1:6" x14ac:dyDescent="0.25">
      <c r="A2532" s="1" t="str">
        <f t="shared" si="91"/>
        <v>12700</v>
      </c>
      <c r="B2532" s="1" t="str">
        <f>"02541"</f>
        <v>02541</v>
      </c>
      <c r="C2532" s="2">
        <v>4.5606334147521403E-3</v>
      </c>
      <c r="D2532" s="2">
        <v>1.33786219326216E-2</v>
      </c>
      <c r="E2532" s="2">
        <v>2.3769907297361499E-4</v>
      </c>
      <c r="F2532" s="2">
        <v>5.1401446894916696E-3</v>
      </c>
    </row>
    <row r="2533" spans="1:6" x14ac:dyDescent="0.25">
      <c r="A2533" s="1" t="str">
        <f t="shared" si="91"/>
        <v>12700</v>
      </c>
      <c r="B2533" s="1" t="str">
        <f>"02642"</f>
        <v>02642</v>
      </c>
      <c r="C2533" s="2">
        <v>1.7062550886757E-2</v>
      </c>
      <c r="D2533" s="2">
        <v>1.06058505476223E-2</v>
      </c>
      <c r="E2533" s="2">
        <v>9.5079629189446097E-3</v>
      </c>
      <c r="F2533" s="2">
        <v>1.6398496760167299E-2</v>
      </c>
    </row>
    <row r="2534" spans="1:6" x14ac:dyDescent="0.25">
      <c r="A2534" s="1" t="str">
        <f t="shared" si="91"/>
        <v>12700</v>
      </c>
      <c r="B2534" s="1" t="str">
        <f>"02633"</f>
        <v>02633</v>
      </c>
      <c r="C2534" s="2">
        <v>2.7829893683552199E-2</v>
      </c>
      <c r="D2534" s="2">
        <v>3.43130458893664E-2</v>
      </c>
      <c r="E2534" s="2">
        <v>3.0425481340622701E-2</v>
      </c>
      <c r="F2534" s="2">
        <v>2.8385080291505198E-2</v>
      </c>
    </row>
    <row r="2535" spans="1:6" x14ac:dyDescent="0.25">
      <c r="A2535" s="1" t="str">
        <f t="shared" si="91"/>
        <v>12700</v>
      </c>
      <c r="B2535" s="1" t="str">
        <f>"02646"</f>
        <v>02646</v>
      </c>
      <c r="C2535" s="2">
        <v>1.74991445124901E-2</v>
      </c>
      <c r="D2535" s="2">
        <v>1.51809233328712E-2</v>
      </c>
      <c r="E2535" s="2">
        <v>1.4261944378416901E-2</v>
      </c>
      <c r="F2535" s="2">
        <v>1.7248986057290999E-2</v>
      </c>
    </row>
    <row r="2536" spans="1:6" x14ac:dyDescent="0.25">
      <c r="A2536" s="1" t="str">
        <f t="shared" si="91"/>
        <v>12700</v>
      </c>
      <c r="B2536" s="1" t="str">
        <f>"02660"</f>
        <v>02660</v>
      </c>
      <c r="C2536" s="2">
        <v>2.30273638004885E-2</v>
      </c>
      <c r="D2536" s="2">
        <v>2.3707195341744002E-2</v>
      </c>
      <c r="E2536" s="2">
        <v>2.4483004516282301E-2</v>
      </c>
      <c r="F2536" s="2">
        <v>2.31120466493379E-2</v>
      </c>
    </row>
    <row r="2537" spans="1:6" x14ac:dyDescent="0.25">
      <c r="A2537" s="1" t="str">
        <f t="shared" si="91"/>
        <v>12700</v>
      </c>
      <c r="B2537" s="1" t="str">
        <f>"02664"</f>
        <v>02664</v>
      </c>
      <c r="C2537" s="2">
        <v>4.5895429926722998E-2</v>
      </c>
      <c r="D2537" s="2">
        <v>4.9078053514487699E-2</v>
      </c>
      <c r="E2537" s="2">
        <v>2.35322082243879E-2</v>
      </c>
      <c r="F2537" s="2">
        <v>4.5639381906903302E-2</v>
      </c>
    </row>
    <row r="2538" spans="1:6" x14ac:dyDescent="0.25">
      <c r="A2538" s="1" t="str">
        <f t="shared" si="91"/>
        <v>12700</v>
      </c>
      <c r="B2538" s="1" t="str">
        <f>"02650"</f>
        <v>02650</v>
      </c>
      <c r="C2538" s="2">
        <v>7.7052875028024497E-3</v>
      </c>
      <c r="D2538" s="2">
        <v>5.0603077776237302E-3</v>
      </c>
      <c r="E2538" s="2">
        <v>9.5079629189446097E-3</v>
      </c>
      <c r="F2538" s="2">
        <v>7.54277695386627E-3</v>
      </c>
    </row>
    <row r="2539" spans="1:6" x14ac:dyDescent="0.25">
      <c r="A2539" s="1" t="str">
        <f t="shared" si="91"/>
        <v>12700</v>
      </c>
      <c r="B2539" s="1" t="str">
        <f>"02532"</f>
        <v>02532</v>
      </c>
      <c r="C2539" s="2">
        <v>3.0667752250817099E-2</v>
      </c>
      <c r="D2539" s="2">
        <v>3.29266601968667E-2</v>
      </c>
      <c r="E2539" s="2">
        <v>4.6351319229854998E-2</v>
      </c>
      <c r="F2539" s="2">
        <v>3.11916949720135E-2</v>
      </c>
    </row>
    <row r="2540" spans="1:6" x14ac:dyDescent="0.25">
      <c r="A2540" s="1" t="str">
        <f t="shared" si="91"/>
        <v>12700</v>
      </c>
      <c r="B2540" s="1" t="str">
        <f>"02536"</f>
        <v>02536</v>
      </c>
      <c r="C2540" s="2">
        <v>8.2480795780381602E-2</v>
      </c>
      <c r="D2540" s="2">
        <v>3.6184666574240902E-2</v>
      </c>
      <c r="E2540" s="2">
        <v>3.4228666508200598E-2</v>
      </c>
      <c r="F2540" s="2">
        <v>7.7851664035465395E-2</v>
      </c>
    </row>
    <row r="2541" spans="1:6" x14ac:dyDescent="0.25">
      <c r="A2541" s="1" t="str">
        <f t="shared" si="91"/>
        <v>12700</v>
      </c>
      <c r="B2541" s="1" t="str">
        <f>"02643"</f>
        <v>02643</v>
      </c>
      <c r="C2541" s="2">
        <v>0</v>
      </c>
      <c r="D2541" s="2">
        <v>0</v>
      </c>
      <c r="E2541" s="2">
        <v>2.3769907297361499E-4</v>
      </c>
      <c r="F2541" s="2">
        <v>5.3155581070234401E-6</v>
      </c>
    </row>
    <row r="2542" spans="1:6" x14ac:dyDescent="0.25">
      <c r="A2542" s="1" t="str">
        <f t="shared" si="91"/>
        <v>12700</v>
      </c>
      <c r="B2542" s="1" t="str">
        <f>"02649"</f>
        <v>02649</v>
      </c>
      <c r="C2542" s="2">
        <v>7.2185446092487004E-2</v>
      </c>
      <c r="D2542" s="2">
        <v>5.9753223346735003E-2</v>
      </c>
      <c r="E2542" s="2">
        <v>3.8744948894699302E-2</v>
      </c>
      <c r="F2542" s="2">
        <v>7.0484300499130903E-2</v>
      </c>
    </row>
    <row r="2543" spans="1:6" x14ac:dyDescent="0.25">
      <c r="A2543" s="1" t="str">
        <f t="shared" si="91"/>
        <v>12700</v>
      </c>
      <c r="B2543" s="1" t="str">
        <f>"02632"</f>
        <v>02632</v>
      </c>
      <c r="C2543" s="2">
        <v>4.0302311586250798E-2</v>
      </c>
      <c r="D2543" s="2">
        <v>2.6618605295993299E-2</v>
      </c>
      <c r="E2543" s="2">
        <v>1.6638935108153001E-2</v>
      </c>
      <c r="F2543" s="2">
        <v>3.8723840809665802E-2</v>
      </c>
    </row>
    <row r="2544" spans="1:6" x14ac:dyDescent="0.25">
      <c r="A2544" s="1" t="str">
        <f t="shared" si="91"/>
        <v>12700</v>
      </c>
      <c r="B2544" s="1" t="str">
        <f>"02637"</f>
        <v>02637</v>
      </c>
      <c r="C2544" s="2">
        <v>2.3363658890580099E-3</v>
      </c>
      <c r="D2544" s="2">
        <v>1.31706640787467E-3</v>
      </c>
      <c r="E2544" s="2">
        <v>4.7539814594722997E-4</v>
      </c>
      <c r="F2544" s="2">
        <v>2.2165877306287701E-3</v>
      </c>
    </row>
    <row r="2545" spans="1:6" x14ac:dyDescent="0.25">
      <c r="A2545" s="1" t="str">
        <f t="shared" si="91"/>
        <v>12700</v>
      </c>
      <c r="B2545" s="1" t="str">
        <f>"02638"</f>
        <v>02638</v>
      </c>
      <c r="C2545" s="2">
        <v>1.3416404120499799E-2</v>
      </c>
      <c r="D2545" s="2">
        <v>4.4364342159988902E-3</v>
      </c>
      <c r="E2545" s="2">
        <v>3.5654860946042299E-3</v>
      </c>
      <c r="F2545" s="2">
        <v>1.25075082258261E-2</v>
      </c>
    </row>
    <row r="2546" spans="1:6" x14ac:dyDescent="0.25">
      <c r="A2546" s="1" t="str">
        <f t="shared" si="91"/>
        <v>12700</v>
      </c>
      <c r="B2546" s="1" t="str">
        <f>"02653"</f>
        <v>02653</v>
      </c>
      <c r="C2546" s="2">
        <v>1.9192419790671E-2</v>
      </c>
      <c r="D2546" s="2">
        <v>2.8490225980867801E-2</v>
      </c>
      <c r="E2546" s="2">
        <v>2.94746850487283E-2</v>
      </c>
      <c r="F2546" s="2">
        <v>2.0135334109404799E-2</v>
      </c>
    </row>
    <row r="2547" spans="1:6" x14ac:dyDescent="0.25">
      <c r="A2547" s="1" t="str">
        <f t="shared" si="91"/>
        <v>12700</v>
      </c>
      <c r="B2547" s="1" t="str">
        <f>"02671"</f>
        <v>02671</v>
      </c>
      <c r="C2547" s="2">
        <v>8.8557707057476901E-3</v>
      </c>
      <c r="D2547" s="2">
        <v>5.26826563149868E-3</v>
      </c>
      <c r="E2547" s="2">
        <v>6.8932731162348396E-3</v>
      </c>
      <c r="F2547" s="2">
        <v>8.5367863198796499E-3</v>
      </c>
    </row>
    <row r="2548" spans="1:6" x14ac:dyDescent="0.25">
      <c r="A2548" s="1" t="str">
        <f t="shared" si="91"/>
        <v>12700</v>
      </c>
      <c r="B2548" s="1" t="str">
        <f>"02630"</f>
        <v>02630</v>
      </c>
      <c r="C2548" s="2">
        <v>1.02776499463107E-2</v>
      </c>
      <c r="D2548" s="2">
        <v>1.4626369055871301E-2</v>
      </c>
      <c r="E2548" s="2">
        <v>1.42619443784169E-3</v>
      </c>
      <c r="F2548" s="2">
        <v>1.04131783316589E-2</v>
      </c>
    </row>
    <row r="2549" spans="1:6" x14ac:dyDescent="0.25">
      <c r="A2549" s="1" t="str">
        <f t="shared" si="91"/>
        <v>12700</v>
      </c>
      <c r="B2549" s="1" t="str">
        <f>"02635"</f>
        <v>02635</v>
      </c>
      <c r="C2549" s="2">
        <v>1.7876738999610599E-2</v>
      </c>
      <c r="D2549" s="2">
        <v>7.6944405933730697E-3</v>
      </c>
      <c r="E2549" s="2">
        <v>1.9015925837889199E-3</v>
      </c>
      <c r="F2549" s="2">
        <v>1.6738692479016801E-2</v>
      </c>
    </row>
    <row r="2550" spans="1:6" x14ac:dyDescent="0.25">
      <c r="A2550" s="1" t="str">
        <f t="shared" si="91"/>
        <v>12700</v>
      </c>
      <c r="B2550" s="1" t="str">
        <f>"02562"</f>
        <v>02562</v>
      </c>
      <c r="C2550" s="2">
        <v>6.7377016295562002E-3</v>
      </c>
      <c r="D2550" s="2">
        <v>8.1103563011229694E-3</v>
      </c>
      <c r="E2550" s="2">
        <v>8.0817684811029192E-3</v>
      </c>
      <c r="F2550" s="2">
        <v>6.8730166323813097E-3</v>
      </c>
    </row>
    <row r="2551" spans="1:6" x14ac:dyDescent="0.25">
      <c r="A2551" s="1" t="str">
        <f t="shared" si="91"/>
        <v>12700</v>
      </c>
      <c r="B2551" s="1" t="str">
        <f>"02663"</f>
        <v>02663</v>
      </c>
      <c r="C2551" s="2">
        <v>0</v>
      </c>
      <c r="D2551" s="2">
        <v>0</v>
      </c>
      <c r="E2551" s="2">
        <v>2.3769907297361499E-4</v>
      </c>
      <c r="F2551" s="2">
        <v>5.3155581070234401E-6</v>
      </c>
    </row>
    <row r="2552" spans="1:6" x14ac:dyDescent="0.25">
      <c r="A2552" s="1" t="str">
        <f t="shared" ref="A2552:A2575" si="92">"12700"</f>
        <v>12700</v>
      </c>
      <c r="B2552" s="1" t="str">
        <f>"02672"</f>
        <v>02672</v>
      </c>
      <c r="C2552" s="2">
        <v>3.9352425454588303E-3</v>
      </c>
      <c r="D2552" s="2">
        <v>3.6739220851240801E-3</v>
      </c>
      <c r="E2552" s="2">
        <v>4.7539814594722997E-4</v>
      </c>
      <c r="F2552" s="2">
        <v>3.8378329532709199E-3</v>
      </c>
    </row>
    <row r="2553" spans="1:6" x14ac:dyDescent="0.25">
      <c r="A2553" s="1" t="str">
        <f t="shared" si="92"/>
        <v>12700</v>
      </c>
      <c r="B2553" s="1" t="str">
        <f>"02631"</f>
        <v>02631</v>
      </c>
      <c r="C2553" s="2">
        <v>5.3783614759224503E-2</v>
      </c>
      <c r="D2553" s="2">
        <v>3.0292527381117401E-2</v>
      </c>
      <c r="E2553" s="2">
        <v>1.8540527691942001E-2</v>
      </c>
      <c r="F2553" s="2">
        <v>5.11941401287428E-2</v>
      </c>
    </row>
    <row r="2554" spans="1:6" x14ac:dyDescent="0.25">
      <c r="A2554" s="1" t="str">
        <f t="shared" si="92"/>
        <v>12700</v>
      </c>
      <c r="B2554" s="1" t="str">
        <f>"02645"</f>
        <v>02645</v>
      </c>
      <c r="C2554" s="2">
        <v>4.4774446293084101E-2</v>
      </c>
      <c r="D2554" s="2">
        <v>2.9044780257867699E-2</v>
      </c>
      <c r="E2554" s="2">
        <v>2.5196101735203199E-2</v>
      </c>
      <c r="F2554" s="2">
        <v>4.3130438480388202E-2</v>
      </c>
    </row>
    <row r="2555" spans="1:6" x14ac:dyDescent="0.25">
      <c r="A2555" s="1" t="str">
        <f t="shared" si="92"/>
        <v>12700</v>
      </c>
      <c r="B2555" s="1" t="str">
        <f>"02657"</f>
        <v>02657</v>
      </c>
      <c r="C2555" s="2">
        <v>2.2236775343079902E-2</v>
      </c>
      <c r="D2555" s="2">
        <v>3.5006238735616202E-2</v>
      </c>
      <c r="E2555" s="2">
        <v>0.15212740670311301</v>
      </c>
      <c r="F2555" s="2">
        <v>2.6120652537913201E-2</v>
      </c>
    </row>
    <row r="2556" spans="1:6" x14ac:dyDescent="0.25">
      <c r="A2556" s="1" t="str">
        <f t="shared" si="92"/>
        <v>12700</v>
      </c>
      <c r="B2556" s="1" t="str">
        <f>"02574"</f>
        <v>02574</v>
      </c>
      <c r="C2556" s="2">
        <v>6.3247076592681702E-3</v>
      </c>
      <c r="D2556" s="2">
        <v>5.8228199084985402E-3</v>
      </c>
      <c r="E2556" s="2">
        <v>4.7539814594722997E-4</v>
      </c>
      <c r="F2556" s="2">
        <v>6.1554162879331499E-3</v>
      </c>
    </row>
    <row r="2557" spans="1:6" x14ac:dyDescent="0.25">
      <c r="A2557" s="1" t="str">
        <f t="shared" si="92"/>
        <v>12700</v>
      </c>
      <c r="B2557" s="1" t="str">
        <f>"02669"</f>
        <v>02669</v>
      </c>
      <c r="C2557" s="2">
        <v>8.7436723423837993E-3</v>
      </c>
      <c r="D2557" s="2">
        <v>6.7932898932483001E-3</v>
      </c>
      <c r="E2557" s="2">
        <v>7.1309721892084596E-4</v>
      </c>
      <c r="F2557" s="2">
        <v>8.4145284834181103E-3</v>
      </c>
    </row>
    <row r="2558" spans="1:6" x14ac:dyDescent="0.25">
      <c r="A2558" s="1" t="str">
        <f t="shared" si="92"/>
        <v>12700</v>
      </c>
      <c r="B2558" s="1" t="str">
        <f>"02644"</f>
        <v>02644</v>
      </c>
      <c r="C2558" s="2">
        <v>1.5357475780853501E-2</v>
      </c>
      <c r="D2558" s="2">
        <v>1.5527519755996101E-2</v>
      </c>
      <c r="E2558" s="2">
        <v>4.2785833135250704E-3</v>
      </c>
      <c r="F2558" s="2">
        <v>1.51227628144817E-2</v>
      </c>
    </row>
    <row r="2559" spans="1:6" x14ac:dyDescent="0.25">
      <c r="A2559" s="1" t="str">
        <f t="shared" si="92"/>
        <v>12700</v>
      </c>
      <c r="B2559" s="1" t="str">
        <f>"02675"</f>
        <v>02675</v>
      </c>
      <c r="C2559" s="2">
        <v>2.6520112806353E-2</v>
      </c>
      <c r="D2559" s="2">
        <v>2.02412311104949E-2</v>
      </c>
      <c r="E2559" s="2">
        <v>9.5079629189446097E-3</v>
      </c>
      <c r="F2559" s="2">
        <v>2.56581989826021E-2</v>
      </c>
    </row>
    <row r="2560" spans="1:6" x14ac:dyDescent="0.25">
      <c r="A2560" s="1" t="str">
        <f t="shared" si="92"/>
        <v>12700</v>
      </c>
      <c r="B2560" s="1" t="str">
        <f>"02543"</f>
        <v>02543</v>
      </c>
      <c r="C2560" s="2">
        <v>7.8114859523050898E-3</v>
      </c>
      <c r="D2560" s="2">
        <v>9.6353805628725895E-3</v>
      </c>
      <c r="E2560" s="2">
        <v>3.8031851675778398E-3</v>
      </c>
      <c r="F2560" s="2">
        <v>7.8617104402876701E-3</v>
      </c>
    </row>
    <row r="2561" spans="1:6" x14ac:dyDescent="0.25">
      <c r="A2561" s="1" t="str">
        <f t="shared" si="92"/>
        <v>12700</v>
      </c>
      <c r="B2561" s="1" t="str">
        <f>"02556"</f>
        <v>02556</v>
      </c>
      <c r="C2561" s="2">
        <v>2.1552385335174101E-2</v>
      </c>
      <c r="D2561" s="2">
        <v>1.55968390406211E-2</v>
      </c>
      <c r="E2561" s="2">
        <v>8.31946755407653E-3</v>
      </c>
      <c r="F2561" s="2">
        <v>2.0799778872782702E-2</v>
      </c>
    </row>
    <row r="2562" spans="1:6" x14ac:dyDescent="0.25">
      <c r="A2562" s="1" t="str">
        <f t="shared" si="92"/>
        <v>12700</v>
      </c>
      <c r="B2562" s="1" t="str">
        <f>"02651"</f>
        <v>02651</v>
      </c>
      <c r="C2562" s="2">
        <v>0</v>
      </c>
      <c r="D2562" s="2">
        <v>0</v>
      </c>
      <c r="E2562" s="2">
        <v>2.3769907297361499E-4</v>
      </c>
      <c r="F2562" s="2">
        <v>5.3155581070234401E-6</v>
      </c>
    </row>
    <row r="2563" spans="1:6" x14ac:dyDescent="0.25">
      <c r="A2563" s="1" t="str">
        <f t="shared" si="92"/>
        <v>12700</v>
      </c>
      <c r="B2563" s="1" t="str">
        <f>"02553"</f>
        <v>02553</v>
      </c>
      <c r="C2563" s="2">
        <v>0</v>
      </c>
      <c r="D2563" s="2">
        <v>0</v>
      </c>
      <c r="E2563" s="2">
        <v>7.1309721892084596E-4</v>
      </c>
      <c r="F2563" s="2">
        <v>1.5946674321070302E-5</v>
      </c>
    </row>
    <row r="2564" spans="1:6" x14ac:dyDescent="0.25">
      <c r="A2564" s="1" t="str">
        <f t="shared" si="92"/>
        <v>12700</v>
      </c>
      <c r="B2564" s="1" t="str">
        <f>"02662"</f>
        <v>02662</v>
      </c>
      <c r="C2564" s="2">
        <v>5.1742244563229298E-3</v>
      </c>
      <c r="D2564" s="2">
        <v>3.25800637737418E-3</v>
      </c>
      <c r="E2564" s="2">
        <v>4.7539814594722997E-4</v>
      </c>
      <c r="F2564" s="2">
        <v>4.9222068071037104E-3</v>
      </c>
    </row>
    <row r="2565" spans="1:6" x14ac:dyDescent="0.25">
      <c r="A2565" s="1" t="str">
        <f t="shared" si="92"/>
        <v>12700</v>
      </c>
      <c r="B2565" s="1" t="str">
        <f>"02537"</f>
        <v>02537</v>
      </c>
      <c r="C2565" s="2">
        <v>2.1971279219323299E-2</v>
      </c>
      <c r="D2565" s="2">
        <v>1.20615555247469E-2</v>
      </c>
      <c r="E2565" s="2">
        <v>2.3769907297361498E-3</v>
      </c>
      <c r="F2565" s="2">
        <v>2.0773201082247599E-2</v>
      </c>
    </row>
    <row r="2566" spans="1:6" x14ac:dyDescent="0.25">
      <c r="A2566" s="1" t="str">
        <f t="shared" si="92"/>
        <v>12700</v>
      </c>
      <c r="B2566" s="1" t="str">
        <f>"02639"</f>
        <v>02639</v>
      </c>
      <c r="C2566" s="2">
        <v>2.38769513965096E-2</v>
      </c>
      <c r="D2566" s="2">
        <v>1.8508248994870299E-2</v>
      </c>
      <c r="E2566" s="2">
        <v>2.8048490610886601E-2</v>
      </c>
      <c r="F2566" s="2">
        <v>2.3558553530327899E-2</v>
      </c>
    </row>
    <row r="2567" spans="1:6" x14ac:dyDescent="0.25">
      <c r="A2567" s="1" t="str">
        <f t="shared" si="92"/>
        <v>12700</v>
      </c>
      <c r="B2567" s="1" t="str">
        <f>"02673"</f>
        <v>02673</v>
      </c>
      <c r="C2567" s="2">
        <v>4.4685947585165198E-2</v>
      </c>
      <c r="D2567" s="2">
        <v>3.0084569527242401E-2</v>
      </c>
      <c r="E2567" s="2">
        <v>2.1155217494651699E-2</v>
      </c>
      <c r="F2567" s="2">
        <v>4.3040073992568803E-2</v>
      </c>
    </row>
    <row r="2568" spans="1:6" x14ac:dyDescent="0.25">
      <c r="A2568" s="1" t="str">
        <f t="shared" si="92"/>
        <v>12700</v>
      </c>
      <c r="B2568" s="1" t="str">
        <f>"02667"</f>
        <v>02667</v>
      </c>
      <c r="C2568" s="2">
        <v>1.24665179888373E-2</v>
      </c>
      <c r="D2568" s="2">
        <v>5.0603077776237302E-3</v>
      </c>
      <c r="E2568" s="2">
        <v>8.0817684811029192E-3</v>
      </c>
      <c r="F2568" s="2">
        <v>1.1800538997592E-2</v>
      </c>
    </row>
    <row r="2569" spans="1:6" x14ac:dyDescent="0.25">
      <c r="A2569" s="1" t="str">
        <f t="shared" si="92"/>
        <v>12700</v>
      </c>
      <c r="B2569" s="1" t="str">
        <f>"02668"</f>
        <v>02668</v>
      </c>
      <c r="C2569" s="2">
        <v>1.2236421348248301E-2</v>
      </c>
      <c r="D2569" s="2">
        <v>1.1714959101621999E-2</v>
      </c>
      <c r="E2569" s="2">
        <v>3.3277870216306101E-3</v>
      </c>
      <c r="F2569" s="2">
        <v>1.19972146475519E-2</v>
      </c>
    </row>
    <row r="2570" spans="1:6" x14ac:dyDescent="0.25">
      <c r="A2570" s="1" t="str">
        <f t="shared" si="92"/>
        <v>12700</v>
      </c>
      <c r="B2570" s="1" t="str">
        <f>"02659"</f>
        <v>02659</v>
      </c>
      <c r="C2570" s="2">
        <v>9.31006407306453E-3</v>
      </c>
      <c r="D2570" s="2">
        <v>6.03077776237349E-3</v>
      </c>
      <c r="E2570" s="2">
        <v>3.0900879486569998E-3</v>
      </c>
      <c r="F2570" s="2">
        <v>8.9195065035853408E-3</v>
      </c>
    </row>
    <row r="2571" spans="1:6" x14ac:dyDescent="0.25">
      <c r="A2571" s="1" t="str">
        <f t="shared" si="92"/>
        <v>12700</v>
      </c>
      <c r="B2571" s="1" t="str">
        <f>"02360"</f>
        <v>02360</v>
      </c>
      <c r="C2571" s="2">
        <v>2.3599655445030501E-5</v>
      </c>
      <c r="D2571" s="2">
        <v>0</v>
      </c>
      <c r="E2571" s="2">
        <v>0</v>
      </c>
      <c r="F2571" s="2">
        <v>2.1262232428093699E-5</v>
      </c>
    </row>
    <row r="2572" spans="1:6" x14ac:dyDescent="0.25">
      <c r="A2572" s="1" t="str">
        <f t="shared" si="92"/>
        <v>12700</v>
      </c>
      <c r="B2572" s="1" t="str">
        <f>"02641"</f>
        <v>02641</v>
      </c>
      <c r="C2572" s="2">
        <v>0</v>
      </c>
      <c r="D2572" s="2">
        <v>0</v>
      </c>
      <c r="E2572" s="2">
        <v>2.3769907297361499E-4</v>
      </c>
      <c r="F2572" s="2">
        <v>5.3155581070234401E-6</v>
      </c>
    </row>
    <row r="2573" spans="1:6" x14ac:dyDescent="0.25">
      <c r="A2573" s="1" t="str">
        <f t="shared" si="92"/>
        <v>12700</v>
      </c>
      <c r="B2573" s="1" t="str">
        <f>"02652"</f>
        <v>02652</v>
      </c>
      <c r="C2573" s="2">
        <v>0</v>
      </c>
      <c r="D2573" s="2">
        <v>0</v>
      </c>
      <c r="E2573" s="2">
        <v>4.7539814594722997E-4</v>
      </c>
      <c r="F2573" s="2">
        <v>1.0631116214046801E-5</v>
      </c>
    </row>
    <row r="2574" spans="1:6" x14ac:dyDescent="0.25">
      <c r="A2574" s="1" t="str">
        <f t="shared" si="92"/>
        <v>12700</v>
      </c>
      <c r="B2574" s="1" t="str">
        <f>"02670"</f>
        <v>02670</v>
      </c>
      <c r="C2574" s="2">
        <v>7.9884833681428194E-3</v>
      </c>
      <c r="D2574" s="2">
        <v>7.2092056009981902E-3</v>
      </c>
      <c r="E2574" s="2">
        <v>1.0696458283812601E-2</v>
      </c>
      <c r="F2574" s="2">
        <v>7.9892838348562395E-3</v>
      </c>
    </row>
    <row r="2575" spans="1:6" x14ac:dyDescent="0.25">
      <c r="A2575" s="1" t="str">
        <f t="shared" si="92"/>
        <v>12700</v>
      </c>
      <c r="B2575" s="1" t="str">
        <f>"02563"</f>
        <v>02563</v>
      </c>
      <c r="C2575" s="2">
        <v>3.7175357239784199E-2</v>
      </c>
      <c r="D2575" s="2">
        <v>5.61486205462359E-2</v>
      </c>
      <c r="E2575" s="2">
        <v>2.7097694318992099E-2</v>
      </c>
      <c r="F2575" s="2">
        <v>3.8404907323244399E-2</v>
      </c>
    </row>
    <row r="2576" spans="1:6" x14ac:dyDescent="0.25">
      <c r="A2576" s="1" t="str">
        <f t="shared" ref="A2576:A2610" si="93">"12740"</f>
        <v>12740</v>
      </c>
      <c r="B2576" s="1" t="str">
        <f>"05669"</f>
        <v>05669</v>
      </c>
      <c r="C2576" s="2">
        <v>7.49609578344612E-3</v>
      </c>
      <c r="D2576" s="2">
        <v>1.96905766526019E-3</v>
      </c>
      <c r="E2576" s="2">
        <v>1.1914217633042E-3</v>
      </c>
      <c r="F2576" s="2">
        <v>6.4778720476954803E-3</v>
      </c>
    </row>
    <row r="2577" spans="1:6" x14ac:dyDescent="0.25">
      <c r="A2577" s="1" t="str">
        <f t="shared" si="93"/>
        <v>12740</v>
      </c>
      <c r="B2577" s="1" t="str">
        <f>"05873"</f>
        <v>05873</v>
      </c>
      <c r="C2577" s="2">
        <v>1.2493492972410201E-3</v>
      </c>
      <c r="D2577" s="2">
        <v>0</v>
      </c>
      <c r="E2577" s="2">
        <v>0</v>
      </c>
      <c r="F2577" s="2">
        <v>1.03187342352671E-3</v>
      </c>
    </row>
    <row r="2578" spans="1:6" x14ac:dyDescent="0.25">
      <c r="A2578" s="1" t="str">
        <f t="shared" si="93"/>
        <v>12740</v>
      </c>
      <c r="B2578" s="1" t="str">
        <f>"05678"</f>
        <v>05678</v>
      </c>
      <c r="C2578" s="2">
        <v>0</v>
      </c>
      <c r="D2578" s="2">
        <v>0</v>
      </c>
      <c r="E2578" s="2">
        <v>3.9714058776806901E-4</v>
      </c>
      <c r="F2578" s="2">
        <v>2.86631506535198E-5</v>
      </c>
    </row>
    <row r="2579" spans="1:6" x14ac:dyDescent="0.25">
      <c r="A2579" s="1" t="str">
        <f t="shared" si="93"/>
        <v>12740</v>
      </c>
      <c r="B2579" s="1" t="str">
        <f>"05681"</f>
        <v>05681</v>
      </c>
      <c r="C2579" s="2">
        <v>1.04112441436751E-3</v>
      </c>
      <c r="D2579" s="2">
        <v>5.6258790436005605E-4</v>
      </c>
      <c r="E2579" s="2">
        <v>7.9428117553613899E-4</v>
      </c>
      <c r="F2579" s="2">
        <v>9.7454712221967403E-4</v>
      </c>
    </row>
    <row r="2580" spans="1:6" x14ac:dyDescent="0.25">
      <c r="A2580" s="1" t="str">
        <f t="shared" si="93"/>
        <v>12740</v>
      </c>
      <c r="B2580" s="1" t="str">
        <f>"05609"</f>
        <v>05609</v>
      </c>
      <c r="C2580" s="2">
        <v>0</v>
      </c>
      <c r="D2580" s="2">
        <v>1.0126582278481001E-2</v>
      </c>
      <c r="E2580" s="2">
        <v>2.7799841143764802E-3</v>
      </c>
      <c r="F2580" s="2">
        <v>1.23251547810135E-3</v>
      </c>
    </row>
    <row r="2581" spans="1:6" x14ac:dyDescent="0.25">
      <c r="A2581" s="1" t="str">
        <f t="shared" si="93"/>
        <v>12740</v>
      </c>
      <c r="B2581" s="1" t="str">
        <f>"05843"</f>
        <v>05843</v>
      </c>
      <c r="C2581" s="2">
        <v>9.71716120076349E-4</v>
      </c>
      <c r="D2581" s="2">
        <v>0</v>
      </c>
      <c r="E2581" s="2">
        <v>0</v>
      </c>
      <c r="F2581" s="2">
        <v>8.0256821829855505E-4</v>
      </c>
    </row>
    <row r="2582" spans="1:6" x14ac:dyDescent="0.25">
      <c r="A2582" s="1" t="str">
        <f t="shared" si="93"/>
        <v>12740</v>
      </c>
      <c r="B2582" s="1" t="str">
        <f>"05664"</f>
        <v>05664</v>
      </c>
      <c r="C2582" s="2">
        <v>3.4704147145583802E-5</v>
      </c>
      <c r="D2582" s="2">
        <v>5.6258790436005605E-4</v>
      </c>
      <c r="E2582" s="2">
        <v>0</v>
      </c>
      <c r="F2582" s="2">
        <v>8.5989451960559506E-5</v>
      </c>
    </row>
    <row r="2583" spans="1:6" x14ac:dyDescent="0.25">
      <c r="A2583" s="1" t="str">
        <f t="shared" si="93"/>
        <v>12740</v>
      </c>
      <c r="B2583" s="1" t="str">
        <f>"05601"</f>
        <v>05601</v>
      </c>
      <c r="C2583" s="2">
        <v>3.0227312163803501E-2</v>
      </c>
      <c r="D2583" s="2">
        <v>0.111392405063291</v>
      </c>
      <c r="E2583" s="2">
        <v>3.9714058776806901E-4</v>
      </c>
      <c r="F2583" s="2">
        <v>3.6344875028663098E-2</v>
      </c>
    </row>
    <row r="2584" spans="1:6" x14ac:dyDescent="0.25">
      <c r="A2584" s="1" t="str">
        <f t="shared" si="93"/>
        <v>12740</v>
      </c>
      <c r="B2584" s="1" t="str">
        <f>"05671"</f>
        <v>05671</v>
      </c>
      <c r="C2584" s="2">
        <v>0</v>
      </c>
      <c r="D2584" s="2">
        <v>1.63150492264416E-2</v>
      </c>
      <c r="E2584" s="2">
        <v>9.5313741064336696E-3</v>
      </c>
      <c r="F2584" s="2">
        <v>2.3503783535886199E-3</v>
      </c>
    </row>
    <row r="2585" spans="1:6" x14ac:dyDescent="0.25">
      <c r="A2585" s="1" t="str">
        <f t="shared" si="93"/>
        <v>12740</v>
      </c>
      <c r="B2585" s="1" t="str">
        <f>"05673"</f>
        <v>05673</v>
      </c>
      <c r="C2585" s="2">
        <v>4.2130834634738802E-2</v>
      </c>
      <c r="D2585" s="2">
        <v>4.3600562587904297E-2</v>
      </c>
      <c r="E2585" s="2">
        <v>2.7799841143764801E-2</v>
      </c>
      <c r="F2585" s="2">
        <v>4.1246273790414997E-2</v>
      </c>
    </row>
    <row r="2586" spans="1:6" x14ac:dyDescent="0.25">
      <c r="A2586" s="1" t="str">
        <f t="shared" si="93"/>
        <v>12740</v>
      </c>
      <c r="B2586" s="1" t="str">
        <f>"05602"</f>
        <v>05602</v>
      </c>
      <c r="C2586" s="2">
        <v>0.222453583203192</v>
      </c>
      <c r="D2586" s="2">
        <v>0.28326300984528802</v>
      </c>
      <c r="E2586" s="2">
        <v>0.32764098490865701</v>
      </c>
      <c r="F2586" s="2">
        <v>0.23624168768630999</v>
      </c>
    </row>
    <row r="2587" spans="1:6" x14ac:dyDescent="0.25">
      <c r="A2587" s="1" t="str">
        <f t="shared" si="93"/>
        <v>12740</v>
      </c>
      <c r="B2587" s="1" t="str">
        <f>"05682"</f>
        <v>05682</v>
      </c>
      <c r="C2587" s="2">
        <v>2.1169529758806101E-2</v>
      </c>
      <c r="D2587" s="2">
        <v>4.2194092827004199E-3</v>
      </c>
      <c r="E2587" s="2">
        <v>1.1914217633042E-3</v>
      </c>
      <c r="F2587" s="2">
        <v>1.80004586104104E-2</v>
      </c>
    </row>
    <row r="2588" spans="1:6" x14ac:dyDescent="0.25">
      <c r="A2588" s="1" t="str">
        <f t="shared" si="93"/>
        <v>12740</v>
      </c>
      <c r="B2588" s="1" t="str">
        <f>"05651"</f>
        <v>05651</v>
      </c>
      <c r="C2588" s="2">
        <v>2.0058997050147399E-2</v>
      </c>
      <c r="D2588" s="2">
        <v>1.0970464135021001E-2</v>
      </c>
      <c r="E2588" s="2">
        <v>1.1914217633042E-3</v>
      </c>
      <c r="F2588" s="2">
        <v>1.7771153405182202E-2</v>
      </c>
    </row>
    <row r="2589" spans="1:6" x14ac:dyDescent="0.25">
      <c r="A2589" s="1" t="str">
        <f t="shared" si="93"/>
        <v>12740</v>
      </c>
      <c r="B2589" s="1" t="str">
        <f>"05648"</f>
        <v>05648</v>
      </c>
      <c r="C2589" s="2">
        <v>5.1362137775464098E-3</v>
      </c>
      <c r="D2589" s="2">
        <v>5.6258790436005605E-4</v>
      </c>
      <c r="E2589" s="2">
        <v>3.9714058776806901E-4</v>
      </c>
      <c r="F2589" s="2">
        <v>4.3281357486814904E-3</v>
      </c>
    </row>
    <row r="2590" spans="1:6" x14ac:dyDescent="0.25">
      <c r="A2590" s="1" t="str">
        <f t="shared" si="93"/>
        <v>12740</v>
      </c>
      <c r="B2590" s="1" t="str">
        <f>"05604"</f>
        <v>05604</v>
      </c>
      <c r="C2590" s="2">
        <v>0</v>
      </c>
      <c r="D2590" s="2">
        <v>2.8129395218002803E-4</v>
      </c>
      <c r="E2590" s="2">
        <v>0</v>
      </c>
      <c r="F2590" s="2">
        <v>2.86631506535198E-5</v>
      </c>
    </row>
    <row r="2591" spans="1:6" x14ac:dyDescent="0.25">
      <c r="A2591" s="1" t="str">
        <f t="shared" si="93"/>
        <v>12740</v>
      </c>
      <c r="B2591" s="1" t="str">
        <f>"05660"</f>
        <v>05660</v>
      </c>
      <c r="C2591" s="2">
        <v>3.0227312163803501E-2</v>
      </c>
      <c r="D2591" s="2">
        <v>4.2194092827004199E-3</v>
      </c>
      <c r="E2591" s="2">
        <v>7.9428117553613908E-3</v>
      </c>
      <c r="F2591" s="2">
        <v>2.5968814492088901E-2</v>
      </c>
    </row>
    <row r="2592" spans="1:6" x14ac:dyDescent="0.25">
      <c r="A2592" s="1" t="str">
        <f t="shared" si="93"/>
        <v>12740</v>
      </c>
      <c r="B2592" s="1" t="str">
        <f>"05677"</f>
        <v>05677</v>
      </c>
      <c r="C2592" s="2">
        <v>3.3315981259760499E-2</v>
      </c>
      <c r="D2592" s="2">
        <v>1.4627285513361401E-2</v>
      </c>
      <c r="E2592" s="2">
        <v>1.6282764098490801E-2</v>
      </c>
      <c r="F2592" s="2">
        <v>3.0182297638156299E-2</v>
      </c>
    </row>
    <row r="2593" spans="1:6" x14ac:dyDescent="0.25">
      <c r="A2593" s="1" t="str">
        <f t="shared" si="93"/>
        <v>12740</v>
      </c>
      <c r="B2593" s="1" t="str">
        <f>"05658"</f>
        <v>05658</v>
      </c>
      <c r="C2593" s="2">
        <v>2.1204233905951698E-2</v>
      </c>
      <c r="D2593" s="2">
        <v>5.9071729957805904E-3</v>
      </c>
      <c r="E2593" s="2">
        <v>1.58856235107227E-3</v>
      </c>
      <c r="F2593" s="2">
        <v>1.8229763815638601E-2</v>
      </c>
    </row>
    <row r="2594" spans="1:6" x14ac:dyDescent="0.25">
      <c r="A2594" s="1" t="str">
        <f t="shared" si="93"/>
        <v>12740</v>
      </c>
      <c r="B2594" s="1" t="str">
        <f>"05654"</f>
        <v>05654</v>
      </c>
      <c r="C2594" s="2">
        <v>1.20423390595176E-2</v>
      </c>
      <c r="D2594" s="2">
        <v>2.2503516174402199E-3</v>
      </c>
      <c r="E2594" s="2">
        <v>7.1485305798252496E-3</v>
      </c>
      <c r="F2594" s="2">
        <v>1.0691355193762801E-2</v>
      </c>
    </row>
    <row r="2595" spans="1:6" x14ac:dyDescent="0.25">
      <c r="A2595" s="1" t="str">
        <f t="shared" si="93"/>
        <v>12740</v>
      </c>
      <c r="B2595" s="1" t="str">
        <f>"05640"</f>
        <v>05640</v>
      </c>
      <c r="C2595" s="2">
        <v>1.04112441436751E-3</v>
      </c>
      <c r="D2595" s="2">
        <v>2.8129395218002803E-4</v>
      </c>
      <c r="E2595" s="2">
        <v>3.9714058776806901E-4</v>
      </c>
      <c r="F2595" s="2">
        <v>9.1722082091263404E-4</v>
      </c>
    </row>
    <row r="2596" spans="1:6" x14ac:dyDescent="0.25">
      <c r="A2596" s="1" t="str">
        <f t="shared" si="93"/>
        <v>12740</v>
      </c>
      <c r="B2596" s="1" t="str">
        <f>"05060"</f>
        <v>05060</v>
      </c>
      <c r="C2596" s="2">
        <v>1.7005032101336101E-3</v>
      </c>
      <c r="D2596" s="2">
        <v>2.8129395218002803E-4</v>
      </c>
      <c r="E2596" s="2">
        <v>7.9428117553613899E-4</v>
      </c>
      <c r="F2596" s="2">
        <v>1.4904838339830299E-3</v>
      </c>
    </row>
    <row r="2597" spans="1:6" x14ac:dyDescent="0.25">
      <c r="A2597" s="1" t="str">
        <f t="shared" si="93"/>
        <v>12740</v>
      </c>
      <c r="B2597" s="1" t="str">
        <f>"05663"</f>
        <v>05663</v>
      </c>
      <c r="C2597" s="2">
        <v>7.6487940308866895E-2</v>
      </c>
      <c r="D2597" s="2">
        <v>4.8382559774964799E-2</v>
      </c>
      <c r="E2597" s="2">
        <v>6.3939634630659201E-2</v>
      </c>
      <c r="F2597" s="2">
        <v>7.2718413207979796E-2</v>
      </c>
    </row>
    <row r="2598" spans="1:6" x14ac:dyDescent="0.25">
      <c r="A2598" s="1" t="str">
        <f t="shared" si="93"/>
        <v>12740</v>
      </c>
      <c r="B2598" s="1" t="str">
        <f>"05674"</f>
        <v>05674</v>
      </c>
      <c r="C2598" s="2">
        <v>2.8492104806524299E-2</v>
      </c>
      <c r="D2598" s="2">
        <v>1.9409282700421901E-2</v>
      </c>
      <c r="E2598" s="2">
        <v>6.7513899920571803E-3</v>
      </c>
      <c r="F2598" s="2">
        <v>2.5997477642742399E-2</v>
      </c>
    </row>
    <row r="2599" spans="1:6" x14ac:dyDescent="0.25">
      <c r="A2599" s="1" t="str">
        <f t="shared" si="93"/>
        <v>12740</v>
      </c>
      <c r="B2599" s="1" t="str">
        <f>"05620"</f>
        <v>05620</v>
      </c>
      <c r="C2599" s="2">
        <v>6.9408294291167699E-5</v>
      </c>
      <c r="D2599" s="2">
        <v>1.4064697609001401E-2</v>
      </c>
      <c r="E2599" s="2">
        <v>6.7513899920571803E-3</v>
      </c>
      <c r="F2599" s="2">
        <v>1.97775739509286E-3</v>
      </c>
    </row>
    <row r="2600" spans="1:6" x14ac:dyDescent="0.25">
      <c r="A2600" s="1" t="str">
        <f t="shared" si="93"/>
        <v>12740</v>
      </c>
      <c r="B2600" s="1" t="str">
        <f>"05670"</f>
        <v>05670</v>
      </c>
      <c r="C2600" s="2">
        <v>4.6156515703626496E-3</v>
      </c>
      <c r="D2600" s="2">
        <v>5.6258790436005605E-4</v>
      </c>
      <c r="E2600" s="2">
        <v>7.9428117553613899E-4</v>
      </c>
      <c r="F2600" s="2">
        <v>3.9268516395322096E-3</v>
      </c>
    </row>
    <row r="2601" spans="1:6" x14ac:dyDescent="0.25">
      <c r="A2601" s="1" t="str">
        <f t="shared" si="93"/>
        <v>12740</v>
      </c>
      <c r="B2601" s="1" t="str">
        <f>"05633"</f>
        <v>05633</v>
      </c>
      <c r="C2601" s="2">
        <v>0</v>
      </c>
      <c r="D2601" s="2">
        <v>1.5189873417721499E-2</v>
      </c>
      <c r="E2601" s="2">
        <v>1.0722795869737799E-2</v>
      </c>
      <c r="F2601" s="2">
        <v>2.3217152029351E-3</v>
      </c>
    </row>
    <row r="2602" spans="1:6" x14ac:dyDescent="0.25">
      <c r="A2602" s="1" t="str">
        <f t="shared" si="93"/>
        <v>12740</v>
      </c>
      <c r="B2602" s="1" t="str">
        <f>"05666"</f>
        <v>05666</v>
      </c>
      <c r="C2602" s="2">
        <v>7.2878709005726097E-4</v>
      </c>
      <c r="D2602" s="2">
        <v>2.8129395218002803E-4</v>
      </c>
      <c r="E2602" s="2">
        <v>0</v>
      </c>
      <c r="F2602" s="2">
        <v>6.3058931437743595E-4</v>
      </c>
    </row>
    <row r="2603" spans="1:6" x14ac:dyDescent="0.25">
      <c r="A2603" s="1" t="str">
        <f t="shared" si="93"/>
        <v>12740</v>
      </c>
      <c r="B2603" s="1" t="str">
        <f>"05641"</f>
        <v>05641</v>
      </c>
      <c r="C2603" s="2">
        <v>0.28363699462085701</v>
      </c>
      <c r="D2603" s="2">
        <v>0.29985935302390898</v>
      </c>
      <c r="E2603" s="2">
        <v>0.34829229547259699</v>
      </c>
      <c r="F2603" s="2">
        <v>0.28995643201100602</v>
      </c>
    </row>
    <row r="2604" spans="1:6" x14ac:dyDescent="0.25">
      <c r="A2604" s="1" t="str">
        <f t="shared" si="93"/>
        <v>12740</v>
      </c>
      <c r="B2604" s="1" t="str">
        <f>"05647"</f>
        <v>05647</v>
      </c>
      <c r="C2604" s="2">
        <v>1.3187575915321799E-2</v>
      </c>
      <c r="D2604" s="2">
        <v>2.81293952180028E-3</v>
      </c>
      <c r="E2604" s="2">
        <v>3.1771247021445499E-3</v>
      </c>
      <c r="F2604" s="2">
        <v>1.14079339601008E-2</v>
      </c>
    </row>
    <row r="2605" spans="1:6" x14ac:dyDescent="0.25">
      <c r="A2605" s="1" t="str">
        <f t="shared" si="93"/>
        <v>12740</v>
      </c>
      <c r="B2605" s="1" t="str">
        <f>"05667"</f>
        <v>05667</v>
      </c>
      <c r="C2605" s="2">
        <v>3.5814679854242498E-2</v>
      </c>
      <c r="D2605" s="2">
        <v>3.3755274261603298E-3</v>
      </c>
      <c r="E2605" s="2">
        <v>1.50913423351866E-2</v>
      </c>
      <c r="F2605" s="2">
        <v>3.1013529007108399E-2</v>
      </c>
    </row>
    <row r="2606" spans="1:6" x14ac:dyDescent="0.25">
      <c r="A2606" s="1" t="str">
        <f t="shared" si="93"/>
        <v>12740</v>
      </c>
      <c r="B2606" s="1" t="str">
        <f>"05676"</f>
        <v>05676</v>
      </c>
      <c r="C2606" s="2">
        <v>8.0478917230609001E-2</v>
      </c>
      <c r="D2606" s="2">
        <v>8.2981715893108196E-2</v>
      </c>
      <c r="E2606" s="2">
        <v>0.13383637807783899</v>
      </c>
      <c r="F2606" s="2">
        <v>8.4584957578536998E-2</v>
      </c>
    </row>
    <row r="2607" spans="1:6" x14ac:dyDescent="0.25">
      <c r="A2607" s="1" t="str">
        <f t="shared" si="93"/>
        <v>12740</v>
      </c>
      <c r="B2607" s="1" t="str">
        <f>"05650"</f>
        <v>05650</v>
      </c>
      <c r="C2607" s="2">
        <v>1.64150615998611E-2</v>
      </c>
      <c r="D2607" s="2">
        <v>8.4388185654008397E-4</v>
      </c>
      <c r="E2607" s="2">
        <v>1.9857029388403399E-3</v>
      </c>
      <c r="F2607" s="2">
        <v>1.3786975464343E-2</v>
      </c>
    </row>
    <row r="2608" spans="1:6" x14ac:dyDescent="0.25">
      <c r="A2608" s="1" t="str">
        <f t="shared" si="93"/>
        <v>12740</v>
      </c>
      <c r="B2608" s="1" t="str">
        <f>"05680"</f>
        <v>05680</v>
      </c>
      <c r="C2608" s="2">
        <v>5.8997050147492603E-4</v>
      </c>
      <c r="D2608" s="2">
        <v>0</v>
      </c>
      <c r="E2608" s="2">
        <v>0</v>
      </c>
      <c r="F2608" s="2">
        <v>4.8727356110983701E-4</v>
      </c>
    </row>
    <row r="2609" spans="1:6" x14ac:dyDescent="0.25">
      <c r="A2609" s="1" t="str">
        <f t="shared" si="93"/>
        <v>12740</v>
      </c>
      <c r="B2609" s="1" t="str">
        <f>"05649"</f>
        <v>05649</v>
      </c>
      <c r="C2609" s="2">
        <v>7.9819538434842893E-3</v>
      </c>
      <c r="D2609" s="2">
        <v>5.6258790436005605E-4</v>
      </c>
      <c r="E2609" s="2">
        <v>1.1914217633042E-3</v>
      </c>
      <c r="F2609" s="2">
        <v>6.7358404035771603E-3</v>
      </c>
    </row>
    <row r="2610" spans="1:6" x14ac:dyDescent="0.25">
      <c r="A2610" s="1" t="str">
        <f t="shared" si="93"/>
        <v>12740</v>
      </c>
      <c r="B2610" s="1" t="str">
        <f>"05603"</f>
        <v>05603</v>
      </c>
      <c r="C2610" s="2">
        <v>0</v>
      </c>
      <c r="D2610" s="2">
        <v>2.8129395218002803E-4</v>
      </c>
      <c r="E2610" s="2">
        <v>0</v>
      </c>
      <c r="F2610" s="2">
        <v>2.86631506535198E-5</v>
      </c>
    </row>
    <row r="2611" spans="1:6" x14ac:dyDescent="0.25">
      <c r="A2611" s="1" t="str">
        <f t="shared" ref="A2611:A2623" si="94">"12780"</f>
        <v>12780</v>
      </c>
      <c r="B2611" s="1" t="str">
        <f>"74051"</f>
        <v>74051</v>
      </c>
      <c r="C2611" s="2">
        <v>2.8656716417910399E-2</v>
      </c>
      <c r="D2611" s="2">
        <v>1.0889973713856501E-2</v>
      </c>
      <c r="E2611" s="2">
        <v>9.2715231788079392E-3</v>
      </c>
      <c r="F2611" s="2">
        <v>2.66066582831424E-2</v>
      </c>
    </row>
    <row r="2612" spans="1:6" x14ac:dyDescent="0.25">
      <c r="A2612" s="1" t="str">
        <f t="shared" si="94"/>
        <v>12780</v>
      </c>
      <c r="B2612" s="1" t="str">
        <f>"74083"</f>
        <v>74083</v>
      </c>
      <c r="C2612" s="2">
        <v>1.88432835820895E-2</v>
      </c>
      <c r="D2612" s="2">
        <v>1.5020653398422801E-3</v>
      </c>
      <c r="E2612" s="2">
        <v>0</v>
      </c>
      <c r="F2612" s="2">
        <v>1.6844265007611301E-2</v>
      </c>
    </row>
    <row r="2613" spans="1:6" x14ac:dyDescent="0.25">
      <c r="A2613" s="1" t="str">
        <f t="shared" si="94"/>
        <v>12780</v>
      </c>
      <c r="B2613" s="1" t="str">
        <f>"74070"</f>
        <v>74070</v>
      </c>
      <c r="C2613" s="2">
        <v>1.1343283582089501E-2</v>
      </c>
      <c r="D2613" s="2">
        <v>1.12654900488171E-3</v>
      </c>
      <c r="E2613" s="2">
        <v>0</v>
      </c>
      <c r="F2613" s="2">
        <v>1.0159507578264599E-2</v>
      </c>
    </row>
    <row r="2614" spans="1:6" x14ac:dyDescent="0.25">
      <c r="A2614" s="1" t="str">
        <f t="shared" si="94"/>
        <v>12780</v>
      </c>
      <c r="B2614" s="1" t="str">
        <f>"74061"</f>
        <v>74061</v>
      </c>
      <c r="C2614" s="2">
        <v>3.4253731343283501E-2</v>
      </c>
      <c r="D2614" s="2">
        <v>9.7634247089748404E-3</v>
      </c>
      <c r="E2614" s="2">
        <v>1.3245033112582699E-3</v>
      </c>
      <c r="F2614" s="2">
        <v>3.1272751340260703E-2</v>
      </c>
    </row>
    <row r="2615" spans="1:6" x14ac:dyDescent="0.25">
      <c r="A2615" s="1" t="str">
        <f t="shared" si="94"/>
        <v>12780</v>
      </c>
      <c r="B2615" s="1" t="str">
        <f>"74029"</f>
        <v>74029</v>
      </c>
      <c r="C2615" s="2">
        <v>0.10320895522388</v>
      </c>
      <c r="D2615" s="2">
        <v>0.10852422080360399</v>
      </c>
      <c r="E2615" s="2">
        <v>2.91390728476821E-2</v>
      </c>
      <c r="F2615" s="2">
        <v>0.101826725792573</v>
      </c>
    </row>
    <row r="2616" spans="1:6" x14ac:dyDescent="0.25">
      <c r="A2616" s="1" t="str">
        <f t="shared" si="94"/>
        <v>12780</v>
      </c>
      <c r="B2616" s="1" t="str">
        <f>"74003"</f>
        <v>74003</v>
      </c>
      <c r="C2616" s="2">
        <v>0.238283582089552</v>
      </c>
      <c r="D2616" s="2">
        <v>0.318437852046564</v>
      </c>
      <c r="E2616" s="2">
        <v>0.34172185430463498</v>
      </c>
      <c r="F2616" s="2">
        <v>0.24793169633992901</v>
      </c>
    </row>
    <row r="2617" spans="1:6" x14ac:dyDescent="0.25">
      <c r="A2617" s="1" t="str">
        <f t="shared" si="94"/>
        <v>12780</v>
      </c>
      <c r="B2617" s="1" t="str">
        <f>"74021"</f>
        <v>74021</v>
      </c>
      <c r="C2617" s="2">
        <v>9.1417910447761097E-3</v>
      </c>
      <c r="D2617" s="2">
        <v>1.87758167480285E-3</v>
      </c>
      <c r="E2617" s="2">
        <v>0</v>
      </c>
      <c r="F2617" s="2">
        <v>8.2732146402806194E-3</v>
      </c>
    </row>
    <row r="2618" spans="1:6" x14ac:dyDescent="0.25">
      <c r="A2618" s="1" t="str">
        <f t="shared" si="94"/>
        <v>12780</v>
      </c>
      <c r="B2618" s="1" t="str">
        <f>"74082"</f>
        <v>74082</v>
      </c>
      <c r="C2618" s="2">
        <v>0</v>
      </c>
      <c r="D2618" s="2">
        <v>0</v>
      </c>
      <c r="E2618" s="2">
        <v>1.3245033112582699E-3</v>
      </c>
      <c r="F2618" s="2">
        <v>3.30928585611225E-5</v>
      </c>
    </row>
    <row r="2619" spans="1:6" x14ac:dyDescent="0.25">
      <c r="A2619" s="1" t="str">
        <f t="shared" si="94"/>
        <v>12780</v>
      </c>
      <c r="B2619" s="1" t="str">
        <f>"74048"</f>
        <v>74048</v>
      </c>
      <c r="C2619" s="2">
        <v>2.23880597014925E-4</v>
      </c>
      <c r="D2619" s="2">
        <v>0</v>
      </c>
      <c r="E2619" s="2">
        <v>0</v>
      </c>
      <c r="F2619" s="2">
        <v>1.9855715136673501E-4</v>
      </c>
    </row>
    <row r="2620" spans="1:6" x14ac:dyDescent="0.25">
      <c r="A2620" s="1" t="str">
        <f t="shared" si="94"/>
        <v>12780</v>
      </c>
      <c r="B2620" s="1" t="str">
        <f>"74022"</f>
        <v>74022</v>
      </c>
      <c r="C2620" s="2">
        <v>2.34328358208955E-2</v>
      </c>
      <c r="D2620" s="2">
        <v>4.5061960195268399E-3</v>
      </c>
      <c r="E2620" s="2">
        <v>3.9735099337748301E-3</v>
      </c>
      <c r="F2620" s="2">
        <v>2.1278708054801702E-2</v>
      </c>
    </row>
    <row r="2621" spans="1:6" x14ac:dyDescent="0.25">
      <c r="A2621" s="1" t="str">
        <f t="shared" si="94"/>
        <v>12780</v>
      </c>
      <c r="B2621" s="1" t="str">
        <f>"74080"</f>
        <v>74080</v>
      </c>
      <c r="C2621" s="2">
        <v>4.2910447761193996E-3</v>
      </c>
      <c r="D2621" s="2">
        <v>3.7551633496057002E-4</v>
      </c>
      <c r="E2621" s="2">
        <v>0</v>
      </c>
      <c r="F2621" s="2">
        <v>3.8387715930902101E-3</v>
      </c>
    </row>
    <row r="2622" spans="1:6" x14ac:dyDescent="0.25">
      <c r="A2622" s="1" t="str">
        <f t="shared" si="94"/>
        <v>12780</v>
      </c>
      <c r="B2622" s="1" t="str">
        <f>"74005"</f>
        <v>74005</v>
      </c>
      <c r="C2622" s="2">
        <v>4.37686567164179E-2</v>
      </c>
      <c r="D2622" s="2">
        <v>0.109275253473526</v>
      </c>
      <c r="E2622" s="2">
        <v>2.6490066225165498E-3</v>
      </c>
      <c r="F2622" s="2">
        <v>4.8514130650605503E-2</v>
      </c>
    </row>
    <row r="2623" spans="1:6" x14ac:dyDescent="0.25">
      <c r="A2623" s="1" t="str">
        <f t="shared" si="94"/>
        <v>12780</v>
      </c>
      <c r="B2623" s="1" t="str">
        <f>"74006"</f>
        <v>74006</v>
      </c>
      <c r="C2623" s="2">
        <v>0.48455223880596998</v>
      </c>
      <c r="D2623" s="2">
        <v>0.433721366879459</v>
      </c>
      <c r="E2623" s="2">
        <v>0.61059602649006595</v>
      </c>
      <c r="F2623" s="2">
        <v>0.48322192070950998</v>
      </c>
    </row>
    <row r="2624" spans="1:6" x14ac:dyDescent="0.25">
      <c r="A2624" s="1" t="str">
        <f t="shared" ref="A2624:A2646" si="95">"12860"</f>
        <v>12860</v>
      </c>
      <c r="B2624" s="1" t="str">
        <f>"14422"</f>
        <v>14422</v>
      </c>
      <c r="C2624" s="2">
        <v>3.3651450691809401E-2</v>
      </c>
      <c r="D2624" s="2">
        <v>5.0479555779909101E-3</v>
      </c>
      <c r="E2624" s="2">
        <v>1.49516270888302E-2</v>
      </c>
      <c r="F2624" s="2">
        <v>3.0983600944914199E-2</v>
      </c>
    </row>
    <row r="2625" spans="1:6" x14ac:dyDescent="0.25">
      <c r="A2625" s="1" t="str">
        <f t="shared" si="95"/>
        <v>12860</v>
      </c>
      <c r="B2625" s="1" t="str">
        <f>"14001"</f>
        <v>14001</v>
      </c>
      <c r="C2625" s="2">
        <v>6.9372580583342896E-3</v>
      </c>
      <c r="D2625" s="2">
        <v>7.0671378091872704E-3</v>
      </c>
      <c r="E2625" s="2">
        <v>6.1565523306948101E-3</v>
      </c>
      <c r="F2625" s="2">
        <v>6.9156766749974303E-3</v>
      </c>
    </row>
    <row r="2626" spans="1:6" x14ac:dyDescent="0.25">
      <c r="A2626" s="1" t="str">
        <f t="shared" si="95"/>
        <v>12860</v>
      </c>
      <c r="B2626" s="1" t="str">
        <f>"14105"</f>
        <v>14105</v>
      </c>
      <c r="C2626" s="2">
        <v>3.0661914069985801E-4</v>
      </c>
      <c r="D2626" s="2">
        <v>0</v>
      </c>
      <c r="E2626" s="2">
        <v>0</v>
      </c>
      <c r="F2626" s="2">
        <v>2.73888185148413E-4</v>
      </c>
    </row>
    <row r="2627" spans="1:6" x14ac:dyDescent="0.25">
      <c r="A2627" s="1" t="str">
        <f t="shared" si="95"/>
        <v>12860</v>
      </c>
      <c r="B2627" s="1" t="str">
        <f>"14005"</f>
        <v>14005</v>
      </c>
      <c r="C2627" s="2">
        <v>2.6369246100187801E-2</v>
      </c>
      <c r="D2627" s="2">
        <v>8.5815244825845505E-3</v>
      </c>
      <c r="E2627" s="2">
        <v>1.49516270888302E-2</v>
      </c>
      <c r="F2627" s="2">
        <v>2.4718408709644198E-2</v>
      </c>
    </row>
    <row r="2628" spans="1:6" x14ac:dyDescent="0.25">
      <c r="A2628" s="1" t="str">
        <f t="shared" si="95"/>
        <v>12860</v>
      </c>
      <c r="B2628" s="1" t="str">
        <f>"14013"</f>
        <v>14013</v>
      </c>
      <c r="C2628" s="2">
        <v>2.70974665593499E-2</v>
      </c>
      <c r="D2628" s="2">
        <v>1.2115093387178101E-2</v>
      </c>
      <c r="E2628" s="2">
        <v>4.3975373790677199E-3</v>
      </c>
      <c r="F2628" s="2">
        <v>2.5197713033654E-2</v>
      </c>
    </row>
    <row r="2629" spans="1:6" x14ac:dyDescent="0.25">
      <c r="A2629" s="1" t="str">
        <f t="shared" si="95"/>
        <v>12860</v>
      </c>
      <c r="B2629" s="1" t="str">
        <f>"14557"</f>
        <v>14557</v>
      </c>
      <c r="C2629" s="2">
        <v>1.4181135257368401E-3</v>
      </c>
      <c r="D2629" s="2">
        <v>0</v>
      </c>
      <c r="E2629" s="2">
        <v>8.7950747581354402E-4</v>
      </c>
      <c r="F2629" s="2">
        <v>1.30096887945496E-3</v>
      </c>
    </row>
    <row r="2630" spans="1:6" x14ac:dyDescent="0.25">
      <c r="A2630" s="1" t="str">
        <f t="shared" si="95"/>
        <v>12860</v>
      </c>
      <c r="B2630" s="1" t="str">
        <f>"14482"</f>
        <v>14482</v>
      </c>
      <c r="C2630" s="2">
        <v>0.142999501743896</v>
      </c>
      <c r="D2630" s="2">
        <v>0.13225643614336099</v>
      </c>
      <c r="E2630" s="2">
        <v>0.19876868953386101</v>
      </c>
      <c r="F2630" s="2">
        <v>0.14444178164264401</v>
      </c>
    </row>
    <row r="2631" spans="1:6" x14ac:dyDescent="0.25">
      <c r="A2631" s="1" t="str">
        <f t="shared" si="95"/>
        <v>12860</v>
      </c>
      <c r="B2631" s="1" t="str">
        <f>"14054"</f>
        <v>14054</v>
      </c>
      <c r="C2631" s="2">
        <v>2.0926756352765301E-2</v>
      </c>
      <c r="D2631" s="2">
        <v>7.0671378091872704E-3</v>
      </c>
      <c r="E2631" s="2">
        <v>1.2313104661389599E-2</v>
      </c>
      <c r="F2631" s="2">
        <v>1.9651477284398599E-2</v>
      </c>
    </row>
    <row r="2632" spans="1:6" x14ac:dyDescent="0.25">
      <c r="A2632" s="1" t="str">
        <f t="shared" si="95"/>
        <v>12860</v>
      </c>
      <c r="B2632" s="1" t="str">
        <f>"14591"</f>
        <v>14591</v>
      </c>
      <c r="C2632" s="2">
        <v>2.1080065923115201E-3</v>
      </c>
      <c r="D2632" s="2">
        <v>0</v>
      </c>
      <c r="E2632" s="2">
        <v>1.75901495162708E-3</v>
      </c>
      <c r="F2632" s="2">
        <v>1.9514533191824399E-3</v>
      </c>
    </row>
    <row r="2633" spans="1:6" x14ac:dyDescent="0.25">
      <c r="A2633" s="1" t="str">
        <f t="shared" si="95"/>
        <v>12860</v>
      </c>
      <c r="B2633" s="1" t="str">
        <f>"14011"</f>
        <v>14011</v>
      </c>
      <c r="C2633" s="2">
        <v>1.05017055689701E-2</v>
      </c>
      <c r="D2633" s="2">
        <v>1.5648662291771798E-2</v>
      </c>
      <c r="E2633" s="2">
        <v>1.75901495162708E-3</v>
      </c>
      <c r="F2633" s="2">
        <v>1.0510459105070299E-2</v>
      </c>
    </row>
    <row r="2634" spans="1:6" x14ac:dyDescent="0.25">
      <c r="A2634" s="1" t="str">
        <f t="shared" si="95"/>
        <v>12860</v>
      </c>
      <c r="B2634" s="1" t="str">
        <f>"14021"</f>
        <v>14021</v>
      </c>
      <c r="C2634" s="2">
        <v>2.92438005442489E-2</v>
      </c>
      <c r="D2634" s="2">
        <v>0.107016658253407</v>
      </c>
      <c r="E2634" s="2">
        <v>1.75901495162708E-3</v>
      </c>
      <c r="F2634" s="2">
        <v>3.3448594611249903E-2</v>
      </c>
    </row>
    <row r="2635" spans="1:6" x14ac:dyDescent="0.25">
      <c r="A2635" s="1" t="str">
        <f t="shared" si="95"/>
        <v>12860</v>
      </c>
      <c r="B2635" s="1" t="str">
        <f>"14036"</f>
        <v>14036</v>
      </c>
      <c r="C2635" s="2">
        <v>7.8916101337625999E-2</v>
      </c>
      <c r="D2635" s="2">
        <v>3.331650681474E-2</v>
      </c>
      <c r="E2635" s="2">
        <v>4.8372911169744903E-2</v>
      </c>
      <c r="F2635" s="2">
        <v>7.4634530452942494E-2</v>
      </c>
    </row>
    <row r="2636" spans="1:6" x14ac:dyDescent="0.25">
      <c r="A2636" s="1" t="str">
        <f t="shared" si="95"/>
        <v>12860</v>
      </c>
      <c r="B2636" s="1" t="str">
        <f>"14103"</f>
        <v>14103</v>
      </c>
      <c r="C2636" s="2">
        <v>3.8327392587482198E-5</v>
      </c>
      <c r="D2636" s="2">
        <v>0</v>
      </c>
      <c r="E2636" s="2">
        <v>0</v>
      </c>
      <c r="F2636" s="2">
        <v>3.4236023143551598E-5</v>
      </c>
    </row>
    <row r="2637" spans="1:6" x14ac:dyDescent="0.25">
      <c r="A2637" s="1" t="str">
        <f t="shared" si="95"/>
        <v>12860</v>
      </c>
      <c r="B2637" s="1" t="str">
        <f>"14020"</f>
        <v>14020</v>
      </c>
      <c r="C2637" s="2">
        <v>0.39350733969568003</v>
      </c>
      <c r="D2637" s="2">
        <v>0.56839979808177599</v>
      </c>
      <c r="E2637" s="2">
        <v>0.51715039577836397</v>
      </c>
      <c r="F2637" s="2">
        <v>0.410181793282892</v>
      </c>
    </row>
    <row r="2638" spans="1:6" x14ac:dyDescent="0.25">
      <c r="A2638" s="1" t="str">
        <f t="shared" si="95"/>
        <v>12860</v>
      </c>
      <c r="B2638" s="1" t="str">
        <f>"14143"</f>
        <v>14143</v>
      </c>
      <c r="C2638" s="2">
        <v>1.9546970219615899E-2</v>
      </c>
      <c r="D2638" s="2">
        <v>4.03836446239273E-3</v>
      </c>
      <c r="E2638" s="2">
        <v>8.7950747581354402E-4</v>
      </c>
      <c r="F2638" s="2">
        <v>1.77684960115033E-2</v>
      </c>
    </row>
    <row r="2639" spans="1:6" x14ac:dyDescent="0.25">
      <c r="A2639" s="1" t="str">
        <f t="shared" si="95"/>
        <v>12860</v>
      </c>
      <c r="B2639" s="1" t="str">
        <f>"14125"</f>
        <v>14125</v>
      </c>
      <c r="C2639" s="2">
        <v>5.6226284925836402E-2</v>
      </c>
      <c r="D2639" s="2">
        <v>3.2306915699141799E-2</v>
      </c>
      <c r="E2639" s="2">
        <v>5.1011433597185497E-2</v>
      </c>
      <c r="F2639" s="2">
        <v>5.44010407751035E-2</v>
      </c>
    </row>
    <row r="2640" spans="1:6" x14ac:dyDescent="0.25">
      <c r="A2640" s="1" t="str">
        <f t="shared" si="95"/>
        <v>12860</v>
      </c>
      <c r="B2640" s="1" t="str">
        <f>"14056"</f>
        <v>14056</v>
      </c>
      <c r="C2640" s="2">
        <v>2.2996435552489298E-3</v>
      </c>
      <c r="D2640" s="2">
        <v>0</v>
      </c>
      <c r="E2640" s="2">
        <v>8.7950747581354402E-4</v>
      </c>
      <c r="F2640" s="2">
        <v>2.0883974117566501E-3</v>
      </c>
    </row>
    <row r="2641" spans="1:6" x14ac:dyDescent="0.25">
      <c r="A2641" s="1" t="str">
        <f t="shared" si="95"/>
        <v>12860</v>
      </c>
      <c r="B2641" s="1" t="str">
        <f>"14416"</f>
        <v>14416</v>
      </c>
      <c r="C2641" s="2">
        <v>5.9445785903185E-2</v>
      </c>
      <c r="D2641" s="2">
        <v>2.5744573447753601E-2</v>
      </c>
      <c r="E2641" s="2">
        <v>4.4854881266490697E-2</v>
      </c>
      <c r="F2641" s="2">
        <v>5.6592146256290797E-2</v>
      </c>
    </row>
    <row r="2642" spans="1:6" x14ac:dyDescent="0.25">
      <c r="A2642" s="1" t="str">
        <f t="shared" si="95"/>
        <v>12860</v>
      </c>
      <c r="B2642" s="1" t="str">
        <f>"14525"</f>
        <v>14525</v>
      </c>
      <c r="C2642" s="2">
        <v>2.5334406500325701E-2</v>
      </c>
      <c r="D2642" s="2">
        <v>1.4134275618374499E-2</v>
      </c>
      <c r="E2642" s="2">
        <v>5.5408970976253198E-2</v>
      </c>
      <c r="F2642" s="2">
        <v>2.57454894039508E-2</v>
      </c>
    </row>
    <row r="2643" spans="1:6" x14ac:dyDescent="0.25">
      <c r="A2643" s="1" t="str">
        <f t="shared" si="95"/>
        <v>12860</v>
      </c>
      <c r="B2643" s="1" t="str">
        <f>"14040"</f>
        <v>14040</v>
      </c>
      <c r="C2643" s="2">
        <v>2.8017323981449498E-2</v>
      </c>
      <c r="D2643" s="2">
        <v>8.07672892478546E-3</v>
      </c>
      <c r="E2643" s="2">
        <v>1.58311345646437E-2</v>
      </c>
      <c r="F2643" s="2">
        <v>2.6190557704817E-2</v>
      </c>
    </row>
    <row r="2644" spans="1:6" x14ac:dyDescent="0.25">
      <c r="A2644" s="1" t="str">
        <f t="shared" si="95"/>
        <v>12860</v>
      </c>
      <c r="B2644" s="1" t="str">
        <f>"14058"</f>
        <v>14058</v>
      </c>
      <c r="C2644" s="2">
        <v>3.2195009773485099E-2</v>
      </c>
      <c r="D2644" s="2">
        <v>1.9182231196365401E-2</v>
      </c>
      <c r="E2644" s="2">
        <v>7.9155672823218899E-3</v>
      </c>
      <c r="F2644" s="2">
        <v>3.03673525283303E-2</v>
      </c>
    </row>
    <row r="2645" spans="1:6" x14ac:dyDescent="0.25">
      <c r="A2645" s="1" t="str">
        <f t="shared" si="95"/>
        <v>12860</v>
      </c>
      <c r="B2645" s="1" t="str">
        <f>"14004"</f>
        <v>14004</v>
      </c>
      <c r="C2645" s="2">
        <v>2.7595722662987201E-3</v>
      </c>
      <c r="D2645" s="2">
        <v>0</v>
      </c>
      <c r="E2645" s="2">
        <v>0</v>
      </c>
      <c r="F2645" s="2">
        <v>2.4649936663357101E-3</v>
      </c>
    </row>
    <row r="2646" spans="1:6" x14ac:dyDescent="0.25">
      <c r="A2646" s="1" t="str">
        <f t="shared" si="95"/>
        <v>12860</v>
      </c>
      <c r="B2646" s="1" t="str">
        <f>"14428"</f>
        <v>14428</v>
      </c>
      <c r="C2646" s="2">
        <v>1.5330957034992901E-4</v>
      </c>
      <c r="D2646" s="2">
        <v>0</v>
      </c>
      <c r="E2646" s="2">
        <v>0</v>
      </c>
      <c r="F2646" s="2">
        <v>1.3694409257420599E-4</v>
      </c>
    </row>
    <row r="2647" spans="1:6" x14ac:dyDescent="0.25">
      <c r="A2647" s="1" t="str">
        <f t="shared" ref="A2647:A2678" si="96">"12900"</f>
        <v>12900</v>
      </c>
      <c r="B2647" s="1" t="str">
        <f>"72529"</f>
        <v>72529</v>
      </c>
      <c r="C2647" s="2">
        <v>8.0577793247476506E-2</v>
      </c>
      <c r="D2647" s="2">
        <v>2.4333177351427201E-2</v>
      </c>
      <c r="E2647" s="2">
        <v>1.71821305841924E-2</v>
      </c>
      <c r="F2647" s="2">
        <v>7.6128121188779693E-2</v>
      </c>
    </row>
    <row r="2648" spans="1:6" x14ac:dyDescent="0.25">
      <c r="A2648" s="1" t="str">
        <f t="shared" si="96"/>
        <v>12900</v>
      </c>
      <c r="B2648" s="1" t="str">
        <f>"72577"</f>
        <v>72577</v>
      </c>
      <c r="C2648" s="2">
        <v>1.3365819700661301E-2</v>
      </c>
      <c r="D2648" s="2">
        <v>2.8076743097800601E-3</v>
      </c>
      <c r="E2648" s="2">
        <v>6.8728522336769697E-3</v>
      </c>
      <c r="F2648" s="2">
        <v>1.25810385775723E-2</v>
      </c>
    </row>
    <row r="2649" spans="1:6" x14ac:dyDescent="0.25">
      <c r="A2649" s="1" t="str">
        <f t="shared" si="96"/>
        <v>12900</v>
      </c>
      <c r="B2649" s="1" t="str">
        <f>"72553"</f>
        <v>72553</v>
      </c>
      <c r="C2649" s="2">
        <v>1.74034110685694E-4</v>
      </c>
      <c r="D2649" s="2">
        <v>0</v>
      </c>
      <c r="E2649" s="2">
        <v>3.4364261168384801E-3</v>
      </c>
      <c r="F2649" s="2">
        <v>1.9256691700365801E-4</v>
      </c>
    </row>
    <row r="2650" spans="1:6" x14ac:dyDescent="0.25">
      <c r="A2650" s="1" t="str">
        <f t="shared" si="96"/>
        <v>12900</v>
      </c>
      <c r="B2650" s="1" t="str">
        <f>"72020"</f>
        <v>72020</v>
      </c>
      <c r="C2650" s="2">
        <v>9.1193873999303801E-3</v>
      </c>
      <c r="D2650" s="2">
        <v>1.87178287318671E-3</v>
      </c>
      <c r="E2650" s="2">
        <v>0</v>
      </c>
      <c r="F2650" s="2">
        <v>8.53713332049553E-3</v>
      </c>
    </row>
    <row r="2651" spans="1:6" x14ac:dyDescent="0.25">
      <c r="A2651" s="1" t="str">
        <f t="shared" si="96"/>
        <v>12900</v>
      </c>
      <c r="B2651" s="1" t="str">
        <f>"72569"</f>
        <v>72569</v>
      </c>
      <c r="C2651" s="2">
        <v>8.3884441350504605E-3</v>
      </c>
      <c r="D2651" s="2">
        <v>0</v>
      </c>
      <c r="E2651" s="2">
        <v>3.4364261168384801E-3</v>
      </c>
      <c r="F2651" s="2">
        <v>7.7668656524808996E-3</v>
      </c>
    </row>
    <row r="2652" spans="1:6" x14ac:dyDescent="0.25">
      <c r="A2652" s="1" t="str">
        <f t="shared" si="96"/>
        <v>12900</v>
      </c>
      <c r="B2652" s="1" t="str">
        <f>"72459"</f>
        <v>72459</v>
      </c>
      <c r="C2652" s="2">
        <v>4.7337278106508798E-3</v>
      </c>
      <c r="D2652" s="2">
        <v>4.6794571829667701E-4</v>
      </c>
      <c r="E2652" s="2">
        <v>0</v>
      </c>
      <c r="F2652" s="2">
        <v>4.3969446049168699E-3</v>
      </c>
    </row>
    <row r="2653" spans="1:6" x14ac:dyDescent="0.25">
      <c r="A2653" s="1" t="str">
        <f t="shared" si="96"/>
        <v>12900</v>
      </c>
      <c r="B2653" s="1" t="str">
        <f>"72501"</f>
        <v>72501</v>
      </c>
      <c r="C2653" s="2">
        <v>0.43891402714932098</v>
      </c>
      <c r="D2653" s="2">
        <v>0.65699578848853502</v>
      </c>
      <c r="E2653" s="2">
        <v>0.61168384879725002</v>
      </c>
      <c r="F2653" s="2">
        <v>0.45548494768598702</v>
      </c>
    </row>
    <row r="2654" spans="1:6" x14ac:dyDescent="0.25">
      <c r="A2654" s="1" t="str">
        <f t="shared" si="96"/>
        <v>12900</v>
      </c>
      <c r="B2654" s="1" t="str">
        <f>"72554"</f>
        <v>72554</v>
      </c>
      <c r="C2654" s="2">
        <v>5.3950574312565201E-3</v>
      </c>
      <c r="D2654" s="2">
        <v>1.87178287318671E-3</v>
      </c>
      <c r="E2654" s="2">
        <v>0</v>
      </c>
      <c r="F2654" s="2">
        <v>5.10302330059695E-3</v>
      </c>
    </row>
    <row r="2655" spans="1:6" x14ac:dyDescent="0.25">
      <c r="A2655" s="1" t="str">
        <f t="shared" si="96"/>
        <v>12900</v>
      </c>
      <c r="B2655" s="1" t="str">
        <f>"72550"</f>
        <v>72550</v>
      </c>
      <c r="C2655" s="2">
        <v>1.08249216846501E-2</v>
      </c>
      <c r="D2655" s="2">
        <v>1.4038371548900301E-3</v>
      </c>
      <c r="E2655" s="2">
        <v>3.4364261168384801E-3</v>
      </c>
      <c r="F2655" s="2">
        <v>1.0109763142692E-2</v>
      </c>
    </row>
    <row r="2656" spans="1:6" x14ac:dyDescent="0.25">
      <c r="A2656" s="1" t="str">
        <f t="shared" si="96"/>
        <v>12900</v>
      </c>
      <c r="B2656" s="1" t="str">
        <f>"72575"</f>
        <v>72575</v>
      </c>
      <c r="C2656" s="2">
        <v>0</v>
      </c>
      <c r="D2656" s="2">
        <v>0</v>
      </c>
      <c r="E2656" s="2">
        <v>3.4364261168384801E-3</v>
      </c>
      <c r="F2656" s="2">
        <v>3.2094486167276401E-5</v>
      </c>
    </row>
    <row r="2657" spans="1:6" x14ac:dyDescent="0.25">
      <c r="A2657" s="1" t="str">
        <f t="shared" si="96"/>
        <v>12900</v>
      </c>
      <c r="B2657" s="1" t="str">
        <f>"72524"</f>
        <v>72524</v>
      </c>
      <c r="C2657" s="2">
        <v>6.2304211625478501E-3</v>
      </c>
      <c r="D2657" s="2">
        <v>4.6794571829667699E-3</v>
      </c>
      <c r="E2657" s="2">
        <v>3.4364261168384801E-3</v>
      </c>
      <c r="F2657" s="2">
        <v>6.0979523717825199E-3</v>
      </c>
    </row>
    <row r="2658" spans="1:6" x14ac:dyDescent="0.25">
      <c r="A2658" s="1" t="str">
        <f t="shared" si="96"/>
        <v>12900</v>
      </c>
      <c r="B2658" s="1" t="str">
        <f>"72466"</f>
        <v>72466</v>
      </c>
      <c r="C2658" s="2">
        <v>1.09641489731987E-2</v>
      </c>
      <c r="D2658" s="2">
        <v>1.87178287318671E-3</v>
      </c>
      <c r="E2658" s="2">
        <v>0</v>
      </c>
      <c r="F2658" s="2">
        <v>1.02381410873611E-2</v>
      </c>
    </row>
    <row r="2659" spans="1:6" x14ac:dyDescent="0.25">
      <c r="A2659" s="1" t="str">
        <f t="shared" si="96"/>
        <v>12900</v>
      </c>
      <c r="B2659" s="1" t="str">
        <f>"72482"</f>
        <v>72482</v>
      </c>
      <c r="C2659" s="2">
        <v>2.9829446571528001E-2</v>
      </c>
      <c r="D2659" s="2">
        <v>6.5512400561534801E-3</v>
      </c>
      <c r="E2659" s="2">
        <v>6.8728522336769697E-3</v>
      </c>
      <c r="F2659" s="2">
        <v>2.8018486424032301E-2</v>
      </c>
    </row>
    <row r="2660" spans="1:6" x14ac:dyDescent="0.25">
      <c r="A2660" s="1" t="str">
        <f t="shared" si="96"/>
        <v>12900</v>
      </c>
      <c r="B2660" s="1" t="str">
        <f>"72527"</f>
        <v>72527</v>
      </c>
      <c r="C2660" s="2">
        <v>7.7967281587190997E-3</v>
      </c>
      <c r="D2660" s="2">
        <v>9.35891436593355E-4</v>
      </c>
      <c r="E2660" s="2">
        <v>3.4364261168384801E-3</v>
      </c>
      <c r="F2660" s="2">
        <v>7.2854483599717502E-3</v>
      </c>
    </row>
    <row r="2661" spans="1:6" x14ac:dyDescent="0.25">
      <c r="A2661" s="1" t="str">
        <f t="shared" si="96"/>
        <v>12900</v>
      </c>
      <c r="B2661" s="1" t="str">
        <f>"72523"</f>
        <v>72523</v>
      </c>
      <c r="C2661" s="2">
        <v>1.7751479289940799E-3</v>
      </c>
      <c r="D2661" s="2">
        <v>0</v>
      </c>
      <c r="E2661" s="2">
        <v>0</v>
      </c>
      <c r="F2661" s="2">
        <v>1.63681879453109E-3</v>
      </c>
    </row>
    <row r="2662" spans="1:6" x14ac:dyDescent="0.25">
      <c r="A2662" s="1" t="str">
        <f t="shared" si="96"/>
        <v>12900</v>
      </c>
      <c r="B2662" s="1" t="str">
        <f>"72572"</f>
        <v>72572</v>
      </c>
      <c r="C2662" s="2">
        <v>6.9613644274277699E-4</v>
      </c>
      <c r="D2662" s="2">
        <v>0</v>
      </c>
      <c r="E2662" s="2">
        <v>0</v>
      </c>
      <c r="F2662" s="2">
        <v>6.4188972334552896E-4</v>
      </c>
    </row>
    <row r="2663" spans="1:6" x14ac:dyDescent="0.25">
      <c r="A2663" s="1" t="str">
        <f t="shared" si="96"/>
        <v>12900</v>
      </c>
      <c r="B2663" s="1" t="str">
        <f>"72532"</f>
        <v>72532</v>
      </c>
      <c r="C2663" s="2">
        <v>2.7532196310476799E-2</v>
      </c>
      <c r="D2663" s="2">
        <v>5.1474029012634499E-3</v>
      </c>
      <c r="E2663" s="2">
        <v>1.03092783505154E-2</v>
      </c>
      <c r="F2663" s="2">
        <v>2.5836061364657499E-2</v>
      </c>
    </row>
    <row r="2664" spans="1:6" x14ac:dyDescent="0.25">
      <c r="A2664" s="1" t="str">
        <f t="shared" si="96"/>
        <v>12900</v>
      </c>
      <c r="B2664" s="1" t="str">
        <f>"72534"</f>
        <v>72534</v>
      </c>
      <c r="C2664" s="2">
        <v>2.01879568395405E-2</v>
      </c>
      <c r="D2664" s="2">
        <v>2.8076743097800601E-3</v>
      </c>
      <c r="E2664" s="2">
        <v>3.4364261168384801E-3</v>
      </c>
      <c r="F2664" s="2">
        <v>1.8839463380191199E-2</v>
      </c>
    </row>
    <row r="2665" spans="1:6" x14ac:dyDescent="0.25">
      <c r="A2665" s="1" t="str">
        <f t="shared" si="96"/>
        <v>12900</v>
      </c>
      <c r="B2665" s="1" t="str">
        <f>"72571"</f>
        <v>72571</v>
      </c>
      <c r="C2665" s="2">
        <v>6.57848938391924E-3</v>
      </c>
      <c r="D2665" s="2">
        <v>0</v>
      </c>
      <c r="E2665" s="2">
        <v>3.4364261168384801E-3</v>
      </c>
      <c r="F2665" s="2">
        <v>6.0979523717825199E-3</v>
      </c>
    </row>
    <row r="2666" spans="1:6" x14ac:dyDescent="0.25">
      <c r="A2666" s="1" t="str">
        <f t="shared" si="96"/>
        <v>12900</v>
      </c>
      <c r="B2666" s="1" t="str">
        <f>"72522"</f>
        <v>72522</v>
      </c>
      <c r="C2666" s="2">
        <v>6.9613644274277697E-3</v>
      </c>
      <c r="D2666" s="2">
        <v>1.87178287318671E-3</v>
      </c>
      <c r="E2666" s="2">
        <v>3.4364261168384801E-3</v>
      </c>
      <c r="F2666" s="2">
        <v>6.5793696642916701E-3</v>
      </c>
    </row>
    <row r="2667" spans="1:6" x14ac:dyDescent="0.25">
      <c r="A2667" s="1" t="str">
        <f t="shared" si="96"/>
        <v>12900</v>
      </c>
      <c r="B2667" s="1" t="str">
        <f>"72081"</f>
        <v>72081</v>
      </c>
      <c r="C2667" s="2">
        <v>3.8287504350852699E-4</v>
      </c>
      <c r="D2667" s="2">
        <v>0</v>
      </c>
      <c r="E2667" s="2">
        <v>0</v>
      </c>
      <c r="F2667" s="2">
        <v>3.5303934784004098E-4</v>
      </c>
    </row>
    <row r="2668" spans="1:6" x14ac:dyDescent="0.25">
      <c r="A2668" s="1" t="str">
        <f t="shared" si="96"/>
        <v>12900</v>
      </c>
      <c r="B2668" s="1" t="str">
        <f>"72165"</f>
        <v>72165</v>
      </c>
      <c r="C2668" s="2">
        <v>1.91437521754263E-3</v>
      </c>
      <c r="D2668" s="2">
        <v>9.35891436593355E-4</v>
      </c>
      <c r="E2668" s="2">
        <v>3.4364261168384801E-3</v>
      </c>
      <c r="F2668" s="2">
        <v>1.8614801977020301E-3</v>
      </c>
    </row>
    <row r="2669" spans="1:6" x14ac:dyDescent="0.25">
      <c r="A2669" s="1" t="str">
        <f t="shared" si="96"/>
        <v>12900</v>
      </c>
      <c r="B2669" s="1" t="str">
        <f>"72526"</f>
        <v>72526</v>
      </c>
      <c r="C2669" s="2">
        <v>0</v>
      </c>
      <c r="D2669" s="2">
        <v>0</v>
      </c>
      <c r="E2669" s="2">
        <v>3.4364261168384801E-3</v>
      </c>
      <c r="F2669" s="2">
        <v>3.2094486167276401E-5</v>
      </c>
    </row>
    <row r="2670" spans="1:6" x14ac:dyDescent="0.25">
      <c r="A2670" s="1" t="str">
        <f t="shared" si="96"/>
        <v>12900</v>
      </c>
      <c r="B2670" s="1" t="str">
        <f>"72112"</f>
        <v>72112</v>
      </c>
      <c r="C2670" s="2">
        <v>1.1486251305255801E-3</v>
      </c>
      <c r="D2670" s="2">
        <v>0</v>
      </c>
      <c r="E2670" s="2">
        <v>0</v>
      </c>
      <c r="F2670" s="2">
        <v>1.05911804352012E-3</v>
      </c>
    </row>
    <row r="2671" spans="1:6" x14ac:dyDescent="0.25">
      <c r="A2671" s="1" t="str">
        <f t="shared" si="96"/>
        <v>12900</v>
      </c>
      <c r="B2671" s="1" t="str">
        <f>"72564"</f>
        <v>72564</v>
      </c>
      <c r="C2671" s="2">
        <v>5.5690915419422202E-3</v>
      </c>
      <c r="D2671" s="2">
        <v>9.35891436593355E-4</v>
      </c>
      <c r="E2671" s="2">
        <v>1.03092783505154E-2</v>
      </c>
      <c r="F2671" s="2">
        <v>5.2955902176006096E-3</v>
      </c>
    </row>
    <row r="2672" spans="1:6" x14ac:dyDescent="0.25">
      <c r="A2672" s="1" t="str">
        <f t="shared" si="96"/>
        <v>12900</v>
      </c>
      <c r="B2672" s="1" t="str">
        <f>"72579"</f>
        <v>72579</v>
      </c>
      <c r="C2672" s="2">
        <v>2.47824573616428E-2</v>
      </c>
      <c r="D2672" s="2">
        <v>3.74356574637342E-3</v>
      </c>
      <c r="E2672" s="2">
        <v>9.2783505154639095E-2</v>
      </c>
      <c r="F2672" s="2">
        <v>2.39745811669555E-2</v>
      </c>
    </row>
    <row r="2673" spans="1:6" x14ac:dyDescent="0.25">
      <c r="A2673" s="1" t="str">
        <f t="shared" si="96"/>
        <v>12900</v>
      </c>
      <c r="B2673" s="1" t="str">
        <f>"72513"</f>
        <v>72513</v>
      </c>
      <c r="C2673" s="2">
        <v>3.1709014966933499E-2</v>
      </c>
      <c r="D2673" s="2">
        <v>3.8371548900327498E-2</v>
      </c>
      <c r="E2673" s="2">
        <v>3.7800687285223303E-2</v>
      </c>
      <c r="F2673" s="2">
        <v>3.2222864111945498E-2</v>
      </c>
    </row>
    <row r="2674" spans="1:6" x14ac:dyDescent="0.25">
      <c r="A2674" s="1" t="str">
        <f t="shared" si="96"/>
        <v>12900</v>
      </c>
      <c r="B2674" s="1" t="str">
        <f>"72568"</f>
        <v>72568</v>
      </c>
      <c r="C2674" s="2">
        <v>2.7079707622693999E-2</v>
      </c>
      <c r="D2674" s="2">
        <v>9.8268600842302198E-3</v>
      </c>
      <c r="E2674" s="2">
        <v>1.03092783505154E-2</v>
      </c>
      <c r="F2674" s="2">
        <v>2.5739777906155701E-2</v>
      </c>
    </row>
    <row r="2675" spans="1:6" x14ac:dyDescent="0.25">
      <c r="A2675" s="1" t="str">
        <f t="shared" si="96"/>
        <v>12900</v>
      </c>
      <c r="B2675" s="1" t="str">
        <f>"72521"</f>
        <v>72521</v>
      </c>
      <c r="C2675" s="2">
        <v>0.101357466063348</v>
      </c>
      <c r="D2675" s="2">
        <v>6.6916237716424798E-2</v>
      </c>
      <c r="E2675" s="2">
        <v>5.1546391752577303E-2</v>
      </c>
      <c r="F2675" s="2">
        <v>9.8530072533538696E-2</v>
      </c>
    </row>
    <row r="2676" spans="1:6" x14ac:dyDescent="0.25">
      <c r="A2676" s="1" t="str">
        <f t="shared" si="96"/>
        <v>12900</v>
      </c>
      <c r="B2676" s="1" t="str">
        <f>"72562"</f>
        <v>72562</v>
      </c>
      <c r="C2676" s="2">
        <v>3.9401322659241199E-2</v>
      </c>
      <c r="D2676" s="2">
        <v>2.7140851661207201E-2</v>
      </c>
      <c r="E2676" s="2">
        <v>5.49828178694158E-2</v>
      </c>
      <c r="F2676" s="2">
        <v>3.8705950317735403E-2</v>
      </c>
    </row>
    <row r="2677" spans="1:6" x14ac:dyDescent="0.25">
      <c r="A2677" s="1" t="str">
        <f t="shared" si="96"/>
        <v>12900</v>
      </c>
      <c r="B2677" s="1" t="str">
        <f>"72469"</f>
        <v>72469</v>
      </c>
      <c r="C2677" s="2">
        <v>3.09780717020536E-3</v>
      </c>
      <c r="D2677" s="2">
        <v>9.35891436593355E-4</v>
      </c>
      <c r="E2677" s="2">
        <v>0</v>
      </c>
      <c r="F2677" s="2">
        <v>2.9205982412221498E-3</v>
      </c>
    </row>
    <row r="2678" spans="1:6" x14ac:dyDescent="0.25">
      <c r="A2678" s="1" t="str">
        <f t="shared" si="96"/>
        <v>12900</v>
      </c>
      <c r="B2678" s="1" t="str">
        <f>"72542"</f>
        <v>72542</v>
      </c>
      <c r="C2678" s="2">
        <v>7.3512008353637304E-2</v>
      </c>
      <c r="D2678" s="2">
        <v>0.13757604117922301</v>
      </c>
      <c r="E2678" s="2">
        <v>5.1546391752577303E-2</v>
      </c>
      <c r="F2678" s="2">
        <v>7.7700751010976302E-2</v>
      </c>
    </row>
    <row r="2679" spans="1:6" x14ac:dyDescent="0.25">
      <c r="A2679" s="1" t="str">
        <f t="shared" ref="A2679:A2710" si="97">"12940"</f>
        <v>12940</v>
      </c>
      <c r="B2679" s="1" t="str">
        <f>"70403"</f>
        <v>70403</v>
      </c>
      <c r="C2679" s="2">
        <v>1.5438599969271401E-3</v>
      </c>
      <c r="D2679" s="2">
        <v>2.8294946522550998E-4</v>
      </c>
      <c r="E2679" s="2">
        <v>5.2567022954266602E-4</v>
      </c>
      <c r="F2679" s="2">
        <v>1.41908547824735E-3</v>
      </c>
    </row>
    <row r="2680" spans="1:6" x14ac:dyDescent="0.25">
      <c r="A2680" s="1" t="str">
        <f t="shared" si="97"/>
        <v>12940</v>
      </c>
      <c r="B2680" s="1" t="str">
        <f>"70380"</f>
        <v>70380</v>
      </c>
      <c r="C2680" s="2">
        <v>2.2104704931926399E-3</v>
      </c>
      <c r="D2680" s="2">
        <v>4.52719144360817E-4</v>
      </c>
      <c r="E2680" s="2">
        <v>7.8850534431399995E-4</v>
      </c>
      <c r="F2680" s="2">
        <v>2.0364653889715502E-3</v>
      </c>
    </row>
    <row r="2681" spans="1:6" x14ac:dyDescent="0.25">
      <c r="A2681" s="1" t="str">
        <f t="shared" si="97"/>
        <v>12940</v>
      </c>
      <c r="B2681" s="1" t="str">
        <f>"70444"</f>
        <v>70444</v>
      </c>
      <c r="C2681" s="2">
        <v>1.8660137683565599E-3</v>
      </c>
      <c r="D2681" s="2">
        <v>4.2442419783826602E-4</v>
      </c>
      <c r="E2681" s="2">
        <v>3.5044681969511102E-4</v>
      </c>
      <c r="F2681" s="2">
        <v>1.7144506873348201E-3</v>
      </c>
    </row>
    <row r="2682" spans="1:6" x14ac:dyDescent="0.25">
      <c r="A2682" s="1" t="str">
        <f t="shared" si="97"/>
        <v>12940</v>
      </c>
      <c r="B2682" s="1" t="str">
        <f>"70761"</f>
        <v>70761</v>
      </c>
      <c r="C2682" s="2">
        <v>8.3759980571649403E-4</v>
      </c>
      <c r="D2682" s="2">
        <v>3.6783430479316297E-4</v>
      </c>
      <c r="E2682" s="2">
        <v>0</v>
      </c>
      <c r="F2682" s="2">
        <v>7.7949765706544598E-4</v>
      </c>
    </row>
    <row r="2683" spans="1:6" x14ac:dyDescent="0.25">
      <c r="A2683" s="1" t="str">
        <f t="shared" si="97"/>
        <v>12940</v>
      </c>
      <c r="B2683" s="1" t="str">
        <f>"70789"</f>
        <v>70789</v>
      </c>
      <c r="C2683" s="2">
        <v>2.1311711033023201E-4</v>
      </c>
      <c r="D2683" s="2">
        <v>8.4884839567653201E-5</v>
      </c>
      <c r="E2683" s="2">
        <v>0</v>
      </c>
      <c r="F2683" s="2">
        <v>1.9765040307357401E-4</v>
      </c>
    </row>
    <row r="2684" spans="1:6" x14ac:dyDescent="0.25">
      <c r="A2684" s="1" t="str">
        <f t="shared" si="97"/>
        <v>12940</v>
      </c>
      <c r="B2684" s="1" t="str">
        <f>"70812"</f>
        <v>70812</v>
      </c>
      <c r="C2684" s="2">
        <v>1.0772326495412999E-2</v>
      </c>
      <c r="D2684" s="2">
        <v>2.0372361496236698E-3</v>
      </c>
      <c r="E2684" s="2">
        <v>3.4168564920273301E-3</v>
      </c>
      <c r="F2684" s="2">
        <v>9.9002864820449E-3</v>
      </c>
    </row>
    <row r="2685" spans="1:6" x14ac:dyDescent="0.25">
      <c r="A2685" s="1" t="str">
        <f t="shared" si="97"/>
        <v>12940</v>
      </c>
      <c r="B2685" s="1" t="str">
        <f>"70755"</f>
        <v>70755</v>
      </c>
      <c r="C2685" s="2">
        <v>1.0705417635193E-3</v>
      </c>
      <c r="D2685" s="2">
        <v>1.69769679135306E-4</v>
      </c>
      <c r="E2685" s="2">
        <v>0</v>
      </c>
      <c r="F2685" s="2">
        <v>9.7270647804748001E-4</v>
      </c>
    </row>
    <row r="2686" spans="1:6" x14ac:dyDescent="0.25">
      <c r="A2686" s="1" t="str">
        <f t="shared" si="97"/>
        <v>12940</v>
      </c>
      <c r="B2686" s="1" t="str">
        <f>"70749"</f>
        <v>70749</v>
      </c>
      <c r="C2686" s="2">
        <v>1.68015582330113E-3</v>
      </c>
      <c r="D2686" s="2">
        <v>2.3484805613717299E-3</v>
      </c>
      <c r="E2686" s="2">
        <v>1.75223409847555E-4</v>
      </c>
      <c r="F2686" s="2">
        <v>1.6944635679228899E-3</v>
      </c>
    </row>
    <row r="2687" spans="1:6" x14ac:dyDescent="0.25">
      <c r="A2687" s="1" t="str">
        <f t="shared" si="97"/>
        <v>12940</v>
      </c>
      <c r="B2687" s="1" t="str">
        <f>"70770"</f>
        <v>70770</v>
      </c>
      <c r="C2687" s="2">
        <v>4.21525819385727E-3</v>
      </c>
      <c r="D2687" s="2">
        <v>2.8294946522550998E-4</v>
      </c>
      <c r="E2687" s="2">
        <v>9.63728754161555E-4</v>
      </c>
      <c r="F2687" s="2">
        <v>3.8242021808168E-3</v>
      </c>
    </row>
    <row r="2688" spans="1:6" x14ac:dyDescent="0.25">
      <c r="A2688" s="1" t="str">
        <f t="shared" si="97"/>
        <v>12940</v>
      </c>
      <c r="B2688" s="1" t="str">
        <f>"70788"</f>
        <v>70788</v>
      </c>
      <c r="C2688" s="2">
        <v>4.4482001516600797E-3</v>
      </c>
      <c r="D2688" s="2">
        <v>2.7163148661648998E-3</v>
      </c>
      <c r="E2688" s="2">
        <v>1.0513404590853301E-3</v>
      </c>
      <c r="F2688" s="2">
        <v>4.2261653601012601E-3</v>
      </c>
    </row>
    <row r="2689" spans="1:6" x14ac:dyDescent="0.25">
      <c r="A2689" s="1" t="str">
        <f t="shared" si="97"/>
        <v>12940</v>
      </c>
      <c r="B2689" s="1" t="str">
        <f>"70727"</f>
        <v>70727</v>
      </c>
      <c r="C2689" s="2">
        <v>3.9203635877026397E-3</v>
      </c>
      <c r="D2689" s="2">
        <v>9.3656272989643997E-3</v>
      </c>
      <c r="E2689" s="2">
        <v>1.75223409847555E-4</v>
      </c>
      <c r="F2689" s="2">
        <v>4.2528148526505098E-3</v>
      </c>
    </row>
    <row r="2690" spans="1:6" x14ac:dyDescent="0.25">
      <c r="A2690" s="1" t="str">
        <f t="shared" si="97"/>
        <v>12940</v>
      </c>
      <c r="B2690" s="1" t="str">
        <f>"70453"</f>
        <v>70453</v>
      </c>
      <c r="C2690" s="2">
        <v>1.13001630593704E-3</v>
      </c>
      <c r="D2690" s="2">
        <v>5.3760398392847005E-4</v>
      </c>
      <c r="E2690" s="2">
        <v>8.7611704923777796E-5</v>
      </c>
      <c r="F2690" s="2">
        <v>1.05709653778675E-3</v>
      </c>
    </row>
    <row r="2691" spans="1:6" x14ac:dyDescent="0.25">
      <c r="A2691" s="1" t="str">
        <f t="shared" si="97"/>
        <v>12940</v>
      </c>
      <c r="B2691" s="1" t="str">
        <f>"70787"</f>
        <v>70787</v>
      </c>
      <c r="C2691" s="2">
        <v>0</v>
      </c>
      <c r="D2691" s="2">
        <v>0</v>
      </c>
      <c r="E2691" s="2">
        <v>8.7611704923777796E-5</v>
      </c>
      <c r="F2691" s="2">
        <v>2.2207910457705001E-6</v>
      </c>
    </row>
    <row r="2692" spans="1:6" x14ac:dyDescent="0.25">
      <c r="A2692" s="1" t="str">
        <f t="shared" si="97"/>
        <v>12940</v>
      </c>
      <c r="B2692" s="1" t="str">
        <f>"70784"</f>
        <v>70784</v>
      </c>
      <c r="C2692" s="2">
        <v>0</v>
      </c>
      <c r="D2692" s="2">
        <v>0</v>
      </c>
      <c r="E2692" s="2">
        <v>8.7611704923777796E-5</v>
      </c>
      <c r="F2692" s="2">
        <v>2.2207910457705001E-6</v>
      </c>
    </row>
    <row r="2693" spans="1:6" x14ac:dyDescent="0.25">
      <c r="A2693" s="1" t="str">
        <f t="shared" si="97"/>
        <v>12940</v>
      </c>
      <c r="B2693" s="1" t="str">
        <f>"70782"</f>
        <v>70782</v>
      </c>
      <c r="C2693" s="2">
        <v>0</v>
      </c>
      <c r="D2693" s="2">
        <v>0</v>
      </c>
      <c r="E2693" s="2">
        <v>2.6283511477133301E-4</v>
      </c>
      <c r="F2693" s="2">
        <v>6.6623731373115101E-6</v>
      </c>
    </row>
    <row r="2694" spans="1:6" x14ac:dyDescent="0.25">
      <c r="A2694" s="1" t="str">
        <f t="shared" si="97"/>
        <v>12940</v>
      </c>
      <c r="B2694" s="1" t="str">
        <f>"70728"</f>
        <v>70728</v>
      </c>
      <c r="C2694" s="2">
        <v>1.20435948395922E-3</v>
      </c>
      <c r="D2694" s="2">
        <v>7.3566860958632703E-4</v>
      </c>
      <c r="E2694" s="2">
        <v>1.75223409847555E-4</v>
      </c>
      <c r="F2694" s="2">
        <v>1.1414865975260301E-3</v>
      </c>
    </row>
    <row r="2695" spans="1:6" x14ac:dyDescent="0.25">
      <c r="A2695" s="1" t="str">
        <f t="shared" si="97"/>
        <v>12940</v>
      </c>
      <c r="B2695" s="1" t="str">
        <f>"70456"</f>
        <v>70456</v>
      </c>
      <c r="C2695" s="2">
        <v>2.47810593407246E-5</v>
      </c>
      <c r="D2695" s="2">
        <v>0</v>
      </c>
      <c r="E2695" s="2">
        <v>0</v>
      </c>
      <c r="F2695" s="2">
        <v>2.2207910457704999E-5</v>
      </c>
    </row>
    <row r="2696" spans="1:6" x14ac:dyDescent="0.25">
      <c r="A2696" s="1" t="str">
        <f t="shared" si="97"/>
        <v>12940</v>
      </c>
      <c r="B2696" s="1" t="str">
        <f>"70783"</f>
        <v>70783</v>
      </c>
      <c r="C2696" s="2">
        <v>3.2958808923163798E-3</v>
      </c>
      <c r="D2696" s="2">
        <v>1.69769679135306E-4</v>
      </c>
      <c r="E2696" s="2">
        <v>3.5044681969511102E-4</v>
      </c>
      <c r="F2696" s="2">
        <v>2.97586000133247E-3</v>
      </c>
    </row>
    <row r="2697" spans="1:6" x14ac:dyDescent="0.25">
      <c r="A2697" s="1" t="str">
        <f t="shared" si="97"/>
        <v>12940</v>
      </c>
      <c r="B2697" s="1" t="str">
        <f>"70884"</f>
        <v>70884</v>
      </c>
      <c r="C2697" s="2">
        <v>4.4358096219897199E-3</v>
      </c>
      <c r="D2697" s="2">
        <v>1.6411068983079601E-2</v>
      </c>
      <c r="E2697" s="2">
        <v>1.75223409847555E-4</v>
      </c>
      <c r="F2697" s="2">
        <v>5.26771636056763E-3</v>
      </c>
    </row>
    <row r="2698" spans="1:6" x14ac:dyDescent="0.25">
      <c r="A2698" s="1" t="str">
        <f t="shared" si="97"/>
        <v>12940</v>
      </c>
      <c r="B2698" s="1" t="str">
        <f>"70756"</f>
        <v>70756</v>
      </c>
      <c r="C2698" s="2">
        <v>2.9737271208869602E-4</v>
      </c>
      <c r="D2698" s="2">
        <v>0</v>
      </c>
      <c r="E2698" s="2">
        <v>8.7611704923777796E-5</v>
      </c>
      <c r="F2698" s="2">
        <v>2.6871571653823E-4</v>
      </c>
    </row>
    <row r="2699" spans="1:6" x14ac:dyDescent="0.25">
      <c r="A2699" s="1" t="str">
        <f t="shared" si="97"/>
        <v>12940</v>
      </c>
      <c r="B2699" s="1" t="str">
        <f>"70714"</f>
        <v>70714</v>
      </c>
      <c r="C2699" s="2">
        <v>2.0137088820272799E-2</v>
      </c>
      <c r="D2699" s="2">
        <v>1.42606530473657E-2</v>
      </c>
      <c r="E2699" s="2">
        <v>2.1902926230944399E-2</v>
      </c>
      <c r="F2699" s="2">
        <v>1.9720624486442E-2</v>
      </c>
    </row>
    <row r="2700" spans="1:6" x14ac:dyDescent="0.25">
      <c r="A2700" s="1" t="str">
        <f t="shared" si="97"/>
        <v>12940</v>
      </c>
      <c r="B2700" s="1" t="str">
        <f>"70764"</f>
        <v>70764</v>
      </c>
      <c r="C2700" s="2">
        <v>2.01048734431299E-2</v>
      </c>
      <c r="D2700" s="2">
        <v>2.1051440212777901E-2</v>
      </c>
      <c r="E2700" s="2">
        <v>1.31417557385666E-2</v>
      </c>
      <c r="F2700" s="2">
        <v>2.00026649492549E-2</v>
      </c>
    </row>
    <row r="2701" spans="1:6" x14ac:dyDescent="0.25">
      <c r="A2701" s="1" t="str">
        <f t="shared" si="97"/>
        <v>12940</v>
      </c>
      <c r="B2701" s="1" t="str">
        <f>"70767"</f>
        <v>70767</v>
      </c>
      <c r="C2701" s="2">
        <v>1.92846203789519E-2</v>
      </c>
      <c r="D2701" s="2">
        <v>2.8634485880821601E-2</v>
      </c>
      <c r="E2701" s="2">
        <v>1.1214298230243501E-2</v>
      </c>
      <c r="F2701" s="2">
        <v>1.98138977103644E-2</v>
      </c>
    </row>
    <row r="2702" spans="1:6" x14ac:dyDescent="0.25">
      <c r="A2702" s="1" t="str">
        <f t="shared" si="97"/>
        <v>12940</v>
      </c>
      <c r="B2702" s="1" t="str">
        <f>"70722"</f>
        <v>70722</v>
      </c>
      <c r="C2702" s="2">
        <v>5.4815703261682997E-3</v>
      </c>
      <c r="D2702" s="2">
        <v>1.6694018448305101E-3</v>
      </c>
      <c r="E2702" s="2">
        <v>1.22656386893288E-3</v>
      </c>
      <c r="F2702" s="2">
        <v>5.0745075395856E-3</v>
      </c>
    </row>
    <row r="2703" spans="1:6" x14ac:dyDescent="0.25">
      <c r="A2703" s="1" t="str">
        <f t="shared" si="97"/>
        <v>12940</v>
      </c>
      <c r="B2703" s="1" t="str">
        <f>"70740"</f>
        <v>70740</v>
      </c>
      <c r="C2703" s="2">
        <v>8.7724950066165404E-4</v>
      </c>
      <c r="D2703" s="2">
        <v>1.1317978609020401E-4</v>
      </c>
      <c r="E2703" s="2">
        <v>8.7611704923777796E-5</v>
      </c>
      <c r="F2703" s="2">
        <v>7.9726398543161E-4</v>
      </c>
    </row>
    <row r="2704" spans="1:6" x14ac:dyDescent="0.25">
      <c r="A2704" s="1" t="str">
        <f t="shared" si="97"/>
        <v>12940</v>
      </c>
      <c r="B2704" s="1" t="str">
        <f>"70760"</f>
        <v>70760</v>
      </c>
      <c r="C2704" s="2">
        <v>8.3685637393627298E-3</v>
      </c>
      <c r="D2704" s="2">
        <v>1.04125403202987E-2</v>
      </c>
      <c r="E2704" s="2">
        <v>6.39565445943578E-3</v>
      </c>
      <c r="F2704" s="2">
        <v>8.4789802127517803E-3</v>
      </c>
    </row>
    <row r="2705" spans="1:6" x14ac:dyDescent="0.25">
      <c r="A2705" s="1" t="str">
        <f t="shared" si="97"/>
        <v>12940</v>
      </c>
      <c r="B2705" s="1" t="str">
        <f>"70807"</f>
        <v>70807</v>
      </c>
      <c r="C2705" s="2">
        <v>1.7720935534552201E-2</v>
      </c>
      <c r="D2705" s="2">
        <v>1.49114368173844E-2</v>
      </c>
      <c r="E2705" s="2">
        <v>1.86612931487646E-2</v>
      </c>
      <c r="F2705" s="2">
        <v>1.7524262142175E-2</v>
      </c>
    </row>
    <row r="2706" spans="1:6" x14ac:dyDescent="0.25">
      <c r="A2706" s="1" t="str">
        <f t="shared" si="97"/>
        <v>12940</v>
      </c>
      <c r="B2706" s="1" t="str">
        <f>"70753"</f>
        <v>70753</v>
      </c>
      <c r="C2706" s="2">
        <v>8.05384428573552E-4</v>
      </c>
      <c r="D2706" s="2">
        <v>7.0737366306377605E-4</v>
      </c>
      <c r="E2706" s="2">
        <v>0</v>
      </c>
      <c r="F2706" s="2">
        <v>7.7727686601967603E-4</v>
      </c>
    </row>
    <row r="2707" spans="1:6" x14ac:dyDescent="0.25">
      <c r="A2707" s="1" t="str">
        <f t="shared" si="97"/>
        <v>12940</v>
      </c>
      <c r="B2707" s="1" t="str">
        <f>"70778"</f>
        <v>70778</v>
      </c>
      <c r="C2707" s="2">
        <v>2.7234384215456399E-3</v>
      </c>
      <c r="D2707" s="2">
        <v>1.16009280742459E-3</v>
      </c>
      <c r="E2707" s="2">
        <v>1.75223409847555E-4</v>
      </c>
      <c r="F2707" s="2">
        <v>2.53614337426991E-3</v>
      </c>
    </row>
    <row r="2708" spans="1:6" x14ac:dyDescent="0.25">
      <c r="A2708" s="1" t="str">
        <f t="shared" si="97"/>
        <v>12940</v>
      </c>
      <c r="B2708" s="1" t="str">
        <f>"70801"</f>
        <v>70801</v>
      </c>
      <c r="C2708" s="2">
        <v>4.6340580967155101E-4</v>
      </c>
      <c r="D2708" s="2">
        <v>1.40625884217078E-2</v>
      </c>
      <c r="E2708" s="2">
        <v>5.4319257052742199E-3</v>
      </c>
      <c r="F2708" s="2">
        <v>1.65671012014479E-3</v>
      </c>
    </row>
    <row r="2709" spans="1:6" x14ac:dyDescent="0.25">
      <c r="A2709" s="1" t="str">
        <f t="shared" si="97"/>
        <v>12940</v>
      </c>
      <c r="B2709" s="1" t="str">
        <f>"70422"</f>
        <v>70422</v>
      </c>
      <c r="C2709" s="2">
        <v>3.1868442312171898E-3</v>
      </c>
      <c r="D2709" s="2">
        <v>1.16009280742459E-3</v>
      </c>
      <c r="E2709" s="2">
        <v>4.3805852461888898E-4</v>
      </c>
      <c r="F2709" s="2">
        <v>2.95809367296631E-3</v>
      </c>
    </row>
    <row r="2710" spans="1:6" x14ac:dyDescent="0.25">
      <c r="A2710" s="1" t="str">
        <f t="shared" si="97"/>
        <v>12940</v>
      </c>
      <c r="B2710" s="1" t="str">
        <f>"70718"</f>
        <v>70718</v>
      </c>
      <c r="C2710" s="2">
        <v>0</v>
      </c>
      <c r="D2710" s="2">
        <v>0</v>
      </c>
      <c r="E2710" s="2">
        <v>8.7611704923777796E-5</v>
      </c>
      <c r="F2710" s="2">
        <v>2.2207910457705001E-6</v>
      </c>
    </row>
    <row r="2711" spans="1:6" x14ac:dyDescent="0.25">
      <c r="A2711" s="1" t="str">
        <f t="shared" ref="A2711:A2742" si="98">"12940"</f>
        <v>12940</v>
      </c>
      <c r="B2711" s="1" t="str">
        <f>"70815"</f>
        <v>70815</v>
      </c>
      <c r="C2711" s="2">
        <v>3.11002294726094E-2</v>
      </c>
      <c r="D2711" s="2">
        <v>4.3234678286458002E-2</v>
      </c>
      <c r="E2711" s="2">
        <v>3.7673033117224398E-2</v>
      </c>
      <c r="F2711" s="2">
        <v>3.2219236492038401E-2</v>
      </c>
    </row>
    <row r="2712" spans="1:6" x14ac:dyDescent="0.25">
      <c r="A2712" s="1" t="str">
        <f t="shared" si="98"/>
        <v>12940</v>
      </c>
      <c r="B2712" s="1" t="str">
        <f>"70816"</f>
        <v>70816</v>
      </c>
      <c r="C2712" s="2">
        <v>5.3234671675744701E-2</v>
      </c>
      <c r="D2712" s="2">
        <v>7.8377001867466406E-2</v>
      </c>
      <c r="E2712" s="2">
        <v>0.11442088663045299</v>
      </c>
      <c r="F2712" s="2">
        <v>5.67589775478025E-2</v>
      </c>
    </row>
    <row r="2713" spans="1:6" x14ac:dyDescent="0.25">
      <c r="A2713" s="1" t="str">
        <f t="shared" si="98"/>
        <v>12940</v>
      </c>
      <c r="B2713" s="1" t="str">
        <f>"70819"</f>
        <v>70819</v>
      </c>
      <c r="C2713" s="2">
        <v>5.0008177749582402E-3</v>
      </c>
      <c r="D2713" s="2">
        <v>3.6783430479316302E-3</v>
      </c>
      <c r="E2713" s="2">
        <v>2.1026809181706602E-3</v>
      </c>
      <c r="F2713" s="2">
        <v>4.8235581514135296E-3</v>
      </c>
    </row>
    <row r="2714" spans="1:6" x14ac:dyDescent="0.25">
      <c r="A2714" s="1" t="str">
        <f t="shared" si="98"/>
        <v>12940</v>
      </c>
      <c r="B2714" s="1" t="str">
        <f>"70810"</f>
        <v>70810</v>
      </c>
      <c r="C2714" s="2">
        <v>4.9378738842327997E-2</v>
      </c>
      <c r="D2714" s="2">
        <v>3.6274121441910397E-2</v>
      </c>
      <c r="E2714" s="2">
        <v>7.8149640792009797E-2</v>
      </c>
      <c r="F2714" s="2">
        <v>4.90794821115281E-2</v>
      </c>
    </row>
    <row r="2715" spans="1:6" x14ac:dyDescent="0.25">
      <c r="A2715" s="1" t="str">
        <f t="shared" si="98"/>
        <v>12940</v>
      </c>
      <c r="B2715" s="1" t="str">
        <f>"70725"</f>
        <v>70725</v>
      </c>
      <c r="C2715" s="2">
        <v>1.3679144756080001E-3</v>
      </c>
      <c r="D2715" s="2">
        <v>4.2442419783826602E-4</v>
      </c>
      <c r="E2715" s="2">
        <v>0</v>
      </c>
      <c r="F2715" s="2">
        <v>1.25918852295187E-3</v>
      </c>
    </row>
    <row r="2716" spans="1:6" x14ac:dyDescent="0.25">
      <c r="A2716" s="1" t="str">
        <f t="shared" si="98"/>
        <v>12940</v>
      </c>
      <c r="B2716" s="1" t="str">
        <f>"70805"</f>
        <v>70805</v>
      </c>
      <c r="C2716" s="2">
        <v>3.05178745781024E-2</v>
      </c>
      <c r="D2716" s="2">
        <v>3.40671156131514E-2</v>
      </c>
      <c r="E2716" s="2">
        <v>2.82109689854564E-2</v>
      </c>
      <c r="F2716" s="2">
        <v>3.07379688645095E-2</v>
      </c>
    </row>
    <row r="2717" spans="1:6" x14ac:dyDescent="0.25">
      <c r="A2717" s="1" t="str">
        <f t="shared" si="98"/>
        <v>12940</v>
      </c>
      <c r="B2717" s="1" t="str">
        <f>"70806"</f>
        <v>70806</v>
      </c>
      <c r="C2717" s="2">
        <v>3.67552672141628E-2</v>
      </c>
      <c r="D2717" s="2">
        <v>7.8829721011827197E-2</v>
      </c>
      <c r="E2717" s="2">
        <v>8.6910811284387504E-2</v>
      </c>
      <c r="F2717" s="2">
        <v>4.1328921361788999E-2</v>
      </c>
    </row>
    <row r="2718" spans="1:6" x14ac:dyDescent="0.25">
      <c r="A2718" s="1" t="str">
        <f t="shared" si="98"/>
        <v>12940</v>
      </c>
      <c r="B2718" s="1" t="str">
        <f>"70777"</f>
        <v>70777</v>
      </c>
      <c r="C2718" s="2">
        <v>5.8978921230924703E-3</v>
      </c>
      <c r="D2718" s="2">
        <v>2.7163148661648998E-3</v>
      </c>
      <c r="E2718" s="2">
        <v>7.0089363939022204E-4</v>
      </c>
      <c r="F2718" s="2">
        <v>5.5164449576939299E-3</v>
      </c>
    </row>
    <row r="2719" spans="1:6" x14ac:dyDescent="0.25">
      <c r="A2719" s="1" t="str">
        <f t="shared" si="98"/>
        <v>12940</v>
      </c>
      <c r="B2719" s="1" t="str">
        <f>"70721"</f>
        <v>70721</v>
      </c>
      <c r="C2719" s="2">
        <v>6.0961405978182703E-4</v>
      </c>
      <c r="D2719" s="2">
        <v>3.3953935827061199E-4</v>
      </c>
      <c r="E2719" s="2">
        <v>2.1026809181706602E-3</v>
      </c>
      <c r="F2719" s="2">
        <v>6.2626307490728096E-4</v>
      </c>
    </row>
    <row r="2720" spans="1:6" x14ac:dyDescent="0.25">
      <c r="A2720" s="1" t="str">
        <f t="shared" si="98"/>
        <v>12940</v>
      </c>
      <c r="B2720" s="1" t="str">
        <f>"70301"</f>
        <v>70301</v>
      </c>
      <c r="C2720" s="2">
        <v>7.2112882681508799E-4</v>
      </c>
      <c r="D2720" s="2">
        <v>2.2635957218040801E-4</v>
      </c>
      <c r="E2720" s="2">
        <v>2.6283511477133301E-4</v>
      </c>
      <c r="F2720" s="2">
        <v>6.7067889582269203E-4</v>
      </c>
    </row>
    <row r="2721" spans="1:6" x14ac:dyDescent="0.25">
      <c r="A2721" s="1" t="str">
        <f t="shared" si="98"/>
        <v>12940</v>
      </c>
      <c r="B2721" s="1" t="str">
        <f>"70892"</f>
        <v>70892</v>
      </c>
      <c r="C2721" s="2">
        <v>2.8374312945129701E-3</v>
      </c>
      <c r="D2721" s="2">
        <v>3.5368683153188798E-3</v>
      </c>
      <c r="E2721" s="2">
        <v>1.75223409847555E-4</v>
      </c>
      <c r="F2721" s="2">
        <v>2.8248462102200798E-3</v>
      </c>
    </row>
    <row r="2722" spans="1:6" x14ac:dyDescent="0.25">
      <c r="A2722" s="1" t="str">
        <f t="shared" si="98"/>
        <v>12940</v>
      </c>
      <c r="B2722" s="1" t="str">
        <f>"70704"</f>
        <v>70704</v>
      </c>
      <c r="C2722" s="2">
        <v>1.64546234022411E-3</v>
      </c>
      <c r="D2722" s="2">
        <v>3.9895874596796999E-3</v>
      </c>
      <c r="E2722" s="2">
        <v>1.75223409847555E-4</v>
      </c>
      <c r="F2722" s="2">
        <v>1.7921783739367899E-3</v>
      </c>
    </row>
    <row r="2723" spans="1:6" x14ac:dyDescent="0.25">
      <c r="A2723" s="1" t="str">
        <f t="shared" si="98"/>
        <v>12940</v>
      </c>
      <c r="B2723" s="1" t="str">
        <f>"70747"</f>
        <v>70747</v>
      </c>
      <c r="C2723" s="2">
        <v>0</v>
      </c>
      <c r="D2723" s="2">
        <v>5.6589893045102098E-5</v>
      </c>
      <c r="E2723" s="2">
        <v>0</v>
      </c>
      <c r="F2723" s="2">
        <v>4.4415820915410003E-6</v>
      </c>
    </row>
    <row r="2724" spans="1:6" x14ac:dyDescent="0.25">
      <c r="A2724" s="1" t="str">
        <f t="shared" si="98"/>
        <v>12940</v>
      </c>
      <c r="B2724" s="1" t="str">
        <f>"70893"</f>
        <v>70893</v>
      </c>
      <c r="C2724" s="2">
        <v>0</v>
      </c>
      <c r="D2724" s="2">
        <v>0</v>
      </c>
      <c r="E2724" s="2">
        <v>8.7611704923777796E-5</v>
      </c>
      <c r="F2724" s="2">
        <v>2.2207910457705001E-6</v>
      </c>
    </row>
    <row r="2725" spans="1:6" x14ac:dyDescent="0.25">
      <c r="A2725" s="1" t="str">
        <f t="shared" si="98"/>
        <v>12940</v>
      </c>
      <c r="B2725" s="1" t="str">
        <f>"70803"</f>
        <v>70803</v>
      </c>
      <c r="C2725" s="2">
        <v>0</v>
      </c>
      <c r="D2725" s="2">
        <v>5.6589893045102098E-5</v>
      </c>
      <c r="E2725" s="2">
        <v>1.75223409847555E-4</v>
      </c>
      <c r="F2725" s="2">
        <v>8.8831641830820107E-6</v>
      </c>
    </row>
    <row r="2726" spans="1:6" x14ac:dyDescent="0.25">
      <c r="A2726" s="1" t="str">
        <f t="shared" si="98"/>
        <v>12940</v>
      </c>
      <c r="B2726" s="1" t="str">
        <f>"70811"</f>
        <v>70811</v>
      </c>
      <c r="C2726" s="2">
        <v>1.41375943538834E-2</v>
      </c>
      <c r="D2726" s="2">
        <v>7.1869164167279696E-3</v>
      </c>
      <c r="E2726" s="2">
        <v>9.7248992465393293E-3</v>
      </c>
      <c r="F2726" s="2">
        <v>1.34802016478269E-2</v>
      </c>
    </row>
    <row r="2727" spans="1:6" x14ac:dyDescent="0.25">
      <c r="A2727" s="1" t="str">
        <f t="shared" si="98"/>
        <v>12940</v>
      </c>
      <c r="B2727" s="1" t="str">
        <f>"70710"</f>
        <v>70710</v>
      </c>
      <c r="C2727" s="2">
        <v>7.1270326663924197E-3</v>
      </c>
      <c r="D2727" s="2">
        <v>2.2918906683266301E-3</v>
      </c>
      <c r="E2727" s="2">
        <v>4.0301384264937699E-3</v>
      </c>
      <c r="F2727" s="2">
        <v>6.6690355104488197E-3</v>
      </c>
    </row>
    <row r="2728" spans="1:6" x14ac:dyDescent="0.25">
      <c r="A2728" s="1" t="str">
        <f t="shared" si="98"/>
        <v>12940</v>
      </c>
      <c r="B2728" s="1" t="str">
        <f>"70785"</f>
        <v>70785</v>
      </c>
      <c r="C2728" s="2">
        <v>2.6852755901609199E-2</v>
      </c>
      <c r="D2728" s="2">
        <v>1.7740931469639499E-2</v>
      </c>
      <c r="E2728" s="2">
        <v>1.29665323287191E-2</v>
      </c>
      <c r="F2728" s="2">
        <v>2.57856048324413E-2</v>
      </c>
    </row>
    <row r="2729" spans="1:6" x14ac:dyDescent="0.25">
      <c r="A2729" s="1" t="str">
        <f t="shared" si="98"/>
        <v>12940</v>
      </c>
      <c r="B2729" s="1" t="str">
        <f>"70776"</f>
        <v>70776</v>
      </c>
      <c r="C2729" s="2">
        <v>3.6378595112183799E-3</v>
      </c>
      <c r="D2729" s="2">
        <v>2.7729047592100001E-3</v>
      </c>
      <c r="E2729" s="2">
        <v>7.0089363939022204E-4</v>
      </c>
      <c r="F2729" s="2">
        <v>3.4955251060427698E-3</v>
      </c>
    </row>
    <row r="2730" spans="1:6" x14ac:dyDescent="0.25">
      <c r="A2730" s="1" t="str">
        <f t="shared" si="98"/>
        <v>12940</v>
      </c>
      <c r="B2730" s="1" t="str">
        <f>"70772"</f>
        <v>70772</v>
      </c>
      <c r="C2730" s="2">
        <v>1.93292262857652E-4</v>
      </c>
      <c r="D2730" s="2">
        <v>2.8294946522551002E-5</v>
      </c>
      <c r="E2730" s="2">
        <v>0</v>
      </c>
      <c r="F2730" s="2">
        <v>1.7544249261586899E-4</v>
      </c>
    </row>
    <row r="2731" spans="1:6" x14ac:dyDescent="0.25">
      <c r="A2731" s="1" t="str">
        <f t="shared" si="98"/>
        <v>12940</v>
      </c>
      <c r="B2731" s="1" t="str">
        <f>"70339"</f>
        <v>70339</v>
      </c>
      <c r="C2731" s="2">
        <v>6.3266044496870103E-3</v>
      </c>
      <c r="D2731" s="2">
        <v>1.86746647048837E-3</v>
      </c>
      <c r="E2731" s="2">
        <v>2.1902926230944401E-3</v>
      </c>
      <c r="F2731" s="2">
        <v>5.8717715250172099E-3</v>
      </c>
    </row>
    <row r="2732" spans="1:6" x14ac:dyDescent="0.25">
      <c r="A2732" s="1" t="str">
        <f t="shared" si="98"/>
        <v>12940</v>
      </c>
      <c r="B2732" s="1" t="str">
        <f>"70436"</f>
        <v>70436</v>
      </c>
      <c r="C2732" s="2">
        <v>2.7259165274797101E-5</v>
      </c>
      <c r="D2732" s="2">
        <v>0</v>
      </c>
      <c r="E2732" s="2">
        <v>0</v>
      </c>
      <c r="F2732" s="2">
        <v>2.4428701503475501E-5</v>
      </c>
    </row>
    <row r="2733" spans="1:6" x14ac:dyDescent="0.25">
      <c r="A2733" s="1" t="str">
        <f t="shared" si="98"/>
        <v>12940</v>
      </c>
      <c r="B2733" s="1" t="str">
        <f>"70804"</f>
        <v>70804</v>
      </c>
      <c r="C2733" s="2">
        <v>0</v>
      </c>
      <c r="D2733" s="2">
        <v>0</v>
      </c>
      <c r="E2733" s="2">
        <v>1.75223409847555E-4</v>
      </c>
      <c r="F2733" s="2">
        <v>4.4415820915410003E-6</v>
      </c>
    </row>
    <row r="2734" spans="1:6" x14ac:dyDescent="0.25">
      <c r="A2734" s="1" t="str">
        <f t="shared" si="98"/>
        <v>12940</v>
      </c>
      <c r="B2734" s="1" t="str">
        <f>"70825"</f>
        <v>70825</v>
      </c>
      <c r="C2734" s="2">
        <v>0</v>
      </c>
      <c r="D2734" s="2">
        <v>1.21668270046969E-3</v>
      </c>
      <c r="E2734" s="2">
        <v>2.6283511477133301E-4</v>
      </c>
      <c r="F2734" s="2">
        <v>1.02156388105443E-4</v>
      </c>
    </row>
    <row r="2735" spans="1:6" x14ac:dyDescent="0.25">
      <c r="A2735" s="1" t="str">
        <f t="shared" si="98"/>
        <v>12940</v>
      </c>
      <c r="B2735" s="1" t="str">
        <f>"70780"</f>
        <v>70780</v>
      </c>
      <c r="C2735" s="2">
        <v>8.4999033538685697E-4</v>
      </c>
      <c r="D2735" s="2">
        <v>2.2635957218040801E-4</v>
      </c>
      <c r="E2735" s="2">
        <v>0</v>
      </c>
      <c r="F2735" s="2">
        <v>7.7949765706544598E-4</v>
      </c>
    </row>
    <row r="2736" spans="1:6" x14ac:dyDescent="0.25">
      <c r="A2736" s="1" t="str">
        <f t="shared" si="98"/>
        <v>12940</v>
      </c>
      <c r="B2736" s="1" t="str">
        <f>"70466"</f>
        <v>70466</v>
      </c>
      <c r="C2736" s="2">
        <v>6.0465784791368196E-4</v>
      </c>
      <c r="D2736" s="2">
        <v>8.4884839567653201E-5</v>
      </c>
      <c r="E2736" s="2">
        <v>0</v>
      </c>
      <c r="F2736" s="2">
        <v>5.4853538830531396E-4</v>
      </c>
    </row>
    <row r="2737" spans="1:6" x14ac:dyDescent="0.25">
      <c r="A2737" s="1" t="str">
        <f t="shared" si="98"/>
        <v>12940</v>
      </c>
      <c r="B2737" s="1" t="str">
        <f>"70836"</f>
        <v>70836</v>
      </c>
      <c r="C2737" s="2">
        <v>1.3505677340694901E-3</v>
      </c>
      <c r="D2737" s="2">
        <v>6.5644275932318398E-3</v>
      </c>
      <c r="E2737" s="2">
        <v>1.31417557385666E-3</v>
      </c>
      <c r="F2737" s="2">
        <v>1.7588665082502301E-3</v>
      </c>
    </row>
    <row r="2738" spans="1:6" x14ac:dyDescent="0.25">
      <c r="A2738" s="1" t="str">
        <f t="shared" si="98"/>
        <v>12940</v>
      </c>
      <c r="B2738" s="1" t="str">
        <f>"70729"</f>
        <v>70729</v>
      </c>
      <c r="C2738" s="2">
        <v>9.6646131428826301E-4</v>
      </c>
      <c r="D2738" s="2">
        <v>6.7907871654122496E-4</v>
      </c>
      <c r="E2738" s="2">
        <v>2.6283511477133301E-4</v>
      </c>
      <c r="F2738" s="2">
        <v>9.2606986608629899E-4</v>
      </c>
    </row>
    <row r="2739" spans="1:6" x14ac:dyDescent="0.25">
      <c r="A2739" s="1" t="str">
        <f t="shared" si="98"/>
        <v>12940</v>
      </c>
      <c r="B2739" s="1" t="str">
        <f>"70744"</f>
        <v>70744</v>
      </c>
      <c r="C2739" s="2">
        <v>5.2783656395743598E-3</v>
      </c>
      <c r="D2739" s="2">
        <v>7.3566860958632703E-4</v>
      </c>
      <c r="E2739" s="2">
        <v>1.6646223935517701E-3</v>
      </c>
      <c r="F2739" s="2">
        <v>4.8302205245508399E-3</v>
      </c>
    </row>
    <row r="2740" spans="1:6" x14ac:dyDescent="0.25">
      <c r="A2740" s="1" t="str">
        <f t="shared" si="98"/>
        <v>12940</v>
      </c>
      <c r="B2740" s="1" t="str">
        <f>"70754"</f>
        <v>70754</v>
      </c>
      <c r="C2740" s="2">
        <v>1.18503025767345E-2</v>
      </c>
      <c r="D2740" s="2">
        <v>3.5085733687963299E-3</v>
      </c>
      <c r="E2740" s="2">
        <v>2.8911862624846599E-3</v>
      </c>
      <c r="F2740" s="2">
        <v>1.0968486975060501E-2</v>
      </c>
    </row>
    <row r="2741" spans="1:6" x14ac:dyDescent="0.25">
      <c r="A2741" s="1" t="str">
        <f t="shared" si="98"/>
        <v>12940</v>
      </c>
      <c r="B2741" s="1" t="str">
        <f>"70757"</f>
        <v>70757</v>
      </c>
      <c r="C2741" s="2">
        <v>1.880882403961E-3</v>
      </c>
      <c r="D2741" s="2">
        <v>2.8294946522550998E-4</v>
      </c>
      <c r="E2741" s="2">
        <v>5.2567022954266602E-4</v>
      </c>
      <c r="F2741" s="2">
        <v>1.7211130604721399E-3</v>
      </c>
    </row>
    <row r="2742" spans="1:6" x14ac:dyDescent="0.25">
      <c r="A2742" s="1" t="str">
        <f t="shared" si="98"/>
        <v>12940</v>
      </c>
      <c r="B2742" s="1" t="str">
        <f>"70791"</f>
        <v>70791</v>
      </c>
      <c r="C2742" s="2">
        <v>3.30133272537134E-2</v>
      </c>
      <c r="D2742" s="2">
        <v>2.7332918340784301E-2</v>
      </c>
      <c r="E2742" s="2">
        <v>1.3404590853338E-2</v>
      </c>
      <c r="F2742" s="2">
        <v>3.2070443491971801E-2</v>
      </c>
    </row>
    <row r="2743" spans="1:6" x14ac:dyDescent="0.25">
      <c r="A2743" s="1" t="str">
        <f t="shared" ref="A2743:A2774" si="99">"12940"</f>
        <v>12940</v>
      </c>
      <c r="B2743" s="1" t="str">
        <f>"70739"</f>
        <v>70739</v>
      </c>
      <c r="C2743" s="2">
        <v>1.30472277428915E-2</v>
      </c>
      <c r="D2743" s="2">
        <v>4.3857167109954097E-3</v>
      </c>
      <c r="E2743" s="2">
        <v>3.2416330821797702E-3</v>
      </c>
      <c r="F2743" s="2">
        <v>1.2118856736769599E-2</v>
      </c>
    </row>
    <row r="2744" spans="1:6" x14ac:dyDescent="0.25">
      <c r="A2744" s="1" t="str">
        <f t="shared" si="99"/>
        <v>12940</v>
      </c>
      <c r="B2744" s="1" t="str">
        <f>"70706"</f>
        <v>70706</v>
      </c>
      <c r="C2744" s="2">
        <v>2.2255869393904799E-2</v>
      </c>
      <c r="D2744" s="2">
        <v>6.5361326467092903E-3</v>
      </c>
      <c r="E2744" s="2">
        <v>4.1177501314175503E-3</v>
      </c>
      <c r="F2744" s="2">
        <v>2.0562304292789001E-2</v>
      </c>
    </row>
    <row r="2745" spans="1:6" x14ac:dyDescent="0.25">
      <c r="A2745" s="1" t="str">
        <f t="shared" si="99"/>
        <v>12940</v>
      </c>
      <c r="B2745" s="1" t="str">
        <f>"70802"</f>
        <v>70802</v>
      </c>
      <c r="C2745" s="2">
        <v>3.59251017262485E-2</v>
      </c>
      <c r="D2745" s="2">
        <v>4.1621866334672603E-2</v>
      </c>
      <c r="E2745" s="2">
        <v>5.0727177150867303E-2</v>
      </c>
      <c r="F2745" s="2">
        <v>3.6747429434364501E-2</v>
      </c>
    </row>
    <row r="2746" spans="1:6" x14ac:dyDescent="0.25">
      <c r="A2746" s="1" t="str">
        <f t="shared" si="99"/>
        <v>12940</v>
      </c>
      <c r="B2746" s="1" t="str">
        <f>"70732"</f>
        <v>70732</v>
      </c>
      <c r="C2746" s="2">
        <v>4.78274445275986E-4</v>
      </c>
      <c r="D2746" s="2">
        <v>5.6589893045102098E-5</v>
      </c>
      <c r="E2746" s="2">
        <v>8.7611704923777796E-5</v>
      </c>
      <c r="F2746" s="2">
        <v>4.3527504497101801E-4</v>
      </c>
    </row>
    <row r="2747" spans="1:6" x14ac:dyDescent="0.25">
      <c r="A2747" s="1" t="str">
        <f t="shared" si="99"/>
        <v>12940</v>
      </c>
      <c r="B2747" s="1" t="str">
        <f>"70748"</f>
        <v>70748</v>
      </c>
      <c r="C2747" s="2">
        <v>4.1681741811098903E-3</v>
      </c>
      <c r="D2747" s="2">
        <v>1.5562220587403001E-3</v>
      </c>
      <c r="E2747" s="2">
        <v>8.7611704923777796E-4</v>
      </c>
      <c r="F2747" s="2">
        <v>3.8797219569610599E-3</v>
      </c>
    </row>
    <row r="2748" spans="1:6" x14ac:dyDescent="0.25">
      <c r="A2748" s="1" t="str">
        <f t="shared" si="99"/>
        <v>12940</v>
      </c>
      <c r="B2748" s="1" t="str">
        <f>"70759"</f>
        <v>70759</v>
      </c>
      <c r="C2748" s="2">
        <v>1.05815123384894E-3</v>
      </c>
      <c r="D2748" s="2">
        <v>2.5465451870295899E-4</v>
      </c>
      <c r="E2748" s="2">
        <v>0</v>
      </c>
      <c r="F2748" s="2">
        <v>9.6826489595593904E-4</v>
      </c>
    </row>
    <row r="2749" spans="1:6" x14ac:dyDescent="0.25">
      <c r="A2749" s="1" t="str">
        <f t="shared" si="99"/>
        <v>12940</v>
      </c>
      <c r="B2749" s="1" t="str">
        <f>"70443"</f>
        <v>70443</v>
      </c>
      <c r="C2749" s="2">
        <v>3.3454430109978298E-3</v>
      </c>
      <c r="D2749" s="2">
        <v>2.2635957218040801E-4</v>
      </c>
      <c r="E2749" s="2">
        <v>3.5044681969511102E-4</v>
      </c>
      <c r="F2749" s="2">
        <v>3.0247174043394201E-3</v>
      </c>
    </row>
    <row r="2750" spans="1:6" x14ac:dyDescent="0.25">
      <c r="A2750" s="1" t="str">
        <f t="shared" si="99"/>
        <v>12940</v>
      </c>
      <c r="B2750" s="1" t="str">
        <f>"70341"</f>
        <v>70341</v>
      </c>
      <c r="C2750" s="2">
        <v>2.5053650993472599E-3</v>
      </c>
      <c r="D2750" s="2">
        <v>8.7714334219908302E-4</v>
      </c>
      <c r="E2750" s="2">
        <v>9.63728754161555E-4</v>
      </c>
      <c r="F2750" s="2">
        <v>2.3384929711963401E-3</v>
      </c>
    </row>
    <row r="2751" spans="1:6" x14ac:dyDescent="0.25">
      <c r="A2751" s="1" t="str">
        <f t="shared" si="99"/>
        <v>12940</v>
      </c>
      <c r="B2751" s="1" t="str">
        <f>"70449"</f>
        <v>70449</v>
      </c>
      <c r="C2751" s="2">
        <v>4.7133574866058299E-3</v>
      </c>
      <c r="D2751" s="2">
        <v>1.8957614170109201E-3</v>
      </c>
      <c r="E2751" s="2">
        <v>1.6646223935517701E-3</v>
      </c>
      <c r="F2751" s="2">
        <v>4.4149325989917597E-3</v>
      </c>
    </row>
    <row r="2752" spans="1:6" x14ac:dyDescent="0.25">
      <c r="A2752" s="1" t="str">
        <f t="shared" si="99"/>
        <v>12940</v>
      </c>
      <c r="B2752" s="1" t="str">
        <f>"70814"</f>
        <v>70814</v>
      </c>
      <c r="C2752" s="2">
        <v>1.4385404947290599E-2</v>
      </c>
      <c r="D2752" s="2">
        <v>2.02874766566691E-2</v>
      </c>
      <c r="E2752" s="2">
        <v>9.9001226563868901E-3</v>
      </c>
      <c r="F2752" s="2">
        <v>1.4734948588687201E-2</v>
      </c>
    </row>
    <row r="2753" spans="1:6" x14ac:dyDescent="0.25">
      <c r="A2753" s="1" t="str">
        <f t="shared" si="99"/>
        <v>12940</v>
      </c>
      <c r="B2753" s="1" t="str">
        <f>"70835"</f>
        <v>70835</v>
      </c>
      <c r="C2753" s="2">
        <v>2.51032131121541E-3</v>
      </c>
      <c r="D2753" s="2">
        <v>8.0640597589270498E-3</v>
      </c>
      <c r="E2753" s="2">
        <v>1.75223409847555E-4</v>
      </c>
      <c r="F2753" s="2">
        <v>2.8870283595016501E-3</v>
      </c>
    </row>
    <row r="2754" spans="1:6" x14ac:dyDescent="0.25">
      <c r="A2754" s="1" t="str">
        <f t="shared" si="99"/>
        <v>12940</v>
      </c>
      <c r="B2754" s="1" t="str">
        <f>"70462"</f>
        <v>70462</v>
      </c>
      <c r="C2754" s="2">
        <v>6.8717877551829499E-3</v>
      </c>
      <c r="D2754" s="2">
        <v>2.0655310961462201E-3</v>
      </c>
      <c r="E2754" s="2">
        <v>1.83984580339933E-3</v>
      </c>
      <c r="F2754" s="2">
        <v>6.3670079282240298E-3</v>
      </c>
    </row>
    <row r="2755" spans="1:6" x14ac:dyDescent="0.25">
      <c r="A2755" s="1" t="str">
        <f t="shared" si="99"/>
        <v>12940</v>
      </c>
      <c r="B2755" s="1" t="str">
        <f>"70715"</f>
        <v>70715</v>
      </c>
      <c r="C2755" s="2">
        <v>1.3406553103332E-3</v>
      </c>
      <c r="D2755" s="2">
        <v>5.6589893045102104E-4</v>
      </c>
      <c r="E2755" s="2">
        <v>0</v>
      </c>
      <c r="F2755" s="2">
        <v>1.2458637766772499E-3</v>
      </c>
    </row>
    <row r="2756" spans="1:6" x14ac:dyDescent="0.25">
      <c r="A2756" s="1" t="str">
        <f t="shared" si="99"/>
        <v>12940</v>
      </c>
      <c r="B2756" s="1" t="str">
        <f>"70726"</f>
        <v>70726</v>
      </c>
      <c r="C2756" s="2">
        <v>6.3469249183463999E-2</v>
      </c>
      <c r="D2756" s="2">
        <v>4.3772282270386501E-2</v>
      </c>
      <c r="E2756" s="2">
        <v>4.2141230068337102E-2</v>
      </c>
      <c r="F2756" s="2">
        <v>6.1382664505096697E-2</v>
      </c>
    </row>
    <row r="2757" spans="1:6" x14ac:dyDescent="0.25">
      <c r="A2757" s="1" t="str">
        <f t="shared" si="99"/>
        <v>12940</v>
      </c>
      <c r="B2757" s="1" t="str">
        <f>"70719"</f>
        <v>70719</v>
      </c>
      <c r="C2757" s="2">
        <v>3.9649694945159504E-3</v>
      </c>
      <c r="D2757" s="2">
        <v>1.75428668439816E-3</v>
      </c>
      <c r="E2757" s="2">
        <v>2.1902926230944401E-3</v>
      </c>
      <c r="F2757" s="2">
        <v>3.7464744942148302E-3</v>
      </c>
    </row>
    <row r="2758" spans="1:6" x14ac:dyDescent="0.25">
      <c r="A2758" s="1" t="str">
        <f t="shared" si="99"/>
        <v>12940</v>
      </c>
      <c r="B2758" s="1" t="str">
        <f>"70786"</f>
        <v>70786</v>
      </c>
      <c r="C2758" s="2">
        <v>0</v>
      </c>
      <c r="D2758" s="2">
        <v>2.8294946522551002E-5</v>
      </c>
      <c r="E2758" s="2">
        <v>0</v>
      </c>
      <c r="F2758" s="2">
        <v>2.2207910457705001E-6</v>
      </c>
    </row>
    <row r="2759" spans="1:6" x14ac:dyDescent="0.25">
      <c r="A2759" s="1" t="str">
        <f t="shared" si="99"/>
        <v>12940</v>
      </c>
      <c r="B2759" s="1" t="str">
        <f>"70773"</f>
        <v>70773</v>
      </c>
      <c r="C2759" s="2">
        <v>1.3381772043991299E-4</v>
      </c>
      <c r="D2759" s="2">
        <v>3.6783430479316297E-4</v>
      </c>
      <c r="E2759" s="2">
        <v>0</v>
      </c>
      <c r="F2759" s="2">
        <v>1.4879300006662299E-4</v>
      </c>
    </row>
    <row r="2760" spans="1:6" x14ac:dyDescent="0.25">
      <c r="A2760" s="1" t="str">
        <f t="shared" si="99"/>
        <v>12940</v>
      </c>
      <c r="B2760" s="1" t="str">
        <f>"70827"</f>
        <v>70827</v>
      </c>
      <c r="C2760" s="2">
        <v>0</v>
      </c>
      <c r="D2760" s="2">
        <v>3.9612925131571498E-4</v>
      </c>
      <c r="E2760" s="2">
        <v>3.5044681969511102E-4</v>
      </c>
      <c r="F2760" s="2">
        <v>3.9974238823869E-5</v>
      </c>
    </row>
    <row r="2761" spans="1:6" x14ac:dyDescent="0.25">
      <c r="A2761" s="1" t="str">
        <f t="shared" si="99"/>
        <v>12940</v>
      </c>
      <c r="B2761" s="1" t="str">
        <f>"70896"</f>
        <v>70896</v>
      </c>
      <c r="C2761" s="2">
        <v>2.7184822096774901E-3</v>
      </c>
      <c r="D2761" s="2">
        <v>1.0299360534208501E-2</v>
      </c>
      <c r="E2761" s="2">
        <v>1.75223409847555E-4</v>
      </c>
      <c r="F2761" s="2">
        <v>3.2490172999622398E-3</v>
      </c>
    </row>
    <row r="2762" spans="1:6" x14ac:dyDescent="0.25">
      <c r="A2762" s="1" t="str">
        <f t="shared" si="99"/>
        <v>12940</v>
      </c>
      <c r="B2762" s="1" t="str">
        <f>"70809"</f>
        <v>70809</v>
      </c>
      <c r="C2762" s="2">
        <v>3.5191582369763101E-2</v>
      </c>
      <c r="D2762" s="2">
        <v>8.0584007696225396E-2</v>
      </c>
      <c r="E2762" s="2">
        <v>0.10259330646574299</v>
      </c>
      <c r="F2762" s="2">
        <v>4.0462812853938497E-2</v>
      </c>
    </row>
    <row r="2763" spans="1:6" x14ac:dyDescent="0.25">
      <c r="A2763" s="1" t="str">
        <f t="shared" si="99"/>
        <v>12940</v>
      </c>
      <c r="B2763" s="1" t="str">
        <f>"70818"</f>
        <v>70818</v>
      </c>
      <c r="C2763" s="2">
        <v>1.1277860105963799E-2</v>
      </c>
      <c r="D2763" s="2">
        <v>9.4222171920095004E-3</v>
      </c>
      <c r="E2763" s="2">
        <v>1.38426493779568E-2</v>
      </c>
      <c r="F2763" s="2">
        <v>1.11972284527748E-2</v>
      </c>
    </row>
    <row r="2764" spans="1:6" x14ac:dyDescent="0.25">
      <c r="A2764" s="1" t="str">
        <f t="shared" si="99"/>
        <v>12940</v>
      </c>
      <c r="B2764" s="1" t="str">
        <f>"70895"</f>
        <v>70895</v>
      </c>
      <c r="C2764" s="2">
        <v>3.8906263164937699E-3</v>
      </c>
      <c r="D2764" s="2">
        <v>1.1685812913813501E-2</v>
      </c>
      <c r="E2764" s="2">
        <v>1.75223409847555E-4</v>
      </c>
      <c r="F2764" s="2">
        <v>4.4082702258544399E-3</v>
      </c>
    </row>
    <row r="2765" spans="1:6" x14ac:dyDescent="0.25">
      <c r="A2765" s="1" t="str">
        <f t="shared" si="99"/>
        <v>12940</v>
      </c>
      <c r="B2765" s="1" t="str">
        <f>"70730"</f>
        <v>70730</v>
      </c>
      <c r="C2765" s="2">
        <v>4.1409150158350904E-3</v>
      </c>
      <c r="D2765" s="2">
        <v>5.6589893045102104E-4</v>
      </c>
      <c r="E2765" s="2">
        <v>0</v>
      </c>
      <c r="F2765" s="2">
        <v>3.7553576583979199E-3</v>
      </c>
    </row>
    <row r="2766" spans="1:6" x14ac:dyDescent="0.25">
      <c r="A2766" s="1" t="str">
        <f t="shared" si="99"/>
        <v>12940</v>
      </c>
      <c r="B2766" s="1" t="str">
        <f>"70733"</f>
        <v>70733</v>
      </c>
      <c r="C2766" s="2">
        <v>2.0642622430823601E-3</v>
      </c>
      <c r="D2766" s="2">
        <v>4.8101409088336798E-4</v>
      </c>
      <c r="E2766" s="2">
        <v>1.75223409847555E-4</v>
      </c>
      <c r="F2766" s="2">
        <v>1.8921139709964601E-3</v>
      </c>
    </row>
    <row r="2767" spans="1:6" x14ac:dyDescent="0.25">
      <c r="A2767" s="1" t="str">
        <f t="shared" si="99"/>
        <v>12940</v>
      </c>
      <c r="B2767" s="1" t="str">
        <f>"70752"</f>
        <v>70752</v>
      </c>
      <c r="C2767" s="2">
        <v>7.9299389890319003E-4</v>
      </c>
      <c r="D2767" s="2">
        <v>1.7259917378756101E-3</v>
      </c>
      <c r="E2767" s="2">
        <v>0</v>
      </c>
      <c r="F2767" s="2">
        <v>8.4612138843856096E-4</v>
      </c>
    </row>
    <row r="2768" spans="1:6" x14ac:dyDescent="0.25">
      <c r="A2768" s="1" t="str">
        <f t="shared" si="99"/>
        <v>12940</v>
      </c>
      <c r="B2768" s="1" t="str">
        <f>"70346"</f>
        <v>70346</v>
      </c>
      <c r="C2768" s="2">
        <v>1.1612404407063501E-2</v>
      </c>
      <c r="D2768" s="2">
        <v>1.11765038764076E-2</v>
      </c>
      <c r="E2768" s="2">
        <v>1.15647450499386E-2</v>
      </c>
      <c r="F2768" s="2">
        <v>1.15769837216016E-2</v>
      </c>
    </row>
    <row r="2769" spans="1:6" x14ac:dyDescent="0.25">
      <c r="A2769" s="1" t="str">
        <f t="shared" si="99"/>
        <v>12940</v>
      </c>
      <c r="B2769" s="1" t="str">
        <f>"70390"</f>
        <v>70390</v>
      </c>
      <c r="C2769" s="2">
        <v>6.0267536316642402E-3</v>
      </c>
      <c r="D2769" s="2">
        <v>2.5465451870295901E-3</v>
      </c>
      <c r="E2769" s="2">
        <v>1.6646223935517701E-3</v>
      </c>
      <c r="F2769" s="2">
        <v>5.6430300473028399E-3</v>
      </c>
    </row>
    <row r="2770" spans="1:6" x14ac:dyDescent="0.25">
      <c r="A2770" s="1" t="str">
        <f t="shared" si="99"/>
        <v>12940</v>
      </c>
      <c r="B2770" s="1" t="str">
        <f>"70391"</f>
        <v>70391</v>
      </c>
      <c r="C2770" s="2">
        <v>2.47810593407246E-6</v>
      </c>
      <c r="D2770" s="2">
        <v>0</v>
      </c>
      <c r="E2770" s="2">
        <v>8.7611704923777796E-5</v>
      </c>
      <c r="F2770" s="2">
        <v>4.4415820915410003E-6</v>
      </c>
    </row>
    <row r="2771" spans="1:6" x14ac:dyDescent="0.25">
      <c r="A2771" s="1" t="str">
        <f t="shared" si="99"/>
        <v>12940</v>
      </c>
      <c r="B2771" s="1" t="str">
        <f>"70712"</f>
        <v>70712</v>
      </c>
      <c r="C2771" s="2">
        <v>0</v>
      </c>
      <c r="D2771" s="2">
        <v>1.69769679135306E-4</v>
      </c>
      <c r="E2771" s="2">
        <v>1.75223409847555E-4</v>
      </c>
      <c r="F2771" s="2">
        <v>1.7766328366164001E-5</v>
      </c>
    </row>
    <row r="2772" spans="1:6" x14ac:dyDescent="0.25">
      <c r="A2772" s="1" t="str">
        <f t="shared" si="99"/>
        <v>12940</v>
      </c>
      <c r="B2772" s="1" t="str">
        <f>"70874"</f>
        <v>70874</v>
      </c>
      <c r="C2772" s="2">
        <v>3.1224134769313101E-3</v>
      </c>
      <c r="D2772" s="2">
        <v>7.3566860958632699E-3</v>
      </c>
      <c r="E2772" s="2">
        <v>1.75223409847555E-4</v>
      </c>
      <c r="F2772" s="2">
        <v>3.3800439716627001E-3</v>
      </c>
    </row>
    <row r="2773" spans="1:6" x14ac:dyDescent="0.25">
      <c r="A2773" s="1" t="str">
        <f t="shared" si="99"/>
        <v>12940</v>
      </c>
      <c r="B2773" s="1" t="str">
        <f>"70817"</f>
        <v>70817</v>
      </c>
      <c r="C2773" s="2">
        <v>3.8232218350869998E-2</v>
      </c>
      <c r="D2773" s="2">
        <v>2.8408126308641202E-2</v>
      </c>
      <c r="E2773" s="2">
        <v>2.6809181706676E-2</v>
      </c>
      <c r="F2773" s="2">
        <v>3.7171600524106597E-2</v>
      </c>
    </row>
    <row r="2774" spans="1:6" x14ac:dyDescent="0.25">
      <c r="A2774" s="1" t="str">
        <f t="shared" si="99"/>
        <v>12940</v>
      </c>
      <c r="B2774" s="1" t="str">
        <f>"70820"</f>
        <v>70820</v>
      </c>
      <c r="C2774" s="2">
        <v>3.0389013069530599E-2</v>
      </c>
      <c r="D2774" s="2">
        <v>7.7811102937015396E-3</v>
      </c>
      <c r="E2774" s="2">
        <v>9.7862274399859797E-2</v>
      </c>
      <c r="F2774" s="2">
        <v>3.03249017299962E-2</v>
      </c>
    </row>
    <row r="2775" spans="1:6" x14ac:dyDescent="0.25">
      <c r="A2775" s="1" t="str">
        <f t="shared" ref="A2775:A2789" si="100">"12940"</f>
        <v>12940</v>
      </c>
      <c r="B2775" s="1" t="str">
        <f>"70393"</f>
        <v>70393</v>
      </c>
      <c r="C2775" s="2">
        <v>2.8993839428647798E-4</v>
      </c>
      <c r="D2775" s="2">
        <v>5.6589893045102098E-5</v>
      </c>
      <c r="E2775" s="2">
        <v>8.7611704923777796E-5</v>
      </c>
      <c r="F2775" s="2">
        <v>2.6649492549246E-4</v>
      </c>
    </row>
    <row r="2776" spans="1:6" x14ac:dyDescent="0.25">
      <c r="A2776" s="1" t="str">
        <f t="shared" si="100"/>
        <v>12940</v>
      </c>
      <c r="B2776" s="1" t="str">
        <f>"70762"</f>
        <v>70762</v>
      </c>
      <c r="C2776" s="2">
        <v>1.25144349670659E-3</v>
      </c>
      <c r="D2776" s="2">
        <v>5.6589893045102098E-5</v>
      </c>
      <c r="E2776" s="2">
        <v>4.3805852461888898E-4</v>
      </c>
      <c r="F2776" s="2">
        <v>1.13704501543449E-3</v>
      </c>
    </row>
    <row r="2777" spans="1:6" x14ac:dyDescent="0.25">
      <c r="A2777" s="1" t="str">
        <f t="shared" si="100"/>
        <v>12940</v>
      </c>
      <c r="B2777" s="1" t="str">
        <f>"70736"</f>
        <v>70736</v>
      </c>
      <c r="C2777" s="2">
        <v>6.6661049626549397E-4</v>
      </c>
      <c r="D2777" s="2">
        <v>0</v>
      </c>
      <c r="E2777" s="2">
        <v>8.7611704923777796E-5</v>
      </c>
      <c r="F2777" s="2">
        <v>5.9961358235803498E-4</v>
      </c>
    </row>
    <row r="2778" spans="1:6" x14ac:dyDescent="0.25">
      <c r="A2778" s="1" t="str">
        <f t="shared" si="100"/>
        <v>12940</v>
      </c>
      <c r="B2778" s="1" t="str">
        <f>"70821"</f>
        <v>70821</v>
      </c>
      <c r="C2778" s="2">
        <v>5.1916319318818203E-3</v>
      </c>
      <c r="D2778" s="2">
        <v>1.8674664704883701E-2</v>
      </c>
      <c r="E2778" s="2">
        <v>1.75223409847555E-4</v>
      </c>
      <c r="F2778" s="2">
        <v>6.1227209131892698E-3</v>
      </c>
    </row>
    <row r="2779" spans="1:6" x14ac:dyDescent="0.25">
      <c r="A2779" s="1" t="str">
        <f t="shared" si="100"/>
        <v>12940</v>
      </c>
      <c r="B2779" s="1" t="str">
        <f>"70898"</f>
        <v>70898</v>
      </c>
      <c r="C2779" s="2">
        <v>2.0642622430823601E-3</v>
      </c>
      <c r="D2779" s="2">
        <v>1.18272876464263E-2</v>
      </c>
      <c r="E2779" s="2">
        <v>1.75223409847555E-4</v>
      </c>
      <c r="F2779" s="2">
        <v>2.78265118035044E-3</v>
      </c>
    </row>
    <row r="2780" spans="1:6" x14ac:dyDescent="0.25">
      <c r="A2780" s="1" t="str">
        <f t="shared" si="100"/>
        <v>12940</v>
      </c>
      <c r="B2780" s="1" t="str">
        <f>"70737"</f>
        <v>70737</v>
      </c>
      <c r="C2780" s="2">
        <v>5.0409630910902101E-2</v>
      </c>
      <c r="D2780" s="2">
        <v>5.1157263312772303E-2</v>
      </c>
      <c r="E2780" s="2">
        <v>3.6709304363062897E-2</v>
      </c>
      <c r="F2780" s="2">
        <v>5.0121033111994402E-2</v>
      </c>
    </row>
    <row r="2781" spans="1:6" x14ac:dyDescent="0.25">
      <c r="A2781" s="1" t="str">
        <f t="shared" si="100"/>
        <v>12940</v>
      </c>
      <c r="B2781" s="1" t="str">
        <f>"70769"</f>
        <v>70769</v>
      </c>
      <c r="C2781" s="2">
        <v>4.8082689438808099E-2</v>
      </c>
      <c r="D2781" s="2">
        <v>3.4831079169260301E-2</v>
      </c>
      <c r="E2781" s="2">
        <v>1.7872787804450601E-2</v>
      </c>
      <c r="F2781" s="2">
        <v>4.6276843811765701E-2</v>
      </c>
    </row>
    <row r="2782" spans="1:6" x14ac:dyDescent="0.25">
      <c r="A2782" s="1" t="str">
        <f t="shared" si="100"/>
        <v>12940</v>
      </c>
      <c r="B2782" s="1" t="str">
        <f>"70774"</f>
        <v>70774</v>
      </c>
      <c r="C2782" s="2">
        <v>1.14463713094807E-2</v>
      </c>
      <c r="D2782" s="2">
        <v>3.8198177805443901E-3</v>
      </c>
      <c r="E2782" s="2">
        <v>3.5920799018748901E-3</v>
      </c>
      <c r="F2782" s="2">
        <v>1.06486930644695E-2</v>
      </c>
    </row>
    <row r="2783" spans="1:6" x14ac:dyDescent="0.25">
      <c r="A2783" s="1" t="str">
        <f t="shared" si="100"/>
        <v>12940</v>
      </c>
      <c r="B2783" s="1" t="str">
        <f>"70775"</f>
        <v>70775</v>
      </c>
      <c r="C2783" s="2">
        <v>7.6102633235365499E-3</v>
      </c>
      <c r="D2783" s="2">
        <v>2.2353007752815299E-3</v>
      </c>
      <c r="E2783" s="2">
        <v>2.0150692132468802E-3</v>
      </c>
      <c r="F2783" s="2">
        <v>7.0465699882298E-3</v>
      </c>
    </row>
    <row r="2784" spans="1:6" x14ac:dyDescent="0.25">
      <c r="A2784" s="1" t="str">
        <f t="shared" si="100"/>
        <v>12940</v>
      </c>
      <c r="B2784" s="1" t="str">
        <f>"70711"</f>
        <v>70711</v>
      </c>
      <c r="C2784" s="2">
        <v>4.3342072786927404E-3</v>
      </c>
      <c r="D2784" s="2">
        <v>2.5182502405070402E-3</v>
      </c>
      <c r="E2784" s="2">
        <v>3.3292447871035502E-3</v>
      </c>
      <c r="F2784" s="2">
        <v>4.1662040018654598E-3</v>
      </c>
    </row>
    <row r="2785" spans="1:6" x14ac:dyDescent="0.25">
      <c r="A2785" s="1" t="str">
        <f t="shared" si="100"/>
        <v>12940</v>
      </c>
      <c r="B2785" s="1" t="str">
        <f>"70734"</f>
        <v>70734</v>
      </c>
      <c r="C2785" s="2">
        <v>7.9051579296911707E-3</v>
      </c>
      <c r="D2785" s="2">
        <v>7.1303265236828698E-3</v>
      </c>
      <c r="E2785" s="2">
        <v>1.6646223935517701E-3</v>
      </c>
      <c r="F2785" s="2">
        <v>7.6861578094117103E-3</v>
      </c>
    </row>
    <row r="2786" spans="1:6" x14ac:dyDescent="0.25">
      <c r="A2786" s="1" t="str">
        <f t="shared" si="100"/>
        <v>12940</v>
      </c>
      <c r="B2786" s="1" t="str">
        <f>"70441"</f>
        <v>70441</v>
      </c>
      <c r="C2786" s="2">
        <v>5.73681523737776E-3</v>
      </c>
      <c r="D2786" s="2">
        <v>1.2449776469922399E-3</v>
      </c>
      <c r="E2786" s="2">
        <v>1.31417557385666E-3</v>
      </c>
      <c r="F2786" s="2">
        <v>5.2721579426591699E-3</v>
      </c>
    </row>
    <row r="2787" spans="1:6" x14ac:dyDescent="0.25">
      <c r="A2787" s="1" t="str">
        <f t="shared" si="100"/>
        <v>12940</v>
      </c>
      <c r="B2787" s="1" t="str">
        <f>"70372"</f>
        <v>70372</v>
      </c>
      <c r="C2787" s="2">
        <v>2.5673177476990701E-3</v>
      </c>
      <c r="D2787" s="2">
        <v>1.0186180748118299E-3</v>
      </c>
      <c r="E2787" s="2">
        <v>7.8850534431399995E-4</v>
      </c>
      <c r="F2787" s="2">
        <v>2.4006751204779099E-3</v>
      </c>
    </row>
    <row r="2788" spans="1:6" x14ac:dyDescent="0.25">
      <c r="A2788" s="1" t="str">
        <f t="shared" si="100"/>
        <v>12940</v>
      </c>
      <c r="B2788" s="1" t="str">
        <f>"70879"</f>
        <v>70879</v>
      </c>
      <c r="C2788" s="2">
        <v>2.9687709090188098E-3</v>
      </c>
      <c r="D2788" s="2">
        <v>1.3751344009959801E-2</v>
      </c>
      <c r="E2788" s="2">
        <v>1.75223409847555E-4</v>
      </c>
      <c r="F2788" s="2">
        <v>3.7442537031690602E-3</v>
      </c>
    </row>
    <row r="2789" spans="1:6" x14ac:dyDescent="0.25">
      <c r="A2789" s="1" t="str">
        <f t="shared" si="100"/>
        <v>12940</v>
      </c>
      <c r="B2789" s="1" t="str">
        <f>"70808"</f>
        <v>70808</v>
      </c>
      <c r="C2789" s="2">
        <v>4.4355618113963102E-2</v>
      </c>
      <c r="D2789" s="2">
        <v>4.1904815799898097E-2</v>
      </c>
      <c r="E2789" s="2">
        <v>6.8862800070089297E-2</v>
      </c>
      <c r="F2789" s="2">
        <v>4.4784472229007902E-2</v>
      </c>
    </row>
    <row r="2790" spans="1:6" x14ac:dyDescent="0.25">
      <c r="A2790" s="1" t="str">
        <f t="shared" ref="A2790:A2813" si="101">"12980"</f>
        <v>12980</v>
      </c>
      <c r="B2790" s="1" t="str">
        <f>"49092"</f>
        <v>49092</v>
      </c>
      <c r="C2790" s="2">
        <v>1.29805602136513E-2</v>
      </c>
      <c r="D2790" s="2">
        <v>1.3720421554981099E-2</v>
      </c>
      <c r="E2790" s="2">
        <v>1.4559572919194299E-3</v>
      </c>
      <c r="F2790" s="2">
        <v>1.2385458302743501E-2</v>
      </c>
    </row>
    <row r="2791" spans="1:6" x14ac:dyDescent="0.25">
      <c r="A2791" s="1" t="str">
        <f t="shared" si="101"/>
        <v>12980</v>
      </c>
      <c r="B2791" s="1" t="str">
        <f>"49284"</f>
        <v>49284</v>
      </c>
      <c r="C2791" s="2">
        <v>5.90025464256878E-3</v>
      </c>
      <c r="D2791" s="2">
        <v>7.9538675681049896E-4</v>
      </c>
      <c r="E2791" s="2">
        <v>0</v>
      </c>
      <c r="F2791" s="2">
        <v>5.2206542132310898E-3</v>
      </c>
    </row>
    <row r="2792" spans="1:6" x14ac:dyDescent="0.25">
      <c r="A2792" s="1" t="str">
        <f t="shared" si="101"/>
        <v>12980</v>
      </c>
      <c r="B2792" s="1" t="str">
        <f>"49037"</f>
        <v>49037</v>
      </c>
      <c r="C2792" s="2">
        <v>0.165160549034221</v>
      </c>
      <c r="D2792" s="2">
        <v>0.17259892622787801</v>
      </c>
      <c r="E2792" s="2">
        <v>8.3232225188061101E-2</v>
      </c>
      <c r="F2792" s="2">
        <v>0.16107893520406699</v>
      </c>
    </row>
    <row r="2793" spans="1:6" x14ac:dyDescent="0.25">
      <c r="A2793" s="1" t="str">
        <f t="shared" si="101"/>
        <v>12980</v>
      </c>
      <c r="B2793" s="1" t="str">
        <f>"49033"</f>
        <v>49033</v>
      </c>
      <c r="C2793" s="2">
        <v>1.24526426930004E-2</v>
      </c>
      <c r="D2793" s="2">
        <v>5.9654006760787395E-4</v>
      </c>
      <c r="E2793" s="2">
        <v>4.8531909730647902E-4</v>
      </c>
      <c r="F2793" s="2">
        <v>1.09715311199934E-2</v>
      </c>
    </row>
    <row r="2794" spans="1:6" x14ac:dyDescent="0.25">
      <c r="A2794" s="1" t="str">
        <f t="shared" si="101"/>
        <v>12980</v>
      </c>
      <c r="B2794" s="1" t="str">
        <f>"49034"</f>
        <v>49034</v>
      </c>
      <c r="C2794" s="2">
        <v>1.38190174523321E-3</v>
      </c>
      <c r="D2794" s="2">
        <v>0</v>
      </c>
      <c r="E2794" s="2">
        <v>0</v>
      </c>
      <c r="F2794" s="2">
        <v>1.2099953775457401E-3</v>
      </c>
    </row>
    <row r="2795" spans="1:6" x14ac:dyDescent="0.25">
      <c r="A2795" s="1" t="str">
        <f t="shared" si="101"/>
        <v>12980</v>
      </c>
      <c r="B2795" s="1" t="str">
        <f>"48813"</f>
        <v>48813</v>
      </c>
      <c r="C2795" s="2">
        <v>2.79485746226942E-4</v>
      </c>
      <c r="D2795" s="2">
        <v>0</v>
      </c>
      <c r="E2795" s="2">
        <v>0</v>
      </c>
      <c r="F2795" s="2">
        <v>2.44718166245207E-4</v>
      </c>
    </row>
    <row r="2796" spans="1:6" x14ac:dyDescent="0.25">
      <c r="A2796" s="1" t="str">
        <f t="shared" si="101"/>
        <v>12980</v>
      </c>
      <c r="B2796" s="1" t="str">
        <f>"49012"</f>
        <v>49012</v>
      </c>
      <c r="C2796" s="2">
        <v>7.1424135146885197E-4</v>
      </c>
      <c r="D2796" s="2">
        <v>1.9884668920262401E-4</v>
      </c>
      <c r="E2796" s="2">
        <v>0</v>
      </c>
      <c r="F2796" s="2">
        <v>6.38986322973597E-4</v>
      </c>
    </row>
    <row r="2797" spans="1:6" x14ac:dyDescent="0.25">
      <c r="A2797" s="1" t="str">
        <f t="shared" si="101"/>
        <v>12980</v>
      </c>
      <c r="B2797" s="1" t="str">
        <f>"49015"</f>
        <v>49015</v>
      </c>
      <c r="C2797" s="2">
        <v>0.19278305695298401</v>
      </c>
      <c r="D2797" s="2">
        <v>0.23324716643467799</v>
      </c>
      <c r="E2797" s="2">
        <v>0.1198738170347</v>
      </c>
      <c r="F2797" s="2">
        <v>0.19146477417951399</v>
      </c>
    </row>
    <row r="2798" spans="1:6" x14ac:dyDescent="0.25">
      <c r="A2798" s="1" t="str">
        <f t="shared" si="101"/>
        <v>12980</v>
      </c>
      <c r="B2798" s="1" t="str">
        <f>"49014"</f>
        <v>49014</v>
      </c>
      <c r="C2798" s="2">
        <v>0.15183839513073699</v>
      </c>
      <c r="D2798" s="2">
        <v>0.12268840723801901</v>
      </c>
      <c r="E2798" s="2">
        <v>9.6821159912642493E-2</v>
      </c>
      <c r="F2798" s="2">
        <v>0.146762922478723</v>
      </c>
    </row>
    <row r="2799" spans="1:6" x14ac:dyDescent="0.25">
      <c r="A2799" s="1" t="str">
        <f t="shared" si="101"/>
        <v>12980</v>
      </c>
      <c r="B2799" s="1" t="str">
        <f>"49237"</f>
        <v>49237</v>
      </c>
      <c r="C2799" s="2">
        <v>1.7079684491646399E-4</v>
      </c>
      <c r="D2799" s="2">
        <v>0</v>
      </c>
      <c r="E2799" s="2">
        <v>4.8531909730647902E-4</v>
      </c>
      <c r="F2799" s="2">
        <v>1.76740897843761E-4</v>
      </c>
    </row>
    <row r="2800" spans="1:6" x14ac:dyDescent="0.25">
      <c r="A2800" s="1" t="str">
        <f t="shared" si="101"/>
        <v>12980</v>
      </c>
      <c r="B2800" s="1" t="str">
        <f>"49020"</f>
        <v>49020</v>
      </c>
      <c r="C2800" s="2">
        <v>0</v>
      </c>
      <c r="D2800" s="2">
        <v>1.9884668920262401E-4</v>
      </c>
      <c r="E2800" s="2">
        <v>0</v>
      </c>
      <c r="F2800" s="2">
        <v>1.3595453680289299E-5</v>
      </c>
    </row>
    <row r="2801" spans="1:6" x14ac:dyDescent="0.25">
      <c r="A2801" s="1" t="str">
        <f t="shared" si="101"/>
        <v>12980</v>
      </c>
      <c r="B2801" s="1" t="str">
        <f>"49016"</f>
        <v>49016</v>
      </c>
      <c r="C2801" s="2">
        <v>2.7544872989255301E-2</v>
      </c>
      <c r="D2801" s="2">
        <v>5.8063233247166397E-2</v>
      </c>
      <c r="E2801" s="2">
        <v>2.4265954865323899E-4</v>
      </c>
      <c r="F2801" s="2">
        <v>2.8101802757158002E-2</v>
      </c>
    </row>
    <row r="2802" spans="1:6" x14ac:dyDescent="0.25">
      <c r="A2802" s="1" t="str">
        <f t="shared" si="101"/>
        <v>12980</v>
      </c>
      <c r="B2802" s="1" t="str">
        <f>"49017"</f>
        <v>49017</v>
      </c>
      <c r="C2802" s="2">
        <v>0.14331407987081499</v>
      </c>
      <c r="D2802" s="2">
        <v>0.145158083117916</v>
      </c>
      <c r="E2802" s="2">
        <v>8.9056054355738795E-2</v>
      </c>
      <c r="F2802" s="2">
        <v>0.140400250156347</v>
      </c>
    </row>
    <row r="2803" spans="1:6" x14ac:dyDescent="0.25">
      <c r="A2803" s="1" t="str">
        <f t="shared" si="101"/>
        <v>12980</v>
      </c>
      <c r="B2803" s="1" t="str">
        <f>"49021"</f>
        <v>49021</v>
      </c>
      <c r="C2803" s="2">
        <v>5.35681013601639E-3</v>
      </c>
      <c r="D2803" s="2">
        <v>1.9884668920262401E-4</v>
      </c>
      <c r="E2803" s="2">
        <v>4.8531909730647902E-4</v>
      </c>
      <c r="F2803" s="2">
        <v>4.7312178807406803E-3</v>
      </c>
    </row>
    <row r="2804" spans="1:6" x14ac:dyDescent="0.25">
      <c r="A2804" s="1" t="str">
        <f t="shared" si="101"/>
        <v>12980</v>
      </c>
      <c r="B2804" s="1" t="str">
        <f>"49052"</f>
        <v>49052</v>
      </c>
      <c r="C2804" s="2">
        <v>1.9408732376870999E-3</v>
      </c>
      <c r="D2804" s="2">
        <v>2.3861602704314902E-3</v>
      </c>
      <c r="E2804" s="2">
        <v>0</v>
      </c>
      <c r="F2804" s="2">
        <v>1.8625771541996301E-3</v>
      </c>
    </row>
    <row r="2805" spans="1:6" x14ac:dyDescent="0.25">
      <c r="A2805" s="1" t="str">
        <f t="shared" si="101"/>
        <v>12980</v>
      </c>
      <c r="B2805" s="1" t="str">
        <f>"49094"</f>
        <v>49094</v>
      </c>
      <c r="C2805" s="2">
        <v>5.3257561642133999E-3</v>
      </c>
      <c r="D2805" s="2">
        <v>4.5734738516603601E-3</v>
      </c>
      <c r="E2805" s="2">
        <v>4.8531909730647902E-4</v>
      </c>
      <c r="F2805" s="2">
        <v>5.0031269543464596E-3</v>
      </c>
    </row>
    <row r="2806" spans="1:6" x14ac:dyDescent="0.25">
      <c r="A2806" s="1" t="str">
        <f t="shared" si="101"/>
        <v>12980</v>
      </c>
      <c r="B2806" s="1" t="str">
        <f>"49252"</f>
        <v>49252</v>
      </c>
      <c r="C2806" s="2">
        <v>5.2791752065089103E-4</v>
      </c>
      <c r="D2806" s="2">
        <v>1.1930801352157401E-3</v>
      </c>
      <c r="E2806" s="2">
        <v>0</v>
      </c>
      <c r="F2806" s="2">
        <v>5.4381814721157198E-4</v>
      </c>
    </row>
    <row r="2807" spans="1:6" x14ac:dyDescent="0.25">
      <c r="A2807" s="1" t="str">
        <f t="shared" si="101"/>
        <v>12980</v>
      </c>
      <c r="B2807" s="1" t="str">
        <f>"49051"</f>
        <v>49051</v>
      </c>
      <c r="C2807" s="2">
        <v>1.60549034221476E-2</v>
      </c>
      <c r="D2807" s="2">
        <v>4.7723205408629898E-3</v>
      </c>
      <c r="E2807" s="2">
        <v>2.4265954865323899E-4</v>
      </c>
      <c r="F2807" s="2">
        <v>1.43975854474263E-2</v>
      </c>
    </row>
    <row r="2808" spans="1:6" x14ac:dyDescent="0.25">
      <c r="A2808" s="1" t="str">
        <f t="shared" si="101"/>
        <v>12980</v>
      </c>
      <c r="B2808" s="1" t="str">
        <f>"49245"</f>
        <v>49245</v>
      </c>
      <c r="C2808" s="2">
        <v>3.3693559406247998E-2</v>
      </c>
      <c r="D2808" s="2">
        <v>2.2668522569099198E-2</v>
      </c>
      <c r="E2808" s="2">
        <v>1.16476583353554E-2</v>
      </c>
      <c r="F2808" s="2">
        <v>3.17045979824346E-2</v>
      </c>
    </row>
    <row r="2809" spans="1:6" x14ac:dyDescent="0.25">
      <c r="A2809" s="1" t="str">
        <f t="shared" si="101"/>
        <v>12980</v>
      </c>
      <c r="B2809" s="1" t="str">
        <f>"49076"</f>
        <v>49076</v>
      </c>
      <c r="C2809" s="2">
        <v>7.8877088379603697E-3</v>
      </c>
      <c r="D2809" s="2">
        <v>1.3919268244183701E-3</v>
      </c>
      <c r="E2809" s="2">
        <v>4.8531909730647902E-4</v>
      </c>
      <c r="F2809" s="2">
        <v>7.0288495527095702E-3</v>
      </c>
    </row>
    <row r="2810" spans="1:6" x14ac:dyDescent="0.25">
      <c r="A2810" s="1" t="str">
        <f t="shared" si="101"/>
        <v>12980</v>
      </c>
      <c r="B2810" s="1" t="str">
        <f>"49068"</f>
        <v>49068</v>
      </c>
      <c r="C2810" s="2">
        <v>0.10713620272032701</v>
      </c>
      <c r="D2810" s="2">
        <v>0.12626764764366599</v>
      </c>
      <c r="E2810" s="2">
        <v>5.14438243144867E-2</v>
      </c>
      <c r="F2810" s="2">
        <v>0.10532397966120099</v>
      </c>
    </row>
    <row r="2811" spans="1:6" x14ac:dyDescent="0.25">
      <c r="A2811" s="1" t="str">
        <f t="shared" si="101"/>
        <v>12980</v>
      </c>
      <c r="B2811" s="1" t="str">
        <f>"49011"</f>
        <v>49011</v>
      </c>
      <c r="C2811" s="2">
        <v>1.54182970001863E-2</v>
      </c>
      <c r="D2811" s="2">
        <v>5.5677072976734899E-3</v>
      </c>
      <c r="E2811" s="2">
        <v>2.6692550351856302E-3</v>
      </c>
      <c r="F2811" s="2">
        <v>1.4030508198058501E-2</v>
      </c>
    </row>
    <row r="2812" spans="1:6" x14ac:dyDescent="0.25">
      <c r="A2812" s="1" t="str">
        <f t="shared" si="101"/>
        <v>12980</v>
      </c>
      <c r="B2812" s="1" t="str">
        <f>"49224"</f>
        <v>49224</v>
      </c>
      <c r="C2812" s="2">
        <v>8.0585056828768306E-2</v>
      </c>
      <c r="D2812" s="2">
        <v>8.1129449194670897E-2</v>
      </c>
      <c r="E2812" s="2">
        <v>0.53991749575345704</v>
      </c>
      <c r="F2812" s="2">
        <v>0.10635723414090301</v>
      </c>
    </row>
    <row r="2813" spans="1:6" x14ac:dyDescent="0.25">
      <c r="A2813" s="1" t="str">
        <f t="shared" si="101"/>
        <v>12980</v>
      </c>
      <c r="B2813" s="1" t="str">
        <f>"49029"</f>
        <v>49029</v>
      </c>
      <c r="C2813" s="2">
        <v>1.1552077510713601E-2</v>
      </c>
      <c r="D2813" s="2">
        <v>2.5850069596341199E-3</v>
      </c>
      <c r="E2813" s="2">
        <v>9.7063819461295803E-4</v>
      </c>
      <c r="F2813" s="2">
        <v>1.03461402507001E-2</v>
      </c>
    </row>
    <row r="2814" spans="1:6" x14ac:dyDescent="0.25">
      <c r="A2814" s="1" t="str">
        <f t="shared" ref="A2814:A2831" si="102">"13020"</f>
        <v>13020</v>
      </c>
      <c r="B2814" s="1" t="str">
        <f>"48613"</f>
        <v>48613</v>
      </c>
      <c r="C2814" s="2">
        <v>9.0492487963338905E-3</v>
      </c>
      <c r="D2814" s="2">
        <v>7.4608306391444896E-4</v>
      </c>
      <c r="E2814" s="2">
        <v>0</v>
      </c>
      <c r="F2814" s="2">
        <v>8.2276490933864306E-3</v>
      </c>
    </row>
    <row r="2815" spans="1:6" x14ac:dyDescent="0.25">
      <c r="A2815" s="1" t="str">
        <f t="shared" si="102"/>
        <v>13020</v>
      </c>
      <c r="B2815" s="1" t="str">
        <f>"48611"</f>
        <v>48611</v>
      </c>
      <c r="C2815" s="2">
        <v>5.4102132760987597E-2</v>
      </c>
      <c r="D2815" s="2">
        <v>4.3024123352399898E-2</v>
      </c>
      <c r="E2815" s="2">
        <v>5.3050397877983997E-2</v>
      </c>
      <c r="F2815" s="2">
        <v>5.3296300178178303E-2</v>
      </c>
    </row>
    <row r="2816" spans="1:6" x14ac:dyDescent="0.25">
      <c r="A2816" s="1" t="str">
        <f t="shared" si="102"/>
        <v>13020</v>
      </c>
      <c r="B2816" s="1" t="str">
        <f>"48659"</f>
        <v>48659</v>
      </c>
      <c r="C2816" s="2">
        <v>8.8945607827213395E-4</v>
      </c>
      <c r="D2816" s="2">
        <v>9.9477741855259804E-4</v>
      </c>
      <c r="E2816" s="2">
        <v>0</v>
      </c>
      <c r="F2816" s="2">
        <v>8.7342347063550205E-4</v>
      </c>
    </row>
    <row r="2817" spans="1:6" x14ac:dyDescent="0.25">
      <c r="A2817" s="1" t="str">
        <f t="shared" si="102"/>
        <v>13020</v>
      </c>
      <c r="B2817" s="1" t="str">
        <f>"48710"</f>
        <v>48710</v>
      </c>
      <c r="C2817" s="2">
        <v>0</v>
      </c>
      <c r="D2817" s="2">
        <v>4.9738870927629902E-4</v>
      </c>
      <c r="E2817" s="2">
        <v>0</v>
      </c>
      <c r="F2817" s="2">
        <v>3.49369388254201E-5</v>
      </c>
    </row>
    <row r="2818" spans="1:6" x14ac:dyDescent="0.25">
      <c r="A2818" s="1" t="str">
        <f t="shared" si="102"/>
        <v>13020</v>
      </c>
      <c r="B2818" s="1" t="str">
        <f>"48706"</f>
        <v>48706</v>
      </c>
      <c r="C2818" s="2">
        <v>0.37645261712783001</v>
      </c>
      <c r="D2818" s="2">
        <v>0.40387963193235499</v>
      </c>
      <c r="E2818" s="2">
        <v>0.36604774535808998</v>
      </c>
      <c r="F2818" s="2">
        <v>0.37810502043810901</v>
      </c>
    </row>
    <row r="2819" spans="1:6" x14ac:dyDescent="0.25">
      <c r="A2819" s="1" t="str">
        <f t="shared" si="102"/>
        <v>13020</v>
      </c>
      <c r="B2819" s="1" t="str">
        <f>"48650"</f>
        <v>48650</v>
      </c>
      <c r="C2819" s="2">
        <v>6.2029893458630601E-2</v>
      </c>
      <c r="D2819" s="2">
        <v>3.1086794329768699E-2</v>
      </c>
      <c r="E2819" s="2">
        <v>2.7188328912466801E-2</v>
      </c>
      <c r="F2819" s="2">
        <v>5.8938615798483703E-2</v>
      </c>
    </row>
    <row r="2820" spans="1:6" x14ac:dyDescent="0.25">
      <c r="A2820" s="1" t="str">
        <f t="shared" si="102"/>
        <v>13020</v>
      </c>
      <c r="B2820" s="1" t="str">
        <f>"48708"</f>
        <v>48708</v>
      </c>
      <c r="C2820" s="2">
        <v>0.25065259005742702</v>
      </c>
      <c r="D2820" s="2">
        <v>0.32280527232031803</v>
      </c>
      <c r="E2820" s="2">
        <v>0.40517241379310298</v>
      </c>
      <c r="F2820" s="2">
        <v>0.259791077105823</v>
      </c>
    </row>
    <row r="2821" spans="1:6" x14ac:dyDescent="0.25">
      <c r="A2821" s="1" t="str">
        <f t="shared" si="102"/>
        <v>13020</v>
      </c>
      <c r="B2821" s="1" t="str">
        <f>"48658"</f>
        <v>48658</v>
      </c>
      <c r="C2821" s="2">
        <v>1.60488814123015E-3</v>
      </c>
      <c r="D2821" s="2">
        <v>4.9738870927629902E-4</v>
      </c>
      <c r="E2821" s="2">
        <v>0</v>
      </c>
      <c r="F2821" s="2">
        <v>1.4848199000803499E-3</v>
      </c>
    </row>
    <row r="2822" spans="1:6" x14ac:dyDescent="0.25">
      <c r="A2822" s="1" t="str">
        <f t="shared" si="102"/>
        <v>13020</v>
      </c>
      <c r="B2822" s="1" t="str">
        <f>"48707"</f>
        <v>48707</v>
      </c>
      <c r="C2822" s="2">
        <v>1.43859852659667E-2</v>
      </c>
      <c r="D2822" s="2">
        <v>5.1231037055458797E-2</v>
      </c>
      <c r="E2822" s="2">
        <v>1.3262599469496001E-3</v>
      </c>
      <c r="F2822" s="2">
        <v>1.66299828808999E-2</v>
      </c>
    </row>
    <row r="2823" spans="1:6" x14ac:dyDescent="0.25">
      <c r="A2823" s="1" t="str">
        <f t="shared" si="102"/>
        <v>13020</v>
      </c>
      <c r="B2823" s="1" t="str">
        <f>"48652"</f>
        <v>48652</v>
      </c>
      <c r="C2823" s="2">
        <v>4.6213044066747803E-3</v>
      </c>
      <c r="D2823" s="2">
        <v>0</v>
      </c>
      <c r="E2823" s="2">
        <v>0</v>
      </c>
      <c r="F2823" s="2">
        <v>4.1749641896377003E-3</v>
      </c>
    </row>
    <row r="2824" spans="1:6" x14ac:dyDescent="0.25">
      <c r="A2824" s="1" t="str">
        <f t="shared" si="102"/>
        <v>13020</v>
      </c>
      <c r="B2824" s="1" t="str">
        <f>"48604"</f>
        <v>48604</v>
      </c>
      <c r="C2824" s="2">
        <v>2.0689521820677899E-3</v>
      </c>
      <c r="D2824" s="2">
        <v>0</v>
      </c>
      <c r="E2824" s="2">
        <v>2.6525198938992002E-3</v>
      </c>
      <c r="F2824" s="2">
        <v>1.93900010481081E-3</v>
      </c>
    </row>
    <row r="2825" spans="1:6" x14ac:dyDescent="0.25">
      <c r="A2825" s="1" t="str">
        <f t="shared" si="102"/>
        <v>13020</v>
      </c>
      <c r="B2825" s="1" t="str">
        <f>"48732"</f>
        <v>48732</v>
      </c>
      <c r="C2825" s="2">
        <v>0.108939033586634</v>
      </c>
      <c r="D2825" s="2">
        <v>7.6349166873911897E-2</v>
      </c>
      <c r="E2825" s="2">
        <v>0.127320954907161</v>
      </c>
      <c r="F2825" s="2">
        <v>0.10713412290815</v>
      </c>
    </row>
    <row r="2826" spans="1:6" x14ac:dyDescent="0.25">
      <c r="A2826" s="1" t="str">
        <f t="shared" si="102"/>
        <v>13020</v>
      </c>
      <c r="B2826" s="1" t="str">
        <f>"48634"</f>
        <v>48634</v>
      </c>
      <c r="C2826" s="2">
        <v>3.7318483284026503E-2</v>
      </c>
      <c r="D2826" s="2">
        <v>2.7853767719472702E-2</v>
      </c>
      <c r="E2826" s="2">
        <v>6.6312997347480101E-3</v>
      </c>
      <c r="F2826" s="2">
        <v>3.5845299234881001E-2</v>
      </c>
    </row>
    <row r="2827" spans="1:6" x14ac:dyDescent="0.25">
      <c r="A2827" s="1" t="str">
        <f t="shared" si="102"/>
        <v>13020</v>
      </c>
      <c r="B2827" s="1" t="str">
        <f>"48631"</f>
        <v>48631</v>
      </c>
      <c r="C2827" s="2">
        <v>3.96581394899162E-2</v>
      </c>
      <c r="D2827" s="2">
        <v>2.9345933847301602E-2</v>
      </c>
      <c r="E2827" s="2">
        <v>5.9681697612731996E-3</v>
      </c>
      <c r="F2827" s="2">
        <v>3.8046326380882498E-2</v>
      </c>
    </row>
    <row r="2828" spans="1:6" x14ac:dyDescent="0.25">
      <c r="A2828" s="1" t="str">
        <f t="shared" si="102"/>
        <v>13020</v>
      </c>
      <c r="B2828" s="1" t="str">
        <f>"48747"</f>
        <v>48747</v>
      </c>
      <c r="C2828" s="2">
        <v>1.2026993058375301E-2</v>
      </c>
      <c r="D2828" s="2">
        <v>5.96866451131559E-3</v>
      </c>
      <c r="E2828" s="2">
        <v>0</v>
      </c>
      <c r="F2828" s="2">
        <v>1.1284631240610601E-2</v>
      </c>
    </row>
    <row r="2829" spans="1:6" x14ac:dyDescent="0.25">
      <c r="A2829" s="1" t="str">
        <f t="shared" si="102"/>
        <v>13020</v>
      </c>
      <c r="B2829" s="1" t="str">
        <f>"48757"</f>
        <v>48757</v>
      </c>
      <c r="C2829" s="2">
        <v>4.6406404083763501E-4</v>
      </c>
      <c r="D2829" s="2">
        <v>0</v>
      </c>
      <c r="E2829" s="2">
        <v>0</v>
      </c>
      <c r="F2829" s="2">
        <v>4.1924326590504101E-4</v>
      </c>
    </row>
    <row r="2830" spans="1:6" x14ac:dyDescent="0.25">
      <c r="A2830" s="1" t="str">
        <f t="shared" si="102"/>
        <v>13020</v>
      </c>
      <c r="B2830" s="1" t="str">
        <f>"48642"</f>
        <v>48642</v>
      </c>
      <c r="C2830" s="2">
        <v>2.0554169808766901E-2</v>
      </c>
      <c r="D2830" s="2">
        <v>3.23302661029594E-3</v>
      </c>
      <c r="E2830" s="2">
        <v>3.3156498673739998E-3</v>
      </c>
      <c r="F2830" s="2">
        <v>1.8883415435139501E-2</v>
      </c>
    </row>
    <row r="2831" spans="1:6" x14ac:dyDescent="0.25">
      <c r="A2831" s="1" t="str">
        <f t="shared" si="102"/>
        <v>13020</v>
      </c>
      <c r="B2831" s="1" t="str">
        <f>"48623"</f>
        <v>48623</v>
      </c>
      <c r="C2831" s="2">
        <v>5.1820484560202596E-3</v>
      </c>
      <c r="D2831" s="2">
        <v>2.4869435463814901E-3</v>
      </c>
      <c r="E2831" s="2">
        <v>1.3262599469496001E-3</v>
      </c>
      <c r="F2831" s="2">
        <v>4.8911714355588101E-3</v>
      </c>
    </row>
    <row r="2832" spans="1:6" x14ac:dyDescent="0.25">
      <c r="A2832" s="1" t="str">
        <f t="shared" ref="A2832:A2846" si="103">"13060"</f>
        <v>13060</v>
      </c>
      <c r="B2832" s="1" t="str">
        <f>"77456"</f>
        <v>77456</v>
      </c>
      <c r="C2832" s="2">
        <v>0</v>
      </c>
      <c r="D2832" s="2">
        <v>6.1387354205033704E-4</v>
      </c>
      <c r="E2832" s="2">
        <v>0</v>
      </c>
      <c r="F2832" s="2">
        <v>4.5049103522839798E-5</v>
      </c>
    </row>
    <row r="2833" spans="1:6" x14ac:dyDescent="0.25">
      <c r="A2833" s="1" t="str">
        <f t="shared" si="103"/>
        <v>13060</v>
      </c>
      <c r="B2833" s="1" t="str">
        <f>"77465"</f>
        <v>77465</v>
      </c>
      <c r="C2833" s="2">
        <v>0.16787092942690199</v>
      </c>
      <c r="D2833" s="2">
        <v>0.14119091467157699</v>
      </c>
      <c r="E2833" s="2">
        <v>0.18181818181818099</v>
      </c>
      <c r="F2833" s="2">
        <v>0.16614109379223299</v>
      </c>
    </row>
    <row r="2834" spans="1:6" x14ac:dyDescent="0.25">
      <c r="A2834" s="1" t="str">
        <f t="shared" si="103"/>
        <v>13060</v>
      </c>
      <c r="B2834" s="1" t="str">
        <f>"77420"</f>
        <v>77420</v>
      </c>
      <c r="C2834" s="2">
        <v>1.7816490151440099E-3</v>
      </c>
      <c r="D2834" s="2">
        <v>0</v>
      </c>
      <c r="E2834" s="2">
        <v>0</v>
      </c>
      <c r="F2834" s="2">
        <v>1.6217677268222301E-3</v>
      </c>
    </row>
    <row r="2835" spans="1:6" x14ac:dyDescent="0.25">
      <c r="A2835" s="1" t="str">
        <f t="shared" si="103"/>
        <v>13060</v>
      </c>
      <c r="B2835" s="1" t="str">
        <f>"77414"</f>
        <v>77414</v>
      </c>
      <c r="C2835" s="2">
        <v>0.68004553103038701</v>
      </c>
      <c r="D2835" s="2">
        <v>0.69674647022713299</v>
      </c>
      <c r="E2835" s="2">
        <v>0.80991735537190002</v>
      </c>
      <c r="F2835" s="2">
        <v>0.68339490044148099</v>
      </c>
    </row>
    <row r="2836" spans="1:6" x14ac:dyDescent="0.25">
      <c r="A2836" s="1" t="str">
        <f t="shared" si="103"/>
        <v>13060</v>
      </c>
      <c r="B2836" s="1" t="str">
        <f>"77480"</f>
        <v>77480</v>
      </c>
      <c r="C2836" s="2">
        <v>8.1164010689893998E-3</v>
      </c>
      <c r="D2836" s="2">
        <v>4.9109883364026998E-3</v>
      </c>
      <c r="E2836" s="2">
        <v>0</v>
      </c>
      <c r="F2836" s="2">
        <v>7.7484458059284599E-3</v>
      </c>
    </row>
    <row r="2837" spans="1:6" x14ac:dyDescent="0.25">
      <c r="A2837" s="1" t="str">
        <f t="shared" si="103"/>
        <v>13060</v>
      </c>
      <c r="B2837" s="1" t="str">
        <f>"77468"</f>
        <v>77468</v>
      </c>
      <c r="C2837" s="2">
        <v>2.32604176977135E-3</v>
      </c>
      <c r="D2837" s="2">
        <v>6.1387354205033704E-4</v>
      </c>
      <c r="E2837" s="2">
        <v>0</v>
      </c>
      <c r="F2837" s="2">
        <v>2.16235696909631E-3</v>
      </c>
    </row>
    <row r="2838" spans="1:6" x14ac:dyDescent="0.25">
      <c r="A2838" s="1" t="str">
        <f t="shared" si="103"/>
        <v>13060</v>
      </c>
      <c r="B2838" s="1" t="str">
        <f>"77482"</f>
        <v>77482</v>
      </c>
      <c r="C2838" s="2">
        <v>3.3257448282688298E-2</v>
      </c>
      <c r="D2838" s="2">
        <v>8.5942295887047205E-3</v>
      </c>
      <c r="E2838" s="2">
        <v>2.7548209366391099E-3</v>
      </c>
      <c r="F2838" s="2">
        <v>3.0948734120191002E-2</v>
      </c>
    </row>
    <row r="2839" spans="1:6" x14ac:dyDescent="0.25">
      <c r="A2839" s="1" t="str">
        <f t="shared" si="103"/>
        <v>13060</v>
      </c>
      <c r="B2839" s="1" t="str">
        <f>"77458"</f>
        <v>77458</v>
      </c>
      <c r="C2839" s="2">
        <v>2.4745125210333499E-4</v>
      </c>
      <c r="D2839" s="2">
        <v>6.1387354205033704E-4</v>
      </c>
      <c r="E2839" s="2">
        <v>0</v>
      </c>
      <c r="F2839" s="2">
        <v>2.7029462113703902E-4</v>
      </c>
    </row>
    <row r="2840" spans="1:6" x14ac:dyDescent="0.25">
      <c r="A2840" s="1" t="str">
        <f t="shared" si="103"/>
        <v>13060</v>
      </c>
      <c r="B2840" s="1" t="str">
        <f>"77483"</f>
        <v>77483</v>
      </c>
      <c r="C2840" s="2">
        <v>0</v>
      </c>
      <c r="D2840" s="2">
        <v>6.1387354205033704E-4</v>
      </c>
      <c r="E2840" s="2">
        <v>0</v>
      </c>
      <c r="F2840" s="2">
        <v>4.5049103522839798E-5</v>
      </c>
    </row>
    <row r="2841" spans="1:6" x14ac:dyDescent="0.25">
      <c r="A2841" s="1" t="str">
        <f t="shared" si="103"/>
        <v>13060</v>
      </c>
      <c r="B2841" s="1" t="str">
        <f>"77440"</f>
        <v>77440</v>
      </c>
      <c r="C2841" s="2">
        <v>0</v>
      </c>
      <c r="D2841" s="2">
        <v>6.1387354205033704E-4</v>
      </c>
      <c r="E2841" s="2">
        <v>0</v>
      </c>
      <c r="F2841" s="2">
        <v>4.5049103522839798E-5</v>
      </c>
    </row>
    <row r="2842" spans="1:6" x14ac:dyDescent="0.25">
      <c r="A2842" s="1" t="str">
        <f t="shared" si="103"/>
        <v>13060</v>
      </c>
      <c r="B2842" s="1" t="str">
        <f>"77419"</f>
        <v>77419</v>
      </c>
      <c r="C2842" s="2">
        <v>7.9184400673067395E-4</v>
      </c>
      <c r="D2842" s="2">
        <v>6.1387354205033704E-4</v>
      </c>
      <c r="E2842" s="2">
        <v>0</v>
      </c>
      <c r="F2842" s="2">
        <v>7.6583475988827802E-4</v>
      </c>
    </row>
    <row r="2843" spans="1:6" x14ac:dyDescent="0.25">
      <c r="A2843" s="1" t="str">
        <f t="shared" si="103"/>
        <v>13060</v>
      </c>
      <c r="B2843" s="1" t="str">
        <f>"77415"</f>
        <v>77415</v>
      </c>
      <c r="C2843" s="2">
        <v>0</v>
      </c>
      <c r="D2843" s="2">
        <v>6.1387354205033704E-4</v>
      </c>
      <c r="E2843" s="2">
        <v>0</v>
      </c>
      <c r="F2843" s="2">
        <v>4.5049103522839798E-5</v>
      </c>
    </row>
    <row r="2844" spans="1:6" x14ac:dyDescent="0.25">
      <c r="A2844" s="1" t="str">
        <f t="shared" si="103"/>
        <v>13060</v>
      </c>
      <c r="B2844" s="1" t="str">
        <f>"77457"</f>
        <v>77457</v>
      </c>
      <c r="C2844" s="2">
        <v>9.8980500841334203E-5</v>
      </c>
      <c r="D2844" s="2">
        <v>1.22774708410067E-3</v>
      </c>
      <c r="E2844" s="2">
        <v>0</v>
      </c>
      <c r="F2844" s="2">
        <v>1.80196414091359E-4</v>
      </c>
    </row>
    <row r="2845" spans="1:6" x14ac:dyDescent="0.25">
      <c r="A2845" s="1" t="str">
        <f t="shared" si="103"/>
        <v>13060</v>
      </c>
      <c r="B2845" s="1" t="str">
        <f>"77404"</f>
        <v>77404</v>
      </c>
      <c r="C2845" s="2">
        <v>0.10546372364644099</v>
      </c>
      <c r="D2845" s="2">
        <v>0.14241866175567799</v>
      </c>
      <c r="E2845" s="2">
        <v>5.5096418732782301E-3</v>
      </c>
      <c r="F2845" s="2">
        <v>0.10654112983151599</v>
      </c>
    </row>
    <row r="2846" spans="1:6" x14ac:dyDescent="0.25">
      <c r="A2846" s="1" t="str">
        <f t="shared" si="103"/>
        <v>13060</v>
      </c>
      <c r="B2846" s="1" t="str">
        <f>"77428"</f>
        <v>77428</v>
      </c>
      <c r="C2846" s="2">
        <v>0</v>
      </c>
      <c r="D2846" s="2">
        <v>6.1387354205033704E-4</v>
      </c>
      <c r="E2846" s="2">
        <v>0</v>
      </c>
      <c r="F2846" s="2">
        <v>4.5049103522839798E-5</v>
      </c>
    </row>
    <row r="2847" spans="1:6" x14ac:dyDescent="0.25">
      <c r="A2847" s="1" t="str">
        <f t="shared" ref="A2847:A2865" si="104">"13100"</f>
        <v>13100</v>
      </c>
      <c r="B2847" s="1" t="str">
        <f>"68328"</f>
        <v>68328</v>
      </c>
      <c r="C2847" s="2">
        <v>2.05696202531645E-2</v>
      </c>
      <c r="D2847" s="2">
        <v>3.9840637450199202E-3</v>
      </c>
      <c r="E2847" s="2">
        <v>1.75131348511383E-3</v>
      </c>
      <c r="F2847" s="2">
        <v>1.8345644938712501E-2</v>
      </c>
    </row>
    <row r="2848" spans="1:6" x14ac:dyDescent="0.25">
      <c r="A2848" s="1" t="str">
        <f t="shared" si="104"/>
        <v>13100</v>
      </c>
      <c r="B2848" s="1" t="str">
        <f>"68422"</f>
        <v>68422</v>
      </c>
      <c r="C2848" s="2">
        <v>1.9731943410275499E-2</v>
      </c>
      <c r="D2848" s="2">
        <v>5.9760956175298804E-3</v>
      </c>
      <c r="E2848" s="2">
        <v>1.75131348511383E-3</v>
      </c>
      <c r="F2848" s="2">
        <v>1.77774169981329E-2</v>
      </c>
    </row>
    <row r="2849" spans="1:6" x14ac:dyDescent="0.25">
      <c r="A2849" s="1" t="str">
        <f t="shared" si="104"/>
        <v>13100</v>
      </c>
      <c r="B2849" s="1" t="str">
        <f>"68310"</f>
        <v>68310</v>
      </c>
      <c r="C2849" s="2">
        <v>0.658227848101265</v>
      </c>
      <c r="D2849" s="2">
        <v>0.88247011952191201</v>
      </c>
      <c r="E2849" s="2">
        <v>0.57793345008756503</v>
      </c>
      <c r="F2849" s="2">
        <v>0.67278188164623698</v>
      </c>
    </row>
    <row r="2850" spans="1:6" x14ac:dyDescent="0.25">
      <c r="A2850" s="1" t="str">
        <f t="shared" si="104"/>
        <v>13100</v>
      </c>
      <c r="B2850" s="1" t="str">
        <f>"68415"</f>
        <v>68415</v>
      </c>
      <c r="C2850" s="2">
        <v>3.0714817572598599E-2</v>
      </c>
      <c r="D2850" s="2">
        <v>4.9800796812749003E-3</v>
      </c>
      <c r="E2850" s="2">
        <v>1.75131348511383E-3</v>
      </c>
      <c r="F2850" s="2">
        <v>2.7274941147820399E-2</v>
      </c>
    </row>
    <row r="2851" spans="1:6" x14ac:dyDescent="0.25">
      <c r="A2851" s="1" t="str">
        <f t="shared" si="104"/>
        <v>13100</v>
      </c>
      <c r="B2851" s="1" t="str">
        <f>"68465"</f>
        <v>68465</v>
      </c>
      <c r="C2851" s="2">
        <v>1.861504095309E-3</v>
      </c>
      <c r="D2851" s="2">
        <v>0</v>
      </c>
      <c r="E2851" s="2">
        <v>0</v>
      </c>
      <c r="F2851" s="2">
        <v>1.6235084016559701E-3</v>
      </c>
    </row>
    <row r="2852" spans="1:6" x14ac:dyDescent="0.25">
      <c r="A2852" s="1" t="str">
        <f t="shared" si="104"/>
        <v>13100</v>
      </c>
      <c r="B2852" s="1" t="str">
        <f>"68342"</f>
        <v>68342</v>
      </c>
      <c r="C2852" s="2">
        <v>2.6061057334326098E-3</v>
      </c>
      <c r="D2852" s="2">
        <v>0</v>
      </c>
      <c r="E2852" s="2">
        <v>0</v>
      </c>
      <c r="F2852" s="2">
        <v>2.2729117623183602E-3</v>
      </c>
    </row>
    <row r="2853" spans="1:6" x14ac:dyDescent="0.25">
      <c r="A2853" s="1" t="str">
        <f t="shared" si="104"/>
        <v>13100</v>
      </c>
      <c r="B2853" s="1" t="str">
        <f>"68358"</f>
        <v>68358</v>
      </c>
      <c r="C2853" s="2">
        <v>1.3682055100521199E-2</v>
      </c>
      <c r="D2853" s="2">
        <v>9.9601593625498006E-4</v>
      </c>
      <c r="E2853" s="2">
        <v>1.75131348511383E-3</v>
      </c>
      <c r="F2853" s="2">
        <v>1.2095137592336999E-2</v>
      </c>
    </row>
    <row r="2854" spans="1:6" x14ac:dyDescent="0.25">
      <c r="A2854" s="1" t="str">
        <f t="shared" si="104"/>
        <v>13100</v>
      </c>
      <c r="B2854" s="1" t="str">
        <f>"68341"</f>
        <v>68341</v>
      </c>
      <c r="C2854" s="2">
        <v>1.1820551005212201E-2</v>
      </c>
      <c r="D2854" s="2">
        <v>9.9601593625498006E-4</v>
      </c>
      <c r="E2854" s="2">
        <v>0</v>
      </c>
      <c r="F2854" s="2">
        <v>1.0390453770598201E-2</v>
      </c>
    </row>
    <row r="2855" spans="1:6" x14ac:dyDescent="0.25">
      <c r="A2855" s="1" t="str">
        <f t="shared" si="104"/>
        <v>13100</v>
      </c>
      <c r="B2855" s="1" t="str">
        <f>"68466"</f>
        <v>68466</v>
      </c>
      <c r="C2855" s="2">
        <v>8.9072970960536096E-2</v>
      </c>
      <c r="D2855" s="2">
        <v>6.5737051792828599E-2</v>
      </c>
      <c r="E2855" s="2">
        <v>0.22942206654991201</v>
      </c>
      <c r="F2855" s="2">
        <v>9.3676434775549905E-2</v>
      </c>
    </row>
    <row r="2856" spans="1:6" x14ac:dyDescent="0.25">
      <c r="A2856" s="1" t="str">
        <f t="shared" si="104"/>
        <v>13100</v>
      </c>
      <c r="B2856" s="1" t="str">
        <f>"68368"</f>
        <v>68368</v>
      </c>
      <c r="C2856" s="2">
        <v>5.5845122859270202E-4</v>
      </c>
      <c r="D2856" s="2">
        <v>0</v>
      </c>
      <c r="E2856" s="2">
        <v>0</v>
      </c>
      <c r="F2856" s="2">
        <v>4.8705252049679299E-4</v>
      </c>
    </row>
    <row r="2857" spans="1:6" x14ac:dyDescent="0.25">
      <c r="A2857" s="1" t="str">
        <f t="shared" si="104"/>
        <v>13100</v>
      </c>
      <c r="B2857" s="1" t="str">
        <f>"68458"</f>
        <v>68458</v>
      </c>
      <c r="C2857" s="2">
        <v>7.9113924050632899E-3</v>
      </c>
      <c r="D2857" s="2">
        <v>4.9800796812749003E-3</v>
      </c>
      <c r="E2857" s="2">
        <v>1.75131348511383E-3</v>
      </c>
      <c r="F2857" s="2">
        <v>7.3869632275347001E-3</v>
      </c>
    </row>
    <row r="2858" spans="1:6" x14ac:dyDescent="0.25">
      <c r="A2858" s="1" t="str">
        <f t="shared" si="104"/>
        <v>13100</v>
      </c>
      <c r="B2858" s="1" t="str">
        <f>"68331"</f>
        <v>68331</v>
      </c>
      <c r="C2858" s="2">
        <v>4.0673864482501799E-2</v>
      </c>
      <c r="D2858" s="2">
        <v>6.9721115537848596E-3</v>
      </c>
      <c r="E2858" s="2">
        <v>1.75131348511383E-3</v>
      </c>
      <c r="F2858" s="2">
        <v>3.6123061936845502E-2</v>
      </c>
    </row>
    <row r="2859" spans="1:6" x14ac:dyDescent="0.25">
      <c r="A2859" s="1" t="str">
        <f t="shared" si="104"/>
        <v>13100</v>
      </c>
      <c r="B2859" s="1" t="str">
        <f>"68309"</f>
        <v>68309</v>
      </c>
      <c r="C2859" s="2">
        <v>5.7706626954579301E-3</v>
      </c>
      <c r="D2859" s="2">
        <v>3.9840637450199202E-3</v>
      </c>
      <c r="E2859" s="2">
        <v>1.75131348511383E-3</v>
      </c>
      <c r="F2859" s="2">
        <v>5.4387531455475204E-3</v>
      </c>
    </row>
    <row r="2860" spans="1:6" x14ac:dyDescent="0.25">
      <c r="A2860" s="1" t="str">
        <f t="shared" si="104"/>
        <v>13100</v>
      </c>
      <c r="B2860" s="1" t="str">
        <f>"68332"</f>
        <v>68332</v>
      </c>
      <c r="C2860" s="2">
        <v>2.7922561429635101E-4</v>
      </c>
      <c r="D2860" s="2">
        <v>0</v>
      </c>
      <c r="E2860" s="2">
        <v>0</v>
      </c>
      <c r="F2860" s="2">
        <v>2.4352626024839601E-4</v>
      </c>
    </row>
    <row r="2861" spans="1:6" x14ac:dyDescent="0.25">
      <c r="A2861" s="1" t="str">
        <f t="shared" si="104"/>
        <v>13100</v>
      </c>
      <c r="B2861" s="1" t="str">
        <f>"68357"</f>
        <v>68357</v>
      </c>
      <c r="C2861" s="2">
        <v>1.15413253909158E-2</v>
      </c>
      <c r="D2861" s="2">
        <v>0</v>
      </c>
      <c r="E2861" s="2">
        <v>5.2539404553415001E-3</v>
      </c>
      <c r="F2861" s="2">
        <v>1.03092783505154E-2</v>
      </c>
    </row>
    <row r="2862" spans="1:6" x14ac:dyDescent="0.25">
      <c r="A2862" s="1" t="str">
        <f t="shared" si="104"/>
        <v>13100</v>
      </c>
      <c r="B2862" s="1" t="str">
        <f>"68318"</f>
        <v>68318</v>
      </c>
      <c r="C2862" s="2">
        <v>2.6526433358153301E-2</v>
      </c>
      <c r="D2862" s="2">
        <v>1.19521912350597E-2</v>
      </c>
      <c r="E2862" s="2">
        <v>0.162872154115586</v>
      </c>
      <c r="F2862" s="2">
        <v>3.1658413832291503E-2</v>
      </c>
    </row>
    <row r="2863" spans="1:6" x14ac:dyDescent="0.25">
      <c r="A2863" s="1" t="str">
        <f t="shared" si="104"/>
        <v>13100</v>
      </c>
      <c r="B2863" s="1" t="str">
        <f>"68301"</f>
        <v>68301</v>
      </c>
      <c r="C2863" s="2">
        <v>4.9981384959046901E-2</v>
      </c>
      <c r="D2863" s="2">
        <v>5.9760956175298804E-3</v>
      </c>
      <c r="E2863" s="2">
        <v>8.75656742556917E-3</v>
      </c>
      <c r="F2863" s="2">
        <v>4.4484130205373798E-2</v>
      </c>
    </row>
    <row r="2864" spans="1:6" x14ac:dyDescent="0.25">
      <c r="A2864" s="1" t="str">
        <f t="shared" si="104"/>
        <v>13100</v>
      </c>
      <c r="B2864" s="1" t="str">
        <f>"68424"</f>
        <v>68424</v>
      </c>
      <c r="C2864" s="2">
        <v>1.8615040953089999E-4</v>
      </c>
      <c r="D2864" s="2">
        <v>0</v>
      </c>
      <c r="E2864" s="2">
        <v>0</v>
      </c>
      <c r="F2864" s="2">
        <v>1.6235084016559699E-4</v>
      </c>
    </row>
    <row r="2865" spans="1:6" x14ac:dyDescent="0.25">
      <c r="A2865" s="1" t="str">
        <f t="shared" si="104"/>
        <v>13100</v>
      </c>
      <c r="B2865" s="1" t="str">
        <f>"68381"</f>
        <v>68381</v>
      </c>
      <c r="C2865" s="2">
        <v>8.28369322412509E-3</v>
      </c>
      <c r="D2865" s="2">
        <v>9.9601593625498006E-4</v>
      </c>
      <c r="E2865" s="2">
        <v>3.5026269702276699E-3</v>
      </c>
      <c r="F2865" s="2">
        <v>7.4681386476174996E-3</v>
      </c>
    </row>
    <row r="2866" spans="1:6" x14ac:dyDescent="0.25">
      <c r="A2866" s="1" t="str">
        <f t="shared" ref="A2866:A2905" si="105">"13140"</f>
        <v>13140</v>
      </c>
      <c r="B2866" s="1" t="str">
        <f>"77625"</f>
        <v>77625</v>
      </c>
      <c r="C2866" s="2">
        <v>2.0468125159257101E-2</v>
      </c>
      <c r="D2866" s="2">
        <v>1.0702779446294899E-2</v>
      </c>
      <c r="E2866" s="2">
        <v>1.0897287271041001E-2</v>
      </c>
      <c r="F2866" s="2">
        <v>1.9443992090264001E-2</v>
      </c>
    </row>
    <row r="2867" spans="1:6" x14ac:dyDescent="0.25">
      <c r="A2867" s="1" t="str">
        <f t="shared" si="105"/>
        <v>13140</v>
      </c>
      <c r="B2867" s="1" t="str">
        <f>"77659"</f>
        <v>77659</v>
      </c>
      <c r="C2867" s="2">
        <v>1.04992745672104E-2</v>
      </c>
      <c r="D2867" s="2">
        <v>4.3684814066510102E-3</v>
      </c>
      <c r="E2867" s="2">
        <v>5.1008578715511198E-3</v>
      </c>
      <c r="F2867" s="2">
        <v>9.8685587995812393E-3</v>
      </c>
    </row>
    <row r="2868" spans="1:6" x14ac:dyDescent="0.25">
      <c r="A2868" s="1" t="str">
        <f t="shared" si="105"/>
        <v>13140</v>
      </c>
      <c r="B2868" s="1" t="str">
        <f>"77519"</f>
        <v>77519</v>
      </c>
      <c r="C2868" s="2">
        <v>9.1004113385924996E-4</v>
      </c>
      <c r="D2868" s="2">
        <v>3.2763610549882503E-4</v>
      </c>
      <c r="E2868" s="2">
        <v>2.78228611175515E-3</v>
      </c>
      <c r="F2868" s="2">
        <v>8.9798767011748195E-4</v>
      </c>
    </row>
    <row r="2869" spans="1:6" x14ac:dyDescent="0.25">
      <c r="A2869" s="1" t="str">
        <f t="shared" si="105"/>
        <v>13140</v>
      </c>
      <c r="B2869" s="1" t="str">
        <f>"77708"</f>
        <v>77708</v>
      </c>
      <c r="C2869" s="2">
        <v>2.8580491838231002E-2</v>
      </c>
      <c r="D2869" s="2">
        <v>2.20608311035876E-2</v>
      </c>
      <c r="E2869" s="2">
        <v>3.4546719220959803E-2</v>
      </c>
      <c r="F2869" s="2">
        <v>2.8144701640107E-2</v>
      </c>
    </row>
    <row r="2870" spans="1:6" x14ac:dyDescent="0.25">
      <c r="A2870" s="1" t="str">
        <f t="shared" si="105"/>
        <v>13140</v>
      </c>
      <c r="B2870" s="1" t="str">
        <f>"77726"</f>
        <v>77726</v>
      </c>
      <c r="C2870" s="2">
        <v>7.4415363574433504E-3</v>
      </c>
      <c r="D2870" s="2">
        <v>3.3309670725713898E-2</v>
      </c>
      <c r="E2870" s="2">
        <v>2.3185717597959599E-4</v>
      </c>
      <c r="F2870" s="2">
        <v>9.5009887169942991E-3</v>
      </c>
    </row>
    <row r="2871" spans="1:6" x14ac:dyDescent="0.25">
      <c r="A2871" s="1" t="str">
        <f t="shared" si="105"/>
        <v>13140</v>
      </c>
      <c r="B2871" s="1" t="str">
        <f>"77663"</f>
        <v>77663</v>
      </c>
      <c r="C2871" s="2">
        <v>0</v>
      </c>
      <c r="D2871" s="2">
        <v>1.09212035166275E-4</v>
      </c>
      <c r="E2871" s="2">
        <v>0</v>
      </c>
      <c r="F2871" s="2">
        <v>9.3055717110619908E-6</v>
      </c>
    </row>
    <row r="2872" spans="1:6" x14ac:dyDescent="0.25">
      <c r="A2872" s="1" t="str">
        <f t="shared" si="105"/>
        <v>13140</v>
      </c>
      <c r="B2872" s="1" t="str">
        <f>"77613"</f>
        <v>77613</v>
      </c>
      <c r="C2872" s="2">
        <v>0</v>
      </c>
      <c r="D2872" s="2">
        <v>5.4606017583137602E-5</v>
      </c>
      <c r="E2872" s="2">
        <v>0</v>
      </c>
      <c r="F2872" s="2">
        <v>4.6527858555309903E-6</v>
      </c>
    </row>
    <row r="2873" spans="1:6" x14ac:dyDescent="0.25">
      <c r="A2873" s="1" t="str">
        <f t="shared" si="105"/>
        <v>13140</v>
      </c>
      <c r="B2873" s="1" t="str">
        <f>"77622"</f>
        <v>77622</v>
      </c>
      <c r="C2873" s="2">
        <v>2.17889848621157E-3</v>
      </c>
      <c r="D2873" s="2">
        <v>1.0375143340796099E-3</v>
      </c>
      <c r="E2873" s="2">
        <v>2.0635288662184E-2</v>
      </c>
      <c r="F2873" s="2">
        <v>2.45201814586483E-3</v>
      </c>
    </row>
    <row r="2874" spans="1:6" x14ac:dyDescent="0.25">
      <c r="A2874" s="1" t="str">
        <f t="shared" si="105"/>
        <v>13140</v>
      </c>
      <c r="B2874" s="1" t="str">
        <f>"77713"</f>
        <v>77713</v>
      </c>
      <c r="C2874" s="2">
        <v>3.7816109288139797E-2</v>
      </c>
      <c r="D2874" s="2">
        <v>1.20679298858734E-2</v>
      </c>
      <c r="E2874" s="2">
        <v>1.4607002086714499E-2</v>
      </c>
      <c r="F2874" s="2">
        <v>3.5156449924392201E-2</v>
      </c>
    </row>
    <row r="2875" spans="1:6" x14ac:dyDescent="0.25">
      <c r="A2875" s="1" t="str">
        <f t="shared" si="105"/>
        <v>13140</v>
      </c>
      <c r="B2875" s="1" t="str">
        <f>"77725"</f>
        <v>77725</v>
      </c>
      <c r="C2875" s="2">
        <v>5.3354411619405103E-3</v>
      </c>
      <c r="D2875" s="2">
        <v>5.8428438813957198E-3</v>
      </c>
      <c r="E2875" s="2">
        <v>4.6371435195919302E-4</v>
      </c>
      <c r="F2875" s="2">
        <v>5.2809119460276799E-3</v>
      </c>
    </row>
    <row r="2876" spans="1:6" x14ac:dyDescent="0.25">
      <c r="A2876" s="1" t="str">
        <f t="shared" si="105"/>
        <v>13140</v>
      </c>
      <c r="B2876" s="1" t="str">
        <f>"77662"</f>
        <v>77662</v>
      </c>
      <c r="C2876" s="2">
        <v>6.6771018050015798E-2</v>
      </c>
      <c r="D2876" s="2">
        <v>4.6524326980833197E-2</v>
      </c>
      <c r="E2876" s="2">
        <v>5.4950150707164302E-2</v>
      </c>
      <c r="F2876" s="2">
        <v>6.4808654181691197E-2</v>
      </c>
    </row>
    <row r="2877" spans="1:6" x14ac:dyDescent="0.25">
      <c r="A2877" s="1" t="str">
        <f t="shared" si="105"/>
        <v>13140</v>
      </c>
      <c r="B2877" s="1" t="str">
        <f>"77632"</f>
        <v>77632</v>
      </c>
      <c r="C2877" s="2">
        <v>4.7878564111097803E-2</v>
      </c>
      <c r="D2877" s="2">
        <v>2.07502866815923E-2</v>
      </c>
      <c r="E2877" s="2">
        <v>2.57361465337352E-2</v>
      </c>
      <c r="F2877" s="2">
        <v>4.5122717226939599E-2</v>
      </c>
    </row>
    <row r="2878" spans="1:6" x14ac:dyDescent="0.25">
      <c r="A2878" s="1" t="str">
        <f t="shared" si="105"/>
        <v>13140</v>
      </c>
      <c r="B2878" s="1" t="str">
        <f>"77627"</f>
        <v>77627</v>
      </c>
      <c r="C2878" s="2">
        <v>6.1170364900493497E-2</v>
      </c>
      <c r="D2878" s="2">
        <v>7.04417626822475E-2</v>
      </c>
      <c r="E2878" s="2">
        <v>4.5675863667980501E-2</v>
      </c>
      <c r="F2878" s="2">
        <v>6.1649412585785698E-2</v>
      </c>
    </row>
    <row r="2879" spans="1:6" x14ac:dyDescent="0.25">
      <c r="A2879" s="1" t="str">
        <f t="shared" si="105"/>
        <v>13140</v>
      </c>
      <c r="B2879" s="1" t="str">
        <f>"77642"</f>
        <v>77642</v>
      </c>
      <c r="C2879" s="2">
        <v>8.6599514298046201E-2</v>
      </c>
      <c r="D2879" s="2">
        <v>7.3226669578987602E-2</v>
      </c>
      <c r="E2879" s="2">
        <v>0.11592858798979799</v>
      </c>
      <c r="F2879" s="2">
        <v>8.6048621612190193E-2</v>
      </c>
    </row>
    <row r="2880" spans="1:6" x14ac:dyDescent="0.25">
      <c r="A2880" s="1" t="str">
        <f t="shared" si="105"/>
        <v>13140</v>
      </c>
      <c r="B2880" s="1" t="str">
        <f>"77705"</f>
        <v>77705</v>
      </c>
      <c r="C2880" s="2">
        <v>7.17424427584126E-2</v>
      </c>
      <c r="D2880" s="2">
        <v>6.5800251187680805E-2</v>
      </c>
      <c r="E2880" s="2">
        <v>9.3670299095756998E-2</v>
      </c>
      <c r="F2880" s="2">
        <v>7.1676166104455E-2</v>
      </c>
    </row>
    <row r="2881" spans="1:6" x14ac:dyDescent="0.25">
      <c r="A2881" s="1" t="str">
        <f t="shared" si="105"/>
        <v>13140</v>
      </c>
      <c r="B2881" s="1" t="str">
        <f>"77702"</f>
        <v>77702</v>
      </c>
      <c r="C2881" s="2">
        <v>7.9043572769489107E-3</v>
      </c>
      <c r="D2881" s="2">
        <v>3.9152514607109702E-2</v>
      </c>
      <c r="E2881" s="2">
        <v>3.9647577092511002E-2</v>
      </c>
      <c r="F2881" s="2">
        <v>1.12039083401186E-2</v>
      </c>
    </row>
    <row r="2882" spans="1:6" x14ac:dyDescent="0.25">
      <c r="A2882" s="1" t="str">
        <f t="shared" si="105"/>
        <v>13140</v>
      </c>
      <c r="B2882" s="1" t="str">
        <f>"77706"</f>
        <v>77706</v>
      </c>
      <c r="C2882" s="2">
        <v>7.6079438790633294E-2</v>
      </c>
      <c r="D2882" s="2">
        <v>7.56293343526456E-2</v>
      </c>
      <c r="E2882" s="2">
        <v>0.111523301646185</v>
      </c>
      <c r="F2882" s="2">
        <v>7.6752355472839304E-2</v>
      </c>
    </row>
    <row r="2883" spans="1:6" x14ac:dyDescent="0.25">
      <c r="A2883" s="1" t="str">
        <f t="shared" si="105"/>
        <v>13140</v>
      </c>
      <c r="B2883" s="1" t="str">
        <f>"77707"</f>
        <v>77707</v>
      </c>
      <c r="C2883" s="2">
        <v>3.7712104587127301E-2</v>
      </c>
      <c r="D2883" s="2">
        <v>5.97389832359526E-2</v>
      </c>
      <c r="E2883" s="2">
        <v>4.1502434500347699E-2</v>
      </c>
      <c r="F2883" s="2">
        <v>3.9664999418401702E-2</v>
      </c>
    </row>
    <row r="2884" spans="1:6" x14ac:dyDescent="0.25">
      <c r="A2884" s="1" t="str">
        <f t="shared" si="105"/>
        <v>13140</v>
      </c>
      <c r="B2884" s="1" t="str">
        <f>"77629"</f>
        <v>77629</v>
      </c>
      <c r="C2884" s="2">
        <v>0</v>
      </c>
      <c r="D2884" s="2">
        <v>5.4606017583137602E-5</v>
      </c>
      <c r="E2884" s="2">
        <v>0</v>
      </c>
      <c r="F2884" s="2">
        <v>4.6527858555309903E-6</v>
      </c>
    </row>
    <row r="2885" spans="1:6" x14ac:dyDescent="0.25">
      <c r="A2885" s="1" t="str">
        <f t="shared" si="105"/>
        <v>13140</v>
      </c>
      <c r="B2885" s="1" t="str">
        <f>"77655"</f>
        <v>77655</v>
      </c>
      <c r="C2885" s="2">
        <v>1.04004701012485E-4</v>
      </c>
      <c r="D2885" s="2">
        <v>2.7303008791568797E-4</v>
      </c>
      <c r="E2885" s="2">
        <v>0</v>
      </c>
      <c r="F2885" s="2">
        <v>1.16319646388274E-4</v>
      </c>
    </row>
    <row r="2886" spans="1:6" x14ac:dyDescent="0.25">
      <c r="A2886" s="1" t="str">
        <f t="shared" si="105"/>
        <v>13140</v>
      </c>
      <c r="B2886" s="1" t="str">
        <f>"77704"</f>
        <v>77704</v>
      </c>
      <c r="C2886" s="2">
        <v>9.2928200354655995E-3</v>
      </c>
      <c r="D2886" s="2">
        <v>2.4791131982744401E-2</v>
      </c>
      <c r="E2886" s="2">
        <v>4.6371435195919302E-4</v>
      </c>
      <c r="F2886" s="2">
        <v>1.0436198673955999E-2</v>
      </c>
    </row>
    <row r="2887" spans="1:6" x14ac:dyDescent="0.25">
      <c r="A2887" s="1" t="str">
        <f t="shared" si="105"/>
        <v>13140</v>
      </c>
      <c r="B2887" s="1" t="str">
        <f>"77639"</f>
        <v>77639</v>
      </c>
      <c r="C2887" s="2">
        <v>0</v>
      </c>
      <c r="D2887" s="2">
        <v>5.4606017583137602E-5</v>
      </c>
      <c r="E2887" s="2">
        <v>0</v>
      </c>
      <c r="F2887" s="2">
        <v>4.6527858555309903E-6</v>
      </c>
    </row>
    <row r="2888" spans="1:6" x14ac:dyDescent="0.25">
      <c r="A2888" s="1" t="str">
        <f t="shared" si="105"/>
        <v>13140</v>
      </c>
      <c r="B2888" s="1" t="str">
        <f>"77374"</f>
        <v>77374</v>
      </c>
      <c r="C2888" s="2">
        <v>0</v>
      </c>
      <c r="D2888" s="2">
        <v>5.4606017583137602E-5</v>
      </c>
      <c r="E2888" s="2">
        <v>0</v>
      </c>
      <c r="F2888" s="2">
        <v>4.6527858555309903E-6</v>
      </c>
    </row>
    <row r="2889" spans="1:6" x14ac:dyDescent="0.25">
      <c r="A2889" s="1" t="str">
        <f t="shared" si="105"/>
        <v>13140</v>
      </c>
      <c r="B2889" s="1" t="str">
        <f>"77611"</f>
        <v>77611</v>
      </c>
      <c r="C2889" s="2">
        <v>2.2974638453658099E-2</v>
      </c>
      <c r="D2889" s="2">
        <v>1.98219843826789E-2</v>
      </c>
      <c r="E2889" s="2">
        <v>2.50405750057964E-2</v>
      </c>
      <c r="F2889" s="2">
        <v>2.2747470047690999E-2</v>
      </c>
    </row>
    <row r="2890" spans="1:6" x14ac:dyDescent="0.25">
      <c r="A2890" s="1" t="str">
        <f t="shared" si="105"/>
        <v>13140</v>
      </c>
      <c r="B2890" s="1" t="str">
        <f>"77630"</f>
        <v>77630</v>
      </c>
      <c r="C2890" s="2">
        <v>7.6188643726696398E-2</v>
      </c>
      <c r="D2890" s="2">
        <v>7.3554305684486398E-2</v>
      </c>
      <c r="E2890" s="2">
        <v>5.5877579411082699E-2</v>
      </c>
      <c r="F2890" s="2">
        <v>7.55565895079678E-2</v>
      </c>
    </row>
    <row r="2891" spans="1:6" x14ac:dyDescent="0.25">
      <c r="A2891" s="1" t="str">
        <f t="shared" si="105"/>
        <v>13140</v>
      </c>
      <c r="B2891" s="1" t="str">
        <f>"77657"</f>
        <v>77657</v>
      </c>
      <c r="C2891" s="2">
        <v>5.47168732026687E-2</v>
      </c>
      <c r="D2891" s="2">
        <v>3.89340905367771E-2</v>
      </c>
      <c r="E2891" s="2">
        <v>3.3155576165082301E-2</v>
      </c>
      <c r="F2891" s="2">
        <v>5.2939397464231701E-2</v>
      </c>
    </row>
    <row r="2892" spans="1:6" x14ac:dyDescent="0.25">
      <c r="A2892" s="1" t="str">
        <f t="shared" si="105"/>
        <v>13140</v>
      </c>
      <c r="B2892" s="1" t="str">
        <f>"77564"</f>
        <v>77564</v>
      </c>
      <c r="C2892" s="2">
        <v>5.1482327001180401E-4</v>
      </c>
      <c r="D2892" s="2">
        <v>0</v>
      </c>
      <c r="E2892" s="2">
        <v>4.6371435195919302E-4</v>
      </c>
      <c r="F2892" s="2">
        <v>4.6993137140863002E-4</v>
      </c>
    </row>
    <row r="2893" spans="1:6" x14ac:dyDescent="0.25">
      <c r="A2893" s="1" t="str">
        <f t="shared" si="105"/>
        <v>13140</v>
      </c>
      <c r="B2893" s="1" t="str">
        <f>"77720"</f>
        <v>77720</v>
      </c>
      <c r="C2893" s="2">
        <v>1.00988564683123E-2</v>
      </c>
      <c r="D2893" s="2">
        <v>2.1623982962922499E-2</v>
      </c>
      <c r="E2893" s="2">
        <v>4.6371435195919302E-4</v>
      </c>
      <c r="F2893" s="2">
        <v>1.08875189019425E-2</v>
      </c>
    </row>
    <row r="2894" spans="1:6" x14ac:dyDescent="0.25">
      <c r="A2894" s="1" t="str">
        <f t="shared" si="105"/>
        <v>13140</v>
      </c>
      <c r="B2894" s="1" t="str">
        <f>"77701"</f>
        <v>77701</v>
      </c>
      <c r="C2894" s="2">
        <v>3.4664766847461503E-2</v>
      </c>
      <c r="D2894" s="2">
        <v>0.105881068093703</v>
      </c>
      <c r="E2894" s="2">
        <v>8.9960584280083397E-2</v>
      </c>
      <c r="F2894" s="2">
        <v>4.1842503198790203E-2</v>
      </c>
    </row>
    <row r="2895" spans="1:6" x14ac:dyDescent="0.25">
      <c r="A2895" s="1" t="str">
        <f t="shared" si="105"/>
        <v>13140</v>
      </c>
      <c r="B2895" s="1" t="str">
        <f>"77640"</f>
        <v>77640</v>
      </c>
      <c r="C2895" s="2">
        <v>5.0229070353979902E-2</v>
      </c>
      <c r="D2895" s="2">
        <v>5.1165838475399898E-2</v>
      </c>
      <c r="E2895" s="2">
        <v>3.5937862276837401E-2</v>
      </c>
      <c r="F2895" s="2">
        <v>5.0022100732813699E-2</v>
      </c>
    </row>
    <row r="2896" spans="1:6" x14ac:dyDescent="0.25">
      <c r="A2896" s="1" t="str">
        <f t="shared" si="105"/>
        <v>13140</v>
      </c>
      <c r="B2896" s="1" t="str">
        <f>"77651"</f>
        <v>77651</v>
      </c>
      <c r="C2896" s="2">
        <v>3.5278394583435103E-2</v>
      </c>
      <c r="D2896" s="2">
        <v>2.7029978703653101E-2</v>
      </c>
      <c r="E2896" s="2">
        <v>1.9707859958265701E-2</v>
      </c>
      <c r="F2896" s="2">
        <v>3.4263115040130201E-2</v>
      </c>
    </row>
    <row r="2897" spans="1:6" x14ac:dyDescent="0.25">
      <c r="A2897" s="1" t="str">
        <f t="shared" si="105"/>
        <v>13140</v>
      </c>
      <c r="B2897" s="1" t="str">
        <f>"77670"</f>
        <v>77670</v>
      </c>
      <c r="C2897" s="2">
        <v>9.3604230911237107E-3</v>
      </c>
      <c r="D2897" s="2">
        <v>8.6823567957188801E-3</v>
      </c>
      <c r="E2897" s="2">
        <v>2.3185717597959599E-4</v>
      </c>
      <c r="F2897" s="2">
        <v>9.1194602768407493E-3</v>
      </c>
    </row>
    <row r="2898" spans="1:6" x14ac:dyDescent="0.25">
      <c r="A2898" s="1" t="str">
        <f t="shared" si="105"/>
        <v>13140</v>
      </c>
      <c r="B2898" s="1" t="str">
        <f>"77376"</f>
        <v>77376</v>
      </c>
      <c r="C2898" s="2">
        <v>0</v>
      </c>
      <c r="D2898" s="2">
        <v>5.4606017583137602E-5</v>
      </c>
      <c r="E2898" s="2">
        <v>0</v>
      </c>
      <c r="F2898" s="2">
        <v>4.6527858555309903E-6</v>
      </c>
    </row>
    <row r="2899" spans="1:6" x14ac:dyDescent="0.25">
      <c r="A2899" s="1" t="str">
        <f t="shared" si="105"/>
        <v>13140</v>
      </c>
      <c r="B2899" s="1" t="str">
        <f>"77665"</f>
        <v>77665</v>
      </c>
      <c r="C2899" s="2">
        <v>2.7925262221852399E-3</v>
      </c>
      <c r="D2899" s="2">
        <v>8.7369628133020195E-4</v>
      </c>
      <c r="E2899" s="2">
        <v>4.6371435195919302E-4</v>
      </c>
      <c r="F2899" s="2">
        <v>2.5822961498197E-3</v>
      </c>
    </row>
    <row r="2900" spans="1:6" x14ac:dyDescent="0.25">
      <c r="A2900" s="1" t="str">
        <f t="shared" si="105"/>
        <v>13140</v>
      </c>
      <c r="B2900" s="1" t="str">
        <f>"77656"</f>
        <v>77656</v>
      </c>
      <c r="C2900" s="2">
        <v>4.3869182887066399E-2</v>
      </c>
      <c r="D2900" s="2">
        <v>2.8395129143231501E-2</v>
      </c>
      <c r="E2900" s="2">
        <v>3.2228147461163897E-2</v>
      </c>
      <c r="F2900" s="2">
        <v>4.2317087356054398E-2</v>
      </c>
    </row>
    <row r="2901" spans="1:6" x14ac:dyDescent="0.25">
      <c r="A2901" s="1" t="str">
        <f t="shared" si="105"/>
        <v>13140</v>
      </c>
      <c r="B2901" s="1" t="str">
        <f>"77626"</f>
        <v>77626</v>
      </c>
      <c r="C2901" s="2">
        <v>0</v>
      </c>
      <c r="D2901" s="2">
        <v>5.4606017583137602E-5</v>
      </c>
      <c r="E2901" s="2">
        <v>0</v>
      </c>
      <c r="F2901" s="2">
        <v>4.6527858555309903E-6</v>
      </c>
    </row>
    <row r="2902" spans="1:6" x14ac:dyDescent="0.25">
      <c r="A2902" s="1" t="str">
        <f t="shared" si="105"/>
        <v>13140</v>
      </c>
      <c r="B2902" s="1" t="str">
        <f>"77703"</f>
        <v>77703</v>
      </c>
      <c r="C2902" s="2">
        <v>3.6698058752255597E-2</v>
      </c>
      <c r="D2902" s="2">
        <v>2.9596461530060601E-2</v>
      </c>
      <c r="E2902" s="2">
        <v>5.5182007883143903E-2</v>
      </c>
      <c r="F2902" s="2">
        <v>3.6463882749796402E-2</v>
      </c>
    </row>
    <row r="2903" spans="1:6" x14ac:dyDescent="0.25">
      <c r="A2903" s="1" t="str">
        <f t="shared" si="105"/>
        <v>13140</v>
      </c>
      <c r="B2903" s="1" t="str">
        <f>"77664"</f>
        <v>77664</v>
      </c>
      <c r="C2903" s="2">
        <v>1.1440517111373399E-4</v>
      </c>
      <c r="D2903" s="2">
        <v>0</v>
      </c>
      <c r="E2903" s="2">
        <v>0</v>
      </c>
      <c r="F2903" s="2">
        <v>1.02361288821681E-4</v>
      </c>
    </row>
    <row r="2904" spans="1:6" x14ac:dyDescent="0.25">
      <c r="A2904" s="1" t="str">
        <f t="shared" si="105"/>
        <v>13140</v>
      </c>
      <c r="B2904" s="1" t="str">
        <f>"77585"</f>
        <v>77585</v>
      </c>
      <c r="C2904" s="2">
        <v>1.4924674595291701E-3</v>
      </c>
      <c r="D2904" s="2">
        <v>3.82242123081963E-4</v>
      </c>
      <c r="E2904" s="2">
        <v>6.2601437514491001E-3</v>
      </c>
      <c r="F2904" s="2">
        <v>1.4935442596254499E-3</v>
      </c>
    </row>
    <row r="2905" spans="1:6" x14ac:dyDescent="0.25">
      <c r="A2905" s="1" t="str">
        <f t="shared" si="105"/>
        <v>13140</v>
      </c>
      <c r="B2905" s="1" t="str">
        <f>"77619"</f>
        <v>77619</v>
      </c>
      <c r="C2905" s="2">
        <v>4.2522322008954803E-2</v>
      </c>
      <c r="D2905" s="2">
        <v>2.75760388794845E-2</v>
      </c>
      <c r="E2905" s="2">
        <v>2.66635752376536E-2</v>
      </c>
      <c r="F2905" s="2">
        <v>4.0930557171106101E-2</v>
      </c>
    </row>
    <row r="2906" spans="1:6" x14ac:dyDescent="0.25">
      <c r="A2906" s="1" t="str">
        <f t="shared" ref="A2906:A2937" si="106">"13180"</f>
        <v>13180</v>
      </c>
      <c r="B2906" s="1" t="str">
        <f>"53050"</f>
        <v>53050</v>
      </c>
      <c r="C2906" s="2">
        <v>8.2168142715761103E-2</v>
      </c>
      <c r="D2906" s="2">
        <v>0.107273466070702</v>
      </c>
      <c r="E2906" s="2">
        <v>0.104252400548696</v>
      </c>
      <c r="F2906" s="2">
        <v>8.43373493975903E-2</v>
      </c>
    </row>
    <row r="2907" spans="1:6" x14ac:dyDescent="0.25">
      <c r="A2907" s="1" t="str">
        <f t="shared" si="106"/>
        <v>13180</v>
      </c>
      <c r="B2907" s="1" t="str">
        <f>"53956"</f>
        <v>53956</v>
      </c>
      <c r="C2907" s="2">
        <v>2.5376202197579099E-2</v>
      </c>
      <c r="D2907" s="2">
        <v>3.9008533116619198E-2</v>
      </c>
      <c r="E2907" s="2">
        <v>1.0973936899862801E-2</v>
      </c>
      <c r="F2907" s="2">
        <v>2.56658819184785E-2</v>
      </c>
    </row>
    <row r="2908" spans="1:6" x14ac:dyDescent="0.25">
      <c r="A2908" s="1" t="str">
        <f t="shared" si="106"/>
        <v>13180</v>
      </c>
      <c r="B2908" s="1" t="str">
        <f>"53933"</f>
        <v>53933</v>
      </c>
      <c r="C2908" s="2">
        <v>4.2454386276549801E-2</v>
      </c>
      <c r="D2908" s="2">
        <v>1.2596505485574901E-2</v>
      </c>
      <c r="E2908" s="2">
        <v>3.7037037037037E-2</v>
      </c>
      <c r="F2908" s="2">
        <v>4.0576097493421899E-2</v>
      </c>
    </row>
    <row r="2909" spans="1:6" x14ac:dyDescent="0.25">
      <c r="A2909" s="1" t="str">
        <f t="shared" si="106"/>
        <v>13180</v>
      </c>
      <c r="B2909" s="1" t="str">
        <f>"53594"</f>
        <v>53594</v>
      </c>
      <c r="C2909" s="2">
        <v>8.0696322988301501E-3</v>
      </c>
      <c r="D2909" s="2">
        <v>3.6570499796830499E-3</v>
      </c>
      <c r="E2909" s="2">
        <v>1.3717421124828501E-3</v>
      </c>
      <c r="F2909" s="2">
        <v>7.5935927618519996E-3</v>
      </c>
    </row>
    <row r="2910" spans="1:6" x14ac:dyDescent="0.25">
      <c r="A2910" s="1" t="str">
        <f t="shared" si="106"/>
        <v>13180</v>
      </c>
      <c r="B2910" s="1" t="str">
        <f>"53932"</f>
        <v>53932</v>
      </c>
      <c r="C2910" s="2">
        <v>9.1354327911284704E-4</v>
      </c>
      <c r="D2910" s="2">
        <v>0</v>
      </c>
      <c r="E2910" s="2">
        <v>0</v>
      </c>
      <c r="F2910" s="2">
        <v>8.3090984628167799E-4</v>
      </c>
    </row>
    <row r="2911" spans="1:6" x14ac:dyDescent="0.25">
      <c r="A2911" s="1" t="str">
        <f t="shared" si="106"/>
        <v>13180</v>
      </c>
      <c r="B2911" s="1" t="str">
        <f>"53094"</f>
        <v>53094</v>
      </c>
      <c r="C2911" s="2">
        <v>2.28385819778211E-4</v>
      </c>
      <c r="D2911" s="2">
        <v>0</v>
      </c>
      <c r="E2911" s="2">
        <v>0</v>
      </c>
      <c r="F2911" s="2">
        <v>2.0772746157041901E-4</v>
      </c>
    </row>
    <row r="2912" spans="1:6" x14ac:dyDescent="0.25">
      <c r="A2912" s="1" t="str">
        <f t="shared" si="106"/>
        <v>13180</v>
      </c>
      <c r="B2912" s="1" t="str">
        <f>"53010"</f>
        <v>53010</v>
      </c>
      <c r="C2912" s="2">
        <v>4.3139543735884402E-4</v>
      </c>
      <c r="D2912" s="2">
        <v>4.0633888663145002E-4</v>
      </c>
      <c r="E2912" s="2">
        <v>0</v>
      </c>
      <c r="F2912" s="2">
        <v>4.15454923140839E-4</v>
      </c>
    </row>
    <row r="2913" spans="1:6" x14ac:dyDescent="0.25">
      <c r="A2913" s="1" t="str">
        <f t="shared" si="106"/>
        <v>13180</v>
      </c>
      <c r="B2913" s="1" t="str">
        <f>"53066"</f>
        <v>53066</v>
      </c>
      <c r="C2913" s="2">
        <v>1.6672164843809401E-2</v>
      </c>
      <c r="D2913" s="2">
        <v>4.4697277529459501E-3</v>
      </c>
      <c r="E2913" s="2">
        <v>2.4691358024691301E-2</v>
      </c>
      <c r="F2913" s="2">
        <v>1.6248903660619402E-2</v>
      </c>
    </row>
    <row r="2914" spans="1:6" x14ac:dyDescent="0.25">
      <c r="A2914" s="1" t="str">
        <f t="shared" si="106"/>
        <v>13180</v>
      </c>
      <c r="B2914" s="1" t="str">
        <f>"53963"</f>
        <v>53963</v>
      </c>
      <c r="C2914" s="2">
        <v>6.6714035577435396E-2</v>
      </c>
      <c r="D2914" s="2">
        <v>7.9236082893132803E-2</v>
      </c>
      <c r="E2914" s="2">
        <v>8.4362139917695395E-2</v>
      </c>
      <c r="F2914" s="2">
        <v>6.8019203249780696E-2</v>
      </c>
    </row>
    <row r="2915" spans="1:6" x14ac:dyDescent="0.25">
      <c r="A2915" s="1" t="str">
        <f t="shared" si="106"/>
        <v>13180</v>
      </c>
      <c r="B2915" s="1" t="str">
        <f>"53557"</f>
        <v>53557</v>
      </c>
      <c r="C2915" s="2">
        <v>4.8468546197376096E-3</v>
      </c>
      <c r="D2915" s="2">
        <v>0</v>
      </c>
      <c r="E2915" s="2">
        <v>3.4293552812071299E-3</v>
      </c>
      <c r="F2915" s="2">
        <v>4.5238424964224701E-3</v>
      </c>
    </row>
    <row r="2916" spans="1:6" x14ac:dyDescent="0.25">
      <c r="A2916" s="1" t="str">
        <f t="shared" si="106"/>
        <v>13180</v>
      </c>
      <c r="B2916" s="1" t="str">
        <f>"53098"</f>
        <v>53098</v>
      </c>
      <c r="C2916" s="2">
        <v>0.13279366609993101</v>
      </c>
      <c r="D2916" s="2">
        <v>6.7045916294189295E-2</v>
      </c>
      <c r="E2916" s="2">
        <v>0.107681755829903</v>
      </c>
      <c r="F2916" s="2">
        <v>0.12821400544707501</v>
      </c>
    </row>
    <row r="2917" spans="1:6" x14ac:dyDescent="0.25">
      <c r="A2917" s="1" t="str">
        <f t="shared" si="106"/>
        <v>13180</v>
      </c>
      <c r="B2917" s="1" t="str">
        <f>"53032"</f>
        <v>53032</v>
      </c>
      <c r="C2917" s="2">
        <v>5.6385921283020703E-2</v>
      </c>
      <c r="D2917" s="2">
        <v>6.1357171881349003E-2</v>
      </c>
      <c r="E2917" s="2">
        <v>5.3497942386831199E-2</v>
      </c>
      <c r="F2917" s="2">
        <v>5.6571112034344201E-2</v>
      </c>
    </row>
    <row r="2918" spans="1:6" x14ac:dyDescent="0.25">
      <c r="A2918" s="1" t="str">
        <f t="shared" si="106"/>
        <v>13180</v>
      </c>
      <c r="B2918" s="1" t="str">
        <f>"53034"</f>
        <v>53034</v>
      </c>
      <c r="C2918" s="2">
        <v>1.8169360773466599E-2</v>
      </c>
      <c r="D2918" s="2">
        <v>8.5331166192604592E-3</v>
      </c>
      <c r="E2918" s="2">
        <v>1.85185185185185E-2</v>
      </c>
      <c r="F2918" s="2">
        <v>1.7633753404422199E-2</v>
      </c>
    </row>
    <row r="2919" spans="1:6" x14ac:dyDescent="0.25">
      <c r="A2919" s="1" t="str">
        <f t="shared" si="106"/>
        <v>13180</v>
      </c>
      <c r="B2919" s="1" t="str">
        <f>"53035"</f>
        <v>53035</v>
      </c>
      <c r="C2919" s="2">
        <v>2.5300073590986301E-2</v>
      </c>
      <c r="D2919" s="2">
        <v>1.2596505485574901E-2</v>
      </c>
      <c r="E2919" s="2">
        <v>7.5445816186556899E-3</v>
      </c>
      <c r="F2919" s="2">
        <v>2.3980981396851699E-2</v>
      </c>
    </row>
    <row r="2920" spans="1:6" x14ac:dyDescent="0.25">
      <c r="A2920" s="1" t="str">
        <f t="shared" si="106"/>
        <v>13180</v>
      </c>
      <c r="B2920" s="1" t="str">
        <f>"53006"</f>
        <v>53006</v>
      </c>
      <c r="C2920" s="2">
        <v>1.4210673230644301E-2</v>
      </c>
      <c r="D2920" s="2">
        <v>2.84437220642015E-3</v>
      </c>
      <c r="E2920" s="2">
        <v>6.1728395061728296E-3</v>
      </c>
      <c r="F2920" s="2">
        <v>1.3294557540506799E-2</v>
      </c>
    </row>
    <row r="2921" spans="1:6" x14ac:dyDescent="0.25">
      <c r="A2921" s="1" t="str">
        <f t="shared" si="106"/>
        <v>13180</v>
      </c>
      <c r="B2921" s="1" t="str">
        <f>"53946"</f>
        <v>53946</v>
      </c>
      <c r="C2921" s="2">
        <v>2.28385819778211E-4</v>
      </c>
      <c r="D2921" s="2">
        <v>4.0633888663145002E-4</v>
      </c>
      <c r="E2921" s="2">
        <v>0</v>
      </c>
      <c r="F2921" s="2">
        <v>2.30808290633799E-4</v>
      </c>
    </row>
    <row r="2922" spans="1:6" x14ac:dyDescent="0.25">
      <c r="A2922" s="1" t="str">
        <f t="shared" si="106"/>
        <v>13180</v>
      </c>
      <c r="B2922" s="1" t="str">
        <f>"53047"</f>
        <v>53047</v>
      </c>
      <c r="C2922" s="2">
        <v>7.3590986372979404E-4</v>
      </c>
      <c r="D2922" s="2">
        <v>0</v>
      </c>
      <c r="E2922" s="2">
        <v>6.8587105624142602E-4</v>
      </c>
      <c r="F2922" s="2">
        <v>6.9242487190139795E-4</v>
      </c>
    </row>
    <row r="2923" spans="1:6" x14ac:dyDescent="0.25">
      <c r="A2923" s="1" t="str">
        <f t="shared" si="106"/>
        <v>13180</v>
      </c>
      <c r="B2923" s="1" t="str">
        <f>"53027"</f>
        <v>53027</v>
      </c>
      <c r="C2923" s="2">
        <v>5.3797548658867699E-3</v>
      </c>
      <c r="D2923" s="2">
        <v>9.3457943925233603E-3</v>
      </c>
      <c r="E2923" s="2">
        <v>1.3717421124828501E-3</v>
      </c>
      <c r="F2923" s="2">
        <v>5.4701564880210397E-3</v>
      </c>
    </row>
    <row r="2924" spans="1:6" x14ac:dyDescent="0.25">
      <c r="A2924" s="1" t="str">
        <f t="shared" si="106"/>
        <v>13180</v>
      </c>
      <c r="B2924" s="1" t="str">
        <f>"53065"</f>
        <v>53065</v>
      </c>
      <c r="C2924" s="2">
        <v>1.5225721318547401E-4</v>
      </c>
      <c r="D2924" s="2">
        <v>0</v>
      </c>
      <c r="E2924" s="2">
        <v>0</v>
      </c>
      <c r="F2924" s="2">
        <v>1.3848497438027899E-4</v>
      </c>
    </row>
    <row r="2925" spans="1:6" x14ac:dyDescent="0.25">
      <c r="A2925" s="1" t="str">
        <f t="shared" si="106"/>
        <v>13180</v>
      </c>
      <c r="B2925" s="1" t="str">
        <f>"53059"</f>
        <v>53059</v>
      </c>
      <c r="C2925" s="2">
        <v>2.01233283426802E-2</v>
      </c>
      <c r="D2925" s="2">
        <v>6.5014221861032099E-3</v>
      </c>
      <c r="E2925" s="2">
        <v>1.7832647462277001E-2</v>
      </c>
      <c r="F2925" s="2">
        <v>1.92724922679222E-2</v>
      </c>
    </row>
    <row r="2926" spans="1:6" x14ac:dyDescent="0.25">
      <c r="A2926" s="1" t="str">
        <f t="shared" si="106"/>
        <v>13180</v>
      </c>
      <c r="B2926" s="1" t="str">
        <f>"53091"</f>
        <v>53091</v>
      </c>
      <c r="C2926" s="2">
        <v>2.3320729819575201E-2</v>
      </c>
      <c r="D2926" s="2">
        <v>9.75213327915481E-3</v>
      </c>
      <c r="E2926" s="2">
        <v>1.16598079561042E-2</v>
      </c>
      <c r="F2926" s="2">
        <v>2.21575959008447E-2</v>
      </c>
    </row>
    <row r="2927" spans="1:6" x14ac:dyDescent="0.25">
      <c r="A2927" s="1" t="str">
        <f t="shared" si="106"/>
        <v>13180</v>
      </c>
      <c r="B2927" s="1" t="str">
        <f>"53016"</f>
        <v>53016</v>
      </c>
      <c r="C2927" s="2">
        <v>4.4154591823787597E-3</v>
      </c>
      <c r="D2927" s="2">
        <v>0</v>
      </c>
      <c r="E2927" s="2">
        <v>3.4293552812071299E-3</v>
      </c>
      <c r="F2927" s="2">
        <v>4.1314684023450099E-3</v>
      </c>
    </row>
    <row r="2928" spans="1:6" x14ac:dyDescent="0.25">
      <c r="A2928" s="1" t="str">
        <f t="shared" si="106"/>
        <v>13180</v>
      </c>
      <c r="B2928" s="1" t="str">
        <f>"53048"</f>
        <v>53048</v>
      </c>
      <c r="C2928" s="2">
        <v>4.06272997183241E-2</v>
      </c>
      <c r="D2928" s="2">
        <v>2.6818366517675701E-2</v>
      </c>
      <c r="E2928" s="2">
        <v>7.0644718792866906E-2</v>
      </c>
      <c r="F2928" s="2">
        <v>4.0853067442182499E-2</v>
      </c>
    </row>
    <row r="2929" spans="1:6" x14ac:dyDescent="0.25">
      <c r="A2929" s="1" t="str">
        <f t="shared" si="106"/>
        <v>13180</v>
      </c>
      <c r="B2929" s="1" t="str">
        <f>"53036"</f>
        <v>53036</v>
      </c>
      <c r="C2929" s="2">
        <v>5.1006166417134E-3</v>
      </c>
      <c r="D2929" s="2">
        <v>1.6253555465258001E-3</v>
      </c>
      <c r="E2929" s="2">
        <v>1.3717421124828501E-3</v>
      </c>
      <c r="F2929" s="2">
        <v>4.7777316161196504E-3</v>
      </c>
    </row>
    <row r="2930" spans="1:6" x14ac:dyDescent="0.25">
      <c r="A2930" s="1" t="str">
        <f t="shared" si="106"/>
        <v>13180</v>
      </c>
      <c r="B2930" s="1" t="str">
        <f>"53916"</f>
        <v>53916</v>
      </c>
      <c r="C2930" s="2">
        <v>0.28576141294693802</v>
      </c>
      <c r="D2930" s="2">
        <v>0.453474197480698</v>
      </c>
      <c r="E2930" s="2">
        <v>0.33058984910836697</v>
      </c>
      <c r="F2930" s="2">
        <v>0.29679638092600202</v>
      </c>
    </row>
    <row r="2931" spans="1:6" x14ac:dyDescent="0.25">
      <c r="A2931" s="1" t="str">
        <f t="shared" si="106"/>
        <v>13180</v>
      </c>
      <c r="B2931" s="1" t="str">
        <f>"53925"</f>
        <v>53925</v>
      </c>
      <c r="C2931" s="2">
        <v>1.7788717740502901E-2</v>
      </c>
      <c r="D2931" s="2">
        <v>1.0564811052417701E-2</v>
      </c>
      <c r="E2931" s="2">
        <v>1.9204389574759902E-2</v>
      </c>
      <c r="F2931" s="2">
        <v>1.7426025942851801E-2</v>
      </c>
    </row>
    <row r="2932" spans="1:6" x14ac:dyDescent="0.25">
      <c r="A2932" s="1" t="str">
        <f t="shared" si="106"/>
        <v>13180</v>
      </c>
      <c r="B2932" s="1" t="str">
        <f>"53099"</f>
        <v>53099</v>
      </c>
      <c r="C2932" s="2">
        <v>4.5677163955642298E-4</v>
      </c>
      <c r="D2932" s="2">
        <v>2.0316944331572502E-3</v>
      </c>
      <c r="E2932" s="2">
        <v>0</v>
      </c>
      <c r="F2932" s="2">
        <v>5.30859068457739E-4</v>
      </c>
    </row>
    <row r="2933" spans="1:6" x14ac:dyDescent="0.25">
      <c r="A2933" s="1" t="str">
        <f t="shared" si="106"/>
        <v>13180</v>
      </c>
      <c r="B2933" s="1" t="str">
        <f>"53579"</f>
        <v>53579</v>
      </c>
      <c r="C2933" s="2">
        <v>2.2026543507498601E-2</v>
      </c>
      <c r="D2933" s="2">
        <v>8.5331166192604592E-3</v>
      </c>
      <c r="E2933" s="2">
        <v>9.6021947873799699E-3</v>
      </c>
      <c r="F2933" s="2">
        <v>2.08419886442321E-2</v>
      </c>
    </row>
    <row r="2934" spans="1:6" x14ac:dyDescent="0.25">
      <c r="A2934" s="1" t="str">
        <f t="shared" si="106"/>
        <v>13180</v>
      </c>
      <c r="B2934" s="1" t="str">
        <f>"53003"</f>
        <v>53003</v>
      </c>
      <c r="C2934" s="2">
        <v>1.82708655822569E-3</v>
      </c>
      <c r="D2934" s="2">
        <v>0</v>
      </c>
      <c r="E2934" s="2">
        <v>4.1152263374485496E-3</v>
      </c>
      <c r="F2934" s="2">
        <v>1.8003046669436301E-3</v>
      </c>
    </row>
    <row r="2935" spans="1:6" x14ac:dyDescent="0.25">
      <c r="A2935" s="1" t="str">
        <f t="shared" si="106"/>
        <v>13180</v>
      </c>
      <c r="B2935" s="1" t="str">
        <f>"53039"</f>
        <v>53039</v>
      </c>
      <c r="C2935" s="2">
        <v>4.7529626716065601E-2</v>
      </c>
      <c r="D2935" s="2">
        <v>5.7700121901665902E-2</v>
      </c>
      <c r="E2935" s="2">
        <v>6.6529492455418296E-2</v>
      </c>
      <c r="F2935" s="2">
        <v>4.8746710981858399E-2</v>
      </c>
    </row>
    <row r="2936" spans="1:6" x14ac:dyDescent="0.25">
      <c r="A2936" s="1" t="str">
        <f t="shared" si="106"/>
        <v>13180</v>
      </c>
      <c r="B2936" s="1" t="str">
        <f>"53078"</f>
        <v>53078</v>
      </c>
      <c r="C2936" s="2">
        <v>1.9057527850381902E-2</v>
      </c>
      <c r="D2936" s="2">
        <v>6.9077610727346604E-3</v>
      </c>
      <c r="E2936" s="2">
        <v>1.3717421124828501E-3</v>
      </c>
      <c r="F2936" s="2">
        <v>1.7772238378802499E-2</v>
      </c>
    </row>
    <row r="2937" spans="1:6" x14ac:dyDescent="0.25">
      <c r="A2937" s="1" t="str">
        <f t="shared" si="106"/>
        <v>13180</v>
      </c>
      <c r="B2937" s="1" t="str">
        <f>"53922"</f>
        <v>53922</v>
      </c>
      <c r="C2937" s="2">
        <v>1.07341335295759E-2</v>
      </c>
      <c r="D2937" s="2">
        <v>7.3140999593661101E-3</v>
      </c>
      <c r="E2937" s="2">
        <v>2.05761316872427E-3</v>
      </c>
      <c r="F2937" s="2">
        <v>1.02478881041407E-2</v>
      </c>
    </row>
    <row r="2938" spans="1:6" x14ac:dyDescent="0.25">
      <c r="A2938" s="1" t="str">
        <f t="shared" ref="A2938:A2969" si="107">"13220"</f>
        <v>13220</v>
      </c>
      <c r="B2938" s="1" t="str">
        <f>"25844"</f>
        <v>25844</v>
      </c>
      <c r="C2938" s="2">
        <v>3.8044269695645802E-3</v>
      </c>
      <c r="D2938" s="2">
        <v>6.7919402309259602E-4</v>
      </c>
      <c r="E2938" s="2">
        <v>1.31406044678055E-3</v>
      </c>
      <c r="F2938" s="2">
        <v>3.5432677911967198E-3</v>
      </c>
    </row>
    <row r="2939" spans="1:6" x14ac:dyDescent="0.25">
      <c r="A2939" s="1" t="str">
        <f t="shared" si="107"/>
        <v>13220</v>
      </c>
      <c r="B2939" s="1" t="str">
        <f>"25839"</f>
        <v>25839</v>
      </c>
      <c r="C2939" s="2">
        <v>3.22193097422455E-3</v>
      </c>
      <c r="D2939" s="2">
        <v>2.2639800769753201E-4</v>
      </c>
      <c r="E2939" s="2">
        <v>1.31406044678055E-3</v>
      </c>
      <c r="F2939" s="2">
        <v>2.9776757494094498E-3</v>
      </c>
    </row>
    <row r="2940" spans="1:6" x14ac:dyDescent="0.25">
      <c r="A2940" s="1" t="str">
        <f t="shared" si="107"/>
        <v>13220</v>
      </c>
      <c r="B2940" s="1" t="str">
        <f>"25846"</f>
        <v>25846</v>
      </c>
      <c r="C2940" s="2">
        <v>2.0023299839813601E-4</v>
      </c>
      <c r="D2940" s="2">
        <v>2.7167760923703802E-3</v>
      </c>
      <c r="E2940" s="2">
        <v>3.9421813403416502E-3</v>
      </c>
      <c r="F2940" s="2">
        <v>4.3251156136673598E-4</v>
      </c>
    </row>
    <row r="2941" spans="1:6" x14ac:dyDescent="0.25">
      <c r="A2941" s="1" t="str">
        <f t="shared" si="107"/>
        <v>13220</v>
      </c>
      <c r="B2941" s="1" t="str">
        <f>"25812"</f>
        <v>25812</v>
      </c>
      <c r="C2941" s="2">
        <v>7.1355759429153898E-3</v>
      </c>
      <c r="D2941" s="2">
        <v>1.1319900384876599E-3</v>
      </c>
      <c r="E2941" s="2">
        <v>3.9421813403416502E-3</v>
      </c>
      <c r="F2941" s="2">
        <v>6.6540240210267096E-3</v>
      </c>
    </row>
    <row r="2942" spans="1:6" x14ac:dyDescent="0.25">
      <c r="A2942" s="1" t="str">
        <f t="shared" si="107"/>
        <v>13220</v>
      </c>
      <c r="B2942" s="1" t="str">
        <f>"25831"</f>
        <v>25831</v>
      </c>
      <c r="C2942" s="2">
        <v>1.45077908839376E-2</v>
      </c>
      <c r="D2942" s="2">
        <v>6.7919402309259602E-4</v>
      </c>
      <c r="E2942" s="2">
        <v>0</v>
      </c>
      <c r="F2942" s="2">
        <v>1.33080480420534E-2</v>
      </c>
    </row>
    <row r="2943" spans="1:6" x14ac:dyDescent="0.25">
      <c r="A2943" s="1" t="str">
        <f t="shared" si="107"/>
        <v>13220</v>
      </c>
      <c r="B2943" s="1" t="str">
        <f>"25865"</f>
        <v>25865</v>
      </c>
      <c r="C2943" s="2">
        <v>5.9705839522353199E-3</v>
      </c>
      <c r="D2943" s="2">
        <v>6.7919402309259602E-4</v>
      </c>
      <c r="E2943" s="2">
        <v>1.31406044678055E-3</v>
      </c>
      <c r="F2943" s="2">
        <v>5.5228399374521696E-3</v>
      </c>
    </row>
    <row r="2944" spans="1:6" x14ac:dyDescent="0.25">
      <c r="A2944" s="1" t="str">
        <f t="shared" si="107"/>
        <v>13220</v>
      </c>
      <c r="B2944" s="1" t="str">
        <f>"25868"</f>
        <v>25868</v>
      </c>
      <c r="C2944" s="2">
        <v>2.4027959807776298E-3</v>
      </c>
      <c r="D2944" s="2">
        <v>1.1319900384876599E-3</v>
      </c>
      <c r="E2944" s="2">
        <v>2.6281208935611E-3</v>
      </c>
      <c r="F2944" s="2">
        <v>2.3122733473067798E-3</v>
      </c>
    </row>
    <row r="2945" spans="1:6" x14ac:dyDescent="0.25">
      <c r="A2945" s="1" t="str">
        <f t="shared" si="107"/>
        <v>13220</v>
      </c>
      <c r="B2945" s="1" t="str">
        <f>"25118"</f>
        <v>25118</v>
      </c>
      <c r="C2945" s="2">
        <v>2.2935779816513702E-3</v>
      </c>
      <c r="D2945" s="2">
        <v>0</v>
      </c>
      <c r="E2945" s="2">
        <v>1.31406044678055E-3</v>
      </c>
      <c r="F2945" s="2">
        <v>2.1126526266759798E-3</v>
      </c>
    </row>
    <row r="2946" spans="1:6" x14ac:dyDescent="0.25">
      <c r="A2946" s="1" t="str">
        <f t="shared" si="107"/>
        <v>13220</v>
      </c>
      <c r="B2946" s="1" t="str">
        <f>"25801"</f>
        <v>25801</v>
      </c>
      <c r="C2946" s="2">
        <v>0.28576889471384798</v>
      </c>
      <c r="D2946" s="2">
        <v>0.42562825447135999</v>
      </c>
      <c r="E2946" s="2">
        <v>0.49802890932982902</v>
      </c>
      <c r="F2946" s="2">
        <v>0.29873240842399401</v>
      </c>
    </row>
    <row r="2947" spans="1:6" x14ac:dyDescent="0.25">
      <c r="A2947" s="1" t="str">
        <f t="shared" si="107"/>
        <v>13220</v>
      </c>
      <c r="B2947" s="1" t="str">
        <f>"25813"</f>
        <v>25813</v>
      </c>
      <c r="C2947" s="2">
        <v>7.01907674384738E-2</v>
      </c>
      <c r="D2947" s="2">
        <v>7.0636178401630001E-2</v>
      </c>
      <c r="E2947" s="2">
        <v>1.7082785808147101E-2</v>
      </c>
      <c r="F2947" s="2">
        <v>6.9551186079781696E-2</v>
      </c>
    </row>
    <row r="2948" spans="1:6" x14ac:dyDescent="0.25">
      <c r="A2948" s="1" t="str">
        <f t="shared" si="107"/>
        <v>13220</v>
      </c>
      <c r="B2948" s="1" t="str">
        <f>"25918"</f>
        <v>25918</v>
      </c>
      <c r="C2948" s="2">
        <v>5.4263142565894797E-2</v>
      </c>
      <c r="D2948" s="2">
        <v>2.58093728775186E-2</v>
      </c>
      <c r="E2948" s="2">
        <v>5.2562417871221999E-3</v>
      </c>
      <c r="F2948" s="2">
        <v>5.1552051102904402E-2</v>
      </c>
    </row>
    <row r="2949" spans="1:6" x14ac:dyDescent="0.25">
      <c r="A2949" s="1" t="str">
        <f t="shared" si="107"/>
        <v>13220</v>
      </c>
      <c r="B2949" s="1" t="str">
        <f>"25976"</f>
        <v>25976</v>
      </c>
      <c r="C2949" s="2">
        <v>1.2487257900101899E-2</v>
      </c>
      <c r="D2949" s="2">
        <v>3.8487661308580401E-3</v>
      </c>
      <c r="E2949" s="2">
        <v>3.9421813403416502E-3</v>
      </c>
      <c r="F2949" s="2">
        <v>1.17443523971121E-2</v>
      </c>
    </row>
    <row r="2950" spans="1:6" x14ac:dyDescent="0.25">
      <c r="A2950" s="1" t="str">
        <f t="shared" si="107"/>
        <v>13220</v>
      </c>
      <c r="B2950" s="1" t="str">
        <f>"25951"</f>
        <v>25951</v>
      </c>
      <c r="C2950" s="2">
        <v>3.05810397553516E-3</v>
      </c>
      <c r="D2950" s="2">
        <v>2.2639800769753201E-4</v>
      </c>
      <c r="E2950" s="2">
        <v>0</v>
      </c>
      <c r="F2950" s="2">
        <v>2.8113251488837798E-3</v>
      </c>
    </row>
    <row r="2951" spans="1:6" x14ac:dyDescent="0.25">
      <c r="A2951" s="1" t="str">
        <f t="shared" si="107"/>
        <v>13220</v>
      </c>
      <c r="B2951" s="1" t="str">
        <f>"25853"</f>
        <v>25853</v>
      </c>
      <c r="C2951" s="2">
        <v>0</v>
      </c>
      <c r="D2951" s="2">
        <v>0</v>
      </c>
      <c r="E2951" s="2">
        <v>1.31406044678055E-3</v>
      </c>
      <c r="F2951" s="2">
        <v>1.6635060052566699E-5</v>
      </c>
    </row>
    <row r="2952" spans="1:6" x14ac:dyDescent="0.25">
      <c r="A2952" s="1" t="str">
        <f t="shared" si="107"/>
        <v>13220</v>
      </c>
      <c r="B2952" s="1" t="str">
        <f>"25871"</f>
        <v>25871</v>
      </c>
      <c r="C2952" s="2">
        <v>0</v>
      </c>
      <c r="D2952" s="2">
        <v>0</v>
      </c>
      <c r="E2952" s="2">
        <v>3.9421813403416502E-3</v>
      </c>
      <c r="F2952" s="2">
        <v>4.9905180157700299E-5</v>
      </c>
    </row>
    <row r="2953" spans="1:6" x14ac:dyDescent="0.25">
      <c r="A2953" s="1" t="str">
        <f t="shared" si="107"/>
        <v>13220</v>
      </c>
      <c r="B2953" s="1" t="str">
        <f>"25817"</f>
        <v>25817</v>
      </c>
      <c r="C2953" s="2">
        <v>5.0968399592252796E-4</v>
      </c>
      <c r="D2953" s="2">
        <v>0</v>
      </c>
      <c r="E2953" s="2">
        <v>1.31406044678055E-3</v>
      </c>
      <c r="F2953" s="2">
        <v>4.8241674152443598E-4</v>
      </c>
    </row>
    <row r="2954" spans="1:6" x14ac:dyDescent="0.25">
      <c r="A2954" s="1" t="str">
        <f t="shared" si="107"/>
        <v>13220</v>
      </c>
      <c r="B2954" s="1" t="str">
        <f>"25879"</f>
        <v>25879</v>
      </c>
      <c r="C2954" s="2">
        <v>1.8202999854376E-5</v>
      </c>
      <c r="D2954" s="2">
        <v>2.2639800769753201E-4</v>
      </c>
      <c r="E2954" s="2">
        <v>0</v>
      </c>
      <c r="F2954" s="2">
        <v>3.3270120105133499E-5</v>
      </c>
    </row>
    <row r="2955" spans="1:6" x14ac:dyDescent="0.25">
      <c r="A2955" s="1" t="str">
        <f t="shared" si="107"/>
        <v>13220</v>
      </c>
      <c r="B2955" s="1" t="str">
        <f>"25173"</f>
        <v>25173</v>
      </c>
      <c r="C2955" s="2">
        <v>2.7122469783020199E-3</v>
      </c>
      <c r="D2955" s="2">
        <v>2.2639800769753201E-4</v>
      </c>
      <c r="E2955" s="2">
        <v>0</v>
      </c>
      <c r="F2955" s="2">
        <v>2.49525900788501E-3</v>
      </c>
    </row>
    <row r="2956" spans="1:6" x14ac:dyDescent="0.25">
      <c r="A2956" s="1" t="str">
        <f t="shared" si="107"/>
        <v>13220</v>
      </c>
      <c r="B2956" s="1" t="str">
        <f>"25873"</f>
        <v>25873</v>
      </c>
      <c r="C2956" s="2">
        <v>1.39799038881607E-2</v>
      </c>
      <c r="D2956" s="2">
        <v>6.7919402309259604E-3</v>
      </c>
      <c r="E2956" s="2">
        <v>3.9421813403416502E-3</v>
      </c>
      <c r="F2956" s="2">
        <v>1.33246831021059E-2</v>
      </c>
    </row>
    <row r="2957" spans="1:6" x14ac:dyDescent="0.25">
      <c r="A2957" s="1" t="str">
        <f t="shared" si="107"/>
        <v>13220</v>
      </c>
      <c r="B2957" s="1" t="str">
        <f>"25843"</f>
        <v>25843</v>
      </c>
      <c r="C2957" s="2">
        <v>5.0058249599533996E-3</v>
      </c>
      <c r="D2957" s="2">
        <v>1.58478605388272E-3</v>
      </c>
      <c r="E2957" s="2">
        <v>1.31406044678055E-3</v>
      </c>
      <c r="F2957" s="2">
        <v>4.7077219948763998E-3</v>
      </c>
    </row>
    <row r="2958" spans="1:6" x14ac:dyDescent="0.25">
      <c r="A2958" s="1" t="str">
        <f t="shared" si="107"/>
        <v>13220</v>
      </c>
      <c r="B2958" s="1" t="str">
        <f>"25837"</f>
        <v>25837</v>
      </c>
      <c r="C2958" s="2">
        <v>1.49264598805883E-3</v>
      </c>
      <c r="D2958" s="2">
        <v>4.5279601539506401E-4</v>
      </c>
      <c r="E2958" s="2">
        <v>0</v>
      </c>
      <c r="F2958" s="2">
        <v>1.39734504441561E-3</v>
      </c>
    </row>
    <row r="2959" spans="1:6" x14ac:dyDescent="0.25">
      <c r="A2959" s="1" t="str">
        <f t="shared" si="107"/>
        <v>13220</v>
      </c>
      <c r="B2959" s="1" t="str">
        <f>"25921"</f>
        <v>25921</v>
      </c>
      <c r="C2959" s="2">
        <v>1.1649919906800599E-3</v>
      </c>
      <c r="D2959" s="2">
        <v>6.7919402309259602E-4</v>
      </c>
      <c r="E2959" s="2">
        <v>1.31406044678055E-3</v>
      </c>
      <c r="F2959" s="2">
        <v>1.13118408357454E-3</v>
      </c>
    </row>
    <row r="2960" spans="1:6" x14ac:dyDescent="0.25">
      <c r="A2960" s="1" t="str">
        <f t="shared" si="107"/>
        <v>13220</v>
      </c>
      <c r="B2960" s="1" t="str">
        <f>"25855"</f>
        <v>25855</v>
      </c>
      <c r="C2960" s="2">
        <v>0</v>
      </c>
      <c r="D2960" s="2">
        <v>2.2639800769753201E-4</v>
      </c>
      <c r="E2960" s="2">
        <v>0</v>
      </c>
      <c r="F2960" s="2">
        <v>1.6635060052566699E-5</v>
      </c>
    </row>
    <row r="2961" spans="1:6" x14ac:dyDescent="0.25">
      <c r="A2961" s="1" t="str">
        <f t="shared" si="107"/>
        <v>13220</v>
      </c>
      <c r="B2961" s="1" t="str">
        <f>"25860"</f>
        <v>25860</v>
      </c>
      <c r="C2961" s="2">
        <v>0</v>
      </c>
      <c r="D2961" s="2">
        <v>2.2639800769753201E-4</v>
      </c>
      <c r="E2961" s="2">
        <v>0</v>
      </c>
      <c r="F2961" s="2">
        <v>1.6635060052566699E-5</v>
      </c>
    </row>
    <row r="2962" spans="1:6" x14ac:dyDescent="0.25">
      <c r="A2962" s="1" t="str">
        <f t="shared" si="107"/>
        <v>13220</v>
      </c>
      <c r="B2962" s="1" t="str">
        <f>"25919"</f>
        <v>25919</v>
      </c>
      <c r="C2962" s="2">
        <v>0</v>
      </c>
      <c r="D2962" s="2">
        <v>0</v>
      </c>
      <c r="E2962" s="2">
        <v>1.31406044678055E-3</v>
      </c>
      <c r="F2962" s="2">
        <v>1.6635060052566699E-5</v>
      </c>
    </row>
    <row r="2963" spans="1:6" x14ac:dyDescent="0.25">
      <c r="A2963" s="1" t="str">
        <f t="shared" si="107"/>
        <v>13220</v>
      </c>
      <c r="B2963" s="1" t="str">
        <f>"25031"</f>
        <v>25031</v>
      </c>
      <c r="C2963" s="2">
        <v>5.4608999563127997E-5</v>
      </c>
      <c r="D2963" s="2">
        <v>2.2639800769753201E-4</v>
      </c>
      <c r="E2963" s="2">
        <v>0</v>
      </c>
      <c r="F2963" s="2">
        <v>6.6540240210267106E-5</v>
      </c>
    </row>
    <row r="2964" spans="1:6" x14ac:dyDescent="0.25">
      <c r="A2964" s="1" t="str">
        <f t="shared" si="107"/>
        <v>13220</v>
      </c>
      <c r="B2964" s="1" t="str">
        <f>"26656"</f>
        <v>26656</v>
      </c>
      <c r="C2964" s="2">
        <v>5.6429299548565602E-4</v>
      </c>
      <c r="D2964" s="2">
        <v>0</v>
      </c>
      <c r="E2964" s="2">
        <v>0</v>
      </c>
      <c r="F2964" s="2">
        <v>5.1568686162957E-4</v>
      </c>
    </row>
    <row r="2965" spans="1:6" x14ac:dyDescent="0.25">
      <c r="A2965" s="1" t="str">
        <f t="shared" si="107"/>
        <v>13220</v>
      </c>
      <c r="B2965" s="1" t="str">
        <f>"25823"</f>
        <v>25823</v>
      </c>
      <c r="C2965" s="2">
        <v>2.8578709771370299E-3</v>
      </c>
      <c r="D2965" s="2">
        <v>1.1319900384876599E-3</v>
      </c>
      <c r="E2965" s="2">
        <v>5.2562417871221999E-3</v>
      </c>
      <c r="F2965" s="2">
        <v>2.76141996872608E-3</v>
      </c>
    </row>
    <row r="2966" spans="1:6" x14ac:dyDescent="0.25">
      <c r="A2966" s="1" t="str">
        <f t="shared" si="107"/>
        <v>13220</v>
      </c>
      <c r="B2966" s="1" t="str">
        <f>"26690"</f>
        <v>26690</v>
      </c>
      <c r="C2966" s="2">
        <v>2.6576379787388899E-3</v>
      </c>
      <c r="D2966" s="2">
        <v>1.81118406158025E-3</v>
      </c>
      <c r="E2966" s="2">
        <v>0</v>
      </c>
      <c r="F2966" s="2">
        <v>2.56179924809528E-3</v>
      </c>
    </row>
    <row r="2967" spans="1:6" x14ac:dyDescent="0.25">
      <c r="A2967" s="1" t="str">
        <f t="shared" si="107"/>
        <v>13220</v>
      </c>
      <c r="B2967" s="1" t="str">
        <f>"25911"</f>
        <v>25911</v>
      </c>
      <c r="C2967" s="2">
        <v>0</v>
      </c>
      <c r="D2967" s="2">
        <v>0</v>
      </c>
      <c r="E2967" s="2">
        <v>1.31406044678055E-3</v>
      </c>
      <c r="F2967" s="2">
        <v>1.6635060052566699E-5</v>
      </c>
    </row>
    <row r="2968" spans="1:6" x14ac:dyDescent="0.25">
      <c r="A2968" s="1" t="str">
        <f t="shared" si="107"/>
        <v>13220</v>
      </c>
      <c r="B2968" s="1" t="str">
        <f>"25907"</f>
        <v>25907</v>
      </c>
      <c r="C2968" s="2">
        <v>0</v>
      </c>
      <c r="D2968" s="2">
        <v>2.2639800769753201E-4</v>
      </c>
      <c r="E2968" s="2">
        <v>0</v>
      </c>
      <c r="F2968" s="2">
        <v>1.6635060052566699E-5</v>
      </c>
    </row>
    <row r="2969" spans="1:6" x14ac:dyDescent="0.25">
      <c r="A2969" s="1" t="str">
        <f t="shared" si="107"/>
        <v>13220</v>
      </c>
      <c r="B2969" s="1" t="str">
        <f>"25811"</f>
        <v>25811</v>
      </c>
      <c r="C2969" s="2">
        <v>8.1913499344692E-4</v>
      </c>
      <c r="D2969" s="2">
        <v>0</v>
      </c>
      <c r="E2969" s="2">
        <v>1.31406044678055E-3</v>
      </c>
      <c r="F2969" s="2">
        <v>7.6521276241807196E-4</v>
      </c>
    </row>
    <row r="2970" spans="1:6" x14ac:dyDescent="0.25">
      <c r="A2970" s="1" t="str">
        <f t="shared" ref="A2970:A3001" si="108">"13220"</f>
        <v>13220</v>
      </c>
      <c r="B2970" s="1" t="str">
        <f>"25904"</f>
        <v>25904</v>
      </c>
      <c r="C2970" s="2">
        <v>1.8202999854376E-5</v>
      </c>
      <c r="D2970" s="2">
        <v>0</v>
      </c>
      <c r="E2970" s="2">
        <v>1.31406044678055E-3</v>
      </c>
      <c r="F2970" s="2">
        <v>3.3270120105133499E-5</v>
      </c>
    </row>
    <row r="2971" spans="1:6" x14ac:dyDescent="0.25">
      <c r="A2971" s="1" t="str">
        <f t="shared" si="108"/>
        <v>13220</v>
      </c>
      <c r="B2971" s="1" t="str">
        <f>"25048"</f>
        <v>25048</v>
      </c>
      <c r="C2971" s="2">
        <v>2.6758409785932699E-3</v>
      </c>
      <c r="D2971" s="2">
        <v>0</v>
      </c>
      <c r="E2971" s="2">
        <v>1.31406044678055E-3</v>
      </c>
      <c r="F2971" s="2">
        <v>2.46198888777988E-3</v>
      </c>
    </row>
    <row r="2972" spans="1:6" x14ac:dyDescent="0.25">
      <c r="A2972" s="1" t="str">
        <f t="shared" si="108"/>
        <v>13220</v>
      </c>
      <c r="B2972" s="1" t="str">
        <f>"25832"</f>
        <v>25832</v>
      </c>
      <c r="C2972" s="2">
        <v>5.3079947575360401E-2</v>
      </c>
      <c r="D2972" s="2">
        <v>3.1469323069956902E-2</v>
      </c>
      <c r="E2972" s="2">
        <v>2.6281208935611E-3</v>
      </c>
      <c r="F2972" s="2">
        <v>5.08533785806966E-2</v>
      </c>
    </row>
    <row r="2973" spans="1:6" x14ac:dyDescent="0.25">
      <c r="A2973" s="1" t="str">
        <f t="shared" si="108"/>
        <v>13220</v>
      </c>
      <c r="B2973" s="1" t="str">
        <f>"25915"</f>
        <v>25915</v>
      </c>
      <c r="C2973" s="2">
        <v>1.49264598805883E-3</v>
      </c>
      <c r="D2973" s="2">
        <v>2.2639800769753201E-4</v>
      </c>
      <c r="E2973" s="2">
        <v>1.31406044678055E-3</v>
      </c>
      <c r="F2973" s="2">
        <v>1.39734504441561E-3</v>
      </c>
    </row>
    <row r="2974" spans="1:6" x14ac:dyDescent="0.25">
      <c r="A2974" s="1" t="str">
        <f t="shared" si="108"/>
        <v>13220</v>
      </c>
      <c r="B2974" s="1" t="str">
        <f>"26680"</f>
        <v>26680</v>
      </c>
      <c r="C2974" s="2">
        <v>1.7838939857288401E-3</v>
      </c>
      <c r="D2974" s="2">
        <v>2.2639800769753201E-4</v>
      </c>
      <c r="E2974" s="2">
        <v>0</v>
      </c>
      <c r="F2974" s="2">
        <v>1.64687094520411E-3</v>
      </c>
    </row>
    <row r="2975" spans="1:6" x14ac:dyDescent="0.25">
      <c r="A2975" s="1" t="str">
        <f t="shared" si="108"/>
        <v>13220</v>
      </c>
      <c r="B2975" s="1" t="str">
        <f>"25062"</f>
        <v>25062</v>
      </c>
      <c r="C2975" s="2">
        <v>1.2742099898063199E-3</v>
      </c>
      <c r="D2975" s="2">
        <v>2.2639800769753201E-4</v>
      </c>
      <c r="E2975" s="2">
        <v>1.31406044678055E-3</v>
      </c>
      <c r="F2975" s="2">
        <v>1.1977243237848E-3</v>
      </c>
    </row>
    <row r="2976" spans="1:6" x14ac:dyDescent="0.25">
      <c r="A2976" s="1" t="str">
        <f t="shared" si="108"/>
        <v>13220</v>
      </c>
      <c r="B2976" s="1" t="str">
        <f>"25140"</f>
        <v>25140</v>
      </c>
      <c r="C2976" s="2">
        <v>7.7544779379641699E-3</v>
      </c>
      <c r="D2976" s="2">
        <v>2.0375820692777901E-3</v>
      </c>
      <c r="E2976" s="2">
        <v>1.31406044678055E-3</v>
      </c>
      <c r="F2976" s="2">
        <v>7.25288618291912E-3</v>
      </c>
    </row>
    <row r="2977" spans="1:6" x14ac:dyDescent="0.25">
      <c r="A2977" s="1" t="str">
        <f t="shared" si="108"/>
        <v>13220</v>
      </c>
      <c r="B2977" s="1" t="str">
        <f>"25840"</f>
        <v>25840</v>
      </c>
      <c r="C2977" s="2">
        <v>6.6641182466870494E-2</v>
      </c>
      <c r="D2977" s="2">
        <v>5.4561919855105202E-2</v>
      </c>
      <c r="E2977" s="2">
        <v>7.3587385019710905E-2</v>
      </c>
      <c r="F2977" s="2">
        <v>6.5841567688059294E-2</v>
      </c>
    </row>
    <row r="2978" spans="1:6" x14ac:dyDescent="0.25">
      <c r="A2978" s="1" t="str">
        <f t="shared" si="108"/>
        <v>13220</v>
      </c>
      <c r="B2978" s="1" t="str">
        <f>"25880"</f>
        <v>25880</v>
      </c>
      <c r="C2978" s="2">
        <v>5.3607834571137297E-2</v>
      </c>
      <c r="D2978" s="2">
        <v>6.5202626216889201E-2</v>
      </c>
      <c r="E2978" s="2">
        <v>3.6793692509855397E-2</v>
      </c>
      <c r="F2978" s="2">
        <v>5.4246930831420299E-2</v>
      </c>
    </row>
    <row r="2979" spans="1:6" x14ac:dyDescent="0.25">
      <c r="A2979" s="1" t="str">
        <f t="shared" si="108"/>
        <v>13220</v>
      </c>
      <c r="B2979" s="1" t="str">
        <f>"25917"</f>
        <v>25917</v>
      </c>
      <c r="C2979" s="2">
        <v>1.7656909858744699E-2</v>
      </c>
      <c r="D2979" s="2">
        <v>3.1695721077654501E-3</v>
      </c>
      <c r="E2979" s="2">
        <v>7.8843626806833107E-3</v>
      </c>
      <c r="F2979" s="2">
        <v>1.6468709452041101E-2</v>
      </c>
    </row>
    <row r="2980" spans="1:6" x14ac:dyDescent="0.25">
      <c r="A2980" s="1" t="str">
        <f t="shared" si="108"/>
        <v>13220</v>
      </c>
      <c r="B2980" s="1" t="str">
        <f>"25938"</f>
        <v>25938</v>
      </c>
      <c r="C2980" s="2">
        <v>1.3251783893985699E-2</v>
      </c>
      <c r="D2980" s="2">
        <v>1.1319900384876599E-3</v>
      </c>
      <c r="E2980" s="2">
        <v>0</v>
      </c>
      <c r="F2980" s="2">
        <v>1.21934990185314E-2</v>
      </c>
    </row>
    <row r="2981" spans="1:6" x14ac:dyDescent="0.25">
      <c r="A2981" s="1" t="str">
        <f t="shared" si="108"/>
        <v>13220</v>
      </c>
      <c r="B2981" s="1" t="str">
        <f>"25866"</f>
        <v>25866</v>
      </c>
      <c r="C2981" s="2">
        <v>0</v>
      </c>
      <c r="D2981" s="2">
        <v>2.2639800769753201E-4</v>
      </c>
      <c r="E2981" s="2">
        <v>0</v>
      </c>
      <c r="F2981" s="2">
        <v>1.6635060052566699E-5</v>
      </c>
    </row>
    <row r="2982" spans="1:6" x14ac:dyDescent="0.25">
      <c r="A2982" s="1" t="str">
        <f t="shared" si="108"/>
        <v>13220</v>
      </c>
      <c r="B2982" s="1" t="str">
        <f>"25085"</f>
        <v>25085</v>
      </c>
      <c r="C2982" s="2">
        <v>8.3733799330129599E-4</v>
      </c>
      <c r="D2982" s="2">
        <v>9.05592030790129E-4</v>
      </c>
      <c r="E2982" s="2">
        <v>1.31406044678055E-3</v>
      </c>
      <c r="F2982" s="2">
        <v>8.4838806268090598E-4</v>
      </c>
    </row>
    <row r="2983" spans="1:6" x14ac:dyDescent="0.25">
      <c r="A2983" s="1" t="str">
        <f t="shared" si="108"/>
        <v>13220</v>
      </c>
      <c r="B2983" s="1" t="str">
        <f>"25090"</f>
        <v>25090</v>
      </c>
      <c r="C2983" s="2">
        <v>5.4608999563127997E-5</v>
      </c>
      <c r="D2983" s="2">
        <v>2.2639800769753201E-4</v>
      </c>
      <c r="E2983" s="2">
        <v>0</v>
      </c>
      <c r="F2983" s="2">
        <v>6.6540240210267106E-5</v>
      </c>
    </row>
    <row r="2984" spans="1:6" x14ac:dyDescent="0.25">
      <c r="A2984" s="1" t="str">
        <f t="shared" si="108"/>
        <v>13220</v>
      </c>
      <c r="B2984" s="1" t="str">
        <f>"25836"</f>
        <v>25836</v>
      </c>
      <c r="C2984" s="2">
        <v>1.8202999854376E-5</v>
      </c>
      <c r="D2984" s="2">
        <v>0</v>
      </c>
      <c r="E2984" s="2">
        <v>1.31406044678055E-3</v>
      </c>
      <c r="F2984" s="2">
        <v>3.3270120105133499E-5</v>
      </c>
    </row>
    <row r="2985" spans="1:6" x14ac:dyDescent="0.25">
      <c r="A2985" s="1" t="str">
        <f t="shared" si="108"/>
        <v>13220</v>
      </c>
      <c r="B2985" s="1" t="str">
        <f>"25862"</f>
        <v>25862</v>
      </c>
      <c r="C2985" s="2">
        <v>8.0093199359254402E-4</v>
      </c>
      <c r="D2985" s="2">
        <v>1.1319900384876599E-3</v>
      </c>
      <c r="E2985" s="2">
        <v>0</v>
      </c>
      <c r="F2985" s="2">
        <v>8.1511794257577196E-4</v>
      </c>
    </row>
    <row r="2986" spans="1:6" x14ac:dyDescent="0.25">
      <c r="A2986" s="1" t="str">
        <f t="shared" si="108"/>
        <v>13220</v>
      </c>
      <c r="B2986" s="1" t="str">
        <f>"25060"</f>
        <v>25060</v>
      </c>
      <c r="C2986" s="2">
        <v>2.7850589777195199E-3</v>
      </c>
      <c r="D2986" s="2">
        <v>0</v>
      </c>
      <c r="E2986" s="2">
        <v>1.31406044678055E-3</v>
      </c>
      <c r="F2986" s="2">
        <v>2.56179924809528E-3</v>
      </c>
    </row>
    <row r="2987" spans="1:6" x14ac:dyDescent="0.25">
      <c r="A2987" s="1" t="str">
        <f t="shared" si="108"/>
        <v>13220</v>
      </c>
      <c r="B2987" s="1" t="str">
        <f>"25902"</f>
        <v>25902</v>
      </c>
      <c r="C2987" s="2">
        <v>2.1115479831076102E-3</v>
      </c>
      <c r="D2987" s="2">
        <v>0</v>
      </c>
      <c r="E2987" s="2">
        <v>1.31406044678055E-3</v>
      </c>
      <c r="F2987" s="2">
        <v>1.94630202615031E-3</v>
      </c>
    </row>
    <row r="2988" spans="1:6" x14ac:dyDescent="0.25">
      <c r="A2988" s="1" t="str">
        <f t="shared" si="108"/>
        <v>13220</v>
      </c>
      <c r="B2988" s="1" t="str">
        <f>"25857"</f>
        <v>25857</v>
      </c>
      <c r="C2988" s="2">
        <v>7.4632299402941596E-4</v>
      </c>
      <c r="D2988" s="2">
        <v>0</v>
      </c>
      <c r="E2988" s="2">
        <v>1.31406044678055E-3</v>
      </c>
      <c r="F2988" s="2">
        <v>6.98672522207805E-4</v>
      </c>
    </row>
    <row r="2989" spans="1:6" x14ac:dyDescent="0.25">
      <c r="A2989" s="1" t="str">
        <f t="shared" si="108"/>
        <v>13220</v>
      </c>
      <c r="B2989" s="1" t="str">
        <f>"25119"</f>
        <v>25119</v>
      </c>
      <c r="C2989" s="2">
        <v>9.6475899228192798E-4</v>
      </c>
      <c r="D2989" s="2">
        <v>4.5279601539506401E-4</v>
      </c>
      <c r="E2989" s="2">
        <v>0</v>
      </c>
      <c r="F2989" s="2">
        <v>9.1492830289117305E-4</v>
      </c>
    </row>
    <row r="2990" spans="1:6" x14ac:dyDescent="0.25">
      <c r="A2990" s="1" t="str">
        <f t="shared" si="108"/>
        <v>13220</v>
      </c>
      <c r="B2990" s="1" t="str">
        <f>"25878"</f>
        <v>25878</v>
      </c>
      <c r="C2990" s="2">
        <v>2.8396679772826499E-3</v>
      </c>
      <c r="D2990" s="2">
        <v>0</v>
      </c>
      <c r="E2990" s="2">
        <v>1.31406044678055E-3</v>
      </c>
      <c r="F2990" s="2">
        <v>2.6117044282529798E-3</v>
      </c>
    </row>
    <row r="2991" spans="1:6" x14ac:dyDescent="0.25">
      <c r="A2991" s="1" t="str">
        <f t="shared" si="108"/>
        <v>13220</v>
      </c>
      <c r="B2991" s="1" t="str">
        <f>"25841"</f>
        <v>25841</v>
      </c>
      <c r="C2991" s="2">
        <v>1.45623998835008E-4</v>
      </c>
      <c r="D2991" s="2">
        <v>0</v>
      </c>
      <c r="E2991" s="2">
        <v>0</v>
      </c>
      <c r="F2991" s="2">
        <v>1.33080480420534E-4</v>
      </c>
    </row>
    <row r="2992" spans="1:6" x14ac:dyDescent="0.25">
      <c r="A2992" s="1" t="str">
        <f t="shared" si="108"/>
        <v>13220</v>
      </c>
      <c r="B2992" s="1" t="str">
        <f>"25136"</f>
        <v>25136</v>
      </c>
      <c r="C2992" s="2">
        <v>9.4473569244211408E-3</v>
      </c>
      <c r="D2992" s="2">
        <v>2.58093728775186E-2</v>
      </c>
      <c r="E2992" s="2">
        <v>5.5190538764783102E-2</v>
      </c>
      <c r="F2992" s="2">
        <v>1.1228665535482499E-2</v>
      </c>
    </row>
    <row r="2993" spans="1:6" x14ac:dyDescent="0.25">
      <c r="A2993" s="1" t="str">
        <f t="shared" si="108"/>
        <v>13220</v>
      </c>
      <c r="B2993" s="1" t="str">
        <f>"25040"</f>
        <v>25040</v>
      </c>
      <c r="C2993" s="2">
        <v>5.4608999563127997E-5</v>
      </c>
      <c r="D2993" s="2">
        <v>2.2639800769753201E-4</v>
      </c>
      <c r="E2993" s="2">
        <v>0</v>
      </c>
      <c r="F2993" s="2">
        <v>6.6540240210267106E-5</v>
      </c>
    </row>
    <row r="2994" spans="1:6" x14ac:dyDescent="0.25">
      <c r="A2994" s="1" t="str">
        <f t="shared" si="108"/>
        <v>13220</v>
      </c>
      <c r="B2994" s="1" t="str">
        <f>"25932"</f>
        <v>25932</v>
      </c>
      <c r="C2994" s="2">
        <v>2.91247997670016E-4</v>
      </c>
      <c r="D2994" s="2">
        <v>2.2639800769753201E-4</v>
      </c>
      <c r="E2994" s="2">
        <v>1.31406044678055E-3</v>
      </c>
      <c r="F2994" s="2">
        <v>2.9943108094620201E-4</v>
      </c>
    </row>
    <row r="2995" spans="1:6" x14ac:dyDescent="0.25">
      <c r="A2995" s="1" t="str">
        <f t="shared" si="108"/>
        <v>13220</v>
      </c>
      <c r="B2995" s="1" t="str">
        <f>"25825"</f>
        <v>25825</v>
      </c>
      <c r="C2995" s="2">
        <v>2.5957477792340099E-2</v>
      </c>
      <c r="D2995" s="2">
        <v>7.0183382386235001E-3</v>
      </c>
      <c r="E2995" s="2">
        <v>2.6281208935610999E-2</v>
      </c>
      <c r="F2995" s="2">
        <v>2.4569983697641101E-2</v>
      </c>
    </row>
    <row r="2996" spans="1:6" x14ac:dyDescent="0.25">
      <c r="A2996" s="1" t="str">
        <f t="shared" si="108"/>
        <v>13220</v>
      </c>
      <c r="B2996" s="1" t="str">
        <f>"25044"</f>
        <v>25044</v>
      </c>
      <c r="C2996" s="2">
        <v>1.56545798747633E-3</v>
      </c>
      <c r="D2996" s="2">
        <v>4.5279601539506401E-4</v>
      </c>
      <c r="E2996" s="2">
        <v>1.31406044678055E-3</v>
      </c>
      <c r="F2996" s="2">
        <v>1.48052034467844E-3</v>
      </c>
    </row>
    <row r="2997" spans="1:6" x14ac:dyDescent="0.25">
      <c r="A2997" s="1" t="str">
        <f t="shared" si="108"/>
        <v>13220</v>
      </c>
      <c r="B2997" s="1" t="str">
        <f>"25008"</f>
        <v>25008</v>
      </c>
      <c r="C2997" s="2">
        <v>1.9477209844182301E-3</v>
      </c>
      <c r="D2997" s="2">
        <v>2.2639800769753201E-4</v>
      </c>
      <c r="E2997" s="2">
        <v>1.31406044678055E-3</v>
      </c>
      <c r="F2997" s="2">
        <v>1.81322154572978E-3</v>
      </c>
    </row>
    <row r="2998" spans="1:6" x14ac:dyDescent="0.25">
      <c r="A2998" s="1" t="str">
        <f t="shared" si="108"/>
        <v>13220</v>
      </c>
      <c r="B2998" s="1" t="str">
        <f>"25989"</f>
        <v>25989</v>
      </c>
      <c r="C2998" s="2">
        <v>2.8578709771370299E-3</v>
      </c>
      <c r="D2998" s="2">
        <v>6.7919402309259602E-4</v>
      </c>
      <c r="E2998" s="2">
        <v>1.31406044678055E-3</v>
      </c>
      <c r="F2998" s="2">
        <v>2.6782446684632498E-3</v>
      </c>
    </row>
    <row r="2999" spans="1:6" x14ac:dyDescent="0.25">
      <c r="A2999" s="1" t="str">
        <f t="shared" si="108"/>
        <v>13220</v>
      </c>
      <c r="B2999" s="1" t="str">
        <f>"25161"</f>
        <v>25161</v>
      </c>
      <c r="C2999" s="2">
        <v>2.3299839813601198E-3</v>
      </c>
      <c r="D2999" s="2">
        <v>2.2639800769753201E-4</v>
      </c>
      <c r="E2999" s="2">
        <v>0</v>
      </c>
      <c r="F2999" s="2">
        <v>2.1459227467811098E-3</v>
      </c>
    </row>
    <row r="3000" spans="1:6" x14ac:dyDescent="0.25">
      <c r="A3000" s="1" t="str">
        <f t="shared" si="108"/>
        <v>13220</v>
      </c>
      <c r="B3000" s="1" t="str">
        <f>"25827"</f>
        <v>25827</v>
      </c>
      <c r="C3000" s="2">
        <v>3.4021406727828697E-2</v>
      </c>
      <c r="D3000" s="2">
        <v>2.35453928005433E-2</v>
      </c>
      <c r="E3000" s="2">
        <v>5.2562417871221999E-3</v>
      </c>
      <c r="F3000" s="2">
        <v>3.2887513723924497E-2</v>
      </c>
    </row>
    <row r="3001" spans="1:6" x14ac:dyDescent="0.25">
      <c r="A3001" s="1" t="str">
        <f t="shared" si="108"/>
        <v>13220</v>
      </c>
      <c r="B3001" s="1" t="str">
        <f>"25854"</f>
        <v>25854</v>
      </c>
      <c r="C3001" s="2">
        <v>6.8989369448085001E-3</v>
      </c>
      <c r="D3001" s="2">
        <v>2.0375820692777901E-3</v>
      </c>
      <c r="E3001" s="2">
        <v>0</v>
      </c>
      <c r="F3001" s="2">
        <v>6.4544033003959096E-3</v>
      </c>
    </row>
    <row r="3002" spans="1:6" x14ac:dyDescent="0.25">
      <c r="A3002" s="1" t="str">
        <f t="shared" ref="A3002:A3029" si="109">"13220"</f>
        <v>13220</v>
      </c>
      <c r="B3002" s="1" t="str">
        <f>"25936"</f>
        <v>25936</v>
      </c>
      <c r="C3002" s="2">
        <v>1.1649919906800599E-3</v>
      </c>
      <c r="D3002" s="2">
        <v>9.05592030790129E-4</v>
      </c>
      <c r="E3002" s="2">
        <v>1.31406044678055E-3</v>
      </c>
      <c r="F3002" s="2">
        <v>1.1478191436271E-3</v>
      </c>
    </row>
    <row r="3003" spans="1:6" x14ac:dyDescent="0.25">
      <c r="A3003" s="1" t="str">
        <f t="shared" si="109"/>
        <v>13220</v>
      </c>
      <c r="B3003" s="1" t="str">
        <f>"25962"</f>
        <v>25962</v>
      </c>
      <c r="C3003" s="2">
        <v>7.4450269404397803E-3</v>
      </c>
      <c r="D3003" s="2">
        <v>9.05592030790129E-4</v>
      </c>
      <c r="E3003" s="2">
        <v>0</v>
      </c>
      <c r="F3003" s="2">
        <v>6.8702798017100802E-3</v>
      </c>
    </row>
    <row r="3004" spans="1:6" x14ac:dyDescent="0.25">
      <c r="A3004" s="1" t="str">
        <f t="shared" si="109"/>
        <v>13220</v>
      </c>
      <c r="B3004" s="1" t="str">
        <f>"25901"</f>
        <v>25901</v>
      </c>
      <c r="C3004" s="2">
        <v>9.4073103247415094E-2</v>
      </c>
      <c r="D3004" s="2">
        <v>9.5992755263753601E-2</v>
      </c>
      <c r="E3004" s="2">
        <v>0.18002628120893499</v>
      </c>
      <c r="F3004" s="2">
        <v>9.5302259041155093E-2</v>
      </c>
    </row>
    <row r="3005" spans="1:6" x14ac:dyDescent="0.25">
      <c r="A3005" s="1" t="str">
        <f t="shared" si="109"/>
        <v>13220</v>
      </c>
      <c r="B3005" s="1" t="str">
        <f>"25849"</f>
        <v>25849</v>
      </c>
      <c r="C3005" s="2">
        <v>1.52905198776758E-3</v>
      </c>
      <c r="D3005" s="2">
        <v>2.2639800769753201E-4</v>
      </c>
      <c r="E3005" s="2">
        <v>2.6281208935611E-3</v>
      </c>
      <c r="F3005" s="2">
        <v>1.44725022457331E-3</v>
      </c>
    </row>
    <row r="3006" spans="1:6" x14ac:dyDescent="0.25">
      <c r="A3006" s="1" t="str">
        <f t="shared" si="109"/>
        <v>13220</v>
      </c>
      <c r="B3006" s="1" t="str">
        <f>"25927"</f>
        <v>25927</v>
      </c>
      <c r="C3006" s="2">
        <v>0</v>
      </c>
      <c r="D3006" s="2">
        <v>0</v>
      </c>
      <c r="E3006" s="2">
        <v>1.31406044678055E-3</v>
      </c>
      <c r="F3006" s="2">
        <v>1.6635060052566699E-5</v>
      </c>
    </row>
    <row r="3007" spans="1:6" x14ac:dyDescent="0.25">
      <c r="A3007" s="1" t="str">
        <f t="shared" si="109"/>
        <v>13220</v>
      </c>
      <c r="B3007" s="1" t="str">
        <f>"25002"</f>
        <v>25002</v>
      </c>
      <c r="C3007" s="2">
        <v>0</v>
      </c>
      <c r="D3007" s="2">
        <v>2.2639800769753201E-4</v>
      </c>
      <c r="E3007" s="2">
        <v>0</v>
      </c>
      <c r="F3007" s="2">
        <v>1.6635060052566699E-5</v>
      </c>
    </row>
    <row r="3008" spans="1:6" x14ac:dyDescent="0.25">
      <c r="A3008" s="1" t="str">
        <f t="shared" si="109"/>
        <v>13220</v>
      </c>
      <c r="B3008" s="1" t="str">
        <f>"25888"</f>
        <v>25888</v>
      </c>
      <c r="C3008" s="2">
        <v>0</v>
      </c>
      <c r="D3008" s="2">
        <v>2.2639800769753201E-4</v>
      </c>
      <c r="E3008" s="2">
        <v>0</v>
      </c>
      <c r="F3008" s="2">
        <v>1.6635060052566699E-5</v>
      </c>
    </row>
    <row r="3009" spans="1:6" x14ac:dyDescent="0.25">
      <c r="A3009" s="1" t="str">
        <f t="shared" si="109"/>
        <v>13220</v>
      </c>
      <c r="B3009" s="1" t="str">
        <f>"25851"</f>
        <v>25851</v>
      </c>
      <c r="C3009" s="2">
        <v>0</v>
      </c>
      <c r="D3009" s="2">
        <v>0</v>
      </c>
      <c r="E3009" s="2">
        <v>1.31406044678055E-3</v>
      </c>
      <c r="F3009" s="2">
        <v>1.6635060052566699E-5</v>
      </c>
    </row>
    <row r="3010" spans="1:6" x14ac:dyDescent="0.25">
      <c r="A3010" s="1" t="str">
        <f t="shared" si="109"/>
        <v>13220</v>
      </c>
      <c r="B3010" s="1" t="str">
        <f>"25942"</f>
        <v>25942</v>
      </c>
      <c r="C3010" s="2">
        <v>0</v>
      </c>
      <c r="D3010" s="2">
        <v>2.2639800769753201E-4</v>
      </c>
      <c r="E3010" s="2">
        <v>0</v>
      </c>
      <c r="F3010" s="2">
        <v>1.6635060052566699E-5</v>
      </c>
    </row>
    <row r="3011" spans="1:6" x14ac:dyDescent="0.25">
      <c r="A3011" s="1" t="str">
        <f t="shared" si="109"/>
        <v>13220</v>
      </c>
      <c r="B3011" s="1" t="str">
        <f>"25906"</f>
        <v>25906</v>
      </c>
      <c r="C3011" s="2">
        <v>0</v>
      </c>
      <c r="D3011" s="2">
        <v>0</v>
      </c>
      <c r="E3011" s="2">
        <v>1.31406044678055E-3</v>
      </c>
      <c r="F3011" s="2">
        <v>1.6635060052566699E-5</v>
      </c>
    </row>
    <row r="3012" spans="1:6" x14ac:dyDescent="0.25">
      <c r="A3012" s="1" t="str">
        <f t="shared" si="109"/>
        <v>13220</v>
      </c>
      <c r="B3012" s="1" t="str">
        <f>"25185"</f>
        <v>25185</v>
      </c>
      <c r="C3012" s="2">
        <v>0</v>
      </c>
      <c r="D3012" s="2">
        <v>2.2639800769753201E-4</v>
      </c>
      <c r="E3012" s="2">
        <v>0</v>
      </c>
      <c r="F3012" s="2">
        <v>1.6635060052566699E-5</v>
      </c>
    </row>
    <row r="3013" spans="1:6" x14ac:dyDescent="0.25">
      <c r="A3013" s="1" t="str">
        <f t="shared" si="109"/>
        <v>13220</v>
      </c>
      <c r="B3013" s="1" t="str">
        <f>"25969"</f>
        <v>25969</v>
      </c>
      <c r="C3013" s="2">
        <v>1.0921799912625599E-4</v>
      </c>
      <c r="D3013" s="2">
        <v>0</v>
      </c>
      <c r="E3013" s="2">
        <v>0</v>
      </c>
      <c r="F3013" s="2">
        <v>9.9810360315400707E-5</v>
      </c>
    </row>
    <row r="3014" spans="1:6" x14ac:dyDescent="0.25">
      <c r="A3014" s="1" t="str">
        <f t="shared" si="109"/>
        <v>13220</v>
      </c>
      <c r="B3014" s="1" t="str">
        <f>"25115"</f>
        <v>25115</v>
      </c>
      <c r="C3014" s="2">
        <v>5.6429299548565602E-4</v>
      </c>
      <c r="D3014" s="2">
        <v>0</v>
      </c>
      <c r="E3014" s="2">
        <v>1.31406044678055E-3</v>
      </c>
      <c r="F3014" s="2">
        <v>5.3232192168213696E-4</v>
      </c>
    </row>
    <row r="3015" spans="1:6" x14ac:dyDescent="0.25">
      <c r="A3015" s="1" t="str">
        <f t="shared" si="109"/>
        <v>13220</v>
      </c>
      <c r="B3015" s="1" t="str">
        <f>"25059"</f>
        <v>25059</v>
      </c>
      <c r="C3015" s="2">
        <v>7.6452599388379195E-4</v>
      </c>
      <c r="D3015" s="2">
        <v>0</v>
      </c>
      <c r="E3015" s="2">
        <v>0</v>
      </c>
      <c r="F3015" s="2">
        <v>6.98672522207805E-4</v>
      </c>
    </row>
    <row r="3016" spans="1:6" x14ac:dyDescent="0.25">
      <c r="A3016" s="1" t="str">
        <f t="shared" si="109"/>
        <v>13220</v>
      </c>
      <c r="B3016" s="1" t="str">
        <f>"25920"</f>
        <v>25920</v>
      </c>
      <c r="C3016" s="2">
        <v>1.58366098733071E-3</v>
      </c>
      <c r="D3016" s="2">
        <v>0</v>
      </c>
      <c r="E3016" s="2">
        <v>1.31406044678055E-3</v>
      </c>
      <c r="F3016" s="2">
        <v>1.46388528462587E-3</v>
      </c>
    </row>
    <row r="3017" spans="1:6" x14ac:dyDescent="0.25">
      <c r="A3017" s="1" t="str">
        <f t="shared" si="109"/>
        <v>13220</v>
      </c>
      <c r="B3017" s="1" t="str">
        <f>"25908"</f>
        <v>25908</v>
      </c>
      <c r="C3017" s="2">
        <v>6.3710499490315996E-4</v>
      </c>
      <c r="D3017" s="2">
        <v>0</v>
      </c>
      <c r="E3017" s="2">
        <v>1.31406044678055E-3</v>
      </c>
      <c r="F3017" s="2">
        <v>5.9886216189240402E-4</v>
      </c>
    </row>
    <row r="3018" spans="1:6" x14ac:dyDescent="0.25">
      <c r="A3018" s="1" t="str">
        <f t="shared" si="109"/>
        <v>13220</v>
      </c>
      <c r="B3018" s="1" t="str">
        <f>"25864"</f>
        <v>25864</v>
      </c>
      <c r="C3018" s="2">
        <v>1.0193679918450501E-3</v>
      </c>
      <c r="D3018" s="2">
        <v>0</v>
      </c>
      <c r="E3018" s="2">
        <v>2.6281208935611E-3</v>
      </c>
      <c r="F3018" s="2">
        <v>9.6483348304887305E-4</v>
      </c>
    </row>
    <row r="3019" spans="1:6" x14ac:dyDescent="0.25">
      <c r="A3019" s="1" t="str">
        <f t="shared" si="109"/>
        <v>13220</v>
      </c>
      <c r="B3019" s="1" t="str">
        <f>"25186"</f>
        <v>25186</v>
      </c>
      <c r="C3019" s="2">
        <v>7.2811999417504001E-5</v>
      </c>
      <c r="D3019" s="2">
        <v>1.1319900384876599E-3</v>
      </c>
      <c r="E3019" s="2">
        <v>0</v>
      </c>
      <c r="F3019" s="2">
        <v>1.4971554047310101E-4</v>
      </c>
    </row>
    <row r="3020" spans="1:6" x14ac:dyDescent="0.25">
      <c r="A3020" s="1" t="str">
        <f t="shared" si="109"/>
        <v>13220</v>
      </c>
      <c r="B3020" s="1" t="str">
        <f>"25036"</f>
        <v>25036</v>
      </c>
      <c r="C3020" s="2">
        <v>3.6405999708752E-5</v>
      </c>
      <c r="D3020" s="2">
        <v>2.2639800769753201E-4</v>
      </c>
      <c r="E3020" s="2">
        <v>0</v>
      </c>
      <c r="F3020" s="2">
        <v>4.9905180157700299E-5</v>
      </c>
    </row>
    <row r="3021" spans="1:6" x14ac:dyDescent="0.25">
      <c r="A3021" s="1" t="str">
        <f t="shared" si="109"/>
        <v>13220</v>
      </c>
      <c r="B3021" s="1" t="str">
        <f>"25818"</f>
        <v>25818</v>
      </c>
      <c r="C3021" s="2">
        <v>1.58548128731614E-2</v>
      </c>
      <c r="D3021" s="2">
        <v>1.0640706361784E-2</v>
      </c>
      <c r="E3021" s="2">
        <v>3.9421813403416502E-3</v>
      </c>
      <c r="F3021" s="2">
        <v>1.5320890308413999E-2</v>
      </c>
    </row>
    <row r="3022" spans="1:6" x14ac:dyDescent="0.25">
      <c r="A3022" s="1" t="str">
        <f t="shared" si="109"/>
        <v>13220</v>
      </c>
      <c r="B3022" s="1" t="str">
        <f>"25909"</f>
        <v>25909</v>
      </c>
      <c r="C3022" s="2">
        <v>1.0848987913208E-2</v>
      </c>
      <c r="D3022" s="2">
        <v>8.1503282771111605E-3</v>
      </c>
      <c r="E3022" s="2">
        <v>3.9421813403416502E-3</v>
      </c>
      <c r="F3022" s="2">
        <v>1.0563263133379901E-2</v>
      </c>
    </row>
    <row r="3023" spans="1:6" x14ac:dyDescent="0.25">
      <c r="A3023" s="1" t="str">
        <f t="shared" si="109"/>
        <v>13220</v>
      </c>
      <c r="B3023" s="1" t="str">
        <f>"25007"</f>
        <v>25007</v>
      </c>
      <c r="C3023" s="2">
        <v>1.76569098587447E-3</v>
      </c>
      <c r="D3023" s="2">
        <v>2.2639800769753201E-4</v>
      </c>
      <c r="E3023" s="2">
        <v>1.31406044678055E-3</v>
      </c>
      <c r="F3023" s="2">
        <v>1.64687094520411E-3</v>
      </c>
    </row>
    <row r="3024" spans="1:6" x14ac:dyDescent="0.25">
      <c r="A3024" s="1" t="str">
        <f t="shared" si="109"/>
        <v>13220</v>
      </c>
      <c r="B3024" s="1" t="str">
        <f>"25180"</f>
        <v>25180</v>
      </c>
      <c r="C3024" s="2">
        <v>1.1103829911169301E-3</v>
      </c>
      <c r="D3024" s="2">
        <v>0</v>
      </c>
      <c r="E3024" s="2">
        <v>1.31406044678055E-3</v>
      </c>
      <c r="F3024" s="2">
        <v>1.03137372325914E-3</v>
      </c>
    </row>
    <row r="3025" spans="1:6" x14ac:dyDescent="0.25">
      <c r="A3025" s="1" t="str">
        <f t="shared" si="109"/>
        <v>13220</v>
      </c>
      <c r="B3025" s="1" t="str">
        <f>"25139"</f>
        <v>25139</v>
      </c>
      <c r="C3025" s="2">
        <v>4.73277996213776E-4</v>
      </c>
      <c r="D3025" s="2">
        <v>2.2639800769753201E-4</v>
      </c>
      <c r="E3025" s="2">
        <v>0</v>
      </c>
      <c r="F3025" s="2">
        <v>4.4914662141930299E-4</v>
      </c>
    </row>
    <row r="3026" spans="1:6" x14ac:dyDescent="0.25">
      <c r="A3026" s="1" t="str">
        <f t="shared" si="109"/>
        <v>13220</v>
      </c>
      <c r="B3026" s="1" t="str">
        <f>"25174"</f>
        <v>25174</v>
      </c>
      <c r="C3026" s="2">
        <v>1.67467598660259E-3</v>
      </c>
      <c r="D3026" s="2">
        <v>4.5279601539506401E-4</v>
      </c>
      <c r="E3026" s="2">
        <v>1.31406044678055E-3</v>
      </c>
      <c r="F3026" s="2">
        <v>1.58033070499384E-3</v>
      </c>
    </row>
    <row r="3027" spans="1:6" x14ac:dyDescent="0.25">
      <c r="A3027" s="1" t="str">
        <f t="shared" si="109"/>
        <v>13220</v>
      </c>
      <c r="B3027" s="1" t="str">
        <f>"25083"</f>
        <v>25083</v>
      </c>
      <c r="C3027" s="2">
        <v>3.6405999708751999E-4</v>
      </c>
      <c r="D3027" s="2">
        <v>0</v>
      </c>
      <c r="E3027" s="2">
        <v>0</v>
      </c>
      <c r="F3027" s="2">
        <v>3.32701201051335E-4</v>
      </c>
    </row>
    <row r="3028" spans="1:6" x14ac:dyDescent="0.25">
      <c r="A3028" s="1" t="str">
        <f t="shared" si="109"/>
        <v>13220</v>
      </c>
      <c r="B3028" s="1" t="str">
        <f>"25209"</f>
        <v>25209</v>
      </c>
      <c r="C3028" s="2">
        <v>2.8214649774282799E-3</v>
      </c>
      <c r="D3028" s="2">
        <v>2.2639800769753201E-4</v>
      </c>
      <c r="E3028" s="2">
        <v>1.31406044678055E-3</v>
      </c>
      <c r="F3028" s="2">
        <v>2.6117044282529798E-3</v>
      </c>
    </row>
    <row r="3029" spans="1:6" x14ac:dyDescent="0.25">
      <c r="A3029" s="1" t="str">
        <f t="shared" si="109"/>
        <v>13220</v>
      </c>
      <c r="B3029" s="1" t="str">
        <f>"25802"</f>
        <v>25802</v>
      </c>
      <c r="C3029" s="2">
        <v>4.3031891655744801E-2</v>
      </c>
      <c r="D3029" s="2">
        <v>0.11093502377179</v>
      </c>
      <c r="E3029" s="2">
        <v>2.6281208935611E-3</v>
      </c>
      <c r="F3029" s="2">
        <v>4.7509731510130701E-2</v>
      </c>
    </row>
    <row r="3030" spans="1:6" x14ac:dyDescent="0.25">
      <c r="A3030" s="1" t="str">
        <f t="shared" ref="A3030:A3042" si="110">"13260"</f>
        <v>13260</v>
      </c>
      <c r="B3030" s="1" t="str">
        <f>"47452"</f>
        <v>47452</v>
      </c>
      <c r="C3030" s="2">
        <v>7.7725591254831803E-3</v>
      </c>
      <c r="D3030" s="2">
        <v>5.1440329218106903E-4</v>
      </c>
      <c r="E3030" s="2">
        <v>0</v>
      </c>
      <c r="F3030" s="2">
        <v>7.1260708058524698E-3</v>
      </c>
    </row>
    <row r="3031" spans="1:6" x14ac:dyDescent="0.25">
      <c r="A3031" s="1" t="str">
        <f t="shared" si="110"/>
        <v>13260</v>
      </c>
      <c r="B3031" s="1" t="str">
        <f>"47436"</f>
        <v>47436</v>
      </c>
      <c r="C3031" s="2">
        <v>2.66428363606134E-2</v>
      </c>
      <c r="D3031" s="2">
        <v>9.7736625514403194E-3</v>
      </c>
      <c r="E3031" s="2">
        <v>0</v>
      </c>
      <c r="F3031" s="2">
        <v>2.50170570843757E-2</v>
      </c>
    </row>
    <row r="3032" spans="1:6" x14ac:dyDescent="0.25">
      <c r="A3032" s="1" t="str">
        <f t="shared" si="110"/>
        <v>13260</v>
      </c>
      <c r="B3032" s="1" t="str">
        <f>"47446"</f>
        <v>47446</v>
      </c>
      <c r="C3032" s="2">
        <v>0.20827964587056799</v>
      </c>
      <c r="D3032" s="2">
        <v>0.148662551440329</v>
      </c>
      <c r="E3032" s="2">
        <v>0.10026385224274401</v>
      </c>
      <c r="F3032" s="2">
        <v>0.202334925327875</v>
      </c>
    </row>
    <row r="3033" spans="1:6" x14ac:dyDescent="0.25">
      <c r="A3033" s="1" t="str">
        <f t="shared" si="110"/>
        <v>13260</v>
      </c>
      <c r="B3033" s="1" t="str">
        <f>"47467"</f>
        <v>47467</v>
      </c>
      <c r="C3033" s="2">
        <v>0</v>
      </c>
      <c r="D3033" s="2">
        <v>0</v>
      </c>
      <c r="E3033" s="2">
        <v>2.6385224274406301E-3</v>
      </c>
      <c r="F3033" s="2">
        <v>3.7904631946023798E-5</v>
      </c>
    </row>
    <row r="3034" spans="1:6" x14ac:dyDescent="0.25">
      <c r="A3034" s="1" t="str">
        <f t="shared" si="110"/>
        <v>13260</v>
      </c>
      <c r="B3034" s="1" t="str">
        <f>"47108"</f>
        <v>47108</v>
      </c>
      <c r="C3034" s="2">
        <v>2.4938692381229401E-4</v>
      </c>
      <c r="D3034" s="2">
        <v>0</v>
      </c>
      <c r="E3034" s="2">
        <v>5.2770448548812602E-3</v>
      </c>
      <c r="F3034" s="2">
        <v>3.0323705556819001E-4</v>
      </c>
    </row>
    <row r="3035" spans="1:6" x14ac:dyDescent="0.25">
      <c r="A3035" s="1" t="str">
        <f t="shared" si="110"/>
        <v>13260</v>
      </c>
      <c r="B3035" s="1" t="str">
        <f>"47470"</f>
        <v>47470</v>
      </c>
      <c r="C3035" s="2">
        <v>3.1339623425744999E-2</v>
      </c>
      <c r="D3035" s="2">
        <v>8.7448559670781807E-3</v>
      </c>
      <c r="E3035" s="2">
        <v>7.9155672823218899E-3</v>
      </c>
      <c r="F3035" s="2">
        <v>2.93381851262224E-2</v>
      </c>
    </row>
    <row r="3036" spans="1:6" x14ac:dyDescent="0.25">
      <c r="A3036" s="1" t="str">
        <f t="shared" si="110"/>
        <v>13260</v>
      </c>
      <c r="B3036" s="1" t="str">
        <f>"47420"</f>
        <v>47420</v>
      </c>
      <c r="C3036" s="2">
        <v>0</v>
      </c>
      <c r="D3036" s="2">
        <v>0</v>
      </c>
      <c r="E3036" s="2">
        <v>2.6385224274406301E-3</v>
      </c>
      <c r="F3036" s="2">
        <v>3.7904631946023798E-5</v>
      </c>
    </row>
    <row r="3037" spans="1:6" x14ac:dyDescent="0.25">
      <c r="A3037" s="1" t="str">
        <f t="shared" si="110"/>
        <v>13260</v>
      </c>
      <c r="B3037" s="1" t="str">
        <f>"47421"</f>
        <v>47421</v>
      </c>
      <c r="C3037" s="2">
        <v>0.62546240492123495</v>
      </c>
      <c r="D3037" s="2">
        <v>0.80915637860082301</v>
      </c>
      <c r="E3037" s="2">
        <v>0.78891820580474903</v>
      </c>
      <c r="F3037" s="2">
        <v>0.641346372526722</v>
      </c>
    </row>
    <row r="3038" spans="1:6" x14ac:dyDescent="0.25">
      <c r="A3038" s="1" t="str">
        <f t="shared" si="110"/>
        <v>13260</v>
      </c>
      <c r="B3038" s="1" t="str">
        <f>"47264"</f>
        <v>47264</v>
      </c>
      <c r="C3038" s="2">
        <v>5.40338334926638E-3</v>
      </c>
      <c r="D3038" s="2">
        <v>1.5432098765432E-3</v>
      </c>
      <c r="E3038" s="2">
        <v>0</v>
      </c>
      <c r="F3038" s="2">
        <v>5.0413160488211603E-3</v>
      </c>
    </row>
    <row r="3039" spans="1:6" x14ac:dyDescent="0.25">
      <c r="A3039" s="1" t="str">
        <f t="shared" si="110"/>
        <v>13260</v>
      </c>
      <c r="B3039" s="1" t="str">
        <f>"47437"</f>
        <v>47437</v>
      </c>
      <c r="C3039" s="2">
        <v>4.1564487302049099E-5</v>
      </c>
      <c r="D3039" s="2">
        <v>5.1440329218106903E-4</v>
      </c>
      <c r="E3039" s="2">
        <v>2.6385224274406301E-3</v>
      </c>
      <c r="F3039" s="2">
        <v>1.13713895838071E-4</v>
      </c>
    </row>
    <row r="3040" spans="1:6" x14ac:dyDescent="0.25">
      <c r="A3040" s="1" t="str">
        <f t="shared" si="110"/>
        <v>13260</v>
      </c>
      <c r="B3040" s="1" t="str">
        <f>"47462"</f>
        <v>47462</v>
      </c>
      <c r="C3040" s="2">
        <v>6.6253792759466301E-2</v>
      </c>
      <c r="D3040" s="2">
        <v>9.2592592592592501E-3</v>
      </c>
      <c r="E3040" s="2">
        <v>5.2770448548812602E-3</v>
      </c>
      <c r="F3040" s="2">
        <v>6.11780759608824E-2</v>
      </c>
    </row>
    <row r="3041" spans="1:6" x14ac:dyDescent="0.25">
      <c r="A3041" s="1" t="str">
        <f t="shared" si="110"/>
        <v>13260</v>
      </c>
      <c r="B3041" s="1" t="str">
        <f>"47260"</f>
        <v>47260</v>
      </c>
      <c r="C3041" s="2">
        <v>1.6625794920819599E-4</v>
      </c>
      <c r="D3041" s="2">
        <v>0</v>
      </c>
      <c r="E3041" s="2">
        <v>0</v>
      </c>
      <c r="F3041" s="2">
        <v>1.51618527784095E-4</v>
      </c>
    </row>
    <row r="3042" spans="1:6" x14ac:dyDescent="0.25">
      <c r="A3042" s="1" t="str">
        <f t="shared" si="110"/>
        <v>13260</v>
      </c>
      <c r="B3042" s="1" t="str">
        <f>"47451"</f>
        <v>47451</v>
      </c>
      <c r="C3042" s="2">
        <v>2.8388544827299501E-2</v>
      </c>
      <c r="D3042" s="2">
        <v>1.18312757201646E-2</v>
      </c>
      <c r="E3042" s="2">
        <v>8.4432717678100205E-2</v>
      </c>
      <c r="F3042" s="2">
        <v>2.79736183761655E-2</v>
      </c>
    </row>
    <row r="3043" spans="1:6" x14ac:dyDescent="0.25">
      <c r="A3043" s="1" t="str">
        <f t="shared" ref="A3043:A3055" si="111">"13300"</f>
        <v>13300</v>
      </c>
      <c r="B3043" s="1" t="str">
        <f>"78389"</f>
        <v>78389</v>
      </c>
      <c r="C3043" s="2">
        <v>4.2079623719133201E-2</v>
      </c>
      <c r="D3043" s="2">
        <v>4.0485829959514101E-3</v>
      </c>
      <c r="E3043" s="2">
        <v>6.0422960725075503E-3</v>
      </c>
      <c r="F3043" s="2">
        <v>3.7707838479809901E-2</v>
      </c>
    </row>
    <row r="3044" spans="1:6" x14ac:dyDescent="0.25">
      <c r="A3044" s="1" t="str">
        <f t="shared" si="111"/>
        <v>13300</v>
      </c>
      <c r="B3044" s="1" t="str">
        <f>"78119"</f>
        <v>78119</v>
      </c>
      <c r="C3044" s="2">
        <v>1.31026373257181E-2</v>
      </c>
      <c r="D3044" s="2">
        <v>1.61943319838056E-3</v>
      </c>
      <c r="E3044" s="2">
        <v>0</v>
      </c>
      <c r="F3044" s="2">
        <v>1.1728028503562899E-2</v>
      </c>
    </row>
    <row r="3045" spans="1:6" x14ac:dyDescent="0.25">
      <c r="A3045" s="1" t="str">
        <f t="shared" si="111"/>
        <v>13300</v>
      </c>
      <c r="B3045" s="1" t="str">
        <f>"78104"</f>
        <v>78104</v>
      </c>
      <c r="C3045" s="2">
        <v>0.14404501931798999</v>
      </c>
      <c r="D3045" s="2">
        <v>0.19190283400809699</v>
      </c>
      <c r="E3045" s="2">
        <v>6.0422960725075503E-3</v>
      </c>
      <c r="F3045" s="2">
        <v>0.14504156769596099</v>
      </c>
    </row>
    <row r="3046" spans="1:6" x14ac:dyDescent="0.25">
      <c r="A3046" s="1" t="str">
        <f t="shared" si="111"/>
        <v>13300</v>
      </c>
      <c r="B3046" s="1" t="str">
        <f>"78145"</f>
        <v>78145</v>
      </c>
      <c r="C3046" s="2">
        <v>0</v>
      </c>
      <c r="D3046" s="2">
        <v>8.0971659919028304E-4</v>
      </c>
      <c r="E3046" s="2">
        <v>0</v>
      </c>
      <c r="F3046" s="2">
        <v>7.4228028503562894E-5</v>
      </c>
    </row>
    <row r="3047" spans="1:6" x14ac:dyDescent="0.25">
      <c r="A3047" s="1" t="str">
        <f t="shared" si="111"/>
        <v>13300</v>
      </c>
      <c r="B3047" s="1" t="str">
        <f>"78125"</f>
        <v>78125</v>
      </c>
      <c r="C3047" s="2">
        <v>8.3991264908449495E-5</v>
      </c>
      <c r="D3047" s="2">
        <v>8.0971659919028304E-4</v>
      </c>
      <c r="E3047" s="2">
        <v>3.0211480362537699E-3</v>
      </c>
      <c r="F3047" s="2">
        <v>2.2268408551068801E-4</v>
      </c>
    </row>
    <row r="3048" spans="1:6" x14ac:dyDescent="0.25">
      <c r="A3048" s="1" t="str">
        <f t="shared" si="111"/>
        <v>13300</v>
      </c>
      <c r="B3048" s="1" t="str">
        <f>"78146"</f>
        <v>78146</v>
      </c>
      <c r="C3048" s="2">
        <v>3.3596505963379798E-4</v>
      </c>
      <c r="D3048" s="2">
        <v>8.0971659919028304E-4</v>
      </c>
      <c r="E3048" s="2">
        <v>0</v>
      </c>
      <c r="F3048" s="2">
        <v>3.7114014251781401E-4</v>
      </c>
    </row>
    <row r="3049" spans="1:6" x14ac:dyDescent="0.25">
      <c r="A3049" s="1" t="str">
        <f t="shared" si="111"/>
        <v>13300</v>
      </c>
      <c r="B3049" s="1" t="str">
        <f>"78142"</f>
        <v>78142</v>
      </c>
      <c r="C3049" s="2">
        <v>1.6798252981689899E-4</v>
      </c>
      <c r="D3049" s="2">
        <v>8.0971659919028304E-4</v>
      </c>
      <c r="E3049" s="2">
        <v>0</v>
      </c>
      <c r="F3049" s="2">
        <v>2.2268408551068801E-4</v>
      </c>
    </row>
    <row r="3050" spans="1:6" x14ac:dyDescent="0.25">
      <c r="A3050" s="1" t="str">
        <f t="shared" si="111"/>
        <v>13300</v>
      </c>
      <c r="B3050" s="1" t="str">
        <f>"78368"</f>
        <v>78368</v>
      </c>
      <c r="C3050" s="2">
        <v>4.19956324542247E-4</v>
      </c>
      <c r="D3050" s="2">
        <v>0</v>
      </c>
      <c r="E3050" s="2">
        <v>0</v>
      </c>
      <c r="F3050" s="2">
        <v>3.7114014251781401E-4</v>
      </c>
    </row>
    <row r="3051" spans="1:6" x14ac:dyDescent="0.25">
      <c r="A3051" s="1" t="str">
        <f t="shared" si="111"/>
        <v>13300</v>
      </c>
      <c r="B3051" s="1" t="str">
        <f>"78162"</f>
        <v>78162</v>
      </c>
      <c r="C3051" s="2">
        <v>8.3991264908449495E-5</v>
      </c>
      <c r="D3051" s="2">
        <v>1.61943319838056E-3</v>
      </c>
      <c r="E3051" s="2">
        <v>0</v>
      </c>
      <c r="F3051" s="2">
        <v>2.2268408551068801E-4</v>
      </c>
    </row>
    <row r="3052" spans="1:6" x14ac:dyDescent="0.25">
      <c r="A3052" s="1" t="str">
        <f t="shared" si="111"/>
        <v>13300</v>
      </c>
      <c r="B3052" s="1" t="str">
        <f>"78071"</f>
        <v>78071</v>
      </c>
      <c r="C3052" s="2">
        <v>5.8793885435914602E-4</v>
      </c>
      <c r="D3052" s="2">
        <v>0</v>
      </c>
      <c r="E3052" s="2">
        <v>0</v>
      </c>
      <c r="F3052" s="2">
        <v>5.1959619952493996E-4</v>
      </c>
    </row>
    <row r="3053" spans="1:6" x14ac:dyDescent="0.25">
      <c r="A3053" s="1" t="str">
        <f t="shared" si="111"/>
        <v>13300</v>
      </c>
      <c r="B3053" s="1" t="str">
        <f>"78387"</f>
        <v>78387</v>
      </c>
      <c r="C3053" s="2">
        <v>1.7638165630774302E-2</v>
      </c>
      <c r="D3053" s="2">
        <v>1.61943319838056E-3</v>
      </c>
      <c r="E3053" s="2">
        <v>0</v>
      </c>
      <c r="F3053" s="2">
        <v>1.57363420427553E-2</v>
      </c>
    </row>
    <row r="3054" spans="1:6" x14ac:dyDescent="0.25">
      <c r="A3054" s="1" t="str">
        <f t="shared" si="111"/>
        <v>13300</v>
      </c>
      <c r="B3054" s="1" t="str">
        <f>"78391"</f>
        <v>78391</v>
      </c>
      <c r="C3054" s="2">
        <v>2.6877204770703799E-3</v>
      </c>
      <c r="D3054" s="2">
        <v>2.4291497975708499E-3</v>
      </c>
      <c r="E3054" s="2">
        <v>0</v>
      </c>
      <c r="F3054" s="2">
        <v>2.5979809976247E-3</v>
      </c>
    </row>
    <row r="3055" spans="1:6" x14ac:dyDescent="0.25">
      <c r="A3055" s="1" t="str">
        <f t="shared" si="111"/>
        <v>13300</v>
      </c>
      <c r="B3055" s="1" t="str">
        <f>"78102"</f>
        <v>78102</v>
      </c>
      <c r="C3055" s="2">
        <v>0.77876700823114298</v>
      </c>
      <c r="D3055" s="2">
        <v>0.79352226720647701</v>
      </c>
      <c r="E3055" s="2">
        <v>0.98489425981873102</v>
      </c>
      <c r="F3055" s="2">
        <v>0.78518408551068797</v>
      </c>
    </row>
    <row r="3056" spans="1:6" x14ac:dyDescent="0.25">
      <c r="A3056" s="1" t="str">
        <f t="shared" ref="A3056:A3074" si="112">"13340"</f>
        <v>13340</v>
      </c>
      <c r="B3056" s="1" t="str">
        <f>"43357"</f>
        <v>43357</v>
      </c>
      <c r="C3056" s="2">
        <v>7.0148489503328207E-2</v>
      </c>
      <c r="D3056" s="2">
        <v>2.7445460942997799E-2</v>
      </c>
      <c r="E3056" s="2">
        <v>0.120860927152317</v>
      </c>
      <c r="F3056" s="2">
        <v>6.8968225914143103E-2</v>
      </c>
    </row>
    <row r="3057" spans="1:6" x14ac:dyDescent="0.25">
      <c r="A3057" s="1" t="str">
        <f t="shared" si="112"/>
        <v>13340</v>
      </c>
      <c r="B3057" s="1" t="str">
        <f>"43347"</f>
        <v>43347</v>
      </c>
      <c r="C3057" s="2">
        <v>2.07799965864481E-2</v>
      </c>
      <c r="D3057" s="2">
        <v>2.11118930330752E-3</v>
      </c>
      <c r="E3057" s="2">
        <v>0</v>
      </c>
      <c r="F3057" s="2">
        <v>1.92451199874317E-2</v>
      </c>
    </row>
    <row r="3058" spans="1:6" x14ac:dyDescent="0.25">
      <c r="A3058" s="1" t="str">
        <f t="shared" si="112"/>
        <v>13340</v>
      </c>
      <c r="B3058" s="1" t="str">
        <f>"43060"</f>
        <v>43060</v>
      </c>
      <c r="C3058" s="2">
        <v>3.1575354155999298E-3</v>
      </c>
      <c r="D3058" s="2">
        <v>0</v>
      </c>
      <c r="E3058" s="2">
        <v>0</v>
      </c>
      <c r="F3058" s="2">
        <v>2.9064058756529498E-3</v>
      </c>
    </row>
    <row r="3059" spans="1:6" x14ac:dyDescent="0.25">
      <c r="A3059" s="1" t="str">
        <f t="shared" si="112"/>
        <v>13340</v>
      </c>
      <c r="B3059" s="1" t="str">
        <f>"45895"</f>
        <v>45895</v>
      </c>
      <c r="C3059" s="2">
        <v>1.2800819252432099E-3</v>
      </c>
      <c r="D3059" s="2">
        <v>7.0372976776917598E-4</v>
      </c>
      <c r="E3059" s="2">
        <v>0</v>
      </c>
      <c r="F3059" s="2">
        <v>1.2175484073681301E-3</v>
      </c>
    </row>
    <row r="3060" spans="1:6" x14ac:dyDescent="0.25">
      <c r="A3060" s="1" t="str">
        <f t="shared" si="112"/>
        <v>13340</v>
      </c>
      <c r="B3060" s="1" t="str">
        <f>"43333"</f>
        <v>43333</v>
      </c>
      <c r="C3060" s="2">
        <v>1.5873015873015799E-2</v>
      </c>
      <c r="D3060" s="2">
        <v>7.74102744546094E-3</v>
      </c>
      <c r="E3060" s="2">
        <v>4.9668874172185398E-3</v>
      </c>
      <c r="F3060" s="2">
        <v>1.5160441459487001E-2</v>
      </c>
    </row>
    <row r="3061" spans="1:6" x14ac:dyDescent="0.25">
      <c r="A3061" s="1" t="str">
        <f t="shared" si="112"/>
        <v>13340</v>
      </c>
      <c r="B3061" s="1" t="str">
        <f>"43311"</f>
        <v>43311</v>
      </c>
      <c r="C3061" s="2">
        <v>0.405444615122034</v>
      </c>
      <c r="D3061" s="2">
        <v>0.75510204081632604</v>
      </c>
      <c r="E3061" s="2">
        <v>0.54635761589403897</v>
      </c>
      <c r="F3061" s="2">
        <v>0.428302109108047</v>
      </c>
    </row>
    <row r="3062" spans="1:6" x14ac:dyDescent="0.25">
      <c r="A3062" s="1" t="str">
        <f t="shared" si="112"/>
        <v>13340</v>
      </c>
      <c r="B3062" s="1" t="str">
        <f>"43343"</f>
        <v>43343</v>
      </c>
      <c r="C3062" s="2">
        <v>1.8561187916026602E-2</v>
      </c>
      <c r="D3062" s="2">
        <v>1.2667135819845099E-2</v>
      </c>
      <c r="E3062" s="2">
        <v>6.6225165562913899E-3</v>
      </c>
      <c r="F3062" s="2">
        <v>1.7949020069910799E-2</v>
      </c>
    </row>
    <row r="3063" spans="1:6" x14ac:dyDescent="0.25">
      <c r="A3063" s="1" t="str">
        <f t="shared" si="112"/>
        <v>13340</v>
      </c>
      <c r="B3063" s="1" t="str">
        <f>"43345"</f>
        <v>43345</v>
      </c>
      <c r="C3063" s="2">
        <v>7.1684587813620002E-3</v>
      </c>
      <c r="D3063" s="2">
        <v>7.0372976776917598E-4</v>
      </c>
      <c r="E3063" s="2">
        <v>0</v>
      </c>
      <c r="F3063" s="2">
        <v>6.6376026079101296E-3</v>
      </c>
    </row>
    <row r="3064" spans="1:6" x14ac:dyDescent="0.25">
      <c r="A3064" s="1" t="str">
        <f t="shared" si="112"/>
        <v>13340</v>
      </c>
      <c r="B3064" s="1" t="str">
        <f>"43310"</f>
        <v>43310</v>
      </c>
      <c r="C3064" s="2">
        <v>5.3464755077658299E-2</v>
      </c>
      <c r="D3064" s="2">
        <v>1.9000703729767698E-2</v>
      </c>
      <c r="E3064" s="2">
        <v>3.4768211920529798E-2</v>
      </c>
      <c r="F3064" s="2">
        <v>5.1097757354385098E-2</v>
      </c>
    </row>
    <row r="3065" spans="1:6" x14ac:dyDescent="0.25">
      <c r="A3065" s="1" t="str">
        <f t="shared" si="112"/>
        <v>13340</v>
      </c>
      <c r="B3065" s="1" t="str">
        <f>"43324"</f>
        <v>43324</v>
      </c>
      <c r="C3065" s="2">
        <v>7.7914319849803695E-2</v>
      </c>
      <c r="D3065" s="2">
        <v>3.5890218156227997E-2</v>
      </c>
      <c r="E3065" s="2">
        <v>8.7748344370860903E-2</v>
      </c>
      <c r="F3065" s="2">
        <v>7.5802207297435198E-2</v>
      </c>
    </row>
    <row r="3066" spans="1:6" x14ac:dyDescent="0.25">
      <c r="A3066" s="1" t="str">
        <f t="shared" si="112"/>
        <v>13340</v>
      </c>
      <c r="B3066" s="1" t="str">
        <f>"43348"</f>
        <v>43348</v>
      </c>
      <c r="C3066" s="2">
        <v>6.3278716504522894E-2</v>
      </c>
      <c r="D3066" s="2">
        <v>5.4187192118226597E-2</v>
      </c>
      <c r="E3066" s="2">
        <v>7.6158940397350897E-2</v>
      </c>
      <c r="F3066" s="2">
        <v>6.3076862652684404E-2</v>
      </c>
    </row>
    <row r="3067" spans="1:6" x14ac:dyDescent="0.25">
      <c r="A3067" s="1" t="str">
        <f t="shared" si="112"/>
        <v>13340</v>
      </c>
      <c r="B3067" s="1" t="str">
        <f>"43318"</f>
        <v>43318</v>
      </c>
      <c r="C3067" s="2">
        <v>4.87284519542584E-2</v>
      </c>
      <c r="D3067" s="2">
        <v>9.8522167487684695E-3</v>
      </c>
      <c r="E3067" s="2">
        <v>9.9337748344370796E-3</v>
      </c>
      <c r="F3067" s="2">
        <v>4.5638427398766702E-2</v>
      </c>
    </row>
    <row r="3068" spans="1:6" x14ac:dyDescent="0.25">
      <c r="A3068" s="1" t="str">
        <f t="shared" si="112"/>
        <v>13340</v>
      </c>
      <c r="B3068" s="1" t="str">
        <f>"43319"</f>
        <v>43319</v>
      </c>
      <c r="C3068" s="2">
        <v>1.7409114183307699E-2</v>
      </c>
      <c r="D3068" s="2">
        <v>1.33708655876143E-2</v>
      </c>
      <c r="E3068" s="2">
        <v>0</v>
      </c>
      <c r="F3068" s="2">
        <v>1.6770747417619102E-2</v>
      </c>
    </row>
    <row r="3069" spans="1:6" x14ac:dyDescent="0.25">
      <c r="A3069" s="1" t="str">
        <f t="shared" si="112"/>
        <v>13340</v>
      </c>
      <c r="B3069" s="1" t="str">
        <f>"43358"</f>
        <v>43358</v>
      </c>
      <c r="C3069" s="2">
        <v>2.00972862263184E-2</v>
      </c>
      <c r="D3069" s="2">
        <v>7.74102744546094E-3</v>
      </c>
      <c r="E3069" s="2">
        <v>9.9337748344370796E-3</v>
      </c>
      <c r="F3069" s="2">
        <v>1.9166568477278899E-2</v>
      </c>
    </row>
    <row r="3070" spans="1:6" x14ac:dyDescent="0.25">
      <c r="A3070" s="1" t="str">
        <f t="shared" si="112"/>
        <v>13340</v>
      </c>
      <c r="B3070" s="1" t="str">
        <f>"45334"</f>
        <v>45334</v>
      </c>
      <c r="C3070" s="2">
        <v>2.56016385048643E-4</v>
      </c>
      <c r="D3070" s="2">
        <v>0</v>
      </c>
      <c r="E3070" s="2">
        <v>0</v>
      </c>
      <c r="F3070" s="2">
        <v>2.35654530458348E-4</v>
      </c>
    </row>
    <row r="3071" spans="1:6" x14ac:dyDescent="0.25">
      <c r="A3071" s="1" t="str">
        <f t="shared" si="112"/>
        <v>13340</v>
      </c>
      <c r="B3071" s="1" t="str">
        <f>"43336"</f>
        <v>43336</v>
      </c>
      <c r="C3071" s="2">
        <v>0</v>
      </c>
      <c r="D3071" s="2">
        <v>7.0372976776917598E-4</v>
      </c>
      <c r="E3071" s="2">
        <v>0</v>
      </c>
      <c r="F3071" s="2">
        <v>3.9275755076391297E-5</v>
      </c>
    </row>
    <row r="3072" spans="1:6" x14ac:dyDescent="0.25">
      <c r="A3072" s="1" t="str">
        <f t="shared" si="112"/>
        <v>13340</v>
      </c>
      <c r="B3072" s="1" t="str">
        <f>"43067"</f>
        <v>43067</v>
      </c>
      <c r="C3072" s="2">
        <v>8.5338795016214294E-5</v>
      </c>
      <c r="D3072" s="2">
        <v>7.0372976776917598E-4</v>
      </c>
      <c r="E3072" s="2">
        <v>0</v>
      </c>
      <c r="F3072" s="2">
        <v>1.17827265229174E-4</v>
      </c>
    </row>
    <row r="3073" spans="1:6" x14ac:dyDescent="0.25">
      <c r="A3073" s="1" t="str">
        <f t="shared" si="112"/>
        <v>13340</v>
      </c>
      <c r="B3073" s="1" t="str">
        <f>"43360"</f>
        <v>43360</v>
      </c>
      <c r="C3073" s="2">
        <v>3.7250384024577497E-2</v>
      </c>
      <c r="D3073" s="2">
        <v>4.2223786066150496E-3</v>
      </c>
      <c r="E3073" s="2">
        <v>8.2781456953642304E-3</v>
      </c>
      <c r="F3073" s="2">
        <v>3.4719767487529897E-2</v>
      </c>
    </row>
    <row r="3074" spans="1:6" x14ac:dyDescent="0.25">
      <c r="A3074" s="1" t="str">
        <f t="shared" si="112"/>
        <v>13340</v>
      </c>
      <c r="B3074" s="1" t="str">
        <f>"43331"</f>
        <v>43331</v>
      </c>
      <c r="C3074" s="2">
        <v>0.139102235876429</v>
      </c>
      <c r="D3074" s="2">
        <v>4.7853624208304003E-2</v>
      </c>
      <c r="E3074" s="2">
        <v>9.43708609271523E-2</v>
      </c>
      <c r="F3074" s="2">
        <v>0.13294843093358399</v>
      </c>
    </row>
    <row r="3075" spans="1:6" x14ac:dyDescent="0.25">
      <c r="A3075" s="1" t="str">
        <f t="shared" ref="A3075:A3095" si="113">"13380"</f>
        <v>13380</v>
      </c>
      <c r="B3075" s="1" t="str">
        <f>"98266"</f>
        <v>98266</v>
      </c>
      <c r="C3075" s="2">
        <v>1.59113195480707E-2</v>
      </c>
      <c r="D3075" s="2">
        <v>1.7091095539224E-3</v>
      </c>
      <c r="E3075" s="2">
        <v>2.3068050749711601E-4</v>
      </c>
      <c r="F3075" s="2">
        <v>1.3716245177882501E-2</v>
      </c>
    </row>
    <row r="3076" spans="1:6" x14ac:dyDescent="0.25">
      <c r="A3076" s="1" t="str">
        <f t="shared" si="113"/>
        <v>13380</v>
      </c>
      <c r="B3076" s="1" t="str">
        <f>"98228"</f>
        <v>98228</v>
      </c>
      <c r="C3076" s="2">
        <v>2.03368151780004E-2</v>
      </c>
      <c r="D3076" s="2">
        <v>5.1529653050760502E-2</v>
      </c>
      <c r="E3076" s="2">
        <v>1.15340253748558E-4</v>
      </c>
      <c r="F3076" s="2">
        <v>2.1714966544857401E-2</v>
      </c>
    </row>
    <row r="3077" spans="1:6" x14ac:dyDescent="0.25">
      <c r="A3077" s="1" t="str">
        <f t="shared" si="113"/>
        <v>13380</v>
      </c>
      <c r="B3077" s="1" t="str">
        <f>"98262"</f>
        <v>98262</v>
      </c>
      <c r="C3077" s="2">
        <v>6.4293327648688899E-3</v>
      </c>
      <c r="D3077" s="2">
        <v>1.2818321654417999E-3</v>
      </c>
      <c r="E3077" s="2">
        <v>9.2272202998846501E-4</v>
      </c>
      <c r="F3077" s="2">
        <v>5.6448742072111903E-3</v>
      </c>
    </row>
    <row r="3078" spans="1:6" x14ac:dyDescent="0.25">
      <c r="A3078" s="1" t="str">
        <f t="shared" si="113"/>
        <v>13380</v>
      </c>
      <c r="B3078" s="1" t="str">
        <f>"98247"</f>
        <v>98247</v>
      </c>
      <c r="C3078" s="2">
        <v>3.3135791942016601E-2</v>
      </c>
      <c r="D3078" s="2">
        <v>1.99965817808921E-2</v>
      </c>
      <c r="E3078" s="2">
        <v>9.9192618223759993E-3</v>
      </c>
      <c r="F3078" s="2">
        <v>3.0556423314710798E-2</v>
      </c>
    </row>
    <row r="3079" spans="1:6" x14ac:dyDescent="0.25">
      <c r="A3079" s="1" t="str">
        <f t="shared" si="113"/>
        <v>13380</v>
      </c>
      <c r="B3079" s="1" t="str">
        <f>"98230"</f>
        <v>98230</v>
      </c>
      <c r="C3079" s="2">
        <v>8.4664250692815995E-2</v>
      </c>
      <c r="D3079" s="2">
        <v>5.1871474961544997E-2</v>
      </c>
      <c r="E3079" s="2">
        <v>4.62514417531718E-2</v>
      </c>
      <c r="F3079" s="2">
        <v>7.9456871562765596E-2</v>
      </c>
    </row>
    <row r="3080" spans="1:6" x14ac:dyDescent="0.25">
      <c r="A3080" s="1" t="str">
        <f t="shared" si="113"/>
        <v>13380</v>
      </c>
      <c r="B3080" s="1" t="str">
        <f>"98284"</f>
        <v>98284</v>
      </c>
      <c r="C3080" s="2">
        <v>9.1238541888723004E-3</v>
      </c>
      <c r="D3080" s="2">
        <v>1.02546573235344E-3</v>
      </c>
      <c r="E3080" s="2">
        <v>3.4602076124567402E-4</v>
      </c>
      <c r="F3080" s="2">
        <v>7.8824820010606807E-3</v>
      </c>
    </row>
    <row r="3081" spans="1:6" x14ac:dyDescent="0.25">
      <c r="A3081" s="1" t="str">
        <f t="shared" si="113"/>
        <v>13380</v>
      </c>
      <c r="B3081" s="1" t="str">
        <f>"98244"</f>
        <v>98244</v>
      </c>
      <c r="C3081" s="2">
        <v>1.05478575996589E-2</v>
      </c>
      <c r="D3081" s="2">
        <v>2.9909417193642101E-3</v>
      </c>
      <c r="E3081" s="2">
        <v>8.7658592848904194E-3</v>
      </c>
      <c r="F3081" s="2">
        <v>9.7931665782763095E-3</v>
      </c>
    </row>
    <row r="3082" spans="1:6" x14ac:dyDescent="0.25">
      <c r="A3082" s="1" t="str">
        <f t="shared" si="113"/>
        <v>13380</v>
      </c>
      <c r="B3082" s="1" t="str">
        <f>"98248"</f>
        <v>98248</v>
      </c>
      <c r="C3082" s="2">
        <v>0.10696226817309699</v>
      </c>
      <c r="D3082" s="2">
        <v>9.9726542471372401E-2</v>
      </c>
      <c r="E3082" s="2">
        <v>6.5628604382929598E-2</v>
      </c>
      <c r="F3082" s="2">
        <v>0.103743634078476</v>
      </c>
    </row>
    <row r="3083" spans="1:6" x14ac:dyDescent="0.25">
      <c r="A3083" s="1" t="str">
        <f t="shared" si="113"/>
        <v>13380</v>
      </c>
      <c r="B3083" s="1" t="str">
        <f>"98264"</f>
        <v>98264</v>
      </c>
      <c r="C3083" s="2">
        <v>8.1671285440204605E-2</v>
      </c>
      <c r="D3083" s="2">
        <v>9.4513758331909004E-2</v>
      </c>
      <c r="E3083" s="2">
        <v>6.82814302191464E-2</v>
      </c>
      <c r="F3083" s="2">
        <v>8.19196931280739E-2</v>
      </c>
    </row>
    <row r="3084" spans="1:6" x14ac:dyDescent="0.25">
      <c r="A3084" s="1" t="str">
        <f t="shared" si="113"/>
        <v>13380</v>
      </c>
      <c r="B3084" s="1" t="str">
        <f>"98225"</f>
        <v>98225</v>
      </c>
      <c r="C3084" s="2">
        <v>0.192325730121509</v>
      </c>
      <c r="D3084" s="2">
        <v>0.30328149034353102</v>
      </c>
      <c r="E3084" s="2">
        <v>0.51787773933102599</v>
      </c>
      <c r="F3084" s="2">
        <v>0.222264197548802</v>
      </c>
    </row>
    <row r="3085" spans="1:6" x14ac:dyDescent="0.25">
      <c r="A3085" s="1" t="str">
        <f t="shared" si="113"/>
        <v>13380</v>
      </c>
      <c r="B3085" s="1" t="str">
        <f>"98227"</f>
        <v>98227</v>
      </c>
      <c r="C3085" s="2">
        <v>2.0507354508633498E-2</v>
      </c>
      <c r="D3085" s="2">
        <v>7.1355323876260396E-2</v>
      </c>
      <c r="E3085" s="2">
        <v>3.4602076124567402E-4</v>
      </c>
      <c r="F3085" s="2">
        <v>2.3560266478746299E-2</v>
      </c>
    </row>
    <row r="3086" spans="1:6" x14ac:dyDescent="0.25">
      <c r="A3086" s="1" t="str">
        <f t="shared" si="113"/>
        <v>13380</v>
      </c>
      <c r="B3086" s="1" t="str">
        <f>"98295"</f>
        <v>98295</v>
      </c>
      <c r="C3086" s="2">
        <v>2.9938179492645399E-2</v>
      </c>
      <c r="D3086" s="2">
        <v>2.8285763117415801E-2</v>
      </c>
      <c r="E3086" s="2">
        <v>7.8431372549019607E-3</v>
      </c>
      <c r="F3086" s="2">
        <v>2.8405995045296999E-2</v>
      </c>
    </row>
    <row r="3087" spans="1:6" x14ac:dyDescent="0.25">
      <c r="A3087" s="1" t="str">
        <f t="shared" si="113"/>
        <v>13380</v>
      </c>
      <c r="B3087" s="1" t="str">
        <f>"98220"</f>
        <v>98220</v>
      </c>
      <c r="C3087" s="2">
        <v>1.41547644425495E-3</v>
      </c>
      <c r="D3087" s="2">
        <v>3.41821910784481E-4</v>
      </c>
      <c r="E3087" s="2">
        <v>9.2272202998846496E-3</v>
      </c>
      <c r="F3087" s="2">
        <v>1.8162400924102899E-3</v>
      </c>
    </row>
    <row r="3088" spans="1:6" x14ac:dyDescent="0.25">
      <c r="A3088" s="1" t="str">
        <f t="shared" si="113"/>
        <v>13380</v>
      </c>
      <c r="B3088" s="1" t="str">
        <f>"98237"</f>
        <v>98237</v>
      </c>
      <c r="C3088" s="2">
        <v>6.8215732253250897E-5</v>
      </c>
      <c r="D3088" s="2">
        <v>8.5455477696120305E-5</v>
      </c>
      <c r="E3088" s="2">
        <v>0</v>
      </c>
      <c r="F3088" s="2">
        <v>6.5384643326770595E-5</v>
      </c>
    </row>
    <row r="3089" spans="1:6" x14ac:dyDescent="0.25">
      <c r="A3089" s="1" t="str">
        <f t="shared" si="113"/>
        <v>13380</v>
      </c>
      <c r="B3089" s="1" t="str">
        <f>"98229"</f>
        <v>98229</v>
      </c>
      <c r="C3089" s="2">
        <v>0.13307183969302899</v>
      </c>
      <c r="D3089" s="2">
        <v>5.2469663305417802E-2</v>
      </c>
      <c r="E3089" s="2">
        <v>9.3079584775086502E-2</v>
      </c>
      <c r="F3089" s="2">
        <v>0.12370048021388</v>
      </c>
    </row>
    <row r="3090" spans="1:6" x14ac:dyDescent="0.25">
      <c r="A3090" s="1" t="str">
        <f t="shared" si="113"/>
        <v>13380</v>
      </c>
      <c r="B3090" s="1" t="str">
        <f>"98226"</f>
        <v>98226</v>
      </c>
      <c r="C3090" s="2">
        <v>0.17772756341931301</v>
      </c>
      <c r="D3090" s="2">
        <v>0.16381815074346201</v>
      </c>
      <c r="E3090" s="2">
        <v>0.16412918108419799</v>
      </c>
      <c r="F3090" s="2">
        <v>0.175688536619032</v>
      </c>
    </row>
    <row r="3091" spans="1:6" x14ac:dyDescent="0.25">
      <c r="A3091" s="1" t="str">
        <f t="shared" si="113"/>
        <v>13380</v>
      </c>
      <c r="B3091" s="1" t="str">
        <f>"98283"</f>
        <v>98283</v>
      </c>
      <c r="C3091" s="2">
        <v>2.3875506288637799E-4</v>
      </c>
      <c r="D3091" s="2">
        <v>7.6909929926508198E-4</v>
      </c>
      <c r="E3091" s="2">
        <v>4.6136101499423201E-4</v>
      </c>
      <c r="F3091" s="2">
        <v>2.9786337515528801E-4</v>
      </c>
    </row>
    <row r="3092" spans="1:6" x14ac:dyDescent="0.25">
      <c r="A3092" s="1" t="str">
        <f t="shared" si="113"/>
        <v>13380</v>
      </c>
      <c r="B3092" s="1" t="str">
        <f>"98281"</f>
        <v>98281</v>
      </c>
      <c r="C3092" s="2">
        <v>2.9622681730974199E-2</v>
      </c>
      <c r="D3092" s="2">
        <v>2.0509314647068799E-2</v>
      </c>
      <c r="E3092" s="2">
        <v>3.69088811995386E-3</v>
      </c>
      <c r="F3092" s="2">
        <v>2.7214541544675799E-2</v>
      </c>
    </row>
    <row r="3093" spans="1:6" x14ac:dyDescent="0.25">
      <c r="A3093" s="1" t="str">
        <f t="shared" si="113"/>
        <v>13380</v>
      </c>
      <c r="B3093" s="1" t="str">
        <f>"98231"</f>
        <v>98231</v>
      </c>
      <c r="C3093" s="2">
        <v>2.3696439991473001E-2</v>
      </c>
      <c r="D3093" s="2">
        <v>2.11075029909417E-2</v>
      </c>
      <c r="E3093" s="2">
        <v>2.3068050749711601E-4</v>
      </c>
      <c r="F3093" s="2">
        <v>2.19982999992735E-2</v>
      </c>
    </row>
    <row r="3094" spans="1:6" x14ac:dyDescent="0.25">
      <c r="A3094" s="1" t="str">
        <f t="shared" si="113"/>
        <v>13380</v>
      </c>
      <c r="B3094" s="1" t="str">
        <f>"98276"</f>
        <v>98276</v>
      </c>
      <c r="C3094" s="2">
        <v>7.6742698784907203E-3</v>
      </c>
      <c r="D3094" s="2">
        <v>3.58913006323705E-3</v>
      </c>
      <c r="E3094" s="2">
        <v>1.7301038062283701E-3</v>
      </c>
      <c r="F3094" s="2">
        <v>6.9525670737466102E-3</v>
      </c>
    </row>
    <row r="3095" spans="1:6" x14ac:dyDescent="0.25">
      <c r="A3095" s="1" t="str">
        <f t="shared" si="113"/>
        <v>13380</v>
      </c>
      <c r="B3095" s="1" t="str">
        <f>"98240"</f>
        <v>98240</v>
      </c>
      <c r="C3095" s="2">
        <v>1.49307183969302E-2</v>
      </c>
      <c r="D3095" s="2">
        <v>9.7419244573577098E-3</v>
      </c>
      <c r="E3095" s="2">
        <v>9.2272202998846501E-4</v>
      </c>
      <c r="F3095" s="2">
        <v>1.36072707723379E-2</v>
      </c>
    </row>
    <row r="3096" spans="1:6" x14ac:dyDescent="0.25">
      <c r="A3096" s="1" t="str">
        <f t="shared" ref="A3096:A3113" si="114">"13420"</f>
        <v>13420</v>
      </c>
      <c r="B3096" s="1" t="str">
        <f>"56678"</f>
        <v>56678</v>
      </c>
      <c r="C3096" s="2">
        <v>1.8513230534932399E-2</v>
      </c>
      <c r="D3096" s="2">
        <v>6.9555912252541397E-3</v>
      </c>
      <c r="E3096" s="2">
        <v>9.5328884652049503E-4</v>
      </c>
      <c r="F3096" s="2">
        <v>1.6840785624738799E-2</v>
      </c>
    </row>
    <row r="3097" spans="1:6" x14ac:dyDescent="0.25">
      <c r="A3097" s="1" t="str">
        <f t="shared" si="114"/>
        <v>13420</v>
      </c>
      <c r="B3097" s="1" t="str">
        <f>"56683"</f>
        <v>56683</v>
      </c>
      <c r="C3097" s="2">
        <v>1.6276413478012501E-2</v>
      </c>
      <c r="D3097" s="2">
        <v>5.8855002675227298E-3</v>
      </c>
      <c r="E3097" s="2">
        <v>1.9065776930409901E-3</v>
      </c>
      <c r="F3097" s="2">
        <v>1.48349352277475E-2</v>
      </c>
    </row>
    <row r="3098" spans="1:6" x14ac:dyDescent="0.25">
      <c r="A3098" s="1" t="str">
        <f t="shared" si="114"/>
        <v>13420</v>
      </c>
      <c r="B3098" s="1" t="str">
        <f>"56666"</f>
        <v>56666</v>
      </c>
      <c r="C3098" s="2">
        <v>0</v>
      </c>
      <c r="D3098" s="2">
        <v>5.35045478865703E-4</v>
      </c>
      <c r="E3098" s="2">
        <v>0</v>
      </c>
      <c r="F3098" s="2">
        <v>4.17885499373171E-5</v>
      </c>
    </row>
    <row r="3099" spans="1:6" x14ac:dyDescent="0.25">
      <c r="A3099" s="1" t="str">
        <f t="shared" si="114"/>
        <v>13420</v>
      </c>
      <c r="B3099" s="1" t="str">
        <f>"56671"</f>
        <v>56671</v>
      </c>
      <c r="C3099" s="2">
        <v>0</v>
      </c>
      <c r="D3099" s="2">
        <v>1.6051364365971101E-3</v>
      </c>
      <c r="E3099" s="2">
        <v>9.5328884652049503E-4</v>
      </c>
      <c r="F3099" s="2">
        <v>1.6715419974926799E-4</v>
      </c>
    </row>
    <row r="3100" spans="1:6" x14ac:dyDescent="0.25">
      <c r="A3100" s="1" t="str">
        <f t="shared" si="114"/>
        <v>13420</v>
      </c>
      <c r="B3100" s="1" t="str">
        <f>"56650"</f>
        <v>56650</v>
      </c>
      <c r="C3100" s="2">
        <v>1.5800494955263599E-2</v>
      </c>
      <c r="D3100" s="2">
        <v>3.2102728731942202E-3</v>
      </c>
      <c r="E3100" s="2">
        <v>2.8598665395614801E-3</v>
      </c>
      <c r="F3100" s="2">
        <v>1.4249895528625101E-2</v>
      </c>
    </row>
    <row r="3101" spans="1:6" x14ac:dyDescent="0.25">
      <c r="A3101" s="1" t="str">
        <f t="shared" si="114"/>
        <v>13420</v>
      </c>
      <c r="B3101" s="1" t="str">
        <f>"56661"</f>
        <v>56661</v>
      </c>
      <c r="C3101" s="2">
        <v>2.2368170569198498E-3</v>
      </c>
      <c r="D3101" s="2">
        <v>0</v>
      </c>
      <c r="E3101" s="2">
        <v>0</v>
      </c>
      <c r="F3101" s="2">
        <v>1.9640618470539001E-3</v>
      </c>
    </row>
    <row r="3102" spans="1:6" x14ac:dyDescent="0.25">
      <c r="A3102" s="1" t="str">
        <f t="shared" si="114"/>
        <v>13420</v>
      </c>
      <c r="B3102" s="1" t="str">
        <f>"56652"</f>
        <v>56652</v>
      </c>
      <c r="C3102" s="2">
        <v>1.23738815914715E-3</v>
      </c>
      <c r="D3102" s="2">
        <v>0</v>
      </c>
      <c r="E3102" s="2">
        <v>0</v>
      </c>
      <c r="F3102" s="2">
        <v>1.08650229837024E-3</v>
      </c>
    </row>
    <row r="3103" spans="1:6" x14ac:dyDescent="0.25">
      <c r="A3103" s="1" t="str">
        <f t="shared" si="114"/>
        <v>13420</v>
      </c>
      <c r="B3103" s="1" t="str">
        <f>"56676"</f>
        <v>56676</v>
      </c>
      <c r="C3103" s="2">
        <v>1.7942128307633701E-2</v>
      </c>
      <c r="D3103" s="2">
        <v>1.0700909577313999E-3</v>
      </c>
      <c r="E3103" s="2">
        <v>3.8131553860819801E-3</v>
      </c>
      <c r="F3103" s="2">
        <v>1.6005014625992402E-2</v>
      </c>
    </row>
    <row r="3104" spans="1:6" x14ac:dyDescent="0.25">
      <c r="A3104" s="1" t="str">
        <f t="shared" si="114"/>
        <v>13420</v>
      </c>
      <c r="B3104" s="1" t="str">
        <f>"56633"</f>
        <v>56633</v>
      </c>
      <c r="C3104" s="2">
        <v>2.2272986864648701E-2</v>
      </c>
      <c r="D3104" s="2">
        <v>8.5607276618512498E-3</v>
      </c>
      <c r="E3104" s="2">
        <v>5.7197330791229697E-3</v>
      </c>
      <c r="F3104" s="2">
        <v>2.04763894692854E-2</v>
      </c>
    </row>
    <row r="3105" spans="1:6" x14ac:dyDescent="0.25">
      <c r="A3105" s="1" t="str">
        <f t="shared" si="114"/>
        <v>13420</v>
      </c>
      <c r="B3105" s="1" t="str">
        <f>"56619"</f>
        <v>56619</v>
      </c>
      <c r="C3105" s="2">
        <v>5.2351037502379502E-2</v>
      </c>
      <c r="D3105" s="2">
        <v>0.20278223649010099</v>
      </c>
      <c r="E3105" s="2">
        <v>1.9065776930409901E-3</v>
      </c>
      <c r="F3105" s="2">
        <v>6.18888424571667E-2</v>
      </c>
    </row>
    <row r="3106" spans="1:6" x14ac:dyDescent="0.25">
      <c r="A3106" s="1" t="str">
        <f t="shared" si="114"/>
        <v>13420</v>
      </c>
      <c r="B3106" s="1" t="str">
        <f>"56685"</f>
        <v>56685</v>
      </c>
      <c r="C3106" s="2">
        <v>2.3320007614696298E-3</v>
      </c>
      <c r="D3106" s="2">
        <v>5.35045478865703E-4</v>
      </c>
      <c r="E3106" s="2">
        <v>1.9065776930409901E-3</v>
      </c>
      <c r="F3106" s="2">
        <v>2.17300459674049E-3</v>
      </c>
    </row>
    <row r="3107" spans="1:6" x14ac:dyDescent="0.25">
      <c r="A3107" s="1" t="str">
        <f t="shared" si="114"/>
        <v>13420</v>
      </c>
      <c r="B3107" s="1" t="str">
        <f>"56670"</f>
        <v>56670</v>
      </c>
      <c r="C3107" s="2">
        <v>0</v>
      </c>
      <c r="D3107" s="2">
        <v>0</v>
      </c>
      <c r="E3107" s="2">
        <v>9.5328884652049503E-4</v>
      </c>
      <c r="F3107" s="2">
        <v>4.17885499373171E-5</v>
      </c>
    </row>
    <row r="3108" spans="1:6" x14ac:dyDescent="0.25">
      <c r="A3108" s="1" t="str">
        <f t="shared" si="114"/>
        <v>13420</v>
      </c>
      <c r="B3108" s="1" t="str">
        <f>"56647"</f>
        <v>56647</v>
      </c>
      <c r="C3108" s="2">
        <v>1.6990291262135901E-2</v>
      </c>
      <c r="D3108" s="2">
        <v>6.9555912252541397E-3</v>
      </c>
      <c r="E3108" s="2">
        <v>9.5328884652049503E-4</v>
      </c>
      <c r="F3108" s="2">
        <v>1.55035520267446E-2</v>
      </c>
    </row>
    <row r="3109" spans="1:6" x14ac:dyDescent="0.25">
      <c r="A3109" s="1" t="str">
        <f t="shared" si="114"/>
        <v>13420</v>
      </c>
      <c r="B3109" s="1" t="str">
        <f>"56727"</f>
        <v>56727</v>
      </c>
      <c r="C3109" s="2">
        <v>8.94726822767942E-3</v>
      </c>
      <c r="D3109" s="2">
        <v>1.0700909577313999E-3</v>
      </c>
      <c r="E3109" s="2">
        <v>0</v>
      </c>
      <c r="F3109" s="2">
        <v>7.9398244880902608E-3</v>
      </c>
    </row>
    <row r="3110" spans="1:6" x14ac:dyDescent="0.25">
      <c r="A3110" s="1" t="str">
        <f t="shared" si="114"/>
        <v>13420</v>
      </c>
      <c r="B3110" s="1" t="str">
        <f>"56667"</f>
        <v>56667</v>
      </c>
      <c r="C3110" s="2">
        <v>1.67047401484865E-2</v>
      </c>
      <c r="D3110" s="2">
        <v>4.8154093097913303E-3</v>
      </c>
      <c r="E3110" s="2">
        <v>9.5328884652049503E-4</v>
      </c>
      <c r="F3110" s="2">
        <v>1.50856665273715E-2</v>
      </c>
    </row>
    <row r="3111" spans="1:6" x14ac:dyDescent="0.25">
      <c r="A3111" s="1" t="str">
        <f t="shared" si="114"/>
        <v>13420</v>
      </c>
      <c r="B3111" s="1" t="str">
        <f>"56601"</f>
        <v>56601</v>
      </c>
      <c r="C3111" s="2">
        <v>0.75090424519322196</v>
      </c>
      <c r="D3111" s="2">
        <v>0.74317817014446197</v>
      </c>
      <c r="E3111" s="2">
        <v>0.95710200190657702</v>
      </c>
      <c r="F3111" s="2">
        <v>0.75933974091098999</v>
      </c>
    </row>
    <row r="3112" spans="1:6" x14ac:dyDescent="0.25">
      <c r="A3112" s="1" t="str">
        <f t="shared" si="114"/>
        <v>13420</v>
      </c>
      <c r="B3112" s="1" t="str">
        <f>"56663"</f>
        <v>56663</v>
      </c>
      <c r="C3112" s="2">
        <v>5.5682467161621901E-3</v>
      </c>
      <c r="D3112" s="2">
        <v>5.35045478865703E-4</v>
      </c>
      <c r="E3112" s="2">
        <v>0</v>
      </c>
      <c r="F3112" s="2">
        <v>4.9310488926034204E-3</v>
      </c>
    </row>
    <row r="3113" spans="1:6" x14ac:dyDescent="0.25">
      <c r="A3113" s="1" t="str">
        <f t="shared" si="114"/>
        <v>13420</v>
      </c>
      <c r="B3113" s="1" t="str">
        <f>"56630"</f>
        <v>56630</v>
      </c>
      <c r="C3113" s="2">
        <v>5.19227108319055E-2</v>
      </c>
      <c r="D3113" s="2">
        <v>1.2306046013911101E-2</v>
      </c>
      <c r="E3113" s="2">
        <v>2.0019065776930401E-2</v>
      </c>
      <c r="F3113" s="2">
        <v>4.7430004178854901E-2</v>
      </c>
    </row>
    <row r="3114" spans="1:6" x14ac:dyDescent="0.25">
      <c r="A3114" s="1" t="str">
        <f t="shared" ref="A3114:A3124" si="115">"13460"</f>
        <v>13460</v>
      </c>
      <c r="B3114" s="1" t="str">
        <f>"97760"</f>
        <v>97760</v>
      </c>
      <c r="C3114" s="2">
        <v>2.1980509985566402E-2</v>
      </c>
      <c r="D3114" s="2">
        <v>9.8273799350538302E-3</v>
      </c>
      <c r="E3114" s="2">
        <v>1.35109052306504E-3</v>
      </c>
      <c r="F3114" s="2">
        <v>1.99534527936461E-2</v>
      </c>
    </row>
    <row r="3115" spans="1:6" x14ac:dyDescent="0.25">
      <c r="A3115" s="1" t="str">
        <f t="shared" si="115"/>
        <v>13460</v>
      </c>
      <c r="B3115" s="1" t="str">
        <f>"97707"</f>
        <v>97707</v>
      </c>
      <c r="C3115" s="2">
        <v>5.6696508589379503E-2</v>
      </c>
      <c r="D3115" s="2">
        <v>2.42693556656981E-2</v>
      </c>
      <c r="E3115" s="2">
        <v>3.0882069098629602E-3</v>
      </c>
      <c r="F3115" s="2">
        <v>5.1348404212033898E-2</v>
      </c>
    </row>
    <row r="3116" spans="1:6" x14ac:dyDescent="0.25">
      <c r="A3116" s="1" t="str">
        <f t="shared" si="115"/>
        <v>13460</v>
      </c>
      <c r="B3116" s="1" t="str">
        <f>"97709"</f>
        <v>97709</v>
      </c>
      <c r="C3116" s="2">
        <v>9.6129354829580203E-3</v>
      </c>
      <c r="D3116" s="2">
        <v>6.5202529482139795E-2</v>
      </c>
      <c r="E3116" s="2">
        <v>3.8602586373287002E-4</v>
      </c>
      <c r="F3116" s="2">
        <v>1.45175203033706E-2</v>
      </c>
    </row>
    <row r="3117" spans="1:6" x14ac:dyDescent="0.25">
      <c r="A3117" s="1" t="str">
        <f t="shared" si="115"/>
        <v>13460</v>
      </c>
      <c r="B3117" s="1" t="str">
        <f>"97701"</f>
        <v>97701</v>
      </c>
      <c r="C3117" s="2">
        <v>0.178060998273633</v>
      </c>
      <c r="D3117" s="2">
        <v>0.18313108870278499</v>
      </c>
      <c r="E3117" s="2">
        <v>0.33584250144759598</v>
      </c>
      <c r="F3117" s="2">
        <v>0.185196035349836</v>
      </c>
    </row>
    <row r="3118" spans="1:6" x14ac:dyDescent="0.25">
      <c r="A3118" s="1" t="str">
        <f t="shared" si="115"/>
        <v>13460</v>
      </c>
      <c r="B3118" s="1" t="str">
        <f>"97739"</f>
        <v>97739</v>
      </c>
      <c r="C3118" s="2">
        <v>9.6346329820854101E-2</v>
      </c>
      <c r="D3118" s="2">
        <v>2.4952999487267102E-2</v>
      </c>
      <c r="E3118" s="2">
        <v>1.10017371163867E-2</v>
      </c>
      <c r="F3118" s="2">
        <v>8.5949579284865602E-2</v>
      </c>
    </row>
    <row r="3119" spans="1:6" x14ac:dyDescent="0.25">
      <c r="A3119" s="1" t="str">
        <f t="shared" si="115"/>
        <v>13460</v>
      </c>
      <c r="B3119" s="1" t="str">
        <f>"97703"</f>
        <v>97703</v>
      </c>
      <c r="C3119" s="2">
        <v>0.14664679301529199</v>
      </c>
      <c r="D3119" s="2">
        <v>0.16945821227140601</v>
      </c>
      <c r="E3119" s="2">
        <v>0.26790194943061102</v>
      </c>
      <c r="F3119" s="2">
        <v>0.15393128590726299</v>
      </c>
    </row>
    <row r="3120" spans="1:6" x14ac:dyDescent="0.25">
      <c r="A3120" s="1" t="str">
        <f t="shared" si="115"/>
        <v>13460</v>
      </c>
      <c r="B3120" s="1" t="str">
        <f>"97702"</f>
        <v>97702</v>
      </c>
      <c r="C3120" s="2">
        <v>0.214380725073818</v>
      </c>
      <c r="D3120" s="2">
        <v>0.197487608955734</v>
      </c>
      <c r="E3120" s="2">
        <v>0.22929936305732401</v>
      </c>
      <c r="F3120" s="2">
        <v>0.21340103836075699</v>
      </c>
    </row>
    <row r="3121" spans="1:6" x14ac:dyDescent="0.25">
      <c r="A3121" s="1" t="str">
        <f t="shared" si="115"/>
        <v>13460</v>
      </c>
      <c r="B3121" s="1" t="str">
        <f>"97712"</f>
        <v>97712</v>
      </c>
      <c r="C3121" s="2">
        <v>3.7734781091101102E-4</v>
      </c>
      <c r="D3121" s="2">
        <v>2.5636643308835999E-4</v>
      </c>
      <c r="E3121" s="2">
        <v>3.8602586373287002E-4</v>
      </c>
      <c r="F3121" s="2">
        <v>3.6619305697963901E-4</v>
      </c>
    </row>
    <row r="3122" spans="1:6" x14ac:dyDescent="0.25">
      <c r="A3122" s="1" t="str">
        <f t="shared" si="115"/>
        <v>13460</v>
      </c>
      <c r="B3122" s="1" t="str">
        <f>"97759"</f>
        <v>97759</v>
      </c>
      <c r="C3122" s="2">
        <v>7.2328141656368194E-2</v>
      </c>
      <c r="D3122" s="2">
        <v>4.7000512732866102E-2</v>
      </c>
      <c r="E3122" s="2">
        <v>2.10384095734414E-2</v>
      </c>
      <c r="F3122" s="2">
        <v>6.7753853164721697E-2</v>
      </c>
    </row>
    <row r="3123" spans="1:6" x14ac:dyDescent="0.25">
      <c r="A3123" s="1" t="str">
        <f t="shared" si="115"/>
        <v>13460</v>
      </c>
      <c r="B3123" s="1" t="str">
        <f>"97756"</f>
        <v>97756</v>
      </c>
      <c r="C3123" s="2">
        <v>0.188362593511504</v>
      </c>
      <c r="D3123" s="2">
        <v>0.19526576653563399</v>
      </c>
      <c r="E3123" s="2">
        <v>0.12912565141864499</v>
      </c>
      <c r="F3123" s="2">
        <v>0.18652246797845101</v>
      </c>
    </row>
    <row r="3124" spans="1:6" x14ac:dyDescent="0.25">
      <c r="A3124" s="1" t="str">
        <f t="shared" si="115"/>
        <v>13460</v>
      </c>
      <c r="B3124" s="1" t="str">
        <f>"97708"</f>
        <v>97708</v>
      </c>
      <c r="C3124" s="2">
        <v>1.52071167797137E-2</v>
      </c>
      <c r="D3124" s="2">
        <v>8.3148179798325006E-2</v>
      </c>
      <c r="E3124" s="2">
        <v>5.7903879559930501E-4</v>
      </c>
      <c r="F3124" s="2">
        <v>2.1060169588073399E-2</v>
      </c>
    </row>
    <row r="3125" spans="1:6" x14ac:dyDescent="0.25">
      <c r="A3125" s="1" t="str">
        <f t="shared" ref="A3125:A3131" si="116">"13500"</f>
        <v>13500</v>
      </c>
      <c r="B3125" s="1" t="str">
        <f>"29525"</f>
        <v>29525</v>
      </c>
      <c r="C3125" s="2">
        <v>4.8496964312157498E-2</v>
      </c>
      <c r="D3125" s="2">
        <v>1.4042126379137401E-2</v>
      </c>
      <c r="E3125" s="2">
        <v>1.22699386503067E-2</v>
      </c>
      <c r="F3125" s="2">
        <v>4.5752079639983602E-2</v>
      </c>
    </row>
    <row r="3126" spans="1:6" x14ac:dyDescent="0.25">
      <c r="A3126" s="1" t="str">
        <f t="shared" si="116"/>
        <v>13500</v>
      </c>
      <c r="B3126" s="1" t="str">
        <f>"29565"</f>
        <v>29565</v>
      </c>
      <c r="C3126" s="2">
        <v>5.5530875166592596E-3</v>
      </c>
      <c r="D3126" s="2">
        <v>0</v>
      </c>
      <c r="E3126" s="2">
        <v>0</v>
      </c>
      <c r="F3126" s="2">
        <v>5.1138688122187304E-3</v>
      </c>
    </row>
    <row r="3127" spans="1:6" x14ac:dyDescent="0.25">
      <c r="A3127" s="1" t="str">
        <f t="shared" si="116"/>
        <v>13500</v>
      </c>
      <c r="B3127" s="1" t="str">
        <f>"29594"</f>
        <v>29594</v>
      </c>
      <c r="C3127" s="2">
        <v>7.4041166888790105E-5</v>
      </c>
      <c r="D3127" s="2">
        <v>1.00300902708124E-3</v>
      </c>
      <c r="E3127" s="2">
        <v>0</v>
      </c>
      <c r="F3127" s="2">
        <v>1.3636983499249901E-4</v>
      </c>
    </row>
    <row r="3128" spans="1:6" x14ac:dyDescent="0.25">
      <c r="A3128" s="1" t="str">
        <f t="shared" si="116"/>
        <v>13500</v>
      </c>
      <c r="B3128" s="1" t="str">
        <f>"29570"</f>
        <v>29570</v>
      </c>
      <c r="C3128" s="2">
        <v>0.151858433288908</v>
      </c>
      <c r="D3128" s="2">
        <v>0.16549648946840501</v>
      </c>
      <c r="E3128" s="2">
        <v>0.122699386503067</v>
      </c>
      <c r="F3128" s="2">
        <v>0.15246147552161399</v>
      </c>
    </row>
    <row r="3129" spans="1:6" x14ac:dyDescent="0.25">
      <c r="A3129" s="1" t="str">
        <f t="shared" si="116"/>
        <v>13500</v>
      </c>
      <c r="B3129" s="1" t="str">
        <f>"29516"</f>
        <v>29516</v>
      </c>
      <c r="C3129" s="2">
        <v>3.05790019250703E-2</v>
      </c>
      <c r="D3129" s="2">
        <v>1.20361083249749E-2</v>
      </c>
      <c r="E3129" s="2">
        <v>0</v>
      </c>
      <c r="F3129" s="2">
        <v>2.8978589935906102E-2</v>
      </c>
    </row>
    <row r="3130" spans="1:6" x14ac:dyDescent="0.25">
      <c r="A3130" s="1" t="str">
        <f t="shared" si="116"/>
        <v>13500</v>
      </c>
      <c r="B3130" s="1" t="str">
        <f>"29596"</f>
        <v>29596</v>
      </c>
      <c r="C3130" s="2">
        <v>0.103361468976751</v>
      </c>
      <c r="D3130" s="2">
        <v>7.8234704112337003E-2</v>
      </c>
      <c r="E3130" s="2">
        <v>2.45398773006134E-2</v>
      </c>
      <c r="F3130" s="2">
        <v>0.100777308059457</v>
      </c>
    </row>
    <row r="3131" spans="1:6" x14ac:dyDescent="0.25">
      <c r="A3131" s="1" t="str">
        <f t="shared" si="116"/>
        <v>13500</v>
      </c>
      <c r="B3131" s="1" t="str">
        <f>"29512"</f>
        <v>29512</v>
      </c>
      <c r="C3131" s="2">
        <v>0.66007700281356396</v>
      </c>
      <c r="D3131" s="2">
        <v>0.72918756268806395</v>
      </c>
      <c r="E3131" s="2">
        <v>0.84049079754601197</v>
      </c>
      <c r="F3131" s="2">
        <v>0.66678030819582701</v>
      </c>
    </row>
    <row r="3132" spans="1:6" x14ac:dyDescent="0.25">
      <c r="A3132" s="1" t="str">
        <f t="shared" ref="A3132:A3155" si="117">"13540"</f>
        <v>13540</v>
      </c>
      <c r="B3132" s="1" t="str">
        <f>"05350"</f>
        <v>05350</v>
      </c>
      <c r="C3132" s="2">
        <v>1.8555093555093501E-2</v>
      </c>
      <c r="D3132" s="2">
        <v>2.66382525306339E-3</v>
      </c>
      <c r="E3132" s="2">
        <v>6.05326876513317E-3</v>
      </c>
      <c r="F3132" s="2">
        <v>1.6725151528961299E-2</v>
      </c>
    </row>
    <row r="3133" spans="1:6" x14ac:dyDescent="0.25">
      <c r="A3133" s="1" t="str">
        <f t="shared" si="117"/>
        <v>13540</v>
      </c>
      <c r="B3133" s="1" t="str">
        <f>"05340"</f>
        <v>05340</v>
      </c>
      <c r="C3133" s="2">
        <v>1.13825363825363E-2</v>
      </c>
      <c r="D3133" s="2">
        <v>8.5242408098028695E-3</v>
      </c>
      <c r="E3133" s="2">
        <v>1.2106537530266301E-3</v>
      </c>
      <c r="F3133" s="2">
        <v>1.07551383129016E-2</v>
      </c>
    </row>
    <row r="3134" spans="1:6" x14ac:dyDescent="0.25">
      <c r="A3134" s="1" t="str">
        <f t="shared" si="117"/>
        <v>13540</v>
      </c>
      <c r="B3134" s="1" t="str">
        <f>"05262"</f>
        <v>05262</v>
      </c>
      <c r="C3134" s="2">
        <v>5.1871101871101798E-2</v>
      </c>
      <c r="D3134" s="2">
        <v>1.4917421417155E-2</v>
      </c>
      <c r="E3134" s="2">
        <v>1.08958837772397E-2</v>
      </c>
      <c r="F3134" s="2">
        <v>4.71676616688693E-2</v>
      </c>
    </row>
    <row r="3135" spans="1:6" x14ac:dyDescent="0.25">
      <c r="A3135" s="1" t="str">
        <f t="shared" si="117"/>
        <v>13540</v>
      </c>
      <c r="B3135" s="1" t="str">
        <f>"05352"</f>
        <v>05352</v>
      </c>
      <c r="C3135" s="2">
        <v>2.0841995841995802E-2</v>
      </c>
      <c r="D3135" s="2">
        <v>5.8604155567394704E-3</v>
      </c>
      <c r="E3135" s="2">
        <v>1.2106537530266301E-3</v>
      </c>
      <c r="F3135" s="2">
        <v>1.8821492047577802E-2</v>
      </c>
    </row>
    <row r="3136" spans="1:6" x14ac:dyDescent="0.25">
      <c r="A3136" s="1" t="str">
        <f t="shared" si="117"/>
        <v>13540</v>
      </c>
      <c r="B3136" s="1" t="str">
        <f>"05768"</f>
        <v>05768</v>
      </c>
      <c r="C3136" s="2">
        <v>1.5592515592515501E-4</v>
      </c>
      <c r="D3136" s="2">
        <v>5.3276505061267902E-4</v>
      </c>
      <c r="E3136" s="2">
        <v>1.2106537530266301E-3</v>
      </c>
      <c r="F3136" s="2">
        <v>2.2786309984961E-4</v>
      </c>
    </row>
    <row r="3137" spans="1:6" x14ac:dyDescent="0.25">
      <c r="A3137" s="1" t="str">
        <f t="shared" si="117"/>
        <v>13540</v>
      </c>
      <c r="B3137" s="1" t="str">
        <f>"05254"</f>
        <v>05254</v>
      </c>
      <c r="C3137" s="2">
        <v>5.1403326403326399E-2</v>
      </c>
      <c r="D3137" s="2">
        <v>8.9504528502930197E-2</v>
      </c>
      <c r="E3137" s="2">
        <v>3.6319612590798999E-3</v>
      </c>
      <c r="F3137" s="2">
        <v>5.28642391651096E-2</v>
      </c>
    </row>
    <row r="3138" spans="1:6" x14ac:dyDescent="0.25">
      <c r="A3138" s="1" t="str">
        <f t="shared" si="117"/>
        <v>13540</v>
      </c>
      <c r="B3138" s="1" t="str">
        <f>"05363"</f>
        <v>05363</v>
      </c>
      <c r="C3138" s="2">
        <v>2.9625779625779601E-3</v>
      </c>
      <c r="D3138" s="2">
        <v>1.06553010122535E-3</v>
      </c>
      <c r="E3138" s="2">
        <v>0</v>
      </c>
      <c r="F3138" s="2">
        <v>2.6887845782253999E-3</v>
      </c>
    </row>
    <row r="3139" spans="1:6" x14ac:dyDescent="0.25">
      <c r="A3139" s="1" t="str">
        <f t="shared" si="117"/>
        <v>13540</v>
      </c>
      <c r="B3139" s="1" t="str">
        <f>"05152"</f>
        <v>05152</v>
      </c>
      <c r="C3139" s="2">
        <v>8.8877338877338796E-3</v>
      </c>
      <c r="D3139" s="2">
        <v>2.66382525306339E-3</v>
      </c>
      <c r="E3139" s="2">
        <v>1.8159806295399501E-2</v>
      </c>
      <c r="F3139" s="2">
        <v>8.7043704142551106E-3</v>
      </c>
    </row>
    <row r="3140" spans="1:6" x14ac:dyDescent="0.25">
      <c r="A3140" s="1" t="str">
        <f t="shared" si="117"/>
        <v>13540</v>
      </c>
      <c r="B3140" s="1" t="str">
        <f>"05260"</f>
        <v>05260</v>
      </c>
      <c r="C3140" s="2">
        <v>3.4303534303534301E-3</v>
      </c>
      <c r="D3140" s="2">
        <v>5.3276505061267902E-4</v>
      </c>
      <c r="E3140" s="2">
        <v>2.4213075060532602E-3</v>
      </c>
      <c r="F3140" s="2">
        <v>3.1445107779246198E-3</v>
      </c>
    </row>
    <row r="3141" spans="1:6" x14ac:dyDescent="0.25">
      <c r="A3141" s="1" t="str">
        <f t="shared" si="117"/>
        <v>13540</v>
      </c>
      <c r="B3141" s="1" t="str">
        <f>"05252"</f>
        <v>05252</v>
      </c>
      <c r="C3141" s="2">
        <v>8.0561330561330496E-3</v>
      </c>
      <c r="D3141" s="2">
        <v>4.7948854555141104E-3</v>
      </c>
      <c r="E3141" s="2">
        <v>0</v>
      </c>
      <c r="F3141" s="2">
        <v>7.4739096750672104E-3</v>
      </c>
    </row>
    <row r="3142" spans="1:6" x14ac:dyDescent="0.25">
      <c r="A3142" s="1" t="str">
        <f t="shared" si="117"/>
        <v>13540</v>
      </c>
      <c r="B3142" s="1" t="str">
        <f>"05253"</f>
        <v>05253</v>
      </c>
      <c r="C3142" s="2">
        <v>1.2629937629937599E-2</v>
      </c>
      <c r="D3142" s="2">
        <v>1.11880660628662E-2</v>
      </c>
      <c r="E3142" s="2">
        <v>6.05326876513317E-3</v>
      </c>
      <c r="F3142" s="2">
        <v>1.2259034771909001E-2</v>
      </c>
    </row>
    <row r="3143" spans="1:6" x14ac:dyDescent="0.25">
      <c r="A3143" s="1" t="str">
        <f t="shared" si="117"/>
        <v>13540</v>
      </c>
      <c r="B3143" s="1" t="str">
        <f>"05255"</f>
        <v>05255</v>
      </c>
      <c r="C3143" s="2">
        <v>0.185239085239085</v>
      </c>
      <c r="D3143" s="2">
        <v>0.36121470431539598</v>
      </c>
      <c r="E3143" s="2">
        <v>0.18038740920096799</v>
      </c>
      <c r="F3143" s="2">
        <v>0.20010937428792699</v>
      </c>
    </row>
    <row r="3144" spans="1:6" x14ac:dyDescent="0.25">
      <c r="A3144" s="1" t="str">
        <f t="shared" si="117"/>
        <v>13540</v>
      </c>
      <c r="B3144" s="1" t="str">
        <f>"05257"</f>
        <v>05257</v>
      </c>
      <c r="C3144" s="2">
        <v>5.2494802494802401E-2</v>
      </c>
      <c r="D3144" s="2">
        <v>9.0570058604155495E-3</v>
      </c>
      <c r="E3144" s="2">
        <v>4.7215496368038699E-2</v>
      </c>
      <c r="F3144" s="2">
        <v>4.8580412887936901E-2</v>
      </c>
    </row>
    <row r="3145" spans="1:6" x14ac:dyDescent="0.25">
      <c r="A3145" s="1" t="str">
        <f t="shared" si="117"/>
        <v>13540</v>
      </c>
      <c r="B3145" s="1" t="str">
        <f>"05251"</f>
        <v>05251</v>
      </c>
      <c r="C3145" s="2">
        <v>3.1964656964656897E-2</v>
      </c>
      <c r="D3145" s="2">
        <v>1.11880660628662E-2</v>
      </c>
      <c r="E3145" s="2">
        <v>2.4213075060532602E-3</v>
      </c>
      <c r="F3145" s="2">
        <v>2.9075331540810202E-2</v>
      </c>
    </row>
    <row r="3146" spans="1:6" x14ac:dyDescent="0.25">
      <c r="A3146" s="1" t="str">
        <f t="shared" si="117"/>
        <v>13540</v>
      </c>
      <c r="B3146" s="1" t="str">
        <f>"05343"</f>
        <v>05343</v>
      </c>
      <c r="C3146" s="2">
        <v>8.31600831600831E-4</v>
      </c>
      <c r="D3146" s="2">
        <v>0</v>
      </c>
      <c r="E3146" s="2">
        <v>0</v>
      </c>
      <c r="F3146" s="2">
        <v>7.29161919518753E-4</v>
      </c>
    </row>
    <row r="3147" spans="1:6" x14ac:dyDescent="0.25">
      <c r="A3147" s="1" t="str">
        <f t="shared" si="117"/>
        <v>13540</v>
      </c>
      <c r="B3147" s="1" t="str">
        <f>"05161"</f>
        <v>05161</v>
      </c>
      <c r="C3147" s="2">
        <v>1.5592515592515501E-4</v>
      </c>
      <c r="D3147" s="2">
        <v>0</v>
      </c>
      <c r="E3147" s="2">
        <v>0</v>
      </c>
      <c r="F3147" s="2">
        <v>1.3671785990976599E-4</v>
      </c>
    </row>
    <row r="3148" spans="1:6" x14ac:dyDescent="0.25">
      <c r="A3148" s="1" t="str">
        <f t="shared" si="117"/>
        <v>13540</v>
      </c>
      <c r="B3148" s="1" t="str">
        <f>"05155"</f>
        <v>05155</v>
      </c>
      <c r="C3148" s="2">
        <v>1.1954261954261901E-3</v>
      </c>
      <c r="D3148" s="2">
        <v>5.3276505061267902E-4</v>
      </c>
      <c r="E3148" s="2">
        <v>0</v>
      </c>
      <c r="F3148" s="2">
        <v>1.0937428792781199E-3</v>
      </c>
    </row>
    <row r="3149" spans="1:6" x14ac:dyDescent="0.25">
      <c r="A3149" s="1" t="str">
        <f t="shared" si="117"/>
        <v>13540</v>
      </c>
      <c r="B3149" s="1" t="str">
        <f>"05761"</f>
        <v>05761</v>
      </c>
      <c r="C3149" s="2">
        <v>5.7172557172557098E-3</v>
      </c>
      <c r="D3149" s="2">
        <v>0</v>
      </c>
      <c r="E3149" s="2">
        <v>0</v>
      </c>
      <c r="F3149" s="2">
        <v>5.0129881966914196E-3</v>
      </c>
    </row>
    <row r="3150" spans="1:6" x14ac:dyDescent="0.25">
      <c r="A3150" s="1" t="str">
        <f t="shared" si="117"/>
        <v>13540</v>
      </c>
      <c r="B3150" s="1" t="str">
        <f>"05776"</f>
        <v>05776</v>
      </c>
      <c r="C3150" s="2">
        <v>4.8856548856548799E-3</v>
      </c>
      <c r="D3150" s="2">
        <v>1.59829515183803E-3</v>
      </c>
      <c r="E3150" s="2">
        <v>1.2106537530266301E-3</v>
      </c>
      <c r="F3150" s="2">
        <v>4.46611675705236E-3</v>
      </c>
    </row>
    <row r="3151" spans="1:6" x14ac:dyDescent="0.25">
      <c r="A3151" s="1" t="str">
        <f t="shared" si="117"/>
        <v>13540</v>
      </c>
      <c r="B3151" s="1" t="str">
        <f>"05148"</f>
        <v>05148</v>
      </c>
      <c r="C3151" s="2">
        <v>6.5488565488565397E-3</v>
      </c>
      <c r="D3151" s="2">
        <v>1.59829515183803E-3</v>
      </c>
      <c r="E3151" s="2">
        <v>2.4213075060532602E-3</v>
      </c>
      <c r="F3151" s="2">
        <v>5.9700132160597904E-3</v>
      </c>
    </row>
    <row r="3152" spans="1:6" x14ac:dyDescent="0.25">
      <c r="A3152" s="1" t="str">
        <f t="shared" si="117"/>
        <v>13540</v>
      </c>
      <c r="B3152" s="1" t="str">
        <f>"05261"</f>
        <v>05261</v>
      </c>
      <c r="C3152" s="2">
        <v>5.6029106029105998E-2</v>
      </c>
      <c r="D3152" s="2">
        <v>1.4917421417155E-2</v>
      </c>
      <c r="E3152" s="2">
        <v>8.4745762711864406E-3</v>
      </c>
      <c r="F3152" s="2">
        <v>5.0722326026523198E-2</v>
      </c>
    </row>
    <row r="3153" spans="1:6" x14ac:dyDescent="0.25">
      <c r="A3153" s="1" t="str">
        <f t="shared" si="117"/>
        <v>13540</v>
      </c>
      <c r="B3153" s="1" t="str">
        <f>"05201"</f>
        <v>05201</v>
      </c>
      <c r="C3153" s="2">
        <v>0.375</v>
      </c>
      <c r="D3153" s="2">
        <v>0.433137986148108</v>
      </c>
      <c r="E3153" s="2">
        <v>0.66222760290556903</v>
      </c>
      <c r="F3153" s="2">
        <v>0.39078521624208101</v>
      </c>
    </row>
    <row r="3154" spans="1:6" x14ac:dyDescent="0.25">
      <c r="A3154" s="1" t="str">
        <f t="shared" si="117"/>
        <v>13540</v>
      </c>
      <c r="B3154" s="1" t="str">
        <f>"05775"</f>
        <v>05775</v>
      </c>
      <c r="C3154" s="2">
        <v>1.9230769230769199E-3</v>
      </c>
      <c r="D3154" s="2">
        <v>5.3276505061267902E-4</v>
      </c>
      <c r="E3154" s="2">
        <v>0</v>
      </c>
      <c r="F3154" s="2">
        <v>1.7317595588570299E-3</v>
      </c>
    </row>
    <row r="3155" spans="1:6" x14ac:dyDescent="0.25">
      <c r="A3155" s="1" t="str">
        <f t="shared" si="117"/>
        <v>13540</v>
      </c>
      <c r="B3155" s="1" t="str">
        <f>"05250"</f>
        <v>05250</v>
      </c>
      <c r="C3155" s="2">
        <v>8.7837837837837801E-2</v>
      </c>
      <c r="D3155" s="2">
        <v>2.3974427277570501E-2</v>
      </c>
      <c r="E3155" s="2">
        <v>4.4794188861985398E-2</v>
      </c>
      <c r="F3155" s="2">
        <v>8.0754682586701904E-2</v>
      </c>
    </row>
    <row r="3156" spans="1:6" x14ac:dyDescent="0.25">
      <c r="A3156" s="1" t="str">
        <f t="shared" ref="A3156:A3172" si="118">"13620"</f>
        <v>13620</v>
      </c>
      <c r="B3156" s="1" t="str">
        <f>"03576"</f>
        <v>03576</v>
      </c>
      <c r="C3156" s="2">
        <v>0.105763141228625</v>
      </c>
      <c r="D3156" s="2">
        <v>0.13088587390263301</v>
      </c>
      <c r="E3156" s="2">
        <v>0.118985126859142</v>
      </c>
      <c r="F3156" s="2">
        <v>0.108120414874778</v>
      </c>
    </row>
    <row r="3157" spans="1:6" x14ac:dyDescent="0.25">
      <c r="A3157" s="1" t="str">
        <f t="shared" si="118"/>
        <v>13620</v>
      </c>
      <c r="B3157" s="1" t="str">
        <f>"03579"</f>
        <v>03579</v>
      </c>
      <c r="C3157" s="2">
        <v>1.18602107202487E-2</v>
      </c>
      <c r="D3157" s="2">
        <v>1.59616919393455E-3</v>
      </c>
      <c r="E3157" s="2">
        <v>1.7497812773403299E-3</v>
      </c>
      <c r="F3157" s="2">
        <v>1.06248418922337E-2</v>
      </c>
    </row>
    <row r="3158" spans="1:6" x14ac:dyDescent="0.25">
      <c r="A3158" s="1" t="str">
        <f t="shared" si="118"/>
        <v>13620</v>
      </c>
      <c r="B3158" s="1" t="str">
        <f>"03575"</f>
        <v>03575</v>
      </c>
      <c r="C3158" s="2">
        <v>0</v>
      </c>
      <c r="D3158" s="2">
        <v>7.9808459696727803E-4</v>
      </c>
      <c r="E3158" s="2">
        <v>1.7497812773403299E-3</v>
      </c>
      <c r="F3158" s="2">
        <v>1.51783455603339E-4</v>
      </c>
    </row>
    <row r="3159" spans="1:6" x14ac:dyDescent="0.25">
      <c r="A3159" s="1" t="str">
        <f t="shared" si="118"/>
        <v>13620</v>
      </c>
      <c r="B3159" s="1" t="str">
        <f>"03581"</f>
        <v>03581</v>
      </c>
      <c r="C3159" s="2">
        <v>9.84512637457539E-2</v>
      </c>
      <c r="D3159" s="2">
        <v>0.183559457302474</v>
      </c>
      <c r="E3159" s="2">
        <v>9.2738407699037601E-2</v>
      </c>
      <c r="F3159" s="2">
        <v>0.103516316721477</v>
      </c>
    </row>
    <row r="3160" spans="1:6" x14ac:dyDescent="0.25">
      <c r="A3160" s="1" t="str">
        <f t="shared" si="118"/>
        <v>13620</v>
      </c>
      <c r="B3160" s="1" t="str">
        <f>"03590"</f>
        <v>03590</v>
      </c>
      <c r="C3160" s="2">
        <v>2.9650526800621701E-2</v>
      </c>
      <c r="D3160" s="2">
        <v>1.03750997605746E-2</v>
      </c>
      <c r="E3160" s="2">
        <v>1.0498687664041899E-2</v>
      </c>
      <c r="F3160" s="2">
        <v>2.7321022008600999E-2</v>
      </c>
    </row>
    <row r="3161" spans="1:6" x14ac:dyDescent="0.25">
      <c r="A3161" s="1" t="str">
        <f t="shared" si="118"/>
        <v>13620</v>
      </c>
      <c r="B3161" s="1" t="str">
        <f>"03593"</f>
        <v>03593</v>
      </c>
      <c r="C3161" s="2">
        <v>1.5717657896251899E-2</v>
      </c>
      <c r="D3161" s="2">
        <v>5.5865921787709404E-3</v>
      </c>
      <c r="E3161" s="2">
        <v>8.7489063867016604E-4</v>
      </c>
      <c r="F3161" s="2">
        <v>1.42170503415127E-2</v>
      </c>
    </row>
    <row r="3162" spans="1:6" x14ac:dyDescent="0.25">
      <c r="A3162" s="1" t="str">
        <f t="shared" si="118"/>
        <v>13620</v>
      </c>
      <c r="B3162" s="1" t="str">
        <f>"03570"</f>
        <v>03570</v>
      </c>
      <c r="C3162" s="2">
        <v>0.28568138637802898</v>
      </c>
      <c r="D3162" s="2">
        <v>0.28092577813248198</v>
      </c>
      <c r="E3162" s="2">
        <v>0.49518810148731401</v>
      </c>
      <c r="F3162" s="2">
        <v>0.29749557298254398</v>
      </c>
    </row>
    <row r="3163" spans="1:6" x14ac:dyDescent="0.25">
      <c r="A3163" s="1" t="str">
        <f t="shared" si="118"/>
        <v>13620</v>
      </c>
      <c r="B3163" s="1" t="str">
        <f>"03584"</f>
        <v>03584</v>
      </c>
      <c r="C3163" s="2">
        <v>0.103402613852265</v>
      </c>
      <c r="D3163" s="2">
        <v>0.18276137270550599</v>
      </c>
      <c r="E3163" s="2">
        <v>0.11373578302712101</v>
      </c>
      <c r="F3163" s="2">
        <v>0.109031115608398</v>
      </c>
    </row>
    <row r="3164" spans="1:6" x14ac:dyDescent="0.25">
      <c r="A3164" s="1" t="str">
        <f t="shared" si="118"/>
        <v>13620</v>
      </c>
      <c r="B3164" s="1" t="str">
        <f>"03595"</f>
        <v>03595</v>
      </c>
      <c r="C3164" s="2">
        <v>1.8366054464851098E-2</v>
      </c>
      <c r="D3164" s="2">
        <v>0</v>
      </c>
      <c r="E3164" s="2">
        <v>8.7489063867016604E-4</v>
      </c>
      <c r="F3164" s="2">
        <v>1.61902352643561E-2</v>
      </c>
    </row>
    <row r="3165" spans="1:6" x14ac:dyDescent="0.25">
      <c r="A3165" s="1" t="str">
        <f t="shared" si="118"/>
        <v>13620</v>
      </c>
      <c r="B3165" s="1" t="str">
        <f>"03583"</f>
        <v>03583</v>
      </c>
      <c r="C3165" s="2">
        <v>3.43715815533421E-2</v>
      </c>
      <c r="D3165" s="2">
        <v>1.75578611332801E-2</v>
      </c>
      <c r="E3165" s="2">
        <v>7.8740157480314907E-3</v>
      </c>
      <c r="F3165" s="2">
        <v>3.1773336706298998E-2</v>
      </c>
    </row>
    <row r="3166" spans="1:6" x14ac:dyDescent="0.25">
      <c r="A3166" s="1" t="str">
        <f t="shared" si="118"/>
        <v>13620</v>
      </c>
      <c r="B3166" s="1" t="str">
        <f>"03592"</f>
        <v>03592</v>
      </c>
      <c r="C3166" s="2">
        <v>5.0146813288041901E-2</v>
      </c>
      <c r="D3166" s="2">
        <v>3.7509976057462001E-2</v>
      </c>
      <c r="E3166" s="2">
        <v>6.9991251093613196E-3</v>
      </c>
      <c r="F3166" s="2">
        <v>4.68504932962307E-2</v>
      </c>
    </row>
    <row r="3167" spans="1:6" x14ac:dyDescent="0.25">
      <c r="A3167" s="1" t="str">
        <f t="shared" si="118"/>
        <v>13620</v>
      </c>
      <c r="B3167" s="1" t="str">
        <f>"03598"</f>
        <v>03598</v>
      </c>
      <c r="C3167" s="2">
        <v>0.11555069376475301</v>
      </c>
      <c r="D3167" s="2">
        <v>7.6616121308858698E-2</v>
      </c>
      <c r="E3167" s="2">
        <v>7.4365704286964096E-2</v>
      </c>
      <c r="F3167" s="2">
        <v>0.11070073362003501</v>
      </c>
    </row>
    <row r="3168" spans="1:6" x14ac:dyDescent="0.25">
      <c r="A3168" s="1" t="str">
        <f t="shared" si="118"/>
        <v>13620</v>
      </c>
      <c r="B3168" s="1" t="str">
        <f>"03588"</f>
        <v>03588</v>
      </c>
      <c r="C3168" s="2">
        <v>4.8131728942368501E-2</v>
      </c>
      <c r="D3168" s="2">
        <v>1.51636073423782E-2</v>
      </c>
      <c r="E3168" s="2">
        <v>2.62467191601049E-3</v>
      </c>
      <c r="F3168" s="2">
        <v>4.3410068302554998E-2</v>
      </c>
    </row>
    <row r="3169" spans="1:6" x14ac:dyDescent="0.25">
      <c r="A3169" s="1" t="str">
        <f t="shared" si="118"/>
        <v>13620</v>
      </c>
      <c r="B3169" s="1" t="str">
        <f>"03589"</f>
        <v>03589</v>
      </c>
      <c r="C3169" s="2">
        <v>0</v>
      </c>
      <c r="D3169" s="2">
        <v>7.9808459696727803E-4</v>
      </c>
      <c r="E3169" s="2">
        <v>1.7497812773403299E-3</v>
      </c>
      <c r="F3169" s="2">
        <v>1.51783455603339E-4</v>
      </c>
    </row>
    <row r="3170" spans="1:6" x14ac:dyDescent="0.25">
      <c r="A3170" s="1" t="str">
        <f t="shared" si="118"/>
        <v>13620</v>
      </c>
      <c r="B3170" s="1" t="str">
        <f>"03597"</f>
        <v>03597</v>
      </c>
      <c r="C3170" s="2">
        <v>3.9150210144510301E-3</v>
      </c>
      <c r="D3170" s="2">
        <v>0</v>
      </c>
      <c r="E3170" s="2">
        <v>8.7489063867016604E-4</v>
      </c>
      <c r="F3170" s="2">
        <v>3.4910194788767999E-3</v>
      </c>
    </row>
    <row r="3171" spans="1:6" x14ac:dyDescent="0.25">
      <c r="A3171" s="1" t="str">
        <f t="shared" si="118"/>
        <v>13620</v>
      </c>
      <c r="B3171" s="1" t="str">
        <f>"03574"</f>
        <v>03574</v>
      </c>
      <c r="C3171" s="2">
        <v>1.6120674765386599E-3</v>
      </c>
      <c r="D3171" s="2">
        <v>0</v>
      </c>
      <c r="E3171" s="2">
        <v>0</v>
      </c>
      <c r="F3171" s="2">
        <v>1.4166455856311599E-3</v>
      </c>
    </row>
    <row r="3172" spans="1:6" x14ac:dyDescent="0.25">
      <c r="A3172" s="1" t="str">
        <f t="shared" si="118"/>
        <v>13620</v>
      </c>
      <c r="B3172" s="1" t="str">
        <f>"03582"</f>
        <v>03582</v>
      </c>
      <c r="C3172" s="2">
        <v>7.7379238873855699E-2</v>
      </c>
      <c r="D3172" s="2">
        <v>5.5865921787709397E-2</v>
      </c>
      <c r="E3172" s="2">
        <v>6.9116360454943099E-2</v>
      </c>
      <c r="F3172" s="2">
        <v>7.5537566405261797E-2</v>
      </c>
    </row>
    <row r="3173" spans="1:6" x14ac:dyDescent="0.25">
      <c r="A3173" s="1" t="str">
        <f t="shared" ref="A3173:A3189" si="119">"13660"</f>
        <v>13660</v>
      </c>
      <c r="B3173" s="1" t="str">
        <f>"49307"</f>
        <v>49307</v>
      </c>
      <c r="C3173" s="2">
        <v>0.39702605611386399</v>
      </c>
      <c r="D3173" s="2">
        <v>0.69054178145087197</v>
      </c>
      <c r="E3173" s="2">
        <v>0.93238434163701001</v>
      </c>
      <c r="F3173" s="2">
        <v>0.42327214279671699</v>
      </c>
    </row>
    <row r="3174" spans="1:6" x14ac:dyDescent="0.25">
      <c r="A3174" s="1" t="str">
        <f t="shared" si="119"/>
        <v>13660</v>
      </c>
      <c r="B3174" s="1" t="str">
        <f>"49639"</f>
        <v>49639</v>
      </c>
      <c r="C3174" s="2">
        <v>1.3960256468555299E-2</v>
      </c>
      <c r="D3174" s="2">
        <v>0</v>
      </c>
      <c r="E3174" s="2">
        <v>0</v>
      </c>
      <c r="F3174" s="2">
        <v>1.29853650283393E-2</v>
      </c>
    </row>
    <row r="3175" spans="1:6" x14ac:dyDescent="0.25">
      <c r="A3175" s="1" t="str">
        <f t="shared" si="119"/>
        <v>13660</v>
      </c>
      <c r="B3175" s="1" t="str">
        <f>"49679"</f>
        <v>49679</v>
      </c>
      <c r="C3175" s="2">
        <v>5.6841435132554199E-3</v>
      </c>
      <c r="D3175" s="2">
        <v>0</v>
      </c>
      <c r="E3175" s="2">
        <v>0</v>
      </c>
      <c r="F3175" s="2">
        <v>5.28720074443786E-3</v>
      </c>
    </row>
    <row r="3176" spans="1:6" x14ac:dyDescent="0.25">
      <c r="A3176" s="1" t="str">
        <f t="shared" si="119"/>
        <v>13660</v>
      </c>
      <c r="B3176" s="1" t="str">
        <f>"49329"</f>
        <v>49329</v>
      </c>
      <c r="C3176" s="2">
        <v>1.8189259242417299E-4</v>
      </c>
      <c r="D3176" s="2">
        <v>0</v>
      </c>
      <c r="E3176" s="2">
        <v>0</v>
      </c>
      <c r="F3176" s="2">
        <v>1.6919042382201101E-4</v>
      </c>
    </row>
    <row r="3177" spans="1:6" x14ac:dyDescent="0.25">
      <c r="A3177" s="1" t="str">
        <f t="shared" si="119"/>
        <v>13660</v>
      </c>
      <c r="B3177" s="1" t="str">
        <f>"49305"</f>
        <v>49305</v>
      </c>
      <c r="C3177" s="2">
        <v>6.4480924014369501E-2</v>
      </c>
      <c r="D3177" s="2">
        <v>2.5711662075298399E-2</v>
      </c>
      <c r="E3177" s="2">
        <v>7.1174377224199198E-3</v>
      </c>
      <c r="F3177" s="2">
        <v>6.13315286354792E-2</v>
      </c>
    </row>
    <row r="3178" spans="1:6" x14ac:dyDescent="0.25">
      <c r="A3178" s="1" t="str">
        <f t="shared" si="119"/>
        <v>13660</v>
      </c>
      <c r="B3178" s="1" t="str">
        <f>"48850"</f>
        <v>48850</v>
      </c>
      <c r="C3178" s="2">
        <v>1.5733709244690999E-2</v>
      </c>
      <c r="D3178" s="2">
        <v>2.7548209366391099E-3</v>
      </c>
      <c r="E3178" s="2">
        <v>0</v>
      </c>
      <c r="F3178" s="2">
        <v>1.4761864478470501E-2</v>
      </c>
    </row>
    <row r="3179" spans="1:6" x14ac:dyDescent="0.25">
      <c r="A3179" s="1" t="str">
        <f t="shared" si="119"/>
        <v>13660</v>
      </c>
      <c r="B3179" s="1" t="str">
        <f>"48886"</f>
        <v>48886</v>
      </c>
      <c r="C3179" s="2">
        <v>7.2757036969669402E-4</v>
      </c>
      <c r="D3179" s="2">
        <v>0</v>
      </c>
      <c r="E3179" s="2">
        <v>0</v>
      </c>
      <c r="F3179" s="2">
        <v>6.76761695288046E-4</v>
      </c>
    </row>
    <row r="3180" spans="1:6" x14ac:dyDescent="0.25">
      <c r="A3180" s="1" t="str">
        <f t="shared" si="119"/>
        <v>13660</v>
      </c>
      <c r="B3180" s="1" t="str">
        <f>"49337"</f>
        <v>49337</v>
      </c>
      <c r="C3180" s="2">
        <v>3.41048610795325E-3</v>
      </c>
      <c r="D3180" s="2">
        <v>4.5913682277318596E-3</v>
      </c>
      <c r="E3180" s="2">
        <v>0</v>
      </c>
      <c r="F3180" s="2">
        <v>3.38380847644023E-3</v>
      </c>
    </row>
    <row r="3181" spans="1:6" x14ac:dyDescent="0.25">
      <c r="A3181" s="1" t="str">
        <f t="shared" si="119"/>
        <v>13660</v>
      </c>
      <c r="B3181" s="1" t="str">
        <f>"49310"</f>
        <v>49310</v>
      </c>
      <c r="C3181" s="2">
        <v>1.8871356464008001E-2</v>
      </c>
      <c r="D3181" s="2">
        <v>8.2644628099173504E-3</v>
      </c>
      <c r="E3181" s="2">
        <v>0</v>
      </c>
      <c r="F3181" s="2">
        <v>1.7934184925133202E-2</v>
      </c>
    </row>
    <row r="3182" spans="1:6" x14ac:dyDescent="0.25">
      <c r="A3182" s="1" t="str">
        <f t="shared" si="119"/>
        <v>13660</v>
      </c>
      <c r="B3182" s="1" t="str">
        <f>"49342"</f>
        <v>49342</v>
      </c>
      <c r="C3182" s="2">
        <v>4.2653812923468599E-2</v>
      </c>
      <c r="D3182" s="2">
        <v>9.1827364554637192E-3</v>
      </c>
      <c r="E3182" s="2">
        <v>5.3380782918149398E-3</v>
      </c>
      <c r="F3182" s="2">
        <v>4.0225023263683199E-2</v>
      </c>
    </row>
    <row r="3183" spans="1:6" x14ac:dyDescent="0.25">
      <c r="A3183" s="1" t="str">
        <f t="shared" si="119"/>
        <v>13660</v>
      </c>
      <c r="B3183" s="1" t="str">
        <f>"49336"</f>
        <v>49336</v>
      </c>
      <c r="C3183" s="2">
        <v>7.6895093447319304E-2</v>
      </c>
      <c r="D3183" s="2">
        <v>2.5711662075298399E-2</v>
      </c>
      <c r="E3183" s="2">
        <v>3.5587188612099599E-3</v>
      </c>
      <c r="F3183" s="2">
        <v>7.2794179849420507E-2</v>
      </c>
    </row>
    <row r="3184" spans="1:6" x14ac:dyDescent="0.25">
      <c r="A3184" s="1" t="str">
        <f t="shared" si="119"/>
        <v>13660</v>
      </c>
      <c r="B3184" s="1" t="str">
        <f>"49332"</f>
        <v>49332</v>
      </c>
      <c r="C3184" s="2">
        <v>9.4675094356782299E-2</v>
      </c>
      <c r="D3184" s="2">
        <v>8.5399449035812605E-2</v>
      </c>
      <c r="E3184" s="2">
        <v>2.3131672597864701E-2</v>
      </c>
      <c r="F3184" s="2">
        <v>9.2547161830640295E-2</v>
      </c>
    </row>
    <row r="3185" spans="1:6" x14ac:dyDescent="0.25">
      <c r="A3185" s="1" t="str">
        <f t="shared" si="119"/>
        <v>13660</v>
      </c>
      <c r="B3185" s="1" t="str">
        <f>"49631"</f>
        <v>49631</v>
      </c>
      <c r="C3185" s="2">
        <v>1.74616888727206E-2</v>
      </c>
      <c r="D3185" s="2">
        <v>9.1827364554637205E-4</v>
      </c>
      <c r="E3185" s="2">
        <v>0</v>
      </c>
      <c r="F3185" s="2">
        <v>1.6284578292868598E-2</v>
      </c>
    </row>
    <row r="3186" spans="1:6" x14ac:dyDescent="0.25">
      <c r="A3186" s="1" t="str">
        <f t="shared" si="119"/>
        <v>13660</v>
      </c>
      <c r="B3186" s="1" t="str">
        <f>"49320"</f>
        <v>49320</v>
      </c>
      <c r="C3186" s="2">
        <v>9.6403073984811898E-3</v>
      </c>
      <c r="D3186" s="2">
        <v>9.1827364554637205E-4</v>
      </c>
      <c r="E3186" s="2">
        <v>0</v>
      </c>
      <c r="F3186" s="2">
        <v>9.0093900685221193E-3</v>
      </c>
    </row>
    <row r="3187" spans="1:6" x14ac:dyDescent="0.25">
      <c r="A3187" s="1" t="str">
        <f t="shared" si="119"/>
        <v>13660</v>
      </c>
      <c r="B3187" s="1" t="str">
        <f>"49346"</f>
        <v>49346</v>
      </c>
      <c r="C3187" s="2">
        <v>0.16188440725751399</v>
      </c>
      <c r="D3187" s="2">
        <v>6.0606060606060601E-2</v>
      </c>
      <c r="E3187" s="2">
        <v>1.06761565836298E-2</v>
      </c>
      <c r="F3187" s="2">
        <v>0.15362490483038599</v>
      </c>
    </row>
    <row r="3188" spans="1:6" x14ac:dyDescent="0.25">
      <c r="A3188" s="1" t="str">
        <f t="shared" si="119"/>
        <v>13660</v>
      </c>
      <c r="B3188" s="1" t="str">
        <f>"49340"</f>
        <v>49340</v>
      </c>
      <c r="C3188" s="2">
        <v>4.7792278659451501E-2</v>
      </c>
      <c r="D3188" s="2">
        <v>6.5197428833792398E-2</v>
      </c>
      <c r="E3188" s="2">
        <v>7.1174377224199198E-3</v>
      </c>
      <c r="F3188" s="2">
        <v>4.7627104305896201E-2</v>
      </c>
    </row>
    <row r="3189" spans="1:6" x14ac:dyDescent="0.25">
      <c r="A3189" s="1" t="str">
        <f t="shared" si="119"/>
        <v>13660</v>
      </c>
      <c r="B3189" s="1" t="str">
        <f>"49338"</f>
        <v>49338</v>
      </c>
      <c r="C3189" s="2">
        <v>2.89209221954435E-2</v>
      </c>
      <c r="D3189" s="2">
        <v>2.02020202020202E-2</v>
      </c>
      <c r="E3189" s="2">
        <v>1.06761565836298E-2</v>
      </c>
      <c r="F3189" s="2">
        <v>2.8085610354453901E-2</v>
      </c>
    </row>
    <row r="3190" spans="1:6" x14ac:dyDescent="0.25">
      <c r="A3190" s="1" t="str">
        <f>"13700"</f>
        <v>13700</v>
      </c>
      <c r="B3190" s="1" t="str">
        <f>"79511"</f>
        <v>79511</v>
      </c>
      <c r="C3190" s="2">
        <v>1.3663592919162601E-2</v>
      </c>
      <c r="D3190" s="2">
        <v>2.8530670470755999E-3</v>
      </c>
      <c r="E3190" s="2">
        <v>1.25628140703517E-2</v>
      </c>
      <c r="F3190" s="2">
        <v>1.2727381881491201E-2</v>
      </c>
    </row>
    <row r="3191" spans="1:6" x14ac:dyDescent="0.25">
      <c r="A3191" s="1" t="str">
        <f>"13700"</f>
        <v>13700</v>
      </c>
      <c r="B3191" s="1" t="str">
        <f>"79733"</f>
        <v>79733</v>
      </c>
      <c r="C3191" s="2">
        <v>6.7308339503264396E-5</v>
      </c>
      <c r="D3191" s="2">
        <v>7.1326676176890105E-4</v>
      </c>
      <c r="E3191" s="2">
        <v>0</v>
      </c>
      <c r="F3191" s="2">
        <v>1.20069640391427E-4</v>
      </c>
    </row>
    <row r="3192" spans="1:6" x14ac:dyDescent="0.25">
      <c r="A3192" s="1" t="str">
        <f>"13700"</f>
        <v>13700</v>
      </c>
      <c r="B3192" s="1" t="str">
        <f>"79720"</f>
        <v>79720</v>
      </c>
      <c r="C3192" s="2">
        <v>0.97812478966143901</v>
      </c>
      <c r="D3192" s="2">
        <v>0.99286733238230995</v>
      </c>
      <c r="E3192" s="2">
        <v>0.97487437185929604</v>
      </c>
      <c r="F3192" s="2">
        <v>0.97928798703247799</v>
      </c>
    </row>
    <row r="3193" spans="1:6" x14ac:dyDescent="0.25">
      <c r="A3193" s="1" t="str">
        <f>"13700"</f>
        <v>13700</v>
      </c>
      <c r="B3193" s="1" t="str">
        <f>"79748"</f>
        <v>79748</v>
      </c>
      <c r="C3193" s="2">
        <v>8.1443090798949905E-3</v>
      </c>
      <c r="D3193" s="2">
        <v>3.5663338088445001E-3</v>
      </c>
      <c r="E3193" s="2">
        <v>1.25628140703517E-2</v>
      </c>
      <c r="F3193" s="2">
        <v>7.8645614456384697E-3</v>
      </c>
    </row>
    <row r="3194" spans="1:6" x14ac:dyDescent="0.25">
      <c r="A3194" s="1" t="str">
        <f t="shared" ref="A3194:A3202" si="120">"13720"</f>
        <v>13720</v>
      </c>
      <c r="B3194" s="1" t="str">
        <f>"24216"</f>
        <v>24216</v>
      </c>
      <c r="C3194" s="2">
        <v>9.0523598820058906E-2</v>
      </c>
      <c r="D3194" s="2">
        <v>0.10078878177037601</v>
      </c>
      <c r="E3194" s="2">
        <v>9.1228070175438505E-2</v>
      </c>
      <c r="F3194" s="2">
        <v>9.1196745394959797E-2</v>
      </c>
    </row>
    <row r="3195" spans="1:6" x14ac:dyDescent="0.25">
      <c r="A3195" s="1" t="str">
        <f t="shared" si="120"/>
        <v>13720</v>
      </c>
      <c r="B3195" s="1" t="str">
        <f>"24279"</f>
        <v>24279</v>
      </c>
      <c r="C3195" s="2">
        <v>9.4272369714847495E-2</v>
      </c>
      <c r="D3195" s="2">
        <v>7.8001752848378597E-2</v>
      </c>
      <c r="E3195" s="2">
        <v>6.3157894736842093E-2</v>
      </c>
      <c r="F3195" s="2">
        <v>9.2722341507514905E-2</v>
      </c>
    </row>
    <row r="3196" spans="1:6" x14ac:dyDescent="0.25">
      <c r="A3196" s="1" t="str">
        <f t="shared" si="120"/>
        <v>13720</v>
      </c>
      <c r="B3196" s="1" t="str">
        <f>"24215"</f>
        <v>24215</v>
      </c>
      <c r="C3196" s="2">
        <v>0</v>
      </c>
      <c r="D3196" s="2">
        <v>8.7642418930762404E-4</v>
      </c>
      <c r="E3196" s="2">
        <v>0</v>
      </c>
      <c r="F3196" s="2">
        <v>5.6503559724262603E-5</v>
      </c>
    </row>
    <row r="3197" spans="1:6" x14ac:dyDescent="0.25">
      <c r="A3197" s="1" t="str">
        <f t="shared" si="120"/>
        <v>13720</v>
      </c>
      <c r="B3197" s="1" t="str">
        <f>"24219"</f>
        <v>24219</v>
      </c>
      <c r="C3197" s="2">
        <v>0.246865781710914</v>
      </c>
      <c r="D3197" s="2">
        <v>0.26906222611744002</v>
      </c>
      <c r="E3197" s="2">
        <v>0.301754385964912</v>
      </c>
      <c r="F3197" s="2">
        <v>0.24918069838399801</v>
      </c>
    </row>
    <row r="3198" spans="1:6" x14ac:dyDescent="0.25">
      <c r="A3198" s="1" t="str">
        <f t="shared" si="120"/>
        <v>13720</v>
      </c>
      <c r="B3198" s="1" t="str">
        <f>"24293"</f>
        <v>24293</v>
      </c>
      <c r="C3198" s="2">
        <v>0.19659537856440501</v>
      </c>
      <c r="D3198" s="2">
        <v>0.13321647677475801</v>
      </c>
      <c r="E3198" s="2">
        <v>0.11578947368421</v>
      </c>
      <c r="F3198" s="2">
        <v>0.19120804610690401</v>
      </c>
    </row>
    <row r="3199" spans="1:6" x14ac:dyDescent="0.25">
      <c r="A3199" s="1" t="str">
        <f t="shared" si="120"/>
        <v>13720</v>
      </c>
      <c r="B3199" s="1" t="str">
        <f>"24230"</f>
        <v>24230</v>
      </c>
      <c r="C3199" s="2">
        <v>0.16076696165191701</v>
      </c>
      <c r="D3199" s="2">
        <v>8.0631025416301405E-2</v>
      </c>
      <c r="E3199" s="2">
        <v>0.101754385964912</v>
      </c>
      <c r="F3199" s="2">
        <v>0.154650242965306</v>
      </c>
    </row>
    <row r="3200" spans="1:6" x14ac:dyDescent="0.25">
      <c r="A3200" s="1" t="str">
        <f t="shared" si="120"/>
        <v>13720</v>
      </c>
      <c r="B3200" s="1" t="str">
        <f>"24283"</f>
        <v>24283</v>
      </c>
      <c r="C3200" s="2">
        <v>4.2158308751229098E-2</v>
      </c>
      <c r="D3200" s="2">
        <v>1.7528483786152401E-2</v>
      </c>
      <c r="E3200" s="2">
        <v>4.2105263157894701E-2</v>
      </c>
      <c r="F3200" s="2">
        <v>4.0569555882020499E-2</v>
      </c>
    </row>
    <row r="3201" spans="1:6" x14ac:dyDescent="0.25">
      <c r="A3201" s="1" t="str">
        <f t="shared" si="120"/>
        <v>13720</v>
      </c>
      <c r="B3201" s="1" t="str">
        <f>"24246"</f>
        <v>24246</v>
      </c>
      <c r="C3201" s="2">
        <v>0</v>
      </c>
      <c r="D3201" s="2">
        <v>8.7642418930762404E-4</v>
      </c>
      <c r="E3201" s="2">
        <v>0</v>
      </c>
      <c r="F3201" s="2">
        <v>5.6503559724262603E-5</v>
      </c>
    </row>
    <row r="3202" spans="1:6" x14ac:dyDescent="0.25">
      <c r="A3202" s="1" t="str">
        <f t="shared" si="120"/>
        <v>13720</v>
      </c>
      <c r="B3202" s="1" t="str">
        <f>"24273"</f>
        <v>24273</v>
      </c>
      <c r="C3202" s="2">
        <v>0.168817600786627</v>
      </c>
      <c r="D3202" s="2">
        <v>0.31901840490797501</v>
      </c>
      <c r="E3202" s="2">
        <v>0.28421052631578902</v>
      </c>
      <c r="F3202" s="2">
        <v>0.180359362639846</v>
      </c>
    </row>
    <row r="3203" spans="1:6" x14ac:dyDescent="0.25">
      <c r="A3203" s="1" t="str">
        <f t="shared" ref="A3203:A3241" si="121">"13740"</f>
        <v>13740</v>
      </c>
      <c r="B3203" s="1" t="str">
        <f>"59061"</f>
        <v>59061</v>
      </c>
      <c r="C3203" s="2">
        <v>3.4049121532664399E-3</v>
      </c>
      <c r="D3203" s="2">
        <v>1.93404893143796E-4</v>
      </c>
      <c r="E3203" s="2">
        <v>2.3917723032767201E-4</v>
      </c>
      <c r="F3203" s="2">
        <v>2.9523531131248099E-3</v>
      </c>
    </row>
    <row r="3204" spans="1:6" x14ac:dyDescent="0.25">
      <c r="A3204" s="1" t="str">
        <f t="shared" si="121"/>
        <v>13740</v>
      </c>
      <c r="B3204" s="1" t="str">
        <f>"59013"</f>
        <v>59013</v>
      </c>
      <c r="C3204" s="2">
        <v>0</v>
      </c>
      <c r="D3204" s="2">
        <v>0</v>
      </c>
      <c r="E3204" s="2">
        <v>2.3917723032767201E-4</v>
      </c>
      <c r="F3204" s="2">
        <v>9.7437396472766197E-6</v>
      </c>
    </row>
    <row r="3205" spans="1:6" x14ac:dyDescent="0.25">
      <c r="A3205" s="1" t="str">
        <f t="shared" si="121"/>
        <v>13740</v>
      </c>
      <c r="B3205" s="1" t="str">
        <f>"59108"</f>
        <v>59108</v>
      </c>
      <c r="C3205" s="2">
        <v>7.70645117355972E-3</v>
      </c>
      <c r="D3205" s="2">
        <v>4.7964413499661497E-2</v>
      </c>
      <c r="E3205" s="2">
        <v>4.7835446065534499E-4</v>
      </c>
      <c r="F3205" s="2">
        <v>1.1468381564844501E-2</v>
      </c>
    </row>
    <row r="3206" spans="1:6" x14ac:dyDescent="0.25">
      <c r="A3206" s="1" t="str">
        <f t="shared" si="121"/>
        <v>13740</v>
      </c>
      <c r="B3206" s="1" t="str">
        <f>"59068"</f>
        <v>59068</v>
      </c>
      <c r="C3206" s="2">
        <v>2.08721114995233E-2</v>
      </c>
      <c r="D3206" s="2">
        <v>3.3845856300164299E-3</v>
      </c>
      <c r="E3206" s="2">
        <v>1.69815833532647E-2</v>
      </c>
      <c r="F3206" s="2">
        <v>1.8951573613952999E-2</v>
      </c>
    </row>
    <row r="3207" spans="1:6" x14ac:dyDescent="0.25">
      <c r="A3207" s="1" t="str">
        <f t="shared" si="121"/>
        <v>13740</v>
      </c>
      <c r="B3207" s="1" t="str">
        <f>"59011"</f>
        <v>59011</v>
      </c>
      <c r="C3207" s="2">
        <v>9.07976574204385E-5</v>
      </c>
      <c r="D3207" s="2">
        <v>0</v>
      </c>
      <c r="E3207" s="2">
        <v>0</v>
      </c>
      <c r="F3207" s="2">
        <v>7.7949917178212903E-5</v>
      </c>
    </row>
    <row r="3208" spans="1:6" x14ac:dyDescent="0.25">
      <c r="A3208" s="1" t="str">
        <f t="shared" si="121"/>
        <v>13740</v>
      </c>
      <c r="B3208" s="1" t="str">
        <f>"59111"</f>
        <v>59111</v>
      </c>
      <c r="C3208" s="2">
        <v>0</v>
      </c>
      <c r="D3208" s="2">
        <v>9.6702446571898205E-5</v>
      </c>
      <c r="E3208" s="2">
        <v>0</v>
      </c>
      <c r="F3208" s="2">
        <v>9.7437396472766197E-6</v>
      </c>
    </row>
    <row r="3209" spans="1:6" x14ac:dyDescent="0.25">
      <c r="A3209" s="1" t="str">
        <f t="shared" si="121"/>
        <v>13740</v>
      </c>
      <c r="B3209" s="1" t="str">
        <f>"59041"</f>
        <v>59041</v>
      </c>
      <c r="C3209" s="2">
        <v>7.6837517592046097E-3</v>
      </c>
      <c r="D3209" s="2">
        <v>1.1604293588627699E-3</v>
      </c>
      <c r="E3209" s="2">
        <v>2.3917723032767201E-3</v>
      </c>
      <c r="F3209" s="2">
        <v>6.8108740134463601E-3</v>
      </c>
    </row>
    <row r="3210" spans="1:6" x14ac:dyDescent="0.25">
      <c r="A3210" s="1" t="str">
        <f t="shared" si="121"/>
        <v>13740</v>
      </c>
      <c r="B3210" s="1" t="str">
        <f>"59088"</f>
        <v>59088</v>
      </c>
      <c r="C3210" s="2">
        <v>6.7190266491124499E-3</v>
      </c>
      <c r="D3210" s="2">
        <v>2.90107339715694E-4</v>
      </c>
      <c r="E3210" s="2">
        <v>4.7835446065534496E-3</v>
      </c>
      <c r="F3210" s="2">
        <v>5.9923998830751198E-3</v>
      </c>
    </row>
    <row r="3211" spans="1:6" x14ac:dyDescent="0.25">
      <c r="A3211" s="1" t="str">
        <f t="shared" si="121"/>
        <v>13740</v>
      </c>
      <c r="B3211" s="1" t="str">
        <f>"59019"</f>
        <v>59019</v>
      </c>
      <c r="C3211" s="2">
        <v>1.7058609887864801E-2</v>
      </c>
      <c r="D3211" s="2">
        <v>3.86809786287593E-3</v>
      </c>
      <c r="E3211" s="2">
        <v>8.3712030614685393E-3</v>
      </c>
      <c r="F3211" s="2">
        <v>1.5375621163402501E-2</v>
      </c>
    </row>
    <row r="3212" spans="1:6" x14ac:dyDescent="0.25">
      <c r="A3212" s="1" t="str">
        <f t="shared" si="121"/>
        <v>13740</v>
      </c>
      <c r="B3212" s="1" t="str">
        <f>"59104"</f>
        <v>59104</v>
      </c>
      <c r="C3212" s="2">
        <v>1.31202614972533E-2</v>
      </c>
      <c r="D3212" s="2">
        <v>5.9762111981433101E-2</v>
      </c>
      <c r="E3212" s="2">
        <v>4.7835446065534499E-4</v>
      </c>
      <c r="F3212" s="2">
        <v>1.7304881613563201E-2</v>
      </c>
    </row>
    <row r="3213" spans="1:6" x14ac:dyDescent="0.25">
      <c r="A3213" s="1" t="str">
        <f t="shared" si="121"/>
        <v>13740</v>
      </c>
      <c r="B3213" s="1" t="str">
        <f>"59029"</f>
        <v>59029</v>
      </c>
      <c r="C3213" s="2">
        <v>2.57638352930494E-3</v>
      </c>
      <c r="D3213" s="2">
        <v>2.90107339715694E-4</v>
      </c>
      <c r="E3213" s="2">
        <v>2.3917723032767201E-4</v>
      </c>
      <c r="F3213" s="2">
        <v>2.2508038585209002E-3</v>
      </c>
    </row>
    <row r="3214" spans="1:6" x14ac:dyDescent="0.25">
      <c r="A3214" s="1" t="str">
        <f t="shared" si="121"/>
        <v>13740</v>
      </c>
      <c r="B3214" s="1" t="str">
        <f>"59069"</f>
        <v>59069</v>
      </c>
      <c r="C3214" s="2">
        <v>1.9634993417169799E-3</v>
      </c>
      <c r="D3214" s="2">
        <v>3.8680978628759298E-4</v>
      </c>
      <c r="E3214" s="2">
        <v>1.19588615163836E-3</v>
      </c>
      <c r="F3214" s="2">
        <v>1.7733606158043399E-3</v>
      </c>
    </row>
    <row r="3215" spans="1:6" x14ac:dyDescent="0.25">
      <c r="A3215" s="1" t="str">
        <f t="shared" si="121"/>
        <v>13740</v>
      </c>
      <c r="B3215" s="1" t="str">
        <f>"59064"</f>
        <v>59064</v>
      </c>
      <c r="C3215" s="2">
        <v>1.3052163254188001E-3</v>
      </c>
      <c r="D3215" s="2">
        <v>3.8680978628759298E-4</v>
      </c>
      <c r="E3215" s="2">
        <v>1.19588615163836E-3</v>
      </c>
      <c r="F3215" s="2">
        <v>1.2082237162622999E-3</v>
      </c>
    </row>
    <row r="3216" spans="1:6" x14ac:dyDescent="0.25">
      <c r="A3216" s="1" t="str">
        <f t="shared" si="121"/>
        <v>13740</v>
      </c>
      <c r="B3216" s="1" t="str">
        <f>"59101"</f>
        <v>59101</v>
      </c>
      <c r="C3216" s="2">
        <v>0.21959413447133</v>
      </c>
      <c r="D3216" s="2">
        <v>0.35170679818199402</v>
      </c>
      <c r="E3216" s="2">
        <v>0.33221717292513703</v>
      </c>
      <c r="F3216" s="2">
        <v>0.23749391016272001</v>
      </c>
    </row>
    <row r="3217" spans="1:6" x14ac:dyDescent="0.25">
      <c r="A3217" s="1" t="str">
        <f t="shared" si="121"/>
        <v>13740</v>
      </c>
      <c r="B3217" s="1" t="str">
        <f>"59046"</f>
        <v>59046</v>
      </c>
      <c r="C3217" s="2">
        <v>3.4049121532664397E-5</v>
      </c>
      <c r="D3217" s="2">
        <v>0</v>
      </c>
      <c r="E3217" s="2">
        <v>0</v>
      </c>
      <c r="F3217" s="2">
        <v>2.92312189418298E-5</v>
      </c>
    </row>
    <row r="3218" spans="1:6" x14ac:dyDescent="0.25">
      <c r="A3218" s="1" t="str">
        <f t="shared" si="121"/>
        <v>13740</v>
      </c>
      <c r="B3218" s="1" t="str">
        <f>"59015"</f>
        <v>59015</v>
      </c>
      <c r="C3218" s="2">
        <v>1.72515549098833E-3</v>
      </c>
      <c r="D3218" s="2">
        <v>3.8680978628759298E-4</v>
      </c>
      <c r="E3218" s="2">
        <v>2.3917723032767201E-4</v>
      </c>
      <c r="F3218" s="2">
        <v>1.52976712462243E-3</v>
      </c>
    </row>
    <row r="3219" spans="1:6" x14ac:dyDescent="0.25">
      <c r="A3219" s="1" t="str">
        <f t="shared" si="121"/>
        <v>13740</v>
      </c>
      <c r="B3219" s="1" t="str">
        <f>"59026"</f>
        <v>59026</v>
      </c>
      <c r="C3219" s="2">
        <v>1.4754619330821199E-4</v>
      </c>
      <c r="D3219" s="2">
        <v>0</v>
      </c>
      <c r="E3219" s="2">
        <v>2.3917723032767201E-4</v>
      </c>
      <c r="F3219" s="2">
        <v>1.36412355061872E-4</v>
      </c>
    </row>
    <row r="3220" spans="1:6" x14ac:dyDescent="0.25">
      <c r="A3220" s="1" t="str">
        <f t="shared" si="121"/>
        <v>13740</v>
      </c>
      <c r="B3220" s="1" t="str">
        <f>"59057"</f>
        <v>59057</v>
      </c>
      <c r="C3220" s="2">
        <v>3.75675307577064E-3</v>
      </c>
      <c r="D3220" s="2">
        <v>1.93404893143796E-4</v>
      </c>
      <c r="E3220" s="2">
        <v>2.3917723032767201E-4</v>
      </c>
      <c r="F3220" s="2">
        <v>3.2544090421903898E-3</v>
      </c>
    </row>
    <row r="3221" spans="1:6" x14ac:dyDescent="0.25">
      <c r="A3221" s="1" t="str">
        <f t="shared" si="121"/>
        <v>13740</v>
      </c>
      <c r="B3221" s="1" t="str">
        <f>"59007"</f>
        <v>59007</v>
      </c>
      <c r="C3221" s="2">
        <v>2.2699414355109601E-4</v>
      </c>
      <c r="D3221" s="2">
        <v>1.93404893143796E-4</v>
      </c>
      <c r="E3221" s="2">
        <v>2.3917723032767201E-4</v>
      </c>
      <c r="F3221" s="2">
        <v>2.2410601188736201E-4</v>
      </c>
    </row>
    <row r="3222" spans="1:6" x14ac:dyDescent="0.25">
      <c r="A3222" s="1" t="str">
        <f t="shared" si="121"/>
        <v>13740</v>
      </c>
      <c r="B3222" s="1" t="str">
        <f>"59037"</f>
        <v>59037</v>
      </c>
      <c r="C3222" s="2">
        <v>9.8061470014073598E-3</v>
      </c>
      <c r="D3222" s="2">
        <v>1.54723914515037E-3</v>
      </c>
      <c r="E3222" s="2">
        <v>1.9134178426213799E-3</v>
      </c>
      <c r="F3222" s="2">
        <v>8.6524408067816406E-3</v>
      </c>
    </row>
    <row r="3223" spans="1:6" x14ac:dyDescent="0.25">
      <c r="A3223" s="1" t="str">
        <f t="shared" si="121"/>
        <v>13740</v>
      </c>
      <c r="B3223" s="1" t="str">
        <f>"59063"</f>
        <v>59063</v>
      </c>
      <c r="C3223" s="2">
        <v>1.05438779679484E-2</v>
      </c>
      <c r="D3223" s="2">
        <v>3.8680978628759298E-4</v>
      </c>
      <c r="E3223" s="2">
        <v>6.2186079885194903E-3</v>
      </c>
      <c r="F3223" s="2">
        <v>9.3442463217382806E-3</v>
      </c>
    </row>
    <row r="3224" spans="1:6" x14ac:dyDescent="0.25">
      <c r="A3224" s="1" t="str">
        <f t="shared" si="121"/>
        <v>13740</v>
      </c>
      <c r="B3224" s="1" t="str">
        <f>"59070"</f>
        <v>59070</v>
      </c>
      <c r="C3224" s="2">
        <v>6.4693330912062403E-3</v>
      </c>
      <c r="D3224" s="2">
        <v>9.6702446571898196E-4</v>
      </c>
      <c r="E3224" s="2">
        <v>1.6742406122936999E-3</v>
      </c>
      <c r="F3224" s="2">
        <v>5.7195751729513704E-3</v>
      </c>
    </row>
    <row r="3225" spans="1:6" x14ac:dyDescent="0.25">
      <c r="A3225" s="1" t="str">
        <f t="shared" si="121"/>
        <v>13740</v>
      </c>
      <c r="B3225" s="1" t="str">
        <f>"59006"</f>
        <v>59006</v>
      </c>
      <c r="C3225" s="2">
        <v>3.5638080537522101E-3</v>
      </c>
      <c r="D3225" s="2">
        <v>9.6702446571898205E-5</v>
      </c>
      <c r="E3225" s="2">
        <v>4.5443673762257802E-3</v>
      </c>
      <c r="F3225" s="2">
        <v>3.2544090421903898E-3</v>
      </c>
    </row>
    <row r="3226" spans="1:6" x14ac:dyDescent="0.25">
      <c r="A3226" s="1" t="str">
        <f t="shared" si="121"/>
        <v>13740</v>
      </c>
      <c r="B3226" s="1" t="str">
        <f>"59103"</f>
        <v>59103</v>
      </c>
      <c r="C3226" s="2">
        <v>1.50951105461479E-2</v>
      </c>
      <c r="D3226" s="2">
        <v>6.0439029107436398E-2</v>
      </c>
      <c r="E3226" s="2">
        <v>4.7835446065534499E-4</v>
      </c>
      <c r="F3226" s="2">
        <v>1.9068498489720299E-2</v>
      </c>
    </row>
    <row r="3227" spans="1:6" x14ac:dyDescent="0.25">
      <c r="A3227" s="1" t="str">
        <f t="shared" si="121"/>
        <v>13740</v>
      </c>
      <c r="B3227" s="1" t="str">
        <f>"59024"</f>
        <v>59024</v>
      </c>
      <c r="C3227" s="2">
        <v>1.9748490488945298E-3</v>
      </c>
      <c r="D3227" s="2">
        <v>1.93404893143796E-4</v>
      </c>
      <c r="E3227" s="2">
        <v>2.3917723032767201E-4</v>
      </c>
      <c r="F3227" s="2">
        <v>1.72464191756796E-3</v>
      </c>
    </row>
    <row r="3228" spans="1:6" x14ac:dyDescent="0.25">
      <c r="A3228" s="1" t="str">
        <f t="shared" si="121"/>
        <v>13740</v>
      </c>
      <c r="B3228" s="1" t="str">
        <f>"59014"</f>
        <v>59014</v>
      </c>
      <c r="C3228" s="2">
        <v>9.7947972942297994E-3</v>
      </c>
      <c r="D3228" s="2">
        <v>1.0637269122908801E-3</v>
      </c>
      <c r="E3228" s="2">
        <v>3.3484812245874098E-3</v>
      </c>
      <c r="F3228" s="2">
        <v>8.6524408067816406E-3</v>
      </c>
    </row>
    <row r="3229" spans="1:6" x14ac:dyDescent="0.25">
      <c r="A3229" s="1" t="str">
        <f t="shared" si="121"/>
        <v>13740</v>
      </c>
      <c r="B3229" s="1" t="str">
        <f>"59107"</f>
        <v>59107</v>
      </c>
      <c r="C3229" s="2">
        <v>9.1819131066418393E-3</v>
      </c>
      <c r="D3229" s="2">
        <v>3.1524997582438798E-2</v>
      </c>
      <c r="E3229" s="2">
        <v>4.7835446065534499E-4</v>
      </c>
      <c r="F3229" s="2">
        <v>1.10786319789535E-2</v>
      </c>
    </row>
    <row r="3230" spans="1:6" x14ac:dyDescent="0.25">
      <c r="A3230" s="1" t="str">
        <f t="shared" si="121"/>
        <v>13740</v>
      </c>
      <c r="B3230" s="1" t="str">
        <f>"59105"</f>
        <v>59105</v>
      </c>
      <c r="C3230" s="2">
        <v>0.167669224134017</v>
      </c>
      <c r="D3230" s="2">
        <v>9.4188182961028905E-2</v>
      </c>
      <c r="E3230" s="2">
        <v>0.156900263094953</v>
      </c>
      <c r="F3230" s="2">
        <v>0.15982656143427801</v>
      </c>
    </row>
    <row r="3231" spans="1:6" x14ac:dyDescent="0.25">
      <c r="A3231" s="1" t="str">
        <f t="shared" si="121"/>
        <v>13740</v>
      </c>
      <c r="B3231" s="1" t="str">
        <f>"59001"</f>
        <v>59001</v>
      </c>
      <c r="C3231" s="2">
        <v>7.8199482453352696E-3</v>
      </c>
      <c r="D3231" s="2">
        <v>7.7361957257518596E-4</v>
      </c>
      <c r="E3231" s="2">
        <v>2.6309495336043999E-3</v>
      </c>
      <c r="F3231" s="2">
        <v>6.8985676702718497E-3</v>
      </c>
    </row>
    <row r="3232" spans="1:6" x14ac:dyDescent="0.25">
      <c r="A3232" s="1" t="str">
        <f t="shared" si="121"/>
        <v>13740</v>
      </c>
      <c r="B3232" s="1" t="str">
        <f>"59044"</f>
        <v>59044</v>
      </c>
      <c r="C3232" s="2">
        <v>6.6531983474826306E-2</v>
      </c>
      <c r="D3232" s="2">
        <v>4.8447925732520998E-2</v>
      </c>
      <c r="E3232" s="2">
        <v>3.5398230088495498E-2</v>
      </c>
      <c r="F3232" s="2">
        <v>6.3441488843418103E-2</v>
      </c>
    </row>
    <row r="3233" spans="1:6" x14ac:dyDescent="0.25">
      <c r="A3233" s="1" t="str">
        <f t="shared" si="121"/>
        <v>13740</v>
      </c>
      <c r="B3233" s="1" t="str">
        <f>"59074"</f>
        <v>59074</v>
      </c>
      <c r="C3233" s="2">
        <v>3.4049121532664397E-5</v>
      </c>
      <c r="D3233" s="2">
        <v>0</v>
      </c>
      <c r="E3233" s="2">
        <v>0</v>
      </c>
      <c r="F3233" s="2">
        <v>2.92312189418298E-5</v>
      </c>
    </row>
    <row r="3234" spans="1:6" x14ac:dyDescent="0.25">
      <c r="A3234" s="1" t="str">
        <f t="shared" si="121"/>
        <v>13740</v>
      </c>
      <c r="B3234" s="1" t="str">
        <f>"59028"</f>
        <v>59028</v>
      </c>
      <c r="C3234" s="2">
        <v>4.4490852136014796E-3</v>
      </c>
      <c r="D3234" s="2">
        <v>2.90107339715694E-4</v>
      </c>
      <c r="E3234" s="2">
        <v>2.3917723032767201E-4</v>
      </c>
      <c r="F3234" s="2">
        <v>3.8585209003215398E-3</v>
      </c>
    </row>
    <row r="3235" spans="1:6" x14ac:dyDescent="0.25">
      <c r="A3235" s="1" t="str">
        <f t="shared" si="121"/>
        <v>13740</v>
      </c>
      <c r="B3235" s="1" t="str">
        <f>"59008"</f>
        <v>59008</v>
      </c>
      <c r="C3235" s="2">
        <v>2.2926408498660702E-3</v>
      </c>
      <c r="D3235" s="2">
        <v>2.90107339715694E-4</v>
      </c>
      <c r="E3235" s="2">
        <v>2.3917723032767201E-4</v>
      </c>
      <c r="F3235" s="2">
        <v>2.0072103673389801E-3</v>
      </c>
    </row>
    <row r="3236" spans="1:6" x14ac:dyDescent="0.25">
      <c r="A3236" s="1" t="str">
        <f t="shared" si="121"/>
        <v>13740</v>
      </c>
      <c r="B3236" s="1" t="str">
        <f>"59102"</f>
        <v>59102</v>
      </c>
      <c r="C3236" s="2">
        <v>0.25602669451128102</v>
      </c>
      <c r="D3236" s="2">
        <v>0.26109660574412502</v>
      </c>
      <c r="E3236" s="2">
        <v>0.34991628796938501</v>
      </c>
      <c r="F3236" s="2">
        <v>0.26036246711487798</v>
      </c>
    </row>
    <row r="3237" spans="1:6" x14ac:dyDescent="0.25">
      <c r="A3237" s="1" t="str">
        <f t="shared" si="121"/>
        <v>13740</v>
      </c>
      <c r="B3237" s="1" t="str">
        <f>"59106"</f>
        <v>59106</v>
      </c>
      <c r="C3237" s="2">
        <v>0.102124665183638</v>
      </c>
      <c r="D3237" s="2">
        <v>2.71733874867034E-2</v>
      </c>
      <c r="E3237" s="2">
        <v>6.19469026548672E-2</v>
      </c>
      <c r="F3237" s="2">
        <v>9.2935788755724405E-2</v>
      </c>
    </row>
    <row r="3238" spans="1:6" x14ac:dyDescent="0.25">
      <c r="A3238" s="1" t="str">
        <f t="shared" si="121"/>
        <v>13740</v>
      </c>
      <c r="B3238" s="1" t="str">
        <f>"59071"</f>
        <v>59071</v>
      </c>
      <c r="C3238" s="2">
        <v>4.9938711581241197E-4</v>
      </c>
      <c r="D3238" s="2">
        <v>0</v>
      </c>
      <c r="E3238" s="2">
        <v>2.3917723032767201E-4</v>
      </c>
      <c r="F3238" s="2">
        <v>4.3846828412744799E-4</v>
      </c>
    </row>
    <row r="3239" spans="1:6" x14ac:dyDescent="0.25">
      <c r="A3239" s="1" t="str">
        <f t="shared" si="121"/>
        <v>13740</v>
      </c>
      <c r="B3239" s="1" t="str">
        <f>"59067"</f>
        <v>59067</v>
      </c>
      <c r="C3239" s="2">
        <v>1.12362101057792E-3</v>
      </c>
      <c r="D3239" s="2">
        <v>0</v>
      </c>
      <c r="E3239" s="2">
        <v>2.3917723032767201E-4</v>
      </c>
      <c r="F3239" s="2">
        <v>9.7437396472766196E-4</v>
      </c>
    </row>
    <row r="3240" spans="1:6" x14ac:dyDescent="0.25">
      <c r="A3240" s="1" t="str">
        <f t="shared" si="121"/>
        <v>13740</v>
      </c>
      <c r="B3240" s="1" t="str">
        <f>"59002"</f>
        <v>59002</v>
      </c>
      <c r="C3240" s="2">
        <v>1.1690198392881399E-3</v>
      </c>
      <c r="D3240" s="2">
        <v>2.90107339715694E-4</v>
      </c>
      <c r="E3240" s="2">
        <v>2.3917723032767201E-4</v>
      </c>
      <c r="F3240" s="2">
        <v>1.0425801422585901E-3</v>
      </c>
    </row>
    <row r="3241" spans="1:6" x14ac:dyDescent="0.25">
      <c r="A3241" s="1" t="str">
        <f t="shared" si="121"/>
        <v>13740</v>
      </c>
      <c r="B3241" s="1" t="str">
        <f>"59079"</f>
        <v>59079</v>
      </c>
      <c r="C3241" s="2">
        <v>1.5844191219866501E-2</v>
      </c>
      <c r="D3241" s="2">
        <v>9.6702446571898196E-4</v>
      </c>
      <c r="E3241" s="2">
        <v>3.3484812245874098E-3</v>
      </c>
      <c r="F3241" s="2">
        <v>1.3836110299132801E-2</v>
      </c>
    </row>
    <row r="3242" spans="1:6" x14ac:dyDescent="0.25">
      <c r="A3242" s="1" t="str">
        <f t="shared" ref="A3242:A3273" si="122">"13780"</f>
        <v>13780</v>
      </c>
      <c r="B3242" s="1" t="str">
        <f>"14892"</f>
        <v>14892</v>
      </c>
      <c r="C3242" s="2">
        <v>3.0012700631622001E-2</v>
      </c>
      <c r="D3242" s="2">
        <v>3.39107998525617E-2</v>
      </c>
      <c r="E3242" s="2">
        <v>4.7955733169382099E-2</v>
      </c>
      <c r="F3242" s="2">
        <v>3.1137751777026702E-2</v>
      </c>
    </row>
    <row r="3243" spans="1:6" x14ac:dyDescent="0.25">
      <c r="A3243" s="1" t="str">
        <f t="shared" si="122"/>
        <v>13780</v>
      </c>
      <c r="B3243" s="1" t="str">
        <f>"13833"</f>
        <v>13833</v>
      </c>
      <c r="C3243" s="2">
        <v>1.9102090916065E-2</v>
      </c>
      <c r="D3243" s="2">
        <v>7.12618257771224E-3</v>
      </c>
      <c r="E3243" s="2">
        <v>3.6889025514909302E-3</v>
      </c>
      <c r="F3243" s="2">
        <v>1.7603552537851799E-2</v>
      </c>
    </row>
    <row r="3244" spans="1:6" x14ac:dyDescent="0.25">
      <c r="A3244" s="1" t="str">
        <f t="shared" si="122"/>
        <v>13780</v>
      </c>
      <c r="B3244" s="1" t="str">
        <f>"13787"</f>
        <v>13787</v>
      </c>
      <c r="C3244" s="2">
        <v>1.0714559697230499E-2</v>
      </c>
      <c r="D3244" s="2">
        <v>3.8088217225703399E-3</v>
      </c>
      <c r="E3244" s="2">
        <v>2.9203811865969802E-3</v>
      </c>
      <c r="F3244" s="2">
        <v>9.9043664085115401E-3</v>
      </c>
    </row>
    <row r="3245" spans="1:6" x14ac:dyDescent="0.25">
      <c r="A3245" s="1" t="str">
        <f t="shared" si="122"/>
        <v>13780</v>
      </c>
      <c r="B3245" s="1" t="str">
        <f>"13746"</f>
        <v>13746</v>
      </c>
      <c r="C3245" s="2">
        <v>7.8420007330565894E-3</v>
      </c>
      <c r="D3245" s="2">
        <v>8.6005651799975398E-4</v>
      </c>
      <c r="E3245" s="2">
        <v>7.6852136489394404E-4</v>
      </c>
      <c r="F3245" s="2">
        <v>7.0626392446310297E-3</v>
      </c>
    </row>
    <row r="3246" spans="1:6" x14ac:dyDescent="0.25">
      <c r="A3246" s="1" t="str">
        <f t="shared" si="122"/>
        <v>13780</v>
      </c>
      <c r="B3246" s="1" t="str">
        <f>"13748"</f>
        <v>13748</v>
      </c>
      <c r="C3246" s="2">
        <v>1.4499177442314401E-2</v>
      </c>
      <c r="D3246" s="2">
        <v>6.8804521439980301E-3</v>
      </c>
      <c r="E3246" s="2">
        <v>4.1500153704272904E-3</v>
      </c>
      <c r="F3246" s="2">
        <v>1.35190433609675E-2</v>
      </c>
    </row>
    <row r="3247" spans="1:6" x14ac:dyDescent="0.25">
      <c r="A3247" s="1" t="str">
        <f t="shared" si="122"/>
        <v>13780</v>
      </c>
      <c r="B3247" s="1" t="str">
        <f>"13744"</f>
        <v>13744</v>
      </c>
      <c r="C3247" s="2">
        <v>3.9806677634102398E-3</v>
      </c>
      <c r="D3247" s="2">
        <v>3.6859565057132299E-4</v>
      </c>
      <c r="E3247" s="2">
        <v>1.0759299108515201E-3</v>
      </c>
      <c r="F3247" s="2">
        <v>3.6146769524560102E-3</v>
      </c>
    </row>
    <row r="3248" spans="1:6" x14ac:dyDescent="0.25">
      <c r="A3248" s="1" t="str">
        <f t="shared" si="122"/>
        <v>13780</v>
      </c>
      <c r="B3248" s="1" t="str">
        <f>"13864"</f>
        <v>13864</v>
      </c>
      <c r="C3248" s="2">
        <v>3.1538481209031901E-3</v>
      </c>
      <c r="D3248" s="2">
        <v>3.6859565057132299E-4</v>
      </c>
      <c r="E3248" s="2">
        <v>7.6852136489394404E-4</v>
      </c>
      <c r="F3248" s="2">
        <v>2.86446098119155E-3</v>
      </c>
    </row>
    <row r="3249" spans="1:6" x14ac:dyDescent="0.25">
      <c r="A3249" s="1" t="str">
        <f t="shared" si="122"/>
        <v>13780</v>
      </c>
      <c r="B3249" s="1" t="str">
        <f>"14859"</f>
        <v>14859</v>
      </c>
      <c r="C3249" s="2">
        <v>3.0856568101809601E-3</v>
      </c>
      <c r="D3249" s="2">
        <v>2.4573043371421498E-4</v>
      </c>
      <c r="E3249" s="2">
        <v>1.9981555487242498E-3</v>
      </c>
      <c r="F3249" s="2">
        <v>2.8568830420878698E-3</v>
      </c>
    </row>
    <row r="3250" spans="1:6" x14ac:dyDescent="0.25">
      <c r="A3250" s="1" t="str">
        <f t="shared" si="122"/>
        <v>13780</v>
      </c>
      <c r="B3250" s="1" t="str">
        <f>"13797"</f>
        <v>13797</v>
      </c>
      <c r="C3250" s="2">
        <v>7.1259919704731601E-3</v>
      </c>
      <c r="D3250" s="2">
        <v>1.9658434697137198E-3</v>
      </c>
      <c r="E3250" s="2">
        <v>1.53704272978788E-3</v>
      </c>
      <c r="F3250" s="2">
        <v>6.5321835073733304E-3</v>
      </c>
    </row>
    <row r="3251" spans="1:6" x14ac:dyDescent="0.25">
      <c r="A3251" s="1" t="str">
        <f t="shared" si="122"/>
        <v>13780</v>
      </c>
      <c r="B3251" s="1" t="str">
        <f>"13754"</f>
        <v>13754</v>
      </c>
      <c r="C3251" s="2">
        <v>9.0438725845359107E-3</v>
      </c>
      <c r="D3251" s="2">
        <v>7.8633738788548898E-3</v>
      </c>
      <c r="E3251" s="2">
        <v>3.8426068244697201E-3</v>
      </c>
      <c r="F3251" s="2">
        <v>8.7146299692335595E-3</v>
      </c>
    </row>
    <row r="3252" spans="1:6" x14ac:dyDescent="0.25">
      <c r="A3252" s="1" t="str">
        <f t="shared" si="122"/>
        <v>13780</v>
      </c>
      <c r="B3252" s="1" t="str">
        <f>"13903"</f>
        <v>13903</v>
      </c>
      <c r="C3252" s="2">
        <v>7.4652437413162603E-2</v>
      </c>
      <c r="D3252" s="2">
        <v>3.5876643322275401E-2</v>
      </c>
      <c r="E3252" s="2">
        <v>8.3615124500461102E-2</v>
      </c>
      <c r="F3252" s="2">
        <v>7.2702747760718903E-2</v>
      </c>
    </row>
    <row r="3253" spans="1:6" x14ac:dyDescent="0.25">
      <c r="A3253" s="1" t="str">
        <f t="shared" si="122"/>
        <v>13780</v>
      </c>
      <c r="B3253" s="1" t="str">
        <f>"13851"</f>
        <v>13851</v>
      </c>
      <c r="C3253" s="2">
        <v>6.1798375342022004E-3</v>
      </c>
      <c r="D3253" s="2">
        <v>2.34672564197075E-2</v>
      </c>
      <c r="E3253" s="2">
        <v>3.0740854595757701E-4</v>
      </c>
      <c r="F3253" s="2">
        <v>6.95654809717949E-3</v>
      </c>
    </row>
    <row r="3254" spans="1:6" x14ac:dyDescent="0.25">
      <c r="A3254" s="1" t="str">
        <f t="shared" si="122"/>
        <v>13780</v>
      </c>
      <c r="B3254" s="1" t="str">
        <f>"13813"</f>
        <v>13813</v>
      </c>
      <c r="C3254" s="2">
        <v>3.0089415856184498E-3</v>
      </c>
      <c r="D3254" s="2">
        <v>0</v>
      </c>
      <c r="E3254" s="2">
        <v>1.5370427297878799E-4</v>
      </c>
      <c r="F3254" s="2">
        <v>2.6825904427031999E-3</v>
      </c>
    </row>
    <row r="3255" spans="1:6" x14ac:dyDescent="0.25">
      <c r="A3255" s="1" t="str">
        <f t="shared" si="122"/>
        <v>13780</v>
      </c>
      <c r="B3255" s="1" t="str">
        <f>"13840"</f>
        <v>13840</v>
      </c>
      <c r="C3255" s="2">
        <v>0</v>
      </c>
      <c r="D3255" s="2">
        <v>0</v>
      </c>
      <c r="E3255" s="2">
        <v>1.5370427297878799E-4</v>
      </c>
      <c r="F3255" s="2">
        <v>7.5779391036813601E-6</v>
      </c>
    </row>
    <row r="3256" spans="1:6" x14ac:dyDescent="0.25">
      <c r="A3256" s="1" t="str">
        <f t="shared" si="122"/>
        <v>13780</v>
      </c>
      <c r="B3256" s="1" t="str">
        <f>"13749"</f>
        <v>13749</v>
      </c>
      <c r="C3256" s="2">
        <v>0</v>
      </c>
      <c r="D3256" s="2">
        <v>0</v>
      </c>
      <c r="E3256" s="2">
        <v>1.5370427297878799E-4</v>
      </c>
      <c r="F3256" s="2">
        <v>7.5779391036813601E-6</v>
      </c>
    </row>
    <row r="3257" spans="1:6" x14ac:dyDescent="0.25">
      <c r="A3257" s="1" t="str">
        <f t="shared" si="122"/>
        <v>13780</v>
      </c>
      <c r="B3257" s="1" t="str">
        <f>"13745"</f>
        <v>13745</v>
      </c>
      <c r="C3257" s="2">
        <v>3.8698568834866199E-3</v>
      </c>
      <c r="D3257" s="2">
        <v>1.00749477822828E-2</v>
      </c>
      <c r="E3257" s="2">
        <v>3.0740854595757701E-4</v>
      </c>
      <c r="F3257" s="2">
        <v>4.0769312377805702E-3</v>
      </c>
    </row>
    <row r="3258" spans="1:6" x14ac:dyDescent="0.25">
      <c r="A3258" s="1" t="str">
        <f t="shared" si="122"/>
        <v>13780</v>
      </c>
      <c r="B3258" s="1" t="str">
        <f>"13734"</f>
        <v>13734</v>
      </c>
      <c r="C3258" s="2">
        <v>8.0891942344246699E-3</v>
      </c>
      <c r="D3258" s="2">
        <v>1.8429782528566101E-3</v>
      </c>
      <c r="E3258" s="2">
        <v>3.9963110974484996E-3</v>
      </c>
      <c r="F3258" s="2">
        <v>7.5021597126445402E-3</v>
      </c>
    </row>
    <row r="3259" spans="1:6" x14ac:dyDescent="0.25">
      <c r="A3259" s="1" t="str">
        <f t="shared" si="122"/>
        <v>13780</v>
      </c>
      <c r="B3259" s="1" t="str">
        <f>"13794"</f>
        <v>13794</v>
      </c>
      <c r="C3259" s="2">
        <v>0</v>
      </c>
      <c r="D3259" s="2">
        <v>0</v>
      </c>
      <c r="E3259" s="2">
        <v>1.5370427297878799E-4</v>
      </c>
      <c r="F3259" s="2">
        <v>7.5779391036813601E-6</v>
      </c>
    </row>
    <row r="3260" spans="1:6" x14ac:dyDescent="0.25">
      <c r="A3260" s="1" t="str">
        <f t="shared" si="122"/>
        <v>13780</v>
      </c>
      <c r="B3260" s="1" t="str">
        <f>"13737"</f>
        <v>13737</v>
      </c>
      <c r="C3260" s="2">
        <v>0</v>
      </c>
      <c r="D3260" s="2">
        <v>0</v>
      </c>
      <c r="E3260" s="2">
        <v>1.5370427297878799E-4</v>
      </c>
      <c r="F3260" s="2">
        <v>7.5779391036813601E-6</v>
      </c>
    </row>
    <row r="3261" spans="1:6" x14ac:dyDescent="0.25">
      <c r="A3261" s="1" t="str">
        <f t="shared" si="122"/>
        <v>13780</v>
      </c>
      <c r="B3261" s="1" t="str">
        <f>"13795"</f>
        <v>13795</v>
      </c>
      <c r="C3261" s="2">
        <v>1.41582208887032E-2</v>
      </c>
      <c r="D3261" s="2">
        <v>9.4606216979972908E-3</v>
      </c>
      <c r="E3261" s="2">
        <v>8.3000307408545894E-3</v>
      </c>
      <c r="F3261" s="2">
        <v>1.3579666873797001E-2</v>
      </c>
    </row>
    <row r="3262" spans="1:6" x14ac:dyDescent="0.25">
      <c r="A3262" s="1" t="str">
        <f t="shared" si="122"/>
        <v>13780</v>
      </c>
      <c r="B3262" s="1" t="str">
        <f>"13762"</f>
        <v>13762</v>
      </c>
      <c r="C3262" s="2">
        <v>2.2162175984725101E-4</v>
      </c>
      <c r="D3262" s="2">
        <v>1.8429782528566101E-3</v>
      </c>
      <c r="E3262" s="2">
        <v>3.0740854595757701E-4</v>
      </c>
      <c r="F3262" s="2">
        <v>3.2585138145829799E-4</v>
      </c>
    </row>
    <row r="3263" spans="1:6" x14ac:dyDescent="0.25">
      <c r="A3263" s="1" t="str">
        <f t="shared" si="122"/>
        <v>13780</v>
      </c>
      <c r="B3263" s="1" t="str">
        <f>"13783"</f>
        <v>13783</v>
      </c>
      <c r="C3263" s="2">
        <v>4.26195692013945E-5</v>
      </c>
      <c r="D3263" s="2">
        <v>1.22865216857107E-4</v>
      </c>
      <c r="E3263" s="2">
        <v>0</v>
      </c>
      <c r="F3263" s="2">
        <v>4.5467634622088099E-5</v>
      </c>
    </row>
    <row r="3264" spans="1:6" x14ac:dyDescent="0.25">
      <c r="A3264" s="1" t="str">
        <f t="shared" si="122"/>
        <v>13780</v>
      </c>
      <c r="B3264" s="1" t="str">
        <f>"13905"</f>
        <v>13905</v>
      </c>
      <c r="C3264" s="2">
        <v>0.116564521765813</v>
      </c>
      <c r="D3264" s="2">
        <v>0.10762992996682599</v>
      </c>
      <c r="E3264" s="2">
        <v>0.20504150015370401</v>
      </c>
      <c r="F3264" s="2">
        <v>0.12037556266197801</v>
      </c>
    </row>
    <row r="3265" spans="1:6" x14ac:dyDescent="0.25">
      <c r="A3265" s="1" t="str">
        <f t="shared" si="122"/>
        <v>13780</v>
      </c>
      <c r="B3265" s="1" t="str">
        <f>"13865"</f>
        <v>13865</v>
      </c>
      <c r="C3265" s="2">
        <v>2.2861136919627999E-2</v>
      </c>
      <c r="D3265" s="2">
        <v>9.2148912642830792E-3</v>
      </c>
      <c r="E3265" s="2">
        <v>8.3000307408545894E-3</v>
      </c>
      <c r="F3265" s="2">
        <v>2.13015868204483E-2</v>
      </c>
    </row>
    <row r="3266" spans="1:6" x14ac:dyDescent="0.25">
      <c r="A3266" s="1" t="str">
        <f t="shared" si="122"/>
        <v>13780</v>
      </c>
      <c r="B3266" s="1" t="str">
        <f>"13901"</f>
        <v>13901</v>
      </c>
      <c r="C3266" s="2">
        <v>8.6688203755636406E-2</v>
      </c>
      <c r="D3266" s="2">
        <v>0.15223000368595599</v>
      </c>
      <c r="E3266" s="2">
        <v>0.12926529357516101</v>
      </c>
      <c r="F3266" s="2">
        <v>9.2829754020096605E-2</v>
      </c>
    </row>
    <row r="3267" spans="1:6" x14ac:dyDescent="0.25">
      <c r="A3267" s="1" t="str">
        <f t="shared" si="122"/>
        <v>13780</v>
      </c>
      <c r="B3267" s="1" t="str">
        <f>"14883"</f>
        <v>14883</v>
      </c>
      <c r="C3267" s="2">
        <v>1.22403402746405E-2</v>
      </c>
      <c r="D3267" s="2">
        <v>7.4947782282835697E-3</v>
      </c>
      <c r="E3267" s="2">
        <v>4.6111281893636601E-3</v>
      </c>
      <c r="F3267" s="2">
        <v>1.1571513011321401E-2</v>
      </c>
    </row>
    <row r="3268" spans="1:6" x14ac:dyDescent="0.25">
      <c r="A3268" s="1" t="str">
        <f t="shared" si="122"/>
        <v>13780</v>
      </c>
      <c r="B3268" s="1" t="str">
        <f>"13827"</f>
        <v>13827</v>
      </c>
      <c r="C3268" s="2">
        <v>4.7597534884117297E-2</v>
      </c>
      <c r="D3268" s="2">
        <v>6.2661260597124901E-2</v>
      </c>
      <c r="E3268" s="2">
        <v>5.3642791269597201E-2</v>
      </c>
      <c r="F3268" s="2">
        <v>4.8824661645019002E-2</v>
      </c>
    </row>
    <row r="3269" spans="1:6" x14ac:dyDescent="0.25">
      <c r="A3269" s="1" t="str">
        <f t="shared" si="122"/>
        <v>13780</v>
      </c>
      <c r="B3269" s="1" t="str">
        <f>"13811"</f>
        <v>13811</v>
      </c>
      <c r="C3269" s="2">
        <v>1.5726621035314501E-2</v>
      </c>
      <c r="D3269" s="2">
        <v>5.7746651922840602E-3</v>
      </c>
      <c r="E3269" s="2">
        <v>2.9203811865969802E-3</v>
      </c>
      <c r="F3269" s="2">
        <v>1.4481441627135E-2</v>
      </c>
    </row>
    <row r="3270" spans="1:6" x14ac:dyDescent="0.25">
      <c r="A3270" s="1" t="str">
        <f t="shared" si="122"/>
        <v>13780</v>
      </c>
      <c r="B3270" s="1" t="str">
        <f>"13732"</f>
        <v>13732</v>
      </c>
      <c r="C3270" s="2">
        <v>2.7506669962579999E-2</v>
      </c>
      <c r="D3270" s="2">
        <v>1.3883769504853099E-2</v>
      </c>
      <c r="E3270" s="2">
        <v>7.6852136489394401E-3</v>
      </c>
      <c r="F3270" s="2">
        <v>2.5689213561479799E-2</v>
      </c>
    </row>
    <row r="3271" spans="1:6" x14ac:dyDescent="0.25">
      <c r="A3271" s="1" t="str">
        <f t="shared" si="122"/>
        <v>13780</v>
      </c>
      <c r="B3271" s="1" t="str">
        <f>"14889"</f>
        <v>14889</v>
      </c>
      <c r="C3271" s="2">
        <v>2.55717415208367E-5</v>
      </c>
      <c r="D3271" s="2">
        <v>1.22865216857107E-4</v>
      </c>
      <c r="E3271" s="2">
        <v>0</v>
      </c>
      <c r="F3271" s="2">
        <v>3.03117564147254E-5</v>
      </c>
    </row>
    <row r="3272" spans="1:6" x14ac:dyDescent="0.25">
      <c r="A3272" s="1" t="str">
        <f t="shared" si="122"/>
        <v>13780</v>
      </c>
      <c r="B3272" s="1" t="str">
        <f>"13863"</f>
        <v>13863</v>
      </c>
      <c r="C3272" s="2">
        <v>4.26195692013945E-5</v>
      </c>
      <c r="D3272" s="2">
        <v>0</v>
      </c>
      <c r="E3272" s="2">
        <v>0</v>
      </c>
      <c r="F3272" s="2">
        <v>3.78896955184068E-5</v>
      </c>
    </row>
    <row r="3273" spans="1:6" x14ac:dyDescent="0.25">
      <c r="A3273" s="1" t="str">
        <f t="shared" si="122"/>
        <v>13780</v>
      </c>
      <c r="B3273" s="1" t="str">
        <f>"13730"</f>
        <v>13730</v>
      </c>
      <c r="C3273" s="2">
        <v>6.3076962418063805E-4</v>
      </c>
      <c r="D3273" s="2">
        <v>0</v>
      </c>
      <c r="E3273" s="2">
        <v>0</v>
      </c>
      <c r="F3273" s="2">
        <v>5.6076749367241999E-4</v>
      </c>
    </row>
    <row r="3274" spans="1:6" x14ac:dyDescent="0.25">
      <c r="A3274" s="1" t="str">
        <f t="shared" ref="A3274:A3292" si="123">"13780"</f>
        <v>13780</v>
      </c>
      <c r="B3274" s="1" t="str">
        <f>"13802"</f>
        <v>13802</v>
      </c>
      <c r="C3274" s="2">
        <v>2.6765089458475702E-3</v>
      </c>
      <c r="D3274" s="2">
        <v>8.6005651799975398E-4</v>
      </c>
      <c r="E3274" s="2">
        <v>4.61112818936366E-4</v>
      </c>
      <c r="F3274" s="2">
        <v>2.4552522695927598E-3</v>
      </c>
    </row>
    <row r="3275" spans="1:6" x14ac:dyDescent="0.25">
      <c r="A3275" s="1" t="str">
        <f t="shared" si="123"/>
        <v>13780</v>
      </c>
      <c r="B3275" s="1" t="str">
        <f>"13835"</f>
        <v>13835</v>
      </c>
      <c r="C3275" s="2">
        <v>4.5432460768686503E-3</v>
      </c>
      <c r="D3275" s="2">
        <v>2.4573043371421498E-4</v>
      </c>
      <c r="E3275" s="2">
        <v>6.1481709191515499E-4</v>
      </c>
      <c r="F3275" s="2">
        <v>4.0845091768842504E-3</v>
      </c>
    </row>
    <row r="3276" spans="1:6" x14ac:dyDescent="0.25">
      <c r="A3276" s="1" t="str">
        <f t="shared" si="123"/>
        <v>13780</v>
      </c>
      <c r="B3276" s="1" t="str">
        <f>"13812"</f>
        <v>13812</v>
      </c>
      <c r="C3276" s="2">
        <v>7.9101920437788208E-3</v>
      </c>
      <c r="D3276" s="2">
        <v>4.0545521562845499E-3</v>
      </c>
      <c r="E3276" s="2">
        <v>3.22778973255456E-3</v>
      </c>
      <c r="F3276" s="2">
        <v>7.4415361998150902E-3</v>
      </c>
    </row>
    <row r="3277" spans="1:6" x14ac:dyDescent="0.25">
      <c r="A3277" s="1" t="str">
        <f t="shared" si="123"/>
        <v>13780</v>
      </c>
      <c r="B3277" s="1" t="str">
        <f>"13743"</f>
        <v>13743</v>
      </c>
      <c r="C3277" s="2">
        <v>1.3834312162772601E-2</v>
      </c>
      <c r="D3277" s="2">
        <v>4.6688782405700903E-3</v>
      </c>
      <c r="E3277" s="2">
        <v>5.53335382723639E-3</v>
      </c>
      <c r="F3277" s="2">
        <v>1.2859762658947199E-2</v>
      </c>
    </row>
    <row r="3278" spans="1:6" x14ac:dyDescent="0.25">
      <c r="A3278" s="1" t="str">
        <f t="shared" si="123"/>
        <v>13780</v>
      </c>
      <c r="B3278" s="1" t="str">
        <f>"13850"</f>
        <v>13850</v>
      </c>
      <c r="C3278" s="2">
        <v>8.0678844498239796E-2</v>
      </c>
      <c r="D3278" s="2">
        <v>0.10443543432854099</v>
      </c>
      <c r="E3278" s="2">
        <v>5.7792806640024501E-2</v>
      </c>
      <c r="F3278" s="2">
        <v>8.1015746957457405E-2</v>
      </c>
    </row>
    <row r="3279" spans="1:6" x14ac:dyDescent="0.25">
      <c r="A3279" s="1" t="str">
        <f t="shared" si="123"/>
        <v>13780</v>
      </c>
      <c r="B3279" s="1" t="str">
        <f>"13790"</f>
        <v>13790</v>
      </c>
      <c r="C3279" s="2">
        <v>8.2392151180135806E-2</v>
      </c>
      <c r="D3279" s="2">
        <v>0.123356677724536</v>
      </c>
      <c r="E3279" s="2">
        <v>9.2376268060251995E-2</v>
      </c>
      <c r="F3279" s="2">
        <v>8.5410951637592603E-2</v>
      </c>
    </row>
    <row r="3280" spans="1:6" x14ac:dyDescent="0.25">
      <c r="A3280" s="1" t="str">
        <f t="shared" si="123"/>
        <v>13780</v>
      </c>
      <c r="B3280" s="1" t="str">
        <f>"13761"</f>
        <v>13761</v>
      </c>
      <c r="C3280" s="2">
        <v>6.28212450028555E-3</v>
      </c>
      <c r="D3280" s="2">
        <v>1.70782651431379E-2</v>
      </c>
      <c r="E3280" s="2">
        <v>3.0740854595757701E-4</v>
      </c>
      <c r="F3280" s="2">
        <v>6.6534305330322296E-3</v>
      </c>
    </row>
    <row r="3281" spans="1:6" x14ac:dyDescent="0.25">
      <c r="A3281" s="1" t="str">
        <f t="shared" si="123"/>
        <v>13780</v>
      </c>
      <c r="B3281" s="1" t="str">
        <f>"13736"</f>
        <v>13736</v>
      </c>
      <c r="C3281" s="2">
        <v>8.0295268375427196E-3</v>
      </c>
      <c r="D3281" s="2">
        <v>1.35151738542818E-3</v>
      </c>
      <c r="E3281" s="2">
        <v>1.0759299108515201E-3</v>
      </c>
      <c r="F3281" s="2">
        <v>7.2748215395340996E-3</v>
      </c>
    </row>
    <row r="3282" spans="1:6" x14ac:dyDescent="0.25">
      <c r="A3282" s="1" t="str">
        <f t="shared" si="123"/>
        <v>13780</v>
      </c>
      <c r="B3282" s="1" t="str">
        <f>"13904"</f>
        <v>13904</v>
      </c>
      <c r="C3282" s="2">
        <v>3.5408338092518497E-2</v>
      </c>
      <c r="D3282" s="2">
        <v>4.6688782405700902E-2</v>
      </c>
      <c r="E3282" s="2">
        <v>5.3181678450660901E-2</v>
      </c>
      <c r="F3282" s="2">
        <v>3.6980342825964997E-2</v>
      </c>
    </row>
    <row r="3283" spans="1:6" x14ac:dyDescent="0.25">
      <c r="A3283" s="1" t="str">
        <f t="shared" si="123"/>
        <v>13780</v>
      </c>
      <c r="B3283" s="1" t="str">
        <f>"13760"</f>
        <v>13760</v>
      </c>
      <c r="C3283" s="2">
        <v>0.17584834252495299</v>
      </c>
      <c r="D3283" s="2">
        <v>0.14006634721710201</v>
      </c>
      <c r="E3283" s="2">
        <v>0.199815554872425</v>
      </c>
      <c r="F3283" s="2">
        <v>0.174823055121929</v>
      </c>
    </row>
    <row r="3284" spans="1:6" x14ac:dyDescent="0.25">
      <c r="A3284" s="1" t="str">
        <f t="shared" si="123"/>
        <v>13780</v>
      </c>
      <c r="B3284" s="1" t="str">
        <f>"13826"</f>
        <v>13826</v>
      </c>
      <c r="C3284" s="2">
        <v>4.7733917505561802E-4</v>
      </c>
      <c r="D3284" s="2">
        <v>0</v>
      </c>
      <c r="E3284" s="2">
        <v>1.5370427297878799E-4</v>
      </c>
      <c r="F3284" s="2">
        <v>4.3194252890983698E-4</v>
      </c>
    </row>
    <row r="3285" spans="1:6" x14ac:dyDescent="0.25">
      <c r="A3285" s="1" t="str">
        <f t="shared" si="123"/>
        <v>13780</v>
      </c>
      <c r="B3285" s="1" t="str">
        <f>"13845"</f>
        <v>13845</v>
      </c>
      <c r="C3285" s="2">
        <v>1.70478276805578E-5</v>
      </c>
      <c r="D3285" s="2">
        <v>0</v>
      </c>
      <c r="E3285" s="2">
        <v>1.5370427297878799E-4</v>
      </c>
      <c r="F3285" s="2">
        <v>2.2733817311043999E-5</v>
      </c>
    </row>
    <row r="3286" spans="1:6" x14ac:dyDescent="0.25">
      <c r="A3286" s="1" t="str">
        <f t="shared" si="123"/>
        <v>13780</v>
      </c>
      <c r="B3286" s="1" t="str">
        <f>"13803"</f>
        <v>13803</v>
      </c>
      <c r="C3286" s="2">
        <v>1.27858707604183E-3</v>
      </c>
      <c r="D3286" s="2">
        <v>4.9146086742843105E-4</v>
      </c>
      <c r="E3286" s="2">
        <v>4.61112818936366E-4</v>
      </c>
      <c r="F3286" s="2">
        <v>1.18973643927797E-3</v>
      </c>
    </row>
    <row r="3287" spans="1:6" x14ac:dyDescent="0.25">
      <c r="A3287" s="1" t="str">
        <f t="shared" si="123"/>
        <v>13780</v>
      </c>
      <c r="B3287" s="1" t="str">
        <f>"13777"</f>
        <v>13777</v>
      </c>
      <c r="C3287" s="2">
        <v>1.95197626942386E-3</v>
      </c>
      <c r="D3287" s="2">
        <v>6.1432608428553797E-4</v>
      </c>
      <c r="E3287" s="2">
        <v>7.6852136489394404E-4</v>
      </c>
      <c r="F3287" s="2">
        <v>1.81112744577984E-3</v>
      </c>
    </row>
    <row r="3288" spans="1:6" x14ac:dyDescent="0.25">
      <c r="A3288" s="1" t="str">
        <f t="shared" si="123"/>
        <v>13780</v>
      </c>
      <c r="B3288" s="1" t="str">
        <f>"13902"</f>
        <v>13902</v>
      </c>
      <c r="C3288" s="2">
        <v>1.4456557873113E-2</v>
      </c>
      <c r="D3288" s="2">
        <v>4.6934512839415098E-2</v>
      </c>
      <c r="E3288" s="2">
        <v>4.61112818936366E-4</v>
      </c>
      <c r="F3288" s="2">
        <v>1.57696912747609E-2</v>
      </c>
    </row>
    <row r="3289" spans="1:6" x14ac:dyDescent="0.25">
      <c r="A3289" s="1" t="str">
        <f t="shared" si="123"/>
        <v>13780</v>
      </c>
      <c r="B3289" s="1" t="str">
        <f>"13778"</f>
        <v>13778</v>
      </c>
      <c r="C3289" s="2">
        <v>5.1995874425701295E-4</v>
      </c>
      <c r="D3289" s="2">
        <v>1.22865216857107E-4</v>
      </c>
      <c r="E3289" s="2">
        <v>0</v>
      </c>
      <c r="F3289" s="2">
        <v>4.69832224428244E-4</v>
      </c>
    </row>
    <row r="3290" spans="1:6" x14ac:dyDescent="0.25">
      <c r="A3290" s="1" t="str">
        <f t="shared" si="123"/>
        <v>13780</v>
      </c>
      <c r="B3290" s="1" t="str">
        <f>"13862"</f>
        <v>13862</v>
      </c>
      <c r="C3290" s="2">
        <v>1.4635560063758799E-2</v>
      </c>
      <c r="D3290" s="2">
        <v>3.9316869394274397E-3</v>
      </c>
      <c r="E3290" s="2">
        <v>5.6870581002151799E-3</v>
      </c>
      <c r="F3290" s="2">
        <v>1.3534199239174901E-2</v>
      </c>
    </row>
    <row r="3291" spans="1:6" x14ac:dyDescent="0.25">
      <c r="A3291" s="1" t="str">
        <f t="shared" si="123"/>
        <v>13780</v>
      </c>
      <c r="B3291" s="1" t="str">
        <f>"14817"</f>
        <v>14817</v>
      </c>
      <c r="C3291" s="2">
        <v>3.9210003665282898E-4</v>
      </c>
      <c r="D3291" s="2">
        <v>0</v>
      </c>
      <c r="E3291" s="2">
        <v>0</v>
      </c>
      <c r="F3291" s="2">
        <v>3.4858519876934202E-4</v>
      </c>
    </row>
    <row r="3292" spans="1:6" x14ac:dyDescent="0.25">
      <c r="A3292" s="1" t="str">
        <f t="shared" si="123"/>
        <v>13780</v>
      </c>
      <c r="B3292" s="1" t="str">
        <f>"13848"</f>
        <v>13848</v>
      </c>
      <c r="C3292" s="2">
        <v>0</v>
      </c>
      <c r="D3292" s="2">
        <v>0</v>
      </c>
      <c r="E3292" s="2">
        <v>1.5370427297878799E-4</v>
      </c>
      <c r="F3292" s="2">
        <v>7.5779391036813601E-6</v>
      </c>
    </row>
    <row r="3293" spans="1:6" x14ac:dyDescent="0.25">
      <c r="A3293" s="1" t="str">
        <f t="shared" ref="A3293:A3324" si="124">"13820"</f>
        <v>13820</v>
      </c>
      <c r="B3293" s="1" t="str">
        <f>"35185"</f>
        <v>35185</v>
      </c>
      <c r="C3293" s="2">
        <v>0</v>
      </c>
      <c r="D3293" s="2">
        <v>1.8001800180017999E-5</v>
      </c>
      <c r="E3293" s="2">
        <v>0</v>
      </c>
      <c r="F3293" s="2">
        <v>1.56822893633304E-6</v>
      </c>
    </row>
    <row r="3294" spans="1:6" x14ac:dyDescent="0.25">
      <c r="A3294" s="1" t="str">
        <f t="shared" si="124"/>
        <v>13820</v>
      </c>
      <c r="B3294" s="1" t="str">
        <f>"35123"</f>
        <v>35123</v>
      </c>
      <c r="C3294" s="2">
        <v>0</v>
      </c>
      <c r="D3294" s="2">
        <v>1.8001800180017999E-5</v>
      </c>
      <c r="E3294" s="2">
        <v>0</v>
      </c>
      <c r="F3294" s="2">
        <v>1.56822893633304E-6</v>
      </c>
    </row>
    <row r="3295" spans="1:6" x14ac:dyDescent="0.25">
      <c r="A3295" s="1" t="str">
        <f t="shared" si="124"/>
        <v>13820</v>
      </c>
      <c r="B3295" s="1" t="str">
        <f>"35285"</f>
        <v>35285</v>
      </c>
      <c r="C3295" s="2">
        <v>0</v>
      </c>
      <c r="D3295" s="2">
        <v>1.8001800180017999E-5</v>
      </c>
      <c r="E3295" s="2">
        <v>5.9783583427990598E-5</v>
      </c>
      <c r="F3295" s="2">
        <v>3.1364578726660801E-6</v>
      </c>
    </row>
    <row r="3296" spans="1:6" x14ac:dyDescent="0.25">
      <c r="A3296" s="1" t="str">
        <f t="shared" si="124"/>
        <v>13820</v>
      </c>
      <c r="B3296" s="1" t="str">
        <f>"35187"</f>
        <v>35187</v>
      </c>
      <c r="C3296" s="2">
        <v>0</v>
      </c>
      <c r="D3296" s="2">
        <v>1.8001800180017999E-5</v>
      </c>
      <c r="E3296" s="2">
        <v>0</v>
      </c>
      <c r="F3296" s="2">
        <v>1.56822893633304E-6</v>
      </c>
    </row>
    <row r="3297" spans="1:6" x14ac:dyDescent="0.25">
      <c r="A3297" s="1" t="str">
        <f t="shared" si="124"/>
        <v>13820</v>
      </c>
      <c r="B3297" s="1" t="str">
        <f>"35293"</f>
        <v>35293</v>
      </c>
      <c r="C3297" s="2">
        <v>0</v>
      </c>
      <c r="D3297" s="2">
        <v>0</v>
      </c>
      <c r="E3297" s="2">
        <v>5.9783583427990598E-5</v>
      </c>
      <c r="F3297" s="2">
        <v>1.56822893633304E-6</v>
      </c>
    </row>
    <row r="3298" spans="1:6" x14ac:dyDescent="0.25">
      <c r="A3298" s="1" t="str">
        <f t="shared" si="124"/>
        <v>13820</v>
      </c>
      <c r="B3298" s="1" t="str">
        <f>"35021"</f>
        <v>35021</v>
      </c>
      <c r="C3298" s="2">
        <v>1.9809510333666401E-3</v>
      </c>
      <c r="D3298" s="2">
        <v>4.2664266426642597E-3</v>
      </c>
      <c r="E3298" s="2">
        <v>1.1956716685598101E-4</v>
      </c>
      <c r="F3298" s="2">
        <v>2.1312231244765998E-3</v>
      </c>
    </row>
    <row r="3299" spans="1:6" x14ac:dyDescent="0.25">
      <c r="A3299" s="1" t="str">
        <f t="shared" si="124"/>
        <v>13820</v>
      </c>
      <c r="B3299" s="1" t="str">
        <f>"35444"</f>
        <v>35444</v>
      </c>
      <c r="C3299" s="2">
        <v>1.06122376787498E-4</v>
      </c>
      <c r="D3299" s="2">
        <v>0</v>
      </c>
      <c r="E3299" s="2">
        <v>0</v>
      </c>
      <c r="F3299" s="2">
        <v>9.4093736179982394E-5</v>
      </c>
    </row>
    <row r="3300" spans="1:6" x14ac:dyDescent="0.25">
      <c r="A3300" s="1" t="str">
        <f t="shared" si="124"/>
        <v>13820</v>
      </c>
      <c r="B3300" s="1" t="str">
        <f>"35253"</f>
        <v>35253</v>
      </c>
      <c r="C3300" s="2">
        <v>1.2204073330562299E-3</v>
      </c>
      <c r="D3300" s="2">
        <v>4.4104410441044104E-3</v>
      </c>
      <c r="E3300" s="2">
        <v>1.1956716685598101E-4</v>
      </c>
      <c r="F3300" s="2">
        <v>1.4694305133440601E-3</v>
      </c>
    </row>
    <row r="3301" spans="1:6" x14ac:dyDescent="0.25">
      <c r="A3301" s="1" t="str">
        <f t="shared" si="124"/>
        <v>13820</v>
      </c>
      <c r="B3301" s="1" t="str">
        <f>"35036"</f>
        <v>35036</v>
      </c>
      <c r="C3301" s="2">
        <v>1.7687062797916401E-6</v>
      </c>
      <c r="D3301" s="2">
        <v>5.4005400540054E-5</v>
      </c>
      <c r="E3301" s="2">
        <v>1.1956716685598101E-4</v>
      </c>
      <c r="F3301" s="2">
        <v>9.4093736179982397E-6</v>
      </c>
    </row>
    <row r="3302" spans="1:6" x14ac:dyDescent="0.25">
      <c r="A3302" s="1" t="str">
        <f t="shared" si="124"/>
        <v>13820</v>
      </c>
      <c r="B3302" s="1" t="str">
        <f>"35061"</f>
        <v>35061</v>
      </c>
      <c r="C3302" s="2">
        <v>2.4832636168274701E-3</v>
      </c>
      <c r="D3302" s="2">
        <v>3.0783078307830701E-3</v>
      </c>
      <c r="E3302" s="2">
        <v>5.9783583427990598E-5</v>
      </c>
      <c r="F3302" s="2">
        <v>2.4715288036608698E-3</v>
      </c>
    </row>
    <row r="3303" spans="1:6" x14ac:dyDescent="0.25">
      <c r="A3303" s="1" t="str">
        <f t="shared" si="124"/>
        <v>13820</v>
      </c>
      <c r="B3303" s="1" t="str">
        <f>"35232"</f>
        <v>35232</v>
      </c>
      <c r="C3303" s="2">
        <v>1.56353635133581E-3</v>
      </c>
      <c r="D3303" s="2">
        <v>5.3825382538253801E-3</v>
      </c>
      <c r="E3303" s="2">
        <v>1.1956716685598101E-4</v>
      </c>
      <c r="F3303" s="2">
        <v>1.8583512895546501E-3</v>
      </c>
    </row>
    <row r="3304" spans="1:6" x14ac:dyDescent="0.25">
      <c r="A3304" s="1" t="str">
        <f t="shared" si="124"/>
        <v>13820</v>
      </c>
      <c r="B3304" s="1" t="str">
        <f>"35034"</f>
        <v>35034</v>
      </c>
      <c r="C3304" s="2">
        <v>2.6053043501330902E-3</v>
      </c>
      <c r="D3304" s="2">
        <v>1.9621962196219602E-3</v>
      </c>
      <c r="E3304" s="2">
        <v>2.2119925868356498E-3</v>
      </c>
      <c r="F3304" s="2">
        <v>2.53896264792319E-3</v>
      </c>
    </row>
    <row r="3305" spans="1:6" x14ac:dyDescent="0.25">
      <c r="A3305" s="1" t="str">
        <f t="shared" si="124"/>
        <v>13820</v>
      </c>
      <c r="B3305" s="1" t="str">
        <f>"35043"</f>
        <v>35043</v>
      </c>
      <c r="C3305" s="2">
        <v>1.0272646073029801E-2</v>
      </c>
      <c r="D3305" s="2">
        <v>8.0648064806480603E-3</v>
      </c>
      <c r="E3305" s="2">
        <v>5.6196568422311197E-3</v>
      </c>
      <c r="F3305" s="2">
        <v>9.9582537457148096E-3</v>
      </c>
    </row>
    <row r="3306" spans="1:6" x14ac:dyDescent="0.25">
      <c r="A3306" s="1" t="str">
        <f t="shared" si="124"/>
        <v>13820</v>
      </c>
      <c r="B3306" s="1" t="str">
        <f>"35117"</f>
        <v>35117</v>
      </c>
      <c r="C3306" s="2">
        <v>4.8285681438311901E-3</v>
      </c>
      <c r="D3306" s="2">
        <v>1.0801080108010801E-3</v>
      </c>
      <c r="E3306" s="2">
        <v>5.9783583427990598E-5</v>
      </c>
      <c r="F3306" s="2">
        <v>4.3769269613055098E-3</v>
      </c>
    </row>
    <row r="3307" spans="1:6" x14ac:dyDescent="0.25">
      <c r="A3307" s="1" t="str">
        <f t="shared" si="124"/>
        <v>13820</v>
      </c>
      <c r="B3307" s="1" t="str">
        <f>"35004"</f>
        <v>35004</v>
      </c>
      <c r="C3307" s="2">
        <v>1.0479584707765501E-2</v>
      </c>
      <c r="D3307" s="2">
        <v>9.6669666966696603E-3</v>
      </c>
      <c r="E3307" s="2">
        <v>5.0816045913791999E-3</v>
      </c>
      <c r="F3307" s="2">
        <v>1.02671948461724E-2</v>
      </c>
    </row>
    <row r="3308" spans="1:6" x14ac:dyDescent="0.25">
      <c r="A3308" s="1" t="str">
        <f t="shared" si="124"/>
        <v>13820</v>
      </c>
      <c r="B3308" s="1" t="str">
        <f>"35204"</f>
        <v>35204</v>
      </c>
      <c r="C3308" s="2">
        <v>1.27311478019402E-2</v>
      </c>
      <c r="D3308" s="2">
        <v>1.15751575157515E-2</v>
      </c>
      <c r="E3308" s="2">
        <v>2.76797991271596E-2</v>
      </c>
      <c r="F3308" s="2">
        <v>1.3022573087309501E-2</v>
      </c>
    </row>
    <row r="3309" spans="1:6" x14ac:dyDescent="0.25">
      <c r="A3309" s="1" t="str">
        <f t="shared" si="124"/>
        <v>13820</v>
      </c>
      <c r="B3309" s="1" t="str">
        <f>"35206"</f>
        <v>35206</v>
      </c>
      <c r="C3309" s="2">
        <v>1.57892409597E-2</v>
      </c>
      <c r="D3309" s="2">
        <v>1.0603060306030599E-2</v>
      </c>
      <c r="E3309" s="2">
        <v>2.4331918455192201E-2</v>
      </c>
      <c r="F3309" s="2">
        <v>1.5561535735232701E-2</v>
      </c>
    </row>
    <row r="3310" spans="1:6" x14ac:dyDescent="0.25">
      <c r="A3310" s="1" t="str">
        <f t="shared" si="124"/>
        <v>13820</v>
      </c>
      <c r="B3310" s="1" t="str">
        <f>"35172"</f>
        <v>35172</v>
      </c>
      <c r="C3310" s="2">
        <v>2.8405422853453799E-3</v>
      </c>
      <c r="D3310" s="2">
        <v>9.0009000900090005E-4</v>
      </c>
      <c r="E3310" s="2">
        <v>1.1956716685598101E-3</v>
      </c>
      <c r="F3310" s="2">
        <v>2.62835169729417E-3</v>
      </c>
    </row>
    <row r="3311" spans="1:6" x14ac:dyDescent="0.25">
      <c r="A3311" s="1" t="str">
        <f t="shared" si="124"/>
        <v>13820</v>
      </c>
      <c r="B3311" s="1" t="str">
        <f>"35216"</f>
        <v>35216</v>
      </c>
      <c r="C3311" s="2">
        <v>3.0554400983400599E-2</v>
      </c>
      <c r="D3311" s="2">
        <v>3.3321332133213297E-2</v>
      </c>
      <c r="E3311" s="2">
        <v>9.1887367728821598E-2</v>
      </c>
      <c r="F3311" s="2">
        <v>3.2404314511449601E-2</v>
      </c>
    </row>
    <row r="3312" spans="1:6" x14ac:dyDescent="0.25">
      <c r="A3312" s="1" t="str">
        <f t="shared" si="124"/>
        <v>13820</v>
      </c>
      <c r="B3312" s="1" t="str">
        <f>"36750"</f>
        <v>36750</v>
      </c>
      <c r="C3312" s="2">
        <v>2.6831274264439201E-3</v>
      </c>
      <c r="D3312" s="2">
        <v>1.02610261026102E-3</v>
      </c>
      <c r="E3312" s="2">
        <v>7.1740300113588796E-4</v>
      </c>
      <c r="F3312" s="2">
        <v>2.4872110930241999E-3</v>
      </c>
    </row>
    <row r="3313" spans="1:6" x14ac:dyDescent="0.25">
      <c r="A3313" s="1" t="str">
        <f t="shared" si="124"/>
        <v>13820</v>
      </c>
      <c r="B3313" s="1" t="str">
        <f>"36091"</f>
        <v>36091</v>
      </c>
      <c r="C3313" s="2">
        <v>3.52680032190454E-3</v>
      </c>
      <c r="D3313" s="2">
        <v>1.02610261026102E-3</v>
      </c>
      <c r="E3313" s="2">
        <v>4.1848508399593398E-4</v>
      </c>
      <c r="F3313" s="2">
        <v>3.22741515097339E-3</v>
      </c>
    </row>
    <row r="3314" spans="1:6" x14ac:dyDescent="0.25">
      <c r="A3314" s="1" t="str">
        <f t="shared" si="124"/>
        <v>13820</v>
      </c>
      <c r="B3314" s="1" t="str">
        <f>"35952"</f>
        <v>35952</v>
      </c>
      <c r="C3314" s="2">
        <v>2.9413585432934999E-3</v>
      </c>
      <c r="D3314" s="2">
        <v>1.83618361836183E-3</v>
      </c>
      <c r="E3314" s="2">
        <v>7.1740300113588796E-4</v>
      </c>
      <c r="F3314" s="2">
        <v>2.7867428198638101E-3</v>
      </c>
    </row>
    <row r="3315" spans="1:6" x14ac:dyDescent="0.25">
      <c r="A3315" s="1" t="str">
        <f t="shared" si="124"/>
        <v>13820</v>
      </c>
      <c r="B3315" s="1" t="str">
        <f>"35243"</f>
        <v>35243</v>
      </c>
      <c r="C3315" s="2">
        <v>1.9738762082474701E-2</v>
      </c>
      <c r="D3315" s="2">
        <v>3.09630963096309E-2</v>
      </c>
      <c r="E3315" s="2">
        <v>1.5723082441561499E-2</v>
      </c>
      <c r="F3315" s="2">
        <v>2.06112329102251E-2</v>
      </c>
    </row>
    <row r="3316" spans="1:6" x14ac:dyDescent="0.25">
      <c r="A3316" s="1" t="str">
        <f t="shared" si="124"/>
        <v>13820</v>
      </c>
      <c r="B3316" s="1" t="str">
        <f>"35235"</f>
        <v>35235</v>
      </c>
      <c r="C3316" s="2">
        <v>1.58175402601766E-2</v>
      </c>
      <c r="D3316" s="2">
        <v>1.7965796579657901E-2</v>
      </c>
      <c r="E3316" s="2">
        <v>1.4886112273569599E-2</v>
      </c>
      <c r="F3316" s="2">
        <v>1.5980252861233599E-2</v>
      </c>
    </row>
    <row r="3317" spans="1:6" x14ac:dyDescent="0.25">
      <c r="A3317" s="1" t="str">
        <f t="shared" si="124"/>
        <v>13820</v>
      </c>
      <c r="B3317" s="1" t="str">
        <f>"35233"</f>
        <v>35233</v>
      </c>
      <c r="C3317" s="2">
        <v>3.4560520707128698E-3</v>
      </c>
      <c r="D3317" s="2">
        <v>2.1764176417641699E-2</v>
      </c>
      <c r="E3317" s="2">
        <v>6.8751120942189201E-3</v>
      </c>
      <c r="F3317" s="2">
        <v>5.14065445329971E-3</v>
      </c>
    </row>
    <row r="3318" spans="1:6" x14ac:dyDescent="0.25">
      <c r="A3318" s="1" t="str">
        <f t="shared" si="124"/>
        <v>13820</v>
      </c>
      <c r="B3318" s="1" t="str">
        <f>"35202"</f>
        <v>35202</v>
      </c>
      <c r="C3318" s="2">
        <v>3.04924962636079E-3</v>
      </c>
      <c r="D3318" s="2">
        <v>1.41494149414941E-2</v>
      </c>
      <c r="E3318" s="2">
        <v>1.1956716685598101E-4</v>
      </c>
      <c r="F3318" s="2">
        <v>3.9393910880685997E-3</v>
      </c>
    </row>
    <row r="3319" spans="1:6" x14ac:dyDescent="0.25">
      <c r="A3319" s="1" t="str">
        <f t="shared" si="124"/>
        <v>13820</v>
      </c>
      <c r="B3319" s="1" t="str">
        <f>"35146"</f>
        <v>35146</v>
      </c>
      <c r="C3319" s="2">
        <v>8.6931913651759393E-3</v>
      </c>
      <c r="D3319" s="2">
        <v>3.6183618361836098E-3</v>
      </c>
      <c r="E3319" s="2">
        <v>5.9783583427990602E-4</v>
      </c>
      <c r="F3319" s="2">
        <v>8.0387415276431708E-3</v>
      </c>
    </row>
    <row r="3320" spans="1:6" x14ac:dyDescent="0.25">
      <c r="A3320" s="1" t="str">
        <f t="shared" si="124"/>
        <v>13820</v>
      </c>
      <c r="B3320" s="1" t="str">
        <f>"35207"</f>
        <v>35207</v>
      </c>
      <c r="C3320" s="2">
        <v>9.3157759756625994E-3</v>
      </c>
      <c r="D3320" s="2">
        <v>8.6588658865886497E-3</v>
      </c>
      <c r="E3320" s="2">
        <v>5.5598732588031299E-3</v>
      </c>
      <c r="F3320" s="2">
        <v>9.1600252171212902E-3</v>
      </c>
    </row>
    <row r="3321" spans="1:6" x14ac:dyDescent="0.25">
      <c r="A3321" s="1" t="str">
        <f t="shared" si="124"/>
        <v>13820</v>
      </c>
      <c r="B3321" s="1" t="str">
        <f>"35060"</f>
        <v>35060</v>
      </c>
      <c r="C3321" s="2">
        <v>3.5374125595832899E-6</v>
      </c>
      <c r="D3321" s="2">
        <v>1.8001800180017999E-5</v>
      </c>
      <c r="E3321" s="2">
        <v>0</v>
      </c>
      <c r="F3321" s="2">
        <v>4.7046868089991199E-6</v>
      </c>
    </row>
    <row r="3322" spans="1:6" x14ac:dyDescent="0.25">
      <c r="A3322" s="1" t="str">
        <f t="shared" si="124"/>
        <v>13820</v>
      </c>
      <c r="B3322" s="1" t="str">
        <f>"35016"</f>
        <v>35016</v>
      </c>
      <c r="C3322" s="2">
        <v>2.9006782988583E-4</v>
      </c>
      <c r="D3322" s="2">
        <v>5.4005400540054E-5</v>
      </c>
      <c r="E3322" s="2">
        <v>0</v>
      </c>
      <c r="F3322" s="2">
        <v>2.6189423236761699E-4</v>
      </c>
    </row>
    <row r="3323" spans="1:6" x14ac:dyDescent="0.25">
      <c r="A3323" s="1" t="str">
        <f t="shared" si="124"/>
        <v>13820</v>
      </c>
      <c r="B3323" s="1" t="str">
        <f>"35147"</f>
        <v>35147</v>
      </c>
      <c r="C3323" s="2">
        <v>4.5243506637070302E-3</v>
      </c>
      <c r="D3323" s="2">
        <v>1.5481548154815401E-3</v>
      </c>
      <c r="E3323" s="2">
        <v>5.3805225085191597E-4</v>
      </c>
      <c r="F3323" s="2">
        <v>4.1605113680915498E-3</v>
      </c>
    </row>
    <row r="3324" spans="1:6" x14ac:dyDescent="0.25">
      <c r="A3324" s="1" t="str">
        <f t="shared" si="124"/>
        <v>13820</v>
      </c>
      <c r="B3324" s="1" t="str">
        <f>"35218"</f>
        <v>35218</v>
      </c>
      <c r="C3324" s="2">
        <v>8.0405387479328197E-3</v>
      </c>
      <c r="D3324" s="2">
        <v>9.9369936993699299E-3</v>
      </c>
      <c r="E3324" s="2">
        <v>1.1239313684462199E-2</v>
      </c>
      <c r="F3324" s="2">
        <v>8.2896581574564508E-3</v>
      </c>
    </row>
    <row r="3325" spans="1:6" x14ac:dyDescent="0.25">
      <c r="A3325" s="1" t="str">
        <f t="shared" ref="A3325:A3356" si="125">"13820"</f>
        <v>13820</v>
      </c>
      <c r="B3325" s="1" t="str">
        <f>"35215"</f>
        <v>35215</v>
      </c>
      <c r="C3325" s="2">
        <v>3.7570858795334103E-2</v>
      </c>
      <c r="D3325" s="2">
        <v>2.2052205220521998E-2</v>
      </c>
      <c r="E3325" s="2">
        <v>7.6582770371256007E-2</v>
      </c>
      <c r="F3325" s="2">
        <v>3.7242300780036999E-2</v>
      </c>
    </row>
    <row r="3326" spans="1:6" x14ac:dyDescent="0.25">
      <c r="A3326" s="1" t="str">
        <f t="shared" si="125"/>
        <v>13820</v>
      </c>
      <c r="B3326" s="1" t="str">
        <f>"35980"</f>
        <v>35980</v>
      </c>
      <c r="C3326" s="2">
        <v>1.2380943958541499E-3</v>
      </c>
      <c r="D3326" s="2">
        <v>2.5202520252025199E-4</v>
      </c>
      <c r="E3326" s="2">
        <v>1.7935075028397199E-4</v>
      </c>
      <c r="F3326" s="2">
        <v>1.1244201473507901E-3</v>
      </c>
    </row>
    <row r="3327" spans="1:6" x14ac:dyDescent="0.25">
      <c r="A3327" s="1" t="str">
        <f t="shared" si="125"/>
        <v>13820</v>
      </c>
      <c r="B3327" s="1" t="str">
        <f>"35119"</f>
        <v>35119</v>
      </c>
      <c r="C3327" s="2">
        <v>0</v>
      </c>
      <c r="D3327" s="2">
        <v>3.6003600360035998E-5</v>
      </c>
      <c r="E3327" s="2">
        <v>0</v>
      </c>
      <c r="F3327" s="2">
        <v>3.1364578726660801E-6</v>
      </c>
    </row>
    <row r="3328" spans="1:6" x14ac:dyDescent="0.25">
      <c r="A3328" s="1" t="str">
        <f t="shared" si="125"/>
        <v>13820</v>
      </c>
      <c r="B3328" s="1" t="str">
        <f>"35906"</f>
        <v>35906</v>
      </c>
      <c r="C3328" s="2">
        <v>3.8911538155416199E-5</v>
      </c>
      <c r="D3328" s="2">
        <v>0</v>
      </c>
      <c r="E3328" s="2">
        <v>0</v>
      </c>
      <c r="F3328" s="2">
        <v>3.4501036599326902E-5</v>
      </c>
    </row>
    <row r="3329" spans="1:6" x14ac:dyDescent="0.25">
      <c r="A3329" s="1" t="str">
        <f t="shared" si="125"/>
        <v>13820</v>
      </c>
      <c r="B3329" s="1" t="str">
        <f>"35295"</f>
        <v>35295</v>
      </c>
      <c r="C3329" s="2">
        <v>0</v>
      </c>
      <c r="D3329" s="2">
        <v>0</v>
      </c>
      <c r="E3329" s="2">
        <v>5.9783583427990598E-5</v>
      </c>
      <c r="F3329" s="2">
        <v>1.56822893633304E-6</v>
      </c>
    </row>
    <row r="3330" spans="1:6" x14ac:dyDescent="0.25">
      <c r="A3330" s="1" t="str">
        <f t="shared" si="125"/>
        <v>13820</v>
      </c>
      <c r="B3330" s="1" t="str">
        <f>"35255"</f>
        <v>35255</v>
      </c>
      <c r="C3330" s="2">
        <v>1.2699311088903999E-3</v>
      </c>
      <c r="D3330" s="2">
        <v>2.8442844284428401E-3</v>
      </c>
      <c r="E3330" s="2">
        <v>5.9783583427990598E-5</v>
      </c>
      <c r="F3330" s="2">
        <v>1.3753367771640701E-3</v>
      </c>
    </row>
    <row r="3331" spans="1:6" x14ac:dyDescent="0.25">
      <c r="A3331" s="1" t="str">
        <f t="shared" si="125"/>
        <v>13820</v>
      </c>
      <c r="B3331" s="1" t="str">
        <f>"35052"</f>
        <v>35052</v>
      </c>
      <c r="C3331" s="2">
        <v>0</v>
      </c>
      <c r="D3331" s="2">
        <v>1.8001800180017999E-5</v>
      </c>
      <c r="E3331" s="2">
        <v>0</v>
      </c>
      <c r="F3331" s="2">
        <v>1.56822893633304E-6</v>
      </c>
    </row>
    <row r="3332" spans="1:6" x14ac:dyDescent="0.25">
      <c r="A3332" s="1" t="str">
        <f t="shared" si="125"/>
        <v>13820</v>
      </c>
      <c r="B3332" s="1" t="str">
        <f>"35229"</f>
        <v>35229</v>
      </c>
      <c r="C3332" s="2">
        <v>0</v>
      </c>
      <c r="D3332" s="2">
        <v>0</v>
      </c>
      <c r="E3332" s="2">
        <v>5.9783583427990598E-5</v>
      </c>
      <c r="F3332" s="2">
        <v>1.56822893633304E-6</v>
      </c>
    </row>
    <row r="3333" spans="1:6" x14ac:dyDescent="0.25">
      <c r="A3333" s="1" t="str">
        <f t="shared" si="125"/>
        <v>13820</v>
      </c>
      <c r="B3333" s="1" t="str">
        <f>"35074"</f>
        <v>35074</v>
      </c>
      <c r="C3333" s="2">
        <v>0</v>
      </c>
      <c r="D3333" s="2">
        <v>1.8001800180017999E-5</v>
      </c>
      <c r="E3333" s="2">
        <v>0</v>
      </c>
      <c r="F3333" s="2">
        <v>1.56822893633304E-6</v>
      </c>
    </row>
    <row r="3334" spans="1:6" x14ac:dyDescent="0.25">
      <c r="A3334" s="1" t="str">
        <f t="shared" si="125"/>
        <v>13820</v>
      </c>
      <c r="B3334" s="1" t="str">
        <f>"35148"</f>
        <v>35148</v>
      </c>
      <c r="C3334" s="2">
        <v>6.89795449118742E-5</v>
      </c>
      <c r="D3334" s="2">
        <v>0</v>
      </c>
      <c r="E3334" s="2">
        <v>0</v>
      </c>
      <c r="F3334" s="2">
        <v>6.1160928516988601E-5</v>
      </c>
    </row>
    <row r="3335" spans="1:6" x14ac:dyDescent="0.25">
      <c r="A3335" s="1" t="str">
        <f t="shared" si="125"/>
        <v>13820</v>
      </c>
      <c r="B3335" s="1" t="str">
        <f>"35238"</f>
        <v>35238</v>
      </c>
      <c r="C3335" s="2">
        <v>1.7421756855947701E-3</v>
      </c>
      <c r="D3335" s="2">
        <v>9.0009000900089994E-3</v>
      </c>
      <c r="E3335" s="2">
        <v>1.1956716685598101E-4</v>
      </c>
      <c r="F3335" s="2">
        <v>2.3319564283272301E-3</v>
      </c>
    </row>
    <row r="3336" spans="1:6" x14ac:dyDescent="0.25">
      <c r="A3336" s="1" t="str">
        <f t="shared" si="125"/>
        <v>13820</v>
      </c>
      <c r="B3336" s="1" t="str">
        <f>"36790"</f>
        <v>36790</v>
      </c>
      <c r="C3336" s="2">
        <v>2.19319578694164E-4</v>
      </c>
      <c r="D3336" s="2">
        <v>1.8001800180017999E-5</v>
      </c>
      <c r="E3336" s="2">
        <v>0</v>
      </c>
      <c r="F3336" s="2">
        <v>1.9602861704163E-4</v>
      </c>
    </row>
    <row r="3337" spans="1:6" x14ac:dyDescent="0.25">
      <c r="A3337" s="1" t="str">
        <f t="shared" si="125"/>
        <v>13820</v>
      </c>
      <c r="B3337" s="1" t="str">
        <f>"35073"</f>
        <v>35073</v>
      </c>
      <c r="C3337" s="2">
        <v>2.48503232310726E-3</v>
      </c>
      <c r="D3337" s="2">
        <v>1.76417641764176E-3</v>
      </c>
      <c r="E3337" s="2">
        <v>1.7935075028397199E-4</v>
      </c>
      <c r="F3337" s="2">
        <v>2.3617527781175599E-3</v>
      </c>
    </row>
    <row r="3338" spans="1:6" x14ac:dyDescent="0.25">
      <c r="A3338" s="1" t="str">
        <f t="shared" si="125"/>
        <v>13820</v>
      </c>
      <c r="B3338" s="1" t="str">
        <f>"35048"</f>
        <v>35048</v>
      </c>
      <c r="C3338" s="2">
        <v>6.42040379564367E-4</v>
      </c>
      <c r="D3338" s="2">
        <v>2.1242124212421201E-3</v>
      </c>
      <c r="E3338" s="2">
        <v>1.1956716685598101E-4</v>
      </c>
      <c r="F3338" s="2">
        <v>7.5745457624885903E-4</v>
      </c>
    </row>
    <row r="3339" spans="1:6" x14ac:dyDescent="0.25">
      <c r="A3339" s="1" t="str">
        <f t="shared" si="125"/>
        <v>13820</v>
      </c>
      <c r="B3339" s="1" t="str">
        <f>"35063"</f>
        <v>35063</v>
      </c>
      <c r="C3339" s="2">
        <v>6.2965943560582601E-4</v>
      </c>
      <c r="D3339" s="2">
        <v>1.9801980198019801E-4</v>
      </c>
      <c r="E3339" s="2">
        <v>1.7935075028397199E-4</v>
      </c>
      <c r="F3339" s="2">
        <v>5.8024470644322504E-4</v>
      </c>
    </row>
    <row r="3340" spans="1:6" x14ac:dyDescent="0.25">
      <c r="A3340" s="1" t="str">
        <f t="shared" si="125"/>
        <v>13820</v>
      </c>
      <c r="B3340" s="1" t="str">
        <f>"35068"</f>
        <v>35068</v>
      </c>
      <c r="C3340" s="2">
        <v>7.6514233663786601E-3</v>
      </c>
      <c r="D3340" s="2">
        <v>4.1764176417641704E-3</v>
      </c>
      <c r="E3340" s="2">
        <v>6.9946792610748997E-3</v>
      </c>
      <c r="F3340" s="2">
        <v>7.33147027735696E-3</v>
      </c>
    </row>
    <row r="3341" spans="1:6" x14ac:dyDescent="0.25">
      <c r="A3341" s="1" t="str">
        <f t="shared" si="125"/>
        <v>13820</v>
      </c>
      <c r="B3341" s="1" t="str">
        <f>"35022"</f>
        <v>35022</v>
      </c>
      <c r="C3341" s="2">
        <v>1.9965156486288101E-2</v>
      </c>
      <c r="D3341" s="2">
        <v>1.5553555355535501E-2</v>
      </c>
      <c r="E3341" s="2">
        <v>7.8914330124947602E-3</v>
      </c>
      <c r="F3341" s="2">
        <v>1.9264124253915001E-2</v>
      </c>
    </row>
    <row r="3342" spans="1:6" x14ac:dyDescent="0.25">
      <c r="A3342" s="1" t="str">
        <f t="shared" si="125"/>
        <v>13820</v>
      </c>
      <c r="B3342" s="1" t="str">
        <f>"35114"</f>
        <v>35114</v>
      </c>
      <c r="C3342" s="2">
        <v>5.2990440142557703E-3</v>
      </c>
      <c r="D3342" s="2">
        <v>2.7002700270027002E-4</v>
      </c>
      <c r="E3342" s="2">
        <v>8.9675375141985995E-4</v>
      </c>
      <c r="F3342" s="2">
        <v>4.7454607613437796E-3</v>
      </c>
    </row>
    <row r="3343" spans="1:6" x14ac:dyDescent="0.25">
      <c r="A3343" s="1" t="str">
        <f t="shared" si="125"/>
        <v>13820</v>
      </c>
      <c r="B3343" s="1" t="str">
        <f>"35224"</f>
        <v>35224</v>
      </c>
      <c r="C3343" s="2">
        <v>5.6757784518513899E-3</v>
      </c>
      <c r="D3343" s="2">
        <v>3.6363636363636299E-3</v>
      </c>
      <c r="E3343" s="2">
        <v>5.9783583427990602E-4</v>
      </c>
      <c r="F3343" s="2">
        <v>5.3649111911953304E-3</v>
      </c>
    </row>
    <row r="3344" spans="1:6" x14ac:dyDescent="0.25">
      <c r="A3344" s="1" t="str">
        <f t="shared" si="125"/>
        <v>13820</v>
      </c>
      <c r="B3344" s="1" t="str">
        <f>"35259"</f>
        <v>35259</v>
      </c>
      <c r="C3344" s="2">
        <v>8.1183618242436503E-4</v>
      </c>
      <c r="D3344" s="2">
        <v>5.2205220522052202E-3</v>
      </c>
      <c r="E3344" s="2">
        <v>1.1956716685598101E-4</v>
      </c>
      <c r="F3344" s="2">
        <v>1.1777399311861099E-3</v>
      </c>
    </row>
    <row r="3345" spans="1:6" x14ac:dyDescent="0.25">
      <c r="A3345" s="1" t="str">
        <f t="shared" si="125"/>
        <v>13820</v>
      </c>
      <c r="B3345" s="1" t="str">
        <f>"35128"</f>
        <v>35128</v>
      </c>
      <c r="C3345" s="2">
        <v>9.6818981755794706E-3</v>
      </c>
      <c r="D3345" s="2">
        <v>5.6885688568856802E-3</v>
      </c>
      <c r="E3345" s="2">
        <v>4.1250672565313496E-3</v>
      </c>
      <c r="F3345" s="2">
        <v>9.1882533379752905E-3</v>
      </c>
    </row>
    <row r="3346" spans="1:6" x14ac:dyDescent="0.25">
      <c r="A3346" s="1" t="str">
        <f t="shared" si="125"/>
        <v>13820</v>
      </c>
      <c r="B3346" s="1" t="str">
        <f>"35266"</f>
        <v>35266</v>
      </c>
      <c r="C3346" s="2">
        <v>1.05414894275582E-3</v>
      </c>
      <c r="D3346" s="2">
        <v>5.7425742574257399E-3</v>
      </c>
      <c r="E3346" s="2">
        <v>1.1956716685598101E-4</v>
      </c>
      <c r="F3346" s="2">
        <v>1.4380659346173901E-3</v>
      </c>
    </row>
    <row r="3347" spans="1:6" x14ac:dyDescent="0.25">
      <c r="A3347" s="1" t="str">
        <f t="shared" si="125"/>
        <v>13820</v>
      </c>
      <c r="B3347" s="1" t="str">
        <f>"35094"</f>
        <v>35094</v>
      </c>
      <c r="C3347" s="2">
        <v>1.2626794131432501E-2</v>
      </c>
      <c r="D3347" s="2">
        <v>1.31953195319531E-2</v>
      </c>
      <c r="E3347" s="2">
        <v>6.57619417707897E-3</v>
      </c>
      <c r="F3347" s="2">
        <v>1.2517603369810301E-2</v>
      </c>
    </row>
    <row r="3348" spans="1:6" x14ac:dyDescent="0.25">
      <c r="A3348" s="1" t="str">
        <f t="shared" si="125"/>
        <v>13820</v>
      </c>
      <c r="B3348" s="1" t="str">
        <f>"35126"</f>
        <v>35126</v>
      </c>
      <c r="C3348" s="2">
        <v>1.6675362805875601E-2</v>
      </c>
      <c r="D3348" s="2">
        <v>6.8946894689468899E-3</v>
      </c>
      <c r="E3348" s="2">
        <v>1.9728582531236901E-3</v>
      </c>
      <c r="F3348" s="2">
        <v>1.5437645649262401E-2</v>
      </c>
    </row>
    <row r="3349" spans="1:6" x14ac:dyDescent="0.25">
      <c r="A3349" s="1" t="str">
        <f t="shared" si="125"/>
        <v>13820</v>
      </c>
      <c r="B3349" s="1" t="str">
        <f>"35049"</f>
        <v>35049</v>
      </c>
      <c r="C3349" s="2">
        <v>3.31455556832954E-3</v>
      </c>
      <c r="D3349" s="2">
        <v>1.4401440144014401E-3</v>
      </c>
      <c r="E3349" s="2">
        <v>4.1848508399593398E-4</v>
      </c>
      <c r="F3349" s="2">
        <v>3.07529694414909E-3</v>
      </c>
    </row>
    <row r="3350" spans="1:6" x14ac:dyDescent="0.25">
      <c r="A3350" s="1" t="str">
        <f t="shared" si="125"/>
        <v>13820</v>
      </c>
      <c r="B3350" s="1" t="str">
        <f>"35005"</f>
        <v>35005</v>
      </c>
      <c r="C3350" s="2">
        <v>6.73877092600617E-3</v>
      </c>
      <c r="D3350" s="2">
        <v>3.0783078307830701E-3</v>
      </c>
      <c r="E3350" s="2">
        <v>9.5653733484785E-4</v>
      </c>
      <c r="F3350" s="2">
        <v>6.2682110585231604E-3</v>
      </c>
    </row>
    <row r="3351" spans="1:6" x14ac:dyDescent="0.25">
      <c r="A3351" s="1" t="str">
        <f t="shared" si="125"/>
        <v>13820</v>
      </c>
      <c r="B3351" s="1" t="str">
        <f>"35006"</f>
        <v>35006</v>
      </c>
      <c r="C3351" s="2">
        <v>3.3853038195212101E-3</v>
      </c>
      <c r="D3351" s="2">
        <v>1.02610261026102E-3</v>
      </c>
      <c r="E3351" s="2">
        <v>3.5870150056794398E-4</v>
      </c>
      <c r="F3351" s="2">
        <v>3.1003886071304201E-3</v>
      </c>
    </row>
    <row r="3352" spans="1:6" x14ac:dyDescent="0.25">
      <c r="A3352" s="1" t="str">
        <f t="shared" si="125"/>
        <v>13820</v>
      </c>
      <c r="B3352" s="1" t="str">
        <f>"35236"</f>
        <v>35236</v>
      </c>
      <c r="C3352" s="2">
        <v>2.29754945744934E-3</v>
      </c>
      <c r="D3352" s="2">
        <v>8.7488748874887407E-3</v>
      </c>
      <c r="E3352" s="2">
        <v>1.1956716685598101E-4</v>
      </c>
      <c r="F3352" s="2">
        <v>2.8024251092271398E-3</v>
      </c>
    </row>
    <row r="3353" spans="1:6" x14ac:dyDescent="0.25">
      <c r="A3353" s="1" t="str">
        <f t="shared" si="125"/>
        <v>13820</v>
      </c>
      <c r="B3353" s="1" t="str">
        <f>"35127"</f>
        <v>35127</v>
      </c>
      <c r="C3353" s="2">
        <v>8.3801303536528201E-3</v>
      </c>
      <c r="D3353" s="2">
        <v>3.3483348334833402E-3</v>
      </c>
      <c r="E3353" s="2">
        <v>1.61415675255574E-3</v>
      </c>
      <c r="F3353" s="2">
        <v>7.7643014637848798E-3</v>
      </c>
    </row>
    <row r="3354" spans="1:6" x14ac:dyDescent="0.25">
      <c r="A3354" s="1" t="str">
        <f t="shared" si="125"/>
        <v>13820</v>
      </c>
      <c r="B3354" s="1" t="str">
        <f>"35135"</f>
        <v>35135</v>
      </c>
      <c r="C3354" s="2">
        <v>1.70149544115956E-3</v>
      </c>
      <c r="D3354" s="2">
        <v>7.3807380738073801E-4</v>
      </c>
      <c r="E3354" s="2">
        <v>0</v>
      </c>
      <c r="F3354" s="2">
        <v>1.57293362314204E-3</v>
      </c>
    </row>
    <row r="3355" spans="1:6" x14ac:dyDescent="0.25">
      <c r="A3355" s="1" t="str">
        <f t="shared" si="125"/>
        <v>13820</v>
      </c>
      <c r="B3355" s="1" t="str">
        <f>"35186"</f>
        <v>35186</v>
      </c>
      <c r="C3355" s="2">
        <v>4.3457113294480699E-3</v>
      </c>
      <c r="D3355" s="2">
        <v>9.0009000900090005E-4</v>
      </c>
      <c r="E3355" s="2">
        <v>1.2554552519877999E-3</v>
      </c>
      <c r="F3355" s="2">
        <v>3.9644827510499202E-3</v>
      </c>
    </row>
    <row r="3356" spans="1:6" x14ac:dyDescent="0.25">
      <c r="A3356" s="1" t="str">
        <f t="shared" si="125"/>
        <v>13820</v>
      </c>
      <c r="B3356" s="1" t="str">
        <f>"35133"</f>
        <v>35133</v>
      </c>
      <c r="C3356" s="2">
        <v>3.53918126586308E-3</v>
      </c>
      <c r="D3356" s="2">
        <v>8.8208820882088197E-4</v>
      </c>
      <c r="E3356" s="2">
        <v>9.5653733484785E-4</v>
      </c>
      <c r="F3356" s="2">
        <v>3.2399609824640598E-3</v>
      </c>
    </row>
    <row r="3357" spans="1:6" x14ac:dyDescent="0.25">
      <c r="A3357" s="1" t="str">
        <f t="shared" ref="A3357:A3388" si="126">"13820"</f>
        <v>13820</v>
      </c>
      <c r="B3357" s="1" t="str">
        <f>"35217"</f>
        <v>35217</v>
      </c>
      <c r="C3357" s="2">
        <v>1.32405352105202E-2</v>
      </c>
      <c r="D3357" s="2">
        <v>1.5859585958595799E-2</v>
      </c>
      <c r="E3357" s="2">
        <v>6.6957613439349497E-3</v>
      </c>
      <c r="F3357" s="2">
        <v>1.32970131511678E-2</v>
      </c>
    </row>
    <row r="3358" spans="1:6" x14ac:dyDescent="0.25">
      <c r="A3358" s="1" t="str">
        <f t="shared" si="126"/>
        <v>13820</v>
      </c>
      <c r="B3358" s="1" t="str">
        <f>"36793"</f>
        <v>36793</v>
      </c>
      <c r="C3358" s="2">
        <v>5.6244859697374301E-4</v>
      </c>
      <c r="D3358" s="2">
        <v>7.2007200720071996E-5</v>
      </c>
      <c r="E3358" s="2">
        <v>5.9783583427990602E-4</v>
      </c>
      <c r="F3358" s="2">
        <v>5.2065200686256903E-4</v>
      </c>
    </row>
    <row r="3359" spans="1:6" x14ac:dyDescent="0.25">
      <c r="A3359" s="1" t="str">
        <f t="shared" si="126"/>
        <v>13820</v>
      </c>
      <c r="B3359" s="1" t="str">
        <f>"35015"</f>
        <v>35015</v>
      </c>
      <c r="C3359" s="2">
        <v>0</v>
      </c>
      <c r="D3359" s="2">
        <v>1.8001800180017999E-5</v>
      </c>
      <c r="E3359" s="2">
        <v>0</v>
      </c>
      <c r="F3359" s="2">
        <v>1.56822893633304E-6</v>
      </c>
    </row>
    <row r="3360" spans="1:6" x14ac:dyDescent="0.25">
      <c r="A3360" s="1" t="str">
        <f t="shared" si="126"/>
        <v>13820</v>
      </c>
      <c r="B3360" s="1" t="str">
        <f>"35054"</f>
        <v>35054</v>
      </c>
      <c r="C3360" s="2">
        <v>4.1723781140284898E-3</v>
      </c>
      <c r="D3360" s="2">
        <v>1.87218721872187E-3</v>
      </c>
      <c r="E3360" s="2">
        <v>1.0163209182758399E-3</v>
      </c>
      <c r="F3360" s="2">
        <v>3.88920776210594E-3</v>
      </c>
    </row>
    <row r="3361" spans="1:6" x14ac:dyDescent="0.25">
      <c r="A3361" s="1" t="str">
        <f t="shared" si="126"/>
        <v>13820</v>
      </c>
      <c r="B3361" s="1" t="str">
        <f>"35080"</f>
        <v>35080</v>
      </c>
      <c r="C3361" s="2">
        <v>1.3836589226809999E-2</v>
      </c>
      <c r="D3361" s="2">
        <v>9.0549054905490495E-3</v>
      </c>
      <c r="E3361" s="2">
        <v>1.9728582531236901E-3</v>
      </c>
      <c r="F3361" s="2">
        <v>1.3108825678807799E-2</v>
      </c>
    </row>
    <row r="3362" spans="1:6" x14ac:dyDescent="0.25">
      <c r="A3362" s="1" t="str">
        <f t="shared" si="126"/>
        <v>13820</v>
      </c>
      <c r="B3362" s="1" t="str">
        <f>"35023"</f>
        <v>35023</v>
      </c>
      <c r="C3362" s="2">
        <v>2.0734543717997399E-2</v>
      </c>
      <c r="D3362" s="2">
        <v>1.6615661566156601E-2</v>
      </c>
      <c r="E3362" s="2">
        <v>5.7990075925150901E-3</v>
      </c>
      <c r="F3362" s="2">
        <v>1.9983941335691899E-2</v>
      </c>
    </row>
    <row r="3363" spans="1:6" x14ac:dyDescent="0.25">
      <c r="A3363" s="1" t="str">
        <f t="shared" si="126"/>
        <v>13820</v>
      </c>
      <c r="B3363" s="1" t="str">
        <f>"35031"</f>
        <v>35031</v>
      </c>
      <c r="C3363" s="2">
        <v>6.87849872210971E-3</v>
      </c>
      <c r="D3363" s="2">
        <v>1.9441944194419399E-3</v>
      </c>
      <c r="E3363" s="2">
        <v>6.3968434267949997E-3</v>
      </c>
      <c r="F3363" s="2">
        <v>6.4360115547108E-3</v>
      </c>
    </row>
    <row r="3364" spans="1:6" x14ac:dyDescent="0.25">
      <c r="A3364" s="1" t="str">
        <f t="shared" si="126"/>
        <v>13820</v>
      </c>
      <c r="B3364" s="1" t="str">
        <f>"35121"</f>
        <v>35121</v>
      </c>
      <c r="C3364" s="2">
        <v>1.31379502462923E-2</v>
      </c>
      <c r="D3364" s="2">
        <v>1.3033303330333E-2</v>
      </c>
      <c r="E3364" s="2">
        <v>1.0222992766186399E-2</v>
      </c>
      <c r="F3364" s="2">
        <v>1.3052369437099901E-2</v>
      </c>
    </row>
    <row r="3365" spans="1:6" x14ac:dyDescent="0.25">
      <c r="A3365" s="1" t="str">
        <f t="shared" si="126"/>
        <v>13820</v>
      </c>
      <c r="B3365" s="1" t="str">
        <f>"35124"</f>
        <v>35124</v>
      </c>
      <c r="C3365" s="2">
        <v>2.1507468362266399E-2</v>
      </c>
      <c r="D3365" s="2">
        <v>3.7731773177317698E-2</v>
      </c>
      <c r="E3365" s="2">
        <v>1.10599629341782E-2</v>
      </c>
      <c r="F3365" s="2">
        <v>2.2646794069585401E-2</v>
      </c>
    </row>
    <row r="3366" spans="1:6" x14ac:dyDescent="0.25">
      <c r="A3366" s="1" t="str">
        <f t="shared" si="126"/>
        <v>13820</v>
      </c>
      <c r="B3366" s="1" t="str">
        <f>"35244"</f>
        <v>35244</v>
      </c>
      <c r="C3366" s="2">
        <v>2.74061038053715E-2</v>
      </c>
      <c r="D3366" s="2">
        <v>4.0198019801980102E-2</v>
      </c>
      <c r="E3366" s="2">
        <v>2.6185209541459899E-2</v>
      </c>
      <c r="F3366" s="2">
        <v>2.8488446857425999E-2</v>
      </c>
    </row>
    <row r="3367" spans="1:6" x14ac:dyDescent="0.25">
      <c r="A3367" s="1" t="str">
        <f t="shared" si="126"/>
        <v>13820</v>
      </c>
      <c r="B3367" s="1" t="str">
        <f>"35228"</f>
        <v>35228</v>
      </c>
      <c r="C3367" s="2">
        <v>9.9790408305844604E-3</v>
      </c>
      <c r="D3367" s="2">
        <v>6.1026102610260997E-3</v>
      </c>
      <c r="E3367" s="2">
        <v>2.45112692054761E-3</v>
      </c>
      <c r="F3367" s="2">
        <v>9.4438746545975703E-3</v>
      </c>
    </row>
    <row r="3368" spans="1:6" x14ac:dyDescent="0.25">
      <c r="A3368" s="1" t="str">
        <f t="shared" si="126"/>
        <v>13820</v>
      </c>
      <c r="B3368" s="1" t="str">
        <f>"35226"</f>
        <v>35226</v>
      </c>
      <c r="C3368" s="2">
        <v>2.8060525128894401E-2</v>
      </c>
      <c r="D3368" s="2">
        <v>1.0045004500450001E-2</v>
      </c>
      <c r="E3368" s="2">
        <v>1.75763735278292E-2</v>
      </c>
      <c r="F3368" s="2">
        <v>2.6216083128679402E-2</v>
      </c>
    </row>
    <row r="3369" spans="1:6" x14ac:dyDescent="0.25">
      <c r="A3369" s="1" t="str">
        <f t="shared" si="126"/>
        <v>13820</v>
      </c>
      <c r="B3369" s="1" t="str">
        <f>"35203"</f>
        <v>35203</v>
      </c>
      <c r="C3369" s="2">
        <v>4.1157795130751596E-3</v>
      </c>
      <c r="D3369" s="2">
        <v>5.0441044104410401E-2</v>
      </c>
      <c r="E3369" s="2">
        <v>2.3973216954624201E-2</v>
      </c>
      <c r="F3369" s="2">
        <v>8.6723060179217208E-3</v>
      </c>
    </row>
    <row r="3370" spans="1:6" x14ac:dyDescent="0.25">
      <c r="A3370" s="1" t="str">
        <f t="shared" si="126"/>
        <v>13820</v>
      </c>
      <c r="B3370" s="1" t="str">
        <f>"35205"</f>
        <v>35205</v>
      </c>
      <c r="C3370" s="2">
        <v>2.3412365025602001E-2</v>
      </c>
      <c r="D3370" s="2">
        <v>2.1278127812781201E-2</v>
      </c>
      <c r="E3370" s="2">
        <v>8.7642733305434303E-2</v>
      </c>
      <c r="F3370" s="2">
        <v>2.49113166536503E-2</v>
      </c>
    </row>
    <row r="3371" spans="1:6" x14ac:dyDescent="0.25">
      <c r="A3371" s="1" t="str">
        <f t="shared" si="126"/>
        <v>13820</v>
      </c>
      <c r="B3371" s="1" t="str">
        <f>"35209"</f>
        <v>35209</v>
      </c>
      <c r="C3371" s="2">
        <v>2.6836580383278599E-2</v>
      </c>
      <c r="D3371" s="2">
        <v>6.1422142214221397E-2</v>
      </c>
      <c r="E3371" s="2">
        <v>0.12733903270162</v>
      </c>
      <c r="F3371" s="2">
        <v>3.2485862416138898E-2</v>
      </c>
    </row>
    <row r="3372" spans="1:6" x14ac:dyDescent="0.25">
      <c r="A3372" s="1" t="str">
        <f t="shared" si="126"/>
        <v>13820</v>
      </c>
      <c r="B3372" s="1" t="str">
        <f>"35184"</f>
        <v>35184</v>
      </c>
      <c r="C3372" s="2">
        <v>4.7985001370747299E-3</v>
      </c>
      <c r="D3372" s="2">
        <v>1.29612961296129E-3</v>
      </c>
      <c r="E3372" s="2">
        <v>1.55437316912775E-3</v>
      </c>
      <c r="F3372" s="2">
        <v>4.4082915400321804E-3</v>
      </c>
    </row>
    <row r="3373" spans="1:6" x14ac:dyDescent="0.25">
      <c r="A3373" s="1" t="str">
        <f t="shared" si="126"/>
        <v>13820</v>
      </c>
      <c r="B3373" s="1" t="str">
        <f>"35211"</f>
        <v>35211</v>
      </c>
      <c r="C3373" s="2">
        <v>2.9721340325618802E-2</v>
      </c>
      <c r="D3373" s="2">
        <v>1.9207920792079201E-2</v>
      </c>
      <c r="E3373" s="2">
        <v>5.5240031087463302E-2</v>
      </c>
      <c r="F3373" s="2">
        <v>2.94748628583795E-2</v>
      </c>
    </row>
    <row r="3374" spans="1:6" x14ac:dyDescent="0.25">
      <c r="A3374" s="1" t="str">
        <f t="shared" si="126"/>
        <v>13820</v>
      </c>
      <c r="B3374" s="1" t="str">
        <f>"35210"</f>
        <v>35210</v>
      </c>
      <c r="C3374" s="2">
        <v>1.4059446218063701E-2</v>
      </c>
      <c r="D3374" s="2">
        <v>2.6876687668766799E-2</v>
      </c>
      <c r="E3374" s="2">
        <v>1.9907933281520799E-2</v>
      </c>
      <c r="F3374" s="2">
        <v>1.5329437852655401E-2</v>
      </c>
    </row>
    <row r="3375" spans="1:6" x14ac:dyDescent="0.25">
      <c r="A3375" s="1" t="str">
        <f t="shared" si="126"/>
        <v>13820</v>
      </c>
      <c r="B3375" s="1" t="str">
        <f>"35112"</f>
        <v>35112</v>
      </c>
      <c r="C3375" s="2">
        <v>0</v>
      </c>
      <c r="D3375" s="2">
        <v>1.8001800180017999E-5</v>
      </c>
      <c r="E3375" s="2">
        <v>0</v>
      </c>
      <c r="F3375" s="2">
        <v>1.56822893633304E-6</v>
      </c>
    </row>
    <row r="3376" spans="1:6" x14ac:dyDescent="0.25">
      <c r="A3376" s="1" t="str">
        <f t="shared" si="126"/>
        <v>13820</v>
      </c>
      <c r="B3376" s="1" t="str">
        <f>"35903"</f>
        <v>35903</v>
      </c>
      <c r="C3376" s="2">
        <v>1.5918356518124798E-5</v>
      </c>
      <c r="D3376" s="2">
        <v>0</v>
      </c>
      <c r="E3376" s="2">
        <v>0</v>
      </c>
      <c r="F3376" s="2">
        <v>1.4114060426997299E-5</v>
      </c>
    </row>
    <row r="3377" spans="1:6" x14ac:dyDescent="0.25">
      <c r="A3377" s="1" t="str">
        <f t="shared" si="126"/>
        <v>13820</v>
      </c>
      <c r="B3377" s="1" t="str">
        <f>"35181"</f>
        <v>35181</v>
      </c>
      <c r="C3377" s="2">
        <v>1.7687062797916401E-6</v>
      </c>
      <c r="D3377" s="2">
        <v>1.8001800180017999E-5</v>
      </c>
      <c r="E3377" s="2">
        <v>0</v>
      </c>
      <c r="F3377" s="2">
        <v>3.1364578726660801E-6</v>
      </c>
    </row>
    <row r="3378" spans="1:6" x14ac:dyDescent="0.25">
      <c r="A3378" s="1" t="str">
        <f t="shared" si="126"/>
        <v>13820</v>
      </c>
      <c r="B3378" s="1" t="str">
        <f>"35137"</f>
        <v>35137</v>
      </c>
      <c r="C3378" s="2">
        <v>0</v>
      </c>
      <c r="D3378" s="2">
        <v>1.8001800180017999E-5</v>
      </c>
      <c r="E3378" s="2">
        <v>0</v>
      </c>
      <c r="F3378" s="2">
        <v>1.56822893633304E-6</v>
      </c>
    </row>
    <row r="3379" spans="1:6" x14ac:dyDescent="0.25">
      <c r="A3379" s="1" t="str">
        <f t="shared" si="126"/>
        <v>13820</v>
      </c>
      <c r="B3379" s="1" t="str">
        <f>"35972"</f>
        <v>35972</v>
      </c>
      <c r="C3379" s="2">
        <v>2.6707464824853798E-4</v>
      </c>
      <c r="D3379" s="2">
        <v>5.4005400540054E-5</v>
      </c>
      <c r="E3379" s="2">
        <v>0</v>
      </c>
      <c r="F3379" s="2">
        <v>2.4150725619528801E-4</v>
      </c>
    </row>
    <row r="3380" spans="1:6" x14ac:dyDescent="0.25">
      <c r="A3380" s="1" t="str">
        <f t="shared" si="126"/>
        <v>13820</v>
      </c>
      <c r="B3380" s="1" t="str">
        <f>"35987"</f>
        <v>35987</v>
      </c>
      <c r="C3380" s="2">
        <v>2.7202702583195501E-3</v>
      </c>
      <c r="D3380" s="2">
        <v>1.9801980198019798E-3</v>
      </c>
      <c r="E3380" s="2">
        <v>2.9891791713995301E-4</v>
      </c>
      <c r="F3380" s="2">
        <v>2.59228243175851E-3</v>
      </c>
    </row>
    <row r="3381" spans="1:6" x14ac:dyDescent="0.25">
      <c r="A3381" s="1" t="str">
        <f t="shared" si="126"/>
        <v>13820</v>
      </c>
      <c r="B3381" s="1" t="str">
        <f>"35051"</f>
        <v>35051</v>
      </c>
      <c r="C3381" s="2">
        <v>6.78829470184033E-3</v>
      </c>
      <c r="D3381" s="2">
        <v>4.0684068406840598E-3</v>
      </c>
      <c r="E3381" s="2">
        <v>3.52723142225144E-3</v>
      </c>
      <c r="F3381" s="2">
        <v>6.4658079045011299E-3</v>
      </c>
    </row>
    <row r="3382" spans="1:6" x14ac:dyDescent="0.25">
      <c r="A3382" s="1" t="str">
        <f t="shared" si="126"/>
        <v>13820</v>
      </c>
      <c r="B3382" s="1" t="str">
        <f>"35046"</f>
        <v>35046</v>
      </c>
      <c r="C3382" s="2">
        <v>5.4069350973230601E-3</v>
      </c>
      <c r="D3382" s="2">
        <v>1.5841584158415799E-3</v>
      </c>
      <c r="E3382" s="2">
        <v>4.1848508399593398E-4</v>
      </c>
      <c r="F3382" s="2">
        <v>4.9430576073217396E-3</v>
      </c>
    </row>
    <row r="3383" spans="1:6" x14ac:dyDescent="0.25">
      <c r="A3383" s="1" t="str">
        <f t="shared" si="126"/>
        <v>13820</v>
      </c>
      <c r="B3383" s="1" t="str">
        <f>"35078"</f>
        <v>35078</v>
      </c>
      <c r="C3383" s="2">
        <v>1.85183547494185E-3</v>
      </c>
      <c r="D3383" s="2">
        <v>1.3321332133213301E-3</v>
      </c>
      <c r="E3383" s="2">
        <v>5.3805225085191597E-4</v>
      </c>
      <c r="F3383" s="2">
        <v>1.7720986980563299E-3</v>
      </c>
    </row>
    <row r="3384" spans="1:6" x14ac:dyDescent="0.25">
      <c r="A3384" s="1" t="str">
        <f t="shared" si="126"/>
        <v>13820</v>
      </c>
      <c r="B3384" s="1" t="str">
        <f>"35097"</f>
        <v>35097</v>
      </c>
      <c r="C3384" s="2">
        <v>1.4043527861545601E-3</v>
      </c>
      <c r="D3384" s="2">
        <v>1.02610261026102E-3</v>
      </c>
      <c r="E3384" s="2">
        <v>4.78268667423925E-4</v>
      </c>
      <c r="F3384" s="2">
        <v>1.3471086563100799E-3</v>
      </c>
    </row>
    <row r="3385" spans="1:6" x14ac:dyDescent="0.25">
      <c r="A3385" s="1" t="str">
        <f t="shared" si="126"/>
        <v>13820</v>
      </c>
      <c r="B3385" s="1" t="str">
        <f>"35115"</f>
        <v>35115</v>
      </c>
      <c r="C3385" s="2">
        <v>1.2327882770147699E-2</v>
      </c>
      <c r="D3385" s="2">
        <v>5.0225022502250203E-3</v>
      </c>
      <c r="E3385" s="2">
        <v>1.51850301907096E-2</v>
      </c>
      <c r="F3385" s="2">
        <v>1.17664217093068E-2</v>
      </c>
    </row>
    <row r="3386" spans="1:6" x14ac:dyDescent="0.25">
      <c r="A3386" s="1" t="str">
        <f t="shared" si="126"/>
        <v>13820</v>
      </c>
      <c r="B3386" s="1" t="str">
        <f>"35111"</f>
        <v>35111</v>
      </c>
      <c r="C3386" s="2">
        <v>6.2063903357888802E-3</v>
      </c>
      <c r="D3386" s="2">
        <v>2.8982898289828898E-3</v>
      </c>
      <c r="E3386" s="2">
        <v>1.31523883541579E-3</v>
      </c>
      <c r="F3386" s="2">
        <v>5.7899012329415802E-3</v>
      </c>
    </row>
    <row r="3387" spans="1:6" x14ac:dyDescent="0.25">
      <c r="A3387" s="1" t="str">
        <f t="shared" si="126"/>
        <v>13820</v>
      </c>
      <c r="B3387" s="1" t="str">
        <f>"35180"</f>
        <v>35180</v>
      </c>
      <c r="C3387" s="2">
        <v>1.18892436127594E-2</v>
      </c>
      <c r="D3387" s="2">
        <v>6.7866786678667801E-3</v>
      </c>
      <c r="E3387" s="2">
        <v>1.3271955521013901E-2</v>
      </c>
      <c r="F3387" s="2">
        <v>1.1481004042894099E-2</v>
      </c>
    </row>
    <row r="3388" spans="1:6" x14ac:dyDescent="0.25">
      <c r="A3388" s="1" t="str">
        <f t="shared" si="126"/>
        <v>13820</v>
      </c>
      <c r="B3388" s="1" t="str">
        <f>"35171"</f>
        <v>35171</v>
      </c>
      <c r="C3388" s="2">
        <v>2.7910185095112098E-3</v>
      </c>
      <c r="D3388" s="2">
        <v>9.3609360936093599E-4</v>
      </c>
      <c r="E3388" s="2">
        <v>5.9783583427990602E-4</v>
      </c>
      <c r="F3388" s="2">
        <v>2.5718954555861802E-3</v>
      </c>
    </row>
    <row r="3389" spans="1:6" x14ac:dyDescent="0.25">
      <c r="A3389" s="1" t="str">
        <f t="shared" ref="A3389:A3420" si="127">"13820"</f>
        <v>13820</v>
      </c>
      <c r="B3389" s="1" t="str">
        <f>"35212"</f>
        <v>35212</v>
      </c>
      <c r="C3389" s="2">
        <v>1.24605357411321E-2</v>
      </c>
      <c r="D3389" s="2">
        <v>9.0549054905490495E-3</v>
      </c>
      <c r="E3389" s="2">
        <v>1.83535601123931E-2</v>
      </c>
      <c r="F3389" s="2">
        <v>1.2318438294895999E-2</v>
      </c>
    </row>
    <row r="3390" spans="1:6" x14ac:dyDescent="0.25">
      <c r="A3390" s="1" t="str">
        <f t="shared" si="127"/>
        <v>13820</v>
      </c>
      <c r="B3390" s="1" t="str">
        <f>"35219"</f>
        <v>35219</v>
      </c>
      <c r="C3390" s="2">
        <v>1.0700672992739399E-3</v>
      </c>
      <c r="D3390" s="2">
        <v>4.64446444644464E-3</v>
      </c>
      <c r="E3390" s="2">
        <v>5.9783583427990598E-5</v>
      </c>
      <c r="F3390" s="2">
        <v>1.35494980099174E-3</v>
      </c>
    </row>
    <row r="3391" spans="1:6" x14ac:dyDescent="0.25">
      <c r="A3391" s="1" t="str">
        <f t="shared" si="127"/>
        <v>13820</v>
      </c>
      <c r="B3391" s="1" t="str">
        <f>"35213"</f>
        <v>35213</v>
      </c>
      <c r="C3391" s="2">
        <v>1.2922168080157699E-2</v>
      </c>
      <c r="D3391" s="2">
        <v>1.22232223222322E-2</v>
      </c>
      <c r="E3391" s="2">
        <v>1.6500269026125398E-2</v>
      </c>
      <c r="F3391" s="2">
        <v>1.29551392430472E-2</v>
      </c>
    </row>
    <row r="3392" spans="1:6" x14ac:dyDescent="0.25">
      <c r="A3392" s="1" t="str">
        <f t="shared" si="127"/>
        <v>13820</v>
      </c>
      <c r="B3392" s="1" t="str">
        <f>"35176"</f>
        <v>35176</v>
      </c>
      <c r="C3392" s="2">
        <v>8.5959125197874E-4</v>
      </c>
      <c r="D3392" s="2">
        <v>2.7002700270027002E-4</v>
      </c>
      <c r="E3392" s="2">
        <v>2.9891791713995301E-4</v>
      </c>
      <c r="F3392" s="2">
        <v>7.9352384178451901E-4</v>
      </c>
    </row>
    <row r="3393" spans="1:6" x14ac:dyDescent="0.25">
      <c r="A3393" s="1" t="str">
        <f t="shared" si="127"/>
        <v>13820</v>
      </c>
      <c r="B3393" s="1" t="str">
        <f>"35143"</f>
        <v>35143</v>
      </c>
      <c r="C3393" s="2">
        <v>3.7726504947955802E-3</v>
      </c>
      <c r="D3393" s="2">
        <v>7.3807380738073801E-4</v>
      </c>
      <c r="E3393" s="2">
        <v>4.4837687570992999E-3</v>
      </c>
      <c r="F3393" s="2">
        <v>3.5269468778130102E-3</v>
      </c>
    </row>
    <row r="3394" spans="1:6" x14ac:dyDescent="0.25">
      <c r="A3394" s="1" t="str">
        <f t="shared" si="127"/>
        <v>13820</v>
      </c>
      <c r="B3394" s="1" t="str">
        <f>"35220"</f>
        <v>35220</v>
      </c>
      <c r="C3394" s="2">
        <v>2.0180938652422601E-3</v>
      </c>
      <c r="D3394" s="2">
        <v>3.6723672367236699E-3</v>
      </c>
      <c r="E3394" s="2">
        <v>1.1956716685598101E-4</v>
      </c>
      <c r="F3394" s="2">
        <v>2.1124043772405999E-3</v>
      </c>
    </row>
    <row r="3395" spans="1:6" x14ac:dyDescent="0.25">
      <c r="A3395" s="1" t="str">
        <f t="shared" si="127"/>
        <v>13820</v>
      </c>
      <c r="B3395" s="1" t="str">
        <f>"36792"</f>
        <v>36792</v>
      </c>
      <c r="C3395" s="2">
        <v>1.1461216693049801E-3</v>
      </c>
      <c r="D3395" s="2">
        <v>2.16021602160216E-4</v>
      </c>
      <c r="E3395" s="2">
        <v>1.7935075028397199E-4</v>
      </c>
      <c r="F3395" s="2">
        <v>1.0397357847888001E-3</v>
      </c>
    </row>
    <row r="3396" spans="1:6" x14ac:dyDescent="0.25">
      <c r="A3396" s="1" t="str">
        <f t="shared" si="127"/>
        <v>13820</v>
      </c>
      <c r="B3396" s="1" t="str">
        <f>"36758"</f>
        <v>36758</v>
      </c>
      <c r="C3396" s="2">
        <v>4.4925139506707802E-4</v>
      </c>
      <c r="D3396" s="2">
        <v>1.26012601260126E-4</v>
      </c>
      <c r="E3396" s="2">
        <v>0</v>
      </c>
      <c r="F3396" s="2">
        <v>4.0930775238292298E-4</v>
      </c>
    </row>
    <row r="3397" spans="1:6" x14ac:dyDescent="0.25">
      <c r="A3397" s="1" t="str">
        <f t="shared" si="127"/>
        <v>13820</v>
      </c>
      <c r="B3397" s="1" t="str">
        <f>"35957"</f>
        <v>35957</v>
      </c>
      <c r="C3397" s="2">
        <v>4.0680244435207803E-4</v>
      </c>
      <c r="D3397" s="2">
        <v>5.4005400540054E-5</v>
      </c>
      <c r="E3397" s="2">
        <v>1.1956716685598101E-4</v>
      </c>
      <c r="F3397" s="2">
        <v>3.6853380003826398E-4</v>
      </c>
    </row>
    <row r="3398" spans="1:6" x14ac:dyDescent="0.25">
      <c r="A3398" s="1" t="str">
        <f t="shared" si="127"/>
        <v>13820</v>
      </c>
      <c r="B3398" s="1" t="str">
        <f>"35976"</f>
        <v>35976</v>
      </c>
      <c r="C3398" s="2">
        <v>4.9170034578207699E-4</v>
      </c>
      <c r="D3398" s="2">
        <v>5.4005400540054E-5</v>
      </c>
      <c r="E3398" s="2">
        <v>3.5870150056794398E-4</v>
      </c>
      <c r="F3398" s="2">
        <v>4.5008170472758202E-4</v>
      </c>
    </row>
    <row r="3399" spans="1:6" x14ac:dyDescent="0.25">
      <c r="A3399" s="1" t="str">
        <f t="shared" si="127"/>
        <v>13820</v>
      </c>
      <c r="B3399" s="1" t="str">
        <f>"35042"</f>
        <v>35042</v>
      </c>
      <c r="C3399" s="2">
        <v>5.4157786287220202E-3</v>
      </c>
      <c r="D3399" s="2">
        <v>4.64446444644464E-3</v>
      </c>
      <c r="E3399" s="2">
        <v>3.1087463382555099E-3</v>
      </c>
      <c r="F3399" s="2">
        <v>5.2880679733150098E-3</v>
      </c>
    </row>
    <row r="3400" spans="1:6" x14ac:dyDescent="0.25">
      <c r="A3400" s="1" t="str">
        <f t="shared" si="127"/>
        <v>13820</v>
      </c>
      <c r="B3400" s="1" t="str">
        <f>"35071"</f>
        <v>35071</v>
      </c>
      <c r="C3400" s="2">
        <v>1.41178135252969E-2</v>
      </c>
      <c r="D3400" s="2">
        <v>1.12151215121512E-2</v>
      </c>
      <c r="E3400" s="2">
        <v>1.04023435164703E-2</v>
      </c>
      <c r="F3400" s="2">
        <v>1.3767481832067699E-2</v>
      </c>
    </row>
    <row r="3401" spans="1:6" x14ac:dyDescent="0.25">
      <c r="A3401" s="1" t="str">
        <f t="shared" si="127"/>
        <v>13820</v>
      </c>
      <c r="B3401" s="1" t="str">
        <f>"35079"</f>
        <v>35079</v>
      </c>
      <c r="C3401" s="2">
        <v>7.8424436445961605E-3</v>
      </c>
      <c r="D3401" s="2">
        <v>1.83618361836183E-3</v>
      </c>
      <c r="E3401" s="2">
        <v>1.4348060022717701E-3</v>
      </c>
      <c r="F3401" s="2">
        <v>7.15112394967866E-3</v>
      </c>
    </row>
    <row r="3402" spans="1:6" x14ac:dyDescent="0.25">
      <c r="A3402" s="1" t="str">
        <f t="shared" si="127"/>
        <v>13820</v>
      </c>
      <c r="B3402" s="1" t="str">
        <f>"35040"</f>
        <v>35040</v>
      </c>
      <c r="C3402" s="2">
        <v>1.6199580816611599E-2</v>
      </c>
      <c r="D3402" s="2">
        <v>1.09990999099909E-2</v>
      </c>
      <c r="E3402" s="2">
        <v>5.9783583427990604E-3</v>
      </c>
      <c r="F3402" s="2">
        <v>1.5478419601607099E-2</v>
      </c>
    </row>
    <row r="3403" spans="1:6" x14ac:dyDescent="0.25">
      <c r="A3403" s="1" t="str">
        <f t="shared" si="127"/>
        <v>13820</v>
      </c>
      <c r="B3403" s="1" t="str">
        <f>"35139"</f>
        <v>35139</v>
      </c>
      <c r="C3403" s="2">
        <v>0</v>
      </c>
      <c r="D3403" s="2">
        <v>1.8001800180017999E-5</v>
      </c>
      <c r="E3403" s="2">
        <v>0</v>
      </c>
      <c r="F3403" s="2">
        <v>1.56822893633304E-6</v>
      </c>
    </row>
    <row r="3404" spans="1:6" x14ac:dyDescent="0.25">
      <c r="A3404" s="1" t="str">
        <f t="shared" si="127"/>
        <v>13820</v>
      </c>
      <c r="B3404" s="1" t="str">
        <f>"35142"</f>
        <v>35142</v>
      </c>
      <c r="C3404" s="2">
        <v>0</v>
      </c>
      <c r="D3404" s="2">
        <v>3.6003600360035998E-5</v>
      </c>
      <c r="E3404" s="2">
        <v>0</v>
      </c>
      <c r="F3404" s="2">
        <v>3.1364578726660801E-6</v>
      </c>
    </row>
    <row r="3405" spans="1:6" x14ac:dyDescent="0.25">
      <c r="A3405" s="1" t="str">
        <f t="shared" si="127"/>
        <v>13820</v>
      </c>
      <c r="B3405" s="1" t="str">
        <f>"35456"</f>
        <v>35456</v>
      </c>
      <c r="C3405" s="2">
        <v>5.30611883937493E-6</v>
      </c>
      <c r="D3405" s="2">
        <v>0</v>
      </c>
      <c r="E3405" s="2">
        <v>0</v>
      </c>
      <c r="F3405" s="2">
        <v>4.7046868089991199E-6</v>
      </c>
    </row>
    <row r="3406" spans="1:6" x14ac:dyDescent="0.25">
      <c r="A3406" s="1" t="str">
        <f t="shared" si="127"/>
        <v>13820</v>
      </c>
      <c r="B3406" s="1" t="str">
        <f>"35249"</f>
        <v>35249</v>
      </c>
      <c r="C3406" s="2">
        <v>0</v>
      </c>
      <c r="D3406" s="2">
        <v>0</v>
      </c>
      <c r="E3406" s="2">
        <v>5.9783583427990598E-5</v>
      </c>
      <c r="F3406" s="2">
        <v>1.56822893633304E-6</v>
      </c>
    </row>
    <row r="3407" spans="1:6" x14ac:dyDescent="0.25">
      <c r="A3407" s="1" t="str">
        <f t="shared" si="127"/>
        <v>13820</v>
      </c>
      <c r="B3407" s="1" t="str">
        <f>"36051"</f>
        <v>36051</v>
      </c>
      <c r="C3407" s="2">
        <v>4.7401328298416102E-4</v>
      </c>
      <c r="D3407" s="2">
        <v>5.4005400540054E-5</v>
      </c>
      <c r="E3407" s="2">
        <v>0</v>
      </c>
      <c r="F3407" s="2">
        <v>4.24990041746254E-4</v>
      </c>
    </row>
    <row r="3408" spans="1:6" x14ac:dyDescent="0.25">
      <c r="A3408" s="1" t="str">
        <f t="shared" si="127"/>
        <v>13820</v>
      </c>
      <c r="B3408" s="1" t="str">
        <f>"35254"</f>
        <v>35254</v>
      </c>
      <c r="C3408" s="2">
        <v>0</v>
      </c>
      <c r="D3408" s="2">
        <v>0</v>
      </c>
      <c r="E3408" s="2">
        <v>5.9783583427990598E-5</v>
      </c>
      <c r="F3408" s="2">
        <v>1.56822893633304E-6</v>
      </c>
    </row>
    <row r="3409" spans="1:6" x14ac:dyDescent="0.25">
      <c r="A3409" s="1" t="str">
        <f t="shared" si="127"/>
        <v>13820</v>
      </c>
      <c r="B3409" s="1" t="str">
        <f>"35294"</f>
        <v>35294</v>
      </c>
      <c r="C3409" s="2">
        <v>1.7687062797916401E-6</v>
      </c>
      <c r="D3409" s="2">
        <v>3.6003600360035998E-5</v>
      </c>
      <c r="E3409" s="2">
        <v>0</v>
      </c>
      <c r="F3409" s="2">
        <v>4.7046868089991199E-6</v>
      </c>
    </row>
    <row r="3410" spans="1:6" x14ac:dyDescent="0.25">
      <c r="A3410" s="1" t="str">
        <f t="shared" si="127"/>
        <v>13820</v>
      </c>
      <c r="B3410" s="1" t="str">
        <f>"35260"</f>
        <v>35260</v>
      </c>
      <c r="C3410" s="2">
        <v>6.4557779212395003E-4</v>
      </c>
      <c r="D3410" s="2">
        <v>3.1503150315031498E-3</v>
      </c>
      <c r="E3410" s="2">
        <v>5.9783583427990598E-5</v>
      </c>
      <c r="F3410" s="2">
        <v>8.4841185455617504E-4</v>
      </c>
    </row>
    <row r="3411" spans="1:6" x14ac:dyDescent="0.25">
      <c r="A3411" s="1" t="str">
        <f t="shared" si="127"/>
        <v>13820</v>
      </c>
      <c r="B3411" s="1" t="str">
        <f>"35116"</f>
        <v>35116</v>
      </c>
      <c r="C3411" s="2">
        <v>4.07863668119953E-3</v>
      </c>
      <c r="D3411" s="2">
        <v>1.0081008100809999E-3</v>
      </c>
      <c r="E3411" s="2">
        <v>1.7935075028397199E-4</v>
      </c>
      <c r="F3411" s="2">
        <v>3.7088614344276401E-3</v>
      </c>
    </row>
    <row r="3412" spans="1:6" x14ac:dyDescent="0.25">
      <c r="A3412" s="1" t="str">
        <f t="shared" si="127"/>
        <v>13820</v>
      </c>
      <c r="B3412" s="1" t="str">
        <f>"35120"</f>
        <v>35120</v>
      </c>
      <c r="C3412" s="2">
        <v>1.25684268241994E-2</v>
      </c>
      <c r="D3412" s="2">
        <v>3.3303330333033301E-3</v>
      </c>
      <c r="E3412" s="2">
        <v>1.37502241884378E-3</v>
      </c>
      <c r="F3412" s="2">
        <v>1.1470026440339801E-2</v>
      </c>
    </row>
    <row r="3413" spans="1:6" x14ac:dyDescent="0.25">
      <c r="A3413" s="1" t="str">
        <f t="shared" si="127"/>
        <v>13820</v>
      </c>
      <c r="B3413" s="1" t="str">
        <f>"35020"</f>
        <v>35020</v>
      </c>
      <c r="C3413" s="2">
        <v>2.4618622708419899E-2</v>
      </c>
      <c r="D3413" s="2">
        <v>2.7884788478847799E-2</v>
      </c>
      <c r="E3413" s="2">
        <v>1.2913254020445899E-2</v>
      </c>
      <c r="F3413" s="2">
        <v>2.4596102637447399E-2</v>
      </c>
    </row>
    <row r="3414" spans="1:6" x14ac:dyDescent="0.25">
      <c r="A3414" s="1" t="str">
        <f t="shared" si="127"/>
        <v>13820</v>
      </c>
      <c r="B3414" s="1" t="str">
        <f>"35221"</f>
        <v>35221</v>
      </c>
      <c r="C3414" s="2">
        <v>4.8391803815099402E-3</v>
      </c>
      <c r="D3414" s="2">
        <v>2.7362736273627299E-3</v>
      </c>
      <c r="E3414" s="2">
        <v>3.3478806719674701E-3</v>
      </c>
      <c r="F3414" s="2">
        <v>4.6168659885644702E-3</v>
      </c>
    </row>
    <row r="3415" spans="1:6" x14ac:dyDescent="0.25">
      <c r="A3415" s="1" t="str">
        <f t="shared" si="127"/>
        <v>13820</v>
      </c>
      <c r="B3415" s="1" t="str">
        <f>"35234"</f>
        <v>35234</v>
      </c>
      <c r="C3415" s="2">
        <v>6.0949618401620097E-3</v>
      </c>
      <c r="D3415" s="2">
        <v>8.2988298829882907E-3</v>
      </c>
      <c r="E3415" s="2">
        <v>1.95492317809529E-2</v>
      </c>
      <c r="F3415" s="2">
        <v>6.6398813164340901E-3</v>
      </c>
    </row>
    <row r="3416" spans="1:6" x14ac:dyDescent="0.25">
      <c r="A3416" s="1" t="str">
        <f t="shared" si="127"/>
        <v>13820</v>
      </c>
      <c r="B3416" s="1" t="str">
        <f>"35223"</f>
        <v>35223</v>
      </c>
      <c r="C3416" s="2">
        <v>8.7816266791655197E-3</v>
      </c>
      <c r="D3416" s="2">
        <v>1.7281728172817201E-2</v>
      </c>
      <c r="E3416" s="2">
        <v>1.0521910683326301E-2</v>
      </c>
      <c r="F3416" s="2">
        <v>9.5677647405678808E-3</v>
      </c>
    </row>
    <row r="3417" spans="1:6" x14ac:dyDescent="0.25">
      <c r="A3417" s="1" t="str">
        <f t="shared" si="127"/>
        <v>13820</v>
      </c>
      <c r="B3417" s="1" t="str">
        <f>"35261"</f>
        <v>35261</v>
      </c>
      <c r="C3417" s="2">
        <v>1.7492505107139301E-3</v>
      </c>
      <c r="D3417" s="2">
        <v>2.9702970297029699E-3</v>
      </c>
      <c r="E3417" s="2">
        <v>5.9783583427990598E-5</v>
      </c>
      <c r="F3417" s="2">
        <v>1.81130442146466E-3</v>
      </c>
    </row>
    <row r="3418" spans="1:6" x14ac:dyDescent="0.25">
      <c r="A3418" s="1" t="str">
        <f t="shared" si="127"/>
        <v>13820</v>
      </c>
      <c r="B3418" s="1" t="str">
        <f>"35173"</f>
        <v>35173</v>
      </c>
      <c r="C3418" s="2">
        <v>2.33433854806901E-2</v>
      </c>
      <c r="D3418" s="2">
        <v>2.1692169216921599E-2</v>
      </c>
      <c r="E3418" s="2">
        <v>6.0381419262270503E-3</v>
      </c>
      <c r="F3418" s="2">
        <v>2.27455924925744E-2</v>
      </c>
    </row>
    <row r="3419" spans="1:6" x14ac:dyDescent="0.25">
      <c r="A3419" s="1" t="str">
        <f t="shared" si="127"/>
        <v>13820</v>
      </c>
      <c r="B3419" s="1" t="str">
        <f>"35131"</f>
        <v>35131</v>
      </c>
      <c r="C3419" s="2">
        <v>3.9247592348576601E-3</v>
      </c>
      <c r="D3419" s="2">
        <v>1.3501350135013499E-3</v>
      </c>
      <c r="E3419" s="2">
        <v>2.3913433371196201E-4</v>
      </c>
      <c r="F3419" s="2">
        <v>3.60379009569332E-3</v>
      </c>
    </row>
    <row r="3420" spans="1:6" x14ac:dyDescent="0.25">
      <c r="A3420" s="1" t="str">
        <f t="shared" si="127"/>
        <v>13820</v>
      </c>
      <c r="B3420" s="1" t="str">
        <f>"35091"</f>
        <v>35091</v>
      </c>
      <c r="C3420" s="2">
        <v>2.50979421102434E-3</v>
      </c>
      <c r="D3420" s="2">
        <v>6.4806480648064795E-4</v>
      </c>
      <c r="E3420" s="2">
        <v>5.9783583427990598E-5</v>
      </c>
      <c r="F3420" s="2">
        <v>2.2833413313008998E-3</v>
      </c>
    </row>
    <row r="3421" spans="1:6" x14ac:dyDescent="0.25">
      <c r="A3421" s="1" t="str">
        <f t="shared" ref="A3421:A3442" si="128">"13820"</f>
        <v>13820</v>
      </c>
      <c r="B3421" s="1" t="str">
        <f>"35130"</f>
        <v>35130</v>
      </c>
      <c r="C3421" s="2">
        <v>1.27877464028936E-3</v>
      </c>
      <c r="D3421" s="2">
        <v>4.5004500450045003E-4</v>
      </c>
      <c r="E3421" s="2">
        <v>0</v>
      </c>
      <c r="F3421" s="2">
        <v>1.1730352443771099E-3</v>
      </c>
    </row>
    <row r="3422" spans="1:6" x14ac:dyDescent="0.25">
      <c r="A3422" s="1" t="str">
        <f t="shared" si="128"/>
        <v>13820</v>
      </c>
      <c r="B3422" s="1" t="str">
        <f>"35953"</f>
        <v>35953</v>
      </c>
      <c r="C3422" s="2">
        <v>6.6609478496953397E-3</v>
      </c>
      <c r="D3422" s="2">
        <v>2.6642664266426602E-3</v>
      </c>
      <c r="E3422" s="2">
        <v>1.37502241884378E-3</v>
      </c>
      <c r="F3422" s="2">
        <v>6.1741173223431797E-3</v>
      </c>
    </row>
    <row r="3423" spans="1:6" x14ac:dyDescent="0.25">
      <c r="A3423" s="1" t="str">
        <f t="shared" si="128"/>
        <v>13820</v>
      </c>
      <c r="B3423" s="1" t="str">
        <f>"35085"</f>
        <v>35085</v>
      </c>
      <c r="C3423" s="2">
        <v>7.8247565817982402E-3</v>
      </c>
      <c r="D3423" s="2">
        <v>2.5022502250224999E-3</v>
      </c>
      <c r="E3423" s="2">
        <v>1.0163209182758399E-3</v>
      </c>
      <c r="F3423" s="2">
        <v>7.1824885284053298E-3</v>
      </c>
    </row>
    <row r="3424" spans="1:6" x14ac:dyDescent="0.25">
      <c r="A3424" s="1" t="str">
        <f t="shared" si="128"/>
        <v>13820</v>
      </c>
      <c r="B3424" s="1" t="str">
        <f>"35118"</f>
        <v>35118</v>
      </c>
      <c r="C3424" s="2">
        <v>3.0421748012416298E-3</v>
      </c>
      <c r="D3424" s="2">
        <v>1.4221422142214201E-3</v>
      </c>
      <c r="E3424" s="2">
        <v>1.7935075028397199E-4</v>
      </c>
      <c r="F3424" s="2">
        <v>2.8259485432721399E-3</v>
      </c>
    </row>
    <row r="3425" spans="1:6" x14ac:dyDescent="0.25">
      <c r="A3425" s="1" t="str">
        <f t="shared" si="128"/>
        <v>13820</v>
      </c>
      <c r="B3425" s="1" t="str">
        <f>"35242"</f>
        <v>35242</v>
      </c>
      <c r="C3425" s="2">
        <v>4.4164595806397401E-2</v>
      </c>
      <c r="D3425" s="2">
        <v>3.65796579657965E-2</v>
      </c>
      <c r="E3425" s="2">
        <v>2.03264183655168E-2</v>
      </c>
      <c r="F3425" s="2">
        <v>4.2878515577218002E-2</v>
      </c>
    </row>
    <row r="3426" spans="1:6" x14ac:dyDescent="0.25">
      <c r="A3426" s="1" t="str">
        <f t="shared" si="128"/>
        <v>13820</v>
      </c>
      <c r="B3426" s="1" t="str">
        <f>"35222"</f>
        <v>35222</v>
      </c>
      <c r="C3426" s="2">
        <v>8.5516948627926102E-3</v>
      </c>
      <c r="D3426" s="2">
        <v>1.5463546354635401E-2</v>
      </c>
      <c r="E3426" s="2">
        <v>2.11036049500807E-2</v>
      </c>
      <c r="F3426" s="2">
        <v>9.4830803780059005E-3</v>
      </c>
    </row>
    <row r="3427" spans="1:6" x14ac:dyDescent="0.25">
      <c r="A3427" s="1" t="str">
        <f t="shared" si="128"/>
        <v>13820</v>
      </c>
      <c r="B3427" s="1" t="str">
        <f>"35231"</f>
        <v>35231</v>
      </c>
      <c r="C3427" s="2">
        <v>1.9296585512526799E-3</v>
      </c>
      <c r="D3427" s="2">
        <v>2.55625562556255E-3</v>
      </c>
      <c r="E3427" s="2">
        <v>1.1956716685598101E-4</v>
      </c>
      <c r="F3427" s="2">
        <v>1.9367627363712999E-3</v>
      </c>
    </row>
    <row r="3428" spans="1:6" x14ac:dyDescent="0.25">
      <c r="A3428" s="1" t="str">
        <f t="shared" si="128"/>
        <v>13820</v>
      </c>
      <c r="B3428" s="1" t="str">
        <f>"35188"</f>
        <v>35188</v>
      </c>
      <c r="C3428" s="2">
        <v>2.13305977342872E-3</v>
      </c>
      <c r="D3428" s="2">
        <v>2.4482448244824398E-3</v>
      </c>
      <c r="E3428" s="2">
        <v>1.07610450170383E-3</v>
      </c>
      <c r="F3428" s="2">
        <v>2.1327913534129302E-3</v>
      </c>
    </row>
    <row r="3429" spans="1:6" x14ac:dyDescent="0.25">
      <c r="A3429" s="1" t="str">
        <f t="shared" si="128"/>
        <v>13820</v>
      </c>
      <c r="B3429" s="1" t="str">
        <f>"35201"</f>
        <v>35201</v>
      </c>
      <c r="C3429" s="2">
        <v>1.4538765619887301E-3</v>
      </c>
      <c r="D3429" s="2">
        <v>8.7128712871287102E-3</v>
      </c>
      <c r="E3429" s="2">
        <v>1.1956716685598101E-4</v>
      </c>
      <c r="F3429" s="2">
        <v>2.0512434487236098E-3</v>
      </c>
    </row>
    <row r="3430" spans="1:6" x14ac:dyDescent="0.25">
      <c r="A3430" s="1" t="str">
        <f t="shared" si="128"/>
        <v>13820</v>
      </c>
      <c r="B3430" s="1" t="str">
        <f>"35208"</f>
        <v>35208</v>
      </c>
      <c r="C3430" s="2">
        <v>1.4508697613130801E-2</v>
      </c>
      <c r="D3430" s="2">
        <v>1.21332133213321E-2</v>
      </c>
      <c r="E3430" s="2">
        <v>1.2554552519878E-2</v>
      </c>
      <c r="F3430" s="2">
        <v>1.42504963444583E-2</v>
      </c>
    </row>
    <row r="3431" spans="1:6" x14ac:dyDescent="0.25">
      <c r="A3431" s="1" t="str">
        <f t="shared" si="128"/>
        <v>13820</v>
      </c>
      <c r="B3431" s="1" t="str">
        <f>"35178"</f>
        <v>35178</v>
      </c>
      <c r="C3431" s="2">
        <v>3.3021746243709999E-3</v>
      </c>
      <c r="D3431" s="2">
        <v>4.6804680468046799E-4</v>
      </c>
      <c r="E3431" s="2">
        <v>6.5761941770789705E-4</v>
      </c>
      <c r="F3431" s="2">
        <v>2.98590789477811E-3</v>
      </c>
    </row>
    <row r="3432" spans="1:6" x14ac:dyDescent="0.25">
      <c r="A3432" s="1" t="str">
        <f t="shared" si="128"/>
        <v>13820</v>
      </c>
      <c r="B3432" s="1" t="str">
        <f>"35214"</f>
        <v>35214</v>
      </c>
      <c r="C3432" s="2">
        <v>1.7342165073357001E-2</v>
      </c>
      <c r="D3432" s="2">
        <v>1.0963096309630899E-2</v>
      </c>
      <c r="E3432" s="2">
        <v>1.51252466072816E-2</v>
      </c>
      <c r="F3432" s="2">
        <v>1.67282980638645E-2</v>
      </c>
    </row>
    <row r="3433" spans="1:6" x14ac:dyDescent="0.25">
      <c r="A3433" s="1" t="str">
        <f t="shared" si="128"/>
        <v>13820</v>
      </c>
      <c r="B3433" s="1" t="str">
        <f>"35270"</f>
        <v>35270</v>
      </c>
      <c r="C3433" s="2">
        <v>0</v>
      </c>
      <c r="D3433" s="2">
        <v>1.8001800180017999E-5</v>
      </c>
      <c r="E3433" s="2">
        <v>0</v>
      </c>
      <c r="F3433" s="2">
        <v>1.56822893633304E-6</v>
      </c>
    </row>
    <row r="3434" spans="1:6" x14ac:dyDescent="0.25">
      <c r="A3434" s="1" t="str">
        <f t="shared" si="128"/>
        <v>13820</v>
      </c>
      <c r="B3434" s="1" t="str">
        <f>"35182"</f>
        <v>35182</v>
      </c>
      <c r="C3434" s="2">
        <v>0</v>
      </c>
      <c r="D3434" s="2">
        <v>1.8001800180017999E-5</v>
      </c>
      <c r="E3434" s="2">
        <v>0</v>
      </c>
      <c r="F3434" s="2">
        <v>1.56822893633304E-6</v>
      </c>
    </row>
    <row r="3435" spans="1:6" x14ac:dyDescent="0.25">
      <c r="A3435" s="1" t="str">
        <f t="shared" si="128"/>
        <v>13820</v>
      </c>
      <c r="B3435" s="1" t="str">
        <f>"35013"</f>
        <v>35013</v>
      </c>
      <c r="C3435" s="2">
        <v>0</v>
      </c>
      <c r="D3435" s="2">
        <v>1.8001800180017999E-5</v>
      </c>
      <c r="E3435" s="2">
        <v>0</v>
      </c>
      <c r="F3435" s="2">
        <v>1.56822893633304E-6</v>
      </c>
    </row>
    <row r="3436" spans="1:6" x14ac:dyDescent="0.25">
      <c r="A3436" s="1" t="str">
        <f t="shared" si="128"/>
        <v>13820</v>
      </c>
      <c r="B3436" s="1" t="str">
        <f>"36006"</f>
        <v>36006</v>
      </c>
      <c r="C3436" s="2">
        <v>3.5727866851791203E-4</v>
      </c>
      <c r="D3436" s="2">
        <v>1.4401440144014399E-4</v>
      </c>
      <c r="E3436" s="2">
        <v>2.3913433371196201E-4</v>
      </c>
      <c r="F3436" s="2">
        <v>3.3560099237526998E-4</v>
      </c>
    </row>
    <row r="3437" spans="1:6" x14ac:dyDescent="0.25">
      <c r="A3437" s="1" t="str">
        <f t="shared" si="128"/>
        <v>13820</v>
      </c>
      <c r="B3437" s="1" t="str">
        <f>"35062"</f>
        <v>35062</v>
      </c>
      <c r="C3437" s="2">
        <v>4.7631260114788998E-3</v>
      </c>
      <c r="D3437" s="2">
        <v>1.3321332133213301E-3</v>
      </c>
      <c r="E3437" s="2">
        <v>2.3913433371196201E-4</v>
      </c>
      <c r="F3437" s="2">
        <v>4.3455623825788504E-3</v>
      </c>
    </row>
    <row r="3438" spans="1:6" x14ac:dyDescent="0.25">
      <c r="A3438" s="1" t="str">
        <f t="shared" si="128"/>
        <v>13820</v>
      </c>
      <c r="B3438" s="1" t="str">
        <f>"35064"</f>
        <v>35064</v>
      </c>
      <c r="C3438" s="2">
        <v>1.01063876827294E-2</v>
      </c>
      <c r="D3438" s="2">
        <v>1.1089108910891E-2</v>
      </c>
      <c r="E3438" s="2">
        <v>6.9348956776469099E-3</v>
      </c>
      <c r="F3438" s="2">
        <v>1.01088037236027E-2</v>
      </c>
    </row>
    <row r="3439" spans="1:6" x14ac:dyDescent="0.25">
      <c r="A3439" s="1" t="str">
        <f t="shared" si="128"/>
        <v>13820</v>
      </c>
      <c r="B3439" s="1" t="str">
        <f>"35045"</f>
        <v>35045</v>
      </c>
      <c r="C3439" s="2">
        <v>1.3403256188260999E-2</v>
      </c>
      <c r="D3439" s="2">
        <v>1.7155715571557099E-2</v>
      </c>
      <c r="E3439" s="2">
        <v>6.2174926765110302E-3</v>
      </c>
      <c r="F3439" s="2">
        <v>1.3541656865235801E-2</v>
      </c>
    </row>
    <row r="3440" spans="1:6" x14ac:dyDescent="0.25">
      <c r="A3440" s="1" t="str">
        <f t="shared" si="128"/>
        <v>13820</v>
      </c>
      <c r="B3440" s="1" t="str">
        <f>"35035"</f>
        <v>35035</v>
      </c>
      <c r="C3440" s="2">
        <v>1.48217586246539E-3</v>
      </c>
      <c r="D3440" s="2">
        <v>4.1404140414041398E-4</v>
      </c>
      <c r="E3440" s="2">
        <v>2.9891791713995301E-4</v>
      </c>
      <c r="F3440" s="2">
        <v>1.35808625886441E-3</v>
      </c>
    </row>
    <row r="3441" spans="1:6" x14ac:dyDescent="0.25">
      <c r="A3441" s="1" t="str">
        <f t="shared" si="128"/>
        <v>13820</v>
      </c>
      <c r="B3441" s="1" t="str">
        <f>"35125"</f>
        <v>35125</v>
      </c>
      <c r="C3441" s="2">
        <v>9.1159121660461407E-3</v>
      </c>
      <c r="D3441" s="2">
        <v>1.24752475247524E-2</v>
      </c>
      <c r="E3441" s="2">
        <v>6.57619417707897E-3</v>
      </c>
      <c r="F3441" s="2">
        <v>9.3419397737359196E-3</v>
      </c>
    </row>
    <row r="3442" spans="1:6" x14ac:dyDescent="0.25">
      <c r="A3442" s="1" t="str">
        <f t="shared" si="128"/>
        <v>13820</v>
      </c>
      <c r="B3442" s="1" t="str">
        <f>"35007"</f>
        <v>35007</v>
      </c>
      <c r="C3442" s="2">
        <v>2.30533176508043E-2</v>
      </c>
      <c r="D3442" s="2">
        <v>2.6048604860486001E-2</v>
      </c>
      <c r="E3442" s="2">
        <v>2.0087284031804799E-2</v>
      </c>
      <c r="F3442" s="2">
        <v>2.32364481496466E-2</v>
      </c>
    </row>
    <row r="3443" spans="1:6" x14ac:dyDescent="0.25">
      <c r="A3443" s="1" t="str">
        <f t="shared" ref="A3443:A3470" si="129">"13900"</f>
        <v>13900</v>
      </c>
      <c r="B3443" s="1" t="str">
        <f>"58505"</f>
        <v>58505</v>
      </c>
      <c r="C3443" s="2">
        <v>0</v>
      </c>
      <c r="D3443" s="2">
        <v>7.3142188414277304E-3</v>
      </c>
      <c r="E3443" s="2">
        <v>2.8409090909090901E-3</v>
      </c>
      <c r="F3443" s="2">
        <v>8.1936990454340602E-4</v>
      </c>
    </row>
    <row r="3444" spans="1:6" x14ac:dyDescent="0.25">
      <c r="A3444" s="1" t="str">
        <f t="shared" si="129"/>
        <v>13900</v>
      </c>
      <c r="B3444" s="1" t="str">
        <f>"58535"</f>
        <v>58535</v>
      </c>
      <c r="C3444" s="2">
        <v>4.0718296193793602E-3</v>
      </c>
      <c r="D3444" s="2">
        <v>1.02399063779988E-3</v>
      </c>
      <c r="E3444" s="2">
        <v>1.7045454545454499E-3</v>
      </c>
      <c r="F3444" s="2">
        <v>3.6735084053696001E-3</v>
      </c>
    </row>
    <row r="3445" spans="1:6" x14ac:dyDescent="0.25">
      <c r="A3445" s="1" t="str">
        <f t="shared" si="129"/>
        <v>13900</v>
      </c>
      <c r="B3445" s="1" t="str">
        <f>"58530"</f>
        <v>58530</v>
      </c>
      <c r="C3445" s="2">
        <v>6.3145170269281502E-3</v>
      </c>
      <c r="D3445" s="2">
        <v>1.4628437682855399E-3</v>
      </c>
      <c r="E3445" s="2">
        <v>2.27272727272727E-3</v>
      </c>
      <c r="F3445" s="2">
        <v>5.6673085064252197E-3</v>
      </c>
    </row>
    <row r="3446" spans="1:6" x14ac:dyDescent="0.25">
      <c r="A3446" s="1" t="str">
        <f t="shared" si="129"/>
        <v>13900</v>
      </c>
      <c r="B3446" s="1" t="str">
        <f>"58566"</f>
        <v>58566</v>
      </c>
      <c r="C3446" s="2">
        <v>1.33606909385885E-3</v>
      </c>
      <c r="D3446" s="2">
        <v>4.38853130485664E-4</v>
      </c>
      <c r="E3446" s="2">
        <v>0</v>
      </c>
      <c r="F3446" s="2">
        <v>1.18808636158793E-3</v>
      </c>
    </row>
    <row r="3447" spans="1:6" x14ac:dyDescent="0.25">
      <c r="A3447" s="1" t="str">
        <f t="shared" si="129"/>
        <v>13900</v>
      </c>
      <c r="B3447" s="1" t="str">
        <f>"58560"</f>
        <v>58560</v>
      </c>
      <c r="C3447" s="2">
        <v>9.3842948259133697E-4</v>
      </c>
      <c r="D3447" s="2">
        <v>2.9256875365710899E-4</v>
      </c>
      <c r="E3447" s="2">
        <v>2.8409090909090902E-4</v>
      </c>
      <c r="F3447" s="2">
        <v>8.4668223469485195E-4</v>
      </c>
    </row>
    <row r="3448" spans="1:6" x14ac:dyDescent="0.25">
      <c r="A3448" s="1" t="str">
        <f t="shared" si="129"/>
        <v>13900</v>
      </c>
      <c r="B3448" s="1" t="str">
        <f>"58570"</f>
        <v>58570</v>
      </c>
      <c r="C3448" s="2">
        <v>1.52693610726726E-3</v>
      </c>
      <c r="D3448" s="2">
        <v>0</v>
      </c>
      <c r="E3448" s="2">
        <v>0</v>
      </c>
      <c r="F3448" s="2">
        <v>1.31099184726944E-3</v>
      </c>
    </row>
    <row r="3449" spans="1:6" x14ac:dyDescent="0.25">
      <c r="A3449" s="1" t="str">
        <f t="shared" si="129"/>
        <v>13900</v>
      </c>
      <c r="B3449" s="1" t="str">
        <f>"58501"</f>
        <v>58501</v>
      </c>
      <c r="C3449" s="2">
        <v>0.22027643905775299</v>
      </c>
      <c r="D3449" s="2">
        <v>0.24327091866588599</v>
      </c>
      <c r="E3449" s="2">
        <v>0.375</v>
      </c>
      <c r="F3449" s="2">
        <v>0.22986057055457601</v>
      </c>
    </row>
    <row r="3450" spans="1:6" x14ac:dyDescent="0.25">
      <c r="A3450" s="1" t="str">
        <f t="shared" si="129"/>
        <v>13900</v>
      </c>
      <c r="B3450" s="1" t="str">
        <f>"58571"</f>
        <v>58571</v>
      </c>
      <c r="C3450" s="2">
        <v>5.7260104022522295E-4</v>
      </c>
      <c r="D3450" s="2">
        <v>0</v>
      </c>
      <c r="E3450" s="2">
        <v>0</v>
      </c>
      <c r="F3450" s="2">
        <v>4.9162194272604298E-4</v>
      </c>
    </row>
    <row r="3451" spans="1:6" x14ac:dyDescent="0.25">
      <c r="A3451" s="1" t="str">
        <f t="shared" si="129"/>
        <v>13900</v>
      </c>
      <c r="B3451" s="1" t="str">
        <f>"58558"</f>
        <v>58558</v>
      </c>
      <c r="C3451" s="2">
        <v>6.7439678070970697E-3</v>
      </c>
      <c r="D3451" s="2">
        <v>1.4628437682855399E-3</v>
      </c>
      <c r="E3451" s="2">
        <v>1.13636363636363E-3</v>
      </c>
      <c r="F3451" s="2">
        <v>5.9814003031668601E-3</v>
      </c>
    </row>
    <row r="3452" spans="1:6" x14ac:dyDescent="0.25">
      <c r="A3452" s="1" t="str">
        <f t="shared" si="129"/>
        <v>13900</v>
      </c>
      <c r="B3452" s="1" t="str">
        <f>"58524"</f>
        <v>58524</v>
      </c>
      <c r="C3452" s="2">
        <v>9.5433506704203802E-5</v>
      </c>
      <c r="D3452" s="2">
        <v>0</v>
      </c>
      <c r="E3452" s="2">
        <v>0</v>
      </c>
      <c r="F3452" s="2">
        <v>8.1936990454340597E-5</v>
      </c>
    </row>
    <row r="3453" spans="1:6" x14ac:dyDescent="0.25">
      <c r="A3453" s="1" t="str">
        <f t="shared" si="129"/>
        <v>13900</v>
      </c>
      <c r="B3453" s="1" t="str">
        <f>"58563"</f>
        <v>58563</v>
      </c>
      <c r="C3453" s="2">
        <v>1.52057387348698E-2</v>
      </c>
      <c r="D3453" s="2">
        <v>3.3645406670567502E-3</v>
      </c>
      <c r="E3453" s="2">
        <v>4.8295454545454501E-3</v>
      </c>
      <c r="F3453" s="2">
        <v>1.3601540415420501E-2</v>
      </c>
    </row>
    <row r="3454" spans="1:6" x14ac:dyDescent="0.25">
      <c r="A3454" s="1" t="str">
        <f t="shared" si="129"/>
        <v>13900</v>
      </c>
      <c r="B3454" s="1" t="str">
        <f>"58520"</f>
        <v>58520</v>
      </c>
      <c r="C3454" s="2">
        <v>1.89276454963337E-3</v>
      </c>
      <c r="D3454" s="2">
        <v>8.7770626097132801E-4</v>
      </c>
      <c r="E3454" s="2">
        <v>8.5227272727272701E-4</v>
      </c>
      <c r="F3454" s="2">
        <v>1.7479891296925899E-3</v>
      </c>
    </row>
    <row r="3455" spans="1:6" x14ac:dyDescent="0.25">
      <c r="A3455" s="1" t="str">
        <f t="shared" si="129"/>
        <v>13900</v>
      </c>
      <c r="B3455" s="1" t="str">
        <f>"58502"</f>
        <v>58502</v>
      </c>
      <c r="C3455" s="2">
        <v>1.8116460689348E-2</v>
      </c>
      <c r="D3455" s="2">
        <v>0.151989467524868</v>
      </c>
      <c r="E3455" s="2">
        <v>5.6818181818181805E-4</v>
      </c>
      <c r="F3455" s="2">
        <v>2.9770439865076999E-2</v>
      </c>
    </row>
    <row r="3456" spans="1:6" x14ac:dyDescent="0.25">
      <c r="A3456" s="1" t="str">
        <f t="shared" si="129"/>
        <v>13900</v>
      </c>
      <c r="B3456" s="1" t="str">
        <f>"58507"</f>
        <v>58507</v>
      </c>
      <c r="C3456" s="2">
        <v>1.9722924718868699E-3</v>
      </c>
      <c r="D3456" s="2">
        <v>2.2527794031597399E-2</v>
      </c>
      <c r="E3456" s="2">
        <v>5.6818181818181805E-4</v>
      </c>
      <c r="F3456" s="2">
        <v>3.8237262212025601E-3</v>
      </c>
    </row>
    <row r="3457" spans="1:6" x14ac:dyDescent="0.25">
      <c r="A3457" s="1" t="str">
        <f t="shared" si="129"/>
        <v>13900</v>
      </c>
      <c r="B3457" s="1" t="str">
        <f>"58532"</f>
        <v>58532</v>
      </c>
      <c r="C3457" s="2">
        <v>1.87685896518267E-3</v>
      </c>
      <c r="D3457" s="2">
        <v>1.4628437682855401E-4</v>
      </c>
      <c r="E3457" s="2">
        <v>2.8409090909090902E-4</v>
      </c>
      <c r="F3457" s="2">
        <v>1.6387398090868101E-3</v>
      </c>
    </row>
    <row r="3458" spans="1:6" x14ac:dyDescent="0.25">
      <c r="A3458" s="1" t="str">
        <f t="shared" si="129"/>
        <v>13900</v>
      </c>
      <c r="B3458" s="1" t="str">
        <f>"58503"</f>
        <v>58503</v>
      </c>
      <c r="C3458" s="2">
        <v>0.26237852109875698</v>
      </c>
      <c r="D3458" s="2">
        <v>0.141164423639555</v>
      </c>
      <c r="E3458" s="2">
        <v>0.192329545454545</v>
      </c>
      <c r="F3458" s="2">
        <v>0.24769552214347099</v>
      </c>
    </row>
    <row r="3459" spans="1:6" x14ac:dyDescent="0.25">
      <c r="A3459" s="1" t="str">
        <f t="shared" si="129"/>
        <v>13900</v>
      </c>
      <c r="B3459" s="1" t="str">
        <f>"58554"</f>
        <v>58554</v>
      </c>
      <c r="C3459" s="2">
        <v>0.21868588061268299</v>
      </c>
      <c r="D3459" s="2">
        <v>0.19002340550029201</v>
      </c>
      <c r="E3459" s="2">
        <v>0.21221590909090901</v>
      </c>
      <c r="F3459" s="2">
        <v>0.21569912737105101</v>
      </c>
    </row>
    <row r="3460" spans="1:6" x14ac:dyDescent="0.25">
      <c r="A3460" s="1" t="str">
        <f t="shared" si="129"/>
        <v>13900</v>
      </c>
      <c r="B3460" s="1" t="str">
        <f>"58631"</f>
        <v>58631</v>
      </c>
      <c r="C3460" s="2">
        <v>7.7460196274912099E-3</v>
      </c>
      <c r="D3460" s="2">
        <v>5.8513750731421798E-4</v>
      </c>
      <c r="E3460" s="2">
        <v>4.8295454545454501E-3</v>
      </c>
      <c r="F3460" s="2">
        <v>6.9373318584674999E-3</v>
      </c>
    </row>
    <row r="3461" spans="1:6" x14ac:dyDescent="0.25">
      <c r="A3461" s="1" t="str">
        <f t="shared" si="129"/>
        <v>13900</v>
      </c>
      <c r="B3461" s="1" t="str">
        <f>"58572"</f>
        <v>58572</v>
      </c>
      <c r="C3461" s="2">
        <v>3.27655039684433E-3</v>
      </c>
      <c r="D3461" s="2">
        <v>1.7554125219426499E-3</v>
      </c>
      <c r="E3461" s="2">
        <v>8.5227272727272701E-4</v>
      </c>
      <c r="F3461" s="2">
        <v>3.0180124817348699E-3</v>
      </c>
    </row>
    <row r="3462" spans="1:6" x14ac:dyDescent="0.25">
      <c r="A3462" s="1" t="str">
        <f t="shared" si="129"/>
        <v>13900</v>
      </c>
      <c r="B3462" s="1" t="str">
        <f>"58638"</f>
        <v>58638</v>
      </c>
      <c r="C3462" s="2">
        <v>6.9825515738575804E-3</v>
      </c>
      <c r="D3462" s="2">
        <v>1.31655939145699E-3</v>
      </c>
      <c r="E3462" s="2">
        <v>3.9772727272727199E-3</v>
      </c>
      <c r="F3462" s="2">
        <v>6.30914826498422E-3</v>
      </c>
    </row>
    <row r="3463" spans="1:6" x14ac:dyDescent="0.25">
      <c r="A3463" s="1" t="str">
        <f t="shared" si="129"/>
        <v>13900</v>
      </c>
      <c r="B3463" s="1" t="str">
        <f>"58521"</f>
        <v>58521</v>
      </c>
      <c r="C3463" s="2">
        <v>4.6603362440552796E-3</v>
      </c>
      <c r="D3463" s="2">
        <v>2.9256875365710899E-4</v>
      </c>
      <c r="E3463" s="2">
        <v>5.6818181818181805E-4</v>
      </c>
      <c r="F3463" s="2">
        <v>4.0558810274898601E-3</v>
      </c>
    </row>
    <row r="3464" spans="1:6" x14ac:dyDescent="0.25">
      <c r="A3464" s="1" t="str">
        <f t="shared" si="129"/>
        <v>13900</v>
      </c>
      <c r="B3464" s="1" t="str">
        <f>"58579"</f>
        <v>58579</v>
      </c>
      <c r="C3464" s="2">
        <v>3.8968681904216502E-3</v>
      </c>
      <c r="D3464" s="2">
        <v>1.02399063779988E-3</v>
      </c>
      <c r="E3464" s="2">
        <v>8.5227272727272701E-4</v>
      </c>
      <c r="F3464" s="2">
        <v>3.4823220943094699E-3</v>
      </c>
    </row>
    <row r="3465" spans="1:6" x14ac:dyDescent="0.25">
      <c r="A3465" s="1" t="str">
        <f t="shared" si="129"/>
        <v>13900</v>
      </c>
      <c r="B3465" s="1" t="str">
        <f>"58545"</f>
        <v>58545</v>
      </c>
      <c r="C3465" s="2">
        <v>9.7024065149273902E-4</v>
      </c>
      <c r="D3465" s="2">
        <v>0</v>
      </c>
      <c r="E3465" s="2">
        <v>0</v>
      </c>
      <c r="F3465" s="2">
        <v>8.3302606961912899E-4</v>
      </c>
    </row>
    <row r="3466" spans="1:6" x14ac:dyDescent="0.25">
      <c r="A3466" s="1" t="str">
        <f t="shared" si="129"/>
        <v>13900</v>
      </c>
      <c r="B3466" s="1" t="str">
        <f>"58477"</f>
        <v>58477</v>
      </c>
      <c r="C3466" s="2">
        <v>1.39969143166165E-3</v>
      </c>
      <c r="D3466" s="2">
        <v>4.38853130485664E-4</v>
      </c>
      <c r="E3466" s="2">
        <v>2.8409090909090902E-4</v>
      </c>
      <c r="F3466" s="2">
        <v>1.2563671869665501E-3</v>
      </c>
    </row>
    <row r="3467" spans="1:6" x14ac:dyDescent="0.25">
      <c r="A3467" s="1" t="str">
        <f t="shared" si="129"/>
        <v>13900</v>
      </c>
      <c r="B3467" s="1" t="str">
        <f>"58504"</f>
        <v>58504</v>
      </c>
      <c r="C3467" s="2">
        <v>0.204164082009193</v>
      </c>
      <c r="D3467" s="2">
        <v>0.22396138092451701</v>
      </c>
      <c r="E3467" s="2">
        <v>0.19176136363636301</v>
      </c>
      <c r="F3467" s="2">
        <v>0.205416035069031</v>
      </c>
    </row>
    <row r="3468" spans="1:6" x14ac:dyDescent="0.25">
      <c r="A3468" s="1" t="str">
        <f t="shared" si="129"/>
        <v>13900</v>
      </c>
      <c r="B3468" s="1" t="str">
        <f>"58494"</f>
        <v>58494</v>
      </c>
      <c r="C3468" s="2">
        <v>2.97434429228101E-3</v>
      </c>
      <c r="D3468" s="2">
        <v>1.02399063779988E-3</v>
      </c>
      <c r="E3468" s="2">
        <v>1.4204545454545401E-3</v>
      </c>
      <c r="F3468" s="2">
        <v>2.7175768500689599E-3</v>
      </c>
    </row>
    <row r="3469" spans="1:6" x14ac:dyDescent="0.25">
      <c r="A3469" s="1" t="str">
        <f t="shared" si="129"/>
        <v>13900</v>
      </c>
      <c r="B3469" s="1" t="str">
        <f>"58506"</f>
        <v>58506</v>
      </c>
      <c r="C3469" s="2">
        <v>1.1133909115490399E-3</v>
      </c>
      <c r="D3469" s="2">
        <v>4.2422469280280796E-3</v>
      </c>
      <c r="E3469" s="2">
        <v>5.6818181818181805E-4</v>
      </c>
      <c r="F3469" s="2">
        <v>1.37927267264806E-3</v>
      </c>
    </row>
    <row r="3470" spans="1:6" x14ac:dyDescent="0.25">
      <c r="A3470" s="1" t="str">
        <f t="shared" si="129"/>
        <v>13900</v>
      </c>
      <c r="B3470" s="1" t="str">
        <f>"58523"</f>
        <v>58523</v>
      </c>
      <c r="C3470" s="2">
        <v>8.1118480698573199E-4</v>
      </c>
      <c r="D3470" s="2">
        <v>0</v>
      </c>
      <c r="E3470" s="2">
        <v>0</v>
      </c>
      <c r="F3470" s="2">
        <v>6.9646441886189498E-4</v>
      </c>
    </row>
    <row r="3471" spans="1:6" x14ac:dyDescent="0.25">
      <c r="A3471" s="1" t="str">
        <f t="shared" ref="A3471:A3484" si="130">"13940"</f>
        <v>13940</v>
      </c>
      <c r="B3471" s="1" t="str">
        <f>"83221"</f>
        <v>83221</v>
      </c>
      <c r="C3471" s="2">
        <v>0.62394921942014003</v>
      </c>
      <c r="D3471" s="2">
        <v>0.81558641975308599</v>
      </c>
      <c r="E3471" s="2">
        <v>0.75094339622641504</v>
      </c>
      <c r="F3471" s="2">
        <v>0.64029410241805995</v>
      </c>
    </row>
    <row r="3472" spans="1:6" x14ac:dyDescent="0.25">
      <c r="A3472" s="1" t="str">
        <f t="shared" si="130"/>
        <v>13940</v>
      </c>
      <c r="B3472" s="1" t="str">
        <f>"83210"</f>
        <v>83210</v>
      </c>
      <c r="C3472" s="2">
        <v>5.5469777549036398E-2</v>
      </c>
      <c r="D3472" s="2">
        <v>2.1604938271604899E-2</v>
      </c>
      <c r="E3472" s="2">
        <v>1.13207547169811E-2</v>
      </c>
      <c r="F3472" s="2">
        <v>5.1985709107854799E-2</v>
      </c>
    </row>
    <row r="3473" spans="1:6" x14ac:dyDescent="0.25">
      <c r="A3473" s="1" t="str">
        <f t="shared" si="130"/>
        <v>13940</v>
      </c>
      <c r="B3473" s="1" t="str">
        <f>"83211"</f>
        <v>83211</v>
      </c>
      <c r="C3473" s="2">
        <v>5.1466803911477004E-4</v>
      </c>
      <c r="D3473" s="2">
        <v>0</v>
      </c>
      <c r="E3473" s="2">
        <v>0</v>
      </c>
      <c r="F3473" s="2">
        <v>4.6600735256045099E-4</v>
      </c>
    </row>
    <row r="3474" spans="1:6" x14ac:dyDescent="0.25">
      <c r="A3474" s="1" t="str">
        <f t="shared" si="130"/>
        <v>13940</v>
      </c>
      <c r="B3474" s="1" t="str">
        <f>"83402"</f>
        <v>83402</v>
      </c>
      <c r="C3474" s="2">
        <v>1.14370675358837E-4</v>
      </c>
      <c r="D3474" s="2">
        <v>0</v>
      </c>
      <c r="E3474" s="2">
        <v>0</v>
      </c>
      <c r="F3474" s="2">
        <v>1.03557189457878E-4</v>
      </c>
    </row>
    <row r="3475" spans="1:6" x14ac:dyDescent="0.25">
      <c r="A3475" s="1" t="str">
        <f t="shared" si="130"/>
        <v>13940</v>
      </c>
      <c r="B3475" s="1" t="str">
        <f>"83274"</f>
        <v>83274</v>
      </c>
      <c r="C3475" s="2">
        <v>0.199233716475095</v>
      </c>
      <c r="D3475" s="2">
        <v>0.131944444444444</v>
      </c>
      <c r="E3475" s="2">
        <v>0.20377358490566</v>
      </c>
      <c r="F3475" s="2">
        <v>0.19484285196499701</v>
      </c>
    </row>
    <row r="3476" spans="1:6" x14ac:dyDescent="0.25">
      <c r="A3476" s="1" t="str">
        <f t="shared" si="130"/>
        <v>13940</v>
      </c>
      <c r="B3476" s="1" t="str">
        <f>"83277"</f>
        <v>83277</v>
      </c>
      <c r="C3476" s="2">
        <v>3.6598616114828101E-3</v>
      </c>
      <c r="D3476" s="2">
        <v>7.7160493827160403E-4</v>
      </c>
      <c r="E3476" s="2">
        <v>1.88679245283018E-3</v>
      </c>
      <c r="F3476" s="2">
        <v>3.4173872521099701E-3</v>
      </c>
    </row>
    <row r="3477" spans="1:6" x14ac:dyDescent="0.25">
      <c r="A3477" s="1" t="str">
        <f t="shared" si="130"/>
        <v>13940</v>
      </c>
      <c r="B3477" s="1" t="str">
        <f>"83215"</f>
        <v>83215</v>
      </c>
      <c r="C3477" s="2">
        <v>1.8299308057414E-3</v>
      </c>
      <c r="D3477" s="2">
        <v>7.7160493827160403E-4</v>
      </c>
      <c r="E3477" s="2">
        <v>0</v>
      </c>
      <c r="F3477" s="2">
        <v>1.7086936260549801E-3</v>
      </c>
    </row>
    <row r="3478" spans="1:6" x14ac:dyDescent="0.25">
      <c r="A3478" s="1" t="str">
        <f t="shared" si="130"/>
        <v>13940</v>
      </c>
      <c r="B3478" s="1" t="str">
        <f>"83202"</f>
        <v>83202</v>
      </c>
      <c r="C3478" s="2">
        <v>3.3053125178704103E-2</v>
      </c>
      <c r="D3478" s="2">
        <v>4.6296296296296198E-3</v>
      </c>
      <c r="E3478" s="2">
        <v>1.6981132075471601E-2</v>
      </c>
      <c r="F3478" s="2">
        <v>3.0704706674260802E-2</v>
      </c>
    </row>
    <row r="3479" spans="1:6" x14ac:dyDescent="0.25">
      <c r="A3479" s="1" t="str">
        <f t="shared" si="130"/>
        <v>13940</v>
      </c>
      <c r="B3479" s="1" t="str">
        <f>"83236"</f>
        <v>83236</v>
      </c>
      <c r="C3479" s="2">
        <v>4.8950649053582602E-2</v>
      </c>
      <c r="D3479" s="2">
        <v>1.6975308641975301E-2</v>
      </c>
      <c r="E3479" s="2">
        <v>1.13207547169811E-2</v>
      </c>
      <c r="F3479" s="2">
        <v>4.5772277740382103E-2</v>
      </c>
    </row>
    <row r="3480" spans="1:6" x14ac:dyDescent="0.25">
      <c r="A3480" s="1" t="str">
        <f t="shared" si="130"/>
        <v>13940</v>
      </c>
      <c r="B3480" s="1" t="str">
        <f>"83203"</f>
        <v>83203</v>
      </c>
      <c r="C3480" s="2">
        <v>0</v>
      </c>
      <c r="D3480" s="2">
        <v>0</v>
      </c>
      <c r="E3480" s="2">
        <v>1.88679245283018E-3</v>
      </c>
      <c r="F3480" s="2">
        <v>5.1778594728939E-5</v>
      </c>
    </row>
    <row r="3481" spans="1:6" x14ac:dyDescent="0.25">
      <c r="A3481" s="1" t="str">
        <f t="shared" si="130"/>
        <v>13940</v>
      </c>
      <c r="B3481" s="1" t="str">
        <f>"83256"</f>
        <v>83256</v>
      </c>
      <c r="C3481" s="2">
        <v>4.5748270143535098E-3</v>
      </c>
      <c r="D3481" s="2">
        <v>1.5432098765432E-3</v>
      </c>
      <c r="E3481" s="2">
        <v>0</v>
      </c>
      <c r="F3481" s="2">
        <v>4.245844767773E-3</v>
      </c>
    </row>
    <row r="3482" spans="1:6" x14ac:dyDescent="0.25">
      <c r="A3482" s="1" t="str">
        <f t="shared" si="130"/>
        <v>13940</v>
      </c>
      <c r="B3482" s="1" t="str">
        <f>"83218"</f>
        <v>83218</v>
      </c>
      <c r="C3482" s="2">
        <v>0</v>
      </c>
      <c r="D3482" s="2">
        <v>0</v>
      </c>
      <c r="E3482" s="2">
        <v>1.88679245283018E-3</v>
      </c>
      <c r="F3482" s="2">
        <v>5.1778594728939E-5</v>
      </c>
    </row>
    <row r="3483" spans="1:6" x14ac:dyDescent="0.25">
      <c r="A3483" s="1" t="str">
        <f t="shared" si="130"/>
        <v>13940</v>
      </c>
      <c r="B3483" s="1" t="str">
        <f>"83262"</f>
        <v>83262</v>
      </c>
      <c r="C3483" s="2">
        <v>2.8478298164350602E-2</v>
      </c>
      <c r="D3483" s="2">
        <v>6.1728395061728296E-3</v>
      </c>
      <c r="E3483" s="2">
        <v>0</v>
      </c>
      <c r="F3483" s="2">
        <v>2.6199968932843098E-2</v>
      </c>
    </row>
    <row r="3484" spans="1:6" x14ac:dyDescent="0.25">
      <c r="A3484" s="1" t="str">
        <f t="shared" si="130"/>
        <v>13940</v>
      </c>
      <c r="B3484" s="1" t="str">
        <f>"83404"</f>
        <v>83404</v>
      </c>
      <c r="C3484" s="2">
        <v>1.71556013038256E-4</v>
      </c>
      <c r="D3484" s="2">
        <v>0</v>
      </c>
      <c r="E3484" s="2">
        <v>0</v>
      </c>
      <c r="F3484" s="2">
        <v>1.5533578418681701E-4</v>
      </c>
    </row>
    <row r="3485" spans="1:6" x14ac:dyDescent="0.25">
      <c r="A3485" s="1" t="str">
        <f t="shared" ref="A3485:A3518" si="131">"13980"</f>
        <v>13980</v>
      </c>
      <c r="B3485" s="1" t="str">
        <f>"24068"</f>
        <v>24068</v>
      </c>
      <c r="C3485" s="2">
        <v>2.4640604324310401E-2</v>
      </c>
      <c r="D3485" s="2">
        <v>6.6137566137566106E-2</v>
      </c>
      <c r="E3485" s="2">
        <v>5.5020632737276401E-4</v>
      </c>
      <c r="F3485" s="2">
        <v>2.65076209410205E-2</v>
      </c>
    </row>
    <row r="3486" spans="1:6" x14ac:dyDescent="0.25">
      <c r="A3486" s="1" t="str">
        <f t="shared" si="131"/>
        <v>13980</v>
      </c>
      <c r="B3486" s="1" t="str">
        <f>"24128"</f>
        <v>24128</v>
      </c>
      <c r="C3486" s="2">
        <v>8.5047341307056806E-3</v>
      </c>
      <c r="D3486" s="2">
        <v>2.6455026455026402E-3</v>
      </c>
      <c r="E3486" s="2">
        <v>3.8514442916093498E-3</v>
      </c>
      <c r="F3486" s="2">
        <v>7.9065834875802592E-3</v>
      </c>
    </row>
    <row r="3487" spans="1:6" x14ac:dyDescent="0.25">
      <c r="A3487" s="1" t="str">
        <f t="shared" si="131"/>
        <v>13980</v>
      </c>
      <c r="B3487" s="1" t="str">
        <f>"24134"</f>
        <v>24134</v>
      </c>
      <c r="C3487" s="2">
        <v>3.5560580171893202E-2</v>
      </c>
      <c r="D3487" s="2">
        <v>3.8855820105820102E-2</v>
      </c>
      <c r="E3487" s="2">
        <v>2.3658872077028801E-2</v>
      </c>
      <c r="F3487" s="2">
        <v>3.5293983227074298E-2</v>
      </c>
    </row>
    <row r="3488" spans="1:6" x14ac:dyDescent="0.25">
      <c r="A3488" s="1" t="str">
        <f t="shared" si="131"/>
        <v>13980</v>
      </c>
      <c r="B3488" s="1" t="str">
        <f>"24060"</f>
        <v>24060</v>
      </c>
      <c r="C3488" s="2">
        <v>0.28874985547090698</v>
      </c>
      <c r="D3488" s="2">
        <v>0.24950396825396801</v>
      </c>
      <c r="E3488" s="2">
        <v>0.48995873452544703</v>
      </c>
      <c r="F3488" s="2">
        <v>0.294394552226868</v>
      </c>
    </row>
    <row r="3489" spans="1:6" x14ac:dyDescent="0.25">
      <c r="A3489" s="1" t="str">
        <f t="shared" si="131"/>
        <v>13980</v>
      </c>
      <c r="B3489" s="1" t="str">
        <f>"24129"</f>
        <v>24129</v>
      </c>
      <c r="C3489" s="2">
        <v>0</v>
      </c>
      <c r="D3489" s="2">
        <v>0</v>
      </c>
      <c r="E3489" s="2">
        <v>2.7510316368638201E-4</v>
      </c>
      <c r="F3489" s="2">
        <v>1.1425698681474301E-5</v>
      </c>
    </row>
    <row r="3490" spans="1:6" x14ac:dyDescent="0.25">
      <c r="A3490" s="1" t="str">
        <f t="shared" si="131"/>
        <v>13980</v>
      </c>
      <c r="B3490" s="1" t="str">
        <f>"24149"</f>
        <v>24149</v>
      </c>
      <c r="C3490" s="2">
        <v>1.52622721257981E-2</v>
      </c>
      <c r="D3490" s="2">
        <v>4.96031746031746E-3</v>
      </c>
      <c r="E3490" s="2">
        <v>1.37551581843191E-3</v>
      </c>
      <c r="F3490" s="2">
        <v>1.3973629487443099E-2</v>
      </c>
    </row>
    <row r="3491" spans="1:6" x14ac:dyDescent="0.25">
      <c r="A3491" s="1" t="str">
        <f t="shared" si="131"/>
        <v>13980</v>
      </c>
      <c r="B3491" s="1" t="str">
        <f>"24315"</f>
        <v>24315</v>
      </c>
      <c r="C3491" s="2">
        <v>4.2395200349439201E-4</v>
      </c>
      <c r="D3491" s="2">
        <v>0</v>
      </c>
      <c r="E3491" s="2">
        <v>0</v>
      </c>
      <c r="F3491" s="2">
        <v>3.7704805648865398E-4</v>
      </c>
    </row>
    <row r="3492" spans="1:6" x14ac:dyDescent="0.25">
      <c r="A3492" s="1" t="str">
        <f t="shared" si="131"/>
        <v>13980</v>
      </c>
      <c r="B3492" s="1" t="str">
        <f>"24058"</f>
        <v>24058</v>
      </c>
      <c r="C3492" s="2">
        <v>0</v>
      </c>
      <c r="D3492" s="2">
        <v>0</v>
      </c>
      <c r="E3492" s="2">
        <v>2.7510316368638201E-4</v>
      </c>
      <c r="F3492" s="2">
        <v>1.1425698681474301E-5</v>
      </c>
    </row>
    <row r="3493" spans="1:6" x14ac:dyDescent="0.25">
      <c r="A3493" s="1" t="str">
        <f t="shared" si="131"/>
        <v>13980</v>
      </c>
      <c r="B3493" s="1" t="str">
        <f>"24313"</f>
        <v>24313</v>
      </c>
      <c r="C3493" s="2">
        <v>1.15623273680288E-4</v>
      </c>
      <c r="D3493" s="2">
        <v>0</v>
      </c>
      <c r="E3493" s="2">
        <v>0</v>
      </c>
      <c r="F3493" s="2">
        <v>1.02831288133269E-4</v>
      </c>
    </row>
    <row r="3494" spans="1:6" x14ac:dyDescent="0.25">
      <c r="A3494" s="1" t="str">
        <f t="shared" si="131"/>
        <v>13980</v>
      </c>
      <c r="B3494" s="1" t="str">
        <f>"24086"</f>
        <v>24086</v>
      </c>
      <c r="C3494" s="2">
        <v>9.5068025026015198E-4</v>
      </c>
      <c r="D3494" s="2">
        <v>0</v>
      </c>
      <c r="E3494" s="2">
        <v>2.7510316368638201E-4</v>
      </c>
      <c r="F3494" s="2">
        <v>8.5692740111057699E-4</v>
      </c>
    </row>
    <row r="3495" spans="1:6" x14ac:dyDescent="0.25">
      <c r="A3495" s="1" t="str">
        <f t="shared" si="131"/>
        <v>13980</v>
      </c>
      <c r="B3495" s="1" t="str">
        <f>"24147"</f>
        <v>24147</v>
      </c>
      <c r="C3495" s="2">
        <v>3.76417990981384E-3</v>
      </c>
      <c r="D3495" s="2">
        <v>1.3227513227513201E-3</v>
      </c>
      <c r="E3495" s="2">
        <v>3.3012379642365802E-3</v>
      </c>
      <c r="F3495" s="2">
        <v>3.5762436873014699E-3</v>
      </c>
    </row>
    <row r="3496" spans="1:6" x14ac:dyDescent="0.25">
      <c r="A3496" s="1" t="str">
        <f t="shared" si="131"/>
        <v>13980</v>
      </c>
      <c r="B3496" s="1" t="str">
        <f>"24136"</f>
        <v>24136</v>
      </c>
      <c r="C3496" s="2">
        <v>2.1210447205128501E-2</v>
      </c>
      <c r="D3496" s="2">
        <v>1.07473544973544E-2</v>
      </c>
      <c r="E3496" s="2">
        <v>1.0729023383768899E-2</v>
      </c>
      <c r="F3496" s="2">
        <v>2.0052101185987499E-2</v>
      </c>
    </row>
    <row r="3497" spans="1:6" x14ac:dyDescent="0.25">
      <c r="A3497" s="1" t="str">
        <f t="shared" si="131"/>
        <v>13980</v>
      </c>
      <c r="B3497" s="1" t="str">
        <f>"24124"</f>
        <v>24124</v>
      </c>
      <c r="C3497" s="2">
        <v>2.75568802271354E-2</v>
      </c>
      <c r="D3497" s="2">
        <v>1.85185185185185E-2</v>
      </c>
      <c r="E3497" s="2">
        <v>5.7771664374140297E-3</v>
      </c>
      <c r="F3497" s="2">
        <v>2.6027741596398601E-2</v>
      </c>
    </row>
    <row r="3498" spans="1:6" x14ac:dyDescent="0.25">
      <c r="A3498" s="1" t="str">
        <f t="shared" si="131"/>
        <v>13980</v>
      </c>
      <c r="B3498" s="1" t="str">
        <f>"24347"</f>
        <v>24347</v>
      </c>
      <c r="C3498" s="2">
        <v>1.1575174398437801E-2</v>
      </c>
      <c r="D3498" s="2">
        <v>2.1494708994708898E-3</v>
      </c>
      <c r="E3498" s="2">
        <v>2.7510316368638201E-4</v>
      </c>
      <c r="F3498" s="2">
        <v>1.0454514293548999E-2</v>
      </c>
    </row>
    <row r="3499" spans="1:6" x14ac:dyDescent="0.25">
      <c r="A3499" s="1" t="str">
        <f t="shared" si="131"/>
        <v>13980</v>
      </c>
      <c r="B3499" s="1" t="str">
        <f>"24301"</f>
        <v>24301</v>
      </c>
      <c r="C3499" s="2">
        <v>9.0879893112706903E-2</v>
      </c>
      <c r="D3499" s="2">
        <v>9.7552910052910002E-2</v>
      </c>
      <c r="E3499" s="2">
        <v>4.45667125171939E-2</v>
      </c>
      <c r="F3499" s="2">
        <v>8.9417517881218406E-2</v>
      </c>
    </row>
    <row r="3500" spans="1:6" x14ac:dyDescent="0.25">
      <c r="A3500" s="1" t="str">
        <f t="shared" si="131"/>
        <v>13980</v>
      </c>
      <c r="B3500" s="1" t="str">
        <f>"24111"</f>
        <v>24111</v>
      </c>
      <c r="C3500" s="2">
        <v>0</v>
      </c>
      <c r="D3500" s="2">
        <v>0</v>
      </c>
      <c r="E3500" s="2">
        <v>2.7510316368638201E-4</v>
      </c>
      <c r="F3500" s="2">
        <v>1.1425698681474301E-5</v>
      </c>
    </row>
    <row r="3501" spans="1:6" x14ac:dyDescent="0.25">
      <c r="A3501" s="1" t="str">
        <f t="shared" si="131"/>
        <v>13980</v>
      </c>
      <c r="B3501" s="1" t="str">
        <f>"24162"</f>
        <v>24162</v>
      </c>
      <c r="C3501" s="2">
        <v>1.2654324952787101E-2</v>
      </c>
      <c r="D3501" s="2">
        <v>3.3068783068783002E-3</v>
      </c>
      <c r="E3501" s="2">
        <v>4.1265474552957303E-3</v>
      </c>
      <c r="F3501" s="2">
        <v>1.16542126551038E-2</v>
      </c>
    </row>
    <row r="3502" spans="1:6" x14ac:dyDescent="0.25">
      <c r="A3502" s="1" t="str">
        <f t="shared" si="131"/>
        <v>13980</v>
      </c>
      <c r="B3502" s="1" t="str">
        <f>"24063"</f>
        <v>24063</v>
      </c>
      <c r="C3502" s="2">
        <v>8.8130628605197908E-3</v>
      </c>
      <c r="D3502" s="2">
        <v>3.1911375661375599E-2</v>
      </c>
      <c r="E3502" s="2">
        <v>5.5020632737276401E-4</v>
      </c>
      <c r="F3502" s="2">
        <v>1.0066040538378901E-2</v>
      </c>
    </row>
    <row r="3503" spans="1:6" x14ac:dyDescent="0.25">
      <c r="A3503" s="1" t="str">
        <f t="shared" si="131"/>
        <v>13980</v>
      </c>
      <c r="B3503" s="1" t="str">
        <f>"24167"</f>
        <v>24167</v>
      </c>
      <c r="C3503" s="2">
        <v>2.1326070478808802E-3</v>
      </c>
      <c r="D3503" s="2">
        <v>0</v>
      </c>
      <c r="E3503" s="2">
        <v>2.7510316368638201E-4</v>
      </c>
      <c r="F3503" s="2">
        <v>1.90809167980622E-3</v>
      </c>
    </row>
    <row r="3504" spans="1:6" x14ac:dyDescent="0.25">
      <c r="A3504" s="1" t="str">
        <f t="shared" si="131"/>
        <v>13980</v>
      </c>
      <c r="B3504" s="1" t="str">
        <f>"24073"</f>
        <v>24073</v>
      </c>
      <c r="C3504" s="2">
        <v>0.19202456352214101</v>
      </c>
      <c r="D3504" s="2">
        <v>0.23032407407407399</v>
      </c>
      <c r="E3504" s="2">
        <v>0.13947730398899499</v>
      </c>
      <c r="F3504" s="2">
        <v>0.192488745686798</v>
      </c>
    </row>
    <row r="3505" spans="1:6" x14ac:dyDescent="0.25">
      <c r="A3505" s="1" t="str">
        <f t="shared" si="131"/>
        <v>13980</v>
      </c>
      <c r="B3505" s="1" t="str">
        <f>"24150"</f>
        <v>24150</v>
      </c>
      <c r="C3505" s="2">
        <v>4.8047893729364398E-3</v>
      </c>
      <c r="D3505" s="2">
        <v>2.1494708994708898E-3</v>
      </c>
      <c r="E3505" s="2">
        <v>1.6506189821182901E-3</v>
      </c>
      <c r="F3505" s="2">
        <v>4.4902995818194196E-3</v>
      </c>
    </row>
    <row r="3506" spans="1:6" x14ac:dyDescent="0.25">
      <c r="A3506" s="1" t="str">
        <f t="shared" si="131"/>
        <v>13980</v>
      </c>
      <c r="B3506" s="1" t="str">
        <f>"24093"</f>
        <v>24093</v>
      </c>
      <c r="C3506" s="2">
        <v>8.7359806780662604E-4</v>
      </c>
      <c r="D3506" s="2">
        <v>9.9206349206349201E-4</v>
      </c>
      <c r="E3506" s="2">
        <v>8.2530949105914699E-4</v>
      </c>
      <c r="F3506" s="2">
        <v>8.7977879847352602E-4</v>
      </c>
    </row>
    <row r="3507" spans="1:6" x14ac:dyDescent="0.25">
      <c r="A3507" s="1" t="str">
        <f t="shared" si="131"/>
        <v>13980</v>
      </c>
      <c r="B3507" s="1" t="str">
        <f>"24084"</f>
        <v>24084</v>
      </c>
      <c r="C3507" s="2">
        <v>6.1447346445869001E-2</v>
      </c>
      <c r="D3507" s="2">
        <v>4.61309523809523E-2</v>
      </c>
      <c r="E3507" s="2">
        <v>5.1719394773039801E-2</v>
      </c>
      <c r="F3507" s="2">
        <v>5.9984918077740403E-2</v>
      </c>
    </row>
    <row r="3508" spans="1:6" x14ac:dyDescent="0.25">
      <c r="A3508" s="1" t="str">
        <f t="shared" si="131"/>
        <v>13980</v>
      </c>
      <c r="B3508" s="1" t="str">
        <f>"24059"</f>
        <v>24059</v>
      </c>
      <c r="C3508" s="2">
        <v>3.8541091226762902E-5</v>
      </c>
      <c r="D3508" s="2">
        <v>0</v>
      </c>
      <c r="E3508" s="2">
        <v>0</v>
      </c>
      <c r="F3508" s="2">
        <v>3.4277096044423097E-5</v>
      </c>
    </row>
    <row r="3509" spans="1:6" x14ac:dyDescent="0.25">
      <c r="A3509" s="1" t="str">
        <f t="shared" si="131"/>
        <v>13980</v>
      </c>
      <c r="B3509" s="1" t="str">
        <f>"24132"</f>
        <v>24132</v>
      </c>
      <c r="C3509" s="2">
        <v>1.2847030408920899E-5</v>
      </c>
      <c r="D3509" s="2">
        <v>0</v>
      </c>
      <c r="E3509" s="2">
        <v>2.7510316368638201E-4</v>
      </c>
      <c r="F3509" s="2">
        <v>2.28513973629487E-5</v>
      </c>
    </row>
    <row r="3510" spans="1:6" x14ac:dyDescent="0.25">
      <c r="A3510" s="1" t="str">
        <f t="shared" si="131"/>
        <v>13980</v>
      </c>
      <c r="B3510" s="1" t="str">
        <f>"24324"</f>
        <v>24324</v>
      </c>
      <c r="C3510" s="2">
        <v>1.0984210999627399E-2</v>
      </c>
      <c r="D3510" s="2">
        <v>3.3068783068783002E-3</v>
      </c>
      <c r="E3510" s="2">
        <v>2.7510316368638201E-4</v>
      </c>
      <c r="F3510" s="2">
        <v>1.00089120449715E-2</v>
      </c>
    </row>
    <row r="3511" spans="1:6" x14ac:dyDescent="0.25">
      <c r="A3511" s="1" t="str">
        <f t="shared" si="131"/>
        <v>13980</v>
      </c>
      <c r="B3511" s="1" t="str">
        <f>"24062"</f>
        <v>24062</v>
      </c>
      <c r="C3511" s="2">
        <v>1.40546512673595E-2</v>
      </c>
      <c r="D3511" s="2">
        <v>3.2407407407407399E-2</v>
      </c>
      <c r="E3511" s="2">
        <v>2.7510316368638201E-4</v>
      </c>
      <c r="F3511" s="2">
        <v>1.4750576997783401E-2</v>
      </c>
    </row>
    <row r="3512" spans="1:6" x14ac:dyDescent="0.25">
      <c r="A3512" s="1" t="str">
        <f t="shared" si="131"/>
        <v>13980</v>
      </c>
      <c r="B3512" s="1" t="str">
        <f>"24061"</f>
        <v>24061</v>
      </c>
      <c r="C3512" s="2">
        <v>0</v>
      </c>
      <c r="D3512" s="2">
        <v>2.3644179894179801E-2</v>
      </c>
      <c r="E3512" s="2">
        <v>0</v>
      </c>
      <c r="F3512" s="2">
        <v>1.63387491145083E-3</v>
      </c>
    </row>
    <row r="3513" spans="1:6" x14ac:dyDescent="0.25">
      <c r="A3513" s="1" t="str">
        <f t="shared" si="131"/>
        <v>13980</v>
      </c>
      <c r="B3513" s="1" t="str">
        <f>"24087"</f>
        <v>24087</v>
      </c>
      <c r="C3513" s="2">
        <v>2.09021184753144E-2</v>
      </c>
      <c r="D3513" s="2">
        <v>6.6137566137566099E-3</v>
      </c>
      <c r="E3513" s="2">
        <v>6.6024759284731699E-3</v>
      </c>
      <c r="F3513" s="2">
        <v>1.9320856470373099E-2</v>
      </c>
    </row>
    <row r="3514" spans="1:6" x14ac:dyDescent="0.25">
      <c r="A3514" s="1" t="str">
        <f t="shared" si="131"/>
        <v>13980</v>
      </c>
      <c r="B3514" s="1" t="str">
        <f>"24138"</f>
        <v>24138</v>
      </c>
      <c r="C3514" s="2">
        <v>4.5478487647580201E-3</v>
      </c>
      <c r="D3514" s="2">
        <v>1.6534391534391501E-4</v>
      </c>
      <c r="E3514" s="2">
        <v>2.7510316368638201E-4</v>
      </c>
      <c r="F3514" s="2">
        <v>4.0675487306048698E-3</v>
      </c>
    </row>
    <row r="3515" spans="1:6" x14ac:dyDescent="0.25">
      <c r="A3515" s="1" t="str">
        <f t="shared" si="131"/>
        <v>13980</v>
      </c>
      <c r="B3515" s="1" t="str">
        <f>"24141"</f>
        <v>24141</v>
      </c>
      <c r="C3515" s="2">
        <v>0.137167743676049</v>
      </c>
      <c r="D3515" s="2">
        <v>0.126322751322751</v>
      </c>
      <c r="E3515" s="2">
        <v>0.20825309491059099</v>
      </c>
      <c r="F3515" s="2">
        <v>0.13937067251662399</v>
      </c>
    </row>
    <row r="3516" spans="1:6" x14ac:dyDescent="0.25">
      <c r="A3516" s="1" t="str">
        <f t="shared" si="131"/>
        <v>13980</v>
      </c>
      <c r="B3516" s="1" t="str">
        <f>"24070"</f>
        <v>24070</v>
      </c>
      <c r="C3516" s="2">
        <v>3.4686982104086602E-4</v>
      </c>
      <c r="D3516" s="2">
        <v>0</v>
      </c>
      <c r="E3516" s="2">
        <v>0</v>
      </c>
      <c r="F3516" s="2">
        <v>3.0849386439980799E-4</v>
      </c>
    </row>
    <row r="3517" spans="1:6" x14ac:dyDescent="0.25">
      <c r="A3517" s="1" t="str">
        <f t="shared" si="131"/>
        <v>13980</v>
      </c>
      <c r="B3517" s="1" t="str">
        <f>"24126"</f>
        <v>24126</v>
      </c>
      <c r="C3517" s="2">
        <v>0</v>
      </c>
      <c r="D3517" s="2">
        <v>0</v>
      </c>
      <c r="E3517" s="2">
        <v>2.7510316368638201E-4</v>
      </c>
      <c r="F3517" s="2">
        <v>1.1425698681474301E-5</v>
      </c>
    </row>
    <row r="3518" spans="1:6" x14ac:dyDescent="0.25">
      <c r="A3518" s="1" t="str">
        <f t="shared" si="131"/>
        <v>13980</v>
      </c>
      <c r="B3518" s="1" t="str">
        <f>"24142"</f>
        <v>24142</v>
      </c>
      <c r="C3518" s="2">
        <v>0</v>
      </c>
      <c r="D3518" s="2">
        <v>3.3068783068783002E-4</v>
      </c>
      <c r="E3518" s="2">
        <v>0</v>
      </c>
      <c r="F3518" s="2">
        <v>2.28513973629487E-5</v>
      </c>
    </row>
    <row r="3519" spans="1:6" x14ac:dyDescent="0.25">
      <c r="A3519" s="1" t="str">
        <f t="shared" ref="A3519:A3560" si="132">"14010"</f>
        <v>14010</v>
      </c>
      <c r="B3519" s="1" t="str">
        <f>"61731"</f>
        <v>61731</v>
      </c>
      <c r="C3519" s="2">
        <v>1.6192051814565801E-3</v>
      </c>
      <c r="D3519" s="2">
        <v>1.51883353584447E-4</v>
      </c>
      <c r="E3519" s="2">
        <v>1.36761487964989E-4</v>
      </c>
      <c r="F3519" s="2">
        <v>1.4123866307516901E-3</v>
      </c>
    </row>
    <row r="3520" spans="1:6" x14ac:dyDescent="0.25">
      <c r="A3520" s="1" t="str">
        <f t="shared" si="132"/>
        <v>14010</v>
      </c>
      <c r="B3520" s="1" t="str">
        <f>"61736"</f>
        <v>61736</v>
      </c>
      <c r="C3520" s="2">
        <v>9.8560315393009194E-3</v>
      </c>
      <c r="D3520" s="2">
        <v>6.0753341433778798E-3</v>
      </c>
      <c r="E3520" s="2">
        <v>1.09409190371991E-3</v>
      </c>
      <c r="F3520" s="2">
        <v>8.9585666293393006E-3</v>
      </c>
    </row>
    <row r="3521" spans="1:6" x14ac:dyDescent="0.25">
      <c r="A3521" s="1" t="str">
        <f t="shared" si="132"/>
        <v>14010</v>
      </c>
      <c r="B3521" s="1" t="str">
        <f>"61709"</f>
        <v>61709</v>
      </c>
      <c r="C3521" s="2">
        <v>0</v>
      </c>
      <c r="D3521" s="2">
        <v>1.51883353584447E-4</v>
      </c>
      <c r="E3521" s="2">
        <v>0</v>
      </c>
      <c r="F3521" s="2">
        <v>1.0088475933940599E-5</v>
      </c>
    </row>
    <row r="3522" spans="1:6" x14ac:dyDescent="0.25">
      <c r="A3522" s="1" t="str">
        <f t="shared" si="132"/>
        <v>14010</v>
      </c>
      <c r="B3522" s="1" t="str">
        <f>"61791"</f>
        <v>61791</v>
      </c>
      <c r="C3522" s="2">
        <v>0</v>
      </c>
      <c r="D3522" s="2">
        <v>1.51883353584447E-4</v>
      </c>
      <c r="E3522" s="2">
        <v>0</v>
      </c>
      <c r="F3522" s="2">
        <v>1.0088475933940599E-5</v>
      </c>
    </row>
    <row r="3523" spans="1:6" x14ac:dyDescent="0.25">
      <c r="A3523" s="1" t="str">
        <f t="shared" si="132"/>
        <v>14010</v>
      </c>
      <c r="B3523" s="1" t="str">
        <f>"61705"</f>
        <v>61705</v>
      </c>
      <c r="C3523" s="2">
        <v>7.2969833503467196E-2</v>
      </c>
      <c r="D3523" s="2">
        <v>3.5692588092344997E-2</v>
      </c>
      <c r="E3523" s="2">
        <v>1.47702407002188E-2</v>
      </c>
      <c r="F3523" s="2">
        <v>6.6200579078518604E-2</v>
      </c>
    </row>
    <row r="3524" spans="1:6" x14ac:dyDescent="0.25">
      <c r="A3524" s="1" t="str">
        <f t="shared" si="132"/>
        <v>14010</v>
      </c>
      <c r="B3524" s="1" t="str">
        <f>"61745"</f>
        <v>61745</v>
      </c>
      <c r="C3524" s="2">
        <v>2.7984089549086499E-2</v>
      </c>
      <c r="D3524" s="2">
        <v>5.1640340218711998E-3</v>
      </c>
      <c r="E3524" s="2">
        <v>6.9748358862144399E-3</v>
      </c>
      <c r="F3524" s="2">
        <v>2.4918535556833401E-2</v>
      </c>
    </row>
    <row r="3525" spans="1:6" x14ac:dyDescent="0.25">
      <c r="A3525" s="1" t="str">
        <f t="shared" si="132"/>
        <v>14010</v>
      </c>
      <c r="B3525" s="1" t="str">
        <f>"61752"</f>
        <v>61752</v>
      </c>
      <c r="C3525" s="2">
        <v>2.4018210191605899E-2</v>
      </c>
      <c r="D3525" s="2">
        <v>2.3845686512758198E-2</v>
      </c>
      <c r="E3525" s="2">
        <v>4.55415754923413E-2</v>
      </c>
      <c r="F3525" s="2">
        <v>2.5594463444407401E-2</v>
      </c>
    </row>
    <row r="3526" spans="1:6" x14ac:dyDescent="0.25">
      <c r="A3526" s="1" t="str">
        <f t="shared" si="132"/>
        <v>14010</v>
      </c>
      <c r="B3526" s="1" t="str">
        <f>"61732"</f>
        <v>61732</v>
      </c>
      <c r="C3526" s="2">
        <v>1.38571110094218E-2</v>
      </c>
      <c r="D3526" s="2">
        <v>4.4046172539489604E-3</v>
      </c>
      <c r="E3526" s="2">
        <v>2.4617067833698002E-3</v>
      </c>
      <c r="F3526" s="2">
        <v>1.23886484468791E-2</v>
      </c>
    </row>
    <row r="3527" spans="1:6" x14ac:dyDescent="0.25">
      <c r="A3527" s="1" t="str">
        <f t="shared" si="132"/>
        <v>14010</v>
      </c>
      <c r="B3527" s="1" t="str">
        <f>"61790"</f>
        <v>61790</v>
      </c>
      <c r="C3527" s="2">
        <v>0</v>
      </c>
      <c r="D3527" s="2">
        <v>3.0376670716889399E-4</v>
      </c>
      <c r="E3527" s="2">
        <v>1.36761487964989E-4</v>
      </c>
      <c r="F3527" s="2">
        <v>3.02654278018219E-5</v>
      </c>
    </row>
    <row r="3528" spans="1:6" x14ac:dyDescent="0.25">
      <c r="A3528" s="1" t="str">
        <f t="shared" si="132"/>
        <v>14010</v>
      </c>
      <c r="B3528" s="1" t="str">
        <f>"61758"</f>
        <v>61758</v>
      </c>
      <c r="C3528" s="2">
        <v>0</v>
      </c>
      <c r="D3528" s="2">
        <v>1.51883353584447E-4</v>
      </c>
      <c r="E3528" s="2">
        <v>0</v>
      </c>
      <c r="F3528" s="2">
        <v>1.0088475933940599E-5</v>
      </c>
    </row>
    <row r="3529" spans="1:6" x14ac:dyDescent="0.25">
      <c r="A3529" s="1" t="str">
        <f t="shared" si="132"/>
        <v>14010</v>
      </c>
      <c r="B3529" s="1" t="str">
        <f>"61842"</f>
        <v>61842</v>
      </c>
      <c r="C3529" s="2">
        <v>5.0453494784516602E-4</v>
      </c>
      <c r="D3529" s="2">
        <v>7.5941676792223498E-4</v>
      </c>
      <c r="E3529" s="2">
        <v>0</v>
      </c>
      <c r="F3529" s="2">
        <v>4.84246844829151E-4</v>
      </c>
    </row>
    <row r="3530" spans="1:6" x14ac:dyDescent="0.25">
      <c r="A3530" s="1" t="str">
        <f t="shared" si="132"/>
        <v>14010</v>
      </c>
      <c r="B3530" s="1" t="str">
        <f>"61701"</f>
        <v>61701</v>
      </c>
      <c r="C3530" s="2">
        <v>0.22353244863716801</v>
      </c>
      <c r="D3530" s="2">
        <v>0.311057108140947</v>
      </c>
      <c r="E3530" s="2">
        <v>0.31591903719912401</v>
      </c>
      <c r="F3530" s="2">
        <v>0.236161133137616</v>
      </c>
    </row>
    <row r="3531" spans="1:6" x14ac:dyDescent="0.25">
      <c r="A3531" s="1" t="str">
        <f t="shared" si="132"/>
        <v>14010</v>
      </c>
      <c r="B3531" s="1" t="str">
        <f>"61722"</f>
        <v>61722</v>
      </c>
      <c r="C3531" s="2">
        <v>2.8160090112288299E-3</v>
      </c>
      <c r="D3531" s="2">
        <v>6.0753341433778798E-4</v>
      </c>
      <c r="E3531" s="2">
        <v>6.8380743982494505E-4</v>
      </c>
      <c r="F3531" s="2">
        <v>2.51203050755122E-3</v>
      </c>
    </row>
    <row r="3532" spans="1:6" x14ac:dyDescent="0.25">
      <c r="A3532" s="1" t="str">
        <f t="shared" si="132"/>
        <v>14010</v>
      </c>
      <c r="B3532" s="1" t="str">
        <f>"61843"</f>
        <v>61843</v>
      </c>
      <c r="C3532" s="2">
        <v>1.2906707968132099E-4</v>
      </c>
      <c r="D3532" s="2">
        <v>0</v>
      </c>
      <c r="E3532" s="2">
        <v>0</v>
      </c>
      <c r="F3532" s="2">
        <v>1.10973235273347E-4</v>
      </c>
    </row>
    <row r="3533" spans="1:6" x14ac:dyDescent="0.25">
      <c r="A3533" s="1" t="str">
        <f t="shared" si="132"/>
        <v>14010</v>
      </c>
      <c r="B3533" s="1" t="str">
        <f>"61854"</f>
        <v>61854</v>
      </c>
      <c r="C3533" s="2">
        <v>3.5200112640360399E-5</v>
      </c>
      <c r="D3533" s="2">
        <v>0</v>
      </c>
      <c r="E3533" s="2">
        <v>0</v>
      </c>
      <c r="F3533" s="2">
        <v>3.02654278018219E-5</v>
      </c>
    </row>
    <row r="3534" spans="1:6" x14ac:dyDescent="0.25">
      <c r="A3534" s="1" t="str">
        <f t="shared" si="132"/>
        <v>14010</v>
      </c>
      <c r="B3534" s="1" t="str">
        <f>"61720"</f>
        <v>61720</v>
      </c>
      <c r="C3534" s="2">
        <v>2.19414035458246E-3</v>
      </c>
      <c r="D3534" s="2">
        <v>6.0753341433778798E-4</v>
      </c>
      <c r="E3534" s="2">
        <v>0</v>
      </c>
      <c r="F3534" s="2">
        <v>1.9268989033826599E-3</v>
      </c>
    </row>
    <row r="3535" spans="1:6" x14ac:dyDescent="0.25">
      <c r="A3535" s="1" t="str">
        <f t="shared" si="132"/>
        <v>14010</v>
      </c>
      <c r="B3535" s="1" t="str">
        <f>"61702"</f>
        <v>61702</v>
      </c>
      <c r="C3535" s="2">
        <v>2.38070095157637E-2</v>
      </c>
      <c r="D3535" s="2">
        <v>0.103432563791008</v>
      </c>
      <c r="E3535" s="2">
        <v>5.47045951859956E-4</v>
      </c>
      <c r="F3535" s="2">
        <v>2.7380123684714899E-2</v>
      </c>
    </row>
    <row r="3536" spans="1:6" x14ac:dyDescent="0.25">
      <c r="A3536" s="1" t="str">
        <f t="shared" si="132"/>
        <v>14010</v>
      </c>
      <c r="B3536" s="1" t="str">
        <f>"61726"</f>
        <v>61726</v>
      </c>
      <c r="C3536" s="2">
        <v>1.3868844380302E-2</v>
      </c>
      <c r="D3536" s="2">
        <v>1.76184690157958E-2</v>
      </c>
      <c r="E3536" s="2">
        <v>3.1591903719912398E-2</v>
      </c>
      <c r="F3536" s="2">
        <v>1.54252797029952E-2</v>
      </c>
    </row>
    <row r="3537" spans="1:6" x14ac:dyDescent="0.25">
      <c r="A3537" s="1" t="str">
        <f t="shared" si="132"/>
        <v>14010</v>
      </c>
      <c r="B3537" s="1" t="str">
        <f>"61759"</f>
        <v>61759</v>
      </c>
      <c r="C3537" s="2">
        <v>7.0400225280720799E-5</v>
      </c>
      <c r="D3537" s="2">
        <v>0</v>
      </c>
      <c r="E3537" s="2">
        <v>0</v>
      </c>
      <c r="F3537" s="2">
        <v>6.0530855603643902E-5</v>
      </c>
    </row>
    <row r="3538" spans="1:6" x14ac:dyDescent="0.25">
      <c r="A3538" s="1" t="str">
        <f t="shared" si="132"/>
        <v>14010</v>
      </c>
      <c r="B3538" s="1" t="str">
        <f>"61799"</f>
        <v>61799</v>
      </c>
      <c r="C3538" s="2">
        <v>0</v>
      </c>
      <c r="D3538" s="2">
        <v>1.51883353584447E-4</v>
      </c>
      <c r="E3538" s="2">
        <v>0</v>
      </c>
      <c r="F3538" s="2">
        <v>1.0088475933940599E-5</v>
      </c>
    </row>
    <row r="3539" spans="1:6" x14ac:dyDescent="0.25">
      <c r="A3539" s="1" t="str">
        <f t="shared" si="132"/>
        <v>14010</v>
      </c>
      <c r="B3539" s="1" t="str">
        <f>"61729"</f>
        <v>61729</v>
      </c>
      <c r="C3539" s="2">
        <v>5.8666854400600702E-5</v>
      </c>
      <c r="D3539" s="2">
        <v>0</v>
      </c>
      <c r="E3539" s="2">
        <v>0</v>
      </c>
      <c r="F3539" s="2">
        <v>5.0442379669703197E-5</v>
      </c>
    </row>
    <row r="3540" spans="1:6" x14ac:dyDescent="0.25">
      <c r="A3540" s="1" t="str">
        <f t="shared" si="132"/>
        <v>14010</v>
      </c>
      <c r="B3540" s="1" t="str">
        <f>"61723"</f>
        <v>61723</v>
      </c>
      <c r="C3540" s="2">
        <v>9.3866967040961101E-5</v>
      </c>
      <c r="D3540" s="2">
        <v>0</v>
      </c>
      <c r="E3540" s="2">
        <v>0</v>
      </c>
      <c r="F3540" s="2">
        <v>8.0707807471525202E-5</v>
      </c>
    </row>
    <row r="3541" spans="1:6" x14ac:dyDescent="0.25">
      <c r="A3541" s="1" t="str">
        <f t="shared" si="132"/>
        <v>14010</v>
      </c>
      <c r="B3541" s="1" t="str">
        <f>"61753"</f>
        <v>61753</v>
      </c>
      <c r="C3541" s="2">
        <v>1.6590986424489799E-2</v>
      </c>
      <c r="D3541" s="2">
        <v>1.3973268529769101E-2</v>
      </c>
      <c r="E3541" s="2">
        <v>7.7954048140043697E-3</v>
      </c>
      <c r="F3541" s="2">
        <v>1.57682878847492E-2</v>
      </c>
    </row>
    <row r="3542" spans="1:6" x14ac:dyDescent="0.25">
      <c r="A3542" s="1" t="str">
        <f t="shared" si="132"/>
        <v>14010</v>
      </c>
      <c r="B3542" s="1" t="str">
        <f>"61761"</f>
        <v>61761</v>
      </c>
      <c r="C3542" s="2">
        <v>0.27084140002581297</v>
      </c>
      <c r="D3542" s="2">
        <v>0.213851761846901</v>
      </c>
      <c r="E3542" s="2">
        <v>0.278583150984682</v>
      </c>
      <c r="F3542" s="2">
        <v>0.26762708957557702</v>
      </c>
    </row>
    <row r="3543" spans="1:6" x14ac:dyDescent="0.25">
      <c r="A3543" s="1" t="str">
        <f t="shared" si="132"/>
        <v>14010</v>
      </c>
      <c r="B3543" s="1" t="str">
        <f>"61770"</f>
        <v>61770</v>
      </c>
      <c r="C3543" s="2">
        <v>6.8640219648702797E-3</v>
      </c>
      <c r="D3543" s="2">
        <v>1.36695018226002E-3</v>
      </c>
      <c r="E3543" s="2">
        <v>2.0514223194748301E-3</v>
      </c>
      <c r="F3543" s="2">
        <v>6.1438818437698599E-3</v>
      </c>
    </row>
    <row r="3544" spans="1:6" x14ac:dyDescent="0.25">
      <c r="A3544" s="1" t="str">
        <f t="shared" si="132"/>
        <v>14010</v>
      </c>
      <c r="B3544" s="1" t="str">
        <f>"61737"</f>
        <v>61737</v>
      </c>
      <c r="C3544" s="2">
        <v>2.8160090112288299E-3</v>
      </c>
      <c r="D3544" s="2">
        <v>7.5941676792223498E-4</v>
      </c>
      <c r="E3544" s="2">
        <v>6.8380743982494505E-4</v>
      </c>
      <c r="F3544" s="2">
        <v>2.5221189834851599E-3</v>
      </c>
    </row>
    <row r="3545" spans="1:6" x14ac:dyDescent="0.25">
      <c r="A3545" s="1" t="str">
        <f t="shared" si="132"/>
        <v>14010</v>
      </c>
      <c r="B3545" s="1" t="str">
        <f>"61845"</f>
        <v>61845</v>
      </c>
      <c r="C3545" s="2">
        <v>2.3466741760240201E-5</v>
      </c>
      <c r="D3545" s="2">
        <v>0</v>
      </c>
      <c r="E3545" s="2">
        <v>0</v>
      </c>
      <c r="F3545" s="2">
        <v>2.0176951867881301E-5</v>
      </c>
    </row>
    <row r="3546" spans="1:6" x14ac:dyDescent="0.25">
      <c r="A3546" s="1" t="str">
        <f t="shared" si="132"/>
        <v>14010</v>
      </c>
      <c r="B3546" s="1" t="str">
        <f>"60936"</f>
        <v>60936</v>
      </c>
      <c r="C3546" s="2">
        <v>5.8666854400600702E-5</v>
      </c>
      <c r="D3546" s="2">
        <v>0</v>
      </c>
      <c r="E3546" s="2">
        <v>0</v>
      </c>
      <c r="F3546" s="2">
        <v>5.0442379669703197E-5</v>
      </c>
    </row>
    <row r="3547" spans="1:6" x14ac:dyDescent="0.25">
      <c r="A3547" s="1" t="str">
        <f t="shared" si="132"/>
        <v>14010</v>
      </c>
      <c r="B3547" s="1" t="str">
        <f>"61748"</f>
        <v>61748</v>
      </c>
      <c r="C3547" s="2">
        <v>1.4948314501273E-2</v>
      </c>
      <c r="D3547" s="2">
        <v>5.0121506682867497E-3</v>
      </c>
      <c r="E3547" s="2">
        <v>4.1165207877461703E-2</v>
      </c>
      <c r="F3547" s="2">
        <v>1.6222269301776501E-2</v>
      </c>
    </row>
    <row r="3548" spans="1:6" x14ac:dyDescent="0.25">
      <c r="A3548" s="1" t="str">
        <f t="shared" si="132"/>
        <v>14010</v>
      </c>
      <c r="B3548" s="1" t="str">
        <f>"61774"</f>
        <v>61774</v>
      </c>
      <c r="C3548" s="2">
        <v>7.3098900583148498E-3</v>
      </c>
      <c r="D3548" s="2">
        <v>1.6707168894289099E-3</v>
      </c>
      <c r="E3548" s="2">
        <v>6.8380743982494505E-4</v>
      </c>
      <c r="F3548" s="2">
        <v>6.4465361217880797E-3</v>
      </c>
    </row>
    <row r="3549" spans="1:6" x14ac:dyDescent="0.25">
      <c r="A3549" s="1" t="str">
        <f t="shared" si="132"/>
        <v>14010</v>
      </c>
      <c r="B3549" s="1" t="str">
        <f>"61738"</f>
        <v>61738</v>
      </c>
      <c r="C3549" s="2">
        <v>1.5253382144156101E-4</v>
      </c>
      <c r="D3549" s="2">
        <v>0</v>
      </c>
      <c r="E3549" s="2">
        <v>0</v>
      </c>
      <c r="F3549" s="2">
        <v>1.3115018714122799E-4</v>
      </c>
    </row>
    <row r="3550" spans="1:6" x14ac:dyDescent="0.25">
      <c r="A3550" s="1" t="str">
        <f t="shared" si="132"/>
        <v>14010</v>
      </c>
      <c r="B3550" s="1" t="str">
        <f>"61704"</f>
        <v>61704</v>
      </c>
      <c r="C3550" s="2">
        <v>0.208595867506776</v>
      </c>
      <c r="D3550" s="2">
        <v>0.22691373025516401</v>
      </c>
      <c r="E3550" s="2">
        <v>0.199808533916849</v>
      </c>
      <c r="F3550" s="2">
        <v>0.20916437153839099</v>
      </c>
    </row>
    <row r="3551" spans="1:6" x14ac:dyDescent="0.25">
      <c r="A3551" s="1" t="str">
        <f t="shared" si="132"/>
        <v>14010</v>
      </c>
      <c r="B3551" s="1" t="str">
        <f>"61730"</f>
        <v>61730</v>
      </c>
      <c r="C3551" s="2">
        <v>3.2501437337932801E-3</v>
      </c>
      <c r="D3551" s="2">
        <v>1.82260024301336E-3</v>
      </c>
      <c r="E3551" s="2">
        <v>5.47045951859956E-4</v>
      </c>
      <c r="F3551" s="2">
        <v>2.9559234486446098E-3</v>
      </c>
    </row>
    <row r="3552" spans="1:6" x14ac:dyDescent="0.25">
      <c r="A3552" s="1" t="str">
        <f t="shared" si="132"/>
        <v>14010</v>
      </c>
      <c r="B3552" s="1" t="str">
        <f>"61725"</f>
        <v>61725</v>
      </c>
      <c r="C3552" s="2">
        <v>5.2565501542938204E-3</v>
      </c>
      <c r="D3552" s="2">
        <v>2.7339003645200401E-3</v>
      </c>
      <c r="E3552" s="2">
        <v>1.91466083150984E-3</v>
      </c>
      <c r="F3552" s="2">
        <v>4.8424684482915098E-3</v>
      </c>
    </row>
    <row r="3553" spans="1:6" x14ac:dyDescent="0.25">
      <c r="A3553" s="1" t="str">
        <f t="shared" si="132"/>
        <v>14010</v>
      </c>
      <c r="B3553" s="1" t="str">
        <f>"61776"</f>
        <v>61776</v>
      </c>
      <c r="C3553" s="2">
        <v>1.0078965586023199E-2</v>
      </c>
      <c r="D3553" s="2">
        <v>1.2150668286755699E-3</v>
      </c>
      <c r="E3553" s="2">
        <v>9.5733041575492305E-4</v>
      </c>
      <c r="F3553" s="2">
        <v>8.8173279662641293E-3</v>
      </c>
    </row>
    <row r="3554" spans="1:6" x14ac:dyDescent="0.25">
      <c r="A3554" s="1" t="str">
        <f t="shared" si="132"/>
        <v>14010</v>
      </c>
      <c r="B3554" s="1" t="str">
        <f>"61744"</f>
        <v>61744</v>
      </c>
      <c r="C3554" s="2">
        <v>1.2988841564293E-2</v>
      </c>
      <c r="D3554" s="2">
        <v>4.4046172539489604E-3</v>
      </c>
      <c r="E3554" s="2">
        <v>7.3851203501094E-3</v>
      </c>
      <c r="F3554" s="2">
        <v>1.2005286361389301E-2</v>
      </c>
    </row>
    <row r="3555" spans="1:6" x14ac:dyDescent="0.25">
      <c r="A3555" s="1" t="str">
        <f t="shared" si="132"/>
        <v>14010</v>
      </c>
      <c r="B3555" s="1" t="str">
        <f>"61728"</f>
        <v>61728</v>
      </c>
      <c r="C3555" s="2">
        <v>9.2341628826545508E-3</v>
      </c>
      <c r="D3555" s="2">
        <v>4.1008505467800696E-3</v>
      </c>
      <c r="E3555" s="2">
        <v>3.6105032822757101E-2</v>
      </c>
      <c r="F3555" s="2">
        <v>1.0875377056788E-2</v>
      </c>
    </row>
    <row r="3556" spans="1:6" x14ac:dyDescent="0.25">
      <c r="A3556" s="1" t="str">
        <f t="shared" si="132"/>
        <v>14010</v>
      </c>
      <c r="B3556" s="1" t="str">
        <f>"61724"</f>
        <v>61724</v>
      </c>
      <c r="C3556" s="2">
        <v>3.82507890691916E-3</v>
      </c>
      <c r="D3556" s="2">
        <v>6.0753341433778798E-4</v>
      </c>
      <c r="E3556" s="2">
        <v>0</v>
      </c>
      <c r="F3556" s="2">
        <v>3.3291970582004101E-3</v>
      </c>
    </row>
    <row r="3557" spans="1:6" x14ac:dyDescent="0.25">
      <c r="A3557" s="1" t="str">
        <f t="shared" si="132"/>
        <v>14010</v>
      </c>
      <c r="B3557" s="1" t="str">
        <f>"61739"</f>
        <v>61739</v>
      </c>
      <c r="C3557" s="2">
        <v>3.5200112640360399E-5</v>
      </c>
      <c r="D3557" s="2">
        <v>0</v>
      </c>
      <c r="E3557" s="2">
        <v>0</v>
      </c>
      <c r="F3557" s="2">
        <v>3.02654278018219E-5</v>
      </c>
    </row>
    <row r="3558" spans="1:6" x14ac:dyDescent="0.25">
      <c r="A3558" s="1" t="str">
        <f t="shared" si="132"/>
        <v>14010</v>
      </c>
      <c r="B3558" s="1" t="str">
        <f>"61754"</f>
        <v>61754</v>
      </c>
      <c r="C3558" s="2">
        <v>6.4768207258263204E-3</v>
      </c>
      <c r="D3558" s="2">
        <v>9.8724179829890596E-3</v>
      </c>
      <c r="E3558" s="2">
        <v>2.4617067833698002E-3</v>
      </c>
      <c r="F3558" s="2">
        <v>6.4061822180523104E-3</v>
      </c>
    </row>
    <row r="3559" spans="1:6" x14ac:dyDescent="0.25">
      <c r="A3559" s="1" t="str">
        <f t="shared" si="132"/>
        <v>14010</v>
      </c>
      <c r="B3559" s="1" t="str">
        <f>"61772"</f>
        <v>61772</v>
      </c>
      <c r="C3559" s="2">
        <v>3.21494362115292E-3</v>
      </c>
      <c r="D3559" s="2">
        <v>1.36695018226002E-3</v>
      </c>
      <c r="E3559" s="2">
        <v>0</v>
      </c>
      <c r="F3559" s="2">
        <v>2.8550386893052E-3</v>
      </c>
    </row>
    <row r="3560" spans="1:6" x14ac:dyDescent="0.25">
      <c r="A3560" s="1" t="str">
        <f t="shared" si="132"/>
        <v>14010</v>
      </c>
      <c r="B3560" s="1" t="str">
        <f>"61755"</f>
        <v>61755</v>
      </c>
      <c r="C3560" s="2">
        <v>2.3466741760240201E-5</v>
      </c>
      <c r="D3560" s="2">
        <v>0</v>
      </c>
      <c r="E3560" s="2">
        <v>0</v>
      </c>
      <c r="F3560" s="2">
        <v>2.0176951867881301E-5</v>
      </c>
    </row>
    <row r="3561" spans="1:6" x14ac:dyDescent="0.25">
      <c r="A3561" s="1" t="str">
        <f t="shared" ref="A3561:A3595" si="133">"14020"</f>
        <v>14020</v>
      </c>
      <c r="B3561" s="1" t="str">
        <f>"47433"</f>
        <v>47433</v>
      </c>
      <c r="C3561" s="2">
        <v>2.6680179596261899E-2</v>
      </c>
      <c r="D3561" s="2">
        <v>7.2554764894656003E-3</v>
      </c>
      <c r="E3561" s="2">
        <v>2.68726906281491E-2</v>
      </c>
      <c r="F3561" s="2">
        <v>2.52207871496089E-2</v>
      </c>
    </row>
    <row r="3562" spans="1:6" x14ac:dyDescent="0.25">
      <c r="A3562" s="1" t="str">
        <f t="shared" si="133"/>
        <v>14020</v>
      </c>
      <c r="B3562" s="1" t="str">
        <f>"47464"</f>
        <v>47464</v>
      </c>
      <c r="C3562" s="2">
        <v>1.8855250598064899E-4</v>
      </c>
      <c r="D3562" s="2">
        <v>6.9764197014092304E-4</v>
      </c>
      <c r="E3562" s="2">
        <v>3.3590863285186401E-4</v>
      </c>
      <c r="F3562" s="2">
        <v>2.3157650972095001E-4</v>
      </c>
    </row>
    <row r="3563" spans="1:6" x14ac:dyDescent="0.25">
      <c r="A3563" s="1" t="str">
        <f t="shared" si="133"/>
        <v>14020</v>
      </c>
      <c r="B3563" s="1" t="str">
        <f>"47405"</f>
        <v>47405</v>
      </c>
      <c r="C3563" s="2">
        <v>0</v>
      </c>
      <c r="D3563" s="2">
        <v>1.4510952978931201E-2</v>
      </c>
      <c r="E3563" s="2">
        <v>2.3513604299630498E-3</v>
      </c>
      <c r="F3563" s="2">
        <v>1.16840875359206E-3</v>
      </c>
    </row>
    <row r="3564" spans="1:6" x14ac:dyDescent="0.25">
      <c r="A3564" s="1" t="str">
        <f t="shared" si="133"/>
        <v>14020</v>
      </c>
      <c r="B3564" s="1" t="str">
        <f>"47406"</f>
        <v>47406</v>
      </c>
      <c r="C3564" s="2">
        <v>7.3064096067501703E-4</v>
      </c>
      <c r="D3564" s="2">
        <v>1.3952839402818401E-4</v>
      </c>
      <c r="E3564" s="2">
        <v>1.67954316425932E-3</v>
      </c>
      <c r="F3564" s="2">
        <v>7.1578193913748205E-4</v>
      </c>
    </row>
    <row r="3565" spans="1:6" x14ac:dyDescent="0.25">
      <c r="A3565" s="1" t="str">
        <f t="shared" si="133"/>
        <v>14020</v>
      </c>
      <c r="B3565" s="1" t="str">
        <f>"47404"</f>
        <v>47404</v>
      </c>
      <c r="C3565" s="2">
        <v>0.14307599844444099</v>
      </c>
      <c r="D3565" s="2">
        <v>0.29119575833682099</v>
      </c>
      <c r="E3565" s="2">
        <v>0.20591199193819201</v>
      </c>
      <c r="F3565" s="2">
        <v>0.15621940821675501</v>
      </c>
    </row>
    <row r="3566" spans="1:6" x14ac:dyDescent="0.25">
      <c r="A3566" s="1" t="str">
        <f t="shared" si="133"/>
        <v>14020</v>
      </c>
      <c r="B3566" s="1" t="str">
        <f>"47468"</f>
        <v>47468</v>
      </c>
      <c r="C3566" s="2">
        <v>1.02643270443216E-2</v>
      </c>
      <c r="D3566" s="2">
        <v>3.2091530626482401E-3</v>
      </c>
      <c r="E3566" s="2">
        <v>6.7181726570372802E-4</v>
      </c>
      <c r="F3566" s="2">
        <v>9.4314796686350601E-3</v>
      </c>
    </row>
    <row r="3567" spans="1:6" x14ac:dyDescent="0.25">
      <c r="A3567" s="1" t="str">
        <f t="shared" si="133"/>
        <v>14020</v>
      </c>
      <c r="B3567" s="1" t="str">
        <f>"47427"</f>
        <v>47427</v>
      </c>
      <c r="C3567" s="2">
        <v>6.0454647230045802E-3</v>
      </c>
      <c r="D3567" s="2">
        <v>9.7669875819729295E-4</v>
      </c>
      <c r="E3567" s="2">
        <v>3.3590863285186401E-4</v>
      </c>
      <c r="F3567" s="2">
        <v>5.4841527983915898E-3</v>
      </c>
    </row>
    <row r="3568" spans="1:6" x14ac:dyDescent="0.25">
      <c r="A3568" s="1" t="str">
        <f t="shared" si="133"/>
        <v>14020</v>
      </c>
      <c r="B3568" s="1" t="str">
        <f>"47408"</f>
        <v>47408</v>
      </c>
      <c r="C3568" s="2">
        <v>0.15524941961181701</v>
      </c>
      <c r="D3568" s="2">
        <v>8.0507883354262497E-2</v>
      </c>
      <c r="E3568" s="2">
        <v>0.180718844474302</v>
      </c>
      <c r="F3568" s="2">
        <v>0.15040894306375699</v>
      </c>
    </row>
    <row r="3569" spans="1:6" x14ac:dyDescent="0.25">
      <c r="A3569" s="1" t="str">
        <f t="shared" si="133"/>
        <v>14020</v>
      </c>
      <c r="B3569" s="1" t="str">
        <f>"47431"</f>
        <v>47431</v>
      </c>
      <c r="C3569" s="2">
        <v>7.6835146187114699E-3</v>
      </c>
      <c r="D3569" s="2">
        <v>9.7669875819729295E-4</v>
      </c>
      <c r="E3569" s="2">
        <v>3.3590863285186401E-4</v>
      </c>
      <c r="F3569" s="2">
        <v>6.9472952916285E-3</v>
      </c>
    </row>
    <row r="3570" spans="1:6" x14ac:dyDescent="0.25">
      <c r="A3570" s="1" t="str">
        <f t="shared" si="133"/>
        <v>14020</v>
      </c>
      <c r="B3570" s="1" t="str">
        <f>"47264"</f>
        <v>47264</v>
      </c>
      <c r="C3570" s="2">
        <v>1.29629847861696E-4</v>
      </c>
      <c r="D3570" s="2">
        <v>1.3952839402818401E-4</v>
      </c>
      <c r="E3570" s="2">
        <v>0</v>
      </c>
      <c r="F3570" s="2">
        <v>1.2631445984779099E-4</v>
      </c>
    </row>
    <row r="3571" spans="1:6" x14ac:dyDescent="0.25">
      <c r="A3571" s="1" t="str">
        <f t="shared" si="133"/>
        <v>14020</v>
      </c>
      <c r="B3571" s="1" t="str">
        <f>"46151"</f>
        <v>46151</v>
      </c>
      <c r="C3571" s="2">
        <v>4.2424313845646199E-4</v>
      </c>
      <c r="D3571" s="2">
        <v>1.3952839402818401E-4</v>
      </c>
      <c r="E3571" s="2">
        <v>0</v>
      </c>
      <c r="F3571" s="2">
        <v>3.8946958453068902E-4</v>
      </c>
    </row>
    <row r="3572" spans="1:6" x14ac:dyDescent="0.25">
      <c r="A3572" s="1" t="str">
        <f t="shared" si="133"/>
        <v>14020</v>
      </c>
      <c r="B3572" s="1" t="str">
        <f>"47833"</f>
        <v>47833</v>
      </c>
      <c r="C3572" s="2">
        <v>3.5707130820085498E-3</v>
      </c>
      <c r="D3572" s="2">
        <v>8.3717036416910799E-4</v>
      </c>
      <c r="E3572" s="2">
        <v>6.7181726570372802E-4</v>
      </c>
      <c r="F3572" s="2">
        <v>3.2736497510552501E-3</v>
      </c>
    </row>
    <row r="3573" spans="1:6" x14ac:dyDescent="0.25">
      <c r="A3573" s="1" t="str">
        <f t="shared" si="133"/>
        <v>14020</v>
      </c>
      <c r="B3573" s="1" t="str">
        <f>"47458"</f>
        <v>47458</v>
      </c>
      <c r="C3573" s="2">
        <v>0</v>
      </c>
      <c r="D3573" s="2">
        <v>1.3952839402818401E-4</v>
      </c>
      <c r="E3573" s="2">
        <v>0</v>
      </c>
      <c r="F3573" s="2">
        <v>1.05262049873159E-5</v>
      </c>
    </row>
    <row r="3574" spans="1:6" x14ac:dyDescent="0.25">
      <c r="A3574" s="1" t="str">
        <f t="shared" si="133"/>
        <v>14020</v>
      </c>
      <c r="B3574" s="1" t="str">
        <f>"47426"</f>
        <v>47426</v>
      </c>
      <c r="C3574" s="2">
        <v>4.46633748541664E-3</v>
      </c>
      <c r="D3574" s="2">
        <v>9.7669875819729295E-3</v>
      </c>
      <c r="E3574" s="2">
        <v>3.3590863285186401E-4</v>
      </c>
      <c r="F3574" s="2">
        <v>4.7367922442921604E-3</v>
      </c>
    </row>
    <row r="3575" spans="1:6" x14ac:dyDescent="0.25">
      <c r="A3575" s="1" t="str">
        <f t="shared" si="133"/>
        <v>14020</v>
      </c>
      <c r="B3575" s="1" t="str">
        <f>"46166"</f>
        <v>46166</v>
      </c>
      <c r="C3575" s="2">
        <v>1.13131503588389E-3</v>
      </c>
      <c r="D3575" s="2">
        <v>0</v>
      </c>
      <c r="E3575" s="2">
        <v>0</v>
      </c>
      <c r="F3575" s="2">
        <v>1.0105156787823201E-3</v>
      </c>
    </row>
    <row r="3576" spans="1:6" x14ac:dyDescent="0.25">
      <c r="A3576" s="1" t="str">
        <f t="shared" si="133"/>
        <v>14020</v>
      </c>
      <c r="B3576" s="1" t="str">
        <f>"47459"</f>
        <v>47459</v>
      </c>
      <c r="C3576" s="2">
        <v>1.19023769400285E-3</v>
      </c>
      <c r="D3576" s="2">
        <v>0</v>
      </c>
      <c r="E3576" s="2">
        <v>0</v>
      </c>
      <c r="F3576" s="2">
        <v>1.0631467037189E-3</v>
      </c>
    </row>
    <row r="3577" spans="1:6" x14ac:dyDescent="0.25">
      <c r="A3577" s="1" t="str">
        <f t="shared" si="133"/>
        <v>14020</v>
      </c>
      <c r="B3577" s="1" t="str">
        <f>"47462"</f>
        <v>47462</v>
      </c>
      <c r="C3577" s="2">
        <v>2.2037074136488401E-3</v>
      </c>
      <c r="D3577" s="2">
        <v>1.3952839402818401E-4</v>
      </c>
      <c r="E3577" s="2">
        <v>0</v>
      </c>
      <c r="F3577" s="2">
        <v>1.9789265376153899E-3</v>
      </c>
    </row>
    <row r="3578" spans="1:6" x14ac:dyDescent="0.25">
      <c r="A3578" s="1" t="str">
        <f t="shared" si="133"/>
        <v>14020</v>
      </c>
      <c r="B3578" s="1" t="str">
        <f>"47436"</f>
        <v>47436</v>
      </c>
      <c r="C3578" s="2">
        <v>2.0387239709157702E-3</v>
      </c>
      <c r="D3578" s="2">
        <v>8.3717036416910799E-4</v>
      </c>
      <c r="E3578" s="2">
        <v>6.7181726570372802E-4</v>
      </c>
      <c r="F3578" s="2">
        <v>1.9052431027041801E-3</v>
      </c>
    </row>
    <row r="3579" spans="1:6" x14ac:dyDescent="0.25">
      <c r="A3579" s="1" t="str">
        <f t="shared" si="133"/>
        <v>14020</v>
      </c>
      <c r="B3579" s="1" t="str">
        <f>"47407"</f>
        <v>47407</v>
      </c>
      <c r="C3579" s="2">
        <v>1.9468046242502E-2</v>
      </c>
      <c r="D3579" s="2">
        <v>5.6090414399330199E-2</v>
      </c>
      <c r="E3579" s="2">
        <v>6.7181726570372802E-4</v>
      </c>
      <c r="F3579" s="2">
        <v>2.1641877453921501E-2</v>
      </c>
    </row>
    <row r="3580" spans="1:6" x14ac:dyDescent="0.25">
      <c r="A3580" s="1" t="str">
        <f t="shared" si="133"/>
        <v>14020</v>
      </c>
      <c r="B3580" s="1" t="str">
        <f>"47424"</f>
        <v>47424</v>
      </c>
      <c r="C3580" s="2">
        <v>3.5353594871371799E-5</v>
      </c>
      <c r="D3580" s="2">
        <v>0</v>
      </c>
      <c r="E3580" s="2">
        <v>0</v>
      </c>
      <c r="F3580" s="2">
        <v>3.1578614961947699E-5</v>
      </c>
    </row>
    <row r="3581" spans="1:6" x14ac:dyDescent="0.25">
      <c r="A3581" s="1" t="str">
        <f t="shared" si="133"/>
        <v>14020</v>
      </c>
      <c r="B3581" s="1" t="str">
        <f>"47402"</f>
        <v>47402</v>
      </c>
      <c r="C3581" s="2">
        <v>1.5166692199818499E-2</v>
      </c>
      <c r="D3581" s="2">
        <v>0.107436863401702</v>
      </c>
      <c r="E3581" s="2">
        <v>6.7181726570372802E-4</v>
      </c>
      <c r="F3581" s="2">
        <v>2.16734560688834E-2</v>
      </c>
    </row>
    <row r="3582" spans="1:6" x14ac:dyDescent="0.25">
      <c r="A3582" s="1" t="str">
        <f t="shared" si="133"/>
        <v>14020</v>
      </c>
      <c r="B3582" s="1" t="str">
        <f>"47455"</f>
        <v>47455</v>
      </c>
      <c r="C3582" s="2">
        <v>0</v>
      </c>
      <c r="D3582" s="2">
        <v>1.3952839402818401E-4</v>
      </c>
      <c r="E3582" s="2">
        <v>0</v>
      </c>
      <c r="F3582" s="2">
        <v>1.05262049873159E-5</v>
      </c>
    </row>
    <row r="3583" spans="1:6" x14ac:dyDescent="0.25">
      <c r="A3583" s="1" t="str">
        <f t="shared" si="133"/>
        <v>14020</v>
      </c>
      <c r="B3583" s="1" t="str">
        <f>"47401"</f>
        <v>47401</v>
      </c>
      <c r="C3583" s="2">
        <v>0.25887080617980801</v>
      </c>
      <c r="D3583" s="2">
        <v>0.18599134923957</v>
      </c>
      <c r="E3583" s="2">
        <v>0.31944910984212199</v>
      </c>
      <c r="F3583" s="2">
        <v>0.25527099714739798</v>
      </c>
    </row>
    <row r="3584" spans="1:6" x14ac:dyDescent="0.25">
      <c r="A3584" s="1" t="str">
        <f t="shared" si="133"/>
        <v>14020</v>
      </c>
      <c r="B3584" s="1" t="str">
        <f>"47460"</f>
        <v>47460</v>
      </c>
      <c r="C3584" s="2">
        <v>6.8079239190638297E-2</v>
      </c>
      <c r="D3584" s="2">
        <v>6.3904004464908598E-2</v>
      </c>
      <c r="E3584" s="2">
        <v>2.2505878401074899E-2</v>
      </c>
      <c r="F3584" s="2">
        <v>6.6336143830064906E-2</v>
      </c>
    </row>
    <row r="3585" spans="1:6" x14ac:dyDescent="0.25">
      <c r="A3585" s="1" t="str">
        <f t="shared" si="133"/>
        <v>14020</v>
      </c>
      <c r="B3585" s="1" t="str">
        <f>"47421"</f>
        <v>47421</v>
      </c>
      <c r="C3585" s="2">
        <v>3.41751417089927E-4</v>
      </c>
      <c r="D3585" s="2">
        <v>0</v>
      </c>
      <c r="E3585" s="2">
        <v>0</v>
      </c>
      <c r="F3585" s="2">
        <v>3.0525994463216101E-4</v>
      </c>
    </row>
    <row r="3586" spans="1:6" x14ac:dyDescent="0.25">
      <c r="A3586" s="1" t="str">
        <f t="shared" si="133"/>
        <v>14020</v>
      </c>
      <c r="B3586" s="1" t="str">
        <f>"47456"</f>
        <v>47456</v>
      </c>
      <c r="C3586" s="2">
        <v>4.2188623213170297E-3</v>
      </c>
      <c r="D3586" s="2">
        <v>1.5348123343100299E-3</v>
      </c>
      <c r="E3586" s="2">
        <v>3.3590863285186401E-4</v>
      </c>
      <c r="F3586" s="2">
        <v>3.8946958453068901E-3</v>
      </c>
    </row>
    <row r="3587" spans="1:6" x14ac:dyDescent="0.25">
      <c r="A3587" s="1" t="str">
        <f t="shared" si="133"/>
        <v>14020</v>
      </c>
      <c r="B3587" s="1" t="str">
        <f>"47868"</f>
        <v>47868</v>
      </c>
      <c r="C3587" s="2">
        <v>1.7335046018595899E-2</v>
      </c>
      <c r="D3587" s="2">
        <v>2.5115110925073201E-3</v>
      </c>
      <c r="E3587" s="2">
        <v>3.6949949613705002E-3</v>
      </c>
      <c r="F3587" s="2">
        <v>1.5789307480973801E-2</v>
      </c>
    </row>
    <row r="3588" spans="1:6" x14ac:dyDescent="0.25">
      <c r="A3588" s="1" t="str">
        <f t="shared" si="133"/>
        <v>14020</v>
      </c>
      <c r="B3588" s="1" t="str">
        <f>"47841"</f>
        <v>47841</v>
      </c>
      <c r="C3588" s="2">
        <v>1.5319891110927701E-4</v>
      </c>
      <c r="D3588" s="2">
        <v>0</v>
      </c>
      <c r="E3588" s="2">
        <v>0</v>
      </c>
      <c r="F3588" s="2">
        <v>1.3684066483510599E-4</v>
      </c>
    </row>
    <row r="3589" spans="1:6" x14ac:dyDescent="0.25">
      <c r="A3589" s="1" t="str">
        <f t="shared" si="133"/>
        <v>14020</v>
      </c>
      <c r="B3589" s="1" t="str">
        <f>"47448"</f>
        <v>47448</v>
      </c>
      <c r="C3589" s="2">
        <v>9.3097799827945805E-4</v>
      </c>
      <c r="D3589" s="2">
        <v>1.3952839402818401E-4</v>
      </c>
      <c r="E3589" s="2">
        <v>0</v>
      </c>
      <c r="F3589" s="2">
        <v>8.4209639898527296E-4</v>
      </c>
    </row>
    <row r="3590" spans="1:6" x14ac:dyDescent="0.25">
      <c r="A3590" s="1" t="str">
        <f t="shared" si="133"/>
        <v>14020</v>
      </c>
      <c r="B3590" s="1" t="str">
        <f>"46120"</f>
        <v>46120</v>
      </c>
      <c r="C3590" s="2">
        <v>5.3619618888247197E-3</v>
      </c>
      <c r="D3590" s="2">
        <v>1.25575554625366E-3</v>
      </c>
      <c r="E3590" s="2">
        <v>0</v>
      </c>
      <c r="F3590" s="2">
        <v>4.8841591141145797E-3</v>
      </c>
    </row>
    <row r="3591" spans="1:6" x14ac:dyDescent="0.25">
      <c r="A3591" s="1" t="str">
        <f t="shared" si="133"/>
        <v>14020</v>
      </c>
      <c r="B3591" s="1" t="str">
        <f>"47403"</f>
        <v>47403</v>
      </c>
      <c r="C3591" s="2">
        <v>0.20157441342493801</v>
      </c>
      <c r="D3591" s="2">
        <v>0.14552811497139601</v>
      </c>
      <c r="E3591" s="2">
        <v>0.20591199193819201</v>
      </c>
      <c r="F3591" s="2">
        <v>0.197482131767034</v>
      </c>
    </row>
    <row r="3592" spans="1:6" x14ac:dyDescent="0.25">
      <c r="A3592" s="1" t="str">
        <f t="shared" si="133"/>
        <v>14020</v>
      </c>
      <c r="B3592" s="1" t="str">
        <f>"47471"</f>
        <v>47471</v>
      </c>
      <c r="C3592" s="2">
        <v>1.6851880222020501E-3</v>
      </c>
      <c r="D3592" s="2">
        <v>4.18585182084554E-4</v>
      </c>
      <c r="E3592" s="2">
        <v>0</v>
      </c>
      <c r="F3592" s="2">
        <v>1.5368259281481199E-3</v>
      </c>
    </row>
    <row r="3593" spans="1:6" x14ac:dyDescent="0.25">
      <c r="A3593" s="1" t="str">
        <f t="shared" si="133"/>
        <v>14020</v>
      </c>
      <c r="B3593" s="1" t="str">
        <f>"47434"</f>
        <v>47434</v>
      </c>
      <c r="C3593" s="2">
        <v>0</v>
      </c>
      <c r="D3593" s="2">
        <v>0</v>
      </c>
      <c r="E3593" s="2">
        <v>3.3590863285186401E-4</v>
      </c>
      <c r="F3593" s="2">
        <v>1.05262049873159E-5</v>
      </c>
    </row>
    <row r="3594" spans="1:6" x14ac:dyDescent="0.25">
      <c r="A3594" s="1" t="str">
        <f t="shared" si="133"/>
        <v>14020</v>
      </c>
      <c r="B3594" s="1" t="str">
        <f>"47463"</f>
        <v>47463</v>
      </c>
      <c r="C3594" s="2">
        <v>0</v>
      </c>
      <c r="D3594" s="2">
        <v>1.3952839402818401E-4</v>
      </c>
      <c r="E3594" s="2">
        <v>0</v>
      </c>
      <c r="F3594" s="2">
        <v>1.05262049873159E-5</v>
      </c>
    </row>
    <row r="3595" spans="1:6" x14ac:dyDescent="0.25">
      <c r="A3595" s="1" t="str">
        <f t="shared" si="133"/>
        <v>14020</v>
      </c>
      <c r="B3595" s="1" t="str">
        <f>"47429"</f>
        <v>47429</v>
      </c>
      <c r="C3595" s="2">
        <v>4.1705457416594899E-2</v>
      </c>
      <c r="D3595" s="2">
        <v>2.3440770196734999E-2</v>
      </c>
      <c r="E3595" s="2">
        <v>2.5529056096741599E-2</v>
      </c>
      <c r="F3595" s="2">
        <v>3.9820633467016101E-2</v>
      </c>
    </row>
    <row r="3596" spans="1:6" x14ac:dyDescent="0.25">
      <c r="A3596" s="1" t="str">
        <f t="shared" ref="A3596:A3621" si="134">"14100"</f>
        <v>14100</v>
      </c>
      <c r="B3596" s="1" t="str">
        <f>"17821"</f>
        <v>17821</v>
      </c>
      <c r="C3596" s="2">
        <v>0.23641511978066401</v>
      </c>
      <c r="D3596" s="2">
        <v>0.202304303625889</v>
      </c>
      <c r="E3596" s="2">
        <v>0.26813186813186801</v>
      </c>
      <c r="F3596" s="2">
        <v>0.23523989019543501</v>
      </c>
    </row>
    <row r="3597" spans="1:6" x14ac:dyDescent="0.25">
      <c r="A3597" s="1" t="str">
        <f t="shared" si="134"/>
        <v>14100</v>
      </c>
      <c r="B3597" s="1" t="str">
        <f>"17920"</f>
        <v>17920</v>
      </c>
      <c r="C3597" s="2">
        <v>1.12364600656209E-4</v>
      </c>
      <c r="D3597" s="2">
        <v>0</v>
      </c>
      <c r="E3597" s="2">
        <v>7.3260073260073195E-4</v>
      </c>
      <c r="F3597" s="2">
        <v>1.2291555701233201E-4</v>
      </c>
    </row>
    <row r="3598" spans="1:6" x14ac:dyDescent="0.25">
      <c r="A3598" s="1" t="str">
        <f t="shared" si="134"/>
        <v>14100</v>
      </c>
      <c r="B3598" s="1" t="str">
        <f>"17822"</f>
        <v>17822</v>
      </c>
      <c r="C3598" s="2">
        <v>0</v>
      </c>
      <c r="D3598" s="2">
        <v>2.3720772619450999E-3</v>
      </c>
      <c r="E3598" s="2">
        <v>0</v>
      </c>
      <c r="F3598" s="2">
        <v>1.4340148318105401E-4</v>
      </c>
    </row>
    <row r="3599" spans="1:6" x14ac:dyDescent="0.25">
      <c r="A3599" s="1" t="str">
        <f t="shared" si="134"/>
        <v>14100</v>
      </c>
      <c r="B3599" s="1" t="str">
        <f>"18249"</f>
        <v>18249</v>
      </c>
      <c r="C3599" s="2">
        <v>2.24729201312418E-5</v>
      </c>
      <c r="D3599" s="2">
        <v>0</v>
      </c>
      <c r="E3599" s="2">
        <v>0</v>
      </c>
      <c r="F3599" s="2">
        <v>2.0485926168722001E-5</v>
      </c>
    </row>
    <row r="3600" spans="1:6" x14ac:dyDescent="0.25">
      <c r="A3600" s="1" t="str">
        <f t="shared" si="134"/>
        <v>14100</v>
      </c>
      <c r="B3600" s="1" t="str">
        <f>"17777"</f>
        <v>17777</v>
      </c>
      <c r="C3600" s="2">
        <v>8.0902512472470604E-4</v>
      </c>
      <c r="D3600" s="2">
        <v>0</v>
      </c>
      <c r="E3600" s="2">
        <v>0</v>
      </c>
      <c r="F3600" s="2">
        <v>7.3749334207399498E-4</v>
      </c>
    </row>
    <row r="3601" spans="1:6" x14ac:dyDescent="0.25">
      <c r="A3601" s="1" t="str">
        <f t="shared" si="134"/>
        <v>14100</v>
      </c>
      <c r="B3601" s="1" t="str">
        <f>"17921"</f>
        <v>17921</v>
      </c>
      <c r="C3601" s="2">
        <v>6.9666052406849703E-4</v>
      </c>
      <c r="D3601" s="2">
        <v>6.7773636055574299E-4</v>
      </c>
      <c r="E3601" s="2">
        <v>0</v>
      </c>
      <c r="F3601" s="2">
        <v>6.76035563567828E-4</v>
      </c>
    </row>
    <row r="3602" spans="1:6" x14ac:dyDescent="0.25">
      <c r="A3602" s="1" t="str">
        <f t="shared" si="134"/>
        <v>14100</v>
      </c>
      <c r="B3602" s="1" t="str">
        <f>"17756"</f>
        <v>17756</v>
      </c>
      <c r="C3602" s="2">
        <v>3.1911546586363402E-3</v>
      </c>
      <c r="D3602" s="2">
        <v>3.3886818027787101E-4</v>
      </c>
      <c r="E3602" s="2">
        <v>0</v>
      </c>
      <c r="F3602" s="2">
        <v>2.9294874421272499E-3</v>
      </c>
    </row>
    <row r="3603" spans="1:6" x14ac:dyDescent="0.25">
      <c r="A3603" s="1" t="str">
        <f t="shared" si="134"/>
        <v>14100</v>
      </c>
      <c r="B3603" s="1" t="str">
        <f>"18635"</f>
        <v>18635</v>
      </c>
      <c r="C3603" s="2">
        <v>1.5214166928850701E-2</v>
      </c>
      <c r="D3603" s="2">
        <v>6.0996272450016898E-3</v>
      </c>
      <c r="E3603" s="2">
        <v>1.46520146520146E-2</v>
      </c>
      <c r="F3603" s="2">
        <v>1.46474372106362E-2</v>
      </c>
    </row>
    <row r="3604" spans="1:6" x14ac:dyDescent="0.25">
      <c r="A3604" s="1" t="str">
        <f t="shared" si="134"/>
        <v>14100</v>
      </c>
      <c r="B3604" s="1" t="str">
        <f>"17967"</f>
        <v>17967</v>
      </c>
      <c r="C3604" s="2">
        <v>5.8429592341228802E-4</v>
      </c>
      <c r="D3604" s="2">
        <v>0</v>
      </c>
      <c r="E3604" s="2">
        <v>0</v>
      </c>
      <c r="F3604" s="2">
        <v>5.3263408038677399E-4</v>
      </c>
    </row>
    <row r="3605" spans="1:6" x14ac:dyDescent="0.25">
      <c r="A3605" s="1" t="str">
        <f t="shared" si="134"/>
        <v>14100</v>
      </c>
      <c r="B3605" s="1" t="str">
        <f>"17772"</f>
        <v>17772</v>
      </c>
      <c r="C3605" s="2">
        <v>7.3261719627848399E-3</v>
      </c>
      <c r="D3605" s="2">
        <v>3.0498136225008401E-3</v>
      </c>
      <c r="E3605" s="2">
        <v>0</v>
      </c>
      <c r="F3605" s="2">
        <v>6.8627852665218902E-3</v>
      </c>
    </row>
    <row r="3606" spans="1:6" x14ac:dyDescent="0.25">
      <c r="A3606" s="1" t="str">
        <f t="shared" si="134"/>
        <v>14100</v>
      </c>
      <c r="B3606" s="1" t="str">
        <f>"18631"</f>
        <v>18631</v>
      </c>
      <c r="C3606" s="2">
        <v>1.12364600656209E-4</v>
      </c>
      <c r="D3606" s="2">
        <v>3.3886818027787101E-4</v>
      </c>
      <c r="E3606" s="2">
        <v>7.3260073260073195E-4</v>
      </c>
      <c r="F3606" s="2">
        <v>1.4340148318105401E-4</v>
      </c>
    </row>
    <row r="3607" spans="1:6" x14ac:dyDescent="0.25">
      <c r="A3607" s="1" t="str">
        <f t="shared" si="134"/>
        <v>14100</v>
      </c>
      <c r="B3607" s="1" t="str">
        <f>"17858"</f>
        <v>17858</v>
      </c>
      <c r="C3607" s="2">
        <v>0</v>
      </c>
      <c r="D3607" s="2">
        <v>3.3886818027787101E-4</v>
      </c>
      <c r="E3607" s="2">
        <v>0</v>
      </c>
      <c r="F3607" s="2">
        <v>2.0485926168722001E-5</v>
      </c>
    </row>
    <row r="3608" spans="1:6" x14ac:dyDescent="0.25">
      <c r="A3608" s="1" t="str">
        <f t="shared" si="134"/>
        <v>14100</v>
      </c>
      <c r="B3608" s="1" t="str">
        <f>"17884"</f>
        <v>17884</v>
      </c>
      <c r="C3608" s="2">
        <v>4.4945840262483701E-5</v>
      </c>
      <c r="D3608" s="2">
        <v>6.7773636055574299E-4</v>
      </c>
      <c r="E3608" s="2">
        <v>0</v>
      </c>
      <c r="F3608" s="2">
        <v>8.1943704674888304E-5</v>
      </c>
    </row>
    <row r="3609" spans="1:6" x14ac:dyDescent="0.25">
      <c r="A3609" s="1" t="str">
        <f t="shared" si="134"/>
        <v>14100</v>
      </c>
      <c r="B3609" s="1" t="str">
        <f>"17815"</f>
        <v>17815</v>
      </c>
      <c r="C3609" s="2">
        <v>0.36273540383837399</v>
      </c>
      <c r="D3609" s="2">
        <v>0.47475432056929801</v>
      </c>
      <c r="E3609" s="2">
        <v>0.45347985347985298</v>
      </c>
      <c r="F3609" s="2">
        <v>0.37204490515016098</v>
      </c>
    </row>
    <row r="3610" spans="1:6" x14ac:dyDescent="0.25">
      <c r="A3610" s="1" t="str">
        <f t="shared" si="134"/>
        <v>14100</v>
      </c>
      <c r="B3610" s="1" t="str">
        <f>"17878"</f>
        <v>17878</v>
      </c>
      <c r="C3610" s="2">
        <v>1.1281405905883401E-2</v>
      </c>
      <c r="D3610" s="2">
        <v>6.4384954252795596E-3</v>
      </c>
      <c r="E3610" s="2">
        <v>2.19780219780219E-3</v>
      </c>
      <c r="F3610" s="2">
        <v>1.07346253124103E-2</v>
      </c>
    </row>
    <row r="3611" spans="1:6" x14ac:dyDescent="0.25">
      <c r="A3611" s="1" t="str">
        <f t="shared" si="134"/>
        <v>14100</v>
      </c>
      <c r="B3611" s="1" t="str">
        <f>"17774"</f>
        <v>17774</v>
      </c>
      <c r="C3611" s="2">
        <v>3.1462088183738501E-4</v>
      </c>
      <c r="D3611" s="2">
        <v>0</v>
      </c>
      <c r="E3611" s="2">
        <v>0</v>
      </c>
      <c r="F3611" s="2">
        <v>2.86802966362109E-4</v>
      </c>
    </row>
    <row r="3612" spans="1:6" x14ac:dyDescent="0.25">
      <c r="A3612" s="1" t="str">
        <f t="shared" si="134"/>
        <v>14100</v>
      </c>
      <c r="B3612" s="1" t="str">
        <f>"17985"</f>
        <v>17985</v>
      </c>
      <c r="C3612" s="2">
        <v>1.3933210481369899E-3</v>
      </c>
      <c r="D3612" s="2">
        <v>3.3886818027787101E-4</v>
      </c>
      <c r="E3612" s="2">
        <v>0</v>
      </c>
      <c r="F3612" s="2">
        <v>1.29061334862949E-3</v>
      </c>
    </row>
    <row r="3613" spans="1:6" x14ac:dyDescent="0.25">
      <c r="A3613" s="1" t="str">
        <f t="shared" si="134"/>
        <v>14100</v>
      </c>
      <c r="B3613" s="1" t="str">
        <f>"17888"</f>
        <v>17888</v>
      </c>
      <c r="C3613" s="2">
        <v>4.0451256236235297E-3</v>
      </c>
      <c r="D3613" s="2">
        <v>3.3886818027787101E-4</v>
      </c>
      <c r="E3613" s="2">
        <v>0</v>
      </c>
      <c r="F3613" s="2">
        <v>3.7079526365386898E-3</v>
      </c>
    </row>
    <row r="3614" spans="1:6" x14ac:dyDescent="0.25">
      <c r="A3614" s="1" t="str">
        <f t="shared" si="134"/>
        <v>14100</v>
      </c>
      <c r="B3614" s="1" t="str">
        <f>"17824"</f>
        <v>17824</v>
      </c>
      <c r="C3614" s="2">
        <v>7.3711178030473204E-3</v>
      </c>
      <c r="D3614" s="2">
        <v>2.3720772619450999E-3</v>
      </c>
      <c r="E3614" s="2">
        <v>0</v>
      </c>
      <c r="F3614" s="2">
        <v>6.8627852665218902E-3</v>
      </c>
    </row>
    <row r="3615" spans="1:6" x14ac:dyDescent="0.25">
      <c r="A3615" s="1" t="str">
        <f t="shared" si="134"/>
        <v>14100</v>
      </c>
      <c r="B3615" s="1" t="str">
        <f>"17846"</f>
        <v>17846</v>
      </c>
      <c r="C3615" s="2">
        <v>3.1192413142163599E-2</v>
      </c>
      <c r="D3615" s="2">
        <v>1.6604540833615698E-2</v>
      </c>
      <c r="E3615" s="2">
        <v>1.24542124542124E-2</v>
      </c>
      <c r="F3615" s="2">
        <v>2.9786536649321901E-2</v>
      </c>
    </row>
    <row r="3616" spans="1:6" x14ac:dyDescent="0.25">
      <c r="A3616" s="1" t="str">
        <f t="shared" si="134"/>
        <v>14100</v>
      </c>
      <c r="B3616" s="1" t="str">
        <f>"17847"</f>
        <v>17847</v>
      </c>
      <c r="C3616" s="2">
        <v>3.95523394309856E-3</v>
      </c>
      <c r="D3616" s="2">
        <v>1.01660454083361E-3</v>
      </c>
      <c r="E3616" s="2">
        <v>0</v>
      </c>
      <c r="F3616" s="2">
        <v>3.6669807842012502E-3</v>
      </c>
    </row>
    <row r="3617" spans="1:6" x14ac:dyDescent="0.25">
      <c r="A3617" s="1" t="str">
        <f t="shared" si="134"/>
        <v>14100</v>
      </c>
      <c r="B3617" s="1" t="str">
        <f>"18655"</f>
        <v>18655</v>
      </c>
      <c r="C3617" s="2">
        <v>4.7193132275607803E-3</v>
      </c>
      <c r="D3617" s="2">
        <v>6.7773636055574299E-4</v>
      </c>
      <c r="E3617" s="2">
        <v>0</v>
      </c>
      <c r="F3617" s="2">
        <v>4.3430163477690799E-3</v>
      </c>
    </row>
    <row r="3618" spans="1:6" x14ac:dyDescent="0.25">
      <c r="A3618" s="1" t="str">
        <f t="shared" si="134"/>
        <v>14100</v>
      </c>
      <c r="B3618" s="1" t="str">
        <f>"17820"</f>
        <v>17820</v>
      </c>
      <c r="C3618" s="2">
        <v>6.4654591217582796E-2</v>
      </c>
      <c r="D3618" s="2">
        <v>3.5920027109454397E-2</v>
      </c>
      <c r="E3618" s="2">
        <v>4.17582417582417E-2</v>
      </c>
      <c r="F3618" s="2">
        <v>6.2277215552915099E-2</v>
      </c>
    </row>
    <row r="3619" spans="1:6" x14ac:dyDescent="0.25">
      <c r="A3619" s="1" t="str">
        <f t="shared" si="134"/>
        <v>14100</v>
      </c>
      <c r="B3619" s="1" t="str">
        <f>"17814"</f>
        <v>17814</v>
      </c>
      <c r="C3619" s="2">
        <v>4.27659670097532E-2</v>
      </c>
      <c r="D3619" s="2">
        <v>1.89766180955608E-2</v>
      </c>
      <c r="E3619" s="2">
        <v>1.1721611721611701E-2</v>
      </c>
      <c r="F3619" s="2">
        <v>4.04597041832261E-2</v>
      </c>
    </row>
    <row r="3620" spans="1:6" x14ac:dyDescent="0.25">
      <c r="A3620" s="1" t="str">
        <f t="shared" si="134"/>
        <v>14100</v>
      </c>
      <c r="B3620" s="1" t="str">
        <f>"18603"</f>
        <v>18603</v>
      </c>
      <c r="C3620" s="2">
        <v>0.16985033035192501</v>
      </c>
      <c r="D3620" s="2">
        <v>0.213148085394781</v>
      </c>
      <c r="E3620" s="2">
        <v>0.17655677655677601</v>
      </c>
      <c r="F3620" s="2">
        <v>0.17265538574998901</v>
      </c>
    </row>
    <row r="3621" spans="1:6" x14ac:dyDescent="0.25">
      <c r="A3621" s="1" t="str">
        <f t="shared" si="134"/>
        <v>14100</v>
      </c>
      <c r="B3621" s="1" t="str">
        <f>"17859"</f>
        <v>17859</v>
      </c>
      <c r="C3621" s="2">
        <v>3.1192413142163599E-2</v>
      </c>
      <c r="D3621" s="2">
        <v>1.3215859030837E-2</v>
      </c>
      <c r="E3621" s="2">
        <v>1.7582417582417499E-2</v>
      </c>
      <c r="F3621" s="2">
        <v>2.9725078870815699E-2</v>
      </c>
    </row>
    <row r="3622" spans="1:6" x14ac:dyDescent="0.25">
      <c r="A3622" s="1" t="str">
        <f t="shared" ref="A3622:A3653" si="135">"14140"</f>
        <v>14140</v>
      </c>
      <c r="B3622" s="1" t="str">
        <f>"24315"</f>
        <v>24315</v>
      </c>
      <c r="C3622" s="2">
        <v>2.5366466048812899E-2</v>
      </c>
      <c r="D3622" s="2">
        <v>1.4666987256552E-2</v>
      </c>
      <c r="E3622" s="2">
        <v>1.06951871657754E-2</v>
      </c>
      <c r="F3622" s="2">
        <v>2.43410096388379E-2</v>
      </c>
    </row>
    <row r="3623" spans="1:6" x14ac:dyDescent="0.25">
      <c r="A3623" s="1" t="str">
        <f t="shared" si="135"/>
        <v>14140</v>
      </c>
      <c r="B3623" s="1" t="str">
        <f>"24732"</f>
        <v>24732</v>
      </c>
      <c r="C3623" s="2">
        <v>0</v>
      </c>
      <c r="D3623" s="2">
        <v>2.40442414041836E-4</v>
      </c>
      <c r="E3623" s="2">
        <v>0</v>
      </c>
      <c r="F3623" s="2">
        <v>1.6821706730364799E-5</v>
      </c>
    </row>
    <row r="3624" spans="1:6" x14ac:dyDescent="0.25">
      <c r="A3624" s="1" t="str">
        <f t="shared" si="135"/>
        <v>14140</v>
      </c>
      <c r="B3624" s="1" t="str">
        <f>"24747"</f>
        <v>24747</v>
      </c>
      <c r="C3624" s="2">
        <v>2.37233689030018E-2</v>
      </c>
      <c r="D3624" s="2">
        <v>5.0492906948785702E-3</v>
      </c>
      <c r="E3624" s="2">
        <v>0</v>
      </c>
      <c r="F3624" s="2">
        <v>2.19691489898565E-2</v>
      </c>
    </row>
    <row r="3625" spans="1:6" x14ac:dyDescent="0.25">
      <c r="A3625" s="1" t="str">
        <f t="shared" si="135"/>
        <v>14140</v>
      </c>
      <c r="B3625" s="1" t="str">
        <f>"25902"</f>
        <v>25902</v>
      </c>
      <c r="C3625" s="2">
        <v>6.8308533028098805E-4</v>
      </c>
      <c r="D3625" s="2">
        <v>0</v>
      </c>
      <c r="E3625" s="2">
        <v>0</v>
      </c>
      <c r="F3625" s="2">
        <v>6.2240314902349905E-4</v>
      </c>
    </row>
    <row r="3626" spans="1:6" x14ac:dyDescent="0.25">
      <c r="A3626" s="1" t="str">
        <f t="shared" si="135"/>
        <v>14140</v>
      </c>
      <c r="B3626" s="1" t="str">
        <f>"24605"</f>
        <v>24605</v>
      </c>
      <c r="C3626" s="2">
        <v>9.8493519920245104E-2</v>
      </c>
      <c r="D3626" s="2">
        <v>0.13584996393363699</v>
      </c>
      <c r="E3626" s="2">
        <v>8.5561497326203204E-2</v>
      </c>
      <c r="F3626" s="2">
        <v>0.100862953555267</v>
      </c>
    </row>
    <row r="3627" spans="1:6" x14ac:dyDescent="0.25">
      <c r="A3627" s="1" t="str">
        <f t="shared" si="135"/>
        <v>14140</v>
      </c>
      <c r="B3627" s="1" t="str">
        <f>"24651"</f>
        <v>24651</v>
      </c>
      <c r="C3627" s="2">
        <v>5.2523723368903E-2</v>
      </c>
      <c r="D3627" s="2">
        <v>6.0831930752584702E-2</v>
      </c>
      <c r="E3627" s="2">
        <v>0.11497326203208499</v>
      </c>
      <c r="F3627" s="2">
        <v>5.4283647618887397E-2</v>
      </c>
    </row>
    <row r="3628" spans="1:6" x14ac:dyDescent="0.25">
      <c r="A3628" s="1" t="str">
        <f t="shared" si="135"/>
        <v>14140</v>
      </c>
      <c r="B3628" s="1" t="str">
        <f>"25971"</f>
        <v>25971</v>
      </c>
      <c r="C3628" s="2">
        <v>7.2370121478418101E-3</v>
      </c>
      <c r="D3628" s="2">
        <v>1.6830968982928501E-3</v>
      </c>
      <c r="E3628" s="2">
        <v>8.9126559714795004E-4</v>
      </c>
      <c r="F3628" s="2">
        <v>6.7286826921459401E-3</v>
      </c>
    </row>
    <row r="3629" spans="1:6" x14ac:dyDescent="0.25">
      <c r="A3629" s="1" t="str">
        <f t="shared" si="135"/>
        <v>14140</v>
      </c>
      <c r="B3629" s="1" t="str">
        <f>"24608"</f>
        <v>24608</v>
      </c>
      <c r="C3629" s="2">
        <v>0</v>
      </c>
      <c r="D3629" s="2">
        <v>2.40442414041836E-4</v>
      </c>
      <c r="E3629" s="2">
        <v>0</v>
      </c>
      <c r="F3629" s="2">
        <v>1.6821706730364799E-5</v>
      </c>
    </row>
    <row r="3630" spans="1:6" x14ac:dyDescent="0.25">
      <c r="A3630" s="1" t="str">
        <f t="shared" si="135"/>
        <v>14140</v>
      </c>
      <c r="B3630" s="1" t="str">
        <f>"24619"</f>
        <v>24619</v>
      </c>
      <c r="C3630" s="2">
        <v>0</v>
      </c>
      <c r="D3630" s="2">
        <v>2.40442414041836E-4</v>
      </c>
      <c r="E3630" s="2">
        <v>0</v>
      </c>
      <c r="F3630" s="2">
        <v>1.6821706730364799E-5</v>
      </c>
    </row>
    <row r="3631" spans="1:6" x14ac:dyDescent="0.25">
      <c r="A3631" s="1" t="str">
        <f t="shared" si="135"/>
        <v>14140</v>
      </c>
      <c r="B3631" s="1" t="str">
        <f>"24738"</f>
        <v>24738</v>
      </c>
      <c r="C3631" s="2">
        <v>0</v>
      </c>
      <c r="D3631" s="2">
        <v>2.40442414041836E-4</v>
      </c>
      <c r="E3631" s="2">
        <v>8.9126559714795004E-4</v>
      </c>
      <c r="F3631" s="2">
        <v>3.36434134607297E-5</v>
      </c>
    </row>
    <row r="3632" spans="1:6" x14ac:dyDescent="0.25">
      <c r="A3632" s="1" t="str">
        <f t="shared" si="135"/>
        <v>14140</v>
      </c>
      <c r="B3632" s="1" t="str">
        <f>"24606"</f>
        <v>24606</v>
      </c>
      <c r="C3632" s="2">
        <v>0</v>
      </c>
      <c r="D3632" s="2">
        <v>2.40442414041836E-4</v>
      </c>
      <c r="E3632" s="2">
        <v>0</v>
      </c>
      <c r="F3632" s="2">
        <v>1.6821706730364799E-5</v>
      </c>
    </row>
    <row r="3633" spans="1:6" x14ac:dyDescent="0.25">
      <c r="A3633" s="1" t="str">
        <f t="shared" si="135"/>
        <v>14140</v>
      </c>
      <c r="B3633" s="1" t="str">
        <f>"24712"</f>
        <v>24712</v>
      </c>
      <c r="C3633" s="2">
        <v>1.0006277000332299E-2</v>
      </c>
      <c r="D3633" s="2">
        <v>4.5684058667949E-3</v>
      </c>
      <c r="E3633" s="2">
        <v>0</v>
      </c>
      <c r="F3633" s="2">
        <v>9.43697747573468E-3</v>
      </c>
    </row>
    <row r="3634" spans="1:6" x14ac:dyDescent="0.25">
      <c r="A3634" s="1" t="str">
        <f t="shared" si="135"/>
        <v>14140</v>
      </c>
      <c r="B3634" s="1" t="str">
        <f>"24701"</f>
        <v>24701</v>
      </c>
      <c r="C3634" s="2">
        <v>0.21406417309751499</v>
      </c>
      <c r="D3634" s="2">
        <v>0.25414763164222098</v>
      </c>
      <c r="E3634" s="2">
        <v>0.24331550802138999</v>
      </c>
      <c r="F3634" s="2">
        <v>0.217420559489965</v>
      </c>
    </row>
    <row r="3635" spans="1:6" x14ac:dyDescent="0.25">
      <c r="A3635" s="1" t="str">
        <f t="shared" si="135"/>
        <v>14140</v>
      </c>
      <c r="B3635" s="1" t="str">
        <f>"25979"</f>
        <v>25979</v>
      </c>
      <c r="C3635" s="2">
        <v>7.7539415869733695E-4</v>
      </c>
      <c r="D3635" s="2">
        <v>2.40442414041836E-4</v>
      </c>
      <c r="E3635" s="2">
        <v>0</v>
      </c>
      <c r="F3635" s="2">
        <v>7.2333338940568895E-4</v>
      </c>
    </row>
    <row r="3636" spans="1:6" x14ac:dyDescent="0.25">
      <c r="A3636" s="1" t="str">
        <f t="shared" si="135"/>
        <v>14140</v>
      </c>
      <c r="B3636" s="1" t="str">
        <f>"24641"</f>
        <v>24641</v>
      </c>
      <c r="C3636" s="2">
        <v>6.1293062068456201E-2</v>
      </c>
      <c r="D3636" s="2">
        <v>0.11204616494349599</v>
      </c>
      <c r="E3636" s="2">
        <v>0.15329768270944699</v>
      </c>
      <c r="F3636" s="2">
        <v>6.6580315238784105E-2</v>
      </c>
    </row>
    <row r="3637" spans="1:6" x14ac:dyDescent="0.25">
      <c r="A3637" s="1" t="str">
        <f t="shared" si="135"/>
        <v>14140</v>
      </c>
      <c r="B3637" s="1" t="str">
        <f>"24635"</f>
        <v>24635</v>
      </c>
      <c r="C3637" s="2">
        <v>2.60310896134106E-3</v>
      </c>
      <c r="D3637" s="2">
        <v>4.8088482808367297E-4</v>
      </c>
      <c r="E3637" s="2">
        <v>0</v>
      </c>
      <c r="F3637" s="2">
        <v>2.4055040624421701E-3</v>
      </c>
    </row>
    <row r="3638" spans="1:6" x14ac:dyDescent="0.25">
      <c r="A3638" s="1" t="str">
        <f t="shared" si="135"/>
        <v>14140</v>
      </c>
      <c r="B3638" s="1" t="str">
        <f>"24630"</f>
        <v>24630</v>
      </c>
      <c r="C3638" s="2">
        <v>6.5742347598124196E-2</v>
      </c>
      <c r="D3638" s="2">
        <v>5.2416446261120402E-2</v>
      </c>
      <c r="E3638" s="2">
        <v>2.31729055258467E-2</v>
      </c>
      <c r="F3638" s="2">
        <v>6.4006594109038306E-2</v>
      </c>
    </row>
    <row r="3639" spans="1:6" x14ac:dyDescent="0.25">
      <c r="A3639" s="1" t="str">
        <f t="shared" si="135"/>
        <v>14140</v>
      </c>
      <c r="B3639" s="1" t="str">
        <f>"24604"</f>
        <v>24604</v>
      </c>
      <c r="C3639" s="2">
        <v>0</v>
      </c>
      <c r="D3639" s="2">
        <v>2.40442414041836E-4</v>
      </c>
      <c r="E3639" s="2">
        <v>0</v>
      </c>
      <c r="F3639" s="2">
        <v>1.6821706730364799E-5</v>
      </c>
    </row>
    <row r="3640" spans="1:6" x14ac:dyDescent="0.25">
      <c r="A3640" s="1" t="str">
        <f t="shared" si="135"/>
        <v>14140</v>
      </c>
      <c r="B3640" s="1" t="str">
        <f>"24737"</f>
        <v>24737</v>
      </c>
      <c r="C3640" s="2">
        <v>2.0307942251596899E-4</v>
      </c>
      <c r="D3640" s="2">
        <v>2.40442414041836E-4</v>
      </c>
      <c r="E3640" s="2">
        <v>0</v>
      </c>
      <c r="F3640" s="2">
        <v>2.0186048076437801E-4</v>
      </c>
    </row>
    <row r="3641" spans="1:6" x14ac:dyDescent="0.25">
      <c r="A3641" s="1" t="str">
        <f t="shared" si="135"/>
        <v>14140</v>
      </c>
      <c r="B3641" s="1" t="str">
        <f>"24602"</f>
        <v>24602</v>
      </c>
      <c r="C3641" s="2">
        <v>9.5447328582505594E-3</v>
      </c>
      <c r="D3641" s="2">
        <v>1.9235393123346899E-3</v>
      </c>
      <c r="E3641" s="2">
        <v>0</v>
      </c>
      <c r="F3641" s="2">
        <v>8.8313960334415499E-3</v>
      </c>
    </row>
    <row r="3642" spans="1:6" x14ac:dyDescent="0.25">
      <c r="A3642" s="1" t="str">
        <f t="shared" si="135"/>
        <v>14140</v>
      </c>
      <c r="B3642" s="1" t="str">
        <f>"24736"</f>
        <v>24736</v>
      </c>
      <c r="C3642" s="2">
        <v>3.9508178562197597E-3</v>
      </c>
      <c r="D3642" s="2">
        <v>7.2132724212550998E-4</v>
      </c>
      <c r="E3642" s="2">
        <v>0</v>
      </c>
      <c r="F3642" s="2">
        <v>3.6503103604891701E-3</v>
      </c>
    </row>
    <row r="3643" spans="1:6" x14ac:dyDescent="0.25">
      <c r="A3643" s="1" t="str">
        <f t="shared" si="135"/>
        <v>14140</v>
      </c>
      <c r="B3643" s="1" t="str">
        <f>"25922"</f>
        <v>25922</v>
      </c>
      <c r="C3643" s="2">
        <v>2.0677177565262298E-3</v>
      </c>
      <c r="D3643" s="2">
        <v>0</v>
      </c>
      <c r="E3643" s="2">
        <v>8.9126559714795004E-4</v>
      </c>
      <c r="F3643" s="2">
        <v>1.90085286053122E-3</v>
      </c>
    </row>
    <row r="3644" spans="1:6" x14ac:dyDescent="0.25">
      <c r="A3644" s="1" t="str">
        <f t="shared" si="135"/>
        <v>14140</v>
      </c>
      <c r="B3644" s="1" t="str">
        <f>"24314"</f>
        <v>24314</v>
      </c>
      <c r="C3644" s="2">
        <v>1.2794003618506E-2</v>
      </c>
      <c r="D3644" s="2">
        <v>7.2132724212551E-3</v>
      </c>
      <c r="E3644" s="2">
        <v>1.7825311942959001E-3</v>
      </c>
      <c r="F3644" s="2">
        <v>1.21957373795145E-2</v>
      </c>
    </row>
    <row r="3645" spans="1:6" x14ac:dyDescent="0.25">
      <c r="A3645" s="1" t="str">
        <f t="shared" si="135"/>
        <v>14140</v>
      </c>
      <c r="B3645" s="1" t="str">
        <f>"24318"</f>
        <v>24318</v>
      </c>
      <c r="C3645" s="2">
        <v>3.8400472621201399E-3</v>
      </c>
      <c r="D3645" s="2">
        <v>7.2132724212550998E-4</v>
      </c>
      <c r="E3645" s="2">
        <v>8.9126559714795004E-4</v>
      </c>
      <c r="F3645" s="2">
        <v>3.5662018268373501E-3</v>
      </c>
    </row>
    <row r="3646" spans="1:6" x14ac:dyDescent="0.25">
      <c r="A3646" s="1" t="str">
        <f t="shared" si="135"/>
        <v>14140</v>
      </c>
      <c r="B3646" s="1" t="str">
        <f>"24609"</f>
        <v>24609</v>
      </c>
      <c r="C3646" s="2">
        <v>4.0911272754126198E-2</v>
      </c>
      <c r="D3646" s="2">
        <v>4.32796345275306E-2</v>
      </c>
      <c r="E3646" s="2">
        <v>4.0106951871657699E-2</v>
      </c>
      <c r="F3646" s="2">
        <v>4.1061786128820603E-2</v>
      </c>
    </row>
    <row r="3647" spans="1:6" x14ac:dyDescent="0.25">
      <c r="A3647" s="1" t="str">
        <f t="shared" si="135"/>
        <v>14140</v>
      </c>
      <c r="B3647" s="1" t="str">
        <f>"24613"</f>
        <v>24613</v>
      </c>
      <c r="C3647" s="2">
        <v>1.25540006646235E-2</v>
      </c>
      <c r="D3647" s="2">
        <v>3.8470786246693899E-3</v>
      </c>
      <c r="E3647" s="2">
        <v>2.6737967914438501E-3</v>
      </c>
      <c r="F3647" s="2">
        <v>1.1758373004524999E-2</v>
      </c>
    </row>
    <row r="3648" spans="1:6" x14ac:dyDescent="0.25">
      <c r="A3648" s="1" t="str">
        <f t="shared" si="135"/>
        <v>14140</v>
      </c>
      <c r="B3648" s="1" t="str">
        <f>"24622"</f>
        <v>24622</v>
      </c>
      <c r="C3648" s="2">
        <v>3.2677325259387801E-3</v>
      </c>
      <c r="D3648" s="2">
        <v>7.2132724212550998E-4</v>
      </c>
      <c r="E3648" s="2">
        <v>0</v>
      </c>
      <c r="F3648" s="2">
        <v>3.0279072114656699E-3</v>
      </c>
    </row>
    <row r="3649" spans="1:6" x14ac:dyDescent="0.25">
      <c r="A3649" s="1" t="str">
        <f t="shared" si="135"/>
        <v>14140</v>
      </c>
      <c r="B3649" s="1" t="str">
        <f>"24639"</f>
        <v>24639</v>
      </c>
      <c r="C3649" s="2">
        <v>1.1058597644278601E-2</v>
      </c>
      <c r="D3649" s="2">
        <v>2.1639817263765298E-3</v>
      </c>
      <c r="E3649" s="2">
        <v>0</v>
      </c>
      <c r="F3649" s="2">
        <v>1.02275976920618E-2</v>
      </c>
    </row>
    <row r="3650" spans="1:6" x14ac:dyDescent="0.25">
      <c r="A3650" s="1" t="str">
        <f t="shared" si="135"/>
        <v>14140</v>
      </c>
      <c r="B3650" s="1" t="str">
        <f>"24729"</f>
        <v>24729</v>
      </c>
      <c r="C3650" s="2">
        <v>0</v>
      </c>
      <c r="D3650" s="2">
        <v>2.40442414041836E-4</v>
      </c>
      <c r="E3650" s="2">
        <v>0</v>
      </c>
      <c r="F3650" s="2">
        <v>1.6821706730364799E-5</v>
      </c>
    </row>
    <row r="3651" spans="1:6" x14ac:dyDescent="0.25">
      <c r="A3651" s="1" t="str">
        <f t="shared" si="135"/>
        <v>14140</v>
      </c>
      <c r="B3651" s="1" t="str">
        <f>"24316"</f>
        <v>24316</v>
      </c>
      <c r="C3651" s="2">
        <v>6.0923826754790799E-4</v>
      </c>
      <c r="D3651" s="2">
        <v>0</v>
      </c>
      <c r="E3651" s="2">
        <v>0</v>
      </c>
      <c r="F3651" s="2">
        <v>5.5511632210203995E-4</v>
      </c>
    </row>
    <row r="3652" spans="1:6" x14ac:dyDescent="0.25">
      <c r="A3652" s="1" t="str">
        <f t="shared" si="135"/>
        <v>14140</v>
      </c>
      <c r="B3652" s="1" t="str">
        <f>"24733"</f>
        <v>24733</v>
      </c>
      <c r="C3652" s="2">
        <v>3.60004430823763E-3</v>
      </c>
      <c r="D3652" s="2">
        <v>2.40442414041836E-4</v>
      </c>
      <c r="E3652" s="2">
        <v>0</v>
      </c>
      <c r="F3652" s="2">
        <v>3.2970545191515102E-3</v>
      </c>
    </row>
    <row r="3653" spans="1:6" x14ac:dyDescent="0.25">
      <c r="A3653" s="1" t="str">
        <f t="shared" si="135"/>
        <v>14140</v>
      </c>
      <c r="B3653" s="1" t="str">
        <f>"24740"</f>
        <v>24740</v>
      </c>
      <c r="C3653" s="2">
        <v>0.16028504966214899</v>
      </c>
      <c r="D3653" s="2">
        <v>0.207501803318105</v>
      </c>
      <c r="E3653" s="2">
        <v>0.27629233511586399</v>
      </c>
      <c r="F3653" s="2">
        <v>0.16577791982774501</v>
      </c>
    </row>
    <row r="3654" spans="1:6" x14ac:dyDescent="0.25">
      <c r="A3654" s="1" t="str">
        <f t="shared" ref="A3654:A3670" si="136">"14140"</f>
        <v>14140</v>
      </c>
      <c r="B3654" s="1" t="str">
        <f>"25820"</f>
        <v>25820</v>
      </c>
      <c r="C3654" s="2">
        <v>3.50773547982129E-3</v>
      </c>
      <c r="D3654" s="2">
        <v>9.6176965616734703E-4</v>
      </c>
      <c r="E3654" s="2">
        <v>8.9126559714795004E-4</v>
      </c>
      <c r="F3654" s="2">
        <v>3.28023281242114E-3</v>
      </c>
    </row>
    <row r="3655" spans="1:6" x14ac:dyDescent="0.25">
      <c r="A3655" s="1" t="str">
        <f t="shared" si="136"/>
        <v>14140</v>
      </c>
      <c r="B3655" s="1" t="str">
        <f>"24715"</f>
        <v>24715</v>
      </c>
      <c r="C3655" s="2">
        <v>2.41849130450836E-3</v>
      </c>
      <c r="D3655" s="2">
        <v>4.8088482808367297E-4</v>
      </c>
      <c r="E3655" s="2">
        <v>0</v>
      </c>
      <c r="F3655" s="2">
        <v>2.23728699513852E-3</v>
      </c>
    </row>
    <row r="3656" spans="1:6" x14ac:dyDescent="0.25">
      <c r="A3656" s="1" t="str">
        <f t="shared" si="136"/>
        <v>14140</v>
      </c>
      <c r="B3656" s="1" t="str">
        <f>"24637"</f>
        <v>24637</v>
      </c>
      <c r="C3656" s="2">
        <v>2.3741830668685099E-2</v>
      </c>
      <c r="D3656" s="2">
        <v>1.8994950709305101E-2</v>
      </c>
      <c r="E3656" s="2">
        <v>1.06951871657754E-2</v>
      </c>
      <c r="F3656" s="2">
        <v>2.3163490167712401E-2</v>
      </c>
    </row>
    <row r="3657" spans="1:6" x14ac:dyDescent="0.25">
      <c r="A3657" s="1" t="str">
        <f t="shared" si="136"/>
        <v>14140</v>
      </c>
      <c r="B3657" s="1" t="str">
        <f>"24647"</f>
        <v>24647</v>
      </c>
      <c r="C3657" s="2">
        <v>0</v>
      </c>
      <c r="D3657" s="2">
        <v>2.40442414041836E-4</v>
      </c>
      <c r="E3657" s="2">
        <v>0</v>
      </c>
      <c r="F3657" s="2">
        <v>1.6821706730364799E-5</v>
      </c>
    </row>
    <row r="3658" spans="1:6" x14ac:dyDescent="0.25">
      <c r="A3658" s="1" t="str">
        <f t="shared" si="136"/>
        <v>14140</v>
      </c>
      <c r="B3658" s="1" t="str">
        <f>"24731"</f>
        <v>24731</v>
      </c>
      <c r="C3658" s="2">
        <v>2.4554148358749001E-3</v>
      </c>
      <c r="D3658" s="2">
        <v>7.2132724212550998E-4</v>
      </c>
      <c r="E3658" s="2">
        <v>0</v>
      </c>
      <c r="F3658" s="2">
        <v>2.2877521153296201E-3</v>
      </c>
    </row>
    <row r="3659" spans="1:6" x14ac:dyDescent="0.25">
      <c r="A3659" s="1" t="str">
        <f t="shared" si="136"/>
        <v>14140</v>
      </c>
      <c r="B3659" s="1" t="str">
        <f>"24124"</f>
        <v>24124</v>
      </c>
      <c r="C3659" s="2">
        <v>1.9015618653767999E-3</v>
      </c>
      <c r="D3659" s="2">
        <v>0</v>
      </c>
      <c r="E3659" s="2">
        <v>0</v>
      </c>
      <c r="F3659" s="2">
        <v>1.7326357932275799E-3</v>
      </c>
    </row>
    <row r="3660" spans="1:6" x14ac:dyDescent="0.25">
      <c r="A3660" s="1" t="str">
        <f t="shared" si="136"/>
        <v>14140</v>
      </c>
      <c r="B3660" s="1" t="str">
        <f>"24134"</f>
        <v>24134</v>
      </c>
      <c r="C3660" s="2">
        <v>3.32311782298859E-4</v>
      </c>
      <c r="D3660" s="2">
        <v>0</v>
      </c>
      <c r="E3660" s="2">
        <v>0</v>
      </c>
      <c r="F3660" s="2">
        <v>3.0279072114656699E-4</v>
      </c>
    </row>
    <row r="3661" spans="1:6" x14ac:dyDescent="0.25">
      <c r="A3661" s="1" t="str">
        <f t="shared" si="136"/>
        <v>14140</v>
      </c>
      <c r="B3661" s="1" t="str">
        <f>"24640"</f>
        <v>24640</v>
      </c>
      <c r="C3661" s="2">
        <v>0</v>
      </c>
      <c r="D3661" s="2">
        <v>0</v>
      </c>
      <c r="E3661" s="2">
        <v>8.9126559714795004E-4</v>
      </c>
      <c r="F3661" s="2">
        <v>1.6821706730364799E-5</v>
      </c>
    </row>
    <row r="3662" spans="1:6" x14ac:dyDescent="0.25">
      <c r="A3662" s="1" t="str">
        <f t="shared" si="136"/>
        <v>14140</v>
      </c>
      <c r="B3662" s="1" t="str">
        <f>"25841"</f>
        <v>25841</v>
      </c>
      <c r="C3662" s="2">
        <v>2.7508030868072198E-3</v>
      </c>
      <c r="D3662" s="2">
        <v>2.40442414041836E-4</v>
      </c>
      <c r="E3662" s="2">
        <v>8.9126559714795004E-4</v>
      </c>
      <c r="F3662" s="2">
        <v>2.5400777162850898E-3</v>
      </c>
    </row>
    <row r="3663" spans="1:6" x14ac:dyDescent="0.25">
      <c r="A3663" s="1" t="str">
        <f t="shared" si="136"/>
        <v>14140</v>
      </c>
      <c r="B3663" s="1" t="str">
        <f>"24601"</f>
        <v>24601</v>
      </c>
      <c r="C3663" s="2">
        <v>0</v>
      </c>
      <c r="D3663" s="2">
        <v>2.40442414041836E-4</v>
      </c>
      <c r="E3663" s="2">
        <v>0</v>
      </c>
      <c r="F3663" s="2">
        <v>1.6821706730364799E-5</v>
      </c>
    </row>
    <row r="3664" spans="1:6" x14ac:dyDescent="0.25">
      <c r="A3664" s="1" t="str">
        <f t="shared" si="136"/>
        <v>14140</v>
      </c>
      <c r="B3664" s="1" t="str">
        <f>"24377"</f>
        <v>24377</v>
      </c>
      <c r="C3664" s="2">
        <v>2.9354207436399198E-3</v>
      </c>
      <c r="D3664" s="2">
        <v>4.8088482808367297E-4</v>
      </c>
      <c r="E3664" s="2">
        <v>0</v>
      </c>
      <c r="F3664" s="2">
        <v>2.7082947835887399E-3</v>
      </c>
    </row>
    <row r="3665" spans="1:6" x14ac:dyDescent="0.25">
      <c r="A3665" s="1" t="str">
        <f t="shared" si="136"/>
        <v>14140</v>
      </c>
      <c r="B3665" s="1" t="str">
        <f>"24084"</f>
        <v>24084</v>
      </c>
      <c r="C3665" s="2">
        <v>3.009267806373E-3</v>
      </c>
      <c r="D3665" s="2">
        <v>4.8088482808367297E-4</v>
      </c>
      <c r="E3665" s="2">
        <v>0</v>
      </c>
      <c r="F3665" s="2">
        <v>2.7755816105102002E-3</v>
      </c>
    </row>
    <row r="3666" spans="1:6" x14ac:dyDescent="0.25">
      <c r="A3666" s="1" t="str">
        <f t="shared" si="136"/>
        <v>14140</v>
      </c>
      <c r="B3666" s="1" t="str">
        <f>"24366"</f>
        <v>24366</v>
      </c>
      <c r="C3666" s="2">
        <v>5.9077650186463802E-3</v>
      </c>
      <c r="D3666" s="2">
        <v>2.8853089685020399E-3</v>
      </c>
      <c r="E3666" s="2">
        <v>0</v>
      </c>
      <c r="F3666" s="2">
        <v>5.5848066344811303E-3</v>
      </c>
    </row>
    <row r="3667" spans="1:6" x14ac:dyDescent="0.25">
      <c r="A3667" s="1" t="str">
        <f t="shared" si="136"/>
        <v>14140</v>
      </c>
      <c r="B3667" s="1" t="str">
        <f>"24724"</f>
        <v>24724</v>
      </c>
      <c r="C3667" s="2">
        <v>1.25540006646235E-3</v>
      </c>
      <c r="D3667" s="2">
        <v>4.8088482808367297E-4</v>
      </c>
      <c r="E3667" s="2">
        <v>8.9126559714795004E-4</v>
      </c>
      <c r="F3667" s="2">
        <v>1.1943411778559E-3</v>
      </c>
    </row>
    <row r="3668" spans="1:6" x14ac:dyDescent="0.25">
      <c r="A3668" s="1" t="str">
        <f t="shared" si="136"/>
        <v>14140</v>
      </c>
      <c r="B3668" s="1" t="str">
        <f>"24739"</f>
        <v>24739</v>
      </c>
      <c r="C3668" s="2">
        <v>0.120739947568585</v>
      </c>
      <c r="D3668" s="2">
        <v>6.0831930752584702E-2</v>
      </c>
      <c r="E3668" s="2">
        <v>2.94117647058823E-2</v>
      </c>
      <c r="F3668" s="2">
        <v>0.11482497014147</v>
      </c>
    </row>
    <row r="3669" spans="1:6" x14ac:dyDescent="0.25">
      <c r="A3669" s="1" t="str">
        <f t="shared" si="136"/>
        <v>14140</v>
      </c>
      <c r="B3669" s="1" t="str">
        <f>"24612"</f>
        <v>24612</v>
      </c>
      <c r="C3669" s="2">
        <v>0</v>
      </c>
      <c r="D3669" s="2">
        <v>2.40442414041836E-4</v>
      </c>
      <c r="E3669" s="2">
        <v>0</v>
      </c>
      <c r="F3669" s="2">
        <v>1.6821706730364799E-5</v>
      </c>
    </row>
    <row r="3670" spans="1:6" x14ac:dyDescent="0.25">
      <c r="A3670" s="1" t="str">
        <f t="shared" si="136"/>
        <v>14140</v>
      </c>
      <c r="B3670" s="1" t="str">
        <f>"24714"</f>
        <v>24714</v>
      </c>
      <c r="C3670" s="2">
        <v>1.84617656832699E-3</v>
      </c>
      <c r="D3670" s="2">
        <v>4.8088482808367297E-4</v>
      </c>
      <c r="E3670" s="2">
        <v>8.9126559714795004E-4</v>
      </c>
      <c r="F3670" s="2">
        <v>1.7326357932275799E-3</v>
      </c>
    </row>
    <row r="3671" spans="1:6" x14ac:dyDescent="0.25">
      <c r="A3671" s="1" t="str">
        <f t="shared" ref="A3671:A3691" si="137">"14180"</f>
        <v>14180</v>
      </c>
      <c r="B3671" s="1" t="str">
        <f>"72395"</f>
        <v>72395</v>
      </c>
      <c r="C3671" s="2">
        <v>2.3870270270270201E-2</v>
      </c>
      <c r="D3671" s="2">
        <v>3.1469979296066201E-2</v>
      </c>
      <c r="E3671" s="2">
        <v>3.42105263157894E-2</v>
      </c>
      <c r="F3671" s="2">
        <v>2.4729938271604902E-2</v>
      </c>
    </row>
    <row r="3672" spans="1:6" x14ac:dyDescent="0.25">
      <c r="A3672" s="1" t="str">
        <f t="shared" si="137"/>
        <v>14180</v>
      </c>
      <c r="B3672" s="1" t="str">
        <f>"72330"</f>
        <v>72330</v>
      </c>
      <c r="C3672" s="2">
        <v>1.12E-2</v>
      </c>
      <c r="D3672" s="2">
        <v>1.15942028985507E-2</v>
      </c>
      <c r="E3672" s="2">
        <v>2.6315789473684201E-3</v>
      </c>
      <c r="F3672" s="2">
        <v>1.1111111111111099E-2</v>
      </c>
    </row>
    <row r="3673" spans="1:6" x14ac:dyDescent="0.25">
      <c r="A3673" s="1" t="str">
        <f t="shared" si="137"/>
        <v>14180</v>
      </c>
      <c r="B3673" s="1" t="str">
        <f>"72442"</f>
        <v>72442</v>
      </c>
      <c r="C3673" s="2">
        <v>8.0129729729729704E-2</v>
      </c>
      <c r="D3673" s="2">
        <v>2.8985507246376802E-2</v>
      </c>
      <c r="E3673" s="2">
        <v>0.1</v>
      </c>
      <c r="F3673" s="2">
        <v>7.56558641975308E-2</v>
      </c>
    </row>
    <row r="3674" spans="1:6" x14ac:dyDescent="0.25">
      <c r="A3674" s="1" t="str">
        <f t="shared" si="137"/>
        <v>14180</v>
      </c>
      <c r="B3674" s="1" t="str">
        <f>"72419"</f>
        <v>72419</v>
      </c>
      <c r="C3674" s="2">
        <v>1.2972972972972901E-4</v>
      </c>
      <c r="D3674" s="2">
        <v>0</v>
      </c>
      <c r="E3674" s="2">
        <v>0</v>
      </c>
      <c r="F3674" s="2">
        <v>1.1574074074074E-4</v>
      </c>
    </row>
    <row r="3675" spans="1:6" x14ac:dyDescent="0.25">
      <c r="A3675" s="1" t="str">
        <f t="shared" si="137"/>
        <v>14180</v>
      </c>
      <c r="B3675" s="1" t="str">
        <f>"72391"</f>
        <v>72391</v>
      </c>
      <c r="C3675" s="2">
        <v>0</v>
      </c>
      <c r="D3675" s="2">
        <v>0</v>
      </c>
      <c r="E3675" s="2">
        <v>2.6315789473684201E-3</v>
      </c>
      <c r="F3675" s="2">
        <v>3.8580246913580199E-5</v>
      </c>
    </row>
    <row r="3676" spans="1:6" x14ac:dyDescent="0.25">
      <c r="A3676" s="1" t="str">
        <f t="shared" si="137"/>
        <v>14180</v>
      </c>
      <c r="B3676" s="1" t="str">
        <f>"72426"</f>
        <v>72426</v>
      </c>
      <c r="C3676" s="2">
        <v>0</v>
      </c>
      <c r="D3676" s="2">
        <v>0</v>
      </c>
      <c r="E3676" s="2">
        <v>2.6315789473684201E-3</v>
      </c>
      <c r="F3676" s="2">
        <v>3.8580246913580199E-5</v>
      </c>
    </row>
    <row r="3677" spans="1:6" x14ac:dyDescent="0.25">
      <c r="A3677" s="1" t="str">
        <f t="shared" si="137"/>
        <v>14180</v>
      </c>
      <c r="B3677" s="1" t="str">
        <f>"72338"</f>
        <v>72338</v>
      </c>
      <c r="C3677" s="2">
        <v>1.55675675675675E-3</v>
      </c>
      <c r="D3677" s="2">
        <v>3.31262939958592E-3</v>
      </c>
      <c r="E3677" s="2">
        <v>2.6315789473684201E-3</v>
      </c>
      <c r="F3677" s="2">
        <v>1.7361111111111099E-3</v>
      </c>
    </row>
    <row r="3678" spans="1:6" x14ac:dyDescent="0.25">
      <c r="A3678" s="1" t="str">
        <f t="shared" si="137"/>
        <v>14180</v>
      </c>
      <c r="B3678" s="1" t="str">
        <f>"72316"</f>
        <v>72316</v>
      </c>
      <c r="C3678" s="2">
        <v>7.0918918918918897E-2</v>
      </c>
      <c r="D3678" s="2">
        <v>0.134161490683229</v>
      </c>
      <c r="E3678" s="2">
        <v>5.2631578947368403E-3</v>
      </c>
      <c r="F3678" s="2">
        <v>7.5848765432098703E-2</v>
      </c>
    </row>
    <row r="3679" spans="1:6" x14ac:dyDescent="0.25">
      <c r="A3679" s="1" t="str">
        <f t="shared" si="137"/>
        <v>14180</v>
      </c>
      <c r="B3679" s="1" t="str">
        <f>"72313"</f>
        <v>72313</v>
      </c>
      <c r="C3679" s="2">
        <v>0</v>
      </c>
      <c r="D3679" s="2">
        <v>0</v>
      </c>
      <c r="E3679" s="2">
        <v>2.6315789473684201E-3</v>
      </c>
      <c r="F3679" s="2">
        <v>3.8580246913580199E-5</v>
      </c>
    </row>
    <row r="3680" spans="1:6" x14ac:dyDescent="0.25">
      <c r="A3680" s="1" t="str">
        <f t="shared" si="137"/>
        <v>14180</v>
      </c>
      <c r="B3680" s="1" t="str">
        <f>"72354"</f>
        <v>72354</v>
      </c>
      <c r="C3680" s="2">
        <v>2.03243243243243E-3</v>
      </c>
      <c r="D3680" s="2">
        <v>8.2815734989648E-4</v>
      </c>
      <c r="E3680" s="2">
        <v>0</v>
      </c>
      <c r="F3680" s="2">
        <v>1.8904320987654299E-3</v>
      </c>
    </row>
    <row r="3681" spans="1:6" x14ac:dyDescent="0.25">
      <c r="A3681" s="1" t="str">
        <f t="shared" si="137"/>
        <v>14180</v>
      </c>
      <c r="B3681" s="1" t="str">
        <f>"72428"</f>
        <v>72428</v>
      </c>
      <c r="C3681" s="2">
        <v>9.9459459459459395E-4</v>
      </c>
      <c r="D3681" s="2">
        <v>4.1407867494824E-4</v>
      </c>
      <c r="E3681" s="2">
        <v>2.6315789473684201E-3</v>
      </c>
      <c r="F3681" s="2">
        <v>9.6450617283950601E-4</v>
      </c>
    </row>
    <row r="3682" spans="1:6" x14ac:dyDescent="0.25">
      <c r="A3682" s="1" t="str">
        <f t="shared" si="137"/>
        <v>14180</v>
      </c>
      <c r="B3682" s="1" t="str">
        <f>"72321"</f>
        <v>72321</v>
      </c>
      <c r="C3682" s="2">
        <v>4.3243243243243201E-5</v>
      </c>
      <c r="D3682" s="2">
        <v>0</v>
      </c>
      <c r="E3682" s="2">
        <v>2.6315789473684201E-3</v>
      </c>
      <c r="F3682" s="2">
        <v>7.7160493827160397E-5</v>
      </c>
    </row>
    <row r="3683" spans="1:6" x14ac:dyDescent="0.25">
      <c r="A3683" s="1" t="str">
        <f t="shared" si="137"/>
        <v>14180</v>
      </c>
      <c r="B3683" s="1" t="str">
        <f>"72386"</f>
        <v>72386</v>
      </c>
      <c r="C3683" s="2">
        <v>6.6162162162162102E-3</v>
      </c>
      <c r="D3683" s="2">
        <v>2.8985507246376799E-3</v>
      </c>
      <c r="E3683" s="2">
        <v>5.2631578947368403E-3</v>
      </c>
      <c r="F3683" s="2">
        <v>6.2500000000000003E-3</v>
      </c>
    </row>
    <row r="3684" spans="1:6" x14ac:dyDescent="0.25">
      <c r="A3684" s="1" t="str">
        <f t="shared" si="137"/>
        <v>14180</v>
      </c>
      <c r="B3684" s="1" t="str">
        <f>"72350"</f>
        <v>72350</v>
      </c>
      <c r="C3684" s="2">
        <v>1.9675675675675599E-2</v>
      </c>
      <c r="D3684" s="2">
        <v>1.53209109730848E-2</v>
      </c>
      <c r="E3684" s="2">
        <v>1.3157894736842099E-2</v>
      </c>
      <c r="F3684" s="2">
        <v>1.91743827160493E-2</v>
      </c>
    </row>
    <row r="3685" spans="1:6" x14ac:dyDescent="0.25">
      <c r="A3685" s="1" t="str">
        <f t="shared" si="137"/>
        <v>14180</v>
      </c>
      <c r="B3685" s="1" t="str">
        <f>"72438"</f>
        <v>72438</v>
      </c>
      <c r="C3685" s="2">
        <v>4.0302702702702697E-2</v>
      </c>
      <c r="D3685" s="2">
        <v>4.5548654244306399E-3</v>
      </c>
      <c r="E3685" s="2">
        <v>1.5789473684210499E-2</v>
      </c>
      <c r="F3685" s="2">
        <v>3.6612654320987599E-2</v>
      </c>
    </row>
    <row r="3686" spans="1:6" x14ac:dyDescent="0.25">
      <c r="A3686" s="1" t="str">
        <f t="shared" si="137"/>
        <v>14180</v>
      </c>
      <c r="B3686" s="1" t="str">
        <f>"72370"</f>
        <v>72370</v>
      </c>
      <c r="C3686" s="2">
        <v>0.18274594594594501</v>
      </c>
      <c r="D3686" s="2">
        <v>0.20662525879917101</v>
      </c>
      <c r="E3686" s="2">
        <v>0.168421052631578</v>
      </c>
      <c r="F3686" s="2">
        <v>0.18476080246913501</v>
      </c>
    </row>
    <row r="3687" spans="1:6" x14ac:dyDescent="0.25">
      <c r="A3687" s="1" t="str">
        <f t="shared" si="137"/>
        <v>14180</v>
      </c>
      <c r="B3687" s="1" t="str">
        <f>"72329"</f>
        <v>72329</v>
      </c>
      <c r="C3687" s="2">
        <v>0</v>
      </c>
      <c r="D3687" s="2">
        <v>0</v>
      </c>
      <c r="E3687" s="2">
        <v>2.6315789473684201E-3</v>
      </c>
      <c r="F3687" s="2">
        <v>3.8580246913580199E-5</v>
      </c>
    </row>
    <row r="3688" spans="1:6" x14ac:dyDescent="0.25">
      <c r="A3688" s="1" t="str">
        <f t="shared" si="137"/>
        <v>14180</v>
      </c>
      <c r="B3688" s="1" t="str">
        <f>"72315"</f>
        <v>72315</v>
      </c>
      <c r="C3688" s="2">
        <v>0.54257297297297202</v>
      </c>
      <c r="D3688" s="2">
        <v>0.55362318840579705</v>
      </c>
      <c r="E3688" s="2">
        <v>0.62894736842105203</v>
      </c>
      <c r="F3688" s="2">
        <v>0.54486882716049301</v>
      </c>
    </row>
    <row r="3689" spans="1:6" x14ac:dyDescent="0.25">
      <c r="A3689" s="1" t="str">
        <f t="shared" si="137"/>
        <v>14180</v>
      </c>
      <c r="B3689" s="1" t="str">
        <f>"72351"</f>
        <v>72351</v>
      </c>
      <c r="C3689" s="2">
        <v>8.6486486486486402E-5</v>
      </c>
      <c r="D3689" s="2">
        <v>0</v>
      </c>
      <c r="E3689" s="2">
        <v>2.6315789473684201E-3</v>
      </c>
      <c r="F3689" s="2">
        <v>1.1574074074074E-4</v>
      </c>
    </row>
    <row r="3690" spans="1:6" x14ac:dyDescent="0.25">
      <c r="A3690" s="1" t="str">
        <f t="shared" si="137"/>
        <v>14180</v>
      </c>
      <c r="B3690" s="1" t="str">
        <f>"72310"</f>
        <v>72310</v>
      </c>
      <c r="C3690" s="2">
        <v>0</v>
      </c>
      <c r="D3690" s="2">
        <v>0</v>
      </c>
      <c r="E3690" s="2">
        <v>2.6315789473684201E-3</v>
      </c>
      <c r="F3690" s="2">
        <v>3.8580246913580199E-5</v>
      </c>
    </row>
    <row r="3691" spans="1:6" x14ac:dyDescent="0.25">
      <c r="A3691" s="1" t="str">
        <f t="shared" si="137"/>
        <v>14180</v>
      </c>
      <c r="B3691" s="1" t="str">
        <f>"72358"</f>
        <v>72358</v>
      </c>
      <c r="C3691" s="2">
        <v>1.71243243243243E-2</v>
      </c>
      <c r="D3691" s="2">
        <v>6.2111801242236003E-3</v>
      </c>
      <c r="E3691" s="2">
        <v>2.6315789473684201E-3</v>
      </c>
      <c r="F3691" s="2">
        <v>1.5895061728394999E-2</v>
      </c>
    </row>
    <row r="3692" spans="1:6" x14ac:dyDescent="0.25">
      <c r="A3692" s="1" t="str">
        <f t="shared" ref="A3692:A3697" si="138">"14220"</f>
        <v>14220</v>
      </c>
      <c r="B3692" s="1" t="str">
        <f>"70426"</f>
        <v>70426</v>
      </c>
      <c r="C3692" s="2">
        <v>0.110906349472273</v>
      </c>
      <c r="D3692" s="2">
        <v>3.3062645011600902E-2</v>
      </c>
      <c r="E3692" s="2">
        <v>5.859375E-2</v>
      </c>
      <c r="F3692" s="2">
        <v>0.10519801980198</v>
      </c>
    </row>
    <row r="3693" spans="1:6" x14ac:dyDescent="0.25">
      <c r="A3693" s="1" t="str">
        <f t="shared" si="138"/>
        <v>14220</v>
      </c>
      <c r="B3693" s="1" t="str">
        <f>"70450"</f>
        <v>70450</v>
      </c>
      <c r="C3693" s="2">
        <v>6.3746021109063397E-2</v>
      </c>
      <c r="D3693" s="2">
        <v>1.27610208816705E-2</v>
      </c>
      <c r="E3693" s="2">
        <v>1.953125E-2</v>
      </c>
      <c r="F3693" s="2">
        <v>5.9908725247524698E-2</v>
      </c>
    </row>
    <row r="3694" spans="1:6" x14ac:dyDescent="0.25">
      <c r="A3694" s="1" t="str">
        <f t="shared" si="138"/>
        <v>14220</v>
      </c>
      <c r="B3694" s="1" t="str">
        <f>"70435"</f>
        <v>70435</v>
      </c>
      <c r="C3694" s="2">
        <v>8.3766124979058404E-5</v>
      </c>
      <c r="D3694" s="2">
        <v>0</v>
      </c>
      <c r="E3694" s="2">
        <v>0</v>
      </c>
      <c r="F3694" s="2">
        <v>7.7351485148514798E-5</v>
      </c>
    </row>
    <row r="3695" spans="1:6" x14ac:dyDescent="0.25">
      <c r="A3695" s="1" t="str">
        <f t="shared" si="138"/>
        <v>14220</v>
      </c>
      <c r="B3695" s="1" t="str">
        <f>"70427"</f>
        <v>70427</v>
      </c>
      <c r="C3695" s="2">
        <v>0.415061149271234</v>
      </c>
      <c r="D3695" s="2">
        <v>0.54002320185614805</v>
      </c>
      <c r="E3695" s="2">
        <v>0.71484375</v>
      </c>
      <c r="F3695" s="2">
        <v>0.42636138613861302</v>
      </c>
    </row>
    <row r="3696" spans="1:6" x14ac:dyDescent="0.25">
      <c r="A3696" s="1" t="str">
        <f t="shared" si="138"/>
        <v>14220</v>
      </c>
      <c r="B3696" s="1" t="str">
        <f>"70438"</f>
        <v>70438</v>
      </c>
      <c r="C3696" s="2">
        <v>0.40752219802311901</v>
      </c>
      <c r="D3696" s="2">
        <v>0.41299303944315502</v>
      </c>
      <c r="E3696" s="2">
        <v>0.20703125</v>
      </c>
      <c r="F3696" s="2">
        <v>0.40590191831683098</v>
      </c>
    </row>
    <row r="3697" spans="1:6" x14ac:dyDescent="0.25">
      <c r="A3697" s="1" t="str">
        <f t="shared" si="138"/>
        <v>14220</v>
      </c>
      <c r="B3697" s="1" t="str">
        <f>"70444"</f>
        <v>70444</v>
      </c>
      <c r="C3697" s="2">
        <v>2.6805159993298698E-3</v>
      </c>
      <c r="D3697" s="2">
        <v>1.16009280742459E-3</v>
      </c>
      <c r="E3697" s="2">
        <v>0</v>
      </c>
      <c r="F3697" s="2">
        <v>2.5525990099009902E-3</v>
      </c>
    </row>
    <row r="3698" spans="1:6" x14ac:dyDescent="0.25">
      <c r="A3698" s="1" t="str">
        <f t="shared" ref="A3698:A3729" si="139">"14260"</f>
        <v>14260</v>
      </c>
      <c r="B3698" s="1" t="str">
        <f>"83628"</f>
        <v>83628</v>
      </c>
      <c r="C3698" s="2">
        <v>5.2652112269528E-3</v>
      </c>
      <c r="D3698" s="2">
        <v>2.6519923092222998E-3</v>
      </c>
      <c r="E3698" s="2">
        <v>3.51141208929019E-3</v>
      </c>
      <c r="F3698" s="2">
        <v>4.9859542702376004E-3</v>
      </c>
    </row>
    <row r="3699" spans="1:6" x14ac:dyDescent="0.25">
      <c r="A3699" s="1" t="str">
        <f t="shared" si="139"/>
        <v>14260</v>
      </c>
      <c r="B3699" s="1" t="str">
        <f>"83686"</f>
        <v>83686</v>
      </c>
      <c r="C3699" s="2">
        <v>6.2890727836156707E-2</v>
      </c>
      <c r="D3699" s="2">
        <v>1.65749519326393E-2</v>
      </c>
      <c r="E3699" s="2">
        <v>5.5179332831703003E-2</v>
      </c>
      <c r="F3699" s="2">
        <v>5.8723461405020598E-2</v>
      </c>
    </row>
    <row r="3700" spans="1:6" x14ac:dyDescent="0.25">
      <c r="A3700" s="1" t="str">
        <f t="shared" si="139"/>
        <v>14260</v>
      </c>
      <c r="B3700" s="1" t="str">
        <f>"83713"</f>
        <v>83713</v>
      </c>
      <c r="C3700" s="2">
        <v>3.6758152354913198E-2</v>
      </c>
      <c r="D3700" s="2">
        <v>2.6984021746336899E-2</v>
      </c>
      <c r="E3700" s="2">
        <v>4.87417440013376E-2</v>
      </c>
      <c r="F3700" s="2">
        <v>3.6334232409262299E-2</v>
      </c>
    </row>
    <row r="3701" spans="1:6" x14ac:dyDescent="0.25">
      <c r="A3701" s="1" t="str">
        <f t="shared" si="139"/>
        <v>14260</v>
      </c>
      <c r="B3701" s="1" t="str">
        <f>"83666"</f>
        <v>83666</v>
      </c>
      <c r="C3701" s="2">
        <v>1.90308839528414E-4</v>
      </c>
      <c r="D3701" s="2">
        <v>1.6574951932639301E-4</v>
      </c>
      <c r="E3701" s="2">
        <v>0</v>
      </c>
      <c r="F3701" s="2">
        <v>1.8186701883582699E-4</v>
      </c>
    </row>
    <row r="3702" spans="1:6" x14ac:dyDescent="0.25">
      <c r="A3702" s="1" t="str">
        <f t="shared" si="139"/>
        <v>14260</v>
      </c>
      <c r="B3702" s="1" t="str">
        <f>"83604"</f>
        <v>83604</v>
      </c>
      <c r="C3702" s="2">
        <v>8.5638977787786601E-4</v>
      </c>
      <c r="D3702" s="2">
        <v>3.3149903865278699E-4</v>
      </c>
      <c r="E3702" s="2">
        <v>2.5081514923501301E-4</v>
      </c>
      <c r="F3702" s="2">
        <v>7.9182102046983205E-4</v>
      </c>
    </row>
    <row r="3703" spans="1:6" x14ac:dyDescent="0.25">
      <c r="A3703" s="1" t="str">
        <f t="shared" si="139"/>
        <v>14260</v>
      </c>
      <c r="B3703" s="1" t="str">
        <f>"83656"</f>
        <v>83656</v>
      </c>
      <c r="C3703" s="2">
        <v>5.8678558854594498E-4</v>
      </c>
      <c r="D3703" s="2">
        <v>0</v>
      </c>
      <c r="E3703" s="2">
        <v>8.3605049745004499E-5</v>
      </c>
      <c r="F3703" s="2">
        <v>5.2041946928405903E-4</v>
      </c>
    </row>
    <row r="3704" spans="1:6" x14ac:dyDescent="0.25">
      <c r="A3704" s="1" t="str">
        <f t="shared" si="139"/>
        <v>14260</v>
      </c>
      <c r="B3704" s="1" t="str">
        <f>"83711"</f>
        <v>83711</v>
      </c>
      <c r="C3704" s="2">
        <v>4.97657615366804E-3</v>
      </c>
      <c r="D3704" s="2">
        <v>1.5282105681893501E-2</v>
      </c>
      <c r="E3704" s="2">
        <v>1.67210099490009E-4</v>
      </c>
      <c r="F3704" s="2">
        <v>5.6854428042215502E-3</v>
      </c>
    </row>
    <row r="3705" spans="1:6" x14ac:dyDescent="0.25">
      <c r="A3705" s="1" t="str">
        <f t="shared" si="139"/>
        <v>14260</v>
      </c>
      <c r="B3705" s="1" t="str">
        <f>"83616"</f>
        <v>83616</v>
      </c>
      <c r="C3705" s="2">
        <v>4.76882233718285E-2</v>
      </c>
      <c r="D3705" s="2">
        <v>6.1028973015978198E-2</v>
      </c>
      <c r="E3705" s="2">
        <v>2.7589666415851501E-2</v>
      </c>
      <c r="F3705" s="2">
        <v>4.8141598862911403E-2</v>
      </c>
    </row>
    <row r="3706" spans="1:6" x14ac:dyDescent="0.25">
      <c r="A3706" s="1" t="str">
        <f t="shared" si="139"/>
        <v>14260</v>
      </c>
      <c r="B3706" s="1" t="str">
        <f>"83629"</f>
        <v>83629</v>
      </c>
      <c r="C3706" s="2">
        <v>2.2710188183724099E-3</v>
      </c>
      <c r="D3706" s="2">
        <v>1.0276470198236399E-3</v>
      </c>
      <c r="E3706" s="2">
        <v>2.50815149235013E-3</v>
      </c>
      <c r="F3706" s="2">
        <v>2.1740103636221099E-3</v>
      </c>
    </row>
    <row r="3707" spans="1:6" x14ac:dyDescent="0.25">
      <c r="A3707" s="1" t="str">
        <f t="shared" si="139"/>
        <v>14260</v>
      </c>
      <c r="B3707" s="1" t="str">
        <f>"83724"</f>
        <v>83724</v>
      </c>
      <c r="C3707" s="2">
        <v>0</v>
      </c>
      <c r="D3707" s="2">
        <v>9.2819730822780598E-4</v>
      </c>
      <c r="E3707" s="2">
        <v>8.3605049745004499E-5</v>
      </c>
      <c r="F3707" s="2">
        <v>8.1140669942138304E-5</v>
      </c>
    </row>
    <row r="3708" spans="1:6" x14ac:dyDescent="0.25">
      <c r="A3708" s="1" t="str">
        <f t="shared" si="139"/>
        <v>14260</v>
      </c>
      <c r="B3708" s="1" t="str">
        <f>"83708"</f>
        <v>83708</v>
      </c>
      <c r="C3708" s="2">
        <v>0</v>
      </c>
      <c r="D3708" s="2">
        <v>6.6299807730557498E-5</v>
      </c>
      <c r="E3708" s="2">
        <v>0</v>
      </c>
      <c r="F3708" s="2">
        <v>5.5959082718716004E-6</v>
      </c>
    </row>
    <row r="3709" spans="1:6" x14ac:dyDescent="0.25">
      <c r="A3709" s="1" t="str">
        <f t="shared" si="139"/>
        <v>14260</v>
      </c>
      <c r="B3709" s="1" t="str">
        <f>"83302"</f>
        <v>83302</v>
      </c>
      <c r="C3709" s="2">
        <v>2.8546325929262201E-5</v>
      </c>
      <c r="D3709" s="2">
        <v>0</v>
      </c>
      <c r="E3709" s="2">
        <v>0</v>
      </c>
      <c r="F3709" s="2">
        <v>2.51815872234222E-5</v>
      </c>
    </row>
    <row r="3710" spans="1:6" x14ac:dyDescent="0.25">
      <c r="A3710" s="1" t="str">
        <f t="shared" si="139"/>
        <v>14260</v>
      </c>
      <c r="B3710" s="1" t="str">
        <f>"83602"</f>
        <v>83602</v>
      </c>
      <c r="C3710" s="2">
        <v>1.17357117709189E-4</v>
      </c>
      <c r="D3710" s="2">
        <v>1.6574951932639301E-4</v>
      </c>
      <c r="E3710" s="2">
        <v>0</v>
      </c>
      <c r="F3710" s="2">
        <v>1.17514073709303E-4</v>
      </c>
    </row>
    <row r="3711" spans="1:6" x14ac:dyDescent="0.25">
      <c r="A3711" s="1" t="str">
        <f t="shared" si="139"/>
        <v>14260</v>
      </c>
      <c r="B3711" s="1" t="str">
        <f>"83715"</f>
        <v>83715</v>
      </c>
      <c r="C3711" s="2">
        <v>3.01322329253323E-3</v>
      </c>
      <c r="D3711" s="2">
        <v>8.2874759663196899E-3</v>
      </c>
      <c r="E3711" s="2">
        <v>1.67210099490009E-4</v>
      </c>
      <c r="F3711" s="2">
        <v>3.3631408713948301E-3</v>
      </c>
    </row>
    <row r="3712" spans="1:6" x14ac:dyDescent="0.25">
      <c r="A3712" s="1" t="str">
        <f t="shared" si="139"/>
        <v>14260</v>
      </c>
      <c r="B3712" s="1" t="str">
        <f>"83624"</f>
        <v>83624</v>
      </c>
      <c r="C3712" s="2">
        <v>5.9947284451450605E-4</v>
      </c>
      <c r="D3712" s="2">
        <v>1.32599615461115E-4</v>
      </c>
      <c r="E3712" s="2">
        <v>4.1802524872502201E-4</v>
      </c>
      <c r="F3712" s="2">
        <v>5.5399491891528895E-4</v>
      </c>
    </row>
    <row r="3713" spans="1:6" x14ac:dyDescent="0.25">
      <c r="A3713" s="1" t="str">
        <f t="shared" si="139"/>
        <v>14260</v>
      </c>
      <c r="B3713" s="1" t="str">
        <f>"83626"</f>
        <v>83626</v>
      </c>
      <c r="C3713" s="2">
        <v>1.46854987836093E-3</v>
      </c>
      <c r="D3713" s="2">
        <v>5.9669826957501801E-4</v>
      </c>
      <c r="E3713" s="2">
        <v>5.0163029847002699E-4</v>
      </c>
      <c r="F3713" s="2">
        <v>1.36260366420073E-3</v>
      </c>
    </row>
    <row r="3714" spans="1:6" x14ac:dyDescent="0.25">
      <c r="A3714" s="1" t="str">
        <f t="shared" si="139"/>
        <v>14260</v>
      </c>
      <c r="B3714" s="1" t="str">
        <f>"83653"</f>
        <v>83653</v>
      </c>
      <c r="C3714" s="2">
        <v>6.3087380303669402E-3</v>
      </c>
      <c r="D3714" s="2">
        <v>1.0177020486640501E-2</v>
      </c>
      <c r="E3714" s="2">
        <v>1.67210099490009E-4</v>
      </c>
      <c r="F3714" s="2">
        <v>6.4296986043804703E-3</v>
      </c>
    </row>
    <row r="3715" spans="1:6" x14ac:dyDescent="0.25">
      <c r="A3715" s="1" t="str">
        <f t="shared" si="139"/>
        <v>14260</v>
      </c>
      <c r="B3715" s="1" t="str">
        <f>"83650"</f>
        <v>83650</v>
      </c>
      <c r="C3715" s="2">
        <v>6.8828363629443298E-4</v>
      </c>
      <c r="D3715" s="2">
        <v>2.3204932705695101E-4</v>
      </c>
      <c r="E3715" s="2">
        <v>8.3605049745004499E-5</v>
      </c>
      <c r="F3715" s="2">
        <v>6.2953968058555496E-4</v>
      </c>
    </row>
    <row r="3716" spans="1:6" x14ac:dyDescent="0.25">
      <c r="A3716" s="1" t="str">
        <f t="shared" si="139"/>
        <v>14260</v>
      </c>
      <c r="B3716" s="1" t="str">
        <f>"83646"</f>
        <v>83646</v>
      </c>
      <c r="C3716" s="2">
        <v>7.8822749518677196E-2</v>
      </c>
      <c r="D3716" s="2">
        <v>2.1845786647218701E-2</v>
      </c>
      <c r="E3716" s="2">
        <v>2.16537078839561E-2</v>
      </c>
      <c r="F3716" s="2">
        <v>7.2100480128929695E-2</v>
      </c>
    </row>
    <row r="3717" spans="1:6" x14ac:dyDescent="0.25">
      <c r="A3717" s="1" t="str">
        <f t="shared" si="139"/>
        <v>14260</v>
      </c>
      <c r="B3717" s="1" t="str">
        <f>"83634"</f>
        <v>83634</v>
      </c>
      <c r="C3717" s="2">
        <v>3.1305804102424201E-2</v>
      </c>
      <c r="D3717" s="2">
        <v>1.6077703374660201E-2</v>
      </c>
      <c r="E3717" s="2">
        <v>2.0734052336761101E-2</v>
      </c>
      <c r="F3717" s="2">
        <v>2.96667077033273E-2</v>
      </c>
    </row>
    <row r="3718" spans="1:6" x14ac:dyDescent="0.25">
      <c r="A3718" s="1" t="str">
        <f t="shared" si="139"/>
        <v>14260</v>
      </c>
      <c r="B3718" s="1" t="str">
        <f>"83637"</f>
        <v>83637</v>
      </c>
      <c r="C3718" s="2">
        <v>7.92953498035061E-4</v>
      </c>
      <c r="D3718" s="2">
        <v>3.3149903865278699E-4</v>
      </c>
      <c r="E3718" s="2">
        <v>1.67210099490009E-4</v>
      </c>
      <c r="F3718" s="2">
        <v>7.3306398361518003E-4</v>
      </c>
    </row>
    <row r="3719" spans="1:6" x14ac:dyDescent="0.25">
      <c r="A3719" s="1" t="str">
        <f t="shared" si="139"/>
        <v>14260</v>
      </c>
      <c r="B3719" s="1" t="str">
        <f>"83639"</f>
        <v>83639</v>
      </c>
      <c r="C3719" s="2">
        <v>3.6031806950713101E-3</v>
      </c>
      <c r="D3719" s="2">
        <v>7.9559769276669003E-4</v>
      </c>
      <c r="E3719" s="2">
        <v>1.9229161441350999E-3</v>
      </c>
      <c r="F3719" s="2">
        <v>3.3099797428120499E-3</v>
      </c>
    </row>
    <row r="3720" spans="1:6" x14ac:dyDescent="0.25">
      <c r="A3720" s="1" t="str">
        <f t="shared" si="139"/>
        <v>14260</v>
      </c>
      <c r="B3720" s="1" t="str">
        <f>"83627"</f>
        <v>83627</v>
      </c>
      <c r="C3720" s="2">
        <v>1.17357117709189E-4</v>
      </c>
      <c r="D3720" s="2">
        <v>3.3149903865278702E-5</v>
      </c>
      <c r="E3720" s="2">
        <v>0</v>
      </c>
      <c r="F3720" s="2">
        <v>1.0632225716556E-4</v>
      </c>
    </row>
    <row r="3721" spans="1:6" x14ac:dyDescent="0.25">
      <c r="A3721" s="1" t="str">
        <f t="shared" si="139"/>
        <v>14260</v>
      </c>
      <c r="B3721" s="1" t="str">
        <f>"83703"</f>
        <v>83703</v>
      </c>
      <c r="C3721" s="2">
        <v>2.6205527203062701E-2</v>
      </c>
      <c r="D3721" s="2">
        <v>1.42213087582046E-2</v>
      </c>
      <c r="E3721" s="2">
        <v>3.03486330574366E-2</v>
      </c>
      <c r="F3721" s="2">
        <v>2.5332676746762699E-2</v>
      </c>
    </row>
    <row r="3722" spans="1:6" x14ac:dyDescent="0.25">
      <c r="A3722" s="1" t="str">
        <f t="shared" si="139"/>
        <v>14260</v>
      </c>
      <c r="B3722" s="1" t="str">
        <f>"83704"</f>
        <v>83704</v>
      </c>
      <c r="C3722" s="2">
        <v>5.6753267761365397E-2</v>
      </c>
      <c r="D3722" s="2">
        <v>6.2255519458993498E-2</v>
      </c>
      <c r="E3722" s="2">
        <v>0.112866817155756</v>
      </c>
      <c r="F3722" s="2">
        <v>5.9095589305100102E-2</v>
      </c>
    </row>
    <row r="3723" spans="1:6" x14ac:dyDescent="0.25">
      <c r="A3723" s="1" t="str">
        <f t="shared" si="139"/>
        <v>14260</v>
      </c>
      <c r="B3723" s="1" t="str">
        <f>"83607"</f>
        <v>83607</v>
      </c>
      <c r="C3723" s="2">
        <v>3.9197277314869099E-2</v>
      </c>
      <c r="D3723" s="2">
        <v>1.04090698136975E-2</v>
      </c>
      <c r="E3723" s="2">
        <v>3.0766658306161598E-2</v>
      </c>
      <c r="F3723" s="2">
        <v>3.6485321932602802E-2</v>
      </c>
    </row>
    <row r="3724" spans="1:6" x14ac:dyDescent="0.25">
      <c r="A3724" s="1" t="str">
        <f t="shared" si="139"/>
        <v>14260</v>
      </c>
      <c r="B3724" s="1" t="str">
        <f>"83642"</f>
        <v>83642</v>
      </c>
      <c r="C3724" s="2">
        <v>6.7883163059785506E-2</v>
      </c>
      <c r="D3724" s="2">
        <v>8.6587548896108202E-2</v>
      </c>
      <c r="E3724" s="2">
        <v>8.2434579048574499E-2</v>
      </c>
      <c r="F3724" s="2">
        <v>6.9948853398395003E-2</v>
      </c>
    </row>
    <row r="3725" spans="1:6" x14ac:dyDescent="0.25">
      <c r="A3725" s="1" t="str">
        <f t="shared" si="139"/>
        <v>14260</v>
      </c>
      <c r="B3725" s="1" t="str">
        <f>"83717"</f>
        <v>83717</v>
      </c>
      <c r="C3725" s="2">
        <v>2.5882002175864299E-3</v>
      </c>
      <c r="D3725" s="2">
        <v>3.2486905787973198E-3</v>
      </c>
      <c r="E3725" s="2">
        <v>8.3605049745004499E-5</v>
      </c>
      <c r="F3725" s="2">
        <v>2.56012803438126E-3</v>
      </c>
    </row>
    <row r="3726" spans="1:6" x14ac:dyDescent="0.25">
      <c r="A3726" s="1" t="str">
        <f t="shared" si="139"/>
        <v>14260</v>
      </c>
      <c r="B3726" s="1" t="str">
        <f>"83716"</f>
        <v>83716</v>
      </c>
      <c r="C3726" s="2">
        <v>2.9025269842075301E-2</v>
      </c>
      <c r="D3726" s="2">
        <v>1.28953126035934E-2</v>
      </c>
      <c r="E3726" s="2">
        <v>3.5197725942646897E-2</v>
      </c>
      <c r="F3726" s="2">
        <v>2.78704211480565E-2</v>
      </c>
    </row>
    <row r="3727" spans="1:6" x14ac:dyDescent="0.25">
      <c r="A3727" s="1" t="str">
        <f t="shared" si="139"/>
        <v>14260</v>
      </c>
      <c r="B3727" s="1" t="str">
        <f>"83735"</f>
        <v>83735</v>
      </c>
      <c r="C3727" s="2">
        <v>0</v>
      </c>
      <c r="D3727" s="2">
        <v>9.9449711595836295E-5</v>
      </c>
      <c r="E3727" s="2">
        <v>0</v>
      </c>
      <c r="F3727" s="2">
        <v>8.3938624078074095E-6</v>
      </c>
    </row>
    <row r="3728" spans="1:6" x14ac:dyDescent="0.25">
      <c r="A3728" s="1" t="str">
        <f t="shared" si="139"/>
        <v>14260</v>
      </c>
      <c r="B3728" s="1" t="str">
        <f>"83630"</f>
        <v>83630</v>
      </c>
      <c r="C3728" s="2">
        <v>0</v>
      </c>
      <c r="D3728" s="2">
        <v>0</v>
      </c>
      <c r="E3728" s="2">
        <v>8.3605049745004499E-5</v>
      </c>
      <c r="F3728" s="2">
        <v>2.7979541359358002E-6</v>
      </c>
    </row>
    <row r="3729" spans="1:6" x14ac:dyDescent="0.25">
      <c r="A3729" s="1" t="str">
        <f t="shared" si="139"/>
        <v>14260</v>
      </c>
      <c r="B3729" s="1" t="str">
        <f>"83657"</f>
        <v>83657</v>
      </c>
      <c r="C3729" s="2">
        <v>1.7444976956771299E-4</v>
      </c>
      <c r="D3729" s="2">
        <v>3.3149903865278702E-5</v>
      </c>
      <c r="E3729" s="2">
        <v>8.3605049745004499E-5</v>
      </c>
      <c r="F3729" s="2">
        <v>1.5948338574834001E-4</v>
      </c>
    </row>
    <row r="3730" spans="1:6" x14ac:dyDescent="0.25">
      <c r="A3730" s="1" t="str">
        <f t="shared" ref="A3730:A3758" si="140">"14260"</f>
        <v>14260</v>
      </c>
      <c r="B3730" s="1" t="str">
        <f>"83701"</f>
        <v>83701</v>
      </c>
      <c r="C3730" s="2">
        <v>3.4382463674800202E-3</v>
      </c>
      <c r="D3730" s="2">
        <v>2.3072333090234001E-2</v>
      </c>
      <c r="E3730" s="2">
        <v>1.67210099490009E-4</v>
      </c>
      <c r="F3730" s="2">
        <v>4.9859542702376004E-3</v>
      </c>
    </row>
    <row r="3731" spans="1:6" x14ac:dyDescent="0.25">
      <c r="A3731" s="1" t="str">
        <f t="shared" si="140"/>
        <v>14260</v>
      </c>
      <c r="B3731" s="1" t="str">
        <f>"83707"</f>
        <v>83707</v>
      </c>
      <c r="C3731" s="2">
        <v>6.0264465850664601E-3</v>
      </c>
      <c r="D3731" s="2">
        <v>2.9569714247828598E-2</v>
      </c>
      <c r="E3731" s="2">
        <v>1.67210099490009E-4</v>
      </c>
      <c r="F3731" s="2">
        <v>7.8174838558046304E-3</v>
      </c>
    </row>
    <row r="3732" spans="1:6" x14ac:dyDescent="0.25">
      <c r="A3732" s="1" t="str">
        <f t="shared" si="140"/>
        <v>14260</v>
      </c>
      <c r="B3732" s="1" t="str">
        <f>"83728"</f>
        <v>83728</v>
      </c>
      <c r="C3732" s="2">
        <v>0</v>
      </c>
      <c r="D3732" s="2">
        <v>6.6299807730557498E-5</v>
      </c>
      <c r="E3732" s="2">
        <v>0</v>
      </c>
      <c r="F3732" s="2">
        <v>5.5959082718716004E-6</v>
      </c>
    </row>
    <row r="3733" spans="1:6" x14ac:dyDescent="0.25">
      <c r="A3733" s="1" t="str">
        <f t="shared" si="140"/>
        <v>14260</v>
      </c>
      <c r="B3733" s="1" t="str">
        <f>"83670"</f>
        <v>83670</v>
      </c>
      <c r="C3733" s="2">
        <v>6.4387824040446897E-4</v>
      </c>
      <c r="D3733" s="2">
        <v>1.9889942319167199E-4</v>
      </c>
      <c r="E3733" s="2">
        <v>2.5081514923501301E-4</v>
      </c>
      <c r="F3733" s="2">
        <v>5.9316627681839005E-4</v>
      </c>
    </row>
    <row r="3734" spans="1:6" x14ac:dyDescent="0.25">
      <c r="A3734" s="1" t="str">
        <f t="shared" si="140"/>
        <v>14260</v>
      </c>
      <c r="B3734" s="1" t="str">
        <f>"83605"</f>
        <v>83605</v>
      </c>
      <c r="C3734" s="2">
        <v>4.3542662484101199E-2</v>
      </c>
      <c r="D3734" s="2">
        <v>4.6244115892063897E-2</v>
      </c>
      <c r="E3734" s="2">
        <v>5.33400217373129E-2</v>
      </c>
      <c r="F3734" s="2">
        <v>4.4098555136484197E-2</v>
      </c>
    </row>
    <row r="3735" spans="1:6" x14ac:dyDescent="0.25">
      <c r="A3735" s="1" t="str">
        <f t="shared" si="140"/>
        <v>14260</v>
      </c>
      <c r="B3735" s="1" t="str">
        <f>"83641"</f>
        <v>83641</v>
      </c>
      <c r="C3735" s="2">
        <v>4.4119932630670797E-3</v>
      </c>
      <c r="D3735" s="2">
        <v>1.3922959623417E-3</v>
      </c>
      <c r="E3735" s="2">
        <v>2.4245464426051301E-3</v>
      </c>
      <c r="F3735" s="2">
        <v>4.0906089467381401E-3</v>
      </c>
    </row>
    <row r="3736" spans="1:6" x14ac:dyDescent="0.25">
      <c r="A3736" s="1" t="str">
        <f t="shared" si="140"/>
        <v>14260</v>
      </c>
      <c r="B3736" s="1" t="str">
        <f>"83660"</f>
        <v>83660</v>
      </c>
      <c r="C3736" s="2">
        <v>6.25481719250056E-3</v>
      </c>
      <c r="D3736" s="2">
        <v>1.5580454816681E-3</v>
      </c>
      <c r="E3736" s="2">
        <v>9.1965554719505003E-4</v>
      </c>
      <c r="F3736" s="2">
        <v>5.6798468959496796E-3</v>
      </c>
    </row>
    <row r="3737" spans="1:6" x14ac:dyDescent="0.25">
      <c r="A3737" s="1" t="str">
        <f t="shared" si="140"/>
        <v>14260</v>
      </c>
      <c r="B3737" s="1" t="str">
        <f>"83669"</f>
        <v>83669</v>
      </c>
      <c r="C3737" s="2">
        <v>1.7606739470370399E-2</v>
      </c>
      <c r="D3737" s="2">
        <v>9.7460717363919598E-3</v>
      </c>
      <c r="E3737" s="2">
        <v>1.33768079592007E-3</v>
      </c>
      <c r="F3737" s="2">
        <v>1.6398809190719701E-2</v>
      </c>
    </row>
    <row r="3738" spans="1:6" x14ac:dyDescent="0.25">
      <c r="A3738" s="1" t="str">
        <f t="shared" si="140"/>
        <v>14260</v>
      </c>
      <c r="B3738" s="1" t="str">
        <f>"83687"</f>
        <v>83687</v>
      </c>
      <c r="C3738" s="2">
        <v>4.2185126095465202E-2</v>
      </c>
      <c r="D3738" s="2">
        <v>4.6177816084333301E-2</v>
      </c>
      <c r="E3738" s="2">
        <v>5.4092467185017902E-2</v>
      </c>
      <c r="F3738" s="2">
        <v>4.2920616445255202E-2</v>
      </c>
    </row>
    <row r="3739" spans="1:6" x14ac:dyDescent="0.25">
      <c r="A3739" s="1" t="str">
        <f t="shared" si="140"/>
        <v>14260</v>
      </c>
      <c r="B3739" s="1" t="str">
        <f>"83702"</f>
        <v>83702</v>
      </c>
      <c r="C3739" s="2">
        <v>4.0605562727379398E-2</v>
      </c>
      <c r="D3739" s="2">
        <v>9.1792083802956906E-2</v>
      </c>
      <c r="E3739" s="2">
        <v>8.4859125491179604E-2</v>
      </c>
      <c r="F3739" s="2">
        <v>4.6406867298631201E-2</v>
      </c>
    </row>
    <row r="3740" spans="1:6" x14ac:dyDescent="0.25">
      <c r="A3740" s="1" t="str">
        <f t="shared" si="140"/>
        <v>14260</v>
      </c>
      <c r="B3740" s="1" t="str">
        <f>"83651"</f>
        <v>83651</v>
      </c>
      <c r="C3740" s="2">
        <v>4.1211379199878197E-2</v>
      </c>
      <c r="D3740" s="2">
        <v>5.0321554067493203E-2</v>
      </c>
      <c r="E3740" s="2">
        <v>6.4459493353398498E-2</v>
      </c>
      <c r="F3740" s="2">
        <v>4.2758335105370901E-2</v>
      </c>
    </row>
    <row r="3741" spans="1:6" x14ac:dyDescent="0.25">
      <c r="A3741" s="1" t="str">
        <f t="shared" si="140"/>
        <v>14260</v>
      </c>
      <c r="B3741" s="1" t="str">
        <f>"83617"</f>
        <v>83617</v>
      </c>
      <c r="C3741" s="2">
        <v>2.5085876863837099E-2</v>
      </c>
      <c r="D3741" s="2">
        <v>2.2840283763177E-2</v>
      </c>
      <c r="E3741" s="2">
        <v>1.22899423125156E-2</v>
      </c>
      <c r="F3741" s="2">
        <v>2.4468108918758599E-2</v>
      </c>
    </row>
    <row r="3742" spans="1:6" x14ac:dyDescent="0.25">
      <c r="A3742" s="1" t="str">
        <f t="shared" si="140"/>
        <v>14260</v>
      </c>
      <c r="B3742" s="1" t="str">
        <f>"83622"</f>
        <v>83622</v>
      </c>
      <c r="C3742" s="2">
        <v>4.1423890737351497E-3</v>
      </c>
      <c r="D3742" s="2">
        <v>2.0552940396472799E-3</v>
      </c>
      <c r="E3742" s="2">
        <v>2.09012624362511E-3</v>
      </c>
      <c r="F3742" s="2">
        <v>3.89755011135857E-3</v>
      </c>
    </row>
    <row r="3743" spans="1:6" x14ac:dyDescent="0.25">
      <c r="A3743" s="1" t="str">
        <f t="shared" si="140"/>
        <v>14260</v>
      </c>
      <c r="B3743" s="1" t="str">
        <f>"83720"</f>
        <v>83720</v>
      </c>
      <c r="C3743" s="2">
        <v>0</v>
      </c>
      <c r="D3743" s="2">
        <v>3.3149903865278702E-5</v>
      </c>
      <c r="E3743" s="2">
        <v>0</v>
      </c>
      <c r="F3743" s="2">
        <v>2.7979541359358002E-6</v>
      </c>
    </row>
    <row r="3744" spans="1:6" x14ac:dyDescent="0.25">
      <c r="A3744" s="1" t="str">
        <f t="shared" si="140"/>
        <v>14260</v>
      </c>
      <c r="B3744" s="1" t="str">
        <f>"83631"</f>
        <v>83631</v>
      </c>
      <c r="C3744" s="2">
        <v>1.01180866349273E-3</v>
      </c>
      <c r="D3744" s="2">
        <v>4.3094875024862398E-4</v>
      </c>
      <c r="E3744" s="2">
        <v>9.1965554719505003E-4</v>
      </c>
      <c r="F3744" s="2">
        <v>9.5969826862598001E-4</v>
      </c>
    </row>
    <row r="3745" spans="1:6" x14ac:dyDescent="0.25">
      <c r="A3745" s="1" t="str">
        <f t="shared" si="140"/>
        <v>14260</v>
      </c>
      <c r="B3745" s="1" t="str">
        <f>"83719"</f>
        <v>83719</v>
      </c>
      <c r="C3745" s="2">
        <v>1.8079339755199301E-3</v>
      </c>
      <c r="D3745" s="2">
        <v>1.7834648279519898E-2</v>
      </c>
      <c r="E3745" s="2">
        <v>1.67210099490009E-4</v>
      </c>
      <c r="F3745" s="2">
        <v>3.1057290908887399E-3</v>
      </c>
    </row>
    <row r="3746" spans="1:6" x14ac:dyDescent="0.25">
      <c r="A3746" s="1" t="str">
        <f t="shared" si="140"/>
        <v>14260</v>
      </c>
      <c r="B3746" s="1" t="str">
        <f>"83705"</f>
        <v>83705</v>
      </c>
      <c r="C3746" s="2">
        <v>4.5791478604528701E-2</v>
      </c>
      <c r="D3746" s="2">
        <v>6.6167208115096396E-2</v>
      </c>
      <c r="E3746" s="2">
        <v>6.4041468104673496E-2</v>
      </c>
      <c r="F3746" s="2">
        <v>4.8122013183959797E-2</v>
      </c>
    </row>
    <row r="3747" spans="1:6" x14ac:dyDescent="0.25">
      <c r="A3747" s="1" t="str">
        <f t="shared" si="140"/>
        <v>14260</v>
      </c>
      <c r="B3747" s="1" t="str">
        <f>"83709"</f>
        <v>83709</v>
      </c>
      <c r="C3747" s="2">
        <v>6.9741846059179699E-2</v>
      </c>
      <c r="D3747" s="2">
        <v>4.8929258105151398E-2</v>
      </c>
      <c r="E3747" s="2">
        <v>3.5197725942646897E-2</v>
      </c>
      <c r="F3747" s="2">
        <v>6.6829134536826595E-2</v>
      </c>
    </row>
    <row r="3748" spans="1:6" x14ac:dyDescent="0.25">
      <c r="A3748" s="1" t="str">
        <f t="shared" si="140"/>
        <v>14260</v>
      </c>
      <c r="B3748" s="1" t="str">
        <f>"83712"</f>
        <v>83712</v>
      </c>
      <c r="C3748" s="2">
        <v>1.34484913266746E-2</v>
      </c>
      <c r="D3748" s="2">
        <v>7.7570775044752301E-3</v>
      </c>
      <c r="E3748" s="2">
        <v>1.23735473622606E-2</v>
      </c>
      <c r="F3748" s="2">
        <v>1.2932144016295199E-2</v>
      </c>
    </row>
    <row r="3749" spans="1:6" x14ac:dyDescent="0.25">
      <c r="A3749" s="1" t="str">
        <f t="shared" si="140"/>
        <v>14260</v>
      </c>
      <c r="B3749" s="1" t="str">
        <f>"83655"</f>
        <v>83655</v>
      </c>
      <c r="C3749" s="2">
        <v>2.2202697944981701E-5</v>
      </c>
      <c r="D3749" s="2">
        <v>0</v>
      </c>
      <c r="E3749" s="2">
        <v>0</v>
      </c>
      <c r="F3749" s="2">
        <v>1.95856789515506E-5</v>
      </c>
    </row>
    <row r="3750" spans="1:6" x14ac:dyDescent="0.25">
      <c r="A3750" s="1" t="str">
        <f t="shared" si="140"/>
        <v>14260</v>
      </c>
      <c r="B3750" s="1" t="str">
        <f>"83680"</f>
        <v>83680</v>
      </c>
      <c r="C3750" s="2">
        <v>1.84916755741776E-3</v>
      </c>
      <c r="D3750" s="2">
        <v>2.3171782801829799E-2</v>
      </c>
      <c r="E3750" s="2">
        <v>1.67210099490009E-4</v>
      </c>
      <c r="F3750" s="2">
        <v>3.5925731105415702E-3</v>
      </c>
    </row>
    <row r="3751" spans="1:6" x14ac:dyDescent="0.25">
      <c r="A3751" s="1" t="str">
        <f t="shared" si="140"/>
        <v>14260</v>
      </c>
      <c r="B3751" s="1" t="str">
        <f>"83644"</f>
        <v>83644</v>
      </c>
      <c r="C3751" s="2">
        <v>1.82188995708535E-2</v>
      </c>
      <c r="D3751" s="2">
        <v>1.08400185639461E-2</v>
      </c>
      <c r="E3751" s="2">
        <v>6.85561407909037E-3</v>
      </c>
      <c r="F3751" s="2">
        <v>1.7215811798413E-2</v>
      </c>
    </row>
    <row r="3752" spans="1:6" x14ac:dyDescent="0.25">
      <c r="A3752" s="1" t="str">
        <f t="shared" si="140"/>
        <v>14260</v>
      </c>
      <c r="B3752" s="1" t="str">
        <f>"83706"</f>
        <v>83706</v>
      </c>
      <c r="C3752" s="2">
        <v>5.4047710426069699E-2</v>
      </c>
      <c r="D3752" s="2">
        <v>5.0918252337068197E-2</v>
      </c>
      <c r="E3752" s="2">
        <v>7.5328149820249102E-2</v>
      </c>
      <c r="F3752" s="2">
        <v>5.4495752705621597E-2</v>
      </c>
    </row>
    <row r="3753" spans="1:6" x14ac:dyDescent="0.25">
      <c r="A3753" s="1" t="str">
        <f t="shared" si="140"/>
        <v>14260</v>
      </c>
      <c r="B3753" s="1" t="str">
        <f>"83714"</f>
        <v>83714</v>
      </c>
      <c r="C3753" s="2">
        <v>4.0440628399788098E-2</v>
      </c>
      <c r="D3753" s="2">
        <v>6.1625671285553199E-2</v>
      </c>
      <c r="E3753" s="2">
        <v>5.1417105593177803E-2</v>
      </c>
      <c r="F3753" s="2">
        <v>4.2596053765486599E-2</v>
      </c>
    </row>
    <row r="3754" spans="1:6" x14ac:dyDescent="0.25">
      <c r="A3754" s="1" t="str">
        <f t="shared" si="140"/>
        <v>14260</v>
      </c>
      <c r="B3754" s="1" t="str">
        <f>"83676"</f>
        <v>83676</v>
      </c>
      <c r="C3754" s="2">
        <v>5.4777227644262003E-3</v>
      </c>
      <c r="D3754" s="2">
        <v>1.6243452893986599E-3</v>
      </c>
      <c r="E3754" s="2">
        <v>1.0868656466850499E-3</v>
      </c>
      <c r="F3754" s="2">
        <v>5.0055399491891498E-3</v>
      </c>
    </row>
    <row r="3755" spans="1:6" x14ac:dyDescent="0.25">
      <c r="A3755" s="1" t="str">
        <f t="shared" si="140"/>
        <v>14260</v>
      </c>
      <c r="B3755" s="1" t="str">
        <f>"83725"</f>
        <v>83725</v>
      </c>
      <c r="C3755" s="2">
        <v>0</v>
      </c>
      <c r="D3755" s="2">
        <v>3.3149903865278702E-5</v>
      </c>
      <c r="E3755" s="2">
        <v>0</v>
      </c>
      <c r="F3755" s="2">
        <v>2.7979541359358002E-6</v>
      </c>
    </row>
    <row r="3756" spans="1:6" x14ac:dyDescent="0.25">
      <c r="A3756" s="1" t="str">
        <f t="shared" si="140"/>
        <v>14260</v>
      </c>
      <c r="B3756" s="1" t="str">
        <f>"83729"</f>
        <v>83729</v>
      </c>
      <c r="C3756" s="2">
        <v>0</v>
      </c>
      <c r="D3756" s="2">
        <v>3.3149903865278702E-5</v>
      </c>
      <c r="E3756" s="2">
        <v>0</v>
      </c>
      <c r="F3756" s="2">
        <v>2.7979541359358002E-6</v>
      </c>
    </row>
    <row r="3757" spans="1:6" x14ac:dyDescent="0.25">
      <c r="A3757" s="1" t="str">
        <f t="shared" si="140"/>
        <v>14260</v>
      </c>
      <c r="B3757" s="1" t="str">
        <f>"83636"</f>
        <v>83636</v>
      </c>
      <c r="C3757" s="2">
        <v>2.4422967739479802E-4</v>
      </c>
      <c r="D3757" s="2">
        <v>6.6299807730557498E-5</v>
      </c>
      <c r="E3757" s="2">
        <v>8.3605049745004499E-5</v>
      </c>
      <c r="F3757" s="2">
        <v>2.2383633087486401E-4</v>
      </c>
    </row>
    <row r="3758" spans="1:6" x14ac:dyDescent="0.25">
      <c r="A3758" s="1" t="str">
        <f t="shared" si="140"/>
        <v>14260</v>
      </c>
      <c r="B3758" s="1" t="str">
        <f>"83606"</f>
        <v>83606</v>
      </c>
      <c r="C3758" s="2">
        <v>2.5659975196414501E-3</v>
      </c>
      <c r="D3758" s="2">
        <v>1.20334151030962E-2</v>
      </c>
      <c r="E3758" s="2">
        <v>1.67210099490009E-4</v>
      </c>
      <c r="F3758" s="2">
        <v>3.2847981555886299E-3</v>
      </c>
    </row>
    <row r="3759" spans="1:6" x14ac:dyDescent="0.25">
      <c r="A3759" s="1" t="str">
        <f t="shared" ref="A3759:A3778" si="141">"14300"</f>
        <v>14300</v>
      </c>
      <c r="B3759" s="1" t="str">
        <f>"75452"</f>
        <v>75452</v>
      </c>
      <c r="C3759" s="2">
        <v>0.11303634872916</v>
      </c>
      <c r="D3759" s="2">
        <v>4.1864890580399598E-2</v>
      </c>
      <c r="E3759" s="2">
        <v>6.5250379362670696E-2</v>
      </c>
      <c r="F3759" s="2">
        <v>0.107723069232691</v>
      </c>
    </row>
    <row r="3760" spans="1:6" x14ac:dyDescent="0.25">
      <c r="A3760" s="1" t="str">
        <f t="shared" si="141"/>
        <v>14300</v>
      </c>
      <c r="B3760" s="1" t="str">
        <f>"75476"</f>
        <v>75476</v>
      </c>
      <c r="C3760" s="2">
        <v>6.0672314840120201E-2</v>
      </c>
      <c r="D3760" s="2">
        <v>1.8078020932445201E-2</v>
      </c>
      <c r="E3760" s="2">
        <v>1.5174506828528E-3</v>
      </c>
      <c r="F3760" s="2">
        <v>5.6485878530367399E-2</v>
      </c>
    </row>
    <row r="3761" spans="1:6" x14ac:dyDescent="0.25">
      <c r="A3761" s="1" t="str">
        <f t="shared" si="141"/>
        <v>14300</v>
      </c>
      <c r="B3761" s="1" t="str">
        <f>"75490"</f>
        <v>75490</v>
      </c>
      <c r="C3761" s="2">
        <v>6.6466247608636203E-2</v>
      </c>
      <c r="D3761" s="2">
        <v>3.6156041864890499E-2</v>
      </c>
      <c r="E3761" s="2">
        <v>0.18361153262518901</v>
      </c>
      <c r="F3761" s="2">
        <v>6.8732816795800997E-2</v>
      </c>
    </row>
    <row r="3762" spans="1:6" x14ac:dyDescent="0.25">
      <c r="A3762" s="1" t="str">
        <f t="shared" si="141"/>
        <v>14300</v>
      </c>
      <c r="B3762" s="1" t="str">
        <f>"75414"</f>
        <v>75414</v>
      </c>
      <c r="C3762" s="2">
        <v>1.09319486198414E-4</v>
      </c>
      <c r="D3762" s="2">
        <v>0</v>
      </c>
      <c r="E3762" s="2">
        <v>0</v>
      </c>
      <c r="F3762" s="2">
        <v>9.9975006248437807E-5</v>
      </c>
    </row>
    <row r="3763" spans="1:6" x14ac:dyDescent="0.25">
      <c r="A3763" s="1" t="str">
        <f t="shared" si="141"/>
        <v>14300</v>
      </c>
      <c r="B3763" s="1" t="str">
        <f>"75443"</f>
        <v>75443</v>
      </c>
      <c r="C3763" s="2">
        <v>0</v>
      </c>
      <c r="D3763" s="2">
        <v>0</v>
      </c>
      <c r="E3763" s="2">
        <v>1.5174506828528E-3</v>
      </c>
      <c r="F3763" s="2">
        <v>4.9987503124218903E-5</v>
      </c>
    </row>
    <row r="3764" spans="1:6" x14ac:dyDescent="0.25">
      <c r="A3764" s="1" t="str">
        <f t="shared" si="141"/>
        <v>14300</v>
      </c>
      <c r="B3764" s="1" t="str">
        <f>"75413"</f>
        <v>75413</v>
      </c>
      <c r="C3764" s="2">
        <v>0</v>
      </c>
      <c r="D3764" s="2">
        <v>0</v>
      </c>
      <c r="E3764" s="2">
        <v>1.5174506828528E-3</v>
      </c>
      <c r="F3764" s="2">
        <v>4.9987503124218903E-5</v>
      </c>
    </row>
    <row r="3765" spans="1:6" x14ac:dyDescent="0.25">
      <c r="A3765" s="1" t="str">
        <f t="shared" si="141"/>
        <v>14300</v>
      </c>
      <c r="B3765" s="1" t="str">
        <f>"75491"</f>
        <v>75491</v>
      </c>
      <c r="C3765" s="2">
        <v>2.6509975403115602E-2</v>
      </c>
      <c r="D3765" s="2">
        <v>3.8058991436726898E-3</v>
      </c>
      <c r="E3765" s="2">
        <v>0</v>
      </c>
      <c r="F3765" s="2">
        <v>2.4443889027742999E-2</v>
      </c>
    </row>
    <row r="3766" spans="1:6" x14ac:dyDescent="0.25">
      <c r="A3766" s="1" t="str">
        <f t="shared" si="141"/>
        <v>14300</v>
      </c>
      <c r="B3766" s="1" t="str">
        <f>"75446"</f>
        <v>75446</v>
      </c>
      <c r="C3766" s="2">
        <v>0.108663569281224</v>
      </c>
      <c r="D3766" s="2">
        <v>0.14272121788772499</v>
      </c>
      <c r="E3766" s="2">
        <v>5.3110773899848203E-2</v>
      </c>
      <c r="F3766" s="2">
        <v>0.108622844288927</v>
      </c>
    </row>
    <row r="3767" spans="1:6" x14ac:dyDescent="0.25">
      <c r="A3767" s="1" t="str">
        <f t="shared" si="141"/>
        <v>14300</v>
      </c>
      <c r="B3767" s="1" t="str">
        <f>"75475"</f>
        <v>75475</v>
      </c>
      <c r="C3767" s="2">
        <v>0</v>
      </c>
      <c r="D3767" s="2">
        <v>0</v>
      </c>
      <c r="E3767" s="2">
        <v>1.5174506828528E-3</v>
      </c>
      <c r="F3767" s="2">
        <v>4.9987503124218903E-5</v>
      </c>
    </row>
    <row r="3768" spans="1:6" x14ac:dyDescent="0.25">
      <c r="A3768" s="1" t="str">
        <f t="shared" si="141"/>
        <v>14300</v>
      </c>
      <c r="B3768" s="1" t="str">
        <f>"75439"</f>
        <v>75439</v>
      </c>
      <c r="C3768" s="2">
        <v>2.14812790379885E-2</v>
      </c>
      <c r="D3768" s="2">
        <v>1.9029495718363399E-3</v>
      </c>
      <c r="E3768" s="2">
        <v>1.21396054628224E-2</v>
      </c>
      <c r="F3768" s="2">
        <v>2.0144963759060198E-2</v>
      </c>
    </row>
    <row r="3769" spans="1:6" x14ac:dyDescent="0.25">
      <c r="A3769" s="1" t="str">
        <f t="shared" si="141"/>
        <v>14300</v>
      </c>
      <c r="B3769" s="1" t="str">
        <f>"75447"</f>
        <v>75447</v>
      </c>
      <c r="C3769" s="2">
        <v>4.6624760863623903E-2</v>
      </c>
      <c r="D3769" s="2">
        <v>8.5632730732635495E-3</v>
      </c>
      <c r="E3769" s="2">
        <v>1.5174506828528E-3</v>
      </c>
      <c r="F3769" s="2">
        <v>4.3139215196200897E-2</v>
      </c>
    </row>
    <row r="3770" spans="1:6" x14ac:dyDescent="0.25">
      <c r="A3770" s="1" t="str">
        <f t="shared" si="141"/>
        <v>14300</v>
      </c>
      <c r="B3770" s="1" t="str">
        <f>"75424"</f>
        <v>75424</v>
      </c>
      <c r="C3770" s="2">
        <v>5.84859251161519E-3</v>
      </c>
      <c r="D3770" s="2">
        <v>1.9029495718363399E-3</v>
      </c>
      <c r="E3770" s="2">
        <v>0</v>
      </c>
      <c r="F3770" s="2">
        <v>5.44863784053986E-3</v>
      </c>
    </row>
    <row r="3771" spans="1:6" x14ac:dyDescent="0.25">
      <c r="A3771" s="1" t="str">
        <f t="shared" si="141"/>
        <v>14300</v>
      </c>
      <c r="B3771" s="1" t="str">
        <f>"75496"</f>
        <v>75496</v>
      </c>
      <c r="C3771" s="2">
        <v>1.0549330418147001E-2</v>
      </c>
      <c r="D3771" s="2">
        <v>2.85442435775451E-3</v>
      </c>
      <c r="E3771" s="2">
        <v>0</v>
      </c>
      <c r="F3771" s="2">
        <v>9.7975506123469096E-3</v>
      </c>
    </row>
    <row r="3772" spans="1:6" x14ac:dyDescent="0.25">
      <c r="A3772" s="1" t="str">
        <f t="shared" si="141"/>
        <v>14300</v>
      </c>
      <c r="B3772" s="1" t="str">
        <f>"75438"</f>
        <v>75438</v>
      </c>
      <c r="C3772" s="2">
        <v>2.8641705383984601E-2</v>
      </c>
      <c r="D3772" s="2">
        <v>2.85442435775451E-3</v>
      </c>
      <c r="E3772" s="2">
        <v>4.5523520485584203E-3</v>
      </c>
      <c r="F3772" s="2">
        <v>2.6493376655835999E-2</v>
      </c>
    </row>
    <row r="3773" spans="1:6" x14ac:dyDescent="0.25">
      <c r="A3773" s="1" t="str">
        <f t="shared" si="141"/>
        <v>14300</v>
      </c>
      <c r="B3773" s="1" t="str">
        <f>"75423"</f>
        <v>75423</v>
      </c>
      <c r="C3773" s="2">
        <v>1.5304728067777999E-3</v>
      </c>
      <c r="D3773" s="2">
        <v>0</v>
      </c>
      <c r="E3773" s="2">
        <v>0</v>
      </c>
      <c r="F3773" s="2">
        <v>1.3996500874781301E-3</v>
      </c>
    </row>
    <row r="3774" spans="1:6" x14ac:dyDescent="0.25">
      <c r="A3774" s="1" t="str">
        <f t="shared" si="141"/>
        <v>14300</v>
      </c>
      <c r="B3774" s="1" t="str">
        <f>"75479"</f>
        <v>75479</v>
      </c>
      <c r="C3774" s="2">
        <v>5.3511888494123999E-2</v>
      </c>
      <c r="D3774" s="2">
        <v>2.1883920076117901E-2</v>
      </c>
      <c r="E3774" s="2">
        <v>7.5872534142640297E-3</v>
      </c>
      <c r="F3774" s="2">
        <v>5.0337415646088401E-2</v>
      </c>
    </row>
    <row r="3775" spans="1:6" x14ac:dyDescent="0.25">
      <c r="A3775" s="1" t="str">
        <f t="shared" si="141"/>
        <v>14300</v>
      </c>
      <c r="B3775" s="1" t="str">
        <f>"75449"</f>
        <v>75449</v>
      </c>
      <c r="C3775" s="2">
        <v>3.78792019677507E-2</v>
      </c>
      <c r="D3775" s="2">
        <v>5.3282588011417602E-2</v>
      </c>
      <c r="E3775" s="2">
        <v>2.1244309559939299E-2</v>
      </c>
      <c r="F3775" s="2">
        <v>3.8140464883779E-2</v>
      </c>
    </row>
    <row r="3776" spans="1:6" x14ac:dyDescent="0.25">
      <c r="A3776" s="1" t="str">
        <f t="shared" si="141"/>
        <v>14300</v>
      </c>
      <c r="B3776" s="1" t="str">
        <f>"75418"</f>
        <v>75418</v>
      </c>
      <c r="C3776" s="2">
        <v>0.37031975949712997</v>
      </c>
      <c r="D3776" s="2">
        <v>0.65937202664129402</v>
      </c>
      <c r="E3776" s="2">
        <v>0.17754172989377801</v>
      </c>
      <c r="F3776" s="2">
        <v>0.37915521119720003</v>
      </c>
    </row>
    <row r="3777" spans="1:6" x14ac:dyDescent="0.25">
      <c r="A3777" s="1" t="str">
        <f t="shared" si="141"/>
        <v>14300</v>
      </c>
      <c r="B3777" s="1" t="str">
        <f>"75488"</f>
        <v>75488</v>
      </c>
      <c r="C3777" s="2">
        <v>3.14840120251434E-2</v>
      </c>
      <c r="D3777" s="2">
        <v>1.9029495718363399E-3</v>
      </c>
      <c r="E3777" s="2">
        <v>0.46585735963581099</v>
      </c>
      <c r="F3777" s="2">
        <v>4.4238940264933697E-2</v>
      </c>
    </row>
    <row r="3778" spans="1:6" x14ac:dyDescent="0.25">
      <c r="A3778" s="1" t="str">
        <f t="shared" si="141"/>
        <v>14300</v>
      </c>
      <c r="B3778" s="1" t="str">
        <f>"75492"</f>
        <v>75492</v>
      </c>
      <c r="C3778" s="2">
        <v>1.6671221645258201E-2</v>
      </c>
      <c r="D3778" s="2">
        <v>2.85442435775451E-3</v>
      </c>
      <c r="E3778" s="2">
        <v>1.5174506828528E-3</v>
      </c>
      <c r="F3778" s="2">
        <v>1.54461384653836E-2</v>
      </c>
    </row>
    <row r="3779" spans="1:6" x14ac:dyDescent="0.25">
      <c r="A3779" s="1" t="str">
        <f t="shared" ref="A3779:A3789" si="142">"14380"</f>
        <v>14380</v>
      </c>
      <c r="B3779" s="1" t="str">
        <f>"28608"</f>
        <v>28608</v>
      </c>
      <c r="C3779" s="2">
        <v>0</v>
      </c>
      <c r="D3779" s="2">
        <v>1.8796992481203E-3</v>
      </c>
      <c r="E3779" s="2">
        <v>0</v>
      </c>
      <c r="F3779" s="2">
        <v>1.5392903871315299E-4</v>
      </c>
    </row>
    <row r="3780" spans="1:6" x14ac:dyDescent="0.25">
      <c r="A3780" s="1" t="str">
        <f t="shared" si="142"/>
        <v>14380</v>
      </c>
      <c r="B3780" s="1" t="str">
        <f>"28604"</f>
        <v>28604</v>
      </c>
      <c r="C3780" s="2">
        <v>0.11954537424179899</v>
      </c>
      <c r="D3780" s="2">
        <v>3.9160401002506201E-2</v>
      </c>
      <c r="E3780" s="2">
        <v>0.115068493150684</v>
      </c>
      <c r="F3780" s="2">
        <v>0.11275302085738401</v>
      </c>
    </row>
    <row r="3781" spans="1:6" x14ac:dyDescent="0.25">
      <c r="A3781" s="1" t="str">
        <f t="shared" si="142"/>
        <v>14380</v>
      </c>
      <c r="B3781" s="1" t="str">
        <f>"28692"</f>
        <v>28692</v>
      </c>
      <c r="C3781" s="2">
        <v>6.9666097402979799E-2</v>
      </c>
      <c r="D3781" s="2">
        <v>2.47493734335839E-2</v>
      </c>
      <c r="E3781" s="2">
        <v>2.0821917808219102E-2</v>
      </c>
      <c r="F3781" s="2">
        <v>6.3700967187459906E-2</v>
      </c>
    </row>
    <row r="3782" spans="1:6" x14ac:dyDescent="0.25">
      <c r="A3782" s="1" t="str">
        <f t="shared" si="142"/>
        <v>14380</v>
      </c>
      <c r="B3782" s="1" t="str">
        <f>"28605"</f>
        <v>28605</v>
      </c>
      <c r="C3782" s="2">
        <v>0.11833814262999801</v>
      </c>
      <c r="D3782" s="2">
        <v>0.124060150375939</v>
      </c>
      <c r="E3782" s="2">
        <v>0.16</v>
      </c>
      <c r="F3782" s="2">
        <v>0.120757330870468</v>
      </c>
    </row>
    <row r="3783" spans="1:6" x14ac:dyDescent="0.25">
      <c r="A3783" s="1" t="str">
        <f t="shared" si="142"/>
        <v>14380</v>
      </c>
      <c r="B3783" s="1" t="str">
        <f>"28622"</f>
        <v>28622</v>
      </c>
      <c r="C3783" s="2">
        <v>2.06112714209999E-4</v>
      </c>
      <c r="D3783" s="2">
        <v>0</v>
      </c>
      <c r="E3783" s="2">
        <v>0</v>
      </c>
      <c r="F3783" s="2">
        <v>1.79583878498678E-4</v>
      </c>
    </row>
    <row r="3784" spans="1:6" x14ac:dyDescent="0.25">
      <c r="A3784" s="1" t="str">
        <f t="shared" si="142"/>
        <v>14380</v>
      </c>
      <c r="B3784" s="1" t="str">
        <f>"28684"</f>
        <v>28684</v>
      </c>
      <c r="C3784" s="2">
        <v>1.5134562157705599E-2</v>
      </c>
      <c r="D3784" s="2">
        <v>1.2531328320802E-3</v>
      </c>
      <c r="E3784" s="2">
        <v>0</v>
      </c>
      <c r="F3784" s="2">
        <v>1.3289207008902199E-2</v>
      </c>
    </row>
    <row r="3785" spans="1:6" x14ac:dyDescent="0.25">
      <c r="A3785" s="1" t="str">
        <f t="shared" si="142"/>
        <v>14380</v>
      </c>
      <c r="B3785" s="1" t="str">
        <f>"28698"</f>
        <v>28698</v>
      </c>
      <c r="C3785" s="2">
        <v>3.5834167599081299E-2</v>
      </c>
      <c r="D3785" s="2">
        <v>1.4097744360902199E-2</v>
      </c>
      <c r="E3785" s="2">
        <v>4.3835616438356101E-3</v>
      </c>
      <c r="F3785" s="2">
        <v>3.25816465276174E-2</v>
      </c>
    </row>
    <row r="3786" spans="1:6" x14ac:dyDescent="0.25">
      <c r="A3786" s="1" t="str">
        <f t="shared" si="142"/>
        <v>14380</v>
      </c>
      <c r="B3786" s="1" t="str">
        <f>"28618"</f>
        <v>28618</v>
      </c>
      <c r="C3786" s="2">
        <v>4.2459219127259799E-2</v>
      </c>
      <c r="D3786" s="2">
        <v>2.47493734335839E-2</v>
      </c>
      <c r="E3786" s="2">
        <v>9.3150684931506793E-3</v>
      </c>
      <c r="F3786" s="2">
        <v>3.9457143590138202E-2</v>
      </c>
    </row>
    <row r="3787" spans="1:6" x14ac:dyDescent="0.25">
      <c r="A3787" s="1" t="str">
        <f t="shared" si="142"/>
        <v>14380</v>
      </c>
      <c r="B3787" s="1" t="str">
        <f>"28679"</f>
        <v>28679</v>
      </c>
      <c r="C3787" s="2">
        <v>3.1888581355632703E-2</v>
      </c>
      <c r="D3787" s="2">
        <v>1.00250626566416E-2</v>
      </c>
      <c r="E3787" s="2">
        <v>4.9315068493150597E-3</v>
      </c>
      <c r="F3787" s="2">
        <v>2.88360399189307E-2</v>
      </c>
    </row>
    <row r="3788" spans="1:6" x14ac:dyDescent="0.25">
      <c r="A3788" s="1" t="str">
        <f t="shared" si="142"/>
        <v>14380</v>
      </c>
      <c r="B3788" s="1" t="str">
        <f>"28607"</f>
        <v>28607</v>
      </c>
      <c r="C3788" s="2">
        <v>0.56569106648607204</v>
      </c>
      <c r="D3788" s="2">
        <v>0.76002506265664105</v>
      </c>
      <c r="E3788" s="2">
        <v>0.68547945205479399</v>
      </c>
      <c r="F3788" s="2">
        <v>0.58721362785089404</v>
      </c>
    </row>
    <row r="3789" spans="1:6" x14ac:dyDescent="0.25">
      <c r="A3789" s="1" t="str">
        <f t="shared" si="142"/>
        <v>14380</v>
      </c>
      <c r="B3789" s="1" t="str">
        <f>"28645"</f>
        <v>28645</v>
      </c>
      <c r="C3789" s="2">
        <v>1.23667628525999E-3</v>
      </c>
      <c r="D3789" s="2">
        <v>0</v>
      </c>
      <c r="E3789" s="2">
        <v>0</v>
      </c>
      <c r="F3789" s="2">
        <v>1.07750327099207E-3</v>
      </c>
    </row>
    <row r="3790" spans="1:6" x14ac:dyDescent="0.25">
      <c r="A3790" s="1" t="str">
        <f t="shared" ref="A3790:A3797" si="143">"14420"</f>
        <v>14420</v>
      </c>
      <c r="B3790" s="1" t="str">
        <f>"79008"</f>
        <v>79008</v>
      </c>
      <c r="C3790" s="2">
        <v>0.11372427665170901</v>
      </c>
      <c r="D3790" s="2">
        <v>0.25101874490627502</v>
      </c>
      <c r="E3790" s="2">
        <v>6.1162079510703304E-3</v>
      </c>
      <c r="F3790" s="2">
        <v>0.12292817679558</v>
      </c>
    </row>
    <row r="3791" spans="1:6" x14ac:dyDescent="0.25">
      <c r="A3791" s="1" t="str">
        <f t="shared" si="143"/>
        <v>14420</v>
      </c>
      <c r="B3791" s="1" t="str">
        <f>"79083"</f>
        <v>79083</v>
      </c>
      <c r="C3791" s="2">
        <v>1.3848058177317E-2</v>
      </c>
      <c r="D3791" s="2">
        <v>5.7049714751426202E-3</v>
      </c>
      <c r="E3791" s="2">
        <v>5.8103975535168099E-2</v>
      </c>
      <c r="F3791" s="2">
        <v>1.41574585635359E-2</v>
      </c>
    </row>
    <row r="3792" spans="1:6" x14ac:dyDescent="0.25">
      <c r="A3792" s="1" t="str">
        <f t="shared" si="143"/>
        <v>14420</v>
      </c>
      <c r="B3792" s="1" t="str">
        <f>"79081"</f>
        <v>79081</v>
      </c>
      <c r="C3792" s="2">
        <v>2.63035741915519E-3</v>
      </c>
      <c r="D3792" s="2">
        <v>0</v>
      </c>
      <c r="E3792" s="2">
        <v>0</v>
      </c>
      <c r="F3792" s="2">
        <v>2.3480662983425401E-3</v>
      </c>
    </row>
    <row r="3793" spans="1:6" x14ac:dyDescent="0.25">
      <c r="A3793" s="1" t="str">
        <f t="shared" si="143"/>
        <v>14420</v>
      </c>
      <c r="B3793" s="1" t="str">
        <f>"79007"</f>
        <v>79007</v>
      </c>
      <c r="C3793" s="2">
        <v>0.56158130898963299</v>
      </c>
      <c r="D3793" s="2">
        <v>0.68459657701711396</v>
      </c>
      <c r="E3793" s="2">
        <v>0.85015290519877595</v>
      </c>
      <c r="F3793" s="2">
        <v>0.57852209944751298</v>
      </c>
    </row>
    <row r="3794" spans="1:6" x14ac:dyDescent="0.25">
      <c r="A3794" s="1" t="str">
        <f t="shared" si="143"/>
        <v>14420</v>
      </c>
      <c r="B3794" s="1" t="str">
        <f>"79036"</f>
        <v>79036</v>
      </c>
      <c r="C3794" s="2">
        <v>0.29986074578369099</v>
      </c>
      <c r="D3794" s="2">
        <v>5.78647106764466E-2</v>
      </c>
      <c r="E3794" s="2">
        <v>7.3394495412843999E-2</v>
      </c>
      <c r="F3794" s="2">
        <v>0.27424033149171201</v>
      </c>
    </row>
    <row r="3795" spans="1:6" x14ac:dyDescent="0.25">
      <c r="A3795" s="1" t="str">
        <f t="shared" si="143"/>
        <v>14420</v>
      </c>
      <c r="B3795" s="1" t="str">
        <f>"79080"</f>
        <v>79080</v>
      </c>
      <c r="C3795" s="2">
        <v>6.4211666408788403E-3</v>
      </c>
      <c r="D3795" s="2">
        <v>8.1499592502037399E-4</v>
      </c>
      <c r="E3795" s="2">
        <v>6.1162079510703304E-3</v>
      </c>
      <c r="F3795" s="2">
        <v>5.9392265193370097E-3</v>
      </c>
    </row>
    <row r="3796" spans="1:6" x14ac:dyDescent="0.25">
      <c r="A3796" s="1" t="str">
        <f t="shared" si="143"/>
        <v>14420</v>
      </c>
      <c r="B3796" s="1" t="str">
        <f>"79078"</f>
        <v>79078</v>
      </c>
      <c r="C3796" s="2">
        <v>7.7363453504564398E-5</v>
      </c>
      <c r="D3796" s="2">
        <v>0</v>
      </c>
      <c r="E3796" s="2">
        <v>6.1162079510703304E-3</v>
      </c>
      <c r="F3796" s="2">
        <v>2.07182320441988E-4</v>
      </c>
    </row>
    <row r="3797" spans="1:6" x14ac:dyDescent="0.25">
      <c r="A3797" s="1" t="str">
        <f t="shared" si="143"/>
        <v>14420</v>
      </c>
      <c r="B3797" s="1" t="str">
        <f>"79062"</f>
        <v>79062</v>
      </c>
      <c r="C3797" s="2">
        <v>1.85672288410954E-3</v>
      </c>
      <c r="D3797" s="2">
        <v>0</v>
      </c>
      <c r="E3797" s="2">
        <v>0</v>
      </c>
      <c r="F3797" s="2">
        <v>1.6574585635359101E-3</v>
      </c>
    </row>
    <row r="3798" spans="1:6" x14ac:dyDescent="0.25">
      <c r="A3798" s="1" t="str">
        <f t="shared" ref="A3798:A3829" si="144">"14454"</f>
        <v>14454</v>
      </c>
      <c r="B3798" s="1" t="str">
        <f>"02360"</f>
        <v>02360</v>
      </c>
      <c r="C3798" s="2">
        <v>1.9244841211766402E-2</v>
      </c>
      <c r="D3798" s="2">
        <v>5.5004508566275902E-2</v>
      </c>
      <c r="E3798" s="2">
        <v>8.28268382791085E-3</v>
      </c>
      <c r="F3798" s="2">
        <v>1.78241746307558E-2</v>
      </c>
    </row>
    <row r="3799" spans="1:6" x14ac:dyDescent="0.25">
      <c r="A3799" s="1" t="str">
        <f t="shared" si="144"/>
        <v>14454</v>
      </c>
      <c r="B3799" s="1" t="str">
        <f>"02445"</f>
        <v>02445</v>
      </c>
      <c r="C3799" s="2">
        <v>2.3982877213522599E-2</v>
      </c>
      <c r="D3799" s="2">
        <v>1.08205590622182E-2</v>
      </c>
      <c r="E3799" s="2">
        <v>2.6516505780002302E-2</v>
      </c>
      <c r="F3799" s="2">
        <v>2.4163770634231099E-2</v>
      </c>
    </row>
    <row r="3800" spans="1:6" x14ac:dyDescent="0.25">
      <c r="A3800" s="1" t="str">
        <f t="shared" si="144"/>
        <v>14454</v>
      </c>
      <c r="B3800" s="1" t="str">
        <f>"02038"</f>
        <v>02038</v>
      </c>
      <c r="C3800" s="2">
        <v>2.8355041709351601E-3</v>
      </c>
      <c r="D3800" s="2">
        <v>2.2091974752028801E-2</v>
      </c>
      <c r="E3800" s="2">
        <v>3.7540221666070698E-3</v>
      </c>
      <c r="F3800" s="2">
        <v>3.62456559513466E-3</v>
      </c>
    </row>
    <row r="3801" spans="1:6" x14ac:dyDescent="0.25">
      <c r="A3801" s="1" t="str">
        <f t="shared" si="144"/>
        <v>14454</v>
      </c>
      <c r="B3801" s="1" t="str">
        <f>"02054"</f>
        <v>02054</v>
      </c>
      <c r="C3801" s="2">
        <v>6.1466412995755801E-3</v>
      </c>
      <c r="D3801" s="2">
        <v>1.35256988277727E-3</v>
      </c>
      <c r="E3801" s="2">
        <v>9.9511381241806605E-3</v>
      </c>
      <c r="F3801" s="2">
        <v>6.8690269331016501E-3</v>
      </c>
    </row>
    <row r="3802" spans="1:6" x14ac:dyDescent="0.25">
      <c r="A3802" s="1" t="str">
        <f t="shared" si="144"/>
        <v>14454</v>
      </c>
      <c r="B3802" s="1" t="str">
        <f>"02115"</f>
        <v>02115</v>
      </c>
      <c r="C3802" s="2">
        <v>2.8537977462315201E-3</v>
      </c>
      <c r="D3802" s="2">
        <v>4.5085662759242499E-3</v>
      </c>
      <c r="E3802" s="2">
        <v>4.0519604337981097E-3</v>
      </c>
      <c r="F3802" s="2">
        <v>3.17658557775847E-3</v>
      </c>
    </row>
    <row r="3803" spans="1:6" x14ac:dyDescent="0.25">
      <c r="A3803" s="1" t="str">
        <f t="shared" si="144"/>
        <v>14454</v>
      </c>
      <c r="B3803" s="1" t="str">
        <f>"02124"</f>
        <v>02124</v>
      </c>
      <c r="C3803" s="2">
        <v>7.4418264305575799E-2</v>
      </c>
      <c r="D3803" s="2">
        <v>1.6681695220919699E-2</v>
      </c>
      <c r="E3803" s="2">
        <v>7.8655702538434E-2</v>
      </c>
      <c r="F3803" s="2">
        <v>7.3645199826238003E-2</v>
      </c>
    </row>
    <row r="3804" spans="1:6" x14ac:dyDescent="0.25">
      <c r="A3804" s="1" t="str">
        <f t="shared" si="144"/>
        <v>14454</v>
      </c>
      <c r="B3804" s="1" t="str">
        <f>"02130"</f>
        <v>02130</v>
      </c>
      <c r="C3804" s="2">
        <v>7.2442558173569399E-2</v>
      </c>
      <c r="D3804" s="2">
        <v>1.93868349864743E-2</v>
      </c>
      <c r="E3804" s="2">
        <v>6.8644976760815102E-2</v>
      </c>
      <c r="F3804" s="2">
        <v>6.99799087749782E-2</v>
      </c>
    </row>
    <row r="3805" spans="1:6" x14ac:dyDescent="0.25">
      <c r="A3805" s="1" t="str">
        <f t="shared" si="144"/>
        <v>14454</v>
      </c>
      <c r="B3805" s="1" t="str">
        <f>"02135"</f>
        <v>02135</v>
      </c>
      <c r="C3805" s="2">
        <v>4.2935021220547299E-2</v>
      </c>
      <c r="D3805" s="2">
        <v>1.6681695220919699E-2</v>
      </c>
      <c r="E3805" s="2">
        <v>3.0389703253485799E-2</v>
      </c>
      <c r="F3805" s="2">
        <v>3.9286490008688002E-2</v>
      </c>
    </row>
    <row r="3806" spans="1:6" x14ac:dyDescent="0.25">
      <c r="A3806" s="1" t="str">
        <f t="shared" si="144"/>
        <v>14454</v>
      </c>
      <c r="B3806" s="1" t="str">
        <f>"02131"</f>
        <v>02131</v>
      </c>
      <c r="C3806" s="2">
        <v>2.6013464071418101E-2</v>
      </c>
      <c r="D3806" s="2">
        <v>4.5085662759242499E-3</v>
      </c>
      <c r="E3806" s="2">
        <v>2.8423310690024999E-2</v>
      </c>
      <c r="F3806" s="2">
        <v>2.5914965247610701E-2</v>
      </c>
    </row>
    <row r="3807" spans="1:6" x14ac:dyDescent="0.25">
      <c r="A3807" s="1" t="str">
        <f t="shared" si="144"/>
        <v>14454</v>
      </c>
      <c r="B3807" s="1" t="str">
        <f>"02136"</f>
        <v>02136</v>
      </c>
      <c r="C3807" s="2">
        <v>1.5805649056051502E-2</v>
      </c>
      <c r="D3807" s="2">
        <v>1.6230838593327301E-2</v>
      </c>
      <c r="E3807" s="2">
        <v>1.6982481229889101E-2</v>
      </c>
      <c r="F3807" s="2">
        <v>1.6086555169417802E-2</v>
      </c>
    </row>
    <row r="3808" spans="1:6" x14ac:dyDescent="0.25">
      <c r="A3808" s="1" t="str">
        <f t="shared" si="144"/>
        <v>14454</v>
      </c>
      <c r="B3808" s="1" t="str">
        <f>"02576"</f>
        <v>02576</v>
      </c>
      <c r="C3808" s="2">
        <v>1.28055027074491E-4</v>
      </c>
      <c r="D3808" s="2">
        <v>1.35256988277727E-3</v>
      </c>
      <c r="E3808" s="2">
        <v>1.19175306876415E-4</v>
      </c>
      <c r="F3808" s="2">
        <v>1.6290182450043401E-4</v>
      </c>
    </row>
    <row r="3809" spans="1:6" x14ac:dyDescent="0.25">
      <c r="A3809" s="1" t="str">
        <f t="shared" si="144"/>
        <v>14454</v>
      </c>
      <c r="B3809" s="1" t="str">
        <f>"02347"</f>
        <v>02347</v>
      </c>
      <c r="C3809" s="2">
        <v>1.50007317430118E-3</v>
      </c>
      <c r="D3809" s="2">
        <v>5.4102795311090999E-3</v>
      </c>
      <c r="E3809" s="2">
        <v>2.9793826719103799E-4</v>
      </c>
      <c r="F3809" s="2">
        <v>1.3439400521285799E-3</v>
      </c>
    </row>
    <row r="3810" spans="1:6" x14ac:dyDescent="0.25">
      <c r="A3810" s="1" t="str">
        <f t="shared" si="144"/>
        <v>14454</v>
      </c>
      <c r="B3810" s="1" t="str">
        <f>"02184"</f>
        <v>02184</v>
      </c>
      <c r="C3810" s="2">
        <v>3.36601785452948E-3</v>
      </c>
      <c r="D3810" s="2">
        <v>1.03697024346257E-2</v>
      </c>
      <c r="E3810" s="2">
        <v>3.4560838994160399E-3</v>
      </c>
      <c r="F3810" s="2">
        <v>3.59741529105125E-3</v>
      </c>
    </row>
    <row r="3811" spans="1:6" x14ac:dyDescent="0.25">
      <c r="A3811" s="1" t="str">
        <f t="shared" si="144"/>
        <v>14454</v>
      </c>
      <c r="B3811" s="1" t="str">
        <f>"02025"</f>
        <v>02025</v>
      </c>
      <c r="C3811" s="2">
        <v>0</v>
      </c>
      <c r="D3811" s="2">
        <v>2.7051397655545499E-3</v>
      </c>
      <c r="E3811" s="2">
        <v>1.19175306876415E-4</v>
      </c>
      <c r="F3811" s="2">
        <v>1.08601216333622E-4</v>
      </c>
    </row>
    <row r="3812" spans="1:6" x14ac:dyDescent="0.25">
      <c r="A3812" s="1" t="str">
        <f t="shared" si="144"/>
        <v>14454</v>
      </c>
      <c r="B3812" s="1" t="str">
        <f>"02343"</f>
        <v>02343</v>
      </c>
      <c r="C3812" s="2">
        <v>1.1707888189667699E-3</v>
      </c>
      <c r="D3812" s="2">
        <v>6.7628494138863796E-3</v>
      </c>
      <c r="E3812" s="2">
        <v>1.0725777618877299E-3</v>
      </c>
      <c r="F3812" s="2">
        <v>1.3167897480451699E-3</v>
      </c>
    </row>
    <row r="3813" spans="1:6" x14ac:dyDescent="0.25">
      <c r="A3813" s="1" t="str">
        <f t="shared" si="144"/>
        <v>14454</v>
      </c>
      <c r="B3813" s="1" t="str">
        <f>"02045"</f>
        <v>02045</v>
      </c>
      <c r="C3813" s="2">
        <v>1.46348602370847E-3</v>
      </c>
      <c r="D3813" s="2">
        <v>1.35256988277727E-3</v>
      </c>
      <c r="E3813" s="2">
        <v>1.6088666428316E-3</v>
      </c>
      <c r="F3813" s="2">
        <v>1.4932667245873099E-3</v>
      </c>
    </row>
    <row r="3814" spans="1:6" x14ac:dyDescent="0.25">
      <c r="A3814" s="1" t="str">
        <f t="shared" si="144"/>
        <v>14454</v>
      </c>
      <c r="B3814" s="1" t="str">
        <f>"02571"</f>
        <v>02571</v>
      </c>
      <c r="C3814" s="2">
        <v>5.1222010829796497E-4</v>
      </c>
      <c r="D3814" s="2">
        <v>4.5085662759242499E-3</v>
      </c>
      <c r="E3814" s="2">
        <v>7.1505184125849101E-4</v>
      </c>
      <c r="F3814" s="2">
        <v>6.7875760208514302E-4</v>
      </c>
    </row>
    <row r="3815" spans="1:6" x14ac:dyDescent="0.25">
      <c r="A3815" s="1" t="str">
        <f t="shared" si="144"/>
        <v>14454</v>
      </c>
      <c r="B3815" s="1" t="str">
        <f>"02026"</f>
        <v>02026</v>
      </c>
      <c r="C3815" s="2">
        <v>2.3415776379335498E-3</v>
      </c>
      <c r="D3815" s="2">
        <v>4.5085662759242499E-3</v>
      </c>
      <c r="E3815" s="2">
        <v>2.32391848409009E-3</v>
      </c>
      <c r="F3815" s="2">
        <v>2.4028019113814E-3</v>
      </c>
    </row>
    <row r="3816" spans="1:6" x14ac:dyDescent="0.25">
      <c r="A3816" s="1" t="str">
        <f t="shared" si="144"/>
        <v>14454</v>
      </c>
      <c r="B3816" s="1" t="str">
        <f>"02116"</f>
        <v>02116</v>
      </c>
      <c r="C3816" s="2">
        <v>6.8235035855407503E-3</v>
      </c>
      <c r="D3816" s="2">
        <v>2.16411181244364E-2</v>
      </c>
      <c r="E3816" s="2">
        <v>7.2101060660231201E-3</v>
      </c>
      <c r="F3816" s="2">
        <v>7.3577324066029497E-3</v>
      </c>
    </row>
    <row r="3817" spans="1:6" x14ac:dyDescent="0.25">
      <c r="A3817" s="1" t="str">
        <f t="shared" si="144"/>
        <v>14454</v>
      </c>
      <c r="B3817" s="1" t="str">
        <f>"02043"</f>
        <v>02043</v>
      </c>
      <c r="C3817" s="2">
        <v>1.7927703790428799E-3</v>
      </c>
      <c r="D3817" s="2">
        <v>1.7583408476104501E-2</v>
      </c>
      <c r="E3817" s="2">
        <v>1.19175306876415E-3</v>
      </c>
      <c r="F3817" s="2">
        <v>2.1312988705473501E-3</v>
      </c>
    </row>
    <row r="3818" spans="1:6" x14ac:dyDescent="0.25">
      <c r="A3818" s="1" t="str">
        <f t="shared" si="144"/>
        <v>14454</v>
      </c>
      <c r="B3818" s="1" t="str">
        <f>"02210"</f>
        <v>02210</v>
      </c>
      <c r="C3818" s="2">
        <v>9.7321820576613399E-3</v>
      </c>
      <c r="D3818" s="2">
        <v>1.71325518485121E-2</v>
      </c>
      <c r="E3818" s="2">
        <v>5.3628888094386798E-4</v>
      </c>
      <c r="F3818" s="2">
        <v>7.8600130321459603E-3</v>
      </c>
    </row>
    <row r="3819" spans="1:6" x14ac:dyDescent="0.25">
      <c r="A3819" s="1" t="str">
        <f t="shared" si="144"/>
        <v>14454</v>
      </c>
      <c r="B3819" s="1" t="str">
        <f>"02032"</f>
        <v>02032</v>
      </c>
      <c r="C3819" s="2">
        <v>1.0976145177813499E-3</v>
      </c>
      <c r="D3819" s="2">
        <v>1.8034265103697E-3</v>
      </c>
      <c r="E3819" s="2">
        <v>1.2513407222023501E-3</v>
      </c>
      <c r="F3819" s="2">
        <v>1.15388792354474E-3</v>
      </c>
    </row>
    <row r="3820" spans="1:6" x14ac:dyDescent="0.25">
      <c r="A3820" s="1" t="str">
        <f t="shared" si="144"/>
        <v>14454</v>
      </c>
      <c r="B3820" s="1" t="str">
        <f>"02127"</f>
        <v>02127</v>
      </c>
      <c r="C3820" s="2">
        <v>9.1797160837114006E-2</v>
      </c>
      <c r="D3820" s="2">
        <v>2.79531109107303E-2</v>
      </c>
      <c r="E3820" s="2">
        <v>9.6472410916458098E-2</v>
      </c>
      <c r="F3820" s="2">
        <v>9.0939943527367506E-2</v>
      </c>
    </row>
    <row r="3821" spans="1:6" x14ac:dyDescent="0.25">
      <c r="A3821" s="1" t="str">
        <f t="shared" si="144"/>
        <v>14454</v>
      </c>
      <c r="B3821" s="1" t="str">
        <f>"02125"</f>
        <v>02125</v>
      </c>
      <c r="C3821" s="2">
        <v>6.8637494511927397E-2</v>
      </c>
      <c r="D3821" s="2">
        <v>6.7628494138863796E-3</v>
      </c>
      <c r="E3821" s="2">
        <v>7.3471576689309898E-2</v>
      </c>
      <c r="F3821" s="2">
        <v>6.7875760208514296E-2</v>
      </c>
    </row>
    <row r="3822" spans="1:6" x14ac:dyDescent="0.25">
      <c r="A3822" s="1" t="str">
        <f t="shared" si="144"/>
        <v>14454</v>
      </c>
      <c r="B3822" s="1" t="str">
        <f>"02538"</f>
        <v>02538</v>
      </c>
      <c r="C3822" s="2">
        <v>3.29284355334406E-4</v>
      </c>
      <c r="D3822" s="2">
        <v>1.8034265103697E-3</v>
      </c>
      <c r="E3822" s="2">
        <v>5.95876534382076E-5</v>
      </c>
      <c r="F3822" s="2">
        <v>3.1222849695916502E-4</v>
      </c>
    </row>
    <row r="3823" spans="1:6" x14ac:dyDescent="0.25">
      <c r="A3823" s="1" t="str">
        <f t="shared" si="144"/>
        <v>14454</v>
      </c>
      <c r="B3823" s="1" t="str">
        <f>"02203"</f>
        <v>02203</v>
      </c>
      <c r="C3823" s="2">
        <v>0</v>
      </c>
      <c r="D3823" s="2">
        <v>2.2542831379621202E-3</v>
      </c>
      <c r="E3823" s="2">
        <v>5.95876534382076E-5</v>
      </c>
      <c r="F3823" s="2">
        <v>8.1450912250217194E-5</v>
      </c>
    </row>
    <row r="3824" spans="1:6" x14ac:dyDescent="0.25">
      <c r="A3824" s="1" t="str">
        <f t="shared" si="144"/>
        <v>14454</v>
      </c>
      <c r="B3824" s="1" t="str">
        <f>"02152"</f>
        <v>02152</v>
      </c>
      <c r="C3824" s="2">
        <v>5.3051368359432105E-4</v>
      </c>
      <c r="D3824" s="2">
        <v>9.0171325518485096E-4</v>
      </c>
      <c r="E3824" s="2">
        <v>5.3628888094386798E-4</v>
      </c>
      <c r="F3824" s="2">
        <v>5.4300608166811396E-4</v>
      </c>
    </row>
    <row r="3825" spans="1:6" x14ac:dyDescent="0.25">
      <c r="A3825" s="1" t="str">
        <f t="shared" si="144"/>
        <v>14454</v>
      </c>
      <c r="B3825" s="1" t="str">
        <f>"02481"</f>
        <v>02481</v>
      </c>
      <c r="C3825" s="2">
        <v>0</v>
      </c>
      <c r="D3825" s="2">
        <v>4.6438232642019801E-2</v>
      </c>
      <c r="E3825" s="2">
        <v>1.19175306876415E-4</v>
      </c>
      <c r="F3825" s="2">
        <v>1.4253909643788E-3</v>
      </c>
    </row>
    <row r="3826" spans="1:6" x14ac:dyDescent="0.25">
      <c r="A3826" s="1" t="str">
        <f t="shared" si="144"/>
        <v>14454</v>
      </c>
      <c r="B3826" s="1" t="str">
        <f>"02071"</f>
        <v>02071</v>
      </c>
      <c r="C3826" s="2">
        <v>1.09761451778135E-4</v>
      </c>
      <c r="D3826" s="2">
        <v>0</v>
      </c>
      <c r="E3826" s="2">
        <v>0</v>
      </c>
      <c r="F3826" s="2">
        <v>8.1450912250217194E-5</v>
      </c>
    </row>
    <row r="3827" spans="1:6" x14ac:dyDescent="0.25">
      <c r="A3827" s="1" t="str">
        <f t="shared" si="144"/>
        <v>14454</v>
      </c>
      <c r="B3827" s="1" t="str">
        <f>"02053"</f>
        <v>02053</v>
      </c>
      <c r="C3827" s="2">
        <v>7.3174301185423594E-5</v>
      </c>
      <c r="D3827" s="2">
        <v>8.1154192966636594E-3</v>
      </c>
      <c r="E3827" s="2">
        <v>2.3835061375282999E-4</v>
      </c>
      <c r="F3827" s="2">
        <v>3.5295395308427403E-4</v>
      </c>
    </row>
    <row r="3828" spans="1:6" x14ac:dyDescent="0.25">
      <c r="A3828" s="1" t="str">
        <f t="shared" si="144"/>
        <v>14454</v>
      </c>
      <c r="B3828" s="1" t="str">
        <f>"02151"</f>
        <v>02151</v>
      </c>
      <c r="C3828" s="2">
        <v>3.0403922142543501E-2</v>
      </c>
      <c r="D3828" s="2">
        <v>1.4878268710550001E-2</v>
      </c>
      <c r="E3828" s="2">
        <v>2.7589083541890099E-2</v>
      </c>
      <c r="F3828" s="2">
        <v>2.9295178105994701E-2</v>
      </c>
    </row>
    <row r="3829" spans="1:6" x14ac:dyDescent="0.25">
      <c r="A3829" s="1" t="str">
        <f t="shared" si="144"/>
        <v>14454</v>
      </c>
      <c r="B3829" s="1" t="str">
        <f>"02301"</f>
        <v>02301</v>
      </c>
      <c r="C3829" s="2">
        <v>3.9660471242499599E-2</v>
      </c>
      <c r="D3829" s="2">
        <v>5.6357078449053202E-2</v>
      </c>
      <c r="E3829" s="2">
        <v>4.5107853652723101E-2</v>
      </c>
      <c r="F3829" s="2">
        <v>4.1404213727193703E-2</v>
      </c>
    </row>
    <row r="3830" spans="1:6" x14ac:dyDescent="0.25">
      <c r="A3830" s="1" t="str">
        <f t="shared" ref="A3830:A3861" si="145">"14454"</f>
        <v>14454</v>
      </c>
      <c r="B3830" s="1" t="str">
        <f>"02190"</f>
        <v>02190</v>
      </c>
      <c r="C3830" s="2">
        <v>2.5428069661934702E-3</v>
      </c>
      <c r="D3830" s="2">
        <v>4.0577096483318297E-3</v>
      </c>
      <c r="E3830" s="2">
        <v>1.4896913359551899E-3</v>
      </c>
      <c r="F3830" s="2">
        <v>2.34850130321459E-3</v>
      </c>
    </row>
    <row r="3831" spans="1:6" x14ac:dyDescent="0.25">
      <c r="A3831" s="1" t="str">
        <f t="shared" si="145"/>
        <v>14454</v>
      </c>
      <c r="B3831" s="1" t="str">
        <f>"02333"</f>
        <v>02333</v>
      </c>
      <c r="C3831" s="2">
        <v>7.5003658715059197E-4</v>
      </c>
      <c r="D3831" s="2">
        <v>7.6645626690712296E-3</v>
      </c>
      <c r="E3831" s="2">
        <v>1.0725777618877299E-3</v>
      </c>
      <c r="F3831" s="2">
        <v>1.0317115551694101E-3</v>
      </c>
    </row>
    <row r="3832" spans="1:6" x14ac:dyDescent="0.25">
      <c r="A3832" s="1" t="str">
        <f t="shared" si="145"/>
        <v>14454</v>
      </c>
      <c r="B3832" s="1" t="str">
        <f>"02111"</f>
        <v>02111</v>
      </c>
      <c r="C3832" s="2">
        <v>1.42689887311576E-3</v>
      </c>
      <c r="D3832" s="2">
        <v>6.3119927862939499E-3</v>
      </c>
      <c r="E3832" s="2">
        <v>9.5340245501132105E-4</v>
      </c>
      <c r="F3832" s="2">
        <v>1.4661164205039001E-3</v>
      </c>
    </row>
    <row r="3833" spans="1:6" x14ac:dyDescent="0.25">
      <c r="A3833" s="1" t="str">
        <f t="shared" si="145"/>
        <v>14454</v>
      </c>
      <c r="B3833" s="1" t="str">
        <f>"02066"</f>
        <v>02066</v>
      </c>
      <c r="C3833" s="2">
        <v>2.01229328259915E-4</v>
      </c>
      <c r="D3833" s="2">
        <v>1.8034265103697E-3</v>
      </c>
      <c r="E3833" s="2">
        <v>2.9793826719103799E-4</v>
      </c>
      <c r="F3833" s="2">
        <v>2.7150304083405698E-4</v>
      </c>
    </row>
    <row r="3834" spans="1:6" x14ac:dyDescent="0.25">
      <c r="A3834" s="1" t="str">
        <f t="shared" si="145"/>
        <v>14454</v>
      </c>
      <c r="B3834" s="1" t="str">
        <f>"02052"</f>
        <v>02052</v>
      </c>
      <c r="C3834" s="2">
        <v>1.82935752963559E-4</v>
      </c>
      <c r="D3834" s="2">
        <v>3.6068530207393999E-3</v>
      </c>
      <c r="E3834" s="2">
        <v>3.5752592062924501E-4</v>
      </c>
      <c r="F3834" s="2">
        <v>3.2580364900086802E-4</v>
      </c>
    </row>
    <row r="3835" spans="1:6" x14ac:dyDescent="0.25">
      <c r="A3835" s="1" t="str">
        <f t="shared" si="145"/>
        <v>14454</v>
      </c>
      <c r="B3835" s="1" t="str">
        <f>"02093"</f>
        <v>02093</v>
      </c>
      <c r="C3835" s="2">
        <v>1.64642177667203E-3</v>
      </c>
      <c r="D3835" s="2">
        <v>6.7628494138863796E-3</v>
      </c>
      <c r="E3835" s="2">
        <v>7.1505184125849101E-4</v>
      </c>
      <c r="F3835" s="2">
        <v>1.58829278887923E-3</v>
      </c>
    </row>
    <row r="3836" spans="1:6" x14ac:dyDescent="0.25">
      <c r="A3836" s="1" t="str">
        <f t="shared" si="145"/>
        <v>14454</v>
      </c>
      <c r="B3836" s="1" t="str">
        <f>"02169"</f>
        <v>02169</v>
      </c>
      <c r="C3836" s="2">
        <v>5.3600175618322803E-3</v>
      </c>
      <c r="D3836" s="2">
        <v>1.08205590622182E-2</v>
      </c>
      <c r="E3836" s="2">
        <v>2.2047431772136798E-3</v>
      </c>
      <c r="F3836" s="2">
        <v>4.8056038227628096E-3</v>
      </c>
    </row>
    <row r="3837" spans="1:6" x14ac:dyDescent="0.25">
      <c r="A3837" s="1" t="str">
        <f t="shared" si="145"/>
        <v>14454</v>
      </c>
      <c r="B3837" s="1" t="str">
        <f>"02110"</f>
        <v>02110</v>
      </c>
      <c r="C3837" s="2">
        <v>5.4880725889067702E-5</v>
      </c>
      <c r="D3837" s="2">
        <v>1.7583408476104501E-2</v>
      </c>
      <c r="E3837" s="2">
        <v>4.1711357406745301E-4</v>
      </c>
      <c r="F3837" s="2">
        <v>6.6518245004343996E-4</v>
      </c>
    </row>
    <row r="3838" spans="1:6" x14ac:dyDescent="0.25">
      <c r="A3838" s="1" t="str">
        <f t="shared" si="145"/>
        <v>14454</v>
      </c>
      <c r="B3838" s="1" t="str">
        <f>"02120"</f>
        <v>02120</v>
      </c>
      <c r="C3838" s="2">
        <v>1.67020342455729E-2</v>
      </c>
      <c r="D3838" s="2">
        <v>3.6068530207393999E-3</v>
      </c>
      <c r="E3838" s="2">
        <v>1.6148254081754201E-2</v>
      </c>
      <c r="F3838" s="2">
        <v>1.6181581233709798E-2</v>
      </c>
    </row>
    <row r="3839" spans="1:6" x14ac:dyDescent="0.25">
      <c r="A3839" s="1" t="str">
        <f t="shared" si="145"/>
        <v>14454</v>
      </c>
      <c r="B3839" s="1" t="str">
        <f>"02359"</f>
        <v>02359</v>
      </c>
      <c r="C3839" s="2">
        <v>3.65871505927118E-4</v>
      </c>
      <c r="D3839" s="2">
        <v>9.0171325518485096E-4</v>
      </c>
      <c r="E3839" s="2">
        <v>1.19175306876415E-4</v>
      </c>
      <c r="F3839" s="2">
        <v>3.2580364900086802E-4</v>
      </c>
    </row>
    <row r="3840" spans="1:6" x14ac:dyDescent="0.25">
      <c r="A3840" s="1" t="str">
        <f t="shared" si="145"/>
        <v>14454</v>
      </c>
      <c r="B3840" s="1" t="str">
        <f>"02122"</f>
        <v>02122</v>
      </c>
      <c r="C3840" s="2">
        <v>6.2435972486462703E-2</v>
      </c>
      <c r="D3840" s="2">
        <v>2.0288548241659099E-2</v>
      </c>
      <c r="E3840" s="2">
        <v>6.8704564414253294E-2</v>
      </c>
      <c r="F3840" s="2">
        <v>6.2595026064291903E-2</v>
      </c>
    </row>
    <row r="3841" spans="1:6" x14ac:dyDescent="0.25">
      <c r="A3841" s="1" t="str">
        <f t="shared" si="145"/>
        <v>14454</v>
      </c>
      <c r="B3841" s="1" t="str">
        <f>"02129"</f>
        <v>02129</v>
      </c>
      <c r="C3841" s="2">
        <v>2.42206936923752E-2</v>
      </c>
      <c r="D3841" s="2">
        <v>1.1271415689810599E-2</v>
      </c>
      <c r="E3841" s="2">
        <v>1.9961863901799499E-2</v>
      </c>
      <c r="F3841" s="2">
        <v>2.2860556038227599E-2</v>
      </c>
    </row>
    <row r="3842" spans="1:6" x14ac:dyDescent="0.25">
      <c r="A3842" s="1" t="str">
        <f t="shared" si="145"/>
        <v>14454</v>
      </c>
      <c r="B3842" s="1" t="str">
        <f>"02128"</f>
        <v>02128</v>
      </c>
      <c r="C3842" s="2">
        <v>9.2638665300746298E-2</v>
      </c>
      <c r="D3842" s="2">
        <v>3.9675383228133403E-2</v>
      </c>
      <c r="E3842" s="2">
        <v>9.9630556548683094E-2</v>
      </c>
      <c r="F3842" s="2">
        <v>9.2636837532580299E-2</v>
      </c>
    </row>
    <row r="3843" spans="1:6" x14ac:dyDescent="0.25">
      <c r="A3843" s="1" t="str">
        <f t="shared" si="145"/>
        <v>14454</v>
      </c>
      <c r="B3843" s="1" t="str">
        <f>"02346"</f>
        <v>02346</v>
      </c>
      <c r="C3843" s="2">
        <v>3.8233572369383798E-3</v>
      </c>
      <c r="D3843" s="2">
        <v>4.0577096483318297E-3</v>
      </c>
      <c r="E3843" s="2">
        <v>1.0725777618877299E-3</v>
      </c>
      <c r="F3843" s="2">
        <v>3.20373588184187E-3</v>
      </c>
    </row>
    <row r="3844" spans="1:6" x14ac:dyDescent="0.25">
      <c r="A3844" s="1" t="str">
        <f t="shared" si="145"/>
        <v>14454</v>
      </c>
      <c r="B3844" s="1" t="str">
        <f>"02186"</f>
        <v>02186</v>
      </c>
      <c r="C3844" s="2">
        <v>5.4880725889067702E-4</v>
      </c>
      <c r="D3844" s="2">
        <v>9.0171325518485096E-4</v>
      </c>
      <c r="E3844" s="2">
        <v>1.19175306876415E-4</v>
      </c>
      <c r="F3844" s="2">
        <v>4.6155516941789702E-4</v>
      </c>
    </row>
    <row r="3845" spans="1:6" x14ac:dyDescent="0.25">
      <c r="A3845" s="1" t="str">
        <f t="shared" si="145"/>
        <v>14454</v>
      </c>
      <c r="B3845" s="1" t="str">
        <f>"02364"</f>
        <v>02364</v>
      </c>
      <c r="C3845" s="2">
        <v>1.68300892726474E-3</v>
      </c>
      <c r="D3845" s="2">
        <v>1.21731289449954E-2</v>
      </c>
      <c r="E3845" s="2">
        <v>1.54927898939339E-3</v>
      </c>
      <c r="F3845" s="2">
        <v>1.96839704604691E-3</v>
      </c>
    </row>
    <row r="3846" spans="1:6" x14ac:dyDescent="0.25">
      <c r="A3846" s="1" t="str">
        <f t="shared" si="145"/>
        <v>14454</v>
      </c>
      <c r="B3846" s="1" t="str">
        <f>"02113"</f>
        <v>02113</v>
      </c>
      <c r="C3846" s="2">
        <v>1.1524952436704199E-3</v>
      </c>
      <c r="D3846" s="2">
        <v>4.5085662759242499E-4</v>
      </c>
      <c r="E3846" s="2">
        <v>1.37051602907877E-3</v>
      </c>
      <c r="F3846" s="2">
        <v>1.18103822762814E-3</v>
      </c>
    </row>
    <row r="3847" spans="1:6" x14ac:dyDescent="0.25">
      <c r="A3847" s="1" t="str">
        <f t="shared" si="145"/>
        <v>14454</v>
      </c>
      <c r="B3847" s="1" t="str">
        <f>"02341"</f>
        <v>02341</v>
      </c>
      <c r="C3847" s="2">
        <v>3.6953022098638899E-3</v>
      </c>
      <c r="D3847" s="2">
        <v>8.5662759242560796E-3</v>
      </c>
      <c r="E3847" s="2">
        <v>7.7463949469669803E-4</v>
      </c>
      <c r="F3847" s="2">
        <v>3.17658557775847E-3</v>
      </c>
    </row>
    <row r="3848" spans="1:6" x14ac:dyDescent="0.25">
      <c r="A3848" s="1" t="str">
        <f t="shared" si="145"/>
        <v>14454</v>
      </c>
      <c r="B3848" s="1" t="str">
        <f>"02379"</f>
        <v>02379</v>
      </c>
      <c r="C3848" s="2">
        <v>9.5126591541050702E-4</v>
      </c>
      <c r="D3848" s="2">
        <v>8.1154192966636594E-3</v>
      </c>
      <c r="E3848" s="2">
        <v>1.37051602907877E-3</v>
      </c>
      <c r="F3848" s="2">
        <v>1.2624891398783601E-3</v>
      </c>
    </row>
    <row r="3849" spans="1:6" x14ac:dyDescent="0.25">
      <c r="A3849" s="1" t="str">
        <f t="shared" si="145"/>
        <v>14454</v>
      </c>
      <c r="B3849" s="1" t="str">
        <f>"02467"</f>
        <v>02467</v>
      </c>
      <c r="C3849" s="2">
        <v>3.05502707449143E-3</v>
      </c>
      <c r="D3849" s="2">
        <v>6.3119927862939499E-3</v>
      </c>
      <c r="E3849" s="2">
        <v>3.51567155285424E-3</v>
      </c>
      <c r="F3849" s="2">
        <v>3.2580364900086801E-3</v>
      </c>
    </row>
    <row r="3850" spans="1:6" x14ac:dyDescent="0.25">
      <c r="A3850" s="1" t="str">
        <f t="shared" si="145"/>
        <v>14454</v>
      </c>
      <c r="B3850" s="1" t="str">
        <f>"02109"</f>
        <v>02109</v>
      </c>
      <c r="C3850" s="2">
        <v>1.42689887311576E-3</v>
      </c>
      <c r="D3850" s="2">
        <v>7.2137060414787998E-3</v>
      </c>
      <c r="E3850" s="2">
        <v>1.6088666428316E-3</v>
      </c>
      <c r="F3850" s="2">
        <v>1.6425933970460401E-3</v>
      </c>
    </row>
    <row r="3851" spans="1:6" x14ac:dyDescent="0.25">
      <c r="A3851" s="1" t="str">
        <f t="shared" si="145"/>
        <v>14454</v>
      </c>
      <c r="B3851" s="1" t="str">
        <f>"02118"</f>
        <v>02118</v>
      </c>
      <c r="C3851" s="2">
        <v>7.9028245280257509E-3</v>
      </c>
      <c r="D3851" s="2">
        <v>1.6681695220919699E-2</v>
      </c>
      <c r="E3851" s="2">
        <v>8.4018591347872693E-3</v>
      </c>
      <c r="F3851" s="2">
        <v>8.2808427454387403E-3</v>
      </c>
    </row>
    <row r="3852" spans="1:6" x14ac:dyDescent="0.25">
      <c r="A3852" s="1" t="str">
        <f t="shared" si="145"/>
        <v>14454</v>
      </c>
      <c r="B3852" s="1" t="str">
        <f>"02121"</f>
        <v>02121</v>
      </c>
      <c r="C3852" s="2">
        <v>4.8057222303526999E-2</v>
      </c>
      <c r="D3852" s="2">
        <v>1.21731289449954E-2</v>
      </c>
      <c r="E3852" s="2">
        <v>5.2437135025622597E-2</v>
      </c>
      <c r="F3852" s="2">
        <v>4.7974587315377903E-2</v>
      </c>
    </row>
    <row r="3853" spans="1:6" x14ac:dyDescent="0.25">
      <c r="A3853" s="1" t="str">
        <f t="shared" si="145"/>
        <v>14454</v>
      </c>
      <c r="B3853" s="1" t="str">
        <f>"02738"</f>
        <v>02738</v>
      </c>
      <c r="C3853" s="2">
        <v>0</v>
      </c>
      <c r="D3853" s="2">
        <v>9.0171325518485096E-4</v>
      </c>
      <c r="E3853" s="2">
        <v>0</v>
      </c>
      <c r="F3853" s="2">
        <v>2.7150304083405699E-5</v>
      </c>
    </row>
    <row r="3854" spans="1:6" x14ac:dyDescent="0.25">
      <c r="A3854" s="1" t="str">
        <f t="shared" si="145"/>
        <v>14454</v>
      </c>
      <c r="B3854" s="1" t="str">
        <f>"02492"</f>
        <v>02492</v>
      </c>
      <c r="C3854" s="2">
        <v>3.29284355334406E-4</v>
      </c>
      <c r="D3854" s="2">
        <v>4.0577096483318297E-3</v>
      </c>
      <c r="E3854" s="2">
        <v>5.3628888094386798E-4</v>
      </c>
      <c r="F3854" s="2">
        <v>4.8870547350130303E-4</v>
      </c>
    </row>
    <row r="3855" spans="1:6" x14ac:dyDescent="0.25">
      <c r="A3855" s="1" t="str">
        <f t="shared" si="145"/>
        <v>14454</v>
      </c>
      <c r="B3855" s="1" t="str">
        <f>"02072"</f>
        <v>02072</v>
      </c>
      <c r="C3855" s="2">
        <v>9.6955949070686299E-4</v>
      </c>
      <c r="D3855" s="2">
        <v>4.9594229035166797E-3</v>
      </c>
      <c r="E3855" s="2">
        <v>5.9587653438207598E-4</v>
      </c>
      <c r="F3855" s="2">
        <v>1.00456125108601E-3</v>
      </c>
    </row>
    <row r="3856" spans="1:6" x14ac:dyDescent="0.25">
      <c r="A3856" s="1" t="str">
        <f t="shared" si="145"/>
        <v>14454</v>
      </c>
      <c r="B3856" s="1" t="str">
        <f>"02132"</f>
        <v>02132</v>
      </c>
      <c r="C3856" s="2">
        <v>4.93926533001609E-4</v>
      </c>
      <c r="D3856" s="2">
        <v>1.8034265103697E-3</v>
      </c>
      <c r="E3856" s="2">
        <v>2.9793826719103799E-4</v>
      </c>
      <c r="F3856" s="2">
        <v>4.8870547350130303E-4</v>
      </c>
    </row>
    <row r="3857" spans="1:6" x14ac:dyDescent="0.25">
      <c r="A3857" s="1" t="str">
        <f t="shared" si="145"/>
        <v>14454</v>
      </c>
      <c r="B3857" s="1" t="str">
        <f>"02108"</f>
        <v>02108</v>
      </c>
      <c r="C3857" s="2">
        <v>2.01229328259915E-4</v>
      </c>
      <c r="D3857" s="2">
        <v>3.1559963931469702E-3</v>
      </c>
      <c r="E3857" s="2">
        <v>3.5752592062924501E-4</v>
      </c>
      <c r="F3857" s="2">
        <v>3.2580364900086802E-4</v>
      </c>
    </row>
    <row r="3858" spans="1:6" x14ac:dyDescent="0.25">
      <c r="A3858" s="1" t="str">
        <f t="shared" si="145"/>
        <v>14454</v>
      </c>
      <c r="B3858" s="1" t="str">
        <f>"02339"</f>
        <v>02339</v>
      </c>
      <c r="C3858" s="2">
        <v>1.1707888189667699E-3</v>
      </c>
      <c r="D3858" s="2">
        <v>2.9305680793507601E-2</v>
      </c>
      <c r="E3858" s="2">
        <v>1.9068049100226399E-3</v>
      </c>
      <c r="F3858" s="2">
        <v>2.1855994787141602E-3</v>
      </c>
    </row>
    <row r="3859" spans="1:6" x14ac:dyDescent="0.25">
      <c r="A3859" s="1" t="str">
        <f t="shared" si="145"/>
        <v>14454</v>
      </c>
      <c r="B3859" s="1" t="str">
        <f>"02370"</f>
        <v>02370</v>
      </c>
      <c r="C3859" s="2">
        <v>3.16478852626957E-3</v>
      </c>
      <c r="D3859" s="2">
        <v>3.1559963931469702E-3</v>
      </c>
      <c r="E3859" s="2">
        <v>3.57525920629245E-3</v>
      </c>
      <c r="F3859" s="2">
        <v>3.2580364900086801E-3</v>
      </c>
    </row>
    <row r="3860" spans="1:6" x14ac:dyDescent="0.25">
      <c r="A3860" s="1" t="str">
        <f t="shared" si="145"/>
        <v>14454</v>
      </c>
      <c r="B3860" s="1" t="str">
        <f>"02126"</f>
        <v>02126</v>
      </c>
      <c r="C3860" s="2">
        <v>2.8190399531684399E-2</v>
      </c>
      <c r="D3860" s="2">
        <v>4.5085662759242499E-3</v>
      </c>
      <c r="E3860" s="2">
        <v>3.0806816827553301E-2</v>
      </c>
      <c r="F3860" s="2">
        <v>2.80734144222415E-2</v>
      </c>
    </row>
    <row r="3861" spans="1:6" x14ac:dyDescent="0.25">
      <c r="A3861" s="1" t="str">
        <f t="shared" si="145"/>
        <v>14454</v>
      </c>
      <c r="B3861" s="1" t="str">
        <f>"02302"</f>
        <v>02302</v>
      </c>
      <c r="C3861" s="2">
        <v>3.4391921557149099E-3</v>
      </c>
      <c r="D3861" s="2">
        <v>6.3119927862939499E-3</v>
      </c>
      <c r="E3861" s="2">
        <v>4.1115480872363202E-3</v>
      </c>
      <c r="F3861" s="2">
        <v>3.6788662033014701E-3</v>
      </c>
    </row>
    <row r="3862" spans="1:6" x14ac:dyDescent="0.25">
      <c r="A3862" s="1" t="str">
        <f t="shared" ref="A3862:A3898" si="146">"14454"</f>
        <v>14454</v>
      </c>
      <c r="B3862" s="1" t="str">
        <f>"02446"</f>
        <v>02446</v>
      </c>
      <c r="C3862" s="2">
        <v>2.34157763793355E-2</v>
      </c>
      <c r="D3862" s="2">
        <v>9.4679891794409304E-3</v>
      </c>
      <c r="E3862" s="2">
        <v>2.5861041592181999E-2</v>
      </c>
      <c r="F3862" s="2">
        <v>2.3552888792354398E-2</v>
      </c>
    </row>
    <row r="3863" spans="1:6" x14ac:dyDescent="0.25">
      <c r="A3863" s="1" t="str">
        <f t="shared" si="146"/>
        <v>14454</v>
      </c>
      <c r="B3863" s="1" t="str">
        <f>"02382"</f>
        <v>02382</v>
      </c>
      <c r="C3863" s="2">
        <v>4.6465681252743996E-3</v>
      </c>
      <c r="D3863" s="2">
        <v>1.1271415689810599E-2</v>
      </c>
      <c r="E3863" s="2">
        <v>5.5416517697533E-3</v>
      </c>
      <c r="F3863" s="2">
        <v>5.0499565595134603E-3</v>
      </c>
    </row>
    <row r="3864" spans="1:6" x14ac:dyDescent="0.25">
      <c r="A3864" s="1" t="str">
        <f t="shared" si="146"/>
        <v>14454</v>
      </c>
      <c r="B3864" s="1" t="str">
        <f>"02222"</f>
        <v>02222</v>
      </c>
      <c r="C3864" s="2">
        <v>0</v>
      </c>
      <c r="D3864" s="2">
        <v>4.5085662759242499E-4</v>
      </c>
      <c r="E3864" s="2">
        <v>5.95876534382076E-5</v>
      </c>
      <c r="F3864" s="2">
        <v>2.7150304083405699E-5</v>
      </c>
    </row>
    <row r="3865" spans="1:6" x14ac:dyDescent="0.25">
      <c r="A3865" s="1" t="str">
        <f t="shared" si="146"/>
        <v>14454</v>
      </c>
      <c r="B3865" s="1" t="str">
        <f>"02035"</f>
        <v>02035</v>
      </c>
      <c r="C3865" s="2">
        <v>2.1952290355627098E-3</v>
      </c>
      <c r="D3865" s="2">
        <v>1.1271415689810599E-2</v>
      </c>
      <c r="E3865" s="2">
        <v>1.7280419497080199E-3</v>
      </c>
      <c r="F3865" s="2">
        <v>2.36207645525629E-3</v>
      </c>
    </row>
    <row r="3866" spans="1:6" x14ac:dyDescent="0.25">
      <c r="A3866" s="1" t="str">
        <f t="shared" si="146"/>
        <v>14454</v>
      </c>
      <c r="B3866" s="1" t="str">
        <f>"02368"</f>
        <v>02368</v>
      </c>
      <c r="C3866" s="2">
        <v>4.2075223181618602E-4</v>
      </c>
      <c r="D3866" s="2">
        <v>1.44274120829576E-2</v>
      </c>
      <c r="E3866" s="2">
        <v>7.7463949469669803E-4</v>
      </c>
      <c r="F3866" s="2">
        <v>9.2311033883579405E-4</v>
      </c>
    </row>
    <row r="3867" spans="1:6" x14ac:dyDescent="0.25">
      <c r="A3867" s="1" t="str">
        <f t="shared" si="146"/>
        <v>14454</v>
      </c>
      <c r="B3867" s="1" t="str">
        <f>"02019"</f>
        <v>02019</v>
      </c>
      <c r="C3867" s="2">
        <v>1.2256695448558399E-3</v>
      </c>
      <c r="D3867" s="2">
        <v>4.0577096483318297E-3</v>
      </c>
      <c r="E3867" s="2">
        <v>4.1711357406745301E-4</v>
      </c>
      <c r="F3867" s="2">
        <v>1.1267376194613299E-3</v>
      </c>
    </row>
    <row r="3868" spans="1:6" x14ac:dyDescent="0.25">
      <c r="A3868" s="1" t="str">
        <f t="shared" si="146"/>
        <v>14454</v>
      </c>
      <c r="B3868" s="1" t="str">
        <f>"02322"</f>
        <v>02322</v>
      </c>
      <c r="C3868" s="2">
        <v>1.00614664129957E-3</v>
      </c>
      <c r="D3868" s="2">
        <v>1.3074842200180299E-2</v>
      </c>
      <c r="E3868" s="2">
        <v>1.19175306876415E-3</v>
      </c>
      <c r="F3868" s="2">
        <v>1.41181581233709E-3</v>
      </c>
    </row>
    <row r="3869" spans="1:6" x14ac:dyDescent="0.25">
      <c r="A3869" s="1" t="str">
        <f t="shared" si="146"/>
        <v>14454</v>
      </c>
      <c r="B3869" s="1" t="str">
        <f>"02770"</f>
        <v>02770</v>
      </c>
      <c r="C3869" s="2">
        <v>1.28055027074491E-4</v>
      </c>
      <c r="D3869" s="2">
        <v>0</v>
      </c>
      <c r="E3869" s="2">
        <v>0</v>
      </c>
      <c r="F3869" s="2">
        <v>9.5026064291919995E-5</v>
      </c>
    </row>
    <row r="3870" spans="1:6" x14ac:dyDescent="0.25">
      <c r="A3870" s="1" t="str">
        <f t="shared" si="146"/>
        <v>14454</v>
      </c>
      <c r="B3870" s="1" t="str">
        <f>"02494"</f>
        <v>02494</v>
      </c>
      <c r="C3870" s="2">
        <v>1.1159080930777099E-3</v>
      </c>
      <c r="D3870" s="2">
        <v>1.8935978358881798E-2</v>
      </c>
      <c r="E3870" s="2">
        <v>2.0855678703372601E-3</v>
      </c>
      <c r="F3870" s="2">
        <v>1.8733709817549901E-3</v>
      </c>
    </row>
    <row r="3871" spans="1:6" x14ac:dyDescent="0.25">
      <c r="A3871" s="1" t="str">
        <f t="shared" si="146"/>
        <v>14454</v>
      </c>
      <c r="B3871" s="1" t="str">
        <f>"02061"</f>
        <v>02061</v>
      </c>
      <c r="C3871" s="2">
        <v>0</v>
      </c>
      <c r="D3871" s="2">
        <v>2.29936880072137E-2</v>
      </c>
      <c r="E3871" s="2">
        <v>6.5546418782028301E-4</v>
      </c>
      <c r="F3871" s="2">
        <v>8.41659426585577E-4</v>
      </c>
    </row>
    <row r="3872" spans="1:6" x14ac:dyDescent="0.25">
      <c r="A3872" s="1" t="str">
        <f t="shared" si="146"/>
        <v>14454</v>
      </c>
      <c r="B3872" s="1" t="str">
        <f>"02090"</f>
        <v>02090</v>
      </c>
      <c r="C3872" s="2">
        <v>1.8476511049319399E-3</v>
      </c>
      <c r="D3872" s="2">
        <v>4.5085662759242499E-3</v>
      </c>
      <c r="E3872" s="2">
        <v>2.3835061375282999E-4</v>
      </c>
      <c r="F3872" s="2">
        <v>1.56114248479582E-3</v>
      </c>
    </row>
    <row r="3873" spans="1:6" x14ac:dyDescent="0.25">
      <c r="A3873" s="1" t="str">
        <f t="shared" si="146"/>
        <v>14454</v>
      </c>
      <c r="B3873" s="1" t="str">
        <f>"02189"</f>
        <v>02189</v>
      </c>
      <c r="C3873" s="2">
        <v>1.7013025025611E-3</v>
      </c>
      <c r="D3873" s="2">
        <v>6.3119927862939499E-3</v>
      </c>
      <c r="E3873" s="2">
        <v>2.1451555237754702E-3</v>
      </c>
      <c r="F3873" s="2">
        <v>1.9412467419635E-3</v>
      </c>
    </row>
    <row r="3874" spans="1:6" x14ac:dyDescent="0.25">
      <c r="A3874" s="1" t="str">
        <f t="shared" si="146"/>
        <v>14454</v>
      </c>
      <c r="B3874" s="1" t="str">
        <f>"02081"</f>
        <v>02081</v>
      </c>
      <c r="C3874" s="2">
        <v>2.1403483096736398E-3</v>
      </c>
      <c r="D3874" s="2">
        <v>1.1271415689810599E-2</v>
      </c>
      <c r="E3874" s="2">
        <v>2.6814444047193399E-3</v>
      </c>
      <c r="F3874" s="2">
        <v>2.5385534317984302E-3</v>
      </c>
    </row>
    <row r="3875" spans="1:6" x14ac:dyDescent="0.25">
      <c r="A3875" s="1" t="str">
        <f t="shared" si="146"/>
        <v>14454</v>
      </c>
      <c r="B3875" s="1" t="str">
        <f>"02170"</f>
        <v>02170</v>
      </c>
      <c r="C3875" s="2">
        <v>3.3843114298258399E-3</v>
      </c>
      <c r="D3875" s="2">
        <v>1.8034265103697E-3</v>
      </c>
      <c r="E3875" s="2">
        <v>3.7540221666070698E-3</v>
      </c>
      <c r="F3875" s="2">
        <v>3.4209383145091198E-3</v>
      </c>
    </row>
    <row r="3876" spans="1:6" x14ac:dyDescent="0.25">
      <c r="A3876" s="1" t="str">
        <f t="shared" si="146"/>
        <v>14454</v>
      </c>
      <c r="B3876" s="1" t="str">
        <f>"02150"</f>
        <v>02150</v>
      </c>
      <c r="C3876" s="2">
        <v>1.3171374213376201E-3</v>
      </c>
      <c r="D3876" s="2">
        <v>4.5085662759242499E-4</v>
      </c>
      <c r="E3876" s="2">
        <v>4.7670122750565998E-4</v>
      </c>
      <c r="F3876" s="2">
        <v>1.0995873153779299E-3</v>
      </c>
    </row>
    <row r="3877" spans="1:6" x14ac:dyDescent="0.25">
      <c r="A3877" s="1" t="str">
        <f t="shared" si="146"/>
        <v>14454</v>
      </c>
      <c r="B3877" s="1" t="str">
        <f>"02021"</f>
        <v>02021</v>
      </c>
      <c r="C3877" s="2">
        <v>4.93926533001609E-4</v>
      </c>
      <c r="D3877" s="2">
        <v>1.7583408476104501E-2</v>
      </c>
      <c r="E3877" s="2">
        <v>1.3109283756405599E-3</v>
      </c>
      <c r="F3877" s="2">
        <v>1.19461337966985E-3</v>
      </c>
    </row>
    <row r="3878" spans="1:6" x14ac:dyDescent="0.25">
      <c r="A3878" s="1" t="str">
        <f t="shared" si="146"/>
        <v>14454</v>
      </c>
      <c r="B3878" s="1" t="str">
        <f>"02134"</f>
        <v>02134</v>
      </c>
      <c r="C3878" s="2">
        <v>1.3573832869896E-2</v>
      </c>
      <c r="D3878" s="2">
        <v>8.1154192966636594E-3</v>
      </c>
      <c r="E3878" s="2">
        <v>1.44202121320462E-2</v>
      </c>
      <c r="F3878" s="2">
        <v>1.36023023457862E-2</v>
      </c>
    </row>
    <row r="3879" spans="1:6" x14ac:dyDescent="0.25">
      <c r="A3879" s="1" t="str">
        <f t="shared" si="146"/>
        <v>14454</v>
      </c>
      <c r="B3879" s="1" t="str">
        <f>"02171"</f>
        <v>02171</v>
      </c>
      <c r="C3879" s="2">
        <v>3.8965315381238098E-3</v>
      </c>
      <c r="D3879" s="2">
        <v>7.2137060414787998E-3</v>
      </c>
      <c r="E3879" s="2">
        <v>4.4094863544273596E-3</v>
      </c>
      <c r="F3879" s="2">
        <v>4.1132710686359597E-3</v>
      </c>
    </row>
    <row r="3880" spans="1:6" x14ac:dyDescent="0.25">
      <c r="A3880" s="1" t="str">
        <f t="shared" si="146"/>
        <v>14454</v>
      </c>
      <c r="B3880" s="1" t="str">
        <f>"02205"</f>
        <v>02205</v>
      </c>
      <c r="C3880" s="2">
        <v>0</v>
      </c>
      <c r="D3880" s="2">
        <v>0</v>
      </c>
      <c r="E3880" s="2">
        <v>5.95876534382076E-5</v>
      </c>
      <c r="F3880" s="2">
        <v>1.35751520417028E-5</v>
      </c>
    </row>
    <row r="3881" spans="1:6" x14ac:dyDescent="0.25">
      <c r="A3881" s="1" t="str">
        <f t="shared" si="146"/>
        <v>14454</v>
      </c>
      <c r="B3881" s="1" t="str">
        <f>"02199"</f>
        <v>02199</v>
      </c>
      <c r="C3881" s="2">
        <v>0</v>
      </c>
      <c r="D3881" s="2">
        <v>1.35256988277727E-3</v>
      </c>
      <c r="E3881" s="2">
        <v>0</v>
      </c>
      <c r="F3881" s="2">
        <v>4.0725456125108597E-5</v>
      </c>
    </row>
    <row r="3882" spans="1:6" x14ac:dyDescent="0.25">
      <c r="A3882" s="1" t="str">
        <f t="shared" si="146"/>
        <v>14454</v>
      </c>
      <c r="B3882" s="1" t="str">
        <f>"02338"</f>
        <v>02338</v>
      </c>
      <c r="C3882" s="2">
        <v>7.3174301185423594E-5</v>
      </c>
      <c r="D3882" s="2">
        <v>0</v>
      </c>
      <c r="E3882" s="2">
        <v>0</v>
      </c>
      <c r="F3882" s="2">
        <v>5.4300608166811397E-5</v>
      </c>
    </row>
    <row r="3883" spans="1:6" x14ac:dyDescent="0.25">
      <c r="A3883" s="1" t="str">
        <f t="shared" si="146"/>
        <v>14454</v>
      </c>
      <c r="B3883" s="1" t="str">
        <f>"02215"</f>
        <v>02215</v>
      </c>
      <c r="C3883" s="2">
        <v>1.1159080930777099E-3</v>
      </c>
      <c r="D3883" s="2">
        <v>9.4679891794409304E-3</v>
      </c>
      <c r="E3883" s="2">
        <v>7.1505184125849101E-4</v>
      </c>
      <c r="F3883" s="2">
        <v>1.2760642919200601E-3</v>
      </c>
    </row>
    <row r="3884" spans="1:6" x14ac:dyDescent="0.25">
      <c r="A3884" s="1" t="str">
        <f t="shared" si="146"/>
        <v>14454</v>
      </c>
      <c r="B3884" s="1" t="str">
        <f>"02067"</f>
        <v>02067</v>
      </c>
      <c r="C3884" s="2">
        <v>1.46348602370847E-4</v>
      </c>
      <c r="D3884" s="2">
        <v>4.5085662759242499E-3</v>
      </c>
      <c r="E3884" s="2">
        <v>3.5752592062924501E-4</v>
      </c>
      <c r="F3884" s="2">
        <v>3.2580364900086802E-4</v>
      </c>
    </row>
    <row r="3885" spans="1:6" x14ac:dyDescent="0.25">
      <c r="A3885" s="1" t="str">
        <f t="shared" si="146"/>
        <v>14454</v>
      </c>
      <c r="B3885" s="1" t="str">
        <f>"02191"</f>
        <v>02191</v>
      </c>
      <c r="C3885" s="2">
        <v>4.93926533001609E-4</v>
      </c>
      <c r="D3885" s="2">
        <v>1.35256988277727E-3</v>
      </c>
      <c r="E3885" s="2">
        <v>5.9587653438207598E-4</v>
      </c>
      <c r="F3885" s="2">
        <v>5.4300608166811396E-4</v>
      </c>
    </row>
    <row r="3886" spans="1:6" x14ac:dyDescent="0.25">
      <c r="A3886" s="1" t="str">
        <f t="shared" si="146"/>
        <v>14454</v>
      </c>
      <c r="B3886" s="1" t="str">
        <f>"02332"</f>
        <v>02332</v>
      </c>
      <c r="C3886" s="2">
        <v>3.29284355334406E-4</v>
      </c>
      <c r="D3886" s="2">
        <v>1.35256988277727E-3</v>
      </c>
      <c r="E3886" s="2">
        <v>2.3835061375282999E-4</v>
      </c>
      <c r="F3886" s="2">
        <v>3.3937880104257102E-4</v>
      </c>
    </row>
    <row r="3887" spans="1:6" x14ac:dyDescent="0.25">
      <c r="A3887" s="1" t="str">
        <f t="shared" si="146"/>
        <v>14454</v>
      </c>
      <c r="B3887" s="1" t="str">
        <f>"02739"</f>
        <v>02739</v>
      </c>
      <c r="C3887" s="2">
        <v>3.6587150592711797E-5</v>
      </c>
      <c r="D3887" s="2">
        <v>0</v>
      </c>
      <c r="E3887" s="2">
        <v>0</v>
      </c>
      <c r="F3887" s="2">
        <v>2.7150304083405699E-5</v>
      </c>
    </row>
    <row r="3888" spans="1:6" x14ac:dyDescent="0.25">
      <c r="A3888" s="1" t="str">
        <f t="shared" si="146"/>
        <v>14454</v>
      </c>
      <c r="B3888" s="1" t="str">
        <f>"02114"</f>
        <v>02114</v>
      </c>
      <c r="C3888" s="2">
        <v>4.2075223181618602E-4</v>
      </c>
      <c r="D3888" s="2">
        <v>6.3119927862939499E-3</v>
      </c>
      <c r="E3888" s="2">
        <v>7.1505184125849101E-4</v>
      </c>
      <c r="F3888" s="2">
        <v>6.6518245004343996E-4</v>
      </c>
    </row>
    <row r="3889" spans="1:6" x14ac:dyDescent="0.25">
      <c r="A3889" s="1" t="str">
        <f t="shared" si="146"/>
        <v>14454</v>
      </c>
      <c r="B3889" s="1" t="str">
        <f>"02324"</f>
        <v>02324</v>
      </c>
      <c r="C3889" s="2">
        <v>1.48177959900482E-3</v>
      </c>
      <c r="D3889" s="2">
        <v>1.26239855725879E-2</v>
      </c>
      <c r="E3889" s="2">
        <v>1.8472172565844301E-3</v>
      </c>
      <c r="F3889" s="2">
        <v>1.9005212858383999E-3</v>
      </c>
    </row>
    <row r="3890" spans="1:6" x14ac:dyDescent="0.25">
      <c r="A3890" s="1" t="str">
        <f t="shared" si="146"/>
        <v>14454</v>
      </c>
      <c r="B3890" s="1" t="str">
        <f>"02062"</f>
        <v>02062</v>
      </c>
      <c r="C3890" s="2">
        <v>1.31713742133762E-2</v>
      </c>
      <c r="D3890" s="2">
        <v>2.5247971145175799E-2</v>
      </c>
      <c r="E3890" s="2">
        <v>1.06661899654391E-2</v>
      </c>
      <c r="F3890" s="2">
        <v>1.2964270199826201E-2</v>
      </c>
    </row>
    <row r="3891" spans="1:6" x14ac:dyDescent="0.25">
      <c r="A3891" s="1" t="str">
        <f t="shared" si="146"/>
        <v>14454</v>
      </c>
      <c r="B3891" s="1" t="str">
        <f>"02119"</f>
        <v>02119</v>
      </c>
      <c r="C3891" s="2">
        <v>4.2386213961656601E-2</v>
      </c>
      <c r="D3891" s="2">
        <v>2.43462578899909E-2</v>
      </c>
      <c r="E3891" s="2">
        <v>4.3201048742700497E-2</v>
      </c>
      <c r="F3891" s="2">
        <v>4.2028670721112001E-2</v>
      </c>
    </row>
    <row r="3892" spans="1:6" x14ac:dyDescent="0.25">
      <c r="A3892" s="1" t="str">
        <f t="shared" si="146"/>
        <v>14454</v>
      </c>
      <c r="B3892" s="1" t="str">
        <f>"02482"</f>
        <v>02482</v>
      </c>
      <c r="C3892" s="2">
        <v>8.5979803892872802E-4</v>
      </c>
      <c r="D3892" s="2">
        <v>1.1722272317403E-2</v>
      </c>
      <c r="E3892" s="2">
        <v>4.1711357406745301E-4</v>
      </c>
      <c r="F3892" s="2">
        <v>1.0860121633362199E-3</v>
      </c>
    </row>
    <row r="3893" spans="1:6" x14ac:dyDescent="0.25">
      <c r="A3893" s="1" t="str">
        <f t="shared" si="146"/>
        <v>14454</v>
      </c>
      <c r="B3893" s="1" t="str">
        <f>"02762"</f>
        <v>02762</v>
      </c>
      <c r="C3893" s="2">
        <v>3.29284355334406E-4</v>
      </c>
      <c r="D3893" s="2">
        <v>8.1154192966636594E-3</v>
      </c>
      <c r="E3893" s="2">
        <v>5.3628888094386798E-4</v>
      </c>
      <c r="F3893" s="2">
        <v>6.1088184187662903E-4</v>
      </c>
    </row>
    <row r="3894" spans="1:6" x14ac:dyDescent="0.25">
      <c r="A3894" s="1" t="str">
        <f t="shared" si="146"/>
        <v>14454</v>
      </c>
      <c r="B3894" s="1" t="str">
        <f>"02330"</f>
        <v>02330</v>
      </c>
      <c r="C3894" s="2">
        <v>1.64642177667203E-4</v>
      </c>
      <c r="D3894" s="2">
        <v>0</v>
      </c>
      <c r="E3894" s="2">
        <v>5.95876534382076E-5</v>
      </c>
      <c r="F3894" s="2">
        <v>1.35751520417028E-4</v>
      </c>
    </row>
    <row r="3895" spans="1:6" x14ac:dyDescent="0.25">
      <c r="A3895" s="1" t="str">
        <f t="shared" si="146"/>
        <v>14454</v>
      </c>
      <c r="B3895" s="1" t="str">
        <f>"02188"</f>
        <v>02188</v>
      </c>
      <c r="C3895" s="2">
        <v>4.3355773452363501E-3</v>
      </c>
      <c r="D3895" s="2">
        <v>5.8611361587015296E-3</v>
      </c>
      <c r="E3895" s="2">
        <v>1.4896913359551899E-3</v>
      </c>
      <c r="F3895" s="2">
        <v>3.7331668114682802E-3</v>
      </c>
    </row>
    <row r="3896" spans="1:6" x14ac:dyDescent="0.25">
      <c r="A3896" s="1" t="str">
        <f t="shared" si="146"/>
        <v>14454</v>
      </c>
      <c r="B3896" s="1" t="str">
        <f>"02351"</f>
        <v>02351</v>
      </c>
      <c r="C3896" s="2">
        <v>4.1526415922727902E-3</v>
      </c>
      <c r="D3896" s="2">
        <v>1.8034265103697E-2</v>
      </c>
      <c r="E3896" s="2">
        <v>5.12453819568585E-3</v>
      </c>
      <c r="F3896" s="2">
        <v>4.79202867072111E-3</v>
      </c>
    </row>
    <row r="3897" spans="1:6" x14ac:dyDescent="0.25">
      <c r="A3897" s="1" t="str">
        <f t="shared" si="146"/>
        <v>14454</v>
      </c>
      <c r="B3897" s="1" t="str">
        <f>"02056"</f>
        <v>02056</v>
      </c>
      <c r="C3897" s="2">
        <v>5.4880725889067702E-4</v>
      </c>
      <c r="D3897" s="2">
        <v>4.0577096483318297E-3</v>
      </c>
      <c r="E3897" s="2">
        <v>2.9793826719103799E-4</v>
      </c>
      <c r="F3897" s="2">
        <v>5.9730668983492597E-4</v>
      </c>
    </row>
    <row r="3898" spans="1:6" x14ac:dyDescent="0.25">
      <c r="A3898" s="1" t="str">
        <f t="shared" si="146"/>
        <v>14454</v>
      </c>
      <c r="B3898" s="1" t="str">
        <f>"02050"</f>
        <v>02050</v>
      </c>
      <c r="C3898" s="2">
        <v>5.1222010829796497E-4</v>
      </c>
      <c r="D3898" s="2">
        <v>5.4102795311090999E-3</v>
      </c>
      <c r="E3898" s="2">
        <v>2.3835061375282999E-4</v>
      </c>
      <c r="F3898" s="2">
        <v>5.9730668983492597E-4</v>
      </c>
    </row>
    <row r="3899" spans="1:6" x14ac:dyDescent="0.25">
      <c r="A3899" s="1" t="str">
        <f t="shared" ref="A3899:A3962" si="147">"14460"</f>
        <v>14460</v>
      </c>
      <c r="B3899" s="1" t="str">
        <f>"03857"</f>
        <v>03857</v>
      </c>
      <c r="C3899" s="2">
        <v>2.3754154917221501E-3</v>
      </c>
      <c r="D3899" s="2">
        <v>8.4240175219564399E-4</v>
      </c>
      <c r="E3899" s="2">
        <v>1.7377467914494399E-3</v>
      </c>
      <c r="F3899" s="2">
        <v>2.19238158678385E-3</v>
      </c>
    </row>
    <row r="3900" spans="1:6" x14ac:dyDescent="0.25">
      <c r="A3900" s="1" t="str">
        <f t="shared" si="147"/>
        <v>14460</v>
      </c>
      <c r="B3900" s="1" t="str">
        <f>"03844"</f>
        <v>03844</v>
      </c>
      <c r="C3900" s="2">
        <v>6.5431767268412701E-4</v>
      </c>
      <c r="D3900" s="2">
        <v>8.5968178813811895E-4</v>
      </c>
      <c r="E3900" s="2">
        <v>1.39578055538108E-4</v>
      </c>
      <c r="F3900" s="2">
        <v>6.4356346298669205E-4</v>
      </c>
    </row>
    <row r="3901" spans="1:6" x14ac:dyDescent="0.25">
      <c r="A3901" s="1" t="str">
        <f t="shared" si="147"/>
        <v>14460</v>
      </c>
      <c r="B3901" s="1" t="str">
        <f>"01731"</f>
        <v>01731</v>
      </c>
      <c r="C3901" s="2">
        <v>3.5914770033995398E-4</v>
      </c>
      <c r="D3901" s="2">
        <v>2.24640467252171E-4</v>
      </c>
      <c r="E3901" s="2">
        <v>4.1873416661432397E-5</v>
      </c>
      <c r="F3901" s="2">
        <v>3.2772925871661299E-4</v>
      </c>
    </row>
    <row r="3902" spans="1:6" x14ac:dyDescent="0.25">
      <c r="A3902" s="1" t="str">
        <f t="shared" si="147"/>
        <v>14460</v>
      </c>
      <c r="B3902" s="1" t="str">
        <f>"01702"</f>
        <v>01702</v>
      </c>
      <c r="C3902" s="2">
        <v>7.4558287102962396E-3</v>
      </c>
      <c r="D3902" s="2">
        <v>7.1064147813427398E-3</v>
      </c>
      <c r="E3902" s="2">
        <v>9.5052655821451695E-3</v>
      </c>
      <c r="F3902" s="2">
        <v>7.5431052162684897E-3</v>
      </c>
    </row>
    <row r="3903" spans="1:6" x14ac:dyDescent="0.25">
      <c r="A3903" s="1" t="str">
        <f t="shared" si="147"/>
        <v>14460</v>
      </c>
      <c r="B3903" s="1" t="str">
        <f>"01752"</f>
        <v>01752</v>
      </c>
      <c r="C3903" s="2">
        <v>9.1158568798837495E-3</v>
      </c>
      <c r="D3903" s="2">
        <v>1.0661782176506899E-2</v>
      </c>
      <c r="E3903" s="2">
        <v>1.07893836930957E-2</v>
      </c>
      <c r="F3903" s="2">
        <v>9.3609976751321093E-3</v>
      </c>
    </row>
    <row r="3904" spans="1:6" x14ac:dyDescent="0.25">
      <c r="A3904" s="1" t="str">
        <f t="shared" si="147"/>
        <v>14460</v>
      </c>
      <c r="B3904" s="1" t="str">
        <f>"01773"</f>
        <v>01773</v>
      </c>
      <c r="C3904" s="2">
        <v>1.3973317409987601E-3</v>
      </c>
      <c r="D3904" s="2">
        <v>7.9056164436821998E-4</v>
      </c>
      <c r="E3904" s="2">
        <v>3.6988184717598601E-4</v>
      </c>
      <c r="F3904" s="2">
        <v>1.27933361443944E-3</v>
      </c>
    </row>
    <row r="3905" spans="1:6" x14ac:dyDescent="0.25">
      <c r="A3905" s="1" t="str">
        <f t="shared" si="147"/>
        <v>14460</v>
      </c>
      <c r="B3905" s="1" t="str">
        <f>"01824"</f>
        <v>01824</v>
      </c>
      <c r="C3905" s="2">
        <v>5.0910761732400498E-3</v>
      </c>
      <c r="D3905" s="2">
        <v>5.8752122204414102E-3</v>
      </c>
      <c r="E3905" s="2">
        <v>2.5612573191242799E-3</v>
      </c>
      <c r="F3905" s="2">
        <v>5.0168417563991197E-3</v>
      </c>
    </row>
    <row r="3906" spans="1:6" x14ac:dyDescent="0.25">
      <c r="A3906" s="1" t="str">
        <f t="shared" si="147"/>
        <v>14460</v>
      </c>
      <c r="B3906" s="1" t="str">
        <f>"01851"</f>
        <v>01851</v>
      </c>
      <c r="C3906" s="2">
        <v>5.28155531795476E-3</v>
      </c>
      <c r="D3906" s="2">
        <v>4.0867285003952803E-3</v>
      </c>
      <c r="E3906" s="2">
        <v>6.2670546936610602E-3</v>
      </c>
      <c r="F3906" s="2">
        <v>5.2260306449416396E-3</v>
      </c>
    </row>
    <row r="3907" spans="1:6" x14ac:dyDescent="0.25">
      <c r="A3907" s="1" t="str">
        <f t="shared" si="147"/>
        <v>14460</v>
      </c>
      <c r="B3907" s="1" t="str">
        <f>"01879"</f>
        <v>01879</v>
      </c>
      <c r="C3907" s="2">
        <v>2.2629697879719898E-3</v>
      </c>
      <c r="D3907" s="2">
        <v>2.0217642052695402E-3</v>
      </c>
      <c r="E3907" s="2">
        <v>1.2143290831815401E-3</v>
      </c>
      <c r="F3907" s="2">
        <v>2.1784356608810199E-3</v>
      </c>
    </row>
    <row r="3908" spans="1:6" x14ac:dyDescent="0.25">
      <c r="A3908" s="1" t="str">
        <f t="shared" si="147"/>
        <v>14460</v>
      </c>
      <c r="B3908" s="1" t="str">
        <f>"01888"</f>
        <v>01888</v>
      </c>
      <c r="C3908" s="2">
        <v>2.2876884556067201E-4</v>
      </c>
      <c r="D3908" s="2">
        <v>1.11888232727524E-3</v>
      </c>
      <c r="E3908" s="2">
        <v>1.3957805553810801E-5</v>
      </c>
      <c r="F3908" s="2">
        <v>3.0065775549346398E-4</v>
      </c>
    </row>
    <row r="3909" spans="1:6" x14ac:dyDescent="0.25">
      <c r="A3909" s="1" t="str">
        <f t="shared" si="147"/>
        <v>14460</v>
      </c>
      <c r="B3909" s="1" t="str">
        <f>"01907"</f>
        <v>01907</v>
      </c>
      <c r="C3909" s="2">
        <v>3.1223069980971401E-3</v>
      </c>
      <c r="D3909" s="2">
        <v>1.7668836751180399E-3</v>
      </c>
      <c r="E3909" s="2">
        <v>1.4725484859270401E-3</v>
      </c>
      <c r="F3909" s="2">
        <v>2.8966508448770001E-3</v>
      </c>
    </row>
    <row r="3910" spans="1:6" x14ac:dyDescent="0.25">
      <c r="A3910" s="1" t="str">
        <f t="shared" si="147"/>
        <v>14460</v>
      </c>
      <c r="B3910" s="1" t="str">
        <f>"01903"</f>
        <v>01903</v>
      </c>
      <c r="C3910" s="2">
        <v>5.8161570905255696E-4</v>
      </c>
      <c r="D3910" s="2">
        <v>6.2208129392909105E-4</v>
      </c>
      <c r="E3910" s="2">
        <v>1.3957805553810801E-5</v>
      </c>
      <c r="F3910" s="2">
        <v>5.5209459603574695E-4</v>
      </c>
    </row>
    <row r="3911" spans="1:6" x14ac:dyDescent="0.25">
      <c r="A3911" s="1" t="str">
        <f t="shared" si="147"/>
        <v>14460</v>
      </c>
      <c r="B3911" s="1" t="str">
        <f>"01929"</f>
        <v>01929</v>
      </c>
      <c r="C3911" s="2">
        <v>7.2071879946762705E-4</v>
      </c>
      <c r="D3911" s="2">
        <v>6.3072131190032804E-4</v>
      </c>
      <c r="E3911" s="2">
        <v>4.1175526383741901E-4</v>
      </c>
      <c r="F3911" s="2">
        <v>6.9401490081165201E-4</v>
      </c>
    </row>
    <row r="3912" spans="1:6" x14ac:dyDescent="0.25">
      <c r="A3912" s="1" t="str">
        <f t="shared" si="147"/>
        <v>14460</v>
      </c>
      <c r="B3912" s="1" t="str">
        <f>"01945"</f>
        <v>01945</v>
      </c>
      <c r="C3912" s="2">
        <v>4.6325691226036204E-3</v>
      </c>
      <c r="D3912" s="2">
        <v>4.1860887070645104E-3</v>
      </c>
      <c r="E3912" s="2">
        <v>3.4685146801219902E-3</v>
      </c>
      <c r="F3912" s="2">
        <v>4.5217613868484899E-3</v>
      </c>
    </row>
    <row r="3913" spans="1:6" x14ac:dyDescent="0.25">
      <c r="A3913" s="1" t="str">
        <f t="shared" si="147"/>
        <v>14460</v>
      </c>
      <c r="B3913" s="1" t="str">
        <f>"01949"</f>
        <v>01949</v>
      </c>
      <c r="C3913" s="2">
        <v>1.9101229244801001E-3</v>
      </c>
      <c r="D3913" s="2">
        <v>2.81232584963776E-3</v>
      </c>
      <c r="E3913" s="2">
        <v>1.0607932220896199E-3</v>
      </c>
      <c r="F3913" s="2">
        <v>1.94586683773669E-3</v>
      </c>
    </row>
    <row r="3914" spans="1:6" x14ac:dyDescent="0.25">
      <c r="A3914" s="1" t="str">
        <f t="shared" si="147"/>
        <v>14460</v>
      </c>
      <c r="B3914" s="1" t="str">
        <f>"01951"</f>
        <v>01951</v>
      </c>
      <c r="C3914" s="2">
        <v>9.0925922515216497E-4</v>
      </c>
      <c r="D3914" s="2">
        <v>3.54240736820732E-4</v>
      </c>
      <c r="E3914" s="2">
        <v>1.6051476386882399E-4</v>
      </c>
      <c r="F3914" s="2">
        <v>8.1255527098574704E-4</v>
      </c>
    </row>
    <row r="3915" spans="1:6" x14ac:dyDescent="0.25">
      <c r="A3915" s="1" t="str">
        <f t="shared" si="147"/>
        <v>14460</v>
      </c>
      <c r="B3915" s="1" t="str">
        <f>"02038"</f>
        <v>02038</v>
      </c>
      <c r="C3915" s="2">
        <v>6.2988981290391897E-3</v>
      </c>
      <c r="D3915" s="2">
        <v>5.1624107378143297E-3</v>
      </c>
      <c r="E3915" s="2">
        <v>2.8683290413081199E-3</v>
      </c>
      <c r="F3915" s="2">
        <v>5.9893650009762104E-3</v>
      </c>
    </row>
    <row r="3916" spans="1:6" x14ac:dyDescent="0.25">
      <c r="A3916" s="1" t="str">
        <f t="shared" si="147"/>
        <v>14460</v>
      </c>
      <c r="B3916" s="1" t="str">
        <f>"02061"</f>
        <v>02061</v>
      </c>
      <c r="C3916" s="2">
        <v>2.2896271746368998E-3</v>
      </c>
      <c r="D3916" s="2">
        <v>4.2940889317049698E-3</v>
      </c>
      <c r="E3916" s="2">
        <v>9.9100419432056807E-4</v>
      </c>
      <c r="F3916" s="2">
        <v>2.4036213467826702E-3</v>
      </c>
    </row>
    <row r="3917" spans="1:6" x14ac:dyDescent="0.25">
      <c r="A3917" s="1" t="str">
        <f t="shared" si="147"/>
        <v>14460</v>
      </c>
      <c r="B3917" s="1" t="str">
        <f>"02050"</f>
        <v>02050</v>
      </c>
      <c r="C3917" s="2">
        <v>5.6930484321094498E-3</v>
      </c>
      <c r="D3917" s="2">
        <v>3.9441682038698599E-3</v>
      </c>
      <c r="E3917" s="2">
        <v>1.95409277753351E-3</v>
      </c>
      <c r="F3917" s="2">
        <v>5.3072451546110899E-3</v>
      </c>
    </row>
    <row r="3918" spans="1:6" x14ac:dyDescent="0.25">
      <c r="A3918" s="1" t="str">
        <f t="shared" si="147"/>
        <v>14460</v>
      </c>
      <c r="B3918" s="1" t="str">
        <f>"02054"</f>
        <v>02054</v>
      </c>
      <c r="C3918" s="2">
        <v>1.8577775106653699E-3</v>
      </c>
      <c r="D3918" s="2">
        <v>1.1145623182896201E-3</v>
      </c>
      <c r="E3918" s="2">
        <v>2.5403206107935698E-3</v>
      </c>
      <c r="F3918" s="2">
        <v>1.82732646756259E-3</v>
      </c>
    </row>
    <row r="3919" spans="1:6" x14ac:dyDescent="0.25">
      <c r="A3919" s="1" t="str">
        <f t="shared" si="147"/>
        <v>14460</v>
      </c>
      <c r="B3919" s="1" t="str">
        <f>"02124"</f>
        <v>02124</v>
      </c>
      <c r="C3919" s="2">
        <v>7.3254498555169597E-3</v>
      </c>
      <c r="D3919" s="2">
        <v>4.3632090754748701E-3</v>
      </c>
      <c r="E3919" s="2">
        <v>2.0678488927970699E-2</v>
      </c>
      <c r="F3919" s="2">
        <v>7.8289966972766006E-3</v>
      </c>
    </row>
    <row r="3920" spans="1:6" x14ac:dyDescent="0.25">
      <c r="A3920" s="1" t="str">
        <f t="shared" si="147"/>
        <v>14460</v>
      </c>
      <c r="B3920" s="1" t="str">
        <f>"02120"</f>
        <v>02120</v>
      </c>
      <c r="C3920" s="2">
        <v>2.78060776902876E-3</v>
      </c>
      <c r="D3920" s="2">
        <v>1.28304266872875E-3</v>
      </c>
      <c r="E3920" s="2">
        <v>5.4784386798707504E-3</v>
      </c>
      <c r="F3920" s="2">
        <v>2.7969784921008599E-3</v>
      </c>
    </row>
    <row r="3921" spans="1:6" x14ac:dyDescent="0.25">
      <c r="A3921" s="1" t="str">
        <f t="shared" si="147"/>
        <v>14460</v>
      </c>
      <c r="B3921" s="1" t="str">
        <f>"02169"</f>
        <v>02169</v>
      </c>
      <c r="C3921" s="2">
        <v>1.38511781110866E-2</v>
      </c>
      <c r="D3921" s="2">
        <v>9.2620992651664697E-3</v>
      </c>
      <c r="E3921" s="2">
        <v>1.6533020678488899E-2</v>
      </c>
      <c r="F3921" s="2">
        <v>1.3573077472079399E-2</v>
      </c>
    </row>
    <row r="3922" spans="1:6" x14ac:dyDescent="0.25">
      <c r="A3922" s="1" t="str">
        <f t="shared" si="147"/>
        <v>14460</v>
      </c>
      <c r="B3922" s="1" t="str">
        <f>"02367"</f>
        <v>02367</v>
      </c>
      <c r="C3922" s="2">
        <v>5.2442349766238904E-4</v>
      </c>
      <c r="D3922" s="2">
        <v>1.6848035043912801E-4</v>
      </c>
      <c r="E3922" s="2">
        <v>4.8852319438337902E-5</v>
      </c>
      <c r="F3922" s="2">
        <v>4.6267660054110098E-4</v>
      </c>
    </row>
    <row r="3923" spans="1:6" x14ac:dyDescent="0.25">
      <c r="A3923" s="1" t="str">
        <f t="shared" si="147"/>
        <v>14460</v>
      </c>
      <c r="B3923" s="1" t="str">
        <f>"02368"</f>
        <v>02368</v>
      </c>
      <c r="C3923" s="2">
        <v>6.6759789804082701E-3</v>
      </c>
      <c r="D3923" s="2">
        <v>4.8988901896915901E-3</v>
      </c>
      <c r="E3923" s="2">
        <v>2.57521512467809E-3</v>
      </c>
      <c r="F3923" s="2">
        <v>6.2662326475766E-3</v>
      </c>
    </row>
    <row r="3924" spans="1:6" x14ac:dyDescent="0.25">
      <c r="A3924" s="1" t="str">
        <f t="shared" si="147"/>
        <v>14460</v>
      </c>
      <c r="B3924" s="1" t="str">
        <f>"02458"</f>
        <v>02458</v>
      </c>
      <c r="C3924" s="2">
        <v>2.5721954732849301E-3</v>
      </c>
      <c r="D3924" s="2">
        <v>2.81232584963776E-3</v>
      </c>
      <c r="E3924" s="2">
        <v>3.0218649024000401E-3</v>
      </c>
      <c r="F3924" s="2">
        <v>2.62142389544165E-3</v>
      </c>
    </row>
    <row r="3925" spans="1:6" x14ac:dyDescent="0.25">
      <c r="A3925" s="1" t="str">
        <f t="shared" si="147"/>
        <v>14460</v>
      </c>
      <c r="B3925" s="1" t="str">
        <f>"02452"</f>
        <v>02452</v>
      </c>
      <c r="C3925" s="2">
        <v>2.6347191620080799E-3</v>
      </c>
      <c r="D3925" s="2">
        <v>2.0217642052695402E-3</v>
      </c>
      <c r="E3925" s="2">
        <v>3.3010210134762599E-3</v>
      </c>
      <c r="F3925" s="2">
        <v>2.6156814553640099E-3</v>
      </c>
    </row>
    <row r="3926" spans="1:6" x14ac:dyDescent="0.25">
      <c r="A3926" s="1" t="str">
        <f t="shared" si="147"/>
        <v>14460</v>
      </c>
      <c r="B3926" s="1" t="str">
        <f>"02465"</f>
        <v>02465</v>
      </c>
      <c r="C3926" s="2">
        <v>2.180089549432E-3</v>
      </c>
      <c r="D3926" s="2">
        <v>1.1620824171314199E-3</v>
      </c>
      <c r="E3926" s="2">
        <v>5.4435441659862196E-4</v>
      </c>
      <c r="F3926" s="2">
        <v>1.9872944411539299E-3</v>
      </c>
    </row>
    <row r="3927" spans="1:6" x14ac:dyDescent="0.25">
      <c r="A3927" s="1" t="str">
        <f t="shared" si="147"/>
        <v>14460</v>
      </c>
      <c r="B3927" s="1" t="str">
        <f>"02474"</f>
        <v>02474</v>
      </c>
      <c r="C3927" s="2">
        <v>5.91066964324661E-3</v>
      </c>
      <c r="D3927" s="2">
        <v>2.1081643849819201E-3</v>
      </c>
      <c r="E3927" s="2">
        <v>3.5592404162217602E-3</v>
      </c>
      <c r="F3927" s="2">
        <v>5.4114294245910903E-3</v>
      </c>
    </row>
    <row r="3928" spans="1:6" x14ac:dyDescent="0.25">
      <c r="A3928" s="1" t="str">
        <f t="shared" si="147"/>
        <v>14460</v>
      </c>
      <c r="B3928" s="1" t="str">
        <f>"02467"</f>
        <v>02467</v>
      </c>
      <c r="C3928" s="2">
        <v>3.5168363207377898E-3</v>
      </c>
      <c r="D3928" s="2">
        <v>2.82960588558024E-3</v>
      </c>
      <c r="E3928" s="2">
        <v>2.9660336801847998E-3</v>
      </c>
      <c r="F3928" s="2">
        <v>3.4192128919420398E-3</v>
      </c>
    </row>
    <row r="3929" spans="1:6" x14ac:dyDescent="0.25">
      <c r="A3929" s="1" t="str">
        <f t="shared" si="147"/>
        <v>14460</v>
      </c>
      <c r="B3929" s="1" t="str">
        <f>"02462"</f>
        <v>02462</v>
      </c>
      <c r="C3929" s="2">
        <v>3.1746524119118699E-4</v>
      </c>
      <c r="D3929" s="2">
        <v>6.5664136581403999E-4</v>
      </c>
      <c r="E3929" s="2">
        <v>3.2800843051455399E-4</v>
      </c>
      <c r="F3929" s="2">
        <v>3.5028884473590501E-4</v>
      </c>
    </row>
    <row r="3930" spans="1:6" x14ac:dyDescent="0.25">
      <c r="A3930" s="1" t="str">
        <f t="shared" si="147"/>
        <v>14460</v>
      </c>
      <c r="B3930" s="1" t="str">
        <f>"03053"</f>
        <v>03053</v>
      </c>
      <c r="C3930" s="2">
        <v>5.1608700583263599E-3</v>
      </c>
      <c r="D3930" s="2">
        <v>5.7456119508728504E-3</v>
      </c>
      <c r="E3930" s="2">
        <v>1.9820083886411301E-3</v>
      </c>
      <c r="F3930" s="2">
        <v>5.0295571594281803E-3</v>
      </c>
    </row>
    <row r="3931" spans="1:6" x14ac:dyDescent="0.25">
      <c r="A3931" s="1" t="str">
        <f t="shared" si="147"/>
        <v>14460</v>
      </c>
      <c r="B3931" s="1" t="str">
        <f>"02478"</f>
        <v>02478</v>
      </c>
      <c r="C3931" s="2">
        <v>5.0934995720277702E-3</v>
      </c>
      <c r="D3931" s="2">
        <v>4.3200089856186901E-3</v>
      </c>
      <c r="E3931" s="2">
        <v>1.9889872914180401E-3</v>
      </c>
      <c r="F3931" s="2">
        <v>4.83759559111857E-3</v>
      </c>
    </row>
    <row r="3932" spans="1:6" x14ac:dyDescent="0.25">
      <c r="A3932" s="1" t="str">
        <f t="shared" si="147"/>
        <v>14460</v>
      </c>
      <c r="B3932" s="1" t="str">
        <f>"02494"</f>
        <v>02494</v>
      </c>
      <c r="C3932" s="2">
        <v>2.4389085399603898E-3</v>
      </c>
      <c r="D3932" s="2">
        <v>4.4366492282303903E-3</v>
      </c>
      <c r="E3932" s="2">
        <v>1.7726413053339701E-3</v>
      </c>
      <c r="F3932" s="2">
        <v>2.58943030072338E-3</v>
      </c>
    </row>
    <row r="3933" spans="1:6" x14ac:dyDescent="0.25">
      <c r="A3933" s="1" t="str">
        <f t="shared" si="147"/>
        <v>14460</v>
      </c>
      <c r="B3933" s="1" t="str">
        <f>"03874"</f>
        <v>03874</v>
      </c>
      <c r="C3933" s="2">
        <v>3.4218390882592101E-3</v>
      </c>
      <c r="D3933" s="2">
        <v>2.7518457238390999E-3</v>
      </c>
      <c r="E3933" s="2">
        <v>7.46742597128879E-4</v>
      </c>
      <c r="F3933" s="2">
        <v>3.2010001689918E-3</v>
      </c>
    </row>
    <row r="3934" spans="1:6" x14ac:dyDescent="0.25">
      <c r="A3934" s="1" t="str">
        <f t="shared" si="147"/>
        <v>14460</v>
      </c>
      <c r="B3934" s="1" t="str">
        <f>"03819"</f>
        <v>03819</v>
      </c>
      <c r="C3934" s="2">
        <v>7.6870209546446295E-4</v>
      </c>
      <c r="D3934" s="2">
        <v>6.0480125798661598E-5</v>
      </c>
      <c r="E3934" s="2">
        <v>2.0936708330716199E-5</v>
      </c>
      <c r="F3934" s="2">
        <v>6.5750938888952597E-4</v>
      </c>
    </row>
    <row r="3935" spans="1:6" x14ac:dyDescent="0.25">
      <c r="A3935" s="1" t="str">
        <f t="shared" si="147"/>
        <v>14460</v>
      </c>
      <c r="B3935" s="1" t="str">
        <f>"03861"</f>
        <v>03861</v>
      </c>
      <c r="C3935" s="2">
        <v>9.27677055938829E-4</v>
      </c>
      <c r="D3935" s="2">
        <v>3.7152077276320701E-4</v>
      </c>
      <c r="E3935" s="2">
        <v>4.5362868049885098E-4</v>
      </c>
      <c r="F3935" s="2">
        <v>8.4700991145157396E-4</v>
      </c>
    </row>
    <row r="3936" spans="1:6" x14ac:dyDescent="0.25">
      <c r="A3936" s="1" t="str">
        <f t="shared" si="147"/>
        <v>14460</v>
      </c>
      <c r="B3936" s="1" t="str">
        <f>"03833"</f>
        <v>03833</v>
      </c>
      <c r="C3936" s="2">
        <v>5.2389034992909103E-3</v>
      </c>
      <c r="D3936" s="2">
        <v>5.1710507557855704E-3</v>
      </c>
      <c r="E3936" s="2">
        <v>3.51038809678342E-3</v>
      </c>
      <c r="F3936" s="2">
        <v>5.1308702093693596E-3</v>
      </c>
    </row>
    <row r="3937" spans="1:6" x14ac:dyDescent="0.25">
      <c r="A3937" s="1" t="str">
        <f t="shared" si="147"/>
        <v>14460</v>
      </c>
      <c r="B3937" s="1" t="str">
        <f>"01532"</f>
        <v>01532</v>
      </c>
      <c r="C3937" s="2">
        <v>8.2395558782445597E-6</v>
      </c>
      <c r="D3937" s="2">
        <v>4.3200089856186898E-6</v>
      </c>
      <c r="E3937" s="2">
        <v>0</v>
      </c>
      <c r="F3937" s="2">
        <v>7.3831372426771502E-6</v>
      </c>
    </row>
    <row r="3938" spans="1:6" x14ac:dyDescent="0.25">
      <c r="A3938" s="1" t="str">
        <f t="shared" si="147"/>
        <v>14460</v>
      </c>
      <c r="B3938" s="1" t="str">
        <f>"02381"</f>
        <v>02381</v>
      </c>
      <c r="C3938" s="2">
        <v>0</v>
      </c>
      <c r="D3938" s="2">
        <v>0</v>
      </c>
      <c r="E3938" s="2">
        <v>6.9789027769054097E-6</v>
      </c>
      <c r="F3938" s="2">
        <v>4.10174291259842E-7</v>
      </c>
    </row>
    <row r="3939" spans="1:6" x14ac:dyDescent="0.25">
      <c r="A3939" s="1" t="str">
        <f t="shared" si="147"/>
        <v>14460</v>
      </c>
      <c r="B3939" s="1" t="str">
        <f>"01812"</f>
        <v>01812</v>
      </c>
      <c r="C3939" s="2">
        <v>0</v>
      </c>
      <c r="D3939" s="2">
        <v>4.3200089856186898E-6</v>
      </c>
      <c r="E3939" s="2">
        <v>0</v>
      </c>
      <c r="F3939" s="2">
        <v>4.10174291259842E-7</v>
      </c>
    </row>
    <row r="3940" spans="1:6" x14ac:dyDescent="0.25">
      <c r="A3940" s="1" t="str">
        <f t="shared" si="147"/>
        <v>14460</v>
      </c>
      <c r="B3940" s="1" t="str">
        <f>"01784"</f>
        <v>01784</v>
      </c>
      <c r="C3940" s="2">
        <v>0</v>
      </c>
      <c r="D3940" s="2">
        <v>0</v>
      </c>
      <c r="E3940" s="2">
        <v>6.9789027769054097E-6</v>
      </c>
      <c r="F3940" s="2">
        <v>4.10174291259842E-7</v>
      </c>
    </row>
    <row r="3941" spans="1:6" x14ac:dyDescent="0.25">
      <c r="A3941" s="1" t="str">
        <f t="shared" si="147"/>
        <v>14460</v>
      </c>
      <c r="B3941" s="1" t="str">
        <f>"01889"</f>
        <v>01889</v>
      </c>
      <c r="C3941" s="2">
        <v>0</v>
      </c>
      <c r="D3941" s="2">
        <v>4.3200089856186898E-6</v>
      </c>
      <c r="E3941" s="2">
        <v>6.9789027769054097E-6</v>
      </c>
      <c r="F3941" s="2">
        <v>8.2034858251968399E-7</v>
      </c>
    </row>
    <row r="3942" spans="1:6" x14ac:dyDescent="0.25">
      <c r="A3942" s="1" t="str">
        <f t="shared" si="147"/>
        <v>14460</v>
      </c>
      <c r="B3942" s="1" t="str">
        <f>"02349"</f>
        <v>02349</v>
      </c>
      <c r="C3942" s="2">
        <v>0</v>
      </c>
      <c r="D3942" s="2">
        <v>4.3200089856186898E-6</v>
      </c>
      <c r="E3942" s="2">
        <v>0</v>
      </c>
      <c r="F3942" s="2">
        <v>4.10174291259842E-7</v>
      </c>
    </row>
    <row r="3943" spans="1:6" x14ac:dyDescent="0.25">
      <c r="A3943" s="1" t="str">
        <f t="shared" si="147"/>
        <v>14460</v>
      </c>
      <c r="B3943" s="1" t="str">
        <f>"02070"</f>
        <v>02070</v>
      </c>
      <c r="C3943" s="2">
        <v>0</v>
      </c>
      <c r="D3943" s="2">
        <v>0</v>
      </c>
      <c r="E3943" s="2">
        <v>6.9789027769054097E-6</v>
      </c>
      <c r="F3943" s="2">
        <v>4.10174291259842E-7</v>
      </c>
    </row>
    <row r="3944" spans="1:6" x14ac:dyDescent="0.25">
      <c r="A3944" s="1" t="str">
        <f t="shared" si="147"/>
        <v>14460</v>
      </c>
      <c r="B3944" s="1" t="str">
        <f>"02059"</f>
        <v>02059</v>
      </c>
      <c r="C3944" s="2">
        <v>0</v>
      </c>
      <c r="D3944" s="2">
        <v>0</v>
      </c>
      <c r="E3944" s="2">
        <v>6.9789027769054097E-6</v>
      </c>
      <c r="F3944" s="2">
        <v>4.10174291259842E-7</v>
      </c>
    </row>
    <row r="3945" spans="1:6" x14ac:dyDescent="0.25">
      <c r="A3945" s="1" t="str">
        <f t="shared" si="147"/>
        <v>14460</v>
      </c>
      <c r="B3945" s="1" t="str">
        <f>"02358"</f>
        <v>02358</v>
      </c>
      <c r="C3945" s="2">
        <v>0</v>
      </c>
      <c r="D3945" s="2">
        <v>0</v>
      </c>
      <c r="E3945" s="2">
        <v>6.9789027769054097E-6</v>
      </c>
      <c r="F3945" s="2">
        <v>4.10174291259842E-7</v>
      </c>
    </row>
    <row r="3946" spans="1:6" x14ac:dyDescent="0.25">
      <c r="A3946" s="1" t="str">
        <f t="shared" si="147"/>
        <v>14460</v>
      </c>
      <c r="B3946" s="1" t="str">
        <f>"02044"</f>
        <v>02044</v>
      </c>
      <c r="C3946" s="2">
        <v>0</v>
      </c>
      <c r="D3946" s="2">
        <v>4.3200089856186898E-6</v>
      </c>
      <c r="E3946" s="2">
        <v>0</v>
      </c>
      <c r="F3946" s="2">
        <v>4.10174291259842E-7</v>
      </c>
    </row>
    <row r="3947" spans="1:6" x14ac:dyDescent="0.25">
      <c r="A3947" s="1" t="str">
        <f t="shared" si="147"/>
        <v>14460</v>
      </c>
      <c r="B3947" s="1" t="str">
        <f>"01472"</f>
        <v>01472</v>
      </c>
      <c r="C3947" s="2">
        <v>0</v>
      </c>
      <c r="D3947" s="2">
        <v>0</v>
      </c>
      <c r="E3947" s="2">
        <v>6.9789027769054097E-6</v>
      </c>
      <c r="F3947" s="2">
        <v>4.10174291259842E-7</v>
      </c>
    </row>
    <row r="3948" spans="1:6" x14ac:dyDescent="0.25">
      <c r="A3948" s="1" t="str">
        <f t="shared" si="147"/>
        <v>14460</v>
      </c>
      <c r="B3948" s="1" t="str">
        <f>"02767"</f>
        <v>02767</v>
      </c>
      <c r="C3948" s="2">
        <v>7.7548761207007604E-6</v>
      </c>
      <c r="D3948" s="2">
        <v>4.3200089856186898E-6</v>
      </c>
      <c r="E3948" s="2">
        <v>0</v>
      </c>
      <c r="F3948" s="2">
        <v>6.9729629514173102E-6</v>
      </c>
    </row>
    <row r="3949" spans="1:6" x14ac:dyDescent="0.25">
      <c r="A3949" s="1" t="str">
        <f t="shared" si="147"/>
        <v>14460</v>
      </c>
      <c r="B3949" s="1" t="str">
        <f>"01971"</f>
        <v>01971</v>
      </c>
      <c r="C3949" s="2">
        <v>3.1164908410066198E-4</v>
      </c>
      <c r="D3949" s="2">
        <v>2.6352054812274001E-4</v>
      </c>
      <c r="E3949" s="2">
        <v>6.9789027769054097E-6</v>
      </c>
      <c r="F3949" s="2">
        <v>2.8917287533818798E-4</v>
      </c>
    </row>
    <row r="3950" spans="1:6" x14ac:dyDescent="0.25">
      <c r="A3950" s="1" t="str">
        <f t="shared" si="147"/>
        <v>14460</v>
      </c>
      <c r="B3950" s="1" t="str">
        <f>"03843"</f>
        <v>03843</v>
      </c>
      <c r="C3950" s="2">
        <v>7.0860180552903204E-4</v>
      </c>
      <c r="D3950" s="2">
        <v>1.8619238728016501E-3</v>
      </c>
      <c r="E3950" s="2">
        <v>6.9789027769054097E-6</v>
      </c>
      <c r="F3950" s="2">
        <v>7.7687010764613997E-4</v>
      </c>
    </row>
    <row r="3951" spans="1:6" x14ac:dyDescent="0.25">
      <c r="A3951" s="1" t="str">
        <f t="shared" si="147"/>
        <v>14460</v>
      </c>
      <c r="B3951" s="1" t="str">
        <f>"03866"</f>
        <v>03866</v>
      </c>
      <c r="C3951" s="2">
        <v>5.70952754386594E-4</v>
      </c>
      <c r="D3951" s="2">
        <v>1.69344352236252E-3</v>
      </c>
      <c r="E3951" s="2">
        <v>6.9789027769054097E-6</v>
      </c>
      <c r="F3951" s="2">
        <v>6.4438381156921103E-4</v>
      </c>
    </row>
    <row r="3952" spans="1:6" x14ac:dyDescent="0.25">
      <c r="A3952" s="1" t="str">
        <f t="shared" si="147"/>
        <v>14460</v>
      </c>
      <c r="B3952" s="1" t="str">
        <f>"01704"</f>
        <v>01704</v>
      </c>
      <c r="C3952" s="2">
        <v>2.7772150107259599E-4</v>
      </c>
      <c r="D3952" s="2">
        <v>4.4496092551872502E-4</v>
      </c>
      <c r="E3952" s="2">
        <v>1.3957805553810801E-5</v>
      </c>
      <c r="F3952" s="2">
        <v>2.7809816947417201E-4</v>
      </c>
    </row>
    <row r="3953" spans="1:6" x14ac:dyDescent="0.25">
      <c r="A3953" s="1" t="str">
        <f t="shared" si="147"/>
        <v>14460</v>
      </c>
      <c r="B3953" s="1" t="str">
        <f>"01831"</f>
        <v>01831</v>
      </c>
      <c r="C3953" s="2">
        <v>7.0133160916587499E-4</v>
      </c>
      <c r="D3953" s="2">
        <v>9.5040197683611105E-4</v>
      </c>
      <c r="E3953" s="2">
        <v>1.3957805553810801E-5</v>
      </c>
      <c r="F3953" s="2">
        <v>6.84580892112676E-4</v>
      </c>
    </row>
    <row r="3954" spans="1:6" x14ac:dyDescent="0.25">
      <c r="A3954" s="1" t="str">
        <f t="shared" si="147"/>
        <v>14460</v>
      </c>
      <c r="B3954" s="1" t="str">
        <f>"02133"</f>
        <v>02133</v>
      </c>
      <c r="C3954" s="2">
        <v>0</v>
      </c>
      <c r="D3954" s="2">
        <v>6.0048124900099705E-4</v>
      </c>
      <c r="E3954" s="2">
        <v>2.0936708330716199E-5</v>
      </c>
      <c r="F3954" s="2">
        <v>5.8244749358897498E-5</v>
      </c>
    </row>
    <row r="3955" spans="1:6" x14ac:dyDescent="0.25">
      <c r="A3955" s="1" t="str">
        <f t="shared" si="147"/>
        <v>14460</v>
      </c>
      <c r="B3955" s="1" t="str">
        <f>"02325"</f>
        <v>02325</v>
      </c>
      <c r="C3955" s="2">
        <v>0</v>
      </c>
      <c r="D3955" s="2">
        <v>1.8576038638160299E-4</v>
      </c>
      <c r="E3955" s="2">
        <v>0</v>
      </c>
      <c r="F3955" s="2">
        <v>1.7637494524173199E-5</v>
      </c>
    </row>
    <row r="3956" spans="1:6" x14ac:dyDescent="0.25">
      <c r="A3956" s="1" t="str">
        <f t="shared" si="147"/>
        <v>14460</v>
      </c>
      <c r="B3956" s="1" t="str">
        <f>"02330"</f>
        <v>02330</v>
      </c>
      <c r="C3956" s="2">
        <v>2.2455213167004101E-3</v>
      </c>
      <c r="D3956" s="2">
        <v>1.03680215654848E-3</v>
      </c>
      <c r="E3956" s="2">
        <v>5.58312222152433E-4</v>
      </c>
      <c r="F3956" s="2">
        <v>2.0315932646099901E-3</v>
      </c>
    </row>
    <row r="3957" spans="1:6" x14ac:dyDescent="0.25">
      <c r="A3957" s="1" t="str">
        <f t="shared" si="147"/>
        <v>14460</v>
      </c>
      <c r="B3957" s="1" t="str">
        <f>"02322"</f>
        <v>02322</v>
      </c>
      <c r="C3957" s="2">
        <v>8.4237341861112102E-4</v>
      </c>
      <c r="D3957" s="2">
        <v>1.65024343250633E-3</v>
      </c>
      <c r="E3957" s="2">
        <v>1.2771392081736899E-3</v>
      </c>
      <c r="F3957" s="2">
        <v>9.4463139277141601E-4</v>
      </c>
    </row>
    <row r="3958" spans="1:6" x14ac:dyDescent="0.25">
      <c r="A3958" s="1" t="str">
        <f t="shared" si="147"/>
        <v>14460</v>
      </c>
      <c r="B3958" s="1" t="str">
        <f>"02347"</f>
        <v>02347</v>
      </c>
      <c r="C3958" s="2">
        <v>2.1897831445828698E-3</v>
      </c>
      <c r="D3958" s="2">
        <v>1.39536290235483E-3</v>
      </c>
      <c r="E3958" s="2">
        <v>5.8622783326005398E-4</v>
      </c>
      <c r="F3958" s="2">
        <v>2.0201083844547199E-3</v>
      </c>
    </row>
    <row r="3959" spans="1:6" x14ac:dyDescent="0.25">
      <c r="A3959" s="1" t="str">
        <f t="shared" si="147"/>
        <v>14460</v>
      </c>
      <c r="B3959" s="1" t="str">
        <f>"02351"</f>
        <v>02351</v>
      </c>
      <c r="C3959" s="2">
        <v>3.2652875265725598E-3</v>
      </c>
      <c r="D3959" s="2">
        <v>1.7712036841036601E-3</v>
      </c>
      <c r="E3959" s="2">
        <v>2.8194767218697801E-3</v>
      </c>
      <c r="F3959" s="2">
        <v>3.09722607330306E-3</v>
      </c>
    </row>
    <row r="3960" spans="1:6" x14ac:dyDescent="0.25">
      <c r="A3960" s="1" t="str">
        <f t="shared" si="147"/>
        <v>14460</v>
      </c>
      <c r="B3960" s="1" t="str">
        <f>"02366"</f>
        <v>02366</v>
      </c>
      <c r="C3960" s="2">
        <v>0</v>
      </c>
      <c r="D3960" s="2">
        <v>0</v>
      </c>
      <c r="E3960" s="2">
        <v>6.9789027769054097E-6</v>
      </c>
      <c r="F3960" s="2">
        <v>4.10174291259842E-7</v>
      </c>
    </row>
    <row r="3961" spans="1:6" x14ac:dyDescent="0.25">
      <c r="A3961" s="1" t="str">
        <f t="shared" si="147"/>
        <v>14460</v>
      </c>
      <c r="B3961" s="1" t="str">
        <f>"02558"</f>
        <v>02558</v>
      </c>
      <c r="C3961" s="2">
        <v>2.4718667634733701E-5</v>
      </c>
      <c r="D3961" s="2">
        <v>0</v>
      </c>
      <c r="E3961" s="2">
        <v>6.9789027769054097E-6</v>
      </c>
      <c r="F3961" s="2">
        <v>2.1329063145511699E-5</v>
      </c>
    </row>
    <row r="3962" spans="1:6" x14ac:dyDescent="0.25">
      <c r="A3962" s="1" t="str">
        <f t="shared" si="147"/>
        <v>14460</v>
      </c>
      <c r="B3962" s="1" t="str">
        <f>"03822"</f>
        <v>03822</v>
      </c>
      <c r="C3962" s="2">
        <v>0</v>
      </c>
      <c r="D3962" s="2">
        <v>0</v>
      </c>
      <c r="E3962" s="2">
        <v>6.9789027769054097E-6</v>
      </c>
      <c r="F3962" s="2">
        <v>4.10174291259842E-7</v>
      </c>
    </row>
    <row r="3963" spans="1:6" x14ac:dyDescent="0.25">
      <c r="A3963" s="1" t="str">
        <f t="shared" ref="A3963:A4026" si="148">"14460"</f>
        <v>14460</v>
      </c>
      <c r="B3963" s="1" t="str">
        <f>"01865"</f>
        <v>01865</v>
      </c>
      <c r="C3963" s="2">
        <v>3.13587803130837E-4</v>
      </c>
      <c r="D3963" s="2">
        <v>2.2896047623779001E-4</v>
      </c>
      <c r="E3963" s="2">
        <v>1.3957805553810801E-5</v>
      </c>
      <c r="F3963" s="2">
        <v>2.8794235246440902E-4</v>
      </c>
    </row>
    <row r="3964" spans="1:6" x14ac:dyDescent="0.25">
      <c r="A3964" s="1" t="str">
        <f t="shared" si="148"/>
        <v>14460</v>
      </c>
      <c r="B3964" s="1" t="str">
        <f>"02327"</f>
        <v>02327</v>
      </c>
      <c r="C3964" s="2">
        <v>2.83537658163121E-4</v>
      </c>
      <c r="D3964" s="2">
        <v>2.1600044928093401E-4</v>
      </c>
      <c r="E3964" s="2">
        <v>1.3957805553810801E-5</v>
      </c>
      <c r="F3964" s="2">
        <v>2.6128102353251901E-4</v>
      </c>
    </row>
    <row r="3965" spans="1:6" x14ac:dyDescent="0.25">
      <c r="A3965" s="1" t="str">
        <f t="shared" si="148"/>
        <v>14460</v>
      </c>
      <c r="B3965" s="1" t="str">
        <f>"01827"</f>
        <v>01827</v>
      </c>
      <c r="C3965" s="2">
        <v>5.70952754386594E-4</v>
      </c>
      <c r="D3965" s="2">
        <v>4.3200089856186903E-5</v>
      </c>
      <c r="E3965" s="2">
        <v>3.4894513884527001E-5</v>
      </c>
      <c r="F3965" s="2">
        <v>4.8933792947299104E-4</v>
      </c>
    </row>
    <row r="3966" spans="1:6" x14ac:dyDescent="0.25">
      <c r="A3966" s="1" t="str">
        <f t="shared" si="148"/>
        <v>14460</v>
      </c>
      <c r="B3966" s="1" t="str">
        <f>"01885"</f>
        <v>01885</v>
      </c>
      <c r="C3966" s="2">
        <v>0</v>
      </c>
      <c r="D3966" s="2">
        <v>0</v>
      </c>
      <c r="E3966" s="2">
        <v>6.9789027769054097E-6</v>
      </c>
      <c r="F3966" s="2">
        <v>4.10174291259842E-7</v>
      </c>
    </row>
    <row r="3967" spans="1:6" x14ac:dyDescent="0.25">
      <c r="A3967" s="1" t="str">
        <f t="shared" si="148"/>
        <v>14460</v>
      </c>
      <c r="B3967" s="1" t="str">
        <f>"02018"</f>
        <v>02018</v>
      </c>
      <c r="C3967" s="2">
        <v>1.5461284265647101E-4</v>
      </c>
      <c r="D3967" s="2">
        <v>5.1408106928862399E-4</v>
      </c>
      <c r="E3967" s="2">
        <v>1.3957805553810801E-5</v>
      </c>
      <c r="F3967" s="2">
        <v>1.8047668815433001E-4</v>
      </c>
    </row>
    <row r="3968" spans="1:6" x14ac:dyDescent="0.25">
      <c r="A3968" s="1" t="str">
        <f t="shared" si="148"/>
        <v>14460</v>
      </c>
      <c r="B3968" s="1" t="str">
        <f>"02203"</f>
        <v>02203</v>
      </c>
      <c r="C3968" s="2">
        <v>1.4540392726313899E-6</v>
      </c>
      <c r="D3968" s="2">
        <v>2.6352054812274001E-4</v>
      </c>
      <c r="E3968" s="2">
        <v>6.9789027769054097E-5</v>
      </c>
      <c r="F3968" s="2">
        <v>3.0352897553228301E-5</v>
      </c>
    </row>
    <row r="3969" spans="1:6" x14ac:dyDescent="0.25">
      <c r="A3969" s="1" t="str">
        <f t="shared" si="148"/>
        <v>14460</v>
      </c>
      <c r="B3969" s="1" t="str">
        <f>"02779"</f>
        <v>02779</v>
      </c>
      <c r="C3969" s="2">
        <v>1.4055712968770101E-5</v>
      </c>
      <c r="D3969" s="2">
        <v>8.6400179712373797E-6</v>
      </c>
      <c r="E3969" s="2">
        <v>0</v>
      </c>
      <c r="F3969" s="2">
        <v>1.27154030290551E-5</v>
      </c>
    </row>
    <row r="3970" spans="1:6" x14ac:dyDescent="0.25">
      <c r="A3970" s="1" t="str">
        <f t="shared" si="148"/>
        <v>14460</v>
      </c>
      <c r="B3970" s="1" t="str">
        <f>"02421"</f>
        <v>02421</v>
      </c>
      <c r="C3970" s="2">
        <v>3.32684185578063E-3</v>
      </c>
      <c r="D3970" s="2">
        <v>2.4883251757163599E-3</v>
      </c>
      <c r="E3970" s="2">
        <v>1.80055691644159E-3</v>
      </c>
      <c r="F3970" s="2">
        <v>3.1575216941182602E-3</v>
      </c>
    </row>
    <row r="3971" spans="1:6" x14ac:dyDescent="0.25">
      <c r="A3971" s="1" t="str">
        <f t="shared" si="148"/>
        <v>14460</v>
      </c>
      <c r="B3971" s="1" t="str">
        <f>"02453"</f>
        <v>02453</v>
      </c>
      <c r="C3971" s="2">
        <v>5.88352757682416E-3</v>
      </c>
      <c r="D3971" s="2">
        <v>5.1580907288287098E-3</v>
      </c>
      <c r="E3971" s="2">
        <v>9.2330883738458592E-3</v>
      </c>
      <c r="F3971" s="2">
        <v>6.0115144127042396E-3</v>
      </c>
    </row>
    <row r="3972" spans="1:6" x14ac:dyDescent="0.25">
      <c r="A3972" s="1" t="str">
        <f t="shared" si="148"/>
        <v>14460</v>
      </c>
      <c r="B3972" s="1" t="str">
        <f>"02461"</f>
        <v>02461</v>
      </c>
      <c r="C3972" s="2">
        <v>1.3561339616075399E-3</v>
      </c>
      <c r="D3972" s="2">
        <v>1.33488277655617E-3</v>
      </c>
      <c r="E3972" s="2">
        <v>6.5601686102910895E-4</v>
      </c>
      <c r="F3972" s="2">
        <v>1.3129679063227501E-3</v>
      </c>
    </row>
    <row r="3973" spans="1:6" x14ac:dyDescent="0.25">
      <c r="A3973" s="1" t="str">
        <f t="shared" si="148"/>
        <v>14460</v>
      </c>
      <c r="B3973" s="1" t="str">
        <f>"03037"</f>
        <v>03037</v>
      </c>
      <c r="C3973" s="2">
        <v>8.6176060891287199E-4</v>
      </c>
      <c r="D3973" s="2">
        <v>2.1600044928093401E-4</v>
      </c>
      <c r="E3973" s="2">
        <v>1.8843037497644601E-4</v>
      </c>
      <c r="F3973" s="2">
        <v>7.6087331028700704E-4</v>
      </c>
    </row>
    <row r="3974" spans="1:6" x14ac:dyDescent="0.25">
      <c r="A3974" s="1" t="str">
        <f t="shared" si="148"/>
        <v>14460</v>
      </c>
      <c r="B3974" s="1" t="str">
        <f>"03044"</f>
        <v>03044</v>
      </c>
      <c r="C3974" s="2">
        <v>8.7969375994199298E-4</v>
      </c>
      <c r="D3974" s="2">
        <v>1.5984033246789099E-4</v>
      </c>
      <c r="E3974" s="2">
        <v>5.3737551382171595E-4</v>
      </c>
      <c r="F3974" s="2">
        <v>7.9122620784023495E-4</v>
      </c>
    </row>
    <row r="3975" spans="1:6" x14ac:dyDescent="0.25">
      <c r="A3975" s="1" t="str">
        <f t="shared" si="148"/>
        <v>14460</v>
      </c>
      <c r="B3975" s="1" t="str">
        <f>"03870"</f>
        <v>03870</v>
      </c>
      <c r="C3975" s="2">
        <v>1.5335267528685699E-3</v>
      </c>
      <c r="D3975" s="2">
        <v>1.65024343250633E-3</v>
      </c>
      <c r="E3975" s="2">
        <v>3.6988184717598601E-4</v>
      </c>
      <c r="F3975" s="2">
        <v>1.4762172742441701E-3</v>
      </c>
    </row>
    <row r="3976" spans="1:6" x14ac:dyDescent="0.25">
      <c r="A3976" s="1" t="str">
        <f t="shared" si="148"/>
        <v>14460</v>
      </c>
      <c r="B3976" s="1" t="str">
        <f>"03884"</f>
        <v>03884</v>
      </c>
      <c r="C3976" s="2">
        <v>8.0311435825007301E-4</v>
      </c>
      <c r="D3976" s="2">
        <v>5.6160116813042899E-5</v>
      </c>
      <c r="E3976" s="2">
        <v>1.6051476386882399E-4</v>
      </c>
      <c r="F3976" s="2">
        <v>6.9442507510291199E-4</v>
      </c>
    </row>
    <row r="3977" spans="1:6" x14ac:dyDescent="0.25">
      <c r="A3977" s="1" t="str">
        <f t="shared" si="148"/>
        <v>14460</v>
      </c>
      <c r="B3977" s="1" t="str">
        <f>"03885"</f>
        <v>03885</v>
      </c>
      <c r="C3977" s="2">
        <v>1.7492092449755601E-3</v>
      </c>
      <c r="D3977" s="2">
        <v>3.14064653254478E-3</v>
      </c>
      <c r="E3977" s="2">
        <v>4.8852319438337901E-4</v>
      </c>
      <c r="F3977" s="2">
        <v>1.80722792729086E-3</v>
      </c>
    </row>
    <row r="3978" spans="1:6" x14ac:dyDescent="0.25">
      <c r="A3978" s="1" t="str">
        <f t="shared" si="148"/>
        <v>14460</v>
      </c>
      <c r="B3978" s="1" t="str">
        <f>"03842"</f>
        <v>03842</v>
      </c>
      <c r="C3978" s="2">
        <v>4.2947473315955902E-3</v>
      </c>
      <c r="D3978" s="2">
        <v>3.3998470716819001E-3</v>
      </c>
      <c r="E3978" s="2">
        <v>4.3059830133506402E-3</v>
      </c>
      <c r="F3978" s="2">
        <v>4.21043909978227E-3</v>
      </c>
    </row>
    <row r="3979" spans="1:6" x14ac:dyDescent="0.25">
      <c r="A3979" s="1" t="str">
        <f t="shared" si="148"/>
        <v>14460</v>
      </c>
      <c r="B3979" s="1" t="str">
        <f>"03851"</f>
        <v>03851</v>
      </c>
      <c r="C3979" s="2">
        <v>1.32850721542755E-3</v>
      </c>
      <c r="D3979" s="2">
        <v>4.7952099740367402E-4</v>
      </c>
      <c r="E3979" s="2">
        <v>2.8613501385312202E-4</v>
      </c>
      <c r="F3979" s="2">
        <v>1.18663422461472E-3</v>
      </c>
    </row>
    <row r="3980" spans="1:6" x14ac:dyDescent="0.25">
      <c r="A3980" s="1" t="str">
        <f t="shared" si="148"/>
        <v>14460</v>
      </c>
      <c r="B3980" s="1" t="str">
        <f>"03839"</f>
        <v>03839</v>
      </c>
      <c r="C3980" s="2">
        <v>8.7193888382129203E-4</v>
      </c>
      <c r="D3980" s="2">
        <v>6.0480125798661598E-4</v>
      </c>
      <c r="E3980" s="2">
        <v>6.6997466658291901E-4</v>
      </c>
      <c r="F3980" s="2">
        <v>8.34704682713778E-4</v>
      </c>
    </row>
    <row r="3981" spans="1:6" x14ac:dyDescent="0.25">
      <c r="A3981" s="1" t="str">
        <f t="shared" si="148"/>
        <v>14460</v>
      </c>
      <c r="B3981" s="1" t="str">
        <f>"02762"</f>
        <v>02762</v>
      </c>
      <c r="C3981" s="2">
        <v>2.35554362166285E-3</v>
      </c>
      <c r="D3981" s="2">
        <v>2.6308854722417799E-3</v>
      </c>
      <c r="E3981" s="2">
        <v>1.45859068037323E-3</v>
      </c>
      <c r="F3981" s="2">
        <v>2.3289696257733799E-3</v>
      </c>
    </row>
    <row r="3982" spans="1:6" x14ac:dyDescent="0.25">
      <c r="A3982" s="1" t="str">
        <f t="shared" si="148"/>
        <v>14460</v>
      </c>
      <c r="B3982" s="1" t="str">
        <f>"03076"</f>
        <v>03076</v>
      </c>
      <c r="C3982" s="2">
        <v>4.8467975754379805E-7</v>
      </c>
      <c r="D3982" s="2">
        <v>0</v>
      </c>
      <c r="E3982" s="2">
        <v>0</v>
      </c>
      <c r="F3982" s="2">
        <v>4.10174291259842E-7</v>
      </c>
    </row>
    <row r="3983" spans="1:6" x14ac:dyDescent="0.25">
      <c r="A3983" s="1" t="str">
        <f t="shared" si="148"/>
        <v>14460</v>
      </c>
      <c r="B3983" s="1" t="str">
        <f>"02344"</f>
        <v>02344</v>
      </c>
      <c r="C3983" s="2">
        <v>0</v>
      </c>
      <c r="D3983" s="2">
        <v>4.3200089856186898E-6</v>
      </c>
      <c r="E3983" s="2">
        <v>0</v>
      </c>
      <c r="F3983" s="2">
        <v>4.10174291259842E-7</v>
      </c>
    </row>
    <row r="3984" spans="1:6" x14ac:dyDescent="0.25">
      <c r="A3984" s="1" t="str">
        <f t="shared" si="148"/>
        <v>14460</v>
      </c>
      <c r="B3984" s="1" t="str">
        <f>"01460"</f>
        <v>01460</v>
      </c>
      <c r="C3984" s="2">
        <v>2.23146560373164E-3</v>
      </c>
      <c r="D3984" s="2">
        <v>2.6438454991986301E-3</v>
      </c>
      <c r="E3984" s="2">
        <v>8.3746833322864895E-4</v>
      </c>
      <c r="F3984" s="2">
        <v>2.1886900181625102E-3</v>
      </c>
    </row>
    <row r="3985" spans="1:6" x14ac:dyDescent="0.25">
      <c r="A3985" s="1" t="str">
        <f t="shared" si="148"/>
        <v>14460</v>
      </c>
      <c r="B3985" s="1" t="str">
        <f>"01463"</f>
        <v>01463</v>
      </c>
      <c r="C3985" s="2">
        <v>2.8353765816312099E-3</v>
      </c>
      <c r="D3985" s="2">
        <v>1.4817630820672101E-3</v>
      </c>
      <c r="E3985" s="2">
        <v>1.1026666387510501E-3</v>
      </c>
      <c r="F3985" s="2">
        <v>2.60501692379125E-3</v>
      </c>
    </row>
    <row r="3986" spans="1:6" x14ac:dyDescent="0.25">
      <c r="A3986" s="1" t="str">
        <f t="shared" si="148"/>
        <v>14460</v>
      </c>
      <c r="B3986" s="1" t="str">
        <f>"01469"</f>
        <v>01469</v>
      </c>
      <c r="C3986" s="2">
        <v>1.2950643121570199E-3</v>
      </c>
      <c r="D3986" s="2">
        <v>4.57920952475581E-4</v>
      </c>
      <c r="E3986" s="2">
        <v>3.6290294439908098E-4</v>
      </c>
      <c r="F3986" s="2">
        <v>1.1607932442653499E-3</v>
      </c>
    </row>
    <row r="3987" spans="1:6" x14ac:dyDescent="0.25">
      <c r="A3987" s="1" t="str">
        <f t="shared" si="148"/>
        <v>14460</v>
      </c>
      <c r="B3987" s="1" t="str">
        <f>"01754"</f>
        <v>01754</v>
      </c>
      <c r="C3987" s="2">
        <v>2.3637831775410998E-3</v>
      </c>
      <c r="D3987" s="2">
        <v>2.0779243220825799E-3</v>
      </c>
      <c r="E3987" s="2">
        <v>2.6729197635547699E-3</v>
      </c>
      <c r="F3987" s="2">
        <v>2.3548106061227498E-3</v>
      </c>
    </row>
    <row r="3988" spans="1:6" x14ac:dyDescent="0.25">
      <c r="A3988" s="1" t="str">
        <f t="shared" si="148"/>
        <v>14460</v>
      </c>
      <c r="B3988" s="1" t="str">
        <f>"01748"</f>
        <v>01748</v>
      </c>
      <c r="C3988" s="2">
        <v>3.65787813018304E-3</v>
      </c>
      <c r="D3988" s="2">
        <v>2.99376622703375E-3</v>
      </c>
      <c r="E3988" s="2">
        <v>1.08172993042033E-3</v>
      </c>
      <c r="F3988" s="2">
        <v>3.4434131751263702E-3</v>
      </c>
    </row>
    <row r="3989" spans="1:6" x14ac:dyDescent="0.25">
      <c r="A3989" s="1" t="str">
        <f t="shared" si="148"/>
        <v>14460</v>
      </c>
      <c r="B3989" s="1" t="str">
        <f>"01778"</f>
        <v>01778</v>
      </c>
      <c r="C3989" s="2">
        <v>2.6914266936407102E-3</v>
      </c>
      <c r="D3989" s="2">
        <v>1.30464271365684E-3</v>
      </c>
      <c r="E3989" s="2">
        <v>6.2810124992148698E-4</v>
      </c>
      <c r="F3989" s="2">
        <v>2.43848616153976E-3</v>
      </c>
    </row>
    <row r="3990" spans="1:6" x14ac:dyDescent="0.25">
      <c r="A3990" s="1" t="str">
        <f t="shared" si="148"/>
        <v>14460</v>
      </c>
      <c r="B3990" s="1" t="str">
        <f>"01833"</f>
        <v>01833</v>
      </c>
      <c r="C3990" s="2">
        <v>1.6939557526155699E-3</v>
      </c>
      <c r="D3990" s="2">
        <v>1.3996829113404499E-3</v>
      </c>
      <c r="E3990" s="2">
        <v>9.2121516655151398E-4</v>
      </c>
      <c r="F3990" s="2">
        <v>1.62059862476763E-3</v>
      </c>
    </row>
    <row r="3991" spans="1:6" x14ac:dyDescent="0.25">
      <c r="A3991" s="1" t="str">
        <f t="shared" si="148"/>
        <v>14460</v>
      </c>
      <c r="B3991" s="1" t="str">
        <f>"01880"</f>
        <v>01880</v>
      </c>
      <c r="C3991" s="2">
        <v>5.5355275109077104E-3</v>
      </c>
      <c r="D3991" s="2">
        <v>6.66577386480963E-3</v>
      </c>
      <c r="E3991" s="2">
        <v>5.0038732910411797E-3</v>
      </c>
      <c r="F3991" s="2">
        <v>5.6115944787259002E-3</v>
      </c>
    </row>
    <row r="3992" spans="1:6" x14ac:dyDescent="0.25">
      <c r="A3992" s="1" t="str">
        <f t="shared" si="148"/>
        <v>14460</v>
      </c>
      <c r="B3992" s="1" t="str">
        <f>"01863"</f>
        <v>01863</v>
      </c>
      <c r="C3992" s="2">
        <v>2.1936605826432302E-3</v>
      </c>
      <c r="D3992" s="2">
        <v>2.2464046725217098E-3</v>
      </c>
      <c r="E3992" s="2">
        <v>9.0725736099770305E-4</v>
      </c>
      <c r="F3992" s="2">
        <v>2.1230621315609399E-3</v>
      </c>
    </row>
    <row r="3993" spans="1:6" x14ac:dyDescent="0.25">
      <c r="A3993" s="1" t="str">
        <f t="shared" si="148"/>
        <v>14460</v>
      </c>
      <c r="B3993" s="1" t="str">
        <f>"01867"</f>
        <v>01867</v>
      </c>
      <c r="C3993" s="2">
        <v>4.9262850556751597E-3</v>
      </c>
      <c r="D3993" s="2">
        <v>3.8491280061862501E-3</v>
      </c>
      <c r="E3993" s="2">
        <v>2.0727341247409E-3</v>
      </c>
      <c r="F3993" s="2">
        <v>4.6562985543817199E-3</v>
      </c>
    </row>
    <row r="3994" spans="1:6" x14ac:dyDescent="0.25">
      <c r="A3994" s="1" t="str">
        <f t="shared" si="148"/>
        <v>14460</v>
      </c>
      <c r="B3994" s="1" t="str">
        <f>"01890"</f>
        <v>01890</v>
      </c>
      <c r="C3994" s="2">
        <v>4.2661512259005102E-3</v>
      </c>
      <c r="D3994" s="2">
        <v>3.75408780850264E-3</v>
      </c>
      <c r="E3994" s="2">
        <v>1.4236961664886999E-3</v>
      </c>
      <c r="F3994" s="2">
        <v>4.0504711261909396E-3</v>
      </c>
    </row>
    <row r="3995" spans="1:6" x14ac:dyDescent="0.25">
      <c r="A3995" s="1" t="str">
        <f t="shared" si="148"/>
        <v>14460</v>
      </c>
      <c r="B3995" s="1" t="str">
        <f>"01904"</f>
        <v>01904</v>
      </c>
      <c r="C3995" s="2">
        <v>3.4208697287441202E-3</v>
      </c>
      <c r="D3995" s="2">
        <v>1.9958441513558299E-3</v>
      </c>
      <c r="E3995" s="2">
        <v>2.0517974164101899E-3</v>
      </c>
      <c r="F3995" s="2">
        <v>3.2051019119044002E-3</v>
      </c>
    </row>
    <row r="3996" spans="1:6" x14ac:dyDescent="0.25">
      <c r="A3996" s="1" t="str">
        <f t="shared" si="148"/>
        <v>14460</v>
      </c>
      <c r="B3996" s="1" t="str">
        <f>"01905"</f>
        <v>01905</v>
      </c>
      <c r="C3996" s="2">
        <v>4.2424019177808598E-3</v>
      </c>
      <c r="D3996" s="2">
        <v>2.6006454093424501E-3</v>
      </c>
      <c r="E3996" s="2">
        <v>6.4345483603067896E-3</v>
      </c>
      <c r="F3996" s="2">
        <v>4.2153611912773897E-3</v>
      </c>
    </row>
    <row r="3997" spans="1:6" x14ac:dyDescent="0.25">
      <c r="A3997" s="1" t="str">
        <f t="shared" si="148"/>
        <v>14460</v>
      </c>
      <c r="B3997" s="1" t="str">
        <f>"02081"</f>
        <v>02081</v>
      </c>
      <c r="C3997" s="2">
        <v>3.9709812535563297E-3</v>
      </c>
      <c r="D3997" s="2">
        <v>4.3113689676474503E-3</v>
      </c>
      <c r="E3997" s="2">
        <v>2.3658480413709299E-3</v>
      </c>
      <c r="F3997" s="2">
        <v>3.9089609957062904E-3</v>
      </c>
    </row>
    <row r="3998" spans="1:6" x14ac:dyDescent="0.25">
      <c r="A3998" s="1" t="str">
        <f t="shared" si="148"/>
        <v>14460</v>
      </c>
      <c r="B3998" s="1" t="str">
        <f>"02093"</f>
        <v>02093</v>
      </c>
      <c r="C3998" s="2">
        <v>2.5654099566793198E-3</v>
      </c>
      <c r="D3998" s="2">
        <v>2.6006454093424501E-3</v>
      </c>
      <c r="E3998" s="2">
        <v>7.1184808324435201E-4</v>
      </c>
      <c r="F3998" s="2">
        <v>2.4598152246852701E-3</v>
      </c>
    </row>
    <row r="3999" spans="1:6" x14ac:dyDescent="0.25">
      <c r="A3999" s="1" t="str">
        <f t="shared" si="148"/>
        <v>14460</v>
      </c>
      <c r="B3999" s="1" t="str">
        <f>"02110"</f>
        <v>02110</v>
      </c>
      <c r="C3999" s="2">
        <v>8.5545977206480297E-4</v>
      </c>
      <c r="D3999" s="2">
        <v>1.00915409904052E-2</v>
      </c>
      <c r="E3999" s="2">
        <v>1.91919826364898E-3</v>
      </c>
      <c r="F3999" s="2">
        <v>1.79492269855306E-3</v>
      </c>
    </row>
    <row r="4000" spans="1:6" x14ac:dyDescent="0.25">
      <c r="A4000" s="1" t="str">
        <f t="shared" si="148"/>
        <v>14460</v>
      </c>
      <c r="B4000" s="1" t="str">
        <f>"02116"</f>
        <v>02116</v>
      </c>
      <c r="C4000" s="2">
        <v>6.2286195641953401E-3</v>
      </c>
      <c r="D4000" s="2">
        <v>1.2113305195674801E-2</v>
      </c>
      <c r="E4000" s="2">
        <v>1.6868008011780299E-2</v>
      </c>
      <c r="F4000" s="2">
        <v>7.4126697916478603E-3</v>
      </c>
    </row>
    <row r="4001" spans="1:6" x14ac:dyDescent="0.25">
      <c r="A4001" s="1" t="str">
        <f t="shared" si="148"/>
        <v>14460</v>
      </c>
      <c r="B4001" s="1" t="str">
        <f>"02126"</f>
        <v>02126</v>
      </c>
      <c r="C4001" s="2">
        <v>3.7528753626616201E-3</v>
      </c>
      <c r="D4001" s="2">
        <v>2.3889649690471298E-3</v>
      </c>
      <c r="E4001" s="2">
        <v>6.6439154436139496E-3</v>
      </c>
      <c r="F4001" s="2">
        <v>3.7932918455710202E-3</v>
      </c>
    </row>
    <row r="4002" spans="1:6" x14ac:dyDescent="0.25">
      <c r="A4002" s="1" t="str">
        <f t="shared" si="148"/>
        <v>14460</v>
      </c>
      <c r="B4002" s="1" t="str">
        <f>"02127"</f>
        <v>02127</v>
      </c>
      <c r="C4002" s="2">
        <v>6.5829204669598596E-3</v>
      </c>
      <c r="D4002" s="2">
        <v>4.9982503963608201E-3</v>
      </c>
      <c r="E4002" s="2">
        <v>2.4858851691336999E-2</v>
      </c>
      <c r="F4002" s="2">
        <v>7.5065997043463704E-3</v>
      </c>
    </row>
    <row r="4003" spans="1:6" x14ac:dyDescent="0.25">
      <c r="A4003" s="1" t="str">
        <f t="shared" si="148"/>
        <v>14460</v>
      </c>
      <c r="B4003" s="1" t="str">
        <f>"02144"</f>
        <v>02144</v>
      </c>
      <c r="C4003" s="2">
        <v>5.1400288287519703E-3</v>
      </c>
      <c r="D4003" s="2">
        <v>3.3523269728400998E-3</v>
      </c>
      <c r="E4003" s="2">
        <v>7.1673331518818601E-3</v>
      </c>
      <c r="F4003" s="2">
        <v>5.0894426059521197E-3</v>
      </c>
    </row>
    <row r="4004" spans="1:6" x14ac:dyDescent="0.25">
      <c r="A4004" s="1" t="str">
        <f t="shared" si="148"/>
        <v>14460</v>
      </c>
      <c r="B4004" s="1" t="str">
        <f>"02141"</f>
        <v>02141</v>
      </c>
      <c r="C4004" s="2">
        <v>3.20761063542485E-3</v>
      </c>
      <c r="D4004" s="2">
        <v>2.8814459934076598E-3</v>
      </c>
      <c r="E4004" s="2">
        <v>5.3039661104481101E-3</v>
      </c>
      <c r="F4004" s="2">
        <v>3.2998521731854198E-3</v>
      </c>
    </row>
    <row r="4005" spans="1:6" x14ac:dyDescent="0.25">
      <c r="A4005" s="1" t="str">
        <f t="shared" si="148"/>
        <v>14460</v>
      </c>
      <c r="B4005" s="1" t="str">
        <f>"02176"</f>
        <v>02176</v>
      </c>
      <c r="C4005" s="2">
        <v>6.0890317940227303E-3</v>
      </c>
      <c r="D4005" s="2">
        <v>3.4128070986387598E-3</v>
      </c>
      <c r="E4005" s="2">
        <v>4.0547425133820401E-3</v>
      </c>
      <c r="F4005" s="2">
        <v>5.7153685744146402E-3</v>
      </c>
    </row>
    <row r="4006" spans="1:6" x14ac:dyDescent="0.25">
      <c r="A4006" s="1" t="str">
        <f t="shared" si="148"/>
        <v>14460</v>
      </c>
      <c r="B4006" s="1" t="str">
        <f>"01937"</f>
        <v>01937</v>
      </c>
      <c r="C4006" s="2">
        <v>0</v>
      </c>
      <c r="D4006" s="2">
        <v>0</v>
      </c>
      <c r="E4006" s="2">
        <v>6.9789027769054097E-6</v>
      </c>
      <c r="F4006" s="2">
        <v>4.10174291259842E-7</v>
      </c>
    </row>
    <row r="4007" spans="1:6" x14ac:dyDescent="0.25">
      <c r="A4007" s="1" t="str">
        <f t="shared" si="148"/>
        <v>14460</v>
      </c>
      <c r="B4007" s="1" t="str">
        <f>"02356"</f>
        <v>02356</v>
      </c>
      <c r="C4007" s="2">
        <v>3.8774380603503802E-6</v>
      </c>
      <c r="D4007" s="2">
        <v>0</v>
      </c>
      <c r="E4007" s="2">
        <v>0</v>
      </c>
      <c r="F4007" s="2">
        <v>3.28139433007873E-6</v>
      </c>
    </row>
    <row r="4008" spans="1:6" x14ac:dyDescent="0.25">
      <c r="A4008" s="1" t="str">
        <f t="shared" si="148"/>
        <v>14460</v>
      </c>
      <c r="B4008" s="1" t="str">
        <f>"02477"</f>
        <v>02477</v>
      </c>
      <c r="C4008" s="2">
        <v>0</v>
      </c>
      <c r="D4008" s="2">
        <v>4.3200089856186898E-6</v>
      </c>
      <c r="E4008" s="2">
        <v>0</v>
      </c>
      <c r="F4008" s="2">
        <v>4.10174291259842E-7</v>
      </c>
    </row>
    <row r="4009" spans="1:6" x14ac:dyDescent="0.25">
      <c r="A4009" s="1" t="str">
        <f t="shared" si="148"/>
        <v>14460</v>
      </c>
      <c r="B4009" s="1" t="str">
        <f>"05501"</f>
        <v>05501</v>
      </c>
      <c r="C4009" s="2">
        <v>0</v>
      </c>
      <c r="D4009" s="2">
        <v>4.3200089856186898E-6</v>
      </c>
      <c r="E4009" s="2">
        <v>0</v>
      </c>
      <c r="F4009" s="2">
        <v>4.10174291259842E-7</v>
      </c>
    </row>
    <row r="4010" spans="1:6" x14ac:dyDescent="0.25">
      <c r="A4010" s="1" t="str">
        <f t="shared" si="148"/>
        <v>14460</v>
      </c>
      <c r="B4010" s="1" t="str">
        <f>"02222"</f>
        <v>02222</v>
      </c>
      <c r="C4010" s="2">
        <v>0</v>
      </c>
      <c r="D4010" s="2">
        <v>3.6288075479196899E-4</v>
      </c>
      <c r="E4010" s="2">
        <v>2.0936708330716199E-5</v>
      </c>
      <c r="F4010" s="2">
        <v>3.5685163339606199E-5</v>
      </c>
    </row>
    <row r="4011" spans="1:6" x14ac:dyDescent="0.25">
      <c r="A4011" s="1" t="str">
        <f t="shared" si="148"/>
        <v>14460</v>
      </c>
      <c r="B4011" s="1" t="str">
        <f>"02060"</f>
        <v>02060</v>
      </c>
      <c r="C4011" s="2">
        <v>2.4185519901435501E-4</v>
      </c>
      <c r="D4011" s="2">
        <v>4.7088097943243697E-4</v>
      </c>
      <c r="E4011" s="2">
        <v>1.3957805553810801E-5</v>
      </c>
      <c r="F4011" s="2">
        <v>2.5020631766850299E-4</v>
      </c>
    </row>
    <row r="4012" spans="1:6" x14ac:dyDescent="0.25">
      <c r="A4012" s="1" t="str">
        <f t="shared" si="148"/>
        <v>14460</v>
      </c>
      <c r="B4012" s="1" t="str">
        <f>"01936"</f>
        <v>01936</v>
      </c>
      <c r="C4012" s="2">
        <v>2.1955993016733999E-4</v>
      </c>
      <c r="D4012" s="2">
        <v>2.4192050319464599E-4</v>
      </c>
      <c r="E4012" s="2">
        <v>1.3957805553810801E-5</v>
      </c>
      <c r="F4012" s="2">
        <v>2.0959906283377899E-4</v>
      </c>
    </row>
    <row r="4013" spans="1:6" x14ac:dyDescent="0.25">
      <c r="A4013" s="1" t="str">
        <f t="shared" si="148"/>
        <v>14460</v>
      </c>
      <c r="B4013" s="1" t="str">
        <f>"02020"</f>
        <v>02020</v>
      </c>
      <c r="C4013" s="2">
        <v>3.3685243149293899E-4</v>
      </c>
      <c r="D4013" s="2">
        <v>6.0480125798661598E-5</v>
      </c>
      <c r="E4013" s="2">
        <v>6.9789027769054097E-6</v>
      </c>
      <c r="F4013" s="2">
        <v>2.9122374679448699E-4</v>
      </c>
    </row>
    <row r="4014" spans="1:6" x14ac:dyDescent="0.25">
      <c r="A4014" s="1" t="str">
        <f t="shared" si="148"/>
        <v>14460</v>
      </c>
      <c r="B4014" s="1" t="str">
        <f>"02051"</f>
        <v>02051</v>
      </c>
      <c r="C4014" s="2">
        <v>2.3458500265119799E-4</v>
      </c>
      <c r="D4014" s="2">
        <v>1.6848035043912801E-4</v>
      </c>
      <c r="E4014" s="2">
        <v>1.3957805553810801E-5</v>
      </c>
      <c r="F4014" s="2">
        <v>2.1534150291141699E-4</v>
      </c>
    </row>
    <row r="4015" spans="1:6" x14ac:dyDescent="0.25">
      <c r="A4015" s="1" t="str">
        <f t="shared" si="148"/>
        <v>14460</v>
      </c>
      <c r="B4015" s="1" t="str">
        <f>"02112"</f>
        <v>02112</v>
      </c>
      <c r="C4015" s="2">
        <v>4.6480788748450198E-4</v>
      </c>
      <c r="D4015" s="2">
        <v>6.2640130291470998E-4</v>
      </c>
      <c r="E4015" s="2">
        <v>1.3957805553810801E-5</v>
      </c>
      <c r="F4015" s="2">
        <v>4.53652766133385E-4</v>
      </c>
    </row>
    <row r="4016" spans="1:6" x14ac:dyDescent="0.25">
      <c r="A4016" s="1" t="str">
        <f t="shared" si="148"/>
        <v>14460</v>
      </c>
      <c r="B4016" s="1" t="str">
        <f>"02117"</f>
        <v>02117</v>
      </c>
      <c r="C4016" s="2">
        <v>5.4138728917642201E-4</v>
      </c>
      <c r="D4016" s="2">
        <v>9.2016191393677995E-4</v>
      </c>
      <c r="E4016" s="2">
        <v>1.3957805553810801E-5</v>
      </c>
      <c r="F4016" s="2">
        <v>5.4635215595810901E-4</v>
      </c>
    </row>
    <row r="4017" spans="1:6" x14ac:dyDescent="0.25">
      <c r="A4017" s="1" t="str">
        <f t="shared" si="148"/>
        <v>14460</v>
      </c>
      <c r="B4017" s="1" t="str">
        <f>"02350"</f>
        <v>02350</v>
      </c>
      <c r="C4017" s="2">
        <v>6.8824525571219294E-5</v>
      </c>
      <c r="D4017" s="2">
        <v>0</v>
      </c>
      <c r="E4017" s="2">
        <v>6.9789027769054097E-6</v>
      </c>
      <c r="F4017" s="2">
        <v>5.8654923650157401E-5</v>
      </c>
    </row>
    <row r="4018" spans="1:6" x14ac:dyDescent="0.25">
      <c r="A4018" s="1" t="str">
        <f t="shared" si="148"/>
        <v>14460</v>
      </c>
      <c r="B4018" s="1" t="str">
        <f>"03815"</f>
        <v>03815</v>
      </c>
      <c r="C4018" s="2">
        <v>4.8467975754379797E-6</v>
      </c>
      <c r="D4018" s="2">
        <v>0</v>
      </c>
      <c r="E4018" s="2">
        <v>0</v>
      </c>
      <c r="F4018" s="2">
        <v>4.1017429125984202E-6</v>
      </c>
    </row>
    <row r="4019" spans="1:6" x14ac:dyDescent="0.25">
      <c r="A4019" s="1" t="str">
        <f t="shared" si="148"/>
        <v>14460</v>
      </c>
      <c r="B4019" s="1" t="str">
        <f>"03261"</f>
        <v>03261</v>
      </c>
      <c r="C4019" s="2">
        <v>9.7614503169320902E-4</v>
      </c>
      <c r="D4019" s="2">
        <v>4.10400853633775E-4</v>
      </c>
      <c r="E4019" s="2">
        <v>2.4426159719168902E-4</v>
      </c>
      <c r="F4019" s="2">
        <v>8.7941368046110099E-4</v>
      </c>
    </row>
    <row r="4020" spans="1:6" x14ac:dyDescent="0.25">
      <c r="A4020" s="1" t="str">
        <f t="shared" si="148"/>
        <v>14460</v>
      </c>
      <c r="B4020" s="1" t="str">
        <f>"03290"</f>
        <v>03290</v>
      </c>
      <c r="C4020" s="2">
        <v>9.2961577496900396E-4</v>
      </c>
      <c r="D4020" s="2">
        <v>8.6400179712373797E-6</v>
      </c>
      <c r="E4020" s="2">
        <v>1.25620249984297E-4</v>
      </c>
      <c r="F4020" s="2">
        <v>7.9491777646157398E-4</v>
      </c>
    </row>
    <row r="4021" spans="1:6" x14ac:dyDescent="0.25">
      <c r="A4021" s="1" t="str">
        <f t="shared" si="148"/>
        <v>14460</v>
      </c>
      <c r="B4021" s="1" t="str">
        <f>"03867"</f>
        <v>03867</v>
      </c>
      <c r="C4021" s="2">
        <v>5.1894661640214399E-3</v>
      </c>
      <c r="D4021" s="2">
        <v>3.52944734125046E-3</v>
      </c>
      <c r="E4021" s="2">
        <v>4.8363796243954503E-3</v>
      </c>
      <c r="F4021" s="2">
        <v>5.0110993163214896E-3</v>
      </c>
    </row>
    <row r="4022" spans="1:6" x14ac:dyDescent="0.25">
      <c r="A4022" s="1" t="str">
        <f t="shared" si="148"/>
        <v>14460</v>
      </c>
      <c r="B4022" s="1" t="str">
        <f>"03887"</f>
        <v>03887</v>
      </c>
      <c r="C4022" s="2">
        <v>3.8144296918696903E-4</v>
      </c>
      <c r="D4022" s="2">
        <v>1.7280035942474698E-5</v>
      </c>
      <c r="E4022" s="2">
        <v>0</v>
      </c>
      <c r="F4022" s="2">
        <v>3.2444786438653501E-4</v>
      </c>
    </row>
    <row r="4023" spans="1:6" x14ac:dyDescent="0.25">
      <c r="A4023" s="1" t="str">
        <f t="shared" si="148"/>
        <v>14460</v>
      </c>
      <c r="B4023" s="1" t="str">
        <f>"03824"</f>
        <v>03824</v>
      </c>
      <c r="C4023" s="2">
        <v>1.8330588430306399E-3</v>
      </c>
      <c r="D4023" s="2">
        <v>5.3347790963405202E-2</v>
      </c>
      <c r="E4023" s="2">
        <v>1.24224469428916E-3</v>
      </c>
      <c r="F4023" s="2">
        <v>6.6895325161567603E-3</v>
      </c>
    </row>
    <row r="4024" spans="1:6" x14ac:dyDescent="0.25">
      <c r="A4024" s="1" t="str">
        <f t="shared" si="148"/>
        <v>14460</v>
      </c>
      <c r="B4024" s="1" t="str">
        <f>"03855"</f>
        <v>03855</v>
      </c>
      <c r="C4024" s="2">
        <v>5.9664078153641496E-4</v>
      </c>
      <c r="D4024" s="2">
        <v>2.59200539137121E-5</v>
      </c>
      <c r="E4024" s="2">
        <v>6.9789027769054097E-6</v>
      </c>
      <c r="F4024" s="2">
        <v>5.0779577257968405E-4</v>
      </c>
    </row>
    <row r="4025" spans="1:6" x14ac:dyDescent="0.25">
      <c r="A4025" s="1" t="str">
        <f t="shared" si="148"/>
        <v>14460</v>
      </c>
      <c r="B4025" s="1" t="str">
        <f>"03041"</f>
        <v>03041</v>
      </c>
      <c r="C4025" s="2">
        <v>0</v>
      </c>
      <c r="D4025" s="2">
        <v>0</v>
      </c>
      <c r="E4025" s="2">
        <v>6.9789027769054097E-6</v>
      </c>
      <c r="F4025" s="2">
        <v>4.10174291259842E-7</v>
      </c>
    </row>
    <row r="4026" spans="1:6" x14ac:dyDescent="0.25">
      <c r="A4026" s="1" t="str">
        <f t="shared" si="148"/>
        <v>14460</v>
      </c>
      <c r="B4026" s="1" t="str">
        <f>"01474"</f>
        <v>01474</v>
      </c>
      <c r="C4026" s="2">
        <v>3.8192764894451201E-4</v>
      </c>
      <c r="D4026" s="2">
        <v>8.6400179712373807E-5</v>
      </c>
      <c r="E4026" s="2">
        <v>4.1873416661432397E-5</v>
      </c>
      <c r="F4026" s="2">
        <v>3.3388187308551102E-4</v>
      </c>
    </row>
    <row r="4027" spans="1:6" x14ac:dyDescent="0.25">
      <c r="A4027" s="1" t="str">
        <f t="shared" ref="A4027:A4090" si="149">"14460"</f>
        <v>14460</v>
      </c>
      <c r="B4027" s="1" t="str">
        <f>"01749"</f>
        <v>01749</v>
      </c>
      <c r="C4027" s="2">
        <v>4.5046136666120496E-3</v>
      </c>
      <c r="D4027" s="2">
        <v>4.12128857228023E-3</v>
      </c>
      <c r="E4027" s="2">
        <v>3.52434590233723E-3</v>
      </c>
      <c r="F4027" s="2">
        <v>4.4106041539170799E-3</v>
      </c>
    </row>
    <row r="4028" spans="1:6" x14ac:dyDescent="0.25">
      <c r="A4028" s="1" t="str">
        <f t="shared" si="149"/>
        <v>14460</v>
      </c>
      <c r="B4028" s="1" t="str">
        <f>"01746"</f>
        <v>01746</v>
      </c>
      <c r="C4028" s="2">
        <v>3.0752930616153901E-3</v>
      </c>
      <c r="D4028" s="2">
        <v>3.0888064247173602E-3</v>
      </c>
      <c r="E4028" s="2">
        <v>1.71681008311873E-3</v>
      </c>
      <c r="F4028" s="2">
        <v>2.9967333719443999E-3</v>
      </c>
    </row>
    <row r="4029" spans="1:6" x14ac:dyDescent="0.25">
      <c r="A4029" s="1" t="str">
        <f t="shared" si="149"/>
        <v>14460</v>
      </c>
      <c r="B4029" s="1" t="str">
        <f>"01821"</f>
        <v>01821</v>
      </c>
      <c r="C4029" s="2">
        <v>5.7507253232571597E-3</v>
      </c>
      <c r="D4029" s="2">
        <v>4.3200089856186901E-3</v>
      </c>
      <c r="E4029" s="2">
        <v>1.80055691644159E-3</v>
      </c>
      <c r="F4029" s="2">
        <v>5.3827172242028997E-3</v>
      </c>
    </row>
    <row r="4030" spans="1:6" x14ac:dyDescent="0.25">
      <c r="A4030" s="1" t="str">
        <f t="shared" si="149"/>
        <v>14460</v>
      </c>
      <c r="B4030" s="1" t="str">
        <f>"01841"</f>
        <v>01841</v>
      </c>
      <c r="C4030" s="2">
        <v>6.3628758570349799E-3</v>
      </c>
      <c r="D4030" s="2">
        <v>3.0628863708036498E-3</v>
      </c>
      <c r="E4030" s="2">
        <v>9.4773499710375502E-3</v>
      </c>
      <c r="F4030" s="2">
        <v>6.2325983556933001E-3</v>
      </c>
    </row>
    <row r="4031" spans="1:6" x14ac:dyDescent="0.25">
      <c r="A4031" s="1" t="str">
        <f t="shared" si="149"/>
        <v>14460</v>
      </c>
      <c r="B4031" s="1" t="str">
        <f>"01830"</f>
        <v>01830</v>
      </c>
      <c r="C4031" s="2">
        <v>5.3179062997705502E-3</v>
      </c>
      <c r="D4031" s="2">
        <v>3.6979276916895899E-3</v>
      </c>
      <c r="E4031" s="2">
        <v>6.1972656658919999E-3</v>
      </c>
      <c r="F4031" s="2">
        <v>5.2157762876601501E-3</v>
      </c>
    </row>
    <row r="4032" spans="1:6" x14ac:dyDescent="0.25">
      <c r="A4032" s="1" t="str">
        <f t="shared" si="149"/>
        <v>14460</v>
      </c>
      <c r="B4032" s="1" t="str">
        <f>"01845"</f>
        <v>01845</v>
      </c>
      <c r="C4032" s="2">
        <v>5.8898284136722299E-3</v>
      </c>
      <c r="D4032" s="2">
        <v>5.86657220247018E-3</v>
      </c>
      <c r="E4032" s="2">
        <v>4.1245315411511004E-3</v>
      </c>
      <c r="F4032" s="2">
        <v>5.7838676810550299E-3</v>
      </c>
    </row>
    <row r="4033" spans="1:6" x14ac:dyDescent="0.25">
      <c r="A4033" s="1" t="str">
        <f t="shared" si="149"/>
        <v>14460</v>
      </c>
      <c r="B4033" s="1" t="str">
        <f>"01854"</f>
        <v>01854</v>
      </c>
      <c r="C4033" s="2">
        <v>4.8710315633151702E-3</v>
      </c>
      <c r="D4033" s="2">
        <v>2.7518457238390999E-3</v>
      </c>
      <c r="E4033" s="2">
        <v>7.6349196379345199E-3</v>
      </c>
      <c r="F4033" s="2">
        <v>4.8322633253322003E-3</v>
      </c>
    </row>
    <row r="4034" spans="1:6" x14ac:dyDescent="0.25">
      <c r="A4034" s="1" t="str">
        <f t="shared" si="149"/>
        <v>14460</v>
      </c>
      <c r="B4034" s="1" t="str">
        <f>"01860"</f>
        <v>01860</v>
      </c>
      <c r="C4034" s="2">
        <v>1.32802253567E-3</v>
      </c>
      <c r="D4034" s="2">
        <v>5.5728115914481101E-4</v>
      </c>
      <c r="E4034" s="2">
        <v>6.0716454159077103E-4</v>
      </c>
      <c r="F4034" s="2">
        <v>1.2124752049640899E-3</v>
      </c>
    </row>
    <row r="4035" spans="1:6" x14ac:dyDescent="0.25">
      <c r="A4035" s="1" t="str">
        <f t="shared" si="149"/>
        <v>14460</v>
      </c>
      <c r="B4035" s="1" t="str">
        <f>"01864"</f>
        <v>01864</v>
      </c>
      <c r="C4035" s="2">
        <v>2.9623626781076899E-3</v>
      </c>
      <c r="D4035" s="2">
        <v>3.34368695486886E-3</v>
      </c>
      <c r="E4035" s="2">
        <v>1.43765397204251E-3</v>
      </c>
      <c r="F4035" s="2">
        <v>2.9089560736147999E-3</v>
      </c>
    </row>
    <row r="4036" spans="1:6" x14ac:dyDescent="0.25">
      <c r="A4036" s="1" t="str">
        <f t="shared" si="149"/>
        <v>14460</v>
      </c>
      <c r="B4036" s="1" t="str">
        <f>"01901"</f>
        <v>01901</v>
      </c>
      <c r="C4036" s="2">
        <v>6.6352658807745902E-4</v>
      </c>
      <c r="D4036" s="2">
        <v>3.2227267032715399E-3</v>
      </c>
      <c r="E4036" s="2">
        <v>9.9798309709747397E-4</v>
      </c>
      <c r="F4036" s="2">
        <v>9.26173549664723E-4</v>
      </c>
    </row>
    <row r="4037" spans="1:6" x14ac:dyDescent="0.25">
      <c r="A4037" s="1" t="str">
        <f t="shared" si="149"/>
        <v>14460</v>
      </c>
      <c r="B4037" s="1" t="str">
        <f>"01906"</f>
        <v>01906</v>
      </c>
      <c r="C4037" s="2">
        <v>5.5069314052126296E-3</v>
      </c>
      <c r="D4037" s="2">
        <v>4.4798493180865798E-3</v>
      </c>
      <c r="E4037" s="2">
        <v>2.6031307357857101E-3</v>
      </c>
      <c r="F4037" s="2">
        <v>5.2387460479707002E-3</v>
      </c>
    </row>
    <row r="4038" spans="1:6" x14ac:dyDescent="0.25">
      <c r="A4038" s="1" t="str">
        <f t="shared" si="149"/>
        <v>14460</v>
      </c>
      <c r="B4038" s="1" t="str">
        <f>"01908"</f>
        <v>01908</v>
      </c>
      <c r="C4038" s="2">
        <v>8.1038455461322995E-4</v>
      </c>
      <c r="D4038" s="2">
        <v>1.90080395367222E-4</v>
      </c>
      <c r="E4038" s="2">
        <v>6.0716454159077103E-4</v>
      </c>
      <c r="F4038" s="2">
        <v>7.3954424714149495E-4</v>
      </c>
    </row>
    <row r="4039" spans="1:6" x14ac:dyDescent="0.25">
      <c r="A4039" s="1" t="str">
        <f t="shared" si="149"/>
        <v>14460</v>
      </c>
      <c r="B4039" s="1" t="str">
        <f>"02025"</f>
        <v>02025</v>
      </c>
      <c r="C4039" s="2">
        <v>1.81415633248643E-3</v>
      </c>
      <c r="D4039" s="2">
        <v>2.0995243670106798E-3</v>
      </c>
      <c r="E4039" s="2">
        <v>6.4205905547529802E-4</v>
      </c>
      <c r="F4039" s="2">
        <v>1.77236311253377E-3</v>
      </c>
    </row>
    <row r="4040" spans="1:6" x14ac:dyDescent="0.25">
      <c r="A4040" s="1" t="str">
        <f t="shared" si="149"/>
        <v>14460</v>
      </c>
      <c r="B4040" s="1" t="str">
        <f>"02041"</f>
        <v>02041</v>
      </c>
      <c r="C4040" s="2">
        <v>3.5527026227960302E-4</v>
      </c>
      <c r="D4040" s="2">
        <v>8.6400179712373807E-5</v>
      </c>
      <c r="E4040" s="2">
        <v>1.3957805553810801E-5</v>
      </c>
      <c r="F4040" s="2">
        <v>3.0968158990118001E-4</v>
      </c>
    </row>
    <row r="4041" spans="1:6" x14ac:dyDescent="0.25">
      <c r="A4041" s="1" t="str">
        <f t="shared" si="149"/>
        <v>14460</v>
      </c>
      <c r="B4041" s="1" t="str">
        <f>"02052"</f>
        <v>02052</v>
      </c>
      <c r="C4041" s="2">
        <v>2.4486021351112601E-3</v>
      </c>
      <c r="D4041" s="2">
        <v>2.3673649241190398E-3</v>
      </c>
      <c r="E4041" s="2">
        <v>6.5601686102910895E-4</v>
      </c>
      <c r="F4041" s="2">
        <v>2.33553241443354E-3</v>
      </c>
    </row>
    <row r="4042" spans="1:6" x14ac:dyDescent="0.25">
      <c r="A4042" s="1" t="str">
        <f t="shared" si="149"/>
        <v>14460</v>
      </c>
      <c r="B4042" s="1" t="str">
        <f>"02114"</f>
        <v>02114</v>
      </c>
      <c r="C4042" s="2">
        <v>5.6101681935694604E-3</v>
      </c>
      <c r="D4042" s="2">
        <v>6.2424129842189998E-3</v>
      </c>
      <c r="E4042" s="2">
        <v>8.7445651794624806E-3</v>
      </c>
      <c r="F4042" s="2">
        <v>5.85441765915172E-3</v>
      </c>
    </row>
    <row r="4043" spans="1:6" x14ac:dyDescent="0.25">
      <c r="A4043" s="1" t="str">
        <f t="shared" si="149"/>
        <v>14460</v>
      </c>
      <c r="B4043" s="1" t="str">
        <f>"01876"</f>
        <v>01876</v>
      </c>
      <c r="C4043" s="2">
        <v>6.4258842255156701E-3</v>
      </c>
      <c r="D4043" s="2">
        <v>5.2747309714404203E-3</v>
      </c>
      <c r="E4043" s="2">
        <v>1.54233751369609E-3</v>
      </c>
      <c r="F4043" s="2">
        <v>6.0295620815196699E-3</v>
      </c>
    </row>
    <row r="4044" spans="1:6" x14ac:dyDescent="0.25">
      <c r="A4044" s="1" t="str">
        <f t="shared" si="149"/>
        <v>14460</v>
      </c>
      <c r="B4044" s="1" t="str">
        <f>"01923"</f>
        <v>01923</v>
      </c>
      <c r="C4044" s="2">
        <v>5.78513758604277E-3</v>
      </c>
      <c r="D4044" s="2">
        <v>7.9790565964377204E-3</v>
      </c>
      <c r="E4044" s="2">
        <v>5.2551137910097703E-3</v>
      </c>
      <c r="F4044" s="2">
        <v>5.9622934977530597E-3</v>
      </c>
    </row>
    <row r="4045" spans="1:6" x14ac:dyDescent="0.25">
      <c r="A4045" s="1" t="str">
        <f t="shared" si="149"/>
        <v>14460</v>
      </c>
      <c r="B4045" s="1" t="str">
        <f>"01966"</f>
        <v>01966</v>
      </c>
      <c r="C4045" s="2">
        <v>2.5339057724389699E-3</v>
      </c>
      <c r="D4045" s="2">
        <v>1.8532838548304101E-3</v>
      </c>
      <c r="E4045" s="2">
        <v>1.1236033470817699E-3</v>
      </c>
      <c r="F4045" s="2">
        <v>2.3863940265497598E-3</v>
      </c>
    </row>
    <row r="4046" spans="1:6" x14ac:dyDescent="0.25">
      <c r="A4046" s="1" t="str">
        <f t="shared" si="149"/>
        <v>14460</v>
      </c>
      <c r="B4046" s="1" t="str">
        <f>"01960"</f>
        <v>01960</v>
      </c>
      <c r="C4046" s="2">
        <v>1.06755563396596E-2</v>
      </c>
      <c r="D4046" s="2">
        <v>1.0031060864606501E-2</v>
      </c>
      <c r="E4046" s="2">
        <v>9.7425482765599505E-3</v>
      </c>
      <c r="F4046" s="2">
        <v>1.05595269541933E-2</v>
      </c>
    </row>
    <row r="4047" spans="1:6" x14ac:dyDescent="0.25">
      <c r="A4047" s="1" t="str">
        <f t="shared" si="149"/>
        <v>14460</v>
      </c>
      <c r="B4047" s="1" t="str">
        <f>"02026"</f>
        <v>02026</v>
      </c>
      <c r="C4047" s="2">
        <v>5.0440622367582998E-3</v>
      </c>
      <c r="D4047" s="2">
        <v>5.2488109175267E-3</v>
      </c>
      <c r="E4047" s="2">
        <v>1.90524045809517E-3</v>
      </c>
      <c r="F4047" s="2">
        <v>4.8790231945358203E-3</v>
      </c>
    </row>
    <row r="4048" spans="1:6" x14ac:dyDescent="0.25">
      <c r="A4048" s="1" t="str">
        <f t="shared" si="149"/>
        <v>14460</v>
      </c>
      <c r="B4048" s="1" t="str">
        <f>"02027"</f>
        <v>02027</v>
      </c>
      <c r="C4048" s="2">
        <v>2.1907525040979601E-4</v>
      </c>
      <c r="D4048" s="2">
        <v>7.0848147364146498E-4</v>
      </c>
      <c r="E4048" s="2">
        <v>2.0936708330716199E-5</v>
      </c>
      <c r="F4048" s="2">
        <v>2.5389788628984203E-4</v>
      </c>
    </row>
    <row r="4049" spans="1:6" x14ac:dyDescent="0.25">
      <c r="A4049" s="1" t="str">
        <f t="shared" si="149"/>
        <v>14460</v>
      </c>
      <c r="B4049" s="1" t="str">
        <f>"01982"</f>
        <v>01982</v>
      </c>
      <c r="C4049" s="2">
        <v>1.54031226947419E-3</v>
      </c>
      <c r="D4049" s="2">
        <v>6.7392140175651495E-4</v>
      </c>
      <c r="E4049" s="2">
        <v>4.6060758327575699E-4</v>
      </c>
      <c r="F4049" s="2">
        <v>1.39459259028346E-3</v>
      </c>
    </row>
    <row r="4050" spans="1:6" x14ac:dyDescent="0.25">
      <c r="A4050" s="1" t="str">
        <f t="shared" si="149"/>
        <v>14460</v>
      </c>
      <c r="B4050" s="1" t="str">
        <f>"02062"</f>
        <v>02062</v>
      </c>
      <c r="C4050" s="2">
        <v>6.4060123554563701E-3</v>
      </c>
      <c r="D4050" s="2">
        <v>8.4844976477551001E-3</v>
      </c>
      <c r="E4050" s="2">
        <v>7.5441939018347504E-3</v>
      </c>
      <c r="F4050" s="2">
        <v>6.6702543244675496E-3</v>
      </c>
    </row>
    <row r="4051" spans="1:6" x14ac:dyDescent="0.25">
      <c r="A4051" s="1" t="str">
        <f t="shared" si="149"/>
        <v>14460</v>
      </c>
      <c r="B4051" s="1" t="str">
        <f>"02115"</f>
        <v>02115</v>
      </c>
      <c r="C4051" s="2">
        <v>5.5733325319961297E-3</v>
      </c>
      <c r="D4051" s="2">
        <v>3.6979276916895899E-3</v>
      </c>
      <c r="E4051" s="2">
        <v>1.1082497609725701E-2</v>
      </c>
      <c r="F4051" s="2">
        <v>5.71906014303597E-3</v>
      </c>
    </row>
    <row r="4052" spans="1:6" x14ac:dyDescent="0.25">
      <c r="A4052" s="1" t="str">
        <f t="shared" si="149"/>
        <v>14460</v>
      </c>
      <c r="B4052" s="1" t="str">
        <f>"02121"</f>
        <v>02121</v>
      </c>
      <c r="C4052" s="2">
        <v>3.5226524778283201E-3</v>
      </c>
      <c r="D4052" s="2">
        <v>1.94832405251402E-3</v>
      </c>
      <c r="E4052" s="2">
        <v>1.3825206401049599E-2</v>
      </c>
      <c r="F4052" s="2">
        <v>3.9786906252204596E-3</v>
      </c>
    </row>
    <row r="4053" spans="1:6" x14ac:dyDescent="0.25">
      <c r="A4053" s="1" t="str">
        <f t="shared" si="149"/>
        <v>14460</v>
      </c>
      <c r="B4053" s="1" t="str">
        <f>"02355"</f>
        <v>02355</v>
      </c>
      <c r="C4053" s="2">
        <v>0</v>
      </c>
      <c r="D4053" s="2">
        <v>4.3200089856186898E-6</v>
      </c>
      <c r="E4053" s="2">
        <v>0</v>
      </c>
      <c r="F4053" s="2">
        <v>4.10174291259842E-7</v>
      </c>
    </row>
    <row r="4054" spans="1:6" x14ac:dyDescent="0.25">
      <c r="A4054" s="1" t="str">
        <f t="shared" si="149"/>
        <v>14460</v>
      </c>
      <c r="B4054" s="1" t="str">
        <f>"03802"</f>
        <v>03802</v>
      </c>
      <c r="C4054" s="2">
        <v>4.3621178178941804E-6</v>
      </c>
      <c r="D4054" s="2">
        <v>2.59200539137121E-5</v>
      </c>
      <c r="E4054" s="2">
        <v>0</v>
      </c>
      <c r="F4054" s="2">
        <v>6.1526143688976302E-6</v>
      </c>
    </row>
    <row r="4055" spans="1:6" x14ac:dyDescent="0.25">
      <c r="A4055" s="1" t="str">
        <f t="shared" si="149"/>
        <v>14460</v>
      </c>
      <c r="B4055" s="1" t="str">
        <f>"01931"</f>
        <v>01931</v>
      </c>
      <c r="C4055" s="2">
        <v>4.58022370878889E-4</v>
      </c>
      <c r="D4055" s="2">
        <v>1.09728228234714E-3</v>
      </c>
      <c r="E4055" s="2">
        <v>6.9789027769054097E-6</v>
      </c>
      <c r="F4055" s="2">
        <v>4.9220914951181001E-4</v>
      </c>
    </row>
    <row r="4056" spans="1:6" x14ac:dyDescent="0.25">
      <c r="A4056" s="1" t="str">
        <f t="shared" si="149"/>
        <v>14460</v>
      </c>
      <c r="B4056" s="1" t="str">
        <f>"02304"</f>
        <v>02304</v>
      </c>
      <c r="C4056" s="2">
        <v>2.27314806288041E-4</v>
      </c>
      <c r="D4056" s="2">
        <v>5.2272108725986098E-4</v>
      </c>
      <c r="E4056" s="2">
        <v>6.9789027769054097E-6</v>
      </c>
      <c r="F4056" s="2">
        <v>2.42413006134566E-4</v>
      </c>
    </row>
    <row r="4057" spans="1:6" x14ac:dyDescent="0.25">
      <c r="A4057" s="1" t="str">
        <f t="shared" si="149"/>
        <v>14460</v>
      </c>
      <c r="B4057" s="1" t="str">
        <f>"02447"</f>
        <v>02447</v>
      </c>
      <c r="C4057" s="2">
        <v>1.3425629283963199E-4</v>
      </c>
      <c r="D4057" s="2">
        <v>5.0544105131738602E-4</v>
      </c>
      <c r="E4057" s="2">
        <v>1.3957805553810801E-5</v>
      </c>
      <c r="F4057" s="2">
        <v>1.6242901933889701E-4</v>
      </c>
    </row>
    <row r="4058" spans="1:6" x14ac:dyDescent="0.25">
      <c r="A4058" s="1" t="str">
        <f t="shared" si="149"/>
        <v>14460</v>
      </c>
      <c r="B4058" s="1" t="str">
        <f>"03871"</f>
        <v>03871</v>
      </c>
      <c r="C4058" s="2">
        <v>3.5139282421925297E-4</v>
      </c>
      <c r="D4058" s="2">
        <v>2.72160566093977E-4</v>
      </c>
      <c r="E4058" s="2">
        <v>1.3957805553810801E-5</v>
      </c>
      <c r="F4058" s="2">
        <v>3.2403769009527498E-4</v>
      </c>
    </row>
    <row r="4059" spans="1:6" x14ac:dyDescent="0.25">
      <c r="A4059" s="1" t="str">
        <f t="shared" si="149"/>
        <v>14460</v>
      </c>
      <c r="B4059" s="1" t="str">
        <f>"03869"</f>
        <v>03869</v>
      </c>
      <c r="C4059" s="2">
        <v>3.8532040724731901E-4</v>
      </c>
      <c r="D4059" s="2">
        <v>1.12320233626085E-4</v>
      </c>
      <c r="E4059" s="2">
        <v>2.0936708330716199E-4</v>
      </c>
      <c r="F4059" s="2">
        <v>3.4905832186212502E-4</v>
      </c>
    </row>
    <row r="4060" spans="1:6" x14ac:dyDescent="0.25">
      <c r="A4060" s="1" t="str">
        <f t="shared" si="149"/>
        <v>14460</v>
      </c>
      <c r="B4060" s="1" t="str">
        <f>"03852"</f>
        <v>03852</v>
      </c>
      <c r="C4060" s="2">
        <v>6.9793885086306899E-5</v>
      </c>
      <c r="D4060" s="2">
        <v>0</v>
      </c>
      <c r="E4060" s="2">
        <v>6.9789027769054097E-6</v>
      </c>
      <c r="F4060" s="2">
        <v>5.9475272232677097E-5</v>
      </c>
    </row>
    <row r="4061" spans="1:6" x14ac:dyDescent="0.25">
      <c r="A4061" s="1" t="str">
        <f t="shared" si="149"/>
        <v>14460</v>
      </c>
      <c r="B4061" s="1" t="str">
        <f>"02150"</f>
        <v>02150</v>
      </c>
      <c r="C4061" s="2">
        <v>6.8378620194279004E-3</v>
      </c>
      <c r="D4061" s="2">
        <v>5.0932905940444303E-3</v>
      </c>
      <c r="E4061" s="2">
        <v>2.1627619705629798E-2</v>
      </c>
      <c r="F4061" s="2">
        <v>7.5414645191034498E-3</v>
      </c>
    </row>
    <row r="4062" spans="1:6" x14ac:dyDescent="0.25">
      <c r="A4062" s="1" t="str">
        <f t="shared" si="149"/>
        <v>14460</v>
      </c>
      <c r="B4062" s="1" t="str">
        <f>"02148"</f>
        <v>02148</v>
      </c>
      <c r="C4062" s="2">
        <v>1.22774229383419E-2</v>
      </c>
      <c r="D4062" s="2">
        <v>6.9033743590186597E-3</v>
      </c>
      <c r="E4062" s="2">
        <v>1.0810320401426401E-2</v>
      </c>
      <c r="F4062" s="2">
        <v>1.1680943466497701E-2</v>
      </c>
    </row>
    <row r="4063" spans="1:6" x14ac:dyDescent="0.25">
      <c r="A4063" s="1" t="str">
        <f t="shared" si="149"/>
        <v>14460</v>
      </c>
      <c r="B4063" s="1" t="str">
        <f>"02180"</f>
        <v>02180</v>
      </c>
      <c r="C4063" s="2">
        <v>4.9548811613702396E-3</v>
      </c>
      <c r="D4063" s="2">
        <v>4.3200089856186901E-3</v>
      </c>
      <c r="E4063" s="2">
        <v>3.4824724856757998E-3</v>
      </c>
      <c r="F4063" s="2">
        <v>4.8080630421478603E-3</v>
      </c>
    </row>
    <row r="4064" spans="1:6" x14ac:dyDescent="0.25">
      <c r="A4064" s="1" t="str">
        <f t="shared" si="149"/>
        <v>14460</v>
      </c>
      <c r="B4064" s="1" t="str">
        <f>"02185"</f>
        <v>02185</v>
      </c>
      <c r="C4064" s="2">
        <v>2.3410032289365401E-4</v>
      </c>
      <c r="D4064" s="2">
        <v>1.1966424890163701E-3</v>
      </c>
      <c r="E4064" s="2">
        <v>1.3957805553810801E-5</v>
      </c>
      <c r="F4064" s="2">
        <v>3.1255280993999898E-4</v>
      </c>
    </row>
    <row r="4065" spans="1:6" x14ac:dyDescent="0.25">
      <c r="A4065" s="1" t="str">
        <f t="shared" si="149"/>
        <v>14460</v>
      </c>
      <c r="B4065" s="1" t="str">
        <f>"02238"</f>
        <v>02238</v>
      </c>
      <c r="C4065" s="2">
        <v>9.2913109521145995E-4</v>
      </c>
      <c r="D4065" s="2">
        <v>1.94832405251402E-3</v>
      </c>
      <c r="E4065" s="2">
        <v>1.3957805553810801E-5</v>
      </c>
      <c r="F4065" s="2">
        <v>9.7211307028582505E-4</v>
      </c>
    </row>
    <row r="4066" spans="1:6" x14ac:dyDescent="0.25">
      <c r="A4066" s="1" t="str">
        <f t="shared" si="149"/>
        <v>14460</v>
      </c>
      <c r="B4066" s="1" t="str">
        <f>"02205"</f>
        <v>02205</v>
      </c>
      <c r="C4066" s="2">
        <v>4.47359416212925E-4</v>
      </c>
      <c r="D4066" s="2">
        <v>1.78416371106051E-3</v>
      </c>
      <c r="E4066" s="2">
        <v>4.3269197216813502E-4</v>
      </c>
      <c r="F4066" s="2">
        <v>5.7342365918125904E-4</v>
      </c>
    </row>
    <row r="4067" spans="1:6" x14ac:dyDescent="0.25">
      <c r="A4067" s="1" t="str">
        <f t="shared" si="149"/>
        <v>14460</v>
      </c>
      <c r="B4067" s="1" t="str">
        <f>"02339"</f>
        <v>02339</v>
      </c>
      <c r="C4067" s="2">
        <v>3.00404513725646E-3</v>
      </c>
      <c r="D4067" s="2">
        <v>4.7822499470798804E-3</v>
      </c>
      <c r="E4067" s="2">
        <v>1.43765397204251E-3</v>
      </c>
      <c r="F4067" s="2">
        <v>3.0808191016526701E-3</v>
      </c>
    </row>
    <row r="4068" spans="1:6" x14ac:dyDescent="0.25">
      <c r="A4068" s="1" t="str">
        <f t="shared" si="149"/>
        <v>14460</v>
      </c>
      <c r="B4068" s="1" t="str">
        <f>"02333"</f>
        <v>02333</v>
      </c>
      <c r="C4068" s="2">
        <v>2.4994935096533601E-3</v>
      </c>
      <c r="D4068" s="2">
        <v>1.3780828664123599E-3</v>
      </c>
      <c r="E4068" s="2">
        <v>1.3748438470503599E-3</v>
      </c>
      <c r="F4068" s="2">
        <v>2.32691875431708E-3</v>
      </c>
    </row>
    <row r="4069" spans="1:6" x14ac:dyDescent="0.25">
      <c r="A4069" s="1" t="str">
        <f t="shared" si="149"/>
        <v>14460</v>
      </c>
      <c r="B4069" s="1" t="str">
        <f>"02360"</f>
        <v>02360</v>
      </c>
      <c r="C4069" s="2">
        <v>1.26772837383155E-2</v>
      </c>
      <c r="D4069" s="2">
        <v>9.2966593370514203E-3</v>
      </c>
      <c r="E4069" s="2">
        <v>6.5741264158448998E-3</v>
      </c>
      <c r="F4069" s="2">
        <v>1.1997598019350301E-2</v>
      </c>
    </row>
    <row r="4070" spans="1:6" x14ac:dyDescent="0.25">
      <c r="A4070" s="1" t="str">
        <f t="shared" si="149"/>
        <v>14460</v>
      </c>
      <c r="B4070" s="1" t="str">
        <f>"02370"</f>
        <v>02370</v>
      </c>
      <c r="C4070" s="2">
        <v>3.7887416647198599E-3</v>
      </c>
      <c r="D4070" s="2">
        <v>3.8188879432869199E-3</v>
      </c>
      <c r="E4070" s="2">
        <v>2.8822868468619299E-3</v>
      </c>
      <c r="F4070" s="2">
        <v>3.7383284905422001E-3</v>
      </c>
    </row>
    <row r="4071" spans="1:6" x14ac:dyDescent="0.25">
      <c r="A4071" s="1" t="str">
        <f t="shared" si="149"/>
        <v>14460</v>
      </c>
      <c r="B4071" s="1" t="str">
        <f>"03868"</f>
        <v>03868</v>
      </c>
      <c r="C4071" s="2">
        <v>1.4860281366292801E-3</v>
      </c>
      <c r="D4071" s="2">
        <v>5.5296115015919197E-4</v>
      </c>
      <c r="E4071" s="2">
        <v>5.3039661104481103E-4</v>
      </c>
      <c r="F4071" s="2">
        <v>1.3412699324196801E-3</v>
      </c>
    </row>
    <row r="4072" spans="1:6" x14ac:dyDescent="0.25">
      <c r="A4072" s="1" t="str">
        <f t="shared" si="149"/>
        <v>14460</v>
      </c>
      <c r="B4072" s="1" t="str">
        <f>"03811"</f>
        <v>03811</v>
      </c>
      <c r="C4072" s="2">
        <v>1.7564794413387199E-3</v>
      </c>
      <c r="D4072" s="2">
        <v>1.2268825519157001E-3</v>
      </c>
      <c r="E4072" s="2">
        <v>7.6767930545959494E-5</v>
      </c>
      <c r="F4072" s="2">
        <v>1.60747304744732E-3</v>
      </c>
    </row>
    <row r="4073" spans="1:6" x14ac:dyDescent="0.25">
      <c r="A4073" s="1" t="str">
        <f t="shared" si="149"/>
        <v>14460</v>
      </c>
      <c r="B4073" s="1" t="str">
        <f>"02375"</f>
        <v>02375</v>
      </c>
      <c r="C4073" s="2">
        <v>0</v>
      </c>
      <c r="D4073" s="2">
        <v>1.7280035942474698E-5</v>
      </c>
      <c r="E4073" s="2">
        <v>0</v>
      </c>
      <c r="F4073" s="2">
        <v>1.6406971650393599E-6</v>
      </c>
    </row>
    <row r="4074" spans="1:6" x14ac:dyDescent="0.25">
      <c r="A4074" s="1" t="str">
        <f t="shared" si="149"/>
        <v>14460</v>
      </c>
      <c r="B4074" s="1" t="str">
        <f>"01910"</f>
        <v>01910</v>
      </c>
      <c r="C4074" s="2">
        <v>0</v>
      </c>
      <c r="D4074" s="2">
        <v>4.3200089856186898E-6</v>
      </c>
      <c r="E4074" s="2">
        <v>0</v>
      </c>
      <c r="F4074" s="2">
        <v>4.10174291259842E-7</v>
      </c>
    </row>
    <row r="4075" spans="1:6" x14ac:dyDescent="0.25">
      <c r="A4075" s="1" t="str">
        <f t="shared" si="149"/>
        <v>14460</v>
      </c>
      <c r="B4075" s="1" t="str">
        <f>"01701"</f>
        <v>01701</v>
      </c>
      <c r="C4075" s="2">
        <v>6.8281684242770197E-3</v>
      </c>
      <c r="D4075" s="2">
        <v>6.5966537210397297E-3</v>
      </c>
      <c r="E4075" s="2">
        <v>3.52434590233723E-3</v>
      </c>
      <c r="F4075" s="2">
        <v>6.6120095751086502E-3</v>
      </c>
    </row>
    <row r="4076" spans="1:6" x14ac:dyDescent="0.25">
      <c r="A4076" s="1" t="str">
        <f t="shared" si="149"/>
        <v>14460</v>
      </c>
      <c r="B4076" s="1" t="str">
        <f>"01730"</f>
        <v>01730</v>
      </c>
      <c r="C4076" s="2">
        <v>2.8625186480536698E-3</v>
      </c>
      <c r="D4076" s="2">
        <v>2.8944060203645199E-3</v>
      </c>
      <c r="E4076" s="2">
        <v>1.24922359706606E-3</v>
      </c>
      <c r="F4076" s="2">
        <v>2.7707273374602301E-3</v>
      </c>
    </row>
    <row r="4077" spans="1:6" x14ac:dyDescent="0.25">
      <c r="A4077" s="1" t="str">
        <f t="shared" si="149"/>
        <v>14460</v>
      </c>
      <c r="B4077" s="1" t="str">
        <f>"01719"</f>
        <v>01719</v>
      </c>
      <c r="C4077" s="2">
        <v>1.1714709739833499E-3</v>
      </c>
      <c r="D4077" s="2">
        <v>7.2576150958393896E-4</v>
      </c>
      <c r="E4077" s="2">
        <v>1.1515189581893901E-3</v>
      </c>
      <c r="F4077" s="2">
        <v>1.12797930096456E-3</v>
      </c>
    </row>
    <row r="4078" spans="1:6" x14ac:dyDescent="0.25">
      <c r="A4078" s="1" t="str">
        <f t="shared" si="149"/>
        <v>14460</v>
      </c>
      <c r="B4078" s="1" t="str">
        <f>"01803"</f>
        <v>01803</v>
      </c>
      <c r="C4078" s="2">
        <v>5.2931876321358103E-3</v>
      </c>
      <c r="D4078" s="2">
        <v>9.3873795257494105E-3</v>
      </c>
      <c r="E4078" s="2">
        <v>3.21727418015339E-3</v>
      </c>
      <c r="F4078" s="2">
        <v>5.5599125180271604E-3</v>
      </c>
    </row>
    <row r="4079" spans="1:6" x14ac:dyDescent="0.25">
      <c r="A4079" s="1" t="str">
        <f t="shared" si="149"/>
        <v>14460</v>
      </c>
      <c r="B4079" s="1" t="str">
        <f>"01810"</f>
        <v>01810</v>
      </c>
      <c r="C4079" s="2">
        <v>7.2004024780706602E-3</v>
      </c>
      <c r="D4079" s="2">
        <v>6.5707336671260198E-3</v>
      </c>
      <c r="E4079" s="2">
        <v>4.2920252077968297E-3</v>
      </c>
      <c r="F4079" s="2">
        <v>6.9696815570872298E-3</v>
      </c>
    </row>
    <row r="4080" spans="1:6" x14ac:dyDescent="0.25">
      <c r="A4080" s="1" t="str">
        <f t="shared" si="149"/>
        <v>14460</v>
      </c>
      <c r="B4080" s="1" t="str">
        <f>"01843"</f>
        <v>01843</v>
      </c>
      <c r="C4080" s="2">
        <v>4.4091317543759299E-3</v>
      </c>
      <c r="D4080" s="2">
        <v>3.6763276467614999E-3</v>
      </c>
      <c r="E4080" s="2">
        <v>6.0995610270153299E-3</v>
      </c>
      <c r="F4080" s="2">
        <v>4.43890618001401E-3</v>
      </c>
    </row>
    <row r="4081" spans="1:6" x14ac:dyDescent="0.25">
      <c r="A4081" s="1" t="str">
        <f t="shared" si="149"/>
        <v>14460</v>
      </c>
      <c r="B4081" s="1" t="str">
        <f>"01852"</f>
        <v>01852</v>
      </c>
      <c r="C4081" s="2">
        <v>7.1383634691050499E-3</v>
      </c>
      <c r="D4081" s="2">
        <v>6.4238533616149899E-3</v>
      </c>
      <c r="E4081" s="2">
        <v>7.4185736518504498E-3</v>
      </c>
      <c r="F4081" s="2">
        <v>7.0869914043875503E-3</v>
      </c>
    </row>
    <row r="4082" spans="1:6" x14ac:dyDescent="0.25">
      <c r="A4082" s="1" t="str">
        <f t="shared" si="149"/>
        <v>14460</v>
      </c>
      <c r="B4082" s="1" t="str">
        <f>"02199"</f>
        <v>02199</v>
      </c>
      <c r="C4082" s="2">
        <v>7.5513106225323699E-4</v>
      </c>
      <c r="D4082" s="2">
        <v>2.2723247264354301E-3</v>
      </c>
      <c r="E4082" s="2">
        <v>1.9540927775335101E-4</v>
      </c>
      <c r="F4082" s="2">
        <v>8.6628810314078595E-4</v>
      </c>
    </row>
    <row r="4083" spans="1:6" x14ac:dyDescent="0.25">
      <c r="A4083" s="1" t="str">
        <f t="shared" si="149"/>
        <v>14460</v>
      </c>
      <c r="B4083" s="1" t="str">
        <f>"02472"</f>
        <v>02472</v>
      </c>
      <c r="C4083" s="2">
        <v>7.8503580329368893E-3</v>
      </c>
      <c r="D4083" s="2">
        <v>5.47777139376449E-3</v>
      </c>
      <c r="E4083" s="2">
        <v>4.9131475549414102E-3</v>
      </c>
      <c r="F4083" s="2">
        <v>7.4524566979000699E-3</v>
      </c>
    </row>
    <row r="4084" spans="1:6" x14ac:dyDescent="0.25">
      <c r="A4084" s="1" t="str">
        <f t="shared" si="149"/>
        <v>14460</v>
      </c>
      <c r="B4084" s="1" t="str">
        <f>"02476"</f>
        <v>02476</v>
      </c>
      <c r="C4084" s="2">
        <v>3.7640229970851299E-3</v>
      </c>
      <c r="D4084" s="2">
        <v>3.2875268380558199E-3</v>
      </c>
      <c r="E4084" s="2">
        <v>2.27512230527116E-3</v>
      </c>
      <c r="F4084" s="2">
        <v>3.6312730005233799E-3</v>
      </c>
    </row>
    <row r="4085" spans="1:6" x14ac:dyDescent="0.25">
      <c r="A4085" s="1" t="str">
        <f t="shared" si="149"/>
        <v>14460</v>
      </c>
      <c r="B4085" s="1" t="str">
        <f>"02481"</f>
        <v>02481</v>
      </c>
      <c r="C4085" s="2">
        <v>2.6405353190986098E-3</v>
      </c>
      <c r="D4085" s="2">
        <v>3.10263045347134E-2</v>
      </c>
      <c r="E4085" s="2">
        <v>1.34692823594274E-3</v>
      </c>
      <c r="F4085" s="2">
        <v>5.2596649368249499E-3</v>
      </c>
    </row>
    <row r="4086" spans="1:6" x14ac:dyDescent="0.25">
      <c r="A4086" s="1" t="str">
        <f t="shared" si="149"/>
        <v>14460</v>
      </c>
      <c r="B4086" s="1" t="str">
        <f>"03848"</f>
        <v>03848</v>
      </c>
      <c r="C4086" s="2">
        <v>1.22478574731317E-3</v>
      </c>
      <c r="D4086" s="2">
        <v>6.5232135682842204E-4</v>
      </c>
      <c r="E4086" s="2">
        <v>3.4196623606836502E-4</v>
      </c>
      <c r="F4086" s="2">
        <v>1.1185452922655801E-3</v>
      </c>
    </row>
    <row r="4087" spans="1:6" x14ac:dyDescent="0.25">
      <c r="A4087" s="1" t="str">
        <f t="shared" si="149"/>
        <v>14460</v>
      </c>
      <c r="B4087" s="1" t="str">
        <f>"03858"</f>
        <v>03858</v>
      </c>
      <c r="C4087" s="2">
        <v>1.07841246053495E-3</v>
      </c>
      <c r="D4087" s="2">
        <v>5.44321132187954E-4</v>
      </c>
      <c r="E4087" s="2">
        <v>1.8843037497644601E-4</v>
      </c>
      <c r="F4087" s="2">
        <v>9.75394464615904E-4</v>
      </c>
    </row>
    <row r="4088" spans="1:6" x14ac:dyDescent="0.25">
      <c r="A4088" s="1" t="str">
        <f t="shared" si="149"/>
        <v>14460</v>
      </c>
      <c r="B4088" s="1" t="str">
        <f>"03809"</f>
        <v>03809</v>
      </c>
      <c r="C4088" s="2">
        <v>1.4540392726313899E-6</v>
      </c>
      <c r="D4088" s="2">
        <v>0</v>
      </c>
      <c r="E4088" s="2">
        <v>0</v>
      </c>
      <c r="F4088" s="2">
        <v>1.23052287377952E-6</v>
      </c>
    </row>
    <row r="4089" spans="1:6" x14ac:dyDescent="0.25">
      <c r="A4089" s="1" t="str">
        <f t="shared" si="149"/>
        <v>14460</v>
      </c>
      <c r="B4089" s="1" t="str">
        <f>"03803"</f>
        <v>03803</v>
      </c>
      <c r="C4089" s="2">
        <v>0</v>
      </c>
      <c r="D4089" s="2">
        <v>0</v>
      </c>
      <c r="E4089" s="2">
        <v>6.9789027769054097E-6</v>
      </c>
      <c r="F4089" s="2">
        <v>4.10174291259842E-7</v>
      </c>
    </row>
    <row r="4090" spans="1:6" x14ac:dyDescent="0.25">
      <c r="A4090" s="1" t="str">
        <f t="shared" si="149"/>
        <v>14460</v>
      </c>
      <c r="B4090" s="1" t="str">
        <f>"01451"</f>
        <v>01451</v>
      </c>
      <c r="C4090" s="2">
        <v>1.55097522414015E-5</v>
      </c>
      <c r="D4090" s="2">
        <v>0</v>
      </c>
      <c r="E4090" s="2">
        <v>0</v>
      </c>
      <c r="F4090" s="2">
        <v>1.31255773203149E-5</v>
      </c>
    </row>
    <row r="4091" spans="1:6" x14ac:dyDescent="0.25">
      <c r="A4091" s="1" t="str">
        <f t="shared" ref="A4091:A4154" si="150">"14460"</f>
        <v>14460</v>
      </c>
      <c r="B4091" s="1" t="str">
        <f>"02196"</f>
        <v>02196</v>
      </c>
      <c r="C4091" s="2">
        <v>7.2895835534587201E-4</v>
      </c>
      <c r="D4091" s="2">
        <v>1.17072243510266E-3</v>
      </c>
      <c r="E4091" s="2">
        <v>1.3957805553810801E-5</v>
      </c>
      <c r="F4091" s="2">
        <v>7.2887971556873901E-4</v>
      </c>
    </row>
    <row r="4092" spans="1:6" x14ac:dyDescent="0.25">
      <c r="A4092" s="1" t="str">
        <f t="shared" si="150"/>
        <v>14460</v>
      </c>
      <c r="B4092" s="1" t="str">
        <f>"01965"</f>
        <v>01965</v>
      </c>
      <c r="C4092" s="2">
        <v>1.86601706654362E-4</v>
      </c>
      <c r="D4092" s="2">
        <v>1.9440040435284099E-4</v>
      </c>
      <c r="E4092" s="2">
        <v>4.1873416661432397E-5</v>
      </c>
      <c r="F4092" s="2">
        <v>1.78835990989291E-4</v>
      </c>
    </row>
    <row r="4093" spans="1:6" x14ac:dyDescent="0.25">
      <c r="A4093" s="1" t="str">
        <f t="shared" si="150"/>
        <v>14460</v>
      </c>
      <c r="B4093" s="1" t="str">
        <f>"02576"</f>
        <v>02576</v>
      </c>
      <c r="C4093" s="2">
        <v>9.1459070248514596E-4</v>
      </c>
      <c r="D4093" s="2">
        <v>3.19680664935783E-4</v>
      </c>
      <c r="E4093" s="2">
        <v>1.32599152761202E-4</v>
      </c>
      <c r="F4093" s="2">
        <v>8.1214509669448696E-4</v>
      </c>
    </row>
    <row r="4094" spans="1:6" x14ac:dyDescent="0.25">
      <c r="A4094" s="1" t="str">
        <f t="shared" si="150"/>
        <v>14460</v>
      </c>
      <c r="B4094" s="1" t="str">
        <f>"03854"</f>
        <v>03854</v>
      </c>
      <c r="C4094" s="2">
        <v>2.5251815368031801E-4</v>
      </c>
      <c r="D4094" s="2">
        <v>8.6400179712373797E-6</v>
      </c>
      <c r="E4094" s="2">
        <v>6.9789027769054097E-6</v>
      </c>
      <c r="F4094" s="2">
        <v>2.1493132862015701E-4</v>
      </c>
    </row>
    <row r="4095" spans="1:6" x14ac:dyDescent="0.25">
      <c r="A4095" s="1" t="str">
        <f t="shared" si="150"/>
        <v>14460</v>
      </c>
      <c r="B4095" s="1" t="str">
        <f>"03823"</f>
        <v>03823</v>
      </c>
      <c r="C4095" s="2">
        <v>3.5187750397679699E-4</v>
      </c>
      <c r="D4095" s="2">
        <v>1.16640242611704E-4</v>
      </c>
      <c r="E4095" s="2">
        <v>5.5831222215243298E-5</v>
      </c>
      <c r="F4095" s="2">
        <v>3.12142635648739E-4</v>
      </c>
    </row>
    <row r="4096" spans="1:6" x14ac:dyDescent="0.25">
      <c r="A4096" s="1" t="str">
        <f t="shared" si="150"/>
        <v>14460</v>
      </c>
      <c r="B4096" s="1" t="str">
        <f>"02739"</f>
        <v>02739</v>
      </c>
      <c r="C4096" s="2">
        <v>2.17863551015937E-3</v>
      </c>
      <c r="D4096" s="2">
        <v>1.5768032797508201E-3</v>
      </c>
      <c r="E4096" s="2">
        <v>2.1983543747252001E-3</v>
      </c>
      <c r="F4096" s="2">
        <v>2.1226519572696799E-3</v>
      </c>
    </row>
    <row r="4097" spans="1:6" x14ac:dyDescent="0.25">
      <c r="A4097" s="1" t="str">
        <f t="shared" si="150"/>
        <v>14460</v>
      </c>
      <c r="B4097" s="1" t="str">
        <f>"01450"</f>
        <v>01450</v>
      </c>
      <c r="C4097" s="2">
        <v>2.4166132711133702E-3</v>
      </c>
      <c r="D4097" s="2">
        <v>1.4428830011966401E-3</v>
      </c>
      <c r="E4097" s="2">
        <v>7.2580588879816305E-4</v>
      </c>
      <c r="F4097" s="2">
        <v>2.22478535579338E-3</v>
      </c>
    </row>
    <row r="4098" spans="1:6" x14ac:dyDescent="0.25">
      <c r="A4098" s="1" t="str">
        <f t="shared" si="150"/>
        <v>14460</v>
      </c>
      <c r="B4098" s="1" t="str">
        <f>"01431"</f>
        <v>01431</v>
      </c>
      <c r="C4098" s="2">
        <v>5.5786640093291096E-4</v>
      </c>
      <c r="D4098" s="2">
        <v>1.7280035942474699E-4</v>
      </c>
      <c r="E4098" s="2">
        <v>9.0725736099770299E-5</v>
      </c>
      <c r="F4098" s="2">
        <v>4.9384984667684895E-4</v>
      </c>
    </row>
    <row r="4099" spans="1:6" x14ac:dyDescent="0.25">
      <c r="A4099" s="1" t="str">
        <f t="shared" si="150"/>
        <v>14460</v>
      </c>
      <c r="B4099" s="1" t="str">
        <f>"01776"</f>
        <v>01776</v>
      </c>
      <c r="C4099" s="2">
        <v>3.60359399733813E-3</v>
      </c>
      <c r="D4099" s="2">
        <v>3.3048068739982899E-3</v>
      </c>
      <c r="E4099" s="2">
        <v>1.0538143193127101E-3</v>
      </c>
      <c r="F4099" s="2">
        <v>3.4253655063109399E-3</v>
      </c>
    </row>
    <row r="4100" spans="1:6" x14ac:dyDescent="0.25">
      <c r="A4100" s="1" t="str">
        <f t="shared" si="150"/>
        <v>14460</v>
      </c>
      <c r="B4100" s="1" t="str">
        <f>"01834"</f>
        <v>01834</v>
      </c>
      <c r="C4100" s="2">
        <v>1.2325406234338699E-3</v>
      </c>
      <c r="D4100" s="2">
        <v>5.4000112320233605E-4</v>
      </c>
      <c r="E4100" s="2">
        <v>4.3269197216813502E-4</v>
      </c>
      <c r="F4100" s="2">
        <v>1.11977581513936E-3</v>
      </c>
    </row>
    <row r="4101" spans="1:6" x14ac:dyDescent="0.25">
      <c r="A4101" s="1" t="str">
        <f t="shared" si="150"/>
        <v>14460</v>
      </c>
      <c r="B4101" s="1" t="str">
        <f>"01832"</f>
        <v>01832</v>
      </c>
      <c r="C4101" s="2">
        <v>4.7421067478085202E-3</v>
      </c>
      <c r="D4101" s="2">
        <v>2.3716849331046602E-3</v>
      </c>
      <c r="E4101" s="2">
        <v>5.2132403743483397E-3</v>
      </c>
      <c r="F4101" s="2">
        <v>4.5447311471590503E-3</v>
      </c>
    </row>
    <row r="4102" spans="1:6" x14ac:dyDescent="0.25">
      <c r="A4102" s="1" t="str">
        <f t="shared" si="150"/>
        <v>14460</v>
      </c>
      <c r="B4102" s="1" t="str">
        <f>"01862"</f>
        <v>01862</v>
      </c>
      <c r="C4102" s="2">
        <v>2.07733744083271E-3</v>
      </c>
      <c r="D4102" s="2">
        <v>2.5056052116588399E-3</v>
      </c>
      <c r="E4102" s="2">
        <v>7.6767930545959496E-4</v>
      </c>
      <c r="F4102" s="2">
        <v>2.04102727330897E-3</v>
      </c>
    </row>
    <row r="4103" spans="1:6" x14ac:dyDescent="0.25">
      <c r="A4103" s="1" t="str">
        <f t="shared" si="150"/>
        <v>14460</v>
      </c>
      <c r="B4103" s="1" t="str">
        <f>"01902"</f>
        <v>01902</v>
      </c>
      <c r="C4103" s="2">
        <v>7.2023411971008297E-3</v>
      </c>
      <c r="D4103" s="2">
        <v>2.3889649690471298E-3</v>
      </c>
      <c r="E4103" s="2">
        <v>1.3078463803920699E-2</v>
      </c>
      <c r="F4103" s="2">
        <v>7.0906829730088897E-3</v>
      </c>
    </row>
    <row r="4104" spans="1:6" x14ac:dyDescent="0.25">
      <c r="A4104" s="1" t="str">
        <f t="shared" si="150"/>
        <v>14460</v>
      </c>
      <c r="B4104" s="1" t="str">
        <f>"01887"</f>
        <v>01887</v>
      </c>
      <c r="C4104" s="2">
        <v>4.2971707303833097E-3</v>
      </c>
      <c r="D4104" s="2">
        <v>5.4302512949226901E-3</v>
      </c>
      <c r="E4104" s="2">
        <v>1.56327422202681E-3</v>
      </c>
      <c r="F4104" s="2">
        <v>4.2440733916655803E-3</v>
      </c>
    </row>
    <row r="4105" spans="1:6" x14ac:dyDescent="0.25">
      <c r="A4105" s="1" t="str">
        <f t="shared" si="150"/>
        <v>14460</v>
      </c>
      <c r="B4105" s="1" t="str">
        <f>"01952"</f>
        <v>01952</v>
      </c>
      <c r="C4105" s="2">
        <v>2.52857429510599E-3</v>
      </c>
      <c r="D4105" s="2">
        <v>2.03040422324078E-3</v>
      </c>
      <c r="E4105" s="2">
        <v>2.065755221964E-3</v>
      </c>
      <c r="F4105" s="2">
        <v>2.45407278460763E-3</v>
      </c>
    </row>
    <row r="4106" spans="1:6" x14ac:dyDescent="0.25">
      <c r="A4106" s="1" t="str">
        <f t="shared" si="150"/>
        <v>14460</v>
      </c>
      <c r="B4106" s="1" t="str">
        <f>"01940"</f>
        <v>01940</v>
      </c>
      <c r="C4106" s="2">
        <v>2.6938500924284202E-3</v>
      </c>
      <c r="D4106" s="2">
        <v>2.4321650589033202E-3</v>
      </c>
      <c r="E4106" s="2">
        <v>6.9789027769054097E-4</v>
      </c>
      <c r="F4106" s="2">
        <v>2.5516942659274699E-3</v>
      </c>
    </row>
    <row r="4107" spans="1:6" x14ac:dyDescent="0.25">
      <c r="A4107" s="1" t="str">
        <f t="shared" si="150"/>
        <v>14460</v>
      </c>
      <c r="B4107" s="1" t="str">
        <f>"01969"</f>
        <v>01969</v>
      </c>
      <c r="C4107" s="2">
        <v>1.39151558390824E-3</v>
      </c>
      <c r="D4107" s="2">
        <v>1.5336031898946301E-3</v>
      </c>
      <c r="E4107" s="2">
        <v>6.0018563881386502E-4</v>
      </c>
      <c r="F4107" s="2">
        <v>1.35849725265259E-3</v>
      </c>
    </row>
    <row r="4108" spans="1:6" x14ac:dyDescent="0.25">
      <c r="A4108" s="1" t="str">
        <f t="shared" si="150"/>
        <v>14460</v>
      </c>
      <c r="B4108" s="1" t="str">
        <f>"01983"</f>
        <v>01983</v>
      </c>
      <c r="C4108" s="2">
        <v>1.1423901885307299E-3</v>
      </c>
      <c r="D4108" s="2">
        <v>1.3694428484411201E-3</v>
      </c>
      <c r="E4108" s="2">
        <v>5.58312222152433E-4</v>
      </c>
      <c r="F4108" s="2">
        <v>1.1296199981295999E-3</v>
      </c>
    </row>
    <row r="4109" spans="1:6" x14ac:dyDescent="0.25">
      <c r="A4109" s="1" t="str">
        <f t="shared" si="150"/>
        <v>14460</v>
      </c>
      <c r="B4109" s="1" t="str">
        <f>"01985"</f>
        <v>01985</v>
      </c>
      <c r="C4109" s="2">
        <v>1.10167708889705E-3</v>
      </c>
      <c r="D4109" s="2">
        <v>5.4864114117357304E-4</v>
      </c>
      <c r="E4109" s="2">
        <v>2.16345986084067E-4</v>
      </c>
      <c r="F4109" s="2">
        <v>9.9713370205267607E-4</v>
      </c>
    </row>
    <row r="4110" spans="1:6" x14ac:dyDescent="0.25">
      <c r="A4110" s="1" t="str">
        <f t="shared" si="150"/>
        <v>14460</v>
      </c>
      <c r="B4110" s="1" t="str">
        <f>"02045"</f>
        <v>02045</v>
      </c>
      <c r="C4110" s="2">
        <v>2.8150200318143698E-3</v>
      </c>
      <c r="D4110" s="2">
        <v>9.5040197683611105E-4</v>
      </c>
      <c r="E4110" s="2">
        <v>1.6400421525727699E-3</v>
      </c>
      <c r="F4110" s="2">
        <v>2.5689215861603898E-3</v>
      </c>
    </row>
    <row r="4111" spans="1:6" x14ac:dyDescent="0.25">
      <c r="A4111" s="1" t="str">
        <f t="shared" si="150"/>
        <v>14460</v>
      </c>
      <c r="B4111" s="1" t="str">
        <f>"02035"</f>
        <v>02035</v>
      </c>
      <c r="C4111" s="2">
        <v>4.0141177519777303E-3</v>
      </c>
      <c r="D4111" s="2">
        <v>4.3848091204029696E-3</v>
      </c>
      <c r="E4111" s="2">
        <v>3.52434590233723E-3</v>
      </c>
      <c r="F4111" s="2">
        <v>4.0205284029289703E-3</v>
      </c>
    </row>
    <row r="4112" spans="1:6" x14ac:dyDescent="0.25">
      <c r="A4112" s="1" t="str">
        <f t="shared" si="150"/>
        <v>14460</v>
      </c>
      <c r="B4112" s="1" t="str">
        <f>"02071"</f>
        <v>02071</v>
      </c>
      <c r="C4112" s="2">
        <v>1.58490280716821E-4</v>
      </c>
      <c r="D4112" s="2">
        <v>5.18401078274242E-5</v>
      </c>
      <c r="E4112" s="2">
        <v>4.8852319438337902E-5</v>
      </c>
      <c r="F4112" s="2">
        <v>1.41920304775905E-4</v>
      </c>
    </row>
    <row r="4113" spans="1:6" x14ac:dyDescent="0.25">
      <c r="A4113" s="1" t="str">
        <f t="shared" si="150"/>
        <v>14460</v>
      </c>
      <c r="B4113" s="1" t="str">
        <f>"02119"</f>
        <v>02119</v>
      </c>
      <c r="C4113" s="2">
        <v>5.1860734057186299E-3</v>
      </c>
      <c r="D4113" s="2">
        <v>4.9680103334614903E-3</v>
      </c>
      <c r="E4113" s="2">
        <v>1.1452379456901699E-2</v>
      </c>
      <c r="F4113" s="2">
        <v>5.5336613633865297E-3</v>
      </c>
    </row>
    <row r="4114" spans="1:6" x14ac:dyDescent="0.25">
      <c r="A4114" s="1" t="str">
        <f t="shared" si="150"/>
        <v>14460</v>
      </c>
      <c r="B4114" s="1" t="str">
        <f>"02123"</f>
        <v>02123</v>
      </c>
      <c r="C4114" s="2">
        <v>4.8516443730134098E-4</v>
      </c>
      <c r="D4114" s="2">
        <v>7.1712149161270197E-4</v>
      </c>
      <c r="E4114" s="2">
        <v>1.3957805553810801E-5</v>
      </c>
      <c r="F4114" s="2">
        <v>4.79493746482755E-4</v>
      </c>
    </row>
    <row r="4115" spans="1:6" x14ac:dyDescent="0.25">
      <c r="A4115" s="1" t="str">
        <f t="shared" si="150"/>
        <v>14460</v>
      </c>
      <c r="B4115" s="1" t="str">
        <f>"02131"</f>
        <v>02131</v>
      </c>
      <c r="C4115" s="2">
        <v>5.2878561548028299E-3</v>
      </c>
      <c r="D4115" s="2">
        <v>2.7993658226809102E-3</v>
      </c>
      <c r="E4115" s="2">
        <v>8.4305145545017397E-3</v>
      </c>
      <c r="F4115" s="2">
        <v>5.2362850022231403E-3</v>
      </c>
    </row>
    <row r="4116" spans="1:6" x14ac:dyDescent="0.25">
      <c r="A4116" s="1" t="str">
        <f t="shared" si="150"/>
        <v>14460</v>
      </c>
      <c r="B4116" s="1" t="str">
        <f>"02125"</f>
        <v>02125</v>
      </c>
      <c r="C4116" s="2">
        <v>5.4497391938224601E-3</v>
      </c>
      <c r="D4116" s="2">
        <v>3.0283262989187001E-3</v>
      </c>
      <c r="E4116" s="2">
        <v>2.0504016358548101E-2</v>
      </c>
      <c r="F4116" s="2">
        <v>6.1046239768202297E-3</v>
      </c>
    </row>
    <row r="4117" spans="1:6" x14ac:dyDescent="0.25">
      <c r="A4117" s="1" t="str">
        <f t="shared" si="150"/>
        <v>14460</v>
      </c>
      <c r="B4117" s="1" t="str">
        <f>"02128"</f>
        <v>02128</v>
      </c>
      <c r="C4117" s="2">
        <v>5.9455665857897702E-3</v>
      </c>
      <c r="D4117" s="2">
        <v>5.4475313308651602E-3</v>
      </c>
      <c r="E4117" s="2">
        <v>2.3135062705441401E-2</v>
      </c>
      <c r="F4117" s="2">
        <v>6.9085655876895196E-3</v>
      </c>
    </row>
    <row r="4118" spans="1:6" x14ac:dyDescent="0.25">
      <c r="A4118" s="1" t="str">
        <f t="shared" si="150"/>
        <v>14460</v>
      </c>
      <c r="B4118" s="1" t="str">
        <f>"02135"</f>
        <v>02135</v>
      </c>
      <c r="C4118" s="2">
        <v>1.0211233131932699E-2</v>
      </c>
      <c r="D4118" s="2">
        <v>4.5878495427270401E-3</v>
      </c>
      <c r="E4118" s="2">
        <v>1.70703961923106E-2</v>
      </c>
      <c r="F4118" s="2">
        <v>1.00804433820018E-2</v>
      </c>
    </row>
    <row r="4119" spans="1:6" x14ac:dyDescent="0.25">
      <c r="A4119" s="1" t="str">
        <f t="shared" si="150"/>
        <v>14460</v>
      </c>
      <c r="B4119" s="1" t="str">
        <f>"02138"</f>
        <v>02138</v>
      </c>
      <c r="C4119" s="2">
        <v>1.1940570506849E-2</v>
      </c>
      <c r="D4119" s="2">
        <v>1.39277089696346E-2</v>
      </c>
      <c r="E4119" s="2">
        <v>1.2240995470692E-2</v>
      </c>
      <c r="F4119" s="2">
        <v>1.21469014613689E-2</v>
      </c>
    </row>
    <row r="4120" spans="1:6" x14ac:dyDescent="0.25">
      <c r="A4120" s="1" t="str">
        <f t="shared" si="150"/>
        <v>14460</v>
      </c>
      <c r="B4120" s="1" t="str">
        <f>"02136"</f>
        <v>02136</v>
      </c>
      <c r="C4120" s="2">
        <v>6.2882351743732299E-3</v>
      </c>
      <c r="D4120" s="2">
        <v>4.5187293989571399E-3</v>
      </c>
      <c r="E4120" s="2">
        <v>5.7227002770624397E-3</v>
      </c>
      <c r="F4120" s="2">
        <v>6.0869864822960503E-3</v>
      </c>
    </row>
    <row r="4121" spans="1:6" x14ac:dyDescent="0.25">
      <c r="A4121" s="1" t="str">
        <f t="shared" si="150"/>
        <v>14460</v>
      </c>
      <c r="B4121" s="1" t="str">
        <f>"02142"</f>
        <v>02142</v>
      </c>
      <c r="C4121" s="2">
        <v>1.5567913812306699E-3</v>
      </c>
      <c r="D4121" s="2">
        <v>3.0456063348611698E-3</v>
      </c>
      <c r="E4121" s="2">
        <v>6.2112234714458098E-4</v>
      </c>
      <c r="F4121" s="2">
        <v>1.6431582107869201E-3</v>
      </c>
    </row>
    <row r="4122" spans="1:6" x14ac:dyDescent="0.25">
      <c r="A4122" s="1" t="str">
        <f t="shared" si="150"/>
        <v>14460</v>
      </c>
      <c r="B4122" s="1" t="str">
        <f>"02155"</f>
        <v>02155</v>
      </c>
      <c r="C4122" s="2">
        <v>1.22158686091338E-2</v>
      </c>
      <c r="D4122" s="2">
        <v>7.9401765155671499E-3</v>
      </c>
      <c r="E4122" s="2">
        <v>6.4624639714144097E-3</v>
      </c>
      <c r="F4122" s="2">
        <v>1.14717545779552E-2</v>
      </c>
    </row>
    <row r="4123" spans="1:6" x14ac:dyDescent="0.25">
      <c r="A4123" s="1" t="str">
        <f t="shared" si="150"/>
        <v>14460</v>
      </c>
      <c r="B4123" s="1" t="str">
        <f>"02152"</f>
        <v>02152</v>
      </c>
      <c r="C4123" s="2">
        <v>4.0524074528236901E-3</v>
      </c>
      <c r="D4123" s="2">
        <v>2.1988845736799099E-3</v>
      </c>
      <c r="E4123" s="2">
        <v>5.27605049934049E-3</v>
      </c>
      <c r="F4123" s="2">
        <v>3.9483377276672404E-3</v>
      </c>
    </row>
    <row r="4124" spans="1:6" x14ac:dyDescent="0.25">
      <c r="A4124" s="1" t="str">
        <f t="shared" si="150"/>
        <v>14460</v>
      </c>
      <c r="B4124" s="1" t="str">
        <f>"02170"</f>
        <v>02170</v>
      </c>
      <c r="C4124" s="2">
        <v>3.7960118610830202E-3</v>
      </c>
      <c r="D4124" s="2">
        <v>1.3651228394555E-3</v>
      </c>
      <c r="E4124" s="2">
        <v>3.6918395689829599E-3</v>
      </c>
      <c r="F4124" s="2">
        <v>3.5590823252616499E-3</v>
      </c>
    </row>
    <row r="4125" spans="1:6" x14ac:dyDescent="0.25">
      <c r="A4125" s="1" t="str">
        <f t="shared" si="150"/>
        <v>14460</v>
      </c>
      <c r="B4125" s="1" t="str">
        <f>"02186"</f>
        <v>02186</v>
      </c>
      <c r="C4125" s="2">
        <v>4.8744243216179697E-3</v>
      </c>
      <c r="D4125" s="2">
        <v>2.39760498701837E-3</v>
      </c>
      <c r="E4125" s="2">
        <v>9.2819406932841998E-4</v>
      </c>
      <c r="F4125" s="2">
        <v>4.407322759587E-3</v>
      </c>
    </row>
    <row r="4126" spans="1:6" x14ac:dyDescent="0.25">
      <c r="A4126" s="1" t="str">
        <f t="shared" si="150"/>
        <v>14460</v>
      </c>
      <c r="B4126" s="1" t="str">
        <f>"02190"</f>
        <v>02190</v>
      </c>
      <c r="C4126" s="2">
        <v>4.0252653864012401E-3</v>
      </c>
      <c r="D4126" s="2">
        <v>2.6827255800692001E-3</v>
      </c>
      <c r="E4126" s="2">
        <v>2.8124978190928801E-3</v>
      </c>
      <c r="F4126" s="2">
        <v>3.8265159631630601E-3</v>
      </c>
    </row>
    <row r="4127" spans="1:6" x14ac:dyDescent="0.25">
      <c r="A4127" s="1" t="str">
        <f t="shared" si="150"/>
        <v>14460</v>
      </c>
      <c r="B4127" s="1" t="str">
        <f>"02184"</f>
        <v>02184</v>
      </c>
      <c r="C4127" s="2">
        <v>7.1441796261955803E-3</v>
      </c>
      <c r="D4127" s="2">
        <v>8.7480181958778398E-3</v>
      </c>
      <c r="E4127" s="2">
        <v>6.42059055475298E-3</v>
      </c>
      <c r="F4127" s="2">
        <v>7.2539323409302999E-3</v>
      </c>
    </row>
    <row r="4128" spans="1:6" x14ac:dyDescent="0.25">
      <c r="A4128" s="1" t="str">
        <f t="shared" si="150"/>
        <v>14460</v>
      </c>
      <c r="B4128" s="1" t="str">
        <f>"02332"</f>
        <v>02332</v>
      </c>
      <c r="C4128" s="2">
        <v>2.9628473578652299E-3</v>
      </c>
      <c r="D4128" s="2">
        <v>1.05840220147657E-3</v>
      </c>
      <c r="E4128" s="2">
        <v>6.6997466658291901E-4</v>
      </c>
      <c r="F4128" s="2">
        <v>2.6472648757910199E-3</v>
      </c>
    </row>
    <row r="4129" spans="1:6" x14ac:dyDescent="0.25">
      <c r="A4129" s="1" t="str">
        <f t="shared" si="150"/>
        <v>14460</v>
      </c>
      <c r="B4129" s="1" t="str">
        <f>"02345"</f>
        <v>02345</v>
      </c>
      <c r="C4129" s="2">
        <v>1.03624532162864E-3</v>
      </c>
      <c r="D4129" s="2">
        <v>4.5360094348996201E-4</v>
      </c>
      <c r="E4129" s="2">
        <v>2.0936708330716199E-5</v>
      </c>
      <c r="F4129" s="2">
        <v>9.21251458169605E-4</v>
      </c>
    </row>
    <row r="4130" spans="1:6" x14ac:dyDescent="0.25">
      <c r="A4130" s="1" t="str">
        <f t="shared" si="150"/>
        <v>14460</v>
      </c>
      <c r="B4130" s="1" t="str">
        <f>"02382"</f>
        <v>02382</v>
      </c>
      <c r="C4130" s="2">
        <v>2.88190583835542E-3</v>
      </c>
      <c r="D4130" s="2">
        <v>2.2032045826655298E-3</v>
      </c>
      <c r="E4130" s="2">
        <v>2.17741766639448E-3</v>
      </c>
      <c r="F4130" s="2">
        <v>2.7760596032466102E-3</v>
      </c>
    </row>
    <row r="4131" spans="1:6" x14ac:dyDescent="0.25">
      <c r="A4131" s="1" t="str">
        <f t="shared" si="150"/>
        <v>14460</v>
      </c>
      <c r="B4131" s="1" t="str">
        <f>"02459"</f>
        <v>02459</v>
      </c>
      <c r="C4131" s="2">
        <v>3.4969644506785001E-3</v>
      </c>
      <c r="D4131" s="2">
        <v>3.8318479702437701E-3</v>
      </c>
      <c r="E4131" s="2">
        <v>1.1724556665200999E-3</v>
      </c>
      <c r="F4131" s="2">
        <v>3.39214138871889E-3</v>
      </c>
    </row>
    <row r="4132" spans="1:6" x14ac:dyDescent="0.25">
      <c r="A4132" s="1" t="str">
        <f t="shared" si="150"/>
        <v>14460</v>
      </c>
      <c r="B4132" s="1" t="str">
        <f>"03077"</f>
        <v>03077</v>
      </c>
      <c r="C4132" s="2">
        <v>2.1926912231281402E-3</v>
      </c>
      <c r="D4132" s="2">
        <v>7.2576150958393896E-4</v>
      </c>
      <c r="E4132" s="2">
        <v>8.5142613878245999E-4</v>
      </c>
      <c r="F4132" s="2">
        <v>1.9745790381248802E-3</v>
      </c>
    </row>
    <row r="4133" spans="1:6" x14ac:dyDescent="0.25">
      <c r="A4133" s="1" t="str">
        <f t="shared" si="150"/>
        <v>14460</v>
      </c>
      <c r="B4133" s="1" t="str">
        <f>"03038"</f>
        <v>03038</v>
      </c>
      <c r="C4133" s="2">
        <v>7.5304693929579896E-3</v>
      </c>
      <c r="D4133" s="2">
        <v>5.76289198681533E-3</v>
      </c>
      <c r="E4133" s="2">
        <v>5.1853247632407196E-3</v>
      </c>
      <c r="F4133" s="2">
        <v>7.2248099662508497E-3</v>
      </c>
    </row>
    <row r="4134" spans="1:6" x14ac:dyDescent="0.25">
      <c r="A4134" s="1" t="str">
        <f t="shared" si="150"/>
        <v>14460</v>
      </c>
      <c r="B4134" s="1" t="str">
        <f>"03042"</f>
        <v>03042</v>
      </c>
      <c r="C4134" s="2">
        <v>1.4065406563920999E-3</v>
      </c>
      <c r="D4134" s="2">
        <v>9.3312194089363695E-4</v>
      </c>
      <c r="E4134" s="2">
        <v>7.04869180467446E-4</v>
      </c>
      <c r="F4134" s="2">
        <v>1.3203510435654299E-3</v>
      </c>
    </row>
    <row r="4135" spans="1:6" x14ac:dyDescent="0.25">
      <c r="A4135" s="1" t="str">
        <f t="shared" si="150"/>
        <v>14460</v>
      </c>
      <c r="B4135" s="1" t="str">
        <f>"02538"</f>
        <v>02538</v>
      </c>
      <c r="C4135" s="2">
        <v>9.6305867823952599E-4</v>
      </c>
      <c r="D4135" s="2">
        <v>8.5968178813811895E-4</v>
      </c>
      <c r="E4135" s="2">
        <v>2.8613501385312202E-4</v>
      </c>
      <c r="F4135" s="2">
        <v>9.1345814663566804E-4</v>
      </c>
    </row>
    <row r="4136" spans="1:6" x14ac:dyDescent="0.25">
      <c r="A4136" s="1" t="str">
        <f t="shared" si="150"/>
        <v>14460</v>
      </c>
      <c r="B4136" s="1" t="str">
        <f>"01805"</f>
        <v>01805</v>
      </c>
      <c r="C4136" s="2">
        <v>0</v>
      </c>
      <c r="D4136" s="2">
        <v>4.3200089856186898E-6</v>
      </c>
      <c r="E4136" s="2">
        <v>0</v>
      </c>
      <c r="F4136" s="2">
        <v>4.10174291259842E-7</v>
      </c>
    </row>
    <row r="4137" spans="1:6" x14ac:dyDescent="0.25">
      <c r="A4137" s="1" t="str">
        <f t="shared" si="150"/>
        <v>14460</v>
      </c>
      <c r="B4137" s="1" t="str">
        <f>"01866"</f>
        <v>01866</v>
      </c>
      <c r="C4137" s="2">
        <v>0</v>
      </c>
      <c r="D4137" s="2">
        <v>0</v>
      </c>
      <c r="E4137" s="2">
        <v>6.9789027769054097E-6</v>
      </c>
      <c r="F4137" s="2">
        <v>4.10174291259842E-7</v>
      </c>
    </row>
    <row r="4138" spans="1:6" x14ac:dyDescent="0.25">
      <c r="A4138" s="1" t="str">
        <f t="shared" si="150"/>
        <v>14460</v>
      </c>
      <c r="B4138" s="1" t="str">
        <f>"01504"</f>
        <v>01504</v>
      </c>
      <c r="C4138" s="2">
        <v>2.9080785452627798E-6</v>
      </c>
      <c r="D4138" s="2">
        <v>0</v>
      </c>
      <c r="E4138" s="2">
        <v>0</v>
      </c>
      <c r="F4138" s="2">
        <v>2.4610457475590501E-6</v>
      </c>
    </row>
    <row r="4139" spans="1:6" x14ac:dyDescent="0.25">
      <c r="A4139" s="1" t="str">
        <f t="shared" si="150"/>
        <v>14460</v>
      </c>
      <c r="B4139" s="1" t="str">
        <f>"01756"</f>
        <v>01756</v>
      </c>
      <c r="C4139" s="2">
        <v>1.4540392726313899E-6</v>
      </c>
      <c r="D4139" s="2">
        <v>0</v>
      </c>
      <c r="E4139" s="2">
        <v>0</v>
      </c>
      <c r="F4139" s="2">
        <v>1.23052287377952E-6</v>
      </c>
    </row>
    <row r="4140" spans="1:6" x14ac:dyDescent="0.25">
      <c r="A4140" s="1" t="str">
        <f t="shared" si="150"/>
        <v>14460</v>
      </c>
      <c r="B4140" s="1" t="str">
        <f>"02348"</f>
        <v>02348</v>
      </c>
      <c r="C4140" s="2">
        <v>0</v>
      </c>
      <c r="D4140" s="2">
        <v>4.3200089856186898E-6</v>
      </c>
      <c r="E4140" s="2">
        <v>0</v>
      </c>
      <c r="F4140" s="2">
        <v>4.10174291259842E-7</v>
      </c>
    </row>
    <row r="4141" spans="1:6" x14ac:dyDescent="0.25">
      <c r="A4141" s="1" t="str">
        <f t="shared" si="150"/>
        <v>14460</v>
      </c>
      <c r="B4141" s="1" t="str">
        <f>"01434"</f>
        <v>01434</v>
      </c>
      <c r="C4141" s="2">
        <v>2.4718667634733701E-5</v>
      </c>
      <c r="D4141" s="2">
        <v>1.51200314496654E-4</v>
      </c>
      <c r="E4141" s="2">
        <v>1.1864134720739201E-4</v>
      </c>
      <c r="F4141" s="2">
        <v>4.22479519997637E-5</v>
      </c>
    </row>
    <row r="4142" spans="1:6" x14ac:dyDescent="0.25">
      <c r="A4142" s="1" t="str">
        <f t="shared" si="150"/>
        <v>14460</v>
      </c>
      <c r="B4142" s="1" t="str">
        <f>"03821"</f>
        <v>03821</v>
      </c>
      <c r="C4142" s="2">
        <v>6.0148757911185303E-4</v>
      </c>
      <c r="D4142" s="2">
        <v>1.6243233785926199E-3</v>
      </c>
      <c r="E4142" s="2">
        <v>6.9789027769054097E-6</v>
      </c>
      <c r="F4142" s="2">
        <v>6.63662003258424E-4</v>
      </c>
    </row>
    <row r="4143" spans="1:6" x14ac:dyDescent="0.25">
      <c r="A4143" s="1" t="str">
        <f t="shared" si="150"/>
        <v>14460</v>
      </c>
      <c r="B4143" s="1" t="str">
        <f>"02201"</f>
        <v>02201</v>
      </c>
      <c r="C4143" s="2">
        <v>0</v>
      </c>
      <c r="D4143" s="2">
        <v>1.7280035942474698E-5</v>
      </c>
      <c r="E4143" s="2">
        <v>3.6988184717598601E-4</v>
      </c>
      <c r="F4143" s="2">
        <v>2.3379934601810999E-5</v>
      </c>
    </row>
    <row r="4144" spans="1:6" x14ac:dyDescent="0.25">
      <c r="A4144" s="1" t="str">
        <f t="shared" si="150"/>
        <v>14460</v>
      </c>
      <c r="B4144" s="1" t="str">
        <f>"02331"</f>
        <v>02331</v>
      </c>
      <c r="C4144" s="2">
        <v>8.7775504091181802E-4</v>
      </c>
      <c r="D4144" s="2">
        <v>1.68048349540567E-3</v>
      </c>
      <c r="E4144" s="2">
        <v>2.7915611107621602E-5</v>
      </c>
      <c r="F4144" s="2">
        <v>9.0402413793669203E-4</v>
      </c>
    </row>
    <row r="4145" spans="1:6" x14ac:dyDescent="0.25">
      <c r="A4145" s="1" t="str">
        <f t="shared" si="150"/>
        <v>14460</v>
      </c>
      <c r="B4145" s="1" t="str">
        <f>"03291"</f>
        <v>03291</v>
      </c>
      <c r="C4145" s="2">
        <v>7.7548761207007604E-6</v>
      </c>
      <c r="D4145" s="2">
        <v>4.3200089856186898E-6</v>
      </c>
      <c r="E4145" s="2">
        <v>6.9789027769054097E-6</v>
      </c>
      <c r="F4145" s="2">
        <v>7.3831372426771502E-6</v>
      </c>
    </row>
    <row r="4146" spans="1:6" x14ac:dyDescent="0.25">
      <c r="A4146" s="1" t="str">
        <f t="shared" si="150"/>
        <v>14460</v>
      </c>
      <c r="B4146" s="1" t="str">
        <f>"02492"</f>
        <v>02492</v>
      </c>
      <c r="C4146" s="2">
        <v>3.9656497762233503E-3</v>
      </c>
      <c r="D4146" s="2">
        <v>3.3912070537106698E-3</v>
      </c>
      <c r="E4146" s="2">
        <v>1.2771392081736899E-3</v>
      </c>
      <c r="F4146" s="2">
        <v>3.7530947650275502E-3</v>
      </c>
    </row>
    <row r="4147" spans="1:6" x14ac:dyDescent="0.25">
      <c r="A4147" s="1" t="str">
        <f t="shared" si="150"/>
        <v>14460</v>
      </c>
      <c r="B4147" s="1" t="str">
        <f>"01822"</f>
        <v>01822</v>
      </c>
      <c r="C4147" s="2">
        <v>1.2747077623401801E-4</v>
      </c>
      <c r="D4147" s="2">
        <v>1.98720413338459E-4</v>
      </c>
      <c r="E4147" s="2">
        <v>1.3957805553810801E-5</v>
      </c>
      <c r="F4147" s="2">
        <v>1.2756420458181E-4</v>
      </c>
    </row>
    <row r="4148" spans="1:6" x14ac:dyDescent="0.25">
      <c r="A4148" s="1" t="str">
        <f t="shared" si="150"/>
        <v>14460</v>
      </c>
      <c r="B4148" s="1" t="str">
        <f>"01950"</f>
        <v>01950</v>
      </c>
      <c r="C4148" s="2">
        <v>4.5637445970323999E-3</v>
      </c>
      <c r="D4148" s="2">
        <v>6.4497734155286998E-3</v>
      </c>
      <c r="E4148" s="2">
        <v>4.4316032633349304E-3</v>
      </c>
      <c r="F4148" s="2">
        <v>4.7350520183036104E-3</v>
      </c>
    </row>
    <row r="4149" spans="1:6" x14ac:dyDescent="0.25">
      <c r="A4149" s="1" t="str">
        <f t="shared" si="150"/>
        <v>14460</v>
      </c>
      <c r="B4149" s="1" t="str">
        <f>"01938"</f>
        <v>01938</v>
      </c>
      <c r="C4149" s="2">
        <v>3.40826805504798E-3</v>
      </c>
      <c r="D4149" s="2">
        <v>3.30048686501267E-3</v>
      </c>
      <c r="E4149" s="2">
        <v>3.0218649024000401E-3</v>
      </c>
      <c r="F4149" s="2">
        <v>3.37532424277724E-3</v>
      </c>
    </row>
    <row r="4150" spans="1:6" x14ac:dyDescent="0.25">
      <c r="A4150" s="1" t="str">
        <f t="shared" si="150"/>
        <v>14460</v>
      </c>
      <c r="B4150" s="1" t="str">
        <f>"02021"</f>
        <v>02021</v>
      </c>
      <c r="C4150" s="2">
        <v>5.1196722789351298E-3</v>
      </c>
      <c r="D4150" s="2">
        <v>5.8795322294270301E-3</v>
      </c>
      <c r="E4150" s="2">
        <v>3.615071638437E-3</v>
      </c>
      <c r="F4150" s="2">
        <v>5.1033885318549502E-3</v>
      </c>
    </row>
    <row r="4151" spans="1:6" x14ac:dyDescent="0.25">
      <c r="A4151" s="1" t="str">
        <f t="shared" si="150"/>
        <v>14460</v>
      </c>
      <c r="B4151" s="1" t="str">
        <f>"02019"</f>
        <v>02019</v>
      </c>
      <c r="C4151" s="2">
        <v>3.7994046193858301E-3</v>
      </c>
      <c r="D4151" s="2">
        <v>3.0456063348611698E-3</v>
      </c>
      <c r="E4151" s="2">
        <v>5.9320673603695999E-4</v>
      </c>
      <c r="F4151" s="2">
        <v>3.5393939592811702E-3</v>
      </c>
    </row>
    <row r="4152" spans="1:6" x14ac:dyDescent="0.25">
      <c r="A4152" s="1" t="str">
        <f t="shared" si="150"/>
        <v>14460</v>
      </c>
      <c r="B4152" s="1" t="str">
        <f>"01984"</f>
        <v>01984</v>
      </c>
      <c r="C4152" s="2">
        <v>6.9745417110552495E-4</v>
      </c>
      <c r="D4152" s="2">
        <v>3.8016079073444401E-4</v>
      </c>
      <c r="E4152" s="2">
        <v>1.32599152761202E-4</v>
      </c>
      <c r="F4152" s="2">
        <v>6.3412945428771496E-4</v>
      </c>
    </row>
    <row r="4153" spans="1:6" x14ac:dyDescent="0.25">
      <c r="A4153" s="1" t="str">
        <f t="shared" si="150"/>
        <v>14460</v>
      </c>
      <c r="B4153" s="1" t="str">
        <f>"02032"</f>
        <v>02032</v>
      </c>
      <c r="C4153" s="2">
        <v>8.7630100163918598E-4</v>
      </c>
      <c r="D4153" s="2">
        <v>6.3936132987156601E-4</v>
      </c>
      <c r="E4153" s="2">
        <v>4.3967087494504098E-4</v>
      </c>
      <c r="F4153" s="2">
        <v>8.2814189405362097E-4</v>
      </c>
    </row>
    <row r="4154" spans="1:6" x14ac:dyDescent="0.25">
      <c r="A4154" s="1" t="str">
        <f t="shared" si="150"/>
        <v>14460</v>
      </c>
      <c r="B4154" s="1" t="str">
        <f>"02065"</f>
        <v>02065</v>
      </c>
      <c r="C4154" s="2">
        <v>2.6996662495189499E-4</v>
      </c>
      <c r="D4154" s="2">
        <v>6.0480125798661598E-5</v>
      </c>
      <c r="E4154" s="2">
        <v>2.0936708330716199E-5</v>
      </c>
      <c r="F4154" s="2">
        <v>2.3544004318314899E-4</v>
      </c>
    </row>
    <row r="4155" spans="1:6" x14ac:dyDescent="0.25">
      <c r="A4155" s="1" t="str">
        <f t="shared" ref="A4155:A4218" si="151">"14460"</f>
        <v>14460</v>
      </c>
      <c r="B4155" s="1" t="str">
        <f>"02111"</f>
        <v>02111</v>
      </c>
      <c r="C4155" s="2">
        <v>2.4461787363235401E-3</v>
      </c>
      <c r="D4155" s="2">
        <v>6.11281271465044E-3</v>
      </c>
      <c r="E4155" s="2">
        <v>3.31497881903007E-3</v>
      </c>
      <c r="F4155" s="2">
        <v>2.8453790584695199E-3</v>
      </c>
    </row>
    <row r="4156" spans="1:6" x14ac:dyDescent="0.25">
      <c r="A4156" s="1" t="str">
        <f t="shared" si="151"/>
        <v>14460</v>
      </c>
      <c r="B4156" s="1" t="str">
        <f>"02109"</f>
        <v>02109</v>
      </c>
      <c r="C4156" s="2">
        <v>1.1826186084068599E-3</v>
      </c>
      <c r="D4156" s="2">
        <v>6.9292944129323696E-3</v>
      </c>
      <c r="E4156" s="2">
        <v>3.6011138328831899E-3</v>
      </c>
      <c r="F4156" s="2">
        <v>1.87039476814488E-3</v>
      </c>
    </row>
    <row r="4157" spans="1:6" x14ac:dyDescent="0.25">
      <c r="A4157" s="1" t="str">
        <f t="shared" si="151"/>
        <v>14460</v>
      </c>
      <c r="B4157" s="1" t="str">
        <f>"02122"</f>
        <v>02122</v>
      </c>
      <c r="C4157" s="2">
        <v>2.9739949922887401E-3</v>
      </c>
      <c r="D4157" s="2">
        <v>3.8577680241574899E-3</v>
      </c>
      <c r="E4157" s="2">
        <v>1.2143290831815401E-2</v>
      </c>
      <c r="F4157" s="2">
        <v>3.5968183600575501E-3</v>
      </c>
    </row>
    <row r="4158" spans="1:6" x14ac:dyDescent="0.25">
      <c r="A4158" s="1" t="str">
        <f t="shared" si="151"/>
        <v>14460</v>
      </c>
      <c r="B4158" s="1" t="str">
        <f>"02140"</f>
        <v>02140</v>
      </c>
      <c r="C4158" s="2">
        <v>4.9805691885200596E-3</v>
      </c>
      <c r="D4158" s="2">
        <v>3.3739270177681898E-3</v>
      </c>
      <c r="E4158" s="2">
        <v>5.8622783326005403E-3</v>
      </c>
      <c r="F4158" s="2">
        <v>4.8798435431183403E-3</v>
      </c>
    </row>
    <row r="4159" spans="1:6" x14ac:dyDescent="0.25">
      <c r="A4159" s="1" t="str">
        <f t="shared" si="151"/>
        <v>14460</v>
      </c>
      <c r="B4159" s="1" t="str">
        <f>"02151"</f>
        <v>02151</v>
      </c>
      <c r="C4159" s="2">
        <v>1.0303806965623601E-2</v>
      </c>
      <c r="D4159" s="2">
        <v>4.8772901447635001E-3</v>
      </c>
      <c r="E4159" s="2">
        <v>1.09219828458569E-2</v>
      </c>
      <c r="F4159" s="2">
        <v>9.8249047985469896E-3</v>
      </c>
    </row>
    <row r="4160" spans="1:6" x14ac:dyDescent="0.25">
      <c r="A4160" s="1" t="str">
        <f t="shared" si="151"/>
        <v>14460</v>
      </c>
      <c r="B4160" s="1" t="str">
        <f>"02215"</f>
        <v>02215</v>
      </c>
      <c r="C4160" s="2">
        <v>5.7308534531978596E-3</v>
      </c>
      <c r="D4160" s="2">
        <v>5.5814516094193399E-3</v>
      </c>
      <c r="E4160" s="2">
        <v>7.1324386379973299E-3</v>
      </c>
      <c r="F4160" s="2">
        <v>5.79904412983164E-3</v>
      </c>
    </row>
    <row r="4161" spans="1:6" x14ac:dyDescent="0.25">
      <c r="A4161" s="1" t="str">
        <f t="shared" si="151"/>
        <v>14460</v>
      </c>
      <c r="B4161" s="1" t="str">
        <f>"02191"</f>
        <v>02191</v>
      </c>
      <c r="C4161" s="2">
        <v>1.93968838969027E-3</v>
      </c>
      <c r="D4161" s="2">
        <v>7.1280148262708304E-4</v>
      </c>
      <c r="E4161" s="2">
        <v>7.39763694351973E-4</v>
      </c>
      <c r="F4161" s="2">
        <v>1.7526747465532999E-3</v>
      </c>
    </row>
    <row r="4162" spans="1:6" x14ac:dyDescent="0.25">
      <c r="A4162" s="1" t="str">
        <f t="shared" si="151"/>
        <v>14460</v>
      </c>
      <c r="B4162" s="1" t="str">
        <f>"02305"</f>
        <v>02305</v>
      </c>
      <c r="C4162" s="2">
        <v>4.90495914634323E-4</v>
      </c>
      <c r="D4162" s="2">
        <v>5.7024118610166704E-4</v>
      </c>
      <c r="E4162" s="2">
        <v>6.9789027769054097E-6</v>
      </c>
      <c r="F4162" s="2">
        <v>4.6964956349251902E-4</v>
      </c>
    </row>
    <row r="4163" spans="1:6" x14ac:dyDescent="0.25">
      <c r="A4163" s="1" t="str">
        <f t="shared" si="151"/>
        <v>14460</v>
      </c>
      <c r="B4163" s="1" t="str">
        <f>"02047"</f>
        <v>02047</v>
      </c>
      <c r="C4163" s="2">
        <v>3.1407248288838101E-4</v>
      </c>
      <c r="D4163" s="2">
        <v>8.6400179712373807E-5</v>
      </c>
      <c r="E4163" s="2">
        <v>1.3957805553810801E-5</v>
      </c>
      <c r="F4163" s="2">
        <v>2.7481677514409398E-4</v>
      </c>
    </row>
    <row r="4164" spans="1:6" x14ac:dyDescent="0.25">
      <c r="A4164" s="1" t="str">
        <f t="shared" si="151"/>
        <v>14460</v>
      </c>
      <c r="B4164" s="1" t="str">
        <f>"02455"</f>
        <v>02455</v>
      </c>
      <c r="C4164" s="2">
        <v>7.1247924358938301E-5</v>
      </c>
      <c r="D4164" s="2">
        <v>3.19680664935783E-4</v>
      </c>
      <c r="E4164" s="2">
        <v>6.9789027769054097E-6</v>
      </c>
      <c r="F4164" s="2">
        <v>9.1058692659684907E-5</v>
      </c>
    </row>
    <row r="4165" spans="1:6" x14ac:dyDescent="0.25">
      <c r="A4165" s="1" t="str">
        <f t="shared" si="151"/>
        <v>14460</v>
      </c>
      <c r="B4165" s="1" t="str">
        <f>"01944"</f>
        <v>01944</v>
      </c>
      <c r="C4165" s="2">
        <v>1.1690475751956399E-3</v>
      </c>
      <c r="D4165" s="2">
        <v>7.0416146465584605E-4</v>
      </c>
      <c r="E4165" s="2">
        <v>8.8632065266698698E-4</v>
      </c>
      <c r="F4165" s="2">
        <v>1.10829093498409E-3</v>
      </c>
    </row>
    <row r="4166" spans="1:6" x14ac:dyDescent="0.25">
      <c r="A4166" s="1" t="str">
        <f t="shared" si="151"/>
        <v>14460</v>
      </c>
      <c r="B4166" s="1" t="str">
        <f>"02362"</f>
        <v>02362</v>
      </c>
      <c r="C4166" s="2">
        <v>3.0486356749504802E-4</v>
      </c>
      <c r="D4166" s="2">
        <v>1.2484825968438001E-3</v>
      </c>
      <c r="E4166" s="2">
        <v>2.0936708330716199E-5</v>
      </c>
      <c r="F4166" s="2">
        <v>3.77770522250314E-4</v>
      </c>
    </row>
    <row r="4167" spans="1:6" x14ac:dyDescent="0.25">
      <c r="A4167" s="1" t="str">
        <f t="shared" si="151"/>
        <v>14460</v>
      </c>
      <c r="B4167" s="1" t="str">
        <f>"03034"</f>
        <v>03034</v>
      </c>
      <c r="C4167" s="2">
        <v>7.7064081449463803E-4</v>
      </c>
      <c r="D4167" s="2">
        <v>2.4192050319464599E-4</v>
      </c>
      <c r="E4167" s="2">
        <v>1.04683541653581E-4</v>
      </c>
      <c r="F4167" s="2">
        <v>6.8129949778259705E-4</v>
      </c>
    </row>
    <row r="4168" spans="1:6" x14ac:dyDescent="0.25">
      <c r="A4168" s="1" t="str">
        <f t="shared" si="151"/>
        <v>14460</v>
      </c>
      <c r="B4168" s="1" t="str">
        <f>"03032"</f>
        <v>03032</v>
      </c>
      <c r="C4168" s="2">
        <v>1.28876347530895E-3</v>
      </c>
      <c r="D4168" s="2">
        <v>1.39536290235483E-3</v>
      </c>
      <c r="E4168" s="2">
        <v>2.4426159719168902E-4</v>
      </c>
      <c r="F4168" s="2">
        <v>1.2374958367309401E-3</v>
      </c>
    </row>
    <row r="4169" spans="1:6" x14ac:dyDescent="0.25">
      <c r="A4169" s="1" t="str">
        <f t="shared" si="151"/>
        <v>14460</v>
      </c>
      <c r="B4169" s="1" t="str">
        <f>"03801"</f>
        <v>03801</v>
      </c>
      <c r="C4169" s="2">
        <v>5.63343282193156E-3</v>
      </c>
      <c r="D4169" s="2">
        <v>1.2856346741201201E-2</v>
      </c>
      <c r="E4169" s="2">
        <v>9.7006748598985199E-3</v>
      </c>
      <c r="F4169" s="2">
        <v>6.5582767429536101E-3</v>
      </c>
    </row>
    <row r="4170" spans="1:6" x14ac:dyDescent="0.25">
      <c r="A4170" s="1" t="str">
        <f t="shared" si="151"/>
        <v>14460</v>
      </c>
      <c r="B4170" s="1" t="str">
        <f>"03873"</f>
        <v>03873</v>
      </c>
      <c r="C4170" s="2">
        <v>1.1486910253788001E-3</v>
      </c>
      <c r="D4170" s="2">
        <v>4.3200089856186903E-5</v>
      </c>
      <c r="E4170" s="2">
        <v>4.1873416661432399E-4</v>
      </c>
      <c r="F4170" s="2">
        <v>1.00082527067401E-3</v>
      </c>
    </row>
    <row r="4171" spans="1:6" x14ac:dyDescent="0.25">
      <c r="A4171" s="1" t="str">
        <f t="shared" si="151"/>
        <v>14460</v>
      </c>
      <c r="B4171" s="1" t="str">
        <f>"03820"</f>
        <v>03820</v>
      </c>
      <c r="C4171" s="2">
        <v>7.4994498884751798E-3</v>
      </c>
      <c r="D4171" s="2">
        <v>5.7153718879735197E-3</v>
      </c>
      <c r="E4171" s="2">
        <v>6.3368437214301101E-3</v>
      </c>
      <c r="F4171" s="2">
        <v>7.2617256524642399E-3</v>
      </c>
    </row>
    <row r="4172" spans="1:6" x14ac:dyDescent="0.25">
      <c r="A4172" s="1" t="str">
        <f t="shared" si="151"/>
        <v>14460</v>
      </c>
      <c r="B4172" s="1" t="str">
        <f>"03862"</f>
        <v>03862</v>
      </c>
      <c r="C4172" s="2">
        <v>1.49281365323489E-3</v>
      </c>
      <c r="D4172" s="2">
        <v>2.6697655531123499E-3</v>
      </c>
      <c r="E4172" s="2">
        <v>5.0248099993718896E-4</v>
      </c>
      <c r="F4172" s="2">
        <v>1.5463570780495999E-3</v>
      </c>
    </row>
    <row r="4173" spans="1:6" x14ac:dyDescent="0.25">
      <c r="A4173" s="1" t="str">
        <f t="shared" si="151"/>
        <v>14460</v>
      </c>
      <c r="B4173" s="1" t="str">
        <f>"03827"</f>
        <v>03827</v>
      </c>
      <c r="C4173" s="2">
        <v>6.0391097789957201E-4</v>
      </c>
      <c r="D4173" s="2">
        <v>1.51200314496654E-4</v>
      </c>
      <c r="E4173" s="2">
        <v>6.2810124992148701E-5</v>
      </c>
      <c r="F4173" s="2">
        <v>5.2912483572519604E-4</v>
      </c>
    </row>
    <row r="4174" spans="1:6" x14ac:dyDescent="0.25">
      <c r="A4174" s="1" t="str">
        <f t="shared" si="151"/>
        <v>14460</v>
      </c>
      <c r="B4174" s="1" t="str">
        <f>"02770"</f>
        <v>02770</v>
      </c>
      <c r="C4174" s="2">
        <v>1.3115434239135101E-3</v>
      </c>
      <c r="D4174" s="2">
        <v>6.1344127595785297E-4</v>
      </c>
      <c r="E4174" s="2">
        <v>9.7704638876675804E-5</v>
      </c>
      <c r="F4174" s="2">
        <v>1.1739188215856601E-3</v>
      </c>
    </row>
    <row r="4175" spans="1:6" x14ac:dyDescent="0.25">
      <c r="A4175" s="1" t="str">
        <f t="shared" si="151"/>
        <v>14460</v>
      </c>
      <c r="B4175" s="1" t="str">
        <f>"01899"</f>
        <v>01899</v>
      </c>
      <c r="C4175" s="2">
        <v>0</v>
      </c>
      <c r="D4175" s="2">
        <v>4.3200089856186898E-6</v>
      </c>
      <c r="E4175" s="2">
        <v>0</v>
      </c>
      <c r="F4175" s="2">
        <v>4.10174291259842E-7</v>
      </c>
    </row>
    <row r="4176" spans="1:6" x14ac:dyDescent="0.25">
      <c r="A4176" s="1" t="str">
        <f t="shared" si="151"/>
        <v>14460</v>
      </c>
      <c r="B4176" s="1" t="str">
        <f>"02337"</f>
        <v>02337</v>
      </c>
      <c r="C4176" s="2">
        <v>0</v>
      </c>
      <c r="D4176" s="2">
        <v>0</v>
      </c>
      <c r="E4176" s="2">
        <v>6.9789027769054097E-6</v>
      </c>
      <c r="F4176" s="2">
        <v>4.10174291259842E-7</v>
      </c>
    </row>
    <row r="4177" spans="1:6" x14ac:dyDescent="0.25">
      <c r="A4177" s="1" t="str">
        <f t="shared" si="151"/>
        <v>14460</v>
      </c>
      <c r="B4177" s="1" t="str">
        <f>"01720"</f>
        <v>01720</v>
      </c>
      <c r="C4177" s="2">
        <v>4.9170761402818298E-3</v>
      </c>
      <c r="D4177" s="2">
        <v>6.0566525978374003E-3</v>
      </c>
      <c r="E4177" s="2">
        <v>3.4964302912296099E-3</v>
      </c>
      <c r="F4177" s="2">
        <v>4.9417798610985704E-3</v>
      </c>
    </row>
    <row r="4178" spans="1:6" x14ac:dyDescent="0.25">
      <c r="A4178" s="1" t="str">
        <f t="shared" si="151"/>
        <v>14460</v>
      </c>
      <c r="B4178" s="1" t="str">
        <f>"01770"</f>
        <v>01770</v>
      </c>
      <c r="C4178" s="2">
        <v>7.7548761207007599E-4</v>
      </c>
      <c r="D4178" s="2">
        <v>3.1104064696454498E-4</v>
      </c>
      <c r="E4178" s="2">
        <v>1.4655695831501301E-4</v>
      </c>
      <c r="F4178" s="2">
        <v>6.9442507510291199E-4</v>
      </c>
    </row>
    <row r="4179" spans="1:6" x14ac:dyDescent="0.25">
      <c r="A4179" s="1" t="str">
        <f t="shared" si="151"/>
        <v>14460</v>
      </c>
      <c r="B4179" s="1" t="str">
        <f>"01826"</f>
        <v>01826</v>
      </c>
      <c r="C4179" s="2">
        <v>6.3371878298851504E-3</v>
      </c>
      <c r="D4179" s="2">
        <v>3.8102479253156801E-3</v>
      </c>
      <c r="E4179" s="2">
        <v>4.2990041105737302E-3</v>
      </c>
      <c r="F4179" s="2">
        <v>5.9774699465296698E-3</v>
      </c>
    </row>
    <row r="4180" spans="1:6" x14ac:dyDescent="0.25">
      <c r="A4180" s="1" t="str">
        <f t="shared" si="151"/>
        <v>14460</v>
      </c>
      <c r="B4180" s="1" t="str">
        <f>"01840"</f>
        <v>01840</v>
      </c>
      <c r="C4180" s="2">
        <v>1.1685628954380899E-3</v>
      </c>
      <c r="D4180" s="2">
        <v>4.2768088957624998E-3</v>
      </c>
      <c r="E4180" s="2">
        <v>2.67989866633167E-3</v>
      </c>
      <c r="F4180" s="2">
        <v>1.5525096924185E-3</v>
      </c>
    </row>
    <row r="4181" spans="1:6" x14ac:dyDescent="0.25">
      <c r="A4181" s="1" t="str">
        <f t="shared" si="151"/>
        <v>14460</v>
      </c>
      <c r="B4181" s="1" t="str">
        <f>"01850"</f>
        <v>01850</v>
      </c>
      <c r="C4181" s="2">
        <v>2.7185687600631602E-3</v>
      </c>
      <c r="D4181" s="2">
        <v>8.1648169828193204E-4</v>
      </c>
      <c r="E4181" s="2">
        <v>2.88926574963884E-3</v>
      </c>
      <c r="F4181" s="2">
        <v>2.5480026973061301E-3</v>
      </c>
    </row>
    <row r="4182" spans="1:6" x14ac:dyDescent="0.25">
      <c r="A4182" s="1" t="str">
        <f t="shared" si="151"/>
        <v>14460</v>
      </c>
      <c r="B4182" s="1" t="str">
        <f>"01853"</f>
        <v>01853</v>
      </c>
      <c r="C4182" s="2">
        <v>1.17874117034651E-3</v>
      </c>
      <c r="D4182" s="2">
        <v>2.0952043580250599E-3</v>
      </c>
      <c r="E4182" s="2">
        <v>1.3957805553810801E-5</v>
      </c>
      <c r="F4182" s="2">
        <v>1.1972987561874699E-3</v>
      </c>
    </row>
    <row r="4183" spans="1:6" x14ac:dyDescent="0.25">
      <c r="A4183" s="1" t="str">
        <f t="shared" si="151"/>
        <v>14460</v>
      </c>
      <c r="B4183" s="1" t="str">
        <f>"01886"</f>
        <v>01886</v>
      </c>
      <c r="C4183" s="2">
        <v>4.9161067807667403E-3</v>
      </c>
      <c r="D4183" s="2">
        <v>4.5014493630146698E-3</v>
      </c>
      <c r="E4183" s="2">
        <v>1.2213079859584399E-3</v>
      </c>
      <c r="F4183" s="2">
        <v>4.6595799487117997E-3</v>
      </c>
    </row>
    <row r="4184" spans="1:6" x14ac:dyDescent="0.25">
      <c r="A4184" s="1" t="str">
        <f t="shared" si="151"/>
        <v>14460</v>
      </c>
      <c r="B4184" s="1" t="str">
        <f>"01913"</f>
        <v>01913</v>
      </c>
      <c r="C4184" s="2">
        <v>4.1105690237289499E-3</v>
      </c>
      <c r="D4184" s="2">
        <v>3.3912070537106698E-3</v>
      </c>
      <c r="E4184" s="2">
        <v>2.9102024579695501E-3</v>
      </c>
      <c r="F4184" s="2">
        <v>3.97171766226905E-3</v>
      </c>
    </row>
    <row r="4185" spans="1:6" x14ac:dyDescent="0.25">
      <c r="A4185" s="1" t="str">
        <f t="shared" si="151"/>
        <v>14460</v>
      </c>
      <c r="B4185" s="1" t="str">
        <f>"01930"</f>
        <v>01930</v>
      </c>
      <c r="C4185" s="2">
        <v>6.9546698409959501E-3</v>
      </c>
      <c r="D4185" s="2">
        <v>6.2985731010320499E-3</v>
      </c>
      <c r="E4185" s="2">
        <v>9.12840483219228E-3</v>
      </c>
      <c r="F4185" s="2">
        <v>7.0201329949121901E-3</v>
      </c>
    </row>
    <row r="4186" spans="1:6" x14ac:dyDescent="0.25">
      <c r="A4186" s="1" t="str">
        <f t="shared" si="151"/>
        <v>14460</v>
      </c>
      <c r="B4186" s="1" t="str">
        <f>"01915"</f>
        <v>01915</v>
      </c>
      <c r="C4186" s="2">
        <v>8.9113220222002704E-3</v>
      </c>
      <c r="D4186" s="2">
        <v>1.00181008376497E-2</v>
      </c>
      <c r="E4186" s="2">
        <v>1.2373594623453299E-2</v>
      </c>
      <c r="F4186" s="2">
        <v>9.2198977189387292E-3</v>
      </c>
    </row>
    <row r="4187" spans="1:6" x14ac:dyDescent="0.25">
      <c r="A4187" s="1" t="str">
        <f t="shared" si="151"/>
        <v>14460</v>
      </c>
      <c r="B4187" s="1" t="str">
        <f>"01921"</f>
        <v>01921</v>
      </c>
      <c r="C4187" s="2">
        <v>1.5117161637791001E-3</v>
      </c>
      <c r="D4187" s="2">
        <v>5.44321132187954E-4</v>
      </c>
      <c r="E4187" s="2">
        <v>1.6051476386882399E-4</v>
      </c>
      <c r="F4187" s="2">
        <v>1.3404495838371599E-3</v>
      </c>
    </row>
    <row r="4188" spans="1:6" x14ac:dyDescent="0.25">
      <c r="A4188" s="1" t="str">
        <f t="shared" si="151"/>
        <v>14460</v>
      </c>
      <c r="B4188" s="1" t="str">
        <f>"01922"</f>
        <v>01922</v>
      </c>
      <c r="C4188" s="2">
        <v>9.2379961787847895E-4</v>
      </c>
      <c r="D4188" s="2">
        <v>5.4864114117357304E-4</v>
      </c>
      <c r="E4188" s="2">
        <v>1.25620249984297E-4</v>
      </c>
      <c r="F4188" s="2">
        <v>8.4126747137393601E-4</v>
      </c>
    </row>
    <row r="4189" spans="1:6" x14ac:dyDescent="0.25">
      <c r="A4189" s="1" t="str">
        <f t="shared" si="151"/>
        <v>14460</v>
      </c>
      <c r="B4189" s="1" t="str">
        <f>"01970"</f>
        <v>01970</v>
      </c>
      <c r="C4189" s="2">
        <v>8.7266590345760793E-3</v>
      </c>
      <c r="D4189" s="2">
        <v>8.9856186900868704E-3</v>
      </c>
      <c r="E4189" s="2">
        <v>1.41462359287872E-2</v>
      </c>
      <c r="F4189" s="2">
        <v>9.06977392833762E-3</v>
      </c>
    </row>
    <row r="4190" spans="1:6" x14ac:dyDescent="0.25">
      <c r="A4190" s="1" t="str">
        <f t="shared" si="151"/>
        <v>14460</v>
      </c>
      <c r="B4190" s="1" t="str">
        <f>"02043"</f>
        <v>02043</v>
      </c>
      <c r="C4190" s="2">
        <v>5.0207976083962002E-3</v>
      </c>
      <c r="D4190" s="2">
        <v>5.7153718879735197E-3</v>
      </c>
      <c r="E4190" s="2">
        <v>2.1425231525099599E-3</v>
      </c>
      <c r="F4190" s="2">
        <v>4.9175795779142399E-3</v>
      </c>
    </row>
    <row r="4191" spans="1:6" x14ac:dyDescent="0.25">
      <c r="A4191" s="1" t="str">
        <f t="shared" si="151"/>
        <v>14460</v>
      </c>
      <c r="B4191" s="1" t="str">
        <f>"02056"</f>
        <v>02056</v>
      </c>
      <c r="C4191" s="2">
        <v>2.1001173894372701E-3</v>
      </c>
      <c r="D4191" s="2">
        <v>1.5249631719233901E-3</v>
      </c>
      <c r="E4191" s="2">
        <v>3.0009281940693202E-4</v>
      </c>
      <c r="F4191" s="2">
        <v>1.9397142233677899E-3</v>
      </c>
    </row>
    <row r="4192" spans="1:6" x14ac:dyDescent="0.25">
      <c r="A4192" s="1" t="str">
        <f t="shared" si="151"/>
        <v>14460</v>
      </c>
      <c r="B4192" s="1" t="str">
        <f>"02066"</f>
        <v>02066</v>
      </c>
      <c r="C4192" s="2">
        <v>4.0388364196124599E-3</v>
      </c>
      <c r="D4192" s="2">
        <v>2.9030460383357502E-3</v>
      </c>
      <c r="E4192" s="2">
        <v>1.1236033470817699E-3</v>
      </c>
      <c r="F4192" s="2">
        <v>3.7596575536877098E-3</v>
      </c>
    </row>
    <row r="4193" spans="1:6" x14ac:dyDescent="0.25">
      <c r="A4193" s="1" t="str">
        <f t="shared" si="151"/>
        <v>14460</v>
      </c>
      <c r="B4193" s="1" t="str">
        <f>"02118"</f>
        <v>02118</v>
      </c>
      <c r="C4193" s="2">
        <v>7.1199456383183903E-3</v>
      </c>
      <c r="D4193" s="2">
        <v>6.6139337569822102E-3</v>
      </c>
      <c r="E4193" s="2">
        <v>1.7335594497833E-2</v>
      </c>
      <c r="F4193" s="2">
        <v>7.6723101180153396E-3</v>
      </c>
    </row>
    <row r="4194" spans="1:6" x14ac:dyDescent="0.25">
      <c r="A4194" s="1" t="str">
        <f t="shared" si="151"/>
        <v>14460</v>
      </c>
      <c r="B4194" s="1" t="str">
        <f>"02134"</f>
        <v>02134</v>
      </c>
      <c r="C4194" s="2">
        <v>4.9471262852495397E-3</v>
      </c>
      <c r="D4194" s="2">
        <v>4.3372890215611602E-3</v>
      </c>
      <c r="E4194" s="2">
        <v>1.04892908736888E-2</v>
      </c>
      <c r="F4194" s="2">
        <v>5.2149559390776302E-3</v>
      </c>
    </row>
    <row r="4195" spans="1:6" x14ac:dyDescent="0.25">
      <c r="A4195" s="1" t="str">
        <f t="shared" si="151"/>
        <v>14460</v>
      </c>
      <c r="B4195" s="1" t="str">
        <f>"02149"</f>
        <v>02149</v>
      </c>
      <c r="C4195" s="2">
        <v>7.6380682991327104E-3</v>
      </c>
      <c r="D4195" s="2">
        <v>6.0393725618949198E-3</v>
      </c>
      <c r="E4195" s="2">
        <v>9.1074681238615604E-3</v>
      </c>
      <c r="F4195" s="2">
        <v>7.5726377652392002E-3</v>
      </c>
    </row>
    <row r="4196" spans="1:6" x14ac:dyDescent="0.25">
      <c r="A4196" s="1" t="str">
        <f t="shared" si="151"/>
        <v>14460</v>
      </c>
      <c r="B4196" s="1" t="str">
        <f>"02188"</f>
        <v>02188</v>
      </c>
      <c r="C4196" s="2">
        <v>3.2735270824508101E-3</v>
      </c>
      <c r="D4196" s="2">
        <v>2.2204846186079999E-3</v>
      </c>
      <c r="E4196" s="2">
        <v>2.2960590136018801E-3</v>
      </c>
      <c r="F4196" s="2">
        <v>3.1160940907010199E-3</v>
      </c>
    </row>
    <row r="4197" spans="1:6" x14ac:dyDescent="0.25">
      <c r="A4197" s="1" t="str">
        <f t="shared" si="151"/>
        <v>14460</v>
      </c>
      <c r="B4197" s="1" t="str">
        <f>"02301"</f>
        <v>02301</v>
      </c>
      <c r="C4197" s="2">
        <v>1.04496955726442E-2</v>
      </c>
      <c r="D4197" s="2">
        <v>1.0756822374190501E-2</v>
      </c>
      <c r="E4197" s="2">
        <v>1.6819155692341999E-2</v>
      </c>
      <c r="F4197" s="2">
        <v>1.0853211746735401E-2</v>
      </c>
    </row>
    <row r="4198" spans="1:6" x14ac:dyDescent="0.25">
      <c r="A4198" s="1" t="str">
        <f t="shared" si="151"/>
        <v>14460</v>
      </c>
      <c r="B4198" s="1" t="str">
        <f>"02210"</f>
        <v>02210</v>
      </c>
      <c r="C4198" s="2">
        <v>1.9110922839951901E-3</v>
      </c>
      <c r="D4198" s="2">
        <v>6.97249450278856E-3</v>
      </c>
      <c r="E4198" s="2">
        <v>2.1215864441792398E-3</v>
      </c>
      <c r="F4198" s="2">
        <v>2.4040315210739301E-3</v>
      </c>
    </row>
    <row r="4199" spans="1:6" x14ac:dyDescent="0.25">
      <c r="A4199" s="1" t="str">
        <f t="shared" si="151"/>
        <v>14460</v>
      </c>
      <c r="B4199" s="1" t="str">
        <f>"02302"</f>
        <v>02302</v>
      </c>
      <c r="C4199" s="2">
        <v>5.8171264500406598E-3</v>
      </c>
      <c r="D4199" s="2">
        <v>2.5444852925294E-3</v>
      </c>
      <c r="E4199" s="2">
        <v>4.7316960827418703E-3</v>
      </c>
      <c r="F4199" s="2">
        <v>5.4426026707268399E-3</v>
      </c>
    </row>
    <row r="4200" spans="1:6" x14ac:dyDescent="0.25">
      <c r="A4200" s="1" t="str">
        <f t="shared" si="151"/>
        <v>14460</v>
      </c>
      <c r="B4200" s="1" t="str">
        <f>"02048"</f>
        <v>02048</v>
      </c>
      <c r="C4200" s="2">
        <v>4.3621178178941804E-6</v>
      </c>
      <c r="D4200" s="2">
        <v>4.3200089856186898E-6</v>
      </c>
      <c r="E4200" s="2">
        <v>0</v>
      </c>
      <c r="F4200" s="2">
        <v>4.1017429125984202E-6</v>
      </c>
    </row>
    <row r="4201" spans="1:6" x14ac:dyDescent="0.25">
      <c r="A4201" s="1" t="str">
        <f t="shared" si="151"/>
        <v>14460</v>
      </c>
      <c r="B4201" s="1" t="str">
        <f>"03104"</f>
        <v>03104</v>
      </c>
      <c r="C4201" s="2">
        <v>1.4540392726313899E-6</v>
      </c>
      <c r="D4201" s="2">
        <v>0</v>
      </c>
      <c r="E4201" s="2">
        <v>0</v>
      </c>
      <c r="F4201" s="2">
        <v>1.23052287377952E-6</v>
      </c>
    </row>
    <row r="4202" spans="1:6" x14ac:dyDescent="0.25">
      <c r="A4202" s="1" t="str">
        <f t="shared" si="151"/>
        <v>14460</v>
      </c>
      <c r="B4202" s="1" t="str">
        <f>"02132"</f>
        <v>02132</v>
      </c>
      <c r="C4202" s="2">
        <v>5.7812601479824196E-3</v>
      </c>
      <c r="D4202" s="2">
        <v>3.65040759284779E-3</v>
      </c>
      <c r="E4202" s="2">
        <v>4.1873416661432402E-3</v>
      </c>
      <c r="F4202" s="2">
        <v>5.4852607970178602E-3</v>
      </c>
    </row>
    <row r="4203" spans="1:6" x14ac:dyDescent="0.25">
      <c r="A4203" s="1" t="str">
        <f t="shared" si="151"/>
        <v>14460</v>
      </c>
      <c r="B4203" s="1" t="str">
        <f>"02139"</f>
        <v>02139</v>
      </c>
      <c r="C4203" s="2">
        <v>7.5862075650755204E-3</v>
      </c>
      <c r="D4203" s="2">
        <v>8.03953672223638E-3</v>
      </c>
      <c r="E4203" s="2">
        <v>1.5814193692467601E-2</v>
      </c>
      <c r="F4203" s="2">
        <v>8.1128373068284094E-3</v>
      </c>
    </row>
    <row r="4204" spans="1:6" x14ac:dyDescent="0.25">
      <c r="A4204" s="1" t="str">
        <f t="shared" si="151"/>
        <v>14460</v>
      </c>
      <c r="B4204" s="1" t="str">
        <f>"02189"</f>
        <v>02189</v>
      </c>
      <c r="C4204" s="2">
        <v>3.0956496114322302E-3</v>
      </c>
      <c r="D4204" s="2">
        <v>2.4883251757163599E-3</v>
      </c>
      <c r="E4204" s="2">
        <v>3.5383037078910401E-3</v>
      </c>
      <c r="F4204" s="2">
        <v>3.0640019557110201E-3</v>
      </c>
    </row>
    <row r="4205" spans="1:6" x14ac:dyDescent="0.25">
      <c r="A4205" s="1" t="str">
        <f t="shared" si="151"/>
        <v>14460</v>
      </c>
      <c r="B4205" s="1" t="str">
        <f>"02346"</f>
        <v>02346</v>
      </c>
      <c r="C4205" s="2">
        <v>4.7236889170218501E-3</v>
      </c>
      <c r="D4205" s="2">
        <v>3.0110462629762201E-3</v>
      </c>
      <c r="E4205" s="2">
        <v>3.9919323883898898E-3</v>
      </c>
      <c r="F4205" s="2">
        <v>4.5180698182271601E-3</v>
      </c>
    </row>
    <row r="4206" spans="1:6" x14ac:dyDescent="0.25">
      <c r="A4206" s="1" t="str">
        <f t="shared" si="151"/>
        <v>14460</v>
      </c>
      <c r="B4206" s="1" t="str">
        <f>"02379"</f>
        <v>02379</v>
      </c>
      <c r="C4206" s="2">
        <v>1.3968470612412201E-3</v>
      </c>
      <c r="D4206" s="2">
        <v>2.2809647444066599E-3</v>
      </c>
      <c r="E4206" s="2">
        <v>1.0468354165358101E-3</v>
      </c>
      <c r="F4206" s="2">
        <v>1.4602204768850301E-3</v>
      </c>
    </row>
    <row r="4207" spans="1:6" x14ac:dyDescent="0.25">
      <c r="A4207" s="1" t="str">
        <f t="shared" si="151"/>
        <v>14460</v>
      </c>
      <c r="B4207" s="1" t="str">
        <f>"02460"</f>
        <v>02460</v>
      </c>
      <c r="C4207" s="2">
        <v>2.0884850752562198E-3</v>
      </c>
      <c r="D4207" s="2">
        <v>2.0347242322263999E-3</v>
      </c>
      <c r="E4207" s="2">
        <v>1.9401349719796999E-3</v>
      </c>
      <c r="F4207" s="2">
        <v>2.0746615651922799E-3</v>
      </c>
    </row>
    <row r="4208" spans="1:6" x14ac:dyDescent="0.25">
      <c r="A4208" s="1" t="str">
        <f t="shared" si="151"/>
        <v>14460</v>
      </c>
      <c r="B4208" s="1" t="str">
        <f>"02451"</f>
        <v>02451</v>
      </c>
      <c r="C4208" s="2">
        <v>3.7858335861745999E-3</v>
      </c>
      <c r="D4208" s="2">
        <v>6.2596930201614803E-3</v>
      </c>
      <c r="E4208" s="2">
        <v>4.0617214161589501E-3</v>
      </c>
      <c r="F4208" s="2">
        <v>4.0369353745793599E-3</v>
      </c>
    </row>
    <row r="4209" spans="1:6" x14ac:dyDescent="0.25">
      <c r="A4209" s="1" t="str">
        <f t="shared" si="151"/>
        <v>14460</v>
      </c>
      <c r="B4209" s="1" t="str">
        <f>"02464"</f>
        <v>02464</v>
      </c>
      <c r="C4209" s="2">
        <v>6.2184412892869203E-4</v>
      </c>
      <c r="D4209" s="2">
        <v>1.2744026507575099E-3</v>
      </c>
      <c r="E4209" s="2">
        <v>7.1184808324435201E-4</v>
      </c>
      <c r="F4209" s="2">
        <v>6.8909280931653402E-4</v>
      </c>
    </row>
    <row r="4210" spans="1:6" x14ac:dyDescent="0.25">
      <c r="A4210" s="1" t="str">
        <f t="shared" si="151"/>
        <v>14460</v>
      </c>
      <c r="B4210" s="1" t="str">
        <f>"02468"</f>
        <v>02468</v>
      </c>
      <c r="C4210" s="2">
        <v>9.5627316163391296E-4</v>
      </c>
      <c r="D4210" s="2">
        <v>2.1600044928093401E-4</v>
      </c>
      <c r="E4210" s="2">
        <v>2.0238818053025699E-4</v>
      </c>
      <c r="F4210" s="2">
        <v>8.4167764566519599E-4</v>
      </c>
    </row>
    <row r="4211" spans="1:6" x14ac:dyDescent="0.25">
      <c r="A4211" s="1" t="str">
        <f t="shared" si="151"/>
        <v>14460</v>
      </c>
      <c r="B4211" s="1" t="str">
        <f>"02143"</f>
        <v>02143</v>
      </c>
      <c r="C4211" s="2">
        <v>4.8133546721674499E-3</v>
      </c>
      <c r="D4211" s="2">
        <v>4.5619294888133302E-3</v>
      </c>
      <c r="E4211" s="2">
        <v>1.0984792970849099E-2</v>
      </c>
      <c r="F4211" s="2">
        <v>5.1521992725148697E-3</v>
      </c>
    </row>
    <row r="4212" spans="1:6" x14ac:dyDescent="0.25">
      <c r="A4212" s="1" t="str">
        <f t="shared" si="151"/>
        <v>14460</v>
      </c>
      <c r="B4212" s="1" t="str">
        <f>"02145"</f>
        <v>02145</v>
      </c>
      <c r="C4212" s="2">
        <v>5.0460009557884797E-3</v>
      </c>
      <c r="D4212" s="2">
        <v>3.0110462629762201E-3</v>
      </c>
      <c r="E4212" s="2">
        <v>9.3028774016149108E-3</v>
      </c>
      <c r="F4212" s="2">
        <v>5.1029783575636898E-3</v>
      </c>
    </row>
    <row r="4213" spans="1:6" x14ac:dyDescent="0.25">
      <c r="A4213" s="1" t="str">
        <f t="shared" si="151"/>
        <v>14460</v>
      </c>
      <c r="B4213" s="1" t="str">
        <f>"02163"</f>
        <v>02163</v>
      </c>
      <c r="C4213" s="2">
        <v>3.5042346470416598E-4</v>
      </c>
      <c r="D4213" s="2">
        <v>1.4688030551103501E-4</v>
      </c>
      <c r="E4213" s="2">
        <v>1.34692823594274E-2</v>
      </c>
      <c r="F4213" s="2">
        <v>1.1021383206151899E-3</v>
      </c>
    </row>
    <row r="4214" spans="1:6" x14ac:dyDescent="0.25">
      <c r="A4214" s="1" t="str">
        <f t="shared" si="151"/>
        <v>14460</v>
      </c>
      <c r="B4214" s="1" t="str">
        <f>"02171"</f>
        <v>02171</v>
      </c>
      <c r="C4214" s="2">
        <v>4.2293155643271796E-3</v>
      </c>
      <c r="D4214" s="2">
        <v>2.3025647893347599E-3</v>
      </c>
      <c r="E4214" s="2">
        <v>3.8872488467363098E-3</v>
      </c>
      <c r="F4214" s="2">
        <v>4.02627084300661E-3</v>
      </c>
    </row>
    <row r="4215" spans="1:6" x14ac:dyDescent="0.25">
      <c r="A4215" s="1" t="str">
        <f t="shared" si="151"/>
        <v>14460</v>
      </c>
      <c r="B4215" s="1" t="str">
        <f>"02269"</f>
        <v>02269</v>
      </c>
      <c r="C4215" s="2">
        <v>4.1730927124520998E-4</v>
      </c>
      <c r="D4215" s="2">
        <v>9.4608196785049298E-4</v>
      </c>
      <c r="E4215" s="2">
        <v>1.3957805553810801E-5</v>
      </c>
      <c r="F4215" s="2">
        <v>4.4380858314314902E-4</v>
      </c>
    </row>
    <row r="4216" spans="1:6" x14ac:dyDescent="0.25">
      <c r="A4216" s="1" t="str">
        <f t="shared" si="151"/>
        <v>14460</v>
      </c>
      <c r="B4216" s="1" t="str">
        <f>"02359"</f>
        <v>02359</v>
      </c>
      <c r="C4216" s="2">
        <v>3.8633823473816099E-3</v>
      </c>
      <c r="D4216" s="2">
        <v>3.7368077725601599E-3</v>
      </c>
      <c r="E4216" s="2">
        <v>1.4655695831501301E-3</v>
      </c>
      <c r="F4216" s="2">
        <v>3.7104366387365299E-3</v>
      </c>
    </row>
    <row r="4217" spans="1:6" x14ac:dyDescent="0.25">
      <c r="A4217" s="1" t="str">
        <f t="shared" si="151"/>
        <v>14460</v>
      </c>
      <c r="B4217" s="1" t="str">
        <f>"02341"</f>
        <v>02341</v>
      </c>
      <c r="C4217" s="2">
        <v>2.2687859450625102E-3</v>
      </c>
      <c r="D4217" s="2">
        <v>1.52064316293777E-3</v>
      </c>
      <c r="E4217" s="2">
        <v>5.7924893048314895E-4</v>
      </c>
      <c r="F4217" s="2">
        <v>2.0984516740853499E-3</v>
      </c>
    </row>
    <row r="4218" spans="1:6" x14ac:dyDescent="0.25">
      <c r="A4218" s="1" t="str">
        <f t="shared" si="151"/>
        <v>14460</v>
      </c>
      <c r="B4218" s="1" t="str">
        <f>"02343"</f>
        <v>02343</v>
      </c>
      <c r="C4218" s="2">
        <v>2.27993357948602E-3</v>
      </c>
      <c r="D4218" s="2">
        <v>1.9440040435284101E-3</v>
      </c>
      <c r="E4218" s="2">
        <v>1.33297043038893E-3</v>
      </c>
      <c r="F4218" s="2">
        <v>2.19238158678385E-3</v>
      </c>
    </row>
    <row r="4219" spans="1:6" x14ac:dyDescent="0.25">
      <c r="A4219" s="1" t="str">
        <f t="shared" ref="A4219:A4274" si="152">"14460"</f>
        <v>14460</v>
      </c>
      <c r="B4219" s="1" t="str">
        <f>"02446"</f>
        <v>02446</v>
      </c>
      <c r="C4219" s="2">
        <v>7.0530598317773401E-3</v>
      </c>
      <c r="D4219" s="2">
        <v>5.6894518340598098E-3</v>
      </c>
      <c r="E4219" s="2">
        <v>1.54722274563993E-2</v>
      </c>
      <c r="F4219" s="2">
        <v>7.4184122317255E-3</v>
      </c>
    </row>
    <row r="4220" spans="1:6" x14ac:dyDescent="0.25">
      <c r="A4220" s="1" t="str">
        <f t="shared" si="152"/>
        <v>14460</v>
      </c>
      <c r="B4220" s="1" t="str">
        <f>"02482"</f>
        <v>02482</v>
      </c>
      <c r="C4220" s="2">
        <v>2.3613597787533799E-3</v>
      </c>
      <c r="D4220" s="2">
        <v>3.5164873142936098E-3</v>
      </c>
      <c r="E4220" s="2">
        <v>1.4865062914808499E-3</v>
      </c>
      <c r="F4220" s="2">
        <v>2.4196181441418002E-3</v>
      </c>
    </row>
    <row r="4221" spans="1:6" x14ac:dyDescent="0.25">
      <c r="A4221" s="1" t="str">
        <f t="shared" si="152"/>
        <v>14460</v>
      </c>
      <c r="B4221" s="1" t="str">
        <f>"02532"</f>
        <v>02532</v>
      </c>
      <c r="C4221" s="2">
        <v>6.0100289935430902E-4</v>
      </c>
      <c r="D4221" s="2">
        <v>5.18401078274242E-5</v>
      </c>
      <c r="E4221" s="2">
        <v>6.9789027769054097E-5</v>
      </c>
      <c r="F4221" s="2">
        <v>5.1763995556992003E-4</v>
      </c>
    </row>
    <row r="4222" spans="1:6" x14ac:dyDescent="0.25">
      <c r="A4222" s="1" t="str">
        <f t="shared" si="152"/>
        <v>14460</v>
      </c>
      <c r="B4222" s="1" t="str">
        <f>"03087"</f>
        <v>03087</v>
      </c>
      <c r="C4222" s="2">
        <v>3.0728696628276701E-3</v>
      </c>
      <c r="D4222" s="2">
        <v>3.7022477006752102E-3</v>
      </c>
      <c r="E4222" s="2">
        <v>5.58312222152433E-4</v>
      </c>
      <c r="F4222" s="2">
        <v>2.9848383174978701E-3</v>
      </c>
    </row>
    <row r="4223" spans="1:6" x14ac:dyDescent="0.25">
      <c r="A4223" s="1" t="str">
        <f t="shared" si="152"/>
        <v>14460</v>
      </c>
      <c r="B4223" s="1" t="str">
        <f>"03878"</f>
        <v>03878</v>
      </c>
      <c r="C4223" s="2">
        <v>2.8673654456290998E-3</v>
      </c>
      <c r="D4223" s="2">
        <v>2.2680047174498102E-3</v>
      </c>
      <c r="E4223" s="2">
        <v>2.4495948746937998E-3</v>
      </c>
      <c r="F4223" s="2">
        <v>2.7859037862368401E-3</v>
      </c>
    </row>
    <row r="4224" spans="1:6" x14ac:dyDescent="0.25">
      <c r="A4224" s="1" t="str">
        <f t="shared" si="152"/>
        <v>14460</v>
      </c>
      <c r="B4224" s="1" t="str">
        <f>"03841"</f>
        <v>03841</v>
      </c>
      <c r="C4224" s="2">
        <v>1.2970030311872001E-3</v>
      </c>
      <c r="D4224" s="2">
        <v>1.21824253394447E-3</v>
      </c>
      <c r="E4224" s="2">
        <v>6.1414344436767595E-4</v>
      </c>
      <c r="F4224" s="2">
        <v>1.2493908911774701E-3</v>
      </c>
    </row>
    <row r="4225" spans="1:6" x14ac:dyDescent="0.25">
      <c r="A4225" s="1" t="str">
        <f t="shared" si="152"/>
        <v>14460</v>
      </c>
      <c r="B4225" s="1" t="str">
        <f>"03865"</f>
        <v>03865</v>
      </c>
      <c r="C4225" s="2">
        <v>2.1059335465277999E-3</v>
      </c>
      <c r="D4225" s="2">
        <v>3.0888064247173602E-3</v>
      </c>
      <c r="E4225" s="2">
        <v>1.59816873591134E-3</v>
      </c>
      <c r="F4225" s="2">
        <v>2.1694118264732999E-3</v>
      </c>
    </row>
    <row r="4226" spans="1:6" x14ac:dyDescent="0.25">
      <c r="A4226" s="1" t="str">
        <f t="shared" si="152"/>
        <v>14460</v>
      </c>
      <c r="B4226" s="1" t="str">
        <f>"03840"</f>
        <v>03840</v>
      </c>
      <c r="C4226" s="2">
        <v>1.17825649058897E-3</v>
      </c>
      <c r="D4226" s="2">
        <v>1.7280035942474699E-3</v>
      </c>
      <c r="E4226" s="2">
        <v>3.0009281940693202E-4</v>
      </c>
      <c r="F4226" s="2">
        <v>1.17884091308078E-3</v>
      </c>
    </row>
    <row r="4227" spans="1:6" x14ac:dyDescent="0.25">
      <c r="A4227" s="1" t="str">
        <f t="shared" si="152"/>
        <v>14460</v>
      </c>
      <c r="B4227" s="1" t="str">
        <f>"02738"</f>
        <v>02738</v>
      </c>
      <c r="C4227" s="2">
        <v>1.79137638388187E-3</v>
      </c>
      <c r="D4227" s="2">
        <v>1.2787226597431301E-3</v>
      </c>
      <c r="E4227" s="2">
        <v>8.5142613878245999E-4</v>
      </c>
      <c r="F4227" s="2">
        <v>1.68745703424299E-3</v>
      </c>
    </row>
    <row r="4228" spans="1:6" x14ac:dyDescent="0.25">
      <c r="A4228" s="1" t="str">
        <f t="shared" si="152"/>
        <v>14460</v>
      </c>
      <c r="B4228" s="1" t="str">
        <f>"01432"</f>
        <v>01432</v>
      </c>
      <c r="C4228" s="2">
        <v>2.0918778335590302E-3</v>
      </c>
      <c r="D4228" s="2">
        <v>2.2118446006367601E-3</v>
      </c>
      <c r="E4228" s="2">
        <v>2.18439656917139E-3</v>
      </c>
      <c r="F4228" s="2">
        <v>2.1087060313668398E-3</v>
      </c>
    </row>
    <row r="4229" spans="1:6" x14ac:dyDescent="0.25">
      <c r="A4229" s="1" t="str">
        <f t="shared" si="152"/>
        <v>14460</v>
      </c>
      <c r="B4229" s="1" t="str">
        <f>"01742"</f>
        <v>01742</v>
      </c>
      <c r="C4229" s="2">
        <v>4.0606470087019399E-3</v>
      </c>
      <c r="D4229" s="2">
        <v>6.4281733706006098E-3</v>
      </c>
      <c r="E4229" s="2">
        <v>2.4216792635861702E-3</v>
      </c>
      <c r="F4229" s="2">
        <v>4.1891100366367598E-3</v>
      </c>
    </row>
    <row r="4230" spans="1:6" x14ac:dyDescent="0.25">
      <c r="A4230" s="1" t="str">
        <f t="shared" si="152"/>
        <v>14460</v>
      </c>
      <c r="B4230" s="1" t="str">
        <f>"01703"</f>
        <v>01703</v>
      </c>
      <c r="C4230" s="2">
        <v>2.5397219295294999E-4</v>
      </c>
      <c r="D4230" s="2">
        <v>1.00656209364915E-3</v>
      </c>
      <c r="E4230" s="2">
        <v>1.3957805553810801E-5</v>
      </c>
      <c r="F4230" s="2">
        <v>3.1132228706622002E-4</v>
      </c>
    </row>
    <row r="4231" spans="1:6" x14ac:dyDescent="0.25">
      <c r="A4231" s="1" t="str">
        <f t="shared" si="152"/>
        <v>14460</v>
      </c>
      <c r="B4231" s="1" t="str">
        <f>"01801"</f>
        <v>01801</v>
      </c>
      <c r="C4231" s="2">
        <v>8.4048316755669997E-3</v>
      </c>
      <c r="D4231" s="2">
        <v>1.54829122044573E-2</v>
      </c>
      <c r="E4231" s="2">
        <v>6.9928605824592198E-3</v>
      </c>
      <c r="F4231" s="2">
        <v>8.9938916844545507E-3</v>
      </c>
    </row>
    <row r="4232" spans="1:6" x14ac:dyDescent="0.25">
      <c r="A4232" s="1" t="str">
        <f t="shared" si="152"/>
        <v>14460</v>
      </c>
      <c r="B4232" s="1" t="str">
        <f>"01835"</f>
        <v>01835</v>
      </c>
      <c r="C4232" s="2">
        <v>2.7840005273315699E-3</v>
      </c>
      <c r="D4232" s="2">
        <v>1.5638432527939599E-3</v>
      </c>
      <c r="E4232" s="2">
        <v>2.4426159719168898E-3</v>
      </c>
      <c r="F4232" s="2">
        <v>2.6480852243735398E-3</v>
      </c>
    </row>
    <row r="4233" spans="1:6" x14ac:dyDescent="0.25">
      <c r="A4233" s="1" t="str">
        <f t="shared" si="152"/>
        <v>14460</v>
      </c>
      <c r="B4233" s="1" t="str">
        <f>"01844"</f>
        <v>01844</v>
      </c>
      <c r="C4233" s="2">
        <v>9.3659516347763504E-3</v>
      </c>
      <c r="D4233" s="2">
        <v>5.8881722473982699E-3</v>
      </c>
      <c r="E4233" s="2">
        <v>4.34087752723516E-3</v>
      </c>
      <c r="F4233" s="2">
        <v>8.7404039724559707E-3</v>
      </c>
    </row>
    <row r="4234" spans="1:6" x14ac:dyDescent="0.25">
      <c r="A4234" s="1" t="str">
        <f t="shared" si="152"/>
        <v>14460</v>
      </c>
      <c r="B4234" s="1" t="str">
        <f>"02030"</f>
        <v>02030</v>
      </c>
      <c r="C4234" s="2">
        <v>1.25144313397808E-3</v>
      </c>
      <c r="D4234" s="2">
        <v>7.6032158146888899E-4</v>
      </c>
      <c r="E4234" s="2">
        <v>6.2810124992148701E-5</v>
      </c>
      <c r="F4234" s="2">
        <v>1.1349522639159801E-3</v>
      </c>
    </row>
    <row r="4235" spans="1:6" x14ac:dyDescent="0.25">
      <c r="A4235" s="1" t="str">
        <f t="shared" si="152"/>
        <v>14460</v>
      </c>
      <c r="B4235" s="1" t="str">
        <f>"02053"</f>
        <v>02053</v>
      </c>
      <c r="C4235" s="2">
        <v>2.3681452953589902E-3</v>
      </c>
      <c r="D4235" s="2">
        <v>1.6891235133769001E-3</v>
      </c>
      <c r="E4235" s="2">
        <v>7.81637111013406E-4</v>
      </c>
      <c r="F4235" s="2">
        <v>2.2104292555992799E-3</v>
      </c>
    </row>
    <row r="4236" spans="1:6" x14ac:dyDescent="0.25">
      <c r="A4236" s="1" t="str">
        <f t="shared" si="152"/>
        <v>14460</v>
      </c>
      <c r="B4236" s="1" t="str">
        <f>"02072"</f>
        <v>02072</v>
      </c>
      <c r="C4236" s="2">
        <v>5.9785248093027401E-3</v>
      </c>
      <c r="D4236" s="2">
        <v>6.4368133885718401E-3</v>
      </c>
      <c r="E4236" s="2">
        <v>5.2830294021173896E-3</v>
      </c>
      <c r="F4236" s="2">
        <v>5.98116151515101E-3</v>
      </c>
    </row>
    <row r="4237" spans="1:6" x14ac:dyDescent="0.25">
      <c r="A4237" s="1" t="str">
        <f t="shared" si="152"/>
        <v>14460</v>
      </c>
      <c r="B4237" s="1" t="str">
        <f>"02090"</f>
        <v>02090</v>
      </c>
      <c r="C4237" s="2">
        <v>3.0219782882855801E-3</v>
      </c>
      <c r="D4237" s="2">
        <v>2.8857660023932801E-3</v>
      </c>
      <c r="E4237" s="2">
        <v>5.7227002770624403E-4</v>
      </c>
      <c r="F4237" s="2">
        <v>2.8650674244499901E-3</v>
      </c>
    </row>
    <row r="4238" spans="1:6" x14ac:dyDescent="0.25">
      <c r="A4238" s="1" t="str">
        <f t="shared" si="152"/>
        <v>14460</v>
      </c>
      <c r="B4238" s="1" t="str">
        <f>"02067"</f>
        <v>02067</v>
      </c>
      <c r="C4238" s="2">
        <v>3.2851593966318599E-3</v>
      </c>
      <c r="D4238" s="2">
        <v>1.9785641154133598E-3</v>
      </c>
      <c r="E4238" s="2">
        <v>1.2631814026198801E-3</v>
      </c>
      <c r="F4238" s="2">
        <v>3.04226271827424E-3</v>
      </c>
    </row>
    <row r="4239" spans="1:6" x14ac:dyDescent="0.25">
      <c r="A4239" s="1" t="str">
        <f t="shared" si="152"/>
        <v>14460</v>
      </c>
      <c r="B4239" s="1" t="str">
        <f>"02113"</f>
        <v>02113</v>
      </c>
      <c r="C4239" s="2">
        <v>2.3938333225088102E-3</v>
      </c>
      <c r="D4239" s="2">
        <v>1.7884837200461299E-3</v>
      </c>
      <c r="E4239" s="2">
        <v>9.2958984988380094E-3</v>
      </c>
      <c r="F4239" s="2">
        <v>2.7420151370720399E-3</v>
      </c>
    </row>
    <row r="4240" spans="1:6" x14ac:dyDescent="0.25">
      <c r="A4240" s="1" t="str">
        <f t="shared" si="152"/>
        <v>14460</v>
      </c>
      <c r="B4240" s="1" t="str">
        <f>"02108"</f>
        <v>02108</v>
      </c>
      <c r="C4240" s="2">
        <v>1.1288191553195E-3</v>
      </c>
      <c r="D4240" s="2">
        <v>7.5168156349765198E-3</v>
      </c>
      <c r="E4240" s="2">
        <v>3.3498733329145902E-3</v>
      </c>
      <c r="F4240" s="2">
        <v>1.86588285094102E-3</v>
      </c>
    </row>
    <row r="4241" spans="1:6" x14ac:dyDescent="0.25">
      <c r="A4241" s="1" t="str">
        <f t="shared" si="152"/>
        <v>14460</v>
      </c>
      <c r="B4241" s="1" t="str">
        <f>"02129"</f>
        <v>02129</v>
      </c>
      <c r="C4241" s="2">
        <v>3.9385077098009003E-3</v>
      </c>
      <c r="D4241" s="2">
        <v>3.7368077725601599E-3</v>
      </c>
      <c r="E4241" s="2">
        <v>8.5770715128167495E-3</v>
      </c>
      <c r="F4241" s="2">
        <v>4.1919812566755801E-3</v>
      </c>
    </row>
    <row r="4242" spans="1:6" x14ac:dyDescent="0.25">
      <c r="A4242" s="1" t="str">
        <f t="shared" si="152"/>
        <v>14460</v>
      </c>
      <c r="B4242" s="1" t="str">
        <f>"02130"</f>
        <v>02130</v>
      </c>
      <c r="C4242" s="2">
        <v>7.6215891873762202E-3</v>
      </c>
      <c r="D4242" s="2">
        <v>4.9680103334614903E-3</v>
      </c>
      <c r="E4242" s="2">
        <v>1.87523117615448E-2</v>
      </c>
      <c r="F4242" s="2">
        <v>8.0238294856250295E-3</v>
      </c>
    </row>
    <row r="4243" spans="1:6" x14ac:dyDescent="0.25">
      <c r="A4243" s="1" t="str">
        <f t="shared" si="152"/>
        <v>14460</v>
      </c>
      <c r="B4243" s="1" t="str">
        <f>"02338"</f>
        <v>02338</v>
      </c>
      <c r="C4243" s="2">
        <v>1.55097522414015E-3</v>
      </c>
      <c r="D4243" s="2">
        <v>6.0480125798661598E-4</v>
      </c>
      <c r="E4243" s="2">
        <v>2.3030379163787801E-4</v>
      </c>
      <c r="F4243" s="2">
        <v>1.3835178844194399E-3</v>
      </c>
    </row>
    <row r="4244" spans="1:6" x14ac:dyDescent="0.25">
      <c r="A4244" s="1" t="str">
        <f t="shared" si="152"/>
        <v>14460</v>
      </c>
      <c r="B4244" s="1" t="str">
        <f>"02324"</f>
        <v>02324</v>
      </c>
      <c r="C4244" s="2">
        <v>4.6257836059979997E-3</v>
      </c>
      <c r="D4244" s="2">
        <v>2.8814459934076598E-3</v>
      </c>
      <c r="E4244" s="2">
        <v>2.9381180690771702E-3</v>
      </c>
      <c r="F4244" s="2">
        <v>4.3609730646746404E-3</v>
      </c>
    </row>
    <row r="4245" spans="1:6" x14ac:dyDescent="0.25">
      <c r="A4245" s="1" t="str">
        <f t="shared" si="152"/>
        <v>14460</v>
      </c>
      <c r="B4245" s="1" t="str">
        <f>"02303"</f>
        <v>02303</v>
      </c>
      <c r="C4245" s="2">
        <v>1.0837439378679301E-3</v>
      </c>
      <c r="D4245" s="2">
        <v>1.93968403454279E-3</v>
      </c>
      <c r="E4245" s="2">
        <v>6.9789027769054097E-6</v>
      </c>
      <c r="F4245" s="2">
        <v>1.1017281463239299E-3</v>
      </c>
    </row>
    <row r="4246" spans="1:6" x14ac:dyDescent="0.25">
      <c r="A4246" s="1" t="str">
        <f t="shared" si="152"/>
        <v>14460</v>
      </c>
      <c r="B4246" s="1" t="str">
        <f>"02364"</f>
        <v>02364</v>
      </c>
      <c r="C4246" s="2">
        <v>2.7074211256396499E-3</v>
      </c>
      <c r="D4246" s="2">
        <v>2.80800584065214E-3</v>
      </c>
      <c r="E4246" s="2">
        <v>1.02589870820509E-3</v>
      </c>
      <c r="F4246" s="2">
        <v>2.6181425011115702E-3</v>
      </c>
    </row>
    <row r="4247" spans="1:6" x14ac:dyDescent="0.25">
      <c r="A4247" s="1" t="str">
        <f t="shared" si="152"/>
        <v>14460</v>
      </c>
      <c r="B4247" s="1" t="str">
        <f>"02361"</f>
        <v>02361</v>
      </c>
      <c r="C4247" s="2">
        <v>3.3588307197785199E-4</v>
      </c>
      <c r="D4247" s="2">
        <v>6.9984145567022701E-4</v>
      </c>
      <c r="E4247" s="2">
        <v>2.0936708330716199E-5</v>
      </c>
      <c r="F4247" s="2">
        <v>3.51929541900944E-4</v>
      </c>
    </row>
    <row r="4248" spans="1:6" x14ac:dyDescent="0.25">
      <c r="A4248" s="1" t="str">
        <f t="shared" si="152"/>
        <v>14460</v>
      </c>
      <c r="B4248" s="1" t="str">
        <f>"02445"</f>
        <v>02445</v>
      </c>
      <c r="C4248" s="2">
        <v>3.6670870455763698E-3</v>
      </c>
      <c r="D4248" s="2">
        <v>2.6136054362992998E-3</v>
      </c>
      <c r="E4248" s="2">
        <v>9.12840483219228E-3</v>
      </c>
      <c r="F4248" s="2">
        <v>3.8880421068520402E-3</v>
      </c>
    </row>
    <row r="4249" spans="1:6" x14ac:dyDescent="0.25">
      <c r="A4249" s="1" t="str">
        <f t="shared" si="152"/>
        <v>14460</v>
      </c>
      <c r="B4249" s="1" t="str">
        <f>"02420"</f>
        <v>02420</v>
      </c>
      <c r="C4249" s="2">
        <v>2.8087191949662999E-3</v>
      </c>
      <c r="D4249" s="2">
        <v>3.6547276018334099E-3</v>
      </c>
      <c r="E4249" s="2">
        <v>8.0955272212102796E-4</v>
      </c>
      <c r="F4249" s="2">
        <v>2.77154768604275E-3</v>
      </c>
    </row>
    <row r="4250" spans="1:6" x14ac:dyDescent="0.25">
      <c r="A4250" s="1" t="str">
        <f t="shared" si="152"/>
        <v>14460</v>
      </c>
      <c r="B4250" s="1" t="str">
        <f>"02454"</f>
        <v>02454</v>
      </c>
      <c r="C4250" s="2">
        <v>3.9695272142837001E-4</v>
      </c>
      <c r="D4250" s="2">
        <v>1.3003227046712201E-3</v>
      </c>
      <c r="E4250" s="2">
        <v>1.3957805553810801E-5</v>
      </c>
      <c r="F4250" s="2">
        <v>4.6021555479354198E-4</v>
      </c>
    </row>
    <row r="4251" spans="1:6" x14ac:dyDescent="0.25">
      <c r="A4251" s="1" t="str">
        <f t="shared" si="152"/>
        <v>14460</v>
      </c>
      <c r="B4251" s="1" t="str">
        <f>"02466"</f>
        <v>02466</v>
      </c>
      <c r="C4251" s="2">
        <v>1.48699749614437E-3</v>
      </c>
      <c r="D4251" s="2">
        <v>1.19232248003075E-3</v>
      </c>
      <c r="E4251" s="2">
        <v>1.34692823594274E-3</v>
      </c>
      <c r="F4251" s="2">
        <v>1.4507864681860599E-3</v>
      </c>
    </row>
    <row r="4252" spans="1:6" x14ac:dyDescent="0.25">
      <c r="A4252" s="1" t="str">
        <f t="shared" si="152"/>
        <v>14460</v>
      </c>
      <c r="B4252" s="1" t="str">
        <f>"03079"</f>
        <v>03079</v>
      </c>
      <c r="C4252" s="2">
        <v>6.9275277745735001E-3</v>
      </c>
      <c r="D4252" s="2">
        <v>1.00051408106928E-2</v>
      </c>
      <c r="E4252" s="2">
        <v>4.2641095966892001E-3</v>
      </c>
      <c r="F4252" s="2">
        <v>7.0632012954944803E-3</v>
      </c>
    </row>
    <row r="4253" spans="1:6" x14ac:dyDescent="0.25">
      <c r="A4253" s="1" t="str">
        <f t="shared" si="152"/>
        <v>14460</v>
      </c>
      <c r="B4253" s="1" t="str">
        <f>"03859"</f>
        <v>03859</v>
      </c>
      <c r="C4253" s="2">
        <v>0</v>
      </c>
      <c r="D4253" s="2">
        <v>0</v>
      </c>
      <c r="E4253" s="2">
        <v>6.9789027769054097E-6</v>
      </c>
      <c r="F4253" s="2">
        <v>4.10174291259842E-7</v>
      </c>
    </row>
    <row r="4254" spans="1:6" x14ac:dyDescent="0.25">
      <c r="A4254" s="1" t="str">
        <f t="shared" si="152"/>
        <v>14460</v>
      </c>
      <c r="B4254" s="1" t="str">
        <f>"02217"</f>
        <v>02217</v>
      </c>
      <c r="C4254" s="2">
        <v>0</v>
      </c>
      <c r="D4254" s="2">
        <v>4.3200089856186898E-6</v>
      </c>
      <c r="E4254" s="2">
        <v>6.2810124992148701E-5</v>
      </c>
      <c r="F4254" s="2">
        <v>4.1017429125984202E-6</v>
      </c>
    </row>
    <row r="4255" spans="1:6" x14ac:dyDescent="0.25">
      <c r="A4255" s="1" t="str">
        <f t="shared" si="152"/>
        <v>14460</v>
      </c>
      <c r="B4255" s="1" t="str">
        <f>"02471"</f>
        <v>02471</v>
      </c>
      <c r="C4255" s="2">
        <v>3.33944352947676E-4</v>
      </c>
      <c r="D4255" s="2">
        <v>8.6832180610935605E-4</v>
      </c>
      <c r="E4255" s="2">
        <v>1.3957805553810801E-5</v>
      </c>
      <c r="F4255" s="2">
        <v>3.6587546780377899E-4</v>
      </c>
    </row>
    <row r="4256" spans="1:6" x14ac:dyDescent="0.25">
      <c r="A4256" s="1" t="str">
        <f t="shared" si="152"/>
        <v>14460</v>
      </c>
      <c r="B4256" s="1" t="str">
        <f>"03073"</f>
        <v>03073</v>
      </c>
      <c r="C4256" s="2">
        <v>2.3216160386347901E-4</v>
      </c>
      <c r="D4256" s="2">
        <v>4.4496092551872502E-4</v>
      </c>
      <c r="E4256" s="2">
        <v>1.3957805553810801E-5</v>
      </c>
      <c r="F4256" s="2">
        <v>2.39541786095747E-4</v>
      </c>
    </row>
    <row r="4257" spans="1:6" x14ac:dyDescent="0.25">
      <c r="A4257" s="1" t="str">
        <f t="shared" si="152"/>
        <v>14460</v>
      </c>
      <c r="B4257" s="1" t="str">
        <f>"01842"</f>
        <v>01842</v>
      </c>
      <c r="C4257" s="2">
        <v>6.1360457305044804E-4</v>
      </c>
      <c r="D4257" s="2">
        <v>6.3504132088594697E-4</v>
      </c>
      <c r="E4257" s="2">
        <v>1.3957805553810801E-5</v>
      </c>
      <c r="F4257" s="2">
        <v>5.8039662213267595E-4</v>
      </c>
    </row>
    <row r="4258" spans="1:6" x14ac:dyDescent="0.25">
      <c r="A4258" s="1" t="str">
        <f t="shared" si="152"/>
        <v>14460</v>
      </c>
      <c r="B4258" s="1" t="str">
        <f>"02137"</f>
        <v>02137</v>
      </c>
      <c r="C4258" s="2">
        <v>1.5606688192910199E-4</v>
      </c>
      <c r="D4258" s="2">
        <v>4.4064091653310598E-4</v>
      </c>
      <c r="E4258" s="2">
        <v>1.3957805553810801E-5</v>
      </c>
      <c r="F4258" s="2">
        <v>1.7473424807669201E-4</v>
      </c>
    </row>
    <row r="4259" spans="1:6" x14ac:dyDescent="0.25">
      <c r="A4259" s="1" t="str">
        <f t="shared" si="152"/>
        <v>14460</v>
      </c>
      <c r="B4259" s="1" t="str">
        <f>"01718"</f>
        <v>01718</v>
      </c>
      <c r="C4259" s="2">
        <v>1.36679691627351E-4</v>
      </c>
      <c r="D4259" s="2">
        <v>0</v>
      </c>
      <c r="E4259" s="2">
        <v>0</v>
      </c>
      <c r="F4259" s="2">
        <v>1.15669150135275E-4</v>
      </c>
    </row>
    <row r="4260" spans="1:6" x14ac:dyDescent="0.25">
      <c r="A4260" s="1" t="str">
        <f t="shared" si="152"/>
        <v>14460</v>
      </c>
      <c r="B4260" s="1" t="str">
        <f>"01961"</f>
        <v>01961</v>
      </c>
      <c r="C4260" s="2">
        <v>4.5317557330345099E-4</v>
      </c>
      <c r="D4260" s="2">
        <v>1.0843222553902901E-3</v>
      </c>
      <c r="E4260" s="2">
        <v>1.3957805553810801E-5</v>
      </c>
      <c r="F4260" s="2">
        <v>4.8728705801669202E-4</v>
      </c>
    </row>
    <row r="4261" spans="1:6" x14ac:dyDescent="0.25">
      <c r="A4261" s="1" t="str">
        <f t="shared" si="152"/>
        <v>14460</v>
      </c>
      <c r="B4261" s="1" t="str">
        <f>"03103"</f>
        <v>03103</v>
      </c>
      <c r="C4261" s="2">
        <v>2.9080785452627798E-6</v>
      </c>
      <c r="D4261" s="2">
        <v>2.8512059305083298E-4</v>
      </c>
      <c r="E4261" s="2">
        <v>5.5831222215243298E-5</v>
      </c>
      <c r="F4261" s="2">
        <v>3.28139433007873E-5</v>
      </c>
    </row>
    <row r="4262" spans="1:6" x14ac:dyDescent="0.25">
      <c r="A4262" s="1" t="str">
        <f t="shared" si="152"/>
        <v>14460</v>
      </c>
      <c r="B4262" s="1" t="str">
        <f>"02571"</f>
        <v>02571</v>
      </c>
      <c r="C4262" s="2">
        <v>2.9134100225957698E-3</v>
      </c>
      <c r="D4262" s="2">
        <v>1.96992409744212E-3</v>
      </c>
      <c r="E4262" s="2">
        <v>1.2562024998429701E-3</v>
      </c>
      <c r="F4262" s="2">
        <v>2.7264285140041699E-3</v>
      </c>
    </row>
    <row r="4263" spans="1:6" x14ac:dyDescent="0.25">
      <c r="A4263" s="1" t="str">
        <f t="shared" si="152"/>
        <v>14460</v>
      </c>
      <c r="B4263" s="1" t="str">
        <f>"03036"</f>
        <v>03036</v>
      </c>
      <c r="C4263" s="2">
        <v>9.0974390490970898E-4</v>
      </c>
      <c r="D4263" s="2">
        <v>6.0480125798661598E-5</v>
      </c>
      <c r="E4263" s="2">
        <v>4.1873416661432397E-5</v>
      </c>
      <c r="F4263" s="2">
        <v>7.7810063051992001E-4</v>
      </c>
    </row>
    <row r="4264" spans="1:6" x14ac:dyDescent="0.25">
      <c r="A4264" s="1" t="str">
        <f t="shared" si="152"/>
        <v>14460</v>
      </c>
      <c r="B4264" s="1" t="str">
        <f>"02493"</f>
        <v>02493</v>
      </c>
      <c r="C4264" s="2">
        <v>2.0661898064092102E-3</v>
      </c>
      <c r="D4264" s="2">
        <v>1.58112328873644E-3</v>
      </c>
      <c r="E4264" s="2">
        <v>2.3030379163787801E-4</v>
      </c>
      <c r="F4264" s="2">
        <v>1.9122325458533799E-3</v>
      </c>
    </row>
    <row r="4265" spans="1:6" x14ac:dyDescent="0.25">
      <c r="A4265" s="1" t="str">
        <f t="shared" si="152"/>
        <v>14460</v>
      </c>
      <c r="B4265" s="1" t="str">
        <f>"03826"</f>
        <v>03826</v>
      </c>
      <c r="C4265" s="2">
        <v>1.06532610708126E-3</v>
      </c>
      <c r="D4265" s="2">
        <v>1.0108821026347701E-3</v>
      </c>
      <c r="E4265" s="2">
        <v>8.3746833322864903E-5</v>
      </c>
      <c r="F4265" s="2">
        <v>1.0024659678390499E-3</v>
      </c>
    </row>
    <row r="4266" spans="1:6" x14ac:dyDescent="0.25">
      <c r="A4266" s="1" t="str">
        <f t="shared" si="152"/>
        <v>14460</v>
      </c>
      <c r="B4266" s="1" t="str">
        <f>"03825"</f>
        <v>03825</v>
      </c>
      <c r="C4266" s="2">
        <v>2.0952705918618302E-3</v>
      </c>
      <c r="D4266" s="2">
        <v>2.1513644748381001E-3</v>
      </c>
      <c r="E4266" s="2">
        <v>5.0248099993718896E-4</v>
      </c>
      <c r="F4266" s="2">
        <v>2.0069828071344002E-3</v>
      </c>
    </row>
    <row r="4267" spans="1:6" x14ac:dyDescent="0.25">
      <c r="A4267" s="1" t="str">
        <f t="shared" si="152"/>
        <v>14460</v>
      </c>
      <c r="B4267" s="1" t="str">
        <f>"03835"</f>
        <v>03835</v>
      </c>
      <c r="C4267" s="2">
        <v>1.7438777676425799E-3</v>
      </c>
      <c r="D4267" s="2">
        <v>1.2744026507575099E-3</v>
      </c>
      <c r="E4267" s="2">
        <v>1.2701603053967799E-3</v>
      </c>
      <c r="F4267" s="2">
        <v>1.67146023688385E-3</v>
      </c>
    </row>
    <row r="4268" spans="1:6" x14ac:dyDescent="0.25">
      <c r="A4268" s="1" t="str">
        <f t="shared" si="152"/>
        <v>14460</v>
      </c>
      <c r="B4268" s="1" t="str">
        <f>"03856"</f>
        <v>03856</v>
      </c>
      <c r="C4268" s="2">
        <v>5.3557113208589603E-4</v>
      </c>
      <c r="D4268" s="2">
        <v>7.7328160842574502E-4</v>
      </c>
      <c r="E4268" s="2">
        <v>5.5831222215243298E-5</v>
      </c>
      <c r="F4268" s="2">
        <v>5.2994518430771599E-4</v>
      </c>
    </row>
    <row r="4269" spans="1:6" x14ac:dyDescent="0.25">
      <c r="A4269" s="1" t="str">
        <f t="shared" si="152"/>
        <v>14460</v>
      </c>
      <c r="B4269" s="1" t="str">
        <f>"01462"</f>
        <v>01462</v>
      </c>
      <c r="C4269" s="2">
        <v>3.39275830280658E-6</v>
      </c>
      <c r="D4269" s="2">
        <v>0</v>
      </c>
      <c r="E4269" s="2">
        <v>0</v>
      </c>
      <c r="F4269" s="2">
        <v>2.87122003881889E-6</v>
      </c>
    </row>
    <row r="4270" spans="1:6" x14ac:dyDescent="0.25">
      <c r="A4270" s="1" t="str">
        <f t="shared" si="152"/>
        <v>14460</v>
      </c>
      <c r="B4270" s="1" t="str">
        <f>"01464"</f>
        <v>01464</v>
      </c>
      <c r="C4270" s="2">
        <v>1.23787210076686E-3</v>
      </c>
      <c r="D4270" s="2">
        <v>5.9184123102975995E-4</v>
      </c>
      <c r="E4270" s="2">
        <v>4.2571306939122999E-4</v>
      </c>
      <c r="F4270" s="2">
        <v>1.12879964954708E-3</v>
      </c>
    </row>
    <row r="4271" spans="1:6" x14ac:dyDescent="0.25">
      <c r="A4271" s="1" t="str">
        <f t="shared" si="152"/>
        <v>14460</v>
      </c>
      <c r="B4271" s="1" t="str">
        <f>"01721"</f>
        <v>01721</v>
      </c>
      <c r="C4271" s="2">
        <v>3.8187918096875802E-3</v>
      </c>
      <c r="D4271" s="2">
        <v>2.5185652386156901E-3</v>
      </c>
      <c r="E4271" s="2">
        <v>1.5702531248037101E-3</v>
      </c>
      <c r="F4271" s="2">
        <v>3.5631840681742402E-3</v>
      </c>
    </row>
    <row r="4272" spans="1:6" x14ac:dyDescent="0.25">
      <c r="A4272" s="1" t="str">
        <f t="shared" si="152"/>
        <v>14460</v>
      </c>
      <c r="B4272" s="1" t="str">
        <f>"01741"</f>
        <v>01741</v>
      </c>
      <c r="C4272" s="2">
        <v>1.1569305812570399E-3</v>
      </c>
      <c r="D4272" s="2">
        <v>7.51681563497652E-4</v>
      </c>
      <c r="E4272" s="2">
        <v>1.1864134720739201E-4</v>
      </c>
      <c r="F4272" s="2">
        <v>1.0574293228678699E-3</v>
      </c>
    </row>
    <row r="4273" spans="1:6" x14ac:dyDescent="0.25">
      <c r="A4273" s="1" t="str">
        <f t="shared" si="152"/>
        <v>14460</v>
      </c>
      <c r="B4273" s="1" t="str">
        <f>"01760"</f>
        <v>01760</v>
      </c>
      <c r="C4273" s="2">
        <v>7.45825210908396E-3</v>
      </c>
      <c r="D4273" s="2">
        <v>7.9228964796246703E-3</v>
      </c>
      <c r="E4273" s="2">
        <v>7.1394175407742304E-3</v>
      </c>
      <c r="F4273" s="2">
        <v>7.4836299440358099E-3</v>
      </c>
    </row>
    <row r="4274" spans="1:6" x14ac:dyDescent="0.25">
      <c r="A4274" s="1" t="str">
        <f t="shared" si="152"/>
        <v>14460</v>
      </c>
      <c r="B4274" s="1" t="str">
        <f>"01775"</f>
        <v>01775</v>
      </c>
      <c r="C4274" s="2">
        <v>1.68038471940434E-3</v>
      </c>
      <c r="D4274" s="2">
        <v>1.3089627226424601E-3</v>
      </c>
      <c r="E4274" s="2">
        <v>3.9779745828360798E-4</v>
      </c>
      <c r="F4274" s="2">
        <v>1.56973701265141E-3</v>
      </c>
    </row>
    <row r="4275" spans="1:6" x14ac:dyDescent="0.25">
      <c r="A4275" s="1" t="str">
        <f t="shared" ref="A4275:A4306" si="153">"14500"</f>
        <v>14500</v>
      </c>
      <c r="B4275" s="1" t="str">
        <f>"80309"</f>
        <v>80309</v>
      </c>
      <c r="C4275" s="2">
        <v>0</v>
      </c>
      <c r="D4275" s="2">
        <v>5.9066745422327203E-5</v>
      </c>
      <c r="E4275" s="2">
        <v>6.47261229424346E-2</v>
      </c>
      <c r="F4275" s="2">
        <v>3.85786240106271E-3</v>
      </c>
    </row>
    <row r="4276" spans="1:6" x14ac:dyDescent="0.25">
      <c r="A4276" s="1" t="str">
        <f t="shared" si="153"/>
        <v>14500</v>
      </c>
      <c r="B4276" s="1" t="str">
        <f>"80502"</f>
        <v>80502</v>
      </c>
      <c r="C4276" s="2">
        <v>7.8895592435958596E-3</v>
      </c>
      <c r="D4276" s="2">
        <v>3.6739515652687502E-2</v>
      </c>
      <c r="E4276" s="2">
        <v>1.8599460615642099E-4</v>
      </c>
      <c r="F4276" s="2">
        <v>1.01344993634803E-2</v>
      </c>
    </row>
    <row r="4277" spans="1:6" x14ac:dyDescent="0.25">
      <c r="A4277" s="1" t="str">
        <f t="shared" si="153"/>
        <v>14500</v>
      </c>
      <c r="B4277" s="1" t="str">
        <f>"80501"</f>
        <v>80501</v>
      </c>
      <c r="C4277" s="2">
        <v>0.12681469667357301</v>
      </c>
      <c r="D4277" s="2">
        <v>0.16993502658003501</v>
      </c>
      <c r="E4277" s="2">
        <v>0.15763042871756699</v>
      </c>
      <c r="F4277" s="2">
        <v>0.13268943377428399</v>
      </c>
    </row>
    <row r="4278" spans="1:6" x14ac:dyDescent="0.25">
      <c r="A4278" s="1" t="str">
        <f t="shared" si="153"/>
        <v>14500</v>
      </c>
      <c r="B4278" s="1" t="str">
        <f>"80504"</f>
        <v>80504</v>
      </c>
      <c r="C4278" s="2">
        <v>8.3980991848980599E-2</v>
      </c>
      <c r="D4278" s="2">
        <v>1.1340815121086799E-2</v>
      </c>
      <c r="E4278" s="2">
        <v>4.6498651539105297E-2</v>
      </c>
      <c r="F4278" s="2">
        <v>7.4943266729396094E-2</v>
      </c>
    </row>
    <row r="4279" spans="1:6" x14ac:dyDescent="0.25">
      <c r="A4279" s="1" t="str">
        <f t="shared" si="153"/>
        <v>14500</v>
      </c>
      <c r="B4279" s="1" t="str">
        <f>"80540"</f>
        <v>80540</v>
      </c>
      <c r="C4279" s="2">
        <v>7.6607816350408803E-3</v>
      </c>
      <c r="D4279" s="2">
        <v>5.3160070880094504E-4</v>
      </c>
      <c r="E4279" s="2">
        <v>1.4879568492513701E-3</v>
      </c>
      <c r="F4279" s="2">
        <v>6.6253390158853096E-3</v>
      </c>
    </row>
    <row r="4280" spans="1:6" x14ac:dyDescent="0.25">
      <c r="A4280" s="1" t="str">
        <f t="shared" si="153"/>
        <v>14500</v>
      </c>
      <c r="B4280" s="1" t="str">
        <f>"80027"</f>
        <v>80027</v>
      </c>
      <c r="C4280" s="2">
        <v>0.101204677521619</v>
      </c>
      <c r="D4280" s="2">
        <v>0.105197873597164</v>
      </c>
      <c r="E4280" s="2">
        <v>5.7379335999256001E-2</v>
      </c>
      <c r="F4280" s="2">
        <v>9.8970498699285897E-2</v>
      </c>
    </row>
    <row r="4281" spans="1:6" x14ac:dyDescent="0.25">
      <c r="A4281" s="1" t="str">
        <f t="shared" si="153"/>
        <v>14500</v>
      </c>
      <c r="B4281" s="1" t="str">
        <f>"80422"</f>
        <v>80422</v>
      </c>
      <c r="C4281" s="2">
        <v>5.8828527914136403E-5</v>
      </c>
      <c r="D4281" s="2">
        <v>0</v>
      </c>
      <c r="E4281" s="2">
        <v>0</v>
      </c>
      <c r="F4281" s="2">
        <v>4.9814579066806801E-5</v>
      </c>
    </row>
    <row r="4282" spans="1:6" x14ac:dyDescent="0.25">
      <c r="A4282" s="1" t="str">
        <f t="shared" si="153"/>
        <v>14500</v>
      </c>
      <c r="B4282" s="1" t="str">
        <f>"80021"</f>
        <v>80021</v>
      </c>
      <c r="C4282" s="2">
        <v>0</v>
      </c>
      <c r="D4282" s="2">
        <v>0</v>
      </c>
      <c r="E4282" s="2">
        <v>9.2997303078210699E-5</v>
      </c>
      <c r="F4282" s="2">
        <v>5.5349532296452003E-6</v>
      </c>
    </row>
    <row r="4283" spans="1:6" x14ac:dyDescent="0.25">
      <c r="A4283" s="1" t="str">
        <f t="shared" si="153"/>
        <v>14500</v>
      </c>
      <c r="B4283" s="1" t="str">
        <f>"80466"</f>
        <v>80466</v>
      </c>
      <c r="C4283" s="2">
        <v>2.01324295528378E-2</v>
      </c>
      <c r="D4283" s="2">
        <v>9.2734790313053692E-3</v>
      </c>
      <c r="E4283" s="2">
        <v>9.2997303078210696E-4</v>
      </c>
      <c r="F4283" s="2">
        <v>1.7971993136657899E-2</v>
      </c>
    </row>
    <row r="4284" spans="1:6" x14ac:dyDescent="0.25">
      <c r="A4284" s="1" t="str">
        <f t="shared" si="153"/>
        <v>14500</v>
      </c>
      <c r="B4284" s="1" t="str">
        <f>"80301"</f>
        <v>80301</v>
      </c>
      <c r="C4284" s="2">
        <v>8.4484302587801499E-2</v>
      </c>
      <c r="D4284" s="2">
        <v>0.18133490844654401</v>
      </c>
      <c r="E4284" s="2">
        <v>0.143122849437366</v>
      </c>
      <c r="F4284" s="2">
        <v>9.7049869928599097E-2</v>
      </c>
    </row>
    <row r="4285" spans="1:6" x14ac:dyDescent="0.25">
      <c r="A4285" s="1" t="str">
        <f t="shared" si="153"/>
        <v>14500</v>
      </c>
      <c r="B4285" s="1" t="str">
        <f>"80307"</f>
        <v>80307</v>
      </c>
      <c r="C4285" s="2">
        <v>2.28123958244818E-3</v>
      </c>
      <c r="D4285" s="2">
        <v>1.5180153573538E-2</v>
      </c>
      <c r="E4285" s="2">
        <v>1.8599460615642099E-4</v>
      </c>
      <c r="F4285" s="2">
        <v>3.3652515636242802E-3</v>
      </c>
    </row>
    <row r="4286" spans="1:6" x14ac:dyDescent="0.25">
      <c r="A4286" s="1" t="str">
        <f t="shared" si="153"/>
        <v>14500</v>
      </c>
      <c r="B4286" s="1" t="str">
        <f>"80544"</f>
        <v>80544</v>
      </c>
      <c r="C4286" s="2">
        <v>5.1638374502408699E-3</v>
      </c>
      <c r="D4286" s="2">
        <v>1.4235085646780801E-2</v>
      </c>
      <c r="E4286" s="2">
        <v>1.9529433646424199E-3</v>
      </c>
      <c r="F4286" s="2">
        <v>5.8227707975867602E-3</v>
      </c>
    </row>
    <row r="4287" spans="1:6" x14ac:dyDescent="0.25">
      <c r="A4287" s="1" t="str">
        <f t="shared" si="153"/>
        <v>14500</v>
      </c>
      <c r="B4287" s="1" t="str">
        <f>"80020"</f>
        <v>80020</v>
      </c>
      <c r="C4287" s="2">
        <v>6.20967794649218E-4</v>
      </c>
      <c r="D4287" s="2">
        <v>7.6786769049025296E-4</v>
      </c>
      <c r="E4287" s="2">
        <v>2.78991909234632E-4</v>
      </c>
      <c r="F4287" s="2">
        <v>6.1437980849061795E-4</v>
      </c>
    </row>
    <row r="4288" spans="1:6" x14ac:dyDescent="0.25">
      <c r="A4288" s="1" t="str">
        <f t="shared" si="153"/>
        <v>14500</v>
      </c>
      <c r="B4288" s="1" t="str">
        <f>"80510"</f>
        <v>80510</v>
      </c>
      <c r="C4288" s="2">
        <v>2.1309000111120499E-3</v>
      </c>
      <c r="D4288" s="2">
        <v>3.5440047253396302E-4</v>
      </c>
      <c r="E4288" s="2">
        <v>9.2997303078210699E-5</v>
      </c>
      <c r="F4288" s="2">
        <v>1.84313942547185E-3</v>
      </c>
    </row>
    <row r="4289" spans="1:6" x14ac:dyDescent="0.25">
      <c r="A4289" s="1" t="str">
        <f t="shared" si="153"/>
        <v>14500</v>
      </c>
      <c r="B4289" s="1" t="str">
        <f>"80516"</f>
        <v>80516</v>
      </c>
      <c r="C4289" s="2">
        <v>2.5387778046500602E-2</v>
      </c>
      <c r="D4289" s="2">
        <v>3.0124040165386799E-3</v>
      </c>
      <c r="E4289" s="2">
        <v>1.7669487584860001E-3</v>
      </c>
      <c r="F4289" s="2">
        <v>2.1885205070017101E-2</v>
      </c>
    </row>
    <row r="4290" spans="1:6" x14ac:dyDescent="0.25">
      <c r="A4290" s="1" t="str">
        <f t="shared" si="153"/>
        <v>14500</v>
      </c>
      <c r="B4290" s="1" t="str">
        <f>"80304"</f>
        <v>80304</v>
      </c>
      <c r="C4290" s="2">
        <v>8.0601619745468506E-2</v>
      </c>
      <c r="D4290" s="2">
        <v>4.4181925575900699E-2</v>
      </c>
      <c r="E4290" s="2">
        <v>9.0765367804333599E-2</v>
      </c>
      <c r="F4290" s="2">
        <v>7.7793767642663395E-2</v>
      </c>
    </row>
    <row r="4291" spans="1:6" x14ac:dyDescent="0.25">
      <c r="A4291" s="1" t="str">
        <f t="shared" si="153"/>
        <v>14500</v>
      </c>
      <c r="B4291" s="1" t="str">
        <f>"80471"</f>
        <v>80471</v>
      </c>
      <c r="C4291" s="2">
        <v>0</v>
      </c>
      <c r="D4291" s="2">
        <v>0</v>
      </c>
      <c r="E4291" s="2">
        <v>9.2997303078210699E-5</v>
      </c>
      <c r="F4291" s="2">
        <v>5.5349532296452003E-6</v>
      </c>
    </row>
    <row r="4292" spans="1:6" x14ac:dyDescent="0.25">
      <c r="A4292" s="1" t="str">
        <f t="shared" si="153"/>
        <v>14500</v>
      </c>
      <c r="B4292" s="1" t="str">
        <f>"80513"</f>
        <v>80513</v>
      </c>
      <c r="C4292" s="2">
        <v>4.5755521710995001E-5</v>
      </c>
      <c r="D4292" s="2">
        <v>0</v>
      </c>
      <c r="E4292" s="2">
        <v>0</v>
      </c>
      <c r="F4292" s="2">
        <v>3.8744672607516403E-5</v>
      </c>
    </row>
    <row r="4293" spans="1:6" x14ac:dyDescent="0.25">
      <c r="A4293" s="1" t="str">
        <f t="shared" si="153"/>
        <v>14500</v>
      </c>
      <c r="B4293" s="1" t="str">
        <f>"80403"</f>
        <v>80403</v>
      </c>
      <c r="C4293" s="2">
        <v>2.9087438801989698E-3</v>
      </c>
      <c r="D4293" s="2">
        <v>2.9533372711163598E-4</v>
      </c>
      <c r="E4293" s="2">
        <v>2.78991909234632E-4</v>
      </c>
      <c r="F4293" s="2">
        <v>2.5073338130292698E-3</v>
      </c>
    </row>
    <row r="4294" spans="1:6" x14ac:dyDescent="0.25">
      <c r="A4294" s="1" t="str">
        <f t="shared" si="153"/>
        <v>14500</v>
      </c>
      <c r="B4294" s="1" t="str">
        <f>"80481"</f>
        <v>80481</v>
      </c>
      <c r="C4294" s="2">
        <v>2.0393889676900601E-3</v>
      </c>
      <c r="D4294" s="2">
        <v>4.1346721795629E-4</v>
      </c>
      <c r="E4294" s="2">
        <v>1.8599460615642099E-4</v>
      </c>
      <c r="F4294" s="2">
        <v>1.77671998671611E-3</v>
      </c>
    </row>
    <row r="4295" spans="1:6" x14ac:dyDescent="0.25">
      <c r="A4295" s="1" t="str">
        <f t="shared" si="153"/>
        <v>14500</v>
      </c>
      <c r="B4295" s="1" t="str">
        <f>"80455"</f>
        <v>80455</v>
      </c>
      <c r="C4295" s="2">
        <v>1.6275892722911001E-3</v>
      </c>
      <c r="D4295" s="2">
        <v>0</v>
      </c>
      <c r="E4295" s="2">
        <v>8.3697572770389595E-4</v>
      </c>
      <c r="F4295" s="2">
        <v>1.42801793324846E-3</v>
      </c>
    </row>
    <row r="4296" spans="1:6" x14ac:dyDescent="0.25">
      <c r="A4296" s="1" t="str">
        <f t="shared" si="153"/>
        <v>14500</v>
      </c>
      <c r="B4296" s="1" t="str">
        <f>"80310"</f>
        <v>80310</v>
      </c>
      <c r="C4296" s="2">
        <v>1.5033957133612599E-4</v>
      </c>
      <c r="D4296" s="2">
        <v>2.36266981689308E-4</v>
      </c>
      <c r="E4296" s="2">
        <v>0</v>
      </c>
      <c r="F4296" s="2">
        <v>1.4944373720042001E-4</v>
      </c>
    </row>
    <row r="4297" spans="1:6" x14ac:dyDescent="0.25">
      <c r="A4297" s="1" t="str">
        <f t="shared" si="153"/>
        <v>14500</v>
      </c>
      <c r="B4297" s="1" t="str">
        <f>"80314"</f>
        <v>80314</v>
      </c>
      <c r="C4297" s="2">
        <v>0</v>
      </c>
      <c r="D4297" s="2">
        <v>5.9066745422327203E-5</v>
      </c>
      <c r="E4297" s="2">
        <v>0</v>
      </c>
      <c r="F4297" s="2">
        <v>5.5349532296452003E-6</v>
      </c>
    </row>
    <row r="4298" spans="1:6" x14ac:dyDescent="0.25">
      <c r="A4298" s="1" t="str">
        <f t="shared" si="153"/>
        <v>14500</v>
      </c>
      <c r="B4298" s="1" t="str">
        <f>"80503"</f>
        <v>80503</v>
      </c>
      <c r="C4298" s="2">
        <v>0.10062946524868099</v>
      </c>
      <c r="D4298" s="2">
        <v>2.5575900767867601E-2</v>
      </c>
      <c r="E4298" s="2">
        <v>2.7248209801915699E-2</v>
      </c>
      <c r="F4298" s="2">
        <v>8.9228981015110398E-2</v>
      </c>
    </row>
    <row r="4299" spans="1:6" x14ac:dyDescent="0.25">
      <c r="A4299" s="1" t="str">
        <f t="shared" si="153"/>
        <v>14500</v>
      </c>
      <c r="B4299" s="1" t="str">
        <f>"80308"</f>
        <v>80308</v>
      </c>
      <c r="C4299" s="2">
        <v>1.30403236876335E-2</v>
      </c>
      <c r="D4299" s="2">
        <v>4.8316597755463597E-2</v>
      </c>
      <c r="E4299" s="2">
        <v>1.8599460615642099E-4</v>
      </c>
      <c r="F4299" s="2">
        <v>1.5580893341451201E-2</v>
      </c>
    </row>
    <row r="4300" spans="1:6" x14ac:dyDescent="0.25">
      <c r="A4300" s="1" t="str">
        <f t="shared" si="153"/>
        <v>14500</v>
      </c>
      <c r="B4300" s="1" t="str">
        <f>"80306"</f>
        <v>80306</v>
      </c>
      <c r="C4300" s="2">
        <v>1.5687607443769701E-2</v>
      </c>
      <c r="D4300" s="2">
        <v>4.6662728883638503E-2</v>
      </c>
      <c r="E4300" s="2">
        <v>1.8599460615642099E-4</v>
      </c>
      <c r="F4300" s="2">
        <v>1.76675707090275E-2</v>
      </c>
    </row>
    <row r="4301" spans="1:6" x14ac:dyDescent="0.25">
      <c r="A4301" s="1" t="str">
        <f t="shared" si="153"/>
        <v>14500</v>
      </c>
      <c r="B4301" s="1" t="str">
        <f>"80302"</f>
        <v>80302</v>
      </c>
      <c r="C4301" s="2">
        <v>8.4680397680848604E-2</v>
      </c>
      <c r="D4301" s="2">
        <v>0.116893089190785</v>
      </c>
      <c r="E4301" s="2">
        <v>0.18915651446108001</v>
      </c>
      <c r="F4301" s="2">
        <v>9.3917086400619895E-2</v>
      </c>
    </row>
    <row r="4302" spans="1:6" x14ac:dyDescent="0.25">
      <c r="A4302" s="1" t="str">
        <f t="shared" si="153"/>
        <v>14500</v>
      </c>
      <c r="B4302" s="1" t="str">
        <f>"80303"</f>
        <v>80303</v>
      </c>
      <c r="C4302" s="2">
        <v>8.66740311268277E-2</v>
      </c>
      <c r="D4302" s="2">
        <v>5.9184878913171798E-2</v>
      </c>
      <c r="E4302" s="2">
        <v>8.52785269227192E-2</v>
      </c>
      <c r="F4302" s="2">
        <v>8.4015055072784603E-2</v>
      </c>
    </row>
    <row r="4303" spans="1:6" x14ac:dyDescent="0.25">
      <c r="A4303" s="1" t="str">
        <f t="shared" si="153"/>
        <v>14500</v>
      </c>
      <c r="B4303" s="1" t="str">
        <f>"80305"</f>
        <v>80305</v>
      </c>
      <c r="C4303" s="2">
        <v>4.8343976939217E-2</v>
      </c>
      <c r="D4303" s="2">
        <v>1.4766686355581799E-2</v>
      </c>
      <c r="E4303" s="2">
        <v>2.3807309588021901E-2</v>
      </c>
      <c r="F4303" s="2">
        <v>4.3737200420656402E-2</v>
      </c>
    </row>
    <row r="4304" spans="1:6" x14ac:dyDescent="0.25">
      <c r="A4304" s="1" t="str">
        <f t="shared" si="153"/>
        <v>14500</v>
      </c>
      <c r="B4304" s="1" t="str">
        <f>"80026"</f>
        <v>80026</v>
      </c>
      <c r="C4304" s="2">
        <v>9.3661552942406801E-2</v>
      </c>
      <c r="D4304" s="2">
        <v>8.7891317188422899E-2</v>
      </c>
      <c r="E4304" s="2">
        <v>0.105365944387612</v>
      </c>
      <c r="F4304" s="2">
        <v>9.3817457242486302E-2</v>
      </c>
    </row>
    <row r="4305" spans="1:6" x14ac:dyDescent="0.25">
      <c r="A4305" s="1" t="str">
        <f t="shared" si="153"/>
        <v>14500</v>
      </c>
      <c r="B4305" s="1" t="str">
        <f>"80533"</f>
        <v>80533</v>
      </c>
      <c r="C4305" s="2">
        <v>2.0916809925026298E-3</v>
      </c>
      <c r="D4305" s="2">
        <v>7.5605434140578803E-3</v>
      </c>
      <c r="E4305" s="2">
        <v>1.8599460615642099E-4</v>
      </c>
      <c r="F4305" s="2">
        <v>2.49072895334034E-3</v>
      </c>
    </row>
    <row r="4306" spans="1:6" x14ac:dyDescent="0.25">
      <c r="A4306" s="1" t="str">
        <f t="shared" si="153"/>
        <v>14500</v>
      </c>
      <c r="B4306" s="1" t="str">
        <f>"80025"</f>
        <v>80025</v>
      </c>
      <c r="C4306" s="2">
        <v>6.5365031015707199E-6</v>
      </c>
      <c r="D4306" s="2">
        <v>0</v>
      </c>
      <c r="E4306" s="2">
        <v>9.2997303078210699E-5</v>
      </c>
      <c r="F4306" s="2">
        <v>1.1069906459290401E-5</v>
      </c>
    </row>
    <row r="4307" spans="1:6" x14ac:dyDescent="0.25">
      <c r="A4307" s="1" t="str">
        <f t="shared" ref="A4307:A4342" si="154">"14540"</f>
        <v>14540</v>
      </c>
      <c r="B4307" s="1" t="str">
        <f>"42160"</f>
        <v>42160</v>
      </c>
      <c r="C4307" s="2">
        <v>2.6523662813593002E-3</v>
      </c>
      <c r="D4307" s="2">
        <v>7.3997336095900498E-4</v>
      </c>
      <c r="E4307" s="2">
        <v>0</v>
      </c>
      <c r="F4307" s="2">
        <v>2.4202306459119799E-3</v>
      </c>
    </row>
    <row r="4308" spans="1:6" x14ac:dyDescent="0.25">
      <c r="A4308" s="1" t="str">
        <f t="shared" si="154"/>
        <v>14540</v>
      </c>
      <c r="B4308" s="1" t="str">
        <f>"42164"</f>
        <v>42164</v>
      </c>
      <c r="C4308" s="2">
        <v>9.5102967407167102E-2</v>
      </c>
      <c r="D4308" s="2">
        <v>7.6365250850969305E-2</v>
      </c>
      <c r="E4308" s="2">
        <v>3.2590529247910803E-2</v>
      </c>
      <c r="F4308" s="2">
        <v>9.1472306976263101E-2</v>
      </c>
    </row>
    <row r="4309" spans="1:6" x14ac:dyDescent="0.25">
      <c r="A4309" s="1" t="str">
        <f t="shared" si="154"/>
        <v>14540</v>
      </c>
      <c r="B4309" s="1" t="str">
        <f>"42288"</f>
        <v>42288</v>
      </c>
      <c r="C4309" s="2">
        <v>0</v>
      </c>
      <c r="D4309" s="2">
        <v>0</v>
      </c>
      <c r="E4309" s="2">
        <v>5.5710306406685196E-4</v>
      </c>
      <c r="F4309" s="2">
        <v>2.06857320163417E-5</v>
      </c>
    </row>
    <row r="4310" spans="1:6" x14ac:dyDescent="0.25">
      <c r="A4310" s="1" t="str">
        <f t="shared" si="154"/>
        <v>14540</v>
      </c>
      <c r="B4310" s="1" t="str">
        <f>"42219"</f>
        <v>42219</v>
      </c>
      <c r="C4310" s="2">
        <v>0</v>
      </c>
      <c r="D4310" s="2">
        <v>0</v>
      </c>
      <c r="E4310" s="2">
        <v>5.5710306406685196E-4</v>
      </c>
      <c r="F4310" s="2">
        <v>2.06857320163417E-5</v>
      </c>
    </row>
    <row r="4311" spans="1:6" x14ac:dyDescent="0.25">
      <c r="A4311" s="1" t="str">
        <f t="shared" si="154"/>
        <v>14540</v>
      </c>
      <c r="B4311" s="1" t="str">
        <f>"42333"</f>
        <v>42333</v>
      </c>
      <c r="C4311" s="2">
        <v>5.0962496235724703E-4</v>
      </c>
      <c r="D4311" s="2">
        <v>8.8796803315080604E-4</v>
      </c>
      <c r="E4311" s="2">
        <v>5.5710306406685196E-4</v>
      </c>
      <c r="F4311" s="2">
        <v>5.3782903242488404E-4</v>
      </c>
    </row>
    <row r="4312" spans="1:6" x14ac:dyDescent="0.25">
      <c r="A4312" s="1" t="str">
        <f t="shared" si="154"/>
        <v>14540</v>
      </c>
      <c r="B4312" s="1" t="str">
        <f>"42159"</f>
        <v>42159</v>
      </c>
      <c r="C4312" s="2">
        <v>5.6869512844865498E-3</v>
      </c>
      <c r="D4312" s="2">
        <v>1.0359627053425999E-3</v>
      </c>
      <c r="E4312" s="2">
        <v>3.3426183844011098E-3</v>
      </c>
      <c r="F4312" s="2">
        <v>5.2748616641671402E-3</v>
      </c>
    </row>
    <row r="4313" spans="1:6" x14ac:dyDescent="0.25">
      <c r="A4313" s="1" t="str">
        <f t="shared" si="154"/>
        <v>14540</v>
      </c>
      <c r="B4313" s="1" t="str">
        <f>"42275"</f>
        <v>42275</v>
      </c>
      <c r="C4313" s="2">
        <v>8.5246357339757595E-3</v>
      </c>
      <c r="D4313" s="2">
        <v>1.1839573775344E-3</v>
      </c>
      <c r="E4313" s="2">
        <v>2.7855153203342598E-4</v>
      </c>
      <c r="F4313" s="2">
        <v>7.7054351760872898E-3</v>
      </c>
    </row>
    <row r="4314" spans="1:6" x14ac:dyDescent="0.25">
      <c r="A4314" s="1" t="str">
        <f t="shared" si="154"/>
        <v>14540</v>
      </c>
      <c r="B4314" s="1" t="str">
        <f>"42285"</f>
        <v>42285</v>
      </c>
      <c r="C4314" s="2">
        <v>2.2933123306076099E-3</v>
      </c>
      <c r="D4314" s="2">
        <v>5.9197868876720403E-4</v>
      </c>
      <c r="E4314" s="2">
        <v>1.1142061281337E-3</v>
      </c>
      <c r="F4314" s="2">
        <v>2.1306303976831899E-3</v>
      </c>
    </row>
    <row r="4315" spans="1:6" x14ac:dyDescent="0.25">
      <c r="A4315" s="1" t="str">
        <f t="shared" si="154"/>
        <v>14540</v>
      </c>
      <c r="B4315" s="1" t="str">
        <f>"42122"</f>
        <v>42122</v>
      </c>
      <c r="C4315" s="2">
        <v>2.6025620236743902E-2</v>
      </c>
      <c r="D4315" s="2">
        <v>2.8118987716442201E-3</v>
      </c>
      <c r="E4315" s="2">
        <v>5.8495821727019403E-3</v>
      </c>
      <c r="F4315" s="2">
        <v>2.3654134560686699E-2</v>
      </c>
    </row>
    <row r="4316" spans="1:6" x14ac:dyDescent="0.25">
      <c r="A4316" s="1" t="str">
        <f t="shared" si="154"/>
        <v>14540</v>
      </c>
      <c r="B4316" s="1" t="str">
        <f>"42103"</f>
        <v>42103</v>
      </c>
      <c r="C4316" s="2">
        <v>0.119009011095925</v>
      </c>
      <c r="D4316" s="2">
        <v>8.9980760692615E-2</v>
      </c>
      <c r="E4316" s="2">
        <v>9.6935933147632297E-2</v>
      </c>
      <c r="F4316" s="2">
        <v>0.116160728137766</v>
      </c>
    </row>
    <row r="4317" spans="1:6" x14ac:dyDescent="0.25">
      <c r="A4317" s="1" t="str">
        <f t="shared" si="154"/>
        <v>14540</v>
      </c>
      <c r="B4317" s="1" t="str">
        <f>"42101"</f>
        <v>42101</v>
      </c>
      <c r="C4317" s="2">
        <v>0.31044267877412002</v>
      </c>
      <c r="D4317" s="2">
        <v>0.37590646736717398</v>
      </c>
      <c r="E4317" s="2">
        <v>0.54122562674094699</v>
      </c>
      <c r="F4317" s="2">
        <v>0.32358690593163297</v>
      </c>
    </row>
    <row r="4318" spans="1:6" x14ac:dyDescent="0.25">
      <c r="A4318" s="1" t="str">
        <f t="shared" si="154"/>
        <v>14540</v>
      </c>
      <c r="B4318" s="1" t="str">
        <f>"42339"</f>
        <v>42339</v>
      </c>
      <c r="C4318" s="2">
        <v>3.9380110727605403E-4</v>
      </c>
      <c r="D4318" s="2">
        <v>0</v>
      </c>
      <c r="E4318" s="2">
        <v>0</v>
      </c>
      <c r="F4318" s="2">
        <v>3.51657444277809E-4</v>
      </c>
    </row>
    <row r="4319" spans="1:6" x14ac:dyDescent="0.25">
      <c r="A4319" s="1" t="str">
        <f t="shared" si="154"/>
        <v>14540</v>
      </c>
      <c r="B4319" s="1" t="str">
        <f>"42201"</f>
        <v>42201</v>
      </c>
      <c r="C4319" s="2">
        <v>0</v>
      </c>
      <c r="D4319" s="2">
        <v>0</v>
      </c>
      <c r="E4319" s="2">
        <v>5.5710306406685196E-4</v>
      </c>
      <c r="F4319" s="2">
        <v>2.06857320163417E-5</v>
      </c>
    </row>
    <row r="4320" spans="1:6" x14ac:dyDescent="0.25">
      <c r="A4320" s="1" t="str">
        <f t="shared" si="154"/>
        <v>14540</v>
      </c>
      <c r="B4320" s="1" t="str">
        <f>"42104"</f>
        <v>42104</v>
      </c>
      <c r="C4320" s="2">
        <v>0.18880446616785099</v>
      </c>
      <c r="D4320" s="2">
        <v>0.21858813082729001</v>
      </c>
      <c r="E4320" s="2">
        <v>0.224233983286908</v>
      </c>
      <c r="F4320" s="2">
        <v>0.192201479029839</v>
      </c>
    </row>
    <row r="4321" spans="1:6" x14ac:dyDescent="0.25">
      <c r="A4321" s="1" t="str">
        <f t="shared" si="154"/>
        <v>14540</v>
      </c>
      <c r="B4321" s="1" t="str">
        <f>"42170"</f>
        <v>42170</v>
      </c>
      <c r="C4321" s="2">
        <v>4.3202297945284804E-3</v>
      </c>
      <c r="D4321" s="2">
        <v>1.47994672191801E-3</v>
      </c>
      <c r="E4321" s="2">
        <v>5.0139275766016697E-3</v>
      </c>
      <c r="F4321" s="2">
        <v>4.1474892692765098E-3</v>
      </c>
    </row>
    <row r="4322" spans="1:6" x14ac:dyDescent="0.25">
      <c r="A4322" s="1" t="str">
        <f t="shared" si="154"/>
        <v>14540</v>
      </c>
      <c r="B4322" s="1" t="str">
        <f>"42259"</f>
        <v>42259</v>
      </c>
      <c r="C4322" s="2">
        <v>9.2774907920035194E-3</v>
      </c>
      <c r="D4322" s="2">
        <v>1.62794139410981E-3</v>
      </c>
      <c r="E4322" s="2">
        <v>1.3927576601671301E-3</v>
      </c>
      <c r="F4322" s="2">
        <v>8.4501215286755908E-3</v>
      </c>
    </row>
    <row r="4323" spans="1:6" x14ac:dyDescent="0.25">
      <c r="A4323" s="1" t="str">
        <f t="shared" si="154"/>
        <v>14540</v>
      </c>
      <c r="B4323" s="1" t="str">
        <f>"42274"</f>
        <v>42274</v>
      </c>
      <c r="C4323" s="2">
        <v>1.1721374134216599E-2</v>
      </c>
      <c r="D4323" s="2">
        <v>1.0359627053425999E-3</v>
      </c>
      <c r="E4323" s="2">
        <v>8.0779944289693494E-3</v>
      </c>
      <c r="F4323" s="2">
        <v>1.0839323576563E-2</v>
      </c>
    </row>
    <row r="4324" spans="1:6" x14ac:dyDescent="0.25">
      <c r="A4324" s="1" t="str">
        <f t="shared" si="154"/>
        <v>14540</v>
      </c>
      <c r="B4324" s="1" t="str">
        <f>"42261"</f>
        <v>42261</v>
      </c>
      <c r="C4324" s="2">
        <v>8.85473372095716E-2</v>
      </c>
      <c r="D4324" s="2">
        <v>5.68299541216516E-2</v>
      </c>
      <c r="E4324" s="2">
        <v>2.6740947075208899E-2</v>
      </c>
      <c r="F4324" s="2">
        <v>8.4035786316388195E-2</v>
      </c>
    </row>
    <row r="4325" spans="1:6" x14ac:dyDescent="0.25">
      <c r="A4325" s="1" t="str">
        <f t="shared" si="154"/>
        <v>14540</v>
      </c>
      <c r="B4325" s="1" t="str">
        <f>"42133"</f>
        <v>42133</v>
      </c>
      <c r="C4325" s="2">
        <v>1.8647640668071901E-3</v>
      </c>
      <c r="D4325" s="2">
        <v>5.9197868876720403E-4</v>
      </c>
      <c r="E4325" s="2">
        <v>0</v>
      </c>
      <c r="F4325" s="2">
        <v>1.7065728913481901E-3</v>
      </c>
    </row>
    <row r="4326" spans="1:6" x14ac:dyDescent="0.25">
      <c r="A4326" s="1" t="str">
        <f t="shared" si="154"/>
        <v>14540</v>
      </c>
      <c r="B4326" s="1" t="str">
        <f>"42729"</f>
        <v>42729</v>
      </c>
      <c r="C4326" s="2">
        <v>3.5326275799763699E-3</v>
      </c>
      <c r="D4326" s="2">
        <v>0</v>
      </c>
      <c r="E4326" s="2">
        <v>7.2423398328690797E-3</v>
      </c>
      <c r="F4326" s="2">
        <v>3.4234886487045499E-3</v>
      </c>
    </row>
    <row r="4327" spans="1:6" x14ac:dyDescent="0.25">
      <c r="A4327" s="1" t="str">
        <f t="shared" si="154"/>
        <v>14540</v>
      </c>
      <c r="B4327" s="1" t="str">
        <f>"42320"</f>
        <v>42320</v>
      </c>
      <c r="C4327" s="2">
        <v>4.6329542032476997E-5</v>
      </c>
      <c r="D4327" s="2">
        <v>0</v>
      </c>
      <c r="E4327" s="2">
        <v>0</v>
      </c>
      <c r="F4327" s="2">
        <v>4.13714640326834E-5</v>
      </c>
    </row>
    <row r="4328" spans="1:6" x14ac:dyDescent="0.25">
      <c r="A4328" s="1" t="str">
        <f t="shared" si="154"/>
        <v>14540</v>
      </c>
      <c r="B4328" s="1" t="str">
        <f>"42206"</f>
        <v>42206</v>
      </c>
      <c r="C4328" s="2">
        <v>9.2659084064953995E-5</v>
      </c>
      <c r="D4328" s="2">
        <v>0</v>
      </c>
      <c r="E4328" s="2">
        <v>0</v>
      </c>
      <c r="F4328" s="2">
        <v>8.2742928065366895E-5</v>
      </c>
    </row>
    <row r="4329" spans="1:6" x14ac:dyDescent="0.25">
      <c r="A4329" s="1" t="str">
        <f t="shared" si="154"/>
        <v>14540</v>
      </c>
      <c r="B4329" s="1" t="str">
        <f>"42120"</f>
        <v>42120</v>
      </c>
      <c r="C4329" s="2">
        <v>1.4142092705413599E-2</v>
      </c>
      <c r="D4329" s="2">
        <v>4.29184549356223E-3</v>
      </c>
      <c r="E4329" s="2">
        <v>1.6713091922005499E-3</v>
      </c>
      <c r="F4329" s="2">
        <v>1.29906397062626E-2</v>
      </c>
    </row>
    <row r="4330" spans="1:6" x14ac:dyDescent="0.25">
      <c r="A4330" s="1" t="str">
        <f t="shared" si="154"/>
        <v>14540</v>
      </c>
      <c r="B4330" s="1" t="str">
        <f>"42102"</f>
        <v>42102</v>
      </c>
      <c r="C4330" s="2">
        <v>3.0160531863142499E-2</v>
      </c>
      <c r="D4330" s="2">
        <v>0.139558975876868</v>
      </c>
      <c r="E4330" s="2">
        <v>1.1142061281337E-3</v>
      </c>
      <c r="F4330" s="2">
        <v>3.67275171950147E-2</v>
      </c>
    </row>
    <row r="4331" spans="1:6" x14ac:dyDescent="0.25">
      <c r="A4331" s="1" t="str">
        <f t="shared" si="154"/>
        <v>14540</v>
      </c>
      <c r="B4331" s="1" t="str">
        <f>"42207"</f>
        <v>42207</v>
      </c>
      <c r="C4331" s="2">
        <v>5.8027751395677398E-3</v>
      </c>
      <c r="D4331" s="2">
        <v>1.47994672191801E-3</v>
      </c>
      <c r="E4331" s="2">
        <v>1.3927576601671301E-3</v>
      </c>
      <c r="F4331" s="2">
        <v>5.33691886021616E-3</v>
      </c>
    </row>
    <row r="4332" spans="1:6" x14ac:dyDescent="0.25">
      <c r="A4332" s="1" t="str">
        <f t="shared" si="154"/>
        <v>14540</v>
      </c>
      <c r="B4332" s="1" t="str">
        <f>"42153"</f>
        <v>42153</v>
      </c>
      <c r="C4332" s="2">
        <v>2.66394866686742E-4</v>
      </c>
      <c r="D4332" s="2">
        <v>0</v>
      </c>
      <c r="E4332" s="2">
        <v>2.7855153203342598E-4</v>
      </c>
      <c r="F4332" s="2">
        <v>2.4822878419610001E-4</v>
      </c>
    </row>
    <row r="4333" spans="1:6" x14ac:dyDescent="0.25">
      <c r="A4333" s="1" t="str">
        <f t="shared" si="154"/>
        <v>14540</v>
      </c>
      <c r="B4333" s="1" t="str">
        <f>"42134"</f>
        <v>42134</v>
      </c>
      <c r="C4333" s="2">
        <v>2.7681901364405002E-3</v>
      </c>
      <c r="D4333" s="2">
        <v>4.4398401657540302E-4</v>
      </c>
      <c r="E4333" s="2">
        <v>1.1142061281337E-3</v>
      </c>
      <c r="F4333" s="2">
        <v>2.54434503801003E-3</v>
      </c>
    </row>
    <row r="4334" spans="1:6" x14ac:dyDescent="0.25">
      <c r="A4334" s="1" t="str">
        <f t="shared" si="154"/>
        <v>14540</v>
      </c>
      <c r="B4334" s="1" t="str">
        <f>"42252"</f>
        <v>42252</v>
      </c>
      <c r="C4334" s="2">
        <v>7.8760221455210903E-4</v>
      </c>
      <c r="D4334" s="2">
        <v>0</v>
      </c>
      <c r="E4334" s="2">
        <v>5.5710306406685196E-4</v>
      </c>
      <c r="F4334" s="2">
        <v>7.2400062057195996E-4</v>
      </c>
    </row>
    <row r="4335" spans="1:6" x14ac:dyDescent="0.25">
      <c r="A4335" s="1" t="str">
        <f t="shared" si="154"/>
        <v>14540</v>
      </c>
      <c r="B4335" s="1" t="str">
        <f>"42754"</f>
        <v>42754</v>
      </c>
      <c r="C4335" s="2">
        <v>1.33197433343371E-3</v>
      </c>
      <c r="D4335" s="2">
        <v>5.9197868876720403E-4</v>
      </c>
      <c r="E4335" s="2">
        <v>1.94986072423398E-3</v>
      </c>
      <c r="F4335" s="2">
        <v>1.3032011170295199E-3</v>
      </c>
    </row>
    <row r="4336" spans="1:6" x14ac:dyDescent="0.25">
      <c r="A4336" s="1" t="str">
        <f t="shared" si="154"/>
        <v>14540</v>
      </c>
      <c r="B4336" s="1" t="str">
        <f>"42276"</f>
        <v>42276</v>
      </c>
      <c r="C4336" s="2">
        <v>1.6215339711366899E-4</v>
      </c>
      <c r="D4336" s="2">
        <v>0</v>
      </c>
      <c r="E4336" s="2">
        <v>0</v>
      </c>
      <c r="F4336" s="2">
        <v>1.4480012411439199E-4</v>
      </c>
    </row>
    <row r="4337" spans="1:6" x14ac:dyDescent="0.25">
      <c r="A4337" s="1" t="str">
        <f t="shared" si="154"/>
        <v>14540</v>
      </c>
      <c r="B4337" s="1" t="str">
        <f>"42163"</f>
        <v>42163</v>
      </c>
      <c r="C4337" s="2">
        <v>3.9380110727605403E-4</v>
      </c>
      <c r="D4337" s="2">
        <v>7.3997336095900498E-4</v>
      </c>
      <c r="E4337" s="2">
        <v>2.7855153203342598E-4</v>
      </c>
      <c r="F4337" s="2">
        <v>4.1371464032683401E-4</v>
      </c>
    </row>
    <row r="4338" spans="1:6" x14ac:dyDescent="0.25">
      <c r="A4338" s="1" t="str">
        <f t="shared" si="154"/>
        <v>14540</v>
      </c>
      <c r="B4338" s="1" t="str">
        <f>"42256"</f>
        <v>42256</v>
      </c>
      <c r="C4338" s="2">
        <v>6.8567722208065897E-3</v>
      </c>
      <c r="D4338" s="2">
        <v>8.8796803315080604E-4</v>
      </c>
      <c r="E4338" s="2">
        <v>0</v>
      </c>
      <c r="F4338" s="2">
        <v>6.18503387288617E-3</v>
      </c>
    </row>
    <row r="4339" spans="1:6" x14ac:dyDescent="0.25">
      <c r="A4339" s="1" t="str">
        <f t="shared" si="154"/>
        <v>14540</v>
      </c>
      <c r="B4339" s="1" t="str">
        <f>"42721"</f>
        <v>42721</v>
      </c>
      <c r="C4339" s="2">
        <v>1.8068521392666001E-3</v>
      </c>
      <c r="D4339" s="2">
        <v>4.4398401657540302E-4</v>
      </c>
      <c r="E4339" s="2">
        <v>1.3927576601671301E-3</v>
      </c>
      <c r="F4339" s="2">
        <v>1.69623002534002E-3</v>
      </c>
    </row>
    <row r="4340" spans="1:6" x14ac:dyDescent="0.25">
      <c r="A4340" s="1" t="str">
        <f t="shared" si="154"/>
        <v>14540</v>
      </c>
      <c r="B4340" s="1" t="str">
        <f>"42171"</f>
        <v>42171</v>
      </c>
      <c r="C4340" s="2">
        <v>2.75776598948319E-2</v>
      </c>
      <c r="D4340" s="2">
        <v>9.6196536924670704E-3</v>
      </c>
      <c r="E4340" s="2">
        <v>2.3676880222841201E-2</v>
      </c>
      <c r="F4340" s="2">
        <v>2.6177793866680399E-2</v>
      </c>
    </row>
    <row r="4341" spans="1:6" x14ac:dyDescent="0.25">
      <c r="A4341" s="1" t="str">
        <f t="shared" si="154"/>
        <v>14540</v>
      </c>
      <c r="B4341" s="1" t="str">
        <f>"42210"</f>
        <v>42210</v>
      </c>
      <c r="C4341" s="2">
        <v>2.5261182793207999E-2</v>
      </c>
      <c r="D4341" s="2">
        <v>1.1691579103152199E-2</v>
      </c>
      <c r="E4341" s="2">
        <v>1.0027855153203299E-2</v>
      </c>
      <c r="F4341" s="2">
        <v>2.37472203547603E-2</v>
      </c>
    </row>
    <row r="4342" spans="1:6" x14ac:dyDescent="0.25">
      <c r="A4342" s="1" t="str">
        <f t="shared" si="154"/>
        <v>14540</v>
      </c>
      <c r="B4342" s="1" t="str">
        <f>"42273"</f>
        <v>42273</v>
      </c>
      <c r="C4342" s="2">
        <v>3.8337696031874699E-3</v>
      </c>
      <c r="D4342" s="2">
        <v>5.9197868876720403E-4</v>
      </c>
      <c r="E4342" s="2">
        <v>2.7855153203342598E-4</v>
      </c>
      <c r="F4342" s="2">
        <v>3.47520297874541E-3</v>
      </c>
    </row>
    <row r="4343" spans="1:6" x14ac:dyDescent="0.25">
      <c r="A4343" s="1" t="str">
        <f t="shared" ref="A4343:A4356" si="155">"14580"</f>
        <v>14580</v>
      </c>
      <c r="B4343" s="1" t="str">
        <f>"59715"</f>
        <v>59715</v>
      </c>
      <c r="C4343" s="2">
        <v>0.27938965987345699</v>
      </c>
      <c r="D4343" s="2">
        <v>0.32879924953095602</v>
      </c>
      <c r="E4343" s="2">
        <v>0.29328743545611002</v>
      </c>
      <c r="F4343" s="2">
        <v>0.28640708855098301</v>
      </c>
    </row>
    <row r="4344" spans="1:6" x14ac:dyDescent="0.25">
      <c r="A4344" s="1" t="str">
        <f t="shared" si="155"/>
        <v>14580</v>
      </c>
      <c r="B4344" s="1" t="str">
        <f>"59717"</f>
        <v>59717</v>
      </c>
      <c r="C4344" s="2">
        <v>0</v>
      </c>
      <c r="D4344" s="2">
        <v>1.17260787992495E-4</v>
      </c>
      <c r="E4344" s="2">
        <v>0</v>
      </c>
      <c r="F4344" s="2">
        <v>1.3975849731663601E-5</v>
      </c>
    </row>
    <row r="4345" spans="1:6" x14ac:dyDescent="0.25">
      <c r="A4345" s="1" t="str">
        <f t="shared" si="155"/>
        <v>14580</v>
      </c>
      <c r="B4345" s="1" t="str">
        <f>"59716"</f>
        <v>59716</v>
      </c>
      <c r="C4345" s="2">
        <v>2.90488342014192E-2</v>
      </c>
      <c r="D4345" s="2">
        <v>2.9315196998123801E-2</v>
      </c>
      <c r="E4345" s="2">
        <v>5.50774526678141E-3</v>
      </c>
      <c r="F4345" s="2">
        <v>2.7169051878354201E-2</v>
      </c>
    </row>
    <row r="4346" spans="1:6" x14ac:dyDescent="0.25">
      <c r="A4346" s="1" t="str">
        <f t="shared" si="155"/>
        <v>14580</v>
      </c>
      <c r="B4346" s="1" t="str">
        <f>"59714"</f>
        <v>59714</v>
      </c>
      <c r="C4346" s="2">
        <v>0.17324431083301201</v>
      </c>
      <c r="D4346" s="2">
        <v>0.16592401500938</v>
      </c>
      <c r="E4346" s="2">
        <v>0.20378657487091201</v>
      </c>
      <c r="F4346" s="2">
        <v>0.174851855992844</v>
      </c>
    </row>
    <row r="4347" spans="1:6" x14ac:dyDescent="0.25">
      <c r="A4347" s="1" t="str">
        <f t="shared" si="155"/>
        <v>14580</v>
      </c>
      <c r="B4347" s="1" t="str">
        <f>"59718"</f>
        <v>59718</v>
      </c>
      <c r="C4347" s="2">
        <v>0.35592687104554799</v>
      </c>
      <c r="D4347" s="2">
        <v>0.24460600375234501</v>
      </c>
      <c r="E4347" s="2">
        <v>0.448709122203098</v>
      </c>
      <c r="F4347" s="2">
        <v>0.35019286672629601</v>
      </c>
    </row>
    <row r="4348" spans="1:6" x14ac:dyDescent="0.25">
      <c r="A4348" s="1" t="str">
        <f t="shared" si="155"/>
        <v>14580</v>
      </c>
      <c r="B4348" s="1" t="str">
        <f>"59758"</f>
        <v>59758</v>
      </c>
      <c r="C4348" s="2">
        <v>2.1236061103925601E-2</v>
      </c>
      <c r="D4348" s="2">
        <v>6.3320825515947397E-3</v>
      </c>
      <c r="E4348" s="2">
        <v>1.6523235800344201E-2</v>
      </c>
      <c r="F4348" s="2">
        <v>1.9077034883720902E-2</v>
      </c>
    </row>
    <row r="4349" spans="1:6" x14ac:dyDescent="0.25">
      <c r="A4349" s="1" t="str">
        <f t="shared" si="155"/>
        <v>14580</v>
      </c>
      <c r="B4349" s="1" t="str">
        <f>"59760"</f>
        <v>59760</v>
      </c>
      <c r="C4349" s="2">
        <v>3.4956479183416602E-5</v>
      </c>
      <c r="D4349" s="2">
        <v>0</v>
      </c>
      <c r="E4349" s="2">
        <v>1.7211703958691901E-4</v>
      </c>
      <c r="F4349" s="2">
        <v>4.1927549194990998E-5</v>
      </c>
    </row>
    <row r="4350" spans="1:6" x14ac:dyDescent="0.25">
      <c r="A4350" s="1" t="str">
        <f t="shared" si="155"/>
        <v>14580</v>
      </c>
      <c r="B4350" s="1" t="str">
        <f>"59730"</f>
        <v>59730</v>
      </c>
      <c r="C4350" s="2">
        <v>2.5221099730835101E-2</v>
      </c>
      <c r="D4350" s="2">
        <v>2.2396810506566601E-2</v>
      </c>
      <c r="E4350" s="2">
        <v>3.44234079173838E-3</v>
      </c>
      <c r="F4350" s="2">
        <v>2.3116055456171701E-2</v>
      </c>
    </row>
    <row r="4351" spans="1:6" x14ac:dyDescent="0.25">
      <c r="A4351" s="1" t="str">
        <f t="shared" si="155"/>
        <v>14580</v>
      </c>
      <c r="B4351" s="1" t="str">
        <f>"59771"</f>
        <v>59771</v>
      </c>
      <c r="C4351" s="2">
        <v>2.6584402418988299E-2</v>
      </c>
      <c r="D4351" s="2">
        <v>9.9437148217635996E-2</v>
      </c>
      <c r="E4351" s="2">
        <v>3.4423407917383802E-4</v>
      </c>
      <c r="F4351" s="2">
        <v>3.3136739713774503E-2</v>
      </c>
    </row>
    <row r="4352" spans="1:6" x14ac:dyDescent="0.25">
      <c r="A4352" s="1" t="str">
        <f t="shared" si="155"/>
        <v>14580</v>
      </c>
      <c r="B4352" s="1" t="str">
        <f>"59741"</f>
        <v>59741</v>
      </c>
      <c r="C4352" s="2">
        <v>3.6110042996469298E-2</v>
      </c>
      <c r="D4352" s="2">
        <v>4.8076923076923002E-3</v>
      </c>
      <c r="E4352" s="2">
        <v>2.23752151462994E-2</v>
      </c>
      <c r="F4352" s="2">
        <v>3.1263975849731597E-2</v>
      </c>
    </row>
    <row r="4353" spans="1:6" x14ac:dyDescent="0.25">
      <c r="A4353" s="1" t="str">
        <f t="shared" si="155"/>
        <v>14580</v>
      </c>
      <c r="B4353" s="1" t="str">
        <f>"59086"</f>
        <v>59086</v>
      </c>
      <c r="C4353" s="2">
        <v>5.9426014611808204E-4</v>
      </c>
      <c r="D4353" s="2">
        <v>0</v>
      </c>
      <c r="E4353" s="2">
        <v>0</v>
      </c>
      <c r="F4353" s="2">
        <v>4.7517889087656499E-4</v>
      </c>
    </row>
    <row r="4354" spans="1:6" x14ac:dyDescent="0.25">
      <c r="A4354" s="1" t="str">
        <f t="shared" si="155"/>
        <v>14580</v>
      </c>
      <c r="B4354" s="1" t="str">
        <f>"59772"</f>
        <v>59772</v>
      </c>
      <c r="C4354" s="2">
        <v>1.04694655154332E-2</v>
      </c>
      <c r="D4354" s="2">
        <v>3.45919324577861E-2</v>
      </c>
      <c r="E4354" s="2">
        <v>3.4423407917383802E-4</v>
      </c>
      <c r="F4354" s="2">
        <v>1.25223613595706E-2</v>
      </c>
    </row>
    <row r="4355" spans="1:6" x14ac:dyDescent="0.25">
      <c r="A4355" s="1" t="str">
        <f t="shared" si="155"/>
        <v>14580</v>
      </c>
      <c r="B4355" s="1" t="str">
        <f>"59719"</f>
        <v>59719</v>
      </c>
      <c r="C4355" s="2">
        <v>1.4367112944384201E-2</v>
      </c>
      <c r="D4355" s="2">
        <v>6.0858348968104999E-2</v>
      </c>
      <c r="E4355" s="2">
        <v>3.4423407917383802E-4</v>
      </c>
      <c r="F4355" s="2">
        <v>1.87695661896243E-2</v>
      </c>
    </row>
    <row r="4356" spans="1:6" x14ac:dyDescent="0.25">
      <c r="A4356" s="1" t="str">
        <f t="shared" si="155"/>
        <v>14580</v>
      </c>
      <c r="B4356" s="1" t="str">
        <f>"59752"</f>
        <v>59752</v>
      </c>
      <c r="C4356" s="2">
        <v>2.7772922711224501E-2</v>
      </c>
      <c r="D4356" s="2">
        <v>2.8142589118198801E-3</v>
      </c>
      <c r="E4356" s="2">
        <v>5.1635111876075701E-3</v>
      </c>
      <c r="F4356" s="2">
        <v>2.2962321109123399E-2</v>
      </c>
    </row>
    <row r="4357" spans="1:6" x14ac:dyDescent="0.25">
      <c r="A4357" s="1" t="str">
        <f t="shared" ref="A4357:A4377" si="156">"14620"</f>
        <v>14620</v>
      </c>
      <c r="B4357" s="1" t="str">
        <f>"16733"</f>
        <v>16733</v>
      </c>
      <c r="C4357" s="2">
        <v>0</v>
      </c>
      <c r="D4357" s="2">
        <v>6.5832784726793897E-4</v>
      </c>
      <c r="E4357" s="2">
        <v>1.0193679918450501E-3</v>
      </c>
      <c r="F4357" s="2">
        <v>9.8077677520596297E-5</v>
      </c>
    </row>
    <row r="4358" spans="1:6" x14ac:dyDescent="0.25">
      <c r="A4358" s="1" t="str">
        <f t="shared" si="156"/>
        <v>14620</v>
      </c>
      <c r="B4358" s="1" t="str">
        <f>"16743"</f>
        <v>16743</v>
      </c>
      <c r="C4358" s="2">
        <v>0.105074893807288</v>
      </c>
      <c r="D4358" s="2">
        <v>9.8090849242922898E-2</v>
      </c>
      <c r="E4358" s="2">
        <v>8.9704383282364894E-2</v>
      </c>
      <c r="F4358" s="2">
        <v>0.103815221655551</v>
      </c>
    </row>
    <row r="4359" spans="1:6" x14ac:dyDescent="0.25">
      <c r="A4359" s="1" t="str">
        <f t="shared" si="156"/>
        <v>14620</v>
      </c>
      <c r="B4359" s="1" t="str">
        <f>"16750"</f>
        <v>16750</v>
      </c>
      <c r="C4359" s="2">
        <v>1.17929801028392E-2</v>
      </c>
      <c r="D4359" s="2">
        <v>7.2416063199473302E-3</v>
      </c>
      <c r="E4359" s="2">
        <v>4.0774719673802202E-3</v>
      </c>
      <c r="F4359" s="2">
        <v>1.1082777559827299E-2</v>
      </c>
    </row>
    <row r="4360" spans="1:6" x14ac:dyDescent="0.25">
      <c r="A4360" s="1" t="str">
        <f t="shared" si="156"/>
        <v>14620</v>
      </c>
      <c r="B4360" s="1" t="str">
        <f>"16727"</f>
        <v>16727</v>
      </c>
      <c r="C4360" s="2">
        <v>4.9742901855577898E-3</v>
      </c>
      <c r="D4360" s="2">
        <v>6.5832784726793897E-4</v>
      </c>
      <c r="E4360" s="2">
        <v>2.0387359836901101E-3</v>
      </c>
      <c r="F4360" s="2">
        <v>4.5115731659474299E-3</v>
      </c>
    </row>
    <row r="4361" spans="1:6" x14ac:dyDescent="0.25">
      <c r="A4361" s="1" t="str">
        <f t="shared" si="156"/>
        <v>14620</v>
      </c>
      <c r="B4361" s="1" t="str">
        <f>"16725"</f>
        <v>16725</v>
      </c>
      <c r="C4361" s="2">
        <v>0</v>
      </c>
      <c r="D4361" s="2">
        <v>6.5832784726793897E-4</v>
      </c>
      <c r="E4361" s="2">
        <v>0</v>
      </c>
      <c r="F4361" s="2">
        <v>4.9038838760298101E-5</v>
      </c>
    </row>
    <row r="4362" spans="1:6" x14ac:dyDescent="0.25">
      <c r="A4362" s="1" t="str">
        <f t="shared" si="156"/>
        <v>14620</v>
      </c>
      <c r="B4362" s="1" t="str">
        <f>"16744"</f>
        <v>16744</v>
      </c>
      <c r="C4362" s="2">
        <v>3.7446903644086701E-3</v>
      </c>
      <c r="D4362" s="2">
        <v>1.9749835418038102E-3</v>
      </c>
      <c r="E4362" s="2">
        <v>0</v>
      </c>
      <c r="F4362" s="2">
        <v>3.4327187132208699E-3</v>
      </c>
    </row>
    <row r="4363" spans="1:6" x14ac:dyDescent="0.25">
      <c r="A4363" s="1" t="str">
        <f t="shared" si="156"/>
        <v>14620</v>
      </c>
      <c r="B4363" s="1" t="str">
        <f>"15870"</f>
        <v>15870</v>
      </c>
      <c r="C4363" s="2">
        <v>6.14799910574558E-4</v>
      </c>
      <c r="D4363" s="2">
        <v>0</v>
      </c>
      <c r="E4363" s="2">
        <v>0</v>
      </c>
      <c r="F4363" s="2">
        <v>5.3942722636327902E-4</v>
      </c>
    </row>
    <row r="4364" spans="1:6" x14ac:dyDescent="0.25">
      <c r="A4364" s="1" t="str">
        <f t="shared" si="156"/>
        <v>14620</v>
      </c>
      <c r="B4364" s="1" t="str">
        <f>"16701"</f>
        <v>16701</v>
      </c>
      <c r="C4364" s="2">
        <v>0.45260451598479701</v>
      </c>
      <c r="D4364" s="2">
        <v>0.53851217906517401</v>
      </c>
      <c r="E4364" s="2">
        <v>0.52395514780835795</v>
      </c>
      <c r="F4364" s="2">
        <v>0.46243624950961099</v>
      </c>
    </row>
    <row r="4365" spans="1:6" x14ac:dyDescent="0.25">
      <c r="A4365" s="1" t="str">
        <f t="shared" si="156"/>
        <v>14620</v>
      </c>
      <c r="B4365" s="1" t="str">
        <f>"16738"</f>
        <v>16738</v>
      </c>
      <c r="C4365" s="2">
        <v>2.0791415157612299E-2</v>
      </c>
      <c r="D4365" s="2">
        <v>3.55497037524687E-2</v>
      </c>
      <c r="E4365" s="2">
        <v>4.0774719673802202E-3</v>
      </c>
      <c r="F4365" s="2">
        <v>2.10867006669282E-2</v>
      </c>
    </row>
    <row r="4366" spans="1:6" x14ac:dyDescent="0.25">
      <c r="A4366" s="1" t="str">
        <f t="shared" si="156"/>
        <v>14620</v>
      </c>
      <c r="B4366" s="1" t="str">
        <f>"16726"</f>
        <v>16726</v>
      </c>
      <c r="C4366" s="2">
        <v>5.4214173932483701E-3</v>
      </c>
      <c r="D4366" s="2">
        <v>0</v>
      </c>
      <c r="E4366" s="2">
        <v>1.0193679918450501E-3</v>
      </c>
      <c r="F4366" s="2">
        <v>4.8058061985092101E-3</v>
      </c>
    </row>
    <row r="4367" spans="1:6" x14ac:dyDescent="0.25">
      <c r="A4367" s="1" t="str">
        <f t="shared" si="156"/>
        <v>14620</v>
      </c>
      <c r="B4367" s="1" t="str">
        <f>"16749"</f>
        <v>16749</v>
      </c>
      <c r="C4367" s="2">
        <v>0.107086966241895</v>
      </c>
      <c r="D4367" s="2">
        <v>0.10533245556287001</v>
      </c>
      <c r="E4367" s="2">
        <v>7.3394495412843999E-2</v>
      </c>
      <c r="F4367" s="2">
        <v>0.10533542565711999</v>
      </c>
    </row>
    <row r="4368" spans="1:6" x14ac:dyDescent="0.25">
      <c r="A4368" s="1" t="str">
        <f t="shared" si="156"/>
        <v>14620</v>
      </c>
      <c r="B4368" s="1" t="str">
        <f>"16745"</f>
        <v>16745</v>
      </c>
      <c r="C4368" s="2">
        <v>1.18488710038005E-2</v>
      </c>
      <c r="D4368" s="2">
        <v>6.5832784726793897E-4</v>
      </c>
      <c r="E4368" s="2">
        <v>2.0387359836901101E-3</v>
      </c>
      <c r="F4368" s="2">
        <v>1.05433503334641E-2</v>
      </c>
    </row>
    <row r="4369" spans="1:6" x14ac:dyDescent="0.25">
      <c r="A4369" s="1" t="str">
        <f t="shared" si="156"/>
        <v>14620</v>
      </c>
      <c r="B4369" s="1" t="str">
        <f>"16732"</f>
        <v>16732</v>
      </c>
      <c r="C4369" s="2">
        <v>1.1178180192264601E-3</v>
      </c>
      <c r="D4369" s="2">
        <v>1.3166556945358699E-3</v>
      </c>
      <c r="E4369" s="2">
        <v>0</v>
      </c>
      <c r="F4369" s="2">
        <v>1.07885445272655E-3</v>
      </c>
    </row>
    <row r="4370" spans="1:6" x14ac:dyDescent="0.25">
      <c r="A4370" s="1" t="str">
        <f t="shared" si="156"/>
        <v>14620</v>
      </c>
      <c r="B4370" s="1" t="str">
        <f>"16724"</f>
        <v>16724</v>
      </c>
      <c r="C4370" s="2">
        <v>0</v>
      </c>
      <c r="D4370" s="2">
        <v>6.5832784726793897E-4</v>
      </c>
      <c r="E4370" s="2">
        <v>0</v>
      </c>
      <c r="F4370" s="2">
        <v>4.9038838760298101E-5</v>
      </c>
    </row>
    <row r="4371" spans="1:6" x14ac:dyDescent="0.25">
      <c r="A4371" s="1" t="str">
        <f t="shared" si="156"/>
        <v>14620</v>
      </c>
      <c r="B4371" s="1" t="str">
        <f>"16730"</f>
        <v>16730</v>
      </c>
      <c r="C4371" s="2">
        <v>0</v>
      </c>
      <c r="D4371" s="2">
        <v>6.5832784726793897E-4</v>
      </c>
      <c r="E4371" s="2">
        <v>0</v>
      </c>
      <c r="F4371" s="2">
        <v>4.9038838760298101E-5</v>
      </c>
    </row>
    <row r="4372" spans="1:6" x14ac:dyDescent="0.25">
      <c r="A4372" s="1" t="str">
        <f t="shared" si="156"/>
        <v>14620</v>
      </c>
      <c r="B4372" s="1" t="str">
        <f>"16731"</f>
        <v>16731</v>
      </c>
      <c r="C4372" s="2">
        <v>5.6505700871897997E-2</v>
      </c>
      <c r="D4372" s="2">
        <v>1.44832126398946E-2</v>
      </c>
      <c r="E4372" s="2">
        <v>8.0530071355759403E-2</v>
      </c>
      <c r="F4372" s="2">
        <v>5.4531188701451502E-2</v>
      </c>
    </row>
    <row r="4373" spans="1:6" x14ac:dyDescent="0.25">
      <c r="A4373" s="1" t="str">
        <f t="shared" si="156"/>
        <v>14620</v>
      </c>
      <c r="B4373" s="1" t="str">
        <f>"16748"</f>
        <v>16748</v>
      </c>
      <c r="C4373" s="2">
        <v>1.8276324614352701E-2</v>
      </c>
      <c r="D4373" s="2">
        <v>4.60829493087557E-3</v>
      </c>
      <c r="E4373" s="2">
        <v>2.0387359836901101E-3</v>
      </c>
      <c r="F4373" s="2">
        <v>1.6477049823460099E-2</v>
      </c>
    </row>
    <row r="4374" spans="1:6" x14ac:dyDescent="0.25">
      <c r="A4374" s="1" t="str">
        <f t="shared" si="156"/>
        <v>14620</v>
      </c>
      <c r="B4374" s="1" t="str">
        <f>"16729"</f>
        <v>16729</v>
      </c>
      <c r="C4374" s="2">
        <v>1.8835233623966E-2</v>
      </c>
      <c r="D4374" s="2">
        <v>2.6333113890717498E-3</v>
      </c>
      <c r="E4374" s="2">
        <v>2.4464831804281301E-2</v>
      </c>
      <c r="F4374" s="2">
        <v>1.78991761475088E-2</v>
      </c>
    </row>
    <row r="4375" spans="1:6" x14ac:dyDescent="0.25">
      <c r="A4375" s="1" t="str">
        <f t="shared" si="156"/>
        <v>14620</v>
      </c>
      <c r="B4375" s="1" t="str">
        <f>"16333"</f>
        <v>16333</v>
      </c>
      <c r="C4375" s="2">
        <v>0</v>
      </c>
      <c r="D4375" s="2">
        <v>0</v>
      </c>
      <c r="E4375" s="2">
        <v>2.0387359836901101E-3</v>
      </c>
      <c r="F4375" s="2">
        <v>9.8077677520596297E-5</v>
      </c>
    </row>
    <row r="4376" spans="1:6" x14ac:dyDescent="0.25">
      <c r="A4376" s="1" t="str">
        <f t="shared" si="156"/>
        <v>14620</v>
      </c>
      <c r="B4376" s="1" t="str">
        <f>"16740"</f>
        <v>16740</v>
      </c>
      <c r="C4376" s="2">
        <v>7.4893807288173402E-3</v>
      </c>
      <c r="D4376" s="2">
        <v>4.60829493087557E-3</v>
      </c>
      <c r="E4376" s="2">
        <v>0</v>
      </c>
      <c r="F4376" s="2">
        <v>6.9144762652020401E-3</v>
      </c>
    </row>
    <row r="4377" spans="1:6" x14ac:dyDescent="0.25">
      <c r="A4377" s="1" t="str">
        <f t="shared" si="156"/>
        <v>14620</v>
      </c>
      <c r="B4377" s="1" t="str">
        <f>"16735"</f>
        <v>16735</v>
      </c>
      <c r="C4377" s="2">
        <v>0.173820701989716</v>
      </c>
      <c r="D4377" s="2">
        <v>0.181698485845951</v>
      </c>
      <c r="E4377" s="2">
        <v>0.18960244648318</v>
      </c>
      <c r="F4377" s="2">
        <v>0.17516673205178501</v>
      </c>
    </row>
    <row r="4378" spans="1:6" x14ac:dyDescent="0.25">
      <c r="A4378" s="1" t="str">
        <f t="shared" ref="A4378:A4413" si="157">"14660"</f>
        <v>14660</v>
      </c>
      <c r="B4378" s="1" t="str">
        <f>"56449"</f>
        <v>56449</v>
      </c>
      <c r="C4378" s="2">
        <v>1.1477109441786801E-2</v>
      </c>
      <c r="D4378" s="2">
        <v>2.0970641102456499E-3</v>
      </c>
      <c r="E4378" s="2">
        <v>2.1443888491779802E-3</v>
      </c>
      <c r="F4378" s="2">
        <v>1.07341416035903E-2</v>
      </c>
    </row>
    <row r="4379" spans="1:6" x14ac:dyDescent="0.25">
      <c r="A4379" s="1" t="str">
        <f t="shared" si="157"/>
        <v>14660</v>
      </c>
      <c r="B4379" s="1" t="str">
        <f>"56464"</f>
        <v>56464</v>
      </c>
      <c r="C4379" s="2">
        <v>5.4566288946688698E-5</v>
      </c>
      <c r="D4379" s="2">
        <v>0</v>
      </c>
      <c r="E4379" s="2">
        <v>0</v>
      </c>
      <c r="F4379" s="2">
        <v>5.0237792216491301E-5</v>
      </c>
    </row>
    <row r="4380" spans="1:6" x14ac:dyDescent="0.25">
      <c r="A4380" s="1" t="str">
        <f t="shared" si="157"/>
        <v>14660</v>
      </c>
      <c r="B4380" s="1" t="str">
        <f>"56672"</f>
        <v>56672</v>
      </c>
      <c r="C4380" s="2">
        <v>2.6646537768966298E-2</v>
      </c>
      <c r="D4380" s="2">
        <v>1.168364289994E-2</v>
      </c>
      <c r="E4380" s="2">
        <v>1.1436740528949199E-2</v>
      </c>
      <c r="F4380" s="2">
        <v>2.54538147230223E-2</v>
      </c>
    </row>
    <row r="4381" spans="1:6" x14ac:dyDescent="0.25">
      <c r="A4381" s="1" t="str">
        <f t="shared" si="157"/>
        <v>14660</v>
      </c>
      <c r="B4381" s="1" t="str">
        <f>"56633"</f>
        <v>56633</v>
      </c>
      <c r="C4381" s="2">
        <v>2.4936794048636701E-2</v>
      </c>
      <c r="D4381" s="2">
        <v>1.8573996405032898E-2</v>
      </c>
      <c r="E4381" s="2">
        <v>2.0014295925661101E-2</v>
      </c>
      <c r="F4381" s="2">
        <v>2.44658048094313E-2</v>
      </c>
    </row>
    <row r="4382" spans="1:6" x14ac:dyDescent="0.25">
      <c r="A4382" s="1" t="str">
        <f t="shared" si="157"/>
        <v>14660</v>
      </c>
      <c r="B4382" s="1" t="str">
        <f>"56484"</f>
        <v>56484</v>
      </c>
      <c r="C4382" s="2">
        <v>3.47769148220229E-2</v>
      </c>
      <c r="D4382" s="2">
        <v>3.38526063511084E-2</v>
      </c>
      <c r="E4382" s="2">
        <v>3.0736240171551101E-2</v>
      </c>
      <c r="F4382" s="2">
        <v>3.4630584767901297E-2</v>
      </c>
    </row>
    <row r="4383" spans="1:6" x14ac:dyDescent="0.25">
      <c r="A4383" s="1" t="str">
        <f t="shared" si="157"/>
        <v>14660</v>
      </c>
      <c r="B4383" s="1" t="str">
        <f>"56655"</f>
        <v>56655</v>
      </c>
      <c r="C4383" s="2">
        <v>2.5209625493370101E-2</v>
      </c>
      <c r="D4383" s="2">
        <v>8.0886758538046694E-3</v>
      </c>
      <c r="E4383" s="2">
        <v>1.21515368120085E-2</v>
      </c>
      <c r="F4383" s="2">
        <v>2.3946680956527501E-2</v>
      </c>
    </row>
    <row r="4384" spans="1:6" x14ac:dyDescent="0.25">
      <c r="A4384" s="1" t="str">
        <f t="shared" si="157"/>
        <v>14660</v>
      </c>
      <c r="B4384" s="1" t="str">
        <f>"56473"</f>
        <v>56473</v>
      </c>
      <c r="C4384" s="2">
        <v>2.7901562414740101E-2</v>
      </c>
      <c r="D4384" s="2">
        <v>1.1983223487118E-2</v>
      </c>
      <c r="E4384" s="2">
        <v>2.43030736240171E-2</v>
      </c>
      <c r="F4384" s="2">
        <v>2.69274566280393E-2</v>
      </c>
    </row>
    <row r="4385" spans="1:6" x14ac:dyDescent="0.25">
      <c r="A4385" s="1" t="str">
        <f t="shared" si="157"/>
        <v>14660</v>
      </c>
      <c r="B4385" s="1" t="str">
        <f>"56435"</f>
        <v>56435</v>
      </c>
      <c r="C4385" s="2">
        <v>3.0538933047163399E-2</v>
      </c>
      <c r="D4385" s="2">
        <v>5.39245056920311E-3</v>
      </c>
      <c r="E4385" s="2">
        <v>3.5739814152966399E-3</v>
      </c>
      <c r="F4385" s="2">
        <v>2.8501574117489398E-2</v>
      </c>
    </row>
    <row r="4386" spans="1:6" x14ac:dyDescent="0.25">
      <c r="A4386" s="1" t="str">
        <f t="shared" si="157"/>
        <v>14660</v>
      </c>
      <c r="B4386" s="1" t="str">
        <f>"56425"</f>
        <v>56425</v>
      </c>
      <c r="C4386" s="2">
        <v>6.7225667982320506E-2</v>
      </c>
      <c r="D4386" s="2">
        <v>0.13541042540443299</v>
      </c>
      <c r="E4386" s="2">
        <v>0.17798427448177201</v>
      </c>
      <c r="F4386" s="2">
        <v>7.3631857458637498E-2</v>
      </c>
    </row>
    <row r="4387" spans="1:6" x14ac:dyDescent="0.25">
      <c r="A4387" s="1" t="str">
        <f t="shared" si="157"/>
        <v>14660</v>
      </c>
      <c r="B4387" s="1" t="str">
        <f>"55785"</f>
        <v>55785</v>
      </c>
      <c r="C4387" s="2">
        <v>5.4566288946688701E-4</v>
      </c>
      <c r="D4387" s="2">
        <v>2.9958058717795001E-4</v>
      </c>
      <c r="E4387" s="2">
        <v>0</v>
      </c>
      <c r="F4387" s="2">
        <v>5.1912385290374397E-4</v>
      </c>
    </row>
    <row r="4388" spans="1:6" x14ac:dyDescent="0.25">
      <c r="A4388" s="1" t="str">
        <f t="shared" si="157"/>
        <v>14660</v>
      </c>
      <c r="B4388" s="1" t="str">
        <f>"56626"</f>
        <v>56626</v>
      </c>
      <c r="C4388" s="2">
        <v>2.51004929154768E-3</v>
      </c>
      <c r="D4388" s="2">
        <v>8.9874176153385203E-4</v>
      </c>
      <c r="E4388" s="2">
        <v>2.1443888491779802E-3</v>
      </c>
      <c r="F4388" s="2">
        <v>2.4114140263915801E-3</v>
      </c>
    </row>
    <row r="4389" spans="1:6" x14ac:dyDescent="0.25">
      <c r="A4389" s="1" t="str">
        <f t="shared" si="157"/>
        <v>14660</v>
      </c>
      <c r="B4389" s="1" t="str">
        <f>"56441"</f>
        <v>56441</v>
      </c>
      <c r="C4389" s="2">
        <v>3.5158878844649702E-2</v>
      </c>
      <c r="D4389" s="2">
        <v>4.3439185140802798E-2</v>
      </c>
      <c r="E4389" s="2">
        <v>4.9320943531093599E-2</v>
      </c>
      <c r="F4389" s="2">
        <v>3.5953513296269002E-2</v>
      </c>
    </row>
    <row r="4390" spans="1:6" x14ac:dyDescent="0.25">
      <c r="A4390" s="1" t="str">
        <f t="shared" si="157"/>
        <v>14660</v>
      </c>
      <c r="B4390" s="1" t="str">
        <f>"56444"</f>
        <v>56444</v>
      </c>
      <c r="C4390" s="2">
        <v>3.6031939467796703E-2</v>
      </c>
      <c r="D4390" s="2">
        <v>1.3780707010185699E-2</v>
      </c>
      <c r="E4390" s="2">
        <v>1.9299499642601799E-2</v>
      </c>
      <c r="F4390" s="2">
        <v>3.4396141737557701E-2</v>
      </c>
    </row>
    <row r="4391" spans="1:6" x14ac:dyDescent="0.25">
      <c r="A4391" s="1" t="str">
        <f t="shared" si="157"/>
        <v>14660</v>
      </c>
      <c r="B4391" s="1" t="str">
        <f>"56479"</f>
        <v>56479</v>
      </c>
      <c r="C4391" s="2">
        <v>2.1826515578675398E-3</v>
      </c>
      <c r="D4391" s="2">
        <v>0</v>
      </c>
      <c r="E4391" s="2">
        <v>0</v>
      </c>
      <c r="F4391" s="2">
        <v>2.00951168865965E-3</v>
      </c>
    </row>
    <row r="4392" spans="1:6" x14ac:dyDescent="0.25">
      <c r="A4392" s="1" t="str">
        <f t="shared" si="157"/>
        <v>14660</v>
      </c>
      <c r="B4392" s="1" t="str">
        <f>"56431"</f>
        <v>56431</v>
      </c>
      <c r="C4392" s="2">
        <v>8.5850961276123603E-3</v>
      </c>
      <c r="D4392" s="2">
        <v>1.1983223487118E-3</v>
      </c>
      <c r="E4392" s="2">
        <v>0</v>
      </c>
      <c r="F4392" s="2">
        <v>7.9710630316833005E-3</v>
      </c>
    </row>
    <row r="4393" spans="1:6" x14ac:dyDescent="0.25">
      <c r="A4393" s="1" t="str">
        <f t="shared" si="157"/>
        <v>14660</v>
      </c>
      <c r="B4393" s="1" t="str">
        <f>"56468"</f>
        <v>56468</v>
      </c>
      <c r="C4393" s="2">
        <v>5.5257461940013401E-2</v>
      </c>
      <c r="D4393" s="2">
        <v>4.2540443379269002E-2</v>
      </c>
      <c r="E4393" s="2">
        <v>3.8598999285203703E-2</v>
      </c>
      <c r="F4393" s="2">
        <v>5.4156340009377697E-2</v>
      </c>
    </row>
    <row r="4394" spans="1:6" x14ac:dyDescent="0.25">
      <c r="A4394" s="1" t="str">
        <f t="shared" si="157"/>
        <v>14660</v>
      </c>
      <c r="B4394" s="1" t="str">
        <f>"56461"</f>
        <v>56461</v>
      </c>
      <c r="C4394" s="2">
        <v>1.4732898015605901E-3</v>
      </c>
      <c r="D4394" s="2">
        <v>0</v>
      </c>
      <c r="E4394" s="2">
        <v>0</v>
      </c>
      <c r="F4394" s="2">
        <v>1.3564203898452599E-3</v>
      </c>
    </row>
    <row r="4395" spans="1:6" x14ac:dyDescent="0.25">
      <c r="A4395" s="1" t="str">
        <f t="shared" si="157"/>
        <v>14660</v>
      </c>
      <c r="B4395" s="1" t="str">
        <f>"56641"</f>
        <v>56641</v>
      </c>
      <c r="C4395" s="2">
        <v>3.7650739373215202E-3</v>
      </c>
      <c r="D4395" s="2">
        <v>2.9958058717795E-3</v>
      </c>
      <c r="E4395" s="2">
        <v>7.14796283059328E-4</v>
      </c>
      <c r="F4395" s="2">
        <v>3.65061290106504E-3</v>
      </c>
    </row>
    <row r="4396" spans="1:6" x14ac:dyDescent="0.25">
      <c r="A4396" s="1" t="str">
        <f t="shared" si="157"/>
        <v>14660</v>
      </c>
      <c r="B4396" s="1" t="str">
        <f>"56455"</f>
        <v>56455</v>
      </c>
      <c r="C4396" s="2">
        <v>1.29322104803652E-2</v>
      </c>
      <c r="D4396" s="2">
        <v>7.4895146794487699E-3</v>
      </c>
      <c r="E4396" s="2">
        <v>1.9299499642601799E-2</v>
      </c>
      <c r="F4396" s="2">
        <v>1.27771451537276E-2</v>
      </c>
    </row>
    <row r="4397" spans="1:6" x14ac:dyDescent="0.25">
      <c r="A4397" s="1" t="str">
        <f t="shared" si="157"/>
        <v>14660</v>
      </c>
      <c r="B4397" s="1" t="str">
        <f>"56636"</f>
        <v>56636</v>
      </c>
      <c r="C4397" s="2">
        <v>3.96515033012604E-3</v>
      </c>
      <c r="D4397" s="2">
        <v>2.9958058717795001E-4</v>
      </c>
      <c r="E4397" s="2">
        <v>0</v>
      </c>
      <c r="F4397" s="2">
        <v>3.66735883180387E-3</v>
      </c>
    </row>
    <row r="4398" spans="1:6" x14ac:dyDescent="0.25">
      <c r="A4398" s="1" t="str">
        <f t="shared" si="157"/>
        <v>14660</v>
      </c>
      <c r="B4398" s="1" t="str">
        <f>"56448"</f>
        <v>56448</v>
      </c>
      <c r="C4398" s="2">
        <v>4.9837210571308998E-3</v>
      </c>
      <c r="D4398" s="2">
        <v>0</v>
      </c>
      <c r="E4398" s="2">
        <v>2.1443888491779802E-3</v>
      </c>
      <c r="F4398" s="2">
        <v>4.6386228146560304E-3</v>
      </c>
    </row>
    <row r="4399" spans="1:6" x14ac:dyDescent="0.25">
      <c r="A4399" s="1" t="str">
        <f t="shared" si="157"/>
        <v>14660</v>
      </c>
      <c r="B4399" s="1" t="str">
        <f>"56472"</f>
        <v>56472</v>
      </c>
      <c r="C4399" s="2">
        <v>9.3144655231997595E-2</v>
      </c>
      <c r="D4399" s="2">
        <v>6.7106051527860894E-2</v>
      </c>
      <c r="E4399" s="2">
        <v>5.0035739814152901E-2</v>
      </c>
      <c r="F4399" s="2">
        <v>9.0679214950766904E-2</v>
      </c>
    </row>
    <row r="4400" spans="1:6" x14ac:dyDescent="0.25">
      <c r="A4400" s="1" t="str">
        <f t="shared" si="157"/>
        <v>14660</v>
      </c>
      <c r="B4400" s="1" t="str">
        <f>"56466"</f>
        <v>56466</v>
      </c>
      <c r="C4400" s="2">
        <v>1.3332363265974201E-2</v>
      </c>
      <c r="D4400" s="2">
        <v>2.3966446974236001E-3</v>
      </c>
      <c r="E4400" s="2">
        <v>6.4331665475339502E-3</v>
      </c>
      <c r="F4400" s="2">
        <v>1.2559448054122801E-2</v>
      </c>
    </row>
    <row r="4401" spans="1:6" x14ac:dyDescent="0.25">
      <c r="A4401" s="1" t="str">
        <f t="shared" si="157"/>
        <v>14660</v>
      </c>
      <c r="B4401" s="1" t="str">
        <f>"56442"</f>
        <v>56442</v>
      </c>
      <c r="C4401" s="2">
        <v>4.2543516615434901E-2</v>
      </c>
      <c r="D4401" s="2">
        <v>4.5236668663870501E-2</v>
      </c>
      <c r="E4401" s="2">
        <v>4.00285918513223E-2</v>
      </c>
      <c r="F4401" s="2">
        <v>4.2635139661062298E-2</v>
      </c>
    </row>
    <row r="4402" spans="1:6" x14ac:dyDescent="0.25">
      <c r="A4402" s="1" t="str">
        <f t="shared" si="157"/>
        <v>14660</v>
      </c>
      <c r="B4402" s="1" t="str">
        <f>"56481"</f>
        <v>56481</v>
      </c>
      <c r="C4402" s="2">
        <v>2.5464268175121399E-4</v>
      </c>
      <c r="D4402" s="2">
        <v>0</v>
      </c>
      <c r="E4402" s="2">
        <v>0</v>
      </c>
      <c r="F4402" s="2">
        <v>2.34443030343626E-4</v>
      </c>
    </row>
    <row r="4403" spans="1:6" x14ac:dyDescent="0.25">
      <c r="A4403" s="1" t="str">
        <f t="shared" si="157"/>
        <v>14660</v>
      </c>
      <c r="B4403" s="1" t="str">
        <f>"56364"</f>
        <v>56364</v>
      </c>
      <c r="C4403" s="2">
        <v>8.3668309718256003E-4</v>
      </c>
      <c r="D4403" s="2">
        <v>0</v>
      </c>
      <c r="E4403" s="2">
        <v>0</v>
      </c>
      <c r="F4403" s="2">
        <v>7.7031281398620103E-4</v>
      </c>
    </row>
    <row r="4404" spans="1:6" x14ac:dyDescent="0.25">
      <c r="A4404" s="1" t="str">
        <f t="shared" si="157"/>
        <v>14660</v>
      </c>
      <c r="B4404" s="1" t="str">
        <f>"56477"</f>
        <v>56477</v>
      </c>
      <c r="C4404" s="2">
        <v>6.0022917841357599E-4</v>
      </c>
      <c r="D4404" s="2">
        <v>0</v>
      </c>
      <c r="E4404" s="2">
        <v>0</v>
      </c>
      <c r="F4404" s="2">
        <v>5.5261571438140495E-4</v>
      </c>
    </row>
    <row r="4405" spans="1:6" x14ac:dyDescent="0.25">
      <c r="A4405" s="1" t="str">
        <f t="shared" si="157"/>
        <v>14660</v>
      </c>
      <c r="B4405" s="1" t="str">
        <f>"56338"</f>
        <v>56338</v>
      </c>
      <c r="C4405" s="2">
        <v>2.8556357882100398E-3</v>
      </c>
      <c r="D4405" s="2">
        <v>2.9958058717795001E-4</v>
      </c>
      <c r="E4405" s="2">
        <v>7.14796283059328E-4</v>
      </c>
      <c r="F4405" s="2">
        <v>2.6626029874740401E-3</v>
      </c>
    </row>
    <row r="4406" spans="1:6" x14ac:dyDescent="0.25">
      <c r="A4406" s="1" t="str">
        <f t="shared" si="157"/>
        <v>14660</v>
      </c>
      <c r="B4406" s="1" t="str">
        <f>"56452"</f>
        <v>56452</v>
      </c>
      <c r="C4406" s="2">
        <v>3.6086505756743402E-2</v>
      </c>
      <c r="D4406" s="2">
        <v>1.7375674056321101E-2</v>
      </c>
      <c r="E4406" s="2">
        <v>1.0721944245889899E-2</v>
      </c>
      <c r="F4406" s="2">
        <v>3.4446379529774203E-2</v>
      </c>
    </row>
    <row r="4407" spans="1:6" x14ac:dyDescent="0.25">
      <c r="A4407" s="1" t="str">
        <f t="shared" si="157"/>
        <v>14660</v>
      </c>
      <c r="B4407" s="1" t="str">
        <f>"56401"</f>
        <v>56401</v>
      </c>
      <c r="C4407" s="2">
        <v>0.282307790247185</v>
      </c>
      <c r="D4407" s="2">
        <v>0.458358298382264</v>
      </c>
      <c r="E4407" s="2">
        <v>0.426733380986418</v>
      </c>
      <c r="F4407" s="2">
        <v>0.29553218567888001</v>
      </c>
    </row>
    <row r="4408" spans="1:6" x14ac:dyDescent="0.25">
      <c r="A4408" s="1" t="str">
        <f t="shared" si="157"/>
        <v>14660</v>
      </c>
      <c r="B4408" s="1" t="str">
        <f>"56450"</f>
        <v>56450</v>
      </c>
      <c r="C4408" s="2">
        <v>1.00583859291729E-2</v>
      </c>
      <c r="D4408" s="2">
        <v>1.13840623127621E-2</v>
      </c>
      <c r="E4408" s="2">
        <v>6.4331665475339502E-3</v>
      </c>
      <c r="F4408" s="2">
        <v>1.00475584432982E-2</v>
      </c>
    </row>
    <row r="4409" spans="1:6" x14ac:dyDescent="0.25">
      <c r="A4409" s="1" t="str">
        <f t="shared" si="157"/>
        <v>14660</v>
      </c>
      <c r="B4409" s="1" t="str">
        <f>"56474"</f>
        <v>56474</v>
      </c>
      <c r="C4409" s="2">
        <v>5.1110423980065101E-2</v>
      </c>
      <c r="D4409" s="2">
        <v>3.38526063511084E-2</v>
      </c>
      <c r="E4409" s="2">
        <v>3.64546104360257E-2</v>
      </c>
      <c r="F4409" s="2">
        <v>4.9802398017281799E-2</v>
      </c>
    </row>
    <row r="4410" spans="1:6" x14ac:dyDescent="0.25">
      <c r="A4410" s="1" t="str">
        <f t="shared" si="157"/>
        <v>14660</v>
      </c>
      <c r="B4410" s="1" t="str">
        <f>"56433"</f>
        <v>56433</v>
      </c>
      <c r="C4410" s="2">
        <v>3.5286200185525298E-3</v>
      </c>
      <c r="D4410" s="2">
        <v>2.9958058717795001E-4</v>
      </c>
      <c r="E4410" s="2">
        <v>1.4295925661186499E-3</v>
      </c>
      <c r="F4410" s="2">
        <v>3.2989483555496001E-3</v>
      </c>
    </row>
    <row r="4411" spans="1:6" x14ac:dyDescent="0.25">
      <c r="A4411" s="1" t="str">
        <f t="shared" si="157"/>
        <v>14660</v>
      </c>
      <c r="B4411" s="1" t="str">
        <f>"56662"</f>
        <v>56662</v>
      </c>
      <c r="C4411" s="2">
        <v>7.7847905563942499E-3</v>
      </c>
      <c r="D4411" s="2">
        <v>3.2953864589574501E-3</v>
      </c>
      <c r="E4411" s="2">
        <v>7.14796283059328E-4</v>
      </c>
      <c r="F4411" s="2">
        <v>7.3682095250854002E-3</v>
      </c>
    </row>
    <row r="4412" spans="1:6" x14ac:dyDescent="0.25">
      <c r="A4412" s="1" t="str">
        <f t="shared" si="157"/>
        <v>14660</v>
      </c>
      <c r="B4412" s="1" t="str">
        <f>"56447"</f>
        <v>56447</v>
      </c>
      <c r="C4412" s="2">
        <v>1.40599137852634E-2</v>
      </c>
      <c r="D4412" s="2">
        <v>7.1899340922708197E-3</v>
      </c>
      <c r="E4412" s="2">
        <v>1.4295925661186499E-3</v>
      </c>
      <c r="F4412" s="2">
        <v>1.33799986603255E-2</v>
      </c>
    </row>
    <row r="4413" spans="1:6" x14ac:dyDescent="0.25">
      <c r="A4413" s="1" t="str">
        <f t="shared" si="157"/>
        <v>14660</v>
      </c>
      <c r="B4413" s="1" t="str">
        <f>"56465"</f>
        <v>56465</v>
      </c>
      <c r="C4413" s="2">
        <v>2.53369468342458E-2</v>
      </c>
      <c r="D4413" s="2">
        <v>1.3181545835829801E-2</v>
      </c>
      <c r="E4413" s="2">
        <v>5.0035739814152901E-3</v>
      </c>
      <c r="F4413" s="2">
        <v>2.4181123986871101E-2</v>
      </c>
    </row>
    <row r="4414" spans="1:6" x14ac:dyDescent="0.25">
      <c r="A4414" s="1" t="str">
        <f t="shared" ref="A4414:A4435" si="158">"14700"</f>
        <v>14700</v>
      </c>
      <c r="B4414" s="1" t="str">
        <f>"65771"</f>
        <v>65771</v>
      </c>
      <c r="C4414" s="2">
        <v>1.6744961357781401E-2</v>
      </c>
      <c r="D4414" s="2">
        <v>6.3728093467870402E-3</v>
      </c>
      <c r="E4414" s="2">
        <v>6.2578222778472995E-4</v>
      </c>
      <c r="F4414" s="2">
        <v>1.53031718492815E-2</v>
      </c>
    </row>
    <row r="4415" spans="1:6" x14ac:dyDescent="0.25">
      <c r="A4415" s="1" t="str">
        <f t="shared" si="158"/>
        <v>14700</v>
      </c>
      <c r="B4415" s="1" t="str">
        <f>"65680"</f>
        <v>65680</v>
      </c>
      <c r="C4415" s="2">
        <v>1.54063747032378E-2</v>
      </c>
      <c r="D4415" s="2">
        <v>2.1242697822623398E-3</v>
      </c>
      <c r="E4415" s="2">
        <v>6.2578222778472995E-4</v>
      </c>
      <c r="F4415" s="2">
        <v>1.37684060678855E-2</v>
      </c>
    </row>
    <row r="4416" spans="1:6" x14ac:dyDescent="0.25">
      <c r="A4416" s="1" t="str">
        <f t="shared" si="158"/>
        <v>14700</v>
      </c>
      <c r="B4416" s="1" t="str">
        <f>"65653"</f>
        <v>65653</v>
      </c>
      <c r="C4416" s="2">
        <v>6.7005101783098403E-2</v>
      </c>
      <c r="D4416" s="2">
        <v>2.9474243228890001E-2</v>
      </c>
      <c r="E4416" s="2">
        <v>3.1914893617021198E-2</v>
      </c>
      <c r="F4416" s="2">
        <v>6.2613995284487703E-2</v>
      </c>
    </row>
    <row r="4417" spans="1:6" x14ac:dyDescent="0.25">
      <c r="A4417" s="1" t="str">
        <f t="shared" si="158"/>
        <v>14700</v>
      </c>
      <c r="B4417" s="1" t="str">
        <f>"65608"</f>
        <v>65608</v>
      </c>
      <c r="C4417" s="2">
        <v>0.104258220942567</v>
      </c>
      <c r="D4417" s="2">
        <v>1.43388210302708E-2</v>
      </c>
      <c r="E4417" s="2">
        <v>1.2515644555694601E-2</v>
      </c>
      <c r="F4417" s="2">
        <v>9.3465011788780597E-2</v>
      </c>
    </row>
    <row r="4418" spans="1:6" x14ac:dyDescent="0.25">
      <c r="A4418" s="1" t="str">
        <f t="shared" si="158"/>
        <v>14700</v>
      </c>
      <c r="B4418" s="1" t="str">
        <f>"65744"</f>
        <v>65744</v>
      </c>
      <c r="C4418" s="2">
        <v>1.69217558215891E-3</v>
      </c>
      <c r="D4418" s="2">
        <v>7.9660116834838002E-4</v>
      </c>
      <c r="E4418" s="2">
        <v>6.2578222778472995E-4</v>
      </c>
      <c r="F4418" s="2">
        <v>1.5792517460741101E-3</v>
      </c>
    </row>
    <row r="4419" spans="1:6" x14ac:dyDescent="0.25">
      <c r="A4419" s="1" t="str">
        <f t="shared" si="158"/>
        <v>14700</v>
      </c>
      <c r="B4419" s="1" t="str">
        <f>"65611"</f>
        <v>65611</v>
      </c>
      <c r="C4419" s="2">
        <v>8.48613426276708E-3</v>
      </c>
      <c r="D4419" s="2">
        <v>1.8587360594795499E-3</v>
      </c>
      <c r="E4419" s="2">
        <v>0</v>
      </c>
      <c r="F4419" s="2">
        <v>7.6293429423017001E-3</v>
      </c>
    </row>
    <row r="4420" spans="1:6" x14ac:dyDescent="0.25">
      <c r="A4420" s="1" t="str">
        <f t="shared" si="158"/>
        <v>14700</v>
      </c>
      <c r="B4420" s="1" t="str">
        <f>"65630"</f>
        <v>65630</v>
      </c>
      <c r="C4420" s="2">
        <v>4.7987068747789999E-4</v>
      </c>
      <c r="D4420" s="2">
        <v>0</v>
      </c>
      <c r="E4420" s="2">
        <v>0</v>
      </c>
      <c r="F4420" s="2">
        <v>4.22616664442368E-4</v>
      </c>
    </row>
    <row r="4421" spans="1:6" x14ac:dyDescent="0.25">
      <c r="A4421" s="1" t="str">
        <f t="shared" si="158"/>
        <v>14700</v>
      </c>
      <c r="B4421" s="1" t="str">
        <f>"65759"</f>
        <v>65759</v>
      </c>
      <c r="C4421" s="2">
        <v>1.2249330706672701E-2</v>
      </c>
      <c r="D4421" s="2">
        <v>1.8587360594795499E-3</v>
      </c>
      <c r="E4421" s="2">
        <v>1.2515644555694599E-3</v>
      </c>
      <c r="F4421" s="2">
        <v>1.09880332755015E-2</v>
      </c>
    </row>
    <row r="4422" spans="1:6" x14ac:dyDescent="0.25">
      <c r="A4422" s="1" t="str">
        <f t="shared" si="158"/>
        <v>14700</v>
      </c>
      <c r="B4422" s="1" t="str">
        <f>"65739"</f>
        <v>65739</v>
      </c>
      <c r="C4422" s="2">
        <v>1.8841238571500701E-2</v>
      </c>
      <c r="D4422" s="2">
        <v>9.2936802973977595E-3</v>
      </c>
      <c r="E4422" s="2">
        <v>2.5031289111389198E-3</v>
      </c>
      <c r="F4422" s="2">
        <v>1.74607411361715E-2</v>
      </c>
    </row>
    <row r="4423" spans="1:6" x14ac:dyDescent="0.25">
      <c r="A4423" s="1" t="str">
        <f t="shared" si="158"/>
        <v>14700</v>
      </c>
      <c r="B4423" s="1" t="str">
        <f>"65614"</f>
        <v>65614</v>
      </c>
      <c r="C4423" s="2">
        <v>5.8089609536798497E-3</v>
      </c>
      <c r="D4423" s="2">
        <v>2.6553372278279302E-4</v>
      </c>
      <c r="E4423" s="2">
        <v>6.2578222778472995E-4</v>
      </c>
      <c r="F4423" s="2">
        <v>5.1603719026647003E-3</v>
      </c>
    </row>
    <row r="4424" spans="1:6" x14ac:dyDescent="0.25">
      <c r="A4424" s="1" t="str">
        <f t="shared" si="158"/>
        <v>14700</v>
      </c>
      <c r="B4424" s="1" t="str">
        <f>"65627"</f>
        <v>65627</v>
      </c>
      <c r="C4424" s="2">
        <v>9.8752336212557402E-3</v>
      </c>
      <c r="D4424" s="2">
        <v>1.59320233669676E-3</v>
      </c>
      <c r="E4424" s="2">
        <v>6.2578222778472995E-4</v>
      </c>
      <c r="F4424" s="2">
        <v>8.8527069709506603E-3</v>
      </c>
    </row>
    <row r="4425" spans="1:6" x14ac:dyDescent="0.25">
      <c r="A4425" s="1" t="str">
        <f t="shared" si="158"/>
        <v>14700</v>
      </c>
      <c r="B4425" s="1" t="str">
        <f>"65672"</f>
        <v>65672</v>
      </c>
      <c r="C4425" s="2">
        <v>0.13815224528969</v>
      </c>
      <c r="D4425" s="2">
        <v>0.103558151885289</v>
      </c>
      <c r="E4425" s="2">
        <v>0.289111389236545</v>
      </c>
      <c r="F4425" s="2">
        <v>0.140620134347613</v>
      </c>
    </row>
    <row r="4426" spans="1:6" x14ac:dyDescent="0.25">
      <c r="A4426" s="1" t="str">
        <f t="shared" si="158"/>
        <v>14700</v>
      </c>
      <c r="B4426" s="1" t="str">
        <f>"65731"</f>
        <v>65731</v>
      </c>
      <c r="C4426" s="2">
        <v>3.8137091478506798E-3</v>
      </c>
      <c r="D4426" s="2">
        <v>1.32766861391396E-3</v>
      </c>
      <c r="E4426" s="2">
        <v>6.2578222778472995E-4</v>
      </c>
      <c r="F4426" s="2">
        <v>3.4921482272343E-3</v>
      </c>
    </row>
    <row r="4427" spans="1:6" x14ac:dyDescent="0.25">
      <c r="A4427" s="1" t="str">
        <f t="shared" si="158"/>
        <v>14700</v>
      </c>
      <c r="B4427" s="1" t="str">
        <f>"65673"</f>
        <v>65673</v>
      </c>
      <c r="C4427" s="2">
        <v>3.39697934030408E-2</v>
      </c>
      <c r="D4427" s="2">
        <v>3.5050451407328702E-2</v>
      </c>
      <c r="E4427" s="2">
        <v>1.2515644555694599E-3</v>
      </c>
      <c r="F4427" s="2">
        <v>3.2897370879487499E-2</v>
      </c>
    </row>
    <row r="4428" spans="1:6" x14ac:dyDescent="0.25">
      <c r="A4428" s="1" t="str">
        <f t="shared" si="158"/>
        <v>14700</v>
      </c>
      <c r="B4428" s="1" t="str">
        <f>"65740"</f>
        <v>65740</v>
      </c>
      <c r="C4428" s="2">
        <v>4.2733747537505598E-2</v>
      </c>
      <c r="D4428" s="2">
        <v>2.9208709506107198E-3</v>
      </c>
      <c r="E4428" s="2">
        <v>1.12640801001251E-2</v>
      </c>
      <c r="F4428" s="2">
        <v>3.8280172605542902E-2</v>
      </c>
    </row>
    <row r="4429" spans="1:6" x14ac:dyDescent="0.25">
      <c r="A4429" s="1" t="str">
        <f t="shared" si="158"/>
        <v>14700</v>
      </c>
      <c r="B4429" s="1" t="str">
        <f>"65726"</f>
        <v>65726</v>
      </c>
      <c r="C4429" s="2">
        <v>3.4752740314188998E-2</v>
      </c>
      <c r="D4429" s="2">
        <v>2.9208709506107198E-3</v>
      </c>
      <c r="E4429" s="2">
        <v>3.1289111389236502E-3</v>
      </c>
      <c r="F4429" s="2">
        <v>3.0962231415988199E-2</v>
      </c>
    </row>
    <row r="4430" spans="1:6" x14ac:dyDescent="0.25">
      <c r="A4430" s="1" t="str">
        <f t="shared" si="158"/>
        <v>14700</v>
      </c>
      <c r="B4430" s="1" t="str">
        <f>"65615"</f>
        <v>65615</v>
      </c>
      <c r="C4430" s="2">
        <v>5.6422690306612101E-2</v>
      </c>
      <c r="D4430" s="2">
        <v>0.118693574083908</v>
      </c>
      <c r="E4430" s="2">
        <v>1.2515644555694599E-3</v>
      </c>
      <c r="F4430" s="2">
        <v>5.9677921615730198E-2</v>
      </c>
    </row>
    <row r="4431" spans="1:6" x14ac:dyDescent="0.25">
      <c r="A4431" s="1" t="str">
        <f t="shared" si="158"/>
        <v>14700</v>
      </c>
      <c r="B4431" s="1" t="str">
        <f>"65616"</f>
        <v>65616</v>
      </c>
      <c r="C4431" s="2">
        <v>0.37285952417032803</v>
      </c>
      <c r="D4431" s="2">
        <v>0.65135422198619197</v>
      </c>
      <c r="E4431" s="2">
        <v>0.63016270337922398</v>
      </c>
      <c r="F4431" s="2">
        <v>0.40533386716490899</v>
      </c>
    </row>
    <row r="4432" spans="1:6" x14ac:dyDescent="0.25">
      <c r="A4432" s="1" t="str">
        <f t="shared" si="158"/>
        <v>14700</v>
      </c>
      <c r="B4432" s="1" t="str">
        <f>"65679"</f>
        <v>65679</v>
      </c>
      <c r="C4432" s="2">
        <v>3.0711723998585599E-2</v>
      </c>
      <c r="D4432" s="2">
        <v>9.5592140201805603E-3</v>
      </c>
      <c r="E4432" s="2">
        <v>1.12640801001251E-2</v>
      </c>
      <c r="F4432" s="2">
        <v>2.8248587570621399E-2</v>
      </c>
    </row>
    <row r="4433" spans="1:6" x14ac:dyDescent="0.25">
      <c r="A4433" s="1" t="str">
        <f t="shared" si="158"/>
        <v>14700</v>
      </c>
      <c r="B4433" s="1" t="str">
        <f>"65761"</f>
        <v>65761</v>
      </c>
      <c r="C4433" s="2">
        <v>8.5871596706571691E-3</v>
      </c>
      <c r="D4433" s="2">
        <v>2.1242697822623398E-3</v>
      </c>
      <c r="E4433" s="2">
        <v>0</v>
      </c>
      <c r="F4433" s="2">
        <v>7.74055785399706E-3</v>
      </c>
    </row>
    <row r="4434" spans="1:6" x14ac:dyDescent="0.25">
      <c r="A4434" s="1" t="str">
        <f t="shared" si="158"/>
        <v>14700</v>
      </c>
      <c r="B4434" s="1" t="str">
        <f>"65737"</f>
        <v>65737</v>
      </c>
      <c r="C4434" s="2">
        <v>5.3290902662019397E-3</v>
      </c>
      <c r="D4434" s="2">
        <v>1.32766861391396E-3</v>
      </c>
      <c r="E4434" s="2">
        <v>0</v>
      </c>
      <c r="F4434" s="2">
        <v>4.8044841852395498E-3</v>
      </c>
    </row>
    <row r="4435" spans="1:6" x14ac:dyDescent="0.25">
      <c r="A4435" s="1" t="str">
        <f t="shared" si="158"/>
        <v>14700</v>
      </c>
      <c r="B4435" s="1" t="str">
        <f>"65733"</f>
        <v>65733</v>
      </c>
      <c r="C4435" s="2">
        <v>1.18199727231398E-2</v>
      </c>
      <c r="D4435" s="2">
        <v>3.1864046733935201E-3</v>
      </c>
      <c r="E4435" s="2">
        <v>6.2578222778472995E-4</v>
      </c>
      <c r="F4435" s="2">
        <v>1.0698874505093599E-2</v>
      </c>
    </row>
    <row r="4436" spans="1:6" x14ac:dyDescent="0.25">
      <c r="A4436" s="1" t="str">
        <f>"14720"</f>
        <v>14720</v>
      </c>
      <c r="B4436" s="1" t="str">
        <f>"80435"</f>
        <v>80435</v>
      </c>
      <c r="C4436" s="2">
        <v>0.32464561460843899</v>
      </c>
      <c r="D4436" s="2">
        <v>0.23193532086912499</v>
      </c>
      <c r="E4436" s="2">
        <v>0.61756373937677</v>
      </c>
      <c r="F4436" s="2">
        <v>0.321659020551266</v>
      </c>
    </row>
    <row r="4437" spans="1:6" x14ac:dyDescent="0.25">
      <c r="A4437" s="1" t="str">
        <f>"14720"</f>
        <v>14720</v>
      </c>
      <c r="B4437" s="1" t="str">
        <f>"80424"</f>
        <v>80424</v>
      </c>
      <c r="C4437" s="2">
        <v>0.29968544466685698</v>
      </c>
      <c r="D4437" s="2">
        <v>0.41384537645275299</v>
      </c>
      <c r="E4437" s="2">
        <v>0.30594900849858297</v>
      </c>
      <c r="F4437" s="2">
        <v>0.30819439782178898</v>
      </c>
    </row>
    <row r="4438" spans="1:6" x14ac:dyDescent="0.25">
      <c r="A4438" s="1" t="str">
        <f>"14720"</f>
        <v>14720</v>
      </c>
      <c r="B4438" s="1" t="str">
        <f>"80443"</f>
        <v>80443</v>
      </c>
      <c r="C4438" s="2">
        <v>0.165733894358429</v>
      </c>
      <c r="D4438" s="2">
        <v>0.215765538150581</v>
      </c>
      <c r="E4438" s="2">
        <v>5.6657223796033902E-3</v>
      </c>
      <c r="F4438" s="2">
        <v>0.16731938383499301</v>
      </c>
    </row>
    <row r="4439" spans="1:6" x14ac:dyDescent="0.25">
      <c r="A4439" s="1" t="str">
        <f>"14720"</f>
        <v>14720</v>
      </c>
      <c r="B4439" s="1" t="str">
        <f>"80497"</f>
        <v>80497</v>
      </c>
      <c r="C4439" s="2">
        <v>4.4568814085542703E-2</v>
      </c>
      <c r="D4439" s="2">
        <v>2.7791814047498701E-2</v>
      </c>
      <c r="E4439" s="2">
        <v>8.4985835694050896E-3</v>
      </c>
      <c r="F4439" s="2">
        <v>4.2855544366118298E-2</v>
      </c>
    </row>
    <row r="4440" spans="1:6" x14ac:dyDescent="0.25">
      <c r="A4440" s="1" t="str">
        <f>"14720"</f>
        <v>14720</v>
      </c>
      <c r="B4440" s="1" t="str">
        <f>"80498"</f>
        <v>80498</v>
      </c>
      <c r="C4440" s="2">
        <v>0.16536623228073</v>
      </c>
      <c r="D4440" s="2">
        <v>0.11066195048004</v>
      </c>
      <c r="E4440" s="2">
        <v>6.23229461756373E-2</v>
      </c>
      <c r="F4440" s="2">
        <v>0.159971653425832</v>
      </c>
    </row>
    <row r="4441" spans="1:6" x14ac:dyDescent="0.25">
      <c r="A4441" s="1" t="str">
        <f t="shared" ref="A4441:A4467" si="159">"14740"</f>
        <v>14740</v>
      </c>
      <c r="B4441" s="1" t="str">
        <f>"98393"</f>
        <v>98393</v>
      </c>
      <c r="C4441" s="2">
        <v>5.7544029362392203E-3</v>
      </c>
      <c r="D4441" s="2">
        <v>1.08928571428571E-2</v>
      </c>
      <c r="E4441" s="2">
        <v>1.08554059921841E-4</v>
      </c>
      <c r="F4441" s="2">
        <v>5.7888198757763904E-3</v>
      </c>
    </row>
    <row r="4442" spans="1:6" x14ac:dyDescent="0.25">
      <c r="A4442" s="1" t="str">
        <f t="shared" si="159"/>
        <v>14740</v>
      </c>
      <c r="B4442" s="1" t="str">
        <f>"98380"</f>
        <v>98380</v>
      </c>
      <c r="C4442" s="2">
        <v>2.3017611744956801E-2</v>
      </c>
      <c r="D4442" s="2">
        <v>1.16071428571428E-2</v>
      </c>
      <c r="E4442" s="2">
        <v>1.9539730785931302E-3</v>
      </c>
      <c r="F4442" s="2">
        <v>2.1018633540372599E-2</v>
      </c>
    </row>
    <row r="4443" spans="1:6" x14ac:dyDescent="0.25">
      <c r="A4443" s="1" t="str">
        <f t="shared" si="159"/>
        <v>14740</v>
      </c>
      <c r="B4443" s="1" t="str">
        <f>"98315"</f>
        <v>98315</v>
      </c>
      <c r="C4443" s="2">
        <v>1.5940194042165699E-2</v>
      </c>
      <c r="D4443" s="2">
        <v>4.7321428571428497E-3</v>
      </c>
      <c r="E4443" s="2">
        <v>6.8823273990447201E-2</v>
      </c>
      <c r="F4443" s="2">
        <v>1.8186335403726699E-2</v>
      </c>
    </row>
    <row r="4444" spans="1:6" x14ac:dyDescent="0.25">
      <c r="A4444" s="1" t="str">
        <f t="shared" si="159"/>
        <v>14740</v>
      </c>
      <c r="B4444" s="1" t="str">
        <f>"98346"</f>
        <v>98346</v>
      </c>
      <c r="C4444" s="2">
        <v>4.6476228412097698E-2</v>
      </c>
      <c r="D4444" s="2">
        <v>3.6160714285714199E-2</v>
      </c>
      <c r="E4444" s="2">
        <v>1.23751628310898E-2</v>
      </c>
      <c r="F4444" s="2">
        <v>4.3807453416149E-2</v>
      </c>
    </row>
    <row r="4445" spans="1:6" x14ac:dyDescent="0.25">
      <c r="A4445" s="1" t="str">
        <f t="shared" si="159"/>
        <v>14740</v>
      </c>
      <c r="B4445" s="1" t="str">
        <f>"98384"</f>
        <v>98384</v>
      </c>
      <c r="C4445" s="2">
        <v>0</v>
      </c>
      <c r="D4445" s="2">
        <v>8.9285714285714204E-5</v>
      </c>
      <c r="E4445" s="2">
        <v>0</v>
      </c>
      <c r="F4445" s="2">
        <v>6.2111801242236E-6</v>
      </c>
    </row>
    <row r="4446" spans="1:6" x14ac:dyDescent="0.25">
      <c r="A4446" s="1" t="str">
        <f t="shared" si="159"/>
        <v>14740</v>
      </c>
      <c r="B4446" s="1" t="str">
        <f>"98337"</f>
        <v>98337</v>
      </c>
      <c r="C4446" s="2">
        <v>3.2378296867442397E-2</v>
      </c>
      <c r="D4446" s="2">
        <v>5.8035714285714197E-2</v>
      </c>
      <c r="E4446" s="2">
        <v>4.2553191489361701E-2</v>
      </c>
      <c r="F4446" s="2">
        <v>3.4745341614906798E-2</v>
      </c>
    </row>
    <row r="4447" spans="1:6" x14ac:dyDescent="0.25">
      <c r="A4447" s="1" t="str">
        <f t="shared" si="159"/>
        <v>14740</v>
      </c>
      <c r="B4447" s="1" t="str">
        <f>"98322"</f>
        <v>98322</v>
      </c>
      <c r="C4447" s="2">
        <v>3.8267846473383198E-3</v>
      </c>
      <c r="D4447" s="2">
        <v>9.9107142857142796E-3</v>
      </c>
      <c r="E4447" s="2">
        <v>9.7698653929656899E-4</v>
      </c>
      <c r="F4447" s="2">
        <v>4.0869565217391303E-3</v>
      </c>
    </row>
    <row r="4448" spans="1:6" x14ac:dyDescent="0.25">
      <c r="A4448" s="1" t="str">
        <f t="shared" si="159"/>
        <v>14740</v>
      </c>
      <c r="B4448" s="1" t="str">
        <f>"98528"</f>
        <v>98528</v>
      </c>
      <c r="C4448" s="2">
        <v>7.8242808774575294E-5</v>
      </c>
      <c r="D4448" s="2">
        <v>0</v>
      </c>
      <c r="E4448" s="2">
        <v>0</v>
      </c>
      <c r="F4448" s="2">
        <v>6.83229813664596E-5</v>
      </c>
    </row>
    <row r="4449" spans="1:6" x14ac:dyDescent="0.25">
      <c r="A4449" s="1" t="str">
        <f t="shared" si="159"/>
        <v>14740</v>
      </c>
      <c r="B4449" s="1" t="str">
        <f>"98345"</f>
        <v>98345</v>
      </c>
      <c r="C4449" s="2">
        <v>5.1853643269695803E-3</v>
      </c>
      <c r="D4449" s="2">
        <v>3.03571428571428E-3</v>
      </c>
      <c r="E4449" s="2">
        <v>1.5740338688666901E-2</v>
      </c>
      <c r="F4449" s="2">
        <v>5.6397515527950304E-3</v>
      </c>
    </row>
    <row r="4450" spans="1:6" x14ac:dyDescent="0.25">
      <c r="A4450" s="1" t="str">
        <f t="shared" si="159"/>
        <v>14740</v>
      </c>
      <c r="B4450" s="1" t="str">
        <f>"98364"</f>
        <v>98364</v>
      </c>
      <c r="C4450" s="2">
        <v>0</v>
      </c>
      <c r="D4450" s="2">
        <v>8.9285714285714204E-5</v>
      </c>
      <c r="E4450" s="2">
        <v>3.25662179765523E-3</v>
      </c>
      <c r="F4450" s="2">
        <v>1.9254658385093099E-4</v>
      </c>
    </row>
    <row r="4451" spans="1:6" x14ac:dyDescent="0.25">
      <c r="A4451" s="1" t="str">
        <f t="shared" si="159"/>
        <v>14740</v>
      </c>
      <c r="B4451" s="1" t="str">
        <f>"98370"</f>
        <v>98370</v>
      </c>
      <c r="C4451" s="2">
        <v>0.119227814607221</v>
      </c>
      <c r="D4451" s="2">
        <v>0.15116071428571401</v>
      </c>
      <c r="E4451" s="2">
        <v>5.52540165002171E-2</v>
      </c>
      <c r="F4451" s="2">
        <v>0.117788819875776</v>
      </c>
    </row>
    <row r="4452" spans="1:6" x14ac:dyDescent="0.25">
      <c r="A4452" s="1" t="str">
        <f t="shared" si="159"/>
        <v>14740</v>
      </c>
      <c r="B4452" s="1" t="str">
        <f>"98383"</f>
        <v>98383</v>
      </c>
      <c r="C4452" s="2">
        <v>8.37695962671067E-2</v>
      </c>
      <c r="D4452" s="2">
        <v>0.16276785714285699</v>
      </c>
      <c r="E4452" s="2">
        <v>0.14481111593573501</v>
      </c>
      <c r="F4452" s="2">
        <v>9.27577639751552E-2</v>
      </c>
    </row>
    <row r="4453" spans="1:6" x14ac:dyDescent="0.25">
      <c r="A4453" s="1" t="str">
        <f t="shared" si="159"/>
        <v>14740</v>
      </c>
      <c r="B4453" s="1" t="str">
        <f>"98366"</f>
        <v>98366</v>
      </c>
      <c r="C4453" s="2">
        <v>0.132742481577375</v>
      </c>
      <c r="D4453" s="2">
        <v>0.14232142857142799</v>
      </c>
      <c r="E4453" s="2">
        <v>8.6734693877551006E-2</v>
      </c>
      <c r="F4453" s="2">
        <v>0.130776397515527</v>
      </c>
    </row>
    <row r="4454" spans="1:6" x14ac:dyDescent="0.25">
      <c r="A4454" s="1" t="str">
        <f t="shared" si="159"/>
        <v>14740</v>
      </c>
      <c r="B4454" s="1" t="str">
        <f>"98314"</f>
        <v>98314</v>
      </c>
      <c r="C4454" s="2">
        <v>0</v>
      </c>
      <c r="D4454" s="2">
        <v>0</v>
      </c>
      <c r="E4454" s="2">
        <v>2.4533217542335999E-2</v>
      </c>
      <c r="F4454" s="2">
        <v>1.4037267080745301E-3</v>
      </c>
    </row>
    <row r="4455" spans="1:6" x14ac:dyDescent="0.25">
      <c r="A4455" s="1" t="str">
        <f t="shared" si="159"/>
        <v>14740</v>
      </c>
      <c r="B4455" s="1" t="str">
        <f>"98386"</f>
        <v>98386</v>
      </c>
      <c r="C4455" s="2">
        <v>0</v>
      </c>
      <c r="D4455" s="2">
        <v>0</v>
      </c>
      <c r="E4455" s="2">
        <v>1.08554059921841E-4</v>
      </c>
      <c r="F4455" s="2">
        <v>6.2111801242236E-6</v>
      </c>
    </row>
    <row r="4456" spans="1:6" x14ac:dyDescent="0.25">
      <c r="A4456" s="1" t="str">
        <f t="shared" si="159"/>
        <v>14740</v>
      </c>
      <c r="B4456" s="1" t="str">
        <f>"98110"</f>
        <v>98110</v>
      </c>
      <c r="C4456" s="2">
        <v>8.9424417446723706E-2</v>
      </c>
      <c r="D4456" s="2">
        <v>0.13839285714285701</v>
      </c>
      <c r="E4456" s="2">
        <v>7.8267477203647406E-2</v>
      </c>
      <c r="F4456" s="2">
        <v>9.2192546583850898E-2</v>
      </c>
    </row>
    <row r="4457" spans="1:6" x14ac:dyDescent="0.25">
      <c r="A4457" s="1" t="str">
        <f t="shared" si="159"/>
        <v>14740</v>
      </c>
      <c r="B4457" s="1" t="str">
        <f>"98340"</f>
        <v>98340</v>
      </c>
      <c r="C4457" s="2">
        <v>1.32088087176714E-2</v>
      </c>
      <c r="D4457" s="2">
        <v>4.1964285714285697E-3</v>
      </c>
      <c r="E4457" s="2">
        <v>1.08554059921841E-3</v>
      </c>
      <c r="F4457" s="2">
        <v>1.1888198757763899E-2</v>
      </c>
    </row>
    <row r="4458" spans="1:6" x14ac:dyDescent="0.25">
      <c r="A4458" s="1" t="str">
        <f t="shared" si="159"/>
        <v>14740</v>
      </c>
      <c r="B4458" s="1" t="str">
        <f>"98359"</f>
        <v>98359</v>
      </c>
      <c r="C4458" s="2">
        <v>2.0997524682049601E-2</v>
      </c>
      <c r="D4458" s="2">
        <v>1.16964285714285E-2</v>
      </c>
      <c r="E4458" s="2">
        <v>1.1940946591402499E-3</v>
      </c>
      <c r="F4458" s="2">
        <v>1.9217391304347801E-2</v>
      </c>
    </row>
    <row r="4459" spans="1:6" x14ac:dyDescent="0.25">
      <c r="A4459" s="1" t="str">
        <f t="shared" si="159"/>
        <v>14740</v>
      </c>
      <c r="B4459" s="1" t="str">
        <f>"98392"</f>
        <v>98392</v>
      </c>
      <c r="C4459" s="2">
        <v>1.5726804563689599E-2</v>
      </c>
      <c r="D4459" s="2">
        <v>8.8392857142857093E-3</v>
      </c>
      <c r="E4459" s="2">
        <v>4.34216239687364E-4</v>
      </c>
      <c r="F4459" s="2">
        <v>1.43726708074534E-2</v>
      </c>
    </row>
    <row r="4460" spans="1:6" x14ac:dyDescent="0.25">
      <c r="A4460" s="1" t="str">
        <f t="shared" si="159"/>
        <v>14740</v>
      </c>
      <c r="B4460" s="1" t="str">
        <f>"98342"</f>
        <v>98342</v>
      </c>
      <c r="C4460" s="2">
        <v>6.6933166415341196E-3</v>
      </c>
      <c r="D4460" s="2">
        <v>3.7499999999999999E-3</v>
      </c>
      <c r="E4460" s="2">
        <v>4.34216239687364E-4</v>
      </c>
      <c r="F4460" s="2">
        <v>6.1304347826086902E-3</v>
      </c>
    </row>
    <row r="4461" spans="1:6" x14ac:dyDescent="0.25">
      <c r="A4461" s="1" t="str">
        <f t="shared" si="159"/>
        <v>14740</v>
      </c>
      <c r="B4461" s="1" t="str">
        <f>"98353"</f>
        <v>98353</v>
      </c>
      <c r="C4461" s="2">
        <v>4.4100492218397003E-3</v>
      </c>
      <c r="D4461" s="2">
        <v>6.7857142857142803E-3</v>
      </c>
      <c r="E4461" s="2">
        <v>1.08554059921841E-4</v>
      </c>
      <c r="F4461" s="2">
        <v>4.3291925465838502E-3</v>
      </c>
    </row>
    <row r="4462" spans="1:6" x14ac:dyDescent="0.25">
      <c r="A4462" s="1" t="str">
        <f t="shared" si="159"/>
        <v>14740</v>
      </c>
      <c r="B4462" s="1" t="str">
        <f>"98311"</f>
        <v>98311</v>
      </c>
      <c r="C4462" s="2">
        <v>7.8897203175235395E-2</v>
      </c>
      <c r="D4462" s="2">
        <v>2.6428571428571399E-2</v>
      </c>
      <c r="E4462" s="2">
        <v>0.13428137212331701</v>
      </c>
      <c r="F4462" s="2">
        <v>7.8416149068322893E-2</v>
      </c>
    </row>
    <row r="4463" spans="1:6" x14ac:dyDescent="0.25">
      <c r="A4463" s="1" t="str">
        <f t="shared" si="159"/>
        <v>14740</v>
      </c>
      <c r="B4463" s="1" t="str">
        <f>"98061"</f>
        <v>98061</v>
      </c>
      <c r="C4463" s="2">
        <v>1.7000028451930401E-3</v>
      </c>
      <c r="D4463" s="2">
        <v>1.16071428571428E-2</v>
      </c>
      <c r="E4463" s="2">
        <v>1.08554059921841E-4</v>
      </c>
      <c r="F4463" s="2">
        <v>2.29813664596273E-3</v>
      </c>
    </row>
    <row r="4464" spans="1:6" x14ac:dyDescent="0.25">
      <c r="A4464" s="1" t="str">
        <f t="shared" si="159"/>
        <v>14740</v>
      </c>
      <c r="B4464" s="1" t="str">
        <f>"98329"</f>
        <v>98329</v>
      </c>
      <c r="C4464" s="2">
        <v>2.7029333940307803E-4</v>
      </c>
      <c r="D4464" s="2">
        <v>0</v>
      </c>
      <c r="E4464" s="2">
        <v>0</v>
      </c>
      <c r="F4464" s="2">
        <v>2.3602484472049599E-4</v>
      </c>
    </row>
    <row r="4465" spans="1:6" x14ac:dyDescent="0.25">
      <c r="A4465" s="1" t="str">
        <f t="shared" si="159"/>
        <v>14740</v>
      </c>
      <c r="B4465" s="1" t="str">
        <f>"98310"</f>
        <v>98310</v>
      </c>
      <c r="C4465" s="2">
        <v>7.8427746322587893E-2</v>
      </c>
      <c r="D4465" s="2">
        <v>7.3482142857142801E-2</v>
      </c>
      <c r="E4465" s="2">
        <v>0.115392965696917</v>
      </c>
      <c r="F4465" s="2">
        <v>8.0198757763975101E-2</v>
      </c>
    </row>
    <row r="4466" spans="1:6" x14ac:dyDescent="0.25">
      <c r="A4466" s="1" t="str">
        <f t="shared" si="159"/>
        <v>14740</v>
      </c>
      <c r="B4466" s="1" t="str">
        <f>"98312"</f>
        <v>98312</v>
      </c>
      <c r="C4466" s="2">
        <v>0.12884456710387701</v>
      </c>
      <c r="D4466" s="2">
        <v>0.105178571428571</v>
      </c>
      <c r="E4466" s="2">
        <v>0.17390360399478899</v>
      </c>
      <c r="F4466" s="2">
        <v>0.129776397515527</v>
      </c>
    </row>
    <row r="4467" spans="1:6" x14ac:dyDescent="0.25">
      <c r="A4467" s="1" t="str">
        <f t="shared" si="159"/>
        <v>14740</v>
      </c>
      <c r="B4467" s="1" t="str">
        <f>"98367"</f>
        <v>98367</v>
      </c>
      <c r="C4467" s="2">
        <v>9.3002247702506605E-2</v>
      </c>
      <c r="D4467" s="2">
        <v>1.8839285714285701E-2</v>
      </c>
      <c r="E4467" s="2">
        <v>3.7559704732957E-2</v>
      </c>
      <c r="F4467" s="2">
        <v>8.4670807453416097E-2</v>
      </c>
    </row>
    <row r="4468" spans="1:6" x14ac:dyDescent="0.25">
      <c r="A4468" s="1" t="str">
        <f t="shared" ref="A4468:A4475" si="160">"14780"</f>
        <v>14780</v>
      </c>
      <c r="B4468" s="1" t="str">
        <f>"77868"</f>
        <v>77868</v>
      </c>
      <c r="C4468" s="2">
        <v>5.2521008403361299E-4</v>
      </c>
      <c r="D4468" s="2">
        <v>0</v>
      </c>
      <c r="E4468" s="2">
        <v>0</v>
      </c>
      <c r="F4468" s="2">
        <v>4.6270590412733598E-4</v>
      </c>
    </row>
    <row r="4469" spans="1:6" x14ac:dyDescent="0.25">
      <c r="A4469" s="1" t="str">
        <f t="shared" si="160"/>
        <v>14780</v>
      </c>
      <c r="B4469" s="1" t="str">
        <f>"77834"</f>
        <v>77834</v>
      </c>
      <c r="C4469" s="2">
        <v>6.8067226890756297E-2</v>
      </c>
      <c r="D4469" s="2">
        <v>0.21635094715852399</v>
      </c>
      <c r="E4469" s="2">
        <v>1.76678445229681E-3</v>
      </c>
      <c r="F4469" s="2">
        <v>8.0094392004441906E-2</v>
      </c>
    </row>
    <row r="4470" spans="1:6" x14ac:dyDescent="0.25">
      <c r="A4470" s="1" t="str">
        <f t="shared" si="160"/>
        <v>14780</v>
      </c>
      <c r="B4470" s="1" t="str">
        <f>"77426"</f>
        <v>77426</v>
      </c>
      <c r="C4470" s="2">
        <v>4.8949579831932703E-2</v>
      </c>
      <c r="D4470" s="2">
        <v>2.1435692921236201E-2</v>
      </c>
      <c r="E4470" s="2">
        <v>3.53356890459363E-3</v>
      </c>
      <c r="F4470" s="2">
        <v>4.5206366833240703E-2</v>
      </c>
    </row>
    <row r="4471" spans="1:6" x14ac:dyDescent="0.25">
      <c r="A4471" s="1" t="str">
        <f t="shared" si="160"/>
        <v>14780</v>
      </c>
      <c r="B4471" s="1" t="str">
        <f>"77833"</f>
        <v>77833</v>
      </c>
      <c r="C4471" s="2">
        <v>0.74159663865546199</v>
      </c>
      <c r="D4471" s="2">
        <v>0.72582253240279104</v>
      </c>
      <c r="E4471" s="2">
        <v>0.96819787985865702</v>
      </c>
      <c r="F4471" s="2">
        <v>0.74606699981491698</v>
      </c>
    </row>
    <row r="4472" spans="1:6" x14ac:dyDescent="0.25">
      <c r="A4472" s="1" t="str">
        <f t="shared" si="160"/>
        <v>14780</v>
      </c>
      <c r="B4472" s="1" t="str">
        <f>"77880"</f>
        <v>77880</v>
      </c>
      <c r="C4472" s="2">
        <v>5.4096638655462097E-2</v>
      </c>
      <c r="D4472" s="2">
        <v>7.47756729810568E-3</v>
      </c>
      <c r="E4472" s="2">
        <v>3.53356890459363E-3</v>
      </c>
      <c r="F4472" s="2">
        <v>4.8445308162132099E-2</v>
      </c>
    </row>
    <row r="4473" spans="1:6" x14ac:dyDescent="0.25">
      <c r="A4473" s="1" t="str">
        <f t="shared" si="160"/>
        <v>14780</v>
      </c>
      <c r="B4473" s="1" t="str">
        <f>"78932"</f>
        <v>78932</v>
      </c>
      <c r="C4473" s="2">
        <v>1.0871848739495701E-2</v>
      </c>
      <c r="D4473" s="2">
        <v>0</v>
      </c>
      <c r="E4473" s="2">
        <v>3.53356890459363E-3</v>
      </c>
      <c r="F4473" s="2">
        <v>9.6705533962613294E-3</v>
      </c>
    </row>
    <row r="4474" spans="1:6" x14ac:dyDescent="0.25">
      <c r="A4474" s="1" t="str">
        <f t="shared" si="160"/>
        <v>14780</v>
      </c>
      <c r="B4474" s="1" t="str">
        <f>"77835"</f>
        <v>77835</v>
      </c>
      <c r="C4474" s="2">
        <v>7.0430672268907493E-2</v>
      </c>
      <c r="D4474" s="2">
        <v>2.84147557328015E-2</v>
      </c>
      <c r="E4474" s="2">
        <v>7.0671378091872704E-3</v>
      </c>
      <c r="F4474" s="2">
        <v>6.4871367758652598E-2</v>
      </c>
    </row>
    <row r="4475" spans="1:6" x14ac:dyDescent="0.25">
      <c r="A4475" s="1" t="str">
        <f t="shared" si="160"/>
        <v>14780</v>
      </c>
      <c r="B4475" s="1" t="str">
        <f>"78946"</f>
        <v>78946</v>
      </c>
      <c r="C4475" s="2">
        <v>5.46218487394957E-3</v>
      </c>
      <c r="D4475" s="2">
        <v>4.9850448654037796E-4</v>
      </c>
      <c r="E4475" s="2">
        <v>1.23674911660777E-2</v>
      </c>
      <c r="F4475" s="2">
        <v>5.1823061262261704E-3</v>
      </c>
    </row>
    <row r="4476" spans="1:6" x14ac:dyDescent="0.25">
      <c r="A4476" s="1" t="str">
        <f t="shared" ref="A4476:A4487" si="161">"14820"</f>
        <v>14820</v>
      </c>
      <c r="B4476" s="1" t="str">
        <f>"28759"</f>
        <v>28759</v>
      </c>
      <c r="C4476" s="2">
        <v>1.9695119549375601E-4</v>
      </c>
      <c r="D4476" s="2">
        <v>0</v>
      </c>
      <c r="E4476" s="2">
        <v>0</v>
      </c>
      <c r="F4476" s="2">
        <v>1.79333596355941E-4</v>
      </c>
    </row>
    <row r="4477" spans="1:6" x14ac:dyDescent="0.25">
      <c r="A4477" s="1" t="str">
        <f t="shared" si="161"/>
        <v>14820</v>
      </c>
      <c r="B4477" s="1" t="str">
        <f>"28774"</f>
        <v>28774</v>
      </c>
      <c r="C4477" s="2">
        <v>2.5918777326978299E-2</v>
      </c>
      <c r="D4477" s="2">
        <v>1.5205271160669E-2</v>
      </c>
      <c r="E4477" s="2">
        <v>9.5969289827255201E-3</v>
      </c>
      <c r="F4477" s="2">
        <v>2.48556364549334E-2</v>
      </c>
    </row>
    <row r="4478" spans="1:6" x14ac:dyDescent="0.25">
      <c r="A4478" s="1" t="str">
        <f t="shared" si="161"/>
        <v>14820</v>
      </c>
      <c r="B4478" s="1" t="str">
        <f>"28768"</f>
        <v>28768</v>
      </c>
      <c r="C4478" s="2">
        <v>0.23409619096387899</v>
      </c>
      <c r="D4478" s="2">
        <v>0.17587430309173799</v>
      </c>
      <c r="E4478" s="2">
        <v>0.12859884836852201</v>
      </c>
      <c r="F4478" s="2">
        <v>0.22800473440694299</v>
      </c>
    </row>
    <row r="4479" spans="1:6" x14ac:dyDescent="0.25">
      <c r="A4479" s="1" t="str">
        <f t="shared" si="161"/>
        <v>14820</v>
      </c>
      <c r="B4479" s="1" t="str">
        <f>"28712"</f>
        <v>28712</v>
      </c>
      <c r="C4479" s="2">
        <v>0.55666285894355305</v>
      </c>
      <c r="D4479" s="2">
        <v>0.729346173340091</v>
      </c>
      <c r="E4479" s="2">
        <v>0.77351247600767703</v>
      </c>
      <c r="F4479" s="2">
        <v>0.57293497363796098</v>
      </c>
    </row>
    <row r="4480" spans="1:6" x14ac:dyDescent="0.25">
      <c r="A4480" s="1" t="str">
        <f t="shared" si="161"/>
        <v>14820</v>
      </c>
      <c r="B4480" s="1" t="str">
        <f>"28766"</f>
        <v>28766</v>
      </c>
      <c r="C4480" s="2">
        <v>2.79670697601134E-2</v>
      </c>
      <c r="D4480" s="2">
        <v>8.6163203243791106E-3</v>
      </c>
      <c r="E4480" s="2">
        <v>9.5969289827255201E-3</v>
      </c>
      <c r="F4480" s="2">
        <v>2.6254438506509801E-2</v>
      </c>
    </row>
    <row r="4481" spans="1:6" x14ac:dyDescent="0.25">
      <c r="A4481" s="1" t="str">
        <f t="shared" si="161"/>
        <v>14820</v>
      </c>
      <c r="B4481" s="1" t="str">
        <f>"28718"</f>
        <v>28718</v>
      </c>
      <c r="C4481" s="2">
        <v>1.6149998030488E-2</v>
      </c>
      <c r="D4481" s="2">
        <v>1.21642169285352E-2</v>
      </c>
      <c r="E4481" s="2">
        <v>5.75815738963531E-3</v>
      </c>
      <c r="F4481" s="2">
        <v>1.5673756321509202E-2</v>
      </c>
    </row>
    <row r="4482" spans="1:6" x14ac:dyDescent="0.25">
      <c r="A4482" s="1" t="str">
        <f t="shared" si="161"/>
        <v>14820</v>
      </c>
      <c r="B4482" s="1" t="str">
        <f>"28747"</f>
        <v>28747</v>
      </c>
      <c r="C4482" s="2">
        <v>7.7441210068145097E-2</v>
      </c>
      <c r="D4482" s="2">
        <v>2.9396857577293399E-2</v>
      </c>
      <c r="E4482" s="2">
        <v>6.9097888675623803E-2</v>
      </c>
      <c r="F4482" s="2">
        <v>7.3885441698647802E-2</v>
      </c>
    </row>
    <row r="4483" spans="1:6" x14ac:dyDescent="0.25">
      <c r="A4483" s="1" t="str">
        <f t="shared" si="161"/>
        <v>14820</v>
      </c>
      <c r="B4483" s="1" t="str">
        <f>"28742"</f>
        <v>28742</v>
      </c>
      <c r="C4483" s="2">
        <v>5.9085358648126897E-3</v>
      </c>
      <c r="D4483" s="2">
        <v>0</v>
      </c>
      <c r="E4483" s="2">
        <v>0</v>
      </c>
      <c r="F4483" s="2">
        <v>5.38000789067823E-3</v>
      </c>
    </row>
    <row r="4484" spans="1:6" x14ac:dyDescent="0.25">
      <c r="A4484" s="1" t="str">
        <f t="shared" si="161"/>
        <v>14820</v>
      </c>
      <c r="B4484" s="1" t="str">
        <f>"28739"</f>
        <v>28739</v>
      </c>
      <c r="C4484" s="2">
        <v>4.0965848662701298E-3</v>
      </c>
      <c r="D4484" s="2">
        <v>5.0684237202230096E-4</v>
      </c>
      <c r="E4484" s="2">
        <v>0</v>
      </c>
      <c r="F4484" s="2">
        <v>3.7660055234747599E-3</v>
      </c>
    </row>
    <row r="4485" spans="1:6" x14ac:dyDescent="0.25">
      <c r="A4485" s="1" t="str">
        <f t="shared" si="161"/>
        <v>14820</v>
      </c>
      <c r="B4485" s="1" t="str">
        <f>"28708"</f>
        <v>28708</v>
      </c>
      <c r="C4485" s="2">
        <v>1.8080119746326801E-2</v>
      </c>
      <c r="D4485" s="2">
        <v>2.5342118601115E-3</v>
      </c>
      <c r="E4485" s="2">
        <v>0</v>
      </c>
      <c r="F4485" s="2">
        <v>1.6642157741831299E-2</v>
      </c>
    </row>
    <row r="4486" spans="1:6" x14ac:dyDescent="0.25">
      <c r="A4486" s="1" t="str">
        <f t="shared" si="161"/>
        <v>14820</v>
      </c>
      <c r="B4486" s="1" t="str">
        <f>"28772"</f>
        <v>28772</v>
      </c>
      <c r="C4486" s="2">
        <v>3.33635325166423E-2</v>
      </c>
      <c r="D4486" s="2">
        <v>2.6355803345159599E-2</v>
      </c>
      <c r="E4486" s="2">
        <v>3.8387715930902101E-3</v>
      </c>
      <c r="F4486" s="2">
        <v>3.2315914063340598E-2</v>
      </c>
    </row>
    <row r="4487" spans="1:6" x14ac:dyDescent="0.25">
      <c r="A4487" s="1" t="str">
        <f t="shared" si="161"/>
        <v>14820</v>
      </c>
      <c r="B4487" s="1" t="str">
        <f>"28783"</f>
        <v>28783</v>
      </c>
      <c r="C4487" s="2">
        <v>1.18170717296253E-4</v>
      </c>
      <c r="D4487" s="2">
        <v>0</v>
      </c>
      <c r="E4487" s="2">
        <v>0</v>
      </c>
      <c r="F4487" s="2">
        <v>1.07600157813564E-4</v>
      </c>
    </row>
    <row r="4488" spans="1:6" x14ac:dyDescent="0.25">
      <c r="A4488" s="1" t="str">
        <f t="shared" ref="A4488:A4519" si="162">"14860"</f>
        <v>14860</v>
      </c>
      <c r="B4488" s="1" t="str">
        <f>"06881"</f>
        <v>06881</v>
      </c>
      <c r="C4488" s="2">
        <v>1.0446046171523999E-3</v>
      </c>
      <c r="D4488" s="2">
        <v>6.0088254623978897E-3</v>
      </c>
      <c r="E4488" s="2">
        <v>8.8132904419865106E-5</v>
      </c>
      <c r="F4488" s="2">
        <v>1.4506925024017701E-3</v>
      </c>
    </row>
    <row r="4489" spans="1:6" x14ac:dyDescent="0.25">
      <c r="A4489" s="1" t="str">
        <f t="shared" si="162"/>
        <v>14860</v>
      </c>
      <c r="B4489" s="1" t="str">
        <f>"06820"</f>
        <v>06820</v>
      </c>
      <c r="C4489" s="2">
        <v>2.02976625728114E-2</v>
      </c>
      <c r="D4489" s="2">
        <v>2.3589334334804202E-2</v>
      </c>
      <c r="E4489" s="2">
        <v>7.8438284933679894E-3</v>
      </c>
      <c r="F4489" s="2">
        <v>1.99930246938675E-2</v>
      </c>
    </row>
    <row r="4490" spans="1:6" x14ac:dyDescent="0.25">
      <c r="A4490" s="1" t="str">
        <f t="shared" si="162"/>
        <v>14860</v>
      </c>
      <c r="B4490" s="1" t="str">
        <f>"06907"</f>
        <v>06907</v>
      </c>
      <c r="C4490" s="2">
        <v>1.12170638651365E-2</v>
      </c>
      <c r="D4490" s="2">
        <v>1.29095859543704E-2</v>
      </c>
      <c r="E4490" s="2">
        <v>1.3219935662979699E-2</v>
      </c>
      <c r="F4490" s="2">
        <v>1.14686014939137E-2</v>
      </c>
    </row>
    <row r="4491" spans="1:6" x14ac:dyDescent="0.25">
      <c r="A4491" s="1" t="str">
        <f t="shared" si="162"/>
        <v>14860</v>
      </c>
      <c r="B4491" s="1" t="str">
        <f>"06910"</f>
        <v>06910</v>
      </c>
      <c r="C4491" s="2">
        <v>0</v>
      </c>
      <c r="D4491" s="2">
        <v>6.5721528494976902E-4</v>
      </c>
      <c r="E4491" s="2">
        <v>0</v>
      </c>
      <c r="F4491" s="2">
        <v>5.9910604818952199E-5</v>
      </c>
    </row>
    <row r="4492" spans="1:6" x14ac:dyDescent="0.25">
      <c r="A4492" s="1" t="str">
        <f t="shared" si="162"/>
        <v>14860</v>
      </c>
      <c r="B4492" s="1" t="str">
        <f>"06911"</f>
        <v>06911</v>
      </c>
      <c r="C4492" s="2">
        <v>1.64898300279058E-3</v>
      </c>
      <c r="D4492" s="2">
        <v>3.4738522204487798E-3</v>
      </c>
      <c r="E4492" s="2">
        <v>4.4066452209932499E-5</v>
      </c>
      <c r="F4492" s="2">
        <v>1.7374075397496101E-3</v>
      </c>
    </row>
    <row r="4493" spans="1:6" x14ac:dyDescent="0.25">
      <c r="A4493" s="1" t="str">
        <f t="shared" si="162"/>
        <v>14860</v>
      </c>
      <c r="B4493" s="1" t="str">
        <f>"06813"</f>
        <v>06813</v>
      </c>
      <c r="C4493" s="2">
        <v>5.5189943939552202E-3</v>
      </c>
      <c r="D4493" s="2">
        <v>1.2135010797108201E-2</v>
      </c>
      <c r="E4493" s="2">
        <v>1.7626580883973E-4</v>
      </c>
      <c r="F4493" s="2">
        <v>5.8626806144260399E-3</v>
      </c>
    </row>
    <row r="4494" spans="1:6" x14ac:dyDescent="0.25">
      <c r="A4494" s="1" t="str">
        <f t="shared" si="162"/>
        <v>14860</v>
      </c>
      <c r="B4494" s="1" t="str">
        <f>"06468"</f>
        <v>06468</v>
      </c>
      <c r="C4494" s="2">
        <v>1.8964548109016901E-2</v>
      </c>
      <c r="D4494" s="2">
        <v>2.1054361092855099E-2</v>
      </c>
      <c r="E4494" s="2">
        <v>6.7862336403296097E-3</v>
      </c>
      <c r="F4494" s="2">
        <v>1.8563728836043899E-2</v>
      </c>
    </row>
    <row r="4495" spans="1:6" x14ac:dyDescent="0.25">
      <c r="A4495" s="1" t="str">
        <f t="shared" si="162"/>
        <v>14860</v>
      </c>
      <c r="B4495" s="1" t="str">
        <f>"06880"</f>
        <v>06880</v>
      </c>
      <c r="C4495" s="2">
        <v>2.83261952017827E-2</v>
      </c>
      <c r="D4495" s="2">
        <v>4.5840766125246402E-2</v>
      </c>
      <c r="E4495" s="2">
        <v>2.21213590093861E-2</v>
      </c>
      <c r="F4495" s="2">
        <v>2.9621514754056201E-2</v>
      </c>
    </row>
    <row r="4496" spans="1:6" x14ac:dyDescent="0.25">
      <c r="A4496" s="1" t="str">
        <f t="shared" si="162"/>
        <v>14860</v>
      </c>
      <c r="B4496" s="1" t="str">
        <f>"06784"</f>
        <v>06784</v>
      </c>
      <c r="C4496" s="2">
        <v>5.7254281635353297E-3</v>
      </c>
      <c r="D4496" s="2">
        <v>3.0278847056614401E-3</v>
      </c>
      <c r="E4496" s="2">
        <v>8.8132904419865096E-4</v>
      </c>
      <c r="F4496" s="2">
        <v>5.2443175861161401E-3</v>
      </c>
    </row>
    <row r="4497" spans="1:6" x14ac:dyDescent="0.25">
      <c r="A4497" s="1" t="str">
        <f t="shared" si="162"/>
        <v>14860</v>
      </c>
      <c r="B4497" s="1" t="str">
        <f>"06888"</f>
        <v>06888</v>
      </c>
      <c r="C4497" s="2">
        <v>0</v>
      </c>
      <c r="D4497" s="2">
        <v>2.3471974462491699E-5</v>
      </c>
      <c r="E4497" s="2">
        <v>0</v>
      </c>
      <c r="F4497" s="2">
        <v>2.1396644578197201E-6</v>
      </c>
    </row>
    <row r="4498" spans="1:6" x14ac:dyDescent="0.25">
      <c r="A4498" s="1" t="str">
        <f t="shared" si="162"/>
        <v>14860</v>
      </c>
      <c r="B4498" s="1" t="str">
        <f>"06854"</f>
        <v>06854</v>
      </c>
      <c r="C4498" s="2">
        <v>2.8970368049026699E-2</v>
      </c>
      <c r="D4498" s="2">
        <v>2.6546803117078199E-2</v>
      </c>
      <c r="E4498" s="2">
        <v>5.1161151015731703E-2</v>
      </c>
      <c r="F4498" s="2">
        <v>2.98269225420069E-2</v>
      </c>
    </row>
    <row r="4499" spans="1:6" x14ac:dyDescent="0.25">
      <c r="A4499" s="1" t="str">
        <f t="shared" si="162"/>
        <v>14860</v>
      </c>
      <c r="B4499" s="1" t="str">
        <f>"06852"</f>
        <v>06852</v>
      </c>
      <c r="C4499" s="2">
        <v>1.9847487725895702E-3</v>
      </c>
      <c r="D4499" s="2">
        <v>7.22936813444746E-3</v>
      </c>
      <c r="E4499" s="2">
        <v>4.4066452209932499E-5</v>
      </c>
      <c r="F4499" s="2">
        <v>2.3686085548064299E-3</v>
      </c>
    </row>
    <row r="4500" spans="1:6" x14ac:dyDescent="0.25">
      <c r="A4500" s="1" t="str">
        <f t="shared" si="162"/>
        <v>14860</v>
      </c>
      <c r="B4500" s="1" t="str">
        <f>"06606"</f>
        <v>06606</v>
      </c>
      <c r="C4500" s="2">
        <v>4.38435480741967E-2</v>
      </c>
      <c r="D4500" s="2">
        <v>2.5420148342878601E-2</v>
      </c>
      <c r="E4500" s="2">
        <v>6.8831798351914594E-2</v>
      </c>
      <c r="F4500" s="2">
        <v>4.3377417553379198E-2</v>
      </c>
    </row>
    <row r="4501" spans="1:6" x14ac:dyDescent="0.25">
      <c r="A4501" s="1" t="str">
        <f t="shared" si="162"/>
        <v>14860</v>
      </c>
      <c r="B4501" s="1" t="str">
        <f>"06607"</f>
        <v>06607</v>
      </c>
      <c r="C4501" s="2">
        <v>7.8121502439897897E-3</v>
      </c>
      <c r="D4501" s="2">
        <v>1.16655713078584E-2</v>
      </c>
      <c r="E4501" s="2">
        <v>1.0443749173753999E-2</v>
      </c>
      <c r="F4501" s="2">
        <v>8.2911997740514297E-3</v>
      </c>
    </row>
    <row r="4502" spans="1:6" x14ac:dyDescent="0.25">
      <c r="A4502" s="1" t="str">
        <f t="shared" si="162"/>
        <v>14860</v>
      </c>
      <c r="B4502" s="1" t="str">
        <f>"06876"</f>
        <v>06876</v>
      </c>
      <c r="C4502" s="2">
        <v>0</v>
      </c>
      <c r="D4502" s="2">
        <v>2.3471974462491699E-5</v>
      </c>
      <c r="E4502" s="2">
        <v>0</v>
      </c>
      <c r="F4502" s="2">
        <v>2.1396644578197201E-6</v>
      </c>
    </row>
    <row r="4503" spans="1:6" x14ac:dyDescent="0.25">
      <c r="A4503" s="1" t="str">
        <f t="shared" si="162"/>
        <v>14860</v>
      </c>
      <c r="B4503" s="1" t="str">
        <f>"06858"</f>
        <v>06858</v>
      </c>
      <c r="C4503" s="2">
        <v>0</v>
      </c>
      <c r="D4503" s="2">
        <v>2.3471974462491699E-5</v>
      </c>
      <c r="E4503" s="2">
        <v>0</v>
      </c>
      <c r="F4503" s="2">
        <v>2.1396644578197201E-6</v>
      </c>
    </row>
    <row r="4504" spans="1:6" x14ac:dyDescent="0.25">
      <c r="A4504" s="1" t="str">
        <f t="shared" si="162"/>
        <v>14860</v>
      </c>
      <c r="B4504" s="1" t="str">
        <f>"06602"</f>
        <v>06602</v>
      </c>
      <c r="C4504" s="2">
        <v>0</v>
      </c>
      <c r="D4504" s="2">
        <v>0</v>
      </c>
      <c r="E4504" s="2">
        <v>4.4066452209932499E-5</v>
      </c>
      <c r="F4504" s="2">
        <v>2.1396644578197201E-6</v>
      </c>
    </row>
    <row r="4505" spans="1:6" x14ac:dyDescent="0.25">
      <c r="A4505" s="1" t="str">
        <f t="shared" si="162"/>
        <v>14860</v>
      </c>
      <c r="B4505" s="1" t="str">
        <f>"06912"</f>
        <v>06912</v>
      </c>
      <c r="C4505" s="2">
        <v>1.01973307864877E-4</v>
      </c>
      <c r="D4505" s="2">
        <v>1.3613745188245201E-3</v>
      </c>
      <c r="E4505" s="2">
        <v>8.8132904419865106E-5</v>
      </c>
      <c r="F4505" s="2">
        <v>2.1610611023979199E-4</v>
      </c>
    </row>
    <row r="4506" spans="1:6" x14ac:dyDescent="0.25">
      <c r="A4506" s="1" t="str">
        <f t="shared" si="162"/>
        <v>14860</v>
      </c>
      <c r="B4506" s="1" t="str">
        <f>"06484"</f>
        <v>06484</v>
      </c>
      <c r="C4506" s="2">
        <v>4.4231544074853302E-2</v>
      </c>
      <c r="D4506" s="2">
        <v>3.7508215191061803E-2</v>
      </c>
      <c r="E4506" s="2">
        <v>1.80672454060723E-2</v>
      </c>
      <c r="F4506" s="2">
        <v>4.23482389491679E-2</v>
      </c>
    </row>
    <row r="4507" spans="1:6" x14ac:dyDescent="0.25">
      <c r="A4507" s="1" t="str">
        <f t="shared" si="162"/>
        <v>14860</v>
      </c>
      <c r="B4507" s="1" t="str">
        <f>"06877"</f>
        <v>06877</v>
      </c>
      <c r="C4507" s="2">
        <v>2.5684837812697401E-2</v>
      </c>
      <c r="D4507" s="2">
        <v>2.7204018402027901E-2</v>
      </c>
      <c r="E4507" s="2">
        <v>1.3704666637289E-2</v>
      </c>
      <c r="F4507" s="2">
        <v>2.5241621608899201E-2</v>
      </c>
    </row>
    <row r="4508" spans="1:6" x14ac:dyDescent="0.25">
      <c r="A4508" s="1" t="str">
        <f t="shared" si="162"/>
        <v>14860</v>
      </c>
      <c r="B4508" s="1" t="str">
        <f>"06896"</f>
        <v>06896</v>
      </c>
      <c r="C4508" s="2">
        <v>9.9734869399551295E-3</v>
      </c>
      <c r="D4508" s="2">
        <v>3.1217726035113998E-3</v>
      </c>
      <c r="E4508" s="2">
        <v>1.6568986030934599E-2</v>
      </c>
      <c r="F4508" s="2">
        <v>9.6691436848873307E-3</v>
      </c>
    </row>
    <row r="4509" spans="1:6" x14ac:dyDescent="0.25">
      <c r="A4509" s="1" t="str">
        <f t="shared" si="162"/>
        <v>14860</v>
      </c>
      <c r="B4509" s="1" t="str">
        <f>"06807"</f>
        <v>06807</v>
      </c>
      <c r="C4509" s="2">
        <v>7.7425099361796302E-3</v>
      </c>
      <c r="D4509" s="2">
        <v>9.0836541169843198E-3</v>
      </c>
      <c r="E4509" s="2">
        <v>6.69810073590975E-3</v>
      </c>
      <c r="F4509" s="2">
        <v>7.8140545999576295E-3</v>
      </c>
    </row>
    <row r="4510" spans="1:6" x14ac:dyDescent="0.25">
      <c r="A4510" s="1" t="str">
        <f t="shared" si="162"/>
        <v>14860</v>
      </c>
      <c r="B4510" s="1" t="str">
        <f>"06812"</f>
        <v>06812</v>
      </c>
      <c r="C4510" s="2">
        <v>1.5902861719220202E-2</v>
      </c>
      <c r="D4510" s="2">
        <v>7.8631114449347408E-3</v>
      </c>
      <c r="E4510" s="2">
        <v>2.4236548715462899E-3</v>
      </c>
      <c r="F4510" s="2">
        <v>1.4515483681849E-2</v>
      </c>
    </row>
    <row r="4511" spans="1:6" x14ac:dyDescent="0.25">
      <c r="A4511" s="1" t="str">
        <f t="shared" si="162"/>
        <v>14860</v>
      </c>
      <c r="B4511" s="1" t="str">
        <f>"06614"</f>
        <v>06614</v>
      </c>
      <c r="C4511" s="2">
        <v>3.3825292364935103E-2</v>
      </c>
      <c r="D4511" s="2">
        <v>1.5749694864331899E-2</v>
      </c>
      <c r="E4511" s="2">
        <v>5.8299916273740801E-2</v>
      </c>
      <c r="F4511" s="2">
        <v>3.3365927555240697E-2</v>
      </c>
    </row>
    <row r="4512" spans="1:6" x14ac:dyDescent="0.25">
      <c r="A4512" s="1" t="str">
        <f t="shared" si="162"/>
        <v>14860</v>
      </c>
      <c r="B4512" s="1" t="str">
        <f>"06608"</f>
        <v>06608</v>
      </c>
      <c r="C4512" s="2">
        <v>1.24656150980187E-2</v>
      </c>
      <c r="D4512" s="2">
        <v>1.1689043282320901E-2</v>
      </c>
      <c r="E4512" s="2">
        <v>1.98739699466795E-2</v>
      </c>
      <c r="F4512" s="2">
        <v>1.2754539833063299E-2</v>
      </c>
    </row>
    <row r="4513" spans="1:6" x14ac:dyDescent="0.25">
      <c r="A4513" s="1" t="str">
        <f t="shared" si="162"/>
        <v>14860</v>
      </c>
      <c r="B4513" s="1" t="str">
        <f>"06905"</f>
        <v>06905</v>
      </c>
      <c r="C4513" s="2">
        <v>2.4080623579213301E-2</v>
      </c>
      <c r="D4513" s="2">
        <v>2.8706224767627402E-2</v>
      </c>
      <c r="E4513" s="2">
        <v>2.1548495130657E-2</v>
      </c>
      <c r="F4513" s="2">
        <v>2.4379336832397899E-2</v>
      </c>
    </row>
    <row r="4514" spans="1:6" x14ac:dyDescent="0.25">
      <c r="A4514" s="1" t="str">
        <f t="shared" si="162"/>
        <v>14860</v>
      </c>
      <c r="B4514" s="1" t="str">
        <f>"06901"</f>
        <v>06901</v>
      </c>
      <c r="C4514" s="2">
        <v>1.5457661180005199E-2</v>
      </c>
      <c r="D4514" s="2">
        <v>3.3917003098300598E-2</v>
      </c>
      <c r="E4514" s="2">
        <v>1.6657118935354501E-2</v>
      </c>
      <c r="F4514" s="2">
        <v>1.7198622911954901E-2</v>
      </c>
    </row>
    <row r="4515" spans="1:6" x14ac:dyDescent="0.25">
      <c r="A4515" s="1" t="str">
        <f t="shared" si="162"/>
        <v>14860</v>
      </c>
      <c r="B4515" s="1" t="str">
        <f>"06776"</f>
        <v>06776</v>
      </c>
      <c r="C4515" s="2">
        <v>1.49229231021772E-5</v>
      </c>
      <c r="D4515" s="2">
        <v>0</v>
      </c>
      <c r="E4515" s="2">
        <v>0</v>
      </c>
      <c r="F4515" s="2">
        <v>1.2837986746918299E-5</v>
      </c>
    </row>
    <row r="4516" spans="1:6" x14ac:dyDescent="0.25">
      <c r="A4516" s="1" t="str">
        <f t="shared" si="162"/>
        <v>14860</v>
      </c>
      <c r="B4516" s="1" t="str">
        <f>"06440"</f>
        <v>06440</v>
      </c>
      <c r="C4516" s="2">
        <v>0</v>
      </c>
      <c r="D4516" s="2">
        <v>0</v>
      </c>
      <c r="E4516" s="2">
        <v>3.0846516546952801E-4</v>
      </c>
      <c r="F4516" s="2">
        <v>1.4977651204738001E-5</v>
      </c>
    </row>
    <row r="4517" spans="1:6" x14ac:dyDescent="0.25">
      <c r="A4517" s="1" t="str">
        <f t="shared" si="162"/>
        <v>14860</v>
      </c>
      <c r="B4517" s="1" t="str">
        <f>"06904"</f>
        <v>06904</v>
      </c>
      <c r="C4517" s="2">
        <v>2.28320723463311E-3</v>
      </c>
      <c r="D4517" s="2">
        <v>2.3941413951741601E-3</v>
      </c>
      <c r="E4517" s="2">
        <v>2.2033226104966201E-4</v>
      </c>
      <c r="F4517" s="2">
        <v>2.1931560692652098E-3</v>
      </c>
    </row>
    <row r="4518" spans="1:6" x14ac:dyDescent="0.25">
      <c r="A4518" s="1" t="str">
        <f t="shared" si="162"/>
        <v>14860</v>
      </c>
      <c r="B4518" s="1" t="str">
        <f>"06878"</f>
        <v>06878</v>
      </c>
      <c r="C4518" s="2">
        <v>8.5234762451935706E-3</v>
      </c>
      <c r="D4518" s="2">
        <v>7.5814477513848396E-3</v>
      </c>
      <c r="E4518" s="2">
        <v>2.3795884193363501E-3</v>
      </c>
      <c r="F4518" s="2">
        <v>8.1392835975462301E-3</v>
      </c>
    </row>
    <row r="4519" spans="1:6" x14ac:dyDescent="0.25">
      <c r="A4519" s="1" t="str">
        <f t="shared" si="162"/>
        <v>14860</v>
      </c>
      <c r="B4519" s="1" t="str">
        <f>"06853"</f>
        <v>06853</v>
      </c>
      <c r="C4519" s="2">
        <v>3.89488292966826E-3</v>
      </c>
      <c r="D4519" s="2">
        <v>3.1687165524363898E-3</v>
      </c>
      <c r="E4519" s="2">
        <v>2.1592561582866902E-3</v>
      </c>
      <c r="F4519" s="2">
        <v>3.7444128011845101E-3</v>
      </c>
    </row>
    <row r="4520" spans="1:6" x14ac:dyDescent="0.25">
      <c r="A4520" s="1" t="str">
        <f t="shared" ref="A4520:A4551" si="163">"14860"</f>
        <v>14860</v>
      </c>
      <c r="B4520" s="1" t="str">
        <f>"06824"</f>
        <v>06824</v>
      </c>
      <c r="C4520" s="2">
        <v>3.1330677053021103E-2</v>
      </c>
      <c r="D4520" s="2">
        <v>3.4010890996150497E-2</v>
      </c>
      <c r="E4520" s="2">
        <v>1.4762261490327401E-2</v>
      </c>
      <c r="F4520" s="2">
        <v>3.0770514567905399E-2</v>
      </c>
    </row>
    <row r="4521" spans="1:6" x14ac:dyDescent="0.25">
      <c r="A4521" s="1" t="str">
        <f t="shared" si="163"/>
        <v>14860</v>
      </c>
      <c r="B4521" s="1" t="str">
        <f>"06810"</f>
        <v>06810</v>
      </c>
      <c r="C4521" s="2">
        <v>5.3048504474389697E-2</v>
      </c>
      <c r="D4521" s="2">
        <v>6.3327387099802804E-2</v>
      </c>
      <c r="E4521" s="2">
        <v>0.101573172343894</v>
      </c>
      <c r="F4521" s="2">
        <v>5.6341644503308898E-2</v>
      </c>
    </row>
    <row r="4522" spans="1:6" x14ac:dyDescent="0.25">
      <c r="A4522" s="1" t="str">
        <f t="shared" si="163"/>
        <v>14860</v>
      </c>
      <c r="B4522" s="1" t="str">
        <f>"06804"</f>
        <v>06804</v>
      </c>
      <c r="C4522" s="2">
        <v>2.0113613187884499E-2</v>
      </c>
      <c r="D4522" s="2">
        <v>2.50211247770162E-2</v>
      </c>
      <c r="E4522" s="2">
        <v>9.4302207729255703E-3</v>
      </c>
      <c r="F4522" s="2">
        <v>2.0042236976397301E-2</v>
      </c>
    </row>
    <row r="4523" spans="1:6" x14ac:dyDescent="0.25">
      <c r="A4523" s="1" t="str">
        <f t="shared" si="163"/>
        <v>14860</v>
      </c>
      <c r="B4523" s="1" t="str">
        <f>"06610"</f>
        <v>06610</v>
      </c>
      <c r="C4523" s="2">
        <v>2.8423194201946899E-2</v>
      </c>
      <c r="D4523" s="2">
        <v>1.8284668106281099E-2</v>
      </c>
      <c r="E4523" s="2">
        <v>2.50297448552417E-2</v>
      </c>
      <c r="F4523" s="2">
        <v>2.73342134486469E-2</v>
      </c>
    </row>
    <row r="4524" spans="1:6" x14ac:dyDescent="0.25">
      <c r="A4524" s="1" t="str">
        <f t="shared" si="163"/>
        <v>14860</v>
      </c>
      <c r="B4524" s="1" t="str">
        <f>"06828"</f>
        <v>06828</v>
      </c>
      <c r="C4524" s="2">
        <v>0</v>
      </c>
      <c r="D4524" s="2">
        <v>4.69439489249835E-5</v>
      </c>
      <c r="E4524" s="2">
        <v>0</v>
      </c>
      <c r="F4524" s="2">
        <v>4.2793289156394402E-6</v>
      </c>
    </row>
    <row r="4525" spans="1:6" x14ac:dyDescent="0.25">
      <c r="A4525" s="1" t="str">
        <f t="shared" si="163"/>
        <v>14860</v>
      </c>
      <c r="B4525" s="1" t="str">
        <f>"06838"</f>
        <v>06838</v>
      </c>
      <c r="C4525" s="2">
        <v>1.2162182328274401E-3</v>
      </c>
      <c r="D4525" s="2">
        <v>2.0890057271617602E-3</v>
      </c>
      <c r="E4525" s="2">
        <v>4.4066452209932499E-5</v>
      </c>
      <c r="F4525" s="2">
        <v>1.2388657210776199E-3</v>
      </c>
    </row>
    <row r="4526" spans="1:6" x14ac:dyDescent="0.25">
      <c r="A4526" s="1" t="str">
        <f t="shared" si="163"/>
        <v>14860</v>
      </c>
      <c r="B4526" s="1" t="str">
        <f>"06829"</f>
        <v>06829</v>
      </c>
      <c r="C4526" s="2">
        <v>1.5246253102724401E-3</v>
      </c>
      <c r="D4526" s="2">
        <v>4.2014834287860204E-3</v>
      </c>
      <c r="E4526" s="2">
        <v>4.4066452209932499E-5</v>
      </c>
      <c r="F4526" s="2">
        <v>1.69675391505104E-3</v>
      </c>
    </row>
    <row r="4527" spans="1:6" x14ac:dyDescent="0.25">
      <c r="A4527" s="1" t="str">
        <f t="shared" si="163"/>
        <v>14860</v>
      </c>
      <c r="B4527" s="1" t="str">
        <f>"06870"</f>
        <v>06870</v>
      </c>
      <c r="C4527" s="2">
        <v>8.2548636293543805E-3</v>
      </c>
      <c r="D4527" s="2">
        <v>8.9428222702093701E-3</v>
      </c>
      <c r="E4527" s="2">
        <v>2.6439871325959498E-3</v>
      </c>
      <c r="F4527" s="2">
        <v>8.0451383614021602E-3</v>
      </c>
    </row>
    <row r="4528" spans="1:6" x14ac:dyDescent="0.25">
      <c r="A4528" s="1" t="str">
        <f t="shared" si="163"/>
        <v>14860</v>
      </c>
      <c r="B4528" s="1" t="str">
        <f>"06840"</f>
        <v>06840</v>
      </c>
      <c r="C4528" s="2">
        <v>1.9728104341078301E-2</v>
      </c>
      <c r="D4528" s="2">
        <v>2.1828936250117299E-2</v>
      </c>
      <c r="E4528" s="2">
        <v>1.5863922795575702E-2</v>
      </c>
      <c r="F4528" s="2">
        <v>1.97319856300135E-2</v>
      </c>
    </row>
    <row r="4529" spans="1:6" x14ac:dyDescent="0.25">
      <c r="A4529" s="1" t="str">
        <f t="shared" si="163"/>
        <v>14860</v>
      </c>
      <c r="B4529" s="1" t="str">
        <f>"06811"</f>
        <v>06811</v>
      </c>
      <c r="C4529" s="2">
        <v>2.9761282973442101E-2</v>
      </c>
      <c r="D4529" s="2">
        <v>1.67589897662191E-2</v>
      </c>
      <c r="E4529" s="2">
        <v>3.3534570131758597E-2</v>
      </c>
      <c r="F4529" s="2">
        <v>2.8759229977554899E-2</v>
      </c>
    </row>
    <row r="4530" spans="1:6" x14ac:dyDescent="0.25">
      <c r="A4530" s="1" t="str">
        <f t="shared" si="163"/>
        <v>14860</v>
      </c>
      <c r="B4530" s="1" t="str">
        <f>"06825"</f>
        <v>06825</v>
      </c>
      <c r="C4530" s="2">
        <v>2.0904528112299901E-2</v>
      </c>
      <c r="D4530" s="2">
        <v>2.0843113322692699E-2</v>
      </c>
      <c r="E4530" s="2">
        <v>8.2844930154673205E-3</v>
      </c>
      <c r="F4530" s="2">
        <v>2.0286158724588801E-2</v>
      </c>
    </row>
    <row r="4531" spans="1:6" x14ac:dyDescent="0.25">
      <c r="A4531" s="1" t="str">
        <f t="shared" si="163"/>
        <v>14860</v>
      </c>
      <c r="B4531" s="1" t="str">
        <f>"06801"</f>
        <v>06801</v>
      </c>
      <c r="C4531" s="2">
        <v>2.1086090343376399E-2</v>
      </c>
      <c r="D4531" s="2">
        <v>2.27443432541545E-2</v>
      </c>
      <c r="E4531" s="2">
        <v>1.74943815273432E-2</v>
      </c>
      <c r="F4531" s="2">
        <v>2.10628569227773E-2</v>
      </c>
    </row>
    <row r="4532" spans="1:6" x14ac:dyDescent="0.25">
      <c r="A4532" s="1" t="str">
        <f t="shared" si="163"/>
        <v>14860</v>
      </c>
      <c r="B4532" s="1" t="str">
        <f>"06615"</f>
        <v>06615</v>
      </c>
      <c r="C4532" s="2">
        <v>2.1098526112628201E-2</v>
      </c>
      <c r="D4532" s="2">
        <v>3.0466622852314301E-2</v>
      </c>
      <c r="E4532" s="2">
        <v>1.5907989247785598E-2</v>
      </c>
      <c r="F4532" s="2">
        <v>2.17004769312076E-2</v>
      </c>
    </row>
    <row r="4533" spans="1:6" x14ac:dyDescent="0.25">
      <c r="A4533" s="1" t="str">
        <f t="shared" si="163"/>
        <v>14860</v>
      </c>
      <c r="B4533" s="1" t="str">
        <f>"06611"</f>
        <v>06611</v>
      </c>
      <c r="C4533" s="2">
        <v>3.3720831903219797E-2</v>
      </c>
      <c r="D4533" s="2">
        <v>2.9997183363064499E-2</v>
      </c>
      <c r="E4533" s="2">
        <v>9.1217556074560408E-3</v>
      </c>
      <c r="F4533" s="2">
        <v>3.2186972438982102E-2</v>
      </c>
    </row>
    <row r="4534" spans="1:6" x14ac:dyDescent="0.25">
      <c r="A4534" s="1" t="str">
        <f t="shared" si="163"/>
        <v>14860</v>
      </c>
      <c r="B4534" s="1" t="str">
        <f>"06902"</f>
        <v>06902</v>
      </c>
      <c r="C4534" s="2">
        <v>6.8590728885307303E-2</v>
      </c>
      <c r="D4534" s="2">
        <v>5.3234438080931298E-2</v>
      </c>
      <c r="E4534" s="2">
        <v>0.142907504516811</v>
      </c>
      <c r="F4534" s="2">
        <v>7.0799357244796801E-2</v>
      </c>
    </row>
    <row r="4535" spans="1:6" x14ac:dyDescent="0.25">
      <c r="A4535" s="1" t="str">
        <f t="shared" si="163"/>
        <v>14860</v>
      </c>
      <c r="B4535" s="1" t="str">
        <f>"06906"</f>
        <v>06906</v>
      </c>
      <c r="C4535" s="2">
        <v>1.08439907875821E-2</v>
      </c>
      <c r="D4535" s="2">
        <v>1.17359872312458E-2</v>
      </c>
      <c r="E4535" s="2">
        <v>1.6745251839774301E-2</v>
      </c>
      <c r="F4535" s="2">
        <v>1.1211841758975299E-2</v>
      </c>
    </row>
    <row r="4536" spans="1:6" x14ac:dyDescent="0.25">
      <c r="A4536" s="1" t="str">
        <f t="shared" si="163"/>
        <v>14860</v>
      </c>
      <c r="B4536" s="1" t="str">
        <f>"06875"</f>
        <v>06875</v>
      </c>
      <c r="C4536" s="2">
        <v>0</v>
      </c>
      <c r="D4536" s="2">
        <v>2.3471974462491699E-5</v>
      </c>
      <c r="E4536" s="2">
        <v>0</v>
      </c>
      <c r="F4536" s="2">
        <v>2.1396644578197201E-6</v>
      </c>
    </row>
    <row r="4537" spans="1:6" x14ac:dyDescent="0.25">
      <c r="A4537" s="1" t="str">
        <f t="shared" si="163"/>
        <v>14860</v>
      </c>
      <c r="B4537" s="1" t="str">
        <f>"06404"</f>
        <v>06404</v>
      </c>
      <c r="C4537" s="2">
        <v>0</v>
      </c>
      <c r="D4537" s="2">
        <v>0</v>
      </c>
      <c r="E4537" s="2">
        <v>4.4066452209932499E-5</v>
      </c>
      <c r="F4537" s="2">
        <v>2.1396644578197201E-6</v>
      </c>
    </row>
    <row r="4538" spans="1:6" x14ac:dyDescent="0.25">
      <c r="A4538" s="1" t="str">
        <f t="shared" si="163"/>
        <v>14860</v>
      </c>
      <c r="B4538" s="1" t="str">
        <f>"06604"</f>
        <v>06604</v>
      </c>
      <c r="C4538" s="2">
        <v>3.0907860898459399E-2</v>
      </c>
      <c r="D4538" s="2">
        <v>3.1640221575438901E-2</v>
      </c>
      <c r="E4538" s="2">
        <v>4.1422465077336601E-2</v>
      </c>
      <c r="F4538" s="2">
        <v>3.1485162496817203E-2</v>
      </c>
    </row>
    <row r="4539" spans="1:6" x14ac:dyDescent="0.25">
      <c r="A4539" s="1" t="str">
        <f t="shared" si="163"/>
        <v>14860</v>
      </c>
      <c r="B4539" s="1" t="str">
        <f>"06470"</f>
        <v>06470</v>
      </c>
      <c r="C4539" s="2">
        <v>1.9009316878323398E-2</v>
      </c>
      <c r="D4539" s="2">
        <v>2.0021594216505401E-2</v>
      </c>
      <c r="E4539" s="2">
        <v>6.8743665447494797E-3</v>
      </c>
      <c r="F4539" s="2">
        <v>1.8512376889056201E-2</v>
      </c>
    </row>
    <row r="4540" spans="1:6" x14ac:dyDescent="0.25">
      <c r="A4540" s="1" t="str">
        <f t="shared" si="163"/>
        <v>14860</v>
      </c>
      <c r="B4540" s="1" t="str">
        <f>"06482"</f>
        <v>06482</v>
      </c>
      <c r="C4540" s="2">
        <v>1.1856262404679799E-2</v>
      </c>
      <c r="D4540" s="2">
        <v>5.3046662285231401E-3</v>
      </c>
      <c r="E4540" s="2">
        <v>1.7626580883973E-3</v>
      </c>
      <c r="F4540" s="2">
        <v>1.07689312162066E-2</v>
      </c>
    </row>
    <row r="4541" spans="1:6" x14ac:dyDescent="0.25">
      <c r="A4541" s="1" t="str">
        <f t="shared" si="163"/>
        <v>14860</v>
      </c>
      <c r="B4541" s="1" t="str">
        <f>"06851"</f>
        <v>06851</v>
      </c>
      <c r="C4541" s="2">
        <v>2.8495321663607399E-2</v>
      </c>
      <c r="D4541" s="2">
        <v>3.6827527931649597E-2</v>
      </c>
      <c r="E4541" s="2">
        <v>3.0758383642532899E-2</v>
      </c>
      <c r="F4541" s="2">
        <v>2.9364755019117901E-2</v>
      </c>
    </row>
    <row r="4542" spans="1:6" x14ac:dyDescent="0.25">
      <c r="A4542" s="1" t="str">
        <f t="shared" si="163"/>
        <v>14860</v>
      </c>
      <c r="B4542" s="1" t="str">
        <f>"06890"</f>
        <v>06890</v>
      </c>
      <c r="C4542" s="2">
        <v>6.04627101023215E-3</v>
      </c>
      <c r="D4542" s="2">
        <v>1.1548211435545901E-2</v>
      </c>
      <c r="E4542" s="2">
        <v>3.4371832723747399E-3</v>
      </c>
      <c r="F4542" s="2">
        <v>6.4211330379169897E-3</v>
      </c>
    </row>
    <row r="4543" spans="1:6" x14ac:dyDescent="0.25">
      <c r="A4543" s="1" t="str">
        <f t="shared" si="163"/>
        <v>14860</v>
      </c>
      <c r="B4543" s="1" t="str">
        <f>"06836"</f>
        <v>06836</v>
      </c>
      <c r="C4543" s="2">
        <v>2.0021588495421098E-3</v>
      </c>
      <c r="D4543" s="2">
        <v>5.3516101774481201E-3</v>
      </c>
      <c r="E4543" s="2">
        <v>4.4066452209932499E-5</v>
      </c>
      <c r="F4543" s="2">
        <v>2.2124130493855901E-3</v>
      </c>
    </row>
    <row r="4544" spans="1:6" x14ac:dyDescent="0.25">
      <c r="A4544" s="1" t="str">
        <f t="shared" si="163"/>
        <v>14860</v>
      </c>
      <c r="B4544" s="1" t="str">
        <f>"06612"</f>
        <v>06612</v>
      </c>
      <c r="C4544" s="2">
        <v>6.8222630115453596E-3</v>
      </c>
      <c r="D4544" s="2">
        <v>1.15012674866209E-3</v>
      </c>
      <c r="E4544" s="2">
        <v>7.4912968756885305E-4</v>
      </c>
      <c r="F4544" s="2">
        <v>6.0103174620155997E-3</v>
      </c>
    </row>
    <row r="4545" spans="1:6" x14ac:dyDescent="0.25">
      <c r="A4545" s="1" t="str">
        <f t="shared" si="163"/>
        <v>14860</v>
      </c>
      <c r="B4545" s="1" t="str">
        <f>"06418"</f>
        <v>06418</v>
      </c>
      <c r="C4545" s="2">
        <v>2.4871538503628699E-6</v>
      </c>
      <c r="D4545" s="2">
        <v>0</v>
      </c>
      <c r="E4545" s="2">
        <v>0</v>
      </c>
      <c r="F4545" s="2">
        <v>2.1396644578197201E-6</v>
      </c>
    </row>
    <row r="4546" spans="1:6" x14ac:dyDescent="0.25">
      <c r="A4546" s="1" t="str">
        <f t="shared" si="163"/>
        <v>14860</v>
      </c>
      <c r="B4546" s="1" t="str">
        <f>"06927"</f>
        <v>06927</v>
      </c>
      <c r="C4546" s="2">
        <v>0</v>
      </c>
      <c r="D4546" s="2">
        <v>2.3471974462491699E-5</v>
      </c>
      <c r="E4546" s="2">
        <v>0</v>
      </c>
      <c r="F4546" s="2">
        <v>2.1396644578197201E-6</v>
      </c>
    </row>
    <row r="4547" spans="1:6" x14ac:dyDescent="0.25">
      <c r="A4547" s="1" t="str">
        <f t="shared" si="163"/>
        <v>14860</v>
      </c>
      <c r="B4547" s="1" t="str">
        <f>"06699"</f>
        <v>06699</v>
      </c>
      <c r="C4547" s="2">
        <v>0</v>
      </c>
      <c r="D4547" s="2">
        <v>2.3471974462491699E-5</v>
      </c>
      <c r="E4547" s="2">
        <v>0</v>
      </c>
      <c r="F4547" s="2">
        <v>2.1396644578197201E-6</v>
      </c>
    </row>
    <row r="4548" spans="1:6" x14ac:dyDescent="0.25">
      <c r="A4548" s="1" t="str">
        <f t="shared" si="163"/>
        <v>14860</v>
      </c>
      <c r="B4548" s="1" t="str">
        <f>"06491"</f>
        <v>06491</v>
      </c>
      <c r="C4548" s="2">
        <v>0</v>
      </c>
      <c r="D4548" s="2">
        <v>0</v>
      </c>
      <c r="E4548" s="2">
        <v>4.4066452209932499E-5</v>
      </c>
      <c r="F4548" s="2">
        <v>2.1396644578197201E-6</v>
      </c>
    </row>
    <row r="4549" spans="1:6" x14ac:dyDescent="0.25">
      <c r="A4549" s="1" t="str">
        <f t="shared" si="163"/>
        <v>14860</v>
      </c>
      <c r="B4549" s="1" t="str">
        <f>"06601"</f>
        <v>06601</v>
      </c>
      <c r="C4549" s="2">
        <v>3.09650654370178E-3</v>
      </c>
      <c r="D4549" s="2">
        <v>5.0934184583607102E-3</v>
      </c>
      <c r="E4549" s="2">
        <v>8.8132904419865106E-5</v>
      </c>
      <c r="F4549" s="2">
        <v>3.13246876624807E-3</v>
      </c>
    </row>
    <row r="4550" spans="1:6" x14ac:dyDescent="0.25">
      <c r="A4550" s="1" t="str">
        <f t="shared" si="163"/>
        <v>14860</v>
      </c>
      <c r="B4550" s="1" t="str">
        <f>"06850"</f>
        <v>06850</v>
      </c>
      <c r="C4550" s="2">
        <v>2.2053593191167599E-2</v>
      </c>
      <c r="D4550" s="2">
        <v>1.5796638813256901E-2</v>
      </c>
      <c r="E4550" s="2">
        <v>2.6043273256070101E-2</v>
      </c>
      <c r="F4550" s="2">
        <v>2.1676940622171601E-2</v>
      </c>
    </row>
    <row r="4551" spans="1:6" x14ac:dyDescent="0.25">
      <c r="A4551" s="1" t="str">
        <f t="shared" si="163"/>
        <v>14860</v>
      </c>
      <c r="B4551" s="1" t="str">
        <f>"06830"</f>
        <v>06830</v>
      </c>
      <c r="C4551" s="2">
        <v>2.6697109429795099E-2</v>
      </c>
      <c r="D4551" s="2">
        <v>4.2930241291897403E-2</v>
      </c>
      <c r="E4551" s="2">
        <v>5.47305336447362E-2</v>
      </c>
      <c r="F4551" s="2">
        <v>2.9538067840201201E-2</v>
      </c>
    </row>
    <row r="4552" spans="1:6" x14ac:dyDescent="0.25">
      <c r="A4552" s="1" t="str">
        <f t="shared" ref="A4552:A4560" si="164">"14860"</f>
        <v>14860</v>
      </c>
      <c r="B4552" s="1" t="str">
        <f>"06883"</f>
        <v>06883</v>
      </c>
      <c r="C4552" s="2">
        <v>9.1378032462332004E-3</v>
      </c>
      <c r="D4552" s="2">
        <v>9.8582292742465391E-4</v>
      </c>
      <c r="E4552" s="2">
        <v>3.0846516546952801E-4</v>
      </c>
      <c r="F4552" s="2">
        <v>7.9659707764628308E-3</v>
      </c>
    </row>
    <row r="4553" spans="1:6" x14ac:dyDescent="0.25">
      <c r="A4553" s="1" t="str">
        <f t="shared" si="164"/>
        <v>14860</v>
      </c>
      <c r="B4553" s="1" t="str">
        <f>"06673"</f>
        <v>06673</v>
      </c>
      <c r="C4553" s="2">
        <v>0</v>
      </c>
      <c r="D4553" s="2">
        <v>2.3471974462491699E-5</v>
      </c>
      <c r="E4553" s="2">
        <v>0</v>
      </c>
      <c r="F4553" s="2">
        <v>2.1396644578197201E-6</v>
      </c>
    </row>
    <row r="4554" spans="1:6" x14ac:dyDescent="0.25">
      <c r="A4554" s="1" t="str">
        <f t="shared" si="164"/>
        <v>14860</v>
      </c>
      <c r="B4554" s="1" t="str">
        <f>"06903"</f>
        <v>06903</v>
      </c>
      <c r="C4554" s="2">
        <v>1.3035173329751799E-2</v>
      </c>
      <c r="D4554" s="2">
        <v>2.1359496760867498E-3</v>
      </c>
      <c r="E4554" s="2">
        <v>1.1897942096681701E-3</v>
      </c>
      <c r="F4554" s="2">
        <v>1.1466461829455901E-2</v>
      </c>
    </row>
    <row r="4555" spans="1:6" x14ac:dyDescent="0.25">
      <c r="A4555" s="1" t="str">
        <f t="shared" si="164"/>
        <v>14860</v>
      </c>
      <c r="B4555" s="1" t="str">
        <f>"06926"</f>
        <v>06926</v>
      </c>
      <c r="C4555" s="2">
        <v>0</v>
      </c>
      <c r="D4555" s="2">
        <v>9.3887897849967094E-5</v>
      </c>
      <c r="E4555" s="2">
        <v>0</v>
      </c>
      <c r="F4555" s="2">
        <v>8.5586578312788906E-6</v>
      </c>
    </row>
    <row r="4556" spans="1:6" x14ac:dyDescent="0.25">
      <c r="A4556" s="1" t="str">
        <f t="shared" si="164"/>
        <v>14860</v>
      </c>
      <c r="B4556" s="1" t="str">
        <f>"06856"</f>
        <v>06856</v>
      </c>
      <c r="C4556" s="2">
        <v>2.09169638815517E-3</v>
      </c>
      <c r="D4556" s="2">
        <v>4.7648108158858298E-3</v>
      </c>
      <c r="E4556" s="2">
        <v>8.8132904419865106E-5</v>
      </c>
      <c r="F4556" s="2">
        <v>2.2380890228794301E-3</v>
      </c>
    </row>
    <row r="4557" spans="1:6" x14ac:dyDescent="0.25">
      <c r="A4557" s="1" t="str">
        <f t="shared" si="164"/>
        <v>14860</v>
      </c>
      <c r="B4557" s="1" t="str">
        <f>"06605"</f>
        <v>06605</v>
      </c>
      <c r="C4557" s="2">
        <v>2.5672402043445602E-2</v>
      </c>
      <c r="D4557" s="2">
        <v>1.7580508872406302E-2</v>
      </c>
      <c r="E4557" s="2">
        <v>2.5558542281760799E-2</v>
      </c>
      <c r="F4557" s="2">
        <v>2.49292305980576E-2</v>
      </c>
    </row>
    <row r="4558" spans="1:6" x14ac:dyDescent="0.25">
      <c r="A4558" s="1" t="str">
        <f t="shared" si="164"/>
        <v>14860</v>
      </c>
      <c r="B4558" s="1" t="str">
        <f>"06897"</f>
        <v>06897</v>
      </c>
      <c r="C4558" s="2">
        <v>1.8243273492411598E-2</v>
      </c>
      <c r="D4558" s="2">
        <v>2.5138484649328701E-2</v>
      </c>
      <c r="E4558" s="2">
        <v>9.1658220596659706E-3</v>
      </c>
      <c r="F4558" s="2">
        <v>1.8431069639659101E-2</v>
      </c>
    </row>
    <row r="4559" spans="1:6" x14ac:dyDescent="0.25">
      <c r="A4559" s="1" t="str">
        <f t="shared" si="164"/>
        <v>14860</v>
      </c>
      <c r="B4559" s="1" t="str">
        <f>"06831"</f>
        <v>06831</v>
      </c>
      <c r="C4559" s="2">
        <v>1.65445474126138E-2</v>
      </c>
      <c r="D4559" s="2">
        <v>1.27218101586705E-2</v>
      </c>
      <c r="E4559" s="2">
        <v>1.1192878861322799E-2</v>
      </c>
      <c r="F4559" s="2">
        <v>1.5936220881841299E-2</v>
      </c>
    </row>
    <row r="4560" spans="1:6" x14ac:dyDescent="0.25">
      <c r="A4560" s="1" t="str">
        <f t="shared" si="164"/>
        <v>14860</v>
      </c>
      <c r="B4560" s="1" t="str">
        <f>"06855"</f>
        <v>06855</v>
      </c>
      <c r="C4560" s="2">
        <v>9.1029830923281194E-3</v>
      </c>
      <c r="D4560" s="2">
        <v>8.3090789597220892E-3</v>
      </c>
      <c r="E4560" s="2">
        <v>1.24267395232009E-2</v>
      </c>
      <c r="F4560" s="2">
        <v>9.1919985107935306E-3</v>
      </c>
    </row>
    <row r="4561" spans="1:6" x14ac:dyDescent="0.25">
      <c r="A4561" s="1" t="str">
        <f t="shared" ref="A4561:A4574" si="165">"15020"</f>
        <v>15020</v>
      </c>
      <c r="B4561" s="1" t="str">
        <f>"39602"</f>
        <v>39602</v>
      </c>
      <c r="C4561" s="2">
        <v>3.9108012606245801E-2</v>
      </c>
      <c r="D4561" s="2">
        <v>0.129820749592612</v>
      </c>
      <c r="E4561" s="2">
        <v>8.5470085470085392E-3</v>
      </c>
      <c r="F4561" s="2">
        <v>4.6052917408871699E-2</v>
      </c>
    </row>
    <row r="4562" spans="1:6" x14ac:dyDescent="0.25">
      <c r="A4562" s="1" t="str">
        <f t="shared" si="165"/>
        <v>15020</v>
      </c>
      <c r="B4562" s="1" t="str">
        <f>"39664"</f>
        <v>39664</v>
      </c>
      <c r="C4562" s="2">
        <v>8.2609110877662102E-3</v>
      </c>
      <c r="D4562" s="2">
        <v>0</v>
      </c>
      <c r="E4562" s="2">
        <v>0</v>
      </c>
      <c r="F4562" s="2">
        <v>7.5161836903158497E-3</v>
      </c>
    </row>
    <row r="4563" spans="1:6" x14ac:dyDescent="0.25">
      <c r="A4563" s="1" t="str">
        <f t="shared" si="165"/>
        <v>15020</v>
      </c>
      <c r="B4563" s="1" t="str">
        <f>"39629"</f>
        <v>39629</v>
      </c>
      <c r="C4563" s="2">
        <v>0.16927705090249201</v>
      </c>
      <c r="D4563" s="2">
        <v>5.59478544269418E-2</v>
      </c>
      <c r="E4563" s="2">
        <v>0.10256410256410201</v>
      </c>
      <c r="F4563" s="2">
        <v>0.15953425728809101</v>
      </c>
    </row>
    <row r="4564" spans="1:6" x14ac:dyDescent="0.25">
      <c r="A4564" s="1" t="str">
        <f t="shared" si="165"/>
        <v>15020</v>
      </c>
      <c r="B4564" s="1" t="str">
        <f>"39601"</f>
        <v>39601</v>
      </c>
      <c r="C4564" s="2">
        <v>0.58007831152707401</v>
      </c>
      <c r="D4564" s="2">
        <v>0.71700162954915803</v>
      </c>
      <c r="E4564" s="2">
        <v>0.841880341880341</v>
      </c>
      <c r="F4564" s="2">
        <v>0.59369161923795399</v>
      </c>
    </row>
    <row r="4565" spans="1:6" x14ac:dyDescent="0.25">
      <c r="A4565" s="1" t="str">
        <f t="shared" si="165"/>
        <v>15020</v>
      </c>
      <c r="B4565" s="1" t="str">
        <f>"39191"</f>
        <v>39191</v>
      </c>
      <c r="C4565" s="2">
        <v>7.2820169993314796E-2</v>
      </c>
      <c r="D4565" s="2">
        <v>8.1477457903313399E-3</v>
      </c>
      <c r="E4565" s="2">
        <v>3.8461538461538401E-2</v>
      </c>
      <c r="F4565" s="2">
        <v>6.7298084024851101E-2</v>
      </c>
    </row>
    <row r="4566" spans="1:6" x14ac:dyDescent="0.25">
      <c r="A4566" s="1" t="str">
        <f t="shared" si="165"/>
        <v>15020</v>
      </c>
      <c r="B4566" s="1" t="str">
        <f>"39647"</f>
        <v>39647</v>
      </c>
      <c r="C4566" s="2">
        <v>2.4352974883010202E-3</v>
      </c>
      <c r="D4566" s="2">
        <v>0</v>
      </c>
      <c r="E4566" s="2">
        <v>0</v>
      </c>
      <c r="F4566" s="2">
        <v>2.2157535734457102E-3</v>
      </c>
    </row>
    <row r="4567" spans="1:6" x14ac:dyDescent="0.25">
      <c r="A4567" s="1" t="str">
        <f t="shared" si="165"/>
        <v>15020</v>
      </c>
      <c r="B4567" s="1" t="str">
        <f>"39662"</f>
        <v>39662</v>
      </c>
      <c r="C4567" s="2">
        <v>2.46394804698691E-2</v>
      </c>
      <c r="D4567" s="2">
        <v>3.2590983161325301E-3</v>
      </c>
      <c r="E4567" s="2">
        <v>0</v>
      </c>
      <c r="F4567" s="2">
        <v>2.2678889516444301E-2</v>
      </c>
    </row>
    <row r="4568" spans="1:6" x14ac:dyDescent="0.25">
      <c r="A4568" s="1" t="str">
        <f t="shared" si="165"/>
        <v>15020</v>
      </c>
      <c r="B4568" s="1" t="str">
        <f>"39083"</f>
        <v>39083</v>
      </c>
      <c r="C4568" s="2">
        <v>5.2526024257472999E-4</v>
      </c>
      <c r="D4568" s="2">
        <v>0</v>
      </c>
      <c r="E4568" s="2">
        <v>0</v>
      </c>
      <c r="F4568" s="2">
        <v>4.7790763348829098E-4</v>
      </c>
    </row>
    <row r="4569" spans="1:6" x14ac:dyDescent="0.25">
      <c r="A4569" s="1" t="str">
        <f t="shared" si="165"/>
        <v>15020</v>
      </c>
      <c r="B4569" s="1" t="str">
        <f>"39665"</f>
        <v>39665</v>
      </c>
      <c r="C4569" s="2">
        <v>6.0643682551809698E-3</v>
      </c>
      <c r="D4569" s="2">
        <v>0</v>
      </c>
      <c r="E4569" s="2">
        <v>0</v>
      </c>
      <c r="F4569" s="2">
        <v>5.51766085936481E-3</v>
      </c>
    </row>
    <row r="4570" spans="1:6" x14ac:dyDescent="0.25">
      <c r="A4570" s="1" t="str">
        <f t="shared" si="165"/>
        <v>15020</v>
      </c>
      <c r="B4570" s="1" t="str">
        <f>"39603"</f>
        <v>39603</v>
      </c>
      <c r="C4570" s="2">
        <v>7.2581415337599001E-2</v>
      </c>
      <c r="D4570" s="2">
        <v>8.1477457903313399E-2</v>
      </c>
      <c r="E4570" s="2">
        <v>8.5470085470085392E-3</v>
      </c>
      <c r="F4570" s="2">
        <v>7.2641960290220201E-2</v>
      </c>
    </row>
    <row r="4571" spans="1:6" x14ac:dyDescent="0.25">
      <c r="A4571" s="1" t="str">
        <f t="shared" si="165"/>
        <v>15020</v>
      </c>
      <c r="B4571" s="1" t="str">
        <f>"39641"</f>
        <v>39641</v>
      </c>
      <c r="C4571" s="2">
        <v>2.0532900391557599E-3</v>
      </c>
      <c r="D4571" s="2">
        <v>0</v>
      </c>
      <c r="E4571" s="2">
        <v>0</v>
      </c>
      <c r="F4571" s="2">
        <v>1.8681843854542199E-3</v>
      </c>
    </row>
    <row r="4572" spans="1:6" x14ac:dyDescent="0.25">
      <c r="A4572" s="1" t="str">
        <f t="shared" si="165"/>
        <v>15020</v>
      </c>
      <c r="B4572" s="1" t="str">
        <f>"39668"</f>
        <v>39668</v>
      </c>
      <c r="C4572" s="2">
        <v>4.8705949766020403E-3</v>
      </c>
      <c r="D4572" s="2">
        <v>5.4318305268875595E-4</v>
      </c>
      <c r="E4572" s="2">
        <v>0</v>
      </c>
      <c r="F4572" s="2">
        <v>4.47495329539036E-3</v>
      </c>
    </row>
    <row r="4573" spans="1:6" x14ac:dyDescent="0.25">
      <c r="A4573" s="1" t="str">
        <f t="shared" si="165"/>
        <v>15020</v>
      </c>
      <c r="B4573" s="1" t="str">
        <f>"39654"</f>
        <v>39654</v>
      </c>
      <c r="C4573" s="2">
        <v>1.5280297965810301E-3</v>
      </c>
      <c r="D4573" s="2">
        <v>5.4318305268875595E-4</v>
      </c>
      <c r="E4573" s="2">
        <v>0</v>
      </c>
      <c r="F4573" s="2">
        <v>1.4337229004648701E-3</v>
      </c>
    </row>
    <row r="4574" spans="1:6" x14ac:dyDescent="0.25">
      <c r="A4574" s="1" t="str">
        <f t="shared" si="165"/>
        <v>15020</v>
      </c>
      <c r="B4574" s="1" t="str">
        <f>"39666"</f>
        <v>39666</v>
      </c>
      <c r="C4574" s="2">
        <v>1.5757807277241902E-2</v>
      </c>
      <c r="D4574" s="2">
        <v>3.2590983161325301E-3</v>
      </c>
      <c r="E4574" s="2">
        <v>0</v>
      </c>
      <c r="F4574" s="2">
        <v>1.4597905895642299E-2</v>
      </c>
    </row>
    <row r="4575" spans="1:6" x14ac:dyDescent="0.25">
      <c r="A4575" s="1" t="str">
        <f t="shared" ref="A4575:A4582" si="166">"15060"</f>
        <v>15060</v>
      </c>
      <c r="B4575" s="1" t="str">
        <f>"97491"</f>
        <v>97491</v>
      </c>
      <c r="C4575" s="2">
        <v>0</v>
      </c>
      <c r="D4575" s="2">
        <v>0</v>
      </c>
      <c r="E4575" s="2">
        <v>2.1691973969631198E-3</v>
      </c>
      <c r="F4575" s="2">
        <v>5.5567903978661903E-5</v>
      </c>
    </row>
    <row r="4576" spans="1:6" x14ac:dyDescent="0.25">
      <c r="A4576" s="1" t="str">
        <f t="shared" si="166"/>
        <v>15060</v>
      </c>
      <c r="B4576" s="1" t="str">
        <f>"97464"</f>
        <v>97464</v>
      </c>
      <c r="C4576" s="2">
        <v>0</v>
      </c>
      <c r="D4576" s="2">
        <v>0</v>
      </c>
      <c r="E4576" s="2">
        <v>2.1691973969631198E-3</v>
      </c>
      <c r="F4576" s="2">
        <v>5.5567903978661903E-5</v>
      </c>
    </row>
    <row r="4577" spans="1:6" x14ac:dyDescent="0.25">
      <c r="A4577" s="1" t="str">
        <f t="shared" si="166"/>
        <v>15060</v>
      </c>
      <c r="B4577" s="1" t="str">
        <f>"97476"</f>
        <v>97476</v>
      </c>
      <c r="C4577" s="2">
        <v>1.51999517461849E-2</v>
      </c>
      <c r="D4577" s="2">
        <v>1.0460251046025099E-3</v>
      </c>
      <c r="E4577" s="2">
        <v>2.1691973969631198E-3</v>
      </c>
      <c r="F4577" s="2">
        <v>1.41142476105801E-2</v>
      </c>
    </row>
    <row r="4578" spans="1:6" x14ac:dyDescent="0.25">
      <c r="A4578" s="1" t="str">
        <f t="shared" si="166"/>
        <v>15060</v>
      </c>
      <c r="B4578" s="1" t="str">
        <f>"97444"</f>
        <v>97444</v>
      </c>
      <c r="C4578" s="2">
        <v>0.140177332770372</v>
      </c>
      <c r="D4578" s="2">
        <v>0.13702928870292799</v>
      </c>
      <c r="E4578" s="2">
        <v>0.16052060737527099</v>
      </c>
      <c r="F4578" s="2">
        <v>0.140531229162036</v>
      </c>
    </row>
    <row r="4579" spans="1:6" x14ac:dyDescent="0.25">
      <c r="A4579" s="1" t="str">
        <f t="shared" si="166"/>
        <v>15060</v>
      </c>
      <c r="B4579" s="1" t="str">
        <f>"97406"</f>
        <v>97406</v>
      </c>
      <c r="C4579" s="2">
        <v>7.1174377224199198E-3</v>
      </c>
      <c r="D4579" s="2">
        <v>1.0460251046025101E-2</v>
      </c>
      <c r="E4579" s="2">
        <v>6.5075921908893698E-3</v>
      </c>
      <c r="F4579" s="2">
        <v>7.2793954212047101E-3</v>
      </c>
    </row>
    <row r="4580" spans="1:6" x14ac:dyDescent="0.25">
      <c r="A4580" s="1" t="str">
        <f t="shared" si="166"/>
        <v>15060</v>
      </c>
      <c r="B4580" s="1" t="str">
        <f>"97450"</f>
        <v>97450</v>
      </c>
      <c r="C4580" s="2">
        <v>2.2980879425779598E-2</v>
      </c>
      <c r="D4580" s="2">
        <v>1.0460251046025101E-2</v>
      </c>
      <c r="E4580" s="2">
        <v>6.5075921908893698E-3</v>
      </c>
      <c r="F4580" s="2">
        <v>2.1893754167592702E-2</v>
      </c>
    </row>
    <row r="4581" spans="1:6" x14ac:dyDescent="0.25">
      <c r="A4581" s="1" t="str">
        <f t="shared" si="166"/>
        <v>15060</v>
      </c>
      <c r="B4581" s="1" t="str">
        <f>"97415"</f>
        <v>97415</v>
      </c>
      <c r="C4581" s="2">
        <v>0.73816273599131399</v>
      </c>
      <c r="D4581" s="2">
        <v>0.82949790794978995</v>
      </c>
      <c r="E4581" s="2">
        <v>0.78308026030368705</v>
      </c>
      <c r="F4581" s="2">
        <v>0.74416537008224004</v>
      </c>
    </row>
    <row r="4582" spans="1:6" x14ac:dyDescent="0.25">
      <c r="A4582" s="1" t="str">
        <f t="shared" si="166"/>
        <v>15060</v>
      </c>
      <c r="B4582" s="1" t="str">
        <f>"97465"</f>
        <v>97465</v>
      </c>
      <c r="C4582" s="2">
        <v>7.6361662343928993E-2</v>
      </c>
      <c r="D4582" s="2">
        <v>1.15062761506276E-2</v>
      </c>
      <c r="E4582" s="2">
        <v>3.6876355748373099E-2</v>
      </c>
      <c r="F4582" s="2">
        <v>7.1904867748388501E-2</v>
      </c>
    </row>
    <row r="4583" spans="1:6" x14ac:dyDescent="0.25">
      <c r="A4583" s="1" t="str">
        <f t="shared" ref="A4583:A4594" si="167">"15100"</f>
        <v>15100</v>
      </c>
      <c r="B4583" s="1" t="str">
        <f>"57006"</f>
        <v>57006</v>
      </c>
      <c r="C4583" s="2">
        <v>0.76817170684783198</v>
      </c>
      <c r="D4583" s="2">
        <v>0.92732558139534804</v>
      </c>
      <c r="E4583" s="2">
        <v>0.89315068493150596</v>
      </c>
      <c r="F4583" s="2">
        <v>0.78679857621440497</v>
      </c>
    </row>
    <row r="4584" spans="1:6" x14ac:dyDescent="0.25">
      <c r="A4584" s="1" t="str">
        <f t="shared" si="167"/>
        <v>15100</v>
      </c>
      <c r="B4584" s="1" t="str">
        <f>"57276"</f>
        <v>57276</v>
      </c>
      <c r="C4584" s="2">
        <v>2.9639872542535899E-2</v>
      </c>
      <c r="D4584" s="2">
        <v>5.08720930232558E-3</v>
      </c>
      <c r="E4584" s="2">
        <v>1.0958904109589E-2</v>
      </c>
      <c r="F4584" s="2">
        <v>2.6800670016750398E-2</v>
      </c>
    </row>
    <row r="4585" spans="1:6" x14ac:dyDescent="0.25">
      <c r="A4585" s="1" t="str">
        <f t="shared" si="167"/>
        <v>15100</v>
      </c>
      <c r="B4585" s="1" t="str">
        <f>"57212"</f>
        <v>57212</v>
      </c>
      <c r="C4585" s="2">
        <v>1.62929116815968E-2</v>
      </c>
      <c r="D4585" s="2">
        <v>3.6337209302325498E-3</v>
      </c>
      <c r="E4585" s="2">
        <v>2.7397260273972599E-3</v>
      </c>
      <c r="F4585" s="2">
        <v>1.46042713567839E-2</v>
      </c>
    </row>
    <row r="4586" spans="1:6" x14ac:dyDescent="0.25">
      <c r="A4586" s="1" t="str">
        <f t="shared" si="167"/>
        <v>15100</v>
      </c>
      <c r="B4586" s="1" t="str">
        <f>"57061"</f>
        <v>57061</v>
      </c>
      <c r="C4586" s="2">
        <v>2.6453435940600001E-3</v>
      </c>
      <c r="D4586" s="2">
        <v>2.90697674418604E-3</v>
      </c>
      <c r="E4586" s="2">
        <v>9.1324200913241995E-4</v>
      </c>
      <c r="F4586" s="2">
        <v>2.5649078726968102E-3</v>
      </c>
    </row>
    <row r="4587" spans="1:6" x14ac:dyDescent="0.25">
      <c r="A4587" s="1" t="str">
        <f t="shared" si="167"/>
        <v>15100</v>
      </c>
      <c r="B4587" s="1" t="str">
        <f>"57213"</f>
        <v>57213</v>
      </c>
      <c r="C4587" s="2">
        <v>1.02206457043227E-3</v>
      </c>
      <c r="D4587" s="2">
        <v>7.2674418604651097E-4</v>
      </c>
      <c r="E4587" s="2">
        <v>0</v>
      </c>
      <c r="F4587" s="2">
        <v>9.42211055276381E-4</v>
      </c>
    </row>
    <row r="4588" spans="1:6" x14ac:dyDescent="0.25">
      <c r="A4588" s="1" t="str">
        <f t="shared" si="167"/>
        <v>15100</v>
      </c>
      <c r="B4588" s="1" t="str">
        <f>"57007"</f>
        <v>57007</v>
      </c>
      <c r="C4588" s="2">
        <v>0</v>
      </c>
      <c r="D4588" s="2">
        <v>2.90697674418604E-3</v>
      </c>
      <c r="E4588" s="2">
        <v>0</v>
      </c>
      <c r="F4588" s="2">
        <v>2.09380234505862E-4</v>
      </c>
    </row>
    <row r="4589" spans="1:6" x14ac:dyDescent="0.25">
      <c r="A4589" s="1" t="str">
        <f t="shared" si="167"/>
        <v>15100</v>
      </c>
      <c r="B4589" s="1" t="str">
        <f>"57268"</f>
        <v>57268</v>
      </c>
      <c r="C4589" s="2">
        <v>2.3447363674622699E-3</v>
      </c>
      <c r="D4589" s="2">
        <v>2.1802325581395301E-3</v>
      </c>
      <c r="E4589" s="2">
        <v>0</v>
      </c>
      <c r="F4589" s="2">
        <v>2.19849246231155E-3</v>
      </c>
    </row>
    <row r="4590" spans="1:6" x14ac:dyDescent="0.25">
      <c r="A4590" s="1" t="str">
        <f t="shared" si="167"/>
        <v>15100</v>
      </c>
      <c r="B4590" s="1" t="str">
        <f>"57234"</f>
        <v>57234</v>
      </c>
      <c r="C4590" s="2">
        <v>1.2024289063909E-4</v>
      </c>
      <c r="D4590" s="2">
        <v>0</v>
      </c>
      <c r="E4590" s="2">
        <v>0</v>
      </c>
      <c r="F4590" s="2">
        <v>1.04690117252931E-4</v>
      </c>
    </row>
    <row r="4591" spans="1:6" x14ac:dyDescent="0.25">
      <c r="A4591" s="1" t="str">
        <f t="shared" si="167"/>
        <v>15100</v>
      </c>
      <c r="B4591" s="1" t="str">
        <f>"57026"</f>
        <v>57026</v>
      </c>
      <c r="C4591" s="2">
        <v>3.4269223832140899E-2</v>
      </c>
      <c r="D4591" s="2">
        <v>2.1075581395348798E-2</v>
      </c>
      <c r="E4591" s="2">
        <v>1.8264840182648401E-2</v>
      </c>
      <c r="F4591" s="2">
        <v>3.2401591289782199E-2</v>
      </c>
    </row>
    <row r="4592" spans="1:6" x14ac:dyDescent="0.25">
      <c r="A4592" s="1" t="str">
        <f t="shared" si="167"/>
        <v>15100</v>
      </c>
      <c r="B4592" s="1" t="str">
        <f>"57220"</f>
        <v>57220</v>
      </c>
      <c r="C4592" s="2">
        <v>2.33872422293031E-2</v>
      </c>
      <c r="D4592" s="2">
        <v>7.9941860465116196E-3</v>
      </c>
      <c r="E4592" s="2">
        <v>3.6529680365296798E-3</v>
      </c>
      <c r="F4592" s="2">
        <v>2.11474036850921E-2</v>
      </c>
    </row>
    <row r="4593" spans="1:6" x14ac:dyDescent="0.25">
      <c r="A4593" s="1" t="str">
        <f t="shared" si="167"/>
        <v>15100</v>
      </c>
      <c r="B4593" s="1" t="str">
        <f>"57002"</f>
        <v>57002</v>
      </c>
      <c r="C4593" s="2">
        <v>3.93795466843022E-2</v>
      </c>
      <c r="D4593" s="2">
        <v>6.5406976744185998E-3</v>
      </c>
      <c r="E4593" s="2">
        <v>2.46575342465753E-2</v>
      </c>
      <c r="F4593" s="2">
        <v>3.6170435510887701E-2</v>
      </c>
    </row>
    <row r="4594" spans="1:6" x14ac:dyDescent="0.25">
      <c r="A4594" s="1" t="str">
        <f t="shared" si="167"/>
        <v>15100</v>
      </c>
      <c r="B4594" s="1" t="str">
        <f>"57071"</f>
        <v>57071</v>
      </c>
      <c r="C4594" s="2">
        <v>8.2727108759694495E-2</v>
      </c>
      <c r="D4594" s="2">
        <v>1.96220930232558E-2</v>
      </c>
      <c r="E4594" s="2">
        <v>4.5662100456621002E-2</v>
      </c>
      <c r="F4594" s="2">
        <v>7.6057370184254597E-2</v>
      </c>
    </row>
    <row r="4595" spans="1:6" x14ac:dyDescent="0.25">
      <c r="A4595" s="1" t="str">
        <f t="shared" ref="A4595:A4603" si="168">"15140"</f>
        <v>15140</v>
      </c>
      <c r="B4595" s="1" t="str">
        <f>"38006"</f>
        <v>38006</v>
      </c>
      <c r="C4595" s="2">
        <v>4.8766624985790603E-2</v>
      </c>
      <c r="D4595" s="2">
        <v>1.68539325842696E-2</v>
      </c>
      <c r="E4595" s="2">
        <v>0</v>
      </c>
      <c r="F4595" s="2">
        <v>4.6134532900931002E-2</v>
      </c>
    </row>
    <row r="4596" spans="1:6" x14ac:dyDescent="0.25">
      <c r="A4596" s="1" t="str">
        <f t="shared" si="168"/>
        <v>15140</v>
      </c>
      <c r="B4596" s="1" t="str">
        <f>"38012"</f>
        <v>38012</v>
      </c>
      <c r="C4596" s="2">
        <v>0.77048993975218805</v>
      </c>
      <c r="D4596" s="2">
        <v>0.91853932584269604</v>
      </c>
      <c r="E4596" s="2">
        <v>0.94</v>
      </c>
      <c r="F4596" s="2">
        <v>0.78240401715660601</v>
      </c>
    </row>
    <row r="4597" spans="1:6" x14ac:dyDescent="0.25">
      <c r="A4597" s="1" t="str">
        <f t="shared" si="168"/>
        <v>15140</v>
      </c>
      <c r="B4597" s="1" t="str">
        <f>"38037"</f>
        <v>38037</v>
      </c>
      <c r="C4597" s="2">
        <v>2.5008525633738701E-2</v>
      </c>
      <c r="D4597" s="2">
        <v>4.2134831460674104E-3</v>
      </c>
      <c r="E4597" s="2">
        <v>0</v>
      </c>
      <c r="F4597" s="2">
        <v>2.33288000836907E-2</v>
      </c>
    </row>
    <row r="4598" spans="1:6" x14ac:dyDescent="0.25">
      <c r="A4598" s="1" t="str">
        <f t="shared" si="168"/>
        <v>15140</v>
      </c>
      <c r="B4598" s="1" t="str">
        <f>"38301"</f>
        <v>38301</v>
      </c>
      <c r="C4598" s="2">
        <v>3.41025349550983E-4</v>
      </c>
      <c r="D4598" s="2">
        <v>1.4044943820224699E-3</v>
      </c>
      <c r="E4598" s="2">
        <v>0</v>
      </c>
      <c r="F4598" s="2">
        <v>4.1845381316037199E-4</v>
      </c>
    </row>
    <row r="4599" spans="1:6" x14ac:dyDescent="0.25">
      <c r="A4599" s="1" t="str">
        <f t="shared" si="168"/>
        <v>15140</v>
      </c>
      <c r="B4599" s="1" t="str">
        <f>"38075"</f>
        <v>38075</v>
      </c>
      <c r="C4599" s="2">
        <v>3.0010230760486499E-2</v>
      </c>
      <c r="D4599" s="2">
        <v>4.2134831460674104E-3</v>
      </c>
      <c r="E4599" s="2">
        <v>0</v>
      </c>
      <c r="F4599" s="2">
        <v>2.7931792028454801E-2</v>
      </c>
    </row>
    <row r="4600" spans="1:6" x14ac:dyDescent="0.25">
      <c r="A4600" s="1" t="str">
        <f t="shared" si="168"/>
        <v>15140</v>
      </c>
      <c r="B4600" s="1" t="str">
        <f>"38392"</f>
        <v>38392</v>
      </c>
      <c r="C4600" s="2">
        <v>2.2735023303398799E-4</v>
      </c>
      <c r="D4600" s="2">
        <v>0</v>
      </c>
      <c r="E4600" s="2">
        <v>0</v>
      </c>
      <c r="F4600" s="2">
        <v>2.09226906580186E-4</v>
      </c>
    </row>
    <row r="4601" spans="1:6" x14ac:dyDescent="0.25">
      <c r="A4601" s="1" t="str">
        <f t="shared" si="168"/>
        <v>15140</v>
      </c>
      <c r="B4601" s="1" t="str">
        <f>"38063"</f>
        <v>38063</v>
      </c>
      <c r="C4601" s="2">
        <v>1.9779470273957E-2</v>
      </c>
      <c r="D4601" s="2">
        <v>8.4269662921348295E-3</v>
      </c>
      <c r="E4601" s="2">
        <v>0</v>
      </c>
      <c r="F4601" s="2">
        <v>1.8830421592216699E-2</v>
      </c>
    </row>
    <row r="4602" spans="1:6" x14ac:dyDescent="0.25">
      <c r="A4602" s="1" t="str">
        <f t="shared" si="168"/>
        <v>15140</v>
      </c>
      <c r="B4602" s="1" t="str">
        <f>"38068"</f>
        <v>38068</v>
      </c>
      <c r="C4602" s="2">
        <v>1.2504262816869301E-3</v>
      </c>
      <c r="D4602" s="2">
        <v>1.4044943820224699E-3</v>
      </c>
      <c r="E4602" s="2">
        <v>0</v>
      </c>
      <c r="F4602" s="2">
        <v>1.2553614394811099E-3</v>
      </c>
    </row>
    <row r="4603" spans="1:6" x14ac:dyDescent="0.25">
      <c r="A4603" s="1" t="str">
        <f t="shared" si="168"/>
        <v>15140</v>
      </c>
      <c r="B4603" s="1" t="str">
        <f>"38069"</f>
        <v>38069</v>
      </c>
      <c r="C4603" s="2">
        <v>0.104126406729566</v>
      </c>
      <c r="D4603" s="2">
        <v>4.49438202247191E-2</v>
      </c>
      <c r="E4603" s="2">
        <v>0.06</v>
      </c>
      <c r="F4603" s="2">
        <v>9.9487394078878494E-2</v>
      </c>
    </row>
    <row r="4604" spans="1:6" x14ac:dyDescent="0.25">
      <c r="A4604" s="1" t="str">
        <f t="shared" ref="A4604:A4626" si="169">"15180"</f>
        <v>15180</v>
      </c>
      <c r="B4604" s="1" t="str">
        <f>"78526"</f>
        <v>78526</v>
      </c>
      <c r="C4604" s="2">
        <v>0.104513821656776</v>
      </c>
      <c r="D4604" s="2">
        <v>7.7503142019270999E-2</v>
      </c>
      <c r="E4604" s="2">
        <v>0.109855389476242</v>
      </c>
      <c r="F4604" s="2">
        <v>0.102482396824446</v>
      </c>
    </row>
    <row r="4605" spans="1:6" x14ac:dyDescent="0.25">
      <c r="A4605" s="1" t="str">
        <f t="shared" si="169"/>
        <v>15180</v>
      </c>
      <c r="B4605" s="1" t="str">
        <f>"78523"</f>
        <v>78523</v>
      </c>
      <c r="C4605" s="2">
        <v>9.9149173661970194E-3</v>
      </c>
      <c r="D4605" s="2">
        <v>2.2383146807109899E-2</v>
      </c>
      <c r="E4605" s="2">
        <v>1.21521448535666E-4</v>
      </c>
      <c r="F4605" s="2">
        <v>1.0551931861249E-2</v>
      </c>
    </row>
    <row r="4606" spans="1:6" x14ac:dyDescent="0.25">
      <c r="A4606" s="1" t="str">
        <f t="shared" si="169"/>
        <v>15180</v>
      </c>
      <c r="B4606" s="1" t="str">
        <f>"78569"</f>
        <v>78569</v>
      </c>
      <c r="C4606" s="2">
        <v>5.6949554084991503E-6</v>
      </c>
      <c r="D4606" s="2">
        <v>0</v>
      </c>
      <c r="E4606" s="2">
        <v>0</v>
      </c>
      <c r="F4606" s="2">
        <v>4.9867352841441698E-6</v>
      </c>
    </row>
    <row r="4607" spans="1:6" x14ac:dyDescent="0.25">
      <c r="A4607" s="1" t="str">
        <f t="shared" si="169"/>
        <v>15180</v>
      </c>
      <c r="B4607" s="1" t="str">
        <f>"78559"</f>
        <v>78559</v>
      </c>
      <c r="C4607" s="2">
        <v>3.24954155608961E-2</v>
      </c>
      <c r="D4607" s="2">
        <v>1.7176372015081601E-2</v>
      </c>
      <c r="E4607" s="2">
        <v>1.4461052375744301E-2</v>
      </c>
      <c r="F4607" s="2">
        <v>3.0478926056689198E-2</v>
      </c>
    </row>
    <row r="4608" spans="1:6" x14ac:dyDescent="0.25">
      <c r="A4608" s="1" t="str">
        <f t="shared" si="169"/>
        <v>15180</v>
      </c>
      <c r="B4608" s="1" t="str">
        <f>"78535"</f>
        <v>78535</v>
      </c>
      <c r="C4608" s="2">
        <v>9.9547820540565098E-3</v>
      </c>
      <c r="D4608" s="2">
        <v>4.7279909031061104E-3</v>
      </c>
      <c r="E4608" s="2">
        <v>1.21521448535666E-4</v>
      </c>
      <c r="F4608" s="2">
        <v>9.11575209941555E-3</v>
      </c>
    </row>
    <row r="4609" spans="1:6" x14ac:dyDescent="0.25">
      <c r="A4609" s="1" t="str">
        <f t="shared" si="169"/>
        <v>15180</v>
      </c>
      <c r="B4609" s="1" t="str">
        <f>"78570"</f>
        <v>78570</v>
      </c>
      <c r="C4609" s="2">
        <v>1.1389910816998301E-5</v>
      </c>
      <c r="D4609" s="2">
        <v>0</v>
      </c>
      <c r="E4609" s="2">
        <v>0</v>
      </c>
      <c r="F4609" s="2">
        <v>9.9734705682883498E-6</v>
      </c>
    </row>
    <row r="4610" spans="1:6" x14ac:dyDescent="0.25">
      <c r="A4610" s="1" t="str">
        <f t="shared" si="169"/>
        <v>15180</v>
      </c>
      <c r="B4610" s="1" t="str">
        <f>"78575"</f>
        <v>78575</v>
      </c>
      <c r="C4610" s="2">
        <v>1.93628483888971E-2</v>
      </c>
      <c r="D4610" s="2">
        <v>1.0772637500748E-2</v>
      </c>
      <c r="E4610" s="2">
        <v>1.3731923684530301E-2</v>
      </c>
      <c r="F4610" s="2">
        <v>1.84160134043444E-2</v>
      </c>
    </row>
    <row r="4611" spans="1:6" x14ac:dyDescent="0.25">
      <c r="A4611" s="1" t="str">
        <f t="shared" si="169"/>
        <v>15180</v>
      </c>
      <c r="B4611" s="1" t="str">
        <f>"78553"</f>
        <v>78553</v>
      </c>
      <c r="C4611" s="2">
        <v>1.5900315500529599E-2</v>
      </c>
      <c r="D4611" s="2">
        <v>1.9989227362499199E-2</v>
      </c>
      <c r="E4611" s="2">
        <v>1.21521448535666E-4</v>
      </c>
      <c r="F4611" s="2">
        <v>1.5593521233518801E-2</v>
      </c>
    </row>
    <row r="4612" spans="1:6" x14ac:dyDescent="0.25">
      <c r="A4612" s="1" t="str">
        <f t="shared" si="169"/>
        <v>15180</v>
      </c>
      <c r="B4612" s="1" t="str">
        <f>"78586"</f>
        <v>78586</v>
      </c>
      <c r="C4612" s="2">
        <v>0.113705479686094</v>
      </c>
      <c r="D4612" s="2">
        <v>6.8885032018672507E-2</v>
      </c>
      <c r="E4612" s="2">
        <v>4.6907279134767201E-2</v>
      </c>
      <c r="F4612" s="2">
        <v>0.107229768814952</v>
      </c>
    </row>
    <row r="4613" spans="1:6" x14ac:dyDescent="0.25">
      <c r="A4613" s="1" t="str">
        <f t="shared" si="169"/>
        <v>15180</v>
      </c>
      <c r="B4613" s="1" t="str">
        <f>"78567"</f>
        <v>78567</v>
      </c>
      <c r="C4613" s="2">
        <v>0</v>
      </c>
      <c r="D4613" s="2">
        <v>2.3939194446106799E-4</v>
      </c>
      <c r="E4613" s="2">
        <v>0</v>
      </c>
      <c r="F4613" s="2">
        <v>1.99469411365767E-5</v>
      </c>
    </row>
    <row r="4614" spans="1:6" x14ac:dyDescent="0.25">
      <c r="A4614" s="1" t="str">
        <f t="shared" si="169"/>
        <v>15180</v>
      </c>
      <c r="B4614" s="1" t="str">
        <f>"78593"</f>
        <v>78593</v>
      </c>
      <c r="C4614" s="2">
        <v>5.6152260327801597E-3</v>
      </c>
      <c r="D4614" s="2">
        <v>1.7954395834580099E-4</v>
      </c>
      <c r="E4614" s="2">
        <v>2.18738607364199E-3</v>
      </c>
      <c r="F4614" s="2">
        <v>5.0216424311331801E-3</v>
      </c>
    </row>
    <row r="4615" spans="1:6" x14ac:dyDescent="0.25">
      <c r="A4615" s="1" t="str">
        <f t="shared" si="169"/>
        <v>15180</v>
      </c>
      <c r="B4615" s="1" t="str">
        <f>"78578"</f>
        <v>78578</v>
      </c>
      <c r="C4615" s="2">
        <v>3.8247320523480302E-2</v>
      </c>
      <c r="D4615" s="2">
        <v>2.8906577293674001E-2</v>
      </c>
      <c r="E4615" s="2">
        <v>2.6734718677846599E-2</v>
      </c>
      <c r="F4615" s="2">
        <v>3.6996589073065599E-2</v>
      </c>
    </row>
    <row r="4616" spans="1:6" x14ac:dyDescent="0.25">
      <c r="A4616" s="1" t="str">
        <f t="shared" si="169"/>
        <v>15180</v>
      </c>
      <c r="B4616" s="1" t="str">
        <f>"78566"</f>
        <v>78566</v>
      </c>
      <c r="C4616" s="2">
        <v>5.4261535132179899E-2</v>
      </c>
      <c r="D4616" s="2">
        <v>3.0582320904901501E-2</v>
      </c>
      <c r="E4616" s="2">
        <v>3.9859035119698599E-2</v>
      </c>
      <c r="F4616" s="2">
        <v>5.1697484690722599E-2</v>
      </c>
    </row>
    <row r="4617" spans="1:6" x14ac:dyDescent="0.25">
      <c r="A4617" s="1" t="str">
        <f t="shared" si="169"/>
        <v>15180</v>
      </c>
      <c r="B4617" s="1" t="str">
        <f>"78521"</f>
        <v>78521</v>
      </c>
      <c r="C4617" s="2">
        <v>0.18166907753112199</v>
      </c>
      <c r="D4617" s="2">
        <v>0.206834640014363</v>
      </c>
      <c r="E4617" s="2">
        <v>0.26831935836675103</v>
      </c>
      <c r="F4617" s="2">
        <v>0.187321724213591</v>
      </c>
    </row>
    <row r="4618" spans="1:6" x14ac:dyDescent="0.25">
      <c r="A4618" s="1" t="str">
        <f t="shared" si="169"/>
        <v>15180</v>
      </c>
      <c r="B4618" s="1" t="str">
        <f>"78552"</f>
        <v>78552</v>
      </c>
      <c r="C4618" s="2">
        <v>9.7531806325956399E-2</v>
      </c>
      <c r="D4618" s="2">
        <v>4.6442037225447298E-2</v>
      </c>
      <c r="E4618" s="2">
        <v>3.7914691943127903E-2</v>
      </c>
      <c r="F4618" s="2">
        <v>9.0828396465402E-2</v>
      </c>
    </row>
    <row r="4619" spans="1:6" x14ac:dyDescent="0.25">
      <c r="A4619" s="1" t="str">
        <f t="shared" si="169"/>
        <v>15180</v>
      </c>
      <c r="B4619" s="1" t="str">
        <f>"78522"</f>
        <v>78522</v>
      </c>
      <c r="C4619" s="2">
        <v>8.1210064125197805E-3</v>
      </c>
      <c r="D4619" s="2">
        <v>6.9423663893709896E-3</v>
      </c>
      <c r="E4619" s="2">
        <v>2.43042897071333E-4</v>
      </c>
      <c r="F4619" s="2">
        <v>7.6995192787185996E-3</v>
      </c>
    </row>
    <row r="4620" spans="1:6" x14ac:dyDescent="0.25">
      <c r="A4620" s="1" t="str">
        <f t="shared" si="169"/>
        <v>15180</v>
      </c>
      <c r="B4620" s="1" t="str">
        <f>"78568"</f>
        <v>78568</v>
      </c>
      <c r="C4620" s="2">
        <v>0</v>
      </c>
      <c r="D4620" s="2">
        <v>1.1969597223053399E-4</v>
      </c>
      <c r="E4620" s="2">
        <v>0</v>
      </c>
      <c r="F4620" s="2">
        <v>9.9734705682883498E-6</v>
      </c>
    </row>
    <row r="4621" spans="1:6" x14ac:dyDescent="0.25">
      <c r="A4621" s="1" t="str">
        <f t="shared" si="169"/>
        <v>15180</v>
      </c>
      <c r="B4621" s="1" t="str">
        <f>"78520"</f>
        <v>78520</v>
      </c>
      <c r="C4621" s="2">
        <v>0.137464833650352</v>
      </c>
      <c r="D4621" s="2">
        <v>0.17667125501226799</v>
      </c>
      <c r="E4621" s="2">
        <v>0.174990885891359</v>
      </c>
      <c r="F4621" s="2">
        <v>0.14227155765663299</v>
      </c>
    </row>
    <row r="4622" spans="1:6" x14ac:dyDescent="0.25">
      <c r="A4622" s="1" t="str">
        <f t="shared" si="169"/>
        <v>15180</v>
      </c>
      <c r="B4622" s="1" t="str">
        <f>"78583"</f>
        <v>78583</v>
      </c>
      <c r="C4622" s="2">
        <v>1.21587297971456E-2</v>
      </c>
      <c r="D4622" s="2">
        <v>4.2492070141839696E-3</v>
      </c>
      <c r="E4622" s="2">
        <v>5.4684651841049904E-3</v>
      </c>
      <c r="F4622" s="2">
        <v>1.12251411246085E-2</v>
      </c>
    </row>
    <row r="4623" spans="1:6" x14ac:dyDescent="0.25">
      <c r="A4623" s="1" t="str">
        <f t="shared" si="169"/>
        <v>15180</v>
      </c>
      <c r="B4623" s="1" t="str">
        <f>"78550"</f>
        <v>78550</v>
      </c>
      <c r="C4623" s="2">
        <v>0.128899620715969</v>
      </c>
      <c r="D4623" s="2">
        <v>0.19672033036088299</v>
      </c>
      <c r="E4623" s="2">
        <v>0.219224693158342</v>
      </c>
      <c r="F4623" s="2">
        <v>0.138257235752897</v>
      </c>
    </row>
    <row r="4624" spans="1:6" x14ac:dyDescent="0.25">
      <c r="A4624" s="1" t="str">
        <f t="shared" si="169"/>
        <v>15180</v>
      </c>
      <c r="B4624" s="1" t="str">
        <f>"78597"</f>
        <v>78597</v>
      </c>
      <c r="C4624" s="2">
        <v>1.9795664999943001E-2</v>
      </c>
      <c r="D4624" s="2">
        <v>5.7214674726195403E-2</v>
      </c>
      <c r="E4624" s="2">
        <v>3.94944707740916E-2</v>
      </c>
      <c r="F4624" s="2">
        <v>2.37218997466738E-2</v>
      </c>
    </row>
    <row r="4625" spans="1:6" x14ac:dyDescent="0.25">
      <c r="A4625" s="1" t="str">
        <f t="shared" si="169"/>
        <v>15180</v>
      </c>
      <c r="B4625" s="1" t="str">
        <f>"78551"</f>
        <v>78551</v>
      </c>
      <c r="C4625" s="2">
        <v>1.03705137988769E-2</v>
      </c>
      <c r="D4625" s="2">
        <v>2.34005625710694E-2</v>
      </c>
      <c r="E4625" s="2">
        <v>2.43042897071333E-4</v>
      </c>
      <c r="F4625" s="2">
        <v>1.10406319190952E-2</v>
      </c>
    </row>
    <row r="4626" spans="1:6" x14ac:dyDescent="0.25">
      <c r="A4626" s="1" t="str">
        <f t="shared" si="169"/>
        <v>15180</v>
      </c>
      <c r="B4626" s="1" t="str">
        <f>"78592"</f>
        <v>78592</v>
      </c>
      <c r="C4626" s="2">
        <v>0</v>
      </c>
      <c r="D4626" s="2">
        <v>5.98479861152672E-5</v>
      </c>
      <c r="E4626" s="2">
        <v>0</v>
      </c>
      <c r="F4626" s="2">
        <v>4.9867352841441698E-6</v>
      </c>
    </row>
    <row r="4627" spans="1:6" x14ac:dyDescent="0.25">
      <c r="A4627" s="1" t="str">
        <f t="shared" ref="A4627:A4640" si="170">"15220"</f>
        <v>15220</v>
      </c>
      <c r="B4627" s="1" t="str">
        <f>"76823"</f>
        <v>76823</v>
      </c>
      <c r="C4627" s="2">
        <v>4.7915624857935102E-2</v>
      </c>
      <c r="D4627" s="2">
        <v>2.6948989412897001E-2</v>
      </c>
      <c r="E4627" s="2">
        <v>7.9343365253077905E-2</v>
      </c>
      <c r="F4627" s="2">
        <v>4.7085382568733299E-2</v>
      </c>
    </row>
    <row r="4628" spans="1:6" x14ac:dyDescent="0.25">
      <c r="A4628" s="1" t="str">
        <f t="shared" si="170"/>
        <v>15220</v>
      </c>
      <c r="B4628" s="1" t="str">
        <f>"76878"</f>
        <v>76878</v>
      </c>
      <c r="C4628" s="2">
        <v>9.0921489293994596E-5</v>
      </c>
      <c r="D4628" s="2">
        <v>0</v>
      </c>
      <c r="E4628" s="2">
        <v>0</v>
      </c>
      <c r="F4628" s="2">
        <v>8.0625655083447497E-5</v>
      </c>
    </row>
    <row r="4629" spans="1:6" x14ac:dyDescent="0.25">
      <c r="A4629" s="1" t="str">
        <f t="shared" si="170"/>
        <v>15220</v>
      </c>
      <c r="B4629" s="1" t="str">
        <f>"76474"</f>
        <v>76474</v>
      </c>
      <c r="C4629" s="2">
        <v>1.3638223394099101E-4</v>
      </c>
      <c r="D4629" s="2">
        <v>0</v>
      </c>
      <c r="E4629" s="2">
        <v>0</v>
      </c>
      <c r="F4629" s="2">
        <v>1.20938482625171E-4</v>
      </c>
    </row>
    <row r="4630" spans="1:6" x14ac:dyDescent="0.25">
      <c r="A4630" s="1" t="str">
        <f t="shared" si="170"/>
        <v>15220</v>
      </c>
      <c r="B4630" s="1" t="str">
        <f>"76801"</f>
        <v>76801</v>
      </c>
      <c r="C4630" s="2">
        <v>0.60217302359412594</v>
      </c>
      <c r="D4630" s="2">
        <v>0.61838306063522597</v>
      </c>
      <c r="E4630" s="2">
        <v>0.57592339261285896</v>
      </c>
      <c r="F4630" s="2">
        <v>0.60275739740385303</v>
      </c>
    </row>
    <row r="4631" spans="1:6" x14ac:dyDescent="0.25">
      <c r="A4631" s="1" t="str">
        <f t="shared" si="170"/>
        <v>15220</v>
      </c>
      <c r="B4631" s="1" t="str">
        <f>"76471"</f>
        <v>76471</v>
      </c>
      <c r="C4631" s="2">
        <v>5.5462108469336701E-3</v>
      </c>
      <c r="D4631" s="2">
        <v>9.6246390760346395E-4</v>
      </c>
      <c r="E4631" s="2">
        <v>2.7359781121751E-3</v>
      </c>
      <c r="F4631" s="2">
        <v>5.0794162702571897E-3</v>
      </c>
    </row>
    <row r="4632" spans="1:6" x14ac:dyDescent="0.25">
      <c r="A4632" s="1" t="str">
        <f t="shared" si="170"/>
        <v>15220</v>
      </c>
      <c r="B4632" s="1" t="str">
        <f>"76442"</f>
        <v>76442</v>
      </c>
      <c r="C4632" s="2">
        <v>4.5460744646997298E-5</v>
      </c>
      <c r="D4632" s="2">
        <v>0</v>
      </c>
      <c r="E4632" s="2">
        <v>0</v>
      </c>
      <c r="F4632" s="2">
        <v>4.0312827541723701E-5</v>
      </c>
    </row>
    <row r="4633" spans="1:6" x14ac:dyDescent="0.25">
      <c r="A4633" s="1" t="str">
        <f t="shared" si="170"/>
        <v>15220</v>
      </c>
      <c r="B4633" s="1" t="str">
        <f>"76857"</f>
        <v>76857</v>
      </c>
      <c r="C4633" s="2">
        <v>8.6830022275764807E-2</v>
      </c>
      <c r="D4633" s="2">
        <v>1.7805582290664101E-2</v>
      </c>
      <c r="E4633" s="2">
        <v>9.5759233926128503E-3</v>
      </c>
      <c r="F4633" s="2">
        <v>7.8771265016528202E-2</v>
      </c>
    </row>
    <row r="4634" spans="1:6" x14ac:dyDescent="0.25">
      <c r="A4634" s="1" t="str">
        <f t="shared" si="170"/>
        <v>15220</v>
      </c>
      <c r="B4634" s="1" t="str">
        <f>"76890"</f>
        <v>76890</v>
      </c>
      <c r="C4634" s="2">
        <v>2.07755603036777E-2</v>
      </c>
      <c r="D4634" s="2">
        <v>6.7372473532242502E-3</v>
      </c>
      <c r="E4634" s="2">
        <v>1.3679890560875501E-2</v>
      </c>
      <c r="F4634" s="2">
        <v>1.9390470047569101E-2</v>
      </c>
    </row>
    <row r="4635" spans="1:6" x14ac:dyDescent="0.25">
      <c r="A4635" s="1" t="str">
        <f t="shared" si="170"/>
        <v>15220</v>
      </c>
      <c r="B4635" s="1" t="str">
        <f>"76804"</f>
        <v>76804</v>
      </c>
      <c r="C4635" s="2">
        <v>5.3507296449515802E-2</v>
      </c>
      <c r="D4635" s="2">
        <v>0.15591915303176099</v>
      </c>
      <c r="E4635" s="2">
        <v>2.7359781121751E-3</v>
      </c>
      <c r="F4635" s="2">
        <v>6.0590179795210801E-2</v>
      </c>
    </row>
    <row r="4636" spans="1:6" x14ac:dyDescent="0.25">
      <c r="A4636" s="1" t="str">
        <f t="shared" si="170"/>
        <v>15220</v>
      </c>
      <c r="B4636" s="1" t="str">
        <f>"76802"</f>
        <v>76802</v>
      </c>
      <c r="C4636" s="2">
        <v>0.127608310224121</v>
      </c>
      <c r="D4636" s="2">
        <v>0.1390760346487</v>
      </c>
      <c r="E4636" s="2">
        <v>0.300957592339261</v>
      </c>
      <c r="F4636" s="2">
        <v>0.133677336128356</v>
      </c>
    </row>
    <row r="4637" spans="1:6" x14ac:dyDescent="0.25">
      <c r="A4637" s="1" t="str">
        <f t="shared" si="170"/>
        <v>15220</v>
      </c>
      <c r="B4637" s="1" t="str">
        <f>"76443"</f>
        <v>76443</v>
      </c>
      <c r="C4637" s="2">
        <v>3.1367913806428101E-3</v>
      </c>
      <c r="D4637" s="2">
        <v>0</v>
      </c>
      <c r="E4637" s="2">
        <v>0</v>
      </c>
      <c r="F4637" s="2">
        <v>2.78158510037894E-3</v>
      </c>
    </row>
    <row r="4638" spans="1:6" x14ac:dyDescent="0.25">
      <c r="A4638" s="1" t="str">
        <f t="shared" si="170"/>
        <v>15220</v>
      </c>
      <c r="B4638" s="1" t="str">
        <f>"76827"</f>
        <v>76827</v>
      </c>
      <c r="C4638" s="2">
        <v>9.4103741419284404E-3</v>
      </c>
      <c r="D4638" s="2">
        <v>4.8123195380173197E-4</v>
      </c>
      <c r="E4638" s="2">
        <v>2.7359781121751E-3</v>
      </c>
      <c r="F4638" s="2">
        <v>8.4656937837619892E-3</v>
      </c>
    </row>
    <row r="4639" spans="1:6" x14ac:dyDescent="0.25">
      <c r="A4639" s="1" t="str">
        <f t="shared" si="170"/>
        <v>15220</v>
      </c>
      <c r="B4639" s="1" t="str">
        <f>"76432"</f>
        <v>76432</v>
      </c>
      <c r="C4639" s="2">
        <v>2.4730645087966501E-2</v>
      </c>
      <c r="D4639" s="2">
        <v>3.8498556304138501E-3</v>
      </c>
      <c r="E4639" s="2">
        <v>9.5759233926128503E-3</v>
      </c>
      <c r="F4639" s="2">
        <v>2.25348705958235E-2</v>
      </c>
    </row>
    <row r="4640" spans="1:6" x14ac:dyDescent="0.25">
      <c r="A4640" s="1" t="str">
        <f t="shared" si="170"/>
        <v>15220</v>
      </c>
      <c r="B4640" s="1" t="str">
        <f>"76803"</f>
        <v>76803</v>
      </c>
      <c r="C4640" s="2">
        <v>1.80933763695049E-2</v>
      </c>
      <c r="D4640" s="2">
        <v>2.9836381135707399E-2</v>
      </c>
      <c r="E4640" s="2">
        <v>2.7359781121751E-3</v>
      </c>
      <c r="F4640" s="2">
        <v>1.8624526324276299E-2</v>
      </c>
    </row>
    <row r="4641" spans="1:6" x14ac:dyDescent="0.25">
      <c r="A4641" s="1" t="str">
        <f t="shared" ref="A4641:A4662" si="171">"15260"</f>
        <v>15260</v>
      </c>
      <c r="B4641" s="1" t="str">
        <f>"31537"</f>
        <v>31537</v>
      </c>
      <c r="C4641" s="2">
        <v>1.21634154870687E-4</v>
      </c>
      <c r="D4641" s="2">
        <v>0</v>
      </c>
      <c r="E4641" s="2">
        <v>0</v>
      </c>
      <c r="F4641" s="2">
        <v>1.07899599422737E-4</v>
      </c>
    </row>
    <row r="4642" spans="1:6" x14ac:dyDescent="0.25">
      <c r="A4642" s="1" t="str">
        <f t="shared" si="171"/>
        <v>15260</v>
      </c>
      <c r="B4642" s="1" t="str">
        <f>"31503"</f>
        <v>31503</v>
      </c>
      <c r="C4642" s="2">
        <v>1.8245123230603101E-2</v>
      </c>
      <c r="D4642" s="2">
        <v>3.0064423765211101E-3</v>
      </c>
      <c r="E4642" s="2">
        <v>0</v>
      </c>
      <c r="F4642" s="2">
        <v>1.6468176361895199E-2</v>
      </c>
    </row>
    <row r="4643" spans="1:6" x14ac:dyDescent="0.25">
      <c r="A4643" s="1" t="str">
        <f t="shared" si="171"/>
        <v>15260</v>
      </c>
      <c r="B4643" s="1" t="str">
        <f>"31566"</f>
        <v>31566</v>
      </c>
      <c r="C4643" s="2">
        <v>2.4570099283878901E-2</v>
      </c>
      <c r="D4643" s="2">
        <v>7.5876879026485298E-3</v>
      </c>
      <c r="E4643" s="2">
        <v>4.3258832011535599E-3</v>
      </c>
      <c r="F4643" s="2">
        <v>2.2591478629135499E-2</v>
      </c>
    </row>
    <row r="4644" spans="1:6" x14ac:dyDescent="0.25">
      <c r="A4644" s="1" t="str">
        <f t="shared" si="171"/>
        <v>15260</v>
      </c>
      <c r="B4644" s="1" t="str">
        <f>"31305"</f>
        <v>31305</v>
      </c>
      <c r="C4644" s="2">
        <v>3.0074044791777499E-2</v>
      </c>
      <c r="D4644" s="2">
        <v>3.0064423765211099E-2</v>
      </c>
      <c r="E4644" s="2">
        <v>2.1629416005767801E-2</v>
      </c>
      <c r="F4644" s="2">
        <v>2.99151639399538E-2</v>
      </c>
    </row>
    <row r="4645" spans="1:6" x14ac:dyDescent="0.25">
      <c r="A4645" s="1" t="str">
        <f t="shared" si="171"/>
        <v>15260</v>
      </c>
      <c r="B4645" s="1" t="str">
        <f>"31553"</f>
        <v>31553</v>
      </c>
      <c r="C4645" s="2">
        <v>3.4011950555716E-2</v>
      </c>
      <c r="D4645" s="2">
        <v>2.0472440944881799E-2</v>
      </c>
      <c r="E4645" s="2">
        <v>4.3258832011535603E-2</v>
      </c>
      <c r="F4645" s="2">
        <v>3.2909377823934799E-2</v>
      </c>
    </row>
    <row r="4646" spans="1:6" x14ac:dyDescent="0.25">
      <c r="A4646" s="1" t="str">
        <f t="shared" si="171"/>
        <v>15260</v>
      </c>
      <c r="B4646" s="1" t="str">
        <f>"31542"</f>
        <v>31542</v>
      </c>
      <c r="C4646" s="2">
        <v>1.8640434233932801E-2</v>
      </c>
      <c r="D4646" s="2">
        <v>8.0171796707229695E-3</v>
      </c>
      <c r="E4646" s="2">
        <v>1.44196106705118E-3</v>
      </c>
      <c r="F4646" s="2">
        <v>1.7317885707349299E-2</v>
      </c>
    </row>
    <row r="4647" spans="1:6" x14ac:dyDescent="0.25">
      <c r="A4647" s="1" t="str">
        <f t="shared" si="171"/>
        <v>15260</v>
      </c>
      <c r="B4647" s="1" t="str">
        <f>"31524"</f>
        <v>31524</v>
      </c>
      <c r="C4647" s="2">
        <v>0</v>
      </c>
      <c r="D4647" s="2">
        <v>2.8632784538296303E-4</v>
      </c>
      <c r="E4647" s="2">
        <v>0</v>
      </c>
      <c r="F4647" s="2">
        <v>2.6974899855684198E-5</v>
      </c>
    </row>
    <row r="4648" spans="1:6" x14ac:dyDescent="0.25">
      <c r="A4648" s="1" t="str">
        <f t="shared" si="171"/>
        <v>15260</v>
      </c>
      <c r="B4648" s="1" t="str">
        <f>"31304"</f>
        <v>31304</v>
      </c>
      <c r="C4648" s="2">
        <v>0</v>
      </c>
      <c r="D4648" s="2">
        <v>2.8632784538296303E-4</v>
      </c>
      <c r="E4648" s="2">
        <v>0</v>
      </c>
      <c r="F4648" s="2">
        <v>2.6974899855684198E-5</v>
      </c>
    </row>
    <row r="4649" spans="1:6" x14ac:dyDescent="0.25">
      <c r="A4649" s="1" t="str">
        <f t="shared" si="171"/>
        <v>15260</v>
      </c>
      <c r="B4649" s="1" t="str">
        <f>"31525"</f>
        <v>31525</v>
      </c>
      <c r="C4649" s="2">
        <v>0.22941722035547499</v>
      </c>
      <c r="D4649" s="2">
        <v>0.149749463135289</v>
      </c>
      <c r="E4649" s="2">
        <v>0.119682768565248</v>
      </c>
      <c r="F4649" s="2">
        <v>0.219858921273754</v>
      </c>
    </row>
    <row r="4650" spans="1:6" x14ac:dyDescent="0.25">
      <c r="A4650" s="1" t="str">
        <f t="shared" si="171"/>
        <v>15260</v>
      </c>
      <c r="B4650" s="1" t="str">
        <f>"31557"</f>
        <v>31557</v>
      </c>
      <c r="C4650" s="2">
        <v>1.2011372793480401E-3</v>
      </c>
      <c r="D4650" s="2">
        <v>1.43163922691481E-4</v>
      </c>
      <c r="E4650" s="2">
        <v>0</v>
      </c>
      <c r="F4650" s="2">
        <v>1.07899599422737E-3</v>
      </c>
    </row>
    <row r="4651" spans="1:6" x14ac:dyDescent="0.25">
      <c r="A4651" s="1" t="str">
        <f t="shared" si="171"/>
        <v>15260</v>
      </c>
      <c r="B4651" s="1" t="str">
        <f>"31323"</f>
        <v>31323</v>
      </c>
      <c r="C4651" s="2">
        <v>1.9917592860075098E-3</v>
      </c>
      <c r="D4651" s="2">
        <v>7.1581961345740805E-4</v>
      </c>
      <c r="E4651" s="2">
        <v>0</v>
      </c>
      <c r="F4651" s="2">
        <v>1.83429319018653E-3</v>
      </c>
    </row>
    <row r="4652" spans="1:6" x14ac:dyDescent="0.25">
      <c r="A4652" s="1" t="str">
        <f t="shared" si="171"/>
        <v>15260</v>
      </c>
      <c r="B4652" s="1" t="str">
        <f>"31319"</f>
        <v>31319</v>
      </c>
      <c r="C4652" s="2">
        <v>0</v>
      </c>
      <c r="D4652" s="2">
        <v>2.8632784538296303E-4</v>
      </c>
      <c r="E4652" s="2">
        <v>0</v>
      </c>
      <c r="F4652" s="2">
        <v>2.6974899855684198E-5</v>
      </c>
    </row>
    <row r="4653" spans="1:6" x14ac:dyDescent="0.25">
      <c r="A4653" s="1" t="str">
        <f t="shared" si="171"/>
        <v>15260</v>
      </c>
      <c r="B4653" s="1" t="str">
        <f>"31527"</f>
        <v>31527</v>
      </c>
      <c r="C4653" s="2">
        <v>1.4170379042435099E-2</v>
      </c>
      <c r="D4653" s="2">
        <v>2.0329277022190399E-2</v>
      </c>
      <c r="E4653" s="2">
        <v>0.14059120403749001</v>
      </c>
      <c r="F4653" s="2">
        <v>1.71155739584316E-2</v>
      </c>
    </row>
    <row r="4654" spans="1:6" x14ac:dyDescent="0.25">
      <c r="A4654" s="1" t="str">
        <f t="shared" si="171"/>
        <v>15260</v>
      </c>
      <c r="B4654" s="1" t="str">
        <f>"31521"</f>
        <v>31521</v>
      </c>
      <c r="C4654" s="2">
        <v>2.5619193869638499E-2</v>
      </c>
      <c r="D4654" s="2">
        <v>6.4280601288475306E-2</v>
      </c>
      <c r="E4654" s="2">
        <v>1.44196106705118E-3</v>
      </c>
      <c r="F4654" s="2">
        <v>2.8809193045870801E-2</v>
      </c>
    </row>
    <row r="4655" spans="1:6" x14ac:dyDescent="0.25">
      <c r="A4655" s="1" t="str">
        <f t="shared" si="171"/>
        <v>15260</v>
      </c>
      <c r="B4655" s="1" t="str">
        <f>"31522"</f>
        <v>31522</v>
      </c>
      <c r="C4655" s="2">
        <v>0.21766432014109499</v>
      </c>
      <c r="D4655" s="2">
        <v>0.24767358625626301</v>
      </c>
      <c r="E4655" s="2">
        <v>0.32444124008651698</v>
      </c>
      <c r="F4655" s="2">
        <v>0.22248897400968301</v>
      </c>
    </row>
    <row r="4656" spans="1:6" x14ac:dyDescent="0.25">
      <c r="A4656" s="1" t="str">
        <f t="shared" si="171"/>
        <v>15260</v>
      </c>
      <c r="B4656" s="1" t="str">
        <f>"31327"</f>
        <v>31327</v>
      </c>
      <c r="C4656" s="2">
        <v>4.7133235012391398E-3</v>
      </c>
      <c r="D4656" s="2">
        <v>3.0064423765211101E-3</v>
      </c>
      <c r="E4656" s="2">
        <v>0</v>
      </c>
      <c r="F4656" s="2">
        <v>4.4643459261157403E-3</v>
      </c>
    </row>
    <row r="4657" spans="1:6" x14ac:dyDescent="0.25">
      <c r="A4657" s="1" t="str">
        <f t="shared" si="171"/>
        <v>15260</v>
      </c>
      <c r="B4657" s="1" t="str">
        <f>"31331"</f>
        <v>31331</v>
      </c>
      <c r="C4657" s="2">
        <v>5.6149366742181198E-2</v>
      </c>
      <c r="D4657" s="2">
        <v>2.1904080171796701E-2</v>
      </c>
      <c r="E4657" s="2">
        <v>1.0093727469358301E-2</v>
      </c>
      <c r="F4657" s="2">
        <v>5.20615567214706E-2</v>
      </c>
    </row>
    <row r="4658" spans="1:6" x14ac:dyDescent="0.25">
      <c r="A4658" s="1" t="str">
        <f t="shared" si="171"/>
        <v>15260</v>
      </c>
      <c r="B4658" s="1" t="str">
        <f>"31561"</f>
        <v>31561</v>
      </c>
      <c r="C4658" s="2">
        <v>5.8840522418695104E-3</v>
      </c>
      <c r="D4658" s="2">
        <v>4.2949176807444503E-4</v>
      </c>
      <c r="E4658" s="2">
        <v>0</v>
      </c>
      <c r="F4658" s="2">
        <v>5.2601054718584301E-3</v>
      </c>
    </row>
    <row r="4659" spans="1:6" x14ac:dyDescent="0.25">
      <c r="A4659" s="1" t="str">
        <f t="shared" si="171"/>
        <v>15260</v>
      </c>
      <c r="B4659" s="1" t="str">
        <f>"31565"</f>
        <v>31565</v>
      </c>
      <c r="C4659" s="2">
        <v>7.6021346794179795E-5</v>
      </c>
      <c r="D4659" s="2">
        <v>0</v>
      </c>
      <c r="E4659" s="2">
        <v>0</v>
      </c>
      <c r="F4659" s="2">
        <v>6.7437249639210696E-5</v>
      </c>
    </row>
    <row r="4660" spans="1:6" x14ac:dyDescent="0.25">
      <c r="A4660" s="1" t="str">
        <f t="shared" si="171"/>
        <v>15260</v>
      </c>
      <c r="B4660" s="1" t="str">
        <f>"31520"</f>
        <v>31520</v>
      </c>
      <c r="C4660" s="2">
        <v>0.17591339648173199</v>
      </c>
      <c r="D4660" s="2">
        <v>0.36163206871868198</v>
      </c>
      <c r="E4660" s="2">
        <v>0.30930064888247999</v>
      </c>
      <c r="F4660" s="2">
        <v>0.19590521020190699</v>
      </c>
    </row>
    <row r="4661" spans="1:6" x14ac:dyDescent="0.25">
      <c r="A4661" s="1" t="str">
        <f t="shared" si="171"/>
        <v>15260</v>
      </c>
      <c r="B4661" s="1" t="str">
        <f>"31523"</f>
        <v>31523</v>
      </c>
      <c r="C4661" s="2">
        <v>0.108649708838241</v>
      </c>
      <c r="D4661" s="2">
        <v>5.4545454545454501E-2</v>
      </c>
      <c r="E4661" s="2">
        <v>2.3071377072819001E-2</v>
      </c>
      <c r="F4661" s="2">
        <v>0.10195163400455801</v>
      </c>
    </row>
    <row r="4662" spans="1:6" x14ac:dyDescent="0.25">
      <c r="A4662" s="1" t="str">
        <f t="shared" si="171"/>
        <v>15260</v>
      </c>
      <c r="B4662" s="1" t="str">
        <f>"31543"</f>
        <v>31543</v>
      </c>
      <c r="C4662" s="2">
        <v>3.2886834623162102E-2</v>
      </c>
      <c r="D4662" s="2">
        <v>5.5833929849677796E-3</v>
      </c>
      <c r="E4662" s="2">
        <v>7.2098053352559401E-4</v>
      </c>
      <c r="F4662" s="2">
        <v>2.9712852191036199E-2</v>
      </c>
    </row>
    <row r="4663" spans="1:6" x14ac:dyDescent="0.25">
      <c r="A4663" s="1" t="str">
        <f t="shared" ref="A4663:A4678" si="172">"15340"</f>
        <v>15340</v>
      </c>
      <c r="B4663" s="1" t="str">
        <f>"44833"</f>
        <v>44833</v>
      </c>
      <c r="C4663" s="2">
        <v>0.33020016558710302</v>
      </c>
      <c r="D4663" s="2">
        <v>0.37149187592319</v>
      </c>
      <c r="E4663" s="2">
        <v>0.41766109785202798</v>
      </c>
      <c r="F4663" s="2">
        <v>0.334349502376042</v>
      </c>
    </row>
    <row r="4664" spans="1:6" x14ac:dyDescent="0.25">
      <c r="A4664" s="1" t="str">
        <f t="shared" si="172"/>
        <v>15340</v>
      </c>
      <c r="B4664" s="1" t="str">
        <f>"44820"</f>
        <v>44820</v>
      </c>
      <c r="C4664" s="2">
        <v>0.41148395266156901</v>
      </c>
      <c r="D4664" s="2">
        <v>0.46085672082717799</v>
      </c>
      <c r="E4664" s="2">
        <v>0.42482100238663401</v>
      </c>
      <c r="F4664" s="2">
        <v>0.41473146238680098</v>
      </c>
    </row>
    <row r="4665" spans="1:6" x14ac:dyDescent="0.25">
      <c r="A4665" s="1" t="str">
        <f t="shared" si="172"/>
        <v>15340</v>
      </c>
      <c r="B4665" s="1" t="str">
        <f>"44856"</f>
        <v>44856</v>
      </c>
      <c r="C4665" s="2">
        <v>0</v>
      </c>
      <c r="D4665" s="2">
        <v>0</v>
      </c>
      <c r="E4665" s="2">
        <v>2.38663484486873E-3</v>
      </c>
      <c r="F4665" s="2">
        <v>4.4830987178337599E-5</v>
      </c>
    </row>
    <row r="4666" spans="1:6" x14ac:dyDescent="0.25">
      <c r="A4666" s="1" t="str">
        <f t="shared" si="172"/>
        <v>15340</v>
      </c>
      <c r="B4666" s="1" t="str">
        <f>"44860"</f>
        <v>44860</v>
      </c>
      <c r="C4666" s="2">
        <v>0</v>
      </c>
      <c r="D4666" s="2">
        <v>0</v>
      </c>
      <c r="E4666" s="2">
        <v>2.38663484486873E-3</v>
      </c>
      <c r="F4666" s="2">
        <v>4.4830987178337599E-5</v>
      </c>
    </row>
    <row r="4667" spans="1:6" x14ac:dyDescent="0.25">
      <c r="A4667" s="1" t="str">
        <f t="shared" si="172"/>
        <v>15340</v>
      </c>
      <c r="B4667" s="1" t="str">
        <f>"44849"</f>
        <v>44849</v>
      </c>
      <c r="C4667" s="2">
        <v>7.4514196659036603E-3</v>
      </c>
      <c r="D4667" s="2">
        <v>0</v>
      </c>
      <c r="E4667" s="2">
        <v>0</v>
      </c>
      <c r="F4667" s="2">
        <v>6.8591410382856603E-3</v>
      </c>
    </row>
    <row r="4668" spans="1:6" x14ac:dyDescent="0.25">
      <c r="A4668" s="1" t="str">
        <f t="shared" si="172"/>
        <v>15340</v>
      </c>
      <c r="B4668" s="1" t="str">
        <f>"44827"</f>
        <v>44827</v>
      </c>
      <c r="C4668" s="2">
        <v>0.14966152047922801</v>
      </c>
      <c r="D4668" s="2">
        <v>0.115952732644017</v>
      </c>
      <c r="E4668" s="2">
        <v>0.12887828162291101</v>
      </c>
      <c r="F4668" s="2">
        <v>0.14722496189365999</v>
      </c>
    </row>
    <row r="4669" spans="1:6" x14ac:dyDescent="0.25">
      <c r="A4669" s="1" t="str">
        <f t="shared" si="172"/>
        <v>15340</v>
      </c>
      <c r="B4669" s="1" t="str">
        <f>"44818"</f>
        <v>44818</v>
      </c>
      <c r="C4669" s="2">
        <v>1.5438562314323201E-2</v>
      </c>
      <c r="D4669" s="2">
        <v>3.6927621861152101E-3</v>
      </c>
      <c r="E4669" s="2">
        <v>0</v>
      </c>
      <c r="F4669" s="2">
        <v>1.44355778714247E-2</v>
      </c>
    </row>
    <row r="4670" spans="1:6" x14ac:dyDescent="0.25">
      <c r="A4670" s="1" t="str">
        <f t="shared" si="172"/>
        <v>15340</v>
      </c>
      <c r="B4670" s="1" t="str">
        <f>"44881"</f>
        <v>44881</v>
      </c>
      <c r="C4670" s="2">
        <v>0</v>
      </c>
      <c r="D4670" s="2">
        <v>0</v>
      </c>
      <c r="E4670" s="2">
        <v>2.38663484486873E-3</v>
      </c>
      <c r="F4670" s="2">
        <v>4.4830987178337599E-5</v>
      </c>
    </row>
    <row r="4671" spans="1:6" x14ac:dyDescent="0.25">
      <c r="A4671" s="1" t="str">
        <f t="shared" si="172"/>
        <v>15340</v>
      </c>
      <c r="B4671" s="1" t="str">
        <f>"44882"</f>
        <v>44882</v>
      </c>
      <c r="C4671" s="2">
        <v>1.47567330638484E-2</v>
      </c>
      <c r="D4671" s="2">
        <v>2.21565731166912E-3</v>
      </c>
      <c r="E4671" s="2">
        <v>0</v>
      </c>
      <c r="F4671" s="2">
        <v>1.37182820765713E-2</v>
      </c>
    </row>
    <row r="4672" spans="1:6" x14ac:dyDescent="0.25">
      <c r="A4672" s="1" t="str">
        <f t="shared" si="172"/>
        <v>15340</v>
      </c>
      <c r="B4672" s="1" t="str">
        <f>"44865"</f>
        <v>44865</v>
      </c>
      <c r="C4672" s="2">
        <v>2.2889981980226898E-3</v>
      </c>
      <c r="D4672" s="2">
        <v>1.4771048744460799E-3</v>
      </c>
      <c r="E4672" s="2">
        <v>0</v>
      </c>
      <c r="F4672" s="2">
        <v>2.19671837173854E-3</v>
      </c>
    </row>
    <row r="4673" spans="1:6" x14ac:dyDescent="0.25">
      <c r="A4673" s="1" t="str">
        <f t="shared" si="172"/>
        <v>15340</v>
      </c>
      <c r="B4673" s="1" t="str">
        <f>"44875"</f>
        <v>44875</v>
      </c>
      <c r="C4673" s="2">
        <v>2.77601909121901E-3</v>
      </c>
      <c r="D4673" s="2">
        <v>3.6927621861152101E-3</v>
      </c>
      <c r="E4673" s="2">
        <v>0</v>
      </c>
      <c r="F4673" s="2">
        <v>2.7795212050569298E-3</v>
      </c>
    </row>
    <row r="4674" spans="1:6" x14ac:dyDescent="0.25">
      <c r="A4674" s="1" t="str">
        <f t="shared" si="172"/>
        <v>15340</v>
      </c>
      <c r="B4674" s="1" t="str">
        <f>"44825"</f>
        <v>44825</v>
      </c>
      <c r="C4674" s="2">
        <v>7.7923342911410801E-4</v>
      </c>
      <c r="D4674" s="2">
        <v>0</v>
      </c>
      <c r="E4674" s="2">
        <v>2.38663484486873E-3</v>
      </c>
      <c r="F4674" s="2">
        <v>7.6212678203174005E-4</v>
      </c>
    </row>
    <row r="4675" spans="1:6" x14ac:dyDescent="0.25">
      <c r="A4675" s="1" t="str">
        <f t="shared" si="172"/>
        <v>15340</v>
      </c>
      <c r="B4675" s="1" t="str">
        <f>"43314"</f>
        <v>43314</v>
      </c>
      <c r="C4675" s="2">
        <v>1.6071689475478401E-3</v>
      </c>
      <c r="D4675" s="2">
        <v>1.4771048744460799E-3</v>
      </c>
      <c r="E4675" s="2">
        <v>0</v>
      </c>
      <c r="F4675" s="2">
        <v>1.5690845512418099E-3</v>
      </c>
    </row>
    <row r="4676" spans="1:6" x14ac:dyDescent="0.25">
      <c r="A4676" s="1" t="str">
        <f t="shared" si="172"/>
        <v>15340</v>
      </c>
      <c r="B4676" s="1" t="str">
        <f>"44887"</f>
        <v>44887</v>
      </c>
      <c r="C4676" s="2">
        <v>2.1964642283153899E-2</v>
      </c>
      <c r="D4676" s="2">
        <v>5.1698670605612902E-3</v>
      </c>
      <c r="E4676" s="2">
        <v>7.1599045346062004E-3</v>
      </c>
      <c r="F4676" s="2">
        <v>2.06670850892136E-2</v>
      </c>
    </row>
    <row r="4677" spans="1:6" x14ac:dyDescent="0.25">
      <c r="A4677" s="1" t="str">
        <f t="shared" si="172"/>
        <v>15340</v>
      </c>
      <c r="B4677" s="1" t="str">
        <f>"43302"</f>
        <v>43302</v>
      </c>
      <c r="C4677" s="2">
        <v>4.57799639604539E-3</v>
      </c>
      <c r="D4677" s="2">
        <v>2.21565731166912E-3</v>
      </c>
      <c r="E4677" s="2">
        <v>4.7732696897374704E-3</v>
      </c>
      <c r="F4677" s="2">
        <v>4.4382677306554199E-3</v>
      </c>
    </row>
    <row r="4678" spans="1:6" x14ac:dyDescent="0.25">
      <c r="A4678" s="1" t="str">
        <f t="shared" si="172"/>
        <v>15340</v>
      </c>
      <c r="B4678" s="1" t="str">
        <f>"44854"</f>
        <v>44854</v>
      </c>
      <c r="C4678" s="2">
        <v>3.7013587882920099E-2</v>
      </c>
      <c r="D4678" s="2">
        <v>3.1757754800590801E-2</v>
      </c>
      <c r="E4678" s="2">
        <v>7.1599045346062004E-3</v>
      </c>
      <c r="F4678" s="2">
        <v>3.6133775665740102E-2</v>
      </c>
    </row>
    <row r="4679" spans="1:6" x14ac:dyDescent="0.25">
      <c r="A4679" s="1" t="str">
        <f t="shared" ref="A4679:A4710" si="173">"15380"</f>
        <v>15380</v>
      </c>
      <c r="B4679" s="1" t="str">
        <f>"14169"</f>
        <v>14169</v>
      </c>
      <c r="C4679" s="2">
        <v>8.8308830699093099E-5</v>
      </c>
      <c r="D4679" s="2">
        <v>2.15308429325008E-5</v>
      </c>
      <c r="E4679" s="2">
        <v>1.09281655252804E-4</v>
      </c>
      <c r="F4679" s="2">
        <v>8.4218163914460197E-5</v>
      </c>
    </row>
    <row r="4680" spans="1:6" x14ac:dyDescent="0.25">
      <c r="A4680" s="1" t="str">
        <f t="shared" si="173"/>
        <v>15380</v>
      </c>
      <c r="B4680" s="1" t="str">
        <f>"14109"</f>
        <v>14109</v>
      </c>
      <c r="C4680" s="2">
        <v>3.4587625357144799E-3</v>
      </c>
      <c r="D4680" s="2">
        <v>2.1315534503175701E-3</v>
      </c>
      <c r="E4680" s="2">
        <v>1.8213609208800799E-4</v>
      </c>
      <c r="F4680" s="2">
        <v>3.2132468693517099E-3</v>
      </c>
    </row>
    <row r="4681" spans="1:6" x14ac:dyDescent="0.25">
      <c r="A4681" s="1" t="str">
        <f t="shared" si="173"/>
        <v>15380</v>
      </c>
      <c r="B4681" s="1" t="str">
        <f>"14030"</f>
        <v>14030</v>
      </c>
      <c r="C4681" s="2">
        <v>1.03394922610188E-3</v>
      </c>
      <c r="D4681" s="2">
        <v>1.2057272042200399E-3</v>
      </c>
      <c r="E4681" s="2">
        <v>6.19262713099227E-4</v>
      </c>
      <c r="F4681" s="2">
        <v>1.0284333478015799E-3</v>
      </c>
    </row>
    <row r="4682" spans="1:6" x14ac:dyDescent="0.25">
      <c r="A4682" s="1" t="str">
        <f t="shared" si="173"/>
        <v>15380</v>
      </c>
      <c r="B4682" s="1" t="str">
        <f>"14025"</f>
        <v>14025</v>
      </c>
      <c r="C4682" s="2">
        <v>2.2923500635639599E-3</v>
      </c>
      <c r="D4682" s="2">
        <v>6.6745613090752503E-4</v>
      </c>
      <c r="E4682" s="2">
        <v>1.20209820778085E-3</v>
      </c>
      <c r="F4682" s="2">
        <v>2.12164989861428E-3</v>
      </c>
    </row>
    <row r="4683" spans="1:6" x14ac:dyDescent="0.25">
      <c r="A4683" s="1" t="str">
        <f t="shared" si="173"/>
        <v>15380</v>
      </c>
      <c r="B4683" s="1" t="str">
        <f>"14055"</f>
        <v>14055</v>
      </c>
      <c r="C4683" s="2">
        <v>1.13881596255705E-3</v>
      </c>
      <c r="D4683" s="2">
        <v>2.1530842932500799E-4</v>
      </c>
      <c r="E4683" s="2">
        <v>2.5499052892321103E-4</v>
      </c>
      <c r="F4683" s="2">
        <v>1.03005292787686E-3</v>
      </c>
    </row>
    <row r="4684" spans="1:6" x14ac:dyDescent="0.25">
      <c r="A4684" s="1" t="str">
        <f t="shared" si="173"/>
        <v>15380</v>
      </c>
      <c r="B4684" s="1" t="str">
        <f>"14209"</f>
        <v>14209</v>
      </c>
      <c r="C4684" s="2">
        <v>8.89711469293363E-3</v>
      </c>
      <c r="D4684" s="2">
        <v>1.01625578641403E-2</v>
      </c>
      <c r="E4684" s="2">
        <v>1.59186944484919E-2</v>
      </c>
      <c r="F4684" s="2">
        <v>9.3044875324725801E-3</v>
      </c>
    </row>
    <row r="4685" spans="1:6" x14ac:dyDescent="0.25">
      <c r="A4685" s="1" t="str">
        <f t="shared" si="173"/>
        <v>15380</v>
      </c>
      <c r="B4685" s="1" t="str">
        <f>"14211"</f>
        <v>14211</v>
      </c>
      <c r="C4685" s="2">
        <v>1.88796920965436E-2</v>
      </c>
      <c r="D4685" s="2">
        <v>1.4404133921843001E-2</v>
      </c>
      <c r="E4685" s="2">
        <v>2.0836368934868101E-2</v>
      </c>
      <c r="F4685" s="2">
        <v>1.8630029605923699E-2</v>
      </c>
    </row>
    <row r="4686" spans="1:6" x14ac:dyDescent="0.25">
      <c r="A4686" s="1" t="str">
        <f t="shared" si="173"/>
        <v>15380</v>
      </c>
      <c r="B4686" s="1" t="str">
        <f>"14215"</f>
        <v>14215</v>
      </c>
      <c r="C4686" s="2">
        <v>3.3377058469644699E-2</v>
      </c>
      <c r="D4686" s="2">
        <v>2.1638497147163299E-2</v>
      </c>
      <c r="E4686" s="2">
        <v>2.82675214920588E-2</v>
      </c>
      <c r="F4686" s="2">
        <v>3.22668938397652E-2</v>
      </c>
    </row>
    <row r="4687" spans="1:6" x14ac:dyDescent="0.25">
      <c r="A4687" s="1" t="str">
        <f t="shared" si="173"/>
        <v>15380</v>
      </c>
      <c r="B4687" s="1" t="str">
        <f>"14172"</f>
        <v>14172</v>
      </c>
      <c r="C4687" s="2">
        <v>2.61798887676686E-3</v>
      </c>
      <c r="D4687" s="2">
        <v>1.24878889008504E-3</v>
      </c>
      <c r="E4687" s="2">
        <v>1.45708873670406E-3</v>
      </c>
      <c r="F4687" s="2">
        <v>2.46338129449796E-3</v>
      </c>
    </row>
    <row r="4688" spans="1:6" x14ac:dyDescent="0.25">
      <c r="A4688" s="1" t="str">
        <f t="shared" si="173"/>
        <v>15380</v>
      </c>
      <c r="B4688" s="1" t="str">
        <f>"14144"</f>
        <v>14144</v>
      </c>
      <c r="C4688" s="2">
        <v>0</v>
      </c>
      <c r="D4688" s="2">
        <v>0</v>
      </c>
      <c r="E4688" s="2">
        <v>3.64272184176016E-5</v>
      </c>
      <c r="F4688" s="2">
        <v>1.61958007527808E-6</v>
      </c>
    </row>
    <row r="4689" spans="1:6" x14ac:dyDescent="0.25">
      <c r="A4689" s="1" t="str">
        <f t="shared" si="173"/>
        <v>15380</v>
      </c>
      <c r="B4689" s="1" t="str">
        <f>"14010"</f>
        <v>14010</v>
      </c>
      <c r="C4689" s="2">
        <v>0</v>
      </c>
      <c r="D4689" s="2">
        <v>0</v>
      </c>
      <c r="E4689" s="2">
        <v>3.64272184176016E-5</v>
      </c>
      <c r="F4689" s="2">
        <v>1.61958007527808E-6</v>
      </c>
    </row>
    <row r="4690" spans="1:6" x14ac:dyDescent="0.25">
      <c r="A4690" s="1" t="str">
        <f t="shared" si="173"/>
        <v>15380</v>
      </c>
      <c r="B4690" s="1" t="str">
        <f>"14270"</f>
        <v>14270</v>
      </c>
      <c r="C4690" s="2">
        <v>0</v>
      </c>
      <c r="D4690" s="2">
        <v>2.15308429325008E-5</v>
      </c>
      <c r="E4690" s="2">
        <v>0</v>
      </c>
      <c r="F4690" s="2">
        <v>1.61958007527808E-6</v>
      </c>
    </row>
    <row r="4691" spans="1:6" x14ac:dyDescent="0.25">
      <c r="A4691" s="1" t="str">
        <f t="shared" si="173"/>
        <v>15380</v>
      </c>
      <c r="B4691" s="1" t="str">
        <f>"14027"</f>
        <v>14027</v>
      </c>
      <c r="C4691" s="2">
        <v>0</v>
      </c>
      <c r="D4691" s="2">
        <v>0</v>
      </c>
      <c r="E4691" s="2">
        <v>3.64272184176016E-5</v>
      </c>
      <c r="F4691" s="2">
        <v>1.61958007527808E-6</v>
      </c>
    </row>
    <row r="4692" spans="1:6" x14ac:dyDescent="0.25">
      <c r="A4692" s="1" t="str">
        <f t="shared" si="173"/>
        <v>15380</v>
      </c>
      <c r="B4692" s="1" t="str">
        <f>"14061"</f>
        <v>14061</v>
      </c>
      <c r="C4692" s="2">
        <v>0</v>
      </c>
      <c r="D4692" s="2">
        <v>0</v>
      </c>
      <c r="E4692" s="2">
        <v>3.64272184176016E-5</v>
      </c>
      <c r="F4692" s="2">
        <v>1.61958007527808E-6</v>
      </c>
    </row>
    <row r="4693" spans="1:6" x14ac:dyDescent="0.25">
      <c r="A4693" s="1" t="str">
        <f t="shared" si="173"/>
        <v>15380</v>
      </c>
      <c r="B4693" s="1" t="str">
        <f>"14103"</f>
        <v>14103</v>
      </c>
      <c r="C4693" s="2">
        <v>1.8397673062311001E-5</v>
      </c>
      <c r="D4693" s="2">
        <v>2.15308429325008E-5</v>
      </c>
      <c r="E4693" s="2">
        <v>0</v>
      </c>
      <c r="F4693" s="2">
        <v>1.7815380828058898E-5</v>
      </c>
    </row>
    <row r="4694" spans="1:6" x14ac:dyDescent="0.25">
      <c r="A4694" s="1" t="str">
        <f t="shared" si="173"/>
        <v>15380</v>
      </c>
      <c r="B4694" s="1" t="str">
        <f>"14231"</f>
        <v>14231</v>
      </c>
      <c r="C4694" s="2">
        <v>1.6355531352394499E-3</v>
      </c>
      <c r="D4694" s="2">
        <v>9.1721390892453396E-3</v>
      </c>
      <c r="E4694" s="2">
        <v>7.2854436835203201E-5</v>
      </c>
      <c r="F4694" s="2">
        <v>2.1329869591412299E-3</v>
      </c>
    </row>
    <row r="4695" spans="1:6" x14ac:dyDescent="0.25">
      <c r="A4695" s="1" t="str">
        <f t="shared" si="173"/>
        <v>15380</v>
      </c>
      <c r="B4695" s="1" t="str">
        <f>"14207"</f>
        <v>14207</v>
      </c>
      <c r="C4695" s="2">
        <v>1.97554213343096E-2</v>
      </c>
      <c r="D4695" s="2">
        <v>2.5298740445688399E-2</v>
      </c>
      <c r="E4695" s="2">
        <v>3.1181698965466902E-2</v>
      </c>
      <c r="F4695" s="2">
        <v>2.0680417981225802E-2</v>
      </c>
    </row>
    <row r="4696" spans="1:6" x14ac:dyDescent="0.25">
      <c r="A4696" s="1" t="str">
        <f t="shared" si="173"/>
        <v>15380</v>
      </c>
      <c r="B4696" s="1" t="str">
        <f>"14201"</f>
        <v>14201</v>
      </c>
      <c r="C4696" s="2">
        <v>1.32500041394764E-2</v>
      </c>
      <c r="D4696" s="2">
        <v>1.1863494455807901E-2</v>
      </c>
      <c r="E4696" s="2">
        <v>3.3403759288940599E-2</v>
      </c>
      <c r="F4696" s="2">
        <v>1.40417592526609E-2</v>
      </c>
    </row>
    <row r="4697" spans="1:6" x14ac:dyDescent="0.25">
      <c r="A4697" s="1" t="str">
        <f t="shared" si="173"/>
        <v>15380</v>
      </c>
      <c r="B4697" s="1" t="str">
        <f>"14203"</f>
        <v>14203</v>
      </c>
      <c r="C4697" s="2">
        <v>2.5241607441490801E-3</v>
      </c>
      <c r="D4697" s="2">
        <v>2.3382495424695799E-2</v>
      </c>
      <c r="E4697" s="2">
        <v>7.0304531545971102E-3</v>
      </c>
      <c r="F4697" s="2">
        <v>4.2935067795621899E-3</v>
      </c>
    </row>
    <row r="4698" spans="1:6" x14ac:dyDescent="0.25">
      <c r="A4698" s="1" t="str">
        <f t="shared" si="173"/>
        <v>15380</v>
      </c>
      <c r="B4698" s="1" t="str">
        <f>"14141"</f>
        <v>14141</v>
      </c>
      <c r="C4698" s="2">
        <v>6.1577011739555104E-3</v>
      </c>
      <c r="D4698" s="2">
        <v>6.9329314242652504E-3</v>
      </c>
      <c r="E4698" s="2">
        <v>7.0668803730147096E-3</v>
      </c>
      <c r="F4698" s="2">
        <v>6.2564378307992299E-3</v>
      </c>
    </row>
    <row r="4699" spans="1:6" x14ac:dyDescent="0.25">
      <c r="A4699" s="1" t="str">
        <f t="shared" si="173"/>
        <v>15380</v>
      </c>
      <c r="B4699" s="1" t="str">
        <f>"14134"</f>
        <v>14134</v>
      </c>
      <c r="C4699" s="2">
        <v>7.7270226861706501E-5</v>
      </c>
      <c r="D4699" s="2">
        <v>2.15308429325008E-5</v>
      </c>
      <c r="E4699" s="2">
        <v>2.1856331050560901E-4</v>
      </c>
      <c r="F4699" s="2">
        <v>7.9359423688625996E-5</v>
      </c>
    </row>
    <row r="4700" spans="1:6" x14ac:dyDescent="0.25">
      <c r="A4700" s="1" t="str">
        <f t="shared" si="173"/>
        <v>15380</v>
      </c>
      <c r="B4700" s="1" t="str">
        <f>"14006"</f>
        <v>14006</v>
      </c>
      <c r="C4700" s="2">
        <v>8.9670258505704092E-3</v>
      </c>
      <c r="D4700" s="2">
        <v>4.4353536440951604E-3</v>
      </c>
      <c r="E4700" s="2">
        <v>3.8248579338481699E-3</v>
      </c>
      <c r="F4700" s="2">
        <v>8.3975226903168498E-3</v>
      </c>
    </row>
    <row r="4701" spans="1:6" x14ac:dyDescent="0.25">
      <c r="A4701" s="1" t="str">
        <f t="shared" si="173"/>
        <v>15380</v>
      </c>
      <c r="B4701" s="1" t="str">
        <f>"14218"</f>
        <v>14218</v>
      </c>
      <c r="C4701" s="2">
        <v>1.6390486931212901E-2</v>
      </c>
      <c r="D4701" s="2">
        <v>1.16051243406179E-2</v>
      </c>
      <c r="E4701" s="2">
        <v>2.1091359463791301E-2</v>
      </c>
      <c r="F4701" s="2">
        <v>1.6239529414813301E-2</v>
      </c>
    </row>
    <row r="4702" spans="1:6" x14ac:dyDescent="0.25">
      <c r="A4702" s="1" t="str">
        <f t="shared" si="173"/>
        <v>15380</v>
      </c>
      <c r="B4702" s="1" t="str">
        <f>"14059"</f>
        <v>14059</v>
      </c>
      <c r="C4702" s="2">
        <v>7.9919491782679299E-3</v>
      </c>
      <c r="D4702" s="2">
        <v>9.6242867908278608E-3</v>
      </c>
      <c r="E4702" s="2">
        <v>3.3513040944193502E-3</v>
      </c>
      <c r="F4702" s="2">
        <v>7.9084095075828698E-3</v>
      </c>
    </row>
    <row r="4703" spans="1:6" x14ac:dyDescent="0.25">
      <c r="A4703" s="1" t="str">
        <f t="shared" si="173"/>
        <v>15380</v>
      </c>
      <c r="B4703" s="1" t="str">
        <f>"14107"</f>
        <v>14107</v>
      </c>
      <c r="C4703" s="2">
        <v>0</v>
      </c>
      <c r="D4703" s="2">
        <v>0</v>
      </c>
      <c r="E4703" s="2">
        <v>3.64272184176016E-5</v>
      </c>
      <c r="F4703" s="2">
        <v>1.61958007527808E-6</v>
      </c>
    </row>
    <row r="4704" spans="1:6" x14ac:dyDescent="0.25">
      <c r="A4704" s="1" t="str">
        <f t="shared" si="173"/>
        <v>15380</v>
      </c>
      <c r="B4704" s="1" t="str">
        <f>"14280"</f>
        <v>14280</v>
      </c>
      <c r="C4704" s="2">
        <v>0</v>
      </c>
      <c r="D4704" s="2">
        <v>2.15308429325008E-5</v>
      </c>
      <c r="E4704" s="2">
        <v>3.64272184176016E-5</v>
      </c>
      <c r="F4704" s="2">
        <v>3.23916015055616E-6</v>
      </c>
    </row>
    <row r="4705" spans="1:6" x14ac:dyDescent="0.25">
      <c r="A4705" s="1" t="str">
        <f t="shared" si="173"/>
        <v>15380</v>
      </c>
      <c r="B4705" s="1" t="str">
        <f>"14112"</f>
        <v>14112</v>
      </c>
      <c r="C4705" s="2">
        <v>0</v>
      </c>
      <c r="D4705" s="2">
        <v>0</v>
      </c>
      <c r="E4705" s="2">
        <v>3.64272184176016E-5</v>
      </c>
      <c r="F4705" s="2">
        <v>1.61958007527808E-6</v>
      </c>
    </row>
    <row r="4706" spans="1:6" x14ac:dyDescent="0.25">
      <c r="A4706" s="1" t="str">
        <f t="shared" si="173"/>
        <v>15380</v>
      </c>
      <c r="B4706" s="1" t="str">
        <f>"14225"</f>
        <v>14225</v>
      </c>
      <c r="C4706" s="2">
        <v>3.15814455787631E-2</v>
      </c>
      <c r="D4706" s="2">
        <v>4.2824846592744097E-2</v>
      </c>
      <c r="E4706" s="2">
        <v>2.39691097187818E-2</v>
      </c>
      <c r="F4706" s="2">
        <v>3.2088740031484597E-2</v>
      </c>
    </row>
    <row r="4707" spans="1:6" x14ac:dyDescent="0.25">
      <c r="A4707" s="1" t="str">
        <f t="shared" si="173"/>
        <v>15380</v>
      </c>
      <c r="B4707" s="1" t="str">
        <f>"14219"</f>
        <v>14219</v>
      </c>
      <c r="C4707" s="2">
        <v>1.0637534564628201E-2</v>
      </c>
      <c r="D4707" s="2">
        <v>1.7870599633975599E-2</v>
      </c>
      <c r="E4707" s="2">
        <v>1.08188838700276E-2</v>
      </c>
      <c r="F4707" s="2">
        <v>1.1189678740096199E-2</v>
      </c>
    </row>
    <row r="4708" spans="1:6" x14ac:dyDescent="0.25">
      <c r="A4708" s="1" t="str">
        <f t="shared" si="173"/>
        <v>15380</v>
      </c>
      <c r="B4708" s="1" t="str">
        <f>"14221"</f>
        <v>14221</v>
      </c>
      <c r="C4708" s="2">
        <v>4.5142370392992598E-2</v>
      </c>
      <c r="D4708" s="2">
        <v>6.3300678221552303E-2</v>
      </c>
      <c r="E4708" s="2">
        <v>5.2236631210840698E-2</v>
      </c>
      <c r="F4708" s="2">
        <v>4.68236795563646E-2</v>
      </c>
    </row>
    <row r="4709" spans="1:6" x14ac:dyDescent="0.25">
      <c r="A4709" s="1" t="str">
        <f t="shared" si="173"/>
        <v>15380</v>
      </c>
      <c r="B4709" s="1" t="str">
        <f>"14224"</f>
        <v>14224</v>
      </c>
      <c r="C4709" s="2">
        <v>3.4913264170347701E-2</v>
      </c>
      <c r="D4709" s="2">
        <v>3.2791473786198698E-2</v>
      </c>
      <c r="E4709" s="2">
        <v>2.3823400845111399E-2</v>
      </c>
      <c r="F4709" s="2">
        <v>3.4260596912432502E-2</v>
      </c>
    </row>
    <row r="4710" spans="1:6" x14ac:dyDescent="0.25">
      <c r="A4710" s="1" t="str">
        <f t="shared" si="173"/>
        <v>15380</v>
      </c>
      <c r="B4710" s="1" t="str">
        <f>"14043"</f>
        <v>14043</v>
      </c>
      <c r="C4710" s="2">
        <v>2.1983379542155498E-2</v>
      </c>
      <c r="D4710" s="2">
        <v>2.3597803854020799E-2</v>
      </c>
      <c r="E4710" s="2">
        <v>2.56811889844091E-2</v>
      </c>
      <c r="F4710" s="2">
        <v>2.22692260350736E-2</v>
      </c>
    </row>
    <row r="4711" spans="1:6" x14ac:dyDescent="0.25">
      <c r="A4711" s="1" t="str">
        <f t="shared" ref="A4711:A4742" si="174">"15380"</f>
        <v>15380</v>
      </c>
      <c r="B4711" s="1" t="str">
        <f>"14067"</f>
        <v>14067</v>
      </c>
      <c r="C4711" s="2">
        <v>3.70713112205568E-3</v>
      </c>
      <c r="D4711" s="2">
        <v>1.85165249219506E-3</v>
      </c>
      <c r="E4711" s="2">
        <v>1.4935159551216601E-3</v>
      </c>
      <c r="F4711" s="2">
        <v>3.4691405212456498E-3</v>
      </c>
    </row>
    <row r="4712" spans="1:6" x14ac:dyDescent="0.25">
      <c r="A4712" s="1" t="str">
        <f t="shared" si="174"/>
        <v>15380</v>
      </c>
      <c r="B4712" s="1" t="str">
        <f>"14265"</f>
        <v>14265</v>
      </c>
      <c r="C4712" s="2">
        <v>0</v>
      </c>
      <c r="D4712" s="2">
        <v>2.15308429325008E-5</v>
      </c>
      <c r="E4712" s="2">
        <v>0</v>
      </c>
      <c r="F4712" s="2">
        <v>1.61958007527808E-6</v>
      </c>
    </row>
    <row r="4713" spans="1:6" x14ac:dyDescent="0.25">
      <c r="A4713" s="1" t="str">
        <f t="shared" si="174"/>
        <v>15380</v>
      </c>
      <c r="B4713" s="1" t="str">
        <f>"14036"</f>
        <v>14036</v>
      </c>
      <c r="C4713" s="2">
        <v>2.5756742287235501E-5</v>
      </c>
      <c r="D4713" s="2">
        <v>0</v>
      </c>
      <c r="E4713" s="2">
        <v>0</v>
      </c>
      <c r="F4713" s="2">
        <v>2.2674121053893099E-5</v>
      </c>
    </row>
    <row r="4714" spans="1:6" x14ac:dyDescent="0.25">
      <c r="A4714" s="1" t="str">
        <f t="shared" si="174"/>
        <v>15380</v>
      </c>
      <c r="B4714" s="1" t="str">
        <f>"14037"</f>
        <v>14037</v>
      </c>
      <c r="C4714" s="2">
        <v>1.3614278066110099E-4</v>
      </c>
      <c r="D4714" s="2">
        <v>0</v>
      </c>
      <c r="E4714" s="2">
        <v>0</v>
      </c>
      <c r="F4714" s="2">
        <v>1.1984892557057799E-4</v>
      </c>
    </row>
    <row r="4715" spans="1:6" x14ac:dyDescent="0.25">
      <c r="A4715" s="1" t="str">
        <f t="shared" si="174"/>
        <v>15380</v>
      </c>
      <c r="B4715" s="1" t="str">
        <f>"14102"</f>
        <v>14102</v>
      </c>
      <c r="C4715" s="2">
        <v>8.5733156470369604E-4</v>
      </c>
      <c r="D4715" s="2">
        <v>2.5837011519000902E-4</v>
      </c>
      <c r="E4715" s="2">
        <v>2.5499052892321103E-4</v>
      </c>
      <c r="F4715" s="2">
        <v>7.8549633650986902E-4</v>
      </c>
    </row>
    <row r="4716" spans="1:6" x14ac:dyDescent="0.25">
      <c r="A4716" s="1" t="str">
        <f t="shared" si="174"/>
        <v>15380</v>
      </c>
      <c r="B4716" s="1" t="str">
        <f>"14151"</f>
        <v>14151</v>
      </c>
      <c r="C4716" s="2">
        <v>1.0578662010828799E-3</v>
      </c>
      <c r="D4716" s="2">
        <v>3.8540208849176401E-3</v>
      </c>
      <c r="E4716" s="2">
        <v>7.2854436835203201E-5</v>
      </c>
      <c r="F4716" s="2">
        <v>1.2244025369102199E-3</v>
      </c>
    </row>
    <row r="4717" spans="1:6" x14ac:dyDescent="0.25">
      <c r="A4717" s="1" t="str">
        <f t="shared" si="174"/>
        <v>15380</v>
      </c>
      <c r="B4717" s="1" t="str">
        <f>"14028"</f>
        <v>14028</v>
      </c>
      <c r="C4717" s="2">
        <v>1.2234452586436799E-3</v>
      </c>
      <c r="D4717" s="2">
        <v>4.9520938744751801E-4</v>
      </c>
      <c r="E4717" s="2">
        <v>4.7355383942882098E-4</v>
      </c>
      <c r="F4717" s="2">
        <v>1.1353256327699299E-3</v>
      </c>
    </row>
    <row r="4718" spans="1:6" x14ac:dyDescent="0.25">
      <c r="A4718" s="1" t="str">
        <f t="shared" si="174"/>
        <v>15380</v>
      </c>
      <c r="B4718" s="1" t="str">
        <f>"14216"</f>
        <v>14216</v>
      </c>
      <c r="C4718" s="2">
        <v>1.9845569932314899E-2</v>
      </c>
      <c r="D4718" s="2">
        <v>1.4963935838087999E-2</v>
      </c>
      <c r="E4718" s="2">
        <v>3.0125309631356501E-2</v>
      </c>
      <c r="F4718" s="2">
        <v>1.9935411146597901E-2</v>
      </c>
    </row>
    <row r="4719" spans="1:6" x14ac:dyDescent="0.25">
      <c r="A4719" s="1" t="str">
        <f t="shared" si="174"/>
        <v>15380</v>
      </c>
      <c r="B4719" s="1" t="str">
        <f>"14150"</f>
        <v>14150</v>
      </c>
      <c r="C4719" s="2">
        <v>3.6118311755929097E-2</v>
      </c>
      <c r="D4719" s="2">
        <v>3.1564215739046102E-2</v>
      </c>
      <c r="E4719" s="2">
        <v>3.8066443246393702E-2</v>
      </c>
      <c r="F4719" s="2">
        <v>3.5862361606882498E-2</v>
      </c>
    </row>
    <row r="4720" spans="1:6" x14ac:dyDescent="0.25">
      <c r="A4720" s="1" t="str">
        <f t="shared" si="174"/>
        <v>15380</v>
      </c>
      <c r="B4720" s="1" t="str">
        <f>"14212"</f>
        <v>14212</v>
      </c>
      <c r="C4720" s="2">
        <v>1.0072726001615301E-2</v>
      </c>
      <c r="D4720" s="2">
        <v>1.1540531811820401E-2</v>
      </c>
      <c r="E4720" s="2">
        <v>1.53722861722278E-2</v>
      </c>
      <c r="F4720" s="2">
        <v>1.0418758624263899E-2</v>
      </c>
    </row>
    <row r="4721" spans="1:6" x14ac:dyDescent="0.25">
      <c r="A4721" s="1" t="str">
        <f t="shared" si="174"/>
        <v>15380</v>
      </c>
      <c r="B4721" s="1" t="str">
        <f>"14205"</f>
        <v>14205</v>
      </c>
      <c r="C4721" s="2">
        <v>1.13881596255705E-3</v>
      </c>
      <c r="D4721" s="2">
        <v>3.7033049843901299E-3</v>
      </c>
      <c r="E4721" s="2">
        <v>7.2854436835203201E-5</v>
      </c>
      <c r="F4721" s="2">
        <v>1.2843269996955101E-3</v>
      </c>
    </row>
    <row r="4722" spans="1:6" x14ac:dyDescent="0.25">
      <c r="A4722" s="1" t="str">
        <f t="shared" si="174"/>
        <v>15380</v>
      </c>
      <c r="B4722" s="1" t="str">
        <f>"14304"</f>
        <v>14304</v>
      </c>
      <c r="C4722" s="2">
        <v>2.6417218750172399E-2</v>
      </c>
      <c r="D4722" s="2">
        <v>3.4384756163203703E-2</v>
      </c>
      <c r="E4722" s="2">
        <v>1.79950458982952E-2</v>
      </c>
      <c r="F4722" s="2">
        <v>2.6642092238324401E-2</v>
      </c>
    </row>
    <row r="4723" spans="1:6" x14ac:dyDescent="0.25">
      <c r="A4723" s="1" t="str">
        <f t="shared" si="174"/>
        <v>15380</v>
      </c>
      <c r="B4723" s="1" t="str">
        <f>"14305"</f>
        <v>14305</v>
      </c>
      <c r="C4723" s="2">
        <v>1.4959147966965101E-2</v>
      </c>
      <c r="D4723" s="2">
        <v>1.1368285068360399E-2</v>
      </c>
      <c r="E4723" s="2">
        <v>6.0469182573218696E-3</v>
      </c>
      <c r="F4723" s="2">
        <v>1.4292794164328999E-2</v>
      </c>
    </row>
    <row r="4724" spans="1:6" x14ac:dyDescent="0.25">
      <c r="A4724" s="1" t="str">
        <f t="shared" si="174"/>
        <v>15380</v>
      </c>
      <c r="B4724" s="1" t="str">
        <f>"14226"</f>
        <v>14226</v>
      </c>
      <c r="C4724" s="2">
        <v>2.6104458308113102E-2</v>
      </c>
      <c r="D4724" s="2">
        <v>3.9875121110991403E-2</v>
      </c>
      <c r="E4724" s="2">
        <v>3.2529506046918198E-2</v>
      </c>
      <c r="F4724" s="2">
        <v>2.7425968994758999E-2</v>
      </c>
    </row>
    <row r="4725" spans="1:6" x14ac:dyDescent="0.25">
      <c r="A4725" s="1" t="str">
        <f t="shared" si="174"/>
        <v>15380</v>
      </c>
      <c r="B4725" s="1" t="str">
        <f>"14068"</f>
        <v>14068</v>
      </c>
      <c r="C4725" s="2">
        <v>6.84393437917972E-3</v>
      </c>
      <c r="D4725" s="2">
        <v>8.8491764452578291E-3</v>
      </c>
      <c r="E4725" s="2">
        <v>5.7555005099810498E-3</v>
      </c>
      <c r="F4725" s="2">
        <v>6.9463789428676898E-3</v>
      </c>
    </row>
    <row r="4726" spans="1:6" x14ac:dyDescent="0.25">
      <c r="A4726" s="1" t="str">
        <f t="shared" si="174"/>
        <v>15380</v>
      </c>
      <c r="B4726" s="1" t="str">
        <f>"14208"</f>
        <v>14208</v>
      </c>
      <c r="C4726" s="2">
        <v>8.6524256412049E-3</v>
      </c>
      <c r="D4726" s="2">
        <v>5.0166864032726802E-3</v>
      </c>
      <c r="E4726" s="2">
        <v>7.83185195978435E-3</v>
      </c>
      <c r="F4726" s="2">
        <v>8.3424569677573897E-3</v>
      </c>
    </row>
    <row r="4727" spans="1:6" x14ac:dyDescent="0.25">
      <c r="A4727" s="1" t="str">
        <f t="shared" si="174"/>
        <v>15380</v>
      </c>
      <c r="B4727" s="1" t="str">
        <f>"14210"</f>
        <v>14210</v>
      </c>
      <c r="C4727" s="2">
        <v>1.21056688750006E-2</v>
      </c>
      <c r="D4727" s="2">
        <v>1.32199375605554E-2</v>
      </c>
      <c r="E4727" s="2">
        <v>1.5080868424887E-2</v>
      </c>
      <c r="F4727" s="2">
        <v>1.23217652127156E-2</v>
      </c>
    </row>
    <row r="4728" spans="1:6" x14ac:dyDescent="0.25">
      <c r="A4728" s="1" t="str">
        <f t="shared" si="174"/>
        <v>15380</v>
      </c>
      <c r="B4728" s="1" t="str">
        <f>"14095"</f>
        <v>14095</v>
      </c>
      <c r="C4728" s="2">
        <v>2.5094426056992301E-3</v>
      </c>
      <c r="D4728" s="2">
        <v>6.2224136074927302E-3</v>
      </c>
      <c r="E4728" s="2">
        <v>7.2854436835203201E-5</v>
      </c>
      <c r="F4728" s="2">
        <v>2.68040502458522E-3</v>
      </c>
    </row>
    <row r="4729" spans="1:6" x14ac:dyDescent="0.25">
      <c r="A4729" s="1" t="str">
        <f t="shared" si="174"/>
        <v>15380</v>
      </c>
      <c r="B4729" s="1" t="str">
        <f>"14075"</f>
        <v>14075</v>
      </c>
      <c r="C4729" s="2">
        <v>3.7814577212274103E-2</v>
      </c>
      <c r="D4729" s="2">
        <v>2.9475723974593599E-2</v>
      </c>
      <c r="E4729" s="2">
        <v>2.9323910826169301E-2</v>
      </c>
      <c r="F4729" s="2">
        <v>3.6809815950920199E-2</v>
      </c>
    </row>
    <row r="4730" spans="1:6" x14ac:dyDescent="0.25">
      <c r="A4730" s="1" t="str">
        <f t="shared" si="174"/>
        <v>15380</v>
      </c>
      <c r="B4730" s="1" t="str">
        <f>"14092"</f>
        <v>14092</v>
      </c>
      <c r="C4730" s="2">
        <v>1.1014686862405599E-2</v>
      </c>
      <c r="D4730" s="2">
        <v>1.03563354505328E-2</v>
      </c>
      <c r="E4730" s="2">
        <v>8.4875418913011799E-3</v>
      </c>
      <c r="F4730" s="2">
        <v>1.08528060844384E-2</v>
      </c>
    </row>
    <row r="4731" spans="1:6" x14ac:dyDescent="0.25">
      <c r="A4731" s="1" t="str">
        <f t="shared" si="174"/>
        <v>15380</v>
      </c>
      <c r="B4731" s="1" t="str">
        <f>"14126"</f>
        <v>14126</v>
      </c>
      <c r="C4731" s="2">
        <v>5.9056530530018502E-4</v>
      </c>
      <c r="D4731" s="2">
        <v>0</v>
      </c>
      <c r="E4731" s="2">
        <v>4.0069940259361699E-4</v>
      </c>
      <c r="F4731" s="2">
        <v>5.3770058499232303E-4</v>
      </c>
    </row>
    <row r="4732" spans="1:6" x14ac:dyDescent="0.25">
      <c r="A4732" s="1" t="str">
        <f t="shared" si="174"/>
        <v>15380</v>
      </c>
      <c r="B4732" s="1" t="str">
        <f>"14111"</f>
        <v>14111</v>
      </c>
      <c r="C4732" s="2">
        <v>2.4432109826749101E-3</v>
      </c>
      <c r="D4732" s="2">
        <v>9.6888793196253599E-4</v>
      </c>
      <c r="E4732" s="2">
        <v>6.9211714993443099E-4</v>
      </c>
      <c r="F4732" s="2">
        <v>2.2544554647870902E-3</v>
      </c>
    </row>
    <row r="4733" spans="1:6" x14ac:dyDescent="0.25">
      <c r="A4733" s="1" t="str">
        <f t="shared" si="174"/>
        <v>15380</v>
      </c>
      <c r="B4733" s="1" t="str">
        <f>"14001"</f>
        <v>14001</v>
      </c>
      <c r="C4733" s="2">
        <v>8.4242944952322395E-3</v>
      </c>
      <c r="D4733" s="2">
        <v>5.61955000538271E-3</v>
      </c>
      <c r="E4733" s="2">
        <v>5.3548011073874299E-3</v>
      </c>
      <c r="F4733" s="2">
        <v>8.0768458354117893E-3</v>
      </c>
    </row>
    <row r="4734" spans="1:6" x14ac:dyDescent="0.25">
      <c r="A4734" s="1" t="str">
        <f t="shared" si="174"/>
        <v>15380</v>
      </c>
      <c r="B4734" s="1" t="str">
        <f>"14272"</f>
        <v>14272</v>
      </c>
      <c r="C4734" s="2">
        <v>0</v>
      </c>
      <c r="D4734" s="2">
        <v>0</v>
      </c>
      <c r="E4734" s="2">
        <v>3.64272184176016E-5</v>
      </c>
      <c r="F4734" s="2">
        <v>1.61958007527808E-6</v>
      </c>
    </row>
    <row r="4735" spans="1:6" x14ac:dyDescent="0.25">
      <c r="A4735" s="1" t="str">
        <f t="shared" si="174"/>
        <v>15380</v>
      </c>
      <c r="B4735" s="1" t="str">
        <f>"14269"</f>
        <v>14269</v>
      </c>
      <c r="C4735" s="2">
        <v>0</v>
      </c>
      <c r="D4735" s="2">
        <v>2.15308429325008E-5</v>
      </c>
      <c r="E4735" s="2">
        <v>0</v>
      </c>
      <c r="F4735" s="2">
        <v>1.61958007527808E-6</v>
      </c>
    </row>
    <row r="4736" spans="1:6" x14ac:dyDescent="0.25">
      <c r="A4736" s="1" t="str">
        <f t="shared" si="174"/>
        <v>15380</v>
      </c>
      <c r="B4736" s="1" t="str">
        <f>"14233"</f>
        <v>14233</v>
      </c>
      <c r="C4736" s="2">
        <v>0</v>
      </c>
      <c r="D4736" s="2">
        <v>0</v>
      </c>
      <c r="E4736" s="2">
        <v>3.64272184176016E-5</v>
      </c>
      <c r="F4736" s="2">
        <v>1.61958007527808E-6</v>
      </c>
    </row>
    <row r="4737" spans="1:6" x14ac:dyDescent="0.25">
      <c r="A4737" s="1" t="str">
        <f t="shared" si="174"/>
        <v>15380</v>
      </c>
      <c r="B4737" s="1" t="str">
        <f>"14110"</f>
        <v>14110</v>
      </c>
      <c r="C4737" s="2">
        <v>0</v>
      </c>
      <c r="D4737" s="2">
        <v>0</v>
      </c>
      <c r="E4737" s="2">
        <v>3.64272184176016E-5</v>
      </c>
      <c r="F4737" s="2">
        <v>1.61958007527808E-6</v>
      </c>
    </row>
    <row r="4738" spans="1:6" x14ac:dyDescent="0.25">
      <c r="A4738" s="1" t="str">
        <f t="shared" si="174"/>
        <v>15380</v>
      </c>
      <c r="B4738" s="1" t="str">
        <f>"14213"</f>
        <v>14213</v>
      </c>
      <c r="C4738" s="2">
        <v>2.21931130150658E-2</v>
      </c>
      <c r="D4738" s="2">
        <v>1.6987835073743102E-2</v>
      </c>
      <c r="E4738" s="2">
        <v>4.1344892903977797E-2</v>
      </c>
      <c r="F4738" s="2">
        <v>2.2653066512914499E-2</v>
      </c>
    </row>
    <row r="4739" spans="1:6" x14ac:dyDescent="0.25">
      <c r="A4739" s="1" t="str">
        <f t="shared" si="174"/>
        <v>15380</v>
      </c>
      <c r="B4739" s="1" t="str">
        <f>"14206"</f>
        <v>14206</v>
      </c>
      <c r="C4739" s="2">
        <v>1.7956128908815601E-2</v>
      </c>
      <c r="D4739" s="2">
        <v>1.96576595973732E-2</v>
      </c>
      <c r="E4739" s="2">
        <v>2.20020399242313E-2</v>
      </c>
      <c r="F4739" s="2">
        <v>1.82640045089109E-2</v>
      </c>
    </row>
    <row r="4740" spans="1:6" x14ac:dyDescent="0.25">
      <c r="A4740" s="1" t="str">
        <f t="shared" si="174"/>
        <v>15380</v>
      </c>
      <c r="B4740" s="1" t="str">
        <f>"14131"</f>
        <v>14131</v>
      </c>
      <c r="C4740" s="2">
        <v>4.1449957409386796E-3</v>
      </c>
      <c r="D4740" s="2">
        <v>1.50715900527505E-3</v>
      </c>
      <c r="E4740" s="2">
        <v>8.7425324202243895E-4</v>
      </c>
      <c r="F4740" s="2">
        <v>3.8011544366776499E-3</v>
      </c>
    </row>
    <row r="4741" spans="1:6" x14ac:dyDescent="0.25">
      <c r="A4741" s="1" t="str">
        <f t="shared" si="174"/>
        <v>15380</v>
      </c>
      <c r="B4741" s="1" t="str">
        <f>"14004"</f>
        <v>14004</v>
      </c>
      <c r="C4741" s="2">
        <v>8.0048275494115501E-3</v>
      </c>
      <c r="D4741" s="2">
        <v>6.0501668640327204E-3</v>
      </c>
      <c r="E4741" s="2">
        <v>5.42765554422264E-3</v>
      </c>
      <c r="F4741" s="2">
        <v>7.7432123399044997E-3</v>
      </c>
    </row>
    <row r="4742" spans="1:6" x14ac:dyDescent="0.25">
      <c r="A4742" s="1" t="str">
        <f t="shared" si="174"/>
        <v>15380</v>
      </c>
      <c r="B4742" s="1" t="str">
        <f>"14072"</f>
        <v>14072</v>
      </c>
      <c r="C4742" s="2">
        <v>1.77703124108862E-2</v>
      </c>
      <c r="D4742" s="2">
        <v>1.34783076757455E-2</v>
      </c>
      <c r="E4742" s="2">
        <v>1.19117004225557E-2</v>
      </c>
      <c r="F4742" s="2">
        <v>1.7186983758850999E-2</v>
      </c>
    </row>
    <row r="4743" spans="1:6" x14ac:dyDescent="0.25">
      <c r="A4743" s="1" t="str">
        <f t="shared" ref="A4743:A4774" si="175">"15380"</f>
        <v>15380</v>
      </c>
      <c r="B4743" s="1" t="str">
        <f>"14032"</f>
        <v>14032</v>
      </c>
      <c r="C4743" s="2">
        <v>6.2441702373483799E-3</v>
      </c>
      <c r="D4743" s="2">
        <v>2.4975777801700899E-3</v>
      </c>
      <c r="E4743" s="2">
        <v>2.5863325076497098E-3</v>
      </c>
      <c r="F4743" s="2">
        <v>5.7997162495708101E-3</v>
      </c>
    </row>
    <row r="4744" spans="1:6" x14ac:dyDescent="0.25">
      <c r="A4744" s="1" t="str">
        <f t="shared" si="175"/>
        <v>15380</v>
      </c>
      <c r="B4744" s="1" t="str">
        <f>"14034"</f>
        <v>14034</v>
      </c>
      <c r="C4744" s="2">
        <v>1.45709570653503E-3</v>
      </c>
      <c r="D4744" s="2">
        <v>3.8755517278501398E-4</v>
      </c>
      <c r="E4744" s="2">
        <v>2.5499052892321103E-4</v>
      </c>
      <c r="F4744" s="2">
        <v>1.3231969215021901E-3</v>
      </c>
    </row>
    <row r="4745" spans="1:6" x14ac:dyDescent="0.25">
      <c r="A4745" s="1" t="str">
        <f t="shared" si="175"/>
        <v>15380</v>
      </c>
      <c r="B4745" s="1" t="str">
        <f>"14202"</f>
        <v>14202</v>
      </c>
      <c r="C4745" s="2">
        <v>4.0254108660336598E-3</v>
      </c>
      <c r="D4745" s="2">
        <v>4.4482721498546603E-2</v>
      </c>
      <c r="E4745" s="2">
        <v>1.5991548885327101E-2</v>
      </c>
      <c r="F4745" s="2">
        <v>7.6006892932800304E-3</v>
      </c>
    </row>
    <row r="4746" spans="1:6" x14ac:dyDescent="0.25">
      <c r="A4746" s="1" t="str">
        <f t="shared" si="175"/>
        <v>15380</v>
      </c>
      <c r="B4746" s="1" t="str">
        <f>"14204"</f>
        <v>14204</v>
      </c>
      <c r="C4746" s="2">
        <v>9.5318344135833597E-3</v>
      </c>
      <c r="D4746" s="2">
        <v>1.0119496178275299E-2</v>
      </c>
      <c r="E4746" s="2">
        <v>1.21666909514789E-2</v>
      </c>
      <c r="F4746" s="2">
        <v>9.6931867505393194E-3</v>
      </c>
    </row>
    <row r="4747" spans="1:6" x14ac:dyDescent="0.25">
      <c r="A4747" s="1" t="str">
        <f t="shared" si="175"/>
        <v>15380</v>
      </c>
      <c r="B4747" s="1" t="str">
        <f>"14139"</f>
        <v>14139</v>
      </c>
      <c r="C4747" s="2">
        <v>1.8692035831308E-3</v>
      </c>
      <c r="D4747" s="2">
        <v>7.1051781677252605E-4</v>
      </c>
      <c r="E4747" s="2">
        <v>1.27495264461605E-3</v>
      </c>
      <c r="F4747" s="2">
        <v>1.7556248016014401E-3</v>
      </c>
    </row>
    <row r="4748" spans="1:6" x14ac:dyDescent="0.25">
      <c r="A4748" s="1" t="str">
        <f t="shared" si="175"/>
        <v>15380</v>
      </c>
      <c r="B4748" s="1" t="str">
        <f>"14031"</f>
        <v>14031</v>
      </c>
      <c r="C4748" s="2">
        <v>8.9541474794267994E-3</v>
      </c>
      <c r="D4748" s="2">
        <v>1.0442458822262799E-2</v>
      </c>
      <c r="E4748" s="2">
        <v>5.8647821652338603E-3</v>
      </c>
      <c r="F4748" s="2">
        <v>8.9287449550080594E-3</v>
      </c>
    </row>
    <row r="4749" spans="1:6" x14ac:dyDescent="0.25">
      <c r="A4749" s="1" t="str">
        <f t="shared" si="175"/>
        <v>15380</v>
      </c>
      <c r="B4749" s="1" t="str">
        <f>"14070"</f>
        <v>14070</v>
      </c>
      <c r="C4749" s="2">
        <v>1.9759100868922E-3</v>
      </c>
      <c r="D4749" s="2">
        <v>1.57175153407255E-3</v>
      </c>
      <c r="E4749" s="2">
        <v>2.14920588663849E-3</v>
      </c>
      <c r="F4749" s="2">
        <v>1.95321357078536E-3</v>
      </c>
    </row>
    <row r="4750" spans="1:6" x14ac:dyDescent="0.25">
      <c r="A4750" s="1" t="str">
        <f t="shared" si="175"/>
        <v>15380</v>
      </c>
      <c r="B4750" s="1" t="str">
        <f>"14047"</f>
        <v>14047</v>
      </c>
      <c r="C4750" s="2">
        <v>5.0961554382601597E-3</v>
      </c>
      <c r="D4750" s="2">
        <v>2.6698245236301001E-3</v>
      </c>
      <c r="E4750" s="2">
        <v>2.65918694448491E-3</v>
      </c>
      <c r="F4750" s="2">
        <v>4.8052940833500602E-3</v>
      </c>
    </row>
    <row r="4751" spans="1:6" x14ac:dyDescent="0.25">
      <c r="A4751" s="1" t="str">
        <f t="shared" si="175"/>
        <v>15380</v>
      </c>
      <c r="B4751" s="1" t="str">
        <f>"14035"</f>
        <v>14035</v>
      </c>
      <c r="C4751" s="2">
        <v>0</v>
      </c>
      <c r="D4751" s="2">
        <v>0</v>
      </c>
      <c r="E4751" s="2">
        <v>3.64272184176016E-5</v>
      </c>
      <c r="F4751" s="2">
        <v>1.61958007527808E-6</v>
      </c>
    </row>
    <row r="4752" spans="1:6" x14ac:dyDescent="0.25">
      <c r="A4752" s="1" t="str">
        <f t="shared" si="175"/>
        <v>15380</v>
      </c>
      <c r="B4752" s="1" t="str">
        <f>"14276"</f>
        <v>14276</v>
      </c>
      <c r="C4752" s="2">
        <v>0</v>
      </c>
      <c r="D4752" s="2">
        <v>2.15308429325008E-5</v>
      </c>
      <c r="E4752" s="2">
        <v>0</v>
      </c>
      <c r="F4752" s="2">
        <v>1.61958007527808E-6</v>
      </c>
    </row>
    <row r="4753" spans="1:6" x14ac:dyDescent="0.25">
      <c r="A4753" s="1" t="str">
        <f t="shared" si="175"/>
        <v>15380</v>
      </c>
      <c r="B4753" s="1" t="str">
        <f>"14038"</f>
        <v>14038</v>
      </c>
      <c r="C4753" s="2">
        <v>0</v>
      </c>
      <c r="D4753" s="2">
        <v>0</v>
      </c>
      <c r="E4753" s="2">
        <v>3.64272184176016E-5</v>
      </c>
      <c r="F4753" s="2">
        <v>1.61958007527808E-6</v>
      </c>
    </row>
    <row r="4754" spans="1:6" x14ac:dyDescent="0.25">
      <c r="A4754" s="1" t="str">
        <f t="shared" si="175"/>
        <v>15380</v>
      </c>
      <c r="B4754" s="1" t="str">
        <f>"14145"</f>
        <v>14145</v>
      </c>
      <c r="C4754" s="2">
        <v>5.7032786493164302E-5</v>
      </c>
      <c r="D4754" s="2">
        <v>2.15308429325008E-5</v>
      </c>
      <c r="E4754" s="2">
        <v>0</v>
      </c>
      <c r="F4754" s="2">
        <v>5.1826562408898601E-5</v>
      </c>
    </row>
    <row r="4755" spans="1:6" x14ac:dyDescent="0.25">
      <c r="A4755" s="1" t="str">
        <f t="shared" si="175"/>
        <v>15380</v>
      </c>
      <c r="B4755" s="1" t="str">
        <f>"14273"</f>
        <v>14273</v>
      </c>
      <c r="C4755" s="2">
        <v>0</v>
      </c>
      <c r="D4755" s="2">
        <v>0</v>
      </c>
      <c r="E4755" s="2">
        <v>3.64272184176016E-5</v>
      </c>
      <c r="F4755" s="2">
        <v>1.61958007527808E-6</v>
      </c>
    </row>
    <row r="4756" spans="1:6" x14ac:dyDescent="0.25">
      <c r="A4756" s="1" t="str">
        <f t="shared" si="175"/>
        <v>15380</v>
      </c>
      <c r="B4756" s="1" t="str">
        <f>"14069"</f>
        <v>14069</v>
      </c>
      <c r="C4756" s="2">
        <v>7.4694552632982895E-4</v>
      </c>
      <c r="D4756" s="2">
        <v>1.07654214662504E-4</v>
      </c>
      <c r="E4756" s="2">
        <v>3.2784496575841398E-4</v>
      </c>
      <c r="F4756" s="2">
        <v>6.8022363161679401E-4</v>
      </c>
    </row>
    <row r="4757" spans="1:6" x14ac:dyDescent="0.25">
      <c r="A4757" s="1" t="str">
        <f t="shared" si="175"/>
        <v>15380</v>
      </c>
      <c r="B4757" s="1" t="str">
        <f>"14302"</f>
        <v>14302</v>
      </c>
      <c r="C4757" s="2">
        <v>2.47448702688084E-3</v>
      </c>
      <c r="D4757" s="2">
        <v>6.2224136074927302E-3</v>
      </c>
      <c r="E4757" s="2">
        <v>7.2854436835203201E-5</v>
      </c>
      <c r="F4757" s="2">
        <v>2.64963300315494E-3</v>
      </c>
    </row>
    <row r="4758" spans="1:6" x14ac:dyDescent="0.25">
      <c r="A4758" s="1" t="str">
        <f t="shared" si="175"/>
        <v>15380</v>
      </c>
      <c r="B4758" s="1" t="str">
        <f>"14026"</f>
        <v>14026</v>
      </c>
      <c r="C4758" s="2">
        <v>6.9359227444912698E-4</v>
      </c>
      <c r="D4758" s="2">
        <v>1.89471417806007E-3</v>
      </c>
      <c r="E4758" s="2">
        <v>8.3782602360483701E-4</v>
      </c>
      <c r="F4758" s="2">
        <v>7.9035507673570304E-4</v>
      </c>
    </row>
    <row r="4759" spans="1:6" x14ac:dyDescent="0.25">
      <c r="A4759" s="1" t="str">
        <f t="shared" si="175"/>
        <v>15380</v>
      </c>
      <c r="B4759" s="1" t="str">
        <f>"14033"</f>
        <v>14033</v>
      </c>
      <c r="C4759" s="2">
        <v>1.82136963316879E-3</v>
      </c>
      <c r="D4759" s="2">
        <v>8.6123371730003197E-4</v>
      </c>
      <c r="E4759" s="2">
        <v>6.9211714993443099E-4</v>
      </c>
      <c r="F4759" s="2">
        <v>1.6989394989667E-3</v>
      </c>
    </row>
    <row r="4760" spans="1:6" x14ac:dyDescent="0.25">
      <c r="A4760" s="1" t="str">
        <f t="shared" si="175"/>
        <v>15380</v>
      </c>
      <c r="B4760" s="1" t="str">
        <f>"14174"</f>
        <v>14174</v>
      </c>
      <c r="C4760" s="2">
        <v>4.8496266192251999E-3</v>
      </c>
      <c r="D4760" s="2">
        <v>1.67940574873506E-3</v>
      </c>
      <c r="E4760" s="2">
        <v>1.7485064840448701E-3</v>
      </c>
      <c r="F4760" s="2">
        <v>4.4732801679180602E-3</v>
      </c>
    </row>
    <row r="4761" spans="1:6" x14ac:dyDescent="0.25">
      <c r="A4761" s="1" t="str">
        <f t="shared" si="175"/>
        <v>15380</v>
      </c>
      <c r="B4761" s="1" t="str">
        <f>"14132"</f>
        <v>14132</v>
      </c>
      <c r="C4761" s="2">
        <v>5.3794796034197503E-3</v>
      </c>
      <c r="D4761" s="2">
        <v>5.8994509635052197E-3</v>
      </c>
      <c r="E4761" s="2">
        <v>4.0434212443537804E-3</v>
      </c>
      <c r="F4761" s="2">
        <v>5.3591904690951696E-3</v>
      </c>
    </row>
    <row r="4762" spans="1:6" x14ac:dyDescent="0.25">
      <c r="A4762" s="1" t="str">
        <f t="shared" si="175"/>
        <v>15380</v>
      </c>
      <c r="B4762" s="1" t="str">
        <f>"14080"</f>
        <v>14080</v>
      </c>
      <c r="C4762" s="2">
        <v>3.3741332396278502E-3</v>
      </c>
      <c r="D4762" s="2">
        <v>1.2272580471525401E-3</v>
      </c>
      <c r="E4762" s="2">
        <v>1.9306425761328799E-3</v>
      </c>
      <c r="F4762" s="2">
        <v>3.1484636663405901E-3</v>
      </c>
    </row>
    <row r="4763" spans="1:6" x14ac:dyDescent="0.25">
      <c r="A4763" s="1" t="str">
        <f t="shared" si="175"/>
        <v>15380</v>
      </c>
      <c r="B4763" s="1" t="str">
        <f>"14081"</f>
        <v>14081</v>
      </c>
      <c r="C4763" s="2">
        <v>2.2978693654826499E-3</v>
      </c>
      <c r="D4763" s="2">
        <v>1.8085908063300599E-3</v>
      </c>
      <c r="E4763" s="2">
        <v>6.5568993151682905E-4</v>
      </c>
      <c r="F4763" s="2">
        <v>2.1880526817006801E-3</v>
      </c>
    </row>
    <row r="4764" spans="1:6" x14ac:dyDescent="0.25">
      <c r="A4764" s="1" t="str">
        <f t="shared" si="175"/>
        <v>15380</v>
      </c>
      <c r="B4764" s="1" t="str">
        <f>"14098"</f>
        <v>14098</v>
      </c>
      <c r="C4764" s="2">
        <v>2.20772076747732E-5</v>
      </c>
      <c r="D4764" s="2">
        <v>0</v>
      </c>
      <c r="E4764" s="2">
        <v>0</v>
      </c>
      <c r="F4764" s="2">
        <v>1.9434960903336901E-5</v>
      </c>
    </row>
    <row r="4765" spans="1:6" x14ac:dyDescent="0.25">
      <c r="A4765" s="1" t="str">
        <f t="shared" si="175"/>
        <v>15380</v>
      </c>
      <c r="B4765" s="1" t="str">
        <f>"14260"</f>
        <v>14260</v>
      </c>
      <c r="C4765" s="2">
        <v>0</v>
      </c>
      <c r="D4765" s="2">
        <v>2.2176768220475802E-3</v>
      </c>
      <c r="E4765" s="2">
        <v>0</v>
      </c>
      <c r="F4765" s="2">
        <v>1.6681674775364199E-4</v>
      </c>
    </row>
    <row r="4766" spans="1:6" x14ac:dyDescent="0.25">
      <c r="A4766" s="1" t="str">
        <f t="shared" si="175"/>
        <v>15380</v>
      </c>
      <c r="B4766" s="1" t="str">
        <f>"14240"</f>
        <v>14240</v>
      </c>
      <c r="C4766" s="2">
        <v>2.2481956482144098E-3</v>
      </c>
      <c r="D4766" s="2">
        <v>1.70954892884056E-2</v>
      </c>
      <c r="E4766" s="2">
        <v>1.09281655252804E-4</v>
      </c>
      <c r="F4766" s="2">
        <v>3.26993217198644E-3</v>
      </c>
    </row>
    <row r="4767" spans="1:6" x14ac:dyDescent="0.25">
      <c r="A4767" s="1" t="str">
        <f t="shared" si="175"/>
        <v>15380</v>
      </c>
      <c r="B4767" s="1" t="str">
        <f>"14301"</f>
        <v>14301</v>
      </c>
      <c r="C4767" s="2">
        <v>1.3406384360506E-2</v>
      </c>
      <c r="D4767" s="2">
        <v>1.3801270319733E-2</v>
      </c>
      <c r="E4767" s="2">
        <v>1.64651027247559E-2</v>
      </c>
      <c r="F4767" s="2">
        <v>1.35720810308303E-2</v>
      </c>
    </row>
    <row r="4768" spans="1:6" x14ac:dyDescent="0.25">
      <c r="A4768" s="1" t="str">
        <f t="shared" si="175"/>
        <v>15380</v>
      </c>
      <c r="B4768" s="1" t="str">
        <f>"14140"</f>
        <v>14140</v>
      </c>
      <c r="C4768" s="2">
        <v>0</v>
      </c>
      <c r="D4768" s="2">
        <v>0</v>
      </c>
      <c r="E4768" s="2">
        <v>3.64272184176016E-5</v>
      </c>
      <c r="F4768" s="2">
        <v>1.61958007527808E-6</v>
      </c>
    </row>
    <row r="4769" spans="1:6" x14ac:dyDescent="0.25">
      <c r="A4769" s="1" t="str">
        <f t="shared" si="175"/>
        <v>15380</v>
      </c>
      <c r="B4769" s="1" t="str">
        <f>"14241"</f>
        <v>14241</v>
      </c>
      <c r="C4769" s="2">
        <v>0</v>
      </c>
      <c r="D4769" s="2">
        <v>2.15308429325008E-5</v>
      </c>
      <c r="E4769" s="2">
        <v>0</v>
      </c>
      <c r="F4769" s="2">
        <v>1.61958007527808E-6</v>
      </c>
    </row>
    <row r="4770" spans="1:6" x14ac:dyDescent="0.25">
      <c r="A4770" s="1" t="str">
        <f t="shared" si="175"/>
        <v>15380</v>
      </c>
      <c r="B4770" s="1" t="str">
        <f>"14013"</f>
        <v>14013</v>
      </c>
      <c r="C4770" s="2">
        <v>2.20772076747732E-5</v>
      </c>
      <c r="D4770" s="2">
        <v>0</v>
      </c>
      <c r="E4770" s="2">
        <v>0</v>
      </c>
      <c r="F4770" s="2">
        <v>1.9434960903336901E-5</v>
      </c>
    </row>
    <row r="4771" spans="1:6" x14ac:dyDescent="0.25">
      <c r="A4771" s="1" t="str">
        <f t="shared" si="175"/>
        <v>15380</v>
      </c>
      <c r="B4771" s="1" t="str">
        <f>"14263"</f>
        <v>14263</v>
      </c>
      <c r="C4771" s="2">
        <v>0</v>
      </c>
      <c r="D4771" s="2">
        <v>0</v>
      </c>
      <c r="E4771" s="2">
        <v>7.2854436835203201E-5</v>
      </c>
      <c r="F4771" s="2">
        <v>3.23916015055616E-6</v>
      </c>
    </row>
    <row r="4772" spans="1:6" x14ac:dyDescent="0.25">
      <c r="A4772" s="1" t="str">
        <f t="shared" si="175"/>
        <v>15380</v>
      </c>
      <c r="B4772" s="1" t="str">
        <f>"14170"</f>
        <v>14170</v>
      </c>
      <c r="C4772" s="2">
        <v>1.8784024196619601E-3</v>
      </c>
      <c r="D4772" s="2">
        <v>9.0429540316503299E-4</v>
      </c>
      <c r="E4772" s="2">
        <v>6.9211714993443099E-4</v>
      </c>
      <c r="F4772" s="2">
        <v>1.75238564145088E-3</v>
      </c>
    </row>
    <row r="4773" spans="1:6" x14ac:dyDescent="0.25">
      <c r="A4773" s="1" t="str">
        <f t="shared" si="175"/>
        <v>15380</v>
      </c>
      <c r="B4773" s="1" t="str">
        <f>"14012"</f>
        <v>14012</v>
      </c>
      <c r="C4773" s="2">
        <v>1.8526456773747201E-3</v>
      </c>
      <c r="D4773" s="2">
        <v>6.0286360211002203E-4</v>
      </c>
      <c r="E4773" s="2">
        <v>6.9211714993443099E-4</v>
      </c>
      <c r="F4773" s="2">
        <v>1.7070373993430901E-3</v>
      </c>
    </row>
    <row r="4774" spans="1:6" x14ac:dyDescent="0.25">
      <c r="A4774" s="1" t="str">
        <f t="shared" si="175"/>
        <v>15380</v>
      </c>
      <c r="B4774" s="1" t="str">
        <f>"14008"</f>
        <v>14008</v>
      </c>
      <c r="C4774" s="2">
        <v>1.0578662010828799E-3</v>
      </c>
      <c r="D4774" s="2">
        <v>3.4449348692001198E-4</v>
      </c>
      <c r="E4774" s="2">
        <v>5.4640827626402399E-4</v>
      </c>
      <c r="F4774" s="2">
        <v>9.8146552561851697E-4</v>
      </c>
    </row>
    <row r="4775" spans="1:6" x14ac:dyDescent="0.25">
      <c r="A4775" s="1" t="str">
        <f t="shared" ref="A4775:A4793" si="176">"15380"</f>
        <v>15380</v>
      </c>
      <c r="B4775" s="1" t="str">
        <f>"14227"</f>
        <v>14227</v>
      </c>
      <c r="C4775" s="2">
        <v>2.05961949932572E-2</v>
      </c>
      <c r="D4775" s="2">
        <v>1.3262999246420401E-2</v>
      </c>
      <c r="E4775" s="2">
        <v>2.6009033950167501E-2</v>
      </c>
      <c r="F4775" s="2">
        <v>2.0285240442857899E-2</v>
      </c>
    </row>
    <row r="4776" spans="1:6" x14ac:dyDescent="0.25">
      <c r="A4776" s="1" t="str">
        <f t="shared" si="176"/>
        <v>15380</v>
      </c>
      <c r="B4776" s="1" t="str">
        <f>"14223"</f>
        <v>14223</v>
      </c>
      <c r="C4776" s="2">
        <v>1.95990411132799E-2</v>
      </c>
      <c r="D4776" s="2">
        <v>1.06792980945204E-2</v>
      </c>
      <c r="E4776" s="2">
        <v>1.19117004225557E-2</v>
      </c>
      <c r="F4776" s="2">
        <v>1.8586300943891201E-2</v>
      </c>
    </row>
    <row r="4777" spans="1:6" x14ac:dyDescent="0.25">
      <c r="A4777" s="1" t="str">
        <f t="shared" si="176"/>
        <v>15380</v>
      </c>
      <c r="B4777" s="1" t="str">
        <f>"14057"</f>
        <v>14057</v>
      </c>
      <c r="C4777" s="2">
        <v>6.0381162990504897E-3</v>
      </c>
      <c r="D4777" s="2">
        <v>3.4449348692001201E-3</v>
      </c>
      <c r="E4777" s="2">
        <v>3.27844965758414E-3</v>
      </c>
      <c r="F4777" s="2">
        <v>5.7203568258821797E-3</v>
      </c>
    </row>
    <row r="4778" spans="1:6" x14ac:dyDescent="0.25">
      <c r="A4778" s="1" t="str">
        <f t="shared" si="176"/>
        <v>15380</v>
      </c>
      <c r="B4778" s="1" t="str">
        <f>"14214"</f>
        <v>14214</v>
      </c>
      <c r="C4778" s="2">
        <v>1.6125560439115599E-2</v>
      </c>
      <c r="D4778" s="2">
        <v>1.60404779847131E-2</v>
      </c>
      <c r="E4778" s="2">
        <v>1.7230074311525501E-2</v>
      </c>
      <c r="F4778" s="2">
        <v>1.6168267891501002E-2</v>
      </c>
    </row>
    <row r="4779" spans="1:6" x14ac:dyDescent="0.25">
      <c r="A4779" s="1" t="str">
        <f t="shared" si="176"/>
        <v>15380</v>
      </c>
      <c r="B4779" s="1" t="str">
        <f>"14120"</f>
        <v>14120</v>
      </c>
      <c r="C4779" s="2">
        <v>3.8638792965465699E-2</v>
      </c>
      <c r="D4779" s="2">
        <v>2.7042738723221001E-2</v>
      </c>
      <c r="E4779" s="2">
        <v>4.5643304677254803E-2</v>
      </c>
      <c r="F4779" s="2">
        <v>3.8077947149862901E-2</v>
      </c>
    </row>
    <row r="4780" spans="1:6" x14ac:dyDescent="0.25">
      <c r="A4780" s="1" t="str">
        <f t="shared" si="176"/>
        <v>15380</v>
      </c>
      <c r="B4780" s="1" t="str">
        <f>"14085"</f>
        <v>14085</v>
      </c>
      <c r="C4780" s="2">
        <v>5.5321802898369403E-3</v>
      </c>
      <c r="D4780" s="2">
        <v>9.0429540316503299E-4</v>
      </c>
      <c r="E4780" s="2">
        <v>6.9211714993443099E-4</v>
      </c>
      <c r="F4780" s="2">
        <v>4.9688716709531504E-3</v>
      </c>
    </row>
    <row r="4781" spans="1:6" x14ac:dyDescent="0.25">
      <c r="A4781" s="1" t="str">
        <f t="shared" si="176"/>
        <v>15380</v>
      </c>
      <c r="B4781" s="1" t="str">
        <f>"14086"</f>
        <v>14086</v>
      </c>
      <c r="C4781" s="2">
        <v>2.7384936353250001E-2</v>
      </c>
      <c r="D4781" s="2">
        <v>1.6794057487350599E-2</v>
      </c>
      <c r="E4781" s="2">
        <v>1.58458400116567E-2</v>
      </c>
      <c r="F4781" s="2">
        <v>2.6075239211977099E-2</v>
      </c>
    </row>
    <row r="4782" spans="1:6" x14ac:dyDescent="0.25">
      <c r="A4782" s="1" t="str">
        <f t="shared" si="176"/>
        <v>15380</v>
      </c>
      <c r="B4782" s="1" t="str">
        <f>"14127"</f>
        <v>14127</v>
      </c>
      <c r="C4782" s="2">
        <v>2.5973834829370698E-2</v>
      </c>
      <c r="D4782" s="2">
        <v>3.01862417913661E-2</v>
      </c>
      <c r="E4782" s="2">
        <v>2.17470493953081E-2</v>
      </c>
      <c r="F4782" s="2">
        <v>2.61027720732568E-2</v>
      </c>
    </row>
    <row r="4783" spans="1:6" x14ac:dyDescent="0.25">
      <c r="A4783" s="1" t="str">
        <f t="shared" si="176"/>
        <v>15380</v>
      </c>
      <c r="B4783" s="1" t="str">
        <f>"14105"</f>
        <v>14105</v>
      </c>
      <c r="C4783" s="2">
        <v>3.4587625357144799E-3</v>
      </c>
      <c r="D4783" s="2">
        <v>2.47604693723759E-3</v>
      </c>
      <c r="E4783" s="2">
        <v>3.78843071543056E-3</v>
      </c>
      <c r="F4783" s="2">
        <v>3.3994985780086899E-3</v>
      </c>
    </row>
    <row r="4784" spans="1:6" x14ac:dyDescent="0.25">
      <c r="A4784" s="1" t="str">
        <f t="shared" si="176"/>
        <v>15380</v>
      </c>
      <c r="B4784" s="1" t="str">
        <f>"14108"</f>
        <v>14108</v>
      </c>
      <c r="C4784" s="2">
        <v>4.4356789753232E-3</v>
      </c>
      <c r="D4784" s="2">
        <v>2.6267628377650899E-3</v>
      </c>
      <c r="E4784" s="2">
        <v>2.8048958181553199E-3</v>
      </c>
      <c r="F4784" s="2">
        <v>4.2271039964757902E-3</v>
      </c>
    </row>
    <row r="4785" spans="1:6" x14ac:dyDescent="0.25">
      <c r="A4785" s="1" t="str">
        <f t="shared" si="176"/>
        <v>15380</v>
      </c>
      <c r="B4785" s="1" t="str">
        <f>"14228"</f>
        <v>14228</v>
      </c>
      <c r="C4785" s="2">
        <v>2.0185926883967701E-2</v>
      </c>
      <c r="D4785" s="2">
        <v>1.8301216492625599E-2</v>
      </c>
      <c r="E4785" s="2">
        <v>3.9049978143668902E-2</v>
      </c>
      <c r="F4785" s="2">
        <v>2.0882865490635501E-2</v>
      </c>
    </row>
    <row r="4786" spans="1:6" x14ac:dyDescent="0.25">
      <c r="A4786" s="1" t="str">
        <f t="shared" si="176"/>
        <v>15380</v>
      </c>
      <c r="B4786" s="1" t="str">
        <f>"14303"</f>
        <v>14303</v>
      </c>
      <c r="C4786" s="2">
        <v>6.4005504583780201E-3</v>
      </c>
      <c r="D4786" s="2">
        <v>8.0310044138228003E-3</v>
      </c>
      <c r="E4786" s="2">
        <v>6.3747632230802802E-3</v>
      </c>
      <c r="F4786" s="2">
        <v>6.5220489631448303E-3</v>
      </c>
    </row>
    <row r="4787" spans="1:6" x14ac:dyDescent="0.25">
      <c r="A4787" s="1" t="str">
        <f t="shared" si="176"/>
        <v>15380</v>
      </c>
      <c r="B4787" s="1" t="str">
        <f>"14094"</f>
        <v>14094</v>
      </c>
      <c r="C4787" s="2">
        <v>4.3166460306100399E-2</v>
      </c>
      <c r="D4787" s="2">
        <v>3.3846485089891201E-2</v>
      </c>
      <c r="E4787" s="2">
        <v>4.8411773276992497E-2</v>
      </c>
      <c r="F4787" s="2">
        <v>4.2698609104631302E-2</v>
      </c>
    </row>
    <row r="4788" spans="1:6" x14ac:dyDescent="0.25">
      <c r="A4788" s="1" t="str">
        <f t="shared" si="176"/>
        <v>15380</v>
      </c>
      <c r="B4788" s="1" t="str">
        <f>"14091"</f>
        <v>14091</v>
      </c>
      <c r="C4788" s="2">
        <v>8.9228714352208697E-4</v>
      </c>
      <c r="D4788" s="2">
        <v>6.4592528797502403E-5</v>
      </c>
      <c r="E4788" s="2">
        <v>2.1856331050560901E-4</v>
      </c>
      <c r="F4788" s="2">
        <v>8.0007255718737196E-4</v>
      </c>
    </row>
    <row r="4789" spans="1:6" x14ac:dyDescent="0.25">
      <c r="A4789" s="1" t="str">
        <f t="shared" si="176"/>
        <v>15380</v>
      </c>
      <c r="B4789" s="1" t="str">
        <f>"14217"</f>
        <v>14217</v>
      </c>
      <c r="C4789" s="2">
        <v>2.0539162206764001E-2</v>
      </c>
      <c r="D4789" s="2">
        <v>1.8882549251803198E-2</v>
      </c>
      <c r="E4789" s="2">
        <v>1.49351595512166E-2</v>
      </c>
      <c r="F4789" s="2">
        <v>2.0165391517287301E-2</v>
      </c>
    </row>
    <row r="4790" spans="1:6" x14ac:dyDescent="0.25">
      <c r="A4790" s="1" t="str">
        <f t="shared" si="176"/>
        <v>15380</v>
      </c>
      <c r="B4790" s="1" t="str">
        <f>"14220"</f>
        <v>14220</v>
      </c>
      <c r="C4790" s="2">
        <v>2.0741536610449501E-2</v>
      </c>
      <c r="D4790" s="2">
        <v>1.21433954139304E-2</v>
      </c>
      <c r="E4790" s="2">
        <v>1.01996211569284E-2</v>
      </c>
      <c r="F4790" s="2">
        <v>1.96260713522197E-2</v>
      </c>
    </row>
    <row r="4791" spans="1:6" x14ac:dyDescent="0.25">
      <c r="A4791" s="1" t="str">
        <f t="shared" si="176"/>
        <v>15380</v>
      </c>
      <c r="B4791" s="1" t="str">
        <f>"14222"</f>
        <v>14222</v>
      </c>
      <c r="C4791" s="2">
        <v>1.2992436716604E-2</v>
      </c>
      <c r="D4791" s="2">
        <v>8.31090537194531E-3</v>
      </c>
      <c r="E4791" s="2">
        <v>3.1910243333818998E-2</v>
      </c>
      <c r="F4791" s="2">
        <v>1.34813845466147E-2</v>
      </c>
    </row>
    <row r="4792" spans="1:6" x14ac:dyDescent="0.25">
      <c r="A4792" s="1" t="str">
        <f t="shared" si="176"/>
        <v>15380</v>
      </c>
      <c r="B4792" s="1" t="str">
        <f>"14052"</f>
        <v>14052</v>
      </c>
      <c r="C4792" s="2">
        <v>1.54706032780973E-2</v>
      </c>
      <c r="D4792" s="2">
        <v>1.5932823770050501E-2</v>
      </c>
      <c r="E4792" s="2">
        <v>1.1219583272621301E-2</v>
      </c>
      <c r="F4792" s="2">
        <v>1.5316368771904801E-2</v>
      </c>
    </row>
    <row r="4793" spans="1:6" x14ac:dyDescent="0.25">
      <c r="A4793" s="1" t="str">
        <f t="shared" si="176"/>
        <v>15380</v>
      </c>
      <c r="B4793" s="1" t="str">
        <f>"14051"</f>
        <v>14051</v>
      </c>
      <c r="C4793" s="2">
        <v>1.55497132722653E-2</v>
      </c>
      <c r="D4793" s="2">
        <v>7.6219183981052797E-3</v>
      </c>
      <c r="E4793" s="2">
        <v>6.7026081888387004E-3</v>
      </c>
      <c r="F4793" s="2">
        <v>1.45600248767499E-2</v>
      </c>
    </row>
    <row r="4794" spans="1:6" x14ac:dyDescent="0.25">
      <c r="A4794" s="1" t="str">
        <f t="shared" ref="A4794:A4805" si="177">"15420"</f>
        <v>15420</v>
      </c>
      <c r="B4794" s="1" t="str">
        <f>"83336"</f>
        <v>83336</v>
      </c>
      <c r="C4794" s="2">
        <v>0.15559762317925999</v>
      </c>
      <c r="D4794" s="2">
        <v>8.3512931034482707E-2</v>
      </c>
      <c r="E4794" s="2">
        <v>0.136170212765957</v>
      </c>
      <c r="F4794" s="2">
        <v>0.14890127910790399</v>
      </c>
    </row>
    <row r="4795" spans="1:6" x14ac:dyDescent="0.25">
      <c r="A4795" s="1" t="str">
        <f t="shared" si="177"/>
        <v>15420</v>
      </c>
      <c r="B4795" s="1" t="str">
        <f>"83344"</f>
        <v>83344</v>
      </c>
      <c r="C4795" s="2">
        <v>3.78608613345953E-3</v>
      </c>
      <c r="D4795" s="2">
        <v>1.61637931034482E-3</v>
      </c>
      <c r="E4795" s="2">
        <v>0</v>
      </c>
      <c r="F4795" s="2">
        <v>3.5140327039310301E-3</v>
      </c>
    </row>
    <row r="4796" spans="1:6" x14ac:dyDescent="0.25">
      <c r="A4796" s="1" t="str">
        <f t="shared" si="177"/>
        <v>15420</v>
      </c>
      <c r="B4796" s="1" t="str">
        <f>"83323"</f>
        <v>83323</v>
      </c>
      <c r="C4796" s="2">
        <v>3.53893884419203E-2</v>
      </c>
      <c r="D4796" s="2">
        <v>1.23922413793103E-2</v>
      </c>
      <c r="E4796" s="2">
        <v>6.1702127659574398E-2</v>
      </c>
      <c r="F4796" s="2">
        <v>3.3968982804666599E-2</v>
      </c>
    </row>
    <row r="4797" spans="1:6" x14ac:dyDescent="0.25">
      <c r="A4797" s="1" t="str">
        <f t="shared" si="177"/>
        <v>15420</v>
      </c>
      <c r="B4797" s="1" t="str">
        <f>"83343"</f>
        <v>83343</v>
      </c>
      <c r="C4797" s="2">
        <v>0</v>
      </c>
      <c r="D4797" s="2">
        <v>0</v>
      </c>
      <c r="E4797" s="2">
        <v>2.1276595744680799E-3</v>
      </c>
      <c r="F4797" s="2">
        <v>4.6853769385747001E-5</v>
      </c>
    </row>
    <row r="4798" spans="1:6" x14ac:dyDescent="0.25">
      <c r="A4798" s="1" t="str">
        <f t="shared" si="177"/>
        <v>15420</v>
      </c>
      <c r="B4798" s="1" t="str">
        <f>"83350"</f>
        <v>83350</v>
      </c>
      <c r="C4798" s="2">
        <v>0.26618288899405701</v>
      </c>
      <c r="D4798" s="2">
        <v>0.185883620689655</v>
      </c>
      <c r="E4798" s="2">
        <v>0.19787234042553101</v>
      </c>
      <c r="F4798" s="2">
        <v>0.25769573162160803</v>
      </c>
    </row>
    <row r="4799" spans="1:6" x14ac:dyDescent="0.25">
      <c r="A4799" s="1" t="str">
        <f t="shared" si="177"/>
        <v>15420</v>
      </c>
      <c r="B4799" s="1" t="str">
        <f>"83211"</f>
        <v>83211</v>
      </c>
      <c r="C4799" s="2">
        <v>1.2620287111531701E-3</v>
      </c>
      <c r="D4799" s="2">
        <v>5.3879310344827499E-4</v>
      </c>
      <c r="E4799" s="2">
        <v>0</v>
      </c>
      <c r="F4799" s="2">
        <v>1.1713442346436701E-3</v>
      </c>
    </row>
    <row r="4800" spans="1:6" x14ac:dyDescent="0.25">
      <c r="A4800" s="1" t="str">
        <f t="shared" si="177"/>
        <v>15420</v>
      </c>
      <c r="B4800" s="1" t="str">
        <f>"83318"</f>
        <v>83318</v>
      </c>
      <c r="C4800" s="2">
        <v>0.40027343955408301</v>
      </c>
      <c r="D4800" s="2">
        <v>0.647090517241379</v>
      </c>
      <c r="E4800" s="2">
        <v>0.47659574468085097</v>
      </c>
      <c r="F4800" s="2">
        <v>0.42341751393899602</v>
      </c>
    </row>
    <row r="4801" spans="1:6" x14ac:dyDescent="0.25">
      <c r="A4801" s="1" t="str">
        <f t="shared" si="177"/>
        <v>15420</v>
      </c>
      <c r="B4801" s="1" t="str">
        <f>"83346"</f>
        <v>83346</v>
      </c>
      <c r="C4801" s="2">
        <v>2.1033811852552899E-2</v>
      </c>
      <c r="D4801" s="2">
        <v>7.5431034482758598E-3</v>
      </c>
      <c r="E4801" s="2">
        <v>2.5531914893616999E-2</v>
      </c>
      <c r="F4801" s="2">
        <v>1.99597057583282E-2</v>
      </c>
    </row>
    <row r="4802" spans="1:6" x14ac:dyDescent="0.25">
      <c r="A4802" s="1" t="str">
        <f t="shared" si="177"/>
        <v>15420</v>
      </c>
      <c r="B4802" s="1" t="str">
        <f>"83347"</f>
        <v>83347</v>
      </c>
      <c r="C4802" s="2">
        <v>8.3609402113898001E-2</v>
      </c>
      <c r="D4802" s="2">
        <v>5.6573275862068902E-2</v>
      </c>
      <c r="E4802" s="2">
        <v>5.9574468085106302E-2</v>
      </c>
      <c r="F4802" s="2">
        <v>8.0729044651642198E-2</v>
      </c>
    </row>
    <row r="4803" spans="1:6" x14ac:dyDescent="0.25">
      <c r="A4803" s="1" t="str">
        <f t="shared" si="177"/>
        <v>15420</v>
      </c>
      <c r="B4803" s="1" t="str">
        <f>"83311"</f>
        <v>83311</v>
      </c>
      <c r="C4803" s="2">
        <v>3.68091707419677E-3</v>
      </c>
      <c r="D4803" s="2">
        <v>0</v>
      </c>
      <c r="E4803" s="2">
        <v>2.1276595744680799E-3</v>
      </c>
      <c r="F4803" s="2">
        <v>3.32661762638804E-3</v>
      </c>
    </row>
    <row r="4804" spans="1:6" x14ac:dyDescent="0.25">
      <c r="A4804" s="1" t="str">
        <f t="shared" si="177"/>
        <v>15420</v>
      </c>
      <c r="B4804" s="1" t="str">
        <f>"83312"</f>
        <v>83312</v>
      </c>
      <c r="C4804" s="2">
        <v>2.1033811852552899E-3</v>
      </c>
      <c r="D4804" s="2">
        <v>0</v>
      </c>
      <c r="E4804" s="2">
        <v>2.1276595744680799E-3</v>
      </c>
      <c r="F4804" s="2">
        <v>1.9210045448156299E-3</v>
      </c>
    </row>
    <row r="4805" spans="1:6" x14ac:dyDescent="0.25">
      <c r="A4805" s="1" t="str">
        <f t="shared" si="177"/>
        <v>15420</v>
      </c>
      <c r="B4805" s="1" t="str">
        <f>"83342"</f>
        <v>83342</v>
      </c>
      <c r="C4805" s="2">
        <v>2.70810327601619E-2</v>
      </c>
      <c r="D4805" s="2">
        <v>4.8491379310344803E-3</v>
      </c>
      <c r="E4805" s="2">
        <v>3.6170212765957402E-2</v>
      </c>
      <c r="F4805" s="2">
        <v>2.5347889237689099E-2</v>
      </c>
    </row>
    <row r="4806" spans="1:6" x14ac:dyDescent="0.25">
      <c r="A4806" s="1" t="str">
        <f t="shared" ref="A4806:A4827" si="178">"15460"</f>
        <v>15460</v>
      </c>
      <c r="B4806" s="1" t="str">
        <f>"52638"</f>
        <v>52638</v>
      </c>
      <c r="C4806" s="2">
        <v>1.11128877518388E-2</v>
      </c>
      <c r="D4806" s="2">
        <v>5.0632911392405004E-3</v>
      </c>
      <c r="E4806" s="2">
        <v>2.9197080291970801E-3</v>
      </c>
      <c r="F4806" s="2">
        <v>1.0402194435538401E-2</v>
      </c>
    </row>
    <row r="4807" spans="1:6" x14ac:dyDescent="0.25">
      <c r="A4807" s="1" t="str">
        <f t="shared" si="178"/>
        <v>15460</v>
      </c>
      <c r="B4807" s="1" t="str">
        <f>"52650"</f>
        <v>52650</v>
      </c>
      <c r="C4807" s="2">
        <v>1.49904061400703E-2</v>
      </c>
      <c r="D4807" s="2">
        <v>4.6413502109704597E-3</v>
      </c>
      <c r="E4807" s="2">
        <v>0</v>
      </c>
      <c r="F4807" s="2">
        <v>1.37508460688967E-2</v>
      </c>
    </row>
    <row r="4808" spans="1:6" x14ac:dyDescent="0.25">
      <c r="A4808" s="1" t="str">
        <f t="shared" si="178"/>
        <v>15460</v>
      </c>
      <c r="B4808" s="1" t="str">
        <f>"61454"</f>
        <v>61454</v>
      </c>
      <c r="C4808" s="2">
        <v>2.0067157019507498E-2</v>
      </c>
      <c r="D4808" s="2">
        <v>1.6877637130801599E-3</v>
      </c>
      <c r="E4808" s="2">
        <v>0</v>
      </c>
      <c r="F4808" s="2">
        <v>1.8025720494460402E-2</v>
      </c>
    </row>
    <row r="4809" spans="1:6" x14ac:dyDescent="0.25">
      <c r="A4809" s="1" t="str">
        <f t="shared" si="178"/>
        <v>15460</v>
      </c>
      <c r="B4809" s="1" t="str">
        <f>"52623"</f>
        <v>52623</v>
      </c>
      <c r="C4809" s="2">
        <v>2.9860889031020101E-2</v>
      </c>
      <c r="D4809" s="2">
        <v>1.30801687763713E-2</v>
      </c>
      <c r="E4809" s="2">
        <v>2.04379562043795E-2</v>
      </c>
      <c r="F4809" s="2">
        <v>2.82141712087207E-2</v>
      </c>
    </row>
    <row r="4810" spans="1:6" x14ac:dyDescent="0.25">
      <c r="A4810" s="1" t="str">
        <f t="shared" si="178"/>
        <v>15460</v>
      </c>
      <c r="B4810" s="1" t="str">
        <f>"52645"</f>
        <v>52645</v>
      </c>
      <c r="C4810" s="2">
        <v>4.5570834665813803E-3</v>
      </c>
      <c r="D4810" s="2">
        <v>0</v>
      </c>
      <c r="E4810" s="2">
        <v>0</v>
      </c>
      <c r="F4810" s="2">
        <v>4.06113070428556E-3</v>
      </c>
    </row>
    <row r="4811" spans="1:6" x14ac:dyDescent="0.25">
      <c r="A4811" s="1" t="str">
        <f t="shared" si="178"/>
        <v>15460</v>
      </c>
      <c r="B4811" s="1" t="str">
        <f>"62330"</f>
        <v>62330</v>
      </c>
      <c r="C4811" s="2">
        <v>3.91749280460505E-3</v>
      </c>
      <c r="D4811" s="2">
        <v>4.2194092827004199E-4</v>
      </c>
      <c r="E4811" s="2">
        <v>0</v>
      </c>
      <c r="F4811" s="2">
        <v>3.5267714010900901E-3</v>
      </c>
    </row>
    <row r="4812" spans="1:6" x14ac:dyDescent="0.25">
      <c r="A4812" s="1" t="str">
        <f t="shared" si="178"/>
        <v>15460</v>
      </c>
      <c r="B4812" s="1" t="str">
        <f>"52655"</f>
        <v>52655</v>
      </c>
      <c r="C4812" s="2">
        <v>0.105012791813239</v>
      </c>
      <c r="D4812" s="2">
        <v>0.18607594936708799</v>
      </c>
      <c r="E4812" s="2">
        <v>0.105109489051094</v>
      </c>
      <c r="F4812" s="2">
        <v>0.111859214135584</v>
      </c>
    </row>
    <row r="4813" spans="1:6" x14ac:dyDescent="0.25">
      <c r="A4813" s="1" t="str">
        <f t="shared" si="178"/>
        <v>15460</v>
      </c>
      <c r="B4813" s="1" t="str">
        <f>"52660"</f>
        <v>52660</v>
      </c>
      <c r="C4813" s="2">
        <v>5.3565717940518001E-3</v>
      </c>
      <c r="D4813" s="2">
        <v>3.7974683544303701E-3</v>
      </c>
      <c r="E4813" s="2">
        <v>0</v>
      </c>
      <c r="F4813" s="2">
        <v>5.0942253571301301E-3</v>
      </c>
    </row>
    <row r="4814" spans="1:6" x14ac:dyDescent="0.25">
      <c r="A4814" s="1" t="str">
        <f t="shared" si="178"/>
        <v>15460</v>
      </c>
      <c r="B4814" s="1" t="str">
        <f>"61471"</f>
        <v>61471</v>
      </c>
      <c r="C4814" s="2">
        <v>2.1985929005436501E-3</v>
      </c>
      <c r="D4814" s="2">
        <v>1.6877637130801599E-3</v>
      </c>
      <c r="E4814" s="2">
        <v>0</v>
      </c>
      <c r="F4814" s="2">
        <v>2.1018132592354999E-3</v>
      </c>
    </row>
    <row r="4815" spans="1:6" x14ac:dyDescent="0.25">
      <c r="A4815" s="1" t="str">
        <f t="shared" si="178"/>
        <v>15460</v>
      </c>
      <c r="B4815" s="1" t="str">
        <f>"52601"</f>
        <v>52601</v>
      </c>
      <c r="C4815" s="2">
        <v>0.59310041573393002</v>
      </c>
      <c r="D4815" s="2">
        <v>0.67763713080168697</v>
      </c>
      <c r="E4815" s="2">
        <v>0.78102189781021802</v>
      </c>
      <c r="F4815" s="2">
        <v>0.60482348331017699</v>
      </c>
    </row>
    <row r="4816" spans="1:6" x14ac:dyDescent="0.25">
      <c r="A4816" s="1" t="str">
        <f t="shared" si="178"/>
        <v>15460</v>
      </c>
      <c r="B4816" s="1" t="str">
        <f>"61437"</f>
        <v>61437</v>
      </c>
      <c r="C4816" s="2">
        <v>2.7182603133994201E-2</v>
      </c>
      <c r="D4816" s="2">
        <v>4.6413502109704597E-3</v>
      </c>
      <c r="E4816" s="2">
        <v>4.3795620437956199E-3</v>
      </c>
      <c r="F4816" s="2">
        <v>2.4723023761177E-2</v>
      </c>
    </row>
    <row r="4817" spans="1:6" x14ac:dyDescent="0.25">
      <c r="A4817" s="1" t="str">
        <f t="shared" si="178"/>
        <v>15460</v>
      </c>
      <c r="B4817" s="1" t="str">
        <f>"61480"</f>
        <v>61480</v>
      </c>
      <c r="C4817" s="2">
        <v>3.5577230572433602E-2</v>
      </c>
      <c r="D4817" s="2">
        <v>9.2827004219409193E-3</v>
      </c>
      <c r="E4817" s="2">
        <v>2.9197080291970798E-2</v>
      </c>
      <c r="F4817" s="2">
        <v>3.3201524705211698E-2</v>
      </c>
    </row>
    <row r="4818" spans="1:6" x14ac:dyDescent="0.25">
      <c r="A4818" s="1" t="str">
        <f t="shared" si="178"/>
        <v>15460</v>
      </c>
      <c r="B4818" s="1" t="str">
        <f>"61460"</f>
        <v>61460</v>
      </c>
      <c r="C4818" s="2">
        <v>7.7950111928365802E-3</v>
      </c>
      <c r="D4818" s="2">
        <v>4.2194092827004199E-4</v>
      </c>
      <c r="E4818" s="2">
        <v>4.3795620437956199E-3</v>
      </c>
      <c r="F4818" s="2">
        <v>7.08916675572655E-3</v>
      </c>
    </row>
    <row r="4819" spans="1:6" x14ac:dyDescent="0.25">
      <c r="A4819" s="1" t="str">
        <f t="shared" si="178"/>
        <v>15460</v>
      </c>
      <c r="B4819" s="1" t="str">
        <f>"61450"</f>
        <v>61450</v>
      </c>
      <c r="C4819" s="2">
        <v>1.19923249120562E-4</v>
      </c>
      <c r="D4819" s="2">
        <v>4.2194092827004199E-4</v>
      </c>
      <c r="E4819" s="2">
        <v>0</v>
      </c>
      <c r="F4819" s="2">
        <v>1.4249581418545801E-4</v>
      </c>
    </row>
    <row r="4820" spans="1:6" x14ac:dyDescent="0.25">
      <c r="A4820" s="1" t="str">
        <f t="shared" si="178"/>
        <v>15460</v>
      </c>
      <c r="B4820" s="1" t="str">
        <f>"52646"</f>
        <v>52646</v>
      </c>
      <c r="C4820" s="2">
        <v>2.99808122801407E-3</v>
      </c>
      <c r="D4820" s="2">
        <v>0</v>
      </c>
      <c r="E4820" s="2">
        <v>0</v>
      </c>
      <c r="F4820" s="2">
        <v>2.67179651597734E-3</v>
      </c>
    </row>
    <row r="4821" spans="1:6" x14ac:dyDescent="0.25">
      <c r="A4821" s="1" t="str">
        <f t="shared" si="178"/>
        <v>15460</v>
      </c>
      <c r="B4821" s="1" t="str">
        <f>"52637"</f>
        <v>52637</v>
      </c>
      <c r="C4821" s="2">
        <v>4.7729453149984002E-2</v>
      </c>
      <c r="D4821" s="2">
        <v>1.1814345991561099E-2</v>
      </c>
      <c r="E4821" s="2">
        <v>1.75182481751824E-2</v>
      </c>
      <c r="F4821" s="2">
        <v>4.3959958676213801E-2</v>
      </c>
    </row>
    <row r="4822" spans="1:6" x14ac:dyDescent="0.25">
      <c r="A4822" s="1" t="str">
        <f t="shared" si="178"/>
        <v>15460</v>
      </c>
      <c r="B4822" s="1" t="str">
        <f>"52640"</f>
        <v>52640</v>
      </c>
      <c r="C4822" s="2">
        <v>2.5983370642788601E-3</v>
      </c>
      <c r="D4822" s="2">
        <v>0</v>
      </c>
      <c r="E4822" s="2">
        <v>0</v>
      </c>
      <c r="F4822" s="2">
        <v>2.3155569805136901E-3</v>
      </c>
    </row>
    <row r="4823" spans="1:6" x14ac:dyDescent="0.25">
      <c r="A4823" s="1" t="str">
        <f t="shared" si="178"/>
        <v>15460</v>
      </c>
      <c r="B4823" s="1" t="str">
        <f>"61418"</f>
        <v>61418</v>
      </c>
      <c r="C4823" s="2">
        <v>2.1386312759833701E-2</v>
      </c>
      <c r="D4823" s="2">
        <v>1.39240506329113E-2</v>
      </c>
      <c r="E4823" s="2">
        <v>7.2992700729926996E-3</v>
      </c>
      <c r="F4823" s="2">
        <v>2.04125253820669E-2</v>
      </c>
    </row>
    <row r="4824" spans="1:6" x14ac:dyDescent="0.25">
      <c r="A4824" s="1" t="str">
        <f t="shared" si="178"/>
        <v>15460</v>
      </c>
      <c r="B4824" s="1" t="str">
        <f>"61425"</f>
        <v>61425</v>
      </c>
      <c r="C4824" s="2">
        <v>1.7748640869843301E-2</v>
      </c>
      <c r="D4824" s="2">
        <v>8.0168776371307999E-3</v>
      </c>
      <c r="E4824" s="2">
        <v>0</v>
      </c>
      <c r="F4824" s="2">
        <v>1.6493890491966701E-2</v>
      </c>
    </row>
    <row r="4825" spans="1:6" x14ac:dyDescent="0.25">
      <c r="A4825" s="1" t="str">
        <f t="shared" si="178"/>
        <v>15460</v>
      </c>
      <c r="B4825" s="1" t="str">
        <f>"52644"</f>
        <v>52644</v>
      </c>
      <c r="C4825" s="2">
        <v>9.9936040933802303E-4</v>
      </c>
      <c r="D4825" s="2">
        <v>4.2194092827004199E-4</v>
      </c>
      <c r="E4825" s="2">
        <v>0</v>
      </c>
      <c r="F4825" s="2">
        <v>9.2622279220547796E-4</v>
      </c>
    </row>
    <row r="4826" spans="1:6" x14ac:dyDescent="0.25">
      <c r="A4826" s="1" t="str">
        <f t="shared" si="178"/>
        <v>15460</v>
      </c>
      <c r="B4826" s="1" t="str">
        <f>"61469"</f>
        <v>61469</v>
      </c>
      <c r="C4826" s="2">
        <v>4.4171730092740599E-2</v>
      </c>
      <c r="D4826" s="2">
        <v>5.6540084388185599E-2</v>
      </c>
      <c r="E4826" s="2">
        <v>2.7737226277372198E-2</v>
      </c>
      <c r="F4826" s="2">
        <v>4.4814933561326598E-2</v>
      </c>
    </row>
    <row r="4827" spans="1:6" x14ac:dyDescent="0.25">
      <c r="A4827" s="1" t="str">
        <f t="shared" si="178"/>
        <v>15460</v>
      </c>
      <c r="B4827" s="1" t="str">
        <f>"52658"</f>
        <v>52658</v>
      </c>
      <c r="C4827" s="2">
        <v>1.5190278221937901E-3</v>
      </c>
      <c r="D4827" s="2">
        <v>4.2194092827004199E-4</v>
      </c>
      <c r="E4827" s="2">
        <v>0</v>
      </c>
      <c r="F4827" s="2">
        <v>1.3893341883082101E-3</v>
      </c>
    </row>
    <row r="4828" spans="1:6" x14ac:dyDescent="0.25">
      <c r="A4828" s="1" t="str">
        <f t="shared" ref="A4828:A4842" si="179">"15500"</f>
        <v>15500</v>
      </c>
      <c r="B4828" s="1" t="str">
        <f>"27215"</f>
        <v>27215</v>
      </c>
      <c r="C4828" s="2">
        <v>0.23547862977839901</v>
      </c>
      <c r="D4828" s="2">
        <v>0.38147940599607699</v>
      </c>
      <c r="E4828" s="2">
        <v>0.41970802919708</v>
      </c>
      <c r="F4828" s="2">
        <v>0.25118266907599501</v>
      </c>
    </row>
    <row r="4829" spans="1:6" x14ac:dyDescent="0.25">
      <c r="A4829" s="1" t="str">
        <f t="shared" si="179"/>
        <v>15500</v>
      </c>
      <c r="B4829" s="1" t="str">
        <f>"27216"</f>
        <v>27216</v>
      </c>
      <c r="C4829" s="2">
        <v>1.55819831204585E-2</v>
      </c>
      <c r="D4829" s="2">
        <v>7.4250490333426705E-2</v>
      </c>
      <c r="E4829" s="2">
        <v>3.6496350364963501E-4</v>
      </c>
      <c r="F4829" s="2">
        <v>1.9409985178567801E-2</v>
      </c>
    </row>
    <row r="4830" spans="1:6" x14ac:dyDescent="0.25">
      <c r="A4830" s="1" t="str">
        <f t="shared" si="179"/>
        <v>15500</v>
      </c>
      <c r="B4830" s="1" t="str">
        <f>"27253"</f>
        <v>27253</v>
      </c>
      <c r="C4830" s="2">
        <v>0.17751726316739599</v>
      </c>
      <c r="D4830" s="2">
        <v>0.16629307929391901</v>
      </c>
      <c r="E4830" s="2">
        <v>0.211313868613138</v>
      </c>
      <c r="F4830" s="2">
        <v>0.177644001380626</v>
      </c>
    </row>
    <row r="4831" spans="1:6" x14ac:dyDescent="0.25">
      <c r="A4831" s="1" t="str">
        <f t="shared" si="179"/>
        <v>15500</v>
      </c>
      <c r="B4831" s="1" t="str">
        <f>"27349"</f>
        <v>27349</v>
      </c>
      <c r="C4831" s="2">
        <v>3.1773254501963201E-2</v>
      </c>
      <c r="D4831" s="2">
        <v>6.4443821798823098E-3</v>
      </c>
      <c r="E4831" s="2">
        <v>1.3138686131386801E-2</v>
      </c>
      <c r="F4831" s="2">
        <v>2.9419527744502801E-2</v>
      </c>
    </row>
    <row r="4832" spans="1:6" x14ac:dyDescent="0.25">
      <c r="A4832" s="1" t="str">
        <f t="shared" si="179"/>
        <v>15500</v>
      </c>
      <c r="B4832" s="1" t="str">
        <f>"27340"</f>
        <v>27340</v>
      </c>
      <c r="C4832" s="2">
        <v>0</v>
      </c>
      <c r="D4832" s="2">
        <v>0</v>
      </c>
      <c r="E4832" s="2">
        <v>1.0948905109489E-3</v>
      </c>
      <c r="F4832" s="2">
        <v>3.04549976651168E-5</v>
      </c>
    </row>
    <row r="4833" spans="1:6" x14ac:dyDescent="0.25">
      <c r="A4833" s="1" t="str">
        <f t="shared" si="179"/>
        <v>15500</v>
      </c>
      <c r="B4833" s="1" t="str">
        <f>"27302"</f>
        <v>27302</v>
      </c>
      <c r="C4833" s="2">
        <v>0.13754118337320001</v>
      </c>
      <c r="D4833" s="2">
        <v>0.14023536004483</v>
      </c>
      <c r="E4833" s="2">
        <v>0.12737226277372199</v>
      </c>
      <c r="F4833" s="2">
        <v>0.13745355612856</v>
      </c>
    </row>
    <row r="4834" spans="1:6" x14ac:dyDescent="0.25">
      <c r="A4834" s="1" t="str">
        <f t="shared" si="179"/>
        <v>15500</v>
      </c>
      <c r="B4834" s="1" t="str">
        <f>"27201"</f>
        <v>27201</v>
      </c>
      <c r="C4834" s="2">
        <v>5.2353657986189397E-3</v>
      </c>
      <c r="D4834" s="2">
        <v>9.8066685346035291E-3</v>
      </c>
      <c r="E4834" s="2">
        <v>7.2992700729927003E-4</v>
      </c>
      <c r="F4834" s="2">
        <v>5.4412929161675398E-3</v>
      </c>
    </row>
    <row r="4835" spans="1:6" x14ac:dyDescent="0.25">
      <c r="A4835" s="1" t="str">
        <f t="shared" si="179"/>
        <v>15500</v>
      </c>
      <c r="B4835" s="1" t="str">
        <f>"27244"</f>
        <v>27244</v>
      </c>
      <c r="C4835" s="2">
        <v>0.13081644626980099</v>
      </c>
      <c r="D4835" s="2">
        <v>1.8352479686186599E-2</v>
      </c>
      <c r="E4835" s="2">
        <v>1.6423357664233501E-2</v>
      </c>
      <c r="F4835" s="2">
        <v>0.119485107506141</v>
      </c>
    </row>
    <row r="4836" spans="1:6" x14ac:dyDescent="0.25">
      <c r="A4836" s="1" t="str">
        <f t="shared" si="179"/>
        <v>15500</v>
      </c>
      <c r="B4836" s="1" t="str">
        <f>"27249"</f>
        <v>27249</v>
      </c>
      <c r="C4836" s="2">
        <v>1.8944351672157699E-2</v>
      </c>
      <c r="D4836" s="2">
        <v>4.0627626786214604E-3</v>
      </c>
      <c r="E4836" s="2">
        <v>7.2992700729926996E-3</v>
      </c>
      <c r="F4836" s="2">
        <v>1.7542078655107301E-2</v>
      </c>
    </row>
    <row r="4837" spans="1:6" x14ac:dyDescent="0.25">
      <c r="A4837" s="1" t="str">
        <f t="shared" si="179"/>
        <v>15500</v>
      </c>
      <c r="B4837" s="1" t="str">
        <f>"27202"</f>
        <v>27202</v>
      </c>
      <c r="C4837" s="2">
        <v>0</v>
      </c>
      <c r="D4837" s="2">
        <v>0</v>
      </c>
      <c r="E4837" s="2">
        <v>3.6496350364963501E-4</v>
      </c>
      <c r="F4837" s="2">
        <v>1.0151665888372199E-5</v>
      </c>
    </row>
    <row r="4838" spans="1:6" x14ac:dyDescent="0.25">
      <c r="A4838" s="1" t="str">
        <f t="shared" si="179"/>
        <v>15500</v>
      </c>
      <c r="B4838" s="1" t="str">
        <f>"27359"</f>
        <v>27359</v>
      </c>
      <c r="C4838" s="2">
        <v>2.9787426095590499E-3</v>
      </c>
      <c r="D4838" s="2">
        <v>2.2415242364808002E-3</v>
      </c>
      <c r="E4838" s="2">
        <v>7.2992700729927003E-4</v>
      </c>
      <c r="F4838" s="2">
        <v>2.8627697805209801E-3</v>
      </c>
    </row>
    <row r="4839" spans="1:6" x14ac:dyDescent="0.25">
      <c r="A4839" s="1" t="str">
        <f t="shared" si="179"/>
        <v>15500</v>
      </c>
      <c r="B4839" s="1" t="str">
        <f>"27298"</f>
        <v>27298</v>
      </c>
      <c r="C4839" s="2">
        <v>1.3381775511125101E-2</v>
      </c>
      <c r="D4839" s="2">
        <v>2.5217147660409E-3</v>
      </c>
      <c r="E4839" s="2">
        <v>1.4598540145985399E-2</v>
      </c>
      <c r="F4839" s="2">
        <v>1.26286723651351E-2</v>
      </c>
    </row>
    <row r="4840" spans="1:6" x14ac:dyDescent="0.25">
      <c r="A4840" s="1" t="str">
        <f t="shared" si="179"/>
        <v>15500</v>
      </c>
      <c r="B4840" s="1" t="str">
        <f>"27344"</f>
        <v>27344</v>
      </c>
      <c r="C4840" s="2">
        <v>1.4668050728889199E-4</v>
      </c>
      <c r="D4840" s="2">
        <v>0</v>
      </c>
      <c r="E4840" s="2">
        <v>0</v>
      </c>
      <c r="F4840" s="2">
        <v>1.3197165654883899E-4</v>
      </c>
    </row>
    <row r="4841" spans="1:6" x14ac:dyDescent="0.25">
      <c r="A4841" s="1" t="str">
        <f t="shared" si="179"/>
        <v>15500</v>
      </c>
      <c r="B4841" s="1" t="str">
        <f>"27258"</f>
        <v>27258</v>
      </c>
      <c r="C4841" s="2">
        <v>4.1770095229498497E-2</v>
      </c>
      <c r="D4841" s="2">
        <v>3.0260577192490801E-2</v>
      </c>
      <c r="E4841" s="2">
        <v>2.51824817518248E-2</v>
      </c>
      <c r="F4841" s="2">
        <v>4.0474691896940203E-2</v>
      </c>
    </row>
    <row r="4842" spans="1:6" x14ac:dyDescent="0.25">
      <c r="A4842" s="1" t="str">
        <f t="shared" si="179"/>
        <v>15500</v>
      </c>
      <c r="B4842" s="1" t="str">
        <f>"27217"</f>
        <v>27217</v>
      </c>
      <c r="C4842" s="2">
        <v>0.188834228460531</v>
      </c>
      <c r="D4842" s="2">
        <v>0.16405155505743901</v>
      </c>
      <c r="E4842" s="2">
        <v>0.16167883211678799</v>
      </c>
      <c r="F4842" s="2">
        <v>0.186283069051631</v>
      </c>
    </row>
    <row r="4843" spans="1:6" x14ac:dyDescent="0.25">
      <c r="A4843" s="1" t="str">
        <f t="shared" ref="A4843:A4874" si="180">"15540"</f>
        <v>15540</v>
      </c>
      <c r="B4843" s="1" t="str">
        <f>"05406"</f>
        <v>05406</v>
      </c>
      <c r="C4843" s="2">
        <v>6.5202438495821202E-3</v>
      </c>
      <c r="D4843" s="2">
        <v>2.26941851502954E-2</v>
      </c>
      <c r="E4843" s="2">
        <v>3.2938076416337201E-4</v>
      </c>
      <c r="F4843" s="2">
        <v>7.7413626089764204E-3</v>
      </c>
    </row>
    <row r="4844" spans="1:6" x14ac:dyDescent="0.25">
      <c r="A4844" s="1" t="str">
        <f t="shared" si="180"/>
        <v>15540</v>
      </c>
      <c r="B4844" s="1" t="str">
        <f>"05464"</f>
        <v>05464</v>
      </c>
      <c r="C4844" s="2">
        <v>9.3280945246911799E-4</v>
      </c>
      <c r="D4844" s="2">
        <v>0</v>
      </c>
      <c r="E4844" s="2">
        <v>0</v>
      </c>
      <c r="F4844" s="2">
        <v>7.9916047788182096E-4</v>
      </c>
    </row>
    <row r="4845" spans="1:6" x14ac:dyDescent="0.25">
      <c r="A4845" s="1" t="str">
        <f t="shared" si="180"/>
        <v>15540</v>
      </c>
      <c r="B4845" s="1" t="str">
        <f>"05448"</f>
        <v>05448</v>
      </c>
      <c r="C4845" s="2">
        <v>5.1068961943258797E-3</v>
      </c>
      <c r="D4845" s="2">
        <v>1.71276869058833E-4</v>
      </c>
      <c r="E4845" s="2">
        <v>9.8814229249011808E-4</v>
      </c>
      <c r="F4845" s="2">
        <v>4.4397804326767798E-3</v>
      </c>
    </row>
    <row r="4846" spans="1:6" x14ac:dyDescent="0.25">
      <c r="A4846" s="1" t="str">
        <f t="shared" si="180"/>
        <v>15540</v>
      </c>
      <c r="B4846" s="1" t="str">
        <f>"05477"</f>
        <v>05477</v>
      </c>
      <c r="C4846" s="2">
        <v>1.7987204492560999E-2</v>
      </c>
      <c r="D4846" s="2">
        <v>8.4782050184122604E-3</v>
      </c>
      <c r="E4846" s="2">
        <v>1.18577075098814E-2</v>
      </c>
      <c r="F4846" s="2">
        <v>1.6790442363577601E-2</v>
      </c>
    </row>
    <row r="4847" spans="1:6" x14ac:dyDescent="0.25">
      <c r="A4847" s="1" t="str">
        <f t="shared" si="180"/>
        <v>15540</v>
      </c>
      <c r="B4847" s="1" t="str">
        <f>"05485"</f>
        <v>05485</v>
      </c>
      <c r="C4847" s="2">
        <v>0</v>
      </c>
      <c r="D4847" s="2">
        <v>0</v>
      </c>
      <c r="E4847" s="2">
        <v>1.64690382081686E-4</v>
      </c>
      <c r="F4847" s="2">
        <v>8.0723280594123297E-6</v>
      </c>
    </row>
    <row r="4848" spans="1:6" x14ac:dyDescent="0.25">
      <c r="A4848" s="1" t="str">
        <f t="shared" si="180"/>
        <v>15540</v>
      </c>
      <c r="B4848" s="1" t="str">
        <f>"05490"</f>
        <v>05490</v>
      </c>
      <c r="C4848" s="2">
        <v>0</v>
      </c>
      <c r="D4848" s="2">
        <v>0</v>
      </c>
      <c r="E4848" s="2">
        <v>1.64690382081686E-4</v>
      </c>
      <c r="F4848" s="2">
        <v>8.0723280594123297E-6</v>
      </c>
    </row>
    <row r="4849" spans="1:6" x14ac:dyDescent="0.25">
      <c r="A4849" s="1" t="str">
        <f t="shared" si="180"/>
        <v>15540</v>
      </c>
      <c r="B4849" s="1" t="str">
        <f>"05494"</f>
        <v>05494</v>
      </c>
      <c r="C4849" s="2">
        <v>6.68042325051116E-3</v>
      </c>
      <c r="D4849" s="2">
        <v>9.42022779823584E-4</v>
      </c>
      <c r="E4849" s="2">
        <v>1.64690382081686E-4</v>
      </c>
      <c r="F4849" s="2">
        <v>5.8201485308362897E-3</v>
      </c>
    </row>
    <row r="4850" spans="1:6" x14ac:dyDescent="0.25">
      <c r="A4850" s="1" t="str">
        <f t="shared" si="180"/>
        <v>15540</v>
      </c>
      <c r="B4850" s="1" t="str">
        <f>"05439"</f>
        <v>05439</v>
      </c>
      <c r="C4850" s="2">
        <v>0</v>
      </c>
      <c r="D4850" s="2">
        <v>0</v>
      </c>
      <c r="E4850" s="2">
        <v>1.64690382081686E-4</v>
      </c>
      <c r="F4850" s="2">
        <v>8.0723280594123297E-6</v>
      </c>
    </row>
    <row r="4851" spans="1:6" x14ac:dyDescent="0.25">
      <c r="A4851" s="1" t="str">
        <f t="shared" si="180"/>
        <v>15540</v>
      </c>
      <c r="B4851" s="1" t="str">
        <f>"05445"</f>
        <v>05445</v>
      </c>
      <c r="C4851" s="2">
        <v>1.6441944389480899E-2</v>
      </c>
      <c r="D4851" s="2">
        <v>2.1409608632354201E-3</v>
      </c>
      <c r="E4851" s="2">
        <v>2.7997364953886599E-3</v>
      </c>
      <c r="F4851" s="2">
        <v>1.44252502421698E-2</v>
      </c>
    </row>
    <row r="4852" spans="1:6" x14ac:dyDescent="0.25">
      <c r="A4852" s="1" t="str">
        <f t="shared" si="180"/>
        <v>15540</v>
      </c>
      <c r="B4852" s="1" t="str">
        <f>"05401"</f>
        <v>05401</v>
      </c>
      <c r="C4852" s="2">
        <v>0.12901037397178899</v>
      </c>
      <c r="D4852" s="2">
        <v>0.177956666952128</v>
      </c>
      <c r="E4852" s="2">
        <v>0.33514492753623099</v>
      </c>
      <c r="F4852" s="2">
        <v>0.14372780109783601</v>
      </c>
    </row>
    <row r="4853" spans="1:6" x14ac:dyDescent="0.25">
      <c r="A4853" s="1" t="str">
        <f t="shared" si="180"/>
        <v>15540</v>
      </c>
      <c r="B4853" s="1" t="str">
        <f>"05447"</f>
        <v>05447</v>
      </c>
      <c r="C4853" s="2">
        <v>8.9512018166228505E-4</v>
      </c>
      <c r="D4853" s="2">
        <v>4.28192172647084E-4</v>
      </c>
      <c r="E4853" s="2">
        <v>4.9407114624505904E-4</v>
      </c>
      <c r="F4853" s="2">
        <v>8.3144979011947001E-4</v>
      </c>
    </row>
    <row r="4854" spans="1:6" x14ac:dyDescent="0.25">
      <c r="A4854" s="1" t="str">
        <f t="shared" si="180"/>
        <v>15540</v>
      </c>
      <c r="B4854" s="1" t="str">
        <f>"05441"</f>
        <v>05441</v>
      </c>
      <c r="C4854" s="2">
        <v>9.7049872327595104E-4</v>
      </c>
      <c r="D4854" s="2">
        <v>0</v>
      </c>
      <c r="E4854" s="2">
        <v>1.64690382081686E-4</v>
      </c>
      <c r="F4854" s="2">
        <v>8.3952211817888203E-4</v>
      </c>
    </row>
    <row r="4855" spans="1:6" x14ac:dyDescent="0.25">
      <c r="A4855" s="1" t="str">
        <f t="shared" si="180"/>
        <v>15540</v>
      </c>
      <c r="B4855" s="1" t="str">
        <f>"05468"</f>
        <v>05468</v>
      </c>
      <c r="C4855" s="2">
        <v>5.3792011759052398E-2</v>
      </c>
      <c r="D4855" s="2">
        <v>1.8926094031001098E-2</v>
      </c>
      <c r="E4855" s="2">
        <v>3.1620553359683702E-2</v>
      </c>
      <c r="F4855" s="2">
        <v>4.9418792379722298E-2</v>
      </c>
    </row>
    <row r="4856" spans="1:6" x14ac:dyDescent="0.25">
      <c r="A4856" s="1" t="str">
        <f t="shared" si="180"/>
        <v>15540</v>
      </c>
      <c r="B4856" s="1" t="str">
        <f>"05465"</f>
        <v>05465</v>
      </c>
      <c r="C4856" s="2">
        <v>2.1153103240335001E-2</v>
      </c>
      <c r="D4856" s="2">
        <v>4.4531985955296701E-3</v>
      </c>
      <c r="E4856" s="2">
        <v>5.1054018445322704E-3</v>
      </c>
      <c r="F4856" s="2">
        <v>1.8792379722311899E-2</v>
      </c>
    </row>
    <row r="4857" spans="1:6" x14ac:dyDescent="0.25">
      <c r="A4857" s="1" t="str">
        <f t="shared" si="180"/>
        <v>15540</v>
      </c>
      <c r="B4857" s="1" t="str">
        <f>"05453"</f>
        <v>05453</v>
      </c>
      <c r="C4857" s="2">
        <v>7.2269176772102404E-3</v>
      </c>
      <c r="D4857" s="2">
        <v>2.3293654192001301E-2</v>
      </c>
      <c r="E4857" s="2">
        <v>3.2938076416337201E-4</v>
      </c>
      <c r="F4857" s="2">
        <v>8.4032935098482392E-3</v>
      </c>
    </row>
    <row r="4858" spans="1:6" x14ac:dyDescent="0.25">
      <c r="A4858" s="1" t="str">
        <f t="shared" si="180"/>
        <v>15540</v>
      </c>
      <c r="B4858" s="1" t="str">
        <f>"05407"</f>
        <v>05407</v>
      </c>
      <c r="C4858" s="2">
        <v>3.02456398224835E-3</v>
      </c>
      <c r="D4858" s="2">
        <v>1.4815449173589099E-2</v>
      </c>
      <c r="E4858" s="2">
        <v>3.2938076416337201E-4</v>
      </c>
      <c r="F4858" s="2">
        <v>4.0038747174685101E-3</v>
      </c>
    </row>
    <row r="4859" spans="1:6" x14ac:dyDescent="0.25">
      <c r="A4859" s="1" t="str">
        <f t="shared" si="180"/>
        <v>15540</v>
      </c>
      <c r="B4859" s="1" t="str">
        <f>"05402"</f>
        <v>05402</v>
      </c>
      <c r="C4859" s="2">
        <v>1.5678736655642501E-2</v>
      </c>
      <c r="D4859" s="2">
        <v>7.4847991778710196E-2</v>
      </c>
      <c r="E4859" s="2">
        <v>3.2938076416337201E-4</v>
      </c>
      <c r="F4859" s="2">
        <v>2.05037132709073E-2</v>
      </c>
    </row>
    <row r="4860" spans="1:6" x14ac:dyDescent="0.25">
      <c r="A4860" s="1" t="str">
        <f t="shared" si="180"/>
        <v>15540</v>
      </c>
      <c r="B4860" s="1" t="str">
        <f>"05403"</f>
        <v>05403</v>
      </c>
      <c r="C4860" s="2">
        <v>9.0284648217768604E-2</v>
      </c>
      <c r="D4860" s="2">
        <v>0.115354971311124</v>
      </c>
      <c r="E4860" s="2">
        <v>7.9874835309617906E-2</v>
      </c>
      <c r="F4860" s="2">
        <v>9.2137552470132306E-2</v>
      </c>
    </row>
    <row r="4861" spans="1:6" x14ac:dyDescent="0.25">
      <c r="A4861" s="1" t="str">
        <f t="shared" si="180"/>
        <v>15540</v>
      </c>
      <c r="B4861" s="1" t="str">
        <f>"05454"</f>
        <v>05454</v>
      </c>
      <c r="C4861" s="2">
        <v>1.89388585804336E-2</v>
      </c>
      <c r="D4861" s="2">
        <v>4.6244754645884999E-3</v>
      </c>
      <c r="E4861" s="2">
        <v>1.30105401844532E-2</v>
      </c>
      <c r="F4861" s="2">
        <v>1.7298999031320601E-2</v>
      </c>
    </row>
    <row r="4862" spans="1:6" x14ac:dyDescent="0.25">
      <c r="A4862" s="1" t="str">
        <f t="shared" si="180"/>
        <v>15540</v>
      </c>
      <c r="B4862" s="1" t="str">
        <f>"05458"</f>
        <v>05458</v>
      </c>
      <c r="C4862" s="2">
        <v>1.08639323100696E-2</v>
      </c>
      <c r="D4862" s="2">
        <v>2.055322428706E-3</v>
      </c>
      <c r="E4862" s="2">
        <v>3.9525691699604697E-3</v>
      </c>
      <c r="F4862" s="2">
        <v>9.6948659993542092E-3</v>
      </c>
    </row>
    <row r="4863" spans="1:6" x14ac:dyDescent="0.25">
      <c r="A4863" s="1" t="str">
        <f t="shared" si="180"/>
        <v>15540</v>
      </c>
      <c r="B4863" s="1" t="str">
        <f>"05488"</f>
        <v>05488</v>
      </c>
      <c r="C4863" s="2">
        <v>3.4165323986394103E-2</v>
      </c>
      <c r="D4863" s="2">
        <v>1.6014387257000901E-2</v>
      </c>
      <c r="E4863" s="2">
        <v>1.69631093544137E-2</v>
      </c>
      <c r="F4863" s="2">
        <v>3.1611236680658697E-2</v>
      </c>
    </row>
    <row r="4864" spans="1:6" x14ac:dyDescent="0.25">
      <c r="A4864" s="1" t="str">
        <f t="shared" si="180"/>
        <v>15540</v>
      </c>
      <c r="B4864" s="1" t="str">
        <f>"05489"</f>
        <v>05489</v>
      </c>
      <c r="C4864" s="2">
        <v>1.14858052783823E-2</v>
      </c>
      <c r="D4864" s="2">
        <v>8.5638434529416801E-4</v>
      </c>
      <c r="E4864" s="2">
        <v>8.2345191040843202E-4</v>
      </c>
      <c r="F4864" s="2">
        <v>9.9612528253148203E-3</v>
      </c>
    </row>
    <row r="4865" spans="1:6" x14ac:dyDescent="0.25">
      <c r="A4865" s="1" t="str">
        <f t="shared" si="180"/>
        <v>15540</v>
      </c>
      <c r="B4865" s="1" t="str">
        <f>"05404"</f>
        <v>05404</v>
      </c>
      <c r="C4865" s="2">
        <v>3.9215686274509803E-2</v>
      </c>
      <c r="D4865" s="2">
        <v>3.0316005823413501E-2</v>
      </c>
      <c r="E4865" s="2">
        <v>7.9051383399209404E-2</v>
      </c>
      <c r="F4865" s="2">
        <v>4.0329350984824E-2</v>
      </c>
    </row>
    <row r="4866" spans="1:6" x14ac:dyDescent="0.25">
      <c r="A4866" s="1" t="str">
        <f t="shared" si="180"/>
        <v>15540</v>
      </c>
      <c r="B4866" s="1" t="str">
        <f>"05451"</f>
        <v>05451</v>
      </c>
      <c r="C4866" s="2">
        <v>4.5509794499250904E-3</v>
      </c>
      <c r="D4866" s="2">
        <v>2.0039393679883499E-2</v>
      </c>
      <c r="E4866" s="2">
        <v>1.64690382081686E-4</v>
      </c>
      <c r="F4866" s="2">
        <v>5.7959315466580502E-3</v>
      </c>
    </row>
    <row r="4867" spans="1:6" x14ac:dyDescent="0.25">
      <c r="A4867" s="1" t="str">
        <f t="shared" si="180"/>
        <v>15540</v>
      </c>
      <c r="B4867" s="1" t="str">
        <f>"05478"</f>
        <v>05478</v>
      </c>
      <c r="C4867" s="2">
        <v>6.8283536384279794E-2</v>
      </c>
      <c r="D4867" s="2">
        <v>6.4228825897062594E-2</v>
      </c>
      <c r="E4867" s="2">
        <v>9.0744400527009203E-2</v>
      </c>
      <c r="F4867" s="2">
        <v>6.9002260251856601E-2</v>
      </c>
    </row>
    <row r="4868" spans="1:6" x14ac:dyDescent="0.25">
      <c r="A4868" s="1" t="str">
        <f t="shared" si="180"/>
        <v>15540</v>
      </c>
      <c r="B4868" s="1" t="str">
        <f>"05476"</f>
        <v>05476</v>
      </c>
      <c r="C4868" s="2">
        <v>1.3784850797599099E-2</v>
      </c>
      <c r="D4868" s="2">
        <v>7.7930975421769202E-3</v>
      </c>
      <c r="E4868" s="2">
        <v>1.13636363636363E-2</v>
      </c>
      <c r="F4868" s="2">
        <v>1.3101388440426199E-2</v>
      </c>
    </row>
    <row r="4869" spans="1:6" x14ac:dyDescent="0.25">
      <c r="A4869" s="1" t="str">
        <f t="shared" si="180"/>
        <v>15540</v>
      </c>
      <c r="B4869" s="1" t="str">
        <f>"05486"</f>
        <v>05486</v>
      </c>
      <c r="C4869" s="2">
        <v>8.4518189784323107E-3</v>
      </c>
      <c r="D4869" s="2">
        <v>2.5691530358824999E-3</v>
      </c>
      <c r="E4869" s="2">
        <v>2.9644268774703499E-3</v>
      </c>
      <c r="F4869" s="2">
        <v>7.6283500161446497E-3</v>
      </c>
    </row>
    <row r="4870" spans="1:6" x14ac:dyDescent="0.25">
      <c r="A4870" s="1" t="str">
        <f t="shared" si="180"/>
        <v>15540</v>
      </c>
      <c r="B4870" s="1" t="str">
        <f>"05479"</f>
        <v>05479</v>
      </c>
      <c r="C4870" s="2">
        <v>0</v>
      </c>
      <c r="D4870" s="2">
        <v>2.5691530358825E-4</v>
      </c>
      <c r="E4870" s="2">
        <v>0</v>
      </c>
      <c r="F4870" s="2">
        <v>2.4216984178237001E-5</v>
      </c>
    </row>
    <row r="4871" spans="1:6" x14ac:dyDescent="0.25">
      <c r="A4871" s="1" t="str">
        <f t="shared" si="180"/>
        <v>15540</v>
      </c>
      <c r="B4871" s="1" t="str">
        <f>"05470"</f>
        <v>05470</v>
      </c>
      <c r="C4871" s="2">
        <v>0</v>
      </c>
      <c r="D4871" s="2">
        <v>0</v>
      </c>
      <c r="E4871" s="2">
        <v>1.64690382081686E-4</v>
      </c>
      <c r="F4871" s="2">
        <v>8.0723280594123297E-6</v>
      </c>
    </row>
    <row r="4872" spans="1:6" x14ac:dyDescent="0.25">
      <c r="A4872" s="1" t="str">
        <f t="shared" si="180"/>
        <v>15540</v>
      </c>
      <c r="B4872" s="1" t="str">
        <f>"05466"</f>
        <v>05466</v>
      </c>
      <c r="C4872" s="2">
        <v>0</v>
      </c>
      <c r="D4872" s="2">
        <v>8.5638434529416798E-5</v>
      </c>
      <c r="E4872" s="2">
        <v>0</v>
      </c>
      <c r="F4872" s="2">
        <v>8.0723280594123297E-6</v>
      </c>
    </row>
    <row r="4873" spans="1:6" x14ac:dyDescent="0.25">
      <c r="A4873" s="1" t="str">
        <f t="shared" si="180"/>
        <v>15540</v>
      </c>
      <c r="B4873" s="1" t="str">
        <f>"05405"</f>
        <v>05405</v>
      </c>
      <c r="C4873" s="2">
        <v>0</v>
      </c>
      <c r="D4873" s="2">
        <v>1.0790442750706499E-2</v>
      </c>
      <c r="E4873" s="2">
        <v>2.30566534914361E-3</v>
      </c>
      <c r="F4873" s="2">
        <v>1.1301259283177201E-3</v>
      </c>
    </row>
    <row r="4874" spans="1:6" x14ac:dyDescent="0.25">
      <c r="A4874" s="1" t="str">
        <f t="shared" si="180"/>
        <v>15540</v>
      </c>
      <c r="B4874" s="1" t="str">
        <f>"05444"</f>
        <v>05444</v>
      </c>
      <c r="C4874" s="2">
        <v>3.7595047629815901E-3</v>
      </c>
      <c r="D4874" s="2">
        <v>5.138306071765E-4</v>
      </c>
      <c r="E4874" s="2">
        <v>9.8814229249011808E-4</v>
      </c>
      <c r="F4874" s="2">
        <v>3.3177268324184601E-3</v>
      </c>
    </row>
    <row r="4875" spans="1:6" x14ac:dyDescent="0.25">
      <c r="A4875" s="1" t="str">
        <f t="shared" ref="A4875:A4896" si="181">"15540"</f>
        <v>15540</v>
      </c>
      <c r="B4875" s="1" t="str">
        <f>"05440"</f>
        <v>05440</v>
      </c>
      <c r="C4875" s="2">
        <v>1.6159274858429599E-2</v>
      </c>
      <c r="D4875" s="2">
        <v>3.1686220775884199E-3</v>
      </c>
      <c r="E4875" s="2">
        <v>3.6231884057971002E-3</v>
      </c>
      <c r="F4875" s="2">
        <v>1.4320309977397401E-2</v>
      </c>
    </row>
    <row r="4876" spans="1:6" x14ac:dyDescent="0.25">
      <c r="A4876" s="1" t="str">
        <f t="shared" si="181"/>
        <v>15540</v>
      </c>
      <c r="B4876" s="1" t="str">
        <f>"05474"</f>
        <v>05474</v>
      </c>
      <c r="C4876" s="2">
        <v>7.6038103852785702E-3</v>
      </c>
      <c r="D4876" s="2">
        <v>1.2845765179412499E-3</v>
      </c>
      <c r="E4876" s="2">
        <v>1.64690382081686E-4</v>
      </c>
      <c r="F4876" s="2">
        <v>6.6435259928963502E-3</v>
      </c>
    </row>
    <row r="4877" spans="1:6" x14ac:dyDescent="0.25">
      <c r="A4877" s="1" t="str">
        <f t="shared" si="181"/>
        <v>15540</v>
      </c>
      <c r="B4877" s="1" t="str">
        <f>"05483"</f>
        <v>05483</v>
      </c>
      <c r="C4877" s="2">
        <v>6.7934910629316499E-3</v>
      </c>
      <c r="D4877" s="2">
        <v>6.8510747623533395E-4</v>
      </c>
      <c r="E4877" s="2">
        <v>1.48221343873517E-3</v>
      </c>
      <c r="F4877" s="2">
        <v>5.9573781078462998E-3</v>
      </c>
    </row>
    <row r="4878" spans="1:6" x14ac:dyDescent="0.25">
      <c r="A4878" s="1" t="str">
        <f t="shared" si="181"/>
        <v>15540</v>
      </c>
      <c r="B4878" s="1" t="str">
        <f>"05446"</f>
        <v>05446</v>
      </c>
      <c r="C4878" s="2">
        <v>7.7828344216110207E-2</v>
      </c>
      <c r="D4878" s="2">
        <v>8.8207587565299297E-2</v>
      </c>
      <c r="E4878" s="2">
        <v>0.117094861660079</v>
      </c>
      <c r="F4878" s="2">
        <v>8.0731352922182698E-2</v>
      </c>
    </row>
    <row r="4879" spans="1:6" x14ac:dyDescent="0.25">
      <c r="A4879" s="1" t="str">
        <f t="shared" si="181"/>
        <v>15540</v>
      </c>
      <c r="B4879" s="1" t="str">
        <f>"05461"</f>
        <v>05461</v>
      </c>
      <c r="C4879" s="2">
        <v>1.8872902356521601E-2</v>
      </c>
      <c r="D4879" s="2">
        <v>6.5085210242356696E-3</v>
      </c>
      <c r="E4879" s="2">
        <v>2.05862977602108E-2</v>
      </c>
      <c r="F4879" s="2">
        <v>1.77914110429447E-2</v>
      </c>
    </row>
    <row r="4880" spans="1:6" x14ac:dyDescent="0.25">
      <c r="A4880" s="1" t="str">
        <f t="shared" si="181"/>
        <v>15540</v>
      </c>
      <c r="B4880" s="1" t="str">
        <f>"05463"</f>
        <v>05463</v>
      </c>
      <c r="C4880" s="2">
        <v>3.2130103362825102E-3</v>
      </c>
      <c r="D4880" s="2">
        <v>8.5638434529416801E-4</v>
      </c>
      <c r="E4880" s="2">
        <v>1.64690382081686E-4</v>
      </c>
      <c r="F4880" s="2">
        <v>2.8414594769131398E-3</v>
      </c>
    </row>
    <row r="4881" spans="1:6" x14ac:dyDescent="0.25">
      <c r="A4881" s="1" t="str">
        <f t="shared" si="181"/>
        <v>15540</v>
      </c>
      <c r="B4881" s="1" t="str">
        <f>"05471"</f>
        <v>05471</v>
      </c>
      <c r="C4881" s="2">
        <v>2.6665159095834298E-3</v>
      </c>
      <c r="D4881" s="2">
        <v>5.9946904170591698E-4</v>
      </c>
      <c r="E4881" s="2">
        <v>1.64690382081686E-4</v>
      </c>
      <c r="F4881" s="2">
        <v>2.34904746528898E-3</v>
      </c>
    </row>
    <row r="4882" spans="1:6" x14ac:dyDescent="0.25">
      <c r="A4882" s="1" t="str">
        <f t="shared" si="181"/>
        <v>15540</v>
      </c>
      <c r="B4882" s="1" t="str">
        <f>"05481"</f>
        <v>05481</v>
      </c>
      <c r="C4882" s="2">
        <v>6.5956223911957799E-5</v>
      </c>
      <c r="D4882" s="2">
        <v>0</v>
      </c>
      <c r="E4882" s="2">
        <v>0</v>
      </c>
      <c r="F4882" s="2">
        <v>5.65062964158863E-5</v>
      </c>
    </row>
    <row r="4883" spans="1:6" x14ac:dyDescent="0.25">
      <c r="A4883" s="1" t="str">
        <f t="shared" si="181"/>
        <v>15540</v>
      </c>
      <c r="B4883" s="1" t="str">
        <f>"05449"</f>
        <v>05449</v>
      </c>
      <c r="C4883" s="2">
        <v>4.8996052048882902E-4</v>
      </c>
      <c r="D4883" s="2">
        <v>3.4255373811766697E-4</v>
      </c>
      <c r="E4883" s="2">
        <v>1.64690382081686E-4</v>
      </c>
      <c r="F4883" s="2">
        <v>4.6012269938650301E-4</v>
      </c>
    </row>
    <row r="4884" spans="1:6" x14ac:dyDescent="0.25">
      <c r="A4884" s="1" t="str">
        <f t="shared" si="181"/>
        <v>15540</v>
      </c>
      <c r="B4884" s="1" t="str">
        <f>"05676"</f>
        <v>05676</v>
      </c>
      <c r="C4884" s="2">
        <v>1.8750412226399399E-3</v>
      </c>
      <c r="D4884" s="2">
        <v>2.5691530358825E-4</v>
      </c>
      <c r="E4884" s="2">
        <v>6.5876152832674499E-4</v>
      </c>
      <c r="F4884" s="2">
        <v>1.66289958023894E-3</v>
      </c>
    </row>
    <row r="4885" spans="1:6" x14ac:dyDescent="0.25">
      <c r="A4885" s="1" t="str">
        <f t="shared" si="181"/>
        <v>15540</v>
      </c>
      <c r="B4885" s="1" t="str">
        <f>"05450"</f>
        <v>05450</v>
      </c>
      <c r="C4885" s="2">
        <v>1.9899934986007801E-2</v>
      </c>
      <c r="D4885" s="2">
        <v>2.9973452085295801E-3</v>
      </c>
      <c r="E4885" s="2">
        <v>7.4110671936758804E-3</v>
      </c>
      <c r="F4885" s="2">
        <v>1.7694543106231801E-2</v>
      </c>
    </row>
    <row r="4886" spans="1:6" x14ac:dyDescent="0.25">
      <c r="A4886" s="1" t="str">
        <f t="shared" si="181"/>
        <v>15540</v>
      </c>
      <c r="B4886" s="1" t="str">
        <f>"05459"</f>
        <v>05459</v>
      </c>
      <c r="C4886" s="2">
        <v>7.0102043700709504E-3</v>
      </c>
      <c r="D4886" s="2">
        <v>2.1409608632354201E-3</v>
      </c>
      <c r="E4886" s="2">
        <v>1.1528326745718E-3</v>
      </c>
      <c r="F4886" s="2">
        <v>6.2641265741039702E-3</v>
      </c>
    </row>
    <row r="4887" spans="1:6" x14ac:dyDescent="0.25">
      <c r="A4887" s="1" t="str">
        <f t="shared" si="181"/>
        <v>15540</v>
      </c>
      <c r="B4887" s="1" t="str">
        <f>"05452"</f>
        <v>05452</v>
      </c>
      <c r="C4887" s="2">
        <v>9.07840310559591E-2</v>
      </c>
      <c r="D4887" s="2">
        <v>7.0052239445062905E-2</v>
      </c>
      <c r="E4887" s="2">
        <v>8.9591567852437395E-2</v>
      </c>
      <c r="F4887" s="2">
        <v>8.8771391669357394E-2</v>
      </c>
    </row>
    <row r="4888" spans="1:6" x14ac:dyDescent="0.25">
      <c r="A4888" s="1" t="str">
        <f t="shared" si="181"/>
        <v>15540</v>
      </c>
      <c r="B4888" s="1" t="str">
        <f>"05408"</f>
        <v>05408</v>
      </c>
      <c r="C4888" s="2">
        <v>4.2607720647124703E-2</v>
      </c>
      <c r="D4888" s="2">
        <v>9.5058662327652602E-3</v>
      </c>
      <c r="E4888" s="2">
        <v>1.20223978919631E-2</v>
      </c>
      <c r="F4888" s="2">
        <v>3.7988375847594402E-2</v>
      </c>
    </row>
    <row r="4889" spans="1:6" x14ac:dyDescent="0.25">
      <c r="A4889" s="1" t="str">
        <f t="shared" si="181"/>
        <v>15540</v>
      </c>
      <c r="B4889" s="1" t="str">
        <f>"05457"</f>
        <v>05457</v>
      </c>
      <c r="C4889" s="2">
        <v>7.0478936408777801E-3</v>
      </c>
      <c r="D4889" s="2">
        <v>2.5691530358825E-4</v>
      </c>
      <c r="E4889" s="2">
        <v>8.2345191040843202E-4</v>
      </c>
      <c r="F4889" s="2">
        <v>6.1026800129157198E-3</v>
      </c>
    </row>
    <row r="4890" spans="1:6" x14ac:dyDescent="0.25">
      <c r="A4890" s="1" t="str">
        <f t="shared" si="181"/>
        <v>15540</v>
      </c>
      <c r="B4890" s="1" t="str">
        <f>"05482"</f>
        <v>05482</v>
      </c>
      <c r="C4890" s="2">
        <v>3.9507778123262699E-2</v>
      </c>
      <c r="D4890" s="2">
        <v>5.4123490622591398E-2</v>
      </c>
      <c r="E4890" s="2">
        <v>1.5974967061923501E-2</v>
      </c>
      <c r="F4890" s="2">
        <v>3.9731998708427502E-2</v>
      </c>
    </row>
    <row r="4891" spans="1:6" x14ac:dyDescent="0.25">
      <c r="A4891" s="1" t="str">
        <f t="shared" si="181"/>
        <v>15540</v>
      </c>
      <c r="B4891" s="1" t="str">
        <f>"05495"</f>
        <v>05495</v>
      </c>
      <c r="C4891" s="2">
        <v>5.5789543111814603E-2</v>
      </c>
      <c r="D4891" s="2">
        <v>0.13299648882418399</v>
      </c>
      <c r="E4891" s="2">
        <v>3.5573122529644202E-2</v>
      </c>
      <c r="F4891" s="2">
        <v>6.20762027768808E-2</v>
      </c>
    </row>
    <row r="4892" spans="1:6" x14ac:dyDescent="0.25">
      <c r="A4892" s="1" t="str">
        <f t="shared" si="181"/>
        <v>15540</v>
      </c>
      <c r="B4892" s="1" t="str">
        <f>"05462"</f>
        <v>05462</v>
      </c>
      <c r="C4892" s="2">
        <v>7.3305631719290301E-3</v>
      </c>
      <c r="D4892" s="2">
        <v>7.7074591076475103E-4</v>
      </c>
      <c r="E4892" s="2">
        <v>1.64690382081686E-4</v>
      </c>
      <c r="F4892" s="2">
        <v>6.3609945108169096E-3</v>
      </c>
    </row>
    <row r="4893" spans="1:6" x14ac:dyDescent="0.25">
      <c r="A4893" s="1" t="str">
        <f t="shared" si="181"/>
        <v>15540</v>
      </c>
      <c r="B4893" s="1" t="str">
        <f>"05473"</f>
        <v>05473</v>
      </c>
      <c r="C4893" s="2">
        <v>9.4223177017082594E-6</v>
      </c>
      <c r="D4893" s="2">
        <v>0</v>
      </c>
      <c r="E4893" s="2">
        <v>0</v>
      </c>
      <c r="F4893" s="2">
        <v>8.0723280594123297E-6</v>
      </c>
    </row>
    <row r="4894" spans="1:6" x14ac:dyDescent="0.25">
      <c r="A4894" s="1" t="str">
        <f t="shared" si="181"/>
        <v>15540</v>
      </c>
      <c r="B4894" s="1" t="str">
        <f>"05455"</f>
        <v>05455</v>
      </c>
      <c r="C4894" s="2">
        <v>5.1540077828344201E-3</v>
      </c>
      <c r="D4894" s="2">
        <v>5.9946904170591698E-4</v>
      </c>
      <c r="E4894" s="2">
        <v>4.9407114624505904E-4</v>
      </c>
      <c r="F4894" s="2">
        <v>4.4962867290926703E-3</v>
      </c>
    </row>
    <row r="4895" spans="1:6" x14ac:dyDescent="0.25">
      <c r="A4895" s="1" t="str">
        <f t="shared" si="181"/>
        <v>15540</v>
      </c>
      <c r="B4895" s="1" t="str">
        <f>"05460"</f>
        <v>05460</v>
      </c>
      <c r="C4895" s="2">
        <v>0</v>
      </c>
      <c r="D4895" s="2">
        <v>0</v>
      </c>
      <c r="E4895" s="2">
        <v>1.64690382081686E-4</v>
      </c>
      <c r="F4895" s="2">
        <v>8.0723280594123297E-6</v>
      </c>
    </row>
    <row r="4896" spans="1:6" x14ac:dyDescent="0.25">
      <c r="A4896" s="1" t="str">
        <f t="shared" si="181"/>
        <v>15540</v>
      </c>
      <c r="B4896" s="1" t="str">
        <f>"05487"</f>
        <v>05487</v>
      </c>
      <c r="C4896" s="2">
        <v>8.4800859315374298E-5</v>
      </c>
      <c r="D4896" s="2">
        <v>0</v>
      </c>
      <c r="E4896" s="2">
        <v>0</v>
      </c>
      <c r="F4896" s="2">
        <v>7.2650952534710996E-5</v>
      </c>
    </row>
    <row r="4897" spans="1:6" x14ac:dyDescent="0.25">
      <c r="A4897" s="1" t="str">
        <f t="shared" ref="A4897:A4906" si="182">"15580"</f>
        <v>15580</v>
      </c>
      <c r="B4897" s="1" t="str">
        <f>"59743"</f>
        <v>59743</v>
      </c>
      <c r="C4897" s="2">
        <v>2.5523492030419801E-3</v>
      </c>
      <c r="D4897" s="2">
        <v>0</v>
      </c>
      <c r="E4897" s="2">
        <v>1.6025641025640999E-3</v>
      </c>
      <c r="F4897" s="2">
        <v>2.2589681033703801E-3</v>
      </c>
    </row>
    <row r="4898" spans="1:6" x14ac:dyDescent="0.25">
      <c r="A4898" s="1" t="str">
        <f t="shared" si="182"/>
        <v>15580</v>
      </c>
      <c r="B4898" s="1" t="str">
        <f>"59701"</f>
        <v>59701</v>
      </c>
      <c r="C4898" s="2">
        <v>0.89556203771226095</v>
      </c>
      <c r="D4898" s="2">
        <v>0.78373702422145297</v>
      </c>
      <c r="E4898" s="2">
        <v>0.98237179487179405</v>
      </c>
      <c r="F4898" s="2">
        <v>0.88632872503840199</v>
      </c>
    </row>
    <row r="4899" spans="1:6" x14ac:dyDescent="0.25">
      <c r="A4899" s="1" t="str">
        <f t="shared" si="182"/>
        <v>15580</v>
      </c>
      <c r="B4899" s="1" t="str">
        <f>"59750"</f>
        <v>59750</v>
      </c>
      <c r="C4899" s="2">
        <v>8.9071778310240608E-3</v>
      </c>
      <c r="D4899" s="2">
        <v>4.3252595155709303E-3</v>
      </c>
      <c r="E4899" s="2">
        <v>6.41025641025641E-3</v>
      </c>
      <c r="F4899" s="2">
        <v>8.3581819824703994E-3</v>
      </c>
    </row>
    <row r="4900" spans="1:6" x14ac:dyDescent="0.25">
      <c r="A4900" s="1" t="str">
        <f t="shared" si="182"/>
        <v>15580</v>
      </c>
      <c r="B4900" s="1" t="str">
        <f>"59748"</f>
        <v>59748</v>
      </c>
      <c r="C4900" s="2">
        <v>3.8024794249400902E-3</v>
      </c>
      <c r="D4900" s="2">
        <v>0</v>
      </c>
      <c r="E4900" s="2">
        <v>1.6025641025640999E-3</v>
      </c>
      <c r="F4900" s="2">
        <v>3.3432727929881599E-3</v>
      </c>
    </row>
    <row r="4901" spans="1:6" x14ac:dyDescent="0.25">
      <c r="A4901" s="1" t="str">
        <f t="shared" si="182"/>
        <v>15580</v>
      </c>
      <c r="B4901" s="1" t="str">
        <f>"59727"</f>
        <v>59727</v>
      </c>
      <c r="C4901" s="2">
        <v>4.5317220543806599E-3</v>
      </c>
      <c r="D4901" s="2">
        <v>0</v>
      </c>
      <c r="E4901" s="2">
        <v>1.6025641025640999E-3</v>
      </c>
      <c r="F4901" s="2">
        <v>3.9757838619318602E-3</v>
      </c>
    </row>
    <row r="4902" spans="1:6" x14ac:dyDescent="0.25">
      <c r="A4902" s="1" t="str">
        <f t="shared" si="182"/>
        <v>15580</v>
      </c>
      <c r="B4902" s="1" t="str">
        <f>"59762"</f>
        <v>59762</v>
      </c>
      <c r="C4902" s="2">
        <v>5.20887592457547E-5</v>
      </c>
      <c r="D4902" s="2">
        <v>0</v>
      </c>
      <c r="E4902" s="2">
        <v>0</v>
      </c>
      <c r="F4902" s="2">
        <v>4.5179362067407599E-5</v>
      </c>
    </row>
    <row r="4903" spans="1:6" x14ac:dyDescent="0.25">
      <c r="A4903" s="1" t="str">
        <f t="shared" si="182"/>
        <v>15580</v>
      </c>
      <c r="B4903" s="1" t="str">
        <f>"59759"</f>
        <v>59759</v>
      </c>
      <c r="C4903" s="2">
        <v>1.09386394416085E-3</v>
      </c>
      <c r="D4903" s="2">
        <v>0</v>
      </c>
      <c r="E4903" s="2">
        <v>0</v>
      </c>
      <c r="F4903" s="2">
        <v>9.4876660341555903E-4</v>
      </c>
    </row>
    <row r="4904" spans="1:6" x14ac:dyDescent="0.25">
      <c r="A4904" s="1" t="str">
        <f t="shared" si="182"/>
        <v>15580</v>
      </c>
      <c r="B4904" s="1" t="str">
        <f>"59702"</f>
        <v>59702</v>
      </c>
      <c r="C4904" s="2">
        <v>4.8911344931763703E-2</v>
      </c>
      <c r="D4904" s="2">
        <v>0.14403114186851201</v>
      </c>
      <c r="E4904" s="2">
        <v>3.2051282051281998E-3</v>
      </c>
      <c r="F4904" s="2">
        <v>5.7558507273877201E-2</v>
      </c>
    </row>
    <row r="4905" spans="1:6" x14ac:dyDescent="0.25">
      <c r="A4905" s="1" t="str">
        <f t="shared" si="182"/>
        <v>15580</v>
      </c>
      <c r="B4905" s="1" t="str">
        <f>"59703"</f>
        <v>59703</v>
      </c>
      <c r="C4905" s="2">
        <v>2.9221793936868402E-2</v>
      </c>
      <c r="D4905" s="2">
        <v>6.6608996539792298E-2</v>
      </c>
      <c r="E4905" s="2">
        <v>3.2051282051281998E-3</v>
      </c>
      <c r="F4905" s="2">
        <v>3.2393602602331199E-2</v>
      </c>
    </row>
    <row r="4906" spans="1:6" x14ac:dyDescent="0.25">
      <c r="A4906" s="1" t="str">
        <f t="shared" si="182"/>
        <v>15580</v>
      </c>
      <c r="B4906" s="1" t="str">
        <f>"59711"</f>
        <v>59711</v>
      </c>
      <c r="C4906" s="2">
        <v>5.3651422023127402E-3</v>
      </c>
      <c r="D4906" s="2">
        <v>1.29757785467128E-3</v>
      </c>
      <c r="E4906" s="2">
        <v>0</v>
      </c>
      <c r="F4906" s="2">
        <v>4.7890123791452001E-3</v>
      </c>
    </row>
    <row r="4907" spans="1:6" x14ac:dyDescent="0.25">
      <c r="A4907" s="1" t="str">
        <f t="shared" ref="A4907:A4924" si="183">"15620"</f>
        <v>15620</v>
      </c>
      <c r="B4907" s="1" t="str">
        <f>"49663"</f>
        <v>49663</v>
      </c>
      <c r="C4907" s="2">
        <v>0.111350867193225</v>
      </c>
      <c r="D4907" s="2">
        <v>4.0336134453781501E-2</v>
      </c>
      <c r="E4907" s="2">
        <v>7.9051383399209404E-2</v>
      </c>
      <c r="F4907" s="2">
        <v>0.106021673556027</v>
      </c>
    </row>
    <row r="4908" spans="1:6" x14ac:dyDescent="0.25">
      <c r="A4908" s="1" t="str">
        <f t="shared" si="183"/>
        <v>15620</v>
      </c>
      <c r="B4908" s="1" t="str">
        <f>"49665"</f>
        <v>49665</v>
      </c>
      <c r="C4908" s="2">
        <v>5.2520153081996503E-3</v>
      </c>
      <c r="D4908" s="2">
        <v>0</v>
      </c>
      <c r="E4908" s="2">
        <v>0</v>
      </c>
      <c r="F4908" s="2">
        <v>4.8039325215059698E-3</v>
      </c>
    </row>
    <row r="4909" spans="1:6" x14ac:dyDescent="0.25">
      <c r="A4909" s="1" t="str">
        <f t="shared" si="183"/>
        <v>15620</v>
      </c>
      <c r="B4909" s="1" t="str">
        <f>"49633"</f>
        <v>49633</v>
      </c>
      <c r="C4909" s="2">
        <v>3.8677632114648601E-3</v>
      </c>
      <c r="D4909" s="2">
        <v>1.6806722689075601E-3</v>
      </c>
      <c r="E4909" s="2">
        <v>0</v>
      </c>
      <c r="F4909" s="2">
        <v>3.6494991248649999E-3</v>
      </c>
    </row>
    <row r="4910" spans="1:6" x14ac:dyDescent="0.25">
      <c r="A4910" s="1" t="str">
        <f t="shared" si="183"/>
        <v>15620</v>
      </c>
      <c r="B4910" s="1" t="str">
        <f>"49667"</f>
        <v>49667</v>
      </c>
      <c r="C4910" s="2">
        <v>1.44532204217897E-2</v>
      </c>
      <c r="D4910" s="2">
        <v>1.23249299719887E-2</v>
      </c>
      <c r="E4910" s="2">
        <v>9.8814229249011808E-3</v>
      </c>
      <c r="F4910" s="2">
        <v>1.42255986295758E-2</v>
      </c>
    </row>
    <row r="4911" spans="1:6" x14ac:dyDescent="0.25">
      <c r="A4911" s="1" t="str">
        <f t="shared" si="183"/>
        <v>15620</v>
      </c>
      <c r="B4911" s="1" t="str">
        <f>"49688"</f>
        <v>49688</v>
      </c>
      <c r="C4911" s="2">
        <v>1.2621122058464199E-3</v>
      </c>
      <c r="D4911" s="2">
        <v>0</v>
      </c>
      <c r="E4911" s="2">
        <v>0</v>
      </c>
      <c r="F4911" s="2">
        <v>1.1544333966409699E-3</v>
      </c>
    </row>
    <row r="4912" spans="1:6" x14ac:dyDescent="0.25">
      <c r="A4912" s="1" t="str">
        <f t="shared" si="183"/>
        <v>15620</v>
      </c>
      <c r="B4912" s="1" t="str">
        <f>"49649"</f>
        <v>49649</v>
      </c>
      <c r="C4912" s="2">
        <v>3.2163504600602501E-3</v>
      </c>
      <c r="D4912" s="2">
        <v>0</v>
      </c>
      <c r="E4912" s="2">
        <v>0</v>
      </c>
      <c r="F4912" s="2">
        <v>2.94194317208505E-3</v>
      </c>
    </row>
    <row r="4913" spans="1:6" x14ac:dyDescent="0.25">
      <c r="A4913" s="1" t="str">
        <f t="shared" si="183"/>
        <v>15620</v>
      </c>
      <c r="B4913" s="1" t="str">
        <f>"49689"</f>
        <v>49689</v>
      </c>
      <c r="C4913" s="2">
        <v>4.0713296962787996E-3</v>
      </c>
      <c r="D4913" s="2">
        <v>6.1624649859943897E-3</v>
      </c>
      <c r="E4913" s="2">
        <v>0</v>
      </c>
      <c r="F4913" s="2">
        <v>4.1336163557144402E-3</v>
      </c>
    </row>
    <row r="4914" spans="1:6" x14ac:dyDescent="0.25">
      <c r="A4914" s="1" t="str">
        <f t="shared" si="183"/>
        <v>15620</v>
      </c>
      <c r="B4914" s="1" t="str">
        <f>"49625"</f>
        <v>49625</v>
      </c>
      <c r="C4914" s="2">
        <v>1.5471052845859401E-3</v>
      </c>
      <c r="D4914" s="2">
        <v>0</v>
      </c>
      <c r="E4914" s="2">
        <v>0</v>
      </c>
      <c r="F4914" s="2">
        <v>1.4151119055599E-3</v>
      </c>
    </row>
    <row r="4915" spans="1:6" x14ac:dyDescent="0.25">
      <c r="A4915" s="1" t="str">
        <f t="shared" si="183"/>
        <v>15620</v>
      </c>
      <c r="B4915" s="1" t="str">
        <f>"48625"</f>
        <v>48625</v>
      </c>
      <c r="C4915" s="2">
        <v>2.0356648481393999E-4</v>
      </c>
      <c r="D4915" s="2">
        <v>0</v>
      </c>
      <c r="E4915" s="2">
        <v>0</v>
      </c>
      <c r="F4915" s="2">
        <v>1.86198934942092E-4</v>
      </c>
    </row>
    <row r="4916" spans="1:6" x14ac:dyDescent="0.25">
      <c r="A4916" s="1" t="str">
        <f t="shared" si="183"/>
        <v>15620</v>
      </c>
      <c r="B4916" s="1" t="str">
        <f>"49651"</f>
        <v>49651</v>
      </c>
      <c r="C4916" s="2">
        <v>0.17282794560703499</v>
      </c>
      <c r="D4916" s="2">
        <v>7.8991596638655404E-2</v>
      </c>
      <c r="E4916" s="2">
        <v>5.33596837944664E-2</v>
      </c>
      <c r="F4916" s="2">
        <v>0.16433917997989</v>
      </c>
    </row>
    <row r="4917" spans="1:6" x14ac:dyDescent="0.25">
      <c r="A4917" s="1" t="str">
        <f t="shared" si="183"/>
        <v>15620</v>
      </c>
      <c r="B4917" s="1" t="str">
        <f>"49632"</f>
        <v>49632</v>
      </c>
      <c r="C4917" s="2">
        <v>2.5527237195668101E-2</v>
      </c>
      <c r="D4917" s="2">
        <v>1.5686274509803901E-2</v>
      </c>
      <c r="E4917" s="2">
        <v>0</v>
      </c>
      <c r="F4917" s="2">
        <v>2.4392060477414001E-2</v>
      </c>
    </row>
    <row r="4918" spans="1:6" x14ac:dyDescent="0.25">
      <c r="A4918" s="1" t="str">
        <f t="shared" si="183"/>
        <v>15620</v>
      </c>
      <c r="B4918" s="1" t="str">
        <f>"49618"</f>
        <v>49618</v>
      </c>
      <c r="C4918" s="2">
        <v>1.53896262519338E-2</v>
      </c>
      <c r="D4918" s="2">
        <v>6.7226890756302499E-3</v>
      </c>
      <c r="E4918" s="2">
        <v>0</v>
      </c>
      <c r="F4918" s="2">
        <v>1.45235169254831E-2</v>
      </c>
    </row>
    <row r="4919" spans="1:6" x14ac:dyDescent="0.25">
      <c r="A4919" s="1" t="str">
        <f t="shared" si="183"/>
        <v>15620</v>
      </c>
      <c r="B4919" s="1" t="str">
        <f>"49601"</f>
        <v>49601</v>
      </c>
      <c r="C4919" s="2">
        <v>0.45358684146242101</v>
      </c>
      <c r="D4919" s="2">
        <v>0.74229691876750703</v>
      </c>
      <c r="E4919" s="2">
        <v>0.77075098814229204</v>
      </c>
      <c r="F4919" s="2">
        <v>0.47875470152310701</v>
      </c>
    </row>
    <row r="4920" spans="1:6" x14ac:dyDescent="0.25">
      <c r="A4920" s="1" t="str">
        <f t="shared" si="183"/>
        <v>15620</v>
      </c>
      <c r="B4920" s="1" t="str">
        <f>"49620"</f>
        <v>49620</v>
      </c>
      <c r="C4920" s="2">
        <v>2.9924273267649199E-2</v>
      </c>
      <c r="D4920" s="2">
        <v>1.7366946778711399E-2</v>
      </c>
      <c r="E4920" s="2">
        <v>2.7667984189723299E-2</v>
      </c>
      <c r="F4920" s="2">
        <v>2.9047033850966301E-2</v>
      </c>
    </row>
    <row r="4921" spans="1:6" x14ac:dyDescent="0.25">
      <c r="A4921" s="1" t="str">
        <f t="shared" si="183"/>
        <v>15620</v>
      </c>
      <c r="B4921" s="1" t="str">
        <f>"49638"</f>
        <v>49638</v>
      </c>
      <c r="C4921" s="2">
        <v>2.0193795293542802E-2</v>
      </c>
      <c r="D4921" s="2">
        <v>6.7226890756302499E-3</v>
      </c>
      <c r="E4921" s="2">
        <v>1.18577075098814E-2</v>
      </c>
      <c r="F4921" s="2">
        <v>1.9141250512047001E-2</v>
      </c>
    </row>
    <row r="4922" spans="1:6" x14ac:dyDescent="0.25">
      <c r="A4922" s="1" t="str">
        <f t="shared" si="183"/>
        <v>15620</v>
      </c>
      <c r="B4922" s="1" t="str">
        <f>"49657"</f>
        <v>49657</v>
      </c>
      <c r="C4922" s="2">
        <v>6.1395651819884302E-2</v>
      </c>
      <c r="D4922" s="2">
        <v>4.4257703081232398E-2</v>
      </c>
      <c r="E4922" s="2">
        <v>3.5573122529644202E-2</v>
      </c>
      <c r="F4922" s="2">
        <v>5.9769858116411501E-2</v>
      </c>
    </row>
    <row r="4923" spans="1:6" x14ac:dyDescent="0.25">
      <c r="A4923" s="1" t="str">
        <f t="shared" si="183"/>
        <v>15620</v>
      </c>
      <c r="B4923" s="1" t="str">
        <f>"49668"</f>
        <v>49668</v>
      </c>
      <c r="C4923" s="2">
        <v>7.5808158944711296E-2</v>
      </c>
      <c r="D4923" s="2">
        <v>2.74509803921568E-2</v>
      </c>
      <c r="E4923" s="2">
        <v>1.18577075098814E-2</v>
      </c>
      <c r="F4923" s="2">
        <v>7.1388671656798103E-2</v>
      </c>
    </row>
    <row r="4924" spans="1:6" x14ac:dyDescent="0.25">
      <c r="A4924" s="1" t="str">
        <f t="shared" si="183"/>
        <v>15620</v>
      </c>
      <c r="B4924" s="1" t="str">
        <f>"49683"</f>
        <v>49683</v>
      </c>
      <c r="C4924" s="2">
        <v>1.2213989088836401E-4</v>
      </c>
      <c r="D4924" s="2">
        <v>0</v>
      </c>
      <c r="E4924" s="2">
        <v>0</v>
      </c>
      <c r="F4924" s="2">
        <v>1.1171936096525501E-4</v>
      </c>
    </row>
    <row r="4925" spans="1:6" x14ac:dyDescent="0.25">
      <c r="A4925" s="1" t="str">
        <f t="shared" ref="A4925:A4935" si="184">"15660"</f>
        <v>15660</v>
      </c>
      <c r="B4925" s="1" t="str">
        <f>"30171"</f>
        <v>30171</v>
      </c>
      <c r="C4925" s="2">
        <v>8.0897807034936708E-3</v>
      </c>
      <c r="D4925" s="2">
        <v>3.9077764751856099E-4</v>
      </c>
      <c r="E4925" s="2">
        <v>2.9325513196480899E-3</v>
      </c>
      <c r="F4925" s="2">
        <v>7.2738772928526204E-3</v>
      </c>
    </row>
    <row r="4926" spans="1:6" x14ac:dyDescent="0.25">
      <c r="A4926" s="1" t="str">
        <f t="shared" si="184"/>
        <v>15660</v>
      </c>
      <c r="B4926" s="1" t="str">
        <f>"30703"</f>
        <v>30703</v>
      </c>
      <c r="C4926" s="2">
        <v>5.5637070230400099E-2</v>
      </c>
      <c r="D4926" s="2">
        <v>0.166080500195388</v>
      </c>
      <c r="E4926" s="2">
        <v>1.46627565982404E-3</v>
      </c>
      <c r="F4926" s="2">
        <v>6.4270152505446598E-2</v>
      </c>
    </row>
    <row r="4927" spans="1:6" x14ac:dyDescent="0.25">
      <c r="A4927" s="1" t="str">
        <f t="shared" si="184"/>
        <v>15660</v>
      </c>
      <c r="B4927" s="1" t="str">
        <f>"30732"</f>
        <v>30732</v>
      </c>
      <c r="C4927" s="2">
        <v>0</v>
      </c>
      <c r="D4927" s="2">
        <v>3.9077764751856099E-4</v>
      </c>
      <c r="E4927" s="2">
        <v>0</v>
      </c>
      <c r="F4927" s="2">
        <v>3.5139503830205899E-5</v>
      </c>
    </row>
    <row r="4928" spans="1:6" x14ac:dyDescent="0.25">
      <c r="A4928" s="1" t="str">
        <f t="shared" si="184"/>
        <v>15660</v>
      </c>
      <c r="B4928" s="1" t="str">
        <f>"30733"</f>
        <v>30733</v>
      </c>
      <c r="C4928" s="2">
        <v>3.5095372169568102E-2</v>
      </c>
      <c r="D4928" s="2">
        <v>9.7694411879640404E-3</v>
      </c>
      <c r="E4928" s="2">
        <v>2.9325513196480899E-3</v>
      </c>
      <c r="F4928" s="2">
        <v>3.2047227493147701E-2</v>
      </c>
    </row>
    <row r="4929" spans="1:6" x14ac:dyDescent="0.25">
      <c r="A4929" s="1" t="str">
        <f t="shared" si="184"/>
        <v>15660</v>
      </c>
      <c r="B4929" s="1" t="str">
        <f>"30175"</f>
        <v>30175</v>
      </c>
      <c r="C4929" s="2">
        <v>7.9311575524447706E-5</v>
      </c>
      <c r="D4929" s="2">
        <v>0</v>
      </c>
      <c r="E4929" s="2">
        <v>0</v>
      </c>
      <c r="F4929" s="2">
        <v>7.0279007660411797E-5</v>
      </c>
    </row>
    <row r="4930" spans="1:6" x14ac:dyDescent="0.25">
      <c r="A4930" s="1" t="str">
        <f t="shared" si="184"/>
        <v>15660</v>
      </c>
      <c r="B4930" s="1" t="str">
        <f>"30139"</f>
        <v>30139</v>
      </c>
      <c r="C4930" s="2">
        <v>5.6906055438791202E-2</v>
      </c>
      <c r="D4930" s="2">
        <v>4.1813208284486099E-2</v>
      </c>
      <c r="E4930" s="2">
        <v>2.3460410557184699E-2</v>
      </c>
      <c r="F4930" s="2">
        <v>5.4747346967460801E-2</v>
      </c>
    </row>
    <row r="4931" spans="1:6" x14ac:dyDescent="0.25">
      <c r="A4931" s="1" t="str">
        <f t="shared" si="184"/>
        <v>15660</v>
      </c>
      <c r="B4931" s="1" t="str">
        <f>"30701"</f>
        <v>30701</v>
      </c>
      <c r="C4931" s="2">
        <v>0.65689812428123795</v>
      </c>
      <c r="D4931" s="2">
        <v>0.72606486908948797</v>
      </c>
      <c r="E4931" s="2">
        <v>0.93401759530791695</v>
      </c>
      <c r="F4931" s="2">
        <v>0.66975894300372396</v>
      </c>
    </row>
    <row r="4932" spans="1:6" x14ac:dyDescent="0.25">
      <c r="A4932" s="1" t="str">
        <f t="shared" si="184"/>
        <v>15660</v>
      </c>
      <c r="B4932" s="1" t="str">
        <f>"30103"</f>
        <v>30103</v>
      </c>
      <c r="C4932" s="2">
        <v>4.9411111551730898E-2</v>
      </c>
      <c r="D4932" s="2">
        <v>1.0550996483001099E-2</v>
      </c>
      <c r="E4932" s="2">
        <v>8.7976539589442806E-3</v>
      </c>
      <c r="F4932" s="2">
        <v>4.4943425398833302E-2</v>
      </c>
    </row>
    <row r="4933" spans="1:6" x14ac:dyDescent="0.25">
      <c r="A4933" s="1" t="str">
        <f t="shared" si="184"/>
        <v>15660</v>
      </c>
      <c r="B4933" s="1" t="str">
        <f>"30746"</f>
        <v>30746</v>
      </c>
      <c r="C4933" s="2">
        <v>2.2008962208034201E-2</v>
      </c>
      <c r="D4933" s="2">
        <v>4.2985541227041797E-3</v>
      </c>
      <c r="E4933" s="2">
        <v>0</v>
      </c>
      <c r="F4933" s="2">
        <v>1.98889591678965E-2</v>
      </c>
    </row>
    <row r="4934" spans="1:6" x14ac:dyDescent="0.25">
      <c r="A4934" s="1" t="str">
        <f t="shared" si="184"/>
        <v>15660</v>
      </c>
      <c r="B4934" s="1" t="str">
        <f>"30734"</f>
        <v>30734</v>
      </c>
      <c r="C4934" s="2">
        <v>5.3852559781099998E-2</v>
      </c>
      <c r="D4934" s="2">
        <v>1.2895662368112499E-2</v>
      </c>
      <c r="E4934" s="2">
        <v>0</v>
      </c>
      <c r="F4934" s="2">
        <v>4.88790498278164E-2</v>
      </c>
    </row>
    <row r="4935" spans="1:6" x14ac:dyDescent="0.25">
      <c r="A4935" s="1" t="str">
        <f t="shared" si="184"/>
        <v>15660</v>
      </c>
      <c r="B4935" s="1" t="str">
        <f>"30735"</f>
        <v>30735</v>
      </c>
      <c r="C4935" s="2">
        <v>6.2021652060118102E-2</v>
      </c>
      <c r="D4935" s="2">
        <v>2.7745212973817799E-2</v>
      </c>
      <c r="E4935" s="2">
        <v>2.63929618768328E-2</v>
      </c>
      <c r="F4935" s="2">
        <v>5.8085599831330298E-2</v>
      </c>
    </row>
    <row r="4936" spans="1:6" x14ac:dyDescent="0.25">
      <c r="A4936" s="1" t="str">
        <f t="shared" ref="A4936:A4964" si="185">"15680"</f>
        <v>15680</v>
      </c>
      <c r="B4936" s="1" t="str">
        <f>"20650"</f>
        <v>20650</v>
      </c>
      <c r="C4936" s="2">
        <v>0.11888352163631501</v>
      </c>
      <c r="D4936" s="2">
        <v>9.5728567100878501E-2</v>
      </c>
      <c r="E4936" s="2">
        <v>7.7244258872651295E-2</v>
      </c>
      <c r="F4936" s="2">
        <v>0.11569064578688799</v>
      </c>
    </row>
    <row r="4937" spans="1:6" x14ac:dyDescent="0.25">
      <c r="A4937" s="1" t="str">
        <f t="shared" si="185"/>
        <v>15680</v>
      </c>
      <c r="B4937" s="1" t="str">
        <f>"20692"</f>
        <v>20692</v>
      </c>
      <c r="C4937" s="2">
        <v>5.4166582452452603E-3</v>
      </c>
      <c r="D4937" s="2">
        <v>3.0293850348379198E-4</v>
      </c>
      <c r="E4937" s="2">
        <v>2.92275574112734E-3</v>
      </c>
      <c r="F4937" s="2">
        <v>5.0024468490022199E-3</v>
      </c>
    </row>
    <row r="4938" spans="1:6" x14ac:dyDescent="0.25">
      <c r="A4938" s="1" t="str">
        <f t="shared" si="185"/>
        <v>15680</v>
      </c>
      <c r="B4938" s="1" t="str">
        <f>"20619"</f>
        <v>20619</v>
      </c>
      <c r="C4938" s="2">
        <v>0.123168340845241</v>
      </c>
      <c r="D4938" s="2">
        <v>0.19297182671917601</v>
      </c>
      <c r="E4938" s="2">
        <v>0.16116910229645001</v>
      </c>
      <c r="F4938" s="2">
        <v>0.12899425443604601</v>
      </c>
    </row>
    <row r="4939" spans="1:6" x14ac:dyDescent="0.25">
      <c r="A4939" s="1" t="str">
        <f t="shared" si="185"/>
        <v>15680</v>
      </c>
      <c r="B4939" s="1" t="str">
        <f>"20618"</f>
        <v>20618</v>
      </c>
      <c r="C4939" s="2">
        <v>9.3780948723649303E-3</v>
      </c>
      <c r="D4939" s="2">
        <v>1.8176310209027499E-3</v>
      </c>
      <c r="E4939" s="2">
        <v>8.3507306889352801E-4</v>
      </c>
      <c r="F4939" s="2">
        <v>8.5549091040907597E-3</v>
      </c>
    </row>
    <row r="4940" spans="1:6" x14ac:dyDescent="0.25">
      <c r="A4940" s="1" t="str">
        <f t="shared" si="185"/>
        <v>15680</v>
      </c>
      <c r="B4940" s="1" t="str">
        <f>"20674"</f>
        <v>20674</v>
      </c>
      <c r="C4940" s="2">
        <v>8.7313297087535605E-3</v>
      </c>
      <c r="D4940" s="2">
        <v>1.2117540139351701E-3</v>
      </c>
      <c r="E4940" s="2">
        <v>3.3402922755741099E-3</v>
      </c>
      <c r="F4940" s="2">
        <v>8.0474144962209698E-3</v>
      </c>
    </row>
    <row r="4941" spans="1:6" x14ac:dyDescent="0.25">
      <c r="A4941" s="1" t="str">
        <f t="shared" si="185"/>
        <v>15680</v>
      </c>
      <c r="B4941" s="1" t="str">
        <f>"20690"</f>
        <v>20690</v>
      </c>
      <c r="C4941" s="2">
        <v>9.3578834610020794E-3</v>
      </c>
      <c r="D4941" s="2">
        <v>9.0881551045137799E-4</v>
      </c>
      <c r="E4941" s="2">
        <v>4.5929018789144004E-3</v>
      </c>
      <c r="F4941" s="2">
        <v>8.6455331412103702E-3</v>
      </c>
    </row>
    <row r="4942" spans="1:6" x14ac:dyDescent="0.25">
      <c r="A4942" s="1" t="str">
        <f t="shared" si="185"/>
        <v>15680</v>
      </c>
      <c r="B4942" s="1" t="str">
        <f>"20687"</f>
        <v>20687</v>
      </c>
      <c r="C4942" s="2">
        <v>3.7593225134911101E-3</v>
      </c>
      <c r="D4942" s="2">
        <v>9.0881551045137799E-4</v>
      </c>
      <c r="E4942" s="2">
        <v>4.1753653444676401E-4</v>
      </c>
      <c r="F4942" s="2">
        <v>3.44371341054501E-3</v>
      </c>
    </row>
    <row r="4943" spans="1:6" x14ac:dyDescent="0.25">
      <c r="A4943" s="1" t="str">
        <f t="shared" si="185"/>
        <v>15680</v>
      </c>
      <c r="B4943" s="1" t="str">
        <f>"20609"</f>
        <v>20609</v>
      </c>
      <c r="C4943" s="2">
        <v>1.02876083836934E-2</v>
      </c>
      <c r="D4943" s="2">
        <v>2.1205695243865399E-3</v>
      </c>
      <c r="E4943" s="2">
        <v>2.5052192066805801E-3</v>
      </c>
      <c r="F4943" s="2">
        <v>9.4611494752868206E-3</v>
      </c>
    </row>
    <row r="4944" spans="1:6" x14ac:dyDescent="0.25">
      <c r="A4944" s="1" t="str">
        <f t="shared" si="185"/>
        <v>15680</v>
      </c>
      <c r="B4944" s="1" t="str">
        <f>"20660"</f>
        <v>20660</v>
      </c>
      <c r="C4944" s="2">
        <v>0</v>
      </c>
      <c r="D4944" s="2">
        <v>3.0293850348379198E-4</v>
      </c>
      <c r="E4944" s="2">
        <v>4.1753653444676401E-4</v>
      </c>
      <c r="F4944" s="2">
        <v>3.62496148478422E-5</v>
      </c>
    </row>
    <row r="4945" spans="1:6" x14ac:dyDescent="0.25">
      <c r="A4945" s="1" t="str">
        <f t="shared" si="185"/>
        <v>15680</v>
      </c>
      <c r="B4945" s="1" t="str">
        <f>"20626"</f>
        <v>20626</v>
      </c>
      <c r="C4945" s="2">
        <v>3.9008023930310999E-3</v>
      </c>
      <c r="D4945" s="2">
        <v>6.0587700696758504E-4</v>
      </c>
      <c r="E4945" s="2">
        <v>4.1753653444676401E-4</v>
      </c>
      <c r="F4945" s="2">
        <v>3.5524622550885299E-3</v>
      </c>
    </row>
    <row r="4946" spans="1:6" x14ac:dyDescent="0.25">
      <c r="A4946" s="1" t="str">
        <f t="shared" si="185"/>
        <v>15680</v>
      </c>
      <c r="B4946" s="1" t="str">
        <f>"20620"</f>
        <v>20620</v>
      </c>
      <c r="C4946" s="2">
        <v>1.0045071447339101E-2</v>
      </c>
      <c r="D4946" s="2">
        <v>1.39351711602544E-2</v>
      </c>
      <c r="E4946" s="2">
        <v>1.04384133611691E-2</v>
      </c>
      <c r="F4946" s="2">
        <v>1.02948906167871E-2</v>
      </c>
    </row>
    <row r="4947" spans="1:6" x14ac:dyDescent="0.25">
      <c r="A4947" s="1" t="str">
        <f t="shared" si="185"/>
        <v>15680</v>
      </c>
      <c r="B4947" s="1" t="str">
        <f>"20653"</f>
        <v>20653</v>
      </c>
      <c r="C4947" s="2">
        <v>0.244820825838268</v>
      </c>
      <c r="D4947" s="2">
        <v>0.30112087246288999</v>
      </c>
      <c r="E4947" s="2">
        <v>0.34822546972860102</v>
      </c>
      <c r="F4947" s="2">
        <v>0.25267794029688401</v>
      </c>
    </row>
    <row r="4948" spans="1:6" x14ac:dyDescent="0.25">
      <c r="A4948" s="1" t="str">
        <f t="shared" si="185"/>
        <v>15680</v>
      </c>
      <c r="B4948" s="1" t="str">
        <f>"20684"</f>
        <v>20684</v>
      </c>
      <c r="C4948" s="2">
        <v>9.1961921700992304E-3</v>
      </c>
      <c r="D4948" s="2">
        <v>2.5749772796122301E-2</v>
      </c>
      <c r="E4948" s="2">
        <v>2.0876826722338201E-2</v>
      </c>
      <c r="F4948" s="2">
        <v>1.06936363801134E-2</v>
      </c>
    </row>
    <row r="4949" spans="1:6" x14ac:dyDescent="0.25">
      <c r="A4949" s="1" t="str">
        <f t="shared" si="185"/>
        <v>15680</v>
      </c>
      <c r="B4949" s="1" t="str">
        <f>"20680"</f>
        <v>20680</v>
      </c>
      <c r="C4949" s="2">
        <v>8.9334438223821096E-3</v>
      </c>
      <c r="D4949" s="2">
        <v>3.9382005452893E-3</v>
      </c>
      <c r="E4949" s="2">
        <v>5.8455114822546896E-3</v>
      </c>
      <c r="F4949" s="2">
        <v>8.5005346818189994E-3</v>
      </c>
    </row>
    <row r="4950" spans="1:6" x14ac:dyDescent="0.25">
      <c r="A4950" s="1" t="str">
        <f t="shared" si="185"/>
        <v>15680</v>
      </c>
      <c r="B4950" s="1" t="str">
        <f>"20635"</f>
        <v>20635</v>
      </c>
      <c r="C4950" s="2">
        <v>0</v>
      </c>
      <c r="D4950" s="2">
        <v>0</v>
      </c>
      <c r="E4950" s="2">
        <v>4.1753653444676401E-4</v>
      </c>
      <c r="F4950" s="2">
        <v>1.81248074239211E-5</v>
      </c>
    </row>
    <row r="4951" spans="1:6" x14ac:dyDescent="0.25">
      <c r="A4951" s="1" t="str">
        <f t="shared" si="185"/>
        <v>15680</v>
      </c>
      <c r="B4951" s="1" t="str">
        <f>"20634"</f>
        <v>20634</v>
      </c>
      <c r="C4951" s="2">
        <v>7.5085393213008E-2</v>
      </c>
      <c r="D4951" s="2">
        <v>4.0290820963344402E-2</v>
      </c>
      <c r="E4951" s="2">
        <v>5.4279749478079301E-2</v>
      </c>
      <c r="F4951" s="2">
        <v>7.2100483932358198E-2</v>
      </c>
    </row>
    <row r="4952" spans="1:6" x14ac:dyDescent="0.25">
      <c r="A4952" s="1" t="str">
        <f t="shared" si="185"/>
        <v>15680</v>
      </c>
      <c r="B4952" s="1" t="str">
        <f>"20627"</f>
        <v>20627</v>
      </c>
      <c r="C4952" s="2">
        <v>1.01057056814277E-4</v>
      </c>
      <c r="D4952" s="2">
        <v>0</v>
      </c>
      <c r="E4952" s="2">
        <v>4.1753653444676401E-4</v>
      </c>
      <c r="F4952" s="2">
        <v>1.08748844543526E-4</v>
      </c>
    </row>
    <row r="4953" spans="1:6" x14ac:dyDescent="0.25">
      <c r="A4953" s="1" t="str">
        <f t="shared" si="185"/>
        <v>15680</v>
      </c>
      <c r="B4953" s="1" t="str">
        <f>"20656"</f>
        <v>20656</v>
      </c>
      <c r="C4953" s="2">
        <v>1.29353032722274E-3</v>
      </c>
      <c r="D4953" s="2">
        <v>1.2117540139351701E-3</v>
      </c>
      <c r="E4953" s="2">
        <v>4.1753653444676401E-4</v>
      </c>
      <c r="F4953" s="2">
        <v>1.25061171225055E-3</v>
      </c>
    </row>
    <row r="4954" spans="1:6" x14ac:dyDescent="0.25">
      <c r="A4954" s="1" t="str">
        <f t="shared" si="185"/>
        <v>15680</v>
      </c>
      <c r="B4954" s="1" t="str">
        <f>"20630"</f>
        <v>20630</v>
      </c>
      <c r="C4954" s="2">
        <v>5.6996180043252399E-3</v>
      </c>
      <c r="D4954" s="2">
        <v>9.0881551045137799E-4</v>
      </c>
      <c r="E4954" s="2">
        <v>2.0876826722338198E-3</v>
      </c>
      <c r="F4954" s="2">
        <v>5.2561941529371201E-3</v>
      </c>
    </row>
    <row r="4955" spans="1:6" x14ac:dyDescent="0.25">
      <c r="A4955" s="1" t="str">
        <f t="shared" si="185"/>
        <v>15680</v>
      </c>
      <c r="B4955" s="1" t="str">
        <f>"20622"</f>
        <v>20622</v>
      </c>
      <c r="C4955" s="2">
        <v>1.06716251995876E-2</v>
      </c>
      <c r="D4955" s="2">
        <v>5.9073008179339498E-2</v>
      </c>
      <c r="E4955" s="2">
        <v>1.9206680584551099E-2</v>
      </c>
      <c r="F4955" s="2">
        <v>1.39379769089953E-2</v>
      </c>
    </row>
    <row r="4956" spans="1:6" x14ac:dyDescent="0.25">
      <c r="A4956" s="1" t="str">
        <f t="shared" si="185"/>
        <v>15680</v>
      </c>
      <c r="B4956" s="1" t="str">
        <f>"20686"</f>
        <v>20686</v>
      </c>
      <c r="C4956" s="2">
        <v>2.02114113628554E-5</v>
      </c>
      <c r="D4956" s="2">
        <v>1.2117540139351701E-3</v>
      </c>
      <c r="E4956" s="2">
        <v>4.1753653444676401E-4</v>
      </c>
      <c r="F4956" s="2">
        <v>1.08748844543526E-4</v>
      </c>
    </row>
    <row r="4957" spans="1:6" x14ac:dyDescent="0.25">
      <c r="A4957" s="1" t="str">
        <f t="shared" si="185"/>
        <v>15680</v>
      </c>
      <c r="B4957" s="1" t="str">
        <f>"20621"</f>
        <v>20621</v>
      </c>
      <c r="C4957" s="2">
        <v>8.38773571558501E-3</v>
      </c>
      <c r="D4957" s="2">
        <v>9.0881551045137799E-4</v>
      </c>
      <c r="E4957" s="2">
        <v>8.3507306889352801E-4</v>
      </c>
      <c r="F4957" s="2">
        <v>7.6124191180468696E-3</v>
      </c>
    </row>
    <row r="4958" spans="1:6" x14ac:dyDescent="0.25">
      <c r="A4958" s="1" t="str">
        <f t="shared" si="185"/>
        <v>15680</v>
      </c>
      <c r="B4958" s="1" t="str">
        <f>"20659"</f>
        <v>20659</v>
      </c>
      <c r="C4958" s="2">
        <v>0.17777957434767599</v>
      </c>
      <c r="D4958" s="2">
        <v>7.6037564374431904E-2</v>
      </c>
      <c r="E4958" s="2">
        <v>4.8016701461377799E-2</v>
      </c>
      <c r="F4958" s="2">
        <v>0.16605948561796499</v>
      </c>
    </row>
    <row r="4959" spans="1:6" x14ac:dyDescent="0.25">
      <c r="A4959" s="1" t="str">
        <f t="shared" si="185"/>
        <v>15680</v>
      </c>
      <c r="B4959" s="1" t="str">
        <f>"20636"</f>
        <v>20636</v>
      </c>
      <c r="C4959" s="2">
        <v>9.8651898862097506E-2</v>
      </c>
      <c r="D4959" s="2">
        <v>0.104816722205392</v>
      </c>
      <c r="E4959" s="2">
        <v>5.1356993736951899E-2</v>
      </c>
      <c r="F4959" s="2">
        <v>9.6967719717977893E-2</v>
      </c>
    </row>
    <row r="4960" spans="1:6" x14ac:dyDescent="0.25">
      <c r="A4960" s="1" t="str">
        <f t="shared" si="185"/>
        <v>15680</v>
      </c>
      <c r="B4960" s="1" t="str">
        <f>"20606"</f>
        <v>20606</v>
      </c>
      <c r="C4960" s="2">
        <v>3.2338258180568701E-3</v>
      </c>
      <c r="D4960" s="2">
        <v>0</v>
      </c>
      <c r="E4960" s="2">
        <v>4.1753653444676401E-4</v>
      </c>
      <c r="F4960" s="2">
        <v>2.9180939952512999E-3</v>
      </c>
    </row>
    <row r="4961" spans="1:6" x14ac:dyDescent="0.25">
      <c r="A4961" s="1" t="str">
        <f t="shared" si="185"/>
        <v>15680</v>
      </c>
      <c r="B4961" s="1" t="str">
        <f>"20624"</f>
        <v>20624</v>
      </c>
      <c r="C4961" s="2">
        <v>7.2558966792651098E-3</v>
      </c>
      <c r="D4961" s="2">
        <v>2.4235080278703401E-3</v>
      </c>
      <c r="E4961" s="2">
        <v>1.2526096033402901E-3</v>
      </c>
      <c r="F4961" s="2">
        <v>6.7061787468508096E-3</v>
      </c>
    </row>
    <row r="4962" spans="1:6" x14ac:dyDescent="0.25">
      <c r="A4962" s="1" t="str">
        <f t="shared" si="185"/>
        <v>15680</v>
      </c>
      <c r="B4962" s="1" t="str">
        <f>"20670"</f>
        <v>20670</v>
      </c>
      <c r="C4962" s="2">
        <v>3.7391111021282598E-2</v>
      </c>
      <c r="D4962" s="2">
        <v>7.0584671311723704E-2</v>
      </c>
      <c r="E4962" s="2">
        <v>0.173695198329853</v>
      </c>
      <c r="F4962" s="2">
        <v>4.52938937523788E-2</v>
      </c>
    </row>
    <row r="4963" spans="1:6" x14ac:dyDescent="0.25">
      <c r="A4963" s="1" t="str">
        <f t="shared" si="185"/>
        <v>15680</v>
      </c>
      <c r="B4963" s="1" t="str">
        <f>"20667"</f>
        <v>20667</v>
      </c>
      <c r="C4963" s="2">
        <v>3.7593225134911101E-3</v>
      </c>
      <c r="D4963" s="2">
        <v>6.0587700696758504E-4</v>
      </c>
      <c r="E4963" s="2">
        <v>6.6805845511482198E-3</v>
      </c>
      <c r="F4963" s="2">
        <v>3.6974607144798998E-3</v>
      </c>
    </row>
    <row r="4964" spans="1:6" x14ac:dyDescent="0.25">
      <c r="A4964" s="1" t="str">
        <f t="shared" si="185"/>
        <v>15680</v>
      </c>
      <c r="B4964" s="1" t="str">
        <f>"20628"</f>
        <v>20628</v>
      </c>
      <c r="C4964" s="2">
        <v>4.7901044929967397E-3</v>
      </c>
      <c r="D4964" s="2">
        <v>3.0293850348379198E-4</v>
      </c>
      <c r="E4964" s="2">
        <v>1.2526096033402901E-3</v>
      </c>
      <c r="F4964" s="2">
        <v>4.3680785891649903E-3</v>
      </c>
    </row>
    <row r="4965" spans="1:6" x14ac:dyDescent="0.25">
      <c r="A4965" s="1" t="str">
        <f t="shared" ref="A4965:A4982" si="186">"15700"</f>
        <v>15700</v>
      </c>
      <c r="B4965" s="1" t="str">
        <f>"21655"</f>
        <v>21655</v>
      </c>
      <c r="C4965" s="2">
        <v>2.28493088084085E-4</v>
      </c>
      <c r="D4965" s="2">
        <v>0</v>
      </c>
      <c r="E4965" s="2">
        <v>0</v>
      </c>
      <c r="F4965" s="2">
        <v>2.0121736505860399E-4</v>
      </c>
    </row>
    <row r="4966" spans="1:6" x14ac:dyDescent="0.25">
      <c r="A4966" s="1" t="str">
        <f t="shared" si="186"/>
        <v>15700</v>
      </c>
      <c r="B4966" s="1" t="str">
        <f>"21672"</f>
        <v>21672</v>
      </c>
      <c r="C4966" s="2">
        <v>1.0796298411973E-2</v>
      </c>
      <c r="D4966" s="2">
        <v>5.4495912806539499E-3</v>
      </c>
      <c r="E4966" s="2">
        <v>1.1049723756906E-3</v>
      </c>
      <c r="F4966" s="2">
        <v>9.96025957040092E-3</v>
      </c>
    </row>
    <row r="4967" spans="1:6" x14ac:dyDescent="0.25">
      <c r="A4967" s="1" t="str">
        <f t="shared" si="186"/>
        <v>15700</v>
      </c>
      <c r="B4967" s="1" t="str">
        <f>"21634"</f>
        <v>21634</v>
      </c>
      <c r="C4967" s="2">
        <v>1.5651776533759799E-2</v>
      </c>
      <c r="D4967" s="2">
        <v>4.7683923705722003E-3</v>
      </c>
      <c r="E4967" s="2">
        <v>0</v>
      </c>
      <c r="F4967" s="2">
        <v>1.41355198953669E-2</v>
      </c>
    </row>
    <row r="4968" spans="1:6" x14ac:dyDescent="0.25">
      <c r="A4968" s="1" t="str">
        <f t="shared" si="186"/>
        <v>15700</v>
      </c>
      <c r="B4968" s="1" t="str">
        <f>"21675"</f>
        <v>21675</v>
      </c>
      <c r="C4968" s="2">
        <v>4.91260139380783E-3</v>
      </c>
      <c r="D4968" s="2">
        <v>5.4495912806539499E-3</v>
      </c>
      <c r="E4968" s="2">
        <v>0</v>
      </c>
      <c r="F4968" s="2">
        <v>4.7286080788772004E-3</v>
      </c>
    </row>
    <row r="4969" spans="1:6" x14ac:dyDescent="0.25">
      <c r="A4969" s="1" t="str">
        <f t="shared" si="186"/>
        <v>15700</v>
      </c>
      <c r="B4969" s="1" t="str">
        <f>"21643"</f>
        <v>21643</v>
      </c>
      <c r="C4969" s="2">
        <v>0.13138352564834899</v>
      </c>
      <c r="D4969" s="2">
        <v>4.6321525885558497E-2</v>
      </c>
      <c r="E4969" s="2">
        <v>1.87845303867403E-2</v>
      </c>
      <c r="F4969" s="2">
        <v>0.119975853916192</v>
      </c>
    </row>
    <row r="4970" spans="1:6" x14ac:dyDescent="0.25">
      <c r="A4970" s="1" t="str">
        <f t="shared" si="186"/>
        <v>15700</v>
      </c>
      <c r="B4970" s="1" t="str">
        <f>"21659"</f>
        <v>21659</v>
      </c>
      <c r="C4970" s="2">
        <v>2.72478007540271E-2</v>
      </c>
      <c r="D4970" s="2">
        <v>1.6348773841961799E-2</v>
      </c>
      <c r="E4970" s="2">
        <v>0</v>
      </c>
      <c r="F4970" s="2">
        <v>2.5202474973590201E-2</v>
      </c>
    </row>
    <row r="4971" spans="1:6" x14ac:dyDescent="0.25">
      <c r="A4971" s="1" t="str">
        <f t="shared" si="186"/>
        <v>15700</v>
      </c>
      <c r="B4971" s="1" t="str">
        <f>"21648"</f>
        <v>21648</v>
      </c>
      <c r="C4971" s="2">
        <v>7.88301153890094E-3</v>
      </c>
      <c r="D4971" s="2">
        <v>4.7683923705722003E-3</v>
      </c>
      <c r="E4971" s="2">
        <v>0</v>
      </c>
      <c r="F4971" s="2">
        <v>7.2941294833744098E-3</v>
      </c>
    </row>
    <row r="4972" spans="1:6" x14ac:dyDescent="0.25">
      <c r="A4972" s="1" t="str">
        <f t="shared" si="186"/>
        <v>15700</v>
      </c>
      <c r="B4972" s="1" t="str">
        <f>"21669"</f>
        <v>21669</v>
      </c>
      <c r="C4972" s="2">
        <v>1.14246544042042E-4</v>
      </c>
      <c r="D4972" s="2">
        <v>1.3623978201634801E-3</v>
      </c>
      <c r="E4972" s="2">
        <v>0</v>
      </c>
      <c r="F4972" s="2">
        <v>2.0121736505860399E-4</v>
      </c>
    </row>
    <row r="4973" spans="1:6" x14ac:dyDescent="0.25">
      <c r="A4973" s="1" t="str">
        <f t="shared" si="186"/>
        <v>15700</v>
      </c>
      <c r="B4973" s="1" t="str">
        <f>"21869"</f>
        <v>21869</v>
      </c>
      <c r="C4973" s="2">
        <v>2.86187592825317E-2</v>
      </c>
      <c r="D4973" s="2">
        <v>3.4741144414168902E-2</v>
      </c>
      <c r="E4973" s="2">
        <v>1.3259668508287199E-2</v>
      </c>
      <c r="F4973" s="2">
        <v>2.8371648473263199E-2</v>
      </c>
    </row>
    <row r="4974" spans="1:6" x14ac:dyDescent="0.25">
      <c r="A4974" s="1" t="str">
        <f t="shared" si="186"/>
        <v>15700</v>
      </c>
      <c r="B4974" s="1" t="str">
        <f>"21627"</f>
        <v>21627</v>
      </c>
      <c r="C4974" s="2">
        <v>1.82794470467268E-3</v>
      </c>
      <c r="D4974" s="2">
        <v>2.0435967302452301E-3</v>
      </c>
      <c r="E4974" s="2">
        <v>0</v>
      </c>
      <c r="F4974" s="2">
        <v>1.76065194426278E-3</v>
      </c>
    </row>
    <row r="4975" spans="1:6" x14ac:dyDescent="0.25">
      <c r="A4975" s="1" t="str">
        <f t="shared" si="186"/>
        <v>15700</v>
      </c>
      <c r="B4975" s="1" t="str">
        <f>"21677"</f>
        <v>21677</v>
      </c>
      <c r="C4975" s="2">
        <v>1.4909173997486499E-2</v>
      </c>
      <c r="D4975" s="2">
        <v>2.7247956403269702E-3</v>
      </c>
      <c r="E4975" s="2">
        <v>0</v>
      </c>
      <c r="F4975" s="2">
        <v>1.3330650435132501E-2</v>
      </c>
    </row>
    <row r="4976" spans="1:6" x14ac:dyDescent="0.25">
      <c r="A4976" s="1" t="str">
        <f t="shared" si="186"/>
        <v>15700</v>
      </c>
      <c r="B4976" s="1" t="str">
        <f>"21835"</f>
        <v>21835</v>
      </c>
      <c r="C4976" s="2">
        <v>1.31954758368559E-2</v>
      </c>
      <c r="D4976" s="2">
        <v>4.7683923705722003E-3</v>
      </c>
      <c r="E4976" s="2">
        <v>1.1049723756906E-3</v>
      </c>
      <c r="F4976" s="2">
        <v>1.20227375622516E-2</v>
      </c>
    </row>
    <row r="4977" spans="1:6" x14ac:dyDescent="0.25">
      <c r="A4977" s="1" t="str">
        <f t="shared" si="186"/>
        <v>15700</v>
      </c>
      <c r="B4977" s="1" t="str">
        <f>"21626"</f>
        <v>21626</v>
      </c>
      <c r="C4977" s="2">
        <v>5.6552039300811104E-3</v>
      </c>
      <c r="D4977" s="2">
        <v>2.0435967302452301E-3</v>
      </c>
      <c r="E4977" s="2">
        <v>0</v>
      </c>
      <c r="F4977" s="2">
        <v>5.1310428089944102E-3</v>
      </c>
    </row>
    <row r="4978" spans="1:6" x14ac:dyDescent="0.25">
      <c r="A4978" s="1" t="str">
        <f t="shared" si="186"/>
        <v>15700</v>
      </c>
      <c r="B4978" s="1" t="str">
        <f>"21632"</f>
        <v>21632</v>
      </c>
      <c r="C4978" s="2">
        <v>2.1306980463840899E-2</v>
      </c>
      <c r="D4978" s="2">
        <v>2.0435967302452301E-3</v>
      </c>
      <c r="E4978" s="2">
        <v>1.98895027624309E-2</v>
      </c>
      <c r="F4978" s="2">
        <v>1.9819910458272499E-2</v>
      </c>
    </row>
    <row r="4979" spans="1:6" x14ac:dyDescent="0.25">
      <c r="A4979" s="1" t="str">
        <f t="shared" si="186"/>
        <v>15700</v>
      </c>
      <c r="B4979" s="1" t="str">
        <f>"21622"</f>
        <v>21622</v>
      </c>
      <c r="C4979" s="2">
        <v>1.66228721581172E-2</v>
      </c>
      <c r="D4979" s="2">
        <v>8.1743869209809205E-3</v>
      </c>
      <c r="E4979" s="2">
        <v>4.4198895027624304E-3</v>
      </c>
      <c r="F4979" s="2">
        <v>1.54434327682478E-2</v>
      </c>
    </row>
    <row r="4980" spans="1:6" x14ac:dyDescent="0.25">
      <c r="A4980" s="1" t="str">
        <f t="shared" si="186"/>
        <v>15700</v>
      </c>
      <c r="B4980" s="1" t="str">
        <f>"21613"</f>
        <v>21613</v>
      </c>
      <c r="C4980" s="2">
        <v>0.62190106249285904</v>
      </c>
      <c r="D4980" s="2">
        <v>0.83855585831062596</v>
      </c>
      <c r="E4980" s="2">
        <v>0.92817679558011001</v>
      </c>
      <c r="F4980" s="2">
        <v>0.65184365410734901</v>
      </c>
    </row>
    <row r="4981" spans="1:6" x14ac:dyDescent="0.25">
      <c r="A4981" s="1" t="str">
        <f t="shared" si="186"/>
        <v>15700</v>
      </c>
      <c r="B4981" s="1" t="str">
        <f>"21664"</f>
        <v>21664</v>
      </c>
      <c r="C4981" s="2">
        <v>9.88232605963669E-3</v>
      </c>
      <c r="D4981" s="2">
        <v>0</v>
      </c>
      <c r="E4981" s="2">
        <v>1.1049723756906E-3</v>
      </c>
      <c r="F4981" s="2">
        <v>8.7529553800492904E-3</v>
      </c>
    </row>
    <row r="4982" spans="1:6" x14ac:dyDescent="0.25">
      <c r="A4982" s="1" t="str">
        <f t="shared" si="186"/>
        <v>15700</v>
      </c>
      <c r="B4982" s="1" t="str">
        <f>"21631"</f>
        <v>21631</v>
      </c>
      <c r="C4982" s="2">
        <v>6.7862447160973297E-2</v>
      </c>
      <c r="D4982" s="2">
        <v>2.0435967302452299E-2</v>
      </c>
      <c r="E4982" s="2">
        <v>1.21546961325966E-2</v>
      </c>
      <c r="F4982" s="2">
        <v>6.1824035414256198E-2</v>
      </c>
    </row>
    <row r="4983" spans="1:6" x14ac:dyDescent="0.25">
      <c r="A4983" s="1" t="str">
        <f t="shared" ref="A4983:A5003" si="187">"15740"</f>
        <v>15740</v>
      </c>
      <c r="B4983" s="1" t="str">
        <f>"43749"</f>
        <v>43749</v>
      </c>
      <c r="C4983" s="2">
        <v>5.7896021479130998E-2</v>
      </c>
      <c r="D4983" s="2">
        <v>1.29487934078869E-2</v>
      </c>
      <c r="E4983" s="2">
        <v>0</v>
      </c>
      <c r="F4983" s="2">
        <v>5.3019662921348298E-2</v>
      </c>
    </row>
    <row r="4984" spans="1:6" x14ac:dyDescent="0.25">
      <c r="A4984" s="1" t="str">
        <f t="shared" si="187"/>
        <v>15740</v>
      </c>
      <c r="B4984" s="1" t="str">
        <f>"43733"</f>
        <v>43733</v>
      </c>
      <c r="C4984" s="2">
        <v>4.8816206980717499E-5</v>
      </c>
      <c r="D4984" s="2">
        <v>5.8858151854031704E-4</v>
      </c>
      <c r="E4984" s="2">
        <v>0</v>
      </c>
      <c r="F4984" s="2">
        <v>8.7780898876404397E-5</v>
      </c>
    </row>
    <row r="4985" spans="1:6" x14ac:dyDescent="0.25">
      <c r="A4985" s="1" t="str">
        <f t="shared" si="187"/>
        <v>15740</v>
      </c>
      <c r="B4985" s="1" t="str">
        <f>"43768"</f>
        <v>43768</v>
      </c>
      <c r="C4985" s="2">
        <v>0</v>
      </c>
      <c r="D4985" s="2">
        <v>5.8858151854031704E-4</v>
      </c>
      <c r="E4985" s="2">
        <v>0</v>
      </c>
      <c r="F4985" s="2">
        <v>4.3890449438202199E-5</v>
      </c>
    </row>
    <row r="4986" spans="1:6" x14ac:dyDescent="0.25">
      <c r="A4986" s="1" t="str">
        <f t="shared" si="187"/>
        <v>15740</v>
      </c>
      <c r="B4986" s="1" t="str">
        <f>"43778"</f>
        <v>43778</v>
      </c>
      <c r="C4986" s="2">
        <v>3.47083231632902E-2</v>
      </c>
      <c r="D4986" s="2">
        <v>9.4173042966450796E-3</v>
      </c>
      <c r="E4986" s="2">
        <v>0</v>
      </c>
      <c r="F4986" s="2">
        <v>3.1908356741573003E-2</v>
      </c>
    </row>
    <row r="4987" spans="1:6" x14ac:dyDescent="0.25">
      <c r="A4987" s="1" t="str">
        <f t="shared" si="187"/>
        <v>15740</v>
      </c>
      <c r="B4987" s="1" t="str">
        <f>"43773"</f>
        <v>43773</v>
      </c>
      <c r="C4987" s="2">
        <v>4.1542592140590598E-2</v>
      </c>
      <c r="D4987" s="2">
        <v>1.05944673337257E-2</v>
      </c>
      <c r="E4987" s="2">
        <v>1.6666666666666601E-3</v>
      </c>
      <c r="F4987" s="2">
        <v>3.8184691011235901E-2</v>
      </c>
    </row>
    <row r="4988" spans="1:6" x14ac:dyDescent="0.25">
      <c r="A4988" s="1" t="str">
        <f t="shared" si="187"/>
        <v>15740</v>
      </c>
      <c r="B4988" s="1" t="str">
        <f>"43755"</f>
        <v>43755</v>
      </c>
      <c r="C4988" s="2">
        <v>4.3153526970954301E-2</v>
      </c>
      <c r="D4988" s="2">
        <v>1.7068864037669201E-2</v>
      </c>
      <c r="E4988" s="2">
        <v>1.6666666666666601E-3</v>
      </c>
      <c r="F4988" s="2">
        <v>4.0115870786516801E-2</v>
      </c>
    </row>
    <row r="4989" spans="1:6" x14ac:dyDescent="0.25">
      <c r="A4989" s="1" t="str">
        <f t="shared" si="187"/>
        <v>15740</v>
      </c>
      <c r="B4989" s="1" t="str">
        <f>"43750"</f>
        <v>43750</v>
      </c>
      <c r="C4989" s="2">
        <v>2.3919941420551599E-3</v>
      </c>
      <c r="D4989" s="2">
        <v>1.7657445556209499E-3</v>
      </c>
      <c r="E4989" s="2">
        <v>0</v>
      </c>
      <c r="F4989" s="2">
        <v>2.2823033707865099E-3</v>
      </c>
    </row>
    <row r="4990" spans="1:6" x14ac:dyDescent="0.25">
      <c r="A4990" s="1" t="str">
        <f t="shared" si="187"/>
        <v>15740</v>
      </c>
      <c r="B4990" s="1" t="str">
        <f>"43983"</f>
        <v>43983</v>
      </c>
      <c r="C4990" s="2">
        <v>3.4659506956309402E-3</v>
      </c>
      <c r="D4990" s="2">
        <v>5.8858151854031704E-4</v>
      </c>
      <c r="E4990" s="2">
        <v>0</v>
      </c>
      <c r="F4990" s="2">
        <v>3.16011235955056E-3</v>
      </c>
    </row>
    <row r="4991" spans="1:6" x14ac:dyDescent="0.25">
      <c r="A4991" s="1" t="str">
        <f t="shared" si="187"/>
        <v>15740</v>
      </c>
      <c r="B4991" s="1" t="str">
        <f>"43736"</f>
        <v>43736</v>
      </c>
      <c r="C4991" s="2">
        <v>0</v>
      </c>
      <c r="D4991" s="2">
        <v>0</v>
      </c>
      <c r="E4991" s="2">
        <v>1.6666666666666601E-3</v>
      </c>
      <c r="F4991" s="2">
        <v>4.3890449438202199E-5</v>
      </c>
    </row>
    <row r="4992" spans="1:6" x14ac:dyDescent="0.25">
      <c r="A4992" s="1" t="str">
        <f t="shared" si="187"/>
        <v>15740</v>
      </c>
      <c r="B4992" s="1" t="str">
        <f>"44699"</f>
        <v>44699</v>
      </c>
      <c r="C4992" s="2">
        <v>3.41713448865023E-4</v>
      </c>
      <c r="D4992" s="2">
        <v>0</v>
      </c>
      <c r="E4992" s="2">
        <v>0</v>
      </c>
      <c r="F4992" s="2">
        <v>3.0723314606741502E-4</v>
      </c>
    </row>
    <row r="4993" spans="1:6" x14ac:dyDescent="0.25">
      <c r="A4993" s="1" t="str">
        <f t="shared" si="187"/>
        <v>15740</v>
      </c>
      <c r="B4993" s="1" t="str">
        <f>"43732"</f>
        <v>43732</v>
      </c>
      <c r="C4993" s="2">
        <v>2.8703929704661901E-2</v>
      </c>
      <c r="D4993" s="2">
        <v>1.0005885815185399E-2</v>
      </c>
      <c r="E4993" s="2">
        <v>3.3333333333333301E-3</v>
      </c>
      <c r="F4993" s="2">
        <v>2.66415028089887E-2</v>
      </c>
    </row>
    <row r="4994" spans="1:6" x14ac:dyDescent="0.25">
      <c r="A4994" s="1" t="str">
        <f t="shared" si="187"/>
        <v>15740</v>
      </c>
      <c r="B4994" s="1" t="str">
        <f>"43832"</f>
        <v>43832</v>
      </c>
      <c r="C4994" s="2">
        <v>5.4185989748596498E-3</v>
      </c>
      <c r="D4994" s="2">
        <v>5.8858151854031704E-4</v>
      </c>
      <c r="E4994" s="2">
        <v>1.6666666666666601E-3</v>
      </c>
      <c r="F4994" s="2">
        <v>4.9596207865168496E-3</v>
      </c>
    </row>
    <row r="4995" spans="1:6" x14ac:dyDescent="0.25">
      <c r="A4995" s="1" t="str">
        <f t="shared" si="187"/>
        <v>15740</v>
      </c>
      <c r="B4995" s="1" t="str">
        <f>"43722"</f>
        <v>43722</v>
      </c>
      <c r="C4995" s="2">
        <v>9.7632413961435094E-5</v>
      </c>
      <c r="D4995" s="2">
        <v>5.8858151854031704E-4</v>
      </c>
      <c r="E4995" s="2">
        <v>0</v>
      </c>
      <c r="F4995" s="2">
        <v>1.3167134831460601E-4</v>
      </c>
    </row>
    <row r="4996" spans="1:6" x14ac:dyDescent="0.25">
      <c r="A4996" s="1" t="str">
        <f t="shared" si="187"/>
        <v>15740</v>
      </c>
      <c r="B4996" s="1" t="str">
        <f>"43713"</f>
        <v>43713</v>
      </c>
      <c r="C4996" s="2">
        <v>9.7632413961435094E-5</v>
      </c>
      <c r="D4996" s="2">
        <v>0</v>
      </c>
      <c r="E4996" s="2">
        <v>0</v>
      </c>
      <c r="F4996" s="2">
        <v>8.7780898876404397E-5</v>
      </c>
    </row>
    <row r="4997" spans="1:6" x14ac:dyDescent="0.25">
      <c r="A4997" s="1" t="str">
        <f t="shared" si="187"/>
        <v>15740</v>
      </c>
      <c r="B4997" s="1" t="str">
        <f>"43723"</f>
        <v>43723</v>
      </c>
      <c r="C4997" s="2">
        <v>0.114913351232609</v>
      </c>
      <c r="D4997" s="2">
        <v>9.4761624484991105E-2</v>
      </c>
      <c r="E4997" s="2">
        <v>0.19166666666666601</v>
      </c>
      <c r="F4997" s="2">
        <v>0.115431882022471</v>
      </c>
    </row>
    <row r="4998" spans="1:6" x14ac:dyDescent="0.25">
      <c r="A4998" s="1" t="str">
        <f t="shared" si="187"/>
        <v>15740</v>
      </c>
      <c r="B4998" s="1" t="str">
        <f>"43973"</f>
        <v>43973</v>
      </c>
      <c r="C4998" s="2">
        <v>2.29924334879179E-2</v>
      </c>
      <c r="D4998" s="2">
        <v>1.2360211889346599E-2</v>
      </c>
      <c r="E4998" s="2">
        <v>0</v>
      </c>
      <c r="F4998" s="2">
        <v>2.1594101123595499E-2</v>
      </c>
    </row>
    <row r="4999" spans="1:6" x14ac:dyDescent="0.25">
      <c r="A4999" s="1" t="str">
        <f t="shared" si="187"/>
        <v>15740</v>
      </c>
      <c r="B4999" s="1" t="str">
        <f>"43772"</f>
        <v>43772</v>
      </c>
      <c r="C4999" s="2">
        <v>2.5579692457896E-2</v>
      </c>
      <c r="D4999" s="2">
        <v>1.3537374926427301E-2</v>
      </c>
      <c r="E4999" s="2">
        <v>0</v>
      </c>
      <c r="F4999" s="2">
        <v>2.40080758426966E-2</v>
      </c>
    </row>
    <row r="5000" spans="1:6" x14ac:dyDescent="0.25">
      <c r="A5000" s="1" t="str">
        <f t="shared" si="187"/>
        <v>15740</v>
      </c>
      <c r="B5000" s="1" t="str">
        <f>"43762"</f>
        <v>43762</v>
      </c>
      <c r="C5000" s="2">
        <v>2.1576763485477098E-2</v>
      </c>
      <c r="D5000" s="2">
        <v>5.2972336668628602E-3</v>
      </c>
      <c r="E5000" s="2">
        <v>6.6666666666666602E-3</v>
      </c>
      <c r="F5000" s="2">
        <v>1.9970154494382001E-2</v>
      </c>
    </row>
    <row r="5001" spans="1:6" x14ac:dyDescent="0.25">
      <c r="A5001" s="1" t="str">
        <f t="shared" si="187"/>
        <v>15740</v>
      </c>
      <c r="B5001" s="1" t="str">
        <f>"43725"</f>
        <v>43725</v>
      </c>
      <c r="C5001" s="2">
        <v>0.54639980473517202</v>
      </c>
      <c r="D5001" s="2">
        <v>0.79929370217775098</v>
      </c>
      <c r="E5001" s="2">
        <v>0.78333333333333299</v>
      </c>
      <c r="F5001" s="2">
        <v>0.57149754213483095</v>
      </c>
    </row>
    <row r="5002" spans="1:6" x14ac:dyDescent="0.25">
      <c r="A5002" s="1" t="str">
        <f t="shared" si="187"/>
        <v>15740</v>
      </c>
      <c r="B5002" s="1" t="str">
        <f>"43780"</f>
        <v>43780</v>
      </c>
      <c r="C5002" s="2">
        <v>4.8035147669026099E-2</v>
      </c>
      <c r="D5002" s="2">
        <v>1.0005885815185399E-2</v>
      </c>
      <c r="E5002" s="2">
        <v>8.3333333333333297E-3</v>
      </c>
      <c r="F5002" s="2">
        <v>4.41537921348314E-2</v>
      </c>
    </row>
    <row r="5003" spans="1:6" x14ac:dyDescent="0.25">
      <c r="A5003" s="1" t="str">
        <f t="shared" si="187"/>
        <v>15740</v>
      </c>
      <c r="B5003" s="1" t="str">
        <f>"43837"</f>
        <v>43837</v>
      </c>
      <c r="C5003" s="2">
        <v>2.63607517695875E-3</v>
      </c>
      <c r="D5003" s="2">
        <v>0</v>
      </c>
      <c r="E5003" s="2">
        <v>0</v>
      </c>
      <c r="F5003" s="2">
        <v>2.3700842696629202E-3</v>
      </c>
    </row>
    <row r="5004" spans="1:6" x14ac:dyDescent="0.25">
      <c r="A5004" s="1" t="str">
        <f t="shared" ref="A5004:A5035" si="188">"15764"</f>
        <v>15764</v>
      </c>
      <c r="B5004" s="1" t="str">
        <f>"02143"</f>
        <v>02143</v>
      </c>
      <c r="C5004" s="2">
        <v>5.5465112958044099E-2</v>
      </c>
      <c r="D5004" s="2">
        <v>1.6098121885779901E-2</v>
      </c>
      <c r="E5004" s="2">
        <v>6.3117505995203799E-2</v>
      </c>
      <c r="F5004" s="2">
        <v>5.4987824421920198E-2</v>
      </c>
    </row>
    <row r="5005" spans="1:6" x14ac:dyDescent="0.25">
      <c r="A5005" s="1" t="str">
        <f t="shared" si="188"/>
        <v>15764</v>
      </c>
      <c r="B5005" s="1" t="str">
        <f>"02149"</f>
        <v>02149</v>
      </c>
      <c r="C5005" s="2">
        <v>5.4322680147373799E-2</v>
      </c>
      <c r="D5005" s="2">
        <v>3.0663089306247601E-2</v>
      </c>
      <c r="E5005" s="2">
        <v>5.3237410071942402E-2</v>
      </c>
      <c r="F5005" s="2">
        <v>5.2802464253751499E-2</v>
      </c>
    </row>
    <row r="5006" spans="1:6" x14ac:dyDescent="0.25">
      <c r="A5006" s="1" t="str">
        <f t="shared" si="188"/>
        <v>15764</v>
      </c>
      <c r="B5006" s="1" t="str">
        <f>"02148"</f>
        <v>02148</v>
      </c>
      <c r="C5006" s="2">
        <v>5.30374432353697E-2</v>
      </c>
      <c r="D5006" s="2">
        <v>2.1847451130701401E-2</v>
      </c>
      <c r="E5006" s="2">
        <v>4.8441247002397998E-2</v>
      </c>
      <c r="F5006" s="2">
        <v>5.0346535683809597E-2</v>
      </c>
    </row>
    <row r="5007" spans="1:6" x14ac:dyDescent="0.25">
      <c r="A5007" s="1" t="str">
        <f t="shared" si="188"/>
        <v>15764</v>
      </c>
      <c r="B5007" s="1" t="str">
        <f>"02474"</f>
        <v>02474</v>
      </c>
      <c r="C5007" s="2">
        <v>7.2258875274897796E-3</v>
      </c>
      <c r="D5007" s="2">
        <v>5.36604062859333E-3</v>
      </c>
      <c r="E5007" s="2">
        <v>8.5371702637889596E-3</v>
      </c>
      <c r="F5007" s="2">
        <v>7.4094116177909099E-3</v>
      </c>
    </row>
    <row r="5008" spans="1:6" x14ac:dyDescent="0.25">
      <c r="A5008" s="1" t="str">
        <f t="shared" si="188"/>
        <v>15764</v>
      </c>
      <c r="B5008" s="1" t="str">
        <f>"01923"</f>
        <v>01923</v>
      </c>
      <c r="C5008" s="2">
        <v>6.6261103018878699E-3</v>
      </c>
      <c r="D5008" s="2">
        <v>2.1464162514373299E-2</v>
      </c>
      <c r="E5008" s="2">
        <v>8.8249400479616293E-3</v>
      </c>
      <c r="F5008" s="2">
        <v>7.9089225133723191E-3</v>
      </c>
    </row>
    <row r="5009" spans="1:6" x14ac:dyDescent="0.25">
      <c r="A5009" s="1" t="str">
        <f t="shared" si="188"/>
        <v>15764</v>
      </c>
      <c r="B5009" s="1" t="str">
        <f>"01984"</f>
        <v>01984</v>
      </c>
      <c r="C5009" s="2">
        <v>8.5682460800274102E-5</v>
      </c>
      <c r="D5009" s="2">
        <v>0</v>
      </c>
      <c r="E5009" s="2">
        <v>9.5923261390887203E-5</v>
      </c>
      <c r="F5009" s="2">
        <v>8.3251815930234895E-5</v>
      </c>
    </row>
    <row r="5010" spans="1:6" x14ac:dyDescent="0.25">
      <c r="A5010" s="1" t="str">
        <f t="shared" si="188"/>
        <v>15764</v>
      </c>
      <c r="B5010" s="1" t="str">
        <f>"01464"</f>
        <v>01464</v>
      </c>
      <c r="C5010" s="2">
        <v>1.7136492160054799E-4</v>
      </c>
      <c r="D5010" s="2">
        <v>1.9164430816404701E-3</v>
      </c>
      <c r="E5010" s="2">
        <v>2.87769784172661E-4</v>
      </c>
      <c r="F5010" s="2">
        <v>2.91381355755822E-4</v>
      </c>
    </row>
    <row r="5011" spans="1:6" x14ac:dyDescent="0.25">
      <c r="A5011" s="1" t="str">
        <f t="shared" si="188"/>
        <v>15764</v>
      </c>
      <c r="B5011" s="1" t="str">
        <f>"01860"</f>
        <v>01860</v>
      </c>
      <c r="C5011" s="2">
        <v>2.74183874560877E-3</v>
      </c>
      <c r="D5011" s="2">
        <v>1.5331544653123801E-3</v>
      </c>
      <c r="E5011" s="2">
        <v>3.8369304556354897E-4</v>
      </c>
      <c r="F5011" s="2">
        <v>2.1645472141861E-3</v>
      </c>
    </row>
    <row r="5012" spans="1:6" x14ac:dyDescent="0.25">
      <c r="A5012" s="1" t="str">
        <f t="shared" si="188"/>
        <v>15764</v>
      </c>
      <c r="B5012" s="1" t="str">
        <f>"01944"</f>
        <v>01944</v>
      </c>
      <c r="C5012" s="2">
        <v>2.5419130037414601E-3</v>
      </c>
      <c r="D5012" s="2">
        <v>6.5159064775776104E-3</v>
      </c>
      <c r="E5012" s="2">
        <v>3.5491606714628198E-3</v>
      </c>
      <c r="F5012" s="2">
        <v>2.9762524195059E-3</v>
      </c>
    </row>
    <row r="5013" spans="1:6" x14ac:dyDescent="0.25">
      <c r="A5013" s="1" t="str">
        <f t="shared" si="188"/>
        <v>15764</v>
      </c>
      <c r="B5013" s="1" t="str">
        <f>"01985"</f>
        <v>01985</v>
      </c>
      <c r="C5013" s="2">
        <v>8.5682460800274102E-5</v>
      </c>
      <c r="D5013" s="2">
        <v>3.0663089306247602E-3</v>
      </c>
      <c r="E5013" s="2">
        <v>3.8369304556354897E-4</v>
      </c>
      <c r="F5013" s="2">
        <v>3.1219430973838101E-4</v>
      </c>
    </row>
    <row r="5014" spans="1:6" x14ac:dyDescent="0.25">
      <c r="A5014" s="1" t="str">
        <f t="shared" si="188"/>
        <v>15764</v>
      </c>
      <c r="B5014" s="1" t="str">
        <f>"01432"</f>
        <v>01432</v>
      </c>
      <c r="C5014" s="2">
        <v>4.1413189386799096E-3</v>
      </c>
      <c r="D5014" s="2">
        <v>6.5159064775776104E-3</v>
      </c>
      <c r="E5014" s="2">
        <v>4.9880095923261298E-3</v>
      </c>
      <c r="F5014" s="2">
        <v>4.4539721522675697E-3</v>
      </c>
    </row>
    <row r="5015" spans="1:6" x14ac:dyDescent="0.25">
      <c r="A5015" s="1" t="str">
        <f t="shared" si="188"/>
        <v>15764</v>
      </c>
      <c r="B5015" s="1" t="str">
        <f>"01887"</f>
        <v>01887</v>
      </c>
      <c r="C5015" s="2">
        <v>1.05675034987004E-3</v>
      </c>
      <c r="D5015" s="2">
        <v>1.14986584898428E-2</v>
      </c>
      <c r="E5015" s="2">
        <v>1.1510791366906401E-3</v>
      </c>
      <c r="F5015" s="2">
        <v>1.64422336462214E-3</v>
      </c>
    </row>
    <row r="5016" spans="1:6" x14ac:dyDescent="0.25">
      <c r="A5016" s="1" t="str">
        <f t="shared" si="188"/>
        <v>15764</v>
      </c>
      <c r="B5016" s="1" t="str">
        <f>"01907"</f>
        <v>01907</v>
      </c>
      <c r="C5016" s="2">
        <v>4.8267786250821097E-3</v>
      </c>
      <c r="D5016" s="2">
        <v>3.4495975469528502E-3</v>
      </c>
      <c r="E5016" s="2">
        <v>5.08393285371702E-3</v>
      </c>
      <c r="F5016" s="2">
        <v>4.8077923699710598E-3</v>
      </c>
    </row>
    <row r="5017" spans="1:6" x14ac:dyDescent="0.25">
      <c r="A5017" s="1" t="str">
        <f t="shared" si="188"/>
        <v>15764</v>
      </c>
      <c r="B5017" s="1" t="str">
        <f>"01906"</f>
        <v>01906</v>
      </c>
      <c r="C5017" s="2">
        <v>6.16913717761974E-3</v>
      </c>
      <c r="D5017" s="2">
        <v>2.5297048677654199E-2</v>
      </c>
      <c r="E5017" s="2">
        <v>7.7697841726618701E-3</v>
      </c>
      <c r="F5017" s="2">
        <v>7.5551022956688203E-3</v>
      </c>
    </row>
    <row r="5018" spans="1:6" x14ac:dyDescent="0.25">
      <c r="A5018" s="1" t="str">
        <f t="shared" si="188"/>
        <v>15764</v>
      </c>
      <c r="B5018" s="1" t="str">
        <f>"01810"</f>
        <v>01810</v>
      </c>
      <c r="C5018" s="2">
        <v>6.7403535829548998E-3</v>
      </c>
      <c r="D5018" s="2">
        <v>1.49482560367957E-2</v>
      </c>
      <c r="E5018" s="2">
        <v>2.4940047961630601E-3</v>
      </c>
      <c r="F5018" s="2">
        <v>6.26469914875018E-3</v>
      </c>
    </row>
    <row r="5019" spans="1:6" x14ac:dyDescent="0.25">
      <c r="A5019" s="1" t="str">
        <f t="shared" si="188"/>
        <v>15764</v>
      </c>
      <c r="B5019" s="1" t="str">
        <f>"01952"</f>
        <v>01952</v>
      </c>
      <c r="C5019" s="2">
        <v>4.1127581184131597E-3</v>
      </c>
      <c r="D5019" s="2">
        <v>5.74932924492142E-3</v>
      </c>
      <c r="E5019" s="2">
        <v>4.3165467625899201E-3</v>
      </c>
      <c r="F5019" s="2">
        <v>4.2458426124419796E-3</v>
      </c>
    </row>
    <row r="5020" spans="1:6" x14ac:dyDescent="0.25">
      <c r="A5020" s="1" t="str">
        <f t="shared" si="188"/>
        <v>15764</v>
      </c>
      <c r="B5020" s="1" t="str">
        <f>"02140"</f>
        <v>02140</v>
      </c>
      <c r="C5020" s="2">
        <v>2.0620912232599299E-2</v>
      </c>
      <c r="D5020" s="2">
        <v>1.72479877347642E-2</v>
      </c>
      <c r="E5020" s="2">
        <v>2.3597122302158199E-2</v>
      </c>
      <c r="F5020" s="2">
        <v>2.1083522384332001E-2</v>
      </c>
    </row>
    <row r="5021" spans="1:6" x14ac:dyDescent="0.25">
      <c r="A5021" s="1" t="str">
        <f t="shared" si="188"/>
        <v>15764</v>
      </c>
      <c r="B5021" s="1" t="str">
        <f>"02176"</f>
        <v>02176</v>
      </c>
      <c r="C5021" s="2">
        <v>4.2555622197469499E-3</v>
      </c>
      <c r="D5021" s="2">
        <v>7.2824837102337999E-3</v>
      </c>
      <c r="E5021" s="2">
        <v>5.3717026378896802E-3</v>
      </c>
      <c r="F5021" s="2">
        <v>4.6621016920931502E-3</v>
      </c>
    </row>
    <row r="5022" spans="1:6" x14ac:dyDescent="0.25">
      <c r="A5022" s="1" t="str">
        <f t="shared" si="188"/>
        <v>15764</v>
      </c>
      <c r="B5022" s="1" t="str">
        <f>"02478"</f>
        <v>02478</v>
      </c>
      <c r="C5022" s="2">
        <v>9.1394624853625706E-3</v>
      </c>
      <c r="D5022" s="2">
        <v>3.8328861632809502E-3</v>
      </c>
      <c r="E5022" s="2">
        <v>1.03597122302158E-2</v>
      </c>
      <c r="F5022" s="2">
        <v>9.1160738443607295E-3</v>
      </c>
    </row>
    <row r="5023" spans="1:6" x14ac:dyDescent="0.25">
      <c r="A5023" s="1" t="str">
        <f t="shared" si="188"/>
        <v>15764</v>
      </c>
      <c r="B5023" s="1" t="str">
        <f>"01904"</f>
        <v>01904</v>
      </c>
      <c r="C5023" s="2">
        <v>1.0253334475766099E-2</v>
      </c>
      <c r="D5023" s="2">
        <v>1.9164430816404701E-3</v>
      </c>
      <c r="E5023" s="2">
        <v>1.17026378896882E-2</v>
      </c>
      <c r="F5023" s="2">
        <v>1.0115095635523499E-2</v>
      </c>
    </row>
    <row r="5024" spans="1:6" x14ac:dyDescent="0.25">
      <c r="A5024" s="1" t="str">
        <f t="shared" si="188"/>
        <v>15764</v>
      </c>
      <c r="B5024" s="1" t="str">
        <f>"01905"</f>
        <v>01905</v>
      </c>
      <c r="C5024" s="2">
        <v>3.9242567046525498E-2</v>
      </c>
      <c r="D5024" s="2">
        <v>9.9655040245304697E-3</v>
      </c>
      <c r="E5024" s="2">
        <v>4.2302158273381199E-2</v>
      </c>
      <c r="F5024" s="2">
        <v>3.8316648281890603E-2</v>
      </c>
    </row>
    <row r="5025" spans="1:6" x14ac:dyDescent="0.25">
      <c r="A5025" s="1" t="str">
        <f t="shared" si="188"/>
        <v>15764</v>
      </c>
      <c r="B5025" s="1" t="str">
        <f>"02145"</f>
        <v>02145</v>
      </c>
      <c r="C5025" s="2">
        <v>4.8124982149487301E-2</v>
      </c>
      <c r="D5025" s="2">
        <v>9.1989267918742793E-3</v>
      </c>
      <c r="E5025" s="2">
        <v>5.1223021582733799E-2</v>
      </c>
      <c r="F5025" s="2">
        <v>4.6683455782879198E-2</v>
      </c>
    </row>
    <row r="5026" spans="1:6" x14ac:dyDescent="0.25">
      <c r="A5026" s="1" t="str">
        <f t="shared" si="188"/>
        <v>15764</v>
      </c>
      <c r="B5026" s="1" t="str">
        <f>"02141"</f>
        <v>02141</v>
      </c>
      <c r="C5026" s="2">
        <v>2.19632707851369E-2</v>
      </c>
      <c r="D5026" s="2">
        <v>6.5159064775776104E-3</v>
      </c>
      <c r="E5026" s="2">
        <v>2.3309352517985601E-2</v>
      </c>
      <c r="F5026" s="2">
        <v>2.14165296480529E-2</v>
      </c>
    </row>
    <row r="5027" spans="1:6" x14ac:dyDescent="0.25">
      <c r="A5027" s="1" t="str">
        <f t="shared" si="188"/>
        <v>15764</v>
      </c>
      <c r="B5027" s="1" t="str">
        <f>"02420"</f>
        <v>02420</v>
      </c>
      <c r="C5027" s="2">
        <v>4.2841230400137001E-4</v>
      </c>
      <c r="D5027" s="2">
        <v>3.8328861632809502E-3</v>
      </c>
      <c r="E5027" s="2">
        <v>7.6738609112709795E-4</v>
      </c>
      <c r="F5027" s="2">
        <v>6.8682748142443796E-4</v>
      </c>
    </row>
    <row r="5028" spans="1:6" x14ac:dyDescent="0.25">
      <c r="A5028" s="1" t="str">
        <f t="shared" si="188"/>
        <v>15764</v>
      </c>
      <c r="B5028" s="1" t="str">
        <f>"02453"</f>
        <v>02453</v>
      </c>
      <c r="C5028" s="2">
        <v>3.0360151943563798E-2</v>
      </c>
      <c r="D5028" s="2">
        <v>1.6481410502107999E-2</v>
      </c>
      <c r="E5028" s="2">
        <v>2.6570743405275699E-2</v>
      </c>
      <c r="F5028" s="2">
        <v>2.87843153578787E-2</v>
      </c>
    </row>
    <row r="5029" spans="1:6" x14ac:dyDescent="0.25">
      <c r="A5029" s="1" t="str">
        <f t="shared" si="188"/>
        <v>15764</v>
      </c>
      <c r="B5029" s="1" t="str">
        <f>"02451"</f>
        <v>02451</v>
      </c>
      <c r="C5029" s="2">
        <v>3.6843458144117801E-3</v>
      </c>
      <c r="D5029" s="2">
        <v>1.3798390187811401E-2</v>
      </c>
      <c r="E5029" s="2">
        <v>4.9880095923261298E-3</v>
      </c>
      <c r="F5029" s="2">
        <v>4.5164110142152398E-3</v>
      </c>
    </row>
    <row r="5030" spans="1:6" x14ac:dyDescent="0.25">
      <c r="A5030" s="1" t="str">
        <f t="shared" si="188"/>
        <v>15764</v>
      </c>
      <c r="B5030" s="1" t="str">
        <f>"01834"</f>
        <v>01834</v>
      </c>
      <c r="C5030" s="2">
        <v>2.2848656213406401E-4</v>
      </c>
      <c r="D5030" s="2">
        <v>0</v>
      </c>
      <c r="E5030" s="2">
        <v>0</v>
      </c>
      <c r="F5030" s="2">
        <v>1.66503631860469E-4</v>
      </c>
    </row>
    <row r="5031" spans="1:6" x14ac:dyDescent="0.25">
      <c r="A5031" s="1" t="str">
        <f t="shared" si="188"/>
        <v>15764</v>
      </c>
      <c r="B5031" s="1" t="str">
        <f>"01719"</f>
        <v>01719</v>
      </c>
      <c r="C5031" s="2">
        <v>1.99925741867306E-4</v>
      </c>
      <c r="D5031" s="2">
        <v>3.8328861632809503E-4</v>
      </c>
      <c r="E5031" s="2">
        <v>4.7961630695443597E-4</v>
      </c>
      <c r="F5031" s="2">
        <v>2.7056840177326299E-4</v>
      </c>
    </row>
    <row r="5032" spans="1:6" x14ac:dyDescent="0.25">
      <c r="A5032" s="1" t="str">
        <f t="shared" si="188"/>
        <v>15764</v>
      </c>
      <c r="B5032" s="1" t="str">
        <f>"01949"</f>
        <v>01949</v>
      </c>
      <c r="C5032" s="2">
        <v>3.7129066346785398E-4</v>
      </c>
      <c r="D5032" s="2">
        <v>2.6830203142966598E-3</v>
      </c>
      <c r="E5032" s="2">
        <v>4.7961630695443597E-4</v>
      </c>
      <c r="F5032" s="2">
        <v>5.2032384956396795E-4</v>
      </c>
    </row>
    <row r="5033" spans="1:6" x14ac:dyDescent="0.25">
      <c r="A5033" s="1" t="str">
        <f t="shared" si="188"/>
        <v>15764</v>
      </c>
      <c r="B5033" s="1" t="str">
        <f>"01431"</f>
        <v>01431</v>
      </c>
      <c r="C5033" s="2">
        <v>1.7136492160054799E-4</v>
      </c>
      <c r="D5033" s="2">
        <v>3.8328861632809503E-4</v>
      </c>
      <c r="E5033" s="2">
        <v>1.91846522781774E-4</v>
      </c>
      <c r="F5033" s="2">
        <v>1.8731658584302801E-4</v>
      </c>
    </row>
    <row r="5034" spans="1:6" x14ac:dyDescent="0.25">
      <c r="A5034" s="1" t="str">
        <f t="shared" si="188"/>
        <v>15764</v>
      </c>
      <c r="B5034" s="1" t="str">
        <f>"01832"</f>
        <v>01832</v>
      </c>
      <c r="C5034" s="2">
        <v>2.4847913632079499E-3</v>
      </c>
      <c r="D5034" s="2">
        <v>7.6657723265619005E-4</v>
      </c>
      <c r="E5034" s="2">
        <v>7.6738609112709795E-4</v>
      </c>
      <c r="F5034" s="2">
        <v>2.01885653630819E-3</v>
      </c>
    </row>
    <row r="5035" spans="1:6" x14ac:dyDescent="0.25">
      <c r="A5035" s="1" t="str">
        <f t="shared" si="188"/>
        <v>15764</v>
      </c>
      <c r="B5035" s="1" t="str">
        <f>"02460"</f>
        <v>02460</v>
      </c>
      <c r="C5035" s="2">
        <v>3.1416902293433802E-4</v>
      </c>
      <c r="D5035" s="2">
        <v>1.5331544653123801E-3</v>
      </c>
      <c r="E5035" s="2">
        <v>3.8369304556354897E-4</v>
      </c>
      <c r="F5035" s="2">
        <v>3.9544612566861601E-4</v>
      </c>
    </row>
    <row r="5036" spans="1:6" x14ac:dyDescent="0.25">
      <c r="A5036" s="1" t="str">
        <f t="shared" ref="A5036:A5067" si="189">"15764"</f>
        <v>15764</v>
      </c>
      <c r="B5036" s="1" t="str">
        <f>"01863"</f>
        <v>01863</v>
      </c>
      <c r="C5036" s="2">
        <v>2.8560820266758E-4</v>
      </c>
      <c r="D5036" s="2">
        <v>5.36604062859333E-3</v>
      </c>
      <c r="E5036" s="2">
        <v>7.6738609112709795E-4</v>
      </c>
      <c r="F5036" s="2">
        <v>6.6601452744187895E-4</v>
      </c>
    </row>
    <row r="5037" spans="1:6" x14ac:dyDescent="0.25">
      <c r="A5037" s="1" t="str">
        <f t="shared" si="189"/>
        <v>15764</v>
      </c>
      <c r="B5037" s="1" t="str">
        <f>"01841"</f>
        <v>01841</v>
      </c>
      <c r="C5037" s="2">
        <v>4.8839002656156198E-2</v>
      </c>
      <c r="D5037" s="2">
        <v>9.9655040245304697E-3</v>
      </c>
      <c r="E5037" s="2">
        <v>5.2853717026378803E-2</v>
      </c>
      <c r="F5037" s="2">
        <v>4.7599225758111798E-2</v>
      </c>
    </row>
    <row r="5038" spans="1:6" x14ac:dyDescent="0.25">
      <c r="A5038" s="1" t="str">
        <f t="shared" si="189"/>
        <v>15764</v>
      </c>
      <c r="B5038" s="1" t="str">
        <f>"01880"</f>
        <v>01880</v>
      </c>
      <c r="C5038" s="2">
        <v>8.5682460800274099E-3</v>
      </c>
      <c r="D5038" s="2">
        <v>2.2997316979685701E-2</v>
      </c>
      <c r="E5038" s="2">
        <v>1.00719424460431E-2</v>
      </c>
      <c r="F5038" s="2">
        <v>9.6780236018898097E-3</v>
      </c>
    </row>
    <row r="5039" spans="1:6" x14ac:dyDescent="0.25">
      <c r="A5039" s="1" t="str">
        <f t="shared" si="189"/>
        <v>15764</v>
      </c>
      <c r="B5039" s="1" t="str">
        <f>"01951"</f>
        <v>01951</v>
      </c>
      <c r="C5039" s="2">
        <v>5.7121640533516098E-4</v>
      </c>
      <c r="D5039" s="2">
        <v>3.8328861632809503E-4</v>
      </c>
      <c r="E5039" s="2">
        <v>6.71462829736211E-4</v>
      </c>
      <c r="F5039" s="2">
        <v>5.82762711511644E-4</v>
      </c>
    </row>
    <row r="5040" spans="1:6" x14ac:dyDescent="0.25">
      <c r="A5040" s="1" t="str">
        <f t="shared" si="189"/>
        <v>15764</v>
      </c>
      <c r="B5040" s="1" t="str">
        <f>"01778"</f>
        <v>01778</v>
      </c>
      <c r="C5040" s="2">
        <v>0</v>
      </c>
      <c r="D5040" s="2">
        <v>1.5331544653123801E-3</v>
      </c>
      <c r="E5040" s="2">
        <v>4.7961630695443597E-4</v>
      </c>
      <c r="F5040" s="2">
        <v>1.8731658584302801E-4</v>
      </c>
    </row>
    <row r="5041" spans="1:6" x14ac:dyDescent="0.25">
      <c r="A5041" s="1" t="str">
        <f t="shared" si="189"/>
        <v>15764</v>
      </c>
      <c r="B5041" s="1" t="str">
        <f>"01867"</f>
        <v>01867</v>
      </c>
      <c r="C5041" s="2">
        <v>1.7422100362722401E-3</v>
      </c>
      <c r="D5041" s="2">
        <v>1.0348792640858501E-2</v>
      </c>
      <c r="E5041" s="2">
        <v>2.7817745803357299E-3</v>
      </c>
      <c r="F5041" s="2">
        <v>2.4351156159593702E-3</v>
      </c>
    </row>
    <row r="5042" spans="1:6" x14ac:dyDescent="0.25">
      <c r="A5042" s="1" t="str">
        <f t="shared" si="189"/>
        <v>15764</v>
      </c>
      <c r="B5042" s="1" t="str">
        <f>"01463"</f>
        <v>01463</v>
      </c>
      <c r="C5042" s="2">
        <v>9.1394624853625701E-4</v>
      </c>
      <c r="D5042" s="2">
        <v>1.9164430816404701E-3</v>
      </c>
      <c r="E5042" s="2">
        <v>1.1510791366906401E-3</v>
      </c>
      <c r="F5042" s="2">
        <v>1.0198347451453699E-3</v>
      </c>
    </row>
    <row r="5043" spans="1:6" x14ac:dyDescent="0.25">
      <c r="A5043" s="1" t="str">
        <f t="shared" si="189"/>
        <v>15764</v>
      </c>
      <c r="B5043" s="1" t="str">
        <f>"02461"</f>
        <v>02461</v>
      </c>
      <c r="C5043" s="2">
        <v>6.8545968640219303E-4</v>
      </c>
      <c r="D5043" s="2">
        <v>3.4495975469528502E-3</v>
      </c>
      <c r="E5043" s="2">
        <v>1.0551558752997601E-3</v>
      </c>
      <c r="F5043" s="2">
        <v>9.1576997523258401E-4</v>
      </c>
    </row>
    <row r="5044" spans="1:6" x14ac:dyDescent="0.25">
      <c r="A5044" s="1" t="str">
        <f t="shared" si="189"/>
        <v>15764</v>
      </c>
      <c r="B5044" s="1" t="str">
        <f>"01864"</f>
        <v>01864</v>
      </c>
      <c r="C5044" s="2">
        <v>3.4844200725444802E-3</v>
      </c>
      <c r="D5044" s="2">
        <v>2.2997316979685698E-3</v>
      </c>
      <c r="E5044" s="2">
        <v>4.7961630695443597E-4</v>
      </c>
      <c r="F5044" s="2">
        <v>2.76812287968031E-3</v>
      </c>
    </row>
    <row r="5045" spans="1:6" x14ac:dyDescent="0.25">
      <c r="A5045" s="1" t="str">
        <f t="shared" si="189"/>
        <v>15764</v>
      </c>
      <c r="B5045" s="1" t="str">
        <f>"02476"</f>
        <v>02476</v>
      </c>
      <c r="C5045" s="2">
        <v>3.0560077685431101E-3</v>
      </c>
      <c r="D5045" s="2">
        <v>8.4323495592180907E-3</v>
      </c>
      <c r="E5045" s="2">
        <v>4.1247002398081501E-3</v>
      </c>
      <c r="F5045" s="2">
        <v>3.5798280850001E-3</v>
      </c>
    </row>
    <row r="5046" spans="1:6" x14ac:dyDescent="0.25">
      <c r="A5046" s="1" t="str">
        <f t="shared" si="189"/>
        <v>15764</v>
      </c>
      <c r="B5046" s="1" t="str">
        <f>"01915"</f>
        <v>01915</v>
      </c>
      <c r="C5046" s="2">
        <v>7.4258132693570905E-4</v>
      </c>
      <c r="D5046" s="2">
        <v>4.2161747796090401E-3</v>
      </c>
      <c r="E5046" s="2">
        <v>7.6738609112709795E-4</v>
      </c>
      <c r="F5046" s="2">
        <v>9.3658292921514302E-4</v>
      </c>
    </row>
    <row r="5047" spans="1:6" x14ac:dyDescent="0.25">
      <c r="A5047" s="1" t="str">
        <f t="shared" si="189"/>
        <v>15764</v>
      </c>
      <c r="B5047" s="1" t="str">
        <f>"01741"</f>
        <v>01741</v>
      </c>
      <c r="C5047" s="2">
        <v>1.14243281067032E-4</v>
      </c>
      <c r="D5047" s="2">
        <v>0</v>
      </c>
      <c r="E5047" s="2">
        <v>4.7961630695443597E-4</v>
      </c>
      <c r="F5047" s="2">
        <v>1.8731658584302801E-4</v>
      </c>
    </row>
    <row r="5048" spans="1:6" x14ac:dyDescent="0.25">
      <c r="A5048" s="1" t="str">
        <f t="shared" si="189"/>
        <v>15764</v>
      </c>
      <c r="B5048" s="1" t="str">
        <f>"01862"</f>
        <v>01862</v>
      </c>
      <c r="C5048" s="2">
        <v>2.2848656213406401E-4</v>
      </c>
      <c r="D5048" s="2">
        <v>7.6657723265619003E-3</v>
      </c>
      <c r="E5048" s="2">
        <v>6.71462829736211E-4</v>
      </c>
      <c r="F5048" s="2">
        <v>7.2845338938955597E-4</v>
      </c>
    </row>
    <row r="5049" spans="1:6" x14ac:dyDescent="0.25">
      <c r="A5049" s="1" t="str">
        <f t="shared" si="189"/>
        <v>15764</v>
      </c>
      <c r="B5049" s="1" t="str">
        <f>"01851"</f>
        <v>01851</v>
      </c>
      <c r="C5049" s="2">
        <v>1.9249992859794899E-2</v>
      </c>
      <c r="D5049" s="2">
        <v>1.3798390187811401E-2</v>
      </c>
      <c r="E5049" s="2">
        <v>1.4964028776978401E-2</v>
      </c>
      <c r="F5049" s="2">
        <v>1.8024018148895801E-2</v>
      </c>
    </row>
    <row r="5050" spans="1:6" x14ac:dyDescent="0.25">
      <c r="A5050" s="1" t="str">
        <f t="shared" si="189"/>
        <v>15764</v>
      </c>
      <c r="B5050" s="1" t="str">
        <f>"01908"</f>
        <v>01908</v>
      </c>
      <c r="C5050" s="2">
        <v>1.0281895296032899E-3</v>
      </c>
      <c r="D5050" s="2">
        <v>0</v>
      </c>
      <c r="E5050" s="2">
        <v>1.1510791366906401E-3</v>
      </c>
      <c r="F5050" s="2">
        <v>9.9902179116281896E-4</v>
      </c>
    </row>
    <row r="5051" spans="1:6" x14ac:dyDescent="0.25">
      <c r="A5051" s="1" t="str">
        <f t="shared" si="189"/>
        <v>15764</v>
      </c>
      <c r="B5051" s="1" t="str">
        <f>"02155"</f>
        <v>02155</v>
      </c>
      <c r="C5051" s="2">
        <v>1.81646816896581E-2</v>
      </c>
      <c r="D5051" s="2">
        <v>9.1989267918742793E-3</v>
      </c>
      <c r="E5051" s="2">
        <v>2.1294964028776901E-2</v>
      </c>
      <c r="F5051" s="2">
        <v>1.8357025412616801E-2</v>
      </c>
    </row>
    <row r="5052" spans="1:6" x14ac:dyDescent="0.25">
      <c r="A5052" s="1" t="str">
        <f t="shared" si="189"/>
        <v>15764</v>
      </c>
      <c r="B5052" s="1" t="str">
        <f>"01830"</f>
        <v>01830</v>
      </c>
      <c r="C5052" s="2">
        <v>1.5994059349384499E-3</v>
      </c>
      <c r="D5052" s="2">
        <v>0</v>
      </c>
      <c r="E5052" s="2">
        <v>3.8369304556354897E-4</v>
      </c>
      <c r="F5052" s="2">
        <v>1.2487772389535199E-3</v>
      </c>
    </row>
    <row r="5053" spans="1:6" x14ac:dyDescent="0.25">
      <c r="A5053" s="1" t="str">
        <f t="shared" si="189"/>
        <v>15764</v>
      </c>
      <c r="B5053" s="1" t="str">
        <f>"01731"</f>
        <v>01731</v>
      </c>
      <c r="C5053" s="2">
        <v>0</v>
      </c>
      <c r="D5053" s="2">
        <v>0</v>
      </c>
      <c r="E5053" s="2">
        <v>9.5923261390887203E-5</v>
      </c>
      <c r="F5053" s="2">
        <v>2.08129539825587E-5</v>
      </c>
    </row>
    <row r="5054" spans="1:6" x14ac:dyDescent="0.25">
      <c r="A5054" s="1" t="str">
        <f t="shared" si="189"/>
        <v>15764</v>
      </c>
      <c r="B5054" s="1" t="str">
        <f>"01921"</f>
        <v>01921</v>
      </c>
      <c r="C5054" s="2">
        <v>2.8560820266758001E-5</v>
      </c>
      <c r="D5054" s="2">
        <v>0</v>
      </c>
      <c r="E5054" s="2">
        <v>0</v>
      </c>
      <c r="F5054" s="2">
        <v>2.08129539825587E-5</v>
      </c>
    </row>
    <row r="5055" spans="1:6" x14ac:dyDescent="0.25">
      <c r="A5055" s="1" t="str">
        <f t="shared" si="189"/>
        <v>15764</v>
      </c>
      <c r="B5055" s="1" t="str">
        <f>"01754"</f>
        <v>01754</v>
      </c>
      <c r="C5055" s="2">
        <v>9.3108274069631201E-3</v>
      </c>
      <c r="D5055" s="2">
        <v>4.2161747796090401E-3</v>
      </c>
      <c r="E5055" s="2">
        <v>1.3429256594724201E-3</v>
      </c>
      <c r="F5055" s="2">
        <v>7.3053468478781096E-3</v>
      </c>
    </row>
    <row r="5056" spans="1:6" x14ac:dyDescent="0.25">
      <c r="A5056" s="1" t="str">
        <f t="shared" si="189"/>
        <v>15764</v>
      </c>
      <c r="B5056" s="1" t="str">
        <f>"01826"</f>
        <v>01826</v>
      </c>
      <c r="C5056" s="2">
        <v>3.0274469482763498E-3</v>
      </c>
      <c r="D5056" s="2">
        <v>1.5714833269451799E-2</v>
      </c>
      <c r="E5056" s="2">
        <v>2.1103117505995202E-3</v>
      </c>
      <c r="F5056" s="2">
        <v>3.51738922305242E-3</v>
      </c>
    </row>
    <row r="5057" spans="1:6" x14ac:dyDescent="0.25">
      <c r="A5057" s="1" t="str">
        <f t="shared" si="189"/>
        <v>15764</v>
      </c>
      <c r="B5057" s="1" t="str">
        <f>"01821"</f>
        <v>01821</v>
      </c>
      <c r="C5057" s="2">
        <v>3.99851483734612E-4</v>
      </c>
      <c r="D5057" s="2">
        <v>1.6864699118436102E-2</v>
      </c>
      <c r="E5057" s="2">
        <v>1.72661870503597E-3</v>
      </c>
      <c r="F5057" s="2">
        <v>1.5817845026744599E-3</v>
      </c>
    </row>
    <row r="5058" spans="1:6" x14ac:dyDescent="0.25">
      <c r="A5058" s="1" t="str">
        <f t="shared" si="189"/>
        <v>15764</v>
      </c>
      <c r="B5058" s="1" t="str">
        <f>"01966"</f>
        <v>01966</v>
      </c>
      <c r="C5058" s="2">
        <v>2.4276697226744302E-3</v>
      </c>
      <c r="D5058" s="2">
        <v>5.36604062859333E-3</v>
      </c>
      <c r="E5058" s="2">
        <v>3.3573141486810498E-3</v>
      </c>
      <c r="F5058" s="2">
        <v>2.7889358336628698E-3</v>
      </c>
    </row>
    <row r="5059" spans="1:6" x14ac:dyDescent="0.25">
      <c r="A5059" s="1" t="str">
        <f t="shared" si="189"/>
        <v>15764</v>
      </c>
      <c r="B5059" s="1" t="str">
        <f>"01950"</f>
        <v>01950</v>
      </c>
      <c r="C5059" s="2">
        <v>7.2258875274897796E-3</v>
      </c>
      <c r="D5059" s="2">
        <v>1.83978535837485E-2</v>
      </c>
      <c r="E5059" s="2">
        <v>9.0167865707433993E-3</v>
      </c>
      <c r="F5059" s="2">
        <v>8.2211168231106999E-3</v>
      </c>
    </row>
    <row r="5060" spans="1:6" x14ac:dyDescent="0.25">
      <c r="A5060" s="1" t="str">
        <f t="shared" si="189"/>
        <v>15764</v>
      </c>
      <c r="B5060" s="1" t="str">
        <f>"02472"</f>
        <v>02472</v>
      </c>
      <c r="C5060" s="2">
        <v>1.4794504898180599E-2</v>
      </c>
      <c r="D5060" s="2">
        <v>3.2962821004216103E-2</v>
      </c>
      <c r="E5060" s="2">
        <v>1.8225419664268501E-2</v>
      </c>
      <c r="F5060" s="2">
        <v>1.6525485462151601E-2</v>
      </c>
    </row>
    <row r="5061" spans="1:6" x14ac:dyDescent="0.25">
      <c r="A5061" s="1" t="str">
        <f t="shared" si="189"/>
        <v>15764</v>
      </c>
      <c r="B5061" s="1" t="str">
        <f>"01742"</f>
        <v>01742</v>
      </c>
      <c r="C5061" s="2">
        <v>3.1416902293433802E-4</v>
      </c>
      <c r="D5061" s="2">
        <v>7.6657723265619003E-3</v>
      </c>
      <c r="E5061" s="2">
        <v>1.4388489208633001E-3</v>
      </c>
      <c r="F5061" s="2">
        <v>9.5739588319770203E-4</v>
      </c>
    </row>
    <row r="5062" spans="1:6" x14ac:dyDescent="0.25">
      <c r="A5062" s="1" t="str">
        <f t="shared" si="189"/>
        <v>15764</v>
      </c>
      <c r="B5062" s="1" t="str">
        <f>"01760"</f>
        <v>01760</v>
      </c>
      <c r="C5062" s="2">
        <v>8.2540770570930701E-3</v>
      </c>
      <c r="D5062" s="2">
        <v>4.0245304714449898E-2</v>
      </c>
      <c r="E5062" s="2">
        <v>1.22781774580335E-2</v>
      </c>
      <c r="F5062" s="2">
        <v>1.0864361978895599E-2</v>
      </c>
    </row>
    <row r="5063" spans="1:6" x14ac:dyDescent="0.25">
      <c r="A5063" s="1" t="str">
        <f t="shared" si="189"/>
        <v>15764</v>
      </c>
      <c r="B5063" s="1" t="str">
        <f>"01845"</f>
        <v>01845</v>
      </c>
      <c r="C5063" s="2">
        <v>6.6261103018878699E-3</v>
      </c>
      <c r="D5063" s="2">
        <v>1.3798390187811401E-2</v>
      </c>
      <c r="E5063" s="2">
        <v>2.5899280575539499E-3</v>
      </c>
      <c r="F5063" s="2">
        <v>6.1398214248548199E-3</v>
      </c>
    </row>
    <row r="5064" spans="1:6" x14ac:dyDescent="0.25">
      <c r="A5064" s="1" t="str">
        <f t="shared" si="189"/>
        <v>15764</v>
      </c>
      <c r="B5064" s="1" t="str">
        <f>"02493"</f>
        <v>02493</v>
      </c>
      <c r="C5064" s="2">
        <v>0</v>
      </c>
      <c r="D5064" s="2">
        <v>4.5994633959371397E-3</v>
      </c>
      <c r="E5064" s="2">
        <v>3.8369304556354897E-4</v>
      </c>
      <c r="F5064" s="2">
        <v>3.3300726372093899E-4</v>
      </c>
    </row>
    <row r="5065" spans="1:6" x14ac:dyDescent="0.25">
      <c r="A5065" s="1" t="str">
        <f t="shared" si="189"/>
        <v>15764</v>
      </c>
      <c r="B5065" s="1" t="str">
        <f>"01940"</f>
        <v>01940</v>
      </c>
      <c r="C5065" s="2">
        <v>2.5704738240082199E-4</v>
      </c>
      <c r="D5065" s="2">
        <v>3.4495975469528502E-3</v>
      </c>
      <c r="E5065" s="2">
        <v>6.71462829736211E-4</v>
      </c>
      <c r="F5065" s="2">
        <v>5.2032384956396795E-4</v>
      </c>
    </row>
    <row r="5066" spans="1:6" x14ac:dyDescent="0.25">
      <c r="A5066" s="1" t="str">
        <f t="shared" si="189"/>
        <v>15764</v>
      </c>
      <c r="B5066" s="1" t="str">
        <f>"01720"</f>
        <v>01720</v>
      </c>
      <c r="C5066" s="2">
        <v>2.9703253077428301E-3</v>
      </c>
      <c r="D5066" s="2">
        <v>0</v>
      </c>
      <c r="E5066" s="2">
        <v>4.7961630695443597E-4</v>
      </c>
      <c r="F5066" s="2">
        <v>2.2686119840988998E-3</v>
      </c>
    </row>
    <row r="5067" spans="1:6" x14ac:dyDescent="0.25">
      <c r="A5067" s="1" t="str">
        <f t="shared" si="189"/>
        <v>15764</v>
      </c>
      <c r="B5067" s="1" t="str">
        <f>"01876"</f>
        <v>01876</v>
      </c>
      <c r="C5067" s="2">
        <v>2.5704738240082199E-4</v>
      </c>
      <c r="D5067" s="2">
        <v>9.1989267918742793E-3</v>
      </c>
      <c r="E5067" s="2">
        <v>9.5923261390887195E-4</v>
      </c>
      <c r="F5067" s="2">
        <v>8.9495702125002598E-4</v>
      </c>
    </row>
    <row r="5068" spans="1:6" x14ac:dyDescent="0.25">
      <c r="A5068" s="1" t="str">
        <f t="shared" ref="A5068:A5099" si="190">"15764"</f>
        <v>15764</v>
      </c>
      <c r="B5068" s="1" t="str">
        <f>"01474"</f>
        <v>01474</v>
      </c>
      <c r="C5068" s="2">
        <v>8.5682460800274102E-5</v>
      </c>
      <c r="D5068" s="2">
        <v>0</v>
      </c>
      <c r="E5068" s="2">
        <v>1.91846522781774E-4</v>
      </c>
      <c r="F5068" s="2">
        <v>1.04064769912793E-4</v>
      </c>
    </row>
    <row r="5069" spans="1:6" x14ac:dyDescent="0.25">
      <c r="A5069" s="1" t="str">
        <f t="shared" si="190"/>
        <v>15764</v>
      </c>
      <c r="B5069" s="1" t="str">
        <f>"01752"</f>
        <v>01752</v>
      </c>
      <c r="C5069" s="2">
        <v>1.1709936309370801E-3</v>
      </c>
      <c r="D5069" s="2">
        <v>6.5159064775776104E-3</v>
      </c>
      <c r="E5069" s="2">
        <v>5.7553956834532297E-4</v>
      </c>
      <c r="F5069" s="2">
        <v>1.3320290548837501E-3</v>
      </c>
    </row>
    <row r="5070" spans="1:6" x14ac:dyDescent="0.25">
      <c r="A5070" s="1" t="str">
        <f t="shared" si="190"/>
        <v>15764</v>
      </c>
      <c r="B5070" s="1" t="str">
        <f>"01701"</f>
        <v>01701</v>
      </c>
      <c r="C5070" s="2">
        <v>3.3130551509439302E-3</v>
      </c>
      <c r="D5070" s="2">
        <v>1.5714833269451799E-2</v>
      </c>
      <c r="E5070" s="2">
        <v>4.6043165467625803E-3</v>
      </c>
      <c r="F5070" s="2">
        <v>4.2666555664245404E-3</v>
      </c>
    </row>
    <row r="5071" spans="1:6" x14ac:dyDescent="0.25">
      <c r="A5071" s="1" t="str">
        <f t="shared" si="190"/>
        <v>15764</v>
      </c>
      <c r="B5071" s="1" t="str">
        <f>"01938"</f>
        <v>01938</v>
      </c>
      <c r="C5071" s="2">
        <v>3.3130551509439302E-3</v>
      </c>
      <c r="D5071" s="2">
        <v>6.8991950939057099E-3</v>
      </c>
      <c r="E5071" s="2">
        <v>4.1247002398081501E-3</v>
      </c>
      <c r="F5071" s="2">
        <v>3.6838928549128899E-3</v>
      </c>
    </row>
    <row r="5072" spans="1:6" x14ac:dyDescent="0.25">
      <c r="A5072" s="1" t="str">
        <f t="shared" si="190"/>
        <v>15764</v>
      </c>
      <c r="B5072" s="1" t="str">
        <f>"01730"</f>
        <v>01730</v>
      </c>
      <c r="C5072" s="2">
        <v>1.15100105675034E-2</v>
      </c>
      <c r="D5072" s="2">
        <v>5.71100038328861E-2</v>
      </c>
      <c r="E5072" s="2">
        <v>9.5923261390887203E-5</v>
      </c>
      <c r="F5072" s="2">
        <v>1.15095635523549E-2</v>
      </c>
    </row>
    <row r="5073" spans="1:6" x14ac:dyDescent="0.25">
      <c r="A5073" s="1" t="str">
        <f t="shared" si="190"/>
        <v>15764</v>
      </c>
      <c r="B5073" s="1" t="str">
        <f>"01702"</f>
        <v>01702</v>
      </c>
      <c r="C5073" s="2">
        <v>1.9164310398994602E-2</v>
      </c>
      <c r="D5073" s="2">
        <v>1.26485243388271E-2</v>
      </c>
      <c r="E5073" s="2">
        <v>1.6402877697841701E-2</v>
      </c>
      <c r="F5073" s="2">
        <v>1.8211334734738901E-2</v>
      </c>
    </row>
    <row r="5074" spans="1:6" x14ac:dyDescent="0.25">
      <c r="A5074" s="1" t="str">
        <f t="shared" si="190"/>
        <v>15764</v>
      </c>
      <c r="B5074" s="1" t="str">
        <f>"01801"</f>
        <v>01801</v>
      </c>
      <c r="C5074" s="2">
        <v>1.18241795904378E-2</v>
      </c>
      <c r="D5074" s="2">
        <v>2.91299348409352E-2</v>
      </c>
      <c r="E5074" s="2">
        <v>8.0575539568345303E-3</v>
      </c>
      <c r="F5074" s="2">
        <v>1.1946635585988701E-2</v>
      </c>
    </row>
    <row r="5075" spans="1:6" x14ac:dyDescent="0.25">
      <c r="A5075" s="1" t="str">
        <f t="shared" si="190"/>
        <v>15764</v>
      </c>
      <c r="B5075" s="1" t="str">
        <f>"01960"</f>
        <v>01960</v>
      </c>
      <c r="C5075" s="2">
        <v>2.66186844886185E-2</v>
      </c>
      <c r="D5075" s="2">
        <v>2.7213491759294699E-2</v>
      </c>
      <c r="E5075" s="2">
        <v>3.12709832134292E-2</v>
      </c>
      <c r="F5075" s="2">
        <v>2.7660415842820502E-2</v>
      </c>
    </row>
    <row r="5076" spans="1:6" x14ac:dyDescent="0.25">
      <c r="A5076" s="1" t="str">
        <f t="shared" si="190"/>
        <v>15764</v>
      </c>
      <c r="B5076" s="1" t="str">
        <f>"02458"</f>
        <v>02458</v>
      </c>
      <c r="C5076" s="2">
        <v>0</v>
      </c>
      <c r="D5076" s="2">
        <v>7.6657723265619005E-4</v>
      </c>
      <c r="E5076" s="2">
        <v>0</v>
      </c>
      <c r="F5076" s="2">
        <v>4.16259079651174E-5</v>
      </c>
    </row>
    <row r="5077" spans="1:6" x14ac:dyDescent="0.25">
      <c r="A5077" s="1" t="str">
        <f t="shared" si="190"/>
        <v>15764</v>
      </c>
      <c r="B5077" s="1" t="str">
        <f>"01776"</f>
        <v>01776</v>
      </c>
      <c r="C5077" s="2">
        <v>1.0281895296032899E-3</v>
      </c>
      <c r="D5077" s="2">
        <v>0</v>
      </c>
      <c r="E5077" s="2">
        <v>9.5923261390887203E-5</v>
      </c>
      <c r="F5077" s="2">
        <v>7.7007929735467301E-4</v>
      </c>
    </row>
    <row r="5078" spans="1:6" x14ac:dyDescent="0.25">
      <c r="A5078" s="1" t="str">
        <f t="shared" si="190"/>
        <v>15764</v>
      </c>
      <c r="B5078" s="1" t="str">
        <f>"01460"</f>
        <v>01460</v>
      </c>
      <c r="C5078" s="2">
        <v>5.7121640533516097E-5</v>
      </c>
      <c r="D5078" s="2">
        <v>1.5331544653123801E-3</v>
      </c>
      <c r="E5078" s="2">
        <v>1.91846522781774E-4</v>
      </c>
      <c r="F5078" s="2">
        <v>1.66503631860469E-4</v>
      </c>
    </row>
    <row r="5079" spans="1:6" x14ac:dyDescent="0.25">
      <c r="A5079" s="1" t="str">
        <f t="shared" si="190"/>
        <v>15764</v>
      </c>
      <c r="B5079" s="1" t="str">
        <f>"01922"</f>
        <v>01922</v>
      </c>
      <c r="C5079" s="2">
        <v>4.8553394453488701E-4</v>
      </c>
      <c r="D5079" s="2">
        <v>3.8328861632809503E-4</v>
      </c>
      <c r="E5079" s="2">
        <v>1.91846522781774E-4</v>
      </c>
      <c r="F5079" s="2">
        <v>4.1625907965117399E-4</v>
      </c>
    </row>
    <row r="5080" spans="1:6" x14ac:dyDescent="0.25">
      <c r="A5080" s="1" t="str">
        <f t="shared" si="190"/>
        <v>15764</v>
      </c>
      <c r="B5080" s="1" t="str">
        <f>"01844"</f>
        <v>01844</v>
      </c>
      <c r="C5080" s="2">
        <v>1.4223288492845499E-2</v>
      </c>
      <c r="D5080" s="2">
        <v>1.8014564967420401E-2</v>
      </c>
      <c r="E5080" s="2">
        <v>9.7841726618705001E-3</v>
      </c>
      <c r="F5080" s="2">
        <v>1.3465981226715501E-2</v>
      </c>
    </row>
    <row r="5081" spans="1:6" x14ac:dyDescent="0.25">
      <c r="A5081" s="1" t="str">
        <f t="shared" si="190"/>
        <v>15764</v>
      </c>
      <c r="B5081" s="1" t="str">
        <f>"02138"</f>
        <v>02138</v>
      </c>
      <c r="C5081" s="2">
        <v>1.41947276725787E-2</v>
      </c>
      <c r="D5081" s="2">
        <v>1.26485243388271E-2</v>
      </c>
      <c r="E5081" s="2">
        <v>1.6882494004796099E-2</v>
      </c>
      <c r="F5081" s="2">
        <v>1.46939455116864E-2</v>
      </c>
    </row>
    <row r="5082" spans="1:6" x14ac:dyDescent="0.25">
      <c r="A5082" s="1" t="str">
        <f t="shared" si="190"/>
        <v>15764</v>
      </c>
      <c r="B5082" s="1" t="str">
        <f>"02139"</f>
        <v>02139</v>
      </c>
      <c r="C5082" s="2">
        <v>4.0470682317996103E-2</v>
      </c>
      <c r="D5082" s="2">
        <v>1.2265235722498999E-2</v>
      </c>
      <c r="E5082" s="2">
        <v>4.4508393285371699E-2</v>
      </c>
      <c r="F5082" s="2">
        <v>3.9815180968634803E-2</v>
      </c>
    </row>
    <row r="5083" spans="1:6" x14ac:dyDescent="0.25">
      <c r="A5083" s="1" t="str">
        <f t="shared" si="190"/>
        <v>15764</v>
      </c>
      <c r="B5083" s="1" t="str">
        <f>"02144"</f>
        <v>02144</v>
      </c>
      <c r="C5083" s="2">
        <v>4.2270013994801903E-2</v>
      </c>
      <c r="D5083" s="2">
        <v>1.0732081257186599E-2</v>
      </c>
      <c r="E5083" s="2">
        <v>4.7194244604316503E-2</v>
      </c>
      <c r="F5083" s="2">
        <v>4.1625907965117399E-2</v>
      </c>
    </row>
    <row r="5084" spans="1:6" x14ac:dyDescent="0.25">
      <c r="A5084" s="1" t="str">
        <f t="shared" si="190"/>
        <v>15764</v>
      </c>
      <c r="B5084" s="1" t="str">
        <f>"01835"</f>
        <v>01835</v>
      </c>
      <c r="C5084" s="2">
        <v>2.1706223402736102E-3</v>
      </c>
      <c r="D5084" s="2">
        <v>1.1498658489842799E-3</v>
      </c>
      <c r="E5084" s="2">
        <v>1.91846522781774E-4</v>
      </c>
      <c r="F5084" s="2">
        <v>1.68584927258725E-3</v>
      </c>
    </row>
    <row r="5085" spans="1:6" x14ac:dyDescent="0.25">
      <c r="A5085" s="1" t="str">
        <f t="shared" si="190"/>
        <v>15764</v>
      </c>
      <c r="B5085" s="1" t="str">
        <f>"01983"</f>
        <v>01983</v>
      </c>
      <c r="C5085" s="2">
        <v>3.1416902293433802E-4</v>
      </c>
      <c r="D5085" s="2">
        <v>7.2824837102337999E-3</v>
      </c>
      <c r="E5085" s="2">
        <v>9.5923261390887195E-4</v>
      </c>
      <c r="F5085" s="2">
        <v>8.3251815930234895E-4</v>
      </c>
    </row>
    <row r="5086" spans="1:6" x14ac:dyDescent="0.25">
      <c r="A5086" s="1" t="str">
        <f t="shared" si="190"/>
        <v>15764</v>
      </c>
      <c r="B5086" s="1" t="str">
        <f>"02452"</f>
        <v>02452</v>
      </c>
      <c r="C5086" s="2">
        <v>1.0853111701368001E-3</v>
      </c>
      <c r="D5086" s="2">
        <v>3.8328861632809502E-3</v>
      </c>
      <c r="E5086" s="2">
        <v>1.53477218225419E-3</v>
      </c>
      <c r="F5086" s="2">
        <v>1.3320290548837501E-3</v>
      </c>
    </row>
    <row r="5087" spans="1:6" x14ac:dyDescent="0.25">
      <c r="A5087" s="1" t="str">
        <f t="shared" si="190"/>
        <v>15764</v>
      </c>
      <c r="B5087" s="1" t="str">
        <f>"01770"</f>
        <v>01770</v>
      </c>
      <c r="C5087" s="2">
        <v>2.8560820266758001E-5</v>
      </c>
      <c r="D5087" s="2">
        <v>0</v>
      </c>
      <c r="E5087" s="2">
        <v>9.5923261390887203E-5</v>
      </c>
      <c r="F5087" s="2">
        <v>4.16259079651174E-5</v>
      </c>
    </row>
    <row r="5088" spans="1:6" x14ac:dyDescent="0.25">
      <c r="A5088" s="1" t="str">
        <f t="shared" si="190"/>
        <v>15764</v>
      </c>
      <c r="B5088" s="1" t="str">
        <f>"02459"</f>
        <v>02459</v>
      </c>
      <c r="C5088" s="2">
        <v>1.1709936309370801E-3</v>
      </c>
      <c r="D5088" s="2">
        <v>5.74932924492142E-3</v>
      </c>
      <c r="E5088" s="2">
        <v>1.53477218225419E-3</v>
      </c>
      <c r="F5088" s="2">
        <v>1.49853268674422E-3</v>
      </c>
    </row>
    <row r="5089" spans="1:6" x14ac:dyDescent="0.25">
      <c r="A5089" s="1" t="str">
        <f t="shared" si="190"/>
        <v>15764</v>
      </c>
      <c r="B5089" s="1" t="str">
        <f>"01850"</f>
        <v>01850</v>
      </c>
      <c r="C5089" s="2">
        <v>8.3968811584268707E-3</v>
      </c>
      <c r="D5089" s="2">
        <v>1.1498658489842799E-3</v>
      </c>
      <c r="E5089" s="2">
        <v>9.8800959232613894E-3</v>
      </c>
      <c r="F5089" s="2">
        <v>8.3251815930234906E-3</v>
      </c>
    </row>
    <row r="5090" spans="1:6" x14ac:dyDescent="0.25">
      <c r="A5090" s="1" t="str">
        <f t="shared" si="190"/>
        <v>15764</v>
      </c>
      <c r="B5090" s="1" t="str">
        <f>"01749"</f>
        <v>01749</v>
      </c>
      <c r="C5090" s="2">
        <v>2.5704738240082199E-4</v>
      </c>
      <c r="D5090" s="2">
        <v>4.5994633959371397E-3</v>
      </c>
      <c r="E5090" s="2">
        <v>7.6738609112709795E-4</v>
      </c>
      <c r="F5090" s="2">
        <v>6.0357566549420301E-4</v>
      </c>
    </row>
    <row r="5091" spans="1:6" x14ac:dyDescent="0.25">
      <c r="A5091" s="1" t="str">
        <f t="shared" si="190"/>
        <v>15764</v>
      </c>
      <c r="B5091" s="1" t="str">
        <f>"01840"</f>
        <v>01840</v>
      </c>
      <c r="C5091" s="2">
        <v>2.0306743209664899E-2</v>
      </c>
      <c r="D5091" s="2">
        <v>3.8328861632809502E-3</v>
      </c>
      <c r="E5091" s="2">
        <v>6.6187050359712198E-3</v>
      </c>
      <c r="F5091" s="2">
        <v>1.64422336462214E-2</v>
      </c>
    </row>
    <row r="5092" spans="1:6" x14ac:dyDescent="0.25">
      <c r="A5092" s="1" t="str">
        <f t="shared" si="190"/>
        <v>15764</v>
      </c>
      <c r="B5092" s="1" t="str">
        <f>"01469"</f>
        <v>01469</v>
      </c>
      <c r="C5092" s="2">
        <v>4.5697312426812802E-4</v>
      </c>
      <c r="D5092" s="2">
        <v>2.6830203142966598E-3</v>
      </c>
      <c r="E5092" s="2">
        <v>4.7961630695443597E-4</v>
      </c>
      <c r="F5092" s="2">
        <v>5.82762711511644E-4</v>
      </c>
    </row>
    <row r="5093" spans="1:6" x14ac:dyDescent="0.25">
      <c r="A5093" s="1" t="str">
        <f t="shared" si="190"/>
        <v>15764</v>
      </c>
      <c r="B5093" s="1" t="str">
        <f>"02465"</f>
        <v>02465</v>
      </c>
      <c r="C5093" s="2">
        <v>2.1420615200068499E-3</v>
      </c>
      <c r="D5093" s="2">
        <v>0</v>
      </c>
      <c r="E5093" s="2">
        <v>2.3980815347721799E-3</v>
      </c>
      <c r="F5093" s="2">
        <v>2.0812953982558701E-3</v>
      </c>
    </row>
    <row r="5094" spans="1:6" x14ac:dyDescent="0.25">
      <c r="A5094" s="1" t="str">
        <f t="shared" si="190"/>
        <v>15764</v>
      </c>
      <c r="B5094" s="1" t="str">
        <f>"01843"</f>
        <v>01843</v>
      </c>
      <c r="C5094" s="2">
        <v>5.1409476480164503E-3</v>
      </c>
      <c r="D5094" s="2">
        <v>1.0732081257186599E-2</v>
      </c>
      <c r="E5094" s="2">
        <v>4.9880095923261298E-3</v>
      </c>
      <c r="F5094" s="2">
        <v>5.4113680354652702E-3</v>
      </c>
    </row>
    <row r="5095" spans="1:6" x14ac:dyDescent="0.25">
      <c r="A5095" s="1" t="str">
        <f t="shared" si="190"/>
        <v>15764</v>
      </c>
      <c r="B5095" s="1" t="str">
        <f>"02142"</f>
        <v>02142</v>
      </c>
      <c r="C5095" s="2">
        <v>6.42618456002056E-3</v>
      </c>
      <c r="D5095" s="2">
        <v>6.5159064775776104E-3</v>
      </c>
      <c r="E5095" s="2">
        <v>6.71462829736211E-4</v>
      </c>
      <c r="F5095" s="2">
        <v>5.1824255416571203E-3</v>
      </c>
    </row>
    <row r="5096" spans="1:6" x14ac:dyDescent="0.25">
      <c r="A5096" s="1" t="str">
        <f t="shared" si="190"/>
        <v>15764</v>
      </c>
      <c r="B5096" s="1" t="str">
        <f>"01852"</f>
        <v>01852</v>
      </c>
      <c r="C5096" s="2">
        <v>1.8621654813926199E-2</v>
      </c>
      <c r="D5096" s="2">
        <v>2.3763894212341801E-2</v>
      </c>
      <c r="E5096" s="2">
        <v>1.85131894484412E-2</v>
      </c>
      <c r="F5096" s="2">
        <v>1.8877349262180699E-2</v>
      </c>
    </row>
    <row r="5097" spans="1:6" x14ac:dyDescent="0.25">
      <c r="A5097" s="1" t="str">
        <f t="shared" si="190"/>
        <v>15764</v>
      </c>
      <c r="B5097" s="1" t="str">
        <f>"02466"</f>
        <v>02466</v>
      </c>
      <c r="C5097" s="2">
        <v>1.1138719904035599E-3</v>
      </c>
      <c r="D5097" s="2">
        <v>0</v>
      </c>
      <c r="E5097" s="2">
        <v>1.2470023980815301E-3</v>
      </c>
      <c r="F5097" s="2">
        <v>1.08227360709305E-3</v>
      </c>
    </row>
    <row r="5098" spans="1:6" x14ac:dyDescent="0.25">
      <c r="A5098" s="1" t="str">
        <f t="shared" si="190"/>
        <v>15764</v>
      </c>
      <c r="B5098" s="1" t="str">
        <f>"01854"</f>
        <v>01854</v>
      </c>
      <c r="C5098" s="2">
        <v>8.9395367434952702E-3</v>
      </c>
      <c r="D5098" s="2">
        <v>4.2161747796090401E-3</v>
      </c>
      <c r="E5098" s="2">
        <v>1.0455635491606699E-2</v>
      </c>
      <c r="F5098" s="2">
        <v>9.0120090744479301E-3</v>
      </c>
    </row>
    <row r="5099" spans="1:6" x14ac:dyDescent="0.25">
      <c r="A5099" s="1" t="str">
        <f t="shared" si="190"/>
        <v>15764</v>
      </c>
      <c r="B5099" s="1" t="str">
        <f>"01902"</f>
        <v>01902</v>
      </c>
      <c r="C5099" s="2">
        <v>6.9545597349555802E-2</v>
      </c>
      <c r="D5099" s="2">
        <v>6.1326178612495204E-3</v>
      </c>
      <c r="E5099" s="2">
        <v>7.8081534772182201E-2</v>
      </c>
      <c r="F5099" s="2">
        <v>6.7954294753054298E-2</v>
      </c>
    </row>
    <row r="5100" spans="1:6" x14ac:dyDescent="0.25">
      <c r="A5100" s="1" t="str">
        <f t="shared" ref="A5100:A5120" si="191">"15764"</f>
        <v>15764</v>
      </c>
      <c r="B5100" s="1" t="str">
        <f>"01945"</f>
        <v>01945</v>
      </c>
      <c r="C5100" s="2">
        <v>8.1683945962928006E-3</v>
      </c>
      <c r="D5100" s="2">
        <v>3.48792640858566E-2</v>
      </c>
      <c r="E5100" s="2">
        <v>1.03597122302158E-2</v>
      </c>
      <c r="F5100" s="2">
        <v>1.00942826815409E-2</v>
      </c>
    </row>
    <row r="5101" spans="1:6" x14ac:dyDescent="0.25">
      <c r="A5101" s="1" t="str">
        <f t="shared" si="191"/>
        <v>15764</v>
      </c>
      <c r="B5101" s="1" t="str">
        <f>"01970"</f>
        <v>01970</v>
      </c>
      <c r="C5101" s="2">
        <v>4.5583069145745801E-2</v>
      </c>
      <c r="D5101" s="2">
        <v>2.2997316979685701E-2</v>
      </c>
      <c r="E5101" s="2">
        <v>5.1031175059952E-2</v>
      </c>
      <c r="F5101" s="2">
        <v>4.5538743313838503E-2</v>
      </c>
    </row>
    <row r="5102" spans="1:6" x14ac:dyDescent="0.25">
      <c r="A5102" s="1" t="str">
        <f t="shared" si="191"/>
        <v>15764</v>
      </c>
      <c r="B5102" s="1" t="str">
        <f>"01721"</f>
        <v>01721</v>
      </c>
      <c r="C5102" s="2">
        <v>5.7121640533516097E-5</v>
      </c>
      <c r="D5102" s="2">
        <v>3.8328861632809503E-4</v>
      </c>
      <c r="E5102" s="2">
        <v>8.63309352517985E-4</v>
      </c>
      <c r="F5102" s="2">
        <v>2.4975544779070398E-4</v>
      </c>
    </row>
    <row r="5103" spans="1:6" x14ac:dyDescent="0.25">
      <c r="A5103" s="1" t="str">
        <f t="shared" si="191"/>
        <v>15764</v>
      </c>
      <c r="B5103" s="1" t="str">
        <f>"02468"</f>
        <v>02468</v>
      </c>
      <c r="C5103" s="2">
        <v>1.7136492160054799E-4</v>
      </c>
      <c r="D5103" s="2">
        <v>0</v>
      </c>
      <c r="E5103" s="2">
        <v>1.91846522781774E-4</v>
      </c>
      <c r="F5103" s="2">
        <v>1.66503631860469E-4</v>
      </c>
    </row>
    <row r="5104" spans="1:6" x14ac:dyDescent="0.25">
      <c r="A5104" s="1" t="str">
        <f t="shared" si="191"/>
        <v>15764</v>
      </c>
      <c r="B5104" s="1" t="str">
        <f>"02467"</f>
        <v>02467</v>
      </c>
      <c r="C5104" s="2">
        <v>1.7136492160054799E-4</v>
      </c>
      <c r="D5104" s="2">
        <v>3.8328861632809502E-3</v>
      </c>
      <c r="E5104" s="2">
        <v>2.87769784172661E-4</v>
      </c>
      <c r="F5104" s="2">
        <v>3.9544612566861601E-4</v>
      </c>
    </row>
    <row r="5105" spans="1:6" x14ac:dyDescent="0.25">
      <c r="A5105" s="1" t="str">
        <f t="shared" si="191"/>
        <v>15764</v>
      </c>
      <c r="B5105" s="1" t="str">
        <f>"01982"</f>
        <v>01982</v>
      </c>
      <c r="C5105" s="2">
        <v>3.99851483734612E-4</v>
      </c>
      <c r="D5105" s="2">
        <v>3.8328861632809502E-3</v>
      </c>
      <c r="E5105" s="2">
        <v>7.6738609112709795E-4</v>
      </c>
      <c r="F5105" s="2">
        <v>6.6601452744187895E-4</v>
      </c>
    </row>
    <row r="5106" spans="1:6" x14ac:dyDescent="0.25">
      <c r="A5106" s="1" t="str">
        <f t="shared" si="191"/>
        <v>15764</v>
      </c>
      <c r="B5106" s="1" t="str">
        <f>"01969"</f>
        <v>01969</v>
      </c>
      <c r="C5106" s="2">
        <v>5.1409476480164496E-4</v>
      </c>
      <c r="D5106" s="2">
        <v>9.9655040245304697E-3</v>
      </c>
      <c r="E5106" s="2">
        <v>6.71462829736211E-4</v>
      </c>
      <c r="F5106" s="2">
        <v>1.0614606531104899E-3</v>
      </c>
    </row>
    <row r="5107" spans="1:6" x14ac:dyDescent="0.25">
      <c r="A5107" s="1" t="str">
        <f t="shared" si="191"/>
        <v>15764</v>
      </c>
      <c r="B5107" s="1" t="str">
        <f>"01746"</f>
        <v>01746</v>
      </c>
      <c r="C5107" s="2">
        <v>3.4272984320109597E-4</v>
      </c>
      <c r="D5107" s="2">
        <v>7.6657723265619005E-4</v>
      </c>
      <c r="E5107" s="2">
        <v>1.91846522781774E-4</v>
      </c>
      <c r="F5107" s="2">
        <v>3.3300726372093899E-4</v>
      </c>
    </row>
    <row r="5108" spans="1:6" x14ac:dyDescent="0.25">
      <c r="A5108" s="1" t="str">
        <f t="shared" si="191"/>
        <v>15764</v>
      </c>
      <c r="B5108" s="1" t="str">
        <f>"02464"</f>
        <v>02464</v>
      </c>
      <c r="C5108" s="2">
        <v>8.85385428269499E-4</v>
      </c>
      <c r="D5108" s="2">
        <v>1.9164430816404701E-3</v>
      </c>
      <c r="E5108" s="2">
        <v>1.1510791366906401E-3</v>
      </c>
      <c r="F5108" s="2">
        <v>9.9902179116281896E-4</v>
      </c>
    </row>
    <row r="5109" spans="1:6" x14ac:dyDescent="0.25">
      <c r="A5109" s="1" t="str">
        <f t="shared" si="191"/>
        <v>15764</v>
      </c>
      <c r="B5109" s="1" t="str">
        <f>"01929"</f>
        <v>01929</v>
      </c>
      <c r="C5109" s="2">
        <v>5.7121640533516097E-5</v>
      </c>
      <c r="D5109" s="2">
        <v>0</v>
      </c>
      <c r="E5109" s="2">
        <v>0</v>
      </c>
      <c r="F5109" s="2">
        <v>4.16259079651174E-5</v>
      </c>
    </row>
    <row r="5110" spans="1:6" x14ac:dyDescent="0.25">
      <c r="A5110" s="1" t="str">
        <f t="shared" si="191"/>
        <v>15764</v>
      </c>
      <c r="B5110" s="1" t="str">
        <f>"01775"</f>
        <v>01775</v>
      </c>
      <c r="C5110" s="2">
        <v>2.8560820266758001E-5</v>
      </c>
      <c r="D5110" s="2">
        <v>0</v>
      </c>
      <c r="E5110" s="2">
        <v>4.7961630695443597E-4</v>
      </c>
      <c r="F5110" s="2">
        <v>1.2487772389535199E-4</v>
      </c>
    </row>
    <row r="5111" spans="1:6" x14ac:dyDescent="0.25">
      <c r="A5111" s="1" t="str">
        <f t="shared" si="191"/>
        <v>15764</v>
      </c>
      <c r="B5111" s="1" t="str">
        <f>"01450"</f>
        <v>01450</v>
      </c>
      <c r="C5111" s="2">
        <v>8.85385428269499E-4</v>
      </c>
      <c r="D5111" s="2">
        <v>3.0663089306247602E-3</v>
      </c>
      <c r="E5111" s="2">
        <v>1.1510791366906401E-3</v>
      </c>
      <c r="F5111" s="2">
        <v>1.0614606531104899E-3</v>
      </c>
    </row>
    <row r="5112" spans="1:6" x14ac:dyDescent="0.25">
      <c r="A5112" s="1" t="str">
        <f t="shared" si="191"/>
        <v>15764</v>
      </c>
      <c r="B5112" s="1" t="str">
        <f>"01824"</f>
        <v>01824</v>
      </c>
      <c r="C5112" s="2">
        <v>1.3994801930711401E-3</v>
      </c>
      <c r="D5112" s="2">
        <v>1.14986584898428E-2</v>
      </c>
      <c r="E5112" s="2">
        <v>1.72661870503597E-3</v>
      </c>
      <c r="F5112" s="2">
        <v>2.01885653630819E-3</v>
      </c>
    </row>
    <row r="5113" spans="1:6" x14ac:dyDescent="0.25">
      <c r="A5113" s="1" t="str">
        <f t="shared" si="191"/>
        <v>15764</v>
      </c>
      <c r="B5113" s="1" t="str">
        <f>"02421"</f>
        <v>02421</v>
      </c>
      <c r="C5113" s="2">
        <v>2.8560820266758E-4</v>
      </c>
      <c r="D5113" s="2">
        <v>3.8328861632809502E-3</v>
      </c>
      <c r="E5113" s="2">
        <v>6.71462829736211E-4</v>
      </c>
      <c r="F5113" s="2">
        <v>5.6194975752908596E-4</v>
      </c>
    </row>
    <row r="5114" spans="1:6" x14ac:dyDescent="0.25">
      <c r="A5114" s="1" t="str">
        <f t="shared" si="191"/>
        <v>15764</v>
      </c>
      <c r="B5114" s="1" t="str">
        <f>"01913"</f>
        <v>01913</v>
      </c>
      <c r="C5114" s="2">
        <v>1.7136492160054799E-4</v>
      </c>
      <c r="D5114" s="2">
        <v>3.8328861632809503E-4</v>
      </c>
      <c r="E5114" s="2">
        <v>1.91846522781774E-4</v>
      </c>
      <c r="F5114" s="2">
        <v>1.8731658584302801E-4</v>
      </c>
    </row>
    <row r="5115" spans="1:6" x14ac:dyDescent="0.25">
      <c r="A5115" s="1" t="str">
        <f t="shared" si="191"/>
        <v>15764</v>
      </c>
      <c r="B5115" s="1" t="str">
        <f>"01748"</f>
        <v>01748</v>
      </c>
      <c r="C5115" s="2">
        <v>5.5122383114843002E-3</v>
      </c>
      <c r="D5115" s="2">
        <v>1.5331544653123801E-3</v>
      </c>
      <c r="E5115" s="2">
        <v>4.7961630695443597E-4</v>
      </c>
      <c r="F5115" s="2">
        <v>4.2042167044768599E-3</v>
      </c>
    </row>
    <row r="5116" spans="1:6" x14ac:dyDescent="0.25">
      <c r="A5116" s="1" t="str">
        <f t="shared" si="191"/>
        <v>15764</v>
      </c>
      <c r="B5116" s="1" t="str">
        <f>"01803"</f>
        <v>01803</v>
      </c>
      <c r="C5116" s="2">
        <v>7.9970296746922492E-3</v>
      </c>
      <c r="D5116" s="2">
        <v>3.0663089306247601E-2</v>
      </c>
      <c r="E5116" s="2">
        <v>2.3021582733812902E-3</v>
      </c>
      <c r="F5116" s="2">
        <v>7.99217432930255E-3</v>
      </c>
    </row>
    <row r="5117" spans="1:6" x14ac:dyDescent="0.25">
      <c r="A5117" s="1" t="str">
        <f t="shared" si="191"/>
        <v>15764</v>
      </c>
      <c r="B5117" s="1" t="str">
        <f>"01901"</f>
        <v>01901</v>
      </c>
      <c r="C5117" s="2">
        <v>0</v>
      </c>
      <c r="D5117" s="2">
        <v>4.5994633959371397E-3</v>
      </c>
      <c r="E5117" s="2">
        <v>4.7961630695443597E-4</v>
      </c>
      <c r="F5117" s="2">
        <v>3.5382021770349799E-4</v>
      </c>
    </row>
    <row r="5118" spans="1:6" x14ac:dyDescent="0.25">
      <c r="A5118" s="1" t="str">
        <f t="shared" si="191"/>
        <v>15764</v>
      </c>
      <c r="B5118" s="1" t="str">
        <f>"01886"</f>
        <v>01886</v>
      </c>
      <c r="C5118" s="2">
        <v>8.19695541655956E-3</v>
      </c>
      <c r="D5118" s="2">
        <v>1.14986584898428E-2</v>
      </c>
      <c r="E5118" s="2">
        <v>1.2470023980815301E-3</v>
      </c>
      <c r="F5118" s="2">
        <v>6.86827481424438E-3</v>
      </c>
    </row>
    <row r="5119" spans="1:6" x14ac:dyDescent="0.25">
      <c r="A5119" s="1" t="str">
        <f t="shared" si="191"/>
        <v>15764</v>
      </c>
      <c r="B5119" s="1" t="str">
        <f>"01930"</f>
        <v>01930</v>
      </c>
      <c r="C5119" s="2">
        <v>1.28238082997743E-2</v>
      </c>
      <c r="D5119" s="2">
        <v>6.1326178612495204E-3</v>
      </c>
      <c r="E5119" s="2">
        <v>1.41966426858513E-2</v>
      </c>
      <c r="F5119" s="2">
        <v>1.27583407913085E-2</v>
      </c>
    </row>
    <row r="5120" spans="1:6" x14ac:dyDescent="0.25">
      <c r="A5120" s="1" t="str">
        <f t="shared" si="191"/>
        <v>15764</v>
      </c>
      <c r="B5120" s="1" t="str">
        <f>"02180"</f>
        <v>02180</v>
      </c>
      <c r="C5120" s="2">
        <v>4.1413189386799096E-3</v>
      </c>
      <c r="D5120" s="2">
        <v>9.1989267918742793E-3</v>
      </c>
      <c r="E5120" s="2">
        <v>4.9880095923261298E-3</v>
      </c>
      <c r="F5120" s="2">
        <v>4.5996628301454802E-3</v>
      </c>
    </row>
    <row r="5121" spans="1:6" x14ac:dyDescent="0.25">
      <c r="A5121" s="1" t="str">
        <f t="shared" ref="A5121:A5132" si="192">"15780"</f>
        <v>15780</v>
      </c>
      <c r="B5121" s="1" t="str">
        <f>"71744"</f>
        <v>71744</v>
      </c>
      <c r="C5121" s="2">
        <v>0.134739410841903</v>
      </c>
      <c r="D5121" s="2">
        <v>4.2553191489361701E-2</v>
      </c>
      <c r="E5121" s="2">
        <v>0.105691056910569</v>
      </c>
      <c r="F5121" s="2">
        <v>0.12869414879247901</v>
      </c>
    </row>
    <row r="5122" spans="1:6" x14ac:dyDescent="0.25">
      <c r="A5122" s="1" t="str">
        <f t="shared" si="192"/>
        <v>15780</v>
      </c>
      <c r="B5122" s="1" t="str">
        <f>"71764"</f>
        <v>71764</v>
      </c>
      <c r="C5122" s="2">
        <v>4.0787868223810302E-2</v>
      </c>
      <c r="D5122" s="2">
        <v>1.3617021276595699E-2</v>
      </c>
      <c r="E5122" s="2">
        <v>8.1300813008130003E-3</v>
      </c>
      <c r="F5122" s="2">
        <v>3.8845966826948998E-2</v>
      </c>
    </row>
    <row r="5123" spans="1:6" x14ac:dyDescent="0.25">
      <c r="A5123" s="1" t="str">
        <f t="shared" si="192"/>
        <v>15780</v>
      </c>
      <c r="B5123" s="1" t="str">
        <f>"71742"</f>
        <v>71742</v>
      </c>
      <c r="C5123" s="2">
        <v>1.5397129742606401E-2</v>
      </c>
      <c r="D5123" s="2">
        <v>3.4042553191489301E-3</v>
      </c>
      <c r="E5123" s="2">
        <v>0</v>
      </c>
      <c r="F5123" s="2">
        <v>1.45334702036846E-2</v>
      </c>
    </row>
    <row r="5124" spans="1:6" x14ac:dyDescent="0.25">
      <c r="A5124" s="1" t="str">
        <f t="shared" si="192"/>
        <v>15780</v>
      </c>
      <c r="B5124" s="1" t="str">
        <f>"71745"</f>
        <v>71745</v>
      </c>
      <c r="C5124" s="2">
        <v>0</v>
      </c>
      <c r="D5124" s="2">
        <v>0</v>
      </c>
      <c r="E5124" s="2">
        <v>8.1300813008130003E-3</v>
      </c>
      <c r="F5124" s="2">
        <v>5.40277702739207E-5</v>
      </c>
    </row>
    <row r="5125" spans="1:6" x14ac:dyDescent="0.25">
      <c r="A5125" s="1" t="str">
        <f t="shared" si="192"/>
        <v>15780</v>
      </c>
      <c r="B5125" s="1" t="str">
        <f>"71726"</f>
        <v>71726</v>
      </c>
      <c r="C5125" s="2">
        <v>5.1827319737377198E-2</v>
      </c>
      <c r="D5125" s="2">
        <v>1.4468085106382899E-2</v>
      </c>
      <c r="E5125" s="2">
        <v>0</v>
      </c>
      <c r="F5125" s="2">
        <v>4.9111243178993999E-2</v>
      </c>
    </row>
    <row r="5126" spans="1:6" x14ac:dyDescent="0.25">
      <c r="A5126" s="1" t="str">
        <f t="shared" si="192"/>
        <v>15780</v>
      </c>
      <c r="B5126" s="1" t="str">
        <f>"71751"</f>
        <v>71751</v>
      </c>
      <c r="C5126" s="2">
        <v>2.9051188193597099E-2</v>
      </c>
      <c r="D5126" s="2">
        <v>5.1063829787233997E-3</v>
      </c>
      <c r="E5126" s="2">
        <v>8.1300813008130003E-3</v>
      </c>
      <c r="F5126" s="2">
        <v>2.7392079528877799E-2</v>
      </c>
    </row>
    <row r="5127" spans="1:6" x14ac:dyDescent="0.25">
      <c r="A5127" s="1" t="str">
        <f t="shared" si="192"/>
        <v>15780</v>
      </c>
      <c r="B5127" s="1" t="str">
        <f>"71762"</f>
        <v>71762</v>
      </c>
      <c r="C5127" s="2">
        <v>3.9509615943291998E-3</v>
      </c>
      <c r="D5127" s="2">
        <v>3.4042553191489301E-3</v>
      </c>
      <c r="E5127" s="2">
        <v>0</v>
      </c>
      <c r="F5127" s="2">
        <v>3.8899994597222901E-3</v>
      </c>
    </row>
    <row r="5128" spans="1:6" x14ac:dyDescent="0.25">
      <c r="A5128" s="1" t="str">
        <f t="shared" si="192"/>
        <v>15780</v>
      </c>
      <c r="B5128" s="1" t="str">
        <f>"71766"</f>
        <v>71766</v>
      </c>
      <c r="C5128" s="2">
        <v>2.8353959676950698E-2</v>
      </c>
      <c r="D5128" s="2">
        <v>4.2553191489361703E-3</v>
      </c>
      <c r="E5128" s="2">
        <v>8.1300813008130003E-3</v>
      </c>
      <c r="F5128" s="2">
        <v>2.6689718515316801E-2</v>
      </c>
    </row>
    <row r="5129" spans="1:6" x14ac:dyDescent="0.25">
      <c r="A5129" s="1" t="str">
        <f t="shared" si="192"/>
        <v>15780</v>
      </c>
      <c r="B5129" s="1" t="str">
        <f>"71701"</f>
        <v>71701</v>
      </c>
      <c r="C5129" s="2">
        <v>0.62924873627331301</v>
      </c>
      <c r="D5129" s="2">
        <v>0.89106382978723397</v>
      </c>
      <c r="E5129" s="2">
        <v>0.80487804878048697</v>
      </c>
      <c r="F5129" s="2">
        <v>0.64703657680047499</v>
      </c>
    </row>
    <row r="5130" spans="1:6" x14ac:dyDescent="0.25">
      <c r="A5130" s="1" t="str">
        <f t="shared" si="192"/>
        <v>15780</v>
      </c>
      <c r="B5130" s="1" t="str">
        <f>"71763"</f>
        <v>71763</v>
      </c>
      <c r="C5130" s="2">
        <v>5.81023763871942E-4</v>
      </c>
      <c r="D5130" s="2">
        <v>0</v>
      </c>
      <c r="E5130" s="2">
        <v>0</v>
      </c>
      <c r="F5130" s="2">
        <v>5.4027770273920703E-4</v>
      </c>
    </row>
    <row r="5131" spans="1:6" x14ac:dyDescent="0.25">
      <c r="A5131" s="1" t="str">
        <f t="shared" si="192"/>
        <v>15780</v>
      </c>
      <c r="B5131" s="1" t="str">
        <f>"71857"</f>
        <v>71857</v>
      </c>
      <c r="C5131" s="2">
        <v>6.9722851664633003E-4</v>
      </c>
      <c r="D5131" s="2">
        <v>2.5531914893616998E-3</v>
      </c>
      <c r="E5131" s="2">
        <v>0</v>
      </c>
      <c r="F5131" s="2">
        <v>8.1041655410881103E-4</v>
      </c>
    </row>
    <row r="5132" spans="1:6" x14ac:dyDescent="0.25">
      <c r="A5132" s="1" t="str">
        <f t="shared" si="192"/>
        <v>15780</v>
      </c>
      <c r="B5132" s="1" t="str">
        <f>"71720"</f>
        <v>71720</v>
      </c>
      <c r="C5132" s="2">
        <v>6.5365173435593504E-2</v>
      </c>
      <c r="D5132" s="2">
        <v>1.9574468085106302E-2</v>
      </c>
      <c r="E5132" s="2">
        <v>5.6910569105690999E-2</v>
      </c>
      <c r="F5132" s="2">
        <v>6.2402074666378503E-2</v>
      </c>
    </row>
    <row r="5133" spans="1:6" x14ac:dyDescent="0.25">
      <c r="A5133" s="1" t="str">
        <f t="shared" ref="A5133:A5164" si="193">"15804"</f>
        <v>15804</v>
      </c>
      <c r="B5133" s="1" t="str">
        <f>"08089"</f>
        <v>08089</v>
      </c>
      <c r="C5133" s="2">
        <v>8.7164959686206103E-4</v>
      </c>
      <c r="D5133" s="2">
        <v>4.6728971962616802E-3</v>
      </c>
      <c r="E5133" s="2">
        <v>5.5959709009513101E-4</v>
      </c>
      <c r="F5133" s="2">
        <v>1.1399259048161801E-3</v>
      </c>
    </row>
    <row r="5134" spans="1:6" x14ac:dyDescent="0.25">
      <c r="A5134" s="1" t="str">
        <f t="shared" si="193"/>
        <v>15804</v>
      </c>
      <c r="B5134" s="1" t="str">
        <f>"08031"</f>
        <v>08031</v>
      </c>
      <c r="C5134" s="2">
        <v>3.0507735890172101E-3</v>
      </c>
      <c r="D5134" s="2">
        <v>1.5576323987538899E-2</v>
      </c>
      <c r="E5134" s="2">
        <v>2.7979854504756501E-3</v>
      </c>
      <c r="F5134" s="2">
        <v>4.13223140495867E-3</v>
      </c>
    </row>
    <row r="5135" spans="1:6" x14ac:dyDescent="0.25">
      <c r="A5135" s="1" t="str">
        <f t="shared" si="193"/>
        <v>15804</v>
      </c>
      <c r="B5135" s="1" t="str">
        <f>"08002"</f>
        <v>08002</v>
      </c>
      <c r="C5135" s="2">
        <v>3.8788407060361699E-2</v>
      </c>
      <c r="D5135" s="2">
        <v>4.8286604361370701E-2</v>
      </c>
      <c r="E5135" s="2">
        <v>7.2747621712366999E-3</v>
      </c>
      <c r="F5135" s="2">
        <v>3.16329438586491E-2</v>
      </c>
    </row>
    <row r="5136" spans="1:6" x14ac:dyDescent="0.25">
      <c r="A5136" s="1" t="str">
        <f t="shared" si="193"/>
        <v>15804</v>
      </c>
      <c r="B5136" s="1" t="str">
        <f>"08014"</f>
        <v>08014</v>
      </c>
      <c r="C5136" s="2">
        <v>1.9612115929396302E-3</v>
      </c>
      <c r="D5136" s="2">
        <v>0</v>
      </c>
      <c r="E5136" s="2">
        <v>1.67879127028539E-3</v>
      </c>
      <c r="F5136" s="2">
        <v>1.70988885722428E-3</v>
      </c>
    </row>
    <row r="5137" spans="1:6" x14ac:dyDescent="0.25">
      <c r="A5137" s="1" t="str">
        <f t="shared" si="193"/>
        <v>15804</v>
      </c>
      <c r="B5137" s="1" t="str">
        <f>"08007"</f>
        <v>08007</v>
      </c>
      <c r="C5137" s="2">
        <v>1.7432991937241201E-3</v>
      </c>
      <c r="D5137" s="2">
        <v>3.1152647975077798E-3</v>
      </c>
      <c r="E5137" s="2">
        <v>1.67879127028539E-3</v>
      </c>
      <c r="F5137" s="2">
        <v>1.8523795953262999E-3</v>
      </c>
    </row>
    <row r="5138" spans="1:6" x14ac:dyDescent="0.25">
      <c r="A5138" s="1" t="str">
        <f t="shared" si="193"/>
        <v>15804</v>
      </c>
      <c r="B5138" s="1" t="str">
        <f>"08054"</f>
        <v>08054</v>
      </c>
      <c r="C5138" s="2">
        <v>1.1767269557637801E-2</v>
      </c>
      <c r="D5138" s="2">
        <v>2.1806853582554499E-2</v>
      </c>
      <c r="E5138" s="2">
        <v>2.7979854504756501E-3</v>
      </c>
      <c r="F5138" s="2">
        <v>1.0401823881447701E-2</v>
      </c>
    </row>
    <row r="5139" spans="1:6" x14ac:dyDescent="0.25">
      <c r="A5139" s="1" t="str">
        <f t="shared" si="193"/>
        <v>15804</v>
      </c>
      <c r="B5139" s="1" t="str">
        <f>"08640"</f>
        <v>08640</v>
      </c>
      <c r="C5139" s="2">
        <v>0</v>
      </c>
      <c r="D5139" s="2">
        <v>1.5576323987538899E-3</v>
      </c>
      <c r="E5139" s="2">
        <v>8.9535534415220996E-3</v>
      </c>
      <c r="F5139" s="2">
        <v>2.42234254773439E-3</v>
      </c>
    </row>
    <row r="5140" spans="1:6" x14ac:dyDescent="0.25">
      <c r="A5140" s="1" t="str">
        <f t="shared" si="193"/>
        <v>15804</v>
      </c>
      <c r="B5140" s="1" t="str">
        <f>"08080"</f>
        <v>08080</v>
      </c>
      <c r="C5140" s="2">
        <v>3.0507735890172101E-3</v>
      </c>
      <c r="D5140" s="2">
        <v>6.2305295950155701E-3</v>
      </c>
      <c r="E5140" s="2">
        <v>5.5959709009513101E-4</v>
      </c>
      <c r="F5140" s="2">
        <v>2.7073240239384399E-3</v>
      </c>
    </row>
    <row r="5141" spans="1:6" x14ac:dyDescent="0.25">
      <c r="A5141" s="1" t="str">
        <f t="shared" si="193"/>
        <v>15804</v>
      </c>
      <c r="B5141" s="1" t="str">
        <f>"08065"</f>
        <v>08065</v>
      </c>
      <c r="C5141" s="2">
        <v>5.6657223796033902E-3</v>
      </c>
      <c r="D5141" s="2">
        <v>3.1152647975077798E-3</v>
      </c>
      <c r="E5141" s="2">
        <v>5.0363738108561802E-3</v>
      </c>
      <c r="F5141" s="2">
        <v>5.2721573097748598E-3</v>
      </c>
    </row>
    <row r="5142" spans="1:6" x14ac:dyDescent="0.25">
      <c r="A5142" s="1" t="str">
        <f t="shared" si="193"/>
        <v>15804</v>
      </c>
      <c r="B5142" s="1" t="str">
        <f>"08048"</f>
        <v>08048</v>
      </c>
      <c r="C5142" s="2">
        <v>1.30747439529309E-3</v>
      </c>
      <c r="D5142" s="2">
        <v>3.1152647975077798E-3</v>
      </c>
      <c r="E5142" s="2">
        <v>3.9171796306659203E-3</v>
      </c>
      <c r="F5142" s="2">
        <v>2.1373610715303502E-3</v>
      </c>
    </row>
    <row r="5143" spans="1:6" x14ac:dyDescent="0.25">
      <c r="A5143" s="1" t="str">
        <f t="shared" si="193"/>
        <v>15804</v>
      </c>
      <c r="B5143" s="1" t="str">
        <f>"08033"</f>
        <v>08033</v>
      </c>
      <c r="C5143" s="2">
        <v>7.40902157332752E-3</v>
      </c>
      <c r="D5143" s="2">
        <v>1.0903426791277201E-2</v>
      </c>
      <c r="E5143" s="2">
        <v>6.7151650811415704E-3</v>
      </c>
      <c r="F5143" s="2">
        <v>7.5520091194072299E-3</v>
      </c>
    </row>
    <row r="5144" spans="1:6" x14ac:dyDescent="0.25">
      <c r="A5144" s="1" t="str">
        <f t="shared" si="193"/>
        <v>15804</v>
      </c>
      <c r="B5144" s="1" t="str">
        <f>"08224"</f>
        <v>08224</v>
      </c>
      <c r="C5144" s="2">
        <v>5.88363477881891E-3</v>
      </c>
      <c r="D5144" s="2">
        <v>0</v>
      </c>
      <c r="E5144" s="2">
        <v>0</v>
      </c>
      <c r="F5144" s="2">
        <v>3.8472499287546301E-3</v>
      </c>
    </row>
    <row r="5145" spans="1:6" x14ac:dyDescent="0.25">
      <c r="A5145" s="1" t="str">
        <f t="shared" si="193"/>
        <v>15804</v>
      </c>
      <c r="B5145" s="1" t="str">
        <f>"08102"</f>
        <v>08102</v>
      </c>
      <c r="C5145" s="2">
        <v>4.03137938548703E-2</v>
      </c>
      <c r="D5145" s="2">
        <v>2.33644859813084E-2</v>
      </c>
      <c r="E5145" s="2">
        <v>7.2747621712366999E-3</v>
      </c>
      <c r="F5145" s="2">
        <v>3.0350527215730901E-2</v>
      </c>
    </row>
    <row r="5146" spans="1:6" x14ac:dyDescent="0.25">
      <c r="A5146" s="1" t="str">
        <f t="shared" si="193"/>
        <v>15804</v>
      </c>
      <c r="B5146" s="1" t="str">
        <f>"08030"</f>
        <v>08030</v>
      </c>
      <c r="C5146" s="2">
        <v>1.8522553933318801E-2</v>
      </c>
      <c r="D5146" s="2">
        <v>4.6728971962616802E-3</v>
      </c>
      <c r="E5146" s="2">
        <v>1.6228315612758799E-2</v>
      </c>
      <c r="F5146" s="2">
        <v>1.6671416357936699E-2</v>
      </c>
    </row>
    <row r="5147" spans="1:6" x14ac:dyDescent="0.25">
      <c r="A5147" s="1" t="str">
        <f t="shared" si="193"/>
        <v>15804</v>
      </c>
      <c r="B5147" s="1" t="str">
        <f>"08009"</f>
        <v>08009</v>
      </c>
      <c r="C5147" s="2">
        <v>1.0241882763129199E-2</v>
      </c>
      <c r="D5147" s="2">
        <v>4.6728971962616802E-3</v>
      </c>
      <c r="E5147" s="2">
        <v>8.9535534415220996E-3</v>
      </c>
      <c r="F5147" s="2">
        <v>9.4043887147335394E-3</v>
      </c>
    </row>
    <row r="5148" spans="1:6" x14ac:dyDescent="0.25">
      <c r="A5148" s="1" t="str">
        <f t="shared" si="193"/>
        <v>15804</v>
      </c>
      <c r="B5148" s="1" t="str">
        <f>"08071"</f>
        <v>08071</v>
      </c>
      <c r="C5148" s="2">
        <v>6.7552843756809701E-3</v>
      </c>
      <c r="D5148" s="2">
        <v>0</v>
      </c>
      <c r="E5148" s="2">
        <v>5.5959709009513097E-3</v>
      </c>
      <c r="F5148" s="2">
        <v>5.84212026218295E-3</v>
      </c>
    </row>
    <row r="5149" spans="1:6" x14ac:dyDescent="0.25">
      <c r="A5149" s="1" t="str">
        <f t="shared" si="193"/>
        <v>15804</v>
      </c>
      <c r="B5149" s="1" t="str">
        <f>"08086"</f>
        <v>08086</v>
      </c>
      <c r="C5149" s="2">
        <v>3.4865983874482402E-3</v>
      </c>
      <c r="D5149" s="2">
        <v>6.2305295950155701E-3</v>
      </c>
      <c r="E5149" s="2">
        <v>2.7979854504756501E-3</v>
      </c>
      <c r="F5149" s="2">
        <v>3.5622684525505799E-3</v>
      </c>
    </row>
    <row r="5150" spans="1:6" x14ac:dyDescent="0.25">
      <c r="A5150" s="1" t="str">
        <f t="shared" si="193"/>
        <v>15804</v>
      </c>
      <c r="B5150" s="1" t="str">
        <f>"08055"</f>
        <v>08055</v>
      </c>
      <c r="C5150" s="2">
        <v>5.88363477881891E-3</v>
      </c>
      <c r="D5150" s="2">
        <v>4.2056074766355103E-2</v>
      </c>
      <c r="E5150" s="2">
        <v>4.4767767207610498E-3</v>
      </c>
      <c r="F5150" s="2">
        <v>8.8344257623254405E-3</v>
      </c>
    </row>
    <row r="5151" spans="1:6" x14ac:dyDescent="0.25">
      <c r="A5151" s="1" t="str">
        <f t="shared" si="193"/>
        <v>15804</v>
      </c>
      <c r="B5151" s="1" t="str">
        <f>"08105"</f>
        <v>08105</v>
      </c>
      <c r="C5151" s="2">
        <v>2.1355415123120499E-2</v>
      </c>
      <c r="D5151" s="2">
        <v>1.4018691588785E-2</v>
      </c>
      <c r="E5151" s="2">
        <v>2.01454952434247E-2</v>
      </c>
      <c r="F5151" s="2">
        <v>2.0376175548589299E-2</v>
      </c>
    </row>
    <row r="5152" spans="1:6" x14ac:dyDescent="0.25">
      <c r="A5152" s="1" t="str">
        <f t="shared" si="193"/>
        <v>15804</v>
      </c>
      <c r="B5152" s="1" t="str">
        <f>"08093"</f>
        <v>08093</v>
      </c>
      <c r="C5152" s="2">
        <v>2.50599259097842E-2</v>
      </c>
      <c r="D5152" s="2">
        <v>4.6728971962616802E-3</v>
      </c>
      <c r="E5152" s="2">
        <v>1.00727476217123E-2</v>
      </c>
      <c r="F5152" s="2">
        <v>1.9378740381875099E-2</v>
      </c>
    </row>
    <row r="5153" spans="1:6" x14ac:dyDescent="0.25">
      <c r="A5153" s="1" t="str">
        <f t="shared" si="193"/>
        <v>15804</v>
      </c>
      <c r="B5153" s="1" t="str">
        <f>"08062"</f>
        <v>08062</v>
      </c>
      <c r="C5153" s="2">
        <v>1.5253867945086001E-3</v>
      </c>
      <c r="D5153" s="2">
        <v>1.7133956386292799E-2</v>
      </c>
      <c r="E5153" s="2">
        <v>2.2383883603805201E-3</v>
      </c>
      <c r="F5153" s="2">
        <v>3.1347962382445101E-3</v>
      </c>
    </row>
    <row r="5154" spans="1:6" x14ac:dyDescent="0.25">
      <c r="A5154" s="1" t="str">
        <f t="shared" si="193"/>
        <v>15804</v>
      </c>
      <c r="B5154" s="1" t="str">
        <f>"08035"</f>
        <v>08035</v>
      </c>
      <c r="C5154" s="2">
        <v>1.0895619960775701E-2</v>
      </c>
      <c r="D5154" s="2">
        <v>6.2305295950155701E-3</v>
      </c>
      <c r="E5154" s="2">
        <v>1.00727476217123E-2</v>
      </c>
      <c r="F5154" s="2">
        <v>1.02593331433456E-2</v>
      </c>
    </row>
    <row r="5155" spans="1:6" x14ac:dyDescent="0.25">
      <c r="A5155" s="1" t="str">
        <f t="shared" si="193"/>
        <v>15804</v>
      </c>
      <c r="B5155" s="1" t="str">
        <f>"08107"</f>
        <v>08107</v>
      </c>
      <c r="C5155" s="2">
        <v>1.9830028328611801E-2</v>
      </c>
      <c r="D5155" s="2">
        <v>9.3457943925233603E-3</v>
      </c>
      <c r="E5155" s="2">
        <v>1.8466703973139299E-2</v>
      </c>
      <c r="F5155" s="2">
        <v>1.8523795953262999E-2</v>
      </c>
    </row>
    <row r="5156" spans="1:6" x14ac:dyDescent="0.25">
      <c r="A5156" s="1" t="str">
        <f t="shared" si="193"/>
        <v>15804</v>
      </c>
      <c r="B5156" s="1" t="str">
        <f>"08060"</f>
        <v>08060</v>
      </c>
      <c r="C5156" s="2">
        <v>8.4550010895619906E-2</v>
      </c>
      <c r="D5156" s="2">
        <v>2.6479750778816102E-2</v>
      </c>
      <c r="E5156" s="2">
        <v>1.17515388919977E-2</v>
      </c>
      <c r="F5156" s="2">
        <v>6.0701054431461898E-2</v>
      </c>
    </row>
    <row r="5157" spans="1:6" x14ac:dyDescent="0.25">
      <c r="A5157" s="1" t="str">
        <f t="shared" si="193"/>
        <v>15804</v>
      </c>
      <c r="B5157" s="1" t="str">
        <f>"08003"</f>
        <v>08003</v>
      </c>
      <c r="C5157" s="2">
        <v>6.5373719764654599E-4</v>
      </c>
      <c r="D5157" s="2">
        <v>7.7881619937694704E-3</v>
      </c>
      <c r="E5157" s="2">
        <v>1.1191941801902601E-3</v>
      </c>
      <c r="F5157" s="2">
        <v>1.4249073810202299E-3</v>
      </c>
    </row>
    <row r="5158" spans="1:6" x14ac:dyDescent="0.25">
      <c r="A5158" s="1" t="str">
        <f t="shared" si="193"/>
        <v>15804</v>
      </c>
      <c r="B5158" s="1" t="str">
        <f>"08010"</f>
        <v>08010</v>
      </c>
      <c r="C5158" s="2">
        <v>4.1403355850947897E-3</v>
      </c>
      <c r="D5158" s="2">
        <v>4.6728971962616802E-3</v>
      </c>
      <c r="E5158" s="2">
        <v>4.4767767207610498E-3</v>
      </c>
      <c r="F5158" s="2">
        <v>4.2747221430607003E-3</v>
      </c>
    </row>
    <row r="5159" spans="1:6" x14ac:dyDescent="0.25">
      <c r="A5159" s="1" t="str">
        <f t="shared" si="193"/>
        <v>15804</v>
      </c>
      <c r="B5159" s="1" t="str">
        <f>"08066"</f>
        <v>08066</v>
      </c>
      <c r="C5159" s="2">
        <v>1.6997167138810099E-2</v>
      </c>
      <c r="D5159" s="2">
        <v>1.7133956386292799E-2</v>
      </c>
      <c r="E5159" s="2">
        <v>1.6787912702853899E-2</v>
      </c>
      <c r="F5159" s="2">
        <v>1.6956397834140699E-2</v>
      </c>
    </row>
    <row r="5160" spans="1:6" x14ac:dyDescent="0.25">
      <c r="A5160" s="1" t="str">
        <f t="shared" si="193"/>
        <v>15804</v>
      </c>
      <c r="B5160" s="1" t="str">
        <f>"08108"</f>
        <v>08108</v>
      </c>
      <c r="C5160" s="2">
        <v>5.3388537807801201E-2</v>
      </c>
      <c r="D5160" s="2">
        <v>2.4922118380062301E-2</v>
      </c>
      <c r="E5160" s="2">
        <v>2.1824286513710101E-2</v>
      </c>
      <c r="F5160" s="2">
        <v>4.2747221430607003E-2</v>
      </c>
    </row>
    <row r="5161" spans="1:6" x14ac:dyDescent="0.25">
      <c r="A5161" s="1" t="str">
        <f t="shared" si="193"/>
        <v>15804</v>
      </c>
      <c r="B5161" s="1" t="str">
        <f>"08090"</f>
        <v>08090</v>
      </c>
      <c r="C5161" s="2">
        <v>5.0119851819568498E-3</v>
      </c>
      <c r="D5161" s="2">
        <v>3.1152647975077798E-3</v>
      </c>
      <c r="E5161" s="2">
        <v>4.4767767207610498E-3</v>
      </c>
      <c r="F5161" s="2">
        <v>4.7021943573667697E-3</v>
      </c>
    </row>
    <row r="5162" spans="1:6" x14ac:dyDescent="0.25">
      <c r="A5162" s="1" t="str">
        <f t="shared" si="193"/>
        <v>15804</v>
      </c>
      <c r="B5162" s="1" t="str">
        <f>"08022"</f>
        <v>08022</v>
      </c>
      <c r="C5162" s="2">
        <v>0</v>
      </c>
      <c r="D5162" s="2">
        <v>0</v>
      </c>
      <c r="E5162" s="2">
        <v>5.5959709009513101E-4</v>
      </c>
      <c r="F5162" s="2">
        <v>1.42490738102023E-4</v>
      </c>
    </row>
    <row r="5163" spans="1:6" x14ac:dyDescent="0.25">
      <c r="A5163" s="1" t="str">
        <f t="shared" si="193"/>
        <v>15804</v>
      </c>
      <c r="B5163" s="1" t="str">
        <f>"08041"</f>
        <v>08041</v>
      </c>
      <c r="C5163" s="2">
        <v>6.5373719764654599E-4</v>
      </c>
      <c r="D5163" s="2">
        <v>0</v>
      </c>
      <c r="E5163" s="2">
        <v>5.5959709009513101E-4</v>
      </c>
      <c r="F5163" s="2">
        <v>5.6996295240809296E-4</v>
      </c>
    </row>
    <row r="5164" spans="1:6" x14ac:dyDescent="0.25">
      <c r="A5164" s="1" t="str">
        <f t="shared" si="193"/>
        <v>15804</v>
      </c>
      <c r="B5164" s="1" t="str">
        <f>"08051"</f>
        <v>08051</v>
      </c>
      <c r="C5164" s="2">
        <v>2.17912399215515E-3</v>
      </c>
      <c r="D5164" s="2">
        <v>0</v>
      </c>
      <c r="E5164" s="2">
        <v>1.67879127028539E-3</v>
      </c>
      <c r="F5164" s="2">
        <v>1.8523795953262999E-3</v>
      </c>
    </row>
    <row r="5165" spans="1:6" x14ac:dyDescent="0.25">
      <c r="A5165" s="1" t="str">
        <f t="shared" ref="A5165:A5196" si="194">"15804"</f>
        <v>15804</v>
      </c>
      <c r="B5165" s="1" t="str">
        <f>"08344"</f>
        <v>08344</v>
      </c>
      <c r="C5165" s="2">
        <v>2.61494879058618E-3</v>
      </c>
      <c r="D5165" s="2">
        <v>0</v>
      </c>
      <c r="E5165" s="2">
        <v>2.2383883603805201E-3</v>
      </c>
      <c r="F5165" s="2">
        <v>2.2798518096323701E-3</v>
      </c>
    </row>
    <row r="5166" spans="1:6" x14ac:dyDescent="0.25">
      <c r="A5166" s="1" t="str">
        <f t="shared" si="194"/>
        <v>15804</v>
      </c>
      <c r="B5166" s="1" t="str">
        <f>"08020"</f>
        <v>08020</v>
      </c>
      <c r="C5166" s="2">
        <v>7.40902157332752E-3</v>
      </c>
      <c r="D5166" s="2">
        <v>0</v>
      </c>
      <c r="E5166" s="2">
        <v>5.5959709009513101E-4</v>
      </c>
      <c r="F5166" s="2">
        <v>4.9871758335708104E-3</v>
      </c>
    </row>
    <row r="5167" spans="1:6" x14ac:dyDescent="0.25">
      <c r="A5167" s="1" t="str">
        <f t="shared" si="194"/>
        <v>15804</v>
      </c>
      <c r="B5167" s="1" t="str">
        <f>"08034"</f>
        <v>08034</v>
      </c>
      <c r="C5167" s="2">
        <v>1.8740466332534299E-2</v>
      </c>
      <c r="D5167" s="2">
        <v>3.1152647975077798E-3</v>
      </c>
      <c r="E5167" s="2">
        <v>1.1191941801902601E-3</v>
      </c>
      <c r="F5167" s="2">
        <v>1.2824166429182099E-2</v>
      </c>
    </row>
    <row r="5168" spans="1:6" x14ac:dyDescent="0.25">
      <c r="A5168" s="1" t="str">
        <f t="shared" si="194"/>
        <v>15804</v>
      </c>
      <c r="B5168" s="1" t="str">
        <f>"08059"</f>
        <v>08059</v>
      </c>
      <c r="C5168" s="2">
        <v>2.8328611898016899E-3</v>
      </c>
      <c r="D5168" s="2">
        <v>3.1152647975077798E-3</v>
      </c>
      <c r="E5168" s="2">
        <v>2.7979854504756501E-3</v>
      </c>
      <c r="F5168" s="2">
        <v>2.8498147620404598E-3</v>
      </c>
    </row>
    <row r="5169" spans="1:6" x14ac:dyDescent="0.25">
      <c r="A5169" s="1" t="str">
        <f t="shared" si="194"/>
        <v>15804</v>
      </c>
      <c r="B5169" s="1" t="str">
        <f>"08053"</f>
        <v>08053</v>
      </c>
      <c r="C5169" s="2">
        <v>5.0119851819568498E-3</v>
      </c>
      <c r="D5169" s="2">
        <v>1.24610591900311E-2</v>
      </c>
      <c r="E5169" s="2">
        <v>3.9171796306659203E-3</v>
      </c>
      <c r="F5169" s="2">
        <v>5.4146480478768797E-3</v>
      </c>
    </row>
    <row r="5170" spans="1:6" x14ac:dyDescent="0.25">
      <c r="A5170" s="1" t="str">
        <f t="shared" si="194"/>
        <v>15804</v>
      </c>
      <c r="B5170" s="1" t="str">
        <f>"08027"</f>
        <v>08027</v>
      </c>
      <c r="C5170" s="2">
        <v>3.4865983874482402E-3</v>
      </c>
      <c r="D5170" s="2">
        <v>9.3457943925233603E-3</v>
      </c>
      <c r="E5170" s="2">
        <v>4.4767767207610498E-3</v>
      </c>
      <c r="F5170" s="2">
        <v>4.2747221430607003E-3</v>
      </c>
    </row>
    <row r="5171" spans="1:6" x14ac:dyDescent="0.25">
      <c r="A5171" s="1" t="str">
        <f t="shared" si="194"/>
        <v>15804</v>
      </c>
      <c r="B5171" s="1" t="str">
        <f>"08515"</f>
        <v>08515</v>
      </c>
      <c r="C5171" s="2">
        <v>7.40902157332752E-3</v>
      </c>
      <c r="D5171" s="2">
        <v>1.5576323987538899E-2</v>
      </c>
      <c r="E5171" s="2">
        <v>1.1191941801902601E-3</v>
      </c>
      <c r="F5171" s="2">
        <v>6.5545739526930696E-3</v>
      </c>
    </row>
    <row r="5172" spans="1:6" x14ac:dyDescent="0.25">
      <c r="A5172" s="1" t="str">
        <f t="shared" si="194"/>
        <v>15804</v>
      </c>
      <c r="B5172" s="1" t="str">
        <f>"08106"</f>
        <v>08106</v>
      </c>
      <c r="C5172" s="2">
        <v>1.5907605142732598E-2</v>
      </c>
      <c r="D5172" s="2">
        <v>2.0249221183800601E-2</v>
      </c>
      <c r="E5172" s="2">
        <v>1.5668718522663602E-2</v>
      </c>
      <c r="F5172" s="2">
        <v>1.62439441436306E-2</v>
      </c>
    </row>
    <row r="5173" spans="1:6" x14ac:dyDescent="0.25">
      <c r="A5173" s="1" t="str">
        <f t="shared" si="194"/>
        <v>15804</v>
      </c>
      <c r="B5173" s="1" t="str">
        <f>"08562"</f>
        <v>08562</v>
      </c>
      <c r="C5173" s="2">
        <v>2.4406188712137698E-2</v>
      </c>
      <c r="D5173" s="2">
        <v>7.7881619937694704E-3</v>
      </c>
      <c r="E5173" s="2">
        <v>3.3016228315612697E-2</v>
      </c>
      <c r="F5173" s="2">
        <v>2.5078369905956101E-2</v>
      </c>
    </row>
    <row r="5174" spans="1:6" x14ac:dyDescent="0.25">
      <c r="A5174" s="1" t="str">
        <f t="shared" si="194"/>
        <v>15804</v>
      </c>
      <c r="B5174" s="1" t="str">
        <f>"08641"</f>
        <v>08641</v>
      </c>
      <c r="C5174" s="2">
        <v>0</v>
      </c>
      <c r="D5174" s="2">
        <v>0</v>
      </c>
      <c r="E5174" s="2">
        <v>8.0022383883603804E-2</v>
      </c>
      <c r="F5174" s="2">
        <v>2.0376175548589299E-2</v>
      </c>
    </row>
    <row r="5175" spans="1:6" x14ac:dyDescent="0.25">
      <c r="A5175" s="1" t="str">
        <f t="shared" si="194"/>
        <v>15804</v>
      </c>
      <c r="B5175" s="1" t="str">
        <f>"08110"</f>
        <v>08110</v>
      </c>
      <c r="C5175" s="2">
        <v>6.4502070167792497E-2</v>
      </c>
      <c r="D5175" s="2">
        <v>2.4922118380062301E-2</v>
      </c>
      <c r="E5175" s="2">
        <v>1.5668718522663602E-2</v>
      </c>
      <c r="F5175" s="2">
        <v>4.8446850954687898E-2</v>
      </c>
    </row>
    <row r="5176" spans="1:6" x14ac:dyDescent="0.25">
      <c r="A5176" s="1" t="str">
        <f t="shared" si="194"/>
        <v>15804</v>
      </c>
      <c r="B5176" s="1" t="str">
        <f>"08083"</f>
        <v>08083</v>
      </c>
      <c r="C5176" s="2">
        <v>2.61494879058618E-3</v>
      </c>
      <c r="D5176" s="2">
        <v>1.4018691588785E-2</v>
      </c>
      <c r="E5176" s="2">
        <v>1.67879127028539E-3</v>
      </c>
      <c r="F5176" s="2">
        <v>3.4197777144485599E-3</v>
      </c>
    </row>
    <row r="5177" spans="1:6" x14ac:dyDescent="0.25">
      <c r="A5177" s="1" t="str">
        <f t="shared" si="194"/>
        <v>15804</v>
      </c>
      <c r="B5177" s="1" t="str">
        <f>"08091"</f>
        <v>08091</v>
      </c>
      <c r="C5177" s="2">
        <v>4.1403355850947897E-3</v>
      </c>
      <c r="D5177" s="2">
        <v>9.3457943925233603E-3</v>
      </c>
      <c r="E5177" s="2">
        <v>1.67879127028539E-3</v>
      </c>
      <c r="F5177" s="2">
        <v>3.9897406668566501E-3</v>
      </c>
    </row>
    <row r="5178" spans="1:6" x14ac:dyDescent="0.25">
      <c r="A5178" s="1" t="str">
        <f t="shared" si="194"/>
        <v>15804</v>
      </c>
      <c r="B5178" s="1" t="str">
        <f>"08554"</f>
        <v>08554</v>
      </c>
      <c r="C5178" s="2">
        <v>2.17912399215515E-3</v>
      </c>
      <c r="D5178" s="2">
        <v>6.2305295950155701E-3</v>
      </c>
      <c r="E5178" s="2">
        <v>2.2383883603805201E-3</v>
      </c>
      <c r="F5178" s="2">
        <v>2.5648332858364199E-3</v>
      </c>
    </row>
    <row r="5179" spans="1:6" x14ac:dyDescent="0.25">
      <c r="A5179" s="1" t="str">
        <f t="shared" si="194"/>
        <v>15804</v>
      </c>
      <c r="B5179" s="1" t="str">
        <f>"08077"</f>
        <v>08077</v>
      </c>
      <c r="C5179" s="2">
        <v>4.2710830246240998E-2</v>
      </c>
      <c r="D5179" s="2">
        <v>3.5825545171339498E-2</v>
      </c>
      <c r="E5179" s="2">
        <v>5.0363738108561802E-3</v>
      </c>
      <c r="F5179" s="2">
        <v>3.2487888287261298E-2</v>
      </c>
    </row>
    <row r="5180" spans="1:6" x14ac:dyDescent="0.25">
      <c r="A5180" s="1" t="str">
        <f t="shared" si="194"/>
        <v>15804</v>
      </c>
      <c r="B5180" s="1" t="str">
        <f>"08004"</f>
        <v>08004</v>
      </c>
      <c r="C5180" s="2">
        <v>3.9224231858792698E-3</v>
      </c>
      <c r="D5180" s="2">
        <v>0</v>
      </c>
      <c r="E5180" s="2">
        <v>3.35758254057078E-3</v>
      </c>
      <c r="F5180" s="2">
        <v>3.4197777144485599E-3</v>
      </c>
    </row>
    <row r="5181" spans="1:6" x14ac:dyDescent="0.25">
      <c r="A5181" s="1" t="str">
        <f t="shared" si="194"/>
        <v>15804</v>
      </c>
      <c r="B5181" s="1" t="str">
        <f>"08049"</f>
        <v>08049</v>
      </c>
      <c r="C5181" s="2">
        <v>1.08956199607757E-3</v>
      </c>
      <c r="D5181" s="2">
        <v>1.5576323987538899E-3</v>
      </c>
      <c r="E5181" s="2">
        <v>1.1191941801902601E-3</v>
      </c>
      <c r="F5181" s="2">
        <v>1.1399259048161801E-3</v>
      </c>
    </row>
    <row r="5182" spans="1:6" x14ac:dyDescent="0.25">
      <c r="A5182" s="1" t="str">
        <f t="shared" si="194"/>
        <v>15804</v>
      </c>
      <c r="B5182" s="1" t="str">
        <f>"08087"</f>
        <v>08087</v>
      </c>
      <c r="C5182" s="2">
        <v>6.5373719764654599E-4</v>
      </c>
      <c r="D5182" s="2">
        <v>0</v>
      </c>
      <c r="E5182" s="2">
        <v>5.5959709009513101E-4</v>
      </c>
      <c r="F5182" s="2">
        <v>5.6996295240809296E-4</v>
      </c>
    </row>
    <row r="5183" spans="1:6" x14ac:dyDescent="0.25">
      <c r="A5183" s="1" t="str">
        <f t="shared" si="194"/>
        <v>15804</v>
      </c>
      <c r="B5183" s="1" t="str">
        <f>"08015"</f>
        <v>08015</v>
      </c>
      <c r="C5183" s="2">
        <v>5.88363477881891E-3</v>
      </c>
      <c r="D5183" s="2">
        <v>4.6728971962616802E-3</v>
      </c>
      <c r="E5183" s="2">
        <v>5.5959709009513097E-3</v>
      </c>
      <c r="F5183" s="2">
        <v>5.69962952408093E-3</v>
      </c>
    </row>
    <row r="5184" spans="1:6" x14ac:dyDescent="0.25">
      <c r="A5184" s="1" t="str">
        <f t="shared" si="194"/>
        <v>15804</v>
      </c>
      <c r="B5184" s="1" t="str">
        <f>"08061"</f>
        <v>08061</v>
      </c>
      <c r="C5184" s="2">
        <v>6.5373719764654599E-4</v>
      </c>
      <c r="D5184" s="2">
        <v>0</v>
      </c>
      <c r="E5184" s="2">
        <v>0</v>
      </c>
      <c r="F5184" s="2">
        <v>4.2747221430606999E-4</v>
      </c>
    </row>
    <row r="5185" spans="1:6" x14ac:dyDescent="0.25">
      <c r="A5185" s="1" t="str">
        <f t="shared" si="194"/>
        <v>15804</v>
      </c>
      <c r="B5185" s="1" t="str">
        <f>"08068"</f>
        <v>08068</v>
      </c>
      <c r="C5185" s="2">
        <v>1.30747439529309E-3</v>
      </c>
      <c r="D5185" s="2">
        <v>0</v>
      </c>
      <c r="E5185" s="2">
        <v>1.1191941801902601E-3</v>
      </c>
      <c r="F5185" s="2">
        <v>1.1399259048161801E-3</v>
      </c>
    </row>
    <row r="5186" spans="1:6" x14ac:dyDescent="0.25">
      <c r="A5186" s="1" t="str">
        <f t="shared" si="194"/>
        <v>15804</v>
      </c>
      <c r="B5186" s="1" t="str">
        <f>"08012"</f>
        <v>08012</v>
      </c>
      <c r="C5186" s="2">
        <v>5.4478099803878799E-3</v>
      </c>
      <c r="D5186" s="2">
        <v>5.9190031152647898E-2</v>
      </c>
      <c r="E5186" s="2">
        <v>5.5959709009513097E-3</v>
      </c>
      <c r="F5186" s="2">
        <v>1.0401823881447701E-2</v>
      </c>
    </row>
    <row r="5187" spans="1:6" x14ac:dyDescent="0.25">
      <c r="A5187" s="1" t="str">
        <f t="shared" si="194"/>
        <v>15804</v>
      </c>
      <c r="B5187" s="1" t="str">
        <f>"08037"</f>
        <v>08037</v>
      </c>
      <c r="C5187" s="2">
        <v>2.3970363913706598E-3</v>
      </c>
      <c r="D5187" s="2">
        <v>6.2305295950155701E-3</v>
      </c>
      <c r="E5187" s="2">
        <v>2.7979854504756501E-3</v>
      </c>
      <c r="F5187" s="2">
        <v>2.8498147620404598E-3</v>
      </c>
    </row>
    <row r="5188" spans="1:6" x14ac:dyDescent="0.25">
      <c r="A5188" s="1" t="str">
        <f t="shared" si="194"/>
        <v>15804</v>
      </c>
      <c r="B5188" s="1" t="str">
        <f>"08097"</f>
        <v>08097</v>
      </c>
      <c r="C5188" s="2">
        <v>2.8328611898016899E-3</v>
      </c>
      <c r="D5188" s="2">
        <v>3.1152647975077798E-3</v>
      </c>
      <c r="E5188" s="2">
        <v>2.2383883603805201E-3</v>
      </c>
      <c r="F5188" s="2">
        <v>2.7073240239384399E-3</v>
      </c>
    </row>
    <row r="5189" spans="1:6" x14ac:dyDescent="0.25">
      <c r="A5189" s="1" t="str">
        <f t="shared" si="194"/>
        <v>15804</v>
      </c>
      <c r="B5189" s="1" t="str">
        <f>"08103"</f>
        <v>08103</v>
      </c>
      <c r="C5189" s="2">
        <v>1.9394203530180801E-2</v>
      </c>
      <c r="D5189" s="2">
        <v>6.5420560747663503E-2</v>
      </c>
      <c r="E5189" s="2">
        <v>2.07050923335198E-2</v>
      </c>
      <c r="F5189" s="2">
        <v>2.39384440011399E-2</v>
      </c>
    </row>
    <row r="5190" spans="1:6" x14ac:dyDescent="0.25">
      <c r="A5190" s="1" t="str">
        <f t="shared" si="194"/>
        <v>15804</v>
      </c>
      <c r="B5190" s="1" t="str">
        <f>"08096"</f>
        <v>08096</v>
      </c>
      <c r="C5190" s="2">
        <v>1.1113532359991201E-2</v>
      </c>
      <c r="D5190" s="2">
        <v>2.33644859813084E-2</v>
      </c>
      <c r="E5190" s="2">
        <v>1.06323447118074E-2</v>
      </c>
      <c r="F5190" s="2">
        <v>1.21117127386719E-2</v>
      </c>
    </row>
    <row r="5191" spans="1:6" x14ac:dyDescent="0.25">
      <c r="A5191" s="1" t="str">
        <f t="shared" si="194"/>
        <v>15804</v>
      </c>
      <c r="B5191" s="1" t="str">
        <f>"08505"</f>
        <v>08505</v>
      </c>
      <c r="C5191" s="2">
        <v>1.32926563521464E-2</v>
      </c>
      <c r="D5191" s="2">
        <v>2.8037383177569999E-2</v>
      </c>
      <c r="E5191" s="2">
        <v>1.3989927252378199E-2</v>
      </c>
      <c r="F5191" s="2">
        <v>1.4819036762610399E-2</v>
      </c>
    </row>
    <row r="5192" spans="1:6" x14ac:dyDescent="0.25">
      <c r="A5192" s="1" t="str">
        <f t="shared" si="194"/>
        <v>15804</v>
      </c>
      <c r="B5192" s="1" t="str">
        <f>"08088"</f>
        <v>08088</v>
      </c>
      <c r="C5192" s="2">
        <v>6.9731967748964899E-3</v>
      </c>
      <c r="D5192" s="2">
        <v>3.1152647975077798E-2</v>
      </c>
      <c r="E5192" s="2">
        <v>3.9171796306659203E-3</v>
      </c>
      <c r="F5192" s="2">
        <v>8.4069535480193695E-3</v>
      </c>
    </row>
    <row r="5193" spans="1:6" x14ac:dyDescent="0.25">
      <c r="A5193" s="1" t="str">
        <f t="shared" si="194"/>
        <v>15804</v>
      </c>
      <c r="B5193" s="1" t="str">
        <f>"08518"</f>
        <v>08518</v>
      </c>
      <c r="C5193" s="2">
        <v>2.1355415123120499E-2</v>
      </c>
      <c r="D5193" s="2">
        <v>6.2305295950155701E-3</v>
      </c>
      <c r="E5193" s="2">
        <v>1.00727476217123E-2</v>
      </c>
      <c r="F5193" s="2">
        <v>1.7098888572242801E-2</v>
      </c>
    </row>
    <row r="5194" spans="1:6" x14ac:dyDescent="0.25">
      <c r="A5194" s="1" t="str">
        <f t="shared" si="194"/>
        <v>15804</v>
      </c>
      <c r="B5194" s="1" t="str">
        <f>"08343"</f>
        <v>08343</v>
      </c>
      <c r="C5194" s="2">
        <v>8.7164959686206103E-4</v>
      </c>
      <c r="D5194" s="2">
        <v>4.6728971962616802E-3</v>
      </c>
      <c r="E5194" s="2">
        <v>1.1191941801902601E-3</v>
      </c>
      <c r="F5194" s="2">
        <v>1.28241664291821E-3</v>
      </c>
    </row>
    <row r="5195" spans="1:6" x14ac:dyDescent="0.25">
      <c r="A5195" s="1" t="str">
        <f t="shared" si="194"/>
        <v>15804</v>
      </c>
      <c r="B5195" s="1" t="str">
        <f>"08029"</f>
        <v>08029</v>
      </c>
      <c r="C5195" s="2">
        <v>1.9612115929396302E-3</v>
      </c>
      <c r="D5195" s="2">
        <v>0</v>
      </c>
      <c r="E5195" s="2">
        <v>1.67879127028539E-3</v>
      </c>
      <c r="F5195" s="2">
        <v>1.70988885722428E-3</v>
      </c>
    </row>
    <row r="5196" spans="1:6" x14ac:dyDescent="0.25">
      <c r="A5196" s="1" t="str">
        <f t="shared" si="194"/>
        <v>15804</v>
      </c>
      <c r="B5196" s="1" t="str">
        <f>"08073"</f>
        <v>08073</v>
      </c>
      <c r="C5196" s="2">
        <v>1.2856831553715401E-2</v>
      </c>
      <c r="D5196" s="2">
        <v>0</v>
      </c>
      <c r="E5196" s="2">
        <v>0</v>
      </c>
      <c r="F5196" s="2">
        <v>8.4069535480193695E-3</v>
      </c>
    </row>
    <row r="5197" spans="1:6" x14ac:dyDescent="0.25">
      <c r="A5197" s="1" t="str">
        <f t="shared" ref="A5197:A5217" si="195">"15804"</f>
        <v>15804</v>
      </c>
      <c r="B5197" s="1" t="str">
        <f>"08078"</f>
        <v>08078</v>
      </c>
      <c r="C5197" s="2">
        <v>5.2298975811723601E-3</v>
      </c>
      <c r="D5197" s="2">
        <v>1.24610591900311E-2</v>
      </c>
      <c r="E5197" s="2">
        <v>5.5959709009513097E-3</v>
      </c>
      <c r="F5197" s="2">
        <v>5.9846110002849803E-3</v>
      </c>
    </row>
    <row r="5198" spans="1:6" x14ac:dyDescent="0.25">
      <c r="A5198" s="1" t="str">
        <f t="shared" si="195"/>
        <v>15804</v>
      </c>
      <c r="B5198" s="1" t="str">
        <f>"08312"</f>
        <v>08312</v>
      </c>
      <c r="C5198" s="2">
        <v>9.3702331662671601E-3</v>
      </c>
      <c r="D5198" s="2">
        <v>2.1806853582554499E-2</v>
      </c>
      <c r="E5198" s="2">
        <v>1.06323447118074E-2</v>
      </c>
      <c r="F5198" s="2">
        <v>1.0829296095753701E-2</v>
      </c>
    </row>
    <row r="5199" spans="1:6" x14ac:dyDescent="0.25">
      <c r="A5199" s="1" t="str">
        <f t="shared" si="195"/>
        <v>15804</v>
      </c>
      <c r="B5199" s="1" t="str">
        <f>"08104"</f>
        <v>08104</v>
      </c>
      <c r="C5199" s="2">
        <v>5.3170625408585699E-2</v>
      </c>
      <c r="D5199" s="2">
        <v>9.3457943925233603E-3</v>
      </c>
      <c r="E5199" s="2">
        <v>1.00727476217123E-2</v>
      </c>
      <c r="F5199" s="2">
        <v>3.8187517811342199E-2</v>
      </c>
    </row>
    <row r="5200" spans="1:6" x14ac:dyDescent="0.25">
      <c r="A5200" s="1" t="str">
        <f t="shared" si="195"/>
        <v>15804</v>
      </c>
      <c r="B5200" s="1" t="str">
        <f>"08322"</f>
        <v>08322</v>
      </c>
      <c r="C5200" s="2">
        <v>2.61494879058618E-3</v>
      </c>
      <c r="D5200" s="2">
        <v>3.1152647975077798E-3</v>
      </c>
      <c r="E5200" s="2">
        <v>2.2383883603805201E-3</v>
      </c>
      <c r="F5200" s="2">
        <v>2.5648332858364199E-3</v>
      </c>
    </row>
    <row r="5201" spans="1:6" x14ac:dyDescent="0.25">
      <c r="A5201" s="1" t="str">
        <f t="shared" si="195"/>
        <v>15804</v>
      </c>
      <c r="B5201" s="1" t="str">
        <f>"08036"</f>
        <v>08036</v>
      </c>
      <c r="C5201" s="2">
        <v>6.5373719764654599E-4</v>
      </c>
      <c r="D5201" s="2">
        <v>3.1152647975077798E-3</v>
      </c>
      <c r="E5201" s="2">
        <v>5.5959709009513101E-4</v>
      </c>
      <c r="F5201" s="2">
        <v>8.5494442861213998E-4</v>
      </c>
    </row>
    <row r="5202" spans="1:6" x14ac:dyDescent="0.25">
      <c r="A5202" s="1" t="str">
        <f t="shared" si="195"/>
        <v>15804</v>
      </c>
      <c r="B5202" s="1" t="str">
        <f>"08109"</f>
        <v>08109</v>
      </c>
      <c r="C5202" s="2">
        <v>2.1355415123120499E-2</v>
      </c>
      <c r="D5202" s="2">
        <v>1.7133956386292799E-2</v>
      </c>
      <c r="E5202" s="2">
        <v>1.95858981533296E-2</v>
      </c>
      <c r="F5202" s="2">
        <v>2.0518666286691301E-2</v>
      </c>
    </row>
    <row r="5203" spans="1:6" x14ac:dyDescent="0.25">
      <c r="A5203" s="1" t="str">
        <f t="shared" si="195"/>
        <v>15804</v>
      </c>
      <c r="B5203" s="1" t="str">
        <f>"08081"</f>
        <v>08081</v>
      </c>
      <c r="C5203" s="2">
        <v>2.9200261494879001E-2</v>
      </c>
      <c r="D5203" s="2">
        <v>3.8940809968847301E-2</v>
      </c>
      <c r="E5203" s="2">
        <v>5.5959709009513097E-3</v>
      </c>
      <c r="F5203" s="2">
        <v>2.4080934739241899E-2</v>
      </c>
    </row>
    <row r="5204" spans="1:6" x14ac:dyDescent="0.25">
      <c r="A5204" s="1" t="str">
        <f t="shared" si="195"/>
        <v>15804</v>
      </c>
      <c r="B5204" s="1" t="str">
        <f>"08063"</f>
        <v>08063</v>
      </c>
      <c r="C5204" s="2">
        <v>6.9731967748964899E-3</v>
      </c>
      <c r="D5204" s="2">
        <v>1.5576323987538899E-3</v>
      </c>
      <c r="E5204" s="2">
        <v>6.15556799104644E-3</v>
      </c>
      <c r="F5204" s="2">
        <v>6.2695924764890202E-3</v>
      </c>
    </row>
    <row r="5205" spans="1:6" x14ac:dyDescent="0.25">
      <c r="A5205" s="1" t="str">
        <f t="shared" si="195"/>
        <v>15804</v>
      </c>
      <c r="B5205" s="1" t="str">
        <f>"08045"</f>
        <v>08045</v>
      </c>
      <c r="C5205" s="2">
        <v>3.4865983874482402E-3</v>
      </c>
      <c r="D5205" s="2">
        <v>0</v>
      </c>
      <c r="E5205" s="2">
        <v>2.7979854504756501E-3</v>
      </c>
      <c r="F5205" s="2">
        <v>2.9923055001424901E-3</v>
      </c>
    </row>
    <row r="5206" spans="1:6" x14ac:dyDescent="0.25">
      <c r="A5206" s="1" t="str">
        <f t="shared" si="195"/>
        <v>15804</v>
      </c>
      <c r="B5206" s="1" t="str">
        <f>"08075"</f>
        <v>08075</v>
      </c>
      <c r="C5206" s="2">
        <v>3.4865983874482399E-2</v>
      </c>
      <c r="D5206" s="2">
        <v>1.7133956386292799E-2</v>
      </c>
      <c r="E5206" s="2">
        <v>1.9026301063234399E-2</v>
      </c>
      <c r="F5206" s="2">
        <v>2.9210601310914699E-2</v>
      </c>
    </row>
    <row r="5207" spans="1:6" x14ac:dyDescent="0.25">
      <c r="A5207" s="1" t="str">
        <f t="shared" si="195"/>
        <v>15804</v>
      </c>
      <c r="B5207" s="1" t="str">
        <f>"08094"</f>
        <v>08094</v>
      </c>
      <c r="C5207" s="2">
        <v>1.8522553933318801E-2</v>
      </c>
      <c r="D5207" s="2">
        <v>3.1152647975077798E-2</v>
      </c>
      <c r="E5207" s="2">
        <v>1.11919418019026E-2</v>
      </c>
      <c r="F5207" s="2">
        <v>1.78113422627529E-2</v>
      </c>
    </row>
    <row r="5208" spans="1:6" x14ac:dyDescent="0.25">
      <c r="A5208" s="1" t="str">
        <f t="shared" si="195"/>
        <v>15804</v>
      </c>
      <c r="B5208" s="1" t="str">
        <f>"08328"</f>
        <v>08328</v>
      </c>
      <c r="C5208" s="2">
        <v>4.3582479843103002E-4</v>
      </c>
      <c r="D5208" s="2">
        <v>0</v>
      </c>
      <c r="E5208" s="2">
        <v>0</v>
      </c>
      <c r="F5208" s="2">
        <v>2.8498147620404599E-4</v>
      </c>
    </row>
    <row r="5209" spans="1:6" x14ac:dyDescent="0.25">
      <c r="A5209" s="1" t="str">
        <f t="shared" si="195"/>
        <v>15804</v>
      </c>
      <c r="B5209" s="1" t="str">
        <f>"08016"</f>
        <v>08016</v>
      </c>
      <c r="C5209" s="2">
        <v>1.61255175419481E-2</v>
      </c>
      <c r="D5209" s="2">
        <v>2.9595015576323901E-2</v>
      </c>
      <c r="E5209" s="2">
        <v>1.3430330162283099E-2</v>
      </c>
      <c r="F5209" s="2">
        <v>1.6671416357936699E-2</v>
      </c>
    </row>
    <row r="5210" spans="1:6" x14ac:dyDescent="0.25">
      <c r="A5210" s="1" t="str">
        <f t="shared" si="195"/>
        <v>15804</v>
      </c>
      <c r="B5210" s="1" t="str">
        <f>"08084"</f>
        <v>08084</v>
      </c>
      <c r="C5210" s="2">
        <v>3.9224231858792698E-3</v>
      </c>
      <c r="D5210" s="2">
        <v>0</v>
      </c>
      <c r="E5210" s="2">
        <v>1.1191941801902601E-3</v>
      </c>
      <c r="F5210" s="2">
        <v>2.8498147620404598E-3</v>
      </c>
    </row>
    <row r="5211" spans="1:6" x14ac:dyDescent="0.25">
      <c r="A5211" s="1" t="str">
        <f t="shared" si="195"/>
        <v>15804</v>
      </c>
      <c r="B5211" s="1" t="str">
        <f>"08026"</f>
        <v>08026</v>
      </c>
      <c r="C5211" s="2">
        <v>0</v>
      </c>
      <c r="D5211" s="2">
        <v>4.6728971962616802E-3</v>
      </c>
      <c r="E5211" s="2">
        <v>1.67879127028539E-3</v>
      </c>
      <c r="F5211" s="2">
        <v>8.5494442861213998E-4</v>
      </c>
    </row>
    <row r="5212" spans="1:6" x14ac:dyDescent="0.25">
      <c r="A5212" s="1" t="str">
        <f t="shared" si="195"/>
        <v>15804</v>
      </c>
      <c r="B5212" s="1" t="str">
        <f>"08028"</f>
        <v>08028</v>
      </c>
      <c r="C5212" s="2">
        <v>1.5253867945086E-2</v>
      </c>
      <c r="D5212" s="2">
        <v>1.0903426791277201E-2</v>
      </c>
      <c r="E5212" s="2">
        <v>1.3989927252378199E-2</v>
      </c>
      <c r="F5212" s="2">
        <v>1.45340552864063E-2</v>
      </c>
    </row>
    <row r="5213" spans="1:6" x14ac:dyDescent="0.25">
      <c r="A5213" s="1" t="str">
        <f t="shared" si="195"/>
        <v>15804</v>
      </c>
      <c r="B5213" s="1" t="str">
        <f>"08043"</f>
        <v>08043</v>
      </c>
      <c r="C5213" s="2">
        <v>1.08956199607757E-3</v>
      </c>
      <c r="D5213" s="2">
        <v>1.0903426791277201E-2</v>
      </c>
      <c r="E5213" s="2">
        <v>2.5181869054280898E-2</v>
      </c>
      <c r="F5213" s="2">
        <v>8.1219720718153296E-3</v>
      </c>
    </row>
    <row r="5214" spans="1:6" x14ac:dyDescent="0.25">
      <c r="A5214" s="1" t="str">
        <f t="shared" si="195"/>
        <v>15804</v>
      </c>
      <c r="B5214" s="1" t="str">
        <f>"08052"</f>
        <v>08052</v>
      </c>
      <c r="C5214" s="2">
        <v>1.9176291130965299E-2</v>
      </c>
      <c r="D5214" s="2">
        <v>1.4018691588785E-2</v>
      </c>
      <c r="E5214" s="2">
        <v>1.6787912702853899E-2</v>
      </c>
      <c r="F5214" s="2">
        <v>1.80963237389569E-2</v>
      </c>
    </row>
    <row r="5215" spans="1:6" x14ac:dyDescent="0.25">
      <c r="A5215" s="1" t="str">
        <f t="shared" si="195"/>
        <v>15804</v>
      </c>
      <c r="B5215" s="1" t="str">
        <f>"08085"</f>
        <v>08085</v>
      </c>
      <c r="C5215" s="2">
        <v>2.2227064719982498E-2</v>
      </c>
      <c r="D5215" s="2">
        <v>2.0249221183800601E-2</v>
      </c>
      <c r="E5215" s="2">
        <v>3.9171796306659203E-3</v>
      </c>
      <c r="F5215" s="2">
        <v>1.7383870048446801E-2</v>
      </c>
    </row>
    <row r="5216" spans="1:6" x14ac:dyDescent="0.25">
      <c r="A5216" s="1" t="str">
        <f t="shared" si="195"/>
        <v>15804</v>
      </c>
      <c r="B5216" s="1" t="str">
        <f>"08057"</f>
        <v>08057</v>
      </c>
      <c r="C5216" s="2">
        <v>5.0119851819568498E-3</v>
      </c>
      <c r="D5216" s="2">
        <v>1.7133956386292799E-2</v>
      </c>
      <c r="E5216" s="2">
        <v>5.5959709009513097E-3</v>
      </c>
      <c r="F5216" s="2">
        <v>6.2695924764890202E-3</v>
      </c>
    </row>
    <row r="5217" spans="1:6" x14ac:dyDescent="0.25">
      <c r="A5217" s="1" t="str">
        <f t="shared" si="195"/>
        <v>15804</v>
      </c>
      <c r="B5217" s="1" t="str">
        <f>"08021"</f>
        <v>08021</v>
      </c>
      <c r="C5217" s="2">
        <v>2.3970363913706598E-3</v>
      </c>
      <c r="D5217" s="2">
        <v>6.2305295950155701E-3</v>
      </c>
      <c r="E5217" s="2">
        <v>0.35758254057078898</v>
      </c>
      <c r="F5217" s="2">
        <v>9.3188942718723203E-2</v>
      </c>
    </row>
    <row r="5218" spans="1:6" x14ac:dyDescent="0.25">
      <c r="A5218" s="1" t="str">
        <f t="shared" ref="A5218:A5231" si="196">"15820"</f>
        <v>15820</v>
      </c>
      <c r="B5218" s="1" t="str">
        <f>"40009"</f>
        <v>40009</v>
      </c>
      <c r="C5218" s="2">
        <v>4.8352136942144096E-3</v>
      </c>
      <c r="D5218" s="2">
        <v>0</v>
      </c>
      <c r="E5218" s="2">
        <v>2.9013539651837499E-3</v>
      </c>
      <c r="F5218" s="2">
        <v>4.3898156277436297E-3</v>
      </c>
    </row>
    <row r="5219" spans="1:6" x14ac:dyDescent="0.25">
      <c r="A5219" s="1" t="str">
        <f t="shared" si="196"/>
        <v>15820</v>
      </c>
      <c r="B5219" s="1" t="str">
        <f>"42716"</f>
        <v>42716</v>
      </c>
      <c r="C5219" s="2">
        <v>5.3909853832045697E-3</v>
      </c>
      <c r="D5219" s="2">
        <v>1.3559322033898299E-3</v>
      </c>
      <c r="E5219" s="2">
        <v>6.7698259187620796E-3</v>
      </c>
      <c r="F5219" s="2">
        <v>5.1702272948980499E-3</v>
      </c>
    </row>
    <row r="5220" spans="1:6" x14ac:dyDescent="0.25">
      <c r="A5220" s="1" t="str">
        <f t="shared" si="196"/>
        <v>15820</v>
      </c>
      <c r="B5220" s="1" t="str">
        <f>"42743"</f>
        <v>42743</v>
      </c>
      <c r="C5220" s="2">
        <v>0.26326904907463999</v>
      </c>
      <c r="D5220" s="2">
        <v>0.25898305084745699</v>
      </c>
      <c r="E5220" s="2">
        <v>0.25338491295938098</v>
      </c>
      <c r="F5220" s="2">
        <v>0.26246219880987198</v>
      </c>
    </row>
    <row r="5221" spans="1:6" x14ac:dyDescent="0.25">
      <c r="A5221" s="1" t="str">
        <f t="shared" si="196"/>
        <v>15820</v>
      </c>
      <c r="B5221" s="1" t="str">
        <f>"42757"</f>
        <v>42757</v>
      </c>
      <c r="C5221" s="2">
        <v>9.1146556994386695E-3</v>
      </c>
      <c r="D5221" s="2">
        <v>2.0338983050847402E-3</v>
      </c>
      <c r="E5221" s="2">
        <v>2.9013539651837499E-3</v>
      </c>
      <c r="F5221" s="2">
        <v>8.2918739635157498E-3</v>
      </c>
    </row>
    <row r="5222" spans="1:6" x14ac:dyDescent="0.25">
      <c r="A5222" s="1" t="str">
        <f t="shared" si="196"/>
        <v>15820</v>
      </c>
      <c r="B5222" s="1" t="str">
        <f>"42722"</f>
        <v>42722</v>
      </c>
      <c r="C5222" s="2">
        <v>6.6692602678819501E-4</v>
      </c>
      <c r="D5222" s="2">
        <v>0</v>
      </c>
      <c r="E5222" s="2">
        <v>1.9342359767891601E-3</v>
      </c>
      <c r="F5222" s="2">
        <v>6.8286020876011995E-4</v>
      </c>
    </row>
    <row r="5223" spans="1:6" x14ac:dyDescent="0.25">
      <c r="A5223" s="1" t="str">
        <f t="shared" si="196"/>
        <v>15820</v>
      </c>
      <c r="B5223" s="1" t="str">
        <f>"42758"</f>
        <v>42758</v>
      </c>
      <c r="C5223" s="2">
        <v>2.55654976935474E-3</v>
      </c>
      <c r="D5223" s="2">
        <v>0</v>
      </c>
      <c r="E5223" s="2">
        <v>9.6711798839458404E-4</v>
      </c>
      <c r="F5223" s="2">
        <v>2.29245927226612E-3</v>
      </c>
    </row>
    <row r="5224" spans="1:6" x14ac:dyDescent="0.25">
      <c r="A5224" s="1" t="str">
        <f t="shared" si="196"/>
        <v>15820</v>
      </c>
      <c r="B5224" s="1" t="str">
        <f>"42733"</f>
        <v>42733</v>
      </c>
      <c r="C5224" s="2">
        <v>3.0178402712165799E-2</v>
      </c>
      <c r="D5224" s="2">
        <v>1.1525423728813501E-2</v>
      </c>
      <c r="E5224" s="2">
        <v>4.1586073500967102E-2</v>
      </c>
      <c r="F5224" s="2">
        <v>2.94117647058823E-2</v>
      </c>
    </row>
    <row r="5225" spans="1:6" x14ac:dyDescent="0.25">
      <c r="A5225" s="1" t="str">
        <f t="shared" si="196"/>
        <v>15820</v>
      </c>
      <c r="B5225" s="1" t="str">
        <f>"42718"</f>
        <v>42718</v>
      </c>
      <c r="C5225" s="2">
        <v>0.63691435558272602</v>
      </c>
      <c r="D5225" s="2">
        <v>0.71932203389830496</v>
      </c>
      <c r="E5225" s="2">
        <v>0.66731141199226296</v>
      </c>
      <c r="F5225" s="2">
        <v>0.64437615842356799</v>
      </c>
    </row>
    <row r="5226" spans="1:6" x14ac:dyDescent="0.25">
      <c r="A5226" s="1" t="str">
        <f t="shared" si="196"/>
        <v>15820</v>
      </c>
      <c r="B5226" s="1" t="str">
        <f>"42782"</f>
        <v>42782</v>
      </c>
      <c r="C5226" s="2">
        <v>2.5343189017951399E-2</v>
      </c>
      <c r="D5226" s="2">
        <v>3.3898305084745701E-3</v>
      </c>
      <c r="E5226" s="2">
        <v>1.4506769825918701E-2</v>
      </c>
      <c r="F5226" s="2">
        <v>2.3217247097844101E-2</v>
      </c>
    </row>
    <row r="5227" spans="1:6" x14ac:dyDescent="0.25">
      <c r="A5227" s="1" t="str">
        <f t="shared" si="196"/>
        <v>15820</v>
      </c>
      <c r="B5227" s="1" t="str">
        <f>"42129"</f>
        <v>42129</v>
      </c>
      <c r="C5227" s="2">
        <v>5.5577168899016195E-4</v>
      </c>
      <c r="D5227" s="2">
        <v>0</v>
      </c>
      <c r="E5227" s="2">
        <v>0</v>
      </c>
      <c r="F5227" s="2">
        <v>4.8775729197151398E-4</v>
      </c>
    </row>
    <row r="5228" spans="1:6" x14ac:dyDescent="0.25">
      <c r="A5228" s="1" t="str">
        <f t="shared" si="196"/>
        <v>15820</v>
      </c>
      <c r="B5228" s="1" t="str">
        <f>"42746"</f>
        <v>42746</v>
      </c>
      <c r="C5228" s="2">
        <v>2.16750958706163E-3</v>
      </c>
      <c r="D5228" s="2">
        <v>0</v>
      </c>
      <c r="E5228" s="2">
        <v>0</v>
      </c>
      <c r="F5228" s="2">
        <v>1.9022534386888999E-3</v>
      </c>
    </row>
    <row r="5229" spans="1:6" x14ac:dyDescent="0.25">
      <c r="A5229" s="1" t="str">
        <f t="shared" si="196"/>
        <v>15820</v>
      </c>
      <c r="B5229" s="1" t="str">
        <f>"42764"</f>
        <v>42764</v>
      </c>
      <c r="C5229" s="2">
        <v>1.10042794420052E-2</v>
      </c>
      <c r="D5229" s="2">
        <v>6.7796610169491497E-4</v>
      </c>
      <c r="E5229" s="2">
        <v>5.8027079303674999E-3</v>
      </c>
      <c r="F5229" s="2">
        <v>9.9990244854160498E-3</v>
      </c>
    </row>
    <row r="5230" spans="1:6" x14ac:dyDescent="0.25">
      <c r="A5230" s="1" t="str">
        <f t="shared" si="196"/>
        <v>15820</v>
      </c>
      <c r="B5230" s="1" t="str">
        <f>"42728"</f>
        <v>42728</v>
      </c>
      <c r="C5230" s="2">
        <v>3.8348246540321198E-3</v>
      </c>
      <c r="D5230" s="2">
        <v>6.7796610169491497E-4</v>
      </c>
      <c r="E5230" s="2">
        <v>1.9342359767891601E-3</v>
      </c>
      <c r="F5230" s="2">
        <v>3.5118525021949E-3</v>
      </c>
    </row>
    <row r="5231" spans="1:6" x14ac:dyDescent="0.25">
      <c r="A5231" s="1" t="str">
        <f t="shared" si="196"/>
        <v>15820</v>
      </c>
      <c r="B5231" s="1" t="str">
        <f>"42214"</f>
        <v>42214</v>
      </c>
      <c r="C5231" s="2">
        <v>4.1682876674262199E-3</v>
      </c>
      <c r="D5231" s="2">
        <v>2.0338983050847402E-3</v>
      </c>
      <c r="E5231" s="2">
        <v>0</v>
      </c>
      <c r="F5231" s="2">
        <v>3.8045068773778102E-3</v>
      </c>
    </row>
    <row r="5232" spans="1:6" x14ac:dyDescent="0.25">
      <c r="A5232" s="1" t="str">
        <f t="shared" ref="A5232:A5246" si="197">"15860"</f>
        <v>15860</v>
      </c>
      <c r="B5232" s="1" t="str">
        <f>"81244"</f>
        <v>81244</v>
      </c>
      <c r="C5232" s="2">
        <v>0</v>
      </c>
      <c r="D5232" s="2">
        <v>0</v>
      </c>
      <c r="E5232" s="2">
        <v>1.07758620689655E-3</v>
      </c>
      <c r="F5232" s="2">
        <v>4.1123493852037598E-5</v>
      </c>
    </row>
    <row r="5233" spans="1:6" x14ac:dyDescent="0.25">
      <c r="A5233" s="1" t="str">
        <f t="shared" si="197"/>
        <v>15860</v>
      </c>
      <c r="B5233" s="1" t="str">
        <f>"81215"</f>
        <v>81215</v>
      </c>
      <c r="C5233" s="2">
        <v>5.3477675045300301E-2</v>
      </c>
      <c r="D5233" s="2">
        <v>0.19078242229367601</v>
      </c>
      <c r="E5233" s="2">
        <v>2.1551724137930999E-3</v>
      </c>
      <c r="F5233" s="2">
        <v>6.2055352222724798E-2</v>
      </c>
    </row>
    <row r="5234" spans="1:6" x14ac:dyDescent="0.25">
      <c r="A5234" s="1" t="str">
        <f t="shared" si="197"/>
        <v>15860</v>
      </c>
      <c r="B5234" s="1" t="str">
        <f>"81232"</f>
        <v>81232</v>
      </c>
      <c r="C5234" s="2">
        <v>0</v>
      </c>
      <c r="D5234" s="2">
        <v>0</v>
      </c>
      <c r="E5234" s="2">
        <v>1.07758620689655E-3</v>
      </c>
      <c r="F5234" s="2">
        <v>4.1123493852037598E-5</v>
      </c>
    </row>
    <row r="5235" spans="1:6" x14ac:dyDescent="0.25">
      <c r="A5235" s="1" t="str">
        <f t="shared" si="197"/>
        <v>15860</v>
      </c>
      <c r="B5235" s="1" t="str">
        <f>"81253"</f>
        <v>81253</v>
      </c>
      <c r="C5235" s="2">
        <v>1.44031965804023E-3</v>
      </c>
      <c r="D5235" s="2">
        <v>0</v>
      </c>
      <c r="E5235" s="2">
        <v>0</v>
      </c>
      <c r="F5235" s="2">
        <v>1.27482830941316E-3</v>
      </c>
    </row>
    <row r="5236" spans="1:6" x14ac:dyDescent="0.25">
      <c r="A5236" s="1" t="str">
        <f t="shared" si="197"/>
        <v>15860</v>
      </c>
      <c r="B5236" s="1" t="str">
        <f>"81290"</f>
        <v>81290</v>
      </c>
      <c r="C5236" s="2">
        <v>0</v>
      </c>
      <c r="D5236" s="2">
        <v>5.3590568060021403E-4</v>
      </c>
      <c r="E5236" s="2">
        <v>0</v>
      </c>
      <c r="F5236" s="2">
        <v>4.1123493852037598E-5</v>
      </c>
    </row>
    <row r="5237" spans="1:6" x14ac:dyDescent="0.25">
      <c r="A5237" s="1" t="str">
        <f t="shared" si="197"/>
        <v>15860</v>
      </c>
      <c r="B5237" s="1" t="str">
        <f>"81240"</f>
        <v>81240</v>
      </c>
      <c r="C5237" s="2">
        <v>9.7709427124471407E-2</v>
      </c>
      <c r="D5237" s="2">
        <v>7.1811361200428706E-2</v>
      </c>
      <c r="E5237" s="2">
        <v>4.6336206896551699E-2</v>
      </c>
      <c r="F5237" s="2">
        <v>9.3761565982645803E-2</v>
      </c>
    </row>
    <row r="5238" spans="1:6" x14ac:dyDescent="0.25">
      <c r="A5238" s="1" t="str">
        <f t="shared" si="197"/>
        <v>15860</v>
      </c>
      <c r="B5238" s="1" t="str">
        <f>"81221"</f>
        <v>81221</v>
      </c>
      <c r="C5238" s="2">
        <v>0</v>
      </c>
      <c r="D5238" s="2">
        <v>0</v>
      </c>
      <c r="E5238" s="2">
        <v>1.07758620689655E-3</v>
      </c>
      <c r="F5238" s="2">
        <v>4.1123493852037598E-5</v>
      </c>
    </row>
    <row r="5239" spans="1:6" x14ac:dyDescent="0.25">
      <c r="A5239" s="1" t="str">
        <f t="shared" si="197"/>
        <v>15860</v>
      </c>
      <c r="B5239" s="1" t="str">
        <f>"80926"</f>
        <v>80926</v>
      </c>
      <c r="C5239" s="2">
        <v>1.3938577335873201E-3</v>
      </c>
      <c r="D5239" s="2">
        <v>0</v>
      </c>
      <c r="E5239" s="2">
        <v>0</v>
      </c>
      <c r="F5239" s="2">
        <v>1.2337048155611301E-3</v>
      </c>
    </row>
    <row r="5240" spans="1:6" x14ac:dyDescent="0.25">
      <c r="A5240" s="1" t="str">
        <f t="shared" si="197"/>
        <v>15860</v>
      </c>
      <c r="B5240" s="1" t="str">
        <f>"81226"</f>
        <v>81226</v>
      </c>
      <c r="C5240" s="2">
        <v>0.13264879431306001</v>
      </c>
      <c r="D5240" s="2">
        <v>0.11361200428724499</v>
      </c>
      <c r="E5240" s="2">
        <v>0.123922413793103</v>
      </c>
      <c r="F5240" s="2">
        <v>0.13085495743718301</v>
      </c>
    </row>
    <row r="5241" spans="1:6" x14ac:dyDescent="0.25">
      <c r="A5241" s="1" t="str">
        <f t="shared" si="197"/>
        <v>15860</v>
      </c>
      <c r="B5241" s="1" t="str">
        <f>"81212"</f>
        <v>81212</v>
      </c>
      <c r="C5241" s="2">
        <v>0.61232170236491101</v>
      </c>
      <c r="D5241" s="2">
        <v>0.59914255091103896</v>
      </c>
      <c r="E5241" s="2">
        <v>0.787715517241379</v>
      </c>
      <c r="F5241" s="2">
        <v>0.61800386560842202</v>
      </c>
    </row>
    <row r="5242" spans="1:6" x14ac:dyDescent="0.25">
      <c r="A5242" s="1" t="str">
        <f t="shared" si="197"/>
        <v>15860</v>
      </c>
      <c r="B5242" s="1" t="str">
        <f>"81252"</f>
        <v>81252</v>
      </c>
      <c r="C5242" s="2">
        <v>2.32309622264554E-4</v>
      </c>
      <c r="D5242" s="2">
        <v>0</v>
      </c>
      <c r="E5242" s="2">
        <v>0</v>
      </c>
      <c r="F5242" s="2">
        <v>2.0561746926018801E-4</v>
      </c>
    </row>
    <row r="5243" spans="1:6" x14ac:dyDescent="0.25">
      <c r="A5243" s="1" t="str">
        <f t="shared" si="197"/>
        <v>15860</v>
      </c>
      <c r="B5243" s="1" t="str">
        <f>"81222"</f>
        <v>81222</v>
      </c>
      <c r="C5243" s="2">
        <v>4.6461924452910803E-5</v>
      </c>
      <c r="D5243" s="2">
        <v>0</v>
      </c>
      <c r="E5243" s="2">
        <v>1.07758620689655E-3</v>
      </c>
      <c r="F5243" s="2">
        <v>8.2246987704075305E-5</v>
      </c>
    </row>
    <row r="5244" spans="1:6" x14ac:dyDescent="0.25">
      <c r="A5244" s="1" t="str">
        <f t="shared" si="197"/>
        <v>15860</v>
      </c>
      <c r="B5244" s="1" t="str">
        <f>"81201"</f>
        <v>81201</v>
      </c>
      <c r="C5244" s="2">
        <v>1.7190912047577E-3</v>
      </c>
      <c r="D5244" s="2">
        <v>0</v>
      </c>
      <c r="E5244" s="2">
        <v>0</v>
      </c>
      <c r="F5244" s="2">
        <v>1.52156927252539E-3</v>
      </c>
    </row>
    <row r="5245" spans="1:6" x14ac:dyDescent="0.25">
      <c r="A5245" s="1" t="str">
        <f t="shared" si="197"/>
        <v>15860</v>
      </c>
      <c r="B5245" s="1" t="str">
        <f>"81223"</f>
        <v>81223</v>
      </c>
      <c r="C5245" s="2">
        <v>7.5407703387074199E-2</v>
      </c>
      <c r="D5245" s="2">
        <v>1.66130760986066E-2</v>
      </c>
      <c r="E5245" s="2">
        <v>2.3706896551724099E-2</v>
      </c>
      <c r="F5245" s="2">
        <v>6.8922975696015104E-2</v>
      </c>
    </row>
    <row r="5246" spans="1:6" x14ac:dyDescent="0.25">
      <c r="A5246" s="1" t="str">
        <f t="shared" si="197"/>
        <v>15860</v>
      </c>
      <c r="B5246" s="1" t="str">
        <f>"81233"</f>
        <v>81233</v>
      </c>
      <c r="C5246" s="2">
        <v>2.36026576220787E-2</v>
      </c>
      <c r="D5246" s="2">
        <v>7.5026795284030001E-3</v>
      </c>
      <c r="E5246" s="2">
        <v>1.1853448275862001E-2</v>
      </c>
      <c r="F5246" s="2">
        <v>2.1918822223136E-2</v>
      </c>
    </row>
    <row r="5247" spans="1:6" x14ac:dyDescent="0.25">
      <c r="A5247" s="1" t="str">
        <f t="shared" ref="A5247:A5278" si="198">"15940"</f>
        <v>15940</v>
      </c>
      <c r="B5247" s="1" t="str">
        <f>"44608"</f>
        <v>44608</v>
      </c>
      <c r="C5247" s="2">
        <v>3.65273394319037E-3</v>
      </c>
      <c r="D5247" s="2">
        <v>1.2308533916849001E-3</v>
      </c>
      <c r="E5247" s="2">
        <v>9.3370681605975695E-4</v>
      </c>
      <c r="F5247" s="2">
        <v>3.4115694184408099E-3</v>
      </c>
    </row>
    <row r="5248" spans="1:6" x14ac:dyDescent="0.25">
      <c r="A5248" s="1" t="str">
        <f t="shared" si="198"/>
        <v>15940</v>
      </c>
      <c r="B5248" s="1" t="str">
        <f>"44662"</f>
        <v>44662</v>
      </c>
      <c r="C5248" s="2">
        <v>2.12969341600046E-2</v>
      </c>
      <c r="D5248" s="2">
        <v>1.12828227571115E-2</v>
      </c>
      <c r="E5248" s="2">
        <v>7.2829131652660997E-3</v>
      </c>
      <c r="F5248" s="2">
        <v>2.0228145688972899E-2</v>
      </c>
    </row>
    <row r="5249" spans="1:6" x14ac:dyDescent="0.25">
      <c r="A5249" s="1" t="str">
        <f t="shared" si="198"/>
        <v>15940</v>
      </c>
      <c r="B5249" s="1" t="str">
        <f>"44639"</f>
        <v>44639</v>
      </c>
      <c r="C5249" s="2">
        <v>0</v>
      </c>
      <c r="D5249" s="2">
        <v>0</v>
      </c>
      <c r="E5249" s="2">
        <v>1.86741363211951E-4</v>
      </c>
      <c r="F5249" s="2">
        <v>4.8254164334382E-6</v>
      </c>
    </row>
    <row r="5250" spans="1:6" x14ac:dyDescent="0.25">
      <c r="A5250" s="1" t="str">
        <f t="shared" si="198"/>
        <v>15940</v>
      </c>
      <c r="B5250" s="1" t="str">
        <f>"44650"</f>
        <v>44650</v>
      </c>
      <c r="C5250" s="2">
        <v>0</v>
      </c>
      <c r="D5250" s="2">
        <v>0</v>
      </c>
      <c r="E5250" s="2">
        <v>1.86741363211951E-4</v>
      </c>
      <c r="F5250" s="2">
        <v>4.8254164334382E-6</v>
      </c>
    </row>
    <row r="5251" spans="1:6" x14ac:dyDescent="0.25">
      <c r="A5251" s="1" t="str">
        <f t="shared" si="198"/>
        <v>15940</v>
      </c>
      <c r="B5251" s="1" t="str">
        <f>"43986"</f>
        <v>43986</v>
      </c>
      <c r="C5251" s="2">
        <v>1.6554788339020701E-4</v>
      </c>
      <c r="D5251" s="2">
        <v>0</v>
      </c>
      <c r="E5251" s="2">
        <v>0</v>
      </c>
      <c r="F5251" s="2">
        <v>1.49587909436584E-4</v>
      </c>
    </row>
    <row r="5252" spans="1:6" x14ac:dyDescent="0.25">
      <c r="A5252" s="1" t="str">
        <f t="shared" si="198"/>
        <v>15940</v>
      </c>
      <c r="B5252" s="1" t="str">
        <f>"44260"</f>
        <v>44260</v>
      </c>
      <c r="C5252" s="2">
        <v>1.6928606140224299E-3</v>
      </c>
      <c r="D5252" s="2">
        <v>0</v>
      </c>
      <c r="E5252" s="2">
        <v>0</v>
      </c>
      <c r="F5252" s="2">
        <v>1.5296570093999099E-3</v>
      </c>
    </row>
    <row r="5253" spans="1:6" x14ac:dyDescent="0.25">
      <c r="A5253" s="1" t="str">
        <f t="shared" si="198"/>
        <v>15940</v>
      </c>
      <c r="B5253" s="1" t="str">
        <f>"44707"</f>
        <v>44707</v>
      </c>
      <c r="C5253" s="2">
        <v>2.51205562408881E-2</v>
      </c>
      <c r="D5253" s="2">
        <v>4.0481400437636698E-2</v>
      </c>
      <c r="E5253" s="2">
        <v>2.7264239028944901E-2</v>
      </c>
      <c r="F5253" s="2">
        <v>2.6259916230770699E-2</v>
      </c>
    </row>
    <row r="5254" spans="1:6" x14ac:dyDescent="0.25">
      <c r="A5254" s="1" t="str">
        <f t="shared" si="198"/>
        <v>15940</v>
      </c>
      <c r="B5254" s="1" t="str">
        <f>"44695"</f>
        <v>44695</v>
      </c>
      <c r="C5254" s="2">
        <v>1.68218010541661E-3</v>
      </c>
      <c r="D5254" s="2">
        <v>4.7866520787746098E-4</v>
      </c>
      <c r="E5254" s="2">
        <v>0</v>
      </c>
      <c r="F5254" s="2">
        <v>1.5537840915670999E-3</v>
      </c>
    </row>
    <row r="5255" spans="1:6" x14ac:dyDescent="0.25">
      <c r="A5255" s="1" t="str">
        <f t="shared" si="198"/>
        <v>15940</v>
      </c>
      <c r="B5255" s="1" t="str">
        <f>"44704"</f>
        <v>44704</v>
      </c>
      <c r="C5255" s="2">
        <v>1.01037611411055E-2</v>
      </c>
      <c r="D5255" s="2">
        <v>9.4365426695842396E-3</v>
      </c>
      <c r="E5255" s="2">
        <v>9.5238095238095195E-3</v>
      </c>
      <c r="F5255" s="2">
        <v>1.00416915979849E-2</v>
      </c>
    </row>
    <row r="5256" spans="1:6" x14ac:dyDescent="0.25">
      <c r="A5256" s="1" t="str">
        <f t="shared" si="198"/>
        <v>15940</v>
      </c>
      <c r="B5256" s="1" t="str">
        <f>"44643"</f>
        <v>44643</v>
      </c>
      <c r="C5256" s="2">
        <v>4.6300004806228796E-3</v>
      </c>
      <c r="D5256" s="2">
        <v>1.98304157549234E-3</v>
      </c>
      <c r="E5256" s="2">
        <v>1.6806722689075601E-3</v>
      </c>
      <c r="F5256" s="2">
        <v>4.36700187226157E-3</v>
      </c>
    </row>
    <row r="5257" spans="1:6" x14ac:dyDescent="0.25">
      <c r="A5257" s="1" t="str">
        <f t="shared" si="198"/>
        <v>15940</v>
      </c>
      <c r="B5257" s="1" t="str">
        <f>"44669"</f>
        <v>44669</v>
      </c>
      <c r="C5257" s="2">
        <v>3.36436021083323E-3</v>
      </c>
      <c r="D5257" s="2">
        <v>1.1624726477024001E-3</v>
      </c>
      <c r="E5257" s="2">
        <v>7.4696545284780498E-4</v>
      </c>
      <c r="F5257" s="2">
        <v>3.1413460981682701E-3</v>
      </c>
    </row>
    <row r="5258" spans="1:6" x14ac:dyDescent="0.25">
      <c r="A5258" s="1" t="str">
        <f t="shared" si="198"/>
        <v>15940</v>
      </c>
      <c r="B5258" s="1" t="str">
        <f>"44718"</f>
        <v>44718</v>
      </c>
      <c r="C5258" s="2">
        <v>3.20575465803681E-2</v>
      </c>
      <c r="D5258" s="2">
        <v>9.9220459518599494E-2</v>
      </c>
      <c r="E5258" s="2">
        <v>9.5611577964519107E-2</v>
      </c>
      <c r="F5258" s="2">
        <v>3.8439267308768697E-2</v>
      </c>
    </row>
    <row r="5259" spans="1:6" x14ac:dyDescent="0.25">
      <c r="A5259" s="1" t="str">
        <f t="shared" si="198"/>
        <v>15940</v>
      </c>
      <c r="B5259" s="1" t="str">
        <f>"44641"</f>
        <v>44641</v>
      </c>
      <c r="C5259" s="2">
        <v>4.6988897611304203E-2</v>
      </c>
      <c r="D5259" s="2">
        <v>2.5232494529540399E-2</v>
      </c>
      <c r="E5259" s="2">
        <v>3.0438842203547999E-2</v>
      </c>
      <c r="F5259" s="2">
        <v>4.5025960740411798E-2</v>
      </c>
    </row>
    <row r="5260" spans="1:6" x14ac:dyDescent="0.25">
      <c r="A5260" s="1" t="str">
        <f t="shared" si="198"/>
        <v>15940</v>
      </c>
      <c r="B5260" s="1" t="str">
        <f>"44657"</f>
        <v>44657</v>
      </c>
      <c r="C5260" s="2">
        <v>2.05706595748089E-2</v>
      </c>
      <c r="D5260" s="2">
        <v>1.89414660831509E-2</v>
      </c>
      <c r="E5260" s="2">
        <v>1.84873949579831E-2</v>
      </c>
      <c r="F5260" s="2">
        <v>2.04018606805767E-2</v>
      </c>
    </row>
    <row r="5261" spans="1:6" x14ac:dyDescent="0.25">
      <c r="A5261" s="1" t="str">
        <f t="shared" si="198"/>
        <v>15940</v>
      </c>
      <c r="B5261" s="1" t="str">
        <f>"44626"</f>
        <v>44626</v>
      </c>
      <c r="C5261" s="2">
        <v>7.2520653433516503E-3</v>
      </c>
      <c r="D5261" s="2">
        <v>2.0514223194748301E-3</v>
      </c>
      <c r="E5261" s="2">
        <v>2.80112044817927E-3</v>
      </c>
      <c r="F5261" s="2">
        <v>6.7700592561137996E-3</v>
      </c>
    </row>
    <row r="5262" spans="1:6" x14ac:dyDescent="0.25">
      <c r="A5262" s="1" t="str">
        <f t="shared" si="198"/>
        <v>15940</v>
      </c>
      <c r="B5262" s="1" t="str">
        <f>"44630"</f>
        <v>44630</v>
      </c>
      <c r="C5262" s="2">
        <v>5.3402543029098997E-6</v>
      </c>
      <c r="D5262" s="2">
        <v>0</v>
      </c>
      <c r="E5262" s="2">
        <v>1.86741363211951E-4</v>
      </c>
      <c r="F5262" s="2">
        <v>9.6508328668764102E-6</v>
      </c>
    </row>
    <row r="5263" spans="1:6" x14ac:dyDescent="0.25">
      <c r="A5263" s="1" t="str">
        <f t="shared" si="198"/>
        <v>15940</v>
      </c>
      <c r="B5263" s="1" t="str">
        <f>"44618"</f>
        <v>44618</v>
      </c>
      <c r="C5263" s="2">
        <v>1.1054326407023501E-3</v>
      </c>
      <c r="D5263" s="2">
        <v>1.36761487964989E-4</v>
      </c>
      <c r="E5263" s="2">
        <v>0</v>
      </c>
      <c r="F5263" s="2">
        <v>1.0085120345885801E-3</v>
      </c>
    </row>
    <row r="5264" spans="1:6" x14ac:dyDescent="0.25">
      <c r="A5264" s="1" t="str">
        <f t="shared" si="198"/>
        <v>15940</v>
      </c>
      <c r="B5264" s="1" t="str">
        <f>"44675"</f>
        <v>44675</v>
      </c>
      <c r="C5264" s="2">
        <v>4.1974398820871801E-3</v>
      </c>
      <c r="D5264" s="2">
        <v>8.8894967177242804E-4</v>
      </c>
      <c r="E5264" s="2">
        <v>1.86741363211951E-4</v>
      </c>
      <c r="F5264" s="2">
        <v>3.8603331467505601E-3</v>
      </c>
    </row>
    <row r="5265" spans="1:6" x14ac:dyDescent="0.25">
      <c r="A5265" s="1" t="str">
        <f t="shared" si="198"/>
        <v>15940</v>
      </c>
      <c r="B5265" s="1" t="str">
        <f>"44645"</f>
        <v>44645</v>
      </c>
      <c r="C5265" s="2">
        <v>7.4763560240738596E-5</v>
      </c>
      <c r="D5265" s="2">
        <v>0</v>
      </c>
      <c r="E5265" s="2">
        <v>0</v>
      </c>
      <c r="F5265" s="2">
        <v>6.7555830068134805E-5</v>
      </c>
    </row>
    <row r="5266" spans="1:6" x14ac:dyDescent="0.25">
      <c r="A5266" s="1" t="str">
        <f t="shared" si="198"/>
        <v>15940</v>
      </c>
      <c r="B5266" s="1" t="str">
        <f>"44652"</f>
        <v>44652</v>
      </c>
      <c r="C5266" s="2">
        <v>5.3402543029098997E-5</v>
      </c>
      <c r="D5266" s="2">
        <v>0</v>
      </c>
      <c r="E5266" s="2">
        <v>1.86741363211951E-4</v>
      </c>
      <c r="F5266" s="2">
        <v>5.3079580767820199E-5</v>
      </c>
    </row>
    <row r="5267" spans="1:6" x14ac:dyDescent="0.25">
      <c r="A5267" s="1" t="str">
        <f t="shared" si="198"/>
        <v>15940</v>
      </c>
      <c r="B5267" s="1" t="str">
        <f>"44624"</f>
        <v>44624</v>
      </c>
      <c r="C5267" s="2">
        <v>4.2722034423279198E-5</v>
      </c>
      <c r="D5267" s="2">
        <v>0</v>
      </c>
      <c r="E5267" s="2">
        <v>0</v>
      </c>
      <c r="F5267" s="2">
        <v>3.86033314675056E-5</v>
      </c>
    </row>
    <row r="5268" spans="1:6" x14ac:dyDescent="0.25">
      <c r="A5268" s="1" t="str">
        <f t="shared" si="198"/>
        <v>15940</v>
      </c>
      <c r="B5268" s="1" t="str">
        <f>"44201"</f>
        <v>44201</v>
      </c>
      <c r="C5268" s="2">
        <v>2.7235296944840503E-4</v>
      </c>
      <c r="D5268" s="2">
        <v>0</v>
      </c>
      <c r="E5268" s="2">
        <v>0</v>
      </c>
      <c r="F5268" s="2">
        <v>2.46096238105348E-4</v>
      </c>
    </row>
    <row r="5269" spans="1:6" x14ac:dyDescent="0.25">
      <c r="A5269" s="1" t="str">
        <f t="shared" si="198"/>
        <v>15940</v>
      </c>
      <c r="B5269" s="1" t="str">
        <f>"44614"</f>
        <v>44614</v>
      </c>
      <c r="C5269" s="2">
        <v>2.8906796541651299E-2</v>
      </c>
      <c r="D5269" s="2">
        <v>2.2634026258205601E-2</v>
      </c>
      <c r="E5269" s="2">
        <v>1.30718954248366E-2</v>
      </c>
      <c r="F5269" s="2">
        <v>2.8054971144009701E-2</v>
      </c>
    </row>
    <row r="5270" spans="1:6" x14ac:dyDescent="0.25">
      <c r="A5270" s="1" t="str">
        <f t="shared" si="198"/>
        <v>15940</v>
      </c>
      <c r="B5270" s="1" t="str">
        <f>"44651"</f>
        <v>44651</v>
      </c>
      <c r="C5270" s="2">
        <v>1.7729644285660799E-3</v>
      </c>
      <c r="D5270" s="2">
        <v>3.4190371991247198E-4</v>
      </c>
      <c r="E5270" s="2">
        <v>1.86741363211951E-4</v>
      </c>
      <c r="F5270" s="2">
        <v>1.63099075450211E-3</v>
      </c>
    </row>
    <row r="5271" spans="1:6" x14ac:dyDescent="0.25">
      <c r="A5271" s="1" t="str">
        <f t="shared" si="198"/>
        <v>15940</v>
      </c>
      <c r="B5271" s="1" t="str">
        <f>"44615"</f>
        <v>44615</v>
      </c>
      <c r="C5271" s="2">
        <v>2.7443566862653899E-2</v>
      </c>
      <c r="D5271" s="2">
        <v>2.70787746170678E-2</v>
      </c>
      <c r="E5271" s="2">
        <v>1.4939309056956099E-2</v>
      </c>
      <c r="F5271" s="2">
        <v>2.70947132737555E-2</v>
      </c>
    </row>
    <row r="5272" spans="1:6" x14ac:dyDescent="0.25">
      <c r="A5272" s="1" t="str">
        <f t="shared" si="198"/>
        <v>15940</v>
      </c>
      <c r="B5272" s="1" t="str">
        <f>"44710"</f>
        <v>44710</v>
      </c>
      <c r="C5272" s="2">
        <v>2.2861628670757299E-2</v>
      </c>
      <c r="D5272" s="2">
        <v>9.2997811816192492E-3</v>
      </c>
      <c r="E5272" s="2">
        <v>1.6619981325863599E-2</v>
      </c>
      <c r="F5272" s="2">
        <v>2.1743326449072502E-2</v>
      </c>
    </row>
    <row r="5273" spans="1:6" x14ac:dyDescent="0.25">
      <c r="A5273" s="1" t="str">
        <f t="shared" si="198"/>
        <v>15940</v>
      </c>
      <c r="B5273" s="1" t="str">
        <f>"44703"</f>
        <v>44703</v>
      </c>
      <c r="C5273" s="2">
        <v>2.4084546906123602E-2</v>
      </c>
      <c r="D5273" s="2">
        <v>1.23769146608315E-2</v>
      </c>
      <c r="E5273" s="2">
        <v>6.9094304388421998E-2</v>
      </c>
      <c r="F5273" s="2">
        <v>2.44214325696307E-2</v>
      </c>
    </row>
    <row r="5274" spans="1:6" x14ac:dyDescent="0.25">
      <c r="A5274" s="1" t="str">
        <f t="shared" si="198"/>
        <v>15940</v>
      </c>
      <c r="B5274" s="1" t="str">
        <f>"44706"</f>
        <v>44706</v>
      </c>
      <c r="C5274" s="2">
        <v>4.1702045851423397E-2</v>
      </c>
      <c r="D5274" s="2">
        <v>3.9524070021881803E-2</v>
      </c>
      <c r="E5274" s="2">
        <v>2.0354808590102701E-2</v>
      </c>
      <c r="F5274" s="2">
        <v>4.0996738018490901E-2</v>
      </c>
    </row>
    <row r="5275" spans="1:6" x14ac:dyDescent="0.25">
      <c r="A5275" s="1" t="str">
        <f t="shared" si="198"/>
        <v>15940</v>
      </c>
      <c r="B5275" s="1" t="str">
        <f>"44730"</f>
        <v>44730</v>
      </c>
      <c r="C5275" s="2">
        <v>1.45842345012469E-2</v>
      </c>
      <c r="D5275" s="2">
        <v>8.5475929978118103E-3</v>
      </c>
      <c r="E5275" s="2">
        <v>9.1503267973856196E-3</v>
      </c>
      <c r="F5275" s="2">
        <v>1.40178347391379E-2</v>
      </c>
    </row>
    <row r="5276" spans="1:6" x14ac:dyDescent="0.25">
      <c r="A5276" s="1" t="str">
        <f t="shared" si="198"/>
        <v>15940</v>
      </c>
      <c r="B5276" s="1" t="str">
        <f>"43903"</f>
        <v>43903</v>
      </c>
      <c r="C5276" s="2">
        <v>2.1841640098901501E-3</v>
      </c>
      <c r="D5276" s="2">
        <v>4.10284463894967E-4</v>
      </c>
      <c r="E5276" s="2">
        <v>0</v>
      </c>
      <c r="F5276" s="2">
        <v>2.0025478198768499E-3</v>
      </c>
    </row>
    <row r="5277" spans="1:6" x14ac:dyDescent="0.25">
      <c r="A5277" s="1" t="str">
        <f t="shared" si="198"/>
        <v>15940</v>
      </c>
      <c r="B5277" s="1" t="str">
        <f>"44750"</f>
        <v>44750</v>
      </c>
      <c r="C5277" s="2">
        <v>0</v>
      </c>
      <c r="D5277" s="2">
        <v>0</v>
      </c>
      <c r="E5277" s="2">
        <v>1.86741363211951E-4</v>
      </c>
      <c r="F5277" s="2">
        <v>4.8254164334382E-6</v>
      </c>
    </row>
    <row r="5278" spans="1:6" x14ac:dyDescent="0.25">
      <c r="A5278" s="1" t="str">
        <f t="shared" si="198"/>
        <v>15940</v>
      </c>
      <c r="B5278" s="1" t="str">
        <f>"43908"</f>
        <v>43908</v>
      </c>
      <c r="C5278" s="2">
        <v>7.4763560240738596E-5</v>
      </c>
      <c r="D5278" s="2">
        <v>6.83807439824945E-5</v>
      </c>
      <c r="E5278" s="2">
        <v>0</v>
      </c>
      <c r="F5278" s="2">
        <v>7.2381246501573003E-5</v>
      </c>
    </row>
    <row r="5279" spans="1:6" x14ac:dyDescent="0.25">
      <c r="A5279" s="1" t="str">
        <f t="shared" ref="A5279:A5314" si="199">"15940"</f>
        <v>15940</v>
      </c>
      <c r="B5279" s="1" t="str">
        <f>"44607"</f>
        <v>44607</v>
      </c>
      <c r="C5279" s="2">
        <v>0</v>
      </c>
      <c r="D5279" s="2">
        <v>0</v>
      </c>
      <c r="E5279" s="2">
        <v>1.86741363211951E-4</v>
      </c>
      <c r="F5279" s="2">
        <v>4.8254164334382E-6</v>
      </c>
    </row>
    <row r="5280" spans="1:6" x14ac:dyDescent="0.25">
      <c r="A5280" s="1" t="str">
        <f t="shared" si="199"/>
        <v>15940</v>
      </c>
      <c r="B5280" s="1" t="str">
        <f>"44767"</f>
        <v>44767</v>
      </c>
      <c r="C5280" s="2">
        <v>0</v>
      </c>
      <c r="D5280" s="2">
        <v>6.83807439824945E-5</v>
      </c>
      <c r="E5280" s="2">
        <v>1.86741363211951E-4</v>
      </c>
      <c r="F5280" s="2">
        <v>9.6508328668764102E-6</v>
      </c>
    </row>
    <row r="5281" spans="1:6" x14ac:dyDescent="0.25">
      <c r="A5281" s="1" t="str">
        <f t="shared" si="199"/>
        <v>15940</v>
      </c>
      <c r="B5281" s="1" t="str">
        <f>"44711"</f>
        <v>44711</v>
      </c>
      <c r="C5281" s="2">
        <v>5.5431839664204802E-3</v>
      </c>
      <c r="D5281" s="2">
        <v>1.9283369803063399E-2</v>
      </c>
      <c r="E5281" s="2">
        <v>1.86741363211951E-4</v>
      </c>
      <c r="F5281" s="2">
        <v>6.3743751085718597E-3</v>
      </c>
    </row>
    <row r="5282" spans="1:6" x14ac:dyDescent="0.25">
      <c r="A5282" s="1" t="str">
        <f t="shared" si="199"/>
        <v>15940</v>
      </c>
      <c r="B5282" s="1" t="str">
        <f>"44670"</f>
        <v>44670</v>
      </c>
      <c r="C5282" s="2">
        <v>2.5099195223676502E-4</v>
      </c>
      <c r="D5282" s="2">
        <v>0</v>
      </c>
      <c r="E5282" s="2">
        <v>1.86741363211951E-4</v>
      </c>
      <c r="F5282" s="2">
        <v>2.3161998880503299E-4</v>
      </c>
    </row>
    <row r="5283" spans="1:6" x14ac:dyDescent="0.25">
      <c r="A5283" s="1" t="str">
        <f t="shared" si="199"/>
        <v>15940</v>
      </c>
      <c r="B5283" s="1" t="str">
        <f>"44621"</f>
        <v>44621</v>
      </c>
      <c r="C5283" s="2">
        <v>1.6554788339020701E-4</v>
      </c>
      <c r="D5283" s="2">
        <v>1.36761487964989E-4</v>
      </c>
      <c r="E5283" s="2">
        <v>0</v>
      </c>
      <c r="F5283" s="2">
        <v>1.5923874230345999E-4</v>
      </c>
    </row>
    <row r="5284" spans="1:6" x14ac:dyDescent="0.25">
      <c r="A5284" s="1" t="str">
        <f t="shared" si="199"/>
        <v>15940</v>
      </c>
      <c r="B5284" s="1" t="str">
        <f>"44646"</f>
        <v>44646</v>
      </c>
      <c r="C5284" s="2">
        <v>0.114292122590877</v>
      </c>
      <c r="D5284" s="2">
        <v>8.8142778993435394E-2</v>
      </c>
      <c r="E5284" s="2">
        <v>0.101774042950513</v>
      </c>
      <c r="F5284" s="2">
        <v>0.11212337624737</v>
      </c>
    </row>
    <row r="5285" spans="1:6" x14ac:dyDescent="0.25">
      <c r="A5285" s="1" t="str">
        <f t="shared" si="199"/>
        <v>15940</v>
      </c>
      <c r="B5285" s="1" t="str">
        <f>"44625"</f>
        <v>44625</v>
      </c>
      <c r="C5285" s="2">
        <v>5.7674746471426898E-4</v>
      </c>
      <c r="D5285" s="2">
        <v>0</v>
      </c>
      <c r="E5285" s="2">
        <v>0</v>
      </c>
      <c r="F5285" s="2">
        <v>5.2114497481132603E-4</v>
      </c>
    </row>
    <row r="5286" spans="1:6" x14ac:dyDescent="0.25">
      <c r="A5286" s="1" t="str">
        <f t="shared" si="199"/>
        <v>15940</v>
      </c>
      <c r="B5286" s="1" t="str">
        <f>"44644"</f>
        <v>44644</v>
      </c>
      <c r="C5286" s="2">
        <v>1.1171812001687501E-2</v>
      </c>
      <c r="D5286" s="2">
        <v>3.8977024070021801E-3</v>
      </c>
      <c r="E5286" s="2">
        <v>3.5480859010270701E-3</v>
      </c>
      <c r="F5286" s="2">
        <v>1.0461502827693999E-2</v>
      </c>
    </row>
    <row r="5287" spans="1:6" x14ac:dyDescent="0.25">
      <c r="A5287" s="1" t="str">
        <f t="shared" si="199"/>
        <v>15940</v>
      </c>
      <c r="B5287" s="1" t="str">
        <f>"44702"</f>
        <v>44702</v>
      </c>
      <c r="C5287" s="2">
        <v>3.9197466583358598E-3</v>
      </c>
      <c r="D5287" s="2">
        <v>5.0533369803063402E-2</v>
      </c>
      <c r="E5287" s="2">
        <v>2.1848739495798301E-2</v>
      </c>
      <c r="F5287" s="2">
        <v>7.6724121291667398E-3</v>
      </c>
    </row>
    <row r="5288" spans="1:6" x14ac:dyDescent="0.25">
      <c r="A5288" s="1" t="str">
        <f t="shared" si="199"/>
        <v>15940</v>
      </c>
      <c r="B5288" s="1" t="str">
        <f>"44666"</f>
        <v>44666</v>
      </c>
      <c r="C5288" s="2">
        <v>5.3242335400011699E-3</v>
      </c>
      <c r="D5288" s="2">
        <v>1.70951859956236E-3</v>
      </c>
      <c r="E5288" s="2">
        <v>9.3370681605975695E-4</v>
      </c>
      <c r="F5288" s="2">
        <v>4.9557026771410301E-3</v>
      </c>
    </row>
    <row r="5289" spans="1:6" x14ac:dyDescent="0.25">
      <c r="A5289" s="1" t="str">
        <f t="shared" si="199"/>
        <v>15940</v>
      </c>
      <c r="B5289" s="1" t="str">
        <f>"44714"</f>
        <v>44714</v>
      </c>
      <c r="C5289" s="2">
        <v>2.35932435102559E-2</v>
      </c>
      <c r="D5289" s="2">
        <v>1.2171772428884E-2</v>
      </c>
      <c r="E5289" s="2">
        <v>3.5294117647058802E-2</v>
      </c>
      <c r="F5289" s="2">
        <v>2.3089617634001799E-2</v>
      </c>
    </row>
    <row r="5290" spans="1:6" x14ac:dyDescent="0.25">
      <c r="A5290" s="1" t="str">
        <f t="shared" si="199"/>
        <v>15940</v>
      </c>
      <c r="B5290" s="1" t="str">
        <f>"44721"</f>
        <v>44721</v>
      </c>
      <c r="C5290" s="2">
        <v>3.1085620297238499E-2</v>
      </c>
      <c r="D5290" s="2">
        <v>1.12144420131291E-2</v>
      </c>
      <c r="E5290" s="2">
        <v>2.1101774042950501E-2</v>
      </c>
      <c r="F5290" s="2">
        <v>2.94253894111061E-2</v>
      </c>
    </row>
    <row r="5291" spans="1:6" x14ac:dyDescent="0.25">
      <c r="A5291" s="1" t="str">
        <f t="shared" si="199"/>
        <v>15940</v>
      </c>
      <c r="B5291" s="1" t="str">
        <f>"43945"</f>
        <v>43945</v>
      </c>
      <c r="C5291" s="2">
        <v>1.22291823536636E-3</v>
      </c>
      <c r="D5291" s="2">
        <v>4.10284463894967E-4</v>
      </c>
      <c r="E5291" s="2">
        <v>0</v>
      </c>
      <c r="F5291" s="2">
        <v>1.13397286185797E-3</v>
      </c>
    </row>
    <row r="5292" spans="1:6" x14ac:dyDescent="0.25">
      <c r="A5292" s="1" t="str">
        <f t="shared" si="199"/>
        <v>15940</v>
      </c>
      <c r="B5292" s="1" t="str">
        <f>"44612"</f>
        <v>44612</v>
      </c>
      <c r="C5292" s="2">
        <v>5.2334492168517005E-4</v>
      </c>
      <c r="D5292" s="2">
        <v>0</v>
      </c>
      <c r="E5292" s="2">
        <v>0</v>
      </c>
      <c r="F5292" s="2">
        <v>4.7289081047694397E-4</v>
      </c>
    </row>
    <row r="5293" spans="1:6" x14ac:dyDescent="0.25">
      <c r="A5293" s="1" t="str">
        <f t="shared" si="199"/>
        <v>15940</v>
      </c>
      <c r="B5293" s="1" t="str">
        <f>"44648"</f>
        <v>44648</v>
      </c>
      <c r="C5293" s="2">
        <v>4.6300004806228796E-3</v>
      </c>
      <c r="D5293" s="2">
        <v>1.5659190371991202E-2</v>
      </c>
      <c r="E5293" s="2">
        <v>3.73482726423902E-4</v>
      </c>
      <c r="F5293" s="2">
        <v>5.2983072439151402E-3</v>
      </c>
    </row>
    <row r="5294" spans="1:6" x14ac:dyDescent="0.25">
      <c r="A5294" s="1" t="str">
        <f t="shared" si="199"/>
        <v>15940</v>
      </c>
      <c r="B5294" s="1" t="str">
        <f>"44705"</f>
        <v>44705</v>
      </c>
      <c r="C5294" s="2">
        <v>4.3661919180591299E-2</v>
      </c>
      <c r="D5294" s="2">
        <v>3.4737417943107203E-2</v>
      </c>
      <c r="E5294" s="2">
        <v>2.74509803921568E-2</v>
      </c>
      <c r="F5294" s="2">
        <v>4.2613252523692698E-2</v>
      </c>
    </row>
    <row r="5295" spans="1:6" x14ac:dyDescent="0.25">
      <c r="A5295" s="1" t="str">
        <f t="shared" si="199"/>
        <v>15940</v>
      </c>
      <c r="B5295" s="1" t="str">
        <f>"44685"</f>
        <v>44685</v>
      </c>
      <c r="C5295" s="2">
        <v>3.2009484291641903E-2</v>
      </c>
      <c r="D5295" s="2">
        <v>2.5779540481400399E-2</v>
      </c>
      <c r="E5295" s="2">
        <v>9.8972922502334193E-3</v>
      </c>
      <c r="F5295" s="2">
        <v>3.0998475168407001E-2</v>
      </c>
    </row>
    <row r="5296" spans="1:6" x14ac:dyDescent="0.25">
      <c r="A5296" s="1" t="str">
        <f t="shared" si="199"/>
        <v>15940</v>
      </c>
      <c r="B5296" s="1" t="str">
        <f>"44613"</f>
        <v>44613</v>
      </c>
      <c r="C5296" s="2">
        <v>4.4858136144443096E-3</v>
      </c>
      <c r="D5296" s="2">
        <v>3.6925601750547E-3</v>
      </c>
      <c r="E5296" s="2">
        <v>9.3370681605975695E-4</v>
      </c>
      <c r="F5296" s="2">
        <v>4.3380493736609399E-3</v>
      </c>
    </row>
    <row r="5297" spans="1:6" x14ac:dyDescent="0.25">
      <c r="A5297" s="1" t="str">
        <f t="shared" si="199"/>
        <v>15940</v>
      </c>
      <c r="B5297" s="1" t="str">
        <f>"44708"</f>
        <v>44708</v>
      </c>
      <c r="C5297" s="2">
        <v>6.7767827103926606E-2</v>
      </c>
      <c r="D5297" s="2">
        <v>7.2962253829321602E-2</v>
      </c>
      <c r="E5297" s="2">
        <v>7.6563958916900002E-2</v>
      </c>
      <c r="F5297" s="2">
        <v>6.8361674612519005E-2</v>
      </c>
    </row>
    <row r="5298" spans="1:6" x14ac:dyDescent="0.25">
      <c r="A5298" s="1" t="str">
        <f t="shared" si="199"/>
        <v>15940</v>
      </c>
      <c r="B5298" s="1" t="str">
        <f>"44601"</f>
        <v>44601</v>
      </c>
      <c r="C5298" s="2">
        <v>7.7465728918010998E-2</v>
      </c>
      <c r="D5298" s="2">
        <v>9.0878008752735204E-2</v>
      </c>
      <c r="E5298" s="2">
        <v>9.0196078431372506E-2</v>
      </c>
      <c r="F5298" s="2">
        <v>7.8741145360844603E-2</v>
      </c>
    </row>
    <row r="5299" spans="1:6" x14ac:dyDescent="0.25">
      <c r="A5299" s="1" t="str">
        <f t="shared" si="199"/>
        <v>15940</v>
      </c>
      <c r="B5299" s="1" t="str">
        <f>"44647"</f>
        <v>44647</v>
      </c>
      <c r="C5299" s="2">
        <v>4.4655206480932602E-2</v>
      </c>
      <c r="D5299" s="2">
        <v>2.70787746170678E-2</v>
      </c>
      <c r="E5299" s="2">
        <v>2.2222222222222199E-2</v>
      </c>
      <c r="F5299" s="2">
        <v>4.28352216796309E-2</v>
      </c>
    </row>
    <row r="5300" spans="1:6" x14ac:dyDescent="0.25">
      <c r="A5300" s="1" t="str">
        <f t="shared" si="199"/>
        <v>15940</v>
      </c>
      <c r="B5300" s="1" t="str">
        <f>"44640"</f>
        <v>44640</v>
      </c>
      <c r="C5300" s="2">
        <v>2.7769322375131497E-4</v>
      </c>
      <c r="D5300" s="2">
        <v>0</v>
      </c>
      <c r="E5300" s="2">
        <v>1.86741363211951E-4</v>
      </c>
      <c r="F5300" s="2">
        <v>2.5574707097222399E-4</v>
      </c>
    </row>
    <row r="5301" spans="1:6" x14ac:dyDescent="0.25">
      <c r="A5301" s="1" t="str">
        <f t="shared" si="199"/>
        <v>15940</v>
      </c>
      <c r="B5301" s="1" t="str">
        <f>"44688"</f>
        <v>44688</v>
      </c>
      <c r="C5301" s="2">
        <v>6.3015000774336799E-3</v>
      </c>
      <c r="D5301" s="2">
        <v>4.5131291028446298E-3</v>
      </c>
      <c r="E5301" s="2">
        <v>1.30718954248366E-3</v>
      </c>
      <c r="F5301" s="2">
        <v>6.0462467910980698E-3</v>
      </c>
    </row>
    <row r="5302" spans="1:6" x14ac:dyDescent="0.25">
      <c r="A5302" s="1" t="str">
        <f t="shared" si="199"/>
        <v>15940</v>
      </c>
      <c r="B5302" s="1" t="str">
        <f>"44620"</f>
        <v>44620</v>
      </c>
      <c r="C5302" s="2">
        <v>3.4978665684059799E-3</v>
      </c>
      <c r="D5302" s="2">
        <v>8.8894967177242804E-4</v>
      </c>
      <c r="E5302" s="2">
        <v>9.3370681605975695E-4</v>
      </c>
      <c r="F5302" s="2">
        <v>3.2475052597039102E-3</v>
      </c>
    </row>
    <row r="5303" spans="1:6" x14ac:dyDescent="0.25">
      <c r="A5303" s="1" t="str">
        <f t="shared" si="199"/>
        <v>15940</v>
      </c>
      <c r="B5303" s="1" t="str">
        <f>"44216"</f>
        <v>44216</v>
      </c>
      <c r="C5303" s="2">
        <v>1.36710510154493E-3</v>
      </c>
      <c r="D5303" s="2">
        <v>0</v>
      </c>
      <c r="E5303" s="2">
        <v>0</v>
      </c>
      <c r="F5303" s="2">
        <v>1.2353066069601801E-3</v>
      </c>
    </row>
    <row r="5304" spans="1:6" x14ac:dyDescent="0.25">
      <c r="A5304" s="1" t="str">
        <f t="shared" si="199"/>
        <v>15940</v>
      </c>
      <c r="B5304" s="1" t="str">
        <f>"44680"</f>
        <v>44680</v>
      </c>
      <c r="C5304" s="2">
        <v>1.0680508605819799E-5</v>
      </c>
      <c r="D5304" s="2">
        <v>0</v>
      </c>
      <c r="E5304" s="2">
        <v>0</v>
      </c>
      <c r="F5304" s="2">
        <v>9.6508328668764102E-6</v>
      </c>
    </row>
    <row r="5305" spans="1:6" x14ac:dyDescent="0.25">
      <c r="A5305" s="1" t="str">
        <f t="shared" si="199"/>
        <v>15940</v>
      </c>
      <c r="B5305" s="1" t="str">
        <f>"44799"</f>
        <v>44799</v>
      </c>
      <c r="C5305" s="2">
        <v>0</v>
      </c>
      <c r="D5305" s="2">
        <v>0</v>
      </c>
      <c r="E5305" s="2">
        <v>1.86741363211951E-4</v>
      </c>
      <c r="F5305" s="2">
        <v>4.8254164334382E-6</v>
      </c>
    </row>
    <row r="5306" spans="1:6" x14ac:dyDescent="0.25">
      <c r="A5306" s="1" t="str">
        <f t="shared" si="199"/>
        <v>15940</v>
      </c>
      <c r="B5306" s="1" t="str">
        <f>"44656"</f>
        <v>44656</v>
      </c>
      <c r="C5306" s="2">
        <v>3.2041525817459401E-4</v>
      </c>
      <c r="D5306" s="2">
        <v>6.83807439824945E-5</v>
      </c>
      <c r="E5306" s="2">
        <v>0</v>
      </c>
      <c r="F5306" s="2">
        <v>2.9435040243973E-4</v>
      </c>
    </row>
    <row r="5307" spans="1:6" x14ac:dyDescent="0.25">
      <c r="A5307" s="1" t="str">
        <f t="shared" si="199"/>
        <v>15940</v>
      </c>
      <c r="B5307" s="1" t="str">
        <f>"44427"</f>
        <v>44427</v>
      </c>
      <c r="C5307" s="2">
        <v>1.43118815317985E-3</v>
      </c>
      <c r="D5307" s="2">
        <v>2.0514223194748301E-4</v>
      </c>
      <c r="E5307" s="2">
        <v>0</v>
      </c>
      <c r="F5307" s="2">
        <v>1.3076878534617499E-3</v>
      </c>
    </row>
    <row r="5308" spans="1:6" x14ac:dyDescent="0.25">
      <c r="A5308" s="1" t="str">
        <f t="shared" si="199"/>
        <v>15940</v>
      </c>
      <c r="B5308" s="1" t="str">
        <f>"44720"</f>
        <v>44720</v>
      </c>
      <c r="C5308" s="2">
        <v>9.0335741788023893E-2</v>
      </c>
      <c r="D5308" s="2">
        <v>0.11816192560175</v>
      </c>
      <c r="E5308" s="2">
        <v>0.125303454715219</v>
      </c>
      <c r="F5308" s="2">
        <v>9.3202918411858904E-2</v>
      </c>
    </row>
    <row r="5309" spans="1:6" x14ac:dyDescent="0.25">
      <c r="A5309" s="1" t="str">
        <f t="shared" si="199"/>
        <v>15940</v>
      </c>
      <c r="B5309" s="1" t="str">
        <f>"43988"</f>
        <v>43988</v>
      </c>
      <c r="C5309" s="2">
        <v>1.32438306712165E-3</v>
      </c>
      <c r="D5309" s="2">
        <v>3.4190371991247198E-4</v>
      </c>
      <c r="E5309" s="2">
        <v>5.6022408963585398E-4</v>
      </c>
      <c r="F5309" s="2">
        <v>1.2353066069601801E-3</v>
      </c>
    </row>
    <row r="5310" spans="1:6" x14ac:dyDescent="0.25">
      <c r="A5310" s="1" t="str">
        <f t="shared" si="199"/>
        <v>15940</v>
      </c>
      <c r="B5310" s="1" t="str">
        <f>"44689"</f>
        <v>44689</v>
      </c>
      <c r="C5310" s="2">
        <v>2.99054240962954E-4</v>
      </c>
      <c r="D5310" s="2">
        <v>4.7866520787746098E-4</v>
      </c>
      <c r="E5310" s="2">
        <v>1.86741363211951E-4</v>
      </c>
      <c r="F5310" s="2">
        <v>3.0882665174004502E-4</v>
      </c>
    </row>
    <row r="5311" spans="1:6" x14ac:dyDescent="0.25">
      <c r="A5311" s="1" t="str">
        <f t="shared" si="199"/>
        <v>15940</v>
      </c>
      <c r="B5311" s="1" t="str">
        <f>"44735"</f>
        <v>44735</v>
      </c>
      <c r="C5311" s="2">
        <v>4.5285356488675901E-3</v>
      </c>
      <c r="D5311" s="2">
        <v>2.29759299781181E-2</v>
      </c>
      <c r="E5311" s="2">
        <v>3.73482726423902E-4</v>
      </c>
      <c r="F5311" s="2">
        <v>5.7229438900577101E-3</v>
      </c>
    </row>
    <row r="5312" spans="1:6" x14ac:dyDescent="0.25">
      <c r="A5312" s="1" t="str">
        <f t="shared" si="199"/>
        <v>15940</v>
      </c>
      <c r="B5312" s="1" t="str">
        <f>"44709"</f>
        <v>44709</v>
      </c>
      <c r="C5312" s="2">
        <v>4.8110351014915301E-2</v>
      </c>
      <c r="D5312" s="2">
        <v>3.3916849015317198E-2</v>
      </c>
      <c r="E5312" s="2">
        <v>9.3744164332399599E-2</v>
      </c>
      <c r="F5312" s="2">
        <v>4.8287942249416099E-2</v>
      </c>
    </row>
    <row r="5313" spans="1:6" x14ac:dyDescent="0.25">
      <c r="A5313" s="1" t="str">
        <f t="shared" si="199"/>
        <v>15940</v>
      </c>
      <c r="B5313" s="1" t="str">
        <f>"44632"</f>
        <v>44632</v>
      </c>
      <c r="C5313" s="2">
        <v>2.07682489840166E-2</v>
      </c>
      <c r="D5313" s="2">
        <v>2.7010393873085299E-2</v>
      </c>
      <c r="E5313" s="2">
        <v>2.5023342670401402E-2</v>
      </c>
      <c r="F5313" s="2">
        <v>2.1318689802929901E-2</v>
      </c>
    </row>
    <row r="5314" spans="1:6" x14ac:dyDescent="0.25">
      <c r="A5314" s="1" t="str">
        <f t="shared" si="199"/>
        <v>15940</v>
      </c>
      <c r="B5314" s="1" t="str">
        <f>"44634"</f>
        <v>44634</v>
      </c>
      <c r="C5314" s="2">
        <v>1.1374741665198E-3</v>
      </c>
      <c r="D5314" s="2">
        <v>2.73522975929978E-4</v>
      </c>
      <c r="E5314" s="2">
        <v>0</v>
      </c>
      <c r="F5314" s="2">
        <v>1.0471153660560899E-3</v>
      </c>
    </row>
    <row r="5315" spans="1:6" x14ac:dyDescent="0.25">
      <c r="A5315" s="1" t="str">
        <f t="shared" ref="A5315:A5346" si="200">"15980"</f>
        <v>15980</v>
      </c>
      <c r="B5315" s="1" t="str">
        <f>"33918"</f>
        <v>33918</v>
      </c>
      <c r="C5315" s="2">
        <v>2.7983667049232002E-3</v>
      </c>
      <c r="D5315" s="2">
        <v>6.9113851448236296E-3</v>
      </c>
      <c r="E5315" s="2">
        <v>6.5655570875188695E-5</v>
      </c>
      <c r="F5315" s="2">
        <v>2.9180673522566699E-3</v>
      </c>
    </row>
    <row r="5316" spans="1:6" x14ac:dyDescent="0.25">
      <c r="A5316" s="1" t="str">
        <f t="shared" si="200"/>
        <v>15980</v>
      </c>
      <c r="B5316" s="1" t="str">
        <f>"33993"</f>
        <v>33993</v>
      </c>
      <c r="C5316" s="2">
        <v>2.7279502878385299E-2</v>
      </c>
      <c r="D5316" s="2">
        <v>2.6957269859477998E-3</v>
      </c>
      <c r="E5316" s="2">
        <v>2.3636005515067899E-3</v>
      </c>
      <c r="F5316" s="2">
        <v>2.4064607244445299E-2</v>
      </c>
    </row>
    <row r="5317" spans="1:6" x14ac:dyDescent="0.25">
      <c r="A5317" s="1" t="str">
        <f t="shared" si="200"/>
        <v>15980</v>
      </c>
      <c r="B5317" s="1" t="str">
        <f>"34135"</f>
        <v>34135</v>
      </c>
      <c r="C5317" s="2">
        <v>6.85279768083073E-2</v>
      </c>
      <c r="D5317" s="2">
        <v>5.7642672784628597E-2</v>
      </c>
      <c r="E5317" s="2">
        <v>0.10078130129341401</v>
      </c>
      <c r="F5317" s="2">
        <v>6.9727289002048803E-2</v>
      </c>
    </row>
    <row r="5318" spans="1:6" x14ac:dyDescent="0.25">
      <c r="A5318" s="1" t="str">
        <f t="shared" si="200"/>
        <v>15980</v>
      </c>
      <c r="B5318" s="1" t="str">
        <f>"33906"</f>
        <v>33906</v>
      </c>
      <c r="C5318" s="2">
        <v>3.2784786395913998E-3</v>
      </c>
      <c r="D5318" s="2">
        <v>1.97591052480642E-2</v>
      </c>
      <c r="E5318" s="2">
        <v>6.5655570875188695E-5</v>
      </c>
      <c r="F5318" s="2">
        <v>4.2269210112784103E-3</v>
      </c>
    </row>
    <row r="5319" spans="1:6" x14ac:dyDescent="0.25">
      <c r="A5319" s="1" t="str">
        <f t="shared" si="200"/>
        <v>15980</v>
      </c>
      <c r="B5319" s="1" t="str">
        <f>"33920"</f>
        <v>33920</v>
      </c>
      <c r="C5319" s="2">
        <v>7.4828874389000401E-3</v>
      </c>
      <c r="D5319" s="2">
        <v>1.7206767995411501E-3</v>
      </c>
      <c r="E5319" s="2">
        <v>8.5352242137745301E-4</v>
      </c>
      <c r="F5319" s="2">
        <v>6.6815189067690401E-3</v>
      </c>
    </row>
    <row r="5320" spans="1:6" x14ac:dyDescent="0.25">
      <c r="A5320" s="1" t="str">
        <f t="shared" si="200"/>
        <v>15980</v>
      </c>
      <c r="B5320" s="1" t="str">
        <f>"33956"</f>
        <v>33956</v>
      </c>
      <c r="C5320" s="2">
        <v>9.2890228121756298E-3</v>
      </c>
      <c r="D5320" s="2">
        <v>5.4488098652136496E-3</v>
      </c>
      <c r="E5320" s="2">
        <v>1.6742170573173099E-3</v>
      </c>
      <c r="F5320" s="2">
        <v>8.5612555447257908E-3</v>
      </c>
    </row>
    <row r="5321" spans="1:6" x14ac:dyDescent="0.25">
      <c r="A5321" s="1" t="str">
        <f t="shared" si="200"/>
        <v>15980</v>
      </c>
      <c r="B5321" s="1" t="str">
        <f>"33945"</f>
        <v>33945</v>
      </c>
      <c r="C5321" s="2">
        <v>0</v>
      </c>
      <c r="D5321" s="2">
        <v>0</v>
      </c>
      <c r="E5321" s="2">
        <v>3.28277854375943E-5</v>
      </c>
      <c r="F5321" s="2">
        <v>1.9891392994251302E-6</v>
      </c>
    </row>
    <row r="5322" spans="1:6" x14ac:dyDescent="0.25">
      <c r="A5322" s="1" t="str">
        <f t="shared" si="200"/>
        <v>15980</v>
      </c>
      <c r="B5322" s="1" t="str">
        <f>"34110"</f>
        <v>34110</v>
      </c>
      <c r="C5322" s="2">
        <v>7.7732408470088999E-4</v>
      </c>
      <c r="D5322" s="2">
        <v>0</v>
      </c>
      <c r="E5322" s="2">
        <v>2.7247061913203302E-3</v>
      </c>
      <c r="F5322" s="2">
        <v>8.4140592365683302E-4</v>
      </c>
    </row>
    <row r="5323" spans="1:6" x14ac:dyDescent="0.25">
      <c r="A5323" s="1" t="str">
        <f t="shared" si="200"/>
        <v>15980</v>
      </c>
      <c r="B5323" s="1" t="str">
        <f>"33910"</f>
        <v>33910</v>
      </c>
      <c r="C5323" s="2">
        <v>2.29539229717557E-3</v>
      </c>
      <c r="D5323" s="2">
        <v>9.6357900774304492E-3</v>
      </c>
      <c r="E5323" s="2">
        <v>6.5655570875188695E-5</v>
      </c>
      <c r="F5323" s="2">
        <v>2.6694249398285302E-3</v>
      </c>
    </row>
    <row r="5324" spans="1:6" x14ac:dyDescent="0.25">
      <c r="A5324" s="1" t="str">
        <f t="shared" si="200"/>
        <v>15980</v>
      </c>
      <c r="B5324" s="1" t="str">
        <f>"33903"</f>
        <v>33903</v>
      </c>
      <c r="C5324" s="2">
        <v>3.5658599261999303E-2</v>
      </c>
      <c r="D5324" s="2">
        <v>3.6478348150272399E-2</v>
      </c>
      <c r="E5324" s="2">
        <v>2.22244107412513E-2</v>
      </c>
      <c r="F5324" s="2">
        <v>3.4901438147713397E-2</v>
      </c>
    </row>
    <row r="5325" spans="1:6" x14ac:dyDescent="0.25">
      <c r="A5325" s="1" t="str">
        <f t="shared" si="200"/>
        <v>15980</v>
      </c>
      <c r="B5325" s="1" t="str">
        <f>"33904"</f>
        <v>33904</v>
      </c>
      <c r="C5325" s="2">
        <v>4.5221971751128201E-2</v>
      </c>
      <c r="D5325" s="2">
        <v>4.4967020361342099E-2</v>
      </c>
      <c r="E5325" s="2">
        <v>7.4289278445275997E-2</v>
      </c>
      <c r="F5325" s="2">
        <v>4.69655679987269E-2</v>
      </c>
    </row>
    <row r="5326" spans="1:6" x14ac:dyDescent="0.25">
      <c r="A5326" s="1" t="str">
        <f t="shared" si="200"/>
        <v>15980</v>
      </c>
      <c r="B5326" s="1" t="str">
        <f>"33971"</f>
        <v>33971</v>
      </c>
      <c r="C5326" s="2">
        <v>1.9590853181770299E-2</v>
      </c>
      <c r="D5326" s="2">
        <v>1.8468597648408299E-2</v>
      </c>
      <c r="E5326" s="2">
        <v>5.05547895738953E-3</v>
      </c>
      <c r="F5326" s="2">
        <v>1.8632267817715199E-2</v>
      </c>
    </row>
    <row r="5327" spans="1:6" x14ac:dyDescent="0.25">
      <c r="A5327" s="1" t="str">
        <f t="shared" si="200"/>
        <v>15980</v>
      </c>
      <c r="B5327" s="1" t="str">
        <f>"33919"</f>
        <v>33919</v>
      </c>
      <c r="C5327" s="2">
        <v>4.5253979213439398E-2</v>
      </c>
      <c r="D5327" s="2">
        <v>4.6917120734155403E-2</v>
      </c>
      <c r="E5327" s="2">
        <v>7.70796402074716E-2</v>
      </c>
      <c r="F5327" s="2">
        <v>4.7297754261730898E-2</v>
      </c>
    </row>
    <row r="5328" spans="1:6" x14ac:dyDescent="0.25">
      <c r="A5328" s="1" t="str">
        <f t="shared" si="200"/>
        <v>15980</v>
      </c>
      <c r="B5328" s="1" t="str">
        <f>"33957"</f>
        <v>33957</v>
      </c>
      <c r="C5328" s="2">
        <v>1.6550144262205101E-2</v>
      </c>
      <c r="D5328" s="2">
        <v>1.45970748494407E-2</v>
      </c>
      <c r="E5328" s="2">
        <v>1.1522552688595601E-2</v>
      </c>
      <c r="F5328" s="2">
        <v>1.61100391860441E-2</v>
      </c>
    </row>
    <row r="5329" spans="1:6" x14ac:dyDescent="0.25">
      <c r="A5329" s="1" t="str">
        <f t="shared" si="200"/>
        <v>15980</v>
      </c>
      <c r="B5329" s="1" t="str">
        <f>"33990"</f>
        <v>33990</v>
      </c>
      <c r="C5329" s="2">
        <v>3.3413504405598503E-2</v>
      </c>
      <c r="D5329" s="2">
        <v>3.8485804416403702E-2</v>
      </c>
      <c r="E5329" s="2">
        <v>3.7489330969732698E-2</v>
      </c>
      <c r="F5329" s="2">
        <v>3.4012292880870397E-2</v>
      </c>
    </row>
    <row r="5330" spans="1:6" x14ac:dyDescent="0.25">
      <c r="A5330" s="1" t="str">
        <f t="shared" si="200"/>
        <v>15980</v>
      </c>
      <c r="B5330" s="1" t="str">
        <f>"33911"</f>
        <v>33911</v>
      </c>
      <c r="C5330" s="2">
        <v>2.3022510390993999E-3</v>
      </c>
      <c r="D5330" s="2">
        <v>2.8677946659019202E-4</v>
      </c>
      <c r="E5330" s="2">
        <v>6.5655570875188695E-5</v>
      </c>
      <c r="F5330" s="2">
        <v>2.0269329461142099E-3</v>
      </c>
    </row>
    <row r="5331" spans="1:6" x14ac:dyDescent="0.25">
      <c r="A5331" s="1" t="str">
        <f t="shared" si="200"/>
        <v>15980</v>
      </c>
      <c r="B5331" s="1" t="str">
        <f>"33913"</f>
        <v>33913</v>
      </c>
      <c r="C5331" s="2">
        <v>3.6463358314395497E-2</v>
      </c>
      <c r="D5331" s="2">
        <v>3.55893318038428E-2</v>
      </c>
      <c r="E5331" s="2">
        <v>4.7140699888385498E-2</v>
      </c>
      <c r="F5331" s="2">
        <v>3.7049708591092599E-2</v>
      </c>
    </row>
    <row r="5332" spans="1:6" x14ac:dyDescent="0.25">
      <c r="A5332" s="1" t="str">
        <f t="shared" si="200"/>
        <v>15980</v>
      </c>
      <c r="B5332" s="1" t="str">
        <f>"33916"</f>
        <v>33916</v>
      </c>
      <c r="C5332" s="2">
        <v>2.9808092400971101E-2</v>
      </c>
      <c r="D5332" s="2">
        <v>3.62202466303412E-2</v>
      </c>
      <c r="E5332" s="2">
        <v>3.6077736195916199E-2</v>
      </c>
      <c r="F5332" s="2">
        <v>3.0632745211147099E-2</v>
      </c>
    </row>
    <row r="5333" spans="1:6" x14ac:dyDescent="0.25">
      <c r="A5333" s="1" t="str">
        <f t="shared" si="200"/>
        <v>15980</v>
      </c>
      <c r="B5333" s="1" t="str">
        <f>"33972"</f>
        <v>33972</v>
      </c>
      <c r="C5333" s="2">
        <v>1.20576683020955E-2</v>
      </c>
      <c r="D5333" s="2">
        <v>4.30169199885288E-4</v>
      </c>
      <c r="E5333" s="2">
        <v>8.20694635939859E-4</v>
      </c>
      <c r="F5333" s="2">
        <v>1.05702862371451E-2</v>
      </c>
    </row>
    <row r="5334" spans="1:6" x14ac:dyDescent="0.25">
      <c r="A5334" s="1" t="str">
        <f t="shared" si="200"/>
        <v>15980</v>
      </c>
      <c r="B5334" s="1" t="str">
        <f>"33901"</f>
        <v>33901</v>
      </c>
      <c r="C5334" s="2">
        <v>2.6774242223329699E-2</v>
      </c>
      <c r="D5334" s="2">
        <v>8.6033839977057602E-2</v>
      </c>
      <c r="E5334" s="2">
        <v>3.9097892456174899E-2</v>
      </c>
      <c r="F5334" s="2">
        <v>3.1631293139458498E-2</v>
      </c>
    </row>
    <row r="5335" spans="1:6" x14ac:dyDescent="0.25">
      <c r="A5335" s="1" t="str">
        <f t="shared" si="200"/>
        <v>15980</v>
      </c>
      <c r="B5335" s="1" t="str">
        <f>"33905"</f>
        <v>33905</v>
      </c>
      <c r="C5335" s="2">
        <v>3.93531749116365E-2</v>
      </c>
      <c r="D5335" s="2">
        <v>3.4384858044164003E-2</v>
      </c>
      <c r="E5335" s="2">
        <v>2.3997111154881401E-2</v>
      </c>
      <c r="F5335" s="2">
        <v>3.80780936088954E-2</v>
      </c>
    </row>
    <row r="5336" spans="1:6" x14ac:dyDescent="0.25">
      <c r="A5336" s="1" t="str">
        <f t="shared" si="200"/>
        <v>15980</v>
      </c>
      <c r="B5336" s="1" t="str">
        <f>"33909"</f>
        <v>33909</v>
      </c>
      <c r="C5336" s="2">
        <v>3.0864338657241201E-2</v>
      </c>
      <c r="D5336" s="2">
        <v>3.8485804416403702E-2</v>
      </c>
      <c r="E5336" s="2">
        <v>2.2749655308252899E-2</v>
      </c>
      <c r="F5336" s="2">
        <v>3.0901279016569499E-2</v>
      </c>
    </row>
    <row r="5337" spans="1:6" x14ac:dyDescent="0.25">
      <c r="A5337" s="1" t="str">
        <f t="shared" si="200"/>
        <v>15980</v>
      </c>
      <c r="B5337" s="1" t="str">
        <f>"33970"</f>
        <v>33970</v>
      </c>
      <c r="C5337" s="2">
        <v>3.3127723492105501E-3</v>
      </c>
      <c r="D5337" s="2">
        <v>4.7318611987381704E-3</v>
      </c>
      <c r="E5337" s="2">
        <v>6.5655570875188695E-5</v>
      </c>
      <c r="F5337" s="2">
        <v>3.2144491078710201E-3</v>
      </c>
    </row>
    <row r="5338" spans="1:6" x14ac:dyDescent="0.25">
      <c r="A5338" s="1" t="str">
        <f t="shared" si="200"/>
        <v>15980</v>
      </c>
      <c r="B5338" s="1" t="str">
        <f>"33976"</f>
        <v>33976</v>
      </c>
      <c r="C5338" s="2">
        <v>1.1847333549764701E-2</v>
      </c>
      <c r="D5338" s="2">
        <v>5.73558933180384E-5</v>
      </c>
      <c r="E5338" s="2">
        <v>1.3131114175037701E-4</v>
      </c>
      <c r="F5338" s="2">
        <v>1.03196546854176E-2</v>
      </c>
    </row>
    <row r="5339" spans="1:6" x14ac:dyDescent="0.25">
      <c r="A5339" s="1" t="str">
        <f t="shared" si="200"/>
        <v>15980</v>
      </c>
      <c r="B5339" s="1" t="str">
        <f>"33991"</f>
        <v>33991</v>
      </c>
      <c r="C5339" s="2">
        <v>2.5503088720113001E-2</v>
      </c>
      <c r="D5339" s="2">
        <v>2.1823917407513601E-2</v>
      </c>
      <c r="E5339" s="2">
        <v>1.3557875385726399E-2</v>
      </c>
      <c r="F5339" s="2">
        <v>2.4524098422612502E-2</v>
      </c>
    </row>
    <row r="5340" spans="1:6" x14ac:dyDescent="0.25">
      <c r="A5340" s="1" t="str">
        <f t="shared" si="200"/>
        <v>15980</v>
      </c>
      <c r="B5340" s="1" t="str">
        <f>"33955"</f>
        <v>33955</v>
      </c>
      <c r="C5340" s="2">
        <v>4.3370111431693696E-3</v>
      </c>
      <c r="D5340" s="2">
        <v>6.30914826498422E-4</v>
      </c>
      <c r="E5340" s="2">
        <v>3.7095397544481602E-3</v>
      </c>
      <c r="F5340" s="2">
        <v>4.0419310564318803E-3</v>
      </c>
    </row>
    <row r="5341" spans="1:6" x14ac:dyDescent="0.25">
      <c r="A5341" s="1" t="str">
        <f t="shared" si="200"/>
        <v>15980</v>
      </c>
      <c r="B5341" s="1" t="str">
        <f>"34119"</f>
        <v>34119</v>
      </c>
      <c r="C5341" s="2">
        <v>4.6410820351259E-4</v>
      </c>
      <c r="D5341" s="2">
        <v>0</v>
      </c>
      <c r="E5341" s="2">
        <v>0</v>
      </c>
      <c r="F5341" s="2">
        <v>4.0379527778330301E-4</v>
      </c>
    </row>
    <row r="5342" spans="1:6" x14ac:dyDescent="0.25">
      <c r="A5342" s="1" t="str">
        <f t="shared" si="200"/>
        <v>15980</v>
      </c>
      <c r="B5342" s="1" t="str">
        <f>"33965"</f>
        <v>33965</v>
      </c>
      <c r="C5342" s="2">
        <v>6.8427381926757704E-3</v>
      </c>
      <c r="D5342" s="2">
        <v>2.86779466590192E-5</v>
      </c>
      <c r="E5342" s="2">
        <v>0</v>
      </c>
      <c r="F5342" s="2">
        <v>5.9554830624788599E-3</v>
      </c>
    </row>
    <row r="5343" spans="1:6" x14ac:dyDescent="0.25">
      <c r="A5343" s="1" t="str">
        <f t="shared" si="200"/>
        <v>15980</v>
      </c>
      <c r="B5343" s="1" t="str">
        <f>"33915"</f>
        <v>33915</v>
      </c>
      <c r="C5343" s="2">
        <v>4.3781635947123601E-3</v>
      </c>
      <c r="D5343" s="2">
        <v>9.9225695440206402E-3</v>
      </c>
      <c r="E5343" s="2">
        <v>6.5655570875188695E-5</v>
      </c>
      <c r="F5343" s="2">
        <v>4.5014222345990803E-3</v>
      </c>
    </row>
    <row r="5344" spans="1:6" x14ac:dyDescent="0.25">
      <c r="A5344" s="1" t="str">
        <f t="shared" si="200"/>
        <v>15980</v>
      </c>
      <c r="B5344" s="1" t="str">
        <f>"33914"</f>
        <v>33914</v>
      </c>
      <c r="C5344" s="2">
        <v>5.20006950191816E-2</v>
      </c>
      <c r="D5344" s="2">
        <v>1.3966160022942299E-2</v>
      </c>
      <c r="E5344" s="2">
        <v>3.2926268793907101E-2</v>
      </c>
      <c r="F5344" s="2">
        <v>4.8206790921568203E-2</v>
      </c>
    </row>
    <row r="5345" spans="1:6" x14ac:dyDescent="0.25">
      <c r="A5345" s="1" t="str">
        <f t="shared" si="200"/>
        <v>15980</v>
      </c>
      <c r="B5345" s="1" t="str">
        <f>"33973"</f>
        <v>33973</v>
      </c>
      <c r="C5345" s="2">
        <v>9.5656587364368294E-3</v>
      </c>
      <c r="D5345" s="2">
        <v>1.2044737596788001E-3</v>
      </c>
      <c r="E5345" s="2">
        <v>8.8635020681504799E-4</v>
      </c>
      <c r="F5345" s="2">
        <v>8.4598094404551103E-3</v>
      </c>
    </row>
    <row r="5346" spans="1:6" x14ac:dyDescent="0.25">
      <c r="A5346" s="1" t="str">
        <f t="shared" si="200"/>
        <v>15980</v>
      </c>
      <c r="B5346" s="1" t="str">
        <f>"33936"</f>
        <v>33936</v>
      </c>
      <c r="C5346" s="2">
        <v>2.5281322731242398E-2</v>
      </c>
      <c r="D5346" s="2">
        <v>1.53713794092342E-2</v>
      </c>
      <c r="E5346" s="2">
        <v>1.10301359070317E-2</v>
      </c>
      <c r="F5346" s="2">
        <v>2.3730431842141901E-2</v>
      </c>
    </row>
    <row r="5347" spans="1:6" x14ac:dyDescent="0.25">
      <c r="A5347" s="1" t="str">
        <f t="shared" ref="A5347:A5365" si="201">"15980"</f>
        <v>15980</v>
      </c>
      <c r="B5347" s="1" t="str">
        <f>"33928"</f>
        <v>33928</v>
      </c>
      <c r="C5347" s="2">
        <v>4.5308849148830099E-2</v>
      </c>
      <c r="D5347" s="2">
        <v>3.1746486951534203E-2</v>
      </c>
      <c r="E5347" s="2">
        <v>4.9438644869017098E-2</v>
      </c>
      <c r="F5347" s="2">
        <v>4.4618383625405197E-2</v>
      </c>
    </row>
    <row r="5348" spans="1:6" x14ac:dyDescent="0.25">
      <c r="A5348" s="1" t="str">
        <f t="shared" si="201"/>
        <v>15980</v>
      </c>
      <c r="B5348" s="1" t="str">
        <f>"33907"</f>
        <v>33907</v>
      </c>
      <c r="C5348" s="2">
        <v>3.21492096443056E-2</v>
      </c>
      <c r="D5348" s="2">
        <v>8.1732147978204703E-2</v>
      </c>
      <c r="E5348" s="2">
        <v>7.3402928238460993E-2</v>
      </c>
      <c r="F5348" s="2">
        <v>3.80880393053925E-2</v>
      </c>
    </row>
    <row r="5349" spans="1:6" x14ac:dyDescent="0.25">
      <c r="A5349" s="1" t="str">
        <f t="shared" si="201"/>
        <v>15980</v>
      </c>
      <c r="B5349" s="1" t="str">
        <f>"33908"</f>
        <v>33908</v>
      </c>
      <c r="C5349" s="2">
        <v>6.7949556239397496E-2</v>
      </c>
      <c r="D5349" s="2">
        <v>5.5921995985087403E-2</v>
      </c>
      <c r="E5349" s="2">
        <v>0.10173330707110401</v>
      </c>
      <c r="F5349" s="2">
        <v>6.9162373441012004E-2</v>
      </c>
    </row>
    <row r="5350" spans="1:6" x14ac:dyDescent="0.25">
      <c r="A5350" s="1" t="str">
        <f t="shared" si="201"/>
        <v>15980</v>
      </c>
      <c r="B5350" s="1" t="str">
        <f>"33931"</f>
        <v>33931</v>
      </c>
      <c r="C5350" s="2">
        <v>2.89576084024161E-2</v>
      </c>
      <c r="D5350" s="2">
        <v>2.0504731861198701E-2</v>
      </c>
      <c r="E5350" s="2">
        <v>2.6754645131639401E-2</v>
      </c>
      <c r="F5350" s="2">
        <v>2.8237821494639201E-2</v>
      </c>
    </row>
    <row r="5351" spans="1:6" x14ac:dyDescent="0.25">
      <c r="A5351" s="1" t="str">
        <f t="shared" si="201"/>
        <v>15980</v>
      </c>
      <c r="B5351" s="1" t="str">
        <f>"33966"</f>
        <v>33966</v>
      </c>
      <c r="C5351" s="2">
        <v>1.6746761530688201E-2</v>
      </c>
      <c r="D5351" s="2">
        <v>3.8600516203039802E-2</v>
      </c>
      <c r="E5351" s="2">
        <v>2.8330378832643902E-2</v>
      </c>
      <c r="F5351" s="2">
        <v>1.8964454080719201E-2</v>
      </c>
    </row>
    <row r="5352" spans="1:6" x14ac:dyDescent="0.25">
      <c r="A5352" s="1" t="str">
        <f t="shared" si="201"/>
        <v>15980</v>
      </c>
      <c r="B5352" s="1" t="str">
        <f>"33974"</f>
        <v>33974</v>
      </c>
      <c r="C5352" s="2">
        <v>1.2805271171793101E-2</v>
      </c>
      <c r="D5352" s="2">
        <v>3.4413535990822998E-4</v>
      </c>
      <c r="E5352" s="2">
        <v>1.3459392029413601E-3</v>
      </c>
      <c r="F5352" s="2">
        <v>1.12465935989497E-2</v>
      </c>
    </row>
    <row r="5353" spans="1:6" x14ac:dyDescent="0.25">
      <c r="A5353" s="1" t="str">
        <f t="shared" si="201"/>
        <v>15980</v>
      </c>
      <c r="B5353" s="1" t="str">
        <f>"33967"</f>
        <v>33967</v>
      </c>
      <c r="C5353" s="2">
        <v>2.67353760190947E-2</v>
      </c>
      <c r="D5353" s="2">
        <v>1.3679380556352099E-2</v>
      </c>
      <c r="E5353" s="2">
        <v>1.29013196769745E-2</v>
      </c>
      <c r="F5353" s="2">
        <v>2.4991546157977398E-2</v>
      </c>
    </row>
    <row r="5354" spans="1:6" x14ac:dyDescent="0.25">
      <c r="A5354" s="1" t="str">
        <f t="shared" si="201"/>
        <v>15980</v>
      </c>
      <c r="B5354" s="1" t="str">
        <f>"33929"</f>
        <v>33929</v>
      </c>
      <c r="C5354" s="2">
        <v>1.8129941151994199E-3</v>
      </c>
      <c r="D5354" s="2">
        <v>1.17292801835388E-2</v>
      </c>
      <c r="E5354" s="2">
        <v>6.5655570875188695E-5</v>
      </c>
      <c r="F5354" s="2">
        <v>2.3949237165078602E-3</v>
      </c>
    </row>
    <row r="5355" spans="1:6" x14ac:dyDescent="0.25">
      <c r="A5355" s="1" t="str">
        <f t="shared" si="201"/>
        <v>15980</v>
      </c>
      <c r="B5355" s="1" t="str">
        <f>"34133"</f>
        <v>34133</v>
      </c>
      <c r="C5355" s="2">
        <v>5.3246699802010902E-3</v>
      </c>
      <c r="D5355" s="2">
        <v>7.8577573845712602E-3</v>
      </c>
      <c r="E5355" s="2">
        <v>6.5655570875188695E-5</v>
      </c>
      <c r="F5355" s="2">
        <v>5.18170787500248E-3</v>
      </c>
    </row>
    <row r="5356" spans="1:6" x14ac:dyDescent="0.25">
      <c r="A5356" s="1" t="str">
        <f t="shared" si="201"/>
        <v>15980</v>
      </c>
      <c r="B5356" s="1" t="str">
        <f>"33921"</f>
        <v>33921</v>
      </c>
      <c r="C5356" s="2">
        <v>4.04665773506051E-4</v>
      </c>
      <c r="D5356" s="2">
        <v>8.6033839977057603E-5</v>
      </c>
      <c r="E5356" s="2">
        <v>1.9040115553804701E-3</v>
      </c>
      <c r="F5356" s="2">
        <v>4.7341515326318299E-4</v>
      </c>
    </row>
    <row r="5357" spans="1:6" x14ac:dyDescent="0.25">
      <c r="A5357" s="1" t="str">
        <f t="shared" si="201"/>
        <v>15980</v>
      </c>
      <c r="B5357" s="1" t="str">
        <f>"34134"</f>
        <v>34134</v>
      </c>
      <c r="C5357" s="2">
        <v>3.1390175538068298E-2</v>
      </c>
      <c r="D5357" s="2">
        <v>3.8973329509607101E-2</v>
      </c>
      <c r="E5357" s="2">
        <v>6.3324798109119507E-2</v>
      </c>
      <c r="F5357" s="2">
        <v>3.3851172597617003E-2</v>
      </c>
    </row>
    <row r="5358" spans="1:6" x14ac:dyDescent="0.25">
      <c r="A5358" s="1" t="str">
        <f t="shared" si="201"/>
        <v>15980</v>
      </c>
      <c r="B5358" s="1" t="str">
        <f>"33912"</f>
        <v>33912</v>
      </c>
      <c r="C5358" s="2">
        <v>2.8276306704648799E-2</v>
      </c>
      <c r="D5358" s="2">
        <v>5.21651849727559E-2</v>
      </c>
      <c r="E5358" s="2">
        <v>4.7698772240824597E-2</v>
      </c>
      <c r="F5358" s="2">
        <v>3.11101386430091E-2</v>
      </c>
    </row>
    <row r="5359" spans="1:6" x14ac:dyDescent="0.25">
      <c r="A5359" s="1" t="str">
        <f t="shared" si="201"/>
        <v>15980</v>
      </c>
      <c r="B5359" s="1" t="str">
        <f>"33917"</f>
        <v>33917</v>
      </c>
      <c r="C5359" s="2">
        <v>4.3052323055889602E-2</v>
      </c>
      <c r="D5359" s="2">
        <v>1.0123315170633701E-2</v>
      </c>
      <c r="E5359" s="2">
        <v>1.90072877683671E-2</v>
      </c>
      <c r="F5359" s="2">
        <v>3.9311359974539002E-2</v>
      </c>
    </row>
    <row r="5360" spans="1:6" x14ac:dyDescent="0.25">
      <c r="A5360" s="1" t="str">
        <f t="shared" si="201"/>
        <v>15980</v>
      </c>
      <c r="B5360" s="1" t="str">
        <f>"33922"</f>
        <v>33922</v>
      </c>
      <c r="C5360" s="2">
        <v>6.3511950214678601E-3</v>
      </c>
      <c r="D5360" s="2">
        <v>3.5560653857183802E-3</v>
      </c>
      <c r="E5360" s="2">
        <v>4.4317510340752403E-3</v>
      </c>
      <c r="F5360" s="2">
        <v>6.0410160523541399E-3</v>
      </c>
    </row>
    <row r="5361" spans="1:6" x14ac:dyDescent="0.25">
      <c r="A5361" s="1" t="str">
        <f t="shared" si="201"/>
        <v>15980</v>
      </c>
      <c r="B5361" s="1" t="str">
        <f>"33994"</f>
        <v>33994</v>
      </c>
      <c r="C5361" s="2">
        <v>2.94697277993955E-3</v>
      </c>
      <c r="D5361" s="2">
        <v>5.9363349584169696E-3</v>
      </c>
      <c r="E5361" s="2">
        <v>6.5655570875188695E-5</v>
      </c>
      <c r="F5361" s="2">
        <v>2.97973067053885E-3</v>
      </c>
    </row>
    <row r="5362" spans="1:6" x14ac:dyDescent="0.25">
      <c r="A5362" s="1" t="str">
        <f t="shared" si="201"/>
        <v>15980</v>
      </c>
      <c r="B5362" s="1" t="str">
        <f>"33924"</f>
        <v>33924</v>
      </c>
      <c r="C5362" s="2">
        <v>1.2345735462896399E-4</v>
      </c>
      <c r="D5362" s="2">
        <v>0</v>
      </c>
      <c r="E5362" s="2">
        <v>7.22211279627076E-4</v>
      </c>
      <c r="F5362" s="2">
        <v>1.5117458675631E-4</v>
      </c>
    </row>
    <row r="5363" spans="1:6" x14ac:dyDescent="0.25">
      <c r="A5363" s="1" t="str">
        <f t="shared" si="201"/>
        <v>15980</v>
      </c>
      <c r="B5363" s="1" t="str">
        <f>"33932"</f>
        <v>33932</v>
      </c>
      <c r="C5363" s="2">
        <v>3.5779770369320299E-3</v>
      </c>
      <c r="D5363" s="2">
        <v>2.4089475193576101E-3</v>
      </c>
      <c r="E5363" s="2">
        <v>6.5655570875188695E-5</v>
      </c>
      <c r="F5363" s="2">
        <v>3.2840689833509001E-3</v>
      </c>
    </row>
    <row r="5364" spans="1:6" x14ac:dyDescent="0.25">
      <c r="A5364" s="1" t="str">
        <f t="shared" si="201"/>
        <v>15980</v>
      </c>
      <c r="B5364" s="1" t="str">
        <f>"34136"</f>
        <v>34136</v>
      </c>
      <c r="C5364" s="2">
        <v>3.1893149945815902E-3</v>
      </c>
      <c r="D5364" s="2">
        <v>6.0223687983940299E-3</v>
      </c>
      <c r="E5364" s="2">
        <v>6.5655570875188695E-5</v>
      </c>
      <c r="F5364" s="2">
        <v>3.19654685417619E-3</v>
      </c>
    </row>
    <row r="5365" spans="1:6" x14ac:dyDescent="0.25">
      <c r="A5365" s="1" t="str">
        <f t="shared" si="201"/>
        <v>15980</v>
      </c>
      <c r="B5365" s="1" t="str">
        <f>"33902"</f>
        <v>33902</v>
      </c>
      <c r="C5365" s="2">
        <v>4.3232936593217098E-3</v>
      </c>
      <c r="D5365" s="2">
        <v>1.57155147691425E-2</v>
      </c>
      <c r="E5365" s="2">
        <v>6.5655570875188695E-5</v>
      </c>
      <c r="F5365" s="2">
        <v>4.8554890298967597E-3</v>
      </c>
    </row>
    <row r="5366" spans="1:6" x14ac:dyDescent="0.25">
      <c r="A5366" s="1" t="str">
        <f t="shared" ref="A5366:A5403" si="202">"16020"</f>
        <v>16020</v>
      </c>
      <c r="B5366" s="1" t="str">
        <f>"63752"</f>
        <v>63752</v>
      </c>
      <c r="C5366" s="2">
        <v>0</v>
      </c>
      <c r="D5366" s="2">
        <v>0</v>
      </c>
      <c r="E5366" s="2">
        <v>7.4682598954443598E-4</v>
      </c>
      <c r="F5366" s="2">
        <v>1.9118265590945499E-5</v>
      </c>
    </row>
    <row r="5367" spans="1:6" x14ac:dyDescent="0.25">
      <c r="A5367" s="1" t="str">
        <f t="shared" si="202"/>
        <v>16020</v>
      </c>
      <c r="B5367" s="1" t="str">
        <f>"62914"</f>
        <v>62914</v>
      </c>
      <c r="C5367" s="2">
        <v>4.0742095861222898E-2</v>
      </c>
      <c r="D5367" s="2">
        <v>6.6607460035523897E-2</v>
      </c>
      <c r="E5367" s="2">
        <v>2.7632561613144101E-2</v>
      </c>
      <c r="F5367" s="2">
        <v>4.2633732267808602E-2</v>
      </c>
    </row>
    <row r="5368" spans="1:6" x14ac:dyDescent="0.25">
      <c r="A5368" s="1" t="str">
        <f t="shared" si="202"/>
        <v>16020</v>
      </c>
      <c r="B5368" s="1" t="str">
        <f>"63751"</f>
        <v>63751</v>
      </c>
      <c r="C5368" s="2">
        <v>2.3179734412327999E-2</v>
      </c>
      <c r="D5368" s="2">
        <v>4.2184724689165098E-3</v>
      </c>
      <c r="E5368" s="2">
        <v>2.2404779686333001E-3</v>
      </c>
      <c r="F5368" s="2">
        <v>2.10109738844492E-2</v>
      </c>
    </row>
    <row r="5369" spans="1:6" x14ac:dyDescent="0.25">
      <c r="A5369" s="1" t="str">
        <f t="shared" si="202"/>
        <v>16020</v>
      </c>
      <c r="B5369" s="1" t="str">
        <f>"63785"</f>
        <v>63785</v>
      </c>
      <c r="C5369" s="2">
        <v>1.08042958913544E-2</v>
      </c>
      <c r="D5369" s="2">
        <v>6.6607460035523905E-4</v>
      </c>
      <c r="E5369" s="2">
        <v>7.4682598954443598E-4</v>
      </c>
      <c r="F5369" s="2">
        <v>9.67384238901846E-3</v>
      </c>
    </row>
    <row r="5370" spans="1:6" x14ac:dyDescent="0.25">
      <c r="A5370" s="1" t="str">
        <f t="shared" si="202"/>
        <v>16020</v>
      </c>
      <c r="B5370" s="1" t="str">
        <f>"62969"</f>
        <v>62969</v>
      </c>
      <c r="C5370" s="2">
        <v>4.2829778533456696E-3</v>
      </c>
      <c r="D5370" s="2">
        <v>2.6642984014209501E-3</v>
      </c>
      <c r="E5370" s="2">
        <v>7.4682598954443598E-4</v>
      </c>
      <c r="F5370" s="2">
        <v>4.0530723052804602E-3</v>
      </c>
    </row>
    <row r="5371" spans="1:6" x14ac:dyDescent="0.25">
      <c r="A5371" s="1" t="str">
        <f t="shared" si="202"/>
        <v>16020</v>
      </c>
      <c r="B5371" s="1" t="str">
        <f>"62988"</f>
        <v>62988</v>
      </c>
      <c r="C5371" s="2">
        <v>1.4979661235822001E-2</v>
      </c>
      <c r="D5371" s="2">
        <v>4.6625222024866703E-3</v>
      </c>
      <c r="E5371" s="2">
        <v>4.4809559372666098E-3</v>
      </c>
      <c r="F5371" s="2">
        <v>1.38225060222536E-2</v>
      </c>
    </row>
    <row r="5372" spans="1:6" x14ac:dyDescent="0.25">
      <c r="A5372" s="1" t="str">
        <f t="shared" si="202"/>
        <v>16020</v>
      </c>
      <c r="B5372" s="1" t="str">
        <f>"63730"</f>
        <v>63730</v>
      </c>
      <c r="C5372" s="2">
        <v>2.5181327077459402E-3</v>
      </c>
      <c r="D5372" s="2">
        <v>2.2202486678507899E-4</v>
      </c>
      <c r="E5372" s="2">
        <v>0</v>
      </c>
      <c r="F5372" s="2">
        <v>2.2559553397315702E-3</v>
      </c>
    </row>
    <row r="5373" spans="1:6" x14ac:dyDescent="0.25">
      <c r="A5373" s="1" t="str">
        <f t="shared" si="202"/>
        <v>16020</v>
      </c>
      <c r="B5373" s="1" t="str">
        <f>"63764"</f>
        <v>63764</v>
      </c>
      <c r="C5373" s="2">
        <v>5.50115145384499E-2</v>
      </c>
      <c r="D5373" s="2">
        <v>2.8419182948490201E-2</v>
      </c>
      <c r="E5373" s="2">
        <v>1.4936519790888701E-2</v>
      </c>
      <c r="F5373" s="2">
        <v>5.1695790157916803E-2</v>
      </c>
    </row>
    <row r="5374" spans="1:6" x14ac:dyDescent="0.25">
      <c r="A5374" s="1" t="str">
        <f t="shared" si="202"/>
        <v>16020</v>
      </c>
      <c r="B5374" s="1" t="str">
        <f>"63745"</f>
        <v>63745</v>
      </c>
      <c r="C5374" s="2">
        <v>2.15225017756063E-5</v>
      </c>
      <c r="D5374" s="2">
        <v>0</v>
      </c>
      <c r="E5374" s="2">
        <v>7.4682598954443598E-4</v>
      </c>
      <c r="F5374" s="2">
        <v>3.82365311818911E-5</v>
      </c>
    </row>
    <row r="5375" spans="1:6" x14ac:dyDescent="0.25">
      <c r="A5375" s="1" t="str">
        <f t="shared" si="202"/>
        <v>16020</v>
      </c>
      <c r="B5375" s="1" t="str">
        <f>"63662"</f>
        <v>63662</v>
      </c>
      <c r="C5375" s="2">
        <v>1.1944988485461499E-2</v>
      </c>
      <c r="D5375" s="2">
        <v>4.6625222024866703E-3</v>
      </c>
      <c r="E5375" s="2">
        <v>7.4682598954443598E-4</v>
      </c>
      <c r="F5375" s="2">
        <v>1.1031239245975599E-2</v>
      </c>
    </row>
    <row r="5376" spans="1:6" x14ac:dyDescent="0.25">
      <c r="A5376" s="1" t="str">
        <f t="shared" si="202"/>
        <v>16020</v>
      </c>
      <c r="B5376" s="1" t="str">
        <f>"62957"</f>
        <v>62957</v>
      </c>
      <c r="C5376" s="2">
        <v>9.94339582033015E-3</v>
      </c>
      <c r="D5376" s="2">
        <v>5.3285968028419098E-3</v>
      </c>
      <c r="E5376" s="2">
        <v>2.2404779686333001E-3</v>
      </c>
      <c r="F5376" s="2">
        <v>9.3488318739723894E-3</v>
      </c>
    </row>
    <row r="5377" spans="1:6" x14ac:dyDescent="0.25">
      <c r="A5377" s="1" t="str">
        <f t="shared" si="202"/>
        <v>16020</v>
      </c>
      <c r="B5377" s="1" t="str">
        <f>"63701"</f>
        <v>63701</v>
      </c>
      <c r="C5377" s="2">
        <v>0.36495706260895699</v>
      </c>
      <c r="D5377" s="2">
        <v>0.30106571936056797</v>
      </c>
      <c r="E5377" s="2">
        <v>0.465272591486183</v>
      </c>
      <c r="F5377" s="2">
        <v>0.362023477230145</v>
      </c>
    </row>
    <row r="5378" spans="1:6" x14ac:dyDescent="0.25">
      <c r="A5378" s="1" t="str">
        <f t="shared" si="202"/>
        <v>16020</v>
      </c>
      <c r="B5378" s="1" t="str">
        <f>"63732"</f>
        <v>63732</v>
      </c>
      <c r="C5378" s="2">
        <v>4.1107978391408204E-3</v>
      </c>
      <c r="D5378" s="2">
        <v>4.4404973357015901E-4</v>
      </c>
      <c r="E5378" s="2">
        <v>0</v>
      </c>
      <c r="F5378" s="2">
        <v>3.6898252590524898E-3</v>
      </c>
    </row>
    <row r="5379" spans="1:6" x14ac:dyDescent="0.25">
      <c r="A5379" s="1" t="str">
        <f t="shared" si="202"/>
        <v>16020</v>
      </c>
      <c r="B5379" s="1" t="str">
        <f>"63766"</f>
        <v>63766</v>
      </c>
      <c r="C5379" s="2">
        <v>1.2160213503217601E-2</v>
      </c>
      <c r="D5379" s="2">
        <v>4.2184724689165098E-3</v>
      </c>
      <c r="E5379" s="2">
        <v>7.4682598954443598E-4</v>
      </c>
      <c r="F5379" s="2">
        <v>1.1184185370703099E-2</v>
      </c>
    </row>
    <row r="5380" spans="1:6" x14ac:dyDescent="0.25">
      <c r="A5380" s="1" t="str">
        <f t="shared" si="202"/>
        <v>16020</v>
      </c>
      <c r="B5380" s="1" t="str">
        <f>"62962"</f>
        <v>62962</v>
      </c>
      <c r="C5380" s="2">
        <v>8.3937756924864896E-4</v>
      </c>
      <c r="D5380" s="2">
        <v>0</v>
      </c>
      <c r="E5380" s="2">
        <v>7.4682598954443598E-4</v>
      </c>
      <c r="F5380" s="2">
        <v>7.6473062363782295E-4</v>
      </c>
    </row>
    <row r="5381" spans="1:6" x14ac:dyDescent="0.25">
      <c r="A5381" s="1" t="str">
        <f t="shared" si="202"/>
        <v>16020</v>
      </c>
      <c r="B5381" s="1" t="str">
        <f>"62990"</f>
        <v>62990</v>
      </c>
      <c r="C5381" s="2">
        <v>1.0696683382476301E-2</v>
      </c>
      <c r="D5381" s="2">
        <v>1.3321492007104701E-3</v>
      </c>
      <c r="E5381" s="2">
        <v>1.49365197908887E-3</v>
      </c>
      <c r="F5381" s="2">
        <v>9.6547241234275199E-3</v>
      </c>
    </row>
    <row r="5382" spans="1:6" x14ac:dyDescent="0.25">
      <c r="A5382" s="1" t="str">
        <f t="shared" si="202"/>
        <v>16020</v>
      </c>
      <c r="B5382" s="1" t="str">
        <f>"63750"</f>
        <v>63750</v>
      </c>
      <c r="C5382" s="2">
        <v>2.1307276757850302E-3</v>
      </c>
      <c r="D5382" s="2">
        <v>0</v>
      </c>
      <c r="E5382" s="2">
        <v>7.4682598954443598E-4</v>
      </c>
      <c r="F5382" s="2">
        <v>1.9118265590945501E-3</v>
      </c>
    </row>
    <row r="5383" spans="1:6" x14ac:dyDescent="0.25">
      <c r="A5383" s="1" t="str">
        <f t="shared" si="202"/>
        <v>16020</v>
      </c>
      <c r="B5383" s="1" t="str">
        <f>"63747"</f>
        <v>63747</v>
      </c>
      <c r="C5383" s="2">
        <v>4.4336353657749104E-3</v>
      </c>
      <c r="D5383" s="2">
        <v>6.6607460035523905E-4</v>
      </c>
      <c r="E5383" s="2">
        <v>7.4682598954443598E-4</v>
      </c>
      <c r="F5383" s="2">
        <v>4.0148357740985704E-3</v>
      </c>
    </row>
    <row r="5384" spans="1:6" x14ac:dyDescent="0.25">
      <c r="A5384" s="1" t="str">
        <f t="shared" si="202"/>
        <v>16020</v>
      </c>
      <c r="B5384" s="1" t="str">
        <f>"63703"</f>
        <v>63703</v>
      </c>
      <c r="C5384" s="2">
        <v>9.1556722553429601E-2</v>
      </c>
      <c r="D5384" s="2">
        <v>0.275976909413854</v>
      </c>
      <c r="E5384" s="2">
        <v>0.28080657206870702</v>
      </c>
      <c r="F5384" s="2">
        <v>0.112281573815623</v>
      </c>
    </row>
    <row r="5385" spans="1:6" x14ac:dyDescent="0.25">
      <c r="A5385" s="1" t="str">
        <f t="shared" si="202"/>
        <v>16020</v>
      </c>
      <c r="B5385" s="1" t="str">
        <f>"62992"</f>
        <v>62992</v>
      </c>
      <c r="C5385" s="2">
        <v>4.0892753373652097E-4</v>
      </c>
      <c r="D5385" s="2">
        <v>0</v>
      </c>
      <c r="E5385" s="2">
        <v>0</v>
      </c>
      <c r="F5385" s="2">
        <v>3.6324704622796598E-4</v>
      </c>
    </row>
    <row r="5386" spans="1:6" x14ac:dyDescent="0.25">
      <c r="A5386" s="1" t="str">
        <f t="shared" si="202"/>
        <v>16020</v>
      </c>
      <c r="B5386" s="1" t="str">
        <f>"63775"</f>
        <v>63775</v>
      </c>
      <c r="C5386" s="2">
        <v>1.14069259410713E-3</v>
      </c>
      <c r="D5386" s="2">
        <v>4.4404973357015901E-4</v>
      </c>
      <c r="E5386" s="2">
        <v>0</v>
      </c>
      <c r="F5386" s="2">
        <v>1.0515046075020001E-3</v>
      </c>
    </row>
    <row r="5387" spans="1:6" x14ac:dyDescent="0.25">
      <c r="A5387" s="1" t="str">
        <f t="shared" si="202"/>
        <v>16020</v>
      </c>
      <c r="B5387" s="1" t="str">
        <f>"63780"</f>
        <v>63780</v>
      </c>
      <c r="C5387" s="2">
        <v>0</v>
      </c>
      <c r="D5387" s="2">
        <v>5.3285968028419098E-3</v>
      </c>
      <c r="E5387" s="2">
        <v>7.4682598954443598E-4</v>
      </c>
      <c r="F5387" s="2">
        <v>4.7795663977363899E-4</v>
      </c>
    </row>
    <row r="5388" spans="1:6" x14ac:dyDescent="0.25">
      <c r="A5388" s="1" t="str">
        <f t="shared" si="202"/>
        <v>16020</v>
      </c>
      <c r="B5388" s="1" t="str">
        <f>"63782"</f>
        <v>63782</v>
      </c>
      <c r="C5388" s="2">
        <v>1.9585476615801801E-3</v>
      </c>
      <c r="D5388" s="2">
        <v>2.2202486678507899E-4</v>
      </c>
      <c r="E5388" s="2">
        <v>7.4682598954443598E-4</v>
      </c>
      <c r="F5388" s="2">
        <v>1.77799869995793E-3</v>
      </c>
    </row>
    <row r="5389" spans="1:6" x14ac:dyDescent="0.25">
      <c r="A5389" s="1" t="str">
        <f t="shared" si="202"/>
        <v>16020</v>
      </c>
      <c r="B5389" s="1" t="str">
        <f>"63755"</f>
        <v>63755</v>
      </c>
      <c r="C5389" s="2">
        <v>0.247788562942556</v>
      </c>
      <c r="D5389" s="2">
        <v>0.17562166962699799</v>
      </c>
      <c r="E5389" s="2">
        <v>0.18297236743838599</v>
      </c>
      <c r="F5389" s="2">
        <v>0.23991511490077599</v>
      </c>
    </row>
    <row r="5390" spans="1:6" x14ac:dyDescent="0.25">
      <c r="A5390" s="1" t="str">
        <f t="shared" si="202"/>
        <v>16020</v>
      </c>
      <c r="B5390" s="1" t="str">
        <f>"63769"</f>
        <v>63769</v>
      </c>
      <c r="C5390" s="2">
        <v>1.40326711576953E-2</v>
      </c>
      <c r="D5390" s="2">
        <v>4.4404973357015896E-3</v>
      </c>
      <c r="E5390" s="2">
        <v>7.4682598954443598E-4</v>
      </c>
      <c r="F5390" s="2">
        <v>1.2866592742706301E-2</v>
      </c>
    </row>
    <row r="5391" spans="1:6" x14ac:dyDescent="0.25">
      <c r="A5391" s="1" t="str">
        <f t="shared" si="202"/>
        <v>16020</v>
      </c>
      <c r="B5391" s="1" t="str">
        <f>"63744"</f>
        <v>63744</v>
      </c>
      <c r="C5391" s="2">
        <v>2.15225017756063E-5</v>
      </c>
      <c r="D5391" s="2">
        <v>0</v>
      </c>
      <c r="E5391" s="2">
        <v>7.4682598954443598E-4</v>
      </c>
      <c r="F5391" s="2">
        <v>3.82365311818911E-5</v>
      </c>
    </row>
    <row r="5392" spans="1:6" x14ac:dyDescent="0.25">
      <c r="A5392" s="1" t="str">
        <f t="shared" si="202"/>
        <v>16020</v>
      </c>
      <c r="B5392" s="1" t="str">
        <f>"63743"</f>
        <v>63743</v>
      </c>
      <c r="C5392" s="2">
        <v>1.1191700923315301E-3</v>
      </c>
      <c r="D5392" s="2">
        <v>2.2202486678507899E-4</v>
      </c>
      <c r="E5392" s="2">
        <v>7.4682598954443598E-4</v>
      </c>
      <c r="F5392" s="2">
        <v>1.0323863419110599E-3</v>
      </c>
    </row>
    <row r="5393" spans="1:6" x14ac:dyDescent="0.25">
      <c r="A5393" s="1" t="str">
        <f t="shared" si="202"/>
        <v>16020</v>
      </c>
      <c r="B5393" s="1" t="str">
        <f>"63771"</f>
        <v>63771</v>
      </c>
      <c r="C5393" s="2">
        <v>3.6588253018530797E-4</v>
      </c>
      <c r="D5393" s="2">
        <v>0</v>
      </c>
      <c r="E5393" s="2">
        <v>0</v>
      </c>
      <c r="F5393" s="2">
        <v>3.25010515046075E-4</v>
      </c>
    </row>
    <row r="5394" spans="1:6" x14ac:dyDescent="0.25">
      <c r="A5394" s="1" t="str">
        <f t="shared" si="202"/>
        <v>16020</v>
      </c>
      <c r="B5394" s="1" t="str">
        <f>"63781"</f>
        <v>63781</v>
      </c>
      <c r="C5394" s="2">
        <v>1.18588984783591E-2</v>
      </c>
      <c r="D5394" s="2">
        <v>2.88632326820603E-3</v>
      </c>
      <c r="E5394" s="2">
        <v>7.4682598954443598E-4</v>
      </c>
      <c r="F5394" s="2">
        <v>1.08018200588842E-2</v>
      </c>
    </row>
    <row r="5395" spans="1:6" x14ac:dyDescent="0.25">
      <c r="A5395" s="1" t="str">
        <f t="shared" si="202"/>
        <v>16020</v>
      </c>
      <c r="B5395" s="1" t="str">
        <f>"63739"</f>
        <v>63739</v>
      </c>
      <c r="C5395" s="2">
        <v>5.6604179669844804E-3</v>
      </c>
      <c r="D5395" s="2">
        <v>1.3321492007104701E-3</v>
      </c>
      <c r="E5395" s="2">
        <v>7.4682598954443598E-4</v>
      </c>
      <c r="F5395" s="2">
        <v>5.1619317095552997E-3</v>
      </c>
    </row>
    <row r="5396" spans="1:6" x14ac:dyDescent="0.25">
      <c r="A5396" s="1" t="str">
        <f t="shared" si="202"/>
        <v>16020</v>
      </c>
      <c r="B5396" s="1" t="str">
        <f>"62993"</f>
        <v>62993</v>
      </c>
      <c r="C5396" s="2">
        <v>0</v>
      </c>
      <c r="D5396" s="2">
        <v>0</v>
      </c>
      <c r="E5396" s="2">
        <v>7.4682598954443598E-4</v>
      </c>
      <c r="F5396" s="2">
        <v>1.9118265590945499E-5</v>
      </c>
    </row>
    <row r="5397" spans="1:6" x14ac:dyDescent="0.25">
      <c r="A5397" s="1" t="str">
        <f t="shared" si="202"/>
        <v>16020</v>
      </c>
      <c r="B5397" s="1" t="str">
        <f>"63779"</f>
        <v>63779</v>
      </c>
      <c r="C5397" s="2">
        <v>0</v>
      </c>
      <c r="D5397" s="2">
        <v>0</v>
      </c>
      <c r="E5397" s="2">
        <v>7.4682598954443598E-4</v>
      </c>
      <c r="F5397" s="2">
        <v>1.9118265590945499E-5</v>
      </c>
    </row>
    <row r="5398" spans="1:6" x14ac:dyDescent="0.25">
      <c r="A5398" s="1" t="str">
        <f t="shared" si="202"/>
        <v>16020</v>
      </c>
      <c r="B5398" s="1" t="str">
        <f>"63760"</f>
        <v>63760</v>
      </c>
      <c r="C5398" s="2">
        <v>4.9071304048382497E-3</v>
      </c>
      <c r="D5398" s="2">
        <v>2.2202486678507899E-4</v>
      </c>
      <c r="E5398" s="2">
        <v>7.4682598954443598E-4</v>
      </c>
      <c r="F5398" s="2">
        <v>4.3972010859174796E-3</v>
      </c>
    </row>
    <row r="5399" spans="1:6" x14ac:dyDescent="0.25">
      <c r="A5399" s="1" t="str">
        <f t="shared" si="202"/>
        <v>16020</v>
      </c>
      <c r="B5399" s="1" t="str">
        <f>"63770"</f>
        <v>63770</v>
      </c>
      <c r="C5399" s="2">
        <v>3.0131502485848899E-4</v>
      </c>
      <c r="D5399" s="2">
        <v>0</v>
      </c>
      <c r="E5399" s="2">
        <v>7.4682598954443598E-4</v>
      </c>
      <c r="F5399" s="2">
        <v>2.8677398386418298E-4</v>
      </c>
    </row>
    <row r="5400" spans="1:6" x14ac:dyDescent="0.25">
      <c r="A5400" s="1" t="str">
        <f t="shared" si="202"/>
        <v>16020</v>
      </c>
      <c r="B5400" s="1" t="str">
        <f>"62952"</f>
        <v>62952</v>
      </c>
      <c r="C5400" s="2">
        <v>3.8740503196091499E-4</v>
      </c>
      <c r="D5400" s="2">
        <v>0</v>
      </c>
      <c r="E5400" s="2">
        <v>0</v>
      </c>
      <c r="F5400" s="2">
        <v>3.4412878063702E-4</v>
      </c>
    </row>
    <row r="5401" spans="1:6" x14ac:dyDescent="0.25">
      <c r="A5401" s="1" t="str">
        <f t="shared" si="202"/>
        <v>16020</v>
      </c>
      <c r="B5401" s="1" t="str">
        <f>"63740"</f>
        <v>63740</v>
      </c>
      <c r="C5401" s="2">
        <v>6.9517680735208601E-3</v>
      </c>
      <c r="D5401" s="2">
        <v>3.99644760213143E-3</v>
      </c>
      <c r="E5401" s="2">
        <v>1.49365197908887E-3</v>
      </c>
      <c r="F5401" s="2">
        <v>6.5575650976943296E-3</v>
      </c>
    </row>
    <row r="5402" spans="1:6" x14ac:dyDescent="0.25">
      <c r="A5402" s="1" t="str">
        <f t="shared" si="202"/>
        <v>16020</v>
      </c>
      <c r="B5402" s="1" t="str">
        <f>"63787"</f>
        <v>63787</v>
      </c>
      <c r="C5402" s="2">
        <v>1.26982760476077E-2</v>
      </c>
      <c r="D5402" s="2">
        <v>3.3303730017761901E-3</v>
      </c>
      <c r="E5402" s="2">
        <v>7.4682598954443598E-4</v>
      </c>
      <c r="F5402" s="2">
        <v>1.1585668948113E-2</v>
      </c>
    </row>
    <row r="5403" spans="1:6" x14ac:dyDescent="0.25">
      <c r="A5403" s="1" t="str">
        <f t="shared" si="202"/>
        <v>16020</v>
      </c>
      <c r="B5403" s="1" t="str">
        <f>"63702"</f>
        <v>63702</v>
      </c>
      <c r="C5403" s="2">
        <v>2.6085272152034902E-2</v>
      </c>
      <c r="D5403" s="2">
        <v>0.10079928952042599</v>
      </c>
      <c r="E5403" s="2">
        <v>7.4682598954443598E-4</v>
      </c>
      <c r="F5403" s="2">
        <v>3.1870148740106199E-2</v>
      </c>
    </row>
    <row r="5404" spans="1:6" x14ac:dyDescent="0.25">
      <c r="A5404" s="1" t="str">
        <f t="shared" ref="A5404:A5449" si="203">"16060"</f>
        <v>16060</v>
      </c>
      <c r="B5404" s="1" t="str">
        <f>"62921"</f>
        <v>62921</v>
      </c>
      <c r="C5404" s="2">
        <v>5.40036992533988E-5</v>
      </c>
      <c r="D5404" s="2">
        <v>0</v>
      </c>
      <c r="E5404" s="2">
        <v>2.7525461051472602E-4</v>
      </c>
      <c r="F5404" s="2">
        <v>5.9503974865521E-5</v>
      </c>
    </row>
    <row r="5405" spans="1:6" x14ac:dyDescent="0.25">
      <c r="A5405" s="1" t="str">
        <f t="shared" si="203"/>
        <v>16060</v>
      </c>
      <c r="B5405" s="1" t="str">
        <f>"62832"</f>
        <v>62832</v>
      </c>
      <c r="C5405" s="2">
        <v>8.1005548880098196E-4</v>
      </c>
      <c r="D5405" s="2">
        <v>0</v>
      </c>
      <c r="E5405" s="2">
        <v>0</v>
      </c>
      <c r="F5405" s="2">
        <v>7.1404769838625203E-4</v>
      </c>
    </row>
    <row r="5406" spans="1:6" x14ac:dyDescent="0.25">
      <c r="A5406" s="1" t="str">
        <f t="shared" si="203"/>
        <v>16060</v>
      </c>
      <c r="B5406" s="1" t="str">
        <f>"62916"</f>
        <v>62916</v>
      </c>
      <c r="C5406" s="2">
        <v>3.36173027852407E-3</v>
      </c>
      <c r="D5406" s="2">
        <v>2.8453999367688901E-3</v>
      </c>
      <c r="E5406" s="2">
        <v>2.7525461051472602E-4</v>
      </c>
      <c r="F5406" s="2">
        <v>3.18941305279192E-3</v>
      </c>
    </row>
    <row r="5407" spans="1:6" x14ac:dyDescent="0.25">
      <c r="A5407" s="1" t="str">
        <f t="shared" si="203"/>
        <v>16060</v>
      </c>
      <c r="B5407" s="1" t="str">
        <f>"62896"</f>
        <v>62896</v>
      </c>
      <c r="C5407" s="2">
        <v>3.8477635718046602E-3</v>
      </c>
      <c r="D5407" s="2">
        <v>1.4226999683844401E-3</v>
      </c>
      <c r="E5407" s="2">
        <v>0</v>
      </c>
      <c r="F5407" s="2">
        <v>3.4988337220926299E-3</v>
      </c>
    </row>
    <row r="5408" spans="1:6" x14ac:dyDescent="0.25">
      <c r="A5408" s="1" t="str">
        <f t="shared" si="203"/>
        <v>16060</v>
      </c>
      <c r="B5408" s="1" t="str">
        <f>"62940"</f>
        <v>62940</v>
      </c>
      <c r="C5408" s="2">
        <v>3.2267210303905799E-3</v>
      </c>
      <c r="D5408" s="2">
        <v>1.1065444198545601E-3</v>
      </c>
      <c r="E5408" s="2">
        <v>2.7525461051472602E-4</v>
      </c>
      <c r="F5408" s="2">
        <v>2.9394963583567299E-3</v>
      </c>
    </row>
    <row r="5409" spans="1:6" x14ac:dyDescent="0.25">
      <c r="A5409" s="1" t="str">
        <f t="shared" si="203"/>
        <v>16060</v>
      </c>
      <c r="B5409" s="1" t="str">
        <f>"62995"</f>
        <v>62995</v>
      </c>
      <c r="C5409" s="2">
        <v>2.8783971702061501E-2</v>
      </c>
      <c r="D5409" s="2">
        <v>2.1024343977236799E-2</v>
      </c>
      <c r="E5409" s="2">
        <v>6.6061106523534197E-3</v>
      </c>
      <c r="F5409" s="2">
        <v>2.7240919693435499E-2</v>
      </c>
    </row>
    <row r="5410" spans="1:6" x14ac:dyDescent="0.25">
      <c r="A5410" s="1" t="str">
        <f t="shared" si="203"/>
        <v>16060</v>
      </c>
      <c r="B5410" s="1" t="str">
        <f>"62907"</f>
        <v>62907</v>
      </c>
      <c r="C5410" s="2">
        <v>1.3811446084056701E-2</v>
      </c>
      <c r="D5410" s="2">
        <v>5.5327220992728403E-3</v>
      </c>
      <c r="E5410" s="2">
        <v>1.92678227360308E-3</v>
      </c>
      <c r="F5410" s="2">
        <v>1.2674346646355901E-2</v>
      </c>
    </row>
    <row r="5411" spans="1:6" x14ac:dyDescent="0.25">
      <c r="A5411" s="1" t="str">
        <f t="shared" si="203"/>
        <v>16060</v>
      </c>
      <c r="B5411" s="1" t="str">
        <f>"62987"</f>
        <v>62987</v>
      </c>
      <c r="C5411" s="2">
        <v>3.1997191807638802E-3</v>
      </c>
      <c r="D5411" s="2">
        <v>3.1615554852987602E-4</v>
      </c>
      <c r="E5411" s="2">
        <v>0</v>
      </c>
      <c r="F5411" s="2">
        <v>2.8442899985718999E-3</v>
      </c>
    </row>
    <row r="5412" spans="1:6" x14ac:dyDescent="0.25">
      <c r="A5412" s="1" t="str">
        <f t="shared" si="203"/>
        <v>16060</v>
      </c>
      <c r="B5412" s="1" t="str">
        <f>"62959"</f>
        <v>62959</v>
      </c>
      <c r="C5412" s="2">
        <v>0.195709406094317</v>
      </c>
      <c r="D5412" s="2">
        <v>0.30951628201074899</v>
      </c>
      <c r="E5412" s="2">
        <v>0.34627030002752501</v>
      </c>
      <c r="F5412" s="2">
        <v>0.21078688056362099</v>
      </c>
    </row>
    <row r="5413" spans="1:6" x14ac:dyDescent="0.25">
      <c r="A5413" s="1" t="str">
        <f t="shared" si="203"/>
        <v>16060</v>
      </c>
      <c r="B5413" s="1" t="str">
        <f>"62922"</f>
        <v>62922</v>
      </c>
      <c r="C5413" s="2">
        <v>2.2978574032321199E-2</v>
      </c>
      <c r="D5413" s="2">
        <v>4.11002213088839E-3</v>
      </c>
      <c r="E5413" s="2">
        <v>2.7525461051472602E-4</v>
      </c>
      <c r="F5413" s="2">
        <v>2.0576474508497099E-2</v>
      </c>
    </row>
    <row r="5414" spans="1:6" x14ac:dyDescent="0.25">
      <c r="A5414" s="1" t="str">
        <f t="shared" si="203"/>
        <v>16060</v>
      </c>
      <c r="B5414" s="1" t="str">
        <f>"62909"</f>
        <v>62909</v>
      </c>
      <c r="C5414" s="2">
        <v>1.48510172946846E-4</v>
      </c>
      <c r="D5414" s="2">
        <v>3.1615554852987602E-4</v>
      </c>
      <c r="E5414" s="2">
        <v>2.7525461051472602E-4</v>
      </c>
      <c r="F5414" s="2">
        <v>1.6661112962345801E-4</v>
      </c>
    </row>
    <row r="5415" spans="1:6" x14ac:dyDescent="0.25">
      <c r="A5415" s="1" t="str">
        <f t="shared" si="203"/>
        <v>16060</v>
      </c>
      <c r="B5415" s="1" t="str">
        <f>"62912"</f>
        <v>62912</v>
      </c>
      <c r="C5415" s="2">
        <v>4.1987876169517603E-3</v>
      </c>
      <c r="D5415" s="2">
        <v>1.8969332911792599E-3</v>
      </c>
      <c r="E5415" s="2">
        <v>2.7525461051472602E-4</v>
      </c>
      <c r="F5415" s="2">
        <v>3.8558575712857599E-3</v>
      </c>
    </row>
    <row r="5416" spans="1:6" x14ac:dyDescent="0.25">
      <c r="A5416" s="1" t="str">
        <f t="shared" si="203"/>
        <v>16060</v>
      </c>
      <c r="B5416" s="1" t="str">
        <f>"62905"</f>
        <v>62905</v>
      </c>
      <c r="C5416" s="2">
        <v>6.6154531585413596E-4</v>
      </c>
      <c r="D5416" s="2">
        <v>4.7423332279481498E-4</v>
      </c>
      <c r="E5416" s="2">
        <v>0</v>
      </c>
      <c r="F5416" s="2">
        <v>6.1884133860141803E-4</v>
      </c>
    </row>
    <row r="5417" spans="1:6" x14ac:dyDescent="0.25">
      <c r="A5417" s="1" t="str">
        <f t="shared" si="203"/>
        <v>16060</v>
      </c>
      <c r="B5417" s="1" t="str">
        <f>"62915"</f>
        <v>62915</v>
      </c>
      <c r="C5417" s="2">
        <v>3.91526819587141E-4</v>
      </c>
      <c r="D5417" s="2">
        <v>0</v>
      </c>
      <c r="E5417" s="2">
        <v>2.7525461051472602E-4</v>
      </c>
      <c r="F5417" s="2">
        <v>3.5702384919312602E-4</v>
      </c>
    </row>
    <row r="5418" spans="1:6" x14ac:dyDescent="0.25">
      <c r="A5418" s="1" t="str">
        <f t="shared" si="203"/>
        <v>16060</v>
      </c>
      <c r="B5418" s="1" t="str">
        <f>"62841"</f>
        <v>62841</v>
      </c>
      <c r="C5418" s="2">
        <v>6.7504624066748497E-4</v>
      </c>
      <c r="D5418" s="2">
        <v>0</v>
      </c>
      <c r="E5418" s="2">
        <v>2.7525461051472602E-4</v>
      </c>
      <c r="F5418" s="2">
        <v>6.0694054362831395E-4</v>
      </c>
    </row>
    <row r="5419" spans="1:6" x14ac:dyDescent="0.25">
      <c r="A5419" s="1" t="str">
        <f t="shared" si="203"/>
        <v>16060</v>
      </c>
      <c r="B5419" s="1" t="str">
        <f>"62950"</f>
        <v>62950</v>
      </c>
      <c r="C5419" s="2">
        <v>1.5121035790951599E-3</v>
      </c>
      <c r="D5419" s="2">
        <v>1.1065444198545601E-3</v>
      </c>
      <c r="E5419" s="2">
        <v>8.25763831544178E-4</v>
      </c>
      <c r="F5419" s="2">
        <v>1.45189698671871E-3</v>
      </c>
    </row>
    <row r="5420" spans="1:6" x14ac:dyDescent="0.25">
      <c r="A5420" s="1" t="str">
        <f t="shared" si="203"/>
        <v>16060</v>
      </c>
      <c r="B5420" s="1" t="str">
        <f>"62902"</f>
        <v>62902</v>
      </c>
      <c r="C5420" s="2">
        <v>5.2802116945010698E-2</v>
      </c>
      <c r="D5420" s="2">
        <v>5.8804932026556997E-2</v>
      </c>
      <c r="E5420" s="2">
        <v>8.5328929259565006E-2</v>
      </c>
      <c r="F5420" s="2">
        <v>5.4660351311467598E-2</v>
      </c>
    </row>
    <row r="5421" spans="1:6" x14ac:dyDescent="0.25">
      <c r="A5421" s="1" t="str">
        <f t="shared" si="203"/>
        <v>16060</v>
      </c>
      <c r="B5421" s="1" t="str">
        <f>"62985"</f>
        <v>62985</v>
      </c>
      <c r="C5421" s="2">
        <v>3.0647099326303801E-3</v>
      </c>
      <c r="D5421" s="2">
        <v>0</v>
      </c>
      <c r="E5421" s="2">
        <v>2.7525461051472602E-4</v>
      </c>
      <c r="F5421" s="2">
        <v>2.7133812538677501E-3</v>
      </c>
    </row>
    <row r="5422" spans="1:6" x14ac:dyDescent="0.25">
      <c r="A5422" s="1" t="str">
        <f t="shared" si="203"/>
        <v>16060</v>
      </c>
      <c r="B5422" s="1" t="str">
        <f>"62918"</f>
        <v>62918</v>
      </c>
      <c r="C5422" s="2">
        <v>6.9880786833898104E-2</v>
      </c>
      <c r="D5422" s="2">
        <v>5.5011065444198502E-2</v>
      </c>
      <c r="E5422" s="2">
        <v>5.53261767134599E-2</v>
      </c>
      <c r="F5422" s="2">
        <v>6.8132051221021506E-2</v>
      </c>
    </row>
    <row r="5423" spans="1:6" x14ac:dyDescent="0.25">
      <c r="A5423" s="1" t="str">
        <f t="shared" si="203"/>
        <v>16060</v>
      </c>
      <c r="B5423" s="1" t="str">
        <f>"62908"</f>
        <v>62908</v>
      </c>
      <c r="C5423" s="2">
        <v>1.32309063170827E-3</v>
      </c>
      <c r="D5423" s="2">
        <v>7.9038887132469105E-4</v>
      </c>
      <c r="E5423" s="2">
        <v>2.7525461051472602E-4</v>
      </c>
      <c r="F5423" s="2">
        <v>1.23768267720283E-3</v>
      </c>
    </row>
    <row r="5424" spans="1:6" x14ac:dyDescent="0.25">
      <c r="A5424" s="1" t="str">
        <f t="shared" si="203"/>
        <v>16060</v>
      </c>
      <c r="B5424" s="1" t="str">
        <f>"62939"</f>
        <v>62939</v>
      </c>
      <c r="C5424" s="2">
        <v>2.5125221077643801E-2</v>
      </c>
      <c r="D5424" s="2">
        <v>4.2680999051533299E-3</v>
      </c>
      <c r="E5424" s="2">
        <v>1.1010184420589E-3</v>
      </c>
      <c r="F5424" s="2">
        <v>2.25163040891131E-2</v>
      </c>
    </row>
    <row r="5425" spans="1:6" x14ac:dyDescent="0.25">
      <c r="A5425" s="1" t="str">
        <f t="shared" si="203"/>
        <v>16060</v>
      </c>
      <c r="B5425" s="1" t="str">
        <f>"62890"</f>
        <v>62890</v>
      </c>
      <c r="C5425" s="2">
        <v>3.9287691206847603E-3</v>
      </c>
      <c r="D5425" s="2">
        <v>9.4846664558962995E-4</v>
      </c>
      <c r="E5425" s="2">
        <v>0</v>
      </c>
      <c r="F5425" s="2">
        <v>3.5345361070119401E-3</v>
      </c>
    </row>
    <row r="5426" spans="1:6" x14ac:dyDescent="0.25">
      <c r="A5426" s="1" t="str">
        <f t="shared" si="203"/>
        <v>16060</v>
      </c>
      <c r="B5426" s="1" t="str">
        <f>"62943"</f>
        <v>62943</v>
      </c>
      <c r="C5426" s="2">
        <v>3.5372423010976198E-3</v>
      </c>
      <c r="D5426" s="2">
        <v>1.5807777426493799E-3</v>
      </c>
      <c r="E5426" s="2">
        <v>2.7525461051472602E-4</v>
      </c>
      <c r="F5426" s="2">
        <v>3.2489170276574402E-3</v>
      </c>
    </row>
    <row r="5427" spans="1:6" x14ac:dyDescent="0.25">
      <c r="A5427" s="1" t="str">
        <f t="shared" si="203"/>
        <v>16060</v>
      </c>
      <c r="B5427" s="1" t="str">
        <f>"62924"</f>
        <v>62924</v>
      </c>
      <c r="C5427" s="2">
        <v>2.02243853703978E-2</v>
      </c>
      <c r="D5427" s="2">
        <v>8.6942775845715997E-3</v>
      </c>
      <c r="E5427" s="2">
        <v>3.5507844756399599E-2</v>
      </c>
      <c r="F5427" s="2">
        <v>2.00171371447612E-2</v>
      </c>
    </row>
    <row r="5428" spans="1:6" x14ac:dyDescent="0.25">
      <c r="A5428" s="1" t="str">
        <f t="shared" si="203"/>
        <v>16060</v>
      </c>
      <c r="B5428" s="1" t="str">
        <f>"62994"</f>
        <v>62994</v>
      </c>
      <c r="C5428" s="2">
        <v>4.6983218350457002E-3</v>
      </c>
      <c r="D5428" s="2">
        <v>1.5807777426493799E-3</v>
      </c>
      <c r="E5428" s="2">
        <v>2.7525461051472602E-4</v>
      </c>
      <c r="F5428" s="2">
        <v>4.2723853953443997E-3</v>
      </c>
    </row>
    <row r="5429" spans="1:6" x14ac:dyDescent="0.25">
      <c r="A5429" s="1" t="str">
        <f t="shared" si="203"/>
        <v>16060</v>
      </c>
      <c r="B5429" s="1" t="str">
        <f>"62903"</f>
        <v>62903</v>
      </c>
      <c r="C5429" s="2">
        <v>3.5574936883176402E-2</v>
      </c>
      <c r="D5429" s="2">
        <v>5.09010433133101E-2</v>
      </c>
      <c r="E5429" s="2">
        <v>1.5689512799339299E-2</v>
      </c>
      <c r="F5429" s="2">
        <v>3.5868996048936001E-2</v>
      </c>
    </row>
    <row r="5430" spans="1:6" x14ac:dyDescent="0.25">
      <c r="A5430" s="1" t="str">
        <f t="shared" si="203"/>
        <v>16060</v>
      </c>
      <c r="B5430" s="1" t="str">
        <f>"62917"</f>
        <v>62917</v>
      </c>
      <c r="C5430" s="2">
        <v>8.5055826324103201E-4</v>
      </c>
      <c r="D5430" s="2">
        <v>0</v>
      </c>
      <c r="E5430" s="2">
        <v>0</v>
      </c>
      <c r="F5430" s="2">
        <v>7.4975008330556404E-4</v>
      </c>
    </row>
    <row r="5431" spans="1:6" x14ac:dyDescent="0.25">
      <c r="A5431" s="1" t="str">
        <f t="shared" si="203"/>
        <v>16060</v>
      </c>
      <c r="B5431" s="1" t="str">
        <f>"62923"</f>
        <v>62923</v>
      </c>
      <c r="C5431" s="2">
        <v>2.9026988348701799E-3</v>
      </c>
      <c r="D5431" s="2">
        <v>1.2646221941195E-3</v>
      </c>
      <c r="E5431" s="2">
        <v>1.37627305257363E-3</v>
      </c>
      <c r="F5431" s="2">
        <v>2.7133812538677501E-3</v>
      </c>
    </row>
    <row r="5432" spans="1:6" x14ac:dyDescent="0.25">
      <c r="A5432" s="1" t="str">
        <f t="shared" si="203"/>
        <v>16060</v>
      </c>
      <c r="B5432" s="1" t="str">
        <f>"62901"</f>
        <v>62901</v>
      </c>
      <c r="C5432" s="2">
        <v>0.182410995153167</v>
      </c>
      <c r="D5432" s="2">
        <v>0.220834650648118</v>
      </c>
      <c r="E5432" s="2">
        <v>0.27360308285163698</v>
      </c>
      <c r="F5432" s="2">
        <v>0.18924644166230301</v>
      </c>
    </row>
    <row r="5433" spans="1:6" x14ac:dyDescent="0.25">
      <c r="A5433" s="1" t="str">
        <f t="shared" si="203"/>
        <v>16060</v>
      </c>
      <c r="B5433" s="1" t="str">
        <f>"62932"</f>
        <v>62932</v>
      </c>
      <c r="C5433" s="2">
        <v>1.01256936100122E-2</v>
      </c>
      <c r="D5433" s="2">
        <v>4.4261776794182698E-3</v>
      </c>
      <c r="E5433" s="2">
        <v>1.37627305257363E-3</v>
      </c>
      <c r="F5433" s="2">
        <v>9.3183224639405895E-3</v>
      </c>
    </row>
    <row r="5434" spans="1:6" x14ac:dyDescent="0.25">
      <c r="A5434" s="1" t="str">
        <f t="shared" si="203"/>
        <v>16060</v>
      </c>
      <c r="B5434" s="1" t="str">
        <f>"62280"</f>
        <v>62280</v>
      </c>
      <c r="C5434" s="2">
        <v>1.0260702858145699E-3</v>
      </c>
      <c r="D5434" s="2">
        <v>6.3231109705975301E-4</v>
      </c>
      <c r="E5434" s="2">
        <v>0</v>
      </c>
      <c r="F5434" s="2">
        <v>9.52063597848336E-4</v>
      </c>
    </row>
    <row r="5435" spans="1:6" x14ac:dyDescent="0.25">
      <c r="A5435" s="1" t="str">
        <f t="shared" si="203"/>
        <v>16060</v>
      </c>
      <c r="B5435" s="1" t="str">
        <f>"62951"</f>
        <v>62951</v>
      </c>
      <c r="C5435" s="2">
        <v>3.6222981274217199E-2</v>
      </c>
      <c r="D5435" s="2">
        <v>3.03509326588681E-2</v>
      </c>
      <c r="E5435" s="2">
        <v>8.5328929259564992E-3</v>
      </c>
      <c r="F5435" s="2">
        <v>3.4583710191840797E-2</v>
      </c>
    </row>
    <row r="5436" spans="1:6" x14ac:dyDescent="0.25">
      <c r="A5436" s="1" t="str">
        <f t="shared" si="203"/>
        <v>16060</v>
      </c>
      <c r="B5436" s="1" t="str">
        <f>"62966"</f>
        <v>62966</v>
      </c>
      <c r="C5436" s="2">
        <v>0.110667080695027</v>
      </c>
      <c r="D5436" s="2">
        <v>0.10069554220676501</v>
      </c>
      <c r="E5436" s="2">
        <v>7.7071290944123294E-2</v>
      </c>
      <c r="F5436" s="2">
        <v>0.108463845384871</v>
      </c>
    </row>
    <row r="5437" spans="1:6" x14ac:dyDescent="0.25">
      <c r="A5437" s="1" t="str">
        <f t="shared" si="203"/>
        <v>16060</v>
      </c>
      <c r="B5437" s="1" t="str">
        <f>"62948"</f>
        <v>62948</v>
      </c>
      <c r="C5437" s="2">
        <v>8.7945024234159994E-2</v>
      </c>
      <c r="D5437" s="2">
        <v>8.1568131520708104E-2</v>
      </c>
      <c r="E5437" s="2">
        <v>5.0922102945224298E-2</v>
      </c>
      <c r="F5437" s="2">
        <v>8.58642357309468E-2</v>
      </c>
    </row>
    <row r="5438" spans="1:6" x14ac:dyDescent="0.25">
      <c r="A5438" s="1" t="str">
        <f t="shared" si="203"/>
        <v>16060</v>
      </c>
      <c r="B5438" s="1" t="str">
        <f>"62933"</f>
        <v>62933</v>
      </c>
      <c r="C5438" s="2">
        <v>1.6201109776019601E-2</v>
      </c>
      <c r="D5438" s="2">
        <v>1.5175466329433999E-2</v>
      </c>
      <c r="E5438" s="2">
        <v>7.4318744838975997E-3</v>
      </c>
      <c r="F5438" s="2">
        <v>1.5744751749416801E-2</v>
      </c>
    </row>
    <row r="5439" spans="1:6" x14ac:dyDescent="0.25">
      <c r="A5439" s="1" t="str">
        <f t="shared" si="203"/>
        <v>16060</v>
      </c>
      <c r="B5439" s="1" t="str">
        <f>"62938"</f>
        <v>62938</v>
      </c>
      <c r="C5439" s="2">
        <v>4.0502774440049103E-5</v>
      </c>
      <c r="D5439" s="2">
        <v>0</v>
      </c>
      <c r="E5439" s="2">
        <v>0</v>
      </c>
      <c r="F5439" s="2">
        <v>3.5702384919312602E-5</v>
      </c>
    </row>
    <row r="5440" spans="1:6" x14ac:dyDescent="0.25">
      <c r="A5440" s="1" t="str">
        <f t="shared" si="203"/>
        <v>16060</v>
      </c>
      <c r="B5440" s="1" t="str">
        <f>"62974"</f>
        <v>62974</v>
      </c>
      <c r="C5440" s="2">
        <v>9.3696418204646994E-3</v>
      </c>
      <c r="D5440" s="2">
        <v>3.6357888080935799E-3</v>
      </c>
      <c r="E5440" s="2">
        <v>2.7525461051472602E-4</v>
      </c>
      <c r="F5440" s="2">
        <v>8.5447707906888097E-3</v>
      </c>
    </row>
    <row r="5441" spans="1:6" x14ac:dyDescent="0.25">
      <c r="A5441" s="1" t="str">
        <f t="shared" si="203"/>
        <v>16060</v>
      </c>
      <c r="B5441" s="1" t="str">
        <f>"62949"</f>
        <v>62949</v>
      </c>
      <c r="C5441" s="2">
        <v>4.2932940906452001E-3</v>
      </c>
      <c r="D5441" s="2">
        <v>0</v>
      </c>
      <c r="E5441" s="2">
        <v>2.7525461051472602E-4</v>
      </c>
      <c r="F5441" s="2">
        <v>3.7963535964202402E-3</v>
      </c>
    </row>
    <row r="5442" spans="1:6" x14ac:dyDescent="0.25">
      <c r="A5442" s="1" t="str">
        <f t="shared" si="203"/>
        <v>16060</v>
      </c>
      <c r="B5442" s="1" t="str">
        <f>"62272"</f>
        <v>62272</v>
      </c>
      <c r="C5442" s="2">
        <v>4.0502774440049103E-5</v>
      </c>
      <c r="D5442" s="2">
        <v>0</v>
      </c>
      <c r="E5442" s="2">
        <v>0</v>
      </c>
      <c r="F5442" s="2">
        <v>3.5702384919312602E-5</v>
      </c>
    </row>
    <row r="5443" spans="1:6" x14ac:dyDescent="0.25">
      <c r="A5443" s="1" t="str">
        <f t="shared" si="203"/>
        <v>16060</v>
      </c>
      <c r="B5443" s="1" t="str">
        <f>"62920"</f>
        <v>62920</v>
      </c>
      <c r="C5443" s="2">
        <v>9.4506473693447998E-5</v>
      </c>
      <c r="D5443" s="2">
        <v>0</v>
      </c>
      <c r="E5443" s="2">
        <v>0</v>
      </c>
      <c r="F5443" s="2">
        <v>8.3305564811729399E-5</v>
      </c>
    </row>
    <row r="5444" spans="1:6" x14ac:dyDescent="0.25">
      <c r="A5444" s="1" t="str">
        <f t="shared" si="203"/>
        <v>16060</v>
      </c>
      <c r="B5444" s="1" t="str">
        <f>"62975"</f>
        <v>62975</v>
      </c>
      <c r="C5444" s="2">
        <v>2.72718681229664E-3</v>
      </c>
      <c r="D5444" s="2">
        <v>9.4846664558962995E-4</v>
      </c>
      <c r="E5444" s="2">
        <v>2.7525461051472602E-4</v>
      </c>
      <c r="F5444" s="2">
        <v>2.4872661493787699E-3</v>
      </c>
    </row>
    <row r="5445" spans="1:6" x14ac:dyDescent="0.25">
      <c r="A5445" s="1" t="str">
        <f t="shared" si="203"/>
        <v>16060</v>
      </c>
      <c r="B5445" s="1" t="str">
        <f>"62927"</f>
        <v>62927</v>
      </c>
      <c r="C5445" s="2">
        <v>1.84962669942891E-3</v>
      </c>
      <c r="D5445" s="2">
        <v>0</v>
      </c>
      <c r="E5445" s="2">
        <v>2.7525461051472602E-4</v>
      </c>
      <c r="F5445" s="2">
        <v>1.64230970628838E-3</v>
      </c>
    </row>
    <row r="5446" spans="1:6" x14ac:dyDescent="0.25">
      <c r="A5446" s="1" t="str">
        <f t="shared" si="203"/>
        <v>16060</v>
      </c>
      <c r="B5446" s="1" t="str">
        <f>"62958"</f>
        <v>62958</v>
      </c>
      <c r="C5446" s="2">
        <v>1.4635002497670999E-2</v>
      </c>
      <c r="D5446" s="2">
        <v>4.4261776794182698E-3</v>
      </c>
      <c r="E5446" s="2">
        <v>2.5598678777869501E-2</v>
      </c>
      <c r="F5446" s="2">
        <v>1.43404579425905E-2</v>
      </c>
    </row>
    <row r="5447" spans="1:6" x14ac:dyDescent="0.25">
      <c r="A5447" s="1" t="str">
        <f t="shared" si="203"/>
        <v>16060</v>
      </c>
      <c r="B5447" s="1" t="str">
        <f>"62942"</f>
        <v>62942</v>
      </c>
      <c r="C5447" s="2">
        <v>3.88826634624471E-3</v>
      </c>
      <c r="D5447" s="2">
        <v>9.4846664558962995E-4</v>
      </c>
      <c r="E5447" s="2">
        <v>2.7525461051472602E-4</v>
      </c>
      <c r="F5447" s="2">
        <v>3.5107345170657298E-3</v>
      </c>
    </row>
    <row r="5448" spans="1:6" x14ac:dyDescent="0.25">
      <c r="A5448" s="1" t="str">
        <f t="shared" si="203"/>
        <v>16060</v>
      </c>
      <c r="B5448" s="1" t="str">
        <f>"62972"</f>
        <v>62972</v>
      </c>
      <c r="C5448" s="2">
        <v>9.2076307227045E-3</v>
      </c>
      <c r="D5448" s="2">
        <v>2.0550110654441898E-3</v>
      </c>
      <c r="E5448" s="2">
        <v>5.5050922102945204E-4</v>
      </c>
      <c r="F5448" s="2">
        <v>8.2948540962536205E-3</v>
      </c>
    </row>
    <row r="5449" spans="1:6" x14ac:dyDescent="0.25">
      <c r="A5449" s="1" t="str">
        <f t="shared" si="203"/>
        <v>16060</v>
      </c>
      <c r="B5449" s="1" t="str">
        <f>"62967"</f>
        <v>62967</v>
      </c>
      <c r="C5449" s="2">
        <v>1.9711350227490502E-3</v>
      </c>
      <c r="D5449" s="2">
        <v>7.9038887132469105E-4</v>
      </c>
      <c r="E5449" s="2">
        <v>2.7525461051472602E-4</v>
      </c>
      <c r="F5449" s="2">
        <v>1.8089208359118301E-3</v>
      </c>
    </row>
    <row r="5450" spans="1:6" x14ac:dyDescent="0.25">
      <c r="A5450" s="1" t="str">
        <f t="shared" ref="A5450:A5459" si="204">"16100"</f>
        <v>16100</v>
      </c>
      <c r="B5450" s="1" t="str">
        <f>"88253"</f>
        <v>88253</v>
      </c>
      <c r="C5450" s="2">
        <v>4.6698757094618803E-3</v>
      </c>
      <c r="D5450" s="2">
        <v>3.0191211003019101E-3</v>
      </c>
      <c r="E5450" s="2">
        <v>1.8055555555555498E-2</v>
      </c>
      <c r="F5450" s="2">
        <v>4.8194299121722302E-3</v>
      </c>
    </row>
    <row r="5451" spans="1:6" x14ac:dyDescent="0.25">
      <c r="A5451" s="1" t="str">
        <f t="shared" si="204"/>
        <v>16100</v>
      </c>
      <c r="B5451" s="1" t="str">
        <f>"88210"</f>
        <v>88210</v>
      </c>
      <c r="C5451" s="2">
        <v>0.28364106616854601</v>
      </c>
      <c r="D5451" s="2">
        <v>0.26970815162696998</v>
      </c>
      <c r="E5451" s="2">
        <v>0.27083333333333298</v>
      </c>
      <c r="F5451" s="2">
        <v>0.28203177018928899</v>
      </c>
    </row>
    <row r="5452" spans="1:6" x14ac:dyDescent="0.25">
      <c r="A5452" s="1" t="str">
        <f t="shared" si="204"/>
        <v>16100</v>
      </c>
      <c r="B5452" s="1" t="str">
        <f>"88255"</f>
        <v>88255</v>
      </c>
      <c r="C5452" s="2">
        <v>0</v>
      </c>
      <c r="D5452" s="2">
        <v>3.3545790003354498E-4</v>
      </c>
      <c r="E5452" s="2">
        <v>0</v>
      </c>
      <c r="F5452" s="2">
        <v>3.1706775737975203E-5</v>
      </c>
    </row>
    <row r="5453" spans="1:6" x14ac:dyDescent="0.25">
      <c r="A5453" s="1" t="str">
        <f t="shared" si="204"/>
        <v>16100</v>
      </c>
      <c r="B5453" s="1" t="str">
        <f>"88254"</f>
        <v>88254</v>
      </c>
      <c r="C5453" s="2">
        <v>0</v>
      </c>
      <c r="D5453" s="2">
        <v>3.3545790003354498E-4</v>
      </c>
      <c r="E5453" s="2">
        <v>0</v>
      </c>
      <c r="F5453" s="2">
        <v>3.1706775737975203E-5</v>
      </c>
    </row>
    <row r="5454" spans="1:6" x14ac:dyDescent="0.25">
      <c r="A5454" s="1" t="str">
        <f t="shared" si="204"/>
        <v>16100</v>
      </c>
      <c r="B5454" s="1" t="str">
        <f>"88250"</f>
        <v>88250</v>
      </c>
      <c r="C5454" s="2">
        <v>1.07766362526043E-4</v>
      </c>
      <c r="D5454" s="2">
        <v>3.3545790003354498E-4</v>
      </c>
      <c r="E5454" s="2">
        <v>1.3888888888888801E-3</v>
      </c>
      <c r="F5454" s="2">
        <v>1.58533878689876E-4</v>
      </c>
    </row>
    <row r="5455" spans="1:6" x14ac:dyDescent="0.25">
      <c r="A5455" s="1" t="str">
        <f t="shared" si="204"/>
        <v>16100</v>
      </c>
      <c r="B5455" s="1" t="str">
        <f>"88221"</f>
        <v>88221</v>
      </c>
      <c r="C5455" s="2">
        <v>6.5378259932466404E-2</v>
      </c>
      <c r="D5455" s="2">
        <v>0.155317007715531</v>
      </c>
      <c r="E5455" s="2">
        <v>5.5555555555555497E-3</v>
      </c>
      <c r="F5455" s="2">
        <v>7.2513396112749207E-2</v>
      </c>
    </row>
    <row r="5456" spans="1:6" x14ac:dyDescent="0.25">
      <c r="A5456" s="1" t="str">
        <f t="shared" si="204"/>
        <v>16100</v>
      </c>
      <c r="B5456" s="1" t="str">
        <f>"88220"</f>
        <v>88220</v>
      </c>
      <c r="C5456" s="2">
        <v>0.63959336159206803</v>
      </c>
      <c r="D5456" s="2">
        <v>0.56558201945655795</v>
      </c>
      <c r="E5456" s="2">
        <v>0.70416666666666605</v>
      </c>
      <c r="F5456" s="2">
        <v>0.63407210120802804</v>
      </c>
    </row>
    <row r="5457" spans="1:6" x14ac:dyDescent="0.25">
      <c r="A5457" s="1" t="str">
        <f t="shared" si="204"/>
        <v>16100</v>
      </c>
      <c r="B5457" s="1" t="str">
        <f>"88256"</f>
        <v>88256</v>
      </c>
      <c r="C5457" s="2">
        <v>6.6096702349306702E-3</v>
      </c>
      <c r="D5457" s="2">
        <v>4.69641060046964E-3</v>
      </c>
      <c r="E5457" s="2">
        <v>0</v>
      </c>
      <c r="F5457" s="2">
        <v>6.2779415961190903E-3</v>
      </c>
    </row>
    <row r="5458" spans="1:6" x14ac:dyDescent="0.25">
      <c r="A5458" s="1" t="str">
        <f t="shared" si="204"/>
        <v>16100</v>
      </c>
      <c r="B5458" s="1" t="str">
        <f>"88268"</f>
        <v>88268</v>
      </c>
      <c r="C5458" s="2">
        <v>0</v>
      </c>
      <c r="D5458" s="2">
        <v>3.3545790003354498E-4</v>
      </c>
      <c r="E5458" s="2">
        <v>0</v>
      </c>
      <c r="F5458" s="2">
        <v>3.1706775737975203E-5</v>
      </c>
    </row>
    <row r="5459" spans="1:6" x14ac:dyDescent="0.25">
      <c r="A5459" s="1" t="str">
        <f t="shared" si="204"/>
        <v>16100</v>
      </c>
      <c r="B5459" s="1" t="str">
        <f>"88263"</f>
        <v>88263</v>
      </c>
      <c r="C5459" s="2">
        <v>0</v>
      </c>
      <c r="D5459" s="2">
        <v>3.3545790003354498E-4</v>
      </c>
      <c r="E5459" s="2">
        <v>0</v>
      </c>
      <c r="F5459" s="2">
        <v>3.1706775737975203E-5</v>
      </c>
    </row>
    <row r="5460" spans="1:6" x14ac:dyDescent="0.25">
      <c r="A5460" s="1" t="str">
        <f t="shared" ref="A5460:A5479" si="205">"16140"</f>
        <v>16140</v>
      </c>
      <c r="B5460" s="1" t="str">
        <f>"50058"</f>
        <v>50058</v>
      </c>
      <c r="C5460" s="2">
        <v>7.9553454691742895E-2</v>
      </c>
      <c r="D5460" s="2">
        <v>0.102099236641221</v>
      </c>
      <c r="E5460" s="2">
        <v>7.7083333333333295E-2</v>
      </c>
      <c r="F5460" s="2">
        <v>8.1509894516607007E-2</v>
      </c>
    </row>
    <row r="5461" spans="1:6" x14ac:dyDescent="0.25">
      <c r="A5461" s="1" t="str">
        <f t="shared" si="205"/>
        <v>16140</v>
      </c>
      <c r="B5461" s="1" t="str">
        <f>"51455"</f>
        <v>51455</v>
      </c>
      <c r="C5461" s="2">
        <v>9.8461229005330303E-2</v>
      </c>
      <c r="D5461" s="2">
        <v>9.82824427480916E-2</v>
      </c>
      <c r="E5461" s="2">
        <v>5.6250000000000001E-2</v>
      </c>
      <c r="F5461" s="2">
        <v>9.6678580768895406E-2</v>
      </c>
    </row>
    <row r="5462" spans="1:6" x14ac:dyDescent="0.25">
      <c r="A5462" s="1" t="str">
        <f t="shared" si="205"/>
        <v>16140</v>
      </c>
      <c r="B5462" s="1" t="str">
        <f>"51440"</f>
        <v>51440</v>
      </c>
      <c r="C5462" s="2">
        <v>2.11203862013476E-2</v>
      </c>
      <c r="D5462" s="2">
        <v>1.90839694656488E-3</v>
      </c>
      <c r="E5462" s="2">
        <v>2.0833333333333298E-3</v>
      </c>
      <c r="F5462" s="2">
        <v>1.8568564205387401E-2</v>
      </c>
    </row>
    <row r="5463" spans="1:6" x14ac:dyDescent="0.25">
      <c r="A5463" s="1" t="str">
        <f t="shared" si="205"/>
        <v>16140</v>
      </c>
      <c r="B5463" s="1" t="str">
        <f>"51453"</f>
        <v>51453</v>
      </c>
      <c r="C5463" s="2">
        <v>1.40802574675651E-3</v>
      </c>
      <c r="D5463" s="2">
        <v>0</v>
      </c>
      <c r="E5463" s="2">
        <v>0</v>
      </c>
      <c r="F5463" s="2">
        <v>1.22046900880481E-3</v>
      </c>
    </row>
    <row r="5464" spans="1:6" x14ac:dyDescent="0.25">
      <c r="A5464" s="1" t="str">
        <f t="shared" si="205"/>
        <v>16140</v>
      </c>
      <c r="B5464" s="1" t="str">
        <f>"51443"</f>
        <v>51443</v>
      </c>
      <c r="C5464" s="2">
        <v>8.1564920044252198E-2</v>
      </c>
      <c r="D5464" s="2">
        <v>9.5419847328244208E-3</v>
      </c>
      <c r="E5464" s="2">
        <v>6.0416666666666598E-2</v>
      </c>
      <c r="F5464" s="2">
        <v>7.4099904106006406E-2</v>
      </c>
    </row>
    <row r="5465" spans="1:6" x14ac:dyDescent="0.25">
      <c r="A5465" s="1" t="str">
        <f t="shared" si="205"/>
        <v>16140</v>
      </c>
      <c r="B5465" s="1" t="str">
        <f>"51401"</f>
        <v>51401</v>
      </c>
      <c r="C5465" s="2">
        <v>0.59358342552549503</v>
      </c>
      <c r="D5465" s="2">
        <v>0.72614503816793796</v>
      </c>
      <c r="E5465" s="2">
        <v>0.77083333333333304</v>
      </c>
      <c r="F5465" s="2">
        <v>0.61311132420887404</v>
      </c>
    </row>
    <row r="5466" spans="1:6" x14ac:dyDescent="0.25">
      <c r="A5466" s="1" t="str">
        <f t="shared" si="205"/>
        <v>16140</v>
      </c>
      <c r="B5466" s="1" t="str">
        <f>"51433"</f>
        <v>51433</v>
      </c>
      <c r="C5466" s="2">
        <v>3.0171980287639502E-4</v>
      </c>
      <c r="D5466" s="2">
        <v>0</v>
      </c>
      <c r="E5466" s="2">
        <v>0</v>
      </c>
      <c r="F5466" s="2">
        <v>2.6152907331531599E-4</v>
      </c>
    </row>
    <row r="5467" spans="1:6" x14ac:dyDescent="0.25">
      <c r="A5467" s="1" t="str">
        <f t="shared" si="205"/>
        <v>16140</v>
      </c>
      <c r="B5467" s="1" t="str">
        <f>"51463"</f>
        <v>51463</v>
      </c>
      <c r="C5467" s="2">
        <v>2.78587951322538E-2</v>
      </c>
      <c r="D5467" s="2">
        <v>1.4312977099236599E-2</v>
      </c>
      <c r="E5467" s="2">
        <v>0</v>
      </c>
      <c r="F5467" s="2">
        <v>2.5455496469357498E-2</v>
      </c>
    </row>
    <row r="5468" spans="1:6" x14ac:dyDescent="0.25">
      <c r="A5468" s="1" t="str">
        <f t="shared" si="205"/>
        <v>16140</v>
      </c>
      <c r="B5468" s="1" t="str">
        <f>"51452"</f>
        <v>51452</v>
      </c>
      <c r="C5468" s="2">
        <v>6.0343960575279004E-4</v>
      </c>
      <c r="D5468" s="2">
        <v>0</v>
      </c>
      <c r="E5468" s="2">
        <v>2.0833333333333298E-3</v>
      </c>
      <c r="F5468" s="2">
        <v>6.1023450440240599E-4</v>
      </c>
    </row>
    <row r="5469" spans="1:6" x14ac:dyDescent="0.25">
      <c r="A5469" s="1" t="str">
        <f t="shared" si="205"/>
        <v>16140</v>
      </c>
      <c r="B5469" s="1" t="str">
        <f>"50025"</f>
        <v>50025</v>
      </c>
      <c r="C5469" s="2">
        <v>1.00573267625465E-4</v>
      </c>
      <c r="D5469" s="2">
        <v>0</v>
      </c>
      <c r="E5469" s="2">
        <v>0</v>
      </c>
      <c r="F5469" s="2">
        <v>8.7176357771772203E-5</v>
      </c>
    </row>
    <row r="5470" spans="1:6" x14ac:dyDescent="0.25">
      <c r="A5470" s="1" t="str">
        <f t="shared" si="205"/>
        <v>16140</v>
      </c>
      <c r="B5470" s="1" t="str">
        <f>"51444"</f>
        <v>51444</v>
      </c>
      <c r="C5470" s="2">
        <v>1.30745247913104E-2</v>
      </c>
      <c r="D5470" s="2">
        <v>1.90839694656488E-3</v>
      </c>
      <c r="E5470" s="2">
        <v>0</v>
      </c>
      <c r="F5470" s="2">
        <v>1.15072792258739E-2</v>
      </c>
    </row>
    <row r="5471" spans="1:6" x14ac:dyDescent="0.25">
      <c r="A5471" s="1" t="str">
        <f t="shared" si="205"/>
        <v>16140</v>
      </c>
      <c r="B5471" s="1" t="str">
        <f>"50050"</f>
        <v>50050</v>
      </c>
      <c r="C5471" s="2">
        <v>2.0114653525093001E-4</v>
      </c>
      <c r="D5471" s="2">
        <v>0</v>
      </c>
      <c r="E5471" s="2">
        <v>0</v>
      </c>
      <c r="F5471" s="2">
        <v>1.74352715543544E-4</v>
      </c>
    </row>
    <row r="5472" spans="1:6" x14ac:dyDescent="0.25">
      <c r="A5472" s="1" t="str">
        <f t="shared" si="205"/>
        <v>16140</v>
      </c>
      <c r="B5472" s="1" t="str">
        <f>"51462"</f>
        <v>51462</v>
      </c>
      <c r="C5472" s="2">
        <v>8.04586141003721E-4</v>
      </c>
      <c r="D5472" s="2">
        <v>9.5419847328244195E-4</v>
      </c>
      <c r="E5472" s="2">
        <v>0</v>
      </c>
      <c r="F5472" s="2">
        <v>7.8458721994595002E-4</v>
      </c>
    </row>
    <row r="5473" spans="1:6" x14ac:dyDescent="0.25">
      <c r="A5473" s="1" t="str">
        <f t="shared" si="205"/>
        <v>16140</v>
      </c>
      <c r="B5473" s="1" t="str">
        <f>"51466"</f>
        <v>51466</v>
      </c>
      <c r="C5473" s="2">
        <v>4.0229307050186001E-4</v>
      </c>
      <c r="D5473" s="2">
        <v>0</v>
      </c>
      <c r="E5473" s="2">
        <v>0</v>
      </c>
      <c r="F5473" s="2">
        <v>3.4870543108708898E-4</v>
      </c>
    </row>
    <row r="5474" spans="1:6" x14ac:dyDescent="0.25">
      <c r="A5474" s="1" t="str">
        <f t="shared" si="205"/>
        <v>16140</v>
      </c>
      <c r="B5474" s="1" t="str">
        <f>"51449"</f>
        <v>51449</v>
      </c>
      <c r="C5474" s="2">
        <v>3.2183445640148801E-3</v>
      </c>
      <c r="D5474" s="2">
        <v>0</v>
      </c>
      <c r="E5474" s="2">
        <v>0</v>
      </c>
      <c r="F5474" s="2">
        <v>2.7896434486967101E-3</v>
      </c>
    </row>
    <row r="5475" spans="1:6" x14ac:dyDescent="0.25">
      <c r="A5475" s="1" t="str">
        <f t="shared" si="205"/>
        <v>16140</v>
      </c>
      <c r="B5475" s="1" t="str">
        <f>"51467"</f>
        <v>51467</v>
      </c>
      <c r="C5475" s="2">
        <v>3.4194910992658102E-3</v>
      </c>
      <c r="D5475" s="2">
        <v>0</v>
      </c>
      <c r="E5475" s="2">
        <v>0</v>
      </c>
      <c r="F5475" s="2">
        <v>2.9639961642402499E-3</v>
      </c>
    </row>
    <row r="5476" spans="1:6" x14ac:dyDescent="0.25">
      <c r="A5476" s="1" t="str">
        <f t="shared" si="205"/>
        <v>16140</v>
      </c>
      <c r="B5476" s="1" t="str">
        <f>"51459"</f>
        <v>51459</v>
      </c>
      <c r="C5476" s="2">
        <v>4.4252237755204602E-3</v>
      </c>
      <c r="D5476" s="2">
        <v>4.7709923664122104E-3</v>
      </c>
      <c r="E5476" s="2">
        <v>0</v>
      </c>
      <c r="F5476" s="2">
        <v>4.2716415308168398E-3</v>
      </c>
    </row>
    <row r="5477" spans="1:6" x14ac:dyDescent="0.25">
      <c r="A5477" s="1" t="str">
        <f t="shared" si="205"/>
        <v>16140</v>
      </c>
      <c r="B5477" s="1" t="str">
        <f>"51430"</f>
        <v>51430</v>
      </c>
      <c r="C5477" s="2">
        <v>3.3993764457407198E-2</v>
      </c>
      <c r="D5477" s="2">
        <v>1.7175572519083901E-2</v>
      </c>
      <c r="E5477" s="2">
        <v>8.3333333333333297E-3</v>
      </c>
      <c r="F5477" s="2">
        <v>3.1383488797837998E-2</v>
      </c>
    </row>
    <row r="5478" spans="1:6" x14ac:dyDescent="0.25">
      <c r="A5478" s="1" t="str">
        <f t="shared" si="205"/>
        <v>16140</v>
      </c>
      <c r="B5478" s="1" t="str">
        <f>"51436"</f>
        <v>51436</v>
      </c>
      <c r="C5478" s="2">
        <v>3.5703510007040098E-2</v>
      </c>
      <c r="D5478" s="2">
        <v>2.2900763358778602E-2</v>
      </c>
      <c r="E5478" s="2">
        <v>2.0833333333333301E-2</v>
      </c>
      <c r="F5478" s="2">
        <v>3.3911603173219403E-2</v>
      </c>
    </row>
    <row r="5479" spans="1:6" x14ac:dyDescent="0.25">
      <c r="A5479" s="1" t="str">
        <f t="shared" si="205"/>
        <v>16140</v>
      </c>
      <c r="B5479" s="1" t="str">
        <f>"51451"</f>
        <v>51451</v>
      </c>
      <c r="C5479" s="2">
        <v>2.0114653525093001E-4</v>
      </c>
      <c r="D5479" s="2">
        <v>0</v>
      </c>
      <c r="E5479" s="2">
        <v>2.0833333333333298E-3</v>
      </c>
      <c r="F5479" s="2">
        <v>2.6152907331531599E-4</v>
      </c>
    </row>
    <row r="5480" spans="1:6" x14ac:dyDescent="0.25">
      <c r="A5480" s="1" t="str">
        <f t="shared" ref="A5480:A5490" si="206">"16180"</f>
        <v>16180</v>
      </c>
      <c r="B5480" s="1" t="str">
        <f>"89701"</f>
        <v>89701</v>
      </c>
      <c r="C5480" s="2">
        <v>0.37639824687642998</v>
      </c>
      <c r="D5480" s="2">
        <v>0.47369494290375203</v>
      </c>
      <c r="E5480" s="2">
        <v>0.50936123348017603</v>
      </c>
      <c r="F5480" s="2">
        <v>0.39566686330240702</v>
      </c>
    </row>
    <row r="5481" spans="1:6" x14ac:dyDescent="0.25">
      <c r="A5481" s="1" t="str">
        <f t="shared" si="206"/>
        <v>16180</v>
      </c>
      <c r="B5481" s="1" t="str">
        <f>"89721"</f>
        <v>89721</v>
      </c>
      <c r="C5481" s="2">
        <v>6.29292863217112E-2</v>
      </c>
      <c r="D5481" s="2">
        <v>5.8727569331158198E-2</v>
      </c>
      <c r="E5481" s="2">
        <v>1.1013215859030799E-3</v>
      </c>
      <c r="F5481" s="2">
        <v>5.9366117874188801E-2</v>
      </c>
    </row>
    <row r="5482" spans="1:6" x14ac:dyDescent="0.25">
      <c r="A5482" s="1" t="str">
        <f t="shared" si="206"/>
        <v>16180</v>
      </c>
      <c r="B5482" s="1" t="str">
        <f>"89712"</f>
        <v>89712</v>
      </c>
      <c r="C5482" s="2">
        <v>0</v>
      </c>
      <c r="D5482" s="2">
        <v>2.03915171288743E-4</v>
      </c>
      <c r="E5482" s="2">
        <v>5.5066079295154103E-4</v>
      </c>
      <c r="F5482" s="2">
        <v>5.3627929425644798E-5</v>
      </c>
    </row>
    <row r="5483" spans="1:6" x14ac:dyDescent="0.25">
      <c r="A5483" s="1" t="str">
        <f t="shared" si="206"/>
        <v>16180</v>
      </c>
      <c r="B5483" s="1" t="str">
        <f>"89703"</f>
        <v>89703</v>
      </c>
      <c r="C5483" s="2">
        <v>0.164028259305292</v>
      </c>
      <c r="D5483" s="2">
        <v>0.105220228384991</v>
      </c>
      <c r="E5483" s="2">
        <v>0.11729074889867799</v>
      </c>
      <c r="F5483" s="2">
        <v>0.15401941331045199</v>
      </c>
    </row>
    <row r="5484" spans="1:6" x14ac:dyDescent="0.25">
      <c r="A5484" s="1" t="str">
        <f t="shared" si="206"/>
        <v>16180</v>
      </c>
      <c r="B5484" s="1" t="str">
        <f>"89702"</f>
        <v>89702</v>
      </c>
      <c r="C5484" s="2">
        <v>0.109962713416628</v>
      </c>
      <c r="D5484" s="2">
        <v>0.134787928221859</v>
      </c>
      <c r="E5484" s="2">
        <v>1.1013215859030799E-3</v>
      </c>
      <c r="F5484" s="2">
        <v>0.10792620796911</v>
      </c>
    </row>
    <row r="5485" spans="1:6" x14ac:dyDescent="0.25">
      <c r="A5485" s="1" t="str">
        <f t="shared" si="206"/>
        <v>16180</v>
      </c>
      <c r="B5485" s="1" t="str">
        <f>"89711"</f>
        <v>89711</v>
      </c>
      <c r="C5485" s="2">
        <v>0</v>
      </c>
      <c r="D5485" s="2">
        <v>4.0783034257748702E-4</v>
      </c>
      <c r="E5485" s="2">
        <v>5.5066079295154103E-4</v>
      </c>
      <c r="F5485" s="2">
        <v>8.0441894138467298E-5</v>
      </c>
    </row>
    <row r="5486" spans="1:6" x14ac:dyDescent="0.25">
      <c r="A5486" s="1" t="str">
        <f t="shared" si="206"/>
        <v>16180</v>
      </c>
      <c r="B5486" s="1" t="str">
        <f>"89714"</f>
        <v>89714</v>
      </c>
      <c r="C5486" s="2">
        <v>0</v>
      </c>
      <c r="D5486" s="2">
        <v>0</v>
      </c>
      <c r="E5486" s="2">
        <v>5.5066079295154103E-4</v>
      </c>
      <c r="F5486" s="2">
        <v>2.6813964712822399E-5</v>
      </c>
    </row>
    <row r="5487" spans="1:6" x14ac:dyDescent="0.25">
      <c r="A5487" s="1" t="str">
        <f t="shared" si="206"/>
        <v>16180</v>
      </c>
      <c r="B5487" s="1" t="str">
        <f>"89705"</f>
        <v>89705</v>
      </c>
      <c r="C5487" s="2">
        <v>9.8122587819716002E-4</v>
      </c>
      <c r="D5487" s="2">
        <v>4.0783034257748702E-4</v>
      </c>
      <c r="E5487" s="2">
        <v>0</v>
      </c>
      <c r="F5487" s="2">
        <v>8.5804687081031796E-4</v>
      </c>
    </row>
    <row r="5488" spans="1:6" x14ac:dyDescent="0.25">
      <c r="A5488" s="1" t="str">
        <f t="shared" si="206"/>
        <v>16180</v>
      </c>
      <c r="B5488" s="1" t="str">
        <f>"89423"</f>
        <v>89423</v>
      </c>
      <c r="C5488" s="2">
        <v>9.8122587819716005E-5</v>
      </c>
      <c r="D5488" s="2">
        <v>0</v>
      </c>
      <c r="E5488" s="2">
        <v>1.1013215859030799E-3</v>
      </c>
      <c r="F5488" s="2">
        <v>1.3406982356411199E-4</v>
      </c>
    </row>
    <row r="5489" spans="1:6" x14ac:dyDescent="0.25">
      <c r="A5489" s="1" t="str">
        <f t="shared" si="206"/>
        <v>16180</v>
      </c>
      <c r="B5489" s="1" t="str">
        <f>"89706"</f>
        <v>89706</v>
      </c>
      <c r="C5489" s="2">
        <v>0.28560214561392</v>
      </c>
      <c r="D5489" s="2">
        <v>0.22634584013050499</v>
      </c>
      <c r="E5489" s="2">
        <v>0.36784140969162898</v>
      </c>
      <c r="F5489" s="2">
        <v>0.28181476913176301</v>
      </c>
    </row>
    <row r="5490" spans="1:6" x14ac:dyDescent="0.25">
      <c r="A5490" s="1" t="str">
        <f t="shared" si="206"/>
        <v>16180</v>
      </c>
      <c r="B5490" s="1" t="str">
        <f>"89713"</f>
        <v>89713</v>
      </c>
      <c r="C5490" s="2">
        <v>0</v>
      </c>
      <c r="D5490" s="2">
        <v>2.03915171288743E-4</v>
      </c>
      <c r="E5490" s="2">
        <v>5.5066079295154103E-4</v>
      </c>
      <c r="F5490" s="2">
        <v>5.3627929425644798E-5</v>
      </c>
    </row>
    <row r="5491" spans="1:6" x14ac:dyDescent="0.25">
      <c r="A5491" s="1" t="str">
        <f t="shared" ref="A5491:A5505" si="207">"16220"</f>
        <v>16220</v>
      </c>
      <c r="B5491" s="1" t="str">
        <f>"82644"</f>
        <v>82644</v>
      </c>
      <c r="C5491" s="2">
        <v>4.6367101767355798E-2</v>
      </c>
      <c r="D5491" s="2">
        <v>7.5962539021852196E-2</v>
      </c>
      <c r="E5491" s="2">
        <v>1.17096018735362E-3</v>
      </c>
      <c r="F5491" s="2">
        <v>4.8208199531117601E-2</v>
      </c>
    </row>
    <row r="5492" spans="1:6" x14ac:dyDescent="0.25">
      <c r="A5492" s="1" t="str">
        <f t="shared" si="207"/>
        <v>16220</v>
      </c>
      <c r="B5492" s="1" t="str">
        <f>"82609"</f>
        <v>82609</v>
      </c>
      <c r="C5492" s="2">
        <v>0.21282199376227301</v>
      </c>
      <c r="D5492" s="2">
        <v>0.105098855359001</v>
      </c>
      <c r="E5492" s="2">
        <v>0.262880562060889</v>
      </c>
      <c r="F5492" s="2">
        <v>0.202269548257451</v>
      </c>
    </row>
    <row r="5493" spans="1:6" x14ac:dyDescent="0.25">
      <c r="A5493" s="1" t="str">
        <f t="shared" si="207"/>
        <v>16220</v>
      </c>
      <c r="B5493" s="1" t="str">
        <f>"82620"</f>
        <v>82620</v>
      </c>
      <c r="C5493" s="2">
        <v>2.2871664548919902E-3</v>
      </c>
      <c r="D5493" s="2">
        <v>0</v>
      </c>
      <c r="E5493" s="2">
        <v>5.8548009367681401E-4</v>
      </c>
      <c r="F5493" s="2">
        <v>1.9700939734825298E-3</v>
      </c>
    </row>
    <row r="5494" spans="1:6" x14ac:dyDescent="0.25">
      <c r="A5494" s="1" t="str">
        <f t="shared" si="207"/>
        <v>16220</v>
      </c>
      <c r="B5494" s="1" t="str">
        <f>"82635"</f>
        <v>82635</v>
      </c>
      <c r="C5494" s="2">
        <v>1.8713180085479901E-3</v>
      </c>
      <c r="D5494" s="2">
        <v>0</v>
      </c>
      <c r="E5494" s="2">
        <v>5.8548009367681401E-4</v>
      </c>
      <c r="F5494" s="2">
        <v>1.61547705825567E-3</v>
      </c>
    </row>
    <row r="5495" spans="1:6" x14ac:dyDescent="0.25">
      <c r="A5495" s="1" t="str">
        <f t="shared" si="207"/>
        <v>16220</v>
      </c>
      <c r="B5495" s="1" t="str">
        <f>"82604"</f>
        <v>82604</v>
      </c>
      <c r="C5495" s="2">
        <v>0.27302760771629803</v>
      </c>
      <c r="D5495" s="2">
        <v>0.159209157127991</v>
      </c>
      <c r="E5495" s="2">
        <v>0.179156908665105</v>
      </c>
      <c r="F5495" s="2">
        <v>0.25693965602159202</v>
      </c>
    </row>
    <row r="5496" spans="1:6" x14ac:dyDescent="0.25">
      <c r="A5496" s="1" t="str">
        <f t="shared" si="207"/>
        <v>16220</v>
      </c>
      <c r="B5496" s="1" t="str">
        <f>"82639"</f>
        <v>82639</v>
      </c>
      <c r="C5496" s="2">
        <v>1.61718840244888E-4</v>
      </c>
      <c r="D5496" s="2">
        <v>1.7343045438779001E-4</v>
      </c>
      <c r="E5496" s="2">
        <v>0</v>
      </c>
      <c r="F5496" s="2">
        <v>1.5760751787860199E-4</v>
      </c>
    </row>
    <row r="5497" spans="1:6" x14ac:dyDescent="0.25">
      <c r="A5497" s="1" t="str">
        <f t="shared" si="207"/>
        <v>16220</v>
      </c>
      <c r="B5497" s="1" t="str">
        <f>"82605"</f>
        <v>82605</v>
      </c>
      <c r="C5497" s="2">
        <v>3.2182049208732799E-2</v>
      </c>
      <c r="D5497" s="2">
        <v>5.9833506763787701E-2</v>
      </c>
      <c r="E5497" s="2">
        <v>1.17096018735362E-3</v>
      </c>
      <c r="F5497" s="2">
        <v>3.4279635138596103E-2</v>
      </c>
    </row>
    <row r="5498" spans="1:6" x14ac:dyDescent="0.25">
      <c r="A5498" s="1" t="str">
        <f t="shared" si="207"/>
        <v>16220</v>
      </c>
      <c r="B5498" s="1" t="str">
        <f>"82601"</f>
        <v>82601</v>
      </c>
      <c r="C5498" s="2">
        <v>0.30980709252627903</v>
      </c>
      <c r="D5498" s="2">
        <v>0.451786333680194</v>
      </c>
      <c r="E5498" s="2">
        <v>0.53337236533957799</v>
      </c>
      <c r="F5498" s="2">
        <v>0.33345810595165298</v>
      </c>
    </row>
    <row r="5499" spans="1:6" x14ac:dyDescent="0.25">
      <c r="A5499" s="1" t="str">
        <f t="shared" si="207"/>
        <v>16220</v>
      </c>
      <c r="B5499" s="1" t="str">
        <f>"82638"</f>
        <v>82638</v>
      </c>
      <c r="C5499" s="2">
        <v>2.77232297562666E-4</v>
      </c>
      <c r="D5499" s="2">
        <v>1.7343045438779001E-4</v>
      </c>
      <c r="E5499" s="2">
        <v>5.8548009367681401E-4</v>
      </c>
      <c r="F5499" s="2">
        <v>2.7581315628755399E-4</v>
      </c>
    </row>
    <row r="5500" spans="1:6" x14ac:dyDescent="0.25">
      <c r="A5500" s="1" t="str">
        <f t="shared" si="207"/>
        <v>16220</v>
      </c>
      <c r="B5500" s="1" t="str">
        <f>"82643"</f>
        <v>82643</v>
      </c>
      <c r="C5500" s="2">
        <v>2.7492202841630999E-3</v>
      </c>
      <c r="D5500" s="2">
        <v>0</v>
      </c>
      <c r="E5500" s="2">
        <v>5.8548009367681401E-4</v>
      </c>
      <c r="F5500" s="2">
        <v>2.3641127681790402E-3</v>
      </c>
    </row>
    <row r="5501" spans="1:6" x14ac:dyDescent="0.25">
      <c r="A5501" s="1" t="str">
        <f t="shared" si="207"/>
        <v>16220</v>
      </c>
      <c r="B5501" s="1" t="str">
        <f>"82646"</f>
        <v>82646</v>
      </c>
      <c r="C5501" s="2">
        <v>7.1618343537022003E-4</v>
      </c>
      <c r="D5501" s="2">
        <v>0</v>
      </c>
      <c r="E5501" s="2">
        <v>5.8548009367681401E-4</v>
      </c>
      <c r="F5501" s="2">
        <v>6.30430071514411E-4</v>
      </c>
    </row>
    <row r="5502" spans="1:6" x14ac:dyDescent="0.25">
      <c r="A5502" s="1" t="str">
        <f t="shared" si="207"/>
        <v>16220</v>
      </c>
      <c r="B5502" s="1" t="str">
        <f>"82648"</f>
        <v>82648</v>
      </c>
      <c r="C5502" s="2">
        <v>3.9274575488044299E-4</v>
      </c>
      <c r="D5502" s="2">
        <v>0</v>
      </c>
      <c r="E5502" s="2">
        <v>5.8548009367681401E-4</v>
      </c>
      <c r="F5502" s="2">
        <v>3.5461691522685598E-4</v>
      </c>
    </row>
    <row r="5503" spans="1:6" x14ac:dyDescent="0.25">
      <c r="A5503" s="1" t="str">
        <f t="shared" si="207"/>
        <v>16220</v>
      </c>
      <c r="B5503" s="1" t="str">
        <f>"82636"</f>
        <v>82636</v>
      </c>
      <c r="C5503" s="2">
        <v>7.8502945593161594E-2</v>
      </c>
      <c r="D5503" s="2">
        <v>2.6014568158168501E-2</v>
      </c>
      <c r="E5503" s="2">
        <v>1.6978922716627601E-2</v>
      </c>
      <c r="F5503" s="2">
        <v>7.0470261431470199E-2</v>
      </c>
    </row>
    <row r="5504" spans="1:6" x14ac:dyDescent="0.25">
      <c r="A5504" s="1" t="str">
        <f t="shared" si="207"/>
        <v>16220</v>
      </c>
      <c r="B5504" s="1" t="str">
        <f>"82630"</f>
        <v>82630</v>
      </c>
      <c r="C5504" s="2">
        <v>2.5412960609910999E-4</v>
      </c>
      <c r="D5504" s="2">
        <v>0</v>
      </c>
      <c r="E5504" s="2">
        <v>5.8548009367681401E-4</v>
      </c>
      <c r="F5504" s="2">
        <v>2.36411276817904E-4</v>
      </c>
    </row>
    <row r="5505" spans="1:6" x14ac:dyDescent="0.25">
      <c r="A5505" s="1" t="str">
        <f t="shared" si="207"/>
        <v>16220</v>
      </c>
      <c r="B5505" s="1" t="str">
        <f>"82602"</f>
        <v>82602</v>
      </c>
      <c r="C5505" s="2">
        <v>3.85814947441376E-2</v>
      </c>
      <c r="D5505" s="2">
        <v>0.12174817898022799</v>
      </c>
      <c r="E5505" s="2">
        <v>1.17096018735362E-3</v>
      </c>
      <c r="F5505" s="2">
        <v>4.6770030930475298E-2</v>
      </c>
    </row>
    <row r="5506" spans="1:6" x14ac:dyDescent="0.25">
      <c r="A5506" s="1" t="str">
        <f t="shared" ref="A5506:A5517" si="208">"16260"</f>
        <v>16260</v>
      </c>
      <c r="B5506" s="1" t="str">
        <f>"84760"</f>
        <v>84760</v>
      </c>
      <c r="C5506" s="2">
        <v>1.0543612214158501E-2</v>
      </c>
      <c r="D5506" s="2">
        <v>8.8967971530249095E-4</v>
      </c>
      <c r="E5506" s="2">
        <v>8.8495575221238904E-4</v>
      </c>
      <c r="F5506" s="2">
        <v>9.2537667576224909E-3</v>
      </c>
    </row>
    <row r="5507" spans="1:6" x14ac:dyDescent="0.25">
      <c r="A5507" s="1" t="str">
        <f t="shared" si="208"/>
        <v>16260</v>
      </c>
      <c r="B5507" s="1" t="str">
        <f>"84714"</f>
        <v>84714</v>
      </c>
      <c r="C5507" s="2">
        <v>1.84855538819663E-2</v>
      </c>
      <c r="D5507" s="2">
        <v>8.0071174377224098E-3</v>
      </c>
      <c r="E5507" s="2">
        <v>1.7699115044247701E-2</v>
      </c>
      <c r="F5507" s="2">
        <v>1.7518883220627099E-2</v>
      </c>
    </row>
    <row r="5508" spans="1:6" x14ac:dyDescent="0.25">
      <c r="A5508" s="1" t="str">
        <f t="shared" si="208"/>
        <v>16260</v>
      </c>
      <c r="B5508" s="1" t="str">
        <f>"84757"</f>
        <v>84757</v>
      </c>
      <c r="C5508" s="2">
        <v>2.2821671459217598E-3</v>
      </c>
      <c r="D5508" s="2">
        <v>0</v>
      </c>
      <c r="E5508" s="2">
        <v>0</v>
      </c>
      <c r="F5508" s="2">
        <v>1.97730058923557E-3</v>
      </c>
    </row>
    <row r="5509" spans="1:6" x14ac:dyDescent="0.25">
      <c r="A5509" s="1" t="str">
        <f t="shared" si="208"/>
        <v>16260</v>
      </c>
      <c r="B5509" s="1" t="str">
        <f>"84719"</f>
        <v>84719</v>
      </c>
      <c r="C5509" s="2">
        <v>2.1452371171664601E-3</v>
      </c>
      <c r="D5509" s="2">
        <v>4.0035587188611997E-3</v>
      </c>
      <c r="E5509" s="2">
        <v>1.5929203539823002E-2</v>
      </c>
      <c r="F5509" s="2">
        <v>2.92640487206865E-3</v>
      </c>
    </row>
    <row r="5510" spans="1:6" x14ac:dyDescent="0.25">
      <c r="A5510" s="1" t="str">
        <f t="shared" si="208"/>
        <v>16260</v>
      </c>
      <c r="B5510" s="1" t="str">
        <f>"84772"</f>
        <v>84772</v>
      </c>
      <c r="C5510" s="2">
        <v>3.1493906613720298E-3</v>
      </c>
      <c r="D5510" s="2">
        <v>0</v>
      </c>
      <c r="E5510" s="2">
        <v>8.8495575221238904E-4</v>
      </c>
      <c r="F5510" s="2">
        <v>2.7682208249297999E-3</v>
      </c>
    </row>
    <row r="5511" spans="1:6" x14ac:dyDescent="0.25">
      <c r="A5511" s="1" t="str">
        <f t="shared" si="208"/>
        <v>16260</v>
      </c>
      <c r="B5511" s="1" t="str">
        <f>"84756"</f>
        <v>84756</v>
      </c>
      <c r="C5511" s="2">
        <v>1.8257337167374099E-4</v>
      </c>
      <c r="D5511" s="2">
        <v>4.4483985765124499E-4</v>
      </c>
      <c r="E5511" s="2">
        <v>8.8495575221238904E-4</v>
      </c>
      <c r="F5511" s="2">
        <v>2.3727607070826899E-4</v>
      </c>
    </row>
    <row r="5512" spans="1:6" x14ac:dyDescent="0.25">
      <c r="A5512" s="1" t="str">
        <f t="shared" si="208"/>
        <v>16260</v>
      </c>
      <c r="B5512" s="1" t="str">
        <f>"84761"</f>
        <v>84761</v>
      </c>
      <c r="C5512" s="2">
        <v>1.78009037381897E-2</v>
      </c>
      <c r="D5512" s="2">
        <v>1.33451957295373E-3</v>
      </c>
      <c r="E5512" s="2">
        <v>7.9646017699115008E-3</v>
      </c>
      <c r="F5512" s="2">
        <v>1.5897496737454001E-2</v>
      </c>
    </row>
    <row r="5513" spans="1:6" x14ac:dyDescent="0.25">
      <c r="A5513" s="1" t="str">
        <f t="shared" si="208"/>
        <v>16260</v>
      </c>
      <c r="B5513" s="1" t="str">
        <f>"84720"</f>
        <v>84720</v>
      </c>
      <c r="C5513" s="2">
        <v>0.41225067323930797</v>
      </c>
      <c r="D5513" s="2">
        <v>0.38967971530249101</v>
      </c>
      <c r="E5513" s="2">
        <v>0.44336283185840702</v>
      </c>
      <c r="F5513" s="2">
        <v>0.41163443666706201</v>
      </c>
    </row>
    <row r="5514" spans="1:6" x14ac:dyDescent="0.25">
      <c r="A5514" s="1" t="str">
        <f t="shared" si="208"/>
        <v>16260</v>
      </c>
      <c r="B5514" s="1" t="str">
        <f>"84742"</f>
        <v>84742</v>
      </c>
      <c r="C5514" s="2">
        <v>1.2734492674243401E-2</v>
      </c>
      <c r="D5514" s="2">
        <v>1.06761565836298E-2</v>
      </c>
      <c r="E5514" s="2">
        <v>1.7699115044247701E-3</v>
      </c>
      <c r="F5514" s="2">
        <v>1.2061533594337001E-2</v>
      </c>
    </row>
    <row r="5515" spans="1:6" x14ac:dyDescent="0.25">
      <c r="A5515" s="1" t="str">
        <f t="shared" si="208"/>
        <v>16260</v>
      </c>
      <c r="B5515" s="1" t="str">
        <f>"84753"</f>
        <v>84753</v>
      </c>
      <c r="C5515" s="2">
        <v>7.7593682961339997E-4</v>
      </c>
      <c r="D5515" s="2">
        <v>0</v>
      </c>
      <c r="E5515" s="2">
        <v>0</v>
      </c>
      <c r="F5515" s="2">
        <v>6.7228220034009495E-4</v>
      </c>
    </row>
    <row r="5516" spans="1:6" x14ac:dyDescent="0.25">
      <c r="A5516" s="1" t="str">
        <f t="shared" si="208"/>
        <v>16260</v>
      </c>
      <c r="B5516" s="1" t="str">
        <f>"84721"</f>
        <v>84721</v>
      </c>
      <c r="C5516" s="2">
        <v>0.51960381578346704</v>
      </c>
      <c r="D5516" s="2">
        <v>0.584964412811387</v>
      </c>
      <c r="E5516" s="2">
        <v>0.51061946902654798</v>
      </c>
      <c r="F5516" s="2">
        <v>0.52501285245383</v>
      </c>
    </row>
    <row r="5517" spans="1:6" x14ac:dyDescent="0.25">
      <c r="A5517" s="1" t="str">
        <f t="shared" si="208"/>
        <v>16260</v>
      </c>
      <c r="B5517" s="1" t="str">
        <f>"84722"</f>
        <v>84722</v>
      </c>
      <c r="C5517" s="2">
        <v>4.5643342918435303E-5</v>
      </c>
      <c r="D5517" s="2">
        <v>0</v>
      </c>
      <c r="E5517" s="2">
        <v>0</v>
      </c>
      <c r="F5517" s="2">
        <v>3.9546011784711503E-5</v>
      </c>
    </row>
    <row r="5518" spans="1:6" x14ac:dyDescent="0.25">
      <c r="A5518" s="1" t="str">
        <f t="shared" ref="A5518:A5549" si="209">"16300"</f>
        <v>16300</v>
      </c>
      <c r="B5518" s="1" t="str">
        <f>"52229"</f>
        <v>52229</v>
      </c>
      <c r="C5518" s="2">
        <v>2.1010008404003301E-3</v>
      </c>
      <c r="D5518" s="2">
        <v>4.5837917125045801E-4</v>
      </c>
      <c r="E5518" s="2">
        <v>4.4444444444444398E-4</v>
      </c>
      <c r="F5518" s="2">
        <v>1.90510811320246E-3</v>
      </c>
    </row>
    <row r="5519" spans="1:6" x14ac:dyDescent="0.25">
      <c r="A5519" s="1" t="str">
        <f t="shared" si="209"/>
        <v>16300</v>
      </c>
      <c r="B5519" s="1" t="str">
        <f>"52314"</f>
        <v>52314</v>
      </c>
      <c r="C5519" s="2">
        <v>1.66399266559706E-2</v>
      </c>
      <c r="D5519" s="2">
        <v>1.6134946828016101E-2</v>
      </c>
      <c r="E5519" s="2">
        <v>1.8222222222222199E-2</v>
      </c>
      <c r="F5519" s="2">
        <v>1.6674744863613099E-2</v>
      </c>
    </row>
    <row r="5520" spans="1:6" x14ac:dyDescent="0.25">
      <c r="A5520" s="1" t="str">
        <f t="shared" si="209"/>
        <v>16300</v>
      </c>
      <c r="B5520" s="1" t="str">
        <f>"52323"</f>
        <v>52323</v>
      </c>
      <c r="C5520" s="2">
        <v>2.0016808006723202E-3</v>
      </c>
      <c r="D5520" s="2">
        <v>1.83351668500183E-4</v>
      </c>
      <c r="E5520" s="2">
        <v>4.4444444444444398E-4</v>
      </c>
      <c r="F5520" s="2">
        <v>1.79739882058324E-3</v>
      </c>
    </row>
    <row r="5521" spans="1:6" x14ac:dyDescent="0.25">
      <c r="A5521" s="1" t="str">
        <f t="shared" si="209"/>
        <v>16300</v>
      </c>
      <c r="B5521" s="1" t="str">
        <f>"52202"</f>
        <v>52202</v>
      </c>
      <c r="C5521" s="2">
        <v>3.8276415310566098E-3</v>
      </c>
      <c r="D5521" s="2">
        <v>9.1675834250091602E-4</v>
      </c>
      <c r="E5521" s="2">
        <v>1.18518518518518E-3</v>
      </c>
      <c r="F5521" s="2">
        <v>3.49382017933597E-3</v>
      </c>
    </row>
    <row r="5522" spans="1:6" x14ac:dyDescent="0.25">
      <c r="A5522" s="1" t="str">
        <f t="shared" si="209"/>
        <v>16300</v>
      </c>
      <c r="B5522" s="1" t="str">
        <f>"52345"</f>
        <v>52345</v>
      </c>
      <c r="C5522" s="2">
        <v>4.0797616319046496E-3</v>
      </c>
      <c r="D5522" s="2">
        <v>3.02530253025302E-3</v>
      </c>
      <c r="E5522" s="2">
        <v>1.62962962962962E-3</v>
      </c>
      <c r="F5522" s="2">
        <v>3.89099819586934E-3</v>
      </c>
    </row>
    <row r="5523" spans="1:6" x14ac:dyDescent="0.25">
      <c r="A5523" s="1" t="str">
        <f t="shared" si="209"/>
        <v>16300</v>
      </c>
      <c r="B5523" s="1" t="str">
        <f>"52354"</f>
        <v>52354</v>
      </c>
      <c r="C5523" s="2">
        <v>1.3140805256322101E-3</v>
      </c>
      <c r="D5523" s="2">
        <v>3.66703337000366E-4</v>
      </c>
      <c r="E5523" s="2">
        <v>1.4814814814814801E-4</v>
      </c>
      <c r="F5523" s="2">
        <v>1.19153404960012E-3</v>
      </c>
    </row>
    <row r="5524" spans="1:6" x14ac:dyDescent="0.25">
      <c r="A5524" s="1" t="str">
        <f t="shared" si="209"/>
        <v>16300</v>
      </c>
      <c r="B5524" s="1" t="str">
        <f>"52499"</f>
        <v>52499</v>
      </c>
      <c r="C5524" s="2">
        <v>0</v>
      </c>
      <c r="D5524" s="2">
        <v>0</v>
      </c>
      <c r="E5524" s="2">
        <v>2.9629629629629602E-4</v>
      </c>
      <c r="F5524" s="2">
        <v>1.34636615774025E-5</v>
      </c>
    </row>
    <row r="5525" spans="1:6" x14ac:dyDescent="0.25">
      <c r="A5525" s="1" t="str">
        <f t="shared" si="209"/>
        <v>16300</v>
      </c>
      <c r="B5525" s="1" t="str">
        <f>"52333"</f>
        <v>52333</v>
      </c>
      <c r="C5525" s="2">
        <v>1.52800061120024E-5</v>
      </c>
      <c r="D5525" s="2">
        <v>0</v>
      </c>
      <c r="E5525" s="2">
        <v>0</v>
      </c>
      <c r="F5525" s="2">
        <v>1.34636615774025E-5</v>
      </c>
    </row>
    <row r="5526" spans="1:6" x14ac:dyDescent="0.25">
      <c r="A5526" s="1" t="str">
        <f t="shared" si="209"/>
        <v>16300</v>
      </c>
      <c r="B5526" s="1" t="str">
        <f>"52032"</f>
        <v>52032</v>
      </c>
      <c r="C5526" s="2">
        <v>2.29200091680036E-4</v>
      </c>
      <c r="D5526" s="2">
        <v>0</v>
      </c>
      <c r="E5526" s="2">
        <v>0</v>
      </c>
      <c r="F5526" s="2">
        <v>2.0195492366103799E-4</v>
      </c>
    </row>
    <row r="5527" spans="1:6" x14ac:dyDescent="0.25">
      <c r="A5527" s="1" t="str">
        <f t="shared" si="209"/>
        <v>16300</v>
      </c>
      <c r="B5527" s="1" t="str">
        <f>"52328"</f>
        <v>52328</v>
      </c>
      <c r="C5527" s="2">
        <v>9.0304836121934406E-3</v>
      </c>
      <c r="D5527" s="2">
        <v>2.2002200220022001E-3</v>
      </c>
      <c r="E5527" s="2">
        <v>2.9629629629629602E-4</v>
      </c>
      <c r="F5527" s="2">
        <v>8.1320515927511602E-3</v>
      </c>
    </row>
    <row r="5528" spans="1:6" x14ac:dyDescent="0.25">
      <c r="A5528" s="1" t="str">
        <f t="shared" si="209"/>
        <v>16300</v>
      </c>
      <c r="B5528" s="1" t="str">
        <f>"52405"</f>
        <v>52405</v>
      </c>
      <c r="C5528" s="2">
        <v>9.4728397891359103E-2</v>
      </c>
      <c r="D5528" s="2">
        <v>3.4286762009534198E-2</v>
      </c>
      <c r="E5528" s="2">
        <v>7.8518518518518501E-2</v>
      </c>
      <c r="F5528" s="2">
        <v>8.9553544982093294E-2</v>
      </c>
    </row>
    <row r="5529" spans="1:6" x14ac:dyDescent="0.25">
      <c r="A5529" s="1" t="str">
        <f t="shared" si="209"/>
        <v>16300</v>
      </c>
      <c r="B5529" s="1" t="str">
        <f>"52408"</f>
        <v>52408</v>
      </c>
      <c r="C5529" s="2">
        <v>3.11712124684849E-3</v>
      </c>
      <c r="D5529" s="2">
        <v>1.4668133480014601E-2</v>
      </c>
      <c r="E5529" s="2">
        <v>2.9629629629629602E-4</v>
      </c>
      <c r="F5529" s="2">
        <v>3.8371435495597301E-3</v>
      </c>
    </row>
    <row r="5530" spans="1:6" x14ac:dyDescent="0.25">
      <c r="A5530" s="1" t="str">
        <f t="shared" si="209"/>
        <v>16300</v>
      </c>
      <c r="B5530" s="1" t="str">
        <f>"52033"</f>
        <v>52033</v>
      </c>
      <c r="C5530" s="2">
        <v>3.1935212774085102E-3</v>
      </c>
      <c r="D5530" s="2">
        <v>7.3340667400073297E-4</v>
      </c>
      <c r="E5530" s="2">
        <v>0</v>
      </c>
      <c r="F5530" s="2">
        <v>2.8677599159867501E-3</v>
      </c>
    </row>
    <row r="5531" spans="1:6" x14ac:dyDescent="0.25">
      <c r="A5531" s="1" t="str">
        <f t="shared" si="209"/>
        <v>16300</v>
      </c>
      <c r="B5531" s="1" t="str">
        <f>"50651"</f>
        <v>50651</v>
      </c>
      <c r="C5531" s="2">
        <v>1.0008404003361601E-3</v>
      </c>
      <c r="D5531" s="2">
        <v>2.7502750275027501E-4</v>
      </c>
      <c r="E5531" s="2">
        <v>0</v>
      </c>
      <c r="F5531" s="2">
        <v>9.0206532568597305E-4</v>
      </c>
    </row>
    <row r="5532" spans="1:6" x14ac:dyDescent="0.25">
      <c r="A5532" s="1" t="str">
        <f t="shared" si="209"/>
        <v>16300</v>
      </c>
      <c r="B5532" s="1" t="str">
        <f>"52321"</f>
        <v>52321</v>
      </c>
      <c r="C5532" s="2">
        <v>1.7190006876002699E-3</v>
      </c>
      <c r="D5532" s="2">
        <v>2.7502750275027501E-4</v>
      </c>
      <c r="E5532" s="2">
        <v>7.4074074074074005E-4</v>
      </c>
      <c r="F5532" s="2">
        <v>1.5685165737674E-3</v>
      </c>
    </row>
    <row r="5533" spans="1:6" x14ac:dyDescent="0.25">
      <c r="A5533" s="1" t="str">
        <f t="shared" si="209"/>
        <v>16300</v>
      </c>
      <c r="B5533" s="1" t="str">
        <f>"52219"</f>
        <v>52219</v>
      </c>
      <c r="C5533" s="2">
        <v>6.1884024753609899E-4</v>
      </c>
      <c r="D5533" s="2">
        <v>9.1675834250091602E-4</v>
      </c>
      <c r="E5533" s="2">
        <v>0</v>
      </c>
      <c r="F5533" s="2">
        <v>6.1259660177181703E-4</v>
      </c>
    </row>
    <row r="5534" spans="1:6" x14ac:dyDescent="0.25">
      <c r="A5534" s="1" t="str">
        <f t="shared" si="209"/>
        <v>16300</v>
      </c>
      <c r="B5534" s="1" t="str">
        <f>"52213"</f>
        <v>52213</v>
      </c>
      <c r="C5534" s="2">
        <v>1.39200855680342E-2</v>
      </c>
      <c r="D5534" s="2">
        <v>4.3087642097543004E-3</v>
      </c>
      <c r="E5534" s="2">
        <v>4.4444444444444401E-3</v>
      </c>
      <c r="F5534" s="2">
        <v>1.2783746667743699E-2</v>
      </c>
    </row>
    <row r="5535" spans="1:6" x14ac:dyDescent="0.25">
      <c r="A5535" s="1" t="str">
        <f t="shared" si="209"/>
        <v>16300</v>
      </c>
      <c r="B5535" s="1" t="str">
        <f>"52404"</f>
        <v>52404</v>
      </c>
      <c r="C5535" s="2">
        <v>0.159500343800137</v>
      </c>
      <c r="D5535" s="2">
        <v>0.18115144847818099</v>
      </c>
      <c r="E5535" s="2">
        <v>0.26637037037036998</v>
      </c>
      <c r="F5535" s="2">
        <v>0.16594636077227501</v>
      </c>
    </row>
    <row r="5536" spans="1:6" x14ac:dyDescent="0.25">
      <c r="A5536" s="1" t="str">
        <f t="shared" si="209"/>
        <v>16300</v>
      </c>
      <c r="B5536" s="1" t="str">
        <f>"52205"</f>
        <v>52205</v>
      </c>
      <c r="C5536" s="2">
        <v>2.7870731148292398E-2</v>
      </c>
      <c r="D5536" s="2">
        <v>2.65859919325265E-2</v>
      </c>
      <c r="E5536" s="2">
        <v>2.7851851851851801E-2</v>
      </c>
      <c r="F5536" s="2">
        <v>2.77755338341815E-2</v>
      </c>
    </row>
    <row r="5537" spans="1:6" x14ac:dyDescent="0.25">
      <c r="A5537" s="1" t="str">
        <f t="shared" si="209"/>
        <v>16300</v>
      </c>
      <c r="B5537" s="1" t="str">
        <f>"52411"</f>
        <v>52411</v>
      </c>
      <c r="C5537" s="2">
        <v>2.2622049048819599E-2</v>
      </c>
      <c r="D5537" s="2">
        <v>8.2508250825082501E-3</v>
      </c>
      <c r="E5537" s="2">
        <v>2.5185185185185098E-3</v>
      </c>
      <c r="F5537" s="2">
        <v>2.06532568597355E-2</v>
      </c>
    </row>
    <row r="5538" spans="1:6" x14ac:dyDescent="0.25">
      <c r="A5538" s="1" t="str">
        <f t="shared" si="209"/>
        <v>16300</v>
      </c>
      <c r="B5538" s="1" t="str">
        <f>"52306"</f>
        <v>52306</v>
      </c>
      <c r="C5538" s="2">
        <v>4.0492016196806398E-4</v>
      </c>
      <c r="D5538" s="2">
        <v>0</v>
      </c>
      <c r="E5538" s="2">
        <v>0</v>
      </c>
      <c r="F5538" s="2">
        <v>3.5678703180116799E-4</v>
      </c>
    </row>
    <row r="5539" spans="1:6" x14ac:dyDescent="0.25">
      <c r="A5539" s="1" t="str">
        <f t="shared" si="209"/>
        <v>16300</v>
      </c>
      <c r="B5539" s="1" t="str">
        <f>"52214"</f>
        <v>52214</v>
      </c>
      <c r="C5539" s="2">
        <v>1.17274046909618E-2</v>
      </c>
      <c r="D5539" s="2">
        <v>2.8419508617528399E-3</v>
      </c>
      <c r="E5539" s="2">
        <v>3.2592592592592499E-3</v>
      </c>
      <c r="F5539" s="2">
        <v>1.06901472924576E-2</v>
      </c>
    </row>
    <row r="5540" spans="1:6" x14ac:dyDescent="0.25">
      <c r="A5540" s="1" t="str">
        <f t="shared" si="209"/>
        <v>16300</v>
      </c>
      <c r="B5540" s="1" t="str">
        <f>"52206"</f>
        <v>52206</v>
      </c>
      <c r="C5540" s="2">
        <v>7.8386431354572506E-3</v>
      </c>
      <c r="D5540" s="2">
        <v>2.6585991932526502E-3</v>
      </c>
      <c r="E5540" s="2">
        <v>2.2222222222222201E-3</v>
      </c>
      <c r="F5540" s="2">
        <v>7.2030589439103796E-3</v>
      </c>
    </row>
    <row r="5541" spans="1:6" x14ac:dyDescent="0.25">
      <c r="A5541" s="1" t="str">
        <f t="shared" si="209"/>
        <v>16300</v>
      </c>
      <c r="B5541" s="1" t="str">
        <f>"52315"</f>
        <v>52315</v>
      </c>
      <c r="C5541" s="2">
        <v>3.10948124379249E-3</v>
      </c>
      <c r="D5541" s="2">
        <v>6.4173083975064096E-4</v>
      </c>
      <c r="E5541" s="2">
        <v>4.4444444444444398E-4</v>
      </c>
      <c r="F5541" s="2">
        <v>2.80717343888844E-3</v>
      </c>
    </row>
    <row r="5542" spans="1:6" x14ac:dyDescent="0.25">
      <c r="A5542" s="1" t="str">
        <f t="shared" si="209"/>
        <v>16300</v>
      </c>
      <c r="B5542" s="1" t="str">
        <f>"52351"</f>
        <v>52351</v>
      </c>
      <c r="C5542" s="2">
        <v>4.0644816257926503E-3</v>
      </c>
      <c r="D5542" s="2">
        <v>9.1675834250091602E-4</v>
      </c>
      <c r="E5542" s="2">
        <v>1.9259259259259199E-3</v>
      </c>
      <c r="F5542" s="2">
        <v>3.7361660877292101E-3</v>
      </c>
    </row>
    <row r="5543" spans="1:6" x14ac:dyDescent="0.25">
      <c r="A5543" s="1" t="str">
        <f t="shared" si="209"/>
        <v>16300</v>
      </c>
      <c r="B5543" s="1" t="str">
        <f>"52253"</f>
        <v>52253</v>
      </c>
      <c r="C5543" s="2">
        <v>7.7316830926732298E-3</v>
      </c>
      <c r="D5543" s="2">
        <v>5.6839017235056797E-3</v>
      </c>
      <c r="E5543" s="2">
        <v>7.25925925925925E-3</v>
      </c>
      <c r="F5543" s="2">
        <v>7.5598459757115497E-3</v>
      </c>
    </row>
    <row r="5544" spans="1:6" x14ac:dyDescent="0.25">
      <c r="A5544" s="1" t="str">
        <f t="shared" si="209"/>
        <v>16300</v>
      </c>
      <c r="B5544" s="1" t="str">
        <f>"52344"</f>
        <v>52344</v>
      </c>
      <c r="C5544" s="2">
        <v>0</v>
      </c>
      <c r="D5544" s="2">
        <v>9.1675834250091594E-5</v>
      </c>
      <c r="E5544" s="2">
        <v>1.4814814814814801E-4</v>
      </c>
      <c r="F5544" s="2">
        <v>1.34636615774025E-5</v>
      </c>
    </row>
    <row r="5545" spans="1:6" x14ac:dyDescent="0.25">
      <c r="A5545" s="1" t="str">
        <f t="shared" si="209"/>
        <v>16300</v>
      </c>
      <c r="B5545" s="1" t="str">
        <f>"52305"</f>
        <v>52305</v>
      </c>
      <c r="C5545" s="2">
        <v>2.37604095041638E-3</v>
      </c>
      <c r="D5545" s="2">
        <v>9.1675834250091594E-5</v>
      </c>
      <c r="E5545" s="2">
        <v>4.4444444444444398E-4</v>
      </c>
      <c r="F5545" s="2">
        <v>2.1205266984408999E-3</v>
      </c>
    </row>
    <row r="5546" spans="1:6" x14ac:dyDescent="0.25">
      <c r="A5546" s="1" t="str">
        <f t="shared" si="209"/>
        <v>16300</v>
      </c>
      <c r="B5546" s="1" t="str">
        <f>"52320"</f>
        <v>52320</v>
      </c>
      <c r="C5546" s="2">
        <v>4.19436167774467E-3</v>
      </c>
      <c r="D5546" s="2">
        <v>2.1085441877520998E-3</v>
      </c>
      <c r="E5546" s="2">
        <v>1.62962962962962E-3</v>
      </c>
      <c r="F5546" s="2">
        <v>3.9246573498128504E-3</v>
      </c>
    </row>
    <row r="5547" spans="1:6" x14ac:dyDescent="0.25">
      <c r="A5547" s="1" t="str">
        <f t="shared" si="209"/>
        <v>16300</v>
      </c>
      <c r="B5547" s="1" t="str">
        <f>"52310"</f>
        <v>52310</v>
      </c>
      <c r="C5547" s="2">
        <v>2.2843609137443599E-2</v>
      </c>
      <c r="D5547" s="2">
        <v>3.0619728639530601E-2</v>
      </c>
      <c r="E5547" s="2">
        <v>1.9851851851851801E-2</v>
      </c>
      <c r="F5547" s="2">
        <v>2.3278670867329002E-2</v>
      </c>
    </row>
    <row r="5548" spans="1:6" x14ac:dyDescent="0.25">
      <c r="A5548" s="1" t="str">
        <f t="shared" si="209"/>
        <v>16300</v>
      </c>
      <c r="B5548" s="1" t="str">
        <f>"52324"</f>
        <v>52324</v>
      </c>
      <c r="C5548" s="2">
        <v>7.7928031171212398E-3</v>
      </c>
      <c r="D5548" s="2">
        <v>3.3920058672533902E-3</v>
      </c>
      <c r="E5548" s="2">
        <v>8.8888888888888796E-4</v>
      </c>
      <c r="F5548" s="2">
        <v>7.15593612838947E-3</v>
      </c>
    </row>
    <row r="5549" spans="1:6" x14ac:dyDescent="0.25">
      <c r="A5549" s="1" t="str">
        <f t="shared" si="209"/>
        <v>16300</v>
      </c>
      <c r="B5549" s="1" t="str">
        <f>"52402"</f>
        <v>52402</v>
      </c>
      <c r="C5549" s="2">
        <v>0.14752845901138301</v>
      </c>
      <c r="D5549" s="2">
        <v>0.191327466079941</v>
      </c>
      <c r="E5549" s="2">
        <v>0.22059259259259201</v>
      </c>
      <c r="F5549" s="2">
        <v>0.15406467943021701</v>
      </c>
    </row>
    <row r="5550" spans="1:6" x14ac:dyDescent="0.25">
      <c r="A5550" s="1" t="str">
        <f t="shared" ref="A5550:A5584" si="210">"16300"</f>
        <v>16300</v>
      </c>
      <c r="B5550" s="1" t="str">
        <f>"52349"</f>
        <v>52349</v>
      </c>
      <c r="C5550" s="2">
        <v>2.5914890365956102E-2</v>
      </c>
      <c r="D5550" s="2">
        <v>3.1169783645031101E-2</v>
      </c>
      <c r="E5550" s="2">
        <v>2.1037037037037E-2</v>
      </c>
      <c r="F5550" s="2">
        <v>2.6079112475428799E-2</v>
      </c>
    </row>
    <row r="5551" spans="1:6" x14ac:dyDescent="0.25">
      <c r="A5551" s="1" t="str">
        <f t="shared" si="210"/>
        <v>16300</v>
      </c>
      <c r="B5551" s="1" t="str">
        <f>"52406"</f>
        <v>52406</v>
      </c>
      <c r="C5551" s="2">
        <v>1.35533654213461E-2</v>
      </c>
      <c r="D5551" s="2">
        <v>5.9222588925559198E-2</v>
      </c>
      <c r="E5551" s="2">
        <v>2.9629629629629602E-4</v>
      </c>
      <c r="F5551" s="2">
        <v>1.6304494170234499E-2</v>
      </c>
    </row>
    <row r="5552" spans="1:6" x14ac:dyDescent="0.25">
      <c r="A5552" s="1" t="str">
        <f t="shared" si="210"/>
        <v>16300</v>
      </c>
      <c r="B5552" s="1" t="str">
        <f>"52212"</f>
        <v>52212</v>
      </c>
      <c r="C5552" s="2">
        <v>1.35228054091221E-3</v>
      </c>
      <c r="D5552" s="2">
        <v>1.28346167950128E-3</v>
      </c>
      <c r="E5552" s="2">
        <v>2.9629629629629602E-4</v>
      </c>
      <c r="F5552" s="2">
        <v>1.2992433422193399E-3</v>
      </c>
    </row>
    <row r="5553" spans="1:6" x14ac:dyDescent="0.25">
      <c r="A5553" s="1" t="str">
        <f t="shared" si="210"/>
        <v>16300</v>
      </c>
      <c r="B5553" s="1" t="str">
        <f>"52338"</f>
        <v>52338</v>
      </c>
      <c r="C5553" s="2">
        <v>1.06960042784017E-4</v>
      </c>
      <c r="D5553" s="2">
        <v>0</v>
      </c>
      <c r="E5553" s="2">
        <v>0</v>
      </c>
      <c r="F5553" s="2">
        <v>9.42456310418181E-5</v>
      </c>
    </row>
    <row r="5554" spans="1:6" x14ac:dyDescent="0.25">
      <c r="A5554" s="1" t="str">
        <f t="shared" si="210"/>
        <v>16300</v>
      </c>
      <c r="B5554" s="1" t="str">
        <f>"52249"</f>
        <v>52249</v>
      </c>
      <c r="C5554" s="2">
        <v>3.1935212774085102E-3</v>
      </c>
      <c r="D5554" s="2">
        <v>2.1085441877520998E-3</v>
      </c>
      <c r="E5554" s="2">
        <v>1.62962962962962E-3</v>
      </c>
      <c r="F5554" s="2">
        <v>3.0427875164929798E-3</v>
      </c>
    </row>
    <row r="5555" spans="1:6" x14ac:dyDescent="0.25">
      <c r="A5555" s="1" t="str">
        <f t="shared" si="210"/>
        <v>16300</v>
      </c>
      <c r="B5555" s="1" t="str">
        <f>"52336"</f>
        <v>52336</v>
      </c>
      <c r="C5555" s="2">
        <v>8.2130032852013105E-3</v>
      </c>
      <c r="D5555" s="2">
        <v>2.3835716905023798E-3</v>
      </c>
      <c r="E5555" s="2">
        <v>2.8148148148148099E-3</v>
      </c>
      <c r="F5555" s="2">
        <v>7.5396504833454498E-3</v>
      </c>
    </row>
    <row r="5556" spans="1:6" x14ac:dyDescent="0.25">
      <c r="A5556" s="1" t="str">
        <f t="shared" si="210"/>
        <v>16300</v>
      </c>
      <c r="B5556" s="1" t="str">
        <f>"52313"</f>
        <v>52313</v>
      </c>
      <c r="C5556" s="2">
        <v>1.5738406295362499E-3</v>
      </c>
      <c r="D5556" s="2">
        <v>5.5005500550055003E-4</v>
      </c>
      <c r="E5556" s="2">
        <v>4.4444444444444398E-4</v>
      </c>
      <c r="F5556" s="2">
        <v>1.4473436195707699E-3</v>
      </c>
    </row>
    <row r="5557" spans="1:6" x14ac:dyDescent="0.25">
      <c r="A5557" s="1" t="str">
        <f t="shared" si="210"/>
        <v>16300</v>
      </c>
      <c r="B5557" s="1" t="str">
        <f>"52233"</f>
        <v>52233</v>
      </c>
      <c r="C5557" s="2">
        <v>2.7282450912980299E-2</v>
      </c>
      <c r="D5557" s="2">
        <v>5.1796846351301697E-2</v>
      </c>
      <c r="E5557" s="2">
        <v>3.7185185185185099E-2</v>
      </c>
      <c r="F5557" s="2">
        <v>2.9532541670032501E-2</v>
      </c>
    </row>
    <row r="5558" spans="1:6" x14ac:dyDescent="0.25">
      <c r="A5558" s="1" t="str">
        <f t="shared" si="210"/>
        <v>16300</v>
      </c>
      <c r="B5558" s="1" t="str">
        <f>"52332"</f>
        <v>52332</v>
      </c>
      <c r="C5558" s="2">
        <v>7.2427228970891504E-3</v>
      </c>
      <c r="D5558" s="2">
        <v>2.3835716905023798E-3</v>
      </c>
      <c r="E5558" s="2">
        <v>2.2222222222222201E-3</v>
      </c>
      <c r="F5558" s="2">
        <v>6.6577806500255797E-3</v>
      </c>
    </row>
    <row r="5559" spans="1:6" x14ac:dyDescent="0.25">
      <c r="A5559" s="1" t="str">
        <f t="shared" si="210"/>
        <v>16300</v>
      </c>
      <c r="B5559" s="1" t="str">
        <f>"52257"</f>
        <v>52257</v>
      </c>
      <c r="C5559" s="2">
        <v>9.8556039422415692E-4</v>
      </c>
      <c r="D5559" s="2">
        <v>1.83351668500183E-4</v>
      </c>
      <c r="E5559" s="2">
        <v>1.4814814814814801E-4</v>
      </c>
      <c r="F5559" s="2">
        <v>8.8860166410857004E-4</v>
      </c>
    </row>
    <row r="5560" spans="1:6" x14ac:dyDescent="0.25">
      <c r="A5560" s="1" t="str">
        <f t="shared" si="210"/>
        <v>16300</v>
      </c>
      <c r="B5560" s="1" t="str">
        <f>"52301"</f>
        <v>52301</v>
      </c>
      <c r="C5560" s="2">
        <v>1.52800061120024E-4</v>
      </c>
      <c r="D5560" s="2">
        <v>0</v>
      </c>
      <c r="E5560" s="2">
        <v>0</v>
      </c>
      <c r="F5560" s="2">
        <v>1.3463661577402499E-4</v>
      </c>
    </row>
    <row r="5561" spans="1:6" x14ac:dyDescent="0.25">
      <c r="A5561" s="1" t="str">
        <f t="shared" si="210"/>
        <v>16300</v>
      </c>
      <c r="B5561" s="1" t="str">
        <f>"52498"</f>
        <v>52498</v>
      </c>
      <c r="C5561" s="2">
        <v>0</v>
      </c>
      <c r="D5561" s="2">
        <v>9.1675834250091594E-5</v>
      </c>
      <c r="E5561" s="2">
        <v>7.4074074074074005E-4</v>
      </c>
      <c r="F5561" s="2">
        <v>4.03909847322077E-5</v>
      </c>
    </row>
    <row r="5562" spans="1:6" x14ac:dyDescent="0.25">
      <c r="A5562" s="1" t="str">
        <f t="shared" si="210"/>
        <v>16300</v>
      </c>
      <c r="B5562" s="1" t="str">
        <f>"52210"</f>
        <v>52210</v>
      </c>
      <c r="C5562" s="2">
        <v>2.7504011001604401E-4</v>
      </c>
      <c r="D5562" s="2">
        <v>0</v>
      </c>
      <c r="E5562" s="2">
        <v>0</v>
      </c>
      <c r="F5562" s="2">
        <v>2.42345908393246E-4</v>
      </c>
    </row>
    <row r="5563" spans="1:6" x14ac:dyDescent="0.25">
      <c r="A5563" s="1" t="str">
        <f t="shared" si="210"/>
        <v>16300</v>
      </c>
      <c r="B5563" s="1" t="str">
        <f>"52410"</f>
        <v>52410</v>
      </c>
      <c r="C5563" s="2">
        <v>5.5924822369928899E-3</v>
      </c>
      <c r="D5563" s="2">
        <v>2.97946461312797E-2</v>
      </c>
      <c r="E5563" s="2">
        <v>2.9629629629629602E-4</v>
      </c>
      <c r="F5563" s="2">
        <v>7.1290088052346698E-3</v>
      </c>
    </row>
    <row r="5564" spans="1:6" x14ac:dyDescent="0.25">
      <c r="A5564" s="1" t="str">
        <f t="shared" si="210"/>
        <v>16300</v>
      </c>
      <c r="B5564" s="1" t="str">
        <f>"52225"</f>
        <v>52225</v>
      </c>
      <c r="C5564" s="2">
        <v>1.52800061120024E-4</v>
      </c>
      <c r="D5564" s="2">
        <v>9.1675834250091594E-5</v>
      </c>
      <c r="E5564" s="2">
        <v>0</v>
      </c>
      <c r="F5564" s="2">
        <v>1.4136844656272699E-4</v>
      </c>
    </row>
    <row r="5565" spans="1:6" x14ac:dyDescent="0.25">
      <c r="A5565" s="1" t="str">
        <f t="shared" si="210"/>
        <v>16300</v>
      </c>
      <c r="B5565" s="1" t="str">
        <f>"52346"</f>
        <v>52346</v>
      </c>
      <c r="C5565" s="2">
        <v>4.0262816105126401E-3</v>
      </c>
      <c r="D5565" s="2">
        <v>5.5005500550055003E-4</v>
      </c>
      <c r="E5565" s="2">
        <v>1.9259259259259199E-3</v>
      </c>
      <c r="F5565" s="2">
        <v>3.6755796106309E-3</v>
      </c>
    </row>
    <row r="5566" spans="1:6" x14ac:dyDescent="0.25">
      <c r="A5566" s="1" t="str">
        <f t="shared" si="210"/>
        <v>16300</v>
      </c>
      <c r="B5566" s="1" t="str">
        <f>"52208"</f>
        <v>52208</v>
      </c>
      <c r="C5566" s="2">
        <v>1.10092444036977E-2</v>
      </c>
      <c r="D5566" s="2">
        <v>1.22845617895122E-2</v>
      </c>
      <c r="E5566" s="2">
        <v>6.2222222222222201E-3</v>
      </c>
      <c r="F5566" s="2">
        <v>1.08853703853299E-2</v>
      </c>
    </row>
    <row r="5567" spans="1:6" x14ac:dyDescent="0.25">
      <c r="A5567" s="1" t="str">
        <f t="shared" si="210"/>
        <v>16300</v>
      </c>
      <c r="B5567" s="1" t="str">
        <f>"52227"</f>
        <v>52227</v>
      </c>
      <c r="C5567" s="2">
        <v>9.7333638933455504E-3</v>
      </c>
      <c r="D5567" s="2">
        <v>2.3835716905023798E-3</v>
      </c>
      <c r="E5567" s="2">
        <v>4.0000000000000001E-3</v>
      </c>
      <c r="F5567" s="2">
        <v>8.9331394566066098E-3</v>
      </c>
    </row>
    <row r="5568" spans="1:6" x14ac:dyDescent="0.25">
      <c r="A5568" s="1" t="str">
        <f t="shared" si="210"/>
        <v>16300</v>
      </c>
      <c r="B5568" s="1" t="str">
        <f>"52228"</f>
        <v>52228</v>
      </c>
      <c r="C5568" s="2">
        <v>1.14141645656658E-2</v>
      </c>
      <c r="D5568" s="2">
        <v>3.6670333700036602E-3</v>
      </c>
      <c r="E5568" s="2">
        <v>3.2592592592592499E-3</v>
      </c>
      <c r="F5568" s="2">
        <v>1.0474728707219201E-2</v>
      </c>
    </row>
    <row r="5569" spans="1:6" x14ac:dyDescent="0.25">
      <c r="A5569" s="1" t="str">
        <f t="shared" si="210"/>
        <v>16300</v>
      </c>
      <c r="B5569" s="1" t="str">
        <f>"52352"</f>
        <v>52352</v>
      </c>
      <c r="C5569" s="2">
        <v>5.2792421116968401E-3</v>
      </c>
      <c r="D5569" s="2">
        <v>3.66703337000366E-4</v>
      </c>
      <c r="E5569" s="2">
        <v>7.4074074074074005E-4</v>
      </c>
      <c r="F5569" s="2">
        <v>4.7122815520909004E-3</v>
      </c>
    </row>
    <row r="5570" spans="1:6" x14ac:dyDescent="0.25">
      <c r="A5570" s="1" t="str">
        <f t="shared" si="210"/>
        <v>16300</v>
      </c>
      <c r="B5570" s="1" t="str">
        <f>"52341"</f>
        <v>52341</v>
      </c>
      <c r="C5570" s="2">
        <v>3.68248147299258E-3</v>
      </c>
      <c r="D5570" s="2">
        <v>5.5005500550055003E-4</v>
      </c>
      <c r="E5570" s="2">
        <v>4.4444444444444398E-4</v>
      </c>
      <c r="F5570" s="2">
        <v>3.3053289172523298E-3</v>
      </c>
    </row>
    <row r="5571" spans="1:6" x14ac:dyDescent="0.25">
      <c r="A5571" s="1" t="str">
        <f t="shared" si="210"/>
        <v>16300</v>
      </c>
      <c r="B5571" s="1" t="str">
        <f>"52237"</f>
        <v>52237</v>
      </c>
      <c r="C5571" s="2">
        <v>2.29200091680036E-5</v>
      </c>
      <c r="D5571" s="2">
        <v>0</v>
      </c>
      <c r="E5571" s="2">
        <v>0</v>
      </c>
      <c r="F5571" s="2">
        <v>2.0195492366103799E-5</v>
      </c>
    </row>
    <row r="5572" spans="1:6" x14ac:dyDescent="0.25">
      <c r="A5572" s="1" t="str">
        <f t="shared" si="210"/>
        <v>16300</v>
      </c>
      <c r="B5572" s="1" t="str">
        <f>"52309"</f>
        <v>52309</v>
      </c>
      <c r="C5572" s="2">
        <v>4.73680189472075E-4</v>
      </c>
      <c r="D5572" s="2">
        <v>1.83351668500183E-4</v>
      </c>
      <c r="E5572" s="2">
        <v>1.4814814814814801E-4</v>
      </c>
      <c r="F5572" s="2">
        <v>4.37569001265584E-4</v>
      </c>
    </row>
    <row r="5573" spans="1:6" x14ac:dyDescent="0.25">
      <c r="A5573" s="1" t="str">
        <f t="shared" si="210"/>
        <v>16300</v>
      </c>
      <c r="B5573" s="1" t="str">
        <f>"52312"</f>
        <v>52312</v>
      </c>
      <c r="C5573" s="2">
        <v>3.8964015585606201E-4</v>
      </c>
      <c r="D5573" s="2">
        <v>5.5005500550055003E-4</v>
      </c>
      <c r="E5573" s="2">
        <v>0</v>
      </c>
      <c r="F5573" s="2">
        <v>3.8371435495597299E-4</v>
      </c>
    </row>
    <row r="5574" spans="1:6" x14ac:dyDescent="0.25">
      <c r="A5574" s="1" t="str">
        <f t="shared" si="210"/>
        <v>16300</v>
      </c>
      <c r="B5574" s="1" t="str">
        <f>"52409"</f>
        <v>52409</v>
      </c>
      <c r="C5574" s="2">
        <v>4.4846817938727097E-3</v>
      </c>
      <c r="D5574" s="2">
        <v>7.79244591125779E-3</v>
      </c>
      <c r="E5574" s="2">
        <v>2.9629629629629602E-4</v>
      </c>
      <c r="F5574" s="2">
        <v>4.5372539515846702E-3</v>
      </c>
    </row>
    <row r="5575" spans="1:6" x14ac:dyDescent="0.25">
      <c r="A5575" s="1" t="str">
        <f t="shared" si="210"/>
        <v>16300</v>
      </c>
      <c r="B5575" s="1" t="str">
        <f>"52302"</f>
        <v>52302</v>
      </c>
      <c r="C5575" s="2">
        <v>0.152914661165864</v>
      </c>
      <c r="D5575" s="2">
        <v>0.111477814448111</v>
      </c>
      <c r="E5575" s="2">
        <v>0.138222222222222</v>
      </c>
      <c r="F5575" s="2">
        <v>0.149204297600775</v>
      </c>
    </row>
    <row r="5576" spans="1:6" x14ac:dyDescent="0.25">
      <c r="A5576" s="1" t="str">
        <f t="shared" si="210"/>
        <v>16300</v>
      </c>
      <c r="B5576" s="1" t="str">
        <f>"52218"</f>
        <v>52218</v>
      </c>
      <c r="C5576" s="2">
        <v>4.52288180915272E-3</v>
      </c>
      <c r="D5576" s="2">
        <v>5.5005500550055003E-4</v>
      </c>
      <c r="E5576" s="2">
        <v>1.7777777777777701E-3</v>
      </c>
      <c r="F5576" s="2">
        <v>4.1064167811077903E-3</v>
      </c>
    </row>
    <row r="5577" spans="1:6" x14ac:dyDescent="0.25">
      <c r="A5577" s="1" t="str">
        <f t="shared" si="210"/>
        <v>16300</v>
      </c>
      <c r="B5577" s="1" t="str">
        <f>"52318"</f>
        <v>52318</v>
      </c>
      <c r="C5577" s="2">
        <v>2.94904117961647E-3</v>
      </c>
      <c r="D5577" s="2">
        <v>1.74184085075174E-3</v>
      </c>
      <c r="E5577" s="2">
        <v>1.18518518518518E-3</v>
      </c>
      <c r="F5577" s="2">
        <v>2.7802461157336298E-3</v>
      </c>
    </row>
    <row r="5578" spans="1:6" x14ac:dyDescent="0.25">
      <c r="A5578" s="1" t="str">
        <f t="shared" si="210"/>
        <v>16300</v>
      </c>
      <c r="B5578" s="1" t="str">
        <f>"52224"</f>
        <v>52224</v>
      </c>
      <c r="C5578" s="2">
        <v>1.0619604247841599E-3</v>
      </c>
      <c r="D5578" s="2">
        <v>4.5837917125045801E-4</v>
      </c>
      <c r="E5578" s="2">
        <v>2.9629629629629602E-4</v>
      </c>
      <c r="F5578" s="2">
        <v>9.8284729515038896E-4</v>
      </c>
    </row>
    <row r="5579" spans="1:6" x14ac:dyDescent="0.25">
      <c r="A5579" s="1" t="str">
        <f t="shared" si="210"/>
        <v>16300</v>
      </c>
      <c r="B5579" s="1" t="str">
        <f>"52216"</f>
        <v>52216</v>
      </c>
      <c r="C5579" s="2">
        <v>1.6808006723202599E-4</v>
      </c>
      <c r="D5579" s="2">
        <v>0</v>
      </c>
      <c r="E5579" s="2">
        <v>0</v>
      </c>
      <c r="F5579" s="2">
        <v>1.4810027735142801E-4</v>
      </c>
    </row>
    <row r="5580" spans="1:6" x14ac:dyDescent="0.25">
      <c r="A5580" s="1" t="str">
        <f t="shared" si="210"/>
        <v>16300</v>
      </c>
      <c r="B5580" s="1" t="str">
        <f>"52209"</f>
        <v>52209</v>
      </c>
      <c r="C5580" s="2">
        <v>2.5670410268164101E-3</v>
      </c>
      <c r="D5580" s="2">
        <v>6.4173083975064096E-4</v>
      </c>
      <c r="E5580" s="2">
        <v>4.4444444444444398E-4</v>
      </c>
      <c r="F5580" s="2">
        <v>2.32921345289064E-3</v>
      </c>
    </row>
    <row r="5581" spans="1:6" x14ac:dyDescent="0.25">
      <c r="A5581" s="1" t="str">
        <f t="shared" si="210"/>
        <v>16300</v>
      </c>
      <c r="B5581" s="1" t="str">
        <f>"52362"</f>
        <v>52362</v>
      </c>
      <c r="C5581" s="2">
        <v>4.1638016655206602E-3</v>
      </c>
      <c r="D5581" s="2">
        <v>2.3835716905023798E-3</v>
      </c>
      <c r="E5581" s="2">
        <v>1.9259259259259199E-3</v>
      </c>
      <c r="F5581" s="2">
        <v>3.9313891806015498E-3</v>
      </c>
    </row>
    <row r="5582" spans="1:6" x14ac:dyDescent="0.25">
      <c r="A5582" s="1" t="str">
        <f t="shared" si="210"/>
        <v>16300</v>
      </c>
      <c r="B5582" s="1" t="str">
        <f>"52403"</f>
        <v>52403</v>
      </c>
      <c r="C5582" s="2">
        <v>8.5728474291389703E-2</v>
      </c>
      <c r="D5582" s="2">
        <v>4.0612394572790603E-2</v>
      </c>
      <c r="E5582" s="2">
        <v>8.2666666666666597E-2</v>
      </c>
      <c r="F5582" s="2">
        <v>8.22764358995072E-2</v>
      </c>
    </row>
    <row r="5583" spans="1:6" x14ac:dyDescent="0.25">
      <c r="A5583" s="1" t="str">
        <f t="shared" si="210"/>
        <v>16300</v>
      </c>
      <c r="B5583" s="1" t="str">
        <f>"52401"</f>
        <v>52401</v>
      </c>
      <c r="C5583" s="2">
        <v>1.251432500573E-2</v>
      </c>
      <c r="D5583" s="2">
        <v>9.7451411807847402E-2</v>
      </c>
      <c r="E5583" s="2">
        <v>2.7259259259259198E-2</v>
      </c>
      <c r="F5583" s="2">
        <v>1.9421331825403201E-2</v>
      </c>
    </row>
    <row r="5584" spans="1:6" x14ac:dyDescent="0.25">
      <c r="A5584" s="1" t="str">
        <f t="shared" si="210"/>
        <v>16300</v>
      </c>
      <c r="B5584" s="1" t="str">
        <f>"52252"</f>
        <v>52252</v>
      </c>
      <c r="C5584" s="2">
        <v>1.6044006417602501E-4</v>
      </c>
      <c r="D5584" s="2">
        <v>1.83351668500183E-4</v>
      </c>
      <c r="E5584" s="2">
        <v>0</v>
      </c>
      <c r="F5584" s="2">
        <v>1.54832108140129E-4</v>
      </c>
    </row>
    <row r="5585" spans="1:6" x14ac:dyDescent="0.25">
      <c r="A5585" s="1" t="str">
        <f t="shared" ref="A5585:A5593" si="211">"16340"</f>
        <v>16340</v>
      </c>
      <c r="B5585" s="1" t="str">
        <f>"30178"</f>
        <v>30178</v>
      </c>
      <c r="C5585" s="2">
        <v>7.75279654446782E-3</v>
      </c>
      <c r="D5585" s="2">
        <v>4.1265474552957303E-3</v>
      </c>
      <c r="E5585" s="2">
        <v>0</v>
      </c>
      <c r="F5585" s="2">
        <v>7.3451728127987099E-3</v>
      </c>
    </row>
    <row r="5586" spans="1:6" x14ac:dyDescent="0.25">
      <c r="A5586" s="1" t="str">
        <f t="shared" si="211"/>
        <v>16340</v>
      </c>
      <c r="B5586" s="1" t="str">
        <f>"30125"</f>
        <v>30125</v>
      </c>
      <c r="C5586" s="2">
        <v>0.55842285967438199</v>
      </c>
      <c r="D5586" s="2">
        <v>0.60110041265474501</v>
      </c>
      <c r="E5586" s="2">
        <v>0.74794520547945198</v>
      </c>
      <c r="F5586" s="2">
        <v>0.56502490315439902</v>
      </c>
    </row>
    <row r="5587" spans="1:6" x14ac:dyDescent="0.25">
      <c r="A5587" s="1" t="str">
        <f t="shared" si="211"/>
        <v>16340</v>
      </c>
      <c r="B5587" s="1" t="str">
        <f>"30104"</f>
        <v>30104</v>
      </c>
      <c r="C5587" s="2">
        <v>7.9632295935319494E-2</v>
      </c>
      <c r="D5587" s="2">
        <v>2.3383768913342502E-2</v>
      </c>
      <c r="E5587" s="2">
        <v>2.1917808219177999E-2</v>
      </c>
      <c r="F5587" s="2">
        <v>7.4457916184534803E-2</v>
      </c>
    </row>
    <row r="5588" spans="1:6" x14ac:dyDescent="0.25">
      <c r="A5588" s="1" t="str">
        <f t="shared" si="211"/>
        <v>16340</v>
      </c>
      <c r="B5588" s="1" t="str">
        <f>"30173"</f>
        <v>30173</v>
      </c>
      <c r="C5588" s="2">
        <v>6.81138553549673E-3</v>
      </c>
      <c r="D5588" s="2">
        <v>6.8775790921595502E-4</v>
      </c>
      <c r="E5588" s="2">
        <v>0</v>
      </c>
      <c r="F5588" s="2">
        <v>6.23836595059616E-3</v>
      </c>
    </row>
    <row r="5589" spans="1:6" x14ac:dyDescent="0.25">
      <c r="A5589" s="1" t="str">
        <f t="shared" si="211"/>
        <v>16340</v>
      </c>
      <c r="B5589" s="1" t="str">
        <f>"30138"</f>
        <v>30138</v>
      </c>
      <c r="C5589" s="2">
        <v>0</v>
      </c>
      <c r="D5589" s="2">
        <v>0</v>
      </c>
      <c r="E5589" s="2">
        <v>2.7397260273972599E-3</v>
      </c>
      <c r="F5589" s="2">
        <v>5.0309402827388398E-5</v>
      </c>
    </row>
    <row r="5590" spans="1:6" x14ac:dyDescent="0.25">
      <c r="A5590" s="1" t="str">
        <f t="shared" si="211"/>
        <v>16340</v>
      </c>
      <c r="B5590" s="1" t="str">
        <f>"30153"</f>
        <v>30153</v>
      </c>
      <c r="C5590" s="2">
        <v>0.32827555654003698</v>
      </c>
      <c r="D5590" s="2">
        <v>0.36795048143053599</v>
      </c>
      <c r="E5590" s="2">
        <v>0.227397260273972</v>
      </c>
      <c r="F5590" s="2">
        <v>0.32932535090808401</v>
      </c>
    </row>
    <row r="5591" spans="1:6" x14ac:dyDescent="0.25">
      <c r="A5591" s="1" t="str">
        <f t="shared" si="211"/>
        <v>16340</v>
      </c>
      <c r="B5591" s="1" t="str">
        <f>"30113"</f>
        <v>30113</v>
      </c>
      <c r="C5591" s="2">
        <v>1.5173330379887001E-2</v>
      </c>
      <c r="D5591" s="2">
        <v>2.06327372764786E-3</v>
      </c>
      <c r="E5591" s="2">
        <v>0</v>
      </c>
      <c r="F5591" s="2">
        <v>1.3935704583186499E-2</v>
      </c>
    </row>
    <row r="5592" spans="1:6" x14ac:dyDescent="0.25">
      <c r="A5592" s="1" t="str">
        <f t="shared" si="211"/>
        <v>16340</v>
      </c>
      <c r="B5592" s="1" t="str">
        <f>"30124"</f>
        <v>30124</v>
      </c>
      <c r="C5592" s="2">
        <v>6.0914829992247195E-4</v>
      </c>
      <c r="D5592" s="2">
        <v>0</v>
      </c>
      <c r="E5592" s="2">
        <v>0</v>
      </c>
      <c r="F5592" s="2">
        <v>5.5340343110127203E-4</v>
      </c>
    </row>
    <row r="5593" spans="1:6" x14ac:dyDescent="0.25">
      <c r="A5593" s="1" t="str">
        <f t="shared" si="211"/>
        <v>16340</v>
      </c>
      <c r="B5593" s="1" t="str">
        <f>"30147"</f>
        <v>30147</v>
      </c>
      <c r="C5593" s="2">
        <v>3.32262709048621E-3</v>
      </c>
      <c r="D5593" s="2">
        <v>6.8775790921595502E-4</v>
      </c>
      <c r="E5593" s="2">
        <v>0</v>
      </c>
      <c r="F5593" s="2">
        <v>3.0688735724706899E-3</v>
      </c>
    </row>
    <row r="5594" spans="1:6" x14ac:dyDescent="0.25">
      <c r="A5594" s="1" t="str">
        <f t="shared" ref="A5594:A5611" si="212">"16380"</f>
        <v>16380</v>
      </c>
      <c r="B5594" s="1" t="str">
        <f>"45898"</f>
        <v>45898</v>
      </c>
      <c r="C5594" s="2">
        <v>4.69611751214983E-3</v>
      </c>
      <c r="D5594" s="2">
        <v>7.1839080459770103E-4</v>
      </c>
      <c r="E5594" s="2">
        <v>0</v>
      </c>
      <c r="F5594" s="2">
        <v>4.3367728428293697E-3</v>
      </c>
    </row>
    <row r="5595" spans="1:6" x14ac:dyDescent="0.25">
      <c r="A5595" s="1" t="str">
        <f t="shared" si="212"/>
        <v>16380</v>
      </c>
      <c r="B5595" s="1" t="str">
        <f>"45862"</f>
        <v>45862</v>
      </c>
      <c r="C5595" s="2">
        <v>2.76306448970676E-2</v>
      </c>
      <c r="D5595" s="2">
        <v>7.9022988505747099E-3</v>
      </c>
      <c r="E5595" s="2">
        <v>8.4269662921348295E-3</v>
      </c>
      <c r="F5595" s="2">
        <v>2.59209411295548E-2</v>
      </c>
    </row>
    <row r="5596" spans="1:6" x14ac:dyDescent="0.25">
      <c r="A5596" s="1" t="str">
        <f t="shared" si="212"/>
        <v>16380</v>
      </c>
      <c r="B5596" s="1" t="str">
        <f>"45388"</f>
        <v>45388</v>
      </c>
      <c r="C5596" s="2">
        <v>2.1842407033255E-4</v>
      </c>
      <c r="D5596" s="2">
        <v>0</v>
      </c>
      <c r="E5596" s="2">
        <v>0</v>
      </c>
      <c r="F5596" s="2">
        <v>1.9939185484272901E-4</v>
      </c>
    </row>
    <row r="5597" spans="1:6" x14ac:dyDescent="0.25">
      <c r="A5597" s="1" t="str">
        <f t="shared" si="212"/>
        <v>16380</v>
      </c>
      <c r="B5597" s="1" t="str">
        <f>"45885"</f>
        <v>45885</v>
      </c>
      <c r="C5597" s="2">
        <v>1.7473925626604E-3</v>
      </c>
      <c r="D5597" s="2">
        <v>0</v>
      </c>
      <c r="E5597" s="2">
        <v>0</v>
      </c>
      <c r="F5597" s="2">
        <v>1.5951348387418299E-3</v>
      </c>
    </row>
    <row r="5598" spans="1:6" x14ac:dyDescent="0.25">
      <c r="A5598" s="1" t="str">
        <f t="shared" si="212"/>
        <v>16380</v>
      </c>
      <c r="B5598" s="1" t="str">
        <f>"45828"</f>
        <v>45828</v>
      </c>
      <c r="C5598" s="2">
        <v>0.147217823404139</v>
      </c>
      <c r="D5598" s="2">
        <v>0.17600574712643599</v>
      </c>
      <c r="E5598" s="2">
        <v>9.8314606741572996E-2</v>
      </c>
      <c r="F5598" s="2">
        <v>0.14834754000299</v>
      </c>
    </row>
    <row r="5599" spans="1:6" x14ac:dyDescent="0.25">
      <c r="A5599" s="1" t="str">
        <f t="shared" si="212"/>
        <v>16380</v>
      </c>
      <c r="B5599" s="1" t="str">
        <f>"45822"</f>
        <v>45822</v>
      </c>
      <c r="C5599" s="2">
        <v>0.53197182329492698</v>
      </c>
      <c r="D5599" s="2">
        <v>0.66235632183908</v>
      </c>
      <c r="E5599" s="2">
        <v>0.73314606741572996</v>
      </c>
      <c r="F5599" s="2">
        <v>0.54458900353920503</v>
      </c>
    </row>
    <row r="5600" spans="1:6" x14ac:dyDescent="0.25">
      <c r="A5600" s="1" t="str">
        <f t="shared" si="212"/>
        <v>16380</v>
      </c>
      <c r="B5600" s="1" t="str">
        <f>"45310"</f>
        <v>45310</v>
      </c>
      <c r="C5600" s="2">
        <v>6.2250860044776903E-3</v>
      </c>
      <c r="D5600" s="2">
        <v>7.1839080459770103E-4</v>
      </c>
      <c r="E5600" s="2">
        <v>0</v>
      </c>
      <c r="F5600" s="2">
        <v>5.7325158267284701E-3</v>
      </c>
    </row>
    <row r="5601" spans="1:6" x14ac:dyDescent="0.25">
      <c r="A5601" s="1" t="str">
        <f t="shared" si="212"/>
        <v>16380</v>
      </c>
      <c r="B5601" s="1" t="str">
        <f>"45865"</f>
        <v>45865</v>
      </c>
      <c r="C5601" s="2">
        <v>1.09212035166275E-4</v>
      </c>
      <c r="D5601" s="2">
        <v>0</v>
      </c>
      <c r="E5601" s="2">
        <v>0</v>
      </c>
      <c r="F5601" s="2">
        <v>9.9695927421364802E-5</v>
      </c>
    </row>
    <row r="5602" spans="1:6" x14ac:dyDescent="0.25">
      <c r="A5602" s="1" t="str">
        <f t="shared" si="212"/>
        <v>16380</v>
      </c>
      <c r="B5602" s="1" t="str">
        <f>"45845"</f>
        <v>45845</v>
      </c>
      <c r="C5602" s="2">
        <v>5.4606017583137602E-5</v>
      </c>
      <c r="D5602" s="2">
        <v>0</v>
      </c>
      <c r="E5602" s="2">
        <v>0</v>
      </c>
      <c r="F5602" s="2">
        <v>4.9847963710682401E-5</v>
      </c>
    </row>
    <row r="5603" spans="1:6" x14ac:dyDescent="0.25">
      <c r="A5603" s="1" t="str">
        <f t="shared" si="212"/>
        <v>16380</v>
      </c>
      <c r="B5603" s="1" t="str">
        <f>"45826"</f>
        <v>45826</v>
      </c>
      <c r="C5603" s="2">
        <v>0</v>
      </c>
      <c r="D5603" s="2">
        <v>7.1839080459770103E-4</v>
      </c>
      <c r="E5603" s="2">
        <v>0</v>
      </c>
      <c r="F5603" s="2">
        <v>4.9847963710682401E-5</v>
      </c>
    </row>
    <row r="5604" spans="1:6" x14ac:dyDescent="0.25">
      <c r="A5604" s="1" t="str">
        <f t="shared" si="212"/>
        <v>16380</v>
      </c>
      <c r="B5604" s="1" t="str">
        <f>"45887"</f>
        <v>45887</v>
      </c>
      <c r="C5604" s="2">
        <v>1.3105444219953001E-3</v>
      </c>
      <c r="D5604" s="2">
        <v>0</v>
      </c>
      <c r="E5604" s="2">
        <v>0</v>
      </c>
      <c r="F5604" s="2">
        <v>1.19635112905637E-3</v>
      </c>
    </row>
    <row r="5605" spans="1:6" x14ac:dyDescent="0.25">
      <c r="A5605" s="1" t="str">
        <f t="shared" si="212"/>
        <v>16380</v>
      </c>
      <c r="B5605" s="1" t="str">
        <f>"45882"</f>
        <v>45882</v>
      </c>
      <c r="C5605" s="2">
        <v>6.4544312783268706E-2</v>
      </c>
      <c r="D5605" s="2">
        <v>2.65804597701149E-2</v>
      </c>
      <c r="E5605" s="2">
        <v>3.0898876404494301E-2</v>
      </c>
      <c r="F5605" s="2">
        <v>6.1312995364139297E-2</v>
      </c>
    </row>
    <row r="5606" spans="1:6" x14ac:dyDescent="0.25">
      <c r="A5606" s="1" t="str">
        <f t="shared" si="212"/>
        <v>16380</v>
      </c>
      <c r="B5606" s="1" t="str">
        <f>"45846"</f>
        <v>45846</v>
      </c>
      <c r="C5606" s="2">
        <v>8.6714355922022604E-2</v>
      </c>
      <c r="D5606" s="2">
        <v>2.4425287356321799E-2</v>
      </c>
      <c r="E5606" s="2">
        <v>9.8314606741572996E-2</v>
      </c>
      <c r="F5606" s="2">
        <v>8.2598075868600698E-2</v>
      </c>
    </row>
    <row r="5607" spans="1:6" x14ac:dyDescent="0.25">
      <c r="A5607" s="1" t="str">
        <f t="shared" si="212"/>
        <v>16380</v>
      </c>
      <c r="B5607" s="1" t="str">
        <f>"45869"</f>
        <v>45869</v>
      </c>
      <c r="C5607" s="2">
        <v>1.9112106154098099E-3</v>
      </c>
      <c r="D5607" s="2">
        <v>0</v>
      </c>
      <c r="E5607" s="2">
        <v>0</v>
      </c>
      <c r="F5607" s="2">
        <v>1.74467872987388E-3</v>
      </c>
    </row>
    <row r="5608" spans="1:6" x14ac:dyDescent="0.25">
      <c r="A5608" s="1" t="str">
        <f t="shared" si="212"/>
        <v>16380</v>
      </c>
      <c r="B5608" s="1" t="str">
        <f>"45866"</f>
        <v>45866</v>
      </c>
      <c r="C5608" s="2">
        <v>3.76781521323649E-3</v>
      </c>
      <c r="D5608" s="2">
        <v>7.1839080459770103E-4</v>
      </c>
      <c r="E5608" s="2">
        <v>0</v>
      </c>
      <c r="F5608" s="2">
        <v>3.48935745974776E-3</v>
      </c>
    </row>
    <row r="5609" spans="1:6" x14ac:dyDescent="0.25">
      <c r="A5609" s="1" t="str">
        <f t="shared" si="212"/>
        <v>16380</v>
      </c>
      <c r="B5609" s="1" t="str">
        <f>"45860"</f>
        <v>45860</v>
      </c>
      <c r="C5609" s="2">
        <v>4.5268388576421098E-2</v>
      </c>
      <c r="D5609" s="2">
        <v>3.4482758620689599E-2</v>
      </c>
      <c r="E5609" s="2">
        <v>1.9662921348314599E-2</v>
      </c>
      <c r="F5609" s="2">
        <v>4.4065599920243198E-2</v>
      </c>
    </row>
    <row r="5610" spans="1:6" x14ac:dyDescent="0.25">
      <c r="A5610" s="1" t="str">
        <f t="shared" si="212"/>
        <v>16380</v>
      </c>
      <c r="B5610" s="1" t="str">
        <f>"45883"</f>
        <v>45883</v>
      </c>
      <c r="C5610" s="2">
        <v>7.6448424616392702E-2</v>
      </c>
      <c r="D5610" s="2">
        <v>6.5373563218390801E-2</v>
      </c>
      <c r="E5610" s="2">
        <v>1.12359550561797E-2</v>
      </c>
      <c r="F5610" s="2">
        <v>7.4522705747470205E-2</v>
      </c>
    </row>
    <row r="5611" spans="1:6" x14ac:dyDescent="0.25">
      <c r="A5611" s="1" t="str">
        <f t="shared" si="212"/>
        <v>16380</v>
      </c>
      <c r="B5611" s="1" t="str">
        <f>"45348"</f>
        <v>45348</v>
      </c>
      <c r="C5611" s="2">
        <v>1.63818052749412E-4</v>
      </c>
      <c r="D5611" s="2">
        <v>0</v>
      </c>
      <c r="E5611" s="2">
        <v>0</v>
      </c>
      <c r="F5611" s="2">
        <v>1.4954389113204701E-4</v>
      </c>
    </row>
    <row r="5612" spans="1:6" x14ac:dyDescent="0.25">
      <c r="A5612" s="1" t="str">
        <f t="shared" ref="A5612:A5628" si="213">"16420"</f>
        <v>16420</v>
      </c>
      <c r="B5612" s="1" t="str">
        <f>"42367"</f>
        <v>42367</v>
      </c>
      <c r="C5612" s="2">
        <v>3.3238498369301199E-2</v>
      </c>
      <c r="D5612" s="2">
        <v>7.8306878306878297E-2</v>
      </c>
      <c r="E5612" s="2">
        <v>1.8656716417910401E-2</v>
      </c>
      <c r="F5612" s="2">
        <v>3.5714285714285698E-2</v>
      </c>
    </row>
    <row r="5613" spans="1:6" x14ac:dyDescent="0.25">
      <c r="A5613" s="1" t="str">
        <f t="shared" si="213"/>
        <v>16420</v>
      </c>
      <c r="B5613" s="1" t="str">
        <f>"42326"</f>
        <v>42326</v>
      </c>
      <c r="C5613" s="2">
        <v>9.6454097564360498E-3</v>
      </c>
      <c r="D5613" s="2">
        <v>1.05820105820105E-3</v>
      </c>
      <c r="E5613" s="2">
        <v>7.4626865671641703E-3</v>
      </c>
      <c r="F5613" s="2">
        <v>9.0885816692268303E-3</v>
      </c>
    </row>
    <row r="5614" spans="1:6" x14ac:dyDescent="0.25">
      <c r="A5614" s="1" t="str">
        <f t="shared" si="213"/>
        <v>16420</v>
      </c>
      <c r="B5614" s="1" t="str">
        <f>"42325"</f>
        <v>42325</v>
      </c>
      <c r="C5614" s="2">
        <v>6.6476996738602398E-2</v>
      </c>
      <c r="D5614" s="2">
        <v>2.75132275132275E-2</v>
      </c>
      <c r="E5614" s="2">
        <v>2.9850746268656699E-2</v>
      </c>
      <c r="F5614" s="2">
        <v>6.3492063492063405E-2</v>
      </c>
    </row>
    <row r="5615" spans="1:6" x14ac:dyDescent="0.25">
      <c r="A5615" s="1" t="str">
        <f t="shared" si="213"/>
        <v>16420</v>
      </c>
      <c r="B5615" s="1" t="str">
        <f>"42321"</f>
        <v>42321</v>
      </c>
      <c r="C5615" s="2">
        <v>1.6723336340295599E-2</v>
      </c>
      <c r="D5615" s="2">
        <v>4.2328042328042296E-3</v>
      </c>
      <c r="E5615" s="2">
        <v>1.11940298507462E-2</v>
      </c>
      <c r="F5615" s="2">
        <v>1.5873015873015799E-2</v>
      </c>
    </row>
    <row r="5616" spans="1:6" x14ac:dyDescent="0.25">
      <c r="A5616" s="1" t="str">
        <f t="shared" si="213"/>
        <v>16420</v>
      </c>
      <c r="B5616" s="1" t="str">
        <f>"42344"</f>
        <v>42344</v>
      </c>
      <c r="C5616" s="2">
        <v>3.02546665741447E-2</v>
      </c>
      <c r="D5616" s="2">
        <v>9.5238095238095195E-3</v>
      </c>
      <c r="E5616" s="2">
        <v>3.7313432835820799E-3</v>
      </c>
      <c r="F5616" s="2">
        <v>2.85458269329237E-2</v>
      </c>
    </row>
    <row r="5617" spans="1:6" x14ac:dyDescent="0.25">
      <c r="A5617" s="1" t="str">
        <f t="shared" si="213"/>
        <v>16420</v>
      </c>
      <c r="B5617" s="1" t="str">
        <f>"42374"</f>
        <v>42374</v>
      </c>
      <c r="C5617" s="2">
        <v>0</v>
      </c>
      <c r="D5617" s="2">
        <v>0</v>
      </c>
      <c r="E5617" s="2">
        <v>3.7313432835820799E-3</v>
      </c>
      <c r="F5617" s="2">
        <v>6.4004096262160697E-5</v>
      </c>
    </row>
    <row r="5618" spans="1:6" x14ac:dyDescent="0.25">
      <c r="A5618" s="1" t="str">
        <f t="shared" si="213"/>
        <v>16420</v>
      </c>
      <c r="B5618" s="1" t="str">
        <f>"42372"</f>
        <v>42372</v>
      </c>
      <c r="C5618" s="2">
        <v>1.5613073346748999E-2</v>
      </c>
      <c r="D5618" s="2">
        <v>1.05820105820105E-3</v>
      </c>
      <c r="E5618" s="2">
        <v>0</v>
      </c>
      <c r="F5618" s="2">
        <v>1.44649257552483E-2</v>
      </c>
    </row>
    <row r="5619" spans="1:6" x14ac:dyDescent="0.25">
      <c r="A5619" s="1" t="str">
        <f t="shared" si="213"/>
        <v>16420</v>
      </c>
      <c r="B5619" s="1" t="str">
        <f>"42337"</f>
        <v>42337</v>
      </c>
      <c r="C5619" s="2">
        <v>6.1480813267642702E-2</v>
      </c>
      <c r="D5619" s="2">
        <v>2.4338624338624298E-2</v>
      </c>
      <c r="E5619" s="2">
        <v>4.8507462686567103E-2</v>
      </c>
      <c r="F5619" s="2">
        <v>5.9011776753712199E-2</v>
      </c>
    </row>
    <row r="5620" spans="1:6" x14ac:dyDescent="0.25">
      <c r="A5620" s="1" t="str">
        <f t="shared" si="213"/>
        <v>16420</v>
      </c>
      <c r="B5620" s="1" t="str">
        <f>"42323"</f>
        <v>42323</v>
      </c>
      <c r="C5620" s="2">
        <v>2.3662480049961802E-2</v>
      </c>
      <c r="D5620" s="2">
        <v>1.05820105820105E-2</v>
      </c>
      <c r="E5620" s="2">
        <v>1.8656716417910401E-2</v>
      </c>
      <c r="F5620" s="2">
        <v>2.2785458269329199E-2</v>
      </c>
    </row>
    <row r="5621" spans="1:6" x14ac:dyDescent="0.25">
      <c r="A5621" s="1" t="str">
        <f t="shared" si="213"/>
        <v>16420</v>
      </c>
      <c r="B5621" s="1" t="str">
        <f>"42220"</f>
        <v>42220</v>
      </c>
      <c r="C5621" s="2">
        <v>1.5266116161265599E-3</v>
      </c>
      <c r="D5621" s="2">
        <v>0</v>
      </c>
      <c r="E5621" s="2">
        <v>0</v>
      </c>
      <c r="F5621" s="2">
        <v>1.40809011776753E-3</v>
      </c>
    </row>
    <row r="5622" spans="1:6" x14ac:dyDescent="0.25">
      <c r="A5622" s="1" t="str">
        <f t="shared" si="213"/>
        <v>16420</v>
      </c>
      <c r="B5622" s="1" t="str">
        <f>"42324"</f>
        <v>42324</v>
      </c>
      <c r="C5622" s="2">
        <v>3.7540767469294203E-2</v>
      </c>
      <c r="D5622" s="2">
        <v>5.2910052910052898E-3</v>
      </c>
      <c r="E5622" s="2">
        <v>1.11940298507462E-2</v>
      </c>
      <c r="F5622" s="2">
        <v>3.5138248847926198E-2</v>
      </c>
    </row>
    <row r="5623" spans="1:6" x14ac:dyDescent="0.25">
      <c r="A5623" s="1" t="str">
        <f t="shared" si="213"/>
        <v>16420</v>
      </c>
      <c r="B5623" s="1" t="str">
        <f>"42339"</f>
        <v>42339</v>
      </c>
      <c r="C5623" s="2">
        <v>3.1781278190271302E-2</v>
      </c>
      <c r="D5623" s="2">
        <v>6.3492063492063397E-3</v>
      </c>
      <c r="E5623" s="2">
        <v>1.11940298507462E-2</v>
      </c>
      <c r="F5623" s="2">
        <v>2.9889912954428999E-2</v>
      </c>
    </row>
    <row r="5624" spans="1:6" x14ac:dyDescent="0.25">
      <c r="A5624" s="1" t="str">
        <f t="shared" si="213"/>
        <v>16420</v>
      </c>
      <c r="B5624" s="1" t="str">
        <f>"42256"</f>
        <v>42256</v>
      </c>
      <c r="C5624" s="2">
        <v>3.6777461661231001E-3</v>
      </c>
      <c r="D5624" s="2">
        <v>0</v>
      </c>
      <c r="E5624" s="2">
        <v>0</v>
      </c>
      <c r="F5624" s="2">
        <v>3.3922171018945201E-3</v>
      </c>
    </row>
    <row r="5625" spans="1:6" x14ac:dyDescent="0.25">
      <c r="A5625" s="1" t="str">
        <f t="shared" si="213"/>
        <v>16420</v>
      </c>
      <c r="B5625" s="1" t="str">
        <f>"42330"</f>
        <v>42330</v>
      </c>
      <c r="C5625" s="2">
        <v>0.29921587676080702</v>
      </c>
      <c r="D5625" s="2">
        <v>0.41693121693121599</v>
      </c>
      <c r="E5625" s="2">
        <v>0.402985074626865</v>
      </c>
      <c r="F5625" s="2">
        <v>0.30811571940604099</v>
      </c>
    </row>
    <row r="5626" spans="1:6" x14ac:dyDescent="0.25">
      <c r="A5626" s="1" t="str">
        <f t="shared" si="213"/>
        <v>16420</v>
      </c>
      <c r="B5626" s="1" t="str">
        <f>"42345"</f>
        <v>42345</v>
      </c>
      <c r="C5626" s="2">
        <v>0.363264173201026</v>
      </c>
      <c r="D5626" s="2">
        <v>0.41375661375661299</v>
      </c>
      <c r="E5626" s="2">
        <v>0.41791044776119401</v>
      </c>
      <c r="F5626" s="2">
        <v>0.36725550435227799</v>
      </c>
    </row>
    <row r="5627" spans="1:6" x14ac:dyDescent="0.25">
      <c r="A5627" s="1" t="str">
        <f t="shared" si="213"/>
        <v>16420</v>
      </c>
      <c r="B5627" s="1" t="str">
        <f>"42464"</f>
        <v>42464</v>
      </c>
      <c r="C5627" s="2">
        <v>5.8982721532162899E-3</v>
      </c>
      <c r="D5627" s="2">
        <v>1.05820105820105E-3</v>
      </c>
      <c r="E5627" s="2">
        <v>1.11940298507462E-2</v>
      </c>
      <c r="F5627" s="2">
        <v>5.6963645673322998E-3</v>
      </c>
    </row>
    <row r="5628" spans="1:6" x14ac:dyDescent="0.25">
      <c r="A5628" s="1" t="str">
        <f t="shared" si="213"/>
        <v>16420</v>
      </c>
      <c r="B5628" s="1" t="str">
        <f>"42332"</f>
        <v>42332</v>
      </c>
      <c r="C5628" s="2">
        <v>0</v>
      </c>
      <c r="D5628" s="2">
        <v>0</v>
      </c>
      <c r="E5628" s="2">
        <v>3.7313432835820799E-3</v>
      </c>
      <c r="F5628" s="2">
        <v>6.4004096262160697E-5</v>
      </c>
    </row>
    <row r="5629" spans="1:6" x14ac:dyDescent="0.25">
      <c r="A5629" s="1" t="str">
        <f t="shared" ref="A5629:A5646" si="214">"16460"</f>
        <v>16460</v>
      </c>
      <c r="B5629" s="1" t="str">
        <f>"62870"</f>
        <v>62870</v>
      </c>
      <c r="C5629" s="2">
        <v>4.8584159839011001E-2</v>
      </c>
      <c r="D5629" s="2">
        <v>2.4426719840478499E-2</v>
      </c>
      <c r="E5629" s="2">
        <v>2.9333333333333302E-2</v>
      </c>
      <c r="F5629" s="2">
        <v>4.6189575090314801E-2</v>
      </c>
    </row>
    <row r="5630" spans="1:6" x14ac:dyDescent="0.25">
      <c r="A5630" s="1" t="str">
        <f t="shared" si="214"/>
        <v>16460</v>
      </c>
      <c r="B5630" s="1" t="str">
        <f>"62892"</f>
        <v>62892</v>
      </c>
      <c r="C5630" s="2">
        <v>9.9659815054381606E-3</v>
      </c>
      <c r="D5630" s="2">
        <v>7.9760717846460594E-3</v>
      </c>
      <c r="E5630" s="2">
        <v>2.6666666666666601E-3</v>
      </c>
      <c r="F5630" s="2">
        <v>9.6765869602614806E-3</v>
      </c>
    </row>
    <row r="5631" spans="1:6" x14ac:dyDescent="0.25">
      <c r="A5631" s="1" t="str">
        <f t="shared" si="214"/>
        <v>16460</v>
      </c>
      <c r="B5631" s="1" t="str">
        <f>"62851"</f>
        <v>62851</v>
      </c>
      <c r="C5631" s="2">
        <v>1.4374011786689599E-4</v>
      </c>
      <c r="D5631" s="2">
        <v>0</v>
      </c>
      <c r="E5631" s="2">
        <v>0</v>
      </c>
      <c r="F5631" s="2">
        <v>1.2902115947015301E-4</v>
      </c>
    </row>
    <row r="5632" spans="1:6" x14ac:dyDescent="0.25">
      <c r="A5632" s="1" t="str">
        <f t="shared" si="214"/>
        <v>16460</v>
      </c>
      <c r="B5632" s="1" t="str">
        <f>"62881"</f>
        <v>62881</v>
      </c>
      <c r="C5632" s="2">
        <v>0.257773944707967</v>
      </c>
      <c r="D5632" s="2">
        <v>0.32253240279162498</v>
      </c>
      <c r="E5632" s="2">
        <v>0.22666666666666599</v>
      </c>
      <c r="F5632" s="2">
        <v>0.262859108893858</v>
      </c>
    </row>
    <row r="5633" spans="1:6" x14ac:dyDescent="0.25">
      <c r="A5633" s="1" t="str">
        <f t="shared" si="214"/>
        <v>16460</v>
      </c>
      <c r="B5633" s="1" t="str">
        <f>"62853"</f>
        <v>62853</v>
      </c>
      <c r="C5633" s="2">
        <v>2.0506923482343901E-2</v>
      </c>
      <c r="D5633" s="2">
        <v>4.4865403788633997E-3</v>
      </c>
      <c r="E5633" s="2">
        <v>2.6666666666666601E-3</v>
      </c>
      <c r="F5633" s="2">
        <v>1.88370892826423E-2</v>
      </c>
    </row>
    <row r="5634" spans="1:6" x14ac:dyDescent="0.25">
      <c r="A5634" s="1" t="str">
        <f t="shared" si="214"/>
        <v>16460</v>
      </c>
      <c r="B5634" s="1" t="str">
        <f>"62885"</f>
        <v>62885</v>
      </c>
      <c r="C5634" s="2">
        <v>1.4374011786689599E-4</v>
      </c>
      <c r="D5634" s="2">
        <v>0</v>
      </c>
      <c r="E5634" s="2">
        <v>0</v>
      </c>
      <c r="F5634" s="2">
        <v>1.2902115947015301E-4</v>
      </c>
    </row>
    <row r="5635" spans="1:6" x14ac:dyDescent="0.25">
      <c r="A5635" s="1" t="str">
        <f t="shared" si="214"/>
        <v>16460</v>
      </c>
      <c r="B5635" s="1" t="str">
        <f>"62854"</f>
        <v>62854</v>
      </c>
      <c r="C5635" s="2">
        <v>4.14929806909108E-2</v>
      </c>
      <c r="D5635" s="2">
        <v>2.09371884346959E-2</v>
      </c>
      <c r="E5635" s="2">
        <v>5.0666666666666603E-2</v>
      </c>
      <c r="F5635" s="2">
        <v>3.9867538276277301E-2</v>
      </c>
    </row>
    <row r="5636" spans="1:6" x14ac:dyDescent="0.25">
      <c r="A5636" s="1" t="str">
        <f t="shared" si="214"/>
        <v>16460</v>
      </c>
      <c r="B5636" s="1" t="str">
        <f>"62807"</f>
        <v>62807</v>
      </c>
      <c r="C5636" s="2">
        <v>2.17526711705236E-2</v>
      </c>
      <c r="D5636" s="2">
        <v>2.9910269192422699E-3</v>
      </c>
      <c r="E5636" s="2">
        <v>8.0000000000000002E-3</v>
      </c>
      <c r="F5636" s="2">
        <v>1.99122656115602E-2</v>
      </c>
    </row>
    <row r="5637" spans="1:6" x14ac:dyDescent="0.25">
      <c r="A5637" s="1" t="str">
        <f t="shared" si="214"/>
        <v>16460</v>
      </c>
      <c r="B5637" s="1" t="str">
        <f>"62899"</f>
        <v>62899</v>
      </c>
      <c r="C5637" s="2">
        <v>2.8748023573379301E-4</v>
      </c>
      <c r="D5637" s="2">
        <v>0</v>
      </c>
      <c r="E5637" s="2">
        <v>0</v>
      </c>
      <c r="F5637" s="2">
        <v>2.5804231894030602E-4</v>
      </c>
    </row>
    <row r="5638" spans="1:6" x14ac:dyDescent="0.25">
      <c r="A5638" s="1" t="str">
        <f t="shared" si="214"/>
        <v>16460</v>
      </c>
      <c r="B5638" s="1" t="str">
        <f>"62830"</f>
        <v>62830</v>
      </c>
      <c r="C5638" s="2">
        <v>1.0540941976905701E-3</v>
      </c>
      <c r="D5638" s="2">
        <v>0</v>
      </c>
      <c r="E5638" s="2">
        <v>0</v>
      </c>
      <c r="F5638" s="2">
        <v>9.4615516944778898E-4</v>
      </c>
    </row>
    <row r="5639" spans="1:6" x14ac:dyDescent="0.25">
      <c r="A5639" s="1" t="str">
        <f t="shared" si="214"/>
        <v>16460</v>
      </c>
      <c r="B5639" s="1" t="str">
        <f>"62875"</f>
        <v>62875</v>
      </c>
      <c r="C5639" s="2">
        <v>2.3094245603947999E-2</v>
      </c>
      <c r="D5639" s="2">
        <v>1.09670987038883E-2</v>
      </c>
      <c r="E5639" s="2">
        <v>1.3333333333333299E-2</v>
      </c>
      <c r="F5639" s="2">
        <v>2.1890590056769299E-2</v>
      </c>
    </row>
    <row r="5640" spans="1:6" x14ac:dyDescent="0.25">
      <c r="A5640" s="1" t="str">
        <f t="shared" si="214"/>
        <v>16460</v>
      </c>
      <c r="B5640" s="1" t="str">
        <f>"62882"</f>
        <v>62882</v>
      </c>
      <c r="C5640" s="2">
        <v>4.7865459249676501E-2</v>
      </c>
      <c r="D5640" s="2">
        <v>1.6949152542372801E-2</v>
      </c>
      <c r="E5640" s="2">
        <v>2.4E-2</v>
      </c>
      <c r="F5640" s="2">
        <v>4.4813349389299803E-2</v>
      </c>
    </row>
    <row r="5641" spans="1:6" x14ac:dyDescent="0.25">
      <c r="A5641" s="1" t="str">
        <f t="shared" si="214"/>
        <v>16460</v>
      </c>
      <c r="B5641" s="1" t="str">
        <f>"62250"</f>
        <v>62250</v>
      </c>
      <c r="C5641" s="2">
        <v>3.6893296919170101E-3</v>
      </c>
      <c r="D5641" s="2">
        <v>1.9940179461615101E-3</v>
      </c>
      <c r="E5641" s="2">
        <v>1.3333333333333299E-2</v>
      </c>
      <c r="F5641" s="2">
        <v>3.6986065714777199E-3</v>
      </c>
    </row>
    <row r="5642" spans="1:6" x14ac:dyDescent="0.25">
      <c r="A5642" s="1" t="str">
        <f t="shared" si="214"/>
        <v>16460</v>
      </c>
      <c r="B5642" s="1" t="str">
        <f>"62893"</f>
        <v>62893</v>
      </c>
      <c r="C5642" s="2">
        <v>1.28407838627761E-2</v>
      </c>
      <c r="D5642" s="2">
        <v>4.98504486540378E-3</v>
      </c>
      <c r="E5642" s="2">
        <v>2.6666666666666601E-3</v>
      </c>
      <c r="F5642" s="2">
        <v>1.1998967830724201E-2</v>
      </c>
    </row>
    <row r="5643" spans="1:6" x14ac:dyDescent="0.25">
      <c r="A5643" s="1" t="str">
        <f t="shared" si="214"/>
        <v>16460</v>
      </c>
      <c r="B5643" s="1" t="str">
        <f>"62801"</f>
        <v>62801</v>
      </c>
      <c r="C5643" s="2">
        <v>0.45699774807148602</v>
      </c>
      <c r="D5643" s="2">
        <v>0.57078763708873304</v>
      </c>
      <c r="E5643" s="2">
        <v>0.61599999999999999</v>
      </c>
      <c r="F5643" s="2">
        <v>0.46937897815241603</v>
      </c>
    </row>
    <row r="5644" spans="1:6" x14ac:dyDescent="0.25">
      <c r="A5644" s="1" t="str">
        <f t="shared" si="214"/>
        <v>16460</v>
      </c>
      <c r="B5644" s="1" t="str">
        <f>"62838"</f>
        <v>62838</v>
      </c>
      <c r="C5644" s="2">
        <v>1.10200757031287E-3</v>
      </c>
      <c r="D5644" s="2">
        <v>0</v>
      </c>
      <c r="E5644" s="2">
        <v>0</v>
      </c>
      <c r="F5644" s="2">
        <v>9.891622226045069E-4</v>
      </c>
    </row>
    <row r="5645" spans="1:6" x14ac:dyDescent="0.25">
      <c r="A5645" s="1" t="str">
        <f t="shared" si="214"/>
        <v>16460</v>
      </c>
      <c r="B5645" s="1" t="str">
        <f>"62889"</f>
        <v>62889</v>
      </c>
      <c r="C5645" s="2">
        <v>4.6955105169852896E-3</v>
      </c>
      <c r="D5645" s="2">
        <v>4.9850448654037796E-4</v>
      </c>
      <c r="E5645" s="2">
        <v>0</v>
      </c>
      <c r="F5645" s="2">
        <v>4.2576982625150504E-3</v>
      </c>
    </row>
    <row r="5646" spans="1:6" x14ac:dyDescent="0.25">
      <c r="A5646" s="1" t="str">
        <f t="shared" si="214"/>
        <v>16460</v>
      </c>
      <c r="B5646" s="1" t="str">
        <f>"62849"</f>
        <v>62849</v>
      </c>
      <c r="C5646" s="2">
        <v>4.8009199367543401E-2</v>
      </c>
      <c r="D5646" s="2">
        <v>1.04685942173479E-2</v>
      </c>
      <c r="E5646" s="2">
        <v>1.06666666666666E-2</v>
      </c>
      <c r="F5646" s="2">
        <v>4.4168243591949E-2</v>
      </c>
    </row>
    <row r="5647" spans="1:6" x14ac:dyDescent="0.25">
      <c r="A5647" s="1" t="str">
        <f t="shared" ref="A5647:A5672" si="215">"16500"</f>
        <v>16500</v>
      </c>
      <c r="B5647" s="1" t="str">
        <f>"98522"</f>
        <v>98522</v>
      </c>
      <c r="C5647" s="2">
        <v>0</v>
      </c>
      <c r="D5647" s="2">
        <v>3.4977264777894299E-4</v>
      </c>
      <c r="E5647" s="2">
        <v>0</v>
      </c>
      <c r="F5647" s="2">
        <v>2.5540827011978599E-5</v>
      </c>
    </row>
    <row r="5648" spans="1:6" x14ac:dyDescent="0.25">
      <c r="A5648" s="1" t="str">
        <f t="shared" si="215"/>
        <v>16500</v>
      </c>
      <c r="B5648" s="1" t="str">
        <f>"98568"</f>
        <v>98568</v>
      </c>
      <c r="C5648" s="2">
        <v>1.4695509052433501E-4</v>
      </c>
      <c r="D5648" s="2">
        <v>0</v>
      </c>
      <c r="E5648" s="2">
        <v>0</v>
      </c>
      <c r="F5648" s="2">
        <v>1.2770413505989301E-4</v>
      </c>
    </row>
    <row r="5649" spans="1:6" x14ac:dyDescent="0.25">
      <c r="A5649" s="1" t="str">
        <f t="shared" si="215"/>
        <v>16500</v>
      </c>
      <c r="B5649" s="1" t="str">
        <f>"98591"</f>
        <v>98591</v>
      </c>
      <c r="C5649" s="2">
        <v>4.4233482247825001E-2</v>
      </c>
      <c r="D5649" s="2">
        <v>1.3291360615599801E-2</v>
      </c>
      <c r="E5649" s="2">
        <v>1.6299559471365601E-2</v>
      </c>
      <c r="F5649" s="2">
        <v>4.0354506678926198E-2</v>
      </c>
    </row>
    <row r="5650" spans="1:6" x14ac:dyDescent="0.25">
      <c r="A5650" s="1" t="str">
        <f t="shared" si="215"/>
        <v>16500</v>
      </c>
      <c r="B5650" s="1" t="str">
        <f>"98579"</f>
        <v>98579</v>
      </c>
      <c r="C5650" s="2">
        <v>5.6136844580296202E-3</v>
      </c>
      <c r="D5650" s="2">
        <v>6.9954529555788696E-4</v>
      </c>
      <c r="E5650" s="2">
        <v>8.8105726872246602E-4</v>
      </c>
      <c r="F5650" s="2">
        <v>4.98046126733583E-3</v>
      </c>
    </row>
    <row r="5651" spans="1:6" x14ac:dyDescent="0.25">
      <c r="A5651" s="1" t="str">
        <f t="shared" si="215"/>
        <v>16500</v>
      </c>
      <c r="B5651" s="1" t="str">
        <f>"98361"</f>
        <v>98361</v>
      </c>
      <c r="C5651" s="2">
        <v>1.9956501293204702E-2</v>
      </c>
      <c r="D5651" s="2">
        <v>1.39909059111577E-3</v>
      </c>
      <c r="E5651" s="2">
        <v>3.8325991189427297E-2</v>
      </c>
      <c r="F5651" s="2">
        <v>1.9666436799223499E-2</v>
      </c>
    </row>
    <row r="5652" spans="1:6" x14ac:dyDescent="0.25">
      <c r="A5652" s="1" t="str">
        <f t="shared" si="215"/>
        <v>16500</v>
      </c>
      <c r="B5652" s="1" t="str">
        <f>"98582"</f>
        <v>98582</v>
      </c>
      <c r="C5652" s="2">
        <v>4.8789090054079396E-3</v>
      </c>
      <c r="D5652" s="2">
        <v>1.74886323889471E-3</v>
      </c>
      <c r="E5652" s="2">
        <v>1.6299559471365601E-2</v>
      </c>
      <c r="F5652" s="2">
        <v>5.3124920184915497E-3</v>
      </c>
    </row>
    <row r="5653" spans="1:6" x14ac:dyDescent="0.25">
      <c r="A5653" s="1" t="str">
        <f t="shared" si="215"/>
        <v>16500</v>
      </c>
      <c r="B5653" s="1" t="str">
        <f>"98565"</f>
        <v>98565</v>
      </c>
      <c r="C5653" s="2">
        <v>1.02868563367035E-3</v>
      </c>
      <c r="D5653" s="2">
        <v>0</v>
      </c>
      <c r="E5653" s="2">
        <v>4.8898678414096897E-2</v>
      </c>
      <c r="F5653" s="2">
        <v>3.7289607437488801E-3</v>
      </c>
    </row>
    <row r="5654" spans="1:6" x14ac:dyDescent="0.25">
      <c r="A5654" s="1" t="str">
        <f t="shared" si="215"/>
        <v>16500</v>
      </c>
      <c r="B5654" s="1" t="str">
        <f>"98533"</f>
        <v>98533</v>
      </c>
      <c r="C5654" s="2">
        <v>7.6122736891605898E-3</v>
      </c>
      <c r="D5654" s="2">
        <v>2.09863588667366E-3</v>
      </c>
      <c r="E5654" s="2">
        <v>0</v>
      </c>
      <c r="F5654" s="2">
        <v>6.76831915817434E-3</v>
      </c>
    </row>
    <row r="5655" spans="1:6" x14ac:dyDescent="0.25">
      <c r="A5655" s="1" t="str">
        <f t="shared" si="215"/>
        <v>16500</v>
      </c>
      <c r="B5655" s="1" t="str">
        <f>"98304"</f>
        <v>98304</v>
      </c>
      <c r="C5655" s="2">
        <v>6.1133317658123602E-3</v>
      </c>
      <c r="D5655" s="2">
        <v>3.4977264777894299E-4</v>
      </c>
      <c r="E5655" s="2">
        <v>6.6079295154184998E-3</v>
      </c>
      <c r="F5655" s="2">
        <v>5.7211452506832098E-3</v>
      </c>
    </row>
    <row r="5656" spans="1:6" x14ac:dyDescent="0.25">
      <c r="A5656" s="1" t="str">
        <f t="shared" si="215"/>
        <v>16500</v>
      </c>
      <c r="B5656" s="1" t="str">
        <f>"98355"</f>
        <v>98355</v>
      </c>
      <c r="C5656" s="2">
        <v>2.5570185751234401E-3</v>
      </c>
      <c r="D5656" s="2">
        <v>6.9954529555788696E-4</v>
      </c>
      <c r="E5656" s="2">
        <v>6.4317180616739994E-2</v>
      </c>
      <c r="F5656" s="2">
        <v>6.0020943478149803E-3</v>
      </c>
    </row>
    <row r="5657" spans="1:6" x14ac:dyDescent="0.25">
      <c r="A5657" s="1" t="str">
        <f t="shared" si="215"/>
        <v>16500</v>
      </c>
      <c r="B5657" s="1" t="str">
        <f>"98531"</f>
        <v>98531</v>
      </c>
      <c r="C5657" s="2">
        <v>0.33229485069362802</v>
      </c>
      <c r="D5657" s="2">
        <v>0.473941937740468</v>
      </c>
      <c r="E5657" s="2">
        <v>0.25947136563876599</v>
      </c>
      <c r="F5657" s="2">
        <v>0.33841595790871698</v>
      </c>
    </row>
    <row r="5658" spans="1:6" x14ac:dyDescent="0.25">
      <c r="A5658" s="1" t="str">
        <f t="shared" si="215"/>
        <v>16500</v>
      </c>
      <c r="B5658" s="1" t="str">
        <f>"98538"</f>
        <v>98538</v>
      </c>
      <c r="C5658" s="2">
        <v>5.3785563131906796E-3</v>
      </c>
      <c r="D5658" s="2">
        <v>1.74886323889471E-3</v>
      </c>
      <c r="E5658" s="2">
        <v>0</v>
      </c>
      <c r="F5658" s="2">
        <v>4.8016754782519797E-3</v>
      </c>
    </row>
    <row r="5659" spans="1:6" x14ac:dyDescent="0.25">
      <c r="A5659" s="1" t="str">
        <f t="shared" si="215"/>
        <v>16500</v>
      </c>
      <c r="B5659" s="1" t="str">
        <f>"98544"</f>
        <v>98544</v>
      </c>
      <c r="C5659" s="2">
        <v>0</v>
      </c>
      <c r="D5659" s="2">
        <v>3.4977264777894299E-4</v>
      </c>
      <c r="E5659" s="2">
        <v>0</v>
      </c>
      <c r="F5659" s="2">
        <v>2.5540827011978599E-5</v>
      </c>
    </row>
    <row r="5660" spans="1:6" x14ac:dyDescent="0.25">
      <c r="A5660" s="1" t="str">
        <f t="shared" si="215"/>
        <v>16500</v>
      </c>
      <c r="B5660" s="1" t="str">
        <f>"98564"</f>
        <v>98564</v>
      </c>
      <c r="C5660" s="2">
        <v>2.88031977427698E-2</v>
      </c>
      <c r="D5660" s="2">
        <v>4.19727177334732E-3</v>
      </c>
      <c r="E5660" s="2">
        <v>6.0792951541850201E-2</v>
      </c>
      <c r="F5660" s="2">
        <v>2.8861134523535802E-2</v>
      </c>
    </row>
    <row r="5661" spans="1:6" x14ac:dyDescent="0.25">
      <c r="A5661" s="1" t="str">
        <f t="shared" si="215"/>
        <v>16500</v>
      </c>
      <c r="B5661" s="1" t="str">
        <f>"98585"</f>
        <v>98585</v>
      </c>
      <c r="C5661" s="2">
        <v>8.8760874676698798E-3</v>
      </c>
      <c r="D5661" s="2">
        <v>2.09863588667366E-3</v>
      </c>
      <c r="E5661" s="2">
        <v>1.1453744493391999E-2</v>
      </c>
      <c r="F5661" s="2">
        <v>8.5306362220008598E-3</v>
      </c>
    </row>
    <row r="5662" spans="1:6" x14ac:dyDescent="0.25">
      <c r="A5662" s="1" t="str">
        <f t="shared" si="215"/>
        <v>16500</v>
      </c>
      <c r="B5662" s="1" t="str">
        <f>"98570"</f>
        <v>98570</v>
      </c>
      <c r="C5662" s="2">
        <v>4.7672231366094497E-2</v>
      </c>
      <c r="D5662" s="2">
        <v>7.6949982511367596E-3</v>
      </c>
      <c r="E5662" s="2">
        <v>3.5682819383259901E-2</v>
      </c>
      <c r="F5662" s="2">
        <v>4.4057926595663099E-2</v>
      </c>
    </row>
    <row r="5663" spans="1:6" x14ac:dyDescent="0.25">
      <c r="A5663" s="1" t="str">
        <f t="shared" si="215"/>
        <v>16500</v>
      </c>
      <c r="B5663" s="1" t="str">
        <f>"98377"</f>
        <v>98377</v>
      </c>
      <c r="C5663" s="2">
        <v>2.61286150952268E-2</v>
      </c>
      <c r="D5663" s="2">
        <v>1.0143406785589301E-2</v>
      </c>
      <c r="E5663" s="2">
        <v>4.00881057268722E-2</v>
      </c>
      <c r="F5663" s="2">
        <v>2.5770694455086399E-2</v>
      </c>
    </row>
    <row r="5664" spans="1:6" x14ac:dyDescent="0.25">
      <c r="A5664" s="1" t="str">
        <f t="shared" si="215"/>
        <v>16500</v>
      </c>
      <c r="B5664" s="1" t="str">
        <f>"98330"</f>
        <v>98330</v>
      </c>
      <c r="C5664" s="2">
        <v>4.9964730778274101E-4</v>
      </c>
      <c r="D5664" s="2">
        <v>0</v>
      </c>
      <c r="E5664" s="2">
        <v>0</v>
      </c>
      <c r="F5664" s="2">
        <v>4.34194059203637E-4</v>
      </c>
    </row>
    <row r="5665" spans="1:6" x14ac:dyDescent="0.25">
      <c r="A5665" s="1" t="str">
        <f t="shared" si="215"/>
        <v>16500</v>
      </c>
      <c r="B5665" s="1" t="str">
        <f>"98542"</f>
        <v>98542</v>
      </c>
      <c r="C5665" s="2">
        <v>8.3764401598871302E-3</v>
      </c>
      <c r="D5665" s="2">
        <v>3.49772647778943E-3</v>
      </c>
      <c r="E5665" s="2">
        <v>1.3215859030837E-3</v>
      </c>
      <c r="F5665" s="2">
        <v>7.6111664495696297E-3</v>
      </c>
    </row>
    <row r="5666" spans="1:6" x14ac:dyDescent="0.25">
      <c r="A5666" s="1" t="str">
        <f t="shared" si="215"/>
        <v>16500</v>
      </c>
      <c r="B5666" s="1" t="str">
        <f>"98336"</f>
        <v>98336</v>
      </c>
      <c r="C5666" s="2">
        <v>1.08452856806959E-2</v>
      </c>
      <c r="D5666" s="2">
        <v>1.04931794333683E-3</v>
      </c>
      <c r="E5666" s="2">
        <v>7.0484581497797299E-3</v>
      </c>
      <c r="F5666" s="2">
        <v>9.9098408806477106E-3</v>
      </c>
    </row>
    <row r="5667" spans="1:6" x14ac:dyDescent="0.25">
      <c r="A5667" s="1" t="str">
        <f t="shared" si="215"/>
        <v>16500</v>
      </c>
      <c r="B5667" s="1" t="str">
        <f>"98532"</f>
        <v>98532</v>
      </c>
      <c r="C5667" s="2">
        <v>0.32294850693628002</v>
      </c>
      <c r="D5667" s="2">
        <v>0.44386149003147901</v>
      </c>
      <c r="E5667" s="2">
        <v>0.163876651982378</v>
      </c>
      <c r="F5667" s="2">
        <v>0.32255510433427798</v>
      </c>
    </row>
    <row r="5668" spans="1:6" x14ac:dyDescent="0.25">
      <c r="A5668" s="1" t="str">
        <f t="shared" si="215"/>
        <v>16500</v>
      </c>
      <c r="B5668" s="1" t="str">
        <f>"98572"</f>
        <v>98572</v>
      </c>
      <c r="C5668" s="2">
        <v>3.7620503174229901E-3</v>
      </c>
      <c r="D5668" s="2">
        <v>3.4977264777894299E-4</v>
      </c>
      <c r="E5668" s="2">
        <v>0</v>
      </c>
      <c r="F5668" s="2">
        <v>3.2947666845452401E-3</v>
      </c>
    </row>
    <row r="5669" spans="1:6" x14ac:dyDescent="0.25">
      <c r="A5669" s="1" t="str">
        <f t="shared" si="215"/>
        <v>16500</v>
      </c>
      <c r="B5669" s="1" t="str">
        <f>"98539"</f>
        <v>98539</v>
      </c>
      <c r="C5669" s="2">
        <v>0</v>
      </c>
      <c r="D5669" s="2">
        <v>3.4977264777894299E-4</v>
      </c>
      <c r="E5669" s="2">
        <v>3.0396475770925101E-2</v>
      </c>
      <c r="F5669" s="2">
        <v>1.7878578908385001E-3</v>
      </c>
    </row>
    <row r="5670" spans="1:6" x14ac:dyDescent="0.25">
      <c r="A5670" s="1" t="str">
        <f t="shared" si="215"/>
        <v>16500</v>
      </c>
      <c r="B5670" s="1" t="str">
        <f>"98593"</f>
        <v>98593</v>
      </c>
      <c r="C5670" s="2">
        <v>1.28732659299318E-2</v>
      </c>
      <c r="D5670" s="2">
        <v>2.09863588667366E-3</v>
      </c>
      <c r="E5670" s="2">
        <v>4.4052863436123301E-4</v>
      </c>
      <c r="F5670" s="2">
        <v>1.1365668020330399E-2</v>
      </c>
    </row>
    <row r="5671" spans="1:6" x14ac:dyDescent="0.25">
      <c r="A5671" s="1" t="str">
        <f t="shared" si="215"/>
        <v>16500</v>
      </c>
      <c r="B5671" s="1" t="str">
        <f>"98356"</f>
        <v>98356</v>
      </c>
      <c r="C5671" s="2">
        <v>1.5988713849047698E-2</v>
      </c>
      <c r="D5671" s="2">
        <v>2.4484085344525998E-3</v>
      </c>
      <c r="E5671" s="2">
        <v>0.17400881057268699</v>
      </c>
      <c r="F5671" s="2">
        <v>2.4161622353331799E-2</v>
      </c>
    </row>
    <row r="5672" spans="1:6" x14ac:dyDescent="0.25">
      <c r="A5672" s="1" t="str">
        <f t="shared" si="215"/>
        <v>16500</v>
      </c>
      <c r="B5672" s="1" t="str">
        <f>"98596"</f>
        <v>98596</v>
      </c>
      <c r="C5672" s="2">
        <v>8.3411709381612895E-2</v>
      </c>
      <c r="D5672" s="2">
        <v>2.5533403287862799E-2</v>
      </c>
      <c r="E5672" s="2">
        <v>2.3788546255506599E-2</v>
      </c>
      <c r="F5672" s="2">
        <v>7.5728552090516599E-2</v>
      </c>
    </row>
    <row r="5673" spans="1:6" x14ac:dyDescent="0.25">
      <c r="A5673" s="1" t="str">
        <f t="shared" ref="A5673:A5707" si="216">"16540"</f>
        <v>16540</v>
      </c>
      <c r="B5673" s="1" t="str">
        <f>"17232"</f>
        <v>17232</v>
      </c>
      <c r="C5673" s="2">
        <v>2.5438460125213702E-4</v>
      </c>
      <c r="D5673" s="2">
        <v>6.2578222778472995E-4</v>
      </c>
      <c r="E5673" s="2">
        <v>0</v>
      </c>
      <c r="F5673" s="2">
        <v>2.71633682576639E-4</v>
      </c>
    </row>
    <row r="5674" spans="1:6" x14ac:dyDescent="0.25">
      <c r="A5674" s="1" t="str">
        <f t="shared" si="216"/>
        <v>16540</v>
      </c>
      <c r="B5674" s="1" t="str">
        <f>"17240"</f>
        <v>17240</v>
      </c>
      <c r="C5674" s="2">
        <v>5.0735595471954002E-3</v>
      </c>
      <c r="D5674" s="2">
        <v>3.7546933667083802E-3</v>
      </c>
      <c r="E5674" s="2">
        <v>0</v>
      </c>
      <c r="F5674" s="2">
        <v>4.8764713491139498E-3</v>
      </c>
    </row>
    <row r="5675" spans="1:6" x14ac:dyDescent="0.25">
      <c r="A5675" s="1" t="str">
        <f t="shared" si="216"/>
        <v>16540</v>
      </c>
      <c r="B5675" s="1" t="str">
        <f>"17252"</f>
        <v>17252</v>
      </c>
      <c r="C5675" s="2">
        <v>2.3205528625333802E-2</v>
      </c>
      <c r="D5675" s="2">
        <v>1.0221109720483901E-2</v>
      </c>
      <c r="E5675" s="2">
        <v>4.5532157085941896E-3</v>
      </c>
      <c r="F5675" s="2">
        <v>2.19764584141766E-2</v>
      </c>
    </row>
    <row r="5676" spans="1:6" x14ac:dyDescent="0.25">
      <c r="A5676" s="1" t="str">
        <f t="shared" si="216"/>
        <v>16540</v>
      </c>
      <c r="B5676" s="1" t="str">
        <f>"17210"</f>
        <v>17210</v>
      </c>
      <c r="C5676" s="2">
        <v>7.0662389236704807E-5</v>
      </c>
      <c r="D5676" s="2">
        <v>0</v>
      </c>
      <c r="E5676" s="2">
        <v>5.6915196357427403E-4</v>
      </c>
      <c r="F5676" s="2">
        <v>7.7609623593325505E-5</v>
      </c>
    </row>
    <row r="5677" spans="1:6" x14ac:dyDescent="0.25">
      <c r="A5677" s="1" t="str">
        <f t="shared" si="216"/>
        <v>16540</v>
      </c>
      <c r="B5677" s="1" t="str">
        <f>"17256"</f>
        <v>17256</v>
      </c>
      <c r="C5677" s="2">
        <v>0</v>
      </c>
      <c r="D5677" s="2">
        <v>2.0859407592824301E-4</v>
      </c>
      <c r="E5677" s="2">
        <v>0</v>
      </c>
      <c r="F5677" s="2">
        <v>1.2934937265554201E-5</v>
      </c>
    </row>
    <row r="5678" spans="1:6" x14ac:dyDescent="0.25">
      <c r="A5678" s="1" t="str">
        <f t="shared" si="216"/>
        <v>16540</v>
      </c>
      <c r="B5678" s="1" t="str">
        <f>"17231"</f>
        <v>17231</v>
      </c>
      <c r="C5678" s="2">
        <v>0</v>
      </c>
      <c r="D5678" s="2">
        <v>2.0859407592824301E-4</v>
      </c>
      <c r="E5678" s="2">
        <v>0</v>
      </c>
      <c r="F5678" s="2">
        <v>1.2934937265554201E-5</v>
      </c>
    </row>
    <row r="5679" spans="1:6" x14ac:dyDescent="0.25">
      <c r="A5679" s="1" t="str">
        <f t="shared" si="216"/>
        <v>16540</v>
      </c>
      <c r="B5679" s="1" t="str">
        <f>"17217"</f>
        <v>17217</v>
      </c>
      <c r="C5679" s="2">
        <v>7.2075637021438901E-4</v>
      </c>
      <c r="D5679" s="2">
        <v>0</v>
      </c>
      <c r="E5679" s="2">
        <v>5.6915196357427403E-4</v>
      </c>
      <c r="F5679" s="2">
        <v>6.72616737808821E-4</v>
      </c>
    </row>
    <row r="5680" spans="1:6" x14ac:dyDescent="0.25">
      <c r="A5680" s="1" t="str">
        <f t="shared" si="216"/>
        <v>16540</v>
      </c>
      <c r="B5680" s="1" t="str">
        <f>"17263"</f>
        <v>17263</v>
      </c>
      <c r="C5680" s="2">
        <v>7.9141875945109403E-4</v>
      </c>
      <c r="D5680" s="2">
        <v>2.0859407592824301E-4</v>
      </c>
      <c r="E5680" s="2">
        <v>0</v>
      </c>
      <c r="F5680" s="2">
        <v>7.37291424136592E-4</v>
      </c>
    </row>
    <row r="5681" spans="1:6" x14ac:dyDescent="0.25">
      <c r="A5681" s="1" t="str">
        <f t="shared" si="216"/>
        <v>16540</v>
      </c>
      <c r="B5681" s="1" t="str">
        <f>"17271"</f>
        <v>17271</v>
      </c>
      <c r="C5681" s="2">
        <v>2.2187990220325299E-3</v>
      </c>
      <c r="D5681" s="2">
        <v>8.34376303712974E-4</v>
      </c>
      <c r="E5681" s="2">
        <v>0</v>
      </c>
      <c r="F5681" s="2">
        <v>2.08252489975423E-3</v>
      </c>
    </row>
    <row r="5682" spans="1:6" x14ac:dyDescent="0.25">
      <c r="A5682" s="1" t="str">
        <f t="shared" si="216"/>
        <v>16540</v>
      </c>
      <c r="B5682" s="1" t="str">
        <f>"17257"</f>
        <v>17257</v>
      </c>
      <c r="C5682" s="2">
        <v>6.1815458104269402E-2</v>
      </c>
      <c r="D5682" s="2">
        <v>3.5043804755944902E-2</v>
      </c>
      <c r="E5682" s="2">
        <v>3.6994877632327797E-2</v>
      </c>
      <c r="F5682" s="2">
        <v>5.95912559824084E-2</v>
      </c>
    </row>
    <row r="5683" spans="1:6" x14ac:dyDescent="0.25">
      <c r="A5683" s="1" t="str">
        <f t="shared" si="216"/>
        <v>16540</v>
      </c>
      <c r="B5683" s="1" t="str">
        <f>"17236"</f>
        <v>17236</v>
      </c>
      <c r="C5683" s="2">
        <v>5.3350103873712099E-2</v>
      </c>
      <c r="D5683" s="2">
        <v>4.1927409261576898E-2</v>
      </c>
      <c r="E5683" s="2">
        <v>3.24416619237336E-2</v>
      </c>
      <c r="F5683" s="2">
        <v>5.2166601991980303E-2</v>
      </c>
    </row>
    <row r="5684" spans="1:6" x14ac:dyDescent="0.25">
      <c r="A5684" s="1" t="str">
        <f t="shared" si="216"/>
        <v>16540</v>
      </c>
      <c r="B5684" s="1" t="str">
        <f>"17214"</f>
        <v>17214</v>
      </c>
      <c r="C5684" s="2">
        <v>1.5884905100411201E-2</v>
      </c>
      <c r="D5684" s="2">
        <v>1.68961201501877E-2</v>
      </c>
      <c r="E5684" s="2">
        <v>1.9920318725099601E-2</v>
      </c>
      <c r="F5684" s="2">
        <v>1.60393222092872E-2</v>
      </c>
    </row>
    <row r="5685" spans="1:6" x14ac:dyDescent="0.25">
      <c r="A5685" s="1" t="str">
        <f t="shared" si="216"/>
        <v>16540</v>
      </c>
      <c r="B5685" s="1" t="str">
        <f>"17202"</f>
        <v>17202</v>
      </c>
      <c r="C5685" s="2">
        <v>0.18940346811006301</v>
      </c>
      <c r="D5685" s="2">
        <v>0.16750104297037899</v>
      </c>
      <c r="E5685" s="2">
        <v>8.8218554354012504E-2</v>
      </c>
      <c r="F5685" s="2">
        <v>0.185745699133359</v>
      </c>
    </row>
    <row r="5686" spans="1:6" x14ac:dyDescent="0.25">
      <c r="A5686" s="1" t="str">
        <f t="shared" si="216"/>
        <v>16540</v>
      </c>
      <c r="B5686" s="1" t="str">
        <f>"17261"</f>
        <v>17261</v>
      </c>
      <c r="C5686" s="2">
        <v>0</v>
      </c>
      <c r="D5686" s="2">
        <v>6.2578222778472995E-4</v>
      </c>
      <c r="E5686" s="2">
        <v>0</v>
      </c>
      <c r="F5686" s="2">
        <v>3.8804811796662698E-5</v>
      </c>
    </row>
    <row r="5687" spans="1:6" x14ac:dyDescent="0.25">
      <c r="A5687" s="1" t="str">
        <f t="shared" si="216"/>
        <v>16540</v>
      </c>
      <c r="B5687" s="1" t="str">
        <f>"17246"</f>
        <v>17246</v>
      </c>
      <c r="C5687" s="2">
        <v>8.4794867084045801E-4</v>
      </c>
      <c r="D5687" s="2">
        <v>4.17188151856487E-4</v>
      </c>
      <c r="E5687" s="2">
        <v>1.13830392714854E-3</v>
      </c>
      <c r="F5687" s="2">
        <v>8.2783598499547198E-4</v>
      </c>
    </row>
    <row r="5688" spans="1:6" x14ac:dyDescent="0.25">
      <c r="A5688" s="1" t="str">
        <f t="shared" si="216"/>
        <v>16540</v>
      </c>
      <c r="B5688" s="1" t="str">
        <f>"17233"</f>
        <v>17233</v>
      </c>
      <c r="C5688" s="2">
        <v>2.2611964555745501E-4</v>
      </c>
      <c r="D5688" s="2">
        <v>0</v>
      </c>
      <c r="E5688" s="2">
        <v>0</v>
      </c>
      <c r="F5688" s="2">
        <v>2.0695899624886799E-4</v>
      </c>
    </row>
    <row r="5689" spans="1:6" x14ac:dyDescent="0.25">
      <c r="A5689" s="1" t="str">
        <f t="shared" si="216"/>
        <v>16540</v>
      </c>
      <c r="B5689" s="1" t="str">
        <f>"17235"</f>
        <v>17235</v>
      </c>
      <c r="C5689" s="2">
        <v>6.5716021990135497E-3</v>
      </c>
      <c r="D5689" s="2">
        <v>2.71172298706716E-3</v>
      </c>
      <c r="E5689" s="2">
        <v>5.6915196357427403E-4</v>
      </c>
      <c r="F5689" s="2">
        <v>6.1958349502004902E-3</v>
      </c>
    </row>
    <row r="5690" spans="1:6" x14ac:dyDescent="0.25">
      <c r="A5690" s="1" t="str">
        <f t="shared" si="216"/>
        <v>16540</v>
      </c>
      <c r="B5690" s="1" t="str">
        <f>"17219"</f>
        <v>17219</v>
      </c>
      <c r="C5690" s="2">
        <v>2.6427733574527598E-3</v>
      </c>
      <c r="D5690" s="2">
        <v>2.08594075928243E-3</v>
      </c>
      <c r="E5690" s="2">
        <v>0</v>
      </c>
      <c r="F5690" s="2">
        <v>2.5481826413141801E-3</v>
      </c>
    </row>
    <row r="5691" spans="1:6" x14ac:dyDescent="0.25">
      <c r="A5691" s="1" t="str">
        <f t="shared" si="216"/>
        <v>16540</v>
      </c>
      <c r="B5691" s="1" t="str">
        <f>"17262"</f>
        <v>17262</v>
      </c>
      <c r="C5691" s="2">
        <v>5.6388586610890403E-3</v>
      </c>
      <c r="D5691" s="2">
        <v>2.2945348352106801E-3</v>
      </c>
      <c r="E5691" s="2">
        <v>0</v>
      </c>
      <c r="F5691" s="2">
        <v>5.3033242788772398E-3</v>
      </c>
    </row>
    <row r="5692" spans="1:6" x14ac:dyDescent="0.25">
      <c r="A5692" s="1" t="str">
        <f t="shared" si="216"/>
        <v>16540</v>
      </c>
      <c r="B5692" s="1" t="str">
        <f>"17225"</f>
        <v>17225</v>
      </c>
      <c r="C5692" s="2">
        <v>0.11821817719300701</v>
      </c>
      <c r="D5692" s="2">
        <v>8.7818105965790497E-2</v>
      </c>
      <c r="E5692" s="2">
        <v>9.2202618099032393E-2</v>
      </c>
      <c r="F5692" s="2">
        <v>0.115741818652179</v>
      </c>
    </row>
    <row r="5693" spans="1:6" x14ac:dyDescent="0.25">
      <c r="A5693" s="1" t="str">
        <f t="shared" si="216"/>
        <v>16540</v>
      </c>
      <c r="B5693" s="1" t="str">
        <f>"17224"</f>
        <v>17224</v>
      </c>
      <c r="C5693" s="2">
        <v>9.5111575912604704E-3</v>
      </c>
      <c r="D5693" s="2">
        <v>5.63204005006257E-3</v>
      </c>
      <c r="E5693" s="2">
        <v>5.6915196357427396E-3</v>
      </c>
      <c r="F5693" s="2">
        <v>9.1838054585435206E-3</v>
      </c>
    </row>
    <row r="5694" spans="1:6" x14ac:dyDescent="0.25">
      <c r="A5694" s="1" t="str">
        <f t="shared" si="216"/>
        <v>16540</v>
      </c>
      <c r="B5694" s="1" t="str">
        <f>"17244"</f>
        <v>17244</v>
      </c>
      <c r="C5694" s="2">
        <v>1.35813112112946E-2</v>
      </c>
      <c r="D5694" s="2">
        <v>6.8836045056320403E-3</v>
      </c>
      <c r="E5694" s="2">
        <v>3.41491178144564E-3</v>
      </c>
      <c r="F5694" s="2">
        <v>1.2934937265554201E-2</v>
      </c>
    </row>
    <row r="5695" spans="1:6" x14ac:dyDescent="0.25">
      <c r="A5695" s="1" t="str">
        <f t="shared" si="216"/>
        <v>16540</v>
      </c>
      <c r="B5695" s="1" t="str">
        <f>"17251"</f>
        <v>17251</v>
      </c>
      <c r="C5695" s="2">
        <v>1.4132477847340901E-5</v>
      </c>
      <c r="D5695" s="2">
        <v>4.17188151856487E-4</v>
      </c>
      <c r="E5695" s="2">
        <v>0</v>
      </c>
      <c r="F5695" s="2">
        <v>3.8804811796662698E-5</v>
      </c>
    </row>
    <row r="5696" spans="1:6" x14ac:dyDescent="0.25">
      <c r="A5696" s="1" t="str">
        <f t="shared" si="216"/>
        <v>16540</v>
      </c>
      <c r="B5696" s="1" t="str">
        <f>"17021"</f>
        <v>17021</v>
      </c>
      <c r="C5696" s="2">
        <v>2.82649556946819E-5</v>
      </c>
      <c r="D5696" s="2">
        <v>0</v>
      </c>
      <c r="E5696" s="2">
        <v>0</v>
      </c>
      <c r="F5696" s="2">
        <v>2.5869874531108499E-5</v>
      </c>
    </row>
    <row r="5697" spans="1:6" x14ac:dyDescent="0.25">
      <c r="A5697" s="1" t="str">
        <f t="shared" si="216"/>
        <v>16540</v>
      </c>
      <c r="B5697" s="1" t="str">
        <f>"17237"</f>
        <v>17237</v>
      </c>
      <c r="C5697" s="2">
        <v>8.3098969742364907E-3</v>
      </c>
      <c r="D5697" s="2">
        <v>8.34376303712974E-4</v>
      </c>
      <c r="E5697" s="2">
        <v>7.9681274900398405E-3</v>
      </c>
      <c r="F5697" s="2">
        <v>7.8385719829258804E-3</v>
      </c>
    </row>
    <row r="5698" spans="1:6" x14ac:dyDescent="0.25">
      <c r="A5698" s="1" t="str">
        <f t="shared" si="216"/>
        <v>16540</v>
      </c>
      <c r="B5698" s="1" t="str">
        <f>"17247"</f>
        <v>17247</v>
      </c>
      <c r="C5698" s="2">
        <v>0</v>
      </c>
      <c r="D5698" s="2">
        <v>2.0859407592824301E-4</v>
      </c>
      <c r="E5698" s="2">
        <v>0</v>
      </c>
      <c r="F5698" s="2">
        <v>1.2934937265554201E-5</v>
      </c>
    </row>
    <row r="5699" spans="1:6" x14ac:dyDescent="0.25">
      <c r="A5699" s="1" t="str">
        <f t="shared" si="216"/>
        <v>16540</v>
      </c>
      <c r="B5699" s="1" t="str">
        <f>"17272"</f>
        <v>17272</v>
      </c>
      <c r="C5699" s="2">
        <v>0</v>
      </c>
      <c r="D5699" s="2">
        <v>2.0859407592824301E-4</v>
      </c>
      <c r="E5699" s="2">
        <v>0</v>
      </c>
      <c r="F5699" s="2">
        <v>1.2934937265554201E-5</v>
      </c>
    </row>
    <row r="5700" spans="1:6" x14ac:dyDescent="0.25">
      <c r="A5700" s="1" t="str">
        <f t="shared" si="216"/>
        <v>16540</v>
      </c>
      <c r="B5700" s="1" t="str">
        <f>"17250"</f>
        <v>17250</v>
      </c>
      <c r="C5700" s="2">
        <v>2.2611964555745501E-4</v>
      </c>
      <c r="D5700" s="2">
        <v>2.0859407592824301E-4</v>
      </c>
      <c r="E5700" s="2">
        <v>1.13830392714854E-3</v>
      </c>
      <c r="F5700" s="2">
        <v>2.4576380804552998E-4</v>
      </c>
    </row>
    <row r="5701" spans="1:6" x14ac:dyDescent="0.25">
      <c r="A5701" s="1" t="str">
        <f t="shared" si="216"/>
        <v>16540</v>
      </c>
      <c r="B5701" s="1" t="str">
        <f>"17220"</f>
        <v>17220</v>
      </c>
      <c r="C5701" s="2">
        <v>2.2046665441851901E-3</v>
      </c>
      <c r="D5701" s="2">
        <v>1.04297037964121E-3</v>
      </c>
      <c r="E5701" s="2">
        <v>5.6915196357427403E-4</v>
      </c>
      <c r="F5701" s="2">
        <v>2.0954598370197899E-3</v>
      </c>
    </row>
    <row r="5702" spans="1:6" x14ac:dyDescent="0.25">
      <c r="A5702" s="1" t="str">
        <f t="shared" si="216"/>
        <v>16540</v>
      </c>
      <c r="B5702" s="1" t="str">
        <f>"17221"</f>
        <v>17221</v>
      </c>
      <c r="C5702" s="2">
        <v>2.4307861897426399E-3</v>
      </c>
      <c r="D5702" s="2">
        <v>1.4601585314977E-3</v>
      </c>
      <c r="E5702" s="2">
        <v>5.6915196357427403E-4</v>
      </c>
      <c r="F5702" s="2">
        <v>2.3282887077997602E-3</v>
      </c>
    </row>
    <row r="5703" spans="1:6" x14ac:dyDescent="0.25">
      <c r="A5703" s="1" t="str">
        <f t="shared" si="216"/>
        <v>16540</v>
      </c>
      <c r="B5703" s="1" t="str">
        <f>"17201"</f>
        <v>17201</v>
      </c>
      <c r="C5703" s="2">
        <v>0.195960937831229</v>
      </c>
      <c r="D5703" s="2">
        <v>0.38673341677096301</v>
      </c>
      <c r="E5703" s="2">
        <v>0.380193511667615</v>
      </c>
      <c r="F5703" s="2">
        <v>0.21197775190790299</v>
      </c>
    </row>
    <row r="5704" spans="1:6" x14ac:dyDescent="0.25">
      <c r="A5704" s="1" t="str">
        <f t="shared" si="216"/>
        <v>16540</v>
      </c>
      <c r="B5704" s="1" t="str">
        <f>"17222"</f>
        <v>17222</v>
      </c>
      <c r="C5704" s="2">
        <v>7.0718919148094195E-2</v>
      </c>
      <c r="D5704" s="2">
        <v>2.3779724655819699E-2</v>
      </c>
      <c r="E5704" s="2">
        <v>3.6994877632327797E-2</v>
      </c>
      <c r="F5704" s="2">
        <v>6.70417798473677E-2</v>
      </c>
    </row>
    <row r="5705" spans="1:6" x14ac:dyDescent="0.25">
      <c r="A5705" s="1" t="str">
        <f t="shared" si="216"/>
        <v>16540</v>
      </c>
      <c r="B5705" s="1" t="str">
        <f>"17254"</f>
        <v>17254</v>
      </c>
      <c r="C5705" s="2">
        <v>0</v>
      </c>
      <c r="D5705" s="2">
        <v>4.17188151856487E-4</v>
      </c>
      <c r="E5705" s="2">
        <v>0</v>
      </c>
      <c r="F5705" s="2">
        <v>2.5869874531108499E-5</v>
      </c>
    </row>
    <row r="5706" spans="1:6" x14ac:dyDescent="0.25">
      <c r="A5706" s="1" t="str">
        <f t="shared" si="216"/>
        <v>16540</v>
      </c>
      <c r="B5706" s="1" t="str">
        <f>"17265"</f>
        <v>17265</v>
      </c>
      <c r="C5706" s="2">
        <v>2.1905340663378502E-3</v>
      </c>
      <c r="D5706" s="2">
        <v>0</v>
      </c>
      <c r="E5706" s="2">
        <v>1.70745589072282E-3</v>
      </c>
      <c r="F5706" s="2">
        <v>2.0437200879575698E-3</v>
      </c>
    </row>
    <row r="5707" spans="1:6" x14ac:dyDescent="0.25">
      <c r="A5707" s="1" t="str">
        <f t="shared" si="216"/>
        <v>16540</v>
      </c>
      <c r="B5707" s="1" t="str">
        <f>"17268"</f>
        <v>17268</v>
      </c>
      <c r="C5707" s="2">
        <v>0.20788874913438499</v>
      </c>
      <c r="D5707" s="2">
        <v>0.198790154359616</v>
      </c>
      <c r="E5707" s="2">
        <v>0.284575981787137</v>
      </c>
      <c r="F5707" s="2">
        <v>0.209067391023153</v>
      </c>
    </row>
    <row r="5708" spans="1:6" x14ac:dyDescent="0.25">
      <c r="A5708" s="1" t="str">
        <f t="shared" ref="A5708:A5739" si="217">"16580"</f>
        <v>16580</v>
      </c>
      <c r="B5708" s="1" t="str">
        <f>"61810"</f>
        <v>61810</v>
      </c>
      <c r="C5708" s="2">
        <v>9.2216894135005496E-5</v>
      </c>
      <c r="D5708" s="2">
        <v>0</v>
      </c>
      <c r="E5708" s="2">
        <v>0</v>
      </c>
      <c r="F5708" s="2">
        <v>8.0037137231675398E-5</v>
      </c>
    </row>
    <row r="5709" spans="1:6" x14ac:dyDescent="0.25">
      <c r="A5709" s="1" t="str">
        <f t="shared" si="217"/>
        <v>16580</v>
      </c>
      <c r="B5709" s="1" t="str">
        <f>"60949"</f>
        <v>60949</v>
      </c>
      <c r="C5709" s="2">
        <v>2.8402803393581702E-3</v>
      </c>
      <c r="D5709" s="2">
        <v>6.8422853232979802E-4</v>
      </c>
      <c r="E5709" s="2">
        <v>1.03452735031682E-3</v>
      </c>
      <c r="F5709" s="2">
        <v>2.5771958188599499E-3</v>
      </c>
    </row>
    <row r="5710" spans="1:6" x14ac:dyDescent="0.25">
      <c r="A5710" s="1" t="str">
        <f t="shared" si="217"/>
        <v>16580</v>
      </c>
      <c r="B5710" s="1" t="str">
        <f>"61824"</f>
        <v>61824</v>
      </c>
      <c r="C5710" s="2">
        <v>8.1796385097749908E-3</v>
      </c>
      <c r="D5710" s="2">
        <v>2.7711255559356801E-2</v>
      </c>
      <c r="E5710" s="2">
        <v>2.5863183757920602E-4</v>
      </c>
      <c r="F5710" s="2">
        <v>9.0602039346256592E-3</v>
      </c>
    </row>
    <row r="5711" spans="1:6" x14ac:dyDescent="0.25">
      <c r="A5711" s="1" t="str">
        <f t="shared" si="217"/>
        <v>16580</v>
      </c>
      <c r="B5711" s="1" t="str">
        <f>"61866"</f>
        <v>61866</v>
      </c>
      <c r="C5711" s="2">
        <v>6.4247510143858294E-2</v>
      </c>
      <c r="D5711" s="2">
        <v>6.4203443950279299E-2</v>
      </c>
      <c r="E5711" s="2">
        <v>4.6165783007888199E-2</v>
      </c>
      <c r="F5711" s="2">
        <v>6.3125290134622397E-2</v>
      </c>
    </row>
    <row r="5712" spans="1:6" x14ac:dyDescent="0.25">
      <c r="A5712" s="1" t="str">
        <f t="shared" si="217"/>
        <v>16580</v>
      </c>
      <c r="B5712" s="1" t="str">
        <f>"61913"</f>
        <v>61913</v>
      </c>
      <c r="C5712" s="2">
        <v>3.1169310217631801E-3</v>
      </c>
      <c r="D5712" s="2">
        <v>5.70190443608165E-4</v>
      </c>
      <c r="E5712" s="2">
        <v>7.7589551273761796E-4</v>
      </c>
      <c r="F5712" s="2">
        <v>2.7932960893854702E-3</v>
      </c>
    </row>
    <row r="5713" spans="1:6" x14ac:dyDescent="0.25">
      <c r="A5713" s="1" t="str">
        <f t="shared" si="217"/>
        <v>16580</v>
      </c>
      <c r="B5713" s="1" t="str">
        <f>"61801"</f>
        <v>61801</v>
      </c>
      <c r="C5713" s="2">
        <v>0.120527480634452</v>
      </c>
      <c r="D5713" s="2">
        <v>0.100809670429923</v>
      </c>
      <c r="E5713" s="2">
        <v>0.212724686408896</v>
      </c>
      <c r="F5713" s="2">
        <v>0.12484993036769</v>
      </c>
    </row>
    <row r="5714" spans="1:6" x14ac:dyDescent="0.25">
      <c r="A5714" s="1" t="str">
        <f t="shared" si="217"/>
        <v>16580</v>
      </c>
      <c r="B5714" s="1" t="str">
        <f>"61820"</f>
        <v>61820</v>
      </c>
      <c r="C5714" s="2">
        <v>0.17208594614533301</v>
      </c>
      <c r="D5714" s="2">
        <v>0.285779450336412</v>
      </c>
      <c r="E5714" s="2">
        <v>0.31669468511573701</v>
      </c>
      <c r="F5714" s="2">
        <v>0.189015703286324</v>
      </c>
    </row>
    <row r="5715" spans="1:6" x14ac:dyDescent="0.25">
      <c r="A5715" s="1" t="str">
        <f t="shared" si="217"/>
        <v>16580</v>
      </c>
      <c r="B5715" s="1" t="str">
        <f>"61840"</f>
        <v>61840</v>
      </c>
      <c r="C5715" s="2">
        <v>2.78495020287716E-3</v>
      </c>
      <c r="D5715" s="2">
        <v>1.48249515338122E-3</v>
      </c>
      <c r="E5715" s="2">
        <v>0</v>
      </c>
      <c r="F5715" s="2">
        <v>2.5211698227977702E-3</v>
      </c>
    </row>
    <row r="5716" spans="1:6" x14ac:dyDescent="0.25">
      <c r="A5716" s="1" t="str">
        <f t="shared" si="217"/>
        <v>16580</v>
      </c>
      <c r="B5716" s="1" t="str">
        <f>"61818"</f>
        <v>61818</v>
      </c>
      <c r="C5716" s="2">
        <v>5.2010328292143096E-3</v>
      </c>
      <c r="D5716" s="2">
        <v>1.25441897593796E-3</v>
      </c>
      <c r="E5716" s="2">
        <v>1.29315918789603E-3</v>
      </c>
      <c r="F5716" s="2">
        <v>4.6821725280530102E-3</v>
      </c>
    </row>
    <row r="5717" spans="1:6" x14ac:dyDescent="0.25">
      <c r="A5717" s="1" t="str">
        <f t="shared" si="217"/>
        <v>16580</v>
      </c>
      <c r="B5717" s="1" t="str">
        <f>"61953"</f>
        <v>61953</v>
      </c>
      <c r="C5717" s="2">
        <v>1.8443378827001099E-5</v>
      </c>
      <c r="D5717" s="2">
        <v>0</v>
      </c>
      <c r="E5717" s="2">
        <v>0</v>
      </c>
      <c r="F5717" s="2">
        <v>1.6007427446335002E-5</v>
      </c>
    </row>
    <row r="5718" spans="1:6" x14ac:dyDescent="0.25">
      <c r="A5718" s="1" t="str">
        <f t="shared" si="217"/>
        <v>16580</v>
      </c>
      <c r="B5718" s="1" t="str">
        <f>"61859"</f>
        <v>61859</v>
      </c>
      <c r="C5718" s="2">
        <v>4.7399483585392798E-3</v>
      </c>
      <c r="D5718" s="2">
        <v>3.8772950165355201E-3</v>
      </c>
      <c r="E5718" s="2">
        <v>0</v>
      </c>
      <c r="F5718" s="2">
        <v>4.3860351202958097E-3</v>
      </c>
    </row>
    <row r="5719" spans="1:6" x14ac:dyDescent="0.25">
      <c r="A5719" s="1" t="str">
        <f t="shared" si="217"/>
        <v>16580</v>
      </c>
      <c r="B5719" s="1" t="str">
        <f>"61856"</f>
        <v>61856</v>
      </c>
      <c r="C5719" s="2">
        <v>3.2902987827369903E-2</v>
      </c>
      <c r="D5719" s="2">
        <v>4.0141407230014803E-2</v>
      </c>
      <c r="E5719" s="2">
        <v>1.5259278417173099E-2</v>
      </c>
      <c r="F5719" s="2">
        <v>3.2318996014150503E-2</v>
      </c>
    </row>
    <row r="5720" spans="1:6" x14ac:dyDescent="0.25">
      <c r="A5720" s="1" t="str">
        <f t="shared" si="217"/>
        <v>16580</v>
      </c>
      <c r="B5720" s="1" t="str">
        <f>"61821"</f>
        <v>61821</v>
      </c>
      <c r="C5720" s="2">
        <v>0.128144596090003</v>
      </c>
      <c r="D5720" s="2">
        <v>8.0624928726194506E-2</v>
      </c>
      <c r="E5720" s="2">
        <v>0.135005819216345</v>
      </c>
      <c r="F5720" s="2">
        <v>0.125234108626402</v>
      </c>
    </row>
    <row r="5721" spans="1:6" x14ac:dyDescent="0.25">
      <c r="A5721" s="1" t="str">
        <f t="shared" si="217"/>
        <v>16580</v>
      </c>
      <c r="B5721" s="1" t="str">
        <f>"61929"</f>
        <v>61929</v>
      </c>
      <c r="C5721" s="2">
        <v>3.2460346735521898E-3</v>
      </c>
      <c r="D5721" s="2">
        <v>7.9826662105143104E-4</v>
      </c>
      <c r="E5721" s="2">
        <v>2.1983706194232499E-3</v>
      </c>
      <c r="F5721" s="2">
        <v>3.00939635991099E-3</v>
      </c>
    </row>
    <row r="5722" spans="1:6" x14ac:dyDescent="0.25">
      <c r="A5722" s="1" t="str">
        <f t="shared" si="217"/>
        <v>16580</v>
      </c>
      <c r="B5722" s="1" t="str">
        <f>"61937"</f>
        <v>61937</v>
      </c>
      <c r="C5722" s="2">
        <v>6.45518258945038E-5</v>
      </c>
      <c r="D5722" s="2">
        <v>1.1403808872163299E-4</v>
      </c>
      <c r="E5722" s="2">
        <v>0</v>
      </c>
      <c r="F5722" s="2">
        <v>6.4029709785340305E-5</v>
      </c>
    </row>
    <row r="5723" spans="1:6" x14ac:dyDescent="0.25">
      <c r="A5723" s="1" t="str">
        <f t="shared" si="217"/>
        <v>16580</v>
      </c>
      <c r="B5723" s="1" t="str">
        <f>"61936"</f>
        <v>61936</v>
      </c>
      <c r="C5723" s="2">
        <v>1.0697159719660601E-3</v>
      </c>
      <c r="D5723" s="2">
        <v>1.1403808872163299E-4</v>
      </c>
      <c r="E5723" s="2">
        <v>0</v>
      </c>
      <c r="F5723" s="2">
        <v>9.3643450561060296E-4</v>
      </c>
    </row>
    <row r="5724" spans="1:6" x14ac:dyDescent="0.25">
      <c r="A5724" s="1" t="str">
        <f t="shared" si="217"/>
        <v>16580</v>
      </c>
      <c r="B5724" s="1" t="str">
        <f>"61862"</f>
        <v>61862</v>
      </c>
      <c r="C5724" s="2">
        <v>1.8166728144596001E-3</v>
      </c>
      <c r="D5724" s="2">
        <v>2.9649903067624499E-3</v>
      </c>
      <c r="E5724" s="2">
        <v>0</v>
      </c>
      <c r="F5724" s="2">
        <v>1.7848281602663601E-3</v>
      </c>
    </row>
    <row r="5725" spans="1:6" x14ac:dyDescent="0.25">
      <c r="A5725" s="1" t="str">
        <f t="shared" si="217"/>
        <v>16580</v>
      </c>
      <c r="B5725" s="1" t="str">
        <f>"61849"</f>
        <v>61849</v>
      </c>
      <c r="C5725" s="2">
        <v>7.0269273330874201E-3</v>
      </c>
      <c r="D5725" s="2">
        <v>6.8422853232979796E-3</v>
      </c>
      <c r="E5725" s="2">
        <v>1.9397387818440399E-3</v>
      </c>
      <c r="F5725" s="2">
        <v>6.6991083862912304E-3</v>
      </c>
    </row>
    <row r="5726" spans="1:6" x14ac:dyDescent="0.25">
      <c r="A5726" s="1" t="str">
        <f t="shared" si="217"/>
        <v>16580</v>
      </c>
      <c r="B5726" s="1" t="str">
        <f>"61880"</f>
        <v>61880</v>
      </c>
      <c r="C5726" s="2">
        <v>1.66543710807819E-2</v>
      </c>
      <c r="D5726" s="2">
        <v>6.3861329684114397E-3</v>
      </c>
      <c r="E5726" s="2">
        <v>4.3967412388464999E-3</v>
      </c>
      <c r="F5726" s="2">
        <v>1.51750412191256E-2</v>
      </c>
    </row>
    <row r="5727" spans="1:6" x14ac:dyDescent="0.25">
      <c r="A5727" s="1" t="str">
        <f t="shared" si="217"/>
        <v>16580</v>
      </c>
      <c r="B5727" s="1" t="str">
        <f>"61884"</f>
        <v>61884</v>
      </c>
      <c r="C5727" s="2">
        <v>4.4817410549612604E-3</v>
      </c>
      <c r="D5727" s="2">
        <v>7.9826662105143104E-4</v>
      </c>
      <c r="E5727" s="2">
        <v>5.1726367515841204E-4</v>
      </c>
      <c r="F5727" s="2">
        <v>3.9778457204142697E-3</v>
      </c>
    </row>
    <row r="5728" spans="1:6" x14ac:dyDescent="0.25">
      <c r="A5728" s="1" t="str">
        <f t="shared" si="217"/>
        <v>16580</v>
      </c>
      <c r="B5728" s="1" t="str">
        <f>"61802"</f>
        <v>61802</v>
      </c>
      <c r="C5728" s="2">
        <v>9.2014016967908493E-2</v>
      </c>
      <c r="D5728" s="2">
        <v>7.0817653096134095E-2</v>
      </c>
      <c r="E5728" s="2">
        <v>9.8926677874046201E-2</v>
      </c>
      <c r="F5728" s="2">
        <v>9.0954202750075999E-2</v>
      </c>
    </row>
    <row r="5729" spans="1:6" x14ac:dyDescent="0.25">
      <c r="A5729" s="1" t="str">
        <f t="shared" si="217"/>
        <v>16580</v>
      </c>
      <c r="B5729" s="1" t="str">
        <f>"61813"</f>
        <v>61813</v>
      </c>
      <c r="C5729" s="2">
        <v>8.0597565473994794E-3</v>
      </c>
      <c r="D5729" s="2">
        <v>7.9826662105143102E-3</v>
      </c>
      <c r="E5729" s="2">
        <v>2.71563429458166E-3</v>
      </c>
      <c r="F5729" s="2">
        <v>7.7235837428566798E-3</v>
      </c>
    </row>
    <row r="5730" spans="1:6" x14ac:dyDescent="0.25">
      <c r="A5730" s="1" t="str">
        <f t="shared" si="217"/>
        <v>16580</v>
      </c>
      <c r="B5730" s="1" t="str">
        <f>"61822"</f>
        <v>61822</v>
      </c>
      <c r="C5730" s="2">
        <v>0.107386573220213</v>
      </c>
      <c r="D5730" s="2">
        <v>0.10616946059984</v>
      </c>
      <c r="E5730" s="2">
        <v>7.7330919436182505E-2</v>
      </c>
      <c r="F5730" s="2">
        <v>0.105440924589009</v>
      </c>
    </row>
    <row r="5731" spans="1:6" x14ac:dyDescent="0.25">
      <c r="A5731" s="1" t="str">
        <f t="shared" si="217"/>
        <v>16580</v>
      </c>
      <c r="B5731" s="1" t="str">
        <f>"61842"</f>
        <v>61842</v>
      </c>
      <c r="C5731" s="2">
        <v>4.1497602360752398E-4</v>
      </c>
      <c r="D5731" s="2">
        <v>2.2807617744326599E-4</v>
      </c>
      <c r="E5731" s="2">
        <v>0</v>
      </c>
      <c r="F5731" s="2">
        <v>3.7617454498887402E-4</v>
      </c>
    </row>
    <row r="5732" spans="1:6" x14ac:dyDescent="0.25">
      <c r="A5732" s="1" t="str">
        <f t="shared" si="217"/>
        <v>16580</v>
      </c>
      <c r="B5732" s="1" t="str">
        <f>"61830"</f>
        <v>61830</v>
      </c>
      <c r="C5732" s="2">
        <v>1.7521209885651E-3</v>
      </c>
      <c r="D5732" s="2">
        <v>9.1230470977306396E-4</v>
      </c>
      <c r="E5732" s="2">
        <v>0</v>
      </c>
      <c r="F5732" s="2">
        <v>1.5847353171871701E-3</v>
      </c>
    </row>
    <row r="5733" spans="1:6" x14ac:dyDescent="0.25">
      <c r="A5733" s="1" t="str">
        <f t="shared" si="217"/>
        <v>16580</v>
      </c>
      <c r="B5733" s="1" t="str">
        <f>"60960"</f>
        <v>60960</v>
      </c>
      <c r="C5733" s="2">
        <v>5.5330136481003298E-5</v>
      </c>
      <c r="D5733" s="2">
        <v>0</v>
      </c>
      <c r="E5733" s="2">
        <v>0</v>
      </c>
      <c r="F5733" s="2">
        <v>4.8022282339005198E-5</v>
      </c>
    </row>
    <row r="5734" spans="1:6" x14ac:dyDescent="0.25">
      <c r="A5734" s="1" t="str">
        <f t="shared" si="217"/>
        <v>16580</v>
      </c>
      <c r="B5734" s="1" t="str">
        <f>"61815"</f>
        <v>61815</v>
      </c>
      <c r="C5734" s="2">
        <v>1.3371449649575799E-3</v>
      </c>
      <c r="D5734" s="2">
        <v>6.8422853232979802E-4</v>
      </c>
      <c r="E5734" s="2">
        <v>5.1726367515841204E-4</v>
      </c>
      <c r="F5734" s="2">
        <v>1.2405756270909699E-3</v>
      </c>
    </row>
    <row r="5735" spans="1:6" x14ac:dyDescent="0.25">
      <c r="A5735" s="1" t="str">
        <f t="shared" si="217"/>
        <v>16580</v>
      </c>
      <c r="B5735" s="1" t="str">
        <f>"61863"</f>
        <v>61863</v>
      </c>
      <c r="C5735" s="2">
        <v>3.4028033935817E-3</v>
      </c>
      <c r="D5735" s="2">
        <v>7.9826662105143104E-4</v>
      </c>
      <c r="E5735" s="2">
        <v>0</v>
      </c>
      <c r="F5735" s="2">
        <v>3.00939635991099E-3</v>
      </c>
    </row>
    <row r="5736" spans="1:6" x14ac:dyDescent="0.25">
      <c r="A5736" s="1" t="str">
        <f t="shared" si="217"/>
        <v>16580</v>
      </c>
      <c r="B5736" s="1" t="str">
        <f>"61877"</f>
        <v>61877</v>
      </c>
      <c r="C5736" s="2">
        <v>6.5750645518258899E-3</v>
      </c>
      <c r="D5736" s="2">
        <v>5.0176759037518504E-3</v>
      </c>
      <c r="E5736" s="2">
        <v>1.6811069442648301E-3</v>
      </c>
      <c r="F5736" s="2">
        <v>6.1628595668390103E-3</v>
      </c>
    </row>
    <row r="5737" spans="1:6" x14ac:dyDescent="0.25">
      <c r="A5737" s="1" t="str">
        <f t="shared" si="217"/>
        <v>16580</v>
      </c>
      <c r="B5737" s="1" t="str">
        <f>"61878"</f>
        <v>61878</v>
      </c>
      <c r="C5737" s="2">
        <v>6.3260789376613702E-3</v>
      </c>
      <c r="D5737" s="2">
        <v>2.8509522180408201E-3</v>
      </c>
      <c r="E5737" s="2">
        <v>4.5260571576361004E-3</v>
      </c>
      <c r="F5737" s="2">
        <v>5.9707704374829902E-3</v>
      </c>
    </row>
    <row r="5738" spans="1:6" x14ac:dyDescent="0.25">
      <c r="A5738" s="1" t="str">
        <f t="shared" si="217"/>
        <v>16580</v>
      </c>
      <c r="B5738" s="1" t="str">
        <f>"61875"</f>
        <v>61875</v>
      </c>
      <c r="C5738" s="2">
        <v>2.99704905938767E-3</v>
      </c>
      <c r="D5738" s="2">
        <v>1.36845706465959E-3</v>
      </c>
      <c r="E5738" s="2">
        <v>2.32768653821285E-3</v>
      </c>
      <c r="F5738" s="2">
        <v>2.84131837172448E-3</v>
      </c>
    </row>
    <row r="5739" spans="1:6" x14ac:dyDescent="0.25">
      <c r="A5739" s="1" t="str">
        <f t="shared" si="217"/>
        <v>16580</v>
      </c>
      <c r="B5739" s="1" t="str">
        <f>"61843"</f>
        <v>61843</v>
      </c>
      <c r="C5739" s="2">
        <v>9.0464773146440407E-3</v>
      </c>
      <c r="D5739" s="2">
        <v>5.0176759037518504E-3</v>
      </c>
      <c r="E5739" s="2">
        <v>4.0087934824776898E-3</v>
      </c>
      <c r="F5739" s="2">
        <v>8.4519216916649296E-3</v>
      </c>
    </row>
    <row r="5740" spans="1:6" x14ac:dyDescent="0.25">
      <c r="A5740" s="1" t="str">
        <f t="shared" ref="A5740:A5760" si="218">"16580"</f>
        <v>16580</v>
      </c>
      <c r="B5740" s="1" t="str">
        <f>"61847"</f>
        <v>61847</v>
      </c>
      <c r="C5740" s="2">
        <v>5.1457026927332998E-3</v>
      </c>
      <c r="D5740" s="2">
        <v>3.9913331052571499E-3</v>
      </c>
      <c r="E5740" s="2">
        <v>1.03452735031682E-3</v>
      </c>
      <c r="F5740" s="2">
        <v>4.8102319476236903E-3</v>
      </c>
    </row>
    <row r="5741" spans="1:6" x14ac:dyDescent="0.25">
      <c r="A5741" s="1" t="str">
        <f t="shared" si="218"/>
        <v>16580</v>
      </c>
      <c r="B5741" s="1" t="str">
        <f>"61826"</f>
        <v>61826</v>
      </c>
      <c r="C5741" s="2">
        <v>1.8600147547030599E-2</v>
      </c>
      <c r="D5741" s="2">
        <v>5.2343482723229501E-2</v>
      </c>
      <c r="E5741" s="2">
        <v>2.5863183757920602E-4</v>
      </c>
      <c r="F5741" s="2">
        <v>1.9833202606009102E-2</v>
      </c>
    </row>
    <row r="5742" spans="1:6" x14ac:dyDescent="0.25">
      <c r="A5742" s="1" t="str">
        <f t="shared" si="218"/>
        <v>16580</v>
      </c>
      <c r="B5742" s="1" t="str">
        <f>"61872"</f>
        <v>61872</v>
      </c>
      <c r="C5742" s="2">
        <v>2.9417189229066702E-3</v>
      </c>
      <c r="D5742" s="2">
        <v>1.02634279849469E-3</v>
      </c>
      <c r="E5742" s="2">
        <v>1.2931591878960301E-4</v>
      </c>
      <c r="F5742" s="2">
        <v>2.6332218149221201E-3</v>
      </c>
    </row>
    <row r="5743" spans="1:6" x14ac:dyDescent="0.25">
      <c r="A5743" s="1" t="str">
        <f t="shared" si="218"/>
        <v>16580</v>
      </c>
      <c r="B5743" s="1" t="str">
        <f>"61871"</f>
        <v>61871</v>
      </c>
      <c r="C5743" s="2">
        <v>1.4201401696790801E-3</v>
      </c>
      <c r="D5743" s="2">
        <v>0</v>
      </c>
      <c r="E5743" s="2">
        <v>1.03452735031682E-3</v>
      </c>
      <c r="F5743" s="2">
        <v>1.2966016231531401E-3</v>
      </c>
    </row>
    <row r="5744" spans="1:6" x14ac:dyDescent="0.25">
      <c r="A5744" s="1" t="str">
        <f t="shared" si="218"/>
        <v>16580</v>
      </c>
      <c r="B5744" s="1" t="str">
        <f>"61851"</f>
        <v>61851</v>
      </c>
      <c r="C5744" s="2">
        <v>1.24492807082257E-3</v>
      </c>
      <c r="D5744" s="2">
        <v>6.8422853232979802E-4</v>
      </c>
      <c r="E5744" s="2">
        <v>0</v>
      </c>
      <c r="F5744" s="2">
        <v>1.1285236349666201E-3</v>
      </c>
    </row>
    <row r="5745" spans="1:6" x14ac:dyDescent="0.25">
      <c r="A5745" s="1" t="str">
        <f t="shared" si="218"/>
        <v>16580</v>
      </c>
      <c r="B5745" s="1" t="str">
        <f>"61864"</f>
        <v>61864</v>
      </c>
      <c r="C5745" s="2">
        <v>6.3629656953153799E-3</v>
      </c>
      <c r="D5745" s="2">
        <v>3.30710457292735E-3</v>
      </c>
      <c r="E5745" s="2">
        <v>1.8104228630544401E-3</v>
      </c>
      <c r="F5745" s="2">
        <v>5.8667221590818098E-3</v>
      </c>
    </row>
    <row r="5746" spans="1:6" x14ac:dyDescent="0.25">
      <c r="A5746" s="1" t="str">
        <f t="shared" si="218"/>
        <v>16580</v>
      </c>
      <c r="B5746" s="1" t="str">
        <f>"61873"</f>
        <v>61873</v>
      </c>
      <c r="C5746" s="2">
        <v>2.1689413500553301E-2</v>
      </c>
      <c r="D5746" s="2">
        <v>4.4474854601436803E-3</v>
      </c>
      <c r="E5746" s="2">
        <v>1.42247510668563E-3</v>
      </c>
      <c r="F5746" s="2">
        <v>1.92249203630484E-2</v>
      </c>
    </row>
    <row r="5747" spans="1:6" x14ac:dyDescent="0.25">
      <c r="A5747" s="1" t="str">
        <f t="shared" si="218"/>
        <v>16580</v>
      </c>
      <c r="B5747" s="1" t="str">
        <f>"61816"</f>
        <v>61816</v>
      </c>
      <c r="C5747" s="2">
        <v>2.0195499815566201E-3</v>
      </c>
      <c r="D5747" s="2">
        <v>1.25441897593796E-3</v>
      </c>
      <c r="E5747" s="2">
        <v>0</v>
      </c>
      <c r="F5747" s="2">
        <v>1.84085415632853E-3</v>
      </c>
    </row>
    <row r="5748" spans="1:6" x14ac:dyDescent="0.25">
      <c r="A5748" s="1" t="str">
        <f t="shared" si="218"/>
        <v>16580</v>
      </c>
      <c r="B5748" s="1" t="str">
        <f>"61855"</f>
        <v>61855</v>
      </c>
      <c r="C5748" s="2">
        <v>4.8874953891552898E-4</v>
      </c>
      <c r="D5748" s="2">
        <v>2.2807617744326599E-4</v>
      </c>
      <c r="E5748" s="2">
        <v>0</v>
      </c>
      <c r="F5748" s="2">
        <v>4.4020425477421499E-4</v>
      </c>
    </row>
    <row r="5749" spans="1:6" x14ac:dyDescent="0.25">
      <c r="A5749" s="1" t="str">
        <f t="shared" si="218"/>
        <v>16580</v>
      </c>
      <c r="B5749" s="1" t="str">
        <f>"61845"</f>
        <v>61845</v>
      </c>
      <c r="C5749" s="2">
        <v>1.4754703061600799E-3</v>
      </c>
      <c r="D5749" s="2">
        <v>3.4211426616489901E-4</v>
      </c>
      <c r="E5749" s="2">
        <v>1.2931591878960301E-4</v>
      </c>
      <c r="F5749" s="2">
        <v>1.3126090505994701E-3</v>
      </c>
    </row>
    <row r="5750" spans="1:6" x14ac:dyDescent="0.25">
      <c r="A5750" s="1" t="str">
        <f t="shared" si="218"/>
        <v>16580</v>
      </c>
      <c r="B5750" s="1" t="str">
        <f>"61874"</f>
        <v>61874</v>
      </c>
      <c r="C5750" s="2">
        <v>4.20509037255625E-2</v>
      </c>
      <c r="D5750" s="2">
        <v>3.7518531189417198E-2</v>
      </c>
      <c r="E5750" s="2">
        <v>3.5820509504720002E-2</v>
      </c>
      <c r="F5750" s="2">
        <v>4.13471850938835E-2</v>
      </c>
    </row>
    <row r="5751" spans="1:6" x14ac:dyDescent="0.25">
      <c r="A5751" s="1" t="str">
        <f t="shared" si="218"/>
        <v>16580</v>
      </c>
      <c r="B5751" s="1" t="str">
        <f>"61854"</f>
        <v>61854</v>
      </c>
      <c r="C5751" s="2">
        <v>6.2523054223533698E-3</v>
      </c>
      <c r="D5751" s="2">
        <v>3.53518075037062E-3</v>
      </c>
      <c r="E5751" s="2">
        <v>1.6811069442648301E-3</v>
      </c>
      <c r="F5751" s="2">
        <v>5.77868130812697E-3</v>
      </c>
    </row>
    <row r="5752" spans="1:6" x14ac:dyDescent="0.25">
      <c r="A5752" s="1" t="str">
        <f t="shared" si="218"/>
        <v>16580</v>
      </c>
      <c r="B5752" s="1" t="str">
        <f>"61825"</f>
        <v>61825</v>
      </c>
      <c r="C5752" s="2">
        <v>7.3865732202139404E-3</v>
      </c>
      <c r="D5752" s="2">
        <v>1.25441897593796E-2</v>
      </c>
      <c r="E5752" s="2">
        <v>2.5863183757920602E-4</v>
      </c>
      <c r="F5752" s="2">
        <v>7.3073906292519704E-3</v>
      </c>
    </row>
    <row r="5753" spans="1:6" x14ac:dyDescent="0.25">
      <c r="A5753" s="1" t="str">
        <f t="shared" si="218"/>
        <v>16580</v>
      </c>
      <c r="B5753" s="1" t="str">
        <f>"60936"</f>
        <v>60936</v>
      </c>
      <c r="C5753" s="2">
        <v>2.7665068240501602E-5</v>
      </c>
      <c r="D5753" s="2">
        <v>0</v>
      </c>
      <c r="E5753" s="2">
        <v>0</v>
      </c>
      <c r="F5753" s="2">
        <v>2.4011141169502599E-5</v>
      </c>
    </row>
    <row r="5754" spans="1:6" x14ac:dyDescent="0.25">
      <c r="A5754" s="1" t="str">
        <f t="shared" si="218"/>
        <v>16580</v>
      </c>
      <c r="B5754" s="1" t="str">
        <f>"60957"</f>
        <v>60957</v>
      </c>
      <c r="C5754" s="2">
        <v>3.6886757654002199E-4</v>
      </c>
      <c r="D5754" s="2">
        <v>0</v>
      </c>
      <c r="E5754" s="2">
        <v>0</v>
      </c>
      <c r="F5754" s="2">
        <v>3.2014854892670099E-4</v>
      </c>
    </row>
    <row r="5755" spans="1:6" x14ac:dyDescent="0.25">
      <c r="A5755" s="1" t="str">
        <f t="shared" si="218"/>
        <v>16580</v>
      </c>
      <c r="B5755" s="1" t="str">
        <f>"61852"</f>
        <v>61852</v>
      </c>
      <c r="C5755" s="2">
        <v>9.6827738841755802E-4</v>
      </c>
      <c r="D5755" s="2">
        <v>2.2807617744326599E-4</v>
      </c>
      <c r="E5755" s="2">
        <v>0</v>
      </c>
      <c r="F5755" s="2">
        <v>8.5639736837892703E-4</v>
      </c>
    </row>
    <row r="5756" spans="1:6" x14ac:dyDescent="0.25">
      <c r="A5756" s="1" t="str">
        <f t="shared" si="218"/>
        <v>16580</v>
      </c>
      <c r="B5756" s="1" t="str">
        <f>"61839"</f>
        <v>61839</v>
      </c>
      <c r="C5756" s="2">
        <v>2.8771670970121699E-3</v>
      </c>
      <c r="D5756" s="2">
        <v>6.8422853232979802E-4</v>
      </c>
      <c r="E5756" s="2">
        <v>6.46579593948015E-4</v>
      </c>
      <c r="F5756" s="2">
        <v>2.5851995325831098E-3</v>
      </c>
    </row>
    <row r="5757" spans="1:6" x14ac:dyDescent="0.25">
      <c r="A5757" s="1" t="str">
        <f t="shared" si="218"/>
        <v>16580</v>
      </c>
      <c r="B5757" s="1" t="str">
        <f>"61956"</f>
        <v>61956</v>
      </c>
      <c r="C5757" s="2">
        <v>2.8587237181851701E-4</v>
      </c>
      <c r="D5757" s="2">
        <v>1.1403808872163299E-4</v>
      </c>
      <c r="E5757" s="2">
        <v>1.2931591878960301E-4</v>
      </c>
      <c r="F5757" s="2">
        <v>2.64122552864529E-4</v>
      </c>
    </row>
    <row r="5758" spans="1:6" x14ac:dyDescent="0.25">
      <c r="A5758" s="1" t="str">
        <f t="shared" si="218"/>
        <v>16580</v>
      </c>
      <c r="B5758" s="1" t="str">
        <f>"61803"</f>
        <v>61803</v>
      </c>
      <c r="C5758" s="2">
        <v>4.3341940243452597E-3</v>
      </c>
      <c r="D5758" s="2">
        <v>1.8930322727791001E-2</v>
      </c>
      <c r="E5758" s="2">
        <v>2.5863183757920602E-4</v>
      </c>
      <c r="F5758" s="2">
        <v>5.10636935538089E-3</v>
      </c>
    </row>
    <row r="5759" spans="1:6" x14ac:dyDescent="0.25">
      <c r="A5759" s="1" t="str">
        <f t="shared" si="218"/>
        <v>16580</v>
      </c>
      <c r="B5759" s="1" t="str">
        <f>"61853"</f>
        <v>61853</v>
      </c>
      <c r="C5759" s="2">
        <v>5.54407967539653E-2</v>
      </c>
      <c r="D5759" s="2">
        <v>3.1816626753335603E-2</v>
      </c>
      <c r="E5759" s="2">
        <v>2.5087288245182901E-2</v>
      </c>
      <c r="F5759" s="2">
        <v>5.1904083494741501E-2</v>
      </c>
    </row>
    <row r="5760" spans="1:6" x14ac:dyDescent="0.25">
      <c r="A5760" s="1" t="str">
        <f t="shared" si="218"/>
        <v>16580</v>
      </c>
      <c r="B5760" s="1" t="str">
        <f>"61882"</f>
        <v>61882</v>
      </c>
      <c r="C5760" s="2">
        <v>9.2216894135005496E-6</v>
      </c>
      <c r="D5760" s="2">
        <v>0</v>
      </c>
      <c r="E5760" s="2">
        <v>0</v>
      </c>
      <c r="F5760" s="2">
        <v>8.0037137231675398E-6</v>
      </c>
    </row>
    <row r="5761" spans="1:6" x14ac:dyDescent="0.25">
      <c r="A5761" s="1" t="str">
        <f t="shared" ref="A5761:A5792" si="219">"16620"</f>
        <v>16620</v>
      </c>
      <c r="B5761" s="1" t="str">
        <f>"25075"</f>
        <v>25075</v>
      </c>
      <c r="C5761" s="2">
        <v>1.8935640839333201E-3</v>
      </c>
      <c r="D5761" s="2">
        <v>1.73385348938014E-4</v>
      </c>
      <c r="E5761" s="2">
        <v>2.6476039184537901E-4</v>
      </c>
      <c r="F5761" s="2">
        <v>1.7220561746600399E-3</v>
      </c>
    </row>
    <row r="5762" spans="1:6" x14ac:dyDescent="0.25">
      <c r="A5762" s="1" t="str">
        <f t="shared" si="219"/>
        <v>16620</v>
      </c>
      <c r="B5762" s="1" t="str">
        <f>"25103"</f>
        <v>25103</v>
      </c>
      <c r="C5762" s="2">
        <v>4.4036374044961101E-4</v>
      </c>
      <c r="D5762" s="2">
        <v>8.6692674469007299E-5</v>
      </c>
      <c r="E5762" s="2">
        <v>0</v>
      </c>
      <c r="F5762" s="2">
        <v>4.0247289905847699E-4</v>
      </c>
    </row>
    <row r="5763" spans="1:6" x14ac:dyDescent="0.25">
      <c r="A5763" s="1" t="str">
        <f t="shared" si="219"/>
        <v>16620</v>
      </c>
      <c r="B5763" s="1" t="str">
        <f>"25141"</f>
        <v>25141</v>
      </c>
      <c r="C5763" s="2">
        <v>8.7338808522506204E-4</v>
      </c>
      <c r="D5763" s="2">
        <v>8.6692674469007299E-5</v>
      </c>
      <c r="E5763" s="2">
        <v>2.6476039184537901E-4</v>
      </c>
      <c r="F5763" s="2">
        <v>7.98347881738946E-4</v>
      </c>
    </row>
    <row r="5764" spans="1:6" x14ac:dyDescent="0.25">
      <c r="A5764" s="1" t="str">
        <f t="shared" si="219"/>
        <v>16620</v>
      </c>
      <c r="B5764" s="1" t="str">
        <f>"25063"</f>
        <v>25063</v>
      </c>
      <c r="C5764" s="2">
        <v>2.7449339821359101E-3</v>
      </c>
      <c r="D5764" s="2">
        <v>2.6007802340702199E-4</v>
      </c>
      <c r="E5764" s="2">
        <v>0</v>
      </c>
      <c r="F5764" s="2">
        <v>2.4874144745089498E-3</v>
      </c>
    </row>
    <row r="5765" spans="1:6" x14ac:dyDescent="0.25">
      <c r="A5765" s="1" t="str">
        <f t="shared" si="219"/>
        <v>16620</v>
      </c>
      <c r="B5765" s="1" t="str">
        <f>"25108"</f>
        <v>25108</v>
      </c>
      <c r="C5765" s="2">
        <v>1.32843061702299E-3</v>
      </c>
      <c r="D5765" s="2">
        <v>8.6692674469007299E-5</v>
      </c>
      <c r="E5765" s="2">
        <v>2.6476039184537901E-4</v>
      </c>
      <c r="F5765" s="2">
        <v>1.20741869717543E-3</v>
      </c>
    </row>
    <row r="5766" spans="1:6" x14ac:dyDescent="0.25">
      <c r="A5766" s="1" t="str">
        <f t="shared" si="219"/>
        <v>16620</v>
      </c>
      <c r="B5766" s="1" t="str">
        <f>"25113"</f>
        <v>25113</v>
      </c>
      <c r="C5766" s="2">
        <v>3.3100674490462402E-3</v>
      </c>
      <c r="D5766" s="2">
        <v>1.3003901170351099E-3</v>
      </c>
      <c r="E5766" s="2">
        <v>5.29520783690759E-4</v>
      </c>
      <c r="F5766" s="2">
        <v>3.0878248649076601E-3</v>
      </c>
    </row>
    <row r="5767" spans="1:6" x14ac:dyDescent="0.25">
      <c r="A5767" s="1" t="str">
        <f t="shared" si="219"/>
        <v>16620</v>
      </c>
      <c r="B5767" s="1" t="str">
        <f>"25003"</f>
        <v>25003</v>
      </c>
      <c r="C5767" s="2">
        <v>8.1687473853402897E-3</v>
      </c>
      <c r="D5767" s="2">
        <v>3.2076289553532701E-3</v>
      </c>
      <c r="E5767" s="2">
        <v>3.44188509398993E-3</v>
      </c>
      <c r="F5767" s="2">
        <v>7.6733767476230997E-3</v>
      </c>
    </row>
    <row r="5768" spans="1:6" x14ac:dyDescent="0.25">
      <c r="A5768" s="1" t="str">
        <f t="shared" si="219"/>
        <v>16620</v>
      </c>
      <c r="B5768" s="1" t="str">
        <f>"25009"</f>
        <v>25009</v>
      </c>
      <c r="C5768" s="2">
        <v>3.7797887721924901E-3</v>
      </c>
      <c r="D5768" s="2">
        <v>6.9354139575205796E-4</v>
      </c>
      <c r="E5768" s="2">
        <v>5.29520783690759E-4</v>
      </c>
      <c r="F5768" s="2">
        <v>3.4639060984541E-3</v>
      </c>
    </row>
    <row r="5769" spans="1:6" x14ac:dyDescent="0.25">
      <c r="A5769" s="1" t="str">
        <f t="shared" si="219"/>
        <v>16620</v>
      </c>
      <c r="B5769" s="1" t="str">
        <f>"25245"</f>
        <v>25245</v>
      </c>
      <c r="C5769" s="2">
        <v>3.0238310177539899E-3</v>
      </c>
      <c r="D5769" s="2">
        <v>4.3346337234503602E-4</v>
      </c>
      <c r="E5769" s="2">
        <v>0</v>
      </c>
      <c r="F5769" s="2">
        <v>2.7513311296292601E-3</v>
      </c>
    </row>
    <row r="5770" spans="1:6" x14ac:dyDescent="0.25">
      <c r="A5770" s="1" t="str">
        <f t="shared" si="219"/>
        <v>16620</v>
      </c>
      <c r="B5770" s="1" t="str">
        <f>"25202"</f>
        <v>25202</v>
      </c>
      <c r="C5770" s="2">
        <v>4.1100615775297002E-3</v>
      </c>
      <c r="D5770" s="2">
        <v>3.4677069787602898E-4</v>
      </c>
      <c r="E5770" s="2">
        <v>0</v>
      </c>
      <c r="F5770" s="2">
        <v>3.7212248371964098E-3</v>
      </c>
    </row>
    <row r="5771" spans="1:6" x14ac:dyDescent="0.25">
      <c r="A5771" s="1" t="str">
        <f t="shared" si="219"/>
        <v>16620</v>
      </c>
      <c r="B5771" s="1" t="str">
        <f>"25271"</f>
        <v>25271</v>
      </c>
      <c r="C5771" s="2">
        <v>3.73281663987787E-2</v>
      </c>
      <c r="D5771" s="2">
        <v>4.9588209796272202E-2</v>
      </c>
      <c r="E5771" s="2">
        <v>3.6272173682817002E-2</v>
      </c>
      <c r="F5771" s="2">
        <v>3.8234925410555301E-2</v>
      </c>
    </row>
    <row r="5772" spans="1:6" x14ac:dyDescent="0.25">
      <c r="A5772" s="1" t="str">
        <f t="shared" si="219"/>
        <v>16620</v>
      </c>
      <c r="B5772" s="1" t="str">
        <f>"25208"</f>
        <v>25208</v>
      </c>
      <c r="C5772" s="2">
        <v>2.0109944147198898E-3</v>
      </c>
      <c r="D5772" s="2">
        <v>2.6007802340702199E-4</v>
      </c>
      <c r="E5772" s="2">
        <v>2.6476039184537901E-4</v>
      </c>
      <c r="F5772" s="2">
        <v>1.8342207530861699E-3</v>
      </c>
    </row>
    <row r="5773" spans="1:6" x14ac:dyDescent="0.25">
      <c r="A5773" s="1" t="str">
        <f t="shared" si="219"/>
        <v>16620</v>
      </c>
      <c r="B5773" s="1" t="str">
        <f>"25506"</f>
        <v>25506</v>
      </c>
      <c r="C5773" s="2">
        <v>1.5735664325399398E-2</v>
      </c>
      <c r="D5773" s="2">
        <v>3.90117035110533E-3</v>
      </c>
      <c r="E5773" s="2">
        <v>2.9123643102991698E-3</v>
      </c>
      <c r="F5773" s="2">
        <v>1.45154160316172E-2</v>
      </c>
    </row>
    <row r="5774" spans="1:6" x14ac:dyDescent="0.25">
      <c r="A5774" s="1" t="str">
        <f t="shared" si="219"/>
        <v>16620</v>
      </c>
      <c r="B5774" s="1" t="str">
        <f>"25523"</f>
        <v>25523</v>
      </c>
      <c r="C5774" s="2">
        <v>9.5118567937116007E-3</v>
      </c>
      <c r="D5774" s="2">
        <v>1.222366710013E-2</v>
      </c>
      <c r="E5774" s="2">
        <v>1.3767540375959701E-2</v>
      </c>
      <c r="F5774" s="2">
        <v>9.8242974868536503E-3</v>
      </c>
    </row>
    <row r="5775" spans="1:6" x14ac:dyDescent="0.25">
      <c r="A5775" s="1" t="str">
        <f t="shared" si="219"/>
        <v>16620</v>
      </c>
      <c r="B5775" s="1" t="str">
        <f>"25573"</f>
        <v>25573</v>
      </c>
      <c r="C5775" s="2">
        <v>3.2513522836529599E-3</v>
      </c>
      <c r="D5775" s="2">
        <v>5.2015604681404399E-4</v>
      </c>
      <c r="E5775" s="2">
        <v>2.6476039184537901E-4</v>
      </c>
      <c r="F5775" s="2">
        <v>2.9690623701035201E-3</v>
      </c>
    </row>
    <row r="5776" spans="1:6" x14ac:dyDescent="0.25">
      <c r="A5776" s="1" t="str">
        <f t="shared" si="219"/>
        <v>16620</v>
      </c>
      <c r="B5776" s="1" t="str">
        <f>"25311"</f>
        <v>25311</v>
      </c>
      <c r="C5776" s="2">
        <v>4.3383167829960802E-2</v>
      </c>
      <c r="D5776" s="2">
        <v>3.9531859557867297E-2</v>
      </c>
      <c r="E5776" s="2">
        <v>0.113052687317977</v>
      </c>
      <c r="F5776" s="2">
        <v>4.4826243872185097E-2</v>
      </c>
    </row>
    <row r="5777" spans="1:6" x14ac:dyDescent="0.25">
      <c r="A5777" s="1" t="str">
        <f t="shared" si="219"/>
        <v>16620</v>
      </c>
      <c r="B5777" s="1" t="str">
        <f>"25314"</f>
        <v>25314</v>
      </c>
      <c r="C5777" s="2">
        <v>5.1882188020638299E-2</v>
      </c>
      <c r="D5777" s="2">
        <v>1.9332466406588599E-2</v>
      </c>
      <c r="E5777" s="2">
        <v>3.7595975642043901E-2</v>
      </c>
      <c r="F5777" s="2">
        <v>4.9048910354110097E-2</v>
      </c>
    </row>
    <row r="5778" spans="1:6" x14ac:dyDescent="0.25">
      <c r="A5778" s="1" t="str">
        <f t="shared" si="219"/>
        <v>16620</v>
      </c>
      <c r="B5778" s="1" t="str">
        <f>"25159"</f>
        <v>25159</v>
      </c>
      <c r="C5778" s="2">
        <v>2.9357582696640701E-5</v>
      </c>
      <c r="D5778" s="2">
        <v>0</v>
      </c>
      <c r="E5778" s="2">
        <v>0</v>
      </c>
      <c r="F5778" s="2">
        <v>2.6391665512031299E-5</v>
      </c>
    </row>
    <row r="5779" spans="1:6" x14ac:dyDescent="0.25">
      <c r="A5779" s="1" t="str">
        <f t="shared" si="219"/>
        <v>16620</v>
      </c>
      <c r="B5779" s="1" t="str">
        <f>"25134"</f>
        <v>25134</v>
      </c>
      <c r="C5779" s="2">
        <v>0</v>
      </c>
      <c r="D5779" s="2">
        <v>8.6692674469007299E-5</v>
      </c>
      <c r="E5779" s="2">
        <v>0</v>
      </c>
      <c r="F5779" s="2">
        <v>6.5979163780078197E-6</v>
      </c>
    </row>
    <row r="5780" spans="1:6" x14ac:dyDescent="0.25">
      <c r="A5780" s="1" t="str">
        <f t="shared" si="219"/>
        <v>16620</v>
      </c>
      <c r="B5780" s="1" t="str">
        <f>"26133"</f>
        <v>26133</v>
      </c>
      <c r="C5780" s="2">
        <v>2.2018187022480502E-5</v>
      </c>
      <c r="D5780" s="2">
        <v>0</v>
      </c>
      <c r="E5780" s="2">
        <v>0</v>
      </c>
      <c r="F5780" s="2">
        <v>1.9793749134023401E-5</v>
      </c>
    </row>
    <row r="5781" spans="1:6" x14ac:dyDescent="0.25">
      <c r="A5781" s="1" t="str">
        <f t="shared" si="219"/>
        <v>16620</v>
      </c>
      <c r="B5781" s="1" t="str">
        <f>"25286"</f>
        <v>25286</v>
      </c>
      <c r="C5781" s="2">
        <v>2.9357582696640701E-5</v>
      </c>
      <c r="D5781" s="2">
        <v>0</v>
      </c>
      <c r="E5781" s="2">
        <v>0</v>
      </c>
      <c r="F5781" s="2">
        <v>2.6391665512031299E-5</v>
      </c>
    </row>
    <row r="5782" spans="1:6" x14ac:dyDescent="0.25">
      <c r="A5782" s="1" t="str">
        <f t="shared" si="219"/>
        <v>16620</v>
      </c>
      <c r="B5782" s="1" t="str">
        <f>"25132"</f>
        <v>25132</v>
      </c>
      <c r="C5782" s="2">
        <v>5.2843648853953301E-4</v>
      </c>
      <c r="D5782" s="2">
        <v>8.6692674469007299E-5</v>
      </c>
      <c r="E5782" s="2">
        <v>0</v>
      </c>
      <c r="F5782" s="2">
        <v>4.8164789559457098E-4</v>
      </c>
    </row>
    <row r="5783" spans="1:6" x14ac:dyDescent="0.25">
      <c r="A5783" s="1" t="str">
        <f t="shared" si="219"/>
        <v>16620</v>
      </c>
      <c r="B5783" s="1" t="str">
        <f>"25331"</f>
        <v>25331</v>
      </c>
      <c r="C5783" s="2">
        <v>1.9082428752816401E-4</v>
      </c>
      <c r="D5783" s="2">
        <v>2.0806241872561699E-3</v>
      </c>
      <c r="E5783" s="2">
        <v>2.6476039184537901E-4</v>
      </c>
      <c r="F5783" s="2">
        <v>3.3649373527839898E-4</v>
      </c>
    </row>
    <row r="5784" spans="1:6" x14ac:dyDescent="0.25">
      <c r="A5784" s="1" t="str">
        <f t="shared" si="219"/>
        <v>16620</v>
      </c>
      <c r="B5784" s="1" t="str">
        <f>"25107"</f>
        <v>25107</v>
      </c>
      <c r="C5784" s="2">
        <v>1.96695804067493E-3</v>
      </c>
      <c r="D5784" s="2">
        <v>6.0684872128305097E-4</v>
      </c>
      <c r="E5784" s="2">
        <v>0</v>
      </c>
      <c r="F5784" s="2">
        <v>1.81442700395215E-3</v>
      </c>
    </row>
    <row r="5785" spans="1:6" x14ac:dyDescent="0.25">
      <c r="A5785" s="1" t="str">
        <f t="shared" si="219"/>
        <v>16620</v>
      </c>
      <c r="B5785" s="1" t="str">
        <f>"25160"</f>
        <v>25160</v>
      </c>
      <c r="C5785" s="2">
        <v>9.9081841601162497E-4</v>
      </c>
      <c r="D5785" s="2">
        <v>3.4677069787602898E-4</v>
      </c>
      <c r="E5785" s="2">
        <v>0</v>
      </c>
      <c r="F5785" s="2">
        <v>9.1711037654308703E-4</v>
      </c>
    </row>
    <row r="5786" spans="1:6" x14ac:dyDescent="0.25">
      <c r="A5786" s="1" t="str">
        <f t="shared" si="219"/>
        <v>16620</v>
      </c>
      <c r="B5786" s="1" t="str">
        <f>"25206"</f>
        <v>25206</v>
      </c>
      <c r="C5786" s="2">
        <v>6.6054561067441694E-5</v>
      </c>
      <c r="D5786" s="2">
        <v>0</v>
      </c>
      <c r="E5786" s="2">
        <v>2.6476039184537901E-4</v>
      </c>
      <c r="F5786" s="2">
        <v>6.5979163780078204E-5</v>
      </c>
    </row>
    <row r="5787" spans="1:6" x14ac:dyDescent="0.25">
      <c r="A5787" s="1" t="str">
        <f t="shared" si="219"/>
        <v>16620</v>
      </c>
      <c r="B5787" s="1" t="str">
        <f>"25320"</f>
        <v>25320</v>
      </c>
      <c r="C5787" s="2">
        <v>1.9405362162479501E-2</v>
      </c>
      <c r="D5787" s="2">
        <v>5.6350238404854697E-3</v>
      </c>
      <c r="E5787" s="2">
        <v>1.05904156738151E-2</v>
      </c>
      <c r="F5787" s="2">
        <v>1.8137672123143499E-2</v>
      </c>
    </row>
    <row r="5788" spans="1:6" x14ac:dyDescent="0.25">
      <c r="A5788" s="1" t="str">
        <f t="shared" si="219"/>
        <v>16620</v>
      </c>
      <c r="B5788" s="1" t="str">
        <f>"25338"</f>
        <v>25338</v>
      </c>
      <c r="C5788" s="2">
        <v>3.7430917938216897E-4</v>
      </c>
      <c r="D5788" s="2">
        <v>2.1673168617251798E-3</v>
      </c>
      <c r="E5788" s="2">
        <v>2.6476039184537901E-4</v>
      </c>
      <c r="F5788" s="2">
        <v>5.08039561106602E-4</v>
      </c>
    </row>
    <row r="5789" spans="1:6" x14ac:dyDescent="0.25">
      <c r="A5789" s="1" t="str">
        <f t="shared" si="219"/>
        <v>16620</v>
      </c>
      <c r="B5789" s="1" t="str">
        <f>"25361"</f>
        <v>25361</v>
      </c>
      <c r="C5789" s="2">
        <v>3.4641947582036E-3</v>
      </c>
      <c r="D5789" s="2">
        <v>7.28218465539661E-3</v>
      </c>
      <c r="E5789" s="2">
        <v>2.6476039184537901E-4</v>
      </c>
      <c r="F5789" s="2">
        <v>3.6750394225503499E-3</v>
      </c>
    </row>
    <row r="5790" spans="1:6" x14ac:dyDescent="0.25">
      <c r="A5790" s="1" t="str">
        <f t="shared" si="219"/>
        <v>16620</v>
      </c>
      <c r="B5790" s="1" t="str">
        <f>"25067"</f>
        <v>25067</v>
      </c>
      <c r="C5790" s="2">
        <v>1.4678791348320301E-4</v>
      </c>
      <c r="D5790" s="2">
        <v>1.73385348938014E-4</v>
      </c>
      <c r="E5790" s="2">
        <v>2.6476039184537901E-4</v>
      </c>
      <c r="F5790" s="2">
        <v>1.5175207669417901E-4</v>
      </c>
    </row>
    <row r="5791" spans="1:6" x14ac:dyDescent="0.25">
      <c r="A5791" s="1" t="str">
        <f t="shared" si="219"/>
        <v>16620</v>
      </c>
      <c r="B5791" s="1" t="str">
        <f>"25124"</f>
        <v>25124</v>
      </c>
      <c r="C5791" s="2">
        <v>1.6880610050568401E-4</v>
      </c>
      <c r="D5791" s="2">
        <v>0</v>
      </c>
      <c r="E5791" s="2">
        <v>0</v>
      </c>
      <c r="F5791" s="2">
        <v>1.5175207669417901E-4</v>
      </c>
    </row>
    <row r="5792" spans="1:6" x14ac:dyDescent="0.25">
      <c r="A5792" s="1" t="str">
        <f t="shared" si="219"/>
        <v>16620</v>
      </c>
      <c r="B5792" s="1" t="str">
        <f>"25130"</f>
        <v>25130</v>
      </c>
      <c r="C5792" s="2">
        <v>1.2007251322926E-2</v>
      </c>
      <c r="D5792" s="2">
        <v>1.7078456870394401E-2</v>
      </c>
      <c r="E5792" s="2">
        <v>1.0855176065660501E-2</v>
      </c>
      <c r="F5792" s="2">
        <v>1.2364495292386601E-2</v>
      </c>
    </row>
    <row r="5793" spans="1:6" x14ac:dyDescent="0.25">
      <c r="A5793" s="1" t="str">
        <f t="shared" ref="A5793:A5824" si="220">"16620"</f>
        <v>16620</v>
      </c>
      <c r="B5793" s="1" t="str">
        <f>"25181"</f>
        <v>25181</v>
      </c>
      <c r="C5793" s="2">
        <v>3.9485948726981799E-3</v>
      </c>
      <c r="D5793" s="2">
        <v>3.4677069787602898E-4</v>
      </c>
      <c r="E5793" s="2">
        <v>0</v>
      </c>
      <c r="F5793" s="2">
        <v>3.57607067688024E-3</v>
      </c>
    </row>
    <row r="5794" spans="1:6" x14ac:dyDescent="0.25">
      <c r="A5794" s="1" t="str">
        <f t="shared" si="220"/>
        <v>16620</v>
      </c>
      <c r="B5794" s="1" t="str">
        <f>"25335"</f>
        <v>25335</v>
      </c>
      <c r="C5794" s="2">
        <v>9.5412143764082399E-5</v>
      </c>
      <c r="D5794" s="2">
        <v>1.1270047680970901E-3</v>
      </c>
      <c r="E5794" s="2">
        <v>2.6476039184537901E-4</v>
      </c>
      <c r="F5794" s="2">
        <v>1.7814374220621101E-4</v>
      </c>
    </row>
    <row r="5795" spans="1:6" x14ac:dyDescent="0.25">
      <c r="A5795" s="1" t="str">
        <f t="shared" si="220"/>
        <v>16620</v>
      </c>
      <c r="B5795" s="1" t="str">
        <f>"25156"</f>
        <v>25156</v>
      </c>
      <c r="C5795" s="2">
        <v>0</v>
      </c>
      <c r="D5795" s="2">
        <v>0</v>
      </c>
      <c r="E5795" s="2">
        <v>2.6476039184537901E-4</v>
      </c>
      <c r="F5795" s="2">
        <v>6.5979163780078197E-6</v>
      </c>
    </row>
    <row r="5796" spans="1:6" x14ac:dyDescent="0.25">
      <c r="A5796" s="1" t="str">
        <f t="shared" si="220"/>
        <v>16620</v>
      </c>
      <c r="B5796" s="1" t="str">
        <f>"25337"</f>
        <v>25337</v>
      </c>
      <c r="C5796" s="2">
        <v>3.3761220101136802E-4</v>
      </c>
      <c r="D5796" s="2">
        <v>2.1673168617251798E-3</v>
      </c>
      <c r="E5796" s="2">
        <v>2.6476039184537901E-4</v>
      </c>
      <c r="F5796" s="2">
        <v>4.7504997921656299E-4</v>
      </c>
    </row>
    <row r="5797" spans="1:6" x14ac:dyDescent="0.25">
      <c r="A5797" s="1" t="str">
        <f t="shared" si="220"/>
        <v>16620</v>
      </c>
      <c r="B5797" s="1" t="str">
        <f>"25059"</f>
        <v>25059</v>
      </c>
      <c r="C5797" s="2">
        <v>1.1009093511240201E-4</v>
      </c>
      <c r="D5797" s="2">
        <v>0</v>
      </c>
      <c r="E5797" s="2">
        <v>0</v>
      </c>
      <c r="F5797" s="2">
        <v>9.8968745670117305E-5</v>
      </c>
    </row>
    <row r="5798" spans="1:6" x14ac:dyDescent="0.25">
      <c r="A5798" s="1" t="str">
        <f t="shared" si="220"/>
        <v>16620</v>
      </c>
      <c r="B5798" s="1" t="str">
        <f>"25030"</f>
        <v>25030</v>
      </c>
      <c r="C5798" s="2">
        <v>1.86420650123668E-3</v>
      </c>
      <c r="D5798" s="2">
        <v>0</v>
      </c>
      <c r="E5798" s="2">
        <v>2.6476039184537901E-4</v>
      </c>
      <c r="F5798" s="2">
        <v>1.6824686763919901E-3</v>
      </c>
    </row>
    <row r="5799" spans="1:6" x14ac:dyDescent="0.25">
      <c r="A5799" s="1" t="str">
        <f t="shared" si="220"/>
        <v>16620</v>
      </c>
      <c r="B5799" s="1" t="str">
        <f>"25201"</f>
        <v>25201</v>
      </c>
      <c r="C5799" s="2">
        <v>3.6696978370800901E-5</v>
      </c>
      <c r="D5799" s="2">
        <v>0</v>
      </c>
      <c r="E5799" s="2">
        <v>2.6476039184537901E-4</v>
      </c>
      <c r="F5799" s="2">
        <v>3.9587498268046898E-5</v>
      </c>
    </row>
    <row r="5800" spans="1:6" x14ac:dyDescent="0.25">
      <c r="A5800" s="1" t="str">
        <f t="shared" si="220"/>
        <v>16620</v>
      </c>
      <c r="B5800" s="1" t="str">
        <f>"25214"</f>
        <v>25214</v>
      </c>
      <c r="C5800" s="2">
        <v>1.49723671752867E-3</v>
      </c>
      <c r="D5800" s="2">
        <v>1.73385348938014E-4</v>
      </c>
      <c r="E5800" s="2">
        <v>0</v>
      </c>
      <c r="F5800" s="2">
        <v>1.3591707738696099E-3</v>
      </c>
    </row>
    <row r="5801" spans="1:6" x14ac:dyDescent="0.25">
      <c r="A5801" s="1" t="str">
        <f t="shared" si="220"/>
        <v>16620</v>
      </c>
      <c r="B5801" s="1" t="str">
        <f>"25699"</f>
        <v>25699</v>
      </c>
      <c r="C5801" s="2">
        <v>6.6054561067441694E-5</v>
      </c>
      <c r="D5801" s="2">
        <v>0</v>
      </c>
      <c r="E5801" s="2">
        <v>0</v>
      </c>
      <c r="F5801" s="2">
        <v>5.9381247402070401E-5</v>
      </c>
    </row>
    <row r="5802" spans="1:6" x14ac:dyDescent="0.25">
      <c r="A5802" s="1" t="str">
        <f t="shared" si="220"/>
        <v>16620</v>
      </c>
      <c r="B5802" s="1" t="str">
        <f>"25165"</f>
        <v>25165</v>
      </c>
      <c r="C5802" s="2">
        <v>1.10090935112402E-3</v>
      </c>
      <c r="D5802" s="2">
        <v>8.6692674469007299E-5</v>
      </c>
      <c r="E5802" s="2">
        <v>2.6476039184537901E-4</v>
      </c>
      <c r="F5802" s="2">
        <v>1.00288328945718E-3</v>
      </c>
    </row>
    <row r="5803" spans="1:6" x14ac:dyDescent="0.25">
      <c r="A5803" s="1" t="str">
        <f t="shared" si="220"/>
        <v>16620</v>
      </c>
      <c r="B5803" s="1" t="str">
        <f>"25235"</f>
        <v>25235</v>
      </c>
      <c r="C5803" s="2">
        <v>3.9632736640464998E-4</v>
      </c>
      <c r="D5803" s="2">
        <v>0</v>
      </c>
      <c r="E5803" s="2">
        <v>2.6476039184537901E-4</v>
      </c>
      <c r="F5803" s="2">
        <v>3.6288540079043E-4</v>
      </c>
    </row>
    <row r="5804" spans="1:6" x14ac:dyDescent="0.25">
      <c r="A5804" s="1" t="str">
        <f t="shared" si="220"/>
        <v>16620</v>
      </c>
      <c r="B5804" s="1" t="str">
        <f>"25162"</f>
        <v>25162</v>
      </c>
      <c r="C5804" s="2">
        <v>7.3393956741601796E-6</v>
      </c>
      <c r="D5804" s="2">
        <v>0</v>
      </c>
      <c r="E5804" s="2">
        <v>2.6476039184537901E-4</v>
      </c>
      <c r="F5804" s="2">
        <v>1.31958327560156E-5</v>
      </c>
    </row>
    <row r="5805" spans="1:6" x14ac:dyDescent="0.25">
      <c r="A5805" s="1" t="str">
        <f t="shared" si="220"/>
        <v>16620</v>
      </c>
      <c r="B5805" s="1" t="str">
        <f>"25324"</f>
        <v>25324</v>
      </c>
      <c r="C5805" s="2">
        <v>8.3669110685426098E-4</v>
      </c>
      <c r="D5805" s="2">
        <v>3.90117035110533E-3</v>
      </c>
      <c r="E5805" s="2">
        <v>2.6476039184537901E-4</v>
      </c>
      <c r="F5805" s="2">
        <v>1.05566662048125E-3</v>
      </c>
    </row>
    <row r="5806" spans="1:6" x14ac:dyDescent="0.25">
      <c r="A5806" s="1" t="str">
        <f t="shared" si="220"/>
        <v>16620</v>
      </c>
      <c r="B5806" s="1" t="str">
        <f>"25061"</f>
        <v>25061</v>
      </c>
      <c r="C5806" s="2">
        <v>0</v>
      </c>
      <c r="D5806" s="2">
        <v>8.6692674469007299E-5</v>
      </c>
      <c r="E5806" s="2">
        <v>0</v>
      </c>
      <c r="F5806" s="2">
        <v>6.5979163780078197E-6</v>
      </c>
    </row>
    <row r="5807" spans="1:6" x14ac:dyDescent="0.25">
      <c r="A5807" s="1" t="str">
        <f t="shared" si="220"/>
        <v>16620</v>
      </c>
      <c r="B5807" s="1" t="str">
        <f>"26143"</f>
        <v>26143</v>
      </c>
      <c r="C5807" s="2">
        <v>3.0091522264056702E-4</v>
      </c>
      <c r="D5807" s="2">
        <v>2.6007802340702199E-4</v>
      </c>
      <c r="E5807" s="2">
        <v>0</v>
      </c>
      <c r="F5807" s="2">
        <v>2.90308320632344E-4</v>
      </c>
    </row>
    <row r="5808" spans="1:6" x14ac:dyDescent="0.25">
      <c r="A5808" s="1" t="str">
        <f t="shared" si="220"/>
        <v>16620</v>
      </c>
      <c r="B5808" s="1" t="str">
        <f>"25339"</f>
        <v>25339</v>
      </c>
      <c r="C5808" s="2">
        <v>3.6550190457317702E-3</v>
      </c>
      <c r="D5808" s="2">
        <v>2.0979627221499701E-2</v>
      </c>
      <c r="E5808" s="2">
        <v>2.6476039184537901E-4</v>
      </c>
      <c r="F5808" s="2">
        <v>4.8890560361037902E-3</v>
      </c>
    </row>
    <row r="5809" spans="1:6" x14ac:dyDescent="0.25">
      <c r="A5809" s="1" t="str">
        <f t="shared" si="220"/>
        <v>16620</v>
      </c>
      <c r="B5809" s="1" t="str">
        <f>"25025"</f>
        <v>25025</v>
      </c>
      <c r="C5809" s="2">
        <v>6.0183044528113502E-4</v>
      </c>
      <c r="D5809" s="2">
        <v>0</v>
      </c>
      <c r="E5809" s="2">
        <v>2.6476039184537901E-4</v>
      </c>
      <c r="F5809" s="2">
        <v>5.4762705937464904E-4</v>
      </c>
    </row>
    <row r="5810" spans="1:6" x14ac:dyDescent="0.25">
      <c r="A5810" s="1" t="str">
        <f t="shared" si="220"/>
        <v>16620</v>
      </c>
      <c r="B5810" s="1" t="str">
        <f>"25133"</f>
        <v>25133</v>
      </c>
      <c r="C5810" s="2">
        <v>2.4513581551694999E-3</v>
      </c>
      <c r="D5810" s="2">
        <v>0</v>
      </c>
      <c r="E5810" s="2">
        <v>7.9428117553613899E-4</v>
      </c>
      <c r="F5810" s="2">
        <v>2.2234978193886299E-3</v>
      </c>
    </row>
    <row r="5811" spans="1:6" x14ac:dyDescent="0.25">
      <c r="A5811" s="1" t="str">
        <f t="shared" si="220"/>
        <v>16620</v>
      </c>
      <c r="B5811" s="1" t="str">
        <f>"25049"</f>
        <v>25049</v>
      </c>
      <c r="C5811" s="2">
        <v>1.0275153943824201E-3</v>
      </c>
      <c r="D5811" s="2">
        <v>0</v>
      </c>
      <c r="E5811" s="2">
        <v>2.6476039184537901E-4</v>
      </c>
      <c r="F5811" s="2">
        <v>9.30306209299103E-4</v>
      </c>
    </row>
    <row r="5812" spans="1:6" x14ac:dyDescent="0.25">
      <c r="A5812" s="1" t="str">
        <f t="shared" si="220"/>
        <v>16620</v>
      </c>
      <c r="B5812" s="1" t="str">
        <f>"26617"</f>
        <v>26617</v>
      </c>
      <c r="C5812" s="2">
        <v>1.0128366030340999E-3</v>
      </c>
      <c r="D5812" s="2">
        <v>8.6692674469007299E-5</v>
      </c>
      <c r="E5812" s="2">
        <v>2.6476039184537901E-4</v>
      </c>
      <c r="F5812" s="2">
        <v>9.2370829292109501E-4</v>
      </c>
    </row>
    <row r="5813" spans="1:6" x14ac:dyDescent="0.25">
      <c r="A5813" s="1" t="str">
        <f t="shared" si="220"/>
        <v>16620</v>
      </c>
      <c r="B5813" s="1" t="str">
        <f>"25304"</f>
        <v>25304</v>
      </c>
      <c r="C5813" s="2">
        <v>3.1397934694057203E-2</v>
      </c>
      <c r="D5813" s="2">
        <v>5.53099263112267E-2</v>
      </c>
      <c r="E5813" s="2">
        <v>8.4193804606830805E-2</v>
      </c>
      <c r="F5813" s="2">
        <v>3.4533494322492898E-2</v>
      </c>
    </row>
    <row r="5814" spans="1:6" x14ac:dyDescent="0.25">
      <c r="A5814" s="1" t="str">
        <f t="shared" si="220"/>
        <v>16620</v>
      </c>
      <c r="B5814" s="1" t="str">
        <f>"25362"</f>
        <v>25362</v>
      </c>
      <c r="C5814" s="2">
        <v>4.3742798217994696E-3</v>
      </c>
      <c r="D5814" s="2">
        <v>1.3177286519289099E-2</v>
      </c>
      <c r="E5814" s="2">
        <v>5.29520783690759E-4</v>
      </c>
      <c r="F5814" s="2">
        <v>4.9484372835058603E-3</v>
      </c>
    </row>
    <row r="5815" spans="1:6" x14ac:dyDescent="0.25">
      <c r="A5815" s="1" t="str">
        <f t="shared" si="220"/>
        <v>16620</v>
      </c>
      <c r="B5815" s="1" t="str">
        <f>"25111"</f>
        <v>25111</v>
      </c>
      <c r="C5815" s="2">
        <v>1.32843061702299E-3</v>
      </c>
      <c r="D5815" s="2">
        <v>8.6692674469007299E-5</v>
      </c>
      <c r="E5815" s="2">
        <v>2.6476039184537901E-4</v>
      </c>
      <c r="F5815" s="2">
        <v>1.20741869717543E-3</v>
      </c>
    </row>
    <row r="5816" spans="1:6" x14ac:dyDescent="0.25">
      <c r="A5816" s="1" t="str">
        <f t="shared" si="220"/>
        <v>16620</v>
      </c>
      <c r="B5816" s="1" t="str">
        <f>"25306"</f>
        <v>25306</v>
      </c>
      <c r="C5816" s="2">
        <v>3.0319043529955701E-2</v>
      </c>
      <c r="D5816" s="2">
        <v>9.8829648894668398E-3</v>
      </c>
      <c r="E5816" s="2">
        <v>6.80434207042626E-2</v>
      </c>
      <c r="F5816" s="2">
        <v>2.9703819533791202E-2</v>
      </c>
    </row>
    <row r="5817" spans="1:6" x14ac:dyDescent="0.25">
      <c r="A5817" s="1" t="str">
        <f t="shared" si="220"/>
        <v>16620</v>
      </c>
      <c r="B5817" s="1" t="str">
        <f>"25064"</f>
        <v>25064</v>
      </c>
      <c r="C5817" s="2">
        <v>4.3353810247264202E-2</v>
      </c>
      <c r="D5817" s="2">
        <v>4.2566103164282602E-2</v>
      </c>
      <c r="E5817" s="2">
        <v>3.2565528196981698E-2</v>
      </c>
      <c r="F5817" s="2">
        <v>4.3025012700988997E-2</v>
      </c>
    </row>
    <row r="5818" spans="1:6" x14ac:dyDescent="0.25">
      <c r="A5818" s="1" t="str">
        <f t="shared" si="220"/>
        <v>16620</v>
      </c>
      <c r="B5818" s="1" t="str">
        <f>"25015"</f>
        <v>25015</v>
      </c>
      <c r="C5818" s="2">
        <v>1.5603555203264501E-2</v>
      </c>
      <c r="D5818" s="2">
        <v>1.4217598612917199E-2</v>
      </c>
      <c r="E5818" s="2">
        <v>1.9857029388403401E-2</v>
      </c>
      <c r="F5818" s="2">
        <v>1.5604072233988501E-2</v>
      </c>
    </row>
    <row r="5819" spans="1:6" x14ac:dyDescent="0.25">
      <c r="A5819" s="1" t="str">
        <f t="shared" si="220"/>
        <v>16620</v>
      </c>
      <c r="B5819" s="1" t="str">
        <f>"25114"</f>
        <v>25114</v>
      </c>
      <c r="C5819" s="2">
        <v>7.9265473280929995E-4</v>
      </c>
      <c r="D5819" s="2">
        <v>2.6007802340702199E-4</v>
      </c>
      <c r="E5819" s="2">
        <v>0</v>
      </c>
      <c r="F5819" s="2">
        <v>7.3236871795886798E-4</v>
      </c>
    </row>
    <row r="5820" spans="1:6" x14ac:dyDescent="0.25">
      <c r="A5820" s="1" t="str">
        <f t="shared" si="220"/>
        <v>16620</v>
      </c>
      <c r="B5820" s="1" t="str">
        <f>"25136"</f>
        <v>25136</v>
      </c>
      <c r="C5820" s="2">
        <v>3.36144321876536E-3</v>
      </c>
      <c r="D5820" s="2">
        <v>1.99393151278716E-3</v>
      </c>
      <c r="E5820" s="2">
        <v>7.4132909716706297E-3</v>
      </c>
      <c r="F5820" s="2">
        <v>3.35833943640598E-3</v>
      </c>
    </row>
    <row r="5821" spans="1:6" x14ac:dyDescent="0.25">
      <c r="A5821" s="1" t="str">
        <f t="shared" si="220"/>
        <v>16620</v>
      </c>
      <c r="B5821" s="1" t="str">
        <f>"25544"</f>
        <v>25544</v>
      </c>
      <c r="C5821" s="2">
        <v>3.3761220101136802E-4</v>
      </c>
      <c r="D5821" s="2">
        <v>0</v>
      </c>
      <c r="E5821" s="2">
        <v>2.6476039184537901E-4</v>
      </c>
      <c r="F5821" s="2">
        <v>3.1010206976636698E-4</v>
      </c>
    </row>
    <row r="5822" spans="1:6" x14ac:dyDescent="0.25">
      <c r="A5822" s="1" t="str">
        <f t="shared" si="220"/>
        <v>16620</v>
      </c>
      <c r="B5822" s="1" t="str">
        <f>"25557"</f>
        <v>25557</v>
      </c>
      <c r="C5822" s="2">
        <v>5.7687649998899001E-3</v>
      </c>
      <c r="D5822" s="2">
        <v>5.2015604681404399E-4</v>
      </c>
      <c r="E5822" s="2">
        <v>0</v>
      </c>
      <c r="F5822" s="2">
        <v>5.2255497713821902E-3</v>
      </c>
    </row>
    <row r="5823" spans="1:6" x14ac:dyDescent="0.25">
      <c r="A5823" s="1" t="str">
        <f t="shared" si="220"/>
        <v>16620</v>
      </c>
      <c r="B5823" s="1" t="str">
        <f>"25521"</f>
        <v>25521</v>
      </c>
      <c r="C5823" s="2">
        <v>2.89172189561911E-3</v>
      </c>
      <c r="D5823" s="2">
        <v>8.6692674469007302E-4</v>
      </c>
      <c r="E5823" s="2">
        <v>0</v>
      </c>
      <c r="F5823" s="2">
        <v>2.6655582167151599E-3</v>
      </c>
    </row>
    <row r="5824" spans="1:6" x14ac:dyDescent="0.25">
      <c r="A5824" s="1" t="str">
        <f t="shared" si="220"/>
        <v>16620</v>
      </c>
      <c r="B5824" s="1" t="str">
        <f>"25389"</f>
        <v>25389</v>
      </c>
      <c r="C5824" s="2">
        <v>0</v>
      </c>
      <c r="D5824" s="2">
        <v>1.30039011703511E-2</v>
      </c>
      <c r="E5824" s="2">
        <v>5.29520783690759E-4</v>
      </c>
      <c r="F5824" s="2">
        <v>1.00288328945718E-3</v>
      </c>
    </row>
    <row r="5825" spans="1:6" x14ac:dyDescent="0.25">
      <c r="A5825" s="1" t="str">
        <f t="shared" ref="A5825:A5856" si="221">"16620"</f>
        <v>16620</v>
      </c>
      <c r="B5825" s="1" t="str">
        <f>"25026"</f>
        <v>25026</v>
      </c>
      <c r="C5825" s="2">
        <v>0</v>
      </c>
      <c r="D5825" s="2">
        <v>8.6692674469007299E-5</v>
      </c>
      <c r="E5825" s="2">
        <v>0</v>
      </c>
      <c r="F5825" s="2">
        <v>6.5979163780078197E-6</v>
      </c>
    </row>
    <row r="5826" spans="1:6" x14ac:dyDescent="0.25">
      <c r="A5826" s="1" t="str">
        <f t="shared" si="221"/>
        <v>16620</v>
      </c>
      <c r="B5826" s="1" t="str">
        <f>"25336"</f>
        <v>25336</v>
      </c>
      <c r="C5826" s="2">
        <v>1.9816368320232499E-4</v>
      </c>
      <c r="D5826" s="2">
        <v>2.0806241872561699E-3</v>
      </c>
      <c r="E5826" s="2">
        <v>2.6476039184537901E-4</v>
      </c>
      <c r="F5826" s="2">
        <v>3.4309165165640599E-4</v>
      </c>
    </row>
    <row r="5827" spans="1:6" x14ac:dyDescent="0.25">
      <c r="A5827" s="1" t="str">
        <f t="shared" si="221"/>
        <v>16620</v>
      </c>
      <c r="B5827" s="1" t="str">
        <f>"25321"</f>
        <v>25321</v>
      </c>
      <c r="C5827" s="2">
        <v>9.0274566792170302E-4</v>
      </c>
      <c r="D5827" s="2">
        <v>6.3285652362375299E-3</v>
      </c>
      <c r="E5827" s="2">
        <v>2.6476039184537901E-4</v>
      </c>
      <c r="F5827" s="2">
        <v>1.2997895264675399E-3</v>
      </c>
    </row>
    <row r="5828" spans="1:6" x14ac:dyDescent="0.25">
      <c r="A5828" s="1" t="str">
        <f t="shared" si="221"/>
        <v>16620</v>
      </c>
      <c r="B5828" s="1" t="str">
        <f>"25126"</f>
        <v>25126</v>
      </c>
      <c r="C5828" s="2">
        <v>1.4678791348320301E-4</v>
      </c>
      <c r="D5828" s="2">
        <v>1.73385348938014E-4</v>
      </c>
      <c r="E5828" s="2">
        <v>0</v>
      </c>
      <c r="F5828" s="2">
        <v>1.45154160316172E-4</v>
      </c>
    </row>
    <row r="5829" spans="1:6" x14ac:dyDescent="0.25">
      <c r="A5829" s="1" t="str">
        <f t="shared" si="221"/>
        <v>16620</v>
      </c>
      <c r="B5829" s="1" t="str">
        <f>"25317"</f>
        <v>25317</v>
      </c>
      <c r="C5829" s="2">
        <v>0</v>
      </c>
      <c r="D5829" s="2">
        <v>4.3346337234503602E-4</v>
      </c>
      <c r="E5829" s="2">
        <v>0</v>
      </c>
      <c r="F5829" s="2">
        <v>3.2989581890039102E-5</v>
      </c>
    </row>
    <row r="5830" spans="1:6" x14ac:dyDescent="0.25">
      <c r="A5830" s="1" t="str">
        <f t="shared" si="221"/>
        <v>16620</v>
      </c>
      <c r="B5830" s="1" t="str">
        <f>"25327"</f>
        <v>25327</v>
      </c>
      <c r="C5830" s="2">
        <v>6.9724258904521803E-4</v>
      </c>
      <c r="D5830" s="2">
        <v>3.4677069787602899E-3</v>
      </c>
      <c r="E5830" s="2">
        <v>2.6476039184537901E-4</v>
      </c>
      <c r="F5830" s="2">
        <v>8.9731662740906405E-4</v>
      </c>
    </row>
    <row r="5831" spans="1:6" x14ac:dyDescent="0.25">
      <c r="A5831" s="1" t="str">
        <f t="shared" si="221"/>
        <v>16620</v>
      </c>
      <c r="B5831" s="1" t="str">
        <f>"25102"</f>
        <v>25102</v>
      </c>
      <c r="C5831" s="2">
        <v>6.5320621500025602E-4</v>
      </c>
      <c r="D5831" s="2">
        <v>1.73385348938014E-4</v>
      </c>
      <c r="E5831" s="2">
        <v>2.6476039184537901E-4</v>
      </c>
      <c r="F5831" s="2">
        <v>6.0700830677671896E-4</v>
      </c>
    </row>
    <row r="5832" spans="1:6" x14ac:dyDescent="0.25">
      <c r="A5832" s="1" t="str">
        <f t="shared" si="221"/>
        <v>16620</v>
      </c>
      <c r="B5832" s="1" t="str">
        <f>"25322"</f>
        <v>25322</v>
      </c>
      <c r="C5832" s="2">
        <v>9.7613962466330502E-4</v>
      </c>
      <c r="D5832" s="2">
        <v>4.6814044213263897E-3</v>
      </c>
      <c r="E5832" s="2">
        <v>2.6476039184537901E-4</v>
      </c>
      <c r="F5832" s="2">
        <v>1.2404082790654701E-3</v>
      </c>
    </row>
    <row r="5833" spans="1:6" x14ac:dyDescent="0.25">
      <c r="A5833" s="1" t="str">
        <f t="shared" si="221"/>
        <v>16620</v>
      </c>
      <c r="B5833" s="1" t="str">
        <f>"25019"</f>
        <v>25019</v>
      </c>
      <c r="C5833" s="2">
        <v>1.67338221370852E-3</v>
      </c>
      <c r="D5833" s="2">
        <v>2.6007802340702199E-4</v>
      </c>
      <c r="E5833" s="2">
        <v>0</v>
      </c>
      <c r="F5833" s="2">
        <v>1.5241186833197999E-3</v>
      </c>
    </row>
    <row r="5834" spans="1:6" x14ac:dyDescent="0.25">
      <c r="A5834" s="1" t="str">
        <f t="shared" si="221"/>
        <v>16620</v>
      </c>
      <c r="B5834" s="1" t="str">
        <f>"25243"</f>
        <v>25243</v>
      </c>
      <c r="C5834" s="2">
        <v>1.5412730915736301E-4</v>
      </c>
      <c r="D5834" s="2">
        <v>0</v>
      </c>
      <c r="E5834" s="2">
        <v>0</v>
      </c>
      <c r="F5834" s="2">
        <v>1.3855624393816401E-4</v>
      </c>
    </row>
    <row r="5835" spans="1:6" x14ac:dyDescent="0.25">
      <c r="A5835" s="1" t="str">
        <f t="shared" si="221"/>
        <v>16620</v>
      </c>
      <c r="B5835" s="1" t="str">
        <f>"25264"</f>
        <v>25264</v>
      </c>
      <c r="C5835" s="2">
        <v>6.8990319337105697E-4</v>
      </c>
      <c r="D5835" s="2">
        <v>5.2015604681404399E-4</v>
      </c>
      <c r="E5835" s="2">
        <v>2.6476039184537901E-4</v>
      </c>
      <c r="F5835" s="2">
        <v>6.6638955417878997E-4</v>
      </c>
    </row>
    <row r="5836" spans="1:6" x14ac:dyDescent="0.25">
      <c r="A5836" s="1" t="str">
        <f t="shared" si="221"/>
        <v>16620</v>
      </c>
      <c r="B5836" s="1" t="str">
        <f>"25241"</f>
        <v>25241</v>
      </c>
      <c r="C5836" s="2">
        <v>4.7118920228108397E-3</v>
      </c>
      <c r="D5836" s="2">
        <v>6.0684872128305097E-4</v>
      </c>
      <c r="E5836" s="2">
        <v>1.3238019592268901E-3</v>
      </c>
      <c r="F5836" s="2">
        <v>4.3150373112171101E-3</v>
      </c>
    </row>
    <row r="5837" spans="1:6" x14ac:dyDescent="0.25">
      <c r="A5837" s="1" t="str">
        <f t="shared" si="221"/>
        <v>16620</v>
      </c>
      <c r="B5837" s="1" t="str">
        <f>"25148"</f>
        <v>25148</v>
      </c>
      <c r="C5837" s="2">
        <v>7.04581984719378E-4</v>
      </c>
      <c r="D5837" s="2">
        <v>0</v>
      </c>
      <c r="E5837" s="2">
        <v>2.6476039184537901E-4</v>
      </c>
      <c r="F5837" s="2">
        <v>6.39997888666759E-4</v>
      </c>
    </row>
    <row r="5838" spans="1:6" x14ac:dyDescent="0.25">
      <c r="A5838" s="1" t="str">
        <f t="shared" si="221"/>
        <v>16620</v>
      </c>
      <c r="B5838" s="1" t="str">
        <f>"26164"</f>
        <v>26164</v>
      </c>
      <c r="C5838" s="2">
        <v>3.2865813828889298E-2</v>
      </c>
      <c r="D5838" s="2">
        <v>2.9908972691807499E-2</v>
      </c>
      <c r="E5838" s="2">
        <v>1.9592268996558099E-2</v>
      </c>
      <c r="F5838" s="2">
        <v>3.2309996503104302E-2</v>
      </c>
    </row>
    <row r="5839" spans="1:6" x14ac:dyDescent="0.25">
      <c r="A5839" s="1" t="str">
        <f t="shared" si="221"/>
        <v>16620</v>
      </c>
      <c r="B5839" s="1" t="str">
        <f>"25045"</f>
        <v>25045</v>
      </c>
      <c r="C5839" s="2">
        <v>1.34677910620839E-2</v>
      </c>
      <c r="D5839" s="2">
        <v>3.2076289553532701E-3</v>
      </c>
      <c r="E5839" s="2">
        <v>2.38284352660841E-3</v>
      </c>
      <c r="F5839" s="2">
        <v>1.24106807070327E-2</v>
      </c>
    </row>
    <row r="5840" spans="1:6" x14ac:dyDescent="0.25">
      <c r="A5840" s="1" t="str">
        <f t="shared" si="221"/>
        <v>16620</v>
      </c>
      <c r="B5840" s="1" t="str">
        <f>"25071"</f>
        <v>25071</v>
      </c>
      <c r="C5840" s="2">
        <v>3.7474954312261902E-2</v>
      </c>
      <c r="D5840" s="2">
        <v>1.58647594278283E-2</v>
      </c>
      <c r="E5840" s="2">
        <v>1.8003706645485801E-2</v>
      </c>
      <c r="F5840" s="2">
        <v>3.5345038036987901E-2</v>
      </c>
    </row>
    <row r="5841" spans="1:6" x14ac:dyDescent="0.25">
      <c r="A5841" s="1" t="str">
        <f t="shared" si="221"/>
        <v>16620</v>
      </c>
      <c r="B5841" s="1" t="str">
        <f>"25169"</f>
        <v>25169</v>
      </c>
      <c r="C5841" s="2">
        <v>1.5853094656185999E-3</v>
      </c>
      <c r="D5841" s="2">
        <v>1.73385348938014E-4</v>
      </c>
      <c r="E5841" s="2">
        <v>2.6476039184537901E-4</v>
      </c>
      <c r="F5841" s="2">
        <v>1.4449436867837099E-3</v>
      </c>
    </row>
    <row r="5842" spans="1:6" x14ac:dyDescent="0.25">
      <c r="A5842" s="1" t="str">
        <f t="shared" si="221"/>
        <v>16620</v>
      </c>
      <c r="B5842" s="1" t="str">
        <f>"25164"</f>
        <v>25164</v>
      </c>
      <c r="C5842" s="2">
        <v>3.9485948726981799E-3</v>
      </c>
      <c r="D5842" s="2">
        <v>1.73385348938014E-4</v>
      </c>
      <c r="E5842" s="2">
        <v>2.6476039184537901E-4</v>
      </c>
      <c r="F5842" s="2">
        <v>3.56947276050223E-3</v>
      </c>
    </row>
    <row r="5843" spans="1:6" x14ac:dyDescent="0.25">
      <c r="A5843" s="1" t="str">
        <f t="shared" si="221"/>
        <v>16620</v>
      </c>
      <c r="B5843" s="1" t="str">
        <f>"25508"</f>
        <v>25508</v>
      </c>
      <c r="C5843" s="2">
        <v>1.8128307315175599E-3</v>
      </c>
      <c r="D5843" s="2">
        <v>1.73385348938014E-4</v>
      </c>
      <c r="E5843" s="2">
        <v>1.58856235107227E-3</v>
      </c>
      <c r="F5843" s="2">
        <v>1.6824686763919901E-3</v>
      </c>
    </row>
    <row r="5844" spans="1:6" x14ac:dyDescent="0.25">
      <c r="A5844" s="1" t="str">
        <f t="shared" si="221"/>
        <v>16620</v>
      </c>
      <c r="B5844" s="1" t="str">
        <f>"25567"</f>
        <v>25567</v>
      </c>
      <c r="C5844" s="2">
        <v>2.77429156483255E-3</v>
      </c>
      <c r="D5844" s="2">
        <v>6.0684872128305097E-4</v>
      </c>
      <c r="E5844" s="2">
        <v>0</v>
      </c>
      <c r="F5844" s="2">
        <v>2.5401978055330102E-3</v>
      </c>
    </row>
    <row r="5845" spans="1:6" x14ac:dyDescent="0.25">
      <c r="A5845" s="1" t="str">
        <f t="shared" si="221"/>
        <v>16620</v>
      </c>
      <c r="B5845" s="1" t="str">
        <f>"25540"</f>
        <v>25540</v>
      </c>
      <c r="C5845" s="2">
        <v>7.4861835876433903E-4</v>
      </c>
      <c r="D5845" s="2">
        <v>8.6692674469007299E-5</v>
      </c>
      <c r="E5845" s="2">
        <v>0</v>
      </c>
      <c r="F5845" s="2">
        <v>6.7958538693480496E-4</v>
      </c>
    </row>
    <row r="5846" spans="1:6" x14ac:dyDescent="0.25">
      <c r="A5846" s="1" t="str">
        <f t="shared" si="221"/>
        <v>16620</v>
      </c>
      <c r="B5846" s="1" t="str">
        <f>"25571"</f>
        <v>25571</v>
      </c>
      <c r="C5846" s="2">
        <v>7.0238016601713001E-3</v>
      </c>
      <c r="D5846" s="2">
        <v>1.2136974425661E-3</v>
      </c>
      <c r="E5846" s="2">
        <v>5.29520783690759E-4</v>
      </c>
      <c r="F5846" s="2">
        <v>6.41977263580161E-3</v>
      </c>
    </row>
    <row r="5847" spans="1:6" x14ac:dyDescent="0.25">
      <c r="A5847" s="1" t="str">
        <f t="shared" si="221"/>
        <v>16620</v>
      </c>
      <c r="B5847" s="1" t="str">
        <f>"25086"</f>
        <v>25086</v>
      </c>
      <c r="C5847" s="2">
        <v>7.3393956741601796E-6</v>
      </c>
      <c r="D5847" s="2">
        <v>1.73385348938014E-4</v>
      </c>
      <c r="E5847" s="2">
        <v>0</v>
      </c>
      <c r="F5847" s="2">
        <v>1.9793749134023401E-5</v>
      </c>
    </row>
    <row r="5848" spans="1:6" x14ac:dyDescent="0.25">
      <c r="A5848" s="1" t="str">
        <f t="shared" si="221"/>
        <v>16620</v>
      </c>
      <c r="B5848" s="1" t="str">
        <f>"26160"</f>
        <v>26160</v>
      </c>
      <c r="C5848" s="2">
        <v>3.6696978370800901E-5</v>
      </c>
      <c r="D5848" s="2">
        <v>0</v>
      </c>
      <c r="E5848" s="2">
        <v>0</v>
      </c>
      <c r="F5848" s="2">
        <v>3.2989581890039102E-5</v>
      </c>
    </row>
    <row r="5849" spans="1:6" x14ac:dyDescent="0.25">
      <c r="A5849" s="1" t="str">
        <f t="shared" si="221"/>
        <v>16620</v>
      </c>
      <c r="B5849" s="1" t="str">
        <f>"25326"</f>
        <v>25326</v>
      </c>
      <c r="C5849" s="2">
        <v>7.6329715011265898E-4</v>
      </c>
      <c r="D5849" s="2">
        <v>2.5140875596012099E-3</v>
      </c>
      <c r="E5849" s="2">
        <v>2.6476039184537901E-4</v>
      </c>
      <c r="F5849" s="2">
        <v>8.8412079465304797E-4</v>
      </c>
    </row>
    <row r="5850" spans="1:6" x14ac:dyDescent="0.25">
      <c r="A5850" s="1" t="str">
        <f t="shared" si="221"/>
        <v>16620</v>
      </c>
      <c r="B5850" s="1" t="str">
        <f>"25334"</f>
        <v>25334</v>
      </c>
      <c r="C5850" s="2">
        <v>1.0275153943824201E-4</v>
      </c>
      <c r="D5850" s="2">
        <v>1.0403120936280799E-3</v>
      </c>
      <c r="E5850" s="2">
        <v>2.6476039184537901E-4</v>
      </c>
      <c r="F5850" s="2">
        <v>1.7814374220621101E-4</v>
      </c>
    </row>
    <row r="5851" spans="1:6" x14ac:dyDescent="0.25">
      <c r="A5851" s="1" t="str">
        <f t="shared" si="221"/>
        <v>16620</v>
      </c>
      <c r="B5851" s="1" t="str">
        <f>"25079"</f>
        <v>25079</v>
      </c>
      <c r="C5851" s="2">
        <v>2.2018187022480502E-5</v>
      </c>
      <c r="D5851" s="2">
        <v>0</v>
      </c>
      <c r="E5851" s="2">
        <v>2.6476039184537901E-4</v>
      </c>
      <c r="F5851" s="2">
        <v>2.6391665512031299E-5</v>
      </c>
    </row>
    <row r="5852" spans="1:6" x14ac:dyDescent="0.25">
      <c r="A5852" s="1" t="str">
        <f t="shared" si="221"/>
        <v>16620</v>
      </c>
      <c r="B5852" s="1" t="str">
        <f>"25332"</f>
        <v>25332</v>
      </c>
      <c r="C5852" s="2">
        <v>1.9082428752816401E-4</v>
      </c>
      <c r="D5852" s="2">
        <v>1.90723883831816E-3</v>
      </c>
      <c r="E5852" s="2">
        <v>2.6476039184537901E-4</v>
      </c>
      <c r="F5852" s="2">
        <v>3.2329790252238301E-4</v>
      </c>
    </row>
    <row r="5853" spans="1:6" x14ac:dyDescent="0.25">
      <c r="A5853" s="1" t="str">
        <f t="shared" si="221"/>
        <v>16620</v>
      </c>
      <c r="B5853" s="1" t="str">
        <f>"25110"</f>
        <v>25110</v>
      </c>
      <c r="C5853" s="2">
        <v>2.2018187022480502E-5</v>
      </c>
      <c r="D5853" s="2">
        <v>8.6692674469007299E-5</v>
      </c>
      <c r="E5853" s="2">
        <v>0</v>
      </c>
      <c r="F5853" s="2">
        <v>2.6391665512031299E-5</v>
      </c>
    </row>
    <row r="5854" spans="1:6" x14ac:dyDescent="0.25">
      <c r="A5854" s="1" t="str">
        <f t="shared" si="221"/>
        <v>16620</v>
      </c>
      <c r="B5854" s="1" t="str">
        <f>"25039"</f>
        <v>25039</v>
      </c>
      <c r="C5854" s="2">
        <v>7.1926077606769795E-4</v>
      </c>
      <c r="D5854" s="2">
        <v>0</v>
      </c>
      <c r="E5854" s="2">
        <v>2.6476039184537901E-4</v>
      </c>
      <c r="F5854" s="2">
        <v>6.53193721422774E-4</v>
      </c>
    </row>
    <row r="5855" spans="1:6" x14ac:dyDescent="0.25">
      <c r="A5855" s="1" t="str">
        <f t="shared" si="221"/>
        <v>16620</v>
      </c>
      <c r="B5855" s="1" t="str">
        <f>"25325"</f>
        <v>25325</v>
      </c>
      <c r="C5855" s="2">
        <v>6.8990319337105697E-4</v>
      </c>
      <c r="D5855" s="2">
        <v>3.9878630255743303E-3</v>
      </c>
      <c r="E5855" s="2">
        <v>2.6476039184537901E-4</v>
      </c>
      <c r="F5855" s="2">
        <v>9.30306209299103E-4</v>
      </c>
    </row>
    <row r="5856" spans="1:6" x14ac:dyDescent="0.25">
      <c r="A5856" s="1" t="str">
        <f t="shared" si="221"/>
        <v>16620</v>
      </c>
      <c r="B5856" s="1" t="str">
        <f>"25112"</f>
        <v>25112</v>
      </c>
      <c r="C5856" s="2">
        <v>6.1283953879237496E-3</v>
      </c>
      <c r="D5856" s="2">
        <v>5.7217165149544801E-3</v>
      </c>
      <c r="E5856" s="2">
        <v>5.29520783690759E-4</v>
      </c>
      <c r="F5856" s="2">
        <v>5.9579184893410603E-3</v>
      </c>
    </row>
    <row r="5857" spans="1:6" x14ac:dyDescent="0.25">
      <c r="A5857" s="1" t="str">
        <f t="shared" ref="A5857:A5888" si="222">"16620"</f>
        <v>16620</v>
      </c>
      <c r="B5857" s="1" t="str">
        <f>"25154"</f>
        <v>25154</v>
      </c>
      <c r="C5857" s="2">
        <v>1.61466704831524E-3</v>
      </c>
      <c r="D5857" s="2">
        <v>3.4677069787602898E-4</v>
      </c>
      <c r="E5857" s="2">
        <v>0</v>
      </c>
      <c r="F5857" s="2">
        <v>1.47793326867375E-3</v>
      </c>
    </row>
    <row r="5858" spans="1:6" x14ac:dyDescent="0.25">
      <c r="A5858" s="1" t="str">
        <f t="shared" si="222"/>
        <v>16620</v>
      </c>
      <c r="B5858" s="1" t="str">
        <f>"25312"</f>
        <v>25312</v>
      </c>
      <c r="C5858" s="2">
        <v>3.1177752823832401E-2</v>
      </c>
      <c r="D5858" s="2">
        <v>1.4217598612917199E-2</v>
      </c>
      <c r="E5858" s="2">
        <v>8.2075721472067709E-3</v>
      </c>
      <c r="F5858" s="2">
        <v>2.93145424674887E-2</v>
      </c>
    </row>
    <row r="5859" spans="1:6" x14ac:dyDescent="0.25">
      <c r="A5859" s="1" t="str">
        <f t="shared" si="222"/>
        <v>16620</v>
      </c>
      <c r="B5859" s="1" t="str">
        <f>"25309"</f>
        <v>25309</v>
      </c>
      <c r="C5859" s="2">
        <v>4.9797799649176799E-2</v>
      </c>
      <c r="D5859" s="2">
        <v>5.8517555266579903E-2</v>
      </c>
      <c r="E5859" s="2">
        <v>6.03653693407466E-2</v>
      </c>
      <c r="F5859" s="2">
        <v>5.0724781114124103E-2</v>
      </c>
    </row>
    <row r="5860" spans="1:6" x14ac:dyDescent="0.25">
      <c r="A5860" s="1" t="str">
        <f t="shared" si="222"/>
        <v>16620</v>
      </c>
      <c r="B5860" s="1" t="str">
        <f>"25303"</f>
        <v>25303</v>
      </c>
      <c r="C5860" s="2">
        <v>3.3372232130406299E-2</v>
      </c>
      <c r="D5860" s="2">
        <v>6.0251408755960099E-2</v>
      </c>
      <c r="E5860" s="2">
        <v>4.9774953666931403E-2</v>
      </c>
      <c r="F5860" s="2">
        <v>3.5826685932582397E-2</v>
      </c>
    </row>
    <row r="5861" spans="1:6" x14ac:dyDescent="0.25">
      <c r="A5861" s="1" t="str">
        <f t="shared" si="222"/>
        <v>16620</v>
      </c>
      <c r="B5861" s="1" t="str">
        <f>"25313"</f>
        <v>25313</v>
      </c>
      <c r="C5861" s="2">
        <v>4.7412496055074797E-2</v>
      </c>
      <c r="D5861" s="2">
        <v>3.8318162115301202E-2</v>
      </c>
      <c r="E5861" s="2">
        <v>6.6190097961344896E-2</v>
      </c>
      <c r="F5861" s="2">
        <v>4.7188297935511901E-2</v>
      </c>
    </row>
    <row r="5862" spans="1:6" x14ac:dyDescent="0.25">
      <c r="A5862" s="1" t="str">
        <f t="shared" si="222"/>
        <v>16620</v>
      </c>
      <c r="B5862" s="1" t="str">
        <f>"25330"</f>
        <v>25330</v>
      </c>
      <c r="C5862" s="2">
        <v>8.5136989820258104E-4</v>
      </c>
      <c r="D5862" s="2">
        <v>3.90117035110533E-3</v>
      </c>
      <c r="E5862" s="2">
        <v>2.6476039184537901E-4</v>
      </c>
      <c r="F5862" s="2">
        <v>1.0688624532372601E-3</v>
      </c>
    </row>
    <row r="5863" spans="1:6" x14ac:dyDescent="0.25">
      <c r="A5863" s="1" t="str">
        <f t="shared" si="222"/>
        <v>16620</v>
      </c>
      <c r="B5863" s="1" t="str">
        <f>"25364"</f>
        <v>25364</v>
      </c>
      <c r="C5863" s="2">
        <v>6.5320621500025598E-3</v>
      </c>
      <c r="D5863" s="2">
        <v>1.6644993498049401E-2</v>
      </c>
      <c r="E5863" s="2">
        <v>2.6476039184537901E-4</v>
      </c>
      <c r="F5863" s="2">
        <v>7.1455434373824704E-3</v>
      </c>
    </row>
    <row r="5864" spans="1:6" x14ac:dyDescent="0.25">
      <c r="A5864" s="1" t="str">
        <f t="shared" si="222"/>
        <v>16620</v>
      </c>
      <c r="B5864" s="1" t="str">
        <f>"25035"</f>
        <v>25035</v>
      </c>
      <c r="C5864" s="2">
        <v>1.2476972646072301E-3</v>
      </c>
      <c r="D5864" s="2">
        <v>2.6007802340702199E-4</v>
      </c>
      <c r="E5864" s="2">
        <v>1.3238019592268901E-3</v>
      </c>
      <c r="F5864" s="2">
        <v>1.17442911528539E-3</v>
      </c>
    </row>
    <row r="5865" spans="1:6" x14ac:dyDescent="0.25">
      <c r="A5865" s="1" t="str">
        <f t="shared" si="222"/>
        <v>16620</v>
      </c>
      <c r="B5865" s="1" t="str">
        <f>"25024"</f>
        <v>25024</v>
      </c>
      <c r="C5865" s="2">
        <v>9.6146083331498399E-4</v>
      </c>
      <c r="D5865" s="2">
        <v>8.6692674469007299E-5</v>
      </c>
      <c r="E5865" s="2">
        <v>2.38284352660841E-3</v>
      </c>
      <c r="F5865" s="2">
        <v>9.30306209299103E-4</v>
      </c>
    </row>
    <row r="5866" spans="1:6" x14ac:dyDescent="0.25">
      <c r="A5866" s="1" t="str">
        <f t="shared" si="222"/>
        <v>16620</v>
      </c>
      <c r="B5866" s="1" t="str">
        <f>"25028"</f>
        <v>25028</v>
      </c>
      <c r="C5866" s="2">
        <v>7.7063654578681895E-4</v>
      </c>
      <c r="D5866" s="2">
        <v>0</v>
      </c>
      <c r="E5866" s="2">
        <v>2.6476039184537901E-4</v>
      </c>
      <c r="F5866" s="2">
        <v>6.9937913606882903E-4</v>
      </c>
    </row>
    <row r="5867" spans="1:6" x14ac:dyDescent="0.25">
      <c r="A5867" s="1" t="str">
        <f t="shared" si="222"/>
        <v>16620</v>
      </c>
      <c r="B5867" s="1" t="str">
        <f>"25051"</f>
        <v>25051</v>
      </c>
      <c r="C5867" s="2">
        <v>2.5687884859560599E-4</v>
      </c>
      <c r="D5867" s="2">
        <v>8.6692674469007299E-5</v>
      </c>
      <c r="E5867" s="2">
        <v>2.6476039184537901E-4</v>
      </c>
      <c r="F5867" s="2">
        <v>2.4412290598628899E-4</v>
      </c>
    </row>
    <row r="5868" spans="1:6" x14ac:dyDescent="0.25">
      <c r="A5868" s="1" t="str">
        <f t="shared" si="222"/>
        <v>16620</v>
      </c>
      <c r="B5868" s="1" t="str">
        <f>"25333"</f>
        <v>25333</v>
      </c>
      <c r="C5868" s="2">
        <v>1.3210912213488301E-4</v>
      </c>
      <c r="D5868" s="2">
        <v>1.3870827915041101E-3</v>
      </c>
      <c r="E5868" s="2">
        <v>2.6476039184537901E-4</v>
      </c>
      <c r="F5868" s="2">
        <v>2.3092707323027299E-4</v>
      </c>
    </row>
    <row r="5869" spans="1:6" x14ac:dyDescent="0.25">
      <c r="A5869" s="1" t="str">
        <f t="shared" si="222"/>
        <v>16620</v>
      </c>
      <c r="B5869" s="1" t="str">
        <f>"25021"</f>
        <v>25021</v>
      </c>
      <c r="C5869" s="2">
        <v>1.6146670483152401E-4</v>
      </c>
      <c r="D5869" s="2">
        <v>0</v>
      </c>
      <c r="E5869" s="2">
        <v>2.6476039184537901E-4</v>
      </c>
      <c r="F5869" s="2">
        <v>1.5175207669417901E-4</v>
      </c>
    </row>
    <row r="5870" spans="1:6" x14ac:dyDescent="0.25">
      <c r="A5870" s="1" t="str">
        <f t="shared" si="222"/>
        <v>16620</v>
      </c>
      <c r="B5870" s="1" t="str">
        <f>"25231"</f>
        <v>25231</v>
      </c>
      <c r="C5870" s="2">
        <v>2.3486066157312599E-4</v>
      </c>
      <c r="D5870" s="2">
        <v>0</v>
      </c>
      <c r="E5870" s="2">
        <v>5.29520783690759E-4</v>
      </c>
      <c r="F5870" s="2">
        <v>2.2432915685226601E-4</v>
      </c>
    </row>
    <row r="5871" spans="1:6" x14ac:dyDescent="0.25">
      <c r="A5871" s="1" t="str">
        <f t="shared" si="222"/>
        <v>16620</v>
      </c>
      <c r="B5871" s="1" t="str">
        <f>"25088"</f>
        <v>25088</v>
      </c>
      <c r="C5871" s="2">
        <v>5.5045467556201402E-4</v>
      </c>
      <c r="D5871" s="2">
        <v>2.6007802340702199E-4</v>
      </c>
      <c r="E5871" s="2">
        <v>0</v>
      </c>
      <c r="F5871" s="2">
        <v>5.1463747748460998E-4</v>
      </c>
    </row>
    <row r="5872" spans="1:6" x14ac:dyDescent="0.25">
      <c r="A5872" s="1" t="str">
        <f t="shared" si="222"/>
        <v>16620</v>
      </c>
      <c r="B5872" s="1" t="str">
        <f>"25083"</f>
        <v>25083</v>
      </c>
      <c r="C5872" s="2">
        <v>1.7100791920793201E-3</v>
      </c>
      <c r="D5872" s="2">
        <v>2.6007802340702199E-4</v>
      </c>
      <c r="E5872" s="2">
        <v>0</v>
      </c>
      <c r="F5872" s="2">
        <v>1.55710826520984E-3</v>
      </c>
    </row>
    <row r="5873" spans="1:6" x14ac:dyDescent="0.25">
      <c r="A5873" s="1" t="str">
        <f t="shared" si="222"/>
        <v>16620</v>
      </c>
      <c r="B5873" s="1" t="str">
        <f>"25093"</f>
        <v>25093</v>
      </c>
      <c r="C5873" s="2">
        <v>5.0641830151705299E-4</v>
      </c>
      <c r="D5873" s="2">
        <v>0</v>
      </c>
      <c r="E5873" s="2">
        <v>2.6476039184537901E-4</v>
      </c>
      <c r="F5873" s="2">
        <v>4.6185414646054702E-4</v>
      </c>
    </row>
    <row r="5874" spans="1:6" x14ac:dyDescent="0.25">
      <c r="A5874" s="1" t="str">
        <f t="shared" si="222"/>
        <v>16620</v>
      </c>
      <c r="B5874" s="1" t="str">
        <f>"25081"</f>
        <v>25081</v>
      </c>
      <c r="C5874" s="2">
        <v>3.00915222640567E-3</v>
      </c>
      <c r="D5874" s="2">
        <v>1.1270047680970901E-3</v>
      </c>
      <c r="E5874" s="2">
        <v>2.6476039184537901E-4</v>
      </c>
      <c r="F5874" s="2">
        <v>2.79751654427531E-3</v>
      </c>
    </row>
    <row r="5875" spans="1:6" x14ac:dyDescent="0.25">
      <c r="A5875" s="1" t="str">
        <f t="shared" si="222"/>
        <v>16620</v>
      </c>
      <c r="B5875" s="1" t="str">
        <f>"25244"</f>
        <v>25244</v>
      </c>
      <c r="C5875" s="2">
        <v>2.43667936382118E-3</v>
      </c>
      <c r="D5875" s="2">
        <v>8.6692674469007299E-5</v>
      </c>
      <c r="E5875" s="2">
        <v>0</v>
      </c>
      <c r="F5875" s="2">
        <v>2.1971061538766001E-3</v>
      </c>
    </row>
    <row r="5876" spans="1:6" x14ac:dyDescent="0.25">
      <c r="A5876" s="1" t="str">
        <f t="shared" si="222"/>
        <v>16620</v>
      </c>
      <c r="B5876" s="1" t="str">
        <f>"25564"</f>
        <v>25564</v>
      </c>
      <c r="C5876" s="2">
        <v>5.0421648281480502E-3</v>
      </c>
      <c r="D5876" s="2">
        <v>3.4677069787602898E-4</v>
      </c>
      <c r="E5876" s="2">
        <v>2.6476039184537901E-4</v>
      </c>
      <c r="F5876" s="2">
        <v>4.5657581335814103E-3</v>
      </c>
    </row>
    <row r="5877" spans="1:6" x14ac:dyDescent="0.25">
      <c r="A5877" s="1" t="str">
        <f t="shared" si="222"/>
        <v>16620</v>
      </c>
      <c r="B5877" s="1" t="str">
        <f>"25565"</f>
        <v>25565</v>
      </c>
      <c r="C5877" s="2">
        <v>3.7430917938216898E-3</v>
      </c>
      <c r="D5877" s="2">
        <v>0</v>
      </c>
      <c r="E5877" s="2">
        <v>2.6476039184537901E-4</v>
      </c>
      <c r="F5877" s="2">
        <v>3.3715352691619902E-3</v>
      </c>
    </row>
    <row r="5878" spans="1:6" x14ac:dyDescent="0.25">
      <c r="A5878" s="1" t="str">
        <f t="shared" si="222"/>
        <v>16620</v>
      </c>
      <c r="B5878" s="1" t="str">
        <f>"25387"</f>
        <v>25387</v>
      </c>
      <c r="C5878" s="2">
        <v>2.3331938848155199E-2</v>
      </c>
      <c r="D5878" s="2">
        <v>3.2596445600346698E-2</v>
      </c>
      <c r="E5878" s="2">
        <v>1.56208631188774E-2</v>
      </c>
      <c r="F5878" s="2">
        <v>2.38448697901202E-2</v>
      </c>
    </row>
    <row r="5879" spans="1:6" x14ac:dyDescent="0.25">
      <c r="A5879" s="1" t="str">
        <f t="shared" si="222"/>
        <v>16620</v>
      </c>
      <c r="B5879" s="1" t="str">
        <f>"25125"</f>
        <v>25125</v>
      </c>
      <c r="C5879" s="2">
        <v>2.3339278243829399E-3</v>
      </c>
      <c r="D5879" s="2">
        <v>0</v>
      </c>
      <c r="E5879" s="2">
        <v>2.6476039184537901E-4</v>
      </c>
      <c r="F5879" s="2">
        <v>2.1047353245844899E-3</v>
      </c>
    </row>
    <row r="5880" spans="1:6" x14ac:dyDescent="0.25">
      <c r="A5880" s="1" t="str">
        <f t="shared" si="222"/>
        <v>16620</v>
      </c>
      <c r="B5880" s="1" t="str">
        <f>"25252"</f>
        <v>25252</v>
      </c>
      <c r="C5880" s="2">
        <v>2.42200057247286E-3</v>
      </c>
      <c r="D5880" s="2">
        <v>2.6007802340702199E-4</v>
      </c>
      <c r="E5880" s="2">
        <v>0</v>
      </c>
      <c r="F5880" s="2">
        <v>2.1971061538766001E-3</v>
      </c>
    </row>
    <row r="5881" spans="1:6" x14ac:dyDescent="0.25">
      <c r="A5881" s="1" t="str">
        <f t="shared" si="222"/>
        <v>16620</v>
      </c>
      <c r="B5881" s="1" t="str">
        <f>"25143"</f>
        <v>25143</v>
      </c>
      <c r="C5881" s="2">
        <v>2.5790636398998899E-2</v>
      </c>
      <c r="D5881" s="2">
        <v>2.5227568270481102E-2</v>
      </c>
      <c r="E5881" s="2">
        <v>3.2830288588827097E-2</v>
      </c>
      <c r="F5881" s="2">
        <v>2.5923213449192701E-2</v>
      </c>
    </row>
    <row r="5882" spans="1:6" x14ac:dyDescent="0.25">
      <c r="A5882" s="1" t="str">
        <f t="shared" si="222"/>
        <v>16620</v>
      </c>
      <c r="B5882" s="1" t="str">
        <f>"25177"</f>
        <v>25177</v>
      </c>
      <c r="C5882" s="2">
        <v>8.5247080755370602E-2</v>
      </c>
      <c r="D5882" s="2">
        <v>5.81707845687039E-2</v>
      </c>
      <c r="E5882" s="2">
        <v>5.2687317977230599E-2</v>
      </c>
      <c r="F5882" s="2">
        <v>8.2374985979427606E-2</v>
      </c>
    </row>
    <row r="5883" spans="1:6" x14ac:dyDescent="0.25">
      <c r="A5883" s="1" t="str">
        <f t="shared" si="222"/>
        <v>16620</v>
      </c>
      <c r="B5883" s="1" t="str">
        <f>"25501"</f>
        <v>25501</v>
      </c>
      <c r="C5883" s="2">
        <v>3.9999706424173002E-3</v>
      </c>
      <c r="D5883" s="2">
        <v>4.3346337234503602E-4</v>
      </c>
      <c r="E5883" s="2">
        <v>0</v>
      </c>
      <c r="F5883" s="2">
        <v>3.6288540079043E-3</v>
      </c>
    </row>
    <row r="5884" spans="1:6" x14ac:dyDescent="0.25">
      <c r="A5884" s="1" t="str">
        <f t="shared" si="222"/>
        <v>16620</v>
      </c>
      <c r="B5884" s="1" t="str">
        <f>"25301"</f>
        <v>25301</v>
      </c>
      <c r="C5884" s="2">
        <v>1.51118156930958E-2</v>
      </c>
      <c r="D5884" s="2">
        <v>0.140182054616384</v>
      </c>
      <c r="E5884" s="2">
        <v>9.9285146942017399E-2</v>
      </c>
      <c r="F5884" s="2">
        <v>2.6728159247309601E-2</v>
      </c>
    </row>
    <row r="5885" spans="1:6" x14ac:dyDescent="0.25">
      <c r="A5885" s="1" t="str">
        <f t="shared" si="222"/>
        <v>16620</v>
      </c>
      <c r="B5885" s="1" t="str">
        <f>"25302"</f>
        <v>25302</v>
      </c>
      <c r="C5885" s="2">
        <v>6.2825226970811193E-2</v>
      </c>
      <c r="D5885" s="2">
        <v>6.3112267013437306E-2</v>
      </c>
      <c r="E5885" s="2">
        <v>7.67805136351601E-2</v>
      </c>
      <c r="F5885" s="2">
        <v>6.3194843068558895E-2</v>
      </c>
    </row>
    <row r="5886" spans="1:6" x14ac:dyDescent="0.25">
      <c r="A5886" s="1" t="str">
        <f t="shared" si="222"/>
        <v>16620</v>
      </c>
      <c r="B5886" s="1" t="str">
        <f>"25205"</f>
        <v>25205</v>
      </c>
      <c r="C5886" s="2">
        <v>0</v>
      </c>
      <c r="D5886" s="2">
        <v>0</v>
      </c>
      <c r="E5886" s="2">
        <v>2.6476039184537901E-4</v>
      </c>
      <c r="F5886" s="2">
        <v>6.5979163780078197E-6</v>
      </c>
    </row>
    <row r="5887" spans="1:6" x14ac:dyDescent="0.25">
      <c r="A5887" s="1" t="str">
        <f t="shared" si="222"/>
        <v>16620</v>
      </c>
      <c r="B5887" s="1" t="str">
        <f>"25149"</f>
        <v>25149</v>
      </c>
      <c r="C5887" s="2">
        <v>0</v>
      </c>
      <c r="D5887" s="2">
        <v>0</v>
      </c>
      <c r="E5887" s="2">
        <v>2.6476039184537901E-4</v>
      </c>
      <c r="F5887" s="2">
        <v>6.5979163780078197E-6</v>
      </c>
    </row>
    <row r="5888" spans="1:6" x14ac:dyDescent="0.25">
      <c r="A5888" s="1" t="str">
        <f t="shared" si="222"/>
        <v>16620</v>
      </c>
      <c r="B5888" s="1" t="str">
        <f>"25043"</f>
        <v>25043</v>
      </c>
      <c r="C5888" s="2">
        <v>4.5357465266309899E-3</v>
      </c>
      <c r="D5888" s="2">
        <v>1.0403120936280799E-3</v>
      </c>
      <c r="E5888" s="2">
        <v>1.3238019592268901E-3</v>
      </c>
      <c r="F5888" s="2">
        <v>4.1896769000349596E-3</v>
      </c>
    </row>
    <row r="5889" spans="1:6" x14ac:dyDescent="0.25">
      <c r="A5889" s="1" t="str">
        <f t="shared" ref="A5889:A5912" si="223">"16620"</f>
        <v>16620</v>
      </c>
      <c r="B5889" s="1" t="str">
        <f>"25248"</f>
        <v>25248</v>
      </c>
      <c r="C5889" s="2">
        <v>1.07155176842738E-2</v>
      </c>
      <c r="D5889" s="2">
        <v>8.6692674469007302E-4</v>
      </c>
      <c r="E5889" s="2">
        <v>0</v>
      </c>
      <c r="F5889" s="2">
        <v>9.6989370756714998E-3</v>
      </c>
    </row>
    <row r="5890" spans="1:6" x14ac:dyDescent="0.25">
      <c r="A5890" s="1" t="str">
        <f t="shared" si="223"/>
        <v>16620</v>
      </c>
      <c r="B5890" s="1" t="str">
        <f>"25275"</f>
        <v>25275</v>
      </c>
      <c r="C5890" s="2">
        <v>7.17792896932866E-3</v>
      </c>
      <c r="D5890" s="2">
        <v>1.2136974425661E-3</v>
      </c>
      <c r="E5890" s="2">
        <v>0</v>
      </c>
      <c r="F5890" s="2">
        <v>6.5451330469837596E-3</v>
      </c>
    </row>
    <row r="5891" spans="1:6" x14ac:dyDescent="0.25">
      <c r="A5891" s="1" t="str">
        <f t="shared" si="223"/>
        <v>16620</v>
      </c>
      <c r="B5891" s="1" t="str">
        <f>"25142"</f>
        <v>25142</v>
      </c>
      <c r="C5891" s="2">
        <v>6.8990319337105697E-4</v>
      </c>
      <c r="D5891" s="2">
        <v>2.6007802340702199E-4</v>
      </c>
      <c r="E5891" s="2">
        <v>0</v>
      </c>
      <c r="F5891" s="2">
        <v>6.39997888666759E-4</v>
      </c>
    </row>
    <row r="5892" spans="1:6" x14ac:dyDescent="0.25">
      <c r="A5892" s="1" t="str">
        <f t="shared" si="223"/>
        <v>16620</v>
      </c>
      <c r="B5892" s="1" t="str">
        <f>"25054"</f>
        <v>25054</v>
      </c>
      <c r="C5892" s="2">
        <v>0</v>
      </c>
      <c r="D5892" s="2">
        <v>8.6692674469007299E-5</v>
      </c>
      <c r="E5892" s="2">
        <v>2.6476039184537901E-4</v>
      </c>
      <c r="F5892" s="2">
        <v>1.31958327560156E-5</v>
      </c>
    </row>
    <row r="5893" spans="1:6" x14ac:dyDescent="0.25">
      <c r="A5893" s="1" t="str">
        <f t="shared" si="223"/>
        <v>16620</v>
      </c>
      <c r="B5893" s="1" t="str">
        <f>"25211"</f>
        <v>25211</v>
      </c>
      <c r="C5893" s="2">
        <v>7.3393956741601796E-6</v>
      </c>
      <c r="D5893" s="2">
        <v>8.6692674469007299E-5</v>
      </c>
      <c r="E5893" s="2">
        <v>0</v>
      </c>
      <c r="F5893" s="2">
        <v>1.31958327560156E-5</v>
      </c>
    </row>
    <row r="5894" spans="1:6" x14ac:dyDescent="0.25">
      <c r="A5894" s="1" t="str">
        <f t="shared" si="223"/>
        <v>16620</v>
      </c>
      <c r="B5894" s="1" t="str">
        <f>"25323"</f>
        <v>25323</v>
      </c>
      <c r="C5894" s="2">
        <v>9.5412143764082402E-4</v>
      </c>
      <c r="D5894" s="2">
        <v>5.8084091894234904E-3</v>
      </c>
      <c r="E5894" s="2">
        <v>2.6476039184537901E-4</v>
      </c>
      <c r="F5894" s="2">
        <v>1.30638744284554E-3</v>
      </c>
    </row>
    <row r="5895" spans="1:6" x14ac:dyDescent="0.25">
      <c r="A5895" s="1" t="str">
        <f t="shared" si="223"/>
        <v>16620</v>
      </c>
      <c r="B5895" s="1" t="str">
        <f>"25328"</f>
        <v>25328</v>
      </c>
      <c r="C5895" s="2">
        <v>8.1467291983178096E-4</v>
      </c>
      <c r="D5895" s="2">
        <v>3.90117035110533E-3</v>
      </c>
      <c r="E5895" s="2">
        <v>2.6476039184537901E-4</v>
      </c>
      <c r="F5895" s="2">
        <v>1.03587287134722E-3</v>
      </c>
    </row>
    <row r="5896" spans="1:6" x14ac:dyDescent="0.25">
      <c r="A5896" s="1" t="str">
        <f t="shared" si="223"/>
        <v>16620</v>
      </c>
      <c r="B5896" s="1" t="str">
        <f>"25203"</f>
        <v>25203</v>
      </c>
      <c r="C5896" s="2">
        <v>2.6421824426976602E-4</v>
      </c>
      <c r="D5896" s="2">
        <v>8.6692674469007299E-5</v>
      </c>
      <c r="E5896" s="2">
        <v>0</v>
      </c>
      <c r="F5896" s="2">
        <v>2.4412290598628899E-4</v>
      </c>
    </row>
    <row r="5897" spans="1:6" x14ac:dyDescent="0.25">
      <c r="A5897" s="1" t="str">
        <f t="shared" si="223"/>
        <v>16620</v>
      </c>
      <c r="B5897" s="1" t="str">
        <f>"25193"</f>
        <v>25193</v>
      </c>
      <c r="C5897" s="2">
        <v>3.0091522264056702E-4</v>
      </c>
      <c r="D5897" s="2">
        <v>0</v>
      </c>
      <c r="E5897" s="2">
        <v>2.6476039184537901E-4</v>
      </c>
      <c r="F5897" s="2">
        <v>2.7711248787632803E-4</v>
      </c>
    </row>
    <row r="5898" spans="1:6" x14ac:dyDescent="0.25">
      <c r="A5898" s="1" t="str">
        <f t="shared" si="223"/>
        <v>16620</v>
      </c>
      <c r="B5898" s="1" t="str">
        <f>"25209"</f>
        <v>25209</v>
      </c>
      <c r="C5898" s="2">
        <v>1.0788911641015401E-3</v>
      </c>
      <c r="D5898" s="2">
        <v>8.6692674469007299E-5</v>
      </c>
      <c r="E5898" s="2">
        <v>7.9428117553613899E-4</v>
      </c>
      <c r="F5898" s="2">
        <v>9.9628537307918101E-4</v>
      </c>
    </row>
    <row r="5899" spans="1:6" x14ac:dyDescent="0.25">
      <c r="A5899" s="1" t="str">
        <f t="shared" si="223"/>
        <v>16620</v>
      </c>
      <c r="B5899" s="1" t="str">
        <f>"25305"</f>
        <v>25305</v>
      </c>
      <c r="C5899" s="2">
        <v>0</v>
      </c>
      <c r="D5899" s="2">
        <v>1.1443433029908899E-2</v>
      </c>
      <c r="E5899" s="2">
        <v>2.6476039184537901E-4</v>
      </c>
      <c r="F5899" s="2">
        <v>8.7752287827503998E-4</v>
      </c>
    </row>
    <row r="5900" spans="1:6" x14ac:dyDescent="0.25">
      <c r="A5900" s="1" t="str">
        <f t="shared" si="223"/>
        <v>16620</v>
      </c>
      <c r="B5900" s="1" t="str">
        <f>"25510"</f>
        <v>25510</v>
      </c>
      <c r="C5900" s="2">
        <v>8.8072748089922201E-4</v>
      </c>
      <c r="D5900" s="2">
        <v>1.73385348938014E-4</v>
      </c>
      <c r="E5900" s="2">
        <v>2.6476039184537901E-4</v>
      </c>
      <c r="F5900" s="2">
        <v>8.1154371449496197E-4</v>
      </c>
    </row>
    <row r="5901" spans="1:6" x14ac:dyDescent="0.25">
      <c r="A5901" s="1" t="str">
        <f t="shared" si="223"/>
        <v>16620</v>
      </c>
      <c r="B5901" s="1" t="str">
        <f>"25315"</f>
        <v>25315</v>
      </c>
      <c r="C5901" s="2">
        <v>1.25503666028139E-2</v>
      </c>
      <c r="D5901" s="2">
        <v>1.2397052449068E-2</v>
      </c>
      <c r="E5901" s="2">
        <v>2.1445591739475699E-2</v>
      </c>
      <c r="F5901" s="2">
        <v>1.2760370275067099E-2</v>
      </c>
    </row>
    <row r="5902" spans="1:6" x14ac:dyDescent="0.25">
      <c r="A5902" s="1" t="str">
        <f t="shared" si="223"/>
        <v>16620</v>
      </c>
      <c r="B5902" s="1" t="str">
        <f>"25239"</f>
        <v>25239</v>
      </c>
      <c r="C5902" s="2">
        <v>5.1742739502829297E-3</v>
      </c>
      <c r="D5902" s="2">
        <v>8.6692674469007302E-4</v>
      </c>
      <c r="E5902" s="2">
        <v>1.3238019592268901E-3</v>
      </c>
      <c r="F5902" s="2">
        <v>4.75049979216563E-3</v>
      </c>
    </row>
    <row r="5903" spans="1:6" x14ac:dyDescent="0.25">
      <c r="A5903" s="1" t="str">
        <f t="shared" si="223"/>
        <v>16620</v>
      </c>
      <c r="B5903" s="1" t="str">
        <f>"25529"</f>
        <v>25529</v>
      </c>
      <c r="C5903" s="2">
        <v>2.9357582696640698E-3</v>
      </c>
      <c r="D5903" s="2">
        <v>1.0403120936280799E-3</v>
      </c>
      <c r="E5903" s="2">
        <v>2.6476039184537901E-4</v>
      </c>
      <c r="F5903" s="2">
        <v>2.7249394641172299E-3</v>
      </c>
    </row>
    <row r="5904" spans="1:6" x14ac:dyDescent="0.25">
      <c r="A5904" s="1" t="str">
        <f t="shared" si="223"/>
        <v>16620</v>
      </c>
      <c r="B5904" s="1" t="str">
        <f>"25285"</f>
        <v>25285</v>
      </c>
      <c r="C5904" s="2">
        <v>2.3999823854503801E-3</v>
      </c>
      <c r="D5904" s="2">
        <v>2.6007802340702199E-4</v>
      </c>
      <c r="E5904" s="2">
        <v>5.29520783690759E-4</v>
      </c>
      <c r="F5904" s="2">
        <v>2.1905082374985901E-3</v>
      </c>
    </row>
    <row r="5905" spans="1:6" x14ac:dyDescent="0.25">
      <c r="A5905" s="1" t="str">
        <f t="shared" si="223"/>
        <v>16620</v>
      </c>
      <c r="B5905" s="1" t="str">
        <f>"25329"</f>
        <v>25329</v>
      </c>
      <c r="C5905" s="2">
        <v>6.4586681932609605E-4</v>
      </c>
      <c r="D5905" s="2">
        <v>2.3407022106631901E-3</v>
      </c>
      <c r="E5905" s="2">
        <v>2.6476039184537901E-4</v>
      </c>
      <c r="F5905" s="2">
        <v>7.6535829984890704E-4</v>
      </c>
    </row>
    <row r="5906" spans="1:6" x14ac:dyDescent="0.25">
      <c r="A5906" s="1" t="str">
        <f t="shared" si="223"/>
        <v>16620</v>
      </c>
      <c r="B5906" s="1" t="str">
        <f>"25053"</f>
        <v>25053</v>
      </c>
      <c r="C5906" s="2">
        <v>1.10604692809594E-2</v>
      </c>
      <c r="D5906" s="2">
        <v>3.4677069787602899E-3</v>
      </c>
      <c r="E5906" s="2">
        <v>3.7066454858353101E-3</v>
      </c>
      <c r="F5906" s="2">
        <v>1.02993474660702E-2</v>
      </c>
    </row>
    <row r="5907" spans="1:6" x14ac:dyDescent="0.25">
      <c r="A5907" s="1" t="str">
        <f t="shared" si="223"/>
        <v>16620</v>
      </c>
      <c r="B5907" s="1" t="str">
        <f>"25204"</f>
        <v>25204</v>
      </c>
      <c r="C5907" s="2">
        <v>2.2752126589896499E-4</v>
      </c>
      <c r="D5907" s="2">
        <v>0</v>
      </c>
      <c r="E5907" s="2">
        <v>2.6476039184537901E-4</v>
      </c>
      <c r="F5907" s="2">
        <v>2.1113332409625001E-4</v>
      </c>
    </row>
    <row r="5908" spans="1:6" x14ac:dyDescent="0.25">
      <c r="A5908" s="1" t="str">
        <f t="shared" si="223"/>
        <v>16620</v>
      </c>
      <c r="B5908" s="1" t="str">
        <f>"25262"</f>
        <v>25262</v>
      </c>
      <c r="C5908" s="2">
        <v>2.7008976080909399E-3</v>
      </c>
      <c r="D5908" s="2">
        <v>2.0806241872561699E-3</v>
      </c>
      <c r="E5908" s="2">
        <v>0</v>
      </c>
      <c r="F5908" s="2">
        <v>2.5863832201790601E-3</v>
      </c>
    </row>
    <row r="5909" spans="1:6" x14ac:dyDescent="0.25">
      <c r="A5909" s="1" t="str">
        <f t="shared" si="223"/>
        <v>16620</v>
      </c>
      <c r="B5909" s="1" t="str">
        <f>"25524"</f>
        <v>25524</v>
      </c>
      <c r="C5909" s="2">
        <v>9.3063537148351198E-3</v>
      </c>
      <c r="D5909" s="2">
        <v>1.99393151278716E-3</v>
      </c>
      <c r="E5909" s="2">
        <v>1.05904156738151E-3</v>
      </c>
      <c r="F5909" s="2">
        <v>8.5443017095201308E-3</v>
      </c>
    </row>
    <row r="5910" spans="1:6" x14ac:dyDescent="0.25">
      <c r="A5910" s="1" t="str">
        <f t="shared" si="223"/>
        <v>16620</v>
      </c>
      <c r="B5910" s="1" t="str">
        <f>"26169"</f>
        <v>26169</v>
      </c>
      <c r="C5910" s="2">
        <v>2.2018187022480502E-5</v>
      </c>
      <c r="D5910" s="2">
        <v>0</v>
      </c>
      <c r="E5910" s="2">
        <v>0</v>
      </c>
      <c r="F5910" s="2">
        <v>1.9793749134023401E-5</v>
      </c>
    </row>
    <row r="5911" spans="1:6" x14ac:dyDescent="0.25">
      <c r="A5911" s="1" t="str">
        <f t="shared" si="223"/>
        <v>16620</v>
      </c>
      <c r="B5911" s="1" t="str">
        <f>"25396"</f>
        <v>25396</v>
      </c>
      <c r="C5911" s="2">
        <v>0</v>
      </c>
      <c r="D5911" s="2">
        <v>8.6692674469007299E-5</v>
      </c>
      <c r="E5911" s="2">
        <v>0</v>
      </c>
      <c r="F5911" s="2">
        <v>6.5979163780078197E-6</v>
      </c>
    </row>
    <row r="5912" spans="1:6" x14ac:dyDescent="0.25">
      <c r="A5912" s="1" t="str">
        <f t="shared" si="223"/>
        <v>16620</v>
      </c>
      <c r="B5912" s="1" t="str">
        <f>"25534"</f>
        <v>25534</v>
      </c>
      <c r="C5912" s="2">
        <v>3.6696978370800901E-5</v>
      </c>
      <c r="D5912" s="2">
        <v>0</v>
      </c>
      <c r="E5912" s="2">
        <v>0</v>
      </c>
      <c r="F5912" s="2">
        <v>3.2989581890039102E-5</v>
      </c>
    </row>
    <row r="5913" spans="1:6" x14ac:dyDescent="0.25">
      <c r="A5913" s="1" t="str">
        <f t="shared" ref="A5913:A5934" si="224">"16660"</f>
        <v>16660</v>
      </c>
      <c r="B5913" s="1" t="str">
        <f>"62474"</f>
        <v>62474</v>
      </c>
      <c r="C5913" s="2">
        <v>2.0008279287981202E-3</v>
      </c>
      <c r="D5913" s="2">
        <v>0</v>
      </c>
      <c r="E5913" s="2">
        <v>0</v>
      </c>
      <c r="F5913" s="2">
        <v>1.7775053631627299E-3</v>
      </c>
    </row>
    <row r="5914" spans="1:6" x14ac:dyDescent="0.25">
      <c r="A5914" s="1" t="str">
        <f t="shared" si="224"/>
        <v>16660</v>
      </c>
      <c r="B5914" s="1" t="str">
        <f>"62436"</f>
        <v>62436</v>
      </c>
      <c r="C5914" s="2">
        <v>6.0714778529046502E-3</v>
      </c>
      <c r="D5914" s="2">
        <v>1.3717421124828501E-3</v>
      </c>
      <c r="E5914" s="2">
        <v>6.87285223367697E-4</v>
      </c>
      <c r="F5914" s="2">
        <v>5.5163959546429596E-3</v>
      </c>
    </row>
    <row r="5915" spans="1:6" x14ac:dyDescent="0.25">
      <c r="A5915" s="1" t="str">
        <f t="shared" si="224"/>
        <v>16660</v>
      </c>
      <c r="B5915" s="1" t="str">
        <f>"62468"</f>
        <v>62468</v>
      </c>
      <c r="C5915" s="2">
        <v>4.0258037808748398E-2</v>
      </c>
      <c r="D5915" s="2">
        <v>1.32601737540009E-2</v>
      </c>
      <c r="E5915" s="2">
        <v>1.09965635738831E-2</v>
      </c>
      <c r="F5915" s="2">
        <v>3.71437327612626E-2</v>
      </c>
    </row>
    <row r="5916" spans="1:6" x14ac:dyDescent="0.25">
      <c r="A5916" s="1" t="str">
        <f t="shared" si="224"/>
        <v>16660</v>
      </c>
      <c r="B5916" s="1" t="str">
        <f>"61951"</f>
        <v>61951</v>
      </c>
      <c r="C5916" s="2">
        <v>5.8644956533737995E-4</v>
      </c>
      <c r="D5916" s="2">
        <v>4.5724737082761702E-4</v>
      </c>
      <c r="E5916" s="2">
        <v>0</v>
      </c>
      <c r="F5916" s="2">
        <v>5.5163959546429596E-4</v>
      </c>
    </row>
    <row r="5917" spans="1:6" x14ac:dyDescent="0.25">
      <c r="A5917" s="1" t="str">
        <f t="shared" si="224"/>
        <v>16660</v>
      </c>
      <c r="B5917" s="1" t="str">
        <f>"61910"</f>
        <v>61910</v>
      </c>
      <c r="C5917" s="2">
        <v>3.0357389264523199E-3</v>
      </c>
      <c r="D5917" s="2">
        <v>9.1449474165523502E-4</v>
      </c>
      <c r="E5917" s="2">
        <v>0</v>
      </c>
      <c r="F5917" s="2">
        <v>2.7581979773214798E-3</v>
      </c>
    </row>
    <row r="5918" spans="1:6" x14ac:dyDescent="0.25">
      <c r="A5918" s="1" t="str">
        <f t="shared" si="224"/>
        <v>16660</v>
      </c>
      <c r="B5918" s="1" t="str">
        <f>"62440"</f>
        <v>62440</v>
      </c>
      <c r="C5918" s="2">
        <v>1.7352007727335399E-2</v>
      </c>
      <c r="D5918" s="2">
        <v>2.2862368541380798E-3</v>
      </c>
      <c r="E5918" s="2">
        <v>6.87285223367697E-4</v>
      </c>
      <c r="F5918" s="2">
        <v>1.5599141893962601E-2</v>
      </c>
    </row>
    <row r="5919" spans="1:6" x14ac:dyDescent="0.25">
      <c r="A5919" s="1" t="str">
        <f t="shared" si="224"/>
        <v>16660</v>
      </c>
      <c r="B5919" s="1" t="str">
        <f>"62462"</f>
        <v>62462</v>
      </c>
      <c r="C5919" s="2">
        <v>5.4850282875672602E-3</v>
      </c>
      <c r="D5919" s="2">
        <v>1.82898948331047E-3</v>
      </c>
      <c r="E5919" s="2">
        <v>0</v>
      </c>
      <c r="F5919" s="2">
        <v>4.9954030033711296E-3</v>
      </c>
    </row>
    <row r="5920" spans="1:6" x14ac:dyDescent="0.25">
      <c r="A5920" s="1" t="str">
        <f t="shared" si="224"/>
        <v>16660</v>
      </c>
      <c r="B5920" s="1" t="str">
        <f>"62420"</f>
        <v>62420</v>
      </c>
      <c r="C5920" s="2">
        <v>8.9347316130812694E-3</v>
      </c>
      <c r="D5920" s="2">
        <v>1.82898948331047E-3</v>
      </c>
      <c r="E5920" s="2">
        <v>0</v>
      </c>
      <c r="F5920" s="2">
        <v>8.0600674226172196E-3</v>
      </c>
    </row>
    <row r="5921" spans="1:6" x14ac:dyDescent="0.25">
      <c r="A5921" s="1" t="str">
        <f t="shared" si="224"/>
        <v>16660</v>
      </c>
      <c r="B5921" s="1" t="str">
        <f>"61928"</f>
        <v>61928</v>
      </c>
      <c r="C5921" s="2">
        <v>5.3125431212915604E-3</v>
      </c>
      <c r="D5921" s="2">
        <v>9.1449474165523502E-4</v>
      </c>
      <c r="E5921" s="2">
        <v>0</v>
      </c>
      <c r="F5921" s="2">
        <v>4.7808764940238998E-3</v>
      </c>
    </row>
    <row r="5922" spans="1:6" x14ac:dyDescent="0.25">
      <c r="A5922" s="1" t="str">
        <f t="shared" si="224"/>
        <v>16660</v>
      </c>
      <c r="B5922" s="1" t="str">
        <f>"61912"</f>
        <v>61912</v>
      </c>
      <c r="C5922" s="2">
        <v>2.1422657651441902E-2</v>
      </c>
      <c r="D5922" s="2">
        <v>2.1947873799725601E-2</v>
      </c>
      <c r="E5922" s="2">
        <v>6.87285223367697E-4</v>
      </c>
      <c r="F5922" s="2">
        <v>2.05332516089488E-2</v>
      </c>
    </row>
    <row r="5923" spans="1:6" x14ac:dyDescent="0.25">
      <c r="A5923" s="1" t="str">
        <f t="shared" si="224"/>
        <v>16660</v>
      </c>
      <c r="B5923" s="1" t="str">
        <f>"62432"</f>
        <v>62432</v>
      </c>
      <c r="C5923" s="2">
        <v>1.3798813302056E-4</v>
      </c>
      <c r="D5923" s="2">
        <v>0</v>
      </c>
      <c r="E5923" s="2">
        <v>0</v>
      </c>
      <c r="F5923" s="2">
        <v>1.2258657676984301E-4</v>
      </c>
    </row>
    <row r="5924" spans="1:6" x14ac:dyDescent="0.25">
      <c r="A5924" s="1" t="str">
        <f t="shared" si="224"/>
        <v>16660</v>
      </c>
      <c r="B5924" s="1" t="str">
        <f>"61930"</f>
        <v>61930</v>
      </c>
      <c r="C5924" s="2">
        <v>4.1396439906167998E-4</v>
      </c>
      <c r="D5924" s="2">
        <v>0</v>
      </c>
      <c r="E5924" s="2">
        <v>0</v>
      </c>
      <c r="F5924" s="2">
        <v>3.67759730309531E-4</v>
      </c>
    </row>
    <row r="5925" spans="1:6" x14ac:dyDescent="0.25">
      <c r="A5925" s="1" t="str">
        <f t="shared" si="224"/>
        <v>16660</v>
      </c>
      <c r="B5925" s="1" t="str">
        <f>"61911"</f>
        <v>61911</v>
      </c>
      <c r="C5925" s="2">
        <v>8.9692286463364103E-4</v>
      </c>
      <c r="D5925" s="2">
        <v>9.1449474165523502E-4</v>
      </c>
      <c r="E5925" s="2">
        <v>0</v>
      </c>
      <c r="F5925" s="2">
        <v>8.5810603738890499E-4</v>
      </c>
    </row>
    <row r="5926" spans="1:6" x14ac:dyDescent="0.25">
      <c r="A5926" s="1" t="str">
        <f t="shared" si="224"/>
        <v>16660</v>
      </c>
      <c r="B5926" s="1" t="str">
        <f>"62445"</f>
        <v>62445</v>
      </c>
      <c r="C5926" s="2">
        <v>5.7955015868635202E-3</v>
      </c>
      <c r="D5926" s="2">
        <v>1.82898948331047E-3</v>
      </c>
      <c r="E5926" s="2">
        <v>6.87285223367697E-4</v>
      </c>
      <c r="F5926" s="2">
        <v>5.3018694452957402E-3</v>
      </c>
    </row>
    <row r="5927" spans="1:6" x14ac:dyDescent="0.25">
      <c r="A5927" s="1" t="str">
        <f t="shared" si="224"/>
        <v>16660</v>
      </c>
      <c r="B5927" s="1" t="str">
        <f>"62467"</f>
        <v>62467</v>
      </c>
      <c r="C5927" s="2">
        <v>2.4492893611149399E-3</v>
      </c>
      <c r="D5927" s="2">
        <v>0</v>
      </c>
      <c r="E5927" s="2">
        <v>6.87285223367697E-4</v>
      </c>
      <c r="F5927" s="2">
        <v>2.2065583818571799E-3</v>
      </c>
    </row>
    <row r="5928" spans="1:6" x14ac:dyDescent="0.25">
      <c r="A5928" s="1" t="str">
        <f t="shared" si="224"/>
        <v>16660</v>
      </c>
      <c r="B5928" s="1" t="str">
        <f>"62469"</f>
        <v>62469</v>
      </c>
      <c r="C5928" s="2">
        <v>6.55443631847661E-3</v>
      </c>
      <c r="D5928" s="2">
        <v>3.2007315957933201E-3</v>
      </c>
      <c r="E5928" s="2">
        <v>6.87285223367697E-4</v>
      </c>
      <c r="F5928" s="2">
        <v>6.0680355501072604E-3</v>
      </c>
    </row>
    <row r="5929" spans="1:6" x14ac:dyDescent="0.25">
      <c r="A5929" s="1" t="str">
        <f t="shared" si="224"/>
        <v>16660</v>
      </c>
      <c r="B5929" s="1" t="str">
        <f>"61920"</f>
        <v>61920</v>
      </c>
      <c r="C5929" s="2">
        <v>0.35697530012418899</v>
      </c>
      <c r="D5929" s="2">
        <v>0.36991312299954199</v>
      </c>
      <c r="E5929" s="2">
        <v>0.58350515463917496</v>
      </c>
      <c r="F5929" s="2">
        <v>0.36794361017468502</v>
      </c>
    </row>
    <row r="5930" spans="1:6" x14ac:dyDescent="0.25">
      <c r="A5930" s="1" t="str">
        <f t="shared" si="224"/>
        <v>16660</v>
      </c>
      <c r="B5930" s="1" t="str">
        <f>"61931"</f>
        <v>61931</v>
      </c>
      <c r="C5930" s="2">
        <v>1.7869463226162501E-2</v>
      </c>
      <c r="D5930" s="2">
        <v>5.0297210791037904E-3</v>
      </c>
      <c r="E5930" s="2">
        <v>2.7491408934707902E-3</v>
      </c>
      <c r="F5930" s="2">
        <v>1.6334661354581601E-2</v>
      </c>
    </row>
    <row r="5931" spans="1:6" x14ac:dyDescent="0.25">
      <c r="A5931" s="1" t="str">
        <f t="shared" si="224"/>
        <v>16660</v>
      </c>
      <c r="B5931" s="1" t="str">
        <f>"61938"</f>
        <v>61938</v>
      </c>
      <c r="C5931" s="2">
        <v>0.37612115358079201</v>
      </c>
      <c r="D5931" s="2">
        <v>0.52537722908093198</v>
      </c>
      <c r="E5931" s="2">
        <v>0.36632302405498202</v>
      </c>
      <c r="F5931" s="2">
        <v>0.38568801716211998</v>
      </c>
    </row>
    <row r="5932" spans="1:6" x14ac:dyDescent="0.25">
      <c r="A5932" s="1" t="str">
        <f t="shared" si="224"/>
        <v>16660</v>
      </c>
      <c r="B5932" s="1" t="str">
        <f>"62428"</f>
        <v>62428</v>
      </c>
      <c r="C5932" s="2">
        <v>5.1849040982475503E-2</v>
      </c>
      <c r="D5932" s="2">
        <v>1.6460905349794198E-2</v>
      </c>
      <c r="E5932" s="2">
        <v>1.85567010309278E-2</v>
      </c>
      <c r="F5932" s="2">
        <v>4.7992644805393801E-2</v>
      </c>
    </row>
    <row r="5933" spans="1:6" x14ac:dyDescent="0.25">
      <c r="A5933" s="1" t="str">
        <f t="shared" si="224"/>
        <v>16660</v>
      </c>
      <c r="B5933" s="1" t="str">
        <f>"62447"</f>
        <v>62447</v>
      </c>
      <c r="C5933" s="2">
        <v>4.77093969918587E-2</v>
      </c>
      <c r="D5933" s="2">
        <v>2.0576131687242701E-2</v>
      </c>
      <c r="E5933" s="2">
        <v>1.09965635738831E-2</v>
      </c>
      <c r="F5933" s="2">
        <v>4.4253754213913497E-2</v>
      </c>
    </row>
    <row r="5934" spans="1:6" x14ac:dyDescent="0.25">
      <c r="A5934" s="1" t="str">
        <f t="shared" si="224"/>
        <v>16660</v>
      </c>
      <c r="B5934" s="1" t="str">
        <f>"61943"</f>
        <v>61943</v>
      </c>
      <c r="C5934" s="2">
        <v>2.2768041948392399E-2</v>
      </c>
      <c r="D5934" s="2">
        <v>1.1888431641518E-2</v>
      </c>
      <c r="E5934" s="2">
        <v>2.7491408934707902E-3</v>
      </c>
      <c r="F5934" s="2">
        <v>2.1146184492797999E-2</v>
      </c>
    </row>
    <row r="5935" spans="1:6" x14ac:dyDescent="0.25">
      <c r="A5935" s="1" t="str">
        <f t="shared" ref="A5935:A5966" si="225">"16700"</f>
        <v>16700</v>
      </c>
      <c r="B5935" s="1" t="str">
        <f>"29439"</f>
        <v>29439</v>
      </c>
      <c r="C5935" s="2">
        <v>1.48952861384467E-5</v>
      </c>
      <c r="D5935" s="2">
        <v>2.6422871637689501E-5</v>
      </c>
      <c r="E5935" s="2">
        <v>0</v>
      </c>
      <c r="F5935" s="2">
        <v>1.5334936929595102E-5</v>
      </c>
    </row>
    <row r="5936" spans="1:6" x14ac:dyDescent="0.25">
      <c r="A5936" s="1" t="str">
        <f t="shared" si="225"/>
        <v>16700</v>
      </c>
      <c r="B5936" s="1" t="str">
        <f>"29476"</f>
        <v>29476</v>
      </c>
      <c r="C5936" s="2">
        <v>0</v>
      </c>
      <c r="D5936" s="2">
        <v>2.6422871637689501E-5</v>
      </c>
      <c r="E5936" s="2">
        <v>0</v>
      </c>
      <c r="F5936" s="2">
        <v>2.1907052756564402E-6</v>
      </c>
    </row>
    <row r="5937" spans="1:6" x14ac:dyDescent="0.25">
      <c r="A5937" s="1" t="str">
        <f t="shared" si="225"/>
        <v>16700</v>
      </c>
      <c r="B5937" s="1" t="str">
        <f>"29401"</f>
        <v>29401</v>
      </c>
      <c r="C5937" s="2">
        <v>1.6218484057078701E-2</v>
      </c>
      <c r="D5937" s="2">
        <v>5.2977857633567597E-2</v>
      </c>
      <c r="E5937" s="2">
        <v>7.9666160849772294E-2</v>
      </c>
      <c r="F5937" s="2">
        <v>2.14645302908818E-2</v>
      </c>
    </row>
    <row r="5938" spans="1:6" x14ac:dyDescent="0.25">
      <c r="A5938" s="1" t="str">
        <f t="shared" si="225"/>
        <v>16700</v>
      </c>
      <c r="B5938" s="1" t="str">
        <f>"29464"</f>
        <v>29464</v>
      </c>
      <c r="C5938" s="2">
        <v>6.3992631798456795E-2</v>
      </c>
      <c r="D5938" s="2">
        <v>9.2347936373725001E-2</v>
      </c>
      <c r="E5938" s="2">
        <v>8.7632776934749607E-2</v>
      </c>
      <c r="F5938" s="2">
        <v>6.7162642341075204E-2</v>
      </c>
    </row>
    <row r="5939" spans="1:6" x14ac:dyDescent="0.25">
      <c r="A5939" s="1" t="str">
        <f t="shared" si="225"/>
        <v>16700</v>
      </c>
      <c r="B5939" s="1" t="str">
        <f>"29479"</f>
        <v>29479</v>
      </c>
      <c r="C5939" s="2">
        <v>7.0802260111416703E-3</v>
      </c>
      <c r="D5939" s="2">
        <v>3.19716746816043E-3</v>
      </c>
      <c r="E5939" s="2">
        <v>9.4840667678300404E-4</v>
      </c>
      <c r="F5939" s="2">
        <v>6.5458273636614496E-3</v>
      </c>
    </row>
    <row r="5940" spans="1:6" x14ac:dyDescent="0.25">
      <c r="A5940" s="1" t="str">
        <f t="shared" si="225"/>
        <v>16700</v>
      </c>
      <c r="B5940" s="1" t="str">
        <f>"29482"</f>
        <v>29482</v>
      </c>
      <c r="C5940" s="2">
        <v>3.9621461128268197E-3</v>
      </c>
      <c r="D5940" s="2">
        <v>5.1260370977117701E-3</v>
      </c>
      <c r="E5940" s="2">
        <v>1.7703591299949399E-3</v>
      </c>
      <c r="F5940" s="2">
        <v>3.9827021911434104E-3</v>
      </c>
    </row>
    <row r="5941" spans="1:6" x14ac:dyDescent="0.25">
      <c r="A5941" s="1" t="str">
        <f t="shared" si="225"/>
        <v>16700</v>
      </c>
      <c r="B5941" s="1" t="str">
        <f>"29470"</f>
        <v>29470</v>
      </c>
      <c r="C5941" s="2">
        <v>5.6031101357457E-3</v>
      </c>
      <c r="D5941" s="2">
        <v>4.6768482798710499E-3</v>
      </c>
      <c r="E5941" s="2">
        <v>2.40263024785027E-3</v>
      </c>
      <c r="F5941" s="2">
        <v>5.4154234414227299E-3</v>
      </c>
    </row>
    <row r="5942" spans="1:6" x14ac:dyDescent="0.25">
      <c r="A5942" s="1" t="str">
        <f t="shared" si="225"/>
        <v>16700</v>
      </c>
      <c r="B5942" s="1" t="str">
        <f>"29410"</f>
        <v>29410</v>
      </c>
      <c r="C5942" s="2">
        <v>2.0833540212307398E-2</v>
      </c>
      <c r="D5942" s="2">
        <v>8.4024731807852797E-3</v>
      </c>
      <c r="E5942" s="2">
        <v>1.22660596863935E-2</v>
      </c>
      <c r="F5942" s="2">
        <v>1.95060397744449E-2</v>
      </c>
    </row>
    <row r="5943" spans="1:6" x14ac:dyDescent="0.25">
      <c r="A5943" s="1" t="str">
        <f t="shared" si="225"/>
        <v>16700</v>
      </c>
      <c r="B5943" s="1" t="str">
        <f>"29412"</f>
        <v>29412</v>
      </c>
      <c r="C5943" s="2">
        <v>4.9586407554889099E-2</v>
      </c>
      <c r="D5943" s="2">
        <v>3.1231834275749E-2</v>
      </c>
      <c r="E5943" s="2">
        <v>4.5080930703085401E-2</v>
      </c>
      <c r="F5943" s="2">
        <v>4.79085336733307E-2</v>
      </c>
    </row>
    <row r="5944" spans="1:6" x14ac:dyDescent="0.25">
      <c r="A5944" s="1" t="str">
        <f t="shared" si="225"/>
        <v>16700</v>
      </c>
      <c r="B5944" s="1" t="str">
        <f>"29413"</f>
        <v>29413</v>
      </c>
      <c r="C5944" s="2">
        <v>3.0436034676226101E-3</v>
      </c>
      <c r="D5944" s="2">
        <v>1.6831369233208202E-2</v>
      </c>
      <c r="E5944" s="2">
        <v>1.2645422357106701E-4</v>
      </c>
      <c r="F5944" s="2">
        <v>4.0856653390992604E-3</v>
      </c>
    </row>
    <row r="5945" spans="1:6" x14ac:dyDescent="0.25">
      <c r="A5945" s="1" t="str">
        <f t="shared" si="225"/>
        <v>16700</v>
      </c>
      <c r="B5945" s="1" t="str">
        <f>"29457"</f>
        <v>29457</v>
      </c>
      <c r="C5945" s="2">
        <v>2.7407326494741902E-3</v>
      </c>
      <c r="D5945" s="2">
        <v>7.7154785182053497E-3</v>
      </c>
      <c r="E5945" s="2">
        <v>1.2645422357106701E-4</v>
      </c>
      <c r="F5945" s="2">
        <v>3.0626059753677002E-3</v>
      </c>
    </row>
    <row r="5946" spans="1:6" x14ac:dyDescent="0.25">
      <c r="A5946" s="1" t="str">
        <f t="shared" si="225"/>
        <v>16700</v>
      </c>
      <c r="B5946" s="1" t="str">
        <f>"29415"</f>
        <v>29415</v>
      </c>
      <c r="C5946" s="2">
        <v>5.1612166469717797E-3</v>
      </c>
      <c r="D5946" s="2">
        <v>8.1910902076837693E-3</v>
      </c>
      <c r="E5946" s="2">
        <v>1.2645422357106701E-4</v>
      </c>
      <c r="F5946" s="2">
        <v>5.2379763140945499E-3</v>
      </c>
    </row>
    <row r="5947" spans="1:6" x14ac:dyDescent="0.25">
      <c r="A5947" s="1" t="str">
        <f t="shared" si="225"/>
        <v>16700</v>
      </c>
      <c r="B5947" s="1" t="str">
        <f>"29424"</f>
        <v>29424</v>
      </c>
      <c r="C5947" s="2">
        <v>1.25765865962285E-2</v>
      </c>
      <c r="D5947" s="2">
        <v>1.6117951698990599E-3</v>
      </c>
      <c r="E5947" s="2">
        <v>3.1613555892766798E-4</v>
      </c>
      <c r="F5947" s="2">
        <v>1.1242699474668799E-2</v>
      </c>
    </row>
    <row r="5948" spans="1:6" x14ac:dyDescent="0.25">
      <c r="A5948" s="1" t="str">
        <f t="shared" si="225"/>
        <v>16700</v>
      </c>
      <c r="B5948" s="1" t="str">
        <f>"29492"</f>
        <v>29492</v>
      </c>
      <c r="C5948" s="2">
        <v>2.4587152319196E-2</v>
      </c>
      <c r="D5948" s="2">
        <v>2.24065951487607E-2</v>
      </c>
      <c r="E5948" s="2">
        <v>2.2761760242792101E-2</v>
      </c>
      <c r="F5948" s="2">
        <v>2.4343117023094399E-2</v>
      </c>
    </row>
    <row r="5949" spans="1:6" x14ac:dyDescent="0.25">
      <c r="A5949" s="1" t="str">
        <f t="shared" si="225"/>
        <v>16700</v>
      </c>
      <c r="B5949" s="1" t="str">
        <f>"29451"</f>
        <v>29451</v>
      </c>
      <c r="C5949" s="2">
        <v>1.25741040485387E-2</v>
      </c>
      <c r="D5949" s="2">
        <v>7.9797072345822503E-3</v>
      </c>
      <c r="E5949" s="2">
        <v>7.1446636317652997E-3</v>
      </c>
      <c r="F5949" s="2">
        <v>1.20050649105973E-2</v>
      </c>
    </row>
    <row r="5950" spans="1:6" x14ac:dyDescent="0.25">
      <c r="A5950" s="1" t="str">
        <f t="shared" si="225"/>
        <v>16700</v>
      </c>
      <c r="B5950" s="1" t="str">
        <f>"29448"</f>
        <v>29448</v>
      </c>
      <c r="C5950" s="2">
        <v>2.9765746799996001E-3</v>
      </c>
      <c r="D5950" s="2">
        <v>1.4268350684352299E-3</v>
      </c>
      <c r="E5950" s="2">
        <v>6.3227111785533596E-4</v>
      </c>
      <c r="F5950" s="2">
        <v>2.7668607631540802E-3</v>
      </c>
    </row>
    <row r="5951" spans="1:6" x14ac:dyDescent="0.25">
      <c r="A5951" s="1" t="str">
        <f t="shared" si="225"/>
        <v>16700</v>
      </c>
      <c r="B5951" s="1" t="str">
        <f>"29425"</f>
        <v>29425</v>
      </c>
      <c r="C5951" s="2">
        <v>0</v>
      </c>
      <c r="D5951" s="2">
        <v>2.7638323733023301E-2</v>
      </c>
      <c r="E5951" s="2">
        <v>6.3227111785533598E-5</v>
      </c>
      <c r="F5951" s="2">
        <v>2.2936684236122898E-3</v>
      </c>
    </row>
    <row r="5952" spans="1:6" x14ac:dyDescent="0.25">
      <c r="A5952" s="1" t="str">
        <f t="shared" si="225"/>
        <v>16700</v>
      </c>
      <c r="B5952" s="1" t="str">
        <f>"29432"</f>
        <v>29432</v>
      </c>
      <c r="C5952" s="2">
        <v>2.0108636286903E-4</v>
      </c>
      <c r="D5952" s="2">
        <v>5.2845743275379097E-5</v>
      </c>
      <c r="E5952" s="2">
        <v>0</v>
      </c>
      <c r="F5952" s="2">
        <v>1.8182853787948399E-4</v>
      </c>
    </row>
    <row r="5953" spans="1:6" x14ac:dyDescent="0.25">
      <c r="A5953" s="1" t="str">
        <f t="shared" si="225"/>
        <v>16700</v>
      </c>
      <c r="B5953" s="1" t="str">
        <f>"29465"</f>
        <v>29465</v>
      </c>
      <c r="C5953" s="2">
        <v>2.6612911234024802E-3</v>
      </c>
      <c r="D5953" s="2">
        <v>2.63436030227765E-2</v>
      </c>
      <c r="E5953" s="2">
        <v>1.2645422357106701E-4</v>
      </c>
      <c r="F5953" s="2">
        <v>4.5369506258844897E-3</v>
      </c>
    </row>
    <row r="5954" spans="1:6" x14ac:dyDescent="0.25">
      <c r="A5954" s="1" t="str">
        <f t="shared" si="225"/>
        <v>16700</v>
      </c>
      <c r="B5954" s="1" t="str">
        <f>"29450"</f>
        <v>29450</v>
      </c>
      <c r="C5954" s="2">
        <v>4.0887560450036196E-3</v>
      </c>
      <c r="D5954" s="2">
        <v>2.1138297310151601E-3</v>
      </c>
      <c r="E5954" s="2">
        <v>3.7936267071320102E-4</v>
      </c>
      <c r="F5954" s="2">
        <v>3.7964922427126098E-3</v>
      </c>
    </row>
    <row r="5955" spans="1:6" x14ac:dyDescent="0.25">
      <c r="A5955" s="1" t="str">
        <f t="shared" si="225"/>
        <v>16700</v>
      </c>
      <c r="B5955" s="1" t="str">
        <f>"29483"</f>
        <v>29483</v>
      </c>
      <c r="C5955" s="2">
        <v>5.9457017169299797E-2</v>
      </c>
      <c r="D5955" s="2">
        <v>4.8168894995508103E-2</v>
      </c>
      <c r="E5955" s="2">
        <v>3.07283763277693E-2</v>
      </c>
      <c r="F5955" s="2">
        <v>5.7525729833462498E-2</v>
      </c>
    </row>
    <row r="5956" spans="1:6" x14ac:dyDescent="0.25">
      <c r="A5956" s="1" t="str">
        <f t="shared" si="225"/>
        <v>16700</v>
      </c>
      <c r="B5956" s="1" t="str">
        <f>"29471"</f>
        <v>29471</v>
      </c>
      <c r="C5956" s="2">
        <v>1.8668758626853199E-3</v>
      </c>
      <c r="D5956" s="2">
        <v>8.7195476404375598E-4</v>
      </c>
      <c r="E5956" s="2">
        <v>0</v>
      </c>
      <c r="F5956" s="2">
        <v>1.7197036413903E-3</v>
      </c>
    </row>
    <row r="5957" spans="1:6" x14ac:dyDescent="0.25">
      <c r="A5957" s="1" t="str">
        <f t="shared" si="225"/>
        <v>16700</v>
      </c>
      <c r="B5957" s="1" t="str">
        <f>"29472"</f>
        <v>29472</v>
      </c>
      <c r="C5957" s="2">
        <v>8.9272414923090605E-3</v>
      </c>
      <c r="D5957" s="2">
        <v>3.6463562860011602E-3</v>
      </c>
      <c r="E5957" s="2">
        <v>1.896813353566E-4</v>
      </c>
      <c r="F5957" s="2">
        <v>8.1866656151281299E-3</v>
      </c>
    </row>
    <row r="5958" spans="1:6" x14ac:dyDescent="0.25">
      <c r="A5958" s="1" t="str">
        <f t="shared" si="225"/>
        <v>16700</v>
      </c>
      <c r="B5958" s="1" t="str">
        <f>"29420"</f>
        <v>29420</v>
      </c>
      <c r="C5958" s="2">
        <v>2.3385599237361301E-2</v>
      </c>
      <c r="D5958" s="2">
        <v>9.8557311208582101E-3</v>
      </c>
      <c r="E5958" s="2">
        <v>1.9157814871016601E-2</v>
      </c>
      <c r="F5958" s="2">
        <v>2.21173604630274E-2</v>
      </c>
    </row>
    <row r="5959" spans="1:6" x14ac:dyDescent="0.25">
      <c r="A5959" s="1" t="str">
        <f t="shared" si="225"/>
        <v>16700</v>
      </c>
      <c r="B5959" s="1" t="str">
        <f>"29409"</f>
        <v>29409</v>
      </c>
      <c r="C5959" s="2">
        <v>0</v>
      </c>
      <c r="D5959" s="2">
        <v>1.8231781430005801E-3</v>
      </c>
      <c r="E5959" s="2">
        <v>0</v>
      </c>
      <c r="F5959" s="2">
        <v>1.51158664020294E-4</v>
      </c>
    </row>
    <row r="5960" spans="1:6" x14ac:dyDescent="0.25">
      <c r="A5960" s="1" t="str">
        <f t="shared" si="225"/>
        <v>16700</v>
      </c>
      <c r="B5960" s="1" t="str">
        <f>"29469"</f>
        <v>29469</v>
      </c>
      <c r="C5960" s="2">
        <v>8.7633933447861501E-4</v>
      </c>
      <c r="D5960" s="2">
        <v>2.37805844739206E-4</v>
      </c>
      <c r="E5960" s="2">
        <v>5.05816894284269E-4</v>
      </c>
      <c r="F5960" s="2">
        <v>8.1056095199288404E-4</v>
      </c>
    </row>
    <row r="5961" spans="1:6" x14ac:dyDescent="0.25">
      <c r="A5961" s="1" t="str">
        <f t="shared" si="225"/>
        <v>16700</v>
      </c>
      <c r="B5961" s="1" t="str">
        <f>"29416"</f>
        <v>29416</v>
      </c>
      <c r="C5961" s="2">
        <v>1.17424505724754E-3</v>
      </c>
      <c r="D5961" s="2">
        <v>7.7683242614807304E-3</v>
      </c>
      <c r="E5961" s="2">
        <v>1.2645422357106701E-4</v>
      </c>
      <c r="F5961" s="2">
        <v>1.6846523569797999E-3</v>
      </c>
    </row>
    <row r="5962" spans="1:6" x14ac:dyDescent="0.25">
      <c r="A5962" s="1" t="str">
        <f t="shared" si="225"/>
        <v>16700</v>
      </c>
      <c r="B5962" s="1" t="str">
        <f>"29484"</f>
        <v>29484</v>
      </c>
      <c r="C5962" s="2">
        <v>4.58774813064158E-3</v>
      </c>
      <c r="D5962" s="2">
        <v>1.5906568725889102E-2</v>
      </c>
      <c r="E5962" s="2">
        <v>1.2645422357106701E-4</v>
      </c>
      <c r="F5962" s="2">
        <v>5.3716093359095999E-3</v>
      </c>
    </row>
    <row r="5963" spans="1:6" x14ac:dyDescent="0.25">
      <c r="A5963" s="1" t="str">
        <f t="shared" si="225"/>
        <v>16700</v>
      </c>
      <c r="B5963" s="1" t="str">
        <f>"29406"</f>
        <v>29406</v>
      </c>
      <c r="C5963" s="2">
        <v>3.7268005918393597E-2</v>
      </c>
      <c r="D5963" s="2">
        <v>6.3335623315541906E-2</v>
      </c>
      <c r="E5963" s="2">
        <v>6.4744562468386405E-2</v>
      </c>
      <c r="F5963" s="2">
        <v>4.0381270346175203E-2</v>
      </c>
    </row>
    <row r="5964" spans="1:6" x14ac:dyDescent="0.25">
      <c r="A5964" s="1" t="str">
        <f t="shared" si="225"/>
        <v>16700</v>
      </c>
      <c r="B5964" s="1" t="str">
        <f>"29445"</f>
        <v>29445</v>
      </c>
      <c r="C5964" s="2">
        <v>6.4332740831951299E-2</v>
      </c>
      <c r="D5964" s="2">
        <v>3.7520477725519197E-2</v>
      </c>
      <c r="E5964" s="2">
        <v>1.39731917046029E-2</v>
      </c>
      <c r="F5964" s="2">
        <v>6.0364883870713301E-2</v>
      </c>
    </row>
    <row r="5965" spans="1:6" x14ac:dyDescent="0.25">
      <c r="A5965" s="1" t="str">
        <f t="shared" si="225"/>
        <v>16700</v>
      </c>
      <c r="B5965" s="1" t="str">
        <f>"29468"</f>
        <v>29468</v>
      </c>
      <c r="C5965" s="2">
        <v>2.6439132895742898E-3</v>
      </c>
      <c r="D5965" s="2">
        <v>5.8130317602917E-4</v>
      </c>
      <c r="E5965" s="2">
        <v>2.5290844714213401E-4</v>
      </c>
      <c r="F5965" s="2">
        <v>2.39005945574118E-3</v>
      </c>
    </row>
    <row r="5966" spans="1:6" x14ac:dyDescent="0.25">
      <c r="A5966" s="1" t="str">
        <f t="shared" si="225"/>
        <v>16700</v>
      </c>
      <c r="B5966" s="1" t="str">
        <f>"29458"</f>
        <v>29458</v>
      </c>
      <c r="C5966" s="2">
        <v>3.3911601441863602E-3</v>
      </c>
      <c r="D5966" s="2">
        <v>1.40041219679754E-3</v>
      </c>
      <c r="E5966" s="2">
        <v>6.3227111785533598E-5</v>
      </c>
      <c r="F5966" s="2">
        <v>3.11080149143215E-3</v>
      </c>
    </row>
    <row r="5967" spans="1:6" x14ac:dyDescent="0.25">
      <c r="A5967" s="1" t="str">
        <f t="shared" ref="A5967:A5997" si="226">"16700"</f>
        <v>16700</v>
      </c>
      <c r="B5967" s="1" t="str">
        <f>"29486"</f>
        <v>29486</v>
      </c>
      <c r="C5967" s="2">
        <v>4.2925732103313699E-2</v>
      </c>
      <c r="D5967" s="2">
        <v>1.65407176451936E-2</v>
      </c>
      <c r="E5967" s="2">
        <v>1.03692463328275E-2</v>
      </c>
      <c r="F5967" s="2">
        <v>3.9610142089144103E-2</v>
      </c>
    </row>
    <row r="5968" spans="1:6" x14ac:dyDescent="0.25">
      <c r="A5968" s="1" t="str">
        <f t="shared" si="226"/>
        <v>16700</v>
      </c>
      <c r="B5968" s="1" t="str">
        <f>"29418"</f>
        <v>29418</v>
      </c>
      <c r="C5968" s="2">
        <v>2.8554263527402299E-2</v>
      </c>
      <c r="D5968" s="2">
        <v>5.5408761824235001E-2</v>
      </c>
      <c r="E5968" s="2">
        <v>8.5862417804754607E-2</v>
      </c>
      <c r="F5968" s="2">
        <v>3.27663788079934E-2</v>
      </c>
    </row>
    <row r="5969" spans="1:6" x14ac:dyDescent="0.25">
      <c r="A5969" s="1" t="str">
        <f t="shared" si="226"/>
        <v>16700</v>
      </c>
      <c r="B5969" s="1" t="str">
        <f>"29437"</f>
        <v>29437</v>
      </c>
      <c r="C5969" s="2">
        <v>3.1900737813173301E-3</v>
      </c>
      <c r="D5969" s="2">
        <v>1.0304919938698899E-3</v>
      </c>
      <c r="E5969" s="2">
        <v>0</v>
      </c>
      <c r="F5969" s="2">
        <v>2.9004937849691301E-3</v>
      </c>
    </row>
    <row r="5970" spans="1:6" x14ac:dyDescent="0.25">
      <c r="A5970" s="1" t="str">
        <f t="shared" si="226"/>
        <v>16700</v>
      </c>
      <c r="B5970" s="1" t="str">
        <f>"29426"</f>
        <v>29426</v>
      </c>
      <c r="C5970" s="2">
        <v>2.05058439172616E-3</v>
      </c>
      <c r="D5970" s="2">
        <v>4.2276594620303299E-4</v>
      </c>
      <c r="E5970" s="2">
        <v>1.2645422357106701E-4</v>
      </c>
      <c r="F5970" s="2">
        <v>1.8489552526540301E-3</v>
      </c>
    </row>
    <row r="5971" spans="1:6" x14ac:dyDescent="0.25">
      <c r="A5971" s="1" t="str">
        <f t="shared" si="226"/>
        <v>16700</v>
      </c>
      <c r="B5971" s="1" t="str">
        <f>"29436"</f>
        <v>29436</v>
      </c>
      <c r="C5971" s="2">
        <v>5.5484940865714004E-3</v>
      </c>
      <c r="D5971" s="2">
        <v>1.7174866564498199E-3</v>
      </c>
      <c r="E5971" s="2">
        <v>8.8517956499746997E-4</v>
      </c>
      <c r="F5971" s="2">
        <v>5.0692920078690097E-3</v>
      </c>
    </row>
    <row r="5972" spans="1:6" x14ac:dyDescent="0.25">
      <c r="A5972" s="1" t="str">
        <f t="shared" si="226"/>
        <v>16700</v>
      </c>
      <c r="B5972" s="1" t="str">
        <f>"29434"</f>
        <v>29434</v>
      </c>
      <c r="C5972" s="2">
        <v>7.9689780840689901E-4</v>
      </c>
      <c r="D5972" s="2">
        <v>7.9268614913068707E-5</v>
      </c>
      <c r="E5972" s="2">
        <v>0</v>
      </c>
      <c r="F5972" s="2">
        <v>7.0978850931268799E-4</v>
      </c>
    </row>
    <row r="5973" spans="1:6" x14ac:dyDescent="0.25">
      <c r="A5973" s="1" t="str">
        <f t="shared" si="226"/>
        <v>16700</v>
      </c>
      <c r="B5973" s="1" t="str">
        <f>"29447"</f>
        <v>29447</v>
      </c>
      <c r="C5973" s="2">
        <v>0</v>
      </c>
      <c r="D5973" s="2">
        <v>2.6422871637689501E-5</v>
      </c>
      <c r="E5973" s="2">
        <v>0</v>
      </c>
      <c r="F5973" s="2">
        <v>2.1907052756564402E-6</v>
      </c>
    </row>
    <row r="5974" spans="1:6" x14ac:dyDescent="0.25">
      <c r="A5974" s="1" t="str">
        <f t="shared" si="226"/>
        <v>16700</v>
      </c>
      <c r="B5974" s="1" t="str">
        <f>"29402"</f>
        <v>29402</v>
      </c>
      <c r="C5974" s="2">
        <v>2.0282414625184902E-3</v>
      </c>
      <c r="D5974" s="2">
        <v>8.8516619986260103E-3</v>
      </c>
      <c r="E5974" s="2">
        <v>1.2645422357106701E-4</v>
      </c>
      <c r="F5974" s="2">
        <v>2.5280738881075298E-3</v>
      </c>
    </row>
    <row r="5975" spans="1:6" x14ac:dyDescent="0.25">
      <c r="A5975" s="1" t="str">
        <f t="shared" si="226"/>
        <v>16700</v>
      </c>
      <c r="B5975" s="1" t="str">
        <f>"29466"</f>
        <v>29466</v>
      </c>
      <c r="C5975" s="2">
        <v>4.29828307001777E-2</v>
      </c>
      <c r="D5975" s="2">
        <v>1.6778523489932799E-2</v>
      </c>
      <c r="E5975" s="2">
        <v>9.2943854324734395E-3</v>
      </c>
      <c r="F5975" s="2">
        <v>3.9643002668278998E-2</v>
      </c>
    </row>
    <row r="5976" spans="1:6" x14ac:dyDescent="0.25">
      <c r="A5976" s="1" t="str">
        <f t="shared" si="226"/>
        <v>16700</v>
      </c>
      <c r="B5976" s="1" t="str">
        <f>"29456"</f>
        <v>29456</v>
      </c>
      <c r="C5976" s="2">
        <v>4.1128367575941099E-2</v>
      </c>
      <c r="D5976" s="2">
        <v>2.24065951487607E-2</v>
      </c>
      <c r="E5976" s="2">
        <v>2.1117855336368199E-2</v>
      </c>
      <c r="F5976" s="2">
        <v>3.8882827937626201E-2</v>
      </c>
    </row>
    <row r="5977" spans="1:6" x14ac:dyDescent="0.25">
      <c r="A5977" s="1" t="str">
        <f t="shared" si="226"/>
        <v>16700</v>
      </c>
      <c r="B5977" s="1" t="str">
        <f>"29429"</f>
        <v>29429</v>
      </c>
      <c r="C5977" s="2">
        <v>4.8657934718925903E-3</v>
      </c>
      <c r="D5977" s="2">
        <v>1.5853722982613701E-3</v>
      </c>
      <c r="E5977" s="2">
        <v>3.7936267071320102E-4</v>
      </c>
      <c r="F5977" s="2">
        <v>4.43836888847995E-3</v>
      </c>
    </row>
    <row r="5978" spans="1:6" x14ac:dyDescent="0.25">
      <c r="A5978" s="1" t="str">
        <f t="shared" si="226"/>
        <v>16700</v>
      </c>
      <c r="B5978" s="1" t="str">
        <f>"29438"</f>
        <v>29438</v>
      </c>
      <c r="C5978" s="2">
        <v>4.2476390971470501E-3</v>
      </c>
      <c r="D5978" s="2">
        <v>3.8577392591026701E-3</v>
      </c>
      <c r="E5978" s="2">
        <v>1.2645422357106701E-4</v>
      </c>
      <c r="F5978" s="2">
        <v>4.0725211074453304E-3</v>
      </c>
    </row>
    <row r="5979" spans="1:6" x14ac:dyDescent="0.25">
      <c r="A5979" s="1" t="str">
        <f t="shared" si="226"/>
        <v>16700</v>
      </c>
      <c r="B5979" s="1" t="str">
        <f>"29419"</f>
        <v>29419</v>
      </c>
      <c r="C5979" s="2">
        <v>4.9899208563796496E-3</v>
      </c>
      <c r="D5979" s="2">
        <v>1.1441103419119501E-2</v>
      </c>
      <c r="E5979" s="2">
        <v>1.2645422357106701E-4</v>
      </c>
      <c r="F5979" s="2">
        <v>5.3562743989800004E-3</v>
      </c>
    </row>
    <row r="5980" spans="1:6" x14ac:dyDescent="0.25">
      <c r="A5980" s="1" t="str">
        <f t="shared" si="226"/>
        <v>16700</v>
      </c>
      <c r="B5980" s="1" t="str">
        <f>"29417"</f>
        <v>29417</v>
      </c>
      <c r="C5980" s="2">
        <v>2.8673425816509901E-3</v>
      </c>
      <c r="D5980" s="2">
        <v>1.22602124398879E-2</v>
      </c>
      <c r="E5980" s="2">
        <v>1.2645422357106701E-4</v>
      </c>
      <c r="F5980" s="2">
        <v>3.5511332518390901E-3</v>
      </c>
    </row>
    <row r="5981" spans="1:6" x14ac:dyDescent="0.25">
      <c r="A5981" s="1" t="str">
        <f t="shared" si="226"/>
        <v>16700</v>
      </c>
      <c r="B5981" s="1" t="str">
        <f>"29405"</f>
        <v>29405</v>
      </c>
      <c r="C5981" s="2">
        <v>3.3909118894173897E-2</v>
      </c>
      <c r="D5981" s="2">
        <v>6.3177086085715706E-2</v>
      </c>
      <c r="E5981" s="2">
        <v>6.63884673748103E-2</v>
      </c>
      <c r="F5981" s="2">
        <v>3.7461060213725202E-2</v>
      </c>
    </row>
    <row r="5982" spans="1:6" x14ac:dyDescent="0.25">
      <c r="A5982" s="1" t="str">
        <f t="shared" si="226"/>
        <v>16700</v>
      </c>
      <c r="B5982" s="1" t="str">
        <f>"29407"</f>
        <v>29407</v>
      </c>
      <c r="C5982" s="2">
        <v>4.7223022154255501E-2</v>
      </c>
      <c r="D5982" s="2">
        <v>7.2504359773820207E-2</v>
      </c>
      <c r="E5982" s="2">
        <v>6.5060698027314096E-2</v>
      </c>
      <c r="F5982" s="2">
        <v>4.99371267585886E-2</v>
      </c>
    </row>
    <row r="5983" spans="1:6" x14ac:dyDescent="0.25">
      <c r="A5983" s="1" t="str">
        <f t="shared" si="226"/>
        <v>16700</v>
      </c>
      <c r="B5983" s="1" t="str">
        <f>"29461"</f>
        <v>29461</v>
      </c>
      <c r="C5983" s="2">
        <v>4.8419610140710799E-2</v>
      </c>
      <c r="D5983" s="2">
        <v>4.2355863235216402E-2</v>
      </c>
      <c r="E5983" s="2">
        <v>2.52908447142134E-2</v>
      </c>
      <c r="F5983" s="2">
        <v>4.7115498363543097E-2</v>
      </c>
    </row>
    <row r="5984" spans="1:6" x14ac:dyDescent="0.25">
      <c r="A5984" s="1" t="str">
        <f t="shared" si="226"/>
        <v>16700</v>
      </c>
      <c r="B5984" s="1" t="str">
        <f>"29455"</f>
        <v>29455</v>
      </c>
      <c r="C5984" s="2">
        <v>4.4450016384814703E-2</v>
      </c>
      <c r="D5984" s="2">
        <v>2.2802938223326099E-2</v>
      </c>
      <c r="E5984" s="2">
        <v>1.12544258978249E-2</v>
      </c>
      <c r="F5984" s="2">
        <v>4.1505102152587001E-2</v>
      </c>
    </row>
    <row r="5985" spans="1:6" x14ac:dyDescent="0.25">
      <c r="A5985" s="1" t="str">
        <f t="shared" si="226"/>
        <v>16700</v>
      </c>
      <c r="B5985" s="1" t="str">
        <f>"29449"</f>
        <v>29449</v>
      </c>
      <c r="C5985" s="2">
        <v>9.8482666852030207E-3</v>
      </c>
      <c r="D5985" s="2">
        <v>4.3861966918564699E-3</v>
      </c>
      <c r="E5985" s="2">
        <v>1.01163378856853E-3</v>
      </c>
      <c r="F5985" s="2">
        <v>9.0892361886985799E-3</v>
      </c>
    </row>
    <row r="5986" spans="1:6" x14ac:dyDescent="0.25">
      <c r="A5986" s="1" t="str">
        <f t="shared" si="226"/>
        <v>16700</v>
      </c>
      <c r="B5986" s="1" t="str">
        <f>"29453"</f>
        <v>29453</v>
      </c>
      <c r="C5986" s="2">
        <v>1.3455408478396801E-3</v>
      </c>
      <c r="D5986" s="2">
        <v>3.1707445965227499E-4</v>
      </c>
      <c r="E5986" s="2">
        <v>0</v>
      </c>
      <c r="F5986" s="2">
        <v>1.2136507227136701E-3</v>
      </c>
    </row>
    <row r="5987" spans="1:6" x14ac:dyDescent="0.25">
      <c r="A5987" s="1" t="str">
        <f t="shared" si="226"/>
        <v>16700</v>
      </c>
      <c r="B5987" s="1" t="str">
        <f>"29485"</f>
        <v>29485</v>
      </c>
      <c r="C5987" s="2">
        <v>6.2234988034120101E-2</v>
      </c>
      <c r="D5987" s="2">
        <v>3.7811129313533698E-2</v>
      </c>
      <c r="E5987" s="2">
        <v>2.81360647445624E-2</v>
      </c>
      <c r="F5987" s="2">
        <v>5.9028553652562897E-2</v>
      </c>
    </row>
    <row r="5988" spans="1:6" x14ac:dyDescent="0.25">
      <c r="A5988" s="1" t="str">
        <f t="shared" si="226"/>
        <v>16700</v>
      </c>
      <c r="B5988" s="1" t="str">
        <f>"29477"</f>
        <v>29477</v>
      </c>
      <c r="C5988" s="2">
        <v>8.8651778000655296E-3</v>
      </c>
      <c r="D5988" s="2">
        <v>1.06484172699889E-2</v>
      </c>
      <c r="E5988" s="2">
        <v>2.3394031360647401E-3</v>
      </c>
      <c r="F5988" s="2">
        <v>8.7869188606579992E-3</v>
      </c>
    </row>
    <row r="5989" spans="1:6" x14ac:dyDescent="0.25">
      <c r="A5989" s="1" t="str">
        <f t="shared" si="226"/>
        <v>16700</v>
      </c>
      <c r="B5989" s="1" t="str">
        <f>"29487"</f>
        <v>29487</v>
      </c>
      <c r="C5989" s="2">
        <v>3.7263040823014202E-3</v>
      </c>
      <c r="D5989" s="2">
        <v>7.9268614913068699E-4</v>
      </c>
      <c r="E5989" s="2">
        <v>0</v>
      </c>
      <c r="F5989" s="2">
        <v>3.3539697770300098E-3</v>
      </c>
    </row>
    <row r="5990" spans="1:6" x14ac:dyDescent="0.25">
      <c r="A5990" s="1" t="str">
        <f t="shared" si="226"/>
        <v>16700</v>
      </c>
      <c r="B5990" s="1" t="str">
        <f>"29414"</f>
        <v>29414</v>
      </c>
      <c r="C5990" s="2">
        <v>5.4630944460442997E-2</v>
      </c>
      <c r="D5990" s="2">
        <v>1.61179516989906E-2</v>
      </c>
      <c r="E5990" s="2">
        <v>3.2751643904906397E-2</v>
      </c>
      <c r="F5990" s="2">
        <v>5.0679775847036097E-2</v>
      </c>
    </row>
    <row r="5991" spans="1:6" x14ac:dyDescent="0.25">
      <c r="A5991" s="1" t="str">
        <f t="shared" si="226"/>
        <v>16700</v>
      </c>
      <c r="B5991" s="1" t="str">
        <f>"29431"</f>
        <v>29431</v>
      </c>
      <c r="C5991" s="2">
        <v>7.2341439679056204E-3</v>
      </c>
      <c r="D5991" s="2">
        <v>1.7174866564498199E-3</v>
      </c>
      <c r="E5991" s="2">
        <v>8.2195245321193698E-4</v>
      </c>
      <c r="F5991" s="2">
        <v>6.5545901847640798E-3</v>
      </c>
    </row>
    <row r="5992" spans="1:6" x14ac:dyDescent="0.25">
      <c r="A5992" s="1" t="str">
        <f t="shared" si="226"/>
        <v>16700</v>
      </c>
      <c r="B5992" s="1" t="str">
        <f>"29422"</f>
        <v>29422</v>
      </c>
      <c r="C5992" s="2">
        <v>3.75361210688857E-3</v>
      </c>
      <c r="D5992" s="2">
        <v>9.7500396343074506E-3</v>
      </c>
      <c r="E5992" s="2">
        <v>1.2645422357106701E-4</v>
      </c>
      <c r="F5992" s="2">
        <v>4.1250980340610801E-3</v>
      </c>
    </row>
    <row r="5993" spans="1:6" x14ac:dyDescent="0.25">
      <c r="A5993" s="1" t="str">
        <f t="shared" si="226"/>
        <v>16700</v>
      </c>
      <c r="B5993" s="1" t="str">
        <f>"29059"</f>
        <v>29059</v>
      </c>
      <c r="C5993" s="2">
        <v>2.7308024587152299E-4</v>
      </c>
      <c r="D5993" s="2">
        <v>5.2845743275379097E-5</v>
      </c>
      <c r="E5993" s="2">
        <v>0</v>
      </c>
      <c r="F5993" s="2">
        <v>2.4535899087352097E-4</v>
      </c>
    </row>
    <row r="5994" spans="1:6" x14ac:dyDescent="0.25">
      <c r="A5994" s="1" t="str">
        <f t="shared" si="226"/>
        <v>16700</v>
      </c>
      <c r="B5994" s="1" t="str">
        <f>"29403"</f>
        <v>29403</v>
      </c>
      <c r="C5994" s="2">
        <v>3.4348529835258101E-2</v>
      </c>
      <c r="D5994" s="2">
        <v>4.1113988268244903E-2</v>
      </c>
      <c r="E5994" s="2">
        <v>0.21231664137582101</v>
      </c>
      <c r="F5994" s="2">
        <v>4.10757239185583E-2</v>
      </c>
    </row>
    <row r="5995" spans="1:6" x14ac:dyDescent="0.25">
      <c r="A5995" s="1" t="str">
        <f t="shared" si="226"/>
        <v>16700</v>
      </c>
      <c r="B5995" s="1" t="str">
        <f>"29404"</f>
        <v>29404</v>
      </c>
      <c r="C5995" s="2">
        <v>3.64438000853996E-3</v>
      </c>
      <c r="D5995" s="2">
        <v>2.9329387517835399E-3</v>
      </c>
      <c r="E5995" s="2">
        <v>3.4395548811330202E-2</v>
      </c>
      <c r="F5995" s="2">
        <v>4.6508673002186298E-3</v>
      </c>
    </row>
    <row r="5996" spans="1:6" x14ac:dyDescent="0.25">
      <c r="A5996" s="1" t="str">
        <f t="shared" si="226"/>
        <v>16700</v>
      </c>
      <c r="B5996" s="1" t="str">
        <f>"29423"</f>
        <v>29423</v>
      </c>
      <c r="C5996" s="2">
        <v>3.79085032223469E-3</v>
      </c>
      <c r="D5996" s="2">
        <v>9.6443481477566893E-3</v>
      </c>
      <c r="E5996" s="2">
        <v>1.2645422357106701E-4</v>
      </c>
      <c r="F5996" s="2">
        <v>4.1491957920933003E-3</v>
      </c>
    </row>
    <row r="5997" spans="1:6" x14ac:dyDescent="0.25">
      <c r="A5997" s="1" t="str">
        <f t="shared" si="226"/>
        <v>16700</v>
      </c>
      <c r="B5997" s="1" t="str">
        <f>"29018"</f>
        <v>29018</v>
      </c>
      <c r="C5997" s="2">
        <v>3.1280100890738099E-4</v>
      </c>
      <c r="D5997" s="2">
        <v>2.6422871637689501E-5</v>
      </c>
      <c r="E5997" s="2">
        <v>0</v>
      </c>
      <c r="F5997" s="2">
        <v>2.7821957000836799E-4</v>
      </c>
    </row>
    <row r="5998" spans="1:6" x14ac:dyDescent="0.25">
      <c r="A5998" s="1" t="str">
        <f t="shared" ref="A5998:A6029" si="227">"16740"</f>
        <v>16740</v>
      </c>
      <c r="B5998" s="1" t="str">
        <f>"28092"</f>
        <v>28092</v>
      </c>
      <c r="C5998" s="2">
        <v>1.4279050205819301E-2</v>
      </c>
      <c r="D5998" s="2">
        <v>1.2166912554869401E-2</v>
      </c>
      <c r="E5998" s="2">
        <v>3.2283909887830999E-3</v>
      </c>
      <c r="F5998" s="2">
        <v>1.3768211539204401E-2</v>
      </c>
    </row>
    <row r="5999" spans="1:6" x14ac:dyDescent="0.25">
      <c r="A5999" s="1" t="str">
        <f t="shared" si="227"/>
        <v>16740</v>
      </c>
      <c r="B5999" s="1" t="str">
        <f>"28098"</f>
        <v>28098</v>
      </c>
      <c r="C5999" s="2">
        <v>2.0085935008472902E-3</v>
      </c>
      <c r="D5999" s="2">
        <v>2.3131705007012299E-3</v>
      </c>
      <c r="E5999" s="2">
        <v>1.86162692053916E-3</v>
      </c>
      <c r="F5999" s="2">
        <v>2.0284241775333899E-3</v>
      </c>
    </row>
    <row r="6000" spans="1:6" x14ac:dyDescent="0.25">
      <c r="A6000" s="1" t="str">
        <f t="shared" si="227"/>
        <v>16740</v>
      </c>
      <c r="B6000" s="1" t="str">
        <f>"28088"</f>
        <v>28088</v>
      </c>
      <c r="C6000" s="2">
        <v>1.3232122083132801E-3</v>
      </c>
      <c r="D6000" s="2">
        <v>1.0928364570242E-3</v>
      </c>
      <c r="E6000" s="2">
        <v>8.7190121594872202E-4</v>
      </c>
      <c r="F6000" s="2">
        <v>1.29081538570307E-3</v>
      </c>
    </row>
    <row r="6001" spans="1:6" x14ac:dyDescent="0.25">
      <c r="A6001" s="1" t="str">
        <f t="shared" si="227"/>
        <v>16740</v>
      </c>
      <c r="B6001" s="1" t="str">
        <f>"28075"</f>
        <v>28075</v>
      </c>
      <c r="C6001" s="2">
        <v>6.5619519921558201E-3</v>
      </c>
      <c r="D6001" s="2">
        <v>8.4694825419375907E-3</v>
      </c>
      <c r="E6001" s="2">
        <v>1.15467998868884E-3</v>
      </c>
      <c r="F6001" s="2">
        <v>6.5473713211579203E-3</v>
      </c>
    </row>
    <row r="6002" spans="1:6" x14ac:dyDescent="0.25">
      <c r="A6002" s="1" t="str">
        <f t="shared" si="227"/>
        <v>16740</v>
      </c>
      <c r="B6002" s="1" t="str">
        <f>"28079"</f>
        <v>28079</v>
      </c>
      <c r="C6002" s="2">
        <v>1.29689553428177E-2</v>
      </c>
      <c r="D6002" s="2">
        <v>1.5745951951623701E-2</v>
      </c>
      <c r="E6002" s="2">
        <v>7.0223395230464601E-3</v>
      </c>
      <c r="F6002" s="2">
        <v>1.30072791492134E-2</v>
      </c>
    </row>
    <row r="6003" spans="1:6" x14ac:dyDescent="0.25">
      <c r="A6003" s="1" t="str">
        <f t="shared" si="227"/>
        <v>16740</v>
      </c>
      <c r="B6003" s="1" t="str">
        <f>"28215"</f>
        <v>28215</v>
      </c>
      <c r="C6003" s="2">
        <v>2.05188074037576E-2</v>
      </c>
      <c r="D6003" s="2">
        <v>9.2344680618545397E-3</v>
      </c>
      <c r="E6003" s="2">
        <v>2.1161278160052699E-2</v>
      </c>
      <c r="F6003" s="2">
        <v>1.9635554201491101E-2</v>
      </c>
    </row>
    <row r="6004" spans="1:6" x14ac:dyDescent="0.25">
      <c r="A6004" s="1" t="str">
        <f t="shared" si="227"/>
        <v>16740</v>
      </c>
      <c r="B6004" s="1" t="str">
        <f>"28213"</f>
        <v>28213</v>
      </c>
      <c r="C6004" s="2">
        <v>1.56366954455757E-2</v>
      </c>
      <c r="D6004" s="2">
        <v>1.1420140975902901E-2</v>
      </c>
      <c r="E6004" s="2">
        <v>3.0728626637760301E-2</v>
      </c>
      <c r="F6004" s="2">
        <v>1.57660234941519E-2</v>
      </c>
    </row>
    <row r="6005" spans="1:6" x14ac:dyDescent="0.25">
      <c r="A6005" s="1" t="str">
        <f t="shared" si="227"/>
        <v>16740</v>
      </c>
      <c r="B6005" s="1" t="str">
        <f>"28297"</f>
        <v>28297</v>
      </c>
      <c r="C6005" s="2">
        <v>4.3943106794046998E-4</v>
      </c>
      <c r="D6005" s="2">
        <v>1.7030034788627199E-3</v>
      </c>
      <c r="E6005" s="2">
        <v>2.3564897728343801E-5</v>
      </c>
      <c r="F6005" s="2">
        <v>5.2769640838454105E-4</v>
      </c>
    </row>
    <row r="6006" spans="1:6" x14ac:dyDescent="0.25">
      <c r="A6006" s="1" t="str">
        <f t="shared" si="227"/>
        <v>16740</v>
      </c>
      <c r="B6006" s="1" t="str">
        <f>"28270"</f>
        <v>28270</v>
      </c>
      <c r="C6006" s="2">
        <v>1.1316169833549E-2</v>
      </c>
      <c r="D6006" s="2">
        <v>3.9979600386135499E-3</v>
      </c>
      <c r="E6006" s="2">
        <v>1.39268545574512E-2</v>
      </c>
      <c r="F6006" s="2">
        <v>1.08112166099004E-2</v>
      </c>
    </row>
    <row r="6007" spans="1:6" x14ac:dyDescent="0.25">
      <c r="A6007" s="1" t="str">
        <f t="shared" si="227"/>
        <v>16740</v>
      </c>
      <c r="B6007" s="1" t="str">
        <f>"28271"</f>
        <v>28271</v>
      </c>
      <c r="C6007" s="2">
        <v>7.1079614907535002E-4</v>
      </c>
      <c r="D6007" s="2">
        <v>5.4641822851210298E-3</v>
      </c>
      <c r="E6007" s="2">
        <v>4.7129795456687697E-5</v>
      </c>
      <c r="F6007" s="2">
        <v>1.070698928062E-3</v>
      </c>
    </row>
    <row r="6008" spans="1:6" x14ac:dyDescent="0.25">
      <c r="A6008" s="1" t="str">
        <f t="shared" si="227"/>
        <v>16740</v>
      </c>
      <c r="B6008" s="1" t="str">
        <f>"28262"</f>
        <v>28262</v>
      </c>
      <c r="C6008" s="2">
        <v>1.8179000933791E-2</v>
      </c>
      <c r="D6008" s="2">
        <v>1.7203067227656001E-2</v>
      </c>
      <c r="E6008" s="2">
        <v>4.2134037138278797E-2</v>
      </c>
      <c r="F6008" s="2">
        <v>1.88418230015867E-2</v>
      </c>
    </row>
    <row r="6009" spans="1:6" x14ac:dyDescent="0.25">
      <c r="A6009" s="1" t="str">
        <f t="shared" si="227"/>
        <v>16740</v>
      </c>
      <c r="B6009" s="1" t="str">
        <f>"29714"</f>
        <v>29714</v>
      </c>
      <c r="C6009" s="2">
        <v>1.07480248147379E-3</v>
      </c>
      <c r="D6009" s="2">
        <v>3.8249275995847198E-4</v>
      </c>
      <c r="E6009" s="2">
        <v>2.59213875011782E-4</v>
      </c>
      <c r="F6009" s="2">
        <v>9.94168371597396E-4</v>
      </c>
    </row>
    <row r="6010" spans="1:6" x14ac:dyDescent="0.25">
      <c r="A6010" s="1" t="str">
        <f t="shared" si="227"/>
        <v>16740</v>
      </c>
      <c r="B6010" s="1" t="str">
        <f>"29716"</f>
        <v>29716</v>
      </c>
      <c r="C6010" s="2">
        <v>7.6654486664988703E-4</v>
      </c>
      <c r="D6010" s="2">
        <v>3.9433182157623398E-3</v>
      </c>
      <c r="E6010" s="2">
        <v>2.3564897728343801E-5</v>
      </c>
      <c r="F6010" s="2">
        <v>9.9781268380999696E-4</v>
      </c>
    </row>
    <row r="6011" spans="1:6" x14ac:dyDescent="0.25">
      <c r="A6011" s="1" t="str">
        <f t="shared" si="227"/>
        <v>16740</v>
      </c>
      <c r="B6011" s="1" t="str">
        <f>"29732"</f>
        <v>29732</v>
      </c>
      <c r="C6011" s="2">
        <v>2.3176709497531801E-2</v>
      </c>
      <c r="D6011" s="2">
        <v>2.27856401289547E-2</v>
      </c>
      <c r="E6011" s="2">
        <v>2.17739655009897E-2</v>
      </c>
      <c r="F6011" s="2">
        <v>2.3102023978116601E-2</v>
      </c>
    </row>
    <row r="6012" spans="1:6" x14ac:dyDescent="0.25">
      <c r="A6012" s="1" t="str">
        <f t="shared" si="227"/>
        <v>16740</v>
      </c>
      <c r="B6012" s="1" t="str">
        <f>"28231"</f>
        <v>28231</v>
      </c>
      <c r="C6012" s="2">
        <v>1.2871395087062201E-4</v>
      </c>
      <c r="D6012" s="2">
        <v>2.0035335045443699E-3</v>
      </c>
      <c r="E6012" s="2">
        <v>2.3564897728343801E-5</v>
      </c>
      <c r="F6012" s="2">
        <v>2.7551000327259202E-4</v>
      </c>
    </row>
    <row r="6013" spans="1:6" x14ac:dyDescent="0.25">
      <c r="A6013" s="1" t="str">
        <f t="shared" si="227"/>
        <v>16740</v>
      </c>
      <c r="B6013" s="1" t="str">
        <f>"28090"</f>
        <v>28090</v>
      </c>
      <c r="C6013" s="2">
        <v>1.1887594188688E-4</v>
      </c>
      <c r="D6013" s="2">
        <v>1.00176675227218E-4</v>
      </c>
      <c r="E6013" s="2">
        <v>0</v>
      </c>
      <c r="F6013" s="2">
        <v>1.13702541033133E-4</v>
      </c>
    </row>
    <row r="6014" spans="1:6" x14ac:dyDescent="0.25">
      <c r="A6014" s="1" t="str">
        <f t="shared" si="227"/>
        <v>16740</v>
      </c>
      <c r="B6014" s="1" t="str">
        <f>"29031"</f>
        <v>29031</v>
      </c>
      <c r="C6014" s="2">
        <v>1.6560648455965401E-4</v>
      </c>
      <c r="D6014" s="2">
        <v>1.36604557128025E-4</v>
      </c>
      <c r="E6014" s="2">
        <v>2.3564897728343801E-5</v>
      </c>
      <c r="F6014" s="2">
        <v>1.5889201246937801E-4</v>
      </c>
    </row>
    <row r="6015" spans="1:6" x14ac:dyDescent="0.25">
      <c r="A6015" s="1" t="str">
        <f t="shared" si="227"/>
        <v>16740</v>
      </c>
      <c r="B6015" s="1" t="str">
        <f>"29721"</f>
        <v>29721</v>
      </c>
      <c r="C6015" s="2">
        <v>1.6011359621039801E-3</v>
      </c>
      <c r="D6015" s="2">
        <v>4.1072436843159702E-3</v>
      </c>
      <c r="E6015" s="2">
        <v>2.3564897728343801E-5</v>
      </c>
      <c r="F6015" s="2">
        <v>1.7529141742608E-3</v>
      </c>
    </row>
    <row r="6016" spans="1:6" x14ac:dyDescent="0.25">
      <c r="A6016" s="1" t="str">
        <f t="shared" si="227"/>
        <v>16740</v>
      </c>
      <c r="B6016" s="1" t="str">
        <f>"28650"</f>
        <v>28650</v>
      </c>
      <c r="C6016" s="2">
        <v>1.11333468332678E-3</v>
      </c>
      <c r="D6016" s="2">
        <v>3.3695790758246299E-4</v>
      </c>
      <c r="E6016" s="2">
        <v>7.0694693185031495E-5</v>
      </c>
      <c r="F6016" s="2">
        <v>1.01894969464307E-3</v>
      </c>
    </row>
    <row r="6017" spans="1:6" x14ac:dyDescent="0.25">
      <c r="A6017" s="1" t="str">
        <f t="shared" si="227"/>
        <v>16740</v>
      </c>
      <c r="B6017" s="1" t="str">
        <f>"28032"</f>
        <v>28032</v>
      </c>
      <c r="C6017" s="2">
        <v>1.3535460693464799E-3</v>
      </c>
      <c r="D6017" s="2">
        <v>9.9265978179698708E-4</v>
      </c>
      <c r="E6017" s="2">
        <v>1.86162692053916E-3</v>
      </c>
      <c r="F6017" s="2">
        <v>1.3403780317944301E-3</v>
      </c>
    </row>
    <row r="6018" spans="1:6" x14ac:dyDescent="0.25">
      <c r="A6018" s="1" t="str">
        <f t="shared" si="227"/>
        <v>16740</v>
      </c>
      <c r="B6018" s="1" t="str">
        <f>"28034"</f>
        <v>28034</v>
      </c>
      <c r="C6018" s="2">
        <v>7.6580701597610597E-3</v>
      </c>
      <c r="D6018" s="2">
        <v>5.4915031965466297E-3</v>
      </c>
      <c r="E6018" s="2">
        <v>5.2785370911490196E-3</v>
      </c>
      <c r="F6018" s="2">
        <v>7.4110733155442303E-3</v>
      </c>
    </row>
    <row r="6019" spans="1:6" x14ac:dyDescent="0.25">
      <c r="A6019" s="1" t="str">
        <f t="shared" si="227"/>
        <v>16740</v>
      </c>
      <c r="B6019" s="1" t="str">
        <f>"28677"</f>
        <v>28677</v>
      </c>
      <c r="C6019" s="2">
        <v>1.36854903304669E-2</v>
      </c>
      <c r="D6019" s="2">
        <v>1.6857002349598301E-2</v>
      </c>
      <c r="E6019" s="2">
        <v>1.15703647846168E-2</v>
      </c>
      <c r="F6019" s="2">
        <v>1.38738965933698E-2</v>
      </c>
    </row>
    <row r="6020" spans="1:6" x14ac:dyDescent="0.25">
      <c r="A6020" s="1" t="str">
        <f t="shared" si="227"/>
        <v>16740</v>
      </c>
      <c r="B6020" s="1" t="str">
        <f>"28678"</f>
        <v>28678</v>
      </c>
      <c r="C6020" s="2">
        <v>9.0017782201238096E-4</v>
      </c>
      <c r="D6020" s="2">
        <v>1.0928364570242E-4</v>
      </c>
      <c r="E6020" s="2">
        <v>0</v>
      </c>
      <c r="F6020" s="2">
        <v>8.0903731119729501E-4</v>
      </c>
    </row>
    <row r="6021" spans="1:6" x14ac:dyDescent="0.25">
      <c r="A6021" s="1" t="str">
        <f t="shared" si="227"/>
        <v>16740</v>
      </c>
      <c r="B6021" s="1" t="str">
        <f>"28103"</f>
        <v>28103</v>
      </c>
      <c r="C6021" s="2">
        <v>3.7400830819858599E-3</v>
      </c>
      <c r="D6021" s="2">
        <v>2.3769192940276398E-3</v>
      </c>
      <c r="E6021" s="2">
        <v>7.7764162503534697E-4</v>
      </c>
      <c r="F6021" s="2">
        <v>3.5393560208775302E-3</v>
      </c>
    </row>
    <row r="6022" spans="1:6" x14ac:dyDescent="0.25">
      <c r="A6022" s="1" t="str">
        <f t="shared" si="227"/>
        <v>16740</v>
      </c>
      <c r="B6022" s="1" t="str">
        <f>"28124"</f>
        <v>28124</v>
      </c>
      <c r="C6022" s="2">
        <v>2.1602628060133099E-3</v>
      </c>
      <c r="D6022" s="2">
        <v>1.12015736844981E-3</v>
      </c>
      <c r="E6022" s="2">
        <v>7.0694693185031495E-5</v>
      </c>
      <c r="F6022" s="2">
        <v>2.0123892037979501E-3</v>
      </c>
    </row>
    <row r="6023" spans="1:6" x14ac:dyDescent="0.25">
      <c r="A6023" s="1" t="str">
        <f t="shared" si="227"/>
        <v>16740</v>
      </c>
      <c r="B6023" s="1" t="str">
        <f>"28207"</f>
        <v>28207</v>
      </c>
      <c r="C6023" s="2">
        <v>3.5785757678360999E-3</v>
      </c>
      <c r="D6023" s="2">
        <v>3.54261151485346E-3</v>
      </c>
      <c r="E6023" s="2">
        <v>8.9546611367706599E-3</v>
      </c>
      <c r="F6023" s="2">
        <v>3.7419797798981099E-3</v>
      </c>
    </row>
    <row r="6024" spans="1:6" x14ac:dyDescent="0.25">
      <c r="A6024" s="1" t="str">
        <f t="shared" si="227"/>
        <v>16740</v>
      </c>
      <c r="B6024" s="1" t="str">
        <f>"28205"</f>
        <v>28205</v>
      </c>
      <c r="C6024" s="2">
        <v>2.0802469996122099E-2</v>
      </c>
      <c r="D6024" s="2">
        <v>2.34686629145948E-2</v>
      </c>
      <c r="E6024" s="2">
        <v>5.0900179093222697E-2</v>
      </c>
      <c r="F6024" s="2">
        <v>2.19467770067222E-2</v>
      </c>
    </row>
    <row r="6025" spans="1:6" x14ac:dyDescent="0.25">
      <c r="A6025" s="1" t="str">
        <f t="shared" si="227"/>
        <v>16740</v>
      </c>
      <c r="B6025" s="1" t="str">
        <f>"28212"</f>
        <v>28212</v>
      </c>
      <c r="C6025" s="2">
        <v>1.3892088519125399E-2</v>
      </c>
      <c r="D6025" s="2">
        <v>9.8628490246434608E-3</v>
      </c>
      <c r="E6025" s="2">
        <v>3.6337072297106199E-2</v>
      </c>
      <c r="F6025" s="2">
        <v>1.4263838000118E-2</v>
      </c>
    </row>
    <row r="6026" spans="1:6" x14ac:dyDescent="0.25">
      <c r="A6026" s="1" t="str">
        <f t="shared" si="227"/>
        <v>16740</v>
      </c>
      <c r="B6026" s="1" t="str">
        <f>"28164"</f>
        <v>28164</v>
      </c>
      <c r="C6026" s="2">
        <v>6.0323391751977203E-3</v>
      </c>
      <c r="D6026" s="2">
        <v>4.4168806804728298E-3</v>
      </c>
      <c r="E6026" s="2">
        <v>1.95588651145254E-3</v>
      </c>
      <c r="F6026" s="2">
        <v>5.7769637194141901E-3</v>
      </c>
    </row>
    <row r="6027" spans="1:6" x14ac:dyDescent="0.25">
      <c r="A6027" s="1" t="str">
        <f t="shared" si="227"/>
        <v>16740</v>
      </c>
      <c r="B6027" s="1" t="str">
        <f>"28174"</f>
        <v>28174</v>
      </c>
      <c r="C6027" s="2">
        <v>2.24552555053908E-3</v>
      </c>
      <c r="D6027" s="2">
        <v>7.4677157896653999E-4</v>
      </c>
      <c r="E6027" s="2">
        <v>3.7703836365350098E-4</v>
      </c>
      <c r="F6027" s="2">
        <v>2.0677827494294801E-3</v>
      </c>
    </row>
    <row r="6028" spans="1:6" x14ac:dyDescent="0.25">
      <c r="A6028" s="1" t="str">
        <f t="shared" si="227"/>
        <v>16740</v>
      </c>
      <c r="B6028" s="1" t="str">
        <f>"28234"</f>
        <v>28234</v>
      </c>
      <c r="C6028" s="2">
        <v>1.98399847838794E-4</v>
      </c>
      <c r="D6028" s="2">
        <v>1.5208640693586801E-3</v>
      </c>
      <c r="E6028" s="2">
        <v>2.3564897728343801E-5</v>
      </c>
      <c r="F6028" s="2">
        <v>2.9883360143323501E-4</v>
      </c>
    </row>
    <row r="6029" spans="1:6" x14ac:dyDescent="0.25">
      <c r="A6029" s="1" t="str">
        <f t="shared" si="227"/>
        <v>16740</v>
      </c>
      <c r="B6029" s="1" t="str">
        <f>"29731"</f>
        <v>29731</v>
      </c>
      <c r="C6029" s="2">
        <v>1.33796922178889E-3</v>
      </c>
      <c r="D6029" s="2">
        <v>5.2091871118153804E-3</v>
      </c>
      <c r="E6029" s="2">
        <v>2.3564897728343801E-5</v>
      </c>
      <c r="F6029" s="2">
        <v>1.60714168575678E-3</v>
      </c>
    </row>
    <row r="6030" spans="1:6" x14ac:dyDescent="0.25">
      <c r="A6030" s="1" t="str">
        <f t="shared" ref="A6030:A6061" si="228">"16740"</f>
        <v>16740</v>
      </c>
      <c r="B6030" s="1" t="str">
        <f>"29743"</f>
        <v>29743</v>
      </c>
      <c r="C6030" s="2">
        <v>4.6812526080971698E-4</v>
      </c>
      <c r="D6030" s="2">
        <v>1.00176675227218E-4</v>
      </c>
      <c r="E6030" s="2">
        <v>0</v>
      </c>
      <c r="F6030" s="2">
        <v>4.2419794154668899E-4</v>
      </c>
    </row>
    <row r="6031" spans="1:6" x14ac:dyDescent="0.25">
      <c r="A6031" s="1" t="str">
        <f t="shared" si="228"/>
        <v>16740</v>
      </c>
      <c r="B6031" s="1" t="str">
        <f>"28077"</f>
        <v>28077</v>
      </c>
      <c r="C6031" s="2">
        <v>0</v>
      </c>
      <c r="D6031" s="2">
        <v>0</v>
      </c>
      <c r="E6031" s="2">
        <v>2.3564897728343801E-5</v>
      </c>
      <c r="F6031" s="2">
        <v>7.2886244252008505E-7</v>
      </c>
    </row>
    <row r="6032" spans="1:6" x14ac:dyDescent="0.25">
      <c r="A6032" s="1" t="str">
        <f t="shared" si="228"/>
        <v>16740</v>
      </c>
      <c r="B6032" s="1" t="str">
        <f>"28228"</f>
        <v>28228</v>
      </c>
      <c r="C6032" s="2">
        <v>0</v>
      </c>
      <c r="D6032" s="2">
        <v>0</v>
      </c>
      <c r="E6032" s="2">
        <v>2.3564897728343801E-5</v>
      </c>
      <c r="F6032" s="2">
        <v>7.2886244252008505E-7</v>
      </c>
    </row>
    <row r="6033" spans="1:6" x14ac:dyDescent="0.25">
      <c r="A6033" s="1" t="str">
        <f t="shared" si="228"/>
        <v>16740</v>
      </c>
      <c r="B6033" s="1" t="str">
        <f>"28108"</f>
        <v>28108</v>
      </c>
      <c r="C6033" s="2">
        <v>0</v>
      </c>
      <c r="D6033" s="2">
        <v>9.1069704752017098E-6</v>
      </c>
      <c r="E6033" s="2">
        <v>0</v>
      </c>
      <c r="F6033" s="2">
        <v>7.2886244252008505E-7</v>
      </c>
    </row>
    <row r="6034" spans="1:6" x14ac:dyDescent="0.25">
      <c r="A6034" s="1" t="str">
        <f t="shared" si="228"/>
        <v>16740</v>
      </c>
      <c r="B6034" s="1" t="str">
        <f>"29703"</f>
        <v>29703</v>
      </c>
      <c r="C6034" s="2">
        <v>0</v>
      </c>
      <c r="D6034" s="2">
        <v>0</v>
      </c>
      <c r="E6034" s="2">
        <v>2.3564897728343801E-5</v>
      </c>
      <c r="F6034" s="2">
        <v>7.2886244252008505E-7</v>
      </c>
    </row>
    <row r="6035" spans="1:6" x14ac:dyDescent="0.25">
      <c r="A6035" s="1" t="str">
        <f t="shared" si="228"/>
        <v>16740</v>
      </c>
      <c r="B6035" s="1" t="str">
        <f>"28688"</f>
        <v>28688</v>
      </c>
      <c r="C6035" s="2">
        <v>0</v>
      </c>
      <c r="D6035" s="2">
        <v>0</v>
      </c>
      <c r="E6035" s="2">
        <v>2.3564897728343801E-5</v>
      </c>
      <c r="F6035" s="2">
        <v>7.2886244252008505E-7</v>
      </c>
    </row>
    <row r="6036" spans="1:6" x14ac:dyDescent="0.25">
      <c r="A6036" s="1" t="str">
        <f t="shared" si="228"/>
        <v>16740</v>
      </c>
      <c r="B6036" s="1" t="str">
        <f>"28102"</f>
        <v>28102</v>
      </c>
      <c r="C6036" s="2">
        <v>0</v>
      </c>
      <c r="D6036" s="2">
        <v>9.1069704752017098E-6</v>
      </c>
      <c r="E6036" s="2">
        <v>0</v>
      </c>
      <c r="F6036" s="2">
        <v>7.2886244252008505E-7</v>
      </c>
    </row>
    <row r="6037" spans="1:6" x14ac:dyDescent="0.25">
      <c r="A6037" s="1" t="str">
        <f t="shared" si="228"/>
        <v>16740</v>
      </c>
      <c r="B6037" s="1" t="str">
        <f>"27028"</f>
        <v>27028</v>
      </c>
      <c r="C6037" s="2">
        <v>1.2297511229677301E-5</v>
      </c>
      <c r="D6037" s="2">
        <v>0</v>
      </c>
      <c r="E6037" s="2">
        <v>0</v>
      </c>
      <c r="F6037" s="2">
        <v>1.09329366378012E-5</v>
      </c>
    </row>
    <row r="6038" spans="1:6" x14ac:dyDescent="0.25">
      <c r="A6038" s="1" t="str">
        <f t="shared" si="228"/>
        <v>16740</v>
      </c>
      <c r="B6038" s="1" t="str">
        <f>"28281"</f>
        <v>28281</v>
      </c>
      <c r="C6038" s="2">
        <v>0</v>
      </c>
      <c r="D6038" s="2">
        <v>5.2820428756169895E-4</v>
      </c>
      <c r="E6038" s="2">
        <v>7.0694693185031495E-5</v>
      </c>
      <c r="F6038" s="2">
        <v>4.4460608993725197E-5</v>
      </c>
    </row>
    <row r="6039" spans="1:6" x14ac:dyDescent="0.25">
      <c r="A6039" s="1" t="str">
        <f t="shared" si="228"/>
        <v>16740</v>
      </c>
      <c r="B6039" s="1" t="str">
        <f>"28235"</f>
        <v>28235</v>
      </c>
      <c r="C6039" s="2">
        <v>1.9266100926494399E-4</v>
      </c>
      <c r="D6039" s="2">
        <v>1.8578219769411501E-3</v>
      </c>
      <c r="E6039" s="2">
        <v>2.3564897728343801E-5</v>
      </c>
      <c r="F6039" s="2">
        <v>3.2069947470883699E-4</v>
      </c>
    </row>
    <row r="6040" spans="1:6" x14ac:dyDescent="0.25">
      <c r="A6040" s="1" t="str">
        <f t="shared" si="228"/>
        <v>16740</v>
      </c>
      <c r="B6040" s="1" t="str">
        <f>"28126"</f>
        <v>28126</v>
      </c>
      <c r="C6040" s="2">
        <v>3.93520359349674E-4</v>
      </c>
      <c r="D6040" s="2">
        <v>8.3784128371855796E-4</v>
      </c>
      <c r="E6040" s="2">
        <v>4.7129795456687697E-5</v>
      </c>
      <c r="F6040" s="2">
        <v>4.1836704200652901E-4</v>
      </c>
    </row>
    <row r="6041" spans="1:6" x14ac:dyDescent="0.25">
      <c r="A6041" s="1" t="str">
        <f t="shared" si="228"/>
        <v>16740</v>
      </c>
      <c r="B6041" s="1" t="str">
        <f>"28274"</f>
        <v>28274</v>
      </c>
      <c r="C6041" s="2">
        <v>0</v>
      </c>
      <c r="D6041" s="2">
        <v>9.1069704752017098E-6</v>
      </c>
      <c r="E6041" s="2">
        <v>0</v>
      </c>
      <c r="F6041" s="2">
        <v>7.2886244252008505E-7</v>
      </c>
    </row>
    <row r="6042" spans="1:6" x14ac:dyDescent="0.25">
      <c r="A6042" s="1" t="str">
        <f t="shared" si="228"/>
        <v>16740</v>
      </c>
      <c r="B6042" s="1" t="str">
        <f>"28278"</f>
        <v>28278</v>
      </c>
      <c r="C6042" s="2">
        <v>1.16555811434881E-2</v>
      </c>
      <c r="D6042" s="2">
        <v>6.3111305393147897E-3</v>
      </c>
      <c r="E6042" s="2">
        <v>4.6422848524837398E-3</v>
      </c>
      <c r="F6042" s="2">
        <v>1.10109249191509E-2</v>
      </c>
    </row>
    <row r="6043" spans="1:6" x14ac:dyDescent="0.25">
      <c r="A6043" s="1" t="str">
        <f t="shared" si="228"/>
        <v>16740</v>
      </c>
      <c r="B6043" s="1" t="str">
        <f>"29730"</f>
        <v>29730</v>
      </c>
      <c r="C6043" s="2">
        <v>2.20502574688934E-2</v>
      </c>
      <c r="D6043" s="2">
        <v>2.09460320929639E-2</v>
      </c>
      <c r="E6043" s="2">
        <v>2.5520784239796299E-2</v>
      </c>
      <c r="F6043" s="2">
        <v>2.20692258970656E-2</v>
      </c>
    </row>
    <row r="6044" spans="1:6" x14ac:dyDescent="0.25">
      <c r="A6044" s="1" t="str">
        <f t="shared" si="228"/>
        <v>16740</v>
      </c>
      <c r="B6044" s="1" t="str">
        <f>"29717"</f>
        <v>29717</v>
      </c>
      <c r="C6044" s="2">
        <v>5.7798302779483405E-4</v>
      </c>
      <c r="D6044" s="2">
        <v>2.7320911425605102E-4</v>
      </c>
      <c r="E6044" s="2">
        <v>0</v>
      </c>
      <c r="F6044" s="2">
        <v>5.3571389525226202E-4</v>
      </c>
    </row>
    <row r="6045" spans="1:6" x14ac:dyDescent="0.25">
      <c r="A6045" s="1" t="str">
        <f t="shared" si="228"/>
        <v>16740</v>
      </c>
      <c r="B6045" s="1" t="str">
        <f>"28230"</f>
        <v>28230</v>
      </c>
      <c r="C6045" s="2">
        <v>1.5002963700206301E-4</v>
      </c>
      <c r="D6045" s="2">
        <v>1.90335682931715E-3</v>
      </c>
      <c r="E6045" s="2">
        <v>2.3564897728343801E-5</v>
      </c>
      <c r="F6045" s="2">
        <v>2.8644293991039299E-4</v>
      </c>
    </row>
    <row r="6046" spans="1:6" x14ac:dyDescent="0.25">
      <c r="A6046" s="1" t="str">
        <f t="shared" si="228"/>
        <v>16740</v>
      </c>
      <c r="B6046" s="1" t="str">
        <f>"28247"</f>
        <v>28247</v>
      </c>
      <c r="C6046" s="2">
        <v>9.4854803284911103E-4</v>
      </c>
      <c r="D6046" s="2">
        <v>5.3640056098938097E-3</v>
      </c>
      <c r="E6046" s="2">
        <v>4.7129795456687697E-5</v>
      </c>
      <c r="F6046" s="2">
        <v>1.2740515495250999E-3</v>
      </c>
    </row>
    <row r="6047" spans="1:6" x14ac:dyDescent="0.25">
      <c r="A6047" s="1" t="str">
        <f t="shared" si="228"/>
        <v>16740</v>
      </c>
      <c r="B6047" s="1" t="str">
        <f>"29718"</f>
        <v>29718</v>
      </c>
      <c r="C6047" s="2">
        <v>3.6892533689031998E-5</v>
      </c>
      <c r="D6047" s="2">
        <v>1.8213940950403399E-5</v>
      </c>
      <c r="E6047" s="2">
        <v>0</v>
      </c>
      <c r="F6047" s="2">
        <v>3.4256534798443999E-5</v>
      </c>
    </row>
    <row r="6048" spans="1:6" x14ac:dyDescent="0.25">
      <c r="A6048" s="1" t="str">
        <f t="shared" si="228"/>
        <v>16740</v>
      </c>
      <c r="B6048" s="1" t="str">
        <f>"28673"</f>
        <v>28673</v>
      </c>
      <c r="C6048" s="2">
        <v>6.2307390230365096E-5</v>
      </c>
      <c r="D6048" s="2">
        <v>0</v>
      </c>
      <c r="E6048" s="2">
        <v>0</v>
      </c>
      <c r="F6048" s="2">
        <v>5.5393545631526502E-5</v>
      </c>
    </row>
    <row r="6049" spans="1:6" x14ac:dyDescent="0.25">
      <c r="A6049" s="1" t="str">
        <f t="shared" si="228"/>
        <v>16740</v>
      </c>
      <c r="B6049" s="1" t="str">
        <f>"28130"</f>
        <v>28130</v>
      </c>
      <c r="C6049" s="2">
        <v>4.1319637731715799E-4</v>
      </c>
      <c r="D6049" s="2">
        <v>1.91246379979236E-3</v>
      </c>
      <c r="E6049" s="2">
        <v>4.7129795456687697E-5</v>
      </c>
      <c r="F6049" s="2">
        <v>5.2186550884438096E-4</v>
      </c>
    </row>
    <row r="6050" spans="1:6" x14ac:dyDescent="0.25">
      <c r="A6050" s="1" t="str">
        <f t="shared" si="228"/>
        <v>16740</v>
      </c>
      <c r="B6050" s="1" t="str">
        <f>"28026"</f>
        <v>28026</v>
      </c>
      <c r="C6050" s="2">
        <v>7.1981432397711298E-4</v>
      </c>
      <c r="D6050" s="2">
        <v>4.2256343004935899E-3</v>
      </c>
      <c r="E6050" s="2">
        <v>2.3564897728343801E-5</v>
      </c>
      <c r="F6050" s="2">
        <v>9.7886226030447399E-4</v>
      </c>
    </row>
    <row r="6051" spans="1:6" x14ac:dyDescent="0.25">
      <c r="A6051" s="1" t="str">
        <f t="shared" si="228"/>
        <v>16740</v>
      </c>
      <c r="B6051" s="1" t="str">
        <f>"28101"</f>
        <v>28101</v>
      </c>
      <c r="C6051" s="2">
        <v>6.9603913559973703E-4</v>
      </c>
      <c r="D6051" s="2">
        <v>5.2820428756169895E-4</v>
      </c>
      <c r="E6051" s="2">
        <v>2.3564897728343801E-5</v>
      </c>
      <c r="F6051" s="2">
        <v>6.6180709780823703E-4</v>
      </c>
    </row>
    <row r="6052" spans="1:6" x14ac:dyDescent="0.25">
      <c r="A6052" s="1" t="str">
        <f t="shared" si="228"/>
        <v>16740</v>
      </c>
      <c r="B6052" s="1" t="str">
        <f>"28055"</f>
        <v>28055</v>
      </c>
      <c r="C6052" s="2">
        <v>5.2551364654821104E-4</v>
      </c>
      <c r="D6052" s="2">
        <v>2.36781232355244E-3</v>
      </c>
      <c r="E6052" s="2">
        <v>2.3564897728343801E-5</v>
      </c>
      <c r="F6052" s="2">
        <v>6.5743392315311701E-4</v>
      </c>
    </row>
    <row r="6053" spans="1:6" x14ac:dyDescent="0.25">
      <c r="A6053" s="1" t="str">
        <f t="shared" si="228"/>
        <v>16740</v>
      </c>
      <c r="B6053" s="1" t="str">
        <f>"28037"</f>
        <v>28037</v>
      </c>
      <c r="C6053" s="2">
        <v>9.6264917905914196E-3</v>
      </c>
      <c r="D6053" s="2">
        <v>1.1565852503506099E-2</v>
      </c>
      <c r="E6053" s="2">
        <v>3.6525591478932902E-3</v>
      </c>
      <c r="F6053" s="2">
        <v>9.5969317806619599E-3</v>
      </c>
    </row>
    <row r="6054" spans="1:6" x14ac:dyDescent="0.25">
      <c r="A6054" s="1" t="str">
        <f t="shared" si="228"/>
        <v>16740</v>
      </c>
      <c r="B6054" s="1" t="str">
        <f>"28052"</f>
        <v>28052</v>
      </c>
      <c r="C6054" s="2">
        <v>1.32411402580345E-2</v>
      </c>
      <c r="D6054" s="2">
        <v>1.46440085241243E-2</v>
      </c>
      <c r="E6054" s="2">
        <v>1.2607220284663901E-2</v>
      </c>
      <c r="F6054" s="2">
        <v>1.33338095234624E-2</v>
      </c>
    </row>
    <row r="6055" spans="1:6" x14ac:dyDescent="0.25">
      <c r="A6055" s="1" t="str">
        <f t="shared" si="228"/>
        <v>16740</v>
      </c>
      <c r="B6055" s="1" t="str">
        <f>"28012"</f>
        <v>28012</v>
      </c>
      <c r="C6055" s="2">
        <v>1.0720970290032701E-2</v>
      </c>
      <c r="D6055" s="2">
        <v>9.3164307961313506E-3</v>
      </c>
      <c r="E6055" s="2">
        <v>6.5510415684795903E-3</v>
      </c>
      <c r="F6055" s="2">
        <v>1.04795841985537E-2</v>
      </c>
    </row>
    <row r="6056" spans="1:6" x14ac:dyDescent="0.25">
      <c r="A6056" s="1" t="str">
        <f t="shared" si="228"/>
        <v>16740</v>
      </c>
      <c r="B6056" s="1" t="str">
        <f>"28660"</f>
        <v>28660</v>
      </c>
      <c r="C6056" s="2">
        <v>8.4278943627388598E-4</v>
      </c>
      <c r="D6056" s="2">
        <v>1.45711527603227E-4</v>
      </c>
      <c r="E6056" s="2">
        <v>2.3564897728343801E-5</v>
      </c>
      <c r="F6056" s="2">
        <v>7.61661252433489E-4</v>
      </c>
    </row>
    <row r="6057" spans="1:6" x14ac:dyDescent="0.25">
      <c r="A6057" s="1" t="str">
        <f t="shared" si="228"/>
        <v>16740</v>
      </c>
      <c r="B6057" s="1" t="str">
        <f>"29715"</f>
        <v>29715</v>
      </c>
      <c r="C6057" s="2">
        <v>1.3939638895880201E-2</v>
      </c>
      <c r="D6057" s="2">
        <v>7.9048503724750904E-3</v>
      </c>
      <c r="E6057" s="2">
        <v>8.8839664435856301E-3</v>
      </c>
      <c r="F6057" s="2">
        <v>1.33002818511065E-2</v>
      </c>
    </row>
    <row r="6058" spans="1:6" x14ac:dyDescent="0.25">
      <c r="A6058" s="1" t="str">
        <f t="shared" si="228"/>
        <v>16740</v>
      </c>
      <c r="B6058" s="1" t="str">
        <f>"29708"</f>
        <v>29708</v>
      </c>
      <c r="C6058" s="2">
        <v>1.32108063970013E-2</v>
      </c>
      <c r="D6058" s="2">
        <v>8.9885798590240897E-3</v>
      </c>
      <c r="E6058" s="2">
        <v>9.6380431708926306E-3</v>
      </c>
      <c r="F6058" s="2">
        <v>1.27623813685266E-2</v>
      </c>
    </row>
    <row r="6059" spans="1:6" x14ac:dyDescent="0.25">
      <c r="A6059" s="1" t="str">
        <f t="shared" si="228"/>
        <v>16740</v>
      </c>
      <c r="B6059" s="1" t="str">
        <f>"27013"</f>
        <v>27013</v>
      </c>
      <c r="C6059" s="2">
        <v>2.3422659722125401E-3</v>
      </c>
      <c r="D6059" s="2">
        <v>1.01087372274739E-3</v>
      </c>
      <c r="E6059" s="2">
        <v>1.4138938637006299E-4</v>
      </c>
      <c r="F6059" s="2">
        <v>2.1676369040547301E-3</v>
      </c>
    </row>
    <row r="6060" spans="1:6" x14ac:dyDescent="0.25">
      <c r="A6060" s="1" t="str">
        <f t="shared" si="228"/>
        <v>16740</v>
      </c>
      <c r="B6060" s="1" t="str">
        <f>"28031"</f>
        <v>28031</v>
      </c>
      <c r="C6060" s="2">
        <v>1.2935342145456601E-2</v>
      </c>
      <c r="D6060" s="2">
        <v>1.88969637360435E-2</v>
      </c>
      <c r="E6060" s="2">
        <v>1.7932887171269601E-2</v>
      </c>
      <c r="F6060" s="2">
        <v>1.3567045505068801E-2</v>
      </c>
    </row>
    <row r="6061" spans="1:6" x14ac:dyDescent="0.25">
      <c r="A6061" s="1" t="str">
        <f t="shared" si="228"/>
        <v>16740</v>
      </c>
      <c r="B6061" s="1" t="str">
        <f>"28145"</f>
        <v>28145</v>
      </c>
      <c r="C6061" s="2">
        <v>1.56506326249693E-3</v>
      </c>
      <c r="D6061" s="2">
        <v>5.0634755842121496E-3</v>
      </c>
      <c r="E6061" s="2">
        <v>4.7129795456687697E-5</v>
      </c>
      <c r="F6061" s="2">
        <v>1.79810364569705E-3</v>
      </c>
    </row>
    <row r="6062" spans="1:6" x14ac:dyDescent="0.25">
      <c r="A6062" s="1" t="str">
        <f t="shared" ref="A6062:A6093" si="229">"16740"</f>
        <v>16740</v>
      </c>
      <c r="B6062" s="1" t="str">
        <f>"28135"</f>
        <v>28135</v>
      </c>
      <c r="C6062" s="2">
        <v>1.28713950870622E-3</v>
      </c>
      <c r="D6062" s="2">
        <v>5.8284611041290997E-4</v>
      </c>
      <c r="E6062" s="2">
        <v>4.0060326138184501E-4</v>
      </c>
      <c r="F6062" s="2">
        <v>1.2033518926006599E-3</v>
      </c>
    </row>
    <row r="6063" spans="1:6" x14ac:dyDescent="0.25">
      <c r="A6063" s="1" t="str">
        <f t="shared" si="229"/>
        <v>16740</v>
      </c>
      <c r="B6063" s="1" t="str">
        <f>"28106"</f>
        <v>28106</v>
      </c>
      <c r="C6063" s="2">
        <v>1.4543856614298301E-3</v>
      </c>
      <c r="D6063" s="2">
        <v>8.1052037229295305E-3</v>
      </c>
      <c r="E6063" s="2">
        <v>2.3564897728343801E-5</v>
      </c>
      <c r="F6063" s="2">
        <v>1.9424184093160201E-3</v>
      </c>
    </row>
    <row r="6064" spans="1:6" x14ac:dyDescent="0.25">
      <c r="A6064" s="1" t="str">
        <f t="shared" si="229"/>
        <v>16740</v>
      </c>
      <c r="B6064" s="1" t="str">
        <f>"28104"</f>
        <v>28104</v>
      </c>
      <c r="C6064" s="2">
        <v>1.0352864787224299E-2</v>
      </c>
      <c r="D6064" s="2">
        <v>5.7920332222282898E-3</v>
      </c>
      <c r="E6064" s="2">
        <v>2.7806579319445699E-3</v>
      </c>
      <c r="F6064" s="2">
        <v>9.7536372058037793E-3</v>
      </c>
    </row>
    <row r="6065" spans="1:6" x14ac:dyDescent="0.25">
      <c r="A6065" s="1" t="str">
        <f t="shared" si="229"/>
        <v>16740</v>
      </c>
      <c r="B6065" s="1" t="str">
        <f>"28112"</f>
        <v>28112</v>
      </c>
      <c r="C6065" s="2">
        <v>8.8779832737450499E-3</v>
      </c>
      <c r="D6065" s="2">
        <v>8.4785895124127996E-3</v>
      </c>
      <c r="E6065" s="2">
        <v>1.31963427278725E-2</v>
      </c>
      <c r="F6065" s="2">
        <v>8.9795852918474507E-3</v>
      </c>
    </row>
    <row r="6066" spans="1:6" x14ac:dyDescent="0.25">
      <c r="A6066" s="1" t="str">
        <f t="shared" si="229"/>
        <v>16740</v>
      </c>
      <c r="B6066" s="1" t="str">
        <f>"28125"</f>
        <v>28125</v>
      </c>
      <c r="C6066" s="2">
        <v>1.10103717209711E-3</v>
      </c>
      <c r="D6066" s="2">
        <v>2.1856729140484101E-4</v>
      </c>
      <c r="E6066" s="2">
        <v>4.7129795456687697E-5</v>
      </c>
      <c r="F6066" s="2">
        <v>9.9781268380999696E-4</v>
      </c>
    </row>
    <row r="6067" spans="1:6" x14ac:dyDescent="0.25">
      <c r="A6067" s="1" t="str">
        <f t="shared" si="229"/>
        <v>16740</v>
      </c>
      <c r="B6067" s="1" t="str">
        <f>"28111"</f>
        <v>28111</v>
      </c>
      <c r="C6067" s="2">
        <v>1.54866658085736E-3</v>
      </c>
      <c r="D6067" s="2">
        <v>6.0652423364843397E-3</v>
      </c>
      <c r="E6067" s="2">
        <v>4.7129795456687697E-5</v>
      </c>
      <c r="F6067" s="2">
        <v>1.86370126552385E-3</v>
      </c>
    </row>
    <row r="6068" spans="1:6" x14ac:dyDescent="0.25">
      <c r="A6068" s="1" t="str">
        <f t="shared" si="229"/>
        <v>16740</v>
      </c>
      <c r="B6068" s="1" t="str">
        <f>"28119"</f>
        <v>28119</v>
      </c>
      <c r="C6068" s="2">
        <v>6.8128212212412403E-4</v>
      </c>
      <c r="D6068" s="2">
        <v>9.1069704752017098E-6</v>
      </c>
      <c r="E6068" s="2">
        <v>2.3564897728343801E-5</v>
      </c>
      <c r="F6068" s="2">
        <v>6.0714241461923095E-4</v>
      </c>
    </row>
    <row r="6069" spans="1:6" x14ac:dyDescent="0.25">
      <c r="A6069" s="1" t="str">
        <f t="shared" si="229"/>
        <v>16740</v>
      </c>
      <c r="B6069" s="1" t="str">
        <f>"28080"</f>
        <v>28080</v>
      </c>
      <c r="C6069" s="2">
        <v>2.7743185334152E-3</v>
      </c>
      <c r="D6069" s="2">
        <v>5.9195308088811098E-4</v>
      </c>
      <c r="E6069" s="2">
        <v>2.1208407955509401E-4</v>
      </c>
      <c r="F6069" s="2">
        <v>2.5204063262344498E-3</v>
      </c>
    </row>
    <row r="6070" spans="1:6" x14ac:dyDescent="0.25">
      <c r="A6070" s="1" t="str">
        <f t="shared" si="229"/>
        <v>16740</v>
      </c>
      <c r="B6070" s="1" t="str">
        <f>"28071"</f>
        <v>28071</v>
      </c>
      <c r="C6070" s="2">
        <v>1.1387495398681199E-3</v>
      </c>
      <c r="D6070" s="2">
        <v>2.82316084731253E-4</v>
      </c>
      <c r="E6070" s="2">
        <v>9.4259590913375394E-5</v>
      </c>
      <c r="F6070" s="2">
        <v>1.0379001181486001E-3</v>
      </c>
    </row>
    <row r="6071" spans="1:6" x14ac:dyDescent="0.25">
      <c r="A6071" s="1" t="str">
        <f t="shared" si="229"/>
        <v>16740</v>
      </c>
      <c r="B6071" s="1" t="str">
        <f>"28227"</f>
        <v>28227</v>
      </c>
      <c r="C6071" s="2">
        <v>1.9791614573042699E-2</v>
      </c>
      <c r="D6071" s="2">
        <v>1.54454219259421E-2</v>
      </c>
      <c r="E6071" s="2">
        <v>1.4398152512018E-2</v>
      </c>
      <c r="F6071" s="2">
        <v>1.92769538797712E-2</v>
      </c>
    </row>
    <row r="6072" spans="1:6" x14ac:dyDescent="0.25">
      <c r="A6072" s="1" t="str">
        <f t="shared" si="229"/>
        <v>16740</v>
      </c>
      <c r="B6072" s="1" t="str">
        <f>"28256"</f>
        <v>28256</v>
      </c>
      <c r="C6072" s="2">
        <v>1.4478269887740101E-3</v>
      </c>
      <c r="D6072" s="2">
        <v>3.2602954301222098E-3</v>
      </c>
      <c r="E6072" s="2">
        <v>2.3564897728343801E-5</v>
      </c>
      <c r="F6072" s="2">
        <v>1.5488326903551799E-3</v>
      </c>
    </row>
    <row r="6073" spans="1:6" x14ac:dyDescent="0.25">
      <c r="A6073" s="1" t="str">
        <f t="shared" si="229"/>
        <v>16740</v>
      </c>
      <c r="B6073" s="1" t="str">
        <f>"28127"</f>
        <v>28127</v>
      </c>
      <c r="C6073" s="2">
        <v>1.63966816395697E-6</v>
      </c>
      <c r="D6073" s="2">
        <v>0</v>
      </c>
      <c r="E6073" s="2">
        <v>0</v>
      </c>
      <c r="F6073" s="2">
        <v>1.4577248850401701E-6</v>
      </c>
    </row>
    <row r="6074" spans="1:6" x14ac:dyDescent="0.25">
      <c r="A6074" s="1" t="str">
        <f t="shared" si="229"/>
        <v>16740</v>
      </c>
      <c r="B6074" s="1" t="str">
        <f>"28010"</f>
        <v>28010</v>
      </c>
      <c r="C6074" s="2">
        <v>0</v>
      </c>
      <c r="D6074" s="2">
        <v>0</v>
      </c>
      <c r="E6074" s="2">
        <v>2.3564897728343801E-5</v>
      </c>
      <c r="F6074" s="2">
        <v>7.2886244252008505E-7</v>
      </c>
    </row>
    <row r="6075" spans="1:6" x14ac:dyDescent="0.25">
      <c r="A6075" s="1" t="str">
        <f t="shared" si="229"/>
        <v>16740</v>
      </c>
      <c r="B6075" s="1" t="str">
        <f>"28288"</f>
        <v>28288</v>
      </c>
      <c r="C6075" s="2">
        <v>0</v>
      </c>
      <c r="D6075" s="2">
        <v>9.1069704752017098E-6</v>
      </c>
      <c r="E6075" s="2">
        <v>0</v>
      </c>
      <c r="F6075" s="2">
        <v>7.2886244252008505E-7</v>
      </c>
    </row>
    <row r="6076" spans="1:6" x14ac:dyDescent="0.25">
      <c r="A6076" s="1" t="str">
        <f t="shared" si="229"/>
        <v>16740</v>
      </c>
      <c r="B6076" s="1" t="str">
        <f>"29733"</f>
        <v>29733</v>
      </c>
      <c r="C6076" s="2">
        <v>0</v>
      </c>
      <c r="D6076" s="2">
        <v>9.1069704752017098E-6</v>
      </c>
      <c r="E6076" s="2">
        <v>0</v>
      </c>
      <c r="F6076" s="2">
        <v>7.2886244252008505E-7</v>
      </c>
    </row>
    <row r="6077" spans="1:6" x14ac:dyDescent="0.25">
      <c r="A6077" s="1" t="str">
        <f t="shared" si="229"/>
        <v>16740</v>
      </c>
      <c r="B6077" s="1" t="str">
        <f>"28636"</f>
        <v>28636</v>
      </c>
      <c r="C6077" s="2">
        <v>6.7226394722236094E-5</v>
      </c>
      <c r="D6077" s="2">
        <v>9.1069704752017098E-6</v>
      </c>
      <c r="E6077" s="2">
        <v>0</v>
      </c>
      <c r="F6077" s="2">
        <v>6.0495582729167101E-5</v>
      </c>
    </row>
    <row r="6078" spans="1:6" x14ac:dyDescent="0.25">
      <c r="A6078" s="1" t="str">
        <f t="shared" si="229"/>
        <v>16740</v>
      </c>
      <c r="B6078" s="1" t="str">
        <f>"28006"</f>
        <v>28006</v>
      </c>
      <c r="C6078" s="2">
        <v>3.6236666423449199E-4</v>
      </c>
      <c r="D6078" s="2">
        <v>0</v>
      </c>
      <c r="E6078" s="2">
        <v>0</v>
      </c>
      <c r="F6078" s="2">
        <v>3.2215719959387702E-4</v>
      </c>
    </row>
    <row r="6079" spans="1:6" x14ac:dyDescent="0.25">
      <c r="A6079" s="1" t="str">
        <f t="shared" si="229"/>
        <v>16740</v>
      </c>
      <c r="B6079" s="1" t="str">
        <f>"28284"</f>
        <v>28284</v>
      </c>
      <c r="C6079" s="2">
        <v>0</v>
      </c>
      <c r="D6079" s="2">
        <v>4.55348523760085E-4</v>
      </c>
      <c r="E6079" s="2">
        <v>7.0694693185031495E-5</v>
      </c>
      <c r="F6079" s="2">
        <v>3.8629709453564498E-5</v>
      </c>
    </row>
    <row r="6080" spans="1:6" x14ac:dyDescent="0.25">
      <c r="A6080" s="1" t="str">
        <f t="shared" si="229"/>
        <v>16740</v>
      </c>
      <c r="B6080" s="1" t="str">
        <f>"28280"</f>
        <v>28280</v>
      </c>
      <c r="C6080" s="2">
        <v>0</v>
      </c>
      <c r="D6080" s="2">
        <v>4.55348523760085E-4</v>
      </c>
      <c r="E6080" s="2">
        <v>7.0694693185031495E-5</v>
      </c>
      <c r="F6080" s="2">
        <v>3.8629709453564498E-5</v>
      </c>
    </row>
    <row r="6081" spans="1:6" x14ac:dyDescent="0.25">
      <c r="A6081" s="1" t="str">
        <f t="shared" si="229"/>
        <v>16740</v>
      </c>
      <c r="B6081" s="1" t="str">
        <f>"28224"</f>
        <v>28224</v>
      </c>
      <c r="C6081" s="2">
        <v>1.1190735219006301E-3</v>
      </c>
      <c r="D6081" s="2">
        <v>3.87046245196073E-3</v>
      </c>
      <c r="E6081" s="2">
        <v>2.3564897728343801E-5</v>
      </c>
      <c r="F6081" s="2">
        <v>1.3053926345534699E-3</v>
      </c>
    </row>
    <row r="6082" spans="1:6" x14ac:dyDescent="0.25">
      <c r="A6082" s="1" t="str">
        <f t="shared" si="229"/>
        <v>16740</v>
      </c>
      <c r="B6082" s="1" t="str">
        <f>"28036"</f>
        <v>28036</v>
      </c>
      <c r="C6082" s="2">
        <v>8.1401325999644093E-3</v>
      </c>
      <c r="D6082" s="2">
        <v>7.0761160592317301E-3</v>
      </c>
      <c r="E6082" s="2">
        <v>4.2416815911018903E-3</v>
      </c>
      <c r="F6082" s="2">
        <v>7.9343965492736507E-3</v>
      </c>
    </row>
    <row r="6083" spans="1:6" x14ac:dyDescent="0.25">
      <c r="A6083" s="1" t="str">
        <f t="shared" si="229"/>
        <v>16740</v>
      </c>
      <c r="B6083" s="1" t="str">
        <f>"28689"</f>
        <v>28689</v>
      </c>
      <c r="C6083" s="2">
        <v>5.7962269595879105E-4</v>
      </c>
      <c r="D6083" s="2">
        <v>2.1856729140484101E-4</v>
      </c>
      <c r="E6083" s="2">
        <v>2.3564897728343801E-5</v>
      </c>
      <c r="F6083" s="2">
        <v>5.3352730792470202E-4</v>
      </c>
    </row>
    <row r="6084" spans="1:6" x14ac:dyDescent="0.25">
      <c r="A6084" s="1" t="str">
        <f t="shared" si="229"/>
        <v>16740</v>
      </c>
      <c r="B6084" s="1" t="str">
        <f>"28023"</f>
        <v>28023</v>
      </c>
      <c r="C6084" s="2">
        <v>5.7060452105702798E-3</v>
      </c>
      <c r="D6084" s="2">
        <v>3.54261151485346E-3</v>
      </c>
      <c r="E6084" s="2">
        <v>1.6259779432557201E-3</v>
      </c>
      <c r="F6084" s="2">
        <v>5.4067015986139898E-3</v>
      </c>
    </row>
    <row r="6085" spans="1:6" x14ac:dyDescent="0.25">
      <c r="A6085" s="1" t="str">
        <f t="shared" si="229"/>
        <v>16740</v>
      </c>
      <c r="B6085" s="1" t="str">
        <f>"28138"</f>
        <v>28138</v>
      </c>
      <c r="C6085" s="2">
        <v>3.8540400193808702E-3</v>
      </c>
      <c r="D6085" s="2">
        <v>1.17479919130102E-3</v>
      </c>
      <c r="E6085" s="2">
        <v>6.3625223866528395E-4</v>
      </c>
      <c r="F6085" s="2">
        <v>3.5400848833200501E-3</v>
      </c>
    </row>
    <row r="6086" spans="1:6" x14ac:dyDescent="0.25">
      <c r="A6086" s="1" t="str">
        <f t="shared" si="229"/>
        <v>16740</v>
      </c>
      <c r="B6086" s="1" t="str">
        <f>"28105"</f>
        <v>28105</v>
      </c>
      <c r="C6086" s="2">
        <v>1.50783884357483E-2</v>
      </c>
      <c r="D6086" s="2">
        <v>1.7330564814308801E-2</v>
      </c>
      <c r="E6086" s="2">
        <v>1.8192101046281401E-2</v>
      </c>
      <c r="F6086" s="2">
        <v>1.5354945076570601E-2</v>
      </c>
    </row>
    <row r="6087" spans="1:6" x14ac:dyDescent="0.25">
      <c r="A6087" s="1" t="str">
        <f t="shared" si="229"/>
        <v>16740</v>
      </c>
      <c r="B6087" s="1" t="str">
        <f>"28110"</f>
        <v>28110</v>
      </c>
      <c r="C6087" s="2">
        <v>1.67000202499018E-2</v>
      </c>
      <c r="D6087" s="2">
        <v>2.1282990000546401E-2</v>
      </c>
      <c r="E6087" s="2">
        <v>1.9723819398623801E-2</v>
      </c>
      <c r="F6087" s="2">
        <v>1.7160337346692801E-2</v>
      </c>
    </row>
    <row r="6088" spans="1:6" x14ac:dyDescent="0.25">
      <c r="A6088" s="1" t="str">
        <f t="shared" si="229"/>
        <v>16740</v>
      </c>
      <c r="B6088" s="1" t="str">
        <f>"28236"</f>
        <v>28236</v>
      </c>
      <c r="C6088" s="2">
        <v>2.0577835457660001E-4</v>
      </c>
      <c r="D6088" s="2">
        <v>3.06904905014297E-3</v>
      </c>
      <c r="E6088" s="2">
        <v>2.3564897728343801E-5</v>
      </c>
      <c r="F6088" s="2">
        <v>4.2929997864432997E-4</v>
      </c>
    </row>
    <row r="6089" spans="1:6" x14ac:dyDescent="0.25">
      <c r="A6089" s="1" t="str">
        <f t="shared" si="229"/>
        <v>16740</v>
      </c>
      <c r="B6089" s="1" t="str">
        <f>"28299"</f>
        <v>28299</v>
      </c>
      <c r="C6089" s="2">
        <v>4.0581787057935198E-4</v>
      </c>
      <c r="D6089" s="2">
        <v>2.0126404750195701E-3</v>
      </c>
      <c r="E6089" s="2">
        <v>4.7129795456687697E-5</v>
      </c>
      <c r="F6089" s="2">
        <v>5.2332323372942103E-4</v>
      </c>
    </row>
    <row r="6090" spans="1:6" x14ac:dyDescent="0.25">
      <c r="A6090" s="1" t="str">
        <f t="shared" si="229"/>
        <v>16740</v>
      </c>
      <c r="B6090" s="1" t="str">
        <f>"27020"</f>
        <v>27020</v>
      </c>
      <c r="C6090" s="2">
        <v>2.1561636356034201E-4</v>
      </c>
      <c r="D6090" s="2">
        <v>7.2855763801613706E-5</v>
      </c>
      <c r="E6090" s="2">
        <v>0</v>
      </c>
      <c r="F6090" s="2">
        <v>1.9752172192294301E-4</v>
      </c>
    </row>
    <row r="6091" spans="1:6" x14ac:dyDescent="0.25">
      <c r="A6091" s="1" t="str">
        <f t="shared" si="229"/>
        <v>16740</v>
      </c>
      <c r="B6091" s="1" t="str">
        <f>"28033"</f>
        <v>28033</v>
      </c>
      <c r="C6091" s="2">
        <v>9.4198936019328401E-4</v>
      </c>
      <c r="D6091" s="2">
        <v>1.6392546855362999E-4</v>
      </c>
      <c r="E6091" s="2">
        <v>2.3564897728343801E-5</v>
      </c>
      <c r="F6091" s="2">
        <v>8.5131133286345999E-4</v>
      </c>
    </row>
    <row r="6092" spans="1:6" x14ac:dyDescent="0.25">
      <c r="A6092" s="1" t="str">
        <f t="shared" si="229"/>
        <v>16740</v>
      </c>
      <c r="B6092" s="1" t="str">
        <f>"28016"</f>
        <v>28016</v>
      </c>
      <c r="C6092" s="2">
        <v>6.6447552344356502E-3</v>
      </c>
      <c r="D6092" s="2">
        <v>4.3167040052456097E-3</v>
      </c>
      <c r="E6092" s="2">
        <v>9.6616080686209795E-4</v>
      </c>
      <c r="F6092" s="2">
        <v>6.2827942545231304E-3</v>
      </c>
    </row>
    <row r="6093" spans="1:6" x14ac:dyDescent="0.25">
      <c r="A6093" s="1" t="str">
        <f t="shared" si="229"/>
        <v>16740</v>
      </c>
      <c r="B6093" s="1" t="str">
        <f>"28134"</f>
        <v>28134</v>
      </c>
      <c r="C6093" s="2">
        <v>4.9780325457733799E-3</v>
      </c>
      <c r="D6093" s="2">
        <v>1.1848168588237401E-2</v>
      </c>
      <c r="E6093" s="2">
        <v>5.4670562729757701E-3</v>
      </c>
      <c r="F6093" s="2">
        <v>5.5429988753652503E-3</v>
      </c>
    </row>
    <row r="6094" spans="1:6" x14ac:dyDescent="0.25">
      <c r="A6094" s="1" t="str">
        <f t="shared" ref="A6094:A6125" si="230">"16740"</f>
        <v>16740</v>
      </c>
      <c r="B6094" s="1" t="str">
        <f>"28081"</f>
        <v>28081</v>
      </c>
      <c r="C6094" s="2">
        <v>1.03430267782406E-2</v>
      </c>
      <c r="D6094" s="2">
        <v>5.0907964956377599E-3</v>
      </c>
      <c r="E6094" s="2">
        <v>3.5582995569799201E-3</v>
      </c>
      <c r="F6094" s="2">
        <v>9.7128209090226597E-3</v>
      </c>
    </row>
    <row r="6095" spans="1:6" x14ac:dyDescent="0.25">
      <c r="A6095" s="1" t="str">
        <f t="shared" si="230"/>
        <v>16740</v>
      </c>
      <c r="B6095" s="1" t="str">
        <f>"28056"</f>
        <v>28056</v>
      </c>
      <c r="C6095" s="2">
        <v>1.18646388343926E-2</v>
      </c>
      <c r="D6095" s="2">
        <v>6.9030836202029003E-3</v>
      </c>
      <c r="E6095" s="2">
        <v>6.1740032048260901E-3</v>
      </c>
      <c r="F6095" s="2">
        <v>1.1291536959521099E-2</v>
      </c>
    </row>
    <row r="6096" spans="1:6" x14ac:dyDescent="0.25">
      <c r="A6096" s="1" t="str">
        <f t="shared" si="230"/>
        <v>16740</v>
      </c>
      <c r="B6096" s="1" t="str">
        <f>"28078"</f>
        <v>28078</v>
      </c>
      <c r="C6096" s="2">
        <v>2.3116861609547401E-2</v>
      </c>
      <c r="D6096" s="2">
        <v>1.32779629528441E-2</v>
      </c>
      <c r="E6096" s="2">
        <v>2.31407295692336E-2</v>
      </c>
      <c r="F6096" s="2">
        <v>2.23301586514878E-2</v>
      </c>
    </row>
    <row r="6097" spans="1:6" x14ac:dyDescent="0.25">
      <c r="A6097" s="1" t="str">
        <f t="shared" si="230"/>
        <v>16740</v>
      </c>
      <c r="B6097" s="1" t="str">
        <f>"28070"</f>
        <v>28070</v>
      </c>
      <c r="C6097" s="2">
        <v>1.35682540567439E-3</v>
      </c>
      <c r="D6097" s="2">
        <v>6.0197074841083298E-3</v>
      </c>
      <c r="E6097" s="2">
        <v>4.7129795456687697E-5</v>
      </c>
      <c r="F6097" s="2">
        <v>1.6895031417615499E-3</v>
      </c>
    </row>
    <row r="6098" spans="1:6" x14ac:dyDescent="0.25">
      <c r="A6098" s="1" t="str">
        <f t="shared" si="230"/>
        <v>16740</v>
      </c>
      <c r="B6098" s="1" t="str">
        <f>"28208"</f>
        <v>28208</v>
      </c>
      <c r="C6098" s="2">
        <v>1.4834077879318701E-2</v>
      </c>
      <c r="D6098" s="2">
        <v>2.1037101797715899E-2</v>
      </c>
      <c r="E6098" s="2">
        <v>4.1050051842775E-2</v>
      </c>
      <c r="F6098" s="2">
        <v>1.61413876520498E-2</v>
      </c>
    </row>
    <row r="6099" spans="1:6" x14ac:dyDescent="0.25">
      <c r="A6099" s="1" t="str">
        <f t="shared" si="230"/>
        <v>16740</v>
      </c>
      <c r="B6099" s="1" t="str">
        <f>"28166"</f>
        <v>28166</v>
      </c>
      <c r="C6099" s="2">
        <v>3.6990913778869399E-3</v>
      </c>
      <c r="D6099" s="2">
        <v>2.22210079594921E-3</v>
      </c>
      <c r="E6099" s="2">
        <v>4.0060326138184501E-4</v>
      </c>
      <c r="F6099" s="2">
        <v>3.4788604381483599E-3</v>
      </c>
    </row>
    <row r="6100" spans="1:6" x14ac:dyDescent="0.25">
      <c r="A6100" s="1" t="str">
        <f t="shared" si="230"/>
        <v>16740</v>
      </c>
      <c r="B6100" s="1" t="str">
        <f>"28273"</f>
        <v>28273</v>
      </c>
      <c r="C6100" s="2">
        <v>1.45225409281669E-2</v>
      </c>
      <c r="D6100" s="2">
        <v>2.06455020672822E-2</v>
      </c>
      <c r="E6100" s="2">
        <v>2.86077858422094E-2</v>
      </c>
      <c r="F6100" s="2">
        <v>1.54482394692132E-2</v>
      </c>
    </row>
    <row r="6101" spans="1:6" x14ac:dyDescent="0.25">
      <c r="A6101" s="1" t="str">
        <f t="shared" si="230"/>
        <v>16740</v>
      </c>
      <c r="B6101" s="1" t="str">
        <f>"28269"</f>
        <v>28269</v>
      </c>
      <c r="C6101" s="2">
        <v>2.7564461504280699E-2</v>
      </c>
      <c r="D6101" s="2">
        <v>1.9434274994080399E-2</v>
      </c>
      <c r="E6101" s="2">
        <v>2.6251296069374999E-2</v>
      </c>
      <c r="F6101" s="2">
        <v>2.6873158255715499E-2</v>
      </c>
    </row>
    <row r="6102" spans="1:6" x14ac:dyDescent="0.25">
      <c r="A6102" s="1" t="str">
        <f t="shared" si="230"/>
        <v>16740</v>
      </c>
      <c r="B6102" s="1" t="str">
        <f>"28237"</f>
        <v>28237</v>
      </c>
      <c r="C6102" s="2">
        <v>8.1983408197848899E-5</v>
      </c>
      <c r="D6102" s="2">
        <v>2.4588820283044598E-3</v>
      </c>
      <c r="E6102" s="2">
        <v>2.3564897728343801E-5</v>
      </c>
      <c r="F6102" s="2">
        <v>2.7040796617495099E-4</v>
      </c>
    </row>
    <row r="6103" spans="1:6" x14ac:dyDescent="0.25">
      <c r="A6103" s="1" t="str">
        <f t="shared" si="230"/>
        <v>16740</v>
      </c>
      <c r="B6103" s="1" t="str">
        <f>"29710"</f>
        <v>29710</v>
      </c>
      <c r="C6103" s="2">
        <v>1.6128595894762801E-2</v>
      </c>
      <c r="D6103" s="2">
        <v>1.0017667522721801E-2</v>
      </c>
      <c r="E6103" s="2">
        <v>8.4126684890187507E-3</v>
      </c>
      <c r="F6103" s="2">
        <v>1.5400863410449399E-2</v>
      </c>
    </row>
    <row r="6104" spans="1:6" x14ac:dyDescent="0.25">
      <c r="A6104" s="1" t="str">
        <f t="shared" si="230"/>
        <v>16740</v>
      </c>
      <c r="B6104" s="1" t="str">
        <f>"29726"</f>
        <v>29726</v>
      </c>
      <c r="C6104" s="2">
        <v>6.8374162437005899E-4</v>
      </c>
      <c r="D6104" s="2">
        <v>1.6392546855362999E-4</v>
      </c>
      <c r="E6104" s="2">
        <v>0</v>
      </c>
      <c r="F6104" s="2">
        <v>6.2099080102711202E-4</v>
      </c>
    </row>
    <row r="6105" spans="1:6" x14ac:dyDescent="0.25">
      <c r="A6105" s="1" t="str">
        <f t="shared" si="230"/>
        <v>16740</v>
      </c>
      <c r="B6105" s="1" t="str">
        <f>"29014"</f>
        <v>29014</v>
      </c>
      <c r="C6105" s="2">
        <v>4.8370210836730799E-4</v>
      </c>
      <c r="D6105" s="2">
        <v>1.45711527603227E-4</v>
      </c>
      <c r="E6105" s="2">
        <v>0</v>
      </c>
      <c r="F6105" s="2">
        <v>4.4169064016717102E-4</v>
      </c>
    </row>
    <row r="6106" spans="1:6" x14ac:dyDescent="0.25">
      <c r="A6106" s="1" t="str">
        <f t="shared" si="230"/>
        <v>16740</v>
      </c>
      <c r="B6106" s="1" t="str">
        <f>"29742"</f>
        <v>29742</v>
      </c>
      <c r="C6106" s="2">
        <v>1.1436685443599901E-3</v>
      </c>
      <c r="D6106" s="2">
        <v>3.7338578948326999E-4</v>
      </c>
      <c r="E6106" s="2">
        <v>1.8851918182675E-4</v>
      </c>
      <c r="F6106" s="2">
        <v>1.052477366999E-3</v>
      </c>
    </row>
    <row r="6107" spans="1:6" x14ac:dyDescent="0.25">
      <c r="A6107" s="1" t="str">
        <f t="shared" si="230"/>
        <v>16740</v>
      </c>
      <c r="B6107" s="1" t="str">
        <f>"29734"</f>
        <v>29734</v>
      </c>
      <c r="C6107" s="2">
        <v>0</v>
      </c>
      <c r="D6107" s="2">
        <v>9.1069704752017098E-6</v>
      </c>
      <c r="E6107" s="2">
        <v>2.3564897728343801E-5</v>
      </c>
      <c r="F6107" s="2">
        <v>1.4577248850401701E-6</v>
      </c>
    </row>
    <row r="6108" spans="1:6" x14ac:dyDescent="0.25">
      <c r="A6108" s="1" t="str">
        <f t="shared" si="230"/>
        <v>16740</v>
      </c>
      <c r="B6108" s="1" t="str">
        <f>"28699"</f>
        <v>28699</v>
      </c>
      <c r="C6108" s="2">
        <v>0</v>
      </c>
      <c r="D6108" s="2">
        <v>9.1069704752017098E-6</v>
      </c>
      <c r="E6108" s="2">
        <v>0</v>
      </c>
      <c r="F6108" s="2">
        <v>7.2886244252008505E-7</v>
      </c>
    </row>
    <row r="6109" spans="1:6" x14ac:dyDescent="0.25">
      <c r="A6109" s="1" t="str">
        <f t="shared" si="230"/>
        <v>16740</v>
      </c>
      <c r="B6109" s="1" t="str">
        <f>"28201"</f>
        <v>28201</v>
      </c>
      <c r="C6109" s="2">
        <v>0</v>
      </c>
      <c r="D6109" s="2">
        <v>1.8213940950403399E-5</v>
      </c>
      <c r="E6109" s="2">
        <v>0</v>
      </c>
      <c r="F6109" s="2">
        <v>1.4577248850401701E-6</v>
      </c>
    </row>
    <row r="6110" spans="1:6" x14ac:dyDescent="0.25">
      <c r="A6110" s="1" t="str">
        <f t="shared" si="230"/>
        <v>16740</v>
      </c>
      <c r="B6110" s="1" t="str">
        <f>"27055"</f>
        <v>27055</v>
      </c>
      <c r="C6110" s="2">
        <v>1.9676017967483701E-5</v>
      </c>
      <c r="D6110" s="2">
        <v>0</v>
      </c>
      <c r="E6110" s="2">
        <v>0</v>
      </c>
      <c r="F6110" s="2">
        <v>1.7492698620481999E-5</v>
      </c>
    </row>
    <row r="6111" spans="1:6" x14ac:dyDescent="0.25">
      <c r="A6111" s="1" t="str">
        <f t="shared" si="230"/>
        <v>16740</v>
      </c>
      <c r="B6111" s="1" t="str">
        <f>"28223"</f>
        <v>28223</v>
      </c>
      <c r="C6111" s="2">
        <v>0</v>
      </c>
      <c r="D6111" s="2">
        <v>1.8213940950403399E-5</v>
      </c>
      <c r="E6111" s="2">
        <v>0</v>
      </c>
      <c r="F6111" s="2">
        <v>1.4577248850401701E-6</v>
      </c>
    </row>
    <row r="6112" spans="1:6" x14ac:dyDescent="0.25">
      <c r="A6112" s="1" t="str">
        <f t="shared" si="230"/>
        <v>16740</v>
      </c>
      <c r="B6112" s="1" t="str">
        <f>"28123"</f>
        <v>28123</v>
      </c>
      <c r="C6112" s="2">
        <v>2.9841960584016999E-4</v>
      </c>
      <c r="D6112" s="2">
        <v>7.28557638016137E-4</v>
      </c>
      <c r="E6112" s="2">
        <v>0</v>
      </c>
      <c r="F6112" s="2">
        <v>3.2361492447891802E-4</v>
      </c>
    </row>
    <row r="6113" spans="1:6" x14ac:dyDescent="0.25">
      <c r="A6113" s="1" t="str">
        <f t="shared" si="230"/>
        <v>16740</v>
      </c>
      <c r="B6113" s="1" t="str">
        <f>"28221"</f>
        <v>28221</v>
      </c>
      <c r="C6113" s="2">
        <v>6.4520942251707005E-4</v>
      </c>
      <c r="D6113" s="2">
        <v>1.9853195635939698E-3</v>
      </c>
      <c r="E6113" s="2">
        <v>2.3564897728343801E-5</v>
      </c>
      <c r="F6113" s="2">
        <v>7.3323561717520596E-4</v>
      </c>
    </row>
    <row r="6114" spans="1:6" x14ac:dyDescent="0.25">
      <c r="A6114" s="1" t="str">
        <f t="shared" si="230"/>
        <v>16740</v>
      </c>
      <c r="B6114" s="1" t="str">
        <f>"28039"</f>
        <v>28039</v>
      </c>
      <c r="C6114" s="2">
        <v>6.1733506372980203E-4</v>
      </c>
      <c r="D6114" s="2">
        <v>3.1874396663206001E-4</v>
      </c>
      <c r="E6114" s="2">
        <v>4.7129795456687697E-5</v>
      </c>
      <c r="F6114" s="2">
        <v>5.7580132959086699E-4</v>
      </c>
    </row>
    <row r="6115" spans="1:6" x14ac:dyDescent="0.25">
      <c r="A6115" s="1" t="str">
        <f t="shared" si="230"/>
        <v>16740</v>
      </c>
      <c r="B6115" s="1" t="str">
        <f>"28093"</f>
        <v>28093</v>
      </c>
      <c r="C6115" s="2">
        <v>9.0345715834029496E-4</v>
      </c>
      <c r="D6115" s="2">
        <v>2.6865562901844998E-3</v>
      </c>
      <c r="E6115" s="2">
        <v>2.3564897728343801E-5</v>
      </c>
      <c r="F6115" s="2">
        <v>1.01894969464307E-3</v>
      </c>
    </row>
    <row r="6116" spans="1:6" x14ac:dyDescent="0.25">
      <c r="A6116" s="1" t="str">
        <f t="shared" si="230"/>
        <v>16740</v>
      </c>
      <c r="B6116" s="1" t="str">
        <f>"28097"</f>
        <v>28097</v>
      </c>
      <c r="C6116" s="2">
        <v>1.34452789444472E-4</v>
      </c>
      <c r="D6116" s="2">
        <v>1.36604557128025E-4</v>
      </c>
      <c r="E6116" s="2">
        <v>2.3564897728343801E-5</v>
      </c>
      <c r="F6116" s="2">
        <v>1.3119523965361501E-4</v>
      </c>
    </row>
    <row r="6117" spans="1:6" x14ac:dyDescent="0.25">
      <c r="A6117" s="1" t="str">
        <f t="shared" si="230"/>
        <v>16740</v>
      </c>
      <c r="B6117" s="1" t="str">
        <f>"28137"</f>
        <v>28137</v>
      </c>
      <c r="C6117" s="2">
        <v>3.3203280320128799E-4</v>
      </c>
      <c r="D6117" s="2">
        <v>8.1962734276815402E-5</v>
      </c>
      <c r="E6117" s="2">
        <v>2.3564897728343801E-5</v>
      </c>
      <c r="F6117" s="2">
        <v>3.0247791364583498E-4</v>
      </c>
    </row>
    <row r="6118" spans="1:6" x14ac:dyDescent="0.25">
      <c r="A6118" s="1" t="str">
        <f t="shared" si="230"/>
        <v>16740</v>
      </c>
      <c r="B6118" s="1" t="str">
        <f>"28687"</f>
        <v>28687</v>
      </c>
      <c r="C6118" s="2">
        <v>1.8151126575003699E-3</v>
      </c>
      <c r="D6118" s="2">
        <v>5.6918565470010698E-3</v>
      </c>
      <c r="E6118" s="2">
        <v>4.7129795456687697E-5</v>
      </c>
      <c r="F6118" s="2">
        <v>2.0706981991995602E-3</v>
      </c>
    </row>
    <row r="6119" spans="1:6" x14ac:dyDescent="0.25">
      <c r="A6119" s="1" t="str">
        <f t="shared" si="230"/>
        <v>16740</v>
      </c>
      <c r="B6119" s="1" t="str">
        <f>"28144"</f>
        <v>28144</v>
      </c>
      <c r="C6119" s="2">
        <v>9.6928983512316706E-3</v>
      </c>
      <c r="D6119" s="2">
        <v>1.4498296996521101E-2</v>
      </c>
      <c r="E6119" s="2">
        <v>1.71081157507776E-2</v>
      </c>
      <c r="F6119" s="2">
        <v>1.03068437996765E-2</v>
      </c>
    </row>
    <row r="6120" spans="1:6" x14ac:dyDescent="0.25">
      <c r="A6120" s="1" t="str">
        <f t="shared" si="230"/>
        <v>16740</v>
      </c>
      <c r="B6120" s="1" t="str">
        <f>"28086"</f>
        <v>28086</v>
      </c>
      <c r="C6120" s="2">
        <v>1.59211778720222E-3</v>
      </c>
      <c r="D6120" s="2">
        <v>5.7373913993770799E-4</v>
      </c>
      <c r="E6120" s="2">
        <v>4.4773305683853298E-4</v>
      </c>
      <c r="F6120" s="2">
        <v>1.47521758366065E-3</v>
      </c>
    </row>
    <row r="6121" spans="1:6" x14ac:dyDescent="0.25">
      <c r="A6121" s="1" t="str">
        <f t="shared" si="230"/>
        <v>16740</v>
      </c>
      <c r="B6121" s="1" t="str">
        <f>"28083"</f>
        <v>28083</v>
      </c>
      <c r="C6121" s="2">
        <v>9.45596630153989E-3</v>
      </c>
      <c r="D6121" s="2">
        <v>8.7882265085696496E-3</v>
      </c>
      <c r="E6121" s="2">
        <v>3.2048260910547601E-3</v>
      </c>
      <c r="F6121" s="2">
        <v>9.2091769612412805E-3</v>
      </c>
    </row>
    <row r="6122" spans="1:6" x14ac:dyDescent="0.25">
      <c r="A6122" s="1" t="str">
        <f t="shared" si="230"/>
        <v>16740</v>
      </c>
      <c r="B6122" s="1" t="str">
        <f>"28072"</f>
        <v>28072</v>
      </c>
      <c r="C6122" s="2">
        <v>9.0181749017633796E-4</v>
      </c>
      <c r="D6122" s="2">
        <v>9.5623189989618002E-4</v>
      </c>
      <c r="E6122" s="2">
        <v>4.7129795456687697E-5</v>
      </c>
      <c r="F6122" s="2">
        <v>8.7973696812174303E-4</v>
      </c>
    </row>
    <row r="6123" spans="1:6" x14ac:dyDescent="0.25">
      <c r="A6123" s="1" t="str">
        <f t="shared" si="230"/>
        <v>16740</v>
      </c>
      <c r="B6123" s="1" t="str">
        <f>"28220"</f>
        <v>28220</v>
      </c>
      <c r="C6123" s="2">
        <v>5.8782103677857604E-4</v>
      </c>
      <c r="D6123" s="2">
        <v>4.2984900642952101E-3</v>
      </c>
      <c r="E6123" s="2">
        <v>2.3564897728343801E-5</v>
      </c>
      <c r="F6123" s="2">
        <v>8.6734630659890096E-4</v>
      </c>
    </row>
    <row r="6124" spans="1:6" x14ac:dyDescent="0.25">
      <c r="A6124" s="1" t="str">
        <f t="shared" si="230"/>
        <v>16740</v>
      </c>
      <c r="B6124" s="1" t="str">
        <f>"28216"</f>
        <v>28216</v>
      </c>
      <c r="C6124" s="2">
        <v>2.1015626857436499E-2</v>
      </c>
      <c r="D6124" s="2">
        <v>1.7148425404804799E-2</v>
      </c>
      <c r="E6124" s="2">
        <v>2.3588462626072199E-2</v>
      </c>
      <c r="F6124" s="2">
        <v>2.0785699135787799E-2</v>
      </c>
    </row>
    <row r="6125" spans="1:6" x14ac:dyDescent="0.25">
      <c r="A6125" s="1" t="str">
        <f t="shared" si="230"/>
        <v>16740</v>
      </c>
      <c r="B6125" s="1" t="str">
        <f>"28214"</f>
        <v>28214</v>
      </c>
      <c r="C6125" s="2">
        <v>1.4404484820361999E-2</v>
      </c>
      <c r="D6125" s="2">
        <v>4.9815128499353404E-3</v>
      </c>
      <c r="E6125" s="2">
        <v>3.3933452728815098E-3</v>
      </c>
      <c r="F6125" s="2">
        <v>1.3309757062859201E-2</v>
      </c>
    </row>
    <row r="6126" spans="1:6" x14ac:dyDescent="0.25">
      <c r="A6126" s="1" t="str">
        <f t="shared" ref="A6126:A6157" si="231">"16740"</f>
        <v>16740</v>
      </c>
      <c r="B6126" s="1" t="str">
        <f>"28202"</f>
        <v>28202</v>
      </c>
      <c r="C6126" s="2">
        <v>1.0478299401767E-2</v>
      </c>
      <c r="D6126" s="2">
        <v>1.5062929165983599E-2</v>
      </c>
      <c r="E6126" s="2">
        <v>1.45866716938448E-2</v>
      </c>
      <c r="F6126" s="2">
        <v>1.0972295209697299E-2</v>
      </c>
    </row>
    <row r="6127" spans="1:6" x14ac:dyDescent="0.25">
      <c r="A6127" s="1" t="str">
        <f t="shared" si="231"/>
        <v>16740</v>
      </c>
      <c r="B6127" s="1" t="str">
        <f>"29055"</f>
        <v>29055</v>
      </c>
      <c r="C6127" s="2">
        <v>1.48963852695491E-3</v>
      </c>
      <c r="D6127" s="2">
        <v>1.6847895379123101E-3</v>
      </c>
      <c r="E6127" s="2">
        <v>3.0634367046847001E-4</v>
      </c>
      <c r="F6127" s="2">
        <v>1.46865782167797E-3</v>
      </c>
    </row>
    <row r="6128" spans="1:6" x14ac:dyDescent="0.25">
      <c r="A6128" s="1" t="str">
        <f t="shared" si="231"/>
        <v>16740</v>
      </c>
      <c r="B6128" s="1" t="str">
        <f>"29729"</f>
        <v>29729</v>
      </c>
      <c r="C6128" s="2">
        <v>8.4934810892971398E-4</v>
      </c>
      <c r="D6128" s="2">
        <v>1.1110503979746E-3</v>
      </c>
      <c r="E6128" s="2">
        <v>1.8851918182675E-4</v>
      </c>
      <c r="F6128" s="2">
        <v>8.4985360797841904E-4</v>
      </c>
    </row>
    <row r="6129" spans="1:6" x14ac:dyDescent="0.25">
      <c r="A6129" s="1" t="str">
        <f t="shared" si="231"/>
        <v>16740</v>
      </c>
      <c r="B6129" s="1" t="str">
        <f>"29704"</f>
        <v>29704</v>
      </c>
      <c r="C6129" s="2">
        <v>1.4330699752983899E-3</v>
      </c>
      <c r="D6129" s="2">
        <v>2.9142305520645499E-4</v>
      </c>
      <c r="E6129" s="2">
        <v>4.7129795456687697E-5</v>
      </c>
      <c r="F6129" s="2">
        <v>1.2988328725707899E-3</v>
      </c>
    </row>
    <row r="6130" spans="1:6" x14ac:dyDescent="0.25">
      <c r="A6130" s="1" t="str">
        <f t="shared" si="231"/>
        <v>16740</v>
      </c>
      <c r="B6130" s="1" t="str">
        <f>"28133"</f>
        <v>28133</v>
      </c>
      <c r="C6130" s="2">
        <v>1.18957925295078E-3</v>
      </c>
      <c r="D6130" s="2">
        <v>1.6392546855362999E-4</v>
      </c>
      <c r="E6130" s="2">
        <v>0</v>
      </c>
      <c r="F6130" s="2">
        <v>1.070698928062E-3</v>
      </c>
    </row>
    <row r="6131" spans="1:6" x14ac:dyDescent="0.25">
      <c r="A6131" s="1" t="str">
        <f t="shared" si="231"/>
        <v>16740</v>
      </c>
      <c r="B6131" s="1" t="str">
        <f>"28115"</f>
        <v>28115</v>
      </c>
      <c r="C6131" s="2">
        <v>1.5286626292570899E-2</v>
      </c>
      <c r="D6131" s="2">
        <v>1.4507403966996299E-2</v>
      </c>
      <c r="E6131" s="2">
        <v>1.15703647846168E-2</v>
      </c>
      <c r="F6131" s="2">
        <v>1.51093184334413E-2</v>
      </c>
    </row>
    <row r="6132" spans="1:6" x14ac:dyDescent="0.25">
      <c r="A6132" s="1" t="str">
        <f t="shared" si="231"/>
        <v>16740</v>
      </c>
      <c r="B6132" s="1" t="str">
        <f>"28226"</f>
        <v>28226</v>
      </c>
      <c r="C6132" s="2">
        <v>1.4502864910199399E-2</v>
      </c>
      <c r="D6132" s="2">
        <v>1.1110503979746E-2</v>
      </c>
      <c r="E6132" s="2">
        <v>1.9064002262230099E-2</v>
      </c>
      <c r="F6132" s="2">
        <v>1.43724385040535E-2</v>
      </c>
    </row>
    <row r="6133" spans="1:6" x14ac:dyDescent="0.25">
      <c r="A6133" s="1" t="str">
        <f t="shared" si="231"/>
        <v>16740</v>
      </c>
      <c r="B6133" s="1" t="str">
        <f>"28203"</f>
        <v>28203</v>
      </c>
      <c r="C6133" s="2">
        <v>9.8060354545446999E-3</v>
      </c>
      <c r="D6133" s="2">
        <v>1.5982733183979001E-2</v>
      </c>
      <c r="E6133" s="2">
        <v>1.73673296257894E-2</v>
      </c>
      <c r="F6133" s="2">
        <v>1.0534248881742699E-2</v>
      </c>
    </row>
    <row r="6134" spans="1:6" x14ac:dyDescent="0.25">
      <c r="A6134" s="1" t="str">
        <f t="shared" si="231"/>
        <v>16740</v>
      </c>
      <c r="B6134" s="1" t="str">
        <f>"28209"</f>
        <v>28209</v>
      </c>
      <c r="C6134" s="2">
        <v>1.17621595741453E-2</v>
      </c>
      <c r="D6134" s="2">
        <v>1.1848168588237401E-2</v>
      </c>
      <c r="E6134" s="2">
        <v>2.2975775285135201E-2</v>
      </c>
      <c r="F6134" s="2">
        <v>1.21158803820113E-2</v>
      </c>
    </row>
    <row r="6135" spans="1:6" x14ac:dyDescent="0.25">
      <c r="A6135" s="1" t="str">
        <f t="shared" si="231"/>
        <v>16740</v>
      </c>
      <c r="B6135" s="1" t="str">
        <f>"28206"</f>
        <v>28206</v>
      </c>
      <c r="C6135" s="2">
        <v>6.3348579514477801E-3</v>
      </c>
      <c r="D6135" s="2">
        <v>1.52723894869132E-2</v>
      </c>
      <c r="E6135" s="2">
        <v>1.7815062682627902E-2</v>
      </c>
      <c r="F6135" s="2">
        <v>7.4052424160040596E-3</v>
      </c>
    </row>
    <row r="6136" spans="1:6" x14ac:dyDescent="0.25">
      <c r="A6136" s="1" t="str">
        <f t="shared" si="231"/>
        <v>16740</v>
      </c>
      <c r="B6136" s="1" t="str">
        <f>"28211"</f>
        <v>28211</v>
      </c>
      <c r="C6136" s="2">
        <v>1.23016104000872E-2</v>
      </c>
      <c r="D6136" s="2">
        <v>1.1556745533030899E-2</v>
      </c>
      <c r="E6136" s="2">
        <v>2.7830144217173999E-2</v>
      </c>
      <c r="F6136" s="2">
        <v>1.2722293934188E-2</v>
      </c>
    </row>
    <row r="6137" spans="1:6" x14ac:dyDescent="0.25">
      <c r="A6137" s="1" t="str">
        <f t="shared" si="231"/>
        <v>16740</v>
      </c>
      <c r="B6137" s="1" t="str">
        <f>"28625"</f>
        <v>28625</v>
      </c>
      <c r="C6137" s="2">
        <v>1.39125843711749E-2</v>
      </c>
      <c r="D6137" s="2">
        <v>1.09647924521428E-2</v>
      </c>
      <c r="E6137" s="2">
        <v>6.3625223866528397E-3</v>
      </c>
      <c r="F6137" s="2">
        <v>1.34431388898404E-2</v>
      </c>
    </row>
    <row r="6138" spans="1:6" x14ac:dyDescent="0.25">
      <c r="A6138" s="1" t="str">
        <f t="shared" si="231"/>
        <v>16740</v>
      </c>
      <c r="B6138" s="1" t="str">
        <f>"28053"</f>
        <v>28053</v>
      </c>
      <c r="C6138" s="2">
        <v>8.4114976810992898E-4</v>
      </c>
      <c r="D6138" s="2">
        <v>4.1527785366919801E-3</v>
      </c>
      <c r="E6138" s="2">
        <v>2.3564897728343801E-5</v>
      </c>
      <c r="F6138" s="2">
        <v>1.0809030022572799E-3</v>
      </c>
    </row>
    <row r="6139" spans="1:6" x14ac:dyDescent="0.25">
      <c r="A6139" s="1" t="str">
        <f t="shared" si="231"/>
        <v>16740</v>
      </c>
      <c r="B6139" s="1" t="str">
        <f>"28025"</f>
        <v>28025</v>
      </c>
      <c r="C6139" s="2">
        <v>1.9162801832165201E-2</v>
      </c>
      <c r="D6139" s="2">
        <v>1.8969819499845102E-2</v>
      </c>
      <c r="E6139" s="2">
        <v>8.7425770572155705E-3</v>
      </c>
      <c r="F6139" s="2">
        <v>1.8825059165408699E-2</v>
      </c>
    </row>
    <row r="6140" spans="1:6" x14ac:dyDescent="0.25">
      <c r="A6140" s="1" t="str">
        <f t="shared" si="231"/>
        <v>16740</v>
      </c>
      <c r="B6140" s="1" t="str">
        <f>"28146"</f>
        <v>28146</v>
      </c>
      <c r="C6140" s="2">
        <v>1.11308873310219E-2</v>
      </c>
      <c r="D6140" s="2">
        <v>3.9979600386135499E-3</v>
      </c>
      <c r="E6140" s="2">
        <v>4.0060326138184497E-3</v>
      </c>
      <c r="F6140" s="2">
        <v>1.0339642609589901E-2</v>
      </c>
    </row>
    <row r="6141" spans="1:6" x14ac:dyDescent="0.25">
      <c r="A6141" s="1" t="str">
        <f t="shared" si="231"/>
        <v>16740</v>
      </c>
      <c r="B6141" s="1" t="str">
        <f>"28147"</f>
        <v>28147</v>
      </c>
      <c r="C6141" s="2">
        <v>9.0886806328135308E-3</v>
      </c>
      <c r="D6141" s="2">
        <v>7.5041436715662102E-3</v>
      </c>
      <c r="E6141" s="2">
        <v>4.8308040343104904E-3</v>
      </c>
      <c r="F6141" s="2">
        <v>8.8301684911308298E-3</v>
      </c>
    </row>
    <row r="6142" spans="1:6" x14ac:dyDescent="0.25">
      <c r="A6142" s="1" t="str">
        <f t="shared" si="231"/>
        <v>16740</v>
      </c>
      <c r="B6142" s="1" t="str">
        <f>"28091"</f>
        <v>28091</v>
      </c>
      <c r="C6142" s="2">
        <v>7.2145399214106998E-4</v>
      </c>
      <c r="D6142" s="2">
        <v>2.5499517330564798E-4</v>
      </c>
      <c r="E6142" s="2">
        <v>2.3564897728343801E-5</v>
      </c>
      <c r="F6142" s="2">
        <v>6.6253596025075696E-4</v>
      </c>
    </row>
    <row r="6143" spans="1:6" x14ac:dyDescent="0.25">
      <c r="A6143" s="1" t="str">
        <f t="shared" si="231"/>
        <v>16740</v>
      </c>
      <c r="B6143" s="1" t="str">
        <f>"28107"</f>
        <v>28107</v>
      </c>
      <c r="C6143" s="2">
        <v>3.09979266396066E-3</v>
      </c>
      <c r="D6143" s="2">
        <v>1.56639892173469E-3</v>
      </c>
      <c r="E6143" s="2">
        <v>2.1208407955509401E-4</v>
      </c>
      <c r="F6143" s="2">
        <v>2.8877529972645699E-3</v>
      </c>
    </row>
    <row r="6144" spans="1:6" x14ac:dyDescent="0.25">
      <c r="A6144" s="1" t="str">
        <f t="shared" si="231"/>
        <v>16740</v>
      </c>
      <c r="B6144" s="1" t="str">
        <f>"28117"</f>
        <v>28117</v>
      </c>
      <c r="C6144" s="2">
        <v>1.7868283816721099E-2</v>
      </c>
      <c r="D6144" s="2">
        <v>2.7676083274138001E-2</v>
      </c>
      <c r="E6144" s="2">
        <v>2.2480912432839999E-2</v>
      </c>
      <c r="F6144" s="2">
        <v>1.8795904667707902E-2</v>
      </c>
    </row>
    <row r="6145" spans="1:6" x14ac:dyDescent="0.25">
      <c r="A6145" s="1" t="str">
        <f t="shared" si="231"/>
        <v>16740</v>
      </c>
      <c r="B6145" s="1" t="str">
        <f>"28082"</f>
        <v>28082</v>
      </c>
      <c r="C6145" s="2">
        <v>1.4453674865280699E-3</v>
      </c>
      <c r="D6145" s="2">
        <v>2.2676356483252199E-3</v>
      </c>
      <c r="E6145" s="2">
        <v>4.7129795456687697E-5</v>
      </c>
      <c r="F6145" s="2">
        <v>1.46792895923545E-3</v>
      </c>
    </row>
    <row r="6146" spans="1:6" x14ac:dyDescent="0.25">
      <c r="A6146" s="1" t="str">
        <f t="shared" si="231"/>
        <v>16740</v>
      </c>
      <c r="B6146" s="1" t="str">
        <f>"28222"</f>
        <v>28222</v>
      </c>
      <c r="C6146" s="2">
        <v>7.4194984419053203E-4</v>
      </c>
      <c r="D6146" s="2">
        <v>4.3804527985720201E-3</v>
      </c>
      <c r="E6146" s="2">
        <v>2.3564897728343801E-5</v>
      </c>
      <c r="F6146" s="2">
        <v>1.0109322077753501E-3</v>
      </c>
    </row>
    <row r="6147" spans="1:6" x14ac:dyDescent="0.25">
      <c r="A6147" s="1" t="str">
        <f t="shared" si="231"/>
        <v>16740</v>
      </c>
      <c r="B6147" s="1" t="str">
        <f>"28210"</f>
        <v>28210</v>
      </c>
      <c r="C6147" s="2">
        <v>1.84725015351393E-2</v>
      </c>
      <c r="D6147" s="2">
        <v>1.0655155455986E-2</v>
      </c>
      <c r="E6147" s="2">
        <v>3.86699971722122E-2</v>
      </c>
      <c r="F6147" s="2">
        <v>1.8471560880786501E-2</v>
      </c>
    </row>
    <row r="6148" spans="1:6" x14ac:dyDescent="0.25">
      <c r="A6148" s="1" t="str">
        <f t="shared" si="231"/>
        <v>16740</v>
      </c>
      <c r="B6148" s="1" t="str">
        <f>"28173"</f>
        <v>28173</v>
      </c>
      <c r="C6148" s="2">
        <v>1.7954366395328901E-2</v>
      </c>
      <c r="D6148" s="2">
        <v>8.2782361619583595E-3</v>
      </c>
      <c r="E6148" s="2">
        <v>3.5582995569799201E-3</v>
      </c>
      <c r="F6148" s="2">
        <v>1.6734681680261099E-2</v>
      </c>
    </row>
    <row r="6149" spans="1:6" x14ac:dyDescent="0.25">
      <c r="A6149" s="1" t="str">
        <f t="shared" si="231"/>
        <v>16740</v>
      </c>
      <c r="B6149" s="1" t="str">
        <f>"28159"</f>
        <v>28159</v>
      </c>
      <c r="C6149" s="2">
        <v>1.5822797782184799E-3</v>
      </c>
      <c r="D6149" s="2">
        <v>2.2403147368996201E-3</v>
      </c>
      <c r="E6149" s="2">
        <v>1.6024130455273801E-3</v>
      </c>
      <c r="F6149" s="2">
        <v>1.6355673210150701E-3</v>
      </c>
    </row>
    <row r="6150" spans="1:6" x14ac:dyDescent="0.25">
      <c r="A6150" s="1" t="str">
        <f t="shared" si="231"/>
        <v>16740</v>
      </c>
      <c r="B6150" s="1" t="str">
        <f>"28168"</f>
        <v>28168</v>
      </c>
      <c r="C6150" s="2">
        <v>2.4980344477884501E-3</v>
      </c>
      <c r="D6150" s="2">
        <v>7.5587854944174197E-4</v>
      </c>
      <c r="E6150" s="2">
        <v>7.0694693185031495E-5</v>
      </c>
      <c r="F6150" s="2">
        <v>2.2835260324154199E-3</v>
      </c>
    </row>
    <row r="6151" spans="1:6" x14ac:dyDescent="0.25">
      <c r="A6151" s="1" t="str">
        <f t="shared" si="231"/>
        <v>16740</v>
      </c>
      <c r="B6151" s="1" t="str">
        <f>"28229"</f>
        <v>28229</v>
      </c>
      <c r="C6151" s="2">
        <v>8.5016794301169302E-4</v>
      </c>
      <c r="D6151" s="2">
        <v>2.0490683569203802E-3</v>
      </c>
      <c r="E6151" s="2">
        <v>2.3564897728343801E-5</v>
      </c>
      <c r="F6151" s="2">
        <v>9.2055326490286804E-4</v>
      </c>
    </row>
    <row r="6152" spans="1:6" x14ac:dyDescent="0.25">
      <c r="A6152" s="1" t="str">
        <f t="shared" si="231"/>
        <v>16740</v>
      </c>
      <c r="B6152" s="1" t="str">
        <f>"29720"</f>
        <v>29720</v>
      </c>
      <c r="C6152" s="2">
        <v>1.9495654469448401E-2</v>
      </c>
      <c r="D6152" s="2">
        <v>1.50082873431324E-2</v>
      </c>
      <c r="E6152" s="2">
        <v>9.8972570459044205E-3</v>
      </c>
      <c r="F6152" s="2">
        <v>1.8839636414259099E-2</v>
      </c>
    </row>
    <row r="6153" spans="1:6" x14ac:dyDescent="0.25">
      <c r="A6153" s="1" t="str">
        <f t="shared" si="231"/>
        <v>16740</v>
      </c>
      <c r="B6153" s="1" t="str">
        <f>"29706"</f>
        <v>29706</v>
      </c>
      <c r="C6153" s="2">
        <v>7.8285956488125894E-3</v>
      </c>
      <c r="D6153" s="2">
        <v>7.0579021182813296E-3</v>
      </c>
      <c r="E6153" s="2">
        <v>5.3021019888773602E-3</v>
      </c>
      <c r="F6153" s="2">
        <v>7.6887699061443798E-3</v>
      </c>
    </row>
    <row r="6154" spans="1:6" x14ac:dyDescent="0.25">
      <c r="A6154" s="1" t="str">
        <f t="shared" si="231"/>
        <v>16740</v>
      </c>
      <c r="B6154" s="1" t="str">
        <f>"29707"</f>
        <v>29707</v>
      </c>
      <c r="C6154" s="2">
        <v>1.1964658592394E-2</v>
      </c>
      <c r="D6154" s="2">
        <v>6.2473817459883698E-3</v>
      </c>
      <c r="E6154" s="2">
        <v>4.8072391365821402E-3</v>
      </c>
      <c r="F6154" s="2">
        <v>1.1285706059981001E-2</v>
      </c>
    </row>
    <row r="6155" spans="1:6" x14ac:dyDescent="0.25">
      <c r="A6155" s="1" t="str">
        <f t="shared" si="231"/>
        <v>16740</v>
      </c>
      <c r="B6155" s="1" t="str">
        <f>"28232"</f>
        <v>28232</v>
      </c>
      <c r="C6155" s="2">
        <v>1.3855195985436401E-4</v>
      </c>
      <c r="D6155" s="2">
        <v>2.0308544159699802E-3</v>
      </c>
      <c r="E6155" s="2">
        <v>2.3564897728343801E-5</v>
      </c>
      <c r="F6155" s="2">
        <v>2.8644293991039299E-4</v>
      </c>
    </row>
    <row r="6156" spans="1:6" x14ac:dyDescent="0.25">
      <c r="A6156" s="1" t="str">
        <f t="shared" si="231"/>
        <v>16740</v>
      </c>
      <c r="B6156" s="1" t="str">
        <f>"28246"</f>
        <v>28246</v>
      </c>
      <c r="C6156" s="2">
        <v>0</v>
      </c>
      <c r="D6156" s="2">
        <v>2.6410214378084899E-4</v>
      </c>
      <c r="E6156" s="2">
        <v>9.4259590913375394E-5</v>
      </c>
      <c r="F6156" s="2">
        <v>2.4052460603162801E-5</v>
      </c>
    </row>
    <row r="6157" spans="1:6" x14ac:dyDescent="0.25">
      <c r="A6157" s="1" t="str">
        <f t="shared" si="231"/>
        <v>16740</v>
      </c>
      <c r="B6157" s="1" t="str">
        <f>"28041"</f>
        <v>28041</v>
      </c>
      <c r="C6157" s="2">
        <v>7.4768868276438197E-4</v>
      </c>
      <c r="D6157" s="2">
        <v>3.6427881900806801E-4</v>
      </c>
      <c r="E6157" s="2">
        <v>4.7129795456687697E-5</v>
      </c>
      <c r="F6157" s="2">
        <v>6.95334770164161E-4</v>
      </c>
    </row>
    <row r="6158" spans="1:6" x14ac:dyDescent="0.25">
      <c r="A6158" s="1" t="str">
        <f t="shared" ref="A6158:A6183" si="232">"16740"</f>
        <v>16740</v>
      </c>
      <c r="B6158" s="1" t="str">
        <f>"28219"</f>
        <v>28219</v>
      </c>
      <c r="C6158" s="2">
        <v>4.8780127877720098E-4</v>
      </c>
      <c r="D6158" s="2">
        <v>1.32051071890424E-3</v>
      </c>
      <c r="E6158" s="2">
        <v>2.3564897728343801E-5</v>
      </c>
      <c r="F6158" s="2">
        <v>5.4008706990738302E-4</v>
      </c>
    </row>
    <row r="6159" spans="1:6" x14ac:dyDescent="0.25">
      <c r="A6159" s="1" t="str">
        <f t="shared" si="232"/>
        <v>16740</v>
      </c>
      <c r="B6159" s="1" t="str">
        <f>"28266"</f>
        <v>28266</v>
      </c>
      <c r="C6159" s="2">
        <v>4.70584763055652E-4</v>
      </c>
      <c r="D6159" s="2">
        <v>2.2676356483252199E-3</v>
      </c>
      <c r="E6159" s="2">
        <v>2.3564897728343801E-5</v>
      </c>
      <c r="F6159" s="2">
        <v>6.0058265263654995E-4</v>
      </c>
    </row>
    <row r="6160" spans="1:6" x14ac:dyDescent="0.25">
      <c r="A6160" s="1" t="str">
        <f t="shared" si="232"/>
        <v>16740</v>
      </c>
      <c r="B6160" s="1" t="str">
        <f>"29712"</f>
        <v>29712</v>
      </c>
      <c r="C6160" s="2">
        <v>8.9361914935655296E-4</v>
      </c>
      <c r="D6160" s="2">
        <v>1.6392546855362999E-4</v>
      </c>
      <c r="E6160" s="2">
        <v>0</v>
      </c>
      <c r="F6160" s="2">
        <v>8.0757958631225396E-4</v>
      </c>
    </row>
    <row r="6161" spans="1:6" x14ac:dyDescent="0.25">
      <c r="A6161" s="1" t="str">
        <f t="shared" si="232"/>
        <v>16740</v>
      </c>
      <c r="B6161" s="1" t="str">
        <f>"29702"</f>
        <v>29702</v>
      </c>
      <c r="C6161" s="2">
        <v>2.0249901824868601E-4</v>
      </c>
      <c r="D6161" s="2">
        <v>9.1069704752017098E-5</v>
      </c>
      <c r="E6161" s="2">
        <v>0</v>
      </c>
      <c r="F6161" s="2">
        <v>1.87317647727662E-4</v>
      </c>
    </row>
    <row r="6162" spans="1:6" x14ac:dyDescent="0.25">
      <c r="A6162" s="1" t="str">
        <f t="shared" si="232"/>
        <v>16740</v>
      </c>
      <c r="B6162" s="1" t="str">
        <f>"27054"</f>
        <v>27054</v>
      </c>
      <c r="C6162" s="2">
        <v>9.6740421673461696E-4</v>
      </c>
      <c r="D6162" s="2">
        <v>2.6410214378084899E-4</v>
      </c>
      <c r="E6162" s="2">
        <v>1.4138938637006299E-4</v>
      </c>
      <c r="F6162" s="2">
        <v>8.85567867661904E-4</v>
      </c>
    </row>
    <row r="6163" spans="1:6" x14ac:dyDescent="0.25">
      <c r="A6163" s="1" t="str">
        <f t="shared" si="232"/>
        <v>16740</v>
      </c>
      <c r="B6163" s="1" t="str">
        <f>"28634"</f>
        <v>28634</v>
      </c>
      <c r="C6163" s="2">
        <v>1.85774402976325E-3</v>
      </c>
      <c r="D6163" s="2">
        <v>9.0159007704496998E-4</v>
      </c>
      <c r="E6163" s="2">
        <v>0</v>
      </c>
      <c r="F6163" s="2">
        <v>1.7237596765599999E-3</v>
      </c>
    </row>
    <row r="6164" spans="1:6" x14ac:dyDescent="0.25">
      <c r="A6164" s="1" t="str">
        <f t="shared" si="232"/>
        <v>16740</v>
      </c>
      <c r="B6164" s="1" t="str">
        <f>"28054"</f>
        <v>28054</v>
      </c>
      <c r="C6164" s="2">
        <v>1.4899664605877E-2</v>
      </c>
      <c r="D6164" s="2">
        <v>1.8796787060816299E-2</v>
      </c>
      <c r="E6164" s="2">
        <v>2.89141295126779E-2</v>
      </c>
      <c r="F6164" s="2">
        <v>1.56450323286936E-2</v>
      </c>
    </row>
    <row r="6165" spans="1:6" x14ac:dyDescent="0.25">
      <c r="A6165" s="1" t="str">
        <f t="shared" si="232"/>
        <v>16740</v>
      </c>
      <c r="B6165" s="1" t="str">
        <f>"28027"</f>
        <v>28027</v>
      </c>
      <c r="C6165" s="2">
        <v>2.6665923350432299E-2</v>
      </c>
      <c r="D6165" s="2">
        <v>2.71478789865763E-2</v>
      </c>
      <c r="E6165" s="2">
        <v>1.66839475916674E-2</v>
      </c>
      <c r="F6165" s="2">
        <v>2.6395753355864901E-2</v>
      </c>
    </row>
    <row r="6166" spans="1:6" x14ac:dyDescent="0.25">
      <c r="A6166" s="1" t="str">
        <f t="shared" si="232"/>
        <v>16740</v>
      </c>
      <c r="B6166" s="1" t="str">
        <f>"28021"</f>
        <v>28021</v>
      </c>
      <c r="C6166" s="2">
        <v>3.9565192796281803E-3</v>
      </c>
      <c r="D6166" s="2">
        <v>3.54261151485346E-3</v>
      </c>
      <c r="E6166" s="2">
        <v>2.9927420114996702E-3</v>
      </c>
      <c r="F6166" s="2">
        <v>3.8935831679422898E-3</v>
      </c>
    </row>
    <row r="6167" spans="1:6" x14ac:dyDescent="0.25">
      <c r="A6167" s="1" t="str">
        <f t="shared" si="232"/>
        <v>16740</v>
      </c>
      <c r="B6167" s="1" t="str">
        <f>"28120"</f>
        <v>28120</v>
      </c>
      <c r="C6167" s="2">
        <v>9.8609643380372595E-3</v>
      </c>
      <c r="D6167" s="2">
        <v>5.3002568165674002E-3</v>
      </c>
      <c r="E6167" s="2">
        <v>3.72325384107832E-3</v>
      </c>
      <c r="F6167" s="2">
        <v>9.3061156660964508E-3</v>
      </c>
    </row>
    <row r="6168" spans="1:6" x14ac:dyDescent="0.25">
      <c r="A6168" s="1" t="str">
        <f t="shared" si="232"/>
        <v>16740</v>
      </c>
      <c r="B6168" s="1" t="str">
        <f>"28217"</f>
        <v>28217</v>
      </c>
      <c r="C6168" s="2">
        <v>1.0007714638711401E-2</v>
      </c>
      <c r="D6168" s="2">
        <v>2.9269803107298299E-2</v>
      </c>
      <c r="E6168" s="2">
        <v>3.5158827410689E-2</v>
      </c>
      <c r="F6168" s="2">
        <v>1.2327250490342201E-2</v>
      </c>
    </row>
    <row r="6169" spans="1:6" x14ac:dyDescent="0.25">
      <c r="A6169" s="1" t="str">
        <f t="shared" si="232"/>
        <v>16740</v>
      </c>
      <c r="B6169" s="1" t="str">
        <f>"28204"</f>
        <v>28204</v>
      </c>
      <c r="C6169" s="2">
        <v>5.1534770393167799E-3</v>
      </c>
      <c r="D6169" s="2">
        <v>1.1438354916853299E-2</v>
      </c>
      <c r="E6169" s="2">
        <v>1.18295786596286E-2</v>
      </c>
      <c r="F6169" s="2">
        <v>5.8629694876315601E-3</v>
      </c>
    </row>
    <row r="6170" spans="1:6" x14ac:dyDescent="0.25">
      <c r="A6170" s="1" t="str">
        <f t="shared" si="232"/>
        <v>16740</v>
      </c>
      <c r="B6170" s="1" t="str">
        <f>"28170"</f>
        <v>28170</v>
      </c>
      <c r="C6170" s="2">
        <v>4.5222047961933397E-3</v>
      </c>
      <c r="D6170" s="2">
        <v>5.94685172030672E-3</v>
      </c>
      <c r="E6170" s="2">
        <v>3.2048260910547601E-3</v>
      </c>
      <c r="F6170" s="2">
        <v>4.5954777000891296E-3</v>
      </c>
    </row>
    <row r="6171" spans="1:6" x14ac:dyDescent="0.25">
      <c r="A6171" s="1" t="str">
        <f t="shared" si="232"/>
        <v>16740</v>
      </c>
      <c r="B6171" s="1" t="str">
        <f>"28277"</f>
        <v>28277</v>
      </c>
      <c r="C6171" s="2">
        <v>2.5817395075584601E-2</v>
      </c>
      <c r="D6171" s="2">
        <v>2.08640693586871E-2</v>
      </c>
      <c r="E6171" s="2">
        <v>2.8984824205862899E-2</v>
      </c>
      <c r="F6171" s="2">
        <v>2.5518931837513199E-2</v>
      </c>
    </row>
    <row r="6172" spans="1:6" x14ac:dyDescent="0.25">
      <c r="A6172" s="1" t="str">
        <f t="shared" si="232"/>
        <v>16740</v>
      </c>
      <c r="B6172" s="1" t="str">
        <f>"28282"</f>
        <v>28282</v>
      </c>
      <c r="C6172" s="2">
        <v>0</v>
      </c>
      <c r="D6172" s="2">
        <v>3.4606487805766497E-4</v>
      </c>
      <c r="E6172" s="2">
        <v>1.17824488641719E-4</v>
      </c>
      <c r="F6172" s="2">
        <v>3.1341085028363599E-5</v>
      </c>
    </row>
    <row r="6173" spans="1:6" x14ac:dyDescent="0.25">
      <c r="A6173" s="1" t="str">
        <f t="shared" si="232"/>
        <v>16740</v>
      </c>
      <c r="B6173" s="1" t="str">
        <f>"28285"</f>
        <v>28285</v>
      </c>
      <c r="C6173" s="2">
        <v>0</v>
      </c>
      <c r="D6173" s="2">
        <v>4.3713458280968202E-4</v>
      </c>
      <c r="E6173" s="2">
        <v>7.0694693185031495E-5</v>
      </c>
      <c r="F6173" s="2">
        <v>3.7171984568524298E-5</v>
      </c>
    </row>
    <row r="6174" spans="1:6" x14ac:dyDescent="0.25">
      <c r="A6174" s="1" t="str">
        <f t="shared" si="232"/>
        <v>16740</v>
      </c>
      <c r="B6174" s="1" t="str">
        <f>"28233"</f>
        <v>28233</v>
      </c>
      <c r="C6174" s="2">
        <v>2.30373377035955E-4</v>
      </c>
      <c r="D6174" s="2">
        <v>1.82139409504034E-3</v>
      </c>
      <c r="E6174" s="2">
        <v>2.3564897728343801E-5</v>
      </c>
      <c r="F6174" s="2">
        <v>3.5131169729468102E-4</v>
      </c>
    </row>
    <row r="6175" spans="1:6" x14ac:dyDescent="0.25">
      <c r="A6175" s="1" t="str">
        <f t="shared" si="232"/>
        <v>16740</v>
      </c>
      <c r="B6175" s="1" t="str">
        <f>"28241"</f>
        <v>28241</v>
      </c>
      <c r="C6175" s="2">
        <v>7.0341764233754298E-4</v>
      </c>
      <c r="D6175" s="2">
        <v>2.9415514634901501E-3</v>
      </c>
      <c r="E6175" s="2">
        <v>2.3564897728343801E-5</v>
      </c>
      <c r="F6175" s="2">
        <v>8.6151540705874097E-4</v>
      </c>
    </row>
    <row r="6176" spans="1:6" x14ac:dyDescent="0.25">
      <c r="A6176" s="1" t="str">
        <f t="shared" si="232"/>
        <v>16740</v>
      </c>
      <c r="B6176" s="1" t="str">
        <f>"28244"</f>
        <v>28244</v>
      </c>
      <c r="C6176" s="2">
        <v>0</v>
      </c>
      <c r="D6176" s="2">
        <v>5.9195308088811098E-4</v>
      </c>
      <c r="E6176" s="2">
        <v>1.4138938637006299E-4</v>
      </c>
      <c r="F6176" s="2">
        <v>5.1749233418926002E-5</v>
      </c>
    </row>
    <row r="6177" spans="1:6" x14ac:dyDescent="0.25">
      <c r="A6177" s="1" t="str">
        <f t="shared" si="232"/>
        <v>16740</v>
      </c>
      <c r="B6177" s="1" t="str">
        <f>"29058"</f>
        <v>29058</v>
      </c>
      <c r="C6177" s="2">
        <v>1.78395896238519E-3</v>
      </c>
      <c r="D6177" s="2">
        <v>6.55701874214523E-4</v>
      </c>
      <c r="E6177" s="2">
        <v>2.3564897728343801E-5</v>
      </c>
      <c r="F6177" s="2">
        <v>1.63921163322767E-3</v>
      </c>
    </row>
    <row r="6178" spans="1:6" x14ac:dyDescent="0.25">
      <c r="A6178" s="1" t="str">
        <f t="shared" si="232"/>
        <v>16740</v>
      </c>
      <c r="B6178" s="1" t="str">
        <f>"29745"</f>
        <v>29745</v>
      </c>
      <c r="C6178" s="2">
        <v>1.3188670876787901E-2</v>
      </c>
      <c r="D6178" s="2">
        <v>8.5605522466896105E-3</v>
      </c>
      <c r="E6178" s="2">
        <v>3.1341313978697299E-3</v>
      </c>
      <c r="F6178" s="2">
        <v>1.25072795136446E-2</v>
      </c>
    </row>
    <row r="6179" spans="1:6" x14ac:dyDescent="0.25">
      <c r="A6179" s="1" t="str">
        <f t="shared" si="232"/>
        <v>16740</v>
      </c>
      <c r="B6179" s="1" t="str">
        <f>"29067"</f>
        <v>29067</v>
      </c>
      <c r="C6179" s="2">
        <v>2.65380292336436E-3</v>
      </c>
      <c r="D6179" s="2">
        <v>2.2129938254740098E-3</v>
      </c>
      <c r="E6179" s="2">
        <v>1.2253746818738801E-3</v>
      </c>
      <c r="F6179" s="2">
        <v>2.5743421469809399E-3</v>
      </c>
    </row>
    <row r="6180" spans="1:6" x14ac:dyDescent="0.25">
      <c r="A6180" s="1" t="str">
        <f t="shared" si="232"/>
        <v>16740</v>
      </c>
      <c r="B6180" s="1" t="str">
        <f>"29744"</f>
        <v>29744</v>
      </c>
      <c r="C6180" s="2">
        <v>0</v>
      </c>
      <c r="D6180" s="2">
        <v>9.1069704752017098E-6</v>
      </c>
      <c r="E6180" s="2">
        <v>0</v>
      </c>
      <c r="F6180" s="2">
        <v>7.2886244252008505E-7</v>
      </c>
    </row>
    <row r="6181" spans="1:6" x14ac:dyDescent="0.25">
      <c r="A6181" s="1" t="str">
        <f t="shared" si="232"/>
        <v>16740</v>
      </c>
      <c r="B6181" s="1" t="str">
        <f>"28035"</f>
        <v>28035</v>
      </c>
      <c r="C6181" s="2">
        <v>0</v>
      </c>
      <c r="D6181" s="2">
        <v>0</v>
      </c>
      <c r="E6181" s="2">
        <v>2.3564897728343801E-5</v>
      </c>
      <c r="F6181" s="2">
        <v>7.2886244252008505E-7</v>
      </c>
    </row>
    <row r="6182" spans="1:6" x14ac:dyDescent="0.25">
      <c r="A6182" s="1" t="str">
        <f t="shared" si="232"/>
        <v>16740</v>
      </c>
      <c r="B6182" s="1" t="str">
        <f>"28007"</f>
        <v>28007</v>
      </c>
      <c r="C6182" s="2">
        <v>0</v>
      </c>
      <c r="D6182" s="2">
        <v>0</v>
      </c>
      <c r="E6182" s="2">
        <v>2.3564897728343801E-5</v>
      </c>
      <c r="F6182" s="2">
        <v>7.2886244252008505E-7</v>
      </c>
    </row>
    <row r="6183" spans="1:6" x14ac:dyDescent="0.25">
      <c r="A6183" s="1" t="str">
        <f t="shared" si="232"/>
        <v>16740</v>
      </c>
      <c r="B6183" s="1" t="str">
        <f>"28287"</f>
        <v>28287</v>
      </c>
      <c r="C6183" s="2">
        <v>0</v>
      </c>
      <c r="D6183" s="2">
        <v>3.0053002568165599E-4</v>
      </c>
      <c r="E6183" s="2">
        <v>7.0694693185031495E-5</v>
      </c>
      <c r="F6183" s="2">
        <v>2.6239047930723E-5</v>
      </c>
    </row>
    <row r="6184" spans="1:6" x14ac:dyDescent="0.25">
      <c r="A6184" s="1" t="str">
        <f t="shared" ref="A6184:A6215" si="233">"16820"</f>
        <v>16820</v>
      </c>
      <c r="B6184" s="1" t="str">
        <f>"22901"</f>
        <v>22901</v>
      </c>
      <c r="C6184" s="2">
        <v>0.16143278168215799</v>
      </c>
      <c r="D6184" s="2">
        <v>0.18594833651623199</v>
      </c>
      <c r="E6184" s="2">
        <v>0.25859817152808001</v>
      </c>
      <c r="F6184" s="2">
        <v>0.16696309827108199</v>
      </c>
    </row>
    <row r="6185" spans="1:6" x14ac:dyDescent="0.25">
      <c r="A6185" s="1" t="str">
        <f t="shared" si="233"/>
        <v>16820</v>
      </c>
      <c r="B6185" s="1" t="str">
        <f>"24581"</f>
        <v>24581</v>
      </c>
      <c r="C6185" s="2">
        <v>1.5416005440943001E-4</v>
      </c>
      <c r="D6185" s="2">
        <v>1.00512614333098E-4</v>
      </c>
      <c r="E6185" s="2">
        <v>0</v>
      </c>
      <c r="F6185" s="2">
        <v>1.44209969715906E-4</v>
      </c>
    </row>
    <row r="6186" spans="1:6" x14ac:dyDescent="0.25">
      <c r="A6186" s="1" t="str">
        <f t="shared" si="233"/>
        <v>16820</v>
      </c>
      <c r="B6186" s="1" t="str">
        <f>"22947"</f>
        <v>22947</v>
      </c>
      <c r="C6186" s="2">
        <v>2.0376331897528899E-2</v>
      </c>
      <c r="D6186" s="2">
        <v>5.0256307166549399E-3</v>
      </c>
      <c r="E6186" s="2">
        <v>2.0896821941663E-2</v>
      </c>
      <c r="F6186" s="2">
        <v>1.9171914307231301E-2</v>
      </c>
    </row>
    <row r="6187" spans="1:6" x14ac:dyDescent="0.25">
      <c r="A6187" s="1" t="str">
        <f t="shared" si="233"/>
        <v>16820</v>
      </c>
      <c r="B6187" s="1" t="str">
        <f>"22908"</f>
        <v>22908</v>
      </c>
      <c r="C6187" s="2">
        <v>0</v>
      </c>
      <c r="D6187" s="2">
        <v>4.0205045733239498E-4</v>
      </c>
      <c r="E6187" s="2">
        <v>0</v>
      </c>
      <c r="F6187" s="2">
        <v>3.2046659936868002E-5</v>
      </c>
    </row>
    <row r="6188" spans="1:6" x14ac:dyDescent="0.25">
      <c r="A6188" s="1" t="str">
        <f t="shared" si="233"/>
        <v>16820</v>
      </c>
      <c r="B6188" s="1" t="str">
        <f>"22938"</f>
        <v>22938</v>
      </c>
      <c r="C6188" s="2">
        <v>6.7467694400362701E-3</v>
      </c>
      <c r="D6188" s="2">
        <v>1.00512614333098E-3</v>
      </c>
      <c r="E6188" s="2">
        <v>6.5302568567696898E-4</v>
      </c>
      <c r="F6188" s="2">
        <v>6.0648303930522802E-3</v>
      </c>
    </row>
    <row r="6189" spans="1:6" x14ac:dyDescent="0.25">
      <c r="A6189" s="1" t="str">
        <f t="shared" si="233"/>
        <v>16820</v>
      </c>
      <c r="B6189" s="1" t="str">
        <f>"22940"</f>
        <v>22940</v>
      </c>
      <c r="C6189" s="2">
        <v>4.67921106325096E-3</v>
      </c>
      <c r="D6189" s="2">
        <v>1.00512614333098E-3</v>
      </c>
      <c r="E6189" s="2">
        <v>2.17675228558989E-4</v>
      </c>
      <c r="F6189" s="2">
        <v>4.2221474466823603E-3</v>
      </c>
    </row>
    <row r="6190" spans="1:6" x14ac:dyDescent="0.25">
      <c r="A6190" s="1" t="str">
        <f t="shared" si="233"/>
        <v>16820</v>
      </c>
      <c r="B6190" s="1" t="str">
        <f>"22924"</f>
        <v>22924</v>
      </c>
      <c r="C6190" s="2">
        <v>0</v>
      </c>
      <c r="D6190" s="2">
        <v>0</v>
      </c>
      <c r="E6190" s="2">
        <v>2.17675228558989E-4</v>
      </c>
      <c r="F6190" s="2">
        <v>8.0116649842170106E-6</v>
      </c>
    </row>
    <row r="6191" spans="1:6" x14ac:dyDescent="0.25">
      <c r="A6191" s="1" t="str">
        <f t="shared" si="233"/>
        <v>16820</v>
      </c>
      <c r="B6191" s="1" t="str">
        <f>"22965"</f>
        <v>22965</v>
      </c>
      <c r="C6191" s="2">
        <v>0</v>
      </c>
      <c r="D6191" s="2">
        <v>0</v>
      </c>
      <c r="E6191" s="2">
        <v>2.17675228558989E-4</v>
      </c>
      <c r="F6191" s="2">
        <v>8.0116649842170106E-6</v>
      </c>
    </row>
    <row r="6192" spans="1:6" x14ac:dyDescent="0.25">
      <c r="A6192" s="1" t="str">
        <f t="shared" si="233"/>
        <v>16820</v>
      </c>
      <c r="B6192" s="1" t="str">
        <f>"22909"</f>
        <v>22909</v>
      </c>
      <c r="C6192" s="2">
        <v>0</v>
      </c>
      <c r="D6192" s="2">
        <v>1.00512614333098E-4</v>
      </c>
      <c r="E6192" s="2">
        <v>0</v>
      </c>
      <c r="F6192" s="2">
        <v>8.0116649842170106E-6</v>
      </c>
    </row>
    <row r="6193" spans="1:6" x14ac:dyDescent="0.25">
      <c r="A6193" s="1" t="str">
        <f t="shared" si="233"/>
        <v>16820</v>
      </c>
      <c r="B6193" s="1" t="str">
        <f>"22976"</f>
        <v>22976</v>
      </c>
      <c r="C6193" s="2">
        <v>1.46905463613693E-3</v>
      </c>
      <c r="D6193" s="2">
        <v>4.0205045733239498E-4</v>
      </c>
      <c r="E6193" s="2">
        <v>2.17675228558989E-4</v>
      </c>
      <c r="F6193" s="2">
        <v>1.3379480523642399E-3</v>
      </c>
    </row>
    <row r="6194" spans="1:6" x14ac:dyDescent="0.25">
      <c r="A6194" s="1" t="str">
        <f t="shared" si="233"/>
        <v>16820</v>
      </c>
      <c r="B6194" s="1" t="str">
        <f>"23022"</f>
        <v>23022</v>
      </c>
      <c r="C6194" s="2">
        <v>3.7814554522783901E-3</v>
      </c>
      <c r="D6194" s="2">
        <v>1.70871444366267E-3</v>
      </c>
      <c r="E6194" s="2">
        <v>6.5302568567696898E-4</v>
      </c>
      <c r="F6194" s="2">
        <v>3.5010975981028302E-3</v>
      </c>
    </row>
    <row r="6195" spans="1:6" x14ac:dyDescent="0.25">
      <c r="A6195" s="1" t="str">
        <f t="shared" si="233"/>
        <v>16820</v>
      </c>
      <c r="B6195" s="1" t="str">
        <f>"24553"</f>
        <v>24553</v>
      </c>
      <c r="C6195" s="2">
        <v>2.1945137157107198E-3</v>
      </c>
      <c r="D6195" s="2">
        <v>6.0307568599859203E-4</v>
      </c>
      <c r="E6195" s="2">
        <v>2.17675228558989E-4</v>
      </c>
      <c r="F6195" s="2">
        <v>1.9949045810700298E-3</v>
      </c>
    </row>
    <row r="6196" spans="1:6" x14ac:dyDescent="0.25">
      <c r="A6196" s="1" t="str">
        <f t="shared" si="233"/>
        <v>16820</v>
      </c>
      <c r="B6196" s="1" t="str">
        <f>"22968"</f>
        <v>22968</v>
      </c>
      <c r="C6196" s="2">
        <v>4.2539106778508202E-2</v>
      </c>
      <c r="D6196" s="2">
        <v>4.0406070961905703E-2</v>
      </c>
      <c r="E6196" s="2">
        <v>1.08837614279494E-2</v>
      </c>
      <c r="F6196" s="2">
        <v>4.12039930138281E-2</v>
      </c>
    </row>
    <row r="6197" spans="1:6" x14ac:dyDescent="0.25">
      <c r="A6197" s="1" t="str">
        <f t="shared" si="233"/>
        <v>16820</v>
      </c>
      <c r="B6197" s="1" t="str">
        <f>"22935"</f>
        <v>22935</v>
      </c>
      <c r="C6197" s="2">
        <v>3.86306959873044E-3</v>
      </c>
      <c r="D6197" s="2">
        <v>7.0358830033169105E-4</v>
      </c>
      <c r="E6197" s="2">
        <v>6.5302568567696898E-4</v>
      </c>
      <c r="F6197" s="2">
        <v>3.4930859331186201E-3</v>
      </c>
    </row>
    <row r="6198" spans="1:6" x14ac:dyDescent="0.25">
      <c r="A6198" s="1" t="str">
        <f t="shared" si="233"/>
        <v>16820</v>
      </c>
      <c r="B6198" s="1" t="str">
        <f>"22931"</f>
        <v>22931</v>
      </c>
      <c r="C6198" s="2">
        <v>1.78644298345046E-3</v>
      </c>
      <c r="D6198" s="2">
        <v>4.0205045733239498E-4</v>
      </c>
      <c r="E6198" s="2">
        <v>2.17675228558989E-4</v>
      </c>
      <c r="F6198" s="2">
        <v>1.61835632681183E-3</v>
      </c>
    </row>
    <row r="6199" spans="1:6" x14ac:dyDescent="0.25">
      <c r="A6199" s="1" t="str">
        <f t="shared" si="233"/>
        <v>16820</v>
      </c>
      <c r="B6199" s="1" t="str">
        <f>"22967"</f>
        <v>22967</v>
      </c>
      <c r="C6199" s="2">
        <v>1.1652686465654E-2</v>
      </c>
      <c r="D6199" s="2">
        <v>2.8143532013267599E-3</v>
      </c>
      <c r="E6199" s="2">
        <v>1.5237265999129199E-3</v>
      </c>
      <c r="F6199" s="2">
        <v>1.05753977791664E-2</v>
      </c>
    </row>
    <row r="6200" spans="1:6" x14ac:dyDescent="0.25">
      <c r="A6200" s="1" t="str">
        <f t="shared" si="233"/>
        <v>16820</v>
      </c>
      <c r="B6200" s="1" t="str">
        <f>"22920"</f>
        <v>22920</v>
      </c>
      <c r="C6200" s="2">
        <v>1.7964180457946E-2</v>
      </c>
      <c r="D6200" s="2">
        <v>4.8246054879887397E-3</v>
      </c>
      <c r="E6200" s="2">
        <v>1.08837614279494E-3</v>
      </c>
      <c r="F6200" s="2">
        <v>1.62957265778974E-2</v>
      </c>
    </row>
    <row r="6201" spans="1:6" x14ac:dyDescent="0.25">
      <c r="A6201" s="1" t="str">
        <f t="shared" si="233"/>
        <v>16820</v>
      </c>
      <c r="B6201" s="1" t="str">
        <f>"22952"</f>
        <v>22952</v>
      </c>
      <c r="C6201" s="2">
        <v>9.0682384946723993E-6</v>
      </c>
      <c r="D6201" s="2">
        <v>2.01025228666197E-4</v>
      </c>
      <c r="E6201" s="2">
        <v>0</v>
      </c>
      <c r="F6201" s="2">
        <v>2.4034994952651E-5</v>
      </c>
    </row>
    <row r="6202" spans="1:6" x14ac:dyDescent="0.25">
      <c r="A6202" s="1" t="str">
        <f t="shared" si="233"/>
        <v>16820</v>
      </c>
      <c r="B6202" s="1" t="str">
        <f>"22906"</f>
        <v>22906</v>
      </c>
      <c r="C6202" s="2">
        <v>8.7417819088641997E-3</v>
      </c>
      <c r="D6202" s="2">
        <v>5.2970147753543001E-2</v>
      </c>
      <c r="E6202" s="2">
        <v>4.3535045711797898E-4</v>
      </c>
      <c r="F6202" s="2">
        <v>1.1961415821436E-2</v>
      </c>
    </row>
    <row r="6203" spans="1:6" x14ac:dyDescent="0.25">
      <c r="A6203" s="1" t="str">
        <f t="shared" si="233"/>
        <v>16820</v>
      </c>
      <c r="B6203" s="1" t="str">
        <f>"22911"</f>
        <v>22911</v>
      </c>
      <c r="C6203" s="2">
        <v>7.7052822489231398E-2</v>
      </c>
      <c r="D6203" s="2">
        <v>9.3074680872449397E-2</v>
      </c>
      <c r="E6203" s="2">
        <v>6.7914671310404795E-2</v>
      </c>
      <c r="F6203" s="2">
        <v>7.7993558621352599E-2</v>
      </c>
    </row>
    <row r="6204" spans="1:6" x14ac:dyDescent="0.25">
      <c r="A6204" s="1" t="str">
        <f t="shared" si="233"/>
        <v>16820</v>
      </c>
      <c r="B6204" s="1" t="str">
        <f>"22969"</f>
        <v>22969</v>
      </c>
      <c r="C6204" s="2">
        <v>6.3568351847653496E-3</v>
      </c>
      <c r="D6204" s="2">
        <v>9.0461352899788897E-4</v>
      </c>
      <c r="E6204" s="2">
        <v>4.3535045711797898E-4</v>
      </c>
      <c r="F6204" s="2">
        <v>5.7043054687625104E-3</v>
      </c>
    </row>
    <row r="6205" spans="1:6" x14ac:dyDescent="0.25">
      <c r="A6205" s="1" t="str">
        <f t="shared" si="233"/>
        <v>16820</v>
      </c>
      <c r="B6205" s="1" t="str">
        <f>"22936"</f>
        <v>22936</v>
      </c>
      <c r="C6205" s="2">
        <v>2.4629335751530201E-2</v>
      </c>
      <c r="D6205" s="2">
        <v>1.5378429992964101E-2</v>
      </c>
      <c r="E6205" s="2">
        <v>1.3060513713539299E-3</v>
      </c>
      <c r="F6205" s="2">
        <v>2.3033536829623901E-2</v>
      </c>
    </row>
    <row r="6206" spans="1:6" x14ac:dyDescent="0.25">
      <c r="A6206" s="1" t="str">
        <f t="shared" si="233"/>
        <v>16820</v>
      </c>
      <c r="B6206" s="1" t="str">
        <f>"22946"</f>
        <v>22946</v>
      </c>
      <c r="C6206" s="2">
        <v>6.7104964860575803E-4</v>
      </c>
      <c r="D6206" s="2">
        <v>0</v>
      </c>
      <c r="E6206" s="2">
        <v>2.17675228558989E-4</v>
      </c>
      <c r="F6206" s="2">
        <v>6.00874873816276E-4</v>
      </c>
    </row>
    <row r="6207" spans="1:6" x14ac:dyDescent="0.25">
      <c r="A6207" s="1" t="str">
        <f t="shared" si="233"/>
        <v>16820</v>
      </c>
      <c r="B6207" s="1" t="str">
        <f>"24483"</f>
        <v>24483</v>
      </c>
      <c r="C6207" s="2">
        <v>3.6272953978689601E-4</v>
      </c>
      <c r="D6207" s="2">
        <v>3.0153784299929602E-4</v>
      </c>
      <c r="E6207" s="2">
        <v>0</v>
      </c>
      <c r="F6207" s="2">
        <v>3.4450159432133101E-4</v>
      </c>
    </row>
    <row r="6208" spans="1:6" x14ac:dyDescent="0.25">
      <c r="A6208" s="1" t="str">
        <f t="shared" si="233"/>
        <v>16820</v>
      </c>
      <c r="B6208" s="1" t="str">
        <f>"24599"</f>
        <v>24599</v>
      </c>
      <c r="C6208" s="2">
        <v>1.40557696667422E-3</v>
      </c>
      <c r="D6208" s="2">
        <v>6.0307568599859203E-4</v>
      </c>
      <c r="E6208" s="2">
        <v>2.17675228558989E-4</v>
      </c>
      <c r="F6208" s="2">
        <v>1.29788972744315E-3</v>
      </c>
    </row>
    <row r="6209" spans="1:6" x14ac:dyDescent="0.25">
      <c r="A6209" s="1" t="str">
        <f t="shared" si="233"/>
        <v>16820</v>
      </c>
      <c r="B6209" s="1" t="str">
        <f>"24590"</f>
        <v>24590</v>
      </c>
      <c r="C6209" s="2">
        <v>2.44751756971208E-2</v>
      </c>
      <c r="D6209" s="2">
        <v>8.9456226756457896E-3</v>
      </c>
      <c r="E6209" s="2">
        <v>6.3125816282106999E-3</v>
      </c>
      <c r="F6209" s="2">
        <v>2.2568860260539302E-2</v>
      </c>
    </row>
    <row r="6210" spans="1:6" x14ac:dyDescent="0.25">
      <c r="A6210" s="1" t="str">
        <f t="shared" si="233"/>
        <v>16820</v>
      </c>
      <c r="B6210" s="1" t="str">
        <f>"24521"</f>
        <v>24521</v>
      </c>
      <c r="C6210" s="2">
        <v>9.2496032645658503E-4</v>
      </c>
      <c r="D6210" s="2">
        <v>3.0153784299929602E-4</v>
      </c>
      <c r="E6210" s="2">
        <v>0</v>
      </c>
      <c r="F6210" s="2">
        <v>8.4122482334278697E-4</v>
      </c>
    </row>
    <row r="6211" spans="1:6" x14ac:dyDescent="0.25">
      <c r="A6211" s="1" t="str">
        <f t="shared" si="233"/>
        <v>16820</v>
      </c>
      <c r="B6211" s="1" t="str">
        <f>"22902"</f>
        <v>22902</v>
      </c>
      <c r="C6211" s="2">
        <v>0.112473362049421</v>
      </c>
      <c r="D6211" s="2">
        <v>0.26284048648105302</v>
      </c>
      <c r="E6211" s="2">
        <v>0.18915977361776201</v>
      </c>
      <c r="F6211" s="2">
        <v>0.12728132160425501</v>
      </c>
    </row>
    <row r="6212" spans="1:6" x14ac:dyDescent="0.25">
      <c r="A6212" s="1" t="str">
        <f t="shared" si="233"/>
        <v>16820</v>
      </c>
      <c r="B6212" s="1" t="str">
        <f>"22903"</f>
        <v>22903</v>
      </c>
      <c r="C6212" s="2">
        <v>0.190442076626615</v>
      </c>
      <c r="D6212" s="2">
        <v>0.192984219519549</v>
      </c>
      <c r="E6212" s="2">
        <v>0.37331301697866698</v>
      </c>
      <c r="F6212" s="2">
        <v>0.19737537855116999</v>
      </c>
    </row>
    <row r="6213" spans="1:6" x14ac:dyDescent="0.25">
      <c r="A6213" s="1" t="str">
        <f t="shared" si="233"/>
        <v>16820</v>
      </c>
      <c r="B6213" s="1" t="str">
        <f>"22905"</f>
        <v>22905</v>
      </c>
      <c r="C6213" s="2">
        <v>6.0031738834731303E-3</v>
      </c>
      <c r="D6213" s="2">
        <v>3.5581465473916898E-2</v>
      </c>
      <c r="E6213" s="2">
        <v>4.3535045711797898E-4</v>
      </c>
      <c r="F6213" s="2">
        <v>8.1558749539329192E-3</v>
      </c>
    </row>
    <row r="6214" spans="1:6" x14ac:dyDescent="0.25">
      <c r="A6214" s="1" t="str">
        <f t="shared" si="233"/>
        <v>16820</v>
      </c>
      <c r="B6214" s="1" t="str">
        <f>"22923"</f>
        <v>22923</v>
      </c>
      <c r="C6214" s="2">
        <v>1.6667422353207801E-2</v>
      </c>
      <c r="D6214" s="2">
        <v>5.8297316313197303E-3</v>
      </c>
      <c r="E6214" s="2">
        <v>1.04484109708315E-2</v>
      </c>
      <c r="F6214" s="2">
        <v>1.55746767293178E-2</v>
      </c>
    </row>
    <row r="6215" spans="1:6" x14ac:dyDescent="0.25">
      <c r="A6215" s="1" t="str">
        <f t="shared" si="233"/>
        <v>16820</v>
      </c>
      <c r="B6215" s="1" t="str">
        <f>"22973"</f>
        <v>22973</v>
      </c>
      <c r="C6215" s="2">
        <v>3.2727272727272702E-2</v>
      </c>
      <c r="D6215" s="2">
        <v>1.7790732736958401E-2</v>
      </c>
      <c r="E6215" s="2">
        <v>6.3125816282106999E-3</v>
      </c>
      <c r="F6215" s="2">
        <v>3.0564501914787899E-2</v>
      </c>
    </row>
    <row r="6216" spans="1:6" x14ac:dyDescent="0.25">
      <c r="A6216" s="1" t="str">
        <f t="shared" ref="A6216:A6236" si="234">"16820"</f>
        <v>16820</v>
      </c>
      <c r="B6216" s="1" t="str">
        <f>"22964"</f>
        <v>22964</v>
      </c>
      <c r="C6216" s="2">
        <v>7.6173203355248196E-4</v>
      </c>
      <c r="D6216" s="2">
        <v>5.0256307166549399E-4</v>
      </c>
      <c r="E6216" s="2">
        <v>2.17675228558989E-4</v>
      </c>
      <c r="F6216" s="2">
        <v>7.2104984857953105E-4</v>
      </c>
    </row>
    <row r="6217" spans="1:6" x14ac:dyDescent="0.25">
      <c r="A6217" s="1" t="str">
        <f t="shared" si="234"/>
        <v>16820</v>
      </c>
      <c r="B6217" s="1" t="str">
        <f>"24562"</f>
        <v>24562</v>
      </c>
      <c r="C6217" s="2">
        <v>6.2570845613239595E-4</v>
      </c>
      <c r="D6217" s="2">
        <v>3.0153784299929602E-4</v>
      </c>
      <c r="E6217" s="2">
        <v>0</v>
      </c>
      <c r="F6217" s="2">
        <v>5.7683987886362499E-4</v>
      </c>
    </row>
    <row r="6218" spans="1:6" x14ac:dyDescent="0.25">
      <c r="A6218" s="1" t="str">
        <f t="shared" si="234"/>
        <v>16820</v>
      </c>
      <c r="B6218" s="1" t="str">
        <f>"22945"</f>
        <v>22945</v>
      </c>
      <c r="C6218" s="2">
        <v>0</v>
      </c>
      <c r="D6218" s="2">
        <v>0</v>
      </c>
      <c r="E6218" s="2">
        <v>2.17675228558989E-4</v>
      </c>
      <c r="F6218" s="2">
        <v>8.0116649842170106E-6</v>
      </c>
    </row>
    <row r="6219" spans="1:6" x14ac:dyDescent="0.25">
      <c r="A6219" s="1" t="str">
        <f t="shared" si="234"/>
        <v>16820</v>
      </c>
      <c r="B6219" s="1" t="str">
        <f>"22987"</f>
        <v>22987</v>
      </c>
      <c r="C6219" s="2">
        <v>0</v>
      </c>
      <c r="D6219" s="2">
        <v>1.00512614333098E-4</v>
      </c>
      <c r="E6219" s="2">
        <v>0</v>
      </c>
      <c r="F6219" s="2">
        <v>8.0116649842170106E-6</v>
      </c>
    </row>
    <row r="6220" spans="1:6" x14ac:dyDescent="0.25">
      <c r="A6220" s="1" t="str">
        <f t="shared" si="234"/>
        <v>16820</v>
      </c>
      <c r="B6220" s="1" t="str">
        <f>"22937"</f>
        <v>22937</v>
      </c>
      <c r="C6220" s="2">
        <v>5.6223078666968896E-3</v>
      </c>
      <c r="D6220" s="2">
        <v>9.0461352899788897E-4</v>
      </c>
      <c r="E6220" s="2">
        <v>2.17675228558989E-4</v>
      </c>
      <c r="F6220" s="2">
        <v>5.0473489400567201E-3</v>
      </c>
    </row>
    <row r="6221" spans="1:6" x14ac:dyDescent="0.25">
      <c r="A6221" s="1" t="str">
        <f t="shared" si="234"/>
        <v>16820</v>
      </c>
      <c r="B6221" s="1" t="str">
        <f>"23038"</f>
        <v>23038</v>
      </c>
      <c r="C6221" s="2">
        <v>1.55066878258898E-3</v>
      </c>
      <c r="D6221" s="2">
        <v>2.01025228666197E-4</v>
      </c>
      <c r="E6221" s="2">
        <v>2.17675228558989E-4</v>
      </c>
      <c r="F6221" s="2">
        <v>1.3940297072537601E-3</v>
      </c>
    </row>
    <row r="6222" spans="1:6" x14ac:dyDescent="0.25">
      <c r="A6222" s="1" t="str">
        <f t="shared" si="234"/>
        <v>16820</v>
      </c>
      <c r="B6222" s="1" t="str">
        <f>"22904"</f>
        <v>22904</v>
      </c>
      <c r="C6222" s="2">
        <v>3.4912718204488699E-2</v>
      </c>
      <c r="D6222" s="2">
        <v>5.0256307166549399E-4</v>
      </c>
      <c r="E6222" s="2">
        <v>0</v>
      </c>
      <c r="F6222" s="2">
        <v>3.0884968514156601E-2</v>
      </c>
    </row>
    <row r="6223" spans="1:6" x14ac:dyDescent="0.25">
      <c r="A6223" s="1" t="str">
        <f t="shared" si="234"/>
        <v>16820</v>
      </c>
      <c r="B6223" s="1" t="str">
        <f>"22958"</f>
        <v>22958</v>
      </c>
      <c r="C6223" s="2">
        <v>8.8596690092949404E-3</v>
      </c>
      <c r="D6223" s="2">
        <v>4.0205045733239502E-3</v>
      </c>
      <c r="E6223" s="2">
        <v>1.3060513713539299E-3</v>
      </c>
      <c r="F6223" s="2">
        <v>8.1959332788540101E-3</v>
      </c>
    </row>
    <row r="6224" spans="1:6" x14ac:dyDescent="0.25">
      <c r="A6224" s="1" t="str">
        <f t="shared" si="234"/>
        <v>16820</v>
      </c>
      <c r="B6224" s="1" t="str">
        <f>"22974"</f>
        <v>22974</v>
      </c>
      <c r="C6224" s="2">
        <v>1.31217411017909E-2</v>
      </c>
      <c r="D6224" s="2">
        <v>8.2420343753140998E-3</v>
      </c>
      <c r="E6224" s="2">
        <v>1.3060513713539299E-3</v>
      </c>
      <c r="F6224" s="2">
        <v>1.22979057507731E-2</v>
      </c>
    </row>
    <row r="6225" spans="1:6" x14ac:dyDescent="0.25">
      <c r="A6225" s="1" t="str">
        <f t="shared" si="234"/>
        <v>16820</v>
      </c>
      <c r="B6225" s="1" t="str">
        <f>"22971"</f>
        <v>22971</v>
      </c>
      <c r="C6225" s="2">
        <v>7.51756971208342E-3</v>
      </c>
      <c r="D6225" s="2">
        <v>2.2112775153281701E-3</v>
      </c>
      <c r="E6225" s="2">
        <v>3.0474531998258502E-3</v>
      </c>
      <c r="F6225" s="2">
        <v>6.9300902113477196E-3</v>
      </c>
    </row>
    <row r="6226" spans="1:6" x14ac:dyDescent="0.25">
      <c r="A6226" s="1" t="str">
        <f t="shared" si="234"/>
        <v>16820</v>
      </c>
      <c r="B6226" s="1" t="str">
        <f>"22943"</f>
        <v>22943</v>
      </c>
      <c r="C6226" s="2">
        <v>1.8045794604398E-3</v>
      </c>
      <c r="D6226" s="2">
        <v>9.0461352899788897E-4</v>
      </c>
      <c r="E6226" s="2">
        <v>8.7070091423595904E-4</v>
      </c>
      <c r="F6226" s="2">
        <v>1.698472976654E-3</v>
      </c>
    </row>
    <row r="6227" spans="1:6" x14ac:dyDescent="0.25">
      <c r="A6227" s="1" t="str">
        <f t="shared" si="234"/>
        <v>16820</v>
      </c>
      <c r="B6227" s="1" t="str">
        <f>"23093"</f>
        <v>23093</v>
      </c>
      <c r="C6227" s="2">
        <v>3.5366130129222301E-4</v>
      </c>
      <c r="D6227" s="2">
        <v>2.01025228666197E-4</v>
      </c>
      <c r="E6227" s="2">
        <v>0</v>
      </c>
      <c r="F6227" s="2">
        <v>3.2847826435289699E-4</v>
      </c>
    </row>
    <row r="6228" spans="1:6" x14ac:dyDescent="0.25">
      <c r="A6228" s="1" t="str">
        <f t="shared" si="234"/>
        <v>16820</v>
      </c>
      <c r="B6228" s="1" t="str">
        <f>"24464"</f>
        <v>24464</v>
      </c>
      <c r="C6228" s="2">
        <v>7.7080027204715399E-4</v>
      </c>
      <c r="D6228" s="2">
        <v>2.01025228666197E-4</v>
      </c>
      <c r="E6228" s="2">
        <v>7.1832825424466597E-3</v>
      </c>
      <c r="F6228" s="2">
        <v>9.6139979810604202E-4</v>
      </c>
    </row>
    <row r="6229" spans="1:6" x14ac:dyDescent="0.25">
      <c r="A6229" s="1" t="str">
        <f t="shared" si="234"/>
        <v>16820</v>
      </c>
      <c r="B6229" s="1" t="str">
        <f>"23084"</f>
        <v>23084</v>
      </c>
      <c r="C6229" s="2">
        <v>4.8696440716390803E-3</v>
      </c>
      <c r="D6229" s="2">
        <v>8.0410091466478996E-4</v>
      </c>
      <c r="E6229" s="2">
        <v>2.17675228558989E-4</v>
      </c>
      <c r="F6229" s="2">
        <v>4.3743690813824896E-3</v>
      </c>
    </row>
    <row r="6230" spans="1:6" x14ac:dyDescent="0.25">
      <c r="A6230" s="1" t="str">
        <f t="shared" si="234"/>
        <v>16820</v>
      </c>
      <c r="B6230" s="1" t="str">
        <f>"22942"</f>
        <v>22942</v>
      </c>
      <c r="C6230" s="2">
        <v>1.8861936068918601E-3</v>
      </c>
      <c r="D6230" s="2">
        <v>2.01025228666197E-4</v>
      </c>
      <c r="E6230" s="2">
        <v>0</v>
      </c>
      <c r="F6230" s="2">
        <v>1.68244964668557E-3</v>
      </c>
    </row>
    <row r="6231" spans="1:6" x14ac:dyDescent="0.25">
      <c r="A6231" s="1" t="str">
        <f t="shared" si="234"/>
        <v>16820</v>
      </c>
      <c r="B6231" s="1" t="str">
        <f>"22949"</f>
        <v>22949</v>
      </c>
      <c r="C6231" s="2">
        <v>5.4046701428247497E-3</v>
      </c>
      <c r="D6231" s="2">
        <v>4.0205045733239502E-3</v>
      </c>
      <c r="E6231" s="2">
        <v>6.3125816282106999E-3</v>
      </c>
      <c r="F6231" s="2">
        <v>5.32775721450431E-3</v>
      </c>
    </row>
    <row r="6232" spans="1:6" x14ac:dyDescent="0.25">
      <c r="A6232" s="1" t="str">
        <f t="shared" si="234"/>
        <v>16820</v>
      </c>
      <c r="B6232" s="1" t="str">
        <f>"22963"</f>
        <v>22963</v>
      </c>
      <c r="C6232" s="2">
        <v>6.6615279981863507E-2</v>
      </c>
      <c r="D6232" s="2">
        <v>2.25148256106141E-2</v>
      </c>
      <c r="E6232" s="2">
        <v>5.0065302568567602E-3</v>
      </c>
      <c r="F6232" s="2">
        <v>6.0832572225159802E-2</v>
      </c>
    </row>
    <row r="6233" spans="1:6" x14ac:dyDescent="0.25">
      <c r="A6233" s="1" t="str">
        <f t="shared" si="234"/>
        <v>16820</v>
      </c>
      <c r="B6233" s="1" t="str">
        <f>"22959"</f>
        <v>22959</v>
      </c>
      <c r="C6233" s="2">
        <v>8.4425300385400099E-3</v>
      </c>
      <c r="D6233" s="2">
        <v>7.0358830033169105E-4</v>
      </c>
      <c r="E6233" s="2">
        <v>2.17675228558989E-4</v>
      </c>
      <c r="F6233" s="2">
        <v>7.5229534201797796E-3</v>
      </c>
    </row>
    <row r="6234" spans="1:6" x14ac:dyDescent="0.25">
      <c r="A6234" s="1" t="str">
        <f t="shared" si="234"/>
        <v>16820</v>
      </c>
      <c r="B6234" s="1" t="str">
        <f>"22922"</f>
        <v>22922</v>
      </c>
      <c r="C6234" s="2">
        <v>8.04352754477442E-3</v>
      </c>
      <c r="D6234" s="2">
        <v>4.1210171876570499E-3</v>
      </c>
      <c r="E6234" s="2">
        <v>2.17675228558989E-4</v>
      </c>
      <c r="F6234" s="2">
        <v>7.4428367703376101E-3</v>
      </c>
    </row>
    <row r="6235" spans="1:6" x14ac:dyDescent="0.25">
      <c r="A6235" s="1" t="str">
        <f t="shared" si="234"/>
        <v>16820</v>
      </c>
      <c r="B6235" s="1" t="str">
        <f>"23055"</f>
        <v>23055</v>
      </c>
      <c r="C6235" s="2">
        <v>2.6660621174336798E-3</v>
      </c>
      <c r="D6235" s="2">
        <v>2.91486581565986E-3</v>
      </c>
      <c r="E6235" s="2">
        <v>1.5237265999129199E-3</v>
      </c>
      <c r="F6235" s="2">
        <v>2.64384944479161E-3</v>
      </c>
    </row>
    <row r="6236" spans="1:6" x14ac:dyDescent="0.25">
      <c r="A6236" s="1" t="str">
        <f t="shared" si="234"/>
        <v>16820</v>
      </c>
      <c r="B6236" s="1" t="str">
        <f>"22932"</f>
        <v>22932</v>
      </c>
      <c r="C6236" s="2">
        <v>4.45885286783042E-2</v>
      </c>
      <c r="D6236" s="2">
        <v>1.3267665091969E-2</v>
      </c>
      <c r="E6236" s="2">
        <v>1.9155420113191102E-2</v>
      </c>
      <c r="F6236" s="2">
        <v>4.1155923023922798E-2</v>
      </c>
    </row>
    <row r="6237" spans="1:6" x14ac:dyDescent="0.25">
      <c r="A6237" s="1" t="str">
        <f t="shared" ref="A6237:A6268" si="235">"16860"</f>
        <v>16860</v>
      </c>
      <c r="B6237" s="1" t="str">
        <f>"37384"</f>
        <v>37384</v>
      </c>
      <c r="C6237" s="2">
        <v>3.7086220301781299E-3</v>
      </c>
      <c r="D6237" s="2">
        <v>4.1206030150753702E-3</v>
      </c>
      <c r="E6237" s="2">
        <v>2.4108003857280599E-4</v>
      </c>
      <c r="F6237" s="2">
        <v>3.65853658536585E-3</v>
      </c>
    </row>
    <row r="6238" spans="1:6" x14ac:dyDescent="0.25">
      <c r="A6238" s="1" t="str">
        <f t="shared" si="235"/>
        <v>16860</v>
      </c>
      <c r="B6238" s="1" t="str">
        <f>"37302"</f>
        <v>37302</v>
      </c>
      <c r="C6238" s="2">
        <v>7.42756490088552E-3</v>
      </c>
      <c r="D6238" s="2">
        <v>1.0050251256281399E-3</v>
      </c>
      <c r="E6238" s="2">
        <v>4.4599807135969104E-3</v>
      </c>
      <c r="F6238" s="2">
        <v>6.7696612128216004E-3</v>
      </c>
    </row>
    <row r="6239" spans="1:6" x14ac:dyDescent="0.25">
      <c r="A6239" s="1" t="str">
        <f t="shared" si="235"/>
        <v>16860</v>
      </c>
      <c r="B6239" s="1" t="str">
        <f>"30739"</f>
        <v>30739</v>
      </c>
      <c r="C6239" s="2">
        <v>8.3289183071069296E-3</v>
      </c>
      <c r="D6239" s="2">
        <v>4.0201005025125598E-3</v>
      </c>
      <c r="E6239" s="2">
        <v>1.6875602700096399E-3</v>
      </c>
      <c r="F6239" s="2">
        <v>7.77020862477951E-3</v>
      </c>
    </row>
    <row r="6240" spans="1:6" x14ac:dyDescent="0.25">
      <c r="A6240" s="1" t="str">
        <f t="shared" si="235"/>
        <v>16860</v>
      </c>
      <c r="B6240" s="1" t="str">
        <f>"30752"</f>
        <v>30752</v>
      </c>
      <c r="C6240" s="2">
        <v>1.9403180194994998E-2</v>
      </c>
      <c r="D6240" s="2">
        <v>1.4572864321608E-2</v>
      </c>
      <c r="E6240" s="2">
        <v>8.0761812921890004E-3</v>
      </c>
      <c r="F6240" s="2">
        <v>1.86789124749102E-2</v>
      </c>
    </row>
    <row r="6241" spans="1:6" x14ac:dyDescent="0.25">
      <c r="A6241" s="1" t="str">
        <f t="shared" si="235"/>
        <v>16860</v>
      </c>
      <c r="B6241" s="1" t="str">
        <f>"30750"</f>
        <v>30750</v>
      </c>
      <c r="C6241" s="2">
        <v>5.5422913642087001E-3</v>
      </c>
      <c r="D6241" s="2">
        <v>1.5745393634840801E-3</v>
      </c>
      <c r="E6241" s="2">
        <v>2.5313404050144599E-3</v>
      </c>
      <c r="F6241" s="2">
        <v>5.10613709628368E-3</v>
      </c>
    </row>
    <row r="6242" spans="1:6" x14ac:dyDescent="0.25">
      <c r="A6242" s="1" t="str">
        <f t="shared" si="235"/>
        <v>16860</v>
      </c>
      <c r="B6242" s="1" t="str">
        <f>"37408"</f>
        <v>37408</v>
      </c>
      <c r="C6242" s="2">
        <v>7.8575999229377191E-3</v>
      </c>
      <c r="D6242" s="2">
        <v>2.71691792294807E-2</v>
      </c>
      <c r="E6242" s="2">
        <v>2.3987463837994199E-2</v>
      </c>
      <c r="F6242" s="2">
        <v>1.00176388297548E-2</v>
      </c>
    </row>
    <row r="6243" spans="1:6" x14ac:dyDescent="0.25">
      <c r="A6243" s="1" t="str">
        <f t="shared" si="235"/>
        <v>16860</v>
      </c>
      <c r="B6243" s="1" t="str">
        <f>"37356"</f>
        <v>37356</v>
      </c>
      <c r="C6243" s="2">
        <v>1.88871381685324E-3</v>
      </c>
      <c r="D6243" s="2">
        <v>2.6130653266331601E-3</v>
      </c>
      <c r="E6243" s="2">
        <v>6.02700096432015E-4</v>
      </c>
      <c r="F6243" s="2">
        <v>1.9220242077732401E-3</v>
      </c>
    </row>
    <row r="6244" spans="1:6" x14ac:dyDescent="0.25">
      <c r="A6244" s="1" t="str">
        <f t="shared" si="235"/>
        <v>16860</v>
      </c>
      <c r="B6244" s="1" t="str">
        <f>"37402"</f>
        <v>37402</v>
      </c>
      <c r="C6244" s="2">
        <v>1.32588397999133E-2</v>
      </c>
      <c r="D6244" s="2">
        <v>5.5912897822445497E-2</v>
      </c>
      <c r="E6244" s="2">
        <v>4.9300867888138797E-2</v>
      </c>
      <c r="F6244" s="2">
        <v>1.80402651906818E-2</v>
      </c>
    </row>
    <row r="6245" spans="1:6" x14ac:dyDescent="0.25">
      <c r="A6245" s="1" t="str">
        <f t="shared" si="235"/>
        <v>16860</v>
      </c>
      <c r="B6245" s="1" t="str">
        <f>"37373"</f>
        <v>37373</v>
      </c>
      <c r="C6245" s="2">
        <v>5.82783461885135E-3</v>
      </c>
      <c r="D6245" s="2">
        <v>2.5125628140703501E-3</v>
      </c>
      <c r="E6245" s="2">
        <v>1.0848601735776199E-3</v>
      </c>
      <c r="F6245" s="2">
        <v>5.4072136731342299E-3</v>
      </c>
    </row>
    <row r="6246" spans="1:6" x14ac:dyDescent="0.25">
      <c r="A6246" s="1" t="str">
        <f t="shared" si="235"/>
        <v>16860</v>
      </c>
      <c r="B6246" s="1" t="str">
        <f>"37315"</f>
        <v>37315</v>
      </c>
      <c r="C6246" s="2">
        <v>6.5090100937820299E-3</v>
      </c>
      <c r="D6246" s="2">
        <v>4.4556113902847498E-3</v>
      </c>
      <c r="E6246" s="2">
        <v>1.2054001928640299E-4</v>
      </c>
      <c r="F6246" s="2">
        <v>6.1614257040326003E-3</v>
      </c>
    </row>
    <row r="6247" spans="1:6" x14ac:dyDescent="0.25">
      <c r="A6247" s="1" t="str">
        <f t="shared" si="235"/>
        <v>16860</v>
      </c>
      <c r="B6247" s="1" t="str">
        <f>"37403"</f>
        <v>37403</v>
      </c>
      <c r="C6247" s="2">
        <v>1.0289878007664901E-2</v>
      </c>
      <c r="D6247" s="2">
        <v>2.6767169179229399E-2</v>
      </c>
      <c r="E6247" s="2">
        <v>4.4117647058823498E-2</v>
      </c>
      <c r="F6247" s="2">
        <v>1.26391338726354E-2</v>
      </c>
    </row>
    <row r="6248" spans="1:6" x14ac:dyDescent="0.25">
      <c r="A6248" s="1" t="str">
        <f t="shared" si="235"/>
        <v>16860</v>
      </c>
      <c r="B6248" s="1" t="str">
        <f>"30736"</f>
        <v>30736</v>
      </c>
      <c r="C6248" s="2">
        <v>6.6270117038331605E-2</v>
      </c>
      <c r="D6248" s="2">
        <v>4.9313232830820702E-2</v>
      </c>
      <c r="E6248" s="2">
        <v>1.44648023143683E-3</v>
      </c>
      <c r="F6248" s="2">
        <v>6.3095310504227203E-2</v>
      </c>
    </row>
    <row r="6249" spans="1:6" x14ac:dyDescent="0.25">
      <c r="A6249" s="1" t="str">
        <f t="shared" si="235"/>
        <v>16860</v>
      </c>
      <c r="B6249" s="1" t="str">
        <f>"30741"</f>
        <v>30741</v>
      </c>
      <c r="C6249" s="2">
        <v>5.2278497560841297E-2</v>
      </c>
      <c r="D6249" s="2">
        <v>3.8693467336683399E-2</v>
      </c>
      <c r="E6249" s="2">
        <v>3.9898746383799401E-2</v>
      </c>
      <c r="F6249" s="2">
        <v>5.0732923788090703E-2</v>
      </c>
    </row>
    <row r="6250" spans="1:6" x14ac:dyDescent="0.25">
      <c r="A6250" s="1" t="str">
        <f t="shared" si="235"/>
        <v>16860</v>
      </c>
      <c r="B6250" s="1" t="str">
        <f>"37410"</f>
        <v>37410</v>
      </c>
      <c r="C6250" s="2">
        <v>7.6236608709413199E-3</v>
      </c>
      <c r="D6250" s="2">
        <v>5.6616415410385198E-3</v>
      </c>
      <c r="E6250" s="2">
        <v>7.9556412729025992E-3</v>
      </c>
      <c r="F6250" s="2">
        <v>7.45392616020923E-3</v>
      </c>
    </row>
    <row r="6251" spans="1:6" x14ac:dyDescent="0.25">
      <c r="A6251" s="1" t="str">
        <f t="shared" si="235"/>
        <v>16860</v>
      </c>
      <c r="B6251" s="1" t="str">
        <f>"37343"</f>
        <v>37343</v>
      </c>
      <c r="C6251" s="2">
        <v>7.3487824848455605E-2</v>
      </c>
      <c r="D6251" s="2">
        <v>6.7872696817420405E-2</v>
      </c>
      <c r="E6251" s="2">
        <v>0.10945033751205401</v>
      </c>
      <c r="F6251" s="2">
        <v>7.3885408430144101E-2</v>
      </c>
    </row>
    <row r="6252" spans="1:6" x14ac:dyDescent="0.25">
      <c r="A6252" s="1" t="str">
        <f t="shared" si="235"/>
        <v>16860</v>
      </c>
      <c r="B6252" s="1" t="str">
        <f>"37379"</f>
        <v>37379</v>
      </c>
      <c r="C6252" s="2">
        <v>4.45309866035489E-2</v>
      </c>
      <c r="D6252" s="2">
        <v>1.66164154103852E-2</v>
      </c>
      <c r="E6252" s="2">
        <v>1.36210221793635E-2</v>
      </c>
      <c r="F6252" s="2">
        <v>4.1217079253086701E-2</v>
      </c>
    </row>
    <row r="6253" spans="1:6" x14ac:dyDescent="0.25">
      <c r="A6253" s="1" t="str">
        <f t="shared" si="235"/>
        <v>16860</v>
      </c>
      <c r="B6253" s="1" t="str">
        <f>"37304"</f>
        <v>37304</v>
      </c>
      <c r="C6253" s="2">
        <v>0</v>
      </c>
      <c r="D6253" s="2">
        <v>0</v>
      </c>
      <c r="E6253" s="2">
        <v>1.2054001928640299E-4</v>
      </c>
      <c r="F6253" s="2">
        <v>3.0411775439450098E-6</v>
      </c>
    </row>
    <row r="6254" spans="1:6" x14ac:dyDescent="0.25">
      <c r="A6254" s="1" t="str">
        <f t="shared" si="235"/>
        <v>16860</v>
      </c>
      <c r="B6254" s="1" t="str">
        <f>"37311"</f>
        <v>37311</v>
      </c>
      <c r="C6254" s="2">
        <v>1.3761120705670199E-4</v>
      </c>
      <c r="D6254" s="2">
        <v>0</v>
      </c>
      <c r="E6254" s="2">
        <v>2.4108003857280599E-4</v>
      </c>
      <c r="F6254" s="2">
        <v>1.2772945684569E-4</v>
      </c>
    </row>
    <row r="6255" spans="1:6" x14ac:dyDescent="0.25">
      <c r="A6255" s="1" t="str">
        <f t="shared" si="235"/>
        <v>16860</v>
      </c>
      <c r="B6255" s="1" t="str">
        <f>"37401"</f>
        <v>37401</v>
      </c>
      <c r="C6255" s="2">
        <v>4.1455376125831599E-3</v>
      </c>
      <c r="D6255" s="2">
        <v>1.3232830820770499E-2</v>
      </c>
      <c r="E6255" s="2">
        <v>2.4108003857280599E-4</v>
      </c>
      <c r="F6255" s="2">
        <v>4.8719664253999099E-3</v>
      </c>
    </row>
    <row r="6256" spans="1:6" x14ac:dyDescent="0.25">
      <c r="A6256" s="1" t="str">
        <f t="shared" si="235"/>
        <v>16860</v>
      </c>
      <c r="B6256" s="1" t="str">
        <f>"37110"</f>
        <v>37110</v>
      </c>
      <c r="C6256" s="2">
        <v>1.72014008820878E-5</v>
      </c>
      <c r="D6256" s="2">
        <v>0</v>
      </c>
      <c r="E6256" s="2">
        <v>0</v>
      </c>
      <c r="F6256" s="2">
        <v>1.5205887719725E-5</v>
      </c>
    </row>
    <row r="6257" spans="1:6" x14ac:dyDescent="0.25">
      <c r="A6257" s="1" t="str">
        <f t="shared" si="235"/>
        <v>16860</v>
      </c>
      <c r="B6257" s="1" t="str">
        <f>"30707"</f>
        <v>30707</v>
      </c>
      <c r="C6257" s="2">
        <v>2.50245980032613E-2</v>
      </c>
      <c r="D6257" s="2">
        <v>9.8827470686767092E-3</v>
      </c>
      <c r="E6257" s="2">
        <v>8.5583413693346103E-3</v>
      </c>
      <c r="F6257" s="2">
        <v>2.3234596435739899E-2</v>
      </c>
    </row>
    <row r="6258" spans="1:6" x14ac:dyDescent="0.25">
      <c r="A6258" s="1" t="str">
        <f t="shared" si="235"/>
        <v>16860</v>
      </c>
      <c r="B6258" s="1" t="str">
        <f>"30731"</f>
        <v>30731</v>
      </c>
      <c r="C6258" s="2">
        <v>1.42427599303687E-3</v>
      </c>
      <c r="D6258" s="2">
        <v>3.3500837520937998E-4</v>
      </c>
      <c r="E6258" s="2">
        <v>0</v>
      </c>
      <c r="F6258" s="2">
        <v>1.28945927863268E-3</v>
      </c>
    </row>
    <row r="6259" spans="1:6" x14ac:dyDescent="0.25">
      <c r="A6259" s="1" t="str">
        <f t="shared" si="235"/>
        <v>16860</v>
      </c>
      <c r="B6259" s="1" t="str">
        <f>"30738"</f>
        <v>30738</v>
      </c>
      <c r="C6259" s="2">
        <v>7.0284924004210903E-3</v>
      </c>
      <c r="D6259" s="2">
        <v>2.1105527638190899E-3</v>
      </c>
      <c r="E6259" s="2">
        <v>4.8216007714561198E-4</v>
      </c>
      <c r="F6259" s="2">
        <v>6.4168846177239799E-3</v>
      </c>
    </row>
    <row r="6260" spans="1:6" x14ac:dyDescent="0.25">
      <c r="A6260" s="1" t="str">
        <f t="shared" si="235"/>
        <v>16860</v>
      </c>
      <c r="B6260" s="1" t="str">
        <f>"37415"</f>
        <v>37415</v>
      </c>
      <c r="C6260" s="2">
        <v>4.8071034905082598E-2</v>
      </c>
      <c r="D6260" s="2">
        <v>4.1407035175879299E-2</v>
      </c>
      <c r="E6260" s="2">
        <v>4.9662487945998E-2</v>
      </c>
      <c r="F6260" s="2">
        <v>4.7506234413965003E-2</v>
      </c>
    </row>
    <row r="6261" spans="1:6" x14ac:dyDescent="0.25">
      <c r="A6261" s="1" t="str">
        <f t="shared" si="235"/>
        <v>16860</v>
      </c>
      <c r="B6261" s="1" t="str">
        <f>"37421"</f>
        <v>37421</v>
      </c>
      <c r="C6261" s="2">
        <v>8.3626330528358203E-2</v>
      </c>
      <c r="D6261" s="2">
        <v>0.134170854271356</v>
      </c>
      <c r="E6261" s="2">
        <v>0.100289296046287</v>
      </c>
      <c r="F6261" s="2">
        <v>8.8635119518277405E-2</v>
      </c>
    </row>
    <row r="6262" spans="1:6" x14ac:dyDescent="0.25">
      <c r="A6262" s="1" t="str">
        <f t="shared" si="235"/>
        <v>16860</v>
      </c>
      <c r="B6262" s="1" t="str">
        <f>"37377"</f>
        <v>37377</v>
      </c>
      <c r="C6262" s="2">
        <v>2.9070367490728399E-2</v>
      </c>
      <c r="D6262" s="2">
        <v>1.6180904522613001E-2</v>
      </c>
      <c r="E6262" s="2">
        <v>2.0491803278688499E-2</v>
      </c>
      <c r="F6262" s="2">
        <v>2.7683839182531401E-2</v>
      </c>
    </row>
    <row r="6263" spans="1:6" x14ac:dyDescent="0.25">
      <c r="A6263" s="1" t="str">
        <f t="shared" si="235"/>
        <v>16860</v>
      </c>
      <c r="B6263" s="1" t="str">
        <f>"37365"</f>
        <v>37365</v>
      </c>
      <c r="C6263" s="2">
        <v>1.16969525998197E-4</v>
      </c>
      <c r="D6263" s="2">
        <v>3.3500837520937999E-5</v>
      </c>
      <c r="E6263" s="2">
        <v>0</v>
      </c>
      <c r="F6263" s="2">
        <v>1.06441214038075E-4</v>
      </c>
    </row>
    <row r="6264" spans="1:6" x14ac:dyDescent="0.25">
      <c r="A6264" s="1" t="str">
        <f t="shared" si="235"/>
        <v>16860</v>
      </c>
      <c r="B6264" s="1" t="str">
        <f>"37396"</f>
        <v>37396</v>
      </c>
      <c r="C6264" s="2">
        <v>1.75454288997295E-4</v>
      </c>
      <c r="D6264" s="2">
        <v>3.3500837520937999E-5</v>
      </c>
      <c r="E6264" s="2">
        <v>0</v>
      </c>
      <c r="F6264" s="2">
        <v>1.5814123228514E-4</v>
      </c>
    </row>
    <row r="6265" spans="1:6" x14ac:dyDescent="0.25">
      <c r="A6265" s="1" t="str">
        <f t="shared" si="235"/>
        <v>16860</v>
      </c>
      <c r="B6265" s="1" t="str">
        <f>"37353"</f>
        <v>37353</v>
      </c>
      <c r="C6265" s="2">
        <v>1.1696952599819701E-3</v>
      </c>
      <c r="D6265" s="2">
        <v>3.3500837520937998E-4</v>
      </c>
      <c r="E6265" s="2">
        <v>0</v>
      </c>
      <c r="F6265" s="2">
        <v>1.06441214038075E-3</v>
      </c>
    </row>
    <row r="6266" spans="1:6" x14ac:dyDescent="0.25">
      <c r="A6266" s="1" t="str">
        <f t="shared" si="235"/>
        <v>16860</v>
      </c>
      <c r="B6266" s="1" t="str">
        <f>"30747"</f>
        <v>30747</v>
      </c>
      <c r="C6266" s="2">
        <v>4.7475866434562402E-4</v>
      </c>
      <c r="D6266" s="2">
        <v>6.7001675041875999E-5</v>
      </c>
      <c r="E6266" s="2">
        <v>0</v>
      </c>
      <c r="F6266" s="2">
        <v>4.2576485615230202E-4</v>
      </c>
    </row>
    <row r="6267" spans="1:6" x14ac:dyDescent="0.25">
      <c r="A6267" s="1" t="str">
        <f t="shared" si="235"/>
        <v>16860</v>
      </c>
      <c r="B6267" s="1" t="str">
        <f>"37405"</f>
        <v>37405</v>
      </c>
      <c r="C6267" s="2">
        <v>4.16721137769459E-2</v>
      </c>
      <c r="D6267" s="2">
        <v>4.9782244556113901E-2</v>
      </c>
      <c r="E6267" s="2">
        <v>7.1359691417550594E-2</v>
      </c>
      <c r="F6267" s="2">
        <v>4.3157350526123697E-2</v>
      </c>
    </row>
    <row r="6268" spans="1:6" x14ac:dyDescent="0.25">
      <c r="A6268" s="1" t="str">
        <f t="shared" si="235"/>
        <v>16860</v>
      </c>
      <c r="B6268" s="1" t="str">
        <f>"37406"</f>
        <v>37406</v>
      </c>
      <c r="C6268" s="2">
        <v>2.4422548972388301E-2</v>
      </c>
      <c r="D6268" s="2">
        <v>3.2562814070351699E-2</v>
      </c>
      <c r="E6268" s="2">
        <v>1.71166827386692E-2</v>
      </c>
      <c r="F6268" s="2">
        <v>2.4977191168420398E-2</v>
      </c>
    </row>
    <row r="6269" spans="1:6" x14ac:dyDescent="0.25">
      <c r="A6269" s="1" t="str">
        <f t="shared" ref="A6269:A6300" si="236">"16860"</f>
        <v>16860</v>
      </c>
      <c r="B6269" s="1" t="str">
        <f>"37419"</f>
        <v>37419</v>
      </c>
      <c r="C6269" s="2">
        <v>1.20960251002841E-2</v>
      </c>
      <c r="D6269" s="2">
        <v>1.05192629815745E-2</v>
      </c>
      <c r="E6269" s="2">
        <v>8.4378013500482092E-3</v>
      </c>
      <c r="F6269" s="2">
        <v>1.1860592421385501E-2</v>
      </c>
    </row>
    <row r="6270" spans="1:6" x14ac:dyDescent="0.25">
      <c r="A6270" s="1" t="str">
        <f t="shared" si="236"/>
        <v>16860</v>
      </c>
      <c r="B6270" s="1" t="str">
        <f>"37407"</f>
        <v>37407</v>
      </c>
      <c r="C6270" s="2">
        <v>1.34755774510276E-2</v>
      </c>
      <c r="D6270" s="2">
        <v>2.1306532663316499E-2</v>
      </c>
      <c r="E6270" s="2">
        <v>2.24204435872709E-2</v>
      </c>
      <c r="F6270" s="2">
        <v>1.44121403807554E-2</v>
      </c>
    </row>
    <row r="6271" spans="1:6" x14ac:dyDescent="0.25">
      <c r="A6271" s="1" t="str">
        <f t="shared" si="236"/>
        <v>16860</v>
      </c>
      <c r="B6271" s="1" t="str">
        <f>"37327"</f>
        <v>37327</v>
      </c>
      <c r="C6271" s="2">
        <v>2.27574533670022E-2</v>
      </c>
      <c r="D6271" s="2">
        <v>1.29983249581239E-2</v>
      </c>
      <c r="E6271" s="2">
        <v>1.1933461909353901E-2</v>
      </c>
      <c r="F6271" s="2">
        <v>2.1598442917097501E-2</v>
      </c>
    </row>
    <row r="6272" spans="1:6" x14ac:dyDescent="0.25">
      <c r="A6272" s="1" t="str">
        <f t="shared" si="236"/>
        <v>16860</v>
      </c>
      <c r="B6272" s="1" t="str">
        <f>"37340"</f>
        <v>37340</v>
      </c>
      <c r="C6272" s="2">
        <v>8.6695060445722604E-4</v>
      </c>
      <c r="D6272" s="2">
        <v>3.3500837520937998E-4</v>
      </c>
      <c r="E6272" s="2">
        <v>6.02700096432015E-4</v>
      </c>
      <c r="F6272" s="2">
        <v>8.1199440423331904E-4</v>
      </c>
    </row>
    <row r="6273" spans="1:6" x14ac:dyDescent="0.25">
      <c r="A6273" s="1" t="str">
        <f t="shared" si="236"/>
        <v>16860</v>
      </c>
      <c r="B6273" s="1" t="str">
        <f>"37363"</f>
        <v>37363</v>
      </c>
      <c r="C6273" s="2">
        <v>6.5637105485870706E-2</v>
      </c>
      <c r="D6273" s="2">
        <v>3.4103852596314897E-2</v>
      </c>
      <c r="E6273" s="2">
        <v>3.9778206364513E-2</v>
      </c>
      <c r="F6273" s="2">
        <v>6.2122133690164803E-2</v>
      </c>
    </row>
    <row r="6274" spans="1:6" x14ac:dyDescent="0.25">
      <c r="A6274" s="1" t="str">
        <f t="shared" si="236"/>
        <v>16860</v>
      </c>
      <c r="B6274" s="1" t="str">
        <f>"37308"</f>
        <v>37308</v>
      </c>
      <c r="C6274" s="2">
        <v>3.5469288618865101E-3</v>
      </c>
      <c r="D6274" s="2">
        <v>7.37018425460636E-4</v>
      </c>
      <c r="E6274" s="2">
        <v>0</v>
      </c>
      <c r="F6274" s="2">
        <v>3.2023599537741002E-3</v>
      </c>
    </row>
    <row r="6275" spans="1:6" x14ac:dyDescent="0.25">
      <c r="A6275" s="1" t="str">
        <f t="shared" si="236"/>
        <v>16860</v>
      </c>
      <c r="B6275" s="1" t="str">
        <f>"37366"</f>
        <v>37366</v>
      </c>
      <c r="C6275" s="2">
        <v>3.4402801764175601E-6</v>
      </c>
      <c r="D6275" s="2">
        <v>0</v>
      </c>
      <c r="E6275" s="2">
        <v>0</v>
      </c>
      <c r="F6275" s="2">
        <v>3.0411775439450098E-6</v>
      </c>
    </row>
    <row r="6276" spans="1:6" x14ac:dyDescent="0.25">
      <c r="A6276" s="1" t="str">
        <f t="shared" si="236"/>
        <v>16860</v>
      </c>
      <c r="B6276" s="1" t="str">
        <f>"30746"</f>
        <v>30746</v>
      </c>
      <c r="C6276" s="2">
        <v>2.4081961234922901E-5</v>
      </c>
      <c r="D6276" s="2">
        <v>0</v>
      </c>
      <c r="E6276" s="2">
        <v>0</v>
      </c>
      <c r="F6276" s="2">
        <v>2.1288242807615099E-5</v>
      </c>
    </row>
    <row r="6277" spans="1:6" x14ac:dyDescent="0.25">
      <c r="A6277" s="1" t="str">
        <f t="shared" si="236"/>
        <v>16860</v>
      </c>
      <c r="B6277" s="1" t="str">
        <f>"30742"</f>
        <v>30742</v>
      </c>
      <c r="C6277" s="2">
        <v>1.37198373435532E-2</v>
      </c>
      <c r="D6277" s="2">
        <v>2.7872696817420401E-2</v>
      </c>
      <c r="E6277" s="2">
        <v>9.0405014464802307E-3</v>
      </c>
      <c r="F6277" s="2">
        <v>1.4886564077610799E-2</v>
      </c>
    </row>
    <row r="6278" spans="1:6" x14ac:dyDescent="0.25">
      <c r="A6278" s="1" t="str">
        <f t="shared" si="236"/>
        <v>16860</v>
      </c>
      <c r="B6278" s="1" t="str">
        <f>"30755"</f>
        <v>30755</v>
      </c>
      <c r="C6278" s="2">
        <v>5.7796706963815104E-3</v>
      </c>
      <c r="D6278" s="2">
        <v>1.0050251256281399E-3</v>
      </c>
      <c r="E6278" s="2">
        <v>0</v>
      </c>
      <c r="F6278" s="2">
        <v>5.2004136001459703E-3</v>
      </c>
    </row>
    <row r="6279" spans="1:6" x14ac:dyDescent="0.25">
      <c r="A6279" s="1" t="str">
        <f t="shared" si="236"/>
        <v>16860</v>
      </c>
      <c r="B6279" s="1" t="str">
        <f>"37404"</f>
        <v>37404</v>
      </c>
      <c r="C6279" s="2">
        <v>2.3662247053400001E-2</v>
      </c>
      <c r="D6279" s="2">
        <v>3.8793969849246199E-2</v>
      </c>
      <c r="E6279" s="2">
        <v>8.5945033751205394E-2</v>
      </c>
      <c r="F6279" s="2">
        <v>2.6607262331974899E-2</v>
      </c>
    </row>
    <row r="6280" spans="1:6" x14ac:dyDescent="0.25">
      <c r="A6280" s="1" t="str">
        <f t="shared" si="236"/>
        <v>16860</v>
      </c>
      <c r="B6280" s="1" t="str">
        <f>"37380"</f>
        <v>37380</v>
      </c>
      <c r="C6280" s="2">
        <v>1.1232514776003301E-2</v>
      </c>
      <c r="D6280" s="2">
        <v>1.2395309882747001E-2</v>
      </c>
      <c r="E6280" s="2">
        <v>6.02700096432015E-3</v>
      </c>
      <c r="F6280" s="2">
        <v>1.1206739249437299E-2</v>
      </c>
    </row>
    <row r="6281" spans="1:6" x14ac:dyDescent="0.25">
      <c r="A6281" s="1" t="str">
        <f t="shared" si="236"/>
        <v>16860</v>
      </c>
      <c r="B6281" s="1" t="str">
        <f>"37450"</f>
        <v>37450</v>
      </c>
      <c r="C6281" s="2">
        <v>6.8805603528351296E-6</v>
      </c>
      <c r="D6281" s="2">
        <v>4.1541038525963097E-3</v>
      </c>
      <c r="E6281" s="2">
        <v>8.4378013500482105E-4</v>
      </c>
      <c r="F6281" s="2">
        <v>4.0447661334468702E-4</v>
      </c>
    </row>
    <row r="6282" spans="1:6" x14ac:dyDescent="0.25">
      <c r="A6282" s="1" t="str">
        <f t="shared" si="236"/>
        <v>16860</v>
      </c>
      <c r="B6282" s="1" t="str">
        <f>"37416"</f>
        <v>37416</v>
      </c>
      <c r="C6282" s="2">
        <v>2.89981216070236E-2</v>
      </c>
      <c r="D6282" s="2">
        <v>3.3299832495812302E-2</v>
      </c>
      <c r="E6282" s="2">
        <v>5.2314368370298903E-2</v>
      </c>
      <c r="F6282" s="2">
        <v>2.9976887050666E-2</v>
      </c>
    </row>
    <row r="6283" spans="1:6" x14ac:dyDescent="0.25">
      <c r="A6283" s="1" t="str">
        <f t="shared" si="236"/>
        <v>16860</v>
      </c>
      <c r="B6283" s="1" t="str">
        <f>"37414"</f>
        <v>37414</v>
      </c>
      <c r="C6283" s="2">
        <v>3.1375355208928201E-3</v>
      </c>
      <c r="D6283" s="2">
        <v>1.19932998324958E-2</v>
      </c>
      <c r="E6283" s="2">
        <v>2.4108003857280599E-4</v>
      </c>
      <c r="F6283" s="2">
        <v>3.8683778358980501E-3</v>
      </c>
    </row>
    <row r="6284" spans="1:6" x14ac:dyDescent="0.25">
      <c r="A6284" s="1" t="str">
        <f t="shared" si="236"/>
        <v>16860</v>
      </c>
      <c r="B6284" s="1" t="str">
        <f>"37341"</f>
        <v>37341</v>
      </c>
      <c r="C6284" s="2">
        <v>2.0913463192442298E-2</v>
      </c>
      <c r="D6284" s="2">
        <v>3.75209380234505E-3</v>
      </c>
      <c r="E6284" s="2">
        <v>4.9421407907425203E-3</v>
      </c>
      <c r="F6284" s="2">
        <v>1.89526184538653E-2</v>
      </c>
    </row>
    <row r="6285" spans="1:6" x14ac:dyDescent="0.25">
      <c r="A6285" s="1" t="str">
        <f t="shared" si="236"/>
        <v>16860</v>
      </c>
      <c r="B6285" s="1" t="str">
        <f>"37350"</f>
        <v>37350</v>
      </c>
      <c r="C6285" s="2">
        <v>3.2407439261853401E-3</v>
      </c>
      <c r="D6285" s="2">
        <v>1.4070351758793901E-3</v>
      </c>
      <c r="E6285" s="2">
        <v>1.80810028929604E-3</v>
      </c>
      <c r="F6285" s="2">
        <v>3.0381363664010699E-3</v>
      </c>
    </row>
    <row r="6286" spans="1:6" x14ac:dyDescent="0.25">
      <c r="A6286" s="1" t="str">
        <f t="shared" si="236"/>
        <v>16860</v>
      </c>
      <c r="B6286" s="1" t="str">
        <f>"37374"</f>
        <v>37374</v>
      </c>
      <c r="C6286" s="2">
        <v>3.2751467279495202E-3</v>
      </c>
      <c r="D6286" s="2">
        <v>7.37018425460636E-4</v>
      </c>
      <c r="E6286" s="2">
        <v>2.04918032786885E-3</v>
      </c>
      <c r="F6286" s="2">
        <v>3.0138069460495099E-3</v>
      </c>
    </row>
    <row r="6287" spans="1:6" x14ac:dyDescent="0.25">
      <c r="A6287" s="1" t="str">
        <f t="shared" si="236"/>
        <v>16860</v>
      </c>
      <c r="B6287" s="1" t="str">
        <f>"37338"</f>
        <v>37338</v>
      </c>
      <c r="C6287" s="2">
        <v>1.54124551903507E-3</v>
      </c>
      <c r="D6287" s="2">
        <v>6.7001675041875999E-5</v>
      </c>
      <c r="E6287" s="2">
        <v>0</v>
      </c>
      <c r="F6287" s="2">
        <v>1.36852989477525E-3</v>
      </c>
    </row>
    <row r="6288" spans="1:6" x14ac:dyDescent="0.25">
      <c r="A6288" s="1" t="str">
        <f t="shared" si="236"/>
        <v>16860</v>
      </c>
      <c r="B6288" s="1" t="str">
        <f>"37375"</f>
        <v>37375</v>
      </c>
      <c r="C6288" s="2">
        <v>8.3942836304588602E-4</v>
      </c>
      <c r="D6288" s="2">
        <v>6.7001675041875999E-5</v>
      </c>
      <c r="E6288" s="2">
        <v>0</v>
      </c>
      <c r="F6288" s="2">
        <v>7.4812967581047295E-4</v>
      </c>
    </row>
    <row r="6289" spans="1:6" x14ac:dyDescent="0.25">
      <c r="A6289" s="1" t="str">
        <f t="shared" si="236"/>
        <v>16860</v>
      </c>
      <c r="B6289" s="1" t="str">
        <f>"37367"</f>
        <v>37367</v>
      </c>
      <c r="C6289" s="2">
        <v>5.5044482822681003E-5</v>
      </c>
      <c r="D6289" s="2">
        <v>0</v>
      </c>
      <c r="E6289" s="2">
        <v>0</v>
      </c>
      <c r="F6289" s="2">
        <v>4.8658840703120198E-5</v>
      </c>
    </row>
    <row r="6290" spans="1:6" x14ac:dyDescent="0.25">
      <c r="A6290" s="1" t="str">
        <f t="shared" si="236"/>
        <v>16860</v>
      </c>
      <c r="B6290" s="1" t="str">
        <f>"37387"</f>
        <v>37387</v>
      </c>
      <c r="C6290" s="2">
        <v>5.5732538857964503E-4</v>
      </c>
      <c r="D6290" s="2">
        <v>3.3500837520937999E-5</v>
      </c>
      <c r="E6290" s="2">
        <v>0</v>
      </c>
      <c r="F6290" s="2">
        <v>4.9571193966303697E-4</v>
      </c>
    </row>
    <row r="6291" spans="1:6" x14ac:dyDescent="0.25">
      <c r="A6291" s="1" t="str">
        <f t="shared" si="236"/>
        <v>16860</v>
      </c>
      <c r="B6291" s="1" t="str">
        <f>"30740"</f>
        <v>30740</v>
      </c>
      <c r="C6291" s="2">
        <v>5.0572118593338196E-4</v>
      </c>
      <c r="D6291" s="2">
        <v>0</v>
      </c>
      <c r="E6291" s="2">
        <v>0</v>
      </c>
      <c r="F6291" s="2">
        <v>4.4705309895991702E-4</v>
      </c>
    </row>
    <row r="6292" spans="1:6" x14ac:dyDescent="0.25">
      <c r="A6292" s="1" t="str">
        <f t="shared" si="236"/>
        <v>16860</v>
      </c>
      <c r="B6292" s="1" t="str">
        <f>"30728"</f>
        <v>30728</v>
      </c>
      <c r="C6292" s="2">
        <v>3.1003804949875102E-2</v>
      </c>
      <c r="D6292" s="2">
        <v>2.27470686767169E-2</v>
      </c>
      <c r="E6292" s="2">
        <v>1.89247830279652E-2</v>
      </c>
      <c r="F6292" s="2">
        <v>2.9949516452770501E-2</v>
      </c>
    </row>
    <row r="6293" spans="1:6" x14ac:dyDescent="0.25">
      <c r="A6293" s="1" t="str">
        <f t="shared" si="236"/>
        <v>16860</v>
      </c>
      <c r="B6293" s="1" t="str">
        <f>"37409"</f>
        <v>37409</v>
      </c>
      <c r="C6293" s="2">
        <v>6.6947852233085799E-3</v>
      </c>
      <c r="D6293" s="2">
        <v>1.1758793969849199E-2</v>
      </c>
      <c r="E6293" s="2">
        <v>1.3379942140790701E-2</v>
      </c>
      <c r="F6293" s="2">
        <v>7.3231555258195897E-3</v>
      </c>
    </row>
    <row r="6294" spans="1:6" x14ac:dyDescent="0.25">
      <c r="A6294" s="1" t="str">
        <f t="shared" si="236"/>
        <v>16860</v>
      </c>
      <c r="B6294" s="1" t="str">
        <f>"37397"</f>
        <v>37397</v>
      </c>
      <c r="C6294" s="2">
        <v>1.6792007541094101E-2</v>
      </c>
      <c r="D6294" s="2">
        <v>4.0536013400335E-3</v>
      </c>
      <c r="E6294" s="2">
        <v>7.9556412729025992E-3</v>
      </c>
      <c r="F6294" s="2">
        <v>1.5412687792713301E-2</v>
      </c>
    </row>
    <row r="6295" spans="1:6" x14ac:dyDescent="0.25">
      <c r="A6295" s="1" t="str">
        <f t="shared" si="236"/>
        <v>16860</v>
      </c>
      <c r="B6295" s="1" t="str">
        <f>"37351"</f>
        <v>37351</v>
      </c>
      <c r="C6295" s="2">
        <v>7.4310051810619403E-4</v>
      </c>
      <c r="D6295" s="2">
        <v>3.3500837520937999E-5</v>
      </c>
      <c r="E6295" s="2">
        <v>1.2054001928640299E-4</v>
      </c>
      <c r="F6295" s="2">
        <v>6.6297670458001295E-4</v>
      </c>
    </row>
    <row r="6296" spans="1:6" x14ac:dyDescent="0.25">
      <c r="A6296" s="1" t="str">
        <f t="shared" si="236"/>
        <v>16860</v>
      </c>
      <c r="B6296" s="1" t="str">
        <f>"30710"</f>
        <v>30710</v>
      </c>
      <c r="C6296" s="2">
        <v>4.4723642293428301E-5</v>
      </c>
      <c r="D6296" s="2">
        <v>0</v>
      </c>
      <c r="E6296" s="2">
        <v>0</v>
      </c>
      <c r="F6296" s="2">
        <v>3.9535308071285198E-5</v>
      </c>
    </row>
    <row r="6297" spans="1:6" x14ac:dyDescent="0.25">
      <c r="A6297" s="1" t="str">
        <f t="shared" si="236"/>
        <v>16860</v>
      </c>
      <c r="B6297" s="1" t="str">
        <f>"30753"</f>
        <v>30753</v>
      </c>
      <c r="C6297" s="2">
        <v>1.98848194196935E-3</v>
      </c>
      <c r="D6297" s="2">
        <v>3.68509212730318E-4</v>
      </c>
      <c r="E6297" s="2">
        <v>0</v>
      </c>
      <c r="F6297" s="2">
        <v>1.7912535733836099E-3</v>
      </c>
    </row>
    <row r="6298" spans="1:6" x14ac:dyDescent="0.25">
      <c r="A6298" s="1" t="str">
        <f t="shared" si="236"/>
        <v>16860</v>
      </c>
      <c r="B6298" s="1" t="str">
        <f>"30757"</f>
        <v>30757</v>
      </c>
      <c r="C6298" s="2">
        <v>2.80038806360389E-3</v>
      </c>
      <c r="D6298" s="2">
        <v>1.1725293132328299E-3</v>
      </c>
      <c r="E6298" s="2">
        <v>1.0848601735776199E-3</v>
      </c>
      <c r="F6298" s="2">
        <v>2.6093303327048198E-3</v>
      </c>
    </row>
    <row r="6299" spans="1:6" x14ac:dyDescent="0.25">
      <c r="A6299" s="1" t="str">
        <f t="shared" si="236"/>
        <v>16860</v>
      </c>
      <c r="B6299" s="1" t="str">
        <f>"37412"</f>
        <v>37412</v>
      </c>
      <c r="C6299" s="2">
        <v>4.0412971232377103E-2</v>
      </c>
      <c r="D6299" s="2">
        <v>4.0502512562814001E-2</v>
      </c>
      <c r="E6299" s="2">
        <v>6.2078109932497502E-2</v>
      </c>
      <c r="F6299" s="2">
        <v>4.0967702694483299E-2</v>
      </c>
    </row>
    <row r="6300" spans="1:6" x14ac:dyDescent="0.25">
      <c r="A6300" s="1" t="str">
        <f t="shared" si="236"/>
        <v>16860</v>
      </c>
      <c r="B6300" s="1" t="str">
        <f>"37411"</f>
        <v>37411</v>
      </c>
      <c r="C6300" s="2">
        <v>3.1165498118166698E-2</v>
      </c>
      <c r="D6300" s="2">
        <v>3.48408710217755E-2</v>
      </c>
      <c r="E6300" s="2">
        <v>5.9787849566055901E-2</v>
      </c>
      <c r="F6300" s="2">
        <v>3.2221276078097397E-2</v>
      </c>
    </row>
    <row r="6301" spans="1:6" x14ac:dyDescent="0.25">
      <c r="A6301" s="1" t="str">
        <f t="shared" ref="A6301:A6306" si="237">"16860"</f>
        <v>16860</v>
      </c>
      <c r="B6301" s="1" t="str">
        <f>"37424"</f>
        <v>37424</v>
      </c>
      <c r="C6301" s="2">
        <v>2.7247018997227099E-3</v>
      </c>
      <c r="D6301" s="2">
        <v>9.0787269681741993E-3</v>
      </c>
      <c r="E6301" s="2">
        <v>2.4108003857280599E-4</v>
      </c>
      <c r="F6301" s="2">
        <v>3.2388540843014402E-3</v>
      </c>
    </row>
    <row r="6302" spans="1:6" x14ac:dyDescent="0.25">
      <c r="A6302" s="1" t="str">
        <f t="shared" si="237"/>
        <v>16860</v>
      </c>
      <c r="B6302" s="1" t="str">
        <f>"37347"</f>
        <v>37347</v>
      </c>
      <c r="C6302" s="2">
        <v>1.3227877278325501E-2</v>
      </c>
      <c r="D6302" s="2">
        <v>1.36348408710217E-2</v>
      </c>
      <c r="E6302" s="2">
        <v>8.5583413693346103E-3</v>
      </c>
      <c r="F6302" s="2">
        <v>1.3147010522474301E-2</v>
      </c>
    </row>
    <row r="6303" spans="1:6" x14ac:dyDescent="0.25">
      <c r="A6303" s="1" t="str">
        <f t="shared" si="237"/>
        <v>16860</v>
      </c>
      <c r="B6303" s="1" t="str">
        <f>"30725"</f>
        <v>30725</v>
      </c>
      <c r="C6303" s="2">
        <v>9.0204146225668601E-3</v>
      </c>
      <c r="D6303" s="2">
        <v>5.0921273031825703E-3</v>
      </c>
      <c r="E6303" s="2">
        <v>4.0983606557376999E-3</v>
      </c>
      <c r="F6303" s="2">
        <v>8.5396265433975993E-3</v>
      </c>
    </row>
    <row r="6304" spans="1:6" x14ac:dyDescent="0.25">
      <c r="A6304" s="1" t="str">
        <f t="shared" si="237"/>
        <v>16860</v>
      </c>
      <c r="B6304" s="1" t="str">
        <f>"30726"</f>
        <v>30726</v>
      </c>
      <c r="C6304" s="2">
        <v>0</v>
      </c>
      <c r="D6304" s="2">
        <v>3.3500837520937999E-5</v>
      </c>
      <c r="E6304" s="2">
        <v>0</v>
      </c>
      <c r="F6304" s="2">
        <v>3.0411775439450098E-6</v>
      </c>
    </row>
    <row r="6305" spans="1:6" x14ac:dyDescent="0.25">
      <c r="A6305" s="1" t="str">
        <f t="shared" si="237"/>
        <v>16860</v>
      </c>
      <c r="B6305" s="1" t="str">
        <f>"37422"</f>
        <v>37422</v>
      </c>
      <c r="C6305" s="2">
        <v>4.5549309535768499E-3</v>
      </c>
      <c r="D6305" s="2">
        <v>1.7252931323283E-2</v>
      </c>
      <c r="E6305" s="2">
        <v>2.4108003857280599E-4</v>
      </c>
      <c r="F6305" s="2">
        <v>5.5988078584027698E-3</v>
      </c>
    </row>
    <row r="6306" spans="1:6" x14ac:dyDescent="0.25">
      <c r="A6306" s="1" t="str">
        <f t="shared" si="237"/>
        <v>16860</v>
      </c>
      <c r="B6306" s="1" t="str">
        <f>"37336"</f>
        <v>37336</v>
      </c>
      <c r="C6306" s="2">
        <v>2.1432945499081399E-3</v>
      </c>
      <c r="D6306" s="2">
        <v>8.3752093802344995E-4</v>
      </c>
      <c r="E6306" s="2">
        <v>0</v>
      </c>
      <c r="F6306" s="2">
        <v>1.97068304847637E-3</v>
      </c>
    </row>
    <row r="6307" spans="1:6" x14ac:dyDescent="0.25">
      <c r="A6307" s="1" t="str">
        <f t="shared" ref="A6307:A6322" si="238">"16940"</f>
        <v>16940</v>
      </c>
      <c r="B6307" s="1" t="str">
        <f>"82059"</f>
        <v>82059</v>
      </c>
      <c r="C6307" s="2">
        <v>2.4549066927413801E-3</v>
      </c>
      <c r="D6307" s="2">
        <v>1.2295081967213101E-3</v>
      </c>
      <c r="E6307" s="2">
        <v>0</v>
      </c>
      <c r="F6307" s="2">
        <v>2.19562291947021E-3</v>
      </c>
    </row>
    <row r="6308" spans="1:6" x14ac:dyDescent="0.25">
      <c r="A6308" s="1" t="str">
        <f t="shared" si="238"/>
        <v>16940</v>
      </c>
      <c r="B6308" s="1" t="str">
        <f>"82053"</f>
        <v>82053</v>
      </c>
      <c r="C6308" s="2">
        <v>1.25449892857885E-2</v>
      </c>
      <c r="D6308" s="2">
        <v>2.04918032786885E-3</v>
      </c>
      <c r="E6308" s="2">
        <v>3.4003967129498402E-3</v>
      </c>
      <c r="F6308" s="2">
        <v>1.1066647779587701E-2</v>
      </c>
    </row>
    <row r="6309" spans="1:6" x14ac:dyDescent="0.25">
      <c r="A6309" s="1" t="str">
        <f t="shared" si="238"/>
        <v>16940</v>
      </c>
      <c r="B6309" s="1" t="str">
        <f>"82082"</f>
        <v>82082</v>
      </c>
      <c r="C6309" s="2">
        <v>5.4715293236524002E-3</v>
      </c>
      <c r="D6309" s="2">
        <v>1.2295081967213101E-3</v>
      </c>
      <c r="E6309" s="2">
        <v>1.7001983564749201E-3</v>
      </c>
      <c r="F6309" s="2">
        <v>4.8693250230186199E-3</v>
      </c>
    </row>
    <row r="6310" spans="1:6" x14ac:dyDescent="0.25">
      <c r="A6310" s="1" t="str">
        <f t="shared" si="238"/>
        <v>16940</v>
      </c>
      <c r="B6310" s="1" t="str">
        <f>"82005"</f>
        <v>82005</v>
      </c>
      <c r="C6310" s="2">
        <v>2.9126011608795999E-4</v>
      </c>
      <c r="D6310" s="2">
        <v>8.1967213114754001E-4</v>
      </c>
      <c r="E6310" s="2">
        <v>1.8702181921224099E-2</v>
      </c>
      <c r="F6310" s="2">
        <v>1.48735746157659E-3</v>
      </c>
    </row>
    <row r="6311" spans="1:6" x14ac:dyDescent="0.25">
      <c r="A6311" s="1" t="str">
        <f t="shared" si="238"/>
        <v>16940</v>
      </c>
      <c r="B6311" s="1" t="str">
        <f>"82060"</f>
        <v>82060</v>
      </c>
      <c r="C6311" s="2">
        <v>3.3078827469989799E-3</v>
      </c>
      <c r="D6311" s="2">
        <v>0</v>
      </c>
      <c r="E6311" s="2">
        <v>2.8336639274581998E-4</v>
      </c>
      <c r="F6311" s="2">
        <v>2.8330618315744699E-3</v>
      </c>
    </row>
    <row r="6312" spans="1:6" x14ac:dyDescent="0.25">
      <c r="A6312" s="1" t="str">
        <f t="shared" si="238"/>
        <v>16940</v>
      </c>
      <c r="B6312" s="1" t="str">
        <f>"82007"</f>
        <v>82007</v>
      </c>
      <c r="C6312" s="2">
        <v>0.20315393097135201</v>
      </c>
      <c r="D6312" s="2">
        <v>0.13934426229508101</v>
      </c>
      <c r="E6312" s="2">
        <v>0.14224992915840101</v>
      </c>
      <c r="F6312" s="2">
        <v>0.193834549189036</v>
      </c>
    </row>
    <row r="6313" spans="1:6" x14ac:dyDescent="0.25">
      <c r="A6313" s="1" t="str">
        <f t="shared" si="238"/>
        <v>16940</v>
      </c>
      <c r="B6313" s="1" t="str">
        <f>"82081"</f>
        <v>82081</v>
      </c>
      <c r="C6313" s="2">
        <v>6.8654170220733496E-4</v>
      </c>
      <c r="D6313" s="2">
        <v>4.0983606557377E-4</v>
      </c>
      <c r="E6313" s="2">
        <v>8.5009917823746103E-4</v>
      </c>
      <c r="F6313" s="2">
        <v>6.72852184998937E-4</v>
      </c>
    </row>
    <row r="6314" spans="1:6" x14ac:dyDescent="0.25">
      <c r="A6314" s="1" t="str">
        <f t="shared" si="238"/>
        <v>16940</v>
      </c>
      <c r="B6314" s="1" t="str">
        <f>"82009"</f>
        <v>82009</v>
      </c>
      <c r="C6314" s="2">
        <v>0.32346516320968599</v>
      </c>
      <c r="D6314" s="2">
        <v>0.172950819672131</v>
      </c>
      <c r="E6314" s="2">
        <v>0.18843865117597</v>
      </c>
      <c r="F6314" s="2">
        <v>0.30202209788228601</v>
      </c>
    </row>
    <row r="6315" spans="1:6" x14ac:dyDescent="0.25">
      <c r="A6315" s="1" t="str">
        <f t="shared" si="238"/>
        <v>16940</v>
      </c>
      <c r="B6315" s="1" t="str">
        <f>"82001"</f>
        <v>82001</v>
      </c>
      <c r="C6315" s="2">
        <v>0.36919300143549599</v>
      </c>
      <c r="D6315" s="2">
        <v>0.444877049180327</v>
      </c>
      <c r="E6315" s="2">
        <v>0.63757438367809505</v>
      </c>
      <c r="F6315" s="2">
        <v>0.39250301012819599</v>
      </c>
    </row>
    <row r="6316" spans="1:6" x14ac:dyDescent="0.25">
      <c r="A6316" s="1" t="str">
        <f t="shared" si="238"/>
        <v>16940</v>
      </c>
      <c r="B6316" s="1" t="str">
        <f>"82054"</f>
        <v>82054</v>
      </c>
      <c r="C6316" s="2">
        <v>8.5297605425759798E-3</v>
      </c>
      <c r="D6316" s="2">
        <v>1.02459016393442E-3</v>
      </c>
      <c r="E6316" s="2">
        <v>2.8336639274581998E-3</v>
      </c>
      <c r="F6316" s="2">
        <v>7.5253204901196899E-3</v>
      </c>
    </row>
    <row r="6317" spans="1:6" x14ac:dyDescent="0.25">
      <c r="A6317" s="1" t="str">
        <f t="shared" si="238"/>
        <v>16940</v>
      </c>
      <c r="B6317" s="1" t="str">
        <f>"82002"</f>
        <v>82002</v>
      </c>
      <c r="C6317" s="2">
        <v>0</v>
      </c>
      <c r="D6317" s="2">
        <v>2.04918032786885E-4</v>
      </c>
      <c r="E6317" s="2">
        <v>0</v>
      </c>
      <c r="F6317" s="2">
        <v>1.7706636447340399E-5</v>
      </c>
    </row>
    <row r="6318" spans="1:6" x14ac:dyDescent="0.25">
      <c r="A6318" s="1" t="str">
        <f t="shared" si="238"/>
        <v>16940</v>
      </c>
      <c r="B6318" s="1" t="str">
        <f>"82052"</f>
        <v>82052</v>
      </c>
      <c r="C6318" s="2">
        <v>1.4563005804398E-4</v>
      </c>
      <c r="D6318" s="2">
        <v>0</v>
      </c>
      <c r="E6318" s="2">
        <v>2.8336639274581998E-4</v>
      </c>
      <c r="F6318" s="2">
        <v>1.4165309157872301E-4</v>
      </c>
    </row>
    <row r="6319" spans="1:6" x14ac:dyDescent="0.25">
      <c r="A6319" s="1" t="str">
        <f t="shared" si="238"/>
        <v>16940</v>
      </c>
      <c r="B6319" s="1" t="str">
        <f>"82061"</f>
        <v>82061</v>
      </c>
      <c r="C6319" s="2">
        <v>0</v>
      </c>
      <c r="D6319" s="2">
        <v>0</v>
      </c>
      <c r="E6319" s="2">
        <v>5.6673278549163996E-4</v>
      </c>
      <c r="F6319" s="2">
        <v>3.5413272894680901E-5</v>
      </c>
    </row>
    <row r="6320" spans="1:6" x14ac:dyDescent="0.25">
      <c r="A6320" s="1" t="str">
        <f t="shared" si="238"/>
        <v>16940</v>
      </c>
      <c r="B6320" s="1" t="str">
        <f>"82050"</f>
        <v>82050</v>
      </c>
      <c r="C6320" s="2">
        <v>3.2870784529926899E-3</v>
      </c>
      <c r="D6320" s="2">
        <v>4.0983606557377E-4</v>
      </c>
      <c r="E6320" s="2">
        <v>8.5009917823746103E-4</v>
      </c>
      <c r="F6320" s="2">
        <v>2.8861817409164899E-3</v>
      </c>
    </row>
    <row r="6321" spans="1:6" x14ac:dyDescent="0.25">
      <c r="A6321" s="1" t="str">
        <f t="shared" si="238"/>
        <v>16940</v>
      </c>
      <c r="B6321" s="1" t="str">
        <f>"82003"</f>
        <v>82003</v>
      </c>
      <c r="C6321" s="2">
        <v>6.7468325462375398E-2</v>
      </c>
      <c r="D6321" s="2">
        <v>0.235450819672131</v>
      </c>
      <c r="E6321" s="2">
        <v>1.7001983564749201E-3</v>
      </c>
      <c r="F6321" s="2">
        <v>7.7873787095403296E-2</v>
      </c>
    </row>
    <row r="6322" spans="1:6" x14ac:dyDescent="0.25">
      <c r="A6322" s="1" t="str">
        <f t="shared" si="238"/>
        <v>16940</v>
      </c>
      <c r="B6322" s="1" t="str">
        <f>"82010"</f>
        <v>82010</v>
      </c>
      <c r="C6322" s="2">
        <v>0</v>
      </c>
      <c r="D6322" s="2">
        <v>0</v>
      </c>
      <c r="E6322" s="2">
        <v>5.6673278549163996E-4</v>
      </c>
      <c r="F6322" s="2">
        <v>3.5413272894680901E-5</v>
      </c>
    </row>
    <row r="6323" spans="1:6" x14ac:dyDescent="0.25">
      <c r="A6323" s="1" t="str">
        <f t="shared" ref="A6323:A6386" si="239">"16980"</f>
        <v>16980</v>
      </c>
      <c r="B6323" s="1" t="str">
        <f>"60179"</f>
        <v>60179</v>
      </c>
      <c r="C6323" s="2">
        <v>0</v>
      </c>
      <c r="D6323" s="2">
        <v>2.46892853439464E-6</v>
      </c>
      <c r="E6323" s="2">
        <v>0</v>
      </c>
      <c r="F6323" s="2">
        <v>2.0690726809367801E-7</v>
      </c>
    </row>
    <row r="6324" spans="1:6" x14ac:dyDescent="0.25">
      <c r="A6324" s="1" t="str">
        <f t="shared" si="239"/>
        <v>16980</v>
      </c>
      <c r="B6324" s="1" t="str">
        <f>"46380"</f>
        <v>46380</v>
      </c>
      <c r="C6324" s="2">
        <v>0</v>
      </c>
      <c r="D6324" s="2">
        <v>0</v>
      </c>
      <c r="E6324" s="2">
        <v>2.6752202375060499E-6</v>
      </c>
      <c r="F6324" s="2">
        <v>2.0690726809367801E-7</v>
      </c>
    </row>
    <row r="6325" spans="1:6" x14ac:dyDescent="0.25">
      <c r="A6325" s="1" t="str">
        <f t="shared" si="239"/>
        <v>16980</v>
      </c>
      <c r="B6325" s="1" t="str">
        <f>"60701"</f>
        <v>60701</v>
      </c>
      <c r="C6325" s="2">
        <v>0</v>
      </c>
      <c r="D6325" s="2">
        <v>0</v>
      </c>
      <c r="E6325" s="2">
        <v>8.0256607125181494E-6</v>
      </c>
      <c r="F6325" s="2">
        <v>6.2072180428103499E-7</v>
      </c>
    </row>
    <row r="6326" spans="1:6" x14ac:dyDescent="0.25">
      <c r="A6326" s="1" t="str">
        <f t="shared" si="239"/>
        <v>16980</v>
      </c>
      <c r="B6326" s="1" t="str">
        <f>"60038"</f>
        <v>60038</v>
      </c>
      <c r="C6326" s="2">
        <v>0</v>
      </c>
      <c r="D6326" s="2">
        <v>2.46892853439464E-6</v>
      </c>
      <c r="E6326" s="2">
        <v>0</v>
      </c>
      <c r="F6326" s="2">
        <v>2.0690726809367801E-7</v>
      </c>
    </row>
    <row r="6327" spans="1:6" x14ac:dyDescent="0.25">
      <c r="A6327" s="1" t="str">
        <f t="shared" si="239"/>
        <v>16980</v>
      </c>
      <c r="B6327" s="1" t="str">
        <f>"60668"</f>
        <v>60668</v>
      </c>
      <c r="C6327" s="2">
        <v>0</v>
      </c>
      <c r="D6327" s="2">
        <v>2.46892853439464E-6</v>
      </c>
      <c r="E6327" s="2">
        <v>0</v>
      </c>
      <c r="F6327" s="2">
        <v>2.0690726809367801E-7</v>
      </c>
    </row>
    <row r="6328" spans="1:6" x14ac:dyDescent="0.25">
      <c r="A6328" s="1" t="str">
        <f t="shared" si="239"/>
        <v>16980</v>
      </c>
      <c r="B6328" s="1" t="str">
        <f>"61012"</f>
        <v>61012</v>
      </c>
      <c r="C6328" s="2">
        <v>2.4665486669784299E-7</v>
      </c>
      <c r="D6328" s="2">
        <v>0</v>
      </c>
      <c r="E6328" s="2">
        <v>0</v>
      </c>
      <c r="F6328" s="2">
        <v>2.0690726809367801E-7</v>
      </c>
    </row>
    <row r="6329" spans="1:6" x14ac:dyDescent="0.25">
      <c r="A6329" s="1" t="str">
        <f t="shared" si="239"/>
        <v>16980</v>
      </c>
      <c r="B6329" s="1" t="str">
        <f>"46302"</f>
        <v>46302</v>
      </c>
      <c r="C6329" s="2">
        <v>1.10994690014029E-5</v>
      </c>
      <c r="D6329" s="2">
        <v>9.8757141375785702E-6</v>
      </c>
      <c r="E6329" s="2">
        <v>2.6752202375060499E-6</v>
      </c>
      <c r="F6329" s="2">
        <v>1.03453634046839E-5</v>
      </c>
    </row>
    <row r="6330" spans="1:6" x14ac:dyDescent="0.25">
      <c r="A6330" s="1" t="str">
        <f t="shared" si="239"/>
        <v>16980</v>
      </c>
      <c r="B6330" s="1" t="str">
        <f>"60196"</f>
        <v>60196</v>
      </c>
      <c r="C6330" s="2">
        <v>0</v>
      </c>
      <c r="D6330" s="2">
        <v>3.9502856550314199E-5</v>
      </c>
      <c r="E6330" s="2">
        <v>0</v>
      </c>
      <c r="F6330" s="2">
        <v>3.3105162894988499E-6</v>
      </c>
    </row>
    <row r="6331" spans="1:6" x14ac:dyDescent="0.25">
      <c r="A6331" s="1" t="str">
        <f t="shared" si="239"/>
        <v>16980</v>
      </c>
      <c r="B6331" s="1" t="str">
        <f>"60682"</f>
        <v>60682</v>
      </c>
      <c r="C6331" s="2">
        <v>0</v>
      </c>
      <c r="D6331" s="2">
        <v>2.7158213878340999E-5</v>
      </c>
      <c r="E6331" s="2">
        <v>4.2803523800096799E-5</v>
      </c>
      <c r="F6331" s="2">
        <v>5.58649623852931E-6</v>
      </c>
    </row>
    <row r="6332" spans="1:6" x14ac:dyDescent="0.25">
      <c r="A6332" s="1" t="str">
        <f t="shared" si="239"/>
        <v>16980</v>
      </c>
      <c r="B6332" s="1" t="str">
        <f>"47995"</f>
        <v>47995</v>
      </c>
      <c r="C6332" s="2">
        <v>2.7132035336762801E-6</v>
      </c>
      <c r="D6332" s="2">
        <v>0</v>
      </c>
      <c r="E6332" s="2">
        <v>0</v>
      </c>
      <c r="F6332" s="2">
        <v>2.27597994903046E-6</v>
      </c>
    </row>
    <row r="6333" spans="1:6" x14ac:dyDescent="0.25">
      <c r="A6333" s="1" t="str">
        <f t="shared" si="239"/>
        <v>16980</v>
      </c>
      <c r="B6333" s="1" t="str">
        <f>"47957"</f>
        <v>47957</v>
      </c>
      <c r="C6333" s="2">
        <v>1.10994690014029E-5</v>
      </c>
      <c r="D6333" s="2">
        <v>0</v>
      </c>
      <c r="E6333" s="2">
        <v>0</v>
      </c>
      <c r="F6333" s="2">
        <v>9.3108270642155307E-6</v>
      </c>
    </row>
    <row r="6334" spans="1:6" x14ac:dyDescent="0.25">
      <c r="A6334" s="1" t="str">
        <f t="shared" si="239"/>
        <v>16980</v>
      </c>
      <c r="B6334" s="1" t="str">
        <f>"46376"</f>
        <v>46376</v>
      </c>
      <c r="C6334" s="2">
        <v>4.6371114939194603E-5</v>
      </c>
      <c r="D6334" s="2">
        <v>2.46892853439464E-6</v>
      </c>
      <c r="E6334" s="2">
        <v>2.6752202375060499E-6</v>
      </c>
      <c r="F6334" s="2">
        <v>3.9312380937798903E-5</v>
      </c>
    </row>
    <row r="6335" spans="1:6" x14ac:dyDescent="0.25">
      <c r="A6335" s="1" t="str">
        <f t="shared" si="239"/>
        <v>16980</v>
      </c>
      <c r="B6335" s="1" t="str">
        <f>"46381"</f>
        <v>46381</v>
      </c>
      <c r="C6335" s="2">
        <v>3.97114335383528E-5</v>
      </c>
      <c r="D6335" s="2">
        <v>1.2344642671973199E-5</v>
      </c>
      <c r="E6335" s="2">
        <v>8.0256607125181494E-6</v>
      </c>
      <c r="F6335" s="2">
        <v>3.4967328307831597E-5</v>
      </c>
    </row>
    <row r="6336" spans="1:6" x14ac:dyDescent="0.25">
      <c r="A6336" s="1" t="str">
        <f t="shared" si="239"/>
        <v>16980</v>
      </c>
      <c r="B6336" s="1" t="str">
        <f>"60086"</f>
        <v>60086</v>
      </c>
      <c r="C6336" s="2">
        <v>0</v>
      </c>
      <c r="D6336" s="2">
        <v>2.46892853439464E-6</v>
      </c>
      <c r="E6336" s="2">
        <v>0</v>
      </c>
      <c r="F6336" s="2">
        <v>2.0690726809367801E-7</v>
      </c>
    </row>
    <row r="6337" spans="1:6" x14ac:dyDescent="0.25">
      <c r="A6337" s="1" t="str">
        <f t="shared" si="239"/>
        <v>16980</v>
      </c>
      <c r="B6337" s="1" t="str">
        <f>"60072"</f>
        <v>60072</v>
      </c>
      <c r="C6337" s="2">
        <v>1.1913430061505799E-4</v>
      </c>
      <c r="D6337" s="2">
        <v>2.5923749611143698E-4</v>
      </c>
      <c r="E6337" s="2">
        <v>1.12359249975254E-4</v>
      </c>
      <c r="F6337" s="2">
        <v>1.3035157889901701E-4</v>
      </c>
    </row>
    <row r="6338" spans="1:6" x14ac:dyDescent="0.25">
      <c r="A6338" s="1" t="str">
        <f t="shared" si="239"/>
        <v>16980</v>
      </c>
      <c r="B6338" s="1" t="str">
        <f>"60109"</f>
        <v>60109</v>
      </c>
      <c r="C6338" s="2">
        <v>6.6103504275022104E-5</v>
      </c>
      <c r="D6338" s="2">
        <v>2.46892853439464E-6</v>
      </c>
      <c r="E6338" s="2">
        <v>2.9427422612566502E-5</v>
      </c>
      <c r="F6338" s="2">
        <v>5.79340350662299E-5</v>
      </c>
    </row>
    <row r="6339" spans="1:6" x14ac:dyDescent="0.25">
      <c r="A6339" s="1" t="str">
        <f t="shared" si="239"/>
        <v>16980</v>
      </c>
      <c r="B6339" s="1" t="str">
        <f>"60121"</f>
        <v>60121</v>
      </c>
      <c r="C6339" s="2">
        <v>3.8305500798175099E-4</v>
      </c>
      <c r="D6339" s="2">
        <v>1.61467926149409E-3</v>
      </c>
      <c r="E6339" s="2">
        <v>1.3376101187530199E-5</v>
      </c>
      <c r="F6339" s="2">
        <v>4.5767887702321598E-4</v>
      </c>
    </row>
    <row r="6340" spans="1:6" x14ac:dyDescent="0.25">
      <c r="A6340" s="1" t="str">
        <f t="shared" si="239"/>
        <v>16980</v>
      </c>
      <c r="B6340" s="1" t="str">
        <f>"60479"</f>
        <v>60479</v>
      </c>
      <c r="C6340" s="2">
        <v>7.1529911342374706E-5</v>
      </c>
      <c r="D6340" s="2">
        <v>1.4813571206367799E-5</v>
      </c>
      <c r="E6340" s="2">
        <v>0</v>
      </c>
      <c r="F6340" s="2">
        <v>6.1244551355728799E-5</v>
      </c>
    </row>
    <row r="6341" spans="1:6" x14ac:dyDescent="0.25">
      <c r="A6341" s="1" t="str">
        <f t="shared" si="239"/>
        <v>16980</v>
      </c>
      <c r="B6341" s="1" t="str">
        <f>"60566"</f>
        <v>60566</v>
      </c>
      <c r="C6341" s="2">
        <v>7.7696283009820802E-5</v>
      </c>
      <c r="D6341" s="2">
        <v>4.7156535006937601E-4</v>
      </c>
      <c r="E6341" s="2">
        <v>5.3504404750120999E-6</v>
      </c>
      <c r="F6341" s="2">
        <v>1.0510889219158799E-4</v>
      </c>
    </row>
    <row r="6342" spans="1:6" x14ac:dyDescent="0.25">
      <c r="A6342" s="1" t="str">
        <f t="shared" si="239"/>
        <v>16980</v>
      </c>
      <c r="B6342" s="1" t="str">
        <f>"60567"</f>
        <v>60567</v>
      </c>
      <c r="C6342" s="2">
        <v>4.5951801665808302E-4</v>
      </c>
      <c r="D6342" s="2">
        <v>2.2393181806959401E-3</v>
      </c>
      <c r="E6342" s="2">
        <v>1.07008809500242E-5</v>
      </c>
      <c r="F6342" s="2">
        <v>5.7396076169186397E-4</v>
      </c>
    </row>
    <row r="6343" spans="1:6" x14ac:dyDescent="0.25">
      <c r="A6343" s="1" t="str">
        <f t="shared" si="239"/>
        <v>16980</v>
      </c>
      <c r="B6343" s="1" t="str">
        <f>"60465"</f>
        <v>60465</v>
      </c>
      <c r="C6343" s="2">
        <v>1.9276077832436401E-3</v>
      </c>
      <c r="D6343" s="2">
        <v>1.2838428378852101E-3</v>
      </c>
      <c r="E6343" s="2">
        <v>3.6784278265708202E-3</v>
      </c>
      <c r="F6343" s="2">
        <v>2.00906957318961E-3</v>
      </c>
    </row>
    <row r="6344" spans="1:6" x14ac:dyDescent="0.25">
      <c r="A6344" s="1" t="str">
        <f t="shared" si="239"/>
        <v>16980</v>
      </c>
      <c r="B6344" s="1" t="str">
        <f>"60440"</f>
        <v>60440</v>
      </c>
      <c r="C6344" s="2">
        <v>4.80804331654107E-3</v>
      </c>
      <c r="D6344" s="2">
        <v>4.84650671301668E-3</v>
      </c>
      <c r="E6344" s="2">
        <v>1.9930390769419999E-3</v>
      </c>
      <c r="F6344" s="2">
        <v>4.5935482589477498E-3</v>
      </c>
    </row>
    <row r="6345" spans="1:6" x14ac:dyDescent="0.25">
      <c r="A6345" s="1" t="str">
        <f t="shared" si="239"/>
        <v>16980</v>
      </c>
      <c r="B6345" s="1" t="str">
        <f>"60482"</f>
        <v>60482</v>
      </c>
      <c r="C6345" s="2">
        <v>1.4340513949812599E-3</v>
      </c>
      <c r="D6345" s="2">
        <v>1.1949614106469999E-3</v>
      </c>
      <c r="E6345" s="2">
        <v>1.66131176749125E-3</v>
      </c>
      <c r="F6345" s="2">
        <v>1.4315913879401601E-3</v>
      </c>
    </row>
    <row r="6346" spans="1:6" x14ac:dyDescent="0.25">
      <c r="A6346" s="1" t="str">
        <f t="shared" si="239"/>
        <v>16980</v>
      </c>
      <c r="B6346" s="1" t="str">
        <f>"60626"</f>
        <v>60626</v>
      </c>
      <c r="C6346" s="2">
        <v>5.6977274207201901E-3</v>
      </c>
      <c r="D6346" s="2">
        <v>2.7207592449028902E-3</v>
      </c>
      <c r="E6346" s="2">
        <v>1.6350946091636901E-2</v>
      </c>
      <c r="F6346" s="2">
        <v>6.2721869249917697E-3</v>
      </c>
    </row>
    <row r="6347" spans="1:6" x14ac:dyDescent="0.25">
      <c r="A6347" s="1" t="str">
        <f t="shared" si="239"/>
        <v>16980</v>
      </c>
      <c r="B6347" s="1" t="str">
        <f>"60608"</f>
        <v>60608</v>
      </c>
      <c r="C6347" s="2">
        <v>5.9026976149461003E-3</v>
      </c>
      <c r="D6347" s="2">
        <v>6.9845988238024402E-3</v>
      </c>
      <c r="E6347" s="2">
        <v>1.2576210336515899E-2</v>
      </c>
      <c r="F6347" s="2">
        <v>6.5095095614952098E-3</v>
      </c>
    </row>
    <row r="6348" spans="1:6" x14ac:dyDescent="0.25">
      <c r="A6348" s="1" t="str">
        <f t="shared" si="239"/>
        <v>16980</v>
      </c>
      <c r="B6348" s="1" t="str">
        <f>"60561"</f>
        <v>60561</v>
      </c>
      <c r="C6348" s="2">
        <v>2.4584090563774001E-3</v>
      </c>
      <c r="D6348" s="2">
        <v>1.3603796224514401E-3</v>
      </c>
      <c r="E6348" s="2">
        <v>1.53022597585346E-3</v>
      </c>
      <c r="F6348" s="2">
        <v>2.2946016031588899E-3</v>
      </c>
    </row>
    <row r="6349" spans="1:6" x14ac:dyDescent="0.25">
      <c r="A6349" s="1" t="str">
        <f t="shared" si="239"/>
        <v>16980</v>
      </c>
      <c r="B6349" s="1" t="str">
        <f>"60409"</f>
        <v>60409</v>
      </c>
      <c r="C6349" s="2">
        <v>4.3519784680167498E-3</v>
      </c>
      <c r="D6349" s="2">
        <v>3.3478670926391299E-3</v>
      </c>
      <c r="E6349" s="2">
        <v>5.8105783558631396E-3</v>
      </c>
      <c r="F6349" s="2">
        <v>4.3806406800793599E-3</v>
      </c>
    </row>
    <row r="6350" spans="1:6" x14ac:dyDescent="0.25">
      <c r="A6350" s="1" t="str">
        <f t="shared" si="239"/>
        <v>16980</v>
      </c>
      <c r="B6350" s="1" t="str">
        <f>"60423"</f>
        <v>60423</v>
      </c>
      <c r="C6350" s="2">
        <v>3.3853380454279E-3</v>
      </c>
      <c r="D6350" s="2">
        <v>4.9897045680115703E-3</v>
      </c>
      <c r="E6350" s="2">
        <v>1.0299597914398299E-3</v>
      </c>
      <c r="F6350" s="2">
        <v>3.3376211416191199E-3</v>
      </c>
    </row>
    <row r="6351" spans="1:6" x14ac:dyDescent="0.25">
      <c r="A6351" s="1" t="str">
        <f t="shared" si="239"/>
        <v>16980</v>
      </c>
      <c r="B6351" s="1" t="str">
        <f>"60416"</f>
        <v>60416</v>
      </c>
      <c r="C6351" s="2">
        <v>1.0551895197333701E-3</v>
      </c>
      <c r="D6351" s="2">
        <v>7.2833391764641898E-4</v>
      </c>
      <c r="E6351" s="2">
        <v>4.2268479752595602E-4</v>
      </c>
      <c r="F6351" s="2">
        <v>9.7887828535119306E-4</v>
      </c>
    </row>
    <row r="6352" spans="1:6" x14ac:dyDescent="0.25">
      <c r="A6352" s="1" t="str">
        <f t="shared" si="239"/>
        <v>16980</v>
      </c>
      <c r="B6352" s="1" t="str">
        <f>"60404"</f>
        <v>60404</v>
      </c>
      <c r="C6352" s="2">
        <v>2.0672144377946199E-3</v>
      </c>
      <c r="D6352" s="2">
        <v>1.4739503350336E-3</v>
      </c>
      <c r="E6352" s="2">
        <v>3.1835120826322001E-4</v>
      </c>
      <c r="F6352" s="2">
        <v>1.88223541784819E-3</v>
      </c>
    </row>
    <row r="6353" spans="1:6" x14ac:dyDescent="0.25">
      <c r="A6353" s="1" t="str">
        <f t="shared" si="239"/>
        <v>16980</v>
      </c>
      <c r="B6353" s="1" t="str">
        <f>"60437"</f>
        <v>60437</v>
      </c>
      <c r="C6353" s="2">
        <v>2.2938902602899401E-5</v>
      </c>
      <c r="D6353" s="2">
        <v>4.93785706878928E-6</v>
      </c>
      <c r="E6353" s="2">
        <v>0</v>
      </c>
      <c r="F6353" s="2">
        <v>1.96561904688994E-5</v>
      </c>
    </row>
    <row r="6354" spans="1:6" x14ac:dyDescent="0.25">
      <c r="A6354" s="1" t="str">
        <f t="shared" si="239"/>
        <v>16980</v>
      </c>
      <c r="B6354" s="1" t="str">
        <f>"60169"</f>
        <v>60169</v>
      </c>
      <c r="C6354" s="2">
        <v>3.2171194263399699E-3</v>
      </c>
      <c r="D6354" s="2">
        <v>2.52324496215132E-3</v>
      </c>
      <c r="E6354" s="2">
        <v>2.37827079114288E-3</v>
      </c>
      <c r="F6354" s="2">
        <v>3.09409128707286E-3</v>
      </c>
    </row>
    <row r="6355" spans="1:6" x14ac:dyDescent="0.25">
      <c r="A6355" s="1" t="str">
        <f t="shared" si="239"/>
        <v>16980</v>
      </c>
      <c r="B6355" s="1" t="str">
        <f>"60130"</f>
        <v>60130</v>
      </c>
      <c r="C6355" s="2">
        <v>2.1895552516767499E-3</v>
      </c>
      <c r="D6355" s="2">
        <v>1.75293925942019E-3</v>
      </c>
      <c r="E6355" s="2">
        <v>7.7126599447299403E-3</v>
      </c>
      <c r="F6355" s="2">
        <v>2.5801336331281702E-3</v>
      </c>
    </row>
    <row r="6356" spans="1:6" x14ac:dyDescent="0.25">
      <c r="A6356" s="1" t="str">
        <f t="shared" si="239"/>
        <v>16980</v>
      </c>
      <c r="B6356" s="1" t="str">
        <f>"60135"</f>
        <v>60135</v>
      </c>
      <c r="C6356" s="2">
        <v>7.6758994516368999E-4</v>
      </c>
      <c r="D6356" s="2">
        <v>5.2835070636045301E-4</v>
      </c>
      <c r="E6356" s="2">
        <v>5.2701838678869198E-4</v>
      </c>
      <c r="F6356" s="2">
        <v>7.2893430549402904E-4</v>
      </c>
    </row>
    <row r="6357" spans="1:6" x14ac:dyDescent="0.25">
      <c r="A6357" s="1" t="str">
        <f t="shared" si="239"/>
        <v>16980</v>
      </c>
      <c r="B6357" s="1" t="str">
        <f>"60140"</f>
        <v>60140</v>
      </c>
      <c r="C6357" s="2">
        <v>2.13553783586993E-3</v>
      </c>
      <c r="D6357" s="2">
        <v>7.2833391764641898E-4</v>
      </c>
      <c r="E6357" s="2">
        <v>3.6115473206331701E-4</v>
      </c>
      <c r="F6357" s="2">
        <v>1.88037325243535E-3</v>
      </c>
    </row>
    <row r="6358" spans="1:6" x14ac:dyDescent="0.25">
      <c r="A6358" s="1" t="str">
        <f t="shared" si="239"/>
        <v>16980</v>
      </c>
      <c r="B6358" s="1" t="str">
        <f>"60146"</f>
        <v>60146</v>
      </c>
      <c r="C6358" s="2">
        <v>2.3185557469597299E-4</v>
      </c>
      <c r="D6358" s="2">
        <v>7.9005713100628494E-5</v>
      </c>
      <c r="E6358" s="2">
        <v>7.7581386887675503E-5</v>
      </c>
      <c r="F6358" s="2">
        <v>2.07114175361772E-4</v>
      </c>
    </row>
    <row r="6359" spans="1:6" x14ac:dyDescent="0.25">
      <c r="A6359" s="1" t="str">
        <f t="shared" si="239"/>
        <v>16980</v>
      </c>
      <c r="B6359" s="1" t="str">
        <f>"60126"</f>
        <v>60126</v>
      </c>
      <c r="C6359" s="2">
        <v>4.6610370159891499E-3</v>
      </c>
      <c r="D6359" s="2">
        <v>5.7303831283299599E-3</v>
      </c>
      <c r="E6359" s="2">
        <v>2.6511432553684901E-3</v>
      </c>
      <c r="F6359" s="2">
        <v>4.5952035170924999E-3</v>
      </c>
    </row>
    <row r="6360" spans="1:6" x14ac:dyDescent="0.25">
      <c r="A6360" s="1" t="str">
        <f t="shared" si="239"/>
        <v>16980</v>
      </c>
      <c r="B6360" s="1" t="str">
        <f>"60187"</f>
        <v>60187</v>
      </c>
      <c r="C6360" s="2">
        <v>2.9004145774999398E-3</v>
      </c>
      <c r="D6360" s="2">
        <v>4.7428117145720998E-3</v>
      </c>
      <c r="E6360" s="2">
        <v>2.41037343399295E-3</v>
      </c>
      <c r="F6360" s="2">
        <v>3.0169148760739199E-3</v>
      </c>
    </row>
    <row r="6361" spans="1:6" x14ac:dyDescent="0.25">
      <c r="A6361" s="1" t="str">
        <f t="shared" si="239"/>
        <v>16980</v>
      </c>
      <c r="B6361" s="1" t="str">
        <f>"60188"</f>
        <v>60188</v>
      </c>
      <c r="C6361" s="2">
        <v>4.2402438134026303E-3</v>
      </c>
      <c r="D6361" s="2">
        <v>3.9502856550314202E-3</v>
      </c>
      <c r="E6361" s="2">
        <v>2.7849042672437999E-3</v>
      </c>
      <c r="F6361" s="2">
        <v>4.10338494083383E-3</v>
      </c>
    </row>
    <row r="6362" spans="1:6" x14ac:dyDescent="0.25">
      <c r="A6362" s="1" t="str">
        <f t="shared" si="239"/>
        <v>16980</v>
      </c>
      <c r="B6362" s="1" t="str">
        <f>"60138"</f>
        <v>60138</v>
      </c>
      <c r="C6362" s="2">
        <v>3.1892474264031198E-4</v>
      </c>
      <c r="D6362" s="2">
        <v>8.4437355876296801E-4</v>
      </c>
      <c r="E6362" s="2">
        <v>1.07008809500242E-5</v>
      </c>
      <c r="F6362" s="2">
        <v>3.3912101240553901E-4</v>
      </c>
    </row>
    <row r="6363" spans="1:6" x14ac:dyDescent="0.25">
      <c r="A6363" s="1" t="str">
        <f t="shared" si="239"/>
        <v>16980</v>
      </c>
      <c r="B6363" s="1" t="str">
        <f>"60141"</f>
        <v>60141</v>
      </c>
      <c r="C6363" s="2">
        <v>3.4457684877688702E-4</v>
      </c>
      <c r="D6363" s="2">
        <v>1.4319785499488901E-4</v>
      </c>
      <c r="E6363" s="2">
        <v>8.0256607125181494E-6</v>
      </c>
      <c r="F6363" s="2">
        <v>3.0167079688058298E-4</v>
      </c>
    </row>
    <row r="6364" spans="1:6" x14ac:dyDescent="0.25">
      <c r="A6364" s="1" t="str">
        <f t="shared" si="239"/>
        <v>16980</v>
      </c>
      <c r="B6364" s="1" t="str">
        <f>"60656"</f>
        <v>60656</v>
      </c>
      <c r="C6364" s="2">
        <v>2.9894569843778602E-3</v>
      </c>
      <c r="D6364" s="2">
        <v>1.26409140961005E-3</v>
      </c>
      <c r="E6364" s="2">
        <v>3.1861873028696999E-3</v>
      </c>
      <c r="F6364" s="2">
        <v>2.8600791668589101E-3</v>
      </c>
    </row>
    <row r="6365" spans="1:6" x14ac:dyDescent="0.25">
      <c r="A6365" s="1" t="str">
        <f t="shared" si="239"/>
        <v>16980</v>
      </c>
      <c r="B6365" s="1" t="str">
        <f>"60630"</f>
        <v>60630</v>
      </c>
      <c r="C6365" s="2">
        <v>4.8023702546070102E-3</v>
      </c>
      <c r="D6365" s="2">
        <v>3.9428788694282398E-3</v>
      </c>
      <c r="E6365" s="2">
        <v>6.9314956353781799E-3</v>
      </c>
      <c r="F6365" s="2">
        <v>4.8950121485602403E-3</v>
      </c>
    </row>
    <row r="6366" spans="1:6" x14ac:dyDescent="0.25">
      <c r="A6366" s="1" t="str">
        <f t="shared" si="239"/>
        <v>16980</v>
      </c>
      <c r="B6366" s="1" t="str">
        <f>"60632"</f>
        <v>60632</v>
      </c>
      <c r="C6366" s="2">
        <v>4.8517012279465799E-3</v>
      </c>
      <c r="D6366" s="2">
        <v>4.6317099305243498E-3</v>
      </c>
      <c r="E6366" s="2">
        <v>2.8063060291438399E-3</v>
      </c>
      <c r="F6366" s="2">
        <v>4.6750697225766604E-3</v>
      </c>
    </row>
    <row r="6367" spans="1:6" x14ac:dyDescent="0.25">
      <c r="A6367" s="1" t="str">
        <f t="shared" si="239"/>
        <v>16980</v>
      </c>
      <c r="B6367" s="1" t="str">
        <f>"60652"</f>
        <v>60652</v>
      </c>
      <c r="C6367" s="2">
        <v>3.3365003818217301E-3</v>
      </c>
      <c r="D6367" s="2">
        <v>2.22944246655836E-3</v>
      </c>
      <c r="E6367" s="2">
        <v>1.22257564854026E-3</v>
      </c>
      <c r="F6367" s="2">
        <v>3.0802285001105901E-3</v>
      </c>
    </row>
    <row r="6368" spans="1:6" x14ac:dyDescent="0.25">
      <c r="A6368" s="1" t="str">
        <f t="shared" si="239"/>
        <v>16980</v>
      </c>
      <c r="B6368" s="1" t="str">
        <f>"53139"</f>
        <v>53139</v>
      </c>
      <c r="C6368" s="2">
        <v>4.7851044139381698E-5</v>
      </c>
      <c r="D6368" s="2">
        <v>1.72824997407625E-5</v>
      </c>
      <c r="E6368" s="2">
        <v>1.07008809500242E-5</v>
      </c>
      <c r="F6368" s="2">
        <v>4.2415989959204001E-5</v>
      </c>
    </row>
    <row r="6369" spans="1:6" x14ac:dyDescent="0.25">
      <c r="A6369" s="1" t="str">
        <f t="shared" si="239"/>
        <v>16980</v>
      </c>
      <c r="B6369" s="1" t="str">
        <f>"53105"</f>
        <v>53105</v>
      </c>
      <c r="C6369" s="2">
        <v>4.5285833525724102E-4</v>
      </c>
      <c r="D6369" s="2">
        <v>7.9005713100628494E-5</v>
      </c>
      <c r="E6369" s="2">
        <v>1.07008809500242E-5</v>
      </c>
      <c r="F6369" s="2">
        <v>3.87330405871366E-4</v>
      </c>
    </row>
    <row r="6370" spans="1:6" x14ac:dyDescent="0.25">
      <c r="A6370" s="1" t="str">
        <f t="shared" si="239"/>
        <v>16980</v>
      </c>
      <c r="B6370" s="1" t="str">
        <f>"60090"</f>
        <v>60090</v>
      </c>
      <c r="C6370" s="2">
        <v>4.0984172650513698E-3</v>
      </c>
      <c r="D6370" s="2">
        <v>4.6045517166459996E-3</v>
      </c>
      <c r="E6370" s="2">
        <v>4.6789601953980799E-3</v>
      </c>
      <c r="F6370" s="2">
        <v>4.1857340335351096E-3</v>
      </c>
    </row>
    <row r="6371" spans="1:6" x14ac:dyDescent="0.25">
      <c r="A6371" s="1" t="str">
        <f t="shared" si="239"/>
        <v>16980</v>
      </c>
      <c r="B6371" s="1" t="str">
        <f>"60202"</f>
        <v>60202</v>
      </c>
      <c r="C6371" s="2">
        <v>3.7427409472730799E-3</v>
      </c>
      <c r="D6371" s="2">
        <v>2.3973296068971902E-3</v>
      </c>
      <c r="E6371" s="2">
        <v>9.2803390039084901E-3</v>
      </c>
      <c r="F6371" s="2">
        <v>4.0582791563894098E-3</v>
      </c>
    </row>
    <row r="6372" spans="1:6" x14ac:dyDescent="0.25">
      <c r="A6372" s="1" t="str">
        <f t="shared" si="239"/>
        <v>16980</v>
      </c>
      <c r="B6372" s="1" t="str">
        <f>"60076"</f>
        <v>60076</v>
      </c>
      <c r="C6372" s="2">
        <v>3.30394193941761E-3</v>
      </c>
      <c r="D6372" s="2">
        <v>4.1798960087301301E-3</v>
      </c>
      <c r="E6372" s="2">
        <v>3.4109058028202102E-3</v>
      </c>
      <c r="F6372" s="2">
        <v>3.3856236278168601E-3</v>
      </c>
    </row>
    <row r="6373" spans="1:6" x14ac:dyDescent="0.25">
      <c r="A6373" s="1" t="str">
        <f t="shared" si="239"/>
        <v>16980</v>
      </c>
      <c r="B6373" s="1" t="str">
        <f>"60208"</f>
        <v>60208</v>
      </c>
      <c r="C6373" s="2">
        <v>0</v>
      </c>
      <c r="D6373" s="2">
        <v>7.4067856031839302E-6</v>
      </c>
      <c r="E6373" s="2">
        <v>2.3274416066302599E-4</v>
      </c>
      <c r="F6373" s="2">
        <v>1.8621654128431E-5</v>
      </c>
    </row>
    <row r="6374" spans="1:6" x14ac:dyDescent="0.25">
      <c r="A6374" s="1" t="str">
        <f t="shared" si="239"/>
        <v>16980</v>
      </c>
      <c r="B6374" s="1" t="str">
        <f>"60035"</f>
        <v>60035</v>
      </c>
      <c r="C6374" s="2">
        <v>3.3263875322871199E-3</v>
      </c>
      <c r="D6374" s="2">
        <v>4.85144457008547E-3</v>
      </c>
      <c r="E6374" s="2">
        <v>1.50079855324089E-3</v>
      </c>
      <c r="F6374" s="2">
        <v>3.31299917671598E-3</v>
      </c>
    </row>
    <row r="6375" spans="1:6" x14ac:dyDescent="0.25">
      <c r="A6375" s="1" t="str">
        <f t="shared" si="239"/>
        <v>16980</v>
      </c>
      <c r="B6375" s="1" t="str">
        <f>"60016"</f>
        <v>60016</v>
      </c>
      <c r="C6375" s="2">
        <v>6.4823365516860302E-3</v>
      </c>
      <c r="D6375" s="2">
        <v>3.75277137227985E-3</v>
      </c>
      <c r="E6375" s="2">
        <v>7.1160858317660999E-3</v>
      </c>
      <c r="F6375" s="2">
        <v>6.3026022934015401E-3</v>
      </c>
    </row>
    <row r="6376" spans="1:6" x14ac:dyDescent="0.25">
      <c r="A6376" s="1" t="str">
        <f t="shared" si="239"/>
        <v>16980</v>
      </c>
      <c r="B6376" s="1" t="str">
        <f>"60043"</f>
        <v>60043</v>
      </c>
      <c r="C6376" s="2">
        <v>2.1039660129326001E-4</v>
      </c>
      <c r="D6376" s="2">
        <v>1.65418211804441E-4</v>
      </c>
      <c r="E6376" s="2">
        <v>6.4205285700145195E-5</v>
      </c>
      <c r="F6376" s="2">
        <v>1.9532046108043199E-4</v>
      </c>
    </row>
    <row r="6377" spans="1:6" x14ac:dyDescent="0.25">
      <c r="A6377" s="1" t="str">
        <f t="shared" si="239"/>
        <v>16980</v>
      </c>
      <c r="B6377" s="1" t="str">
        <f>"60062"</f>
        <v>60062</v>
      </c>
      <c r="C6377" s="2">
        <v>4.45384692796296E-3</v>
      </c>
      <c r="D6377" s="2">
        <v>7.7573734550679596E-3</v>
      </c>
      <c r="E6377" s="2">
        <v>1.8459019638791701E-3</v>
      </c>
      <c r="F6377" s="2">
        <v>4.5289931913025201E-3</v>
      </c>
    </row>
    <row r="6378" spans="1:6" x14ac:dyDescent="0.25">
      <c r="A6378" s="1" t="str">
        <f t="shared" si="239"/>
        <v>16980</v>
      </c>
      <c r="B6378" s="1" t="str">
        <f>"60064"</f>
        <v>60064</v>
      </c>
      <c r="C6378" s="2">
        <v>1.5711915008652601E-3</v>
      </c>
      <c r="D6378" s="2">
        <v>1.1431139114247101E-3</v>
      </c>
      <c r="E6378" s="2">
        <v>4.9545078798611999E-3</v>
      </c>
      <c r="F6378" s="2">
        <v>1.7969896233935899E-3</v>
      </c>
    </row>
    <row r="6379" spans="1:6" x14ac:dyDescent="0.25">
      <c r="A6379" s="1" t="str">
        <f t="shared" si="239"/>
        <v>16980</v>
      </c>
      <c r="B6379" s="1" t="str">
        <f>"60069"</f>
        <v>60069</v>
      </c>
      <c r="C6379" s="2">
        <v>1.1321458381431E-3</v>
      </c>
      <c r="D6379" s="2">
        <v>1.67640247485396E-3</v>
      </c>
      <c r="E6379" s="2">
        <v>3.2905208921324398E-4</v>
      </c>
      <c r="F6379" s="2">
        <v>1.1156439895611101E-3</v>
      </c>
    </row>
    <row r="6380" spans="1:6" x14ac:dyDescent="0.25">
      <c r="A6380" s="1" t="str">
        <f t="shared" si="239"/>
        <v>16980</v>
      </c>
      <c r="B6380" s="1" t="str">
        <f>"60011"</f>
        <v>60011</v>
      </c>
      <c r="C6380" s="2">
        <v>4.8837663606172998E-4</v>
      </c>
      <c r="D6380" s="2">
        <v>1.2418710528004999E-3</v>
      </c>
      <c r="E6380" s="2">
        <v>1.07008809500242E-5</v>
      </c>
      <c r="F6380" s="2">
        <v>5.1457837574897796E-4</v>
      </c>
    </row>
    <row r="6381" spans="1:6" x14ac:dyDescent="0.25">
      <c r="A6381" s="1" t="str">
        <f t="shared" si="239"/>
        <v>16980</v>
      </c>
      <c r="B6381" s="1" t="str">
        <f>"60103"</f>
        <v>60103</v>
      </c>
      <c r="C6381" s="2">
        <v>3.7977449825466999E-3</v>
      </c>
      <c r="D6381" s="2">
        <v>2.0837756830290699E-3</v>
      </c>
      <c r="E6381" s="2">
        <v>2.0920222257297299E-3</v>
      </c>
      <c r="F6381" s="2">
        <v>3.5221824247586801E-3</v>
      </c>
    </row>
    <row r="6382" spans="1:6" x14ac:dyDescent="0.25">
      <c r="A6382" s="1" t="str">
        <f t="shared" si="239"/>
        <v>16980</v>
      </c>
      <c r="B6382" s="1" t="str">
        <f>"60514"</f>
        <v>60514</v>
      </c>
      <c r="C6382" s="2">
        <v>1.0741819444690999E-3</v>
      </c>
      <c r="D6382" s="2">
        <v>7.8265034540310095E-4</v>
      </c>
      <c r="E6382" s="2">
        <v>6.5275373795147603E-4</v>
      </c>
      <c r="F6382" s="2">
        <v>1.01715612994852E-3</v>
      </c>
    </row>
    <row r="6383" spans="1:6" x14ac:dyDescent="0.25">
      <c r="A6383" s="1" t="str">
        <f t="shared" si="239"/>
        <v>16980</v>
      </c>
      <c r="B6383" s="1" t="str">
        <f>"60554"</f>
        <v>60554</v>
      </c>
      <c r="C6383" s="2">
        <v>1.4737628285196099E-3</v>
      </c>
      <c r="D6383" s="2">
        <v>1.64677533244122E-3</v>
      </c>
      <c r="E6383" s="2">
        <v>7.00907702226585E-4</v>
      </c>
      <c r="F6383" s="2">
        <v>1.42848777891875E-3</v>
      </c>
    </row>
    <row r="6384" spans="1:6" x14ac:dyDescent="0.25">
      <c r="A6384" s="1" t="str">
        <f t="shared" si="239"/>
        <v>16980</v>
      </c>
      <c r="B6384" s="1" t="str">
        <f>"60443"</f>
        <v>60443</v>
      </c>
      <c r="C6384" s="2">
        <v>2.54399829512156E-3</v>
      </c>
      <c r="D6384" s="2">
        <v>3.0713470967869299E-3</v>
      </c>
      <c r="E6384" s="2">
        <v>9.25626202177094E-4</v>
      </c>
      <c r="F6384" s="2">
        <v>2.4630241193871398E-3</v>
      </c>
    </row>
    <row r="6385" spans="1:6" x14ac:dyDescent="0.25">
      <c r="A6385" s="1" t="str">
        <f t="shared" si="239"/>
        <v>16980</v>
      </c>
      <c r="B6385" s="1" t="str">
        <f>"47943"</f>
        <v>47943</v>
      </c>
      <c r="C6385" s="2">
        <v>9.0522336078108605E-5</v>
      </c>
      <c r="D6385" s="2">
        <v>6.1723213359865994E-5</v>
      </c>
      <c r="E6385" s="2">
        <v>2.6752202375060499E-6</v>
      </c>
      <c r="F6385" s="2">
        <v>8.13145563608156E-5</v>
      </c>
    </row>
    <row r="6386" spans="1:6" x14ac:dyDescent="0.25">
      <c r="A6386" s="1" t="str">
        <f t="shared" si="239"/>
        <v>16980</v>
      </c>
      <c r="B6386" s="1" t="str">
        <f>"46373"</f>
        <v>46373</v>
      </c>
      <c r="C6386" s="2">
        <v>1.71745783681708E-3</v>
      </c>
      <c r="D6386" s="2">
        <v>1.4369164070176801E-3</v>
      </c>
      <c r="E6386" s="2">
        <v>1.65863654725375E-4</v>
      </c>
      <c r="F6386" s="2">
        <v>1.5739435883886099E-3</v>
      </c>
    </row>
    <row r="6387" spans="1:6" x14ac:dyDescent="0.25">
      <c r="A6387" s="1" t="str">
        <f t="shared" ref="A6387:A6450" si="240">"16980"</f>
        <v>16980</v>
      </c>
      <c r="B6387" s="1" t="str">
        <f>"46320"</f>
        <v>46320</v>
      </c>
      <c r="C6387" s="2">
        <v>1.58155100526657E-3</v>
      </c>
      <c r="D6387" s="2">
        <v>2.2368492521615399E-3</v>
      </c>
      <c r="E6387" s="2">
        <v>1.5810551603660701E-3</v>
      </c>
      <c r="F6387" s="2">
        <v>1.6364295833529001E-3</v>
      </c>
    </row>
    <row r="6388" spans="1:6" x14ac:dyDescent="0.25">
      <c r="A6388" s="1" t="str">
        <f t="shared" si="240"/>
        <v>16980</v>
      </c>
      <c r="B6388" s="1" t="str">
        <f>"60553"</f>
        <v>60553</v>
      </c>
      <c r="C6388" s="2">
        <v>2.4665486669784299E-7</v>
      </c>
      <c r="D6388" s="2">
        <v>0</v>
      </c>
      <c r="E6388" s="2">
        <v>0</v>
      </c>
      <c r="F6388" s="2">
        <v>2.0690726809367801E-7</v>
      </c>
    </row>
    <row r="6389" spans="1:6" x14ac:dyDescent="0.25">
      <c r="A6389" s="1" t="str">
        <f t="shared" si="240"/>
        <v>16980</v>
      </c>
      <c r="B6389" s="1" t="str">
        <f>"60670"</f>
        <v>60670</v>
      </c>
      <c r="C6389" s="2">
        <v>0</v>
      </c>
      <c r="D6389" s="2">
        <v>0</v>
      </c>
      <c r="E6389" s="2">
        <v>2.6752202375060499E-6</v>
      </c>
      <c r="F6389" s="2">
        <v>2.0690726809367801E-7</v>
      </c>
    </row>
    <row r="6390" spans="1:6" x14ac:dyDescent="0.25">
      <c r="A6390" s="1" t="str">
        <f t="shared" si="240"/>
        <v>16980</v>
      </c>
      <c r="B6390" s="1" t="str">
        <f>"60569"</f>
        <v>60569</v>
      </c>
      <c r="C6390" s="2">
        <v>0</v>
      </c>
      <c r="D6390" s="2">
        <v>2.46892853439464E-6</v>
      </c>
      <c r="E6390" s="2">
        <v>0</v>
      </c>
      <c r="F6390" s="2">
        <v>2.0690726809367801E-7</v>
      </c>
    </row>
    <row r="6391" spans="1:6" x14ac:dyDescent="0.25">
      <c r="A6391" s="1" t="str">
        <f t="shared" si="240"/>
        <v>16980</v>
      </c>
      <c r="B6391" s="1" t="str">
        <f>"60684"</f>
        <v>60684</v>
      </c>
      <c r="C6391" s="2">
        <v>0</v>
      </c>
      <c r="D6391" s="2">
        <v>2.46892853439464E-6</v>
      </c>
      <c r="E6391" s="2">
        <v>0</v>
      </c>
      <c r="F6391" s="2">
        <v>2.0690726809367801E-7</v>
      </c>
    </row>
    <row r="6392" spans="1:6" x14ac:dyDescent="0.25">
      <c r="A6392" s="1" t="str">
        <f t="shared" si="240"/>
        <v>16980</v>
      </c>
      <c r="B6392" s="1" t="str">
        <f>"60699"</f>
        <v>60699</v>
      </c>
      <c r="C6392" s="2">
        <v>0</v>
      </c>
      <c r="D6392" s="2">
        <v>2.46892853439464E-6</v>
      </c>
      <c r="E6392" s="2">
        <v>2.05991958287966E-4</v>
      </c>
      <c r="F6392" s="2">
        <v>1.6138766911306901E-5</v>
      </c>
    </row>
    <row r="6393" spans="1:6" x14ac:dyDescent="0.25">
      <c r="A6393" s="1" t="str">
        <f t="shared" si="240"/>
        <v>16980</v>
      </c>
      <c r="B6393" s="1" t="str">
        <f>"60677"</f>
        <v>60677</v>
      </c>
      <c r="C6393" s="2">
        <v>0</v>
      </c>
      <c r="D6393" s="2">
        <v>7.0117570376807799E-3</v>
      </c>
      <c r="E6393" s="2">
        <v>0</v>
      </c>
      <c r="F6393" s="2">
        <v>5.8761664138604595E-4</v>
      </c>
    </row>
    <row r="6394" spans="1:6" x14ac:dyDescent="0.25">
      <c r="A6394" s="1" t="str">
        <f t="shared" si="240"/>
        <v>16980</v>
      </c>
      <c r="B6394" s="1" t="str">
        <f>"60420"</f>
        <v>60420</v>
      </c>
      <c r="C6394" s="2">
        <v>2.5405451269877899E-5</v>
      </c>
      <c r="D6394" s="2">
        <v>4.4440713619103501E-5</v>
      </c>
      <c r="E6394" s="2">
        <v>0</v>
      </c>
      <c r="F6394" s="2">
        <v>2.5035779439335001E-5</v>
      </c>
    </row>
    <row r="6395" spans="1:6" x14ac:dyDescent="0.25">
      <c r="A6395" s="1" t="str">
        <f t="shared" si="240"/>
        <v>16980</v>
      </c>
      <c r="B6395" s="1" t="str">
        <f>"60673"</f>
        <v>60673</v>
      </c>
      <c r="C6395" s="2">
        <v>0</v>
      </c>
      <c r="D6395" s="2">
        <v>0</v>
      </c>
      <c r="E6395" s="2">
        <v>2.6671945767935301E-2</v>
      </c>
      <c r="F6395" s="2">
        <v>2.0628654628939702E-3</v>
      </c>
    </row>
    <row r="6396" spans="1:6" x14ac:dyDescent="0.25">
      <c r="A6396" s="1" t="str">
        <f t="shared" si="240"/>
        <v>16980</v>
      </c>
      <c r="B6396" s="1" t="str">
        <f>"60681"</f>
        <v>60681</v>
      </c>
      <c r="C6396" s="2">
        <v>8.0409486543497001E-5</v>
      </c>
      <c r="D6396" s="2">
        <v>1.8023178301080801E-4</v>
      </c>
      <c r="E6396" s="2">
        <v>2.6752202375060499E-6</v>
      </c>
      <c r="F6396" s="2">
        <v>8.2762907237471405E-5</v>
      </c>
    </row>
    <row r="6397" spans="1:6" x14ac:dyDescent="0.25">
      <c r="A6397" s="1" t="str">
        <f t="shared" si="240"/>
        <v>16980</v>
      </c>
      <c r="B6397" s="1" t="str">
        <f>"60693"</f>
        <v>60693</v>
      </c>
      <c r="C6397" s="2">
        <v>0</v>
      </c>
      <c r="D6397" s="2">
        <v>0</v>
      </c>
      <c r="E6397" s="2">
        <v>3.0256740886193401E-3</v>
      </c>
      <c r="F6397" s="2">
        <v>2.3401212021395001E-4</v>
      </c>
    </row>
    <row r="6398" spans="1:6" x14ac:dyDescent="0.25">
      <c r="A6398" s="1" t="str">
        <f t="shared" si="240"/>
        <v>16980</v>
      </c>
      <c r="B6398" s="1" t="str">
        <f>"60649"</f>
        <v>60649</v>
      </c>
      <c r="C6398" s="2">
        <v>7.2030620721771303E-3</v>
      </c>
      <c r="D6398" s="2">
        <v>3.1725731666971098E-3</v>
      </c>
      <c r="E6398" s="2">
        <v>1.01417599203854E-2</v>
      </c>
      <c r="F6398" s="2">
        <v>7.0925742429832003E-3</v>
      </c>
    </row>
    <row r="6399" spans="1:6" x14ac:dyDescent="0.25">
      <c r="A6399" s="1" t="str">
        <f t="shared" si="240"/>
        <v>16980</v>
      </c>
      <c r="B6399" s="1" t="str">
        <f>"60101"</f>
        <v>60101</v>
      </c>
      <c r="C6399" s="2">
        <v>3.5831552485195701E-3</v>
      </c>
      <c r="D6399" s="2">
        <v>6.2883609771031499E-3</v>
      </c>
      <c r="E6399" s="2">
        <v>5.1819016000492204E-3</v>
      </c>
      <c r="F6399" s="2">
        <v>3.9335140737289196E-3</v>
      </c>
    </row>
    <row r="6400" spans="1:6" x14ac:dyDescent="0.25">
      <c r="A6400" s="1" t="str">
        <f t="shared" si="240"/>
        <v>16980</v>
      </c>
      <c r="B6400" s="1" t="str">
        <f>"60507"</f>
        <v>60507</v>
      </c>
      <c r="C6400" s="2">
        <v>7.7992268849858199E-4</v>
      </c>
      <c r="D6400" s="2">
        <v>1.0196674847049801E-3</v>
      </c>
      <c r="E6400" s="2">
        <v>5.3504404750120999E-6</v>
      </c>
      <c r="F6400" s="2">
        <v>7.4010729797108796E-4</v>
      </c>
    </row>
    <row r="6401" spans="1:6" x14ac:dyDescent="0.25">
      <c r="A6401" s="1" t="str">
        <f t="shared" si="240"/>
        <v>16980</v>
      </c>
      <c r="B6401" s="1" t="str">
        <f>"60525"</f>
        <v>60525</v>
      </c>
      <c r="C6401" s="2">
        <v>3.5570098326496002E-3</v>
      </c>
      <c r="D6401" s="2">
        <v>5.4686767036841296E-3</v>
      </c>
      <c r="E6401" s="2">
        <v>4.1278648264718304E-3</v>
      </c>
      <c r="F6401" s="2">
        <v>3.7613672266749798E-3</v>
      </c>
    </row>
    <row r="6402" spans="1:6" x14ac:dyDescent="0.25">
      <c r="A6402" s="1" t="str">
        <f t="shared" si="240"/>
        <v>16980</v>
      </c>
      <c r="B6402" s="1" t="str">
        <f>"60527"</f>
        <v>60527</v>
      </c>
      <c r="C6402" s="2">
        <v>3.53999064684745E-3</v>
      </c>
      <c r="D6402" s="2">
        <v>4.4391335048415597E-3</v>
      </c>
      <c r="E6402" s="2">
        <v>3.7854366360710601E-3</v>
      </c>
      <c r="F6402" s="2">
        <v>3.6343261640654598E-3</v>
      </c>
    </row>
    <row r="6403" spans="1:6" x14ac:dyDescent="0.25">
      <c r="A6403" s="1" t="str">
        <f t="shared" si="240"/>
        <v>16980</v>
      </c>
      <c r="B6403" s="1" t="str">
        <f>"60513"</f>
        <v>60513</v>
      </c>
      <c r="C6403" s="2">
        <v>2.0477287033254898E-3</v>
      </c>
      <c r="D6403" s="2">
        <v>1.5183910486526999E-3</v>
      </c>
      <c r="E6403" s="2">
        <v>2.9507679219691698E-3</v>
      </c>
      <c r="F6403" s="2">
        <v>2.07321082629865E-3</v>
      </c>
    </row>
    <row r="6404" spans="1:6" x14ac:dyDescent="0.25">
      <c r="A6404" s="1" t="str">
        <f t="shared" si="240"/>
        <v>16980</v>
      </c>
      <c r="B6404" s="1" t="str">
        <f>"60522"</f>
        <v>60522</v>
      </c>
      <c r="C6404" s="2">
        <v>1.8647107922356899E-4</v>
      </c>
      <c r="D6404" s="2">
        <v>1.6245549756316699E-3</v>
      </c>
      <c r="E6404" s="2">
        <v>1.07008809500242E-5</v>
      </c>
      <c r="F6404" s="2">
        <v>2.93394506156836E-4</v>
      </c>
    </row>
    <row r="6405" spans="1:6" x14ac:dyDescent="0.25">
      <c r="A6405" s="1" t="str">
        <f t="shared" si="240"/>
        <v>16980</v>
      </c>
      <c r="B6405" s="1" t="str">
        <f>"60558"</f>
        <v>60558</v>
      </c>
      <c r="C6405" s="2">
        <v>1.30825741296536E-3</v>
      </c>
      <c r="D6405" s="2">
        <v>9.4806855720754295E-4</v>
      </c>
      <c r="E6405" s="2">
        <v>4.2000957728845E-4</v>
      </c>
      <c r="F6405" s="2">
        <v>1.2093729820075499E-3</v>
      </c>
    </row>
    <row r="6406" spans="1:6" x14ac:dyDescent="0.25">
      <c r="A6406" s="1" t="str">
        <f t="shared" si="240"/>
        <v>16980</v>
      </c>
      <c r="B6406" s="1" t="str">
        <f>"60541"</f>
        <v>60541</v>
      </c>
      <c r="C6406" s="2">
        <v>2.94259255970527E-4</v>
      </c>
      <c r="D6406" s="2">
        <v>1.5801142620125699E-4</v>
      </c>
      <c r="E6406" s="2">
        <v>7.2230946412663399E-5</v>
      </c>
      <c r="F6406" s="2">
        <v>2.65668932232283E-4</v>
      </c>
    </row>
    <row r="6407" spans="1:6" x14ac:dyDescent="0.25">
      <c r="A6407" s="1" t="str">
        <f t="shared" si="240"/>
        <v>16980</v>
      </c>
      <c r="B6407" s="1" t="str">
        <f>"60550"</f>
        <v>60550</v>
      </c>
      <c r="C6407" s="2">
        <v>1.5859907928671301E-4</v>
      </c>
      <c r="D6407" s="2">
        <v>5.9254284825471401E-5</v>
      </c>
      <c r="E6407" s="2">
        <v>2.9427422612566502E-5</v>
      </c>
      <c r="F6407" s="2">
        <v>1.4028312776751399E-4</v>
      </c>
    </row>
    <row r="6408" spans="1:6" x14ac:dyDescent="0.25">
      <c r="A6408" s="1" t="str">
        <f t="shared" si="240"/>
        <v>16980</v>
      </c>
      <c r="B6408" s="1" t="str">
        <f>"60552"</f>
        <v>60552</v>
      </c>
      <c r="C6408" s="2">
        <v>2.39501875563606E-4</v>
      </c>
      <c r="D6408" s="2">
        <v>6.9129998963049998E-5</v>
      </c>
      <c r="E6408" s="2">
        <v>8.2931827362687594E-5</v>
      </c>
      <c r="F6408" s="2">
        <v>2.13114486136488E-4</v>
      </c>
    </row>
    <row r="6409" spans="1:6" x14ac:dyDescent="0.25">
      <c r="A6409" s="1" t="str">
        <f t="shared" si="240"/>
        <v>16980</v>
      </c>
      <c r="B6409" s="1" t="str">
        <f>"60448"</f>
        <v>60448</v>
      </c>
      <c r="C6409" s="2">
        <v>2.5208127376519598E-3</v>
      </c>
      <c r="D6409" s="2">
        <v>4.2885288642434899E-3</v>
      </c>
      <c r="E6409" s="2">
        <v>1.1476694818900899E-3</v>
      </c>
      <c r="F6409" s="2">
        <v>2.5627534226083E-3</v>
      </c>
    </row>
    <row r="6410" spans="1:6" x14ac:dyDescent="0.25">
      <c r="A6410" s="1" t="str">
        <f t="shared" si="240"/>
        <v>16980</v>
      </c>
      <c r="B6410" s="1" t="str">
        <f>"60442"</f>
        <v>60442</v>
      </c>
      <c r="C6410" s="2">
        <v>1.2219282096211099E-3</v>
      </c>
      <c r="D6410" s="2">
        <v>3.25898566540092E-4</v>
      </c>
      <c r="E6410" s="2">
        <v>1.7121409520038701E-4</v>
      </c>
      <c r="F6410" s="2">
        <v>1.0655724306824401E-3</v>
      </c>
    </row>
    <row r="6411" spans="1:6" x14ac:dyDescent="0.25">
      <c r="A6411" s="1" t="str">
        <f t="shared" si="240"/>
        <v>16980</v>
      </c>
      <c r="B6411" s="1" t="str">
        <f>"60447"</f>
        <v>60447</v>
      </c>
      <c r="C6411" s="2">
        <v>1.5517057663961299E-3</v>
      </c>
      <c r="D6411" s="2">
        <v>1.3134699802979501E-3</v>
      </c>
      <c r="E6411" s="2">
        <v>6.3135197605142799E-4</v>
      </c>
      <c r="F6411" s="2">
        <v>1.46055840547327E-3</v>
      </c>
    </row>
    <row r="6412" spans="1:6" x14ac:dyDescent="0.25">
      <c r="A6412" s="1" t="str">
        <f t="shared" si="240"/>
        <v>16980</v>
      </c>
      <c r="B6412" s="1" t="str">
        <f>"60451"</f>
        <v>60451</v>
      </c>
      <c r="C6412" s="2">
        <v>3.5439371247146202E-3</v>
      </c>
      <c r="D6412" s="2">
        <v>4.3132181495874403E-3</v>
      </c>
      <c r="E6412" s="2">
        <v>1.39914018421566E-3</v>
      </c>
      <c r="F6412" s="2">
        <v>3.44252312654262E-3</v>
      </c>
    </row>
    <row r="6413" spans="1:6" x14ac:dyDescent="0.25">
      <c r="A6413" s="1" t="str">
        <f t="shared" si="240"/>
        <v>16980</v>
      </c>
      <c r="B6413" s="1" t="str">
        <f>"60491"</f>
        <v>60491</v>
      </c>
      <c r="C6413" s="2">
        <v>2.1170387208675899E-3</v>
      </c>
      <c r="D6413" s="2">
        <v>1.3628485509858399E-3</v>
      </c>
      <c r="E6413" s="2">
        <v>2.56821142800581E-4</v>
      </c>
      <c r="F6413" s="2">
        <v>1.9099609917727399E-3</v>
      </c>
    </row>
    <row r="6414" spans="1:6" x14ac:dyDescent="0.25">
      <c r="A6414" s="1" t="str">
        <f t="shared" si="240"/>
        <v>16980</v>
      </c>
      <c r="B6414" s="1" t="str">
        <f>"60476"</f>
        <v>60476</v>
      </c>
      <c r="C6414" s="2">
        <v>2.6416736223338998E-4</v>
      </c>
      <c r="D6414" s="2">
        <v>2.9627142412735701E-4</v>
      </c>
      <c r="E6414" s="2">
        <v>1.1503447021276E-4</v>
      </c>
      <c r="F6414" s="2">
        <v>2.5532356882759902E-4</v>
      </c>
    </row>
    <row r="6415" spans="1:6" x14ac:dyDescent="0.25">
      <c r="A6415" s="1" t="str">
        <f t="shared" si="240"/>
        <v>16980</v>
      </c>
      <c r="B6415" s="1" t="str">
        <f>"60615"</f>
        <v>60615</v>
      </c>
      <c r="C6415" s="2">
        <v>6.4702504632178299E-3</v>
      </c>
      <c r="D6415" s="2">
        <v>2.7503863873156302E-3</v>
      </c>
      <c r="E6415" s="2">
        <v>1.13991134320132E-2</v>
      </c>
      <c r="F6415" s="2">
        <v>6.5397180226368897E-3</v>
      </c>
    </row>
    <row r="6416" spans="1:6" x14ac:dyDescent="0.25">
      <c r="A6416" s="1" t="str">
        <f t="shared" si="240"/>
        <v>16980</v>
      </c>
      <c r="B6416" s="1" t="str">
        <f>"60622"</f>
        <v>60622</v>
      </c>
      <c r="C6416" s="2">
        <v>6.3669020740714398E-3</v>
      </c>
      <c r="D6416" s="2">
        <v>5.7649481278114903E-3</v>
      </c>
      <c r="E6416" s="2">
        <v>1.6029919663136199E-2</v>
      </c>
      <c r="F6416" s="2">
        <v>7.0638141327181801E-3</v>
      </c>
    </row>
    <row r="6417" spans="1:6" x14ac:dyDescent="0.25">
      <c r="A6417" s="1" t="str">
        <f t="shared" si="240"/>
        <v>16980</v>
      </c>
      <c r="B6417" s="1" t="str">
        <f>"60611"</f>
        <v>60611</v>
      </c>
      <c r="C6417" s="2">
        <v>7.7711082301822601E-3</v>
      </c>
      <c r="D6417" s="2">
        <v>1.02806184172192E-2</v>
      </c>
      <c r="E6417" s="2">
        <v>3.82556493963365E-3</v>
      </c>
      <c r="F6417" s="2">
        <v>7.6762596462754702E-3</v>
      </c>
    </row>
    <row r="6418" spans="1:6" x14ac:dyDescent="0.25">
      <c r="A6418" s="1" t="str">
        <f t="shared" si="240"/>
        <v>16980</v>
      </c>
      <c r="B6418" s="1" t="str">
        <f>"60610"</f>
        <v>60610</v>
      </c>
      <c r="C6418" s="2">
        <v>7.7572955576471802E-3</v>
      </c>
      <c r="D6418" s="2">
        <v>3.89350029874035E-3</v>
      </c>
      <c r="E6418" s="2">
        <v>5.1578246179116603E-3</v>
      </c>
      <c r="F6418" s="2">
        <v>7.23244355621453E-3</v>
      </c>
    </row>
    <row r="6419" spans="1:6" x14ac:dyDescent="0.25">
      <c r="A6419" s="1" t="str">
        <f t="shared" si="240"/>
        <v>16980</v>
      </c>
      <c r="B6419" s="1" t="str">
        <f>"60193"</f>
        <v>60193</v>
      </c>
      <c r="C6419" s="2">
        <v>4.1376353888563297E-3</v>
      </c>
      <c r="D6419" s="2">
        <v>3.0787538823901198E-3</v>
      </c>
      <c r="E6419" s="2">
        <v>5.4654749452248599E-3</v>
      </c>
      <c r="F6419" s="2">
        <v>4.1515943342996502E-3</v>
      </c>
    </row>
    <row r="6420" spans="1:6" x14ac:dyDescent="0.25">
      <c r="A6420" s="1" t="str">
        <f t="shared" si="240"/>
        <v>16980</v>
      </c>
      <c r="B6420" s="1" t="str">
        <f>"60304"</f>
        <v>60304</v>
      </c>
      <c r="C6420" s="2">
        <v>1.9367340133114601E-3</v>
      </c>
      <c r="D6420" s="2">
        <v>1.46407462089602E-3</v>
      </c>
      <c r="E6420" s="2">
        <v>3.7506587729834802E-3</v>
      </c>
      <c r="F6420" s="2">
        <v>2.0374158689184501E-3</v>
      </c>
    </row>
    <row r="6421" spans="1:6" x14ac:dyDescent="0.25">
      <c r="A6421" s="1" t="str">
        <f t="shared" si="240"/>
        <v>16980</v>
      </c>
      <c r="B6421" s="1" t="str">
        <f>"60401"</f>
        <v>60401</v>
      </c>
      <c r="C6421" s="2">
        <v>9.6368056418847498E-4</v>
      </c>
      <c r="D6421" s="2">
        <v>4.3206249351906203E-4</v>
      </c>
      <c r="E6421" s="2">
        <v>2.3274416066302599E-4</v>
      </c>
      <c r="F6421" s="2">
        <v>8.6259640068254496E-4</v>
      </c>
    </row>
    <row r="6422" spans="1:6" x14ac:dyDescent="0.25">
      <c r="A6422" s="1" t="str">
        <f t="shared" si="240"/>
        <v>16980</v>
      </c>
      <c r="B6422" s="1" t="str">
        <f>"60131"</f>
        <v>60131</v>
      </c>
      <c r="C6422" s="2">
        <v>1.8072402082951E-3</v>
      </c>
      <c r="D6422" s="2">
        <v>3.6441385167664902E-3</v>
      </c>
      <c r="E6422" s="2">
        <v>2.74477596368121E-3</v>
      </c>
      <c r="F6422" s="2">
        <v>2.0336915380927598E-3</v>
      </c>
    </row>
    <row r="6423" spans="1:6" x14ac:dyDescent="0.25">
      <c r="A6423" s="1" t="str">
        <f t="shared" si="240"/>
        <v>16980</v>
      </c>
      <c r="B6423" s="1" t="str">
        <f>"60176"</f>
        <v>60176</v>
      </c>
      <c r="C6423" s="2">
        <v>1.1743238203484299E-3</v>
      </c>
      <c r="D6423" s="2">
        <v>1.48876390623996E-3</v>
      </c>
      <c r="E6423" s="2">
        <v>3.02032364814433E-3</v>
      </c>
      <c r="F6423" s="2">
        <v>1.34344889173225E-3</v>
      </c>
    </row>
    <row r="6424" spans="1:6" x14ac:dyDescent="0.25">
      <c r="A6424" s="1" t="str">
        <f t="shared" si="240"/>
        <v>16980</v>
      </c>
      <c r="B6424" s="1" t="str">
        <f>"60185"</f>
        <v>60185</v>
      </c>
      <c r="C6424" s="2">
        <v>2.7657410202829198E-3</v>
      </c>
      <c r="D6424" s="2">
        <v>3.68117244478241E-3</v>
      </c>
      <c r="E6424" s="2">
        <v>1.34296055922803E-3</v>
      </c>
      <c r="F6424" s="2">
        <v>2.7324173824451099E-3</v>
      </c>
    </row>
    <row r="6425" spans="1:6" x14ac:dyDescent="0.25">
      <c r="A6425" s="1" t="str">
        <f t="shared" si="240"/>
        <v>16980</v>
      </c>
      <c r="B6425" s="1" t="str">
        <f>"60661"</f>
        <v>60661</v>
      </c>
      <c r="C6425" s="2">
        <v>2.5410384367211799E-3</v>
      </c>
      <c r="D6425" s="2">
        <v>4.0441049393384202E-3</v>
      </c>
      <c r="E6425" s="2">
        <v>1.2332765294902901E-3</v>
      </c>
      <c r="F6425" s="2">
        <v>2.5658570316297001E-3</v>
      </c>
    </row>
    <row r="6426" spans="1:6" x14ac:dyDescent="0.25">
      <c r="A6426" s="1" t="str">
        <f t="shared" si="240"/>
        <v>16980</v>
      </c>
      <c r="B6426" s="1" t="str">
        <f>"53141"</f>
        <v>53141</v>
      </c>
      <c r="C6426" s="2">
        <v>3.1423830017305302E-4</v>
      </c>
      <c r="D6426" s="2">
        <v>7.35740703249603E-4</v>
      </c>
      <c r="E6426" s="2">
        <v>5.3504404750120999E-6</v>
      </c>
      <c r="F6426" s="2">
        <v>3.25672039979449E-4</v>
      </c>
    </row>
    <row r="6427" spans="1:6" x14ac:dyDescent="0.25">
      <c r="A6427" s="1" t="str">
        <f t="shared" si="240"/>
        <v>16980</v>
      </c>
      <c r="B6427" s="1" t="str">
        <f>"53128"</f>
        <v>53128</v>
      </c>
      <c r="C6427" s="2">
        <v>1.6155893768708701E-4</v>
      </c>
      <c r="D6427" s="2">
        <v>7.4067856031839302E-6</v>
      </c>
      <c r="E6427" s="2">
        <v>5.3504404750120999E-6</v>
      </c>
      <c r="F6427" s="2">
        <v>1.3655879694182701E-4</v>
      </c>
    </row>
    <row r="6428" spans="1:6" x14ac:dyDescent="0.25">
      <c r="A6428" s="1" t="str">
        <f t="shared" si="240"/>
        <v>16980</v>
      </c>
      <c r="B6428" s="1" t="str">
        <f>"53168"</f>
        <v>53168</v>
      </c>
      <c r="C6428" s="2">
        <v>9.5159447572028104E-4</v>
      </c>
      <c r="D6428" s="2">
        <v>4.1971785084708903E-4</v>
      </c>
      <c r="E6428" s="2">
        <v>1.8726541662542301E-4</v>
      </c>
      <c r="F6428" s="2">
        <v>8.4790598464789396E-4</v>
      </c>
    </row>
    <row r="6429" spans="1:6" x14ac:dyDescent="0.25">
      <c r="A6429" s="1" t="str">
        <f t="shared" si="240"/>
        <v>16980</v>
      </c>
      <c r="B6429" s="1" t="str">
        <f>"60098"</f>
        <v>60098</v>
      </c>
      <c r="C6429" s="2">
        <v>3.6623314607295799E-3</v>
      </c>
      <c r="D6429" s="2">
        <v>3.90584494141232E-3</v>
      </c>
      <c r="E6429" s="2">
        <v>2.1803044935674301E-3</v>
      </c>
      <c r="F6429" s="2">
        <v>3.56811583827548E-3</v>
      </c>
    </row>
    <row r="6430" spans="1:6" x14ac:dyDescent="0.25">
      <c r="A6430" s="1" t="str">
        <f t="shared" si="240"/>
        <v>16980</v>
      </c>
      <c r="B6430" s="1" t="str">
        <f>"60203"</f>
        <v>60203</v>
      </c>
      <c r="C6430" s="2">
        <v>4.2843950345415399E-4</v>
      </c>
      <c r="D6430" s="2">
        <v>1.0122606991018E-4</v>
      </c>
      <c r="E6430" s="2">
        <v>1.65863654725375E-4</v>
      </c>
      <c r="F6430" s="2">
        <v>3.8070937329236801E-4</v>
      </c>
    </row>
    <row r="6431" spans="1:6" x14ac:dyDescent="0.25">
      <c r="A6431" s="1" t="str">
        <f t="shared" si="240"/>
        <v>16980</v>
      </c>
      <c r="B6431" s="1" t="str">
        <f>"60025"</f>
        <v>60025</v>
      </c>
      <c r="C6431" s="2">
        <v>4.2330908222683898E-3</v>
      </c>
      <c r="D6431" s="2">
        <v>4.7255292148313402E-3</v>
      </c>
      <c r="E6431" s="2">
        <v>2.7153485410686398E-3</v>
      </c>
      <c r="F6431" s="2">
        <v>4.1569739232700902E-3</v>
      </c>
    </row>
    <row r="6432" spans="1:6" x14ac:dyDescent="0.25">
      <c r="A6432" s="1" t="str">
        <f t="shared" si="240"/>
        <v>16980</v>
      </c>
      <c r="B6432" s="1" t="str">
        <f>"60018"</f>
        <v>60018</v>
      </c>
      <c r="C6432" s="2">
        <v>2.7371290557459699E-3</v>
      </c>
      <c r="D6432" s="2">
        <v>5.7921063416898301E-3</v>
      </c>
      <c r="E6432" s="2">
        <v>2.3809460113803798E-3</v>
      </c>
      <c r="F6432" s="2">
        <v>2.96560187358669E-3</v>
      </c>
    </row>
    <row r="6433" spans="1:6" x14ac:dyDescent="0.25">
      <c r="A6433" s="1" t="str">
        <f t="shared" si="240"/>
        <v>16980</v>
      </c>
      <c r="B6433" s="1" t="str">
        <f>"60053"</f>
        <v>60053</v>
      </c>
      <c r="C6433" s="2">
        <v>2.5188394987183801E-3</v>
      </c>
      <c r="D6433" s="2">
        <v>2.3652335359500599E-3</v>
      </c>
      <c r="E6433" s="2">
        <v>5.9389889272634297E-4</v>
      </c>
      <c r="F6433" s="2">
        <v>2.3570875981231798E-3</v>
      </c>
    </row>
    <row r="6434" spans="1:6" x14ac:dyDescent="0.25">
      <c r="A6434" s="1" t="str">
        <f t="shared" si="240"/>
        <v>16980</v>
      </c>
      <c r="B6434" s="1" t="str">
        <f>"60021"</f>
        <v>60021</v>
      </c>
      <c r="C6434" s="2">
        <v>5.3622768020111203E-4</v>
      </c>
      <c r="D6434" s="2">
        <v>4.6662749300058703E-4</v>
      </c>
      <c r="E6434" s="2">
        <v>2.9159900588815902E-4</v>
      </c>
      <c r="F6434" s="2">
        <v>5.1147476672757297E-4</v>
      </c>
    </row>
    <row r="6435" spans="1:6" x14ac:dyDescent="0.25">
      <c r="A6435" s="1" t="str">
        <f t="shared" si="240"/>
        <v>16980</v>
      </c>
      <c r="B6435" s="1" t="str">
        <f>"60060"</f>
        <v>60060</v>
      </c>
      <c r="C6435" s="2">
        <v>3.89591361949244E-3</v>
      </c>
      <c r="D6435" s="2">
        <v>3.9157206555499001E-3</v>
      </c>
      <c r="E6435" s="2">
        <v>1.4526445889657799E-3</v>
      </c>
      <c r="F6435" s="2">
        <v>3.7086058733110899E-3</v>
      </c>
    </row>
    <row r="6436" spans="1:6" x14ac:dyDescent="0.25">
      <c r="A6436" s="1" t="str">
        <f t="shared" si="240"/>
        <v>16980</v>
      </c>
      <c r="B6436" s="1" t="str">
        <f>"47963"</f>
        <v>47963</v>
      </c>
      <c r="C6436" s="2">
        <v>2.4616155696444798E-4</v>
      </c>
      <c r="D6436" s="2">
        <v>1.5801142620125699E-4</v>
      </c>
      <c r="E6436" s="2">
        <v>4.2803523800096799E-5</v>
      </c>
      <c r="F6436" s="2">
        <v>2.2304603500498499E-4</v>
      </c>
    </row>
    <row r="6437" spans="1:6" x14ac:dyDescent="0.25">
      <c r="A6437" s="1" t="str">
        <f t="shared" si="240"/>
        <v>16980</v>
      </c>
      <c r="B6437" s="1" t="str">
        <f>"46408"</f>
        <v>46408</v>
      </c>
      <c r="C6437" s="2">
        <v>1.9692924557155799E-3</v>
      </c>
      <c r="D6437" s="2">
        <v>1.5480181910654399E-3</v>
      </c>
      <c r="E6437" s="2">
        <v>6.2065109510140402E-4</v>
      </c>
      <c r="F6437" s="2">
        <v>1.8296809717523899E-3</v>
      </c>
    </row>
    <row r="6438" spans="1:6" x14ac:dyDescent="0.25">
      <c r="A6438" s="1" t="str">
        <f t="shared" si="240"/>
        <v>16980</v>
      </c>
      <c r="B6438" s="1" t="str">
        <f>"46303"</f>
        <v>46303</v>
      </c>
      <c r="C6438" s="2">
        <v>2.0127037122543998E-3</v>
      </c>
      <c r="D6438" s="2">
        <v>1.08879748366803E-3</v>
      </c>
      <c r="E6438" s="2">
        <v>4.6816354156355898E-4</v>
      </c>
      <c r="F6438" s="2">
        <v>1.8158181847901199E-3</v>
      </c>
    </row>
    <row r="6439" spans="1:6" x14ac:dyDescent="0.25">
      <c r="A6439" s="1" t="str">
        <f t="shared" si="240"/>
        <v>16980</v>
      </c>
      <c r="B6439" s="1" t="str">
        <f>"60199"</f>
        <v>60199</v>
      </c>
      <c r="C6439" s="2">
        <v>0</v>
      </c>
      <c r="D6439" s="2">
        <v>0</v>
      </c>
      <c r="E6439" s="2">
        <v>2.6752202375060499E-6</v>
      </c>
      <c r="F6439" s="2">
        <v>2.0690726809367801E-7</v>
      </c>
    </row>
    <row r="6440" spans="1:6" x14ac:dyDescent="0.25">
      <c r="A6440" s="1" t="str">
        <f t="shared" si="240"/>
        <v>16980</v>
      </c>
      <c r="B6440" s="1" t="str">
        <f>"60082"</f>
        <v>60082</v>
      </c>
      <c r="C6440" s="2">
        <v>0</v>
      </c>
      <c r="D6440" s="2">
        <v>2.46892853439464E-6</v>
      </c>
      <c r="E6440" s="2">
        <v>0</v>
      </c>
      <c r="F6440" s="2">
        <v>2.0690726809367801E-7</v>
      </c>
    </row>
    <row r="6441" spans="1:6" x14ac:dyDescent="0.25">
      <c r="A6441" s="1" t="str">
        <f t="shared" si="240"/>
        <v>16980</v>
      </c>
      <c r="B6441" s="1" t="str">
        <f>"47959"</f>
        <v>47959</v>
      </c>
      <c r="C6441" s="2">
        <v>4.4397876005611798E-6</v>
      </c>
      <c r="D6441" s="2">
        <v>2.46892853439464E-6</v>
      </c>
      <c r="E6441" s="2">
        <v>0</v>
      </c>
      <c r="F6441" s="2">
        <v>3.9312380937798901E-6</v>
      </c>
    </row>
    <row r="6442" spans="1:6" x14ac:dyDescent="0.25">
      <c r="A6442" s="1" t="str">
        <f t="shared" si="240"/>
        <v>16980</v>
      </c>
      <c r="B6442" s="1" t="str">
        <f>"60183"</f>
        <v>60183</v>
      </c>
      <c r="C6442" s="2">
        <v>0</v>
      </c>
      <c r="D6442" s="2">
        <v>1.2344642671973199E-5</v>
      </c>
      <c r="E6442" s="2">
        <v>2.6752202375060499E-6</v>
      </c>
      <c r="F6442" s="2">
        <v>1.24144360856207E-6</v>
      </c>
    </row>
    <row r="6443" spans="1:6" x14ac:dyDescent="0.25">
      <c r="A6443" s="1" t="str">
        <f t="shared" si="240"/>
        <v>16980</v>
      </c>
      <c r="B6443" s="1" t="str">
        <f>"46379"</f>
        <v>46379</v>
      </c>
      <c r="C6443" s="2">
        <v>0</v>
      </c>
      <c r="D6443" s="2">
        <v>0</v>
      </c>
      <c r="E6443" s="2">
        <v>2.6752202375060499E-6</v>
      </c>
      <c r="F6443" s="2">
        <v>2.0690726809367801E-7</v>
      </c>
    </row>
    <row r="6444" spans="1:6" x14ac:dyDescent="0.25">
      <c r="A6444" s="1" t="str">
        <f t="shared" si="240"/>
        <v>16980</v>
      </c>
      <c r="B6444" s="1" t="str">
        <f>"60519"</f>
        <v>60519</v>
      </c>
      <c r="C6444" s="2">
        <v>6.6596814008417799E-6</v>
      </c>
      <c r="D6444" s="2">
        <v>2.46892853439464E-6</v>
      </c>
      <c r="E6444" s="2">
        <v>0</v>
      </c>
      <c r="F6444" s="2">
        <v>5.7934035066229903E-6</v>
      </c>
    </row>
    <row r="6445" spans="1:6" x14ac:dyDescent="0.25">
      <c r="A6445" s="1" t="str">
        <f t="shared" si="240"/>
        <v>16980</v>
      </c>
      <c r="B6445" s="1" t="str">
        <f>"60499"</f>
        <v>60499</v>
      </c>
      <c r="C6445" s="2">
        <v>1.18640990881662E-4</v>
      </c>
      <c r="D6445" s="2">
        <v>6.3451463333942298E-4</v>
      </c>
      <c r="E6445" s="2">
        <v>5.3504404750120999E-6</v>
      </c>
      <c r="F6445" s="2">
        <v>1.5311137838932201E-4</v>
      </c>
    </row>
    <row r="6446" spans="1:6" x14ac:dyDescent="0.25">
      <c r="A6446" s="1" t="str">
        <f t="shared" si="240"/>
        <v>16980</v>
      </c>
      <c r="B6446" s="1" t="str">
        <f>"47946"</f>
        <v>47946</v>
      </c>
      <c r="C6446" s="2">
        <v>1.5292601735266299E-5</v>
      </c>
      <c r="D6446" s="2">
        <v>4.93785706878928E-6</v>
      </c>
      <c r="E6446" s="2">
        <v>0</v>
      </c>
      <c r="F6446" s="2">
        <v>1.32420651579954E-5</v>
      </c>
    </row>
    <row r="6447" spans="1:6" x14ac:dyDescent="0.25">
      <c r="A6447" s="1" t="str">
        <f t="shared" si="240"/>
        <v>16980</v>
      </c>
      <c r="B6447" s="1" t="str">
        <f>"53101"</f>
        <v>53101</v>
      </c>
      <c r="C6447" s="2">
        <v>0</v>
      </c>
      <c r="D6447" s="2">
        <v>0</v>
      </c>
      <c r="E6447" s="2">
        <v>2.6752202375060499E-6</v>
      </c>
      <c r="F6447" s="2">
        <v>2.0690726809367801E-7</v>
      </c>
    </row>
    <row r="6448" spans="1:6" x14ac:dyDescent="0.25">
      <c r="A6448" s="1" t="str">
        <f t="shared" si="240"/>
        <v>16980</v>
      </c>
      <c r="B6448" s="1" t="str">
        <f>"60678"</f>
        <v>60678</v>
      </c>
      <c r="C6448" s="2">
        <v>0</v>
      </c>
      <c r="D6448" s="2">
        <v>0</v>
      </c>
      <c r="E6448" s="2">
        <v>1.8004232198415701E-3</v>
      </c>
      <c r="F6448" s="2">
        <v>1.39248591427045E-4</v>
      </c>
    </row>
    <row r="6449" spans="1:6" x14ac:dyDescent="0.25">
      <c r="A6449" s="1" t="str">
        <f t="shared" si="240"/>
        <v>16980</v>
      </c>
      <c r="B6449" s="1" t="str">
        <f>"47948"</f>
        <v>47948</v>
      </c>
      <c r="C6449" s="2">
        <v>1.48732884618799E-4</v>
      </c>
      <c r="D6449" s="2">
        <v>1.06163926978969E-4</v>
      </c>
      <c r="E6449" s="2">
        <v>1.87265416625423E-5</v>
      </c>
      <c r="F6449" s="2">
        <v>1.3511044606517199E-4</v>
      </c>
    </row>
    <row r="6450" spans="1:6" x14ac:dyDescent="0.25">
      <c r="A6450" s="1" t="str">
        <f t="shared" si="240"/>
        <v>16980</v>
      </c>
      <c r="B6450" s="1" t="str">
        <f>"60204"</f>
        <v>60204</v>
      </c>
      <c r="C6450" s="2">
        <v>5.7174598100560197E-4</v>
      </c>
      <c r="D6450" s="2">
        <v>1.35050390831386E-3</v>
      </c>
      <c r="E6450" s="2">
        <v>1.6051321425036299E-5</v>
      </c>
      <c r="F6450" s="2">
        <v>5.9403076669695002E-4</v>
      </c>
    </row>
    <row r="6451" spans="1:6" x14ac:dyDescent="0.25">
      <c r="A6451" s="1" t="str">
        <f t="shared" ref="A6451:A6514" si="241">"16980"</f>
        <v>16980</v>
      </c>
      <c r="B6451" s="1" t="str">
        <f>"60412"</f>
        <v>60412</v>
      </c>
      <c r="C6451" s="2">
        <v>2.8044658343544802E-4</v>
      </c>
      <c r="D6451" s="2">
        <v>3.3577428067767099E-4</v>
      </c>
      <c r="E6451" s="2">
        <v>5.3504404750120999E-6</v>
      </c>
      <c r="F6451" s="2">
        <v>2.6380676681943998E-4</v>
      </c>
    </row>
    <row r="6452" spans="1:6" x14ac:dyDescent="0.25">
      <c r="A6452" s="1" t="str">
        <f t="shared" si="241"/>
        <v>16980</v>
      </c>
      <c r="B6452" s="1" t="str">
        <f>"47977"</f>
        <v>47977</v>
      </c>
      <c r="C6452" s="2">
        <v>2.4122845963049099E-4</v>
      </c>
      <c r="D6452" s="2">
        <v>2.1479678249233301E-4</v>
      </c>
      <c r="E6452" s="2">
        <v>5.0829184512615003E-5</v>
      </c>
      <c r="F6452" s="2">
        <v>2.24287478613547E-4</v>
      </c>
    </row>
    <row r="6453" spans="1:6" x14ac:dyDescent="0.25">
      <c r="A6453" s="1" t="str">
        <f t="shared" si="241"/>
        <v>16980</v>
      </c>
      <c r="B6453" s="1" t="str">
        <f>"60506"</f>
        <v>60506</v>
      </c>
      <c r="C6453" s="2">
        <v>4.6607903611224502E-3</v>
      </c>
      <c r="D6453" s="2">
        <v>4.79959707086318E-3</v>
      </c>
      <c r="E6453" s="2">
        <v>4.18671967169697E-3</v>
      </c>
      <c r="F6453" s="2">
        <v>4.6357573416388603E-3</v>
      </c>
    </row>
    <row r="6454" spans="1:6" x14ac:dyDescent="0.25">
      <c r="A6454" s="1" t="str">
        <f t="shared" si="241"/>
        <v>16980</v>
      </c>
      <c r="B6454" s="1" t="str">
        <f>"60532"</f>
        <v>60532</v>
      </c>
      <c r="C6454" s="2">
        <v>3.7545803808745701E-3</v>
      </c>
      <c r="D6454" s="2">
        <v>4.6045517166459996E-3</v>
      </c>
      <c r="E6454" s="2">
        <v>2.9962466660067699E-3</v>
      </c>
      <c r="F6454" s="2">
        <v>3.7671606301815999E-3</v>
      </c>
    </row>
    <row r="6455" spans="1:6" x14ac:dyDescent="0.25">
      <c r="A6455" s="1" t="str">
        <f t="shared" si="241"/>
        <v>16980</v>
      </c>
      <c r="B6455" s="1" t="str">
        <f>"60534"</f>
        <v>60534</v>
      </c>
      <c r="C6455" s="2">
        <v>1.2004692362184001E-3</v>
      </c>
      <c r="D6455" s="2">
        <v>1.29124962348839E-3</v>
      </c>
      <c r="E6455" s="2">
        <v>1.89940636862929E-3</v>
      </c>
      <c r="F6455" s="2">
        <v>1.2621343353714301E-3</v>
      </c>
    </row>
    <row r="6456" spans="1:6" x14ac:dyDescent="0.25">
      <c r="A6456" s="1" t="str">
        <f t="shared" si="241"/>
        <v>16980</v>
      </c>
      <c r="B6456" s="1" t="str">
        <f>"60501"</f>
        <v>60501</v>
      </c>
      <c r="C6456" s="2">
        <v>1.0973675019386999E-3</v>
      </c>
      <c r="D6456" s="2">
        <v>1.15545855409669E-3</v>
      </c>
      <c r="E6456" s="2">
        <v>2.5789123089558301E-3</v>
      </c>
      <c r="F6456" s="2">
        <v>1.2168216436589201E-3</v>
      </c>
    </row>
    <row r="6457" spans="1:6" x14ac:dyDescent="0.25">
      <c r="A6457" s="1" t="str">
        <f t="shared" si="241"/>
        <v>16980</v>
      </c>
      <c r="B6457" s="1" t="str">
        <f>"60462"</f>
        <v>60462</v>
      </c>
      <c r="C6457" s="2">
        <v>4.4861587155003799E-3</v>
      </c>
      <c r="D6457" s="2">
        <v>5.6958181288484398E-3</v>
      </c>
      <c r="E6457" s="2">
        <v>4.3311815645222899E-3</v>
      </c>
      <c r="F6457" s="2">
        <v>4.5755473266235998E-3</v>
      </c>
    </row>
    <row r="6458" spans="1:6" x14ac:dyDescent="0.25">
      <c r="A6458" s="1" t="str">
        <f t="shared" si="241"/>
        <v>16980</v>
      </c>
      <c r="B6458" s="1" t="str">
        <f>"60464"</f>
        <v>60464</v>
      </c>
      <c r="C6458" s="2">
        <v>1.1037805284728501E-3</v>
      </c>
      <c r="D6458" s="2">
        <v>7.2833391764641898E-4</v>
      </c>
      <c r="E6458" s="2">
        <v>6.3402719628893401E-4</v>
      </c>
      <c r="F6458" s="2">
        <v>1.03598469134504E-3</v>
      </c>
    </row>
    <row r="6459" spans="1:6" x14ac:dyDescent="0.25">
      <c r="A6459" s="1" t="str">
        <f t="shared" si="241"/>
        <v>16980</v>
      </c>
      <c r="B6459" s="1" t="str">
        <f>"60449"</f>
        <v>60449</v>
      </c>
      <c r="C6459" s="2">
        <v>1.01399815699483E-3</v>
      </c>
      <c r="D6459" s="2">
        <v>8.3696677315978399E-4</v>
      </c>
      <c r="E6459" s="2">
        <v>3.9593259515089497E-4</v>
      </c>
      <c r="F6459" s="2">
        <v>9.5135961869473296E-4</v>
      </c>
    </row>
    <row r="6460" spans="1:6" x14ac:dyDescent="0.25">
      <c r="A6460" s="1" t="str">
        <f t="shared" si="241"/>
        <v>16980</v>
      </c>
      <c r="B6460" s="1" t="str">
        <f>"60621"</f>
        <v>60621</v>
      </c>
      <c r="C6460" s="2">
        <v>3.2590507536786099E-3</v>
      </c>
      <c r="D6460" s="2">
        <v>1.9479846136373699E-3</v>
      </c>
      <c r="E6460" s="2">
        <v>6.5382382604647904E-3</v>
      </c>
      <c r="F6460" s="2">
        <v>3.4027969310686302E-3</v>
      </c>
    </row>
    <row r="6461" spans="1:6" x14ac:dyDescent="0.25">
      <c r="A6461" s="1" t="str">
        <f t="shared" si="241"/>
        <v>16980</v>
      </c>
      <c r="B6461" s="1" t="str">
        <f>"60620"</f>
        <v>60620</v>
      </c>
      <c r="C6461" s="2">
        <v>6.6658477725092197E-3</v>
      </c>
      <c r="D6461" s="2">
        <v>5.31066527748287E-3</v>
      </c>
      <c r="E6461" s="2">
        <v>7.5441210697670602E-3</v>
      </c>
      <c r="F6461" s="2">
        <v>6.6202049499253304E-3</v>
      </c>
    </row>
    <row r="6462" spans="1:6" x14ac:dyDescent="0.25">
      <c r="A6462" s="1" t="str">
        <f t="shared" si="241"/>
        <v>16980</v>
      </c>
      <c r="B6462" s="1" t="str">
        <f>"60606"</f>
        <v>60606</v>
      </c>
      <c r="C6462" s="2">
        <v>8.0656141410194904E-4</v>
      </c>
      <c r="D6462" s="2">
        <v>1.3250739444096001E-2</v>
      </c>
      <c r="E6462" s="2">
        <v>1.7308674936664099E-3</v>
      </c>
      <c r="F6462" s="2">
        <v>1.9209270769817101E-3</v>
      </c>
    </row>
    <row r="6463" spans="1:6" x14ac:dyDescent="0.25">
      <c r="A6463" s="1" t="str">
        <f t="shared" si="241"/>
        <v>16980</v>
      </c>
      <c r="B6463" s="1" t="str">
        <f>"60607"</f>
        <v>60607</v>
      </c>
      <c r="C6463" s="2">
        <v>4.2728022558067404E-3</v>
      </c>
      <c r="D6463" s="2">
        <v>7.7894695260150902E-3</v>
      </c>
      <c r="E6463" s="2">
        <v>6.1476561057888998E-3</v>
      </c>
      <c r="F6463" s="2">
        <v>4.7125199381016199E-3</v>
      </c>
    </row>
    <row r="6464" spans="1:6" x14ac:dyDescent="0.25">
      <c r="A6464" s="1" t="str">
        <f t="shared" si="241"/>
        <v>16980</v>
      </c>
      <c r="B6464" s="1" t="str">
        <f>"60564"</f>
        <v>60564</v>
      </c>
      <c r="C6464" s="2">
        <v>3.8451027169526799E-3</v>
      </c>
      <c r="D6464" s="2">
        <v>2.9627142412735701E-3</v>
      </c>
      <c r="E6464" s="2">
        <v>1.3081826961404499E-3</v>
      </c>
      <c r="F6464" s="2">
        <v>3.57494377812257E-3</v>
      </c>
    </row>
    <row r="6465" spans="1:6" x14ac:dyDescent="0.25">
      <c r="A6465" s="1" t="str">
        <f t="shared" si="241"/>
        <v>16980</v>
      </c>
      <c r="B6465" s="1" t="str">
        <f>"60417"</f>
        <v>60417</v>
      </c>
      <c r="C6465" s="2">
        <v>1.5499791823292499E-3</v>
      </c>
      <c r="D6465" s="2">
        <v>8.4931141583175699E-4</v>
      </c>
      <c r="E6465" s="2">
        <v>3.5312907135079798E-4</v>
      </c>
      <c r="F6465" s="2">
        <v>1.3986931323132601E-3</v>
      </c>
    </row>
    <row r="6466" spans="1:6" x14ac:dyDescent="0.25">
      <c r="A6466" s="1" t="str">
        <f t="shared" si="241"/>
        <v>16980</v>
      </c>
      <c r="B6466" s="1" t="str">
        <f>"60419"</f>
        <v>60419</v>
      </c>
      <c r="C6466" s="2">
        <v>2.4290571272403598E-3</v>
      </c>
      <c r="D6466" s="2">
        <v>1.8072556871768699E-3</v>
      </c>
      <c r="E6466" s="2">
        <v>1.6532861067787401E-3</v>
      </c>
      <c r="F6466" s="2">
        <v>2.3169475881130099E-3</v>
      </c>
    </row>
    <row r="6467" spans="1:6" x14ac:dyDescent="0.25">
      <c r="A6467" s="1" t="str">
        <f t="shared" si="241"/>
        <v>16980</v>
      </c>
      <c r="B6467" s="1" t="str">
        <f>"60428"</f>
        <v>60428</v>
      </c>
      <c r="C6467" s="2">
        <v>1.1955361388844401E-3</v>
      </c>
      <c r="D6467" s="2">
        <v>1.0986731978056101E-3</v>
      </c>
      <c r="E6467" s="2">
        <v>2.0064151781295299E-4</v>
      </c>
      <c r="F6467" s="2">
        <v>1.11047130785877E-3</v>
      </c>
    </row>
    <row r="6468" spans="1:6" x14ac:dyDescent="0.25">
      <c r="A6468" s="1" t="str">
        <f t="shared" si="241"/>
        <v>16980</v>
      </c>
      <c r="B6468" s="1" t="str">
        <f>"60435"</f>
        <v>60435</v>
      </c>
      <c r="C6468" s="2">
        <v>4.7895442015387299E-3</v>
      </c>
      <c r="D6468" s="2">
        <v>4.4687606472543001E-3</v>
      </c>
      <c r="E6468" s="2">
        <v>5.9924933320135501E-3</v>
      </c>
      <c r="F6468" s="2">
        <v>4.8556997676224402E-3</v>
      </c>
    </row>
    <row r="6469" spans="1:6" x14ac:dyDescent="0.25">
      <c r="A6469" s="1" t="str">
        <f t="shared" si="241"/>
        <v>16980</v>
      </c>
      <c r="B6469" s="1" t="str">
        <f>"60134"</f>
        <v>60134</v>
      </c>
      <c r="C6469" s="2">
        <v>2.9457990729723398E-3</v>
      </c>
      <c r="D6469" s="2">
        <v>4.8489756415510702E-3</v>
      </c>
      <c r="E6469" s="2">
        <v>1.48474723181585E-3</v>
      </c>
      <c r="F6469" s="2">
        <v>2.99229291117077E-3</v>
      </c>
    </row>
    <row r="6470" spans="1:6" x14ac:dyDescent="0.25">
      <c r="A6470" s="1" t="str">
        <f t="shared" si="241"/>
        <v>16980</v>
      </c>
      <c r="B6470" s="1" t="str">
        <f>"60148"</f>
        <v>60148</v>
      </c>
      <c r="C6470" s="2">
        <v>5.7815900753974501E-3</v>
      </c>
      <c r="D6470" s="2">
        <v>6.99200560940563E-3</v>
      </c>
      <c r="E6470" s="2">
        <v>4.1198391657593196E-3</v>
      </c>
      <c r="F6470" s="2">
        <v>5.7545049402213796E-3</v>
      </c>
    </row>
    <row r="6471" spans="1:6" x14ac:dyDescent="0.25">
      <c r="A6471" s="1" t="str">
        <f t="shared" si="241"/>
        <v>16980</v>
      </c>
      <c r="B6471" s="1" t="str">
        <f>"60156"</f>
        <v>60156</v>
      </c>
      <c r="C6471" s="2">
        <v>2.5373386137207102E-3</v>
      </c>
      <c r="D6471" s="2">
        <v>1.62949283270046E-3</v>
      </c>
      <c r="E6471" s="2">
        <v>7.0625814270159704E-4</v>
      </c>
      <c r="F6471" s="2">
        <v>2.3196373825982199E-3</v>
      </c>
    </row>
    <row r="6472" spans="1:6" x14ac:dyDescent="0.25">
      <c r="A6472" s="1" t="str">
        <f t="shared" si="241"/>
        <v>16980</v>
      </c>
      <c r="B6472" s="1" t="str">
        <f>"60172"</f>
        <v>60172</v>
      </c>
      <c r="C6472" s="2">
        <v>2.6468533745345598E-3</v>
      </c>
      <c r="D6472" s="2">
        <v>3.2540478083321399E-3</v>
      </c>
      <c r="E6472" s="2">
        <v>2.08399656501721E-3</v>
      </c>
      <c r="F6472" s="2">
        <v>2.6542064351056998E-3</v>
      </c>
    </row>
    <row r="6473" spans="1:6" x14ac:dyDescent="0.25">
      <c r="A6473" s="1" t="str">
        <f t="shared" si="241"/>
        <v>16980</v>
      </c>
      <c r="B6473" s="1" t="str">
        <f>"60124"</f>
        <v>60124</v>
      </c>
      <c r="C6473" s="2">
        <v>2.4554491979770299E-3</v>
      </c>
      <c r="D6473" s="2">
        <v>1.2048371247845801E-3</v>
      </c>
      <c r="E6473" s="2">
        <v>6.3135197605142799E-4</v>
      </c>
      <c r="F6473" s="2">
        <v>2.2095627159723899E-3</v>
      </c>
    </row>
    <row r="6474" spans="1:6" x14ac:dyDescent="0.25">
      <c r="A6474" s="1" t="str">
        <f t="shared" si="241"/>
        <v>16980</v>
      </c>
      <c r="B6474" s="1" t="str">
        <f>"60157"</f>
        <v>60157</v>
      </c>
      <c r="C6474" s="2">
        <v>3.3915044170953497E-4</v>
      </c>
      <c r="D6474" s="2">
        <v>2.8145785292098898E-4</v>
      </c>
      <c r="E6474" s="2">
        <v>1.07008809500242E-5</v>
      </c>
      <c r="F6474" s="2">
        <v>3.0891255126386198E-4</v>
      </c>
    </row>
    <row r="6475" spans="1:6" x14ac:dyDescent="0.25">
      <c r="A6475" s="1" t="str">
        <f t="shared" si="241"/>
        <v>16980</v>
      </c>
      <c r="B6475" s="1" t="str">
        <f>"60177"</f>
        <v>60177</v>
      </c>
      <c r="C6475" s="2">
        <v>2.2223603489475701E-3</v>
      </c>
      <c r="D6475" s="2">
        <v>1.99983211285966E-3</v>
      </c>
      <c r="E6475" s="2">
        <v>1.8298506424541401E-3</v>
      </c>
      <c r="F6475" s="2">
        <v>2.1733539440559899E-3</v>
      </c>
    </row>
    <row r="6476" spans="1:6" x14ac:dyDescent="0.25">
      <c r="A6476" s="1" t="str">
        <f t="shared" si="241"/>
        <v>16980</v>
      </c>
      <c r="B6476" s="1" t="str">
        <f>"60178"</f>
        <v>60178</v>
      </c>
      <c r="C6476" s="2">
        <v>2.64710002940126E-3</v>
      </c>
      <c r="D6476" s="2">
        <v>2.7800135297283602E-3</v>
      </c>
      <c r="E6476" s="2">
        <v>1.48742245205336E-3</v>
      </c>
      <c r="F6476" s="2">
        <v>2.5685468261149201E-3</v>
      </c>
    </row>
    <row r="6477" spans="1:6" x14ac:dyDescent="0.25">
      <c r="A6477" s="1" t="str">
        <f t="shared" si="241"/>
        <v>16980</v>
      </c>
      <c r="B6477" s="1" t="str">
        <f>"60184"</f>
        <v>60184</v>
      </c>
      <c r="C6477" s="2">
        <v>2.33828813629555E-4</v>
      </c>
      <c r="D6477" s="2">
        <v>3.4564999481524999E-5</v>
      </c>
      <c r="E6477" s="2">
        <v>3.7453083325084702E-5</v>
      </c>
      <c r="F6477" s="2">
        <v>2.0194149365943001E-4</v>
      </c>
    </row>
    <row r="6478" spans="1:6" x14ac:dyDescent="0.25">
      <c r="A6478" s="1" t="str">
        <f t="shared" si="241"/>
        <v>16980</v>
      </c>
      <c r="B6478" s="1" t="str">
        <f>"60712"</f>
        <v>60712</v>
      </c>
      <c r="C6478" s="2">
        <v>1.22439475828809E-3</v>
      </c>
      <c r="D6478" s="2">
        <v>2.1479678249233299E-3</v>
      </c>
      <c r="E6478" s="2">
        <v>3.9860781538840099E-4</v>
      </c>
      <c r="F6478" s="2">
        <v>1.2379261850044699E-3</v>
      </c>
    </row>
    <row r="6479" spans="1:6" x14ac:dyDescent="0.25">
      <c r="A6479" s="1" t="str">
        <f t="shared" si="241"/>
        <v>16980</v>
      </c>
      <c r="B6479" s="1" t="str">
        <f>"60804"</f>
        <v>60804</v>
      </c>
      <c r="C6479" s="2">
        <v>5.10279588224499E-3</v>
      </c>
      <c r="D6479" s="2">
        <v>4.17002029459255E-3</v>
      </c>
      <c r="E6479" s="2">
        <v>6.1610322069764302E-3</v>
      </c>
      <c r="F6479" s="2">
        <v>5.1064713765519801E-3</v>
      </c>
    </row>
    <row r="6480" spans="1:6" x14ac:dyDescent="0.25">
      <c r="A6480" s="1" t="str">
        <f t="shared" si="241"/>
        <v>16980</v>
      </c>
      <c r="B6480" s="1" t="str">
        <f>"60714"</f>
        <v>60714</v>
      </c>
      <c r="C6480" s="2">
        <v>3.2721234616135898E-3</v>
      </c>
      <c r="D6480" s="2">
        <v>4.5428285032861398E-3</v>
      </c>
      <c r="E6480" s="2">
        <v>2.6350919339434599E-3</v>
      </c>
      <c r="F6480" s="2">
        <v>3.3293448508953799E-3</v>
      </c>
    </row>
    <row r="6481" spans="1:6" x14ac:dyDescent="0.25">
      <c r="A6481" s="1" t="str">
        <f t="shared" si="241"/>
        <v>16980</v>
      </c>
      <c r="B6481" s="1" t="str">
        <f>"60674"</f>
        <v>60674</v>
      </c>
      <c r="C6481" s="2">
        <v>0</v>
      </c>
      <c r="D6481" s="2">
        <v>0</v>
      </c>
      <c r="E6481" s="2">
        <v>2.1583676876198801E-2</v>
      </c>
      <c r="F6481" s="2">
        <v>1.6693278389797899E-3</v>
      </c>
    </row>
    <row r="6482" spans="1:6" x14ac:dyDescent="0.25">
      <c r="A6482" s="1" t="str">
        <f t="shared" si="241"/>
        <v>16980</v>
      </c>
      <c r="B6482" s="1" t="str">
        <f>"60690"</f>
        <v>60690</v>
      </c>
      <c r="C6482" s="2">
        <v>6.3834279501401899E-4</v>
      </c>
      <c r="D6482" s="2">
        <v>9.4066177160435905E-4</v>
      </c>
      <c r="E6482" s="2">
        <v>5.3504404750120999E-6</v>
      </c>
      <c r="F6482" s="2">
        <v>6.1472149350631799E-4</v>
      </c>
    </row>
    <row r="6483" spans="1:6" x14ac:dyDescent="0.25">
      <c r="A6483" s="1" t="str">
        <f t="shared" si="241"/>
        <v>16980</v>
      </c>
      <c r="B6483" s="1" t="str">
        <f>"60637"</f>
        <v>60637</v>
      </c>
      <c r="C6483" s="2">
        <v>6.3930474899414102E-3</v>
      </c>
      <c r="D6483" s="2">
        <v>2.8614881713633902E-3</v>
      </c>
      <c r="E6483" s="2">
        <v>1.0409281944136E-2</v>
      </c>
      <c r="F6483" s="2">
        <v>6.4077111855931198E-3</v>
      </c>
    </row>
    <row r="6484" spans="1:6" x14ac:dyDescent="0.25">
      <c r="A6484" s="1" t="str">
        <f t="shared" si="241"/>
        <v>16980</v>
      </c>
      <c r="B6484" s="1" t="str">
        <f>"60641"</f>
        <v>60641</v>
      </c>
      <c r="C6484" s="2">
        <v>6.3340969768006204E-3</v>
      </c>
      <c r="D6484" s="2">
        <v>5.3007895633452899E-3</v>
      </c>
      <c r="E6484" s="2">
        <v>5.9764420105885199E-3</v>
      </c>
      <c r="F6484" s="2">
        <v>6.2198393861640604E-3</v>
      </c>
    </row>
    <row r="6485" spans="1:6" x14ac:dyDescent="0.25">
      <c r="A6485" s="1" t="str">
        <f t="shared" si="241"/>
        <v>16980</v>
      </c>
      <c r="B6485" s="1" t="str">
        <f>"53144"</f>
        <v>53144</v>
      </c>
      <c r="C6485" s="2">
        <v>2.7201098699438202E-3</v>
      </c>
      <c r="D6485" s="2">
        <v>1.8566342578647699E-3</v>
      </c>
      <c r="E6485" s="2">
        <v>2.6163653922809098E-3</v>
      </c>
      <c r="F6485" s="2">
        <v>2.6397229263391501E-3</v>
      </c>
    </row>
    <row r="6486" spans="1:6" x14ac:dyDescent="0.25">
      <c r="A6486" s="1" t="str">
        <f t="shared" si="241"/>
        <v>16980</v>
      </c>
      <c r="B6486" s="1" t="str">
        <f>"53158"</f>
        <v>53158</v>
      </c>
      <c r="C6486" s="2">
        <v>1.94882010177966E-3</v>
      </c>
      <c r="D6486" s="2">
        <v>1.46160569236162E-3</v>
      </c>
      <c r="E6486" s="2">
        <v>6.5542895818898204E-4</v>
      </c>
      <c r="F6486" s="2">
        <v>1.8079557086025601E-3</v>
      </c>
    </row>
    <row r="6487" spans="1:6" x14ac:dyDescent="0.25">
      <c r="A6487" s="1" t="str">
        <f t="shared" si="241"/>
        <v>16980</v>
      </c>
      <c r="B6487" s="1" t="str">
        <f>"53170"</f>
        <v>53170</v>
      </c>
      <c r="C6487" s="2">
        <v>2.2519589329513101E-4</v>
      </c>
      <c r="D6487" s="2">
        <v>8.8881427238207098E-5</v>
      </c>
      <c r="E6487" s="2">
        <v>1.1503447021276E-4</v>
      </c>
      <c r="F6487" s="2">
        <v>2.05252009948929E-4</v>
      </c>
    </row>
    <row r="6488" spans="1:6" x14ac:dyDescent="0.25">
      <c r="A6488" s="1" t="str">
        <f t="shared" si="241"/>
        <v>16980</v>
      </c>
      <c r="B6488" s="1" t="str">
        <f>"60083"</f>
        <v>60083</v>
      </c>
      <c r="C6488" s="2">
        <v>1.0164647056618099E-3</v>
      </c>
      <c r="D6488" s="2">
        <v>4.6662749300058703E-4</v>
      </c>
      <c r="E6488" s="2">
        <v>3.7453083325084702E-5</v>
      </c>
      <c r="F6488" s="2">
        <v>8.9466702723706496E-4</v>
      </c>
    </row>
    <row r="6489" spans="1:6" x14ac:dyDescent="0.25">
      <c r="A6489" s="1" t="str">
        <f t="shared" si="241"/>
        <v>16980</v>
      </c>
      <c r="B6489" s="1" t="str">
        <f>"60071"</f>
        <v>60071</v>
      </c>
      <c r="C6489" s="2">
        <v>5.0810902539755805E-4</v>
      </c>
      <c r="D6489" s="2">
        <v>5.72791419979557E-4</v>
      </c>
      <c r="E6489" s="2">
        <v>4.11983916575932E-4</v>
      </c>
      <c r="F6489" s="2">
        <v>5.0609517775713705E-4</v>
      </c>
    </row>
    <row r="6490" spans="1:6" x14ac:dyDescent="0.25">
      <c r="A6490" s="1" t="str">
        <f t="shared" si="241"/>
        <v>16980</v>
      </c>
      <c r="B6490" s="1" t="str">
        <f>"60046"</f>
        <v>60046</v>
      </c>
      <c r="C6490" s="2">
        <v>3.6088073546561498E-3</v>
      </c>
      <c r="D6490" s="2">
        <v>2.5726235328392098E-3</v>
      </c>
      <c r="E6490" s="2">
        <v>6.5007851771397001E-4</v>
      </c>
      <c r="F6490" s="2">
        <v>3.2931360789789799E-3</v>
      </c>
    </row>
    <row r="6491" spans="1:6" x14ac:dyDescent="0.25">
      <c r="A6491" s="1" t="str">
        <f t="shared" si="241"/>
        <v>16980</v>
      </c>
      <c r="B6491" s="1" t="str">
        <f>"60102"</f>
        <v>60102</v>
      </c>
      <c r="C6491" s="2">
        <v>3.2684236386131202E-3</v>
      </c>
      <c r="D6491" s="2">
        <v>3.53550566125312E-3</v>
      </c>
      <c r="E6491" s="2">
        <v>5.6982191058878903E-4</v>
      </c>
      <c r="F6491" s="2">
        <v>3.0820906655234302E-3</v>
      </c>
    </row>
    <row r="6492" spans="1:6" x14ac:dyDescent="0.25">
      <c r="A6492" s="1" t="str">
        <f t="shared" si="241"/>
        <v>16980</v>
      </c>
      <c r="B6492" s="1" t="str">
        <f>"60108"</f>
        <v>60108</v>
      </c>
      <c r="C6492" s="2">
        <v>2.61133507373007E-3</v>
      </c>
      <c r="D6492" s="2">
        <v>4.3082802925186502E-3</v>
      </c>
      <c r="E6492" s="2">
        <v>2.6912715589310801E-3</v>
      </c>
      <c r="F6492" s="2">
        <v>2.7597291418334801E-3</v>
      </c>
    </row>
    <row r="6493" spans="1:6" x14ac:dyDescent="0.25">
      <c r="A6493" s="1" t="str">
        <f t="shared" si="241"/>
        <v>16980</v>
      </c>
      <c r="B6493" s="1" t="str">
        <f>"60110"</f>
        <v>60110</v>
      </c>
      <c r="C6493" s="2">
        <v>3.1083446301262202E-3</v>
      </c>
      <c r="D6493" s="2">
        <v>1.9134196141558401E-3</v>
      </c>
      <c r="E6493" s="2">
        <v>1.0165836902522999E-3</v>
      </c>
      <c r="F6493" s="2">
        <v>2.8464232871647302E-3</v>
      </c>
    </row>
    <row r="6494" spans="1:6" x14ac:dyDescent="0.25">
      <c r="A6494" s="1" t="str">
        <f t="shared" si="241"/>
        <v>16980</v>
      </c>
      <c r="B6494" s="1" t="str">
        <f>"46322"</f>
        <v>46322</v>
      </c>
      <c r="C6494" s="2">
        <v>2.7238096929442799E-3</v>
      </c>
      <c r="D6494" s="2">
        <v>3.07628495385572E-3</v>
      </c>
      <c r="E6494" s="2">
        <v>1.5114994341909099E-3</v>
      </c>
      <c r="F6494" s="2">
        <v>2.6595860240761402E-3</v>
      </c>
    </row>
    <row r="6495" spans="1:6" x14ac:dyDescent="0.25">
      <c r="A6495" s="1" t="str">
        <f t="shared" si="241"/>
        <v>16980</v>
      </c>
      <c r="B6495" s="1" t="str">
        <f>"47922"</f>
        <v>47922</v>
      </c>
      <c r="C6495" s="2">
        <v>1.55145911152943E-4</v>
      </c>
      <c r="D6495" s="2">
        <v>8.1474641635023202E-5</v>
      </c>
      <c r="E6495" s="2">
        <v>2.9427422612566502E-5</v>
      </c>
      <c r="F6495" s="2">
        <v>1.39248591427045E-4</v>
      </c>
    </row>
    <row r="6496" spans="1:6" x14ac:dyDescent="0.25">
      <c r="A6496" s="1" t="str">
        <f t="shared" si="241"/>
        <v>16980</v>
      </c>
      <c r="B6496" s="1" t="str">
        <f>"46407"</f>
        <v>46407</v>
      </c>
      <c r="C6496" s="2">
        <v>2.1056925969994899E-3</v>
      </c>
      <c r="D6496" s="2">
        <v>1.3776621221922099E-3</v>
      </c>
      <c r="E6496" s="2">
        <v>9.0957488075205702E-4</v>
      </c>
      <c r="F6496" s="2">
        <v>1.9521700744638501E-3</v>
      </c>
    </row>
    <row r="6497" spans="1:6" x14ac:dyDescent="0.25">
      <c r="A6497" s="1" t="str">
        <f t="shared" si="241"/>
        <v>16980</v>
      </c>
      <c r="B6497" s="1" t="str">
        <f>"46349"</f>
        <v>46349</v>
      </c>
      <c r="C6497" s="2">
        <v>3.5049656557763599E-4</v>
      </c>
      <c r="D6497" s="2">
        <v>1.0863285551336399E-4</v>
      </c>
      <c r="E6497" s="2">
        <v>5.61796249876271E-5</v>
      </c>
      <c r="F6497" s="2">
        <v>3.0746420038720598E-4</v>
      </c>
    </row>
    <row r="6498" spans="1:6" x14ac:dyDescent="0.25">
      <c r="A6498" s="1" t="str">
        <f t="shared" si="241"/>
        <v>16980</v>
      </c>
      <c r="B6498" s="1" t="str">
        <f>"46392"</f>
        <v>46392</v>
      </c>
      <c r="C6498" s="2">
        <v>8.17414228236654E-4</v>
      </c>
      <c r="D6498" s="2">
        <v>1.6788714033883501E-4</v>
      </c>
      <c r="E6498" s="2">
        <v>6.1530065462639204E-5</v>
      </c>
      <c r="F6498" s="2">
        <v>7.0451924785897501E-4</v>
      </c>
    </row>
    <row r="6499" spans="1:6" x14ac:dyDescent="0.25">
      <c r="A6499" s="1" t="str">
        <f t="shared" si="241"/>
        <v>16980</v>
      </c>
      <c r="B6499" s="1" t="str">
        <f>"46410"</f>
        <v>46410</v>
      </c>
      <c r="C6499" s="2">
        <v>4.3657911405518297E-3</v>
      </c>
      <c r="D6499" s="2">
        <v>6.7500506130349497E-3</v>
      </c>
      <c r="E6499" s="2">
        <v>3.87104368367125E-3</v>
      </c>
      <c r="F6499" s="2">
        <v>4.52733793315777E-3</v>
      </c>
    </row>
    <row r="6500" spans="1:6" x14ac:dyDescent="0.25">
      <c r="A6500" s="1" t="str">
        <f t="shared" si="241"/>
        <v>16980</v>
      </c>
      <c r="B6500" s="1" t="str">
        <f>"46341"</f>
        <v>46341</v>
      </c>
      <c r="C6500" s="2">
        <v>1.06949550200185E-3</v>
      </c>
      <c r="D6500" s="2">
        <v>4.8390999274134999E-4</v>
      </c>
      <c r="E6500" s="2">
        <v>2.3274416066302599E-4</v>
      </c>
      <c r="F6500" s="2">
        <v>9.5570467132470105E-4</v>
      </c>
    </row>
    <row r="6501" spans="1:6" x14ac:dyDescent="0.25">
      <c r="A6501" s="1" t="str">
        <f t="shared" si="241"/>
        <v>16980</v>
      </c>
      <c r="B6501" s="1" t="str">
        <f>"46411"</f>
        <v>46411</v>
      </c>
      <c r="C6501" s="2">
        <v>3.4038371604302401E-4</v>
      </c>
      <c r="D6501" s="2">
        <v>9.7028891401709403E-4</v>
      </c>
      <c r="E6501" s="2">
        <v>2.6752202375060499E-6</v>
      </c>
      <c r="F6501" s="2">
        <v>3.67053493598185E-4</v>
      </c>
    </row>
    <row r="6502" spans="1:6" x14ac:dyDescent="0.25">
      <c r="A6502" s="1" t="str">
        <f t="shared" si="241"/>
        <v>16980</v>
      </c>
      <c r="B6502" s="1" t="str">
        <f>"46384"</f>
        <v>46384</v>
      </c>
      <c r="C6502" s="2">
        <v>1.79071433222634E-4</v>
      </c>
      <c r="D6502" s="2">
        <v>1.36531747952023E-3</v>
      </c>
      <c r="E6502" s="2">
        <v>1.07008809500242E-5</v>
      </c>
      <c r="F6502" s="2">
        <v>2.6546202496418897E-4</v>
      </c>
    </row>
    <row r="6503" spans="1:6" x14ac:dyDescent="0.25">
      <c r="A6503" s="1" t="str">
        <f t="shared" si="241"/>
        <v>16980</v>
      </c>
      <c r="B6503" s="1" t="str">
        <f>"60470"</f>
        <v>60470</v>
      </c>
      <c r="C6503" s="2">
        <v>7.3996460009353099E-7</v>
      </c>
      <c r="D6503" s="2">
        <v>0</v>
      </c>
      <c r="E6503" s="2">
        <v>0</v>
      </c>
      <c r="F6503" s="2">
        <v>6.2072180428103499E-7</v>
      </c>
    </row>
    <row r="6504" spans="1:6" x14ac:dyDescent="0.25">
      <c r="A6504" s="1" t="str">
        <f t="shared" si="241"/>
        <v>16980</v>
      </c>
      <c r="B6504" s="1" t="str">
        <f>"60688"</f>
        <v>60688</v>
      </c>
      <c r="C6504" s="2">
        <v>0</v>
      </c>
      <c r="D6504" s="2">
        <v>2.46892853439464E-6</v>
      </c>
      <c r="E6504" s="2">
        <v>0</v>
      </c>
      <c r="F6504" s="2">
        <v>2.0690726809367801E-7</v>
      </c>
    </row>
    <row r="6505" spans="1:6" x14ac:dyDescent="0.25">
      <c r="A6505" s="1" t="str">
        <f t="shared" si="241"/>
        <v>16980</v>
      </c>
      <c r="B6505" s="1" t="str">
        <f>"46393"</f>
        <v>46393</v>
      </c>
      <c r="C6505" s="2">
        <v>0</v>
      </c>
      <c r="D6505" s="2">
        <v>0</v>
      </c>
      <c r="E6505" s="2">
        <v>2.6752202375060499E-6</v>
      </c>
      <c r="F6505" s="2">
        <v>2.0690726809367801E-7</v>
      </c>
    </row>
    <row r="6506" spans="1:6" x14ac:dyDescent="0.25">
      <c r="A6506" s="1" t="str">
        <f t="shared" si="241"/>
        <v>16980</v>
      </c>
      <c r="B6506" s="1" t="str">
        <f>"47942"</f>
        <v>47942</v>
      </c>
      <c r="C6506" s="2">
        <v>1.4799292001870601E-6</v>
      </c>
      <c r="D6506" s="2">
        <v>0</v>
      </c>
      <c r="E6506" s="2">
        <v>0</v>
      </c>
      <c r="F6506" s="2">
        <v>1.24144360856207E-6</v>
      </c>
    </row>
    <row r="6507" spans="1:6" x14ac:dyDescent="0.25">
      <c r="A6507" s="1" t="str">
        <f t="shared" si="241"/>
        <v>16980</v>
      </c>
      <c r="B6507" s="1" t="str">
        <f>"53102"</f>
        <v>53102</v>
      </c>
      <c r="C6507" s="2">
        <v>0</v>
      </c>
      <c r="D6507" s="2">
        <v>4.93785706878928E-6</v>
      </c>
      <c r="E6507" s="2">
        <v>0</v>
      </c>
      <c r="F6507" s="2">
        <v>4.1381453618735698E-7</v>
      </c>
    </row>
    <row r="6508" spans="1:6" x14ac:dyDescent="0.25">
      <c r="A6508" s="1" t="str">
        <f t="shared" si="241"/>
        <v>16980</v>
      </c>
      <c r="B6508" s="1" t="str">
        <f>"46372"</f>
        <v>46372</v>
      </c>
      <c r="C6508" s="2">
        <v>0</v>
      </c>
      <c r="D6508" s="2">
        <v>0</v>
      </c>
      <c r="E6508" s="2">
        <v>2.6752202375060499E-6</v>
      </c>
      <c r="F6508" s="2">
        <v>2.0690726809367801E-7</v>
      </c>
    </row>
    <row r="6509" spans="1:6" x14ac:dyDescent="0.25">
      <c r="A6509" s="1" t="str">
        <f t="shared" si="241"/>
        <v>16980</v>
      </c>
      <c r="B6509" s="1" t="str">
        <f>"60599"</f>
        <v>60599</v>
      </c>
      <c r="C6509" s="2">
        <v>0</v>
      </c>
      <c r="D6509" s="2">
        <v>2.46892853439464E-6</v>
      </c>
      <c r="E6509" s="2">
        <v>5.3504404750120999E-6</v>
      </c>
      <c r="F6509" s="2">
        <v>6.2072180428103499E-7</v>
      </c>
    </row>
    <row r="6510" spans="1:6" x14ac:dyDescent="0.25">
      <c r="A6510" s="1" t="str">
        <f t="shared" si="241"/>
        <v>16980</v>
      </c>
      <c r="B6510" s="1" t="str">
        <f>"60687"</f>
        <v>60687</v>
      </c>
      <c r="C6510" s="2">
        <v>0</v>
      </c>
      <c r="D6510" s="2">
        <v>0</v>
      </c>
      <c r="E6510" s="2">
        <v>2.6752202375060499E-6</v>
      </c>
      <c r="F6510" s="2">
        <v>2.0690726809367801E-7</v>
      </c>
    </row>
    <row r="6511" spans="1:6" x14ac:dyDescent="0.25">
      <c r="A6511" s="1" t="str">
        <f t="shared" si="241"/>
        <v>16980</v>
      </c>
      <c r="B6511" s="1" t="str">
        <f>"53177"</f>
        <v>53177</v>
      </c>
      <c r="C6511" s="2">
        <v>5.1550867139849298E-5</v>
      </c>
      <c r="D6511" s="2">
        <v>4.93785706878928E-6</v>
      </c>
      <c r="E6511" s="2">
        <v>5.3504404750120999E-6</v>
      </c>
      <c r="F6511" s="2">
        <v>4.4071248103953498E-5</v>
      </c>
    </row>
    <row r="6512" spans="1:6" x14ac:dyDescent="0.25">
      <c r="A6512" s="1" t="str">
        <f t="shared" si="241"/>
        <v>16980</v>
      </c>
      <c r="B6512" s="1" t="str">
        <f>"60686"</f>
        <v>60686</v>
      </c>
      <c r="C6512" s="2">
        <v>0</v>
      </c>
      <c r="D6512" s="2">
        <v>0</v>
      </c>
      <c r="E6512" s="2">
        <v>9.3632708312711802E-5</v>
      </c>
      <c r="F6512" s="2">
        <v>7.24175438327874E-6</v>
      </c>
    </row>
    <row r="6513" spans="1:6" x14ac:dyDescent="0.25">
      <c r="A6513" s="1" t="str">
        <f t="shared" si="241"/>
        <v>16980</v>
      </c>
      <c r="B6513" s="1" t="str">
        <f>"60689"</f>
        <v>60689</v>
      </c>
      <c r="C6513" s="2">
        <v>0</v>
      </c>
      <c r="D6513" s="2">
        <v>2.46892853439464E-6</v>
      </c>
      <c r="E6513" s="2">
        <v>3.2102642850072598E-5</v>
      </c>
      <c r="F6513" s="2">
        <v>2.6897944852178199E-6</v>
      </c>
    </row>
    <row r="6514" spans="1:6" x14ac:dyDescent="0.25">
      <c r="A6514" s="1" t="str">
        <f t="shared" si="241"/>
        <v>16980</v>
      </c>
      <c r="B6514" s="1" t="str">
        <f>"60029"</f>
        <v>60029</v>
      </c>
      <c r="C6514" s="2">
        <v>4.3904566272216203E-5</v>
      </c>
      <c r="D6514" s="2">
        <v>0</v>
      </c>
      <c r="E6514" s="2">
        <v>5.3504404750120999E-6</v>
      </c>
      <c r="F6514" s="2">
        <v>3.7243308256862102E-5</v>
      </c>
    </row>
    <row r="6515" spans="1:6" x14ac:dyDescent="0.25">
      <c r="A6515" s="1" t="str">
        <f t="shared" ref="A6515:A6578" si="242">"16980"</f>
        <v>16980</v>
      </c>
      <c r="B6515" s="1" t="str">
        <f>"53182"</f>
        <v>53182</v>
      </c>
      <c r="C6515" s="2">
        <v>6.6103504275022104E-5</v>
      </c>
      <c r="D6515" s="2">
        <v>4.4440713619103501E-5</v>
      </c>
      <c r="E6515" s="2">
        <v>5.3504404750120999E-6</v>
      </c>
      <c r="F6515" s="2">
        <v>5.9589293210979403E-5</v>
      </c>
    </row>
    <row r="6516" spans="1:6" x14ac:dyDescent="0.25">
      <c r="A6516" s="1" t="str">
        <f t="shared" si="242"/>
        <v>16980</v>
      </c>
      <c r="B6516" s="1" t="str">
        <f>"60536"</f>
        <v>60536</v>
      </c>
      <c r="C6516" s="2">
        <v>9.6195398012159001E-6</v>
      </c>
      <c r="D6516" s="2">
        <v>0</v>
      </c>
      <c r="E6516" s="2">
        <v>5.3504404750120999E-6</v>
      </c>
      <c r="F6516" s="2">
        <v>8.4831979918408093E-6</v>
      </c>
    </row>
    <row r="6517" spans="1:6" x14ac:dyDescent="0.25">
      <c r="A6517" s="1" t="str">
        <f t="shared" si="242"/>
        <v>16980</v>
      </c>
      <c r="B6517" s="1" t="str">
        <f>"47964"</f>
        <v>47964</v>
      </c>
      <c r="C6517" s="2">
        <v>2.4665486669784299E-7</v>
      </c>
      <c r="D6517" s="2">
        <v>0</v>
      </c>
      <c r="E6517" s="2">
        <v>2.9427422612566502E-5</v>
      </c>
      <c r="F6517" s="2">
        <v>2.48288721712414E-6</v>
      </c>
    </row>
    <row r="6518" spans="1:6" x14ac:dyDescent="0.25">
      <c r="A6518" s="1" t="str">
        <f t="shared" si="242"/>
        <v>16980</v>
      </c>
      <c r="B6518" s="1" t="str">
        <f>"46308"</f>
        <v>46308</v>
      </c>
      <c r="C6518" s="2">
        <v>1.58105769553317E-4</v>
      </c>
      <c r="D6518" s="2">
        <v>1.21718176745655E-3</v>
      </c>
      <c r="E6518" s="2">
        <v>5.3504404750120999E-6</v>
      </c>
      <c r="F6518" s="2">
        <v>2.35046656554418E-4</v>
      </c>
    </row>
    <row r="6519" spans="1:6" x14ac:dyDescent="0.25">
      <c r="A6519" s="1" t="str">
        <f t="shared" si="242"/>
        <v>16980</v>
      </c>
      <c r="B6519" s="1" t="str">
        <f>"60675"</f>
        <v>60675</v>
      </c>
      <c r="C6519" s="2">
        <v>0</v>
      </c>
      <c r="D6519" s="2">
        <v>2.46892853439464E-6</v>
      </c>
      <c r="E6519" s="2">
        <v>6.1931348498265098E-3</v>
      </c>
      <c r="F6519" s="2">
        <v>4.7919723290495899E-4</v>
      </c>
    </row>
    <row r="6520" spans="1:6" x14ac:dyDescent="0.25">
      <c r="A6520" s="1" t="str">
        <f t="shared" si="242"/>
        <v>16980</v>
      </c>
      <c r="B6520" s="1" t="str">
        <f>"60827"</f>
        <v>60827</v>
      </c>
      <c r="C6520" s="2">
        <v>3.08096593992276E-3</v>
      </c>
      <c r="D6520" s="2">
        <v>1.59739676175333E-3</v>
      </c>
      <c r="E6520" s="2">
        <v>3.7640348741710102E-3</v>
      </c>
      <c r="F6520" s="2">
        <v>3.0094662144225502E-3</v>
      </c>
    </row>
    <row r="6521" spans="1:6" x14ac:dyDescent="0.25">
      <c r="A6521" s="1" t="str">
        <f t="shared" si="242"/>
        <v>16980</v>
      </c>
      <c r="B6521" s="1" t="str">
        <f>"60067"</f>
        <v>60067</v>
      </c>
      <c r="C6521" s="2">
        <v>4.21335843293256E-3</v>
      </c>
      <c r="D6521" s="2">
        <v>4.1255795809734402E-3</v>
      </c>
      <c r="E6521" s="2">
        <v>2.56821142800581E-3</v>
      </c>
      <c r="F6521" s="2">
        <v>4.0787629759306797E-3</v>
      </c>
    </row>
    <row r="6522" spans="1:6" x14ac:dyDescent="0.25">
      <c r="A6522" s="1" t="str">
        <f t="shared" si="242"/>
        <v>16980</v>
      </c>
      <c r="B6522" s="1" t="str">
        <f>"60007"</f>
        <v>60007</v>
      </c>
      <c r="C6522" s="2">
        <v>3.5029924168427698E-3</v>
      </c>
      <c r="D6522" s="2">
        <v>8.9350523659742099E-3</v>
      </c>
      <c r="E6522" s="2">
        <v>2.4665530589805802E-3</v>
      </c>
      <c r="F6522" s="2">
        <v>3.8780629258798101E-3</v>
      </c>
    </row>
    <row r="6523" spans="1:6" x14ac:dyDescent="0.25">
      <c r="A6523" s="1" t="str">
        <f t="shared" si="242"/>
        <v>16980</v>
      </c>
      <c r="B6523" s="1" t="str">
        <f>"60538"</f>
        <v>60538</v>
      </c>
      <c r="C6523" s="2">
        <v>2.7388556398128499E-3</v>
      </c>
      <c r="D6523" s="2">
        <v>1.46160569236162E-3</v>
      </c>
      <c r="E6523" s="2">
        <v>6.5810417842648795E-4</v>
      </c>
      <c r="F6523" s="2">
        <v>2.4708865955747001E-3</v>
      </c>
    </row>
    <row r="6524" spans="1:6" x14ac:dyDescent="0.25">
      <c r="A6524" s="1" t="str">
        <f t="shared" si="242"/>
        <v>16980</v>
      </c>
      <c r="B6524" s="1" t="str">
        <f>"60189"</f>
        <v>60189</v>
      </c>
      <c r="C6524" s="2">
        <v>3.28026307221462E-3</v>
      </c>
      <c r="D6524" s="2">
        <v>1.6591199751132E-3</v>
      </c>
      <c r="E6524" s="2">
        <v>3.2129395052447598E-3</v>
      </c>
      <c r="F6524" s="2">
        <v>3.1391970715172902E-3</v>
      </c>
    </row>
    <row r="6525" spans="1:6" x14ac:dyDescent="0.25">
      <c r="A6525" s="1" t="str">
        <f t="shared" si="242"/>
        <v>16980</v>
      </c>
      <c r="B6525" s="1" t="str">
        <f>"60516"</f>
        <v>60516</v>
      </c>
      <c r="C6525" s="2">
        <v>3.0918187540574702E-3</v>
      </c>
      <c r="D6525" s="2">
        <v>1.0715149839272699E-3</v>
      </c>
      <c r="E6525" s="2">
        <v>1.4392684877782499E-3</v>
      </c>
      <c r="F6525" s="2">
        <v>2.7946964701413102E-3</v>
      </c>
    </row>
    <row r="6526" spans="1:6" x14ac:dyDescent="0.25">
      <c r="A6526" s="1" t="str">
        <f t="shared" si="242"/>
        <v>16980</v>
      </c>
      <c r="B6526" s="1" t="str">
        <f>"60540"</f>
        <v>60540</v>
      </c>
      <c r="C6526" s="2">
        <v>4.1509547516580102E-3</v>
      </c>
      <c r="D6526" s="2">
        <v>5.4834902748904998E-3</v>
      </c>
      <c r="E6526" s="2">
        <v>2.5976388506183702E-3</v>
      </c>
      <c r="F6526" s="2">
        <v>4.14249041450353E-3</v>
      </c>
    </row>
    <row r="6527" spans="1:6" x14ac:dyDescent="0.25">
      <c r="A6527" s="1" t="str">
        <f t="shared" si="242"/>
        <v>16980</v>
      </c>
      <c r="B6527" s="1" t="str">
        <f>"60503"</f>
        <v>60503</v>
      </c>
      <c r="C6527" s="2">
        <v>1.3474755367703199E-3</v>
      </c>
      <c r="D6527" s="2">
        <v>2.2714142516430701E-4</v>
      </c>
      <c r="E6527" s="2">
        <v>6.4205285700145195E-5</v>
      </c>
      <c r="F6527" s="2">
        <v>1.15433564869463E-3</v>
      </c>
    </row>
    <row r="6528" spans="1:6" x14ac:dyDescent="0.25">
      <c r="A6528" s="1" t="str">
        <f t="shared" si="242"/>
        <v>16980</v>
      </c>
      <c r="B6528" s="1" t="str">
        <f>"60511"</f>
        <v>60511</v>
      </c>
      <c r="C6528" s="2">
        <v>1.7660488455565601E-4</v>
      </c>
      <c r="D6528" s="2">
        <v>3.7033928015919599E-5</v>
      </c>
      <c r="E6528" s="2">
        <v>3.4777863087578602E-5</v>
      </c>
      <c r="F6528" s="2">
        <v>1.5393900746169599E-4</v>
      </c>
    </row>
    <row r="6529" spans="1:6" x14ac:dyDescent="0.25">
      <c r="A6529" s="1" t="str">
        <f t="shared" si="242"/>
        <v>16980</v>
      </c>
      <c r="B6529" s="1" t="str">
        <f>"60453"</f>
        <v>60453</v>
      </c>
      <c r="C6529" s="2">
        <v>5.8486801991392704E-3</v>
      </c>
      <c r="D6529" s="2">
        <v>4.2292745794180204E-3</v>
      </c>
      <c r="E6529" s="2">
        <v>7.5280697483420299E-3</v>
      </c>
      <c r="F6529" s="2">
        <v>5.8428543436973802E-3</v>
      </c>
    </row>
    <row r="6530" spans="1:6" x14ac:dyDescent="0.25">
      <c r="A6530" s="1" t="str">
        <f t="shared" si="242"/>
        <v>16980</v>
      </c>
      <c r="B6530" s="1" t="str">
        <f>"60457"</f>
        <v>60457</v>
      </c>
      <c r="C6530" s="2">
        <v>1.3876802800420599E-3</v>
      </c>
      <c r="D6530" s="2">
        <v>1.07645284099606E-3</v>
      </c>
      <c r="E6530" s="2">
        <v>1.60513214250363E-3</v>
      </c>
      <c r="F6530" s="2">
        <v>1.3784162200400801E-3</v>
      </c>
    </row>
    <row r="6531" spans="1:6" x14ac:dyDescent="0.25">
      <c r="A6531" s="1" t="str">
        <f t="shared" si="242"/>
        <v>16980</v>
      </c>
      <c r="B6531" s="1" t="str">
        <f>"60439"</f>
        <v>60439</v>
      </c>
      <c r="C6531" s="2">
        <v>2.4714817643123901E-3</v>
      </c>
      <c r="D6531" s="2">
        <v>2.4738663914634302E-3</v>
      </c>
      <c r="E6531" s="2">
        <v>1.2306013092527801E-3</v>
      </c>
      <c r="F6531" s="2">
        <v>2.3757092522516099E-3</v>
      </c>
    </row>
    <row r="6532" spans="1:6" x14ac:dyDescent="0.25">
      <c r="A6532" s="1" t="str">
        <f t="shared" si="242"/>
        <v>16980</v>
      </c>
      <c r="B6532" s="1" t="str">
        <f>"60461"</f>
        <v>60461</v>
      </c>
      <c r="C6532" s="2">
        <v>5.4165408726846505E-4</v>
      </c>
      <c r="D6532" s="2">
        <v>7.6289891712794404E-4</v>
      </c>
      <c r="E6532" s="2">
        <v>2.6217158327559298E-4</v>
      </c>
      <c r="F6532" s="2">
        <v>5.3857961884784501E-4</v>
      </c>
    </row>
    <row r="6533" spans="1:6" x14ac:dyDescent="0.25">
      <c r="A6533" s="1" t="str">
        <f t="shared" si="242"/>
        <v>16980</v>
      </c>
      <c r="B6533" s="1" t="str">
        <f>"60477"</f>
        <v>60477</v>
      </c>
      <c r="C6533" s="2">
        <v>4.1660006985265799E-3</v>
      </c>
      <c r="D6533" s="2">
        <v>3.9922574401161301E-3</v>
      </c>
      <c r="E6533" s="2">
        <v>5.44407318332481E-3</v>
      </c>
      <c r="F6533" s="2">
        <v>4.2502891011803401E-3</v>
      </c>
    </row>
    <row r="6534" spans="1:6" x14ac:dyDescent="0.25">
      <c r="A6534" s="1" t="str">
        <f t="shared" si="242"/>
        <v>16980</v>
      </c>
      <c r="B6534" s="1" t="str">
        <f>"60481"</f>
        <v>60481</v>
      </c>
      <c r="C6534" s="2">
        <v>1.4071660145111901E-3</v>
      </c>
      <c r="D6534" s="2">
        <v>9.8016462815467297E-4</v>
      </c>
      <c r="E6534" s="2">
        <v>5.6447147011377699E-4</v>
      </c>
      <c r="F6534" s="2">
        <v>1.3062055834753899E-3</v>
      </c>
    </row>
    <row r="6535" spans="1:6" x14ac:dyDescent="0.25">
      <c r="A6535" s="1" t="str">
        <f t="shared" si="242"/>
        <v>16980</v>
      </c>
      <c r="B6535" s="1" t="str">
        <f>"60469"</f>
        <v>60469</v>
      </c>
      <c r="C6535" s="2">
        <v>5.4190074213516203E-4</v>
      </c>
      <c r="D6535" s="2">
        <v>5.0859927808529599E-4</v>
      </c>
      <c r="E6535" s="2">
        <v>2.6752202375060502E-4</v>
      </c>
      <c r="F6535" s="2">
        <v>5.1788889203847703E-4</v>
      </c>
    </row>
    <row r="6536" spans="1:6" x14ac:dyDescent="0.25">
      <c r="A6536" s="1" t="str">
        <f t="shared" si="242"/>
        <v>16980</v>
      </c>
      <c r="B6536" s="1" t="str">
        <f>"60619"</f>
        <v>60619</v>
      </c>
      <c r="C6536" s="2">
        <v>7.9181145307341792E-3</v>
      </c>
      <c r="D6536" s="2">
        <v>5.1699363510223804E-3</v>
      </c>
      <c r="E6536" s="2">
        <v>1.05858464798114E-2</v>
      </c>
      <c r="F6536" s="2">
        <v>7.8941329995781094E-3</v>
      </c>
    </row>
    <row r="6537" spans="1:6" x14ac:dyDescent="0.25">
      <c r="A6537" s="1" t="str">
        <f t="shared" si="242"/>
        <v>16980</v>
      </c>
      <c r="B6537" s="1" t="str">
        <f>"60612"</f>
        <v>60612</v>
      </c>
      <c r="C6537" s="2">
        <v>3.2306854440083501E-3</v>
      </c>
      <c r="D6537" s="2">
        <v>5.0859927808529597E-3</v>
      </c>
      <c r="E6537" s="2">
        <v>8.9753638968328008E-3</v>
      </c>
      <c r="F6537" s="2">
        <v>3.8304742542182701E-3</v>
      </c>
    </row>
    <row r="6538" spans="1:6" x14ac:dyDescent="0.25">
      <c r="A6538" s="1" t="str">
        <f t="shared" si="242"/>
        <v>16980</v>
      </c>
      <c r="B6538" s="1" t="str">
        <f>"60624"</f>
        <v>60624</v>
      </c>
      <c r="C6538" s="2">
        <v>3.0336082055167799E-3</v>
      </c>
      <c r="D6538" s="2">
        <v>2.7306349590404699E-3</v>
      </c>
      <c r="E6538" s="2">
        <v>8.0042589506181001E-3</v>
      </c>
      <c r="F6538" s="2">
        <v>3.3926584749320401E-3</v>
      </c>
    </row>
    <row r="6539" spans="1:6" x14ac:dyDescent="0.25">
      <c r="A6539" s="1" t="str">
        <f t="shared" si="242"/>
        <v>16980</v>
      </c>
      <c r="B6539" s="1" t="str">
        <f>"60601"</f>
        <v>60601</v>
      </c>
      <c r="C6539" s="2">
        <v>2.8634163474952601E-3</v>
      </c>
      <c r="D6539" s="2">
        <v>9.4683409294034505E-3</v>
      </c>
      <c r="E6539" s="2">
        <v>1.4793967913408401E-3</v>
      </c>
      <c r="F6539" s="2">
        <v>3.3098955676945699E-3</v>
      </c>
    </row>
    <row r="6540" spans="1:6" x14ac:dyDescent="0.25">
      <c r="A6540" s="1" t="str">
        <f t="shared" si="242"/>
        <v>16980</v>
      </c>
      <c r="B6540" s="1" t="str">
        <f>"60609"</f>
        <v>60609</v>
      </c>
      <c r="C6540" s="2">
        <v>4.8413417235452696E-3</v>
      </c>
      <c r="D6540" s="2">
        <v>5.1477159942128299E-3</v>
      </c>
      <c r="E6540" s="2">
        <v>8.7158675337947102E-3</v>
      </c>
      <c r="F6540" s="2">
        <v>5.1666813915672398E-3</v>
      </c>
    </row>
    <row r="6541" spans="1:6" x14ac:dyDescent="0.25">
      <c r="A6541" s="1" t="str">
        <f t="shared" si="242"/>
        <v>16980</v>
      </c>
      <c r="B6541" s="1" t="str">
        <f>"60586"</f>
        <v>60586</v>
      </c>
      <c r="C6541" s="2">
        <v>3.77973917727775E-3</v>
      </c>
      <c r="D6541" s="2">
        <v>1.07398391246166E-3</v>
      </c>
      <c r="E6541" s="2">
        <v>2.46120261850556E-4</v>
      </c>
      <c r="F6541" s="2">
        <v>3.2796871065528901E-3</v>
      </c>
    </row>
    <row r="6542" spans="1:6" x14ac:dyDescent="0.25">
      <c r="A6542" s="1" t="str">
        <f t="shared" si="242"/>
        <v>16980</v>
      </c>
      <c r="B6542" s="1" t="str">
        <f>"60402"</f>
        <v>60402</v>
      </c>
      <c r="C6542" s="2">
        <v>5.4407130496210302E-3</v>
      </c>
      <c r="D6542" s="2">
        <v>3.64660744530088E-3</v>
      </c>
      <c r="E6542" s="2">
        <v>9.3498947300836507E-3</v>
      </c>
      <c r="F6542" s="2">
        <v>5.59270345657213E-3</v>
      </c>
    </row>
    <row r="6543" spans="1:6" x14ac:dyDescent="0.25">
      <c r="A6543" s="1" t="str">
        <f t="shared" si="242"/>
        <v>16980</v>
      </c>
      <c r="B6543" s="1" t="str">
        <f>"60406"</f>
        <v>60406</v>
      </c>
      <c r="C6543" s="2">
        <v>2.5898761003273602E-3</v>
      </c>
      <c r="D6543" s="2">
        <v>2.3084481796589902E-3</v>
      </c>
      <c r="E6543" s="2">
        <v>4.9170547965361197E-3</v>
      </c>
      <c r="F6543" s="2">
        <v>2.7462801694073898E-3</v>
      </c>
    </row>
    <row r="6544" spans="1:6" x14ac:dyDescent="0.25">
      <c r="A6544" s="1" t="str">
        <f t="shared" si="242"/>
        <v>16980</v>
      </c>
      <c r="B6544" s="1" t="str">
        <f>"60418"</f>
        <v>60418</v>
      </c>
      <c r="C6544" s="2">
        <v>1.32355001470063E-3</v>
      </c>
      <c r="D6544" s="2">
        <v>1.6714646177851699E-3</v>
      </c>
      <c r="E6544" s="2">
        <v>1.9769877555169701E-3</v>
      </c>
      <c r="F6544" s="2">
        <v>1.40324509221132E-3</v>
      </c>
    </row>
    <row r="6545" spans="1:6" x14ac:dyDescent="0.25">
      <c r="A6545" s="1" t="str">
        <f t="shared" si="242"/>
        <v>16980</v>
      </c>
      <c r="B6545" s="1" t="str">
        <f>"60192"</f>
        <v>60192</v>
      </c>
      <c r="C6545" s="2">
        <v>1.4256651295135299E-3</v>
      </c>
      <c r="D6545" s="2">
        <v>7.9746391660946898E-4</v>
      </c>
      <c r="E6545" s="2">
        <v>8.5607047600193598E-5</v>
      </c>
      <c r="F6545" s="2">
        <v>1.26937608975471E-3</v>
      </c>
    </row>
    <row r="6546" spans="1:6" x14ac:dyDescent="0.25">
      <c r="A6546" s="1" t="str">
        <f t="shared" si="242"/>
        <v>16980</v>
      </c>
      <c r="B6546" s="1" t="str">
        <f>"60436"</f>
        <v>60436</v>
      </c>
      <c r="C6546" s="2">
        <v>1.8020604560944401E-3</v>
      </c>
      <c r="D6546" s="2">
        <v>1.9553913992405498E-3</v>
      </c>
      <c r="E6546" s="2">
        <v>1.2038491068777201E-3</v>
      </c>
      <c r="F6546" s="2">
        <v>1.76864332766476E-3</v>
      </c>
    </row>
    <row r="6547" spans="1:6" x14ac:dyDescent="0.25">
      <c r="A6547" s="1" t="str">
        <f t="shared" si="242"/>
        <v>16980</v>
      </c>
      <c r="B6547" s="1" t="str">
        <f>"60301"</f>
        <v>60301</v>
      </c>
      <c r="C6547" s="2">
        <v>5.1402874219830599E-4</v>
      </c>
      <c r="D6547" s="2">
        <v>2.0220524696692101E-3</v>
      </c>
      <c r="E6547" s="2">
        <v>1.3295844580405E-3</v>
      </c>
      <c r="F6547" s="2">
        <v>7.0348471151850599E-4</v>
      </c>
    </row>
    <row r="6548" spans="1:6" x14ac:dyDescent="0.25">
      <c r="A6548" s="1" t="str">
        <f t="shared" si="242"/>
        <v>16980</v>
      </c>
      <c r="B6548" s="1" t="str">
        <f>"60143"</f>
        <v>60143</v>
      </c>
      <c r="C6548" s="2">
        <v>1.3324295899017501E-3</v>
      </c>
      <c r="D6548" s="2">
        <v>2.72322817343729E-3</v>
      </c>
      <c r="E6548" s="2">
        <v>8.7212179742697299E-4</v>
      </c>
      <c r="F6548" s="2">
        <v>1.4133835483479101E-3</v>
      </c>
    </row>
    <row r="6549" spans="1:6" x14ac:dyDescent="0.25">
      <c r="A6549" s="1" t="str">
        <f t="shared" si="242"/>
        <v>16980</v>
      </c>
      <c r="B6549" s="1" t="str">
        <f>"60152"</f>
        <v>60152</v>
      </c>
      <c r="C6549" s="2">
        <v>1.3748542269737801E-3</v>
      </c>
      <c r="D6549" s="2">
        <v>8.4437355876296801E-4</v>
      </c>
      <c r="E6549" s="2">
        <v>5.7249713082629505E-4</v>
      </c>
      <c r="F6549" s="2">
        <v>1.2683415534142401E-3</v>
      </c>
    </row>
    <row r="6550" spans="1:6" x14ac:dyDescent="0.25">
      <c r="A6550" s="1" t="str">
        <f t="shared" si="242"/>
        <v>16980</v>
      </c>
      <c r="B6550" s="1" t="str">
        <f>"60139"</f>
        <v>60139</v>
      </c>
      <c r="C6550" s="2">
        <v>2.9277932677034E-3</v>
      </c>
      <c r="D6550" s="2">
        <v>1.8220692583832401E-3</v>
      </c>
      <c r="E6550" s="2">
        <v>3.34135007664505E-3</v>
      </c>
      <c r="F6550" s="2">
        <v>2.8671140139741001E-3</v>
      </c>
    </row>
    <row r="6551" spans="1:6" x14ac:dyDescent="0.25">
      <c r="A6551" s="1" t="str">
        <f t="shared" si="242"/>
        <v>16980</v>
      </c>
      <c r="B6551" s="1" t="str">
        <f>"60181"</f>
        <v>60181</v>
      </c>
      <c r="C6551" s="2">
        <v>3.3919977268287399E-3</v>
      </c>
      <c r="D6551" s="2">
        <v>6.84633882587634E-3</v>
      </c>
      <c r="E6551" s="2">
        <v>2.9855457850567501E-3</v>
      </c>
      <c r="F6551" s="2">
        <v>3.6500511164405799E-3</v>
      </c>
    </row>
    <row r="6552" spans="1:6" x14ac:dyDescent="0.25">
      <c r="A6552" s="1" t="str">
        <f t="shared" si="242"/>
        <v>16980</v>
      </c>
      <c r="B6552" s="1" t="str">
        <f>"60161"</f>
        <v>60161</v>
      </c>
      <c r="C6552" s="2">
        <v>2.2618251276192199E-4</v>
      </c>
      <c r="D6552" s="2">
        <v>2.9380249559296198E-4</v>
      </c>
      <c r="E6552" s="2">
        <v>5.3504404750120999E-6</v>
      </c>
      <c r="F6552" s="2">
        <v>2.14769744281238E-4</v>
      </c>
    </row>
    <row r="6553" spans="1:6" x14ac:dyDescent="0.25">
      <c r="A6553" s="1" t="str">
        <f t="shared" si="242"/>
        <v>16980</v>
      </c>
      <c r="B6553" s="1" t="str">
        <f>"60654"</f>
        <v>60654</v>
      </c>
      <c r="C6553" s="2">
        <v>4.2390105390691397E-3</v>
      </c>
      <c r="D6553" s="2">
        <v>9.1276287916569904E-3</v>
      </c>
      <c r="E6553" s="2">
        <v>2.2953389637801898E-3</v>
      </c>
      <c r="F6553" s="2">
        <v>4.4983709156246601E-3</v>
      </c>
    </row>
    <row r="6554" spans="1:6" x14ac:dyDescent="0.25">
      <c r="A6554" s="1" t="str">
        <f t="shared" si="242"/>
        <v>16980</v>
      </c>
      <c r="B6554" s="1" t="str">
        <f>"53142"</f>
        <v>53142</v>
      </c>
      <c r="C6554" s="2">
        <v>3.3268808420205101E-3</v>
      </c>
      <c r="D6554" s="2">
        <v>2.12327853957939E-3</v>
      </c>
      <c r="E6554" s="2">
        <v>1.38308886279062E-3</v>
      </c>
      <c r="F6554" s="2">
        <v>3.0756765402125299E-3</v>
      </c>
    </row>
    <row r="6555" spans="1:6" x14ac:dyDescent="0.25">
      <c r="A6555" s="1" t="str">
        <f t="shared" si="242"/>
        <v>16980</v>
      </c>
      <c r="B6555" s="1" t="str">
        <f>"53181"</f>
        <v>53181</v>
      </c>
      <c r="C6555" s="2">
        <v>9.7847985619034603E-4</v>
      </c>
      <c r="D6555" s="2">
        <v>2.3948606783628001E-4</v>
      </c>
      <c r="E6555" s="2">
        <v>2.3006894042552E-4</v>
      </c>
      <c r="F6555" s="2">
        <v>8.5866516258876504E-4</v>
      </c>
    </row>
    <row r="6556" spans="1:6" x14ac:dyDescent="0.25">
      <c r="A6556" s="1" t="str">
        <f t="shared" si="242"/>
        <v>16980</v>
      </c>
      <c r="B6556" s="1" t="str">
        <f>"53403"</f>
        <v>53403</v>
      </c>
      <c r="C6556" s="2">
        <v>5.89505131407846E-5</v>
      </c>
      <c r="D6556" s="2">
        <v>2.7158213878340999E-5</v>
      </c>
      <c r="E6556" s="2">
        <v>1.6051321425036299E-5</v>
      </c>
      <c r="F6556" s="2">
        <v>5.2968260631981598E-5</v>
      </c>
    </row>
    <row r="6557" spans="1:6" x14ac:dyDescent="0.25">
      <c r="A6557" s="1" t="str">
        <f t="shared" si="242"/>
        <v>16980</v>
      </c>
      <c r="B6557" s="1" t="str">
        <f>"60077"</f>
        <v>60077</v>
      </c>
      <c r="C6557" s="2">
        <v>2.9290265420368901E-3</v>
      </c>
      <c r="D6557" s="2">
        <v>4.38728600561928E-3</v>
      </c>
      <c r="E6557" s="2">
        <v>5.2380812250368497E-3</v>
      </c>
      <c r="F6557" s="2">
        <v>3.2298224549423202E-3</v>
      </c>
    </row>
    <row r="6558" spans="1:6" x14ac:dyDescent="0.25">
      <c r="A6558" s="1" t="str">
        <f t="shared" si="242"/>
        <v>16980</v>
      </c>
      <c r="B6558" s="1" t="str">
        <f>"60085"</f>
        <v>60085</v>
      </c>
      <c r="C6558" s="2">
        <v>6.0124590306266396E-3</v>
      </c>
      <c r="D6558" s="2">
        <v>5.7921063416898301E-3</v>
      </c>
      <c r="E6558" s="2">
        <v>4.8662256120234997E-3</v>
      </c>
      <c r="F6558" s="2">
        <v>5.9053403386616701E-3</v>
      </c>
    </row>
    <row r="6559" spans="1:6" x14ac:dyDescent="0.25">
      <c r="A6559" s="1" t="str">
        <f t="shared" si="242"/>
        <v>16980</v>
      </c>
      <c r="B6559" s="1" t="str">
        <f>"60201"</f>
        <v>60201</v>
      </c>
      <c r="C6559" s="2">
        <v>4.6906355999928899E-3</v>
      </c>
      <c r="D6559" s="2">
        <v>5.5427445597159702E-3</v>
      </c>
      <c r="E6559" s="2">
        <v>5.51630412973748E-3</v>
      </c>
      <c r="F6559" s="2">
        <v>4.8259051210169501E-3</v>
      </c>
    </row>
    <row r="6560" spans="1:6" x14ac:dyDescent="0.25">
      <c r="A6560" s="1" t="str">
        <f t="shared" si="242"/>
        <v>16980</v>
      </c>
      <c r="B6560" s="1" t="str">
        <f>"60084"</f>
        <v>60084</v>
      </c>
      <c r="C6560" s="2">
        <v>1.87112381876984E-3</v>
      </c>
      <c r="D6560" s="2">
        <v>2.24672496629912E-3</v>
      </c>
      <c r="E6560" s="2">
        <v>1.47404635086583E-3</v>
      </c>
      <c r="F6560" s="2">
        <v>1.8718900544435E-3</v>
      </c>
    </row>
    <row r="6561" spans="1:6" x14ac:dyDescent="0.25">
      <c r="A6561" s="1" t="str">
        <f t="shared" si="242"/>
        <v>16980</v>
      </c>
      <c r="B6561" s="1" t="str">
        <f>"60041"</f>
        <v>60041</v>
      </c>
      <c r="C6561" s="2">
        <v>1.0630824754677001E-3</v>
      </c>
      <c r="D6561" s="2">
        <v>5.1847499222287504E-4</v>
      </c>
      <c r="E6561" s="2">
        <v>1.97966297575447E-4</v>
      </c>
      <c r="F6561" s="2">
        <v>9.5053198962235901E-4</v>
      </c>
    </row>
    <row r="6562" spans="1:6" x14ac:dyDescent="0.25">
      <c r="A6562" s="1" t="str">
        <f t="shared" si="242"/>
        <v>16980</v>
      </c>
      <c r="B6562" s="1" t="str">
        <f>"60042"</f>
        <v>60042</v>
      </c>
      <c r="C6562" s="2">
        <v>1.0085717499274799E-3</v>
      </c>
      <c r="D6562" s="2">
        <v>6.7648641842413205E-4</v>
      </c>
      <c r="E6562" s="2">
        <v>1.9529107733794101E-4</v>
      </c>
      <c r="F6562" s="2">
        <v>9.1784064126355697E-4</v>
      </c>
    </row>
    <row r="6563" spans="1:6" x14ac:dyDescent="0.25">
      <c r="A6563" s="1" t="str">
        <f t="shared" si="242"/>
        <v>16980</v>
      </c>
      <c r="B6563" s="1" t="str">
        <f>"60047"</f>
        <v>60047</v>
      </c>
      <c r="C6563" s="2">
        <v>4.6047997063820402E-3</v>
      </c>
      <c r="D6563" s="2">
        <v>4.3971617197568497E-3</v>
      </c>
      <c r="E6563" s="2">
        <v>1.4793967913408401E-3</v>
      </c>
      <c r="F6563" s="2">
        <v>4.3456733517715203E-3</v>
      </c>
    </row>
    <row r="6564" spans="1:6" x14ac:dyDescent="0.25">
      <c r="A6564" s="1" t="str">
        <f t="shared" si="242"/>
        <v>16980</v>
      </c>
      <c r="B6564" s="1" t="str">
        <f>"47951"</f>
        <v>47951</v>
      </c>
      <c r="C6564" s="2">
        <v>2.5627440649905899E-4</v>
      </c>
      <c r="D6564" s="2">
        <v>3.6540142309040701E-4</v>
      </c>
      <c r="E6564" s="2">
        <v>8.8282267837699698E-5</v>
      </c>
      <c r="F6564" s="2">
        <v>2.5242686707428698E-4</v>
      </c>
    </row>
    <row r="6565" spans="1:6" x14ac:dyDescent="0.25">
      <c r="A6565" s="1" t="str">
        <f t="shared" si="242"/>
        <v>16980</v>
      </c>
      <c r="B6565" s="1" t="str">
        <f>"46383"</f>
        <v>46383</v>
      </c>
      <c r="C6565" s="2">
        <v>5.2724944305330996E-3</v>
      </c>
      <c r="D6565" s="2">
        <v>5.1773431366255599E-3</v>
      </c>
      <c r="E6565" s="2">
        <v>3.9031463265213301E-3</v>
      </c>
      <c r="F6565" s="2">
        <v>5.1586120081115903E-3</v>
      </c>
    </row>
    <row r="6566" spans="1:6" x14ac:dyDescent="0.25">
      <c r="A6566" s="1" t="str">
        <f t="shared" si="242"/>
        <v>16980</v>
      </c>
      <c r="B6566" s="1" t="str">
        <f>"46405"</f>
        <v>46405</v>
      </c>
      <c r="C6566" s="2">
        <v>1.3089973775654499E-3</v>
      </c>
      <c r="D6566" s="2">
        <v>1.0097917705673999E-3</v>
      </c>
      <c r="E6566" s="2">
        <v>2.5147070232556799E-4</v>
      </c>
      <c r="F6566" s="2">
        <v>1.2021312276242701E-3</v>
      </c>
    </row>
    <row r="6567" spans="1:6" x14ac:dyDescent="0.25">
      <c r="A6567" s="1" t="str">
        <f t="shared" si="242"/>
        <v>16980</v>
      </c>
      <c r="B6567" s="1" t="str">
        <f>"46360"</f>
        <v>46360</v>
      </c>
      <c r="C6567" s="2">
        <v>1.9905047742515899E-4</v>
      </c>
      <c r="D6567" s="2">
        <v>2.0738999688914999E-4</v>
      </c>
      <c r="E6567" s="2">
        <v>5.8854845225133098E-5</v>
      </c>
      <c r="F6567" s="2">
        <v>1.8890633576952801E-4</v>
      </c>
    </row>
    <row r="6568" spans="1:6" x14ac:dyDescent="0.25">
      <c r="A6568" s="1" t="str">
        <f t="shared" si="242"/>
        <v>16980</v>
      </c>
      <c r="B6568" s="1" t="str">
        <f>"46347"</f>
        <v>46347</v>
      </c>
      <c r="C6568" s="2">
        <v>4.6691766265901801E-4</v>
      </c>
      <c r="D6568" s="2">
        <v>1.13570712582153E-4</v>
      </c>
      <c r="E6568" s="2">
        <v>5.8854845225133098E-5</v>
      </c>
      <c r="F6568" s="2">
        <v>4.0574515273170299E-4</v>
      </c>
    </row>
    <row r="6569" spans="1:6" x14ac:dyDescent="0.25">
      <c r="A6569" s="1" t="str">
        <f t="shared" si="242"/>
        <v>16980</v>
      </c>
      <c r="B6569" s="1" t="str">
        <f>"46310"</f>
        <v>46310</v>
      </c>
      <c r="C6569" s="2">
        <v>1.46488325331849E-3</v>
      </c>
      <c r="D6569" s="2">
        <v>8.0240177367825905E-4</v>
      </c>
      <c r="E6569" s="2">
        <v>2.1134239876297801E-4</v>
      </c>
      <c r="F6569" s="2">
        <v>1.3124128015181999E-3</v>
      </c>
    </row>
    <row r="6570" spans="1:6" x14ac:dyDescent="0.25">
      <c r="A6570" s="1" t="str">
        <f t="shared" si="242"/>
        <v>16980</v>
      </c>
      <c r="B6570" s="1" t="str">
        <f>"46319"</f>
        <v>46319</v>
      </c>
      <c r="C6570" s="2">
        <v>2.1579834287394298E-3</v>
      </c>
      <c r="D6570" s="2">
        <v>1.9603292563093399E-3</v>
      </c>
      <c r="E6570" s="2">
        <v>1.34296055922803E-3</v>
      </c>
      <c r="F6570" s="2">
        <v>2.0783835080009998E-3</v>
      </c>
    </row>
    <row r="6571" spans="1:6" x14ac:dyDescent="0.25">
      <c r="A6571" s="1" t="str">
        <f t="shared" si="242"/>
        <v>16980</v>
      </c>
      <c r="B6571" s="1" t="str">
        <f>"60095"</f>
        <v>60095</v>
      </c>
      <c r="C6571" s="2">
        <v>0</v>
      </c>
      <c r="D6571" s="2">
        <v>0</v>
      </c>
      <c r="E6571" s="2">
        <v>2.6752202375060499E-6</v>
      </c>
      <c r="F6571" s="2">
        <v>2.0690726809367801E-7</v>
      </c>
    </row>
    <row r="6572" spans="1:6" x14ac:dyDescent="0.25">
      <c r="A6572" s="1" t="str">
        <f t="shared" si="242"/>
        <v>16980</v>
      </c>
      <c r="B6572" s="1" t="str">
        <f>"53194"</f>
        <v>53194</v>
      </c>
      <c r="C6572" s="2">
        <v>0</v>
      </c>
      <c r="D6572" s="2">
        <v>0</v>
      </c>
      <c r="E6572" s="2">
        <v>2.6752202375060499E-6</v>
      </c>
      <c r="F6572" s="2">
        <v>2.0690726809367801E-7</v>
      </c>
    </row>
    <row r="6573" spans="1:6" x14ac:dyDescent="0.25">
      <c r="A6573" s="1" t="str">
        <f t="shared" si="242"/>
        <v>16980</v>
      </c>
      <c r="B6573" s="1" t="str">
        <f>"60147"</f>
        <v>60147</v>
      </c>
      <c r="C6573" s="2">
        <v>4.9330973339568705E-7</v>
      </c>
      <c r="D6573" s="2">
        <v>0</v>
      </c>
      <c r="E6573" s="2">
        <v>5.3504404750120999E-6</v>
      </c>
      <c r="F6573" s="2">
        <v>8.2762907237471396E-7</v>
      </c>
    </row>
    <row r="6574" spans="1:6" x14ac:dyDescent="0.25">
      <c r="A6574" s="1" t="str">
        <f t="shared" si="242"/>
        <v>16980</v>
      </c>
      <c r="B6574" s="1" t="str">
        <f>"61038"</f>
        <v>61038</v>
      </c>
      <c r="C6574" s="2">
        <v>1.01128495346115E-5</v>
      </c>
      <c r="D6574" s="2">
        <v>0</v>
      </c>
      <c r="E6574" s="2">
        <v>0</v>
      </c>
      <c r="F6574" s="2">
        <v>8.4831979918408093E-6</v>
      </c>
    </row>
    <row r="6575" spans="1:6" x14ac:dyDescent="0.25">
      <c r="A6575" s="1" t="str">
        <f t="shared" si="242"/>
        <v>16980</v>
      </c>
      <c r="B6575" s="1" t="str">
        <f>"46377"</f>
        <v>46377</v>
      </c>
      <c r="C6575" s="2">
        <v>0</v>
      </c>
      <c r="D6575" s="2">
        <v>0</v>
      </c>
      <c r="E6575" s="2">
        <v>2.6752202375060499E-6</v>
      </c>
      <c r="F6575" s="2">
        <v>2.0690726809367801E-7</v>
      </c>
    </row>
    <row r="6576" spans="1:6" x14ac:dyDescent="0.25">
      <c r="A6576" s="1" t="str">
        <f t="shared" si="242"/>
        <v>16980</v>
      </c>
      <c r="B6576" s="1" t="str">
        <f>"60695"</f>
        <v>60695</v>
      </c>
      <c r="C6576" s="2">
        <v>0</v>
      </c>
      <c r="D6576" s="2">
        <v>0</v>
      </c>
      <c r="E6576" s="2">
        <v>5.3771926773871605E-4</v>
      </c>
      <c r="F6576" s="2">
        <v>4.15883608868293E-5</v>
      </c>
    </row>
    <row r="6577" spans="1:6" x14ac:dyDescent="0.25">
      <c r="A6577" s="1" t="str">
        <f t="shared" si="242"/>
        <v>16980</v>
      </c>
      <c r="B6577" s="1" t="str">
        <f>"60950"</f>
        <v>60950</v>
      </c>
      <c r="C6577" s="2">
        <v>6.9063362675396199E-6</v>
      </c>
      <c r="D6577" s="2">
        <v>0</v>
      </c>
      <c r="E6577" s="2">
        <v>0</v>
      </c>
      <c r="F6577" s="2">
        <v>5.7934035066229903E-6</v>
      </c>
    </row>
    <row r="6578" spans="1:6" x14ac:dyDescent="0.25">
      <c r="A6578" s="1" t="str">
        <f t="shared" si="242"/>
        <v>16980</v>
      </c>
      <c r="B6578" s="1" t="str">
        <f>"60159"</f>
        <v>60159</v>
      </c>
      <c r="C6578" s="2">
        <v>1.7019185802151199E-5</v>
      </c>
      <c r="D6578" s="2">
        <v>7.4067856031839293E-5</v>
      </c>
      <c r="E6578" s="2">
        <v>5.3504404750120999E-6</v>
      </c>
      <c r="F6578" s="2">
        <v>2.0897634077461499E-5</v>
      </c>
    </row>
    <row r="6579" spans="1:6" x14ac:dyDescent="0.25">
      <c r="A6579" s="1" t="str">
        <f t="shared" ref="A6579:A6642" si="243">"16980"</f>
        <v>16980</v>
      </c>
      <c r="B6579" s="1" t="str">
        <f>"46348"</f>
        <v>46348</v>
      </c>
      <c r="C6579" s="2">
        <v>1.9732389335827499E-6</v>
      </c>
      <c r="D6579" s="2">
        <v>0</v>
      </c>
      <c r="E6579" s="2">
        <v>0</v>
      </c>
      <c r="F6579" s="2">
        <v>1.6552581447494201E-6</v>
      </c>
    </row>
    <row r="6580" spans="1:6" x14ac:dyDescent="0.25">
      <c r="A6580" s="1" t="str">
        <f t="shared" si="243"/>
        <v>16980</v>
      </c>
      <c r="B6580" s="1" t="str">
        <f>"46391"</f>
        <v>46391</v>
      </c>
      <c r="C6580" s="2">
        <v>1.8400453055659099E-4</v>
      </c>
      <c r="D6580" s="2">
        <v>9.8757141375785702E-6</v>
      </c>
      <c r="E6580" s="2">
        <v>5.3504404750120999E-6</v>
      </c>
      <c r="F6580" s="2">
        <v>1.5559426560644599E-4</v>
      </c>
    </row>
    <row r="6581" spans="1:6" x14ac:dyDescent="0.25">
      <c r="A6581" s="1" t="str">
        <f t="shared" si="243"/>
        <v>16980</v>
      </c>
      <c r="B6581" s="1" t="str">
        <f>"60168"</f>
        <v>60168</v>
      </c>
      <c r="C6581" s="2">
        <v>1.6772530935453301E-4</v>
      </c>
      <c r="D6581" s="2">
        <v>7.11051417905657E-4</v>
      </c>
      <c r="E6581" s="2">
        <v>5.3504404750120999E-6</v>
      </c>
      <c r="F6581" s="2">
        <v>2.0070005005086799E-4</v>
      </c>
    </row>
    <row r="6582" spans="1:6" x14ac:dyDescent="0.25">
      <c r="A6582" s="1" t="str">
        <f t="shared" si="243"/>
        <v>16980</v>
      </c>
      <c r="B6582" s="1" t="str">
        <f>"60037"</f>
        <v>60037</v>
      </c>
      <c r="C6582" s="2">
        <v>0</v>
      </c>
      <c r="D6582" s="2">
        <v>4.93785706878928E-6</v>
      </c>
      <c r="E6582" s="2">
        <v>0</v>
      </c>
      <c r="F6582" s="2">
        <v>4.1381453618735698E-7</v>
      </c>
    </row>
    <row r="6583" spans="1:6" x14ac:dyDescent="0.25">
      <c r="A6583" s="1" t="str">
        <f t="shared" si="243"/>
        <v>16980</v>
      </c>
      <c r="B6583" s="1" t="str">
        <f>"53192"</f>
        <v>53192</v>
      </c>
      <c r="C6583" s="2">
        <v>1.5785911468661999E-5</v>
      </c>
      <c r="D6583" s="2">
        <v>2.46892853439464E-6</v>
      </c>
      <c r="E6583" s="2">
        <v>2.6752202375060499E-6</v>
      </c>
      <c r="F6583" s="2">
        <v>1.3655879694182699E-5</v>
      </c>
    </row>
    <row r="6584" spans="1:6" x14ac:dyDescent="0.25">
      <c r="A6584" s="1" t="str">
        <f t="shared" si="243"/>
        <v>16980</v>
      </c>
      <c r="B6584" s="1" t="str">
        <f>"60017"</f>
        <v>60017</v>
      </c>
      <c r="C6584" s="2">
        <v>2.4295504369737601E-4</v>
      </c>
      <c r="D6584" s="2">
        <v>4.8390999274134999E-4</v>
      </c>
      <c r="E6584" s="2">
        <v>5.3504404750120999E-6</v>
      </c>
      <c r="F6584" s="2">
        <v>2.44771298154821E-4</v>
      </c>
    </row>
    <row r="6585" spans="1:6" x14ac:dyDescent="0.25">
      <c r="A6585" s="1" t="str">
        <f t="shared" si="243"/>
        <v>16980</v>
      </c>
      <c r="B6585" s="1" t="str">
        <f>"60122"</f>
        <v>60122</v>
      </c>
      <c r="C6585" s="2">
        <v>0</v>
      </c>
      <c r="D6585" s="2">
        <v>4.6909642153498203E-5</v>
      </c>
      <c r="E6585" s="2">
        <v>8.0256607125181494E-6</v>
      </c>
      <c r="F6585" s="2">
        <v>4.5519598980609201E-6</v>
      </c>
    </row>
    <row r="6586" spans="1:6" x14ac:dyDescent="0.25">
      <c r="A6586" s="1" t="str">
        <f t="shared" si="243"/>
        <v>16980</v>
      </c>
      <c r="B6586" s="1" t="str">
        <f>"60111"</f>
        <v>60111</v>
      </c>
      <c r="C6586" s="2">
        <v>2.8365309670252E-5</v>
      </c>
      <c r="D6586" s="2">
        <v>9.8757141375785702E-6</v>
      </c>
      <c r="E6586" s="2">
        <v>2.6752202375060499E-6</v>
      </c>
      <c r="F6586" s="2">
        <v>2.4828872171241401E-5</v>
      </c>
    </row>
    <row r="6587" spans="1:6" x14ac:dyDescent="0.25">
      <c r="A6587" s="1" t="str">
        <f t="shared" si="243"/>
        <v>16980</v>
      </c>
      <c r="B6587" s="1" t="str">
        <f>"60145"</f>
        <v>60145</v>
      </c>
      <c r="C6587" s="2">
        <v>2.3111561009587901E-4</v>
      </c>
      <c r="D6587" s="2">
        <v>8.3943570169417803E-5</v>
      </c>
      <c r="E6587" s="2">
        <v>4.5478744037602797E-5</v>
      </c>
      <c r="F6587" s="2">
        <v>2.0442438087655399E-4</v>
      </c>
    </row>
    <row r="6588" spans="1:6" x14ac:dyDescent="0.25">
      <c r="A6588" s="1" t="str">
        <f t="shared" si="243"/>
        <v>16980</v>
      </c>
      <c r="B6588" s="1" t="str">
        <f>"60660"</f>
        <v>60660</v>
      </c>
      <c r="C6588" s="2">
        <v>5.4971970140948404E-3</v>
      </c>
      <c r="D6588" s="2">
        <v>2.51090031947935E-3</v>
      </c>
      <c r="E6588" s="2">
        <v>9.2509115812959303E-3</v>
      </c>
      <c r="F6588" s="2">
        <v>5.5372523087230197E-3</v>
      </c>
    </row>
    <row r="6589" spans="1:6" x14ac:dyDescent="0.25">
      <c r="A6589" s="1" t="str">
        <f t="shared" si="243"/>
        <v>16980</v>
      </c>
      <c r="B6589" s="1" t="str">
        <f>"60805"</f>
        <v>60805</v>
      </c>
      <c r="C6589" s="2">
        <v>1.8957893054396199E-3</v>
      </c>
      <c r="D6589" s="2">
        <v>1.73565675967943E-3</v>
      </c>
      <c r="E6589" s="2">
        <v>8.5072003552692397E-4</v>
      </c>
      <c r="F6589" s="2">
        <v>1.80154158329165E-3</v>
      </c>
    </row>
    <row r="6590" spans="1:6" x14ac:dyDescent="0.25">
      <c r="A6590" s="1" t="str">
        <f t="shared" si="243"/>
        <v>16980</v>
      </c>
      <c r="B6590" s="1" t="str">
        <f>"60631"</f>
        <v>60631</v>
      </c>
      <c r="C6590" s="2">
        <v>3.1187041345275301E-3</v>
      </c>
      <c r="D6590" s="2">
        <v>3.77005387202062E-3</v>
      </c>
      <c r="E6590" s="2">
        <v>3.0096227671942998E-3</v>
      </c>
      <c r="F6590" s="2">
        <v>3.1648535727608999E-3</v>
      </c>
    </row>
    <row r="6591" spans="1:6" x14ac:dyDescent="0.25">
      <c r="A6591" s="1" t="str">
        <f t="shared" si="243"/>
        <v>16980</v>
      </c>
      <c r="B6591" s="1" t="str">
        <f>"60639"</f>
        <v>60639</v>
      </c>
      <c r="C6591" s="2">
        <v>4.80804331654107E-3</v>
      </c>
      <c r="D6591" s="2">
        <v>6.6216663292464296E-3</v>
      </c>
      <c r="E6591" s="2">
        <v>8.2289774505686104E-3</v>
      </c>
      <c r="F6591" s="2">
        <v>5.22461542663347E-3</v>
      </c>
    </row>
    <row r="6592" spans="1:6" x14ac:dyDescent="0.25">
      <c r="A6592" s="1" t="str">
        <f t="shared" si="243"/>
        <v>16980</v>
      </c>
      <c r="B6592" s="1" t="str">
        <f>"60642"</f>
        <v>60642</v>
      </c>
      <c r="C6592" s="2">
        <v>2.8757490908301602E-3</v>
      </c>
      <c r="D6592" s="2">
        <v>4.58726921690524E-3</v>
      </c>
      <c r="E6592" s="2">
        <v>7.31672734957905E-3</v>
      </c>
      <c r="F6592" s="2">
        <v>3.3626569210584599E-3</v>
      </c>
    </row>
    <row r="6593" spans="1:6" x14ac:dyDescent="0.25">
      <c r="A6593" s="1" t="str">
        <f t="shared" si="243"/>
        <v>16980</v>
      </c>
      <c r="B6593" s="1" t="str">
        <f>"60643"</f>
        <v>60643</v>
      </c>
      <c r="C6593" s="2">
        <v>5.2315497226612601E-3</v>
      </c>
      <c r="D6593" s="2">
        <v>4.3354385063969899E-3</v>
      </c>
      <c r="E6593" s="2">
        <v>2.1722788328549102E-3</v>
      </c>
      <c r="F6593" s="2">
        <v>4.9198410207314802E-3</v>
      </c>
    </row>
    <row r="6594" spans="1:6" x14ac:dyDescent="0.25">
      <c r="A6594" s="1" t="str">
        <f t="shared" si="243"/>
        <v>16980</v>
      </c>
      <c r="B6594" s="1" t="str">
        <f>"60644"</f>
        <v>60644</v>
      </c>
      <c r="C6594" s="2">
        <v>3.7057427172684002E-3</v>
      </c>
      <c r="D6594" s="2">
        <v>2.55780996163285E-3</v>
      </c>
      <c r="E6594" s="2">
        <v>9.2830142241459995E-3</v>
      </c>
      <c r="F6594" s="2">
        <v>4.04089894586954E-3</v>
      </c>
    </row>
    <row r="6595" spans="1:6" x14ac:dyDescent="0.25">
      <c r="A6595" s="1" t="str">
        <f t="shared" si="243"/>
        <v>16980</v>
      </c>
      <c r="B6595" s="1" t="str">
        <f>"60645"</f>
        <v>60645</v>
      </c>
      <c r="C6595" s="2">
        <v>4.0313271413095503E-3</v>
      </c>
      <c r="D6595" s="2">
        <v>1.97020497044692E-3</v>
      </c>
      <c r="E6595" s="2">
        <v>1.09550268725872E-2</v>
      </c>
      <c r="F6595" s="2">
        <v>4.3940896525054502E-3</v>
      </c>
    </row>
    <row r="6596" spans="1:6" x14ac:dyDescent="0.25">
      <c r="A6596" s="1" t="str">
        <f t="shared" si="243"/>
        <v>16980</v>
      </c>
      <c r="B6596" s="1" t="str">
        <f>"60653"</f>
        <v>60653</v>
      </c>
      <c r="C6596" s="2">
        <v>4.3181867512791499E-3</v>
      </c>
      <c r="D6596" s="2">
        <v>2.2714142516430699E-3</v>
      </c>
      <c r="E6596" s="2">
        <v>7.8169935339926794E-3</v>
      </c>
      <c r="F6596" s="2">
        <v>4.41726326653194E-3</v>
      </c>
    </row>
    <row r="6597" spans="1:6" x14ac:dyDescent="0.25">
      <c r="A6597" s="1" t="str">
        <f t="shared" si="243"/>
        <v>16980</v>
      </c>
      <c r="B6597" s="1" t="str">
        <f>"60045"</f>
        <v>60045</v>
      </c>
      <c r="C6597" s="2">
        <v>2.1944883490107102E-3</v>
      </c>
      <c r="D6597" s="2">
        <v>3.0614713826493502E-3</v>
      </c>
      <c r="E6597" s="2">
        <v>8.1594217243934595E-4</v>
      </c>
      <c r="F6597" s="2">
        <v>2.1605256934341898E-3</v>
      </c>
    </row>
    <row r="6598" spans="1:6" x14ac:dyDescent="0.25">
      <c r="A6598" s="1" t="str">
        <f t="shared" si="243"/>
        <v>16980</v>
      </c>
      <c r="B6598" s="1" t="str">
        <f>"60034"</f>
        <v>60034</v>
      </c>
      <c r="C6598" s="2">
        <v>2.5602775163236099E-4</v>
      </c>
      <c r="D6598" s="2">
        <v>2.19734639561123E-4</v>
      </c>
      <c r="E6598" s="2">
        <v>1.9261585710043499E-4</v>
      </c>
      <c r="F6598" s="2">
        <v>2.4808181444432002E-4</v>
      </c>
    </row>
    <row r="6599" spans="1:6" x14ac:dyDescent="0.25">
      <c r="A6599" s="1" t="str">
        <f t="shared" si="243"/>
        <v>16980</v>
      </c>
      <c r="B6599" s="1" t="str">
        <f>"60061"</f>
        <v>60061</v>
      </c>
      <c r="C6599" s="2">
        <v>3.10637139119264E-3</v>
      </c>
      <c r="D6599" s="2">
        <v>3.15282173842195E-3</v>
      </c>
      <c r="E6599" s="2">
        <v>1.7469188150914499E-3</v>
      </c>
      <c r="F6599" s="2">
        <v>3.0051211617925801E-3</v>
      </c>
    </row>
    <row r="6600" spans="1:6" x14ac:dyDescent="0.25">
      <c r="A6600" s="1" t="str">
        <f t="shared" si="243"/>
        <v>16980</v>
      </c>
      <c r="B6600" s="1" t="str">
        <f>"60020"</f>
        <v>60020</v>
      </c>
      <c r="C6600" s="2">
        <v>1.4421910055822901E-3</v>
      </c>
      <c r="D6600" s="2">
        <v>9.9497819936104101E-4</v>
      </c>
      <c r="E6600" s="2">
        <v>1.1128916188025101E-3</v>
      </c>
      <c r="F6600" s="2">
        <v>1.3792438491124601E-3</v>
      </c>
    </row>
    <row r="6601" spans="1:6" x14ac:dyDescent="0.25">
      <c r="A6601" s="1" t="str">
        <f t="shared" si="243"/>
        <v>16980</v>
      </c>
      <c r="B6601" s="1" t="str">
        <f>"60002"</f>
        <v>60002</v>
      </c>
      <c r="C6601" s="2">
        <v>2.9159538341019002E-3</v>
      </c>
      <c r="D6601" s="2">
        <v>2.6145953179239202E-3</v>
      </c>
      <c r="E6601" s="2">
        <v>9.76455386689709E-4</v>
      </c>
      <c r="F6601" s="2">
        <v>2.7406936731688598E-3</v>
      </c>
    </row>
    <row r="6602" spans="1:6" x14ac:dyDescent="0.25">
      <c r="A6602" s="1" t="str">
        <f t="shared" si="243"/>
        <v>16980</v>
      </c>
      <c r="B6602" s="1" t="str">
        <f>"60107"</f>
        <v>60107</v>
      </c>
      <c r="C6602" s="2">
        <v>3.6036276024554899E-3</v>
      </c>
      <c r="D6602" s="2">
        <v>2.18253282440486E-3</v>
      </c>
      <c r="E6602" s="2">
        <v>9.5505362478965998E-4</v>
      </c>
      <c r="F6602" s="2">
        <v>3.2796871065528901E-3</v>
      </c>
    </row>
    <row r="6603" spans="1:6" x14ac:dyDescent="0.25">
      <c r="A6603" s="1" t="str">
        <f t="shared" si="243"/>
        <v>16980</v>
      </c>
      <c r="B6603" s="1" t="str">
        <f>"60106"</f>
        <v>60106</v>
      </c>
      <c r="C6603" s="2">
        <v>1.9727456238493499E-3</v>
      </c>
      <c r="D6603" s="2">
        <v>4.8711959983606303E-3</v>
      </c>
      <c r="E6603" s="2">
        <v>2.39699733280542E-3</v>
      </c>
      <c r="F6603" s="2">
        <v>2.2484612823739998E-3</v>
      </c>
    </row>
    <row r="6604" spans="1:6" x14ac:dyDescent="0.25">
      <c r="A6604" s="1" t="str">
        <f t="shared" si="243"/>
        <v>16980</v>
      </c>
      <c r="B6604" s="1" t="str">
        <f>"60117"</f>
        <v>60117</v>
      </c>
      <c r="C6604" s="2">
        <v>0</v>
      </c>
      <c r="D6604" s="2">
        <v>2.22203568095517E-5</v>
      </c>
      <c r="E6604" s="2">
        <v>5.3504404750120999E-6</v>
      </c>
      <c r="F6604" s="2">
        <v>2.27597994903046E-6</v>
      </c>
    </row>
    <row r="6605" spans="1:6" x14ac:dyDescent="0.25">
      <c r="A6605" s="1" t="str">
        <f t="shared" si="243"/>
        <v>16980</v>
      </c>
      <c r="B6605" s="1" t="str">
        <f>"60520"</f>
        <v>60520</v>
      </c>
      <c r="C6605" s="2">
        <v>2.9327263650373602E-4</v>
      </c>
      <c r="D6605" s="2">
        <v>2.1479678249233301E-4</v>
      </c>
      <c r="E6605" s="2">
        <v>1.6051321425036299E-4</v>
      </c>
      <c r="F6605" s="2">
        <v>2.7642811017315402E-4</v>
      </c>
    </row>
    <row r="6606" spans="1:6" x14ac:dyDescent="0.25">
      <c r="A6606" s="1" t="str">
        <f t="shared" si="243"/>
        <v>16980</v>
      </c>
      <c r="B6606" s="1" t="str">
        <f>"60526"</f>
        <v>60526</v>
      </c>
      <c r="C6606" s="2">
        <v>1.4619233949181201E-3</v>
      </c>
      <c r="D6606" s="2">
        <v>4.8144106420695501E-4</v>
      </c>
      <c r="E6606" s="2">
        <v>2.1535522911923701E-3</v>
      </c>
      <c r="F6606" s="2">
        <v>1.43324664608491E-3</v>
      </c>
    </row>
    <row r="6607" spans="1:6" x14ac:dyDescent="0.25">
      <c r="A6607" s="1" t="str">
        <f t="shared" si="243"/>
        <v>16980</v>
      </c>
      <c r="B6607" s="1" t="str">
        <f>"60504"</f>
        <v>60504</v>
      </c>
      <c r="C6607" s="2">
        <v>3.6556717793287401E-3</v>
      </c>
      <c r="D6607" s="2">
        <v>3.5453813753907001E-3</v>
      </c>
      <c r="E6607" s="2">
        <v>3.7720605348835301E-3</v>
      </c>
      <c r="F6607" s="2">
        <v>3.6554307054110099E-3</v>
      </c>
    </row>
    <row r="6608" spans="1:6" x14ac:dyDescent="0.25">
      <c r="A6608" s="1" t="str">
        <f t="shared" si="243"/>
        <v>16980</v>
      </c>
      <c r="B6608" s="1" t="str">
        <f>"60502"</f>
        <v>60502</v>
      </c>
      <c r="C6608" s="2">
        <v>2.0763406678624401E-3</v>
      </c>
      <c r="D6608" s="2">
        <v>2.34054425060612E-3</v>
      </c>
      <c r="E6608" s="2">
        <v>1.08346419618995E-3</v>
      </c>
      <c r="F6608" s="2">
        <v>2.02169091654333E-3</v>
      </c>
    </row>
    <row r="6609" spans="1:6" x14ac:dyDescent="0.25">
      <c r="A6609" s="1" t="str">
        <f t="shared" si="243"/>
        <v>16980</v>
      </c>
      <c r="B6609" s="1" t="str">
        <f>"60544"</f>
        <v>60544</v>
      </c>
      <c r="C6609" s="2">
        <v>3.4783269301729902E-3</v>
      </c>
      <c r="D6609" s="2">
        <v>4.2292745794180204E-3</v>
      </c>
      <c r="E6609" s="2">
        <v>1.79239755912905E-3</v>
      </c>
      <c r="F6609" s="2">
        <v>3.4108663145242901E-3</v>
      </c>
    </row>
    <row r="6610" spans="1:6" x14ac:dyDescent="0.25">
      <c r="A6610" s="1" t="str">
        <f t="shared" si="243"/>
        <v>16980</v>
      </c>
      <c r="B6610" s="1" t="str">
        <f>"60537"</f>
        <v>60537</v>
      </c>
      <c r="C6610" s="2">
        <v>2.2938902602899401E-5</v>
      </c>
      <c r="D6610" s="2">
        <v>4.93785706878928E-6</v>
      </c>
      <c r="E6610" s="2">
        <v>1.07008809500242E-5</v>
      </c>
      <c r="F6610" s="2">
        <v>2.0483819541274101E-5</v>
      </c>
    </row>
    <row r="6611" spans="1:6" x14ac:dyDescent="0.25">
      <c r="A6611" s="1" t="str">
        <f t="shared" si="243"/>
        <v>16980</v>
      </c>
      <c r="B6611" s="1" t="str">
        <f>"60450"</f>
        <v>60450</v>
      </c>
      <c r="C6611" s="2">
        <v>2.3863858353016299E-3</v>
      </c>
      <c r="D6611" s="2">
        <v>2.8985220993793101E-3</v>
      </c>
      <c r="E6611" s="2">
        <v>1.42856760682823E-3</v>
      </c>
      <c r="F6611" s="2">
        <v>2.3552254327103401E-3</v>
      </c>
    </row>
    <row r="6612" spans="1:6" x14ac:dyDescent="0.25">
      <c r="A6612" s="1" t="str">
        <f t="shared" si="243"/>
        <v>16980</v>
      </c>
      <c r="B6612" s="1" t="str">
        <f>"60458"</f>
        <v>60458</v>
      </c>
      <c r="C6612" s="2">
        <v>1.5615719610640401E-3</v>
      </c>
      <c r="D6612" s="2">
        <v>5.4316427756682104E-4</v>
      </c>
      <c r="E6612" s="2">
        <v>1.78169667817903E-3</v>
      </c>
      <c r="F6612" s="2">
        <v>1.49324975383207E-3</v>
      </c>
    </row>
    <row r="6613" spans="1:6" x14ac:dyDescent="0.25">
      <c r="A6613" s="1" t="str">
        <f t="shared" si="243"/>
        <v>16980</v>
      </c>
      <c r="B6613" s="1" t="str">
        <f>"60490"</f>
        <v>60490</v>
      </c>
      <c r="C6613" s="2">
        <v>1.6345818016066101E-3</v>
      </c>
      <c r="D6613" s="2">
        <v>8.3202891609099403E-4</v>
      </c>
      <c r="E6613" s="2">
        <v>1.47137113062832E-4</v>
      </c>
      <c r="F6613" s="2">
        <v>1.4522821147495201E-3</v>
      </c>
    </row>
    <row r="6614" spans="1:6" x14ac:dyDescent="0.25">
      <c r="A6614" s="1" t="str">
        <f t="shared" si="243"/>
        <v>16980</v>
      </c>
      <c r="B6614" s="1" t="str">
        <f>"60454"</f>
        <v>60454</v>
      </c>
      <c r="C6614" s="2">
        <v>1.48486229752101E-4</v>
      </c>
      <c r="D6614" s="2">
        <v>6.5673499014897504E-4</v>
      </c>
      <c r="E6614" s="2">
        <v>5.3504404750120999E-6</v>
      </c>
      <c r="F6614" s="2">
        <v>1.8000932324149999E-4</v>
      </c>
    </row>
    <row r="6615" spans="1:6" x14ac:dyDescent="0.25">
      <c r="A6615" s="1" t="str">
        <f t="shared" si="243"/>
        <v>16980</v>
      </c>
      <c r="B6615" s="1" t="str">
        <f>"60618"</f>
        <v>60618</v>
      </c>
      <c r="C6615" s="2">
        <v>8.6718918033627905E-3</v>
      </c>
      <c r="D6615" s="2">
        <v>7.5524523867132104E-3</v>
      </c>
      <c r="E6615" s="2">
        <v>1.39780257409691E-2</v>
      </c>
      <c r="F6615" s="2">
        <v>8.9884655405255802E-3</v>
      </c>
    </row>
    <row r="6616" spans="1:6" x14ac:dyDescent="0.25">
      <c r="A6616" s="1" t="str">
        <f t="shared" si="243"/>
        <v>16980</v>
      </c>
      <c r="B6616" s="1" t="str">
        <f>"60603"</f>
        <v>60603</v>
      </c>
      <c r="C6616" s="2">
        <v>2.03243610159023E-4</v>
      </c>
      <c r="D6616" s="2">
        <v>6.5673499014897501E-3</v>
      </c>
      <c r="E6616" s="2">
        <v>9.4167752360213E-4</v>
      </c>
      <c r="F6616" s="2">
        <v>7.9369628040734999E-4</v>
      </c>
    </row>
    <row r="6617" spans="1:6" x14ac:dyDescent="0.25">
      <c r="A6617" s="1" t="str">
        <f t="shared" si="243"/>
        <v>16980</v>
      </c>
      <c r="B6617" s="1" t="str">
        <f>"60605"</f>
        <v>60605</v>
      </c>
      <c r="C6617" s="2">
        <v>4.75994561753499E-3</v>
      </c>
      <c r="D6617" s="2">
        <v>4.4885120755294603E-3</v>
      </c>
      <c r="E6617" s="2">
        <v>2.5387840053932402E-3</v>
      </c>
      <c r="F6617" s="2">
        <v>4.5654088704870097E-3</v>
      </c>
    </row>
    <row r="6618" spans="1:6" x14ac:dyDescent="0.25">
      <c r="A6618" s="1" t="str">
        <f t="shared" si="243"/>
        <v>16980</v>
      </c>
      <c r="B6618" s="1" t="str">
        <f>"60411"</f>
        <v>60411</v>
      </c>
      <c r="C6618" s="2">
        <v>5.63014398724498E-3</v>
      </c>
      <c r="D6618" s="2">
        <v>4.7008399294874003E-3</v>
      </c>
      <c r="E6618" s="2">
        <v>4.0048046955465603E-3</v>
      </c>
      <c r="F6618" s="2">
        <v>5.4265569202929E-3</v>
      </c>
    </row>
    <row r="6619" spans="1:6" x14ac:dyDescent="0.25">
      <c r="A6619" s="1" t="str">
        <f t="shared" si="243"/>
        <v>16980</v>
      </c>
      <c r="B6619" s="1" t="str">
        <f>"60422"</f>
        <v>60422</v>
      </c>
      <c r="C6619" s="2">
        <v>1.0431034312651799E-3</v>
      </c>
      <c r="D6619" s="2">
        <v>1.32581462296992E-3</v>
      </c>
      <c r="E6619" s="2">
        <v>2.7554768446312302E-4</v>
      </c>
      <c r="F6619" s="2">
        <v>1.00743148834812E-3</v>
      </c>
    </row>
    <row r="6620" spans="1:6" x14ac:dyDescent="0.25">
      <c r="A6620" s="1" t="str">
        <f t="shared" si="243"/>
        <v>16980</v>
      </c>
      <c r="B6620" s="1" t="str">
        <f>"60408"</f>
        <v>60408</v>
      </c>
      <c r="C6620" s="2">
        <v>6.2724332601261598E-4</v>
      </c>
      <c r="D6620" s="2">
        <v>3.0367820973054097E-4</v>
      </c>
      <c r="E6620" s="2">
        <v>1.6051321425036299E-4</v>
      </c>
      <c r="F6620" s="2">
        <v>5.6402921282336697E-4</v>
      </c>
    </row>
    <row r="6621" spans="1:6" x14ac:dyDescent="0.25">
      <c r="A6621" s="1" t="str">
        <f t="shared" si="243"/>
        <v>16980</v>
      </c>
      <c r="B6621" s="1" t="str">
        <f>"60191"</f>
        <v>60191</v>
      </c>
      <c r="C6621" s="2">
        <v>1.57538463359912E-3</v>
      </c>
      <c r="D6621" s="2">
        <v>2.7553242443844198E-3</v>
      </c>
      <c r="E6621" s="2">
        <v>1.1610455830776199E-3</v>
      </c>
      <c r="F6621" s="2">
        <v>1.6422229868595199E-3</v>
      </c>
    </row>
    <row r="6622" spans="1:6" x14ac:dyDescent="0.25">
      <c r="A6622" s="1" t="str">
        <f t="shared" si="243"/>
        <v>16980</v>
      </c>
      <c r="B6622" s="1" t="str">
        <f>"60426"</f>
        <v>60426</v>
      </c>
      <c r="C6622" s="2">
        <v>3.1707483114007799E-3</v>
      </c>
      <c r="D6622" s="2">
        <v>2.6417535318022599E-3</v>
      </c>
      <c r="E6622" s="2">
        <v>3.3654270587826101E-3</v>
      </c>
      <c r="F6622" s="2">
        <v>3.14147305146632E-3</v>
      </c>
    </row>
    <row r="6623" spans="1:6" x14ac:dyDescent="0.25">
      <c r="A6623" s="1" t="str">
        <f t="shared" si="243"/>
        <v>16980</v>
      </c>
      <c r="B6623" s="1" t="str">
        <f>"60430"</f>
        <v>60430</v>
      </c>
      <c r="C6623" s="2">
        <v>2.2235936232810598E-3</v>
      </c>
      <c r="D6623" s="2">
        <v>3.1083810248028502E-3</v>
      </c>
      <c r="E6623" s="2">
        <v>1.47404635086583E-3</v>
      </c>
      <c r="F6623" s="2">
        <v>2.2397711771140602E-3</v>
      </c>
    </row>
    <row r="6624" spans="1:6" x14ac:dyDescent="0.25">
      <c r="A6624" s="1" t="str">
        <f t="shared" si="243"/>
        <v>16980</v>
      </c>
      <c r="B6624" s="1" t="str">
        <f>"60133"</f>
        <v>60133</v>
      </c>
      <c r="C6624" s="2">
        <v>2.93667284290452E-3</v>
      </c>
      <c r="D6624" s="2">
        <v>1.4048203360705501E-3</v>
      </c>
      <c r="E6624" s="2">
        <v>1.49009767229087E-3</v>
      </c>
      <c r="F6624" s="2">
        <v>2.69641551779681E-3</v>
      </c>
    </row>
    <row r="6625" spans="1:6" x14ac:dyDescent="0.25">
      <c r="A6625" s="1" t="str">
        <f t="shared" si="243"/>
        <v>16980</v>
      </c>
      <c r="B6625" s="1" t="str">
        <f>"60154"</f>
        <v>60154</v>
      </c>
      <c r="C6625" s="2">
        <v>1.9298276770439301E-3</v>
      </c>
      <c r="D6625" s="2">
        <v>2.3479510362092999E-3</v>
      </c>
      <c r="E6625" s="2">
        <v>7.9186519030179103E-4</v>
      </c>
      <c r="F6625" s="2">
        <v>1.87685582887775E-3</v>
      </c>
    </row>
    <row r="6626" spans="1:6" x14ac:dyDescent="0.25">
      <c r="A6626" s="1" t="str">
        <f t="shared" si="243"/>
        <v>16980</v>
      </c>
      <c r="B6626" s="1" t="str">
        <f>"60160"</f>
        <v>60160</v>
      </c>
      <c r="C6626" s="2">
        <v>2.0452621546585199E-3</v>
      </c>
      <c r="D6626" s="2">
        <v>3.14047709574998E-3</v>
      </c>
      <c r="E6626" s="2">
        <v>3.9753772729339901E-3</v>
      </c>
      <c r="F6626" s="2">
        <v>2.2863253124351399E-3</v>
      </c>
    </row>
    <row r="6627" spans="1:6" x14ac:dyDescent="0.25">
      <c r="A6627" s="1" t="str">
        <f t="shared" si="243"/>
        <v>16980</v>
      </c>
      <c r="B6627" s="1" t="str">
        <f>"60151"</f>
        <v>60151</v>
      </c>
      <c r="C6627" s="2">
        <v>4.1980658311973002E-4</v>
      </c>
      <c r="D6627" s="2">
        <v>1.9504535421717599E-4</v>
      </c>
      <c r="E6627" s="2">
        <v>3.4777863087578602E-5</v>
      </c>
      <c r="F6627" s="2">
        <v>3.7119163896005901E-4</v>
      </c>
    </row>
    <row r="6628" spans="1:6" x14ac:dyDescent="0.25">
      <c r="A6628" s="1" t="str">
        <f t="shared" si="243"/>
        <v>16980</v>
      </c>
      <c r="B6628" s="1" t="str">
        <f>"60163"</f>
        <v>60163</v>
      </c>
      <c r="C6628" s="2">
        <v>4.8048368032739899E-4</v>
      </c>
      <c r="D6628" s="2">
        <v>3.0367820973054097E-4</v>
      </c>
      <c r="E6628" s="2">
        <v>3.1032554755070201E-4</v>
      </c>
      <c r="F6628" s="2">
        <v>4.5250619532087398E-4</v>
      </c>
    </row>
    <row r="6629" spans="1:6" x14ac:dyDescent="0.25">
      <c r="A6629" s="1" t="str">
        <f t="shared" si="243"/>
        <v>16980</v>
      </c>
      <c r="B6629" s="1" t="str">
        <f>"60180"</f>
        <v>60180</v>
      </c>
      <c r="C6629" s="2">
        <v>1.7635822968895801E-4</v>
      </c>
      <c r="D6629" s="2">
        <v>1.65418211804441E-4</v>
      </c>
      <c r="E6629" s="2">
        <v>5.0829184512615003E-5</v>
      </c>
      <c r="F6629" s="2">
        <v>1.65732721743036E-4</v>
      </c>
    </row>
    <row r="6630" spans="1:6" x14ac:dyDescent="0.25">
      <c r="A6630" s="1" t="str">
        <f t="shared" si="243"/>
        <v>16980</v>
      </c>
      <c r="B6630" s="1" t="str">
        <f>"53109"</f>
        <v>53109</v>
      </c>
      <c r="C6630" s="2">
        <v>0</v>
      </c>
      <c r="D6630" s="2">
        <v>0</v>
      </c>
      <c r="E6630" s="2">
        <v>2.6752202375060499E-6</v>
      </c>
      <c r="F6630" s="2">
        <v>2.0690726809367801E-7</v>
      </c>
    </row>
    <row r="6631" spans="1:6" x14ac:dyDescent="0.25">
      <c r="A6631" s="1" t="str">
        <f t="shared" si="243"/>
        <v>16980</v>
      </c>
      <c r="B6631" s="1" t="str">
        <f>"53179"</f>
        <v>53179</v>
      </c>
      <c r="C6631" s="2">
        <v>6.5536198081617104E-4</v>
      </c>
      <c r="D6631" s="2">
        <v>1.53073569132467E-4</v>
      </c>
      <c r="E6631" s="2">
        <v>6.6880505937651295E-5</v>
      </c>
      <c r="F6631" s="2">
        <v>5.6775354364905302E-4</v>
      </c>
    </row>
    <row r="6632" spans="1:6" x14ac:dyDescent="0.25">
      <c r="A6632" s="1" t="str">
        <f t="shared" si="243"/>
        <v>16980</v>
      </c>
      <c r="B6632" s="1" t="str">
        <f>"60087"</f>
        <v>60087</v>
      </c>
      <c r="C6632" s="2">
        <v>2.5777900118591599E-3</v>
      </c>
      <c r="D6632" s="2">
        <v>1.58752104761575E-3</v>
      </c>
      <c r="E6632" s="2">
        <v>1.0139084700147901E-3</v>
      </c>
      <c r="F6632" s="2">
        <v>2.3738470868387698E-3</v>
      </c>
    </row>
    <row r="6633" spans="1:6" x14ac:dyDescent="0.25">
      <c r="A6633" s="1" t="str">
        <f t="shared" si="243"/>
        <v>16980</v>
      </c>
      <c r="B6633" s="1" t="str">
        <f>"60091"</f>
        <v>60091</v>
      </c>
      <c r="C6633" s="2">
        <v>2.7583413742819801E-3</v>
      </c>
      <c r="D6633" s="2">
        <v>2.55287210456406E-3</v>
      </c>
      <c r="E6633" s="2">
        <v>1.09684029737748E-3</v>
      </c>
      <c r="F6633" s="2">
        <v>2.6126180742188699E-3</v>
      </c>
    </row>
    <row r="6634" spans="1:6" x14ac:dyDescent="0.25">
      <c r="A6634" s="1" t="str">
        <f t="shared" si="243"/>
        <v>16980</v>
      </c>
      <c r="B6634" s="1" t="str">
        <f>"60079"</f>
        <v>60079</v>
      </c>
      <c r="C6634" s="2">
        <v>3.6406258324601698E-4</v>
      </c>
      <c r="D6634" s="2">
        <v>6.5673499014897504E-4</v>
      </c>
      <c r="E6634" s="2">
        <v>1.07008809500242E-5</v>
      </c>
      <c r="F6634" s="2">
        <v>3.61260090091562E-4</v>
      </c>
    </row>
    <row r="6635" spans="1:6" x14ac:dyDescent="0.25">
      <c r="A6635" s="1" t="str">
        <f t="shared" si="243"/>
        <v>16980</v>
      </c>
      <c r="B6635" s="1" t="str">
        <f>"60031"</f>
        <v>60031</v>
      </c>
      <c r="C6635" s="2">
        <v>4.0113480971070304E-3</v>
      </c>
      <c r="D6635" s="2">
        <v>5.1946256363663203E-3</v>
      </c>
      <c r="E6635" s="2">
        <v>1.9930390769419999E-3</v>
      </c>
      <c r="F6635" s="2">
        <v>3.95441170780638E-3</v>
      </c>
    </row>
    <row r="6636" spans="1:6" x14ac:dyDescent="0.25">
      <c r="A6636" s="1" t="str">
        <f t="shared" si="243"/>
        <v>16980</v>
      </c>
      <c r="B6636" s="1" t="str">
        <f>"60044"</f>
        <v>60044</v>
      </c>
      <c r="C6636" s="2">
        <v>1.21033543088631E-3</v>
      </c>
      <c r="D6636" s="2">
        <v>2.32326175086535E-3</v>
      </c>
      <c r="E6636" s="2">
        <v>8.8817311885200899E-4</v>
      </c>
      <c r="F6636" s="2">
        <v>1.27868691681893E-3</v>
      </c>
    </row>
    <row r="6637" spans="1:6" x14ac:dyDescent="0.25">
      <c r="A6637" s="1" t="str">
        <f t="shared" si="243"/>
        <v>16980</v>
      </c>
      <c r="B6637" s="1" t="str">
        <f>"60048"</f>
        <v>60048</v>
      </c>
      <c r="C6637" s="2">
        <v>3.2395650192094802E-3</v>
      </c>
      <c r="D6637" s="2">
        <v>5.0341452816306696E-3</v>
      </c>
      <c r="E6637" s="2">
        <v>1.9341842317168699E-3</v>
      </c>
      <c r="F6637" s="2">
        <v>3.2889979336171099E-3</v>
      </c>
    </row>
    <row r="6638" spans="1:6" x14ac:dyDescent="0.25">
      <c r="A6638" s="1" t="str">
        <f t="shared" si="243"/>
        <v>16980</v>
      </c>
      <c r="B6638" s="1" t="str">
        <f>"60014"</f>
        <v>60014</v>
      </c>
      <c r="C6638" s="2">
        <v>4.6080062196491101E-3</v>
      </c>
      <c r="D6638" s="2">
        <v>5.9723381247006402E-3</v>
      </c>
      <c r="E6638" s="2">
        <v>3.9325737491338903E-3</v>
      </c>
      <c r="F6638" s="2">
        <v>4.6701039481424102E-3</v>
      </c>
    </row>
    <row r="6639" spans="1:6" x14ac:dyDescent="0.25">
      <c r="A6639" s="1" t="str">
        <f t="shared" si="243"/>
        <v>16980</v>
      </c>
      <c r="B6639" s="1" t="str">
        <f>"60030"</f>
        <v>60030</v>
      </c>
      <c r="C6639" s="2">
        <v>4.0291072475092697E-3</v>
      </c>
      <c r="D6639" s="2">
        <v>3.4194660201365798E-3</v>
      </c>
      <c r="E6639" s="2">
        <v>1.2841057140029E-3</v>
      </c>
      <c r="F6639" s="2">
        <v>3.7657122793049399E-3</v>
      </c>
    </row>
    <row r="6640" spans="1:6" x14ac:dyDescent="0.25">
      <c r="A6640" s="1" t="str">
        <f t="shared" si="243"/>
        <v>16980</v>
      </c>
      <c r="B6640" s="1" t="str">
        <f>"46342"</f>
        <v>46342</v>
      </c>
      <c r="C6640" s="2">
        <v>3.5044723460429601E-3</v>
      </c>
      <c r="D6640" s="2">
        <v>2.2961035369870098E-3</v>
      </c>
      <c r="E6640" s="2">
        <v>8.6142091647694805E-4</v>
      </c>
      <c r="F6640" s="2">
        <v>3.1987863647282601E-3</v>
      </c>
    </row>
    <row r="6641" spans="1:6" x14ac:dyDescent="0.25">
      <c r="A6641" s="1" t="str">
        <f t="shared" si="243"/>
        <v>16980</v>
      </c>
      <c r="B6641" s="1" t="str">
        <f>"46402"</f>
        <v>46402</v>
      </c>
      <c r="C6641" s="2">
        <v>9.7823320132364808E-4</v>
      </c>
      <c r="D6641" s="2">
        <v>1.51098426304952E-3</v>
      </c>
      <c r="E6641" s="2">
        <v>6.5810417842648795E-4</v>
      </c>
      <c r="F6641" s="2">
        <v>9.9812066128390493E-4</v>
      </c>
    </row>
    <row r="6642" spans="1:6" x14ac:dyDescent="0.25">
      <c r="A6642" s="1" t="str">
        <f t="shared" si="243"/>
        <v>16980</v>
      </c>
      <c r="B6642" s="1" t="str">
        <f>"46401"</f>
        <v>46401</v>
      </c>
      <c r="C6642" s="2">
        <v>2.5010803483161299E-4</v>
      </c>
      <c r="D6642" s="2">
        <v>4.9872356394771705E-4</v>
      </c>
      <c r="E6642" s="2">
        <v>8.0256607125181494E-6</v>
      </c>
      <c r="F6642" s="2">
        <v>2.5221995980619397E-4</v>
      </c>
    </row>
    <row r="6643" spans="1:6" x14ac:dyDescent="0.25">
      <c r="A6643" s="1" t="str">
        <f t="shared" ref="A6643:A6706" si="244">"16980"</f>
        <v>16980</v>
      </c>
      <c r="B6643" s="1" t="str">
        <f>"46324"</f>
        <v>46324</v>
      </c>
      <c r="C6643" s="2">
        <v>2.2892038178226799E-3</v>
      </c>
      <c r="D6643" s="2">
        <v>1.3035942661603699E-3</v>
      </c>
      <c r="E6643" s="2">
        <v>9.4167752360213E-4</v>
      </c>
      <c r="F6643" s="2">
        <v>2.1023847510998599E-3</v>
      </c>
    </row>
    <row r="6644" spans="1:6" x14ac:dyDescent="0.25">
      <c r="A6644" s="1" t="str">
        <f t="shared" si="244"/>
        <v>16980</v>
      </c>
      <c r="B6644" s="1" t="str">
        <f>"60551"</f>
        <v>60551</v>
      </c>
      <c r="C6644" s="2">
        <v>2.4665486669784299E-7</v>
      </c>
      <c r="D6644" s="2">
        <v>0</v>
      </c>
      <c r="E6644" s="2">
        <v>0</v>
      </c>
      <c r="F6644" s="2">
        <v>2.0690726809367801E-7</v>
      </c>
    </row>
    <row r="6645" spans="1:6" x14ac:dyDescent="0.25">
      <c r="A6645" s="1" t="str">
        <f t="shared" si="244"/>
        <v>16980</v>
      </c>
      <c r="B6645" s="1" t="str">
        <f>"60669"</f>
        <v>60669</v>
      </c>
      <c r="C6645" s="2">
        <v>0</v>
      </c>
      <c r="D6645" s="2">
        <v>2.46892853439464E-6</v>
      </c>
      <c r="E6645" s="2">
        <v>2.6752202375060499E-6</v>
      </c>
      <c r="F6645" s="2">
        <v>4.1381453618735698E-7</v>
      </c>
    </row>
    <row r="6646" spans="1:6" x14ac:dyDescent="0.25">
      <c r="A6646" s="1" t="str">
        <f t="shared" si="244"/>
        <v>16980</v>
      </c>
      <c r="B6646" s="1" t="str">
        <f>"61052"</f>
        <v>61052</v>
      </c>
      <c r="C6646" s="2">
        <v>9.8661946679137494E-7</v>
      </c>
      <c r="D6646" s="2">
        <v>0</v>
      </c>
      <c r="E6646" s="2">
        <v>0</v>
      </c>
      <c r="F6646" s="2">
        <v>8.2762907237471396E-7</v>
      </c>
    </row>
    <row r="6647" spans="1:6" x14ac:dyDescent="0.25">
      <c r="A6647" s="1" t="str">
        <f t="shared" si="244"/>
        <v>16980</v>
      </c>
      <c r="B6647" s="1" t="str">
        <f>"61068"</f>
        <v>61068</v>
      </c>
      <c r="C6647" s="2">
        <v>4.1931327338633398E-6</v>
      </c>
      <c r="D6647" s="2">
        <v>2.46892853439464E-6</v>
      </c>
      <c r="E6647" s="2">
        <v>0</v>
      </c>
      <c r="F6647" s="2">
        <v>3.7243308256862102E-6</v>
      </c>
    </row>
    <row r="6648" spans="1:6" x14ac:dyDescent="0.25">
      <c r="A6648" s="1" t="str">
        <f t="shared" si="244"/>
        <v>16980</v>
      </c>
      <c r="B6648" s="1" t="str">
        <f>"60935"</f>
        <v>60935</v>
      </c>
      <c r="C6648" s="2">
        <v>7.3996460009353099E-7</v>
      </c>
      <c r="D6648" s="2">
        <v>0</v>
      </c>
      <c r="E6648" s="2">
        <v>0</v>
      </c>
      <c r="F6648" s="2">
        <v>6.2072180428103499E-7</v>
      </c>
    </row>
    <row r="6649" spans="1:6" x14ac:dyDescent="0.25">
      <c r="A6649" s="1" t="str">
        <f t="shared" si="244"/>
        <v>16980</v>
      </c>
      <c r="B6649" s="1" t="str">
        <f>"60075"</f>
        <v>60075</v>
      </c>
      <c r="C6649" s="2">
        <v>1.9732389335827499E-6</v>
      </c>
      <c r="D6649" s="2">
        <v>0</v>
      </c>
      <c r="E6649" s="2">
        <v>2.6752202375060499E-6</v>
      </c>
      <c r="F6649" s="2">
        <v>1.8621654128431E-6</v>
      </c>
    </row>
    <row r="6650" spans="1:6" x14ac:dyDescent="0.25">
      <c r="A6650" s="1" t="str">
        <f t="shared" si="244"/>
        <v>16980</v>
      </c>
      <c r="B6650" s="1" t="str">
        <f>"60009"</f>
        <v>60009</v>
      </c>
      <c r="C6650" s="2">
        <v>2.5824764543264198E-4</v>
      </c>
      <c r="D6650" s="2">
        <v>8.2709105902220505E-4</v>
      </c>
      <c r="E6650" s="2">
        <v>5.3504404750120999E-6</v>
      </c>
      <c r="F6650" s="2">
        <v>2.8635965904165098E-4</v>
      </c>
    </row>
    <row r="6651" spans="1:6" x14ac:dyDescent="0.25">
      <c r="A6651" s="1" t="str">
        <f t="shared" si="244"/>
        <v>16980</v>
      </c>
      <c r="B6651" s="1" t="str">
        <f>"60530"</f>
        <v>60530</v>
      </c>
      <c r="C6651" s="2">
        <v>2.3432212336295101E-5</v>
      </c>
      <c r="D6651" s="2">
        <v>1.72824997407625E-5</v>
      </c>
      <c r="E6651" s="2">
        <v>1.6051321425036299E-5</v>
      </c>
      <c r="F6651" s="2">
        <v>2.2345984954117199E-5</v>
      </c>
    </row>
    <row r="6652" spans="1:6" x14ac:dyDescent="0.25">
      <c r="A6652" s="1" t="str">
        <f t="shared" si="244"/>
        <v>16980</v>
      </c>
      <c r="B6652" s="1" t="str">
        <f>"46374"</f>
        <v>46374</v>
      </c>
      <c r="C6652" s="2">
        <v>1.47992920018706E-5</v>
      </c>
      <c r="D6652" s="2">
        <v>0</v>
      </c>
      <c r="E6652" s="2">
        <v>0</v>
      </c>
      <c r="F6652" s="2">
        <v>1.24144360856207E-5</v>
      </c>
    </row>
    <row r="6653" spans="1:6" x14ac:dyDescent="0.25">
      <c r="A6653" s="1" t="str">
        <f t="shared" si="244"/>
        <v>16980</v>
      </c>
      <c r="B6653" s="1" t="str">
        <f>"60521"</f>
        <v>60521</v>
      </c>
      <c r="C6653" s="2">
        <v>1.7470564208208199E-3</v>
      </c>
      <c r="D6653" s="2">
        <v>2.8565503142946001E-3</v>
      </c>
      <c r="E6653" s="2">
        <v>1.0567119938148901E-3</v>
      </c>
      <c r="F6653" s="2">
        <v>1.78664425998891E-3</v>
      </c>
    </row>
    <row r="6654" spans="1:6" x14ac:dyDescent="0.25">
      <c r="A6654" s="1" t="str">
        <f t="shared" si="244"/>
        <v>16980</v>
      </c>
      <c r="B6654" s="1" t="str">
        <f>"60543"</f>
        <v>60543</v>
      </c>
      <c r="C6654" s="2">
        <v>3.7886187524788801E-3</v>
      </c>
      <c r="D6654" s="2">
        <v>3.2787370936760798E-3</v>
      </c>
      <c r="E6654" s="2">
        <v>5.5644580940125796E-4</v>
      </c>
      <c r="F6654" s="2">
        <v>3.4959052017107901E-3</v>
      </c>
    </row>
    <row r="6655" spans="1:6" x14ac:dyDescent="0.25">
      <c r="A6655" s="1" t="str">
        <f t="shared" si="244"/>
        <v>16980</v>
      </c>
      <c r="B6655" s="1" t="str">
        <f>"60546"</f>
        <v>60546</v>
      </c>
      <c r="C6655" s="2">
        <v>1.8476916064335399E-3</v>
      </c>
      <c r="D6655" s="2">
        <v>2.0837756830290699E-3</v>
      </c>
      <c r="E6655" s="2">
        <v>3.3948544813951799E-3</v>
      </c>
      <c r="F6655" s="2">
        <v>1.9871374027716801E-3</v>
      </c>
    </row>
    <row r="6656" spans="1:6" x14ac:dyDescent="0.25">
      <c r="A6656" s="1" t="str">
        <f t="shared" si="244"/>
        <v>16980</v>
      </c>
      <c r="B6656" s="1" t="str">
        <f>"60459"</f>
        <v>60459</v>
      </c>
      <c r="C6656" s="2">
        <v>2.4061182246374602E-3</v>
      </c>
      <c r="D6656" s="2">
        <v>1.3011253376259699E-3</v>
      </c>
      <c r="E6656" s="2">
        <v>1.7442435948539399E-3</v>
      </c>
      <c r="F6656" s="2">
        <v>2.2623240693362798E-3</v>
      </c>
    </row>
    <row r="6657" spans="1:6" x14ac:dyDescent="0.25">
      <c r="A6657" s="1" t="str">
        <f t="shared" si="244"/>
        <v>16980</v>
      </c>
      <c r="B6657" s="1" t="str">
        <f>"60468"</f>
        <v>60468</v>
      </c>
      <c r="C6657" s="2">
        <v>6.3538293661364502E-4</v>
      </c>
      <c r="D6657" s="2">
        <v>3.4071213774645998E-4</v>
      </c>
      <c r="E6657" s="2">
        <v>2.38094601138038E-4</v>
      </c>
      <c r="F6657" s="2">
        <v>5.7996107246657998E-4</v>
      </c>
    </row>
    <row r="6658" spans="1:6" x14ac:dyDescent="0.25">
      <c r="A6658" s="1" t="str">
        <f t="shared" si="244"/>
        <v>16980</v>
      </c>
      <c r="B6658" s="1" t="str">
        <f>"60472"</f>
        <v>60472</v>
      </c>
      <c r="C6658" s="2">
        <v>7.3133167975910599E-4</v>
      </c>
      <c r="D6658" s="2">
        <v>3.6787035162480101E-4</v>
      </c>
      <c r="E6658" s="2">
        <v>2.2739372018801401E-4</v>
      </c>
      <c r="F6658" s="2">
        <v>6.6189635063167705E-4</v>
      </c>
    </row>
    <row r="6659" spans="1:6" x14ac:dyDescent="0.25">
      <c r="A6659" s="1" t="str">
        <f t="shared" si="244"/>
        <v>16980</v>
      </c>
      <c r="B6659" s="1" t="str">
        <f>"60456"</f>
        <v>60456</v>
      </c>
      <c r="C6659" s="2">
        <v>4.7801713166042102E-4</v>
      </c>
      <c r="D6659" s="2">
        <v>1.40728926460494E-4</v>
      </c>
      <c r="E6659" s="2">
        <v>1.2065243271152199E-3</v>
      </c>
      <c r="F6659" s="2">
        <v>5.0609517775713705E-4</v>
      </c>
    </row>
    <row r="6660" spans="1:6" x14ac:dyDescent="0.25">
      <c r="A6660" s="1" t="str">
        <f t="shared" si="244"/>
        <v>16980</v>
      </c>
      <c r="B6660" s="1" t="str">
        <f>"60478"</f>
        <v>60478</v>
      </c>
      <c r="C6660" s="2">
        <v>1.7613624030893E-3</v>
      </c>
      <c r="D6660" s="2">
        <v>1.06163926978969E-3</v>
      </c>
      <c r="E6660" s="2">
        <v>1.81914976150411E-4</v>
      </c>
      <c r="F6660" s="2">
        <v>1.58056462096761E-3</v>
      </c>
    </row>
    <row r="6661" spans="1:6" x14ac:dyDescent="0.25">
      <c r="A6661" s="1" t="str">
        <f t="shared" si="244"/>
        <v>16980</v>
      </c>
      <c r="B6661" s="1" t="str">
        <f>"60480"</f>
        <v>60480</v>
      </c>
      <c r="C6661" s="2">
        <v>6.0134456500934299E-4</v>
      </c>
      <c r="D6661" s="2">
        <v>4.0737320817511603E-4</v>
      </c>
      <c r="E6661" s="2">
        <v>3.7720605348835301E-4</v>
      </c>
      <c r="F6661" s="2">
        <v>5.6775354364905302E-4</v>
      </c>
    </row>
    <row r="6662" spans="1:6" x14ac:dyDescent="0.25">
      <c r="A6662" s="1" t="str">
        <f t="shared" si="244"/>
        <v>16980</v>
      </c>
      <c r="B6662" s="1" t="str">
        <f>"60484"</f>
        <v>60484</v>
      </c>
      <c r="C6662" s="2">
        <v>7.0987270635639401E-4</v>
      </c>
      <c r="D6662" s="2">
        <v>4.3700035058785101E-4</v>
      </c>
      <c r="E6662" s="2">
        <v>1.3028322556654401E-3</v>
      </c>
      <c r="F6662" s="2">
        <v>7.3286554358780896E-4</v>
      </c>
    </row>
    <row r="6663" spans="1:6" x14ac:dyDescent="0.25">
      <c r="A6663" s="1" t="str">
        <f t="shared" si="244"/>
        <v>16980</v>
      </c>
      <c r="B6663" s="1" t="str">
        <f>"60623"</f>
        <v>60623</v>
      </c>
      <c r="C6663" s="2">
        <v>4.5687880958441597E-3</v>
      </c>
      <c r="D6663" s="2">
        <v>4.8094727850007601E-3</v>
      </c>
      <c r="E6663" s="2">
        <v>8.6596879088070896E-3</v>
      </c>
      <c r="F6663" s="2">
        <v>4.9053575119649296E-3</v>
      </c>
    </row>
    <row r="6664" spans="1:6" x14ac:dyDescent="0.25">
      <c r="A6664" s="1" t="str">
        <f t="shared" si="244"/>
        <v>16980</v>
      </c>
      <c r="B6664" s="1" t="str">
        <f>"60628"</f>
        <v>60628</v>
      </c>
      <c r="C6664" s="2">
        <v>6.9588737541462602E-3</v>
      </c>
      <c r="D6664" s="2">
        <v>4.0243535110632599E-3</v>
      </c>
      <c r="E6664" s="2">
        <v>3.8309153801086601E-3</v>
      </c>
      <c r="F6664" s="2">
        <v>6.47102480962979E-3</v>
      </c>
    </row>
    <row r="6665" spans="1:6" x14ac:dyDescent="0.25">
      <c r="A6665" s="1" t="str">
        <f t="shared" si="244"/>
        <v>16980</v>
      </c>
      <c r="B6665" s="1" t="str">
        <f>"60604"</f>
        <v>60604</v>
      </c>
      <c r="C6665" s="2">
        <v>1.5687249521982799E-4</v>
      </c>
      <c r="D6665" s="2">
        <v>6.02912348099171E-3</v>
      </c>
      <c r="E6665" s="2">
        <v>5.1096706536365598E-4</v>
      </c>
      <c r="F6665" s="2">
        <v>6.7637985939823504E-4</v>
      </c>
    </row>
    <row r="6666" spans="1:6" x14ac:dyDescent="0.25">
      <c r="A6666" s="1" t="str">
        <f t="shared" si="244"/>
        <v>16980</v>
      </c>
      <c r="B6666" s="1" t="str">
        <f>"60194"</f>
        <v>60194</v>
      </c>
      <c r="C6666" s="2">
        <v>2.16710965880725E-3</v>
      </c>
      <c r="D6666" s="2">
        <v>1.2961874805571801E-3</v>
      </c>
      <c r="E6666" s="2">
        <v>1.7897223388915399E-3</v>
      </c>
      <c r="F6666" s="2">
        <v>2.06493453557491E-3</v>
      </c>
    </row>
    <row r="6667" spans="1:6" x14ac:dyDescent="0.25">
      <c r="A6667" s="1" t="str">
        <f t="shared" si="244"/>
        <v>16980</v>
      </c>
      <c r="B6667" s="1" t="str">
        <f>"60195"</f>
        <v>60195</v>
      </c>
      <c r="C6667" s="2">
        <v>9.1212969704862598E-4</v>
      </c>
      <c r="D6667" s="2">
        <v>1.6122103329596999E-3</v>
      </c>
      <c r="E6667" s="2">
        <v>5.8319801177631901E-4</v>
      </c>
      <c r="F6667" s="2">
        <v>9.4535930792001696E-4</v>
      </c>
    </row>
    <row r="6668" spans="1:6" x14ac:dyDescent="0.25">
      <c r="A6668" s="1" t="str">
        <f t="shared" si="244"/>
        <v>16980</v>
      </c>
      <c r="B6668" s="1" t="str">
        <f>"60424"</f>
        <v>60424</v>
      </c>
      <c r="C6668" s="2">
        <v>2.6268743303320299E-4</v>
      </c>
      <c r="D6668" s="2">
        <v>1.3332214085731001E-4</v>
      </c>
      <c r="E6668" s="2">
        <v>1.31085791637796E-4</v>
      </c>
      <c r="F6668" s="2">
        <v>2.4166768913341601E-4</v>
      </c>
    </row>
    <row r="6669" spans="1:6" x14ac:dyDescent="0.25">
      <c r="A6669" s="1" t="str">
        <f t="shared" si="244"/>
        <v>16980</v>
      </c>
      <c r="B6669" s="1" t="str">
        <f>"60432"</f>
        <v>60432</v>
      </c>
      <c r="C6669" s="2">
        <v>1.72066435008415E-3</v>
      </c>
      <c r="D6669" s="2">
        <v>2.47633531999782E-3</v>
      </c>
      <c r="E6669" s="2">
        <v>2.20705669594249E-3</v>
      </c>
      <c r="F6669" s="2">
        <v>1.82161158829674E-3</v>
      </c>
    </row>
    <row r="6670" spans="1:6" x14ac:dyDescent="0.25">
      <c r="A6670" s="1" t="str">
        <f t="shared" si="244"/>
        <v>16980</v>
      </c>
      <c r="B6670" s="1" t="str">
        <f>"60421"</f>
        <v>60421</v>
      </c>
      <c r="C6670" s="2">
        <v>3.94154476983154E-4</v>
      </c>
      <c r="D6670" s="2">
        <v>2.0738999688914999E-4</v>
      </c>
      <c r="E6670" s="2">
        <v>1.0968402973774801E-4</v>
      </c>
      <c r="F6670" s="2">
        <v>3.5650122292540801E-4</v>
      </c>
    </row>
    <row r="6671" spans="1:6" x14ac:dyDescent="0.25">
      <c r="A6671" s="1" t="str">
        <f t="shared" si="244"/>
        <v>16980</v>
      </c>
      <c r="B6671" s="1" t="str">
        <f>"60162"</f>
        <v>60162</v>
      </c>
      <c r="C6671" s="2">
        <v>7.8263589203225801E-4</v>
      </c>
      <c r="D6671" s="2">
        <v>1.2714981952132399E-3</v>
      </c>
      <c r="E6671" s="2">
        <v>7.517368867392E-4</v>
      </c>
      <c r="F6671" s="2">
        <v>8.2121494706380901E-4</v>
      </c>
    </row>
    <row r="6672" spans="1:6" x14ac:dyDescent="0.25">
      <c r="A6672" s="1" t="str">
        <f t="shared" si="244"/>
        <v>16980</v>
      </c>
      <c r="B6672" s="1" t="str">
        <f>"60153"</f>
        <v>60153</v>
      </c>
      <c r="C6672" s="2">
        <v>2.1631631809400898E-3</v>
      </c>
      <c r="D6672" s="2">
        <v>1.91095068562145E-3</v>
      </c>
      <c r="E6672" s="2">
        <v>2.5307583446807199E-3</v>
      </c>
      <c r="F6672" s="2">
        <v>2.1704572423026799E-3</v>
      </c>
    </row>
    <row r="6673" spans="1:6" x14ac:dyDescent="0.25">
      <c r="A6673" s="1" t="str">
        <f t="shared" si="244"/>
        <v>16980</v>
      </c>
      <c r="B6673" s="1" t="str">
        <f>"60173"</f>
        <v>60173</v>
      </c>
      <c r="C6673" s="2">
        <v>1.65061436794197E-3</v>
      </c>
      <c r="D6673" s="2">
        <v>7.9993284514386399E-3</v>
      </c>
      <c r="E6673" s="2">
        <v>3.19688818381973E-3</v>
      </c>
      <c r="F6673" s="2">
        <v>2.3022571720783601E-3</v>
      </c>
    </row>
    <row r="6674" spans="1:6" x14ac:dyDescent="0.25">
      <c r="A6674" s="1" t="str">
        <f t="shared" si="244"/>
        <v>16980</v>
      </c>
      <c r="B6674" s="1" t="str">
        <f>"60171"</f>
        <v>60171</v>
      </c>
      <c r="C6674" s="2">
        <v>1.10970024527359E-3</v>
      </c>
      <c r="D6674" s="2">
        <v>8.1227748781583702E-4</v>
      </c>
      <c r="E6674" s="2">
        <v>2.1990310352299701E-3</v>
      </c>
      <c r="F6674" s="2">
        <v>1.16902606472928E-3</v>
      </c>
    </row>
    <row r="6675" spans="1:6" x14ac:dyDescent="0.25">
      <c r="A6675" s="1" t="str">
        <f t="shared" si="244"/>
        <v>16980</v>
      </c>
      <c r="B6675" s="1" t="str">
        <f>"60150"</f>
        <v>60150</v>
      </c>
      <c r="C6675" s="2">
        <v>2.7970661883535401E-4</v>
      </c>
      <c r="D6675" s="2">
        <v>1.50604640598073E-4</v>
      </c>
      <c r="E6675" s="2">
        <v>5.61796249876271E-5</v>
      </c>
      <c r="F6675" s="2">
        <v>2.5159923800191302E-4</v>
      </c>
    </row>
    <row r="6676" spans="1:6" x14ac:dyDescent="0.25">
      <c r="A6676" s="1" t="str">
        <f t="shared" si="244"/>
        <v>16980</v>
      </c>
      <c r="B6676" s="1" t="str">
        <f>"60659"</f>
        <v>60659</v>
      </c>
      <c r="C6676" s="2">
        <v>3.4235695497660699E-3</v>
      </c>
      <c r="D6676" s="2">
        <v>5.3427613484299998E-3</v>
      </c>
      <c r="E6676" s="2">
        <v>1.04601111286486E-2</v>
      </c>
      <c r="F6676" s="2">
        <v>4.1286276275412596E-3</v>
      </c>
    </row>
    <row r="6677" spans="1:6" x14ac:dyDescent="0.25">
      <c r="A6677" s="1" t="str">
        <f t="shared" si="244"/>
        <v>16980</v>
      </c>
      <c r="B6677" s="1" t="str">
        <f>"60707"</f>
        <v>60707</v>
      </c>
      <c r="C6677" s="2">
        <v>3.9183592123619403E-3</v>
      </c>
      <c r="D6677" s="2">
        <v>2.3504199647437002E-3</v>
      </c>
      <c r="E6677" s="2">
        <v>4.9357813381986602E-3</v>
      </c>
      <c r="F6677" s="2">
        <v>3.8656484897941902E-3</v>
      </c>
    </row>
    <row r="6678" spans="1:6" x14ac:dyDescent="0.25">
      <c r="A6678" s="1" t="str">
        <f t="shared" si="244"/>
        <v>16980</v>
      </c>
      <c r="B6678" s="1" t="str">
        <f>"60666"</f>
        <v>60666</v>
      </c>
      <c r="C6678" s="2">
        <v>1.6723199962113801E-4</v>
      </c>
      <c r="D6678" s="2">
        <v>5.1600606368848001E-4</v>
      </c>
      <c r="E6678" s="2">
        <v>4.01283035625907E-5</v>
      </c>
      <c r="F6678" s="2">
        <v>1.8663035582049801E-4</v>
      </c>
    </row>
    <row r="6679" spans="1:6" x14ac:dyDescent="0.25">
      <c r="A6679" s="1" t="str">
        <f t="shared" si="244"/>
        <v>16980</v>
      </c>
      <c r="B6679" s="1" t="str">
        <f>"60634"</f>
        <v>60634</v>
      </c>
      <c r="C6679" s="2">
        <v>6.46877053401765E-3</v>
      </c>
      <c r="D6679" s="2">
        <v>4.4860431469950597E-3</v>
      </c>
      <c r="E6679" s="2">
        <v>6.77365764136532E-3</v>
      </c>
      <c r="F6679" s="2">
        <v>6.3261897219642196E-3</v>
      </c>
    </row>
    <row r="6680" spans="1:6" x14ac:dyDescent="0.25">
      <c r="A6680" s="1" t="str">
        <f t="shared" si="244"/>
        <v>16980</v>
      </c>
      <c r="B6680" s="1" t="str">
        <f>"60629"</f>
        <v>60629</v>
      </c>
      <c r="C6680" s="2">
        <v>7.8685369025279107E-3</v>
      </c>
      <c r="D6680" s="2">
        <v>4.0243535110632599E-3</v>
      </c>
      <c r="E6680" s="2">
        <v>5.1283971952990996E-3</v>
      </c>
      <c r="F6680" s="2">
        <v>7.3344488393847097E-3</v>
      </c>
    </row>
    <row r="6681" spans="1:6" x14ac:dyDescent="0.25">
      <c r="A6681" s="1" t="str">
        <f t="shared" si="244"/>
        <v>16980</v>
      </c>
      <c r="B6681" s="1" t="str">
        <f>"60636"</f>
        <v>60636</v>
      </c>
      <c r="C6681" s="2">
        <v>3.1914673202034002E-3</v>
      </c>
      <c r="D6681" s="2">
        <v>2.6244710320614999E-3</v>
      </c>
      <c r="E6681" s="2">
        <v>3.3841536004451502E-3</v>
      </c>
      <c r="F6681" s="2">
        <v>3.1588532619861798E-3</v>
      </c>
    </row>
    <row r="6682" spans="1:6" x14ac:dyDescent="0.25">
      <c r="A6682" s="1" t="str">
        <f t="shared" si="244"/>
        <v>16980</v>
      </c>
      <c r="B6682" s="1" t="str">
        <f>"60646"</f>
        <v>60646</v>
      </c>
      <c r="C6682" s="2">
        <v>2.7711674273502699E-3</v>
      </c>
      <c r="D6682" s="2">
        <v>3.2145449517818202E-3</v>
      </c>
      <c r="E6682" s="2">
        <v>2.0599195828796598E-3</v>
      </c>
      <c r="F6682" s="2">
        <v>2.7533150165225699E-3</v>
      </c>
    </row>
    <row r="6683" spans="1:6" x14ac:dyDescent="0.25">
      <c r="A6683" s="1" t="str">
        <f t="shared" si="244"/>
        <v>16980</v>
      </c>
      <c r="B6683" s="1" t="str">
        <f>"60651"</f>
        <v>60651</v>
      </c>
      <c r="C6683" s="2">
        <v>3.87420799122303E-3</v>
      </c>
      <c r="D6683" s="2">
        <v>3.6614210165072502E-3</v>
      </c>
      <c r="E6683" s="2">
        <v>7.1695902365162198E-3</v>
      </c>
      <c r="F6683" s="2">
        <v>4.1112474170213898E-3</v>
      </c>
    </row>
    <row r="6684" spans="1:6" x14ac:dyDescent="0.25">
      <c r="A6684" s="1" t="str">
        <f t="shared" si="244"/>
        <v>16980</v>
      </c>
      <c r="B6684" s="1" t="str">
        <f>"53140"</f>
        <v>53140</v>
      </c>
      <c r="C6684" s="2">
        <v>3.2420315678764501E-3</v>
      </c>
      <c r="D6684" s="2">
        <v>2.3010413940557999E-3</v>
      </c>
      <c r="E6684" s="2">
        <v>2.6431175946559798E-3</v>
      </c>
      <c r="F6684" s="2">
        <v>3.1168510865631702E-3</v>
      </c>
    </row>
    <row r="6685" spans="1:6" x14ac:dyDescent="0.25">
      <c r="A6685" s="1" t="str">
        <f t="shared" si="244"/>
        <v>16980</v>
      </c>
      <c r="B6685" s="1" t="str">
        <f>"53104"</f>
        <v>53104</v>
      </c>
      <c r="C6685" s="2">
        <v>6.3908275961411295E-4</v>
      </c>
      <c r="D6685" s="2">
        <v>1.8023178301080801E-4</v>
      </c>
      <c r="E6685" s="2">
        <v>1.73889315437893E-4</v>
      </c>
      <c r="F6685" s="2">
        <v>5.6464993462764803E-4</v>
      </c>
    </row>
    <row r="6686" spans="1:6" x14ac:dyDescent="0.25">
      <c r="A6686" s="1" t="str">
        <f t="shared" si="244"/>
        <v>16980</v>
      </c>
      <c r="B6686" s="1" t="str">
        <f>"60096"</f>
        <v>60096</v>
      </c>
      <c r="C6686" s="2">
        <v>6.7953415775255904E-4</v>
      </c>
      <c r="D6686" s="2">
        <v>2.66644281714621E-4</v>
      </c>
      <c r="E6686" s="2">
        <v>1.8726541662542301E-4</v>
      </c>
      <c r="F6686" s="2">
        <v>6.0685901731875901E-4</v>
      </c>
    </row>
    <row r="6687" spans="1:6" x14ac:dyDescent="0.25">
      <c r="A6687" s="1" t="str">
        <f t="shared" si="244"/>
        <v>16980</v>
      </c>
      <c r="B6687" s="1" t="str">
        <f>"60078"</f>
        <v>60078</v>
      </c>
      <c r="C6687" s="2">
        <v>3.81081769048168E-4</v>
      </c>
      <c r="D6687" s="2">
        <v>1.2073060533189801E-3</v>
      </c>
      <c r="E6687" s="2">
        <v>5.3504404750120999E-6</v>
      </c>
      <c r="F6687" s="2">
        <v>4.2126319783872902E-4</v>
      </c>
    </row>
    <row r="6688" spans="1:6" x14ac:dyDescent="0.25">
      <c r="A6688" s="1" t="str">
        <f t="shared" si="244"/>
        <v>16980</v>
      </c>
      <c r="B6688" s="1" t="str">
        <f>"60050"</f>
        <v>60050</v>
      </c>
      <c r="C6688" s="2">
        <v>3.3658523109587699E-3</v>
      </c>
      <c r="D6688" s="2">
        <v>3.1281324530780101E-3</v>
      </c>
      <c r="E6688" s="2">
        <v>2.4558521780305501E-3</v>
      </c>
      <c r="F6688" s="2">
        <v>3.2755489611910201E-3</v>
      </c>
    </row>
    <row r="6689" spans="1:6" x14ac:dyDescent="0.25">
      <c r="A6689" s="1" t="str">
        <f t="shared" si="244"/>
        <v>16980</v>
      </c>
      <c r="B6689" s="1" t="str">
        <f>"60022"</f>
        <v>60022</v>
      </c>
      <c r="C6689" s="2">
        <v>8.1766088310335195E-4</v>
      </c>
      <c r="D6689" s="2">
        <v>7.80181416868707E-4</v>
      </c>
      <c r="E6689" s="2">
        <v>2.4344504161305001E-4</v>
      </c>
      <c r="F6689" s="2">
        <v>7.7010885184467101E-4</v>
      </c>
    </row>
    <row r="6690" spans="1:6" x14ac:dyDescent="0.25">
      <c r="A6690" s="1" t="str">
        <f t="shared" si="244"/>
        <v>16980</v>
      </c>
      <c r="B6690" s="1" t="str">
        <f>"60056"</f>
        <v>60056</v>
      </c>
      <c r="C6690" s="2">
        <v>5.7243661463235503E-3</v>
      </c>
      <c r="D6690" s="2">
        <v>4.7033088580217897E-3</v>
      </c>
      <c r="E6690" s="2">
        <v>4.9946361834237998E-3</v>
      </c>
      <c r="F6690" s="2">
        <v>5.5823580931674398E-3</v>
      </c>
    </row>
    <row r="6691" spans="1:6" x14ac:dyDescent="0.25">
      <c r="A6691" s="1" t="str">
        <f t="shared" si="244"/>
        <v>16980</v>
      </c>
      <c r="B6691" s="1" t="str">
        <f>"60039"</f>
        <v>60039</v>
      </c>
      <c r="C6691" s="2">
        <v>3.5690959211178E-4</v>
      </c>
      <c r="D6691" s="2">
        <v>1.29371855202279E-3</v>
      </c>
      <c r="E6691" s="2">
        <v>5.3504404750120999E-6</v>
      </c>
      <c r="F6691" s="2">
        <v>4.0822803994882702E-4</v>
      </c>
    </row>
    <row r="6692" spans="1:6" x14ac:dyDescent="0.25">
      <c r="A6692" s="1" t="str">
        <f t="shared" si="244"/>
        <v>16980</v>
      </c>
      <c r="B6692" s="1" t="str">
        <f>"60065"</f>
        <v>60065</v>
      </c>
      <c r="C6692" s="2">
        <v>1.16174442214684E-4</v>
      </c>
      <c r="D6692" s="2">
        <v>9.5547534281072697E-4</v>
      </c>
      <c r="E6692" s="2">
        <v>5.3504404750120999E-6</v>
      </c>
      <c r="F6692" s="2">
        <v>1.7794025056056299E-4</v>
      </c>
    </row>
    <row r="6693" spans="1:6" x14ac:dyDescent="0.25">
      <c r="A6693" s="1" t="str">
        <f t="shared" si="244"/>
        <v>16980</v>
      </c>
      <c r="B6693" s="1" t="str">
        <f>"60123"</f>
        <v>60123</v>
      </c>
      <c r="C6693" s="2">
        <v>4.4008161316229201E-3</v>
      </c>
      <c r="D6693" s="2">
        <v>5.3427613484299998E-3</v>
      </c>
      <c r="E6693" s="2">
        <v>6.8298372663529502E-3</v>
      </c>
      <c r="F6693" s="2">
        <v>4.6676210609252903E-3</v>
      </c>
    </row>
    <row r="6694" spans="1:6" x14ac:dyDescent="0.25">
      <c r="A6694" s="1" t="str">
        <f t="shared" si="244"/>
        <v>16980</v>
      </c>
      <c r="B6694" s="1" t="str">
        <f>"60104"</f>
        <v>60104</v>
      </c>
      <c r="C6694" s="2">
        <v>1.7986072879606701E-3</v>
      </c>
      <c r="D6694" s="2">
        <v>1.4369164070176801E-3</v>
      </c>
      <c r="E6694" s="2">
        <v>2.0599195828796598E-3</v>
      </c>
      <c r="F6694" s="2">
        <v>1.7885064254017501E-3</v>
      </c>
    </row>
    <row r="6695" spans="1:6" x14ac:dyDescent="0.25">
      <c r="A6695" s="1" t="str">
        <f t="shared" si="244"/>
        <v>16980</v>
      </c>
      <c r="B6695" s="1" t="str">
        <f>"60120"</f>
        <v>60120</v>
      </c>
      <c r="C6695" s="2">
        <v>4.1955992825303198E-3</v>
      </c>
      <c r="D6695" s="2">
        <v>3.5503192324594902E-3</v>
      </c>
      <c r="E6695" s="2">
        <v>4.9304308977236502E-3</v>
      </c>
      <c r="F6695" s="2">
        <v>4.19835537688883E-3</v>
      </c>
    </row>
    <row r="6696" spans="1:6" x14ac:dyDescent="0.25">
      <c r="A6696" s="1" t="str">
        <f t="shared" si="244"/>
        <v>16980</v>
      </c>
      <c r="B6696" s="1" t="str">
        <f>"60112"</f>
        <v>60112</v>
      </c>
      <c r="C6696" s="2">
        <v>9.0349677671420104E-4</v>
      </c>
      <c r="D6696" s="2">
        <v>3.9749749403753697E-4</v>
      </c>
      <c r="E6696" s="2">
        <v>4.8956530346360696E-4</v>
      </c>
      <c r="F6696" s="2">
        <v>8.2907742325136896E-4</v>
      </c>
    </row>
    <row r="6697" spans="1:6" x14ac:dyDescent="0.25">
      <c r="A6697" s="1" t="str">
        <f t="shared" si="244"/>
        <v>16980</v>
      </c>
      <c r="B6697" s="1" t="str">
        <f>"47978"</f>
        <v>47978</v>
      </c>
      <c r="C6697" s="2">
        <v>1.21329528928669E-3</v>
      </c>
      <c r="D6697" s="2">
        <v>1.2961874805571801E-3</v>
      </c>
      <c r="E6697" s="2">
        <v>4.4943699990101599E-4</v>
      </c>
      <c r="F6697" s="2">
        <v>1.1611635885417199E-3</v>
      </c>
    </row>
    <row r="6698" spans="1:6" x14ac:dyDescent="0.25">
      <c r="A6698" s="1" t="str">
        <f t="shared" si="244"/>
        <v>16980</v>
      </c>
      <c r="B6698" s="1" t="str">
        <f>"46385"</f>
        <v>46385</v>
      </c>
      <c r="C6698" s="2">
        <v>4.2557830700045898E-3</v>
      </c>
      <c r="D6698" s="2">
        <v>1.81713140131445E-3</v>
      </c>
      <c r="E6698" s="2">
        <v>9.7378016645220298E-4</v>
      </c>
      <c r="F6698" s="2">
        <v>3.7975759985913698E-3</v>
      </c>
    </row>
    <row r="6699" spans="1:6" x14ac:dyDescent="0.25">
      <c r="A6699" s="1" t="str">
        <f t="shared" si="244"/>
        <v>16980</v>
      </c>
      <c r="B6699" s="1" t="str">
        <f>"46409"</f>
        <v>46409</v>
      </c>
      <c r="C6699" s="2">
        <v>1.2882783687628301E-3</v>
      </c>
      <c r="D6699" s="2">
        <v>8.1474641635023205E-4</v>
      </c>
      <c r="E6699" s="2">
        <v>2.7822290470062898E-4</v>
      </c>
      <c r="F6699" s="2">
        <v>1.17047441560593E-3</v>
      </c>
    </row>
    <row r="6700" spans="1:6" x14ac:dyDescent="0.25">
      <c r="A6700" s="1" t="str">
        <f t="shared" si="244"/>
        <v>16980</v>
      </c>
      <c r="B6700" s="1" t="str">
        <f>"46304"</f>
        <v>46304</v>
      </c>
      <c r="C6700" s="2">
        <v>3.07381294878852E-3</v>
      </c>
      <c r="D6700" s="2">
        <v>2.75779317291881E-3</v>
      </c>
      <c r="E6700" s="2">
        <v>1.1128916188025101E-3</v>
      </c>
      <c r="F6700" s="2">
        <v>2.8956672169710299E-3</v>
      </c>
    </row>
    <row r="6701" spans="1:6" x14ac:dyDescent="0.25">
      <c r="A6701" s="1" t="str">
        <f t="shared" si="244"/>
        <v>16980</v>
      </c>
      <c r="B6701" s="1" t="str">
        <f>"46321"</f>
        <v>46321</v>
      </c>
      <c r="C6701" s="2">
        <v>2.45569585284373E-3</v>
      </c>
      <c r="D6701" s="2">
        <v>2.61706424645832E-3</v>
      </c>
      <c r="E6701" s="2">
        <v>1.4660206901533101E-3</v>
      </c>
      <c r="F6701" s="2">
        <v>2.39267564823529E-3</v>
      </c>
    </row>
    <row r="6702" spans="1:6" x14ac:dyDescent="0.25">
      <c r="A6702" s="1" t="str">
        <f t="shared" si="244"/>
        <v>16980</v>
      </c>
      <c r="B6702" s="1" t="str">
        <f>"60144"</f>
        <v>60144</v>
      </c>
      <c r="C6702" s="2">
        <v>0</v>
      </c>
      <c r="D6702" s="2">
        <v>0</v>
      </c>
      <c r="E6702" s="2">
        <v>2.6752202375060499E-6</v>
      </c>
      <c r="F6702" s="2">
        <v>2.0690726809367801E-7</v>
      </c>
    </row>
    <row r="6703" spans="1:6" x14ac:dyDescent="0.25">
      <c r="A6703" s="1" t="str">
        <f t="shared" si="244"/>
        <v>16980</v>
      </c>
      <c r="B6703" s="1" t="str">
        <f>"53152"</f>
        <v>53152</v>
      </c>
      <c r="C6703" s="2">
        <v>0</v>
      </c>
      <c r="D6703" s="2">
        <v>0</v>
      </c>
      <c r="E6703" s="2">
        <v>2.6752202375060499E-6</v>
      </c>
      <c r="F6703" s="2">
        <v>2.0690726809367801E-7</v>
      </c>
    </row>
    <row r="6704" spans="1:6" x14ac:dyDescent="0.25">
      <c r="A6704" s="1" t="str">
        <f t="shared" si="244"/>
        <v>16980</v>
      </c>
      <c r="B6704" s="1" t="str">
        <f>"53159"</f>
        <v>53159</v>
      </c>
      <c r="C6704" s="2">
        <v>0</v>
      </c>
      <c r="D6704" s="2">
        <v>0</v>
      </c>
      <c r="E6704" s="2">
        <v>5.3504404750120999E-6</v>
      </c>
      <c r="F6704" s="2">
        <v>4.1381453618735698E-7</v>
      </c>
    </row>
    <row r="6705" spans="1:6" x14ac:dyDescent="0.25">
      <c r="A6705" s="1" t="str">
        <f t="shared" si="244"/>
        <v>16980</v>
      </c>
      <c r="B6705" s="1" t="str">
        <f>"61353"</f>
        <v>61353</v>
      </c>
      <c r="C6705" s="2">
        <v>9.8661946679137494E-7</v>
      </c>
      <c r="D6705" s="2">
        <v>0</v>
      </c>
      <c r="E6705" s="2">
        <v>0</v>
      </c>
      <c r="F6705" s="2">
        <v>8.2762907237471396E-7</v>
      </c>
    </row>
    <row r="6706" spans="1:6" x14ac:dyDescent="0.25">
      <c r="A6706" s="1" t="str">
        <f t="shared" si="244"/>
        <v>16980</v>
      </c>
      <c r="B6706" s="1" t="str">
        <f>"60685"</f>
        <v>60685</v>
      </c>
      <c r="C6706" s="2">
        <v>0</v>
      </c>
      <c r="D6706" s="2">
        <v>0</v>
      </c>
      <c r="E6706" s="2">
        <v>5.3504404750120999E-6</v>
      </c>
      <c r="F6706" s="2">
        <v>4.1381453618735698E-7</v>
      </c>
    </row>
    <row r="6707" spans="1:6" x14ac:dyDescent="0.25">
      <c r="A6707" s="1" t="str">
        <f t="shared" ref="A6707:A6770" si="245">"16980"</f>
        <v>16980</v>
      </c>
      <c r="B6707" s="1" t="str">
        <f>"60940"</f>
        <v>60940</v>
      </c>
      <c r="C6707" s="2">
        <v>6.9063362675396199E-6</v>
      </c>
      <c r="D6707" s="2">
        <v>2.46892853439464E-6</v>
      </c>
      <c r="E6707" s="2">
        <v>0</v>
      </c>
      <c r="F6707" s="2">
        <v>6.0003107747166698E-6</v>
      </c>
    </row>
    <row r="6708" spans="1:6" x14ac:dyDescent="0.25">
      <c r="A6708" s="1" t="str">
        <f t="shared" si="245"/>
        <v>16980</v>
      </c>
      <c r="B6708" s="1" t="str">
        <f>"46301"</f>
        <v>46301</v>
      </c>
      <c r="C6708" s="2">
        <v>8.8795752011223698E-5</v>
      </c>
      <c r="D6708" s="2">
        <v>0</v>
      </c>
      <c r="E6708" s="2">
        <v>2.6752202375060499E-6</v>
      </c>
      <c r="F6708" s="2">
        <v>7.4693523781817897E-5</v>
      </c>
    </row>
    <row r="6709" spans="1:6" x14ac:dyDescent="0.25">
      <c r="A6709" s="1" t="str">
        <f t="shared" si="245"/>
        <v>16980</v>
      </c>
      <c r="B6709" s="1" t="str">
        <f>"60694"</f>
        <v>60694</v>
      </c>
      <c r="C6709" s="2">
        <v>2.4665486669784299E-7</v>
      </c>
      <c r="D6709" s="2">
        <v>0</v>
      </c>
      <c r="E6709" s="2">
        <v>2.75815206486874E-3</v>
      </c>
      <c r="F6709" s="2">
        <v>2.1352830067267601E-4</v>
      </c>
    </row>
    <row r="6710" spans="1:6" x14ac:dyDescent="0.25">
      <c r="A6710" s="1" t="str">
        <f t="shared" si="245"/>
        <v>16980</v>
      </c>
      <c r="B6710" s="1" t="str">
        <f>"60474"</f>
        <v>60474</v>
      </c>
      <c r="C6710" s="2">
        <v>8.3369344943871204E-5</v>
      </c>
      <c r="D6710" s="2">
        <v>2.46892853439464E-6</v>
      </c>
      <c r="E6710" s="2">
        <v>8.0256607125181494E-6</v>
      </c>
      <c r="F6710" s="2">
        <v>7.0762285688038003E-5</v>
      </c>
    </row>
    <row r="6711" spans="1:6" x14ac:dyDescent="0.25">
      <c r="A6711" s="1" t="str">
        <f t="shared" si="245"/>
        <v>16980</v>
      </c>
      <c r="B6711" s="1" t="str">
        <f>"60633"</f>
        <v>60633</v>
      </c>
      <c r="C6711" s="2">
        <v>1.2853185103624599E-3</v>
      </c>
      <c r="D6711" s="2">
        <v>7.7030570273112805E-4</v>
      </c>
      <c r="E6711" s="2">
        <v>8.3466871410188797E-4</v>
      </c>
      <c r="F6711" s="2">
        <v>1.20730390932661E-3</v>
      </c>
    </row>
    <row r="6712" spans="1:6" x14ac:dyDescent="0.25">
      <c r="A6712" s="1" t="str">
        <f t="shared" si="245"/>
        <v>16980</v>
      </c>
      <c r="B6712" s="1" t="str">
        <f>"60068"</f>
        <v>60068</v>
      </c>
      <c r="C6712" s="2">
        <v>3.9595505751004803E-3</v>
      </c>
      <c r="D6712" s="2">
        <v>4.5329527891485597E-3</v>
      </c>
      <c r="E6712" s="2">
        <v>3.24236692785733E-3</v>
      </c>
      <c r="F6712" s="2">
        <v>3.9521357278573498E-3</v>
      </c>
    </row>
    <row r="6713" spans="1:6" x14ac:dyDescent="0.25">
      <c r="A6713" s="1" t="str">
        <f t="shared" si="245"/>
        <v>16980</v>
      </c>
      <c r="B6713" s="1" t="str">
        <f>"60008"</f>
        <v>60008</v>
      </c>
      <c r="C6713" s="2">
        <v>2.2526988975514E-3</v>
      </c>
      <c r="D6713" s="2">
        <v>3.35280494970792E-3</v>
      </c>
      <c r="E6713" s="2">
        <v>1.548952517516E-3</v>
      </c>
      <c r="F6713" s="2">
        <v>2.2904634577970199E-3</v>
      </c>
    </row>
    <row r="6714" spans="1:6" x14ac:dyDescent="0.25">
      <c r="A6714" s="1" t="str">
        <f t="shared" si="245"/>
        <v>16980</v>
      </c>
      <c r="B6714" s="1" t="str">
        <f>"60012"</f>
        <v>60012</v>
      </c>
      <c r="C6714" s="2">
        <v>9.9969217472636093E-4</v>
      </c>
      <c r="D6714" s="2">
        <v>6.66610704286553E-4</v>
      </c>
      <c r="E6714" s="2">
        <v>2.14017619000484E-4</v>
      </c>
      <c r="F6714" s="2">
        <v>9.1101270141646603E-4</v>
      </c>
    </row>
    <row r="6715" spans="1:6" x14ac:dyDescent="0.25">
      <c r="A6715" s="1" t="str">
        <f t="shared" si="245"/>
        <v>16980</v>
      </c>
      <c r="B6715" s="1" t="str">
        <f>"60013"</f>
        <v>60013</v>
      </c>
      <c r="C6715" s="2">
        <v>2.58247645432642E-3</v>
      </c>
      <c r="D6715" s="2">
        <v>2.1331542537169701E-3</v>
      </c>
      <c r="E6715" s="2">
        <v>5.9389889272634297E-4</v>
      </c>
      <c r="F6715" s="2">
        <v>2.3910203900905399E-3</v>
      </c>
    </row>
    <row r="6716" spans="1:6" x14ac:dyDescent="0.25">
      <c r="A6716" s="1" t="str">
        <f t="shared" si="245"/>
        <v>16980</v>
      </c>
      <c r="B6716" s="1" t="str">
        <f>"60115"</f>
        <v>60115</v>
      </c>
      <c r="C6716" s="2">
        <v>4.7769648033371397E-3</v>
      </c>
      <c r="D6716" s="2">
        <v>4.19964743700528E-3</v>
      </c>
      <c r="E6716" s="2">
        <v>5.2300555643243303E-3</v>
      </c>
      <c r="F6716" s="2">
        <v>4.7636260333207602E-3</v>
      </c>
    </row>
    <row r="6717" spans="1:6" x14ac:dyDescent="0.25">
      <c r="A6717" s="1" t="str">
        <f t="shared" si="245"/>
        <v>16980</v>
      </c>
      <c r="B6717" s="1" t="str">
        <f>"60119"</f>
        <v>60119</v>
      </c>
      <c r="C6717" s="2">
        <v>1.0588893427338399E-3</v>
      </c>
      <c r="D6717" s="2">
        <v>8.3943570169417805E-4</v>
      </c>
      <c r="E6717" s="2">
        <v>4.2000957728845E-4</v>
      </c>
      <c r="F6717" s="2">
        <v>9.9108581416871991E-4</v>
      </c>
    </row>
    <row r="6718" spans="1:6" x14ac:dyDescent="0.25">
      <c r="A6718" s="1" t="str">
        <f t="shared" si="245"/>
        <v>16980</v>
      </c>
      <c r="B6718" s="1" t="str">
        <f>"60510"</f>
        <v>60510</v>
      </c>
      <c r="C6718" s="2">
        <v>3.06345344438722E-3</v>
      </c>
      <c r="D6718" s="2">
        <v>3.9009070843435299E-3</v>
      </c>
      <c r="E6718" s="2">
        <v>1.0192589104898E-3</v>
      </c>
      <c r="F6718" s="2">
        <v>2.97553342245519E-3</v>
      </c>
    </row>
    <row r="6719" spans="1:6" x14ac:dyDescent="0.25">
      <c r="A6719" s="1" t="str">
        <f t="shared" si="245"/>
        <v>16980</v>
      </c>
      <c r="B6719" s="1" t="str">
        <f>"60515"</f>
        <v>60515</v>
      </c>
      <c r="C6719" s="2">
        <v>3.3512996738236001E-3</v>
      </c>
      <c r="D6719" s="2">
        <v>7.0117570376807799E-3</v>
      </c>
      <c r="E6719" s="2">
        <v>2.58693796966835E-3</v>
      </c>
      <c r="F6719" s="2">
        <v>3.5989450212214401E-3</v>
      </c>
    </row>
    <row r="6720" spans="1:6" x14ac:dyDescent="0.25">
      <c r="A6720" s="1" t="str">
        <f t="shared" si="245"/>
        <v>16980</v>
      </c>
      <c r="B6720" s="1" t="str">
        <f>"60523"</f>
        <v>60523</v>
      </c>
      <c r="C6720" s="2">
        <v>1.46217004978481E-3</v>
      </c>
      <c r="D6720" s="2">
        <v>5.0489588528370398E-3</v>
      </c>
      <c r="E6720" s="2">
        <v>7.9454041053929705E-4</v>
      </c>
      <c r="F6720" s="2">
        <v>1.7111231071347201E-3</v>
      </c>
    </row>
    <row r="6721" spans="1:6" x14ac:dyDescent="0.25">
      <c r="A6721" s="1" t="str">
        <f t="shared" si="245"/>
        <v>16980</v>
      </c>
      <c r="B6721" s="1" t="str">
        <f>"60517"</f>
        <v>60517</v>
      </c>
      <c r="C6721" s="2">
        <v>3.6280464342585798E-3</v>
      </c>
      <c r="D6721" s="2">
        <v>2.7651999585219999E-3</v>
      </c>
      <c r="E6721" s="2">
        <v>3.8870950050962898E-3</v>
      </c>
      <c r="F6721" s="2">
        <v>3.5757714071949498E-3</v>
      </c>
    </row>
    <row r="6722" spans="1:6" x14ac:dyDescent="0.25">
      <c r="A6722" s="1" t="str">
        <f t="shared" si="245"/>
        <v>16980</v>
      </c>
      <c r="B6722" s="1" t="str">
        <f>"60559"</f>
        <v>60559</v>
      </c>
      <c r="C6722" s="2">
        <v>2.94283921457197E-3</v>
      </c>
      <c r="D6722" s="2">
        <v>4.2366813650211999E-3</v>
      </c>
      <c r="E6722" s="2">
        <v>3.5393163742204999E-3</v>
      </c>
      <c r="F6722" s="2">
        <v>3.0974018033623602E-3</v>
      </c>
    </row>
    <row r="6723" spans="1:6" x14ac:dyDescent="0.25">
      <c r="A6723" s="1" t="str">
        <f t="shared" si="245"/>
        <v>16980</v>
      </c>
      <c r="B6723" s="1" t="str">
        <f>"60545"</f>
        <v>60545</v>
      </c>
      <c r="C6723" s="2">
        <v>1.2823586519620899E-3</v>
      </c>
      <c r="D6723" s="2">
        <v>9.2091034332920105E-4</v>
      </c>
      <c r="E6723" s="2">
        <v>3.0765032731319599E-4</v>
      </c>
      <c r="F6723" s="2">
        <v>1.17668163364874E-3</v>
      </c>
    </row>
    <row r="6724" spans="1:6" x14ac:dyDescent="0.25">
      <c r="A6724" s="1" t="str">
        <f t="shared" si="245"/>
        <v>16980</v>
      </c>
      <c r="B6724" s="1" t="str">
        <f>"60446"</f>
        <v>60446</v>
      </c>
      <c r="C6724" s="2">
        <v>3.6487654430612001E-3</v>
      </c>
      <c r="D6724" s="2">
        <v>3.2491099512633498E-3</v>
      </c>
      <c r="E6724" s="2">
        <v>1.0593872140523899E-3</v>
      </c>
      <c r="F6724" s="2">
        <v>3.4150044598861601E-3</v>
      </c>
    </row>
    <row r="6725" spans="1:6" x14ac:dyDescent="0.25">
      <c r="A6725" s="1" t="str">
        <f t="shared" si="245"/>
        <v>16980</v>
      </c>
      <c r="B6725" s="1" t="str">
        <f>"60452"</f>
        <v>60452</v>
      </c>
      <c r="C6725" s="2">
        <v>2.76179454241575E-3</v>
      </c>
      <c r="D6725" s="2">
        <v>2.0788378259602798E-3</v>
      </c>
      <c r="E6725" s="2">
        <v>2.5387840053932402E-3</v>
      </c>
      <c r="F6725" s="2">
        <v>2.6873115980006902E-3</v>
      </c>
    </row>
    <row r="6726" spans="1:6" x14ac:dyDescent="0.25">
      <c r="A6726" s="1" t="str">
        <f t="shared" si="245"/>
        <v>16980</v>
      </c>
      <c r="B6726" s="1" t="str">
        <f>"60463"</f>
        <v>60463</v>
      </c>
      <c r="C6726" s="2">
        <v>1.5773578725327101E-3</v>
      </c>
      <c r="D6726" s="2">
        <v>2.2862278228494301E-3</v>
      </c>
      <c r="E6726" s="2">
        <v>1.25200307115283E-3</v>
      </c>
      <c r="F6726" s="2">
        <v>1.6116007111816599E-3</v>
      </c>
    </row>
    <row r="6727" spans="1:6" x14ac:dyDescent="0.25">
      <c r="A6727" s="1" t="str">
        <f t="shared" si="245"/>
        <v>16980</v>
      </c>
      <c r="B6727" s="1" t="str">
        <f>"60441"</f>
        <v>60441</v>
      </c>
      <c r="C6727" s="2">
        <v>3.53308431057991E-3</v>
      </c>
      <c r="D6727" s="2">
        <v>2.6985388880933401E-3</v>
      </c>
      <c r="E6727" s="2">
        <v>1.3804136425531199E-3</v>
      </c>
      <c r="F6727" s="2">
        <v>3.2966535025365702E-3</v>
      </c>
    </row>
    <row r="6728" spans="1:6" x14ac:dyDescent="0.25">
      <c r="A6728" s="1" t="str">
        <f t="shared" si="245"/>
        <v>16980</v>
      </c>
      <c r="B6728" s="1" t="str">
        <f>"60466"</f>
        <v>60466</v>
      </c>
      <c r="C6728" s="2">
        <v>2.6229278524648701E-3</v>
      </c>
      <c r="D6728" s="2">
        <v>1.4072892646049401E-3</v>
      </c>
      <c r="E6728" s="2">
        <v>1.73889315437893E-4</v>
      </c>
      <c r="F6728" s="2">
        <v>2.3316380041476601E-3</v>
      </c>
    </row>
    <row r="6729" spans="1:6" x14ac:dyDescent="0.25">
      <c r="A6729" s="1" t="str">
        <f t="shared" si="245"/>
        <v>16980</v>
      </c>
      <c r="B6729" s="1" t="str">
        <f>"60455"</f>
        <v>60455</v>
      </c>
      <c r="C6729" s="2">
        <v>1.74064339428668E-3</v>
      </c>
      <c r="D6729" s="2">
        <v>3.2392342371257701E-3</v>
      </c>
      <c r="E6729" s="2">
        <v>1.6372347853537E-3</v>
      </c>
      <c r="F6729" s="2">
        <v>1.8582341747493201E-3</v>
      </c>
    </row>
    <row r="6730" spans="1:6" x14ac:dyDescent="0.25">
      <c r="A6730" s="1" t="str">
        <f t="shared" si="245"/>
        <v>16980</v>
      </c>
      <c r="B6730" s="1" t="str">
        <f>"60473"</f>
        <v>60473</v>
      </c>
      <c r="C6730" s="2">
        <v>2.1639031455401802E-3</v>
      </c>
      <c r="D6730" s="2">
        <v>3.3429292355703398E-3</v>
      </c>
      <c r="E6730" s="2">
        <v>6.8753160103905502E-4</v>
      </c>
      <c r="F6730" s="2">
        <v>2.14852507188475E-3</v>
      </c>
    </row>
    <row r="6731" spans="1:6" x14ac:dyDescent="0.25">
      <c r="A6731" s="1" t="str">
        <f t="shared" si="245"/>
        <v>16980</v>
      </c>
      <c r="B6731" s="1" t="str">
        <f>"60471"</f>
        <v>60471</v>
      </c>
      <c r="C6731" s="2">
        <v>1.5393730230612399E-3</v>
      </c>
      <c r="D6731" s="2">
        <v>8.1474641635023205E-4</v>
      </c>
      <c r="E6731" s="2">
        <v>1.5222003151409401E-3</v>
      </c>
      <c r="F6731" s="2">
        <v>1.47731789418886E-3</v>
      </c>
    </row>
    <row r="6732" spans="1:6" x14ac:dyDescent="0.25">
      <c r="A6732" s="1" t="str">
        <f t="shared" si="245"/>
        <v>16980</v>
      </c>
      <c r="B6732" s="1" t="str">
        <f>"60614"</f>
        <v>60614</v>
      </c>
      <c r="C6732" s="2">
        <v>1.03227528261714E-2</v>
      </c>
      <c r="D6732" s="2">
        <v>6.4957509739922998E-3</v>
      </c>
      <c r="E6732" s="2">
        <v>1.3707828496981E-2</v>
      </c>
      <c r="F6732" s="2">
        <v>1.0263841941055001E-2</v>
      </c>
    </row>
    <row r="6733" spans="1:6" x14ac:dyDescent="0.25">
      <c r="A6733" s="1" t="str">
        <f t="shared" si="245"/>
        <v>16980</v>
      </c>
      <c r="B6733" s="1" t="str">
        <f>"60616"</f>
        <v>60616</v>
      </c>
      <c r="C6733" s="2">
        <v>6.6051706753015599E-3</v>
      </c>
      <c r="D6733" s="2">
        <v>5.5254620599752098E-3</v>
      </c>
      <c r="E6733" s="2">
        <v>6.7041019151901603E-3</v>
      </c>
      <c r="F6733" s="2">
        <v>6.5223378121170199E-3</v>
      </c>
    </row>
    <row r="6734" spans="1:6" x14ac:dyDescent="0.25">
      <c r="A6734" s="1" t="str">
        <f t="shared" si="245"/>
        <v>16980</v>
      </c>
      <c r="B6734" s="1" t="str">
        <f>"60613"</f>
        <v>60613</v>
      </c>
      <c r="C6734" s="2">
        <v>6.8915369755377497E-3</v>
      </c>
      <c r="D6734" s="2">
        <v>4.6489924302651102E-3</v>
      </c>
      <c r="E6734" s="2">
        <v>1.6123552371448899E-2</v>
      </c>
      <c r="F6734" s="2">
        <v>7.4176255611583704E-3</v>
      </c>
    </row>
    <row r="6735" spans="1:6" x14ac:dyDescent="0.25">
      <c r="A6735" s="1" t="str">
        <f t="shared" si="245"/>
        <v>16980</v>
      </c>
      <c r="B6735" s="1" t="str">
        <f>"60602"</f>
        <v>60602</v>
      </c>
      <c r="C6735" s="2">
        <v>2.2642916762861999E-4</v>
      </c>
      <c r="D6735" s="2">
        <v>8.99183772226529E-3</v>
      </c>
      <c r="E6735" s="2">
        <v>8.9887399980203295E-4</v>
      </c>
      <c r="F6735" s="2">
        <v>1.01301798458664E-3</v>
      </c>
    </row>
    <row r="6736" spans="1:6" x14ac:dyDescent="0.25">
      <c r="A6736" s="1" t="str">
        <f t="shared" si="245"/>
        <v>16980</v>
      </c>
      <c r="B6736" s="1" t="str">
        <f>"60565"</f>
        <v>60565</v>
      </c>
      <c r="C6736" s="2">
        <v>3.5745223281851502E-3</v>
      </c>
      <c r="D6736" s="2">
        <v>6.8142427549292104E-4</v>
      </c>
      <c r="E6736" s="2">
        <v>1.72016661271639E-3</v>
      </c>
      <c r="F6736" s="2">
        <v>3.18864790859167E-3</v>
      </c>
    </row>
    <row r="6737" spans="1:6" x14ac:dyDescent="0.25">
      <c r="A6737" s="1" t="str">
        <f t="shared" si="245"/>
        <v>16980</v>
      </c>
      <c r="B6737" s="1" t="str">
        <f>"60585"</f>
        <v>60585</v>
      </c>
      <c r="C6737" s="2">
        <v>2.04378222545833E-3</v>
      </c>
      <c r="D6737" s="2">
        <v>2.37017139301885E-3</v>
      </c>
      <c r="E6737" s="2">
        <v>6.7683072008903095E-4</v>
      </c>
      <c r="F6737" s="2">
        <v>1.9654121396218498E-3</v>
      </c>
    </row>
    <row r="6738" spans="1:6" x14ac:dyDescent="0.25">
      <c r="A6738" s="1" t="str">
        <f t="shared" si="245"/>
        <v>16980</v>
      </c>
      <c r="B6738" s="1" t="str">
        <f>"60598"</f>
        <v>60598</v>
      </c>
      <c r="C6738" s="2">
        <v>1.2579398201589999E-4</v>
      </c>
      <c r="D6738" s="2">
        <v>4.91316778344534E-4</v>
      </c>
      <c r="E6738" s="2">
        <v>2.6752202375060499E-6</v>
      </c>
      <c r="F6738" s="2">
        <v>1.46904160346511E-4</v>
      </c>
    </row>
    <row r="6739" spans="1:6" x14ac:dyDescent="0.25">
      <c r="A6739" s="1" t="str">
        <f t="shared" si="245"/>
        <v>16980</v>
      </c>
      <c r="B6739" s="1" t="str">
        <f>"60438"</f>
        <v>60438</v>
      </c>
      <c r="C6739" s="2">
        <v>3.2647238156126601E-3</v>
      </c>
      <c r="D6739" s="2">
        <v>3.1972624520410602E-3</v>
      </c>
      <c r="E6739" s="2">
        <v>3.1728112016821699E-3</v>
      </c>
      <c r="F6739" s="2">
        <v>3.2519615326283401E-3</v>
      </c>
    </row>
    <row r="6740" spans="1:6" x14ac:dyDescent="0.25">
      <c r="A6740" s="1" t="str">
        <f t="shared" si="245"/>
        <v>16980</v>
      </c>
      <c r="B6740" s="1" t="str">
        <f>"60429"</f>
        <v>60429</v>
      </c>
      <c r="C6740" s="2">
        <v>1.6303886688727399E-3</v>
      </c>
      <c r="D6740" s="2">
        <v>1.69615390312912E-3</v>
      </c>
      <c r="E6740" s="2">
        <v>8.0791651172682703E-4</v>
      </c>
      <c r="F6740" s="2">
        <v>1.5722883302438601E-3</v>
      </c>
    </row>
    <row r="6741" spans="1:6" x14ac:dyDescent="0.25">
      <c r="A6741" s="1" t="str">
        <f t="shared" si="245"/>
        <v>16980</v>
      </c>
      <c r="B6741" s="1" t="str">
        <f>"60431"</f>
        <v>60431</v>
      </c>
      <c r="C6741" s="2">
        <v>2.6054153569293201E-3</v>
      </c>
      <c r="D6741" s="2">
        <v>1.4245717643456999E-3</v>
      </c>
      <c r="E6741" s="2">
        <v>3.0765032731319599E-4</v>
      </c>
      <c r="F6741" s="2">
        <v>2.3287413023943501E-3</v>
      </c>
    </row>
    <row r="6742" spans="1:6" x14ac:dyDescent="0.25">
      <c r="A6742" s="1" t="str">
        <f t="shared" si="245"/>
        <v>16980</v>
      </c>
      <c r="B6742" s="1" t="str">
        <f>"60434"</f>
        <v>60434</v>
      </c>
      <c r="C6742" s="2">
        <v>5.7495249427267302E-4</v>
      </c>
      <c r="D6742" s="2">
        <v>1.0813906980648501E-3</v>
      </c>
      <c r="E6742" s="2">
        <v>1.07008809500242E-5</v>
      </c>
      <c r="F6742" s="2">
        <v>5.7375385442377E-4</v>
      </c>
    </row>
    <row r="6743" spans="1:6" x14ac:dyDescent="0.25">
      <c r="A6743" s="1" t="str">
        <f t="shared" si="245"/>
        <v>16980</v>
      </c>
      <c r="B6743" s="1" t="str">
        <f>"60303"</f>
        <v>60303</v>
      </c>
      <c r="C6743" s="2">
        <v>3.0437210550513899E-4</v>
      </c>
      <c r="D6743" s="2">
        <v>8.5424927290054598E-4</v>
      </c>
      <c r="E6743" s="2">
        <v>5.3504404750120999E-6</v>
      </c>
      <c r="F6743" s="2">
        <v>3.2732729812419903E-4</v>
      </c>
    </row>
    <row r="6744" spans="1:6" x14ac:dyDescent="0.25">
      <c r="A6744" s="1" t="str">
        <f t="shared" si="245"/>
        <v>16980</v>
      </c>
      <c r="B6744" s="1" t="str">
        <f>"60164"</f>
        <v>60164</v>
      </c>
      <c r="C6744" s="2">
        <v>2.1133388978671198E-3</v>
      </c>
      <c r="D6744" s="2">
        <v>1.2665603381444501E-3</v>
      </c>
      <c r="E6744" s="2">
        <v>1.10486595808999E-3</v>
      </c>
      <c r="F6744" s="2">
        <v>1.9643776032813799E-3</v>
      </c>
    </row>
    <row r="6745" spans="1:6" x14ac:dyDescent="0.25">
      <c r="A6745" s="1" t="str">
        <f t="shared" si="245"/>
        <v>16980</v>
      </c>
      <c r="B6745" s="1" t="str">
        <f>"60137"</f>
        <v>60137</v>
      </c>
      <c r="C6745" s="2">
        <v>3.87593457528991E-3</v>
      </c>
      <c r="D6745" s="2">
        <v>3.3330535214327601E-3</v>
      </c>
      <c r="E6745" s="2">
        <v>2.5762370887183199E-3</v>
      </c>
      <c r="F6745" s="2">
        <v>3.72991732192474E-3</v>
      </c>
    </row>
    <row r="6746" spans="1:6" x14ac:dyDescent="0.25">
      <c r="A6746" s="1" t="str">
        <f t="shared" si="245"/>
        <v>16980</v>
      </c>
      <c r="B6746" s="1" t="str">
        <f>"60155"</f>
        <v>60155</v>
      </c>
      <c r="C6746" s="2">
        <v>9.6096736065479896E-4</v>
      </c>
      <c r="D6746" s="2">
        <v>1.4097581931393399E-3</v>
      </c>
      <c r="E6746" s="2">
        <v>1.38308886279062E-3</v>
      </c>
      <c r="F6746" s="2">
        <v>1.03122582417889E-3</v>
      </c>
    </row>
    <row r="6747" spans="1:6" x14ac:dyDescent="0.25">
      <c r="A6747" s="1" t="str">
        <f t="shared" si="245"/>
        <v>16980</v>
      </c>
      <c r="B6747" s="1" t="str">
        <f>"60175"</f>
        <v>60175</v>
      </c>
      <c r="C6747" s="2">
        <v>2.1737693402080899E-3</v>
      </c>
      <c r="D6747" s="2">
        <v>9.4806855720754295E-4</v>
      </c>
      <c r="E6747" s="2">
        <v>2.4879548208806202E-4</v>
      </c>
      <c r="F6747" s="2">
        <v>1.92216852059027E-3</v>
      </c>
    </row>
    <row r="6748" spans="1:6" x14ac:dyDescent="0.25">
      <c r="A6748" s="1" t="str">
        <f t="shared" si="245"/>
        <v>16980</v>
      </c>
      <c r="B6748" s="1" t="str">
        <f>"60089"</f>
        <v>60089</v>
      </c>
      <c r="C6748" s="2">
        <v>4.4343611934938298E-3</v>
      </c>
      <c r="D6748" s="2">
        <v>4.2885288642434899E-3</v>
      </c>
      <c r="E6748" s="2">
        <v>1.9020815888668001E-3</v>
      </c>
      <c r="F6748" s="2">
        <v>4.22628785808147E-3</v>
      </c>
    </row>
    <row r="6749" spans="1:6" x14ac:dyDescent="0.25">
      <c r="A6749" s="1" t="str">
        <f t="shared" si="245"/>
        <v>16980</v>
      </c>
      <c r="B6749" s="1" t="str">
        <f>"60093"</f>
        <v>60093</v>
      </c>
      <c r="C6749" s="2">
        <v>2.0006176237862099E-3</v>
      </c>
      <c r="D6749" s="2">
        <v>3.5601949465970699E-3</v>
      </c>
      <c r="E6749" s="2">
        <v>1.1289429402275501E-3</v>
      </c>
      <c r="F6749" s="2">
        <v>2.0638999992344401E-3</v>
      </c>
    </row>
    <row r="6750" spans="1:6" x14ac:dyDescent="0.25">
      <c r="A6750" s="1" t="str">
        <f t="shared" si="245"/>
        <v>16980</v>
      </c>
      <c r="B6750" s="1" t="str">
        <f>"60097"</f>
        <v>60097</v>
      </c>
      <c r="C6750" s="2">
        <v>1.44515086398266E-3</v>
      </c>
      <c r="D6750" s="2">
        <v>4.2712463645027299E-4</v>
      </c>
      <c r="E6750" s="2">
        <v>9.0957488075205702E-5</v>
      </c>
      <c r="F6750" s="2">
        <v>1.2550994882562501E-3</v>
      </c>
    </row>
    <row r="6751" spans="1:6" x14ac:dyDescent="0.25">
      <c r="A6751" s="1" t="str">
        <f t="shared" si="245"/>
        <v>16980</v>
      </c>
      <c r="B6751" s="1" t="str">
        <f>"60073"</f>
        <v>60073</v>
      </c>
      <c r="C6751" s="2">
        <v>5.3765827842796E-3</v>
      </c>
      <c r="D6751" s="2">
        <v>2.6022506752519498E-3</v>
      </c>
      <c r="E6751" s="2">
        <v>1.35633666041556E-3</v>
      </c>
      <c r="F6751" s="2">
        <v>4.8331468754002297E-3</v>
      </c>
    </row>
    <row r="6752" spans="1:6" x14ac:dyDescent="0.25">
      <c r="A6752" s="1" t="str">
        <f t="shared" si="245"/>
        <v>16980</v>
      </c>
      <c r="B6752" s="1" t="str">
        <f>"60088"</f>
        <v>60088</v>
      </c>
      <c r="C6752" s="2">
        <v>6.5511532594947298E-4</v>
      </c>
      <c r="D6752" s="2">
        <v>8.5424927290054598E-4</v>
      </c>
      <c r="E6752" s="2">
        <v>2.0090903983670401E-3</v>
      </c>
      <c r="F6752" s="2">
        <v>7.7652297715557496E-4</v>
      </c>
    </row>
    <row r="6753" spans="1:6" x14ac:dyDescent="0.25">
      <c r="A6753" s="1" t="str">
        <f t="shared" si="245"/>
        <v>16980</v>
      </c>
      <c r="B6753" s="1" t="str">
        <f>"60051"</f>
        <v>60051</v>
      </c>
      <c r="C6753" s="2">
        <v>3.1258571256617702E-3</v>
      </c>
      <c r="D6753" s="2">
        <v>2.9034599564481001E-3</v>
      </c>
      <c r="E6753" s="2">
        <v>7.4906166650169398E-4</v>
      </c>
      <c r="F6753" s="2">
        <v>2.9233927908955798E-3</v>
      </c>
    </row>
    <row r="6754" spans="1:6" x14ac:dyDescent="0.25">
      <c r="A6754" s="1" t="str">
        <f t="shared" si="245"/>
        <v>16980</v>
      </c>
      <c r="B6754" s="1" t="str">
        <f>"46375"</f>
        <v>46375</v>
      </c>
      <c r="C6754" s="2">
        <v>2.74156884334653E-3</v>
      </c>
      <c r="D6754" s="2">
        <v>3.1577595954907401E-3</v>
      </c>
      <c r="E6754" s="2">
        <v>1.34028533899053E-3</v>
      </c>
      <c r="F6754" s="2">
        <v>2.6680692220679798E-3</v>
      </c>
    </row>
    <row r="6755" spans="1:6" x14ac:dyDescent="0.25">
      <c r="A6755" s="1" t="str">
        <f t="shared" si="245"/>
        <v>16980</v>
      </c>
      <c r="B6755" s="1" t="str">
        <f>"46394"</f>
        <v>46394</v>
      </c>
      <c r="C6755" s="2">
        <v>1.31911022710006E-3</v>
      </c>
      <c r="D6755" s="2">
        <v>8.0980855928144296E-4</v>
      </c>
      <c r="E6755" s="2">
        <v>1.3028322556654401E-3</v>
      </c>
      <c r="F6755" s="2">
        <v>1.27516949326134E-3</v>
      </c>
    </row>
    <row r="6756" spans="1:6" x14ac:dyDescent="0.25">
      <c r="A6756" s="1" t="str">
        <f t="shared" si="245"/>
        <v>16980</v>
      </c>
      <c r="B6756" s="1" t="str">
        <f>"46403"</f>
        <v>46403</v>
      </c>
      <c r="C6756" s="2">
        <v>1.7850412702922901E-3</v>
      </c>
      <c r="D6756" s="2">
        <v>9.6781998548269997E-4</v>
      </c>
      <c r="E6756" s="2">
        <v>9.0957488075205702E-4</v>
      </c>
      <c r="F6756" s="2">
        <v>1.64884401943852E-3</v>
      </c>
    </row>
    <row r="6757" spans="1:6" x14ac:dyDescent="0.25">
      <c r="A6757" s="1" t="str">
        <f t="shared" si="245"/>
        <v>16980</v>
      </c>
      <c r="B6757" s="1" t="str">
        <f>"46327"</f>
        <v>46327</v>
      </c>
      <c r="C6757" s="2">
        <v>1.10106732493917E-3</v>
      </c>
      <c r="D6757" s="2">
        <v>7.7524355979991801E-4</v>
      </c>
      <c r="E6757" s="2">
        <v>6.9823248198907898E-4</v>
      </c>
      <c r="F6757" s="2">
        <v>1.0426057239240399E-3</v>
      </c>
    </row>
    <row r="6758" spans="1:6" x14ac:dyDescent="0.25">
      <c r="A6758" s="1" t="str">
        <f t="shared" si="245"/>
        <v>16980</v>
      </c>
      <c r="B6758" s="1" t="str">
        <f>"46307"</f>
        <v>46307</v>
      </c>
      <c r="C6758" s="2">
        <v>6.7506970466532801E-3</v>
      </c>
      <c r="D6758" s="2">
        <v>4.4440713619103497E-3</v>
      </c>
      <c r="E6758" s="2">
        <v>2.6110149518059002E-3</v>
      </c>
      <c r="F6758" s="2">
        <v>6.2372195966839301E-3</v>
      </c>
    </row>
    <row r="6759" spans="1:6" x14ac:dyDescent="0.25">
      <c r="A6759" s="1" t="str">
        <f t="shared" si="245"/>
        <v>16980</v>
      </c>
      <c r="B6759" s="1" t="str">
        <f>"46311"</f>
        <v>46311</v>
      </c>
      <c r="C6759" s="2">
        <v>2.31312933989237E-3</v>
      </c>
      <c r="D6759" s="2">
        <v>1.5257978342558801E-3</v>
      </c>
      <c r="E6759" s="2">
        <v>2.9427422612566498E-4</v>
      </c>
      <c r="F6759" s="2">
        <v>2.0910048513547099E-3</v>
      </c>
    </row>
    <row r="6760" spans="1:6" x14ac:dyDescent="0.25">
      <c r="A6760" s="1" t="str">
        <f t="shared" si="245"/>
        <v>16980</v>
      </c>
      <c r="B6760" s="1" t="str">
        <f>"46355"</f>
        <v>46355</v>
      </c>
      <c r="C6760" s="2">
        <v>0</v>
      </c>
      <c r="D6760" s="2">
        <v>0</v>
      </c>
      <c r="E6760" s="2">
        <v>2.6752202375060499E-6</v>
      </c>
      <c r="F6760" s="2">
        <v>2.0690726809367801E-7</v>
      </c>
    </row>
    <row r="6761" spans="1:6" x14ac:dyDescent="0.25">
      <c r="A6761" s="1" t="str">
        <f t="shared" si="245"/>
        <v>16980</v>
      </c>
      <c r="B6761" s="1" t="str">
        <f>"60697"</f>
        <v>60697</v>
      </c>
      <c r="C6761" s="2">
        <v>0</v>
      </c>
      <c r="D6761" s="2">
        <v>0</v>
      </c>
      <c r="E6761" s="2">
        <v>2.6752202375060499E-6</v>
      </c>
      <c r="F6761" s="2">
        <v>2.0690726809367801E-7</v>
      </c>
    </row>
    <row r="6762" spans="1:6" x14ac:dyDescent="0.25">
      <c r="A6762" s="1" t="str">
        <f t="shared" si="245"/>
        <v>16980</v>
      </c>
      <c r="B6762" s="1" t="str">
        <f>"60055"</f>
        <v>60055</v>
      </c>
      <c r="C6762" s="2">
        <v>0</v>
      </c>
      <c r="D6762" s="2">
        <v>0</v>
      </c>
      <c r="E6762" s="2">
        <v>2.6752202375060499E-6</v>
      </c>
      <c r="F6762" s="2">
        <v>2.0690726809367801E-7</v>
      </c>
    </row>
    <row r="6763" spans="1:6" x14ac:dyDescent="0.25">
      <c r="A6763" s="1" t="str">
        <f t="shared" si="245"/>
        <v>16980</v>
      </c>
      <c r="B6763" s="1" t="str">
        <f>"60129"</f>
        <v>60129</v>
      </c>
      <c r="C6763" s="2">
        <v>1.5785911468661999E-5</v>
      </c>
      <c r="D6763" s="2">
        <v>9.8757141375785702E-6</v>
      </c>
      <c r="E6763" s="2">
        <v>2.6752202375060499E-6</v>
      </c>
      <c r="F6763" s="2">
        <v>1.42766014984638E-5</v>
      </c>
    </row>
    <row r="6764" spans="1:6" x14ac:dyDescent="0.25">
      <c r="A6764" s="1" t="str">
        <f t="shared" si="245"/>
        <v>16980</v>
      </c>
      <c r="B6764" s="1" t="str">
        <f>"60006"</f>
        <v>60006</v>
      </c>
      <c r="C6764" s="2">
        <v>2.4172176936388599E-4</v>
      </c>
      <c r="D6764" s="2">
        <v>8.8140748677888701E-4</v>
      </c>
      <c r="E6764" s="2">
        <v>5.3504404750120999E-6</v>
      </c>
      <c r="F6764" s="2">
        <v>2.7704883197743498E-4</v>
      </c>
    </row>
    <row r="6765" spans="1:6" x14ac:dyDescent="0.25">
      <c r="A6765" s="1" t="str">
        <f t="shared" si="245"/>
        <v>16980</v>
      </c>
      <c r="B6765" s="1" t="str">
        <f>"60961"</f>
        <v>60961</v>
      </c>
      <c r="C6765" s="2">
        <v>2.7132035336762801E-6</v>
      </c>
      <c r="D6765" s="2">
        <v>0</v>
      </c>
      <c r="E6765" s="2">
        <v>0</v>
      </c>
      <c r="F6765" s="2">
        <v>2.27597994903046E-6</v>
      </c>
    </row>
    <row r="6766" spans="1:6" x14ac:dyDescent="0.25">
      <c r="A6766" s="1" t="str">
        <f t="shared" si="245"/>
        <v>16980</v>
      </c>
      <c r="B6766" s="1" t="str">
        <f>"60531"</f>
        <v>60531</v>
      </c>
      <c r="C6766" s="2">
        <v>2.17056282694102E-5</v>
      </c>
      <c r="D6766" s="2">
        <v>7.4067856031839302E-6</v>
      </c>
      <c r="E6766" s="2">
        <v>0</v>
      </c>
      <c r="F6766" s="2">
        <v>1.8828561396524699E-5</v>
      </c>
    </row>
    <row r="6767" spans="1:6" x14ac:dyDescent="0.25">
      <c r="A6767" s="1" t="str">
        <f t="shared" si="245"/>
        <v>16980</v>
      </c>
      <c r="B6767" s="1" t="str">
        <f>"60539"</f>
        <v>60539</v>
      </c>
      <c r="C6767" s="2">
        <v>3.3298407004208899E-5</v>
      </c>
      <c r="D6767" s="2">
        <v>2.56768567577042E-4</v>
      </c>
      <c r="E6767" s="2">
        <v>3.2102642850072598E-5</v>
      </c>
      <c r="F6767" s="2">
        <v>5.19337242915133E-5</v>
      </c>
    </row>
    <row r="6768" spans="1:6" x14ac:dyDescent="0.25">
      <c r="A6768" s="1" t="str">
        <f t="shared" si="245"/>
        <v>16980</v>
      </c>
      <c r="B6768" s="1" t="str">
        <f>"60563"</f>
        <v>60563</v>
      </c>
      <c r="C6768" s="2">
        <v>4.2703357071397696E-3</v>
      </c>
      <c r="D6768" s="2">
        <v>7.4611020309406102E-3</v>
      </c>
      <c r="E6768" s="2">
        <v>5.0213883857988598E-3</v>
      </c>
      <c r="F6768" s="2">
        <v>4.5958242388967801E-3</v>
      </c>
    </row>
    <row r="6769" spans="1:6" x14ac:dyDescent="0.25">
      <c r="A6769" s="1" t="str">
        <f t="shared" si="245"/>
        <v>16980</v>
      </c>
      <c r="B6769" s="1" t="str">
        <f>"60560"</f>
        <v>60560</v>
      </c>
      <c r="C6769" s="2">
        <v>2.99266349764493E-3</v>
      </c>
      <c r="D6769" s="2">
        <v>2.82939210041626E-3</v>
      </c>
      <c r="E6769" s="2">
        <v>1.72284183295389E-3</v>
      </c>
      <c r="F6769" s="2">
        <v>2.88076989366828E-3</v>
      </c>
    </row>
    <row r="6770" spans="1:6" x14ac:dyDescent="0.25">
      <c r="A6770" s="1" t="str">
        <f t="shared" si="245"/>
        <v>16980</v>
      </c>
      <c r="B6770" s="1" t="str">
        <f>"61360"</f>
        <v>61360</v>
      </c>
      <c r="C6770" s="2">
        <v>1.6032566335359798E-5</v>
      </c>
      <c r="D6770" s="2">
        <v>0</v>
      </c>
      <c r="E6770" s="2">
        <v>0</v>
      </c>
      <c r="F6770" s="2">
        <v>1.34489724260891E-5</v>
      </c>
    </row>
    <row r="6771" spans="1:6" x14ac:dyDescent="0.25">
      <c r="A6771" s="1" t="str">
        <f t="shared" ref="A6771:A6825" si="246">"16980"</f>
        <v>16980</v>
      </c>
      <c r="B6771" s="1" t="str">
        <f>"60302"</f>
        <v>60302</v>
      </c>
      <c r="C6771" s="2">
        <v>3.9913690529045E-3</v>
      </c>
      <c r="D6771" s="2">
        <v>2.6417535318022599E-3</v>
      </c>
      <c r="E6771" s="2">
        <v>1.08961720273621E-2</v>
      </c>
      <c r="F6771" s="2">
        <v>4.4122974920976898E-3</v>
      </c>
    </row>
    <row r="6772" spans="1:6" x14ac:dyDescent="0.25">
      <c r="A6772" s="1" t="str">
        <f t="shared" si="246"/>
        <v>16980</v>
      </c>
      <c r="B6772" s="1" t="str">
        <f>"60305"</f>
        <v>60305</v>
      </c>
      <c r="C6772" s="2">
        <v>1.3514220146374799E-3</v>
      </c>
      <c r="D6772" s="2">
        <v>1.2838428378852101E-3</v>
      </c>
      <c r="E6772" s="2">
        <v>1.5676790591785401E-3</v>
      </c>
      <c r="F6772" s="2">
        <v>1.3624843603968701E-3</v>
      </c>
    </row>
    <row r="6773" spans="1:6" x14ac:dyDescent="0.25">
      <c r="A6773" s="1" t="str">
        <f t="shared" si="246"/>
        <v>16980</v>
      </c>
      <c r="B6773" s="1" t="str">
        <f>"60410"</f>
        <v>60410</v>
      </c>
      <c r="C6773" s="2">
        <v>1.48264240372073E-3</v>
      </c>
      <c r="D6773" s="2">
        <v>1.34062819417629E-3</v>
      </c>
      <c r="E6773" s="2">
        <v>4.28035238000968E-4</v>
      </c>
      <c r="F6773" s="2">
        <v>1.3891753979809499E-3</v>
      </c>
    </row>
    <row r="6774" spans="1:6" x14ac:dyDescent="0.25">
      <c r="A6774" s="1" t="str">
        <f t="shared" si="246"/>
        <v>16980</v>
      </c>
      <c r="B6774" s="1" t="str">
        <f>"60415"</f>
        <v>60415</v>
      </c>
      <c r="C6774" s="2">
        <v>1.6017767043357901E-3</v>
      </c>
      <c r="D6774" s="2">
        <v>1.7010917601978999E-3</v>
      </c>
      <c r="E6774" s="2">
        <v>3.0069475469568E-3</v>
      </c>
      <c r="F6774" s="2">
        <v>1.7187786760541801E-3</v>
      </c>
    </row>
    <row r="6775" spans="1:6" x14ac:dyDescent="0.25">
      <c r="A6775" s="1" t="str">
        <f t="shared" si="246"/>
        <v>16980</v>
      </c>
      <c r="B6775" s="1" t="str">
        <f>"60190"</f>
        <v>60190</v>
      </c>
      <c r="C6775" s="2">
        <v>1.2095954662862201E-3</v>
      </c>
      <c r="D6775" s="2">
        <v>8.2955998755659998E-4</v>
      </c>
      <c r="E6775" s="2">
        <v>4.3873611895099202E-4</v>
      </c>
      <c r="F6775" s="2">
        <v>1.11812687677823E-3</v>
      </c>
    </row>
    <row r="6776" spans="1:6" x14ac:dyDescent="0.25">
      <c r="A6776" s="1" t="str">
        <f t="shared" si="246"/>
        <v>16980</v>
      </c>
      <c r="B6776" s="1" t="str">
        <f>"60407"</f>
        <v>60407</v>
      </c>
      <c r="C6776" s="2">
        <v>1.7734484915574899E-4</v>
      </c>
      <c r="D6776" s="2">
        <v>6.4192141894260703E-5</v>
      </c>
      <c r="E6776" s="2">
        <v>3.2102642850072598E-5</v>
      </c>
      <c r="F6776" s="2">
        <v>1.56628801946914E-4</v>
      </c>
    </row>
    <row r="6777" spans="1:6" x14ac:dyDescent="0.25">
      <c r="A6777" s="1" t="str">
        <f t="shared" si="246"/>
        <v>16980</v>
      </c>
      <c r="B6777" s="1" t="str">
        <f>"60403"</f>
        <v>60403</v>
      </c>
      <c r="C6777" s="2">
        <v>1.92440126997657E-3</v>
      </c>
      <c r="D6777" s="2">
        <v>1.5603628337374101E-3</v>
      </c>
      <c r="E6777" s="2">
        <v>2.2097319161799899E-3</v>
      </c>
      <c r="F6777" s="2">
        <v>1.9159613025474601E-3</v>
      </c>
    </row>
    <row r="6778" spans="1:6" x14ac:dyDescent="0.25">
      <c r="A6778" s="1" t="str">
        <f t="shared" si="246"/>
        <v>16980</v>
      </c>
      <c r="B6778" s="1" t="str">
        <f>"60433"</f>
        <v>60433</v>
      </c>
      <c r="C6778" s="2">
        <v>1.54307284606171E-3</v>
      </c>
      <c r="D6778" s="2">
        <v>1.18261676797503E-3</v>
      </c>
      <c r="E6778" s="2">
        <v>9.4167752360213E-4</v>
      </c>
      <c r="F6778" s="2">
        <v>1.4663518089798901E-3</v>
      </c>
    </row>
    <row r="6779" spans="1:6" x14ac:dyDescent="0.25">
      <c r="A6779" s="1" t="str">
        <f t="shared" si="246"/>
        <v>16980</v>
      </c>
      <c r="B6779" s="1" t="str">
        <f>"60425"</f>
        <v>60425</v>
      </c>
      <c r="C6779" s="2">
        <v>9.7182017478950403E-4</v>
      </c>
      <c r="D6779" s="2">
        <v>8.8387641531328205E-4</v>
      </c>
      <c r="E6779" s="2">
        <v>5.3504404750121003E-4</v>
      </c>
      <c r="F6779" s="2">
        <v>9.3066889188536499E-4</v>
      </c>
    </row>
    <row r="6780" spans="1:6" x14ac:dyDescent="0.25">
      <c r="A6780" s="1" t="str">
        <f t="shared" si="246"/>
        <v>16980</v>
      </c>
      <c r="B6780" s="1" t="str">
        <f>"60142"</f>
        <v>60142</v>
      </c>
      <c r="C6780" s="2">
        <v>3.3623991428249999E-3</v>
      </c>
      <c r="D6780" s="2">
        <v>2.1306853251825699E-3</v>
      </c>
      <c r="E6780" s="2">
        <v>6.7415549985152504E-4</v>
      </c>
      <c r="F6780" s="2">
        <v>3.0512614825774702E-3</v>
      </c>
    </row>
    <row r="6781" spans="1:6" x14ac:dyDescent="0.25">
      <c r="A6781" s="1" t="str">
        <f t="shared" si="246"/>
        <v>16980</v>
      </c>
      <c r="B6781" s="1" t="str">
        <f>"60174"</f>
        <v>60174</v>
      </c>
      <c r="C6781" s="2">
        <v>3.7903453365457601E-3</v>
      </c>
      <c r="D6781" s="2">
        <v>7.1129831075909603E-3</v>
      </c>
      <c r="E6781" s="2">
        <v>2.5147070232556801E-3</v>
      </c>
      <c r="F6781" s="2">
        <v>3.9701366601814997E-3</v>
      </c>
    </row>
    <row r="6782" spans="1:6" x14ac:dyDescent="0.25">
      <c r="A6782" s="1" t="str">
        <f t="shared" si="246"/>
        <v>16980</v>
      </c>
      <c r="B6782" s="1" t="str">
        <f>"60165"</f>
        <v>60165</v>
      </c>
      <c r="C6782" s="2">
        <v>3.23611185107571E-4</v>
      </c>
      <c r="D6782" s="2">
        <v>4.6415856446619199E-4</v>
      </c>
      <c r="E6782" s="2">
        <v>4.1465913681343802E-4</v>
      </c>
      <c r="F6782" s="2">
        <v>3.42431528695037E-4</v>
      </c>
    </row>
    <row r="6783" spans="1:6" x14ac:dyDescent="0.25">
      <c r="A6783" s="1" t="str">
        <f t="shared" si="246"/>
        <v>16980</v>
      </c>
      <c r="B6783" s="1" t="str">
        <f>"60136"</f>
        <v>60136</v>
      </c>
      <c r="C6783" s="2">
        <v>6.9606003382131497E-4</v>
      </c>
      <c r="D6783" s="2">
        <v>4.2465570791587801E-4</v>
      </c>
      <c r="E6783" s="2">
        <v>9.0957488075205702E-5</v>
      </c>
      <c r="F6783" s="2">
        <v>6.2651520778765797E-4</v>
      </c>
    </row>
    <row r="6784" spans="1:6" x14ac:dyDescent="0.25">
      <c r="A6784" s="1" t="str">
        <f t="shared" si="246"/>
        <v>16980</v>
      </c>
      <c r="B6784" s="1" t="str">
        <f>"60186"</f>
        <v>60186</v>
      </c>
      <c r="C6784" s="2">
        <v>3.7269550358044198E-4</v>
      </c>
      <c r="D6784" s="2">
        <v>4.1971785084708903E-4</v>
      </c>
      <c r="E6784" s="2">
        <v>5.3504404750120999E-6</v>
      </c>
      <c r="F6784" s="2">
        <v>3.4822493220166E-4</v>
      </c>
    </row>
    <row r="6785" spans="1:6" x14ac:dyDescent="0.25">
      <c r="A6785" s="1" t="str">
        <f t="shared" si="246"/>
        <v>16980</v>
      </c>
      <c r="B6785" s="1" t="str">
        <f>"60657"</f>
        <v>60657</v>
      </c>
      <c r="C6785" s="2">
        <v>1.10212794086597E-2</v>
      </c>
      <c r="D6785" s="2">
        <v>7.0092881091463896E-3</v>
      </c>
      <c r="E6785" s="2">
        <v>1.6294766466649301E-2</v>
      </c>
      <c r="F6785" s="2">
        <v>1.10929193643063E-2</v>
      </c>
    </row>
    <row r="6786" spans="1:6" x14ac:dyDescent="0.25">
      <c r="A6786" s="1" t="str">
        <f t="shared" si="246"/>
        <v>16980</v>
      </c>
      <c r="B6786" s="1" t="str">
        <f>"60803"</f>
        <v>60803</v>
      </c>
      <c r="C6786" s="2">
        <v>2.3417413044293199E-3</v>
      </c>
      <c r="D6786" s="2">
        <v>2.6417535318022599E-3</v>
      </c>
      <c r="E6786" s="2">
        <v>3.11128113621953E-3</v>
      </c>
      <c r="F6786" s="2">
        <v>2.4264015329345601E-3</v>
      </c>
    </row>
    <row r="6787" spans="1:6" x14ac:dyDescent="0.25">
      <c r="A6787" s="1" t="str">
        <f t="shared" si="246"/>
        <v>16980</v>
      </c>
      <c r="B6787" s="1" t="str">
        <f>"60706"</f>
        <v>60706</v>
      </c>
      <c r="C6787" s="2">
        <v>2.36295362296534E-3</v>
      </c>
      <c r="D6787" s="2">
        <v>1.87885461467432E-3</v>
      </c>
      <c r="E6787" s="2">
        <v>2.2418345590300699E-3</v>
      </c>
      <c r="F6787" s="2">
        <v>2.3130163500192299E-3</v>
      </c>
    </row>
    <row r="6788" spans="1:6" x14ac:dyDescent="0.25">
      <c r="A6788" s="1" t="str">
        <f t="shared" si="246"/>
        <v>16980</v>
      </c>
      <c r="B6788" s="1" t="str">
        <f>"60655"</f>
        <v>60655</v>
      </c>
      <c r="C6788" s="2">
        <v>2.7173966664101401E-3</v>
      </c>
      <c r="D6788" s="2">
        <v>1.0048539134986101E-3</v>
      </c>
      <c r="E6788" s="2">
        <v>9.1492532122707004E-4</v>
      </c>
      <c r="F6788" s="2">
        <v>2.43447091639022E-3</v>
      </c>
    </row>
    <row r="6789" spans="1:6" x14ac:dyDescent="0.25">
      <c r="A6789" s="1" t="str">
        <f t="shared" si="246"/>
        <v>16980</v>
      </c>
      <c r="B6789" s="1" t="str">
        <f>"60638"</f>
        <v>60638</v>
      </c>
      <c r="C6789" s="2">
        <v>5.11858179371365E-3</v>
      </c>
      <c r="D6789" s="2">
        <v>4.4020995768256398E-3</v>
      </c>
      <c r="E6789" s="2">
        <v>3.4430084456702802E-3</v>
      </c>
      <c r="F6789" s="2">
        <v>4.9289449405275996E-3</v>
      </c>
    </row>
    <row r="6790" spans="1:6" x14ac:dyDescent="0.25">
      <c r="A6790" s="1" t="str">
        <f t="shared" si="246"/>
        <v>16980</v>
      </c>
      <c r="B6790" s="1" t="str">
        <f>"60640"</f>
        <v>60640</v>
      </c>
      <c r="C6790" s="2">
        <v>9.5889545977453708E-3</v>
      </c>
      <c r="D6790" s="2">
        <v>6.1377563365050802E-3</v>
      </c>
      <c r="E6790" s="2">
        <v>1.54761490739725E-2</v>
      </c>
      <c r="F6790" s="2">
        <v>9.7550569688126601E-3</v>
      </c>
    </row>
    <row r="6791" spans="1:6" x14ac:dyDescent="0.25">
      <c r="A6791" s="1" t="str">
        <f t="shared" si="246"/>
        <v>16980</v>
      </c>
      <c r="B6791" s="1" t="str">
        <f>"60647"</f>
        <v>60647</v>
      </c>
      <c r="C6791" s="2">
        <v>8.43658306053305E-3</v>
      </c>
      <c r="D6791" s="2">
        <v>6.8537456114795298E-3</v>
      </c>
      <c r="E6791" s="2">
        <v>1.92080813052934E-2</v>
      </c>
      <c r="F6791" s="2">
        <v>9.1370249590168404E-3</v>
      </c>
    </row>
    <row r="6792" spans="1:6" x14ac:dyDescent="0.25">
      <c r="A6792" s="1" t="str">
        <f t="shared" si="246"/>
        <v>16980</v>
      </c>
      <c r="B6792" s="1" t="str">
        <f>"60099"</f>
        <v>60099</v>
      </c>
      <c r="C6792" s="2">
        <v>3.1443562406641098E-3</v>
      </c>
      <c r="D6792" s="2">
        <v>1.67887140338835E-3</v>
      </c>
      <c r="E6792" s="2">
        <v>2.4478265173180302E-3</v>
      </c>
      <c r="F6792" s="2">
        <v>2.9676709462676302E-3</v>
      </c>
    </row>
    <row r="6793" spans="1:6" x14ac:dyDescent="0.25">
      <c r="A6793" s="1" t="str">
        <f t="shared" si="246"/>
        <v>16980</v>
      </c>
      <c r="B6793" s="1" t="str">
        <f>"60074"</f>
        <v>60074</v>
      </c>
      <c r="C6793" s="2">
        <v>3.85225570808692E-3</v>
      </c>
      <c r="D6793" s="2">
        <v>2.3652335359500599E-3</v>
      </c>
      <c r="E6793" s="2">
        <v>5.7758004927755601E-3</v>
      </c>
      <c r="F6793" s="2">
        <v>3.8764076677350601E-3</v>
      </c>
    </row>
    <row r="6794" spans="1:6" x14ac:dyDescent="0.25">
      <c r="A6794" s="1" t="str">
        <f t="shared" si="246"/>
        <v>16980</v>
      </c>
      <c r="B6794" s="1" t="str">
        <f>"60081"</f>
        <v>60081</v>
      </c>
      <c r="C6794" s="2">
        <v>1.0107916437277599E-3</v>
      </c>
      <c r="D6794" s="2">
        <v>6.4439034747700095E-4</v>
      </c>
      <c r="E6794" s="2">
        <v>2.7554768446312302E-4</v>
      </c>
      <c r="F6794" s="2">
        <v>9.2322023023399299E-4</v>
      </c>
    </row>
    <row r="6795" spans="1:6" x14ac:dyDescent="0.25">
      <c r="A6795" s="1" t="str">
        <f t="shared" si="246"/>
        <v>16980</v>
      </c>
      <c r="B6795" s="1" t="str">
        <f>"60015"</f>
        <v>60015</v>
      </c>
      <c r="C6795" s="2">
        <v>2.7647544008161302E-3</v>
      </c>
      <c r="D6795" s="2">
        <v>4.2218677938148401E-3</v>
      </c>
      <c r="E6795" s="2">
        <v>1.3188835770904801E-3</v>
      </c>
      <c r="F6795" s="2">
        <v>2.7750402796724101E-3</v>
      </c>
    </row>
    <row r="6796" spans="1:6" x14ac:dyDescent="0.25">
      <c r="A6796" s="1" t="str">
        <f t="shared" si="246"/>
        <v>16980</v>
      </c>
      <c r="B6796" s="1" t="str">
        <f>"60033"</f>
        <v>60033</v>
      </c>
      <c r="C6796" s="2">
        <v>1.3674545809728401E-3</v>
      </c>
      <c r="D6796" s="2">
        <v>1.19989926771579E-3</v>
      </c>
      <c r="E6796" s="2">
        <v>1.22257564854026E-3</v>
      </c>
      <c r="F6796" s="2">
        <v>1.3422074481236901E-3</v>
      </c>
    </row>
    <row r="6797" spans="1:6" x14ac:dyDescent="0.25">
      <c r="A6797" s="1" t="str">
        <f t="shared" si="246"/>
        <v>16980</v>
      </c>
      <c r="B6797" s="1" t="str">
        <f>"60026"</f>
        <v>60026</v>
      </c>
      <c r="C6797" s="2">
        <v>1.43331143038117E-3</v>
      </c>
      <c r="D6797" s="2">
        <v>1.5183910486526999E-3</v>
      </c>
      <c r="E6797" s="2">
        <v>7.8651474982677899E-4</v>
      </c>
      <c r="F6797" s="2">
        <v>1.3904168415895101E-3</v>
      </c>
    </row>
    <row r="6798" spans="1:6" x14ac:dyDescent="0.25">
      <c r="A6798" s="1" t="str">
        <f t="shared" si="246"/>
        <v>16980</v>
      </c>
      <c r="B6798" s="1" t="str">
        <f>"60040"</f>
        <v>60040</v>
      </c>
      <c r="C6798" s="2">
        <v>5.9665812254208403E-4</v>
      </c>
      <c r="D6798" s="2">
        <v>6.6167284721776402E-4</v>
      </c>
      <c r="E6798" s="2">
        <v>6.3402719628893401E-4</v>
      </c>
      <c r="F6798" s="2">
        <v>6.0499685190591496E-4</v>
      </c>
    </row>
    <row r="6799" spans="1:6" x14ac:dyDescent="0.25">
      <c r="A6799" s="1" t="str">
        <f t="shared" si="246"/>
        <v>16980</v>
      </c>
      <c r="B6799" s="1" t="str">
        <f>"60070"</f>
        <v>60070</v>
      </c>
      <c r="C6799" s="2">
        <v>1.8501581551005201E-3</v>
      </c>
      <c r="D6799" s="2">
        <v>1.32334569443552E-3</v>
      </c>
      <c r="E6799" s="2">
        <v>1.7442435948539399E-3</v>
      </c>
      <c r="F6799" s="2">
        <v>1.79781725246597E-3</v>
      </c>
    </row>
    <row r="6800" spans="1:6" x14ac:dyDescent="0.25">
      <c r="A6800" s="1" t="str">
        <f t="shared" si="246"/>
        <v>16980</v>
      </c>
      <c r="B6800" s="1" t="str">
        <f>"60004"</f>
        <v>60004</v>
      </c>
      <c r="C6800" s="2">
        <v>5.3973017930822103E-3</v>
      </c>
      <c r="D6800" s="2">
        <v>4.1527377948517904E-3</v>
      </c>
      <c r="E6800" s="2">
        <v>4.08773652290924E-3</v>
      </c>
      <c r="F6800" s="2">
        <v>5.1917171710065798E-3</v>
      </c>
    </row>
    <row r="6801" spans="1:6" x14ac:dyDescent="0.25">
      <c r="A6801" s="1" t="str">
        <f t="shared" si="246"/>
        <v>16980</v>
      </c>
      <c r="B6801" s="1" t="str">
        <f>"60005"</f>
        <v>60005</v>
      </c>
      <c r="C6801" s="2">
        <v>3.4146899745649498E-3</v>
      </c>
      <c r="D6801" s="2">
        <v>5.2711624209325599E-3</v>
      </c>
      <c r="E6801" s="2">
        <v>2.74477596368121E-3</v>
      </c>
      <c r="F6801" s="2">
        <v>3.5184580939330002E-3</v>
      </c>
    </row>
    <row r="6802" spans="1:6" x14ac:dyDescent="0.25">
      <c r="A6802" s="1" t="str">
        <f t="shared" si="246"/>
        <v>16980</v>
      </c>
      <c r="B6802" s="1" t="str">
        <f>"60010"</f>
        <v>60010</v>
      </c>
      <c r="C6802" s="2">
        <v>4.5786542905120698E-3</v>
      </c>
      <c r="D6802" s="2">
        <v>5.2686934923981601E-3</v>
      </c>
      <c r="E6802" s="2">
        <v>1.9368594519543799E-3</v>
      </c>
      <c r="F6802" s="2">
        <v>4.4321605898346803E-3</v>
      </c>
    </row>
    <row r="6803" spans="1:6" x14ac:dyDescent="0.25">
      <c r="A6803" s="1" t="str">
        <f t="shared" si="246"/>
        <v>16980</v>
      </c>
      <c r="B6803" s="1" t="str">
        <f>"60118"</f>
        <v>60118</v>
      </c>
      <c r="C6803" s="2">
        <v>1.9118218717749801E-3</v>
      </c>
      <c r="D6803" s="2">
        <v>3.6071045887505699E-3</v>
      </c>
      <c r="E6803" s="2">
        <v>1.85125240435418E-3</v>
      </c>
      <c r="F6803" s="2">
        <v>2.0492095831997899E-3</v>
      </c>
    </row>
    <row r="6804" spans="1:6" x14ac:dyDescent="0.25">
      <c r="A6804" s="1" t="str">
        <f t="shared" si="246"/>
        <v>16980</v>
      </c>
      <c r="B6804" s="1" t="str">
        <f>"60505"</f>
        <v>60505</v>
      </c>
      <c r="C6804" s="2">
        <v>4.4121622554910301E-3</v>
      </c>
      <c r="D6804" s="2">
        <v>3.6737656591792202E-3</v>
      </c>
      <c r="E6804" s="2">
        <v>4.2830276002471896E-3</v>
      </c>
      <c r="F6804" s="2">
        <v>4.3402937628010899E-3</v>
      </c>
    </row>
    <row r="6805" spans="1:6" x14ac:dyDescent="0.25">
      <c r="A6805" s="1" t="str">
        <f t="shared" si="246"/>
        <v>16980</v>
      </c>
      <c r="B6805" s="1" t="str">
        <f>"60542"</f>
        <v>60542</v>
      </c>
      <c r="C6805" s="2">
        <v>1.9823651636505699E-3</v>
      </c>
      <c r="D6805" s="2">
        <v>1.9455156851029701E-3</v>
      </c>
      <c r="E6805" s="2">
        <v>9.0422444027704499E-4</v>
      </c>
      <c r="F6805" s="2">
        <v>1.8958912975423699E-3</v>
      </c>
    </row>
    <row r="6806" spans="1:6" x14ac:dyDescent="0.25">
      <c r="A6806" s="1" t="str">
        <f t="shared" si="246"/>
        <v>16980</v>
      </c>
      <c r="B6806" s="1" t="str">
        <f>"60548"</f>
        <v>60548</v>
      </c>
      <c r="C6806" s="2">
        <v>8.5219256444104999E-4</v>
      </c>
      <c r="D6806" s="2">
        <v>1.0962042692712201E-3</v>
      </c>
      <c r="E6806" s="2">
        <v>6.9823248198907898E-4</v>
      </c>
      <c r="F6806" s="2">
        <v>8.6073423526970198E-4</v>
      </c>
    </row>
    <row r="6807" spans="1:6" x14ac:dyDescent="0.25">
      <c r="A6807" s="1" t="str">
        <f t="shared" si="246"/>
        <v>16980</v>
      </c>
      <c r="B6807" s="1" t="str">
        <f>"60555"</f>
        <v>60555</v>
      </c>
      <c r="C6807" s="2">
        <v>1.82721925249762E-3</v>
      </c>
      <c r="D6807" s="2">
        <v>2.4812731770666101E-3</v>
      </c>
      <c r="E6807" s="2">
        <v>1.57302949965355E-3</v>
      </c>
      <c r="F6807" s="2">
        <v>1.8623723201112001E-3</v>
      </c>
    </row>
    <row r="6808" spans="1:6" x14ac:dyDescent="0.25">
      <c r="A6808" s="1" t="str">
        <f t="shared" si="246"/>
        <v>16980</v>
      </c>
      <c r="B6808" s="1" t="str">
        <f>"60556"</f>
        <v>60556</v>
      </c>
      <c r="C6808" s="2">
        <v>2.5997422949952702E-4</v>
      </c>
      <c r="D6808" s="2">
        <v>7.6536784566233893E-5</v>
      </c>
      <c r="E6808" s="2">
        <v>1.07008809500242E-4</v>
      </c>
      <c r="F6808" s="2">
        <v>2.3277067660538799E-4</v>
      </c>
    </row>
    <row r="6809" spans="1:6" x14ac:dyDescent="0.25">
      <c r="A6809" s="1" t="str">
        <f t="shared" si="246"/>
        <v>16980</v>
      </c>
      <c r="B6809" s="1" t="str">
        <f>"60518"</f>
        <v>60518</v>
      </c>
      <c r="C6809" s="2">
        <v>3.1571822937323998E-5</v>
      </c>
      <c r="D6809" s="2">
        <v>7.4067856031839302E-6</v>
      </c>
      <c r="E6809" s="2">
        <v>0</v>
      </c>
      <c r="F6809" s="2">
        <v>2.7104852120271801E-5</v>
      </c>
    </row>
    <row r="6810" spans="1:6" x14ac:dyDescent="0.25">
      <c r="A6810" s="1" t="str">
        <f t="shared" si="246"/>
        <v>16980</v>
      </c>
      <c r="B6810" s="1" t="str">
        <f>"60512"</f>
        <v>60512</v>
      </c>
      <c r="C6810" s="2">
        <v>1.09268105947144E-4</v>
      </c>
      <c r="D6810" s="2">
        <v>2.4689285343946398E-5</v>
      </c>
      <c r="E6810" s="2">
        <v>0</v>
      </c>
      <c r="F6810" s="2">
        <v>9.3728992446436306E-5</v>
      </c>
    </row>
    <row r="6811" spans="1:6" x14ac:dyDescent="0.25">
      <c r="A6811" s="1" t="str">
        <f t="shared" si="246"/>
        <v>16980</v>
      </c>
      <c r="B6811" s="1" t="str">
        <f>"60467"</f>
        <v>60467</v>
      </c>
      <c r="C6811" s="2">
        <v>2.5143997111178201E-3</v>
      </c>
      <c r="D6811" s="2">
        <v>1.92082639975903E-3</v>
      </c>
      <c r="E6811" s="2">
        <v>7.6778820816423698E-4</v>
      </c>
      <c r="F6811" s="2">
        <v>2.3295689314667199E-3</v>
      </c>
    </row>
    <row r="6812" spans="1:6" x14ac:dyDescent="0.25">
      <c r="A6812" s="1" t="str">
        <f t="shared" si="246"/>
        <v>16980</v>
      </c>
      <c r="B6812" s="1" t="str">
        <f>"60445"</f>
        <v>60445</v>
      </c>
      <c r="C6812" s="2">
        <v>1.5359198549274699E-3</v>
      </c>
      <c r="D6812" s="2">
        <v>1.07892176953045E-3</v>
      </c>
      <c r="E6812" s="2">
        <v>1.1342933807025599E-3</v>
      </c>
      <c r="F6812" s="2">
        <v>1.4665587162479899E-3</v>
      </c>
    </row>
    <row r="6813" spans="1:6" x14ac:dyDescent="0.25">
      <c r="A6813" s="1" t="str">
        <f t="shared" si="246"/>
        <v>16980</v>
      </c>
      <c r="B6813" s="1" t="str">
        <f>"60475"</f>
        <v>60475</v>
      </c>
      <c r="C6813" s="2">
        <v>1.11019355500699E-3</v>
      </c>
      <c r="D6813" s="2">
        <v>6.41921418942607E-4</v>
      </c>
      <c r="E6813" s="2">
        <v>6.3135197605142799E-4</v>
      </c>
      <c r="F6813" s="2">
        <v>1.03391561866411E-3</v>
      </c>
    </row>
    <row r="6814" spans="1:6" x14ac:dyDescent="0.25">
      <c r="A6814" s="1" t="str">
        <f t="shared" si="246"/>
        <v>16980</v>
      </c>
      <c r="B6814" s="1" t="str">
        <f>"60487"</f>
        <v>60487</v>
      </c>
      <c r="C6814" s="2">
        <v>2.3126360301589802E-3</v>
      </c>
      <c r="D6814" s="2">
        <v>1.26162248107566E-3</v>
      </c>
      <c r="E6814" s="2">
        <v>9.3900230336462398E-4</v>
      </c>
      <c r="F6814" s="2">
        <v>2.1183166107430801E-3</v>
      </c>
    </row>
    <row r="6815" spans="1:6" x14ac:dyDescent="0.25">
      <c r="A6815" s="1" t="str">
        <f t="shared" si="246"/>
        <v>16980</v>
      </c>
      <c r="B6815" s="1" t="str">
        <f>"60444"</f>
        <v>60444</v>
      </c>
      <c r="C6815" s="2">
        <v>1.97323893358275E-4</v>
      </c>
      <c r="D6815" s="2">
        <v>6.4192141894260703E-5</v>
      </c>
      <c r="E6815" s="2">
        <v>9.6307928550217806E-5</v>
      </c>
      <c r="F6815" s="2">
        <v>1.7835406509674999E-4</v>
      </c>
    </row>
    <row r="6816" spans="1:6" x14ac:dyDescent="0.25">
      <c r="A6816" s="1" t="str">
        <f t="shared" si="246"/>
        <v>16980</v>
      </c>
      <c r="B6816" s="1" t="str">
        <f>"60617"</f>
        <v>60617</v>
      </c>
      <c r="C6816" s="2">
        <v>7.2708921605190401E-3</v>
      </c>
      <c r="D6816" s="2">
        <v>4.6983710009529996E-3</v>
      </c>
      <c r="E6816" s="2">
        <v>6.8940425520530903E-3</v>
      </c>
      <c r="F6816" s="2">
        <v>7.0261570099251301E-3</v>
      </c>
    </row>
    <row r="6817" spans="1:6" x14ac:dyDescent="0.25">
      <c r="A6817" s="1" t="str">
        <f t="shared" si="246"/>
        <v>16980</v>
      </c>
      <c r="B6817" s="1" t="str">
        <f>"60625"</f>
        <v>60625</v>
      </c>
      <c r="C6817" s="2">
        <v>8.1053255745578406E-3</v>
      </c>
      <c r="D6817" s="2">
        <v>5.4267049185994197E-3</v>
      </c>
      <c r="E6817" s="2">
        <v>1.67201264844128E-2</v>
      </c>
      <c r="F6817" s="2">
        <v>8.54713233768176E-3</v>
      </c>
    </row>
    <row r="6818" spans="1:6" x14ac:dyDescent="0.25">
      <c r="A6818" s="1" t="str">
        <f t="shared" si="246"/>
        <v>16980</v>
      </c>
      <c r="B6818" s="1" t="str">
        <f>"46356"</f>
        <v>46356</v>
      </c>
      <c r="C6818" s="2">
        <v>1.9285944027104399E-3</v>
      </c>
      <c r="D6818" s="2">
        <v>9.5300641427633205E-4</v>
      </c>
      <c r="E6818" s="2">
        <v>3.5312907135079798E-4</v>
      </c>
      <c r="F6818" s="2">
        <v>1.7249858940969901E-3</v>
      </c>
    </row>
    <row r="6819" spans="1:6" x14ac:dyDescent="0.25">
      <c r="A6819" s="1" t="str">
        <f t="shared" si="246"/>
        <v>16980</v>
      </c>
      <c r="B6819" s="1" t="str">
        <f>"46404"</f>
        <v>46404</v>
      </c>
      <c r="C6819" s="2">
        <v>2.1974482074110899E-3</v>
      </c>
      <c r="D6819" s="2">
        <v>1.1603964111654801E-3</v>
      </c>
      <c r="E6819" s="2">
        <v>8.3466871410188797E-4</v>
      </c>
      <c r="F6819" s="2">
        <v>2.00513833509583E-3</v>
      </c>
    </row>
    <row r="6820" spans="1:6" x14ac:dyDescent="0.25">
      <c r="A6820" s="1" t="str">
        <f t="shared" si="246"/>
        <v>16980</v>
      </c>
      <c r="B6820" s="1" t="str">
        <f>"46406"</f>
        <v>46406</v>
      </c>
      <c r="C6820" s="2">
        <v>1.2280945812885599E-3</v>
      </c>
      <c r="D6820" s="2">
        <v>1.07645284099606E-3</v>
      </c>
      <c r="E6820" s="2">
        <v>3.1835120826322001E-4</v>
      </c>
      <c r="F6820" s="2">
        <v>1.1450248216304101E-3</v>
      </c>
    </row>
    <row r="6821" spans="1:6" x14ac:dyDescent="0.25">
      <c r="A6821" s="1" t="str">
        <f t="shared" si="246"/>
        <v>16980</v>
      </c>
      <c r="B6821" s="1" t="str">
        <f>"46323"</f>
        <v>46323</v>
      </c>
      <c r="C6821" s="2">
        <v>2.3118960655588898E-3</v>
      </c>
      <c r="D6821" s="2">
        <v>1.3776621221922099E-3</v>
      </c>
      <c r="E6821" s="2">
        <v>1.07811375571493E-3</v>
      </c>
      <c r="F6821" s="2">
        <v>2.1381797084800698E-3</v>
      </c>
    </row>
    <row r="6822" spans="1:6" x14ac:dyDescent="0.25">
      <c r="A6822" s="1" t="str">
        <f t="shared" si="246"/>
        <v>16980</v>
      </c>
      <c r="B6822" s="1" t="str">
        <f>"46368"</f>
        <v>46368</v>
      </c>
      <c r="C6822" s="2">
        <v>4.6168857948502397E-3</v>
      </c>
      <c r="D6822" s="2">
        <v>3.39971459186142E-3</v>
      </c>
      <c r="E6822" s="2">
        <v>1.7843718984165301E-3</v>
      </c>
      <c r="F6822" s="2">
        <v>4.29580870016095E-3</v>
      </c>
    </row>
    <row r="6823" spans="1:6" x14ac:dyDescent="0.25">
      <c r="A6823" s="1" t="str">
        <f t="shared" si="246"/>
        <v>16980</v>
      </c>
      <c r="B6823" s="1" t="str">
        <f>"46312"</f>
        <v>46312</v>
      </c>
      <c r="C6823" s="2">
        <v>2.8039725246210801E-3</v>
      </c>
      <c r="D6823" s="2">
        <v>2.2022842526800198E-3</v>
      </c>
      <c r="E6823" s="2">
        <v>4.0208560169715897E-3</v>
      </c>
      <c r="F6823" s="2">
        <v>2.8476647307732902E-3</v>
      </c>
    </row>
    <row r="6824" spans="1:6" x14ac:dyDescent="0.25">
      <c r="A6824" s="1" t="str">
        <f t="shared" si="246"/>
        <v>16980</v>
      </c>
      <c r="B6824" s="1" t="str">
        <f>"53143"</f>
        <v>53143</v>
      </c>
      <c r="C6824" s="2">
        <v>2.3128826850256799E-3</v>
      </c>
      <c r="D6824" s="2">
        <v>1.35297283684826E-3</v>
      </c>
      <c r="E6824" s="2">
        <v>1.31353313661547E-3</v>
      </c>
      <c r="F6824" s="2">
        <v>2.1551461044637499E-3</v>
      </c>
    </row>
    <row r="6825" spans="1:6" x14ac:dyDescent="0.25">
      <c r="A6825" s="1" t="str">
        <f t="shared" si="246"/>
        <v>16980</v>
      </c>
      <c r="B6825" s="1" t="str">
        <f>"53171"</f>
        <v>53171</v>
      </c>
      <c r="C6825" s="2">
        <v>1.4157989348456199E-4</v>
      </c>
      <c r="D6825" s="2">
        <v>2.12327853957939E-4</v>
      </c>
      <c r="E6825" s="2">
        <v>5.3504404750120999E-6</v>
      </c>
      <c r="F6825" s="2">
        <v>1.3697261147801499E-4</v>
      </c>
    </row>
    <row r="6826" spans="1:6" x14ac:dyDescent="0.25">
      <c r="A6826" s="1" t="str">
        <f t="shared" ref="A6826:A6889" si="247">"16984"</f>
        <v>16984</v>
      </c>
      <c r="B6826" s="1" t="str">
        <f>"60072"</f>
        <v>60072</v>
      </c>
      <c r="C6826" s="2">
        <v>4.3422880963408897E-5</v>
      </c>
      <c r="D6826" s="2">
        <v>0</v>
      </c>
      <c r="E6826" s="2">
        <v>0</v>
      </c>
      <c r="F6826" s="2">
        <v>3.1965562434070999E-5</v>
      </c>
    </row>
    <row r="6827" spans="1:6" x14ac:dyDescent="0.25">
      <c r="A6827" s="1" t="str">
        <f t="shared" si="247"/>
        <v>16984</v>
      </c>
      <c r="B6827" s="1" t="str">
        <f>"60453"</f>
        <v>60453</v>
      </c>
      <c r="C6827" s="2">
        <v>5.7897174617878599E-5</v>
      </c>
      <c r="D6827" s="2">
        <v>2.92397660818713E-3</v>
      </c>
      <c r="E6827" s="2">
        <v>8.9409450578926096E-4</v>
      </c>
      <c r="F6827" s="2">
        <v>3.3031081181873301E-4</v>
      </c>
    </row>
    <row r="6828" spans="1:6" x14ac:dyDescent="0.25">
      <c r="A6828" s="1" t="str">
        <f t="shared" si="247"/>
        <v>16984</v>
      </c>
      <c r="B6828" s="1" t="str">
        <f>"60619"</f>
        <v>60619</v>
      </c>
      <c r="C6828" s="2">
        <v>1.04214914312181E-3</v>
      </c>
      <c r="D6828" s="2">
        <v>0</v>
      </c>
      <c r="E6828" s="2">
        <v>1.74348428628906E-3</v>
      </c>
      <c r="F6828" s="2">
        <v>1.1827258100606201E-3</v>
      </c>
    </row>
    <row r="6829" spans="1:6" x14ac:dyDescent="0.25">
      <c r="A6829" s="1" t="str">
        <f t="shared" si="247"/>
        <v>16984</v>
      </c>
      <c r="B6829" s="1" t="str">
        <f>"60451"</f>
        <v>60451</v>
      </c>
      <c r="C6829" s="2">
        <v>7.3818897637795199E-4</v>
      </c>
      <c r="D6829" s="2">
        <v>5.0125313283208E-3</v>
      </c>
      <c r="E6829" s="2">
        <v>1.78818901157852E-4</v>
      </c>
      <c r="F6829" s="2">
        <v>7.1389756102758605E-4</v>
      </c>
    </row>
    <row r="6830" spans="1:6" x14ac:dyDescent="0.25">
      <c r="A6830" s="1" t="str">
        <f t="shared" si="247"/>
        <v>16984</v>
      </c>
      <c r="B6830" s="1" t="str">
        <f>"60014"</f>
        <v>60014</v>
      </c>
      <c r="C6830" s="2">
        <v>0</v>
      </c>
      <c r="D6830" s="2">
        <v>1.0860484544694999E-2</v>
      </c>
      <c r="E6830" s="2">
        <v>2.23523626447315E-4</v>
      </c>
      <c r="F6830" s="2">
        <v>3.3031081181873301E-4</v>
      </c>
    </row>
    <row r="6831" spans="1:6" x14ac:dyDescent="0.25">
      <c r="A6831" s="1" t="str">
        <f t="shared" si="247"/>
        <v>16984</v>
      </c>
      <c r="B6831" s="1" t="str">
        <f>"60501"</f>
        <v>60501</v>
      </c>
      <c r="C6831" s="2">
        <v>4.6317739694302901E-4</v>
      </c>
      <c r="D6831" s="2">
        <v>1.67084377610693E-3</v>
      </c>
      <c r="E6831" s="2">
        <v>5.3645670347355701E-4</v>
      </c>
      <c r="F6831" s="2">
        <v>5.1144899894513599E-4</v>
      </c>
    </row>
    <row r="6832" spans="1:6" x14ac:dyDescent="0.25">
      <c r="A6832" s="1" t="str">
        <f t="shared" si="247"/>
        <v>16984</v>
      </c>
      <c r="B6832" s="1" t="str">
        <f>"60622"</f>
        <v>60622</v>
      </c>
      <c r="C6832" s="2">
        <v>3.8646364057433901E-3</v>
      </c>
      <c r="D6832" s="2">
        <v>1.9632414369256401E-2</v>
      </c>
      <c r="E6832" s="2">
        <v>2.5481693414993898E-3</v>
      </c>
      <c r="F6832" s="2">
        <v>3.9530745543467803E-3</v>
      </c>
    </row>
    <row r="6833" spans="1:6" x14ac:dyDescent="0.25">
      <c r="A6833" s="1" t="str">
        <f t="shared" si="247"/>
        <v>16984</v>
      </c>
      <c r="B6833" s="1" t="str">
        <f>"60657"</f>
        <v>60657</v>
      </c>
      <c r="C6833" s="2">
        <v>1.0580708661417301E-2</v>
      </c>
      <c r="D6833" s="2">
        <v>8.3542188805346695E-3</v>
      </c>
      <c r="E6833" s="2">
        <v>8.5833072555769104E-3</v>
      </c>
      <c r="F6833" s="2">
        <v>1.0047841791776301E-2</v>
      </c>
    </row>
    <row r="6834" spans="1:6" x14ac:dyDescent="0.25">
      <c r="A6834" s="1" t="str">
        <f t="shared" si="247"/>
        <v>16984</v>
      </c>
      <c r="B6834" s="1" t="str">
        <f>"60656"</f>
        <v>60656</v>
      </c>
      <c r="C6834" s="2">
        <v>7.5555812876331599E-3</v>
      </c>
      <c r="D6834" s="2">
        <v>6.6833751044277304E-3</v>
      </c>
      <c r="E6834" s="2">
        <v>8.1809647279717408E-3</v>
      </c>
      <c r="F6834" s="2">
        <v>7.6823901716550702E-3</v>
      </c>
    </row>
    <row r="6835" spans="1:6" x14ac:dyDescent="0.25">
      <c r="A6835" s="1" t="str">
        <f t="shared" si="247"/>
        <v>16984</v>
      </c>
      <c r="B6835" s="1" t="str">
        <f>"60637"</f>
        <v>60637</v>
      </c>
      <c r="C6835" s="2">
        <v>3.1119731357109699E-3</v>
      </c>
      <c r="D6835" s="2">
        <v>1.2531328320802E-3</v>
      </c>
      <c r="E6835" s="2">
        <v>2.5928740667888498E-3</v>
      </c>
      <c r="F6835" s="2">
        <v>2.94083174393453E-3</v>
      </c>
    </row>
    <row r="6836" spans="1:6" x14ac:dyDescent="0.25">
      <c r="A6836" s="1" t="str">
        <f t="shared" si="247"/>
        <v>16984</v>
      </c>
      <c r="B6836" s="1" t="str">
        <f>"60638"</f>
        <v>60638</v>
      </c>
      <c r="C6836" s="2">
        <v>9.6688281611857305E-3</v>
      </c>
      <c r="D6836" s="2">
        <v>2.9657477025898001E-2</v>
      </c>
      <c r="E6836" s="2">
        <v>1.10420671464973E-2</v>
      </c>
      <c r="F6836" s="2">
        <v>1.0506014853331301E-2</v>
      </c>
    </row>
    <row r="6837" spans="1:6" x14ac:dyDescent="0.25">
      <c r="A6837" s="1" t="str">
        <f t="shared" si="247"/>
        <v>16984</v>
      </c>
      <c r="B6837" s="1" t="str">
        <f>"60016"</f>
        <v>60016</v>
      </c>
      <c r="C6837" s="2">
        <v>1.63559518295507E-3</v>
      </c>
      <c r="D6837" s="2">
        <v>0</v>
      </c>
      <c r="E6837" s="2">
        <v>8.9409450578926096E-5</v>
      </c>
      <c r="F6837" s="2">
        <v>1.2253465599727201E-3</v>
      </c>
    </row>
    <row r="6838" spans="1:6" x14ac:dyDescent="0.25">
      <c r="A6838" s="1" t="str">
        <f t="shared" si="247"/>
        <v>16984</v>
      </c>
      <c r="B6838" s="1" t="str">
        <f>"60439"</f>
        <v>60439</v>
      </c>
      <c r="C6838" s="2">
        <v>5.7897174617878599E-5</v>
      </c>
      <c r="D6838" s="2">
        <v>4.1771094402673299E-4</v>
      </c>
      <c r="E6838" s="2">
        <v>1.3411417586838901E-4</v>
      </c>
      <c r="F6838" s="2">
        <v>8.5241499824189395E-5</v>
      </c>
    </row>
    <row r="6839" spans="1:6" x14ac:dyDescent="0.25">
      <c r="A6839" s="1" t="str">
        <f t="shared" si="247"/>
        <v>16984</v>
      </c>
      <c r="B6839" s="1" t="str">
        <f>"60613"</f>
        <v>60613</v>
      </c>
      <c r="C6839" s="2">
        <v>5.47996757758221E-2</v>
      </c>
      <c r="D6839" s="2">
        <v>3.4252297410192097E-2</v>
      </c>
      <c r="E6839" s="2">
        <v>5.7713800348696803E-2</v>
      </c>
      <c r="F6839" s="2">
        <v>5.4970112199124101E-2</v>
      </c>
    </row>
    <row r="6840" spans="1:6" x14ac:dyDescent="0.25">
      <c r="A6840" s="1" t="str">
        <f t="shared" si="247"/>
        <v>16984</v>
      </c>
      <c r="B6840" s="1" t="str">
        <f>"60438"</f>
        <v>60438</v>
      </c>
      <c r="C6840" s="2">
        <v>0</v>
      </c>
      <c r="D6840" s="2">
        <v>0</v>
      </c>
      <c r="E6840" s="2">
        <v>8.9409450578926096E-5</v>
      </c>
      <c r="F6840" s="2">
        <v>2.1310374956047301E-5</v>
      </c>
    </row>
    <row r="6841" spans="1:6" x14ac:dyDescent="0.25">
      <c r="A6841" s="1" t="str">
        <f t="shared" si="247"/>
        <v>16984</v>
      </c>
      <c r="B6841" s="1" t="str">
        <f>"60152"</f>
        <v>60152</v>
      </c>
      <c r="C6841" s="2">
        <v>4.3422880963408897E-5</v>
      </c>
      <c r="D6841" s="2">
        <v>0</v>
      </c>
      <c r="E6841" s="2">
        <v>4.4704725289463001E-5</v>
      </c>
      <c r="F6841" s="2">
        <v>4.2620749912094697E-5</v>
      </c>
    </row>
    <row r="6842" spans="1:6" x14ac:dyDescent="0.25">
      <c r="A6842" s="1" t="str">
        <f t="shared" si="247"/>
        <v>16984</v>
      </c>
      <c r="B6842" s="1" t="str">
        <f>"60410"</f>
        <v>60410</v>
      </c>
      <c r="C6842" s="2">
        <v>2.89485873089393E-5</v>
      </c>
      <c r="D6842" s="2">
        <v>0</v>
      </c>
      <c r="E6842" s="2">
        <v>4.4704725289463001E-5</v>
      </c>
      <c r="F6842" s="2">
        <v>3.1965562434070999E-5</v>
      </c>
    </row>
    <row r="6843" spans="1:6" x14ac:dyDescent="0.25">
      <c r="A6843" s="1" t="str">
        <f t="shared" si="247"/>
        <v>16984</v>
      </c>
      <c r="B6843" s="1" t="str">
        <f>"60305"</f>
        <v>60305</v>
      </c>
      <c r="C6843" s="2">
        <v>0</v>
      </c>
      <c r="D6843" s="2">
        <v>0</v>
      </c>
      <c r="E6843" s="2">
        <v>1.78818901157852E-4</v>
      </c>
      <c r="F6843" s="2">
        <v>4.2620749912094697E-5</v>
      </c>
    </row>
    <row r="6844" spans="1:6" x14ac:dyDescent="0.25">
      <c r="A6844" s="1" t="str">
        <f t="shared" si="247"/>
        <v>16984</v>
      </c>
      <c r="B6844" s="1" t="str">
        <f>"60526"</f>
        <v>60526</v>
      </c>
      <c r="C6844" s="2">
        <v>0</v>
      </c>
      <c r="D6844" s="2">
        <v>0</v>
      </c>
      <c r="E6844" s="2">
        <v>2.6822835173677802E-4</v>
      </c>
      <c r="F6844" s="2">
        <v>6.3931124868141998E-5</v>
      </c>
    </row>
    <row r="6845" spans="1:6" x14ac:dyDescent="0.25">
      <c r="A6845" s="1" t="str">
        <f t="shared" si="247"/>
        <v>16984</v>
      </c>
      <c r="B6845" s="1" t="str">
        <f>"60185"</f>
        <v>60185</v>
      </c>
      <c r="C6845" s="2">
        <v>0</v>
      </c>
      <c r="D6845" s="2">
        <v>3.7593984962406E-3</v>
      </c>
      <c r="E6845" s="2">
        <v>4.4704725289463001E-5</v>
      </c>
      <c r="F6845" s="2">
        <v>1.06551874780236E-4</v>
      </c>
    </row>
    <row r="6846" spans="1:6" x14ac:dyDescent="0.25">
      <c r="A6846" s="1" t="str">
        <f t="shared" si="247"/>
        <v>16984</v>
      </c>
      <c r="B6846" s="1" t="str">
        <f>"60487"</f>
        <v>60487</v>
      </c>
      <c r="C6846" s="2">
        <v>0</v>
      </c>
      <c r="D6846" s="2">
        <v>1.67084377610693E-3</v>
      </c>
      <c r="E6846" s="2">
        <v>8.9409450578926096E-5</v>
      </c>
      <c r="F6846" s="2">
        <v>6.3931124868141998E-5</v>
      </c>
    </row>
    <row r="6847" spans="1:6" x14ac:dyDescent="0.25">
      <c r="A6847" s="1" t="str">
        <f t="shared" si="247"/>
        <v>16984</v>
      </c>
      <c r="B6847" s="1" t="str">
        <f>"60050"</f>
        <v>60050</v>
      </c>
      <c r="C6847" s="2">
        <v>3.7633163501621099E-4</v>
      </c>
      <c r="D6847" s="2">
        <v>4.1771094402673299E-4</v>
      </c>
      <c r="E6847" s="2">
        <v>4.4704725289463001E-5</v>
      </c>
      <c r="F6847" s="2">
        <v>2.98345249384662E-4</v>
      </c>
    </row>
    <row r="6848" spans="1:6" x14ac:dyDescent="0.25">
      <c r="A6848" s="1" t="str">
        <f t="shared" si="247"/>
        <v>16984</v>
      </c>
      <c r="B6848" s="1" t="str">
        <f>"60449"</f>
        <v>60449</v>
      </c>
      <c r="C6848" s="2">
        <v>1.4474293654469601E-5</v>
      </c>
      <c r="D6848" s="2">
        <v>0</v>
      </c>
      <c r="E6848" s="2">
        <v>1.78818901157852E-4</v>
      </c>
      <c r="F6848" s="2">
        <v>5.32759373901183E-5</v>
      </c>
    </row>
    <row r="6849" spans="1:6" x14ac:dyDescent="0.25">
      <c r="A6849" s="1" t="str">
        <f t="shared" si="247"/>
        <v>16984</v>
      </c>
      <c r="B6849" s="1" t="str">
        <f>"60097"</f>
        <v>60097</v>
      </c>
      <c r="C6849" s="2">
        <v>1.0132005558128699E-4</v>
      </c>
      <c r="D6849" s="2">
        <v>0</v>
      </c>
      <c r="E6849" s="2">
        <v>0</v>
      </c>
      <c r="F6849" s="2">
        <v>7.4586312346165703E-5</v>
      </c>
    </row>
    <row r="6850" spans="1:6" x14ac:dyDescent="0.25">
      <c r="A6850" s="1" t="str">
        <f t="shared" si="247"/>
        <v>16984</v>
      </c>
      <c r="B6850" s="1" t="str">
        <f>"60522"</f>
        <v>60522</v>
      </c>
      <c r="C6850" s="2">
        <v>0</v>
      </c>
      <c r="D6850" s="2">
        <v>4.1771094402673299E-4</v>
      </c>
      <c r="E6850" s="2">
        <v>0</v>
      </c>
      <c r="F6850" s="2">
        <v>1.06551874780236E-5</v>
      </c>
    </row>
    <row r="6851" spans="1:6" x14ac:dyDescent="0.25">
      <c r="A6851" s="1" t="str">
        <f t="shared" si="247"/>
        <v>16984</v>
      </c>
      <c r="B6851" s="1" t="str">
        <f>"60172"</f>
        <v>60172</v>
      </c>
      <c r="C6851" s="2">
        <v>2.3158869847151399E-4</v>
      </c>
      <c r="D6851" s="2">
        <v>5.0125313283208E-3</v>
      </c>
      <c r="E6851" s="2">
        <v>1.3411417586838901E-4</v>
      </c>
      <c r="F6851" s="2">
        <v>3.3031081181873301E-4</v>
      </c>
    </row>
    <row r="6852" spans="1:6" x14ac:dyDescent="0.25">
      <c r="A6852" s="1" t="str">
        <f t="shared" si="247"/>
        <v>16984</v>
      </c>
      <c r="B6852" s="1" t="str">
        <f>"60187"</f>
        <v>60187</v>
      </c>
      <c r="C6852" s="2">
        <v>7.2371468272348295E-5</v>
      </c>
      <c r="D6852" s="2">
        <v>2.5062656641604E-3</v>
      </c>
      <c r="E6852" s="2">
        <v>5.8116142876301995E-4</v>
      </c>
      <c r="F6852" s="2">
        <v>2.5572449947256799E-4</v>
      </c>
    </row>
    <row r="6853" spans="1:6" x14ac:dyDescent="0.25">
      <c r="A6853" s="1" t="str">
        <f t="shared" si="247"/>
        <v>16984</v>
      </c>
      <c r="B6853" s="1" t="str">
        <f>"60431"</f>
        <v>60431</v>
      </c>
      <c r="C6853" s="2">
        <v>4.3422880963408897E-5</v>
      </c>
      <c r="D6853" s="2">
        <v>0</v>
      </c>
      <c r="E6853" s="2">
        <v>8.9409450578926096E-5</v>
      </c>
      <c r="F6853" s="2">
        <v>5.32759373901183E-5</v>
      </c>
    </row>
    <row r="6854" spans="1:6" x14ac:dyDescent="0.25">
      <c r="A6854" s="1" t="str">
        <f t="shared" si="247"/>
        <v>16984</v>
      </c>
      <c r="B6854" s="1" t="str">
        <f>"60126"</f>
        <v>60126</v>
      </c>
      <c r="C6854" s="2">
        <v>3.2422417786011999E-3</v>
      </c>
      <c r="D6854" s="2">
        <v>1.67084377610693E-3</v>
      </c>
      <c r="E6854" s="2">
        <v>1.3411417586838901E-4</v>
      </c>
      <c r="F6854" s="2">
        <v>2.4613483074234599E-3</v>
      </c>
    </row>
    <row r="6855" spans="1:6" x14ac:dyDescent="0.25">
      <c r="A6855" s="1" t="str">
        <f t="shared" si="247"/>
        <v>16984</v>
      </c>
      <c r="B6855" s="1" t="str">
        <f>"60418"</f>
        <v>60418</v>
      </c>
      <c r="C6855" s="2">
        <v>0</v>
      </c>
      <c r="D6855" s="2">
        <v>0</v>
      </c>
      <c r="E6855" s="2">
        <v>8.9409450578926096E-5</v>
      </c>
      <c r="F6855" s="2">
        <v>2.1310374956047301E-5</v>
      </c>
    </row>
    <row r="6856" spans="1:6" x14ac:dyDescent="0.25">
      <c r="A6856" s="1" t="str">
        <f t="shared" si="247"/>
        <v>16984</v>
      </c>
      <c r="B6856" s="1" t="str">
        <f>"60196"</f>
        <v>60196</v>
      </c>
      <c r="C6856" s="2">
        <v>0</v>
      </c>
      <c r="D6856" s="2">
        <v>8.3542188805346695E-4</v>
      </c>
      <c r="E6856" s="2">
        <v>4.4704725289463001E-5</v>
      </c>
      <c r="F6856" s="2">
        <v>3.1965562434070999E-5</v>
      </c>
    </row>
    <row r="6857" spans="1:6" x14ac:dyDescent="0.25">
      <c r="A6857" s="1" t="str">
        <f t="shared" si="247"/>
        <v>16984</v>
      </c>
      <c r="B6857" s="1" t="str">
        <f>"60457"</f>
        <v>60457</v>
      </c>
      <c r="C6857" s="2">
        <v>0</v>
      </c>
      <c r="D6857" s="2">
        <v>0</v>
      </c>
      <c r="E6857" s="2">
        <v>4.4704725289463001E-5</v>
      </c>
      <c r="F6857" s="2">
        <v>1.06551874780236E-5</v>
      </c>
    </row>
    <row r="6858" spans="1:6" x14ac:dyDescent="0.25">
      <c r="A6858" s="1" t="str">
        <f t="shared" si="247"/>
        <v>16984</v>
      </c>
      <c r="B6858" s="1" t="str">
        <f>"60714"</f>
        <v>60714</v>
      </c>
      <c r="C6858" s="2">
        <v>4.3422880963408897E-5</v>
      </c>
      <c r="D6858" s="2">
        <v>2.5062656641604E-3</v>
      </c>
      <c r="E6858" s="2">
        <v>2.23523626447315E-4</v>
      </c>
      <c r="F6858" s="2">
        <v>1.49172624692331E-4</v>
      </c>
    </row>
    <row r="6859" spans="1:6" x14ac:dyDescent="0.25">
      <c r="A6859" s="1" t="str">
        <f t="shared" si="247"/>
        <v>16984</v>
      </c>
      <c r="B6859" s="1" t="str">
        <f>"60090"</f>
        <v>60090</v>
      </c>
      <c r="C6859" s="2">
        <v>9.00301065308012E-3</v>
      </c>
      <c r="D6859" s="2">
        <v>2.08855472013366E-3</v>
      </c>
      <c r="E6859" s="2">
        <v>8.9409450578926096E-5</v>
      </c>
      <c r="F6859" s="2">
        <v>6.7021129236768898E-3</v>
      </c>
    </row>
    <row r="6860" spans="1:6" x14ac:dyDescent="0.25">
      <c r="A6860" s="1" t="str">
        <f t="shared" si="247"/>
        <v>16984</v>
      </c>
      <c r="B6860" s="1" t="str">
        <f>"60555"</f>
        <v>60555</v>
      </c>
      <c r="C6860" s="2">
        <v>2.2579898100972598E-3</v>
      </c>
      <c r="D6860" s="2">
        <v>4.1771094402673299E-4</v>
      </c>
      <c r="E6860" s="2">
        <v>1.78818901157852E-4</v>
      </c>
      <c r="F6860" s="2">
        <v>1.7154851839618101E-3</v>
      </c>
    </row>
    <row r="6861" spans="1:6" x14ac:dyDescent="0.25">
      <c r="A6861" s="1" t="str">
        <f t="shared" si="247"/>
        <v>16984</v>
      </c>
      <c r="B6861" s="1" t="str">
        <f>"60604"</f>
        <v>60604</v>
      </c>
      <c r="C6861" s="2">
        <v>0</v>
      </c>
      <c r="D6861" s="2">
        <v>6.6833751044277304E-3</v>
      </c>
      <c r="E6861" s="2">
        <v>2.5481693414993898E-3</v>
      </c>
      <c r="F6861" s="2">
        <v>7.7782868589572796E-4</v>
      </c>
    </row>
    <row r="6862" spans="1:6" x14ac:dyDescent="0.25">
      <c r="A6862" s="1" t="str">
        <f t="shared" si="247"/>
        <v>16984</v>
      </c>
      <c r="B6862" s="1" t="str">
        <f>"60607"</f>
        <v>60607</v>
      </c>
      <c r="C6862" s="2">
        <v>9.3793422880963408E-3</v>
      </c>
      <c r="D6862" s="2">
        <v>2.3809523809523801E-2</v>
      </c>
      <c r="E6862" s="2">
        <v>1.87759846215745E-3</v>
      </c>
      <c r="F6862" s="2">
        <v>7.9594250460836794E-3</v>
      </c>
    </row>
    <row r="6863" spans="1:6" x14ac:dyDescent="0.25">
      <c r="A6863" s="1" t="str">
        <f t="shared" si="247"/>
        <v>16984</v>
      </c>
      <c r="B6863" s="1" t="str">
        <f>"60649"</f>
        <v>60649</v>
      </c>
      <c r="C6863" s="2">
        <v>6.6002779064381597E-3</v>
      </c>
      <c r="D6863" s="2">
        <v>2.08855472013366E-3</v>
      </c>
      <c r="E6863" s="2">
        <v>5.6327953864723501E-3</v>
      </c>
      <c r="F6863" s="2">
        <v>6.2545950495998901E-3</v>
      </c>
    </row>
    <row r="6864" spans="1:6" x14ac:dyDescent="0.25">
      <c r="A6864" s="1" t="str">
        <f t="shared" si="247"/>
        <v>16984</v>
      </c>
      <c r="B6864" s="1" t="str">
        <f>"60448"</f>
        <v>60448</v>
      </c>
      <c r="C6864" s="2">
        <v>1.7369152385363499E-4</v>
      </c>
      <c r="D6864" s="2">
        <v>5.0125313283208E-3</v>
      </c>
      <c r="E6864" s="2">
        <v>2.23523626447315E-4</v>
      </c>
      <c r="F6864" s="2">
        <v>3.0900043686268598E-4</v>
      </c>
    </row>
    <row r="6865" spans="1:6" x14ac:dyDescent="0.25">
      <c r="A6865" s="1" t="str">
        <f t="shared" si="247"/>
        <v>16984</v>
      </c>
      <c r="B6865" s="1" t="str">
        <f>"60610"</f>
        <v>60610</v>
      </c>
      <c r="C6865" s="2">
        <v>9.8280453913849007E-3</v>
      </c>
      <c r="D6865" s="2">
        <v>1.2531328320802E-3</v>
      </c>
      <c r="E6865" s="2">
        <v>9.8350395636818792E-4</v>
      </c>
      <c r="F6865" s="2">
        <v>7.5012519845286604E-3</v>
      </c>
    </row>
    <row r="6866" spans="1:6" x14ac:dyDescent="0.25">
      <c r="A6866" s="1" t="str">
        <f t="shared" si="247"/>
        <v>16984</v>
      </c>
      <c r="B6866" s="1" t="str">
        <f>"60605"</f>
        <v>60605</v>
      </c>
      <c r="C6866" s="2">
        <v>3.2813223714682697E-2</v>
      </c>
      <c r="D6866" s="2">
        <v>0</v>
      </c>
      <c r="E6866" s="2">
        <v>1.05056104430238E-2</v>
      </c>
      <c r="F6866" s="2">
        <v>2.66592790700152E-2</v>
      </c>
    </row>
    <row r="6867" spans="1:6" x14ac:dyDescent="0.25">
      <c r="A6867" s="1" t="str">
        <f t="shared" si="247"/>
        <v>16984</v>
      </c>
      <c r="B6867" s="1" t="str">
        <f>"60422"</f>
        <v>60422</v>
      </c>
      <c r="C6867" s="2">
        <v>0</v>
      </c>
      <c r="D6867" s="2">
        <v>0</v>
      </c>
      <c r="E6867" s="2">
        <v>4.4704725289463001E-5</v>
      </c>
      <c r="F6867" s="2">
        <v>1.06551874780236E-5</v>
      </c>
    </row>
    <row r="6868" spans="1:6" x14ac:dyDescent="0.25">
      <c r="A6868" s="1" t="str">
        <f t="shared" si="247"/>
        <v>16984</v>
      </c>
      <c r="B6868" s="1" t="str">
        <f>"60159"</f>
        <v>60159</v>
      </c>
      <c r="C6868" s="2">
        <v>7.4687355257063402E-3</v>
      </c>
      <c r="D6868" s="2">
        <v>7.4770258980785195E-2</v>
      </c>
      <c r="E6868" s="2">
        <v>8.9409450578926096E-5</v>
      </c>
      <c r="F6868" s="2">
        <v>7.4266656721824996E-3</v>
      </c>
    </row>
    <row r="6869" spans="1:6" x14ac:dyDescent="0.25">
      <c r="A6869" s="1" t="str">
        <f t="shared" si="247"/>
        <v>16984</v>
      </c>
      <c r="B6869" s="1" t="str">
        <f>"60611"</f>
        <v>60611</v>
      </c>
      <c r="C6869" s="2">
        <v>8.1056044465030105E-4</v>
      </c>
      <c r="D6869" s="2">
        <v>3.34168755221386E-3</v>
      </c>
      <c r="E6869" s="2">
        <v>3.4422638472886499E-3</v>
      </c>
      <c r="F6869" s="2">
        <v>1.5023814344013299E-3</v>
      </c>
    </row>
    <row r="6870" spans="1:6" x14ac:dyDescent="0.25">
      <c r="A6870" s="1" t="str">
        <f t="shared" si="247"/>
        <v>16984</v>
      </c>
      <c r="B6870" s="1" t="str">
        <f>"60053"</f>
        <v>60053</v>
      </c>
      <c r="C6870" s="2">
        <v>3.61857341361741E-4</v>
      </c>
      <c r="D6870" s="2">
        <v>0</v>
      </c>
      <c r="E6870" s="2">
        <v>0</v>
      </c>
      <c r="F6870" s="2">
        <v>2.6637968695059099E-4</v>
      </c>
    </row>
    <row r="6871" spans="1:6" x14ac:dyDescent="0.25">
      <c r="A6871" s="1" t="str">
        <f t="shared" si="247"/>
        <v>16984</v>
      </c>
      <c r="B6871" s="1" t="str">
        <f>"60106"</f>
        <v>60106</v>
      </c>
      <c r="C6871" s="2">
        <v>1.0132005558128699E-4</v>
      </c>
      <c r="D6871" s="2">
        <v>0</v>
      </c>
      <c r="E6871" s="2">
        <v>1.3411417586838901E-4</v>
      </c>
      <c r="F6871" s="2">
        <v>1.06551874780236E-4</v>
      </c>
    </row>
    <row r="6872" spans="1:6" x14ac:dyDescent="0.25">
      <c r="A6872" s="1" t="str">
        <f t="shared" si="247"/>
        <v>16984</v>
      </c>
      <c r="B6872" s="1" t="str">
        <f>"60465"</f>
        <v>60465</v>
      </c>
      <c r="C6872" s="2">
        <v>1.4474293654469601E-5</v>
      </c>
      <c r="D6872" s="2">
        <v>1.2531328320802E-3</v>
      </c>
      <c r="E6872" s="2">
        <v>1.78818901157852E-4</v>
      </c>
      <c r="F6872" s="2">
        <v>8.5241499824189395E-5</v>
      </c>
    </row>
    <row r="6873" spans="1:6" x14ac:dyDescent="0.25">
      <c r="A6873" s="1" t="str">
        <f t="shared" si="247"/>
        <v>16984</v>
      </c>
      <c r="B6873" s="1" t="str">
        <f>"60563"</f>
        <v>60563</v>
      </c>
      <c r="C6873" s="2">
        <v>1.4474293654469601E-5</v>
      </c>
      <c r="D6873" s="2">
        <v>7.1010860484544596E-3</v>
      </c>
      <c r="E6873" s="2">
        <v>4.4704725289462999E-4</v>
      </c>
      <c r="F6873" s="2">
        <v>2.98345249384662E-4</v>
      </c>
    </row>
    <row r="6874" spans="1:6" x14ac:dyDescent="0.25">
      <c r="A6874" s="1" t="str">
        <f t="shared" si="247"/>
        <v>16984</v>
      </c>
      <c r="B6874" s="1" t="str">
        <f>"60502"</f>
        <v>60502</v>
      </c>
      <c r="C6874" s="2">
        <v>1.4474293654469601E-5</v>
      </c>
      <c r="D6874" s="2">
        <v>6.2656641604010004E-3</v>
      </c>
      <c r="E6874" s="2">
        <v>3.1293307702624101E-4</v>
      </c>
      <c r="F6874" s="2">
        <v>2.4506931199454402E-4</v>
      </c>
    </row>
    <row r="6875" spans="1:6" x14ac:dyDescent="0.25">
      <c r="A6875" s="1" t="str">
        <f t="shared" si="247"/>
        <v>16984</v>
      </c>
      <c r="B6875" s="1" t="str">
        <f>"60462"</f>
        <v>60462</v>
      </c>
      <c r="C6875" s="2">
        <v>2.3158869847151399E-4</v>
      </c>
      <c r="D6875" s="2">
        <v>4.1771094402673299E-4</v>
      </c>
      <c r="E6875" s="2">
        <v>4.4704725289463001E-5</v>
      </c>
      <c r="F6875" s="2">
        <v>1.9179337460442601E-4</v>
      </c>
    </row>
    <row r="6876" spans="1:6" x14ac:dyDescent="0.25">
      <c r="A6876" s="1" t="str">
        <f t="shared" si="247"/>
        <v>16984</v>
      </c>
      <c r="B6876" s="1" t="str">
        <f>"60164"</f>
        <v>60164</v>
      </c>
      <c r="C6876" s="2">
        <v>1.4474293654469601E-5</v>
      </c>
      <c r="D6876" s="2">
        <v>0</v>
      </c>
      <c r="E6876" s="2">
        <v>4.4704725289463001E-5</v>
      </c>
      <c r="F6876" s="2">
        <v>2.1310374956047301E-5</v>
      </c>
    </row>
    <row r="6877" spans="1:6" x14ac:dyDescent="0.25">
      <c r="A6877" s="1" t="str">
        <f t="shared" si="247"/>
        <v>16984</v>
      </c>
      <c r="B6877" s="1" t="str">
        <f>"60426"</f>
        <v>60426</v>
      </c>
      <c r="C6877" s="2">
        <v>3.32908754052802E-4</v>
      </c>
      <c r="D6877" s="2">
        <v>0</v>
      </c>
      <c r="E6877" s="2">
        <v>1.4752559345522799E-3</v>
      </c>
      <c r="F6877" s="2">
        <v>5.9669049876932498E-4</v>
      </c>
    </row>
    <row r="6878" spans="1:6" x14ac:dyDescent="0.25">
      <c r="A6878" s="1" t="str">
        <f t="shared" si="247"/>
        <v>16984</v>
      </c>
      <c r="B6878" s="1" t="str">
        <f>"60608"</f>
        <v>60608</v>
      </c>
      <c r="C6878" s="2">
        <v>1.60375173691523E-2</v>
      </c>
      <c r="D6878" s="2">
        <v>2.5898078529657399E-2</v>
      </c>
      <c r="E6878" s="2">
        <v>1.6004291653627701E-2</v>
      </c>
      <c r="F6878" s="2">
        <v>1.62811264664201E-2</v>
      </c>
    </row>
    <row r="6879" spans="1:6" x14ac:dyDescent="0.25">
      <c r="A6879" s="1" t="str">
        <f t="shared" si="247"/>
        <v>16984</v>
      </c>
      <c r="B6879" s="1" t="str">
        <f>"60659"</f>
        <v>60659</v>
      </c>
      <c r="C6879" s="2">
        <v>3.0931565539601601E-2</v>
      </c>
      <c r="D6879" s="2">
        <v>1.42021720969089E-2</v>
      </c>
      <c r="E6879" s="2">
        <v>3.25897447360185E-2</v>
      </c>
      <c r="F6879" s="2">
        <v>3.09000436862686E-2</v>
      </c>
    </row>
    <row r="6880" spans="1:6" x14ac:dyDescent="0.25">
      <c r="A6880" s="1" t="str">
        <f t="shared" si="247"/>
        <v>16984</v>
      </c>
      <c r="B6880" s="1" t="str">
        <f>"60655"</f>
        <v>60655</v>
      </c>
      <c r="C6880" s="2">
        <v>2.67774432607688E-3</v>
      </c>
      <c r="D6880" s="2">
        <v>4.1771094402673296E-3</v>
      </c>
      <c r="E6880" s="2">
        <v>3.0846260449729499E-3</v>
      </c>
      <c r="F6880" s="2">
        <v>2.8129694941982498E-3</v>
      </c>
    </row>
    <row r="6881" spans="1:6" x14ac:dyDescent="0.25">
      <c r="A6881" s="1" t="str">
        <f t="shared" si="247"/>
        <v>16984</v>
      </c>
      <c r="B6881" s="1" t="str">
        <f>"60629"</f>
        <v>60629</v>
      </c>
      <c r="C6881" s="2">
        <v>1.5125636868920701E-2</v>
      </c>
      <c r="D6881" s="2">
        <v>7.1010860484544596E-3</v>
      </c>
      <c r="E6881" s="2">
        <v>1.59595869283383E-2</v>
      </c>
      <c r="F6881" s="2">
        <v>1.51197110313155E-2</v>
      </c>
    </row>
    <row r="6882" spans="1:6" x14ac:dyDescent="0.25">
      <c r="A6882" s="1" t="str">
        <f t="shared" si="247"/>
        <v>16984</v>
      </c>
      <c r="B6882" s="1" t="str">
        <f>"60626"</f>
        <v>60626</v>
      </c>
      <c r="C6882" s="2">
        <v>4.4450555812876297E-2</v>
      </c>
      <c r="D6882" s="2">
        <v>1.50375939849624E-2</v>
      </c>
      <c r="E6882" s="2">
        <v>4.3989449684831601E-2</v>
      </c>
      <c r="F6882" s="2">
        <v>4.3590371972594799E-2</v>
      </c>
    </row>
    <row r="6883" spans="1:6" x14ac:dyDescent="0.25">
      <c r="A6883" s="1" t="str">
        <f t="shared" si="247"/>
        <v>16984</v>
      </c>
      <c r="B6883" s="1" t="str">
        <f>"60620"</f>
        <v>60620</v>
      </c>
      <c r="C6883" s="2">
        <v>4.4942681797128299E-2</v>
      </c>
      <c r="D6883" s="2">
        <v>2.2138680033416801E-2</v>
      </c>
      <c r="E6883" s="2">
        <v>4.7208189905672999E-2</v>
      </c>
      <c r="F6883" s="2">
        <v>4.4900960032391697E-2</v>
      </c>
    </row>
    <row r="6884" spans="1:6" x14ac:dyDescent="0.25">
      <c r="A6884" s="1" t="str">
        <f t="shared" si="247"/>
        <v>16984</v>
      </c>
      <c r="B6884" s="1" t="str">
        <f>"60421"</f>
        <v>60421</v>
      </c>
      <c r="C6884" s="2">
        <v>1.4474293654469601E-5</v>
      </c>
      <c r="D6884" s="2">
        <v>0</v>
      </c>
      <c r="E6884" s="2">
        <v>0</v>
      </c>
      <c r="F6884" s="2">
        <v>1.06551874780236E-5</v>
      </c>
    </row>
    <row r="6885" spans="1:6" x14ac:dyDescent="0.25">
      <c r="A6885" s="1" t="str">
        <f t="shared" si="247"/>
        <v>16984</v>
      </c>
      <c r="B6885" s="1" t="str">
        <f>"60117"</f>
        <v>60117</v>
      </c>
      <c r="C6885" s="2">
        <v>0</v>
      </c>
      <c r="D6885" s="2">
        <v>8.3542188805346695E-4</v>
      </c>
      <c r="E6885" s="2">
        <v>0</v>
      </c>
      <c r="F6885" s="2">
        <v>2.1310374956047301E-5</v>
      </c>
    </row>
    <row r="6886" spans="1:6" x14ac:dyDescent="0.25">
      <c r="A6886" s="1" t="str">
        <f t="shared" si="247"/>
        <v>16984</v>
      </c>
      <c r="B6886" s="1" t="str">
        <f>"60013"</f>
        <v>60013</v>
      </c>
      <c r="C6886" s="2">
        <v>1.4474293654469601E-5</v>
      </c>
      <c r="D6886" s="2">
        <v>4.1771094402673299E-4</v>
      </c>
      <c r="E6886" s="2">
        <v>0</v>
      </c>
      <c r="F6886" s="2">
        <v>2.1310374956047301E-5</v>
      </c>
    </row>
    <row r="6887" spans="1:6" x14ac:dyDescent="0.25">
      <c r="A6887" s="1" t="str">
        <f t="shared" si="247"/>
        <v>16984</v>
      </c>
      <c r="B6887" s="1" t="str">
        <f>"60008"</f>
        <v>60008</v>
      </c>
      <c r="C6887" s="2">
        <v>0</v>
      </c>
      <c r="D6887" s="2">
        <v>0</v>
      </c>
      <c r="E6887" s="2">
        <v>4.4704725289463001E-5</v>
      </c>
      <c r="F6887" s="2">
        <v>1.06551874780236E-5</v>
      </c>
    </row>
    <row r="6888" spans="1:6" x14ac:dyDescent="0.25">
      <c r="A6888" s="1" t="str">
        <f t="shared" si="247"/>
        <v>16984</v>
      </c>
      <c r="B6888" s="1" t="str">
        <f>"60458"</f>
        <v>60458</v>
      </c>
      <c r="C6888" s="2">
        <v>0</v>
      </c>
      <c r="D6888" s="2">
        <v>0</v>
      </c>
      <c r="E6888" s="2">
        <v>2.23523626447315E-4</v>
      </c>
      <c r="F6888" s="2">
        <v>5.32759373901183E-5</v>
      </c>
    </row>
    <row r="6889" spans="1:6" x14ac:dyDescent="0.25">
      <c r="A6889" s="1" t="str">
        <f t="shared" si="247"/>
        <v>16984</v>
      </c>
      <c r="B6889" s="1" t="str">
        <f>"60163"</f>
        <v>60163</v>
      </c>
      <c r="C6889" s="2">
        <v>0</v>
      </c>
      <c r="D6889" s="2">
        <v>0</v>
      </c>
      <c r="E6889" s="2">
        <v>4.4704725289463001E-5</v>
      </c>
      <c r="F6889" s="2">
        <v>1.06551874780236E-5</v>
      </c>
    </row>
    <row r="6890" spans="1:6" x14ac:dyDescent="0.25">
      <c r="A6890" s="1" t="str">
        <f t="shared" ref="A6890:A6953" si="248">"16984"</f>
        <v>16984</v>
      </c>
      <c r="B6890" s="1" t="str">
        <f>"60042"</f>
        <v>60042</v>
      </c>
      <c r="C6890" s="2">
        <v>0</v>
      </c>
      <c r="D6890" s="2">
        <v>4.1771094402673299E-4</v>
      </c>
      <c r="E6890" s="2">
        <v>0</v>
      </c>
      <c r="F6890" s="2">
        <v>1.06551874780236E-5</v>
      </c>
    </row>
    <row r="6891" spans="1:6" x14ac:dyDescent="0.25">
      <c r="A6891" s="1" t="str">
        <f t="shared" si="248"/>
        <v>16984</v>
      </c>
      <c r="B6891" s="1" t="str">
        <f>"60417"</f>
        <v>60417</v>
      </c>
      <c r="C6891" s="2">
        <v>0</v>
      </c>
      <c r="D6891" s="2">
        <v>1.2531328320802E-3</v>
      </c>
      <c r="E6891" s="2">
        <v>1.3411417586838901E-4</v>
      </c>
      <c r="F6891" s="2">
        <v>6.3931124868141998E-5</v>
      </c>
    </row>
    <row r="6892" spans="1:6" x14ac:dyDescent="0.25">
      <c r="A6892" s="1" t="str">
        <f t="shared" si="248"/>
        <v>16984</v>
      </c>
      <c r="B6892" s="1" t="str">
        <f>"60633"</f>
        <v>60633</v>
      </c>
      <c r="C6892" s="2">
        <v>4.3422880963408897E-5</v>
      </c>
      <c r="D6892" s="2">
        <v>0</v>
      </c>
      <c r="E6892" s="2">
        <v>4.4704725289463001E-5</v>
      </c>
      <c r="F6892" s="2">
        <v>4.2620749912094697E-5</v>
      </c>
    </row>
    <row r="6893" spans="1:6" x14ac:dyDescent="0.25">
      <c r="A6893" s="1" t="str">
        <f t="shared" si="248"/>
        <v>16984</v>
      </c>
      <c r="B6893" s="1" t="str">
        <f>"60429"</f>
        <v>60429</v>
      </c>
      <c r="C6893" s="2">
        <v>0</v>
      </c>
      <c r="D6893" s="2">
        <v>0</v>
      </c>
      <c r="E6893" s="2">
        <v>1.78818901157852E-4</v>
      </c>
      <c r="F6893" s="2">
        <v>4.2620749912094697E-5</v>
      </c>
    </row>
    <row r="6894" spans="1:6" x14ac:dyDescent="0.25">
      <c r="A6894" s="1" t="str">
        <f t="shared" si="248"/>
        <v>16984</v>
      </c>
      <c r="B6894" s="1" t="str">
        <f>"60025"</f>
        <v>60025</v>
      </c>
      <c r="C6894" s="2">
        <v>2.89485873089393E-5</v>
      </c>
      <c r="D6894" s="2">
        <v>0</v>
      </c>
      <c r="E6894" s="2">
        <v>4.4704725289463001E-5</v>
      </c>
      <c r="F6894" s="2">
        <v>3.1965562434070999E-5</v>
      </c>
    </row>
    <row r="6895" spans="1:6" x14ac:dyDescent="0.25">
      <c r="A6895" s="1" t="str">
        <f t="shared" si="248"/>
        <v>16984</v>
      </c>
      <c r="B6895" s="1" t="str">
        <f>"60419"</f>
        <v>60419</v>
      </c>
      <c r="C6895" s="2">
        <v>1.15794349235757E-4</v>
      </c>
      <c r="D6895" s="2">
        <v>0</v>
      </c>
      <c r="E6895" s="2">
        <v>1.78818901157852E-4</v>
      </c>
      <c r="F6895" s="2">
        <v>1.27862249736284E-4</v>
      </c>
    </row>
    <row r="6896" spans="1:6" x14ac:dyDescent="0.25">
      <c r="A6896" s="1" t="str">
        <f t="shared" si="248"/>
        <v>16984</v>
      </c>
      <c r="B6896" s="1" t="str">
        <f>"60201"</f>
        <v>60201</v>
      </c>
      <c r="C6896" s="2">
        <v>0</v>
      </c>
      <c r="D6896" s="2">
        <v>4.1771094402673299E-4</v>
      </c>
      <c r="E6896" s="2">
        <v>0</v>
      </c>
      <c r="F6896" s="2">
        <v>1.06551874780236E-5</v>
      </c>
    </row>
    <row r="6897" spans="1:6" x14ac:dyDescent="0.25">
      <c r="A6897" s="1" t="str">
        <f t="shared" si="248"/>
        <v>16984</v>
      </c>
      <c r="B6897" s="1" t="str">
        <f>"60561"</f>
        <v>60561</v>
      </c>
      <c r="C6897" s="2">
        <v>0</v>
      </c>
      <c r="D6897" s="2">
        <v>4.1771094402673299E-4</v>
      </c>
      <c r="E6897" s="2">
        <v>4.4704725289463001E-5</v>
      </c>
      <c r="F6897" s="2">
        <v>2.1310374956047301E-5</v>
      </c>
    </row>
    <row r="6898" spans="1:6" x14ac:dyDescent="0.25">
      <c r="A6898" s="1" t="str">
        <f t="shared" si="248"/>
        <v>16984</v>
      </c>
      <c r="B6898" s="1" t="str">
        <f>"60456"</f>
        <v>60456</v>
      </c>
      <c r="C6898" s="2">
        <v>0</v>
      </c>
      <c r="D6898" s="2">
        <v>0</v>
      </c>
      <c r="E6898" s="2">
        <v>1.78818901157852E-4</v>
      </c>
      <c r="F6898" s="2">
        <v>4.2620749912094697E-5</v>
      </c>
    </row>
    <row r="6899" spans="1:6" x14ac:dyDescent="0.25">
      <c r="A6899" s="1" t="str">
        <f t="shared" si="248"/>
        <v>16984</v>
      </c>
      <c r="B6899" s="1" t="str">
        <f>"60188"</f>
        <v>60188</v>
      </c>
      <c r="C6899" s="2">
        <v>0</v>
      </c>
      <c r="D6899" s="2">
        <v>4.1771094402673299E-4</v>
      </c>
      <c r="E6899" s="2">
        <v>4.4704725289463001E-5</v>
      </c>
      <c r="F6899" s="2">
        <v>2.1310374956047301E-5</v>
      </c>
    </row>
    <row r="6900" spans="1:6" x14ac:dyDescent="0.25">
      <c r="A6900" s="1" t="str">
        <f t="shared" si="248"/>
        <v>16984</v>
      </c>
      <c r="B6900" s="1" t="str">
        <f>"60018"</f>
        <v>60018</v>
      </c>
      <c r="C6900" s="2">
        <v>5.7897174617878599E-5</v>
      </c>
      <c r="D6900" s="2">
        <v>2.5062656641604E-3</v>
      </c>
      <c r="E6900" s="2">
        <v>8.9409450578926096E-5</v>
      </c>
      <c r="F6900" s="2">
        <v>1.27862249736284E-4</v>
      </c>
    </row>
    <row r="6901" spans="1:6" x14ac:dyDescent="0.25">
      <c r="A6901" s="1" t="str">
        <f t="shared" si="248"/>
        <v>16984</v>
      </c>
      <c r="B6901" s="1" t="str">
        <f>"60004"</f>
        <v>60004</v>
      </c>
      <c r="C6901" s="2">
        <v>4.3422880963408897E-5</v>
      </c>
      <c r="D6901" s="2">
        <v>6.6833751044277304E-3</v>
      </c>
      <c r="E6901" s="2">
        <v>2.23523626447315E-4</v>
      </c>
      <c r="F6901" s="2">
        <v>2.5572449947256799E-4</v>
      </c>
    </row>
    <row r="6902" spans="1:6" x14ac:dyDescent="0.25">
      <c r="A6902" s="1" t="str">
        <f t="shared" si="248"/>
        <v>16984</v>
      </c>
      <c r="B6902" s="1" t="str">
        <f>"60614"</f>
        <v>60614</v>
      </c>
      <c r="C6902" s="2">
        <v>1.33742473367299E-2</v>
      </c>
      <c r="D6902" s="2">
        <v>4.1771094402673296E-3</v>
      </c>
      <c r="E6902" s="2">
        <v>1.74348428628906E-3</v>
      </c>
      <c r="F6902" s="2">
        <v>1.0367497416117E-2</v>
      </c>
    </row>
    <row r="6903" spans="1:6" x14ac:dyDescent="0.25">
      <c r="A6903" s="1" t="str">
        <f t="shared" si="248"/>
        <v>16984</v>
      </c>
      <c r="B6903" s="1" t="str">
        <f>"60402"</f>
        <v>60402</v>
      </c>
      <c r="C6903" s="2">
        <v>1.3750578971746101E-3</v>
      </c>
      <c r="D6903" s="2">
        <v>8.3542188805346695E-4</v>
      </c>
      <c r="E6903" s="2">
        <v>1.65407483571013E-3</v>
      </c>
      <c r="F6903" s="2">
        <v>1.4277951220551699E-3</v>
      </c>
    </row>
    <row r="6904" spans="1:6" x14ac:dyDescent="0.25">
      <c r="A6904" s="1" t="str">
        <f t="shared" si="248"/>
        <v>16984</v>
      </c>
      <c r="B6904" s="1" t="str">
        <f>"60173"</f>
        <v>60173</v>
      </c>
      <c r="C6904" s="2">
        <v>0</v>
      </c>
      <c r="D6904" s="2">
        <v>1.54553049289891E-2</v>
      </c>
      <c r="E6904" s="2">
        <v>2.6822835173677802E-4</v>
      </c>
      <c r="F6904" s="2">
        <v>4.5817306155501801E-4</v>
      </c>
    </row>
    <row r="6905" spans="1:6" x14ac:dyDescent="0.25">
      <c r="A6905" s="1" t="str">
        <f t="shared" si="248"/>
        <v>16984</v>
      </c>
      <c r="B6905" s="1" t="str">
        <f>"60585"</f>
        <v>60585</v>
      </c>
      <c r="C6905" s="2">
        <v>2.0698239925891599E-3</v>
      </c>
      <c r="D6905" s="2">
        <v>1.2531328320802E-3</v>
      </c>
      <c r="E6905" s="2">
        <v>4.4704725289463001E-5</v>
      </c>
      <c r="F6905" s="2">
        <v>1.5663125592694799E-3</v>
      </c>
    </row>
    <row r="6906" spans="1:6" x14ac:dyDescent="0.25">
      <c r="A6906" s="1" t="str">
        <f t="shared" si="248"/>
        <v>16984</v>
      </c>
      <c r="B6906" s="1" t="str">
        <f>"60546"</f>
        <v>60546</v>
      </c>
      <c r="C6906" s="2">
        <v>0</v>
      </c>
      <c r="D6906" s="2">
        <v>0</v>
      </c>
      <c r="E6906" s="2">
        <v>8.0468505521033497E-4</v>
      </c>
      <c r="F6906" s="2">
        <v>1.9179337460442601E-4</v>
      </c>
    </row>
    <row r="6907" spans="1:6" x14ac:dyDescent="0.25">
      <c r="A6907" s="1" t="str">
        <f t="shared" si="248"/>
        <v>16984</v>
      </c>
      <c r="B6907" s="1" t="str">
        <f>"60513"</f>
        <v>60513</v>
      </c>
      <c r="C6907" s="2">
        <v>1.3026864289022601E-4</v>
      </c>
      <c r="D6907" s="2">
        <v>4.1771094402673299E-4</v>
      </c>
      <c r="E6907" s="2">
        <v>3.57637802315704E-4</v>
      </c>
      <c r="F6907" s="2">
        <v>1.9179337460442601E-4</v>
      </c>
    </row>
    <row r="6908" spans="1:6" x14ac:dyDescent="0.25">
      <c r="A6908" s="1" t="str">
        <f t="shared" si="248"/>
        <v>16984</v>
      </c>
      <c r="B6908" s="1" t="str">
        <f>"60442"</f>
        <v>60442</v>
      </c>
      <c r="C6908" s="2">
        <v>2.2435155164427902E-3</v>
      </c>
      <c r="D6908" s="2">
        <v>0</v>
      </c>
      <c r="E6908" s="2">
        <v>0</v>
      </c>
      <c r="F6908" s="2">
        <v>1.65155405909366E-3</v>
      </c>
    </row>
    <row r="6909" spans="1:6" x14ac:dyDescent="0.25">
      <c r="A6909" s="1" t="str">
        <f t="shared" si="248"/>
        <v>16984</v>
      </c>
      <c r="B6909" s="1" t="str">
        <f>"60615"</f>
        <v>60615</v>
      </c>
      <c r="C6909" s="2">
        <v>1.92073876794812E-2</v>
      </c>
      <c r="D6909" s="2">
        <v>8.3542188805346695E-4</v>
      </c>
      <c r="E6909" s="2">
        <v>6.25866154052483E-4</v>
      </c>
      <c r="F6909" s="2">
        <v>1.4309916782985699E-2</v>
      </c>
    </row>
    <row r="6910" spans="1:6" x14ac:dyDescent="0.25">
      <c r="A6910" s="1" t="str">
        <f t="shared" si="248"/>
        <v>16984</v>
      </c>
      <c r="B6910" s="1" t="str">
        <f>"60640"</f>
        <v>60640</v>
      </c>
      <c r="C6910" s="2">
        <v>7.8595414543770198E-3</v>
      </c>
      <c r="D6910" s="2">
        <v>8.3542188805346695E-4</v>
      </c>
      <c r="E6910" s="2">
        <v>1.6093701104206699E-3</v>
      </c>
      <c r="F6910" s="2">
        <v>6.1906639247317503E-3</v>
      </c>
    </row>
    <row r="6911" spans="1:6" x14ac:dyDescent="0.25">
      <c r="A6911" s="1" t="str">
        <f t="shared" si="248"/>
        <v>16984</v>
      </c>
      <c r="B6911" s="1" t="str">
        <f>"60130"</f>
        <v>60130</v>
      </c>
      <c r="C6911" s="2">
        <v>2.89485873089393E-5</v>
      </c>
      <c r="D6911" s="2">
        <v>4.1771094402673299E-4</v>
      </c>
      <c r="E6911" s="2">
        <v>4.02342527605167E-4</v>
      </c>
      <c r="F6911" s="2">
        <v>1.27862249736284E-4</v>
      </c>
    </row>
    <row r="6912" spans="1:6" x14ac:dyDescent="0.25">
      <c r="A6912" s="1" t="str">
        <f t="shared" si="248"/>
        <v>16984</v>
      </c>
      <c r="B6912" s="1" t="str">
        <f>"60473"</f>
        <v>60473</v>
      </c>
      <c r="C6912" s="2">
        <v>1.0132005558128699E-4</v>
      </c>
      <c r="D6912" s="2">
        <v>1.67084377610693E-3</v>
      </c>
      <c r="E6912" s="2">
        <v>2.6822835173677802E-4</v>
      </c>
      <c r="F6912" s="2">
        <v>1.8113818712640201E-4</v>
      </c>
    </row>
    <row r="6913" spans="1:6" x14ac:dyDescent="0.25">
      <c r="A6913" s="1" t="str">
        <f t="shared" si="248"/>
        <v>16984</v>
      </c>
      <c r="B6913" s="1" t="str">
        <f>"60618"</f>
        <v>60618</v>
      </c>
      <c r="C6913" s="2">
        <v>1.7745484020379801E-2</v>
      </c>
      <c r="D6913" s="2">
        <v>1.54553049289891E-2</v>
      </c>
      <c r="E6913" s="2">
        <v>1.8194823192811401E-2</v>
      </c>
      <c r="F6913" s="2">
        <v>1.7794163088299501E-2</v>
      </c>
    </row>
    <row r="6914" spans="1:6" x14ac:dyDescent="0.25">
      <c r="A6914" s="1" t="str">
        <f t="shared" si="248"/>
        <v>16984</v>
      </c>
      <c r="B6914" s="1" t="str">
        <f>"60612"</f>
        <v>60612</v>
      </c>
      <c r="C6914" s="2">
        <v>4.6071676702176899E-2</v>
      </c>
      <c r="D6914" s="2">
        <v>4.2606516290726801E-2</v>
      </c>
      <c r="E6914" s="2">
        <v>4.4749430014752498E-2</v>
      </c>
      <c r="F6914" s="2">
        <v>4.5668133530809403E-2</v>
      </c>
    </row>
    <row r="6915" spans="1:6" x14ac:dyDescent="0.25">
      <c r="A6915" s="1" t="str">
        <f t="shared" si="248"/>
        <v>16984</v>
      </c>
      <c r="B6915" s="1" t="str">
        <f>"60624"</f>
        <v>60624</v>
      </c>
      <c r="C6915" s="2">
        <v>3.8298981009726701E-2</v>
      </c>
      <c r="D6915" s="2">
        <v>1.0442773600668301E-2</v>
      </c>
      <c r="E6915" s="2">
        <v>3.8848406276543401E-2</v>
      </c>
      <c r="F6915" s="2">
        <v>3.7719363672203798E-2</v>
      </c>
    </row>
    <row r="6916" spans="1:6" x14ac:dyDescent="0.25">
      <c r="A6916" s="1" t="str">
        <f t="shared" si="248"/>
        <v>16984</v>
      </c>
      <c r="B6916" s="1" t="str">
        <f>"60181"</f>
        <v>60181</v>
      </c>
      <c r="C6916" s="2">
        <v>5.15284854099119E-3</v>
      </c>
      <c r="D6916" s="2">
        <v>2.5062656641604E-3</v>
      </c>
      <c r="E6916" s="2">
        <v>1.3411417586838901E-4</v>
      </c>
      <c r="F6916" s="2">
        <v>3.88914342947864E-3</v>
      </c>
    </row>
    <row r="6917" spans="1:6" x14ac:dyDescent="0.25">
      <c r="A6917" s="1" t="str">
        <f t="shared" si="248"/>
        <v>16984</v>
      </c>
      <c r="B6917" s="1" t="str">
        <f>"60707"</f>
        <v>60707</v>
      </c>
      <c r="C6917" s="2">
        <v>1.58348772579898E-2</v>
      </c>
      <c r="D6917" s="2">
        <v>5.0125313283208E-3</v>
      </c>
      <c r="E6917" s="2">
        <v>1.64066341812329E-2</v>
      </c>
      <c r="F6917" s="2">
        <v>1.56950911551288E-2</v>
      </c>
    </row>
    <row r="6918" spans="1:6" x14ac:dyDescent="0.25">
      <c r="A6918" s="1" t="str">
        <f t="shared" si="248"/>
        <v>16984</v>
      </c>
      <c r="B6918" s="1" t="str">
        <f>"60654"</f>
        <v>60654</v>
      </c>
      <c r="C6918" s="2">
        <v>1.08557202408522E-2</v>
      </c>
      <c r="D6918" s="2">
        <v>2.0467836257309899E-2</v>
      </c>
      <c r="E6918" s="2">
        <v>2.2441772095310401E-2</v>
      </c>
      <c r="F6918" s="2">
        <v>1.38623989089088E-2</v>
      </c>
    </row>
    <row r="6919" spans="1:6" x14ac:dyDescent="0.25">
      <c r="A6919" s="1" t="str">
        <f t="shared" si="248"/>
        <v>16984</v>
      </c>
      <c r="B6919" s="1" t="str">
        <f>"60645"</f>
        <v>60645</v>
      </c>
      <c r="C6919" s="2">
        <v>2.7226146364057398E-2</v>
      </c>
      <c r="D6919" s="2">
        <v>7.9365079365079309E-3</v>
      </c>
      <c r="E6919" s="2">
        <v>2.8029862756493301E-2</v>
      </c>
      <c r="F6919" s="2">
        <v>2.6925658756965801E-2</v>
      </c>
    </row>
    <row r="6920" spans="1:6" x14ac:dyDescent="0.25">
      <c r="A6920" s="1" t="str">
        <f t="shared" si="248"/>
        <v>16984</v>
      </c>
      <c r="B6920" s="1" t="str">
        <f>"60630"</f>
        <v>60630</v>
      </c>
      <c r="C6920" s="2">
        <v>2.29996526169522E-2</v>
      </c>
      <c r="D6920" s="2">
        <v>2.3809523809523801E-2</v>
      </c>
      <c r="E6920" s="2">
        <v>2.4989941436809798E-2</v>
      </c>
      <c r="F6920" s="2">
        <v>2.3494688389042201E-2</v>
      </c>
    </row>
    <row r="6921" spans="1:6" x14ac:dyDescent="0.25">
      <c r="A6921" s="1" t="str">
        <f t="shared" si="248"/>
        <v>16984</v>
      </c>
      <c r="B6921" s="1" t="str">
        <f>"60631"</f>
        <v>60631</v>
      </c>
      <c r="C6921" s="2">
        <v>6.3976377952755896E-3</v>
      </c>
      <c r="D6921" s="2">
        <v>7.1010860484544596E-3</v>
      </c>
      <c r="E6921" s="2">
        <v>2.8298091108230099E-2</v>
      </c>
      <c r="F6921" s="2">
        <v>1.16354647260018E-2</v>
      </c>
    </row>
    <row r="6922" spans="1:6" x14ac:dyDescent="0.25">
      <c r="A6922" s="1" t="str">
        <f t="shared" si="248"/>
        <v>16984</v>
      </c>
      <c r="B6922" s="1" t="str">
        <f>"60632"</f>
        <v>60632</v>
      </c>
      <c r="C6922" s="2">
        <v>5.2396943029180097E-3</v>
      </c>
      <c r="D6922" s="2">
        <v>4.1771094402673296E-3</v>
      </c>
      <c r="E6922" s="2">
        <v>5.4986812106039597E-3</v>
      </c>
      <c r="F6922" s="2">
        <v>5.2743178016217097E-3</v>
      </c>
    </row>
    <row r="6923" spans="1:6" x14ac:dyDescent="0.25">
      <c r="A6923" s="1" t="str">
        <f t="shared" si="248"/>
        <v>16984</v>
      </c>
      <c r="B6923" s="1" t="str">
        <f>"60688"</f>
        <v>60688</v>
      </c>
      <c r="C6923" s="2">
        <v>0</v>
      </c>
      <c r="D6923" s="2">
        <v>0</v>
      </c>
      <c r="E6923" s="2">
        <v>1.78818901157852E-4</v>
      </c>
      <c r="F6923" s="2">
        <v>4.2620749912094697E-5</v>
      </c>
    </row>
    <row r="6924" spans="1:6" x14ac:dyDescent="0.25">
      <c r="A6924" s="1" t="str">
        <f t="shared" si="248"/>
        <v>16984</v>
      </c>
      <c r="B6924" s="1" t="str">
        <f>"60034"</f>
        <v>60034</v>
      </c>
      <c r="C6924" s="2">
        <v>4.3422880963408897E-5</v>
      </c>
      <c r="D6924" s="2">
        <v>0</v>
      </c>
      <c r="E6924" s="2">
        <v>0</v>
      </c>
      <c r="F6924" s="2">
        <v>3.1965562434070999E-5</v>
      </c>
    </row>
    <row r="6925" spans="1:6" x14ac:dyDescent="0.25">
      <c r="A6925" s="1" t="str">
        <f t="shared" si="248"/>
        <v>16984</v>
      </c>
      <c r="B6925" s="1" t="str">
        <f>"60490"</f>
        <v>60490</v>
      </c>
      <c r="C6925" s="2">
        <v>2.2290412227883201E-3</v>
      </c>
      <c r="D6925" s="2">
        <v>4.1771094402673299E-4</v>
      </c>
      <c r="E6925" s="2">
        <v>0</v>
      </c>
      <c r="F6925" s="2">
        <v>1.65155405909366E-3</v>
      </c>
    </row>
    <row r="6926" spans="1:6" x14ac:dyDescent="0.25">
      <c r="A6926" s="1" t="str">
        <f t="shared" si="248"/>
        <v>16984</v>
      </c>
      <c r="B6926" s="1" t="str">
        <f>"60436"</f>
        <v>60436</v>
      </c>
      <c r="C6926" s="2">
        <v>0</v>
      </c>
      <c r="D6926" s="2">
        <v>2.5062656641604E-3</v>
      </c>
      <c r="E6926" s="2">
        <v>2.6822835173677802E-4</v>
      </c>
      <c r="F6926" s="2">
        <v>1.27862249736284E-4</v>
      </c>
    </row>
    <row r="6927" spans="1:6" x14ac:dyDescent="0.25">
      <c r="A6927" s="1" t="str">
        <f t="shared" si="248"/>
        <v>16984</v>
      </c>
      <c r="B6927" s="1" t="str">
        <f>"60515"</f>
        <v>60515</v>
      </c>
      <c r="C6927" s="2">
        <v>4.3422880963408897E-5</v>
      </c>
      <c r="D6927" s="2">
        <v>2.5062656641604E-3</v>
      </c>
      <c r="E6927" s="2">
        <v>0</v>
      </c>
      <c r="F6927" s="2">
        <v>9.5896687302213005E-5</v>
      </c>
    </row>
    <row r="6928" spans="1:6" x14ac:dyDescent="0.25">
      <c r="A6928" s="1" t="str">
        <f t="shared" si="248"/>
        <v>16984</v>
      </c>
      <c r="B6928" s="1" t="str">
        <f>"60401"</f>
        <v>60401</v>
      </c>
      <c r="C6928" s="2">
        <v>5.7897174617878599E-5</v>
      </c>
      <c r="D6928" s="2">
        <v>8.3542188805346695E-4</v>
      </c>
      <c r="E6928" s="2">
        <v>0</v>
      </c>
      <c r="F6928" s="2">
        <v>6.3931124868141998E-5</v>
      </c>
    </row>
    <row r="6929" spans="1:6" x14ac:dyDescent="0.25">
      <c r="A6929" s="1" t="str">
        <f t="shared" si="248"/>
        <v>16984</v>
      </c>
      <c r="B6929" s="1" t="str">
        <f>"60076"</f>
        <v>60076</v>
      </c>
      <c r="C6929" s="2">
        <v>4.3422880963408897E-5</v>
      </c>
      <c r="D6929" s="2">
        <v>1.67084377610693E-3</v>
      </c>
      <c r="E6929" s="2">
        <v>1.3411417586838901E-4</v>
      </c>
      <c r="F6929" s="2">
        <v>1.06551874780236E-4</v>
      </c>
    </row>
    <row r="6930" spans="1:6" x14ac:dyDescent="0.25">
      <c r="A6930" s="1" t="str">
        <f t="shared" si="248"/>
        <v>16984</v>
      </c>
      <c r="B6930" s="1" t="str">
        <f>"60424"</f>
        <v>60424</v>
      </c>
      <c r="C6930" s="2">
        <v>1.4474293654469601E-5</v>
      </c>
      <c r="D6930" s="2">
        <v>0</v>
      </c>
      <c r="E6930" s="2">
        <v>0</v>
      </c>
      <c r="F6930" s="2">
        <v>1.06551874780236E-5</v>
      </c>
    </row>
    <row r="6931" spans="1:6" x14ac:dyDescent="0.25">
      <c r="A6931" s="1" t="str">
        <f t="shared" si="248"/>
        <v>16984</v>
      </c>
      <c r="B6931" s="1" t="str">
        <f>"60469"</f>
        <v>60469</v>
      </c>
      <c r="C6931" s="2">
        <v>0</v>
      </c>
      <c r="D6931" s="2">
        <v>1.67084377610693E-3</v>
      </c>
      <c r="E6931" s="2">
        <v>0</v>
      </c>
      <c r="F6931" s="2">
        <v>4.2620749912094697E-5</v>
      </c>
    </row>
    <row r="6932" spans="1:6" x14ac:dyDescent="0.25">
      <c r="A6932" s="1" t="str">
        <f t="shared" si="248"/>
        <v>16984</v>
      </c>
      <c r="B6932" s="1" t="str">
        <f>"60102"</f>
        <v>60102</v>
      </c>
      <c r="C6932" s="2">
        <v>0</v>
      </c>
      <c r="D6932" s="2">
        <v>4.1771094402673299E-4</v>
      </c>
      <c r="E6932" s="2">
        <v>0</v>
      </c>
      <c r="F6932" s="2">
        <v>1.06551874780236E-5</v>
      </c>
    </row>
    <row r="6933" spans="1:6" x14ac:dyDescent="0.25">
      <c r="A6933" s="1" t="str">
        <f t="shared" si="248"/>
        <v>16984</v>
      </c>
      <c r="B6933" s="1" t="str">
        <f>"60532"</f>
        <v>60532</v>
      </c>
      <c r="C6933" s="2">
        <v>2.0119268179712799E-3</v>
      </c>
      <c r="D6933" s="2">
        <v>2.5062656641604E-3</v>
      </c>
      <c r="E6933" s="2">
        <v>2.23523626447315E-4</v>
      </c>
      <c r="F6933" s="2">
        <v>1.5982781217035501E-3</v>
      </c>
    </row>
    <row r="6934" spans="1:6" x14ac:dyDescent="0.25">
      <c r="A6934" s="1" t="str">
        <f t="shared" si="248"/>
        <v>16984</v>
      </c>
      <c r="B6934" s="1" t="str">
        <f>"60503"</f>
        <v>60503</v>
      </c>
      <c r="C6934" s="2">
        <v>0</v>
      </c>
      <c r="D6934" s="2">
        <v>4.1771094402673299E-4</v>
      </c>
      <c r="E6934" s="2">
        <v>0</v>
      </c>
      <c r="F6934" s="2">
        <v>1.06551874780236E-5</v>
      </c>
    </row>
    <row r="6935" spans="1:6" x14ac:dyDescent="0.25">
      <c r="A6935" s="1" t="str">
        <f t="shared" si="248"/>
        <v>16984</v>
      </c>
      <c r="B6935" s="1" t="str">
        <f>"60666"</f>
        <v>60666</v>
      </c>
      <c r="C6935" s="2">
        <v>0</v>
      </c>
      <c r="D6935" s="2">
        <v>0</v>
      </c>
      <c r="E6935" s="2">
        <v>4.4704725289463001E-5</v>
      </c>
      <c r="F6935" s="2">
        <v>1.06551874780236E-5</v>
      </c>
    </row>
    <row r="6936" spans="1:6" x14ac:dyDescent="0.25">
      <c r="A6936" s="1" t="str">
        <f t="shared" si="248"/>
        <v>16984</v>
      </c>
      <c r="B6936" s="1" t="str">
        <f>"60202"</f>
        <v>60202</v>
      </c>
      <c r="C6936" s="2">
        <v>3.0396016674386197E-4</v>
      </c>
      <c r="D6936" s="2">
        <v>2.08855472013366E-3</v>
      </c>
      <c r="E6936" s="2">
        <v>8.9409450578926096E-5</v>
      </c>
      <c r="F6936" s="2">
        <v>2.98345249384662E-4</v>
      </c>
    </row>
    <row r="6937" spans="1:6" x14ac:dyDescent="0.25">
      <c r="A6937" s="1" t="str">
        <f t="shared" si="248"/>
        <v>16984</v>
      </c>
      <c r="B6937" s="1" t="str">
        <f>"60565"</f>
        <v>60565</v>
      </c>
      <c r="C6937" s="2">
        <v>5.7897174617878599E-5</v>
      </c>
      <c r="D6937" s="2">
        <v>0</v>
      </c>
      <c r="E6937" s="2">
        <v>4.4704725289463001E-5</v>
      </c>
      <c r="F6937" s="2">
        <v>5.32759373901183E-5</v>
      </c>
    </row>
    <row r="6938" spans="1:6" x14ac:dyDescent="0.25">
      <c r="A6938" s="1" t="str">
        <f t="shared" si="248"/>
        <v>16984</v>
      </c>
      <c r="B6938" s="1" t="str">
        <f>"60586"</f>
        <v>60586</v>
      </c>
      <c r="C6938" s="2">
        <v>2.89485873089393E-5</v>
      </c>
      <c r="D6938" s="2">
        <v>0</v>
      </c>
      <c r="E6938" s="2">
        <v>4.4704725289463001E-5</v>
      </c>
      <c r="F6938" s="2">
        <v>3.1965562434070999E-5</v>
      </c>
    </row>
    <row r="6939" spans="1:6" x14ac:dyDescent="0.25">
      <c r="A6939" s="1" t="str">
        <f t="shared" si="248"/>
        <v>16984</v>
      </c>
      <c r="B6939" s="1" t="str">
        <f>"60699"</f>
        <v>60699</v>
      </c>
      <c r="C6939" s="2">
        <v>0</v>
      </c>
      <c r="D6939" s="2">
        <v>0</v>
      </c>
      <c r="E6939" s="2">
        <v>4.55988197952523E-3</v>
      </c>
      <c r="F6939" s="2">
        <v>1.0868291227584101E-3</v>
      </c>
    </row>
    <row r="6940" spans="1:6" x14ac:dyDescent="0.25">
      <c r="A6940" s="1" t="str">
        <f t="shared" si="248"/>
        <v>16984</v>
      </c>
      <c r="B6940" s="1" t="str">
        <f>"60162"</f>
        <v>60162</v>
      </c>
      <c r="C6940" s="2">
        <v>0</v>
      </c>
      <c r="D6940" s="2">
        <v>1.67084377610693E-3</v>
      </c>
      <c r="E6940" s="2">
        <v>0</v>
      </c>
      <c r="F6940" s="2">
        <v>4.2620749912094697E-5</v>
      </c>
    </row>
    <row r="6941" spans="1:6" x14ac:dyDescent="0.25">
      <c r="A6941" s="1" t="str">
        <f t="shared" si="248"/>
        <v>16984</v>
      </c>
      <c r="B6941" s="1" t="str">
        <f>"60104"</f>
        <v>60104</v>
      </c>
      <c r="C6941" s="2">
        <v>0</v>
      </c>
      <c r="D6941" s="2">
        <v>0</v>
      </c>
      <c r="E6941" s="2">
        <v>2.23523626447315E-4</v>
      </c>
      <c r="F6941" s="2">
        <v>5.32759373901183E-5</v>
      </c>
    </row>
    <row r="6942" spans="1:6" x14ac:dyDescent="0.25">
      <c r="A6942" s="1" t="str">
        <f t="shared" si="248"/>
        <v>16984</v>
      </c>
      <c r="B6942" s="1" t="str">
        <f>"60559"</f>
        <v>60559</v>
      </c>
      <c r="C6942" s="2">
        <v>1.11452061139416E-3</v>
      </c>
      <c r="D6942" s="2">
        <v>5.43024227234753E-3</v>
      </c>
      <c r="E6942" s="2">
        <v>4.9175197818409396E-4</v>
      </c>
      <c r="F6942" s="2">
        <v>1.07617393528039E-3</v>
      </c>
    </row>
    <row r="6943" spans="1:6" x14ac:dyDescent="0.25">
      <c r="A6943" s="1" t="str">
        <f t="shared" si="248"/>
        <v>16984</v>
      </c>
      <c r="B6943" s="1" t="str">
        <f>"60411"</f>
        <v>60411</v>
      </c>
      <c r="C6943" s="2">
        <v>8.6845761926817902E-5</v>
      </c>
      <c r="D6943" s="2">
        <v>4.5948203842940596E-3</v>
      </c>
      <c r="E6943" s="2">
        <v>2.23523626447315E-4</v>
      </c>
      <c r="F6943" s="2">
        <v>2.3441412451651999E-4</v>
      </c>
    </row>
    <row r="6944" spans="1:6" x14ac:dyDescent="0.25">
      <c r="A6944" s="1" t="str">
        <f t="shared" si="248"/>
        <v>16984</v>
      </c>
      <c r="B6944" s="1" t="str">
        <f>"60523"</f>
        <v>60523</v>
      </c>
      <c r="C6944" s="2">
        <v>1.4474293654469601E-5</v>
      </c>
      <c r="D6944" s="2">
        <v>4.1771094402673296E-3</v>
      </c>
      <c r="E6944" s="2">
        <v>0</v>
      </c>
      <c r="F6944" s="2">
        <v>1.1720706225825999E-4</v>
      </c>
    </row>
    <row r="6945" spans="1:6" x14ac:dyDescent="0.25">
      <c r="A6945" s="1" t="str">
        <f t="shared" si="248"/>
        <v>16984</v>
      </c>
      <c r="B6945" s="1" t="str">
        <f>"60440"</f>
        <v>60440</v>
      </c>
      <c r="C6945" s="2">
        <v>1.1434691987031E-3</v>
      </c>
      <c r="D6945" s="2">
        <v>2.5062656641604E-3</v>
      </c>
      <c r="E6945" s="2">
        <v>1.3411417586838901E-4</v>
      </c>
      <c r="F6945" s="2">
        <v>9.3765649806608299E-4</v>
      </c>
    </row>
    <row r="6946" spans="1:6" x14ac:dyDescent="0.25">
      <c r="A6946" s="1" t="str">
        <f t="shared" si="248"/>
        <v>16984</v>
      </c>
      <c r="B6946" s="1" t="str">
        <f>"60143"</f>
        <v>60143</v>
      </c>
      <c r="C6946" s="2">
        <v>1.4474293654469601E-5</v>
      </c>
      <c r="D6946" s="2">
        <v>8.3542188805346695E-4</v>
      </c>
      <c r="E6946" s="2">
        <v>4.4704725289463001E-5</v>
      </c>
      <c r="F6946" s="2">
        <v>4.2620749912094697E-5</v>
      </c>
    </row>
    <row r="6947" spans="1:6" x14ac:dyDescent="0.25">
      <c r="A6947" s="1" t="str">
        <f t="shared" si="248"/>
        <v>16984</v>
      </c>
      <c r="B6947" s="1" t="str">
        <f>"60304"</f>
        <v>60304</v>
      </c>
      <c r="C6947" s="2">
        <v>0</v>
      </c>
      <c r="D6947" s="2">
        <v>0</v>
      </c>
      <c r="E6947" s="2">
        <v>2.5034646162099298E-3</v>
      </c>
      <c r="F6947" s="2">
        <v>5.9669049876932498E-4</v>
      </c>
    </row>
    <row r="6948" spans="1:6" x14ac:dyDescent="0.25">
      <c r="A6948" s="1" t="str">
        <f t="shared" si="248"/>
        <v>16984</v>
      </c>
      <c r="B6948" s="1" t="str">
        <f>"60534"</f>
        <v>60534</v>
      </c>
      <c r="C6948" s="2">
        <v>0</v>
      </c>
      <c r="D6948" s="2">
        <v>0</v>
      </c>
      <c r="E6948" s="2">
        <v>4.4704725289462999E-4</v>
      </c>
      <c r="F6948" s="2">
        <v>1.06551874780236E-4</v>
      </c>
    </row>
    <row r="6949" spans="1:6" x14ac:dyDescent="0.25">
      <c r="A6949" s="1" t="str">
        <f t="shared" si="248"/>
        <v>16984</v>
      </c>
      <c r="B6949" s="1" t="str">
        <f>"60443"</f>
        <v>60443</v>
      </c>
      <c r="C6949" s="2">
        <v>0</v>
      </c>
      <c r="D6949" s="2">
        <v>1.2531328320802E-3</v>
      </c>
      <c r="E6949" s="2">
        <v>8.9409450578926096E-5</v>
      </c>
      <c r="F6949" s="2">
        <v>5.32759373901183E-5</v>
      </c>
    </row>
    <row r="6950" spans="1:6" x14ac:dyDescent="0.25">
      <c r="A6950" s="1" t="str">
        <f t="shared" si="248"/>
        <v>16984</v>
      </c>
      <c r="B6950" s="1" t="str">
        <f>"60430"</f>
        <v>60430</v>
      </c>
      <c r="C6950" s="2">
        <v>0</v>
      </c>
      <c r="D6950" s="2">
        <v>0</v>
      </c>
      <c r="E6950" s="2">
        <v>1.78818901157852E-4</v>
      </c>
      <c r="F6950" s="2">
        <v>4.2620749912094697E-5</v>
      </c>
    </row>
    <row r="6951" spans="1:6" x14ac:dyDescent="0.25">
      <c r="A6951" s="1" t="str">
        <f t="shared" si="248"/>
        <v>16984</v>
      </c>
      <c r="B6951" s="1" t="str">
        <f>"60706"</f>
        <v>60706</v>
      </c>
      <c r="C6951" s="2">
        <v>3.2277674849467298E-3</v>
      </c>
      <c r="D6951" s="2">
        <v>6.6833751044277304E-3</v>
      </c>
      <c r="E6951" s="2">
        <v>3.5316732978675799E-3</v>
      </c>
      <c r="F6951" s="2">
        <v>3.3883496180115201E-3</v>
      </c>
    </row>
    <row r="6952" spans="1:6" x14ac:dyDescent="0.25">
      <c r="A6952" s="1" t="str">
        <f t="shared" si="248"/>
        <v>16984</v>
      </c>
      <c r="B6952" s="1" t="str">
        <f>"60514"</f>
        <v>60514</v>
      </c>
      <c r="C6952" s="2">
        <v>4.6317739694302901E-4</v>
      </c>
      <c r="D6952" s="2">
        <v>0</v>
      </c>
      <c r="E6952" s="2">
        <v>4.02342527605167E-4</v>
      </c>
      <c r="F6952" s="2">
        <v>4.3686268659897E-4</v>
      </c>
    </row>
    <row r="6953" spans="1:6" x14ac:dyDescent="0.25">
      <c r="A6953" s="1" t="str">
        <f t="shared" si="248"/>
        <v>16984</v>
      </c>
      <c r="B6953" s="1" t="str">
        <f>"60621"</f>
        <v>60621</v>
      </c>
      <c r="C6953" s="2">
        <v>2.8123552570634501E-2</v>
      </c>
      <c r="D6953" s="2">
        <v>1.1695906432748499E-2</v>
      </c>
      <c r="E6953" s="2">
        <v>2.9460413965756101E-2</v>
      </c>
      <c r="F6953" s="2">
        <v>2.8023143067202199E-2</v>
      </c>
    </row>
    <row r="6954" spans="1:6" x14ac:dyDescent="0.25">
      <c r="A6954" s="1" t="str">
        <f t="shared" ref="A6954:A7017" si="249">"16984"</f>
        <v>16984</v>
      </c>
      <c r="B6954" s="1" t="str">
        <f>"60644"</f>
        <v>60644</v>
      </c>
      <c r="C6954" s="2">
        <v>3.8400301065308E-2</v>
      </c>
      <c r="D6954" s="2">
        <v>8.3542188805346695E-3</v>
      </c>
      <c r="E6954" s="2">
        <v>3.9876614958201002E-2</v>
      </c>
      <c r="F6954" s="2">
        <v>3.7985743359154403E-2</v>
      </c>
    </row>
    <row r="6955" spans="1:6" x14ac:dyDescent="0.25">
      <c r="A6955" s="1" t="str">
        <f t="shared" si="249"/>
        <v>16984</v>
      </c>
      <c r="B6955" s="1" t="str">
        <f>"60203"</f>
        <v>60203</v>
      </c>
      <c r="C6955" s="2">
        <v>0</v>
      </c>
      <c r="D6955" s="2">
        <v>0</v>
      </c>
      <c r="E6955" s="2">
        <v>4.4704725289463001E-5</v>
      </c>
      <c r="F6955" s="2">
        <v>1.06551874780236E-5</v>
      </c>
    </row>
    <row r="6956" spans="1:6" x14ac:dyDescent="0.25">
      <c r="A6956" s="1" t="str">
        <f t="shared" si="249"/>
        <v>16984</v>
      </c>
      <c r="B6956" s="1" t="str">
        <f>"60423"</f>
        <v>60423</v>
      </c>
      <c r="C6956" s="2">
        <v>2.89485873089393E-5</v>
      </c>
      <c r="D6956" s="2">
        <v>8.3542188805346695E-4</v>
      </c>
      <c r="E6956" s="2">
        <v>1.78818901157852E-4</v>
      </c>
      <c r="F6956" s="2">
        <v>8.5241499824189395E-5</v>
      </c>
    </row>
    <row r="6957" spans="1:6" x14ac:dyDescent="0.25">
      <c r="A6957" s="1" t="str">
        <f t="shared" si="249"/>
        <v>16984</v>
      </c>
      <c r="B6957" s="1" t="str">
        <f>"60433"</f>
        <v>60433</v>
      </c>
      <c r="C6957" s="2">
        <v>1.0132005558128699E-4</v>
      </c>
      <c r="D6957" s="2">
        <v>1.67084377610693E-3</v>
      </c>
      <c r="E6957" s="2">
        <v>1.3411417586838901E-4</v>
      </c>
      <c r="F6957" s="2">
        <v>1.49172624692331E-4</v>
      </c>
    </row>
    <row r="6958" spans="1:6" x14ac:dyDescent="0.25">
      <c r="A6958" s="1" t="str">
        <f t="shared" si="249"/>
        <v>16984</v>
      </c>
      <c r="B6958" s="1" t="str">
        <f>"60156"</f>
        <v>60156</v>
      </c>
      <c r="C6958" s="2">
        <v>1.4474293654469601E-5</v>
      </c>
      <c r="D6958" s="2">
        <v>0</v>
      </c>
      <c r="E6958" s="2">
        <v>4.4704725289463001E-5</v>
      </c>
      <c r="F6958" s="2">
        <v>2.1310374956047301E-5</v>
      </c>
    </row>
    <row r="6959" spans="1:6" x14ac:dyDescent="0.25">
      <c r="A6959" s="1" t="str">
        <f t="shared" si="249"/>
        <v>16984</v>
      </c>
      <c r="B6959" s="1" t="str">
        <f>"60480"</f>
        <v>60480</v>
      </c>
      <c r="C6959" s="2">
        <v>7.2371468272348295E-5</v>
      </c>
      <c r="D6959" s="2">
        <v>4.1771094402673299E-4</v>
      </c>
      <c r="E6959" s="2">
        <v>1.78818901157852E-4</v>
      </c>
      <c r="F6959" s="2">
        <v>1.06551874780236E-4</v>
      </c>
    </row>
    <row r="6960" spans="1:6" x14ac:dyDescent="0.25">
      <c r="A6960" s="1" t="str">
        <f t="shared" si="249"/>
        <v>16984</v>
      </c>
      <c r="B6960" s="1" t="str">
        <f>"60564"</f>
        <v>60564</v>
      </c>
      <c r="C6960" s="2">
        <v>9.6977767484946701E-4</v>
      </c>
      <c r="D6960" s="2">
        <v>5.84795321637426E-3</v>
      </c>
      <c r="E6960" s="2">
        <v>1.3411417586838901E-4</v>
      </c>
      <c r="F6960" s="2">
        <v>8.9503574815398795E-4</v>
      </c>
    </row>
    <row r="6961" spans="1:6" x14ac:dyDescent="0.25">
      <c r="A6961" s="1" t="str">
        <f t="shared" si="249"/>
        <v>16984</v>
      </c>
      <c r="B6961" s="1" t="str">
        <f>"60447"</f>
        <v>60447</v>
      </c>
      <c r="C6961" s="2">
        <v>5.9344603983325602E-4</v>
      </c>
      <c r="D6961" s="2">
        <v>0</v>
      </c>
      <c r="E6961" s="2">
        <v>0</v>
      </c>
      <c r="F6961" s="2">
        <v>4.3686268659897E-4</v>
      </c>
    </row>
    <row r="6962" spans="1:6" x14ac:dyDescent="0.25">
      <c r="A6962" s="1" t="str">
        <f t="shared" si="249"/>
        <v>16984</v>
      </c>
      <c r="B6962" s="1" t="str">
        <f>"60415"</f>
        <v>60415</v>
      </c>
      <c r="C6962" s="2">
        <v>0</v>
      </c>
      <c r="D6962" s="2">
        <v>0</v>
      </c>
      <c r="E6962" s="2">
        <v>1.3411417586838901E-4</v>
      </c>
      <c r="F6962" s="2">
        <v>3.1965562434070999E-5</v>
      </c>
    </row>
    <row r="6963" spans="1:6" x14ac:dyDescent="0.25">
      <c r="A6963" s="1" t="str">
        <f t="shared" si="249"/>
        <v>16984</v>
      </c>
      <c r="B6963" s="1" t="str">
        <f>"60525"</f>
        <v>60525</v>
      </c>
      <c r="C6963" s="2">
        <v>1.4474293654469601E-5</v>
      </c>
      <c r="D6963" s="2">
        <v>0</v>
      </c>
      <c r="E6963" s="2">
        <v>4.4704725289463001E-5</v>
      </c>
      <c r="F6963" s="2">
        <v>2.1310374956047301E-5</v>
      </c>
    </row>
    <row r="6964" spans="1:6" x14ac:dyDescent="0.25">
      <c r="A6964" s="1" t="str">
        <f t="shared" si="249"/>
        <v>16984</v>
      </c>
      <c r="B6964" s="1" t="str">
        <f>"60827"</f>
        <v>60827</v>
      </c>
      <c r="C6964" s="2">
        <v>4.3422880963408897E-5</v>
      </c>
      <c r="D6964" s="2">
        <v>0</v>
      </c>
      <c r="E6964" s="2">
        <v>8.9409450578926096E-5</v>
      </c>
      <c r="F6964" s="2">
        <v>5.32759373901183E-5</v>
      </c>
    </row>
    <row r="6965" spans="1:6" x14ac:dyDescent="0.25">
      <c r="A6965" s="1" t="str">
        <f t="shared" si="249"/>
        <v>16984</v>
      </c>
      <c r="B6965" s="1" t="str">
        <f>"60171"</f>
        <v>60171</v>
      </c>
      <c r="C6965" s="2">
        <v>6.94766095414543E-4</v>
      </c>
      <c r="D6965" s="2">
        <v>0</v>
      </c>
      <c r="E6965" s="2">
        <v>2.6822835173677802E-4</v>
      </c>
      <c r="F6965" s="2">
        <v>5.75380123813278E-4</v>
      </c>
    </row>
    <row r="6966" spans="1:6" x14ac:dyDescent="0.25">
      <c r="A6966" s="1" t="str">
        <f t="shared" si="249"/>
        <v>16984</v>
      </c>
      <c r="B6966" s="1" t="str">
        <f>"60153"</f>
        <v>60153</v>
      </c>
      <c r="C6966" s="2">
        <v>1.15794349235757E-4</v>
      </c>
      <c r="D6966" s="2">
        <v>8.3542188805346695E-4</v>
      </c>
      <c r="E6966" s="2">
        <v>1.78818901157852E-4</v>
      </c>
      <c r="F6966" s="2">
        <v>1.49172624692331E-4</v>
      </c>
    </row>
    <row r="6967" spans="1:6" x14ac:dyDescent="0.25">
      <c r="A6967" s="1" t="str">
        <f t="shared" si="249"/>
        <v>16984</v>
      </c>
      <c r="B6967" s="1" t="str">
        <f>"60142"</f>
        <v>60142</v>
      </c>
      <c r="C6967" s="2">
        <v>2.89485873089393E-5</v>
      </c>
      <c r="D6967" s="2">
        <v>8.3542188805346695E-4</v>
      </c>
      <c r="E6967" s="2">
        <v>0</v>
      </c>
      <c r="F6967" s="2">
        <v>4.2620749912094697E-5</v>
      </c>
    </row>
    <row r="6968" spans="1:6" x14ac:dyDescent="0.25">
      <c r="A6968" s="1" t="str">
        <f t="shared" si="249"/>
        <v>16984</v>
      </c>
      <c r="B6968" s="1" t="str">
        <f>"60404"</f>
        <v>60404</v>
      </c>
      <c r="C6968" s="2">
        <v>0</v>
      </c>
      <c r="D6968" s="2">
        <v>0</v>
      </c>
      <c r="E6968" s="2">
        <v>1.3411417586838901E-4</v>
      </c>
      <c r="F6968" s="2">
        <v>3.1965562434070999E-5</v>
      </c>
    </row>
    <row r="6969" spans="1:6" x14ac:dyDescent="0.25">
      <c r="A6969" s="1" t="str">
        <f t="shared" si="249"/>
        <v>16984</v>
      </c>
      <c r="B6969" s="1" t="str">
        <f>"60455"</f>
        <v>60455</v>
      </c>
      <c r="C6969" s="2">
        <v>0</v>
      </c>
      <c r="D6969" s="2">
        <v>8.3542188805346695E-4</v>
      </c>
      <c r="E6969" s="2">
        <v>1.78818901157852E-4</v>
      </c>
      <c r="F6969" s="2">
        <v>6.3931124868141998E-5</v>
      </c>
    </row>
    <row r="6970" spans="1:6" x14ac:dyDescent="0.25">
      <c r="A6970" s="1" t="str">
        <f t="shared" si="249"/>
        <v>16984</v>
      </c>
      <c r="B6970" s="1" t="str">
        <f>"60435"</f>
        <v>60435</v>
      </c>
      <c r="C6970" s="2">
        <v>0</v>
      </c>
      <c r="D6970" s="2">
        <v>0</v>
      </c>
      <c r="E6970" s="2">
        <v>2.7269882426572399E-3</v>
      </c>
      <c r="F6970" s="2">
        <v>6.4996643615944404E-4</v>
      </c>
    </row>
    <row r="6971" spans="1:6" x14ac:dyDescent="0.25">
      <c r="A6971" s="1" t="str">
        <f t="shared" si="249"/>
        <v>16984</v>
      </c>
      <c r="B6971" s="1" t="str">
        <f>"60558"</f>
        <v>60558</v>
      </c>
      <c r="C6971" s="2">
        <v>4.0528022232514998E-4</v>
      </c>
      <c r="D6971" s="2">
        <v>4.1771094402673299E-4</v>
      </c>
      <c r="E6971" s="2">
        <v>8.9409450578926096E-5</v>
      </c>
      <c r="F6971" s="2">
        <v>3.3031081181873301E-4</v>
      </c>
    </row>
    <row r="6972" spans="1:6" x14ac:dyDescent="0.25">
      <c r="A6972" s="1" t="str">
        <f t="shared" si="249"/>
        <v>16984</v>
      </c>
      <c r="B6972" s="1" t="str">
        <f>"60409"</f>
        <v>60409</v>
      </c>
      <c r="C6972" s="2">
        <v>0</v>
      </c>
      <c r="D6972" s="2">
        <v>0</v>
      </c>
      <c r="E6972" s="2">
        <v>3.57637802315704E-4</v>
      </c>
      <c r="F6972" s="2">
        <v>8.5241499824189395E-5</v>
      </c>
    </row>
    <row r="6973" spans="1:6" x14ac:dyDescent="0.25">
      <c r="A6973" s="1" t="str">
        <f t="shared" si="249"/>
        <v>16984</v>
      </c>
      <c r="B6973" s="1" t="str">
        <f>"60012"</f>
        <v>60012</v>
      </c>
      <c r="C6973" s="2">
        <v>7.0345067160722504E-3</v>
      </c>
      <c r="D6973" s="2">
        <v>0</v>
      </c>
      <c r="E6973" s="2">
        <v>4.4704725289463001E-5</v>
      </c>
      <c r="F6973" s="2">
        <v>5.1890763017975296E-3</v>
      </c>
    </row>
    <row r="6974" spans="1:6" x14ac:dyDescent="0.25">
      <c r="A6974" s="1" t="str">
        <f t="shared" si="249"/>
        <v>16984</v>
      </c>
      <c r="B6974" s="1" t="str">
        <f>"60712"</f>
        <v>60712</v>
      </c>
      <c r="C6974" s="2">
        <v>1.10004631773969E-3</v>
      </c>
      <c r="D6974" s="2">
        <v>4.1771094402673296E-3</v>
      </c>
      <c r="E6974" s="2">
        <v>1.3411417586838899E-3</v>
      </c>
      <c r="F6974" s="2">
        <v>1.23600174745074E-3</v>
      </c>
    </row>
    <row r="6975" spans="1:6" x14ac:dyDescent="0.25">
      <c r="A6975" s="1" t="str">
        <f t="shared" si="249"/>
        <v>16984</v>
      </c>
      <c r="B6975" s="1" t="str">
        <f>"60131"</f>
        <v>60131</v>
      </c>
      <c r="C6975" s="2">
        <v>0</v>
      </c>
      <c r="D6975" s="2">
        <v>7.9365079365079309E-3</v>
      </c>
      <c r="E6975" s="2">
        <v>4.4704725289462999E-4</v>
      </c>
      <c r="F6975" s="2">
        <v>3.0900043686268598E-4</v>
      </c>
    </row>
    <row r="6976" spans="1:6" x14ac:dyDescent="0.25">
      <c r="A6976" s="1" t="str">
        <f t="shared" si="249"/>
        <v>16984</v>
      </c>
      <c r="B6976" s="1" t="str">
        <f>"60805"</f>
        <v>60805</v>
      </c>
      <c r="C6976" s="2">
        <v>6.0792033348772503E-4</v>
      </c>
      <c r="D6976" s="2">
        <v>2.5062656641604E-3</v>
      </c>
      <c r="E6976" s="2">
        <v>7.5998032992087203E-4</v>
      </c>
      <c r="F6976" s="2">
        <v>6.9258718607153799E-4</v>
      </c>
    </row>
    <row r="6977" spans="1:6" x14ac:dyDescent="0.25">
      <c r="A6977" s="1" t="str">
        <f t="shared" si="249"/>
        <v>16984</v>
      </c>
      <c r="B6977" s="1" t="str">
        <f>"60471"</f>
        <v>60471</v>
      </c>
      <c r="C6977" s="2">
        <v>1.4474293654469601E-5</v>
      </c>
      <c r="D6977" s="2">
        <v>4.1771094402673299E-4</v>
      </c>
      <c r="E6977" s="2">
        <v>8.4938978049979802E-4</v>
      </c>
      <c r="F6977" s="2">
        <v>2.2375893703849699E-4</v>
      </c>
    </row>
    <row r="6978" spans="1:6" x14ac:dyDescent="0.25">
      <c r="A6978" s="1" t="str">
        <f t="shared" si="249"/>
        <v>16984</v>
      </c>
      <c r="B6978" s="1" t="str">
        <f>"60603"</f>
        <v>60603</v>
      </c>
      <c r="C6978" s="2">
        <v>1.7369152385363499E-4</v>
      </c>
      <c r="D6978" s="2">
        <v>4.1771094402673299E-4</v>
      </c>
      <c r="E6978" s="2">
        <v>3.97872055076221E-3</v>
      </c>
      <c r="F6978" s="2">
        <v>1.0868291227584101E-3</v>
      </c>
    </row>
    <row r="6979" spans="1:6" x14ac:dyDescent="0.25">
      <c r="A6979" s="1" t="str">
        <f t="shared" si="249"/>
        <v>16984</v>
      </c>
      <c r="B6979" s="1" t="str">
        <f>"60803"</f>
        <v>60803</v>
      </c>
      <c r="C6979" s="2">
        <v>1.07109773043075E-3</v>
      </c>
      <c r="D6979" s="2">
        <v>1.29490392648287E-2</v>
      </c>
      <c r="E6979" s="2">
        <v>2.4587598909204698E-3</v>
      </c>
      <c r="F6979" s="2">
        <v>1.70482999648378E-3</v>
      </c>
    </row>
    <row r="6980" spans="1:6" x14ac:dyDescent="0.25">
      <c r="A6980" s="1" t="str">
        <f t="shared" si="249"/>
        <v>16984</v>
      </c>
      <c r="B6980" s="1" t="str">
        <f>"60639"</f>
        <v>60639</v>
      </c>
      <c r="C6980" s="2">
        <v>5.1803496989346901E-2</v>
      </c>
      <c r="D6980" s="2">
        <v>5.9314954051796098E-2</v>
      </c>
      <c r="E6980" s="2">
        <v>5.3690375072645097E-2</v>
      </c>
      <c r="F6980" s="2">
        <v>5.2444832766832497E-2</v>
      </c>
    </row>
    <row r="6981" spans="1:6" x14ac:dyDescent="0.25">
      <c r="A6981" s="1" t="str">
        <f t="shared" si="249"/>
        <v>16984</v>
      </c>
      <c r="B6981" s="1" t="str">
        <f>"60647"</f>
        <v>60647</v>
      </c>
      <c r="C6981" s="2">
        <v>5.2295622973598799E-2</v>
      </c>
      <c r="D6981" s="2">
        <v>5.6390977443608999E-2</v>
      </c>
      <c r="E6981" s="2">
        <v>5.0695158478251102E-2</v>
      </c>
      <c r="F6981" s="2">
        <v>5.2018625267711498E-2</v>
      </c>
    </row>
    <row r="6982" spans="1:6" x14ac:dyDescent="0.25">
      <c r="A6982" s="1" t="str">
        <f t="shared" si="249"/>
        <v>16984</v>
      </c>
      <c r="B6982" s="1" t="str">
        <f>"60477"</f>
        <v>60477</v>
      </c>
      <c r="C6982" s="2">
        <v>8.6845761926817902E-5</v>
      </c>
      <c r="D6982" s="2">
        <v>4.5948203842940596E-3</v>
      </c>
      <c r="E6982" s="2">
        <v>1.3858464839733499E-3</v>
      </c>
      <c r="F6982" s="2">
        <v>5.1144899894513599E-4</v>
      </c>
    </row>
    <row r="6983" spans="1:6" x14ac:dyDescent="0.25">
      <c r="A6983" s="1" t="str">
        <f t="shared" si="249"/>
        <v>16984</v>
      </c>
      <c r="B6983" s="1" t="str">
        <f>"60609"</f>
        <v>60609</v>
      </c>
      <c r="C6983" s="2">
        <v>6.8029180176007401E-3</v>
      </c>
      <c r="D6983" s="2">
        <v>4.1771094402673296E-3</v>
      </c>
      <c r="E6983" s="2">
        <v>7.1080513210246303E-3</v>
      </c>
      <c r="F6983" s="2">
        <v>6.8086647984571197E-3</v>
      </c>
    </row>
    <row r="6984" spans="1:6" x14ac:dyDescent="0.25">
      <c r="A6984" s="1" t="str">
        <f t="shared" si="249"/>
        <v>16984</v>
      </c>
      <c r="B6984" s="1" t="str">
        <f>"60432"</f>
        <v>60432</v>
      </c>
      <c r="C6984" s="2">
        <v>1.4474293654469601E-5</v>
      </c>
      <c r="D6984" s="2">
        <v>4.1771094402673299E-4</v>
      </c>
      <c r="E6984" s="2">
        <v>5.8116142876301995E-4</v>
      </c>
      <c r="F6984" s="2">
        <v>1.59827812170355E-4</v>
      </c>
    </row>
    <row r="6985" spans="1:6" x14ac:dyDescent="0.25">
      <c r="A6985" s="1" t="str">
        <f t="shared" si="249"/>
        <v>16984</v>
      </c>
      <c r="B6985" s="1" t="str">
        <f>"60133"</f>
        <v>60133</v>
      </c>
      <c r="C6985" s="2">
        <v>0</v>
      </c>
      <c r="D6985" s="2">
        <v>0</v>
      </c>
      <c r="E6985" s="2">
        <v>4.4704725289463001E-5</v>
      </c>
      <c r="F6985" s="2">
        <v>1.06551874780236E-5</v>
      </c>
    </row>
    <row r="6986" spans="1:6" x14ac:dyDescent="0.25">
      <c r="A6986" s="1" t="str">
        <f t="shared" si="249"/>
        <v>16984</v>
      </c>
      <c r="B6986" s="1" t="str">
        <f>"60466"</f>
        <v>60466</v>
      </c>
      <c r="C6986" s="2">
        <v>0</v>
      </c>
      <c r="D6986" s="2">
        <v>4.1771094402673299E-4</v>
      </c>
      <c r="E6986" s="2">
        <v>0</v>
      </c>
      <c r="F6986" s="2">
        <v>1.06551874780236E-5</v>
      </c>
    </row>
    <row r="6987" spans="1:6" x14ac:dyDescent="0.25">
      <c r="A6987" s="1" t="str">
        <f t="shared" si="249"/>
        <v>16984</v>
      </c>
      <c r="B6987" s="1" t="str">
        <f>"60484"</f>
        <v>60484</v>
      </c>
      <c r="C6987" s="2">
        <v>0</v>
      </c>
      <c r="D6987" s="2">
        <v>0</v>
      </c>
      <c r="E6987" s="2">
        <v>4.4704725289463001E-5</v>
      </c>
      <c r="F6987" s="2">
        <v>1.06551874780236E-5</v>
      </c>
    </row>
    <row r="6988" spans="1:6" x14ac:dyDescent="0.25">
      <c r="A6988" s="1" t="str">
        <f t="shared" si="249"/>
        <v>16984</v>
      </c>
      <c r="B6988" s="1" t="str">
        <f>"60452"</f>
        <v>60452</v>
      </c>
      <c r="C6988" s="2">
        <v>0</v>
      </c>
      <c r="D6988" s="2">
        <v>0</v>
      </c>
      <c r="E6988" s="2">
        <v>8.9409450578926096E-5</v>
      </c>
      <c r="F6988" s="2">
        <v>2.1310374956047301E-5</v>
      </c>
    </row>
    <row r="6989" spans="1:6" x14ac:dyDescent="0.25">
      <c r="A6989" s="1" t="str">
        <f t="shared" si="249"/>
        <v>16984</v>
      </c>
      <c r="B6989" s="1" t="str">
        <f>"60195"</f>
        <v>60195</v>
      </c>
      <c r="C6989" s="2">
        <v>0</v>
      </c>
      <c r="D6989" s="2">
        <v>4.1771094402673299E-4</v>
      </c>
      <c r="E6989" s="2">
        <v>4.4704725289463001E-5</v>
      </c>
      <c r="F6989" s="2">
        <v>2.1310374956047301E-5</v>
      </c>
    </row>
    <row r="6990" spans="1:6" x14ac:dyDescent="0.25">
      <c r="A6990" s="1" t="str">
        <f t="shared" si="249"/>
        <v>16984</v>
      </c>
      <c r="B6990" s="1" t="str">
        <f>"60169"</f>
        <v>60169</v>
      </c>
      <c r="C6990" s="2">
        <v>0</v>
      </c>
      <c r="D6990" s="2">
        <v>4.1771094402673299E-4</v>
      </c>
      <c r="E6990" s="2">
        <v>4.4704725289463001E-5</v>
      </c>
      <c r="F6990" s="2">
        <v>2.1310374956047301E-5</v>
      </c>
    </row>
    <row r="6991" spans="1:6" x14ac:dyDescent="0.25">
      <c r="A6991" s="1" t="str">
        <f t="shared" si="249"/>
        <v>16984</v>
      </c>
      <c r="B6991" s="1" t="str">
        <f>"60192"</f>
        <v>60192</v>
      </c>
      <c r="C6991" s="2">
        <v>0</v>
      </c>
      <c r="D6991" s="2">
        <v>0</v>
      </c>
      <c r="E6991" s="2">
        <v>4.4704725289463001E-5</v>
      </c>
      <c r="F6991" s="2">
        <v>1.06551874780236E-5</v>
      </c>
    </row>
    <row r="6992" spans="1:6" x14ac:dyDescent="0.25">
      <c r="A6992" s="1" t="str">
        <f t="shared" si="249"/>
        <v>16984</v>
      </c>
      <c r="B6992" s="1" t="str">
        <f>"60108"</f>
        <v>60108</v>
      </c>
      <c r="C6992" s="2">
        <v>2.17114404817044E-4</v>
      </c>
      <c r="D6992" s="2">
        <v>0</v>
      </c>
      <c r="E6992" s="2">
        <v>0</v>
      </c>
      <c r="F6992" s="2">
        <v>1.59827812170355E-4</v>
      </c>
    </row>
    <row r="6993" spans="1:6" x14ac:dyDescent="0.25">
      <c r="A6993" s="1" t="str">
        <f t="shared" si="249"/>
        <v>16984</v>
      </c>
      <c r="B6993" s="1" t="str">
        <f>"60701"</f>
        <v>60701</v>
      </c>
      <c r="C6993" s="2">
        <v>1.4474293654469601E-5</v>
      </c>
      <c r="D6993" s="2">
        <v>0</v>
      </c>
      <c r="E6993" s="2">
        <v>0</v>
      </c>
      <c r="F6993" s="2">
        <v>1.06551874780236E-5</v>
      </c>
    </row>
    <row r="6994" spans="1:6" x14ac:dyDescent="0.25">
      <c r="A6994" s="1" t="str">
        <f t="shared" si="249"/>
        <v>16984</v>
      </c>
      <c r="B6994" s="1" t="str">
        <f>"60160"</f>
        <v>60160</v>
      </c>
      <c r="C6994" s="2">
        <v>4.3422880963408897E-5</v>
      </c>
      <c r="D6994" s="2">
        <v>1.67084377610693E-3</v>
      </c>
      <c r="E6994" s="2">
        <v>4.4704725289463001E-5</v>
      </c>
      <c r="F6994" s="2">
        <v>8.5241499824189395E-5</v>
      </c>
    </row>
    <row r="6995" spans="1:6" x14ac:dyDescent="0.25">
      <c r="A6995" s="1" t="str">
        <f t="shared" si="249"/>
        <v>16984</v>
      </c>
      <c r="B6995" s="1" t="str">
        <f>"60062"</f>
        <v>60062</v>
      </c>
      <c r="C6995" s="2">
        <v>0</v>
      </c>
      <c r="D6995" s="2">
        <v>4.1771094402673299E-4</v>
      </c>
      <c r="E6995" s="2">
        <v>0</v>
      </c>
      <c r="F6995" s="2">
        <v>1.06551874780236E-5</v>
      </c>
    </row>
    <row r="6996" spans="1:6" x14ac:dyDescent="0.25">
      <c r="A6996" s="1" t="str">
        <f t="shared" si="249"/>
        <v>16984</v>
      </c>
      <c r="B6996" s="1" t="str">
        <f>"60007"</f>
        <v>60007</v>
      </c>
      <c r="C6996" s="2">
        <v>4.1975451597962003E-4</v>
      </c>
      <c r="D6996" s="2">
        <v>1.67084377610693E-3</v>
      </c>
      <c r="E6996" s="2">
        <v>4.4704725289463001E-5</v>
      </c>
      <c r="F6996" s="2">
        <v>3.6227637425280401E-4</v>
      </c>
    </row>
    <row r="6997" spans="1:6" x14ac:dyDescent="0.25">
      <c r="A6997" s="1" t="str">
        <f t="shared" si="249"/>
        <v>16984</v>
      </c>
      <c r="B6997" s="1" t="str">
        <f>"60176"</f>
        <v>60176</v>
      </c>
      <c r="C6997" s="2">
        <v>0</v>
      </c>
      <c r="D6997" s="2">
        <v>1.67084377610693E-3</v>
      </c>
      <c r="E6997" s="2">
        <v>1.78818901157852E-4</v>
      </c>
      <c r="F6997" s="2">
        <v>8.5241499824189395E-5</v>
      </c>
    </row>
    <row r="6998" spans="1:6" x14ac:dyDescent="0.25">
      <c r="A6998" s="1" t="str">
        <f t="shared" si="249"/>
        <v>16984</v>
      </c>
      <c r="B6998" s="1" t="str">
        <f>"60081"</f>
        <v>60081</v>
      </c>
      <c r="C6998" s="2">
        <v>2.89485873089393E-5</v>
      </c>
      <c r="D6998" s="2">
        <v>0</v>
      </c>
      <c r="E6998" s="2">
        <v>0</v>
      </c>
      <c r="F6998" s="2">
        <v>2.1310374956047301E-5</v>
      </c>
    </row>
    <row r="6999" spans="1:6" x14ac:dyDescent="0.25">
      <c r="A6999" s="1" t="str">
        <f t="shared" si="249"/>
        <v>16984</v>
      </c>
      <c r="B6999" s="1" t="str">
        <f>"60193"</f>
        <v>60193</v>
      </c>
      <c r="C6999" s="2">
        <v>0</v>
      </c>
      <c r="D6999" s="2">
        <v>4.1771094402673299E-4</v>
      </c>
      <c r="E6999" s="2">
        <v>4.4704725289463001E-5</v>
      </c>
      <c r="F6999" s="2">
        <v>2.1310374956047301E-5</v>
      </c>
    </row>
    <row r="7000" spans="1:6" x14ac:dyDescent="0.25">
      <c r="A7000" s="1" t="str">
        <f t="shared" si="249"/>
        <v>16984</v>
      </c>
      <c r="B7000" s="1" t="str">
        <f>"60463"</f>
        <v>60463</v>
      </c>
      <c r="C7000" s="2">
        <v>0</v>
      </c>
      <c r="D7000" s="2">
        <v>0</v>
      </c>
      <c r="E7000" s="2">
        <v>8.9409450578926096E-5</v>
      </c>
      <c r="F7000" s="2">
        <v>2.1310374956047301E-5</v>
      </c>
    </row>
    <row r="7001" spans="1:6" x14ac:dyDescent="0.25">
      <c r="A7001" s="1" t="str">
        <f t="shared" si="249"/>
        <v>16984</v>
      </c>
      <c r="B7001" s="1" t="str">
        <f>"60481"</f>
        <v>60481</v>
      </c>
      <c r="C7001" s="2">
        <v>2.89485873089393E-5</v>
      </c>
      <c r="D7001" s="2">
        <v>0</v>
      </c>
      <c r="E7001" s="2">
        <v>1.3411417586838901E-4</v>
      </c>
      <c r="F7001" s="2">
        <v>5.32759373901183E-5</v>
      </c>
    </row>
    <row r="7002" spans="1:6" x14ac:dyDescent="0.25">
      <c r="A7002" s="1" t="str">
        <f t="shared" si="249"/>
        <v>16984</v>
      </c>
      <c r="B7002" s="1" t="str">
        <f>"60101"</f>
        <v>60101</v>
      </c>
      <c r="C7002" s="2">
        <v>0</v>
      </c>
      <c r="D7002" s="2">
        <v>2.08855472013366E-3</v>
      </c>
      <c r="E7002" s="2">
        <v>8.9409450578926096E-5</v>
      </c>
      <c r="F7002" s="2">
        <v>7.4586312346165703E-5</v>
      </c>
    </row>
    <row r="7003" spans="1:6" x14ac:dyDescent="0.25">
      <c r="A7003" s="1" t="str">
        <f t="shared" si="249"/>
        <v>16984</v>
      </c>
      <c r="B7003" s="1" t="str">
        <f>"60155"</f>
        <v>60155</v>
      </c>
      <c r="C7003" s="2">
        <v>0</v>
      </c>
      <c r="D7003" s="2">
        <v>0</v>
      </c>
      <c r="E7003" s="2">
        <v>4.4704725289463001E-5</v>
      </c>
      <c r="F7003" s="2">
        <v>1.06551874780236E-5</v>
      </c>
    </row>
    <row r="7004" spans="1:6" x14ac:dyDescent="0.25">
      <c r="A7004" s="1" t="str">
        <f t="shared" si="249"/>
        <v>16984</v>
      </c>
      <c r="B7004" s="1" t="str">
        <f>"60468"</f>
        <v>60468</v>
      </c>
      <c r="C7004" s="2">
        <v>2.89485873089393E-5</v>
      </c>
      <c r="D7004" s="2">
        <v>0</v>
      </c>
      <c r="E7004" s="2">
        <v>8.9409450578926096E-5</v>
      </c>
      <c r="F7004" s="2">
        <v>4.2620749912094697E-5</v>
      </c>
    </row>
    <row r="7005" spans="1:6" x14ac:dyDescent="0.25">
      <c r="A7005" s="1" t="str">
        <f t="shared" si="249"/>
        <v>16984</v>
      </c>
      <c r="B7005" s="1" t="str">
        <f>"60189"</f>
        <v>60189</v>
      </c>
      <c r="C7005" s="2">
        <v>1.4474293654469601E-5</v>
      </c>
      <c r="D7005" s="2">
        <v>0</v>
      </c>
      <c r="E7005" s="2">
        <v>0</v>
      </c>
      <c r="F7005" s="2">
        <v>1.06551874780236E-5</v>
      </c>
    </row>
    <row r="7006" spans="1:6" x14ac:dyDescent="0.25">
      <c r="A7006" s="1" t="str">
        <f t="shared" si="249"/>
        <v>16984</v>
      </c>
      <c r="B7006" s="1" t="str">
        <f>"60157"</f>
        <v>60157</v>
      </c>
      <c r="C7006" s="2">
        <v>7.2371468272348295E-5</v>
      </c>
      <c r="D7006" s="2">
        <v>0</v>
      </c>
      <c r="E7006" s="2">
        <v>0</v>
      </c>
      <c r="F7006" s="2">
        <v>5.32759373901183E-5</v>
      </c>
    </row>
    <row r="7007" spans="1:6" x14ac:dyDescent="0.25">
      <c r="A7007" s="1" t="str">
        <f t="shared" si="249"/>
        <v>16984</v>
      </c>
      <c r="B7007" s="1" t="str">
        <f>"60474"</f>
        <v>60474</v>
      </c>
      <c r="C7007" s="2">
        <v>7.2371468272348295E-5</v>
      </c>
      <c r="D7007" s="2">
        <v>0</v>
      </c>
      <c r="E7007" s="2">
        <v>8.9409450578926096E-5</v>
      </c>
      <c r="F7007" s="2">
        <v>7.4586312346165703E-5</v>
      </c>
    </row>
    <row r="7008" spans="1:6" x14ac:dyDescent="0.25">
      <c r="A7008" s="1" t="str">
        <f t="shared" si="249"/>
        <v>16984</v>
      </c>
      <c r="B7008" s="1" t="str">
        <f>"60056"</f>
        <v>60056</v>
      </c>
      <c r="C7008" s="2">
        <v>1.7369152385363499E-4</v>
      </c>
      <c r="D7008" s="2">
        <v>2.92397660818713E-3</v>
      </c>
      <c r="E7008" s="2">
        <v>4.4704725289463001E-5</v>
      </c>
      <c r="F7008" s="2">
        <v>2.1310374956047301E-4</v>
      </c>
    </row>
    <row r="7009" spans="1:6" x14ac:dyDescent="0.25">
      <c r="A7009" s="1" t="str">
        <f t="shared" si="249"/>
        <v>16984</v>
      </c>
      <c r="B7009" s="1" t="str">
        <f>"60653"</f>
        <v>60653</v>
      </c>
      <c r="C7009" s="2">
        <v>8.3950903195924005E-4</v>
      </c>
      <c r="D7009" s="2">
        <v>4.1771094402673299E-4</v>
      </c>
      <c r="E7009" s="2">
        <v>6.25866154052483E-4</v>
      </c>
      <c r="F7009" s="2">
        <v>7.7782868589572796E-4</v>
      </c>
    </row>
    <row r="7010" spans="1:6" x14ac:dyDescent="0.25">
      <c r="A7010" s="1" t="str">
        <f t="shared" si="249"/>
        <v>16984</v>
      </c>
      <c r="B7010" s="1" t="str">
        <f>"60540"</f>
        <v>60540</v>
      </c>
      <c r="C7010" s="2">
        <v>4.3422880963408897E-5</v>
      </c>
      <c r="D7010" s="2">
        <v>2.92397660818713E-3</v>
      </c>
      <c r="E7010" s="2">
        <v>1.78818901157852E-4</v>
      </c>
      <c r="F7010" s="2">
        <v>1.49172624692331E-4</v>
      </c>
    </row>
    <row r="7011" spans="1:6" x14ac:dyDescent="0.25">
      <c r="A7011" s="1" t="str">
        <f t="shared" si="249"/>
        <v>16984</v>
      </c>
      <c r="B7011" s="1" t="str">
        <f>"60098"</f>
        <v>60098</v>
      </c>
      <c r="C7011" s="2">
        <v>7.2371468272348295E-5</v>
      </c>
      <c r="D7011" s="2">
        <v>0</v>
      </c>
      <c r="E7011" s="2">
        <v>0</v>
      </c>
      <c r="F7011" s="2">
        <v>5.32759373901183E-5</v>
      </c>
    </row>
    <row r="7012" spans="1:6" x14ac:dyDescent="0.25">
      <c r="A7012" s="1" t="str">
        <f t="shared" si="249"/>
        <v>16984</v>
      </c>
      <c r="B7012" s="1" t="str">
        <f>"60077"</f>
        <v>60077</v>
      </c>
      <c r="C7012" s="2">
        <v>1.0132005558128699E-4</v>
      </c>
      <c r="D7012" s="2">
        <v>3.7593984962406E-3</v>
      </c>
      <c r="E7012" s="2">
        <v>3.1293307702624101E-4</v>
      </c>
      <c r="F7012" s="2">
        <v>2.4506931199454402E-4</v>
      </c>
    </row>
    <row r="7013" spans="1:6" x14ac:dyDescent="0.25">
      <c r="A7013" s="1" t="str">
        <f t="shared" si="249"/>
        <v>16984</v>
      </c>
      <c r="B7013" s="1" t="str">
        <f>"60051"</f>
        <v>60051</v>
      </c>
      <c r="C7013" s="2">
        <v>1.10004631773969E-3</v>
      </c>
      <c r="D7013" s="2">
        <v>0</v>
      </c>
      <c r="E7013" s="2">
        <v>4.4704725289463001E-5</v>
      </c>
      <c r="F7013" s="2">
        <v>8.2044943580782299E-4</v>
      </c>
    </row>
    <row r="7014" spans="1:6" x14ac:dyDescent="0.25">
      <c r="A7014" s="1" t="str">
        <f t="shared" si="249"/>
        <v>16984</v>
      </c>
      <c r="B7014" s="1" t="str">
        <f>"60527"</f>
        <v>60527</v>
      </c>
      <c r="C7014" s="2">
        <v>2.4895785085687801E-3</v>
      </c>
      <c r="D7014" s="2">
        <v>5.43024227234753E-3</v>
      </c>
      <c r="E7014" s="2">
        <v>3.57637802315704E-4</v>
      </c>
      <c r="F7014" s="2">
        <v>2.0564511832585602E-3</v>
      </c>
    </row>
    <row r="7015" spans="1:6" x14ac:dyDescent="0.25">
      <c r="A7015" s="1" t="str">
        <f t="shared" si="249"/>
        <v>16984</v>
      </c>
      <c r="B7015" s="1" t="str">
        <f>"60446"</f>
        <v>60446</v>
      </c>
      <c r="C7015" s="2">
        <v>1.15794349235757E-4</v>
      </c>
      <c r="D7015" s="2">
        <v>4.1771094402673299E-4</v>
      </c>
      <c r="E7015" s="2">
        <v>2.23523626447315E-4</v>
      </c>
      <c r="F7015" s="2">
        <v>1.49172624692331E-4</v>
      </c>
    </row>
    <row r="7016" spans="1:6" x14ac:dyDescent="0.25">
      <c r="A7016" s="1" t="str">
        <f t="shared" si="249"/>
        <v>16984</v>
      </c>
      <c r="B7016" s="1" t="str">
        <f>"60661"</f>
        <v>60661</v>
      </c>
      <c r="C7016" s="2">
        <v>0</v>
      </c>
      <c r="D7016" s="2">
        <v>4.5948203842940596E-3</v>
      </c>
      <c r="E7016" s="2">
        <v>3.1740354955518699E-3</v>
      </c>
      <c r="F7016" s="2">
        <v>8.7372537319794098E-4</v>
      </c>
    </row>
    <row r="7017" spans="1:6" x14ac:dyDescent="0.25">
      <c r="A7017" s="1" t="str">
        <f t="shared" si="249"/>
        <v>16984</v>
      </c>
      <c r="B7017" s="1" t="str">
        <f>"60544"</f>
        <v>60544</v>
      </c>
      <c r="C7017" s="2">
        <v>1.4474293654469601E-5</v>
      </c>
      <c r="D7017" s="2">
        <v>4.1771094402673299E-4</v>
      </c>
      <c r="E7017" s="2">
        <v>4.4704725289463001E-5</v>
      </c>
      <c r="F7017" s="2">
        <v>3.1965562434070999E-5</v>
      </c>
    </row>
    <row r="7018" spans="1:6" x14ac:dyDescent="0.25">
      <c r="A7018" s="1" t="str">
        <f t="shared" ref="A7018:A7061" si="250">"16984"</f>
        <v>16984</v>
      </c>
      <c r="B7018" s="1" t="str">
        <f>"60625"</f>
        <v>60625</v>
      </c>
      <c r="C7018" s="2">
        <v>1.3316350162112E-3</v>
      </c>
      <c r="D7018" s="2">
        <v>2.5062656641604E-3</v>
      </c>
      <c r="E7018" s="2">
        <v>9.3879923107872498E-4</v>
      </c>
      <c r="F7018" s="2">
        <v>1.2679673098848099E-3</v>
      </c>
    </row>
    <row r="7019" spans="1:6" x14ac:dyDescent="0.25">
      <c r="A7019" s="1" t="str">
        <f t="shared" si="250"/>
        <v>16984</v>
      </c>
      <c r="B7019" s="1" t="str">
        <f>"60606"</f>
        <v>60606</v>
      </c>
      <c r="C7019" s="2">
        <v>0</v>
      </c>
      <c r="D7019" s="2">
        <v>1.4619883040935601E-2</v>
      </c>
      <c r="E7019" s="2">
        <v>6.0351379140775102E-3</v>
      </c>
      <c r="F7019" s="2">
        <v>1.8113818712640201E-3</v>
      </c>
    </row>
    <row r="7020" spans="1:6" x14ac:dyDescent="0.25">
      <c r="A7020" s="1" t="str">
        <f t="shared" si="250"/>
        <v>16984</v>
      </c>
      <c r="B7020" s="1" t="str">
        <f>"60302"</f>
        <v>60302</v>
      </c>
      <c r="C7020" s="2">
        <v>3.8646364057433901E-3</v>
      </c>
      <c r="D7020" s="2">
        <v>4.1771094402673299E-4</v>
      </c>
      <c r="E7020" s="2">
        <v>9.3879923107872498E-4</v>
      </c>
      <c r="F7020" s="2">
        <v>3.0793491811488402E-3</v>
      </c>
    </row>
    <row r="7021" spans="1:6" x14ac:dyDescent="0.25">
      <c r="A7021" s="1" t="str">
        <f t="shared" si="250"/>
        <v>16984</v>
      </c>
      <c r="B7021" s="1" t="str">
        <f>"60642"</f>
        <v>60642</v>
      </c>
      <c r="C7021" s="2">
        <v>5.7897174617878603E-3</v>
      </c>
      <c r="D7021" s="2">
        <v>8.7719298245613996E-3</v>
      </c>
      <c r="E7021" s="2">
        <v>1.2070275828154999E-3</v>
      </c>
      <c r="F7021" s="2">
        <v>4.7735239901545998E-3</v>
      </c>
    </row>
    <row r="7022" spans="1:6" x14ac:dyDescent="0.25">
      <c r="A7022" s="1" t="str">
        <f t="shared" si="250"/>
        <v>16984</v>
      </c>
      <c r="B7022" s="1" t="str">
        <f>"60652"</f>
        <v>60652</v>
      </c>
      <c r="C7022" s="2">
        <v>2.0119268179712799E-3</v>
      </c>
      <c r="D7022" s="2">
        <v>2.5062656641604E-3</v>
      </c>
      <c r="E7022" s="2">
        <v>5.8563190129196597E-3</v>
      </c>
      <c r="F7022" s="2">
        <v>2.94083174393453E-3</v>
      </c>
    </row>
    <row r="7023" spans="1:6" x14ac:dyDescent="0.25">
      <c r="A7023" s="1" t="str">
        <f t="shared" si="250"/>
        <v>16984</v>
      </c>
      <c r="B7023" s="1" t="str">
        <f>"60617"</f>
        <v>60617</v>
      </c>
      <c r="C7023" s="2">
        <v>2.6791917554423301E-2</v>
      </c>
      <c r="D7023" s="2">
        <v>1.83792815371762E-2</v>
      </c>
      <c r="E7023" s="2">
        <v>2.8253386382940601E-2</v>
      </c>
      <c r="F7023" s="2">
        <v>2.6925658756965801E-2</v>
      </c>
    </row>
    <row r="7024" spans="1:6" x14ac:dyDescent="0.25">
      <c r="A7024" s="1" t="str">
        <f t="shared" si="250"/>
        <v>16984</v>
      </c>
      <c r="B7024" s="1" t="str">
        <f>"60623"</f>
        <v>60623</v>
      </c>
      <c r="C7024" s="2">
        <v>4.1570171375636802E-2</v>
      </c>
      <c r="D7024" s="2">
        <v>4.0517961570593099E-2</v>
      </c>
      <c r="E7024" s="2">
        <v>4.4168268585989497E-2</v>
      </c>
      <c r="F7024" s="2">
        <v>4.2162576850539597E-2</v>
      </c>
    </row>
    <row r="7025" spans="1:6" x14ac:dyDescent="0.25">
      <c r="A7025" s="1" t="str">
        <f t="shared" si="250"/>
        <v>16984</v>
      </c>
      <c r="B7025" s="1" t="str">
        <f>"60602"</f>
        <v>60602</v>
      </c>
      <c r="C7025" s="2">
        <v>0</v>
      </c>
      <c r="D7025" s="2">
        <v>8.3542188805346695E-4</v>
      </c>
      <c r="E7025" s="2">
        <v>1.45290357190755E-2</v>
      </c>
      <c r="F7025" s="2">
        <v>3.4842463053137399E-3</v>
      </c>
    </row>
    <row r="7026" spans="1:6" x14ac:dyDescent="0.25">
      <c r="A7026" s="1" t="str">
        <f t="shared" si="250"/>
        <v>16984</v>
      </c>
      <c r="B7026" s="1" t="str">
        <f>"60403"</f>
        <v>60403</v>
      </c>
      <c r="C7026" s="2">
        <v>0</v>
      </c>
      <c r="D7026" s="2">
        <v>4.1771094402673299E-4</v>
      </c>
      <c r="E7026" s="2">
        <v>8.0468505521033497E-4</v>
      </c>
      <c r="F7026" s="2">
        <v>2.0244856208244901E-4</v>
      </c>
    </row>
    <row r="7027" spans="1:6" x14ac:dyDescent="0.25">
      <c r="A7027" s="1" t="str">
        <f t="shared" si="250"/>
        <v>16984</v>
      </c>
      <c r="B7027" s="1" t="str">
        <f>"60148"</f>
        <v>60148</v>
      </c>
      <c r="C7027" s="2">
        <v>5.5870773506252799E-3</v>
      </c>
      <c r="D7027" s="2">
        <v>1.67084377610693E-3</v>
      </c>
      <c r="E7027" s="2">
        <v>4.02342527605167E-4</v>
      </c>
      <c r="F7027" s="2">
        <v>4.2514198037314401E-3</v>
      </c>
    </row>
    <row r="7028" spans="1:6" x14ac:dyDescent="0.25">
      <c r="A7028" s="1" t="str">
        <f t="shared" si="250"/>
        <v>16984</v>
      </c>
      <c r="B7028" s="1" t="str">
        <f>"60646"</f>
        <v>60646</v>
      </c>
      <c r="C7028" s="2">
        <v>1.79481241315423E-3</v>
      </c>
      <c r="D7028" s="2">
        <v>4.1771094402673299E-4</v>
      </c>
      <c r="E7028" s="2">
        <v>5.5880906611828797E-3</v>
      </c>
      <c r="F7028" s="2">
        <v>2.6637968695059099E-3</v>
      </c>
    </row>
    <row r="7029" spans="1:6" x14ac:dyDescent="0.25">
      <c r="A7029" s="1" t="str">
        <f t="shared" si="250"/>
        <v>16984</v>
      </c>
      <c r="B7029" s="1" t="str">
        <f>"60516"</f>
        <v>60516</v>
      </c>
      <c r="C7029" s="2">
        <v>2.47510421491431E-3</v>
      </c>
      <c r="D7029" s="2">
        <v>8.3542188805346695E-4</v>
      </c>
      <c r="E7029" s="2">
        <v>1.3590236487996701E-2</v>
      </c>
      <c r="F7029" s="2">
        <v>5.0825244270172902E-3</v>
      </c>
    </row>
    <row r="7030" spans="1:6" x14ac:dyDescent="0.25">
      <c r="A7030" s="1" t="str">
        <f t="shared" si="250"/>
        <v>16984</v>
      </c>
      <c r="B7030" s="1" t="str">
        <f>"60165"</f>
        <v>60165</v>
      </c>
      <c r="C7030" s="2">
        <v>0</v>
      </c>
      <c r="D7030" s="2">
        <v>0</v>
      </c>
      <c r="E7030" s="2">
        <v>4.4704725289463001E-5</v>
      </c>
      <c r="F7030" s="2">
        <v>1.06551874780236E-5</v>
      </c>
    </row>
    <row r="7031" spans="1:6" x14ac:dyDescent="0.25">
      <c r="A7031" s="1" t="str">
        <f t="shared" si="250"/>
        <v>16984</v>
      </c>
      <c r="B7031" s="1" t="str">
        <f>"60517"</f>
        <v>60517</v>
      </c>
      <c r="C7031" s="2">
        <v>8.6845761926817902E-5</v>
      </c>
      <c r="D7031" s="2">
        <v>3.7593984962406E-3</v>
      </c>
      <c r="E7031" s="2">
        <v>0</v>
      </c>
      <c r="F7031" s="2">
        <v>1.59827812170355E-4</v>
      </c>
    </row>
    <row r="7032" spans="1:6" x14ac:dyDescent="0.25">
      <c r="A7032" s="1" t="str">
        <f t="shared" si="250"/>
        <v>16984</v>
      </c>
      <c r="B7032" s="1" t="str">
        <f>"60407"</f>
        <v>60407</v>
      </c>
      <c r="C7032" s="2">
        <v>1.4474293654469601E-5</v>
      </c>
      <c r="D7032" s="2">
        <v>0</v>
      </c>
      <c r="E7032" s="2">
        <v>0</v>
      </c>
      <c r="F7032" s="2">
        <v>1.06551874780236E-5</v>
      </c>
    </row>
    <row r="7033" spans="1:6" x14ac:dyDescent="0.25">
      <c r="A7033" s="1" t="str">
        <f t="shared" si="250"/>
        <v>16984</v>
      </c>
      <c r="B7033" s="1" t="str">
        <f>"60491"</f>
        <v>60491</v>
      </c>
      <c r="C7033" s="2">
        <v>1.4474293654469601E-5</v>
      </c>
      <c r="D7033" s="2">
        <v>8.3542188805346695E-4</v>
      </c>
      <c r="E7033" s="2">
        <v>1.3411417586838901E-4</v>
      </c>
      <c r="F7033" s="2">
        <v>6.3931124868141998E-5</v>
      </c>
    </row>
    <row r="7034" spans="1:6" x14ac:dyDescent="0.25">
      <c r="A7034" s="1" t="str">
        <f t="shared" si="250"/>
        <v>16984</v>
      </c>
      <c r="B7034" s="1" t="str">
        <f>"60074"</f>
        <v>60074</v>
      </c>
      <c r="C7034" s="2">
        <v>1.4474293654469601E-5</v>
      </c>
      <c r="D7034" s="2">
        <v>1.2531328320802E-3</v>
      </c>
      <c r="E7034" s="2">
        <v>4.4704725289463001E-5</v>
      </c>
      <c r="F7034" s="2">
        <v>5.32759373901183E-5</v>
      </c>
    </row>
    <row r="7035" spans="1:6" x14ac:dyDescent="0.25">
      <c r="A7035" s="1" t="str">
        <f t="shared" si="250"/>
        <v>16984</v>
      </c>
      <c r="B7035" s="1" t="str">
        <f>"60033"</f>
        <v>60033</v>
      </c>
      <c r="C7035" s="2">
        <v>7.3818897637795199E-4</v>
      </c>
      <c r="D7035" s="2">
        <v>0</v>
      </c>
      <c r="E7035" s="2">
        <v>4.4704725289463001E-5</v>
      </c>
      <c r="F7035" s="2">
        <v>5.5406974885723102E-4</v>
      </c>
    </row>
    <row r="7036" spans="1:6" x14ac:dyDescent="0.25">
      <c r="A7036" s="1" t="str">
        <f t="shared" si="250"/>
        <v>16984</v>
      </c>
      <c r="B7036" s="1" t="str">
        <f>"60467"</f>
        <v>60467</v>
      </c>
      <c r="C7036" s="2">
        <v>1.4474293654469601E-5</v>
      </c>
      <c r="D7036" s="2">
        <v>0</v>
      </c>
      <c r="E7036" s="2">
        <v>8.9409450578926096E-5</v>
      </c>
      <c r="F7036" s="2">
        <v>3.1965562434070999E-5</v>
      </c>
    </row>
    <row r="7037" spans="1:6" x14ac:dyDescent="0.25">
      <c r="A7037" s="1" t="str">
        <f t="shared" si="250"/>
        <v>16984</v>
      </c>
      <c r="B7037" s="1" t="str">
        <f>"60301"</f>
        <v>60301</v>
      </c>
      <c r="C7037" s="2">
        <v>0</v>
      </c>
      <c r="D7037" s="2">
        <v>8.3542188805346695E-4</v>
      </c>
      <c r="E7037" s="2">
        <v>4.4704725289462999E-4</v>
      </c>
      <c r="F7037" s="2">
        <v>1.27862249736284E-4</v>
      </c>
    </row>
    <row r="7038" spans="1:6" x14ac:dyDescent="0.25">
      <c r="A7038" s="1" t="str">
        <f t="shared" si="250"/>
        <v>16984</v>
      </c>
      <c r="B7038" s="1" t="str">
        <f>"60154"</f>
        <v>60154</v>
      </c>
      <c r="C7038" s="2">
        <v>0</v>
      </c>
      <c r="D7038" s="2">
        <v>8.3542188805346695E-4</v>
      </c>
      <c r="E7038" s="2">
        <v>1.3411417586838901E-4</v>
      </c>
      <c r="F7038" s="2">
        <v>5.32759373901183E-5</v>
      </c>
    </row>
    <row r="7039" spans="1:6" x14ac:dyDescent="0.25">
      <c r="A7039" s="1" t="str">
        <f t="shared" si="250"/>
        <v>16984</v>
      </c>
      <c r="B7039" s="1" t="str">
        <f>"60521"</f>
        <v>60521</v>
      </c>
      <c r="C7039" s="2">
        <v>1.4474293654469601E-5</v>
      </c>
      <c r="D7039" s="2">
        <v>1.67084377610693E-3</v>
      </c>
      <c r="E7039" s="2">
        <v>8.9409450578926096E-5</v>
      </c>
      <c r="F7039" s="2">
        <v>7.4586312346165703E-5</v>
      </c>
    </row>
    <row r="7040" spans="1:6" x14ac:dyDescent="0.25">
      <c r="A7040" s="1" t="str">
        <f t="shared" si="250"/>
        <v>16984</v>
      </c>
      <c r="B7040" s="1" t="str">
        <f>"60428"</f>
        <v>60428</v>
      </c>
      <c r="C7040" s="2">
        <v>1.4474293654469601E-5</v>
      </c>
      <c r="D7040" s="2">
        <v>0</v>
      </c>
      <c r="E7040" s="2">
        <v>1.3411417586838901E-4</v>
      </c>
      <c r="F7040" s="2">
        <v>4.2620749912094697E-5</v>
      </c>
    </row>
    <row r="7041" spans="1:6" x14ac:dyDescent="0.25">
      <c r="A7041" s="1" t="str">
        <f t="shared" si="250"/>
        <v>16984</v>
      </c>
      <c r="B7041" s="1" t="str">
        <f>"60441"</f>
        <v>60441</v>
      </c>
      <c r="C7041" s="2">
        <v>8.6845761926817902E-5</v>
      </c>
      <c r="D7041" s="2">
        <v>3.7593984962406E-3</v>
      </c>
      <c r="E7041" s="2">
        <v>4.02342527605167E-4</v>
      </c>
      <c r="F7041" s="2">
        <v>2.5572449947256799E-4</v>
      </c>
    </row>
    <row r="7042" spans="1:6" x14ac:dyDescent="0.25">
      <c r="A7042" s="1" t="str">
        <f t="shared" si="250"/>
        <v>16984</v>
      </c>
      <c r="B7042" s="1" t="str">
        <f>"60641"</f>
        <v>60641</v>
      </c>
      <c r="C7042" s="2">
        <v>6.3686892079666501E-4</v>
      </c>
      <c r="D7042" s="2">
        <v>0</v>
      </c>
      <c r="E7042" s="2">
        <v>9.8350395636818792E-4</v>
      </c>
      <c r="F7042" s="2">
        <v>7.0324237354956202E-4</v>
      </c>
    </row>
    <row r="7043" spans="1:6" x14ac:dyDescent="0.25">
      <c r="A7043" s="1" t="str">
        <f t="shared" si="250"/>
        <v>16984</v>
      </c>
      <c r="B7043" s="1" t="str">
        <f>"60450"</f>
        <v>60450</v>
      </c>
      <c r="C7043" s="2">
        <v>1.5921723019916601E-4</v>
      </c>
      <c r="D7043" s="2">
        <v>2.92397660818713E-3</v>
      </c>
      <c r="E7043" s="2">
        <v>2.23523626447315E-4</v>
      </c>
      <c r="F7043" s="2">
        <v>2.4506931199454402E-4</v>
      </c>
    </row>
    <row r="7044" spans="1:6" x14ac:dyDescent="0.25">
      <c r="A7044" s="1" t="str">
        <f t="shared" si="250"/>
        <v>16984</v>
      </c>
      <c r="B7044" s="1" t="str">
        <f>"60103"</f>
        <v>60103</v>
      </c>
      <c r="C7044" s="2">
        <v>0</v>
      </c>
      <c r="D7044" s="2">
        <v>4.1771094402673299E-4</v>
      </c>
      <c r="E7044" s="2">
        <v>1.78818901157852E-4</v>
      </c>
      <c r="F7044" s="2">
        <v>5.32759373901183E-5</v>
      </c>
    </row>
    <row r="7045" spans="1:6" x14ac:dyDescent="0.25">
      <c r="A7045" s="1" t="str">
        <f t="shared" si="250"/>
        <v>16984</v>
      </c>
      <c r="B7045" s="1" t="str">
        <f>"60804"</f>
        <v>60804</v>
      </c>
      <c r="C7045" s="2">
        <v>2.8948587308939302E-4</v>
      </c>
      <c r="D7045" s="2">
        <v>1.67084377610693E-3</v>
      </c>
      <c r="E7045" s="2">
        <v>4.9175197818409396E-4</v>
      </c>
      <c r="F7045" s="2">
        <v>3.7293156173082799E-4</v>
      </c>
    </row>
    <row r="7046" spans="1:6" x14ac:dyDescent="0.25">
      <c r="A7046" s="1" t="str">
        <f t="shared" si="250"/>
        <v>16984</v>
      </c>
      <c r="B7046" s="1" t="str">
        <f>"60504"</f>
        <v>60504</v>
      </c>
      <c r="C7046" s="2">
        <v>2.4606299212598399E-3</v>
      </c>
      <c r="D7046" s="2">
        <v>8.3542188805346695E-4</v>
      </c>
      <c r="E7046" s="2">
        <v>3.57637802315704E-4</v>
      </c>
      <c r="F7046" s="2">
        <v>1.9179337460442599E-3</v>
      </c>
    </row>
    <row r="7047" spans="1:6" x14ac:dyDescent="0.25">
      <c r="A7047" s="1" t="str">
        <f t="shared" si="250"/>
        <v>16984</v>
      </c>
      <c r="B7047" s="1" t="str">
        <f>"60139"</f>
        <v>60139</v>
      </c>
      <c r="C7047" s="2">
        <v>0</v>
      </c>
      <c r="D7047" s="2">
        <v>2.92397660818713E-3</v>
      </c>
      <c r="E7047" s="2">
        <v>1.3411417586838901E-4</v>
      </c>
      <c r="F7047" s="2">
        <v>1.06551874780236E-4</v>
      </c>
    </row>
    <row r="7048" spans="1:6" x14ac:dyDescent="0.25">
      <c r="A7048" s="1" t="str">
        <f t="shared" si="250"/>
        <v>16984</v>
      </c>
      <c r="B7048" s="1" t="str">
        <f>"60120"</f>
        <v>60120</v>
      </c>
      <c r="C7048" s="2">
        <v>5.7897174617878599E-5</v>
      </c>
      <c r="D7048" s="2">
        <v>1.2531328320802E-3</v>
      </c>
      <c r="E7048" s="2">
        <v>2.23523626447315E-4</v>
      </c>
      <c r="F7048" s="2">
        <v>1.27862249736284E-4</v>
      </c>
    </row>
    <row r="7049" spans="1:6" x14ac:dyDescent="0.25">
      <c r="A7049" s="1" t="str">
        <f t="shared" si="250"/>
        <v>16984</v>
      </c>
      <c r="B7049" s="1" t="str">
        <f>"60406"</f>
        <v>60406</v>
      </c>
      <c r="C7049" s="2">
        <v>0</v>
      </c>
      <c r="D7049" s="2">
        <v>1.2531328320802E-3</v>
      </c>
      <c r="E7049" s="2">
        <v>1.1623228575260399E-3</v>
      </c>
      <c r="F7049" s="2">
        <v>3.0900043686268598E-4</v>
      </c>
    </row>
    <row r="7050" spans="1:6" x14ac:dyDescent="0.25">
      <c r="A7050" s="1" t="str">
        <f t="shared" si="250"/>
        <v>16984</v>
      </c>
      <c r="B7050" s="1" t="str">
        <f>"60643"</f>
        <v>60643</v>
      </c>
      <c r="C7050" s="2">
        <v>2.93828161185734E-3</v>
      </c>
      <c r="D7050" s="2">
        <v>4.1771094402673299E-4</v>
      </c>
      <c r="E7050" s="2">
        <v>3.0399213196834899E-3</v>
      </c>
      <c r="F7050" s="2">
        <v>2.8982109940224299E-3</v>
      </c>
    </row>
    <row r="7051" spans="1:6" x14ac:dyDescent="0.25">
      <c r="A7051" s="1" t="str">
        <f t="shared" si="250"/>
        <v>16984</v>
      </c>
      <c r="B7051" s="1" t="str">
        <f>"60067"</f>
        <v>60067</v>
      </c>
      <c r="C7051" s="2">
        <v>1.4474293654469599E-4</v>
      </c>
      <c r="D7051" s="2">
        <v>0</v>
      </c>
      <c r="E7051" s="2">
        <v>0</v>
      </c>
      <c r="F7051" s="2">
        <v>1.06551874780236E-4</v>
      </c>
    </row>
    <row r="7052" spans="1:6" x14ac:dyDescent="0.25">
      <c r="A7052" s="1" t="str">
        <f t="shared" si="250"/>
        <v>16984</v>
      </c>
      <c r="B7052" s="1" t="str">
        <f>"60634"</f>
        <v>60634</v>
      </c>
      <c r="C7052" s="2">
        <v>9.00301065308012E-3</v>
      </c>
      <c r="D7052" s="2">
        <v>1.7126148705096E-2</v>
      </c>
      <c r="E7052" s="2">
        <v>1.0058563190129099E-2</v>
      </c>
      <c r="F7052" s="2">
        <v>9.4618064804850195E-3</v>
      </c>
    </row>
    <row r="7053" spans="1:6" x14ac:dyDescent="0.25">
      <c r="A7053" s="1" t="str">
        <f t="shared" si="250"/>
        <v>16984</v>
      </c>
      <c r="B7053" s="1" t="str">
        <f>"60636"</f>
        <v>60636</v>
      </c>
      <c r="C7053" s="2">
        <v>1.30847614636405E-2</v>
      </c>
      <c r="D7053" s="2">
        <v>5.43024227234753E-3</v>
      </c>
      <c r="E7053" s="2">
        <v>1.36796459385757E-2</v>
      </c>
      <c r="F7053" s="2">
        <v>1.3031294285622899E-2</v>
      </c>
    </row>
    <row r="7054" spans="1:6" x14ac:dyDescent="0.25">
      <c r="A7054" s="1" t="str">
        <f t="shared" si="250"/>
        <v>16984</v>
      </c>
      <c r="B7054" s="1" t="str">
        <f>"60651"</f>
        <v>60651</v>
      </c>
      <c r="C7054" s="2">
        <v>4.2235988883742401E-2</v>
      </c>
      <c r="D7054" s="2">
        <v>1.6708437761069301E-2</v>
      </c>
      <c r="E7054" s="2">
        <v>4.4078859135410597E-2</v>
      </c>
      <c r="F7054" s="2">
        <v>4.20240594133253E-2</v>
      </c>
    </row>
    <row r="7055" spans="1:6" x14ac:dyDescent="0.25">
      <c r="A7055" s="1" t="str">
        <f t="shared" si="250"/>
        <v>16984</v>
      </c>
      <c r="B7055" s="1" t="str">
        <f>"60459"</f>
        <v>60459</v>
      </c>
      <c r="C7055" s="2">
        <v>4.3422880963408897E-5</v>
      </c>
      <c r="D7055" s="2">
        <v>1.2531328320802E-3</v>
      </c>
      <c r="E7055" s="2">
        <v>7.1527560463140898E-4</v>
      </c>
      <c r="F7055" s="2">
        <v>2.3441412451651999E-4</v>
      </c>
    </row>
    <row r="7056" spans="1:6" x14ac:dyDescent="0.25">
      <c r="A7056" s="1" t="str">
        <f t="shared" si="250"/>
        <v>16984</v>
      </c>
      <c r="B7056" s="1" t="str">
        <f>"60445"</f>
        <v>60445</v>
      </c>
      <c r="C7056" s="2">
        <v>1.8816581750810501E-4</v>
      </c>
      <c r="D7056" s="2">
        <v>0</v>
      </c>
      <c r="E7056" s="2">
        <v>1.78818901157852E-4</v>
      </c>
      <c r="F7056" s="2">
        <v>1.8113818712640201E-4</v>
      </c>
    </row>
    <row r="7057" spans="1:6" x14ac:dyDescent="0.25">
      <c r="A7057" s="1" t="str">
        <f t="shared" si="250"/>
        <v>16984</v>
      </c>
      <c r="B7057" s="1" t="str">
        <f>"60628"</f>
        <v>60628</v>
      </c>
      <c r="C7057" s="2">
        <v>1.3359773043075399E-2</v>
      </c>
      <c r="D7057" s="2">
        <v>7.9365079365079309E-3</v>
      </c>
      <c r="E7057" s="2">
        <v>1.40372837408914E-2</v>
      </c>
      <c r="F7057" s="2">
        <v>1.33829154723977E-2</v>
      </c>
    </row>
    <row r="7058" spans="1:6" x14ac:dyDescent="0.25">
      <c r="A7058" s="1" t="str">
        <f t="shared" si="250"/>
        <v>16984</v>
      </c>
      <c r="B7058" s="1" t="str">
        <f>"60616"</f>
        <v>60616</v>
      </c>
      <c r="C7058" s="2">
        <v>9.1188050023158804E-4</v>
      </c>
      <c r="D7058" s="2">
        <v>4.1771094402673299E-4</v>
      </c>
      <c r="E7058" s="2">
        <v>1.74348428628906E-3</v>
      </c>
      <c r="F7058" s="2">
        <v>1.09748431023643E-3</v>
      </c>
    </row>
    <row r="7059" spans="1:6" x14ac:dyDescent="0.25">
      <c r="A7059" s="1" t="str">
        <f t="shared" si="250"/>
        <v>16984</v>
      </c>
      <c r="B7059" s="1" t="str">
        <f>"60601"</f>
        <v>60601</v>
      </c>
      <c r="C7059" s="2">
        <v>0</v>
      </c>
      <c r="D7059" s="2">
        <v>7.1010860484544596E-3</v>
      </c>
      <c r="E7059" s="2">
        <v>4.6939961553936196E-3</v>
      </c>
      <c r="F7059" s="2">
        <v>1.2999328723188801E-3</v>
      </c>
    </row>
    <row r="7060" spans="1:6" x14ac:dyDescent="0.25">
      <c r="A7060" s="1" t="str">
        <f t="shared" si="250"/>
        <v>16984</v>
      </c>
      <c r="B7060" s="1" t="str">
        <f>"60137"</f>
        <v>60137</v>
      </c>
      <c r="C7060" s="2">
        <v>2.3158869847151399E-4</v>
      </c>
      <c r="D7060" s="2">
        <v>6.2656641604010004E-3</v>
      </c>
      <c r="E7060" s="2">
        <v>3.57637802315704E-4</v>
      </c>
      <c r="F7060" s="2">
        <v>4.1555231164292302E-4</v>
      </c>
    </row>
    <row r="7061" spans="1:6" x14ac:dyDescent="0.25">
      <c r="A7061" s="1" t="str">
        <f t="shared" si="250"/>
        <v>16984</v>
      </c>
      <c r="B7061" s="1" t="str">
        <f>"60660"</f>
        <v>60660</v>
      </c>
      <c r="C7061" s="2">
        <v>4.07017137563686E-2</v>
      </c>
      <c r="D7061" s="2">
        <v>2.2556390977443601E-2</v>
      </c>
      <c r="E7061" s="2">
        <v>4.14412803433322E-2</v>
      </c>
      <c r="F7061" s="2">
        <v>4.04151261041438E-2</v>
      </c>
    </row>
    <row r="7062" spans="1:6" x14ac:dyDescent="0.25">
      <c r="A7062" s="1" t="str">
        <f t="shared" ref="A7062:A7086" si="251">"17020"</f>
        <v>17020</v>
      </c>
      <c r="B7062" s="1" t="str">
        <f>"95954"</f>
        <v>95954</v>
      </c>
      <c r="C7062" s="2">
        <v>5.9518153468724799E-2</v>
      </c>
      <c r="D7062" s="2">
        <v>2.67963477570464E-3</v>
      </c>
      <c r="E7062" s="2">
        <v>6.8831627250264702E-3</v>
      </c>
      <c r="F7062" s="2">
        <v>5.2895327173871701E-2</v>
      </c>
    </row>
    <row r="7063" spans="1:6" x14ac:dyDescent="0.25">
      <c r="A7063" s="1" t="str">
        <f t="shared" si="251"/>
        <v>17020</v>
      </c>
      <c r="B7063" s="1" t="str">
        <f>"95967"</f>
        <v>95967</v>
      </c>
      <c r="C7063" s="2">
        <v>2.8636092706650601E-2</v>
      </c>
      <c r="D7063" s="2">
        <v>1.2107979356887601E-2</v>
      </c>
      <c r="E7063" s="2">
        <v>3.5298270384751098E-4</v>
      </c>
      <c r="F7063" s="2">
        <v>2.6151096916467002E-2</v>
      </c>
    </row>
    <row r="7064" spans="1:6" x14ac:dyDescent="0.25">
      <c r="A7064" s="1" t="str">
        <f t="shared" si="251"/>
        <v>17020</v>
      </c>
      <c r="B7064" s="1" t="str">
        <f>"95941"</f>
        <v>95941</v>
      </c>
      <c r="C7064" s="2">
        <v>7.6017380337413496E-4</v>
      </c>
      <c r="D7064" s="2">
        <v>1.9849146486701001E-4</v>
      </c>
      <c r="E7064" s="2">
        <v>5.2947405577126699E-4</v>
      </c>
      <c r="F7064" s="2">
        <v>7.0719744496406897E-4</v>
      </c>
    </row>
    <row r="7065" spans="1:6" x14ac:dyDescent="0.25">
      <c r="A7065" s="1" t="str">
        <f t="shared" si="251"/>
        <v>17020</v>
      </c>
      <c r="B7065" s="1" t="str">
        <f>"95927"</f>
        <v>95927</v>
      </c>
      <c r="C7065" s="2">
        <v>4.9817299137029897E-2</v>
      </c>
      <c r="D7065" s="2">
        <v>9.7757046447002699E-2</v>
      </c>
      <c r="E7065" s="2">
        <v>7.0596540769502197E-4</v>
      </c>
      <c r="F7065" s="2">
        <v>5.1374472453518803E-2</v>
      </c>
    </row>
    <row r="7066" spans="1:6" x14ac:dyDescent="0.25">
      <c r="A7066" s="1" t="str">
        <f t="shared" si="251"/>
        <v>17020</v>
      </c>
      <c r="B7066" s="1" t="str">
        <f>"95916"</f>
        <v>95916</v>
      </c>
      <c r="C7066" s="2">
        <v>5.8395169441013096E-3</v>
      </c>
      <c r="D7066" s="2">
        <v>0</v>
      </c>
      <c r="E7066" s="2">
        <v>1.76491351923755E-4</v>
      </c>
      <c r="F7066" s="2">
        <v>5.1480932283943497E-3</v>
      </c>
    </row>
    <row r="7067" spans="1:6" x14ac:dyDescent="0.25">
      <c r="A7067" s="1" t="str">
        <f t="shared" si="251"/>
        <v>17020</v>
      </c>
      <c r="B7067" s="1" t="str">
        <f>"95926"</f>
        <v>95926</v>
      </c>
      <c r="C7067" s="2">
        <v>0.143949275675302</v>
      </c>
      <c r="D7067" s="2">
        <v>0.18469630805875301</v>
      </c>
      <c r="E7067" s="2">
        <v>0.26650194140487099</v>
      </c>
      <c r="F7067" s="2">
        <v>0.152351621611345</v>
      </c>
    </row>
    <row r="7068" spans="1:6" x14ac:dyDescent="0.25">
      <c r="A7068" s="1" t="str">
        <f t="shared" si="251"/>
        <v>17020</v>
      </c>
      <c r="B7068" s="1" t="str">
        <f>"95914"</f>
        <v>95914</v>
      </c>
      <c r="C7068" s="2">
        <v>1.0193239636153101E-3</v>
      </c>
      <c r="D7068" s="2">
        <v>1.9849146486701001E-4</v>
      </c>
      <c r="E7068" s="2">
        <v>1.76491351923755E-4</v>
      </c>
      <c r="F7068" s="2">
        <v>9.2011710581346696E-4</v>
      </c>
    </row>
    <row r="7069" spans="1:6" x14ac:dyDescent="0.25">
      <c r="A7069" s="1" t="str">
        <f t="shared" si="251"/>
        <v>17020</v>
      </c>
      <c r="B7069" s="1" t="str">
        <f>"95938"</f>
        <v>95938</v>
      </c>
      <c r="C7069" s="2">
        <v>2.0248265853510999E-2</v>
      </c>
      <c r="D7069" s="2">
        <v>2.0543866613735601E-2</v>
      </c>
      <c r="E7069" s="2">
        <v>1.09424638192728E-2</v>
      </c>
      <c r="F7069" s="2">
        <v>1.9869966921409798E-2</v>
      </c>
    </row>
    <row r="7070" spans="1:6" x14ac:dyDescent="0.25">
      <c r="A7070" s="1" t="str">
        <f t="shared" si="251"/>
        <v>17020</v>
      </c>
      <c r="B7070" s="1" t="str">
        <f>"95966"</f>
        <v>95966</v>
      </c>
      <c r="C7070" s="2">
        <v>0.124487098641189</v>
      </c>
      <c r="D7070" s="2">
        <v>7.2449384676458894E-2</v>
      </c>
      <c r="E7070" s="2">
        <v>5.8242146134839301E-2</v>
      </c>
      <c r="F7070" s="2">
        <v>0.11764571689289301</v>
      </c>
    </row>
    <row r="7071" spans="1:6" x14ac:dyDescent="0.25">
      <c r="A7071" s="1" t="str">
        <f t="shared" si="251"/>
        <v>17020</v>
      </c>
      <c r="B7071" s="1" t="str">
        <f>"95928"</f>
        <v>95928</v>
      </c>
      <c r="C7071" s="2">
        <v>0.14306816513048201</v>
      </c>
      <c r="D7071" s="2">
        <v>0.255855498213576</v>
      </c>
      <c r="E7071" s="2">
        <v>0.267384398164489</v>
      </c>
      <c r="F7071" s="2">
        <v>0.157066271244439</v>
      </c>
    </row>
    <row r="7072" spans="1:6" x14ac:dyDescent="0.25">
      <c r="A7072" s="1" t="str">
        <f t="shared" si="251"/>
        <v>17020</v>
      </c>
      <c r="B7072" s="1" t="str">
        <f>"95978"</f>
        <v>95978</v>
      </c>
      <c r="C7072" s="2">
        <v>0</v>
      </c>
      <c r="D7072" s="2">
        <v>0</v>
      </c>
      <c r="E7072" s="2">
        <v>1.76491351923755E-4</v>
      </c>
      <c r="F7072" s="2">
        <v>7.6042736017641902E-6</v>
      </c>
    </row>
    <row r="7073" spans="1:6" x14ac:dyDescent="0.25">
      <c r="A7073" s="1" t="str">
        <f t="shared" si="251"/>
        <v>17020</v>
      </c>
      <c r="B7073" s="1" t="str">
        <f>"95974"</f>
        <v>95974</v>
      </c>
      <c r="C7073" s="2">
        <v>0</v>
      </c>
      <c r="D7073" s="2">
        <v>0</v>
      </c>
      <c r="E7073" s="2">
        <v>1.76491351923755E-4</v>
      </c>
      <c r="F7073" s="2">
        <v>7.6042736017641902E-6</v>
      </c>
    </row>
    <row r="7074" spans="1:6" x14ac:dyDescent="0.25">
      <c r="A7074" s="1" t="str">
        <f t="shared" si="251"/>
        <v>17020</v>
      </c>
      <c r="B7074" s="1" t="str">
        <f>"95958"</f>
        <v>95958</v>
      </c>
      <c r="C7074" s="2">
        <v>0</v>
      </c>
      <c r="D7074" s="2">
        <v>0</v>
      </c>
      <c r="E7074" s="2">
        <v>1.76491351923755E-4</v>
      </c>
      <c r="F7074" s="2">
        <v>7.6042736017641902E-6</v>
      </c>
    </row>
    <row r="7075" spans="1:6" x14ac:dyDescent="0.25">
      <c r="A7075" s="1" t="str">
        <f t="shared" si="251"/>
        <v>17020</v>
      </c>
      <c r="B7075" s="1" t="str">
        <f>"95942"</f>
        <v>95942</v>
      </c>
      <c r="C7075" s="2">
        <v>2.4187348289177002E-3</v>
      </c>
      <c r="D7075" s="2">
        <v>0</v>
      </c>
      <c r="E7075" s="2">
        <v>5.2947405577126699E-4</v>
      </c>
      <c r="F7075" s="2">
        <v>2.1520094292992601E-3</v>
      </c>
    </row>
    <row r="7076" spans="1:6" x14ac:dyDescent="0.25">
      <c r="A7076" s="1" t="str">
        <f t="shared" si="251"/>
        <v>17020</v>
      </c>
      <c r="B7076" s="1" t="str">
        <f>"95973"</f>
        <v>95973</v>
      </c>
      <c r="C7076" s="2">
        <v>0.13933640282300899</v>
      </c>
      <c r="D7076" s="2">
        <v>0.15402937673680001</v>
      </c>
      <c r="E7076" s="2">
        <v>0.14631133074479299</v>
      </c>
      <c r="F7076" s="2">
        <v>0.14076270864225601</v>
      </c>
    </row>
    <row r="7077" spans="1:6" x14ac:dyDescent="0.25">
      <c r="A7077" s="1" t="str">
        <f t="shared" si="251"/>
        <v>17020</v>
      </c>
      <c r="B7077" s="1" t="str">
        <f>"95968"</f>
        <v>95968</v>
      </c>
      <c r="C7077" s="2">
        <v>1.16790338882026E-2</v>
      </c>
      <c r="D7077" s="2">
        <v>4.86304088924176E-3</v>
      </c>
      <c r="E7077" s="2">
        <v>1.0589481115425301E-3</v>
      </c>
      <c r="F7077" s="2">
        <v>1.0699212957682201E-2</v>
      </c>
    </row>
    <row r="7078" spans="1:6" x14ac:dyDescent="0.25">
      <c r="A7078" s="1" t="str">
        <f t="shared" si="251"/>
        <v>17020</v>
      </c>
      <c r="B7078" s="1" t="str">
        <f>"95940"</f>
        <v>95940</v>
      </c>
      <c r="C7078" s="2">
        <v>1.6067309934953301E-3</v>
      </c>
      <c r="D7078" s="2">
        <v>3.9698292973402099E-4</v>
      </c>
      <c r="E7078" s="2">
        <v>3.5298270384751098E-4</v>
      </c>
      <c r="F7078" s="2">
        <v>1.46002053153872E-3</v>
      </c>
    </row>
    <row r="7079" spans="1:6" x14ac:dyDescent="0.25">
      <c r="A7079" s="1" t="str">
        <f t="shared" si="251"/>
        <v>17020</v>
      </c>
      <c r="B7079" s="1" t="str">
        <f>"95917"</f>
        <v>95917</v>
      </c>
      <c r="C7079" s="2">
        <v>6.6687974568730903E-3</v>
      </c>
      <c r="D7079" s="2">
        <v>1.6871774513695899E-3</v>
      </c>
      <c r="E7079" s="2">
        <v>1.2354394634662899E-3</v>
      </c>
      <c r="F7079" s="2">
        <v>6.0530017870042904E-3</v>
      </c>
    </row>
    <row r="7080" spans="1:6" x14ac:dyDescent="0.25">
      <c r="A7080" s="1" t="str">
        <f t="shared" si="251"/>
        <v>17020</v>
      </c>
      <c r="B7080" s="1" t="str">
        <f>"95930"</f>
        <v>95930</v>
      </c>
      <c r="C7080" s="2">
        <v>1.0366006409647201E-4</v>
      </c>
      <c r="D7080" s="2">
        <v>0</v>
      </c>
      <c r="E7080" s="2">
        <v>0</v>
      </c>
      <c r="F7080" s="2">
        <v>9.1251283221170201E-5</v>
      </c>
    </row>
    <row r="7081" spans="1:6" x14ac:dyDescent="0.25">
      <c r="A7081" s="1" t="str">
        <f t="shared" si="251"/>
        <v>17020</v>
      </c>
      <c r="B7081" s="1" t="str">
        <f>"95976"</f>
        <v>95976</v>
      </c>
      <c r="C7081" s="2">
        <v>0</v>
      </c>
      <c r="D7081" s="2">
        <v>9.9245732433505301E-5</v>
      </c>
      <c r="E7081" s="2">
        <v>0</v>
      </c>
      <c r="F7081" s="2">
        <v>7.6042736017641902E-6</v>
      </c>
    </row>
    <row r="7082" spans="1:6" x14ac:dyDescent="0.25">
      <c r="A7082" s="1" t="str">
        <f t="shared" si="251"/>
        <v>17020</v>
      </c>
      <c r="B7082" s="1" t="str">
        <f>"95901"</f>
        <v>95901</v>
      </c>
      <c r="C7082" s="2">
        <v>6.5651373927766204E-4</v>
      </c>
      <c r="D7082" s="2">
        <v>0</v>
      </c>
      <c r="E7082" s="2">
        <v>0</v>
      </c>
      <c r="F7082" s="2">
        <v>5.7792479373407798E-4</v>
      </c>
    </row>
    <row r="7083" spans="1:6" x14ac:dyDescent="0.25">
      <c r="A7083" s="1" t="str">
        <f t="shared" si="251"/>
        <v>17020</v>
      </c>
      <c r="B7083" s="1" t="str">
        <f>"95948"</f>
        <v>95948</v>
      </c>
      <c r="C7083" s="2">
        <v>4.4306039062567401E-2</v>
      </c>
      <c r="D7083" s="2">
        <v>4.7737197300516003E-2</v>
      </c>
      <c r="E7083" s="2">
        <v>1.62372043769855E-2</v>
      </c>
      <c r="F7083" s="2">
        <v>4.3359568077259401E-2</v>
      </c>
    </row>
    <row r="7084" spans="1:6" x14ac:dyDescent="0.25">
      <c r="A7084" s="1" t="str">
        <f t="shared" si="251"/>
        <v>17020</v>
      </c>
      <c r="B7084" s="1" t="str">
        <f>"95965"</f>
        <v>95965</v>
      </c>
      <c r="C7084" s="2">
        <v>8.7324965662603699E-2</v>
      </c>
      <c r="D7084" s="2">
        <v>0.117010718539102</v>
      </c>
      <c r="E7084" s="2">
        <v>8.8422167313801606E-2</v>
      </c>
      <c r="F7084" s="2">
        <v>8.9646781491197994E-2</v>
      </c>
    </row>
    <row r="7085" spans="1:6" x14ac:dyDescent="0.25">
      <c r="A7085" s="1" t="str">
        <f t="shared" si="251"/>
        <v>17020</v>
      </c>
      <c r="B7085" s="1" t="str">
        <f>"95969"</f>
        <v>95969</v>
      </c>
      <c r="C7085" s="2">
        <v>0.12855575615697501</v>
      </c>
      <c r="D7085" s="2">
        <v>2.74910678840809E-2</v>
      </c>
      <c r="E7085" s="2">
        <v>0.13342746205435899</v>
      </c>
      <c r="F7085" s="2">
        <v>0.12102201437207701</v>
      </c>
    </row>
    <row r="7086" spans="1:6" x14ac:dyDescent="0.25">
      <c r="A7086" s="1" t="str">
        <f t="shared" si="251"/>
        <v>17020</v>
      </c>
      <c r="B7086" s="1" t="str">
        <f>"95929"</f>
        <v>95929</v>
      </c>
      <c r="C7086" s="2">
        <v>0</v>
      </c>
      <c r="D7086" s="2">
        <v>1.9849146486701001E-4</v>
      </c>
      <c r="E7086" s="2">
        <v>0</v>
      </c>
      <c r="F7086" s="2">
        <v>1.5208547203528301E-5</v>
      </c>
    </row>
    <row r="7087" spans="1:6" x14ac:dyDescent="0.25">
      <c r="A7087" s="1" t="str">
        <f t="shared" ref="A7087:A7103" si="252">"17060"</f>
        <v>17060</v>
      </c>
      <c r="B7087" s="1" t="str">
        <f>"43101"</f>
        <v>43101</v>
      </c>
      <c r="C7087" s="2">
        <v>3.6153695243967298E-3</v>
      </c>
      <c r="D7087" s="2">
        <v>8.4853627492575295E-4</v>
      </c>
      <c r="E7087" s="2">
        <v>0</v>
      </c>
      <c r="F7087" s="2">
        <v>3.4004776243380698E-3</v>
      </c>
    </row>
    <row r="7088" spans="1:6" x14ac:dyDescent="0.25">
      <c r="A7088" s="1" t="str">
        <f t="shared" si="252"/>
        <v>17060</v>
      </c>
      <c r="B7088" s="1" t="str">
        <f>"45681"</f>
        <v>45681</v>
      </c>
      <c r="C7088" s="2">
        <v>2.0066702166419099E-2</v>
      </c>
      <c r="D7088" s="2">
        <v>2.9698769622401298E-3</v>
      </c>
      <c r="E7088" s="2">
        <v>8.2304526748971096E-3</v>
      </c>
      <c r="F7088" s="2">
        <v>1.8871352922853201E-2</v>
      </c>
    </row>
    <row r="7089" spans="1:6" x14ac:dyDescent="0.25">
      <c r="A7089" s="1" t="str">
        <f t="shared" si="252"/>
        <v>17060</v>
      </c>
      <c r="B7089" s="1" t="str">
        <f>"45672"</f>
        <v>45672</v>
      </c>
      <c r="C7089" s="2">
        <v>3.9236568481825E-4</v>
      </c>
      <c r="D7089" s="2">
        <v>0</v>
      </c>
      <c r="E7089" s="2">
        <v>0</v>
      </c>
      <c r="F7089" s="2">
        <v>3.6340982244834302E-4</v>
      </c>
    </row>
    <row r="7090" spans="1:6" x14ac:dyDescent="0.25">
      <c r="A7090" s="1" t="str">
        <f t="shared" si="252"/>
        <v>17060</v>
      </c>
      <c r="B7090" s="1" t="str">
        <f>"45617"</f>
        <v>45617</v>
      </c>
      <c r="C7090" s="2">
        <v>0</v>
      </c>
      <c r="D7090" s="2">
        <v>4.2426813746287599E-4</v>
      </c>
      <c r="E7090" s="2">
        <v>0</v>
      </c>
      <c r="F7090" s="2">
        <v>2.5957844460595901E-5</v>
      </c>
    </row>
    <row r="7091" spans="1:6" x14ac:dyDescent="0.25">
      <c r="A7091" s="1" t="str">
        <f t="shared" si="252"/>
        <v>17060</v>
      </c>
      <c r="B7091" s="1" t="str">
        <f>"45633"</f>
        <v>45633</v>
      </c>
      <c r="C7091" s="2">
        <v>0</v>
      </c>
      <c r="D7091" s="2">
        <v>4.2426813746287599E-4</v>
      </c>
      <c r="E7091" s="2">
        <v>0</v>
      </c>
      <c r="F7091" s="2">
        <v>2.5957844460595901E-5</v>
      </c>
    </row>
    <row r="7092" spans="1:6" x14ac:dyDescent="0.25">
      <c r="A7092" s="1" t="str">
        <f t="shared" si="252"/>
        <v>17060</v>
      </c>
      <c r="B7092" s="1" t="str">
        <f>"43115"</f>
        <v>43115</v>
      </c>
      <c r="C7092" s="2">
        <v>1.2331492951430699E-2</v>
      </c>
      <c r="D7092" s="2">
        <v>2.9698769622401298E-3</v>
      </c>
      <c r="E7092" s="2">
        <v>4.1152263374485496E-3</v>
      </c>
      <c r="F7092" s="2">
        <v>1.16550721628076E-2</v>
      </c>
    </row>
    <row r="7093" spans="1:6" x14ac:dyDescent="0.25">
      <c r="A7093" s="1" t="str">
        <f t="shared" si="252"/>
        <v>17060</v>
      </c>
      <c r="B7093" s="1" t="str">
        <f>"45690"</f>
        <v>45690</v>
      </c>
      <c r="C7093" s="2">
        <v>1.91978924357501E-2</v>
      </c>
      <c r="D7093" s="2">
        <v>6.7882901994060201E-3</v>
      </c>
      <c r="E7093" s="2">
        <v>8.2304526748971096E-3</v>
      </c>
      <c r="F7093" s="2">
        <v>1.8300280344720098E-2</v>
      </c>
    </row>
    <row r="7094" spans="1:6" x14ac:dyDescent="0.25">
      <c r="A7094" s="1" t="str">
        <f t="shared" si="252"/>
        <v>17060</v>
      </c>
      <c r="B7094" s="1" t="str">
        <f>"45644"</f>
        <v>45644</v>
      </c>
      <c r="C7094" s="2">
        <v>5.5884083966256499E-2</v>
      </c>
      <c r="D7094" s="2">
        <v>4.2426813746287602E-3</v>
      </c>
      <c r="E7094" s="2">
        <v>1.02880658436213E-2</v>
      </c>
      <c r="F7094" s="2">
        <v>5.2149309521337298E-2</v>
      </c>
    </row>
    <row r="7095" spans="1:6" x14ac:dyDescent="0.25">
      <c r="A7095" s="1" t="str">
        <f t="shared" si="252"/>
        <v>17060</v>
      </c>
      <c r="B7095" s="1" t="str">
        <f>"45123"</f>
        <v>45123</v>
      </c>
      <c r="C7095" s="2">
        <v>1.4993974384126E-2</v>
      </c>
      <c r="D7095" s="2">
        <v>6.7882901994060201E-3</v>
      </c>
      <c r="E7095" s="2">
        <v>8.2304526748971096E-3</v>
      </c>
      <c r="F7095" s="2">
        <v>1.4406603675630699E-2</v>
      </c>
    </row>
    <row r="7096" spans="1:6" x14ac:dyDescent="0.25">
      <c r="A7096" s="1" t="str">
        <f t="shared" si="252"/>
        <v>17060</v>
      </c>
      <c r="B7096" s="1" t="str">
        <f>"43164"</f>
        <v>43164</v>
      </c>
      <c r="C7096" s="2">
        <v>9.5288809170146504E-4</v>
      </c>
      <c r="D7096" s="2">
        <v>0</v>
      </c>
      <c r="E7096" s="2">
        <v>0</v>
      </c>
      <c r="F7096" s="2">
        <v>8.8256671166026305E-4</v>
      </c>
    </row>
    <row r="7097" spans="1:6" x14ac:dyDescent="0.25">
      <c r="A7097" s="1" t="str">
        <f t="shared" si="252"/>
        <v>17060</v>
      </c>
      <c r="B7097" s="1" t="str">
        <f>"45673"</f>
        <v>45673</v>
      </c>
      <c r="C7097" s="2">
        <v>5.6893024298646303E-3</v>
      </c>
      <c r="D7097" s="2">
        <v>4.66694951209164E-3</v>
      </c>
      <c r="E7097" s="2">
        <v>4.1152263374485496E-3</v>
      </c>
      <c r="F7097" s="2">
        <v>5.6068944034887297E-3</v>
      </c>
    </row>
    <row r="7098" spans="1:6" x14ac:dyDescent="0.25">
      <c r="A7098" s="1" t="str">
        <f t="shared" si="252"/>
        <v>17060</v>
      </c>
      <c r="B7098" s="1" t="str">
        <f>"43160"</f>
        <v>43160</v>
      </c>
      <c r="C7098" s="2">
        <v>1.7376194613379599E-3</v>
      </c>
      <c r="D7098" s="2">
        <v>5.0912176495545103E-3</v>
      </c>
      <c r="E7098" s="2">
        <v>2.05761316872427E-3</v>
      </c>
      <c r="F7098" s="2">
        <v>1.9468383345446899E-3</v>
      </c>
    </row>
    <row r="7099" spans="1:6" x14ac:dyDescent="0.25">
      <c r="A7099" s="1" t="str">
        <f t="shared" si="252"/>
        <v>17060</v>
      </c>
      <c r="B7099" s="1" t="str">
        <f>"45612"</f>
        <v>45612</v>
      </c>
      <c r="C7099" s="2">
        <v>4.90176844819371E-2</v>
      </c>
      <c r="D7099" s="2">
        <v>2.0364870598218E-2</v>
      </c>
      <c r="E7099" s="2">
        <v>1.85185185185185E-2</v>
      </c>
      <c r="F7099" s="2">
        <v>4.6879867095836303E-2</v>
      </c>
    </row>
    <row r="7100" spans="1:6" x14ac:dyDescent="0.25">
      <c r="A7100" s="1" t="str">
        <f t="shared" si="252"/>
        <v>17060</v>
      </c>
      <c r="B7100" s="1" t="str">
        <f>"45647"</f>
        <v>45647</v>
      </c>
      <c r="C7100" s="2">
        <v>1.7376194613379602E-2</v>
      </c>
      <c r="D7100" s="2">
        <v>7.6368264743317702E-3</v>
      </c>
      <c r="E7100" s="2">
        <v>4.1152263374485496E-3</v>
      </c>
      <c r="F7100" s="2">
        <v>1.6613020454781399E-2</v>
      </c>
    </row>
    <row r="7101" spans="1:6" x14ac:dyDescent="0.25">
      <c r="A7101" s="1" t="str">
        <f t="shared" si="252"/>
        <v>17060</v>
      </c>
      <c r="B7101" s="1" t="str">
        <f>"45628"</f>
        <v>45628</v>
      </c>
      <c r="C7101" s="2">
        <v>6.7122558224264994E-2</v>
      </c>
      <c r="D7101" s="2">
        <v>1.5697921086126401E-2</v>
      </c>
      <c r="E7101" s="2">
        <v>2.0576131687242701E-2</v>
      </c>
      <c r="F7101" s="2">
        <v>6.3389056172775404E-2</v>
      </c>
    </row>
    <row r="7102" spans="1:6" x14ac:dyDescent="0.25">
      <c r="A7102" s="1" t="str">
        <f t="shared" si="252"/>
        <v>17060</v>
      </c>
      <c r="B7102" s="1" t="str">
        <f>"45601"</f>
        <v>45601</v>
      </c>
      <c r="C7102" s="2">
        <v>0.72394271461001602</v>
      </c>
      <c r="D7102" s="2">
        <v>0.92066185829444203</v>
      </c>
      <c r="E7102" s="2">
        <v>0.91152263374485498</v>
      </c>
      <c r="F7102" s="2">
        <v>0.73834492783719197</v>
      </c>
    </row>
    <row r="7103" spans="1:6" x14ac:dyDescent="0.25">
      <c r="A7103" s="1" t="str">
        <f t="shared" si="252"/>
        <v>17060</v>
      </c>
      <c r="B7103" s="1" t="str">
        <f>"43135"</f>
        <v>43135</v>
      </c>
      <c r="C7103" s="2">
        <v>7.6791569743000403E-3</v>
      </c>
      <c r="D7103" s="2">
        <v>4.2426813746287599E-4</v>
      </c>
      <c r="E7103" s="2">
        <v>0</v>
      </c>
      <c r="F7103" s="2">
        <v>7.1384072266638902E-3</v>
      </c>
    </row>
    <row r="7104" spans="1:6" x14ac:dyDescent="0.25">
      <c r="A7104" s="1" t="str">
        <f t="shared" ref="A7104:A7167" si="253">"17140"</f>
        <v>17140</v>
      </c>
      <c r="B7104" s="1" t="str">
        <f>"45211"</f>
        <v>45211</v>
      </c>
      <c r="C7104" s="2">
        <v>1.83767479379831E-2</v>
      </c>
      <c r="D7104" s="2">
        <v>1.39839298061562E-2</v>
      </c>
      <c r="E7104" s="2">
        <v>3.2287275565964002E-2</v>
      </c>
      <c r="F7104" s="2">
        <v>1.8817930652472E-2</v>
      </c>
    </row>
    <row r="7105" spans="1:6" x14ac:dyDescent="0.25">
      <c r="A7105" s="1" t="str">
        <f t="shared" si="253"/>
        <v>17140</v>
      </c>
      <c r="B7105" s="1" t="str">
        <f>"45236"</f>
        <v>45236</v>
      </c>
      <c r="C7105" s="2">
        <v>1.2562188574670599E-2</v>
      </c>
      <c r="D7105" s="2">
        <v>1.8371045039460101E-2</v>
      </c>
      <c r="E7105" s="2">
        <v>1.5956284153005401E-2</v>
      </c>
      <c r="F7105" s="2">
        <v>1.3157183677053701E-2</v>
      </c>
    </row>
    <row r="7106" spans="1:6" x14ac:dyDescent="0.25">
      <c r="A7106" s="1" t="str">
        <f t="shared" si="253"/>
        <v>17140</v>
      </c>
      <c r="B7106" s="1" t="str">
        <f>"45162"</f>
        <v>45162</v>
      </c>
      <c r="C7106" s="2">
        <v>1.0073680675901501E-3</v>
      </c>
      <c r="D7106" s="2">
        <v>2.9803771965379898E-4</v>
      </c>
      <c r="E7106" s="2">
        <v>6.2451209992193504E-5</v>
      </c>
      <c r="F7106" s="2">
        <v>9.0602349412646798E-4</v>
      </c>
    </row>
    <row r="7107" spans="1:6" x14ac:dyDescent="0.25">
      <c r="A7107" s="1" t="str">
        <f t="shared" si="253"/>
        <v>17140</v>
      </c>
      <c r="B7107" s="1" t="str">
        <f>"45207"</f>
        <v>45207</v>
      </c>
      <c r="C7107" s="2">
        <v>3.87026179990814E-3</v>
      </c>
      <c r="D7107" s="2">
        <v>3.8148828115686299E-3</v>
      </c>
      <c r="E7107" s="2">
        <v>5.2459016393442597E-3</v>
      </c>
      <c r="F7107" s="2">
        <v>3.9407377885258398E-3</v>
      </c>
    </row>
    <row r="7108" spans="1:6" x14ac:dyDescent="0.25">
      <c r="A7108" s="1" t="str">
        <f t="shared" si="253"/>
        <v>17140</v>
      </c>
      <c r="B7108" s="1" t="str">
        <f>"47012"</f>
        <v>47012</v>
      </c>
      <c r="C7108" s="2">
        <v>4.5929808445681203E-3</v>
      </c>
      <c r="D7108" s="2">
        <v>4.1606065663670304E-3</v>
      </c>
      <c r="E7108" s="2">
        <v>1.9203747072599499E-3</v>
      </c>
      <c r="F7108" s="2">
        <v>4.4178144653025898E-3</v>
      </c>
    </row>
    <row r="7109" spans="1:6" x14ac:dyDescent="0.25">
      <c r="A7109" s="1" t="str">
        <f t="shared" si="253"/>
        <v>17140</v>
      </c>
      <c r="B7109" s="1" t="str">
        <f>"47016"</f>
        <v>47016</v>
      </c>
      <c r="C7109" s="2">
        <v>3.4254373945833701E-4</v>
      </c>
      <c r="D7109" s="2">
        <v>4.7686035144607897E-5</v>
      </c>
      <c r="E7109" s="2">
        <v>0</v>
      </c>
      <c r="F7109" s="2">
        <v>3.0313367604044902E-4</v>
      </c>
    </row>
    <row r="7110" spans="1:6" x14ac:dyDescent="0.25">
      <c r="A7110" s="1" t="str">
        <f t="shared" si="253"/>
        <v>17140</v>
      </c>
      <c r="B7110" s="1" t="str">
        <f>"47060"</f>
        <v>47060</v>
      </c>
      <c r="C7110" s="2">
        <v>2.99701649227491E-3</v>
      </c>
      <c r="D7110" s="2">
        <v>1.94320593214277E-3</v>
      </c>
      <c r="E7110" s="2">
        <v>1.6549570647931299E-3</v>
      </c>
      <c r="F7110" s="2">
        <v>2.8497943081797102E-3</v>
      </c>
    </row>
    <row r="7111" spans="1:6" x14ac:dyDescent="0.25">
      <c r="A7111" s="1" t="str">
        <f t="shared" si="253"/>
        <v>17140</v>
      </c>
      <c r="B7111" s="1" t="str">
        <f>"45067"</f>
        <v>45067</v>
      </c>
      <c r="C7111" s="2">
        <v>5.4218402028630803E-3</v>
      </c>
      <c r="D7111" s="2">
        <v>2.09818554636274E-3</v>
      </c>
      <c r="E7111" s="2">
        <v>5.3551912568305998E-3</v>
      </c>
      <c r="F7111" s="2">
        <v>5.1828259151428299E-3</v>
      </c>
    </row>
    <row r="7112" spans="1:6" x14ac:dyDescent="0.25">
      <c r="A7112" s="1" t="str">
        <f t="shared" si="253"/>
        <v>17140</v>
      </c>
      <c r="B7112" s="1" t="str">
        <f>"45113"</f>
        <v>45113</v>
      </c>
      <c r="C7112" s="2">
        <v>5.7315769362887897E-4</v>
      </c>
      <c r="D7112" s="2">
        <v>7.1529052716911795E-5</v>
      </c>
      <c r="E7112" s="2">
        <v>3.1225604996096698E-5</v>
      </c>
      <c r="F7112" s="2">
        <v>5.0831886622938803E-4</v>
      </c>
    </row>
    <row r="7113" spans="1:6" x14ac:dyDescent="0.25">
      <c r="A7113" s="1" t="str">
        <f t="shared" si="253"/>
        <v>17140</v>
      </c>
      <c r="B7113" s="1" t="str">
        <f>"45030"</f>
        <v>45030</v>
      </c>
      <c r="C7113" s="2">
        <v>8.86078636463636E-3</v>
      </c>
      <c r="D7113" s="2">
        <v>7.4151784649865203E-3</v>
      </c>
      <c r="E7113" s="2">
        <v>7.2443403590944496E-3</v>
      </c>
      <c r="F7113" s="2">
        <v>8.6709741483548004E-3</v>
      </c>
    </row>
    <row r="7114" spans="1:6" x14ac:dyDescent="0.25">
      <c r="A7114" s="1" t="str">
        <f t="shared" si="253"/>
        <v>17140</v>
      </c>
      <c r="B7114" s="1" t="str">
        <f>"45053"</f>
        <v>45053</v>
      </c>
      <c r="C7114" s="2">
        <v>1.2321925501078701E-3</v>
      </c>
      <c r="D7114" s="2">
        <v>2.1458715815073499E-4</v>
      </c>
      <c r="E7114" s="2">
        <v>7.8064012490241904E-5</v>
      </c>
      <c r="F7114" s="2">
        <v>1.09769854833588E-3</v>
      </c>
    </row>
    <row r="7115" spans="1:6" x14ac:dyDescent="0.25">
      <c r="A7115" s="1" t="str">
        <f t="shared" si="253"/>
        <v>17140</v>
      </c>
      <c r="B7115" s="1" t="str">
        <f>"45120"</f>
        <v>45120</v>
      </c>
      <c r="C7115" s="2">
        <v>1.4473679132042401E-3</v>
      </c>
      <c r="D7115" s="2">
        <v>1.5497961421997501E-4</v>
      </c>
      <c r="E7115" s="2">
        <v>8.8992974238875802E-4</v>
      </c>
      <c r="F7115" s="2">
        <v>1.3256820929902599E-3</v>
      </c>
    </row>
    <row r="7116" spans="1:6" x14ac:dyDescent="0.25">
      <c r="A7116" s="1" t="str">
        <f t="shared" si="253"/>
        <v>17140</v>
      </c>
      <c r="B7116" s="1" t="str">
        <f>"45130"</f>
        <v>45130</v>
      </c>
      <c r="C7116" s="2">
        <v>1.5660520820869801E-3</v>
      </c>
      <c r="D7116" s="2">
        <v>3.21880737226103E-4</v>
      </c>
      <c r="E7116" s="2">
        <v>2.0296643247462901E-4</v>
      </c>
      <c r="F7116" s="2">
        <v>1.40420975837121E-3</v>
      </c>
    </row>
    <row r="7117" spans="1:6" x14ac:dyDescent="0.25">
      <c r="A7117" s="1" t="str">
        <f t="shared" si="253"/>
        <v>17140</v>
      </c>
      <c r="B7117" s="1" t="str">
        <f>"45119"</f>
        <v>45119</v>
      </c>
      <c r="C7117" s="2">
        <v>0</v>
      </c>
      <c r="D7117" s="2">
        <v>0</v>
      </c>
      <c r="E7117" s="2">
        <v>1.5612802498048301E-5</v>
      </c>
      <c r="F7117" s="2">
        <v>8.4438349871991403E-7</v>
      </c>
    </row>
    <row r="7118" spans="1:6" x14ac:dyDescent="0.25">
      <c r="A7118" s="1" t="str">
        <f t="shared" si="253"/>
        <v>17140</v>
      </c>
      <c r="B7118" s="1" t="str">
        <f>"45063"</f>
        <v>45063</v>
      </c>
      <c r="C7118" s="2">
        <v>0</v>
      </c>
      <c r="D7118" s="2">
        <v>0</v>
      </c>
      <c r="E7118" s="2">
        <v>1.5612802498048301E-5</v>
      </c>
      <c r="F7118" s="2">
        <v>8.4438349871991403E-7</v>
      </c>
    </row>
    <row r="7119" spans="1:6" x14ac:dyDescent="0.25">
      <c r="A7119" s="1" t="str">
        <f t="shared" si="253"/>
        <v>17140</v>
      </c>
      <c r="B7119" s="1" t="str">
        <f>"45055"</f>
        <v>45055</v>
      </c>
      <c r="C7119" s="2">
        <v>2.9912270206220901E-5</v>
      </c>
      <c r="D7119" s="2">
        <v>0</v>
      </c>
      <c r="E7119" s="2">
        <v>1.5612802498048301E-5</v>
      </c>
      <c r="F7119" s="2">
        <v>2.7020271959037202E-5</v>
      </c>
    </row>
    <row r="7120" spans="1:6" x14ac:dyDescent="0.25">
      <c r="A7120" s="1" t="str">
        <f t="shared" si="253"/>
        <v>17140</v>
      </c>
      <c r="B7120" s="1" t="str">
        <f>"45262"</f>
        <v>45262</v>
      </c>
      <c r="C7120" s="2">
        <v>1.0102628034165599E-3</v>
      </c>
      <c r="D7120" s="2">
        <v>2.3962232660165398E-3</v>
      </c>
      <c r="E7120" s="2">
        <v>1.5612802498048301E-5</v>
      </c>
      <c r="F7120" s="2">
        <v>1.05463498990117E-3</v>
      </c>
    </row>
    <row r="7121" spans="1:6" x14ac:dyDescent="0.25">
      <c r="A7121" s="1" t="str">
        <f t="shared" si="253"/>
        <v>17140</v>
      </c>
      <c r="B7121" s="1" t="str">
        <f>"45234"</f>
        <v>45234</v>
      </c>
      <c r="C7121" s="2">
        <v>0</v>
      </c>
      <c r="D7121" s="2">
        <v>5.9607543930759802E-5</v>
      </c>
      <c r="E7121" s="2">
        <v>6.2451209992193504E-5</v>
      </c>
      <c r="F7121" s="2">
        <v>7.5994514884792301E-6</v>
      </c>
    </row>
    <row r="7122" spans="1:6" x14ac:dyDescent="0.25">
      <c r="A7122" s="1" t="str">
        <f t="shared" si="253"/>
        <v>17140</v>
      </c>
      <c r="B7122" s="1" t="str">
        <f>"45041"</f>
        <v>45041</v>
      </c>
      <c r="C7122" s="2">
        <v>6.0403487577723603E-4</v>
      </c>
      <c r="D7122" s="2">
        <v>2.8969266350349302E-3</v>
      </c>
      <c r="E7122" s="2">
        <v>3.1225604996096698E-5</v>
      </c>
      <c r="F7122" s="2">
        <v>7.35458027385045E-4</v>
      </c>
    </row>
    <row r="7123" spans="1:6" x14ac:dyDescent="0.25">
      <c r="A7123" s="1" t="str">
        <f t="shared" si="253"/>
        <v>17140</v>
      </c>
      <c r="B7123" s="1" t="str">
        <f>"45144"</f>
        <v>45144</v>
      </c>
      <c r="C7123" s="2">
        <v>5.9824540412441903E-5</v>
      </c>
      <c r="D7123" s="2">
        <v>5.9607543930759802E-5</v>
      </c>
      <c r="E7123" s="2">
        <v>9.3676814988290303E-5</v>
      </c>
      <c r="F7123" s="2">
        <v>6.1639995406553703E-5</v>
      </c>
    </row>
    <row r="7124" spans="1:6" x14ac:dyDescent="0.25">
      <c r="A7124" s="1" t="str">
        <f t="shared" si="253"/>
        <v>17140</v>
      </c>
      <c r="B7124" s="1" t="str">
        <f>"45054"</f>
        <v>45054</v>
      </c>
      <c r="C7124" s="2">
        <v>9.2824528833498595E-4</v>
      </c>
      <c r="D7124" s="2">
        <v>2.5035168450919098E-4</v>
      </c>
      <c r="E7124" s="2">
        <v>4.6838407494145097E-5</v>
      </c>
      <c r="F7124" s="2">
        <v>8.3256212973783497E-4</v>
      </c>
    </row>
    <row r="7125" spans="1:6" x14ac:dyDescent="0.25">
      <c r="A7125" s="1" t="str">
        <f t="shared" si="253"/>
        <v>17140</v>
      </c>
      <c r="B7125" s="1" t="str">
        <f>"41007"</f>
        <v>41007</v>
      </c>
      <c r="C7125" s="2">
        <v>3.0028059639277301E-3</v>
      </c>
      <c r="D7125" s="2">
        <v>5.9607543930759795E-4</v>
      </c>
      <c r="E7125" s="2">
        <v>1.7174082747853199E-4</v>
      </c>
      <c r="F7125" s="2">
        <v>2.6792288414382798E-3</v>
      </c>
    </row>
    <row r="7126" spans="1:6" x14ac:dyDescent="0.25">
      <c r="A7126" s="1" t="str">
        <f t="shared" si="253"/>
        <v>17140</v>
      </c>
      <c r="B7126" s="1" t="str">
        <f>"41030"</f>
        <v>41030</v>
      </c>
      <c r="C7126" s="2">
        <v>2.5135956092646899E-3</v>
      </c>
      <c r="D7126" s="2">
        <v>7.9874108867218196E-4</v>
      </c>
      <c r="E7126" s="2">
        <v>3.76268540202966E-3</v>
      </c>
      <c r="F7126" s="2">
        <v>2.4596891317711098E-3</v>
      </c>
    </row>
    <row r="7127" spans="1:6" x14ac:dyDescent="0.25">
      <c r="A7127" s="1" t="str">
        <f t="shared" si="253"/>
        <v>17140</v>
      </c>
      <c r="B7127" s="1" t="str">
        <f>"41092"</f>
        <v>41092</v>
      </c>
      <c r="C7127" s="2">
        <v>1.38947319667607E-3</v>
      </c>
      <c r="D7127" s="2">
        <v>4.64938842659927E-4</v>
      </c>
      <c r="E7127" s="2">
        <v>1.09289617486338E-4</v>
      </c>
      <c r="F7127" s="2">
        <v>1.25475387909779E-3</v>
      </c>
    </row>
    <row r="7128" spans="1:6" x14ac:dyDescent="0.25">
      <c r="A7128" s="1" t="str">
        <f t="shared" si="253"/>
        <v>17140</v>
      </c>
      <c r="B7128" s="1" t="str">
        <f>"41048"</f>
        <v>41048</v>
      </c>
      <c r="C7128" s="2">
        <v>5.8811382873198903E-3</v>
      </c>
      <c r="D7128" s="2">
        <v>7.8324312725018396E-3</v>
      </c>
      <c r="E7128" s="2">
        <v>2.1077283372365301E-3</v>
      </c>
      <c r="F7128" s="2">
        <v>5.8152691556840504E-3</v>
      </c>
    </row>
    <row r="7129" spans="1:6" x14ac:dyDescent="0.25">
      <c r="A7129" s="1" t="str">
        <f t="shared" si="253"/>
        <v>17140</v>
      </c>
      <c r="B7129" s="1" t="str">
        <f>"41076"</f>
        <v>41076</v>
      </c>
      <c r="C7129" s="2">
        <v>8.5964004924910502E-3</v>
      </c>
      <c r="D7129" s="2">
        <v>6.8667890608235301E-3</v>
      </c>
      <c r="E7129" s="2">
        <v>1.3192818110850799E-2</v>
      </c>
      <c r="F7129" s="2">
        <v>8.7224815417767092E-3</v>
      </c>
    </row>
    <row r="7130" spans="1:6" x14ac:dyDescent="0.25">
      <c r="A7130" s="1" t="str">
        <f t="shared" si="253"/>
        <v>17140</v>
      </c>
      <c r="B7130" s="1" t="str">
        <f>"41002"</f>
        <v>41002</v>
      </c>
      <c r="C7130" s="2">
        <v>1.2196486948601001E-3</v>
      </c>
      <c r="D7130" s="2">
        <v>1.01332824682291E-3</v>
      </c>
      <c r="E7130" s="2">
        <v>6.0889929742388705E-4</v>
      </c>
      <c r="F7130" s="2">
        <v>1.1720042962232401E-3</v>
      </c>
    </row>
    <row r="7131" spans="1:6" x14ac:dyDescent="0.25">
      <c r="A7131" s="1" t="str">
        <f t="shared" si="253"/>
        <v>17140</v>
      </c>
      <c r="B7131" s="1" t="str">
        <f>"41097"</f>
        <v>41097</v>
      </c>
      <c r="C7131" s="2">
        <v>3.1060515417363002E-3</v>
      </c>
      <c r="D7131" s="2">
        <v>3.03998474046875E-3</v>
      </c>
      <c r="E7131" s="2">
        <v>1.3739266198282501E-3</v>
      </c>
      <c r="F7131" s="2">
        <v>3.00769402244033E-3</v>
      </c>
    </row>
    <row r="7132" spans="1:6" x14ac:dyDescent="0.25">
      <c r="A7132" s="1" t="str">
        <f t="shared" si="253"/>
        <v>17140</v>
      </c>
      <c r="B7132" s="1" t="str">
        <f>"45011"</f>
        <v>45011</v>
      </c>
      <c r="C7132" s="2">
        <v>2.7416043011914699E-2</v>
      </c>
      <c r="D7132" s="2">
        <v>2.21382418158842E-2</v>
      </c>
      <c r="E7132" s="2">
        <v>1.47072599531615E-2</v>
      </c>
      <c r="F7132" s="2">
        <v>2.6354897762045901E-2</v>
      </c>
    </row>
    <row r="7133" spans="1:6" x14ac:dyDescent="0.25">
      <c r="A7133" s="1" t="str">
        <f t="shared" si="253"/>
        <v>17140</v>
      </c>
      <c r="B7133" s="1" t="str">
        <f>"45251"</f>
        <v>45251</v>
      </c>
      <c r="C7133" s="2">
        <v>8.5616636625741507E-3</v>
      </c>
      <c r="D7133" s="2">
        <v>7.0098471662573599E-3</v>
      </c>
      <c r="E7133" s="2">
        <v>5.0585480093676798E-3</v>
      </c>
      <c r="F7133" s="2">
        <v>8.2622925349743592E-3</v>
      </c>
    </row>
    <row r="7134" spans="1:6" x14ac:dyDescent="0.25">
      <c r="A7134" s="1" t="str">
        <f t="shared" si="253"/>
        <v>17140</v>
      </c>
      <c r="B7134" s="1" t="str">
        <f>"45254"</f>
        <v>45254</v>
      </c>
      <c r="C7134" s="2">
        <v>6.8122783114812901E-4</v>
      </c>
      <c r="D7134" s="2">
        <v>3.7075892324932602E-3</v>
      </c>
      <c r="E7134" s="2">
        <v>1.5612802498048301E-5</v>
      </c>
      <c r="F7134" s="2">
        <v>8.5958240169687304E-4</v>
      </c>
    </row>
    <row r="7135" spans="1:6" x14ac:dyDescent="0.25">
      <c r="A7135" s="1" t="str">
        <f t="shared" si="253"/>
        <v>17140</v>
      </c>
      <c r="B7135" s="1" t="str">
        <f>"41064"</f>
        <v>41064</v>
      </c>
      <c r="C7135" s="2">
        <v>4.1491213511854897E-5</v>
      </c>
      <c r="D7135" s="2">
        <v>0</v>
      </c>
      <c r="E7135" s="2">
        <v>0</v>
      </c>
      <c r="F7135" s="2">
        <v>3.63084904449563E-5</v>
      </c>
    </row>
    <row r="7136" spans="1:6" x14ac:dyDescent="0.25">
      <c r="A7136" s="1" t="str">
        <f t="shared" si="253"/>
        <v>17140</v>
      </c>
      <c r="B7136" s="1" t="str">
        <f>"45071"</f>
        <v>45071</v>
      </c>
      <c r="C7136" s="2">
        <v>7.1982430883357502E-4</v>
      </c>
      <c r="D7136" s="2">
        <v>5.3408359361960802E-3</v>
      </c>
      <c r="E7136" s="2">
        <v>1.5612802498048301E-5</v>
      </c>
      <c r="F7136" s="2">
        <v>1.0090382809702901E-3</v>
      </c>
    </row>
    <row r="7137" spans="1:6" x14ac:dyDescent="0.25">
      <c r="A7137" s="1" t="str">
        <f t="shared" si="253"/>
        <v>17140</v>
      </c>
      <c r="B7137" s="1" t="str">
        <f>"45112"</f>
        <v>45112</v>
      </c>
      <c r="C7137" s="2">
        <v>0</v>
      </c>
      <c r="D7137" s="2">
        <v>0</v>
      </c>
      <c r="E7137" s="2">
        <v>1.5612802498048301E-5</v>
      </c>
      <c r="F7137" s="2">
        <v>8.4438349871991403E-7</v>
      </c>
    </row>
    <row r="7138" spans="1:6" x14ac:dyDescent="0.25">
      <c r="A7138" s="1" t="str">
        <f t="shared" si="253"/>
        <v>17140</v>
      </c>
      <c r="B7138" s="1" t="str">
        <f>"45018"</f>
        <v>45018</v>
      </c>
      <c r="C7138" s="2">
        <v>8.0473655974155705E-4</v>
      </c>
      <c r="D7138" s="2">
        <v>4.1248420400085799E-3</v>
      </c>
      <c r="E7138" s="2">
        <v>1.5612802498048301E-5</v>
      </c>
      <c r="F7138" s="2">
        <v>9.9721691198821909E-4</v>
      </c>
    </row>
    <row r="7139" spans="1:6" x14ac:dyDescent="0.25">
      <c r="A7139" s="1" t="str">
        <f t="shared" si="253"/>
        <v>17140</v>
      </c>
      <c r="B7139" s="1" t="str">
        <f>"45235"</f>
        <v>45235</v>
      </c>
      <c r="C7139" s="2">
        <v>0</v>
      </c>
      <c r="D7139" s="2">
        <v>0</v>
      </c>
      <c r="E7139" s="2">
        <v>3.1225604996096698E-5</v>
      </c>
      <c r="F7139" s="2">
        <v>1.68876699743982E-6</v>
      </c>
    </row>
    <row r="7140" spans="1:6" x14ac:dyDescent="0.25">
      <c r="A7140" s="1" t="str">
        <f t="shared" si="253"/>
        <v>17140</v>
      </c>
      <c r="B7140" s="1" t="str">
        <f>"45327"</f>
        <v>45327</v>
      </c>
      <c r="C7140" s="2">
        <v>9.3596458387207494E-5</v>
      </c>
      <c r="D7140" s="2">
        <v>0</v>
      </c>
      <c r="E7140" s="2">
        <v>0</v>
      </c>
      <c r="F7140" s="2">
        <v>8.1905199375831704E-5</v>
      </c>
    </row>
    <row r="7141" spans="1:6" x14ac:dyDescent="0.25">
      <c r="A7141" s="1" t="str">
        <f t="shared" si="253"/>
        <v>17140</v>
      </c>
      <c r="B7141" s="1" t="str">
        <f>"47030"</f>
        <v>47030</v>
      </c>
      <c r="C7141" s="2">
        <v>5.8763137276092101E-4</v>
      </c>
      <c r="D7141" s="2">
        <v>2.3843017572303899E-4</v>
      </c>
      <c r="E7141" s="2">
        <v>9.3676814988290303E-5</v>
      </c>
      <c r="F7141" s="2">
        <v>5.3618352168714495E-4</v>
      </c>
    </row>
    <row r="7142" spans="1:6" x14ac:dyDescent="0.25">
      <c r="A7142" s="1" t="str">
        <f t="shared" si="253"/>
        <v>17140</v>
      </c>
      <c r="B7142" s="1" t="str">
        <f>"47331"</f>
        <v>47331</v>
      </c>
      <c r="C7142" s="2">
        <v>1.0999996140352199E-4</v>
      </c>
      <c r="D7142" s="2">
        <v>3.5764526358455897E-5</v>
      </c>
      <c r="E7142" s="2">
        <v>1.5612802498048301E-5</v>
      </c>
      <c r="F7142" s="2">
        <v>9.9637252848949902E-5</v>
      </c>
    </row>
    <row r="7143" spans="1:6" x14ac:dyDescent="0.25">
      <c r="A7143" s="1" t="str">
        <f t="shared" si="253"/>
        <v>17140</v>
      </c>
      <c r="B7143" s="1" t="str">
        <f>"41085"</f>
        <v>41085</v>
      </c>
      <c r="C7143" s="2">
        <v>3.5315777082183398E-4</v>
      </c>
      <c r="D7143" s="2">
        <v>0</v>
      </c>
      <c r="E7143" s="2">
        <v>4.6838407494145097E-5</v>
      </c>
      <c r="F7143" s="2">
        <v>3.1157751102764799E-4</v>
      </c>
    </row>
    <row r="7144" spans="1:6" x14ac:dyDescent="0.25">
      <c r="A7144" s="1" t="str">
        <f t="shared" si="253"/>
        <v>17140</v>
      </c>
      <c r="B7144" s="1" t="str">
        <f>"45201"</f>
        <v>45201</v>
      </c>
      <c r="C7144" s="2">
        <v>1.9568414186521299E-3</v>
      </c>
      <c r="D7144" s="2">
        <v>5.4838940416298996E-3</v>
      </c>
      <c r="E7144" s="2">
        <v>1.5612802498048301E-5</v>
      </c>
      <c r="F7144" s="2">
        <v>2.10167052831386E-3</v>
      </c>
    </row>
    <row r="7145" spans="1:6" x14ac:dyDescent="0.25">
      <c r="A7145" s="1" t="str">
        <f t="shared" si="253"/>
        <v>17140</v>
      </c>
      <c r="B7145" s="1" t="str">
        <f>"45244"</f>
        <v>45244</v>
      </c>
      <c r="C7145" s="2">
        <v>1.1386925829148801E-2</v>
      </c>
      <c r="D7145" s="2">
        <v>6.3303211654466901E-3</v>
      </c>
      <c r="E7145" s="2">
        <v>5.3551912568305998E-3</v>
      </c>
      <c r="F7145" s="2">
        <v>1.0702560846274901E-2</v>
      </c>
    </row>
    <row r="7146" spans="1:6" x14ac:dyDescent="0.25">
      <c r="A7146" s="1" t="str">
        <f t="shared" si="253"/>
        <v>17140</v>
      </c>
      <c r="B7146" s="1" t="str">
        <f>"47032"</f>
        <v>47032</v>
      </c>
      <c r="C7146" s="2">
        <v>1.3315784801479001E-3</v>
      </c>
      <c r="D7146" s="2">
        <v>2.1458715815073499E-4</v>
      </c>
      <c r="E7146" s="2">
        <v>1.09289617486338E-4</v>
      </c>
      <c r="F7146" s="2">
        <v>1.1863588157014801E-3</v>
      </c>
    </row>
    <row r="7147" spans="1:6" x14ac:dyDescent="0.25">
      <c r="A7147" s="1" t="str">
        <f t="shared" si="253"/>
        <v>17140</v>
      </c>
      <c r="B7147" s="1" t="str">
        <f>"45152"</f>
        <v>45152</v>
      </c>
      <c r="C7147" s="2">
        <v>5.2221034308408999E-3</v>
      </c>
      <c r="D7147" s="2">
        <v>1.5259531246274501E-3</v>
      </c>
      <c r="E7147" s="2">
        <v>1.4519906323185001E-3</v>
      </c>
      <c r="F7147" s="2">
        <v>4.75641224828927E-3</v>
      </c>
    </row>
    <row r="7148" spans="1:6" x14ac:dyDescent="0.25">
      <c r="A7148" s="1" t="str">
        <f t="shared" si="253"/>
        <v>17140</v>
      </c>
      <c r="B7148" s="1" t="str">
        <f>"45003"</f>
        <v>45003</v>
      </c>
      <c r="C7148" s="2">
        <v>8.68420747922544E-5</v>
      </c>
      <c r="D7148" s="2">
        <v>4.7686035144607897E-5</v>
      </c>
      <c r="E7148" s="2">
        <v>6.2451209992193504E-5</v>
      </c>
      <c r="F7148" s="2">
        <v>8.2749582874551607E-5</v>
      </c>
    </row>
    <row r="7149" spans="1:6" x14ac:dyDescent="0.25">
      <c r="A7149" s="1" t="str">
        <f t="shared" si="253"/>
        <v>17140</v>
      </c>
      <c r="B7149" s="1" t="str">
        <f>"47325"</f>
        <v>47325</v>
      </c>
      <c r="C7149" s="2">
        <v>2.5763148855035401E-4</v>
      </c>
      <c r="D7149" s="2">
        <v>5.9607543930759802E-5</v>
      </c>
      <c r="E7149" s="2">
        <v>4.6838407494145097E-5</v>
      </c>
      <c r="F7149" s="2">
        <v>2.3220546214797601E-4</v>
      </c>
    </row>
    <row r="7150" spans="1:6" x14ac:dyDescent="0.25">
      <c r="A7150" s="1" t="str">
        <f t="shared" si="253"/>
        <v>17140</v>
      </c>
      <c r="B7150" s="1" t="str">
        <f>"41010"</f>
        <v>41010</v>
      </c>
      <c r="C7150" s="2">
        <v>8.0473655974155705E-4</v>
      </c>
      <c r="D7150" s="2">
        <v>2.26508666936887E-4</v>
      </c>
      <c r="E7150" s="2">
        <v>1.5612802498048299E-4</v>
      </c>
      <c r="F7150" s="2">
        <v>7.28702959395286E-4</v>
      </c>
    </row>
    <row r="7151" spans="1:6" x14ac:dyDescent="0.25">
      <c r="A7151" s="1" t="str">
        <f t="shared" si="253"/>
        <v>17140</v>
      </c>
      <c r="B7151" s="1" t="str">
        <f>"45040"</f>
        <v>45040</v>
      </c>
      <c r="C7151" s="2">
        <v>2.1940167740292001E-2</v>
      </c>
      <c r="D7151" s="2">
        <v>2.5512028802365201E-2</v>
      </c>
      <c r="E7151" s="2">
        <v>1.10694769711163E-2</v>
      </c>
      <c r="F7151" s="2">
        <v>2.1605240581746399E-2</v>
      </c>
    </row>
    <row r="7152" spans="1:6" x14ac:dyDescent="0.25">
      <c r="A7152" s="1" t="str">
        <f t="shared" si="253"/>
        <v>17140</v>
      </c>
      <c r="B7152" s="1" t="str">
        <f>"45140"</f>
        <v>45140</v>
      </c>
      <c r="C7152" s="2">
        <v>2.2483413163714602E-2</v>
      </c>
      <c r="D7152" s="2">
        <v>1.4401182613671499E-2</v>
      </c>
      <c r="E7152" s="2">
        <v>1.10850897736143E-2</v>
      </c>
      <c r="F7152" s="2">
        <v>2.1294507454217501E-2</v>
      </c>
    </row>
    <row r="7153" spans="1:6" x14ac:dyDescent="0.25">
      <c r="A7153" s="1" t="str">
        <f t="shared" si="253"/>
        <v>17140</v>
      </c>
      <c r="B7153" s="1" t="str">
        <f>"45033"</f>
        <v>45033</v>
      </c>
      <c r="C7153" s="2">
        <v>1.5149117491537701E-4</v>
      </c>
      <c r="D7153" s="2">
        <v>1.1921508786151899E-4</v>
      </c>
      <c r="E7153" s="2">
        <v>4.6838407494145097E-5</v>
      </c>
      <c r="F7153" s="2">
        <v>1.4354519478238499E-4</v>
      </c>
    </row>
    <row r="7154" spans="1:6" x14ac:dyDescent="0.25">
      <c r="A7154" s="1" t="str">
        <f t="shared" si="253"/>
        <v>17140</v>
      </c>
      <c r="B7154" s="1" t="str">
        <f>"41017"</f>
        <v>41017</v>
      </c>
      <c r="C7154" s="2">
        <v>1.7727362200925498E-2</v>
      </c>
      <c r="D7154" s="2">
        <v>2.03023294628168E-2</v>
      </c>
      <c r="E7154" s="2">
        <v>1.7345823575331699E-2</v>
      </c>
      <c r="F7154" s="2">
        <v>1.7889108803880099E-2</v>
      </c>
    </row>
    <row r="7155" spans="1:6" x14ac:dyDescent="0.25">
      <c r="A7155" s="1" t="str">
        <f t="shared" si="253"/>
        <v>17140</v>
      </c>
      <c r="B7155" s="1" t="str">
        <f>"41001"</f>
        <v>41001</v>
      </c>
      <c r="C7155" s="2">
        <v>7.7482428953533702E-3</v>
      </c>
      <c r="D7155" s="2">
        <v>4.7686035144607897E-3</v>
      </c>
      <c r="E7155" s="2">
        <v>3.2943013270882102E-3</v>
      </c>
      <c r="F7155" s="2">
        <v>7.2963178124387804E-3</v>
      </c>
    </row>
    <row r="7156" spans="1:6" x14ac:dyDescent="0.25">
      <c r="A7156" s="1" t="str">
        <f t="shared" si="253"/>
        <v>17140</v>
      </c>
      <c r="B7156" s="1" t="str">
        <f>"41045"</f>
        <v>41045</v>
      </c>
      <c r="C7156" s="2">
        <v>1.64035030163147E-4</v>
      </c>
      <c r="D7156" s="2">
        <v>9.5372070289215794E-5</v>
      </c>
      <c r="E7156" s="2">
        <v>0</v>
      </c>
      <c r="F7156" s="2">
        <v>1.5030026277214399E-4</v>
      </c>
    </row>
    <row r="7157" spans="1:6" x14ac:dyDescent="0.25">
      <c r="A7157" s="1" t="str">
        <f t="shared" si="253"/>
        <v>17140</v>
      </c>
      <c r="B7157" s="1" t="str">
        <f>"41044"</f>
        <v>41044</v>
      </c>
      <c r="C7157" s="2">
        <v>2.6149113631889902E-4</v>
      </c>
      <c r="D7157" s="2">
        <v>5.9607543930759802E-5</v>
      </c>
      <c r="E7157" s="2">
        <v>1.5612802498048301E-5</v>
      </c>
      <c r="F7157" s="2">
        <v>2.33894229145416E-4</v>
      </c>
    </row>
    <row r="7158" spans="1:6" x14ac:dyDescent="0.25">
      <c r="A7158" s="1" t="str">
        <f t="shared" si="253"/>
        <v>17140</v>
      </c>
      <c r="B7158" s="1" t="str">
        <f>"41083"</f>
        <v>41083</v>
      </c>
      <c r="C7158" s="2">
        <v>2.4219289747617599E-4</v>
      </c>
      <c r="D7158" s="2">
        <v>9.5372070289215794E-5</v>
      </c>
      <c r="E7158" s="2">
        <v>3.1225604996096698E-5</v>
      </c>
      <c r="F7158" s="2">
        <v>2.2038409316589699E-4</v>
      </c>
    </row>
    <row r="7159" spans="1:6" x14ac:dyDescent="0.25">
      <c r="A7159" s="1" t="str">
        <f t="shared" si="253"/>
        <v>17140</v>
      </c>
      <c r="B7159" s="1" t="str">
        <f>"45252"</f>
        <v>45252</v>
      </c>
      <c r="C7159" s="2">
        <v>2.0070168396432099E-3</v>
      </c>
      <c r="D7159" s="2">
        <v>3.4572375479840697E-4</v>
      </c>
      <c r="E7159" s="2">
        <v>8.2747853239656497E-4</v>
      </c>
      <c r="F7159" s="2">
        <v>1.8255571242324501E-3</v>
      </c>
    </row>
    <row r="7160" spans="1:6" x14ac:dyDescent="0.25">
      <c r="A7160" s="1" t="str">
        <f t="shared" si="253"/>
        <v>17140</v>
      </c>
      <c r="B7160" s="1" t="str">
        <f>"45206"</f>
        <v>45206</v>
      </c>
      <c r="C7160" s="2">
        <v>7.93640072406992E-3</v>
      </c>
      <c r="D7160" s="2">
        <v>1.3137502682339401E-2</v>
      </c>
      <c r="E7160" s="2">
        <v>1.7736143637782899E-2</v>
      </c>
      <c r="F7160" s="2">
        <v>8.8347845471064591E-3</v>
      </c>
    </row>
    <row r="7161" spans="1:6" x14ac:dyDescent="0.25">
      <c r="A7161" s="1" t="str">
        <f t="shared" si="253"/>
        <v>17140</v>
      </c>
      <c r="B7161" s="1" t="str">
        <f>"45214"</f>
        <v>45214</v>
      </c>
      <c r="C7161" s="2">
        <v>5.0879806708839697E-3</v>
      </c>
      <c r="D7161" s="2">
        <v>7.8801173076464507E-3</v>
      </c>
      <c r="E7161" s="2">
        <v>1.3754879000780601E-2</v>
      </c>
      <c r="F7161" s="2">
        <v>5.7544735437762102E-3</v>
      </c>
    </row>
    <row r="7162" spans="1:6" x14ac:dyDescent="0.25">
      <c r="A7162" s="1" t="str">
        <f t="shared" si="253"/>
        <v>17140</v>
      </c>
      <c r="B7162" s="1" t="str">
        <f>"45217"</f>
        <v>45217</v>
      </c>
      <c r="C7162" s="2">
        <v>3.2990339301635298E-3</v>
      </c>
      <c r="D7162" s="2">
        <v>3.4333945304117599E-3</v>
      </c>
      <c r="E7162" s="2">
        <v>6.6198282591725197E-3</v>
      </c>
      <c r="F7162" s="2">
        <v>3.4881482332119601E-3</v>
      </c>
    </row>
    <row r="7163" spans="1:6" x14ac:dyDescent="0.25">
      <c r="A7163" s="1" t="str">
        <f t="shared" si="253"/>
        <v>17140</v>
      </c>
      <c r="B7163" s="1" t="str">
        <f>"45226"</f>
        <v>45226</v>
      </c>
      <c r="C7163" s="2">
        <v>3.2237707986769101E-3</v>
      </c>
      <c r="D7163" s="2">
        <v>5.6865596909944898E-3</v>
      </c>
      <c r="E7163" s="2">
        <v>5.3864168618266896E-3</v>
      </c>
      <c r="F7163" s="2">
        <v>3.515168505171E-3</v>
      </c>
    </row>
    <row r="7164" spans="1:6" x14ac:dyDescent="0.25">
      <c r="A7164" s="1" t="str">
        <f t="shared" si="253"/>
        <v>17140</v>
      </c>
      <c r="B7164" s="1" t="str">
        <f>"45208"</f>
        <v>45208</v>
      </c>
      <c r="C7164" s="2">
        <v>9.8768386397057404E-3</v>
      </c>
      <c r="D7164" s="2">
        <v>9.1914832741231706E-3</v>
      </c>
      <c r="E7164" s="2">
        <v>1.37080405932864E-2</v>
      </c>
      <c r="F7164" s="2">
        <v>1.0035497882286099E-2</v>
      </c>
    </row>
    <row r="7165" spans="1:6" x14ac:dyDescent="0.25">
      <c r="A7165" s="1" t="str">
        <f t="shared" si="253"/>
        <v>17140</v>
      </c>
      <c r="B7165" s="1" t="str">
        <f>"45242"</f>
        <v>45242</v>
      </c>
      <c r="C7165" s="2">
        <v>1.01778911656522E-2</v>
      </c>
      <c r="D7165" s="2">
        <v>3.9066784292219998E-2</v>
      </c>
      <c r="E7165" s="2">
        <v>1.1288056206088901E-2</v>
      </c>
      <c r="F7165" s="2">
        <v>1.22840911393773E-2</v>
      </c>
    </row>
    <row r="7166" spans="1:6" x14ac:dyDescent="0.25">
      <c r="A7166" s="1" t="str">
        <f t="shared" si="253"/>
        <v>17140</v>
      </c>
      <c r="B7166" s="1" t="str">
        <f>"47025"</f>
        <v>47025</v>
      </c>
      <c r="C7166" s="2">
        <v>9.9463122995395396E-3</v>
      </c>
      <c r="D7166" s="2">
        <v>1.08128084690398E-2</v>
      </c>
      <c r="E7166" s="2">
        <v>5.6362217017954701E-3</v>
      </c>
      <c r="F7166" s="2">
        <v>9.7745833811817302E-3</v>
      </c>
    </row>
    <row r="7167" spans="1:6" x14ac:dyDescent="0.25">
      <c r="A7167" s="1" t="str">
        <f t="shared" si="253"/>
        <v>17140</v>
      </c>
      <c r="B7167" s="1" t="str">
        <f>"47003"</f>
        <v>47003</v>
      </c>
      <c r="C7167" s="2">
        <v>3.0298234983075403E-4</v>
      </c>
      <c r="D7167" s="2">
        <v>7.1529052716911795E-5</v>
      </c>
      <c r="E7167" s="2">
        <v>2.3419203747072499E-4</v>
      </c>
      <c r="F7167" s="2">
        <v>2.8286847207117098E-4</v>
      </c>
    </row>
    <row r="7168" spans="1:6" x14ac:dyDescent="0.25">
      <c r="A7168" s="1" t="str">
        <f t="shared" ref="A7168:A7231" si="254">"17140"</f>
        <v>17140</v>
      </c>
      <c r="B7168" s="1" t="str">
        <f>"45032"</f>
        <v>45032</v>
      </c>
      <c r="C7168" s="2">
        <v>9.649119421361601E-7</v>
      </c>
      <c r="D7168" s="2">
        <v>0</v>
      </c>
      <c r="E7168" s="2">
        <v>1.5612802498048301E-5</v>
      </c>
      <c r="F7168" s="2">
        <v>1.68876699743982E-6</v>
      </c>
    </row>
    <row r="7169" spans="1:6" x14ac:dyDescent="0.25">
      <c r="A7169" s="1" t="str">
        <f t="shared" si="254"/>
        <v>17140</v>
      </c>
      <c r="B7169" s="1" t="str">
        <f>"45999"</f>
        <v>45999</v>
      </c>
      <c r="C7169" s="2">
        <v>0</v>
      </c>
      <c r="D7169" s="2">
        <v>0</v>
      </c>
      <c r="E7169" s="2">
        <v>3.1225604996096698E-5</v>
      </c>
      <c r="F7169" s="2">
        <v>1.68876699743982E-6</v>
      </c>
    </row>
    <row r="7170" spans="1:6" x14ac:dyDescent="0.25">
      <c r="A7170" s="1" t="str">
        <f t="shared" si="254"/>
        <v>17140</v>
      </c>
      <c r="B7170" s="1" t="str">
        <f>"41061"</f>
        <v>41061</v>
      </c>
      <c r="C7170" s="2">
        <v>0</v>
      </c>
      <c r="D7170" s="2">
        <v>0</v>
      </c>
      <c r="E7170" s="2">
        <v>1.5612802498048301E-5</v>
      </c>
      <c r="F7170" s="2">
        <v>8.4438349871991403E-7</v>
      </c>
    </row>
    <row r="7171" spans="1:6" x14ac:dyDescent="0.25">
      <c r="A7171" s="1" t="str">
        <f t="shared" si="254"/>
        <v>17140</v>
      </c>
      <c r="B7171" s="1" t="str">
        <f>"45062"</f>
        <v>45062</v>
      </c>
      <c r="C7171" s="2">
        <v>0</v>
      </c>
      <c r="D7171" s="2">
        <v>0</v>
      </c>
      <c r="E7171" s="2">
        <v>1.5612802498048301E-5</v>
      </c>
      <c r="F7171" s="2">
        <v>8.4438349871991403E-7</v>
      </c>
    </row>
    <row r="7172" spans="1:6" x14ac:dyDescent="0.25">
      <c r="A7172" s="1" t="str">
        <f t="shared" si="254"/>
        <v>17140</v>
      </c>
      <c r="B7172" s="1" t="str">
        <f>"45111"</f>
        <v>45111</v>
      </c>
      <c r="C7172" s="2">
        <v>1.7850870929518901E-4</v>
      </c>
      <c r="D7172" s="2">
        <v>1.4305810543382299E-4</v>
      </c>
      <c r="E7172" s="2">
        <v>3.1225604996096698E-5</v>
      </c>
      <c r="F7172" s="2">
        <v>1.68032316245263E-4</v>
      </c>
    </row>
    <row r="7173" spans="1:6" x14ac:dyDescent="0.25">
      <c r="A7173" s="1" t="str">
        <f t="shared" si="254"/>
        <v>17140</v>
      </c>
      <c r="B7173" s="1" t="str">
        <f>"41052"</f>
        <v>41052</v>
      </c>
      <c r="C7173" s="2">
        <v>8.7806986734390599E-5</v>
      </c>
      <c r="D7173" s="2">
        <v>0</v>
      </c>
      <c r="E7173" s="2">
        <v>0</v>
      </c>
      <c r="F7173" s="2">
        <v>7.6838898383512193E-5</v>
      </c>
    </row>
    <row r="7174" spans="1:6" x14ac:dyDescent="0.25">
      <c r="A7174" s="1" t="str">
        <f t="shared" si="254"/>
        <v>17140</v>
      </c>
      <c r="B7174" s="1" t="str">
        <f>"45253"</f>
        <v>45253</v>
      </c>
      <c r="C7174" s="2">
        <v>1.34219251151139E-3</v>
      </c>
      <c r="D7174" s="2">
        <v>3.4930020743425198E-3</v>
      </c>
      <c r="E7174" s="2">
        <v>1.5612802498048301E-5</v>
      </c>
      <c r="F7174" s="2">
        <v>1.42278619534305E-3</v>
      </c>
    </row>
    <row r="7175" spans="1:6" x14ac:dyDescent="0.25">
      <c r="A7175" s="1" t="str">
        <f t="shared" si="254"/>
        <v>17140</v>
      </c>
      <c r="B7175" s="1" t="str">
        <f>"45036"</f>
        <v>45036</v>
      </c>
      <c r="C7175" s="2">
        <v>1.5442450721947099E-2</v>
      </c>
      <c r="D7175" s="2">
        <v>1.4401182613671499E-2</v>
      </c>
      <c r="E7175" s="2">
        <v>1.99843871975019E-2</v>
      </c>
      <c r="F7175" s="2">
        <v>1.56143396583286E-2</v>
      </c>
    </row>
    <row r="7176" spans="1:6" x14ac:dyDescent="0.25">
      <c r="A7176" s="1" t="str">
        <f t="shared" si="254"/>
        <v>17140</v>
      </c>
      <c r="B7176" s="1" t="str">
        <f>"45015"</f>
        <v>45015</v>
      </c>
      <c r="C7176" s="2">
        <v>5.1227175008008701E-3</v>
      </c>
      <c r="D7176" s="2">
        <v>4.6970744617438696E-3</v>
      </c>
      <c r="E7176" s="2">
        <v>4.0437158469945299E-3</v>
      </c>
      <c r="F7176" s="2">
        <v>5.03421441936813E-3</v>
      </c>
    </row>
    <row r="7177" spans="1:6" x14ac:dyDescent="0.25">
      <c r="A7177" s="1" t="str">
        <f t="shared" si="254"/>
        <v>17140</v>
      </c>
      <c r="B7177" s="1" t="str">
        <f>"45002"</f>
        <v>45002</v>
      </c>
      <c r="C7177" s="2">
        <v>5.9313137083109703E-3</v>
      </c>
      <c r="D7177" s="2">
        <v>3.9579409170024497E-3</v>
      </c>
      <c r="E7177" s="2">
        <v>4.0593286494925796E-3</v>
      </c>
      <c r="F7177" s="2">
        <v>5.6903003978735003E-3</v>
      </c>
    </row>
    <row r="7178" spans="1:6" x14ac:dyDescent="0.25">
      <c r="A7178" s="1" t="str">
        <f t="shared" si="254"/>
        <v>17140</v>
      </c>
      <c r="B7178" s="1" t="str">
        <f>"41004"</f>
        <v>41004</v>
      </c>
      <c r="C7178" s="2">
        <v>1.9819291291476699E-3</v>
      </c>
      <c r="D7178" s="2">
        <v>4.8878186023223005E-4</v>
      </c>
      <c r="E7178" s="2">
        <v>1.8735362997658001E-4</v>
      </c>
      <c r="F7178" s="2">
        <v>1.7791160318028599E-3</v>
      </c>
    </row>
    <row r="7179" spans="1:6" x14ac:dyDescent="0.25">
      <c r="A7179" s="1" t="str">
        <f t="shared" si="254"/>
        <v>17140</v>
      </c>
      <c r="B7179" s="1" t="str">
        <f>"41006"</f>
        <v>41006</v>
      </c>
      <c r="C7179" s="2">
        <v>1.87675372745483E-3</v>
      </c>
      <c r="D7179" s="2">
        <v>9.1795617653370198E-4</v>
      </c>
      <c r="E7179" s="2">
        <v>9.2115534738485504E-4</v>
      </c>
      <c r="F7179" s="2">
        <v>1.75716206083614E-3</v>
      </c>
    </row>
    <row r="7180" spans="1:6" x14ac:dyDescent="0.25">
      <c r="A7180" s="1" t="str">
        <f t="shared" si="254"/>
        <v>17140</v>
      </c>
      <c r="B7180" s="1" t="str">
        <f>"41033"</f>
        <v>41033</v>
      </c>
      <c r="C7180" s="2">
        <v>9.9096456457383603E-4</v>
      </c>
      <c r="D7180" s="2">
        <v>1.6690112300612699E-4</v>
      </c>
      <c r="E7180" s="2">
        <v>1.5612802498048301E-5</v>
      </c>
      <c r="F7180" s="2">
        <v>8.7984760566615103E-4</v>
      </c>
    </row>
    <row r="7181" spans="1:6" x14ac:dyDescent="0.25">
      <c r="A7181" s="1" t="str">
        <f t="shared" si="254"/>
        <v>17140</v>
      </c>
      <c r="B7181" s="1" t="str">
        <f>"41043"</f>
        <v>41043</v>
      </c>
      <c r="C7181" s="2">
        <v>8.6745583598040799E-4</v>
      </c>
      <c r="D7181" s="2">
        <v>2.26508666936887E-4</v>
      </c>
      <c r="E7181" s="2">
        <v>3.1225604996096698E-5</v>
      </c>
      <c r="F7181" s="2">
        <v>7.7683281882232101E-4</v>
      </c>
    </row>
    <row r="7182" spans="1:6" x14ac:dyDescent="0.25">
      <c r="A7182" s="1" t="str">
        <f t="shared" si="254"/>
        <v>17140</v>
      </c>
      <c r="B7182" s="1" t="str">
        <f>"41080"</f>
        <v>41080</v>
      </c>
      <c r="C7182" s="2">
        <v>5.6543839809179003E-4</v>
      </c>
      <c r="D7182" s="2">
        <v>1.5497961421997501E-4</v>
      </c>
      <c r="E7182" s="2">
        <v>1.5612802498048301E-5</v>
      </c>
      <c r="F7182" s="2">
        <v>5.0663009923194796E-4</v>
      </c>
    </row>
    <row r="7183" spans="1:6" x14ac:dyDescent="0.25">
      <c r="A7183" s="1" t="str">
        <f t="shared" si="254"/>
        <v>17140</v>
      </c>
      <c r="B7183" s="1" t="str">
        <f>"41025"</f>
        <v>41025</v>
      </c>
      <c r="C7183" s="2">
        <v>0</v>
      </c>
      <c r="D7183" s="2">
        <v>2.3843017572303901E-5</v>
      </c>
      <c r="E7183" s="2">
        <v>3.1225604996096698E-5</v>
      </c>
      <c r="F7183" s="2">
        <v>3.3775339948796502E-6</v>
      </c>
    </row>
    <row r="7184" spans="1:6" x14ac:dyDescent="0.25">
      <c r="A7184" s="1" t="str">
        <f t="shared" si="254"/>
        <v>17140</v>
      </c>
      <c r="B7184" s="1" t="str">
        <f>"41095"</f>
        <v>41095</v>
      </c>
      <c r="C7184" s="2">
        <v>1.6413152135736E-3</v>
      </c>
      <c r="D7184" s="2">
        <v>7.0336901838296596E-4</v>
      </c>
      <c r="E7184" s="2">
        <v>5.6206088992974195E-4</v>
      </c>
      <c r="F7184" s="2">
        <v>1.5165127637009599E-3</v>
      </c>
    </row>
    <row r="7185" spans="1:6" x14ac:dyDescent="0.25">
      <c r="A7185" s="1" t="str">
        <f t="shared" si="254"/>
        <v>17140</v>
      </c>
      <c r="B7185" s="1" t="str">
        <f>"45247"</f>
        <v>45247</v>
      </c>
      <c r="C7185" s="2">
        <v>1.0071750852017201E-2</v>
      </c>
      <c r="D7185" s="2">
        <v>6.4018502181636102E-3</v>
      </c>
      <c r="E7185" s="2">
        <v>1.07259953161592E-2</v>
      </c>
      <c r="F7185" s="2">
        <v>9.8472003620716404E-3</v>
      </c>
    </row>
    <row r="7186" spans="1:6" x14ac:dyDescent="0.25">
      <c r="A7186" s="1" t="str">
        <f t="shared" si="254"/>
        <v>17140</v>
      </c>
      <c r="B7186" s="1" t="str">
        <f>"45246"</f>
        <v>45246</v>
      </c>
      <c r="C7186" s="2">
        <v>7.5234184128356403E-3</v>
      </c>
      <c r="D7186" s="2">
        <v>2.77294294365894E-2</v>
      </c>
      <c r="E7186" s="2">
        <v>1.0382513661202099E-2</v>
      </c>
      <c r="F7186" s="2">
        <v>9.1092091841904303E-3</v>
      </c>
    </row>
    <row r="7187" spans="1:6" x14ac:dyDescent="0.25">
      <c r="A7187" s="1" t="str">
        <f t="shared" si="254"/>
        <v>17140</v>
      </c>
      <c r="B7187" s="1" t="str">
        <f>"45202"</f>
        <v>45202</v>
      </c>
      <c r="C7187" s="2">
        <v>1.22640307845506E-2</v>
      </c>
      <c r="D7187" s="2">
        <v>5.4028277818840703E-2</v>
      </c>
      <c r="E7187" s="2">
        <v>4.4465261514441801E-2</v>
      </c>
      <c r="F7187" s="2">
        <v>1.6963664489282999E-2</v>
      </c>
    </row>
    <row r="7188" spans="1:6" x14ac:dyDescent="0.25">
      <c r="A7188" s="1" t="str">
        <f t="shared" si="254"/>
        <v>17140</v>
      </c>
      <c r="B7188" s="1" t="str">
        <f>"45106"</f>
        <v>45106</v>
      </c>
      <c r="C7188" s="2">
        <v>5.09184031865251E-3</v>
      </c>
      <c r="D7188" s="2">
        <v>2.7777115471734099E-3</v>
      </c>
      <c r="E7188" s="2">
        <v>2.4043715846994501E-3</v>
      </c>
      <c r="F7188" s="2">
        <v>4.7825881367495899E-3</v>
      </c>
    </row>
    <row r="7189" spans="1:6" x14ac:dyDescent="0.25">
      <c r="A7189" s="1" t="str">
        <f t="shared" si="254"/>
        <v>17140</v>
      </c>
      <c r="B7189" s="1" t="str">
        <f>"45005"</f>
        <v>45005</v>
      </c>
      <c r="C7189" s="2">
        <v>1.34499075614359E-2</v>
      </c>
      <c r="D7189" s="2">
        <v>1.27202498748241E-2</v>
      </c>
      <c r="E7189" s="2">
        <v>7.0569867291178697E-3</v>
      </c>
      <c r="F7189" s="2">
        <v>1.30524801232124E-2</v>
      </c>
    </row>
    <row r="7190" spans="1:6" x14ac:dyDescent="0.25">
      <c r="A7190" s="1" t="str">
        <f t="shared" si="254"/>
        <v>17140</v>
      </c>
      <c r="B7190" s="1" t="str">
        <f>"45158"</f>
        <v>45158</v>
      </c>
      <c r="C7190" s="2">
        <v>0</v>
      </c>
      <c r="D7190" s="2">
        <v>0</v>
      </c>
      <c r="E7190" s="2">
        <v>1.5612802498048301E-5</v>
      </c>
      <c r="F7190" s="2">
        <v>8.4438349871991403E-7</v>
      </c>
    </row>
    <row r="7191" spans="1:6" x14ac:dyDescent="0.25">
      <c r="A7191" s="1" t="str">
        <f t="shared" si="254"/>
        <v>17140</v>
      </c>
      <c r="B7191" s="1" t="str">
        <f>"45147"</f>
        <v>45147</v>
      </c>
      <c r="C7191" s="2">
        <v>0</v>
      </c>
      <c r="D7191" s="2">
        <v>0</v>
      </c>
      <c r="E7191" s="2">
        <v>1.5612802498048301E-5</v>
      </c>
      <c r="F7191" s="2">
        <v>8.4438349871991403E-7</v>
      </c>
    </row>
    <row r="7192" spans="1:6" x14ac:dyDescent="0.25">
      <c r="A7192" s="1" t="str">
        <f t="shared" si="254"/>
        <v>17140</v>
      </c>
      <c r="B7192" s="1" t="str">
        <f>"45131"</f>
        <v>45131</v>
      </c>
      <c r="C7192" s="2">
        <v>1.9298238842723202E-6</v>
      </c>
      <c r="D7192" s="2">
        <v>0</v>
      </c>
      <c r="E7192" s="2">
        <v>1.5612802498048301E-5</v>
      </c>
      <c r="F7192" s="2">
        <v>2.53315049615974E-6</v>
      </c>
    </row>
    <row r="7193" spans="1:6" x14ac:dyDescent="0.25">
      <c r="A7193" s="1" t="str">
        <f t="shared" si="254"/>
        <v>17140</v>
      </c>
      <c r="B7193" s="1" t="str">
        <f>"45051"</f>
        <v>45051</v>
      </c>
      <c r="C7193" s="2">
        <v>0</v>
      </c>
      <c r="D7193" s="2">
        <v>0</v>
      </c>
      <c r="E7193" s="2">
        <v>3.1225604996096698E-5</v>
      </c>
      <c r="F7193" s="2">
        <v>1.68876699743982E-6</v>
      </c>
    </row>
    <row r="7194" spans="1:6" x14ac:dyDescent="0.25">
      <c r="A7194" s="1" t="str">
        <f t="shared" si="254"/>
        <v>17140</v>
      </c>
      <c r="B7194" s="1" t="str">
        <f>"45275"</f>
        <v>45275</v>
      </c>
      <c r="C7194" s="2">
        <v>0</v>
      </c>
      <c r="D7194" s="2">
        <v>1.19215087861519E-5</v>
      </c>
      <c r="E7194" s="2">
        <v>0</v>
      </c>
      <c r="F7194" s="2">
        <v>8.4438349871991403E-7</v>
      </c>
    </row>
    <row r="7195" spans="1:6" x14ac:dyDescent="0.25">
      <c r="A7195" s="1" t="str">
        <f t="shared" si="254"/>
        <v>17140</v>
      </c>
      <c r="B7195" s="1" t="str">
        <f>"45156"</f>
        <v>45156</v>
      </c>
      <c r="C7195" s="2">
        <v>0</v>
      </c>
      <c r="D7195" s="2">
        <v>0</v>
      </c>
      <c r="E7195" s="2">
        <v>1.5612802498048301E-5</v>
      </c>
      <c r="F7195" s="2">
        <v>8.4438349871991403E-7</v>
      </c>
    </row>
    <row r="7196" spans="1:6" x14ac:dyDescent="0.25">
      <c r="A7196" s="1" t="str">
        <f t="shared" si="254"/>
        <v>17140</v>
      </c>
      <c r="B7196" s="1" t="str">
        <f>"47035"</f>
        <v>47035</v>
      </c>
      <c r="C7196" s="2">
        <v>1.0324557780856899E-4</v>
      </c>
      <c r="D7196" s="2">
        <v>8.3450561503063794E-5</v>
      </c>
      <c r="E7196" s="2">
        <v>3.1225604996096698E-5</v>
      </c>
      <c r="F7196" s="2">
        <v>9.7948485851510002E-5</v>
      </c>
    </row>
    <row r="7197" spans="1:6" x14ac:dyDescent="0.25">
      <c r="A7197" s="1" t="str">
        <f t="shared" si="254"/>
        <v>17140</v>
      </c>
      <c r="B7197" s="1" t="str">
        <f>"47017"</f>
        <v>47017</v>
      </c>
      <c r="C7197" s="2">
        <v>1.15789433056339E-5</v>
      </c>
      <c r="D7197" s="2">
        <v>0</v>
      </c>
      <c r="E7197" s="2">
        <v>0</v>
      </c>
      <c r="F7197" s="2">
        <v>1.0132601984638901E-5</v>
      </c>
    </row>
    <row r="7198" spans="1:6" x14ac:dyDescent="0.25">
      <c r="A7198" s="1" t="str">
        <f t="shared" si="254"/>
        <v>17140</v>
      </c>
      <c r="B7198" s="1" t="str">
        <f>"45148"</f>
        <v>45148</v>
      </c>
      <c r="C7198" s="2">
        <v>5.4999980701761099E-5</v>
      </c>
      <c r="D7198" s="2">
        <v>1.19215087861519E-5</v>
      </c>
      <c r="E7198" s="2">
        <v>0</v>
      </c>
      <c r="F7198" s="2">
        <v>4.8974242925755001E-5</v>
      </c>
    </row>
    <row r="7199" spans="1:6" x14ac:dyDescent="0.25">
      <c r="A7199" s="1" t="str">
        <f t="shared" si="254"/>
        <v>17140</v>
      </c>
      <c r="B7199" s="1" t="str">
        <f>"45107"</f>
        <v>45107</v>
      </c>
      <c r="C7199" s="2">
        <v>1.2514907889506E-3</v>
      </c>
      <c r="D7199" s="2">
        <v>1.9074414057843099E-4</v>
      </c>
      <c r="E7199" s="2">
        <v>0</v>
      </c>
      <c r="F7199" s="2">
        <v>1.1086755338192401E-3</v>
      </c>
    </row>
    <row r="7200" spans="1:6" x14ac:dyDescent="0.25">
      <c r="A7200" s="1" t="str">
        <f t="shared" si="254"/>
        <v>17140</v>
      </c>
      <c r="B7200" s="1" t="str">
        <f>"45001"</f>
        <v>45001</v>
      </c>
      <c r="C7200" s="2">
        <v>3.57982330532515E-4</v>
      </c>
      <c r="D7200" s="2">
        <v>4.7686035144607897E-5</v>
      </c>
      <c r="E7200" s="2">
        <v>1.09289617486338E-4</v>
      </c>
      <c r="F7200" s="2">
        <v>3.2255449651100702E-4</v>
      </c>
    </row>
    <row r="7201" spans="1:6" x14ac:dyDescent="0.25">
      <c r="A7201" s="1" t="str">
        <f t="shared" si="254"/>
        <v>17140</v>
      </c>
      <c r="B7201" s="1" t="str">
        <f>"47240"</f>
        <v>47240</v>
      </c>
      <c r="C7201" s="2">
        <v>7.0438571775939697E-5</v>
      </c>
      <c r="D7201" s="2">
        <v>0</v>
      </c>
      <c r="E7201" s="2">
        <v>0</v>
      </c>
      <c r="F7201" s="2">
        <v>6.1639995406553703E-5</v>
      </c>
    </row>
    <row r="7202" spans="1:6" x14ac:dyDescent="0.25">
      <c r="A7202" s="1" t="str">
        <f t="shared" si="254"/>
        <v>17140</v>
      </c>
      <c r="B7202" s="1" t="str">
        <f>"41011"</f>
        <v>41011</v>
      </c>
      <c r="C7202" s="2">
        <v>1.38281530427533E-2</v>
      </c>
      <c r="D7202" s="2">
        <v>1.6213251949166601E-2</v>
      </c>
      <c r="E7202" s="2">
        <v>2.57298985167837E-2</v>
      </c>
      <c r="F7202" s="2">
        <v>1.4640765484304499E-2</v>
      </c>
    </row>
    <row r="7203" spans="1:6" x14ac:dyDescent="0.25">
      <c r="A7203" s="1" t="str">
        <f t="shared" si="254"/>
        <v>17140</v>
      </c>
      <c r="B7203" s="1" t="str">
        <f>"41035"</f>
        <v>41035</v>
      </c>
      <c r="C7203" s="2">
        <v>4.7927176165902998E-3</v>
      </c>
      <c r="D7203" s="2">
        <v>3.00422021411029E-3</v>
      </c>
      <c r="E7203" s="2">
        <v>2.15456674473067E-3</v>
      </c>
      <c r="F7203" s="2">
        <v>4.5233624026425803E-3</v>
      </c>
    </row>
    <row r="7204" spans="1:6" x14ac:dyDescent="0.25">
      <c r="A7204" s="1" t="str">
        <f t="shared" si="254"/>
        <v>17140</v>
      </c>
      <c r="B7204" s="1" t="str">
        <f>"41086"</f>
        <v>41086</v>
      </c>
      <c r="C7204" s="2">
        <v>5.9921031606655496E-4</v>
      </c>
      <c r="D7204" s="2">
        <v>3.4572375479840697E-4</v>
      </c>
      <c r="E7204" s="2">
        <v>0</v>
      </c>
      <c r="F7204" s="2">
        <v>5.4884927416794401E-4</v>
      </c>
    </row>
    <row r="7205" spans="1:6" x14ac:dyDescent="0.25">
      <c r="A7205" s="1" t="str">
        <f t="shared" si="254"/>
        <v>17140</v>
      </c>
      <c r="B7205" s="1" t="str">
        <f>"41073"</f>
        <v>41073</v>
      </c>
      <c r="C7205" s="2">
        <v>2.9217533607882899E-3</v>
      </c>
      <c r="D7205" s="2">
        <v>2.3962232660165398E-3</v>
      </c>
      <c r="E7205" s="2">
        <v>6.8384074941451904E-3</v>
      </c>
      <c r="F7205" s="2">
        <v>3.0963542898059201E-3</v>
      </c>
    </row>
    <row r="7206" spans="1:6" x14ac:dyDescent="0.25">
      <c r="A7206" s="1" t="str">
        <f t="shared" si="254"/>
        <v>17140</v>
      </c>
      <c r="B7206" s="1" t="str">
        <f>"41075"</f>
        <v>41075</v>
      </c>
      <c r="C7206" s="2">
        <v>7.68359379523024E-3</v>
      </c>
      <c r="D7206" s="2">
        <v>5.2335423571207096E-3</v>
      </c>
      <c r="E7206" s="2">
        <v>1.1772053083528401E-2</v>
      </c>
      <c r="F7206" s="2">
        <v>7.7311753142795302E-3</v>
      </c>
    </row>
    <row r="7207" spans="1:6" x14ac:dyDescent="0.25">
      <c r="A7207" s="1" t="str">
        <f t="shared" si="254"/>
        <v>17140</v>
      </c>
      <c r="B7207" s="1" t="str">
        <f>"41094"</f>
        <v>41094</v>
      </c>
      <c r="C7207" s="2">
        <v>5.6408752137279902E-3</v>
      </c>
      <c r="D7207" s="2">
        <v>4.79244653203309E-3</v>
      </c>
      <c r="E7207" s="2">
        <v>2.73224043715846E-3</v>
      </c>
      <c r="F7207" s="2">
        <v>5.4234752122780099E-3</v>
      </c>
    </row>
    <row r="7208" spans="1:6" x14ac:dyDescent="0.25">
      <c r="A7208" s="1" t="str">
        <f t="shared" si="254"/>
        <v>17140</v>
      </c>
      <c r="B7208" s="1" t="str">
        <f>"45342"</f>
        <v>45342</v>
      </c>
      <c r="C7208" s="2">
        <v>6.8508747891667395E-5</v>
      </c>
      <c r="D7208" s="2">
        <v>4.7686035144607897E-5</v>
      </c>
      <c r="E7208" s="2">
        <v>0</v>
      </c>
      <c r="F7208" s="2">
        <v>6.3328762403993494E-5</v>
      </c>
    </row>
    <row r="7209" spans="1:6" x14ac:dyDescent="0.25">
      <c r="A7209" s="1" t="str">
        <f t="shared" si="254"/>
        <v>17140</v>
      </c>
      <c r="B7209" s="1" t="str">
        <f>"45215"</f>
        <v>45215</v>
      </c>
      <c r="C7209" s="2">
        <v>1.4766047450509599E-2</v>
      </c>
      <c r="D7209" s="2">
        <v>1.88598268996924E-2</v>
      </c>
      <c r="E7209" s="2">
        <v>1.5565964090554199E-2</v>
      </c>
      <c r="F7209" s="2">
        <v>1.50992657241095E-2</v>
      </c>
    </row>
    <row r="7210" spans="1:6" x14ac:dyDescent="0.25">
      <c r="A7210" s="1" t="str">
        <f t="shared" si="254"/>
        <v>17140</v>
      </c>
      <c r="B7210" s="1" t="str">
        <f>"45223"</f>
        <v>45223</v>
      </c>
      <c r="C7210" s="2">
        <v>6.9743835177601601E-3</v>
      </c>
      <c r="D7210" s="2">
        <v>6.5091437972389704E-3</v>
      </c>
      <c r="E7210" s="2">
        <v>1.0320062451209901E-2</v>
      </c>
      <c r="F7210" s="2">
        <v>7.1223748117024699E-3</v>
      </c>
    </row>
    <row r="7211" spans="1:6" x14ac:dyDescent="0.25">
      <c r="A7211" s="1" t="str">
        <f t="shared" si="254"/>
        <v>17140</v>
      </c>
      <c r="B7211" s="1" t="str">
        <f>"45224"</f>
        <v>45224</v>
      </c>
      <c r="C7211" s="2">
        <v>1.00225403429683E-2</v>
      </c>
      <c r="D7211" s="2">
        <v>5.6746381822083396E-3</v>
      </c>
      <c r="E7211" s="2">
        <v>1.2224824355971799E-2</v>
      </c>
      <c r="F7211" s="2">
        <v>9.8336902260921198E-3</v>
      </c>
    </row>
    <row r="7212" spans="1:6" x14ac:dyDescent="0.25">
      <c r="A7212" s="1" t="str">
        <f t="shared" si="254"/>
        <v>17140</v>
      </c>
      <c r="B7212" s="1" t="str">
        <f>"45204"</f>
        <v>45204</v>
      </c>
      <c r="C7212" s="2">
        <v>3.4331566901204501E-3</v>
      </c>
      <c r="D7212" s="2">
        <v>2.1697145990796501E-3</v>
      </c>
      <c r="E7212" s="2">
        <v>6.8071818891490997E-3</v>
      </c>
      <c r="F7212" s="2">
        <v>3.5261454906543601E-3</v>
      </c>
    </row>
    <row r="7213" spans="1:6" x14ac:dyDescent="0.25">
      <c r="A7213" s="1" t="str">
        <f t="shared" si="254"/>
        <v>17140</v>
      </c>
      <c r="B7213" s="1" t="str">
        <f>"45225"</f>
        <v>45225</v>
      </c>
      <c r="C7213" s="2">
        <v>5.0802613753468803E-3</v>
      </c>
      <c r="D7213" s="2">
        <v>3.9579409170024497E-3</v>
      </c>
      <c r="E7213" s="2">
        <v>6.0265417642466797E-3</v>
      </c>
      <c r="F7213" s="2">
        <v>5.05194647284124E-3</v>
      </c>
    </row>
    <row r="7214" spans="1:6" x14ac:dyDescent="0.25">
      <c r="A7214" s="1" t="str">
        <f t="shared" si="254"/>
        <v>17140</v>
      </c>
      <c r="B7214" s="1" t="str">
        <f>"45232"</f>
        <v>45232</v>
      </c>
      <c r="C7214" s="2">
        <v>3.0964024223149298E-3</v>
      </c>
      <c r="D7214" s="2">
        <v>3.1591998283302699E-3</v>
      </c>
      <c r="E7214" s="2">
        <v>1.73302107728337E-3</v>
      </c>
      <c r="F7214" s="2">
        <v>3.02711484291089E-3</v>
      </c>
    </row>
    <row r="7215" spans="1:6" x14ac:dyDescent="0.25">
      <c r="A7215" s="1" t="str">
        <f t="shared" si="254"/>
        <v>17140</v>
      </c>
      <c r="B7215" s="1" t="str">
        <f>"45240"</f>
        <v>45240</v>
      </c>
      <c r="C7215" s="2">
        <v>1.1313592521546401E-2</v>
      </c>
      <c r="D7215" s="2">
        <v>1.1993037838868801E-2</v>
      </c>
      <c r="E7215" s="2">
        <v>1.00546448087431E-2</v>
      </c>
      <c r="F7215" s="2">
        <v>1.1293629295378801E-2</v>
      </c>
    </row>
    <row r="7216" spans="1:6" x14ac:dyDescent="0.25">
      <c r="A7216" s="1" t="str">
        <f t="shared" si="254"/>
        <v>17140</v>
      </c>
      <c r="B7216" s="1" t="str">
        <f>"45238"</f>
        <v>45238</v>
      </c>
      <c r="C7216" s="2">
        <v>2.00556947173E-2</v>
      </c>
      <c r="D7216" s="2">
        <v>1.03359481175937E-2</v>
      </c>
      <c r="E7216" s="2">
        <v>2.4996096799375402E-2</v>
      </c>
      <c r="F7216" s="2">
        <v>1.9634449495734101E-2</v>
      </c>
    </row>
    <row r="7217" spans="1:6" x14ac:dyDescent="0.25">
      <c r="A7217" s="1" t="str">
        <f t="shared" si="254"/>
        <v>17140</v>
      </c>
      <c r="B7217" s="1" t="str">
        <f>"47022"</f>
        <v>47022</v>
      </c>
      <c r="C7217" s="2">
        <v>1.2370171098185501E-3</v>
      </c>
      <c r="D7217" s="2">
        <v>3.69566772370711E-4</v>
      </c>
      <c r="E7217" s="2">
        <v>1.40515222482435E-4</v>
      </c>
      <c r="F7217" s="2">
        <v>1.11627498530772E-3</v>
      </c>
    </row>
    <row r="7218" spans="1:6" x14ac:dyDescent="0.25">
      <c r="A7218" s="1" t="str">
        <f t="shared" si="254"/>
        <v>17140</v>
      </c>
      <c r="B7218" s="1" t="str">
        <f>"47010"</f>
        <v>47010</v>
      </c>
      <c r="C7218" s="2">
        <v>1.1289469722992999E-4</v>
      </c>
      <c r="D7218" s="2">
        <v>5.9607543930759802E-5</v>
      </c>
      <c r="E7218" s="2">
        <v>6.2451209992193504E-5</v>
      </c>
      <c r="F7218" s="2">
        <v>1.06392320838709E-4</v>
      </c>
    </row>
    <row r="7219" spans="1:6" x14ac:dyDescent="0.25">
      <c r="A7219" s="1" t="str">
        <f t="shared" si="254"/>
        <v>17140</v>
      </c>
      <c r="B7219" s="1" t="str">
        <f>"45250"</f>
        <v>45250</v>
      </c>
      <c r="C7219" s="2">
        <v>7.6324534622970296E-4</v>
      </c>
      <c r="D7219" s="2">
        <v>3.79103979399632E-3</v>
      </c>
      <c r="E7219" s="2">
        <v>1.5612802498048301E-5</v>
      </c>
      <c r="F7219" s="2">
        <v>9.3726568357910495E-4</v>
      </c>
    </row>
    <row r="7220" spans="1:6" x14ac:dyDescent="0.25">
      <c r="A7220" s="1" t="str">
        <f t="shared" si="254"/>
        <v>17140</v>
      </c>
      <c r="B7220" s="1" t="str">
        <f>"45212"</f>
        <v>45212</v>
      </c>
      <c r="C7220" s="2">
        <v>1.14226275710078E-2</v>
      </c>
      <c r="D7220" s="2">
        <v>1.1695000119215E-2</v>
      </c>
      <c r="E7220" s="2">
        <v>2.0343481654956998E-2</v>
      </c>
      <c r="F7220" s="2">
        <v>1.1924383768922599E-2</v>
      </c>
    </row>
    <row r="7221" spans="1:6" x14ac:dyDescent="0.25">
      <c r="A7221" s="1" t="str">
        <f t="shared" si="254"/>
        <v>17140</v>
      </c>
      <c r="B7221" s="1" t="str">
        <f>"45220"</f>
        <v>45220</v>
      </c>
      <c r="C7221" s="2">
        <v>8.3561374188991493E-3</v>
      </c>
      <c r="D7221" s="2">
        <v>3.1472783195441202E-3</v>
      </c>
      <c r="E7221" s="2">
        <v>1.49414519906323E-2</v>
      </c>
      <c r="F7221" s="2">
        <v>8.3433533508514707E-3</v>
      </c>
    </row>
    <row r="7222" spans="1:6" x14ac:dyDescent="0.25">
      <c r="A7222" s="1" t="str">
        <f t="shared" si="254"/>
        <v>17140</v>
      </c>
      <c r="B7222" s="1" t="str">
        <f>"45229"</f>
        <v>45229</v>
      </c>
      <c r="C7222" s="2">
        <v>7.6276289025863399E-3</v>
      </c>
      <c r="D7222" s="2">
        <v>4.4586442860208297E-3</v>
      </c>
      <c r="E7222" s="2">
        <v>1.8173302107728301E-2</v>
      </c>
      <c r="F7222" s="2">
        <v>7.9735133784121504E-3</v>
      </c>
    </row>
    <row r="7223" spans="1:6" x14ac:dyDescent="0.25">
      <c r="A7223" s="1" t="str">
        <f t="shared" si="254"/>
        <v>17140</v>
      </c>
      <c r="B7223" s="1" t="str">
        <f>"45154"</f>
        <v>45154</v>
      </c>
      <c r="C7223" s="2">
        <v>3.7766653415209298E-3</v>
      </c>
      <c r="D7223" s="2">
        <v>2.4558308099473002E-3</v>
      </c>
      <c r="E7223" s="2">
        <v>1.1397345823575299E-3</v>
      </c>
      <c r="F7223" s="2">
        <v>3.5405000101325999E-3</v>
      </c>
    </row>
    <row r="7224" spans="1:6" x14ac:dyDescent="0.25">
      <c r="A7224" s="1" t="str">
        <f t="shared" si="254"/>
        <v>17140</v>
      </c>
      <c r="B7224" s="1" t="str">
        <f>"45205"</f>
        <v>45205</v>
      </c>
      <c r="C7224" s="2">
        <v>9.2361371101273206E-3</v>
      </c>
      <c r="D7224" s="2">
        <v>4.2082926015116397E-3</v>
      </c>
      <c r="E7224" s="2">
        <v>1.48009367681498E-2</v>
      </c>
      <c r="F7224" s="2">
        <v>9.1809817815816305E-3</v>
      </c>
    </row>
    <row r="7225" spans="1:6" x14ac:dyDescent="0.25">
      <c r="A7225" s="1" t="str">
        <f t="shared" si="254"/>
        <v>17140</v>
      </c>
      <c r="B7225" s="1" t="str">
        <f>"45167"</f>
        <v>45167</v>
      </c>
      <c r="C7225" s="2">
        <v>1.91631511708241E-3</v>
      </c>
      <c r="D7225" s="2">
        <v>1.70477575641973E-3</v>
      </c>
      <c r="E7225" s="2">
        <v>8.8992974238875802E-4</v>
      </c>
      <c r="F7225" s="2">
        <v>1.8458223282017299E-3</v>
      </c>
    </row>
    <row r="7226" spans="1:6" x14ac:dyDescent="0.25">
      <c r="A7226" s="1" t="str">
        <f t="shared" si="254"/>
        <v>17140</v>
      </c>
      <c r="B7226" s="1" t="str">
        <f>"47041"</f>
        <v>47041</v>
      </c>
      <c r="C7226" s="2">
        <v>1.03631542585423E-3</v>
      </c>
      <c r="D7226" s="2">
        <v>2.6227319329534299E-4</v>
      </c>
      <c r="E7226" s="2">
        <v>0</v>
      </c>
      <c r="F7226" s="2">
        <v>9.2544431459702604E-4</v>
      </c>
    </row>
    <row r="7227" spans="1:6" x14ac:dyDescent="0.25">
      <c r="A7227" s="1" t="str">
        <f t="shared" si="254"/>
        <v>17140</v>
      </c>
      <c r="B7227" s="1" t="str">
        <f>"45068"</f>
        <v>45068</v>
      </c>
      <c r="C7227" s="2">
        <v>4.31315638134863E-3</v>
      </c>
      <c r="D7227" s="2">
        <v>1.5378746334136001E-3</v>
      </c>
      <c r="E7227" s="2">
        <v>5.6206088992974195E-4</v>
      </c>
      <c r="F7227" s="2">
        <v>3.9137175165668003E-3</v>
      </c>
    </row>
    <row r="7228" spans="1:6" x14ac:dyDescent="0.25">
      <c r="A7228" s="1" t="str">
        <f t="shared" si="254"/>
        <v>17140</v>
      </c>
      <c r="B7228" s="1" t="str">
        <f>"45103"</f>
        <v>45103</v>
      </c>
      <c r="C7228" s="2">
        <v>1.4869293028318201E-2</v>
      </c>
      <c r="D7228" s="2">
        <v>1.07293579075367E-2</v>
      </c>
      <c r="E7228" s="2">
        <v>1.10070257611241E-2</v>
      </c>
      <c r="F7228" s="2">
        <v>1.4367185230719301E-2</v>
      </c>
    </row>
    <row r="7229" spans="1:6" x14ac:dyDescent="0.25">
      <c r="A7229" s="1" t="str">
        <f t="shared" si="254"/>
        <v>17140</v>
      </c>
      <c r="B7229" s="1" t="str">
        <f>"45013"</f>
        <v>45013</v>
      </c>
      <c r="C7229" s="2">
        <v>2.2889641091354E-2</v>
      </c>
      <c r="D7229" s="2">
        <v>1.20526453827996E-2</v>
      </c>
      <c r="E7229" s="2">
        <v>1.3255269320843E-2</v>
      </c>
      <c r="F7229" s="2">
        <v>2.1601018664252802E-2</v>
      </c>
    </row>
    <row r="7230" spans="1:6" x14ac:dyDescent="0.25">
      <c r="A7230" s="1" t="str">
        <f t="shared" si="254"/>
        <v>17140</v>
      </c>
      <c r="B7230" s="1" t="str">
        <f>"45065"</f>
        <v>45065</v>
      </c>
      <c r="C7230" s="2">
        <v>2.6785955513699798E-3</v>
      </c>
      <c r="D7230" s="2">
        <v>1.3709735104074699E-3</v>
      </c>
      <c r="E7230" s="2">
        <v>1.7174082747853201E-3</v>
      </c>
      <c r="F7230" s="2">
        <v>2.5339948796584601E-3</v>
      </c>
    </row>
    <row r="7231" spans="1:6" x14ac:dyDescent="0.25">
      <c r="A7231" s="1" t="str">
        <f t="shared" si="254"/>
        <v>17140</v>
      </c>
      <c r="B7231" s="1" t="str">
        <f>"41015"</f>
        <v>41015</v>
      </c>
      <c r="C7231" s="2">
        <v>9.7542948230544407E-3</v>
      </c>
      <c r="D7231" s="2">
        <v>6.7714169905343201E-3</v>
      </c>
      <c r="E7231" s="2">
        <v>5.7923497267759498E-3</v>
      </c>
      <c r="F7231" s="2">
        <v>9.3287488938576107E-3</v>
      </c>
    </row>
    <row r="7232" spans="1:6" x14ac:dyDescent="0.25">
      <c r="A7232" s="1" t="str">
        <f t="shared" ref="A7232:A7295" si="255">"17140"</f>
        <v>17140</v>
      </c>
      <c r="B7232" s="1" t="str">
        <f>"41018"</f>
        <v>41018</v>
      </c>
      <c r="C7232" s="2">
        <v>1.2311311469715199E-2</v>
      </c>
      <c r="D7232" s="2">
        <v>1.33997758756348E-2</v>
      </c>
      <c r="E7232" s="2">
        <v>1.1288056206088901E-2</v>
      </c>
      <c r="F7232" s="2">
        <v>1.2333065382303001E-2</v>
      </c>
    </row>
    <row r="7233" spans="1:6" x14ac:dyDescent="0.25">
      <c r="A7233" s="1" t="str">
        <f t="shared" si="255"/>
        <v>17140</v>
      </c>
      <c r="B7233" s="1" t="str">
        <f>"41016"</f>
        <v>41016</v>
      </c>
      <c r="C7233" s="2">
        <v>2.7953498963684499E-3</v>
      </c>
      <c r="D7233" s="2">
        <v>1.5736391597720601E-3</v>
      </c>
      <c r="E7233" s="2">
        <v>2.1233411397345802E-3</v>
      </c>
      <c r="F7233" s="2">
        <v>2.6724737734485199E-3</v>
      </c>
    </row>
    <row r="7234" spans="1:6" x14ac:dyDescent="0.25">
      <c r="A7234" s="1" t="str">
        <f t="shared" si="255"/>
        <v>17140</v>
      </c>
      <c r="B7234" s="1" t="str">
        <f>"41059"</f>
        <v>41059</v>
      </c>
      <c r="C7234" s="2">
        <v>1.2099995754387401E-3</v>
      </c>
      <c r="D7234" s="2">
        <v>3.3380224601225501E-4</v>
      </c>
      <c r="E7234" s="2">
        <v>2.96643247462919E-4</v>
      </c>
      <c r="F7234" s="2">
        <v>1.0985429318346E-3</v>
      </c>
    </row>
    <row r="7235" spans="1:6" x14ac:dyDescent="0.25">
      <c r="A7235" s="1" t="str">
        <f t="shared" si="255"/>
        <v>17140</v>
      </c>
      <c r="B7235" s="1" t="str">
        <f>"41063"</f>
        <v>41063</v>
      </c>
      <c r="C7235" s="2">
        <v>1.2592100844876801E-3</v>
      </c>
      <c r="D7235" s="2">
        <v>1.6690112300612699E-4</v>
      </c>
      <c r="E7235" s="2">
        <v>0</v>
      </c>
      <c r="F7235" s="2">
        <v>1.1137418348115601E-3</v>
      </c>
    </row>
    <row r="7236" spans="1:6" x14ac:dyDescent="0.25">
      <c r="A7236" s="1" t="str">
        <f t="shared" si="255"/>
        <v>17140</v>
      </c>
      <c r="B7236" s="1" t="str">
        <f>"45115"</f>
        <v>45115</v>
      </c>
      <c r="C7236" s="2">
        <v>0</v>
      </c>
      <c r="D7236" s="2">
        <v>0</v>
      </c>
      <c r="E7236" s="2">
        <v>1.5612802498048301E-5</v>
      </c>
      <c r="F7236" s="2">
        <v>8.4438349871991403E-7</v>
      </c>
    </row>
    <row r="7237" spans="1:6" x14ac:dyDescent="0.25">
      <c r="A7237" s="1" t="str">
        <f t="shared" si="255"/>
        <v>17140</v>
      </c>
      <c r="B7237" s="1" t="str">
        <f>"41053"</f>
        <v>41053</v>
      </c>
      <c r="C7237" s="2">
        <v>0</v>
      </c>
      <c r="D7237" s="2">
        <v>0</v>
      </c>
      <c r="E7237" s="2">
        <v>1.5612802498048301E-5</v>
      </c>
      <c r="F7237" s="2">
        <v>8.4438349871991403E-7</v>
      </c>
    </row>
    <row r="7238" spans="1:6" x14ac:dyDescent="0.25">
      <c r="A7238" s="1" t="str">
        <f t="shared" si="255"/>
        <v>17140</v>
      </c>
      <c r="B7238" s="1" t="str">
        <f>"45267"</f>
        <v>45267</v>
      </c>
      <c r="C7238" s="2">
        <v>0</v>
      </c>
      <c r="D7238" s="2">
        <v>2.3843017572303901E-5</v>
      </c>
      <c r="E7238" s="2">
        <v>0</v>
      </c>
      <c r="F7238" s="2">
        <v>1.68876699743982E-6</v>
      </c>
    </row>
    <row r="7239" spans="1:6" x14ac:dyDescent="0.25">
      <c r="A7239" s="1" t="str">
        <f t="shared" si="255"/>
        <v>17140</v>
      </c>
      <c r="B7239" s="1" t="str">
        <f>"45133"</f>
        <v>45133</v>
      </c>
      <c r="C7239" s="2">
        <v>1.35087671899062E-5</v>
      </c>
      <c r="D7239" s="2">
        <v>0</v>
      </c>
      <c r="E7239" s="2">
        <v>0</v>
      </c>
      <c r="F7239" s="2">
        <v>1.1821368982078801E-5</v>
      </c>
    </row>
    <row r="7240" spans="1:6" x14ac:dyDescent="0.25">
      <c r="A7240" s="1" t="str">
        <f t="shared" si="255"/>
        <v>17140</v>
      </c>
      <c r="B7240" s="1" t="str">
        <f>"45160"</f>
        <v>45160</v>
      </c>
      <c r="C7240" s="2">
        <v>5.2105244875352597E-5</v>
      </c>
      <c r="D7240" s="2">
        <v>1.19215087861519E-5</v>
      </c>
      <c r="E7240" s="2">
        <v>4.6838407494145097E-5</v>
      </c>
      <c r="F7240" s="2">
        <v>4.8974242925755001E-5</v>
      </c>
    </row>
    <row r="7241" spans="1:6" x14ac:dyDescent="0.25">
      <c r="A7241" s="1" t="str">
        <f t="shared" si="255"/>
        <v>17140</v>
      </c>
      <c r="B7241" s="1" t="str">
        <f>"46173"</f>
        <v>46173</v>
      </c>
      <c r="C7241" s="2">
        <v>1.02280665866433E-4</v>
      </c>
      <c r="D7241" s="2">
        <v>3.5764526358455897E-5</v>
      </c>
      <c r="E7241" s="2">
        <v>0</v>
      </c>
      <c r="F7241" s="2">
        <v>9.2037801360470603E-5</v>
      </c>
    </row>
    <row r="7242" spans="1:6" x14ac:dyDescent="0.25">
      <c r="A7242" s="1" t="str">
        <f t="shared" si="255"/>
        <v>17140</v>
      </c>
      <c r="B7242" s="1" t="str">
        <f>"45061"</f>
        <v>45061</v>
      </c>
      <c r="C7242" s="2">
        <v>5.1333315321643697E-4</v>
      </c>
      <c r="D7242" s="2">
        <v>1.4782670894828401E-3</v>
      </c>
      <c r="E7242" s="2">
        <v>3.1225604996096698E-5</v>
      </c>
      <c r="F7242" s="2">
        <v>5.5560434215770301E-4</v>
      </c>
    </row>
    <row r="7243" spans="1:6" x14ac:dyDescent="0.25">
      <c r="A7243" s="1" t="str">
        <f t="shared" si="255"/>
        <v>17140</v>
      </c>
      <c r="B7243" s="1" t="str">
        <f>"41091"</f>
        <v>41091</v>
      </c>
      <c r="C7243" s="2">
        <v>9.5468387554951701E-3</v>
      </c>
      <c r="D7243" s="2">
        <v>3.8029613027824802E-3</v>
      </c>
      <c r="E7243" s="2">
        <v>8.2747853239656497E-4</v>
      </c>
      <c r="F7243" s="2">
        <v>8.6684409978586407E-3</v>
      </c>
    </row>
    <row r="7244" spans="1:6" x14ac:dyDescent="0.25">
      <c r="A7244" s="1" t="str">
        <f t="shared" si="255"/>
        <v>17140</v>
      </c>
      <c r="B7244" s="1" t="str">
        <f>"41046"</f>
        <v>41046</v>
      </c>
      <c r="C7244" s="2">
        <v>7.5456113875047698E-4</v>
      </c>
      <c r="D7244" s="2">
        <v>2.3843017572303899E-4</v>
      </c>
      <c r="E7244" s="2">
        <v>3.1225604996096698E-5</v>
      </c>
      <c r="F7244" s="2">
        <v>6.7888433297081101E-4</v>
      </c>
    </row>
    <row r="7245" spans="1:6" x14ac:dyDescent="0.25">
      <c r="A7245" s="1" t="str">
        <f t="shared" si="255"/>
        <v>17140</v>
      </c>
      <c r="B7245" s="1" t="str">
        <f>"45258"</f>
        <v>45258</v>
      </c>
      <c r="C7245" s="2">
        <v>4.9692965020012205E-4</v>
      </c>
      <c r="D7245" s="2">
        <v>1.94320593214277E-3</v>
      </c>
      <c r="E7245" s="2">
        <v>3.1225604996096698E-5</v>
      </c>
      <c r="F7245" s="2">
        <v>5.7418077912954103E-4</v>
      </c>
    </row>
    <row r="7246" spans="1:6" x14ac:dyDescent="0.25">
      <c r="A7246" s="1" t="str">
        <f t="shared" si="255"/>
        <v>17140</v>
      </c>
      <c r="B7246" s="1" t="str">
        <f>"45231"</f>
        <v>45231</v>
      </c>
      <c r="C7246" s="2">
        <v>1.8321747957281399E-2</v>
      </c>
      <c r="D7246" s="2">
        <v>1.22910755585226E-2</v>
      </c>
      <c r="E7246" s="2">
        <v>1.4098360655737699E-2</v>
      </c>
      <c r="F7246" s="2">
        <v>1.7666191560218002E-2</v>
      </c>
    </row>
    <row r="7247" spans="1:6" x14ac:dyDescent="0.25">
      <c r="A7247" s="1" t="str">
        <f t="shared" si="255"/>
        <v>17140</v>
      </c>
      <c r="B7247" s="1" t="str">
        <f>"45157"</f>
        <v>45157</v>
      </c>
      <c r="C7247" s="2">
        <v>4.3758756575874797E-3</v>
      </c>
      <c r="D7247" s="2">
        <v>1.80014782670894E-3</v>
      </c>
      <c r="E7247" s="2">
        <v>3.37236533957845E-3</v>
      </c>
      <c r="F7247" s="2">
        <v>4.1391679107250197E-3</v>
      </c>
    </row>
    <row r="7248" spans="1:6" x14ac:dyDescent="0.25">
      <c r="A7248" s="1" t="str">
        <f t="shared" si="255"/>
        <v>17140</v>
      </c>
      <c r="B7248" s="1" t="str">
        <f>"45168"</f>
        <v>45168</v>
      </c>
      <c r="C7248" s="2">
        <v>6.17543642967142E-4</v>
      </c>
      <c r="D7248" s="2">
        <v>1.9074414057843099E-4</v>
      </c>
      <c r="E7248" s="2">
        <v>7.8064012490241904E-5</v>
      </c>
      <c r="F7248" s="2">
        <v>5.5813749265386302E-4</v>
      </c>
    </row>
    <row r="7249" spans="1:6" x14ac:dyDescent="0.25">
      <c r="A7249" s="1" t="str">
        <f t="shared" si="255"/>
        <v>17140</v>
      </c>
      <c r="B7249" s="1" t="str">
        <f>"45171"</f>
        <v>45171</v>
      </c>
      <c r="C7249" s="2">
        <v>2.30999918947396E-3</v>
      </c>
      <c r="D7249" s="2">
        <v>4.64938842659927E-4</v>
      </c>
      <c r="E7249" s="2">
        <v>3.9032006245120902E-4</v>
      </c>
      <c r="F7249" s="2">
        <v>2.0754946398535501E-3</v>
      </c>
    </row>
    <row r="7250" spans="1:6" x14ac:dyDescent="0.25">
      <c r="A7250" s="1" t="str">
        <f t="shared" si="255"/>
        <v>17140</v>
      </c>
      <c r="B7250" s="1" t="str">
        <f>"45697"</f>
        <v>45697</v>
      </c>
      <c r="C7250" s="2">
        <v>5.4806998313333905E-4</v>
      </c>
      <c r="D7250" s="2">
        <v>1.4305810543382299E-4</v>
      </c>
      <c r="E7250" s="2">
        <v>0</v>
      </c>
      <c r="F7250" s="2">
        <v>4.8974242925755001E-4</v>
      </c>
    </row>
    <row r="7251" spans="1:6" x14ac:dyDescent="0.25">
      <c r="A7251" s="1" t="str">
        <f t="shared" si="255"/>
        <v>17140</v>
      </c>
      <c r="B7251" s="1" t="str">
        <f>"47040"</f>
        <v>47040</v>
      </c>
      <c r="C7251" s="2">
        <v>2.1565781906743098E-3</v>
      </c>
      <c r="D7251" s="2">
        <v>1.7643833003504899E-3</v>
      </c>
      <c r="E7251" s="2">
        <v>1.59250585480093E-3</v>
      </c>
      <c r="F7251" s="2">
        <v>2.0982929943189799E-3</v>
      </c>
    </row>
    <row r="7252" spans="1:6" x14ac:dyDescent="0.25">
      <c r="A7252" s="1" t="str">
        <f t="shared" si="255"/>
        <v>17140</v>
      </c>
      <c r="B7252" s="1" t="str">
        <f>"41042"</f>
        <v>41042</v>
      </c>
      <c r="C7252" s="2">
        <v>2.21427992481406E-2</v>
      </c>
      <c r="D7252" s="2">
        <v>3.19138790205288E-2</v>
      </c>
      <c r="E7252" s="2">
        <v>2.52302888368462E-2</v>
      </c>
      <c r="F7252" s="2">
        <v>2.3001850888629102E-2</v>
      </c>
    </row>
    <row r="7253" spans="1:6" x14ac:dyDescent="0.25">
      <c r="A7253" s="1" t="str">
        <f t="shared" si="255"/>
        <v>17140</v>
      </c>
      <c r="B7253" s="1" t="str">
        <f>"41012"</f>
        <v>41012</v>
      </c>
      <c r="C7253" s="2">
        <v>7.56490962634749E-4</v>
      </c>
      <c r="D7253" s="2">
        <v>1.69285424763358E-3</v>
      </c>
      <c r="E7253" s="2">
        <v>1.5612802498048301E-5</v>
      </c>
      <c r="F7253" s="2">
        <v>7.8274350331335998E-4</v>
      </c>
    </row>
    <row r="7254" spans="1:6" x14ac:dyDescent="0.25">
      <c r="A7254" s="1" t="str">
        <f t="shared" si="255"/>
        <v>17140</v>
      </c>
      <c r="B7254" s="1" t="str">
        <f>"41099"</f>
        <v>41099</v>
      </c>
      <c r="C7254" s="2">
        <v>0</v>
      </c>
      <c r="D7254" s="2">
        <v>4.7686035144607897E-5</v>
      </c>
      <c r="E7254" s="2">
        <v>3.1225604996096698E-5</v>
      </c>
      <c r="F7254" s="2">
        <v>5.06630099231948E-6</v>
      </c>
    </row>
    <row r="7255" spans="1:6" x14ac:dyDescent="0.25">
      <c r="A7255" s="1" t="str">
        <f t="shared" si="255"/>
        <v>17140</v>
      </c>
      <c r="B7255" s="1" t="str">
        <f>"47353"</f>
        <v>47353</v>
      </c>
      <c r="C7255" s="2">
        <v>2.6207008348418099E-3</v>
      </c>
      <c r="D7255" s="2">
        <v>2.9684556877518399E-3</v>
      </c>
      <c r="E7255" s="2">
        <v>1.04605776736924E-3</v>
      </c>
      <c r="F7255" s="2">
        <v>2.56017076811878E-3</v>
      </c>
    </row>
    <row r="7256" spans="1:6" x14ac:dyDescent="0.25">
      <c r="A7256" s="1" t="str">
        <f t="shared" si="255"/>
        <v>17140</v>
      </c>
      <c r="B7256" s="1" t="str">
        <f>"45248"</f>
        <v>45248</v>
      </c>
      <c r="C7256" s="2">
        <v>9.9993824563570297E-3</v>
      </c>
      <c r="D7256" s="2">
        <v>4.6255454090269599E-3</v>
      </c>
      <c r="E7256" s="2">
        <v>6.4168618266978901E-3</v>
      </c>
      <c r="F7256" s="2">
        <v>9.4250086127116803E-3</v>
      </c>
    </row>
    <row r="7257" spans="1:6" x14ac:dyDescent="0.25">
      <c r="A7257" s="1" t="str">
        <f t="shared" si="255"/>
        <v>17140</v>
      </c>
      <c r="B7257" s="1" t="str">
        <f>"45249"</f>
        <v>45249</v>
      </c>
      <c r="C7257" s="2">
        <v>6.1802609893820996E-3</v>
      </c>
      <c r="D7257" s="2">
        <v>1.17069216280012E-2</v>
      </c>
      <c r="E7257" s="2">
        <v>8.3996877439500295E-3</v>
      </c>
      <c r="F7257" s="2">
        <v>6.6917392273553198E-3</v>
      </c>
    </row>
    <row r="7258" spans="1:6" x14ac:dyDescent="0.25">
      <c r="A7258" s="1" t="str">
        <f t="shared" si="255"/>
        <v>17140</v>
      </c>
      <c r="B7258" s="1" t="str">
        <f>"45213"</f>
        <v>45213</v>
      </c>
      <c r="C7258" s="2">
        <v>5.8599102245929001E-3</v>
      </c>
      <c r="D7258" s="2">
        <v>3.79103979399632E-3</v>
      </c>
      <c r="E7258" s="2">
        <v>1.11943793911007E-2</v>
      </c>
      <c r="F7258" s="2">
        <v>6.0018779089011497E-3</v>
      </c>
    </row>
    <row r="7259" spans="1:6" x14ac:dyDescent="0.25">
      <c r="A7259" s="1" t="str">
        <f t="shared" si="255"/>
        <v>17140</v>
      </c>
      <c r="B7259" s="1" t="str">
        <f>"45174"</f>
        <v>45174</v>
      </c>
      <c r="C7259" s="2">
        <v>7.9315761643592396E-4</v>
      </c>
      <c r="D7259" s="2">
        <v>3.5764526358455899E-4</v>
      </c>
      <c r="E7259" s="2">
        <v>2.0296643247462901E-4</v>
      </c>
      <c r="F7259" s="2">
        <v>7.3039172639272597E-4</v>
      </c>
    </row>
    <row r="7260" spans="1:6" x14ac:dyDescent="0.25">
      <c r="A7260" s="1" t="str">
        <f t="shared" si="255"/>
        <v>17140</v>
      </c>
      <c r="B7260" s="1" t="str">
        <f>"45243"</f>
        <v>45243</v>
      </c>
      <c r="C7260" s="2">
        <v>6.1040329459533501E-3</v>
      </c>
      <c r="D7260" s="2">
        <v>6.0084404282205904E-3</v>
      </c>
      <c r="E7260" s="2">
        <v>2.1389539422326299E-3</v>
      </c>
      <c r="F7260" s="2">
        <v>5.8828198355816404E-3</v>
      </c>
    </row>
    <row r="7261" spans="1:6" x14ac:dyDescent="0.25">
      <c r="A7261" s="1" t="str">
        <f t="shared" si="255"/>
        <v>17140</v>
      </c>
      <c r="B7261" s="1" t="str">
        <f>"45218"</f>
        <v>45218</v>
      </c>
      <c r="C7261" s="2">
        <v>1.86903443191774E-3</v>
      </c>
      <c r="D7261" s="2">
        <v>1.70477575641973E-3</v>
      </c>
      <c r="E7261" s="2">
        <v>2.0296643247462901E-4</v>
      </c>
      <c r="F7261" s="2">
        <v>1.76729466282078E-3</v>
      </c>
    </row>
    <row r="7262" spans="1:6" x14ac:dyDescent="0.25">
      <c r="A7262" s="1" t="str">
        <f t="shared" si="255"/>
        <v>17140</v>
      </c>
      <c r="B7262" s="1" t="str">
        <f>"45239"</f>
        <v>45239</v>
      </c>
      <c r="C7262" s="2">
        <v>1.2457978084919901E-2</v>
      </c>
      <c r="D7262" s="2">
        <v>7.8085882549295401E-3</v>
      </c>
      <c r="E7262" s="2">
        <v>1.55347384855581E-2</v>
      </c>
      <c r="F7262" s="2">
        <v>1.22950681248606E-2</v>
      </c>
    </row>
    <row r="7263" spans="1:6" x14ac:dyDescent="0.25">
      <c r="A7263" s="1" t="str">
        <f t="shared" si="255"/>
        <v>17140</v>
      </c>
      <c r="B7263" s="1" t="str">
        <f>"45233"</f>
        <v>45233</v>
      </c>
      <c r="C7263" s="2">
        <v>6.0393838458302198E-3</v>
      </c>
      <c r="D7263" s="2">
        <v>2.3008511957273302E-3</v>
      </c>
      <c r="E7263" s="2">
        <v>2.4824355971896899E-3</v>
      </c>
      <c r="F7263" s="2">
        <v>5.5822193100373502E-3</v>
      </c>
    </row>
    <row r="7264" spans="1:6" x14ac:dyDescent="0.25">
      <c r="A7264" s="1" t="str">
        <f t="shared" si="255"/>
        <v>17140</v>
      </c>
      <c r="B7264" s="1" t="str">
        <f>"45222"</f>
        <v>45222</v>
      </c>
      <c r="C7264" s="2">
        <v>6.5614012065258898E-4</v>
      </c>
      <c r="D7264" s="2">
        <v>2.0743425287904401E-3</v>
      </c>
      <c r="E7264" s="2">
        <v>3.1225604996096698E-5</v>
      </c>
      <c r="F7264" s="2">
        <v>7.2279227490424595E-4</v>
      </c>
    </row>
    <row r="7265" spans="1:6" x14ac:dyDescent="0.25">
      <c r="A7265" s="1" t="str">
        <f t="shared" si="255"/>
        <v>17140</v>
      </c>
      <c r="B7265" s="1" t="str">
        <f>"47001"</f>
        <v>47001</v>
      </c>
      <c r="C7265" s="2">
        <v>4.6653492402283303E-3</v>
      </c>
      <c r="D7265" s="2">
        <v>4.2679001454424001E-3</v>
      </c>
      <c r="E7265" s="2">
        <v>3.76268540202966E-3</v>
      </c>
      <c r="F7265" s="2">
        <v>4.5883799320440097E-3</v>
      </c>
    </row>
    <row r="7266" spans="1:6" x14ac:dyDescent="0.25">
      <c r="A7266" s="1" t="str">
        <f t="shared" si="255"/>
        <v>17140</v>
      </c>
      <c r="B7266" s="1" t="str">
        <f>"47006"</f>
        <v>47006</v>
      </c>
      <c r="C7266" s="2">
        <v>1.5467538432442599E-3</v>
      </c>
      <c r="D7266" s="2">
        <v>1.2636799313321E-3</v>
      </c>
      <c r="E7266" s="2">
        <v>5.3083528493364505E-4</v>
      </c>
      <c r="F7266" s="2">
        <v>1.47176043826881E-3</v>
      </c>
    </row>
    <row r="7267" spans="1:6" x14ac:dyDescent="0.25">
      <c r="A7267" s="1" t="str">
        <f t="shared" si="255"/>
        <v>17140</v>
      </c>
      <c r="B7267" s="1" t="str">
        <f>"47031"</f>
        <v>47031</v>
      </c>
      <c r="C7267" s="2">
        <v>2.1421045115422701E-4</v>
      </c>
      <c r="D7267" s="2">
        <v>0</v>
      </c>
      <c r="E7267" s="2">
        <v>0</v>
      </c>
      <c r="F7267" s="2">
        <v>1.8745313671582101E-4</v>
      </c>
    </row>
    <row r="7268" spans="1:6" x14ac:dyDescent="0.25">
      <c r="A7268" s="1" t="str">
        <f t="shared" si="255"/>
        <v>17140</v>
      </c>
      <c r="B7268" s="1" t="str">
        <f>"45039"</f>
        <v>45039</v>
      </c>
      <c r="C7268" s="2">
        <v>1.11138557495242E-2</v>
      </c>
      <c r="D7268" s="2">
        <v>6.4256932357359096E-3</v>
      </c>
      <c r="E7268" s="2">
        <v>4.5433255269320804E-3</v>
      </c>
      <c r="F7268" s="2">
        <v>1.0426447442193501E-2</v>
      </c>
    </row>
    <row r="7269" spans="1:6" x14ac:dyDescent="0.25">
      <c r="A7269" s="1" t="str">
        <f t="shared" si="255"/>
        <v>17140</v>
      </c>
      <c r="B7269" s="1" t="str">
        <f>"45042"</f>
        <v>45042</v>
      </c>
      <c r="C7269" s="2">
        <v>1.17757853418297E-2</v>
      </c>
      <c r="D7269" s="2">
        <v>6.9502396223266004E-3</v>
      </c>
      <c r="E7269" s="2">
        <v>5.0897736143637696E-3</v>
      </c>
      <c r="F7269" s="2">
        <v>1.10724008187142E-2</v>
      </c>
    </row>
    <row r="7270" spans="1:6" x14ac:dyDescent="0.25">
      <c r="A7270" s="1" t="str">
        <f t="shared" si="255"/>
        <v>17140</v>
      </c>
      <c r="B7270" s="1" t="str">
        <f>"45056"</f>
        <v>45056</v>
      </c>
      <c r="C7270" s="2">
        <v>1.05001717543257E-2</v>
      </c>
      <c r="D7270" s="2">
        <v>1.1695000119215E-2</v>
      </c>
      <c r="E7270" s="2">
        <v>1.42857142857142E-2</v>
      </c>
      <c r="F7270" s="2">
        <v>1.0789532346643E-2</v>
      </c>
    </row>
    <row r="7271" spans="1:6" x14ac:dyDescent="0.25">
      <c r="A7271" s="1" t="str">
        <f t="shared" si="255"/>
        <v>17140</v>
      </c>
      <c r="B7271" s="1" t="str">
        <f>"45102"</f>
        <v>45102</v>
      </c>
      <c r="C7271" s="2">
        <v>1.0847540053494699E-2</v>
      </c>
      <c r="D7271" s="2">
        <v>7.4747860089172799E-3</v>
      </c>
      <c r="E7271" s="2">
        <v>1.6252927400468301E-2</v>
      </c>
      <c r="F7271" s="2">
        <v>1.0900990968474E-2</v>
      </c>
    </row>
    <row r="7272" spans="1:6" x14ac:dyDescent="0.25">
      <c r="A7272" s="1" t="str">
        <f t="shared" si="255"/>
        <v>17140</v>
      </c>
      <c r="B7272" s="1" t="str">
        <f>"45012"</f>
        <v>45012</v>
      </c>
      <c r="C7272" s="2">
        <v>7.26578692428528E-4</v>
      </c>
      <c r="D7272" s="2">
        <v>1.9193629145704599E-3</v>
      </c>
      <c r="E7272" s="2">
        <v>3.1225604996096698E-5</v>
      </c>
      <c r="F7272" s="2">
        <v>7.7345528482744097E-4</v>
      </c>
    </row>
    <row r="7273" spans="1:6" x14ac:dyDescent="0.25">
      <c r="A7273" s="1" t="str">
        <f t="shared" si="255"/>
        <v>17140</v>
      </c>
      <c r="B7273" s="1" t="str">
        <f>"45014"</f>
        <v>45014</v>
      </c>
      <c r="C7273" s="2">
        <v>2.0241922722132301E-2</v>
      </c>
      <c r="D7273" s="2">
        <v>2.39741541689516E-2</v>
      </c>
      <c r="E7273" s="2">
        <v>2.7150663544106099E-2</v>
      </c>
      <c r="F7273" s="2">
        <v>2.0879915156346001E-2</v>
      </c>
    </row>
    <row r="7274" spans="1:6" x14ac:dyDescent="0.25">
      <c r="A7274" s="1" t="str">
        <f t="shared" si="255"/>
        <v>17140</v>
      </c>
      <c r="B7274" s="1" t="str">
        <f>"45050"</f>
        <v>45050</v>
      </c>
      <c r="C7274" s="2">
        <v>4.2089458915979304E-3</v>
      </c>
      <c r="D7274" s="2">
        <v>6.1514985336544098E-3</v>
      </c>
      <c r="E7274" s="2">
        <v>2.5292740046838399E-3</v>
      </c>
      <c r="F7274" s="2">
        <v>4.2556928335483598E-3</v>
      </c>
    </row>
    <row r="7275" spans="1:6" x14ac:dyDescent="0.25">
      <c r="A7275" s="1" t="str">
        <f t="shared" si="255"/>
        <v>17140</v>
      </c>
      <c r="B7275" s="1" t="str">
        <f>"45121"</f>
        <v>45121</v>
      </c>
      <c r="C7275" s="2">
        <v>4.0690336599881801E-3</v>
      </c>
      <c r="D7275" s="2">
        <v>3.7314322500655601E-3</v>
      </c>
      <c r="E7275" s="2">
        <v>3.3255269320843E-3</v>
      </c>
      <c r="F7275" s="2">
        <v>4.0049109344285497E-3</v>
      </c>
    </row>
    <row r="7276" spans="1:6" x14ac:dyDescent="0.25">
      <c r="A7276" s="1" t="str">
        <f t="shared" si="255"/>
        <v>17140</v>
      </c>
      <c r="B7276" s="1" t="str">
        <f>"45122"</f>
        <v>45122</v>
      </c>
      <c r="C7276" s="2">
        <v>4.3874546008931198E-3</v>
      </c>
      <c r="D7276" s="2">
        <v>1.5617176509859E-3</v>
      </c>
      <c r="E7276" s="2">
        <v>8.6651053864168597E-3</v>
      </c>
      <c r="F7276" s="2">
        <v>4.4186588488013103E-3</v>
      </c>
    </row>
    <row r="7277" spans="1:6" x14ac:dyDescent="0.25">
      <c r="A7277" s="1" t="str">
        <f t="shared" si="255"/>
        <v>17140</v>
      </c>
      <c r="B7277" s="1" t="str">
        <f>"45064"</f>
        <v>45064</v>
      </c>
      <c r="C7277" s="2">
        <v>4.9499982631585004E-4</v>
      </c>
      <c r="D7277" s="2">
        <v>5.2454638659068598E-4</v>
      </c>
      <c r="E7277" s="2">
        <v>3.1225604996096698E-5</v>
      </c>
      <c r="F7277" s="2">
        <v>4.7201037578443198E-4</v>
      </c>
    </row>
    <row r="7278" spans="1:6" x14ac:dyDescent="0.25">
      <c r="A7278" s="1" t="str">
        <f t="shared" si="255"/>
        <v>17140</v>
      </c>
      <c r="B7278" s="1" t="str">
        <f>"45150"</f>
        <v>45150</v>
      </c>
      <c r="C7278" s="2">
        <v>1.4309644101879199E-2</v>
      </c>
      <c r="D7278" s="2">
        <v>1.88598268996924E-2</v>
      </c>
      <c r="E7278" s="2">
        <v>1.4597970335675199E-2</v>
      </c>
      <c r="F7278" s="2">
        <v>1.46475205522943E-2</v>
      </c>
    </row>
    <row r="7279" spans="1:6" x14ac:dyDescent="0.25">
      <c r="A7279" s="1" t="str">
        <f t="shared" si="255"/>
        <v>17140</v>
      </c>
      <c r="B7279" s="1" t="str">
        <f>"45101"</f>
        <v>45101</v>
      </c>
      <c r="C7279" s="2">
        <v>1.29298200246245E-3</v>
      </c>
      <c r="D7279" s="2">
        <v>7.0336901838296596E-4</v>
      </c>
      <c r="E7279" s="2">
        <v>3.5909445745511298E-4</v>
      </c>
      <c r="F7279" s="2">
        <v>1.2007133351797099E-3</v>
      </c>
    </row>
    <row r="7280" spans="1:6" x14ac:dyDescent="0.25">
      <c r="A7280" s="1" t="str">
        <f t="shared" si="255"/>
        <v>17140</v>
      </c>
      <c r="B7280" s="1" t="str">
        <f>"41003"</f>
        <v>41003</v>
      </c>
      <c r="C7280" s="2">
        <v>2.9429814235152799E-4</v>
      </c>
      <c r="D7280" s="2">
        <v>4.7686035144607897E-5</v>
      </c>
      <c r="E7280" s="2">
        <v>0</v>
      </c>
      <c r="F7280" s="2">
        <v>2.6091450110445302E-4</v>
      </c>
    </row>
    <row r="7281" spans="1:6" x14ac:dyDescent="0.25">
      <c r="A7281" s="1" t="str">
        <f t="shared" si="255"/>
        <v>17140</v>
      </c>
      <c r="B7281" s="1" t="str">
        <f>"41005"</f>
        <v>41005</v>
      </c>
      <c r="C7281" s="2">
        <v>9.4599966807029107E-3</v>
      </c>
      <c r="D7281" s="2">
        <v>5.9369113755036798E-3</v>
      </c>
      <c r="E7281" s="2">
        <v>5.3551912568305998E-3</v>
      </c>
      <c r="F7281" s="2">
        <v>8.9884623438734896E-3</v>
      </c>
    </row>
    <row r="7282" spans="1:6" x14ac:dyDescent="0.25">
      <c r="A7282" s="1" t="str">
        <f t="shared" si="255"/>
        <v>17140</v>
      </c>
      <c r="B7282" s="1" t="str">
        <f>"41040"</f>
        <v>41040</v>
      </c>
      <c r="C7282" s="2">
        <v>3.5894724247465099E-3</v>
      </c>
      <c r="D7282" s="2">
        <v>3.2307288810471801E-3</v>
      </c>
      <c r="E7282" s="2">
        <v>1.60811865729898E-3</v>
      </c>
      <c r="F7282" s="2">
        <v>3.45690604375933E-3</v>
      </c>
    </row>
    <row r="7283" spans="1:6" x14ac:dyDescent="0.25">
      <c r="A7283" s="1" t="str">
        <f t="shared" si="255"/>
        <v>17140</v>
      </c>
      <c r="B7283" s="1" t="str">
        <f>"41034"</f>
        <v>41034</v>
      </c>
      <c r="C7283" s="2">
        <v>3.8596477685446404E-6</v>
      </c>
      <c r="D7283" s="2">
        <v>0</v>
      </c>
      <c r="E7283" s="2">
        <v>0</v>
      </c>
      <c r="F7283" s="2">
        <v>3.3775339948796502E-6</v>
      </c>
    </row>
    <row r="7284" spans="1:6" x14ac:dyDescent="0.25">
      <c r="A7284" s="1" t="str">
        <f t="shared" si="255"/>
        <v>17140</v>
      </c>
      <c r="B7284" s="1" t="str">
        <f>"45004"</f>
        <v>45004</v>
      </c>
      <c r="C7284" s="2">
        <v>0</v>
      </c>
      <c r="D7284" s="2">
        <v>1.19215087861519E-5</v>
      </c>
      <c r="E7284" s="2">
        <v>0</v>
      </c>
      <c r="F7284" s="2">
        <v>8.4438349871991403E-7</v>
      </c>
    </row>
    <row r="7285" spans="1:6" x14ac:dyDescent="0.25">
      <c r="A7285" s="1" t="str">
        <f t="shared" si="255"/>
        <v>17140</v>
      </c>
      <c r="B7285" s="1" t="str">
        <f>"45263"</f>
        <v>45263</v>
      </c>
      <c r="C7285" s="2">
        <v>0</v>
      </c>
      <c r="D7285" s="2">
        <v>0</v>
      </c>
      <c r="E7285" s="2">
        <v>4.6838407494145097E-5</v>
      </c>
      <c r="F7285" s="2">
        <v>2.53315049615974E-6</v>
      </c>
    </row>
    <row r="7286" spans="1:6" x14ac:dyDescent="0.25">
      <c r="A7286" s="1" t="str">
        <f t="shared" si="255"/>
        <v>17140</v>
      </c>
      <c r="B7286" s="1" t="str">
        <f>"47036"</f>
        <v>47036</v>
      </c>
      <c r="C7286" s="2">
        <v>2.9140340652512002E-4</v>
      </c>
      <c r="D7286" s="2">
        <v>4.7686035144607897E-5</v>
      </c>
      <c r="E7286" s="2">
        <v>0</v>
      </c>
      <c r="F7286" s="2">
        <v>2.5838135060829301E-4</v>
      </c>
    </row>
    <row r="7287" spans="1:6" x14ac:dyDescent="0.25">
      <c r="A7287" s="1" t="str">
        <f t="shared" si="255"/>
        <v>17140</v>
      </c>
      <c r="B7287" s="1" t="str">
        <f>"41022"</f>
        <v>41022</v>
      </c>
      <c r="C7287" s="2">
        <v>1.0720171677132699E-3</v>
      </c>
      <c r="D7287" s="2">
        <v>3.29033642497794E-3</v>
      </c>
      <c r="E7287" s="2">
        <v>3.1225604996096698E-5</v>
      </c>
      <c r="F7287" s="2">
        <v>1.1728486797219599E-3</v>
      </c>
    </row>
    <row r="7288" spans="1:6" x14ac:dyDescent="0.25">
      <c r="A7288" s="1" t="str">
        <f t="shared" si="255"/>
        <v>17140</v>
      </c>
      <c r="B7288" s="1" t="str">
        <f>"41072"</f>
        <v>41072</v>
      </c>
      <c r="C7288" s="2">
        <v>7.2561378048639205E-4</v>
      </c>
      <c r="D7288" s="2">
        <v>1.4663455806966899E-3</v>
      </c>
      <c r="E7288" s="2">
        <v>1.5612802498048301E-5</v>
      </c>
      <c r="F7288" s="2">
        <v>7.3967994487864498E-4</v>
      </c>
    </row>
    <row r="7289" spans="1:6" x14ac:dyDescent="0.25">
      <c r="A7289" s="1" t="str">
        <f t="shared" si="255"/>
        <v>17140</v>
      </c>
      <c r="B7289" s="1" t="str">
        <f>"45034"</f>
        <v>45034</v>
      </c>
      <c r="C7289" s="2">
        <v>4.4096475755622501E-4</v>
      </c>
      <c r="D7289" s="2">
        <v>3.5764526358455897E-5</v>
      </c>
      <c r="E7289" s="2">
        <v>0</v>
      </c>
      <c r="F7289" s="2">
        <v>3.8841640941116002E-4</v>
      </c>
    </row>
    <row r="7290" spans="1:6" x14ac:dyDescent="0.25">
      <c r="A7290" s="1" t="str">
        <f t="shared" si="255"/>
        <v>17140</v>
      </c>
      <c r="B7290" s="1" t="str">
        <f>"45203"</f>
        <v>45203</v>
      </c>
      <c r="C7290" s="2">
        <v>1.24859605312419E-3</v>
      </c>
      <c r="D7290" s="2">
        <v>5.7580887437114004E-3</v>
      </c>
      <c r="E7290" s="2">
        <v>1.95160031225604E-3</v>
      </c>
      <c r="F7290" s="2">
        <v>1.6060174145652701E-3</v>
      </c>
    </row>
    <row r="7291" spans="1:6" x14ac:dyDescent="0.25">
      <c r="A7291" s="1" t="str">
        <f t="shared" si="255"/>
        <v>17140</v>
      </c>
      <c r="B7291" s="1" t="str">
        <f>"45142"</f>
        <v>45142</v>
      </c>
      <c r="C7291" s="2">
        <v>1.28333288304109E-4</v>
      </c>
      <c r="D7291" s="2">
        <v>1.19215087861519E-5</v>
      </c>
      <c r="E7291" s="2">
        <v>0</v>
      </c>
      <c r="F7291" s="2">
        <v>1.1314738882846801E-4</v>
      </c>
    </row>
    <row r="7292" spans="1:6" x14ac:dyDescent="0.25">
      <c r="A7292" s="1" t="str">
        <f t="shared" si="255"/>
        <v>17140</v>
      </c>
      <c r="B7292" s="1" t="str">
        <f>"45219"</f>
        <v>45219</v>
      </c>
      <c r="C7292" s="2">
        <v>1.00215754310261E-2</v>
      </c>
      <c r="D7292" s="2">
        <v>9.2153262916954692E-3</v>
      </c>
      <c r="E7292" s="2">
        <v>2.1498829039812602E-2</v>
      </c>
      <c r="F7292" s="2">
        <v>1.05851915399528E-2</v>
      </c>
    </row>
    <row r="7293" spans="1:6" x14ac:dyDescent="0.25">
      <c r="A7293" s="1" t="str">
        <f t="shared" si="255"/>
        <v>17140</v>
      </c>
      <c r="B7293" s="1" t="str">
        <f>"45209"</f>
        <v>45209</v>
      </c>
      <c r="C7293" s="2">
        <v>7.2262255346577002E-3</v>
      </c>
      <c r="D7293" s="2">
        <v>9.99022436279535E-3</v>
      </c>
      <c r="E7293" s="2">
        <v>1.11943793911007E-2</v>
      </c>
      <c r="F7293" s="2">
        <v>7.6366043624228998E-3</v>
      </c>
    </row>
    <row r="7294" spans="1:6" x14ac:dyDescent="0.25">
      <c r="A7294" s="1" t="str">
        <f t="shared" si="255"/>
        <v>17140</v>
      </c>
      <c r="B7294" s="1" t="str">
        <f>"45237"</f>
        <v>45237</v>
      </c>
      <c r="C7294" s="2">
        <v>1.0544557703663899E-2</v>
      </c>
      <c r="D7294" s="2">
        <v>1.0419398679096799E-2</v>
      </c>
      <c r="E7294" s="2">
        <v>2.3731459797033502E-2</v>
      </c>
      <c r="F7294" s="2">
        <v>1.1248876969946701E-2</v>
      </c>
    </row>
    <row r="7295" spans="1:6" x14ac:dyDescent="0.25">
      <c r="A7295" s="1" t="str">
        <f t="shared" si="255"/>
        <v>17140</v>
      </c>
      <c r="B7295" s="1" t="str">
        <f>"45241"</f>
        <v>45241</v>
      </c>
      <c r="C7295" s="2">
        <v>1.04413121258553E-2</v>
      </c>
      <c r="D7295" s="2">
        <v>2.4045683221668501E-2</v>
      </c>
      <c r="E7295" s="2">
        <v>1.30991412958626E-2</v>
      </c>
      <c r="F7295" s="2">
        <v>1.1548633111992199E-2</v>
      </c>
    </row>
    <row r="7296" spans="1:6" x14ac:dyDescent="0.25">
      <c r="A7296" s="1" t="str">
        <f t="shared" ref="A7296:A7315" si="256">"17140"</f>
        <v>17140</v>
      </c>
      <c r="B7296" s="1" t="str">
        <f>"45245"</f>
        <v>45245</v>
      </c>
      <c r="C7296" s="2">
        <v>9.0151722753781405E-3</v>
      </c>
      <c r="D7296" s="2">
        <v>9.6325790992107894E-3</v>
      </c>
      <c r="E7296" s="2">
        <v>1.03981264637002E-2</v>
      </c>
      <c r="F7296" s="2">
        <v>9.1336963056533101E-3</v>
      </c>
    </row>
    <row r="7297" spans="1:6" x14ac:dyDescent="0.25">
      <c r="A7297" s="1" t="str">
        <f t="shared" si="256"/>
        <v>17140</v>
      </c>
      <c r="B7297" s="1" t="str">
        <f>"47018"</f>
        <v>47018</v>
      </c>
      <c r="C7297" s="2">
        <v>1.50622754167454E-3</v>
      </c>
      <c r="D7297" s="2">
        <v>7.1529052716911797E-4</v>
      </c>
      <c r="E7297" s="2">
        <v>1.63934426229508E-3</v>
      </c>
      <c r="F7297" s="2">
        <v>1.45740591879057E-3</v>
      </c>
    </row>
    <row r="7298" spans="1:6" x14ac:dyDescent="0.25">
      <c r="A7298" s="1" t="str">
        <f t="shared" si="256"/>
        <v>17140</v>
      </c>
      <c r="B7298" s="1" t="str">
        <f>"47011"</f>
        <v>47011</v>
      </c>
      <c r="C7298" s="2">
        <v>3.3096479615270301E-4</v>
      </c>
      <c r="D7298" s="2">
        <v>5.9607543930759802E-5</v>
      </c>
      <c r="E7298" s="2">
        <v>1.5612802498048301E-5</v>
      </c>
      <c r="F7298" s="2">
        <v>2.9468984105324999E-4</v>
      </c>
    </row>
    <row r="7299" spans="1:6" x14ac:dyDescent="0.25">
      <c r="A7299" s="1" t="str">
        <f t="shared" si="256"/>
        <v>17140</v>
      </c>
      <c r="B7299" s="1" t="str">
        <f>"47024"</f>
        <v>47024</v>
      </c>
      <c r="C7299" s="2">
        <v>1.0691224318868601E-3</v>
      </c>
      <c r="D7299" s="2">
        <v>2.8611621086764702E-4</v>
      </c>
      <c r="E7299" s="2">
        <v>3.1225604996096698E-5</v>
      </c>
      <c r="F7299" s="2">
        <v>9.5753088754838304E-4</v>
      </c>
    </row>
    <row r="7300" spans="1:6" x14ac:dyDescent="0.25">
      <c r="A7300" s="1" t="str">
        <f t="shared" si="256"/>
        <v>17140</v>
      </c>
      <c r="B7300" s="1" t="str">
        <f>"45066"</f>
        <v>45066</v>
      </c>
      <c r="C7300" s="2">
        <v>9.7475404394594903E-3</v>
      </c>
      <c r="D7300" s="2">
        <v>1.0407477170310601E-2</v>
      </c>
      <c r="E7300" s="2">
        <v>1.9047619047619E-3</v>
      </c>
      <c r="F7300" s="2">
        <v>9.3701236852948896E-3</v>
      </c>
    </row>
    <row r="7301" spans="1:6" x14ac:dyDescent="0.25">
      <c r="A7301" s="1" t="str">
        <f t="shared" si="256"/>
        <v>17140</v>
      </c>
      <c r="B7301" s="1" t="str">
        <f>"45069"</f>
        <v>45069</v>
      </c>
      <c r="C7301" s="2">
        <v>2.1110343470054901E-2</v>
      </c>
      <c r="D7301" s="2">
        <v>3.2188073722610303E-2</v>
      </c>
      <c r="E7301" s="2">
        <v>1.51600312256049E-2</v>
      </c>
      <c r="F7301" s="2">
        <v>2.1573154008795E-2</v>
      </c>
    </row>
    <row r="7302" spans="1:6" x14ac:dyDescent="0.25">
      <c r="A7302" s="1" t="str">
        <f t="shared" si="256"/>
        <v>17140</v>
      </c>
      <c r="B7302" s="1" t="str">
        <f>"45153"</f>
        <v>45153</v>
      </c>
      <c r="C7302" s="2">
        <v>7.5166640292406901E-4</v>
      </c>
      <c r="D7302" s="2">
        <v>2.26508666936887E-4</v>
      </c>
      <c r="E7302" s="2">
        <v>1.2490241998438701E-4</v>
      </c>
      <c r="F7302" s="2">
        <v>6.8057309996825098E-4</v>
      </c>
    </row>
    <row r="7303" spans="1:6" x14ac:dyDescent="0.25">
      <c r="A7303" s="1" t="str">
        <f t="shared" si="256"/>
        <v>17140</v>
      </c>
      <c r="B7303" s="1" t="str">
        <f>"45118"</f>
        <v>45118</v>
      </c>
      <c r="C7303" s="2">
        <v>1.63649065386292E-3</v>
      </c>
      <c r="D7303" s="2">
        <v>4.2917431630147101E-4</v>
      </c>
      <c r="E7303" s="2">
        <v>1.40515222482435E-4</v>
      </c>
      <c r="F7303" s="2">
        <v>1.47007167127137E-3</v>
      </c>
    </row>
    <row r="7304" spans="1:6" x14ac:dyDescent="0.25">
      <c r="A7304" s="1" t="str">
        <f t="shared" si="256"/>
        <v>17140</v>
      </c>
      <c r="B7304" s="1" t="str">
        <f>"41014"</f>
        <v>41014</v>
      </c>
      <c r="C7304" s="2">
        <v>3.51613911714416E-3</v>
      </c>
      <c r="D7304" s="2">
        <v>1.70477575641973E-3</v>
      </c>
      <c r="E7304" s="2">
        <v>3.4816549570647901E-3</v>
      </c>
      <c r="F7304" s="2">
        <v>3.3859778298668498E-3</v>
      </c>
    </row>
    <row r="7305" spans="1:6" x14ac:dyDescent="0.25">
      <c r="A7305" s="1" t="str">
        <f t="shared" si="256"/>
        <v>17140</v>
      </c>
      <c r="B7305" s="1" t="str">
        <f>"41051"</f>
        <v>41051</v>
      </c>
      <c r="C7305" s="2">
        <v>1.18018379642673E-2</v>
      </c>
      <c r="D7305" s="2">
        <v>5.3169929186237799E-3</v>
      </c>
      <c r="E7305" s="2">
        <v>4.0749414519906301E-3</v>
      </c>
      <c r="F7305" s="2">
        <v>1.0924633706438199E-2</v>
      </c>
    </row>
    <row r="7306" spans="1:6" x14ac:dyDescent="0.25">
      <c r="A7306" s="1" t="str">
        <f t="shared" si="256"/>
        <v>17140</v>
      </c>
      <c r="B7306" s="1" t="str">
        <f>"41071"</f>
        <v>41071</v>
      </c>
      <c r="C7306" s="2">
        <v>1.1361838118653199E-2</v>
      </c>
      <c r="D7306" s="2">
        <v>1.0884337521756699E-2</v>
      </c>
      <c r="E7306" s="2">
        <v>2.50429352068696E-2</v>
      </c>
      <c r="F7306" s="2">
        <v>1.2067928963705E-2</v>
      </c>
    </row>
    <row r="7307" spans="1:6" x14ac:dyDescent="0.25">
      <c r="A7307" s="1" t="str">
        <f t="shared" si="256"/>
        <v>17140</v>
      </c>
      <c r="B7307" s="1" t="str">
        <f>"41074"</f>
        <v>41074</v>
      </c>
      <c r="C7307" s="2">
        <v>2.7171920290554202E-3</v>
      </c>
      <c r="D7307" s="2">
        <v>1.3709735104074699E-3</v>
      </c>
      <c r="E7307" s="2">
        <v>6.1670569867291096E-3</v>
      </c>
      <c r="F7307" s="2">
        <v>2.80841951674243E-3</v>
      </c>
    </row>
    <row r="7308" spans="1:6" x14ac:dyDescent="0.25">
      <c r="A7308" s="1" t="str">
        <f t="shared" si="256"/>
        <v>17140</v>
      </c>
      <c r="B7308" s="1" t="str">
        <f>"45255"</f>
        <v>45255</v>
      </c>
      <c r="C7308" s="2">
        <v>9.4580668568186397E-3</v>
      </c>
      <c r="D7308" s="2">
        <v>1.1349276364416599E-2</v>
      </c>
      <c r="E7308" s="2">
        <v>9.1491022638563596E-3</v>
      </c>
      <c r="F7308" s="2">
        <v>9.5753088754838307E-3</v>
      </c>
    </row>
    <row r="7309" spans="1:6" x14ac:dyDescent="0.25">
      <c r="A7309" s="1" t="str">
        <f t="shared" si="256"/>
        <v>17140</v>
      </c>
      <c r="B7309" s="1" t="str">
        <f>"45216"</f>
        <v>45216</v>
      </c>
      <c r="C7309" s="2">
        <v>4.61420890729512E-3</v>
      </c>
      <c r="D7309" s="2">
        <v>6.3183996566605399E-3</v>
      </c>
      <c r="E7309" s="2">
        <v>7.08821233411397E-3</v>
      </c>
      <c r="F7309" s="2">
        <v>4.8687152536190199E-3</v>
      </c>
    </row>
    <row r="7310" spans="1:6" x14ac:dyDescent="0.25">
      <c r="A7310" s="1" t="str">
        <f t="shared" si="256"/>
        <v>17140</v>
      </c>
      <c r="B7310" s="1" t="str">
        <f>"45227"</f>
        <v>45227</v>
      </c>
      <c r="C7310" s="2">
        <v>9.6992948423526796E-3</v>
      </c>
      <c r="D7310" s="2">
        <v>1.1849979733435E-2</v>
      </c>
      <c r="E7310" s="2">
        <v>1.08352849336455E-2</v>
      </c>
      <c r="F7310" s="2">
        <v>9.9130622749717904E-3</v>
      </c>
    </row>
    <row r="7311" spans="1:6" x14ac:dyDescent="0.25">
      <c r="A7311" s="1" t="str">
        <f t="shared" si="256"/>
        <v>17140</v>
      </c>
      <c r="B7311" s="1" t="str">
        <f>"45230"</f>
        <v>45230</v>
      </c>
      <c r="C7311" s="2">
        <v>1.2692451686859001E-2</v>
      </c>
      <c r="D7311" s="2">
        <v>7.9635678691495106E-3</v>
      </c>
      <c r="E7311" s="2">
        <v>1.1381733021077201E-2</v>
      </c>
      <c r="F7311" s="2">
        <v>1.2286624289873401E-2</v>
      </c>
    </row>
    <row r="7312" spans="1:6" x14ac:dyDescent="0.25">
      <c r="A7312" s="1" t="str">
        <f t="shared" si="256"/>
        <v>17140</v>
      </c>
      <c r="B7312" s="1" t="str">
        <f>"45176"</f>
        <v>45176</v>
      </c>
      <c r="C7312" s="2">
        <v>3.94648984333689E-3</v>
      </c>
      <c r="D7312" s="2">
        <v>2.1458715815073498E-3</v>
      </c>
      <c r="E7312" s="2">
        <v>3.4035909445745498E-3</v>
      </c>
      <c r="F7312" s="2">
        <v>3.7895931422549699E-3</v>
      </c>
    </row>
    <row r="7313" spans="1:6" x14ac:dyDescent="0.25">
      <c r="A7313" s="1" t="str">
        <f t="shared" si="256"/>
        <v>17140</v>
      </c>
      <c r="B7313" s="1" t="str">
        <f>"45458"</f>
        <v>45458</v>
      </c>
      <c r="C7313" s="2">
        <v>1.29105217857818E-3</v>
      </c>
      <c r="D7313" s="2">
        <v>3.21880737226103E-4</v>
      </c>
      <c r="E7313" s="2">
        <v>3.1225604996096698E-5</v>
      </c>
      <c r="F7313" s="2">
        <v>1.1542722427501199E-3</v>
      </c>
    </row>
    <row r="7314" spans="1:6" x14ac:dyDescent="0.25">
      <c r="A7314" s="1" t="str">
        <f t="shared" si="256"/>
        <v>17140</v>
      </c>
      <c r="B7314" s="1" t="str">
        <f>"45044"</f>
        <v>45044</v>
      </c>
      <c r="C7314" s="2">
        <v>2.26570973132991E-2</v>
      </c>
      <c r="D7314" s="2">
        <v>1.69643070026942E-2</v>
      </c>
      <c r="E7314" s="2">
        <v>1.9578454332552599E-2</v>
      </c>
      <c r="F7314" s="2">
        <v>2.2087383559515499E-2</v>
      </c>
    </row>
    <row r="7315" spans="1:6" x14ac:dyDescent="0.25">
      <c r="A7315" s="1" t="str">
        <f t="shared" si="256"/>
        <v>17140</v>
      </c>
      <c r="B7315" s="1" t="str">
        <f>"45052"</f>
        <v>45052</v>
      </c>
      <c r="C7315" s="2">
        <v>1.59499944035107E-3</v>
      </c>
      <c r="D7315" s="2">
        <v>8.7027014138909404E-4</v>
      </c>
      <c r="E7315" s="2">
        <v>6.0889929742388705E-4</v>
      </c>
      <c r="F7315" s="2">
        <v>1.49033687524064E-3</v>
      </c>
    </row>
    <row r="7316" spans="1:6" x14ac:dyDescent="0.25">
      <c r="A7316" s="1" t="str">
        <f t="shared" ref="A7316:A7351" si="257">"17220"</f>
        <v>17220</v>
      </c>
      <c r="B7316" s="1" t="str">
        <f>"26426"</f>
        <v>26426</v>
      </c>
      <c r="C7316" s="2">
        <v>7.2652123995407505E-2</v>
      </c>
      <c r="D7316" s="2">
        <v>4.2516518241884502E-2</v>
      </c>
      <c r="E7316" s="2">
        <v>3.3206831119544498E-2</v>
      </c>
      <c r="F7316" s="2">
        <v>6.9605906207757001E-2</v>
      </c>
    </row>
    <row r="7317" spans="1:6" x14ac:dyDescent="0.25">
      <c r="A7317" s="1" t="str">
        <f t="shared" si="257"/>
        <v>17220</v>
      </c>
      <c r="B7317" s="1" t="str">
        <f>"26436"</f>
        <v>26436</v>
      </c>
      <c r="C7317" s="2">
        <v>0</v>
      </c>
      <c r="D7317" s="2">
        <v>2.8727377190462502E-4</v>
      </c>
      <c r="E7317" s="2">
        <v>0</v>
      </c>
      <c r="F7317" s="2">
        <v>2.07965061869605E-5</v>
      </c>
    </row>
    <row r="7318" spans="1:6" x14ac:dyDescent="0.25">
      <c r="A7318" s="1" t="str">
        <f t="shared" si="257"/>
        <v>17220</v>
      </c>
      <c r="B7318" s="1" t="str">
        <f>"26361"</f>
        <v>26361</v>
      </c>
      <c r="C7318" s="2">
        <v>2.2962112514351299E-5</v>
      </c>
      <c r="D7318" s="2">
        <v>2.8727377190462502E-4</v>
      </c>
      <c r="E7318" s="2">
        <v>0</v>
      </c>
      <c r="F7318" s="2">
        <v>4.1593012373921101E-5</v>
      </c>
    </row>
    <row r="7319" spans="1:6" x14ac:dyDescent="0.25">
      <c r="A7319" s="1" t="str">
        <f t="shared" si="257"/>
        <v>17220</v>
      </c>
      <c r="B7319" s="1" t="str">
        <f>"26369"</f>
        <v>26369</v>
      </c>
      <c r="C7319" s="2">
        <v>0</v>
      </c>
      <c r="D7319" s="2">
        <v>2.8727377190462502E-4</v>
      </c>
      <c r="E7319" s="2">
        <v>9.4876660341555903E-4</v>
      </c>
      <c r="F7319" s="2">
        <v>4.1593012373921101E-5</v>
      </c>
    </row>
    <row r="7320" spans="1:6" x14ac:dyDescent="0.25">
      <c r="A7320" s="1" t="str">
        <f t="shared" si="257"/>
        <v>17220</v>
      </c>
      <c r="B7320" s="1" t="str">
        <f>"26301"</f>
        <v>26301</v>
      </c>
      <c r="C7320" s="2">
        <v>0.35053960964408698</v>
      </c>
      <c r="D7320" s="2">
        <v>0.42746337259408201</v>
      </c>
      <c r="E7320" s="2">
        <v>0.41555977229601498</v>
      </c>
      <c r="F7320" s="2">
        <v>0.35753353436622598</v>
      </c>
    </row>
    <row r="7321" spans="1:6" x14ac:dyDescent="0.25">
      <c r="A7321" s="1" t="str">
        <f t="shared" si="257"/>
        <v>17220</v>
      </c>
      <c r="B7321" s="1" t="str">
        <f>"26354"</f>
        <v>26354</v>
      </c>
      <c r="C7321" s="2">
        <v>0.123995407577497</v>
      </c>
      <c r="D7321" s="2">
        <v>0.10083309393852299</v>
      </c>
      <c r="E7321" s="2">
        <v>0.103415559772296</v>
      </c>
      <c r="F7321" s="2">
        <v>0.121867526255589</v>
      </c>
    </row>
    <row r="7322" spans="1:6" x14ac:dyDescent="0.25">
      <c r="A7322" s="1" t="str">
        <f t="shared" si="257"/>
        <v>17220</v>
      </c>
      <c r="B7322" s="1" t="str">
        <f>"26330"</f>
        <v>26330</v>
      </c>
      <c r="C7322" s="2">
        <v>0.17389207807118201</v>
      </c>
      <c r="D7322" s="2">
        <v>0.28009192760700902</v>
      </c>
      <c r="E7322" s="2">
        <v>0.32352941176470501</v>
      </c>
      <c r="F7322" s="2">
        <v>0.184860143495892</v>
      </c>
    </row>
    <row r="7323" spans="1:6" x14ac:dyDescent="0.25">
      <c r="A7323" s="1" t="str">
        <f t="shared" si="257"/>
        <v>17220</v>
      </c>
      <c r="B7323" s="1" t="str">
        <f>"26438"</f>
        <v>26438</v>
      </c>
      <c r="C7323" s="2">
        <v>1.9977037887485599E-3</v>
      </c>
      <c r="D7323" s="2">
        <v>2.8727377190462502E-4</v>
      </c>
      <c r="E7323" s="2">
        <v>0</v>
      </c>
      <c r="F7323" s="2">
        <v>1.8300925444525299E-3</v>
      </c>
    </row>
    <row r="7324" spans="1:6" x14ac:dyDescent="0.25">
      <c r="A7324" s="1" t="str">
        <f t="shared" si="257"/>
        <v>17220</v>
      </c>
      <c r="B7324" s="1" t="str">
        <f>"26416"</f>
        <v>26416</v>
      </c>
      <c r="C7324" s="2">
        <v>2.06659012629161E-4</v>
      </c>
      <c r="D7324" s="2">
        <v>0</v>
      </c>
      <c r="E7324" s="2">
        <v>0</v>
      </c>
      <c r="F7324" s="2">
        <v>1.8716855568264501E-4</v>
      </c>
    </row>
    <row r="7325" spans="1:6" x14ac:dyDescent="0.25">
      <c r="A7325" s="1" t="str">
        <f t="shared" si="257"/>
        <v>17220</v>
      </c>
      <c r="B7325" s="1" t="str">
        <f>"26422"</f>
        <v>26422</v>
      </c>
      <c r="C7325" s="2">
        <v>0</v>
      </c>
      <c r="D7325" s="2">
        <v>2.8727377190462502E-4</v>
      </c>
      <c r="E7325" s="2">
        <v>0</v>
      </c>
      <c r="F7325" s="2">
        <v>2.07965061869605E-5</v>
      </c>
    </row>
    <row r="7326" spans="1:6" x14ac:dyDescent="0.25">
      <c r="A7326" s="1" t="str">
        <f t="shared" si="257"/>
        <v>17220</v>
      </c>
      <c r="B7326" s="1" t="str">
        <f>"26440"</f>
        <v>26440</v>
      </c>
      <c r="C7326" s="2">
        <v>7.7841561423650897E-3</v>
      </c>
      <c r="D7326" s="2">
        <v>1.72364263142775E-3</v>
      </c>
      <c r="E7326" s="2">
        <v>0</v>
      </c>
      <c r="F7326" s="2">
        <v>7.1747946345014002E-3</v>
      </c>
    </row>
    <row r="7327" spans="1:6" x14ac:dyDescent="0.25">
      <c r="A7327" s="1" t="str">
        <f t="shared" si="257"/>
        <v>17220</v>
      </c>
      <c r="B7327" s="1" t="str">
        <f>"26411"</f>
        <v>26411</v>
      </c>
      <c r="C7327" s="2">
        <v>7.8989667049368505E-3</v>
      </c>
      <c r="D7327" s="2">
        <v>2.2981901752370001E-3</v>
      </c>
      <c r="E7327" s="2">
        <v>0</v>
      </c>
      <c r="F7327" s="2">
        <v>7.3203701778101196E-3</v>
      </c>
    </row>
    <row r="7328" spans="1:6" x14ac:dyDescent="0.25">
      <c r="A7328" s="1" t="str">
        <f t="shared" si="257"/>
        <v>17220</v>
      </c>
      <c r="B7328" s="1" t="str">
        <f>"26443"</f>
        <v>26443</v>
      </c>
      <c r="C7328" s="2">
        <v>3.4443168771526898E-4</v>
      </c>
      <c r="D7328" s="2">
        <v>0</v>
      </c>
      <c r="E7328" s="2">
        <v>0</v>
      </c>
      <c r="F7328" s="2">
        <v>3.1194759280440802E-4</v>
      </c>
    </row>
    <row r="7329" spans="1:6" x14ac:dyDescent="0.25">
      <c r="A7329" s="1" t="str">
        <f t="shared" si="257"/>
        <v>17220</v>
      </c>
      <c r="B7329" s="1" t="str">
        <f>"26415"</f>
        <v>26415</v>
      </c>
      <c r="C7329" s="2">
        <v>6.84270952927669E-3</v>
      </c>
      <c r="D7329" s="2">
        <v>2.2981901752370001E-3</v>
      </c>
      <c r="E7329" s="2">
        <v>9.4876660341555903E-4</v>
      </c>
      <c r="F7329" s="2">
        <v>6.3845273993969002E-3</v>
      </c>
    </row>
    <row r="7330" spans="1:6" x14ac:dyDescent="0.25">
      <c r="A7330" s="1" t="str">
        <f t="shared" si="257"/>
        <v>17220</v>
      </c>
      <c r="B7330" s="1" t="str">
        <f>"26431"</f>
        <v>26431</v>
      </c>
      <c r="C7330" s="2">
        <v>6.6888633754305302E-2</v>
      </c>
      <c r="D7330" s="2">
        <v>5.4582016661878702E-2</v>
      </c>
      <c r="E7330" s="2">
        <v>8.7286527514231396E-2</v>
      </c>
      <c r="F7330" s="2">
        <v>6.6444837267339005E-2</v>
      </c>
    </row>
    <row r="7331" spans="1:6" x14ac:dyDescent="0.25">
      <c r="A7331" s="1" t="str">
        <f t="shared" si="257"/>
        <v>17220</v>
      </c>
      <c r="B7331" s="1" t="str">
        <f>"26323"</f>
        <v>26323</v>
      </c>
      <c r="C7331" s="2">
        <v>2.2962112514351299E-5</v>
      </c>
      <c r="D7331" s="2">
        <v>2.8727377190462502E-4</v>
      </c>
      <c r="E7331" s="2">
        <v>0</v>
      </c>
      <c r="F7331" s="2">
        <v>4.1593012373921101E-5</v>
      </c>
    </row>
    <row r="7332" spans="1:6" x14ac:dyDescent="0.25">
      <c r="A7332" s="1" t="str">
        <f t="shared" si="257"/>
        <v>17220</v>
      </c>
      <c r="B7332" s="1" t="str">
        <f>"26374"</f>
        <v>26374</v>
      </c>
      <c r="C7332" s="2">
        <v>1.8369690011481E-3</v>
      </c>
      <c r="D7332" s="2">
        <v>2.8727377190462502E-4</v>
      </c>
      <c r="E7332" s="2">
        <v>0</v>
      </c>
      <c r="F7332" s="2">
        <v>1.6845170011438001E-3</v>
      </c>
    </row>
    <row r="7333" spans="1:6" x14ac:dyDescent="0.25">
      <c r="A7333" s="1" t="str">
        <f t="shared" si="257"/>
        <v>17220</v>
      </c>
      <c r="B7333" s="1" t="str">
        <f>"26463"</f>
        <v>26463</v>
      </c>
      <c r="C7333" s="2">
        <v>0</v>
      </c>
      <c r="D7333" s="2">
        <v>2.8727377190462502E-4</v>
      </c>
      <c r="E7333" s="2">
        <v>0</v>
      </c>
      <c r="F7333" s="2">
        <v>2.07965061869605E-5</v>
      </c>
    </row>
    <row r="7334" spans="1:6" x14ac:dyDescent="0.25">
      <c r="A7334" s="1" t="str">
        <f t="shared" si="257"/>
        <v>17220</v>
      </c>
      <c r="B7334" s="1" t="str">
        <f>"26424"</f>
        <v>26424</v>
      </c>
      <c r="C7334" s="2">
        <v>2.2962112514351299E-5</v>
      </c>
      <c r="D7334" s="2">
        <v>2.8727377190462502E-4</v>
      </c>
      <c r="E7334" s="2">
        <v>0</v>
      </c>
      <c r="F7334" s="2">
        <v>4.1593012373921101E-5</v>
      </c>
    </row>
    <row r="7335" spans="1:6" x14ac:dyDescent="0.25">
      <c r="A7335" s="1" t="str">
        <f t="shared" si="257"/>
        <v>17220</v>
      </c>
      <c r="B7335" s="1" t="str">
        <f>"26404"</f>
        <v>26404</v>
      </c>
      <c r="C7335" s="2">
        <v>1.9058553386911499E-3</v>
      </c>
      <c r="D7335" s="2">
        <v>1.72364263142775E-3</v>
      </c>
      <c r="E7335" s="2">
        <v>0</v>
      </c>
      <c r="F7335" s="2">
        <v>1.8508890506394901E-3</v>
      </c>
    </row>
    <row r="7336" spans="1:6" x14ac:dyDescent="0.25">
      <c r="A7336" s="1" t="str">
        <f t="shared" si="257"/>
        <v>17220</v>
      </c>
      <c r="B7336" s="1" t="str">
        <f>"26582"</f>
        <v>26582</v>
      </c>
      <c r="C7336" s="2">
        <v>1.8828932261768E-3</v>
      </c>
      <c r="D7336" s="2">
        <v>2.8727377190462502E-4</v>
      </c>
      <c r="E7336" s="2">
        <v>0</v>
      </c>
      <c r="F7336" s="2">
        <v>1.72611001351772E-3</v>
      </c>
    </row>
    <row r="7337" spans="1:6" x14ac:dyDescent="0.25">
      <c r="A7337" s="1" t="str">
        <f t="shared" si="257"/>
        <v>17220</v>
      </c>
      <c r="B7337" s="1" t="str">
        <f>"26347"</f>
        <v>26347</v>
      </c>
      <c r="C7337" s="2">
        <v>2.0895522388059699E-2</v>
      </c>
      <c r="D7337" s="2">
        <v>6.03274920999712E-3</v>
      </c>
      <c r="E7337" s="2">
        <v>0</v>
      </c>
      <c r="F7337" s="2">
        <v>1.9361547260060299E-2</v>
      </c>
    </row>
    <row r="7338" spans="1:6" x14ac:dyDescent="0.25">
      <c r="A7338" s="1" t="str">
        <f t="shared" si="257"/>
        <v>17220</v>
      </c>
      <c r="B7338" s="1" t="str">
        <f>"26408"</f>
        <v>26408</v>
      </c>
      <c r="C7338" s="2">
        <v>2.6911595866819699E-2</v>
      </c>
      <c r="D7338" s="2">
        <v>1.7523700086182099E-2</v>
      </c>
      <c r="E7338" s="2">
        <v>7.5901328273244697E-3</v>
      </c>
      <c r="F7338" s="2">
        <v>2.5808464178017999E-2</v>
      </c>
    </row>
    <row r="7339" spans="1:6" x14ac:dyDescent="0.25">
      <c r="A7339" s="1" t="str">
        <f t="shared" si="257"/>
        <v>17220</v>
      </c>
      <c r="B7339" s="1" t="str">
        <f>"26435"</f>
        <v>26435</v>
      </c>
      <c r="C7339" s="2">
        <v>0</v>
      </c>
      <c r="D7339" s="2">
        <v>2.8727377190462502E-4</v>
      </c>
      <c r="E7339" s="2">
        <v>0</v>
      </c>
      <c r="F7339" s="2">
        <v>2.07965061869605E-5</v>
      </c>
    </row>
    <row r="7340" spans="1:6" x14ac:dyDescent="0.25">
      <c r="A7340" s="1" t="str">
        <f t="shared" si="257"/>
        <v>17220</v>
      </c>
      <c r="B7340" s="1" t="str">
        <f>"26386"</f>
        <v>26386</v>
      </c>
      <c r="C7340" s="2">
        <v>1.23995407577497E-2</v>
      </c>
      <c r="D7340" s="2">
        <v>3.1600114909508701E-3</v>
      </c>
      <c r="E7340" s="2">
        <v>0</v>
      </c>
      <c r="F7340" s="2">
        <v>1.1458874909015201E-2</v>
      </c>
    </row>
    <row r="7341" spans="1:6" x14ac:dyDescent="0.25">
      <c r="A7341" s="1" t="str">
        <f t="shared" si="257"/>
        <v>17220</v>
      </c>
      <c r="B7341" s="1" t="str">
        <f>"26451"</f>
        <v>26451</v>
      </c>
      <c r="C7341" s="2">
        <v>1.44661308840413E-3</v>
      </c>
      <c r="D7341" s="2">
        <v>5.7454754380925003E-4</v>
      </c>
      <c r="E7341" s="2">
        <v>0</v>
      </c>
      <c r="F7341" s="2">
        <v>1.35177290215243E-3</v>
      </c>
    </row>
    <row r="7342" spans="1:6" x14ac:dyDescent="0.25">
      <c r="A7342" s="1" t="str">
        <f t="shared" si="257"/>
        <v>17220</v>
      </c>
      <c r="B7342" s="1" t="str">
        <f>"26568"</f>
        <v>26568</v>
      </c>
      <c r="C7342" s="2">
        <v>3.97244546498277E-3</v>
      </c>
      <c r="D7342" s="2">
        <v>5.7454754380925003E-4</v>
      </c>
      <c r="E7342" s="2">
        <v>0</v>
      </c>
      <c r="F7342" s="2">
        <v>3.6393885827180998E-3</v>
      </c>
    </row>
    <row r="7343" spans="1:6" x14ac:dyDescent="0.25">
      <c r="A7343" s="1" t="str">
        <f t="shared" si="257"/>
        <v>17220</v>
      </c>
      <c r="B7343" s="1" t="str">
        <f>"26554"</f>
        <v>26554</v>
      </c>
      <c r="C7343" s="2">
        <v>9.5063145809414391E-3</v>
      </c>
      <c r="D7343" s="2">
        <v>1.4363688595231199E-3</v>
      </c>
      <c r="E7343" s="2">
        <v>0</v>
      </c>
      <c r="F7343" s="2">
        <v>8.7137360923364802E-3</v>
      </c>
    </row>
    <row r="7344" spans="1:6" x14ac:dyDescent="0.25">
      <c r="A7344" s="1" t="str">
        <f t="shared" si="257"/>
        <v>17220</v>
      </c>
      <c r="B7344" s="1" t="str">
        <f>"26385"</f>
        <v>26385</v>
      </c>
      <c r="C7344" s="2">
        <v>3.1320321469575203E-2</v>
      </c>
      <c r="D7344" s="2">
        <v>7.4691180695202501E-3</v>
      </c>
      <c r="E7344" s="2">
        <v>9.4876660341555903E-4</v>
      </c>
      <c r="F7344" s="2">
        <v>2.8927940106062099E-2</v>
      </c>
    </row>
    <row r="7345" spans="1:6" x14ac:dyDescent="0.25">
      <c r="A7345" s="1" t="str">
        <f t="shared" si="257"/>
        <v>17220</v>
      </c>
      <c r="B7345" s="1" t="str">
        <f>"26339"</f>
        <v>26339</v>
      </c>
      <c r="C7345" s="2">
        <v>2.7095292766934499E-3</v>
      </c>
      <c r="D7345" s="2">
        <v>0</v>
      </c>
      <c r="E7345" s="2">
        <v>9.4876660341555903E-4</v>
      </c>
      <c r="F7345" s="2">
        <v>2.4747842362483098E-3</v>
      </c>
    </row>
    <row r="7346" spans="1:6" x14ac:dyDescent="0.25">
      <c r="A7346" s="1" t="str">
        <f t="shared" si="257"/>
        <v>17220</v>
      </c>
      <c r="B7346" s="1" t="str">
        <f>"26378"</f>
        <v>26378</v>
      </c>
      <c r="C7346" s="2">
        <v>8.8404133180252503E-3</v>
      </c>
      <c r="D7346" s="2">
        <v>5.7454754380925003E-4</v>
      </c>
      <c r="E7346" s="2">
        <v>0</v>
      </c>
      <c r="F7346" s="2">
        <v>8.0482478943537401E-3</v>
      </c>
    </row>
    <row r="7347" spans="1:6" x14ac:dyDescent="0.25">
      <c r="A7347" s="1" t="str">
        <f t="shared" si="257"/>
        <v>17220</v>
      </c>
      <c r="B7347" s="1" t="str">
        <f>"26456"</f>
        <v>26456</v>
      </c>
      <c r="C7347" s="2">
        <v>5.0539609644087199E-2</v>
      </c>
      <c r="D7347" s="2">
        <v>4.3665613329503E-2</v>
      </c>
      <c r="E7347" s="2">
        <v>2.5616698292220099E-2</v>
      </c>
      <c r="F7347" s="2">
        <v>4.9495684724966203E-2</v>
      </c>
    </row>
    <row r="7348" spans="1:6" x14ac:dyDescent="0.25">
      <c r="A7348" s="1" t="str">
        <f t="shared" si="257"/>
        <v>17220</v>
      </c>
      <c r="B7348" s="1" t="str">
        <f>"26448"</f>
        <v>26448</v>
      </c>
      <c r="C7348" s="2">
        <v>1.24454649827784E-2</v>
      </c>
      <c r="D7348" s="2">
        <v>1.72364263142775E-3</v>
      </c>
      <c r="E7348" s="2">
        <v>0</v>
      </c>
      <c r="F7348" s="2">
        <v>1.1396485390454399E-2</v>
      </c>
    </row>
    <row r="7349" spans="1:6" x14ac:dyDescent="0.25">
      <c r="A7349" s="1" t="str">
        <f t="shared" si="257"/>
        <v>17220</v>
      </c>
      <c r="B7349" s="1" t="str">
        <f>"26306"</f>
        <v>26306</v>
      </c>
      <c r="C7349" s="2">
        <v>0</v>
      </c>
      <c r="D7349" s="2">
        <v>2.8727377190462502E-4</v>
      </c>
      <c r="E7349" s="2">
        <v>0</v>
      </c>
      <c r="F7349" s="2">
        <v>2.07965061869605E-5</v>
      </c>
    </row>
    <row r="7350" spans="1:6" x14ac:dyDescent="0.25">
      <c r="A7350" s="1" t="str">
        <f t="shared" si="257"/>
        <v>17220</v>
      </c>
      <c r="B7350" s="1" t="str">
        <f>"26321"</f>
        <v>26321</v>
      </c>
      <c r="C7350" s="2">
        <v>2.7554535017221499E-4</v>
      </c>
      <c r="D7350" s="2">
        <v>0</v>
      </c>
      <c r="E7350" s="2">
        <v>0</v>
      </c>
      <c r="F7350" s="2">
        <v>2.49558074243527E-4</v>
      </c>
    </row>
    <row r="7351" spans="1:6" x14ac:dyDescent="0.25">
      <c r="A7351" s="1" t="str">
        <f t="shared" si="257"/>
        <v>17220</v>
      </c>
      <c r="B7351" s="1" t="str">
        <f>"26366"</f>
        <v>26366</v>
      </c>
      <c r="C7351" s="2">
        <v>0</v>
      </c>
      <c r="D7351" s="2">
        <v>2.8727377190462502E-4</v>
      </c>
      <c r="E7351" s="2">
        <v>0</v>
      </c>
      <c r="F7351" s="2">
        <v>2.07965061869605E-5</v>
      </c>
    </row>
    <row r="7352" spans="1:6" x14ac:dyDescent="0.25">
      <c r="A7352" s="1" t="str">
        <f t="shared" ref="A7352:A7363" si="258">"17260"</f>
        <v>17260</v>
      </c>
      <c r="B7352" s="1" t="str">
        <f>"38614"</f>
        <v>38614</v>
      </c>
      <c r="C7352" s="2">
        <v>0.85915104740904003</v>
      </c>
      <c r="D7352" s="2">
        <v>0.93745401030169195</v>
      </c>
      <c r="E7352" s="2">
        <v>0.95833333333333304</v>
      </c>
      <c r="F7352" s="2">
        <v>0.86992259197190902</v>
      </c>
    </row>
    <row r="7353" spans="1:6" x14ac:dyDescent="0.25">
      <c r="A7353" s="1" t="str">
        <f t="shared" si="258"/>
        <v>17260</v>
      </c>
      <c r="B7353" s="1" t="str">
        <f>"38720"</f>
        <v>38720</v>
      </c>
      <c r="C7353" s="2">
        <v>2.2234472620360098E-2</v>
      </c>
      <c r="D7353" s="2">
        <v>2.9433406916850599E-3</v>
      </c>
      <c r="E7353" s="2">
        <v>0</v>
      </c>
      <c r="F7353" s="2">
        <v>1.9631314340435701E-2</v>
      </c>
    </row>
    <row r="7354" spans="1:6" x14ac:dyDescent="0.25">
      <c r="A7354" s="1" t="str">
        <f t="shared" si="258"/>
        <v>17260</v>
      </c>
      <c r="B7354" s="1" t="str">
        <f>"38639"</f>
        <v>38639</v>
      </c>
      <c r="C7354" s="2">
        <v>0</v>
      </c>
      <c r="D7354" s="2">
        <v>7.3583517292126499E-4</v>
      </c>
      <c r="E7354" s="2">
        <v>0</v>
      </c>
      <c r="F7354" s="2">
        <v>7.98020908147793E-5</v>
      </c>
    </row>
    <row r="7355" spans="1:6" x14ac:dyDescent="0.25">
      <c r="A7355" s="1" t="str">
        <f t="shared" si="258"/>
        <v>17260</v>
      </c>
      <c r="B7355" s="1" t="str">
        <f>"38767"</f>
        <v>38767</v>
      </c>
      <c r="C7355" s="2">
        <v>0</v>
      </c>
      <c r="D7355" s="2">
        <v>7.3583517292126499E-4</v>
      </c>
      <c r="E7355" s="2">
        <v>0</v>
      </c>
      <c r="F7355" s="2">
        <v>7.98020908147793E-5</v>
      </c>
    </row>
    <row r="7356" spans="1:6" x14ac:dyDescent="0.25">
      <c r="A7356" s="1" t="str">
        <f t="shared" si="258"/>
        <v>17260</v>
      </c>
      <c r="B7356" s="1" t="str">
        <f>"38739"</f>
        <v>38739</v>
      </c>
      <c r="C7356" s="2">
        <v>0</v>
      </c>
      <c r="D7356" s="2">
        <v>7.3583517292126499E-4</v>
      </c>
      <c r="E7356" s="2">
        <v>0</v>
      </c>
      <c r="F7356" s="2">
        <v>7.98020908147793E-5</v>
      </c>
    </row>
    <row r="7357" spans="1:6" x14ac:dyDescent="0.25">
      <c r="A7357" s="1" t="str">
        <f t="shared" si="258"/>
        <v>17260</v>
      </c>
      <c r="B7357" s="1" t="str">
        <f>"38626"</f>
        <v>38626</v>
      </c>
      <c r="C7357" s="2">
        <v>2.27857405365674E-2</v>
      </c>
      <c r="D7357" s="2">
        <v>3.6791758646063199E-3</v>
      </c>
      <c r="E7357" s="2">
        <v>0</v>
      </c>
      <c r="F7357" s="2">
        <v>2.0189928976139099E-2</v>
      </c>
    </row>
    <row r="7358" spans="1:6" x14ac:dyDescent="0.25">
      <c r="A7358" s="1" t="str">
        <f t="shared" si="258"/>
        <v>17260</v>
      </c>
      <c r="B7358" s="1" t="str">
        <f>"38643"</f>
        <v>38643</v>
      </c>
      <c r="C7358" s="2">
        <v>9.1877986034546102E-5</v>
      </c>
      <c r="D7358" s="2">
        <v>0</v>
      </c>
      <c r="E7358" s="2">
        <v>0</v>
      </c>
      <c r="F7358" s="2">
        <v>7.98020908147793E-5</v>
      </c>
    </row>
    <row r="7359" spans="1:6" x14ac:dyDescent="0.25">
      <c r="A7359" s="1" t="str">
        <f t="shared" si="258"/>
        <v>17260</v>
      </c>
      <c r="B7359" s="1" t="str">
        <f>"38963"</f>
        <v>38963</v>
      </c>
      <c r="C7359" s="2">
        <v>1.52517456817346E-2</v>
      </c>
      <c r="D7359" s="2">
        <v>6.6225165562913899E-3</v>
      </c>
      <c r="E7359" s="2">
        <v>6.9444444444444397E-3</v>
      </c>
      <c r="F7359" s="2">
        <v>1.41249700742159E-2</v>
      </c>
    </row>
    <row r="7360" spans="1:6" x14ac:dyDescent="0.25">
      <c r="A7360" s="1" t="str">
        <f t="shared" si="258"/>
        <v>17260</v>
      </c>
      <c r="B7360" s="1" t="str">
        <f>"38631"</f>
        <v>38631</v>
      </c>
      <c r="C7360" s="2">
        <v>0</v>
      </c>
      <c r="D7360" s="2">
        <v>1.47167034584253E-3</v>
      </c>
      <c r="E7360" s="2">
        <v>0</v>
      </c>
      <c r="F7360" s="2">
        <v>1.59604181629558E-4</v>
      </c>
    </row>
    <row r="7361" spans="1:6" x14ac:dyDescent="0.25">
      <c r="A7361" s="1" t="str">
        <f t="shared" si="258"/>
        <v>17260</v>
      </c>
      <c r="B7361" s="1" t="str">
        <f>"38617"</f>
        <v>38617</v>
      </c>
      <c r="C7361" s="2">
        <v>3.2432929070194703E-2</v>
      </c>
      <c r="D7361" s="2">
        <v>1.03016924208977E-2</v>
      </c>
      <c r="E7361" s="2">
        <v>2.77777777777777E-2</v>
      </c>
      <c r="F7361" s="2">
        <v>2.99257840555422E-2</v>
      </c>
    </row>
    <row r="7362" spans="1:6" x14ac:dyDescent="0.25">
      <c r="A7362" s="1" t="str">
        <f t="shared" si="258"/>
        <v>17260</v>
      </c>
      <c r="B7362" s="1" t="str">
        <f>"38645"</f>
        <v>38645</v>
      </c>
      <c r="C7362" s="2">
        <v>4.8052186696067603E-2</v>
      </c>
      <c r="D7362" s="2">
        <v>3.3112582781456901E-2</v>
      </c>
      <c r="E7362" s="2">
        <v>6.9444444444444397E-3</v>
      </c>
      <c r="F7362" s="2">
        <v>4.5487191764424201E-2</v>
      </c>
    </row>
    <row r="7363" spans="1:6" x14ac:dyDescent="0.25">
      <c r="A7363" s="1" t="str">
        <f t="shared" si="258"/>
        <v>17260</v>
      </c>
      <c r="B7363" s="1" t="str">
        <f>"38644"</f>
        <v>38644</v>
      </c>
      <c r="C7363" s="2">
        <v>0</v>
      </c>
      <c r="D7363" s="2">
        <v>2.20750551876379E-3</v>
      </c>
      <c r="E7363" s="2">
        <v>0</v>
      </c>
      <c r="F7363" s="2">
        <v>2.3940627244433801E-4</v>
      </c>
    </row>
    <row r="7364" spans="1:6" x14ac:dyDescent="0.25">
      <c r="A7364" s="1" t="str">
        <f t="shared" ref="A7364:A7404" si="259">"17300"</f>
        <v>17300</v>
      </c>
      <c r="B7364" s="1" t="str">
        <f>"37058"</f>
        <v>37058</v>
      </c>
      <c r="C7364" s="2">
        <v>2.8418013619250702E-2</v>
      </c>
      <c r="D7364" s="2">
        <v>2.75759269610583E-2</v>
      </c>
      <c r="E7364" s="2">
        <v>4.9246813441483099E-3</v>
      </c>
      <c r="F7364" s="2">
        <v>2.7370443102636099E-2</v>
      </c>
    </row>
    <row r="7365" spans="1:6" x14ac:dyDescent="0.25">
      <c r="A7365" s="1" t="str">
        <f t="shared" si="259"/>
        <v>17300</v>
      </c>
      <c r="B7365" s="1" t="str">
        <f>"37175"</f>
        <v>37175</v>
      </c>
      <c r="C7365" s="2">
        <v>1.9201360553547701E-3</v>
      </c>
      <c r="D7365" s="2">
        <v>0</v>
      </c>
      <c r="E7365" s="2">
        <v>0</v>
      </c>
      <c r="F7365" s="2">
        <v>1.7129468191189299E-3</v>
      </c>
    </row>
    <row r="7366" spans="1:6" x14ac:dyDescent="0.25">
      <c r="A7366" s="1" t="str">
        <f t="shared" si="259"/>
        <v>17300</v>
      </c>
      <c r="B7366" s="1" t="str">
        <f>"42262"</f>
        <v>42262</v>
      </c>
      <c r="C7366" s="2">
        <v>3.6612879998354102E-2</v>
      </c>
      <c r="D7366" s="2">
        <v>2.8787031861375E-2</v>
      </c>
      <c r="E7366" s="2">
        <v>1.4774044032444899E-2</v>
      </c>
      <c r="F7366" s="2">
        <v>3.5176586464049503E-2</v>
      </c>
    </row>
    <row r="7367" spans="1:6" x14ac:dyDescent="0.25">
      <c r="A7367" s="1" t="str">
        <f t="shared" si="259"/>
        <v>17300</v>
      </c>
      <c r="B7367" s="1" t="str">
        <f>"42232"</f>
        <v>42232</v>
      </c>
      <c r="C7367" s="2">
        <v>2.5098921294994599E-3</v>
      </c>
      <c r="D7367" s="2">
        <v>7.4529532327184602E-4</v>
      </c>
      <c r="E7367" s="2">
        <v>4.3453070683661601E-4</v>
      </c>
      <c r="F7367" s="2">
        <v>2.3063605385994202E-3</v>
      </c>
    </row>
    <row r="7368" spans="1:6" x14ac:dyDescent="0.25">
      <c r="A7368" s="1" t="str">
        <f t="shared" si="259"/>
        <v>17300</v>
      </c>
      <c r="B7368" s="1" t="str">
        <f>"42464"</f>
        <v>42464</v>
      </c>
      <c r="C7368" s="2">
        <v>3.4973906722533398E-4</v>
      </c>
      <c r="D7368" s="2">
        <v>2.79485746226942E-4</v>
      </c>
      <c r="E7368" s="2">
        <v>1.44843568945538E-4</v>
      </c>
      <c r="F7368" s="2">
        <v>3.3647169661264699E-4</v>
      </c>
    </row>
    <row r="7369" spans="1:6" x14ac:dyDescent="0.25">
      <c r="A7369" s="1" t="str">
        <f t="shared" si="259"/>
        <v>17300</v>
      </c>
      <c r="B7369" s="1" t="str">
        <f>"37079"</f>
        <v>37079</v>
      </c>
      <c r="C7369" s="2">
        <v>9.3058022397015504E-3</v>
      </c>
      <c r="D7369" s="2">
        <v>5.5897149245388404E-3</v>
      </c>
      <c r="E7369" s="2">
        <v>2.8968713789107698E-4</v>
      </c>
      <c r="F7369" s="2">
        <v>8.6809697726063003E-3</v>
      </c>
    </row>
    <row r="7370" spans="1:6" x14ac:dyDescent="0.25">
      <c r="A7370" s="1" t="str">
        <f t="shared" si="259"/>
        <v>17300</v>
      </c>
      <c r="B7370" s="1" t="str">
        <f>"42240"</f>
        <v>42240</v>
      </c>
      <c r="C7370" s="2">
        <v>0.13748174156340201</v>
      </c>
      <c r="D7370" s="2">
        <v>0.17598285820756401</v>
      </c>
      <c r="E7370" s="2">
        <v>0.13383545770567701</v>
      </c>
      <c r="F7370" s="2">
        <v>0.139855990113849</v>
      </c>
    </row>
    <row r="7371" spans="1:6" x14ac:dyDescent="0.25">
      <c r="A7371" s="1" t="str">
        <f t="shared" si="259"/>
        <v>17300</v>
      </c>
      <c r="B7371" s="1" t="str">
        <f>"42254"</f>
        <v>42254</v>
      </c>
      <c r="C7371" s="2">
        <v>9.6692565644651302E-4</v>
      </c>
      <c r="D7371" s="2">
        <v>9.3161915408980806E-5</v>
      </c>
      <c r="E7371" s="2">
        <v>2.8968713789107698E-4</v>
      </c>
      <c r="F7371" s="2">
        <v>8.8094407840402203E-4</v>
      </c>
    </row>
    <row r="7372" spans="1:6" x14ac:dyDescent="0.25">
      <c r="A7372" s="1" t="str">
        <f t="shared" si="259"/>
        <v>17300</v>
      </c>
      <c r="B7372" s="1" t="str">
        <f>"37052"</f>
        <v>37052</v>
      </c>
      <c r="C7372" s="2">
        <v>7.85884256941634E-3</v>
      </c>
      <c r="D7372" s="2">
        <v>2.4222098006334999E-3</v>
      </c>
      <c r="E7372" s="2">
        <v>0</v>
      </c>
      <c r="F7372" s="2">
        <v>7.1699059714549597E-3</v>
      </c>
    </row>
    <row r="7373" spans="1:6" x14ac:dyDescent="0.25">
      <c r="A7373" s="1" t="str">
        <f t="shared" si="259"/>
        <v>17300</v>
      </c>
      <c r="B7373" s="1" t="str">
        <f>"42217"</f>
        <v>42217</v>
      </c>
      <c r="C7373" s="2">
        <v>1.31117862065654E-2</v>
      </c>
      <c r="D7373" s="2">
        <v>7.2666294019005E-3</v>
      </c>
      <c r="E7373" s="2">
        <v>1.3035921205098401E-3</v>
      </c>
      <c r="F7373" s="2">
        <v>1.2229216755066901E-2</v>
      </c>
    </row>
    <row r="7374" spans="1:6" x14ac:dyDescent="0.25">
      <c r="A7374" s="1" t="str">
        <f t="shared" si="259"/>
        <v>17300</v>
      </c>
      <c r="B7374" s="1" t="str">
        <f>"42223"</f>
        <v>42223</v>
      </c>
      <c r="C7374" s="2">
        <v>4.2757315375489401E-2</v>
      </c>
      <c r="D7374" s="2">
        <v>6.0368921185019499E-2</v>
      </c>
      <c r="E7374" s="2">
        <v>5.9965237543453002E-2</v>
      </c>
      <c r="F7374" s="2">
        <v>4.46406176396816E-2</v>
      </c>
    </row>
    <row r="7375" spans="1:6" x14ac:dyDescent="0.25">
      <c r="A7375" s="1" t="str">
        <f t="shared" si="259"/>
        <v>17300</v>
      </c>
      <c r="B7375" s="1" t="str">
        <f>"42408"</f>
        <v>42408</v>
      </c>
      <c r="C7375" s="2">
        <v>9.1206462629351995E-4</v>
      </c>
      <c r="D7375" s="2">
        <v>1.8632383081796099E-4</v>
      </c>
      <c r="E7375" s="2">
        <v>0</v>
      </c>
      <c r="F7375" s="2">
        <v>8.2588507350377105E-4</v>
      </c>
    </row>
    <row r="7376" spans="1:6" x14ac:dyDescent="0.25">
      <c r="A7376" s="1" t="str">
        <f t="shared" si="259"/>
        <v>17300</v>
      </c>
      <c r="B7376" s="1" t="str">
        <f>"37042"</f>
        <v>37042</v>
      </c>
      <c r="C7376" s="2">
        <v>0.25165440294055103</v>
      </c>
      <c r="D7376" s="2">
        <v>0.148779578908142</v>
      </c>
      <c r="E7376" s="2">
        <v>0.27549246813441403</v>
      </c>
      <c r="F7376" s="2">
        <v>0.24590575121894501</v>
      </c>
    </row>
    <row r="7377" spans="1:6" x14ac:dyDescent="0.25">
      <c r="A7377" s="1" t="str">
        <f t="shared" si="259"/>
        <v>17300</v>
      </c>
      <c r="B7377" s="1" t="str">
        <f>"37043"</f>
        <v>37043</v>
      </c>
      <c r="C7377" s="2">
        <v>0.16024906907689401</v>
      </c>
      <c r="D7377" s="2">
        <v>0.134059996273523</v>
      </c>
      <c r="E7377" s="2">
        <v>0.15309965237543399</v>
      </c>
      <c r="F7377" s="2">
        <v>0.15822734474889999</v>
      </c>
    </row>
    <row r="7378" spans="1:6" x14ac:dyDescent="0.25">
      <c r="A7378" s="1" t="str">
        <f t="shared" si="259"/>
        <v>17300</v>
      </c>
      <c r="B7378" s="1" t="str">
        <f>"37041"</f>
        <v>37041</v>
      </c>
      <c r="C7378" s="2">
        <v>4.1488654053201401E-3</v>
      </c>
      <c r="D7378" s="2">
        <v>2.4222098006334999E-2</v>
      </c>
      <c r="E7378" s="2">
        <v>1.44843568945538E-4</v>
      </c>
      <c r="F7378" s="2">
        <v>5.29789980484641E-3</v>
      </c>
    </row>
    <row r="7379" spans="1:6" x14ac:dyDescent="0.25">
      <c r="A7379" s="1" t="str">
        <f t="shared" si="259"/>
        <v>17300</v>
      </c>
      <c r="B7379" s="1" t="str">
        <f>"37191"</f>
        <v>37191</v>
      </c>
      <c r="C7379" s="2">
        <v>1.21174300350424E-2</v>
      </c>
      <c r="D7379" s="2">
        <v>3.63331470095025E-3</v>
      </c>
      <c r="E7379" s="2">
        <v>5.7937427578215505E-4</v>
      </c>
      <c r="F7379" s="2">
        <v>1.10729776521616E-2</v>
      </c>
    </row>
    <row r="7380" spans="1:6" x14ac:dyDescent="0.25">
      <c r="A7380" s="1" t="str">
        <f t="shared" si="259"/>
        <v>17300</v>
      </c>
      <c r="B7380" s="1" t="str">
        <f>"37178"</f>
        <v>37178</v>
      </c>
      <c r="C7380" s="2">
        <v>1.40581389767046E-3</v>
      </c>
      <c r="D7380" s="2">
        <v>6.5213340786286495E-4</v>
      </c>
      <c r="E7380" s="2">
        <v>0</v>
      </c>
      <c r="F7380" s="2">
        <v>1.2969454487614699E-3</v>
      </c>
    </row>
    <row r="7381" spans="1:6" x14ac:dyDescent="0.25">
      <c r="A7381" s="1" t="str">
        <f t="shared" si="259"/>
        <v>17300</v>
      </c>
      <c r="B7381" s="1" t="str">
        <f>"42211"</f>
        <v>42211</v>
      </c>
      <c r="C7381" s="2">
        <v>4.7180485931574499E-2</v>
      </c>
      <c r="D7381" s="2">
        <v>3.3817775293460001E-2</v>
      </c>
      <c r="E7381" s="2">
        <v>1.5063731170336001E-2</v>
      </c>
      <c r="F7381" s="2">
        <v>4.4946501000238497E-2</v>
      </c>
    </row>
    <row r="7382" spans="1:6" x14ac:dyDescent="0.25">
      <c r="A7382" s="1" t="str">
        <f t="shared" si="259"/>
        <v>17300</v>
      </c>
      <c r="B7382" s="1" t="str">
        <f>"42236"</f>
        <v>42236</v>
      </c>
      <c r="C7382" s="2">
        <v>3.12707871872064E-3</v>
      </c>
      <c r="D7382" s="2">
        <v>1.02478106949878E-3</v>
      </c>
      <c r="E7382" s="2">
        <v>4.3453070683661601E-4</v>
      </c>
      <c r="F7382" s="2">
        <v>2.8753035892353498E-3</v>
      </c>
    </row>
    <row r="7383" spans="1:6" x14ac:dyDescent="0.25">
      <c r="A7383" s="1" t="str">
        <f t="shared" si="259"/>
        <v>17300</v>
      </c>
      <c r="B7383" s="1" t="str">
        <f>"42038"</f>
        <v>42038</v>
      </c>
      <c r="C7383" s="2">
        <v>1.3715257538248401E-5</v>
      </c>
      <c r="D7383" s="2">
        <v>9.3161915408980806E-5</v>
      </c>
      <c r="E7383" s="2">
        <v>0</v>
      </c>
      <c r="F7383" s="2">
        <v>1.8353001633417101E-5</v>
      </c>
    </row>
    <row r="7384" spans="1:6" x14ac:dyDescent="0.25">
      <c r="A7384" s="1" t="str">
        <f t="shared" si="259"/>
        <v>17300</v>
      </c>
      <c r="B7384" s="1" t="str">
        <f>"42241"</f>
        <v>42241</v>
      </c>
      <c r="C7384" s="2">
        <v>7.2485136089642903E-3</v>
      </c>
      <c r="D7384" s="2">
        <v>4.0432271287497601E-2</v>
      </c>
      <c r="E7384" s="2">
        <v>2.8968713789107698E-4</v>
      </c>
      <c r="F7384" s="2">
        <v>9.1336771462305899E-3</v>
      </c>
    </row>
    <row r="7385" spans="1:6" x14ac:dyDescent="0.25">
      <c r="A7385" s="1" t="str">
        <f t="shared" si="259"/>
        <v>17300</v>
      </c>
      <c r="B7385" s="1" t="str">
        <f>"37050"</f>
        <v>37050</v>
      </c>
      <c r="C7385" s="2">
        <v>4.5946112753132203E-3</v>
      </c>
      <c r="D7385" s="2">
        <v>2.9811812930873802E-3</v>
      </c>
      <c r="E7385" s="2">
        <v>1.3035921205098401E-3</v>
      </c>
      <c r="F7385" s="2">
        <v>4.3496613871198599E-3</v>
      </c>
    </row>
    <row r="7386" spans="1:6" x14ac:dyDescent="0.25">
      <c r="A7386" s="1" t="str">
        <f t="shared" si="259"/>
        <v>17300</v>
      </c>
      <c r="B7386" s="1" t="str">
        <f>"37032"</f>
        <v>37032</v>
      </c>
      <c r="C7386" s="2">
        <v>7.5433916460366303E-5</v>
      </c>
      <c r="D7386" s="2">
        <v>0</v>
      </c>
      <c r="E7386" s="2">
        <v>0</v>
      </c>
      <c r="F7386" s="2">
        <v>6.7294339322529503E-5</v>
      </c>
    </row>
    <row r="7387" spans="1:6" x14ac:dyDescent="0.25">
      <c r="A7387" s="1" t="str">
        <f t="shared" si="259"/>
        <v>17300</v>
      </c>
      <c r="B7387" s="1" t="str">
        <f>"37035"</f>
        <v>37035</v>
      </c>
      <c r="C7387" s="2">
        <v>8.9149173998614694E-5</v>
      </c>
      <c r="D7387" s="2">
        <v>0</v>
      </c>
      <c r="E7387" s="2">
        <v>0</v>
      </c>
      <c r="F7387" s="2">
        <v>7.9529673744807602E-5</v>
      </c>
    </row>
    <row r="7388" spans="1:6" x14ac:dyDescent="0.25">
      <c r="A7388" s="1" t="str">
        <f t="shared" si="259"/>
        <v>17300</v>
      </c>
      <c r="B7388" s="1" t="str">
        <f>"42266"</f>
        <v>42266</v>
      </c>
      <c r="C7388" s="2">
        <v>6.1581506346735397E-3</v>
      </c>
      <c r="D7388" s="2">
        <v>2.6085336314514598E-3</v>
      </c>
      <c r="E7388" s="2">
        <v>1.59327925840092E-3</v>
      </c>
      <c r="F7388" s="2">
        <v>5.7322541768372801E-3</v>
      </c>
    </row>
    <row r="7389" spans="1:6" x14ac:dyDescent="0.25">
      <c r="A7389" s="1" t="str">
        <f t="shared" si="259"/>
        <v>17300</v>
      </c>
      <c r="B7389" s="1" t="str">
        <f>"37142"</f>
        <v>37142</v>
      </c>
      <c r="C7389" s="2">
        <v>6.0895743469823E-3</v>
      </c>
      <c r="D7389" s="2">
        <v>1.77007639277063E-3</v>
      </c>
      <c r="E7389" s="2">
        <v>0</v>
      </c>
      <c r="F7389" s="2">
        <v>5.5487241605031096E-3</v>
      </c>
    </row>
    <row r="7390" spans="1:6" x14ac:dyDescent="0.25">
      <c r="A7390" s="1" t="str">
        <f t="shared" si="259"/>
        <v>17300</v>
      </c>
      <c r="B7390" s="1" t="str">
        <f>"42220"</f>
        <v>42220</v>
      </c>
      <c r="C7390" s="2">
        <v>1.3715257538248401E-5</v>
      </c>
      <c r="D7390" s="2">
        <v>0</v>
      </c>
      <c r="E7390" s="2">
        <v>0</v>
      </c>
      <c r="F7390" s="2">
        <v>1.2235334422278001E-5</v>
      </c>
    </row>
    <row r="7391" spans="1:6" x14ac:dyDescent="0.25">
      <c r="A7391" s="1" t="str">
        <f t="shared" si="259"/>
        <v>17300</v>
      </c>
      <c r="B7391" s="1" t="str">
        <f>"37044"</f>
        <v>37044</v>
      </c>
      <c r="C7391" s="2">
        <v>0</v>
      </c>
      <c r="D7391" s="2">
        <v>9.3161915408980806E-5</v>
      </c>
      <c r="E7391" s="2">
        <v>0</v>
      </c>
      <c r="F7391" s="2">
        <v>6.1176672111390401E-6</v>
      </c>
    </row>
    <row r="7392" spans="1:6" x14ac:dyDescent="0.25">
      <c r="A7392" s="1" t="str">
        <f t="shared" si="259"/>
        <v>17300</v>
      </c>
      <c r="B7392" s="1" t="str">
        <f>"42442"</f>
        <v>42442</v>
      </c>
      <c r="C7392" s="2">
        <v>2.2630174938109899E-4</v>
      </c>
      <c r="D7392" s="2">
        <v>0</v>
      </c>
      <c r="E7392" s="2">
        <v>2.8968713789107698E-4</v>
      </c>
      <c r="F7392" s="2">
        <v>2.14118352389866E-4</v>
      </c>
    </row>
    <row r="7393" spans="1:6" x14ac:dyDescent="0.25">
      <c r="A7393" s="1" t="str">
        <f t="shared" si="259"/>
        <v>17300</v>
      </c>
      <c r="B7393" s="1" t="str">
        <f>"37171"</f>
        <v>37171</v>
      </c>
      <c r="C7393" s="2">
        <v>3.8814178833242998E-3</v>
      </c>
      <c r="D7393" s="2">
        <v>8.3845723868082697E-4</v>
      </c>
      <c r="E7393" s="2">
        <v>0</v>
      </c>
      <c r="F7393" s="2">
        <v>3.5176586464049499E-3</v>
      </c>
    </row>
    <row r="7394" spans="1:6" x14ac:dyDescent="0.25">
      <c r="A7394" s="1" t="str">
        <f t="shared" si="259"/>
        <v>17300</v>
      </c>
      <c r="B7394" s="1" t="str">
        <f>"42445"</f>
        <v>42445</v>
      </c>
      <c r="C7394" s="2">
        <v>1.9887123430460199E-4</v>
      </c>
      <c r="D7394" s="2">
        <v>0</v>
      </c>
      <c r="E7394" s="2">
        <v>7.2421784472769403E-4</v>
      </c>
      <c r="F7394" s="2">
        <v>2.08000685178727E-4</v>
      </c>
    </row>
    <row r="7395" spans="1:6" x14ac:dyDescent="0.25">
      <c r="A7395" s="1" t="str">
        <f t="shared" si="259"/>
        <v>17300</v>
      </c>
      <c r="B7395" s="1" t="str">
        <f>"42215"</f>
        <v>42215</v>
      </c>
      <c r="C7395" s="2">
        <v>3.7579805654800601E-3</v>
      </c>
      <c r="D7395" s="2">
        <v>8.3845723868082697E-4</v>
      </c>
      <c r="E7395" s="2">
        <v>1.44843568945538E-4</v>
      </c>
      <c r="F7395" s="2">
        <v>3.4136583038155799E-3</v>
      </c>
    </row>
    <row r="7396" spans="1:6" x14ac:dyDescent="0.25">
      <c r="A7396" s="1" t="str">
        <f t="shared" si="259"/>
        <v>17300</v>
      </c>
      <c r="B7396" s="1" t="str">
        <f>"37023"</f>
        <v>37023</v>
      </c>
      <c r="C7396" s="2">
        <v>5.7878386811408304E-3</v>
      </c>
      <c r="D7396" s="2">
        <v>1.95640022358859E-3</v>
      </c>
      <c r="E7396" s="2">
        <v>2.8968713789107698E-4</v>
      </c>
      <c r="F7396" s="2">
        <v>5.3040174720575496E-3</v>
      </c>
    </row>
    <row r="7397" spans="1:6" x14ac:dyDescent="0.25">
      <c r="A7397" s="1" t="str">
        <f t="shared" si="259"/>
        <v>17300</v>
      </c>
      <c r="B7397" s="1" t="str">
        <f>"37040"</f>
        <v>37040</v>
      </c>
      <c r="C7397" s="2">
        <v>0.18306439999176999</v>
      </c>
      <c r="D7397" s="2">
        <v>0.29094466182224699</v>
      </c>
      <c r="E7397" s="2">
        <v>0.33415411355735802</v>
      </c>
      <c r="F7397" s="2">
        <v>0.196530059157841</v>
      </c>
    </row>
    <row r="7398" spans="1:6" x14ac:dyDescent="0.25">
      <c r="A7398" s="1" t="str">
        <f t="shared" si="259"/>
        <v>17300</v>
      </c>
      <c r="B7398" s="1" t="str">
        <f>"37010"</f>
        <v>37010</v>
      </c>
      <c r="C7398" s="2">
        <v>9.1275038917043201E-3</v>
      </c>
      <c r="D7398" s="2">
        <v>9.3161915408980806E-5</v>
      </c>
      <c r="E7398" s="2">
        <v>0</v>
      </c>
      <c r="F7398" s="2">
        <v>8.1487327252372094E-3</v>
      </c>
    </row>
    <row r="7399" spans="1:6" x14ac:dyDescent="0.25">
      <c r="A7399" s="1" t="str">
        <f t="shared" si="259"/>
        <v>17300</v>
      </c>
      <c r="B7399" s="1" t="str">
        <f>"37015"</f>
        <v>37015</v>
      </c>
      <c r="C7399" s="2">
        <v>4.8003401383869398E-4</v>
      </c>
      <c r="D7399" s="2">
        <v>9.3161915408980806E-5</v>
      </c>
      <c r="E7399" s="2">
        <v>0</v>
      </c>
      <c r="F7399" s="2">
        <v>4.3435437199087199E-4</v>
      </c>
    </row>
    <row r="7400" spans="1:6" x14ac:dyDescent="0.25">
      <c r="A7400" s="1" t="str">
        <f t="shared" si="259"/>
        <v>17300</v>
      </c>
      <c r="B7400" s="1" t="str">
        <f>"37051"</f>
        <v>37051</v>
      </c>
      <c r="C7400" s="2">
        <v>3.7854110805565599E-3</v>
      </c>
      <c r="D7400" s="2">
        <v>2.79485746226942E-4</v>
      </c>
      <c r="E7400" s="2">
        <v>0</v>
      </c>
      <c r="F7400" s="2">
        <v>3.3953053021821698E-3</v>
      </c>
    </row>
    <row r="7401" spans="1:6" x14ac:dyDescent="0.25">
      <c r="A7401" s="1" t="str">
        <f t="shared" si="259"/>
        <v>17300</v>
      </c>
      <c r="B7401" s="1" t="str">
        <f>"42453"</f>
        <v>42453</v>
      </c>
      <c r="C7401" s="2">
        <v>4.80034013838694E-5</v>
      </c>
      <c r="D7401" s="2">
        <v>0</v>
      </c>
      <c r="E7401" s="2">
        <v>0</v>
      </c>
      <c r="F7401" s="2">
        <v>4.2823670477973298E-5</v>
      </c>
    </row>
    <row r="7402" spans="1:6" x14ac:dyDescent="0.25">
      <c r="A7402" s="1" t="str">
        <f t="shared" si="259"/>
        <v>17300</v>
      </c>
      <c r="B7402" s="1" t="str">
        <f>"37061"</f>
        <v>37061</v>
      </c>
      <c r="C7402" s="2">
        <v>2.9487803707234101E-4</v>
      </c>
      <c r="D7402" s="2">
        <v>0</v>
      </c>
      <c r="E7402" s="2">
        <v>0</v>
      </c>
      <c r="F7402" s="2">
        <v>2.6305969007897899E-4</v>
      </c>
    </row>
    <row r="7403" spans="1:6" x14ac:dyDescent="0.25">
      <c r="A7403" s="1" t="str">
        <f t="shared" si="259"/>
        <v>17300</v>
      </c>
      <c r="B7403" s="1" t="str">
        <f>"42286"</f>
        <v>42286</v>
      </c>
      <c r="C7403" s="2">
        <v>6.8576287691242101E-5</v>
      </c>
      <c r="D7403" s="2">
        <v>0</v>
      </c>
      <c r="E7403" s="2">
        <v>1.44843568945538E-4</v>
      </c>
      <c r="F7403" s="2">
        <v>6.7294339322529503E-5</v>
      </c>
    </row>
    <row r="7404" spans="1:6" x14ac:dyDescent="0.25">
      <c r="A7404" s="1" t="str">
        <f t="shared" si="259"/>
        <v>17300</v>
      </c>
      <c r="B7404" s="1" t="str">
        <f>"37028"</f>
        <v>37028</v>
      </c>
      <c r="C7404" s="2">
        <v>2.9076345981086599E-3</v>
      </c>
      <c r="D7404" s="2">
        <v>1.4905906465436901E-3</v>
      </c>
      <c r="E7404" s="2">
        <v>2.8968713789107698E-4</v>
      </c>
      <c r="F7404" s="2">
        <v>2.7040089073234498E-3</v>
      </c>
    </row>
    <row r="7405" spans="1:6" x14ac:dyDescent="0.25">
      <c r="A7405" s="1" t="str">
        <f t="shared" ref="A7405:A7420" si="260">"17340"</f>
        <v>17340</v>
      </c>
      <c r="B7405" s="1" t="str">
        <f>"95443"</f>
        <v>95443</v>
      </c>
      <c r="C7405" s="2">
        <v>4.8090795421756199E-4</v>
      </c>
      <c r="D7405" s="2">
        <v>0</v>
      </c>
      <c r="E7405" s="2">
        <v>5.8892815076560601E-4</v>
      </c>
      <c r="F7405" s="2">
        <v>4.5502806006370299E-4</v>
      </c>
    </row>
    <row r="7406" spans="1:6" x14ac:dyDescent="0.25">
      <c r="A7406" s="1" t="str">
        <f t="shared" si="260"/>
        <v>17340</v>
      </c>
      <c r="B7406" s="1" t="str">
        <f>"95461"</f>
        <v>95461</v>
      </c>
      <c r="C7406" s="2">
        <v>6.24218524574396E-2</v>
      </c>
      <c r="D7406" s="2">
        <v>0.104013961605584</v>
      </c>
      <c r="E7406" s="2">
        <v>2.6501766784452201E-2</v>
      </c>
      <c r="F7406" s="2">
        <v>6.3682260406058303E-2</v>
      </c>
    </row>
    <row r="7407" spans="1:6" x14ac:dyDescent="0.25">
      <c r="A7407" s="1" t="str">
        <f t="shared" si="260"/>
        <v>17340</v>
      </c>
      <c r="B7407" s="1" t="str">
        <f>"95453"</f>
        <v>95453</v>
      </c>
      <c r="C7407" s="2">
        <v>0.174545541983264</v>
      </c>
      <c r="D7407" s="2">
        <v>0.41221640488656103</v>
      </c>
      <c r="E7407" s="2">
        <v>0.16548881036513499</v>
      </c>
      <c r="F7407" s="2">
        <v>0.18896665294359799</v>
      </c>
    </row>
    <row r="7408" spans="1:6" x14ac:dyDescent="0.25">
      <c r="A7408" s="1" t="str">
        <f t="shared" si="260"/>
        <v>17340</v>
      </c>
      <c r="B7408" s="1" t="str">
        <f>"95422"</f>
        <v>95422</v>
      </c>
      <c r="C7408" s="2">
        <v>0.28835240934884998</v>
      </c>
      <c r="D7408" s="2">
        <v>0.19790575916230299</v>
      </c>
      <c r="E7408" s="2">
        <v>0.26914016489988202</v>
      </c>
      <c r="F7408" s="2">
        <v>0.282030725228055</v>
      </c>
    </row>
    <row r="7409" spans="1:6" x14ac:dyDescent="0.25">
      <c r="A7409" s="1" t="str">
        <f t="shared" si="260"/>
        <v>17340</v>
      </c>
      <c r="B7409" s="1" t="str">
        <f>"95464"</f>
        <v>95464</v>
      </c>
      <c r="C7409" s="2">
        <v>1.0459748004231899E-2</v>
      </c>
      <c r="D7409" s="2">
        <v>3.1413612565445001E-3</v>
      </c>
      <c r="E7409" s="2">
        <v>1.29564193168433E-2</v>
      </c>
      <c r="F7409" s="2">
        <v>1.00972893328421E-2</v>
      </c>
    </row>
    <row r="7410" spans="1:6" x14ac:dyDescent="0.25">
      <c r="A7410" s="1" t="str">
        <f t="shared" si="260"/>
        <v>17340</v>
      </c>
      <c r="B7410" s="1" t="str">
        <f>"95457"</f>
        <v>95457</v>
      </c>
      <c r="C7410" s="2">
        <v>6.6701933249975906E-2</v>
      </c>
      <c r="D7410" s="2">
        <v>5.8987783595113398E-2</v>
      </c>
      <c r="E7410" s="2">
        <v>1.3545347467608901E-2</v>
      </c>
      <c r="F7410" s="2">
        <v>6.4267296483283096E-2</v>
      </c>
    </row>
    <row r="7411" spans="1:6" x14ac:dyDescent="0.25">
      <c r="A7411" s="1" t="str">
        <f t="shared" si="260"/>
        <v>17340</v>
      </c>
      <c r="B7411" s="1" t="str">
        <f>"95467"</f>
        <v>95467</v>
      </c>
      <c r="C7411" s="2">
        <v>6.6052707511782202E-2</v>
      </c>
      <c r="D7411" s="2">
        <v>3.1413612565444997E-2</v>
      </c>
      <c r="E7411" s="2">
        <v>0.33333333333333298</v>
      </c>
      <c r="F7411" s="2">
        <v>7.3736213733180206E-2</v>
      </c>
    </row>
    <row r="7412" spans="1:6" x14ac:dyDescent="0.25">
      <c r="A7412" s="1" t="str">
        <f t="shared" si="260"/>
        <v>17340</v>
      </c>
      <c r="B7412" s="1" t="str">
        <f>"95451"</f>
        <v>95451</v>
      </c>
      <c r="C7412" s="2">
        <v>0.17153986726940401</v>
      </c>
      <c r="D7412" s="2">
        <v>0.124258289703315</v>
      </c>
      <c r="E7412" s="2">
        <v>8.1861012956419302E-2</v>
      </c>
      <c r="F7412" s="2">
        <v>0.165305193820285</v>
      </c>
    </row>
    <row r="7413" spans="1:6" x14ac:dyDescent="0.25">
      <c r="A7413" s="1" t="str">
        <f t="shared" si="260"/>
        <v>17340</v>
      </c>
      <c r="B7413" s="1" t="str">
        <f>"95424"</f>
        <v>95424</v>
      </c>
      <c r="C7413" s="2">
        <v>2.47667596422044E-2</v>
      </c>
      <c r="D7413" s="2">
        <v>7.67888307155322E-3</v>
      </c>
      <c r="E7413" s="2">
        <v>1.76678445229681E-3</v>
      </c>
      <c r="F7413" s="2">
        <v>2.2859743017486001E-2</v>
      </c>
    </row>
    <row r="7414" spans="1:6" x14ac:dyDescent="0.25">
      <c r="A7414" s="1" t="str">
        <f t="shared" si="260"/>
        <v>17340</v>
      </c>
      <c r="B7414" s="1" t="str">
        <f>"95493"</f>
        <v>95493</v>
      </c>
      <c r="C7414" s="2">
        <v>2.7171299413292199E-3</v>
      </c>
      <c r="D7414" s="2">
        <v>3.49040139616055E-4</v>
      </c>
      <c r="E7414" s="2">
        <v>1.76678445229681E-3</v>
      </c>
      <c r="F7414" s="2">
        <v>2.5351563346406301E-3</v>
      </c>
    </row>
    <row r="7415" spans="1:6" x14ac:dyDescent="0.25">
      <c r="A7415" s="1" t="str">
        <f t="shared" si="260"/>
        <v>17340</v>
      </c>
      <c r="B7415" s="1" t="str">
        <f>"95426"</f>
        <v>95426</v>
      </c>
      <c r="C7415" s="2">
        <v>1.4427238626526801E-4</v>
      </c>
      <c r="D7415" s="2">
        <v>0</v>
      </c>
      <c r="E7415" s="2">
        <v>1.1778563015312101E-3</v>
      </c>
      <c r="F7415" s="2">
        <v>1.7334402288141101E-4</v>
      </c>
    </row>
    <row r="7416" spans="1:6" x14ac:dyDescent="0.25">
      <c r="A7416" s="1" t="str">
        <f t="shared" si="260"/>
        <v>17340</v>
      </c>
      <c r="B7416" s="1" t="str">
        <f>"95469"</f>
        <v>95469</v>
      </c>
      <c r="C7416" s="2">
        <v>4.5686255650668403E-3</v>
      </c>
      <c r="D7416" s="2">
        <v>3.4904013961605499E-3</v>
      </c>
      <c r="E7416" s="2">
        <v>5.8892815076560601E-4</v>
      </c>
      <c r="F7416" s="2">
        <v>4.3552685748954496E-3</v>
      </c>
    </row>
    <row r="7417" spans="1:6" x14ac:dyDescent="0.25">
      <c r="A7417" s="1" t="str">
        <f t="shared" si="260"/>
        <v>17340</v>
      </c>
      <c r="B7417" s="1" t="str">
        <f>"95485"</f>
        <v>95485</v>
      </c>
      <c r="C7417" s="2">
        <v>2.93113398095604E-2</v>
      </c>
      <c r="D7417" s="2">
        <v>1.9895287958115099E-2</v>
      </c>
      <c r="E7417" s="2">
        <v>2.94464075382803E-2</v>
      </c>
      <c r="F7417" s="2">
        <v>2.8731771792593799E-2</v>
      </c>
    </row>
    <row r="7418" spans="1:6" x14ac:dyDescent="0.25">
      <c r="A7418" s="1" t="str">
        <f t="shared" si="260"/>
        <v>17340</v>
      </c>
      <c r="B7418" s="1" t="str">
        <f>"95458"</f>
        <v>95458</v>
      </c>
      <c r="C7418" s="2">
        <v>1.98614985091853E-2</v>
      </c>
      <c r="D7418" s="2">
        <v>3.4904013961605499E-3</v>
      </c>
      <c r="E7418" s="2">
        <v>1.8256772673733799E-2</v>
      </c>
      <c r="F7418" s="2">
        <v>1.8786158479772899E-2</v>
      </c>
    </row>
    <row r="7419" spans="1:6" x14ac:dyDescent="0.25">
      <c r="A7419" s="1" t="str">
        <f t="shared" si="260"/>
        <v>17340</v>
      </c>
      <c r="B7419" s="1" t="str">
        <f>"95423"</f>
        <v>95423</v>
      </c>
      <c r="C7419" s="2">
        <v>7.8051360969510403E-2</v>
      </c>
      <c r="D7419" s="2">
        <v>3.2809773123909203E-2</v>
      </c>
      <c r="E7419" s="2">
        <v>4.3580683156654802E-2</v>
      </c>
      <c r="F7419" s="2">
        <v>7.3974561764642094E-2</v>
      </c>
    </row>
    <row r="7420" spans="1:6" x14ac:dyDescent="0.25">
      <c r="A7420" s="1" t="str">
        <f t="shared" si="260"/>
        <v>17340</v>
      </c>
      <c r="B7420" s="1" t="str">
        <f>"95435"</f>
        <v>95435</v>
      </c>
      <c r="C7420" s="2">
        <v>2.40453977108781E-5</v>
      </c>
      <c r="D7420" s="2">
        <v>3.49040139616055E-4</v>
      </c>
      <c r="E7420" s="2">
        <v>0</v>
      </c>
      <c r="F7420" s="2">
        <v>4.3336005720352699E-5</v>
      </c>
    </row>
    <row r="7421" spans="1:6" x14ac:dyDescent="0.25">
      <c r="A7421" s="1" t="str">
        <f t="shared" ref="A7421:A7438" si="261">"17380"</f>
        <v>17380</v>
      </c>
      <c r="B7421" s="1" t="str">
        <f>"38746"</f>
        <v>38746</v>
      </c>
      <c r="C7421" s="2">
        <v>9.3986459577857402E-3</v>
      </c>
      <c r="D7421" s="2">
        <v>1.6820857863751001E-3</v>
      </c>
      <c r="E7421" s="2">
        <v>0</v>
      </c>
      <c r="F7421" s="2">
        <v>8.5708163702592592E-3</v>
      </c>
    </row>
    <row r="7422" spans="1:6" x14ac:dyDescent="0.25">
      <c r="A7422" s="1" t="str">
        <f t="shared" si="261"/>
        <v>17380</v>
      </c>
      <c r="B7422" s="1" t="str">
        <f>"38762"</f>
        <v>38762</v>
      </c>
      <c r="C7422" s="2">
        <v>8.7295898048586201E-2</v>
      </c>
      <c r="D7422" s="2">
        <v>2.4390243902439001E-2</v>
      </c>
      <c r="E7422" s="2">
        <v>8.56031128404669E-2</v>
      </c>
      <c r="F7422" s="2">
        <v>8.19227198057281E-2</v>
      </c>
    </row>
    <row r="7423" spans="1:6" x14ac:dyDescent="0.25">
      <c r="A7423" s="1" t="str">
        <f t="shared" si="261"/>
        <v>17380</v>
      </c>
      <c r="B7423" s="1" t="str">
        <f>"38764"</f>
        <v>38764</v>
      </c>
      <c r="C7423" s="2">
        <v>7.9649542015133401E-5</v>
      </c>
      <c r="D7423" s="2">
        <v>1.6820857863751001E-3</v>
      </c>
      <c r="E7423" s="2">
        <v>0</v>
      </c>
      <c r="F7423" s="2">
        <v>2.1427040925648099E-4</v>
      </c>
    </row>
    <row r="7424" spans="1:6" x14ac:dyDescent="0.25">
      <c r="A7424" s="1" t="str">
        <f t="shared" si="261"/>
        <v>17380</v>
      </c>
      <c r="B7424" s="1" t="str">
        <f>"38732"</f>
        <v>38732</v>
      </c>
      <c r="C7424" s="2">
        <v>0.64460374352847405</v>
      </c>
      <c r="D7424" s="2">
        <v>0.82926829268292601</v>
      </c>
      <c r="E7424" s="2">
        <v>0.79766536964980495</v>
      </c>
      <c r="F7424" s="2">
        <v>0.66309549317905803</v>
      </c>
    </row>
    <row r="7425" spans="1:6" x14ac:dyDescent="0.25">
      <c r="A7425" s="1" t="str">
        <f t="shared" si="261"/>
        <v>17380</v>
      </c>
      <c r="B7425" s="1" t="str">
        <f>"38733"</f>
        <v>38733</v>
      </c>
      <c r="C7425" s="2">
        <v>0</v>
      </c>
      <c r="D7425" s="2">
        <v>8.4104289318755198E-4</v>
      </c>
      <c r="E7425" s="2">
        <v>0</v>
      </c>
      <c r="F7425" s="2">
        <v>7.1423469752160493E-5</v>
      </c>
    </row>
    <row r="7426" spans="1:6" x14ac:dyDescent="0.25">
      <c r="A7426" s="1" t="str">
        <f t="shared" si="261"/>
        <v>17380</v>
      </c>
      <c r="B7426" s="1" t="str">
        <f>"38726"</f>
        <v>38726</v>
      </c>
      <c r="C7426" s="2">
        <v>7.5667064914376704E-3</v>
      </c>
      <c r="D7426" s="2">
        <v>3.3641715727502101E-3</v>
      </c>
      <c r="E7426" s="2">
        <v>0</v>
      </c>
      <c r="F7426" s="2">
        <v>7.0709235054638902E-3</v>
      </c>
    </row>
    <row r="7427" spans="1:6" x14ac:dyDescent="0.25">
      <c r="A7427" s="1" t="str">
        <f t="shared" si="261"/>
        <v>17380</v>
      </c>
      <c r="B7427" s="1" t="str">
        <f>"38703"</f>
        <v>38703</v>
      </c>
      <c r="C7427" s="2">
        <v>6.7702110712863396E-3</v>
      </c>
      <c r="D7427" s="2">
        <v>8.4104289318755198E-4</v>
      </c>
      <c r="E7427" s="2">
        <v>0</v>
      </c>
      <c r="F7427" s="2">
        <v>6.1424183986857998E-3</v>
      </c>
    </row>
    <row r="7428" spans="1:6" x14ac:dyDescent="0.25">
      <c r="A7428" s="1" t="str">
        <f t="shared" si="261"/>
        <v>17380</v>
      </c>
      <c r="B7428" s="1" t="str">
        <f>"38769"</f>
        <v>38769</v>
      </c>
      <c r="C7428" s="2">
        <v>4.0700915969733097E-2</v>
      </c>
      <c r="D7428" s="2">
        <v>2.01850294365012E-2</v>
      </c>
      <c r="E7428" s="2">
        <v>3.89105058365758E-2</v>
      </c>
      <c r="F7428" s="2">
        <v>3.8925791014927498E-2</v>
      </c>
    </row>
    <row r="7429" spans="1:6" x14ac:dyDescent="0.25">
      <c r="A7429" s="1" t="str">
        <f t="shared" si="261"/>
        <v>17380</v>
      </c>
      <c r="B7429" s="1" t="str">
        <f>"38759"</f>
        <v>38759</v>
      </c>
      <c r="C7429" s="2">
        <v>2.3178016726403801E-2</v>
      </c>
      <c r="D7429" s="2">
        <v>7.5693860386879704E-3</v>
      </c>
      <c r="E7429" s="2">
        <v>0</v>
      </c>
      <c r="F7429" s="2">
        <v>2.1427040925648101E-2</v>
      </c>
    </row>
    <row r="7430" spans="1:6" x14ac:dyDescent="0.25">
      <c r="A7430" s="1" t="str">
        <f t="shared" si="261"/>
        <v>17380</v>
      </c>
      <c r="B7430" s="1" t="str">
        <f>"38730"</f>
        <v>38730</v>
      </c>
      <c r="C7430" s="2">
        <v>4.5320589406610899E-2</v>
      </c>
      <c r="D7430" s="2">
        <v>4.5416316232127801E-2</v>
      </c>
      <c r="E7430" s="2">
        <v>7.78210116731517E-3</v>
      </c>
      <c r="F7430" s="2">
        <v>4.4639668595100303E-2</v>
      </c>
    </row>
    <row r="7431" spans="1:6" x14ac:dyDescent="0.25">
      <c r="A7431" s="1" t="str">
        <f t="shared" si="261"/>
        <v>17380</v>
      </c>
      <c r="B7431" s="1" t="str">
        <f>"38720"</f>
        <v>38720</v>
      </c>
      <c r="C7431" s="2">
        <v>3.18598168060533E-3</v>
      </c>
      <c r="D7431" s="2">
        <v>8.4104289318755198E-4</v>
      </c>
      <c r="E7431" s="2">
        <v>0</v>
      </c>
      <c r="F7431" s="2">
        <v>2.9283622598385798E-3</v>
      </c>
    </row>
    <row r="7432" spans="1:6" x14ac:dyDescent="0.25">
      <c r="A7432" s="1" t="str">
        <f t="shared" si="261"/>
        <v>17380</v>
      </c>
      <c r="B7432" s="1" t="str">
        <f>"38773"</f>
        <v>38773</v>
      </c>
      <c r="C7432" s="2">
        <v>5.6630824372759798E-2</v>
      </c>
      <c r="D7432" s="2">
        <v>3.6164844407064703E-2</v>
      </c>
      <c r="E7432" s="2">
        <v>1.55642023346303E-2</v>
      </c>
      <c r="F7432" s="2">
        <v>5.4138990072137697E-2</v>
      </c>
    </row>
    <row r="7433" spans="1:6" x14ac:dyDescent="0.25">
      <c r="A7433" s="1" t="str">
        <f t="shared" si="261"/>
        <v>17380</v>
      </c>
      <c r="B7433" s="1" t="str">
        <f>"38774"</f>
        <v>38774</v>
      </c>
      <c r="C7433" s="2">
        <v>2.8753484667463101E-2</v>
      </c>
      <c r="D7433" s="2">
        <v>1.17746005046257E-2</v>
      </c>
      <c r="E7433" s="2">
        <v>3.89105058365758E-2</v>
      </c>
      <c r="F7433" s="2">
        <v>2.7498035854581802E-2</v>
      </c>
    </row>
    <row r="7434" spans="1:6" x14ac:dyDescent="0.25">
      <c r="A7434" s="1" t="str">
        <f t="shared" si="261"/>
        <v>17380</v>
      </c>
      <c r="B7434" s="1" t="str">
        <f>"38772"</f>
        <v>38772</v>
      </c>
      <c r="C7434" s="2">
        <v>7.1684587813619996E-4</v>
      </c>
      <c r="D7434" s="2">
        <v>8.4104289318755198E-4</v>
      </c>
      <c r="E7434" s="2">
        <v>0</v>
      </c>
      <c r="F7434" s="2">
        <v>7.1423469752160504E-4</v>
      </c>
    </row>
    <row r="7435" spans="1:6" x14ac:dyDescent="0.25">
      <c r="A7435" s="1" t="str">
        <f t="shared" si="261"/>
        <v>17380</v>
      </c>
      <c r="B7435" s="1" t="str">
        <f>"38614"</f>
        <v>38614</v>
      </c>
      <c r="C7435" s="2">
        <v>1.3540422142572599E-3</v>
      </c>
      <c r="D7435" s="2">
        <v>1.6820857863751001E-3</v>
      </c>
      <c r="E7435" s="2">
        <v>0</v>
      </c>
      <c r="F7435" s="2">
        <v>1.35704592529105E-3</v>
      </c>
    </row>
    <row r="7436" spans="1:6" x14ac:dyDescent="0.25">
      <c r="A7436" s="1" t="str">
        <f t="shared" si="261"/>
        <v>17380</v>
      </c>
      <c r="B7436" s="1" t="str">
        <f>"38781"</f>
        <v>38781</v>
      </c>
      <c r="C7436" s="2">
        <v>0</v>
      </c>
      <c r="D7436" s="2">
        <v>8.4104289318755198E-4</v>
      </c>
      <c r="E7436" s="2">
        <v>0</v>
      </c>
      <c r="F7436" s="2">
        <v>7.1423469752160493E-5</v>
      </c>
    </row>
    <row r="7437" spans="1:6" x14ac:dyDescent="0.25">
      <c r="A7437" s="1" t="str">
        <f t="shared" si="261"/>
        <v>17380</v>
      </c>
      <c r="B7437" s="1" t="str">
        <f>"38725"</f>
        <v>38725</v>
      </c>
      <c r="C7437" s="2">
        <v>3.3054559936280301E-2</v>
      </c>
      <c r="D7437" s="2">
        <v>8.4104289318755205E-3</v>
      </c>
      <c r="E7437" s="2">
        <v>1.55642023346303E-2</v>
      </c>
      <c r="F7437" s="2">
        <v>3.0640668523676799E-2</v>
      </c>
    </row>
    <row r="7438" spans="1:6" x14ac:dyDescent="0.25">
      <c r="A7438" s="1" t="str">
        <f t="shared" si="261"/>
        <v>17380</v>
      </c>
      <c r="B7438" s="1" t="str">
        <f>"38740"</f>
        <v>38740</v>
      </c>
      <c r="C7438" s="2">
        <v>1.1389884508164E-2</v>
      </c>
      <c r="D7438" s="2">
        <v>4.2052144659377603E-3</v>
      </c>
      <c r="E7438" s="2">
        <v>0</v>
      </c>
      <c r="F7438" s="2">
        <v>1.0570673523319699E-2</v>
      </c>
    </row>
    <row r="7439" spans="1:6" x14ac:dyDescent="0.25">
      <c r="A7439" s="1" t="str">
        <f t="shared" ref="A7439:A7457" si="262">"17420"</f>
        <v>17420</v>
      </c>
      <c r="B7439" s="1" t="str">
        <f>"37369"</f>
        <v>37369</v>
      </c>
      <c r="C7439" s="2">
        <v>1.0294191016281099E-2</v>
      </c>
      <c r="D7439" s="2">
        <v>4.4410117783355799E-3</v>
      </c>
      <c r="E7439" s="2">
        <v>0</v>
      </c>
      <c r="F7439" s="2">
        <v>9.5534292644454608E-3</v>
      </c>
    </row>
    <row r="7440" spans="1:6" x14ac:dyDescent="0.25">
      <c r="A7440" s="1" t="str">
        <f t="shared" si="262"/>
        <v>17420</v>
      </c>
      <c r="B7440" s="1" t="str">
        <f>"37311"</f>
        <v>37311</v>
      </c>
      <c r="C7440" s="2">
        <v>0.220136036320699</v>
      </c>
      <c r="D7440" s="2">
        <v>0.38173392546823698</v>
      </c>
      <c r="E7440" s="2">
        <v>0.51348492860920103</v>
      </c>
      <c r="F7440" s="2">
        <v>0.24084463028823899</v>
      </c>
    </row>
    <row r="7441" spans="1:6" x14ac:dyDescent="0.25">
      <c r="A7441" s="1" t="str">
        <f t="shared" si="262"/>
        <v>17420</v>
      </c>
      <c r="B7441" s="1" t="str">
        <f>"37336"</f>
        <v>37336</v>
      </c>
      <c r="C7441" s="2">
        <v>1.4418519565615E-2</v>
      </c>
      <c r="D7441" s="2">
        <v>2.5101370921027199E-3</v>
      </c>
      <c r="E7441" s="2">
        <v>2.1152829190904201E-3</v>
      </c>
      <c r="F7441" s="2">
        <v>1.3154566152289399E-2</v>
      </c>
    </row>
    <row r="7442" spans="1:6" x14ac:dyDescent="0.25">
      <c r="A7442" s="1" t="str">
        <f t="shared" si="262"/>
        <v>17420</v>
      </c>
      <c r="B7442" s="1" t="str">
        <f>"37362"</f>
        <v>37362</v>
      </c>
      <c r="C7442" s="2">
        <v>2.9086494487036599E-2</v>
      </c>
      <c r="D7442" s="2">
        <v>3.0893994979725799E-3</v>
      </c>
      <c r="E7442" s="2">
        <v>3.7017451084082401E-3</v>
      </c>
      <c r="F7442" s="2">
        <v>2.6368655228344799E-2</v>
      </c>
    </row>
    <row r="7443" spans="1:6" x14ac:dyDescent="0.25">
      <c r="A7443" s="1" t="str">
        <f t="shared" si="262"/>
        <v>17420</v>
      </c>
      <c r="B7443" s="1" t="str">
        <f>"37320"</f>
        <v>37320</v>
      </c>
      <c r="C7443" s="2">
        <v>3.0416923051337901E-2</v>
      </c>
      <c r="D7443" s="2">
        <v>0.109866769646649</v>
      </c>
      <c r="E7443" s="2">
        <v>5.2882072977260698E-4</v>
      </c>
      <c r="F7443" s="2">
        <v>3.5698873528667699E-2</v>
      </c>
    </row>
    <row r="7444" spans="1:6" x14ac:dyDescent="0.25">
      <c r="A7444" s="1" t="str">
        <f t="shared" si="262"/>
        <v>17420</v>
      </c>
      <c r="B7444" s="1" t="str">
        <f>"37391"</f>
        <v>37391</v>
      </c>
      <c r="C7444" s="2">
        <v>1.6114815985099201E-2</v>
      </c>
      <c r="D7444" s="2">
        <v>4.8271867155821498E-3</v>
      </c>
      <c r="E7444" s="2">
        <v>0</v>
      </c>
      <c r="F7444" s="2">
        <v>1.4791446555854799E-2</v>
      </c>
    </row>
    <row r="7445" spans="1:6" x14ac:dyDescent="0.25">
      <c r="A7445" s="1" t="str">
        <f t="shared" si="262"/>
        <v>17420</v>
      </c>
      <c r="B7445" s="1" t="str">
        <f>"37307"</f>
        <v>37307</v>
      </c>
      <c r="C7445" s="2">
        <v>4.2274367630673E-2</v>
      </c>
      <c r="D7445" s="2">
        <v>2.1432709017184699E-2</v>
      </c>
      <c r="E7445" s="2">
        <v>2.6441036488630301E-2</v>
      </c>
      <c r="F7445" s="2">
        <v>4.0222615734884802E-2</v>
      </c>
    </row>
    <row r="7446" spans="1:6" x14ac:dyDescent="0.25">
      <c r="A7446" s="1" t="str">
        <f t="shared" si="262"/>
        <v>17420</v>
      </c>
      <c r="B7446" s="1" t="str">
        <f>"37310"</f>
        <v>37310</v>
      </c>
      <c r="C7446" s="2">
        <v>4.4103706906587201E-2</v>
      </c>
      <c r="D7446" s="2">
        <v>3.1473257385595602E-2</v>
      </c>
      <c r="E7446" s="2">
        <v>9.5187731359069206E-3</v>
      </c>
      <c r="F7446" s="2">
        <v>4.2157110757280299E-2</v>
      </c>
    </row>
    <row r="7447" spans="1:6" x14ac:dyDescent="0.25">
      <c r="A7447" s="1" t="str">
        <f t="shared" si="262"/>
        <v>17420</v>
      </c>
      <c r="B7447" s="1" t="str">
        <f>"37326"</f>
        <v>37326</v>
      </c>
      <c r="C7447" s="2">
        <v>0</v>
      </c>
      <c r="D7447" s="2">
        <v>1.93087468623286E-4</v>
      </c>
      <c r="E7447" s="2">
        <v>0</v>
      </c>
      <c r="F7447" s="2">
        <v>1.4880730941503801E-5</v>
      </c>
    </row>
    <row r="7448" spans="1:6" x14ac:dyDescent="0.25">
      <c r="A7448" s="1" t="str">
        <f t="shared" si="262"/>
        <v>17420</v>
      </c>
      <c r="B7448" s="1" t="str">
        <f>"37317"</f>
        <v>37317</v>
      </c>
      <c r="C7448" s="2">
        <v>2.41140177279606E-2</v>
      </c>
      <c r="D7448" s="2">
        <v>2.1818883954431299E-2</v>
      </c>
      <c r="E7448" s="2">
        <v>6.3458487572712798E-3</v>
      </c>
      <c r="F7448" s="2">
        <v>2.3437151232868499E-2</v>
      </c>
    </row>
    <row r="7449" spans="1:6" x14ac:dyDescent="0.25">
      <c r="A7449" s="1" t="str">
        <f t="shared" si="262"/>
        <v>17420</v>
      </c>
      <c r="B7449" s="1" t="str">
        <f>"37364"</f>
        <v>37364</v>
      </c>
      <c r="C7449" s="2">
        <v>1.18075535081738E-2</v>
      </c>
      <c r="D7449" s="2">
        <v>3.7072793975670898E-2</v>
      </c>
      <c r="E7449" s="2">
        <v>5.2882072977260698E-4</v>
      </c>
      <c r="F7449" s="2">
        <v>1.34373000401779E-2</v>
      </c>
    </row>
    <row r="7450" spans="1:6" x14ac:dyDescent="0.25">
      <c r="A7450" s="1" t="str">
        <f t="shared" si="262"/>
        <v>17420</v>
      </c>
      <c r="B7450" s="1" t="str">
        <f>"37353"</f>
        <v>37353</v>
      </c>
      <c r="C7450" s="2">
        <v>4.2690126557017101E-2</v>
      </c>
      <c r="D7450" s="2">
        <v>2.1239621548561401E-2</v>
      </c>
      <c r="E7450" s="2">
        <v>4.7593865679534603E-3</v>
      </c>
      <c r="F7450" s="2">
        <v>3.9969643308879303E-2</v>
      </c>
    </row>
    <row r="7451" spans="1:6" x14ac:dyDescent="0.25">
      <c r="A7451" s="1" t="str">
        <f t="shared" si="262"/>
        <v>17420</v>
      </c>
      <c r="B7451" s="1" t="str">
        <f>"37309"</f>
        <v>37309</v>
      </c>
      <c r="C7451" s="2">
        <v>2.1453160599357998E-3</v>
      </c>
      <c r="D7451" s="2">
        <v>3.86174937246572E-4</v>
      </c>
      <c r="E7451" s="2">
        <v>0</v>
      </c>
      <c r="F7451" s="2">
        <v>1.9493757533369999E-3</v>
      </c>
    </row>
    <row r="7452" spans="1:6" x14ac:dyDescent="0.25">
      <c r="A7452" s="1" t="str">
        <f t="shared" si="262"/>
        <v>17420</v>
      </c>
      <c r="B7452" s="1" t="str">
        <f>"37385"</f>
        <v>37385</v>
      </c>
      <c r="C7452" s="2">
        <v>4.9891071161297802E-5</v>
      </c>
      <c r="D7452" s="2">
        <v>0</v>
      </c>
      <c r="E7452" s="2">
        <v>0</v>
      </c>
      <c r="F7452" s="2">
        <v>4.4642192824511502E-5</v>
      </c>
    </row>
    <row r="7453" spans="1:6" x14ac:dyDescent="0.25">
      <c r="A7453" s="1" t="str">
        <f t="shared" si="262"/>
        <v>17420</v>
      </c>
      <c r="B7453" s="1" t="str">
        <f>"37323"</f>
        <v>37323</v>
      </c>
      <c r="C7453" s="2">
        <v>0.224127322013603</v>
      </c>
      <c r="D7453" s="2">
        <v>9.2295810001930795E-2</v>
      </c>
      <c r="E7453" s="2">
        <v>6.6102591221575802E-2</v>
      </c>
      <c r="F7453" s="2">
        <v>0.20952069165637399</v>
      </c>
    </row>
    <row r="7454" spans="1:6" x14ac:dyDescent="0.25">
      <c r="A7454" s="1" t="str">
        <f t="shared" si="262"/>
        <v>17420</v>
      </c>
      <c r="B7454" s="1" t="str">
        <f>"37312"</f>
        <v>37312</v>
      </c>
      <c r="C7454" s="2">
        <v>0.25682260398130702</v>
      </c>
      <c r="D7454" s="2">
        <v>0.254489283645491</v>
      </c>
      <c r="E7454" s="2">
        <v>0.36329984135378102</v>
      </c>
      <c r="F7454" s="2">
        <v>0.25963899346735902</v>
      </c>
    </row>
    <row r="7455" spans="1:6" x14ac:dyDescent="0.25">
      <c r="A7455" s="1" t="str">
        <f t="shared" si="262"/>
        <v>17420</v>
      </c>
      <c r="B7455" s="1" t="str">
        <f>"37325"</f>
        <v>37325</v>
      </c>
      <c r="C7455" s="2">
        <v>1.3021569573098701E-2</v>
      </c>
      <c r="D7455" s="2">
        <v>3.6686619038424398E-3</v>
      </c>
      <c r="E7455" s="2">
        <v>0</v>
      </c>
      <c r="F7455" s="2">
        <v>1.1934346215086E-2</v>
      </c>
    </row>
    <row r="7456" spans="1:6" x14ac:dyDescent="0.25">
      <c r="A7456" s="1" t="str">
        <f t="shared" si="262"/>
        <v>17420</v>
      </c>
      <c r="B7456" s="1" t="str">
        <f>"37361"</f>
        <v>37361</v>
      </c>
      <c r="C7456" s="2">
        <v>1.35870017129267E-2</v>
      </c>
      <c r="D7456" s="2">
        <v>8.8820235566711703E-3</v>
      </c>
      <c r="E7456" s="2">
        <v>3.1729243786356399E-3</v>
      </c>
      <c r="F7456" s="2">
        <v>1.29313551881668E-2</v>
      </c>
    </row>
    <row r="7457" spans="1:6" x14ac:dyDescent="0.25">
      <c r="A7457" s="1" t="str">
        <f t="shared" si="262"/>
        <v>17420</v>
      </c>
      <c r="B7457" s="1" t="str">
        <f>"37333"</f>
        <v>37333</v>
      </c>
      <c r="C7457" s="2">
        <v>4.7895428314845903E-3</v>
      </c>
      <c r="D7457" s="2">
        <v>5.7926240586985897E-4</v>
      </c>
      <c r="E7457" s="2">
        <v>0</v>
      </c>
      <c r="F7457" s="2">
        <v>4.3302927039776101E-3</v>
      </c>
    </row>
    <row r="7458" spans="1:6" x14ac:dyDescent="0.25">
      <c r="A7458" s="1" t="str">
        <f t="shared" ref="A7458:A7489" si="263">"17460"</f>
        <v>17460</v>
      </c>
      <c r="B7458" s="1" t="str">
        <f>"44127"</f>
        <v>44127</v>
      </c>
      <c r="C7458" s="2">
        <v>2.5175359399958299E-3</v>
      </c>
      <c r="D7458" s="2">
        <v>3.84232401073686E-3</v>
      </c>
      <c r="E7458" s="2">
        <v>5.08582326764144E-3</v>
      </c>
      <c r="F7458" s="2">
        <v>2.7087282670557799E-3</v>
      </c>
    </row>
    <row r="7459" spans="1:6" x14ac:dyDescent="0.25">
      <c r="A7459" s="1" t="str">
        <f t="shared" si="263"/>
        <v>17460</v>
      </c>
      <c r="B7459" s="1" t="str">
        <f>"44035"</f>
        <v>44035</v>
      </c>
      <c r="C7459" s="2">
        <v>2.8680618252810701E-2</v>
      </c>
      <c r="D7459" s="2">
        <v>2.6993679106416101E-2</v>
      </c>
      <c r="E7459" s="2">
        <v>2.0063572790845498E-2</v>
      </c>
      <c r="F7459" s="2">
        <v>2.8257213647197701E-2</v>
      </c>
    </row>
    <row r="7460" spans="1:6" x14ac:dyDescent="0.25">
      <c r="A7460" s="1" t="str">
        <f t="shared" si="263"/>
        <v>17460</v>
      </c>
      <c r="B7460" s="1" t="str">
        <f>"44095"</f>
        <v>44095</v>
      </c>
      <c r="C7460" s="2">
        <v>1.49489547885269E-2</v>
      </c>
      <c r="D7460" s="2">
        <v>1.1743440990561901E-2</v>
      </c>
      <c r="E7460" s="2">
        <v>9.3833439287984693E-3</v>
      </c>
      <c r="F7460" s="2">
        <v>1.4508171116312699E-2</v>
      </c>
    </row>
    <row r="7461" spans="1:6" x14ac:dyDescent="0.25">
      <c r="A7461" s="1" t="str">
        <f t="shared" si="263"/>
        <v>17460</v>
      </c>
      <c r="B7461" s="1" t="str">
        <f>"44077"</f>
        <v>44077</v>
      </c>
      <c r="C7461" s="2">
        <v>2.52428795209543E-2</v>
      </c>
      <c r="D7461" s="2">
        <v>2.1149017230929001E-2</v>
      </c>
      <c r="E7461" s="2">
        <v>1.6249205340114401E-2</v>
      </c>
      <c r="F7461" s="2">
        <v>2.4616477455079101E-2</v>
      </c>
    </row>
    <row r="7462" spans="1:6" x14ac:dyDescent="0.25">
      <c r="A7462" s="1" t="str">
        <f t="shared" si="263"/>
        <v>17460</v>
      </c>
      <c r="B7462" s="1" t="str">
        <f>"44065"</f>
        <v>44065</v>
      </c>
      <c r="C7462" s="2">
        <v>1.6947550370010199E-3</v>
      </c>
      <c r="D7462" s="2">
        <v>2.2945709585245398E-3</v>
      </c>
      <c r="E7462" s="2">
        <v>5.8486967577876597E-4</v>
      </c>
      <c r="F7462" s="2">
        <v>1.7048299235308401E-3</v>
      </c>
    </row>
    <row r="7463" spans="1:6" x14ac:dyDescent="0.25">
      <c r="A7463" s="1" t="str">
        <f t="shared" si="263"/>
        <v>17460</v>
      </c>
      <c r="B7463" s="1" t="str">
        <f>"44281"</f>
        <v>44281</v>
      </c>
      <c r="C7463" s="2">
        <v>1.3578296332307E-2</v>
      </c>
      <c r="D7463" s="2">
        <v>8.9618148757468104E-3</v>
      </c>
      <c r="E7463" s="2">
        <v>8.6458995549904601E-3</v>
      </c>
      <c r="F7463" s="2">
        <v>1.3047255112564099E-2</v>
      </c>
    </row>
    <row r="7464" spans="1:6" x14ac:dyDescent="0.25">
      <c r="A7464" s="1" t="str">
        <f t="shared" si="263"/>
        <v>17460</v>
      </c>
      <c r="B7464" s="1" t="str">
        <f>"44253"</f>
        <v>44253</v>
      </c>
      <c r="C7464" s="2">
        <v>1.32339437152271E-3</v>
      </c>
      <c r="D7464" s="2">
        <v>4.9787860420815605E-4</v>
      </c>
      <c r="E7464" s="2">
        <v>1.0171646535282799E-4</v>
      </c>
      <c r="F7464" s="2">
        <v>1.2170020839662901E-3</v>
      </c>
    </row>
    <row r="7465" spans="1:6" x14ac:dyDescent="0.25">
      <c r="A7465" s="1" t="str">
        <f t="shared" si="263"/>
        <v>17460</v>
      </c>
      <c r="B7465" s="1" t="str">
        <f>"44137"</f>
        <v>44137</v>
      </c>
      <c r="C7465" s="2">
        <v>1.08109359446257E-2</v>
      </c>
      <c r="D7465" s="2">
        <v>8.0309983548359099E-3</v>
      </c>
      <c r="E7465" s="2">
        <v>6.9930069930069904E-3</v>
      </c>
      <c r="F7465" s="2">
        <v>1.0462623401186999E-2</v>
      </c>
    </row>
    <row r="7466" spans="1:6" x14ac:dyDescent="0.25">
      <c r="A7466" s="1" t="str">
        <f t="shared" si="263"/>
        <v>17460</v>
      </c>
      <c r="B7466" s="1" t="str">
        <f>"44141"</f>
        <v>44141</v>
      </c>
      <c r="C7466" s="2">
        <v>5.65818613946956E-3</v>
      </c>
      <c r="D7466" s="2">
        <v>6.4940687505411704E-3</v>
      </c>
      <c r="E7466" s="2">
        <v>6.0521296884933204E-3</v>
      </c>
      <c r="F7466" s="2">
        <v>5.7375400639311201E-3</v>
      </c>
    </row>
    <row r="7467" spans="1:6" x14ac:dyDescent="0.25">
      <c r="A7467" s="1" t="str">
        <f t="shared" si="263"/>
        <v>17460</v>
      </c>
      <c r="B7467" s="1" t="str">
        <f>"44132"</f>
        <v>44132</v>
      </c>
      <c r="C7467" s="2">
        <v>8.0850522026992607E-3</v>
      </c>
      <c r="D7467" s="2">
        <v>8.5938176465494807E-3</v>
      </c>
      <c r="E7467" s="2">
        <v>1.05022250476795E-2</v>
      </c>
      <c r="F7467" s="2">
        <v>8.2066336027797598E-3</v>
      </c>
    </row>
    <row r="7468" spans="1:6" x14ac:dyDescent="0.25">
      <c r="A7468" s="1" t="str">
        <f t="shared" si="263"/>
        <v>17460</v>
      </c>
      <c r="B7468" s="1" t="str">
        <f>"44212"</f>
        <v>44212</v>
      </c>
      <c r="C7468" s="2">
        <v>1.8978941438834399E-2</v>
      </c>
      <c r="D7468" s="2">
        <v>1.40055416053337E-2</v>
      </c>
      <c r="E7468" s="2">
        <v>1.40877304513668E-2</v>
      </c>
      <c r="F7468" s="2">
        <v>1.8421063892609401E-2</v>
      </c>
    </row>
    <row r="7469" spans="1:6" x14ac:dyDescent="0.25">
      <c r="A7469" s="1" t="str">
        <f t="shared" si="263"/>
        <v>17460</v>
      </c>
      <c r="B7469" s="1" t="str">
        <f>"44139"</f>
        <v>44139</v>
      </c>
      <c r="C7469" s="2">
        <v>1.04193192428486E-2</v>
      </c>
      <c r="D7469" s="2">
        <v>1.9893497272491099E-2</v>
      </c>
      <c r="E7469" s="2">
        <v>1.07310870947234E-2</v>
      </c>
      <c r="F7469" s="2">
        <v>1.11789600708634E-2</v>
      </c>
    </row>
    <row r="7470" spans="1:6" x14ac:dyDescent="0.25">
      <c r="A7470" s="1" t="str">
        <f t="shared" si="263"/>
        <v>17460</v>
      </c>
      <c r="B7470" s="1" t="str">
        <f>"44113"</f>
        <v>44113</v>
      </c>
      <c r="C7470" s="2">
        <v>1.16732643470611E-2</v>
      </c>
      <c r="D7470" s="2">
        <v>2.5424279158368601E-2</v>
      </c>
      <c r="E7470" s="2">
        <v>2.57342657342657E-2</v>
      </c>
      <c r="F7470" s="2">
        <v>1.3233827865239601E-2</v>
      </c>
    </row>
    <row r="7471" spans="1:6" x14ac:dyDescent="0.25">
      <c r="A7471" s="1" t="str">
        <f t="shared" si="263"/>
        <v>17460</v>
      </c>
      <c r="B7471" s="1" t="str">
        <f>"44128"</f>
        <v>44128</v>
      </c>
      <c r="C7471" s="2">
        <v>1.4753146437638399E-2</v>
      </c>
      <c r="D7471" s="2">
        <v>1.8378214564031499E-2</v>
      </c>
      <c r="E7471" s="2">
        <v>2.2631913541004401E-2</v>
      </c>
      <c r="F7471" s="2">
        <v>1.53049565876014E-2</v>
      </c>
    </row>
    <row r="7472" spans="1:6" x14ac:dyDescent="0.25">
      <c r="A7472" s="1" t="str">
        <f t="shared" si="263"/>
        <v>17460</v>
      </c>
      <c r="B7472" s="1" t="str">
        <f>"44140"</f>
        <v>44140</v>
      </c>
      <c r="C7472" s="2">
        <v>6.47325045720767E-3</v>
      </c>
      <c r="D7472" s="2">
        <v>3.9613819378301104E-3</v>
      </c>
      <c r="E7472" s="2">
        <v>6.6115702479338804E-4</v>
      </c>
      <c r="F7472" s="2">
        <v>6.0790195516262999E-3</v>
      </c>
    </row>
    <row r="7473" spans="1:6" x14ac:dyDescent="0.25">
      <c r="A7473" s="1" t="str">
        <f t="shared" si="263"/>
        <v>17460</v>
      </c>
      <c r="B7473" s="1" t="str">
        <f>"44149"</f>
        <v>44149</v>
      </c>
      <c r="C7473" s="2">
        <v>8.0956625074272096E-3</v>
      </c>
      <c r="D7473" s="2">
        <v>3.8964412503246998E-3</v>
      </c>
      <c r="E7473" s="2">
        <v>1.60203432930705E-3</v>
      </c>
      <c r="F7473" s="2">
        <v>7.5450705852650301E-3</v>
      </c>
    </row>
    <row r="7474" spans="1:6" x14ac:dyDescent="0.25">
      <c r="A7474" s="1" t="str">
        <f t="shared" si="263"/>
        <v>17460</v>
      </c>
      <c r="B7474" s="1" t="str">
        <f>"44133"</f>
        <v>44133</v>
      </c>
      <c r="C7474" s="2">
        <v>1.53164571613769E-2</v>
      </c>
      <c r="D7474" s="2">
        <v>1.2630963719802501E-2</v>
      </c>
      <c r="E7474" s="2">
        <v>2.2275905912269502E-2</v>
      </c>
      <c r="F7474" s="2">
        <v>1.5338334281887399E-2</v>
      </c>
    </row>
    <row r="7475" spans="1:6" x14ac:dyDescent="0.25">
      <c r="A7475" s="1" t="str">
        <f t="shared" si="263"/>
        <v>17460</v>
      </c>
      <c r="B7475" s="1" t="str">
        <f>"44202"</f>
        <v>44202</v>
      </c>
      <c r="C7475" s="2">
        <v>7.8130425724008603E-5</v>
      </c>
      <c r="D7475" s="2">
        <v>7.1434756255952798E-4</v>
      </c>
      <c r="E7475" s="2">
        <v>5.0858232676414397E-5</v>
      </c>
      <c r="F7475" s="2">
        <v>1.27519908938803E-4</v>
      </c>
    </row>
    <row r="7476" spans="1:6" x14ac:dyDescent="0.25">
      <c r="A7476" s="1" t="str">
        <f t="shared" si="263"/>
        <v>17460</v>
      </c>
      <c r="B7476" s="1" t="str">
        <f>"44231"</f>
        <v>44231</v>
      </c>
      <c r="C7476" s="2">
        <v>2.89371947125957E-4</v>
      </c>
      <c r="D7476" s="2">
        <v>2.16468958351372E-5</v>
      </c>
      <c r="E7476" s="2">
        <v>5.0858232676414397E-5</v>
      </c>
      <c r="F7476" s="2">
        <v>2.6017484776775899E-4</v>
      </c>
    </row>
    <row r="7477" spans="1:6" x14ac:dyDescent="0.25">
      <c r="A7477" s="1" t="str">
        <f t="shared" si="263"/>
        <v>17460</v>
      </c>
      <c r="B7477" s="1" t="str">
        <f>"44114"</f>
        <v>44114</v>
      </c>
      <c r="C7477" s="2">
        <v>6.2388591800356498E-3</v>
      </c>
      <c r="D7477" s="2">
        <v>3.32604554506883E-2</v>
      </c>
      <c r="E7477" s="2">
        <v>9.5867768595041293E-3</v>
      </c>
      <c r="F7477" s="2">
        <v>8.4882044084231608E-3</v>
      </c>
    </row>
    <row r="7478" spans="1:6" x14ac:dyDescent="0.25">
      <c r="A7478" s="1" t="str">
        <f t="shared" si="263"/>
        <v>17460</v>
      </c>
      <c r="B7478" s="1" t="str">
        <f>"44121"</f>
        <v>44121</v>
      </c>
      <c r="C7478" s="2">
        <v>1.5169842041499701E-2</v>
      </c>
      <c r="D7478" s="2">
        <v>1.20140271885011E-2</v>
      </c>
      <c r="E7478" s="2">
        <v>1.38080101716465E-2</v>
      </c>
      <c r="F7478" s="2">
        <v>1.4874469915143599E-2</v>
      </c>
    </row>
    <row r="7479" spans="1:6" x14ac:dyDescent="0.25">
      <c r="A7479" s="1" t="str">
        <f t="shared" si="263"/>
        <v>17460</v>
      </c>
      <c r="B7479" s="1" t="str">
        <f>"44061"</f>
        <v>44061</v>
      </c>
      <c r="C7479" s="2">
        <v>9.1345077976093996E-4</v>
      </c>
      <c r="D7479" s="2">
        <v>4.2969088232747404E-3</v>
      </c>
      <c r="E7479" s="2">
        <v>5.0858232676414397E-5</v>
      </c>
      <c r="F7479" s="2">
        <v>1.1519583720243499E-3</v>
      </c>
    </row>
    <row r="7480" spans="1:6" x14ac:dyDescent="0.25">
      <c r="A7480" s="1" t="str">
        <f t="shared" si="263"/>
        <v>17460</v>
      </c>
      <c r="B7480" s="1" t="str">
        <f>"44073"</f>
        <v>44073</v>
      </c>
      <c r="C7480" s="2">
        <v>0</v>
      </c>
      <c r="D7480" s="2">
        <v>1.08234479175686E-5</v>
      </c>
      <c r="E7480" s="2">
        <v>0</v>
      </c>
      <c r="F7480" s="2">
        <v>8.5583831502552502E-7</v>
      </c>
    </row>
    <row r="7481" spans="1:6" x14ac:dyDescent="0.25">
      <c r="A7481" s="1" t="str">
        <f t="shared" si="263"/>
        <v>17460</v>
      </c>
      <c r="B7481" s="1" t="str">
        <f>"44859"</f>
        <v>44859</v>
      </c>
      <c r="C7481" s="2">
        <v>3.1830914183855303E-5</v>
      </c>
      <c r="D7481" s="2">
        <v>0</v>
      </c>
      <c r="E7481" s="2">
        <v>0</v>
      </c>
      <c r="F7481" s="2">
        <v>2.8242664395842299E-5</v>
      </c>
    </row>
    <row r="7482" spans="1:6" x14ac:dyDescent="0.25">
      <c r="A7482" s="1" t="str">
        <f t="shared" si="263"/>
        <v>17460</v>
      </c>
      <c r="B7482" s="1" t="str">
        <f>"44321"</f>
        <v>44321</v>
      </c>
      <c r="C7482" s="2">
        <v>3.6653779969287903E-5</v>
      </c>
      <c r="D7482" s="2">
        <v>2.16468958351372E-5</v>
      </c>
      <c r="E7482" s="2">
        <v>0</v>
      </c>
      <c r="F7482" s="2">
        <v>3.4233532601021001E-5</v>
      </c>
    </row>
    <row r="7483" spans="1:6" x14ac:dyDescent="0.25">
      <c r="A7483" s="1" t="str">
        <f t="shared" si="263"/>
        <v>17460</v>
      </c>
      <c r="B7483" s="1" t="str">
        <f>"44024"</f>
        <v>44024</v>
      </c>
      <c r="C7483" s="2">
        <v>9.6794916313632795E-3</v>
      </c>
      <c r="D7483" s="2">
        <v>9.0916962507576402E-3</v>
      </c>
      <c r="E7483" s="2">
        <v>6.3572790845518104E-3</v>
      </c>
      <c r="F7483" s="2">
        <v>9.5212012546589606E-3</v>
      </c>
    </row>
    <row r="7484" spans="1:6" x14ac:dyDescent="0.25">
      <c r="A7484" s="1" t="str">
        <f t="shared" si="263"/>
        <v>17460</v>
      </c>
      <c r="B7484" s="1" t="str">
        <f>"44060"</f>
        <v>44060</v>
      </c>
      <c r="C7484" s="2">
        <v>2.6386863285259E-2</v>
      </c>
      <c r="D7484" s="2">
        <v>3.4743267815395197E-2</v>
      </c>
      <c r="E7484" s="2">
        <v>2.10553083280356E-2</v>
      </c>
      <c r="F7484" s="2">
        <v>2.68681880619113E-2</v>
      </c>
    </row>
    <row r="7485" spans="1:6" x14ac:dyDescent="0.25">
      <c r="A7485" s="1" t="str">
        <f t="shared" si="263"/>
        <v>17460</v>
      </c>
      <c r="B7485" s="1" t="str">
        <f>"44001"</f>
        <v>44001</v>
      </c>
      <c r="C7485" s="2">
        <v>9.7055351066046205E-3</v>
      </c>
      <c r="D7485" s="2">
        <v>9.2540479695211696E-3</v>
      </c>
      <c r="E7485" s="2">
        <v>2.33947870311506E-3</v>
      </c>
      <c r="F7485" s="2">
        <v>9.421924010116E-3</v>
      </c>
    </row>
    <row r="7486" spans="1:6" x14ac:dyDescent="0.25">
      <c r="A7486" s="1" t="str">
        <f t="shared" si="263"/>
        <v>17460</v>
      </c>
      <c r="B7486" s="1" t="str">
        <f>"44036"</f>
        <v>44036</v>
      </c>
      <c r="C7486" s="2">
        <v>1.01473096125502E-3</v>
      </c>
      <c r="D7486" s="2">
        <v>3.2795047190232901E-3</v>
      </c>
      <c r="E7486" s="2">
        <v>5.0858232676414397E-5</v>
      </c>
      <c r="F7486" s="2">
        <v>1.16137259348963E-3</v>
      </c>
    </row>
    <row r="7487" spans="1:6" x14ac:dyDescent="0.25">
      <c r="A7487" s="1" t="str">
        <f t="shared" si="263"/>
        <v>17460</v>
      </c>
      <c r="B7487" s="1" t="str">
        <f>"44023"</f>
        <v>44023</v>
      </c>
      <c r="C7487" s="2">
        <v>7.6307382457115004E-3</v>
      </c>
      <c r="D7487" s="2">
        <v>9.4055762403671295E-3</v>
      </c>
      <c r="E7487" s="2">
        <v>3.0260648442466602E-3</v>
      </c>
      <c r="F7487" s="2">
        <v>7.6161051654121499E-3</v>
      </c>
    </row>
    <row r="7488" spans="1:6" x14ac:dyDescent="0.25">
      <c r="A7488" s="1" t="str">
        <f t="shared" si="263"/>
        <v>17460</v>
      </c>
      <c r="B7488" s="1" t="str">
        <f>"44053"</f>
        <v>44053</v>
      </c>
      <c r="C7488" s="2">
        <v>9.6302984003518704E-3</v>
      </c>
      <c r="D7488" s="2">
        <v>6.4615984067884604E-3</v>
      </c>
      <c r="E7488" s="2">
        <v>1.15956770502225E-2</v>
      </c>
      <c r="F7488" s="2">
        <v>9.4458874829367202E-3</v>
      </c>
    </row>
    <row r="7489" spans="1:6" x14ac:dyDescent="0.25">
      <c r="A7489" s="1" t="str">
        <f t="shared" si="263"/>
        <v>17460</v>
      </c>
      <c r="B7489" s="1" t="str">
        <f>"44054"</f>
        <v>44054</v>
      </c>
      <c r="C7489" s="2">
        <v>5.4334405938684001E-3</v>
      </c>
      <c r="D7489" s="2">
        <v>2.46774612520564E-3</v>
      </c>
      <c r="E7489" s="2">
        <v>2.54291163382072E-3</v>
      </c>
      <c r="F7489" s="2">
        <v>5.1016521958671497E-3</v>
      </c>
    </row>
    <row r="7490" spans="1:6" x14ac:dyDescent="0.25">
      <c r="A7490" s="1" t="str">
        <f t="shared" ref="A7490:A7521" si="264">"17460"</f>
        <v>17460</v>
      </c>
      <c r="B7490" s="1" t="str">
        <f>"44057"</f>
        <v>44057</v>
      </c>
      <c r="C7490" s="2">
        <v>8.5142872576027592E-3</v>
      </c>
      <c r="D7490" s="2">
        <v>6.1910122088492496E-3</v>
      </c>
      <c r="E7490" s="2">
        <v>2.64462809917355E-3</v>
      </c>
      <c r="F7490" s="2">
        <v>8.1330315076875593E-3</v>
      </c>
    </row>
    <row r="7491" spans="1:6" x14ac:dyDescent="0.25">
      <c r="A7491" s="1" t="str">
        <f t="shared" si="264"/>
        <v>17460</v>
      </c>
      <c r="B7491" s="1" t="str">
        <f>"44044"</f>
        <v>44044</v>
      </c>
      <c r="C7491" s="2">
        <v>4.7350896281377498E-3</v>
      </c>
      <c r="D7491" s="2">
        <v>2.8682136981556801E-3</v>
      </c>
      <c r="E7491" s="2">
        <v>8.9001907183725297E-4</v>
      </c>
      <c r="F7491" s="2">
        <v>4.4580617829679597E-3</v>
      </c>
    </row>
    <row r="7492" spans="1:6" x14ac:dyDescent="0.25">
      <c r="A7492" s="1" t="str">
        <f t="shared" si="264"/>
        <v>17460</v>
      </c>
      <c r="B7492" s="1" t="str">
        <f>"44274"</f>
        <v>44274</v>
      </c>
      <c r="C7492" s="2">
        <v>2.5464731347084199E-4</v>
      </c>
      <c r="D7492" s="2">
        <v>1.90492683349207E-3</v>
      </c>
      <c r="E7492" s="2">
        <v>5.0858232676414397E-5</v>
      </c>
      <c r="F7492" s="2">
        <v>3.78280535241282E-4</v>
      </c>
    </row>
    <row r="7493" spans="1:6" x14ac:dyDescent="0.25">
      <c r="A7493" s="1" t="str">
        <f t="shared" si="264"/>
        <v>17460</v>
      </c>
      <c r="B7493" s="1" t="str">
        <f>"44889"</f>
        <v>44889</v>
      </c>
      <c r="C7493" s="2">
        <v>2.79726215555092E-4</v>
      </c>
      <c r="D7493" s="2">
        <v>6.4940687505411703E-5</v>
      </c>
      <c r="E7493" s="2">
        <v>0</v>
      </c>
      <c r="F7493" s="2">
        <v>2.5332814124755498E-4</v>
      </c>
    </row>
    <row r="7494" spans="1:6" x14ac:dyDescent="0.25">
      <c r="A7494" s="1" t="str">
        <f t="shared" si="264"/>
        <v>17460</v>
      </c>
      <c r="B7494" s="1" t="str">
        <f>"44142"</f>
        <v>44142</v>
      </c>
      <c r="C7494" s="2">
        <v>7.8776689739256493E-3</v>
      </c>
      <c r="D7494" s="2">
        <v>6.1260715213438304E-3</v>
      </c>
      <c r="E7494" s="2">
        <v>4.55181182453909E-3</v>
      </c>
      <c r="F7494" s="2">
        <v>7.6272310635074796E-3</v>
      </c>
    </row>
    <row r="7495" spans="1:6" x14ac:dyDescent="0.25">
      <c r="A7495" s="1" t="str">
        <f t="shared" si="264"/>
        <v>17460</v>
      </c>
      <c r="B7495" s="1" t="str">
        <f>"44147"</f>
        <v>44147</v>
      </c>
      <c r="C7495" s="2">
        <v>8.6338943290814908E-3</v>
      </c>
      <c r="D7495" s="2">
        <v>8.6587583340548904E-3</v>
      </c>
      <c r="E7495" s="2">
        <v>8.9001907183725304E-3</v>
      </c>
      <c r="F7495" s="2">
        <v>8.6448228200728307E-3</v>
      </c>
    </row>
    <row r="7496" spans="1:6" x14ac:dyDescent="0.25">
      <c r="A7496" s="1" t="str">
        <f t="shared" si="264"/>
        <v>17460</v>
      </c>
      <c r="B7496" s="1" t="str">
        <f>"44110"</f>
        <v>44110</v>
      </c>
      <c r="C7496" s="2">
        <v>1.16211773965784E-2</v>
      </c>
      <c r="D7496" s="2">
        <v>1.03255693133604E-2</v>
      </c>
      <c r="E7496" s="2">
        <v>1.8359821996185601E-2</v>
      </c>
      <c r="F7496" s="2">
        <v>1.1745525035410299E-2</v>
      </c>
    </row>
    <row r="7497" spans="1:6" x14ac:dyDescent="0.25">
      <c r="A7497" s="1" t="str">
        <f t="shared" si="264"/>
        <v>17460</v>
      </c>
      <c r="B7497" s="1" t="str">
        <f>"44122"</f>
        <v>44122</v>
      </c>
      <c r="C7497" s="2">
        <v>1.7125996404071201E-2</v>
      </c>
      <c r="D7497" s="2">
        <v>3.3520218200710002E-2</v>
      </c>
      <c r="E7497" s="2">
        <v>1.9554990464081299E-2</v>
      </c>
      <c r="F7497" s="2">
        <v>1.8504080209166801E-2</v>
      </c>
    </row>
    <row r="7498" spans="1:6" x14ac:dyDescent="0.25">
      <c r="A7498" s="1" t="str">
        <f t="shared" si="264"/>
        <v>17460</v>
      </c>
      <c r="B7498" s="1" t="str">
        <f>"44124"</f>
        <v>44124</v>
      </c>
      <c r="C7498" s="2">
        <v>2.0976572447160599E-2</v>
      </c>
      <c r="D7498" s="2">
        <v>1.9893497272491099E-2</v>
      </c>
      <c r="E7498" s="2">
        <v>1.14431023521932E-2</v>
      </c>
      <c r="F7498" s="2">
        <v>2.0570073901638501E-2</v>
      </c>
    </row>
    <row r="7499" spans="1:6" x14ac:dyDescent="0.25">
      <c r="A7499" s="1" t="str">
        <f t="shared" si="264"/>
        <v>17460</v>
      </c>
      <c r="B7499" s="1" t="str">
        <f>"44049"</f>
        <v>44049</v>
      </c>
      <c r="C7499" s="2">
        <v>1.9291463141730501E-6</v>
      </c>
      <c r="D7499" s="2">
        <v>0</v>
      </c>
      <c r="E7499" s="2">
        <v>2.5429116338207199E-5</v>
      </c>
      <c r="F7499" s="2">
        <v>2.56751494507657E-6</v>
      </c>
    </row>
    <row r="7500" spans="1:6" x14ac:dyDescent="0.25">
      <c r="A7500" s="1" t="str">
        <f t="shared" si="264"/>
        <v>17460</v>
      </c>
      <c r="B7500" s="1" t="str">
        <f>"44851"</f>
        <v>44851</v>
      </c>
      <c r="C7500" s="2">
        <v>2.0545408245943001E-4</v>
      </c>
      <c r="D7500" s="2">
        <v>0</v>
      </c>
      <c r="E7500" s="2">
        <v>0</v>
      </c>
      <c r="F7500" s="2">
        <v>1.8229356110043601E-4</v>
      </c>
    </row>
    <row r="7501" spans="1:6" x14ac:dyDescent="0.25">
      <c r="A7501" s="1" t="str">
        <f t="shared" si="264"/>
        <v>17460</v>
      </c>
      <c r="B7501" s="1" t="str">
        <f>"44203"</f>
        <v>44203</v>
      </c>
      <c r="C7501" s="2">
        <v>4.1476645754720598E-5</v>
      </c>
      <c r="D7501" s="2">
        <v>0</v>
      </c>
      <c r="E7501" s="2">
        <v>0</v>
      </c>
      <c r="F7501" s="2">
        <v>3.68010475460975E-5</v>
      </c>
    </row>
    <row r="7502" spans="1:6" x14ac:dyDescent="0.25">
      <c r="A7502" s="1" t="str">
        <f t="shared" si="264"/>
        <v>17460</v>
      </c>
      <c r="B7502" s="1" t="str">
        <f>"44235"</f>
        <v>44235</v>
      </c>
      <c r="C7502" s="2">
        <v>5.4305468743971405E-4</v>
      </c>
      <c r="D7502" s="2">
        <v>3.2470343752705797E-5</v>
      </c>
      <c r="E7502" s="2">
        <v>2.5429116338207199E-5</v>
      </c>
      <c r="F7502" s="2">
        <v>4.8526032461947198E-4</v>
      </c>
    </row>
    <row r="7503" spans="1:6" x14ac:dyDescent="0.25">
      <c r="A7503" s="1" t="str">
        <f t="shared" si="264"/>
        <v>17460</v>
      </c>
      <c r="B7503" s="1" t="str">
        <f>"44134"</f>
        <v>44134</v>
      </c>
      <c r="C7503" s="2">
        <v>1.74491284116952E-2</v>
      </c>
      <c r="D7503" s="2">
        <v>1.0953329292579399E-2</v>
      </c>
      <c r="E7503" s="2">
        <v>6.5861411315956703E-3</v>
      </c>
      <c r="F7503" s="2">
        <v>1.6569885617209099E-2</v>
      </c>
    </row>
    <row r="7504" spans="1:6" x14ac:dyDescent="0.25">
      <c r="A7504" s="1" t="str">
        <f t="shared" si="264"/>
        <v>17460</v>
      </c>
      <c r="B7504" s="1" t="str">
        <f>"44136"</f>
        <v>44136</v>
      </c>
      <c r="C7504" s="2">
        <v>1.18314543448233E-2</v>
      </c>
      <c r="D7504" s="2">
        <v>1.6343406355528601E-2</v>
      </c>
      <c r="E7504" s="2">
        <v>5.9504132231404903E-3</v>
      </c>
      <c r="F7504" s="2">
        <v>1.19902947935076E-2</v>
      </c>
    </row>
    <row r="7505" spans="1:6" x14ac:dyDescent="0.25">
      <c r="A7505" s="1" t="str">
        <f t="shared" si="264"/>
        <v>17460</v>
      </c>
      <c r="B7505" s="1" t="str">
        <f>"44144"</f>
        <v>44144</v>
      </c>
      <c r="C7505" s="2">
        <v>1.0059533455255299E-2</v>
      </c>
      <c r="D7505" s="2">
        <v>5.3467832712788899E-3</v>
      </c>
      <c r="E7505" s="2">
        <v>7.3998728544183E-3</v>
      </c>
      <c r="F7505" s="2">
        <v>9.5973708646962409E-3</v>
      </c>
    </row>
    <row r="7506" spans="1:6" x14ac:dyDescent="0.25">
      <c r="A7506" s="1" t="str">
        <f t="shared" si="264"/>
        <v>17460</v>
      </c>
      <c r="B7506" s="1" t="str">
        <f>"44107"</f>
        <v>44107</v>
      </c>
      <c r="C7506" s="2">
        <v>2.9253574708120102E-2</v>
      </c>
      <c r="D7506" s="2">
        <v>1.9557970387046399E-2</v>
      </c>
      <c r="E7506" s="2">
        <v>4.5772409408773002E-2</v>
      </c>
      <c r="F7506" s="2">
        <v>2.9042873220391199E-2</v>
      </c>
    </row>
    <row r="7507" spans="1:6" x14ac:dyDescent="0.25">
      <c r="A7507" s="1" t="str">
        <f t="shared" si="264"/>
        <v>17460</v>
      </c>
      <c r="B7507" s="1" t="str">
        <f>"44109"</f>
        <v>44109</v>
      </c>
      <c r="C7507" s="2">
        <v>1.8987622597248201E-2</v>
      </c>
      <c r="D7507" s="2">
        <v>1.7079400813923201E-2</v>
      </c>
      <c r="E7507" s="2">
        <v>2.6064844246662399E-2</v>
      </c>
      <c r="F7507" s="2">
        <v>1.90749243652889E-2</v>
      </c>
    </row>
    <row r="7508" spans="1:6" x14ac:dyDescent="0.25">
      <c r="A7508" s="1" t="str">
        <f t="shared" si="264"/>
        <v>17460</v>
      </c>
      <c r="B7508" s="1" t="str">
        <f>"44115"</f>
        <v>44115</v>
      </c>
      <c r="C7508" s="2">
        <v>5.3090106566042296E-3</v>
      </c>
      <c r="D7508" s="2">
        <v>1.54558836262879E-2</v>
      </c>
      <c r="E7508" s="2">
        <v>9.9427844882390305E-3</v>
      </c>
      <c r="F7508" s="2">
        <v>6.26730398093192E-3</v>
      </c>
    </row>
    <row r="7509" spans="1:6" x14ac:dyDescent="0.25">
      <c r="A7509" s="1" t="str">
        <f t="shared" si="264"/>
        <v>17460</v>
      </c>
      <c r="B7509" s="1" t="str">
        <f>"44118"</f>
        <v>44118</v>
      </c>
      <c r="C7509" s="2">
        <v>1.88207514410722E-2</v>
      </c>
      <c r="D7509" s="2">
        <v>1.56615291367217E-2</v>
      </c>
      <c r="E7509" s="2">
        <v>2.8302606484424599E-2</v>
      </c>
      <c r="F7509" s="2">
        <v>1.8890063289243302E-2</v>
      </c>
    </row>
    <row r="7510" spans="1:6" x14ac:dyDescent="0.25">
      <c r="A7510" s="1" t="str">
        <f t="shared" si="264"/>
        <v>17460</v>
      </c>
      <c r="B7510" s="1" t="str">
        <f>"44126"</f>
        <v>44126</v>
      </c>
      <c r="C7510" s="2">
        <v>8.2008009815496396E-3</v>
      </c>
      <c r="D7510" s="2">
        <v>7.0568880422547404E-3</v>
      </c>
      <c r="E7510" s="2">
        <v>7.1201525746980203E-3</v>
      </c>
      <c r="F7510" s="2">
        <v>8.0739786639507996E-3</v>
      </c>
    </row>
    <row r="7511" spans="1:6" x14ac:dyDescent="0.25">
      <c r="A7511" s="1" t="str">
        <f t="shared" si="264"/>
        <v>17460</v>
      </c>
      <c r="B7511" s="1" t="str">
        <f>"44012"</f>
        <v>44012</v>
      </c>
      <c r="C7511" s="2">
        <v>1.03749488776226E-2</v>
      </c>
      <c r="D7511" s="2">
        <v>5.0220798337518302E-3</v>
      </c>
      <c r="E7511" s="2">
        <v>3.5092180546725999E-3</v>
      </c>
      <c r="F7511" s="2">
        <v>9.7206115820599095E-3</v>
      </c>
    </row>
    <row r="7512" spans="1:6" x14ac:dyDescent="0.25">
      <c r="A7512" s="1" t="str">
        <f t="shared" si="264"/>
        <v>17460</v>
      </c>
      <c r="B7512" s="1" t="str">
        <f>"44045"</f>
        <v>44045</v>
      </c>
      <c r="C7512" s="2">
        <v>2.2474554560116E-4</v>
      </c>
      <c r="D7512" s="2">
        <v>0</v>
      </c>
      <c r="E7512" s="2">
        <v>1.0934520025429101E-3</v>
      </c>
      <c r="F7512" s="2">
        <v>2.3621137494704499E-4</v>
      </c>
    </row>
    <row r="7513" spans="1:6" x14ac:dyDescent="0.25">
      <c r="A7513" s="1" t="str">
        <f t="shared" si="264"/>
        <v>17460</v>
      </c>
      <c r="B7513" s="1" t="str">
        <f>"44070"</f>
        <v>44070</v>
      </c>
      <c r="C7513" s="2">
        <v>1.4600743878818699E-2</v>
      </c>
      <c r="D7513" s="2">
        <v>1.5888821542990698E-2</v>
      </c>
      <c r="E7513" s="2">
        <v>1.2968849332485601E-2</v>
      </c>
      <c r="F7513" s="2">
        <v>1.46476727616618E-2</v>
      </c>
    </row>
    <row r="7514" spans="1:6" x14ac:dyDescent="0.25">
      <c r="A7514" s="1" t="str">
        <f t="shared" si="264"/>
        <v>17460</v>
      </c>
      <c r="B7514" s="1" t="str">
        <f>"44028"</f>
        <v>44028</v>
      </c>
      <c r="C7514" s="2">
        <v>3.5448063522929801E-3</v>
      </c>
      <c r="D7514" s="2">
        <v>3.73408953156117E-3</v>
      </c>
      <c r="E7514" s="2">
        <v>1.0934520025429101E-3</v>
      </c>
      <c r="F7514" s="2">
        <v>3.4772710739487001E-3</v>
      </c>
    </row>
    <row r="7515" spans="1:6" x14ac:dyDescent="0.25">
      <c r="A7515" s="1" t="str">
        <f t="shared" si="264"/>
        <v>17460</v>
      </c>
      <c r="B7515" s="1" t="str">
        <f>"44195"</f>
        <v>44195</v>
      </c>
      <c r="C7515" s="2">
        <v>0</v>
      </c>
      <c r="D7515" s="2">
        <v>2.16468958351372E-5</v>
      </c>
      <c r="E7515" s="2">
        <v>0</v>
      </c>
      <c r="F7515" s="2">
        <v>1.71167663005105E-6</v>
      </c>
    </row>
    <row r="7516" spans="1:6" x14ac:dyDescent="0.25">
      <c r="A7516" s="1" t="str">
        <f t="shared" si="264"/>
        <v>17460</v>
      </c>
      <c r="B7516" s="1" t="str">
        <f>"44033"</f>
        <v>44033</v>
      </c>
      <c r="C7516" s="2">
        <v>0</v>
      </c>
      <c r="D7516" s="2">
        <v>0</v>
      </c>
      <c r="E7516" s="2">
        <v>2.5429116338207199E-5</v>
      </c>
      <c r="F7516" s="2">
        <v>8.5583831502552502E-7</v>
      </c>
    </row>
    <row r="7517" spans="1:6" x14ac:dyDescent="0.25">
      <c r="A7517" s="1" t="str">
        <f t="shared" si="264"/>
        <v>17460</v>
      </c>
      <c r="B7517" s="1" t="str">
        <f>"44080"</f>
        <v>44080</v>
      </c>
      <c r="C7517" s="2">
        <v>9.6457315708652609E-7</v>
      </c>
      <c r="D7517" s="2">
        <v>0</v>
      </c>
      <c r="E7517" s="2">
        <v>2.5429116338207199E-5</v>
      </c>
      <c r="F7517" s="2">
        <v>1.71167663005105E-6</v>
      </c>
    </row>
    <row r="7518" spans="1:6" x14ac:dyDescent="0.25">
      <c r="A7518" s="1" t="str">
        <f t="shared" si="264"/>
        <v>17460</v>
      </c>
      <c r="B7518" s="1" t="str">
        <f>"44333"</f>
        <v>44333</v>
      </c>
      <c r="C7518" s="2">
        <v>6.2697255210624104E-5</v>
      </c>
      <c r="D7518" s="2">
        <v>0</v>
      </c>
      <c r="E7518" s="2">
        <v>0</v>
      </c>
      <c r="F7518" s="2">
        <v>5.5629490476659103E-5</v>
      </c>
    </row>
    <row r="7519" spans="1:6" x14ac:dyDescent="0.25">
      <c r="A7519" s="1" t="str">
        <f t="shared" si="264"/>
        <v>17460</v>
      </c>
      <c r="B7519" s="1" t="str">
        <f>"44199"</f>
        <v>44199</v>
      </c>
      <c r="C7519" s="2">
        <v>0</v>
      </c>
      <c r="D7519" s="2">
        <v>0</v>
      </c>
      <c r="E7519" s="2">
        <v>7.8830260648442404E-4</v>
      </c>
      <c r="F7519" s="2">
        <v>2.65309877657912E-5</v>
      </c>
    </row>
    <row r="7520" spans="1:6" x14ac:dyDescent="0.25">
      <c r="A7520" s="1" t="str">
        <f t="shared" si="264"/>
        <v>17460</v>
      </c>
      <c r="B7520" s="1" t="str">
        <f>"44215"</f>
        <v>44215</v>
      </c>
      <c r="C7520" s="2">
        <v>1.0369161438680101E-3</v>
      </c>
      <c r="D7520" s="2">
        <v>1.5152827084596E-4</v>
      </c>
      <c r="E7520" s="2">
        <v>3.81436745073108E-4</v>
      </c>
      <c r="F7520" s="2">
        <v>9.4484549978817996E-4</v>
      </c>
    </row>
    <row r="7521" spans="1:6" x14ac:dyDescent="0.25">
      <c r="A7521" s="1" t="str">
        <f t="shared" si="264"/>
        <v>17460</v>
      </c>
      <c r="B7521" s="1" t="str">
        <f>"44138"</f>
        <v>44138</v>
      </c>
      <c r="C7521" s="2">
        <v>1.0699045458403699E-2</v>
      </c>
      <c r="D7521" s="2">
        <v>2.4028054377002298E-3</v>
      </c>
      <c r="E7521" s="2">
        <v>5.49268912905276E-3</v>
      </c>
      <c r="F7521" s="2">
        <v>9.8678157722443E-3</v>
      </c>
    </row>
    <row r="7522" spans="1:6" x14ac:dyDescent="0.25">
      <c r="A7522" s="1" t="str">
        <f t="shared" ref="A7522:A7553" si="265">"17460"</f>
        <v>17460</v>
      </c>
      <c r="B7522" s="1" t="str">
        <f>"44145"</f>
        <v>44145</v>
      </c>
      <c r="C7522" s="2">
        <v>1.5706144716839902E-2</v>
      </c>
      <c r="D7522" s="2">
        <v>2.4406875054117198E-2</v>
      </c>
      <c r="E7522" s="2">
        <v>2.0063572790845498E-2</v>
      </c>
      <c r="F7522" s="2">
        <v>1.6540787114498301E-2</v>
      </c>
    </row>
    <row r="7523" spans="1:6" x14ac:dyDescent="0.25">
      <c r="A7523" s="1" t="str">
        <f t="shared" si="265"/>
        <v>17460</v>
      </c>
      <c r="B7523" s="1" t="str">
        <f>"44233"</f>
        <v>44233</v>
      </c>
      <c r="C7523" s="2">
        <v>3.26122184410954E-3</v>
      </c>
      <c r="D7523" s="2">
        <v>4.1562040003463498E-3</v>
      </c>
      <c r="E7523" s="2">
        <v>1.0680228862047E-3</v>
      </c>
      <c r="F7523" s="2">
        <v>3.2581764653021698E-3</v>
      </c>
    </row>
    <row r="7524" spans="1:6" x14ac:dyDescent="0.25">
      <c r="A7524" s="1" t="str">
        <f t="shared" si="265"/>
        <v>17460</v>
      </c>
      <c r="B7524" s="1" t="str">
        <f>"44108"</f>
        <v>44108</v>
      </c>
      <c r="C7524" s="2">
        <v>1.41522173607735E-2</v>
      </c>
      <c r="D7524" s="2">
        <v>6.7430080526452501E-3</v>
      </c>
      <c r="E7524" s="2">
        <v>1.5969485060394101E-2</v>
      </c>
      <c r="F7524" s="2">
        <v>1.3627513490151399E-2</v>
      </c>
    </row>
    <row r="7525" spans="1:6" x14ac:dyDescent="0.25">
      <c r="A7525" s="1" t="str">
        <f t="shared" si="265"/>
        <v>17460</v>
      </c>
      <c r="B7525" s="1" t="str">
        <f>"44111"</f>
        <v>44111</v>
      </c>
      <c r="C7525" s="2">
        <v>1.9182466374979699E-2</v>
      </c>
      <c r="D7525" s="2">
        <v>1.49796519179149E-2</v>
      </c>
      <c r="E7525" s="2">
        <v>1.8690400508582301E-2</v>
      </c>
      <c r="F7525" s="2">
        <v>1.8833577960451701E-2</v>
      </c>
    </row>
    <row r="7526" spans="1:6" x14ac:dyDescent="0.25">
      <c r="A7526" s="1" t="str">
        <f t="shared" si="265"/>
        <v>17460</v>
      </c>
      <c r="B7526" s="1" t="str">
        <f>"44112"</f>
        <v>44112</v>
      </c>
      <c r="C7526" s="2">
        <v>1.5111003078917501E-2</v>
      </c>
      <c r="D7526" s="2">
        <v>1.1386267209282101E-2</v>
      </c>
      <c r="E7526" s="2">
        <v>2.3191354100445E-2</v>
      </c>
      <c r="F7526" s="2">
        <v>1.5088429493899999E-2</v>
      </c>
    </row>
    <row r="7527" spans="1:6" x14ac:dyDescent="0.25">
      <c r="A7527" s="1" t="str">
        <f t="shared" si="265"/>
        <v>17460</v>
      </c>
      <c r="B7527" s="1" t="str">
        <f>"44120"</f>
        <v>44120</v>
      </c>
      <c r="C7527" s="2">
        <v>2.2777430531441201E-2</v>
      </c>
      <c r="D7527" s="2">
        <v>1.39947181574162E-2</v>
      </c>
      <c r="E7527" s="2">
        <v>4.0406865861411297E-2</v>
      </c>
      <c r="F7527" s="2">
        <v>2.26762919949163E-2</v>
      </c>
    </row>
    <row r="7528" spans="1:6" x14ac:dyDescent="0.25">
      <c r="A7528" s="1" t="str">
        <f t="shared" si="265"/>
        <v>17460</v>
      </c>
      <c r="B7528" s="1" t="str">
        <f>"44104"</f>
        <v>44104</v>
      </c>
      <c r="C7528" s="2">
        <v>1.10877684407096E-2</v>
      </c>
      <c r="D7528" s="2">
        <v>8.4855831673737898E-3</v>
      </c>
      <c r="E7528" s="2">
        <v>2.4335664335664298E-2</v>
      </c>
      <c r="F7528" s="2">
        <v>1.1327875937677799E-2</v>
      </c>
    </row>
    <row r="7529" spans="1:6" x14ac:dyDescent="0.25">
      <c r="A7529" s="1" t="str">
        <f t="shared" si="265"/>
        <v>17460</v>
      </c>
      <c r="B7529" s="1" t="str">
        <f>"44096"</f>
        <v>44096</v>
      </c>
      <c r="C7529" s="2">
        <v>6.3661828367710701E-4</v>
      </c>
      <c r="D7529" s="2">
        <v>3.0738592085894799E-3</v>
      </c>
      <c r="E7529" s="2">
        <v>5.0858232676414397E-5</v>
      </c>
      <c r="F7529" s="2">
        <v>8.0962304601414701E-4</v>
      </c>
    </row>
    <row r="7530" spans="1:6" x14ac:dyDescent="0.25">
      <c r="A7530" s="1" t="str">
        <f t="shared" si="265"/>
        <v>17460</v>
      </c>
      <c r="B7530" s="1" t="str">
        <f>"44101"</f>
        <v>44101</v>
      </c>
      <c r="C7530" s="2">
        <v>1.62627034284788E-3</v>
      </c>
      <c r="D7530" s="2">
        <v>6.5048921984587399E-3</v>
      </c>
      <c r="E7530" s="2">
        <v>4.5772409408773002E-4</v>
      </c>
      <c r="F7530" s="2">
        <v>1.9727073161338298E-3</v>
      </c>
    </row>
    <row r="7531" spans="1:6" x14ac:dyDescent="0.25">
      <c r="A7531" s="1" t="str">
        <f t="shared" si="265"/>
        <v>17460</v>
      </c>
      <c r="B7531" s="1" t="str">
        <f>"44039"</f>
        <v>44039</v>
      </c>
      <c r="C7531" s="2">
        <v>1.49634233858832E-2</v>
      </c>
      <c r="D7531" s="2">
        <v>8.8211100528184198E-3</v>
      </c>
      <c r="E7531" s="2">
        <v>2.8226319135410002E-3</v>
      </c>
      <c r="F7531" s="2">
        <v>1.4069126060704601E-2</v>
      </c>
    </row>
    <row r="7532" spans="1:6" x14ac:dyDescent="0.25">
      <c r="A7532" s="1" t="str">
        <f t="shared" si="265"/>
        <v>17460</v>
      </c>
      <c r="B7532" s="1" t="str">
        <f>"44055"</f>
        <v>44055</v>
      </c>
      <c r="C7532" s="2">
        <v>8.3638138450972607E-3</v>
      </c>
      <c r="D7532" s="2">
        <v>5.3900770629491702E-3</v>
      </c>
      <c r="E7532" s="2">
        <v>8.2644628099173504E-3</v>
      </c>
      <c r="F7532" s="2">
        <v>8.1253289628523302E-3</v>
      </c>
    </row>
    <row r="7533" spans="1:6" x14ac:dyDescent="0.25">
      <c r="A7533" s="1" t="str">
        <f t="shared" si="265"/>
        <v>17460</v>
      </c>
      <c r="B7533" s="1" t="str">
        <f>"44011"</f>
        <v>44011</v>
      </c>
      <c r="C7533" s="2">
        <v>9.3187412706129194E-3</v>
      </c>
      <c r="D7533" s="2">
        <v>1.04446272404537E-2</v>
      </c>
      <c r="E7533" s="2">
        <v>2.33947870311506E-3</v>
      </c>
      <c r="F7533" s="2">
        <v>9.1728750604435794E-3</v>
      </c>
    </row>
    <row r="7534" spans="1:6" x14ac:dyDescent="0.25">
      <c r="A7534" s="1" t="str">
        <f t="shared" si="265"/>
        <v>17460</v>
      </c>
      <c r="B7534" s="1" t="str">
        <f>"44050"</f>
        <v>44050</v>
      </c>
      <c r="C7534" s="2">
        <v>2.5956663657198402E-3</v>
      </c>
      <c r="D7534" s="2">
        <v>1.3312840938609399E-3</v>
      </c>
      <c r="E7534" s="2">
        <v>1.1951684678957401E-3</v>
      </c>
      <c r="F7534" s="2">
        <v>2.4485534192880201E-3</v>
      </c>
    </row>
    <row r="7535" spans="1:6" x14ac:dyDescent="0.25">
      <c r="A7535" s="1" t="str">
        <f t="shared" si="265"/>
        <v>17460</v>
      </c>
      <c r="B7535" s="1" t="str">
        <f>"44081"</f>
        <v>44081</v>
      </c>
      <c r="C7535" s="2">
        <v>2.6998402666851798E-3</v>
      </c>
      <c r="D7535" s="2">
        <v>2.2837475106069699E-3</v>
      </c>
      <c r="E7535" s="2">
        <v>1.2460267005721499E-3</v>
      </c>
      <c r="F7535" s="2">
        <v>2.6180094056630801E-3</v>
      </c>
    </row>
    <row r="7536" spans="1:6" x14ac:dyDescent="0.25">
      <c r="A7536" s="1" t="str">
        <f t="shared" si="265"/>
        <v>17460</v>
      </c>
      <c r="B7536" s="1" t="str">
        <f>"44287"</f>
        <v>44287</v>
      </c>
      <c r="C7536" s="2">
        <v>1.3311109567794001E-4</v>
      </c>
      <c r="D7536" s="2">
        <v>2.16468958351372E-5</v>
      </c>
      <c r="E7536" s="2">
        <v>5.0858232676414397E-5</v>
      </c>
      <c r="F7536" s="2">
        <v>1.21529040733624E-4</v>
      </c>
    </row>
    <row r="7537" spans="1:6" x14ac:dyDescent="0.25">
      <c r="A7537" s="1" t="str">
        <f t="shared" si="265"/>
        <v>17460</v>
      </c>
      <c r="B7537" s="1" t="str">
        <f>"44099"</f>
        <v>44099</v>
      </c>
      <c r="C7537" s="2">
        <v>1.14784205693296E-4</v>
      </c>
      <c r="D7537" s="2">
        <v>0</v>
      </c>
      <c r="E7537" s="2">
        <v>5.0858232676414397E-5</v>
      </c>
      <c r="F7537" s="2">
        <v>1.03556436118088E-4</v>
      </c>
    </row>
    <row r="7538" spans="1:6" x14ac:dyDescent="0.25">
      <c r="A7538" s="1" t="str">
        <f t="shared" si="265"/>
        <v>17460</v>
      </c>
      <c r="B7538" s="1" t="str">
        <f>"44275"</f>
        <v>44275</v>
      </c>
      <c r="C7538" s="2">
        <v>1.26166168946917E-3</v>
      </c>
      <c r="D7538" s="2">
        <v>2.0564551043380301E-4</v>
      </c>
      <c r="E7538" s="2">
        <v>2.0343293070565699E-4</v>
      </c>
      <c r="F7538" s="2">
        <v>1.1425441505590701E-3</v>
      </c>
    </row>
    <row r="7539" spans="1:6" x14ac:dyDescent="0.25">
      <c r="A7539" s="1" t="str">
        <f t="shared" si="265"/>
        <v>17460</v>
      </c>
      <c r="B7539" s="1" t="str">
        <f>"44046"</f>
        <v>44046</v>
      </c>
      <c r="C7539" s="2">
        <v>7.2825273360032695E-4</v>
      </c>
      <c r="D7539" s="2">
        <v>1.19057927093254E-4</v>
      </c>
      <c r="E7539" s="2">
        <v>1.7800381436745E-4</v>
      </c>
      <c r="F7539" s="2">
        <v>6.6156301751473098E-4</v>
      </c>
    </row>
    <row r="7540" spans="1:6" x14ac:dyDescent="0.25">
      <c r="A7540" s="1" t="str">
        <f t="shared" si="265"/>
        <v>17460</v>
      </c>
      <c r="B7540" s="1" t="str">
        <f>"44041"</f>
        <v>44041</v>
      </c>
      <c r="C7540" s="2">
        <v>6.3661828367710701E-5</v>
      </c>
      <c r="D7540" s="2">
        <v>2.16468958351372E-5</v>
      </c>
      <c r="E7540" s="2">
        <v>0</v>
      </c>
      <c r="F7540" s="2">
        <v>5.8197005421735698E-5</v>
      </c>
    </row>
    <row r="7541" spans="1:6" x14ac:dyDescent="0.25">
      <c r="A7541" s="1" t="str">
        <f t="shared" si="265"/>
        <v>17460</v>
      </c>
      <c r="B7541" s="1" t="str">
        <f>"44089"</f>
        <v>44089</v>
      </c>
      <c r="C7541" s="2">
        <v>3.04515745692216E-3</v>
      </c>
      <c r="D7541" s="2">
        <v>1.6559875313879901E-3</v>
      </c>
      <c r="E7541" s="2">
        <v>1.2460267005721499E-3</v>
      </c>
      <c r="F7541" s="2">
        <v>2.8747609001707301E-3</v>
      </c>
    </row>
    <row r="7542" spans="1:6" x14ac:dyDescent="0.25">
      <c r="A7542" s="1" t="str">
        <f t="shared" si="265"/>
        <v>17460</v>
      </c>
      <c r="B7542" s="1" t="str">
        <f>"44092"</f>
        <v>44092</v>
      </c>
      <c r="C7542" s="2">
        <v>8.8721438988818603E-3</v>
      </c>
      <c r="D7542" s="2">
        <v>9.6112217508009298E-3</v>
      </c>
      <c r="E7542" s="2">
        <v>3.9923712650985297E-3</v>
      </c>
      <c r="F7542" s="2">
        <v>8.7663518608064508E-3</v>
      </c>
    </row>
    <row r="7543" spans="1:6" x14ac:dyDescent="0.25">
      <c r="A7543" s="1" t="str">
        <f t="shared" si="265"/>
        <v>17460</v>
      </c>
      <c r="B7543" s="1" t="str">
        <f>"44130"</f>
        <v>44130</v>
      </c>
      <c r="C7543" s="2">
        <v>2.42676960591399E-2</v>
      </c>
      <c r="D7543" s="2">
        <v>2.70910901376742E-2</v>
      </c>
      <c r="E7543" s="2">
        <v>3.2294977749523203E-2</v>
      </c>
      <c r="F7543" s="2">
        <v>2.47611141303185E-2</v>
      </c>
    </row>
    <row r="7544" spans="1:6" x14ac:dyDescent="0.25">
      <c r="A7544" s="1" t="str">
        <f t="shared" si="265"/>
        <v>17460</v>
      </c>
      <c r="B7544" s="1" t="str">
        <f>"44143"</f>
        <v>44143</v>
      </c>
      <c r="C7544" s="2">
        <v>1.3300499263066101E-2</v>
      </c>
      <c r="D7544" s="2">
        <v>1.23603775218633E-2</v>
      </c>
      <c r="E7544" s="2">
        <v>9.4596312778130898E-3</v>
      </c>
      <c r="F7544" s="2">
        <v>1.30968937348356E-2</v>
      </c>
    </row>
    <row r="7545" spans="1:6" x14ac:dyDescent="0.25">
      <c r="A7545" s="1" t="str">
        <f t="shared" si="265"/>
        <v>17460</v>
      </c>
      <c r="B7545" s="1" t="str">
        <f>"44146"</f>
        <v>44146</v>
      </c>
      <c r="C7545" s="2">
        <v>1.7251390914492501E-2</v>
      </c>
      <c r="D7545" s="2">
        <v>2.2090657199757498E-2</v>
      </c>
      <c r="E7545" s="2">
        <v>1.7190082644627999E-2</v>
      </c>
      <c r="F7545" s="2">
        <v>1.76319809661558E-2</v>
      </c>
    </row>
    <row r="7546" spans="1:6" x14ac:dyDescent="0.25">
      <c r="A7546" s="1" t="str">
        <f t="shared" si="265"/>
        <v>17460</v>
      </c>
      <c r="B7546" s="1" t="str">
        <f>"44131"</f>
        <v>44131</v>
      </c>
      <c r="C7546" s="2">
        <v>9.2039570649196292E-3</v>
      </c>
      <c r="D7546" s="2">
        <v>2.04454931162871E-2</v>
      </c>
      <c r="E7546" s="2">
        <v>6.2809917355371898E-3</v>
      </c>
      <c r="F7546" s="2">
        <v>9.9944798428680797E-3</v>
      </c>
    </row>
    <row r="7547" spans="1:6" x14ac:dyDescent="0.25">
      <c r="A7547" s="1" t="str">
        <f t="shared" si="265"/>
        <v>17460</v>
      </c>
      <c r="B7547" s="1" t="str">
        <f>"44181"</f>
        <v>44181</v>
      </c>
      <c r="C7547" s="2">
        <v>6.8388236837434602E-4</v>
      </c>
      <c r="D7547" s="2">
        <v>1.98069096891505E-3</v>
      </c>
      <c r="E7547" s="2">
        <v>5.0858232676414397E-5</v>
      </c>
      <c r="F7547" s="2">
        <v>7.65119453632819E-4</v>
      </c>
    </row>
    <row r="7548" spans="1:6" x14ac:dyDescent="0.25">
      <c r="A7548" s="1" t="str">
        <f t="shared" si="265"/>
        <v>17460</v>
      </c>
      <c r="B7548" s="1" t="str">
        <f>"44105"</f>
        <v>44105</v>
      </c>
      <c r="C7548" s="2">
        <v>1.9178608082351299E-2</v>
      </c>
      <c r="D7548" s="2">
        <v>1.4027188501168899E-2</v>
      </c>
      <c r="E7548" s="2">
        <v>2.7005721551176001E-2</v>
      </c>
      <c r="F7548" s="2">
        <v>1.9034699964482701E-2</v>
      </c>
    </row>
    <row r="7549" spans="1:6" x14ac:dyDescent="0.25">
      <c r="A7549" s="1" t="str">
        <f t="shared" si="265"/>
        <v>17460</v>
      </c>
      <c r="B7549" s="1" t="str">
        <f>"44116"</f>
        <v>44116</v>
      </c>
      <c r="C7549" s="2">
        <v>1.0788750762012699E-2</v>
      </c>
      <c r="D7549" s="2">
        <v>1.3356134730279599E-2</v>
      </c>
      <c r="E7549" s="2">
        <v>1.14685314685314E-2</v>
      </c>
      <c r="F7549" s="2">
        <v>1.1014639114378499E-2</v>
      </c>
    </row>
    <row r="7550" spans="1:6" x14ac:dyDescent="0.25">
      <c r="A7550" s="1" t="str">
        <f t="shared" si="265"/>
        <v>17460</v>
      </c>
      <c r="B7550" s="1" t="str">
        <f>"44022"</f>
        <v>44022</v>
      </c>
      <c r="C7550" s="2">
        <v>7.5825095878571799E-3</v>
      </c>
      <c r="D7550" s="2">
        <v>9.4272231362022597E-3</v>
      </c>
      <c r="E7550" s="2">
        <v>7.8321678321678304E-3</v>
      </c>
      <c r="F7550" s="2">
        <v>7.7367783678307404E-3</v>
      </c>
    </row>
    <row r="7551" spans="1:6" x14ac:dyDescent="0.25">
      <c r="A7551" s="1" t="str">
        <f t="shared" si="265"/>
        <v>17460</v>
      </c>
      <c r="B7551" s="1" t="str">
        <f>"44040"</f>
        <v>44040</v>
      </c>
      <c r="C7551" s="2">
        <v>1.93686289942974E-3</v>
      </c>
      <c r="D7551" s="2">
        <v>1.2230496146852501E-3</v>
      </c>
      <c r="E7551" s="2">
        <v>1.7800381436745E-4</v>
      </c>
      <c r="F7551" s="2">
        <v>1.82122393437431E-3</v>
      </c>
    </row>
    <row r="7552" spans="1:6" x14ac:dyDescent="0.25">
      <c r="A7552" s="1" t="str">
        <f t="shared" si="265"/>
        <v>17460</v>
      </c>
      <c r="B7552" s="1" t="str">
        <f>"44062"</f>
        <v>44062</v>
      </c>
      <c r="C7552" s="2">
        <v>3.7570124468520099E-3</v>
      </c>
      <c r="D7552" s="2">
        <v>4.17785089618148E-3</v>
      </c>
      <c r="E7552" s="2">
        <v>3.1023521932612799E-3</v>
      </c>
      <c r="F7552" s="2">
        <v>3.7682561010573801E-3</v>
      </c>
    </row>
    <row r="7553" spans="1:6" x14ac:dyDescent="0.25">
      <c r="A7553" s="1" t="str">
        <f t="shared" si="265"/>
        <v>17460</v>
      </c>
      <c r="B7553" s="1" t="str">
        <f>"44026"</f>
        <v>44026</v>
      </c>
      <c r="C7553" s="2">
        <v>5.09294626941685E-3</v>
      </c>
      <c r="D7553" s="2">
        <v>8.0201749069183405E-3</v>
      </c>
      <c r="E7553" s="2">
        <v>2.1106166560712E-3</v>
      </c>
      <c r="F7553" s="2">
        <v>5.2240370749158001E-3</v>
      </c>
    </row>
    <row r="7554" spans="1:6" x14ac:dyDescent="0.25">
      <c r="A7554" s="1" t="str">
        <f t="shared" ref="A7554:A7584" si="266">"17460"</f>
        <v>17460</v>
      </c>
      <c r="B7554" s="1" t="str">
        <f>"44021"</f>
        <v>44021</v>
      </c>
      <c r="C7554" s="2">
        <v>2.3178692964789202E-3</v>
      </c>
      <c r="D7554" s="2">
        <v>9.8493376049874396E-4</v>
      </c>
      <c r="E7554" s="2">
        <v>1.5003178639542199E-3</v>
      </c>
      <c r="F7554" s="2">
        <v>2.1849552182601601E-3</v>
      </c>
    </row>
    <row r="7555" spans="1:6" x14ac:dyDescent="0.25">
      <c r="A7555" s="1" t="str">
        <f t="shared" si="266"/>
        <v>17460</v>
      </c>
      <c r="B7555" s="1" t="str">
        <f>"44074"</f>
        <v>44074</v>
      </c>
      <c r="C7555" s="2">
        <v>4.5257772530499802E-3</v>
      </c>
      <c r="D7555" s="2">
        <v>4.5458481253788201E-3</v>
      </c>
      <c r="E7555" s="2">
        <v>4.2975206611570197E-3</v>
      </c>
      <c r="F7555" s="2">
        <v>4.5196821416497897E-3</v>
      </c>
    </row>
    <row r="7556" spans="1:6" x14ac:dyDescent="0.25">
      <c r="A7556" s="1" t="str">
        <f t="shared" si="266"/>
        <v>17460</v>
      </c>
      <c r="B7556" s="1" t="str">
        <f>"44090"</f>
        <v>44090</v>
      </c>
      <c r="C7556" s="2">
        <v>4.6646757876704402E-3</v>
      </c>
      <c r="D7556" s="2">
        <v>3.0846826565070502E-3</v>
      </c>
      <c r="E7556" s="2">
        <v>4.8315321042593697E-3</v>
      </c>
      <c r="F7556" s="2">
        <v>4.5453572911005602E-3</v>
      </c>
    </row>
    <row r="7557" spans="1:6" x14ac:dyDescent="0.25">
      <c r="A7557" s="1" t="str">
        <f t="shared" si="266"/>
        <v>17460</v>
      </c>
      <c r="B7557" s="1" t="str">
        <f>"44064"</f>
        <v>44064</v>
      </c>
      <c r="C7557" s="2">
        <v>6.7713035627474101E-4</v>
      </c>
      <c r="D7557" s="2">
        <v>3.5717378127976399E-4</v>
      </c>
      <c r="E7557" s="2">
        <v>2.5429116338207199E-5</v>
      </c>
      <c r="F7557" s="2">
        <v>6.2989699985878595E-4</v>
      </c>
    </row>
    <row r="7558" spans="1:6" x14ac:dyDescent="0.25">
      <c r="A7558" s="1" t="str">
        <f t="shared" si="266"/>
        <v>17460</v>
      </c>
      <c r="B7558" s="1" t="str">
        <f>"44256"</f>
        <v>44256</v>
      </c>
      <c r="C7558" s="2">
        <v>2.62904059695503E-2</v>
      </c>
      <c r="D7558" s="2">
        <v>2.4764048835396998E-2</v>
      </c>
      <c r="E7558" s="2">
        <v>2.4844246662428401E-2</v>
      </c>
      <c r="F7558" s="2">
        <v>2.6121041212893999E-2</v>
      </c>
    </row>
    <row r="7559" spans="1:6" x14ac:dyDescent="0.25">
      <c r="A7559" s="1" t="str">
        <f t="shared" si="266"/>
        <v>17460</v>
      </c>
      <c r="B7559" s="1" t="str">
        <f>"44273"</f>
        <v>44273</v>
      </c>
      <c r="C7559" s="2">
        <v>2.7538563634820299E-3</v>
      </c>
      <c r="D7559" s="2">
        <v>2.1430426876785798E-3</v>
      </c>
      <c r="E7559" s="2">
        <v>1.5003178639542199E-3</v>
      </c>
      <c r="F7559" s="2">
        <v>2.6633688363594298E-3</v>
      </c>
    </row>
    <row r="7560" spans="1:6" x14ac:dyDescent="0.25">
      <c r="A7560" s="1" t="str">
        <f t="shared" si="266"/>
        <v>17460</v>
      </c>
      <c r="B7560" s="1" t="str">
        <f>"44270"</f>
        <v>44270</v>
      </c>
      <c r="C7560" s="2">
        <v>2.58505606099188E-4</v>
      </c>
      <c r="D7560" s="2">
        <v>4.3293791670274401E-5</v>
      </c>
      <c r="E7560" s="2">
        <v>5.0858232676414397E-5</v>
      </c>
      <c r="F7560" s="2">
        <v>2.3449969831699301E-4</v>
      </c>
    </row>
    <row r="7561" spans="1:6" x14ac:dyDescent="0.25">
      <c r="A7561" s="1" t="str">
        <f t="shared" si="266"/>
        <v>17460</v>
      </c>
      <c r="B7561" s="1" t="str">
        <f>"44254"</f>
        <v>44254</v>
      </c>
      <c r="C7561" s="2">
        <v>2.1857227739580602E-3</v>
      </c>
      <c r="D7561" s="2">
        <v>1.7642220105636801E-3</v>
      </c>
      <c r="E7561" s="2">
        <v>1.85632549268912E-3</v>
      </c>
      <c r="F7561" s="2">
        <v>2.1413074641938598E-3</v>
      </c>
    </row>
    <row r="7562" spans="1:6" x14ac:dyDescent="0.25">
      <c r="A7562" s="1" t="str">
        <f t="shared" si="266"/>
        <v>17460</v>
      </c>
      <c r="B7562" s="1" t="str">
        <f>"44880"</f>
        <v>44880</v>
      </c>
      <c r="C7562" s="2">
        <v>9.5492742551565998E-5</v>
      </c>
      <c r="D7562" s="2">
        <v>1.08234479175686E-5</v>
      </c>
      <c r="E7562" s="2">
        <v>0</v>
      </c>
      <c r="F7562" s="2">
        <v>8.5583831502552505E-5</v>
      </c>
    </row>
    <row r="7563" spans="1:6" x14ac:dyDescent="0.25">
      <c r="A7563" s="1" t="str">
        <f t="shared" si="266"/>
        <v>17460</v>
      </c>
      <c r="B7563" s="1" t="str">
        <f>"44217"</f>
        <v>44217</v>
      </c>
      <c r="C7563" s="2">
        <v>1.4468597356297801E-4</v>
      </c>
      <c r="D7563" s="2">
        <v>3.2470343752705797E-5</v>
      </c>
      <c r="E7563" s="2">
        <v>0</v>
      </c>
      <c r="F7563" s="2">
        <v>1.3094326219890501E-4</v>
      </c>
    </row>
    <row r="7564" spans="1:6" x14ac:dyDescent="0.25">
      <c r="A7564" s="1" t="str">
        <f t="shared" si="266"/>
        <v>17460</v>
      </c>
      <c r="B7564" s="1" t="str">
        <f>"44230"</f>
        <v>44230</v>
      </c>
      <c r="C7564" s="2">
        <v>1.3407566883502699E-4</v>
      </c>
      <c r="D7564" s="2">
        <v>0</v>
      </c>
      <c r="E7564" s="2">
        <v>0</v>
      </c>
      <c r="F7564" s="2">
        <v>1.18961525788548E-4</v>
      </c>
    </row>
    <row r="7565" spans="1:6" x14ac:dyDescent="0.25">
      <c r="A7565" s="1" t="str">
        <f t="shared" si="266"/>
        <v>17460</v>
      </c>
      <c r="B7565" s="1" t="str">
        <f>"44491"</f>
        <v>44491</v>
      </c>
      <c r="C7565" s="2">
        <v>2.0545408245943001E-4</v>
      </c>
      <c r="D7565" s="2">
        <v>6.4940687505411703E-5</v>
      </c>
      <c r="E7565" s="2">
        <v>5.0858232676414397E-5</v>
      </c>
      <c r="F7565" s="2">
        <v>1.89140267620641E-4</v>
      </c>
    </row>
    <row r="7566" spans="1:6" x14ac:dyDescent="0.25">
      <c r="A7566" s="1" t="str">
        <f t="shared" si="266"/>
        <v>17460</v>
      </c>
      <c r="B7566" s="1" t="str">
        <f>"44072"</f>
        <v>44072</v>
      </c>
      <c r="C7566" s="2">
        <v>1.89152796104667E-3</v>
      </c>
      <c r="D7566" s="2">
        <v>6.9270066672439095E-4</v>
      </c>
      <c r="E7566" s="2">
        <v>2.7972027972027902E-4</v>
      </c>
      <c r="F7566" s="2">
        <v>1.74248680939196E-3</v>
      </c>
    </row>
    <row r="7567" spans="1:6" x14ac:dyDescent="0.25">
      <c r="A7567" s="1" t="str">
        <f t="shared" si="266"/>
        <v>17460</v>
      </c>
      <c r="B7567" s="1" t="str">
        <f>"44135"</f>
        <v>44135</v>
      </c>
      <c r="C7567" s="2">
        <v>1.22780517165543E-2</v>
      </c>
      <c r="D7567" s="2">
        <v>1.01632175945969E-2</v>
      </c>
      <c r="E7567" s="2">
        <v>6.6115702479338798E-3</v>
      </c>
      <c r="F7567" s="2">
        <v>1.19201160516755E-2</v>
      </c>
    </row>
    <row r="7568" spans="1:6" x14ac:dyDescent="0.25">
      <c r="A7568" s="1" t="str">
        <f t="shared" si="266"/>
        <v>17460</v>
      </c>
      <c r="B7568" s="1" t="str">
        <f>"44103"</f>
        <v>44103</v>
      </c>
      <c r="C7568" s="2">
        <v>1.03373305244962E-2</v>
      </c>
      <c r="D7568" s="2">
        <v>1.5748116720062301E-2</v>
      </c>
      <c r="E7568" s="2">
        <v>2.0495867768595001E-2</v>
      </c>
      <c r="F7568" s="2">
        <v>1.11070696524012E-2</v>
      </c>
    </row>
    <row r="7569" spans="1:6" x14ac:dyDescent="0.25">
      <c r="A7569" s="1" t="str">
        <f t="shared" si="266"/>
        <v>17460</v>
      </c>
      <c r="B7569" s="1" t="str">
        <f>"44106"</f>
        <v>44106</v>
      </c>
      <c r="C7569" s="2">
        <v>1.54939386222808E-2</v>
      </c>
      <c r="D7569" s="2">
        <v>1.0260628625855001E-2</v>
      </c>
      <c r="E7569" s="2">
        <v>3.8677685950413203E-2</v>
      </c>
      <c r="F7569" s="2">
        <v>1.5860395654052999E-2</v>
      </c>
    </row>
    <row r="7570" spans="1:6" x14ac:dyDescent="0.25">
      <c r="A7570" s="1" t="str">
        <f t="shared" si="266"/>
        <v>17460</v>
      </c>
      <c r="B7570" s="1" t="str">
        <f>"44123"</f>
        <v>44123</v>
      </c>
      <c r="C7570" s="2">
        <v>9.1074997492109708E-3</v>
      </c>
      <c r="D7570" s="2">
        <v>3.7990302190665801E-3</v>
      </c>
      <c r="E7570" s="2">
        <v>9.2307692307692299E-3</v>
      </c>
      <c r="F7570" s="2">
        <v>8.6918939273992295E-3</v>
      </c>
    </row>
    <row r="7571" spans="1:6" x14ac:dyDescent="0.25">
      <c r="A7571" s="1" t="str">
        <f t="shared" si="266"/>
        <v>17460</v>
      </c>
      <c r="B7571" s="1" t="str">
        <f>"44129"</f>
        <v>44129</v>
      </c>
      <c r="C7571" s="2">
        <v>1.3030418779081799E-2</v>
      </c>
      <c r="D7571" s="2">
        <v>1.14079141051173E-2</v>
      </c>
      <c r="E7571" s="2">
        <v>9.9173553719008201E-3</v>
      </c>
      <c r="F7571" s="2">
        <v>1.2797350324576601E-2</v>
      </c>
    </row>
    <row r="7572" spans="1:6" x14ac:dyDescent="0.25">
      <c r="A7572" s="1" t="str">
        <f t="shared" si="266"/>
        <v>17460</v>
      </c>
      <c r="B7572" s="1" t="str">
        <f>"44119"</f>
        <v>44119</v>
      </c>
      <c r="C7572" s="2">
        <v>6.0883857675301497E-3</v>
      </c>
      <c r="D7572" s="2">
        <v>5.1627846566802303E-3</v>
      </c>
      <c r="E7572" s="2">
        <v>6.0521296884933204E-3</v>
      </c>
      <c r="F7572" s="2">
        <v>6.0139758396843598E-3</v>
      </c>
    </row>
    <row r="7573" spans="1:6" x14ac:dyDescent="0.25">
      <c r="A7573" s="1" t="str">
        <f t="shared" si="266"/>
        <v>17460</v>
      </c>
      <c r="B7573" s="1" t="str">
        <f>"44052"</f>
        <v>44052</v>
      </c>
      <c r="C7573" s="2">
        <v>1.42785764443518E-2</v>
      </c>
      <c r="D7573" s="2">
        <v>1.0596155511299599E-2</v>
      </c>
      <c r="E7573" s="2">
        <v>1.0044500953591801E-2</v>
      </c>
      <c r="F7573" s="2">
        <v>1.38448964221679E-2</v>
      </c>
    </row>
    <row r="7574" spans="1:6" x14ac:dyDescent="0.25">
      <c r="A7574" s="1" t="str">
        <f t="shared" si="266"/>
        <v>17460</v>
      </c>
      <c r="B7574" s="1" t="str">
        <f>"44017"</f>
        <v>44017</v>
      </c>
      <c r="C7574" s="2">
        <v>8.4342276855645798E-3</v>
      </c>
      <c r="D7574" s="2">
        <v>1.0347216209195599E-2</v>
      </c>
      <c r="E7574" s="2">
        <v>5.5689764780673797E-3</v>
      </c>
      <c r="F7574" s="2">
        <v>8.4890602467381799E-3</v>
      </c>
    </row>
    <row r="7575" spans="1:6" x14ac:dyDescent="0.25">
      <c r="A7575" s="1" t="str">
        <f t="shared" si="266"/>
        <v>17460</v>
      </c>
      <c r="B7575" s="1" t="str">
        <f>"44086"</f>
        <v>44086</v>
      </c>
      <c r="C7575" s="2">
        <v>9.7807718128573701E-4</v>
      </c>
      <c r="D7575" s="2">
        <v>3.7882067711490102E-4</v>
      </c>
      <c r="E7575" s="2">
        <v>1.27145581691036E-4</v>
      </c>
      <c r="F7575" s="2">
        <v>9.0205358403690303E-4</v>
      </c>
    </row>
    <row r="7576" spans="1:6" x14ac:dyDescent="0.25">
      <c r="A7576" s="1" t="str">
        <f t="shared" si="266"/>
        <v>17460</v>
      </c>
      <c r="B7576" s="1" t="str">
        <f>"44094"</f>
        <v>44094</v>
      </c>
      <c r="C7576" s="2">
        <v>1.7824347369801902E-2</v>
      </c>
      <c r="D7576" s="2">
        <v>2.4201229543683402E-2</v>
      </c>
      <c r="E7576" s="2">
        <v>2.8836617927527002E-2</v>
      </c>
      <c r="F7576" s="2">
        <v>1.8699211344992701E-2</v>
      </c>
    </row>
    <row r="7577" spans="1:6" x14ac:dyDescent="0.25">
      <c r="A7577" s="1" t="str">
        <f t="shared" si="266"/>
        <v>17460</v>
      </c>
      <c r="B7577" s="1" t="str">
        <f>"44280"</f>
        <v>44280</v>
      </c>
      <c r="C7577" s="2">
        <v>2.1346003966324799E-3</v>
      </c>
      <c r="D7577" s="2">
        <v>1.67763442722313E-3</v>
      </c>
      <c r="E7577" s="2">
        <v>1.5003178639542199E-3</v>
      </c>
      <c r="F7577" s="2">
        <v>2.07711959056695E-3</v>
      </c>
    </row>
    <row r="7578" spans="1:6" x14ac:dyDescent="0.25">
      <c r="A7578" s="1" t="str">
        <f t="shared" si="266"/>
        <v>17460</v>
      </c>
      <c r="B7578" s="1" t="str">
        <f>"44251"</f>
        <v>44251</v>
      </c>
      <c r="C7578" s="2">
        <v>4.0222700650508099E-4</v>
      </c>
      <c r="D7578" s="2">
        <v>2.9223309377435198E-4</v>
      </c>
      <c r="E7578" s="2">
        <v>2.5429116338207199E-5</v>
      </c>
      <c r="F7578" s="2">
        <v>3.8084805018635798E-4</v>
      </c>
    </row>
    <row r="7579" spans="1:6" x14ac:dyDescent="0.25">
      <c r="A7579" s="1" t="str">
        <f t="shared" si="266"/>
        <v>17460</v>
      </c>
      <c r="B7579" s="1" t="str">
        <f>"44258"</f>
        <v>44258</v>
      </c>
      <c r="C7579" s="2">
        <v>1.0928613869790301E-3</v>
      </c>
      <c r="D7579" s="2">
        <v>3.32279851069356E-3</v>
      </c>
      <c r="E7579" s="2">
        <v>5.0858232676414397E-5</v>
      </c>
      <c r="F7579" s="2">
        <v>1.2341188502668001E-3</v>
      </c>
    </row>
    <row r="7580" spans="1:6" x14ac:dyDescent="0.25">
      <c r="A7580" s="1" t="str">
        <f t="shared" si="266"/>
        <v>17460</v>
      </c>
      <c r="B7580" s="1" t="str">
        <f>"44214"</f>
        <v>44214</v>
      </c>
      <c r="C7580" s="2">
        <v>8.2953291509441196E-5</v>
      </c>
      <c r="D7580" s="2">
        <v>1.1905792709325401E-3</v>
      </c>
      <c r="E7580" s="2">
        <v>2.0343293070565699E-4</v>
      </c>
      <c r="F7580" s="2">
        <v>1.7459101626520699E-4</v>
      </c>
    </row>
    <row r="7581" spans="1:6" x14ac:dyDescent="0.25">
      <c r="A7581" s="1" t="str">
        <f t="shared" si="266"/>
        <v>17460</v>
      </c>
      <c r="B7581" s="1" t="str">
        <f>"44234"</f>
        <v>44234</v>
      </c>
      <c r="C7581" s="2">
        <v>4.91932310114128E-4</v>
      </c>
      <c r="D7581" s="2">
        <v>1.0823447917568599E-4</v>
      </c>
      <c r="E7581" s="2">
        <v>1.0171646535282799E-4</v>
      </c>
      <c r="F7581" s="2">
        <v>4.48459277073375E-4</v>
      </c>
    </row>
    <row r="7582" spans="1:6" x14ac:dyDescent="0.25">
      <c r="A7582" s="1" t="str">
        <f t="shared" si="266"/>
        <v>17460</v>
      </c>
      <c r="B7582" s="1" t="str">
        <f>"44117"</f>
        <v>44117</v>
      </c>
      <c r="C7582" s="2">
        <v>5.9948221712927503E-3</v>
      </c>
      <c r="D7582" s="2">
        <v>5.3576067191964602E-3</v>
      </c>
      <c r="E7582" s="2">
        <v>5.4164017800381404E-3</v>
      </c>
      <c r="F7582" s="2">
        <v>5.9249686549217098E-3</v>
      </c>
    </row>
    <row r="7583" spans="1:6" x14ac:dyDescent="0.25">
      <c r="A7583" s="1" t="str">
        <f t="shared" si="266"/>
        <v>17460</v>
      </c>
      <c r="B7583" s="1" t="str">
        <f>"44102"</f>
        <v>44102</v>
      </c>
      <c r="C7583" s="2">
        <v>2.2324081147610499E-2</v>
      </c>
      <c r="D7583" s="2">
        <v>1.70577539180881E-2</v>
      </c>
      <c r="E7583" s="2">
        <v>4.3382072472981502E-2</v>
      </c>
      <c r="F7583" s="2">
        <v>2.2616383312864499E-2</v>
      </c>
    </row>
    <row r="7584" spans="1:6" x14ac:dyDescent="0.25">
      <c r="A7584" s="1" t="str">
        <f t="shared" si="266"/>
        <v>17460</v>
      </c>
      <c r="B7584" s="1" t="str">
        <f>"44125"</f>
        <v>44125</v>
      </c>
      <c r="C7584" s="2">
        <v>1.29773672554421E-2</v>
      </c>
      <c r="D7584" s="2">
        <v>1.6505758074292099E-2</v>
      </c>
      <c r="E7584" s="2">
        <v>1.0858232676414401E-2</v>
      </c>
      <c r="F7584" s="2">
        <v>1.31850450812832E-2</v>
      </c>
    </row>
    <row r="7585" spans="1:6" x14ac:dyDescent="0.25">
      <c r="A7585" s="1" t="str">
        <f t="shared" ref="A7585:A7591" si="267">"17500"</f>
        <v>17500</v>
      </c>
      <c r="B7585" s="1" t="str">
        <f>"33935"</f>
        <v>33935</v>
      </c>
      <c r="C7585" s="2">
        <v>0.38148635505463602</v>
      </c>
      <c r="D7585" s="2">
        <v>0.384063173007896</v>
      </c>
      <c r="E7585" s="2">
        <v>0.19256756756756699</v>
      </c>
      <c r="F7585" s="2">
        <v>0.37592478421701597</v>
      </c>
    </row>
    <row r="7586" spans="1:6" x14ac:dyDescent="0.25">
      <c r="A7586" s="1" t="str">
        <f t="shared" si="267"/>
        <v>17500</v>
      </c>
      <c r="B7586" s="1" t="str">
        <f>"33975"</f>
        <v>33975</v>
      </c>
      <c r="C7586" s="2">
        <v>0.13038503346873301</v>
      </c>
      <c r="D7586" s="2">
        <v>0.154343144292893</v>
      </c>
      <c r="E7586" s="2">
        <v>3.3783783783783699E-3</v>
      </c>
      <c r="F7586" s="2">
        <v>0.12823674475955599</v>
      </c>
    </row>
    <row r="7587" spans="1:6" x14ac:dyDescent="0.25">
      <c r="A7587" s="1" t="str">
        <f t="shared" si="267"/>
        <v>17500</v>
      </c>
      <c r="B7587" s="1" t="str">
        <f>"33936"</f>
        <v>33936</v>
      </c>
      <c r="C7587" s="2">
        <v>1.5447107958121099E-3</v>
      </c>
      <c r="D7587" s="2">
        <v>2.1536252692031499E-3</v>
      </c>
      <c r="E7587" s="2">
        <v>0</v>
      </c>
      <c r="F7587" s="2">
        <v>1.54130702836004E-3</v>
      </c>
    </row>
    <row r="7588" spans="1:6" x14ac:dyDescent="0.25">
      <c r="A7588" s="1" t="str">
        <f t="shared" si="267"/>
        <v>17500</v>
      </c>
      <c r="B7588" s="1" t="str">
        <f>"33930"</f>
        <v>33930</v>
      </c>
      <c r="C7588" s="2">
        <v>0</v>
      </c>
      <c r="D7588" s="2">
        <v>0</v>
      </c>
      <c r="E7588" s="2">
        <v>1.68918918918918E-3</v>
      </c>
      <c r="F7588" s="2">
        <v>5.1376900945334901E-5</v>
      </c>
    </row>
    <row r="7589" spans="1:6" x14ac:dyDescent="0.25">
      <c r="A7589" s="1" t="str">
        <f t="shared" si="267"/>
        <v>17500</v>
      </c>
      <c r="B7589" s="1" t="str">
        <f>"33471"</f>
        <v>33471</v>
      </c>
      <c r="C7589" s="2">
        <v>7.4374964242805599E-4</v>
      </c>
      <c r="D7589" s="2">
        <v>0</v>
      </c>
      <c r="E7589" s="2">
        <v>1.1824324324324301E-2</v>
      </c>
      <c r="F7589" s="2">
        <v>1.0275380189066899E-3</v>
      </c>
    </row>
    <row r="7590" spans="1:6" x14ac:dyDescent="0.25">
      <c r="A7590" s="1" t="str">
        <f t="shared" si="267"/>
        <v>17500</v>
      </c>
      <c r="B7590" s="1" t="str">
        <f>"34142"</f>
        <v>34142</v>
      </c>
      <c r="C7590" s="2">
        <v>5.9499971394244497E-3</v>
      </c>
      <c r="D7590" s="2">
        <v>5.7430007178750804E-3</v>
      </c>
      <c r="E7590" s="2">
        <v>8.4459459459459395E-3</v>
      </c>
      <c r="F7590" s="2">
        <v>6.0110974106041904E-3</v>
      </c>
    </row>
    <row r="7591" spans="1:6" x14ac:dyDescent="0.25">
      <c r="A7591" s="1" t="str">
        <f t="shared" si="267"/>
        <v>17500</v>
      </c>
      <c r="B7591" s="1" t="str">
        <f>"33440"</f>
        <v>33440</v>
      </c>
      <c r="C7591" s="2">
        <v>0.479890153898964</v>
      </c>
      <c r="D7591" s="2">
        <v>0.45369705671213201</v>
      </c>
      <c r="E7591" s="2">
        <v>0.78209459459459396</v>
      </c>
      <c r="F7591" s="2">
        <v>0.48720715166461098</v>
      </c>
    </row>
    <row r="7592" spans="1:6" x14ac:dyDescent="0.25">
      <c r="A7592" s="1" t="str">
        <f t="shared" ref="A7592:A7616" si="268">"17540"</f>
        <v>17540</v>
      </c>
      <c r="B7592" s="1" t="str">
        <f>"52069"</f>
        <v>52069</v>
      </c>
      <c r="C7592" s="2">
        <v>1.9221528111484801E-3</v>
      </c>
      <c r="D7592" s="2">
        <v>0</v>
      </c>
      <c r="E7592" s="2">
        <v>0</v>
      </c>
      <c r="F7592" s="2">
        <v>1.7383059418457599E-3</v>
      </c>
    </row>
    <row r="7593" spans="1:6" x14ac:dyDescent="0.25">
      <c r="A7593" s="1" t="str">
        <f t="shared" si="268"/>
        <v>17540</v>
      </c>
      <c r="B7593" s="1" t="str">
        <f>"52757"</f>
        <v>52757</v>
      </c>
      <c r="C7593" s="2">
        <v>6.5091083832073699E-3</v>
      </c>
      <c r="D7593" s="2">
        <v>0</v>
      </c>
      <c r="E7593" s="2">
        <v>1.14810562571756E-3</v>
      </c>
      <c r="F7593" s="2">
        <v>5.9260429835651003E-3</v>
      </c>
    </row>
    <row r="7594" spans="1:6" x14ac:dyDescent="0.25">
      <c r="A7594" s="1" t="str">
        <f t="shared" si="268"/>
        <v>17540</v>
      </c>
      <c r="B7594" s="1" t="str">
        <f>"52742"</f>
        <v>52742</v>
      </c>
      <c r="C7594" s="2">
        <v>0.14922895461098201</v>
      </c>
      <c r="D7594" s="2">
        <v>0.19935483870967699</v>
      </c>
      <c r="E7594" s="2">
        <v>0.14351320321469499</v>
      </c>
      <c r="F7594" s="2">
        <v>0.15210176991150401</v>
      </c>
    </row>
    <row r="7595" spans="1:6" x14ac:dyDescent="0.25">
      <c r="A7595" s="1" t="str">
        <f t="shared" si="268"/>
        <v>17540</v>
      </c>
      <c r="B7595" s="1" t="str">
        <f>"52064"</f>
        <v>52064</v>
      </c>
      <c r="C7595" s="2">
        <v>1.0921322790616299E-3</v>
      </c>
      <c r="D7595" s="2">
        <v>0</v>
      </c>
      <c r="E7595" s="2">
        <v>0</v>
      </c>
      <c r="F7595" s="2">
        <v>9.8767383059418404E-4</v>
      </c>
    </row>
    <row r="7596" spans="1:6" x14ac:dyDescent="0.25">
      <c r="A7596" s="1" t="str">
        <f t="shared" si="268"/>
        <v>17540</v>
      </c>
      <c r="B7596" s="1" t="str">
        <f>"52756"</f>
        <v>52756</v>
      </c>
      <c r="C7596" s="2">
        <v>3.4948232929972402E-4</v>
      </c>
      <c r="D7596" s="2">
        <v>0</v>
      </c>
      <c r="E7596" s="2">
        <v>0</v>
      </c>
      <c r="F7596" s="2">
        <v>3.1605562579013898E-4</v>
      </c>
    </row>
    <row r="7597" spans="1:6" x14ac:dyDescent="0.25">
      <c r="A7597" s="1" t="str">
        <f t="shared" si="268"/>
        <v>17540</v>
      </c>
      <c r="B7597" s="1" t="str">
        <f>"52774"</f>
        <v>52774</v>
      </c>
      <c r="C7597" s="2">
        <v>2.79585863439779E-3</v>
      </c>
      <c r="D7597" s="2">
        <v>1.29032258064516E-3</v>
      </c>
      <c r="E7597" s="2">
        <v>1.14810562571756E-3</v>
      </c>
      <c r="F7597" s="2">
        <v>2.64696586599241E-3</v>
      </c>
    </row>
    <row r="7598" spans="1:6" x14ac:dyDescent="0.25">
      <c r="A7598" s="1" t="str">
        <f t="shared" si="268"/>
        <v>17540</v>
      </c>
      <c r="B7598" s="1" t="str">
        <f>"52060"</f>
        <v>52060</v>
      </c>
      <c r="C7598" s="2">
        <v>2.8832292167227198E-3</v>
      </c>
      <c r="D7598" s="2">
        <v>6.4516129032257999E-4</v>
      </c>
      <c r="E7598" s="2">
        <v>0</v>
      </c>
      <c r="F7598" s="2">
        <v>2.64696586599241E-3</v>
      </c>
    </row>
    <row r="7599" spans="1:6" x14ac:dyDescent="0.25">
      <c r="A7599" s="1" t="str">
        <f t="shared" si="268"/>
        <v>17540</v>
      </c>
      <c r="B7599" s="1" t="str">
        <f>"52745"</f>
        <v>52745</v>
      </c>
      <c r="C7599" s="2">
        <v>2.6211174697479299E-4</v>
      </c>
      <c r="D7599" s="2">
        <v>0</v>
      </c>
      <c r="E7599" s="2">
        <v>0</v>
      </c>
      <c r="F7599" s="2">
        <v>2.3704171934260399E-4</v>
      </c>
    </row>
    <row r="7600" spans="1:6" x14ac:dyDescent="0.25">
      <c r="A7600" s="1" t="str">
        <f t="shared" si="268"/>
        <v>17540</v>
      </c>
      <c r="B7600" s="1" t="str">
        <f>"52729"</f>
        <v>52729</v>
      </c>
      <c r="C7600" s="2">
        <v>1.7343060591498798E-2</v>
      </c>
      <c r="D7600" s="2">
        <v>4.5161290322580597E-3</v>
      </c>
      <c r="E7600" s="2">
        <v>8.0367393800229604E-3</v>
      </c>
      <c r="F7600" s="2">
        <v>1.6237357774968299E-2</v>
      </c>
    </row>
    <row r="7601" spans="1:6" x14ac:dyDescent="0.25">
      <c r="A7601" s="1" t="str">
        <f t="shared" si="268"/>
        <v>17540</v>
      </c>
      <c r="B7601" s="1" t="str">
        <f>"52777"</f>
        <v>52777</v>
      </c>
      <c r="C7601" s="2">
        <v>2.77401598881656E-2</v>
      </c>
      <c r="D7601" s="2">
        <v>6.4516129032258004E-3</v>
      </c>
      <c r="E7601" s="2">
        <v>1.14810562571756E-2</v>
      </c>
      <c r="F7601" s="2">
        <v>2.5877054361567599E-2</v>
      </c>
    </row>
    <row r="7602" spans="1:6" x14ac:dyDescent="0.25">
      <c r="A7602" s="1" t="str">
        <f t="shared" si="268"/>
        <v>17540</v>
      </c>
      <c r="B7602" s="1" t="str">
        <f>"52323"</f>
        <v>52323</v>
      </c>
      <c r="C7602" s="2">
        <v>1.2668734437115E-3</v>
      </c>
      <c r="D7602" s="2">
        <v>6.4516129032257999E-4</v>
      </c>
      <c r="E7602" s="2">
        <v>0</v>
      </c>
      <c r="F7602" s="2">
        <v>1.18520859671302E-3</v>
      </c>
    </row>
    <row r="7603" spans="1:6" x14ac:dyDescent="0.25">
      <c r="A7603" s="1" t="str">
        <f t="shared" si="268"/>
        <v>17540</v>
      </c>
      <c r="B7603" s="1" t="str">
        <f>"52750"</f>
        <v>52750</v>
      </c>
      <c r="C7603" s="2">
        <v>1.14018609934035E-2</v>
      </c>
      <c r="D7603" s="2">
        <v>2.58064516129032E-3</v>
      </c>
      <c r="E7603" s="2">
        <v>4.5924225028702598E-3</v>
      </c>
      <c r="F7603" s="2">
        <v>1.06273704171934E-2</v>
      </c>
    </row>
    <row r="7604" spans="1:6" x14ac:dyDescent="0.25">
      <c r="A7604" s="1" t="str">
        <f t="shared" si="268"/>
        <v>17540</v>
      </c>
      <c r="B7604" s="1" t="str">
        <f>"52701"</f>
        <v>52701</v>
      </c>
      <c r="C7604" s="2">
        <v>4.3685291162465502E-5</v>
      </c>
      <c r="D7604" s="2">
        <v>0</v>
      </c>
      <c r="E7604" s="2">
        <v>1.14810562571756E-3</v>
      </c>
      <c r="F7604" s="2">
        <v>7.9013906447534705E-5</v>
      </c>
    </row>
    <row r="7605" spans="1:6" x14ac:dyDescent="0.25">
      <c r="A7605" s="1" t="str">
        <f t="shared" si="268"/>
        <v>17540</v>
      </c>
      <c r="B7605" s="1" t="str">
        <f>"52751"</f>
        <v>52751</v>
      </c>
      <c r="C7605" s="2">
        <v>2.0837883884495999E-2</v>
      </c>
      <c r="D7605" s="2">
        <v>5.8064516129032202E-3</v>
      </c>
      <c r="E7605" s="2">
        <v>9.1848450057405197E-3</v>
      </c>
      <c r="F7605" s="2">
        <v>1.9516434892540999E-2</v>
      </c>
    </row>
    <row r="7606" spans="1:6" x14ac:dyDescent="0.25">
      <c r="A7606" s="1" t="str">
        <f t="shared" si="268"/>
        <v>17540</v>
      </c>
      <c r="B7606" s="1" t="str">
        <f>"52254"</f>
        <v>52254</v>
      </c>
      <c r="C7606" s="2">
        <v>2.03573456817089E-2</v>
      </c>
      <c r="D7606" s="2">
        <v>3.87096774193548E-3</v>
      </c>
      <c r="E7606" s="2">
        <v>5.7405281285878296E-3</v>
      </c>
      <c r="F7606" s="2">
        <v>1.8844816687737E-2</v>
      </c>
    </row>
    <row r="7607" spans="1:6" x14ac:dyDescent="0.25">
      <c r="A7607" s="1" t="str">
        <f t="shared" si="268"/>
        <v>17540</v>
      </c>
      <c r="B7607" s="1" t="str">
        <f>"52732"</f>
        <v>52732</v>
      </c>
      <c r="C7607" s="2">
        <v>0.58586343977982602</v>
      </c>
      <c r="D7607" s="2">
        <v>0.70129032258064505</v>
      </c>
      <c r="E7607" s="2">
        <v>0.76234213547646301</v>
      </c>
      <c r="F7607" s="2">
        <v>0.59900442477876104</v>
      </c>
    </row>
    <row r="7608" spans="1:6" x14ac:dyDescent="0.25">
      <c r="A7608" s="1" t="str">
        <f t="shared" si="268"/>
        <v>17540</v>
      </c>
      <c r="B7608" s="1" t="str">
        <f>"52727"</f>
        <v>52727</v>
      </c>
      <c r="C7608" s="2">
        <v>7.6449259534314704E-3</v>
      </c>
      <c r="D7608" s="2">
        <v>0</v>
      </c>
      <c r="E7608" s="2">
        <v>3.4443168771526901E-3</v>
      </c>
      <c r="F7608" s="2">
        <v>7.0322376738305896E-3</v>
      </c>
    </row>
    <row r="7609" spans="1:6" x14ac:dyDescent="0.25">
      <c r="A7609" s="1" t="str">
        <f t="shared" si="268"/>
        <v>17540</v>
      </c>
      <c r="B7609" s="1" t="str">
        <f>"52771"</f>
        <v>52771</v>
      </c>
      <c r="C7609" s="2">
        <v>1.2668734437115E-3</v>
      </c>
      <c r="D7609" s="2">
        <v>0</v>
      </c>
      <c r="E7609" s="2">
        <v>1.14810562571756E-3</v>
      </c>
      <c r="F7609" s="2">
        <v>1.18520859671302E-3</v>
      </c>
    </row>
    <row r="7610" spans="1:6" x14ac:dyDescent="0.25">
      <c r="A7610" s="1" t="str">
        <f t="shared" si="268"/>
        <v>17540</v>
      </c>
      <c r="B7610" s="1" t="str">
        <f>"52309"</f>
        <v>52309</v>
      </c>
      <c r="C7610" s="2">
        <v>4.3685291162465502E-5</v>
      </c>
      <c r="D7610" s="2">
        <v>0</v>
      </c>
      <c r="E7610" s="2">
        <v>0</v>
      </c>
      <c r="F7610" s="2">
        <v>3.9506953223767298E-5</v>
      </c>
    </row>
    <row r="7611" spans="1:6" x14ac:dyDescent="0.25">
      <c r="A7611" s="1" t="str">
        <f t="shared" si="268"/>
        <v>17540</v>
      </c>
      <c r="B7611" s="1" t="str">
        <f>"52730"</f>
        <v>52730</v>
      </c>
      <c r="C7611" s="2">
        <v>0.103359398890393</v>
      </c>
      <c r="D7611" s="2">
        <v>6.90322580645161E-2</v>
      </c>
      <c r="E7611" s="2">
        <v>3.3295063145809399E-2</v>
      </c>
      <c r="F7611" s="2">
        <v>9.8846396965865904E-2</v>
      </c>
    </row>
    <row r="7612" spans="1:6" x14ac:dyDescent="0.25">
      <c r="A7612" s="1" t="str">
        <f t="shared" si="268"/>
        <v>17540</v>
      </c>
      <c r="B7612" s="1" t="str">
        <f>"52255"</f>
        <v>52255</v>
      </c>
      <c r="C7612" s="2">
        <v>1.7474116464986201E-4</v>
      </c>
      <c r="D7612" s="2">
        <v>0</v>
      </c>
      <c r="E7612" s="2">
        <v>0</v>
      </c>
      <c r="F7612" s="2">
        <v>1.58027812895069E-4</v>
      </c>
    </row>
    <row r="7613" spans="1:6" x14ac:dyDescent="0.25">
      <c r="A7613" s="1" t="str">
        <f t="shared" si="268"/>
        <v>17540</v>
      </c>
      <c r="B7613" s="1" t="str">
        <f>"52070"</f>
        <v>52070</v>
      </c>
      <c r="C7613" s="2">
        <v>1.9658381023109502E-3</v>
      </c>
      <c r="D7613" s="2">
        <v>0</v>
      </c>
      <c r="E7613" s="2">
        <v>0</v>
      </c>
      <c r="F7613" s="2">
        <v>1.7778128950695299E-3</v>
      </c>
    </row>
    <row r="7614" spans="1:6" x14ac:dyDescent="0.25">
      <c r="A7614" s="1" t="str">
        <f t="shared" si="268"/>
        <v>17540</v>
      </c>
      <c r="B7614" s="1" t="str">
        <f>"52207"</f>
        <v>52207</v>
      </c>
      <c r="C7614" s="2">
        <v>1.0047616967367001E-3</v>
      </c>
      <c r="D7614" s="2">
        <v>0</v>
      </c>
      <c r="E7614" s="2">
        <v>0</v>
      </c>
      <c r="F7614" s="2">
        <v>9.0865992414664899E-4</v>
      </c>
    </row>
    <row r="7615" spans="1:6" x14ac:dyDescent="0.25">
      <c r="A7615" s="1" t="str">
        <f t="shared" si="268"/>
        <v>17540</v>
      </c>
      <c r="B7615" s="1" t="str">
        <f>"52731"</f>
        <v>52731</v>
      </c>
      <c r="C7615" s="2">
        <v>1.7168319426848901E-2</v>
      </c>
      <c r="D7615" s="2">
        <v>2.58064516129032E-3</v>
      </c>
      <c r="E7615" s="2">
        <v>1.2629161882893199E-2</v>
      </c>
      <c r="F7615" s="2">
        <v>1.6118836915296999E-2</v>
      </c>
    </row>
    <row r="7616" spans="1:6" x14ac:dyDescent="0.25">
      <c r="A7616" s="1" t="str">
        <f t="shared" si="268"/>
        <v>17540</v>
      </c>
      <c r="B7616" s="1" t="str">
        <f>"52037"</f>
        <v>52037</v>
      </c>
      <c r="C7616" s="2">
        <v>1.74741164649862E-2</v>
      </c>
      <c r="D7616" s="2">
        <v>1.93548387096774E-3</v>
      </c>
      <c r="E7616" s="2">
        <v>1.14810562571756E-3</v>
      </c>
      <c r="F7616" s="2">
        <v>1.5960809102401999E-2</v>
      </c>
    </row>
    <row r="7617" spans="1:6" x14ac:dyDescent="0.25">
      <c r="A7617" s="1" t="str">
        <f t="shared" ref="A7617:A7627" si="269">"17580"</f>
        <v>17580</v>
      </c>
      <c r="B7617" s="1" t="str">
        <f>"88135"</f>
        <v>88135</v>
      </c>
      <c r="C7617" s="2">
        <v>1.1885895404120401E-2</v>
      </c>
      <c r="D7617" s="2">
        <v>1.3303769401330301E-2</v>
      </c>
      <c r="E7617" s="2">
        <v>5.5363321799307896E-3</v>
      </c>
      <c r="F7617" s="2">
        <v>1.17042632098261E-2</v>
      </c>
    </row>
    <row r="7618" spans="1:6" x14ac:dyDescent="0.25">
      <c r="A7618" s="1" t="str">
        <f t="shared" si="269"/>
        <v>17580</v>
      </c>
      <c r="B7618" s="1" t="str">
        <f>"88120"</f>
        <v>88120</v>
      </c>
      <c r="C7618" s="2">
        <v>3.5261489698890599E-3</v>
      </c>
      <c r="D7618" s="2">
        <v>3.3259423503325899E-3</v>
      </c>
      <c r="E7618" s="2">
        <v>0</v>
      </c>
      <c r="F7618" s="2">
        <v>3.3343540539620899E-3</v>
      </c>
    </row>
    <row r="7619" spans="1:6" x14ac:dyDescent="0.25">
      <c r="A7619" s="1" t="str">
        <f t="shared" si="269"/>
        <v>17580</v>
      </c>
      <c r="B7619" s="1" t="str">
        <f>"88101"</f>
        <v>88101</v>
      </c>
      <c r="C7619" s="2">
        <v>0.88510301109350198</v>
      </c>
      <c r="D7619" s="2">
        <v>0.73392461197339198</v>
      </c>
      <c r="E7619" s="2">
        <v>0.98754325259515496</v>
      </c>
      <c r="F7619" s="2">
        <v>0.87622061175189603</v>
      </c>
    </row>
    <row r="7620" spans="1:6" x14ac:dyDescent="0.25">
      <c r="A7620" s="1" t="str">
        <f t="shared" si="269"/>
        <v>17580</v>
      </c>
      <c r="B7620" s="1" t="str">
        <f>"88130"</f>
        <v>88130</v>
      </c>
      <c r="C7620" s="2">
        <v>1.1885895404120399E-4</v>
      </c>
      <c r="D7620" s="2">
        <v>0</v>
      </c>
      <c r="E7620" s="2">
        <v>0</v>
      </c>
      <c r="F7620" s="2">
        <v>1.0207206287639E-4</v>
      </c>
    </row>
    <row r="7621" spans="1:6" x14ac:dyDescent="0.25">
      <c r="A7621" s="1" t="str">
        <f t="shared" si="269"/>
        <v>17580</v>
      </c>
      <c r="B7621" s="1" t="str">
        <f>"88112"</f>
        <v>88112</v>
      </c>
      <c r="C7621" s="2">
        <v>3.5657686212361298E-3</v>
      </c>
      <c r="D7621" s="2">
        <v>9.9778270509977805E-3</v>
      </c>
      <c r="E7621" s="2">
        <v>6.9204152249134902E-4</v>
      </c>
      <c r="F7621" s="2">
        <v>4.0148344731380297E-3</v>
      </c>
    </row>
    <row r="7622" spans="1:6" x14ac:dyDescent="0.25">
      <c r="A7622" s="1" t="str">
        <f t="shared" si="269"/>
        <v>17580</v>
      </c>
      <c r="B7622" s="1" t="str">
        <f>"88124"</f>
        <v>88124</v>
      </c>
      <c r="C7622" s="2">
        <v>1.67194928684627E-2</v>
      </c>
      <c r="D7622" s="2">
        <v>1.84774575018477E-3</v>
      </c>
      <c r="E7622" s="2">
        <v>2.76816608996539E-3</v>
      </c>
      <c r="F7622" s="2">
        <v>1.4664353033241401E-2</v>
      </c>
    </row>
    <row r="7623" spans="1:6" x14ac:dyDescent="0.25">
      <c r="A7623" s="1" t="str">
        <f t="shared" si="269"/>
        <v>17580</v>
      </c>
      <c r="B7623" s="1" t="str">
        <f>"88133"</f>
        <v>88133</v>
      </c>
      <c r="C7623" s="2">
        <v>4.3581616481774902E-4</v>
      </c>
      <c r="D7623" s="2">
        <v>3.6954915003695399E-4</v>
      </c>
      <c r="E7623" s="2">
        <v>0</v>
      </c>
      <c r="F7623" s="2">
        <v>4.0828825150556201E-4</v>
      </c>
    </row>
    <row r="7624" spans="1:6" x14ac:dyDescent="0.25">
      <c r="A7624" s="1" t="str">
        <f t="shared" si="269"/>
        <v>17580</v>
      </c>
      <c r="B7624" s="1" t="str">
        <f>"88102"</f>
        <v>88102</v>
      </c>
      <c r="C7624" s="2">
        <v>7.8288431061806593E-2</v>
      </c>
      <c r="D7624" s="2">
        <v>0.13340724316333999</v>
      </c>
      <c r="E7624" s="2">
        <v>2.76816608996539E-3</v>
      </c>
      <c r="F7624" s="2">
        <v>7.9650233064543496E-2</v>
      </c>
    </row>
    <row r="7625" spans="1:6" x14ac:dyDescent="0.25">
      <c r="A7625" s="1" t="str">
        <f t="shared" si="269"/>
        <v>17580</v>
      </c>
      <c r="B7625" s="1" t="str">
        <f>"88103"</f>
        <v>88103</v>
      </c>
      <c r="C7625" s="2">
        <v>0</v>
      </c>
      <c r="D7625" s="2">
        <v>0.10384331116038401</v>
      </c>
      <c r="E7625" s="2">
        <v>6.9204152249134902E-4</v>
      </c>
      <c r="F7625" s="2">
        <v>9.5947739103807196E-3</v>
      </c>
    </row>
    <row r="7626" spans="1:6" x14ac:dyDescent="0.25">
      <c r="A7626" s="1" t="str">
        <f t="shared" si="269"/>
        <v>17580</v>
      </c>
      <c r="B7626" s="1" t="str">
        <f>"88427"</f>
        <v>88427</v>
      </c>
      <c r="C7626" s="2">
        <v>3.96196513470681E-5</v>
      </c>
      <c r="D7626" s="2">
        <v>0</v>
      </c>
      <c r="E7626" s="2">
        <v>0</v>
      </c>
      <c r="F7626" s="2">
        <v>3.4024020958796898E-5</v>
      </c>
    </row>
    <row r="7627" spans="1:6" x14ac:dyDescent="0.25">
      <c r="A7627" s="1" t="str">
        <f t="shared" si="269"/>
        <v>17580</v>
      </c>
      <c r="B7627" s="1" t="str">
        <f>"88118"</f>
        <v>88118</v>
      </c>
      <c r="C7627" s="2">
        <v>3.1695721077654502E-4</v>
      </c>
      <c r="D7627" s="2">
        <v>0</v>
      </c>
      <c r="E7627" s="2">
        <v>0</v>
      </c>
      <c r="F7627" s="2">
        <v>2.7219216767037502E-4</v>
      </c>
    </row>
    <row r="7628" spans="1:6" x14ac:dyDescent="0.25">
      <c r="A7628" s="1" t="str">
        <f>"17620"</f>
        <v>17620</v>
      </c>
      <c r="B7628" s="1" t="str">
        <f>"00769"</f>
        <v>00769</v>
      </c>
      <c r="C7628" s="2">
        <v>0.99928299992829905</v>
      </c>
      <c r="D7628" s="2">
        <v>1</v>
      </c>
      <c r="E7628" s="2">
        <v>1</v>
      </c>
      <c r="F7628" s="2">
        <v>0.99933430967913695</v>
      </c>
    </row>
    <row r="7629" spans="1:6" x14ac:dyDescent="0.25">
      <c r="A7629" s="1" t="str">
        <f>"17620"</f>
        <v>17620</v>
      </c>
      <c r="B7629" s="1" t="str">
        <f>"00705"</f>
        <v>00705</v>
      </c>
      <c r="C7629" s="2">
        <v>7.1700007170000702E-4</v>
      </c>
      <c r="D7629" s="2">
        <v>0</v>
      </c>
      <c r="E7629" s="2">
        <v>0</v>
      </c>
      <c r="F7629" s="2">
        <v>6.6569032086273398E-4</v>
      </c>
    </row>
    <row r="7630" spans="1:6" x14ac:dyDescent="0.25">
      <c r="A7630" s="1" t="str">
        <f>"17640"</f>
        <v>17640</v>
      </c>
      <c r="B7630" s="1" t="str">
        <f>"00751"</f>
        <v>00751</v>
      </c>
      <c r="C7630" s="2">
        <v>0.65624495071901701</v>
      </c>
      <c r="D7630" s="2">
        <v>0.87961476725521603</v>
      </c>
      <c r="E7630" s="2">
        <v>0.989247311827956</v>
      </c>
      <c r="F7630" s="2">
        <v>0.669237818848327</v>
      </c>
    </row>
    <row r="7631" spans="1:6" x14ac:dyDescent="0.25">
      <c r="A7631" s="1" t="str">
        <f>"17640"</f>
        <v>17640</v>
      </c>
      <c r="B7631" s="1" t="str">
        <f>"00704"</f>
        <v>00704</v>
      </c>
      <c r="C7631" s="2">
        <v>0.34375504928098199</v>
      </c>
      <c r="D7631" s="2">
        <v>0.12038523274478299</v>
      </c>
      <c r="E7631" s="2">
        <v>1.0752688172042999E-2</v>
      </c>
      <c r="F7631" s="2">
        <v>0.330762181151672</v>
      </c>
    </row>
    <row r="7632" spans="1:6" x14ac:dyDescent="0.25">
      <c r="A7632" s="1" t="str">
        <f t="shared" ref="A7632:A7647" si="270">"17660"</f>
        <v>17660</v>
      </c>
      <c r="B7632" s="1" t="str">
        <f>"83814"</f>
        <v>83814</v>
      </c>
      <c r="C7632" s="2">
        <v>0.17240611548166801</v>
      </c>
      <c r="D7632" s="2">
        <v>0.273388269510421</v>
      </c>
      <c r="E7632" s="2">
        <v>0.28727537639630801</v>
      </c>
      <c r="F7632" s="2">
        <v>0.18642049477546199</v>
      </c>
    </row>
    <row r="7633" spans="1:6" x14ac:dyDescent="0.25">
      <c r="A7633" s="1" t="str">
        <f t="shared" si="270"/>
        <v>17660</v>
      </c>
      <c r="B7633" s="1" t="str">
        <f>"83869"</f>
        <v>83869</v>
      </c>
      <c r="C7633" s="2">
        <v>1.086042254218E-2</v>
      </c>
      <c r="D7633" s="2">
        <v>6.0591371788657204E-4</v>
      </c>
      <c r="E7633" s="2">
        <v>2.4283632831471499E-2</v>
      </c>
      <c r="F7633" s="2">
        <v>1.05456261934902E-2</v>
      </c>
    </row>
    <row r="7634" spans="1:6" x14ac:dyDescent="0.25">
      <c r="A7634" s="1" t="str">
        <f t="shared" si="270"/>
        <v>17660</v>
      </c>
      <c r="B7634" s="1" t="str">
        <f>"83833"</f>
        <v>83833</v>
      </c>
      <c r="C7634" s="2">
        <v>1.2691108802137399E-2</v>
      </c>
      <c r="D7634" s="2">
        <v>2.6660203587009199E-3</v>
      </c>
      <c r="E7634" s="2">
        <v>1.3355998057309301E-2</v>
      </c>
      <c r="F7634" s="2">
        <v>1.1832986461261101E-2</v>
      </c>
    </row>
    <row r="7635" spans="1:6" x14ac:dyDescent="0.25">
      <c r="A7635" s="1" t="str">
        <f t="shared" si="270"/>
        <v>17660</v>
      </c>
      <c r="B7635" s="1" t="str">
        <f>"83858"</f>
        <v>83858</v>
      </c>
      <c r="C7635" s="2">
        <v>9.4329820394834396E-2</v>
      </c>
      <c r="D7635" s="2">
        <v>4.9927290353853598E-2</v>
      </c>
      <c r="E7635" s="2">
        <v>8.1593006313744498E-2</v>
      </c>
      <c r="F7635" s="2">
        <v>8.9836290685948395E-2</v>
      </c>
    </row>
    <row r="7636" spans="1:6" x14ac:dyDescent="0.25">
      <c r="A7636" s="1" t="str">
        <f t="shared" si="270"/>
        <v>17660</v>
      </c>
      <c r="B7636" s="1" t="str">
        <f>"83861"</f>
        <v>83861</v>
      </c>
      <c r="C7636" s="2">
        <v>3.03052793033496E-3</v>
      </c>
      <c r="D7636" s="2">
        <v>0</v>
      </c>
      <c r="E7636" s="2">
        <v>2.42836328314715E-4</v>
      </c>
      <c r="F7636" s="2">
        <v>2.6390885489304102E-3</v>
      </c>
    </row>
    <row r="7637" spans="1:6" x14ac:dyDescent="0.25">
      <c r="A7637" s="1" t="str">
        <f t="shared" si="270"/>
        <v>17660</v>
      </c>
      <c r="B7637" s="1" t="str">
        <f>"83803"</f>
        <v>83803</v>
      </c>
      <c r="C7637" s="2">
        <v>3.0800059373608398E-3</v>
      </c>
      <c r="D7637" s="2">
        <v>3.6354823073194299E-4</v>
      </c>
      <c r="E7637" s="2">
        <v>0</v>
      </c>
      <c r="F7637" s="2">
        <v>2.70345656231896E-3</v>
      </c>
    </row>
    <row r="7638" spans="1:6" x14ac:dyDescent="0.25">
      <c r="A7638" s="1" t="str">
        <f t="shared" si="270"/>
        <v>17660</v>
      </c>
      <c r="B7638" s="1" t="str">
        <f>"83877"</f>
        <v>83877</v>
      </c>
      <c r="C7638" s="2">
        <v>2.6520211765870001E-2</v>
      </c>
      <c r="D7638" s="2">
        <v>6.2651478429471594E-2</v>
      </c>
      <c r="E7638" s="2">
        <v>2.42836328314715E-4</v>
      </c>
      <c r="F7638" s="2">
        <v>2.8557941940051901E-2</v>
      </c>
    </row>
    <row r="7639" spans="1:6" x14ac:dyDescent="0.25">
      <c r="A7639" s="1" t="str">
        <f t="shared" si="270"/>
        <v>17660</v>
      </c>
      <c r="B7639" s="1" t="str">
        <f>"83816"</f>
        <v>83816</v>
      </c>
      <c r="C7639" s="2">
        <v>2.7163425857206401E-2</v>
      </c>
      <c r="D7639" s="2">
        <v>9.3189529810954894E-2</v>
      </c>
      <c r="E7639" s="2">
        <v>2.42836328314715E-4</v>
      </c>
      <c r="F7639" s="2">
        <v>3.1819254618404902E-2</v>
      </c>
    </row>
    <row r="7640" spans="1:6" x14ac:dyDescent="0.25">
      <c r="A7640" s="1" t="str">
        <f t="shared" si="270"/>
        <v>17660</v>
      </c>
      <c r="B7640" s="1" t="str">
        <f>"83801"</f>
        <v>83801</v>
      </c>
      <c r="C7640" s="2">
        <v>3.0923754391173099E-2</v>
      </c>
      <c r="D7640" s="2">
        <v>5.8167716917111E-3</v>
      </c>
      <c r="E7640" s="2">
        <v>9.2277804759592005E-3</v>
      </c>
      <c r="F7640" s="2">
        <v>2.7742613770463598E-2</v>
      </c>
    </row>
    <row r="7641" spans="1:6" x14ac:dyDescent="0.25">
      <c r="A7641" s="1" t="str">
        <f t="shared" si="270"/>
        <v>17660</v>
      </c>
      <c r="B7641" s="1" t="str">
        <f>"83842"</f>
        <v>83842</v>
      </c>
      <c r="C7641" s="2">
        <v>9.6482113700460095E-4</v>
      </c>
      <c r="D7641" s="2">
        <v>2.42365487154629E-4</v>
      </c>
      <c r="E7641" s="2">
        <v>2.42836328314715E-4</v>
      </c>
      <c r="F7641" s="2">
        <v>8.6896818074538103E-4</v>
      </c>
    </row>
    <row r="7642" spans="1:6" x14ac:dyDescent="0.25">
      <c r="A7642" s="1" t="str">
        <f t="shared" si="270"/>
        <v>17660</v>
      </c>
      <c r="B7642" s="1" t="str">
        <f>"83815"</f>
        <v>83815</v>
      </c>
      <c r="C7642" s="2">
        <v>0.201474444609371</v>
      </c>
      <c r="D7642" s="2">
        <v>0.14978187106155999</v>
      </c>
      <c r="E7642" s="2">
        <v>0.163186012627489</v>
      </c>
      <c r="F7642" s="2">
        <v>0.19520672860299901</v>
      </c>
    </row>
    <row r="7643" spans="1:6" x14ac:dyDescent="0.25">
      <c r="A7643" s="1" t="str">
        <f t="shared" si="270"/>
        <v>17660</v>
      </c>
      <c r="B7643" s="1" t="str">
        <f>"83851"</f>
        <v>83851</v>
      </c>
      <c r="C7643" s="2">
        <v>1.2369501756469199E-5</v>
      </c>
      <c r="D7643" s="2">
        <v>0</v>
      </c>
      <c r="E7643" s="2">
        <v>0</v>
      </c>
      <c r="F7643" s="2">
        <v>1.0728002231424401E-5</v>
      </c>
    </row>
    <row r="7644" spans="1:6" x14ac:dyDescent="0.25">
      <c r="A7644" s="1" t="str">
        <f t="shared" si="270"/>
        <v>17660</v>
      </c>
      <c r="B7644" s="1" t="str">
        <f>"83876"</f>
        <v>83876</v>
      </c>
      <c r="C7644" s="2">
        <v>1.0848053040423499E-2</v>
      </c>
      <c r="D7644" s="2">
        <v>1.21182743577314E-3</v>
      </c>
      <c r="E7644" s="2">
        <v>1.7727051966974199E-2</v>
      </c>
      <c r="F7644" s="2">
        <v>1.02988821421674E-2</v>
      </c>
    </row>
    <row r="7645" spans="1:6" x14ac:dyDescent="0.25">
      <c r="A7645" s="1" t="str">
        <f t="shared" si="270"/>
        <v>17660</v>
      </c>
      <c r="B7645" s="1" t="str">
        <f>"83854"</f>
        <v>83854</v>
      </c>
      <c r="C7645" s="2">
        <v>0.24786007619613001</v>
      </c>
      <c r="D7645" s="2">
        <v>0.17765390208434301</v>
      </c>
      <c r="E7645" s="2">
        <v>0.32491500728508899</v>
      </c>
      <c r="F7645" s="2">
        <v>0.24504902697019701</v>
      </c>
    </row>
    <row r="7646" spans="1:6" x14ac:dyDescent="0.25">
      <c r="A7646" s="1" t="str">
        <f t="shared" si="270"/>
        <v>17660</v>
      </c>
      <c r="B7646" s="1" t="str">
        <f>"83835"</f>
        <v>83835</v>
      </c>
      <c r="C7646" s="2">
        <v>0.151328484488644</v>
      </c>
      <c r="D7646" s="2">
        <v>0.180804653417353</v>
      </c>
      <c r="E7646" s="2">
        <v>7.6250607090820696E-2</v>
      </c>
      <c r="F7646" s="2">
        <v>0.15062115132919901</v>
      </c>
    </row>
    <row r="7647" spans="1:6" x14ac:dyDescent="0.25">
      <c r="A7647" s="1" t="str">
        <f t="shared" si="270"/>
        <v>17660</v>
      </c>
      <c r="B7647" s="1" t="str">
        <f>"83810"</f>
        <v>83810</v>
      </c>
      <c r="C7647" s="2">
        <v>6.5063579239028196E-3</v>
      </c>
      <c r="D7647" s="2">
        <v>1.6965584100824E-3</v>
      </c>
      <c r="E7647" s="2">
        <v>1.21418164157357E-3</v>
      </c>
      <c r="F7647" s="2">
        <v>5.8467612161263302E-3</v>
      </c>
    </row>
    <row r="7648" spans="1:6" x14ac:dyDescent="0.25">
      <c r="A7648" s="1" t="str">
        <f t="shared" ref="A7648:A7660" si="271">"17700"</f>
        <v>17700</v>
      </c>
      <c r="B7648" s="1" t="str">
        <f>"66757"</f>
        <v>66757</v>
      </c>
      <c r="C7648" s="2">
        <v>1.24583763922379E-2</v>
      </c>
      <c r="D7648" s="2">
        <v>4.9726504226752801E-4</v>
      </c>
      <c r="E7648" s="2">
        <v>1.91570881226053E-3</v>
      </c>
      <c r="F7648" s="2">
        <v>1.09768933888025E-2</v>
      </c>
    </row>
    <row r="7649" spans="1:6" x14ac:dyDescent="0.25">
      <c r="A7649" s="1" t="str">
        <f t="shared" si="271"/>
        <v>17700</v>
      </c>
      <c r="B7649" s="1" t="str">
        <f>"67337"</f>
        <v>67337</v>
      </c>
      <c r="C7649" s="2">
        <v>0.34871971523711098</v>
      </c>
      <c r="D7649" s="2">
        <v>0.35753356539035303</v>
      </c>
      <c r="E7649" s="2">
        <v>0.463601532567049</v>
      </c>
      <c r="F7649" s="2">
        <v>0.35261390406495902</v>
      </c>
    </row>
    <row r="7650" spans="1:6" x14ac:dyDescent="0.25">
      <c r="A7650" s="1" t="str">
        <f t="shared" si="271"/>
        <v>17700</v>
      </c>
      <c r="B7650" s="1" t="str">
        <f>"67333"</f>
        <v>67333</v>
      </c>
      <c r="C7650" s="2">
        <v>8.2730508669192696E-2</v>
      </c>
      <c r="D7650" s="2">
        <v>7.3595226255594198E-2</v>
      </c>
      <c r="E7650" s="2">
        <v>5.5555555555555497E-2</v>
      </c>
      <c r="F7650" s="2">
        <v>8.1098691794897398E-2</v>
      </c>
    </row>
    <row r="7651" spans="1:6" x14ac:dyDescent="0.25">
      <c r="A7651" s="1" t="str">
        <f t="shared" si="271"/>
        <v>17700</v>
      </c>
      <c r="B7651" s="1" t="str">
        <f>"67340"</f>
        <v>67340</v>
      </c>
      <c r="C7651" s="2">
        <v>9.0710758984958E-3</v>
      </c>
      <c r="D7651" s="2">
        <v>0</v>
      </c>
      <c r="E7651" s="2">
        <v>1.91570881226053E-3</v>
      </c>
      <c r="F7651" s="2">
        <v>7.9695253370758307E-3</v>
      </c>
    </row>
    <row r="7652" spans="1:6" x14ac:dyDescent="0.25">
      <c r="A7652" s="1" t="str">
        <f t="shared" si="271"/>
        <v>17700</v>
      </c>
      <c r="B7652" s="1" t="str">
        <f>"66736"</f>
        <v>66736</v>
      </c>
      <c r="C7652" s="2">
        <v>2.2964749110115901E-4</v>
      </c>
      <c r="D7652" s="2">
        <v>0</v>
      </c>
      <c r="E7652" s="2">
        <v>0</v>
      </c>
      <c r="F7652" s="2">
        <v>2.0049120344844799E-4</v>
      </c>
    </row>
    <row r="7653" spans="1:6" x14ac:dyDescent="0.25">
      <c r="A7653" s="1" t="str">
        <f t="shared" si="271"/>
        <v>17700</v>
      </c>
      <c r="B7653" s="1" t="str">
        <f>"67335"</f>
        <v>67335</v>
      </c>
      <c r="C7653" s="2">
        <v>8.8758755310598195E-2</v>
      </c>
      <c r="D7653" s="2">
        <v>6.7628045748383797E-2</v>
      </c>
      <c r="E7653" s="2">
        <v>0.114942528735632</v>
      </c>
      <c r="F7653" s="2">
        <v>8.7313919101799406E-2</v>
      </c>
    </row>
    <row r="7654" spans="1:6" x14ac:dyDescent="0.25">
      <c r="A7654" s="1" t="str">
        <f t="shared" si="271"/>
        <v>17700</v>
      </c>
      <c r="B7654" s="1" t="str">
        <f>"67344"</f>
        <v>67344</v>
      </c>
      <c r="C7654" s="2">
        <v>1.92903892524974E-2</v>
      </c>
      <c r="D7654" s="2">
        <v>3.9781203381402197E-3</v>
      </c>
      <c r="E7654" s="2">
        <v>1.34099616858237E-2</v>
      </c>
      <c r="F7654" s="2">
        <v>1.7593103102601301E-2</v>
      </c>
    </row>
    <row r="7655" spans="1:6" x14ac:dyDescent="0.25">
      <c r="A7655" s="1" t="str">
        <f t="shared" si="271"/>
        <v>17700</v>
      </c>
      <c r="B7655" s="1" t="str">
        <f>"67363"</f>
        <v>67363</v>
      </c>
      <c r="C7655" s="2">
        <v>2.2964749110115901E-4</v>
      </c>
      <c r="D7655" s="2">
        <v>0</v>
      </c>
      <c r="E7655" s="2">
        <v>1.91570881226053E-3</v>
      </c>
      <c r="F7655" s="2">
        <v>2.5061400431056002E-4</v>
      </c>
    </row>
    <row r="7656" spans="1:6" x14ac:dyDescent="0.25">
      <c r="A7656" s="1" t="str">
        <f t="shared" si="271"/>
        <v>17700</v>
      </c>
      <c r="B7656" s="1" t="str">
        <f>"66776"</f>
        <v>66776</v>
      </c>
      <c r="C7656" s="2">
        <v>1.7223561832586899E-4</v>
      </c>
      <c r="D7656" s="2">
        <v>0</v>
      </c>
      <c r="E7656" s="2">
        <v>0</v>
      </c>
      <c r="F7656" s="2">
        <v>1.5036840258633599E-4</v>
      </c>
    </row>
    <row r="7657" spans="1:6" x14ac:dyDescent="0.25">
      <c r="A7657" s="1" t="str">
        <f t="shared" si="271"/>
        <v>17700</v>
      </c>
      <c r="B7657" s="1" t="str">
        <f>"67364"</f>
        <v>67364</v>
      </c>
      <c r="C7657" s="2">
        <v>4.5929498220231898E-3</v>
      </c>
      <c r="D7657" s="2">
        <v>0</v>
      </c>
      <c r="E7657" s="2">
        <v>1.91570881226053E-3</v>
      </c>
      <c r="F7657" s="2">
        <v>4.0599468698310796E-3</v>
      </c>
    </row>
    <row r="7658" spans="1:6" x14ac:dyDescent="0.25">
      <c r="A7658" s="1" t="str">
        <f t="shared" si="271"/>
        <v>17700</v>
      </c>
      <c r="B7658" s="1" t="str">
        <f>"67347"</f>
        <v>67347</v>
      </c>
      <c r="C7658" s="2">
        <v>1.05637845906533E-2</v>
      </c>
      <c r="D7658" s="2">
        <v>1.4917951268025799E-3</v>
      </c>
      <c r="E7658" s="2">
        <v>5.7471264367815996E-3</v>
      </c>
      <c r="F7658" s="2">
        <v>9.52333216380131E-3</v>
      </c>
    </row>
    <row r="7659" spans="1:6" x14ac:dyDescent="0.25">
      <c r="A7659" s="1" t="str">
        <f t="shared" si="271"/>
        <v>17700</v>
      </c>
      <c r="B7659" s="1" t="str">
        <f>"67301"</f>
        <v>67301</v>
      </c>
      <c r="C7659" s="2">
        <v>0.41858996440463803</v>
      </c>
      <c r="D7659" s="2">
        <v>0.49428145201392298</v>
      </c>
      <c r="E7659" s="2">
        <v>0.33716475095785398</v>
      </c>
      <c r="F7659" s="2">
        <v>0.42408901809433103</v>
      </c>
    </row>
    <row r="7660" spans="1:6" x14ac:dyDescent="0.25">
      <c r="A7660" s="1" t="str">
        <f t="shared" si="271"/>
        <v>17700</v>
      </c>
      <c r="B7660" s="1" t="str">
        <f>"67351"</f>
        <v>67351</v>
      </c>
      <c r="C7660" s="2">
        <v>4.5929498220231898E-3</v>
      </c>
      <c r="D7660" s="2">
        <v>9.945300845350571E-4</v>
      </c>
      <c r="E7660" s="2">
        <v>1.91570881226053E-3</v>
      </c>
      <c r="F7660" s="2">
        <v>4.1601924715553096E-3</v>
      </c>
    </row>
    <row r="7661" spans="1:6" x14ac:dyDescent="0.25">
      <c r="A7661" s="1" t="str">
        <f t="shared" ref="A7661:A7674" si="272">"17740"</f>
        <v>17740</v>
      </c>
      <c r="B7661" s="1" t="str">
        <f>"49040"</f>
        <v>49040</v>
      </c>
      <c r="C7661" s="2">
        <v>7.1945641071190598E-3</v>
      </c>
      <c r="D7661" s="2">
        <v>6.2189054726368104E-4</v>
      </c>
      <c r="E7661" s="2">
        <v>0</v>
      </c>
      <c r="F7661" s="2">
        <v>6.6056086886043097E-3</v>
      </c>
    </row>
    <row r="7662" spans="1:6" x14ac:dyDescent="0.25">
      <c r="A7662" s="1" t="str">
        <f t="shared" si="272"/>
        <v>17740</v>
      </c>
      <c r="B7662" s="1" t="str">
        <f>"49030"</f>
        <v>49030</v>
      </c>
      <c r="C7662" s="2">
        <v>3.19758404760847E-3</v>
      </c>
      <c r="D7662" s="2">
        <v>6.2189054726368104E-4</v>
      </c>
      <c r="E7662" s="2">
        <v>1.81488203266787E-3</v>
      </c>
      <c r="F7662" s="2">
        <v>2.9988652942130002E-3</v>
      </c>
    </row>
    <row r="7663" spans="1:6" x14ac:dyDescent="0.25">
      <c r="A7663" s="1" t="str">
        <f t="shared" si="272"/>
        <v>17740</v>
      </c>
      <c r="B7663" s="1" t="str">
        <f>"49245"</f>
        <v>49245</v>
      </c>
      <c r="C7663" s="2">
        <v>2.22054447750588E-3</v>
      </c>
      <c r="D7663" s="2">
        <v>2.4875621890547198E-3</v>
      </c>
      <c r="E7663" s="2">
        <v>0</v>
      </c>
      <c r="F7663" s="2">
        <v>2.1883611606419101E-3</v>
      </c>
    </row>
    <row r="7664" spans="1:6" x14ac:dyDescent="0.25">
      <c r="A7664" s="1" t="str">
        <f t="shared" si="272"/>
        <v>17740</v>
      </c>
      <c r="B7664" s="1" t="str">
        <f>"49092"</f>
        <v>49092</v>
      </c>
      <c r="C7664" s="2">
        <v>1.03033263756273E-2</v>
      </c>
      <c r="D7664" s="2">
        <v>1.86567164179104E-3</v>
      </c>
      <c r="E7664" s="2">
        <v>0</v>
      </c>
      <c r="F7664" s="2">
        <v>9.5234235694602008E-3</v>
      </c>
    </row>
    <row r="7665" spans="1:6" x14ac:dyDescent="0.25">
      <c r="A7665" s="1" t="str">
        <f t="shared" si="272"/>
        <v>17740</v>
      </c>
      <c r="B7665" s="1" t="str">
        <f>"49011"</f>
        <v>49011</v>
      </c>
      <c r="C7665" s="2">
        <v>1.73202469245458E-3</v>
      </c>
      <c r="D7665" s="2">
        <v>3.1094527363183999E-3</v>
      </c>
      <c r="E7665" s="2">
        <v>0</v>
      </c>
      <c r="F7665" s="2">
        <v>1.7831090938563699E-3</v>
      </c>
    </row>
    <row r="7666" spans="1:6" x14ac:dyDescent="0.25">
      <c r="A7666" s="1" t="str">
        <f t="shared" si="272"/>
        <v>17740</v>
      </c>
      <c r="B7666" s="1" t="str">
        <f>"49089"</f>
        <v>49089</v>
      </c>
      <c r="C7666" s="2">
        <v>3.9436869920504498E-2</v>
      </c>
      <c r="D7666" s="2">
        <v>9.3283582089552196E-3</v>
      </c>
      <c r="E7666" s="2">
        <v>1.27041742286751E-2</v>
      </c>
      <c r="F7666" s="2">
        <v>3.6877938077484101E-2</v>
      </c>
    </row>
    <row r="7667" spans="1:6" x14ac:dyDescent="0.25">
      <c r="A7667" s="1" t="str">
        <f t="shared" si="272"/>
        <v>17740</v>
      </c>
      <c r="B7667" s="1" t="str">
        <f>"49082"</f>
        <v>49082</v>
      </c>
      <c r="C7667" s="2">
        <v>0.13256650530710101</v>
      </c>
      <c r="D7667" s="2">
        <v>9.9502487562189004E-2</v>
      </c>
      <c r="E7667" s="2">
        <v>0.125226860254083</v>
      </c>
      <c r="F7667" s="2">
        <v>0.13024801426487201</v>
      </c>
    </row>
    <row r="7668" spans="1:6" x14ac:dyDescent="0.25">
      <c r="A7668" s="1" t="str">
        <f t="shared" si="272"/>
        <v>17740</v>
      </c>
      <c r="B7668" s="1" t="str">
        <f>"49094"</f>
        <v>49094</v>
      </c>
      <c r="C7668" s="2">
        <v>7.5454101345649893E-2</v>
      </c>
      <c r="D7668" s="2">
        <v>5.6592039800995003E-2</v>
      </c>
      <c r="E7668" s="2">
        <v>5.8076225045372E-2</v>
      </c>
      <c r="F7668" s="2">
        <v>7.3836926568325398E-2</v>
      </c>
    </row>
    <row r="7669" spans="1:6" x14ac:dyDescent="0.25">
      <c r="A7669" s="1" t="str">
        <f t="shared" si="272"/>
        <v>17740</v>
      </c>
      <c r="B7669" s="1" t="str">
        <f>"49036"</f>
        <v>49036</v>
      </c>
      <c r="C7669" s="2">
        <v>0.57272283163831705</v>
      </c>
      <c r="D7669" s="2">
        <v>0.73694029850746201</v>
      </c>
      <c r="E7669" s="2">
        <v>0.69872958257713202</v>
      </c>
      <c r="F7669" s="2">
        <v>0.58623763981196297</v>
      </c>
    </row>
    <row r="7670" spans="1:6" x14ac:dyDescent="0.25">
      <c r="A7670" s="1" t="str">
        <f t="shared" si="272"/>
        <v>17740</v>
      </c>
      <c r="B7670" s="1" t="str">
        <f>"49028"</f>
        <v>49028</v>
      </c>
      <c r="C7670" s="2">
        <v>0.130079495492294</v>
      </c>
      <c r="D7670" s="2">
        <v>8.7686567164179094E-2</v>
      </c>
      <c r="E7670" s="2">
        <v>9.6188747731397406E-2</v>
      </c>
      <c r="F7670" s="2">
        <v>0.12656022045712401</v>
      </c>
    </row>
    <row r="7671" spans="1:6" x14ac:dyDescent="0.25">
      <c r="A7671" s="1" t="str">
        <f t="shared" si="272"/>
        <v>17740</v>
      </c>
      <c r="B7671" s="1" t="str">
        <f>"49255"</f>
        <v>49255</v>
      </c>
      <c r="C7671" s="2">
        <v>1.6387618243993402E-2</v>
      </c>
      <c r="D7671" s="2">
        <v>0</v>
      </c>
      <c r="E7671" s="2">
        <v>7.2595281306715E-3</v>
      </c>
      <c r="F7671" s="2">
        <v>1.51159020911006E-2</v>
      </c>
    </row>
    <row r="7672" spans="1:6" x14ac:dyDescent="0.25">
      <c r="A7672" s="1" t="str">
        <f t="shared" si="272"/>
        <v>17740</v>
      </c>
      <c r="B7672" s="1" t="str">
        <f>"49274"</f>
        <v>49274</v>
      </c>
      <c r="C7672" s="2">
        <v>5.9954700892658804E-3</v>
      </c>
      <c r="D7672" s="2">
        <v>1.2437810945273599E-3</v>
      </c>
      <c r="E7672" s="2">
        <v>0</v>
      </c>
      <c r="F7672" s="2">
        <v>5.5519533149619004E-3</v>
      </c>
    </row>
    <row r="7673" spans="1:6" x14ac:dyDescent="0.25">
      <c r="A7673" s="1" t="str">
        <f t="shared" si="272"/>
        <v>17740</v>
      </c>
      <c r="B7673" s="1" t="str">
        <f>"49227"</f>
        <v>49227</v>
      </c>
      <c r="C7673" s="2">
        <v>5.3293067460141199E-4</v>
      </c>
      <c r="D7673" s="2">
        <v>0</v>
      </c>
      <c r="E7673" s="2">
        <v>0</v>
      </c>
      <c r="F7673" s="2">
        <v>4.8630248014264801E-4</v>
      </c>
    </row>
    <row r="7674" spans="1:6" x14ac:dyDescent="0.25">
      <c r="A7674" s="1" t="str">
        <f t="shared" si="272"/>
        <v>17740</v>
      </c>
      <c r="B7674" s="1" t="str">
        <f>"49252"</f>
        <v>49252</v>
      </c>
      <c r="C7674" s="2">
        <v>2.1761335879557598E-3</v>
      </c>
      <c r="D7674" s="2">
        <v>0</v>
      </c>
      <c r="E7674" s="2">
        <v>0</v>
      </c>
      <c r="F7674" s="2">
        <v>1.9857351272491398E-3</v>
      </c>
    </row>
    <row r="7675" spans="1:6" x14ac:dyDescent="0.25">
      <c r="A7675" s="1" t="str">
        <f t="shared" ref="A7675:A7709" si="273">"17780"</f>
        <v>17780</v>
      </c>
      <c r="B7675" s="1" t="str">
        <f>"77862"</f>
        <v>77862</v>
      </c>
      <c r="C7675" s="2">
        <v>0</v>
      </c>
      <c r="D7675" s="2">
        <v>1.00040016006402E-4</v>
      </c>
      <c r="E7675" s="2">
        <v>0</v>
      </c>
      <c r="F7675" s="2">
        <v>7.1865926926725502E-6</v>
      </c>
    </row>
    <row r="7676" spans="1:6" x14ac:dyDescent="0.25">
      <c r="A7676" s="1" t="str">
        <f t="shared" si="273"/>
        <v>17780</v>
      </c>
      <c r="B7676" s="1" t="str">
        <f>"77863"</f>
        <v>77863</v>
      </c>
      <c r="C7676" s="2">
        <v>0</v>
      </c>
      <c r="D7676" s="2">
        <v>0</v>
      </c>
      <c r="E7676" s="2">
        <v>2.7956388034665899E-4</v>
      </c>
      <c r="F7676" s="2">
        <v>7.1865926926725502E-6</v>
      </c>
    </row>
    <row r="7677" spans="1:6" x14ac:dyDescent="0.25">
      <c r="A7677" s="1" t="str">
        <f t="shared" si="273"/>
        <v>17780</v>
      </c>
      <c r="B7677" s="1" t="str">
        <f>"77856"</f>
        <v>77856</v>
      </c>
      <c r="C7677" s="2">
        <v>1.7670714712323302E-2</v>
      </c>
      <c r="D7677" s="2">
        <v>9.9039615846338493E-3</v>
      </c>
      <c r="E7677" s="2">
        <v>1.6773832820799501E-3</v>
      </c>
      <c r="F7677" s="2">
        <v>1.6701641417771002E-2</v>
      </c>
    </row>
    <row r="7678" spans="1:6" x14ac:dyDescent="0.25">
      <c r="A7678" s="1" t="str">
        <f t="shared" si="273"/>
        <v>17780</v>
      </c>
      <c r="B7678" s="1" t="str">
        <f>"77879"</f>
        <v>77879</v>
      </c>
      <c r="C7678" s="2">
        <v>1.9860641051164599E-2</v>
      </c>
      <c r="D7678" s="2">
        <v>7.80312124849939E-3</v>
      </c>
      <c r="E7678" s="2">
        <v>2.51607492311993E-3</v>
      </c>
      <c r="F7678" s="2">
        <v>1.8548595739787802E-2</v>
      </c>
    </row>
    <row r="7679" spans="1:6" x14ac:dyDescent="0.25">
      <c r="A7679" s="1" t="str">
        <f t="shared" si="273"/>
        <v>17780</v>
      </c>
      <c r="B7679" s="1" t="str">
        <f>"77870"</f>
        <v>77870</v>
      </c>
      <c r="C7679" s="2">
        <v>0</v>
      </c>
      <c r="D7679" s="2">
        <v>1.00040016006402E-4</v>
      </c>
      <c r="E7679" s="2">
        <v>0</v>
      </c>
      <c r="F7679" s="2">
        <v>7.1865926926725502E-6</v>
      </c>
    </row>
    <row r="7680" spans="1:6" x14ac:dyDescent="0.25">
      <c r="A7680" s="1" t="str">
        <f t="shared" si="273"/>
        <v>17780</v>
      </c>
      <c r="B7680" s="1" t="str">
        <f>"76687"</f>
        <v>76687</v>
      </c>
      <c r="C7680" s="2">
        <v>1.39358948835357E-3</v>
      </c>
      <c r="D7680" s="2">
        <v>3.0012004801920701E-4</v>
      </c>
      <c r="E7680" s="2">
        <v>0</v>
      </c>
      <c r="F7680" s="2">
        <v>1.27921349929571E-3</v>
      </c>
    </row>
    <row r="7681" spans="1:6" x14ac:dyDescent="0.25">
      <c r="A7681" s="1" t="str">
        <f t="shared" si="273"/>
        <v>17780</v>
      </c>
      <c r="B7681" s="1" t="str">
        <f>"77845"</f>
        <v>77845</v>
      </c>
      <c r="C7681" s="2">
        <v>0.23621739996018301</v>
      </c>
      <c r="D7681" s="2">
        <v>0.17086834733893499</v>
      </c>
      <c r="E7681" s="2">
        <v>0.17920044730220799</v>
      </c>
      <c r="F7681" s="2">
        <v>0.23005720527783299</v>
      </c>
    </row>
    <row r="7682" spans="1:6" x14ac:dyDescent="0.25">
      <c r="A7682" s="1" t="str">
        <f t="shared" si="273"/>
        <v>17780</v>
      </c>
      <c r="B7682" s="1" t="str">
        <f>"77868"</f>
        <v>77868</v>
      </c>
      <c r="C7682" s="2">
        <v>3.9179773043997602E-3</v>
      </c>
      <c r="D7682" s="2">
        <v>2.60104041616646E-3</v>
      </c>
      <c r="E7682" s="2">
        <v>0</v>
      </c>
      <c r="F7682" s="2">
        <v>3.72265501480438E-3</v>
      </c>
    </row>
    <row r="7683" spans="1:6" x14ac:dyDescent="0.25">
      <c r="A7683" s="1" t="str">
        <f t="shared" si="273"/>
        <v>17780</v>
      </c>
      <c r="B7683" s="1" t="str">
        <f>"77808"</f>
        <v>77808</v>
      </c>
      <c r="C7683" s="2">
        <v>5.1411507067489502E-2</v>
      </c>
      <c r="D7683" s="2">
        <v>5.0320128051220402E-2</v>
      </c>
      <c r="E7683" s="2">
        <v>1.09029913335197E-2</v>
      </c>
      <c r="F7683" s="2">
        <v>5.0291775663322498E-2</v>
      </c>
    </row>
    <row r="7684" spans="1:6" x14ac:dyDescent="0.25">
      <c r="A7684" s="1" t="str">
        <f t="shared" si="273"/>
        <v>17780</v>
      </c>
      <c r="B7684" s="1" t="str">
        <f>"76653"</f>
        <v>76653</v>
      </c>
      <c r="C7684" s="2">
        <v>2.3890105514632601E-5</v>
      </c>
      <c r="D7684" s="2">
        <v>0</v>
      </c>
      <c r="E7684" s="2">
        <v>0</v>
      </c>
      <c r="F7684" s="2">
        <v>2.1559778078017599E-5</v>
      </c>
    </row>
    <row r="7685" spans="1:6" x14ac:dyDescent="0.25">
      <c r="A7685" s="1" t="str">
        <f t="shared" si="273"/>
        <v>17780</v>
      </c>
      <c r="B7685" s="1" t="str">
        <f>"77878"</f>
        <v>77878</v>
      </c>
      <c r="C7685" s="2">
        <v>0</v>
      </c>
      <c r="D7685" s="2">
        <v>1.00040016006402E-4</v>
      </c>
      <c r="E7685" s="2">
        <v>0</v>
      </c>
      <c r="F7685" s="2">
        <v>7.1865926926725502E-6</v>
      </c>
    </row>
    <row r="7686" spans="1:6" x14ac:dyDescent="0.25">
      <c r="A7686" s="1" t="str">
        <f t="shared" si="273"/>
        <v>17780</v>
      </c>
      <c r="B7686" s="1" t="str">
        <f>"77852"</f>
        <v>77852</v>
      </c>
      <c r="C7686" s="2">
        <v>0</v>
      </c>
      <c r="D7686" s="2">
        <v>1.00040016006402E-4</v>
      </c>
      <c r="E7686" s="2">
        <v>0</v>
      </c>
      <c r="F7686" s="2">
        <v>7.1865926926725502E-6</v>
      </c>
    </row>
    <row r="7687" spans="1:6" x14ac:dyDescent="0.25">
      <c r="A7687" s="1" t="str">
        <f t="shared" si="273"/>
        <v>17780</v>
      </c>
      <c r="B7687" s="1" t="str">
        <f>"77803"</f>
        <v>77803</v>
      </c>
      <c r="C7687" s="2">
        <v>8.7262592076448306E-2</v>
      </c>
      <c r="D7687" s="2">
        <v>0.110444177671068</v>
      </c>
      <c r="E7687" s="2">
        <v>6.1224489795918297E-2</v>
      </c>
      <c r="F7687" s="2">
        <v>8.8258544858711499E-2</v>
      </c>
    </row>
    <row r="7688" spans="1:6" x14ac:dyDescent="0.25">
      <c r="A7688" s="1" t="str">
        <f t="shared" si="273"/>
        <v>17780</v>
      </c>
      <c r="B7688" s="1" t="str">
        <f>"77805"</f>
        <v>77805</v>
      </c>
      <c r="C7688" s="2">
        <v>1.8690025880947599E-2</v>
      </c>
      <c r="D7688" s="2">
        <v>7.0528211284513795E-2</v>
      </c>
      <c r="E7688" s="2">
        <v>5.5912776069331799E-4</v>
      </c>
      <c r="F7688" s="2">
        <v>2.1947854083421901E-2</v>
      </c>
    </row>
    <row r="7689" spans="1:6" x14ac:dyDescent="0.25">
      <c r="A7689" s="1" t="str">
        <f t="shared" si="273"/>
        <v>17780</v>
      </c>
      <c r="B7689" s="1" t="str">
        <f>"77806"</f>
        <v>77806</v>
      </c>
      <c r="C7689" s="2">
        <v>1.04240493728847E-2</v>
      </c>
      <c r="D7689" s="2">
        <v>2.5310124049619801E-2</v>
      </c>
      <c r="E7689" s="2">
        <v>5.5912776069331799E-4</v>
      </c>
      <c r="F7689" s="2">
        <v>1.12398309713398E-2</v>
      </c>
    </row>
    <row r="7690" spans="1:6" x14ac:dyDescent="0.25">
      <c r="A7690" s="1" t="str">
        <f t="shared" si="273"/>
        <v>17780</v>
      </c>
      <c r="B7690" s="1" t="str">
        <f>"77865"</f>
        <v>77865</v>
      </c>
      <c r="C7690" s="2">
        <v>1.11487159068285E-4</v>
      </c>
      <c r="D7690" s="2">
        <v>0</v>
      </c>
      <c r="E7690" s="2">
        <v>0</v>
      </c>
      <c r="F7690" s="2">
        <v>1.00612297697415E-4</v>
      </c>
    </row>
    <row r="7691" spans="1:6" x14ac:dyDescent="0.25">
      <c r="A7691" s="1" t="str">
        <f t="shared" si="273"/>
        <v>17780</v>
      </c>
      <c r="B7691" s="1" t="str">
        <f>"77867"</f>
        <v>77867</v>
      </c>
      <c r="C7691" s="2">
        <v>0</v>
      </c>
      <c r="D7691" s="2">
        <v>1.00040016006402E-4</v>
      </c>
      <c r="E7691" s="2">
        <v>0</v>
      </c>
      <c r="F7691" s="2">
        <v>7.1865926926725502E-6</v>
      </c>
    </row>
    <row r="7692" spans="1:6" x14ac:dyDescent="0.25">
      <c r="A7692" s="1" t="str">
        <f t="shared" si="273"/>
        <v>17780</v>
      </c>
      <c r="B7692" s="1" t="str">
        <f>"77881"</f>
        <v>77881</v>
      </c>
      <c r="C7692" s="2">
        <v>2.7393987656778801E-3</v>
      </c>
      <c r="D7692" s="2">
        <v>1.2705082032813101E-2</v>
      </c>
      <c r="E7692" s="2">
        <v>2.7956388034665899E-4</v>
      </c>
      <c r="F7692" s="2">
        <v>3.3920717509414401E-3</v>
      </c>
    </row>
    <row r="7693" spans="1:6" x14ac:dyDescent="0.25">
      <c r="A7693" s="1" t="str">
        <f t="shared" si="273"/>
        <v>17780</v>
      </c>
      <c r="B7693" s="1" t="str">
        <f>"77837"</f>
        <v>77837</v>
      </c>
      <c r="C7693" s="2">
        <v>3.9179773043997602E-3</v>
      </c>
      <c r="D7693" s="2">
        <v>3.1012404961984698E-3</v>
      </c>
      <c r="E7693" s="2">
        <v>1.1182555213866299E-3</v>
      </c>
      <c r="F7693" s="2">
        <v>3.7873343490384299E-3</v>
      </c>
    </row>
    <row r="7694" spans="1:6" x14ac:dyDescent="0.25">
      <c r="A7694" s="1" t="str">
        <f t="shared" si="273"/>
        <v>17780</v>
      </c>
      <c r="B7694" s="1" t="str">
        <f>"76629"</f>
        <v>76629</v>
      </c>
      <c r="C7694" s="2">
        <v>6.9281305992434702E-3</v>
      </c>
      <c r="D7694" s="2">
        <v>3.60144057623049E-3</v>
      </c>
      <c r="E7694" s="2">
        <v>4.1934582051998803E-3</v>
      </c>
      <c r="F7694" s="2">
        <v>6.6188518699514098E-3</v>
      </c>
    </row>
    <row r="7695" spans="1:6" x14ac:dyDescent="0.25">
      <c r="A7695" s="1" t="str">
        <f t="shared" si="273"/>
        <v>17780</v>
      </c>
      <c r="B7695" s="1" t="str">
        <f>"76556"</f>
        <v>76556</v>
      </c>
      <c r="C7695" s="2">
        <v>1.35377264582918E-4</v>
      </c>
      <c r="D7695" s="2">
        <v>0</v>
      </c>
      <c r="E7695" s="2">
        <v>0</v>
      </c>
      <c r="F7695" s="2">
        <v>1.22172075775433E-4</v>
      </c>
    </row>
    <row r="7696" spans="1:6" x14ac:dyDescent="0.25">
      <c r="A7696" s="1" t="str">
        <f t="shared" si="273"/>
        <v>17780</v>
      </c>
      <c r="B7696" s="1" t="str">
        <f>"77882"</f>
        <v>77882</v>
      </c>
      <c r="C7696" s="2">
        <v>0</v>
      </c>
      <c r="D7696" s="2">
        <v>1.00040016006402E-4</v>
      </c>
      <c r="E7696" s="2">
        <v>0</v>
      </c>
      <c r="F7696" s="2">
        <v>7.1865926926725502E-6</v>
      </c>
    </row>
    <row r="7697" spans="1:6" x14ac:dyDescent="0.25">
      <c r="A7697" s="1" t="str">
        <f t="shared" si="273"/>
        <v>17780</v>
      </c>
      <c r="B7697" s="1" t="str">
        <f>"77842"</f>
        <v>77842</v>
      </c>
      <c r="C7697" s="2">
        <v>1.4803902050567299E-2</v>
      </c>
      <c r="D7697" s="2">
        <v>7.5730292116846704E-2</v>
      </c>
      <c r="E7697" s="2">
        <v>2.7956388034665899E-4</v>
      </c>
      <c r="F7697" s="2">
        <v>1.8807313076724001E-2</v>
      </c>
    </row>
    <row r="7698" spans="1:6" x14ac:dyDescent="0.25">
      <c r="A7698" s="1" t="str">
        <f t="shared" si="273"/>
        <v>17780</v>
      </c>
      <c r="B7698" s="1" t="str">
        <f>"77840"</f>
        <v>77840</v>
      </c>
      <c r="C7698" s="2">
        <v>0.19358948835357301</v>
      </c>
      <c r="D7698" s="2">
        <v>0.15626250500200001</v>
      </c>
      <c r="E7698" s="2">
        <v>0.43723790886217501</v>
      </c>
      <c r="F7698" s="2">
        <v>0.19717135711616399</v>
      </c>
    </row>
    <row r="7699" spans="1:6" x14ac:dyDescent="0.25">
      <c r="A7699" s="1" t="str">
        <f t="shared" si="273"/>
        <v>17780</v>
      </c>
      <c r="B7699" s="1" t="str">
        <f>"77836"</f>
        <v>77836</v>
      </c>
      <c r="C7699" s="2">
        <v>4.25084610790364E-2</v>
      </c>
      <c r="D7699" s="2">
        <v>4.2917166866746598E-2</v>
      </c>
      <c r="E7699" s="2">
        <v>2.04081632653061E-2</v>
      </c>
      <c r="F7699" s="2">
        <v>4.1969701325207602E-2</v>
      </c>
    </row>
    <row r="7700" spans="1:6" x14ac:dyDescent="0.25">
      <c r="A7700" s="1" t="str">
        <f t="shared" si="273"/>
        <v>17780</v>
      </c>
      <c r="B7700" s="1" t="str">
        <f>"77807"</f>
        <v>77807</v>
      </c>
      <c r="C7700" s="2">
        <v>5.0065697790165203E-2</v>
      </c>
      <c r="D7700" s="2">
        <v>2.2408963585434101E-2</v>
      </c>
      <c r="E7700" s="2">
        <v>1.5655577299412901E-2</v>
      </c>
      <c r="F7700" s="2">
        <v>4.71943542127806E-2</v>
      </c>
    </row>
    <row r="7701" spans="1:6" x14ac:dyDescent="0.25">
      <c r="A7701" s="1" t="str">
        <f t="shared" si="273"/>
        <v>17780</v>
      </c>
      <c r="B7701" s="1" t="str">
        <f>"76567"</f>
        <v>76567</v>
      </c>
      <c r="C7701" s="2">
        <v>8.9189727254628697E-4</v>
      </c>
      <c r="D7701" s="2">
        <v>1.00040016006402E-4</v>
      </c>
      <c r="E7701" s="2">
        <v>0</v>
      </c>
      <c r="F7701" s="2">
        <v>8.1208497427199796E-4</v>
      </c>
    </row>
    <row r="7702" spans="1:6" x14ac:dyDescent="0.25">
      <c r="A7702" s="1" t="str">
        <f t="shared" si="273"/>
        <v>17780</v>
      </c>
      <c r="B7702" s="1" t="str">
        <f>"77843"</f>
        <v>77843</v>
      </c>
      <c r="C7702" s="2">
        <v>0</v>
      </c>
      <c r="D7702" s="2">
        <v>3.0012004801920701E-4</v>
      </c>
      <c r="E7702" s="2">
        <v>2.7956388034665899E-4</v>
      </c>
      <c r="F7702" s="2">
        <v>2.8746370770690201E-5</v>
      </c>
    </row>
    <row r="7703" spans="1:6" x14ac:dyDescent="0.25">
      <c r="A7703" s="1" t="str">
        <f t="shared" si="273"/>
        <v>17780</v>
      </c>
      <c r="B7703" s="1" t="str">
        <f>"77866"</f>
        <v>77866</v>
      </c>
      <c r="C7703" s="2">
        <v>0</v>
      </c>
      <c r="D7703" s="2">
        <v>1.00040016006402E-4</v>
      </c>
      <c r="E7703" s="2">
        <v>0</v>
      </c>
      <c r="F7703" s="2">
        <v>7.1865926926725502E-6</v>
      </c>
    </row>
    <row r="7704" spans="1:6" x14ac:dyDescent="0.25">
      <c r="A7704" s="1" t="str">
        <f t="shared" si="273"/>
        <v>17780</v>
      </c>
      <c r="B7704" s="1" t="str">
        <f>"77838"</f>
        <v>77838</v>
      </c>
      <c r="C7704" s="2">
        <v>0</v>
      </c>
      <c r="D7704" s="2">
        <v>1.00040016006402E-4</v>
      </c>
      <c r="E7704" s="2">
        <v>0</v>
      </c>
      <c r="F7704" s="2">
        <v>7.1865926926725502E-6</v>
      </c>
    </row>
    <row r="7705" spans="1:6" x14ac:dyDescent="0.25">
      <c r="A7705" s="1" t="str">
        <f t="shared" si="273"/>
        <v>17780</v>
      </c>
      <c r="B7705" s="1" t="str">
        <f>"77844"</f>
        <v>77844</v>
      </c>
      <c r="C7705" s="2">
        <v>0</v>
      </c>
      <c r="D7705" s="2">
        <v>1.00040016006402E-4</v>
      </c>
      <c r="E7705" s="2">
        <v>0</v>
      </c>
      <c r="F7705" s="2">
        <v>7.1865926926725502E-6</v>
      </c>
    </row>
    <row r="7706" spans="1:6" x14ac:dyDescent="0.25">
      <c r="A7706" s="1" t="str">
        <f t="shared" si="273"/>
        <v>17780</v>
      </c>
      <c r="B7706" s="1" t="str">
        <f>"77859"</f>
        <v>77859</v>
      </c>
      <c r="C7706" s="2">
        <v>2.8723870197093299E-2</v>
      </c>
      <c r="D7706" s="2">
        <v>3.2412965186074401E-2</v>
      </c>
      <c r="E7706" s="2">
        <v>1.84512161028795E-2</v>
      </c>
      <c r="F7706" s="2">
        <v>2.87248109926121E-2</v>
      </c>
    </row>
    <row r="7707" spans="1:6" x14ac:dyDescent="0.25">
      <c r="A7707" s="1" t="str">
        <f t="shared" si="273"/>
        <v>17780</v>
      </c>
      <c r="B7707" s="1" t="str">
        <f>"77841"</f>
        <v>77841</v>
      </c>
      <c r="C7707" s="2">
        <v>4.6633485964563001E-2</v>
      </c>
      <c r="D7707" s="2">
        <v>9.60384153661464E-3</v>
      </c>
      <c r="E7707" s="2">
        <v>2.7956388034665899E-4</v>
      </c>
      <c r="F7707" s="2">
        <v>4.2781786299479603E-2</v>
      </c>
    </row>
    <row r="7708" spans="1:6" x14ac:dyDescent="0.25">
      <c r="A7708" s="1" t="str">
        <f t="shared" si="273"/>
        <v>17780</v>
      </c>
      <c r="B7708" s="1" t="str">
        <f>"77802"</f>
        <v>77802</v>
      </c>
      <c r="C7708" s="2">
        <v>0.102823014134979</v>
      </c>
      <c r="D7708" s="2">
        <v>0.143357342937174</v>
      </c>
      <c r="E7708" s="2">
        <v>0.110148168856583</v>
      </c>
      <c r="F7708" s="2">
        <v>0.1059231896973</v>
      </c>
    </row>
    <row r="7709" spans="1:6" x14ac:dyDescent="0.25">
      <c r="A7709" s="1" t="str">
        <f t="shared" si="273"/>
        <v>17780</v>
      </c>
      <c r="B7709" s="1" t="str">
        <f>"77801"</f>
        <v>77801</v>
      </c>
      <c r="C7709" s="2">
        <v>5.9255425044793898E-2</v>
      </c>
      <c r="D7709" s="2">
        <v>4.8519407763105198E-2</v>
      </c>
      <c r="E7709" s="2">
        <v>0.134749790327089</v>
      </c>
      <c r="F7709" s="2">
        <v>6.0424871359990799E-2</v>
      </c>
    </row>
    <row r="7710" spans="1:6" x14ac:dyDescent="0.25">
      <c r="A7710" s="1" t="str">
        <f t="shared" ref="A7710:A7741" si="274">"17820"</f>
        <v>17820</v>
      </c>
      <c r="B7710" s="1" t="str">
        <f>"80923"</f>
        <v>80923</v>
      </c>
      <c r="C7710" s="2">
        <v>3.5285860885360697E-2</v>
      </c>
      <c r="D7710" s="2">
        <v>9.7752032386531906E-3</v>
      </c>
      <c r="E7710" s="2">
        <v>9.3615715162676406E-3</v>
      </c>
      <c r="F7710" s="2">
        <v>3.1990993376121601E-2</v>
      </c>
    </row>
    <row r="7711" spans="1:6" x14ac:dyDescent="0.25">
      <c r="A7711" s="1" t="str">
        <f t="shared" si="274"/>
        <v>17820</v>
      </c>
      <c r="B7711" s="1" t="str">
        <f>"80863"</f>
        <v>80863</v>
      </c>
      <c r="C7711" s="2">
        <v>2.07097276448177E-2</v>
      </c>
      <c r="D7711" s="2">
        <v>1.6654049962149801E-2</v>
      </c>
      <c r="E7711" s="2">
        <v>1.93881727030898E-2</v>
      </c>
      <c r="F7711" s="2">
        <v>2.0326592930931201E-2</v>
      </c>
    </row>
    <row r="7712" spans="1:6" x14ac:dyDescent="0.25">
      <c r="A7712" s="1" t="str">
        <f t="shared" si="274"/>
        <v>17820</v>
      </c>
      <c r="B7712" s="1" t="str">
        <f>"80864"</f>
        <v>80864</v>
      </c>
      <c r="C7712" s="2">
        <v>2.0848323287606602E-3</v>
      </c>
      <c r="D7712" s="2">
        <v>6.5826284435374996E-5</v>
      </c>
      <c r="E7712" s="2">
        <v>5.6271741354614201E-4</v>
      </c>
      <c r="F7712" s="2">
        <v>1.8506761393867501E-3</v>
      </c>
    </row>
    <row r="7713" spans="1:6" x14ac:dyDescent="0.25">
      <c r="A7713" s="1" t="str">
        <f t="shared" si="274"/>
        <v>17820</v>
      </c>
      <c r="B7713" s="1" t="str">
        <f>"80833"</f>
        <v>80833</v>
      </c>
      <c r="C7713" s="2">
        <v>5.3668951037403104E-4</v>
      </c>
      <c r="D7713" s="2">
        <v>6.5826284435374996E-5</v>
      </c>
      <c r="E7713" s="2">
        <v>2.5578064252097397E-4</v>
      </c>
      <c r="F7713" s="2">
        <v>4.85802486589023E-4</v>
      </c>
    </row>
    <row r="7714" spans="1:6" x14ac:dyDescent="0.25">
      <c r="A7714" s="1" t="str">
        <f t="shared" si="274"/>
        <v>17820</v>
      </c>
      <c r="B7714" s="1" t="str">
        <f>"80819"</f>
        <v>80819</v>
      </c>
      <c r="C7714" s="2">
        <v>1.19723044621899E-3</v>
      </c>
      <c r="D7714" s="2">
        <v>0</v>
      </c>
      <c r="E7714" s="2">
        <v>2.0462451401677899E-4</v>
      </c>
      <c r="F7714" s="2">
        <v>1.05385724603968E-3</v>
      </c>
    </row>
    <row r="7715" spans="1:6" x14ac:dyDescent="0.25">
      <c r="A7715" s="1" t="str">
        <f t="shared" si="274"/>
        <v>17820</v>
      </c>
      <c r="B7715" s="1" t="str">
        <f>"80920"</f>
        <v>80920</v>
      </c>
      <c r="C7715" s="2">
        <v>4.4993453567510798E-2</v>
      </c>
      <c r="D7715" s="2">
        <v>5.3944640094789803E-2</v>
      </c>
      <c r="E7715" s="2">
        <v>3.0386740331491701E-2</v>
      </c>
      <c r="F7715" s="2">
        <v>4.4958578269463499E-2</v>
      </c>
    </row>
    <row r="7716" spans="1:6" x14ac:dyDescent="0.25">
      <c r="A7716" s="1" t="str">
        <f t="shared" si="274"/>
        <v>17820</v>
      </c>
      <c r="B7716" s="1" t="str">
        <f>"80927"</f>
        <v>80927</v>
      </c>
      <c r="C7716" s="2">
        <v>7.5608346406539299E-3</v>
      </c>
      <c r="D7716" s="2">
        <v>9.8739426653062494E-5</v>
      </c>
      <c r="E7716" s="2">
        <v>5.1156128504194803E-5</v>
      </c>
      <c r="F7716" s="2">
        <v>6.6007448971461E-3</v>
      </c>
    </row>
    <row r="7717" spans="1:6" x14ac:dyDescent="0.25">
      <c r="A7717" s="1" t="str">
        <f t="shared" si="274"/>
        <v>17820</v>
      </c>
      <c r="B7717" s="1" t="str">
        <f>"80928"</f>
        <v>80928</v>
      </c>
      <c r="C7717" s="2">
        <v>1.45377982755163E-3</v>
      </c>
      <c r="D7717" s="2">
        <v>1.64565711088437E-4</v>
      </c>
      <c r="E7717" s="2">
        <v>7.16185799058727E-4</v>
      </c>
      <c r="F7717" s="2">
        <v>1.3160363657861299E-3</v>
      </c>
    </row>
    <row r="7718" spans="1:6" x14ac:dyDescent="0.25">
      <c r="A7718" s="1" t="str">
        <f t="shared" si="274"/>
        <v>17820</v>
      </c>
      <c r="B7718" s="1" t="str">
        <f>"80938"</f>
        <v>80938</v>
      </c>
      <c r="C7718" s="2">
        <v>5.6617794500996705E-4</v>
      </c>
      <c r="D7718" s="2">
        <v>6.5826284435374996E-5</v>
      </c>
      <c r="E7718" s="2">
        <v>5.1156128504194803E-5</v>
      </c>
      <c r="F7718" s="2">
        <v>5.0122478775058003E-4</v>
      </c>
    </row>
    <row r="7719" spans="1:6" x14ac:dyDescent="0.25">
      <c r="A7719" s="1" t="str">
        <f t="shared" si="274"/>
        <v>17820</v>
      </c>
      <c r="B7719" s="1" t="str">
        <f>"80947"</f>
        <v>80947</v>
      </c>
      <c r="C7719" s="2">
        <v>0</v>
      </c>
      <c r="D7719" s="2">
        <v>3.2913142217687498E-5</v>
      </c>
      <c r="E7719" s="2">
        <v>0</v>
      </c>
      <c r="F7719" s="2">
        <v>2.5703835269260498E-6</v>
      </c>
    </row>
    <row r="7720" spans="1:6" x14ac:dyDescent="0.25">
      <c r="A7720" s="1" t="str">
        <f t="shared" si="274"/>
        <v>17820</v>
      </c>
      <c r="B7720" s="1" t="str">
        <f>"80997"</f>
        <v>80997</v>
      </c>
      <c r="C7720" s="2">
        <v>0</v>
      </c>
      <c r="D7720" s="2">
        <v>3.2913142217687498E-5</v>
      </c>
      <c r="E7720" s="2">
        <v>0</v>
      </c>
      <c r="F7720" s="2">
        <v>2.5703835269260498E-6</v>
      </c>
    </row>
    <row r="7721" spans="1:6" x14ac:dyDescent="0.25">
      <c r="A7721" s="1" t="str">
        <f t="shared" si="274"/>
        <v>17820</v>
      </c>
      <c r="B7721" s="1" t="str">
        <f>"80118"</f>
        <v>80118</v>
      </c>
      <c r="C7721" s="2">
        <v>2.0641904245155002E-5</v>
      </c>
      <c r="D7721" s="2">
        <v>0</v>
      </c>
      <c r="E7721" s="2">
        <v>1.02312257008389E-4</v>
      </c>
      <c r="F7721" s="2">
        <v>2.31334517423344E-5</v>
      </c>
    </row>
    <row r="7722" spans="1:6" x14ac:dyDescent="0.25">
      <c r="A7722" s="1" t="str">
        <f t="shared" si="274"/>
        <v>17820</v>
      </c>
      <c r="B7722" s="1" t="str">
        <f>"80832"</f>
        <v>80832</v>
      </c>
      <c r="C7722" s="2">
        <v>6.1041059696386997E-4</v>
      </c>
      <c r="D7722" s="2">
        <v>0</v>
      </c>
      <c r="E7722" s="2">
        <v>5.1156128504194803E-5</v>
      </c>
      <c r="F7722" s="2">
        <v>5.3463977360061797E-4</v>
      </c>
    </row>
    <row r="7723" spans="1:6" x14ac:dyDescent="0.25">
      <c r="A7723" s="1" t="str">
        <f t="shared" si="274"/>
        <v>17820</v>
      </c>
      <c r="B7723" s="1" t="str">
        <f>"80816"</f>
        <v>80816</v>
      </c>
      <c r="C7723" s="2">
        <v>8.5899810094480899E-3</v>
      </c>
      <c r="D7723" s="2">
        <v>6.2534970213606205E-4</v>
      </c>
      <c r="E7723" s="2">
        <v>1.5346838551258399E-3</v>
      </c>
      <c r="F7723" s="2">
        <v>7.6134760067549604E-3</v>
      </c>
    </row>
    <row r="7724" spans="1:6" x14ac:dyDescent="0.25">
      <c r="A7724" s="1" t="str">
        <f t="shared" si="274"/>
        <v>17820</v>
      </c>
      <c r="B7724" s="1" t="str">
        <f>"80840"</f>
        <v>80840</v>
      </c>
      <c r="C7724" s="2">
        <v>3.58284480826619E-3</v>
      </c>
      <c r="D7724" s="2">
        <v>1.16512523450613E-2</v>
      </c>
      <c r="E7724" s="2">
        <v>1.72396153059136E-2</v>
      </c>
      <c r="F7724" s="2">
        <v>4.8991510023210496E-3</v>
      </c>
    </row>
    <row r="7725" spans="1:6" x14ac:dyDescent="0.25">
      <c r="A7725" s="1" t="str">
        <f t="shared" si="274"/>
        <v>17820</v>
      </c>
      <c r="B7725" s="1" t="str">
        <f>"80817"</f>
        <v>80817</v>
      </c>
      <c r="C7725" s="2">
        <v>3.5589591762110899E-2</v>
      </c>
      <c r="D7725" s="2">
        <v>1.77072705131158E-2</v>
      </c>
      <c r="E7725" s="2">
        <v>1.47329650092081E-2</v>
      </c>
      <c r="F7725" s="2">
        <v>3.3145095579711403E-2</v>
      </c>
    </row>
    <row r="7726" spans="1:6" x14ac:dyDescent="0.25">
      <c r="A7726" s="1" t="str">
        <f t="shared" si="274"/>
        <v>17820</v>
      </c>
      <c r="B7726" s="1" t="str">
        <f>"80814"</f>
        <v>80814</v>
      </c>
      <c r="C7726" s="2">
        <v>6.7204142535297598E-3</v>
      </c>
      <c r="D7726" s="2">
        <v>5.9243655991837502E-4</v>
      </c>
      <c r="E7726" s="2">
        <v>6.6502967055453196E-4</v>
      </c>
      <c r="F7726" s="2">
        <v>5.9375859471991798E-3</v>
      </c>
    </row>
    <row r="7727" spans="1:6" x14ac:dyDescent="0.25">
      <c r="A7727" s="1" t="str">
        <f t="shared" si="274"/>
        <v>17820</v>
      </c>
      <c r="B7727" s="1" t="str">
        <f>"80866"</f>
        <v>80866</v>
      </c>
      <c r="C7727" s="2">
        <v>9.9258070984559795E-3</v>
      </c>
      <c r="D7727" s="2">
        <v>1.51071322779185E-2</v>
      </c>
      <c r="E7727" s="2">
        <v>1.02312257008389E-4</v>
      </c>
      <c r="F7727" s="2">
        <v>9.8368577575460008E-3</v>
      </c>
    </row>
    <row r="7728" spans="1:6" x14ac:dyDescent="0.25">
      <c r="A7728" s="1" t="str">
        <f t="shared" si="274"/>
        <v>17820</v>
      </c>
      <c r="B7728" s="1" t="str">
        <f>"80941"</f>
        <v>80941</v>
      </c>
      <c r="C7728" s="2">
        <v>0</v>
      </c>
      <c r="D7728" s="2">
        <v>3.2913142217687498E-5</v>
      </c>
      <c r="E7728" s="2">
        <v>0</v>
      </c>
      <c r="F7728" s="2">
        <v>2.5703835269260498E-6</v>
      </c>
    </row>
    <row r="7729" spans="1:6" x14ac:dyDescent="0.25">
      <c r="A7729" s="1" t="str">
        <f t="shared" si="274"/>
        <v>17820</v>
      </c>
      <c r="B7729" s="1" t="str">
        <f>"80936"</f>
        <v>80936</v>
      </c>
      <c r="C7729" s="2">
        <v>2.4534377617098499E-3</v>
      </c>
      <c r="D7729" s="2">
        <v>1.3494388309251801E-2</v>
      </c>
      <c r="E7729" s="2">
        <v>1.02312257008389E-4</v>
      </c>
      <c r="F7729" s="2">
        <v>3.1975571074960001E-3</v>
      </c>
    </row>
    <row r="7730" spans="1:6" x14ac:dyDescent="0.25">
      <c r="A7730" s="1" t="str">
        <f t="shared" si="274"/>
        <v>17820</v>
      </c>
      <c r="B7730" s="1" t="str">
        <f>"80939"</f>
        <v>80939</v>
      </c>
      <c r="C7730" s="2">
        <v>0</v>
      </c>
      <c r="D7730" s="2">
        <v>1.25069940427212E-3</v>
      </c>
      <c r="E7730" s="2">
        <v>3.5809289952936301E-4</v>
      </c>
      <c r="F7730" s="2">
        <v>1.15667258711672E-4</v>
      </c>
    </row>
    <row r="7731" spans="1:6" x14ac:dyDescent="0.25">
      <c r="A7731" s="1" t="str">
        <f t="shared" si="274"/>
        <v>17820</v>
      </c>
      <c r="B7731" s="1" t="str">
        <f>"80960"</f>
        <v>80960</v>
      </c>
      <c r="C7731" s="2">
        <v>3.04910414135576E-3</v>
      </c>
      <c r="D7731" s="2">
        <v>5.8256261725306898E-3</v>
      </c>
      <c r="E7731" s="2">
        <v>1.02312257008389E-4</v>
      </c>
      <c r="F7731" s="2">
        <v>3.1178752181613002E-3</v>
      </c>
    </row>
    <row r="7732" spans="1:6" x14ac:dyDescent="0.25">
      <c r="A7732" s="1" t="str">
        <f t="shared" si="274"/>
        <v>17820</v>
      </c>
      <c r="B7732" s="1" t="str">
        <f>"80914"</f>
        <v>80914</v>
      </c>
      <c r="C7732" s="2">
        <v>1.7309711131294301E-3</v>
      </c>
      <c r="D7732" s="2">
        <v>8.4586775499456892E-3</v>
      </c>
      <c r="E7732" s="2">
        <v>2.4043380396971499E-3</v>
      </c>
      <c r="F7732" s="2">
        <v>2.2902117224911098E-3</v>
      </c>
    </row>
    <row r="7733" spans="1:6" x14ac:dyDescent="0.25">
      <c r="A7733" s="1" t="str">
        <f t="shared" si="274"/>
        <v>17820</v>
      </c>
      <c r="B7733" s="1" t="str">
        <f>"80829"</f>
        <v>80829</v>
      </c>
      <c r="C7733" s="2">
        <v>1.12291959093643E-2</v>
      </c>
      <c r="D7733" s="2">
        <v>1.09929895007076E-2</v>
      </c>
      <c r="E7733" s="2">
        <v>2.07182320441988E-2</v>
      </c>
      <c r="F7733" s="2">
        <v>1.16875338969327E-2</v>
      </c>
    </row>
    <row r="7734" spans="1:6" x14ac:dyDescent="0.25">
      <c r="A7734" s="1" t="str">
        <f t="shared" si="274"/>
        <v>17820</v>
      </c>
      <c r="B7734" s="1" t="str">
        <f>"80909"</f>
        <v>80909</v>
      </c>
      <c r="C7734" s="2">
        <v>5.1448471909317103E-2</v>
      </c>
      <c r="D7734" s="2">
        <v>9.3045453049402593E-2</v>
      </c>
      <c r="E7734" s="2">
        <v>7.8831594024964105E-2</v>
      </c>
      <c r="F7734" s="2">
        <v>5.60729166398918E-2</v>
      </c>
    </row>
    <row r="7735" spans="1:6" x14ac:dyDescent="0.25">
      <c r="A7735" s="1" t="str">
        <f t="shared" si="274"/>
        <v>17820</v>
      </c>
      <c r="B7735" s="1" t="str">
        <f>"80917"</f>
        <v>80917</v>
      </c>
      <c r="C7735" s="2">
        <v>4.0682244423737003E-2</v>
      </c>
      <c r="D7735" s="2">
        <v>2.5836816640884702E-2</v>
      </c>
      <c r="E7735" s="2">
        <v>5.5760180069572299E-2</v>
      </c>
      <c r="F7735" s="2">
        <v>4.0280480250458099E-2</v>
      </c>
    </row>
    <row r="7736" spans="1:6" x14ac:dyDescent="0.25">
      <c r="A7736" s="1" t="str">
        <f t="shared" si="274"/>
        <v>17820</v>
      </c>
      <c r="B7736" s="1" t="str">
        <f>"80918"</f>
        <v>80918</v>
      </c>
      <c r="C7736" s="2">
        <v>6.0430649099423202E-2</v>
      </c>
      <c r="D7736" s="2">
        <v>6.7307375835170893E-2</v>
      </c>
      <c r="E7736" s="2">
        <v>6.4507878043789602E-2</v>
      </c>
      <c r="F7736" s="2">
        <v>6.1172557557313101E-2</v>
      </c>
    </row>
    <row r="7737" spans="1:6" x14ac:dyDescent="0.25">
      <c r="A7737" s="1" t="str">
        <f t="shared" si="274"/>
        <v>17820</v>
      </c>
      <c r="B7737" s="1" t="str">
        <f>"80910"</f>
        <v>80910</v>
      </c>
      <c r="C7737" s="2">
        <v>4.1183547812547898E-2</v>
      </c>
      <c r="D7737" s="2">
        <v>3.5809498732844003E-2</v>
      </c>
      <c r="E7737" s="2">
        <v>5.6067116840597502E-2</v>
      </c>
      <c r="F7737" s="2">
        <v>4.1511693959855697E-2</v>
      </c>
    </row>
    <row r="7738" spans="1:6" x14ac:dyDescent="0.25">
      <c r="A7738" s="1" t="str">
        <f t="shared" si="274"/>
        <v>17820</v>
      </c>
      <c r="B7738" s="1" t="str">
        <f>"80950"</f>
        <v>80950</v>
      </c>
      <c r="C7738" s="2">
        <v>0</v>
      </c>
      <c r="D7738" s="2">
        <v>3.2913142217687498E-5</v>
      </c>
      <c r="E7738" s="2">
        <v>0</v>
      </c>
      <c r="F7738" s="2">
        <v>2.5703835269260498E-6</v>
      </c>
    </row>
    <row r="7739" spans="1:6" x14ac:dyDescent="0.25">
      <c r="A7739" s="1" t="str">
        <f t="shared" si="274"/>
        <v>17820</v>
      </c>
      <c r="B7739" s="1" t="str">
        <f>"80951"</f>
        <v>80951</v>
      </c>
      <c r="C7739" s="2">
        <v>4.5353212470069203E-3</v>
      </c>
      <c r="D7739" s="2">
        <v>6.2534970213606205E-4</v>
      </c>
      <c r="E7739" s="2">
        <v>2.5578064252097397E-4</v>
      </c>
      <c r="F7739" s="2">
        <v>4.0149390690584902E-3</v>
      </c>
    </row>
    <row r="7740" spans="1:6" x14ac:dyDescent="0.25">
      <c r="A7740" s="1" t="str">
        <f t="shared" si="274"/>
        <v>17820</v>
      </c>
      <c r="B7740" s="1" t="str">
        <f>"80906"</f>
        <v>80906</v>
      </c>
      <c r="C7740" s="2">
        <v>5.1132945658712597E-2</v>
      </c>
      <c r="D7740" s="2">
        <v>3.4558799328571803E-2</v>
      </c>
      <c r="E7740" s="2">
        <v>7.6478412113771196E-2</v>
      </c>
      <c r="F7740" s="2">
        <v>5.1112076432924501E-2</v>
      </c>
    </row>
    <row r="7741" spans="1:6" x14ac:dyDescent="0.25">
      <c r="A7741" s="1" t="str">
        <f t="shared" si="274"/>
        <v>17820</v>
      </c>
      <c r="B7741" s="1" t="str">
        <f>"80133"</f>
        <v>80133</v>
      </c>
      <c r="C7741" s="2">
        <v>6.3812972552165E-3</v>
      </c>
      <c r="D7741" s="2">
        <v>7.9320672744626897E-3</v>
      </c>
      <c r="E7741" s="2">
        <v>1.63699611213423E-3</v>
      </c>
      <c r="F7741" s="2">
        <v>6.2640246551187899E-3</v>
      </c>
    </row>
    <row r="7742" spans="1:6" x14ac:dyDescent="0.25">
      <c r="A7742" s="1" t="str">
        <f t="shared" ref="A7742:A7773" si="275">"17820"</f>
        <v>17820</v>
      </c>
      <c r="B7742" s="1" t="str">
        <f>"80860"</f>
        <v>80860</v>
      </c>
      <c r="C7742" s="2">
        <v>0</v>
      </c>
      <c r="D7742" s="2">
        <v>0</v>
      </c>
      <c r="E7742" s="2">
        <v>5.1156128504194803E-5</v>
      </c>
      <c r="F7742" s="2">
        <v>2.5703835269260498E-6</v>
      </c>
    </row>
    <row r="7743" spans="1:6" x14ac:dyDescent="0.25">
      <c r="A7743" s="1" t="str">
        <f t="shared" si="275"/>
        <v>17820</v>
      </c>
      <c r="B7743" s="1" t="str">
        <f>"80933"</f>
        <v>80933</v>
      </c>
      <c r="C7743" s="2">
        <v>1.93444131211738E-3</v>
      </c>
      <c r="D7743" s="2">
        <v>1.03347266563538E-2</v>
      </c>
      <c r="E7743" s="2">
        <v>1.02312257008389E-4</v>
      </c>
      <c r="F7743" s="2">
        <v>2.4984127881721198E-3</v>
      </c>
    </row>
    <row r="7744" spans="1:6" x14ac:dyDescent="0.25">
      <c r="A7744" s="1" t="str">
        <f t="shared" si="275"/>
        <v>17820</v>
      </c>
      <c r="B7744" s="1" t="str">
        <f>"80912"</f>
        <v>80912</v>
      </c>
      <c r="C7744" s="2">
        <v>0</v>
      </c>
      <c r="D7744" s="2">
        <v>2.73179080406806E-3</v>
      </c>
      <c r="E7744" s="2">
        <v>9.7196644157970097E-4</v>
      </c>
      <c r="F7744" s="2">
        <v>2.6217911974645702E-4</v>
      </c>
    </row>
    <row r="7745" spans="1:6" x14ac:dyDescent="0.25">
      <c r="A7745" s="1" t="str">
        <f t="shared" si="275"/>
        <v>17820</v>
      </c>
      <c r="B7745" s="1" t="str">
        <f>"80932"</f>
        <v>80932</v>
      </c>
      <c r="C7745" s="2">
        <v>2.7689640123143701E-3</v>
      </c>
      <c r="D7745" s="2">
        <v>6.8130204390613102E-3</v>
      </c>
      <c r="E7745" s="2">
        <v>1.02312257008389E-4</v>
      </c>
      <c r="F7745" s="2">
        <v>2.9508002889110999E-3</v>
      </c>
    </row>
    <row r="7746" spans="1:6" x14ac:dyDescent="0.25">
      <c r="A7746" s="1" t="str">
        <f t="shared" si="275"/>
        <v>17820</v>
      </c>
      <c r="B7746" s="1" t="str">
        <f>"80970"</f>
        <v>80970</v>
      </c>
      <c r="C7746" s="2">
        <v>3.7568265726182098E-3</v>
      </c>
      <c r="D7746" s="2">
        <v>1.0565118651877601E-2</v>
      </c>
      <c r="E7746" s="2">
        <v>0</v>
      </c>
      <c r="F7746" s="2">
        <v>4.09976172544705E-3</v>
      </c>
    </row>
    <row r="7747" spans="1:6" x14ac:dyDescent="0.25">
      <c r="A7747" s="1" t="str">
        <f t="shared" si="275"/>
        <v>17820</v>
      </c>
      <c r="B7747" s="1" t="str">
        <f>"80106"</f>
        <v>80106</v>
      </c>
      <c r="C7747" s="2">
        <v>3.4147607308413598E-3</v>
      </c>
      <c r="D7747" s="2">
        <v>9.8739426653062494E-5</v>
      </c>
      <c r="E7747" s="2">
        <v>3.5809289952936301E-4</v>
      </c>
      <c r="F7747" s="2">
        <v>3.0022079594496198E-3</v>
      </c>
    </row>
    <row r="7748" spans="1:6" x14ac:dyDescent="0.25">
      <c r="A7748" s="1" t="str">
        <f t="shared" si="275"/>
        <v>17820</v>
      </c>
      <c r="B7748" s="1" t="str">
        <f>"80921"</f>
        <v>80921</v>
      </c>
      <c r="C7748" s="2">
        <v>3.01460267283171E-2</v>
      </c>
      <c r="D7748" s="2">
        <v>1.86946647796465E-2</v>
      </c>
      <c r="E7748" s="2">
        <v>1.5960712093308699E-2</v>
      </c>
      <c r="F7748" s="2">
        <v>2.8538968299459899E-2</v>
      </c>
    </row>
    <row r="7749" spans="1:6" x14ac:dyDescent="0.25">
      <c r="A7749" s="1" t="str">
        <f t="shared" si="275"/>
        <v>17820</v>
      </c>
      <c r="B7749" s="1" t="str">
        <f>"80922"</f>
        <v>80922</v>
      </c>
      <c r="C7749" s="2">
        <v>3.2726264758961503E-2</v>
      </c>
      <c r="D7749" s="2">
        <v>1.1256294638449099E-2</v>
      </c>
      <c r="E7749" s="2">
        <v>1.49375895232248E-2</v>
      </c>
      <c r="F7749" s="2">
        <v>3.0155739537896398E-2</v>
      </c>
    </row>
    <row r="7750" spans="1:6" x14ac:dyDescent="0.25">
      <c r="A7750" s="1" t="str">
        <f t="shared" si="275"/>
        <v>17820</v>
      </c>
      <c r="B7750" s="1" t="str">
        <f>"80913"</f>
        <v>80913</v>
      </c>
      <c r="C7750" s="2">
        <v>2.0641904245155002E-5</v>
      </c>
      <c r="D7750" s="2">
        <v>2.0932758450449201E-2</v>
      </c>
      <c r="E7750" s="2">
        <v>2.55780642520974E-3</v>
      </c>
      <c r="F7750" s="2">
        <v>1.7812757841597501E-3</v>
      </c>
    </row>
    <row r="7751" spans="1:6" x14ac:dyDescent="0.25">
      <c r="A7751" s="1" t="str">
        <f t="shared" si="275"/>
        <v>17820</v>
      </c>
      <c r="B7751" s="1" t="str">
        <f>"80808"</f>
        <v>80808</v>
      </c>
      <c r="C7751" s="2">
        <v>8.7374231826277699E-3</v>
      </c>
      <c r="D7751" s="2">
        <v>3.6204456439456198E-3</v>
      </c>
      <c r="E7751" s="2">
        <v>6.5479844485369296E-3</v>
      </c>
      <c r="F7751" s="2">
        <v>8.2277976696902896E-3</v>
      </c>
    </row>
    <row r="7752" spans="1:6" x14ac:dyDescent="0.25">
      <c r="A7752" s="1" t="str">
        <f t="shared" si="275"/>
        <v>17820</v>
      </c>
      <c r="B7752" s="1" t="str">
        <f>"80831"</f>
        <v>80831</v>
      </c>
      <c r="C7752" s="2">
        <v>3.5170855990280601E-2</v>
      </c>
      <c r="D7752" s="2">
        <v>1.4284303722476299E-2</v>
      </c>
      <c r="E7752" s="2">
        <v>5.16676897892367E-3</v>
      </c>
      <c r="F7752" s="2">
        <v>3.2032119512552401E-2</v>
      </c>
    </row>
    <row r="7753" spans="1:6" x14ac:dyDescent="0.25">
      <c r="A7753" s="1" t="str">
        <f t="shared" si="275"/>
        <v>17820</v>
      </c>
      <c r="B7753" s="1" t="str">
        <f>"80827"</f>
        <v>80827</v>
      </c>
      <c r="C7753" s="2">
        <v>3.2437278099529298E-4</v>
      </c>
      <c r="D7753" s="2">
        <v>3.2913142217687498E-5</v>
      </c>
      <c r="E7753" s="2">
        <v>5.1156128504194803E-5</v>
      </c>
      <c r="F7753" s="2">
        <v>2.87882955015717E-4</v>
      </c>
    </row>
    <row r="7754" spans="1:6" x14ac:dyDescent="0.25">
      <c r="A7754" s="1" t="str">
        <f t="shared" si="275"/>
        <v>17820</v>
      </c>
      <c r="B7754" s="1" t="str">
        <f>"80809"</f>
        <v>80809</v>
      </c>
      <c r="C7754" s="2">
        <v>2.0671392679790898E-3</v>
      </c>
      <c r="D7754" s="2">
        <v>6.5826284435374996E-4</v>
      </c>
      <c r="E7754" s="2">
        <v>1.9439328831594E-3</v>
      </c>
      <c r="F7754" s="2">
        <v>1.95092109693687E-3</v>
      </c>
    </row>
    <row r="7755" spans="1:6" x14ac:dyDescent="0.25">
      <c r="A7755" s="1" t="str">
        <f t="shared" si="275"/>
        <v>17820</v>
      </c>
      <c r="B7755" s="1" t="str">
        <f>"80915"</f>
        <v>80915</v>
      </c>
      <c r="C7755" s="2">
        <v>2.82617157550808E-2</v>
      </c>
      <c r="D7755" s="2">
        <v>3.9429944376789601E-2</v>
      </c>
      <c r="E7755" s="2">
        <v>2.9158993247391001E-2</v>
      </c>
      <c r="F7755" s="2">
        <v>2.9178993797664501E-2</v>
      </c>
    </row>
    <row r="7756" spans="1:6" x14ac:dyDescent="0.25">
      <c r="A7756" s="1" t="str">
        <f t="shared" si="275"/>
        <v>17820</v>
      </c>
      <c r="B7756" s="1" t="str">
        <f>"80925"</f>
        <v>80925</v>
      </c>
      <c r="C7756" s="2">
        <v>1.4428691067363299E-2</v>
      </c>
      <c r="D7756" s="2">
        <v>6.9117598657143699E-4</v>
      </c>
      <c r="E7756" s="2">
        <v>2.0462451401677899E-4</v>
      </c>
      <c r="F7756" s="2">
        <v>1.26411461854223E-2</v>
      </c>
    </row>
    <row r="7757" spans="1:6" x14ac:dyDescent="0.25">
      <c r="A7757" s="1" t="str">
        <f t="shared" si="275"/>
        <v>17820</v>
      </c>
      <c r="B7757" s="1" t="str">
        <f>"80929"</f>
        <v>80929</v>
      </c>
      <c r="C7757" s="2">
        <v>5.5143372769199904E-4</v>
      </c>
      <c r="D7757" s="2">
        <v>7.8991541322449995E-4</v>
      </c>
      <c r="E7757" s="2">
        <v>3.5809289952936301E-4</v>
      </c>
      <c r="F7757" s="2">
        <v>5.6034360886987903E-4</v>
      </c>
    </row>
    <row r="7758" spans="1:6" x14ac:dyDescent="0.25">
      <c r="A7758" s="1" t="str">
        <f t="shared" si="275"/>
        <v>17820</v>
      </c>
      <c r="B7758" s="1" t="str">
        <f>"80902"</f>
        <v>80902</v>
      </c>
      <c r="C7758" s="2">
        <v>1.3546986871748899E-2</v>
      </c>
      <c r="D7758" s="2">
        <v>1.1190468354013701E-3</v>
      </c>
      <c r="E7758" s="2">
        <v>9.9242889298137904E-2</v>
      </c>
      <c r="F7758" s="2">
        <v>1.6882279004850301E-2</v>
      </c>
    </row>
    <row r="7759" spans="1:6" x14ac:dyDescent="0.25">
      <c r="A7759" s="1" t="str">
        <f t="shared" si="275"/>
        <v>17820</v>
      </c>
      <c r="B7759" s="1" t="str">
        <f>"80905"</f>
        <v>80905</v>
      </c>
      <c r="C7759" s="2">
        <v>2.7654254001580499E-2</v>
      </c>
      <c r="D7759" s="2">
        <v>3.4229667906394999E-2</v>
      </c>
      <c r="E7759" s="2">
        <v>3.1409862901575603E-2</v>
      </c>
      <c r="F7759" s="2">
        <v>2.8356471069048199E-2</v>
      </c>
    </row>
    <row r="7760" spans="1:6" x14ac:dyDescent="0.25">
      <c r="A7760" s="1" t="str">
        <f t="shared" si="275"/>
        <v>17820</v>
      </c>
      <c r="B7760" s="1" t="str">
        <f>"80841"</f>
        <v>80841</v>
      </c>
      <c r="C7760" s="2">
        <v>1.4950636360419401E-2</v>
      </c>
      <c r="D7760" s="2">
        <v>3.2913142217687498E-5</v>
      </c>
      <c r="E7760" s="2">
        <v>1.02312257008389E-4</v>
      </c>
      <c r="F7760" s="2">
        <v>1.3039555632095801E-2</v>
      </c>
    </row>
    <row r="7761" spans="1:6" x14ac:dyDescent="0.25">
      <c r="A7761" s="1" t="str">
        <f t="shared" si="275"/>
        <v>17820</v>
      </c>
      <c r="B7761" s="1" t="str">
        <f>"80901"</f>
        <v>80901</v>
      </c>
      <c r="C7761" s="2">
        <v>3.9219618065794498E-3</v>
      </c>
      <c r="D7761" s="2">
        <v>1.52058717045716E-2</v>
      </c>
      <c r="E7761" s="2">
        <v>1.02312257008389E-4</v>
      </c>
      <c r="F7761" s="2">
        <v>4.6112680473053298E-3</v>
      </c>
    </row>
    <row r="7762" spans="1:6" x14ac:dyDescent="0.25">
      <c r="A7762" s="1" t="str">
        <f t="shared" si="275"/>
        <v>17820</v>
      </c>
      <c r="B7762" s="1" t="str">
        <f>"80835"</f>
        <v>80835</v>
      </c>
      <c r="C7762" s="2">
        <v>5.8976869271871497E-5</v>
      </c>
      <c r="D7762" s="2">
        <v>0</v>
      </c>
      <c r="E7762" s="2">
        <v>0</v>
      </c>
      <c r="F7762" s="2">
        <v>5.1407670538521E-5</v>
      </c>
    </row>
    <row r="7763" spans="1:6" x14ac:dyDescent="0.25">
      <c r="A7763" s="1" t="str">
        <f t="shared" si="275"/>
        <v>17820</v>
      </c>
      <c r="B7763" s="1" t="str">
        <f>"80934"</f>
        <v>80934</v>
      </c>
      <c r="C7763" s="2">
        <v>2.1644511022776802E-3</v>
      </c>
      <c r="D7763" s="2">
        <v>4.8053187637823701E-3</v>
      </c>
      <c r="E7763" s="2">
        <v>1.02312257008389E-4</v>
      </c>
      <c r="F7763" s="2">
        <v>2.2670782707487698E-3</v>
      </c>
    </row>
    <row r="7764" spans="1:6" x14ac:dyDescent="0.25">
      <c r="A7764" s="1" t="str">
        <f t="shared" si="275"/>
        <v>17820</v>
      </c>
      <c r="B7764" s="1" t="str">
        <f>"80813"</f>
        <v>80813</v>
      </c>
      <c r="C7764" s="2">
        <v>1.0114533080125901E-3</v>
      </c>
      <c r="D7764" s="2">
        <v>1.3165256887074999E-4</v>
      </c>
      <c r="E7764" s="2">
        <v>5.1156128504194803E-5</v>
      </c>
      <c r="F7764" s="2">
        <v>8.9449346737026597E-4</v>
      </c>
    </row>
    <row r="7765" spans="1:6" x14ac:dyDescent="0.25">
      <c r="A7765" s="1" t="str">
        <f t="shared" si="275"/>
        <v>17820</v>
      </c>
      <c r="B7765" s="1" t="str">
        <f>"80930"</f>
        <v>80930</v>
      </c>
      <c r="C7765" s="2">
        <v>1.85777138206395E-3</v>
      </c>
      <c r="D7765" s="2">
        <v>1.64565711088437E-4</v>
      </c>
      <c r="E7765" s="2">
        <v>7.21301411909146E-3</v>
      </c>
      <c r="F7765" s="2">
        <v>1.9946176168946098E-3</v>
      </c>
    </row>
    <row r="7766" spans="1:6" x14ac:dyDescent="0.25">
      <c r="A7766" s="1" t="str">
        <f t="shared" si="275"/>
        <v>17820</v>
      </c>
      <c r="B7766" s="1" t="str">
        <f>"80911"</f>
        <v>80911</v>
      </c>
      <c r="C7766" s="2">
        <v>3.60732020901402E-2</v>
      </c>
      <c r="D7766" s="2">
        <v>1.0038508376394599E-2</v>
      </c>
      <c r="E7766" s="2">
        <v>5.0133005934110903E-3</v>
      </c>
      <c r="F7766" s="2">
        <v>3.2479366246237602E-2</v>
      </c>
    </row>
    <row r="7767" spans="1:6" x14ac:dyDescent="0.25">
      <c r="A7767" s="1" t="str">
        <f t="shared" si="275"/>
        <v>17820</v>
      </c>
      <c r="B7767" s="1" t="str">
        <f>"80916"</f>
        <v>80916</v>
      </c>
      <c r="C7767" s="2">
        <v>4.5854515858880097E-2</v>
      </c>
      <c r="D7767" s="2">
        <v>2.9556001711483301E-2</v>
      </c>
      <c r="E7767" s="2">
        <v>6.34335993452015E-2</v>
      </c>
      <c r="F7767" s="2">
        <v>4.5464943824268002E-2</v>
      </c>
    </row>
    <row r="7768" spans="1:6" x14ac:dyDescent="0.25">
      <c r="A7768" s="1" t="str">
        <f t="shared" si="275"/>
        <v>17820</v>
      </c>
      <c r="B7768" s="1" t="str">
        <f>"80924"</f>
        <v>80924</v>
      </c>
      <c r="C7768" s="2">
        <v>1.6463393057242901E-2</v>
      </c>
      <c r="D7768" s="2">
        <v>3.6862719283810002E-3</v>
      </c>
      <c r="E7768" s="2">
        <v>3.7855535093104099E-3</v>
      </c>
      <c r="F7768" s="2">
        <v>1.48285425668363E-2</v>
      </c>
    </row>
    <row r="7769" spans="1:6" x14ac:dyDescent="0.25">
      <c r="A7769" s="1" t="str">
        <f t="shared" si="275"/>
        <v>17820</v>
      </c>
      <c r="B7769" s="1" t="str">
        <f>"80937"</f>
        <v>80937</v>
      </c>
      <c r="C7769" s="2">
        <v>1.5599381922410001E-3</v>
      </c>
      <c r="D7769" s="2">
        <v>6.7142810124082497E-3</v>
      </c>
      <c r="E7769" s="2">
        <v>1.02312257008389E-4</v>
      </c>
      <c r="F7769" s="2">
        <v>1.8892318922906399E-3</v>
      </c>
    </row>
    <row r="7770" spans="1:6" x14ac:dyDescent="0.25">
      <c r="A7770" s="1" t="str">
        <f t="shared" si="275"/>
        <v>17820</v>
      </c>
      <c r="B7770" s="1" t="str">
        <f>"80904"</f>
        <v>80904</v>
      </c>
      <c r="C7770" s="2">
        <v>3.4657757227615299E-2</v>
      </c>
      <c r="D7770" s="2">
        <v>3.7191850705986899E-2</v>
      </c>
      <c r="E7770" s="2">
        <v>7.6478412113771196E-2</v>
      </c>
      <c r="F7770" s="2">
        <v>3.6956974350142703E-2</v>
      </c>
    </row>
    <row r="7771" spans="1:6" x14ac:dyDescent="0.25">
      <c r="A7771" s="1" t="str">
        <f t="shared" si="275"/>
        <v>17820</v>
      </c>
      <c r="B7771" s="1" t="str">
        <f>"81008"</f>
        <v>81008</v>
      </c>
      <c r="C7771" s="2">
        <v>8.84653039078073E-6</v>
      </c>
      <c r="D7771" s="2">
        <v>0</v>
      </c>
      <c r="E7771" s="2">
        <v>0</v>
      </c>
      <c r="F7771" s="2">
        <v>7.7111505807781504E-6</v>
      </c>
    </row>
    <row r="7772" spans="1:6" x14ac:dyDescent="0.25">
      <c r="A7772" s="1" t="str">
        <f t="shared" si="275"/>
        <v>17820</v>
      </c>
      <c r="B7772" s="1" t="str">
        <f>"80949"</f>
        <v>80949</v>
      </c>
      <c r="C7772" s="2">
        <v>3.1729555668266901E-3</v>
      </c>
      <c r="D7772" s="2">
        <v>1.2704472896027301E-2</v>
      </c>
      <c r="E7772" s="2">
        <v>1.02312257008389E-4</v>
      </c>
      <c r="F7772" s="2">
        <v>3.76304148341974E-3</v>
      </c>
    </row>
    <row r="7773" spans="1:6" x14ac:dyDescent="0.25">
      <c r="A7773" s="1" t="str">
        <f t="shared" si="275"/>
        <v>17820</v>
      </c>
      <c r="B7773" s="1" t="str">
        <f>"80903"</f>
        <v>80903</v>
      </c>
      <c r="C7773" s="2">
        <v>2.26559643307894E-2</v>
      </c>
      <c r="D7773" s="2">
        <v>9.1827666787348106E-2</v>
      </c>
      <c r="E7773" s="2">
        <v>6.9674647022713296E-2</v>
      </c>
      <c r="F7773" s="2">
        <v>3.0420489041169799E-2</v>
      </c>
    </row>
    <row r="7774" spans="1:6" x14ac:dyDescent="0.25">
      <c r="A7774" s="1" t="str">
        <f t="shared" ref="A7774:A7785" si="276">"17820"</f>
        <v>17820</v>
      </c>
      <c r="B7774" s="1" t="str">
        <f>"80907"</f>
        <v>80907</v>
      </c>
      <c r="C7774" s="2">
        <v>4.0929947274678802E-2</v>
      </c>
      <c r="D7774" s="2">
        <v>7.9781456735674494E-2</v>
      </c>
      <c r="E7774" s="2">
        <v>6.7935338653570598E-2</v>
      </c>
      <c r="F7774" s="2">
        <v>4.5321002346760099E-2</v>
      </c>
    </row>
    <row r="7775" spans="1:6" x14ac:dyDescent="0.25">
      <c r="A7775" s="1" t="str">
        <f t="shared" si="276"/>
        <v>17820</v>
      </c>
      <c r="B7775" s="1" t="str">
        <f>"80908"</f>
        <v>80908</v>
      </c>
      <c r="C7775" s="2">
        <v>2.66044657285412E-2</v>
      </c>
      <c r="D7775" s="2">
        <v>9.6764638120001301E-3</v>
      </c>
      <c r="E7775" s="2">
        <v>3.93902189482299E-3</v>
      </c>
      <c r="F7775" s="2">
        <v>2.4143612468416401E-2</v>
      </c>
    </row>
    <row r="7776" spans="1:6" x14ac:dyDescent="0.25">
      <c r="A7776" s="1" t="str">
        <f t="shared" si="276"/>
        <v>17820</v>
      </c>
      <c r="B7776" s="1" t="str">
        <f>"80942"</f>
        <v>80942</v>
      </c>
      <c r="C7776" s="2">
        <v>0</v>
      </c>
      <c r="D7776" s="2">
        <v>3.2913142217687498E-5</v>
      </c>
      <c r="E7776" s="2">
        <v>0</v>
      </c>
      <c r="F7776" s="2">
        <v>2.5703835269260498E-6</v>
      </c>
    </row>
    <row r="7777" spans="1:6" x14ac:dyDescent="0.25">
      <c r="A7777" s="1" t="str">
        <f t="shared" si="276"/>
        <v>17820</v>
      </c>
      <c r="B7777" s="1" t="str">
        <f>"80946"</f>
        <v>80946</v>
      </c>
      <c r="C7777" s="2">
        <v>0</v>
      </c>
      <c r="D7777" s="2">
        <v>3.2913142217687498E-5</v>
      </c>
      <c r="E7777" s="2">
        <v>0</v>
      </c>
      <c r="F7777" s="2">
        <v>2.5703835269260498E-6</v>
      </c>
    </row>
    <row r="7778" spans="1:6" x14ac:dyDescent="0.25">
      <c r="A7778" s="1" t="str">
        <f t="shared" si="276"/>
        <v>17820</v>
      </c>
      <c r="B7778" s="1" t="str">
        <f>"80977"</f>
        <v>80977</v>
      </c>
      <c r="C7778" s="2">
        <v>0</v>
      </c>
      <c r="D7778" s="2">
        <v>3.2913142217687498E-5</v>
      </c>
      <c r="E7778" s="2">
        <v>0</v>
      </c>
      <c r="F7778" s="2">
        <v>2.5703835269260498E-6</v>
      </c>
    </row>
    <row r="7779" spans="1:6" x14ac:dyDescent="0.25">
      <c r="A7779" s="1" t="str">
        <f t="shared" si="276"/>
        <v>17820</v>
      </c>
      <c r="B7779" s="1" t="str">
        <f>"80926"</f>
        <v>80926</v>
      </c>
      <c r="C7779" s="2">
        <v>2.1320138241781501E-3</v>
      </c>
      <c r="D7779" s="2">
        <v>3.6204456439456202E-4</v>
      </c>
      <c r="E7779" s="2">
        <v>4.6040515653775302E-4</v>
      </c>
      <c r="F7779" s="2">
        <v>1.9097949605060499E-3</v>
      </c>
    </row>
    <row r="7780" spans="1:6" x14ac:dyDescent="0.25">
      <c r="A7780" s="1" t="str">
        <f t="shared" si="276"/>
        <v>17820</v>
      </c>
      <c r="B7780" s="1" t="str">
        <f>"80931"</f>
        <v>80931</v>
      </c>
      <c r="C7780" s="2">
        <v>3.34398848771511E-3</v>
      </c>
      <c r="D7780" s="2">
        <v>6.0889313102721896E-3</v>
      </c>
      <c r="E7780" s="2">
        <v>1.02312257008389E-4</v>
      </c>
      <c r="F7780" s="2">
        <v>3.3954766390693102E-3</v>
      </c>
    </row>
    <row r="7781" spans="1:6" x14ac:dyDescent="0.25">
      <c r="A7781" s="1" t="str">
        <f t="shared" si="276"/>
        <v>17820</v>
      </c>
      <c r="B7781" s="1" t="str">
        <f>"80962"</f>
        <v>80962</v>
      </c>
      <c r="C7781" s="2">
        <v>3.7273381379822799E-3</v>
      </c>
      <c r="D7781" s="2">
        <v>1.65553105354968E-2</v>
      </c>
      <c r="E7781" s="2">
        <v>1.02312257008389E-4</v>
      </c>
      <c r="F7781" s="2">
        <v>4.5470084591321801E-3</v>
      </c>
    </row>
    <row r="7782" spans="1:6" x14ac:dyDescent="0.25">
      <c r="A7782" s="1" t="str">
        <f t="shared" si="276"/>
        <v>17820</v>
      </c>
      <c r="B7782" s="1" t="str">
        <f>"80135"</f>
        <v>80135</v>
      </c>
      <c r="C7782" s="2">
        <v>2.32958633623892E-4</v>
      </c>
      <c r="D7782" s="2">
        <v>3.2913142217687498E-5</v>
      </c>
      <c r="E7782" s="2">
        <v>5.1156128504194803E-5</v>
      </c>
      <c r="F7782" s="2">
        <v>2.0820106568101001E-4</v>
      </c>
    </row>
    <row r="7783" spans="1:6" x14ac:dyDescent="0.25">
      <c r="A7783" s="1" t="str">
        <f t="shared" si="276"/>
        <v>17820</v>
      </c>
      <c r="B7783" s="1" t="str">
        <f>"80132"</f>
        <v>80132</v>
      </c>
      <c r="C7783" s="2">
        <v>3.5908066856178998E-2</v>
      </c>
      <c r="D7783" s="2">
        <v>2.8766086298258799E-2</v>
      </c>
      <c r="E7783" s="2">
        <v>9.4127276447718393E-3</v>
      </c>
      <c r="F7783" s="2">
        <v>3.4019025978866302E-2</v>
      </c>
    </row>
    <row r="7784" spans="1:6" x14ac:dyDescent="0.25">
      <c r="A7784" s="1" t="str">
        <f t="shared" si="276"/>
        <v>17820</v>
      </c>
      <c r="B7784" s="1" t="str">
        <f>"80919"</f>
        <v>80919</v>
      </c>
      <c r="C7784" s="2">
        <v>3.7181967232451402E-2</v>
      </c>
      <c r="D7784" s="2">
        <v>2.8173649738340498E-2</v>
      </c>
      <c r="E7784" s="2">
        <v>2.9977491303458101E-2</v>
      </c>
      <c r="F7784" s="2">
        <v>3.6116458936837903E-2</v>
      </c>
    </row>
    <row r="7785" spans="1:6" x14ac:dyDescent="0.25">
      <c r="A7785" s="1" t="str">
        <f t="shared" si="276"/>
        <v>17820</v>
      </c>
      <c r="B7785" s="1" t="str">
        <f>"80935"</f>
        <v>80935</v>
      </c>
      <c r="C7785" s="2">
        <v>6.3311669163354104E-3</v>
      </c>
      <c r="D7785" s="2">
        <v>1.03347266563538E-2</v>
      </c>
      <c r="E7785" s="2">
        <v>1.02312257008389E-4</v>
      </c>
      <c r="F7785" s="2">
        <v>6.3308546268188602E-3</v>
      </c>
    </row>
    <row r="7786" spans="1:6" x14ac:dyDescent="0.25">
      <c r="A7786" s="1" t="str">
        <f t="shared" ref="A7786:A7826" si="277">"17860"</f>
        <v>17860</v>
      </c>
      <c r="B7786" s="1" t="str">
        <f>"65081"</f>
        <v>65081</v>
      </c>
      <c r="C7786" s="2">
        <v>4.4966379788135099E-4</v>
      </c>
      <c r="D7786" s="2">
        <v>0</v>
      </c>
      <c r="E7786" s="2">
        <v>0</v>
      </c>
      <c r="F7786" s="2">
        <v>3.9639373882261798E-4</v>
      </c>
    </row>
    <row r="7787" spans="1:6" x14ac:dyDescent="0.25">
      <c r="A7787" s="1" t="str">
        <f t="shared" si="277"/>
        <v>17860</v>
      </c>
      <c r="B7787" s="1" t="str">
        <f>"65350"</f>
        <v>65350</v>
      </c>
      <c r="C7787" s="2">
        <v>5.2286488125738499E-5</v>
      </c>
      <c r="D7787" s="2">
        <v>0</v>
      </c>
      <c r="E7787" s="2">
        <v>0</v>
      </c>
      <c r="F7787" s="2">
        <v>4.6092295211932297E-5</v>
      </c>
    </row>
    <row r="7788" spans="1:6" x14ac:dyDescent="0.25">
      <c r="A7788" s="1" t="str">
        <f t="shared" si="277"/>
        <v>17860</v>
      </c>
      <c r="B7788" s="1" t="str">
        <f>"65046"</f>
        <v>65046</v>
      </c>
      <c r="C7788" s="2">
        <v>4.1829190500590802E-5</v>
      </c>
      <c r="D7788" s="2">
        <v>0</v>
      </c>
      <c r="E7788" s="2">
        <v>0</v>
      </c>
      <c r="F7788" s="2">
        <v>3.6873836169545799E-5</v>
      </c>
    </row>
    <row r="7789" spans="1:6" x14ac:dyDescent="0.25">
      <c r="A7789" s="1" t="str">
        <f t="shared" si="277"/>
        <v>17860</v>
      </c>
      <c r="B7789" s="1" t="str">
        <f>"65248"</f>
        <v>65248</v>
      </c>
      <c r="C7789" s="2">
        <v>2.11969422861744E-2</v>
      </c>
      <c r="D7789" s="2">
        <v>2.61878039655817E-2</v>
      </c>
      <c r="E7789" s="2">
        <v>1.2003311258278099E-2</v>
      </c>
      <c r="F7789" s="2">
        <v>2.1156363502276902E-2</v>
      </c>
    </row>
    <row r="7790" spans="1:6" x14ac:dyDescent="0.25">
      <c r="A7790" s="1" t="str">
        <f t="shared" si="277"/>
        <v>17860</v>
      </c>
      <c r="B7790" s="1" t="str">
        <f>"65218"</f>
        <v>65218</v>
      </c>
      <c r="C7790" s="2">
        <v>0</v>
      </c>
      <c r="D7790" s="2">
        <v>1.2470382840753201E-4</v>
      </c>
      <c r="E7790" s="2">
        <v>0</v>
      </c>
      <c r="F7790" s="2">
        <v>9.21845904238647E-6</v>
      </c>
    </row>
    <row r="7791" spans="1:6" x14ac:dyDescent="0.25">
      <c r="A7791" s="1" t="str">
        <f t="shared" si="277"/>
        <v>17860</v>
      </c>
      <c r="B7791" s="1" t="str">
        <f>"65301"</f>
        <v>65301</v>
      </c>
      <c r="C7791" s="2">
        <v>1.15030273876624E-4</v>
      </c>
      <c r="D7791" s="2">
        <v>0</v>
      </c>
      <c r="E7791" s="2">
        <v>0</v>
      </c>
      <c r="F7791" s="2">
        <v>1.0140304946625101E-4</v>
      </c>
    </row>
    <row r="7792" spans="1:6" x14ac:dyDescent="0.25">
      <c r="A7792" s="1" t="str">
        <f t="shared" si="277"/>
        <v>17860</v>
      </c>
      <c r="B7792" s="1" t="str">
        <f>"65348"</f>
        <v>65348</v>
      </c>
      <c r="C7792" s="2">
        <v>5.4168801698265103E-3</v>
      </c>
      <c r="D7792" s="2">
        <v>1.3717421124828501E-3</v>
      </c>
      <c r="E7792" s="2">
        <v>1.8625827814569499E-3</v>
      </c>
      <c r="F7792" s="2">
        <v>4.9595309648039201E-3</v>
      </c>
    </row>
    <row r="7793" spans="1:6" x14ac:dyDescent="0.25">
      <c r="A7793" s="1" t="str">
        <f t="shared" si="277"/>
        <v>17860</v>
      </c>
      <c r="B7793" s="1" t="str">
        <f>"65279"</f>
        <v>65279</v>
      </c>
      <c r="C7793" s="2">
        <v>9.5265981365095596E-3</v>
      </c>
      <c r="D7793" s="2">
        <v>4.2399301658560904E-3</v>
      </c>
      <c r="E7793" s="2">
        <v>1.6556291390728401E-3</v>
      </c>
      <c r="F7793" s="2">
        <v>8.7851914673943102E-3</v>
      </c>
    </row>
    <row r="7794" spans="1:6" x14ac:dyDescent="0.25">
      <c r="A7794" s="1" t="str">
        <f t="shared" si="277"/>
        <v>17860</v>
      </c>
      <c r="B7794" s="1" t="str">
        <f>"65254"</f>
        <v>65254</v>
      </c>
      <c r="C7794" s="2">
        <v>8.9409894695012902E-3</v>
      </c>
      <c r="D7794" s="2">
        <v>1.28444943259758E-2</v>
      </c>
      <c r="E7794" s="2">
        <v>2.2764900662251598E-3</v>
      </c>
      <c r="F7794" s="2">
        <v>8.9326868120724896E-3</v>
      </c>
    </row>
    <row r="7795" spans="1:6" x14ac:dyDescent="0.25">
      <c r="A7795" s="1" t="str">
        <f t="shared" si="277"/>
        <v>17860</v>
      </c>
      <c r="B7795" s="1" t="str">
        <f>"65274"</f>
        <v>65274</v>
      </c>
      <c r="C7795" s="2">
        <v>8.1044056594894703E-3</v>
      </c>
      <c r="D7795" s="2">
        <v>3.4917071954108899E-3</v>
      </c>
      <c r="E7795" s="2">
        <v>3.5182119205298002E-3</v>
      </c>
      <c r="F7795" s="2">
        <v>7.5591364147569E-3</v>
      </c>
    </row>
    <row r="7796" spans="1:6" x14ac:dyDescent="0.25">
      <c r="A7796" s="1" t="str">
        <f t="shared" si="277"/>
        <v>17860</v>
      </c>
      <c r="B7796" s="1" t="str">
        <f>"65287"</f>
        <v>65287</v>
      </c>
      <c r="C7796" s="2">
        <v>1.1921319292668301E-3</v>
      </c>
      <c r="D7796" s="2">
        <v>1.2470382840753201E-4</v>
      </c>
      <c r="E7796" s="2">
        <v>2.0695364238410501E-4</v>
      </c>
      <c r="F7796" s="2">
        <v>1.06934124891683E-3</v>
      </c>
    </row>
    <row r="7797" spans="1:6" x14ac:dyDescent="0.25">
      <c r="A7797" s="1" t="str">
        <f t="shared" si="277"/>
        <v>17860</v>
      </c>
      <c r="B7797" s="1" t="str">
        <f>"65233"</f>
        <v>65233</v>
      </c>
      <c r="C7797" s="2">
        <v>5.4053771424388497E-2</v>
      </c>
      <c r="D7797" s="2">
        <v>7.0956478363885703E-2</v>
      </c>
      <c r="E7797" s="2">
        <v>4.0149006622516498E-2</v>
      </c>
      <c r="F7797" s="2">
        <v>5.4683899039436497E-2</v>
      </c>
    </row>
    <row r="7798" spans="1:6" x14ac:dyDescent="0.25">
      <c r="A7798" s="1" t="str">
        <f t="shared" si="277"/>
        <v>17860</v>
      </c>
      <c r="B7798" s="1" t="str">
        <f>"65230"</f>
        <v>65230</v>
      </c>
      <c r="C7798" s="2">
        <v>3.21039037092034E-3</v>
      </c>
      <c r="D7798" s="2">
        <v>9.9763062726025611E-4</v>
      </c>
      <c r="E7798" s="2">
        <v>2.0695364238410501E-4</v>
      </c>
      <c r="F7798" s="2">
        <v>2.91303305739412E-3</v>
      </c>
    </row>
    <row r="7799" spans="1:6" x14ac:dyDescent="0.25">
      <c r="A7799" s="1" t="str">
        <f t="shared" si="277"/>
        <v>17860</v>
      </c>
      <c r="B7799" s="1" t="str">
        <f>"65211"</f>
        <v>65211</v>
      </c>
      <c r="C7799" s="2">
        <v>0</v>
      </c>
      <c r="D7799" s="2">
        <v>2.4940765681506403E-4</v>
      </c>
      <c r="E7799" s="2">
        <v>6.4569536423841001E-2</v>
      </c>
      <c r="F7799" s="2">
        <v>2.8945961393093498E-3</v>
      </c>
    </row>
    <row r="7800" spans="1:6" x14ac:dyDescent="0.25">
      <c r="A7800" s="1" t="str">
        <f t="shared" si="277"/>
        <v>17860</v>
      </c>
      <c r="B7800" s="1" t="str">
        <f>"65255"</f>
        <v>65255</v>
      </c>
      <c r="C7800" s="2">
        <v>1.9053196273019098E-2</v>
      </c>
      <c r="D7800" s="2">
        <v>6.7340067340067302E-3</v>
      </c>
      <c r="E7800" s="2">
        <v>4.5529801324503301E-3</v>
      </c>
      <c r="F7800" s="2">
        <v>1.74966352624495E-2</v>
      </c>
    </row>
    <row r="7801" spans="1:6" x14ac:dyDescent="0.25">
      <c r="A7801" s="1" t="str">
        <f t="shared" si="277"/>
        <v>17860</v>
      </c>
      <c r="B7801" s="1" t="str">
        <f>"65250"</f>
        <v>65250</v>
      </c>
      <c r="C7801" s="2">
        <v>3.2940487519215202E-3</v>
      </c>
      <c r="D7801" s="2">
        <v>9.9763062726025611E-4</v>
      </c>
      <c r="E7801" s="2">
        <v>1.44867549668874E-3</v>
      </c>
      <c r="F7801" s="2">
        <v>3.04209148398753E-3</v>
      </c>
    </row>
    <row r="7802" spans="1:6" x14ac:dyDescent="0.25">
      <c r="A7802" s="1" t="str">
        <f t="shared" si="277"/>
        <v>17860</v>
      </c>
      <c r="B7802" s="1" t="str">
        <f>"65215"</f>
        <v>65215</v>
      </c>
      <c r="C7802" s="2">
        <v>0</v>
      </c>
      <c r="D7802" s="2">
        <v>1.2470382840753201E-4</v>
      </c>
      <c r="E7802" s="2">
        <v>0</v>
      </c>
      <c r="F7802" s="2">
        <v>9.21845904238647E-6</v>
      </c>
    </row>
    <row r="7803" spans="1:6" x14ac:dyDescent="0.25">
      <c r="A7803" s="1" t="str">
        <f t="shared" si="277"/>
        <v>17860</v>
      </c>
      <c r="B7803" s="1" t="str">
        <f>"65281"</f>
        <v>65281</v>
      </c>
      <c r="C7803" s="2">
        <v>9.4115678626329301E-5</v>
      </c>
      <c r="D7803" s="2">
        <v>0</v>
      </c>
      <c r="E7803" s="2">
        <v>0</v>
      </c>
      <c r="F7803" s="2">
        <v>8.2966131381478198E-5</v>
      </c>
    </row>
    <row r="7804" spans="1:6" x14ac:dyDescent="0.25">
      <c r="A7804" s="1" t="str">
        <f t="shared" si="277"/>
        <v>17860</v>
      </c>
      <c r="B7804" s="1" t="str">
        <f>"65025"</f>
        <v>65025</v>
      </c>
      <c r="C7804" s="2">
        <v>1.00390057201418E-3</v>
      </c>
      <c r="D7804" s="2">
        <v>2.4940765681506403E-4</v>
      </c>
      <c r="E7804" s="2">
        <v>0</v>
      </c>
      <c r="F7804" s="2">
        <v>9.0340898615387402E-4</v>
      </c>
    </row>
    <row r="7805" spans="1:6" x14ac:dyDescent="0.25">
      <c r="A7805" s="1" t="str">
        <f t="shared" si="277"/>
        <v>17860</v>
      </c>
      <c r="B7805" s="1" t="str">
        <f>"65256"</f>
        <v>65256</v>
      </c>
      <c r="C7805" s="2">
        <v>9.5161408388844092E-3</v>
      </c>
      <c r="D7805" s="2">
        <v>3.1175957101883E-3</v>
      </c>
      <c r="E7805" s="2">
        <v>1.8625827814569499E-3</v>
      </c>
      <c r="F7805" s="2">
        <v>8.7022253360128296E-3</v>
      </c>
    </row>
    <row r="7806" spans="1:6" x14ac:dyDescent="0.25">
      <c r="A7806" s="1" t="str">
        <f t="shared" si="277"/>
        <v>17860</v>
      </c>
      <c r="B7806" s="1" t="str">
        <f>"65201"</f>
        <v>65201</v>
      </c>
      <c r="C7806" s="2">
        <v>0.212471373147751</v>
      </c>
      <c r="D7806" s="2">
        <v>0.29617159246788799</v>
      </c>
      <c r="E7806" s="2">
        <v>0.36692880794701899</v>
      </c>
      <c r="F7806" s="2">
        <v>0.22553881893102701</v>
      </c>
    </row>
    <row r="7807" spans="1:6" x14ac:dyDescent="0.25">
      <c r="A7807" s="1" t="str">
        <f t="shared" si="277"/>
        <v>17860</v>
      </c>
      <c r="B7807" s="1" t="str">
        <f>"65243"</f>
        <v>65243</v>
      </c>
      <c r="C7807" s="2">
        <v>3.22084766854549E-3</v>
      </c>
      <c r="D7807" s="2">
        <v>2.4940765681506403E-4</v>
      </c>
      <c r="E7807" s="2">
        <v>4.13907284768211E-4</v>
      </c>
      <c r="F7807" s="2">
        <v>2.87615922122458E-3</v>
      </c>
    </row>
    <row r="7808" spans="1:6" x14ac:dyDescent="0.25">
      <c r="A7808" s="1" t="str">
        <f t="shared" si="277"/>
        <v>17860</v>
      </c>
      <c r="B7808" s="1" t="str">
        <f>"65010"</f>
        <v>65010</v>
      </c>
      <c r="C7808" s="2">
        <v>3.2647683185711103E-2</v>
      </c>
      <c r="D7808" s="2">
        <v>1.68350168350168E-2</v>
      </c>
      <c r="E7808" s="2">
        <v>3.76655629139072E-2</v>
      </c>
      <c r="F7808" s="2">
        <v>3.1702280646767E-2</v>
      </c>
    </row>
    <row r="7809" spans="1:6" x14ac:dyDescent="0.25">
      <c r="A7809" s="1" t="str">
        <f t="shared" si="277"/>
        <v>17860</v>
      </c>
      <c r="B7809" s="1" t="str">
        <f>"65039"</f>
        <v>65039</v>
      </c>
      <c r="C7809" s="2">
        <v>1.02167797797693E-2</v>
      </c>
      <c r="D7809" s="2">
        <v>1.49644594089038E-3</v>
      </c>
      <c r="E7809" s="2">
        <v>6.2086092715231704E-4</v>
      </c>
      <c r="F7809" s="2">
        <v>9.1447113700473797E-3</v>
      </c>
    </row>
    <row r="7810" spans="1:6" x14ac:dyDescent="0.25">
      <c r="A7810" s="1" t="str">
        <f t="shared" si="277"/>
        <v>17860</v>
      </c>
      <c r="B7810" s="1" t="str">
        <f>"65212"</f>
        <v>65212</v>
      </c>
      <c r="C7810" s="2">
        <v>0</v>
      </c>
      <c r="D7810" s="2">
        <v>1.2470382840753201E-4</v>
      </c>
      <c r="E7810" s="2">
        <v>0</v>
      </c>
      <c r="F7810" s="2">
        <v>9.21845904238647E-6</v>
      </c>
    </row>
    <row r="7811" spans="1:6" x14ac:dyDescent="0.25">
      <c r="A7811" s="1" t="str">
        <f t="shared" si="277"/>
        <v>17860</v>
      </c>
      <c r="B7811" s="1" t="str">
        <f>"65257"</f>
        <v>65257</v>
      </c>
      <c r="C7811" s="2">
        <v>2.0600876321540899E-3</v>
      </c>
      <c r="D7811" s="2">
        <v>1.2470382840753201E-4</v>
      </c>
      <c r="E7811" s="2">
        <v>0</v>
      </c>
      <c r="F7811" s="2">
        <v>1.82525489039252E-3</v>
      </c>
    </row>
    <row r="7812" spans="1:6" x14ac:dyDescent="0.25">
      <c r="A7812" s="1" t="str">
        <f t="shared" si="277"/>
        <v>17860</v>
      </c>
      <c r="B7812" s="1" t="str">
        <f>"65347"</f>
        <v>65347</v>
      </c>
      <c r="C7812" s="2">
        <v>4.60121095506499E-4</v>
      </c>
      <c r="D7812" s="2">
        <v>1.2470382840753201E-4</v>
      </c>
      <c r="E7812" s="2">
        <v>0</v>
      </c>
      <c r="F7812" s="2">
        <v>4.1483065690739099E-4</v>
      </c>
    </row>
    <row r="7813" spans="1:6" x14ac:dyDescent="0.25">
      <c r="A7813" s="1" t="str">
        <f t="shared" si="277"/>
        <v>17860</v>
      </c>
      <c r="B7813" s="1" t="str">
        <f>"65018"</f>
        <v>65018</v>
      </c>
      <c r="C7813" s="2">
        <v>7.4246813138548705E-4</v>
      </c>
      <c r="D7813" s="2">
        <v>2.4940765681506403E-4</v>
      </c>
      <c r="E7813" s="2">
        <v>0</v>
      </c>
      <c r="F7813" s="2">
        <v>6.7294751009421201E-4</v>
      </c>
    </row>
    <row r="7814" spans="1:6" x14ac:dyDescent="0.25">
      <c r="A7814" s="1" t="str">
        <f t="shared" si="277"/>
        <v>17860</v>
      </c>
      <c r="B7814" s="1" t="str">
        <f>"65203"</f>
        <v>65203</v>
      </c>
      <c r="C7814" s="2">
        <v>0.28299538833174698</v>
      </c>
      <c r="D7814" s="2">
        <v>0.25177702955480702</v>
      </c>
      <c r="E7814" s="2">
        <v>0.214610927152317</v>
      </c>
      <c r="F7814" s="2">
        <v>0.27764154943859498</v>
      </c>
    </row>
    <row r="7815" spans="1:6" x14ac:dyDescent="0.25">
      <c r="A7815" s="1" t="str">
        <f t="shared" si="277"/>
        <v>17860</v>
      </c>
      <c r="B7815" s="1" t="str">
        <f>"65276"</f>
        <v>65276</v>
      </c>
      <c r="C7815" s="2">
        <v>7.9893753856128402E-3</v>
      </c>
      <c r="D7815" s="2">
        <v>3.24229953859583E-3</v>
      </c>
      <c r="E7815" s="2">
        <v>2.2764900662251598E-3</v>
      </c>
      <c r="F7815" s="2">
        <v>7.3839856929515599E-3</v>
      </c>
    </row>
    <row r="7816" spans="1:6" x14ac:dyDescent="0.25">
      <c r="A7816" s="1" t="str">
        <f t="shared" si="277"/>
        <v>17860</v>
      </c>
      <c r="B7816" s="1" t="str">
        <f>"65322"</f>
        <v>65322</v>
      </c>
      <c r="C7816" s="2">
        <v>3.4404509186735902E-3</v>
      </c>
      <c r="D7816" s="2">
        <v>2.11996508292804E-3</v>
      </c>
      <c r="E7816" s="2">
        <v>2.0695364238410501E-4</v>
      </c>
      <c r="F7816" s="2">
        <v>3.1988052877080998E-3</v>
      </c>
    </row>
    <row r="7817" spans="1:6" x14ac:dyDescent="0.25">
      <c r="A7817" s="1" t="str">
        <f t="shared" si="277"/>
        <v>17860</v>
      </c>
      <c r="B7817" s="1" t="str">
        <f>"65354"</f>
        <v>65354</v>
      </c>
      <c r="C7817" s="2">
        <v>2.4051784537839699E-4</v>
      </c>
      <c r="D7817" s="2">
        <v>2.4940765681506403E-4</v>
      </c>
      <c r="E7817" s="2">
        <v>0</v>
      </c>
      <c r="F7817" s="2">
        <v>2.3046147605966101E-4</v>
      </c>
    </row>
    <row r="7818" spans="1:6" x14ac:dyDescent="0.25">
      <c r="A7818" s="1" t="str">
        <f t="shared" si="277"/>
        <v>17860</v>
      </c>
      <c r="B7818" s="1" t="str">
        <f>"65240"</f>
        <v>65240</v>
      </c>
      <c r="C7818" s="2">
        <v>3.0524851767806099E-2</v>
      </c>
      <c r="D7818" s="2">
        <v>2.7933657563287102E-2</v>
      </c>
      <c r="E7818" s="2">
        <v>1.94536423841059E-2</v>
      </c>
      <c r="F7818" s="2">
        <v>2.9840151920205001E-2</v>
      </c>
    </row>
    <row r="7819" spans="1:6" x14ac:dyDescent="0.25">
      <c r="A7819" s="1" t="str">
        <f t="shared" si="277"/>
        <v>17860</v>
      </c>
      <c r="B7819" s="1" t="str">
        <f>"65068"</f>
        <v>65068</v>
      </c>
      <c r="C7819" s="2">
        <v>3.5345665972999199E-3</v>
      </c>
      <c r="D7819" s="2">
        <v>9.9763062726025611E-4</v>
      </c>
      <c r="E7819" s="2">
        <v>6.2086092715231704E-4</v>
      </c>
      <c r="F7819" s="2">
        <v>3.2172422057928701E-3</v>
      </c>
    </row>
    <row r="7820" spans="1:6" x14ac:dyDescent="0.25">
      <c r="A7820" s="1" t="str">
        <f t="shared" si="277"/>
        <v>17860</v>
      </c>
      <c r="B7820" s="1" t="str">
        <f>"65284"</f>
        <v>65284</v>
      </c>
      <c r="C7820" s="2">
        <v>1.0049463017766901E-2</v>
      </c>
      <c r="D7820" s="2">
        <v>3.24229953859583E-3</v>
      </c>
      <c r="E7820" s="2">
        <v>2.2764900662251598E-3</v>
      </c>
      <c r="F7820" s="2">
        <v>9.2000221243016995E-3</v>
      </c>
    </row>
    <row r="7821" spans="1:6" x14ac:dyDescent="0.25">
      <c r="A7821" s="1" t="str">
        <f t="shared" si="277"/>
        <v>17860</v>
      </c>
      <c r="B7821" s="1" t="str">
        <f>"65202"</f>
        <v>65202</v>
      </c>
      <c r="C7821" s="2">
        <v>0.23044746776538</v>
      </c>
      <c r="D7821" s="2">
        <v>0.15625389699463699</v>
      </c>
      <c r="E7821" s="2">
        <v>0.21812913907284701</v>
      </c>
      <c r="F7821" s="2">
        <v>0.22441416692785601</v>
      </c>
    </row>
    <row r="7822" spans="1:6" x14ac:dyDescent="0.25">
      <c r="A7822" s="1" t="str">
        <f t="shared" si="277"/>
        <v>17860</v>
      </c>
      <c r="B7822" s="1" t="str">
        <f>"65237"</f>
        <v>65237</v>
      </c>
      <c r="C7822" s="2">
        <v>5.4064228722013599E-3</v>
      </c>
      <c r="D7822" s="2">
        <v>3.3670033670033599E-3</v>
      </c>
      <c r="E7822" s="2">
        <v>1.8625827814569499E-3</v>
      </c>
      <c r="F7822" s="2">
        <v>5.0978078504397197E-3</v>
      </c>
    </row>
    <row r="7823" spans="1:6" x14ac:dyDescent="0.25">
      <c r="A7823" s="1" t="str">
        <f t="shared" si="277"/>
        <v>17860</v>
      </c>
      <c r="B7823" s="1" t="str">
        <f>"65205"</f>
        <v>65205</v>
      </c>
      <c r="C7823" s="2">
        <v>1.8289813546383302E-2</v>
      </c>
      <c r="D7823" s="2">
        <v>0.10337947374984401</v>
      </c>
      <c r="E7823" s="2">
        <v>4.13907284768211E-4</v>
      </c>
      <c r="F7823" s="2">
        <v>2.37836243293571E-2</v>
      </c>
    </row>
    <row r="7824" spans="1:6" x14ac:dyDescent="0.25">
      <c r="A7824" s="1" t="str">
        <f t="shared" si="277"/>
        <v>17860</v>
      </c>
      <c r="B7824" s="1" t="str">
        <f>"65216"</f>
        <v>65216</v>
      </c>
      <c r="C7824" s="2">
        <v>0</v>
      </c>
      <c r="D7824" s="2">
        <v>1.2470382840753201E-4</v>
      </c>
      <c r="E7824" s="2">
        <v>0</v>
      </c>
      <c r="F7824" s="2">
        <v>9.21845904238647E-6</v>
      </c>
    </row>
    <row r="7825" spans="1:6" x14ac:dyDescent="0.25">
      <c r="A7825" s="1" t="str">
        <f t="shared" si="277"/>
        <v>17860</v>
      </c>
      <c r="B7825" s="1" t="str">
        <f>"65217"</f>
        <v>65217</v>
      </c>
      <c r="C7825" s="2">
        <v>0</v>
      </c>
      <c r="D7825" s="2">
        <v>1.2470382840753201E-4</v>
      </c>
      <c r="E7825" s="2">
        <v>0</v>
      </c>
      <c r="F7825" s="2">
        <v>9.21845904238647E-6</v>
      </c>
    </row>
    <row r="7826" spans="1:6" x14ac:dyDescent="0.25">
      <c r="A7826" s="1" t="str">
        <f t="shared" si="277"/>
        <v>17860</v>
      </c>
      <c r="B7826" s="1" t="str">
        <f>"65299"</f>
        <v>65299</v>
      </c>
      <c r="C7826" s="2">
        <v>0</v>
      </c>
      <c r="D7826" s="2">
        <v>0</v>
      </c>
      <c r="E7826" s="2">
        <v>2.0695364238410501E-4</v>
      </c>
      <c r="F7826" s="2">
        <v>9.21845904238647E-6</v>
      </c>
    </row>
    <row r="7827" spans="1:6" x14ac:dyDescent="0.25">
      <c r="A7827" s="1" t="str">
        <f t="shared" ref="A7827:A7858" si="278">"17900"</f>
        <v>17900</v>
      </c>
      <c r="B7827" s="1" t="str">
        <f>"29222"</f>
        <v>29222</v>
      </c>
      <c r="C7827" s="2">
        <v>0</v>
      </c>
      <c r="D7827" s="2">
        <v>0</v>
      </c>
      <c r="E7827" s="2">
        <v>9.2686996014459101E-5</v>
      </c>
      <c r="F7827" s="2">
        <v>2.17351141636871E-6</v>
      </c>
    </row>
    <row r="7828" spans="1:6" x14ac:dyDescent="0.25">
      <c r="A7828" s="1" t="str">
        <f t="shared" si="278"/>
        <v>17900</v>
      </c>
      <c r="B7828" s="1" t="str">
        <f>"29037"</f>
        <v>29037</v>
      </c>
      <c r="C7828" s="2">
        <v>4.01307532907217E-4</v>
      </c>
      <c r="D7828" s="2">
        <v>1.3109596224436201E-4</v>
      </c>
      <c r="E7828" s="2">
        <v>0</v>
      </c>
      <c r="F7828" s="2">
        <v>3.6949694078268101E-4</v>
      </c>
    </row>
    <row r="7829" spans="1:6" x14ac:dyDescent="0.25">
      <c r="A7829" s="1" t="str">
        <f t="shared" si="278"/>
        <v>17900</v>
      </c>
      <c r="B7829" s="1" t="str">
        <f>"29010"</f>
        <v>29010</v>
      </c>
      <c r="C7829" s="2">
        <v>1.1917617643911301E-4</v>
      </c>
      <c r="D7829" s="2">
        <v>0</v>
      </c>
      <c r="E7829" s="2">
        <v>0</v>
      </c>
      <c r="F7829" s="2">
        <v>1.06502059402067E-4</v>
      </c>
    </row>
    <row r="7830" spans="1:6" x14ac:dyDescent="0.25">
      <c r="A7830" s="1" t="str">
        <f t="shared" si="278"/>
        <v>17900</v>
      </c>
      <c r="B7830" s="1" t="str">
        <f>"29030"</f>
        <v>29030</v>
      </c>
      <c r="C7830" s="2">
        <v>1.8095321483816301E-3</v>
      </c>
      <c r="D7830" s="2">
        <v>1.15364446775039E-3</v>
      </c>
      <c r="E7830" s="2">
        <v>0</v>
      </c>
      <c r="F7830" s="2">
        <v>1.7127269960985399E-3</v>
      </c>
    </row>
    <row r="7831" spans="1:6" x14ac:dyDescent="0.25">
      <c r="A7831" s="1" t="str">
        <f t="shared" si="278"/>
        <v>17900</v>
      </c>
      <c r="B7831" s="1" t="str">
        <f>"29052"</f>
        <v>29052</v>
      </c>
      <c r="C7831" s="2">
        <v>2.3519053595228998E-3</v>
      </c>
      <c r="D7831" s="2">
        <v>7.3413738856843204E-4</v>
      </c>
      <c r="E7831" s="2">
        <v>9.2686996014459098E-4</v>
      </c>
      <c r="F7831" s="2">
        <v>2.18437897345055E-3</v>
      </c>
    </row>
    <row r="7832" spans="1:6" x14ac:dyDescent="0.25">
      <c r="A7832" s="1" t="str">
        <f t="shared" si="278"/>
        <v>17900</v>
      </c>
      <c r="B7832" s="1" t="str">
        <f>"29067"</f>
        <v>29067</v>
      </c>
      <c r="C7832" s="2">
        <v>3.5266419558513001E-3</v>
      </c>
      <c r="D7832" s="2">
        <v>8.1279496591504905E-4</v>
      </c>
      <c r="E7832" s="2">
        <v>0</v>
      </c>
      <c r="F7832" s="2">
        <v>3.2189704076420601E-3</v>
      </c>
    </row>
    <row r="7833" spans="1:6" x14ac:dyDescent="0.25">
      <c r="A7833" s="1" t="str">
        <f t="shared" si="278"/>
        <v>17900</v>
      </c>
      <c r="B7833" s="1" t="str">
        <f>"29225"</f>
        <v>29225</v>
      </c>
      <c r="C7833" s="2">
        <v>0</v>
      </c>
      <c r="D7833" s="2">
        <v>5.24383848977451E-5</v>
      </c>
      <c r="E7833" s="2">
        <v>9.2686996014459101E-5</v>
      </c>
      <c r="F7833" s="2">
        <v>6.5205342491061397E-6</v>
      </c>
    </row>
    <row r="7834" spans="1:6" x14ac:dyDescent="0.25">
      <c r="A7834" s="1" t="str">
        <f t="shared" si="278"/>
        <v>17900</v>
      </c>
      <c r="B7834" s="1" t="str">
        <f>"29128"</f>
        <v>29128</v>
      </c>
      <c r="C7834" s="2">
        <v>4.1346836723773898E-4</v>
      </c>
      <c r="D7834" s="2">
        <v>2.6219192448872499E-4</v>
      </c>
      <c r="E7834" s="2">
        <v>1.8537399202891801E-4</v>
      </c>
      <c r="F7834" s="2">
        <v>3.9557907777910598E-4</v>
      </c>
    </row>
    <row r="7835" spans="1:6" x14ac:dyDescent="0.25">
      <c r="A7835" s="1" t="str">
        <f t="shared" si="278"/>
        <v>17900</v>
      </c>
      <c r="B7835" s="1" t="str">
        <f>"29065"</f>
        <v>29065</v>
      </c>
      <c r="C7835" s="2">
        <v>9.1935907538744403E-4</v>
      </c>
      <c r="D7835" s="2">
        <v>2.3597273203985301E-4</v>
      </c>
      <c r="E7835" s="2">
        <v>1.8537399202891801E-4</v>
      </c>
      <c r="F7835" s="2">
        <v>8.4549594096742901E-4</v>
      </c>
    </row>
    <row r="7836" spans="1:6" x14ac:dyDescent="0.25">
      <c r="A7836" s="1" t="str">
        <f t="shared" si="278"/>
        <v>17900</v>
      </c>
      <c r="B7836" s="1" t="str">
        <f>"29172"</f>
        <v>29172</v>
      </c>
      <c r="C7836" s="2">
        <v>1.14555059393514E-2</v>
      </c>
      <c r="D7836" s="2">
        <v>8.4425799685369594E-3</v>
      </c>
      <c r="E7836" s="2">
        <v>5.0050977847807899E-3</v>
      </c>
      <c r="F7836" s="2">
        <v>1.10544790636512E-2</v>
      </c>
    </row>
    <row r="7837" spans="1:6" x14ac:dyDescent="0.25">
      <c r="A7837" s="1" t="str">
        <f t="shared" si="278"/>
        <v>17900</v>
      </c>
      <c r="B7837" s="1" t="str">
        <f>"29138"</f>
        <v>29138</v>
      </c>
      <c r="C7837" s="2">
        <v>1.1545496113397301E-2</v>
      </c>
      <c r="D7837" s="2">
        <v>1.05138961719979E-2</v>
      </c>
      <c r="E7837" s="2">
        <v>6.2100287329687597E-3</v>
      </c>
      <c r="F7837" s="2">
        <v>1.1334862036362799E-2</v>
      </c>
    </row>
    <row r="7838" spans="1:6" x14ac:dyDescent="0.25">
      <c r="A7838" s="1" t="str">
        <f t="shared" si="278"/>
        <v>17900</v>
      </c>
      <c r="B7838" s="1" t="str">
        <f>"29215"</f>
        <v>29215</v>
      </c>
      <c r="C7838" s="2">
        <v>0</v>
      </c>
      <c r="D7838" s="2">
        <v>2.6219192448872499E-5</v>
      </c>
      <c r="E7838" s="2">
        <v>9.2686996014459101E-5</v>
      </c>
      <c r="F7838" s="2">
        <v>4.34702283273742E-6</v>
      </c>
    </row>
    <row r="7839" spans="1:6" x14ac:dyDescent="0.25">
      <c r="A7839" s="1" t="str">
        <f t="shared" si="278"/>
        <v>17900</v>
      </c>
      <c r="B7839" s="1" t="str">
        <f>"29220"</f>
        <v>29220</v>
      </c>
      <c r="C7839" s="2">
        <v>0</v>
      </c>
      <c r="D7839" s="2">
        <v>2.6219192448872499E-5</v>
      </c>
      <c r="E7839" s="2">
        <v>9.2686996014459101E-5</v>
      </c>
      <c r="F7839" s="2">
        <v>4.34702283273742E-6</v>
      </c>
    </row>
    <row r="7840" spans="1:6" x14ac:dyDescent="0.25">
      <c r="A7840" s="1" t="str">
        <f t="shared" si="278"/>
        <v>17900</v>
      </c>
      <c r="B7840" s="1" t="str">
        <f>"29216"</f>
        <v>29216</v>
      </c>
      <c r="C7840" s="2">
        <v>0</v>
      </c>
      <c r="D7840" s="2">
        <v>0</v>
      </c>
      <c r="E7840" s="2">
        <v>9.2686996014459101E-5</v>
      </c>
      <c r="F7840" s="2">
        <v>2.17351141636871E-6</v>
      </c>
    </row>
    <row r="7841" spans="1:6" x14ac:dyDescent="0.25">
      <c r="A7841" s="1" t="str">
        <f t="shared" si="278"/>
        <v>17900</v>
      </c>
      <c r="B7841" s="1" t="str">
        <f>"29848"</f>
        <v>29848</v>
      </c>
      <c r="C7841" s="2">
        <v>5.3507671054295601E-5</v>
      </c>
      <c r="D7841" s="2">
        <v>0</v>
      </c>
      <c r="E7841" s="2">
        <v>0</v>
      </c>
      <c r="F7841" s="2">
        <v>4.7817251160111697E-5</v>
      </c>
    </row>
    <row r="7842" spans="1:6" x14ac:dyDescent="0.25">
      <c r="A7842" s="1" t="str">
        <f t="shared" si="278"/>
        <v>17900</v>
      </c>
      <c r="B7842" s="1" t="str">
        <f>"29718"</f>
        <v>29718</v>
      </c>
      <c r="C7842" s="2">
        <v>3.1374952572746102E-4</v>
      </c>
      <c r="D7842" s="2">
        <v>1.0487676979549E-4</v>
      </c>
      <c r="E7842" s="2">
        <v>0</v>
      </c>
      <c r="F7842" s="2">
        <v>2.8907701837703898E-4</v>
      </c>
    </row>
    <row r="7843" spans="1:6" x14ac:dyDescent="0.25">
      <c r="A7843" s="1" t="str">
        <f t="shared" si="278"/>
        <v>17900</v>
      </c>
      <c r="B7843" s="1" t="str">
        <f>"29250"</f>
        <v>29250</v>
      </c>
      <c r="C7843" s="2">
        <v>2.5440465419451401E-3</v>
      </c>
      <c r="D7843" s="2">
        <v>8.9407446250655397E-3</v>
      </c>
      <c r="E7843" s="2">
        <v>1.8537399202891801E-4</v>
      </c>
      <c r="F7843" s="2">
        <v>3.01900735733614E-3</v>
      </c>
    </row>
    <row r="7844" spans="1:6" x14ac:dyDescent="0.25">
      <c r="A7844" s="1" t="str">
        <f t="shared" si="278"/>
        <v>17900</v>
      </c>
      <c r="B7844" s="1" t="str">
        <f>"29054"</f>
        <v>29054</v>
      </c>
      <c r="C7844" s="2">
        <v>1.2520795026705099E-2</v>
      </c>
      <c r="D7844" s="2">
        <v>4.6407970634504397E-3</v>
      </c>
      <c r="E7844" s="2">
        <v>5.1904717768097098E-3</v>
      </c>
      <c r="F7844" s="2">
        <v>1.169566493148E-2</v>
      </c>
    </row>
    <row r="7845" spans="1:6" x14ac:dyDescent="0.25">
      <c r="A7845" s="1" t="str">
        <f t="shared" si="278"/>
        <v>17900</v>
      </c>
      <c r="B7845" s="1" t="str">
        <f>"29058"</f>
        <v>29058</v>
      </c>
      <c r="C7845" s="2">
        <v>1.07015342108591E-4</v>
      </c>
      <c r="D7845" s="2">
        <v>5.24383848977451E-5</v>
      </c>
      <c r="E7845" s="2">
        <v>0</v>
      </c>
      <c r="F7845" s="2">
        <v>9.9981525152960794E-5</v>
      </c>
    </row>
    <row r="7846" spans="1:6" x14ac:dyDescent="0.25">
      <c r="A7846" s="1" t="str">
        <f t="shared" si="278"/>
        <v>17900</v>
      </c>
      <c r="B7846" s="1" t="str">
        <f>"29203"</f>
        <v>29203</v>
      </c>
      <c r="C7846" s="2">
        <v>4.7337263714988899E-2</v>
      </c>
      <c r="D7846" s="2">
        <v>4.5123230204509701E-2</v>
      </c>
      <c r="E7846" s="2">
        <v>6.5437019186208104E-2</v>
      </c>
      <c r="F7846" s="2">
        <v>4.7578164904311097E-2</v>
      </c>
    </row>
    <row r="7847" spans="1:6" x14ac:dyDescent="0.25">
      <c r="A7847" s="1" t="str">
        <f t="shared" si="278"/>
        <v>17900</v>
      </c>
      <c r="B7847" s="1" t="str">
        <f>"29171"</f>
        <v>29171</v>
      </c>
      <c r="C7847" s="2">
        <v>7.2065104242671797E-3</v>
      </c>
      <c r="D7847" s="2">
        <v>1.45254326166754E-2</v>
      </c>
      <c r="E7847" s="2">
        <v>9.2686996014459101E-5</v>
      </c>
      <c r="F7847" s="2">
        <v>7.6464131627851303E-3</v>
      </c>
    </row>
    <row r="7848" spans="1:6" x14ac:dyDescent="0.25">
      <c r="A7848" s="1" t="str">
        <f t="shared" si="278"/>
        <v>17900</v>
      </c>
      <c r="B7848" s="1" t="str">
        <f>"29223"</f>
        <v>29223</v>
      </c>
      <c r="C7848" s="2">
        <v>5.9680510560468497E-2</v>
      </c>
      <c r="D7848" s="2">
        <v>5.31463030938647E-2</v>
      </c>
      <c r="E7848" s="2">
        <v>8.7403837241634905E-2</v>
      </c>
      <c r="F7848" s="2">
        <v>5.97889520414705E-2</v>
      </c>
    </row>
    <row r="7849" spans="1:6" x14ac:dyDescent="0.25">
      <c r="A7849" s="1" t="str">
        <f t="shared" si="278"/>
        <v>17900</v>
      </c>
      <c r="B7849" s="1" t="str">
        <f>"29212"</f>
        <v>29212</v>
      </c>
      <c r="C7849" s="2">
        <v>3.40089892887371E-2</v>
      </c>
      <c r="D7849" s="2">
        <v>2.8578919769271099E-2</v>
      </c>
      <c r="E7849" s="2">
        <v>2.4840114931875001E-2</v>
      </c>
      <c r="F7849" s="2">
        <v>3.3343838638512403E-2</v>
      </c>
    </row>
    <row r="7850" spans="1:6" x14ac:dyDescent="0.25">
      <c r="A7850" s="1" t="str">
        <f t="shared" si="278"/>
        <v>17900</v>
      </c>
      <c r="B7850" s="1" t="str">
        <f>"29020"</f>
        <v>29020</v>
      </c>
      <c r="C7850" s="2">
        <v>2.95483952563017E-2</v>
      </c>
      <c r="D7850" s="2">
        <v>3.3560566334556799E-2</v>
      </c>
      <c r="E7850" s="2">
        <v>1.9278895171007501E-2</v>
      </c>
      <c r="F7850" s="2">
        <v>2.9640175185020101E-2</v>
      </c>
    </row>
    <row r="7851" spans="1:6" x14ac:dyDescent="0.25">
      <c r="A7851" s="1" t="str">
        <f t="shared" si="278"/>
        <v>17900</v>
      </c>
      <c r="B7851" s="1" t="str">
        <f>"29016"</f>
        <v>29016</v>
      </c>
      <c r="C7851" s="2">
        <v>2.72378367335026E-2</v>
      </c>
      <c r="D7851" s="2">
        <v>6.9218668065023498E-3</v>
      </c>
      <c r="E7851" s="2">
        <v>2.5952358884048501E-3</v>
      </c>
      <c r="F7851" s="2">
        <v>2.4975819685492801E-2</v>
      </c>
    </row>
    <row r="7852" spans="1:6" x14ac:dyDescent="0.25">
      <c r="A7852" s="1" t="str">
        <f t="shared" si="278"/>
        <v>17900</v>
      </c>
      <c r="B7852" s="1" t="str">
        <f>"29127"</f>
        <v>29127</v>
      </c>
      <c r="C7852" s="2">
        <v>6.5425288698206996E-4</v>
      </c>
      <c r="D7852" s="2">
        <v>1.8353434714210801E-4</v>
      </c>
      <c r="E7852" s="2">
        <v>0</v>
      </c>
      <c r="F7852" s="2">
        <v>5.9988915091776498E-4</v>
      </c>
    </row>
    <row r="7853" spans="1:6" x14ac:dyDescent="0.25">
      <c r="A7853" s="1" t="str">
        <f t="shared" si="278"/>
        <v>17900</v>
      </c>
      <c r="B7853" s="1" t="str">
        <f>"29135"</f>
        <v>29135</v>
      </c>
      <c r="C7853" s="2">
        <v>1.0682076875930299E-2</v>
      </c>
      <c r="D7853" s="2">
        <v>8.2852648138437308E-3</v>
      </c>
      <c r="E7853" s="2">
        <v>3.5221058485494401E-3</v>
      </c>
      <c r="F7853" s="2">
        <v>1.0315485182085899E-2</v>
      </c>
    </row>
    <row r="7854" spans="1:6" x14ac:dyDescent="0.25">
      <c r="A7854" s="1" t="str">
        <f t="shared" si="278"/>
        <v>17900</v>
      </c>
      <c r="B7854" s="1" t="str">
        <f>"29072"</f>
        <v>29072</v>
      </c>
      <c r="C7854" s="2">
        <v>6.5515278872252794E-2</v>
      </c>
      <c r="D7854" s="2">
        <v>6.1038280020975298E-2</v>
      </c>
      <c r="E7854" s="2">
        <v>4.7919176939475297E-2</v>
      </c>
      <c r="F7854" s="2">
        <v>6.4731517002293001E-2</v>
      </c>
    </row>
    <row r="7855" spans="1:6" x14ac:dyDescent="0.25">
      <c r="A7855" s="1" t="str">
        <f t="shared" si="278"/>
        <v>17900</v>
      </c>
      <c r="B7855" s="1" t="str">
        <f>"29240"</f>
        <v>29240</v>
      </c>
      <c r="C7855" s="2">
        <v>1.7657531447917501E-3</v>
      </c>
      <c r="D7855" s="2">
        <v>4.8243314105925498E-3</v>
      </c>
      <c r="E7855" s="2">
        <v>1.8537399202891801E-4</v>
      </c>
      <c r="F7855" s="2">
        <v>1.9822424117282599E-3</v>
      </c>
    </row>
    <row r="7856" spans="1:6" x14ac:dyDescent="0.25">
      <c r="A7856" s="1" t="str">
        <f t="shared" si="278"/>
        <v>17900</v>
      </c>
      <c r="B7856" s="1" t="str">
        <f>"29260"</f>
        <v>29260</v>
      </c>
      <c r="C7856" s="2">
        <v>1.1552792613995599E-3</v>
      </c>
      <c r="D7856" s="2">
        <v>7.6822233875196598E-3</v>
      </c>
      <c r="E7856" s="2">
        <v>1.8537399202891801E-4</v>
      </c>
      <c r="F7856" s="2">
        <v>1.6736037906039101E-3</v>
      </c>
    </row>
    <row r="7857" spans="1:6" x14ac:dyDescent="0.25">
      <c r="A7857" s="1" t="str">
        <f t="shared" si="278"/>
        <v>17900</v>
      </c>
      <c r="B7857" s="1" t="str">
        <f>"29209"</f>
        <v>29209</v>
      </c>
      <c r="C7857" s="2">
        <v>4.11790172100127E-2</v>
      </c>
      <c r="D7857" s="2">
        <v>2.9627687467226001E-2</v>
      </c>
      <c r="E7857" s="2">
        <v>4.0226156270275197E-2</v>
      </c>
      <c r="F7857" s="2">
        <v>4.0199093645739301E-2</v>
      </c>
    </row>
    <row r="7858" spans="1:6" x14ac:dyDescent="0.25">
      <c r="A7858" s="1" t="str">
        <f t="shared" si="278"/>
        <v>17900</v>
      </c>
      <c r="B7858" s="1" t="str">
        <f>"29217"</f>
        <v>29217</v>
      </c>
      <c r="C7858" s="2">
        <v>0</v>
      </c>
      <c r="D7858" s="2">
        <v>2.6219192448872499E-5</v>
      </c>
      <c r="E7858" s="2">
        <v>9.2686996014459101E-5</v>
      </c>
      <c r="F7858" s="2">
        <v>4.34702283273742E-6</v>
      </c>
    </row>
    <row r="7859" spans="1:6" x14ac:dyDescent="0.25">
      <c r="A7859" s="1" t="str">
        <f t="shared" ref="A7859:A7890" si="279">"17900"</f>
        <v>17900</v>
      </c>
      <c r="B7859" s="1" t="str">
        <f>"29824"</f>
        <v>29824</v>
      </c>
      <c r="C7859" s="2">
        <v>3.4050336125460799E-5</v>
      </c>
      <c r="D7859" s="2">
        <v>0</v>
      </c>
      <c r="E7859" s="2">
        <v>0</v>
      </c>
      <c r="F7859" s="2">
        <v>3.0429159829162E-5</v>
      </c>
    </row>
    <row r="7860" spans="1:6" x14ac:dyDescent="0.25">
      <c r="A7860" s="1" t="str">
        <f t="shared" si="279"/>
        <v>17900</v>
      </c>
      <c r="B7860" s="1" t="str">
        <f>"29071"</f>
        <v>29071</v>
      </c>
      <c r="C7860" s="2">
        <v>2.8796855694675498E-3</v>
      </c>
      <c r="D7860" s="2">
        <v>2.07393812270582E-2</v>
      </c>
      <c r="E7860" s="2">
        <v>9.2686996014459101E-5</v>
      </c>
      <c r="F7860" s="2">
        <v>4.2948585587445701E-3</v>
      </c>
    </row>
    <row r="7861" spans="1:6" x14ac:dyDescent="0.25">
      <c r="A7861" s="1" t="str">
        <f t="shared" si="279"/>
        <v>17900</v>
      </c>
      <c r="B7861" s="1" t="str">
        <f>"29147"</f>
        <v>29147</v>
      </c>
      <c r="C7861" s="2">
        <v>0</v>
      </c>
      <c r="D7861" s="2">
        <v>2.6219192448872499E-5</v>
      </c>
      <c r="E7861" s="2">
        <v>0</v>
      </c>
      <c r="F7861" s="2">
        <v>2.17351141636871E-6</v>
      </c>
    </row>
    <row r="7862" spans="1:6" x14ac:dyDescent="0.25">
      <c r="A7862" s="1" t="str">
        <f t="shared" si="279"/>
        <v>17900</v>
      </c>
      <c r="B7862" s="1" t="str">
        <f>"29112"</f>
        <v>29112</v>
      </c>
      <c r="C7862" s="2">
        <v>5.6183054607010399E-4</v>
      </c>
      <c r="D7862" s="2">
        <v>5.24383848977451E-5</v>
      </c>
      <c r="E7862" s="2">
        <v>0</v>
      </c>
      <c r="F7862" s="2">
        <v>5.0642816001390996E-4</v>
      </c>
    </row>
    <row r="7863" spans="1:6" x14ac:dyDescent="0.25">
      <c r="A7863" s="1" t="str">
        <f t="shared" si="279"/>
        <v>17900</v>
      </c>
      <c r="B7863" s="1" t="str">
        <f>"29105"</f>
        <v>29105</v>
      </c>
      <c r="C7863" s="2">
        <v>3.38071194388504E-4</v>
      </c>
      <c r="D7863" s="2">
        <v>2.8841111693759798E-4</v>
      </c>
      <c r="E7863" s="2">
        <v>3.7074798405783602E-4</v>
      </c>
      <c r="F7863" s="2">
        <v>3.3472075812078202E-4</v>
      </c>
    </row>
    <row r="7864" spans="1:6" x14ac:dyDescent="0.25">
      <c r="A7864" s="1" t="str">
        <f t="shared" si="279"/>
        <v>17900</v>
      </c>
      <c r="B7864" s="1" t="str">
        <f>"29129"</f>
        <v>29129</v>
      </c>
      <c r="C7864" s="2">
        <v>1.14555059393514E-3</v>
      </c>
      <c r="D7864" s="2">
        <v>9.1767173571054002E-4</v>
      </c>
      <c r="E7864" s="2">
        <v>9.2686996014459098E-4</v>
      </c>
      <c r="F7864" s="2">
        <v>1.1215318908462499E-3</v>
      </c>
    </row>
    <row r="7865" spans="1:6" x14ac:dyDescent="0.25">
      <c r="A7865" s="1" t="str">
        <f t="shared" si="279"/>
        <v>17900</v>
      </c>
      <c r="B7865" s="1" t="str">
        <f>"29075"</f>
        <v>29075</v>
      </c>
      <c r="C7865" s="2">
        <v>1.2622946035081501E-3</v>
      </c>
      <c r="D7865" s="2">
        <v>7.8657577346617701E-5</v>
      </c>
      <c r="E7865" s="2">
        <v>9.2686996014459101E-5</v>
      </c>
      <c r="F7865" s="2">
        <v>1.13674647076083E-3</v>
      </c>
    </row>
    <row r="7866" spans="1:6" x14ac:dyDescent="0.25">
      <c r="A7866" s="1" t="str">
        <f t="shared" si="279"/>
        <v>17900</v>
      </c>
      <c r="B7866" s="1" t="str">
        <f>"29205"</f>
        <v>29205</v>
      </c>
      <c r="C7866" s="2">
        <v>3.2255396978275799E-2</v>
      </c>
      <c r="D7866" s="2">
        <v>2.8264289459884601E-2</v>
      </c>
      <c r="E7866" s="2">
        <v>7.84131986282324E-2</v>
      </c>
      <c r="F7866" s="2">
        <v>3.3006944368975201E-2</v>
      </c>
    </row>
    <row r="7867" spans="1:6" x14ac:dyDescent="0.25">
      <c r="A7867" s="1" t="str">
        <f t="shared" si="279"/>
        <v>17900</v>
      </c>
      <c r="B7867" s="1" t="str">
        <f>"29061"</f>
        <v>29061</v>
      </c>
      <c r="C7867" s="2">
        <v>1.62517389993092E-2</v>
      </c>
      <c r="D7867" s="2">
        <v>4.6670162558993099E-3</v>
      </c>
      <c r="E7867" s="2">
        <v>6.3954027249976796E-3</v>
      </c>
      <c r="F7867" s="2">
        <v>1.5060260604018799E-2</v>
      </c>
    </row>
    <row r="7868" spans="1:6" x14ac:dyDescent="0.25">
      <c r="A7868" s="1" t="str">
        <f t="shared" si="279"/>
        <v>17900</v>
      </c>
      <c r="B7868" s="1" t="str">
        <f>"29006"</f>
        <v>29006</v>
      </c>
      <c r="C7868" s="2">
        <v>9.8308184727937797E-3</v>
      </c>
      <c r="D7868" s="2">
        <v>1.03041426324069E-2</v>
      </c>
      <c r="E7868" s="2">
        <v>3.9855408286217399E-3</v>
      </c>
      <c r="F7868" s="2">
        <v>9.7329841224990995E-3</v>
      </c>
    </row>
    <row r="7869" spans="1:6" x14ac:dyDescent="0.25">
      <c r="A7869" s="1" t="str">
        <f t="shared" si="279"/>
        <v>17900</v>
      </c>
      <c r="B7869" s="1" t="str">
        <f>"29014"</f>
        <v>29014</v>
      </c>
      <c r="C7869" s="2">
        <v>7.2478572609909603E-4</v>
      </c>
      <c r="D7869" s="2">
        <v>5.2438384897745096E-4</v>
      </c>
      <c r="E7869" s="2">
        <v>0</v>
      </c>
      <c r="F7869" s="2">
        <v>6.9117663040525095E-4</v>
      </c>
    </row>
    <row r="7870" spans="1:6" x14ac:dyDescent="0.25">
      <c r="A7870" s="1" t="str">
        <f t="shared" si="279"/>
        <v>17900</v>
      </c>
      <c r="B7870" s="1" t="str">
        <f>"29180"</f>
        <v>29180</v>
      </c>
      <c r="C7870" s="2">
        <v>1.71735302415628E-2</v>
      </c>
      <c r="D7870" s="2">
        <v>1.2952281069743001E-2</v>
      </c>
      <c r="E7870" s="2">
        <v>1.41811103902122E-2</v>
      </c>
      <c r="F7870" s="2">
        <v>1.6753425997370001E-2</v>
      </c>
    </row>
    <row r="7871" spans="1:6" x14ac:dyDescent="0.25">
      <c r="A7871" s="1" t="str">
        <f t="shared" si="279"/>
        <v>17900</v>
      </c>
      <c r="B7871" s="1" t="str">
        <f>"29201"</f>
        <v>29201</v>
      </c>
      <c r="C7871" s="2">
        <v>3.1433324577532597E-2</v>
      </c>
      <c r="D7871" s="2">
        <v>0.107262716308337</v>
      </c>
      <c r="E7871" s="2">
        <v>0.124015200667346</v>
      </c>
      <c r="F7871" s="2">
        <v>3.9890455024615003E-2</v>
      </c>
    </row>
    <row r="7872" spans="1:6" x14ac:dyDescent="0.25">
      <c r="A7872" s="1" t="str">
        <f t="shared" si="279"/>
        <v>17900</v>
      </c>
      <c r="B7872" s="1" t="str">
        <f>"29170"</f>
        <v>29170</v>
      </c>
      <c r="C7872" s="2">
        <v>2.4703518859021799E-2</v>
      </c>
      <c r="D7872" s="2">
        <v>1.89040377556371E-2</v>
      </c>
      <c r="E7872" s="2">
        <v>2.5952358884048499E-2</v>
      </c>
      <c r="F7872" s="2">
        <v>2.4252040383842099E-2</v>
      </c>
    </row>
    <row r="7873" spans="1:6" x14ac:dyDescent="0.25">
      <c r="A7873" s="1" t="str">
        <f t="shared" si="279"/>
        <v>17900</v>
      </c>
      <c r="B7873" s="1" t="str">
        <f>"29219"</f>
        <v>29219</v>
      </c>
      <c r="C7873" s="2">
        <v>0</v>
      </c>
      <c r="D7873" s="2">
        <v>5.24383848977451E-5</v>
      </c>
      <c r="E7873" s="2">
        <v>0</v>
      </c>
      <c r="F7873" s="2">
        <v>4.34702283273742E-6</v>
      </c>
    </row>
    <row r="7874" spans="1:6" x14ac:dyDescent="0.25">
      <c r="A7874" s="1" t="str">
        <f t="shared" si="279"/>
        <v>17900</v>
      </c>
      <c r="B7874" s="1" t="str">
        <f>"29290"</f>
        <v>29290</v>
      </c>
      <c r="C7874" s="2">
        <v>2.1719250114311801E-3</v>
      </c>
      <c r="D7874" s="2">
        <v>7.2889355007865701E-3</v>
      </c>
      <c r="E7874" s="2">
        <v>1.8537399202891801E-4</v>
      </c>
      <c r="F7874" s="2">
        <v>2.5495288914005E-3</v>
      </c>
    </row>
    <row r="7875" spans="1:6" x14ac:dyDescent="0.25">
      <c r="A7875" s="1" t="str">
        <f t="shared" si="279"/>
        <v>17900</v>
      </c>
      <c r="B7875" s="1" t="str">
        <f>"29227"</f>
        <v>29227</v>
      </c>
      <c r="C7875" s="2">
        <v>0</v>
      </c>
      <c r="D7875" s="2">
        <v>0</v>
      </c>
      <c r="E7875" s="2">
        <v>9.2686996014459101E-5</v>
      </c>
      <c r="F7875" s="2">
        <v>2.17351141636871E-6</v>
      </c>
    </row>
    <row r="7876" spans="1:6" x14ac:dyDescent="0.25">
      <c r="A7876" s="1" t="str">
        <f t="shared" si="279"/>
        <v>17900</v>
      </c>
      <c r="B7876" s="1" t="str">
        <f>"29226"</f>
        <v>29226</v>
      </c>
      <c r="C7876" s="2">
        <v>0</v>
      </c>
      <c r="D7876" s="2">
        <v>2.6219192448872499E-5</v>
      </c>
      <c r="E7876" s="2">
        <v>9.2686996014459101E-5</v>
      </c>
      <c r="F7876" s="2">
        <v>4.34702283273742E-6</v>
      </c>
    </row>
    <row r="7877" spans="1:6" x14ac:dyDescent="0.25">
      <c r="A7877" s="1" t="str">
        <f t="shared" si="279"/>
        <v>17900</v>
      </c>
      <c r="B7877" s="1" t="str">
        <f>"29666"</f>
        <v>29666</v>
      </c>
      <c r="C7877" s="2">
        <v>2.7240268900368699E-4</v>
      </c>
      <c r="D7877" s="2">
        <v>0</v>
      </c>
      <c r="E7877" s="2">
        <v>0</v>
      </c>
      <c r="F7877" s="2">
        <v>2.43433278633296E-4</v>
      </c>
    </row>
    <row r="7878" spans="1:6" x14ac:dyDescent="0.25">
      <c r="A7878" s="1" t="str">
        <f t="shared" si="279"/>
        <v>17900</v>
      </c>
      <c r="B7878" s="1" t="str">
        <f>"29177"</f>
        <v>29177</v>
      </c>
      <c r="C7878" s="2">
        <v>8.2207240074327003E-4</v>
      </c>
      <c r="D7878" s="2">
        <v>2.6219192448872501E-3</v>
      </c>
      <c r="E7878" s="2">
        <v>9.2686996014459101E-5</v>
      </c>
      <c r="F7878" s="2">
        <v>9.5417151178586496E-4</v>
      </c>
    </row>
    <row r="7879" spans="1:6" x14ac:dyDescent="0.25">
      <c r="A7879" s="1" t="str">
        <f t="shared" si="279"/>
        <v>17900</v>
      </c>
      <c r="B7879" s="1" t="str">
        <f>"29044"</f>
        <v>29044</v>
      </c>
      <c r="C7879" s="2">
        <v>6.9559972370584399E-3</v>
      </c>
      <c r="D7879" s="2">
        <v>3.3822758259045601E-3</v>
      </c>
      <c r="E7879" s="2">
        <v>1.1122439521735099E-3</v>
      </c>
      <c r="F7879" s="2">
        <v>6.5227077605225104E-3</v>
      </c>
    </row>
    <row r="7880" spans="1:6" x14ac:dyDescent="0.25">
      <c r="A7880" s="1" t="str">
        <f t="shared" si="279"/>
        <v>17900</v>
      </c>
      <c r="B7880" s="1" t="str">
        <f>"29009"</f>
        <v>29009</v>
      </c>
      <c r="C7880" s="2">
        <v>2.7215947231707602E-3</v>
      </c>
      <c r="D7880" s="2">
        <v>6.8169900367068595E-4</v>
      </c>
      <c r="E7880" s="2">
        <v>3.7074798405783602E-4</v>
      </c>
      <c r="F7880" s="2">
        <v>2.4973646174076499E-3</v>
      </c>
    </row>
    <row r="7881" spans="1:6" x14ac:dyDescent="0.25">
      <c r="A7881" s="1" t="str">
        <f t="shared" si="279"/>
        <v>17900</v>
      </c>
      <c r="B7881" s="1" t="str">
        <f>"29160"</f>
        <v>29160</v>
      </c>
      <c r="C7881" s="2">
        <v>9.9743163178939304E-3</v>
      </c>
      <c r="D7881" s="2">
        <v>3.53959098059779E-3</v>
      </c>
      <c r="E7881" s="2">
        <v>9.2686996014459098E-4</v>
      </c>
      <c r="F7881" s="2">
        <v>9.2287294739015601E-3</v>
      </c>
    </row>
    <row r="7882" spans="1:6" x14ac:dyDescent="0.25">
      <c r="A7882" s="1" t="str">
        <f t="shared" si="279"/>
        <v>17900</v>
      </c>
      <c r="B7882" s="1" t="str">
        <f>"29073"</f>
        <v>29073</v>
      </c>
      <c r="C7882" s="2">
        <v>5.3001780346145902E-2</v>
      </c>
      <c r="D7882" s="2">
        <v>2.70319874147876E-2</v>
      </c>
      <c r="E7882" s="2">
        <v>2.1318009083325599E-2</v>
      </c>
      <c r="F7882" s="2">
        <v>5.0105958681547901E-2</v>
      </c>
    </row>
    <row r="7883" spans="1:6" x14ac:dyDescent="0.25">
      <c r="A7883" s="1" t="str">
        <f t="shared" si="279"/>
        <v>17900</v>
      </c>
      <c r="B7883" s="1" t="str">
        <f>"29204"</f>
        <v>29204</v>
      </c>
      <c r="C7883" s="2">
        <v>2.28575042076486E-2</v>
      </c>
      <c r="D7883" s="2">
        <v>3.69166229680125E-2</v>
      </c>
      <c r="E7883" s="2">
        <v>5.6446380572805599E-2</v>
      </c>
      <c r="F7883" s="2">
        <v>2.4810632817848802E-2</v>
      </c>
    </row>
    <row r="7884" spans="1:6" x14ac:dyDescent="0.25">
      <c r="A7884" s="1" t="str">
        <f t="shared" si="279"/>
        <v>17900</v>
      </c>
      <c r="B7884" s="1" t="str">
        <f>"29206"</f>
        <v>29206</v>
      </c>
      <c r="C7884" s="2">
        <v>2.3635797604802E-2</v>
      </c>
      <c r="D7884" s="2">
        <v>2.1473518615626599E-2</v>
      </c>
      <c r="E7884" s="2">
        <v>8.5828158309389099E-2</v>
      </c>
      <c r="F7884" s="2">
        <v>2.4914961365834501E-2</v>
      </c>
    </row>
    <row r="7885" spans="1:6" x14ac:dyDescent="0.25">
      <c r="A7885" s="1" t="str">
        <f t="shared" si="279"/>
        <v>17900</v>
      </c>
      <c r="B7885" s="1" t="str">
        <f>"29207"</f>
        <v>29207</v>
      </c>
      <c r="C7885" s="2">
        <v>0</v>
      </c>
      <c r="D7885" s="2">
        <v>5.0340849501835302E-3</v>
      </c>
      <c r="E7885" s="2">
        <v>1.01955695615905E-3</v>
      </c>
      <c r="F7885" s="2">
        <v>4.4122281752284902E-4</v>
      </c>
    </row>
    <row r="7886" spans="1:6" x14ac:dyDescent="0.25">
      <c r="A7886" s="1" t="str">
        <f t="shared" si="279"/>
        <v>17900</v>
      </c>
      <c r="B7886" s="1" t="str">
        <f>"29221"</f>
        <v>29221</v>
      </c>
      <c r="C7886" s="2">
        <v>4.5432877058829198E-3</v>
      </c>
      <c r="D7886" s="2">
        <v>1.28998426848453E-2</v>
      </c>
      <c r="E7886" s="2">
        <v>1.8537399202891801E-4</v>
      </c>
      <c r="F7886" s="2">
        <v>5.1338339654628997E-3</v>
      </c>
    </row>
    <row r="7887" spans="1:6" x14ac:dyDescent="0.25">
      <c r="A7887" s="1" t="str">
        <f t="shared" si="279"/>
        <v>17900</v>
      </c>
      <c r="B7887" s="1" t="str">
        <f>"29055"</f>
        <v>29055</v>
      </c>
      <c r="C7887" s="2">
        <v>1.02880658436213E-3</v>
      </c>
      <c r="D7887" s="2">
        <v>1.57315154693235E-4</v>
      </c>
      <c r="E7887" s="2">
        <v>7.4149596811567302E-4</v>
      </c>
      <c r="F7887" s="2">
        <v>9.4982448895312803E-4</v>
      </c>
    </row>
    <row r="7888" spans="1:6" x14ac:dyDescent="0.25">
      <c r="A7888" s="1" t="str">
        <f t="shared" si="279"/>
        <v>17900</v>
      </c>
      <c r="B7888" s="1" t="str">
        <f>"29032"</f>
        <v>29032</v>
      </c>
      <c r="C7888" s="2">
        <v>5.0248567453715798E-3</v>
      </c>
      <c r="D7888" s="2">
        <v>8.1279496591504905E-4</v>
      </c>
      <c r="E7888" s="2">
        <v>0</v>
      </c>
      <c r="F7888" s="2">
        <v>4.5578534401251904E-3</v>
      </c>
    </row>
    <row r="7889" spans="1:6" x14ac:dyDescent="0.25">
      <c r="A7889" s="1" t="str">
        <f t="shared" si="279"/>
        <v>17900</v>
      </c>
      <c r="B7889" s="1" t="str">
        <f>"29045"</f>
        <v>29045</v>
      </c>
      <c r="C7889" s="2">
        <v>3.1350630904084999E-2</v>
      </c>
      <c r="D7889" s="2">
        <v>1.2821185107498601E-2</v>
      </c>
      <c r="E7889" s="2">
        <v>6.2100287329687597E-3</v>
      </c>
      <c r="F7889" s="2">
        <v>2.9225034504493701E-2</v>
      </c>
    </row>
    <row r="7890" spans="1:6" x14ac:dyDescent="0.25">
      <c r="A7890" s="1" t="str">
        <f t="shared" si="279"/>
        <v>17900</v>
      </c>
      <c r="B7890" s="1" t="str">
        <f>"29033"</f>
        <v>29033</v>
      </c>
      <c r="C7890" s="2">
        <v>1.68549163821031E-2</v>
      </c>
      <c r="D7890" s="2">
        <v>1.80125852123754E-2</v>
      </c>
      <c r="E7890" s="2">
        <v>1.7425155250718301E-2</v>
      </c>
      <c r="F7890" s="2">
        <v>1.69642566047578E-2</v>
      </c>
    </row>
    <row r="7891" spans="1:6" x14ac:dyDescent="0.25">
      <c r="A7891" s="1" t="str">
        <f t="shared" ref="A7891:A7919" si="280">"17900"</f>
        <v>17900</v>
      </c>
      <c r="B7891" s="1" t="str">
        <f>"29063"</f>
        <v>29063</v>
      </c>
      <c r="C7891" s="2">
        <v>4.1947581939701703E-2</v>
      </c>
      <c r="D7891" s="2">
        <v>4.4126900891452499E-2</v>
      </c>
      <c r="E7891" s="2">
        <v>1.22346834739086E-2</v>
      </c>
      <c r="F7891" s="2">
        <v>4.1431474618820401E-2</v>
      </c>
    </row>
    <row r="7892" spans="1:6" x14ac:dyDescent="0.25">
      <c r="A7892" s="1" t="str">
        <f t="shared" si="280"/>
        <v>17900</v>
      </c>
      <c r="B7892" s="1" t="str">
        <f>"29015"</f>
        <v>29015</v>
      </c>
      <c r="C7892" s="2">
        <v>1.9943768302055601E-3</v>
      </c>
      <c r="D7892" s="2">
        <v>3.9328788673308798E-4</v>
      </c>
      <c r="E7892" s="2">
        <v>9.2686996014459098E-4</v>
      </c>
      <c r="F7892" s="2">
        <v>1.83661714683156E-3</v>
      </c>
    </row>
    <row r="7893" spans="1:6" x14ac:dyDescent="0.25">
      <c r="A7893" s="1" t="str">
        <f t="shared" si="280"/>
        <v>17900</v>
      </c>
      <c r="B7893" s="1" t="str">
        <f>"29078"</f>
        <v>29078</v>
      </c>
      <c r="C7893" s="2">
        <v>2.0498302347527399E-2</v>
      </c>
      <c r="D7893" s="2">
        <v>1.4656528578919701E-2</v>
      </c>
      <c r="E7893" s="2">
        <v>7.4149596811567296E-3</v>
      </c>
      <c r="F7893" s="2">
        <v>1.9707228012215101E-2</v>
      </c>
    </row>
    <row r="7894" spans="1:6" x14ac:dyDescent="0.25">
      <c r="A7894" s="1" t="str">
        <f t="shared" si="280"/>
        <v>17900</v>
      </c>
      <c r="B7894" s="1" t="str">
        <f>"29070"</f>
        <v>29070</v>
      </c>
      <c r="C7894" s="2">
        <v>2.0077537479691401E-2</v>
      </c>
      <c r="D7894" s="2">
        <v>8.6261143156790704E-3</v>
      </c>
      <c r="E7894" s="2">
        <v>2.1318009083325599E-3</v>
      </c>
      <c r="F7894" s="2">
        <v>1.87074127606855E-2</v>
      </c>
    </row>
    <row r="7895" spans="1:6" x14ac:dyDescent="0.25">
      <c r="A7895" s="1" t="str">
        <f t="shared" si="280"/>
        <v>17900</v>
      </c>
      <c r="B7895" s="1" t="str">
        <f>"29229"</f>
        <v>29229</v>
      </c>
      <c r="C7895" s="2">
        <v>5.3473620718170203E-2</v>
      </c>
      <c r="D7895" s="2">
        <v>3.6733088620870401E-2</v>
      </c>
      <c r="E7895" s="2">
        <v>2.2615627027528E-2</v>
      </c>
      <c r="F7895" s="2">
        <v>5.1362248280209001E-2</v>
      </c>
    </row>
    <row r="7896" spans="1:6" x14ac:dyDescent="0.25">
      <c r="A7896" s="1" t="str">
        <f t="shared" si="280"/>
        <v>17900</v>
      </c>
      <c r="B7896" s="1" t="str">
        <f>"29224"</f>
        <v>29224</v>
      </c>
      <c r="C7896" s="2">
        <v>3.1180379223457698E-3</v>
      </c>
      <c r="D7896" s="2">
        <v>1.01730466701625E-2</v>
      </c>
      <c r="E7896" s="2">
        <v>1.8537399202891801E-4</v>
      </c>
      <c r="F7896" s="2">
        <v>3.6341110881684901E-3</v>
      </c>
    </row>
    <row r="7897" spans="1:6" x14ac:dyDescent="0.25">
      <c r="A7897" s="1" t="str">
        <f t="shared" si="280"/>
        <v>17900</v>
      </c>
      <c r="B7897" s="1" t="str">
        <f>"29132"</f>
        <v>29132</v>
      </c>
      <c r="C7897" s="2">
        <v>0</v>
      </c>
      <c r="D7897" s="2">
        <v>2.6219192448872499E-5</v>
      </c>
      <c r="E7897" s="2">
        <v>0</v>
      </c>
      <c r="F7897" s="2">
        <v>2.17351141636871E-6</v>
      </c>
    </row>
    <row r="7898" spans="1:6" x14ac:dyDescent="0.25">
      <c r="A7898" s="1" t="str">
        <f t="shared" si="280"/>
        <v>17900</v>
      </c>
      <c r="B7898" s="1" t="str">
        <f>"29074"</f>
        <v>29074</v>
      </c>
      <c r="C7898" s="2">
        <v>4.3049353530046899E-4</v>
      </c>
      <c r="D7898" s="2">
        <v>7.8657577346617701E-5</v>
      </c>
      <c r="E7898" s="2">
        <v>0</v>
      </c>
      <c r="F7898" s="2">
        <v>3.9123205494636802E-4</v>
      </c>
    </row>
    <row r="7899" spans="1:6" x14ac:dyDescent="0.25">
      <c r="A7899" s="1" t="str">
        <f t="shared" si="280"/>
        <v>17900</v>
      </c>
      <c r="B7899" s="1" t="str">
        <f>"29208"</f>
        <v>29208</v>
      </c>
      <c r="C7899" s="2">
        <v>0</v>
      </c>
      <c r="D7899" s="2">
        <v>2.43838489774514E-3</v>
      </c>
      <c r="E7899" s="2">
        <v>1.8537399202891801E-4</v>
      </c>
      <c r="F7899" s="2">
        <v>2.06483584555027E-4</v>
      </c>
    </row>
    <row r="7900" spans="1:6" x14ac:dyDescent="0.25">
      <c r="A7900" s="1" t="str">
        <f t="shared" si="280"/>
        <v>17900</v>
      </c>
      <c r="B7900" s="1" t="str">
        <f>"29031"</f>
        <v>29031</v>
      </c>
      <c r="C7900" s="2">
        <v>1.6295518002899101E-4</v>
      </c>
      <c r="D7900" s="2">
        <v>2.6219192448872499E-5</v>
      </c>
      <c r="E7900" s="2">
        <v>0</v>
      </c>
      <c r="F7900" s="2">
        <v>1.47798776313072E-4</v>
      </c>
    </row>
    <row r="7901" spans="1:6" x14ac:dyDescent="0.25">
      <c r="A7901" s="1" t="str">
        <f t="shared" si="280"/>
        <v>17900</v>
      </c>
      <c r="B7901" s="1" t="str">
        <f>"29211"</f>
        <v>29211</v>
      </c>
      <c r="C7901" s="2">
        <v>2.2205683487532702E-3</v>
      </c>
      <c r="D7901" s="2">
        <v>1.09858416360776E-2</v>
      </c>
      <c r="E7901" s="2">
        <v>1.8537399202891801E-4</v>
      </c>
      <c r="F7901" s="2">
        <v>2.8994642294358601E-3</v>
      </c>
    </row>
    <row r="7902" spans="1:6" x14ac:dyDescent="0.25">
      <c r="A7902" s="1" t="str">
        <f t="shared" si="280"/>
        <v>17900</v>
      </c>
      <c r="B7902" s="1" t="str">
        <f>"29036"</f>
        <v>29036</v>
      </c>
      <c r="C7902" s="2">
        <v>2.9553259590033899E-2</v>
      </c>
      <c r="D7902" s="2">
        <v>1.6649187205034E-2</v>
      </c>
      <c r="E7902" s="2">
        <v>4.9124107887663299E-3</v>
      </c>
      <c r="F7902" s="2">
        <v>2.79057130747579E-2</v>
      </c>
    </row>
    <row r="7903" spans="1:6" x14ac:dyDescent="0.25">
      <c r="A7903" s="1" t="str">
        <f t="shared" si="280"/>
        <v>17900</v>
      </c>
      <c r="B7903" s="1" t="str">
        <f>"29047"</f>
        <v>29047</v>
      </c>
      <c r="C7903" s="2">
        <v>2.1159851735107799E-3</v>
      </c>
      <c r="D7903" s="2">
        <v>4.1950707918196102E-4</v>
      </c>
      <c r="E7903" s="2">
        <v>9.2686996014459101E-5</v>
      </c>
      <c r="F7903" s="2">
        <v>1.9279046263190401E-3</v>
      </c>
    </row>
    <row r="7904" spans="1:6" x14ac:dyDescent="0.25">
      <c r="A7904" s="1" t="str">
        <f t="shared" si="280"/>
        <v>17900</v>
      </c>
      <c r="B7904" s="1" t="str">
        <f>"29169"</f>
        <v>29169</v>
      </c>
      <c r="C7904" s="2">
        <v>3.1102549883742399E-2</v>
      </c>
      <c r="D7904" s="2">
        <v>5.0760356581017303E-2</v>
      </c>
      <c r="E7904" s="2">
        <v>5.8578181481138102E-2</v>
      </c>
      <c r="F7904" s="2">
        <v>3.33764413097579E-2</v>
      </c>
    </row>
    <row r="7905" spans="1:6" x14ac:dyDescent="0.25">
      <c r="A7905" s="1" t="str">
        <f t="shared" si="280"/>
        <v>17900</v>
      </c>
      <c r="B7905" s="1" t="str">
        <f>"29166"</f>
        <v>29166</v>
      </c>
      <c r="C7905" s="2">
        <v>1.1625757619978701E-3</v>
      </c>
      <c r="D7905" s="2">
        <v>3.4084950183534298E-4</v>
      </c>
      <c r="E7905" s="2">
        <v>0</v>
      </c>
      <c r="F7905" s="2">
        <v>1.06719410543703E-3</v>
      </c>
    </row>
    <row r="7906" spans="1:6" x14ac:dyDescent="0.25">
      <c r="A7906" s="1" t="str">
        <f t="shared" si="280"/>
        <v>17900</v>
      </c>
      <c r="B7906" s="1" t="str">
        <f>"29123"</f>
        <v>29123</v>
      </c>
      <c r="C7906" s="2">
        <v>8.3763826868633803E-3</v>
      </c>
      <c r="D7906" s="2">
        <v>2.0450970110120598E-3</v>
      </c>
      <c r="E7906" s="2">
        <v>1.01955695615905E-3</v>
      </c>
      <c r="F7906" s="2">
        <v>7.6790158340306596E-3</v>
      </c>
    </row>
    <row r="7907" spans="1:6" x14ac:dyDescent="0.25">
      <c r="A7907" s="1" t="str">
        <f t="shared" si="280"/>
        <v>17900</v>
      </c>
      <c r="B7907" s="1" t="str">
        <f>"29130"</f>
        <v>29130</v>
      </c>
      <c r="C7907" s="2">
        <v>8.5514987012228899E-3</v>
      </c>
      <c r="D7907" s="2">
        <v>3.0938647089669602E-3</v>
      </c>
      <c r="E7907" s="2">
        <v>2.2244879043470198E-3</v>
      </c>
      <c r="F7907" s="2">
        <v>7.9507047610767496E-3</v>
      </c>
    </row>
    <row r="7908" spans="1:6" x14ac:dyDescent="0.25">
      <c r="A7908" s="1" t="str">
        <f t="shared" si="280"/>
        <v>17900</v>
      </c>
      <c r="B7908" s="1" t="str">
        <f>"29230"</f>
        <v>29230</v>
      </c>
      <c r="C7908" s="2">
        <v>3.0280477482999102E-3</v>
      </c>
      <c r="D7908" s="2">
        <v>4.9554273728369099E-3</v>
      </c>
      <c r="E7908" s="2">
        <v>1.8537399202891801E-4</v>
      </c>
      <c r="F7908" s="2">
        <v>3.1211623939054701E-3</v>
      </c>
    </row>
    <row r="7909" spans="1:6" x14ac:dyDescent="0.25">
      <c r="A7909" s="1" t="str">
        <f t="shared" si="280"/>
        <v>17900</v>
      </c>
      <c r="B7909" s="1" t="str">
        <f>"29210"</f>
        <v>29210</v>
      </c>
      <c r="C7909" s="2">
        <v>4.7585344735331603E-2</v>
      </c>
      <c r="D7909" s="2">
        <v>5.8495018353434701E-2</v>
      </c>
      <c r="E7909" s="2">
        <v>0.122902956715172</v>
      </c>
      <c r="F7909" s="2">
        <v>5.0255930969277399E-2</v>
      </c>
    </row>
    <row r="7910" spans="1:6" x14ac:dyDescent="0.25">
      <c r="A7910" s="1" t="str">
        <f t="shared" si="280"/>
        <v>17900</v>
      </c>
      <c r="B7910" s="1" t="str">
        <f>"29292"</f>
        <v>29292</v>
      </c>
      <c r="C7910" s="2">
        <v>0</v>
      </c>
      <c r="D7910" s="2">
        <v>2.6219192448872499E-5</v>
      </c>
      <c r="E7910" s="2">
        <v>0</v>
      </c>
      <c r="F7910" s="2">
        <v>2.17351141636871E-6</v>
      </c>
    </row>
    <row r="7911" spans="1:6" x14ac:dyDescent="0.25">
      <c r="A7911" s="1" t="str">
        <f t="shared" si="280"/>
        <v>17900</v>
      </c>
      <c r="B7911" s="1" t="str">
        <f>"29218"</f>
        <v>29218</v>
      </c>
      <c r="C7911" s="2">
        <v>0</v>
      </c>
      <c r="D7911" s="2">
        <v>2.6219192448872499E-5</v>
      </c>
      <c r="E7911" s="2">
        <v>9.2686996014459101E-5</v>
      </c>
      <c r="F7911" s="2">
        <v>4.34702283273742E-6</v>
      </c>
    </row>
    <row r="7912" spans="1:6" x14ac:dyDescent="0.25">
      <c r="A7912" s="1" t="str">
        <f t="shared" si="280"/>
        <v>17900</v>
      </c>
      <c r="B7912" s="1" t="str">
        <f>"29021"</f>
        <v>29021</v>
      </c>
      <c r="C7912" s="2">
        <v>2.1062565060463601E-3</v>
      </c>
      <c r="D7912" s="2">
        <v>8.2852648138437308E-3</v>
      </c>
      <c r="E7912" s="2">
        <v>1.8537399202891801E-4</v>
      </c>
      <c r="F7912" s="2">
        <v>2.57343751698055E-3</v>
      </c>
    </row>
    <row r="7913" spans="1:6" x14ac:dyDescent="0.25">
      <c r="A7913" s="1" t="str">
        <f t="shared" si="280"/>
        <v>17900</v>
      </c>
      <c r="B7913" s="1" t="str">
        <f>"29002"</f>
        <v>29002</v>
      </c>
      <c r="C7913" s="2">
        <v>8.3666540193989597E-4</v>
      </c>
      <c r="D7913" s="2">
        <v>2.9103303618248501E-3</v>
      </c>
      <c r="E7913" s="2">
        <v>1.8537399202891801E-4</v>
      </c>
      <c r="F7913" s="2">
        <v>9.9329471728050196E-4</v>
      </c>
    </row>
    <row r="7914" spans="1:6" x14ac:dyDescent="0.25">
      <c r="A7914" s="1" t="str">
        <f t="shared" si="280"/>
        <v>17900</v>
      </c>
      <c r="B7914" s="1" t="str">
        <f>"29175"</f>
        <v>29175</v>
      </c>
      <c r="C7914" s="2">
        <v>3.8428236484448698E-4</v>
      </c>
      <c r="D7914" s="2">
        <v>7.8657577346617701E-5</v>
      </c>
      <c r="E7914" s="2">
        <v>0</v>
      </c>
      <c r="F7914" s="2">
        <v>3.49935338035363E-4</v>
      </c>
    </row>
    <row r="7915" spans="1:6" x14ac:dyDescent="0.25">
      <c r="A7915" s="1" t="str">
        <f t="shared" si="280"/>
        <v>17900</v>
      </c>
      <c r="B7915" s="1" t="str">
        <f>"29214"</f>
        <v>29214</v>
      </c>
      <c r="C7915" s="2">
        <v>0</v>
      </c>
      <c r="D7915" s="2">
        <v>5.24383848977451E-5</v>
      </c>
      <c r="E7915" s="2">
        <v>2.7806098804337699E-4</v>
      </c>
      <c r="F7915" s="2">
        <v>1.08675570818435E-5</v>
      </c>
    </row>
    <row r="7916" spans="1:6" x14ac:dyDescent="0.25">
      <c r="A7916" s="1" t="str">
        <f t="shared" si="280"/>
        <v>17900</v>
      </c>
      <c r="B7916" s="1" t="str">
        <f>"29832"</f>
        <v>29832</v>
      </c>
      <c r="C7916" s="2">
        <v>8.1477590014495695E-4</v>
      </c>
      <c r="D7916" s="2">
        <v>3.6706869428421602E-4</v>
      </c>
      <c r="E7916" s="2">
        <v>9.2686996014459101E-5</v>
      </c>
      <c r="F7916" s="2">
        <v>7.6072899572905001E-4</v>
      </c>
    </row>
    <row r="7917" spans="1:6" x14ac:dyDescent="0.25">
      <c r="A7917" s="1" t="str">
        <f t="shared" si="280"/>
        <v>17900</v>
      </c>
      <c r="B7917" s="1" t="str">
        <f>"29202"</f>
        <v>29202</v>
      </c>
      <c r="C7917" s="2">
        <v>4.1906235102977902E-3</v>
      </c>
      <c r="D7917" s="2">
        <v>2.9627687467226001E-2</v>
      </c>
      <c r="E7917" s="2">
        <v>1.8537399202891801E-4</v>
      </c>
      <c r="F7917" s="2">
        <v>6.20537509373267E-3</v>
      </c>
    </row>
    <row r="7918" spans="1:6" x14ac:dyDescent="0.25">
      <c r="A7918" s="1" t="str">
        <f t="shared" si="280"/>
        <v>17900</v>
      </c>
      <c r="B7918" s="1" t="str">
        <f>"29118"</f>
        <v>29118</v>
      </c>
      <c r="C7918" s="2">
        <v>7.1019272490246998E-4</v>
      </c>
      <c r="D7918" s="2">
        <v>1.57315154693235E-4</v>
      </c>
      <c r="E7918" s="2">
        <v>2.7806098804337699E-4</v>
      </c>
      <c r="F7918" s="2">
        <v>6.5422693632698301E-4</v>
      </c>
    </row>
    <row r="7919" spans="1:6" x14ac:dyDescent="0.25">
      <c r="A7919" s="1" t="str">
        <f t="shared" si="280"/>
        <v>17900</v>
      </c>
      <c r="B7919" s="1" t="str">
        <f>"29053"</f>
        <v>29053</v>
      </c>
      <c r="C7919" s="2">
        <v>2.1694928445650699E-2</v>
      </c>
      <c r="D7919" s="2">
        <v>6.0566334556895604E-3</v>
      </c>
      <c r="E7919" s="2">
        <v>6.3027157289832197E-3</v>
      </c>
      <c r="F7919" s="2">
        <v>2.00376017475031E-2</v>
      </c>
    </row>
    <row r="7920" spans="1:6" x14ac:dyDescent="0.25">
      <c r="A7920" s="1" t="str">
        <f t="shared" ref="A7920:A7951" si="281">"17980"</f>
        <v>17980</v>
      </c>
      <c r="B7920" s="1" t="str">
        <f>"36874"</f>
        <v>36874</v>
      </c>
      <c r="C7920" s="2">
        <v>2.0711672682039001E-3</v>
      </c>
      <c r="D7920" s="2">
        <v>6.4779426054285098E-5</v>
      </c>
      <c r="E7920" s="2">
        <v>8.9086859688195896E-4</v>
      </c>
      <c r="F7920" s="2">
        <v>1.8611927818088601E-3</v>
      </c>
    </row>
    <row r="7921" spans="1:6" x14ac:dyDescent="0.25">
      <c r="A7921" s="1" t="str">
        <f t="shared" si="281"/>
        <v>17980</v>
      </c>
      <c r="B7921" s="1" t="str">
        <f>"36875"</f>
        <v>36875</v>
      </c>
      <c r="C7921" s="2">
        <v>1.6452911583217399E-2</v>
      </c>
      <c r="D7921" s="2">
        <v>4.1458832674742497E-3</v>
      </c>
      <c r="E7921" s="2">
        <v>7.8693392724573097E-3</v>
      </c>
      <c r="F7921" s="2">
        <v>1.5116122245299801E-2</v>
      </c>
    </row>
    <row r="7922" spans="1:6" x14ac:dyDescent="0.25">
      <c r="A7922" s="1" t="str">
        <f t="shared" si="281"/>
        <v>17980</v>
      </c>
      <c r="B7922" s="1" t="str">
        <f>"36871"</f>
        <v>36871</v>
      </c>
      <c r="C7922" s="2">
        <v>4.4058262302917404E-3</v>
      </c>
      <c r="D7922" s="2">
        <v>1.6194856513571201E-3</v>
      </c>
      <c r="E7922" s="2">
        <v>5.9391239792130597E-4</v>
      </c>
      <c r="F7922" s="2">
        <v>4.03528174142907E-3</v>
      </c>
    </row>
    <row r="7923" spans="1:6" x14ac:dyDescent="0.25">
      <c r="A7923" s="1" t="str">
        <f t="shared" si="281"/>
        <v>17980</v>
      </c>
      <c r="B7923" s="1" t="str">
        <f>"31825"</f>
        <v>31825</v>
      </c>
      <c r="C7923" s="2">
        <v>5.9316269692940198E-3</v>
      </c>
      <c r="D7923" s="2">
        <v>6.0892660491028002E-3</v>
      </c>
      <c r="E7923" s="2">
        <v>3.8604305864884899E-3</v>
      </c>
      <c r="F7923" s="2">
        <v>5.8695007148059199E-3</v>
      </c>
    </row>
    <row r="7924" spans="1:6" x14ac:dyDescent="0.25">
      <c r="A7924" s="1" t="str">
        <f t="shared" si="281"/>
        <v>17980</v>
      </c>
      <c r="B7924" s="1" t="str">
        <f>"31836"</f>
        <v>31836</v>
      </c>
      <c r="C7924" s="2">
        <v>2.5613843731042301E-3</v>
      </c>
      <c r="D7924" s="2">
        <v>4.53455982379996E-4</v>
      </c>
      <c r="E7924" s="2">
        <v>0</v>
      </c>
      <c r="F7924" s="2">
        <v>2.2927737167210598E-3</v>
      </c>
    </row>
    <row r="7925" spans="1:6" x14ac:dyDescent="0.25">
      <c r="A7925" s="1" t="str">
        <f t="shared" si="281"/>
        <v>17980</v>
      </c>
      <c r="B7925" s="1" t="str">
        <f>"31827"</f>
        <v>31827</v>
      </c>
      <c r="C7925" s="2">
        <v>4.8960433351920704E-3</v>
      </c>
      <c r="D7925" s="2">
        <v>1.5547062253028401E-3</v>
      </c>
      <c r="E7925" s="2">
        <v>7.4239049740163301E-4</v>
      </c>
      <c r="F7925" s="2">
        <v>4.4668626763412697E-3</v>
      </c>
    </row>
    <row r="7926" spans="1:6" x14ac:dyDescent="0.25">
      <c r="A7926" s="1" t="str">
        <f t="shared" si="281"/>
        <v>17980</v>
      </c>
      <c r="B7926" s="1" t="str">
        <f>"31906"</f>
        <v>31906</v>
      </c>
      <c r="C7926" s="2">
        <v>7.63635695158493E-2</v>
      </c>
      <c r="D7926" s="2">
        <v>6.59454557232622E-2</v>
      </c>
      <c r="E7926" s="2">
        <v>0.107646622123236</v>
      </c>
      <c r="F7926" s="2">
        <v>7.6632589755347494E-2</v>
      </c>
    </row>
    <row r="7927" spans="1:6" x14ac:dyDescent="0.25">
      <c r="A7927" s="1" t="str">
        <f t="shared" si="281"/>
        <v>17980</v>
      </c>
      <c r="B7927" s="1" t="str">
        <f>"36877"</f>
        <v>36877</v>
      </c>
      <c r="C7927" s="2">
        <v>8.5787993357558194E-5</v>
      </c>
      <c r="D7927" s="2">
        <v>0</v>
      </c>
      <c r="E7927" s="2">
        <v>0</v>
      </c>
      <c r="F7927" s="2">
        <v>7.5526663609634998E-5</v>
      </c>
    </row>
    <row r="7928" spans="1:6" x14ac:dyDescent="0.25">
      <c r="A7928" s="1" t="str">
        <f t="shared" si="281"/>
        <v>17980</v>
      </c>
      <c r="B7928" s="1" t="str">
        <f>"31998"</f>
        <v>31998</v>
      </c>
      <c r="C7928" s="2">
        <v>0</v>
      </c>
      <c r="D7928" s="2">
        <v>0</v>
      </c>
      <c r="E7928" s="2">
        <v>1.4847809948032601E-4</v>
      </c>
      <c r="F7928" s="2">
        <v>5.3947616864024996E-6</v>
      </c>
    </row>
    <row r="7929" spans="1:6" x14ac:dyDescent="0.25">
      <c r="A7929" s="1" t="str">
        <f t="shared" si="281"/>
        <v>17980</v>
      </c>
      <c r="B7929" s="1" t="str">
        <f>"31816"</f>
        <v>31816</v>
      </c>
      <c r="C7929" s="2">
        <v>9.1915707168812298E-4</v>
      </c>
      <c r="D7929" s="2">
        <v>1.2955885210857001E-4</v>
      </c>
      <c r="E7929" s="2">
        <v>0</v>
      </c>
      <c r="F7929" s="2">
        <v>8.2000377633317995E-4</v>
      </c>
    </row>
    <row r="7930" spans="1:6" x14ac:dyDescent="0.25">
      <c r="A7930" s="1" t="str">
        <f t="shared" si="281"/>
        <v>17980</v>
      </c>
      <c r="B7930" s="1" t="str">
        <f>"31821"</f>
        <v>31821</v>
      </c>
      <c r="C7930" s="2">
        <v>5.0860024633409505E-4</v>
      </c>
      <c r="D7930" s="2">
        <v>3.8867655632571002E-4</v>
      </c>
      <c r="E7930" s="2">
        <v>0</v>
      </c>
      <c r="F7930" s="2">
        <v>4.8013379008982201E-4</v>
      </c>
    </row>
    <row r="7931" spans="1:6" x14ac:dyDescent="0.25">
      <c r="A7931" s="1" t="str">
        <f t="shared" si="281"/>
        <v>17980</v>
      </c>
      <c r="B7931" s="1" t="str">
        <f>"36027"</f>
        <v>36027</v>
      </c>
      <c r="C7931" s="2">
        <v>5.2698338776785696E-4</v>
      </c>
      <c r="D7931" s="2">
        <v>4.53455982379996E-4</v>
      </c>
      <c r="E7931" s="2">
        <v>0</v>
      </c>
      <c r="F7931" s="2">
        <v>5.0171283683543197E-4</v>
      </c>
    </row>
    <row r="7932" spans="1:6" x14ac:dyDescent="0.25">
      <c r="A7932" s="1" t="str">
        <f t="shared" si="281"/>
        <v>17980</v>
      </c>
      <c r="B7932" s="1" t="str">
        <f>"31917"</f>
        <v>31917</v>
      </c>
      <c r="C7932" s="2">
        <v>4.9695759009271197E-3</v>
      </c>
      <c r="D7932" s="2">
        <v>1.83325775733627E-2</v>
      </c>
      <c r="E7932" s="2">
        <v>2.9695619896065299E-4</v>
      </c>
      <c r="F7932" s="2">
        <v>5.9126588082971396E-3</v>
      </c>
    </row>
    <row r="7933" spans="1:6" x14ac:dyDescent="0.25">
      <c r="A7933" s="1" t="str">
        <f t="shared" si="281"/>
        <v>17980</v>
      </c>
      <c r="B7933" s="1" t="str">
        <f>"31815"</f>
        <v>31815</v>
      </c>
      <c r="C7933" s="2">
        <v>3.4866691586036098E-3</v>
      </c>
      <c r="D7933" s="2">
        <v>4.53455982379996E-4</v>
      </c>
      <c r="E7933" s="2">
        <v>1.4847809948032599E-3</v>
      </c>
      <c r="F7933" s="2">
        <v>3.16133034823186E-3</v>
      </c>
    </row>
    <row r="7934" spans="1:6" x14ac:dyDescent="0.25">
      <c r="A7934" s="1" t="str">
        <f t="shared" si="281"/>
        <v>17980</v>
      </c>
      <c r="B7934" s="1" t="str">
        <f>"31820"</f>
        <v>31820</v>
      </c>
      <c r="C7934" s="2">
        <v>3.1864111818521598E-2</v>
      </c>
      <c r="D7934" s="2">
        <v>1.4510591436159801E-2</v>
      </c>
      <c r="E7934" s="2">
        <v>6.9784706755753496E-3</v>
      </c>
      <c r="F7934" s="2">
        <v>2.9514741186308001E-2</v>
      </c>
    </row>
    <row r="7935" spans="1:6" x14ac:dyDescent="0.25">
      <c r="A7935" s="1" t="str">
        <f t="shared" si="281"/>
        <v>17980</v>
      </c>
      <c r="B7935" s="1" t="str">
        <f>"31904"</f>
        <v>31904</v>
      </c>
      <c r="C7935" s="2">
        <v>9.9599860288125106E-2</v>
      </c>
      <c r="D7935" s="2">
        <v>0.14795620910798701</v>
      </c>
      <c r="E7935" s="2">
        <v>0.16406829992576</v>
      </c>
      <c r="F7935" s="2">
        <v>0.105969303806004</v>
      </c>
    </row>
    <row r="7936" spans="1:6" x14ac:dyDescent="0.25">
      <c r="A7936" s="1" t="str">
        <f t="shared" si="281"/>
        <v>17980</v>
      </c>
      <c r="B7936" s="1" t="str">
        <f>"31902"</f>
        <v>31902</v>
      </c>
      <c r="C7936" s="2">
        <v>6.7098466233233003E-3</v>
      </c>
      <c r="D7936" s="2">
        <v>3.5563904903802498E-2</v>
      </c>
      <c r="E7936" s="2">
        <v>2.9695619896065299E-4</v>
      </c>
      <c r="F7936" s="2">
        <v>8.8797777358185209E-3</v>
      </c>
    </row>
    <row r="7937" spans="1:6" x14ac:dyDescent="0.25">
      <c r="A7937" s="1" t="str">
        <f t="shared" si="281"/>
        <v>17980</v>
      </c>
      <c r="B7937" s="1" t="str">
        <f>"31830"</f>
        <v>31830</v>
      </c>
      <c r="C7937" s="2">
        <v>5.0860024633409505E-4</v>
      </c>
      <c r="D7937" s="2">
        <v>1.2955885210857001E-4</v>
      </c>
      <c r="E7937" s="2">
        <v>0</v>
      </c>
      <c r="F7937" s="2">
        <v>4.5855474334421199E-4</v>
      </c>
    </row>
    <row r="7938" spans="1:6" x14ac:dyDescent="0.25">
      <c r="A7938" s="1" t="str">
        <f t="shared" si="281"/>
        <v>17980</v>
      </c>
      <c r="B7938" s="1" t="str">
        <f>"36856"</f>
        <v>36856</v>
      </c>
      <c r="C7938" s="2">
        <v>2.5865079997303801E-2</v>
      </c>
      <c r="D7938" s="2">
        <v>7.2552957180799299E-3</v>
      </c>
      <c r="E7938" s="2">
        <v>6.8299925760950198E-3</v>
      </c>
      <c r="F7938" s="2">
        <v>2.3623661424756501E-2</v>
      </c>
    </row>
    <row r="7939" spans="1:6" x14ac:dyDescent="0.25">
      <c r="A7939" s="1" t="str">
        <f t="shared" si="281"/>
        <v>17980</v>
      </c>
      <c r="B7939" s="1" t="str">
        <f>"31901"</f>
        <v>31901</v>
      </c>
      <c r="C7939" s="2">
        <v>2.77340327097363E-2</v>
      </c>
      <c r="D7939" s="2">
        <v>0.102740169722096</v>
      </c>
      <c r="E7939" s="2">
        <v>9.6659242761692604E-2</v>
      </c>
      <c r="F7939" s="2">
        <v>3.6484773285140097E-2</v>
      </c>
    </row>
    <row r="7940" spans="1:6" x14ac:dyDescent="0.25">
      <c r="A7940" s="1" t="str">
        <f t="shared" si="281"/>
        <v>17980</v>
      </c>
      <c r="B7940" s="1" t="str">
        <f>"31833"</f>
        <v>31833</v>
      </c>
      <c r="C7940" s="2">
        <v>6.3912055051380803E-3</v>
      </c>
      <c r="D7940" s="2">
        <v>2.0729416337371201E-3</v>
      </c>
      <c r="E7940" s="2">
        <v>3.5634743875278302E-3</v>
      </c>
      <c r="F7940" s="2">
        <v>5.92884309335635E-3</v>
      </c>
    </row>
    <row r="7941" spans="1:6" x14ac:dyDescent="0.25">
      <c r="A7941" s="1" t="str">
        <f t="shared" si="281"/>
        <v>17980</v>
      </c>
      <c r="B7941" s="1" t="str">
        <f>"31803"</f>
        <v>31803</v>
      </c>
      <c r="C7941" s="2">
        <v>1.5527626797718E-2</v>
      </c>
      <c r="D7941" s="2">
        <v>1.0818164151065599E-2</v>
      </c>
      <c r="E7941" s="2">
        <v>7.4239049740163297E-3</v>
      </c>
      <c r="F7941" s="2">
        <v>1.48409893992932E-2</v>
      </c>
    </row>
    <row r="7942" spans="1:6" x14ac:dyDescent="0.25">
      <c r="A7942" s="1" t="str">
        <f t="shared" si="281"/>
        <v>17980</v>
      </c>
      <c r="B7942" s="1" t="str">
        <f>"31805"</f>
        <v>31805</v>
      </c>
      <c r="C7942" s="2">
        <v>7.7454302574252497E-3</v>
      </c>
      <c r="D7942" s="2">
        <v>2.7855153203342601E-3</v>
      </c>
      <c r="E7942" s="2">
        <v>0</v>
      </c>
      <c r="F7942" s="2">
        <v>7.0509535241280704E-3</v>
      </c>
    </row>
    <row r="7943" spans="1:6" x14ac:dyDescent="0.25">
      <c r="A7943" s="1" t="str">
        <f t="shared" si="281"/>
        <v>17980</v>
      </c>
      <c r="B7943" s="1" t="str">
        <f>"36870"</f>
        <v>36870</v>
      </c>
      <c r="C7943" s="2">
        <v>1.41488911901858E-2</v>
      </c>
      <c r="D7943" s="2">
        <v>1.8850812981796899E-2</v>
      </c>
      <c r="E7943" s="2">
        <v>9.6510764662212298E-3</v>
      </c>
      <c r="F7943" s="2">
        <v>1.4377039894262599E-2</v>
      </c>
    </row>
    <row r="7944" spans="1:6" x14ac:dyDescent="0.25">
      <c r="A7944" s="1" t="str">
        <f t="shared" si="281"/>
        <v>17980</v>
      </c>
      <c r="B7944" s="1" t="str">
        <f>"31058"</f>
        <v>31058</v>
      </c>
      <c r="C7944" s="2">
        <v>3.9830139773151998E-3</v>
      </c>
      <c r="D7944" s="2">
        <v>6.47794260542851E-4</v>
      </c>
      <c r="E7944" s="2">
        <v>5.9391239792130597E-4</v>
      </c>
      <c r="F7944" s="2">
        <v>3.58212175977126E-3</v>
      </c>
    </row>
    <row r="7945" spans="1:6" x14ac:dyDescent="0.25">
      <c r="A7945" s="1" t="str">
        <f t="shared" si="281"/>
        <v>17980</v>
      </c>
      <c r="B7945" s="1" t="str">
        <f>"36851"</f>
        <v>36851</v>
      </c>
      <c r="C7945" s="2">
        <v>0</v>
      </c>
      <c r="D7945" s="2">
        <v>6.4779426054285098E-5</v>
      </c>
      <c r="E7945" s="2">
        <v>0</v>
      </c>
      <c r="F7945" s="2">
        <v>5.3947616864024996E-6</v>
      </c>
    </row>
    <row r="7946" spans="1:6" x14ac:dyDescent="0.25">
      <c r="A7946" s="1" t="str">
        <f t="shared" si="281"/>
        <v>17980</v>
      </c>
      <c r="B7946" s="1" t="str">
        <f>"39867"</f>
        <v>39867</v>
      </c>
      <c r="C7946" s="2">
        <v>5.51494243012874E-5</v>
      </c>
      <c r="D7946" s="2">
        <v>0</v>
      </c>
      <c r="E7946" s="2">
        <v>0</v>
      </c>
      <c r="F7946" s="2">
        <v>4.8552855177622502E-5</v>
      </c>
    </row>
    <row r="7947" spans="1:6" x14ac:dyDescent="0.25">
      <c r="A7947" s="1" t="str">
        <f t="shared" si="281"/>
        <v>17980</v>
      </c>
      <c r="B7947" s="1" t="str">
        <f>"36860"</f>
        <v>36860</v>
      </c>
      <c r="C7947" s="2">
        <v>3.5050523000373702E-3</v>
      </c>
      <c r="D7947" s="2">
        <v>5.83014834488566E-4</v>
      </c>
      <c r="E7947" s="2">
        <v>5.9391239792130597E-4</v>
      </c>
      <c r="F7947" s="2">
        <v>3.1559355865454601E-3</v>
      </c>
    </row>
    <row r="7948" spans="1:6" x14ac:dyDescent="0.25">
      <c r="A7948" s="1" t="str">
        <f t="shared" si="281"/>
        <v>17980</v>
      </c>
      <c r="B7948" s="1" t="str">
        <f>"31811"</f>
        <v>31811</v>
      </c>
      <c r="C7948" s="2">
        <v>1.63303573069923E-2</v>
      </c>
      <c r="D7948" s="2">
        <v>7.6439722744056403E-3</v>
      </c>
      <c r="E7948" s="2">
        <v>4.4543429844097899E-4</v>
      </c>
      <c r="F7948" s="2">
        <v>1.50298060583173E-2</v>
      </c>
    </row>
    <row r="7949" spans="1:6" x14ac:dyDescent="0.25">
      <c r="A7949" s="1" t="str">
        <f t="shared" si="281"/>
        <v>17980</v>
      </c>
      <c r="B7949" s="1" t="str">
        <f>"31905"</f>
        <v>31905</v>
      </c>
      <c r="C7949" s="2">
        <v>2.9125023744890999E-2</v>
      </c>
      <c r="D7949" s="2">
        <v>7.0739133251279299E-2</v>
      </c>
      <c r="E7949" s="2">
        <v>0.161544172234595</v>
      </c>
      <c r="F7949" s="2">
        <v>3.7401882771828501E-2</v>
      </c>
    </row>
    <row r="7950" spans="1:6" x14ac:dyDescent="0.25">
      <c r="A7950" s="1" t="str">
        <f t="shared" si="281"/>
        <v>17980</v>
      </c>
      <c r="B7950" s="1" t="str">
        <f>"31824"</f>
        <v>31824</v>
      </c>
      <c r="C7950" s="2">
        <v>1.83831414337624E-5</v>
      </c>
      <c r="D7950" s="2">
        <v>6.4779426054285098E-5</v>
      </c>
      <c r="E7950" s="2">
        <v>0</v>
      </c>
      <c r="F7950" s="2">
        <v>2.1579046745609998E-5</v>
      </c>
    </row>
    <row r="7951" spans="1:6" x14ac:dyDescent="0.25">
      <c r="A7951" s="1" t="str">
        <f t="shared" si="281"/>
        <v>17980</v>
      </c>
      <c r="B7951" s="1" t="str">
        <f>"39854"</f>
        <v>39854</v>
      </c>
      <c r="C7951" s="2">
        <v>6.1277138112541497E-6</v>
      </c>
      <c r="D7951" s="2">
        <v>0</v>
      </c>
      <c r="E7951" s="2">
        <v>0</v>
      </c>
      <c r="F7951" s="2">
        <v>5.3947616864024996E-6</v>
      </c>
    </row>
    <row r="7952" spans="1:6" x14ac:dyDescent="0.25">
      <c r="A7952" s="1" t="str">
        <f t="shared" ref="A7952:A7975" si="282">"17980"</f>
        <v>17980</v>
      </c>
      <c r="B7952" s="1" t="str">
        <f>"36053"</f>
        <v>36053</v>
      </c>
      <c r="C7952" s="2">
        <v>1.2255427622508299E-5</v>
      </c>
      <c r="D7952" s="2">
        <v>0</v>
      </c>
      <c r="E7952" s="2">
        <v>0</v>
      </c>
      <c r="F7952" s="2">
        <v>1.0789523372804999E-5</v>
      </c>
    </row>
    <row r="7953" spans="1:6" x14ac:dyDescent="0.25">
      <c r="A7953" s="1" t="str">
        <f t="shared" si="282"/>
        <v>17980</v>
      </c>
      <c r="B7953" s="1" t="str">
        <f>"31914"</f>
        <v>31914</v>
      </c>
      <c r="C7953" s="2">
        <v>2.58589522834925E-3</v>
      </c>
      <c r="D7953" s="2">
        <v>1.32797823411284E-2</v>
      </c>
      <c r="E7953" s="2">
        <v>2.9695619896065299E-4</v>
      </c>
      <c r="F7953" s="2">
        <v>3.3933051007471698E-3</v>
      </c>
    </row>
    <row r="7954" spans="1:6" x14ac:dyDescent="0.25">
      <c r="A7954" s="1" t="str">
        <f t="shared" si="282"/>
        <v>17980</v>
      </c>
      <c r="B7954" s="1" t="str">
        <f>"31903"</f>
        <v>31903</v>
      </c>
      <c r="C7954" s="2">
        <v>6.7637705048623403E-2</v>
      </c>
      <c r="D7954" s="2">
        <v>5.5775085832739497E-2</v>
      </c>
      <c r="E7954" s="2">
        <v>9.3095768374164806E-2</v>
      </c>
      <c r="F7954" s="2">
        <v>6.7574784883877706E-2</v>
      </c>
    </row>
    <row r="7955" spans="1:6" x14ac:dyDescent="0.25">
      <c r="A7955" s="1" t="str">
        <f t="shared" si="282"/>
        <v>17980</v>
      </c>
      <c r="B7955" s="1" t="str">
        <f>"31807"</f>
        <v>31807</v>
      </c>
      <c r="C7955" s="2">
        <v>6.7037189095120499E-3</v>
      </c>
      <c r="D7955" s="2">
        <v>1.5547062253028401E-3</v>
      </c>
      <c r="E7955" s="2">
        <v>0</v>
      </c>
      <c r="F7955" s="2">
        <v>6.0313435653979904E-3</v>
      </c>
    </row>
    <row r="7956" spans="1:6" x14ac:dyDescent="0.25">
      <c r="A7956" s="1" t="str">
        <f t="shared" si="282"/>
        <v>17980</v>
      </c>
      <c r="B7956" s="1" t="str">
        <f>"31907"</f>
        <v>31907</v>
      </c>
      <c r="C7956" s="2">
        <v>0.15548461024676299</v>
      </c>
      <c r="D7956" s="2">
        <v>9.5160976873744793E-2</v>
      </c>
      <c r="E7956" s="2">
        <v>0.13659985152189999</v>
      </c>
      <c r="F7956" s="2">
        <v>0.149774768699592</v>
      </c>
    </row>
    <row r="7957" spans="1:6" x14ac:dyDescent="0.25">
      <c r="A7957" s="1" t="str">
        <f t="shared" si="282"/>
        <v>17980</v>
      </c>
      <c r="B7957" s="1" t="str">
        <f>"36858"</f>
        <v>36858</v>
      </c>
      <c r="C7957" s="2">
        <v>1.9976347024688499E-3</v>
      </c>
      <c r="D7957" s="2">
        <v>4.53455982379996E-4</v>
      </c>
      <c r="E7957" s="2">
        <v>1.4847809948032601E-4</v>
      </c>
      <c r="F7957" s="2">
        <v>1.8018504032584299E-3</v>
      </c>
    </row>
    <row r="7958" spans="1:6" x14ac:dyDescent="0.25">
      <c r="A7958" s="1" t="str">
        <f t="shared" si="282"/>
        <v>17980</v>
      </c>
      <c r="B7958" s="1" t="str">
        <f>"31831"</f>
        <v>31831</v>
      </c>
      <c r="C7958" s="2">
        <v>1.04722629034333E-2</v>
      </c>
      <c r="D7958" s="2">
        <v>3.4980890069313902E-3</v>
      </c>
      <c r="E7958" s="2">
        <v>0</v>
      </c>
      <c r="F7958" s="2">
        <v>9.5109648531276104E-3</v>
      </c>
    </row>
    <row r="7959" spans="1:6" x14ac:dyDescent="0.25">
      <c r="A7959" s="1" t="str">
        <f t="shared" si="282"/>
        <v>17980</v>
      </c>
      <c r="B7959" s="1" t="str">
        <f>"31829"</f>
        <v>31829</v>
      </c>
      <c r="C7959" s="2">
        <v>3.9339922668251703E-3</v>
      </c>
      <c r="D7959" s="2">
        <v>3.2389713027142501E-4</v>
      </c>
      <c r="E7959" s="2">
        <v>1.3363028953229301E-3</v>
      </c>
      <c r="F7959" s="2">
        <v>3.5389636662800398E-3</v>
      </c>
    </row>
    <row r="7960" spans="1:6" x14ac:dyDescent="0.25">
      <c r="A7960" s="1" t="str">
        <f t="shared" si="282"/>
        <v>17980</v>
      </c>
      <c r="B7960" s="1" t="str">
        <f>"31810"</f>
        <v>31810</v>
      </c>
      <c r="C7960" s="2">
        <v>0</v>
      </c>
      <c r="D7960" s="2">
        <v>6.4779426054285098E-5</v>
      </c>
      <c r="E7960" s="2">
        <v>0</v>
      </c>
      <c r="F7960" s="2">
        <v>5.3947616864024996E-6</v>
      </c>
    </row>
    <row r="7961" spans="1:6" x14ac:dyDescent="0.25">
      <c r="A7961" s="1" t="str">
        <f t="shared" si="282"/>
        <v>17980</v>
      </c>
      <c r="B7961" s="1" t="str">
        <f>"31908"</f>
        <v>31908</v>
      </c>
      <c r="C7961" s="2">
        <v>6.9426997481509597E-3</v>
      </c>
      <c r="D7961" s="2">
        <v>3.2260154175034E-2</v>
      </c>
      <c r="E7961" s="2">
        <v>2.9695619896065299E-4</v>
      </c>
      <c r="F7961" s="2">
        <v>8.8096458338952806E-3</v>
      </c>
    </row>
    <row r="7962" spans="1:6" x14ac:dyDescent="0.25">
      <c r="A7962" s="1" t="str">
        <f t="shared" si="282"/>
        <v>17980</v>
      </c>
      <c r="B7962" s="1" t="str">
        <f>"36804"</f>
        <v>36804</v>
      </c>
      <c r="C7962" s="2">
        <v>2.6410446526505399E-3</v>
      </c>
      <c r="D7962" s="2">
        <v>1.03647081686856E-3</v>
      </c>
      <c r="E7962" s="2">
        <v>4.4543429844097899E-4</v>
      </c>
      <c r="F7962" s="2">
        <v>2.4276427588811201E-3</v>
      </c>
    </row>
    <row r="7963" spans="1:6" x14ac:dyDescent="0.25">
      <c r="A7963" s="1" t="str">
        <f t="shared" si="282"/>
        <v>17980</v>
      </c>
      <c r="B7963" s="1" t="str">
        <f>"36867"</f>
        <v>36867</v>
      </c>
      <c r="C7963" s="2">
        <v>6.0180277340327E-2</v>
      </c>
      <c r="D7963" s="2">
        <v>7.0868692103387906E-2</v>
      </c>
      <c r="E7963" s="2">
        <v>6.5478841870824006E-2</v>
      </c>
      <c r="F7963" s="2">
        <v>6.12629137107868E-2</v>
      </c>
    </row>
    <row r="7964" spans="1:6" x14ac:dyDescent="0.25">
      <c r="A7964" s="1" t="str">
        <f t="shared" si="282"/>
        <v>17980</v>
      </c>
      <c r="B7964" s="1" t="str">
        <f>"31808"</f>
        <v>31808</v>
      </c>
      <c r="C7964" s="2">
        <v>2.56751208691549E-2</v>
      </c>
      <c r="D7964" s="2">
        <v>2.78551532033426E-2</v>
      </c>
      <c r="E7964" s="2">
        <v>1.63325909428359E-3</v>
      </c>
      <c r="F7964" s="2">
        <v>2.49831413697299E-2</v>
      </c>
    </row>
    <row r="7965" spans="1:6" x14ac:dyDescent="0.25">
      <c r="A7965" s="1" t="str">
        <f t="shared" si="282"/>
        <v>17980</v>
      </c>
      <c r="B7965" s="1" t="str">
        <f>"31822"</f>
        <v>31822</v>
      </c>
      <c r="C7965" s="2">
        <v>9.2773587102387908E-3</v>
      </c>
      <c r="D7965" s="2">
        <v>5.2471335103970902E-3</v>
      </c>
      <c r="E7965" s="2">
        <v>4.1573867854491397E-3</v>
      </c>
      <c r="F7965" s="2">
        <v>8.7556982170312603E-3</v>
      </c>
    </row>
    <row r="7966" spans="1:6" x14ac:dyDescent="0.25">
      <c r="A7966" s="1" t="str">
        <f t="shared" si="282"/>
        <v>17980</v>
      </c>
      <c r="B7966" s="1" t="str">
        <f>"31812"</f>
        <v>31812</v>
      </c>
      <c r="C7966" s="2">
        <v>1.29294761417462E-3</v>
      </c>
      <c r="D7966" s="2">
        <v>3.2389713027142501E-4</v>
      </c>
      <c r="E7966" s="2">
        <v>0</v>
      </c>
      <c r="F7966" s="2">
        <v>1.16526852426294E-3</v>
      </c>
    </row>
    <row r="7967" spans="1:6" x14ac:dyDescent="0.25">
      <c r="A7967" s="1" t="str">
        <f t="shared" si="282"/>
        <v>17980</v>
      </c>
      <c r="B7967" s="1" t="str">
        <f>"31999"</f>
        <v>31999</v>
      </c>
      <c r="C7967" s="2">
        <v>0</v>
      </c>
      <c r="D7967" s="2">
        <v>0</v>
      </c>
      <c r="E7967" s="2">
        <v>4.4543429844097899E-4</v>
      </c>
      <c r="F7967" s="2">
        <v>1.6184285059207501E-5</v>
      </c>
    </row>
    <row r="7968" spans="1:6" x14ac:dyDescent="0.25">
      <c r="A7968" s="1" t="str">
        <f t="shared" si="282"/>
        <v>17980</v>
      </c>
      <c r="B7968" s="1" t="str">
        <f>"36868"</f>
        <v>36868</v>
      </c>
      <c r="C7968" s="2">
        <v>1.3609652374795399E-2</v>
      </c>
      <c r="D7968" s="2">
        <v>2.48105201787912E-2</v>
      </c>
      <c r="E7968" s="2">
        <v>2.9695619896065299E-4</v>
      </c>
      <c r="F7968" s="2">
        <v>1.40587489547649E-2</v>
      </c>
    </row>
    <row r="7969" spans="1:6" x14ac:dyDescent="0.25">
      <c r="A7969" s="1" t="str">
        <f t="shared" si="282"/>
        <v>17980</v>
      </c>
      <c r="B7969" s="1" t="str">
        <f>"31909"</f>
        <v>31909</v>
      </c>
      <c r="C7969" s="2">
        <v>0.108791431005006</v>
      </c>
      <c r="D7969" s="2">
        <v>0.10306406685236701</v>
      </c>
      <c r="E7969" s="2">
        <v>7.0675575352635397E-2</v>
      </c>
      <c r="F7969" s="2">
        <v>0.106929571386184</v>
      </c>
    </row>
    <row r="7970" spans="1:6" x14ac:dyDescent="0.25">
      <c r="A7970" s="1" t="str">
        <f t="shared" si="282"/>
        <v>17980</v>
      </c>
      <c r="B7970" s="1" t="str">
        <f>"31826"</f>
        <v>31826</v>
      </c>
      <c r="C7970" s="2">
        <v>6.32380065321429E-3</v>
      </c>
      <c r="D7970" s="2">
        <v>1.4899267992485501E-3</v>
      </c>
      <c r="E7970" s="2">
        <v>0</v>
      </c>
      <c r="F7970" s="2">
        <v>5.6914735791546399E-3</v>
      </c>
    </row>
    <row r="7971" spans="1:6" x14ac:dyDescent="0.25">
      <c r="A7971" s="1" t="str">
        <f t="shared" si="282"/>
        <v>17980</v>
      </c>
      <c r="B7971" s="1" t="str">
        <f>"31823"</f>
        <v>31823</v>
      </c>
      <c r="C7971" s="2">
        <v>2.1446998339389499E-3</v>
      </c>
      <c r="D7971" s="2">
        <v>6.47794260542851E-4</v>
      </c>
      <c r="E7971" s="2">
        <v>0</v>
      </c>
      <c r="F7971" s="2">
        <v>1.9421142071049001E-3</v>
      </c>
    </row>
    <row r="7972" spans="1:6" x14ac:dyDescent="0.25">
      <c r="A7972" s="1" t="str">
        <f t="shared" si="282"/>
        <v>17980</v>
      </c>
      <c r="B7972" s="1" t="str">
        <f>"31801"</f>
        <v>31801</v>
      </c>
      <c r="C7972" s="2">
        <v>7.9047508165178606E-3</v>
      </c>
      <c r="D7972" s="2">
        <v>2.3320593379542601E-3</v>
      </c>
      <c r="E7972" s="2">
        <v>0</v>
      </c>
      <c r="F7972" s="2">
        <v>7.1534539961697098E-3</v>
      </c>
    </row>
    <row r="7973" spans="1:6" x14ac:dyDescent="0.25">
      <c r="A7973" s="1" t="str">
        <f t="shared" si="282"/>
        <v>17980</v>
      </c>
      <c r="B7973" s="1" t="str">
        <f>"31804"</f>
        <v>31804</v>
      </c>
      <c r="C7973" s="2">
        <v>1.7751986911203201E-2</v>
      </c>
      <c r="D7973" s="2">
        <v>9.1338990736541999E-3</v>
      </c>
      <c r="E7973" s="2">
        <v>4.4543429844097899E-4</v>
      </c>
      <c r="F7973" s="2">
        <v>1.6405470288349999E-2</v>
      </c>
    </row>
    <row r="7974" spans="1:6" x14ac:dyDescent="0.25">
      <c r="A7974" s="1" t="str">
        <f t="shared" si="282"/>
        <v>17980</v>
      </c>
      <c r="B7974" s="1" t="str">
        <f>"36869"</f>
        <v>36869</v>
      </c>
      <c r="C7974" s="2">
        <v>6.6736931118368994E-2</v>
      </c>
      <c r="D7974" s="2">
        <v>2.5069637883008301E-2</v>
      </c>
      <c r="E7974" s="2">
        <v>4.2167780252412697E-2</v>
      </c>
      <c r="F7974" s="2">
        <v>6.2374234618185698E-2</v>
      </c>
    </row>
    <row r="7975" spans="1:6" x14ac:dyDescent="0.25">
      <c r="A7975" s="1" t="str">
        <f t="shared" si="282"/>
        <v>17980</v>
      </c>
      <c r="B7975" s="1" t="str">
        <f>"31995"</f>
        <v>31995</v>
      </c>
      <c r="C7975" s="2">
        <v>9.6021275422352604E-3</v>
      </c>
      <c r="D7975" s="2">
        <v>3.6924272850942502E-3</v>
      </c>
      <c r="E7975" s="2">
        <v>2.9695619896065299E-4</v>
      </c>
      <c r="F7975" s="2">
        <v>8.7718825020904698E-3</v>
      </c>
    </row>
    <row r="7976" spans="1:6" x14ac:dyDescent="0.25">
      <c r="A7976" s="1" t="str">
        <f t="shared" ref="A7976:A7991" si="283">"18020"</f>
        <v>18020</v>
      </c>
      <c r="B7976" s="1" t="str">
        <f>"47226"</f>
        <v>47226</v>
      </c>
      <c r="C7976" s="2">
        <v>2.09404654614854E-3</v>
      </c>
      <c r="D7976" s="2">
        <v>0</v>
      </c>
      <c r="E7976" s="2">
        <v>8.9525514771709904E-4</v>
      </c>
      <c r="F7976" s="2">
        <v>1.89286390308536E-3</v>
      </c>
    </row>
    <row r="7977" spans="1:6" x14ac:dyDescent="0.25">
      <c r="A7977" s="1" t="str">
        <f t="shared" si="283"/>
        <v>18020</v>
      </c>
      <c r="B7977" s="1" t="str">
        <f>"47201"</f>
        <v>47201</v>
      </c>
      <c r="C7977" s="2">
        <v>0.54691724540104902</v>
      </c>
      <c r="D7977" s="2">
        <v>0.62320958783981195</v>
      </c>
      <c r="E7977" s="2">
        <v>0.75559534467323097</v>
      </c>
      <c r="F7977" s="2">
        <v>0.55860779859928</v>
      </c>
    </row>
    <row r="7978" spans="1:6" x14ac:dyDescent="0.25">
      <c r="A7978" s="1" t="str">
        <f t="shared" si="283"/>
        <v>18020</v>
      </c>
      <c r="B7978" s="1" t="str">
        <f>"47202"</f>
        <v>47202</v>
      </c>
      <c r="C7978" s="2">
        <v>2.98732969304988E-2</v>
      </c>
      <c r="D7978" s="2">
        <v>0.13709441683718199</v>
      </c>
      <c r="E7978" s="2">
        <v>1.7905102954341901E-3</v>
      </c>
      <c r="F7978" s="2">
        <v>3.7809956464130198E-2</v>
      </c>
    </row>
    <row r="7979" spans="1:6" x14ac:dyDescent="0.25">
      <c r="A7979" s="1" t="str">
        <f t="shared" si="283"/>
        <v>18020</v>
      </c>
      <c r="B7979" s="1" t="str">
        <f>"47232"</f>
        <v>47232</v>
      </c>
      <c r="C7979" s="2">
        <v>1.58776440651009E-2</v>
      </c>
      <c r="D7979" s="2">
        <v>1.4615609470914901E-3</v>
      </c>
      <c r="E7979" s="2">
        <v>6.2667860340196897E-3</v>
      </c>
      <c r="F7979" s="2">
        <v>1.44567480598144E-2</v>
      </c>
    </row>
    <row r="7980" spans="1:6" x14ac:dyDescent="0.25">
      <c r="A7980" s="1" t="str">
        <f t="shared" si="283"/>
        <v>18020</v>
      </c>
      <c r="B7980" s="1" t="str">
        <f>"47244"</f>
        <v>47244</v>
      </c>
      <c r="C7980" s="2">
        <v>3.5254201346551399E-3</v>
      </c>
      <c r="D7980" s="2">
        <v>2.9231218941829803E-4</v>
      </c>
      <c r="E7980" s="2">
        <v>8.9525514771709904E-4</v>
      </c>
      <c r="F7980" s="2">
        <v>3.19420783645655E-3</v>
      </c>
    </row>
    <row r="7981" spans="1:6" x14ac:dyDescent="0.25">
      <c r="A7981" s="1" t="str">
        <f t="shared" si="283"/>
        <v>18020</v>
      </c>
      <c r="B7981" s="1" t="str">
        <f>"47273"</f>
        <v>47273</v>
      </c>
      <c r="C7981" s="2">
        <v>2.1205534644542199E-4</v>
      </c>
      <c r="D7981" s="2">
        <v>0</v>
      </c>
      <c r="E7981" s="2">
        <v>0</v>
      </c>
      <c r="F7981" s="2">
        <v>1.89286390308536E-4</v>
      </c>
    </row>
    <row r="7982" spans="1:6" x14ac:dyDescent="0.25">
      <c r="A7982" s="1" t="str">
        <f t="shared" si="283"/>
        <v>18020</v>
      </c>
      <c r="B7982" s="1" t="str">
        <f>"47283"</f>
        <v>47283</v>
      </c>
      <c r="C7982" s="2">
        <v>2.6506918305677698E-4</v>
      </c>
      <c r="D7982" s="2">
        <v>0</v>
      </c>
      <c r="E7982" s="2">
        <v>0</v>
      </c>
      <c r="F7982" s="2">
        <v>2.3660798788567101E-4</v>
      </c>
    </row>
    <row r="7983" spans="1:6" x14ac:dyDescent="0.25">
      <c r="A7983" s="1" t="str">
        <f t="shared" si="283"/>
        <v>18020</v>
      </c>
      <c r="B7983" s="1" t="str">
        <f>"47274"</f>
        <v>47274</v>
      </c>
      <c r="C7983" s="2">
        <v>4.6917245401049603E-3</v>
      </c>
      <c r="D7983" s="2">
        <v>5.8462437883659703E-4</v>
      </c>
      <c r="E7983" s="2">
        <v>1.96956132497761E-2</v>
      </c>
      <c r="F7983" s="2">
        <v>4.7558205565019799E-3</v>
      </c>
    </row>
    <row r="7984" spans="1:6" x14ac:dyDescent="0.25">
      <c r="A7984" s="1" t="str">
        <f t="shared" si="283"/>
        <v>18020</v>
      </c>
      <c r="B7984" s="1" t="str">
        <f>"47203"</f>
        <v>47203</v>
      </c>
      <c r="C7984" s="2">
        <v>0.30877909134283998</v>
      </c>
      <c r="D7984" s="2">
        <v>0.142356036246711</v>
      </c>
      <c r="E7984" s="2">
        <v>0.18084153983885401</v>
      </c>
      <c r="F7984" s="2">
        <v>0.29192693545333998</v>
      </c>
    </row>
    <row r="7985" spans="1:6" x14ac:dyDescent="0.25">
      <c r="A7985" s="1" t="str">
        <f t="shared" si="283"/>
        <v>18020</v>
      </c>
      <c r="B7985" s="1" t="str">
        <f>"46124"</f>
        <v>46124</v>
      </c>
      <c r="C7985" s="2">
        <v>1.98271748926469E-2</v>
      </c>
      <c r="D7985" s="2">
        <v>5.4370067231803501E-2</v>
      </c>
      <c r="E7985" s="2">
        <v>8.0572963294538898E-3</v>
      </c>
      <c r="F7985" s="2">
        <v>2.2312133257618699E-2</v>
      </c>
    </row>
    <row r="7986" spans="1:6" x14ac:dyDescent="0.25">
      <c r="A7986" s="1" t="str">
        <f t="shared" si="283"/>
        <v>18020</v>
      </c>
      <c r="B7986" s="1" t="str">
        <f>"47236"</f>
        <v>47236</v>
      </c>
      <c r="C7986" s="2">
        <v>1.5639081800349799E-3</v>
      </c>
      <c r="D7986" s="2">
        <v>2.9231218941829803E-4</v>
      </c>
      <c r="E7986" s="2">
        <v>8.9525514771709904E-4</v>
      </c>
      <c r="F7986" s="2">
        <v>1.4433087261025901E-3</v>
      </c>
    </row>
    <row r="7987" spans="1:6" x14ac:dyDescent="0.25">
      <c r="A7987" s="1" t="str">
        <f t="shared" si="283"/>
        <v>18020</v>
      </c>
      <c r="B7987" s="1" t="str">
        <f>"47247"</f>
        <v>47247</v>
      </c>
      <c r="C7987" s="2">
        <v>2.4651434024280301E-3</v>
      </c>
      <c r="D7987" s="2">
        <v>2.6308097047646798E-3</v>
      </c>
      <c r="E7987" s="2">
        <v>8.9525514771709904E-4</v>
      </c>
      <c r="F7987" s="2">
        <v>2.4370622752224098E-3</v>
      </c>
    </row>
    <row r="7988" spans="1:6" x14ac:dyDescent="0.25">
      <c r="A7988" s="1" t="str">
        <f t="shared" si="283"/>
        <v>18020</v>
      </c>
      <c r="B7988" s="1" t="str">
        <f>"47234"</f>
        <v>47234</v>
      </c>
      <c r="C7988" s="2">
        <v>4.771245295022E-4</v>
      </c>
      <c r="D7988" s="2">
        <v>0</v>
      </c>
      <c r="E7988" s="2">
        <v>0</v>
      </c>
      <c r="F7988" s="2">
        <v>4.2589437819420697E-4</v>
      </c>
    </row>
    <row r="7989" spans="1:6" x14ac:dyDescent="0.25">
      <c r="A7989" s="1" t="str">
        <f t="shared" si="283"/>
        <v>18020</v>
      </c>
      <c r="B7989" s="1" t="str">
        <f>"47246"</f>
        <v>47246</v>
      </c>
      <c r="C7989" s="2">
        <v>5.3252398876106603E-2</v>
      </c>
      <c r="D7989" s="2">
        <v>3.5662087109032403E-2</v>
      </c>
      <c r="E7989" s="2">
        <v>1.96956132497761E-2</v>
      </c>
      <c r="F7989" s="2">
        <v>5.0941699791784902E-2</v>
      </c>
    </row>
    <row r="7990" spans="1:6" x14ac:dyDescent="0.25">
      <c r="A7990" s="1" t="str">
        <f t="shared" si="283"/>
        <v>18020</v>
      </c>
      <c r="B7990" s="1" t="str">
        <f>"47448"</f>
        <v>47448</v>
      </c>
      <c r="C7990" s="2">
        <v>1.4313735885065999E-3</v>
      </c>
      <c r="D7990" s="2">
        <v>0</v>
      </c>
      <c r="E7990" s="2">
        <v>0</v>
      </c>
      <c r="F7990" s="2">
        <v>1.2776831345826199E-3</v>
      </c>
    </row>
    <row r="7991" spans="1:6" x14ac:dyDescent="0.25">
      <c r="A7991" s="1" t="str">
        <f t="shared" si="283"/>
        <v>18020</v>
      </c>
      <c r="B7991" s="1" t="str">
        <f>"47280"</f>
        <v>47280</v>
      </c>
      <c r="C7991" s="2">
        <v>8.7472830408736602E-3</v>
      </c>
      <c r="D7991" s="2">
        <v>2.0461853259280899E-3</v>
      </c>
      <c r="E7991" s="2">
        <v>4.4762757385854897E-3</v>
      </c>
      <c r="F7991" s="2">
        <v>8.0919931856899396E-3</v>
      </c>
    </row>
    <row r="7992" spans="1:6" x14ac:dyDescent="0.25">
      <c r="A7992" s="1" t="str">
        <f t="shared" ref="A7992:A8004" si="284">"18060"</f>
        <v>18060</v>
      </c>
      <c r="B7992" s="1" t="str">
        <f>"39704"</f>
        <v>39704</v>
      </c>
      <c r="C7992" s="2">
        <v>3.0655191909039502E-2</v>
      </c>
      <c r="D7992" s="2">
        <v>6.0261793035317299E-2</v>
      </c>
      <c r="E7992" s="2">
        <v>3.13971742543171E-3</v>
      </c>
      <c r="F7992" s="2">
        <v>3.3457452633884499E-2</v>
      </c>
    </row>
    <row r="7993" spans="1:6" x14ac:dyDescent="0.25">
      <c r="A7993" s="1" t="str">
        <f t="shared" si="284"/>
        <v>18060</v>
      </c>
      <c r="B7993" s="1" t="str">
        <f>"39702"</f>
        <v>39702</v>
      </c>
      <c r="C7993" s="2">
        <v>0.314843897229725</v>
      </c>
      <c r="D7993" s="2">
        <v>0.19338108174857899</v>
      </c>
      <c r="E7993" s="2">
        <v>0.25117739403453598</v>
      </c>
      <c r="F7993" s="2">
        <v>0.30026831672325</v>
      </c>
    </row>
    <row r="7994" spans="1:6" x14ac:dyDescent="0.25">
      <c r="A7994" s="1" t="str">
        <f t="shared" si="284"/>
        <v>18060</v>
      </c>
      <c r="B7994" s="1" t="str">
        <f>"39766"</f>
        <v>39766</v>
      </c>
      <c r="C7994" s="2">
        <v>3.9920849299579099E-2</v>
      </c>
      <c r="D7994" s="2">
        <v>1.3089651765868101E-2</v>
      </c>
      <c r="E7994" s="2">
        <v>9.4191522762951292E-3</v>
      </c>
      <c r="F7994" s="2">
        <v>3.6414412441134497E-2</v>
      </c>
    </row>
    <row r="7995" spans="1:6" x14ac:dyDescent="0.25">
      <c r="A7995" s="1" t="str">
        <f t="shared" si="284"/>
        <v>18060</v>
      </c>
      <c r="B7995" s="1" t="str">
        <f>"39705"</f>
        <v>39705</v>
      </c>
      <c r="C7995" s="2">
        <v>0.28236698285068101</v>
      </c>
      <c r="D7995" s="2">
        <v>0.30032106693010602</v>
      </c>
      <c r="E7995" s="2">
        <v>0.27786499215070598</v>
      </c>
      <c r="F7995" s="2">
        <v>0.28427883035812002</v>
      </c>
    </row>
    <row r="7996" spans="1:6" x14ac:dyDescent="0.25">
      <c r="A7996" s="1" t="str">
        <f t="shared" si="284"/>
        <v>18060</v>
      </c>
      <c r="B7996" s="1" t="str">
        <f>"39703"</f>
        <v>39703</v>
      </c>
      <c r="C7996" s="2">
        <v>1.30347383629624E-2</v>
      </c>
      <c r="D7996" s="2">
        <v>7.2363546554704797E-2</v>
      </c>
      <c r="E7996" s="2">
        <v>3.13971742543171E-3</v>
      </c>
      <c r="F7996" s="2">
        <v>1.9439272806921402E-2</v>
      </c>
    </row>
    <row r="7997" spans="1:6" x14ac:dyDescent="0.25">
      <c r="A7997" s="1" t="str">
        <f t="shared" si="284"/>
        <v>18060</v>
      </c>
      <c r="B7997" s="1" t="str">
        <f>"39740"</f>
        <v>39740</v>
      </c>
      <c r="C7997" s="2">
        <v>7.3716942018970999E-2</v>
      </c>
      <c r="D7997" s="2">
        <v>1.4571499135589E-2</v>
      </c>
      <c r="E7997" s="2">
        <v>5.3375196232339002E-2</v>
      </c>
      <c r="F7997" s="2">
        <v>6.6805388237870897E-2</v>
      </c>
    </row>
    <row r="7998" spans="1:6" x14ac:dyDescent="0.25">
      <c r="A7998" s="1" t="str">
        <f t="shared" si="284"/>
        <v>18060</v>
      </c>
      <c r="B7998" s="1" t="str">
        <f>"39739"</f>
        <v>39739</v>
      </c>
      <c r="C7998" s="2">
        <v>6.2818016207048094E-5</v>
      </c>
      <c r="D7998" s="2">
        <v>0</v>
      </c>
      <c r="E7998" s="2">
        <v>0</v>
      </c>
      <c r="F7998" s="2">
        <v>5.4758514949074497E-5</v>
      </c>
    </row>
    <row r="7999" spans="1:6" x14ac:dyDescent="0.25">
      <c r="A7999" s="1" t="str">
        <f t="shared" si="284"/>
        <v>18060</v>
      </c>
      <c r="B7999" s="1" t="str">
        <f>"39710"</f>
        <v>39710</v>
      </c>
      <c r="C7999" s="2">
        <v>0</v>
      </c>
      <c r="D7999" s="2">
        <v>3.4329464065201203E-2</v>
      </c>
      <c r="E7999" s="2">
        <v>3.13971742543171E-3</v>
      </c>
      <c r="F7999" s="2">
        <v>3.8604753039097502E-3</v>
      </c>
    </row>
    <row r="8000" spans="1:6" x14ac:dyDescent="0.25">
      <c r="A8000" s="1" t="str">
        <f t="shared" si="284"/>
        <v>18060</v>
      </c>
      <c r="B8000" s="1" t="str">
        <f>"39753"</f>
        <v>39753</v>
      </c>
      <c r="C8000" s="2">
        <v>0</v>
      </c>
      <c r="D8000" s="2">
        <v>2.4697456162015301E-4</v>
      </c>
      <c r="E8000" s="2">
        <v>0</v>
      </c>
      <c r="F8000" s="2">
        <v>2.7379257474537201E-5</v>
      </c>
    </row>
    <row r="8001" spans="1:6" x14ac:dyDescent="0.25">
      <c r="A8001" s="1" t="str">
        <f t="shared" si="284"/>
        <v>18060</v>
      </c>
      <c r="B8001" s="1" t="str">
        <f>"39736"</f>
        <v>39736</v>
      </c>
      <c r="C8001" s="2">
        <v>0</v>
      </c>
      <c r="D8001" s="2">
        <v>2.4697456162015301E-4</v>
      </c>
      <c r="E8001" s="2">
        <v>0</v>
      </c>
      <c r="F8001" s="2">
        <v>2.7379257474537201E-5</v>
      </c>
    </row>
    <row r="8002" spans="1:6" x14ac:dyDescent="0.25">
      <c r="A8002" s="1" t="str">
        <f t="shared" si="284"/>
        <v>18060</v>
      </c>
      <c r="B8002" s="1" t="str">
        <f>"39759"</f>
        <v>39759</v>
      </c>
      <c r="C8002" s="2">
        <v>1.31917834034801E-3</v>
      </c>
      <c r="D8002" s="2">
        <v>7.4092368486045903E-4</v>
      </c>
      <c r="E8002" s="2">
        <v>0</v>
      </c>
      <c r="F8002" s="2">
        <v>1.2320665863541701E-3</v>
      </c>
    </row>
    <row r="8003" spans="1:6" x14ac:dyDescent="0.25">
      <c r="A8003" s="1" t="str">
        <f t="shared" si="284"/>
        <v>18060</v>
      </c>
      <c r="B8003" s="1" t="str">
        <f>"39701"</f>
        <v>39701</v>
      </c>
      <c r="C8003" s="2">
        <v>0.22755826371003199</v>
      </c>
      <c r="D8003" s="2">
        <v>0.303037787107927</v>
      </c>
      <c r="E8003" s="2">
        <v>0.39874411302982699</v>
      </c>
      <c r="F8003" s="2">
        <v>0.238911400722812</v>
      </c>
    </row>
    <row r="8004" spans="1:6" x14ac:dyDescent="0.25">
      <c r="A8004" s="1" t="str">
        <f t="shared" si="284"/>
        <v>18060</v>
      </c>
      <c r="B8004" s="1" t="str">
        <f>"39743"</f>
        <v>39743</v>
      </c>
      <c r="C8004" s="2">
        <v>1.6521138262453602E-2</v>
      </c>
      <c r="D8004" s="2">
        <v>7.4092368486045898E-3</v>
      </c>
      <c r="E8004" s="2">
        <v>0</v>
      </c>
      <c r="F8004" s="2">
        <v>1.5222867155842699E-2</v>
      </c>
    </row>
    <row r="8005" spans="1:6" x14ac:dyDescent="0.25">
      <c r="A8005" s="1" t="str">
        <f t="shared" ref="A8005:A8017" si="285">"18100"</f>
        <v>18100</v>
      </c>
      <c r="B8005" s="1" t="str">
        <f>"68601"</f>
        <v>68601</v>
      </c>
      <c r="C8005" s="2">
        <v>0.78598653284207798</v>
      </c>
      <c r="D8005" s="2">
        <v>0.74525589419206395</v>
      </c>
      <c r="E8005" s="2">
        <v>0.98245614035087703</v>
      </c>
      <c r="F8005" s="2">
        <v>0.78765143936867799</v>
      </c>
    </row>
    <row r="8006" spans="1:6" x14ac:dyDescent="0.25">
      <c r="A8006" s="1" t="str">
        <f t="shared" si="285"/>
        <v>18100</v>
      </c>
      <c r="B8006" s="1" t="str">
        <f>"68631"</f>
        <v>68631</v>
      </c>
      <c r="C8006" s="2">
        <v>1.44200228687587E-2</v>
      </c>
      <c r="D8006" s="2">
        <v>0</v>
      </c>
      <c r="E8006" s="2">
        <v>1.9493177387914201E-3</v>
      </c>
      <c r="F8006" s="2">
        <v>1.26708902967655E-2</v>
      </c>
    </row>
    <row r="8007" spans="1:6" x14ac:dyDescent="0.25">
      <c r="A8007" s="1" t="str">
        <f t="shared" si="285"/>
        <v>18100</v>
      </c>
      <c r="B8007" s="1" t="str">
        <f>"68647"</f>
        <v>68647</v>
      </c>
      <c r="C8007" s="2">
        <v>2.02007368822258E-2</v>
      </c>
      <c r="D8007" s="2">
        <v>5.1753881541115503E-3</v>
      </c>
      <c r="E8007" s="2">
        <v>0</v>
      </c>
      <c r="F8007" s="2">
        <v>1.81727242414138E-2</v>
      </c>
    </row>
    <row r="8008" spans="1:6" x14ac:dyDescent="0.25">
      <c r="A8008" s="1" t="str">
        <f t="shared" si="285"/>
        <v>18100</v>
      </c>
      <c r="B8008" s="1" t="str">
        <f>"68640"</f>
        <v>68640</v>
      </c>
      <c r="C8008" s="2">
        <v>5.0184220556473104E-3</v>
      </c>
      <c r="D8008" s="2">
        <v>1.15008625646923E-3</v>
      </c>
      <c r="E8008" s="2">
        <v>0</v>
      </c>
      <c r="F8008" s="2">
        <v>4.50150050016672E-3</v>
      </c>
    </row>
    <row r="8009" spans="1:6" x14ac:dyDescent="0.25">
      <c r="A8009" s="1" t="str">
        <f t="shared" si="285"/>
        <v>18100</v>
      </c>
      <c r="B8009" s="1" t="str">
        <f>"68653"</f>
        <v>68653</v>
      </c>
      <c r="C8009" s="2">
        <v>2.24240884258671E-2</v>
      </c>
      <c r="D8009" s="2">
        <v>5.7504312823461702E-3</v>
      </c>
      <c r="E8009" s="2">
        <v>3.8986354775828401E-3</v>
      </c>
      <c r="F8009" s="2">
        <v>2.02845392908747E-2</v>
      </c>
    </row>
    <row r="8010" spans="1:6" x14ac:dyDescent="0.25">
      <c r="A8010" s="1" t="str">
        <f t="shared" si="285"/>
        <v>18100</v>
      </c>
      <c r="B8010" s="1" t="str">
        <f>"68602"</f>
        <v>68602</v>
      </c>
      <c r="C8010" s="2">
        <v>5.4694447973573798E-2</v>
      </c>
      <c r="D8010" s="2">
        <v>0.22656699252443899</v>
      </c>
      <c r="E8010" s="2">
        <v>3.8986354775828401E-3</v>
      </c>
      <c r="F8010" s="2">
        <v>6.9856618872957604E-2</v>
      </c>
    </row>
    <row r="8011" spans="1:6" x14ac:dyDescent="0.25">
      <c r="A8011" s="1" t="str">
        <f t="shared" si="285"/>
        <v>18100</v>
      </c>
      <c r="B8011" s="1" t="str">
        <f>"68758"</f>
        <v>68758</v>
      </c>
      <c r="C8011" s="2">
        <v>3.7479354592809002E-3</v>
      </c>
      <c r="D8011" s="2">
        <v>1.15008625646923E-3</v>
      </c>
      <c r="E8011" s="2">
        <v>0</v>
      </c>
      <c r="F8011" s="2">
        <v>3.3900188951872801E-3</v>
      </c>
    </row>
    <row r="8012" spans="1:6" x14ac:dyDescent="0.25">
      <c r="A8012" s="1" t="str">
        <f t="shared" si="285"/>
        <v>18100</v>
      </c>
      <c r="B8012" s="1" t="str">
        <f>"68644"</f>
        <v>68644</v>
      </c>
      <c r="C8012" s="2">
        <v>2.1217126159318998E-2</v>
      </c>
      <c r="D8012" s="2">
        <v>2.30017251293847E-3</v>
      </c>
      <c r="E8012" s="2">
        <v>0</v>
      </c>
      <c r="F8012" s="2">
        <v>1.8784039124152399E-2</v>
      </c>
    </row>
    <row r="8013" spans="1:6" x14ac:dyDescent="0.25">
      <c r="A8013" s="1" t="str">
        <f t="shared" si="285"/>
        <v>18100</v>
      </c>
      <c r="B8013" s="1" t="str">
        <f>"68643"</f>
        <v>68643</v>
      </c>
      <c r="C8013" s="2">
        <v>5.3995680345572299E-3</v>
      </c>
      <c r="D8013" s="2">
        <v>1.7251293847038501E-3</v>
      </c>
      <c r="E8013" s="2">
        <v>0</v>
      </c>
      <c r="F8013" s="2">
        <v>4.8905190619095203E-3</v>
      </c>
    </row>
    <row r="8014" spans="1:6" x14ac:dyDescent="0.25">
      <c r="A8014" s="1" t="str">
        <f t="shared" si="285"/>
        <v>18100</v>
      </c>
      <c r="B8014" s="1" t="str">
        <f>"68748"</f>
        <v>68748</v>
      </c>
      <c r="C8014" s="2">
        <v>6.3524329818320397E-5</v>
      </c>
      <c r="D8014" s="2">
        <v>0</v>
      </c>
      <c r="E8014" s="2">
        <v>0</v>
      </c>
      <c r="F8014" s="2">
        <v>5.5574080248971802E-5</v>
      </c>
    </row>
    <row r="8015" spans="1:6" x14ac:dyDescent="0.25">
      <c r="A8015" s="1" t="str">
        <f t="shared" si="285"/>
        <v>18100</v>
      </c>
      <c r="B8015" s="1" t="str">
        <f>"68660"</f>
        <v>68660</v>
      </c>
      <c r="C8015" s="2">
        <v>4.4467030872824198E-3</v>
      </c>
      <c r="D8015" s="2">
        <v>2.30017251293847E-3</v>
      </c>
      <c r="E8015" s="2">
        <v>0</v>
      </c>
      <c r="F8015" s="2">
        <v>4.1124819384239101E-3</v>
      </c>
    </row>
    <row r="8016" spans="1:6" x14ac:dyDescent="0.25">
      <c r="A8016" s="1" t="str">
        <f t="shared" si="285"/>
        <v>18100</v>
      </c>
      <c r="B8016" s="1" t="str">
        <f>"68634"</f>
        <v>68634</v>
      </c>
      <c r="C8016" s="2">
        <v>1.11802820480243E-2</v>
      </c>
      <c r="D8016" s="2">
        <v>0</v>
      </c>
      <c r="E8016" s="2">
        <v>1.9493177387914201E-3</v>
      </c>
      <c r="F8016" s="2">
        <v>9.8366122040680192E-3</v>
      </c>
    </row>
    <row r="8017" spans="1:6" x14ac:dyDescent="0.25">
      <c r="A8017" s="1" t="str">
        <f t="shared" si="285"/>
        <v>18100</v>
      </c>
      <c r="B8017" s="1" t="str">
        <f>"68642"</f>
        <v>68642</v>
      </c>
      <c r="C8017" s="2">
        <v>5.1200609833566203E-2</v>
      </c>
      <c r="D8017" s="2">
        <v>8.62564692351926E-3</v>
      </c>
      <c r="E8017" s="2">
        <v>5.84795321637426E-3</v>
      </c>
      <c r="F8017" s="2">
        <v>4.5793042125152797E-2</v>
      </c>
    </row>
    <row r="8018" spans="1:6" x14ac:dyDescent="0.25">
      <c r="A8018" s="1" t="str">
        <f t="shared" ref="A8018:A8049" si="286">"18140"</f>
        <v>18140</v>
      </c>
      <c r="B8018" s="1" t="str">
        <f>"43224"</f>
        <v>43224</v>
      </c>
      <c r="C8018" s="2">
        <v>2.1379454669595E-2</v>
      </c>
      <c r="D8018" s="2">
        <v>1.4663527926458701E-2</v>
      </c>
      <c r="E8018" s="2">
        <v>3.4164567352599803E-2</v>
      </c>
      <c r="F8018" s="2">
        <v>2.1323675426237101E-2</v>
      </c>
    </row>
    <row r="8019" spans="1:6" x14ac:dyDescent="0.25">
      <c r="A8019" s="1" t="str">
        <f t="shared" si="286"/>
        <v>18140</v>
      </c>
      <c r="B8019" s="1" t="str">
        <f>"43055"</f>
        <v>43055</v>
      </c>
      <c r="C8019" s="2">
        <v>2.95304510316633E-2</v>
      </c>
      <c r="D8019" s="2">
        <v>2.6539012874971998E-2</v>
      </c>
      <c r="E8019" s="2">
        <v>6.2554841631520794E-2</v>
      </c>
      <c r="F8019" s="2">
        <v>3.0418624882979799E-2</v>
      </c>
    </row>
    <row r="8020" spans="1:6" x14ac:dyDescent="0.25">
      <c r="A8020" s="1" t="str">
        <f t="shared" si="286"/>
        <v>18140</v>
      </c>
      <c r="B8020" s="1" t="str">
        <f>"43061"</f>
        <v>43061</v>
      </c>
      <c r="C8020" s="2">
        <v>1.8601858917583101E-3</v>
      </c>
      <c r="D8020" s="2">
        <v>4.2083667591630601E-4</v>
      </c>
      <c r="E8020" s="2">
        <v>5.6610716408616101E-5</v>
      </c>
      <c r="F8020" s="2">
        <v>1.69643785874365E-3</v>
      </c>
    </row>
    <row r="8021" spans="1:6" x14ac:dyDescent="0.25">
      <c r="A8021" s="1" t="str">
        <f t="shared" si="286"/>
        <v>18140</v>
      </c>
      <c r="B8021" s="1" t="str">
        <f>"43085"</f>
        <v>43085</v>
      </c>
      <c r="C8021" s="2">
        <v>1.18629127551678E-2</v>
      </c>
      <c r="D8021" s="2">
        <v>2.38956325043727E-2</v>
      </c>
      <c r="E8021" s="2">
        <v>1.15485861473576E-2</v>
      </c>
      <c r="F8021" s="2">
        <v>1.2717610235364199E-2</v>
      </c>
    </row>
    <row r="8022" spans="1:6" x14ac:dyDescent="0.25">
      <c r="A8022" s="1" t="str">
        <f t="shared" si="286"/>
        <v>18140</v>
      </c>
      <c r="B8022" s="1" t="str">
        <f>"43068"</f>
        <v>43068</v>
      </c>
      <c r="C8022" s="2">
        <v>2.6191628740717499E-2</v>
      </c>
      <c r="D8022" s="2">
        <v>2.2422704138665601E-2</v>
      </c>
      <c r="E8022" s="2">
        <v>1.51433666393048E-2</v>
      </c>
      <c r="F8022" s="2">
        <v>2.5551531427598698E-2</v>
      </c>
    </row>
    <row r="8023" spans="1:6" x14ac:dyDescent="0.25">
      <c r="A8023" s="1" t="str">
        <f t="shared" si="286"/>
        <v>18140</v>
      </c>
      <c r="B8023" s="1" t="str">
        <f>"45764"</f>
        <v>45764</v>
      </c>
      <c r="C8023" s="2">
        <v>6.5212198591754701E-4</v>
      </c>
      <c r="D8023" s="2">
        <v>1.1836031510146099E-4</v>
      </c>
      <c r="E8023" s="2">
        <v>0</v>
      </c>
      <c r="F8023" s="2">
        <v>5.9195657724276805E-4</v>
      </c>
    </row>
    <row r="8024" spans="1:6" x14ac:dyDescent="0.25">
      <c r="A8024" s="1" t="str">
        <f t="shared" si="286"/>
        <v>18140</v>
      </c>
      <c r="B8024" s="1" t="str">
        <f>"43144"</f>
        <v>43144</v>
      </c>
      <c r="C8024" s="2">
        <v>0</v>
      </c>
      <c r="D8024" s="2">
        <v>1.31511461223845E-5</v>
      </c>
      <c r="E8024" s="2">
        <v>0</v>
      </c>
      <c r="F8024" s="2">
        <v>9.4561753553157805E-7</v>
      </c>
    </row>
    <row r="8025" spans="1:6" x14ac:dyDescent="0.25">
      <c r="A8025" s="1" t="str">
        <f t="shared" si="286"/>
        <v>18140</v>
      </c>
      <c r="B8025" s="1" t="str">
        <f>"43319"</f>
        <v>43319</v>
      </c>
      <c r="C8025" s="2">
        <v>3.1707714064062201E-6</v>
      </c>
      <c r="D8025" s="2">
        <v>2.6302292244769102E-5</v>
      </c>
      <c r="E8025" s="2">
        <v>0</v>
      </c>
      <c r="F8025" s="2">
        <v>4.7280876776578903E-6</v>
      </c>
    </row>
    <row r="8026" spans="1:6" x14ac:dyDescent="0.25">
      <c r="A8026" s="1" t="str">
        <f t="shared" si="286"/>
        <v>18140</v>
      </c>
      <c r="B8026" s="1" t="str">
        <f>"43218"</f>
        <v>43218</v>
      </c>
      <c r="C8026" s="2">
        <v>0</v>
      </c>
      <c r="D8026" s="2">
        <v>1.31511461223845E-5</v>
      </c>
      <c r="E8026" s="2">
        <v>8.4916074612924195E-5</v>
      </c>
      <c r="F8026" s="2">
        <v>3.7824701421263101E-6</v>
      </c>
    </row>
    <row r="8027" spans="1:6" x14ac:dyDescent="0.25">
      <c r="A8027" s="1" t="str">
        <f t="shared" si="286"/>
        <v>18140</v>
      </c>
      <c r="B8027" s="1" t="str">
        <f>"43002"</f>
        <v>43002</v>
      </c>
      <c r="C8027" s="2">
        <v>0</v>
      </c>
      <c r="D8027" s="2">
        <v>1.31511461223845E-5</v>
      </c>
      <c r="E8027" s="2">
        <v>0</v>
      </c>
      <c r="F8027" s="2">
        <v>9.4561753553157805E-7</v>
      </c>
    </row>
    <row r="8028" spans="1:6" x14ac:dyDescent="0.25">
      <c r="A8028" s="1" t="str">
        <f t="shared" si="286"/>
        <v>18140</v>
      </c>
      <c r="B8028" s="1" t="str">
        <f>"43073"</f>
        <v>43073</v>
      </c>
      <c r="C8028" s="2">
        <v>6.3415428128124503E-6</v>
      </c>
      <c r="D8028" s="2">
        <v>2.6302292244769102E-5</v>
      </c>
      <c r="E8028" s="2">
        <v>0</v>
      </c>
      <c r="F8028" s="2">
        <v>7.5649402842526303E-6</v>
      </c>
    </row>
    <row r="8029" spans="1:6" x14ac:dyDescent="0.25">
      <c r="A8029" s="1" t="str">
        <f t="shared" si="286"/>
        <v>18140</v>
      </c>
      <c r="B8029" s="1" t="str">
        <f>"43317"</f>
        <v>43317</v>
      </c>
      <c r="C8029" s="2">
        <v>3.6992333074739299E-5</v>
      </c>
      <c r="D8029" s="2">
        <v>2.6302292244769102E-5</v>
      </c>
      <c r="E8029" s="2">
        <v>0</v>
      </c>
      <c r="F8029" s="2">
        <v>3.4987848814668403E-5</v>
      </c>
    </row>
    <row r="8030" spans="1:6" x14ac:dyDescent="0.25">
      <c r="A8030" s="1" t="str">
        <f t="shared" si="286"/>
        <v>18140</v>
      </c>
      <c r="B8030" s="1" t="str">
        <f>"43345"</f>
        <v>43345</v>
      </c>
      <c r="C8030" s="2">
        <v>1.0569238021354E-5</v>
      </c>
      <c r="D8030" s="2">
        <v>0</v>
      </c>
      <c r="E8030" s="2">
        <v>0</v>
      </c>
      <c r="F8030" s="2">
        <v>9.4561753553157805E-6</v>
      </c>
    </row>
    <row r="8031" spans="1:6" x14ac:dyDescent="0.25">
      <c r="A8031" s="1" t="str">
        <f t="shared" si="286"/>
        <v>18140</v>
      </c>
      <c r="B8031" s="1" t="str">
        <f>"43126"</f>
        <v>43126</v>
      </c>
      <c r="C8031" s="2">
        <v>1.5642472271603999E-4</v>
      </c>
      <c r="D8031" s="2">
        <v>1.31511461223845E-5</v>
      </c>
      <c r="E8031" s="2">
        <v>0</v>
      </c>
      <c r="F8031" s="2">
        <v>1.40897012794205E-4</v>
      </c>
    </row>
    <row r="8032" spans="1:6" x14ac:dyDescent="0.25">
      <c r="A8032" s="1" t="str">
        <f t="shared" si="286"/>
        <v>18140</v>
      </c>
      <c r="B8032" s="1" t="str">
        <f>"43101"</f>
        <v>43101</v>
      </c>
      <c r="C8032" s="2">
        <v>2.1138476042708099E-6</v>
      </c>
      <c r="D8032" s="2">
        <v>0</v>
      </c>
      <c r="E8032" s="2">
        <v>0</v>
      </c>
      <c r="F8032" s="2">
        <v>1.89123507106315E-6</v>
      </c>
    </row>
    <row r="8033" spans="1:6" x14ac:dyDescent="0.25">
      <c r="A8033" s="1" t="str">
        <f t="shared" si="286"/>
        <v>18140</v>
      </c>
      <c r="B8033" s="1" t="str">
        <f>"43018"</f>
        <v>43018</v>
      </c>
      <c r="C8033" s="2">
        <v>1.04635456411405E-4</v>
      </c>
      <c r="D8033" s="2">
        <v>2.6302292244769102E-5</v>
      </c>
      <c r="E8033" s="2">
        <v>0</v>
      </c>
      <c r="F8033" s="2">
        <v>9.5507371088689405E-5</v>
      </c>
    </row>
    <row r="8034" spans="1:6" x14ac:dyDescent="0.25">
      <c r="A8034" s="1" t="str">
        <f t="shared" si="286"/>
        <v>18140</v>
      </c>
      <c r="B8034" s="1" t="str">
        <f>"43013"</f>
        <v>43013</v>
      </c>
      <c r="C8034" s="2">
        <v>4.2805413986484001E-4</v>
      </c>
      <c r="D8034" s="2">
        <v>1.1836031510146099E-4</v>
      </c>
      <c r="E8034" s="2">
        <v>5.6610716408616101E-5</v>
      </c>
      <c r="F8034" s="2">
        <v>3.9337689478113598E-4</v>
      </c>
    </row>
    <row r="8035" spans="1:6" x14ac:dyDescent="0.25">
      <c r="A8035" s="1" t="str">
        <f t="shared" si="286"/>
        <v>18140</v>
      </c>
      <c r="B8035" s="1" t="str">
        <f>"43231"</f>
        <v>43231</v>
      </c>
      <c r="C8035" s="2">
        <v>9.5080865240101294E-3</v>
      </c>
      <c r="D8035" s="2">
        <v>1.21911124554504E-2</v>
      </c>
      <c r="E8035" s="2">
        <v>8.6331342523139603E-3</v>
      </c>
      <c r="F8035" s="2">
        <v>9.6717761534169805E-3</v>
      </c>
    </row>
    <row r="8036" spans="1:6" x14ac:dyDescent="0.25">
      <c r="A8036" s="1" t="str">
        <f t="shared" si="286"/>
        <v>18140</v>
      </c>
      <c r="B8036" s="1" t="str">
        <f>"43730"</f>
        <v>43730</v>
      </c>
      <c r="C8036" s="2">
        <v>9.9667914541369008E-4</v>
      </c>
      <c r="D8036" s="2">
        <v>1.4466260734622999E-4</v>
      </c>
      <c r="E8036" s="2">
        <v>0</v>
      </c>
      <c r="F8036" s="2">
        <v>9.0211912889712599E-4</v>
      </c>
    </row>
    <row r="8037" spans="1:6" x14ac:dyDescent="0.25">
      <c r="A8037" s="1" t="str">
        <f t="shared" si="286"/>
        <v>18140</v>
      </c>
      <c r="B8037" s="1" t="str">
        <f>"43229"</f>
        <v>43229</v>
      </c>
      <c r="C8037" s="2">
        <v>2.3976316451441701E-2</v>
      </c>
      <c r="D8037" s="2">
        <v>3.1720564447191499E-2</v>
      </c>
      <c r="E8037" s="2">
        <v>4.6647230320699701E-2</v>
      </c>
      <c r="F8037" s="2">
        <v>2.5290540987792001E-2</v>
      </c>
    </row>
    <row r="8038" spans="1:6" x14ac:dyDescent="0.25">
      <c r="A8038" s="1" t="str">
        <f t="shared" si="286"/>
        <v>18140</v>
      </c>
      <c r="B8038" s="1" t="str">
        <f>"43358"</f>
        <v>43358</v>
      </c>
      <c r="C8038" s="2">
        <v>4.7984340616947499E-4</v>
      </c>
      <c r="D8038" s="2">
        <v>1.05209168979076E-4</v>
      </c>
      <c r="E8038" s="2">
        <v>0</v>
      </c>
      <c r="F8038" s="2">
        <v>4.3687530141558897E-4</v>
      </c>
    </row>
    <row r="8039" spans="1:6" x14ac:dyDescent="0.25">
      <c r="A8039" s="1" t="str">
        <f t="shared" si="286"/>
        <v>18140</v>
      </c>
      <c r="B8039" s="1" t="str">
        <f>"43130"</f>
        <v>43130</v>
      </c>
      <c r="C8039" s="2">
        <v>2.9182723100760699E-2</v>
      </c>
      <c r="D8039" s="2">
        <v>3.42455845026894E-2</v>
      </c>
      <c r="E8039" s="2">
        <v>2.4116165190070399E-2</v>
      </c>
      <c r="F8039" s="2">
        <v>2.9377499976359502E-2</v>
      </c>
    </row>
    <row r="8040" spans="1:6" x14ac:dyDescent="0.25">
      <c r="A8040" s="1" t="str">
        <f t="shared" si="286"/>
        <v>18140</v>
      </c>
      <c r="B8040" s="1" t="str">
        <f>"43147"</f>
        <v>43147</v>
      </c>
      <c r="C8040" s="2">
        <v>1.79148584461951E-2</v>
      </c>
      <c r="D8040" s="2">
        <v>1.4413656150133399E-2</v>
      </c>
      <c r="E8040" s="2">
        <v>7.7839735061847196E-3</v>
      </c>
      <c r="F8040" s="2">
        <v>1.7324658868474001E-2</v>
      </c>
    </row>
    <row r="8041" spans="1:6" x14ac:dyDescent="0.25">
      <c r="A8041" s="1" t="str">
        <f t="shared" si="286"/>
        <v>18140</v>
      </c>
      <c r="B8041" s="1" t="str">
        <f>"43206"</f>
        <v>43206</v>
      </c>
      <c r="C8041" s="2">
        <v>1.37991971606798E-2</v>
      </c>
      <c r="D8041" s="2">
        <v>9.9948710530122706E-3</v>
      </c>
      <c r="E8041" s="2">
        <v>1.2142998669648099E-2</v>
      </c>
      <c r="F8041" s="2">
        <v>1.3470321793647299E-2</v>
      </c>
    </row>
    <row r="8042" spans="1:6" x14ac:dyDescent="0.25">
      <c r="A8042" s="1" t="str">
        <f t="shared" si="286"/>
        <v>18140</v>
      </c>
      <c r="B8042" s="1" t="str">
        <f>"43210"</f>
        <v>43210</v>
      </c>
      <c r="C8042" s="2">
        <v>5.1789266304634997E-4</v>
      </c>
      <c r="D8042" s="2">
        <v>4.4187850971212101E-3</v>
      </c>
      <c r="E8042" s="2">
        <v>2.3210393727532601E-3</v>
      </c>
      <c r="F8042" s="2">
        <v>8.58620722262673E-4</v>
      </c>
    </row>
    <row r="8043" spans="1:6" x14ac:dyDescent="0.25">
      <c r="A8043" s="1" t="str">
        <f t="shared" si="286"/>
        <v>18140</v>
      </c>
      <c r="B8043" s="1" t="str">
        <f>"43148"</f>
        <v>43148</v>
      </c>
      <c r="C8043" s="2">
        <v>9.3009294587915905E-4</v>
      </c>
      <c r="D8043" s="2">
        <v>1.05209168979076E-4</v>
      </c>
      <c r="E8043" s="2">
        <v>3.9627501486031298E-4</v>
      </c>
      <c r="F8043" s="2">
        <v>8.5294701704948395E-4</v>
      </c>
    </row>
    <row r="8044" spans="1:6" x14ac:dyDescent="0.25">
      <c r="A8044" s="1" t="str">
        <f t="shared" si="286"/>
        <v>18140</v>
      </c>
      <c r="B8044" s="1" t="str">
        <f>"43136"</f>
        <v>43136</v>
      </c>
      <c r="C8044" s="2">
        <v>5.4960037711041204E-4</v>
      </c>
      <c r="D8044" s="2">
        <v>6.5755730611922805E-5</v>
      </c>
      <c r="E8044" s="2">
        <v>0</v>
      </c>
      <c r="F8044" s="2">
        <v>4.9644920615407801E-4</v>
      </c>
    </row>
    <row r="8045" spans="1:6" x14ac:dyDescent="0.25">
      <c r="A8045" s="1" t="str">
        <f t="shared" si="286"/>
        <v>18140</v>
      </c>
      <c r="B8045" s="1" t="str">
        <f>"43221"</f>
        <v>43221</v>
      </c>
      <c r="C8045" s="2">
        <v>1.63590666094518E-2</v>
      </c>
      <c r="D8045" s="2">
        <v>1.40585752048291E-2</v>
      </c>
      <c r="E8045" s="2">
        <v>7.9255002972062599E-3</v>
      </c>
      <c r="F8045" s="2">
        <v>1.5911906270389801E-2</v>
      </c>
    </row>
    <row r="8046" spans="1:6" x14ac:dyDescent="0.25">
      <c r="A8046" s="1" t="str">
        <f t="shared" si="286"/>
        <v>18140</v>
      </c>
      <c r="B8046" s="1" t="str">
        <f>"43226"</f>
        <v>43226</v>
      </c>
      <c r="C8046" s="2">
        <v>5.1789266304635002E-5</v>
      </c>
      <c r="D8046" s="2">
        <v>2.8932521469245999E-4</v>
      </c>
      <c r="E8046" s="2">
        <v>2.8305358204307999E-5</v>
      </c>
      <c r="F8046" s="2">
        <v>6.8084462558273606E-5</v>
      </c>
    </row>
    <row r="8047" spans="1:6" x14ac:dyDescent="0.25">
      <c r="A8047" s="1" t="str">
        <f t="shared" si="286"/>
        <v>18140</v>
      </c>
      <c r="B8047" s="1" t="str">
        <f>"43153"</f>
        <v>43153</v>
      </c>
      <c r="C8047" s="2">
        <v>3.53012549913226E-4</v>
      </c>
      <c r="D8047" s="2">
        <v>2.4987177632530599E-4</v>
      </c>
      <c r="E8047" s="2">
        <v>0</v>
      </c>
      <c r="F8047" s="2">
        <v>3.33802990042647E-4</v>
      </c>
    </row>
    <row r="8048" spans="1:6" x14ac:dyDescent="0.25">
      <c r="A8048" s="1" t="str">
        <f t="shared" si="286"/>
        <v>18140</v>
      </c>
      <c r="B8048" s="1" t="str">
        <f>"43026"</f>
        <v>43026</v>
      </c>
      <c r="C8048" s="2">
        <v>2.8476698000934299E-2</v>
      </c>
      <c r="D8048" s="2">
        <v>2.8577440523941601E-2</v>
      </c>
      <c r="E8048" s="2">
        <v>1.44640380424014E-2</v>
      </c>
      <c r="F8048" s="2">
        <v>2.8015810725194001E-2</v>
      </c>
    </row>
    <row r="8049" spans="1:6" x14ac:dyDescent="0.25">
      <c r="A8049" s="1" t="str">
        <f t="shared" si="286"/>
        <v>18140</v>
      </c>
      <c r="B8049" s="1" t="str">
        <f>"43031"</f>
        <v>43031</v>
      </c>
      <c r="C8049" s="2">
        <v>6.0667426242572396E-3</v>
      </c>
      <c r="D8049" s="2">
        <v>3.8006812293691298E-3</v>
      </c>
      <c r="E8049" s="2">
        <v>3.08528404426958E-3</v>
      </c>
      <c r="F8049" s="2">
        <v>5.8042004330928296E-3</v>
      </c>
    </row>
    <row r="8050" spans="1:6" x14ac:dyDescent="0.25">
      <c r="A8050" s="1" t="str">
        <f t="shared" ref="A8050:A8081" si="287">"18140"</f>
        <v>18140</v>
      </c>
      <c r="B8050" s="1" t="str">
        <f>"43064"</f>
        <v>43064</v>
      </c>
      <c r="C8050" s="2">
        <v>7.4861912905251002E-3</v>
      </c>
      <c r="D8050" s="2">
        <v>7.7854785044516603E-3</v>
      </c>
      <c r="E8050" s="2">
        <v>4.6420787455065202E-3</v>
      </c>
      <c r="F8050" s="2">
        <v>7.4126958610320403E-3</v>
      </c>
    </row>
    <row r="8051" spans="1:6" x14ac:dyDescent="0.25">
      <c r="A8051" s="1" t="str">
        <f t="shared" si="287"/>
        <v>18140</v>
      </c>
      <c r="B8051" s="1" t="str">
        <f>"43008"</f>
        <v>43008</v>
      </c>
      <c r="C8051" s="2">
        <v>1.1351361634934201E-3</v>
      </c>
      <c r="D8051" s="2">
        <v>3.9453438367153602E-5</v>
      </c>
      <c r="E8051" s="2">
        <v>7.64244671516318E-4</v>
      </c>
      <c r="F8051" s="2">
        <v>1.0439617592268599E-3</v>
      </c>
    </row>
    <row r="8052" spans="1:6" x14ac:dyDescent="0.25">
      <c r="A8052" s="1" t="str">
        <f t="shared" si="287"/>
        <v>18140</v>
      </c>
      <c r="B8052" s="1" t="str">
        <f>"43102"</f>
        <v>43102</v>
      </c>
      <c r="C8052" s="2">
        <v>1.9309997865013899E-3</v>
      </c>
      <c r="D8052" s="2">
        <v>4.07685529793921E-4</v>
      </c>
      <c r="E8052" s="2">
        <v>0</v>
      </c>
      <c r="F8052" s="2">
        <v>1.7569573810176701E-3</v>
      </c>
    </row>
    <row r="8053" spans="1:6" x14ac:dyDescent="0.25">
      <c r="A8053" s="1" t="str">
        <f t="shared" si="287"/>
        <v>18140</v>
      </c>
      <c r="B8053" s="1" t="str">
        <f>"44813"</f>
        <v>44813</v>
      </c>
      <c r="C8053" s="2">
        <v>2.6528787433598698E-4</v>
      </c>
      <c r="D8053" s="2">
        <v>2.6302292244769102E-5</v>
      </c>
      <c r="E8053" s="2">
        <v>0</v>
      </c>
      <c r="F8053" s="2">
        <v>2.39241236489489E-4</v>
      </c>
    </row>
    <row r="8054" spans="1:6" x14ac:dyDescent="0.25">
      <c r="A8054" s="1" t="str">
        <f t="shared" si="287"/>
        <v>18140</v>
      </c>
      <c r="B8054" s="1" t="str">
        <f>"43027"</f>
        <v>43027</v>
      </c>
      <c r="C8054" s="2">
        <v>0</v>
      </c>
      <c r="D8054" s="2">
        <v>1.31511461223845E-5</v>
      </c>
      <c r="E8054" s="2">
        <v>0</v>
      </c>
      <c r="F8054" s="2">
        <v>9.4561753553157805E-7</v>
      </c>
    </row>
    <row r="8055" spans="1:6" x14ac:dyDescent="0.25">
      <c r="A8055" s="1" t="str">
        <f t="shared" si="287"/>
        <v>18140</v>
      </c>
      <c r="B8055" s="1" t="str">
        <f>"43151"</f>
        <v>43151</v>
      </c>
      <c r="C8055" s="2">
        <v>2.1138476042708099E-6</v>
      </c>
      <c r="D8055" s="2">
        <v>1.31511461223845E-5</v>
      </c>
      <c r="E8055" s="2">
        <v>0</v>
      </c>
      <c r="F8055" s="2">
        <v>2.8368526065947299E-6</v>
      </c>
    </row>
    <row r="8056" spans="1:6" x14ac:dyDescent="0.25">
      <c r="A8056" s="1" t="str">
        <f t="shared" si="287"/>
        <v>18140</v>
      </c>
      <c r="B8056" s="1" t="str">
        <f>"43109"</f>
        <v>43109</v>
      </c>
      <c r="C8056" s="2">
        <v>6.1195888143640098E-4</v>
      </c>
      <c r="D8056" s="2">
        <v>2.1962414024382202E-3</v>
      </c>
      <c r="E8056" s="2">
        <v>2.8305358204307999E-5</v>
      </c>
      <c r="F8056" s="2">
        <v>7.0637629904208904E-4</v>
      </c>
    </row>
    <row r="8057" spans="1:6" x14ac:dyDescent="0.25">
      <c r="A8057" s="1" t="str">
        <f t="shared" si="287"/>
        <v>18140</v>
      </c>
      <c r="B8057" s="1" t="str">
        <f>"43050"</f>
        <v>43050</v>
      </c>
      <c r="C8057" s="2">
        <v>3.5935409272603899E-5</v>
      </c>
      <c r="D8057" s="2">
        <v>0</v>
      </c>
      <c r="E8057" s="2">
        <v>0</v>
      </c>
      <c r="F8057" s="2">
        <v>3.2150996208073603E-5</v>
      </c>
    </row>
    <row r="8058" spans="1:6" x14ac:dyDescent="0.25">
      <c r="A8058" s="1" t="str">
        <f t="shared" si="287"/>
        <v>18140</v>
      </c>
      <c r="B8058" s="1" t="str">
        <f>"45644"</f>
        <v>45644</v>
      </c>
      <c r="C8058" s="2">
        <v>4.3968030168832999E-4</v>
      </c>
      <c r="D8058" s="2">
        <v>1.05209168979076E-4</v>
      </c>
      <c r="E8058" s="2">
        <v>5.6610716408616101E-5</v>
      </c>
      <c r="F8058" s="2">
        <v>4.02833070136452E-4</v>
      </c>
    </row>
    <row r="8059" spans="1:6" x14ac:dyDescent="0.25">
      <c r="A8059" s="1" t="str">
        <f t="shared" si="287"/>
        <v>18140</v>
      </c>
      <c r="B8059" s="1" t="str">
        <f>"43115"</f>
        <v>43115</v>
      </c>
      <c r="C8059" s="2">
        <v>5.7073885315312001E-5</v>
      </c>
      <c r="D8059" s="2">
        <v>0</v>
      </c>
      <c r="E8059" s="2">
        <v>0</v>
      </c>
      <c r="F8059" s="2">
        <v>5.1063346918705198E-5</v>
      </c>
    </row>
    <row r="8060" spans="1:6" x14ac:dyDescent="0.25">
      <c r="A8060" s="1" t="str">
        <f t="shared" si="287"/>
        <v>18140</v>
      </c>
      <c r="B8060" s="1" t="str">
        <f>"43062"</f>
        <v>43062</v>
      </c>
      <c r="C8060" s="2">
        <v>1.3184067507837001E-2</v>
      </c>
      <c r="D8060" s="2">
        <v>6.01007377792974E-3</v>
      </c>
      <c r="E8060" s="2">
        <v>5.5761555662486896E-3</v>
      </c>
      <c r="F8060" s="2">
        <v>1.24140670064585E-2</v>
      </c>
    </row>
    <row r="8061" spans="1:6" x14ac:dyDescent="0.25">
      <c r="A8061" s="1" t="str">
        <f t="shared" si="287"/>
        <v>18140</v>
      </c>
      <c r="B8061" s="1" t="str">
        <f>"43761"</f>
        <v>43761</v>
      </c>
      <c r="C8061" s="2">
        <v>0</v>
      </c>
      <c r="D8061" s="2">
        <v>1.31511461223845E-5</v>
      </c>
      <c r="E8061" s="2">
        <v>0</v>
      </c>
      <c r="F8061" s="2">
        <v>9.4561753553157805E-7</v>
      </c>
    </row>
    <row r="8062" spans="1:6" x14ac:dyDescent="0.25">
      <c r="A8062" s="1" t="str">
        <f t="shared" si="287"/>
        <v>18140</v>
      </c>
      <c r="B8062" s="1" t="str">
        <f>"43007"</f>
        <v>43007</v>
      </c>
      <c r="C8062" s="2">
        <v>0</v>
      </c>
      <c r="D8062" s="2">
        <v>0</v>
      </c>
      <c r="E8062" s="2">
        <v>2.8305358204307999E-5</v>
      </c>
      <c r="F8062" s="2">
        <v>9.4561753553157805E-7</v>
      </c>
    </row>
    <row r="8063" spans="1:6" x14ac:dyDescent="0.25">
      <c r="A8063" s="1" t="str">
        <f t="shared" si="287"/>
        <v>18140</v>
      </c>
      <c r="B8063" s="1" t="str">
        <f>"43342"</f>
        <v>43342</v>
      </c>
      <c r="C8063" s="2">
        <v>3.9106180679010098E-5</v>
      </c>
      <c r="D8063" s="2">
        <v>0</v>
      </c>
      <c r="E8063" s="2">
        <v>0</v>
      </c>
      <c r="F8063" s="2">
        <v>3.4987848814668403E-5</v>
      </c>
    </row>
    <row r="8064" spans="1:6" x14ac:dyDescent="0.25">
      <c r="A8064" s="1" t="str">
        <f t="shared" si="287"/>
        <v>18140</v>
      </c>
      <c r="B8064" s="1" t="str">
        <f>"43156"</f>
        <v>43156</v>
      </c>
      <c r="C8064" s="2">
        <v>1.0357853260927E-4</v>
      </c>
      <c r="D8064" s="2">
        <v>1.31511461223845E-5</v>
      </c>
      <c r="E8064" s="2">
        <v>0</v>
      </c>
      <c r="F8064" s="2">
        <v>9.36161360176263E-5</v>
      </c>
    </row>
    <row r="8065" spans="1:6" x14ac:dyDescent="0.25">
      <c r="A8065" s="1" t="str">
        <f t="shared" si="287"/>
        <v>18140</v>
      </c>
      <c r="B8065" s="1" t="str">
        <f>"43019"</f>
        <v>43019</v>
      </c>
      <c r="C8065" s="2">
        <v>8.1277440384212895E-4</v>
      </c>
      <c r="D8065" s="2">
        <v>3.9453438367153602E-5</v>
      </c>
      <c r="E8065" s="2">
        <v>3.3966429845169602E-4</v>
      </c>
      <c r="F8065" s="2">
        <v>7.41364147856757E-4</v>
      </c>
    </row>
    <row r="8066" spans="1:6" x14ac:dyDescent="0.25">
      <c r="A8066" s="1" t="str">
        <f t="shared" si="287"/>
        <v>18140</v>
      </c>
      <c r="B8066" s="1" t="str">
        <f>"45654"</f>
        <v>45654</v>
      </c>
      <c r="C8066" s="2">
        <v>2.0927091282281E-4</v>
      </c>
      <c r="D8066" s="2">
        <v>2.6302292244769102E-5</v>
      </c>
      <c r="E8066" s="2">
        <v>0</v>
      </c>
      <c r="F8066" s="2">
        <v>1.89123507106315E-4</v>
      </c>
    </row>
    <row r="8067" spans="1:6" x14ac:dyDescent="0.25">
      <c r="A8067" s="1" t="str">
        <f t="shared" si="287"/>
        <v>18140</v>
      </c>
      <c r="B8067" s="1" t="str">
        <f>"43232"</f>
        <v>43232</v>
      </c>
      <c r="C8067" s="2">
        <v>2.1988242779625002E-2</v>
      </c>
      <c r="D8067" s="2">
        <v>2.0331671905206499E-2</v>
      </c>
      <c r="E8067" s="2">
        <v>4.2882617679526697E-2</v>
      </c>
      <c r="F8067" s="2">
        <v>2.25671624854611E-2</v>
      </c>
    </row>
    <row r="8068" spans="1:6" x14ac:dyDescent="0.25">
      <c r="A8068" s="1" t="str">
        <f t="shared" si="287"/>
        <v>18140</v>
      </c>
      <c r="B8068" s="1" t="str">
        <f>"43766"</f>
        <v>43766</v>
      </c>
      <c r="C8068" s="2">
        <v>7.3984666149478598E-4</v>
      </c>
      <c r="D8068" s="2">
        <v>9.20580228566919E-5</v>
      </c>
      <c r="E8068" s="2">
        <v>1.98137507430156E-4</v>
      </c>
      <c r="F8068" s="2">
        <v>6.7517092036954696E-4</v>
      </c>
    </row>
    <row r="8069" spans="1:6" x14ac:dyDescent="0.25">
      <c r="A8069" s="1" t="str">
        <f t="shared" si="287"/>
        <v>18140</v>
      </c>
      <c r="B8069" s="1" t="str">
        <f>"43746"</f>
        <v>43746</v>
      </c>
      <c r="C8069" s="2">
        <v>5.0732342502499603E-5</v>
      </c>
      <c r="D8069" s="2">
        <v>1.31511461223845E-5</v>
      </c>
      <c r="E8069" s="2">
        <v>2.8305358204307999E-5</v>
      </c>
      <c r="F8069" s="2">
        <v>4.7280876776578899E-5</v>
      </c>
    </row>
    <row r="8070" spans="1:6" x14ac:dyDescent="0.25">
      <c r="A8070" s="1" t="str">
        <f t="shared" si="287"/>
        <v>18140</v>
      </c>
      <c r="B8070" s="1" t="str">
        <f>"43777"</f>
        <v>43777</v>
      </c>
      <c r="C8070" s="2">
        <v>8.8041752717879496E-4</v>
      </c>
      <c r="D8070" s="2">
        <v>3.2877865305961398E-4</v>
      </c>
      <c r="E8070" s="2">
        <v>5.9441252229046901E-4</v>
      </c>
      <c r="F8070" s="2">
        <v>8.3119781373225702E-4</v>
      </c>
    </row>
    <row r="8071" spans="1:6" x14ac:dyDescent="0.25">
      <c r="A8071" s="1" t="str">
        <f t="shared" si="287"/>
        <v>18140</v>
      </c>
      <c r="B8071" s="1" t="str">
        <f>"43195"</f>
        <v>43195</v>
      </c>
      <c r="C8071" s="2">
        <v>0</v>
      </c>
      <c r="D8071" s="2">
        <v>0</v>
      </c>
      <c r="E8071" s="2">
        <v>1.13221432817232E-4</v>
      </c>
      <c r="F8071" s="2">
        <v>3.7824701421263101E-6</v>
      </c>
    </row>
    <row r="8072" spans="1:6" x14ac:dyDescent="0.25">
      <c r="A8072" s="1" t="str">
        <f t="shared" si="287"/>
        <v>18140</v>
      </c>
      <c r="B8072" s="1" t="str">
        <f>"43077"</f>
        <v>43077</v>
      </c>
      <c r="C8072" s="2">
        <v>2.1138476042708099E-6</v>
      </c>
      <c r="D8072" s="2">
        <v>1.31511461223845E-5</v>
      </c>
      <c r="E8072" s="2">
        <v>0</v>
      </c>
      <c r="F8072" s="2">
        <v>2.8368526065947299E-6</v>
      </c>
    </row>
    <row r="8073" spans="1:6" x14ac:dyDescent="0.25">
      <c r="A8073" s="1" t="str">
        <f t="shared" si="287"/>
        <v>18140</v>
      </c>
      <c r="B8073" s="1" t="str">
        <f>"43060"</f>
        <v>43060</v>
      </c>
      <c r="C8073" s="2">
        <v>1.6910780834166499E-5</v>
      </c>
      <c r="D8073" s="2">
        <v>0</v>
      </c>
      <c r="E8073" s="2">
        <v>0</v>
      </c>
      <c r="F8073" s="2">
        <v>1.51298805685052E-5</v>
      </c>
    </row>
    <row r="8074" spans="1:6" x14ac:dyDescent="0.25">
      <c r="A8074" s="1" t="str">
        <f t="shared" si="287"/>
        <v>18140</v>
      </c>
      <c r="B8074" s="1" t="str">
        <f>"43291"</f>
        <v>43291</v>
      </c>
      <c r="C8074" s="2">
        <v>0</v>
      </c>
      <c r="D8074" s="2">
        <v>1.31511461223845E-5</v>
      </c>
      <c r="E8074" s="2">
        <v>0</v>
      </c>
      <c r="F8074" s="2">
        <v>9.4561753553157805E-7</v>
      </c>
    </row>
    <row r="8075" spans="1:6" x14ac:dyDescent="0.25">
      <c r="A8075" s="1" t="str">
        <f t="shared" si="287"/>
        <v>18140</v>
      </c>
      <c r="B8075" s="1" t="str">
        <f>"43740"</f>
        <v>43740</v>
      </c>
      <c r="C8075" s="2">
        <v>1.0569238021354001E-6</v>
      </c>
      <c r="D8075" s="2">
        <v>1.31511461223845E-5</v>
      </c>
      <c r="E8075" s="2">
        <v>0</v>
      </c>
      <c r="F8075" s="2">
        <v>1.89123507106315E-6</v>
      </c>
    </row>
    <row r="8076" spans="1:6" x14ac:dyDescent="0.25">
      <c r="A8076" s="1" t="str">
        <f t="shared" si="287"/>
        <v>18140</v>
      </c>
      <c r="B8076" s="1" t="str">
        <f>"43194"</f>
        <v>43194</v>
      </c>
      <c r="C8076" s="2">
        <v>0</v>
      </c>
      <c r="D8076" s="2">
        <v>1.1836031510146099E-4</v>
      </c>
      <c r="E8076" s="2">
        <v>1.6983214922584801E-4</v>
      </c>
      <c r="F8076" s="2">
        <v>1.41842630329736E-5</v>
      </c>
    </row>
    <row r="8077" spans="1:6" x14ac:dyDescent="0.25">
      <c r="A8077" s="1" t="str">
        <f t="shared" si="287"/>
        <v>18140</v>
      </c>
      <c r="B8077" s="1" t="str">
        <f>"43321"</f>
        <v>43321</v>
      </c>
      <c r="C8077" s="2">
        <v>1.2366008484984199E-4</v>
      </c>
      <c r="D8077" s="2">
        <v>3.9453438367153602E-5</v>
      </c>
      <c r="E8077" s="2">
        <v>0</v>
      </c>
      <c r="F8077" s="2">
        <v>1.13474104263789E-4</v>
      </c>
    </row>
    <row r="8078" spans="1:6" x14ac:dyDescent="0.25">
      <c r="A8078" s="1" t="str">
        <f t="shared" si="287"/>
        <v>18140</v>
      </c>
      <c r="B8078" s="1" t="str">
        <f>"43340"</f>
        <v>43340</v>
      </c>
      <c r="C8078" s="2">
        <v>6.2358504325989094E-5</v>
      </c>
      <c r="D8078" s="2">
        <v>0</v>
      </c>
      <c r="E8078" s="2">
        <v>0</v>
      </c>
      <c r="F8078" s="2">
        <v>5.5791434596363103E-5</v>
      </c>
    </row>
    <row r="8079" spans="1:6" x14ac:dyDescent="0.25">
      <c r="A8079" s="1" t="str">
        <f t="shared" si="287"/>
        <v>18140</v>
      </c>
      <c r="B8079" s="1" t="str">
        <f>"43235"</f>
        <v>43235</v>
      </c>
      <c r="C8079" s="2">
        <v>2.2433207700324E-2</v>
      </c>
      <c r="D8079" s="2">
        <v>1.77671984113415E-2</v>
      </c>
      <c r="E8079" s="2">
        <v>2.0974270429392199E-2</v>
      </c>
      <c r="F8079" s="2">
        <v>2.2048964075989799E-2</v>
      </c>
    </row>
    <row r="8080" spans="1:6" x14ac:dyDescent="0.25">
      <c r="A8080" s="1" t="str">
        <f t="shared" si="287"/>
        <v>18140</v>
      </c>
      <c r="B8080" s="1" t="str">
        <f>"43344"</f>
        <v>43344</v>
      </c>
      <c r="C8080" s="2">
        <v>2.49222632543529E-3</v>
      </c>
      <c r="D8080" s="2">
        <v>1.64389326529807E-3</v>
      </c>
      <c r="E8080" s="2">
        <v>5.3780180588185297E-4</v>
      </c>
      <c r="F8080" s="2">
        <v>2.3659350739000098E-3</v>
      </c>
    </row>
    <row r="8081" spans="1:6" x14ac:dyDescent="0.25">
      <c r="A8081" s="1" t="str">
        <f t="shared" si="287"/>
        <v>18140</v>
      </c>
      <c r="B8081" s="1" t="str">
        <f>"43822"</f>
        <v>43822</v>
      </c>
      <c r="C8081" s="2">
        <v>4.8618494898228801E-4</v>
      </c>
      <c r="D8081" s="2">
        <v>1.1836031510146099E-4</v>
      </c>
      <c r="E8081" s="2">
        <v>0</v>
      </c>
      <c r="F8081" s="2">
        <v>4.4349462416430998E-4</v>
      </c>
    </row>
    <row r="8082" spans="1:6" x14ac:dyDescent="0.25">
      <c r="A8082" s="1" t="str">
        <f t="shared" ref="A8082:A8113" si="288">"18140"</f>
        <v>18140</v>
      </c>
      <c r="B8082" s="1" t="str">
        <f>"43209"</f>
        <v>43209</v>
      </c>
      <c r="C8082" s="2">
        <v>1.39080603122998E-2</v>
      </c>
      <c r="D8082" s="2">
        <v>1.25593445468772E-2</v>
      </c>
      <c r="E8082" s="2">
        <v>2.2304622264994699E-2</v>
      </c>
      <c r="F8082" s="2">
        <v>1.40915925144915E-2</v>
      </c>
    </row>
    <row r="8083" spans="1:6" x14ac:dyDescent="0.25">
      <c r="A8083" s="1" t="str">
        <f t="shared" si="288"/>
        <v>18140</v>
      </c>
      <c r="B8083" s="1" t="str">
        <f>"43015"</f>
        <v>43015</v>
      </c>
      <c r="C8083" s="2">
        <v>2.62180518357709E-2</v>
      </c>
      <c r="D8083" s="2">
        <v>2.3001354568050601E-2</v>
      </c>
      <c r="E8083" s="2">
        <v>1.9162727504316499E-2</v>
      </c>
      <c r="F8083" s="2">
        <v>2.5751056727595902E-2</v>
      </c>
    </row>
    <row r="8084" spans="1:6" x14ac:dyDescent="0.25">
      <c r="A8084" s="1" t="str">
        <f t="shared" si="288"/>
        <v>18140</v>
      </c>
      <c r="B8084" s="1" t="str">
        <f>"43056"</f>
        <v>43056</v>
      </c>
      <c r="C8084" s="2">
        <v>8.0632716864910293E-3</v>
      </c>
      <c r="D8084" s="2">
        <v>8.9033259248543495E-3</v>
      </c>
      <c r="E8084" s="2">
        <v>1.2963854057573001E-2</v>
      </c>
      <c r="F8084" s="2">
        <v>8.2873920813987499E-3</v>
      </c>
    </row>
    <row r="8085" spans="1:6" x14ac:dyDescent="0.25">
      <c r="A8085" s="1" t="str">
        <f t="shared" si="288"/>
        <v>18140</v>
      </c>
      <c r="B8085" s="1" t="str">
        <f>"43076"</f>
        <v>43076</v>
      </c>
      <c r="C8085" s="2">
        <v>4.5204631017331399E-3</v>
      </c>
      <c r="D8085" s="2">
        <v>1.64389326529807E-3</v>
      </c>
      <c r="E8085" s="2">
        <v>3.7363072829686601E-3</v>
      </c>
      <c r="F8085" s="2">
        <v>4.2874299061001703E-3</v>
      </c>
    </row>
    <row r="8086" spans="1:6" x14ac:dyDescent="0.25">
      <c r="A8086" s="1" t="str">
        <f t="shared" si="288"/>
        <v>18140</v>
      </c>
      <c r="B8086" s="1" t="str">
        <f>"43033"</f>
        <v>43033</v>
      </c>
      <c r="C8086" s="2">
        <v>1.6382318933098799E-4</v>
      </c>
      <c r="D8086" s="2">
        <v>2.6302292244769102E-5</v>
      </c>
      <c r="E8086" s="2">
        <v>2.8305358204307998E-4</v>
      </c>
      <c r="F8086" s="2">
        <v>1.57918128433773E-4</v>
      </c>
    </row>
    <row r="8087" spans="1:6" x14ac:dyDescent="0.25">
      <c r="A8087" s="1" t="str">
        <f t="shared" si="288"/>
        <v>18140</v>
      </c>
      <c r="B8087" s="1" t="str">
        <f>"44904"</f>
        <v>44904</v>
      </c>
      <c r="C8087" s="2">
        <v>6.6480507154317197E-4</v>
      </c>
      <c r="D8087" s="2">
        <v>3.9453438367153602E-5</v>
      </c>
      <c r="E8087" s="2">
        <v>1.13221432817232E-4</v>
      </c>
      <c r="F8087" s="2">
        <v>6.0141275259808396E-4</v>
      </c>
    </row>
    <row r="8088" spans="1:6" x14ac:dyDescent="0.25">
      <c r="A8088" s="1" t="str">
        <f t="shared" si="288"/>
        <v>18140</v>
      </c>
      <c r="B8088" s="1" t="str">
        <f>"45622"</f>
        <v>45622</v>
      </c>
      <c r="C8088" s="2">
        <v>1.1626161823489399E-5</v>
      </c>
      <c r="D8088" s="2">
        <v>0</v>
      </c>
      <c r="E8088" s="2">
        <v>0</v>
      </c>
      <c r="F8088" s="2">
        <v>1.0401792890847299E-5</v>
      </c>
    </row>
    <row r="8089" spans="1:6" x14ac:dyDescent="0.25">
      <c r="A8089" s="1" t="str">
        <f t="shared" si="288"/>
        <v>18140</v>
      </c>
      <c r="B8089" s="1" t="str">
        <f>"43084"</f>
        <v>43084</v>
      </c>
      <c r="C8089" s="2">
        <v>1.0569238021354E-5</v>
      </c>
      <c r="D8089" s="2">
        <v>0</v>
      </c>
      <c r="E8089" s="2">
        <v>0</v>
      </c>
      <c r="F8089" s="2">
        <v>9.4561753553157805E-6</v>
      </c>
    </row>
    <row r="8090" spans="1:6" x14ac:dyDescent="0.25">
      <c r="A8090" s="1" t="str">
        <f t="shared" si="288"/>
        <v>18140</v>
      </c>
      <c r="B8090" s="1" t="str">
        <f>"43236"</f>
        <v>43236</v>
      </c>
      <c r="C8090" s="2">
        <v>4.3862337788619398E-4</v>
      </c>
      <c r="D8090" s="2">
        <v>2.4987177632530598E-3</v>
      </c>
      <c r="E8090" s="2">
        <v>2.8305358204307999E-5</v>
      </c>
      <c r="F8090" s="2">
        <v>5.7304422653213602E-4</v>
      </c>
    </row>
    <row r="8091" spans="1:6" x14ac:dyDescent="0.25">
      <c r="A8091" s="1" t="str">
        <f t="shared" si="288"/>
        <v>18140</v>
      </c>
      <c r="B8091" s="1" t="str">
        <f>"43234"</f>
        <v>43234</v>
      </c>
      <c r="C8091" s="2">
        <v>6.3943890029192205E-4</v>
      </c>
      <c r="D8091" s="2">
        <v>1.9989742106024501E-3</v>
      </c>
      <c r="E8091" s="2">
        <v>5.6610716408616101E-5</v>
      </c>
      <c r="F8091" s="2">
        <v>7.17723709468468E-4</v>
      </c>
    </row>
    <row r="8092" spans="1:6" x14ac:dyDescent="0.25">
      <c r="A8092" s="1" t="str">
        <f t="shared" si="288"/>
        <v>18140</v>
      </c>
      <c r="B8092" s="1" t="str">
        <f>"43782"</f>
        <v>43782</v>
      </c>
      <c r="C8092" s="2">
        <v>4.6610339674171499E-4</v>
      </c>
      <c r="D8092" s="2">
        <v>3.9453438367153602E-5</v>
      </c>
      <c r="E8092" s="2">
        <v>0</v>
      </c>
      <c r="F8092" s="2">
        <v>4.1985418577602103E-4</v>
      </c>
    </row>
    <row r="8093" spans="1:6" x14ac:dyDescent="0.25">
      <c r="A8093" s="1" t="str">
        <f t="shared" si="288"/>
        <v>18140</v>
      </c>
      <c r="B8093" s="1" t="str">
        <f>"43830"</f>
        <v>43830</v>
      </c>
      <c r="C8093" s="2">
        <v>3.26589454859841E-4</v>
      </c>
      <c r="D8093" s="2">
        <v>1.3151146122384499E-4</v>
      </c>
      <c r="E8093" s="2">
        <v>5.6610716408616101E-5</v>
      </c>
      <c r="F8093" s="2">
        <v>3.0354322890563601E-4</v>
      </c>
    </row>
    <row r="8094" spans="1:6" x14ac:dyDescent="0.25">
      <c r="A8094" s="1" t="str">
        <f t="shared" si="288"/>
        <v>18140</v>
      </c>
      <c r="B8094" s="1" t="str">
        <f>"43162"</f>
        <v>43162</v>
      </c>
      <c r="C8094" s="2">
        <v>3.1052421306738301E-3</v>
      </c>
      <c r="D8094" s="2">
        <v>2.8669498546798301E-3</v>
      </c>
      <c r="E8094" s="2">
        <v>1.4152679102154E-3</v>
      </c>
      <c r="F8094" s="2">
        <v>3.0316498189142402E-3</v>
      </c>
    </row>
    <row r="8095" spans="1:6" x14ac:dyDescent="0.25">
      <c r="A8095" s="1" t="str">
        <f t="shared" si="288"/>
        <v>18140</v>
      </c>
      <c r="B8095" s="1" t="str">
        <f>"43110"</f>
        <v>43110</v>
      </c>
      <c r="C8095" s="2">
        <v>1.8116730892403E-2</v>
      </c>
      <c r="D8095" s="2">
        <v>9.7976038611765001E-3</v>
      </c>
      <c r="E8095" s="2">
        <v>4.5571626708936002E-3</v>
      </c>
      <c r="F8095" s="2">
        <v>1.7065559663738399E-2</v>
      </c>
    </row>
    <row r="8096" spans="1:6" x14ac:dyDescent="0.25">
      <c r="A8096" s="1" t="str">
        <f t="shared" si="288"/>
        <v>18140</v>
      </c>
      <c r="B8096" s="1" t="str">
        <f>"43227"</f>
        <v>43227</v>
      </c>
      <c r="C8096" s="2">
        <v>1.16842926326069E-2</v>
      </c>
      <c r="D8096" s="2">
        <v>7.7854785044516603E-3</v>
      </c>
      <c r="E8096" s="2">
        <v>1.9389170369951001E-2</v>
      </c>
      <c r="F8096" s="2">
        <v>1.16613554481754E-2</v>
      </c>
    </row>
    <row r="8097" spans="1:6" x14ac:dyDescent="0.25">
      <c r="A8097" s="1" t="str">
        <f t="shared" si="288"/>
        <v>18140</v>
      </c>
      <c r="B8097" s="1" t="str">
        <f>"43149"</f>
        <v>43149</v>
      </c>
      <c r="C8097" s="2">
        <v>1.3761147903803E-3</v>
      </c>
      <c r="D8097" s="2">
        <v>8.8112679019976498E-4</v>
      </c>
      <c r="E8097" s="2">
        <v>1.6983214922584801E-4</v>
      </c>
      <c r="F8097" s="2">
        <v>1.3002241113559199E-3</v>
      </c>
    </row>
    <row r="8098" spans="1:6" x14ac:dyDescent="0.25">
      <c r="A8098" s="1" t="str">
        <f t="shared" si="288"/>
        <v>18140</v>
      </c>
      <c r="B8098" s="1" t="str">
        <f>"43146"</f>
        <v>43146</v>
      </c>
      <c r="C8098" s="2">
        <v>3.9454965533714803E-3</v>
      </c>
      <c r="D8098" s="2">
        <v>1.23620773550414E-3</v>
      </c>
      <c r="E8098" s="2">
        <v>5.9441252229046901E-4</v>
      </c>
      <c r="F8098" s="2">
        <v>3.6387362767255102E-3</v>
      </c>
    </row>
    <row r="8099" spans="1:6" x14ac:dyDescent="0.25">
      <c r="A8099" s="1" t="str">
        <f t="shared" si="288"/>
        <v>18140</v>
      </c>
      <c r="B8099" s="1" t="str">
        <f>"43223"</f>
        <v>43223</v>
      </c>
      <c r="C8099" s="2">
        <v>1.31407336319495E-2</v>
      </c>
      <c r="D8099" s="2">
        <v>1.21911124554504E-2</v>
      </c>
      <c r="E8099" s="2">
        <v>1.48320076990574E-2</v>
      </c>
      <c r="F8099" s="2">
        <v>1.31289538633204E-2</v>
      </c>
    </row>
    <row r="8100" spans="1:6" x14ac:dyDescent="0.25">
      <c r="A8100" s="1" t="str">
        <f t="shared" si="288"/>
        <v>18140</v>
      </c>
      <c r="B8100" s="1" t="str">
        <f>"43017"</f>
        <v>43017</v>
      </c>
      <c r="C8100" s="2">
        <v>1.91958500943832E-2</v>
      </c>
      <c r="D8100" s="2">
        <v>2.9090335222714599E-2</v>
      </c>
      <c r="E8100" s="2">
        <v>2.6635342070253799E-2</v>
      </c>
      <c r="F8100" s="2">
        <v>2.0155837769855599E-2</v>
      </c>
    </row>
    <row r="8101" spans="1:6" x14ac:dyDescent="0.25">
      <c r="A8101" s="1" t="str">
        <f t="shared" si="288"/>
        <v>18140</v>
      </c>
      <c r="B8101" s="1" t="str">
        <f>"43023"</f>
        <v>43023</v>
      </c>
      <c r="C8101" s="2">
        <v>7.7768453361123299E-3</v>
      </c>
      <c r="D8101" s="2">
        <v>4.4319362432435902E-3</v>
      </c>
      <c r="E8101" s="2">
        <v>3.4815590591298902E-3</v>
      </c>
      <c r="F8101" s="2">
        <v>7.3928378927858801E-3</v>
      </c>
    </row>
    <row r="8102" spans="1:6" x14ac:dyDescent="0.25">
      <c r="A8102" s="1" t="str">
        <f t="shared" si="288"/>
        <v>18140</v>
      </c>
      <c r="B8102" s="1" t="str">
        <f>"43081"</f>
        <v>43081</v>
      </c>
      <c r="C8102" s="2">
        <v>3.01878576365915E-2</v>
      </c>
      <c r="D8102" s="2">
        <v>2.41586554268204E-2</v>
      </c>
      <c r="E8102" s="2">
        <v>2.4569050921339399E-2</v>
      </c>
      <c r="F8102" s="2">
        <v>2.9566623483465799E-2</v>
      </c>
    </row>
    <row r="8103" spans="1:6" x14ac:dyDescent="0.25">
      <c r="A8103" s="1" t="str">
        <f t="shared" si="288"/>
        <v>18140</v>
      </c>
      <c r="B8103" s="1" t="str">
        <f>"43011"</f>
        <v>43011</v>
      </c>
      <c r="C8103" s="2">
        <v>9.4066218390051297E-4</v>
      </c>
      <c r="D8103" s="2">
        <v>1.05209168979076E-4</v>
      </c>
      <c r="E8103" s="2">
        <v>5.6610716408616101E-5</v>
      </c>
      <c r="F8103" s="2">
        <v>8.5105578197842101E-4</v>
      </c>
    </row>
    <row r="8104" spans="1:6" x14ac:dyDescent="0.25">
      <c r="A8104" s="1" t="str">
        <f t="shared" si="288"/>
        <v>18140</v>
      </c>
      <c r="B8104" s="1" t="str">
        <f>"43025"</f>
        <v>43025</v>
      </c>
      <c r="C8104" s="2">
        <v>2.8378404087335699E-3</v>
      </c>
      <c r="D8104" s="2">
        <v>2.2093925485605998E-3</v>
      </c>
      <c r="E8104" s="2">
        <v>2.4342608055704898E-3</v>
      </c>
      <c r="F8104" s="2">
        <v>2.7791699369273102E-3</v>
      </c>
    </row>
    <row r="8105" spans="1:6" x14ac:dyDescent="0.25">
      <c r="A8105" s="1" t="str">
        <f t="shared" si="288"/>
        <v>18140</v>
      </c>
      <c r="B8105" s="1" t="str">
        <f>"43071"</f>
        <v>43071</v>
      </c>
      <c r="C8105" s="2">
        <v>1.02521608807134E-3</v>
      </c>
      <c r="D8105" s="2">
        <v>2.4987177632530599E-4</v>
      </c>
      <c r="E8105" s="2">
        <v>0</v>
      </c>
      <c r="F8105" s="2">
        <v>9.3521574264073101E-4</v>
      </c>
    </row>
    <row r="8106" spans="1:6" x14ac:dyDescent="0.25">
      <c r="A8106" s="1" t="str">
        <f t="shared" si="288"/>
        <v>18140</v>
      </c>
      <c r="B8106" s="1" t="str">
        <f>"43046"</f>
        <v>43046</v>
      </c>
      <c r="C8106" s="2">
        <v>1.6340041981013399E-3</v>
      </c>
      <c r="D8106" s="2">
        <v>6.8385959836399701E-4</v>
      </c>
      <c r="E8106" s="2">
        <v>3.9627501486031298E-4</v>
      </c>
      <c r="F8106" s="2">
        <v>1.5243354672769E-3</v>
      </c>
    </row>
    <row r="8107" spans="1:6" x14ac:dyDescent="0.25">
      <c r="A8107" s="1" t="str">
        <f t="shared" si="288"/>
        <v>18140</v>
      </c>
      <c r="B8107" s="1" t="str">
        <f>"43086"</f>
        <v>43086</v>
      </c>
      <c r="C8107" s="2">
        <v>1.7957135398280501E-3</v>
      </c>
      <c r="D8107" s="2">
        <v>9.5345809387288108E-3</v>
      </c>
      <c r="E8107" s="2">
        <v>5.6610716408616101E-5</v>
      </c>
      <c r="F8107" s="2">
        <v>2.29406814119961E-3</v>
      </c>
    </row>
    <row r="8108" spans="1:6" x14ac:dyDescent="0.25">
      <c r="A8108" s="1" t="str">
        <f t="shared" si="288"/>
        <v>18140</v>
      </c>
      <c r="B8108" s="1" t="str">
        <f>"44833"</f>
        <v>44833</v>
      </c>
      <c r="C8108" s="2">
        <v>1.1858685059959199E-3</v>
      </c>
      <c r="D8108" s="2">
        <v>2.2356948408053701E-4</v>
      </c>
      <c r="E8108" s="2">
        <v>1.13221432817232E-4</v>
      </c>
      <c r="F8108" s="2">
        <v>1.08084084311259E-3</v>
      </c>
    </row>
    <row r="8109" spans="1:6" x14ac:dyDescent="0.25">
      <c r="A8109" s="1" t="str">
        <f t="shared" si="288"/>
        <v>18140</v>
      </c>
      <c r="B8109" s="1" t="str">
        <f>"45732"</f>
        <v>45732</v>
      </c>
      <c r="C8109" s="2">
        <v>1.3422932287119601E-4</v>
      </c>
      <c r="D8109" s="2">
        <v>1.31511461223845E-5</v>
      </c>
      <c r="E8109" s="2">
        <v>0</v>
      </c>
      <c r="F8109" s="2">
        <v>1.21039044548042E-4</v>
      </c>
    </row>
    <row r="8110" spans="1:6" x14ac:dyDescent="0.25">
      <c r="A8110" s="1" t="str">
        <f t="shared" si="288"/>
        <v>18140</v>
      </c>
      <c r="B8110" s="1" t="str">
        <f>"43764"</f>
        <v>43764</v>
      </c>
      <c r="C8110" s="2">
        <v>3.8028118400832002E-3</v>
      </c>
      <c r="D8110" s="2">
        <v>4.1426110285511302E-3</v>
      </c>
      <c r="E8110" s="2">
        <v>2.03798579071018E-3</v>
      </c>
      <c r="F8110" s="2">
        <v>3.7682858790933399E-3</v>
      </c>
    </row>
    <row r="8111" spans="1:6" x14ac:dyDescent="0.25">
      <c r="A8111" s="1" t="str">
        <f t="shared" si="288"/>
        <v>18140</v>
      </c>
      <c r="B8111" s="1" t="str">
        <f>"43287"</f>
        <v>43287</v>
      </c>
      <c r="C8111" s="2">
        <v>0</v>
      </c>
      <c r="D8111" s="2">
        <v>1.31511461223845E-5</v>
      </c>
      <c r="E8111" s="2">
        <v>0</v>
      </c>
      <c r="F8111" s="2">
        <v>9.4561753553157805E-7</v>
      </c>
    </row>
    <row r="8112" spans="1:6" x14ac:dyDescent="0.25">
      <c r="A8112" s="1" t="str">
        <f t="shared" si="288"/>
        <v>18140</v>
      </c>
      <c r="B8112" s="1" t="str">
        <f>"43701"</f>
        <v>43701</v>
      </c>
      <c r="C8112" s="2">
        <v>3.1707714064062201E-6</v>
      </c>
      <c r="D8112" s="2">
        <v>0</v>
      </c>
      <c r="E8112" s="2">
        <v>0</v>
      </c>
      <c r="F8112" s="2">
        <v>2.8368526065947299E-6</v>
      </c>
    </row>
    <row r="8113" spans="1:6" x14ac:dyDescent="0.25">
      <c r="A8113" s="1" t="str">
        <f t="shared" si="288"/>
        <v>18140</v>
      </c>
      <c r="B8113" s="1" t="str">
        <f>"43003"</f>
        <v>43003</v>
      </c>
      <c r="C8113" s="2">
        <v>9.8928067879874198E-4</v>
      </c>
      <c r="D8113" s="2">
        <v>3.02476360814845E-4</v>
      </c>
      <c r="E8113" s="2">
        <v>3.6796965665600399E-4</v>
      </c>
      <c r="F8113" s="2">
        <v>9.1914024453669399E-4</v>
      </c>
    </row>
    <row r="8114" spans="1:6" x14ac:dyDescent="0.25">
      <c r="A8114" s="1" t="str">
        <f t="shared" ref="A8114:A8145" si="289">"18140"</f>
        <v>18140</v>
      </c>
      <c r="B8114" s="1" t="str">
        <f>"43004"</f>
        <v>43004</v>
      </c>
      <c r="C8114" s="2">
        <v>1.2369179256390601E-2</v>
      </c>
      <c r="D8114" s="2">
        <v>4.8133194807927502E-3</v>
      </c>
      <c r="E8114" s="2">
        <v>2.03798579071018E-3</v>
      </c>
      <c r="F8114" s="2">
        <v>1.14807424988888E-2</v>
      </c>
    </row>
    <row r="8115" spans="1:6" x14ac:dyDescent="0.25">
      <c r="A8115" s="1" t="str">
        <f t="shared" si="289"/>
        <v>18140</v>
      </c>
      <c r="B8115" s="1" t="str">
        <f>"43074"</f>
        <v>43074</v>
      </c>
      <c r="C8115" s="2">
        <v>6.4873982975071302E-3</v>
      </c>
      <c r="D8115" s="2">
        <v>5.0237378187508999E-3</v>
      </c>
      <c r="E8115" s="2">
        <v>1.67001613405417E-3</v>
      </c>
      <c r="F8115" s="2">
        <v>6.2212177662622501E-3</v>
      </c>
    </row>
    <row r="8116" spans="1:6" x14ac:dyDescent="0.25">
      <c r="A8116" s="1" t="str">
        <f t="shared" si="289"/>
        <v>18140</v>
      </c>
      <c r="B8116" s="1" t="str">
        <f>"43082"</f>
        <v>43082</v>
      </c>
      <c r="C8116" s="2">
        <v>1.3568787771814301E-2</v>
      </c>
      <c r="D8116" s="2">
        <v>1.3361564460342701E-2</v>
      </c>
      <c r="E8116" s="2">
        <v>9.0011039089699599E-3</v>
      </c>
      <c r="F8116" s="2">
        <v>1.34012917135535E-2</v>
      </c>
    </row>
    <row r="8117" spans="1:6" x14ac:dyDescent="0.25">
      <c r="A8117" s="1" t="str">
        <f t="shared" si="289"/>
        <v>18140</v>
      </c>
      <c r="B8117" s="1" t="str">
        <f>"43315"</f>
        <v>43315</v>
      </c>
      <c r="C8117" s="2">
        <v>3.0830467308289801E-3</v>
      </c>
      <c r="D8117" s="2">
        <v>1.18360315101461E-3</v>
      </c>
      <c r="E8117" s="2">
        <v>1.4435732684197099E-3</v>
      </c>
      <c r="F8117" s="2">
        <v>2.8916984236555601E-3</v>
      </c>
    </row>
    <row r="8118" spans="1:6" x14ac:dyDescent="0.25">
      <c r="A8118" s="1" t="str">
        <f t="shared" si="289"/>
        <v>18140</v>
      </c>
      <c r="B8118" s="1" t="str">
        <f>"43302"</f>
        <v>43302</v>
      </c>
      <c r="C8118" s="2">
        <v>1.6910780834166499E-5</v>
      </c>
      <c r="D8118" s="2">
        <v>0</v>
      </c>
      <c r="E8118" s="2">
        <v>0</v>
      </c>
      <c r="F8118" s="2">
        <v>1.51298805685052E-5</v>
      </c>
    </row>
    <row r="8119" spans="1:6" x14ac:dyDescent="0.25">
      <c r="A8119" s="1" t="str">
        <f t="shared" si="289"/>
        <v>18140</v>
      </c>
      <c r="B8119" s="1" t="str">
        <f>"43334"</f>
        <v>43334</v>
      </c>
      <c r="C8119" s="2">
        <v>2.8156450088887199E-3</v>
      </c>
      <c r="D8119" s="2">
        <v>9.6003366693407297E-4</v>
      </c>
      <c r="E8119" s="2">
        <v>7.9255002972062596E-4</v>
      </c>
      <c r="F8119" s="2">
        <v>2.6146324857448098E-3</v>
      </c>
    </row>
    <row r="8120" spans="1:6" x14ac:dyDescent="0.25">
      <c r="A8120" s="1" t="str">
        <f t="shared" si="289"/>
        <v>18140</v>
      </c>
      <c r="B8120" s="1" t="str">
        <f>"43138"</f>
        <v>43138</v>
      </c>
      <c r="C8120" s="2">
        <v>9.2280017164442507E-3</v>
      </c>
      <c r="D8120" s="2">
        <v>9.4162206236273402E-3</v>
      </c>
      <c r="E8120" s="2">
        <v>5.3780180588185299E-3</v>
      </c>
      <c r="F8120" s="2">
        <v>9.1129161899178197E-3</v>
      </c>
    </row>
    <row r="8121" spans="1:6" x14ac:dyDescent="0.25">
      <c r="A8121" s="1" t="str">
        <f t="shared" si="289"/>
        <v>18140</v>
      </c>
      <c r="B8121" s="1" t="str">
        <f>"43157"</f>
        <v>43157</v>
      </c>
      <c r="C8121" s="2">
        <v>2.0504321761426899E-4</v>
      </c>
      <c r="D8121" s="2">
        <v>1.31511461223845E-5</v>
      </c>
      <c r="E8121" s="2">
        <v>5.6610716408616101E-5</v>
      </c>
      <c r="F8121" s="2">
        <v>1.8628665449972099E-4</v>
      </c>
    </row>
    <row r="8122" spans="1:6" x14ac:dyDescent="0.25">
      <c r="A8122" s="1" t="str">
        <f t="shared" si="289"/>
        <v>18140</v>
      </c>
      <c r="B8122" s="1" t="str">
        <f>"43112"</f>
        <v>43112</v>
      </c>
      <c r="C8122" s="2">
        <v>2.0757983473939398E-3</v>
      </c>
      <c r="D8122" s="2">
        <v>2.0252765028472199E-3</v>
      </c>
      <c r="E8122" s="2">
        <v>2.8305358204307998E-4</v>
      </c>
      <c r="F8122" s="2">
        <v>2.01227411561119E-3</v>
      </c>
    </row>
    <row r="8123" spans="1:6" x14ac:dyDescent="0.25">
      <c r="A8123" s="1" t="str">
        <f t="shared" si="289"/>
        <v>18140</v>
      </c>
      <c r="B8123" s="1" t="str">
        <f>"43125"</f>
        <v>43125</v>
      </c>
      <c r="C8123" s="2">
        <v>6.8203292951797903E-3</v>
      </c>
      <c r="D8123" s="2">
        <v>1.0507765751785201E-2</v>
      </c>
      <c r="E8123" s="2">
        <v>4.3590251634634397E-3</v>
      </c>
      <c r="F8123" s="2">
        <v>7.0032434681468704E-3</v>
      </c>
    </row>
    <row r="8124" spans="1:6" x14ac:dyDescent="0.25">
      <c r="A8124" s="1" t="str">
        <f t="shared" si="289"/>
        <v>18140</v>
      </c>
      <c r="B8124" s="1" t="str">
        <f>"43135"</f>
        <v>43135</v>
      </c>
      <c r="C8124" s="2">
        <v>1.8897797582181099E-3</v>
      </c>
      <c r="D8124" s="2">
        <v>3.02476360814845E-4</v>
      </c>
      <c r="E8124" s="2">
        <v>1.6983214922584801E-4</v>
      </c>
      <c r="F8124" s="2">
        <v>1.71818706206087E-3</v>
      </c>
    </row>
    <row r="8125" spans="1:6" x14ac:dyDescent="0.25">
      <c r="A8125" s="1" t="str">
        <f t="shared" si="289"/>
        <v>18140</v>
      </c>
      <c r="B8125" s="1" t="str">
        <f>"43145"</f>
        <v>43145</v>
      </c>
      <c r="C8125" s="2">
        <v>5.7813731976806798E-4</v>
      </c>
      <c r="D8125" s="2">
        <v>4.6029011428345902E-4</v>
      </c>
      <c r="E8125" s="2">
        <v>1.13221432817232E-4</v>
      </c>
      <c r="F8125" s="2">
        <v>5.5413187582150497E-4</v>
      </c>
    </row>
    <row r="8126" spans="1:6" x14ac:dyDescent="0.25">
      <c r="A8126" s="1" t="str">
        <f t="shared" si="289"/>
        <v>18140</v>
      </c>
      <c r="B8126" s="1" t="str">
        <f>"43219"</f>
        <v>43219</v>
      </c>
      <c r="C8126" s="2">
        <v>1.39968419116792E-2</v>
      </c>
      <c r="D8126" s="2">
        <v>2.6065571614566199E-2</v>
      </c>
      <c r="E8126" s="2">
        <v>1.5341504146734899E-2</v>
      </c>
      <c r="F8126" s="2">
        <v>1.49095516827264E-2</v>
      </c>
    </row>
    <row r="8127" spans="1:6" x14ac:dyDescent="0.25">
      <c r="A8127" s="1" t="str">
        <f t="shared" si="289"/>
        <v>18140</v>
      </c>
      <c r="B8127" s="1" t="str">
        <f>"43222"</f>
        <v>43222</v>
      </c>
      <c r="C8127" s="2">
        <v>2.3907616404302899E-3</v>
      </c>
      <c r="D8127" s="2">
        <v>4.6555057273241296E-3</v>
      </c>
      <c r="E8127" s="2">
        <v>2.20781793993602E-3</v>
      </c>
      <c r="F8127" s="2">
        <v>2.5474936407220701E-3</v>
      </c>
    </row>
    <row r="8128" spans="1:6" x14ac:dyDescent="0.25">
      <c r="A8128" s="1" t="str">
        <f t="shared" si="289"/>
        <v>18140</v>
      </c>
      <c r="B8128" s="1" t="str">
        <f>"43116"</f>
        <v>43116</v>
      </c>
      <c r="C8128" s="2">
        <v>8.9415753660655501E-4</v>
      </c>
      <c r="D8128" s="2">
        <v>5.2604584489538203E-5</v>
      </c>
      <c r="E8128" s="2">
        <v>0</v>
      </c>
      <c r="F8128" s="2">
        <v>8.0377490520184202E-4</v>
      </c>
    </row>
    <row r="8129" spans="1:6" x14ac:dyDescent="0.25">
      <c r="A8129" s="1" t="str">
        <f t="shared" si="289"/>
        <v>18140</v>
      </c>
      <c r="B8129" s="1" t="str">
        <f>"43158"</f>
        <v>43158</v>
      </c>
      <c r="C8129" s="2">
        <v>0</v>
      </c>
      <c r="D8129" s="2">
        <v>1.31511461223845E-5</v>
      </c>
      <c r="E8129" s="2">
        <v>0</v>
      </c>
      <c r="F8129" s="2">
        <v>9.4561753553157805E-7</v>
      </c>
    </row>
    <row r="8130" spans="1:6" x14ac:dyDescent="0.25">
      <c r="A8130" s="1" t="str">
        <f t="shared" si="289"/>
        <v>18140</v>
      </c>
      <c r="B8130" s="1" t="str">
        <f>"43325"</f>
        <v>43325</v>
      </c>
      <c r="C8130" s="2">
        <v>1.0569238021354001E-6</v>
      </c>
      <c r="D8130" s="2">
        <v>1.31511461223845E-5</v>
      </c>
      <c r="E8130" s="2">
        <v>0</v>
      </c>
      <c r="F8130" s="2">
        <v>1.89123507106315E-6</v>
      </c>
    </row>
    <row r="8131" spans="1:6" x14ac:dyDescent="0.25">
      <c r="A8131" s="1" t="str">
        <f t="shared" si="289"/>
        <v>18140</v>
      </c>
      <c r="B8131" s="1" t="str">
        <f>"43314"</f>
        <v>43314</v>
      </c>
      <c r="C8131" s="2">
        <v>1.10976999224217E-4</v>
      </c>
      <c r="D8131" s="2">
        <v>1.31511461223845E-5</v>
      </c>
      <c r="E8131" s="2">
        <v>0</v>
      </c>
      <c r="F8131" s="2">
        <v>1.0023545876634701E-4</v>
      </c>
    </row>
    <row r="8132" spans="1:6" x14ac:dyDescent="0.25">
      <c r="A8132" s="1" t="str">
        <f t="shared" si="289"/>
        <v>18140</v>
      </c>
      <c r="B8132" s="1" t="str">
        <f>"43154"</f>
        <v>43154</v>
      </c>
      <c r="C8132" s="2">
        <v>1.3137562860543099E-3</v>
      </c>
      <c r="D8132" s="2">
        <v>2.63022922447691E-4</v>
      </c>
      <c r="E8132" s="2">
        <v>4.24580373064621E-4</v>
      </c>
      <c r="F8132" s="2">
        <v>1.2084992104093499E-3</v>
      </c>
    </row>
    <row r="8133" spans="1:6" x14ac:dyDescent="0.25">
      <c r="A8133" s="1" t="str">
        <f t="shared" si="289"/>
        <v>18140</v>
      </c>
      <c r="B8133" s="1" t="str">
        <f>"43044"</f>
        <v>43044</v>
      </c>
      <c r="C8133" s="2">
        <v>7.1870818545207799E-5</v>
      </c>
      <c r="D8133" s="2">
        <v>1.31511461223845E-5</v>
      </c>
      <c r="E8133" s="2">
        <v>0</v>
      </c>
      <c r="F8133" s="2">
        <v>6.5247609951678894E-5</v>
      </c>
    </row>
    <row r="8134" spans="1:6" x14ac:dyDescent="0.25">
      <c r="A8134" s="1" t="str">
        <f t="shared" si="289"/>
        <v>18140</v>
      </c>
      <c r="B8134" s="1" t="str">
        <f>"43350"</f>
        <v>43350</v>
      </c>
      <c r="C8134" s="2">
        <v>3.1707714064062201E-6</v>
      </c>
      <c r="D8134" s="2">
        <v>1.31511461223845E-5</v>
      </c>
      <c r="E8134" s="2">
        <v>0</v>
      </c>
      <c r="F8134" s="2">
        <v>3.7824701421263101E-6</v>
      </c>
    </row>
    <row r="8135" spans="1:6" x14ac:dyDescent="0.25">
      <c r="A8135" s="1" t="str">
        <f t="shared" si="289"/>
        <v>18140</v>
      </c>
      <c r="B8135" s="1" t="str">
        <f>"43123"</f>
        <v>43123</v>
      </c>
      <c r="C8135" s="2">
        <v>3.00060667426242E-2</v>
      </c>
      <c r="D8135" s="2">
        <v>2.5158142532121602E-2</v>
      </c>
      <c r="E8135" s="2">
        <v>1.17184182965835E-2</v>
      </c>
      <c r="F8135" s="2">
        <v>2.9046533838923499E-2</v>
      </c>
    </row>
    <row r="8136" spans="1:6" x14ac:dyDescent="0.25">
      <c r="A8136" s="1" t="str">
        <f t="shared" si="289"/>
        <v>18140</v>
      </c>
      <c r="B8136" s="1" t="str">
        <f>"43203"</f>
        <v>43203</v>
      </c>
      <c r="C8136" s="2">
        <v>5.9990995009205801E-3</v>
      </c>
      <c r="D8136" s="2">
        <v>5.6155393942582E-3</v>
      </c>
      <c r="E8136" s="2">
        <v>7.7839735061847196E-3</v>
      </c>
      <c r="F8136" s="2">
        <v>6.0311486416204096E-3</v>
      </c>
    </row>
    <row r="8137" spans="1:6" x14ac:dyDescent="0.25">
      <c r="A8137" s="1" t="str">
        <f t="shared" si="289"/>
        <v>18140</v>
      </c>
      <c r="B8137" s="1" t="str">
        <f>"43204"</f>
        <v>43204</v>
      </c>
      <c r="C8137" s="2">
        <v>2.0185130773182E-2</v>
      </c>
      <c r="D8137" s="2">
        <v>1.52158760635989E-2</v>
      </c>
      <c r="E8137" s="2">
        <v>2.2672591921650699E-2</v>
      </c>
      <c r="F8137" s="2">
        <v>1.9910922828152901E-2</v>
      </c>
    </row>
    <row r="8138" spans="1:6" x14ac:dyDescent="0.25">
      <c r="A8138" s="1" t="str">
        <f t="shared" si="289"/>
        <v>18140</v>
      </c>
      <c r="B8138" s="1" t="str">
        <f>"43215"</f>
        <v>43215</v>
      </c>
      <c r="C8138" s="2">
        <v>1.52936874168993E-2</v>
      </c>
      <c r="D8138" s="2">
        <v>6.3309617433159202E-2</v>
      </c>
      <c r="E8138" s="2">
        <v>4.2061762291601801E-2</v>
      </c>
      <c r="F8138" s="2">
        <v>1.9640476212990799E-2</v>
      </c>
    </row>
    <row r="8139" spans="1:6" x14ac:dyDescent="0.25">
      <c r="A8139" s="1" t="str">
        <f t="shared" si="289"/>
        <v>18140</v>
      </c>
      <c r="B8139" s="1" t="str">
        <f>"43103"</f>
        <v>43103</v>
      </c>
      <c r="C8139" s="2">
        <v>5.4738083712592804E-3</v>
      </c>
      <c r="D8139" s="2">
        <v>2.5381712016202202E-3</v>
      </c>
      <c r="E8139" s="2">
        <v>2.7173143876135699E-3</v>
      </c>
      <c r="F8139" s="2">
        <v>5.17063668428667E-3</v>
      </c>
    </row>
    <row r="8140" spans="1:6" x14ac:dyDescent="0.25">
      <c r="A8140" s="1" t="str">
        <f t="shared" si="289"/>
        <v>18140</v>
      </c>
      <c r="B8140" s="1" t="str">
        <f>"43220"</f>
        <v>43220</v>
      </c>
      <c r="C8140" s="2">
        <v>1.4713436249527E-2</v>
      </c>
      <c r="D8140" s="2">
        <v>1.92795802154157E-2</v>
      </c>
      <c r="E8140" s="2">
        <v>3.2862520875201598E-2</v>
      </c>
      <c r="F8140" s="2">
        <v>1.5648078977976501E-2</v>
      </c>
    </row>
    <row r="8141" spans="1:6" x14ac:dyDescent="0.25">
      <c r="A8141" s="1" t="str">
        <f t="shared" si="289"/>
        <v>18140</v>
      </c>
      <c r="B8141" s="1" t="str">
        <f>"43216"</f>
        <v>43216</v>
      </c>
      <c r="C8141" s="2">
        <v>1.8686412821753999E-3</v>
      </c>
      <c r="D8141" s="2">
        <v>7.9038388195531196E-3</v>
      </c>
      <c r="E8141" s="2">
        <v>1.6983214922584801E-4</v>
      </c>
      <c r="F8141" s="2">
        <v>2.2458416468874899E-3</v>
      </c>
    </row>
    <row r="8142" spans="1:6" x14ac:dyDescent="0.25">
      <c r="A8142" s="1" t="str">
        <f t="shared" si="289"/>
        <v>18140</v>
      </c>
      <c r="B8142" s="1" t="str">
        <f>"43016"</f>
        <v>43016</v>
      </c>
      <c r="C8142" s="2">
        <v>2.24057276814685E-2</v>
      </c>
      <c r="D8142" s="2">
        <v>1.7569931219505699E-2</v>
      </c>
      <c r="E8142" s="2">
        <v>1.91344221461122E-2</v>
      </c>
      <c r="F8142" s="2">
        <v>2.1948728617223402E-2</v>
      </c>
    </row>
    <row r="8143" spans="1:6" x14ac:dyDescent="0.25">
      <c r="A8143" s="1" t="str">
        <f t="shared" si="289"/>
        <v>18140</v>
      </c>
      <c r="B8143" s="1" t="str">
        <f>"43054"</f>
        <v>43054</v>
      </c>
      <c r="C8143" s="2">
        <v>1.2668288692395E-2</v>
      </c>
      <c r="D8143" s="2">
        <v>1.35062270676889E-2</v>
      </c>
      <c r="E8143" s="2">
        <v>6.9914234764640896E-3</v>
      </c>
      <c r="F8143" s="2">
        <v>1.25388885211487E-2</v>
      </c>
    </row>
    <row r="8144" spans="1:6" x14ac:dyDescent="0.25">
      <c r="A8144" s="1" t="str">
        <f t="shared" si="289"/>
        <v>18140</v>
      </c>
      <c r="B8144" s="1" t="str">
        <f>"43021"</f>
        <v>43021</v>
      </c>
      <c r="C8144" s="2">
        <v>5.3385221245859501E-3</v>
      </c>
      <c r="D8144" s="2">
        <v>9.6003366693407297E-4</v>
      </c>
      <c r="E8144" s="2">
        <v>2.26442865634464E-4</v>
      </c>
      <c r="F8144" s="2">
        <v>4.8529091923480601E-3</v>
      </c>
    </row>
    <row r="8145" spans="1:6" x14ac:dyDescent="0.25">
      <c r="A8145" s="1" t="str">
        <f t="shared" si="289"/>
        <v>18140</v>
      </c>
      <c r="B8145" s="1" t="str">
        <f>"43721"</f>
        <v>43721</v>
      </c>
      <c r="C8145" s="2">
        <v>0</v>
      </c>
      <c r="D8145" s="2">
        <v>1.31511461223845E-5</v>
      </c>
      <c r="E8145" s="2">
        <v>0</v>
      </c>
      <c r="F8145" s="2">
        <v>9.4561753553157805E-7</v>
      </c>
    </row>
    <row r="8146" spans="1:6" x14ac:dyDescent="0.25">
      <c r="A8146" s="1" t="str">
        <f t="shared" ref="A8146:A8177" si="290">"18140"</f>
        <v>18140</v>
      </c>
      <c r="B8146" s="1" t="str">
        <f>"43111"</f>
        <v>43111</v>
      </c>
      <c r="C8146" s="2">
        <v>1.0569238021354001E-6</v>
      </c>
      <c r="D8146" s="2">
        <v>1.31511461223845E-5</v>
      </c>
      <c r="E8146" s="2">
        <v>0</v>
      </c>
      <c r="F8146" s="2">
        <v>1.89123507106315E-6</v>
      </c>
    </row>
    <row r="8147" spans="1:6" x14ac:dyDescent="0.25">
      <c r="A8147" s="1" t="str">
        <f t="shared" si="290"/>
        <v>18140</v>
      </c>
      <c r="B8147" s="1" t="str">
        <f>"43069"</f>
        <v>43069</v>
      </c>
      <c r="C8147" s="2">
        <v>0</v>
      </c>
      <c r="D8147" s="2">
        <v>1.31511461223845E-5</v>
      </c>
      <c r="E8147" s="2">
        <v>0</v>
      </c>
      <c r="F8147" s="2">
        <v>9.4561753553157805E-7</v>
      </c>
    </row>
    <row r="8148" spans="1:6" x14ac:dyDescent="0.25">
      <c r="A8148" s="1" t="str">
        <f t="shared" si="290"/>
        <v>18140</v>
      </c>
      <c r="B8148" s="1" t="str">
        <f>"43251"</f>
        <v>43251</v>
      </c>
      <c r="C8148" s="2">
        <v>0</v>
      </c>
      <c r="D8148" s="2">
        <v>1.31511461223845E-5</v>
      </c>
      <c r="E8148" s="2">
        <v>0</v>
      </c>
      <c r="F8148" s="2">
        <v>9.4561753553157805E-7</v>
      </c>
    </row>
    <row r="8149" spans="1:6" x14ac:dyDescent="0.25">
      <c r="A8149" s="1" t="str">
        <f t="shared" si="290"/>
        <v>18140</v>
      </c>
      <c r="B8149" s="1" t="str">
        <f>"43117"</f>
        <v>43117</v>
      </c>
      <c r="C8149" s="2">
        <v>0</v>
      </c>
      <c r="D8149" s="2">
        <v>1.31511461223845E-5</v>
      </c>
      <c r="E8149" s="2">
        <v>0</v>
      </c>
      <c r="F8149" s="2">
        <v>9.4561753553157805E-7</v>
      </c>
    </row>
    <row r="8150" spans="1:6" x14ac:dyDescent="0.25">
      <c r="A8150" s="1" t="str">
        <f t="shared" si="290"/>
        <v>18140</v>
      </c>
      <c r="B8150" s="1" t="str">
        <f>"43349"</f>
        <v>43349</v>
      </c>
      <c r="C8150" s="2">
        <v>0</v>
      </c>
      <c r="D8150" s="2">
        <v>2.6302292244769102E-5</v>
      </c>
      <c r="E8150" s="2">
        <v>0</v>
      </c>
      <c r="F8150" s="2">
        <v>1.89123507106315E-6</v>
      </c>
    </row>
    <row r="8151" spans="1:6" x14ac:dyDescent="0.25">
      <c r="A8151" s="1" t="str">
        <f t="shared" si="290"/>
        <v>18140</v>
      </c>
      <c r="B8151" s="1" t="str">
        <f>"43036"</f>
        <v>43036</v>
      </c>
      <c r="C8151" s="2">
        <v>5.2846190106770397E-6</v>
      </c>
      <c r="D8151" s="2">
        <v>1.31511461223845E-5</v>
      </c>
      <c r="E8151" s="2">
        <v>0</v>
      </c>
      <c r="F8151" s="2">
        <v>5.67370521318947E-6</v>
      </c>
    </row>
    <row r="8152" spans="1:6" x14ac:dyDescent="0.25">
      <c r="A8152" s="1" t="str">
        <f t="shared" si="290"/>
        <v>18140</v>
      </c>
      <c r="B8152" s="1" t="str">
        <f>"43356"</f>
        <v>43356</v>
      </c>
      <c r="C8152" s="2">
        <v>8.2440056566561795E-5</v>
      </c>
      <c r="D8152" s="2">
        <v>2.6302292244769102E-5</v>
      </c>
      <c r="E8152" s="2">
        <v>0</v>
      </c>
      <c r="F8152" s="2">
        <v>7.5649402842526298E-5</v>
      </c>
    </row>
    <row r="8153" spans="1:6" x14ac:dyDescent="0.25">
      <c r="A8153" s="1" t="str">
        <f t="shared" si="290"/>
        <v>18140</v>
      </c>
      <c r="B8153" s="1" t="str">
        <f>"43127"</f>
        <v>43127</v>
      </c>
      <c r="C8153" s="2">
        <v>9.30092945879159E-5</v>
      </c>
      <c r="D8153" s="2">
        <v>1.31511461223845E-5</v>
      </c>
      <c r="E8153" s="2">
        <v>0</v>
      </c>
      <c r="F8153" s="2">
        <v>8.4159960662310502E-5</v>
      </c>
    </row>
    <row r="8154" spans="1:6" x14ac:dyDescent="0.25">
      <c r="A8154" s="1" t="str">
        <f t="shared" si="290"/>
        <v>18140</v>
      </c>
      <c r="B8154" s="1" t="str">
        <f>"43058"</f>
        <v>43058</v>
      </c>
      <c r="C8154" s="2">
        <v>1.3877409522037899E-3</v>
      </c>
      <c r="D8154" s="2">
        <v>4.7081103118136701E-3</v>
      </c>
      <c r="E8154" s="2">
        <v>2.8305358204307999E-5</v>
      </c>
      <c r="F8154" s="2">
        <v>1.5810725194087901E-3</v>
      </c>
    </row>
    <row r="8155" spans="1:6" x14ac:dyDescent="0.25">
      <c r="A8155" s="1" t="str">
        <f t="shared" si="290"/>
        <v>18140</v>
      </c>
      <c r="B8155" s="1" t="str">
        <f>"43045"</f>
        <v>43045</v>
      </c>
      <c r="C8155" s="2">
        <v>7.8000976597593103E-4</v>
      </c>
      <c r="D8155" s="2">
        <v>3.02476360814845E-4</v>
      </c>
      <c r="E8155" s="2">
        <v>0</v>
      </c>
      <c r="F8155" s="2">
        <v>7.1961494453953105E-4</v>
      </c>
    </row>
    <row r="8156" spans="1:6" x14ac:dyDescent="0.25">
      <c r="A8156" s="1" t="str">
        <f t="shared" si="290"/>
        <v>18140</v>
      </c>
      <c r="B8156" s="1" t="str">
        <f>"43338"</f>
        <v>43338</v>
      </c>
      <c r="C8156" s="2">
        <v>4.9939649650897998E-3</v>
      </c>
      <c r="D8156" s="2">
        <v>4.5239942661002902E-3</v>
      </c>
      <c r="E8156" s="2">
        <v>4.5571626708936002E-3</v>
      </c>
      <c r="F8156" s="2">
        <v>4.9455797108301502E-3</v>
      </c>
    </row>
    <row r="8157" spans="1:6" x14ac:dyDescent="0.25">
      <c r="A8157" s="1" t="str">
        <f t="shared" si="290"/>
        <v>18140</v>
      </c>
      <c r="B8157" s="1" t="str">
        <f>"43230"</f>
        <v>43230</v>
      </c>
      <c r="C8157" s="2">
        <v>2.76438420448516E-2</v>
      </c>
      <c r="D8157" s="2">
        <v>2.70782098659898E-2</v>
      </c>
      <c r="E8157" s="2">
        <v>2.15686829516827E-2</v>
      </c>
      <c r="F8157" s="2">
        <v>2.7400213709562998E-2</v>
      </c>
    </row>
    <row r="8158" spans="1:6" x14ac:dyDescent="0.25">
      <c r="A8158" s="1" t="str">
        <f t="shared" si="290"/>
        <v>18140</v>
      </c>
      <c r="B8158" s="1" t="str">
        <f>"43783"</f>
        <v>43783</v>
      </c>
      <c r="C8158" s="2">
        <v>2.00075675744232E-3</v>
      </c>
      <c r="D8158" s="2">
        <v>3.2877865305961398E-4</v>
      </c>
      <c r="E8158" s="2">
        <v>2.8305358204307998E-4</v>
      </c>
      <c r="F8158" s="2">
        <v>1.8231506085048799E-3</v>
      </c>
    </row>
    <row r="8159" spans="1:6" x14ac:dyDescent="0.25">
      <c r="A8159" s="1" t="str">
        <f t="shared" si="290"/>
        <v>18140</v>
      </c>
      <c r="B8159" s="1" t="str">
        <f>"43240"</f>
        <v>43240</v>
      </c>
      <c r="C8159" s="2">
        <v>3.6749240600248102E-3</v>
      </c>
      <c r="D8159" s="2">
        <v>1.05866726285195E-2</v>
      </c>
      <c r="E8159" s="2">
        <v>4.1891930142375902E-3</v>
      </c>
      <c r="F8159" s="2">
        <v>4.1890856824048899E-3</v>
      </c>
    </row>
    <row r="8160" spans="1:6" x14ac:dyDescent="0.25">
      <c r="A8160" s="1" t="str">
        <f t="shared" si="290"/>
        <v>18140</v>
      </c>
      <c r="B8160" s="1" t="str">
        <f>"43739"</f>
        <v>43739</v>
      </c>
      <c r="C8160" s="2">
        <v>8.56108279729681E-4</v>
      </c>
      <c r="D8160" s="2">
        <v>2.10418337958153E-4</v>
      </c>
      <c r="E8160" s="2">
        <v>0</v>
      </c>
      <c r="F8160" s="2">
        <v>7.81080084349084E-4</v>
      </c>
    </row>
    <row r="8161" spans="1:6" x14ac:dyDescent="0.25">
      <c r="A8161" s="1" t="str">
        <f t="shared" si="290"/>
        <v>18140</v>
      </c>
      <c r="B8161" s="1" t="str">
        <f>"43201"</f>
        <v>43201</v>
      </c>
      <c r="C8161" s="2">
        <v>2.1325551555686099E-2</v>
      </c>
      <c r="D8161" s="2">
        <v>1.50580623101303E-2</v>
      </c>
      <c r="E8161" s="2">
        <v>6.3743666676101707E-2</v>
      </c>
      <c r="F8161" s="2">
        <v>2.2291987782621401E-2</v>
      </c>
    </row>
    <row r="8162" spans="1:6" x14ac:dyDescent="0.25">
      <c r="A8162" s="1" t="str">
        <f t="shared" si="290"/>
        <v>18140</v>
      </c>
      <c r="B8162" s="1" t="str">
        <f>"43119"</f>
        <v>43119</v>
      </c>
      <c r="C8162" s="2">
        <v>1.22645437999792E-2</v>
      </c>
      <c r="D8162" s="2">
        <v>4.0110995673272899E-3</v>
      </c>
      <c r="E8162" s="2">
        <v>1.1605196863766301E-3</v>
      </c>
      <c r="F8162" s="2">
        <v>1.13001295496023E-2</v>
      </c>
    </row>
    <row r="8163" spans="1:6" x14ac:dyDescent="0.25">
      <c r="A8163" s="1" t="str">
        <f t="shared" si="290"/>
        <v>18140</v>
      </c>
      <c r="B8163" s="1" t="str">
        <f>"43143"</f>
        <v>43143</v>
      </c>
      <c r="C8163" s="2">
        <v>2.42669704970289E-3</v>
      </c>
      <c r="D8163" s="2">
        <v>1.8806138955009899E-3</v>
      </c>
      <c r="E8163" s="2">
        <v>1.50018398482832E-3</v>
      </c>
      <c r="F8163" s="2">
        <v>2.35647889854469E-3</v>
      </c>
    </row>
    <row r="8164" spans="1:6" x14ac:dyDescent="0.25">
      <c r="A8164" s="1" t="str">
        <f t="shared" si="290"/>
        <v>18140</v>
      </c>
      <c r="B8164" s="1" t="str">
        <f>"43214"</f>
        <v>43214</v>
      </c>
      <c r="C8164" s="2">
        <v>1.56900338427001E-2</v>
      </c>
      <c r="D8164" s="2">
        <v>2.1949262878259799E-2</v>
      </c>
      <c r="E8164" s="2">
        <v>1.5766084519799502E-2</v>
      </c>
      <c r="F8164" s="2">
        <v>1.61426369490595E-2</v>
      </c>
    </row>
    <row r="8165" spans="1:6" x14ac:dyDescent="0.25">
      <c r="A8165" s="1" t="str">
        <f t="shared" si="290"/>
        <v>18140</v>
      </c>
      <c r="B8165" s="1" t="str">
        <f>"43030"</f>
        <v>43030</v>
      </c>
      <c r="C8165" s="2">
        <v>3.9106180679010098E-5</v>
      </c>
      <c r="D8165" s="2">
        <v>1.31511461223845E-5</v>
      </c>
      <c r="E8165" s="2">
        <v>0</v>
      </c>
      <c r="F8165" s="2">
        <v>3.5933466350199902E-5</v>
      </c>
    </row>
    <row r="8166" spans="1:6" x14ac:dyDescent="0.25">
      <c r="A8166" s="1" t="str">
        <f t="shared" si="290"/>
        <v>18140</v>
      </c>
      <c r="B8166" s="1" t="str">
        <f>"43066"</f>
        <v>43066</v>
      </c>
      <c r="C8166" s="2">
        <v>5.3691729148478697E-4</v>
      </c>
      <c r="D8166" s="2">
        <v>3.1562750693722898E-4</v>
      </c>
      <c r="E8166" s="2">
        <v>5.6610716408616101E-5</v>
      </c>
      <c r="F8166" s="2">
        <v>5.0495976397386304E-4</v>
      </c>
    </row>
    <row r="8167" spans="1:6" x14ac:dyDescent="0.25">
      <c r="A8167" s="1" t="str">
        <f t="shared" si="290"/>
        <v>18140</v>
      </c>
      <c r="B8167" s="1" t="str">
        <f>"43080"</f>
        <v>43080</v>
      </c>
      <c r="C8167" s="2">
        <v>1.5483933701283699E-3</v>
      </c>
      <c r="D8167" s="2">
        <v>7.6276647509830402E-4</v>
      </c>
      <c r="E8167" s="2">
        <v>4.5288573126892902E-4</v>
      </c>
      <c r="F8167" s="2">
        <v>1.4553053871830899E-3</v>
      </c>
    </row>
    <row r="8168" spans="1:6" x14ac:dyDescent="0.25">
      <c r="A8168" s="1" t="str">
        <f t="shared" si="290"/>
        <v>18140</v>
      </c>
      <c r="B8168" s="1" t="str">
        <f>"45369"</f>
        <v>45369</v>
      </c>
      <c r="C8168" s="2">
        <v>7.3984666149478601E-6</v>
      </c>
      <c r="D8168" s="2">
        <v>0</v>
      </c>
      <c r="E8168" s="2">
        <v>0</v>
      </c>
      <c r="F8168" s="2">
        <v>6.6193227487210497E-6</v>
      </c>
    </row>
    <row r="8169" spans="1:6" x14ac:dyDescent="0.25">
      <c r="A8169" s="1" t="str">
        <f t="shared" si="290"/>
        <v>18140</v>
      </c>
      <c r="B8169" s="1" t="str">
        <f>"43320"</f>
        <v>43320</v>
      </c>
      <c r="C8169" s="2">
        <v>5.7919424357020404E-4</v>
      </c>
      <c r="D8169" s="2">
        <v>3.68232091426767E-4</v>
      </c>
      <c r="E8169" s="2">
        <v>1.13221432817232E-4</v>
      </c>
      <c r="F8169" s="2">
        <v>5.4845817060831495E-4</v>
      </c>
    </row>
    <row r="8170" spans="1:6" x14ac:dyDescent="0.25">
      <c r="A8170" s="1" t="str">
        <f t="shared" si="290"/>
        <v>18140</v>
      </c>
      <c r="B8170" s="1" t="str">
        <f>"43217"</f>
        <v>43217</v>
      </c>
      <c r="C8170" s="2">
        <v>9.5757296473468001E-4</v>
      </c>
      <c r="D8170" s="2">
        <v>1.5386840963189899E-3</v>
      </c>
      <c r="E8170" s="2">
        <v>1.33035183560247E-3</v>
      </c>
      <c r="F8170" s="2">
        <v>1.01181076301878E-3</v>
      </c>
    </row>
    <row r="8171" spans="1:6" x14ac:dyDescent="0.25">
      <c r="A8171" s="1" t="str">
        <f t="shared" si="290"/>
        <v>18140</v>
      </c>
      <c r="B8171" s="1" t="str">
        <f>"43001"</f>
        <v>43001</v>
      </c>
      <c r="C8171" s="2">
        <v>9.8610990739233595E-4</v>
      </c>
      <c r="D8171" s="2">
        <v>2.63022922447691E-4</v>
      </c>
      <c r="E8171" s="2">
        <v>3.9627501486031298E-4</v>
      </c>
      <c r="F8171" s="2">
        <v>9.1441215685903604E-4</v>
      </c>
    </row>
    <row r="8172" spans="1:6" x14ac:dyDescent="0.25">
      <c r="A8172" s="1" t="str">
        <f t="shared" si="290"/>
        <v>18140</v>
      </c>
      <c r="B8172" s="1" t="str">
        <f>"43228"</f>
        <v>43228</v>
      </c>
      <c r="C8172" s="2">
        <v>2.6301548816139601E-2</v>
      </c>
      <c r="D8172" s="2">
        <v>2.75384999802732E-2</v>
      </c>
      <c r="E8172" s="2">
        <v>2.7399586741770201E-2</v>
      </c>
      <c r="F8172" s="2">
        <v>2.6427173265501001E-2</v>
      </c>
    </row>
    <row r="8173" spans="1:6" x14ac:dyDescent="0.25">
      <c r="A8173" s="1" t="str">
        <f t="shared" si="290"/>
        <v>18140</v>
      </c>
      <c r="B8173" s="1" t="str">
        <f>"43731"</f>
        <v>43731</v>
      </c>
      <c r="C8173" s="2">
        <v>2.1423845469284702E-3</v>
      </c>
      <c r="D8173" s="2">
        <v>1.4203237812175299E-3</v>
      </c>
      <c r="E8173" s="2">
        <v>7.3593931331200895E-4</v>
      </c>
      <c r="F8173" s="2">
        <v>2.0434794942837402E-3</v>
      </c>
    </row>
    <row r="8174" spans="1:6" x14ac:dyDescent="0.25">
      <c r="A8174" s="1" t="str">
        <f t="shared" si="290"/>
        <v>18140</v>
      </c>
      <c r="B8174" s="1" t="str">
        <f>"43760"</f>
        <v>43760</v>
      </c>
      <c r="C8174" s="2">
        <v>5.9504810060223502E-4</v>
      </c>
      <c r="D8174" s="2">
        <v>1.9726719183576799E-4</v>
      </c>
      <c r="E8174" s="2">
        <v>5.6610716408616101E-5</v>
      </c>
      <c r="F8174" s="2">
        <v>5.4845817060831495E-4</v>
      </c>
    </row>
    <row r="8175" spans="1:6" x14ac:dyDescent="0.25">
      <c r="A8175" s="1" t="str">
        <f t="shared" si="290"/>
        <v>18140</v>
      </c>
      <c r="B8175" s="1" t="str">
        <f>"43748"</f>
        <v>43748</v>
      </c>
      <c r="C8175" s="2">
        <v>9.3009294587915905E-4</v>
      </c>
      <c r="D8175" s="2">
        <v>2.10418337958153E-4</v>
      </c>
      <c r="E8175" s="2">
        <v>1.13221432817232E-4</v>
      </c>
      <c r="F8175" s="2">
        <v>8.5105578197842101E-4</v>
      </c>
    </row>
    <row r="8176" spans="1:6" x14ac:dyDescent="0.25">
      <c r="A8176" s="1" t="str">
        <f t="shared" si="290"/>
        <v>18140</v>
      </c>
      <c r="B8176" s="1" t="str">
        <f>"43202"</f>
        <v>43202</v>
      </c>
      <c r="C8176" s="2">
        <v>1.1849172745740001E-2</v>
      </c>
      <c r="D8176" s="2">
        <v>7.9038388195531196E-3</v>
      </c>
      <c r="E8176" s="2">
        <v>3.2268108352911197E-2</v>
      </c>
      <c r="F8176" s="2">
        <v>1.2247638320205E-2</v>
      </c>
    </row>
    <row r="8177" spans="1:6" x14ac:dyDescent="0.25">
      <c r="A8177" s="1" t="str">
        <f t="shared" si="290"/>
        <v>18140</v>
      </c>
      <c r="B8177" s="1" t="str">
        <f>"43207"</f>
        <v>43207</v>
      </c>
      <c r="C8177" s="2">
        <v>2.26012585848635E-2</v>
      </c>
      <c r="D8177" s="2">
        <v>2.1318007864385299E-2</v>
      </c>
      <c r="E8177" s="2">
        <v>1.73511845792408E-2</v>
      </c>
      <c r="F8177" s="2">
        <v>2.2333594954184799E-2</v>
      </c>
    </row>
    <row r="8178" spans="1:6" x14ac:dyDescent="0.25">
      <c r="A8178" s="1" t="str">
        <f t="shared" ref="A8178:A8196" si="291">"18140"</f>
        <v>18140</v>
      </c>
      <c r="B8178" s="1" t="str">
        <f>"43211"</f>
        <v>43211</v>
      </c>
      <c r="C8178" s="2">
        <v>1.09518444377271E-2</v>
      </c>
      <c r="D8178" s="2">
        <v>7.5093044358815796E-3</v>
      </c>
      <c r="E8178" s="2">
        <v>3.79291799937728E-3</v>
      </c>
      <c r="F8178" s="2">
        <v>1.04651492657279E-2</v>
      </c>
    </row>
    <row r="8179" spans="1:6" x14ac:dyDescent="0.25">
      <c r="A8179" s="1" t="str">
        <f t="shared" si="291"/>
        <v>18140</v>
      </c>
      <c r="B8179" s="1" t="str">
        <f>"43105"</f>
        <v>43105</v>
      </c>
      <c r="C8179" s="2">
        <v>3.62207786991804E-3</v>
      </c>
      <c r="D8179" s="2">
        <v>2.3935085942739902E-3</v>
      </c>
      <c r="E8179" s="2">
        <v>1.01899289535509E-3</v>
      </c>
      <c r="F8179" s="2">
        <v>3.4467759170126E-3</v>
      </c>
    </row>
    <row r="8180" spans="1:6" x14ac:dyDescent="0.25">
      <c r="A8180" s="1" t="str">
        <f t="shared" si="291"/>
        <v>18140</v>
      </c>
      <c r="B8180" s="1" t="str">
        <f>"43137"</f>
        <v>43137</v>
      </c>
      <c r="C8180" s="2">
        <v>1.7840873780045701E-3</v>
      </c>
      <c r="D8180" s="2">
        <v>1.6833467036652199E-3</v>
      </c>
      <c r="E8180" s="2">
        <v>1.01899289535509E-3</v>
      </c>
      <c r="F8180" s="2">
        <v>1.75128367580448E-3</v>
      </c>
    </row>
    <row r="8181" spans="1:6" x14ac:dyDescent="0.25">
      <c r="A8181" s="1" t="str">
        <f t="shared" si="291"/>
        <v>18140</v>
      </c>
      <c r="B8181" s="1" t="str">
        <f>"43150"</f>
        <v>43150</v>
      </c>
      <c r="C8181" s="2">
        <v>8.7407598436598302E-4</v>
      </c>
      <c r="D8181" s="2">
        <v>1.1836031510146099E-4</v>
      </c>
      <c r="E8181" s="2">
        <v>1.13221432817232E-4</v>
      </c>
      <c r="F8181" s="2">
        <v>7.9431872984652601E-4</v>
      </c>
    </row>
    <row r="8182" spans="1:6" x14ac:dyDescent="0.25">
      <c r="A8182" s="1" t="str">
        <f t="shared" si="291"/>
        <v>18140</v>
      </c>
      <c r="B8182" s="1" t="str">
        <f>"43152"</f>
        <v>43152</v>
      </c>
      <c r="C8182" s="2">
        <v>4.9781111080577701E-4</v>
      </c>
      <c r="D8182" s="2">
        <v>2.63022922447691E-4</v>
      </c>
      <c r="E8182" s="2">
        <v>5.6610716408616101E-5</v>
      </c>
      <c r="F8182" s="2">
        <v>4.66189445017068E-4</v>
      </c>
    </row>
    <row r="8183" spans="1:6" x14ac:dyDescent="0.25">
      <c r="A8183" s="1" t="str">
        <f t="shared" si="291"/>
        <v>18140</v>
      </c>
      <c r="B8183" s="1" t="str">
        <f>"43107"</f>
        <v>43107</v>
      </c>
      <c r="C8183" s="2">
        <v>1.67205345497821E-3</v>
      </c>
      <c r="D8183" s="2">
        <v>9.73184813056457E-4</v>
      </c>
      <c r="E8183" s="2">
        <v>4.5288573126892902E-4</v>
      </c>
      <c r="F8183" s="2">
        <v>1.5810725194087901E-3</v>
      </c>
    </row>
    <row r="8184" spans="1:6" x14ac:dyDescent="0.25">
      <c r="A8184" s="1" t="str">
        <f t="shared" si="291"/>
        <v>18140</v>
      </c>
      <c r="B8184" s="1" t="str">
        <f>"43035"</f>
        <v>43035</v>
      </c>
      <c r="C8184" s="2">
        <v>1.2695768711250501E-2</v>
      </c>
      <c r="D8184" s="2">
        <v>1.36377385289127E-2</v>
      </c>
      <c r="E8184" s="2">
        <v>5.1515751931840601E-3</v>
      </c>
      <c r="F8184" s="2">
        <v>1.2511465612618299E-2</v>
      </c>
    </row>
    <row r="8185" spans="1:6" x14ac:dyDescent="0.25">
      <c r="A8185" s="1" t="str">
        <f t="shared" si="291"/>
        <v>18140</v>
      </c>
      <c r="B8185" s="1" t="str">
        <f>"43029"</f>
        <v>43029</v>
      </c>
      <c r="C8185" s="2">
        <v>1.9975859860359201E-4</v>
      </c>
      <c r="D8185" s="2">
        <v>1.1836031510146099E-4</v>
      </c>
      <c r="E8185" s="2">
        <v>1.13221432817232E-4</v>
      </c>
      <c r="F8185" s="2">
        <v>1.91014742177378E-4</v>
      </c>
    </row>
    <row r="8186" spans="1:6" x14ac:dyDescent="0.25">
      <c r="A8186" s="1" t="str">
        <f t="shared" si="291"/>
        <v>18140</v>
      </c>
      <c r="B8186" s="1" t="str">
        <f>"43040"</f>
        <v>43040</v>
      </c>
      <c r="C8186" s="2">
        <v>1.4699696240099199E-2</v>
      </c>
      <c r="D8186" s="2">
        <v>1.224371703994E-2</v>
      </c>
      <c r="E8186" s="2">
        <v>8.2368592374536392E-3</v>
      </c>
      <c r="F8186" s="2">
        <v>1.4307193312592699E-2</v>
      </c>
    </row>
    <row r="8187" spans="1:6" x14ac:dyDescent="0.25">
      <c r="A8187" s="1" t="str">
        <f t="shared" si="291"/>
        <v>18140</v>
      </c>
      <c r="B8187" s="1" t="str">
        <f>"43065"</f>
        <v>43065</v>
      </c>
      <c r="C8187" s="2">
        <v>1.8596574298572501E-2</v>
      </c>
      <c r="D8187" s="2">
        <v>2.0594694827654199E-2</v>
      </c>
      <c r="E8187" s="2">
        <v>4.9817430439582202E-3</v>
      </c>
      <c r="F8187" s="2">
        <v>1.8285406284574101E-2</v>
      </c>
    </row>
    <row r="8188" spans="1:6" x14ac:dyDescent="0.25">
      <c r="A8188" s="1" t="str">
        <f t="shared" si="291"/>
        <v>18140</v>
      </c>
      <c r="B8188" s="1" t="str">
        <f>"43067"</f>
        <v>43067</v>
      </c>
      <c r="C8188" s="2">
        <v>6.6797584294957799E-4</v>
      </c>
      <c r="D8188" s="2">
        <v>1.7096489959099901E-4</v>
      </c>
      <c r="E8188" s="2">
        <v>5.6610716408616101E-5</v>
      </c>
      <c r="F8188" s="2">
        <v>6.1181454548893096E-4</v>
      </c>
    </row>
    <row r="8189" spans="1:6" x14ac:dyDescent="0.25">
      <c r="A8189" s="1" t="str">
        <f t="shared" si="291"/>
        <v>18140</v>
      </c>
      <c r="B8189" s="1" t="str">
        <f>"44903"</f>
        <v>44903</v>
      </c>
      <c r="C8189" s="2">
        <v>1.79677046363019E-4</v>
      </c>
      <c r="D8189" s="2">
        <v>3.9453438367153602E-5</v>
      </c>
      <c r="E8189" s="2">
        <v>2.8305358204307999E-5</v>
      </c>
      <c r="F8189" s="2">
        <v>1.6453745118249401E-4</v>
      </c>
    </row>
    <row r="8190" spans="1:6" x14ac:dyDescent="0.25">
      <c r="A8190" s="1" t="str">
        <f t="shared" si="291"/>
        <v>18140</v>
      </c>
      <c r="B8190" s="1" t="str">
        <f>"43155"</f>
        <v>43155</v>
      </c>
      <c r="C8190" s="2">
        <v>1.0294437832798801E-3</v>
      </c>
      <c r="D8190" s="2">
        <v>1.3151146122384499E-4</v>
      </c>
      <c r="E8190" s="2">
        <v>5.6610716408616101E-5</v>
      </c>
      <c r="F8190" s="2">
        <v>9.32378890034136E-4</v>
      </c>
    </row>
    <row r="8191" spans="1:6" x14ac:dyDescent="0.25">
      <c r="A8191" s="1" t="str">
        <f t="shared" si="291"/>
        <v>18140</v>
      </c>
      <c r="B8191" s="1" t="str">
        <f>"43164"</f>
        <v>43164</v>
      </c>
      <c r="C8191" s="2">
        <v>9.5862988853681499E-4</v>
      </c>
      <c r="D8191" s="2">
        <v>4.3398782203868998E-4</v>
      </c>
      <c r="E8191" s="2">
        <v>5.6610716408616101E-5</v>
      </c>
      <c r="F8191" s="2">
        <v>8.9077171847074703E-4</v>
      </c>
    </row>
    <row r="8192" spans="1:6" x14ac:dyDescent="0.25">
      <c r="A8192" s="1" t="str">
        <f t="shared" si="291"/>
        <v>18140</v>
      </c>
      <c r="B8192" s="1" t="str">
        <f>"43205"</f>
        <v>43205</v>
      </c>
      <c r="C8192" s="2">
        <v>8.2820549135330605E-3</v>
      </c>
      <c r="D8192" s="2">
        <v>8.6797564407738101E-3</v>
      </c>
      <c r="E8192" s="2">
        <v>1.6615245265928801E-2</v>
      </c>
      <c r="F8192" s="2">
        <v>8.5890440752333305E-3</v>
      </c>
    </row>
    <row r="8193" spans="1:6" x14ac:dyDescent="0.25">
      <c r="A8193" s="1" t="str">
        <f t="shared" si="291"/>
        <v>18140</v>
      </c>
      <c r="B8193" s="1" t="str">
        <f>"43113"</f>
        <v>43113</v>
      </c>
      <c r="C8193" s="2">
        <v>1.1778358850996901E-2</v>
      </c>
      <c r="D8193" s="2">
        <v>1.49528531411512E-2</v>
      </c>
      <c r="E8193" s="2">
        <v>7.9821110136148697E-3</v>
      </c>
      <c r="F8193" s="2">
        <v>1.18797930988832E-2</v>
      </c>
    </row>
    <row r="8194" spans="1:6" x14ac:dyDescent="0.25">
      <c r="A8194" s="1" t="str">
        <f t="shared" si="291"/>
        <v>18140</v>
      </c>
      <c r="B8194" s="1" t="str">
        <f>"43212"</f>
        <v>43212</v>
      </c>
      <c r="C8194" s="2">
        <v>1.46637608308266E-2</v>
      </c>
      <c r="D8194" s="2">
        <v>2.0068648982758799E-2</v>
      </c>
      <c r="E8194" s="2">
        <v>3.5325087038976397E-2</v>
      </c>
      <c r="F8194" s="2">
        <v>1.57426407315297E-2</v>
      </c>
    </row>
    <row r="8195" spans="1:6" x14ac:dyDescent="0.25">
      <c r="A8195" s="1" t="str">
        <f t="shared" si="291"/>
        <v>18140</v>
      </c>
      <c r="B8195" s="1" t="str">
        <f>"43213"</f>
        <v>43213</v>
      </c>
      <c r="C8195" s="2">
        <v>1.8473971137524799E-2</v>
      </c>
      <c r="D8195" s="2">
        <v>2.4224411157432301E-2</v>
      </c>
      <c r="E8195" s="2">
        <v>3.5721362053836699E-2</v>
      </c>
      <c r="F8195" s="2">
        <v>1.9463645733846398E-2</v>
      </c>
    </row>
    <row r="8196" spans="1:6" x14ac:dyDescent="0.25">
      <c r="A8196" s="1" t="str">
        <f t="shared" si="291"/>
        <v>18140</v>
      </c>
      <c r="B8196" s="1" t="str">
        <f>"43140"</f>
        <v>43140</v>
      </c>
      <c r="C8196" s="2">
        <v>8.9119814996057607E-3</v>
      </c>
      <c r="D8196" s="2">
        <v>8.2457686187351192E-3</v>
      </c>
      <c r="E8196" s="2">
        <v>8.6331342523139603E-3</v>
      </c>
      <c r="F8196" s="2">
        <v>8.8547626027177008E-3</v>
      </c>
    </row>
    <row r="8197" spans="1:6" x14ac:dyDescent="0.25">
      <c r="A8197" s="1" t="str">
        <f t="shared" ref="A8197:A8236" si="292">"18180"</f>
        <v>18180</v>
      </c>
      <c r="B8197" s="1" t="str">
        <f>"03280"</f>
        <v>03280</v>
      </c>
      <c r="C8197" s="2">
        <v>1.4760801216290001E-5</v>
      </c>
      <c r="D8197" s="2">
        <v>0</v>
      </c>
      <c r="E8197" s="2">
        <v>0</v>
      </c>
      <c r="F8197" s="2">
        <v>1.28216634826202E-5</v>
      </c>
    </row>
    <row r="8198" spans="1:6" x14ac:dyDescent="0.25">
      <c r="A8198" s="1" t="str">
        <f t="shared" si="292"/>
        <v>18180</v>
      </c>
      <c r="B8198" s="1" t="str">
        <f>"03304"</f>
        <v>03304</v>
      </c>
      <c r="C8198" s="2">
        <v>4.7396932705507197E-2</v>
      </c>
      <c r="D8198" s="2">
        <v>5.4169538249483097E-2</v>
      </c>
      <c r="E8198" s="2">
        <v>2.4072216649949799E-2</v>
      </c>
      <c r="F8198" s="2">
        <v>4.7132434962111898E-2</v>
      </c>
    </row>
    <row r="8199" spans="1:6" x14ac:dyDescent="0.25">
      <c r="A8199" s="1" t="str">
        <f t="shared" si="292"/>
        <v>18180</v>
      </c>
      <c r="B8199" s="1" t="str">
        <f>"03257"</f>
        <v>03257</v>
      </c>
      <c r="C8199" s="2">
        <v>4.4193838841572297E-2</v>
      </c>
      <c r="D8199" s="2">
        <v>9.0696071674707002E-2</v>
      </c>
      <c r="E8199" s="2">
        <v>1.00300902708124E-2</v>
      </c>
      <c r="F8199" s="2">
        <v>4.7209364943007703E-2</v>
      </c>
    </row>
    <row r="8200" spans="1:6" x14ac:dyDescent="0.25">
      <c r="A8200" s="1" t="str">
        <f t="shared" si="292"/>
        <v>18180</v>
      </c>
      <c r="B8200" s="1" t="str">
        <f>"03220"</f>
        <v>03220</v>
      </c>
      <c r="C8200" s="2">
        <v>5.0186724135385999E-4</v>
      </c>
      <c r="D8200" s="2">
        <v>0</v>
      </c>
      <c r="E8200" s="2">
        <v>0</v>
      </c>
      <c r="F8200" s="2">
        <v>4.3593655840908698E-4</v>
      </c>
    </row>
    <row r="8201" spans="1:6" x14ac:dyDescent="0.25">
      <c r="A8201" s="1" t="str">
        <f t="shared" si="292"/>
        <v>18180</v>
      </c>
      <c r="B8201" s="1" t="str">
        <f>"03229"</f>
        <v>03229</v>
      </c>
      <c r="C8201" s="2">
        <v>3.4333623629090503E-2</v>
      </c>
      <c r="D8201" s="2">
        <v>8.6836664369400393E-3</v>
      </c>
      <c r="E8201" s="2">
        <v>1.20361083249749E-2</v>
      </c>
      <c r="F8201" s="2">
        <v>3.1092533945353999E-2</v>
      </c>
    </row>
    <row r="8202" spans="1:6" x14ac:dyDescent="0.25">
      <c r="A8202" s="1" t="str">
        <f t="shared" si="292"/>
        <v>18180</v>
      </c>
      <c r="B8202" s="1" t="str">
        <f>"03216"</f>
        <v>03216</v>
      </c>
      <c r="C8202" s="2">
        <v>1.2900940263037401E-2</v>
      </c>
      <c r="D8202" s="2">
        <v>5.7891109579600204E-3</v>
      </c>
      <c r="E8202" s="2">
        <v>4.0120361083249697E-3</v>
      </c>
      <c r="F8202" s="2">
        <v>1.18985037118715E-2</v>
      </c>
    </row>
    <row r="8203" spans="1:6" x14ac:dyDescent="0.25">
      <c r="A8203" s="1" t="str">
        <f t="shared" si="292"/>
        <v>18180</v>
      </c>
      <c r="B8203" s="1" t="str">
        <f>"03104"</f>
        <v>03104</v>
      </c>
      <c r="C8203" s="2">
        <v>5.6091044621902003E-4</v>
      </c>
      <c r="D8203" s="2">
        <v>0</v>
      </c>
      <c r="E8203" s="2">
        <v>0</v>
      </c>
      <c r="F8203" s="2">
        <v>4.8722321233956797E-4</v>
      </c>
    </row>
    <row r="8204" spans="1:6" x14ac:dyDescent="0.25">
      <c r="A8204" s="1" t="str">
        <f t="shared" si="292"/>
        <v>18180</v>
      </c>
      <c r="B8204" s="1" t="str">
        <f>"03102"</f>
        <v>03102</v>
      </c>
      <c r="C8204" s="2">
        <v>5.1662804257014997E-4</v>
      </c>
      <c r="D8204" s="2">
        <v>1.3783597518952399E-4</v>
      </c>
      <c r="E8204" s="2">
        <v>0</v>
      </c>
      <c r="F8204" s="2">
        <v>4.6157988537432799E-4</v>
      </c>
    </row>
    <row r="8205" spans="1:6" x14ac:dyDescent="0.25">
      <c r="A8205" s="1" t="str">
        <f t="shared" si="292"/>
        <v>18180</v>
      </c>
      <c r="B8205" s="1" t="str">
        <f>"03275"</f>
        <v>03275</v>
      </c>
      <c r="C8205" s="2">
        <v>7.5073434986050999E-2</v>
      </c>
      <c r="D8205" s="2">
        <v>3.8731909028256302E-2</v>
      </c>
      <c r="E8205" s="2">
        <v>8.9602139752591098E-2</v>
      </c>
      <c r="F8205" s="2">
        <v>7.2250073724565003E-2</v>
      </c>
    </row>
    <row r="8206" spans="1:6" x14ac:dyDescent="0.25">
      <c r="A8206" s="1" t="str">
        <f t="shared" si="292"/>
        <v>18180</v>
      </c>
      <c r="B8206" s="1" t="str">
        <f>"03278"</f>
        <v>03278</v>
      </c>
      <c r="C8206" s="2">
        <v>1.9218563183609601E-2</v>
      </c>
      <c r="D8206" s="2">
        <v>5.2377670572019202E-3</v>
      </c>
      <c r="E8206" s="2">
        <v>1.17017719826145E-2</v>
      </c>
      <c r="F8206" s="2">
        <v>1.7629787288602799E-2</v>
      </c>
    </row>
    <row r="8207" spans="1:6" x14ac:dyDescent="0.25">
      <c r="A8207" s="1" t="str">
        <f t="shared" si="292"/>
        <v>18180</v>
      </c>
      <c r="B8207" s="1" t="str">
        <f>"03243"</f>
        <v>03243</v>
      </c>
      <c r="C8207" s="2">
        <v>6.7014037521956598E-3</v>
      </c>
      <c r="D8207" s="2">
        <v>1.3783597518952401E-3</v>
      </c>
      <c r="E8207" s="2">
        <v>2.3403543965228998E-3</v>
      </c>
      <c r="F8207" s="2">
        <v>6.0390035003141298E-3</v>
      </c>
    </row>
    <row r="8208" spans="1:6" x14ac:dyDescent="0.25">
      <c r="A8208" s="1" t="str">
        <f t="shared" si="292"/>
        <v>18180</v>
      </c>
      <c r="B8208" s="1" t="str">
        <f>"03224"</f>
        <v>03224</v>
      </c>
      <c r="C8208" s="2">
        <v>1.41703691676384E-2</v>
      </c>
      <c r="D8208" s="2">
        <v>2.20537560303239E-3</v>
      </c>
      <c r="E8208" s="2">
        <v>1.6716817118020699E-3</v>
      </c>
      <c r="F8208" s="2">
        <v>1.25780518764504E-2</v>
      </c>
    </row>
    <row r="8209" spans="1:6" x14ac:dyDescent="0.25">
      <c r="A8209" s="1" t="str">
        <f t="shared" si="292"/>
        <v>18180</v>
      </c>
      <c r="B8209" s="1" t="str">
        <f>"03281"</f>
        <v>03281</v>
      </c>
      <c r="C8209" s="2">
        <v>4.4282403648869999E-5</v>
      </c>
      <c r="D8209" s="2">
        <v>0</v>
      </c>
      <c r="E8209" s="2">
        <v>0</v>
      </c>
      <c r="F8209" s="2">
        <v>3.84649904478607E-5</v>
      </c>
    </row>
    <row r="8210" spans="1:6" x14ac:dyDescent="0.25">
      <c r="A8210" s="1" t="str">
        <f t="shared" si="292"/>
        <v>18180</v>
      </c>
      <c r="B8210" s="1" t="str">
        <f>"03307"</f>
        <v>03307</v>
      </c>
      <c r="C8210" s="2">
        <v>3.3507018760978301E-2</v>
      </c>
      <c r="D8210" s="2">
        <v>1.4334941419710499E-2</v>
      </c>
      <c r="E8210" s="2">
        <v>1.3039117352056101E-2</v>
      </c>
      <c r="F8210" s="2">
        <v>3.0938673983562599E-2</v>
      </c>
    </row>
    <row r="8211" spans="1:6" x14ac:dyDescent="0.25">
      <c r="A8211" s="1" t="str">
        <f t="shared" si="292"/>
        <v>18180</v>
      </c>
      <c r="B8211" s="1" t="str">
        <f>"03221"</f>
        <v>03221</v>
      </c>
      <c r="C8211" s="2">
        <v>2.2067397818353499E-2</v>
      </c>
      <c r="D8211" s="2">
        <v>3.1564438318401097E-2</v>
      </c>
      <c r="E8211" s="2">
        <v>4.6807087930457996E-3</v>
      </c>
      <c r="F8211" s="2">
        <v>2.22840511327939E-2</v>
      </c>
    </row>
    <row r="8212" spans="1:6" x14ac:dyDescent="0.25">
      <c r="A8212" s="1" t="str">
        <f t="shared" si="292"/>
        <v>18180</v>
      </c>
      <c r="B8212" s="1" t="str">
        <f>"03230"</f>
        <v>03230</v>
      </c>
      <c r="C8212" s="2">
        <v>8.0593974640943492E-3</v>
      </c>
      <c r="D8212" s="2">
        <v>1.79186767746381E-3</v>
      </c>
      <c r="E8212" s="2">
        <v>1.6716817118020699E-3</v>
      </c>
      <c r="F8212" s="2">
        <v>7.2314182041978096E-3</v>
      </c>
    </row>
    <row r="8213" spans="1:6" x14ac:dyDescent="0.25">
      <c r="A8213" s="1" t="str">
        <f t="shared" si="292"/>
        <v>18180</v>
      </c>
      <c r="B8213" s="1" t="str">
        <f>"03234"</f>
        <v>03234</v>
      </c>
      <c r="C8213" s="2">
        <v>2.8517867949872301E-2</v>
      </c>
      <c r="D8213" s="2">
        <v>1.50241212956581E-2</v>
      </c>
      <c r="E8213" s="2">
        <v>1.03644266131728E-2</v>
      </c>
      <c r="F8213" s="2">
        <v>2.65664867359891E-2</v>
      </c>
    </row>
    <row r="8214" spans="1:6" x14ac:dyDescent="0.25">
      <c r="A8214" s="1" t="str">
        <f t="shared" si="292"/>
        <v>18180</v>
      </c>
      <c r="B8214" s="1" t="str">
        <f>"03258"</f>
        <v>03258</v>
      </c>
      <c r="C8214" s="2">
        <v>1.5779296500214E-2</v>
      </c>
      <c r="D8214" s="2">
        <v>1.3094417643004799E-2</v>
      </c>
      <c r="E8214" s="2">
        <v>1.10330992978936E-2</v>
      </c>
      <c r="F8214" s="2">
        <v>1.53475311886964E-2</v>
      </c>
    </row>
    <row r="8215" spans="1:6" x14ac:dyDescent="0.25">
      <c r="A8215" s="1" t="str">
        <f t="shared" si="292"/>
        <v>18180</v>
      </c>
      <c r="B8215" s="1" t="str">
        <f>"03301"</f>
        <v>03301</v>
      </c>
      <c r="C8215" s="2">
        <v>0.20961813807253399</v>
      </c>
      <c r="D8215" s="2">
        <v>0.37450034458993697</v>
      </c>
      <c r="E8215" s="2">
        <v>0.40855901036442599</v>
      </c>
      <c r="F8215" s="2">
        <v>0.23258497557473101</v>
      </c>
    </row>
    <row r="8216" spans="1:6" x14ac:dyDescent="0.25">
      <c r="A8216" s="1" t="str">
        <f t="shared" si="292"/>
        <v>18180</v>
      </c>
      <c r="B8216" s="1" t="str">
        <f>"03106"</f>
        <v>03106</v>
      </c>
      <c r="C8216" s="2">
        <v>9.9192584173468906E-2</v>
      </c>
      <c r="D8216" s="2">
        <v>0.116195727084769</v>
      </c>
      <c r="E8216" s="2">
        <v>6.5529923102641205E-2</v>
      </c>
      <c r="F8216" s="2">
        <v>9.9483286961650402E-2</v>
      </c>
    </row>
    <row r="8217" spans="1:6" x14ac:dyDescent="0.25">
      <c r="A8217" s="1" t="str">
        <f t="shared" si="292"/>
        <v>18180</v>
      </c>
      <c r="B8217" s="1" t="str">
        <f>"03305"</f>
        <v>03305</v>
      </c>
      <c r="C8217" s="2">
        <v>0</v>
      </c>
      <c r="D8217" s="2">
        <v>0</v>
      </c>
      <c r="E8217" s="2">
        <v>1.33734536944165E-3</v>
      </c>
      <c r="F8217" s="2">
        <v>5.1286653930480901E-5</v>
      </c>
    </row>
    <row r="8218" spans="1:6" x14ac:dyDescent="0.25">
      <c r="A8218" s="1" t="str">
        <f t="shared" si="292"/>
        <v>18180</v>
      </c>
      <c r="B8218" s="1" t="str">
        <f>"03782"</f>
        <v>03782</v>
      </c>
      <c r="C8218" s="2">
        <v>1.4760801216290001E-5</v>
      </c>
      <c r="D8218" s="2">
        <v>0</v>
      </c>
      <c r="E8218" s="2">
        <v>0</v>
      </c>
      <c r="F8218" s="2">
        <v>1.28216634826202E-5</v>
      </c>
    </row>
    <row r="8219" spans="1:6" x14ac:dyDescent="0.25">
      <c r="A8219" s="1" t="str">
        <f t="shared" si="292"/>
        <v>18180</v>
      </c>
      <c r="B8219" s="1" t="str">
        <f>"03260"</f>
        <v>03260</v>
      </c>
      <c r="C8219" s="2">
        <v>4.3839579612381298E-3</v>
      </c>
      <c r="D8219" s="2">
        <v>0</v>
      </c>
      <c r="E8219" s="2">
        <v>3.3433634236041402E-4</v>
      </c>
      <c r="F8219" s="2">
        <v>3.8208557178208299E-3</v>
      </c>
    </row>
    <row r="8220" spans="1:6" x14ac:dyDescent="0.25">
      <c r="A8220" s="1" t="str">
        <f t="shared" si="292"/>
        <v>18180</v>
      </c>
      <c r="B8220" s="1" t="str">
        <f>"03263"</f>
        <v>03263</v>
      </c>
      <c r="C8220" s="2">
        <v>2.6997505424594399E-2</v>
      </c>
      <c r="D8220" s="2">
        <v>1.21295658166781E-2</v>
      </c>
      <c r="E8220" s="2">
        <v>5.6502841858909997E-2</v>
      </c>
      <c r="F8220" s="2">
        <v>2.67459900247458E-2</v>
      </c>
    </row>
    <row r="8221" spans="1:6" x14ac:dyDescent="0.25">
      <c r="A8221" s="1" t="str">
        <f t="shared" si="292"/>
        <v>18180</v>
      </c>
      <c r="B8221" s="1" t="str">
        <f>"03237"</f>
        <v>03237</v>
      </c>
      <c r="C8221" s="2">
        <v>2.9521602432580001E-5</v>
      </c>
      <c r="D8221" s="2">
        <v>0</v>
      </c>
      <c r="E8221" s="2">
        <v>0</v>
      </c>
      <c r="F8221" s="2">
        <v>2.56433269652404E-5</v>
      </c>
    </row>
    <row r="8222" spans="1:6" x14ac:dyDescent="0.25">
      <c r="A8222" s="1" t="str">
        <f t="shared" si="292"/>
        <v>18180</v>
      </c>
      <c r="B8222" s="1" t="str">
        <f>"03045"</f>
        <v>03045</v>
      </c>
      <c r="C8222" s="2">
        <v>4.4282403648869999E-5</v>
      </c>
      <c r="D8222" s="2">
        <v>0</v>
      </c>
      <c r="E8222" s="2">
        <v>0</v>
      </c>
      <c r="F8222" s="2">
        <v>3.84649904478607E-5</v>
      </c>
    </row>
    <row r="8223" spans="1:6" x14ac:dyDescent="0.25">
      <c r="A8223" s="1" t="str">
        <f t="shared" si="292"/>
        <v>18180</v>
      </c>
      <c r="B8223" s="1" t="str">
        <f>"03034"</f>
        <v>03034</v>
      </c>
      <c r="C8223" s="2">
        <v>1.4760801216290001E-5</v>
      </c>
      <c r="D8223" s="2">
        <v>0</v>
      </c>
      <c r="E8223" s="2">
        <v>0</v>
      </c>
      <c r="F8223" s="2">
        <v>1.28216634826202E-5</v>
      </c>
    </row>
    <row r="8224" spans="1:6" x14ac:dyDescent="0.25">
      <c r="A8224" s="1" t="str">
        <f t="shared" si="292"/>
        <v>18180</v>
      </c>
      <c r="B8224" s="1" t="str">
        <f>"03255"</f>
        <v>03255</v>
      </c>
      <c r="C8224" s="2">
        <v>2.3528717138766201E-2</v>
      </c>
      <c r="D8224" s="2">
        <v>1.1302549965541E-2</v>
      </c>
      <c r="E8224" s="2">
        <v>1.33734536944165E-3</v>
      </c>
      <c r="F8224" s="2">
        <v>2.1540394650801899E-2</v>
      </c>
    </row>
    <row r="8225" spans="1:6" x14ac:dyDescent="0.25">
      <c r="A8225" s="1" t="str">
        <f t="shared" si="292"/>
        <v>18180</v>
      </c>
      <c r="B8225" s="1" t="str">
        <f>"03242"</f>
        <v>03242</v>
      </c>
      <c r="C8225" s="2">
        <v>2.3056371499845001E-2</v>
      </c>
      <c r="D8225" s="2">
        <v>1.1716057891109501E-2</v>
      </c>
      <c r="E8225" s="2">
        <v>2.1063189568706099E-2</v>
      </c>
      <c r="F8225" s="2">
        <v>2.19250445552806E-2</v>
      </c>
    </row>
    <row r="8226" spans="1:6" x14ac:dyDescent="0.25">
      <c r="A8226" s="1" t="str">
        <f t="shared" si="292"/>
        <v>18180</v>
      </c>
      <c r="B8226" s="1" t="str">
        <f>"03302"</f>
        <v>03302</v>
      </c>
      <c r="C8226" s="2">
        <v>2.42077139947156E-2</v>
      </c>
      <c r="D8226" s="2">
        <v>0.10351481736733199</v>
      </c>
      <c r="E8226" s="2">
        <v>6.6867268472082901E-4</v>
      </c>
      <c r="F8226" s="2">
        <v>3.0682240713910201E-2</v>
      </c>
    </row>
    <row r="8227" spans="1:6" x14ac:dyDescent="0.25">
      <c r="A8227" s="1" t="str">
        <f t="shared" si="292"/>
        <v>18180</v>
      </c>
      <c r="B8227" s="1" t="str">
        <f>"03235"</f>
        <v>03235</v>
      </c>
      <c r="C8227" s="2">
        <v>6.1596823475578197E-2</v>
      </c>
      <c r="D8227" s="2">
        <v>3.9145416953824903E-2</v>
      </c>
      <c r="E8227" s="2">
        <v>0.11467736542962199</v>
      </c>
      <c r="F8227" s="2">
        <v>6.1543984716577099E-2</v>
      </c>
    </row>
    <row r="8228" spans="1:6" x14ac:dyDescent="0.25">
      <c r="A8228" s="1" t="str">
        <f t="shared" si="292"/>
        <v>18180</v>
      </c>
      <c r="B8228" s="1" t="str">
        <f>"03231"</f>
        <v>03231</v>
      </c>
      <c r="C8228" s="2">
        <v>0</v>
      </c>
      <c r="D8228" s="2">
        <v>0</v>
      </c>
      <c r="E8228" s="2">
        <v>3.3433634236041402E-4</v>
      </c>
      <c r="F8228" s="2">
        <v>1.28216634826202E-5</v>
      </c>
    </row>
    <row r="8229" spans="1:6" x14ac:dyDescent="0.25">
      <c r="A8229" s="1" t="str">
        <f t="shared" si="292"/>
        <v>18180</v>
      </c>
      <c r="B8229" s="1" t="str">
        <f>"03272"</f>
        <v>03272</v>
      </c>
      <c r="C8229" s="2">
        <v>3.9854163283983E-4</v>
      </c>
      <c r="D8229" s="2">
        <v>0</v>
      </c>
      <c r="E8229" s="2">
        <v>3.3433634236041402E-4</v>
      </c>
      <c r="F8229" s="2">
        <v>3.59006577513366E-4</v>
      </c>
    </row>
    <row r="8230" spans="1:6" x14ac:dyDescent="0.25">
      <c r="A8230" s="1" t="str">
        <f t="shared" si="292"/>
        <v>18180</v>
      </c>
      <c r="B8230" s="1" t="str">
        <f>"03287"</f>
        <v>03287</v>
      </c>
      <c r="C8230" s="2">
        <v>7.0261413789540397E-3</v>
      </c>
      <c r="D8230" s="2">
        <v>2.4810475534114401E-3</v>
      </c>
      <c r="E8230" s="2">
        <v>2.3403543965228998E-3</v>
      </c>
      <c r="F8230" s="2">
        <v>6.4236534047927302E-3</v>
      </c>
    </row>
    <row r="8231" spans="1:6" x14ac:dyDescent="0.25">
      <c r="A8231" s="1" t="str">
        <f t="shared" si="292"/>
        <v>18180</v>
      </c>
      <c r="B8231" s="1" t="str">
        <f>"03268"</f>
        <v>03268</v>
      </c>
      <c r="C8231" s="2">
        <v>6.2733405169232504E-3</v>
      </c>
      <c r="D8231" s="2">
        <v>8.2701585113714596E-4</v>
      </c>
      <c r="E8231" s="2">
        <v>3.3433634236041402E-4</v>
      </c>
      <c r="F8231" s="2">
        <v>5.53895862449194E-3</v>
      </c>
    </row>
    <row r="8232" spans="1:6" x14ac:dyDescent="0.25">
      <c r="A8232" s="1" t="str">
        <f t="shared" si="292"/>
        <v>18180</v>
      </c>
      <c r="B8232" s="1" t="str">
        <f>"03276"</f>
        <v>03276</v>
      </c>
      <c r="C8232" s="2">
        <v>2.9373994420417101E-2</v>
      </c>
      <c r="D8232" s="2">
        <v>1.0199862164024799E-2</v>
      </c>
      <c r="E8232" s="2">
        <v>2.94215981277164E-2</v>
      </c>
      <c r="F8232" s="2">
        <v>2.7592219814598699E-2</v>
      </c>
    </row>
    <row r="8233" spans="1:6" x14ac:dyDescent="0.25">
      <c r="A8233" s="1" t="str">
        <f t="shared" si="292"/>
        <v>18180</v>
      </c>
      <c r="B8233" s="1" t="str">
        <f>"03273"</f>
        <v>03273</v>
      </c>
      <c r="C8233" s="2">
        <v>1.1365816936543299E-3</v>
      </c>
      <c r="D8233" s="2">
        <v>0</v>
      </c>
      <c r="E8233" s="2">
        <v>3.3433634236041402E-4</v>
      </c>
      <c r="F8233" s="2">
        <v>1.00008975164437E-3</v>
      </c>
    </row>
    <row r="8234" spans="1:6" x14ac:dyDescent="0.25">
      <c r="A8234" s="1" t="str">
        <f t="shared" si="292"/>
        <v>18180</v>
      </c>
      <c r="B8234" s="1" t="str">
        <f>"03233"</f>
        <v>03233</v>
      </c>
      <c r="C8234" s="2">
        <v>8.8564807297740106E-5</v>
      </c>
      <c r="D8234" s="2">
        <v>0</v>
      </c>
      <c r="E8234" s="2">
        <v>3.3433634236041402E-4</v>
      </c>
      <c r="F8234" s="2">
        <v>8.9751644378341594E-5</v>
      </c>
    </row>
    <row r="8235" spans="1:6" x14ac:dyDescent="0.25">
      <c r="A8235" s="1" t="str">
        <f t="shared" si="292"/>
        <v>18180</v>
      </c>
      <c r="B8235" s="1" t="str">
        <f>"03303"</f>
        <v>03303</v>
      </c>
      <c r="C8235" s="2">
        <v>0.102395678037403</v>
      </c>
      <c r="D8235" s="2">
        <v>3.3218470020675302E-2</v>
      </c>
      <c r="E8235" s="2">
        <v>9.4951521230357702E-2</v>
      </c>
      <c r="F8235" s="2">
        <v>9.5675252907312103E-2</v>
      </c>
    </row>
    <row r="8236" spans="1:6" x14ac:dyDescent="0.25">
      <c r="A8236" s="1" t="str">
        <f t="shared" si="292"/>
        <v>18180</v>
      </c>
      <c r="B8236" s="1" t="str">
        <f>"03046"</f>
        <v>03046</v>
      </c>
      <c r="C8236" s="2">
        <v>1.7063486206031198E-2</v>
      </c>
      <c r="D8236" s="2">
        <v>1.9297036526533401E-3</v>
      </c>
      <c r="E8236" s="2">
        <v>5.3493814777666304E-3</v>
      </c>
      <c r="F8236" s="2">
        <v>1.52064928903875E-2</v>
      </c>
    </row>
    <row r="8237" spans="1:6" x14ac:dyDescent="0.25">
      <c r="A8237" s="1" t="str">
        <f t="shared" ref="A8237:A8246" si="293">"18220"</f>
        <v>18220</v>
      </c>
      <c r="B8237" s="1" t="str">
        <f>"46127"</f>
        <v>46127</v>
      </c>
      <c r="C8237" s="2">
        <v>4.0305291141411502E-3</v>
      </c>
      <c r="D8237" s="2">
        <v>1.0070493454179201E-3</v>
      </c>
      <c r="E8237" s="2">
        <v>0</v>
      </c>
      <c r="F8237" s="2">
        <v>3.7232392181197598E-3</v>
      </c>
    </row>
    <row r="8238" spans="1:6" x14ac:dyDescent="0.25">
      <c r="A8238" s="1" t="str">
        <f t="shared" si="293"/>
        <v>18220</v>
      </c>
      <c r="B8238" s="1" t="str">
        <f>"47327"</f>
        <v>47327</v>
      </c>
      <c r="C8238" s="2">
        <v>3.43023754394991E-4</v>
      </c>
      <c r="D8238" s="2">
        <v>0</v>
      </c>
      <c r="E8238" s="2">
        <v>0</v>
      </c>
      <c r="F8238" s="2">
        <v>3.1026993484331301E-4</v>
      </c>
    </row>
    <row r="8239" spans="1:6" x14ac:dyDescent="0.25">
      <c r="A8239" s="1" t="str">
        <f t="shared" si="293"/>
        <v>18220</v>
      </c>
      <c r="B8239" s="1" t="str">
        <f>"47322"</f>
        <v>47322</v>
      </c>
      <c r="C8239" s="2">
        <v>0</v>
      </c>
      <c r="D8239" s="2">
        <v>0</v>
      </c>
      <c r="E8239" s="2">
        <v>4.2016806722688996E-3</v>
      </c>
      <c r="F8239" s="2">
        <v>7.7567483710828402E-5</v>
      </c>
    </row>
    <row r="8240" spans="1:6" x14ac:dyDescent="0.25">
      <c r="A8240" s="1" t="str">
        <f t="shared" si="293"/>
        <v>18220</v>
      </c>
      <c r="B8240" s="1" t="str">
        <f>"47352"</f>
        <v>47352</v>
      </c>
      <c r="C8240" s="2">
        <v>2.5726781579624299E-4</v>
      </c>
      <c r="D8240" s="2">
        <v>0</v>
      </c>
      <c r="E8240" s="2">
        <v>0</v>
      </c>
      <c r="F8240" s="2">
        <v>2.3270245113248499E-4</v>
      </c>
    </row>
    <row r="8241" spans="1:6" x14ac:dyDescent="0.25">
      <c r="A8241" s="1" t="str">
        <f t="shared" si="293"/>
        <v>18220</v>
      </c>
      <c r="B8241" s="1" t="str">
        <f>"47331"</f>
        <v>47331</v>
      </c>
      <c r="C8241" s="2">
        <v>0.95857988165680397</v>
      </c>
      <c r="D8241" s="2">
        <v>0.98590130916414898</v>
      </c>
      <c r="E8241" s="2">
        <v>0.99159663865546199</v>
      </c>
      <c r="F8241" s="2">
        <v>0.96129382562829602</v>
      </c>
    </row>
    <row r="8242" spans="1:6" x14ac:dyDescent="0.25">
      <c r="A8242" s="1" t="str">
        <f t="shared" si="293"/>
        <v>18220</v>
      </c>
      <c r="B8242" s="1" t="str">
        <f>"47357"</f>
        <v>47357</v>
      </c>
      <c r="C8242" s="2">
        <v>7.2034988422948198E-3</v>
      </c>
      <c r="D8242" s="2">
        <v>1.0070493454179201E-3</v>
      </c>
      <c r="E8242" s="2">
        <v>0</v>
      </c>
      <c r="F8242" s="2">
        <v>6.5932361154204099E-3</v>
      </c>
    </row>
    <row r="8243" spans="1:6" x14ac:dyDescent="0.25">
      <c r="A8243" s="1" t="str">
        <f t="shared" si="293"/>
        <v>18220</v>
      </c>
      <c r="B8243" s="1" t="str">
        <f>"46133"</f>
        <v>46133</v>
      </c>
      <c r="C8243" s="2">
        <v>2.19535202812794E-2</v>
      </c>
      <c r="D8243" s="2">
        <v>1.0070493454179199E-2</v>
      </c>
      <c r="E8243" s="2">
        <v>4.2016806722688996E-3</v>
      </c>
      <c r="F8243" s="2">
        <v>2.0710518150791099E-2</v>
      </c>
    </row>
    <row r="8244" spans="1:6" x14ac:dyDescent="0.25">
      <c r="A8244" s="1" t="str">
        <f t="shared" si="293"/>
        <v>18220</v>
      </c>
      <c r="B8244" s="1" t="str">
        <f>"47325"</f>
        <v>47325</v>
      </c>
      <c r="C8244" s="2">
        <v>6.0886716405111002E-3</v>
      </c>
      <c r="D8244" s="2">
        <v>2.0140986908358501E-3</v>
      </c>
      <c r="E8244" s="2">
        <v>0</v>
      </c>
      <c r="F8244" s="2">
        <v>5.6624263108904704E-3</v>
      </c>
    </row>
    <row r="8245" spans="1:6" x14ac:dyDescent="0.25">
      <c r="A8245" s="1" t="str">
        <f t="shared" si="293"/>
        <v>18220</v>
      </c>
      <c r="B8245" s="1" t="str">
        <f>"46173"</f>
        <v>46173</v>
      </c>
      <c r="C8245" s="2">
        <v>4.2877969299373901E-4</v>
      </c>
      <c r="D8245" s="2">
        <v>0</v>
      </c>
      <c r="E8245" s="2">
        <v>0</v>
      </c>
      <c r="F8245" s="2">
        <v>3.8783741855414201E-4</v>
      </c>
    </row>
    <row r="8246" spans="1:6" x14ac:dyDescent="0.25">
      <c r="A8246" s="1" t="str">
        <f t="shared" si="293"/>
        <v>18220</v>
      </c>
      <c r="B8246" s="1" t="str">
        <f>"47024"</f>
        <v>47024</v>
      </c>
      <c r="C8246" s="2">
        <v>1.11482720178372E-3</v>
      </c>
      <c r="D8246" s="2">
        <v>0</v>
      </c>
      <c r="E8246" s="2">
        <v>0</v>
      </c>
      <c r="F8246" s="2">
        <v>1.00837728824076E-3</v>
      </c>
    </row>
    <row r="8247" spans="1:6" x14ac:dyDescent="0.25">
      <c r="A8247" s="1" t="str">
        <f t="shared" ref="A8247:A8274" si="294">"18260"</f>
        <v>18260</v>
      </c>
      <c r="B8247" s="1" t="str">
        <f>"38582"</f>
        <v>38582</v>
      </c>
      <c r="C8247" s="2">
        <v>1.00775730710624E-2</v>
      </c>
      <c r="D8247" s="2">
        <v>2.30823863636363E-3</v>
      </c>
      <c r="E8247" s="2">
        <v>0</v>
      </c>
      <c r="F8247" s="2">
        <v>9.0549383655455697E-3</v>
      </c>
    </row>
    <row r="8248" spans="1:6" x14ac:dyDescent="0.25">
      <c r="A8248" s="1" t="str">
        <f t="shared" si="294"/>
        <v>18260</v>
      </c>
      <c r="B8248" s="1" t="str">
        <f>"38548"</f>
        <v>38548</v>
      </c>
      <c r="C8248" s="2">
        <v>4.6578473472780099E-3</v>
      </c>
      <c r="D8248" s="2">
        <v>5.3267045454545396E-4</v>
      </c>
      <c r="E8248" s="2">
        <v>8.5984522785898497E-4</v>
      </c>
      <c r="F8248" s="2">
        <v>4.1698371632932496E-3</v>
      </c>
    </row>
    <row r="8249" spans="1:6" x14ac:dyDescent="0.25">
      <c r="A8249" s="1" t="str">
        <f t="shared" si="294"/>
        <v>18260</v>
      </c>
      <c r="B8249" s="1" t="str">
        <f>"38553"</f>
        <v>38553</v>
      </c>
      <c r="C8249" s="2">
        <v>8.6577088239368294E-5</v>
      </c>
      <c r="D8249" s="2">
        <v>0</v>
      </c>
      <c r="E8249" s="2">
        <v>0</v>
      </c>
      <c r="F8249" s="2">
        <v>7.6091919038198097E-5</v>
      </c>
    </row>
    <row r="8250" spans="1:6" x14ac:dyDescent="0.25">
      <c r="A8250" s="1" t="str">
        <f t="shared" si="294"/>
        <v>18260</v>
      </c>
      <c r="B8250" s="1" t="str">
        <f>"38542"</f>
        <v>38542</v>
      </c>
      <c r="C8250" s="2">
        <v>5.1946252943620998E-4</v>
      </c>
      <c r="D8250" s="2">
        <v>1.77556818181818E-4</v>
      </c>
      <c r="E8250" s="2">
        <v>0</v>
      </c>
      <c r="F8250" s="2">
        <v>4.7176989803682798E-4</v>
      </c>
    </row>
    <row r="8251" spans="1:6" x14ac:dyDescent="0.25">
      <c r="A8251" s="1" t="str">
        <f t="shared" si="294"/>
        <v>18260</v>
      </c>
      <c r="B8251" s="1" t="str">
        <f>"38574"</f>
        <v>38574</v>
      </c>
      <c r="C8251" s="2">
        <v>6.1210001385233401E-2</v>
      </c>
      <c r="D8251" s="2">
        <v>5.3444602272727203E-2</v>
      </c>
      <c r="E8251" s="2">
        <v>5.54600171969045E-2</v>
      </c>
      <c r="F8251" s="2">
        <v>6.0340891797291102E-2</v>
      </c>
    </row>
    <row r="8252" spans="1:6" x14ac:dyDescent="0.25">
      <c r="A8252" s="1" t="str">
        <f t="shared" si="294"/>
        <v>18260</v>
      </c>
      <c r="B8252" s="1" t="str">
        <f>"38544"</f>
        <v>38544</v>
      </c>
      <c r="C8252" s="2">
        <v>5.8924366255713997E-2</v>
      </c>
      <c r="D8252" s="2">
        <v>2.2549715909090901E-2</v>
      </c>
      <c r="E8252" s="2">
        <v>1.5047291487532199E-2</v>
      </c>
      <c r="F8252" s="2">
        <v>5.4253538274235201E-2</v>
      </c>
    </row>
    <row r="8253" spans="1:6" x14ac:dyDescent="0.25">
      <c r="A8253" s="1" t="str">
        <f t="shared" si="294"/>
        <v>18260</v>
      </c>
      <c r="B8253" s="1" t="str">
        <f>"38583"</f>
        <v>38583</v>
      </c>
      <c r="C8253" s="2">
        <v>2.75315140601191E-3</v>
      </c>
      <c r="D8253" s="2">
        <v>1.77556818181818E-4</v>
      </c>
      <c r="E8253" s="2">
        <v>0</v>
      </c>
      <c r="F8253" s="2">
        <v>2.43494140922234E-3</v>
      </c>
    </row>
    <row r="8254" spans="1:6" x14ac:dyDescent="0.25">
      <c r="A8254" s="1" t="str">
        <f t="shared" si="294"/>
        <v>18260</v>
      </c>
      <c r="B8254" s="1" t="str">
        <f>"38588"</f>
        <v>38588</v>
      </c>
      <c r="C8254" s="2">
        <v>8.9520709239506793E-3</v>
      </c>
      <c r="D8254" s="2">
        <v>4.26136363636363E-3</v>
      </c>
      <c r="E8254" s="2">
        <v>0</v>
      </c>
      <c r="F8254" s="2">
        <v>8.2331456399330292E-3</v>
      </c>
    </row>
    <row r="8255" spans="1:6" x14ac:dyDescent="0.25">
      <c r="A8255" s="1" t="str">
        <f t="shared" si="294"/>
        <v>18260</v>
      </c>
      <c r="B8255" s="1" t="str">
        <f>"37145"</f>
        <v>37145</v>
      </c>
      <c r="C8255" s="2">
        <v>1.9393267765618501E-3</v>
      </c>
      <c r="D8255" s="2">
        <v>1.77556818181818E-4</v>
      </c>
      <c r="E8255" s="2">
        <v>0</v>
      </c>
      <c r="F8255" s="2">
        <v>1.7196773702632701E-3</v>
      </c>
    </row>
    <row r="8256" spans="1:6" x14ac:dyDescent="0.25">
      <c r="A8256" s="1" t="str">
        <f t="shared" si="294"/>
        <v>18260</v>
      </c>
      <c r="B8256" s="1" t="str">
        <f>"38589"</f>
        <v>38589</v>
      </c>
      <c r="C8256" s="2">
        <v>1.22939465299903E-3</v>
      </c>
      <c r="D8256" s="2">
        <v>1.77556818181818E-4</v>
      </c>
      <c r="E8256" s="2">
        <v>0</v>
      </c>
      <c r="F8256" s="2">
        <v>1.09572363415005E-3</v>
      </c>
    </row>
    <row r="8257" spans="1:6" x14ac:dyDescent="0.25">
      <c r="A8257" s="1" t="str">
        <f t="shared" si="294"/>
        <v>18260</v>
      </c>
      <c r="B8257" s="1" t="str">
        <f>"38564"</f>
        <v>38564</v>
      </c>
      <c r="C8257" s="2">
        <v>6.4240199473611301E-3</v>
      </c>
      <c r="D8257" s="2">
        <v>1.77556818181818E-3</v>
      </c>
      <c r="E8257" s="2">
        <v>4.29922613929492E-4</v>
      </c>
      <c r="F8257" s="2">
        <v>5.8134226145183298E-3</v>
      </c>
    </row>
    <row r="8258" spans="1:6" x14ac:dyDescent="0.25">
      <c r="A8258" s="1" t="str">
        <f t="shared" si="294"/>
        <v>18260</v>
      </c>
      <c r="B8258" s="1" t="str">
        <f>"38543"</f>
        <v>38543</v>
      </c>
      <c r="C8258" s="2">
        <v>4.7444244355173797E-3</v>
      </c>
      <c r="D8258" s="2">
        <v>2.1306818181818098E-3</v>
      </c>
      <c r="E8258" s="2">
        <v>0</v>
      </c>
      <c r="F8258" s="2">
        <v>4.3524577689849301E-3</v>
      </c>
    </row>
    <row r="8259" spans="1:6" x14ac:dyDescent="0.25">
      <c r="A8259" s="1" t="str">
        <f t="shared" si="294"/>
        <v>18260</v>
      </c>
      <c r="B8259" s="1" t="str">
        <f>"38573"</f>
        <v>38573</v>
      </c>
      <c r="C8259" s="2">
        <v>1.51509904418894E-2</v>
      </c>
      <c r="D8259" s="2">
        <v>4.26136363636363E-3</v>
      </c>
      <c r="E8259" s="2">
        <v>0</v>
      </c>
      <c r="F8259" s="2">
        <v>1.3681327043068001E-2</v>
      </c>
    </row>
    <row r="8260" spans="1:6" x14ac:dyDescent="0.25">
      <c r="A8260" s="1" t="str">
        <f t="shared" si="294"/>
        <v>18260</v>
      </c>
      <c r="B8260" s="1" t="str">
        <f>"38554"</f>
        <v>38554</v>
      </c>
      <c r="C8260" s="2">
        <v>1.02507272475412E-2</v>
      </c>
      <c r="D8260" s="2">
        <v>3.3735795454545399E-3</v>
      </c>
      <c r="E8260" s="2">
        <v>0</v>
      </c>
      <c r="F8260" s="2">
        <v>9.2984325064678092E-3</v>
      </c>
    </row>
    <row r="8261" spans="1:6" x14ac:dyDescent="0.25">
      <c r="A8261" s="1" t="str">
        <f t="shared" si="294"/>
        <v>18260</v>
      </c>
      <c r="B8261" s="1" t="str">
        <f>"37030"</f>
        <v>37030</v>
      </c>
      <c r="C8261" s="2">
        <v>1.7315417647873601E-5</v>
      </c>
      <c r="D8261" s="2">
        <v>7.1022727272727199E-4</v>
      </c>
      <c r="E8261" s="2">
        <v>0</v>
      </c>
      <c r="F8261" s="2">
        <v>7.6091919038198097E-5</v>
      </c>
    </row>
    <row r="8262" spans="1:6" x14ac:dyDescent="0.25">
      <c r="A8262" s="1" t="str">
        <f t="shared" si="294"/>
        <v>18260</v>
      </c>
      <c r="B8262" s="1" t="str">
        <f>"38580"</f>
        <v>38580</v>
      </c>
      <c r="C8262" s="2">
        <v>1.5514614212494801E-2</v>
      </c>
      <c r="D8262" s="2">
        <v>4.26136363636363E-3</v>
      </c>
      <c r="E8262" s="2">
        <v>8.5984522785898497E-4</v>
      </c>
      <c r="F8262" s="2">
        <v>1.40313498706437E-2</v>
      </c>
    </row>
    <row r="8263" spans="1:6" x14ac:dyDescent="0.25">
      <c r="A8263" s="1" t="str">
        <f t="shared" si="294"/>
        <v>18260</v>
      </c>
      <c r="B8263" s="1" t="str">
        <f>"38502"</f>
        <v>38502</v>
      </c>
      <c r="C8263" s="2">
        <v>2.2665881701066599E-2</v>
      </c>
      <c r="D8263" s="2">
        <v>6.1257102272727203E-2</v>
      </c>
      <c r="E8263" s="2">
        <v>4.29922613929492E-4</v>
      </c>
      <c r="F8263" s="2">
        <v>2.5186425201643499E-2</v>
      </c>
    </row>
    <row r="8264" spans="1:6" x14ac:dyDescent="0.25">
      <c r="A8264" s="1" t="str">
        <f t="shared" si="294"/>
        <v>18260</v>
      </c>
      <c r="B8264" s="1" t="str">
        <f>"38568"</f>
        <v>38568</v>
      </c>
      <c r="C8264" s="2">
        <v>1.5583875883086301E-2</v>
      </c>
      <c r="D8264" s="2">
        <v>2.6633522727272699E-3</v>
      </c>
      <c r="E8264" s="2">
        <v>1.7196904557179701E-2</v>
      </c>
      <c r="F8264" s="2">
        <v>1.4533556536295801E-2</v>
      </c>
    </row>
    <row r="8265" spans="1:6" x14ac:dyDescent="0.25">
      <c r="A8265" s="1" t="str">
        <f t="shared" si="294"/>
        <v>18260</v>
      </c>
      <c r="B8265" s="1" t="str">
        <f>"38501"</f>
        <v>38501</v>
      </c>
      <c r="C8265" s="2">
        <v>0.34116567391605401</v>
      </c>
      <c r="D8265" s="2">
        <v>0.46875</v>
      </c>
      <c r="E8265" s="2">
        <v>0.69905417024935501</v>
      </c>
      <c r="F8265" s="2">
        <v>0.36476944148531398</v>
      </c>
    </row>
    <row r="8266" spans="1:6" x14ac:dyDescent="0.25">
      <c r="A8266" s="1" t="str">
        <f t="shared" si="294"/>
        <v>18260</v>
      </c>
      <c r="B8266" s="1" t="str">
        <f>"38506"</f>
        <v>38506</v>
      </c>
      <c r="C8266" s="2">
        <v>0.235403102922842</v>
      </c>
      <c r="D8266" s="2">
        <v>0.15340909090909</v>
      </c>
      <c r="E8266" s="2">
        <v>0.139724849527085</v>
      </c>
      <c r="F8266" s="2">
        <v>0.22498858621214399</v>
      </c>
    </row>
    <row r="8267" spans="1:6" x14ac:dyDescent="0.25">
      <c r="A8267" s="1" t="str">
        <f t="shared" si="294"/>
        <v>18260</v>
      </c>
      <c r="B8267" s="1" t="str">
        <f>"38551"</f>
        <v>38551</v>
      </c>
      <c r="C8267" s="2">
        <v>3.2899293530959899E-4</v>
      </c>
      <c r="D8267" s="2">
        <v>0</v>
      </c>
      <c r="E8267" s="2">
        <v>0</v>
      </c>
      <c r="F8267" s="2">
        <v>2.8914929234515199E-4</v>
      </c>
    </row>
    <row r="8268" spans="1:6" x14ac:dyDescent="0.25">
      <c r="A8268" s="1" t="str">
        <f t="shared" si="294"/>
        <v>18260</v>
      </c>
      <c r="B8268" s="1" t="str">
        <f>"38552"</f>
        <v>38552</v>
      </c>
      <c r="C8268" s="2">
        <v>5.1946252943620998E-5</v>
      </c>
      <c r="D8268" s="2">
        <v>0</v>
      </c>
      <c r="E8268" s="2">
        <v>0</v>
      </c>
      <c r="F8268" s="2">
        <v>4.5655151422918803E-5</v>
      </c>
    </row>
    <row r="8269" spans="1:6" x14ac:dyDescent="0.25">
      <c r="A8269" s="1" t="str">
        <f t="shared" si="294"/>
        <v>18260</v>
      </c>
      <c r="B8269" s="1" t="str">
        <f>"38545"</f>
        <v>38545</v>
      </c>
      <c r="C8269" s="2">
        <v>1.16359606593711E-2</v>
      </c>
      <c r="D8269" s="2">
        <v>3.3735795454545399E-3</v>
      </c>
      <c r="E8269" s="2">
        <v>0</v>
      </c>
      <c r="F8269" s="2">
        <v>1.0515903211078899E-2</v>
      </c>
    </row>
    <row r="8270" spans="1:6" x14ac:dyDescent="0.25">
      <c r="A8270" s="1" t="str">
        <f t="shared" si="294"/>
        <v>18260</v>
      </c>
      <c r="B8270" s="1" t="str">
        <f>"38541"</f>
        <v>38541</v>
      </c>
      <c r="C8270" s="2">
        <v>1.0129519324005999E-2</v>
      </c>
      <c r="D8270" s="2">
        <v>3.90625E-3</v>
      </c>
      <c r="E8270" s="2">
        <v>0</v>
      </c>
      <c r="F8270" s="2">
        <v>9.2375589712372502E-3</v>
      </c>
    </row>
    <row r="8271" spans="1:6" x14ac:dyDescent="0.25">
      <c r="A8271" s="1" t="str">
        <f t="shared" si="294"/>
        <v>18260</v>
      </c>
      <c r="B8271" s="1" t="str">
        <f>"38570"</f>
        <v>38570</v>
      </c>
      <c r="C8271" s="2">
        <v>8.6248095304058706E-2</v>
      </c>
      <c r="D8271" s="2">
        <v>0.12144886363636299</v>
      </c>
      <c r="E8271" s="2">
        <v>6.9647463456577796E-2</v>
      </c>
      <c r="F8271" s="2">
        <v>8.8677522447116103E-2</v>
      </c>
    </row>
    <row r="8272" spans="1:6" x14ac:dyDescent="0.25">
      <c r="A8272" s="1" t="str">
        <f t="shared" si="294"/>
        <v>18260</v>
      </c>
      <c r="B8272" s="1" t="str">
        <f>"38562"</f>
        <v>38562</v>
      </c>
      <c r="C8272" s="2">
        <v>6.1608255991134502E-2</v>
      </c>
      <c r="D8272" s="2">
        <v>2.9296875E-2</v>
      </c>
      <c r="E8272" s="2">
        <v>8.5984522785898497E-4</v>
      </c>
      <c r="F8272" s="2">
        <v>5.6688479683457603E-2</v>
      </c>
    </row>
    <row r="8273" spans="1:6" x14ac:dyDescent="0.25">
      <c r="A8273" s="1" t="str">
        <f t="shared" si="294"/>
        <v>18260</v>
      </c>
      <c r="B8273" s="1" t="str">
        <f>"38503"</f>
        <v>38503</v>
      </c>
      <c r="C8273" s="2">
        <v>1.2276631112342401E-2</v>
      </c>
      <c r="D8273" s="2">
        <v>5.5575284090908998E-2</v>
      </c>
      <c r="E8273" s="2">
        <v>4.29922613929492E-4</v>
      </c>
      <c r="F8273" s="2">
        <v>1.55684066352153E-2</v>
      </c>
    </row>
    <row r="8274" spans="1:6" x14ac:dyDescent="0.25">
      <c r="A8274" s="1" t="str">
        <f t="shared" si="294"/>
        <v>18260</v>
      </c>
      <c r="B8274" s="1" t="str">
        <f>"37150"</f>
        <v>37150</v>
      </c>
      <c r="C8274" s="2">
        <v>4.5020085884471501E-4</v>
      </c>
      <c r="D8274" s="2">
        <v>0</v>
      </c>
      <c r="E8274" s="2">
        <v>0</v>
      </c>
      <c r="F8274" s="2">
        <v>3.9567797899862998E-4</v>
      </c>
    </row>
    <row r="8275" spans="1:6" x14ac:dyDescent="0.25">
      <c r="A8275" s="1" t="str">
        <f t="shared" ref="A8275:A8284" si="295">"18300"</f>
        <v>18300</v>
      </c>
      <c r="B8275" s="1" t="str">
        <f>"97407"</f>
        <v>97407</v>
      </c>
      <c r="C8275" s="2">
        <v>0</v>
      </c>
      <c r="D8275" s="2">
        <v>0</v>
      </c>
      <c r="E8275" s="2">
        <v>9.1240875912408702E-4</v>
      </c>
      <c r="F8275" s="2">
        <v>2.4623870379946299E-5</v>
      </c>
    </row>
    <row r="8276" spans="1:6" x14ac:dyDescent="0.25">
      <c r="A8276" s="1" t="str">
        <f t="shared" si="295"/>
        <v>18300</v>
      </c>
      <c r="B8276" s="1" t="str">
        <f>"97423"</f>
        <v>97423</v>
      </c>
      <c r="C8276" s="2">
        <v>8.9505408306498196E-2</v>
      </c>
      <c r="D8276" s="2">
        <v>6.9767441860465101E-2</v>
      </c>
      <c r="E8276" s="2">
        <v>7.9379562043795607E-2</v>
      </c>
      <c r="F8276" s="2">
        <v>8.7685602422988798E-2</v>
      </c>
    </row>
    <row r="8277" spans="1:6" x14ac:dyDescent="0.25">
      <c r="A8277" s="1" t="str">
        <f t="shared" si="295"/>
        <v>18300</v>
      </c>
      <c r="B8277" s="1" t="str">
        <f>"97466"</f>
        <v>97466</v>
      </c>
      <c r="C8277" s="2">
        <v>1.3348746318773501E-2</v>
      </c>
      <c r="D8277" s="2">
        <v>6.2853551225644196E-4</v>
      </c>
      <c r="E8277" s="2">
        <v>6.3868613138686097E-3</v>
      </c>
      <c r="F8277" s="2">
        <v>1.2164191967693401E-2</v>
      </c>
    </row>
    <row r="8278" spans="1:6" x14ac:dyDescent="0.25">
      <c r="A8278" s="1" t="str">
        <f t="shared" si="295"/>
        <v>18300</v>
      </c>
      <c r="B8278" s="1" t="str">
        <f>"97458"</f>
        <v>97458</v>
      </c>
      <c r="C8278" s="2">
        <v>6.1596895384361298E-2</v>
      </c>
      <c r="D8278" s="2">
        <v>5.1225644248899999E-2</v>
      </c>
      <c r="E8278" s="2">
        <v>8.4854014598540098E-2</v>
      </c>
      <c r="F8278" s="2">
        <v>6.1411932727586098E-2</v>
      </c>
    </row>
    <row r="8279" spans="1:6" x14ac:dyDescent="0.25">
      <c r="A8279" s="1" t="str">
        <f t="shared" si="295"/>
        <v>18300</v>
      </c>
      <c r="B8279" s="1" t="str">
        <f>"97450"</f>
        <v>97450</v>
      </c>
      <c r="C8279" s="2">
        <v>1.10092753144524E-4</v>
      </c>
      <c r="D8279" s="2">
        <v>0</v>
      </c>
      <c r="E8279" s="2">
        <v>0</v>
      </c>
      <c r="F8279" s="2">
        <v>9.8495481519785197E-5</v>
      </c>
    </row>
    <row r="8280" spans="1:6" x14ac:dyDescent="0.25">
      <c r="A8280" s="1" t="str">
        <f t="shared" si="295"/>
        <v>18300</v>
      </c>
      <c r="B8280" s="1" t="str">
        <f>"97449"</f>
        <v>97449</v>
      </c>
      <c r="C8280" s="2">
        <v>4.70921751575702E-2</v>
      </c>
      <c r="D8280" s="2">
        <v>5.9710873664361999E-3</v>
      </c>
      <c r="E8280" s="2">
        <v>3.6496350364963498E-3</v>
      </c>
      <c r="F8280" s="2">
        <v>4.2697791238826902E-2</v>
      </c>
    </row>
    <row r="8281" spans="1:6" x14ac:dyDescent="0.25">
      <c r="A8281" s="1" t="str">
        <f t="shared" si="295"/>
        <v>18300</v>
      </c>
      <c r="B8281" s="1" t="str">
        <f>"97459"</f>
        <v>97459</v>
      </c>
      <c r="C8281" s="2">
        <v>0.21421297443095799</v>
      </c>
      <c r="D8281" s="2">
        <v>0.264613450659962</v>
      </c>
      <c r="E8281" s="2">
        <v>0.26551094890510901</v>
      </c>
      <c r="F8281" s="2">
        <v>0.21954642830760099</v>
      </c>
    </row>
    <row r="8282" spans="1:6" x14ac:dyDescent="0.25">
      <c r="A8282" s="1" t="str">
        <f t="shared" si="295"/>
        <v>18300</v>
      </c>
      <c r="B8282" s="1" t="str">
        <f>"97411"</f>
        <v>97411</v>
      </c>
      <c r="C8282" s="2">
        <v>0.15412985440233301</v>
      </c>
      <c r="D8282" s="2">
        <v>0.1536769327467</v>
      </c>
      <c r="E8282" s="2">
        <v>0.11040145985401401</v>
      </c>
      <c r="F8282" s="2">
        <v>0.152914235059466</v>
      </c>
    </row>
    <row r="8283" spans="1:6" x14ac:dyDescent="0.25">
      <c r="A8283" s="1" t="str">
        <f t="shared" si="295"/>
        <v>18300</v>
      </c>
      <c r="B8283" s="1" t="str">
        <f>"97414"</f>
        <v>97414</v>
      </c>
      <c r="C8283" s="2">
        <v>3.11012027633281E-3</v>
      </c>
      <c r="D8283" s="2">
        <v>0</v>
      </c>
      <c r="E8283" s="2">
        <v>9.1240875912408702E-4</v>
      </c>
      <c r="F8283" s="2">
        <v>2.8071212233138801E-3</v>
      </c>
    </row>
    <row r="8284" spans="1:6" x14ac:dyDescent="0.25">
      <c r="A8284" s="1" t="str">
        <f t="shared" si="295"/>
        <v>18300</v>
      </c>
      <c r="B8284" s="1" t="str">
        <f>"97420"</f>
        <v>97420</v>
      </c>
      <c r="C8284" s="2">
        <v>0.41689373297002702</v>
      </c>
      <c r="D8284" s="2">
        <v>0.45411690760527901</v>
      </c>
      <c r="E8284" s="2">
        <v>0.44799270072992697</v>
      </c>
      <c r="F8284" s="2">
        <v>0.420649577700622</v>
      </c>
    </row>
    <row r="8285" spans="1:6" x14ac:dyDescent="0.25">
      <c r="A8285" s="1" t="str">
        <f t="shared" ref="A8285:A8292" si="296">"18380"</f>
        <v>18380</v>
      </c>
      <c r="B8285" s="1" t="str">
        <f>"31010"</f>
        <v>31010</v>
      </c>
      <c r="C8285" s="2">
        <v>0.11066655997439299</v>
      </c>
      <c r="D8285" s="2">
        <v>0.18039215686274501</v>
      </c>
      <c r="E8285" s="2">
        <v>2.40096038415366E-3</v>
      </c>
      <c r="F8285" s="2">
        <v>0.11293417135295999</v>
      </c>
    </row>
    <row r="8286" spans="1:6" x14ac:dyDescent="0.25">
      <c r="A8286" s="1" t="str">
        <f t="shared" si="296"/>
        <v>18380</v>
      </c>
      <c r="B8286" s="1" t="str">
        <f>"31015"</f>
        <v>31015</v>
      </c>
      <c r="C8286" s="2">
        <v>0.83027926702408505</v>
      </c>
      <c r="D8286" s="2">
        <v>0.79439775910364097</v>
      </c>
      <c r="E8286" s="2">
        <v>0.99639855942376898</v>
      </c>
      <c r="F8286" s="2">
        <v>0.83519682434667497</v>
      </c>
    </row>
    <row r="8287" spans="1:6" x14ac:dyDescent="0.25">
      <c r="A8287" s="1" t="str">
        <f t="shared" si="296"/>
        <v>18380</v>
      </c>
      <c r="B8287" s="1" t="str">
        <f>"31712"</f>
        <v>31712</v>
      </c>
      <c r="C8287" s="2">
        <v>4.5530927422581399E-2</v>
      </c>
      <c r="D8287" s="2">
        <v>2.46498599439775E-2</v>
      </c>
      <c r="E8287" s="2">
        <v>1.20048019207683E-3</v>
      </c>
      <c r="F8287" s="2">
        <v>4.06218987760502E-2</v>
      </c>
    </row>
    <row r="8288" spans="1:6" x14ac:dyDescent="0.25">
      <c r="A8288" s="1" t="str">
        <f t="shared" si="296"/>
        <v>18380</v>
      </c>
      <c r="B8288" s="1" t="str">
        <f>"31714"</f>
        <v>31714</v>
      </c>
      <c r="C8288" s="2">
        <v>8.0019204609106101E-5</v>
      </c>
      <c r="D8288" s="2">
        <v>0</v>
      </c>
      <c r="E8288" s="2">
        <v>0</v>
      </c>
      <c r="F8288" s="2">
        <v>6.6159444260668199E-5</v>
      </c>
    </row>
    <row r="8289" spans="1:6" x14ac:dyDescent="0.25">
      <c r="A8289" s="1" t="str">
        <f t="shared" si="296"/>
        <v>18380</v>
      </c>
      <c r="B8289" s="1" t="str">
        <f>"31079"</f>
        <v>31079</v>
      </c>
      <c r="C8289" s="2">
        <v>8.0019204609106101E-5</v>
      </c>
      <c r="D8289" s="2">
        <v>0</v>
      </c>
      <c r="E8289" s="2">
        <v>0</v>
      </c>
      <c r="F8289" s="2">
        <v>6.6159444260668199E-5</v>
      </c>
    </row>
    <row r="8290" spans="1:6" x14ac:dyDescent="0.25">
      <c r="A8290" s="1" t="str">
        <f t="shared" si="296"/>
        <v>18380</v>
      </c>
      <c r="B8290" s="1" t="str">
        <f>"31796"</f>
        <v>31796</v>
      </c>
      <c r="C8290" s="2">
        <v>5.6013443226374303E-4</v>
      </c>
      <c r="D8290" s="2">
        <v>0</v>
      </c>
      <c r="E8290" s="2">
        <v>0</v>
      </c>
      <c r="F8290" s="2">
        <v>4.6311610982467698E-4</v>
      </c>
    </row>
    <row r="8291" spans="1:6" x14ac:dyDescent="0.25">
      <c r="A8291" s="1" t="str">
        <f t="shared" si="296"/>
        <v>18380</v>
      </c>
      <c r="B8291" s="1" t="str">
        <f>"31072"</f>
        <v>31072</v>
      </c>
      <c r="C8291" s="2">
        <v>3.4408257981915599E-3</v>
      </c>
      <c r="D8291" s="2">
        <v>0</v>
      </c>
      <c r="E8291" s="2">
        <v>0</v>
      </c>
      <c r="F8291" s="2">
        <v>2.84485610320873E-3</v>
      </c>
    </row>
    <row r="8292" spans="1:6" x14ac:dyDescent="0.25">
      <c r="A8292" s="1" t="str">
        <f t="shared" si="296"/>
        <v>18380</v>
      </c>
      <c r="B8292" s="1" t="str">
        <f>"31092"</f>
        <v>31092</v>
      </c>
      <c r="C8292" s="2">
        <v>9.3622469392654201E-3</v>
      </c>
      <c r="D8292" s="2">
        <v>5.6022408963585398E-4</v>
      </c>
      <c r="E8292" s="2">
        <v>0</v>
      </c>
      <c r="F8292" s="2">
        <v>7.8068144227588397E-3</v>
      </c>
    </row>
    <row r="8293" spans="1:6" x14ac:dyDescent="0.25">
      <c r="A8293" s="1" t="str">
        <f t="shared" ref="A8293:A8298" si="297">"18420"</f>
        <v>18420</v>
      </c>
      <c r="B8293" s="1" t="str">
        <f>"38833"</f>
        <v>38833</v>
      </c>
      <c r="C8293" s="2">
        <v>2.7550969293192399E-3</v>
      </c>
      <c r="D8293" s="2">
        <v>1.8416206261510099E-3</v>
      </c>
      <c r="E8293" s="2">
        <v>0</v>
      </c>
      <c r="F8293" s="2">
        <v>2.6291163495387902E-3</v>
      </c>
    </row>
    <row r="8294" spans="1:6" x14ac:dyDescent="0.25">
      <c r="A8294" s="1" t="str">
        <f t="shared" si="297"/>
        <v>18420</v>
      </c>
      <c r="B8294" s="1" t="str">
        <f>"38846"</f>
        <v>38846</v>
      </c>
      <c r="C8294" s="2">
        <v>4.6836647798427E-2</v>
      </c>
      <c r="D8294" s="2">
        <v>1.3812154696132501E-2</v>
      </c>
      <c r="E8294" s="2">
        <v>1.6339869281045701E-2</v>
      </c>
      <c r="F8294" s="2">
        <v>4.3224455238180103E-2</v>
      </c>
    </row>
    <row r="8295" spans="1:6" x14ac:dyDescent="0.25">
      <c r="A8295" s="1" t="str">
        <f t="shared" si="297"/>
        <v>18420</v>
      </c>
      <c r="B8295" s="1" t="str">
        <f>"38834"</f>
        <v>38834</v>
      </c>
      <c r="C8295" s="2">
        <v>0.72904874016931298</v>
      </c>
      <c r="D8295" s="2">
        <v>0.77255985267034899</v>
      </c>
      <c r="E8295" s="2">
        <v>0.95751633986928097</v>
      </c>
      <c r="F8295" s="2">
        <v>0.73637538434116101</v>
      </c>
    </row>
    <row r="8296" spans="1:6" x14ac:dyDescent="0.25">
      <c r="A8296" s="1" t="str">
        <f t="shared" si="297"/>
        <v>18420</v>
      </c>
      <c r="B8296" s="1" t="str">
        <f>"38683"</f>
        <v>38683</v>
      </c>
      <c r="C8296" s="2">
        <v>4.6536091769774003E-2</v>
      </c>
      <c r="D8296" s="2">
        <v>3.22283609576427E-3</v>
      </c>
      <c r="E8296" s="2">
        <v>0</v>
      </c>
      <c r="F8296" s="2">
        <v>4.1709371240140798E-2</v>
      </c>
    </row>
    <row r="8297" spans="1:6" x14ac:dyDescent="0.25">
      <c r="A8297" s="1" t="str">
        <f t="shared" si="297"/>
        <v>18420</v>
      </c>
      <c r="B8297" s="1" t="str">
        <f>"38835"</f>
        <v>38835</v>
      </c>
      <c r="C8297" s="2">
        <v>8.1751239793618105E-2</v>
      </c>
      <c r="D8297" s="2">
        <v>0.17771639042357201</v>
      </c>
      <c r="E8297" s="2">
        <v>6.5359477124183E-3</v>
      </c>
      <c r="F8297" s="2">
        <v>9.0013814001158501E-2</v>
      </c>
    </row>
    <row r="8298" spans="1:6" x14ac:dyDescent="0.25">
      <c r="A8298" s="1" t="str">
        <f t="shared" si="297"/>
        <v>18420</v>
      </c>
      <c r="B8298" s="1" t="str">
        <f>"38865"</f>
        <v>38865</v>
      </c>
      <c r="C8298" s="2">
        <v>9.3072183539548103E-2</v>
      </c>
      <c r="D8298" s="2">
        <v>3.0847145488029401E-2</v>
      </c>
      <c r="E8298" s="2">
        <v>1.9607843137254902E-2</v>
      </c>
      <c r="F8298" s="2">
        <v>8.6047858829820398E-2</v>
      </c>
    </row>
    <row r="8299" spans="1:6" x14ac:dyDescent="0.25">
      <c r="A8299" s="1" t="str">
        <f t="shared" ref="A8299:A8307" si="298">"18460"</f>
        <v>18460</v>
      </c>
      <c r="B8299" s="1" t="str">
        <f>"30511"</f>
        <v>30511</v>
      </c>
      <c r="C8299" s="2">
        <v>1.7897091722595002E-2</v>
      </c>
      <c r="D8299" s="2">
        <v>3.5270740188772902E-2</v>
      </c>
      <c r="E8299" s="2">
        <v>0.17201166180758001</v>
      </c>
      <c r="F8299" s="2">
        <v>2.1389098715858899E-2</v>
      </c>
    </row>
    <row r="8300" spans="1:6" x14ac:dyDescent="0.25">
      <c r="A8300" s="1" t="str">
        <f t="shared" si="298"/>
        <v>18460</v>
      </c>
      <c r="B8300" s="1" t="str">
        <f>"30531"</f>
        <v>30531</v>
      </c>
      <c r="C8300" s="2">
        <v>0.28328288809931101</v>
      </c>
      <c r="D8300" s="2">
        <v>0.49279682066567299</v>
      </c>
      <c r="E8300" s="2">
        <v>0.416909620991253</v>
      </c>
      <c r="F8300" s="2">
        <v>0.30187254005486402</v>
      </c>
    </row>
    <row r="8301" spans="1:6" x14ac:dyDescent="0.25">
      <c r="A8301" s="1" t="str">
        <f t="shared" si="298"/>
        <v>18460</v>
      </c>
      <c r="B8301" s="1" t="str">
        <f>"30535"</f>
        <v>30535</v>
      </c>
      <c r="C8301" s="2">
        <v>0.21099267447471101</v>
      </c>
      <c r="D8301" s="2">
        <v>0.137605563835072</v>
      </c>
      <c r="E8301" s="2">
        <v>0.157434402332361</v>
      </c>
      <c r="F8301" s="2">
        <v>0.204389138472548</v>
      </c>
    </row>
    <row r="8302" spans="1:6" x14ac:dyDescent="0.25">
      <c r="A8302" s="1" t="str">
        <f t="shared" si="298"/>
        <v>18460</v>
      </c>
      <c r="B8302" s="1" t="str">
        <f>"30563"</f>
        <v>30563</v>
      </c>
      <c r="C8302" s="2">
        <v>0.109400359696451</v>
      </c>
      <c r="D8302" s="2">
        <v>4.3715846994535498E-2</v>
      </c>
      <c r="E8302" s="2">
        <v>2.91545189504373E-3</v>
      </c>
      <c r="F8302" s="2">
        <v>0.10269152784956</v>
      </c>
    </row>
    <row r="8303" spans="1:6" x14ac:dyDescent="0.25">
      <c r="A8303" s="1" t="str">
        <f t="shared" si="298"/>
        <v>18460</v>
      </c>
      <c r="B8303" s="1" t="str">
        <f>"30580"</f>
        <v>30580</v>
      </c>
      <c r="C8303" s="2">
        <v>0</v>
      </c>
      <c r="D8303" s="2">
        <v>0</v>
      </c>
      <c r="E8303" s="2">
        <v>2.91545189504373E-3</v>
      </c>
      <c r="F8303" s="2">
        <v>3.97566890629348E-5</v>
      </c>
    </row>
    <row r="8304" spans="1:6" x14ac:dyDescent="0.25">
      <c r="A8304" s="1" t="str">
        <f t="shared" si="298"/>
        <v>18460</v>
      </c>
      <c r="B8304" s="1" t="str">
        <f>"30510"</f>
        <v>30510</v>
      </c>
      <c r="C8304" s="2">
        <v>0.105189279291134</v>
      </c>
      <c r="D8304" s="2">
        <v>5.5638350720317899E-2</v>
      </c>
      <c r="E8304" s="2">
        <v>4.3731778425655898E-2</v>
      </c>
      <c r="F8304" s="2">
        <v>0.10038563988391</v>
      </c>
    </row>
    <row r="8305" spans="1:6" x14ac:dyDescent="0.25">
      <c r="A8305" s="1" t="str">
        <f t="shared" si="298"/>
        <v>18460</v>
      </c>
      <c r="B8305" s="1" t="str">
        <f>"30571"</f>
        <v>30571</v>
      </c>
      <c r="C8305" s="2">
        <v>7.8957757599684101E-4</v>
      </c>
      <c r="D8305" s="2">
        <v>4.9677098857426705E-4</v>
      </c>
      <c r="E8305" s="2">
        <v>0</v>
      </c>
      <c r="F8305" s="2">
        <v>7.5537709219576101E-4</v>
      </c>
    </row>
    <row r="8306" spans="1:6" x14ac:dyDescent="0.25">
      <c r="A8306" s="1" t="str">
        <f t="shared" si="298"/>
        <v>18460</v>
      </c>
      <c r="B8306" s="1" t="str">
        <f>"30577"</f>
        <v>30577</v>
      </c>
      <c r="C8306" s="2">
        <v>7.8519103390797002E-3</v>
      </c>
      <c r="D8306" s="2">
        <v>1.4903129657228001E-3</v>
      </c>
      <c r="E8306" s="2">
        <v>0</v>
      </c>
      <c r="F8306" s="2">
        <v>7.2357174094541399E-3</v>
      </c>
    </row>
    <row r="8307" spans="1:6" x14ac:dyDescent="0.25">
      <c r="A8307" s="1" t="str">
        <f t="shared" si="298"/>
        <v>18460</v>
      </c>
      <c r="B8307" s="1" t="str">
        <f>"30523"</f>
        <v>30523</v>
      </c>
      <c r="C8307" s="2">
        <v>0.26459621880071899</v>
      </c>
      <c r="D8307" s="2">
        <v>0.23298559364133101</v>
      </c>
      <c r="E8307" s="2">
        <v>0.20408163265306101</v>
      </c>
      <c r="F8307" s="2">
        <v>0.26124120383254401</v>
      </c>
    </row>
    <row r="8308" spans="1:6" x14ac:dyDescent="0.25">
      <c r="A8308" s="1" t="str">
        <f t="shared" ref="A8308:A8347" si="299">"18500"</f>
        <v>18500</v>
      </c>
      <c r="B8308" s="1" t="str">
        <f>"14830"</f>
        <v>14830</v>
      </c>
      <c r="C8308" s="2">
        <v>0.202615039508518</v>
      </c>
      <c r="D8308" s="2">
        <v>0.28877551020408099</v>
      </c>
      <c r="E8308" s="2">
        <v>0.31282952548330401</v>
      </c>
      <c r="F8308" s="2">
        <v>0.21077036763347401</v>
      </c>
    </row>
    <row r="8309" spans="1:6" x14ac:dyDescent="0.25">
      <c r="A8309" s="1" t="str">
        <f t="shared" si="299"/>
        <v>18500</v>
      </c>
      <c r="B8309" s="1" t="str">
        <f>"14801"</f>
        <v>14801</v>
      </c>
      <c r="C8309" s="2">
        <v>4.98352969706767E-2</v>
      </c>
      <c r="D8309" s="2">
        <v>4.5578231292517001E-2</v>
      </c>
      <c r="E8309" s="2">
        <v>3.3977738722905597E-2</v>
      </c>
      <c r="F8309" s="2">
        <v>4.9104008867541099E-2</v>
      </c>
    </row>
    <row r="8310" spans="1:6" x14ac:dyDescent="0.25">
      <c r="A8310" s="1" t="str">
        <f t="shared" si="299"/>
        <v>18500</v>
      </c>
      <c r="B8310" s="1" t="str">
        <f>"14827"</f>
        <v>14827</v>
      </c>
      <c r="C8310" s="2">
        <v>0</v>
      </c>
      <c r="D8310" s="2">
        <v>0</v>
      </c>
      <c r="E8310" s="2">
        <v>5.8582308142940799E-4</v>
      </c>
      <c r="F8310" s="2">
        <v>1.8474043968224599E-5</v>
      </c>
    </row>
    <row r="8311" spans="1:6" x14ac:dyDescent="0.25">
      <c r="A8311" s="1" t="str">
        <f t="shared" si="299"/>
        <v>18500</v>
      </c>
      <c r="B8311" s="1" t="str">
        <f>"14831"</f>
        <v>14831</v>
      </c>
      <c r="C8311" s="2">
        <v>0</v>
      </c>
      <c r="D8311" s="2">
        <v>1.0204081632652999E-3</v>
      </c>
      <c r="E8311" s="2">
        <v>0</v>
      </c>
      <c r="F8311" s="2">
        <v>5.5422131904673902E-5</v>
      </c>
    </row>
    <row r="8312" spans="1:6" x14ac:dyDescent="0.25">
      <c r="A8312" s="1" t="str">
        <f t="shared" si="299"/>
        <v>18500</v>
      </c>
      <c r="B8312" s="1" t="str">
        <f>"14437"</f>
        <v>14437</v>
      </c>
      <c r="C8312" s="2">
        <v>8.66964412020289E-3</v>
      </c>
      <c r="D8312" s="2">
        <v>3.06122448979591E-3</v>
      </c>
      <c r="E8312" s="2">
        <v>1.1716461628588099E-2</v>
      </c>
      <c r="F8312" s="2">
        <v>8.4611121374468801E-3</v>
      </c>
    </row>
    <row r="8313" spans="1:6" x14ac:dyDescent="0.25">
      <c r="A8313" s="1" t="str">
        <f t="shared" si="299"/>
        <v>18500</v>
      </c>
      <c r="B8313" s="1" t="str">
        <f>"14418"</f>
        <v>14418</v>
      </c>
      <c r="C8313" s="2">
        <v>3.4759412323424198E-3</v>
      </c>
      <c r="D8313" s="2">
        <v>6.8027210884353704E-4</v>
      </c>
      <c r="E8313" s="2">
        <v>0</v>
      </c>
      <c r="F8313" s="2">
        <v>3.21448365047108E-3</v>
      </c>
    </row>
    <row r="8314" spans="1:6" x14ac:dyDescent="0.25">
      <c r="A8314" s="1" t="str">
        <f t="shared" si="299"/>
        <v>18500</v>
      </c>
      <c r="B8314" s="1" t="str">
        <f>"14871"</f>
        <v>14871</v>
      </c>
      <c r="C8314" s="2">
        <v>3.7992846027928699E-3</v>
      </c>
      <c r="D8314" s="2">
        <v>0</v>
      </c>
      <c r="E8314" s="2">
        <v>1.1716461628588099E-3</v>
      </c>
      <c r="F8314" s="2">
        <v>3.5100683539626802E-3</v>
      </c>
    </row>
    <row r="8315" spans="1:6" x14ac:dyDescent="0.25">
      <c r="A8315" s="1" t="str">
        <f t="shared" si="299"/>
        <v>18500</v>
      </c>
      <c r="B8315" s="1" t="str">
        <f>"14879"</f>
        <v>14879</v>
      </c>
      <c r="C8315" s="2">
        <v>1.9683527676171601E-2</v>
      </c>
      <c r="D8315" s="2">
        <v>9.8639455782312899E-3</v>
      </c>
      <c r="E8315" s="2">
        <v>8.7873462214411203E-3</v>
      </c>
      <c r="F8315" s="2">
        <v>1.88065767596526E-2</v>
      </c>
    </row>
    <row r="8316" spans="1:6" x14ac:dyDescent="0.25">
      <c r="A8316" s="1" t="str">
        <f t="shared" si="299"/>
        <v>18500</v>
      </c>
      <c r="B8316" s="1" t="str">
        <f>"14873"</f>
        <v>14873</v>
      </c>
      <c r="C8316" s="2">
        <v>2.6514156376937499E-2</v>
      </c>
      <c r="D8316" s="2">
        <v>4.7619047619047597E-3</v>
      </c>
      <c r="E8316" s="2">
        <v>5.8582308142940799E-3</v>
      </c>
      <c r="F8316" s="2">
        <v>2.4681322741548099E-2</v>
      </c>
    </row>
    <row r="8317" spans="1:6" x14ac:dyDescent="0.25">
      <c r="A8317" s="1" t="str">
        <f t="shared" si="299"/>
        <v>18500</v>
      </c>
      <c r="B8317" s="1" t="str">
        <f>"14808"</f>
        <v>14808</v>
      </c>
      <c r="C8317" s="2">
        <v>5.0926580845947001E-3</v>
      </c>
      <c r="D8317" s="2">
        <v>3.74149659863945E-3</v>
      </c>
      <c r="E8317" s="2">
        <v>5.2724077328646698E-3</v>
      </c>
      <c r="F8317" s="2">
        <v>5.0249399593570998E-3</v>
      </c>
    </row>
    <row r="8318" spans="1:6" x14ac:dyDescent="0.25">
      <c r="A8318" s="1" t="str">
        <f t="shared" si="299"/>
        <v>18500</v>
      </c>
      <c r="B8318" s="1" t="str">
        <f>"14815"</f>
        <v>14815</v>
      </c>
      <c r="C8318" s="2">
        <v>3.1323889012388E-3</v>
      </c>
      <c r="D8318" s="2">
        <v>2.0408163265306098E-3</v>
      </c>
      <c r="E8318" s="2">
        <v>5.8582308142940799E-4</v>
      </c>
      <c r="F8318" s="2">
        <v>2.9927951228523901E-3</v>
      </c>
    </row>
    <row r="8319" spans="1:6" x14ac:dyDescent="0.25">
      <c r="A8319" s="1" t="str">
        <f t="shared" si="299"/>
        <v>18500</v>
      </c>
      <c r="B8319" s="1" t="str">
        <f>"14572"</f>
        <v>14572</v>
      </c>
      <c r="C8319" s="2">
        <v>4.0276458581735099E-2</v>
      </c>
      <c r="D8319" s="2">
        <v>4.0476190476190402E-2</v>
      </c>
      <c r="E8319" s="2">
        <v>5.44815465729349E-2</v>
      </c>
      <c r="F8319" s="2">
        <v>4.0735266949935303E-2</v>
      </c>
    </row>
    <row r="8320" spans="1:6" x14ac:dyDescent="0.25">
      <c r="A8320" s="1" t="str">
        <f t="shared" si="299"/>
        <v>18500</v>
      </c>
      <c r="B8320" s="1" t="str">
        <f>"14885"</f>
        <v>14885</v>
      </c>
      <c r="C8320" s="2">
        <v>8.4069276317118996E-3</v>
      </c>
      <c r="D8320" s="2">
        <v>3.40136054421768E-3</v>
      </c>
      <c r="E8320" s="2">
        <v>5.8582308142940799E-4</v>
      </c>
      <c r="F8320" s="2">
        <v>7.8884167744319202E-3</v>
      </c>
    </row>
    <row r="8321" spans="1:6" x14ac:dyDescent="0.25">
      <c r="A8321" s="1" t="str">
        <f t="shared" si="299"/>
        <v>18500</v>
      </c>
      <c r="B8321" s="1" t="str">
        <f>"14823"</f>
        <v>14823</v>
      </c>
      <c r="C8321" s="2">
        <v>3.7123860719843103E-2</v>
      </c>
      <c r="D8321" s="2">
        <v>3.0272108843537399E-2</v>
      </c>
      <c r="E8321" s="2">
        <v>3.04628002343292E-2</v>
      </c>
      <c r="F8321" s="2">
        <v>3.6541658969148301E-2</v>
      </c>
    </row>
    <row r="8322" spans="1:6" x14ac:dyDescent="0.25">
      <c r="A8322" s="1" t="str">
        <f t="shared" si="299"/>
        <v>18500</v>
      </c>
      <c r="B8322" s="1" t="str">
        <f>"14877"</f>
        <v>14877</v>
      </c>
      <c r="C8322" s="2">
        <v>6.81041974011276E-3</v>
      </c>
      <c r="D8322" s="2">
        <v>2.3809523809523799E-3</v>
      </c>
      <c r="E8322" s="2">
        <v>5.8582308142940799E-4</v>
      </c>
      <c r="F8322" s="2">
        <v>6.3735451690374997E-3</v>
      </c>
    </row>
    <row r="8323" spans="1:6" x14ac:dyDescent="0.25">
      <c r="A8323" s="1" t="str">
        <f t="shared" si="299"/>
        <v>18500</v>
      </c>
      <c r="B8323" s="1" t="str">
        <f>"14810"</f>
        <v>14810</v>
      </c>
      <c r="C8323" s="2">
        <v>0.12398197360709701</v>
      </c>
      <c r="D8323" s="2">
        <v>0.170408163265306</v>
      </c>
      <c r="E8323" s="2">
        <v>0.21323960164030401</v>
      </c>
      <c r="F8323" s="2">
        <v>0.129318307777572</v>
      </c>
    </row>
    <row r="8324" spans="1:6" x14ac:dyDescent="0.25">
      <c r="A8324" s="1" t="str">
        <f t="shared" si="299"/>
        <v>18500</v>
      </c>
      <c r="B8324" s="1" t="str">
        <f>"14855"</f>
        <v>14855</v>
      </c>
      <c r="C8324" s="2">
        <v>7.2752258351352897E-3</v>
      </c>
      <c r="D8324" s="2">
        <v>2.0408163265306098E-3</v>
      </c>
      <c r="E8324" s="2">
        <v>6.4440538957234901E-3</v>
      </c>
      <c r="F8324" s="2">
        <v>6.9647145760206898E-3</v>
      </c>
    </row>
    <row r="8325" spans="1:6" x14ac:dyDescent="0.25">
      <c r="A8325" s="1" t="str">
        <f t="shared" si="299"/>
        <v>18500</v>
      </c>
      <c r="B8325" s="1" t="str">
        <f>"14804"</f>
        <v>14804</v>
      </c>
      <c r="C8325" s="2">
        <v>2.0208960653153601E-4</v>
      </c>
      <c r="D8325" s="2">
        <v>0</v>
      </c>
      <c r="E8325" s="2">
        <v>0</v>
      </c>
      <c r="F8325" s="2">
        <v>1.8474043968224601E-4</v>
      </c>
    </row>
    <row r="8326" spans="1:6" x14ac:dyDescent="0.25">
      <c r="A8326" s="1" t="str">
        <f t="shared" si="299"/>
        <v>18500</v>
      </c>
      <c r="B8326" s="1" t="str">
        <f>"14843"</f>
        <v>14843</v>
      </c>
      <c r="C8326" s="2">
        <v>0.12913525857365099</v>
      </c>
      <c r="D8326" s="2">
        <v>0.20374149659863899</v>
      </c>
      <c r="E8326" s="2">
        <v>0.166959578207381</v>
      </c>
      <c r="F8326" s="2">
        <v>0.13438019582486599</v>
      </c>
    </row>
    <row r="8327" spans="1:6" x14ac:dyDescent="0.25">
      <c r="A8327" s="1" t="str">
        <f t="shared" si="299"/>
        <v>18500</v>
      </c>
      <c r="B8327" s="1" t="str">
        <f>"14858"</f>
        <v>14858</v>
      </c>
      <c r="C8327" s="2">
        <v>1.9744154558131E-2</v>
      </c>
      <c r="D8327" s="2">
        <v>6.4625850340136E-3</v>
      </c>
      <c r="E8327" s="2">
        <v>4.1007615700058503E-3</v>
      </c>
      <c r="F8327" s="2">
        <v>1.8529466100129299E-2</v>
      </c>
    </row>
    <row r="8328" spans="1:6" x14ac:dyDescent="0.25">
      <c r="A8328" s="1" t="str">
        <f t="shared" si="299"/>
        <v>18500</v>
      </c>
      <c r="B8328" s="1" t="str">
        <f>"14529"</f>
        <v>14529</v>
      </c>
      <c r="C8328" s="2">
        <v>0</v>
      </c>
      <c r="D8328" s="2">
        <v>0</v>
      </c>
      <c r="E8328" s="2">
        <v>5.8582308142940799E-4</v>
      </c>
      <c r="F8328" s="2">
        <v>1.8474043968224599E-5</v>
      </c>
    </row>
    <row r="8329" spans="1:6" x14ac:dyDescent="0.25">
      <c r="A8329" s="1" t="str">
        <f t="shared" si="299"/>
        <v>18500</v>
      </c>
      <c r="B8329" s="1" t="str">
        <f>"14874"</f>
        <v>14874</v>
      </c>
      <c r="C8329" s="2">
        <v>2.3846573570721198E-3</v>
      </c>
      <c r="D8329" s="2">
        <v>0</v>
      </c>
      <c r="E8329" s="2">
        <v>5.8582308142940799E-4</v>
      </c>
      <c r="F8329" s="2">
        <v>2.1984112322187299E-3</v>
      </c>
    </row>
    <row r="8330" spans="1:6" x14ac:dyDescent="0.25">
      <c r="A8330" s="1" t="str">
        <f t="shared" si="299"/>
        <v>18500</v>
      </c>
      <c r="B8330" s="1" t="str">
        <f>"14837"</f>
        <v>14837</v>
      </c>
      <c r="C8330" s="2">
        <v>2.5059111209910401E-3</v>
      </c>
      <c r="D8330" s="2">
        <v>6.8027210884353704E-4</v>
      </c>
      <c r="E8330" s="2">
        <v>0</v>
      </c>
      <c r="F8330" s="2">
        <v>2.3277295399963E-3</v>
      </c>
    </row>
    <row r="8331" spans="1:6" x14ac:dyDescent="0.25">
      <c r="A8331" s="1" t="str">
        <f t="shared" si="299"/>
        <v>18500</v>
      </c>
      <c r="B8331" s="1" t="str">
        <f>"14806"</f>
        <v>14806</v>
      </c>
      <c r="C8331" s="2">
        <v>1.9602691833559001E-3</v>
      </c>
      <c r="D8331" s="2">
        <v>0</v>
      </c>
      <c r="E8331" s="2">
        <v>1.7574692442882201E-3</v>
      </c>
      <c r="F8331" s="2">
        <v>1.8474043968224601E-3</v>
      </c>
    </row>
    <row r="8332" spans="1:6" x14ac:dyDescent="0.25">
      <c r="A8332" s="1" t="str">
        <f t="shared" si="299"/>
        <v>18500</v>
      </c>
      <c r="B8332" s="1" t="str">
        <f>"14870"</f>
        <v>14870</v>
      </c>
      <c r="C8332" s="2">
        <v>9.7649697876038194E-2</v>
      </c>
      <c r="D8332" s="2">
        <v>8.8095238095238004E-2</v>
      </c>
      <c r="E8332" s="2">
        <v>6.5612185120093702E-2</v>
      </c>
      <c r="F8332" s="2">
        <v>9.6120450766672805E-2</v>
      </c>
    </row>
    <row r="8333" spans="1:6" x14ac:dyDescent="0.25">
      <c r="A8333" s="1" t="str">
        <f t="shared" si="299"/>
        <v>18500</v>
      </c>
      <c r="B8333" s="1" t="str">
        <f>"14807"</f>
        <v>14807</v>
      </c>
      <c r="C8333" s="2">
        <v>2.37455287674554E-2</v>
      </c>
      <c r="D8333" s="2">
        <v>1.6666666666666601E-2</v>
      </c>
      <c r="E8333" s="2">
        <v>1.6988869361452798E-2</v>
      </c>
      <c r="F8333" s="2">
        <v>2.3147977092185398E-2</v>
      </c>
    </row>
    <row r="8334" spans="1:6" x14ac:dyDescent="0.25">
      <c r="A8334" s="1" t="str">
        <f t="shared" si="299"/>
        <v>18500</v>
      </c>
      <c r="B8334" s="1" t="str">
        <f>"14809"</f>
        <v>14809</v>
      </c>
      <c r="C8334" s="2">
        <v>2.5665380029505001E-2</v>
      </c>
      <c r="D8334" s="2">
        <v>1.3945578231292499E-2</v>
      </c>
      <c r="E8334" s="2">
        <v>1.23022847100175E-2</v>
      </c>
      <c r="F8334" s="2">
        <v>2.4607426565675199E-2</v>
      </c>
    </row>
    <row r="8335" spans="1:6" x14ac:dyDescent="0.25">
      <c r="A8335" s="1" t="str">
        <f t="shared" si="299"/>
        <v>18500</v>
      </c>
      <c r="B8335" s="1" t="str">
        <f>"14898"</f>
        <v>14898</v>
      </c>
      <c r="C8335" s="2">
        <v>1.28528989754056E-2</v>
      </c>
      <c r="D8335" s="2">
        <v>9.5238095238095195E-3</v>
      </c>
      <c r="E8335" s="2">
        <v>2.92911540714704E-3</v>
      </c>
      <c r="F8335" s="2">
        <v>1.2359135414742199E-2</v>
      </c>
    </row>
    <row r="8336" spans="1:6" x14ac:dyDescent="0.25">
      <c r="A8336" s="1" t="str">
        <f t="shared" si="299"/>
        <v>18500</v>
      </c>
      <c r="B8336" s="1" t="str">
        <f>"14856"</f>
        <v>14856</v>
      </c>
      <c r="C8336" s="2">
        <v>0</v>
      </c>
      <c r="D8336" s="2">
        <v>0</v>
      </c>
      <c r="E8336" s="2">
        <v>5.8582308142940799E-4</v>
      </c>
      <c r="F8336" s="2">
        <v>1.8474043968224599E-5</v>
      </c>
    </row>
    <row r="8337" spans="1:6" x14ac:dyDescent="0.25">
      <c r="A8337" s="1" t="str">
        <f t="shared" si="299"/>
        <v>18500</v>
      </c>
      <c r="B8337" s="1" t="str">
        <f>"14512"</f>
        <v>14512</v>
      </c>
      <c r="C8337" s="2">
        <v>2.40486631772527E-3</v>
      </c>
      <c r="D8337" s="2">
        <v>3.4013605442176798E-4</v>
      </c>
      <c r="E8337" s="2">
        <v>1.1716461628588099E-3</v>
      </c>
      <c r="F8337" s="2">
        <v>2.2538333641234001E-3</v>
      </c>
    </row>
    <row r="8338" spans="1:6" x14ac:dyDescent="0.25">
      <c r="A8338" s="1" t="str">
        <f t="shared" si="299"/>
        <v>18500</v>
      </c>
      <c r="B8338" s="1" t="str">
        <f>"14812"</f>
        <v>14812</v>
      </c>
      <c r="C8338" s="2">
        <v>6.0020613139866201E-3</v>
      </c>
      <c r="D8338" s="2">
        <v>4.0816326530612197E-3</v>
      </c>
      <c r="E8338" s="2">
        <v>1.7574692442882201E-3</v>
      </c>
      <c r="F8338" s="2">
        <v>5.7639017180860803E-3</v>
      </c>
    </row>
    <row r="8339" spans="1:6" x14ac:dyDescent="0.25">
      <c r="A8339" s="1" t="str">
        <f t="shared" si="299"/>
        <v>18500</v>
      </c>
      <c r="B8339" s="1" t="str">
        <f>"14839"</f>
        <v>14839</v>
      </c>
      <c r="C8339" s="2">
        <v>6.8508376614190699E-3</v>
      </c>
      <c r="D8339" s="2">
        <v>2.0408163265306098E-3</v>
      </c>
      <c r="E8339" s="2">
        <v>5.8582308142940799E-4</v>
      </c>
      <c r="F8339" s="2">
        <v>6.3920192130057204E-3</v>
      </c>
    </row>
    <row r="8340" spans="1:6" x14ac:dyDescent="0.25">
      <c r="A8340" s="1" t="str">
        <f t="shared" si="299"/>
        <v>18500</v>
      </c>
      <c r="B8340" s="1" t="str">
        <f>"14840"</f>
        <v>14840</v>
      </c>
      <c r="C8340" s="2">
        <v>5.1350969019663302E-2</v>
      </c>
      <c r="D8340" s="2">
        <v>2.0068027210884298E-2</v>
      </c>
      <c r="E8340" s="2">
        <v>1.3473930872876299E-2</v>
      </c>
      <c r="F8340" s="2">
        <v>4.8457417328653198E-2</v>
      </c>
    </row>
    <row r="8341" spans="1:6" x14ac:dyDescent="0.25">
      <c r="A8341" s="1" t="str">
        <f t="shared" si="299"/>
        <v>18500</v>
      </c>
      <c r="B8341" s="1" t="str">
        <f>"14826"</f>
        <v>14826</v>
      </c>
      <c r="C8341" s="2">
        <v>2.1583169977568002E-2</v>
      </c>
      <c r="D8341" s="2">
        <v>8.5034013605442098E-3</v>
      </c>
      <c r="E8341" s="2">
        <v>5.2724077328646698E-3</v>
      </c>
      <c r="F8341" s="2">
        <v>2.0358396452983499E-2</v>
      </c>
    </row>
    <row r="8342" spans="1:6" x14ac:dyDescent="0.25">
      <c r="A8342" s="1" t="str">
        <f t="shared" si="299"/>
        <v>18500</v>
      </c>
      <c r="B8342" s="1" t="str">
        <f>"14821"</f>
        <v>14821</v>
      </c>
      <c r="C8342" s="2">
        <v>3.3445829880969197E-2</v>
      </c>
      <c r="D8342" s="2">
        <v>1.3605442176870699E-2</v>
      </c>
      <c r="E8342" s="2">
        <v>1.6403046280023401E-2</v>
      </c>
      <c r="F8342" s="2">
        <v>3.1830777757251003E-2</v>
      </c>
    </row>
    <row r="8343" spans="1:6" x14ac:dyDescent="0.25">
      <c r="A8343" s="1" t="str">
        <f t="shared" si="299"/>
        <v>18500</v>
      </c>
      <c r="B8343" s="1" t="str">
        <f>"14820"</f>
        <v>14820</v>
      </c>
      <c r="C8343" s="2">
        <v>6.3456136450902303E-3</v>
      </c>
      <c r="D8343" s="2">
        <v>1.36054421768707E-3</v>
      </c>
      <c r="E8343" s="2">
        <v>1.7574692442882201E-3</v>
      </c>
      <c r="F8343" s="2">
        <v>5.9301681138001104E-3</v>
      </c>
    </row>
    <row r="8344" spans="1:6" x14ac:dyDescent="0.25">
      <c r="A8344" s="1" t="str">
        <f t="shared" si="299"/>
        <v>18500</v>
      </c>
      <c r="B8344" s="1" t="str">
        <f>"14803"</f>
        <v>14803</v>
      </c>
      <c r="C8344" s="2">
        <v>6.26477780247761E-4</v>
      </c>
      <c r="D8344" s="2">
        <v>0</v>
      </c>
      <c r="E8344" s="2">
        <v>0</v>
      </c>
      <c r="F8344" s="2">
        <v>5.7269536301496305E-4</v>
      </c>
    </row>
    <row r="8345" spans="1:6" x14ac:dyDescent="0.25">
      <c r="A8345" s="1" t="str">
        <f t="shared" si="299"/>
        <v>18500</v>
      </c>
      <c r="B8345" s="1" t="str">
        <f>"14897"</f>
        <v>14897</v>
      </c>
      <c r="C8345" s="2">
        <v>1.6167168522522799E-4</v>
      </c>
      <c r="D8345" s="2">
        <v>0</v>
      </c>
      <c r="E8345" s="2">
        <v>0</v>
      </c>
      <c r="F8345" s="2">
        <v>1.4779235174579701E-4</v>
      </c>
    </row>
    <row r="8346" spans="1:6" x14ac:dyDescent="0.25">
      <c r="A8346" s="1" t="str">
        <f t="shared" si="299"/>
        <v>18500</v>
      </c>
      <c r="B8346" s="1" t="str">
        <f>"14814"</f>
        <v>14814</v>
      </c>
      <c r="C8346" s="2">
        <v>1.6975526948649E-3</v>
      </c>
      <c r="D8346" s="2">
        <v>0</v>
      </c>
      <c r="E8346" s="2">
        <v>0</v>
      </c>
      <c r="F8346" s="2">
        <v>1.55181969333087E-3</v>
      </c>
    </row>
    <row r="8347" spans="1:6" x14ac:dyDescent="0.25">
      <c r="A8347" s="1" t="str">
        <f t="shared" si="299"/>
        <v>18500</v>
      </c>
      <c r="B8347" s="1" t="str">
        <f>"14819"</f>
        <v>14819</v>
      </c>
      <c r="C8347" s="2">
        <v>6.99230038599114E-3</v>
      </c>
      <c r="D8347" s="2">
        <v>2.3809523809523799E-3</v>
      </c>
      <c r="E8347" s="2">
        <v>5.8582308142940799E-4</v>
      </c>
      <c r="F8347" s="2">
        <v>6.5398115647515203E-3</v>
      </c>
    </row>
    <row r="8348" spans="1:6" x14ac:dyDescent="0.25">
      <c r="A8348" s="1" t="str">
        <f t="shared" ref="A8348:A8379" si="300">"18580"</f>
        <v>18580</v>
      </c>
      <c r="B8348" s="1" t="str">
        <f>"78336"</f>
        <v>78336</v>
      </c>
      <c r="C8348" s="2">
        <v>2.5242823383756701E-2</v>
      </c>
      <c r="D8348" s="2">
        <v>2.4517228322605E-2</v>
      </c>
      <c r="E8348" s="2">
        <v>2.07079646017699E-2</v>
      </c>
      <c r="F8348" s="2">
        <v>2.5065017953204399E-2</v>
      </c>
    </row>
    <row r="8349" spans="1:6" x14ac:dyDescent="0.25">
      <c r="A8349" s="1" t="str">
        <f t="shared" si="300"/>
        <v>18580</v>
      </c>
      <c r="B8349" s="1" t="str">
        <f>"78370"</f>
        <v>78370</v>
      </c>
      <c r="C8349" s="2">
        <v>1.4699596645426199E-2</v>
      </c>
      <c r="D8349" s="2">
        <v>5.82165846270352E-3</v>
      </c>
      <c r="E8349" s="2">
        <v>5.8407079646017601E-3</v>
      </c>
      <c r="F8349" s="2">
        <v>1.36678809140286E-2</v>
      </c>
    </row>
    <row r="8350" spans="1:6" x14ac:dyDescent="0.25">
      <c r="A8350" s="1" t="str">
        <f t="shared" si="300"/>
        <v>18580</v>
      </c>
      <c r="B8350" s="1" t="str">
        <f>"78387"</f>
        <v>78387</v>
      </c>
      <c r="C8350" s="2">
        <v>1.91851353276703E-2</v>
      </c>
      <c r="D8350" s="2">
        <v>1.75596365013252E-2</v>
      </c>
      <c r="E8350" s="2">
        <v>1.0442477876106099E-2</v>
      </c>
      <c r="F8350" s="2">
        <v>1.8821557738981601E-2</v>
      </c>
    </row>
    <row r="8351" spans="1:6" x14ac:dyDescent="0.25">
      <c r="A8351" s="1" t="str">
        <f t="shared" si="300"/>
        <v>18580</v>
      </c>
      <c r="B8351" s="1" t="str">
        <f>"78406"</f>
        <v>78406</v>
      </c>
      <c r="C8351" s="2">
        <v>2.2747036252781898E-3</v>
      </c>
      <c r="D8351" s="2">
        <v>7.4308973873532698E-3</v>
      </c>
      <c r="E8351" s="2">
        <v>5.6637168141592904E-3</v>
      </c>
      <c r="F8351" s="2">
        <v>2.8308317522066999E-3</v>
      </c>
    </row>
    <row r="8352" spans="1:6" x14ac:dyDescent="0.25">
      <c r="A8352" s="1" t="str">
        <f t="shared" si="300"/>
        <v>18580</v>
      </c>
      <c r="B8352" s="1" t="str">
        <f>"78362"</f>
        <v>78362</v>
      </c>
      <c r="C8352" s="2">
        <v>2.2781427020334699E-2</v>
      </c>
      <c r="D8352" s="2">
        <v>1.06493752366527E-2</v>
      </c>
      <c r="E8352" s="2">
        <v>1.7345132743362801E-2</v>
      </c>
      <c r="F8352" s="2">
        <v>2.1535161795928199E-2</v>
      </c>
    </row>
    <row r="8353" spans="1:6" x14ac:dyDescent="0.25">
      <c r="A8353" s="1" t="str">
        <f t="shared" si="300"/>
        <v>18580</v>
      </c>
      <c r="B8353" s="1" t="str">
        <f>"78416"</f>
        <v>78416</v>
      </c>
      <c r="C8353" s="2">
        <v>2.5380386453967899E-2</v>
      </c>
      <c r="D8353" s="2">
        <v>1.7322983718288502E-2</v>
      </c>
      <c r="E8353" s="2">
        <v>1.9646017699115E-2</v>
      </c>
      <c r="F8353" s="2">
        <v>2.45005883093595E-2</v>
      </c>
    </row>
    <row r="8354" spans="1:6" x14ac:dyDescent="0.25">
      <c r="A8354" s="1" t="str">
        <f t="shared" si="300"/>
        <v>18580</v>
      </c>
      <c r="B8354" s="1" t="str">
        <f>"78466"</f>
        <v>78466</v>
      </c>
      <c r="C8354" s="2">
        <v>5.19791886726637E-3</v>
      </c>
      <c r="D8354" s="2">
        <v>2.1535403256342199E-2</v>
      </c>
      <c r="E8354" s="2">
        <v>3.53982300884955E-4</v>
      </c>
      <c r="F8354" s="2">
        <v>6.5777762340385798E-3</v>
      </c>
    </row>
    <row r="8355" spans="1:6" x14ac:dyDescent="0.25">
      <c r="A8355" s="1" t="str">
        <f t="shared" si="300"/>
        <v>18580</v>
      </c>
      <c r="B8355" s="1" t="str">
        <f>"78407"</f>
        <v>78407</v>
      </c>
      <c r="C8355" s="2">
        <v>6.4163346319942201E-3</v>
      </c>
      <c r="D8355" s="2">
        <v>4.9697084437712903E-3</v>
      </c>
      <c r="E8355" s="2">
        <v>1.2212389380530901E-2</v>
      </c>
      <c r="F8355" s="2">
        <v>6.4258144068495698E-3</v>
      </c>
    </row>
    <row r="8356" spans="1:6" x14ac:dyDescent="0.25">
      <c r="A8356" s="1" t="str">
        <f t="shared" si="300"/>
        <v>18580</v>
      </c>
      <c r="B8356" s="1" t="str">
        <f>"78403"</f>
        <v>78403</v>
      </c>
      <c r="C8356" s="2">
        <v>8.0032229062163701E-3</v>
      </c>
      <c r="D8356" s="2">
        <v>2.12040893600908E-2</v>
      </c>
      <c r="E8356" s="2">
        <v>1.7699115044247701E-4</v>
      </c>
      <c r="F8356" s="2">
        <v>9.0221907685360796E-3</v>
      </c>
    </row>
    <row r="8357" spans="1:6" x14ac:dyDescent="0.25">
      <c r="A8357" s="1" t="str">
        <f t="shared" si="300"/>
        <v>18580</v>
      </c>
      <c r="B8357" s="1" t="str">
        <f>"78465"</f>
        <v>78465</v>
      </c>
      <c r="C8357" s="2">
        <v>4.4658868150710103E-3</v>
      </c>
      <c r="D8357" s="2">
        <v>4.8750473305565999E-3</v>
      </c>
      <c r="E8357" s="2">
        <v>1.7699115044247701E-4</v>
      </c>
      <c r="F8357" s="2">
        <v>4.3982094554990596E-3</v>
      </c>
    </row>
    <row r="8358" spans="1:6" x14ac:dyDescent="0.25">
      <c r="A8358" s="1" t="str">
        <f t="shared" si="300"/>
        <v>18580</v>
      </c>
      <c r="B8358" s="1" t="str">
        <f>"78390"</f>
        <v>78390</v>
      </c>
      <c r="C8358" s="2">
        <v>1.48912023503633E-2</v>
      </c>
      <c r="D8358" s="2">
        <v>9.5134418780764805E-3</v>
      </c>
      <c r="E8358" s="2">
        <v>8.6725663716814092E-3</v>
      </c>
      <c r="F8358" s="2">
        <v>1.42453358573469E-2</v>
      </c>
    </row>
    <row r="8359" spans="1:6" x14ac:dyDescent="0.25">
      <c r="A8359" s="1" t="str">
        <f t="shared" si="300"/>
        <v>18580</v>
      </c>
      <c r="B8359" s="1" t="str">
        <f>"78468"</f>
        <v>78468</v>
      </c>
      <c r="C8359" s="2">
        <v>4.3479756120328302E-3</v>
      </c>
      <c r="D8359" s="2">
        <v>9.8920863309352493E-3</v>
      </c>
      <c r="E8359" s="2">
        <v>3.53982300884955E-4</v>
      </c>
      <c r="F8359" s="2">
        <v>4.7585760742615696E-3</v>
      </c>
    </row>
    <row r="8360" spans="1:6" x14ac:dyDescent="0.25">
      <c r="A8360" s="1" t="str">
        <f t="shared" si="300"/>
        <v>18580</v>
      </c>
      <c r="B8360" s="1" t="str">
        <f>"78404"</f>
        <v>78404</v>
      </c>
      <c r="C8360" s="2">
        <v>3.5225971907655799E-2</v>
      </c>
      <c r="D8360" s="2">
        <v>3.9379023097311602E-2</v>
      </c>
      <c r="E8360" s="2">
        <v>9.1150442477876098E-2</v>
      </c>
      <c r="F8360" s="2">
        <v>3.6978825204822798E-2</v>
      </c>
    </row>
    <row r="8361" spans="1:6" x14ac:dyDescent="0.25">
      <c r="A8361" s="1" t="str">
        <f t="shared" si="300"/>
        <v>18580</v>
      </c>
      <c r="B8361" s="1" t="str">
        <f>"78347"</f>
        <v>78347</v>
      </c>
      <c r="C8361" s="2">
        <v>0</v>
      </c>
      <c r="D8361" s="2">
        <v>4.73305566073457E-5</v>
      </c>
      <c r="E8361" s="2">
        <v>0</v>
      </c>
      <c r="F8361" s="2">
        <v>4.3417664911145699E-6</v>
      </c>
    </row>
    <row r="8362" spans="1:6" x14ac:dyDescent="0.25">
      <c r="A8362" s="1" t="str">
        <f t="shared" si="300"/>
        <v>18580</v>
      </c>
      <c r="B8362" s="1" t="str">
        <f>"78352"</f>
        <v>78352</v>
      </c>
      <c r="C8362" s="2">
        <v>0</v>
      </c>
      <c r="D8362" s="2">
        <v>4.73305566073457E-5</v>
      </c>
      <c r="E8362" s="2">
        <v>0</v>
      </c>
      <c r="F8362" s="2">
        <v>4.3417664911145699E-6</v>
      </c>
    </row>
    <row r="8363" spans="1:6" x14ac:dyDescent="0.25">
      <c r="A8363" s="1" t="str">
        <f t="shared" si="300"/>
        <v>18580</v>
      </c>
      <c r="B8363" s="1" t="str">
        <f>"78460"</f>
        <v>78460</v>
      </c>
      <c r="C8363" s="2">
        <v>2.2304869241388699E-3</v>
      </c>
      <c r="D8363" s="2">
        <v>7.1942446043165402E-3</v>
      </c>
      <c r="E8363" s="2">
        <v>1.7699115044247701E-4</v>
      </c>
      <c r="F8363" s="2">
        <v>2.63545226010654E-3</v>
      </c>
    </row>
    <row r="8364" spans="1:6" x14ac:dyDescent="0.25">
      <c r="A8364" s="1" t="str">
        <f t="shared" si="300"/>
        <v>18580</v>
      </c>
      <c r="B8364" s="1" t="str">
        <f>"78389"</f>
        <v>78389</v>
      </c>
      <c r="C8364" s="2">
        <v>9.8259335865148799E-6</v>
      </c>
      <c r="D8364" s="2">
        <v>0</v>
      </c>
      <c r="E8364" s="2">
        <v>0</v>
      </c>
      <c r="F8364" s="2">
        <v>8.6835329822291397E-6</v>
      </c>
    </row>
    <row r="8365" spans="1:6" x14ac:dyDescent="0.25">
      <c r="A8365" s="1" t="str">
        <f t="shared" si="300"/>
        <v>18580</v>
      </c>
      <c r="B8365" s="1" t="str">
        <f>"78415"</f>
        <v>78415</v>
      </c>
      <c r="C8365" s="2">
        <v>7.6696324609541899E-2</v>
      </c>
      <c r="D8365" s="2">
        <v>6.3328284740628502E-2</v>
      </c>
      <c r="E8365" s="2">
        <v>8.0353982300884905E-2</v>
      </c>
      <c r="F8365" s="2">
        <v>7.5559762244866893E-2</v>
      </c>
    </row>
    <row r="8366" spans="1:6" x14ac:dyDescent="0.25">
      <c r="A8366" s="1" t="str">
        <f t="shared" si="300"/>
        <v>18580</v>
      </c>
      <c r="B8366" s="1" t="str">
        <f>"78401"</f>
        <v>78401</v>
      </c>
      <c r="C8366" s="2">
        <v>1.19974649091346E-2</v>
      </c>
      <c r="D8366" s="2">
        <v>9.77849299507762E-2</v>
      </c>
      <c r="E8366" s="2">
        <v>4.4247787610619399E-2</v>
      </c>
      <c r="F8366" s="2">
        <v>2.06581249647231E-2</v>
      </c>
    </row>
    <row r="8367" spans="1:6" x14ac:dyDescent="0.25">
      <c r="A8367" s="1" t="str">
        <f t="shared" si="300"/>
        <v>18580</v>
      </c>
      <c r="B8367" s="1" t="str">
        <f>"78417"</f>
        <v>78417</v>
      </c>
      <c r="C8367" s="2">
        <v>7.7035319318276702E-3</v>
      </c>
      <c r="D8367" s="2">
        <v>1.2542597500946599E-2</v>
      </c>
      <c r="E8367" s="2">
        <v>1.07964601769911E-2</v>
      </c>
      <c r="F8367" s="2">
        <v>8.2233057341710002E-3</v>
      </c>
    </row>
    <row r="8368" spans="1:6" x14ac:dyDescent="0.25">
      <c r="A8368" s="1" t="str">
        <f t="shared" si="300"/>
        <v>18580</v>
      </c>
      <c r="B8368" s="1" t="str">
        <f>"78351"</f>
        <v>78351</v>
      </c>
      <c r="C8368" s="2">
        <v>0</v>
      </c>
      <c r="D8368" s="2">
        <v>4.73305566073457E-5</v>
      </c>
      <c r="E8368" s="2">
        <v>0</v>
      </c>
      <c r="F8368" s="2">
        <v>4.3417664911145699E-6</v>
      </c>
    </row>
    <row r="8369" spans="1:6" x14ac:dyDescent="0.25">
      <c r="A8369" s="1" t="str">
        <f t="shared" si="300"/>
        <v>18580</v>
      </c>
      <c r="B8369" s="1" t="str">
        <f>"78419"</f>
        <v>78419</v>
      </c>
      <c r="C8369" s="2">
        <v>0</v>
      </c>
      <c r="D8369" s="2">
        <v>2.3665278303672799E-3</v>
      </c>
      <c r="E8369" s="2">
        <v>1.06194690265486E-3</v>
      </c>
      <c r="F8369" s="2">
        <v>2.4313892350241601E-4</v>
      </c>
    </row>
    <row r="8370" spans="1:6" x14ac:dyDescent="0.25">
      <c r="A8370" s="1" t="str">
        <f t="shared" si="300"/>
        <v>18580</v>
      </c>
      <c r="B8370" s="1" t="str">
        <f>"78480"</f>
        <v>78480</v>
      </c>
      <c r="C8370" s="2">
        <v>5.2323096348191704E-3</v>
      </c>
      <c r="D8370" s="2">
        <v>9.4661113214691405E-3</v>
      </c>
      <c r="E8370" s="2">
        <v>1.7699115044247701E-4</v>
      </c>
      <c r="F8370" s="2">
        <v>5.4966763777510499E-3</v>
      </c>
    </row>
    <row r="8371" spans="1:6" x14ac:dyDescent="0.25">
      <c r="A8371" s="1" t="str">
        <f t="shared" si="300"/>
        <v>18580</v>
      </c>
      <c r="B8371" s="1" t="str">
        <f>"78410"</f>
        <v>78410</v>
      </c>
      <c r="C8371" s="2">
        <v>5.5727782335919102E-2</v>
      </c>
      <c r="D8371" s="2">
        <v>3.7201817493373701E-2</v>
      </c>
      <c r="E8371" s="2">
        <v>4.4955752212389302E-2</v>
      </c>
      <c r="F8371" s="2">
        <v>5.3764094459471702E-2</v>
      </c>
    </row>
    <row r="8372" spans="1:6" x14ac:dyDescent="0.25">
      <c r="A8372" s="1" t="str">
        <f t="shared" si="300"/>
        <v>18580</v>
      </c>
      <c r="B8372" s="1" t="str">
        <f>"78413"</f>
        <v>78413</v>
      </c>
      <c r="C8372" s="2">
        <v>8.0936214952123095E-2</v>
      </c>
      <c r="D8372" s="2">
        <v>4.7614539946989699E-2</v>
      </c>
      <c r="E8372" s="2">
        <v>6.9380530973451301E-2</v>
      </c>
      <c r="F8372" s="2">
        <v>7.7596050729199603E-2</v>
      </c>
    </row>
    <row r="8373" spans="1:6" x14ac:dyDescent="0.25">
      <c r="A8373" s="1" t="str">
        <f t="shared" si="300"/>
        <v>18580</v>
      </c>
      <c r="B8373" s="1" t="str">
        <f>"78414"</f>
        <v>78414</v>
      </c>
      <c r="C8373" s="2">
        <v>9.5429466992232495E-2</v>
      </c>
      <c r="D8373" s="2">
        <v>2.6647103369935601E-2</v>
      </c>
      <c r="E8373" s="2">
        <v>4.2477876106194599E-2</v>
      </c>
      <c r="F8373" s="2">
        <v>8.7820910815774506E-2</v>
      </c>
    </row>
    <row r="8374" spans="1:6" x14ac:dyDescent="0.25">
      <c r="A8374" s="1" t="str">
        <f t="shared" si="300"/>
        <v>18580</v>
      </c>
      <c r="B8374" s="1" t="str">
        <f>"78418"</f>
        <v>78418</v>
      </c>
      <c r="C8374" s="2">
        <v>8.0459657173177102E-2</v>
      </c>
      <c r="D8374" s="2">
        <v>3.8290420295342603E-2</v>
      </c>
      <c r="E8374" s="2">
        <v>0.15734513274336201</v>
      </c>
      <c r="F8374" s="2">
        <v>7.8477429326895901E-2</v>
      </c>
    </row>
    <row r="8375" spans="1:6" x14ac:dyDescent="0.25">
      <c r="A8375" s="1" t="str">
        <f t="shared" si="300"/>
        <v>18580</v>
      </c>
      <c r="B8375" s="1" t="str">
        <f>"78368"</f>
        <v>78368</v>
      </c>
      <c r="C8375" s="2">
        <v>2.2948467891305498E-2</v>
      </c>
      <c r="D8375" s="2">
        <v>1.6613025369178299E-2</v>
      </c>
      <c r="E8375" s="2">
        <v>8.6725663716814092E-3</v>
      </c>
      <c r="F8375" s="2">
        <v>2.2017097876442002E-2</v>
      </c>
    </row>
    <row r="8376" spans="1:6" x14ac:dyDescent="0.25">
      <c r="A8376" s="1" t="str">
        <f t="shared" si="300"/>
        <v>18580</v>
      </c>
      <c r="B8376" s="1" t="str">
        <f>"78374"</f>
        <v>78374</v>
      </c>
      <c r="C8376" s="2">
        <v>4.56955041440874E-2</v>
      </c>
      <c r="D8376" s="2">
        <v>3.10015145778114E-2</v>
      </c>
      <c r="E8376" s="2">
        <v>2.8495575221238901E-2</v>
      </c>
      <c r="F8376" s="2">
        <v>4.3925651590606102E-2</v>
      </c>
    </row>
    <row r="8377" spans="1:6" x14ac:dyDescent="0.25">
      <c r="A8377" s="1" t="str">
        <f t="shared" si="300"/>
        <v>18580</v>
      </c>
      <c r="B8377" s="1" t="str">
        <f>"78380"</f>
        <v>78380</v>
      </c>
      <c r="C8377" s="2">
        <v>5.00238278889472E-2</v>
      </c>
      <c r="D8377" s="2">
        <v>3.7769784172661802E-2</v>
      </c>
      <c r="E8377" s="2">
        <v>4.5132743362831802E-2</v>
      </c>
      <c r="F8377" s="2">
        <v>4.8779746527672203E-2</v>
      </c>
    </row>
    <row r="8378" spans="1:6" x14ac:dyDescent="0.25">
      <c r="A8378" s="1" t="str">
        <f t="shared" si="300"/>
        <v>18580</v>
      </c>
      <c r="B8378" s="1" t="str">
        <f>"78409"</f>
        <v>78409</v>
      </c>
      <c r="C8378" s="2">
        <v>6.0380361889133902E-3</v>
      </c>
      <c r="D8378" s="2">
        <v>1.7748958727754598E-2</v>
      </c>
      <c r="E8378" s="2">
        <v>9.3805309734513193E-3</v>
      </c>
      <c r="F8378" s="2">
        <v>7.1943070757768497E-3</v>
      </c>
    </row>
    <row r="8379" spans="1:6" x14ac:dyDescent="0.25">
      <c r="A8379" s="1" t="str">
        <f t="shared" si="300"/>
        <v>18580</v>
      </c>
      <c r="B8379" s="1" t="str">
        <f>"78426"</f>
        <v>78426</v>
      </c>
      <c r="C8379" s="2">
        <v>3.6601602609767901E-3</v>
      </c>
      <c r="D8379" s="2">
        <v>8.0935251798561099E-3</v>
      </c>
      <c r="E8379" s="2">
        <v>1.7699115044247701E-4</v>
      </c>
      <c r="F8379" s="2">
        <v>3.9813998723520604E-3</v>
      </c>
    </row>
    <row r="8380" spans="1:6" x14ac:dyDescent="0.25">
      <c r="A8380" s="1" t="str">
        <f t="shared" ref="A8380:A8396" si="301">"18580"</f>
        <v>18580</v>
      </c>
      <c r="B8380" s="1" t="str">
        <f>"78330"</f>
        <v>78330</v>
      </c>
      <c r="C8380" s="2">
        <v>1.22824169831436E-4</v>
      </c>
      <c r="D8380" s="2">
        <v>9.46611132146914E-5</v>
      </c>
      <c r="E8380" s="2">
        <v>0</v>
      </c>
      <c r="F8380" s="2">
        <v>1.17227695260093E-4</v>
      </c>
    </row>
    <row r="8381" spans="1:6" x14ac:dyDescent="0.25">
      <c r="A8381" s="1" t="str">
        <f t="shared" si="301"/>
        <v>18580</v>
      </c>
      <c r="B8381" s="1" t="str">
        <f>"78402"</f>
        <v>78402</v>
      </c>
      <c r="C8381" s="2">
        <v>3.8615918995003498E-3</v>
      </c>
      <c r="D8381" s="2">
        <v>4.2597500946611102E-3</v>
      </c>
      <c r="E8381" s="2">
        <v>4.7787610619469002E-3</v>
      </c>
      <c r="F8381" s="2">
        <v>3.9206151414764596E-3</v>
      </c>
    </row>
    <row r="8382" spans="1:6" x14ac:dyDescent="0.25">
      <c r="A8382" s="1" t="str">
        <f t="shared" si="301"/>
        <v>18580</v>
      </c>
      <c r="B8382" s="1" t="str">
        <f>"78427"</f>
        <v>78427</v>
      </c>
      <c r="C8382" s="2">
        <v>4.4511479146912402E-3</v>
      </c>
      <c r="D8382" s="2">
        <v>2.0541461567588001E-2</v>
      </c>
      <c r="E8382" s="2">
        <v>3.53982300884955E-4</v>
      </c>
      <c r="F8382" s="2">
        <v>5.8266506310757499E-3</v>
      </c>
    </row>
    <row r="8383" spans="1:6" x14ac:dyDescent="0.25">
      <c r="A8383" s="1" t="str">
        <f t="shared" si="301"/>
        <v>18580</v>
      </c>
      <c r="B8383" s="1" t="str">
        <f>"78363"</f>
        <v>78363</v>
      </c>
      <c r="C8383" s="2">
        <v>0</v>
      </c>
      <c r="D8383" s="2">
        <v>4.73305566073457E-5</v>
      </c>
      <c r="E8383" s="2">
        <v>0</v>
      </c>
      <c r="F8383" s="2">
        <v>4.3417664911145699E-6</v>
      </c>
    </row>
    <row r="8384" spans="1:6" x14ac:dyDescent="0.25">
      <c r="A8384" s="1" t="str">
        <f t="shared" si="301"/>
        <v>18580</v>
      </c>
      <c r="B8384" s="1" t="str">
        <f>"78463"</f>
        <v>78463</v>
      </c>
      <c r="C8384" s="2">
        <v>4.9719223947765302E-3</v>
      </c>
      <c r="D8384" s="2">
        <v>7.8095418402120403E-3</v>
      </c>
      <c r="E8384" s="2">
        <v>1.7699115044247701E-4</v>
      </c>
      <c r="F8384" s="2">
        <v>5.1146009265329601E-3</v>
      </c>
    </row>
    <row r="8385" spans="1:6" x14ac:dyDescent="0.25">
      <c r="A8385" s="1" t="str">
        <f t="shared" si="301"/>
        <v>18580</v>
      </c>
      <c r="B8385" s="1" t="str">
        <f>"78467"</f>
        <v>78467</v>
      </c>
      <c r="C8385" s="2">
        <v>5.6597377458325699E-3</v>
      </c>
      <c r="D8385" s="2">
        <v>8.8508140855736404E-3</v>
      </c>
      <c r="E8385" s="2">
        <v>3.53982300884955E-4</v>
      </c>
      <c r="F8385" s="2">
        <v>5.82230886458464E-3</v>
      </c>
    </row>
    <row r="8386" spans="1:6" x14ac:dyDescent="0.25">
      <c r="A8386" s="1" t="str">
        <f t="shared" si="301"/>
        <v>18580</v>
      </c>
      <c r="B8386" s="1" t="str">
        <f>"78335"</f>
        <v>78335</v>
      </c>
      <c r="C8386" s="2">
        <v>9.8013687525485994E-3</v>
      </c>
      <c r="D8386" s="2">
        <v>6.8156001514577801E-3</v>
      </c>
      <c r="E8386" s="2">
        <v>3.53982300884955E-4</v>
      </c>
      <c r="F8386" s="2">
        <v>9.2957220574763008E-3</v>
      </c>
    </row>
    <row r="8387" spans="1:6" x14ac:dyDescent="0.25">
      <c r="A8387" s="1" t="str">
        <f t="shared" si="301"/>
        <v>18580</v>
      </c>
      <c r="B8387" s="1" t="str">
        <f>"78405"</f>
        <v>78405</v>
      </c>
      <c r="C8387" s="2">
        <v>2.9418845158025501E-2</v>
      </c>
      <c r="D8387" s="2">
        <v>5.4477470655054899E-2</v>
      </c>
      <c r="E8387" s="2">
        <v>3.5044247787610602E-2</v>
      </c>
      <c r="F8387" s="2">
        <v>3.1855540745307602E-2</v>
      </c>
    </row>
    <row r="8388" spans="1:6" x14ac:dyDescent="0.25">
      <c r="A8388" s="1" t="str">
        <f t="shared" si="301"/>
        <v>18580</v>
      </c>
      <c r="B8388" s="1" t="str">
        <f>"78339"</f>
        <v>78339</v>
      </c>
      <c r="C8388" s="2">
        <v>4.9129667932574399E-6</v>
      </c>
      <c r="D8388" s="2">
        <v>4.73305566073457E-5</v>
      </c>
      <c r="E8388" s="2">
        <v>0</v>
      </c>
      <c r="F8388" s="2">
        <v>8.6835329822291397E-6</v>
      </c>
    </row>
    <row r="8389" spans="1:6" x14ac:dyDescent="0.25">
      <c r="A8389" s="1" t="str">
        <f t="shared" si="301"/>
        <v>18580</v>
      </c>
      <c r="B8389" s="1" t="str">
        <f>"78359"</f>
        <v>78359</v>
      </c>
      <c r="C8389" s="2">
        <v>3.9303734346059499E-5</v>
      </c>
      <c r="D8389" s="2">
        <v>4.73305566073457E-5</v>
      </c>
      <c r="E8389" s="2">
        <v>0</v>
      </c>
      <c r="F8389" s="2">
        <v>3.90758984200311E-5</v>
      </c>
    </row>
    <row r="8390" spans="1:6" x14ac:dyDescent="0.25">
      <c r="A8390" s="1" t="str">
        <f t="shared" si="301"/>
        <v>18580</v>
      </c>
      <c r="B8390" s="1" t="str">
        <f>"78411"</f>
        <v>78411</v>
      </c>
      <c r="C8390" s="2">
        <v>5.46665815085755E-2</v>
      </c>
      <c r="D8390" s="2">
        <v>0.10919159409314599</v>
      </c>
      <c r="E8390" s="2">
        <v>8.5132743362831803E-2</v>
      </c>
      <c r="F8390" s="2">
        <v>6.0415680723859298E-2</v>
      </c>
    </row>
    <row r="8391" spans="1:6" x14ac:dyDescent="0.25">
      <c r="A8391" s="1" t="str">
        <f t="shared" si="301"/>
        <v>18580</v>
      </c>
      <c r="B8391" s="1" t="str">
        <f>"78412"</f>
        <v>78412</v>
      </c>
      <c r="C8391" s="2">
        <v>9.3606756311934006E-2</v>
      </c>
      <c r="D8391" s="2">
        <v>5.42408178720181E-2</v>
      </c>
      <c r="E8391" s="2">
        <v>5.8938053097345101E-2</v>
      </c>
      <c r="F8391" s="2">
        <v>8.9145149595564396E-2</v>
      </c>
    </row>
    <row r="8392" spans="1:6" x14ac:dyDescent="0.25">
      <c r="A8392" s="1" t="str">
        <f t="shared" si="301"/>
        <v>18580</v>
      </c>
      <c r="B8392" s="1" t="str">
        <f>"78408"</f>
        <v>78408</v>
      </c>
      <c r="C8392" s="2">
        <v>2.27912529539212E-2</v>
      </c>
      <c r="D8392" s="2">
        <v>4.8040514956455803E-2</v>
      </c>
      <c r="E8392" s="2">
        <v>2.4955752212389298E-2</v>
      </c>
      <c r="F8392" s="2">
        <v>2.51605368160089E-2</v>
      </c>
    </row>
    <row r="8393" spans="1:6" x14ac:dyDescent="0.25">
      <c r="A8393" s="1" t="str">
        <f t="shared" si="301"/>
        <v>18580</v>
      </c>
      <c r="B8393" s="1" t="str">
        <f>"78383"</f>
        <v>78383</v>
      </c>
      <c r="C8393" s="2">
        <v>1.39528256928511E-3</v>
      </c>
      <c r="D8393" s="2">
        <v>4.73305566073457E-5</v>
      </c>
      <c r="E8393" s="2">
        <v>3.53982300884955E-4</v>
      </c>
      <c r="F8393" s="2">
        <v>1.2460869829498799E-3</v>
      </c>
    </row>
    <row r="8394" spans="1:6" x14ac:dyDescent="0.25">
      <c r="A8394" s="1" t="str">
        <f t="shared" si="301"/>
        <v>18580</v>
      </c>
      <c r="B8394" s="1" t="str">
        <f>"78343"</f>
        <v>78343</v>
      </c>
      <c r="C8394" s="2">
        <v>9.7866298521688197E-3</v>
      </c>
      <c r="D8394" s="2">
        <v>5.9636501325255496E-3</v>
      </c>
      <c r="E8394" s="2">
        <v>9.7345132743362796E-3</v>
      </c>
      <c r="F8394" s="2">
        <v>9.4346585851919698E-3</v>
      </c>
    </row>
    <row r="8395" spans="1:6" x14ac:dyDescent="0.25">
      <c r="A8395" s="1" t="str">
        <f t="shared" si="301"/>
        <v>18580</v>
      </c>
      <c r="B8395" s="1" t="str">
        <f>"78469"</f>
        <v>78469</v>
      </c>
      <c r="C8395" s="2">
        <v>4.4314960475182099E-3</v>
      </c>
      <c r="D8395" s="2">
        <v>1.30632336236274E-2</v>
      </c>
      <c r="E8395" s="2">
        <v>3.53982300884955E-4</v>
      </c>
      <c r="F8395" s="2">
        <v>5.1232844595151903E-3</v>
      </c>
    </row>
    <row r="8396" spans="1:6" x14ac:dyDescent="0.25">
      <c r="A8396" s="1" t="str">
        <f t="shared" si="301"/>
        <v>18580</v>
      </c>
      <c r="B8396" s="1" t="str">
        <f>"78373"</f>
        <v>78373</v>
      </c>
      <c r="C8396" s="2">
        <v>2.20886987024854E-2</v>
      </c>
      <c r="D8396" s="2">
        <v>1.79856115107913E-2</v>
      </c>
      <c r="E8396" s="2">
        <v>4.3893805309734503E-2</v>
      </c>
      <c r="F8396" s="2">
        <v>2.2247211500471001E-2</v>
      </c>
    </row>
    <row r="8397" spans="1:6" x14ac:dyDescent="0.25">
      <c r="A8397" s="1" t="str">
        <f t="shared" ref="A8397:A8414" si="302">"18620"</f>
        <v>18620</v>
      </c>
      <c r="B8397" s="1" t="str">
        <f>"75109"</f>
        <v>75109</v>
      </c>
      <c r="C8397" s="2">
        <v>9.5268352607277507E-2</v>
      </c>
      <c r="D8397" s="2">
        <v>6.9438301636444003E-2</v>
      </c>
      <c r="E8397" s="2">
        <v>1.26582278481012E-2</v>
      </c>
      <c r="F8397" s="2">
        <v>9.1564801457747994E-2</v>
      </c>
    </row>
    <row r="8398" spans="1:6" x14ac:dyDescent="0.25">
      <c r="A8398" s="1" t="str">
        <f t="shared" si="302"/>
        <v>18620</v>
      </c>
      <c r="B8398" s="1" t="str">
        <f>"75110"</f>
        <v>75110</v>
      </c>
      <c r="C8398" s="2">
        <v>0.52878383530308803</v>
      </c>
      <c r="D8398" s="2">
        <v>0.63467492260061897</v>
      </c>
      <c r="E8398" s="2">
        <v>0.86919831223628596</v>
      </c>
      <c r="F8398" s="2">
        <v>0.54399817781489601</v>
      </c>
    </row>
    <row r="8399" spans="1:6" x14ac:dyDescent="0.25">
      <c r="A8399" s="1" t="str">
        <f t="shared" si="302"/>
        <v>18620</v>
      </c>
      <c r="B8399" s="1" t="str">
        <f>"76626"</f>
        <v>76626</v>
      </c>
      <c r="C8399" s="2">
        <v>2.6093955182784699E-2</v>
      </c>
      <c r="D8399" s="2">
        <v>3.09597523219814E-3</v>
      </c>
      <c r="E8399" s="2">
        <v>4.2194092827004199E-3</v>
      </c>
      <c r="F8399" s="2">
        <v>2.3726368536937201E-2</v>
      </c>
    </row>
    <row r="8400" spans="1:6" x14ac:dyDescent="0.25">
      <c r="A8400" s="1" t="str">
        <f t="shared" si="302"/>
        <v>18620</v>
      </c>
      <c r="B8400" s="1" t="str">
        <f>"76693"</f>
        <v>76693</v>
      </c>
      <c r="C8400" s="2">
        <v>4.7443554877790398E-3</v>
      </c>
      <c r="D8400" s="2">
        <v>4.4228217602830598E-4</v>
      </c>
      <c r="E8400" s="2">
        <v>0</v>
      </c>
      <c r="F8400" s="2">
        <v>4.2897274314782404E-3</v>
      </c>
    </row>
    <row r="8401" spans="1:6" x14ac:dyDescent="0.25">
      <c r="A8401" s="1" t="str">
        <f t="shared" si="302"/>
        <v>18620</v>
      </c>
      <c r="B8401" s="1" t="str">
        <f>"76679"</f>
        <v>76679</v>
      </c>
      <c r="C8401" s="2">
        <v>3.1600796373956803E-2</v>
      </c>
      <c r="D8401" s="2">
        <v>1.1941618752764199E-2</v>
      </c>
      <c r="E8401" s="2">
        <v>4.2194092827004199E-3</v>
      </c>
      <c r="F8401" s="2">
        <v>2.9420696985802099E-2</v>
      </c>
    </row>
    <row r="8402" spans="1:6" x14ac:dyDescent="0.25">
      <c r="A8402" s="1" t="str">
        <f t="shared" si="302"/>
        <v>18620</v>
      </c>
      <c r="B8402" s="1" t="str">
        <f>"75859"</f>
        <v>75859</v>
      </c>
      <c r="C8402" s="2">
        <v>1.33434998093785E-2</v>
      </c>
      <c r="D8402" s="2">
        <v>4.86510393631136E-3</v>
      </c>
      <c r="E8402" s="2">
        <v>0</v>
      </c>
      <c r="F8402" s="2">
        <v>1.2375673828866399E-2</v>
      </c>
    </row>
    <row r="8403" spans="1:6" x14ac:dyDescent="0.25">
      <c r="A8403" s="1" t="str">
        <f t="shared" si="302"/>
        <v>18620</v>
      </c>
      <c r="B8403" s="1" t="str">
        <f>"76641"</f>
        <v>76641</v>
      </c>
      <c r="C8403" s="2">
        <v>2.6559918668191601E-2</v>
      </c>
      <c r="D8403" s="2">
        <v>8.8456435205661195E-4</v>
      </c>
      <c r="E8403" s="2">
        <v>4.2194092827004199E-3</v>
      </c>
      <c r="F8403" s="2">
        <v>2.39541416748918E-2</v>
      </c>
    </row>
    <row r="8404" spans="1:6" x14ac:dyDescent="0.25">
      <c r="A8404" s="1" t="str">
        <f t="shared" si="302"/>
        <v>18620</v>
      </c>
      <c r="B8404" s="1" t="str">
        <f>"76639"</f>
        <v>76639</v>
      </c>
      <c r="C8404" s="2">
        <v>2.8296691659253598E-2</v>
      </c>
      <c r="D8404" s="2">
        <v>4.42282176028306E-3</v>
      </c>
      <c r="E8404" s="2">
        <v>2.53164556962025E-2</v>
      </c>
      <c r="F8404" s="2">
        <v>2.61939108647786E-2</v>
      </c>
    </row>
    <row r="8405" spans="1:6" x14ac:dyDescent="0.25">
      <c r="A8405" s="1" t="str">
        <f t="shared" si="302"/>
        <v>18620</v>
      </c>
      <c r="B8405" s="1" t="str">
        <f>"75105"</f>
        <v>75105</v>
      </c>
      <c r="C8405" s="2">
        <v>4.7443554877790398E-3</v>
      </c>
      <c r="D8405" s="2">
        <v>4.4228217602830598E-4</v>
      </c>
      <c r="E8405" s="2">
        <v>2.1097046413502099E-3</v>
      </c>
      <c r="F8405" s="2">
        <v>4.3276896211373404E-3</v>
      </c>
    </row>
    <row r="8406" spans="1:6" x14ac:dyDescent="0.25">
      <c r="A8406" s="1" t="str">
        <f t="shared" si="302"/>
        <v>18620</v>
      </c>
      <c r="B8406" s="1" t="str">
        <f>"75155"</f>
        <v>75155</v>
      </c>
      <c r="C8406" s="2">
        <v>5.0408777057652301E-2</v>
      </c>
      <c r="D8406" s="2">
        <v>1.4153029632905699E-2</v>
      </c>
      <c r="E8406" s="2">
        <v>1.26582278481012E-2</v>
      </c>
      <c r="F8406" s="2">
        <v>4.6617568901374203E-2</v>
      </c>
    </row>
    <row r="8407" spans="1:6" x14ac:dyDescent="0.25">
      <c r="A8407" s="1" t="str">
        <f t="shared" si="302"/>
        <v>18620</v>
      </c>
      <c r="B8407" s="1" t="str">
        <f>"75119"</f>
        <v>75119</v>
      </c>
      <c r="C8407" s="2">
        <v>3.5159062989791102E-3</v>
      </c>
      <c r="D8407" s="2">
        <v>8.8456435205661195E-4</v>
      </c>
      <c r="E8407" s="2">
        <v>2.1097046413502099E-3</v>
      </c>
      <c r="F8407" s="2">
        <v>3.26474831068256E-3</v>
      </c>
    </row>
    <row r="8408" spans="1:6" x14ac:dyDescent="0.25">
      <c r="A8408" s="1" t="str">
        <f t="shared" si="302"/>
        <v>18620</v>
      </c>
      <c r="B8408" s="1" t="str">
        <f>"76670"</f>
        <v>76670</v>
      </c>
      <c r="C8408" s="2">
        <v>8.4720633710340105E-5</v>
      </c>
      <c r="D8408" s="2">
        <v>0</v>
      </c>
      <c r="E8408" s="2">
        <v>0</v>
      </c>
      <c r="F8408" s="2">
        <v>7.5924379318199003E-5</v>
      </c>
    </row>
    <row r="8409" spans="1:6" x14ac:dyDescent="0.25">
      <c r="A8409" s="1" t="str">
        <f t="shared" si="302"/>
        <v>18620</v>
      </c>
      <c r="B8409" s="1" t="str">
        <f>"75153"</f>
        <v>75153</v>
      </c>
      <c r="C8409" s="2">
        <v>1.0971322065489E-2</v>
      </c>
      <c r="D8409" s="2">
        <v>8.8456435205661195E-4</v>
      </c>
      <c r="E8409" s="2">
        <v>0</v>
      </c>
      <c r="F8409" s="2">
        <v>9.9081315010249704E-3</v>
      </c>
    </row>
    <row r="8410" spans="1:6" x14ac:dyDescent="0.25">
      <c r="A8410" s="1" t="str">
        <f t="shared" si="302"/>
        <v>18620</v>
      </c>
      <c r="B8410" s="1" t="str">
        <f>"75102"</f>
        <v>75102</v>
      </c>
      <c r="C8410" s="2">
        <v>3.0541788452577601E-2</v>
      </c>
      <c r="D8410" s="2">
        <v>4.86510393631136E-3</v>
      </c>
      <c r="E8410" s="2">
        <v>4.2194092827004199E-3</v>
      </c>
      <c r="F8410" s="2">
        <v>2.7864247209779001E-2</v>
      </c>
    </row>
    <row r="8411" spans="1:6" x14ac:dyDescent="0.25">
      <c r="A8411" s="1" t="str">
        <f t="shared" si="302"/>
        <v>18620</v>
      </c>
      <c r="B8411" s="1" t="str">
        <f>"75144"</f>
        <v>75144</v>
      </c>
      <c r="C8411" s="2">
        <v>7.5909687804464707E-2</v>
      </c>
      <c r="D8411" s="2">
        <v>6.19195046439628E-2</v>
      </c>
      <c r="E8411" s="2">
        <v>5.6962025316455597E-2</v>
      </c>
      <c r="F8411" s="2">
        <v>7.4367929542175901E-2</v>
      </c>
    </row>
    <row r="8412" spans="1:6" x14ac:dyDescent="0.25">
      <c r="A8412" s="1" t="str">
        <f t="shared" si="302"/>
        <v>18620</v>
      </c>
      <c r="B8412" s="1" t="str">
        <f>"75151"</f>
        <v>75151</v>
      </c>
      <c r="C8412" s="2">
        <v>5.3246918286948698E-2</v>
      </c>
      <c r="D8412" s="2">
        <v>0.18266253869969001</v>
      </c>
      <c r="E8412" s="2">
        <v>2.1097046413502099E-3</v>
      </c>
      <c r="F8412" s="2">
        <v>6.3434818920355296E-2</v>
      </c>
    </row>
    <row r="8413" spans="1:6" x14ac:dyDescent="0.25">
      <c r="A8413" s="1" t="str">
        <f t="shared" si="302"/>
        <v>18620</v>
      </c>
      <c r="B8413" s="1" t="str">
        <f>"76681"</f>
        <v>76681</v>
      </c>
      <c r="C8413" s="2">
        <v>1.13949252340407E-2</v>
      </c>
      <c r="D8413" s="2">
        <v>4.42282176028306E-3</v>
      </c>
      <c r="E8413" s="2">
        <v>0</v>
      </c>
      <c r="F8413" s="2">
        <v>1.05914509148887E-2</v>
      </c>
    </row>
    <row r="8414" spans="1:6" x14ac:dyDescent="0.25">
      <c r="A8414" s="1" t="str">
        <f t="shared" si="302"/>
        <v>18620</v>
      </c>
      <c r="B8414" s="1" t="str">
        <f>"76648"</f>
        <v>76648</v>
      </c>
      <c r="C8414" s="2">
        <v>4.4901935866480201E-3</v>
      </c>
      <c r="D8414" s="2">
        <v>0</v>
      </c>
      <c r="E8414" s="2">
        <v>0</v>
      </c>
      <c r="F8414" s="2">
        <v>4.0239921038645503E-3</v>
      </c>
    </row>
    <row r="8415" spans="1:6" x14ac:dyDescent="0.25">
      <c r="A8415" s="1" t="str">
        <f t="shared" ref="A8415:A8432" si="303">"18660"</f>
        <v>18660</v>
      </c>
      <c r="B8415" s="1" t="str">
        <f>"13087"</f>
        <v>13087</v>
      </c>
      <c r="C8415" s="2">
        <v>6.3373114996761902E-3</v>
      </c>
      <c r="D8415" s="2">
        <v>0</v>
      </c>
      <c r="E8415" s="2">
        <v>1.57604412923561E-3</v>
      </c>
      <c r="F8415" s="2">
        <v>5.7032660430001601E-3</v>
      </c>
    </row>
    <row r="8416" spans="1:6" x14ac:dyDescent="0.25">
      <c r="A8416" s="1" t="str">
        <f t="shared" si="303"/>
        <v>18660</v>
      </c>
      <c r="B8416" s="1" t="str">
        <f>"13862"</f>
        <v>13862</v>
      </c>
      <c r="C8416" s="2">
        <v>6.01350726246646E-4</v>
      </c>
      <c r="D8416" s="2">
        <v>0</v>
      </c>
      <c r="E8416" s="2">
        <v>0</v>
      </c>
      <c r="F8416" s="2">
        <v>5.3339898243886402E-4</v>
      </c>
    </row>
    <row r="8417" spans="1:6" x14ac:dyDescent="0.25">
      <c r="A8417" s="1" t="str">
        <f t="shared" si="303"/>
        <v>18660</v>
      </c>
      <c r="B8417" s="1" t="str">
        <f>"13863"</f>
        <v>13863</v>
      </c>
      <c r="C8417" s="2">
        <v>9.4365806272550604E-3</v>
      </c>
      <c r="D8417" s="2">
        <v>6.73400673400673E-4</v>
      </c>
      <c r="E8417" s="2">
        <v>2.36406619385342E-3</v>
      </c>
      <c r="F8417" s="2">
        <v>8.5343837190218208E-3</v>
      </c>
    </row>
    <row r="8418" spans="1:6" x14ac:dyDescent="0.25">
      <c r="A8418" s="1" t="str">
        <f t="shared" si="303"/>
        <v>18660</v>
      </c>
      <c r="B8418" s="1" t="str">
        <f>"13784"</f>
        <v>13784</v>
      </c>
      <c r="C8418" s="2">
        <v>3.5155888611342299E-3</v>
      </c>
      <c r="D8418" s="2">
        <v>0</v>
      </c>
      <c r="E8418" s="2">
        <v>2.36406619385342E-3</v>
      </c>
      <c r="F8418" s="2">
        <v>3.2414245855900202E-3</v>
      </c>
    </row>
    <row r="8419" spans="1:6" x14ac:dyDescent="0.25">
      <c r="A8419" s="1" t="str">
        <f t="shared" si="303"/>
        <v>18660</v>
      </c>
      <c r="B8419" s="1" t="str">
        <f>"13077"</f>
        <v>13077</v>
      </c>
      <c r="C8419" s="2">
        <v>0.132343417522435</v>
      </c>
      <c r="D8419" s="2">
        <v>0.113131313131313</v>
      </c>
      <c r="E8419" s="2">
        <v>0.13081166272655601</v>
      </c>
      <c r="F8419" s="2">
        <v>0.13109305760709</v>
      </c>
    </row>
    <row r="8420" spans="1:6" x14ac:dyDescent="0.25">
      <c r="A8420" s="1" t="str">
        <f t="shared" si="303"/>
        <v>18660</v>
      </c>
      <c r="B8420" s="1" t="str">
        <f>"13101"</f>
        <v>13101</v>
      </c>
      <c r="C8420" s="2">
        <v>4.8616893329632697E-2</v>
      </c>
      <c r="D8420" s="2">
        <v>1.48148148148148E-2</v>
      </c>
      <c r="E8420" s="2">
        <v>1.6548463356973901E-2</v>
      </c>
      <c r="F8420" s="2">
        <v>4.48875759067782E-2</v>
      </c>
    </row>
    <row r="8421" spans="1:6" x14ac:dyDescent="0.25">
      <c r="A8421" s="1" t="str">
        <f t="shared" si="303"/>
        <v>18660</v>
      </c>
      <c r="B8421" s="1" t="str">
        <f>"13803"</f>
        <v>13803</v>
      </c>
      <c r="C8421" s="2">
        <v>6.9432880007401193E-2</v>
      </c>
      <c r="D8421" s="2">
        <v>2.0875420875420801E-2</v>
      </c>
      <c r="E8421" s="2">
        <v>1.9700551615445198E-2</v>
      </c>
      <c r="F8421" s="2">
        <v>6.3884785819793205E-2</v>
      </c>
    </row>
    <row r="8422" spans="1:6" x14ac:dyDescent="0.25">
      <c r="A8422" s="1" t="str">
        <f t="shared" si="303"/>
        <v>18660</v>
      </c>
      <c r="B8422" s="1" t="str">
        <f>"13053"</f>
        <v>13053</v>
      </c>
      <c r="C8422" s="2">
        <v>1.03154778425386E-2</v>
      </c>
      <c r="D8422" s="2">
        <v>2.0202020202020202E-3</v>
      </c>
      <c r="E8422" s="2">
        <v>4.7281323877068496E-3</v>
      </c>
      <c r="F8422" s="2">
        <v>9.5191203019858797E-3</v>
      </c>
    </row>
    <row r="8423" spans="1:6" x14ac:dyDescent="0.25">
      <c r="A8423" s="1" t="str">
        <f t="shared" si="303"/>
        <v>18660</v>
      </c>
      <c r="B8423" s="1" t="str">
        <f>"13835"</f>
        <v>13835</v>
      </c>
      <c r="C8423" s="2">
        <v>6.2910537515033704E-3</v>
      </c>
      <c r="D8423" s="2">
        <v>6.73400673400673E-4</v>
      </c>
      <c r="E8423" s="2">
        <v>1.57604412923561E-3</v>
      </c>
      <c r="F8423" s="2">
        <v>5.7032660430001601E-3</v>
      </c>
    </row>
    <row r="8424" spans="1:6" x14ac:dyDescent="0.25">
      <c r="A8424" s="1" t="str">
        <f t="shared" si="303"/>
        <v>18660</v>
      </c>
      <c r="B8424" s="1" t="str">
        <f>"13158"</f>
        <v>13158</v>
      </c>
      <c r="C8424" s="2">
        <v>2.9003608104357401E-2</v>
      </c>
      <c r="D8424" s="2">
        <v>1.14478114478114E-2</v>
      </c>
      <c r="E8424" s="2">
        <v>1.9700551615445198E-2</v>
      </c>
      <c r="F8424" s="2">
        <v>2.7449532250123001E-2</v>
      </c>
    </row>
    <row r="8425" spans="1:6" x14ac:dyDescent="0.25">
      <c r="A8425" s="1" t="str">
        <f t="shared" si="303"/>
        <v>18660</v>
      </c>
      <c r="B8425" s="1" t="str">
        <f>"13045"</f>
        <v>13045</v>
      </c>
      <c r="C8425" s="2">
        <v>0.58978628920344101</v>
      </c>
      <c r="D8425" s="2">
        <v>0.81683501683501603</v>
      </c>
      <c r="E8425" s="2">
        <v>0.77147360126083497</v>
      </c>
      <c r="F8425" s="2">
        <v>0.61308058427703904</v>
      </c>
    </row>
    <row r="8426" spans="1:6" x14ac:dyDescent="0.25">
      <c r="A8426" s="1" t="str">
        <f t="shared" si="303"/>
        <v>18660</v>
      </c>
      <c r="B8426" s="1" t="str">
        <f>"13159"</f>
        <v>13159</v>
      </c>
      <c r="C8426" s="2">
        <v>2.0815986677768499E-2</v>
      </c>
      <c r="D8426" s="2">
        <v>2.6936026936026898E-3</v>
      </c>
      <c r="E8426" s="2">
        <v>4.7281323877068496E-3</v>
      </c>
      <c r="F8426" s="2">
        <v>1.8874117840144401E-2</v>
      </c>
    </row>
    <row r="8427" spans="1:6" x14ac:dyDescent="0.25">
      <c r="A8427" s="1" t="str">
        <f t="shared" si="303"/>
        <v>18660</v>
      </c>
      <c r="B8427" s="1" t="str">
        <f>"13040"</f>
        <v>13040</v>
      </c>
      <c r="C8427" s="2">
        <v>5.1392358220001801E-2</v>
      </c>
      <c r="D8427" s="2">
        <v>1.21212121212121E-2</v>
      </c>
      <c r="E8427" s="2">
        <v>1.4184397163120499E-2</v>
      </c>
      <c r="F8427" s="2">
        <v>4.70622025274905E-2</v>
      </c>
    </row>
    <row r="8428" spans="1:6" x14ac:dyDescent="0.25">
      <c r="A8428" s="1" t="str">
        <f t="shared" si="303"/>
        <v>18660</v>
      </c>
      <c r="B8428" s="1" t="str">
        <f>"13052"</f>
        <v>13052</v>
      </c>
      <c r="C8428" s="2">
        <v>8.1413636784161292E-3</v>
      </c>
      <c r="D8428" s="2">
        <v>6.73400673400673E-4</v>
      </c>
      <c r="E8428" s="2">
        <v>3.94011032308904E-3</v>
      </c>
      <c r="F8428" s="2">
        <v>7.4675857541440897E-3</v>
      </c>
    </row>
    <row r="8429" spans="1:6" x14ac:dyDescent="0.25">
      <c r="A8429" s="1" t="str">
        <f t="shared" si="303"/>
        <v>18660</v>
      </c>
      <c r="B8429" s="1" t="str">
        <f>"13841"</f>
        <v>13841</v>
      </c>
      <c r="C8429" s="2">
        <v>1.80405217873993E-3</v>
      </c>
      <c r="D8429" s="2">
        <v>0</v>
      </c>
      <c r="E8429" s="2">
        <v>0</v>
      </c>
      <c r="F8429" s="2">
        <v>1.6001969473165901E-3</v>
      </c>
    </row>
    <row r="8430" spans="1:6" x14ac:dyDescent="0.25">
      <c r="A8430" s="1" t="str">
        <f t="shared" si="303"/>
        <v>18660</v>
      </c>
      <c r="B8430" s="1" t="str">
        <f>"13141"</f>
        <v>13141</v>
      </c>
      <c r="C8430" s="2">
        <v>1.01767045980201E-2</v>
      </c>
      <c r="D8430" s="2">
        <v>4.0404040404040404E-3</v>
      </c>
      <c r="E8430" s="2">
        <v>5.51615445232466E-3</v>
      </c>
      <c r="F8430" s="2">
        <v>9.5601509929427193E-3</v>
      </c>
    </row>
    <row r="8431" spans="1:6" x14ac:dyDescent="0.25">
      <c r="A8431" s="1" t="str">
        <f t="shared" si="303"/>
        <v>18660</v>
      </c>
      <c r="B8431" s="1" t="str">
        <f>"13738"</f>
        <v>13738</v>
      </c>
      <c r="C8431" s="2">
        <v>1.4802479415302E-3</v>
      </c>
      <c r="D8431" s="2">
        <v>0</v>
      </c>
      <c r="E8431" s="2">
        <v>7.8802206461780903E-4</v>
      </c>
      <c r="F8431" s="2">
        <v>1.3540128015755699E-3</v>
      </c>
    </row>
    <row r="8432" spans="1:6" x14ac:dyDescent="0.25">
      <c r="A8432" s="1" t="str">
        <f t="shared" si="303"/>
        <v>18660</v>
      </c>
      <c r="B8432" s="1" t="str">
        <f>"13073"</f>
        <v>13073</v>
      </c>
      <c r="C8432" s="2">
        <v>5.0883522990100797E-4</v>
      </c>
      <c r="D8432" s="2">
        <v>0</v>
      </c>
      <c r="E8432" s="2">
        <v>0</v>
      </c>
      <c r="F8432" s="2">
        <v>4.5133760052519203E-4</v>
      </c>
    </row>
    <row r="8433" spans="1:6" x14ac:dyDescent="0.25">
      <c r="A8433" s="1" t="str">
        <f t="shared" ref="A8433:A8443" si="304">"18700"</f>
        <v>18700</v>
      </c>
      <c r="B8433" s="1" t="str">
        <f>"97326"</f>
        <v>97326</v>
      </c>
      <c r="C8433" s="2">
        <v>4.9397352301916598E-3</v>
      </c>
      <c r="D8433" s="2">
        <v>5.0903537795876804E-4</v>
      </c>
      <c r="E8433" s="2">
        <v>0</v>
      </c>
      <c r="F8433" s="2">
        <v>4.3727847125905302E-3</v>
      </c>
    </row>
    <row r="8434" spans="1:6" x14ac:dyDescent="0.25">
      <c r="A8434" s="1" t="str">
        <f t="shared" si="304"/>
        <v>18700</v>
      </c>
      <c r="B8434" s="1" t="str">
        <f>"97448"</f>
        <v>97448</v>
      </c>
      <c r="C8434" s="2">
        <v>1.40508024325451E-3</v>
      </c>
      <c r="D8434" s="2">
        <v>2.5451768897938402E-4</v>
      </c>
      <c r="E8434" s="2">
        <v>8.2169268693508602E-4</v>
      </c>
      <c r="F8434" s="2">
        <v>1.29064570812143E-3</v>
      </c>
    </row>
    <row r="8435" spans="1:6" x14ac:dyDescent="0.25">
      <c r="A8435" s="1" t="str">
        <f t="shared" si="304"/>
        <v>18700</v>
      </c>
      <c r="B8435" s="1" t="str">
        <f>"97361"</f>
        <v>97361</v>
      </c>
      <c r="C8435" s="2">
        <v>1.84416781927155E-3</v>
      </c>
      <c r="D8435" s="2">
        <v>7.63553066938152E-4</v>
      </c>
      <c r="E8435" s="2">
        <v>0</v>
      </c>
      <c r="F8435" s="2">
        <v>1.67591308368007E-3</v>
      </c>
    </row>
    <row r="8436" spans="1:6" x14ac:dyDescent="0.25">
      <c r="A8436" s="1" t="str">
        <f t="shared" si="304"/>
        <v>18700</v>
      </c>
      <c r="B8436" s="1" t="str">
        <f>"97339"</f>
        <v>97339</v>
      </c>
      <c r="C8436" s="2">
        <v>3.4314694065731399E-2</v>
      </c>
      <c r="D8436" s="2">
        <v>0.18172562993128</v>
      </c>
      <c r="E8436" s="2">
        <v>8.2169268693508602E-4</v>
      </c>
      <c r="F8436" s="2">
        <v>4.3901217444906701E-2</v>
      </c>
    </row>
    <row r="8437" spans="1:6" x14ac:dyDescent="0.25">
      <c r="A8437" s="1" t="str">
        <f t="shared" si="304"/>
        <v>18700</v>
      </c>
      <c r="B8437" s="1" t="str">
        <f>"97456"</f>
        <v>97456</v>
      </c>
      <c r="C8437" s="2">
        <v>2.9550593865946499E-2</v>
      </c>
      <c r="D8437" s="2">
        <v>4.8358360906082896E-3</v>
      </c>
      <c r="E8437" s="2">
        <v>4.9301561216105096E-3</v>
      </c>
      <c r="F8437" s="2">
        <v>2.65256588072122E-2</v>
      </c>
    </row>
    <row r="8438" spans="1:6" x14ac:dyDescent="0.25">
      <c r="A8438" s="1" t="str">
        <f t="shared" si="304"/>
        <v>18700</v>
      </c>
      <c r="B8438" s="1" t="str">
        <f>"97370"</f>
        <v>97370</v>
      </c>
      <c r="C8438" s="2">
        <v>0.11466772047684901</v>
      </c>
      <c r="D8438" s="2">
        <v>0.100789004835836</v>
      </c>
      <c r="E8438" s="2">
        <v>7.1487263763352502E-2</v>
      </c>
      <c r="F8438" s="2">
        <v>0.111592695330559</v>
      </c>
    </row>
    <row r="8439" spans="1:6" x14ac:dyDescent="0.25">
      <c r="A8439" s="1" t="str">
        <f t="shared" si="304"/>
        <v>18700</v>
      </c>
      <c r="B8439" s="1" t="str">
        <f>"97331"</f>
        <v>97331</v>
      </c>
      <c r="C8439" s="2">
        <v>4.6235921754593901E-2</v>
      </c>
      <c r="D8439" s="2">
        <v>0.110715194706032</v>
      </c>
      <c r="E8439" s="2">
        <v>4.1084634346754301E-4</v>
      </c>
      <c r="F8439" s="2">
        <v>4.8967483433502802E-2</v>
      </c>
    </row>
    <row r="8440" spans="1:6" x14ac:dyDescent="0.25">
      <c r="A8440" s="1" t="str">
        <f t="shared" si="304"/>
        <v>18700</v>
      </c>
      <c r="B8440" s="1" t="str">
        <f>"97324"</f>
        <v>97324</v>
      </c>
      <c r="C8440" s="2">
        <v>1.26457221892906E-2</v>
      </c>
      <c r="D8440" s="2">
        <v>1.7816238228556801E-3</v>
      </c>
      <c r="E8440" s="2">
        <v>8.2169268693508602E-4</v>
      </c>
      <c r="F8440" s="2">
        <v>1.1269070735090101E-2</v>
      </c>
    </row>
    <row r="8441" spans="1:6" x14ac:dyDescent="0.25">
      <c r="A8441" s="1" t="str">
        <f t="shared" si="304"/>
        <v>18700</v>
      </c>
      <c r="B8441" s="1" t="str">
        <f>"97333"</f>
        <v>97333</v>
      </c>
      <c r="C8441" s="2">
        <v>0.22375902873828099</v>
      </c>
      <c r="D8441" s="2">
        <v>0.230083990837363</v>
      </c>
      <c r="E8441" s="2">
        <v>0.32497945768282599</v>
      </c>
      <c r="F8441" s="2">
        <v>0.22898366466327599</v>
      </c>
    </row>
    <row r="8442" spans="1:6" x14ac:dyDescent="0.25">
      <c r="A8442" s="1" t="str">
        <f t="shared" si="304"/>
        <v>18700</v>
      </c>
      <c r="B8442" s="1" t="str">
        <f>"97321"</f>
        <v>97321</v>
      </c>
      <c r="C8442" s="2">
        <v>9.4403828843662801E-2</v>
      </c>
      <c r="D8442" s="2">
        <v>2.34156273861033E-2</v>
      </c>
      <c r="E8442" s="2">
        <v>1.5201314708299E-2</v>
      </c>
      <c r="F8442" s="2">
        <v>8.5317460317460306E-2</v>
      </c>
    </row>
    <row r="8443" spans="1:6" x14ac:dyDescent="0.25">
      <c r="A8443" s="1" t="str">
        <f t="shared" si="304"/>
        <v>18700</v>
      </c>
      <c r="B8443" s="1" t="str">
        <f>"97330"</f>
        <v>97330</v>
      </c>
      <c r="C8443" s="2">
        <v>0.43623350677292499</v>
      </c>
      <c r="D8443" s="2">
        <v>0.34512598625604402</v>
      </c>
      <c r="E8443" s="2">
        <v>0.58052588331963795</v>
      </c>
      <c r="F8443" s="2">
        <v>0.43610340576359902</v>
      </c>
    </row>
    <row r="8444" spans="1:6" x14ac:dyDescent="0.25">
      <c r="A8444" s="1" t="str">
        <f t="shared" ref="A8444:A8462" si="305">"18740"</f>
        <v>18740</v>
      </c>
      <c r="B8444" s="1" t="str">
        <f>"43845"</f>
        <v>43845</v>
      </c>
      <c r="C8444" s="2">
        <v>0.119310793237971</v>
      </c>
      <c r="D8444" s="2">
        <v>7.3991031390134507E-2</v>
      </c>
      <c r="E8444" s="2">
        <v>0.141666666666666</v>
      </c>
      <c r="F8444" s="2">
        <v>0.11670139922596</v>
      </c>
    </row>
    <row r="8445" spans="1:6" x14ac:dyDescent="0.25">
      <c r="A8445" s="1" t="str">
        <f t="shared" si="305"/>
        <v>18740</v>
      </c>
      <c r="B8445" s="1" t="str">
        <f>"43824"</f>
        <v>43824</v>
      </c>
      <c r="C8445" s="2">
        <v>7.89986996098829E-2</v>
      </c>
      <c r="D8445" s="2">
        <v>3.5874439461883401E-2</v>
      </c>
      <c r="E8445" s="2">
        <v>8.3333333333333297E-3</v>
      </c>
      <c r="F8445" s="2">
        <v>7.4873474248288094E-2</v>
      </c>
    </row>
    <row r="8446" spans="1:6" x14ac:dyDescent="0.25">
      <c r="A8446" s="1" t="str">
        <f t="shared" si="305"/>
        <v>18740</v>
      </c>
      <c r="B8446" s="1" t="str">
        <f>"44637"</f>
        <v>44637</v>
      </c>
      <c r="C8446" s="2">
        <v>6.88123103597745E-3</v>
      </c>
      <c r="D8446" s="2">
        <v>1.4947683109118E-3</v>
      </c>
      <c r="E8446" s="2">
        <v>0</v>
      </c>
      <c r="F8446" s="2">
        <v>6.4007144983626004E-3</v>
      </c>
    </row>
    <row r="8447" spans="1:6" x14ac:dyDescent="0.25">
      <c r="A8447" s="1" t="str">
        <f t="shared" si="305"/>
        <v>18740</v>
      </c>
      <c r="B8447" s="1" t="str">
        <f>"44654"</f>
        <v>44654</v>
      </c>
      <c r="C8447" s="2">
        <v>8.5609016038144699E-3</v>
      </c>
      <c r="D8447" s="2">
        <v>3.7369207772795202E-3</v>
      </c>
      <c r="E8447" s="2">
        <v>0</v>
      </c>
      <c r="F8447" s="2">
        <v>8.0877245211868603E-3</v>
      </c>
    </row>
    <row r="8448" spans="1:6" x14ac:dyDescent="0.25">
      <c r="A8448" s="1" t="str">
        <f t="shared" si="305"/>
        <v>18740</v>
      </c>
      <c r="B8448" s="1" t="str">
        <f>"43805"</f>
        <v>43805</v>
      </c>
      <c r="C8448" s="2">
        <v>1.4087559601213601E-3</v>
      </c>
      <c r="D8448" s="2">
        <v>7.4738415545590403E-4</v>
      </c>
      <c r="E8448" s="2">
        <v>0</v>
      </c>
      <c r="F8448" s="2">
        <v>1.3396844298898399E-3</v>
      </c>
    </row>
    <row r="8449" spans="1:6" x14ac:dyDescent="0.25">
      <c r="A8449" s="1" t="str">
        <f t="shared" si="305"/>
        <v>18740</v>
      </c>
      <c r="B8449" s="1" t="str">
        <f>"43804"</f>
        <v>43804</v>
      </c>
      <c r="C8449" s="2">
        <v>8.2358040745556995E-3</v>
      </c>
      <c r="D8449" s="2">
        <v>8.2212257100149396E-3</v>
      </c>
      <c r="E8449" s="2">
        <v>0</v>
      </c>
      <c r="F8449" s="2">
        <v>8.0877245211868603E-3</v>
      </c>
    </row>
    <row r="8450" spans="1:6" x14ac:dyDescent="0.25">
      <c r="A8450" s="1" t="str">
        <f t="shared" si="305"/>
        <v>18740</v>
      </c>
      <c r="B8450" s="1" t="str">
        <f>"43828"</f>
        <v>43828</v>
      </c>
      <c r="C8450" s="2">
        <v>0</v>
      </c>
      <c r="D8450" s="2">
        <v>7.4738415545590403E-4</v>
      </c>
      <c r="E8450" s="2">
        <v>0</v>
      </c>
      <c r="F8450" s="2">
        <v>4.9617941847772099E-5</v>
      </c>
    </row>
    <row r="8451" spans="1:6" x14ac:dyDescent="0.25">
      <c r="A8451" s="1" t="str">
        <f t="shared" si="305"/>
        <v>18740</v>
      </c>
      <c r="B8451" s="1" t="str">
        <f>"43836"</f>
        <v>43836</v>
      </c>
      <c r="C8451" s="2">
        <v>5.4182921543129603E-4</v>
      </c>
      <c r="D8451" s="2">
        <v>0</v>
      </c>
      <c r="E8451" s="2">
        <v>2.7777777777777701E-3</v>
      </c>
      <c r="F8451" s="2">
        <v>5.4579736032549296E-4</v>
      </c>
    </row>
    <row r="8452" spans="1:6" x14ac:dyDescent="0.25">
      <c r="A8452" s="1" t="str">
        <f t="shared" si="305"/>
        <v>18740</v>
      </c>
      <c r="B8452" s="1" t="str">
        <f>"43840"</f>
        <v>43840</v>
      </c>
      <c r="C8452" s="2">
        <v>1.6254876462938801E-4</v>
      </c>
      <c r="D8452" s="2">
        <v>0</v>
      </c>
      <c r="E8452" s="2">
        <v>0</v>
      </c>
      <c r="F8452" s="2">
        <v>1.4885382554331601E-4</v>
      </c>
    </row>
    <row r="8453" spans="1:6" x14ac:dyDescent="0.25">
      <c r="A8453" s="1" t="str">
        <f t="shared" si="305"/>
        <v>18740</v>
      </c>
      <c r="B8453" s="1" t="str">
        <f>"43832"</f>
        <v>43832</v>
      </c>
      <c r="C8453" s="2">
        <v>3.0938448201127001E-2</v>
      </c>
      <c r="D8453" s="2">
        <v>8.2212257100149396E-3</v>
      </c>
      <c r="E8453" s="2">
        <v>3.0555555555555499E-2</v>
      </c>
      <c r="F8453" s="2">
        <v>2.9423439515728799E-2</v>
      </c>
    </row>
    <row r="8454" spans="1:6" x14ac:dyDescent="0.25">
      <c r="A8454" s="1" t="str">
        <f t="shared" si="305"/>
        <v>18740</v>
      </c>
      <c r="B8454" s="1" t="str">
        <f>"43749"</f>
        <v>43749</v>
      </c>
      <c r="C8454" s="2">
        <v>3.6844386649328102E-3</v>
      </c>
      <c r="D8454" s="2">
        <v>7.4738415545590403E-4</v>
      </c>
      <c r="E8454" s="2">
        <v>0</v>
      </c>
      <c r="F8454" s="2">
        <v>3.4236379874962699E-3</v>
      </c>
    </row>
    <row r="8455" spans="1:6" x14ac:dyDescent="0.25">
      <c r="A8455" s="1" t="str">
        <f t="shared" si="305"/>
        <v>18740</v>
      </c>
      <c r="B8455" s="1" t="str">
        <f>"43803"</f>
        <v>43803</v>
      </c>
      <c r="C8455" s="2">
        <v>0</v>
      </c>
      <c r="D8455" s="2">
        <v>7.4738415545590403E-4</v>
      </c>
      <c r="E8455" s="2">
        <v>0</v>
      </c>
      <c r="F8455" s="2">
        <v>4.9617941847772099E-5</v>
      </c>
    </row>
    <row r="8456" spans="1:6" x14ac:dyDescent="0.25">
      <c r="A8456" s="1" t="str">
        <f t="shared" si="305"/>
        <v>18740</v>
      </c>
      <c r="B8456" s="1" t="str">
        <f>"43812"</f>
        <v>43812</v>
      </c>
      <c r="C8456" s="2">
        <v>0.57412223667100104</v>
      </c>
      <c r="D8456" s="2">
        <v>0.82959641255605299</v>
      </c>
      <c r="E8456" s="2">
        <v>0.78611111111111098</v>
      </c>
      <c r="F8456" s="2">
        <v>0.59486950481293999</v>
      </c>
    </row>
    <row r="8457" spans="1:6" x14ac:dyDescent="0.25">
      <c r="A8457" s="1" t="str">
        <f t="shared" si="305"/>
        <v>18740</v>
      </c>
      <c r="B8457" s="1" t="str">
        <f>"43006"</f>
        <v>43006</v>
      </c>
      <c r="C8457" s="2">
        <v>4.9306458604247896E-3</v>
      </c>
      <c r="D8457" s="2">
        <v>1.4947683109118E-3</v>
      </c>
      <c r="E8457" s="2">
        <v>0</v>
      </c>
      <c r="F8457" s="2">
        <v>4.61446859184281E-3</v>
      </c>
    </row>
    <row r="8458" spans="1:6" x14ac:dyDescent="0.25">
      <c r="A8458" s="1" t="str">
        <f t="shared" si="305"/>
        <v>18740</v>
      </c>
      <c r="B8458" s="1" t="str">
        <f>"43821"</f>
        <v>43821</v>
      </c>
      <c r="C8458" s="2">
        <v>1.65799739921976E-2</v>
      </c>
      <c r="D8458" s="2">
        <v>1.4947683109118E-3</v>
      </c>
      <c r="E8458" s="2">
        <v>0</v>
      </c>
      <c r="F8458" s="2">
        <v>1.52823260891138E-2</v>
      </c>
    </row>
    <row r="8459" spans="1:6" x14ac:dyDescent="0.25">
      <c r="A8459" s="1" t="str">
        <f t="shared" si="305"/>
        <v>18740</v>
      </c>
      <c r="B8459" s="1" t="str">
        <f>"43844"</f>
        <v>43844</v>
      </c>
      <c r="C8459" s="2">
        <v>9.5795405288253102E-2</v>
      </c>
      <c r="D8459" s="2">
        <v>1.4200298953662101E-2</v>
      </c>
      <c r="E8459" s="2">
        <v>3.0555555555555499E-2</v>
      </c>
      <c r="F8459" s="2">
        <v>8.9213059442294296E-2</v>
      </c>
    </row>
    <row r="8460" spans="1:6" x14ac:dyDescent="0.25">
      <c r="A8460" s="1" t="str">
        <f t="shared" si="305"/>
        <v>18740</v>
      </c>
      <c r="B8460" s="1" t="str">
        <f>"43843"</f>
        <v>43843</v>
      </c>
      <c r="C8460" s="2">
        <v>1.5604681404421301E-2</v>
      </c>
      <c r="D8460" s="2">
        <v>7.4738415545590403E-3</v>
      </c>
      <c r="E8460" s="2">
        <v>0</v>
      </c>
      <c r="F8460" s="2">
        <v>1.47861466706361E-2</v>
      </c>
    </row>
    <row r="8461" spans="1:6" x14ac:dyDescent="0.25">
      <c r="A8461" s="1" t="str">
        <f t="shared" si="305"/>
        <v>18740</v>
      </c>
      <c r="B8461" s="1" t="str">
        <f>"43822"</f>
        <v>43822</v>
      </c>
      <c r="C8461" s="2">
        <v>1.2462071954919799E-2</v>
      </c>
      <c r="D8461" s="2">
        <v>2.2421524663677099E-3</v>
      </c>
      <c r="E8461" s="2">
        <v>0</v>
      </c>
      <c r="F8461" s="2">
        <v>1.1560980450530899E-2</v>
      </c>
    </row>
    <row r="8462" spans="1:6" x14ac:dyDescent="0.25">
      <c r="A8462" s="1" t="str">
        <f t="shared" si="305"/>
        <v>18740</v>
      </c>
      <c r="B8462" s="1" t="str">
        <f>"43811"</f>
        <v>43811</v>
      </c>
      <c r="C8462" s="2">
        <v>2.1781534460338099E-2</v>
      </c>
      <c r="D8462" s="2">
        <v>8.9686098654708502E-3</v>
      </c>
      <c r="E8462" s="2">
        <v>0</v>
      </c>
      <c r="F8462" s="2">
        <v>2.05418279249776E-2</v>
      </c>
    </row>
    <row r="8463" spans="1:6" x14ac:dyDescent="0.25">
      <c r="A8463" s="1" t="str">
        <f t="shared" ref="A8463:A8469" si="306">"18780"</f>
        <v>18780</v>
      </c>
      <c r="B8463" s="1" t="str">
        <f>"81638"</f>
        <v>81638</v>
      </c>
      <c r="C8463" s="2">
        <v>8.6942521333118594E-3</v>
      </c>
      <c r="D8463" s="2">
        <v>0</v>
      </c>
      <c r="E8463" s="2">
        <v>4.2372881355932203E-3</v>
      </c>
      <c r="F8463" s="2">
        <v>7.81472009093492E-3</v>
      </c>
    </row>
    <row r="8464" spans="1:6" x14ac:dyDescent="0.25">
      <c r="A8464" s="1" t="str">
        <f t="shared" si="306"/>
        <v>18780</v>
      </c>
      <c r="B8464" s="1" t="str">
        <f>"81641"</f>
        <v>81641</v>
      </c>
      <c r="C8464" s="2">
        <v>3.2200933827080899E-4</v>
      </c>
      <c r="D8464" s="2">
        <v>0</v>
      </c>
      <c r="E8464" s="2">
        <v>0</v>
      </c>
      <c r="F8464" s="2">
        <v>2.8417163967035998E-4</v>
      </c>
    </row>
    <row r="8465" spans="1:6" x14ac:dyDescent="0.25">
      <c r="A8465" s="1" t="str">
        <f t="shared" si="306"/>
        <v>18780</v>
      </c>
      <c r="B8465" s="1" t="str">
        <f>"81640"</f>
        <v>81640</v>
      </c>
      <c r="C8465" s="2">
        <v>1.38464015456448E-2</v>
      </c>
      <c r="D8465" s="2">
        <v>8.4602368866328204E-3</v>
      </c>
      <c r="E8465" s="2">
        <v>8.4745762711864406E-3</v>
      </c>
      <c r="F8465" s="2">
        <v>1.3213981244671699E-2</v>
      </c>
    </row>
    <row r="8466" spans="1:6" x14ac:dyDescent="0.25">
      <c r="A8466" s="1" t="str">
        <f t="shared" si="306"/>
        <v>18780</v>
      </c>
      <c r="B8466" s="1" t="str">
        <f>"81633"</f>
        <v>81633</v>
      </c>
      <c r="C8466" s="2">
        <v>1.4490420222186399E-3</v>
      </c>
      <c r="D8466" s="2">
        <v>0</v>
      </c>
      <c r="E8466" s="2">
        <v>4.2372881355932203E-3</v>
      </c>
      <c r="F8466" s="2">
        <v>1.4208581983517999E-3</v>
      </c>
    </row>
    <row r="8467" spans="1:6" x14ac:dyDescent="0.25">
      <c r="A8467" s="1" t="str">
        <f t="shared" si="306"/>
        <v>18780</v>
      </c>
      <c r="B8467" s="1" t="str">
        <f>"81625"</f>
        <v>81625</v>
      </c>
      <c r="C8467" s="2">
        <v>0.94123329576557702</v>
      </c>
      <c r="D8467" s="2">
        <v>0.98984771573604002</v>
      </c>
      <c r="E8467" s="2">
        <v>0.97033898305084698</v>
      </c>
      <c r="F8467" s="2">
        <v>0.94629156010230098</v>
      </c>
    </row>
    <row r="8468" spans="1:6" x14ac:dyDescent="0.25">
      <c r="A8468" s="1" t="str">
        <f t="shared" si="306"/>
        <v>18780</v>
      </c>
      <c r="B8468" s="1" t="str">
        <f>"81610"</f>
        <v>81610</v>
      </c>
      <c r="C8468" s="2">
        <v>2.8819835775237401E-2</v>
      </c>
      <c r="D8468" s="2">
        <v>0</v>
      </c>
      <c r="E8468" s="2">
        <v>1.2711864406779599E-2</v>
      </c>
      <c r="F8468" s="2">
        <v>2.58596192100028E-2</v>
      </c>
    </row>
    <row r="8469" spans="1:6" x14ac:dyDescent="0.25">
      <c r="A8469" s="1" t="str">
        <f t="shared" si="306"/>
        <v>18780</v>
      </c>
      <c r="B8469" s="1" t="str">
        <f>"81653"</f>
        <v>81653</v>
      </c>
      <c r="C8469" s="2">
        <v>5.63516341973917E-3</v>
      </c>
      <c r="D8469" s="2">
        <v>1.6920473773265601E-3</v>
      </c>
      <c r="E8469" s="2">
        <v>0</v>
      </c>
      <c r="F8469" s="2">
        <v>5.1150895140664896E-3</v>
      </c>
    </row>
    <row r="8470" spans="1:6" x14ac:dyDescent="0.25">
      <c r="A8470" s="1" t="str">
        <f t="shared" ref="A8470:A8487" si="307">"18820"</f>
        <v>18820</v>
      </c>
      <c r="B8470" s="1" t="str">
        <f>"46071"</f>
        <v>46071</v>
      </c>
      <c r="C8470" s="2">
        <v>2.8762080073630901E-4</v>
      </c>
      <c r="D8470" s="2">
        <v>7.5187969924812002E-4</v>
      </c>
      <c r="E8470" s="2">
        <v>0</v>
      </c>
      <c r="F8470" s="2">
        <v>3.1043046357615798E-4</v>
      </c>
    </row>
    <row r="8471" spans="1:6" x14ac:dyDescent="0.25">
      <c r="A8471" s="1" t="str">
        <f t="shared" si="307"/>
        <v>18820</v>
      </c>
      <c r="B8471" s="1" t="str">
        <f>"47994"</f>
        <v>47994</v>
      </c>
      <c r="C8471" s="2">
        <v>1.35181776346065E-2</v>
      </c>
      <c r="D8471" s="2">
        <v>6.0150375939849602E-3</v>
      </c>
      <c r="E8471" s="2">
        <v>9.7719869706840295E-3</v>
      </c>
      <c r="F8471" s="2">
        <v>1.28828642384105E-2</v>
      </c>
    </row>
    <row r="8472" spans="1:6" x14ac:dyDescent="0.25">
      <c r="A8472" s="1" t="str">
        <f t="shared" si="307"/>
        <v>18820</v>
      </c>
      <c r="B8472" s="1" t="str">
        <f>"46035"</f>
        <v>46035</v>
      </c>
      <c r="C8472" s="2">
        <v>2.64611136677404E-3</v>
      </c>
      <c r="D8472" s="2">
        <v>0</v>
      </c>
      <c r="E8472" s="2">
        <v>0</v>
      </c>
      <c r="F8472" s="2">
        <v>2.3799668874172099E-3</v>
      </c>
    </row>
    <row r="8473" spans="1:6" x14ac:dyDescent="0.25">
      <c r="A8473" s="1" t="str">
        <f t="shared" si="307"/>
        <v>18820</v>
      </c>
      <c r="B8473" s="1" t="str">
        <f>"47967"</f>
        <v>47967</v>
      </c>
      <c r="C8473" s="2">
        <v>1.21951219512195E-2</v>
      </c>
      <c r="D8473" s="2">
        <v>6.0150375939849602E-3</v>
      </c>
      <c r="E8473" s="2">
        <v>4.8859934853420096E-3</v>
      </c>
      <c r="F8473" s="2">
        <v>1.15376655629139E-2</v>
      </c>
    </row>
    <row r="8474" spans="1:6" x14ac:dyDescent="0.25">
      <c r="A8474" s="1" t="str">
        <f t="shared" si="307"/>
        <v>18820</v>
      </c>
      <c r="B8474" s="1" t="str">
        <f>"47955"</f>
        <v>47955</v>
      </c>
      <c r="C8474" s="2">
        <v>2.0248504371836101E-2</v>
      </c>
      <c r="D8474" s="2">
        <v>1.5789473684210499E-2</v>
      </c>
      <c r="E8474" s="2">
        <v>1.1400651465798E-2</v>
      </c>
      <c r="F8474" s="2">
        <v>1.966059602649E-2</v>
      </c>
    </row>
    <row r="8475" spans="1:6" x14ac:dyDescent="0.25">
      <c r="A8475" s="1" t="str">
        <f t="shared" si="307"/>
        <v>18820</v>
      </c>
      <c r="B8475" s="1" t="str">
        <f>"47940"</f>
        <v>47940</v>
      </c>
      <c r="C8475" s="2">
        <v>3.5032213529682402E-2</v>
      </c>
      <c r="D8475" s="2">
        <v>5.2631578947368403E-3</v>
      </c>
      <c r="E8475" s="2">
        <v>8.1433224755700293E-3</v>
      </c>
      <c r="F8475" s="2">
        <v>3.2129552980132398E-2</v>
      </c>
    </row>
    <row r="8476" spans="1:6" x14ac:dyDescent="0.25">
      <c r="A8476" s="1" t="str">
        <f t="shared" si="307"/>
        <v>18820</v>
      </c>
      <c r="B8476" s="1" t="str">
        <f>"47981"</f>
        <v>47981</v>
      </c>
      <c r="C8476" s="2">
        <v>9.7791072250345097E-4</v>
      </c>
      <c r="D8476" s="2">
        <v>0</v>
      </c>
      <c r="E8476" s="2">
        <v>0</v>
      </c>
      <c r="F8476" s="2">
        <v>8.7955298013245005E-4</v>
      </c>
    </row>
    <row r="8477" spans="1:6" x14ac:dyDescent="0.25">
      <c r="A8477" s="1" t="str">
        <f t="shared" si="307"/>
        <v>18820</v>
      </c>
      <c r="B8477" s="1" t="str">
        <f>"47954"</f>
        <v>47954</v>
      </c>
      <c r="C8477" s="2">
        <v>5.6258628624021999E-2</v>
      </c>
      <c r="D8477" s="2">
        <v>3.9097744360902201E-2</v>
      </c>
      <c r="E8477" s="2">
        <v>2.6058631921824098E-2</v>
      </c>
      <c r="F8477" s="2">
        <v>5.4118377483443697E-2</v>
      </c>
    </row>
    <row r="8478" spans="1:6" x14ac:dyDescent="0.25">
      <c r="A8478" s="1" t="str">
        <f t="shared" si="307"/>
        <v>18820</v>
      </c>
      <c r="B8478" s="1" t="str">
        <f>"47916"</f>
        <v>47916</v>
      </c>
      <c r="C8478" s="2">
        <v>3.27887712839392E-3</v>
      </c>
      <c r="D8478" s="2">
        <v>7.5187969924812002E-4</v>
      </c>
      <c r="E8478" s="2">
        <v>1.6286644951140001E-3</v>
      </c>
      <c r="F8478" s="2">
        <v>3.0525662251655599E-3</v>
      </c>
    </row>
    <row r="8479" spans="1:6" x14ac:dyDescent="0.25">
      <c r="A8479" s="1" t="str">
        <f t="shared" si="307"/>
        <v>18820</v>
      </c>
      <c r="B8479" s="1" t="str">
        <f>"46175"</f>
        <v>46175</v>
      </c>
      <c r="C8479" s="2">
        <v>3.4514496088357098E-4</v>
      </c>
      <c r="D8479" s="2">
        <v>0</v>
      </c>
      <c r="E8479" s="2">
        <v>0</v>
      </c>
      <c r="F8479" s="2">
        <v>3.1043046357615798E-4</v>
      </c>
    </row>
    <row r="8480" spans="1:6" x14ac:dyDescent="0.25">
      <c r="A8480" s="1" t="str">
        <f t="shared" si="307"/>
        <v>18820</v>
      </c>
      <c r="B8480" s="1" t="str">
        <f>"47949"</f>
        <v>47949</v>
      </c>
      <c r="C8480" s="2">
        <v>4.0266912103083198E-4</v>
      </c>
      <c r="D8480" s="2">
        <v>0</v>
      </c>
      <c r="E8480" s="2">
        <v>0</v>
      </c>
      <c r="F8480" s="2">
        <v>3.62168874172185E-4</v>
      </c>
    </row>
    <row r="8481" spans="1:6" x14ac:dyDescent="0.25">
      <c r="A8481" s="1" t="str">
        <f t="shared" si="307"/>
        <v>18820</v>
      </c>
      <c r="B8481" s="1" t="str">
        <f>"47968"</f>
        <v>47968</v>
      </c>
      <c r="C8481" s="2">
        <v>2.3239760699493701E-2</v>
      </c>
      <c r="D8481" s="2">
        <v>3.0075187969924801E-3</v>
      </c>
      <c r="E8481" s="2">
        <v>2.7687296416938099E-2</v>
      </c>
      <c r="F8481" s="2">
        <v>2.1988824503311199E-2</v>
      </c>
    </row>
    <row r="8482" spans="1:6" x14ac:dyDescent="0.25">
      <c r="A8482" s="1" t="str">
        <f t="shared" si="307"/>
        <v>18820</v>
      </c>
      <c r="B8482" s="1" t="str">
        <f>"47930"</f>
        <v>47930</v>
      </c>
      <c r="C8482" s="2">
        <v>8.6286240220892702E-4</v>
      </c>
      <c r="D8482" s="2">
        <v>7.5187969924812002E-4</v>
      </c>
      <c r="E8482" s="2">
        <v>0</v>
      </c>
      <c r="F8482" s="2">
        <v>8.2781456953642297E-4</v>
      </c>
    </row>
    <row r="8483" spans="1:6" x14ac:dyDescent="0.25">
      <c r="A8483" s="1" t="str">
        <f t="shared" si="307"/>
        <v>18820</v>
      </c>
      <c r="B8483" s="1" t="str">
        <f>"47933"</f>
        <v>47933</v>
      </c>
      <c r="C8483" s="2">
        <v>0.77611596870685595</v>
      </c>
      <c r="D8483" s="2">
        <v>0.91052631578947296</v>
      </c>
      <c r="E8483" s="2">
        <v>0.85504885993485302</v>
      </c>
      <c r="F8483" s="2">
        <v>0.78787251655629098</v>
      </c>
    </row>
    <row r="8484" spans="1:6" x14ac:dyDescent="0.25">
      <c r="A8484" s="1" t="str">
        <f t="shared" si="307"/>
        <v>18820</v>
      </c>
      <c r="B8484" s="1" t="str">
        <f>"47990"</f>
        <v>47990</v>
      </c>
      <c r="C8484" s="2">
        <v>2.3642429820524599E-2</v>
      </c>
      <c r="D8484" s="2">
        <v>7.5187969924812E-3</v>
      </c>
      <c r="E8484" s="2">
        <v>2.9315960912052099E-2</v>
      </c>
      <c r="F8484" s="2">
        <v>2.2713162251655601E-2</v>
      </c>
    </row>
    <row r="8485" spans="1:6" x14ac:dyDescent="0.25">
      <c r="A8485" s="1" t="str">
        <f t="shared" si="307"/>
        <v>18820</v>
      </c>
      <c r="B8485" s="1" t="str">
        <f>"47989"</f>
        <v>47989</v>
      </c>
      <c r="C8485" s="2">
        <v>1.9673262770363499E-2</v>
      </c>
      <c r="D8485" s="2">
        <v>4.5112781954887203E-3</v>
      </c>
      <c r="E8485" s="2">
        <v>2.4429967426710001E-2</v>
      </c>
      <c r="F8485" s="2">
        <v>1.8781043046357599E-2</v>
      </c>
    </row>
    <row r="8486" spans="1:6" x14ac:dyDescent="0.25">
      <c r="A8486" s="1" t="str">
        <f t="shared" si="307"/>
        <v>18820</v>
      </c>
      <c r="B8486" s="1" t="str">
        <f>"46172"</f>
        <v>46172</v>
      </c>
      <c r="C8486" s="2">
        <v>1.15048320294523E-4</v>
      </c>
      <c r="D8486" s="2">
        <v>0</v>
      </c>
      <c r="E8486" s="2">
        <v>0</v>
      </c>
      <c r="F8486" s="2">
        <v>1.03476821192052E-4</v>
      </c>
    </row>
    <row r="8487" spans="1:6" x14ac:dyDescent="0.25">
      <c r="A8487" s="1" t="str">
        <f t="shared" si="307"/>
        <v>18820</v>
      </c>
      <c r="B8487" s="1" t="str">
        <f>"47965"</f>
        <v>47965</v>
      </c>
      <c r="C8487" s="2">
        <v>1.1159687068568701E-2</v>
      </c>
      <c r="D8487" s="2">
        <v>0</v>
      </c>
      <c r="E8487" s="2">
        <v>1.6286644951140001E-3</v>
      </c>
      <c r="F8487" s="2">
        <v>1.0088990066225101E-2</v>
      </c>
    </row>
    <row r="8488" spans="1:6" x14ac:dyDescent="0.25">
      <c r="A8488" s="1" t="str">
        <f t="shared" ref="A8488:A8493" si="308">"18860"</f>
        <v>18860</v>
      </c>
      <c r="B8488" s="1" t="str">
        <f>"95532"</f>
        <v>95532</v>
      </c>
      <c r="C8488" s="2">
        <v>0</v>
      </c>
      <c r="D8488" s="2">
        <v>8.2508250825082498E-4</v>
      </c>
      <c r="E8488" s="2">
        <v>0</v>
      </c>
      <c r="F8488" s="2">
        <v>6.9594265432528304E-5</v>
      </c>
    </row>
    <row r="8489" spans="1:6" x14ac:dyDescent="0.25">
      <c r="A8489" s="1" t="str">
        <f t="shared" si="308"/>
        <v>18860</v>
      </c>
      <c r="B8489" s="1" t="str">
        <f>"95543"</f>
        <v>95543</v>
      </c>
      <c r="C8489" s="2">
        <v>1.26202871115317E-2</v>
      </c>
      <c r="D8489" s="2">
        <v>1.65016501650165E-3</v>
      </c>
      <c r="E8489" s="2">
        <v>1.4613778705636699E-2</v>
      </c>
      <c r="F8489" s="2">
        <v>1.1761430858097201E-2</v>
      </c>
    </row>
    <row r="8490" spans="1:6" x14ac:dyDescent="0.25">
      <c r="A8490" s="1" t="str">
        <f t="shared" si="308"/>
        <v>18860</v>
      </c>
      <c r="B8490" s="1" t="str">
        <f>"95567"</f>
        <v>95567</v>
      </c>
      <c r="C8490" s="2">
        <v>6.7360782457800902E-2</v>
      </c>
      <c r="D8490" s="2">
        <v>4.3729372937293703E-2</v>
      </c>
      <c r="E8490" s="2">
        <v>5.8455114822546901E-2</v>
      </c>
      <c r="F8490" s="2">
        <v>6.5070638179413998E-2</v>
      </c>
    </row>
    <row r="8491" spans="1:6" x14ac:dyDescent="0.25">
      <c r="A8491" s="1" t="str">
        <f t="shared" si="308"/>
        <v>18860</v>
      </c>
      <c r="B8491" s="1" t="str">
        <f>"95538"</f>
        <v>95538</v>
      </c>
      <c r="C8491" s="2">
        <v>0</v>
      </c>
      <c r="D8491" s="2">
        <v>0</v>
      </c>
      <c r="E8491" s="2">
        <v>2.0876826722338198E-3</v>
      </c>
      <c r="F8491" s="2">
        <v>6.9594265432528304E-5</v>
      </c>
    </row>
    <row r="8492" spans="1:6" x14ac:dyDescent="0.25">
      <c r="A8492" s="1" t="str">
        <f t="shared" si="308"/>
        <v>18860</v>
      </c>
      <c r="B8492" s="1" t="str">
        <f>"95548"</f>
        <v>95548</v>
      </c>
      <c r="C8492" s="2">
        <v>2.6108218961981299E-2</v>
      </c>
      <c r="D8492" s="2">
        <v>1.8976897689768901E-2</v>
      </c>
      <c r="E8492" s="2">
        <v>2.5052192066805801E-2</v>
      </c>
      <c r="F8492" s="2">
        <v>2.5471501148305299E-2</v>
      </c>
    </row>
    <row r="8493" spans="1:6" x14ac:dyDescent="0.25">
      <c r="A8493" s="1" t="str">
        <f t="shared" si="308"/>
        <v>18860</v>
      </c>
      <c r="B8493" s="1" t="str">
        <f>"95531"</f>
        <v>95531</v>
      </c>
      <c r="C8493" s="2">
        <v>0.89391071146868495</v>
      </c>
      <c r="D8493" s="2">
        <v>0.93481848184818395</v>
      </c>
      <c r="E8493" s="2">
        <v>0.89979123173277598</v>
      </c>
      <c r="F8493" s="2">
        <v>0.89755724128331804</v>
      </c>
    </row>
    <row r="8494" spans="1:6" x14ac:dyDescent="0.25">
      <c r="A8494" s="1" t="str">
        <f t="shared" ref="A8494:A8522" si="309">"18880"</f>
        <v>18880</v>
      </c>
      <c r="B8494" s="1" t="str">
        <f>"32459"</f>
        <v>32459</v>
      </c>
      <c r="C8494" s="2">
        <v>0.103228889419844</v>
      </c>
      <c r="D8494" s="2">
        <v>6.3268455373587495E-2</v>
      </c>
      <c r="E8494" s="2">
        <v>0.101975887474882</v>
      </c>
      <c r="F8494" s="2">
        <v>9.9296218997233399E-2</v>
      </c>
    </row>
    <row r="8495" spans="1:6" x14ac:dyDescent="0.25">
      <c r="A8495" s="1" t="str">
        <f t="shared" si="309"/>
        <v>18880</v>
      </c>
      <c r="B8495" s="1" t="str">
        <f>"32539"</f>
        <v>32539</v>
      </c>
      <c r="C8495" s="2">
        <v>7.3134817663041904E-2</v>
      </c>
      <c r="D8495" s="2">
        <v>1.8567375180447002E-2</v>
      </c>
      <c r="E8495" s="2">
        <v>1.9256530475552501E-2</v>
      </c>
      <c r="F8495" s="2">
        <v>6.6252487501820098E-2</v>
      </c>
    </row>
    <row r="8496" spans="1:6" x14ac:dyDescent="0.25">
      <c r="A8496" s="1" t="str">
        <f t="shared" si="309"/>
        <v>18880</v>
      </c>
      <c r="B8496" s="1" t="str">
        <f>"32536"</f>
        <v>32536</v>
      </c>
      <c r="C8496" s="2">
        <v>7.1423411809811599E-2</v>
      </c>
      <c r="D8496" s="2">
        <v>7.07352282343571E-2</v>
      </c>
      <c r="E8496" s="2">
        <v>4.2866711319490901E-2</v>
      </c>
      <c r="F8496" s="2">
        <v>7.0528563801388097E-2</v>
      </c>
    </row>
    <row r="8497" spans="1:6" x14ac:dyDescent="0.25">
      <c r="A8497" s="1" t="str">
        <f t="shared" si="309"/>
        <v>18880</v>
      </c>
      <c r="B8497" s="1" t="str">
        <f>"32548"</f>
        <v>32548</v>
      </c>
      <c r="C8497" s="2">
        <v>7.7780062121809795E-2</v>
      </c>
      <c r="D8497" s="2">
        <v>0.101149883020558</v>
      </c>
      <c r="E8497" s="2">
        <v>0.151540522438044</v>
      </c>
      <c r="F8497" s="2">
        <v>8.21967674610493E-2</v>
      </c>
    </row>
    <row r="8498" spans="1:6" x14ac:dyDescent="0.25">
      <c r="A8498" s="1" t="str">
        <f t="shared" si="309"/>
        <v>18880</v>
      </c>
      <c r="B8498" s="1" t="str">
        <f>"32413"</f>
        <v>32413</v>
      </c>
      <c r="C8498" s="2">
        <v>1.16686762720246E-4</v>
      </c>
      <c r="D8498" s="2">
        <v>0</v>
      </c>
      <c r="E8498" s="2">
        <v>0</v>
      </c>
      <c r="F8498" s="2">
        <v>1.01926903848954E-4</v>
      </c>
    </row>
    <row r="8499" spans="1:6" x14ac:dyDescent="0.25">
      <c r="A8499" s="1" t="str">
        <f t="shared" si="309"/>
        <v>18880</v>
      </c>
      <c r="B8499" s="1" t="str">
        <f>"32542"</f>
        <v>32542</v>
      </c>
      <c r="C8499" s="2">
        <v>1.6675094043974201E-2</v>
      </c>
      <c r="D8499" s="2">
        <v>0.21389815321817901</v>
      </c>
      <c r="E8499" s="2">
        <v>9.5445411922304001E-3</v>
      </c>
      <c r="F8499" s="2">
        <v>3.5698684657574101E-2</v>
      </c>
    </row>
    <row r="8500" spans="1:6" x14ac:dyDescent="0.25">
      <c r="A8500" s="1" t="str">
        <f t="shared" si="309"/>
        <v>18880</v>
      </c>
      <c r="B8500" s="1" t="str">
        <f>"32547"</f>
        <v>32547</v>
      </c>
      <c r="C8500" s="2">
        <v>9.4899677166623106E-2</v>
      </c>
      <c r="D8500" s="2">
        <v>8.2532729354373002E-2</v>
      </c>
      <c r="E8500" s="2">
        <v>0.18703951774949701</v>
      </c>
      <c r="F8500" s="2">
        <v>9.6364607096053906E-2</v>
      </c>
    </row>
    <row r="8501" spans="1:6" x14ac:dyDescent="0.25">
      <c r="A8501" s="1" t="str">
        <f t="shared" si="309"/>
        <v>18880</v>
      </c>
      <c r="B8501" s="1" t="str">
        <f>"32564"</f>
        <v>32564</v>
      </c>
      <c r="C8501" s="2">
        <v>7.2012402135923402E-3</v>
      </c>
      <c r="D8501" s="2">
        <v>2.0906964010154799E-3</v>
      </c>
      <c r="E8501" s="2">
        <v>4.1862022772940297E-3</v>
      </c>
      <c r="F8501" s="2">
        <v>6.6155414260059197E-3</v>
      </c>
    </row>
    <row r="8502" spans="1:6" x14ac:dyDescent="0.25">
      <c r="A8502" s="1" t="str">
        <f t="shared" si="309"/>
        <v>18880</v>
      </c>
      <c r="B8502" s="1" t="str">
        <f>"32544"</f>
        <v>32544</v>
      </c>
      <c r="C8502" s="2">
        <v>1.4474715089821E-2</v>
      </c>
      <c r="D8502" s="2">
        <v>1.65762357509084E-2</v>
      </c>
      <c r="E8502" s="2">
        <v>6.5304755525786998E-3</v>
      </c>
      <c r="F8502" s="2">
        <v>1.4449352036111199E-2</v>
      </c>
    </row>
    <row r="8503" spans="1:6" x14ac:dyDescent="0.25">
      <c r="A8503" s="1" t="str">
        <f t="shared" si="309"/>
        <v>18880</v>
      </c>
      <c r="B8503" s="1" t="str">
        <f>"32567"</f>
        <v>32567</v>
      </c>
      <c r="C8503" s="2">
        <v>1.27410831865487E-2</v>
      </c>
      <c r="D8503" s="2">
        <v>2.8871521728308998E-3</v>
      </c>
      <c r="E8503" s="2">
        <v>5.0234427327528397E-4</v>
      </c>
      <c r="F8503" s="2">
        <v>1.1425520555258899E-2</v>
      </c>
    </row>
    <row r="8504" spans="1:6" x14ac:dyDescent="0.25">
      <c r="A8504" s="1" t="str">
        <f t="shared" si="309"/>
        <v>18880</v>
      </c>
      <c r="B8504" s="1" t="str">
        <f>"32455"</f>
        <v>32455</v>
      </c>
      <c r="C8504" s="2">
        <v>8.6014813662352897E-3</v>
      </c>
      <c r="D8504" s="2">
        <v>1.5431330578923701E-3</v>
      </c>
      <c r="E8504" s="2">
        <v>1.1721366376423301E-3</v>
      </c>
      <c r="F8504" s="2">
        <v>7.6979080716400496E-3</v>
      </c>
    </row>
    <row r="8505" spans="1:6" x14ac:dyDescent="0.25">
      <c r="A8505" s="1" t="str">
        <f t="shared" si="309"/>
        <v>18880</v>
      </c>
      <c r="B8505" s="1" t="str">
        <f>"32462"</f>
        <v>32462</v>
      </c>
      <c r="C8505" s="2">
        <v>8.0013780151025999E-4</v>
      </c>
      <c r="D8505" s="2">
        <v>9.9556971476927596E-5</v>
      </c>
      <c r="E8505" s="2">
        <v>0</v>
      </c>
      <c r="F8505" s="2">
        <v>7.0863466485463205E-4</v>
      </c>
    </row>
    <row r="8506" spans="1:6" x14ac:dyDescent="0.25">
      <c r="A8506" s="1" t="str">
        <f t="shared" si="309"/>
        <v>18880</v>
      </c>
      <c r="B8506" s="1" t="str">
        <f>"32461"</f>
        <v>32461</v>
      </c>
      <c r="C8506" s="2">
        <v>2.7204685251348799E-2</v>
      </c>
      <c r="D8506" s="2">
        <v>1.1498830205585101E-2</v>
      </c>
      <c r="E8506" s="2">
        <v>5.7267247153382397E-2</v>
      </c>
      <c r="F8506" s="2">
        <v>2.65446779595204E-2</v>
      </c>
    </row>
    <row r="8507" spans="1:6" x14ac:dyDescent="0.25">
      <c r="A8507" s="1" t="str">
        <f t="shared" si="309"/>
        <v>18880</v>
      </c>
      <c r="B8507" s="1" t="str">
        <f>"32580"</f>
        <v>32580</v>
      </c>
      <c r="C8507" s="2">
        <v>1.0990781745745099E-2</v>
      </c>
      <c r="D8507" s="2">
        <v>1.0105032604908099E-2</v>
      </c>
      <c r="E8507" s="2">
        <v>1.15539182853315E-2</v>
      </c>
      <c r="F8507" s="2">
        <v>1.09207396981022E-2</v>
      </c>
    </row>
    <row r="8508" spans="1:6" x14ac:dyDescent="0.25">
      <c r="A8508" s="1" t="str">
        <f t="shared" si="309"/>
        <v>18880</v>
      </c>
      <c r="B8508" s="1" t="str">
        <f>"32588"</f>
        <v>32588</v>
      </c>
      <c r="C8508" s="2">
        <v>6.2510765742988996E-3</v>
      </c>
      <c r="D8508" s="2">
        <v>1.31415202349544E-2</v>
      </c>
      <c r="E8508" s="2">
        <v>3.3489618218352299E-4</v>
      </c>
      <c r="F8508" s="2">
        <v>6.7514439644711897E-3</v>
      </c>
    </row>
    <row r="8509" spans="1:6" x14ac:dyDescent="0.25">
      <c r="A8509" s="1" t="str">
        <f t="shared" si="309"/>
        <v>18880</v>
      </c>
      <c r="B8509" s="1" t="str">
        <f>"32464"</f>
        <v>32464</v>
      </c>
      <c r="C8509" s="2">
        <v>1.91144030360784E-3</v>
      </c>
      <c r="D8509" s="2">
        <v>7.46677286076957E-4</v>
      </c>
      <c r="E8509" s="2">
        <v>0</v>
      </c>
      <c r="F8509" s="2">
        <v>1.7424646896082999E-3</v>
      </c>
    </row>
    <row r="8510" spans="1:6" x14ac:dyDescent="0.25">
      <c r="A8510" s="1" t="str">
        <f t="shared" si="309"/>
        <v>18880</v>
      </c>
      <c r="B8510" s="1" t="str">
        <f>"32540"</f>
        <v>32540</v>
      </c>
      <c r="C8510" s="2">
        <v>9.3793931177036001E-3</v>
      </c>
      <c r="D8510" s="2">
        <v>2.38936731544626E-2</v>
      </c>
      <c r="E8510" s="2">
        <v>3.3489618218352299E-4</v>
      </c>
      <c r="F8510" s="2">
        <v>1.0532446731058499E-2</v>
      </c>
    </row>
    <row r="8511" spans="1:6" x14ac:dyDescent="0.25">
      <c r="A8511" s="1" t="str">
        <f t="shared" si="309"/>
        <v>18880</v>
      </c>
      <c r="B8511" s="1" t="str">
        <f>"32550"</f>
        <v>32550</v>
      </c>
      <c r="C8511" s="2">
        <v>7.4924014691419002E-2</v>
      </c>
      <c r="D8511" s="2">
        <v>6.0630195629448901E-2</v>
      </c>
      <c r="E8511" s="2">
        <v>0.11219022103148001</v>
      </c>
      <c r="F8511" s="2">
        <v>7.4610493617434298E-2</v>
      </c>
    </row>
    <row r="8512" spans="1:6" x14ac:dyDescent="0.25">
      <c r="A8512" s="1" t="str">
        <f t="shared" si="309"/>
        <v>18880</v>
      </c>
      <c r="B8512" s="1" t="str">
        <f>"32435"</f>
        <v>32435</v>
      </c>
      <c r="C8512" s="2">
        <v>2.0092349237924301E-2</v>
      </c>
      <c r="D8512" s="2">
        <v>1.85175966947085E-2</v>
      </c>
      <c r="E8512" s="2">
        <v>1.20562625586068E-2</v>
      </c>
      <c r="F8512" s="2">
        <v>1.9705868077464401E-2</v>
      </c>
    </row>
    <row r="8513" spans="1:6" x14ac:dyDescent="0.25">
      <c r="A8513" s="1" t="str">
        <f t="shared" si="309"/>
        <v>18880</v>
      </c>
      <c r="B8513" s="1" t="str">
        <f>"32579"</f>
        <v>32579</v>
      </c>
      <c r="C8513" s="2">
        <v>3.4350360339836301E-2</v>
      </c>
      <c r="D8513" s="2">
        <v>2.3943451640201101E-2</v>
      </c>
      <c r="E8513" s="2">
        <v>2.0261219022103101E-2</v>
      </c>
      <c r="F8513" s="2">
        <v>3.2927243605300097E-2</v>
      </c>
    </row>
    <row r="8514" spans="1:6" x14ac:dyDescent="0.25">
      <c r="A8514" s="1" t="str">
        <f t="shared" si="309"/>
        <v>18880</v>
      </c>
      <c r="B8514" s="1" t="str">
        <f>"32578"</f>
        <v>32578</v>
      </c>
      <c r="C8514" s="2">
        <v>8.5120215148164396E-2</v>
      </c>
      <c r="D8514" s="2">
        <v>4.9330479366817601E-2</v>
      </c>
      <c r="E8514" s="2">
        <v>6.4969859343603401E-2</v>
      </c>
      <c r="F8514" s="2">
        <v>8.1046449546182495E-2</v>
      </c>
    </row>
    <row r="8515" spans="1:6" x14ac:dyDescent="0.25">
      <c r="A8515" s="1" t="str">
        <f t="shared" si="309"/>
        <v>18880</v>
      </c>
      <c r="B8515" s="1" t="str">
        <f>"32541"</f>
        <v>32541</v>
      </c>
      <c r="C8515" s="2">
        <v>9.4677416666203607E-2</v>
      </c>
      <c r="D8515" s="2">
        <v>0.10617751008014301</v>
      </c>
      <c r="E8515" s="2">
        <v>0.13496316141995901</v>
      </c>
      <c r="F8515" s="2">
        <v>9.6966461194971598E-2</v>
      </c>
    </row>
    <row r="8516" spans="1:6" x14ac:dyDescent="0.25">
      <c r="A8516" s="1" t="str">
        <f t="shared" si="309"/>
        <v>18880</v>
      </c>
      <c r="B8516" s="1" t="str">
        <f>"32531"</f>
        <v>32531</v>
      </c>
      <c r="C8516" s="2">
        <v>2.0542426751273799E-2</v>
      </c>
      <c r="D8516" s="2">
        <v>7.3174374035541801E-3</v>
      </c>
      <c r="E8516" s="2">
        <v>6.3630274614869297E-3</v>
      </c>
      <c r="F8516" s="2">
        <v>1.8841916225792298E-2</v>
      </c>
    </row>
    <row r="8517" spans="1:6" x14ac:dyDescent="0.25">
      <c r="A8517" s="1" t="str">
        <f t="shared" si="309"/>
        <v>18880</v>
      </c>
      <c r="B8517" s="1" t="str">
        <f>"32549"</f>
        <v>32549</v>
      </c>
      <c r="C8517" s="2">
        <v>1.27355266740383E-2</v>
      </c>
      <c r="D8517" s="2">
        <v>2.5984369555478101E-2</v>
      </c>
      <c r="E8517" s="2">
        <v>3.3489618218352299E-4</v>
      </c>
      <c r="F8517" s="2">
        <v>1.3667912439935899E-2</v>
      </c>
    </row>
    <row r="8518" spans="1:6" x14ac:dyDescent="0.25">
      <c r="A8518" s="1" t="str">
        <f t="shared" si="309"/>
        <v>18880</v>
      </c>
      <c r="B8518" s="1" t="str">
        <f>"32569"</f>
        <v>32569</v>
      </c>
      <c r="C8518" s="2">
        <v>3.8189910484583402E-2</v>
      </c>
      <c r="D8518" s="2">
        <v>3.4596047588232301E-2</v>
      </c>
      <c r="E8518" s="2">
        <v>2.1935699933020698E-2</v>
      </c>
      <c r="F8518" s="2">
        <v>3.7368344415861697E-2</v>
      </c>
    </row>
    <row r="8519" spans="1:6" x14ac:dyDescent="0.25">
      <c r="A8519" s="1" t="str">
        <f t="shared" si="309"/>
        <v>18880</v>
      </c>
      <c r="B8519" s="1" t="str">
        <f>"32422"</f>
        <v>32422</v>
      </c>
      <c r="C8519" s="2">
        <v>0</v>
      </c>
      <c r="D8519" s="2">
        <v>0</v>
      </c>
      <c r="E8519" s="2">
        <v>1.6744809109176101E-4</v>
      </c>
      <c r="F8519" s="2">
        <v>4.8536620880454301E-6</v>
      </c>
    </row>
    <row r="8520" spans="1:6" x14ac:dyDescent="0.25">
      <c r="A8520" s="1" t="str">
        <f t="shared" si="309"/>
        <v>18880</v>
      </c>
      <c r="B8520" s="1" t="str">
        <f>"32538"</f>
        <v>32538</v>
      </c>
      <c r="C8520" s="2">
        <v>0</v>
      </c>
      <c r="D8520" s="2">
        <v>4.9778485738463798E-5</v>
      </c>
      <c r="E8520" s="2">
        <v>0</v>
      </c>
      <c r="F8520" s="2">
        <v>4.8536620880454301E-6</v>
      </c>
    </row>
    <row r="8521" spans="1:6" x14ac:dyDescent="0.25">
      <c r="A8521" s="1" t="str">
        <f t="shared" si="309"/>
        <v>18880</v>
      </c>
      <c r="B8521" s="1" t="str">
        <f>"32439"</f>
        <v>32439</v>
      </c>
      <c r="C8521" s="2">
        <v>3.5967305480388199E-2</v>
      </c>
      <c r="D8521" s="2">
        <v>1.8766489123400801E-2</v>
      </c>
      <c r="E8521" s="2">
        <v>1.5907568653717299E-2</v>
      </c>
      <c r="F8521" s="2">
        <v>3.3708683201475499E-2</v>
      </c>
    </row>
    <row r="8522" spans="1:6" x14ac:dyDescent="0.25">
      <c r="A8522" s="1" t="str">
        <f t="shared" si="309"/>
        <v>18880</v>
      </c>
      <c r="B8522" s="1" t="str">
        <f>"32433"</f>
        <v>32433</v>
      </c>
      <c r="C8522" s="2">
        <v>4.6585800887930601E-2</v>
      </c>
      <c r="D8522" s="2">
        <v>2.1952312210662499E-2</v>
      </c>
      <c r="E8522" s="2">
        <v>1.6744809109176102E-2</v>
      </c>
      <c r="F8522" s="2">
        <v>4.3318934135805398E-2</v>
      </c>
    </row>
    <row r="8523" spans="1:6" x14ac:dyDescent="0.25">
      <c r="A8523" s="1" t="str">
        <f t="shared" ref="A8523:A8535" si="310">"18900"</f>
        <v>18900</v>
      </c>
      <c r="B8523" s="1" t="str">
        <f>"38557"</f>
        <v>38557</v>
      </c>
      <c r="C8523" s="2">
        <v>5.4654190631527703E-2</v>
      </c>
      <c r="D8523" s="2">
        <v>0.12983425414364599</v>
      </c>
      <c r="E8523" s="2">
        <v>6.89179875947622E-4</v>
      </c>
      <c r="F8523" s="2">
        <v>5.8202270066676803E-2</v>
      </c>
    </row>
    <row r="8524" spans="1:6" x14ac:dyDescent="0.25">
      <c r="A8524" s="1" t="str">
        <f t="shared" si="310"/>
        <v>18900</v>
      </c>
      <c r="B8524" s="1" t="str">
        <f>"38583"</f>
        <v>38583</v>
      </c>
      <c r="C8524" s="2">
        <v>1.5451970126190999E-2</v>
      </c>
      <c r="D8524" s="2">
        <v>2.4171270718232E-3</v>
      </c>
      <c r="E8524" s="2">
        <v>9.6485182632667105E-3</v>
      </c>
      <c r="F8524" s="2">
        <v>1.427698885326E-2</v>
      </c>
    </row>
    <row r="8525" spans="1:6" x14ac:dyDescent="0.25">
      <c r="A8525" s="1" t="str">
        <f t="shared" si="310"/>
        <v>18900</v>
      </c>
      <c r="B8525" s="1" t="str">
        <f>"37381"</f>
        <v>37381</v>
      </c>
      <c r="C8525" s="2">
        <v>2.8614759492946398E-4</v>
      </c>
      <c r="D8525" s="2">
        <v>0</v>
      </c>
      <c r="E8525" s="2">
        <v>0</v>
      </c>
      <c r="F8525" s="2">
        <v>2.5449177991550802E-4</v>
      </c>
    </row>
    <row r="8526" spans="1:6" x14ac:dyDescent="0.25">
      <c r="A8526" s="1" t="str">
        <f t="shared" si="310"/>
        <v>18900</v>
      </c>
      <c r="B8526" s="1" t="str">
        <f>"38572"</f>
        <v>38572</v>
      </c>
      <c r="C8526" s="2">
        <v>0.19815720948865401</v>
      </c>
      <c r="D8526" s="2">
        <v>6.4571823204419801E-2</v>
      </c>
      <c r="E8526" s="2">
        <v>6.0647829083390697E-2</v>
      </c>
      <c r="F8526" s="2">
        <v>0.18323408153916601</v>
      </c>
    </row>
    <row r="8527" spans="1:6" x14ac:dyDescent="0.25">
      <c r="A8527" s="1" t="str">
        <f t="shared" si="310"/>
        <v>18900</v>
      </c>
      <c r="B8527" s="1" t="str">
        <f>"37337"</f>
        <v>37337</v>
      </c>
      <c r="C8527" s="2">
        <v>9.2139525567287595E-3</v>
      </c>
      <c r="D8527" s="2">
        <v>2.4171270718232E-3</v>
      </c>
      <c r="E8527" s="2">
        <v>0</v>
      </c>
      <c r="F8527" s="2">
        <v>8.3727795592202295E-3</v>
      </c>
    </row>
    <row r="8528" spans="1:6" x14ac:dyDescent="0.25">
      <c r="A8528" s="1" t="str">
        <f t="shared" si="310"/>
        <v>18900</v>
      </c>
      <c r="B8528" s="1" t="str">
        <f>"37723"</f>
        <v>37723</v>
      </c>
      <c r="C8528" s="2">
        <v>1.23329613414599E-2</v>
      </c>
      <c r="D8528" s="2">
        <v>3.4530386740331399E-3</v>
      </c>
      <c r="E8528" s="2">
        <v>0</v>
      </c>
      <c r="F8528" s="2">
        <v>1.1223087494273899E-2</v>
      </c>
    </row>
    <row r="8529" spans="1:6" x14ac:dyDescent="0.25">
      <c r="A8529" s="1" t="str">
        <f t="shared" si="310"/>
        <v>18900</v>
      </c>
      <c r="B8529" s="1" t="str">
        <f>"38578"</f>
        <v>38578</v>
      </c>
      <c r="C8529" s="2">
        <v>8.5844278478839299E-5</v>
      </c>
      <c r="D8529" s="2">
        <v>3.4530386740331398E-4</v>
      </c>
      <c r="E8529" s="2">
        <v>0</v>
      </c>
      <c r="F8529" s="2">
        <v>1.0179671196620301E-4</v>
      </c>
    </row>
    <row r="8530" spans="1:6" x14ac:dyDescent="0.25">
      <c r="A8530" s="1" t="str">
        <f t="shared" si="310"/>
        <v>18900</v>
      </c>
      <c r="B8530" s="1" t="str">
        <f>"38555"</f>
        <v>38555</v>
      </c>
      <c r="C8530" s="2">
        <v>0.287578332904111</v>
      </c>
      <c r="D8530" s="2">
        <v>0.61118784530386705</v>
      </c>
      <c r="E8530" s="2">
        <v>0.71674707098552703</v>
      </c>
      <c r="F8530" s="2">
        <v>0.32727642897134401</v>
      </c>
    </row>
    <row r="8531" spans="1:6" x14ac:dyDescent="0.25">
      <c r="A8531" s="1" t="str">
        <f t="shared" si="310"/>
        <v>18900</v>
      </c>
      <c r="B8531" s="1" t="str">
        <f>"37854"</f>
        <v>37854</v>
      </c>
      <c r="C8531" s="2">
        <v>2.8500300454974599E-2</v>
      </c>
      <c r="D8531" s="2">
        <v>1.03591160220994E-2</v>
      </c>
      <c r="E8531" s="2">
        <v>0</v>
      </c>
      <c r="F8531" s="2">
        <v>2.6110856619331099E-2</v>
      </c>
    </row>
    <row r="8532" spans="1:6" x14ac:dyDescent="0.25">
      <c r="A8532" s="1" t="str">
        <f t="shared" si="310"/>
        <v>18900</v>
      </c>
      <c r="B8532" s="1" t="str">
        <f>"37367"</f>
        <v>37367</v>
      </c>
      <c r="C8532" s="2">
        <v>6.2952470884482204E-4</v>
      </c>
      <c r="D8532" s="2">
        <v>3.4530386740331398E-4</v>
      </c>
      <c r="E8532" s="2">
        <v>0</v>
      </c>
      <c r="F8532" s="2">
        <v>5.8533109380566996E-4</v>
      </c>
    </row>
    <row r="8533" spans="1:6" x14ac:dyDescent="0.25">
      <c r="A8533" s="1" t="str">
        <f t="shared" si="310"/>
        <v>18900</v>
      </c>
      <c r="B8533" s="1" t="str">
        <f>"38558"</f>
        <v>38558</v>
      </c>
      <c r="C8533" s="2">
        <v>0.16267490771740001</v>
      </c>
      <c r="D8533" s="2">
        <v>1.41574585635359E-2</v>
      </c>
      <c r="E8533" s="2">
        <v>8.5458304617505101E-2</v>
      </c>
      <c r="F8533" s="2">
        <v>0.14887769125057199</v>
      </c>
    </row>
    <row r="8534" spans="1:6" x14ac:dyDescent="0.25">
      <c r="A8534" s="1" t="str">
        <f t="shared" si="310"/>
        <v>18900</v>
      </c>
      <c r="B8534" s="1" t="str">
        <f>"38574"</f>
        <v>38574</v>
      </c>
      <c r="C8534" s="2">
        <v>2.1289381062752102E-2</v>
      </c>
      <c r="D8534" s="2">
        <v>5.1795580110497201E-3</v>
      </c>
      <c r="E8534" s="2">
        <v>2.0675396278428599E-3</v>
      </c>
      <c r="F8534" s="2">
        <v>1.9392273629561699E-2</v>
      </c>
    </row>
    <row r="8535" spans="1:6" x14ac:dyDescent="0.25">
      <c r="A8535" s="1" t="str">
        <f t="shared" si="310"/>
        <v>18900</v>
      </c>
      <c r="B8535" s="1" t="str">
        <f>"38571"</f>
        <v>38571</v>
      </c>
      <c r="C8535" s="2">
        <v>0.20914527713394501</v>
      </c>
      <c r="D8535" s="2">
        <v>0.155732044198895</v>
      </c>
      <c r="E8535" s="2">
        <v>0.124741557546519</v>
      </c>
      <c r="F8535" s="2">
        <v>0.20209192243090501</v>
      </c>
    </row>
    <row r="8536" spans="1:6" x14ac:dyDescent="0.25">
      <c r="A8536" s="1" t="str">
        <f t="shared" ref="A8536:A8556" si="311">"18980"</f>
        <v>18980</v>
      </c>
      <c r="B8536" s="1" t="str">
        <f>"35087"</f>
        <v>35087</v>
      </c>
      <c r="C8536" s="2">
        <v>1.16971685082872E-2</v>
      </c>
      <c r="D8536" s="2">
        <v>3.0387439858191902E-3</v>
      </c>
      <c r="E8536" s="2">
        <v>1.1083743842364499E-2</v>
      </c>
      <c r="F8536" s="2">
        <v>1.10182593890052E-2</v>
      </c>
    </row>
    <row r="8537" spans="1:6" x14ac:dyDescent="0.25">
      <c r="A8537" s="1" t="str">
        <f t="shared" si="311"/>
        <v>18980</v>
      </c>
      <c r="B8537" s="1" t="str">
        <f>"35083"</f>
        <v>35083</v>
      </c>
      <c r="C8537" s="2">
        <v>3.4508805248618699E-2</v>
      </c>
      <c r="D8537" s="2">
        <v>1.2661433274246601E-2</v>
      </c>
      <c r="E8537" s="2">
        <v>1.47783251231527E-2</v>
      </c>
      <c r="F8537" s="2">
        <v>3.2506800790652997E-2</v>
      </c>
    </row>
    <row r="8538" spans="1:6" x14ac:dyDescent="0.25">
      <c r="A8538" s="1" t="str">
        <f t="shared" si="311"/>
        <v>18980</v>
      </c>
      <c r="B8538" s="1" t="str">
        <f>"35179"</f>
        <v>35179</v>
      </c>
      <c r="C8538" s="2">
        <v>0.103310600828729</v>
      </c>
      <c r="D8538" s="2">
        <v>4.2795644466953602E-2</v>
      </c>
      <c r="E8538" s="2">
        <v>7.63546798029556E-2</v>
      </c>
      <c r="F8538" s="2">
        <v>9.8205374092412395E-2</v>
      </c>
    </row>
    <row r="8539" spans="1:6" x14ac:dyDescent="0.25">
      <c r="A8539" s="1" t="str">
        <f t="shared" si="311"/>
        <v>18980</v>
      </c>
      <c r="B8539" s="1" t="str">
        <f>"35621"</f>
        <v>35621</v>
      </c>
      <c r="C8539" s="2">
        <v>1.8560082872928099E-3</v>
      </c>
      <c r="D8539" s="2">
        <v>5.0645733096986499E-4</v>
      </c>
      <c r="E8539" s="2">
        <v>0</v>
      </c>
      <c r="F8539" s="2">
        <v>1.72221461142532E-3</v>
      </c>
    </row>
    <row r="8540" spans="1:6" x14ac:dyDescent="0.25">
      <c r="A8540" s="1" t="str">
        <f t="shared" si="311"/>
        <v>18980</v>
      </c>
      <c r="B8540" s="1" t="str">
        <f>"35540"</f>
        <v>35540</v>
      </c>
      <c r="C8540" s="2">
        <v>1.3812154696132501E-3</v>
      </c>
      <c r="D8540" s="2">
        <v>2.5322866548493201E-4</v>
      </c>
      <c r="E8540" s="2">
        <v>0</v>
      </c>
      <c r="F8540" s="2">
        <v>1.2720903379846099E-3</v>
      </c>
    </row>
    <row r="8541" spans="1:6" x14ac:dyDescent="0.25">
      <c r="A8541" s="1" t="str">
        <f t="shared" si="311"/>
        <v>18980</v>
      </c>
      <c r="B8541" s="1" t="str">
        <f>"35619"</f>
        <v>35619</v>
      </c>
      <c r="C8541" s="2">
        <v>2.8055939226519298E-4</v>
      </c>
      <c r="D8541" s="2">
        <v>0</v>
      </c>
      <c r="E8541" s="2">
        <v>0</v>
      </c>
      <c r="F8541" s="2">
        <v>2.5441806759692298E-4</v>
      </c>
    </row>
    <row r="8542" spans="1:6" x14ac:dyDescent="0.25">
      <c r="A8542" s="1" t="str">
        <f t="shared" si="311"/>
        <v>18980</v>
      </c>
      <c r="B8542" s="1" t="str">
        <f>"35053"</f>
        <v>35053</v>
      </c>
      <c r="C8542" s="2">
        <v>4.7047651933701598E-2</v>
      </c>
      <c r="D8542" s="2">
        <v>9.6226892884274402E-3</v>
      </c>
      <c r="E8542" s="2">
        <v>2.2167487684728999E-2</v>
      </c>
      <c r="F8542" s="2">
        <v>4.3759907626670799E-2</v>
      </c>
    </row>
    <row r="8543" spans="1:6" x14ac:dyDescent="0.25">
      <c r="A8543" s="1" t="str">
        <f t="shared" si="311"/>
        <v>18980</v>
      </c>
      <c r="B8543" s="1" t="str">
        <f>"35070"</f>
        <v>35070</v>
      </c>
      <c r="C8543" s="2">
        <v>0</v>
      </c>
      <c r="D8543" s="2">
        <v>2.5322866548493201E-4</v>
      </c>
      <c r="E8543" s="2">
        <v>0</v>
      </c>
      <c r="F8543" s="2">
        <v>1.95706205843787E-5</v>
      </c>
    </row>
    <row r="8544" spans="1:6" x14ac:dyDescent="0.25">
      <c r="A8544" s="1" t="str">
        <f t="shared" si="311"/>
        <v>18980</v>
      </c>
      <c r="B8544" s="1" t="str">
        <f>"35056"</f>
        <v>35056</v>
      </c>
      <c r="C8544" s="2">
        <v>3.2221167127071799E-2</v>
      </c>
      <c r="D8544" s="2">
        <v>0.12990630539376999</v>
      </c>
      <c r="E8544" s="2">
        <v>1.23152709359605E-3</v>
      </c>
      <c r="F8544" s="2">
        <v>3.9278235512848099E-2</v>
      </c>
    </row>
    <row r="8545" spans="1:6" x14ac:dyDescent="0.25">
      <c r="A8545" s="1" t="str">
        <f t="shared" si="311"/>
        <v>18980</v>
      </c>
      <c r="B8545" s="1" t="str">
        <f>"35055"</f>
        <v>35055</v>
      </c>
      <c r="C8545" s="2">
        <v>0.22507337707182301</v>
      </c>
      <c r="D8545" s="2">
        <v>0.46087617118257701</v>
      </c>
      <c r="E8545" s="2">
        <v>0.45935960591133002</v>
      </c>
      <c r="F8545" s="2">
        <v>0.247020373016028</v>
      </c>
    </row>
    <row r="8546" spans="1:6" x14ac:dyDescent="0.25">
      <c r="A8546" s="1" t="str">
        <f t="shared" si="311"/>
        <v>18980</v>
      </c>
      <c r="B8546" s="1" t="str">
        <f>"35670"</f>
        <v>35670</v>
      </c>
      <c r="C8546" s="2">
        <v>2.15814917127071E-5</v>
      </c>
      <c r="D8546" s="2">
        <v>0</v>
      </c>
      <c r="E8546" s="2">
        <v>0</v>
      </c>
      <c r="F8546" s="2">
        <v>1.95706205843787E-5</v>
      </c>
    </row>
    <row r="8547" spans="1:6" x14ac:dyDescent="0.25">
      <c r="A8547" s="1" t="str">
        <f t="shared" si="311"/>
        <v>18980</v>
      </c>
      <c r="B8547" s="1" t="str">
        <f>"35622"</f>
        <v>35622</v>
      </c>
      <c r="C8547" s="2">
        <v>1.6294026243093899E-2</v>
      </c>
      <c r="D8547" s="2">
        <v>1.5193719929095901E-3</v>
      </c>
      <c r="E8547" s="2">
        <v>8.6206896551724102E-3</v>
      </c>
      <c r="F8547" s="2">
        <v>1.50302366088028E-2</v>
      </c>
    </row>
    <row r="8548" spans="1:6" x14ac:dyDescent="0.25">
      <c r="A8548" s="1" t="str">
        <f t="shared" si="311"/>
        <v>18980</v>
      </c>
      <c r="B8548" s="1" t="str">
        <f>"35016"</f>
        <v>35016</v>
      </c>
      <c r="C8548" s="2">
        <v>2.14951657458563E-2</v>
      </c>
      <c r="D8548" s="2">
        <v>1.0129146619397299E-2</v>
      </c>
      <c r="E8548" s="2">
        <v>1.23152709359605E-2</v>
      </c>
      <c r="F8548" s="2">
        <v>2.0470869131260099E-2</v>
      </c>
    </row>
    <row r="8549" spans="1:6" x14ac:dyDescent="0.25">
      <c r="A8549" s="1" t="str">
        <f t="shared" si="311"/>
        <v>18980</v>
      </c>
      <c r="B8549" s="1" t="str">
        <f>"35033"</f>
        <v>35033</v>
      </c>
      <c r="C8549" s="2">
        <v>4.3983080110497202E-2</v>
      </c>
      <c r="D8549" s="2">
        <v>1.06356039503671E-2</v>
      </c>
      <c r="E8549" s="2">
        <v>7.38916256157635E-3</v>
      </c>
      <c r="F8549" s="2">
        <v>4.0824314539014001E-2</v>
      </c>
    </row>
    <row r="8550" spans="1:6" x14ac:dyDescent="0.25">
      <c r="A8550" s="1" t="str">
        <f t="shared" si="311"/>
        <v>18980</v>
      </c>
      <c r="B8550" s="1" t="str">
        <f>"35077"</f>
        <v>35077</v>
      </c>
      <c r="C8550" s="2">
        <v>0.15264589088397701</v>
      </c>
      <c r="D8550" s="2">
        <v>0.109141554824006</v>
      </c>
      <c r="E8550" s="2">
        <v>0.16256157635467899</v>
      </c>
      <c r="F8550" s="2">
        <v>0.14944125878231501</v>
      </c>
    </row>
    <row r="8551" spans="1:6" x14ac:dyDescent="0.25">
      <c r="A8551" s="1" t="str">
        <f t="shared" si="311"/>
        <v>18980</v>
      </c>
      <c r="B8551" s="1" t="str">
        <f>"35057"</f>
        <v>35057</v>
      </c>
      <c r="C8551" s="2">
        <v>0.15471771408839699</v>
      </c>
      <c r="D8551" s="2">
        <v>8.05267156242086E-2</v>
      </c>
      <c r="E8551" s="2">
        <v>0.109605911330049</v>
      </c>
      <c r="F8551" s="2">
        <v>0.14826702154725299</v>
      </c>
    </row>
    <row r="8552" spans="1:6" x14ac:dyDescent="0.25">
      <c r="A8552" s="1" t="str">
        <f t="shared" si="311"/>
        <v>18980</v>
      </c>
      <c r="B8552" s="1" t="str">
        <f>"35541"</f>
        <v>35541</v>
      </c>
      <c r="C8552" s="2">
        <v>2.5897790055248601E-4</v>
      </c>
      <c r="D8552" s="2">
        <v>0</v>
      </c>
      <c r="E8552" s="2">
        <v>0</v>
      </c>
      <c r="F8552" s="2">
        <v>2.34847447012544E-4</v>
      </c>
    </row>
    <row r="8553" spans="1:6" x14ac:dyDescent="0.25">
      <c r="A8553" s="1" t="str">
        <f t="shared" si="311"/>
        <v>18980</v>
      </c>
      <c r="B8553" s="1" t="str">
        <f>"35976"</f>
        <v>35976</v>
      </c>
      <c r="C8553" s="2">
        <v>2.15814917127071E-4</v>
      </c>
      <c r="D8553" s="2">
        <v>0</v>
      </c>
      <c r="E8553" s="2">
        <v>0</v>
      </c>
      <c r="F8553" s="2">
        <v>1.95706205843787E-4</v>
      </c>
    </row>
    <row r="8554" spans="1:6" x14ac:dyDescent="0.25">
      <c r="A8554" s="1" t="str">
        <f t="shared" si="311"/>
        <v>18980</v>
      </c>
      <c r="B8554" s="1" t="str">
        <f>"35058"</f>
        <v>35058</v>
      </c>
      <c r="C8554" s="2">
        <v>0.117381733425414</v>
      </c>
      <c r="D8554" s="2">
        <v>0.11293998480627999</v>
      </c>
      <c r="E8554" s="2">
        <v>0.100985221674876</v>
      </c>
      <c r="F8554" s="2">
        <v>0.116777893026987</v>
      </c>
    </row>
    <row r="8555" spans="1:6" x14ac:dyDescent="0.25">
      <c r="A8555" s="1" t="str">
        <f t="shared" si="311"/>
        <v>18980</v>
      </c>
      <c r="B8555" s="1" t="str">
        <f>"35098"</f>
        <v>35098</v>
      </c>
      <c r="C8555" s="2">
        <v>1.49775552486187E-2</v>
      </c>
      <c r="D8555" s="2">
        <v>3.2919726513041198E-3</v>
      </c>
      <c r="E8555" s="2">
        <v>2.46305418719211E-3</v>
      </c>
      <c r="F8555" s="2">
        <v>1.38755699943245E-2</v>
      </c>
    </row>
    <row r="8556" spans="1:6" x14ac:dyDescent="0.25">
      <c r="A8556" s="1" t="str">
        <f t="shared" si="311"/>
        <v>18980</v>
      </c>
      <c r="B8556" s="1" t="str">
        <f>"35019"</f>
        <v>35019</v>
      </c>
      <c r="C8556" s="2">
        <v>2.0631906077348001E-2</v>
      </c>
      <c r="D8556" s="2">
        <v>1.1901747277791801E-2</v>
      </c>
      <c r="E8556" s="2">
        <v>1.1083743842364499E-2</v>
      </c>
      <c r="F8556" s="2">
        <v>1.9805468031391198E-2</v>
      </c>
    </row>
    <row r="8557" spans="1:6" x14ac:dyDescent="0.25">
      <c r="A8557" s="1" t="str">
        <f t="shared" ref="A8557:A8573" si="312">"19000"</f>
        <v>19000</v>
      </c>
      <c r="B8557" s="1" t="str">
        <f>"28725"</f>
        <v>28725</v>
      </c>
      <c r="C8557" s="2">
        <v>0</v>
      </c>
      <c r="D8557" s="2">
        <v>0</v>
      </c>
      <c r="E8557" s="2">
        <v>1.53609831029185E-3</v>
      </c>
      <c r="F8557" s="2">
        <v>3.6327968903258602E-5</v>
      </c>
    </row>
    <row r="8558" spans="1:6" x14ac:dyDescent="0.25">
      <c r="A8558" s="1" t="str">
        <f t="shared" si="312"/>
        <v>19000</v>
      </c>
      <c r="B8558" s="1" t="str">
        <f>"28747"</f>
        <v>28747</v>
      </c>
      <c r="C8558" s="2">
        <v>7.9017028169570496E-5</v>
      </c>
      <c r="D8558" s="2">
        <v>0</v>
      </c>
      <c r="E8558" s="2">
        <v>0</v>
      </c>
      <c r="F8558" s="2">
        <v>7.2655937806517204E-5</v>
      </c>
    </row>
    <row r="8559" spans="1:6" x14ac:dyDescent="0.25">
      <c r="A8559" s="1" t="str">
        <f t="shared" si="312"/>
        <v>19000</v>
      </c>
      <c r="B8559" s="1" t="str">
        <f>"28774"</f>
        <v>28774</v>
      </c>
      <c r="C8559" s="2">
        <v>4.0298684366480902E-2</v>
      </c>
      <c r="D8559" s="2">
        <v>1.8530351437699599E-2</v>
      </c>
      <c r="E8559" s="2">
        <v>4.7619047619047603E-2</v>
      </c>
      <c r="F8559" s="2">
        <v>3.92342064155193E-2</v>
      </c>
    </row>
    <row r="8560" spans="1:6" x14ac:dyDescent="0.25">
      <c r="A8560" s="1" t="str">
        <f t="shared" si="312"/>
        <v>19000</v>
      </c>
      <c r="B8560" s="1" t="str">
        <f>"28702"</f>
        <v>28702</v>
      </c>
      <c r="C8560" s="2">
        <v>3.5557662676306698E-4</v>
      </c>
      <c r="D8560" s="2">
        <v>0</v>
      </c>
      <c r="E8560" s="2">
        <v>0</v>
      </c>
      <c r="F8560" s="2">
        <v>3.2695172012932701E-4</v>
      </c>
    </row>
    <row r="8561" spans="1:6" x14ac:dyDescent="0.25">
      <c r="A8561" s="1" t="str">
        <f t="shared" si="312"/>
        <v>19000</v>
      </c>
      <c r="B8561" s="1" t="str">
        <f>"28713"</f>
        <v>28713</v>
      </c>
      <c r="C8561" s="2">
        <v>0.19082612302951199</v>
      </c>
      <c r="D8561" s="2">
        <v>0.15271565495207601</v>
      </c>
      <c r="E8561" s="2">
        <v>9.2165898617511496E-2</v>
      </c>
      <c r="F8561" s="2">
        <v>0.18632615250481299</v>
      </c>
    </row>
    <row r="8562" spans="1:6" x14ac:dyDescent="0.25">
      <c r="A8562" s="1" t="str">
        <f t="shared" si="312"/>
        <v>19000</v>
      </c>
      <c r="B8562" s="1" t="str">
        <f>"28719"</f>
        <v>28719</v>
      </c>
      <c r="C8562" s="2">
        <v>7.0246138042748194E-2</v>
      </c>
      <c r="D8562" s="2">
        <v>6.9648562300319405E-2</v>
      </c>
      <c r="E8562" s="2">
        <v>3.9938556067588303E-2</v>
      </c>
      <c r="F8562" s="2">
        <v>6.94954045119337E-2</v>
      </c>
    </row>
    <row r="8563" spans="1:6" x14ac:dyDescent="0.25">
      <c r="A8563" s="1" t="str">
        <f t="shared" si="312"/>
        <v>19000</v>
      </c>
      <c r="B8563" s="1" t="str">
        <f>"28736"</f>
        <v>28736</v>
      </c>
      <c r="C8563" s="2">
        <v>1.6633084429694502E-2</v>
      </c>
      <c r="D8563" s="2">
        <v>1.21405750798722E-2</v>
      </c>
      <c r="E8563" s="2">
        <v>3.07219662058371E-3</v>
      </c>
      <c r="F8563" s="2">
        <v>1.6056962255240299E-2</v>
      </c>
    </row>
    <row r="8564" spans="1:6" x14ac:dyDescent="0.25">
      <c r="A8564" s="1" t="str">
        <f t="shared" si="312"/>
        <v>19000</v>
      </c>
      <c r="B8564" s="1" t="str">
        <f>"28723"</f>
        <v>28723</v>
      </c>
      <c r="C8564" s="2">
        <v>0.17490419185334399</v>
      </c>
      <c r="D8564" s="2">
        <v>4.6006389776357799E-2</v>
      </c>
      <c r="E8564" s="2">
        <v>0.34562211981566798</v>
      </c>
      <c r="F8564" s="2">
        <v>0.17161332509899299</v>
      </c>
    </row>
    <row r="8565" spans="1:6" x14ac:dyDescent="0.25">
      <c r="A8565" s="1" t="str">
        <f t="shared" si="312"/>
        <v>19000</v>
      </c>
      <c r="B8565" s="1" t="str">
        <f>"28707"</f>
        <v>28707</v>
      </c>
      <c r="C8565" s="2">
        <v>0</v>
      </c>
      <c r="D8565" s="2">
        <v>0</v>
      </c>
      <c r="E8565" s="2">
        <v>1.53609831029185E-3</v>
      </c>
      <c r="F8565" s="2">
        <v>3.6327968903258602E-5</v>
      </c>
    </row>
    <row r="8566" spans="1:6" x14ac:dyDescent="0.25">
      <c r="A8566" s="1" t="str">
        <f t="shared" si="312"/>
        <v>19000</v>
      </c>
      <c r="B8566" s="1" t="str">
        <f>"28741"</f>
        <v>28741</v>
      </c>
      <c r="C8566" s="2">
        <v>1.6633084429694502E-2</v>
      </c>
      <c r="D8566" s="2">
        <v>7.6677316293929697E-3</v>
      </c>
      <c r="E8566" s="2">
        <v>3.07219662058371E-3</v>
      </c>
      <c r="F8566" s="2">
        <v>1.58026664729174E-2</v>
      </c>
    </row>
    <row r="8567" spans="1:6" x14ac:dyDescent="0.25">
      <c r="A8567" s="1" t="str">
        <f t="shared" si="312"/>
        <v>19000</v>
      </c>
      <c r="B8567" s="1" t="str">
        <f>"28751"</f>
        <v>28751</v>
      </c>
      <c r="C8567" s="2">
        <v>2.6470704436806101E-3</v>
      </c>
      <c r="D8567" s="2">
        <v>1.27795527156549E-3</v>
      </c>
      <c r="E8567" s="2">
        <v>0</v>
      </c>
      <c r="F8567" s="2">
        <v>2.5066298543248398E-3</v>
      </c>
    </row>
    <row r="8568" spans="1:6" x14ac:dyDescent="0.25">
      <c r="A8568" s="1" t="str">
        <f t="shared" si="312"/>
        <v>19000</v>
      </c>
      <c r="B8568" s="1" t="str">
        <f>"28788"</f>
        <v>28788</v>
      </c>
      <c r="C8568" s="2">
        <v>0</v>
      </c>
      <c r="D8568" s="2">
        <v>0</v>
      </c>
      <c r="E8568" s="2">
        <v>1.53609831029185E-3</v>
      </c>
      <c r="F8568" s="2">
        <v>3.6327968903258602E-5</v>
      </c>
    </row>
    <row r="8569" spans="1:6" x14ac:dyDescent="0.25">
      <c r="A8569" s="1" t="str">
        <f t="shared" si="312"/>
        <v>19000</v>
      </c>
      <c r="B8569" s="1" t="str">
        <f>"28717"</f>
        <v>28717</v>
      </c>
      <c r="C8569" s="2">
        <v>2.7458417288925702E-2</v>
      </c>
      <c r="D8569" s="2">
        <v>4.6645367412140502E-2</v>
      </c>
      <c r="E8569" s="2">
        <v>2.1505376344085999E-2</v>
      </c>
      <c r="F8569" s="2">
        <v>2.84084716823482E-2</v>
      </c>
    </row>
    <row r="8570" spans="1:6" x14ac:dyDescent="0.25">
      <c r="A8570" s="1" t="str">
        <f t="shared" si="312"/>
        <v>19000</v>
      </c>
      <c r="B8570" s="1" t="str">
        <f>"28771"</f>
        <v>28771</v>
      </c>
      <c r="C8570" s="2">
        <v>6.7164473944134897E-4</v>
      </c>
      <c r="D8570" s="2">
        <v>0</v>
      </c>
      <c r="E8570" s="2">
        <v>0</v>
      </c>
      <c r="F8570" s="2">
        <v>6.1757547135539599E-4</v>
      </c>
    </row>
    <row r="8571" spans="1:6" x14ac:dyDescent="0.25">
      <c r="A8571" s="1" t="str">
        <f t="shared" si="312"/>
        <v>19000</v>
      </c>
      <c r="B8571" s="1" t="str">
        <f>"28783"</f>
        <v>28783</v>
      </c>
      <c r="C8571" s="2">
        <v>2.22432934297341E-2</v>
      </c>
      <c r="D8571" s="2">
        <v>1.91693290734824E-3</v>
      </c>
      <c r="E8571" s="2">
        <v>0</v>
      </c>
      <c r="F8571" s="2">
        <v>2.0561630399244302E-2</v>
      </c>
    </row>
    <row r="8572" spans="1:6" x14ac:dyDescent="0.25">
      <c r="A8572" s="1" t="str">
        <f t="shared" si="312"/>
        <v>19000</v>
      </c>
      <c r="B8572" s="1" t="str">
        <f>"28779"</f>
        <v>28779</v>
      </c>
      <c r="C8572" s="2">
        <v>0.326221800798071</v>
      </c>
      <c r="D8572" s="2">
        <v>0.57507987220447199</v>
      </c>
      <c r="E8572" s="2">
        <v>0.41781874039938499</v>
      </c>
      <c r="F8572" s="2">
        <v>0.34253641878882501</v>
      </c>
    </row>
    <row r="8573" spans="1:6" x14ac:dyDescent="0.25">
      <c r="A8573" s="1" t="str">
        <f t="shared" si="312"/>
        <v>19000</v>
      </c>
      <c r="B8573" s="1" t="str">
        <f>"28789"</f>
        <v>28789</v>
      </c>
      <c r="C8573" s="2">
        <v>0.110781873493737</v>
      </c>
      <c r="D8573" s="2">
        <v>6.8370607028753902E-2</v>
      </c>
      <c r="E8573" s="2">
        <v>2.4577572964669701E-2</v>
      </c>
      <c r="F8573" s="2">
        <v>0.106331964979837</v>
      </c>
    </row>
    <row r="8574" spans="1:6" x14ac:dyDescent="0.25">
      <c r="A8574" s="1" t="str">
        <f t="shared" ref="A8574:A8608" si="313">"19060"</f>
        <v>19060</v>
      </c>
      <c r="B8574" s="1" t="str">
        <f>"21532"</f>
        <v>21532</v>
      </c>
      <c r="C8574" s="2">
        <v>0.12874957229213299</v>
      </c>
      <c r="D8574" s="2">
        <v>9.1623036649214604E-2</v>
      </c>
      <c r="E8574" s="2">
        <v>0.23117505995203799</v>
      </c>
      <c r="F8574" s="2">
        <v>0.12972679265787099</v>
      </c>
    </row>
    <row r="8575" spans="1:6" x14ac:dyDescent="0.25">
      <c r="A8575" s="1" t="str">
        <f t="shared" si="313"/>
        <v>19060</v>
      </c>
      <c r="B8575" s="1" t="str">
        <f>"21524"</f>
        <v>21524</v>
      </c>
      <c r="C8575" s="2">
        <v>1.14055430939436E-3</v>
      </c>
      <c r="D8575" s="2">
        <v>2.3798191337458301E-4</v>
      </c>
      <c r="E8575" s="2">
        <v>0</v>
      </c>
      <c r="F8575" s="2">
        <v>1.0357767476610099E-3</v>
      </c>
    </row>
    <row r="8576" spans="1:6" x14ac:dyDescent="0.25">
      <c r="A8576" s="1" t="str">
        <f t="shared" si="313"/>
        <v>19060</v>
      </c>
      <c r="B8576" s="1" t="str">
        <f>"21528"</f>
        <v>21528</v>
      </c>
      <c r="C8576" s="2">
        <v>0</v>
      </c>
      <c r="D8576" s="2">
        <v>4.7596382674916699E-4</v>
      </c>
      <c r="E8576" s="2">
        <v>0</v>
      </c>
      <c r="F8576" s="2">
        <v>3.3959893365934802E-5</v>
      </c>
    </row>
    <row r="8577" spans="1:6" x14ac:dyDescent="0.25">
      <c r="A8577" s="1" t="str">
        <f t="shared" si="313"/>
        <v>19060</v>
      </c>
      <c r="B8577" s="1" t="str">
        <f>"21540"</f>
        <v>21540</v>
      </c>
      <c r="C8577" s="2">
        <v>1.2356005018438899E-3</v>
      </c>
      <c r="D8577" s="2">
        <v>1.18990956687291E-3</v>
      </c>
      <c r="E8577" s="2">
        <v>4.7961630695443597E-4</v>
      </c>
      <c r="F8577" s="2">
        <v>1.2055762144906801E-3</v>
      </c>
    </row>
    <row r="8578" spans="1:6" x14ac:dyDescent="0.25">
      <c r="A8578" s="1" t="str">
        <f t="shared" si="313"/>
        <v>19060</v>
      </c>
      <c r="B8578" s="1" t="str">
        <f>"21529"</f>
        <v>21529</v>
      </c>
      <c r="C8578" s="2">
        <v>5.8548454548910701E-3</v>
      </c>
      <c r="D8578" s="2">
        <v>2.3798191337458301E-4</v>
      </c>
      <c r="E8578" s="2">
        <v>0</v>
      </c>
      <c r="F8578" s="2">
        <v>5.2468035250369301E-3</v>
      </c>
    </row>
    <row r="8579" spans="1:6" x14ac:dyDescent="0.25">
      <c r="A8579" s="1" t="str">
        <f t="shared" si="313"/>
        <v>19060</v>
      </c>
      <c r="B8579" s="1" t="str">
        <f>"26763"</f>
        <v>26763</v>
      </c>
      <c r="C8579" s="2">
        <v>3.30760749724366E-3</v>
      </c>
      <c r="D8579" s="2">
        <v>7.1394574012374995E-4</v>
      </c>
      <c r="E8579" s="2">
        <v>0</v>
      </c>
      <c r="F8579" s="2">
        <v>3.00545056288523E-3</v>
      </c>
    </row>
    <row r="8580" spans="1:6" x14ac:dyDescent="0.25">
      <c r="A8580" s="1" t="str">
        <f t="shared" si="313"/>
        <v>19060</v>
      </c>
      <c r="B8580" s="1" t="str">
        <f>"21557"</f>
        <v>21557</v>
      </c>
      <c r="C8580" s="2">
        <v>1.7678591795612601E-2</v>
      </c>
      <c r="D8580" s="2">
        <v>4.52165635411708E-3</v>
      </c>
      <c r="E8580" s="2">
        <v>4.7961630695443598E-3</v>
      </c>
      <c r="F8580" s="2">
        <v>1.6283768868965699E-2</v>
      </c>
    </row>
    <row r="8581" spans="1:6" x14ac:dyDescent="0.25">
      <c r="A8581" s="1" t="str">
        <f t="shared" si="313"/>
        <v>19060</v>
      </c>
      <c r="B8581" s="1" t="str">
        <f>"21503"</f>
        <v>21503</v>
      </c>
      <c r="C8581" s="2">
        <v>0</v>
      </c>
      <c r="D8581" s="2">
        <v>2.3798191337458301E-4</v>
      </c>
      <c r="E8581" s="2">
        <v>4.7961630695443597E-4</v>
      </c>
      <c r="F8581" s="2">
        <v>3.3959893365934802E-5</v>
      </c>
    </row>
    <row r="8582" spans="1:6" x14ac:dyDescent="0.25">
      <c r="A8582" s="1" t="str">
        <f t="shared" si="313"/>
        <v>19060</v>
      </c>
      <c r="B8582" s="1" t="str">
        <f>"21539"</f>
        <v>21539</v>
      </c>
      <c r="C8582" s="2">
        <v>2.17465688324525E-2</v>
      </c>
      <c r="D8582" s="2">
        <v>1.40409328891004E-2</v>
      </c>
      <c r="E8582" s="2">
        <v>8.6330935251798507E-3</v>
      </c>
      <c r="F8582" s="2">
        <v>2.0732514899903201E-2</v>
      </c>
    </row>
    <row r="8583" spans="1:6" x14ac:dyDescent="0.25">
      <c r="A8583" s="1" t="str">
        <f t="shared" si="313"/>
        <v>19060</v>
      </c>
      <c r="B8583" s="1" t="str">
        <f>"21521"</f>
        <v>21521</v>
      </c>
      <c r="C8583" s="2">
        <v>1.0207961069079501E-2</v>
      </c>
      <c r="D8583" s="2">
        <v>1.90385530699666E-3</v>
      </c>
      <c r="E8583" s="2">
        <v>3.83693045563549E-3</v>
      </c>
      <c r="F8583" s="2">
        <v>9.3899105156809801E-3</v>
      </c>
    </row>
    <row r="8584" spans="1:6" x14ac:dyDescent="0.25">
      <c r="A8584" s="1" t="str">
        <f t="shared" si="313"/>
        <v>19060</v>
      </c>
      <c r="B8584" s="1" t="str">
        <f>"21750"</f>
        <v>21750</v>
      </c>
      <c r="C8584" s="2">
        <v>1.33064669429342E-4</v>
      </c>
      <c r="D8584" s="2">
        <v>0</v>
      </c>
      <c r="E8584" s="2">
        <v>0</v>
      </c>
      <c r="F8584" s="2">
        <v>1.18859626780771E-4</v>
      </c>
    </row>
    <row r="8585" spans="1:6" x14ac:dyDescent="0.25">
      <c r="A8585" s="1" t="str">
        <f t="shared" si="313"/>
        <v>19060</v>
      </c>
      <c r="B8585" s="1" t="str">
        <f>"21560"</f>
        <v>21560</v>
      </c>
      <c r="C8585" s="2">
        <v>0</v>
      </c>
      <c r="D8585" s="2">
        <v>2.3798191337458301E-4</v>
      </c>
      <c r="E8585" s="2">
        <v>0</v>
      </c>
      <c r="F8585" s="2">
        <v>1.6979946682967401E-5</v>
      </c>
    </row>
    <row r="8586" spans="1:6" x14ac:dyDescent="0.25">
      <c r="A8586" s="1" t="str">
        <f t="shared" si="313"/>
        <v>19060</v>
      </c>
      <c r="B8586" s="1" t="str">
        <f>"26731"</f>
        <v>26731</v>
      </c>
      <c r="C8586" s="2">
        <v>3.80184769798121E-5</v>
      </c>
      <c r="D8586" s="2">
        <v>0</v>
      </c>
      <c r="E8586" s="2">
        <v>0</v>
      </c>
      <c r="F8586" s="2">
        <v>3.3959893365934802E-5</v>
      </c>
    </row>
    <row r="8587" spans="1:6" x14ac:dyDescent="0.25">
      <c r="A8587" s="1" t="str">
        <f t="shared" si="313"/>
        <v>19060</v>
      </c>
      <c r="B8587" s="1" t="str">
        <f>"26710"</f>
        <v>26710</v>
      </c>
      <c r="C8587" s="2">
        <v>1.71083146409154E-2</v>
      </c>
      <c r="D8587" s="2">
        <v>5.9495478343645804E-3</v>
      </c>
      <c r="E8587" s="2">
        <v>1.91846522781774E-3</v>
      </c>
      <c r="F8587" s="2">
        <v>1.5774370468476701E-2</v>
      </c>
    </row>
    <row r="8588" spans="1:6" x14ac:dyDescent="0.25">
      <c r="A8588" s="1" t="str">
        <f t="shared" si="313"/>
        <v>19060</v>
      </c>
      <c r="B8588" s="1" t="str">
        <f>"21543"</f>
        <v>21543</v>
      </c>
      <c r="C8588" s="2">
        <v>1.7678591795612601E-3</v>
      </c>
      <c r="D8588" s="2">
        <v>2.3798191337458301E-4</v>
      </c>
      <c r="E8588" s="2">
        <v>0</v>
      </c>
      <c r="F8588" s="2">
        <v>1.5961149881989301E-3</v>
      </c>
    </row>
    <row r="8589" spans="1:6" x14ac:dyDescent="0.25">
      <c r="A8589" s="1" t="str">
        <f t="shared" si="313"/>
        <v>19060</v>
      </c>
      <c r="B8589" s="1" t="str">
        <f>"21501"</f>
        <v>21501</v>
      </c>
      <c r="C8589" s="2">
        <v>2.2316845987149701E-2</v>
      </c>
      <c r="D8589" s="2">
        <v>7.40123750594954E-2</v>
      </c>
      <c r="E8589" s="2">
        <v>9.5923261390887195E-4</v>
      </c>
      <c r="F8589" s="2">
        <v>2.5249180717572501E-2</v>
      </c>
    </row>
    <row r="8590" spans="1:6" x14ac:dyDescent="0.25">
      <c r="A8590" s="1" t="str">
        <f t="shared" si="313"/>
        <v>19060</v>
      </c>
      <c r="B8590" s="1" t="str">
        <f>"21562"</f>
        <v>21562</v>
      </c>
      <c r="C8590" s="2">
        <v>2.9844504429152499E-2</v>
      </c>
      <c r="D8590" s="2">
        <v>3.0937648738695801E-2</v>
      </c>
      <c r="E8590" s="2">
        <v>2.82973621103117E-2</v>
      </c>
      <c r="F8590" s="2">
        <v>2.9867726215339601E-2</v>
      </c>
    </row>
    <row r="8591" spans="1:6" x14ac:dyDescent="0.25">
      <c r="A8591" s="1" t="str">
        <f t="shared" si="313"/>
        <v>19060</v>
      </c>
      <c r="B8591" s="1" t="str">
        <f>"26726"</f>
        <v>26726</v>
      </c>
      <c r="C8591" s="2">
        <v>0.15443105349199701</v>
      </c>
      <c r="D8591" s="2">
        <v>0.15135649690623501</v>
      </c>
      <c r="E8591" s="2">
        <v>6.5707434052757696E-2</v>
      </c>
      <c r="F8591" s="2">
        <v>0.15107058563836101</v>
      </c>
    </row>
    <row r="8592" spans="1:6" x14ac:dyDescent="0.25">
      <c r="A8592" s="1" t="str">
        <f t="shared" si="313"/>
        <v>19060</v>
      </c>
      <c r="B8592" s="1" t="str">
        <f>"21766"</f>
        <v>21766</v>
      </c>
      <c r="C8592" s="2">
        <v>6.7292704254267501E-3</v>
      </c>
      <c r="D8592" s="2">
        <v>2.8557829604949998E-3</v>
      </c>
      <c r="E8592" s="2">
        <v>0</v>
      </c>
      <c r="F8592" s="2">
        <v>6.2146604859660698E-3</v>
      </c>
    </row>
    <row r="8593" spans="1:6" x14ac:dyDescent="0.25">
      <c r="A8593" s="1" t="str">
        <f t="shared" si="313"/>
        <v>19060</v>
      </c>
      <c r="B8593" s="1" t="str">
        <f>"21556"</f>
        <v>21556</v>
      </c>
      <c r="C8593" s="2">
        <v>0</v>
      </c>
      <c r="D8593" s="2">
        <v>2.3798191337458301E-4</v>
      </c>
      <c r="E8593" s="2">
        <v>0</v>
      </c>
      <c r="F8593" s="2">
        <v>1.6979946682967401E-5</v>
      </c>
    </row>
    <row r="8594" spans="1:6" x14ac:dyDescent="0.25">
      <c r="A8594" s="1" t="str">
        <f t="shared" si="313"/>
        <v>19060</v>
      </c>
      <c r="B8594" s="1" t="str">
        <f>"21505"</f>
        <v>21505</v>
      </c>
      <c r="C8594" s="2">
        <v>0</v>
      </c>
      <c r="D8594" s="2">
        <v>2.3798191337458301E-4</v>
      </c>
      <c r="E8594" s="2">
        <v>4.7961630695443597E-4</v>
      </c>
      <c r="F8594" s="2">
        <v>3.3959893365934802E-5</v>
      </c>
    </row>
    <row r="8595" spans="1:6" x14ac:dyDescent="0.25">
      <c r="A8595" s="1" t="str">
        <f t="shared" si="313"/>
        <v>19060</v>
      </c>
      <c r="B8595" s="1" t="str">
        <f>"26852"</f>
        <v>26852</v>
      </c>
      <c r="C8595" s="2">
        <v>2.09101623388967E-4</v>
      </c>
      <c r="D8595" s="2">
        <v>0</v>
      </c>
      <c r="E8595" s="2">
        <v>0</v>
      </c>
      <c r="F8595" s="2">
        <v>1.8677941351264099E-4</v>
      </c>
    </row>
    <row r="8596" spans="1:6" x14ac:dyDescent="0.25">
      <c r="A8596" s="1" t="str">
        <f t="shared" si="313"/>
        <v>19060</v>
      </c>
      <c r="B8596" s="1" t="str">
        <f>"21504"</f>
        <v>21504</v>
      </c>
      <c r="C8596" s="2">
        <v>0</v>
      </c>
      <c r="D8596" s="2">
        <v>2.3798191337458301E-4</v>
      </c>
      <c r="E8596" s="2">
        <v>0</v>
      </c>
      <c r="F8596" s="2">
        <v>1.6979946682967401E-5</v>
      </c>
    </row>
    <row r="8597" spans="1:6" x14ac:dyDescent="0.25">
      <c r="A8597" s="1" t="str">
        <f t="shared" si="313"/>
        <v>19060</v>
      </c>
      <c r="B8597" s="1" t="str">
        <f>"26767"</f>
        <v>26767</v>
      </c>
      <c r="C8597" s="2">
        <v>5.9689008858305097E-3</v>
      </c>
      <c r="D8597" s="2">
        <v>2.1418372203712501E-3</v>
      </c>
      <c r="E8597" s="2">
        <v>2.8776978417266101E-3</v>
      </c>
      <c r="F8597" s="2">
        <v>5.5864024586962701E-3</v>
      </c>
    </row>
    <row r="8598" spans="1:6" x14ac:dyDescent="0.25">
      <c r="A8598" s="1" t="str">
        <f t="shared" si="313"/>
        <v>19060</v>
      </c>
      <c r="B8598" s="1" t="str">
        <f>"26750"</f>
        <v>26750</v>
      </c>
      <c r="C8598" s="2">
        <v>9.1624529521347302E-3</v>
      </c>
      <c r="D8598" s="2">
        <v>8.3293669681104195E-3</v>
      </c>
      <c r="E8598" s="2">
        <v>7.6738609112709799E-3</v>
      </c>
      <c r="F8598" s="2">
        <v>9.0503115820216307E-3</v>
      </c>
    </row>
    <row r="8599" spans="1:6" x14ac:dyDescent="0.25">
      <c r="A8599" s="1" t="str">
        <f t="shared" si="313"/>
        <v>19060</v>
      </c>
      <c r="B8599" s="1" t="str">
        <f>"26743"</f>
        <v>26743</v>
      </c>
      <c r="C8599" s="2">
        <v>1.7507508649203501E-2</v>
      </c>
      <c r="D8599" s="2">
        <v>3.0937648738695801E-3</v>
      </c>
      <c r="E8599" s="2">
        <v>0</v>
      </c>
      <c r="F8599" s="2">
        <v>1.5859270201891498E-2</v>
      </c>
    </row>
    <row r="8600" spans="1:6" x14ac:dyDescent="0.25">
      <c r="A8600" s="1" t="str">
        <f t="shared" si="313"/>
        <v>19060</v>
      </c>
      <c r="B8600" s="1" t="str">
        <f>"26717"</f>
        <v>26717</v>
      </c>
      <c r="C8600" s="2">
        <v>8.3830741740485801E-3</v>
      </c>
      <c r="D8600" s="2">
        <v>3.3317467872441601E-3</v>
      </c>
      <c r="E8600" s="2">
        <v>0</v>
      </c>
      <c r="F8600" s="2">
        <v>7.7258757407501696E-3</v>
      </c>
    </row>
    <row r="8601" spans="1:6" x14ac:dyDescent="0.25">
      <c r="A8601" s="1" t="str">
        <f t="shared" si="313"/>
        <v>19060</v>
      </c>
      <c r="B8601" s="1" t="str">
        <f>"26753"</f>
        <v>26753</v>
      </c>
      <c r="C8601" s="2">
        <v>7.6227046344523403E-2</v>
      </c>
      <c r="D8601" s="2">
        <v>3.3793431699190801E-2</v>
      </c>
      <c r="E8601" s="2">
        <v>1.2949640287769701E-2</v>
      </c>
      <c r="F8601" s="2">
        <v>7.0959197188120798E-2</v>
      </c>
    </row>
    <row r="8602" spans="1:6" x14ac:dyDescent="0.25">
      <c r="A8602" s="1" t="str">
        <f t="shared" si="313"/>
        <v>19060</v>
      </c>
      <c r="B8602" s="1" t="str">
        <f>"21542"</f>
        <v>21542</v>
      </c>
      <c r="C8602" s="2">
        <v>0</v>
      </c>
      <c r="D8602" s="2">
        <v>2.3798191337458301E-4</v>
      </c>
      <c r="E8602" s="2">
        <v>0</v>
      </c>
      <c r="F8602" s="2">
        <v>1.6979946682967401E-5</v>
      </c>
    </row>
    <row r="8603" spans="1:6" x14ac:dyDescent="0.25">
      <c r="A8603" s="1" t="str">
        <f t="shared" si="313"/>
        <v>19060</v>
      </c>
      <c r="B8603" s="1" t="str">
        <f>"21555"</f>
        <v>21555</v>
      </c>
      <c r="C8603" s="2">
        <v>1.6385963578298999E-2</v>
      </c>
      <c r="D8603" s="2">
        <v>1.66587339362208E-3</v>
      </c>
      <c r="E8603" s="2">
        <v>0</v>
      </c>
      <c r="F8603" s="2">
        <v>1.4755573667498601E-2</v>
      </c>
    </row>
    <row r="8604" spans="1:6" x14ac:dyDescent="0.25">
      <c r="A8604" s="1" t="str">
        <f t="shared" si="313"/>
        <v>19060</v>
      </c>
      <c r="B8604" s="1" t="str">
        <f>"21545"</f>
        <v>21545</v>
      </c>
      <c r="C8604" s="2">
        <v>1.7469490172223701E-2</v>
      </c>
      <c r="D8604" s="2">
        <v>3.0937648738695801E-3</v>
      </c>
      <c r="E8604" s="2">
        <v>6.2350119904076703E-3</v>
      </c>
      <c r="F8604" s="2">
        <v>1.60460496154042E-2</v>
      </c>
    </row>
    <row r="8605" spans="1:6" x14ac:dyDescent="0.25">
      <c r="A8605" s="1" t="str">
        <f t="shared" si="313"/>
        <v>19060</v>
      </c>
      <c r="B8605" s="1" t="str">
        <f>"21530"</f>
        <v>21530</v>
      </c>
      <c r="C8605" s="2">
        <v>1.52264000304147E-2</v>
      </c>
      <c r="D8605" s="2">
        <v>1.0233222275107E-2</v>
      </c>
      <c r="E8605" s="2">
        <v>3.3573141486810498E-3</v>
      </c>
      <c r="F8605" s="2">
        <v>1.44499346272052E-2</v>
      </c>
    </row>
    <row r="8606" spans="1:6" x14ac:dyDescent="0.25">
      <c r="A8606" s="1" t="str">
        <f t="shared" si="313"/>
        <v>19060</v>
      </c>
      <c r="B8606" s="1" t="str">
        <f>"26757"</f>
        <v>26757</v>
      </c>
      <c r="C8606" s="2">
        <v>2.6612933885868502E-4</v>
      </c>
      <c r="D8606" s="2">
        <v>0</v>
      </c>
      <c r="E8606" s="2">
        <v>0</v>
      </c>
      <c r="F8606" s="2">
        <v>2.37719253561543E-4</v>
      </c>
    </row>
    <row r="8607" spans="1:6" x14ac:dyDescent="0.25">
      <c r="A8607" s="1" t="str">
        <f t="shared" si="313"/>
        <v>19060</v>
      </c>
      <c r="B8607" s="1" t="str">
        <f>"26719"</f>
        <v>26719</v>
      </c>
      <c r="C8607" s="2">
        <v>1.4656122875717501E-2</v>
      </c>
      <c r="D8607" s="2">
        <v>5.7115659209899996E-3</v>
      </c>
      <c r="E8607" s="2">
        <v>2.8776978417266101E-3</v>
      </c>
      <c r="F8607" s="2">
        <v>1.36009372930568E-2</v>
      </c>
    </row>
    <row r="8608" spans="1:6" x14ac:dyDescent="0.25">
      <c r="A8608" s="1" t="str">
        <f t="shared" si="313"/>
        <v>19060</v>
      </c>
      <c r="B8608" s="1" t="str">
        <f>"21502"</f>
        <v>21502</v>
      </c>
      <c r="C8608" s="2">
        <v>0.39624757632209201</v>
      </c>
      <c r="D8608" s="2">
        <v>0.54688243693479199</v>
      </c>
      <c r="E8608" s="2">
        <v>0.61726618705035896</v>
      </c>
      <c r="F8608" s="2">
        <v>0.41482009746489301</v>
      </c>
    </row>
    <row r="8609" spans="1:6" x14ac:dyDescent="0.25">
      <c r="A8609" s="1" t="str">
        <f t="shared" ref="A8609:A8672" si="314">"19100"</f>
        <v>19100</v>
      </c>
      <c r="B8609" s="1" t="str">
        <f>"75398"</f>
        <v>75398</v>
      </c>
      <c r="C8609" s="2">
        <v>0</v>
      </c>
      <c r="D8609" s="2">
        <v>3.1392344662830499E-6</v>
      </c>
      <c r="E8609" s="2">
        <v>6.8589928254934996E-6</v>
      </c>
      <c r="F8609" s="2">
        <v>5.4691206611073002E-7</v>
      </c>
    </row>
    <row r="8610" spans="1:6" x14ac:dyDescent="0.25">
      <c r="A8610" s="1" t="str">
        <f t="shared" si="314"/>
        <v>19100</v>
      </c>
      <c r="B8610" s="1" t="str">
        <f>"75221"</f>
        <v>75221</v>
      </c>
      <c r="C8610" s="2">
        <v>2.53715522879502E-5</v>
      </c>
      <c r="D8610" s="2">
        <v>4.3949282527962697E-5</v>
      </c>
      <c r="E8610" s="2">
        <v>1.3717985650986999E-5</v>
      </c>
      <c r="F8610" s="2">
        <v>2.65252352063704E-5</v>
      </c>
    </row>
    <row r="8611" spans="1:6" x14ac:dyDescent="0.25">
      <c r="A8611" s="1" t="str">
        <f t="shared" si="314"/>
        <v>19100</v>
      </c>
      <c r="B8611" s="1" t="str">
        <f>"76129"</f>
        <v>76129</v>
      </c>
      <c r="C8611" s="2">
        <v>0</v>
      </c>
      <c r="D8611" s="2">
        <v>3.1392344662830499E-6</v>
      </c>
      <c r="E8611" s="2">
        <v>2.0576978476480501E-5</v>
      </c>
      <c r="F8611" s="2">
        <v>1.09382413222146E-6</v>
      </c>
    </row>
    <row r="8612" spans="1:6" x14ac:dyDescent="0.25">
      <c r="A8612" s="1" t="str">
        <f t="shared" si="314"/>
        <v>19100</v>
      </c>
      <c r="B8612" s="1" t="str">
        <f>"76130"</f>
        <v>76130</v>
      </c>
      <c r="C8612" s="2">
        <v>0</v>
      </c>
      <c r="D8612" s="2">
        <v>3.1392344662830499E-6</v>
      </c>
      <c r="E8612" s="2">
        <v>4.80129497784545E-5</v>
      </c>
      <c r="F8612" s="2">
        <v>2.1876482644429201E-6</v>
      </c>
    </row>
    <row r="8613" spans="1:6" x14ac:dyDescent="0.25">
      <c r="A8613" s="1" t="str">
        <f t="shared" si="314"/>
        <v>19100</v>
      </c>
      <c r="B8613" s="1" t="str">
        <f>"76148"</f>
        <v>76148</v>
      </c>
      <c r="C8613" s="2">
        <v>2.8500710403463999E-3</v>
      </c>
      <c r="D8613" s="2">
        <v>2.4642990560321898E-3</v>
      </c>
      <c r="E8613" s="2">
        <v>9.7397698122007696E-4</v>
      </c>
      <c r="F8613" s="2">
        <v>2.7416701874130901E-3</v>
      </c>
    </row>
    <row r="8614" spans="1:6" x14ac:dyDescent="0.25">
      <c r="A8614" s="1" t="str">
        <f t="shared" si="314"/>
        <v>19100</v>
      </c>
      <c r="B8614" s="1" t="str">
        <f>"76096"</f>
        <v>76096</v>
      </c>
      <c r="C8614" s="2">
        <v>6.3804755568585799E-4</v>
      </c>
      <c r="D8614" s="2">
        <v>1.5476425918775399E-3</v>
      </c>
      <c r="E8614" s="2">
        <v>1.3717985650986999E-5</v>
      </c>
      <c r="F8614" s="2">
        <v>6.9239067569618399E-4</v>
      </c>
    </row>
    <row r="8615" spans="1:6" x14ac:dyDescent="0.25">
      <c r="A8615" s="1" t="str">
        <f t="shared" si="314"/>
        <v>19100</v>
      </c>
      <c r="B8615" s="1" t="str">
        <f>"76208"</f>
        <v>76208</v>
      </c>
      <c r="C8615" s="2">
        <v>3.2052727723776999E-3</v>
      </c>
      <c r="D8615" s="2">
        <v>1.66065503266373E-3</v>
      </c>
      <c r="E8615" s="2">
        <v>2.16058274003045E-3</v>
      </c>
      <c r="F8615" s="2">
        <v>3.0290724781542799E-3</v>
      </c>
    </row>
    <row r="8616" spans="1:6" x14ac:dyDescent="0.25">
      <c r="A8616" s="1" t="str">
        <f t="shared" si="314"/>
        <v>19100</v>
      </c>
      <c r="B8616" s="1" t="str">
        <f>"76248"</f>
        <v>76248</v>
      </c>
      <c r="C8616" s="2">
        <v>4.6423676106136999E-3</v>
      </c>
      <c r="D8616" s="2">
        <v>3.63837274642205E-3</v>
      </c>
      <c r="E8616" s="2">
        <v>2.0714158332990301E-3</v>
      </c>
      <c r="F8616" s="2">
        <v>4.4524111302074497E-3</v>
      </c>
    </row>
    <row r="8617" spans="1:6" x14ac:dyDescent="0.25">
      <c r="A8617" s="1" t="str">
        <f t="shared" si="314"/>
        <v>19100</v>
      </c>
      <c r="B8617" s="1" t="str">
        <f>"76006"</f>
        <v>76006</v>
      </c>
      <c r="C8617" s="2">
        <v>4.7272526806141201E-3</v>
      </c>
      <c r="D8617" s="2">
        <v>3.5410564779672798E-3</v>
      </c>
      <c r="E8617" s="2">
        <v>1.35533698231751E-2</v>
      </c>
      <c r="F8617" s="2">
        <v>4.9758059774754199E-3</v>
      </c>
    </row>
    <row r="8618" spans="1:6" x14ac:dyDescent="0.25">
      <c r="A8618" s="1" t="str">
        <f t="shared" si="314"/>
        <v>19100</v>
      </c>
      <c r="B8618" s="1" t="str">
        <f>"76012"</f>
        <v>76012</v>
      </c>
      <c r="C8618" s="2">
        <v>3.8715109417168398E-3</v>
      </c>
      <c r="D8618" s="2">
        <v>4.6680416513628902E-3</v>
      </c>
      <c r="E8618" s="2">
        <v>7.48316117261341E-3</v>
      </c>
      <c r="F8618" s="2">
        <v>4.08488622178104E-3</v>
      </c>
    </row>
    <row r="8619" spans="1:6" x14ac:dyDescent="0.25">
      <c r="A8619" s="1" t="str">
        <f t="shared" si="314"/>
        <v>19100</v>
      </c>
      <c r="B8619" s="1" t="str">
        <f>"76016"</f>
        <v>76016</v>
      </c>
      <c r="C8619" s="2">
        <v>3.8301647083586999E-3</v>
      </c>
      <c r="D8619" s="2">
        <v>1.7956421147138999E-3</v>
      </c>
      <c r="E8619" s="2">
        <v>1.5021194287830699E-3</v>
      </c>
      <c r="F8619" s="2">
        <v>3.5601240943478E-3</v>
      </c>
    </row>
    <row r="8620" spans="1:6" x14ac:dyDescent="0.25">
      <c r="A8620" s="1" t="str">
        <f t="shared" si="314"/>
        <v>19100</v>
      </c>
      <c r="B8620" s="1" t="str">
        <f>"76005"</f>
        <v>76005</v>
      </c>
      <c r="C8620" s="2">
        <v>9.71949712956907E-4</v>
      </c>
      <c r="D8620" s="2">
        <v>4.0810048061679598E-4</v>
      </c>
      <c r="E8620" s="2">
        <v>4.1153956952961003E-5</v>
      </c>
      <c r="F8620" s="2">
        <v>8.8572409106632804E-4</v>
      </c>
    </row>
    <row r="8621" spans="1:6" x14ac:dyDescent="0.25">
      <c r="A8621" s="1" t="str">
        <f t="shared" si="314"/>
        <v>19100</v>
      </c>
      <c r="B8621" s="1" t="str">
        <f>"76007"</f>
        <v>76007</v>
      </c>
      <c r="C8621" s="2">
        <v>3.9090984265878801E-4</v>
      </c>
      <c r="D8621" s="2">
        <v>4.26935887414495E-4</v>
      </c>
      <c r="E8621" s="2">
        <v>2.0576978476480501E-5</v>
      </c>
      <c r="F8621" s="2">
        <v>3.7928351784779102E-4</v>
      </c>
    </row>
    <row r="8622" spans="1:6" x14ac:dyDescent="0.25">
      <c r="A8622" s="1" t="str">
        <f t="shared" si="314"/>
        <v>19100</v>
      </c>
      <c r="B8622" s="1" t="str">
        <f>"76018"</f>
        <v>76018</v>
      </c>
      <c r="C8622" s="2">
        <v>2.82469948805845E-3</v>
      </c>
      <c r="D8622" s="2">
        <v>2.0436416375502601E-3</v>
      </c>
      <c r="E8622" s="2">
        <v>2.2085956898088999E-3</v>
      </c>
      <c r="F8622" s="2">
        <v>2.7320992262561501E-3</v>
      </c>
    </row>
    <row r="8623" spans="1:6" x14ac:dyDescent="0.25">
      <c r="A8623" s="1" t="str">
        <f t="shared" si="314"/>
        <v>19100</v>
      </c>
      <c r="B8623" s="1" t="str">
        <f>"75002"</f>
        <v>75002</v>
      </c>
      <c r="C8623" s="2">
        <v>7.4044212905537603E-3</v>
      </c>
      <c r="D8623" s="2">
        <v>2.9446019293734998E-3</v>
      </c>
      <c r="E8623" s="2">
        <v>1.8930820198362001E-3</v>
      </c>
      <c r="F8623" s="2">
        <v>6.79620278952499E-3</v>
      </c>
    </row>
    <row r="8624" spans="1:6" x14ac:dyDescent="0.25">
      <c r="A8624" s="1" t="str">
        <f t="shared" si="314"/>
        <v>19100</v>
      </c>
      <c r="B8624" s="1" t="str">
        <f>"75013"</f>
        <v>75013</v>
      </c>
      <c r="C8624" s="2">
        <v>5.7615349726488404E-3</v>
      </c>
      <c r="D8624" s="2">
        <v>6.3349751529591901E-3</v>
      </c>
      <c r="E8624" s="2">
        <v>2.81904605127783E-3</v>
      </c>
      <c r="F8624" s="2">
        <v>5.6941749763118697E-3</v>
      </c>
    </row>
    <row r="8625" spans="1:6" x14ac:dyDescent="0.25">
      <c r="A8625" s="1" t="str">
        <f t="shared" si="314"/>
        <v>19100</v>
      </c>
      <c r="B8625" s="1" t="str">
        <f>"75023"</f>
        <v>75023</v>
      </c>
      <c r="C8625" s="2">
        <v>5.91157168309239E-3</v>
      </c>
      <c r="D8625" s="2">
        <v>3.9899670066457496E-3</v>
      </c>
      <c r="E8625" s="2">
        <v>2.7230201517209202E-3</v>
      </c>
      <c r="F8625" s="2">
        <v>5.6170603749902499E-3</v>
      </c>
    </row>
    <row r="8626" spans="1:6" x14ac:dyDescent="0.25">
      <c r="A8626" s="1" t="str">
        <f t="shared" si="314"/>
        <v>19100</v>
      </c>
      <c r="B8626" s="1" t="str">
        <f>"75032"</f>
        <v>75032</v>
      </c>
      <c r="C8626" s="2">
        <v>4.1152031352973996E-3</v>
      </c>
      <c r="D8626" s="2">
        <v>2.4234890079705101E-3</v>
      </c>
      <c r="E8626" s="2">
        <v>2.1948777041579199E-3</v>
      </c>
      <c r="F8626" s="2">
        <v>3.8912793503778401E-3</v>
      </c>
    </row>
    <row r="8627" spans="1:6" x14ac:dyDescent="0.25">
      <c r="A8627" s="1" t="str">
        <f t="shared" si="314"/>
        <v>19100</v>
      </c>
      <c r="B8627" s="1" t="str">
        <f>"75026"</f>
        <v>75026</v>
      </c>
      <c r="C8627" s="2">
        <v>4.55748254061327E-4</v>
      </c>
      <c r="D8627" s="2">
        <v>1.70460431519169E-3</v>
      </c>
      <c r="E8627" s="2">
        <v>2.0576978476480501E-5</v>
      </c>
      <c r="F8627" s="2">
        <v>5.4718552214378497E-4</v>
      </c>
    </row>
    <row r="8628" spans="1:6" x14ac:dyDescent="0.25">
      <c r="A8628" s="1" t="str">
        <f t="shared" si="314"/>
        <v>19100</v>
      </c>
      <c r="B8628" s="1" t="str">
        <f>"75204"</f>
        <v>75204</v>
      </c>
      <c r="C8628" s="2">
        <v>7.5090397901114801E-3</v>
      </c>
      <c r="D8628" s="2">
        <v>5.0384713183842904E-3</v>
      </c>
      <c r="E8628" s="2">
        <v>1.0892080606883601E-2</v>
      </c>
      <c r="F8628" s="2">
        <v>7.4287065939820504E-3</v>
      </c>
    </row>
    <row r="8629" spans="1:6" x14ac:dyDescent="0.25">
      <c r="A8629" s="1" t="str">
        <f t="shared" si="314"/>
        <v>19100</v>
      </c>
      <c r="B8629" s="1" t="str">
        <f>"75181"</f>
        <v>75181</v>
      </c>
      <c r="C8629" s="2">
        <v>2.5759956298284201E-3</v>
      </c>
      <c r="D8629" s="2">
        <v>6.1215072092519497E-4</v>
      </c>
      <c r="E8629" s="2">
        <v>2.1948777041579199E-4</v>
      </c>
      <c r="F8629" s="2">
        <v>2.3109769353508898E-3</v>
      </c>
    </row>
    <row r="8630" spans="1:6" x14ac:dyDescent="0.25">
      <c r="A8630" s="1" t="str">
        <f t="shared" si="314"/>
        <v>19100</v>
      </c>
      <c r="B8630" s="1" t="str">
        <f>"75134"</f>
        <v>75134</v>
      </c>
      <c r="C8630" s="2">
        <v>2.2934630352144602E-3</v>
      </c>
      <c r="D8630" s="2">
        <v>9.0723876075580199E-4</v>
      </c>
      <c r="E8630" s="2">
        <v>3.6352661975115499E-4</v>
      </c>
      <c r="F8630" s="2">
        <v>2.0957670373363099E-3</v>
      </c>
    </row>
    <row r="8631" spans="1:6" x14ac:dyDescent="0.25">
      <c r="A8631" s="1" t="str">
        <f t="shared" si="314"/>
        <v>19100</v>
      </c>
      <c r="B8631" s="1" t="str">
        <f>"75157"</f>
        <v>75157</v>
      </c>
      <c r="C8631" s="2">
        <v>1.1276245461311199E-5</v>
      </c>
      <c r="D8631" s="2">
        <v>3.1392344662830499E-6</v>
      </c>
      <c r="E8631" s="2">
        <v>0</v>
      </c>
      <c r="F8631" s="2">
        <v>1.01178732230485E-5</v>
      </c>
    </row>
    <row r="8632" spans="1:6" x14ac:dyDescent="0.25">
      <c r="A8632" s="1" t="str">
        <f t="shared" si="314"/>
        <v>19100</v>
      </c>
      <c r="B8632" s="1" t="str">
        <f>"75382"</f>
        <v>75382</v>
      </c>
      <c r="C8632" s="2">
        <v>7.5143646838015396E-4</v>
      </c>
      <c r="D8632" s="2">
        <v>1.23057991078295E-3</v>
      </c>
      <c r="E8632" s="2">
        <v>1.3717985650986999E-5</v>
      </c>
      <c r="F8632" s="2">
        <v>7.6376270032363499E-4</v>
      </c>
    </row>
    <row r="8633" spans="1:6" x14ac:dyDescent="0.25">
      <c r="A8633" s="1" t="str">
        <f t="shared" si="314"/>
        <v>19100</v>
      </c>
      <c r="B8633" s="1" t="str">
        <f>"75080"</f>
        <v>75080</v>
      </c>
      <c r="C8633" s="2">
        <v>6.4628547945342696E-3</v>
      </c>
      <c r="D8633" s="2">
        <v>8.9530966978392593E-3</v>
      </c>
      <c r="E8633" s="2">
        <v>8.8275237664101405E-3</v>
      </c>
      <c r="F8633" s="2">
        <v>6.7740528508475001E-3</v>
      </c>
    </row>
    <row r="8634" spans="1:6" x14ac:dyDescent="0.25">
      <c r="A8634" s="1" t="str">
        <f t="shared" si="314"/>
        <v>19100</v>
      </c>
      <c r="B8634" s="1" t="str">
        <f>"75082"</f>
        <v>75082</v>
      </c>
      <c r="C8634" s="2">
        <v>3.7008011145942101E-3</v>
      </c>
      <c r="D8634" s="2">
        <v>1.7987813491801799E-3</v>
      </c>
      <c r="E8634" s="2">
        <v>2.5241093597816E-3</v>
      </c>
      <c r="F8634" s="2">
        <v>3.4882051576542298E-3</v>
      </c>
    </row>
    <row r="8635" spans="1:6" x14ac:dyDescent="0.25">
      <c r="A8635" s="1" t="str">
        <f t="shared" si="314"/>
        <v>19100</v>
      </c>
      <c r="B8635" s="1" t="str">
        <f>"75083"</f>
        <v>75083</v>
      </c>
      <c r="C8635" s="2">
        <v>1.02018698520807E-3</v>
      </c>
      <c r="D8635" s="2">
        <v>2.6244000138126301E-3</v>
      </c>
      <c r="E8635" s="2">
        <v>2.7435971301973998E-5</v>
      </c>
      <c r="F8635" s="2">
        <v>1.12034936742783E-3</v>
      </c>
    </row>
    <row r="8636" spans="1:6" x14ac:dyDescent="0.25">
      <c r="A8636" s="1" t="str">
        <f t="shared" si="314"/>
        <v>19100</v>
      </c>
      <c r="B8636" s="1" t="str">
        <f>"75086"</f>
        <v>75086</v>
      </c>
      <c r="C8636" s="2">
        <v>8.8080006214464105E-4</v>
      </c>
      <c r="D8636" s="2">
        <v>2.3952358977739601E-3</v>
      </c>
      <c r="E8636" s="2">
        <v>2.7435971301973998E-5</v>
      </c>
      <c r="F8636" s="2">
        <v>9.7869914230515201E-4</v>
      </c>
    </row>
    <row r="8637" spans="1:6" x14ac:dyDescent="0.25">
      <c r="A8637" s="1" t="str">
        <f t="shared" si="314"/>
        <v>19100</v>
      </c>
      <c r="B8637" s="1" t="str">
        <f>"75043"</f>
        <v>75043</v>
      </c>
      <c r="C8637" s="2">
        <v>7.4141313908121101E-3</v>
      </c>
      <c r="D8637" s="2">
        <v>3.5536134158324099E-3</v>
      </c>
      <c r="E8637" s="2">
        <v>1.28674705406258E-2</v>
      </c>
      <c r="F8637" s="2">
        <v>7.29526004985103E-3</v>
      </c>
    </row>
    <row r="8638" spans="1:6" x14ac:dyDescent="0.25">
      <c r="A8638" s="1" t="str">
        <f t="shared" si="314"/>
        <v>19100</v>
      </c>
      <c r="B8638" s="1" t="str">
        <f>"75041"</f>
        <v>75041</v>
      </c>
      <c r="C8638" s="2">
        <v>3.25820848023775E-3</v>
      </c>
      <c r="D8638" s="2">
        <v>5.5690019431861304E-3</v>
      </c>
      <c r="E8638" s="2">
        <v>6.8315568541915299E-3</v>
      </c>
      <c r="F8638" s="2">
        <v>3.6019628674052698E-3</v>
      </c>
    </row>
    <row r="8639" spans="1:6" x14ac:dyDescent="0.25">
      <c r="A8639" s="1" t="str">
        <f t="shared" si="314"/>
        <v>19100</v>
      </c>
      <c r="B8639" s="1" t="str">
        <f>"75062"</f>
        <v>75062</v>
      </c>
      <c r="C8639" s="2">
        <v>5.7681127825012701E-3</v>
      </c>
      <c r="D8639" s="2">
        <v>8.3943129628408792E-3</v>
      </c>
      <c r="E8639" s="2">
        <v>1.28263165836728E-2</v>
      </c>
      <c r="F8639" s="2">
        <v>6.2782770629181304E-3</v>
      </c>
    </row>
    <row r="8640" spans="1:6" x14ac:dyDescent="0.25">
      <c r="A8640" s="1" t="str">
        <f t="shared" si="314"/>
        <v>19100</v>
      </c>
      <c r="B8640" s="1" t="str">
        <f>"76133"</f>
        <v>76133</v>
      </c>
      <c r="C8640" s="2">
        <v>6.2627014375960001E-3</v>
      </c>
      <c r="D8640" s="2">
        <v>3.15806987308075E-3</v>
      </c>
      <c r="E8640" s="2">
        <v>6.3239913851050097E-3</v>
      </c>
      <c r="F8640" s="2">
        <v>5.9947031566397104E-3</v>
      </c>
    </row>
    <row r="8641" spans="1:6" x14ac:dyDescent="0.25">
      <c r="A8641" s="1" t="str">
        <f t="shared" si="314"/>
        <v>19100</v>
      </c>
      <c r="B8641" s="1" t="str">
        <f>"76106"</f>
        <v>76106</v>
      </c>
      <c r="C8641" s="2">
        <v>3.5194415000914599E-3</v>
      </c>
      <c r="D8641" s="2">
        <v>4.1751818401564497E-3</v>
      </c>
      <c r="E8641" s="2">
        <v>8.4228431897060193E-3</v>
      </c>
      <c r="F8641" s="2">
        <v>3.7720525199657E-3</v>
      </c>
    </row>
    <row r="8642" spans="1:6" x14ac:dyDescent="0.25">
      <c r="A8642" s="1" t="str">
        <f t="shared" si="314"/>
        <v>19100</v>
      </c>
      <c r="B8642" s="1" t="str">
        <f>"76179"</f>
        <v>76179</v>
      </c>
      <c r="C8642" s="2">
        <v>7.4830417797423499E-3</v>
      </c>
      <c r="D8642" s="2">
        <v>3.9836885377131899E-3</v>
      </c>
      <c r="E8642" s="2">
        <v>2.9836618790896698E-3</v>
      </c>
      <c r="F8642" s="2">
        <v>6.99883371001901E-3</v>
      </c>
    </row>
    <row r="8643" spans="1:6" x14ac:dyDescent="0.25">
      <c r="A8643" s="1" t="str">
        <f t="shared" si="314"/>
        <v>19100</v>
      </c>
      <c r="B8643" s="1" t="str">
        <f>"76071"</f>
        <v>76071</v>
      </c>
      <c r="C8643" s="2">
        <v>7.6114656863850605E-4</v>
      </c>
      <c r="D8643" s="2">
        <v>4.0496124615051302E-4</v>
      </c>
      <c r="E8643" s="2">
        <v>3.9096259105312898E-4</v>
      </c>
      <c r="F8643" s="2">
        <v>7.1536098247283503E-4</v>
      </c>
    </row>
    <row r="8644" spans="1:6" x14ac:dyDescent="0.25">
      <c r="A8644" s="1" t="str">
        <f t="shared" si="314"/>
        <v>19100</v>
      </c>
      <c r="B8644" s="1" t="str">
        <f>"76044"</f>
        <v>76044</v>
      </c>
      <c r="C8644" s="2">
        <v>6.2645808118395505E-4</v>
      </c>
      <c r="D8644" s="2">
        <v>2.3544258497122799E-4</v>
      </c>
      <c r="E8644" s="2">
        <v>1.5775683498635E-4</v>
      </c>
      <c r="F8644" s="2">
        <v>5.7371075735015596E-4</v>
      </c>
    </row>
    <row r="8645" spans="1:6" x14ac:dyDescent="0.25">
      <c r="A8645" s="1" t="str">
        <f t="shared" si="314"/>
        <v>19100</v>
      </c>
      <c r="B8645" s="1" t="str">
        <f>"76087"</f>
        <v>76087</v>
      </c>
      <c r="C8645" s="2">
        <v>4.2254597575857797E-3</v>
      </c>
      <c r="D8645" s="2">
        <v>2.33872967738087E-3</v>
      </c>
      <c r="E8645" s="2">
        <v>1.81763309875577E-3</v>
      </c>
      <c r="F8645" s="2">
        <v>3.96511247930279E-3</v>
      </c>
    </row>
    <row r="8646" spans="1:6" x14ac:dyDescent="0.25">
      <c r="A8646" s="1" t="str">
        <f t="shared" si="314"/>
        <v>19100</v>
      </c>
      <c r="B8646" s="1" t="str">
        <f>"76034"</f>
        <v>76034</v>
      </c>
      <c r="C8646" s="2">
        <v>3.2481851509388098E-3</v>
      </c>
      <c r="D8646" s="2">
        <v>5.7824698868933801E-3</v>
      </c>
      <c r="E8646" s="2">
        <v>2.5584043239090699E-3</v>
      </c>
      <c r="F8646" s="2">
        <v>3.4414441760017701E-3</v>
      </c>
    </row>
    <row r="8647" spans="1:6" x14ac:dyDescent="0.25">
      <c r="A8647" s="1" t="str">
        <f t="shared" si="314"/>
        <v>19100</v>
      </c>
      <c r="B8647" s="1" t="str">
        <f>"75046"</f>
        <v>75046</v>
      </c>
      <c r="C8647" s="2">
        <v>4.2285920479917001E-4</v>
      </c>
      <c r="D8647" s="2">
        <v>1.0139727326094201E-3</v>
      </c>
      <c r="E8647" s="2">
        <v>1.3717985650986999E-5</v>
      </c>
      <c r="F8647" s="2">
        <v>4.5803885536773603E-4</v>
      </c>
    </row>
    <row r="8648" spans="1:6" x14ac:dyDescent="0.25">
      <c r="A8648" s="1" t="str">
        <f t="shared" si="314"/>
        <v>19100</v>
      </c>
      <c r="B8648" s="1" t="str">
        <f>"76041"</f>
        <v>76041</v>
      </c>
      <c r="C8648" s="2">
        <v>2.53715522879502E-5</v>
      </c>
      <c r="D8648" s="2">
        <v>3.1392344662830499E-6</v>
      </c>
      <c r="E8648" s="2">
        <v>2.0576978476480501E-5</v>
      </c>
      <c r="F8648" s="2">
        <v>2.3243762809706E-5</v>
      </c>
    </row>
    <row r="8649" spans="1:6" x14ac:dyDescent="0.25">
      <c r="A8649" s="1" t="str">
        <f t="shared" si="314"/>
        <v>19100</v>
      </c>
      <c r="B8649" s="1" t="str">
        <f>"76095"</f>
        <v>76095</v>
      </c>
      <c r="C8649" s="2">
        <v>4.8268595155223702E-4</v>
      </c>
      <c r="D8649" s="2">
        <v>1.58531340547294E-3</v>
      </c>
      <c r="E8649" s="2">
        <v>2.7435971301973998E-5</v>
      </c>
      <c r="F8649" s="2">
        <v>5.6058486776349803E-4</v>
      </c>
    </row>
    <row r="8650" spans="1:6" x14ac:dyDescent="0.25">
      <c r="A8650" s="1" t="str">
        <f t="shared" si="314"/>
        <v>19100</v>
      </c>
      <c r="B8650" s="1" t="str">
        <f>"76064"</f>
        <v>76064</v>
      </c>
      <c r="C8650" s="2">
        <v>1.3562817457632599E-4</v>
      </c>
      <c r="D8650" s="2">
        <v>2.1974641263981301E-5</v>
      </c>
      <c r="E8650" s="2">
        <v>2.8807769867072699E-4</v>
      </c>
      <c r="F8650" s="2">
        <v>1.3180580793268601E-4</v>
      </c>
    </row>
    <row r="8651" spans="1:6" x14ac:dyDescent="0.25">
      <c r="A8651" s="1" t="str">
        <f t="shared" si="314"/>
        <v>19100</v>
      </c>
      <c r="B8651" s="1" t="str">
        <f>"76227"</f>
        <v>76227</v>
      </c>
      <c r="C8651" s="2">
        <v>5.7427412302133198E-3</v>
      </c>
      <c r="D8651" s="2">
        <v>2.2288564710609602E-3</v>
      </c>
      <c r="E8651" s="2">
        <v>1.1728877731593799E-3</v>
      </c>
      <c r="F8651" s="2">
        <v>5.25445767515884E-3</v>
      </c>
    </row>
    <row r="8652" spans="1:6" x14ac:dyDescent="0.25">
      <c r="A8652" s="1" t="str">
        <f t="shared" si="314"/>
        <v>19100</v>
      </c>
      <c r="B8652" s="1" t="str">
        <f>"76234"</f>
        <v>76234</v>
      </c>
      <c r="C8652" s="2">
        <v>2.78147388045676E-3</v>
      </c>
      <c r="D8652" s="2">
        <v>3.9742708343143401E-3</v>
      </c>
      <c r="E8652" s="2">
        <v>1.9685309409166298E-3</v>
      </c>
      <c r="F8652" s="2">
        <v>2.8529667928666202E-3</v>
      </c>
    </row>
    <row r="8653" spans="1:6" x14ac:dyDescent="0.25">
      <c r="A8653" s="1" t="str">
        <f t="shared" si="314"/>
        <v>19100</v>
      </c>
      <c r="B8653" s="1" t="str">
        <f>"76226"</f>
        <v>76226</v>
      </c>
      <c r="C8653" s="2">
        <v>4.3754964680293301E-3</v>
      </c>
      <c r="D8653" s="2">
        <v>2.2476918778586599E-3</v>
      </c>
      <c r="E8653" s="2">
        <v>6.3102733994540195E-4</v>
      </c>
      <c r="F8653" s="2">
        <v>4.0408598004591303E-3</v>
      </c>
    </row>
    <row r="8654" spans="1:6" x14ac:dyDescent="0.25">
      <c r="A8654" s="1" t="str">
        <f t="shared" si="314"/>
        <v>19100</v>
      </c>
      <c r="B8654" s="1" t="str">
        <f>"76014"</f>
        <v>76014</v>
      </c>
      <c r="C8654" s="2">
        <v>3.8592950091337502E-3</v>
      </c>
      <c r="D8654" s="2">
        <v>1.30592153797374E-3</v>
      </c>
      <c r="E8654" s="2">
        <v>4.1016777096451098E-3</v>
      </c>
      <c r="F8654" s="2">
        <v>3.6465362007932901E-3</v>
      </c>
    </row>
    <row r="8655" spans="1:6" x14ac:dyDescent="0.25">
      <c r="A8655" s="1" t="str">
        <f t="shared" si="314"/>
        <v>19100</v>
      </c>
      <c r="B8655" s="1" t="str">
        <f>"76031"</f>
        <v>76031</v>
      </c>
      <c r="C8655" s="2">
        <v>2.2471051372068402E-3</v>
      </c>
      <c r="D8655" s="2">
        <v>1.52880718507984E-3</v>
      </c>
      <c r="E8655" s="2">
        <v>1.6941712278968899E-3</v>
      </c>
      <c r="F8655" s="2">
        <v>2.1624903094018201E-3</v>
      </c>
    </row>
    <row r="8656" spans="1:6" x14ac:dyDescent="0.25">
      <c r="A8656" s="1" t="str">
        <f t="shared" si="314"/>
        <v>19100</v>
      </c>
      <c r="B8656" s="1" t="str">
        <f>"75001"</f>
        <v>75001</v>
      </c>
      <c r="C8656" s="2">
        <v>3.5513908622318399E-3</v>
      </c>
      <c r="D8656" s="2">
        <v>9.5150196673039304E-3</v>
      </c>
      <c r="E8656" s="2">
        <v>6.0359136864342796E-3</v>
      </c>
      <c r="F8656" s="2">
        <v>4.1699310480612598E-3</v>
      </c>
    </row>
    <row r="8657" spans="1:6" x14ac:dyDescent="0.25">
      <c r="A8657" s="1" t="str">
        <f t="shared" si="314"/>
        <v>19100</v>
      </c>
      <c r="B8657" s="1" t="str">
        <f>"75019"</f>
        <v>75019</v>
      </c>
      <c r="C8657" s="2">
        <v>5.8307585906196601E-3</v>
      </c>
      <c r="D8657" s="2">
        <v>6.6583163029863496E-3</v>
      </c>
      <c r="E8657" s="2">
        <v>4.5886662002551501E-3</v>
      </c>
      <c r="F8657" s="2">
        <v>5.85332638755009E-3</v>
      </c>
    </row>
    <row r="8658" spans="1:6" x14ac:dyDescent="0.25">
      <c r="A8658" s="1" t="str">
        <f t="shared" si="314"/>
        <v>19100</v>
      </c>
      <c r="B8658" s="1" t="str">
        <f>"75028"</f>
        <v>75028</v>
      </c>
      <c r="C8658" s="2">
        <v>5.4019480340492402E-3</v>
      </c>
      <c r="D8658" s="2">
        <v>4.2913335154089304E-3</v>
      </c>
      <c r="E8658" s="2">
        <v>2.7573151158483801E-3</v>
      </c>
      <c r="F8658" s="2">
        <v>5.1997664685477698E-3</v>
      </c>
    </row>
    <row r="8659" spans="1:6" x14ac:dyDescent="0.25">
      <c r="A8659" s="1" t="str">
        <f t="shared" si="314"/>
        <v>19100</v>
      </c>
      <c r="B8659" s="1" t="str">
        <f>"75208"</f>
        <v>75208</v>
      </c>
      <c r="C8659" s="2">
        <v>4.5136304749303999E-3</v>
      </c>
      <c r="D8659" s="2">
        <v>5.6506220393094898E-3</v>
      </c>
      <c r="E8659" s="2">
        <v>6.2279654855481002E-3</v>
      </c>
      <c r="F8659" s="2">
        <v>4.6810203738417398E-3</v>
      </c>
    </row>
    <row r="8660" spans="1:6" x14ac:dyDescent="0.25">
      <c r="A8660" s="1" t="str">
        <f t="shared" si="314"/>
        <v>19100</v>
      </c>
      <c r="B8660" s="1" t="str">
        <f>"75215"</f>
        <v>75215</v>
      </c>
      <c r="C8660" s="2">
        <v>3.0311174258085601E-3</v>
      </c>
      <c r="D8660" s="2">
        <v>3.3401454721251598E-3</v>
      </c>
      <c r="E8660" s="2">
        <v>2.9562259077876999E-3</v>
      </c>
      <c r="F8660" s="2">
        <v>3.05505080129454E-3</v>
      </c>
    </row>
    <row r="8661" spans="1:6" x14ac:dyDescent="0.25">
      <c r="A8661" s="1" t="str">
        <f t="shared" si="314"/>
        <v>19100</v>
      </c>
      <c r="B8661" s="1" t="str">
        <f>"75169"</f>
        <v>75169</v>
      </c>
      <c r="C8661" s="2">
        <v>5.0022677782538797E-4</v>
      </c>
      <c r="D8661" s="2">
        <v>6.2784689325661006E-5</v>
      </c>
      <c r="E8661" s="2">
        <v>6.1730935429441501E-5</v>
      </c>
      <c r="F8661" s="2">
        <v>4.4463950974802302E-4</v>
      </c>
    </row>
    <row r="8662" spans="1:6" x14ac:dyDescent="0.25">
      <c r="A8662" s="1" t="str">
        <f t="shared" si="314"/>
        <v>19100</v>
      </c>
      <c r="B8662" s="1" t="str">
        <f>"75222"</f>
        <v>75222</v>
      </c>
      <c r="C8662" s="2">
        <v>4.49170444208896E-4</v>
      </c>
      <c r="D8662" s="2">
        <v>2.5898684346835101E-3</v>
      </c>
      <c r="E8662" s="2">
        <v>1.3717985650986999E-5</v>
      </c>
      <c r="F8662" s="2">
        <v>6.1828409073817997E-4</v>
      </c>
    </row>
    <row r="8663" spans="1:6" x14ac:dyDescent="0.25">
      <c r="A8663" s="1" t="str">
        <f t="shared" si="314"/>
        <v>19100</v>
      </c>
      <c r="B8663" s="1" t="str">
        <f>"75146"</f>
        <v>75146</v>
      </c>
      <c r="C8663" s="2">
        <v>2.8694912408630999E-3</v>
      </c>
      <c r="D8663" s="2">
        <v>2.5145268074927198E-3</v>
      </c>
      <c r="E8663" s="2">
        <v>9.3968201709261005E-4</v>
      </c>
      <c r="F8663" s="2">
        <v>2.7616324778261302E-3</v>
      </c>
    </row>
    <row r="8664" spans="1:6" x14ac:dyDescent="0.25">
      <c r="A8664" s="1" t="str">
        <f t="shared" si="314"/>
        <v>19100</v>
      </c>
      <c r="B8664" s="1" t="str">
        <f>"75159"</f>
        <v>75159</v>
      </c>
      <c r="C8664" s="2">
        <v>2.3338695814508199E-3</v>
      </c>
      <c r="D8664" s="2">
        <v>1.83017369384301E-3</v>
      </c>
      <c r="E8664" s="2">
        <v>1.60500432116548E-3</v>
      </c>
      <c r="F8664" s="2">
        <v>2.2609344813017602E-3</v>
      </c>
    </row>
    <row r="8665" spans="1:6" x14ac:dyDescent="0.25">
      <c r="A8665" s="1" t="str">
        <f t="shared" si="314"/>
        <v>19100</v>
      </c>
      <c r="B8665" s="1" t="str">
        <f>"75166"</f>
        <v>75166</v>
      </c>
      <c r="C8665" s="2">
        <v>5.7571497660805502E-4</v>
      </c>
      <c r="D8665" s="2">
        <v>1.3498708205017101E-4</v>
      </c>
      <c r="E8665" s="2">
        <v>1.6461582781184401E-4</v>
      </c>
      <c r="F8665" s="2">
        <v>5.2093374297046999E-4</v>
      </c>
    </row>
    <row r="8666" spans="1:6" x14ac:dyDescent="0.25">
      <c r="A8666" s="1" t="str">
        <f t="shared" si="314"/>
        <v>19100</v>
      </c>
      <c r="B8666" s="1" t="str">
        <f>"75442"</f>
        <v>75442</v>
      </c>
      <c r="C8666" s="2">
        <v>1.3584743490474001E-3</v>
      </c>
      <c r="D8666" s="2">
        <v>7.9422631996961199E-4</v>
      </c>
      <c r="E8666" s="2">
        <v>2.5378273454325899E-4</v>
      </c>
      <c r="F8666" s="2">
        <v>1.2652810649471701E-3</v>
      </c>
    </row>
    <row r="8667" spans="1:6" x14ac:dyDescent="0.25">
      <c r="A8667" s="1" t="str">
        <f t="shared" si="314"/>
        <v>19100</v>
      </c>
      <c r="B8667" s="1" t="str">
        <f>"75401"</f>
        <v>75401</v>
      </c>
      <c r="C8667" s="2">
        <v>2.7091179720800098E-3</v>
      </c>
      <c r="D8667" s="2">
        <v>2.6714885308068699E-3</v>
      </c>
      <c r="E8667" s="2">
        <v>2.0371208691715701E-3</v>
      </c>
      <c r="F8667" s="2">
        <v>2.6790487558434098E-3</v>
      </c>
    </row>
    <row r="8668" spans="1:6" x14ac:dyDescent="0.25">
      <c r="A8668" s="1" t="str">
        <f t="shared" si="314"/>
        <v>19100</v>
      </c>
      <c r="B8668" s="1" t="str">
        <f>"75379"</f>
        <v>75379</v>
      </c>
      <c r="C8668" s="2">
        <v>5.2152635258564299E-4</v>
      </c>
      <c r="D8668" s="2">
        <v>1.65123732926488E-3</v>
      </c>
      <c r="E8668" s="2">
        <v>1.3717985650986999E-5</v>
      </c>
      <c r="F8668" s="2">
        <v>5.9968908049041602E-4</v>
      </c>
    </row>
    <row r="8669" spans="1:6" x14ac:dyDescent="0.25">
      <c r="A8669" s="1" t="str">
        <f t="shared" si="314"/>
        <v>19100</v>
      </c>
      <c r="B8669" s="1" t="str">
        <f>"75403"</f>
        <v>75403</v>
      </c>
      <c r="C8669" s="2">
        <v>3.4267257040762302E-4</v>
      </c>
      <c r="D8669" s="2">
        <v>8.7270718162668799E-4</v>
      </c>
      <c r="E8669" s="2">
        <v>1.3717985650986999E-5</v>
      </c>
      <c r="F8669" s="2">
        <v>3.7572858941807102E-4</v>
      </c>
    </row>
    <row r="8670" spans="1:6" x14ac:dyDescent="0.25">
      <c r="A8670" s="1" t="str">
        <f t="shared" si="314"/>
        <v>19100</v>
      </c>
      <c r="B8670" s="1" t="str">
        <f>"75069"</f>
        <v>75069</v>
      </c>
      <c r="C8670" s="2">
        <v>5.3383625388090704E-3</v>
      </c>
      <c r="D8670" s="2">
        <v>7.4588210918885298E-3</v>
      </c>
      <c r="E8670" s="2">
        <v>4.2937295087589304E-3</v>
      </c>
      <c r="F8670" s="2">
        <v>5.4814261825947902E-3</v>
      </c>
    </row>
    <row r="8671" spans="1:6" x14ac:dyDescent="0.25">
      <c r="A8671" s="1" t="str">
        <f t="shared" si="314"/>
        <v>19100</v>
      </c>
      <c r="B8671" s="1" t="str">
        <f>"75070"</f>
        <v>75070</v>
      </c>
      <c r="C8671" s="2">
        <v>7.9751246025123405E-3</v>
      </c>
      <c r="D8671" s="2">
        <v>7.7853014763819596E-3</v>
      </c>
      <c r="E8671" s="2">
        <v>4.3348834657118904E-3</v>
      </c>
      <c r="F8671" s="2">
        <v>7.8134592324909501E-3</v>
      </c>
    </row>
    <row r="8672" spans="1:6" x14ac:dyDescent="0.25">
      <c r="A8672" s="1" t="str">
        <f t="shared" si="314"/>
        <v>19100</v>
      </c>
      <c r="B8672" s="1" t="str">
        <f>"75072"</f>
        <v>75072</v>
      </c>
      <c r="C8672" s="2">
        <v>6.1731179319866897E-3</v>
      </c>
      <c r="D8672" s="2">
        <v>8.38175602497574E-4</v>
      </c>
      <c r="E8672" s="2">
        <v>5.6243741169046703E-4</v>
      </c>
      <c r="F8672" s="2">
        <v>5.4847076549914596E-3</v>
      </c>
    </row>
    <row r="8673" spans="1:6" x14ac:dyDescent="0.25">
      <c r="A8673" s="1" t="str">
        <f t="shared" ref="A8673:A8736" si="315">"19100"</f>
        <v>19100</v>
      </c>
      <c r="B8673" s="1" t="str">
        <f>"76055"</f>
        <v>76055</v>
      </c>
      <c r="C8673" s="2">
        <v>9.3968712177593295E-7</v>
      </c>
      <c r="D8673" s="2">
        <v>0</v>
      </c>
      <c r="E8673" s="2">
        <v>0</v>
      </c>
      <c r="F8673" s="2">
        <v>8.2036809916609503E-7</v>
      </c>
    </row>
    <row r="8674" spans="1:6" x14ac:dyDescent="0.25">
      <c r="A8674" s="1" t="str">
        <f t="shared" si="315"/>
        <v>19100</v>
      </c>
      <c r="B8674" s="1" t="str">
        <f>"75458"</f>
        <v>75458</v>
      </c>
      <c r="C8674" s="2">
        <v>0</v>
      </c>
      <c r="D8674" s="2">
        <v>0</v>
      </c>
      <c r="E8674" s="2">
        <v>6.8589928254934996E-6</v>
      </c>
      <c r="F8674" s="2">
        <v>2.7345603305536501E-7</v>
      </c>
    </row>
    <row r="8675" spans="1:6" x14ac:dyDescent="0.25">
      <c r="A8675" s="1" t="str">
        <f t="shared" si="315"/>
        <v>19100</v>
      </c>
      <c r="B8675" s="1" t="str">
        <f>"75097"</f>
        <v>75097</v>
      </c>
      <c r="C8675" s="2">
        <v>0</v>
      </c>
      <c r="D8675" s="2">
        <v>0</v>
      </c>
      <c r="E8675" s="2">
        <v>6.8589928254934996E-6</v>
      </c>
      <c r="F8675" s="2">
        <v>2.7345603305536501E-7</v>
      </c>
    </row>
    <row r="8676" spans="1:6" x14ac:dyDescent="0.25">
      <c r="A8676" s="1" t="str">
        <f t="shared" si="315"/>
        <v>19100</v>
      </c>
      <c r="B8676" s="1" t="str">
        <f>"75057"</f>
        <v>75057</v>
      </c>
      <c r="C8676" s="2">
        <v>2.1879048485349598E-3</v>
      </c>
      <c r="D8676" s="2">
        <v>4.9285981120643901E-3</v>
      </c>
      <c r="E8676" s="2">
        <v>3.7381510898939498E-3</v>
      </c>
      <c r="F8676" s="2">
        <v>2.4884499008038202E-3</v>
      </c>
    </row>
    <row r="8677" spans="1:6" x14ac:dyDescent="0.25">
      <c r="A8677" s="1" t="str">
        <f t="shared" si="315"/>
        <v>19100</v>
      </c>
      <c r="B8677" s="1" t="str">
        <f>"76119"</f>
        <v>76119</v>
      </c>
      <c r="C8677" s="2">
        <v>5.4436074964479804E-3</v>
      </c>
      <c r="D8677" s="2">
        <v>5.07300289751341E-3</v>
      </c>
      <c r="E8677" s="2">
        <v>4.6229611643826196E-3</v>
      </c>
      <c r="F8677" s="2">
        <v>5.3786067141659696E-3</v>
      </c>
    </row>
    <row r="8678" spans="1:6" x14ac:dyDescent="0.25">
      <c r="A8678" s="1" t="str">
        <f t="shared" si="315"/>
        <v>19100</v>
      </c>
      <c r="B8678" s="1" t="str">
        <f>"76123"</f>
        <v>76123</v>
      </c>
      <c r="C8678" s="2">
        <v>3.6378420774352302E-3</v>
      </c>
      <c r="D8678" s="2">
        <v>2.8567033643175699E-4</v>
      </c>
      <c r="E8678" s="2">
        <v>3.2923165562368802E-4</v>
      </c>
      <c r="F8678" s="2">
        <v>3.2139287564997001E-3</v>
      </c>
    </row>
    <row r="8679" spans="1:6" x14ac:dyDescent="0.25">
      <c r="A8679" s="1" t="str">
        <f t="shared" si="315"/>
        <v>19100</v>
      </c>
      <c r="B8679" s="1" t="str">
        <f>"76108"</f>
        <v>76108</v>
      </c>
      <c r="C8679" s="2">
        <v>6.0700655776319296E-3</v>
      </c>
      <c r="D8679" s="2">
        <v>2.8378679575198698E-3</v>
      </c>
      <c r="E8679" s="2">
        <v>5.5009122460457898E-3</v>
      </c>
      <c r="F8679" s="2">
        <v>5.7658204569723702E-3</v>
      </c>
    </row>
    <row r="8680" spans="1:6" x14ac:dyDescent="0.25">
      <c r="A8680" s="1" t="str">
        <f t="shared" si="315"/>
        <v>19100</v>
      </c>
      <c r="B8680" s="1" t="str">
        <f>"76147"</f>
        <v>76147</v>
      </c>
      <c r="C8680" s="2">
        <v>2.9882050472474598E-4</v>
      </c>
      <c r="D8680" s="2">
        <v>1.60728804673692E-3</v>
      </c>
      <c r="E8680" s="2">
        <v>1.3717985650986999E-5</v>
      </c>
      <c r="F8680" s="2">
        <v>4.01433456525276E-4</v>
      </c>
    </row>
    <row r="8681" spans="1:6" x14ac:dyDescent="0.25">
      <c r="A8681" s="1" t="str">
        <f t="shared" si="315"/>
        <v>19100</v>
      </c>
      <c r="B8681" s="1" t="str">
        <f>"75017"</f>
        <v>75017</v>
      </c>
      <c r="C8681" s="2">
        <v>2.7532832668034801E-4</v>
      </c>
      <c r="D8681" s="2">
        <v>7.1888469277881797E-4</v>
      </c>
      <c r="E8681" s="2">
        <v>1.3717985650986999E-5</v>
      </c>
      <c r="F8681" s="2">
        <v>3.0353619669145498E-4</v>
      </c>
    </row>
    <row r="8682" spans="1:6" x14ac:dyDescent="0.25">
      <c r="A8682" s="1" t="str">
        <f t="shared" si="315"/>
        <v>19100</v>
      </c>
      <c r="B8682" s="1" t="str">
        <f>"76098"</f>
        <v>76098</v>
      </c>
      <c r="C8682" s="2">
        <v>6.2739776830573102E-4</v>
      </c>
      <c r="D8682" s="2">
        <v>1.0171119670756999E-3</v>
      </c>
      <c r="E8682" s="2">
        <v>1.3717985650986999E-5</v>
      </c>
      <c r="F8682" s="2">
        <v>6.36879100985945E-4</v>
      </c>
    </row>
    <row r="8683" spans="1:6" x14ac:dyDescent="0.25">
      <c r="A8683" s="1" t="str">
        <f t="shared" si="315"/>
        <v>19100</v>
      </c>
      <c r="B8683" s="1" t="str">
        <f>"76197"</f>
        <v>76197</v>
      </c>
      <c r="C8683" s="2">
        <v>0</v>
      </c>
      <c r="D8683" s="2">
        <v>3.1392344662830499E-6</v>
      </c>
      <c r="E8683" s="2">
        <v>0</v>
      </c>
      <c r="F8683" s="2">
        <v>2.7345603305536501E-7</v>
      </c>
    </row>
    <row r="8684" spans="1:6" x14ac:dyDescent="0.25">
      <c r="A8684" s="1" t="str">
        <f t="shared" si="315"/>
        <v>19100</v>
      </c>
      <c r="B8684" s="1" t="str">
        <f>"75101"</f>
        <v>75101</v>
      </c>
      <c r="C8684" s="2">
        <v>0</v>
      </c>
      <c r="D8684" s="2">
        <v>0</v>
      </c>
      <c r="E8684" s="2">
        <v>6.8589928254934996E-6</v>
      </c>
      <c r="F8684" s="2">
        <v>2.7345603305536501E-7</v>
      </c>
    </row>
    <row r="8685" spans="1:6" x14ac:dyDescent="0.25">
      <c r="A8685" s="1" t="str">
        <f t="shared" si="315"/>
        <v>19100</v>
      </c>
      <c r="B8685" s="1" t="str">
        <f>"76122"</f>
        <v>76122</v>
      </c>
      <c r="C8685" s="2">
        <v>0</v>
      </c>
      <c r="D8685" s="2">
        <v>3.1392344662830499E-6</v>
      </c>
      <c r="E8685" s="2">
        <v>0</v>
      </c>
      <c r="F8685" s="2">
        <v>2.7345603305536501E-7</v>
      </c>
    </row>
    <row r="8686" spans="1:6" x14ac:dyDescent="0.25">
      <c r="A8686" s="1" t="str">
        <f t="shared" si="315"/>
        <v>19100</v>
      </c>
      <c r="B8686" s="1" t="str">
        <f>"75152"</f>
        <v>75152</v>
      </c>
      <c r="C8686" s="2">
        <v>6.28024226386915E-4</v>
      </c>
      <c r="D8686" s="2">
        <v>2.6055646070149302E-4</v>
      </c>
      <c r="E8686" s="2">
        <v>2.12628777590298E-4</v>
      </c>
      <c r="F8686" s="2">
        <v>5.7945333404431896E-4</v>
      </c>
    </row>
    <row r="8687" spans="1:6" x14ac:dyDescent="0.25">
      <c r="A8687" s="1" t="str">
        <f t="shared" si="315"/>
        <v>19100</v>
      </c>
      <c r="B8687" s="1" t="str">
        <f>"75453"</f>
        <v>75453</v>
      </c>
      <c r="C8687" s="2">
        <v>4.3256930505752102E-4</v>
      </c>
      <c r="D8687" s="2">
        <v>1.2556937865132201E-4</v>
      </c>
      <c r="E8687" s="2">
        <v>1.6461582781184401E-4</v>
      </c>
      <c r="F8687" s="2">
        <v>3.9514396776500201E-4</v>
      </c>
    </row>
    <row r="8688" spans="1:6" x14ac:dyDescent="0.25">
      <c r="A8688" s="1" t="str">
        <f t="shared" si="315"/>
        <v>19100</v>
      </c>
      <c r="B8688" s="1" t="str">
        <f>"75231"</f>
        <v>75231</v>
      </c>
      <c r="C8688" s="2">
        <v>6.8944844124700201E-3</v>
      </c>
      <c r="D8688" s="2">
        <v>7.8072761176459504E-3</v>
      </c>
      <c r="E8688" s="2">
        <v>1.8546716600134398E-2</v>
      </c>
      <c r="F8688" s="2">
        <v>7.4385510111720397E-3</v>
      </c>
    </row>
    <row r="8689" spans="1:6" x14ac:dyDescent="0.25">
      <c r="A8689" s="1" t="str">
        <f t="shared" si="315"/>
        <v>19100</v>
      </c>
      <c r="B8689" s="1" t="str">
        <f>"75240"</f>
        <v>75240</v>
      </c>
      <c r="C8689" s="2">
        <v>3.6582019650737E-3</v>
      </c>
      <c r="D8689" s="2">
        <v>7.7476306627865697E-3</v>
      </c>
      <c r="E8689" s="2">
        <v>6.9961726820033697E-3</v>
      </c>
      <c r="F8689" s="2">
        <v>4.1475076533507198E-3</v>
      </c>
    </row>
    <row r="8690" spans="1:6" x14ac:dyDescent="0.25">
      <c r="A8690" s="1" t="str">
        <f t="shared" si="315"/>
        <v>19100</v>
      </c>
      <c r="B8690" s="1" t="str">
        <f>"75228"</f>
        <v>75228</v>
      </c>
      <c r="C8690" s="2">
        <v>8.4217892143964995E-3</v>
      </c>
      <c r="D8690" s="2">
        <v>4.6774593547617401E-3</v>
      </c>
      <c r="E8690" s="2">
        <v>1.07068878005953E-2</v>
      </c>
      <c r="F8690" s="2">
        <v>8.1867267176115206E-3</v>
      </c>
    </row>
    <row r="8691" spans="1:6" x14ac:dyDescent="0.25">
      <c r="A8691" s="1" t="str">
        <f t="shared" si="315"/>
        <v>19100</v>
      </c>
      <c r="B8691" s="1" t="str">
        <f>"75247"</f>
        <v>75247</v>
      </c>
      <c r="C8691" s="2">
        <v>7.5174969742074601E-5</v>
      </c>
      <c r="D8691" s="2">
        <v>8.00818712348806E-3</v>
      </c>
      <c r="E8691" s="2">
        <v>1.94109496961466E-3</v>
      </c>
      <c r="F8691" s="2">
        <v>8.4060384561219202E-4</v>
      </c>
    </row>
    <row r="8692" spans="1:6" x14ac:dyDescent="0.25">
      <c r="A8692" s="1" t="str">
        <f t="shared" si="315"/>
        <v>19100</v>
      </c>
      <c r="B8692" s="1" t="str">
        <f>"75252"</f>
        <v>75252</v>
      </c>
      <c r="C8692" s="2">
        <v>4.4719710125316597E-3</v>
      </c>
      <c r="D8692" s="2">
        <v>3.4280440371810901E-3</v>
      </c>
      <c r="E8692" s="2">
        <v>3.0865467714720702E-3</v>
      </c>
      <c r="F8692" s="2">
        <v>4.3258009869028202E-3</v>
      </c>
    </row>
    <row r="8693" spans="1:6" x14ac:dyDescent="0.25">
      <c r="A8693" s="1" t="str">
        <f t="shared" si="315"/>
        <v>19100</v>
      </c>
      <c r="B8693" s="1" t="str">
        <f>"75246"</f>
        <v>75246</v>
      </c>
      <c r="C8693" s="2">
        <v>4.3852065682876799E-4</v>
      </c>
      <c r="D8693" s="2">
        <v>1.4409086200239201E-3</v>
      </c>
      <c r="E8693" s="2">
        <v>1.39237554357518E-3</v>
      </c>
      <c r="F8693" s="2">
        <v>5.6386634016016295E-4</v>
      </c>
    </row>
    <row r="8694" spans="1:6" x14ac:dyDescent="0.25">
      <c r="A8694" s="1" t="str">
        <f t="shared" si="315"/>
        <v>19100</v>
      </c>
      <c r="B8694" s="1" t="str">
        <f>"75402"</f>
        <v>75402</v>
      </c>
      <c r="C8694" s="2">
        <v>2.68531256499502E-3</v>
      </c>
      <c r="D8694" s="2">
        <v>2.84100719198616E-3</v>
      </c>
      <c r="E8694" s="2">
        <v>6.45431224878938E-3</v>
      </c>
      <c r="F8694" s="2">
        <v>2.84913840840385E-3</v>
      </c>
    </row>
    <row r="8695" spans="1:6" x14ac:dyDescent="0.25">
      <c r="A8695" s="1" t="str">
        <f t="shared" si="315"/>
        <v>19100</v>
      </c>
      <c r="B8695" s="1" t="str">
        <f>"75360"</f>
        <v>75360</v>
      </c>
      <c r="C8695" s="2">
        <v>3.1604810195730499E-4</v>
      </c>
      <c r="D8695" s="2">
        <v>1.20546603505269E-3</v>
      </c>
      <c r="E8695" s="2">
        <v>1.3717985650986999E-5</v>
      </c>
      <c r="F8695" s="2">
        <v>3.8147116611223397E-4</v>
      </c>
    </row>
    <row r="8696" spans="1:6" x14ac:dyDescent="0.25">
      <c r="A8696" s="1" t="str">
        <f t="shared" si="315"/>
        <v>19100</v>
      </c>
      <c r="B8696" s="1" t="str">
        <f>"75376"</f>
        <v>75376</v>
      </c>
      <c r="C8696" s="2">
        <v>3.1072320826724199E-4</v>
      </c>
      <c r="D8696" s="2">
        <v>1.32475694477144E-3</v>
      </c>
      <c r="E8696" s="2">
        <v>1.3717985650986999E-5</v>
      </c>
      <c r="F8696" s="2">
        <v>3.8721374280639698E-4</v>
      </c>
    </row>
    <row r="8697" spans="1:6" x14ac:dyDescent="0.25">
      <c r="A8697" s="1" t="str">
        <f t="shared" si="315"/>
        <v>19100</v>
      </c>
      <c r="B8697" s="1" t="str">
        <f>"75078"</f>
        <v>75078</v>
      </c>
      <c r="C8697" s="2">
        <v>4.2430005838589302E-3</v>
      </c>
      <c r="D8697" s="2">
        <v>2.7970579094581901E-3</v>
      </c>
      <c r="E8697" s="2">
        <v>1.0219899309985301E-3</v>
      </c>
      <c r="F8697" s="2">
        <v>3.9886296981455497E-3</v>
      </c>
    </row>
    <row r="8698" spans="1:6" x14ac:dyDescent="0.25">
      <c r="A8698" s="1" t="str">
        <f t="shared" si="315"/>
        <v>19100</v>
      </c>
      <c r="B8698" s="1" t="str">
        <f>"75081"</f>
        <v>75081</v>
      </c>
      <c r="C8698" s="2">
        <v>5.0451801568149801E-3</v>
      </c>
      <c r="D8698" s="2">
        <v>9.7787153624717005E-3</v>
      </c>
      <c r="E8698" s="2">
        <v>5.00020576978476E-3</v>
      </c>
      <c r="F8698" s="2">
        <v>5.4557213154875902E-3</v>
      </c>
    </row>
    <row r="8699" spans="1:6" x14ac:dyDescent="0.25">
      <c r="A8699" s="1" t="str">
        <f t="shared" si="315"/>
        <v>19100</v>
      </c>
      <c r="B8699" s="1" t="str">
        <f>"75067"</f>
        <v>75067</v>
      </c>
      <c r="C8699" s="2">
        <v>9.0567044796764397E-3</v>
      </c>
      <c r="D8699" s="2">
        <v>7.0193282666088999E-3</v>
      </c>
      <c r="E8699" s="2">
        <v>6.1319395859911899E-3</v>
      </c>
      <c r="F8699" s="2">
        <v>8.7626251232261199E-3</v>
      </c>
    </row>
    <row r="8700" spans="1:6" x14ac:dyDescent="0.25">
      <c r="A8700" s="1" t="str">
        <f t="shared" si="315"/>
        <v>19100</v>
      </c>
      <c r="B8700" s="1" t="str">
        <f>"75042"</f>
        <v>75042</v>
      </c>
      <c r="C8700" s="2">
        <v>3.9231937334145203E-3</v>
      </c>
      <c r="D8700" s="2">
        <v>5.6600397427083397E-3</v>
      </c>
      <c r="E8700" s="2">
        <v>9.5545770059124492E-3</v>
      </c>
      <c r="F8700" s="2">
        <v>4.2990022956633902E-3</v>
      </c>
    </row>
    <row r="8701" spans="1:6" x14ac:dyDescent="0.25">
      <c r="A8701" s="1" t="str">
        <f t="shared" si="315"/>
        <v>19100</v>
      </c>
      <c r="B8701" s="1" t="str">
        <f>"75051"</f>
        <v>75051</v>
      </c>
      <c r="C8701" s="2">
        <v>4.2708779684716104E-3</v>
      </c>
      <c r="D8701" s="2">
        <v>5.2613569654903899E-3</v>
      </c>
      <c r="E8701" s="2">
        <v>7.1950834739426799E-3</v>
      </c>
      <c r="F8701" s="2">
        <v>4.47374070078577E-3</v>
      </c>
    </row>
    <row r="8702" spans="1:6" x14ac:dyDescent="0.25">
      <c r="A8702" s="1" t="str">
        <f t="shared" si="315"/>
        <v>19100</v>
      </c>
      <c r="B8702" s="1" t="str">
        <f>"75036"</f>
        <v>75036</v>
      </c>
      <c r="C8702" s="2">
        <v>4.0503647238948597E-3</v>
      </c>
      <c r="D8702" s="2">
        <v>1.4220732132262199E-3</v>
      </c>
      <c r="E8702" s="2">
        <v>4.3897554083158398E-4</v>
      </c>
      <c r="F8702" s="2">
        <v>3.67743673252855E-3</v>
      </c>
    </row>
    <row r="8703" spans="1:6" x14ac:dyDescent="0.25">
      <c r="A8703" s="1" t="str">
        <f t="shared" si="315"/>
        <v>19100</v>
      </c>
      <c r="B8703" s="1" t="str">
        <f>"75049"</f>
        <v>75049</v>
      </c>
      <c r="C8703" s="2">
        <v>6.8941711834294298E-4</v>
      </c>
      <c r="D8703" s="2">
        <v>1.25569378651322E-3</v>
      </c>
      <c r="E8703" s="2">
        <v>1.3717985650986999E-5</v>
      </c>
      <c r="F8703" s="2">
        <v>7.1180605404311498E-4</v>
      </c>
    </row>
    <row r="8704" spans="1:6" x14ac:dyDescent="0.25">
      <c r="A8704" s="1" t="str">
        <f t="shared" si="315"/>
        <v>19100</v>
      </c>
      <c r="B8704" s="1" t="str">
        <f>"75061"</f>
        <v>75061</v>
      </c>
      <c r="C8704" s="2">
        <v>6.3701389985190496E-3</v>
      </c>
      <c r="D8704" s="2">
        <v>7.6942636768597599E-3</v>
      </c>
      <c r="E8704" s="2">
        <v>1.4671385653730599E-2</v>
      </c>
      <c r="F8704" s="2">
        <v>6.8164385359710897E-3</v>
      </c>
    </row>
    <row r="8705" spans="1:6" x14ac:dyDescent="0.25">
      <c r="A8705" s="1" t="str">
        <f t="shared" si="315"/>
        <v>19100</v>
      </c>
      <c r="B8705" s="1" t="str">
        <f>"75045"</f>
        <v>75045</v>
      </c>
      <c r="C8705" s="2">
        <v>5.6130644074082396E-4</v>
      </c>
      <c r="D8705" s="2">
        <v>1.09873206319906E-3</v>
      </c>
      <c r="E8705" s="2">
        <v>1.3717985650986999E-5</v>
      </c>
      <c r="F8705" s="2">
        <v>5.8628973487070296E-4</v>
      </c>
    </row>
    <row r="8706" spans="1:6" x14ac:dyDescent="0.25">
      <c r="A8706" s="1" t="str">
        <f t="shared" si="315"/>
        <v>19100</v>
      </c>
      <c r="B8706" s="1" t="str">
        <f>"75047"</f>
        <v>75047</v>
      </c>
      <c r="C8706" s="2">
        <v>1.6569816247315601E-4</v>
      </c>
      <c r="D8706" s="2">
        <v>3.0450574322945601E-4</v>
      </c>
      <c r="E8706" s="2">
        <v>1.3717985650986999E-5</v>
      </c>
      <c r="F8706" s="2">
        <v>1.71730388758769E-4</v>
      </c>
    </row>
    <row r="8707" spans="1:6" x14ac:dyDescent="0.25">
      <c r="A8707" s="1" t="str">
        <f t="shared" si="315"/>
        <v>19100</v>
      </c>
      <c r="B8707" s="1" t="str">
        <f>"76109"</f>
        <v>76109</v>
      </c>
      <c r="C8707" s="2">
        <v>3.9510711180271996E-3</v>
      </c>
      <c r="D8707" s="2">
        <v>3.50966413330445E-3</v>
      </c>
      <c r="E8707" s="2">
        <v>7.2293784380701503E-3</v>
      </c>
      <c r="F8707" s="2">
        <v>4.0433209047566303E-3</v>
      </c>
    </row>
    <row r="8708" spans="1:6" x14ac:dyDescent="0.25">
      <c r="A8708" s="1" t="str">
        <f t="shared" si="315"/>
        <v>19100</v>
      </c>
      <c r="B8708" s="1" t="str">
        <f>"76118"</f>
        <v>76118</v>
      </c>
      <c r="C8708" s="2">
        <v>1.91664849938231E-3</v>
      </c>
      <c r="D8708" s="2">
        <v>3.1549306386144602E-3</v>
      </c>
      <c r="E8708" s="2">
        <v>1.74218417767535E-3</v>
      </c>
      <c r="F8708" s="2">
        <v>2.01755861188248E-3</v>
      </c>
    </row>
    <row r="8709" spans="1:6" x14ac:dyDescent="0.25">
      <c r="A8709" s="1" t="str">
        <f t="shared" si="315"/>
        <v>19100</v>
      </c>
      <c r="B8709" s="1" t="str">
        <f>"76131"</f>
        <v>76131</v>
      </c>
      <c r="C8709" s="2">
        <v>4.8619411680686699E-3</v>
      </c>
      <c r="D8709" s="2">
        <v>1.3875416340971001E-3</v>
      </c>
      <c r="E8709" s="2">
        <v>1.4952604359575799E-3</v>
      </c>
      <c r="F8709" s="2">
        <v>4.4250655269019203E-3</v>
      </c>
    </row>
    <row r="8710" spans="1:6" x14ac:dyDescent="0.25">
      <c r="A8710" s="1" t="str">
        <f t="shared" si="315"/>
        <v>19100</v>
      </c>
      <c r="B8710" s="1" t="str">
        <f>"76140"</f>
        <v>76140</v>
      </c>
      <c r="C8710" s="2">
        <v>3.9805146478428498E-3</v>
      </c>
      <c r="D8710" s="2">
        <v>3.6760435600174499E-3</v>
      </c>
      <c r="E8710" s="2">
        <v>2.0234028835205801E-3</v>
      </c>
      <c r="F8710" s="2">
        <v>3.8759658125267402E-3</v>
      </c>
    </row>
    <row r="8711" spans="1:6" x14ac:dyDescent="0.25">
      <c r="A8711" s="1" t="str">
        <f t="shared" si="315"/>
        <v>19100</v>
      </c>
      <c r="B8711" s="1" t="str">
        <f>"76085"</f>
        <v>76085</v>
      </c>
      <c r="C8711" s="2">
        <v>1.5526763542144299E-3</v>
      </c>
      <c r="D8711" s="2">
        <v>3.4845502575741802E-4</v>
      </c>
      <c r="E8711" s="2">
        <v>6.10450361468921E-4</v>
      </c>
      <c r="F8711" s="2">
        <v>1.4102127624665099E-3</v>
      </c>
    </row>
    <row r="8712" spans="1:6" x14ac:dyDescent="0.25">
      <c r="A8712" s="1" t="str">
        <f t="shared" si="315"/>
        <v>19100</v>
      </c>
      <c r="B8712" s="1" t="str">
        <f>"76086"</f>
        <v>76086</v>
      </c>
      <c r="C8712" s="2">
        <v>3.3377686565481098E-3</v>
      </c>
      <c r="D8712" s="2">
        <v>7.5121880778153396E-3</v>
      </c>
      <c r="E8712" s="2">
        <v>6.42001728466192E-3</v>
      </c>
      <c r="F8712" s="2">
        <v>3.8242826222792802E-3</v>
      </c>
    </row>
    <row r="8713" spans="1:6" x14ac:dyDescent="0.25">
      <c r="A8713" s="1" t="str">
        <f t="shared" si="315"/>
        <v>19100</v>
      </c>
      <c r="B8713" s="1" t="str">
        <f>"76088"</f>
        <v>76088</v>
      </c>
      <c r="C8713" s="2">
        <v>1.85682175262924E-3</v>
      </c>
      <c r="D8713" s="2">
        <v>9.9199809134544402E-4</v>
      </c>
      <c r="E8713" s="2">
        <v>6.0359136864342796E-4</v>
      </c>
      <c r="F8713" s="2">
        <v>1.7315236013065701E-3</v>
      </c>
    </row>
    <row r="8714" spans="1:6" x14ac:dyDescent="0.25">
      <c r="A8714" s="1" t="str">
        <f t="shared" si="315"/>
        <v>19100</v>
      </c>
      <c r="B8714" s="1" t="str">
        <f>"76099"</f>
        <v>76099</v>
      </c>
      <c r="C8714" s="2">
        <v>6.4493859457888196E-4</v>
      </c>
      <c r="D8714" s="2">
        <v>2.2414134089260899E-3</v>
      </c>
      <c r="E8714" s="2">
        <v>1.3717985650986999E-5</v>
      </c>
      <c r="F8714" s="2">
        <v>7.5884049172863805E-4</v>
      </c>
    </row>
    <row r="8715" spans="1:6" x14ac:dyDescent="0.25">
      <c r="A8715" s="1" t="str">
        <f t="shared" si="315"/>
        <v>19100</v>
      </c>
      <c r="B8715" s="1" t="str">
        <f>"76487"</f>
        <v>76487</v>
      </c>
      <c r="C8715" s="2">
        <v>4.1722108206851399E-4</v>
      </c>
      <c r="D8715" s="2">
        <v>8.4759330589642405E-5</v>
      </c>
      <c r="E8715" s="2">
        <v>2.0576978476480501E-5</v>
      </c>
      <c r="F8715" s="2">
        <v>3.7244711702140698E-4</v>
      </c>
    </row>
    <row r="8716" spans="1:6" x14ac:dyDescent="0.25">
      <c r="A8716" s="1" t="str">
        <f t="shared" si="315"/>
        <v>19100</v>
      </c>
      <c r="B8716" s="1" t="str">
        <f>"76249"</f>
        <v>76249</v>
      </c>
      <c r="C8716" s="2">
        <v>1.2547955366114601E-3</v>
      </c>
      <c r="D8716" s="2">
        <v>7.9108708550332902E-4</v>
      </c>
      <c r="E8716" s="2">
        <v>3.2923165562368802E-4</v>
      </c>
      <c r="F8716" s="2">
        <v>1.1775016783363999E-3</v>
      </c>
    </row>
    <row r="8717" spans="1:6" x14ac:dyDescent="0.25">
      <c r="A8717" s="1" t="str">
        <f t="shared" si="315"/>
        <v>19100</v>
      </c>
      <c r="B8717" s="1" t="str">
        <f>"76011"</f>
        <v>76011</v>
      </c>
      <c r="C8717" s="2">
        <v>3.8204546081003501E-3</v>
      </c>
      <c r="D8717" s="2">
        <v>9.2764378478664093E-3</v>
      </c>
      <c r="E8717" s="2">
        <v>1.5103502201736599E-2</v>
      </c>
      <c r="F8717" s="2">
        <v>4.7455559976428002E-3</v>
      </c>
    </row>
    <row r="8718" spans="1:6" x14ac:dyDescent="0.25">
      <c r="A8718" s="1" t="str">
        <f t="shared" si="315"/>
        <v>19100</v>
      </c>
      <c r="B8718" s="1" t="str">
        <f>"76021"</f>
        <v>76021</v>
      </c>
      <c r="C8718" s="2">
        <v>5.2262265422771499E-3</v>
      </c>
      <c r="D8718" s="2">
        <v>3.6540689187534699E-3</v>
      </c>
      <c r="E8718" s="2">
        <v>9.4997050633084997E-3</v>
      </c>
      <c r="F8718" s="2">
        <v>5.25965333978689E-3</v>
      </c>
    </row>
    <row r="8719" spans="1:6" x14ac:dyDescent="0.25">
      <c r="A8719" s="1" t="str">
        <f t="shared" si="315"/>
        <v>19100</v>
      </c>
      <c r="B8719" s="1" t="str">
        <f>"76033"</f>
        <v>76033</v>
      </c>
      <c r="C8719" s="2">
        <v>4.2517709969955002E-3</v>
      </c>
      <c r="D8719" s="2">
        <v>5.5501665363884298E-3</v>
      </c>
      <c r="E8719" s="2">
        <v>6.3582863492324697E-3</v>
      </c>
      <c r="F8719" s="2">
        <v>4.4488562017777301E-3</v>
      </c>
    </row>
    <row r="8720" spans="1:6" x14ac:dyDescent="0.25">
      <c r="A8720" s="1" t="str">
        <f t="shared" si="315"/>
        <v>19100</v>
      </c>
      <c r="B8720" s="1" t="str">
        <f>"75007"</f>
        <v>75007</v>
      </c>
      <c r="C8720" s="2">
        <v>6.50420102789241E-3</v>
      </c>
      <c r="D8720" s="2">
        <v>3.7796382974047901E-3</v>
      </c>
      <c r="E8720" s="2">
        <v>4.8561669204494002E-3</v>
      </c>
      <c r="F8720" s="2">
        <v>6.2011624615965098E-3</v>
      </c>
    </row>
    <row r="8721" spans="1:6" x14ac:dyDescent="0.25">
      <c r="A8721" s="1" t="str">
        <f t="shared" si="315"/>
        <v>19100</v>
      </c>
      <c r="B8721" s="1" t="str">
        <f>"75009"</f>
        <v>75009</v>
      </c>
      <c r="C8721" s="2">
        <v>2.76393305418361E-3</v>
      </c>
      <c r="D8721" s="2">
        <v>1.43463015109135E-3</v>
      </c>
      <c r="E8721" s="2">
        <v>6.5846331124737604E-4</v>
      </c>
      <c r="F8721" s="2">
        <v>2.5641972219601602E-3</v>
      </c>
    </row>
    <row r="8722" spans="1:6" x14ac:dyDescent="0.25">
      <c r="A8722" s="1" t="str">
        <f t="shared" si="315"/>
        <v>19100</v>
      </c>
      <c r="B8722" s="1" t="str">
        <f>"75034"</f>
        <v>75034</v>
      </c>
      <c r="C8722" s="2">
        <v>7.40222868726962E-3</v>
      </c>
      <c r="D8722" s="2">
        <v>1.1586914415050701E-2</v>
      </c>
      <c r="E8722" s="2">
        <v>5.0756546908651903E-3</v>
      </c>
      <c r="F8722" s="2">
        <v>7.6739966556327102E-3</v>
      </c>
    </row>
    <row r="8723" spans="1:6" x14ac:dyDescent="0.25">
      <c r="A8723" s="1" t="str">
        <f t="shared" si="315"/>
        <v>19100</v>
      </c>
      <c r="B8723" s="1" t="str">
        <f>"75025"</f>
        <v>75025</v>
      </c>
      <c r="C8723" s="2">
        <v>6.2601956052712598E-3</v>
      </c>
      <c r="D8723" s="2">
        <v>2.7688047992616501E-3</v>
      </c>
      <c r="E8723" s="2">
        <v>1.5432733857360301E-3</v>
      </c>
      <c r="F8723" s="2">
        <v>5.7680081052368104E-3</v>
      </c>
    </row>
    <row r="8724" spans="1:6" x14ac:dyDescent="0.25">
      <c r="A8724" s="1" t="str">
        <f t="shared" si="315"/>
        <v>19100</v>
      </c>
      <c r="B8724" s="1" t="str">
        <f>"75027"</f>
        <v>75027</v>
      </c>
      <c r="C8724" s="2">
        <v>3.02892482252442E-4</v>
      </c>
      <c r="D8724" s="2">
        <v>2.3136158016505998E-3</v>
      </c>
      <c r="E8724" s="2">
        <v>1.3717985650986999E-5</v>
      </c>
      <c r="F8724" s="2">
        <v>4.6651599239245302E-4</v>
      </c>
    </row>
    <row r="8725" spans="1:6" x14ac:dyDescent="0.25">
      <c r="A8725" s="1" t="str">
        <f t="shared" si="315"/>
        <v>19100</v>
      </c>
      <c r="B8725" s="1" t="str">
        <f>"75033"</f>
        <v>75033</v>
      </c>
      <c r="C8725" s="2">
        <v>4.7992953599502799E-3</v>
      </c>
      <c r="D8725" s="2">
        <v>3.6477904498208999E-3</v>
      </c>
      <c r="E8725" s="2">
        <v>1.61872230681646E-3</v>
      </c>
      <c r="F8725" s="2">
        <v>4.5721848726856997E-3</v>
      </c>
    </row>
    <row r="8726" spans="1:6" x14ac:dyDescent="0.25">
      <c r="A8726" s="1" t="str">
        <f t="shared" si="315"/>
        <v>19100</v>
      </c>
      <c r="B8726" s="1" t="str">
        <f>"75313"</f>
        <v>75313</v>
      </c>
      <c r="C8726" s="2">
        <v>5.1181625232729101E-4</v>
      </c>
      <c r="D8726" s="2">
        <v>1.1112890010642001E-3</v>
      </c>
      <c r="E8726" s="2">
        <v>1.3717985650986999E-5</v>
      </c>
      <c r="F8726" s="2">
        <v>5.4417750578017595E-4</v>
      </c>
    </row>
    <row r="8727" spans="1:6" x14ac:dyDescent="0.25">
      <c r="A8727" s="1" t="str">
        <f t="shared" si="315"/>
        <v>19100</v>
      </c>
      <c r="B8727" s="1" t="str">
        <f>"76121"</f>
        <v>76121</v>
      </c>
      <c r="C8727" s="2">
        <v>5.0367229727189995E-4</v>
      </c>
      <c r="D8727" s="2">
        <v>1.0108334981431401E-3</v>
      </c>
      <c r="E8727" s="2">
        <v>1.3717985650986999E-5</v>
      </c>
      <c r="F8727" s="2">
        <v>5.2831705586296501E-4</v>
      </c>
    </row>
    <row r="8728" spans="1:6" x14ac:dyDescent="0.25">
      <c r="A8728" s="1" t="str">
        <f t="shared" si="315"/>
        <v>19100</v>
      </c>
      <c r="B8728" s="1" t="str">
        <f>"76049"</f>
        <v>76049</v>
      </c>
      <c r="C8728" s="2">
        <v>1.1244922557251999E-4</v>
      </c>
      <c r="D8728" s="2">
        <v>6.2784689325660997E-6</v>
      </c>
      <c r="E8728" s="2">
        <v>0</v>
      </c>
      <c r="F8728" s="2">
        <v>9.87176279329868E-5</v>
      </c>
    </row>
    <row r="8729" spans="1:6" x14ac:dyDescent="0.25">
      <c r="A8729" s="1" t="str">
        <f t="shared" si="315"/>
        <v>19100</v>
      </c>
      <c r="B8729" s="1" t="str">
        <f>"75016"</f>
        <v>75016</v>
      </c>
      <c r="C8729" s="2">
        <v>6.3303589103638703E-4</v>
      </c>
      <c r="D8729" s="2">
        <v>1.1144282355304801E-3</v>
      </c>
      <c r="E8729" s="2">
        <v>1.3717985650986999E-5</v>
      </c>
      <c r="F8729" s="2">
        <v>6.5027844660565796E-4</v>
      </c>
    </row>
    <row r="8730" spans="1:6" x14ac:dyDescent="0.25">
      <c r="A8730" s="1" t="str">
        <f t="shared" si="315"/>
        <v>19100</v>
      </c>
      <c r="B8730" s="1" t="str">
        <f>"75185"</f>
        <v>75185</v>
      </c>
      <c r="C8730" s="2">
        <v>4.86444700039341E-4</v>
      </c>
      <c r="D8730" s="2">
        <v>1.7391358943208101E-3</v>
      </c>
      <c r="E8730" s="2">
        <v>1.3717985650986999E-5</v>
      </c>
      <c r="F8730" s="2">
        <v>5.7671877371376498E-4</v>
      </c>
    </row>
    <row r="8731" spans="1:6" x14ac:dyDescent="0.25">
      <c r="A8731" s="1" t="str">
        <f t="shared" si="315"/>
        <v>19100</v>
      </c>
      <c r="B8731" s="1" t="str">
        <f>"75085"</f>
        <v>75085</v>
      </c>
      <c r="C8731" s="2">
        <v>3.4298579944821501E-4</v>
      </c>
      <c r="D8731" s="2">
        <v>1.50997177828214E-3</v>
      </c>
      <c r="E8731" s="2">
        <v>1.3717985650986999E-5</v>
      </c>
      <c r="F8731" s="2">
        <v>4.3151362016136601E-4</v>
      </c>
    </row>
    <row r="8732" spans="1:6" x14ac:dyDescent="0.25">
      <c r="A8732" s="1" t="str">
        <f t="shared" si="315"/>
        <v>19100</v>
      </c>
      <c r="B8732" s="1" t="str">
        <f>"75160"</f>
        <v>75160</v>
      </c>
      <c r="C8732" s="2">
        <v>3.5827137662910401E-3</v>
      </c>
      <c r="D8732" s="2">
        <v>4.6743201202954603E-3</v>
      </c>
      <c r="E8732" s="2">
        <v>1.9273769839636701E-3</v>
      </c>
      <c r="F8732" s="2">
        <v>3.61180728459526E-3</v>
      </c>
    </row>
    <row r="8733" spans="1:6" x14ac:dyDescent="0.25">
      <c r="A8733" s="1" t="str">
        <f t="shared" si="315"/>
        <v>19100</v>
      </c>
      <c r="B8733" s="1" t="str">
        <f>"75161"</f>
        <v>75161</v>
      </c>
      <c r="C8733" s="2">
        <v>9.6036023845500395E-4</v>
      </c>
      <c r="D8733" s="2">
        <v>2.6369569516777598E-4</v>
      </c>
      <c r="E8733" s="2">
        <v>4.1153956952961003E-5</v>
      </c>
      <c r="F8733" s="2">
        <v>8.6302724032273203E-4</v>
      </c>
    </row>
    <row r="8734" spans="1:6" x14ac:dyDescent="0.25">
      <c r="A8734" s="1" t="str">
        <f t="shared" si="315"/>
        <v>19100</v>
      </c>
      <c r="B8734" s="1" t="str">
        <f>"75168"</f>
        <v>75168</v>
      </c>
      <c r="C8734" s="2">
        <v>2.6655791354377302E-4</v>
      </c>
      <c r="D8734" s="2">
        <v>1.4126555098273701E-3</v>
      </c>
      <c r="E8734" s="2">
        <v>1.3717985650986999E-5</v>
      </c>
      <c r="F8734" s="2">
        <v>3.5631321107113998E-4</v>
      </c>
    </row>
    <row r="8735" spans="1:6" x14ac:dyDescent="0.25">
      <c r="A8735" s="1" t="str">
        <f t="shared" si="315"/>
        <v>19100</v>
      </c>
      <c r="B8735" s="1" t="str">
        <f>"75241"</f>
        <v>75241</v>
      </c>
      <c r="C8735" s="2">
        <v>4.0603880531937999E-3</v>
      </c>
      <c r="D8735" s="2">
        <v>1.9557430724943402E-3</v>
      </c>
      <c r="E8735" s="2">
        <v>3.7587280683704402E-3</v>
      </c>
      <c r="F8735" s="2">
        <v>3.8650275712045299E-3</v>
      </c>
    </row>
    <row r="8736" spans="1:6" x14ac:dyDescent="0.25">
      <c r="A8736" s="1" t="str">
        <f t="shared" si="315"/>
        <v>19100</v>
      </c>
      <c r="B8736" s="1" t="str">
        <f>"75409"</f>
        <v>75409</v>
      </c>
      <c r="C8736" s="2">
        <v>2.3188345875024101E-3</v>
      </c>
      <c r="D8736" s="2">
        <v>6.1215072092519497E-4</v>
      </c>
      <c r="E8736" s="2">
        <v>7.5448921080428495E-4</v>
      </c>
      <c r="F8736" s="2">
        <v>2.1077991027907499E-3</v>
      </c>
    </row>
    <row r="8737" spans="1:6" x14ac:dyDescent="0.25">
      <c r="A8737" s="1" t="str">
        <f t="shared" ref="A8737:A8800" si="316">"19100"</f>
        <v>19100</v>
      </c>
      <c r="B8737" s="1" t="str">
        <f>"76115"</f>
        <v>76115</v>
      </c>
      <c r="C8737" s="2">
        <v>2.47826816916372E-3</v>
      </c>
      <c r="D8737" s="2">
        <v>3.45943638184392E-3</v>
      </c>
      <c r="E8737" s="2">
        <v>3.7861640396724102E-3</v>
      </c>
      <c r="F8737" s="2">
        <v>2.6158804122076201E-3</v>
      </c>
    </row>
    <row r="8738" spans="1:6" x14ac:dyDescent="0.25">
      <c r="A8738" s="1" t="str">
        <f t="shared" si="316"/>
        <v>19100</v>
      </c>
      <c r="B8738" s="1" t="str">
        <f>"76124"</f>
        <v>76124</v>
      </c>
      <c r="C8738" s="2">
        <v>4.31629617935745E-4</v>
      </c>
      <c r="D8738" s="2">
        <v>1.63240192246718E-3</v>
      </c>
      <c r="E8738" s="2">
        <v>1.3717985650986999E-5</v>
      </c>
      <c r="F8738" s="2">
        <v>5.1956646280519397E-4</v>
      </c>
    </row>
    <row r="8739" spans="1:6" x14ac:dyDescent="0.25">
      <c r="A8739" s="1" t="str">
        <f t="shared" si="316"/>
        <v>19100</v>
      </c>
      <c r="B8739" s="1" t="str">
        <f>"76137"</f>
        <v>76137</v>
      </c>
      <c r="C8739" s="2">
        <v>7.0927583951647397E-3</v>
      </c>
      <c r="D8739" s="2">
        <v>3.2805000172657799E-3</v>
      </c>
      <c r="E8739" s="2">
        <v>5.2059755545495598E-3</v>
      </c>
      <c r="F8739" s="2">
        <v>6.6854530961375702E-3</v>
      </c>
    </row>
    <row r="8740" spans="1:6" x14ac:dyDescent="0.25">
      <c r="A8740" s="1" t="str">
        <f t="shared" si="316"/>
        <v>19100</v>
      </c>
      <c r="B8740" s="1" t="str">
        <f>"75094"</f>
        <v>75094</v>
      </c>
      <c r="C8740" s="2">
        <v>2.4651125494588601E-3</v>
      </c>
      <c r="D8740" s="2">
        <v>2.1503756094038901E-3</v>
      </c>
      <c r="E8740" s="2">
        <v>6.10450361468921E-4</v>
      </c>
      <c r="F8740" s="2">
        <v>2.3637539497305699E-3</v>
      </c>
    </row>
    <row r="8741" spans="1:6" x14ac:dyDescent="0.25">
      <c r="A8741" s="1" t="str">
        <f t="shared" si="316"/>
        <v>19100</v>
      </c>
      <c r="B8741" s="1" t="str">
        <f>"75098"</f>
        <v>75098</v>
      </c>
      <c r="C8741" s="2">
        <v>7.62368161896814E-3</v>
      </c>
      <c r="D8741" s="2">
        <v>4.9348765809969497E-3</v>
      </c>
      <c r="E8741" s="2">
        <v>2.9287899364857199E-3</v>
      </c>
      <c r="F8741" s="2">
        <v>7.2022849986122101E-3</v>
      </c>
    </row>
    <row r="8742" spans="1:6" x14ac:dyDescent="0.25">
      <c r="A8742" s="1" t="str">
        <f t="shared" si="316"/>
        <v>19100</v>
      </c>
      <c r="B8742" s="1" t="str">
        <f>"75035"</f>
        <v>75035</v>
      </c>
      <c r="C8742" s="2">
        <v>8.6639152627741006E-3</v>
      </c>
      <c r="D8742" s="2">
        <v>3.0168043220980098E-3</v>
      </c>
      <c r="E8742" s="2">
        <v>1.1523107946828999E-3</v>
      </c>
      <c r="F8742" s="2">
        <v>7.8725257356309104E-3</v>
      </c>
    </row>
    <row r="8743" spans="1:6" x14ac:dyDescent="0.25">
      <c r="A8743" s="1" t="str">
        <f t="shared" si="316"/>
        <v>19100</v>
      </c>
      <c r="B8743" s="1" t="str">
        <f>"75053"</f>
        <v>75053</v>
      </c>
      <c r="C8743" s="2">
        <v>7.6803760753152905E-4</v>
      </c>
      <c r="D8743" s="2">
        <v>1.65751579819745E-3</v>
      </c>
      <c r="E8743" s="2">
        <v>2.7435971301973998E-5</v>
      </c>
      <c r="F8743" s="2">
        <v>8.1599280263720895E-4</v>
      </c>
    </row>
    <row r="8744" spans="1:6" x14ac:dyDescent="0.25">
      <c r="A8744" s="1" t="str">
        <f t="shared" si="316"/>
        <v>19100</v>
      </c>
      <c r="B8744" s="1" t="str">
        <f>"75056"</f>
        <v>75056</v>
      </c>
      <c r="C8744" s="2">
        <v>8.9201366179783408E-3</v>
      </c>
      <c r="D8744" s="2">
        <v>4.5675861484418398E-3</v>
      </c>
      <c r="E8744" s="2">
        <v>4.5269352648257101E-3</v>
      </c>
      <c r="F8744" s="2">
        <v>8.3658404192627801E-3</v>
      </c>
    </row>
    <row r="8745" spans="1:6" x14ac:dyDescent="0.25">
      <c r="A8745" s="1" t="str">
        <f t="shared" si="316"/>
        <v>19100</v>
      </c>
      <c r="B8745" s="1" t="str">
        <f>"75054"</f>
        <v>75054</v>
      </c>
      <c r="C8745" s="2">
        <v>2.0056055469104299E-3</v>
      </c>
      <c r="D8745" s="2">
        <v>1.55392106081011E-3</v>
      </c>
      <c r="E8745" s="2">
        <v>4.2525755518059698E-4</v>
      </c>
      <c r="F8745" s="2">
        <v>1.90325399006534E-3</v>
      </c>
    </row>
    <row r="8746" spans="1:6" x14ac:dyDescent="0.25">
      <c r="A8746" s="1" t="str">
        <f t="shared" si="316"/>
        <v>19100</v>
      </c>
      <c r="B8746" s="1" t="str">
        <f>"76111"</f>
        <v>76111</v>
      </c>
      <c r="C8746" s="2">
        <v>2.68155381650792E-3</v>
      </c>
      <c r="D8746" s="2">
        <v>4.6994339960257196E-3</v>
      </c>
      <c r="E8746" s="2">
        <v>4.0330877813901803E-3</v>
      </c>
      <c r="F8746" s="2">
        <v>2.91121292790741E-3</v>
      </c>
    </row>
    <row r="8747" spans="1:6" x14ac:dyDescent="0.25">
      <c r="A8747" s="1" t="str">
        <f t="shared" si="316"/>
        <v>19100</v>
      </c>
      <c r="B8747" s="1" t="str">
        <f>"76180"</f>
        <v>76180</v>
      </c>
      <c r="C8747" s="2">
        <v>5.1263064783283003E-3</v>
      </c>
      <c r="D8747" s="2">
        <v>4.9317373465306699E-3</v>
      </c>
      <c r="E8747" s="2">
        <v>1.43078590339794E-2</v>
      </c>
      <c r="F8747" s="2">
        <v>5.4754101498675697E-3</v>
      </c>
    </row>
    <row r="8748" spans="1:6" x14ac:dyDescent="0.25">
      <c r="A8748" s="1" t="str">
        <f t="shared" si="316"/>
        <v>19100</v>
      </c>
      <c r="B8748" s="1" t="str">
        <f>"76127"</f>
        <v>76127</v>
      </c>
      <c r="C8748" s="2">
        <v>2.0046658597886501E-5</v>
      </c>
      <c r="D8748" s="2">
        <v>6.2784689325661006E-5</v>
      </c>
      <c r="E8748" s="2">
        <v>3.2237266279819401E-4</v>
      </c>
      <c r="F8748" s="2">
        <v>3.5822740330252801E-5</v>
      </c>
    </row>
    <row r="8749" spans="1:6" x14ac:dyDescent="0.25">
      <c r="A8749" s="1" t="str">
        <f t="shared" si="316"/>
        <v>19100</v>
      </c>
      <c r="B8749" s="1" t="str">
        <f>"76063"</f>
        <v>76063</v>
      </c>
      <c r="C8749" s="2">
        <v>8.8913195462438799E-3</v>
      </c>
      <c r="D8749" s="2">
        <v>9.2230708619395994E-3</v>
      </c>
      <c r="E8749" s="2">
        <v>4.4514863437452798E-3</v>
      </c>
      <c r="F8749" s="2">
        <v>8.7432097448791896E-3</v>
      </c>
    </row>
    <row r="8750" spans="1:6" x14ac:dyDescent="0.25">
      <c r="A8750" s="1" t="str">
        <f t="shared" si="316"/>
        <v>19100</v>
      </c>
      <c r="B8750" s="1" t="str">
        <f>"76066"</f>
        <v>76066</v>
      </c>
      <c r="C8750" s="2">
        <v>5.0398552631249205E-4</v>
      </c>
      <c r="D8750" s="2">
        <v>2.3544258497122799E-4</v>
      </c>
      <c r="E8750" s="2">
        <v>9.6025899556909E-5</v>
      </c>
      <c r="F8750" s="2">
        <v>4.6432834412801001E-4</v>
      </c>
    </row>
    <row r="8751" spans="1:6" x14ac:dyDescent="0.25">
      <c r="A8751" s="1" t="str">
        <f t="shared" si="316"/>
        <v>19100</v>
      </c>
      <c r="B8751" s="1" t="str">
        <f>"76067"</f>
        <v>76067</v>
      </c>
      <c r="C8751" s="2">
        <v>5.1996020738268302E-5</v>
      </c>
      <c r="D8751" s="2">
        <v>2.5427799176892698E-4</v>
      </c>
      <c r="E8751" s="2">
        <v>6.8589928254934998E-5</v>
      </c>
      <c r="F8751" s="2">
        <v>7.0278200495228798E-5</v>
      </c>
    </row>
    <row r="8752" spans="1:6" x14ac:dyDescent="0.25">
      <c r="A8752" s="1" t="str">
        <f t="shared" si="316"/>
        <v>19100</v>
      </c>
      <c r="B8752" s="1" t="str">
        <f>"76078"</f>
        <v>76078</v>
      </c>
      <c r="C8752" s="2">
        <v>1.1833793153564901E-3</v>
      </c>
      <c r="D8752" s="2">
        <v>4.6146746654360802E-4</v>
      </c>
      <c r="E8752" s="2">
        <v>2.46923741717766E-4</v>
      </c>
      <c r="F8752" s="2">
        <v>1.0831593469322999E-3</v>
      </c>
    </row>
    <row r="8753" spans="1:6" x14ac:dyDescent="0.25">
      <c r="A8753" s="1" t="str">
        <f t="shared" si="316"/>
        <v>19100</v>
      </c>
      <c r="B8753" s="1" t="str">
        <f>"76036"</f>
        <v>76036</v>
      </c>
      <c r="C8753" s="2">
        <v>3.7925772234876599E-3</v>
      </c>
      <c r="D8753" s="2">
        <v>2.1064263268759202E-3</v>
      </c>
      <c r="E8753" s="2">
        <v>1.5501323785615301E-3</v>
      </c>
      <c r="F8753" s="2">
        <v>3.5562957098850198E-3</v>
      </c>
    </row>
    <row r="8754" spans="1:6" x14ac:dyDescent="0.25">
      <c r="A8754" s="1" t="str">
        <f t="shared" si="316"/>
        <v>19100</v>
      </c>
      <c r="B8754" s="1" t="str">
        <f>"76084"</f>
        <v>76084</v>
      </c>
      <c r="C8754" s="2">
        <v>1.1930894156148399E-3</v>
      </c>
      <c r="D8754" s="2">
        <v>2.98227274296889E-4</v>
      </c>
      <c r="E8754" s="2">
        <v>3.0865467714720702E-4</v>
      </c>
      <c r="F8754" s="2">
        <v>1.07987787453563E-3</v>
      </c>
    </row>
    <row r="8755" spans="1:6" x14ac:dyDescent="0.25">
      <c r="A8755" s="1" t="str">
        <f t="shared" si="316"/>
        <v>19100</v>
      </c>
      <c r="B8755" s="1" t="str">
        <f>"76053"</f>
        <v>76053</v>
      </c>
      <c r="C8755" s="2">
        <v>4.4459730021625303E-3</v>
      </c>
      <c r="D8755" s="2">
        <v>6.2125450087741601E-3</v>
      </c>
      <c r="E8755" s="2">
        <v>5.71354102363608E-3</v>
      </c>
      <c r="F8755" s="2">
        <v>4.65039329813954E-3</v>
      </c>
    </row>
    <row r="8756" spans="1:6" x14ac:dyDescent="0.25">
      <c r="A8756" s="1" t="str">
        <f t="shared" si="316"/>
        <v>19100</v>
      </c>
      <c r="B8756" s="1" t="str">
        <f>"76073"</f>
        <v>76073</v>
      </c>
      <c r="C8756" s="2">
        <v>7.8777103708882403E-4</v>
      </c>
      <c r="D8756" s="2">
        <v>1.4126555098273701E-4</v>
      </c>
      <c r="E8756" s="2">
        <v>4.80129497784545E-5</v>
      </c>
      <c r="F8756" s="2">
        <v>7.0196163685312197E-4</v>
      </c>
    </row>
    <row r="8757" spans="1:6" x14ac:dyDescent="0.25">
      <c r="A8757" s="1" t="str">
        <f t="shared" si="316"/>
        <v>19100</v>
      </c>
      <c r="B8757" s="1" t="str">
        <f>"76209"</f>
        <v>76209</v>
      </c>
      <c r="C8757" s="2">
        <v>3.6184218769185201E-3</v>
      </c>
      <c r="D8757" s="2">
        <v>1.2399976141818001E-3</v>
      </c>
      <c r="E8757" s="2">
        <v>3.6764201544645099E-3</v>
      </c>
      <c r="F8757" s="2">
        <v>3.41355166063012E-3</v>
      </c>
    </row>
    <row r="8758" spans="1:6" x14ac:dyDescent="0.25">
      <c r="A8758" s="1" t="str">
        <f t="shared" si="316"/>
        <v>19100</v>
      </c>
      <c r="B8758" s="1" t="str">
        <f>"76182"</f>
        <v>76182</v>
      </c>
      <c r="C8758" s="2">
        <v>4.2445667290618898E-3</v>
      </c>
      <c r="D8758" s="2">
        <v>2.9508803983060599E-3</v>
      </c>
      <c r="E8758" s="2">
        <v>1.09743885207896E-3</v>
      </c>
      <c r="F8758" s="2">
        <v>4.0064043402941504E-3</v>
      </c>
    </row>
    <row r="8759" spans="1:6" x14ac:dyDescent="0.25">
      <c r="A8759" s="1" t="str">
        <f t="shared" si="316"/>
        <v>19100</v>
      </c>
      <c r="B8759" s="1" t="str">
        <f>"76247"</f>
        <v>76247</v>
      </c>
      <c r="C8759" s="2">
        <v>1.76504564373579E-3</v>
      </c>
      <c r="D8759" s="2">
        <v>5.9645454859377897E-4</v>
      </c>
      <c r="E8759" s="2">
        <v>2.5378273454325899E-4</v>
      </c>
      <c r="F8759" s="2">
        <v>1.60299926577055E-3</v>
      </c>
    </row>
    <row r="8760" spans="1:6" x14ac:dyDescent="0.25">
      <c r="A8760" s="1" t="str">
        <f t="shared" si="316"/>
        <v>19100</v>
      </c>
      <c r="B8760" s="1" t="str">
        <f>"76262"</f>
        <v>76262</v>
      </c>
      <c r="C8760" s="2">
        <v>5.4194888603224002E-3</v>
      </c>
      <c r="D8760" s="2">
        <v>4.5613076795092697E-3</v>
      </c>
      <c r="E8760" s="2">
        <v>1.8793640341852201E-3</v>
      </c>
      <c r="F8760" s="2">
        <v>5.2035948530105404E-3</v>
      </c>
    </row>
    <row r="8761" spans="1:6" x14ac:dyDescent="0.25">
      <c r="A8761" s="1" t="str">
        <f t="shared" si="316"/>
        <v>19100</v>
      </c>
      <c r="B8761" s="1" t="str">
        <f>"76259"</f>
        <v>76259</v>
      </c>
      <c r="C8761" s="2">
        <v>6.7563504055689601E-4</v>
      </c>
      <c r="D8761" s="2">
        <v>2.66834929634059E-4</v>
      </c>
      <c r="E8761" s="2">
        <v>7.8878417493175295E-4</v>
      </c>
      <c r="F8761" s="2">
        <v>6.4453586991149495E-4</v>
      </c>
    </row>
    <row r="8762" spans="1:6" x14ac:dyDescent="0.25">
      <c r="A8762" s="1" t="str">
        <f t="shared" si="316"/>
        <v>19100</v>
      </c>
      <c r="B8762" s="1" t="str">
        <f>"76010"</f>
        <v>76010</v>
      </c>
      <c r="C8762" s="2">
        <v>6.68963261992287E-3</v>
      </c>
      <c r="D8762" s="2">
        <v>6.0367478786623003E-3</v>
      </c>
      <c r="E8762" s="2">
        <v>1.82654978942892E-2</v>
      </c>
      <c r="F8762" s="2">
        <v>7.0942698655553403E-3</v>
      </c>
    </row>
    <row r="8763" spans="1:6" x14ac:dyDescent="0.25">
      <c r="A8763" s="1" t="str">
        <f t="shared" si="316"/>
        <v>19100</v>
      </c>
      <c r="B8763" s="1" t="str">
        <f>"76013"</f>
        <v>76013</v>
      </c>
      <c r="C8763" s="2">
        <v>4.6787021793223702E-3</v>
      </c>
      <c r="D8763" s="2">
        <v>6.40089907675114E-3</v>
      </c>
      <c r="E8763" s="2">
        <v>9.6848978695968195E-3</v>
      </c>
      <c r="F8763" s="2">
        <v>5.0283095358220498E-3</v>
      </c>
    </row>
    <row r="8764" spans="1:6" x14ac:dyDescent="0.25">
      <c r="A8764" s="1" t="str">
        <f t="shared" si="316"/>
        <v>19100</v>
      </c>
      <c r="B8764" s="1" t="str">
        <f>"75202"</f>
        <v>75202</v>
      </c>
      <c r="C8764" s="2">
        <v>6.5621484004019302E-4</v>
      </c>
      <c r="D8764" s="2">
        <v>4.3038904532740601E-3</v>
      </c>
      <c r="E8764" s="2">
        <v>1.4678244646556E-3</v>
      </c>
      <c r="F8764" s="2">
        <v>1.0063182016437401E-3</v>
      </c>
    </row>
    <row r="8765" spans="1:6" x14ac:dyDescent="0.25">
      <c r="A8765" s="1" t="str">
        <f t="shared" si="316"/>
        <v>19100</v>
      </c>
      <c r="B8765" s="1" t="str">
        <f>"75212"</f>
        <v>75212</v>
      </c>
      <c r="C8765" s="2">
        <v>2.8059057456229302E-3</v>
      </c>
      <c r="D8765" s="2">
        <v>3.3935124580519701E-3</v>
      </c>
      <c r="E8765" s="2">
        <v>1.25519568706531E-3</v>
      </c>
      <c r="F8765" s="2">
        <v>2.7952675698919402E-3</v>
      </c>
    </row>
    <row r="8766" spans="1:6" x14ac:dyDescent="0.25">
      <c r="A8766" s="1" t="str">
        <f t="shared" si="316"/>
        <v>19100</v>
      </c>
      <c r="B8766" s="1" t="str">
        <f>"75189"</f>
        <v>75189</v>
      </c>
      <c r="C8766" s="2">
        <v>4.5571693115726798E-3</v>
      </c>
      <c r="D8766" s="2">
        <v>2.43290671136936E-3</v>
      </c>
      <c r="E8766" s="2">
        <v>4.8698849061003799E-4</v>
      </c>
      <c r="F8766" s="2">
        <v>4.20985562888734E-3</v>
      </c>
    </row>
    <row r="8767" spans="1:6" x14ac:dyDescent="0.25">
      <c r="A8767" s="1" t="str">
        <f t="shared" si="316"/>
        <v>19100</v>
      </c>
      <c r="B8767" s="1" t="str">
        <f>"75116"</f>
        <v>75116</v>
      </c>
      <c r="C8767" s="2">
        <v>2.2154690041070501E-3</v>
      </c>
      <c r="D8767" s="2">
        <v>3.4625756163102002E-3</v>
      </c>
      <c r="E8767" s="2">
        <v>3.53924029795464E-3</v>
      </c>
      <c r="F8767" s="2">
        <v>2.37687983931723E-3</v>
      </c>
    </row>
    <row r="8768" spans="1:6" x14ac:dyDescent="0.25">
      <c r="A8768" s="1" t="str">
        <f t="shared" si="316"/>
        <v>19100</v>
      </c>
      <c r="B8768" s="1" t="str">
        <f>"75135"</f>
        <v>75135</v>
      </c>
      <c r="C8768" s="2">
        <v>8.9677474321483205E-4</v>
      </c>
      <c r="D8768" s="2">
        <v>4.9913828013900497E-4</v>
      </c>
      <c r="E8768" s="2">
        <v>1.7147482063733699E-4</v>
      </c>
      <c r="F8768" s="2">
        <v>8.3322053271969699E-4</v>
      </c>
    </row>
    <row r="8769" spans="1:6" x14ac:dyDescent="0.25">
      <c r="A8769" s="1" t="str">
        <f t="shared" si="316"/>
        <v>19100</v>
      </c>
      <c r="B8769" s="1" t="str">
        <f>"75143"</f>
        <v>75143</v>
      </c>
      <c r="C8769" s="2">
        <v>1.03365583395352E-3</v>
      </c>
      <c r="D8769" s="2">
        <v>3.8612583935281497E-4</v>
      </c>
      <c r="E8769" s="2">
        <v>1.44038849335363E-4</v>
      </c>
      <c r="F8769" s="2">
        <v>9.4178257784267795E-4</v>
      </c>
    </row>
    <row r="8770" spans="1:6" x14ac:dyDescent="0.25">
      <c r="A8770" s="1" t="str">
        <f t="shared" si="316"/>
        <v>19100</v>
      </c>
      <c r="B8770" s="1" t="str">
        <f>"75104"</f>
        <v>75104</v>
      </c>
      <c r="C8770" s="2">
        <v>5.5742240063748304E-3</v>
      </c>
      <c r="D8770" s="2">
        <v>3.6634866221523202E-3</v>
      </c>
      <c r="E8770" s="2">
        <v>2.2771856180638398E-3</v>
      </c>
      <c r="F8770" s="2">
        <v>5.2763341578032702E-3</v>
      </c>
    </row>
    <row r="8771" spans="1:6" x14ac:dyDescent="0.25">
      <c r="A8771" s="1" t="str">
        <f t="shared" si="316"/>
        <v>19100</v>
      </c>
      <c r="B8771" s="1" t="str">
        <f>"75158"</f>
        <v>75158</v>
      </c>
      <c r="C8771" s="2">
        <v>6.56841298121377E-4</v>
      </c>
      <c r="D8771" s="2">
        <v>9.7316268454774606E-5</v>
      </c>
      <c r="E8771" s="2">
        <v>7.5448921080428495E-5</v>
      </c>
      <c r="F8771" s="2">
        <v>5.8492245470542596E-4</v>
      </c>
    </row>
    <row r="8772" spans="1:6" x14ac:dyDescent="0.25">
      <c r="A8772" s="1" t="str">
        <f t="shared" si="316"/>
        <v>19100</v>
      </c>
      <c r="B8772" s="1" t="str">
        <f>"75164"</f>
        <v>75164</v>
      </c>
      <c r="C8772" s="2">
        <v>0</v>
      </c>
      <c r="D8772" s="2">
        <v>3.1392344662830499E-6</v>
      </c>
      <c r="E8772" s="2">
        <v>0</v>
      </c>
      <c r="F8772" s="2">
        <v>2.7345603305536501E-7</v>
      </c>
    </row>
    <row r="8773" spans="1:6" x14ac:dyDescent="0.25">
      <c r="A8773" s="1" t="str">
        <f t="shared" si="316"/>
        <v>19100</v>
      </c>
      <c r="B8773" s="1" t="str">
        <f>"76199"</f>
        <v>76199</v>
      </c>
      <c r="C8773" s="2">
        <v>0</v>
      </c>
      <c r="D8773" s="2">
        <v>3.1392344662830499E-6</v>
      </c>
      <c r="E8773" s="2">
        <v>0</v>
      </c>
      <c r="F8773" s="2">
        <v>2.7345603305536501E-7</v>
      </c>
    </row>
    <row r="8774" spans="1:6" x14ac:dyDescent="0.25">
      <c r="A8774" s="1" t="str">
        <f t="shared" si="316"/>
        <v>19100</v>
      </c>
      <c r="B8774" s="1" t="str">
        <f>"75099"</f>
        <v>75099</v>
      </c>
      <c r="C8774" s="2">
        <v>0</v>
      </c>
      <c r="D8774" s="2">
        <v>3.1392344662830499E-6</v>
      </c>
      <c r="E8774" s="2">
        <v>0</v>
      </c>
      <c r="F8774" s="2">
        <v>2.7345603305536501E-7</v>
      </c>
    </row>
    <row r="8775" spans="1:6" x14ac:dyDescent="0.25">
      <c r="A8775" s="1" t="str">
        <f t="shared" si="316"/>
        <v>19100</v>
      </c>
      <c r="B8775" s="1" t="str">
        <f>"76195"</f>
        <v>76195</v>
      </c>
      <c r="C8775" s="2">
        <v>0</v>
      </c>
      <c r="D8775" s="2">
        <v>3.1392344662830499E-6</v>
      </c>
      <c r="E8775" s="2">
        <v>0</v>
      </c>
      <c r="F8775" s="2">
        <v>2.7345603305536501E-7</v>
      </c>
    </row>
    <row r="8776" spans="1:6" x14ac:dyDescent="0.25">
      <c r="A8776" s="1" t="str">
        <f t="shared" si="316"/>
        <v>19100</v>
      </c>
      <c r="B8776" s="1" t="str">
        <f>"75448"</f>
        <v>75448</v>
      </c>
      <c r="C8776" s="2">
        <v>1.2529161623679099E-6</v>
      </c>
      <c r="D8776" s="2">
        <v>0</v>
      </c>
      <c r="E8776" s="2">
        <v>0</v>
      </c>
      <c r="F8776" s="2">
        <v>1.09382413222146E-6</v>
      </c>
    </row>
    <row r="8777" spans="1:6" x14ac:dyDescent="0.25">
      <c r="A8777" s="1" t="str">
        <f t="shared" si="316"/>
        <v>19100</v>
      </c>
      <c r="B8777" s="1" t="str">
        <f>"76191"</f>
        <v>76191</v>
      </c>
      <c r="C8777" s="2">
        <v>0</v>
      </c>
      <c r="D8777" s="2">
        <v>3.1392344662830499E-6</v>
      </c>
      <c r="E8777" s="2">
        <v>0</v>
      </c>
      <c r="F8777" s="2">
        <v>2.7345603305536501E-7</v>
      </c>
    </row>
    <row r="8778" spans="1:6" x14ac:dyDescent="0.25">
      <c r="A8778" s="1" t="str">
        <f t="shared" si="316"/>
        <v>19100</v>
      </c>
      <c r="B8778" s="1" t="str">
        <f>"76019"</f>
        <v>76019</v>
      </c>
      <c r="C8778" s="2">
        <v>0</v>
      </c>
      <c r="D8778" s="2">
        <v>9.4177033988491508E-6</v>
      </c>
      <c r="E8778" s="2">
        <v>0</v>
      </c>
      <c r="F8778" s="2">
        <v>8.2036809916609503E-7</v>
      </c>
    </row>
    <row r="8779" spans="1:6" x14ac:dyDescent="0.25">
      <c r="A8779" s="1" t="str">
        <f t="shared" si="316"/>
        <v>19100</v>
      </c>
      <c r="B8779" s="1" t="str">
        <f>"76272"</f>
        <v>76272</v>
      </c>
      <c r="C8779" s="2">
        <v>1.00233292989432E-5</v>
      </c>
      <c r="D8779" s="2">
        <v>0</v>
      </c>
      <c r="E8779" s="2">
        <v>0</v>
      </c>
      <c r="F8779" s="2">
        <v>8.7505930577716803E-6</v>
      </c>
    </row>
    <row r="8780" spans="1:6" x14ac:dyDescent="0.25">
      <c r="A8780" s="1" t="str">
        <f t="shared" si="316"/>
        <v>19100</v>
      </c>
      <c r="B8780" s="1" t="str">
        <f>"75371"</f>
        <v>75371</v>
      </c>
      <c r="C8780" s="2">
        <v>3.5081652546301497E-5</v>
      </c>
      <c r="D8780" s="2">
        <v>6.2784689325661006E-5</v>
      </c>
      <c r="E8780" s="2">
        <v>1.3717985650986999E-5</v>
      </c>
      <c r="F8780" s="2">
        <v>3.6643108429418901E-5</v>
      </c>
    </row>
    <row r="8781" spans="1:6" x14ac:dyDescent="0.25">
      <c r="A8781" s="1" t="str">
        <f t="shared" si="316"/>
        <v>19100</v>
      </c>
      <c r="B8781" s="1" t="str">
        <f>"76670"</f>
        <v>76670</v>
      </c>
      <c r="C8781" s="2">
        <v>8.8330589446937701E-5</v>
      </c>
      <c r="D8781" s="2">
        <v>1.5696172331415201E-5</v>
      </c>
      <c r="E8781" s="2">
        <v>6.8589928254934996E-6</v>
      </c>
      <c r="F8781" s="2">
        <v>7.8755337519945099E-5</v>
      </c>
    </row>
    <row r="8782" spans="1:6" x14ac:dyDescent="0.25">
      <c r="A8782" s="1" t="str">
        <f t="shared" si="316"/>
        <v>19100</v>
      </c>
      <c r="B8782" s="1" t="str">
        <f>"75118"</f>
        <v>75118</v>
      </c>
      <c r="C8782" s="2">
        <v>0</v>
      </c>
      <c r="D8782" s="2">
        <v>0</v>
      </c>
      <c r="E8782" s="2">
        <v>6.8589928254934996E-6</v>
      </c>
      <c r="F8782" s="2">
        <v>2.7345603305536501E-7</v>
      </c>
    </row>
    <row r="8783" spans="1:6" x14ac:dyDescent="0.25">
      <c r="A8783" s="1" t="str">
        <f t="shared" si="316"/>
        <v>19100</v>
      </c>
      <c r="B8783" s="1" t="str">
        <f>"76439"</f>
        <v>76439</v>
      </c>
      <c r="C8783" s="2">
        <v>0</v>
      </c>
      <c r="D8783" s="2">
        <v>0</v>
      </c>
      <c r="E8783" s="2">
        <v>6.8589928254934996E-6</v>
      </c>
      <c r="F8783" s="2">
        <v>2.7345603305536501E-7</v>
      </c>
    </row>
    <row r="8784" spans="1:6" x14ac:dyDescent="0.25">
      <c r="A8784" s="1" t="str">
        <f t="shared" si="316"/>
        <v>19100</v>
      </c>
      <c r="B8784" s="1" t="str">
        <f>"76462"</f>
        <v>76462</v>
      </c>
      <c r="C8784" s="2">
        <v>1.4502504579408501E-4</v>
      </c>
      <c r="D8784" s="2">
        <v>1.2556937865132199E-5</v>
      </c>
      <c r="E8784" s="2">
        <v>0</v>
      </c>
      <c r="F8784" s="2">
        <v>1.27703967436855E-4</v>
      </c>
    </row>
    <row r="8785" spans="1:6" x14ac:dyDescent="0.25">
      <c r="A8785" s="1" t="str">
        <f t="shared" si="316"/>
        <v>19100</v>
      </c>
      <c r="B8785" s="1" t="str">
        <f>"75210"</f>
        <v>75210</v>
      </c>
      <c r="C8785" s="2">
        <v>1.14641828856663E-3</v>
      </c>
      <c r="D8785" s="2">
        <v>1.12698517339561E-3</v>
      </c>
      <c r="E8785" s="2">
        <v>2.4349424530501901E-3</v>
      </c>
      <c r="F8785" s="2">
        <v>1.19609668858416E-3</v>
      </c>
    </row>
    <row r="8786" spans="1:6" x14ac:dyDescent="0.25">
      <c r="A8786" s="1" t="str">
        <f t="shared" si="316"/>
        <v>19100</v>
      </c>
      <c r="B8786" s="1" t="str">
        <f>"75180"</f>
        <v>75180</v>
      </c>
      <c r="C8786" s="2">
        <v>2.8860923800144802E-3</v>
      </c>
      <c r="D8786" s="2">
        <v>2.46115982156591E-3</v>
      </c>
      <c r="E8786" s="2">
        <v>2.0028259050441002E-3</v>
      </c>
      <c r="F8786" s="2">
        <v>2.8138625801397E-3</v>
      </c>
    </row>
    <row r="8787" spans="1:6" x14ac:dyDescent="0.25">
      <c r="A8787" s="1" t="str">
        <f t="shared" si="316"/>
        <v>19100</v>
      </c>
      <c r="B8787" s="1" t="str">
        <f>"75218"</f>
        <v>75218</v>
      </c>
      <c r="C8787" s="2">
        <v>3.7559294257384001E-3</v>
      </c>
      <c r="D8787" s="2">
        <v>3.7482459527419599E-3</v>
      </c>
      <c r="E8787" s="2">
        <v>3.6764201544645099E-3</v>
      </c>
      <c r="F8787" s="2">
        <v>3.7520902295526599E-3</v>
      </c>
    </row>
    <row r="8788" spans="1:6" x14ac:dyDescent="0.25">
      <c r="A8788" s="1" t="str">
        <f t="shared" si="316"/>
        <v>19100</v>
      </c>
      <c r="B8788" s="1" t="str">
        <f>"75182"</f>
        <v>75182</v>
      </c>
      <c r="C8788" s="2">
        <v>8.1251613129558996E-4</v>
      </c>
      <c r="D8788" s="2">
        <v>6.9377081704855405E-4</v>
      </c>
      <c r="E8788" s="2">
        <v>2.9493669149622002E-4</v>
      </c>
      <c r="F8788" s="2">
        <v>7.8153734247223298E-4</v>
      </c>
    </row>
    <row r="8789" spans="1:6" x14ac:dyDescent="0.25">
      <c r="A8789" s="1" t="str">
        <f t="shared" si="316"/>
        <v>19100</v>
      </c>
      <c r="B8789" s="1" t="str">
        <f>"75150"</f>
        <v>75150</v>
      </c>
      <c r="C8789" s="2">
        <v>7.5810824694476303E-3</v>
      </c>
      <c r="D8789" s="2">
        <v>7.3018593685743698E-3</v>
      </c>
      <c r="E8789" s="2">
        <v>1.2414777014143201E-2</v>
      </c>
      <c r="F8789" s="2">
        <v>7.74947052075599E-3</v>
      </c>
    </row>
    <row r="8790" spans="1:6" x14ac:dyDescent="0.25">
      <c r="A8790" s="1" t="str">
        <f t="shared" si="316"/>
        <v>19100</v>
      </c>
      <c r="B8790" s="1" t="str">
        <f>"75428"</f>
        <v>75428</v>
      </c>
      <c r="C8790" s="2">
        <v>1.5439059410778499E-3</v>
      </c>
      <c r="D8790" s="2">
        <v>1.2180229729178199E-3</v>
      </c>
      <c r="E8790" s="2">
        <v>2.5721223095600599E-3</v>
      </c>
      <c r="F8790" s="2">
        <v>1.5565117401511301E-3</v>
      </c>
    </row>
    <row r="8791" spans="1:6" x14ac:dyDescent="0.25">
      <c r="A8791" s="1" t="str">
        <f t="shared" si="316"/>
        <v>19100</v>
      </c>
      <c r="B8791" s="1" t="str">
        <f>"75449"</f>
        <v>75449</v>
      </c>
      <c r="C8791" s="2">
        <v>3.8840401033405202E-5</v>
      </c>
      <c r="D8791" s="2">
        <v>6.2784689325660997E-6</v>
      </c>
      <c r="E8791" s="2">
        <v>0</v>
      </c>
      <c r="F8791" s="2">
        <v>3.4455460164975997E-5</v>
      </c>
    </row>
    <row r="8792" spans="1:6" x14ac:dyDescent="0.25">
      <c r="A8792" s="1" t="str">
        <f t="shared" si="316"/>
        <v>19100</v>
      </c>
      <c r="B8792" s="1" t="str">
        <f>"75424"</f>
        <v>75424</v>
      </c>
      <c r="C8792" s="2">
        <v>5.1025010712433096E-4</v>
      </c>
      <c r="D8792" s="2">
        <v>1.19290909718755E-4</v>
      </c>
      <c r="E8792" s="2">
        <v>1.7147482063733699E-4</v>
      </c>
      <c r="F8792" s="2">
        <v>4.6268760792967799E-4</v>
      </c>
    </row>
    <row r="8793" spans="1:6" x14ac:dyDescent="0.25">
      <c r="A8793" s="1" t="str">
        <f t="shared" si="316"/>
        <v>19100</v>
      </c>
      <c r="B8793" s="1" t="str">
        <f>"75230"</f>
        <v>75230</v>
      </c>
      <c r="C8793" s="2">
        <v>4.6821476987688798E-3</v>
      </c>
      <c r="D8793" s="2">
        <v>5.7510775422305498E-3</v>
      </c>
      <c r="E8793" s="2">
        <v>1.50349122734817E-2</v>
      </c>
      <c r="F8793" s="2">
        <v>5.1880078591263904E-3</v>
      </c>
    </row>
    <row r="8794" spans="1:6" x14ac:dyDescent="0.25">
      <c r="A8794" s="1" t="str">
        <f t="shared" si="316"/>
        <v>19100</v>
      </c>
      <c r="B8794" s="1" t="str">
        <f>"75248"</f>
        <v>75248</v>
      </c>
      <c r="C8794" s="2">
        <v>5.8551904557858402E-3</v>
      </c>
      <c r="D8794" s="2">
        <v>4.3070296877403399E-3</v>
      </c>
      <c r="E8794" s="2">
        <v>6.7561079331110996E-3</v>
      </c>
      <c r="F8794" s="2">
        <v>5.7562494958154301E-3</v>
      </c>
    </row>
    <row r="8795" spans="1:6" x14ac:dyDescent="0.25">
      <c r="A8795" s="1" t="str">
        <f t="shared" si="316"/>
        <v>19100</v>
      </c>
      <c r="B8795" s="1" t="str">
        <f>"75235"</f>
        <v>75235</v>
      </c>
      <c r="C8795" s="2">
        <v>3.5817740791692599E-3</v>
      </c>
      <c r="D8795" s="2">
        <v>6.0084947684657603E-3</v>
      </c>
      <c r="E8795" s="2">
        <v>6.7904028972385604E-3</v>
      </c>
      <c r="F8795" s="2">
        <v>3.9210860579808804E-3</v>
      </c>
    </row>
    <row r="8796" spans="1:6" x14ac:dyDescent="0.25">
      <c r="A8796" s="1" t="str">
        <f t="shared" si="316"/>
        <v>19100</v>
      </c>
      <c r="B8796" s="1" t="str">
        <f>"75253"</f>
        <v>75253</v>
      </c>
      <c r="C8796" s="2">
        <v>2.4507040135916302E-3</v>
      </c>
      <c r="D8796" s="2">
        <v>6.7807464471713902E-4</v>
      </c>
      <c r="E8796" s="2">
        <v>8.6423309601218101E-4</v>
      </c>
      <c r="F8796" s="2">
        <v>2.23304196593011E-3</v>
      </c>
    </row>
    <row r="8797" spans="1:6" x14ac:dyDescent="0.25">
      <c r="A8797" s="1" t="str">
        <f t="shared" si="316"/>
        <v>19100</v>
      </c>
      <c r="B8797" s="1" t="str">
        <f>"75342"</f>
        <v>75342</v>
      </c>
      <c r="C8797" s="2">
        <v>9.8667147786472996E-5</v>
      </c>
      <c r="D8797" s="2">
        <v>5.3366985926811801E-5</v>
      </c>
      <c r="E8797" s="2">
        <v>1.3717985650986999E-5</v>
      </c>
      <c r="F8797" s="2">
        <v>9.1334315040492002E-5</v>
      </c>
    </row>
    <row r="8798" spans="1:6" x14ac:dyDescent="0.25">
      <c r="A8798" s="1" t="str">
        <f t="shared" si="316"/>
        <v>19100</v>
      </c>
      <c r="B8798" s="1" t="str">
        <f>"75407"</f>
        <v>75407</v>
      </c>
      <c r="C8798" s="2">
        <v>3.1864790299421901E-3</v>
      </c>
      <c r="D8798" s="2">
        <v>1.1709344559235699E-3</v>
      </c>
      <c r="E8798" s="2">
        <v>1.7901971274538E-3</v>
      </c>
      <c r="F8798" s="2">
        <v>2.95523934922933E-3</v>
      </c>
    </row>
    <row r="8799" spans="1:6" x14ac:dyDescent="0.25">
      <c r="A8799" s="1" t="str">
        <f t="shared" si="316"/>
        <v>19100</v>
      </c>
      <c r="B8799" s="1" t="str">
        <f>"75315"</f>
        <v>75315</v>
      </c>
      <c r="C8799" s="2">
        <v>7.7148312697804104E-4</v>
      </c>
      <c r="D8799" s="2">
        <v>5.7761914179608098E-4</v>
      </c>
      <c r="E8799" s="2">
        <v>1.3717985650986999E-5</v>
      </c>
      <c r="F8799" s="2">
        <v>7.2438503156366197E-4</v>
      </c>
    </row>
    <row r="8800" spans="1:6" x14ac:dyDescent="0.25">
      <c r="A8800" s="1" t="str">
        <f t="shared" si="316"/>
        <v>19100</v>
      </c>
      <c r="B8800" s="1" t="str">
        <f>"75356"</f>
        <v>75356</v>
      </c>
      <c r="C8800" s="2">
        <v>3.7336901638563701E-4</v>
      </c>
      <c r="D8800" s="2">
        <v>4.0590301649039802E-3</v>
      </c>
      <c r="E8800" s="2">
        <v>1.3717985650986999E-5</v>
      </c>
      <c r="F8800" s="2">
        <v>6.8008515420869299E-4</v>
      </c>
    </row>
    <row r="8801" spans="1:6" x14ac:dyDescent="0.25">
      <c r="A8801" s="1" t="str">
        <f t="shared" ref="A8801:A8864" si="317">"19100"</f>
        <v>19100</v>
      </c>
      <c r="B8801" s="1" t="str">
        <f>"75261"</f>
        <v>75261</v>
      </c>
      <c r="C8801" s="2">
        <v>2.3774084180931099E-4</v>
      </c>
      <c r="D8801" s="2">
        <v>2.1472363749375999E-3</v>
      </c>
      <c r="E8801" s="2">
        <v>9.6025899556909E-5</v>
      </c>
      <c r="F8801" s="2">
        <v>3.9842544016166698E-4</v>
      </c>
    </row>
    <row r="8802" spans="1:6" x14ac:dyDescent="0.25">
      <c r="A8802" s="1" t="str">
        <f t="shared" si="317"/>
        <v>19100</v>
      </c>
      <c r="B8802" s="1" t="str">
        <f>"75077"</f>
        <v>75077</v>
      </c>
      <c r="C8802" s="2">
        <v>4.4729106996534403E-3</v>
      </c>
      <c r="D8802" s="2">
        <v>2.1189832647410599E-3</v>
      </c>
      <c r="E8802" s="2">
        <v>1.3375036009712299E-3</v>
      </c>
      <c r="F8802" s="2">
        <v>4.1428589007887796E-3</v>
      </c>
    </row>
    <row r="8803" spans="1:6" x14ac:dyDescent="0.25">
      <c r="A8803" s="1" t="str">
        <f t="shared" si="317"/>
        <v>19100</v>
      </c>
      <c r="B8803" s="1" t="str">
        <f>"75087"</f>
        <v>75087</v>
      </c>
      <c r="C8803" s="2">
        <v>4.9270928085118097E-3</v>
      </c>
      <c r="D8803" s="2">
        <v>6.57983544132927E-3</v>
      </c>
      <c r="E8803" s="2">
        <v>1.8519280628832399E-3</v>
      </c>
      <c r="F8803" s="2">
        <v>4.9484603741698904E-3</v>
      </c>
    </row>
    <row r="8804" spans="1:6" x14ac:dyDescent="0.25">
      <c r="A8804" s="1" t="str">
        <f t="shared" si="317"/>
        <v>19100</v>
      </c>
      <c r="B8804" s="1" t="str">
        <f>"76017"</f>
        <v>76017</v>
      </c>
      <c r="C8804" s="2">
        <v>5.8407819199186098E-3</v>
      </c>
      <c r="D8804" s="2">
        <v>3.2114368590075602E-3</v>
      </c>
      <c r="E8804" s="2">
        <v>5.2471295115025301E-3</v>
      </c>
      <c r="F8804" s="2">
        <v>5.5880740354863796E-3</v>
      </c>
    </row>
    <row r="8805" spans="1:6" x14ac:dyDescent="0.25">
      <c r="A8805" s="1" t="str">
        <f t="shared" si="317"/>
        <v>19100</v>
      </c>
      <c r="B8805" s="1" t="str">
        <f>"76009"</f>
        <v>76009</v>
      </c>
      <c r="C8805" s="2">
        <v>3.1222670766208301E-3</v>
      </c>
      <c r="D8805" s="2">
        <v>2.2571095812575102E-3</v>
      </c>
      <c r="E8805" s="2">
        <v>1.0219899309985301E-3</v>
      </c>
      <c r="F8805" s="2">
        <v>2.9631695741879301E-3</v>
      </c>
    </row>
    <row r="8806" spans="1:6" x14ac:dyDescent="0.25">
      <c r="A8806" s="1" t="str">
        <f t="shared" si="317"/>
        <v>19100</v>
      </c>
      <c r="B8806" s="1" t="str">
        <f>"76651"</f>
        <v>76651</v>
      </c>
      <c r="C8806" s="2">
        <v>3.6710443557379799E-4</v>
      </c>
      <c r="D8806" s="2">
        <v>1.4440478544902E-4</v>
      </c>
      <c r="E8806" s="2">
        <v>2.5378273454325899E-4</v>
      </c>
      <c r="F8806" s="2">
        <v>3.4318732148448298E-4</v>
      </c>
    </row>
    <row r="8807" spans="1:6" x14ac:dyDescent="0.25">
      <c r="A8807" s="1" t="str">
        <f t="shared" si="317"/>
        <v>19100</v>
      </c>
      <c r="B8807" s="1" t="str">
        <f>"75010"</f>
        <v>75010</v>
      </c>
      <c r="C8807" s="2">
        <v>4.3216210730475102E-3</v>
      </c>
      <c r="D8807" s="2">
        <v>1.8709837419046899E-3</v>
      </c>
      <c r="E8807" s="2">
        <v>2.6887251875934502E-3</v>
      </c>
      <c r="F8807" s="2">
        <v>4.0430474487235697E-3</v>
      </c>
    </row>
    <row r="8808" spans="1:6" x14ac:dyDescent="0.25">
      <c r="A8808" s="1" t="str">
        <f t="shared" si="317"/>
        <v>19100</v>
      </c>
      <c r="B8808" s="1" t="str">
        <f>"75011"</f>
        <v>75011</v>
      </c>
      <c r="C8808" s="2">
        <v>9.5660148996789998E-4</v>
      </c>
      <c r="D8808" s="2">
        <v>3.23655073473782E-3</v>
      </c>
      <c r="E8808" s="2">
        <v>2.7435971301973998E-5</v>
      </c>
      <c r="F8808" s="2">
        <v>1.11816171916338E-3</v>
      </c>
    </row>
    <row r="8809" spans="1:6" x14ac:dyDescent="0.25">
      <c r="A8809" s="1" t="str">
        <f t="shared" si="317"/>
        <v>19100</v>
      </c>
      <c r="B8809" s="1" t="str">
        <f>"75201"</f>
        <v>75201</v>
      </c>
      <c r="C8809" s="2">
        <v>4.21167767979973E-3</v>
      </c>
      <c r="D8809" s="2">
        <v>1.2880279015159301E-2</v>
      </c>
      <c r="E8809" s="2">
        <v>6.0976446218637204E-3</v>
      </c>
      <c r="F8809" s="2">
        <v>5.0419823374748202E-3</v>
      </c>
    </row>
    <row r="8810" spans="1:6" x14ac:dyDescent="0.25">
      <c r="A8810" s="1" t="str">
        <f t="shared" si="317"/>
        <v>19100</v>
      </c>
      <c r="B8810" s="1" t="str">
        <f>"75207"</f>
        <v>75207</v>
      </c>
      <c r="C8810" s="2">
        <v>7.4579834564949903E-4</v>
      </c>
      <c r="D8810" s="2">
        <v>9.5778043566295892E-3</v>
      </c>
      <c r="E8810" s="2">
        <v>1.80391511310479E-3</v>
      </c>
      <c r="F8810" s="2">
        <v>1.5573321082503E-3</v>
      </c>
    </row>
    <row r="8811" spans="1:6" x14ac:dyDescent="0.25">
      <c r="A8811" s="1" t="str">
        <f t="shared" si="317"/>
        <v>19100</v>
      </c>
      <c r="B8811" s="1" t="str">
        <f>"75205"</f>
        <v>75205</v>
      </c>
      <c r="C8811" s="2">
        <v>3.5736301241138702E-3</v>
      </c>
      <c r="D8811" s="2">
        <v>3.4908287265067498E-3</v>
      </c>
      <c r="E8811" s="2">
        <v>7.7849568569351201E-3</v>
      </c>
      <c r="F8811" s="2">
        <v>3.7343155874040601E-3</v>
      </c>
    </row>
    <row r="8812" spans="1:6" x14ac:dyDescent="0.25">
      <c r="A8812" s="1" t="str">
        <f t="shared" si="317"/>
        <v>19100</v>
      </c>
      <c r="B8812" s="1" t="str">
        <f>"75209"</f>
        <v>75209</v>
      </c>
      <c r="C8812" s="2">
        <v>2.56221355204237E-3</v>
      </c>
      <c r="D8812" s="2">
        <v>2.1503756094038901E-3</v>
      </c>
      <c r="E8812" s="2">
        <v>2.0919928117755101E-3</v>
      </c>
      <c r="F8812" s="2">
        <v>2.5075918231176899E-3</v>
      </c>
    </row>
    <row r="8813" spans="1:6" x14ac:dyDescent="0.25">
      <c r="A8813" s="1" t="str">
        <f t="shared" si="317"/>
        <v>19100</v>
      </c>
      <c r="B8813" s="1" t="str">
        <f>"75203"</f>
        <v>75203</v>
      </c>
      <c r="C8813" s="2">
        <v>2.2608872149928899E-3</v>
      </c>
      <c r="D8813" s="2">
        <v>2.2759449880552099E-3</v>
      </c>
      <c r="E8813" s="2">
        <v>3.9233438961822796E-3</v>
      </c>
      <c r="F8813" s="2">
        <v>2.3284781214664299E-3</v>
      </c>
    </row>
    <row r="8814" spans="1:6" x14ac:dyDescent="0.25">
      <c r="A8814" s="1" t="str">
        <f t="shared" si="317"/>
        <v>19100</v>
      </c>
      <c r="B8814" s="1" t="str">
        <f>"75227"</f>
        <v>75227</v>
      </c>
      <c r="C8814" s="2">
        <v>6.1323981567097396E-3</v>
      </c>
      <c r="D8814" s="2">
        <v>3.6477904498208999E-3</v>
      </c>
      <c r="E8814" s="2">
        <v>3.8273179966253701E-3</v>
      </c>
      <c r="F8814" s="2">
        <v>5.82406659201316E-3</v>
      </c>
    </row>
    <row r="8815" spans="1:6" x14ac:dyDescent="0.25">
      <c r="A8815" s="1" t="str">
        <f t="shared" si="317"/>
        <v>19100</v>
      </c>
      <c r="B8815" s="1" t="str">
        <f>"75219"</f>
        <v>75219</v>
      </c>
      <c r="C8815" s="2">
        <v>7.0301125870463497E-3</v>
      </c>
      <c r="D8815" s="2">
        <v>8.63289478227839E-3</v>
      </c>
      <c r="E8815" s="2">
        <v>1.2133558308298001E-2</v>
      </c>
      <c r="F8815" s="2">
        <v>7.3731950192718098E-3</v>
      </c>
    </row>
    <row r="8816" spans="1:6" x14ac:dyDescent="0.25">
      <c r="A8816" s="1" t="str">
        <f t="shared" si="317"/>
        <v>19100</v>
      </c>
      <c r="B8816" s="1" t="str">
        <f>"75220"</f>
        <v>75220</v>
      </c>
      <c r="C8816" s="2">
        <v>5.3891056433849702E-3</v>
      </c>
      <c r="D8816" s="2">
        <v>7.2987201341080899E-3</v>
      </c>
      <c r="E8816" s="2">
        <v>1.11595813270779E-2</v>
      </c>
      <c r="F8816" s="2">
        <v>5.7855092913523601E-3</v>
      </c>
    </row>
    <row r="8817" spans="1:6" x14ac:dyDescent="0.25">
      <c r="A8817" s="1" t="str">
        <f t="shared" si="317"/>
        <v>19100</v>
      </c>
      <c r="B8817" s="1" t="str">
        <f>"75223"</f>
        <v>75223</v>
      </c>
      <c r="C8817" s="2">
        <v>1.61563539137342E-3</v>
      </c>
      <c r="D8817" s="2">
        <v>1.6951866117928399E-3</v>
      </c>
      <c r="E8817" s="2">
        <v>1.3169266224947499E-3</v>
      </c>
      <c r="F8817" s="2">
        <v>1.6106560346961E-3</v>
      </c>
    </row>
    <row r="8818" spans="1:6" x14ac:dyDescent="0.25">
      <c r="A8818" s="1" t="str">
        <f t="shared" si="317"/>
        <v>19100</v>
      </c>
      <c r="B8818" s="1" t="str">
        <f>"75187"</f>
        <v>75187</v>
      </c>
      <c r="C8818" s="2">
        <v>4.4541169572179202E-4</v>
      </c>
      <c r="D8818" s="2">
        <v>6.2156842432404397E-4</v>
      </c>
      <c r="E8818" s="2">
        <v>1.3717985650986999E-5</v>
      </c>
      <c r="F8818" s="2">
        <v>4.4354568561580198E-4</v>
      </c>
    </row>
    <row r="8819" spans="1:6" x14ac:dyDescent="0.25">
      <c r="A8819" s="1" t="str">
        <f t="shared" si="317"/>
        <v>19100</v>
      </c>
      <c r="B8819" s="1" t="str">
        <f>"75138"</f>
        <v>75138</v>
      </c>
      <c r="C8819" s="2">
        <v>5.7289591524272701E-4</v>
      </c>
      <c r="D8819" s="2">
        <v>1.55392106081011E-3</v>
      </c>
      <c r="E8819" s="2">
        <v>1.3717985650986999E-5</v>
      </c>
      <c r="F8819" s="2">
        <v>6.3605873288677904E-4</v>
      </c>
    </row>
    <row r="8820" spans="1:6" x14ac:dyDescent="0.25">
      <c r="A8820" s="1" t="str">
        <f t="shared" si="317"/>
        <v>19100</v>
      </c>
      <c r="B8820" s="1" t="str">
        <f>"75142"</f>
        <v>75142</v>
      </c>
      <c r="C8820" s="2">
        <v>2.5728633394225E-3</v>
      </c>
      <c r="D8820" s="2">
        <v>1.9431861346292001E-3</v>
      </c>
      <c r="E8820" s="2">
        <v>7.4763021797879105E-4</v>
      </c>
      <c r="F8820" s="2">
        <v>2.4452438475810702E-3</v>
      </c>
    </row>
    <row r="8821" spans="1:6" x14ac:dyDescent="0.25">
      <c r="A8821" s="1" t="str">
        <f t="shared" si="317"/>
        <v>19100</v>
      </c>
      <c r="B8821" s="1" t="str">
        <f>"75390"</f>
        <v>75390</v>
      </c>
      <c r="C8821" s="2">
        <v>0</v>
      </c>
      <c r="D8821" s="2">
        <v>1.90865455550009E-3</v>
      </c>
      <c r="E8821" s="2">
        <v>0</v>
      </c>
      <c r="F8821" s="2">
        <v>1.66261268097662E-4</v>
      </c>
    </row>
    <row r="8822" spans="1:6" x14ac:dyDescent="0.25">
      <c r="A8822" s="1" t="str">
        <f t="shared" si="317"/>
        <v>19100</v>
      </c>
      <c r="B8822" s="1" t="str">
        <f>"75372"</f>
        <v>75372</v>
      </c>
      <c r="C8822" s="2">
        <v>1.5567483317421201E-4</v>
      </c>
      <c r="D8822" s="2">
        <v>2.7311339856662497E-4</v>
      </c>
      <c r="E8822" s="2">
        <v>1.3717985650986999E-5</v>
      </c>
      <c r="F8822" s="2">
        <v>1.60245235370444E-4</v>
      </c>
    </row>
    <row r="8823" spans="1:6" x14ac:dyDescent="0.25">
      <c r="A8823" s="1" t="str">
        <f t="shared" si="317"/>
        <v>19100</v>
      </c>
      <c r="B8823" s="1" t="str">
        <f>"76136"</f>
        <v>76136</v>
      </c>
      <c r="C8823" s="2">
        <v>2.3930698701227099E-4</v>
      </c>
      <c r="D8823" s="2">
        <v>8.9782105735695201E-4</v>
      </c>
      <c r="E8823" s="2">
        <v>1.3717985650986999E-5</v>
      </c>
      <c r="F8823" s="2">
        <v>2.8767574677424399E-4</v>
      </c>
    </row>
    <row r="8824" spans="1:6" x14ac:dyDescent="0.25">
      <c r="A8824" s="1" t="str">
        <f t="shared" si="317"/>
        <v>19100</v>
      </c>
      <c r="B8824" s="1" t="str">
        <f>"76458"</f>
        <v>76458</v>
      </c>
      <c r="C8824" s="2">
        <v>7.20426793361549E-6</v>
      </c>
      <c r="D8824" s="2">
        <v>3.1392344662830499E-6</v>
      </c>
      <c r="E8824" s="2">
        <v>0</v>
      </c>
      <c r="F8824" s="2">
        <v>6.5629447933287602E-6</v>
      </c>
    </row>
    <row r="8825" spans="1:6" x14ac:dyDescent="0.25">
      <c r="A8825" s="1" t="str">
        <f t="shared" si="317"/>
        <v>19100</v>
      </c>
      <c r="B8825" s="1" t="str">
        <f>"75270"</f>
        <v>75270</v>
      </c>
      <c r="C8825" s="2">
        <v>0</v>
      </c>
      <c r="D8825" s="2">
        <v>4.8972057674015598E-4</v>
      </c>
      <c r="E8825" s="2">
        <v>2.3320575606677901E-4</v>
      </c>
      <c r="F8825" s="2">
        <v>5.1956646280519398E-5</v>
      </c>
    </row>
    <row r="8826" spans="1:6" x14ac:dyDescent="0.25">
      <c r="A8826" s="1" t="str">
        <f t="shared" si="317"/>
        <v>19100</v>
      </c>
      <c r="B8826" s="1" t="str">
        <f>"76490"</f>
        <v>76490</v>
      </c>
      <c r="C8826" s="2">
        <v>1.62879101107828E-5</v>
      </c>
      <c r="D8826" s="2">
        <v>3.1392344662830499E-6</v>
      </c>
      <c r="E8826" s="2">
        <v>6.8589928254934996E-6</v>
      </c>
      <c r="F8826" s="2">
        <v>1.47666257849897E-5</v>
      </c>
    </row>
    <row r="8827" spans="1:6" x14ac:dyDescent="0.25">
      <c r="A8827" s="1" t="str">
        <f t="shared" si="317"/>
        <v>19100</v>
      </c>
      <c r="B8827" s="1" t="str">
        <f>"75381"</f>
        <v>75381</v>
      </c>
      <c r="C8827" s="2">
        <v>4.5042336037126401E-4</v>
      </c>
      <c r="D8827" s="2">
        <v>1.7736674734499199E-3</v>
      </c>
      <c r="E8827" s="2">
        <v>1.3717985650986999E-5</v>
      </c>
      <c r="F8827" s="2">
        <v>5.4827934627600704E-4</v>
      </c>
    </row>
    <row r="8828" spans="1:6" x14ac:dyDescent="0.25">
      <c r="A8828" s="1" t="str">
        <f t="shared" si="317"/>
        <v>19100</v>
      </c>
      <c r="B8828" s="1" t="str">
        <f>"75339"</f>
        <v>75339</v>
      </c>
      <c r="C8828" s="2">
        <v>2.9944696280593001E-4</v>
      </c>
      <c r="D8828" s="2">
        <v>4.36353590813344E-4</v>
      </c>
      <c r="E8828" s="2">
        <v>1.3717985650986999E-5</v>
      </c>
      <c r="F8828" s="2">
        <v>2.9998126826173498E-4</v>
      </c>
    </row>
    <row r="8829" spans="1:6" x14ac:dyDescent="0.25">
      <c r="A8829" s="1" t="str">
        <f t="shared" si="317"/>
        <v>19100</v>
      </c>
      <c r="B8829" s="1" t="str">
        <f>"76035"</f>
        <v>76035</v>
      </c>
      <c r="C8829" s="2">
        <v>2.0359887638478501E-4</v>
      </c>
      <c r="D8829" s="2">
        <v>2.0718947477468101E-4</v>
      </c>
      <c r="E8829" s="2">
        <v>8.9166906731415503E-5</v>
      </c>
      <c r="F8829" s="2">
        <v>1.9934944809736101E-4</v>
      </c>
    </row>
    <row r="8830" spans="1:6" x14ac:dyDescent="0.25">
      <c r="A8830" s="1" t="str">
        <f t="shared" si="317"/>
        <v>19100</v>
      </c>
      <c r="B8830" s="1" t="str">
        <f>"75149"</f>
        <v>75149</v>
      </c>
      <c r="C8830" s="2">
        <v>6.3532246303270798E-3</v>
      </c>
      <c r="D8830" s="2">
        <v>4.5613076795092697E-3</v>
      </c>
      <c r="E8830" s="2">
        <v>5.2608474971535101E-3</v>
      </c>
      <c r="F8830" s="2">
        <v>6.1535811118448797E-3</v>
      </c>
    </row>
    <row r="8831" spans="1:6" x14ac:dyDescent="0.25">
      <c r="A8831" s="1" t="str">
        <f t="shared" si="317"/>
        <v>19100</v>
      </c>
      <c r="B8831" s="1" t="str">
        <f>"75137"</f>
        <v>75137</v>
      </c>
      <c r="C8831" s="2">
        <v>2.2843793930372898E-3</v>
      </c>
      <c r="D8831" s="2">
        <v>1.9180722588989401E-3</v>
      </c>
      <c r="E8831" s="2">
        <v>1.10429784490445E-3</v>
      </c>
      <c r="F8831" s="2">
        <v>2.20542290659152E-3</v>
      </c>
    </row>
    <row r="8832" spans="1:6" x14ac:dyDescent="0.25">
      <c r="A8832" s="1" t="str">
        <f t="shared" si="317"/>
        <v>19100</v>
      </c>
      <c r="B8832" s="1" t="str">
        <f>"75125"</f>
        <v>75125</v>
      </c>
      <c r="C8832" s="2">
        <v>1.00515199125965E-3</v>
      </c>
      <c r="D8832" s="2">
        <v>7.8166938210448003E-4</v>
      </c>
      <c r="E8832" s="2">
        <v>1.8519280628832399E-4</v>
      </c>
      <c r="F8832" s="2">
        <v>9.5299427519794698E-4</v>
      </c>
    </row>
    <row r="8833" spans="1:6" x14ac:dyDescent="0.25">
      <c r="A8833" s="1" t="str">
        <f t="shared" si="317"/>
        <v>19100</v>
      </c>
      <c r="B8833" s="1" t="str">
        <f>"75141"</f>
        <v>75141</v>
      </c>
      <c r="C8833" s="2">
        <v>7.8933718229178397E-4</v>
      </c>
      <c r="D8833" s="2">
        <v>8.0364402336846098E-4</v>
      </c>
      <c r="E8833" s="2">
        <v>7.5448921080428495E-5</v>
      </c>
      <c r="F8833" s="2">
        <v>7.6212196412530297E-4</v>
      </c>
    </row>
    <row r="8834" spans="1:6" x14ac:dyDescent="0.25">
      <c r="A8834" s="1" t="str">
        <f t="shared" si="317"/>
        <v>19100</v>
      </c>
      <c r="B8834" s="1" t="str">
        <f>"75154"</f>
        <v>75154</v>
      </c>
      <c r="C8834" s="2">
        <v>5.4010083469274699E-3</v>
      </c>
      <c r="D8834" s="2">
        <v>3.7639421250733698E-3</v>
      </c>
      <c r="E8834" s="2">
        <v>1.3032086368437599E-3</v>
      </c>
      <c r="F8834" s="2">
        <v>5.09503280788756E-3</v>
      </c>
    </row>
    <row r="8835" spans="1:6" x14ac:dyDescent="0.25">
      <c r="A8835" s="1" t="str">
        <f t="shared" si="317"/>
        <v>19100</v>
      </c>
      <c r="B8835" s="1" t="str">
        <f>"75123"</f>
        <v>75123</v>
      </c>
      <c r="C8835" s="2">
        <v>6.1455537764146001E-4</v>
      </c>
      <c r="D8835" s="2">
        <v>1.55392106081011E-3</v>
      </c>
      <c r="E8835" s="2">
        <v>1.3717985650986999E-5</v>
      </c>
      <c r="F8835" s="2">
        <v>6.7242838528314304E-4</v>
      </c>
    </row>
    <row r="8836" spans="1:6" x14ac:dyDescent="0.25">
      <c r="A8836" s="1" t="str">
        <f t="shared" si="317"/>
        <v>19100</v>
      </c>
      <c r="B8836" s="1" t="str">
        <f>"75474"</f>
        <v>75474</v>
      </c>
      <c r="C8836" s="2">
        <v>2.3974550766909901E-3</v>
      </c>
      <c r="D8836" s="2">
        <v>1.2462760831143699E-3</v>
      </c>
      <c r="E8836" s="2">
        <v>4.8698849061003799E-4</v>
      </c>
      <c r="F8836" s="2">
        <v>2.2210099004756701E-3</v>
      </c>
    </row>
    <row r="8837" spans="1:6" x14ac:dyDescent="0.25">
      <c r="A8837" s="1" t="str">
        <f t="shared" si="317"/>
        <v>19100</v>
      </c>
      <c r="B8837" s="1" t="str">
        <f>"76267"</f>
        <v>76267</v>
      </c>
      <c r="C8837" s="2">
        <v>0</v>
      </c>
      <c r="D8837" s="2">
        <v>0</v>
      </c>
      <c r="E8837" s="2">
        <v>6.8589928254934996E-6</v>
      </c>
      <c r="F8837" s="2">
        <v>2.7345603305536501E-7</v>
      </c>
    </row>
    <row r="8838" spans="1:6" x14ac:dyDescent="0.25">
      <c r="A8838" s="1" t="str">
        <f t="shared" si="317"/>
        <v>19100</v>
      </c>
      <c r="B8838" s="1" t="str">
        <f>"75121"</f>
        <v>75121</v>
      </c>
      <c r="C8838" s="2">
        <v>0</v>
      </c>
      <c r="D8838" s="2">
        <v>3.1392344662830499E-6</v>
      </c>
      <c r="E8838" s="2">
        <v>0</v>
      </c>
      <c r="F8838" s="2">
        <v>2.7345603305536501E-7</v>
      </c>
    </row>
    <row r="8839" spans="1:6" x14ac:dyDescent="0.25">
      <c r="A8839" s="1" t="str">
        <f t="shared" si="317"/>
        <v>19100</v>
      </c>
      <c r="B8839" s="1" t="str">
        <f>"76190"</f>
        <v>76190</v>
      </c>
      <c r="C8839" s="2">
        <v>0</v>
      </c>
      <c r="D8839" s="2">
        <v>3.1392344662830499E-6</v>
      </c>
      <c r="E8839" s="2">
        <v>0</v>
      </c>
      <c r="F8839" s="2">
        <v>2.7345603305536501E-7</v>
      </c>
    </row>
    <row r="8840" spans="1:6" x14ac:dyDescent="0.25">
      <c r="A8840" s="1" t="str">
        <f t="shared" si="317"/>
        <v>19100</v>
      </c>
      <c r="B8840" s="1" t="str">
        <f>"75015"</f>
        <v>75015</v>
      </c>
      <c r="C8840" s="2">
        <v>4.0061994291713902E-4</v>
      </c>
      <c r="D8840" s="2">
        <v>1.0579220151373801E-3</v>
      </c>
      <c r="E8840" s="2">
        <v>1.3717985650986999E-5</v>
      </c>
      <c r="F8840" s="2">
        <v>4.4245186148358099E-4</v>
      </c>
    </row>
    <row r="8841" spans="1:6" x14ac:dyDescent="0.25">
      <c r="A8841" s="1" t="str">
        <f t="shared" si="317"/>
        <v>19100</v>
      </c>
      <c r="B8841" s="1" t="str">
        <f>"75378"</f>
        <v>75378</v>
      </c>
      <c r="C8841" s="2">
        <v>1.22159325830871E-5</v>
      </c>
      <c r="D8841" s="2">
        <v>3.7670813595396603E-5</v>
      </c>
      <c r="E8841" s="2">
        <v>1.3717985650986999E-5</v>
      </c>
      <c r="F8841" s="2">
        <v>1.4493169751934301E-5</v>
      </c>
    </row>
    <row r="8842" spans="1:6" x14ac:dyDescent="0.25">
      <c r="A8842" s="1" t="str">
        <f t="shared" si="317"/>
        <v>19100</v>
      </c>
      <c r="B8842" s="1" t="str">
        <f>"76061"</f>
        <v>76061</v>
      </c>
      <c r="C8842" s="2">
        <v>3.13229040591977E-7</v>
      </c>
      <c r="D8842" s="2">
        <v>0</v>
      </c>
      <c r="E8842" s="2">
        <v>0</v>
      </c>
      <c r="F8842" s="2">
        <v>2.7345603305536501E-7</v>
      </c>
    </row>
    <row r="8843" spans="1:6" x14ac:dyDescent="0.25">
      <c r="A8843" s="1" t="str">
        <f t="shared" si="317"/>
        <v>19100</v>
      </c>
      <c r="B8843" s="1" t="str">
        <f>"76163"</f>
        <v>76163</v>
      </c>
      <c r="C8843" s="2">
        <v>2.8911040446639498E-4</v>
      </c>
      <c r="D8843" s="2">
        <v>9.1665646415465098E-4</v>
      </c>
      <c r="E8843" s="2">
        <v>1.3717985650986999E-5</v>
      </c>
      <c r="F8843" s="2">
        <v>3.3279599222837898E-4</v>
      </c>
    </row>
    <row r="8844" spans="1:6" x14ac:dyDescent="0.25">
      <c r="A8844" s="1" t="str">
        <f t="shared" si="317"/>
        <v>19100</v>
      </c>
      <c r="B8844" s="1" t="str">
        <f>"76164"</f>
        <v>76164</v>
      </c>
      <c r="C8844" s="2">
        <v>1.9517301519286099E-3</v>
      </c>
      <c r="D8844" s="2">
        <v>3.6854612634163002E-3</v>
      </c>
      <c r="E8844" s="2">
        <v>5.02078274826124E-3</v>
      </c>
      <c r="F8844" s="2">
        <v>2.2251117409715E-3</v>
      </c>
    </row>
    <row r="8845" spans="1:6" x14ac:dyDescent="0.25">
      <c r="A8845" s="1" t="str">
        <f t="shared" si="317"/>
        <v>19100</v>
      </c>
      <c r="B8845" s="1" t="str">
        <f>"76134"</f>
        <v>76134</v>
      </c>
      <c r="C8845" s="2">
        <v>2.9462323558081399E-3</v>
      </c>
      <c r="D8845" s="2">
        <v>1.2148837384515401E-3</v>
      </c>
      <c r="E8845" s="2">
        <v>2.4555194315266701E-3</v>
      </c>
      <c r="F8845" s="2">
        <v>2.77585219154501E-3</v>
      </c>
    </row>
    <row r="8846" spans="1:6" x14ac:dyDescent="0.25">
      <c r="A8846" s="1" t="str">
        <f t="shared" si="317"/>
        <v>19100</v>
      </c>
      <c r="B8846" s="1" t="str">
        <f>"76065"</f>
        <v>76065</v>
      </c>
      <c r="C8846" s="2">
        <v>5.1770495829042001E-3</v>
      </c>
      <c r="D8846" s="2">
        <v>3.8895115037247E-3</v>
      </c>
      <c r="E8846" s="2">
        <v>2.47609641000315E-3</v>
      </c>
      <c r="F8846" s="2">
        <v>4.95721096722766E-3</v>
      </c>
    </row>
    <row r="8847" spans="1:6" x14ac:dyDescent="0.25">
      <c r="A8847" s="1" t="str">
        <f t="shared" si="317"/>
        <v>19100</v>
      </c>
      <c r="B8847" s="1" t="str">
        <f>"76092"</f>
        <v>76092</v>
      </c>
      <c r="C8847" s="2">
        <v>3.4799746409768699E-3</v>
      </c>
      <c r="D8847" s="2">
        <v>1.0029854119774299E-2</v>
      </c>
      <c r="E8847" s="2">
        <v>5.3980273536633804E-3</v>
      </c>
      <c r="F8847" s="2">
        <v>4.1269984508715699E-3</v>
      </c>
    </row>
    <row r="8848" spans="1:6" x14ac:dyDescent="0.25">
      <c r="A8848" s="1" t="str">
        <f t="shared" si="317"/>
        <v>19100</v>
      </c>
      <c r="B8848" s="1" t="str">
        <f>"76103"</f>
        <v>76103</v>
      </c>
      <c r="C8848" s="2">
        <v>1.84523227812734E-3</v>
      </c>
      <c r="D8848" s="2">
        <v>1.8395913972418601E-3</v>
      </c>
      <c r="E8848" s="2">
        <v>2.0645568404735401E-3</v>
      </c>
      <c r="F8848" s="2">
        <v>1.8534849920492601E-3</v>
      </c>
    </row>
    <row r="8849" spans="1:6" x14ac:dyDescent="0.25">
      <c r="A8849" s="1" t="str">
        <f t="shared" si="317"/>
        <v>19100</v>
      </c>
      <c r="B8849" s="1" t="str">
        <f>"76431"</f>
        <v>76431</v>
      </c>
      <c r="C8849" s="2">
        <v>4.9396219701354895E-4</v>
      </c>
      <c r="D8849" s="2">
        <v>2.00911005842115E-4</v>
      </c>
      <c r="E8849" s="2">
        <v>1.5089784216085699E-4</v>
      </c>
      <c r="F8849" s="2">
        <v>4.5475738297107198E-4</v>
      </c>
    </row>
    <row r="8850" spans="1:6" x14ac:dyDescent="0.25">
      <c r="A8850" s="1" t="str">
        <f t="shared" si="317"/>
        <v>19100</v>
      </c>
      <c r="B8850" s="1" t="str">
        <f>"76486"</f>
        <v>76486</v>
      </c>
      <c r="C8850" s="2">
        <v>3.94668591145892E-5</v>
      </c>
      <c r="D8850" s="2">
        <v>9.4177033988491508E-6</v>
      </c>
      <c r="E8850" s="2">
        <v>6.8589928254934996E-6</v>
      </c>
      <c r="F8850" s="2">
        <v>3.5549284297197398E-5</v>
      </c>
    </row>
    <row r="8851" spans="1:6" x14ac:dyDescent="0.25">
      <c r="A8851" s="1" t="str">
        <f t="shared" si="317"/>
        <v>19100</v>
      </c>
      <c r="B8851" s="1" t="str">
        <f>"76205"</f>
        <v>76205</v>
      </c>
      <c r="C8851" s="2">
        <v>2.66745850968128E-3</v>
      </c>
      <c r="D8851" s="2">
        <v>4.2662196396786598E-3</v>
      </c>
      <c r="E8851" s="2">
        <v>4.0673827455176403E-3</v>
      </c>
      <c r="F8851" s="2">
        <v>2.8625377540235598E-3</v>
      </c>
    </row>
    <row r="8852" spans="1:6" x14ac:dyDescent="0.25">
      <c r="A8852" s="1" t="str">
        <f t="shared" si="317"/>
        <v>19100</v>
      </c>
      <c r="B8852" s="1" t="str">
        <f>"76196"</f>
        <v>76196</v>
      </c>
      <c r="C8852" s="2">
        <v>0</v>
      </c>
      <c r="D8852" s="2">
        <v>4.3949282527962697E-5</v>
      </c>
      <c r="E8852" s="2">
        <v>0</v>
      </c>
      <c r="F8852" s="2">
        <v>3.8283844627751099E-6</v>
      </c>
    </row>
    <row r="8853" spans="1:6" x14ac:dyDescent="0.25">
      <c r="A8853" s="1" t="str">
        <f t="shared" si="317"/>
        <v>19100</v>
      </c>
      <c r="B8853" s="1" t="str">
        <f>"76008"</f>
        <v>76008</v>
      </c>
      <c r="C8853" s="2">
        <v>2.5769353169501998E-3</v>
      </c>
      <c r="D8853" s="2">
        <v>1.20546603505269E-3</v>
      </c>
      <c r="E8853" s="2">
        <v>5.9673237581793395E-4</v>
      </c>
      <c r="F8853" s="2">
        <v>2.37852057551556E-3</v>
      </c>
    </row>
    <row r="8854" spans="1:6" x14ac:dyDescent="0.25">
      <c r="A8854" s="1" t="str">
        <f t="shared" si="317"/>
        <v>19100</v>
      </c>
      <c r="B8854" s="1" t="str">
        <f>"75059"</f>
        <v>75059</v>
      </c>
      <c r="C8854" s="2">
        <v>0</v>
      </c>
      <c r="D8854" s="2">
        <v>3.1392344662830499E-6</v>
      </c>
      <c r="E8854" s="2">
        <v>0</v>
      </c>
      <c r="F8854" s="2">
        <v>2.7345603305536501E-7</v>
      </c>
    </row>
    <row r="8855" spans="1:6" x14ac:dyDescent="0.25">
      <c r="A8855" s="1" t="str">
        <f t="shared" si="317"/>
        <v>19100</v>
      </c>
      <c r="B8855" s="1" t="str">
        <f>"75058"</f>
        <v>75058</v>
      </c>
      <c r="C8855" s="2">
        <v>2.5058323247358198E-6</v>
      </c>
      <c r="D8855" s="2">
        <v>3.1392344662830499E-6</v>
      </c>
      <c r="E8855" s="2">
        <v>0</v>
      </c>
      <c r="F8855" s="2">
        <v>2.4611042974982801E-6</v>
      </c>
    </row>
    <row r="8856" spans="1:6" x14ac:dyDescent="0.25">
      <c r="A8856" s="1" t="str">
        <f t="shared" si="317"/>
        <v>19100</v>
      </c>
      <c r="B8856" s="1" t="str">
        <f>"75156"</f>
        <v>75156</v>
      </c>
      <c r="C8856" s="2">
        <v>1.4721764907822899E-5</v>
      </c>
      <c r="D8856" s="2">
        <v>0</v>
      </c>
      <c r="E8856" s="2">
        <v>0</v>
      </c>
      <c r="F8856" s="2">
        <v>1.2852433553602101E-5</v>
      </c>
    </row>
    <row r="8857" spans="1:6" x14ac:dyDescent="0.25">
      <c r="A8857" s="1" t="str">
        <f t="shared" si="317"/>
        <v>19100</v>
      </c>
      <c r="B8857" s="1" t="str">
        <f>"76246"</f>
        <v>76246</v>
      </c>
      <c r="C8857" s="2">
        <v>0</v>
      </c>
      <c r="D8857" s="2">
        <v>0</v>
      </c>
      <c r="E8857" s="2">
        <v>6.8589928254934996E-6</v>
      </c>
      <c r="F8857" s="2">
        <v>2.7345603305536501E-7</v>
      </c>
    </row>
    <row r="8858" spans="1:6" x14ac:dyDescent="0.25">
      <c r="A8858" s="1" t="str">
        <f t="shared" si="317"/>
        <v>19100</v>
      </c>
      <c r="B8858" s="1" t="str">
        <f>"75491"</f>
        <v>75491</v>
      </c>
      <c r="C8858" s="2">
        <v>5.0116646494716396E-6</v>
      </c>
      <c r="D8858" s="2">
        <v>0</v>
      </c>
      <c r="E8858" s="2">
        <v>0</v>
      </c>
      <c r="F8858" s="2">
        <v>4.3752965288858401E-6</v>
      </c>
    </row>
    <row r="8859" spans="1:6" x14ac:dyDescent="0.25">
      <c r="A8859" s="1" t="str">
        <f t="shared" si="317"/>
        <v>19100</v>
      </c>
      <c r="B8859" s="1" t="str">
        <f>"75454"</f>
        <v>75454</v>
      </c>
      <c r="C8859" s="2">
        <v>1.7324698235142201E-3</v>
      </c>
      <c r="D8859" s="2">
        <v>8.5387177482899E-4</v>
      </c>
      <c r="E8859" s="2">
        <v>1.23461870858883E-4</v>
      </c>
      <c r="F8859" s="2">
        <v>1.59178756841528E-3</v>
      </c>
    </row>
    <row r="8860" spans="1:6" x14ac:dyDescent="0.25">
      <c r="A8860" s="1" t="str">
        <f t="shared" si="317"/>
        <v>19100</v>
      </c>
      <c r="B8860" s="1" t="str">
        <f>"75232"</f>
        <v>75232</v>
      </c>
      <c r="C8860" s="2">
        <v>3.34779198584705E-3</v>
      </c>
      <c r="D8860" s="2">
        <v>1.28080766224348E-3</v>
      </c>
      <c r="E8860" s="2">
        <v>3.5872532477331E-3</v>
      </c>
      <c r="F8860" s="2">
        <v>3.1772856480702799E-3</v>
      </c>
    </row>
    <row r="8861" spans="1:6" x14ac:dyDescent="0.25">
      <c r="A8861" s="1" t="str">
        <f t="shared" si="317"/>
        <v>19100</v>
      </c>
      <c r="B8861" s="1" t="str">
        <f>"75238"</f>
        <v>75238</v>
      </c>
      <c r="C8861" s="2">
        <v>4.3642202225680198E-3</v>
      </c>
      <c r="D8861" s="2">
        <v>5.5721411776524102E-3</v>
      </c>
      <c r="E8861" s="2">
        <v>4.6435381428591004E-3</v>
      </c>
      <c r="F8861" s="2">
        <v>4.48057710161216E-3</v>
      </c>
    </row>
    <row r="8862" spans="1:6" x14ac:dyDescent="0.25">
      <c r="A8862" s="1" t="str">
        <f t="shared" si="317"/>
        <v>19100</v>
      </c>
      <c r="B8862" s="1" t="str">
        <f>"75249"</f>
        <v>75249</v>
      </c>
      <c r="C8862" s="2">
        <v>1.5294974052106199E-3</v>
      </c>
      <c r="D8862" s="2">
        <v>1.00455502921057E-4</v>
      </c>
      <c r="E8862" s="2">
        <v>4.1153956952961003E-5</v>
      </c>
      <c r="F8862" s="2">
        <v>1.34567713866545E-3</v>
      </c>
    </row>
    <row r="8863" spans="1:6" x14ac:dyDescent="0.25">
      <c r="A8863" s="1" t="str">
        <f t="shared" si="317"/>
        <v>19100</v>
      </c>
      <c r="B8863" s="1" t="str">
        <f>"75229"</f>
        <v>75229</v>
      </c>
      <c r="C8863" s="2">
        <v>4.1994617472166399E-3</v>
      </c>
      <c r="D8863" s="2">
        <v>1.25820517408624E-2</v>
      </c>
      <c r="E8863" s="2">
        <v>7.1745064954662E-3</v>
      </c>
      <c r="F8863" s="2">
        <v>5.0482718262350899E-3</v>
      </c>
    </row>
    <row r="8864" spans="1:6" x14ac:dyDescent="0.25">
      <c r="A8864" s="1" t="str">
        <f t="shared" si="317"/>
        <v>19100</v>
      </c>
      <c r="B8864" s="1" t="str">
        <f>"75287"</f>
        <v>75287</v>
      </c>
      <c r="C8864" s="2">
        <v>9.1779241183855397E-3</v>
      </c>
      <c r="D8864" s="2">
        <v>2.2571095812575102E-3</v>
      </c>
      <c r="E8864" s="2">
        <v>4.4103323867923198E-3</v>
      </c>
      <c r="F8864" s="2">
        <v>8.3849823415766602E-3</v>
      </c>
    </row>
    <row r="8865" spans="1:6" x14ac:dyDescent="0.25">
      <c r="A8865" s="1" t="str">
        <f t="shared" ref="A8865:A8928" si="318">"19100"</f>
        <v>19100</v>
      </c>
      <c r="B8865" s="1" t="str">
        <f>"75354"</f>
        <v>75354</v>
      </c>
      <c r="C8865" s="2">
        <v>4.4697784092475202E-4</v>
      </c>
      <c r="D8865" s="2">
        <v>1.04850431173853E-3</v>
      </c>
      <c r="E8865" s="2">
        <v>1.3717985650986999E-5</v>
      </c>
      <c r="F8865" s="2">
        <v>4.82102986276608E-4</v>
      </c>
    </row>
    <row r="8866" spans="1:6" x14ac:dyDescent="0.25">
      <c r="A8866" s="1" t="str">
        <f t="shared" si="318"/>
        <v>19100</v>
      </c>
      <c r="B8866" s="1" t="str">
        <f>"75068"</f>
        <v>75068</v>
      </c>
      <c r="C8866" s="2">
        <v>7.33081246601464E-3</v>
      </c>
      <c r="D8866" s="2">
        <v>2.0153885273537101E-3</v>
      </c>
      <c r="E8866" s="2">
        <v>1.0357079166495101E-3</v>
      </c>
      <c r="F8866" s="2">
        <v>6.6168156318406699E-3</v>
      </c>
    </row>
    <row r="8867" spans="1:6" x14ac:dyDescent="0.25">
      <c r="A8867" s="1" t="str">
        <f t="shared" si="318"/>
        <v>19100</v>
      </c>
      <c r="B8867" s="1" t="str">
        <f>"75088"</f>
        <v>75088</v>
      </c>
      <c r="C8867" s="2">
        <v>2.9452926686863602E-3</v>
      </c>
      <c r="D8867" s="2">
        <v>3.3118923619286202E-3</v>
      </c>
      <c r="E8867" s="2">
        <v>1.78333813462831E-3</v>
      </c>
      <c r="F8867" s="2">
        <v>2.9309017622873999E-3</v>
      </c>
    </row>
    <row r="8868" spans="1:6" x14ac:dyDescent="0.25">
      <c r="A8868" s="1" t="str">
        <f t="shared" si="318"/>
        <v>19100</v>
      </c>
      <c r="B8868" s="1" t="str">
        <f>"75167"</f>
        <v>75167</v>
      </c>
      <c r="C8868" s="2">
        <v>1.32558529978525E-3</v>
      </c>
      <c r="D8868" s="2">
        <v>2.1660717817353E-4</v>
      </c>
      <c r="E8868" s="2">
        <v>4.4583453365707701E-4</v>
      </c>
      <c r="F8868" s="2">
        <v>1.1939090403197199E-3</v>
      </c>
    </row>
    <row r="8869" spans="1:6" x14ac:dyDescent="0.25">
      <c r="A8869" s="1" t="str">
        <f t="shared" si="318"/>
        <v>19100</v>
      </c>
      <c r="B8869" s="1" t="str">
        <f>"75423"</f>
        <v>75423</v>
      </c>
      <c r="C8869" s="2">
        <v>4.1001681413489798E-4</v>
      </c>
      <c r="D8869" s="2">
        <v>3.7670813595396603E-5</v>
      </c>
      <c r="E8869" s="2">
        <v>6.1730935429441501E-5</v>
      </c>
      <c r="F8869" s="2">
        <v>3.6369652396363501E-4</v>
      </c>
    </row>
    <row r="8870" spans="1:6" x14ac:dyDescent="0.25">
      <c r="A8870" s="1" t="str">
        <f t="shared" si="318"/>
        <v>19100</v>
      </c>
      <c r="B8870" s="1" t="str">
        <f>"75234"</f>
        <v>75234</v>
      </c>
      <c r="C8870" s="2">
        <v>4.2013411214601899E-3</v>
      </c>
      <c r="D8870" s="2">
        <v>9.0033244492997901E-3</v>
      </c>
      <c r="E8870" s="2">
        <v>6.1868115285951403E-3</v>
      </c>
      <c r="F8870" s="2">
        <v>4.6987950159903397E-3</v>
      </c>
    </row>
    <row r="8871" spans="1:6" x14ac:dyDescent="0.25">
      <c r="A8871" s="1" t="str">
        <f t="shared" si="318"/>
        <v>19100</v>
      </c>
      <c r="B8871" s="1" t="str">
        <f>"75244"</f>
        <v>75244</v>
      </c>
      <c r="C8871" s="2">
        <v>1.88532559532311E-3</v>
      </c>
      <c r="D8871" s="2">
        <v>6.9596828117495201E-3</v>
      </c>
      <c r="E8871" s="2">
        <v>3.0934057642975701E-3</v>
      </c>
      <c r="F8871" s="2">
        <v>2.3755125591519502E-3</v>
      </c>
    </row>
    <row r="8872" spans="1:6" x14ac:dyDescent="0.25">
      <c r="A8872" s="1" t="str">
        <f t="shared" si="318"/>
        <v>19100</v>
      </c>
      <c r="B8872" s="1" t="str">
        <f>"75370"</f>
        <v>75370</v>
      </c>
      <c r="C8872" s="2">
        <v>5.4219946926471296E-4</v>
      </c>
      <c r="D8872" s="2">
        <v>2.0122492928874298E-3</v>
      </c>
      <c r="E8872" s="2">
        <v>2.0576978476480501E-5</v>
      </c>
      <c r="F8872" s="2">
        <v>6.49458078506492E-4</v>
      </c>
    </row>
    <row r="8873" spans="1:6" x14ac:dyDescent="0.25">
      <c r="A8873" s="1" t="str">
        <f t="shared" si="318"/>
        <v>19100</v>
      </c>
      <c r="B8873" s="1" t="str">
        <f>"76185"</f>
        <v>76185</v>
      </c>
      <c r="C8873" s="2">
        <v>1.9075648572051401E-4</v>
      </c>
      <c r="D8873" s="2">
        <v>1.57589570207409E-3</v>
      </c>
      <c r="E8873" s="2">
        <v>1.3717985650986999E-5</v>
      </c>
      <c r="F8873" s="2">
        <v>3.0435656479062099E-4</v>
      </c>
    </row>
    <row r="8874" spans="1:6" x14ac:dyDescent="0.25">
      <c r="A8874" s="1" t="str">
        <f t="shared" si="318"/>
        <v>19100</v>
      </c>
      <c r="B8874" s="1" t="str">
        <f>"76206"</f>
        <v>76206</v>
      </c>
      <c r="C8874" s="2">
        <v>4.1690785302792201E-4</v>
      </c>
      <c r="D8874" s="2">
        <v>8.8212488502553699E-4</v>
      </c>
      <c r="E8874" s="2">
        <v>1.3717985650986999E-5</v>
      </c>
      <c r="F8874" s="2">
        <v>4.4135803735135902E-4</v>
      </c>
    </row>
    <row r="8875" spans="1:6" x14ac:dyDescent="0.25">
      <c r="A8875" s="1" t="str">
        <f t="shared" si="318"/>
        <v>19100</v>
      </c>
      <c r="B8875" s="1" t="str">
        <f>"76202"</f>
        <v>76202</v>
      </c>
      <c r="C8875" s="2">
        <v>4.6420543815731098E-4</v>
      </c>
      <c r="D8875" s="2">
        <v>1.70460431519169E-3</v>
      </c>
      <c r="E8875" s="2">
        <v>1.3717985650986999E-5</v>
      </c>
      <c r="F8875" s="2">
        <v>5.5429537900322497E-4</v>
      </c>
    </row>
    <row r="8876" spans="1:6" x14ac:dyDescent="0.25">
      <c r="A8876" s="1" t="str">
        <f t="shared" si="318"/>
        <v>19100</v>
      </c>
      <c r="B8876" s="1" t="str">
        <f>"76204"</f>
        <v>76204</v>
      </c>
      <c r="C8876" s="2">
        <v>5.15261771773803E-4</v>
      </c>
      <c r="D8876" s="2">
        <v>2.1660717817353E-4</v>
      </c>
      <c r="E8876" s="2">
        <v>2.0576978476480501E-5</v>
      </c>
      <c r="F8876" s="2">
        <v>4.6952400875606198E-4</v>
      </c>
    </row>
    <row r="8877" spans="1:6" x14ac:dyDescent="0.25">
      <c r="A8877" s="1" t="str">
        <f t="shared" si="318"/>
        <v>19100</v>
      </c>
      <c r="B8877" s="1" t="str">
        <f>"76003"</f>
        <v>76003</v>
      </c>
      <c r="C8877" s="2">
        <v>9.7884075184993011E-4</v>
      </c>
      <c r="D8877" s="2">
        <v>2.5521976210881201E-3</v>
      </c>
      <c r="E8877" s="2">
        <v>1.3717985650986999E-5</v>
      </c>
      <c r="F8877" s="2">
        <v>1.0774167702381301E-3</v>
      </c>
    </row>
    <row r="8878" spans="1:6" x14ac:dyDescent="0.25">
      <c r="A8878" s="1" t="str">
        <f t="shared" si="318"/>
        <v>19100</v>
      </c>
      <c r="B8878" s="1" t="str">
        <f>"75089"</f>
        <v>75089</v>
      </c>
      <c r="C8878" s="2">
        <v>3.5783285597227499E-3</v>
      </c>
      <c r="D8878" s="2">
        <v>5.1169521800413704E-4</v>
      </c>
      <c r="E8878" s="2">
        <v>4.4583453365707701E-4</v>
      </c>
      <c r="F8878" s="2">
        <v>3.1863096971611101E-3</v>
      </c>
    </row>
    <row r="8879" spans="1:6" x14ac:dyDescent="0.25">
      <c r="A8879" s="1" t="str">
        <f t="shared" si="318"/>
        <v>19100</v>
      </c>
      <c r="B8879" s="1" t="str">
        <f>"75038"</f>
        <v>75038</v>
      </c>
      <c r="C8879" s="2">
        <v>4.6411146944513298E-3</v>
      </c>
      <c r="D8879" s="2">
        <v>4.5173583969813098E-3</v>
      </c>
      <c r="E8879" s="2">
        <v>1.6585044652043201E-2</v>
      </c>
      <c r="F8879" s="2">
        <v>5.1065179612758901E-3</v>
      </c>
    </row>
    <row r="8880" spans="1:6" x14ac:dyDescent="0.25">
      <c r="A8880" s="1" t="str">
        <f t="shared" si="318"/>
        <v>19100</v>
      </c>
      <c r="B8880" s="1" t="str">
        <f>"75039"</f>
        <v>75039</v>
      </c>
      <c r="C8880" s="2">
        <v>4.3520042899849298E-3</v>
      </c>
      <c r="D8880" s="2">
        <v>3.9899670066457496E-3</v>
      </c>
      <c r="E8880" s="2">
        <v>6.5571971411717903E-3</v>
      </c>
      <c r="F8880" s="2">
        <v>4.4083847088855401E-3</v>
      </c>
    </row>
    <row r="8881" spans="1:6" x14ac:dyDescent="0.25">
      <c r="A8881" s="1" t="str">
        <f t="shared" si="318"/>
        <v>19100</v>
      </c>
      <c r="B8881" s="1" t="str">
        <f>"75040"</f>
        <v>75040</v>
      </c>
      <c r="C8881" s="2">
        <v>6.6197825438708497E-3</v>
      </c>
      <c r="D8881" s="2">
        <v>5.5815588810512601E-3</v>
      </c>
      <c r="E8881" s="2">
        <v>5.1579626047711102E-3</v>
      </c>
      <c r="F8881" s="2">
        <v>6.4710635662221603E-3</v>
      </c>
    </row>
    <row r="8882" spans="1:6" x14ac:dyDescent="0.25">
      <c r="A8882" s="1" t="str">
        <f t="shared" si="318"/>
        <v>19100</v>
      </c>
      <c r="B8882" s="1" t="str">
        <f>"75044"</f>
        <v>75044</v>
      </c>
      <c r="C8882" s="2">
        <v>5.6315449208031599E-3</v>
      </c>
      <c r="D8882" s="2">
        <v>1.56019952974267E-3</v>
      </c>
      <c r="E8882" s="2">
        <v>7.2979683663250798E-3</v>
      </c>
      <c r="F8882" s="2">
        <v>5.3433308859018296E-3</v>
      </c>
    </row>
    <row r="8883" spans="1:6" x14ac:dyDescent="0.25">
      <c r="A8883" s="1" t="str">
        <f t="shared" si="318"/>
        <v>19100</v>
      </c>
      <c r="B8883" s="1" t="str">
        <f>"75052"</f>
        <v>75052</v>
      </c>
      <c r="C8883" s="2">
        <v>1.0017691176212601E-2</v>
      </c>
      <c r="D8883" s="2">
        <v>3.5630311192312602E-3</v>
      </c>
      <c r="E8883" s="2">
        <v>4.1222546881215898E-3</v>
      </c>
      <c r="F8883" s="2">
        <v>9.2203905225608004E-3</v>
      </c>
    </row>
    <row r="8884" spans="1:6" x14ac:dyDescent="0.25">
      <c r="A8884" s="1" t="str">
        <f t="shared" si="318"/>
        <v>19100</v>
      </c>
      <c r="B8884" s="1" t="str">
        <f>"76112"</f>
        <v>76112</v>
      </c>
      <c r="C8884" s="2">
        <v>6.3748374341279302E-3</v>
      </c>
      <c r="D8884" s="2">
        <v>3.7827775318710699E-3</v>
      </c>
      <c r="E8884" s="2">
        <v>1.25725338491295E-2</v>
      </c>
      <c r="F8884" s="2">
        <v>6.3961366131649903E-3</v>
      </c>
    </row>
    <row r="8885" spans="1:6" x14ac:dyDescent="0.25">
      <c r="A8885" s="1" t="str">
        <f t="shared" si="318"/>
        <v>19100</v>
      </c>
      <c r="B8885" s="1" t="str">
        <f>"76114"</f>
        <v>76114</v>
      </c>
      <c r="C8885" s="2">
        <v>3.69046455625468E-3</v>
      </c>
      <c r="D8885" s="2">
        <v>3.0419181978282701E-3</v>
      </c>
      <c r="E8885" s="2">
        <v>2.9905208719151598E-3</v>
      </c>
      <c r="F8885" s="2">
        <v>3.6060647079011001E-3</v>
      </c>
    </row>
    <row r="8886" spans="1:6" x14ac:dyDescent="0.25">
      <c r="A8886" s="1" t="str">
        <f t="shared" si="318"/>
        <v>19100</v>
      </c>
      <c r="B8886" s="1" t="str">
        <f>"76116"</f>
        <v>76116</v>
      </c>
      <c r="C8886" s="2">
        <v>8.5339252109284305E-3</v>
      </c>
      <c r="D8886" s="2">
        <v>8.8495019604519203E-3</v>
      </c>
      <c r="E8886" s="2">
        <v>1.8930820198362001E-2</v>
      </c>
      <c r="F8886" s="2">
        <v>8.9759208290093005E-3</v>
      </c>
    </row>
    <row r="8887" spans="1:6" x14ac:dyDescent="0.25">
      <c r="A8887" s="1" t="str">
        <f t="shared" si="318"/>
        <v>19100</v>
      </c>
      <c r="B8887" s="1" t="str">
        <f>"76135"</f>
        <v>76135</v>
      </c>
      <c r="C8887" s="2">
        <v>2.8820204024867799E-3</v>
      </c>
      <c r="D8887" s="2">
        <v>2.4642990560321898E-3</v>
      </c>
      <c r="E8887" s="2">
        <v>3.0453928145191102E-3</v>
      </c>
      <c r="F8887" s="2">
        <v>2.8521464247674498E-3</v>
      </c>
    </row>
    <row r="8888" spans="1:6" x14ac:dyDescent="0.25">
      <c r="A8888" s="1" t="str">
        <f t="shared" si="318"/>
        <v>19100</v>
      </c>
      <c r="B8888" s="1" t="str">
        <f>"76161"</f>
        <v>76161</v>
      </c>
      <c r="C8888" s="2">
        <v>6.1236277435731598E-4</v>
      </c>
      <c r="D8888" s="2">
        <v>1.8395913972418601E-3</v>
      </c>
      <c r="E8888" s="2">
        <v>2.0576978476480501E-5</v>
      </c>
      <c r="F8888" s="2">
        <v>6.9567214809284901E-4</v>
      </c>
    </row>
    <row r="8889" spans="1:6" x14ac:dyDescent="0.25">
      <c r="A8889" s="1" t="str">
        <f t="shared" si="318"/>
        <v>19100</v>
      </c>
      <c r="B8889" s="1" t="str">
        <f>"75355"</f>
        <v>75355</v>
      </c>
      <c r="C8889" s="2">
        <v>2.2865719963214301E-4</v>
      </c>
      <c r="D8889" s="2">
        <v>8.4759330589642397E-4</v>
      </c>
      <c r="E8889" s="2">
        <v>1.3717985650986999E-5</v>
      </c>
      <c r="F8889" s="2">
        <v>2.7400294512147601E-4</v>
      </c>
    </row>
    <row r="8890" spans="1:6" x14ac:dyDescent="0.25">
      <c r="A8890" s="1" t="str">
        <f t="shared" si="318"/>
        <v>19100</v>
      </c>
      <c r="B8890" s="1" t="str">
        <f>"76058"</f>
        <v>76058</v>
      </c>
      <c r="C8890" s="2">
        <v>2.5377816868761998E-3</v>
      </c>
      <c r="D8890" s="2">
        <v>8.8212488502553699E-4</v>
      </c>
      <c r="E8890" s="2">
        <v>8.3679712471020702E-4</v>
      </c>
      <c r="F8890" s="2">
        <v>2.3257435611358799E-3</v>
      </c>
    </row>
    <row r="8891" spans="1:6" x14ac:dyDescent="0.25">
      <c r="A8891" s="1" t="str">
        <f t="shared" si="318"/>
        <v>19100</v>
      </c>
      <c r="B8891" s="1" t="str">
        <f>"76082"</f>
        <v>76082</v>
      </c>
      <c r="C8891" s="2">
        <v>2.6752892356960798E-3</v>
      </c>
      <c r="D8891" s="2">
        <v>1.24941531758065E-3</v>
      </c>
      <c r="E8891" s="2">
        <v>7.5448921080428495E-4</v>
      </c>
      <c r="F8891" s="2">
        <v>2.4745036431180001E-3</v>
      </c>
    </row>
    <row r="8892" spans="1:6" x14ac:dyDescent="0.25">
      <c r="A8892" s="1" t="str">
        <f t="shared" si="318"/>
        <v>19100</v>
      </c>
      <c r="B8892" s="1" t="str">
        <f>"76052"</f>
        <v>76052</v>
      </c>
      <c r="C8892" s="2">
        <v>3.0001077507899598E-3</v>
      </c>
      <c r="D8892" s="2">
        <v>2.2131602987295498E-3</v>
      </c>
      <c r="E8892" s="2">
        <v>7.6134820362977896E-4</v>
      </c>
      <c r="F8892" s="2">
        <v>2.84230200757746E-3</v>
      </c>
    </row>
    <row r="8893" spans="1:6" x14ac:dyDescent="0.25">
      <c r="A8893" s="1" t="str">
        <f t="shared" si="318"/>
        <v>19100</v>
      </c>
      <c r="B8893" s="1" t="str">
        <f>"76101"</f>
        <v>76101</v>
      </c>
      <c r="C8893" s="2">
        <v>2.18320641292608E-4</v>
      </c>
      <c r="D8893" s="2">
        <v>1.5633387642089601E-3</v>
      </c>
      <c r="E8893" s="2">
        <v>1.3717985650986999E-5</v>
      </c>
      <c r="F8893" s="2">
        <v>3.2732687156727198E-4</v>
      </c>
    </row>
    <row r="8894" spans="1:6" x14ac:dyDescent="0.25">
      <c r="A8894" s="1" t="str">
        <f t="shared" si="318"/>
        <v>19100</v>
      </c>
      <c r="B8894" s="1" t="str">
        <f>"76097"</f>
        <v>76097</v>
      </c>
      <c r="C8894" s="2">
        <v>5.6757102155266298E-4</v>
      </c>
      <c r="D8894" s="2">
        <v>1.8458698661744299E-3</v>
      </c>
      <c r="E8894" s="2">
        <v>1.3717985650986999E-5</v>
      </c>
      <c r="F8894" s="2">
        <v>6.5684139139898703E-4</v>
      </c>
    </row>
    <row r="8895" spans="1:6" x14ac:dyDescent="0.25">
      <c r="A8895" s="1" t="str">
        <f t="shared" si="318"/>
        <v>19100</v>
      </c>
      <c r="B8895" s="1" t="str">
        <f>"76210"</f>
        <v>76210</v>
      </c>
      <c r="C8895" s="2">
        <v>5.3064131766686904E-3</v>
      </c>
      <c r="D8895" s="2">
        <v>2.10956556134221E-3</v>
      </c>
      <c r="E8895" s="2">
        <v>2.9356489293112099E-3</v>
      </c>
      <c r="F8895" s="2">
        <v>4.9334202923518398E-3</v>
      </c>
    </row>
    <row r="8896" spans="1:6" x14ac:dyDescent="0.25">
      <c r="A8896" s="1" t="str">
        <f t="shared" si="318"/>
        <v>19100</v>
      </c>
      <c r="B8896" s="1" t="str">
        <f>"76270"</f>
        <v>76270</v>
      </c>
      <c r="C8896" s="2">
        <v>1.18400577343767E-4</v>
      </c>
      <c r="D8896" s="2">
        <v>2.1974641263981301E-5</v>
      </c>
      <c r="E8896" s="2">
        <v>1.3717985650986999E-5</v>
      </c>
      <c r="F8896" s="2">
        <v>1.05827484792426E-4</v>
      </c>
    </row>
    <row r="8897" spans="1:6" x14ac:dyDescent="0.25">
      <c r="A8897" s="1" t="str">
        <f t="shared" si="318"/>
        <v>19100</v>
      </c>
      <c r="B8897" s="1" t="str">
        <f>"76002"</f>
        <v>76002</v>
      </c>
      <c r="C8897" s="2">
        <v>3.17990122008975E-3</v>
      </c>
      <c r="D8897" s="2">
        <v>5.4622679713325103E-4</v>
      </c>
      <c r="E8897" s="2">
        <v>3.7724460540214199E-4</v>
      </c>
      <c r="F8897" s="2">
        <v>2.83874707914774E-3</v>
      </c>
    </row>
    <row r="8898" spans="1:6" x14ac:dyDescent="0.25">
      <c r="A8898" s="1" t="str">
        <f t="shared" si="318"/>
        <v>19100</v>
      </c>
      <c r="B8898" s="1" t="str">
        <f>"76020"</f>
        <v>76020</v>
      </c>
      <c r="C8898" s="2">
        <v>4.2981288950031098E-3</v>
      </c>
      <c r="D8898" s="2">
        <v>2.3795397254425502E-3</v>
      </c>
      <c r="E8898" s="2">
        <v>3.2648805849348999E-3</v>
      </c>
      <c r="F8898" s="2">
        <v>4.0898084303760398E-3</v>
      </c>
    </row>
    <row r="8899" spans="1:6" x14ac:dyDescent="0.25">
      <c r="A8899" s="1" t="str">
        <f t="shared" si="318"/>
        <v>19100</v>
      </c>
      <c r="B8899" s="1" t="str">
        <f>"76022"</f>
        <v>76022</v>
      </c>
      <c r="C8899" s="2">
        <v>2.0068584630728E-3</v>
      </c>
      <c r="D8899" s="2">
        <v>2.2194387676621099E-3</v>
      </c>
      <c r="E8899" s="2">
        <v>3.7930230324979002E-3</v>
      </c>
      <c r="F8899" s="2">
        <v>2.0965874054354799E-3</v>
      </c>
    </row>
    <row r="8900" spans="1:6" x14ac:dyDescent="0.25">
      <c r="A8900" s="1" t="str">
        <f t="shared" si="318"/>
        <v>19100</v>
      </c>
      <c r="B8900" s="1" t="str">
        <f>"75022"</f>
        <v>75022</v>
      </c>
      <c r="C8900" s="2">
        <v>2.92086080352019E-3</v>
      </c>
      <c r="D8900" s="2">
        <v>1.4409086200239201E-3</v>
      </c>
      <c r="E8900" s="2">
        <v>1.4884014431320899E-3</v>
      </c>
      <c r="F8900" s="2">
        <v>2.7348337865867002E-3</v>
      </c>
    </row>
    <row r="8901" spans="1:6" x14ac:dyDescent="0.25">
      <c r="A8901" s="1" t="str">
        <f t="shared" si="318"/>
        <v>19100</v>
      </c>
      <c r="B8901" s="1" t="str">
        <f>"75206"</f>
        <v>75206</v>
      </c>
      <c r="C8901" s="2">
        <v>8.2849081236578102E-3</v>
      </c>
      <c r="D8901" s="2">
        <v>7.8418076967750605E-3</v>
      </c>
      <c r="E8901" s="2">
        <v>1.75590216332633E-2</v>
      </c>
      <c r="F8901" s="2">
        <v>8.6160526895084407E-3</v>
      </c>
    </row>
    <row r="8902" spans="1:6" x14ac:dyDescent="0.25">
      <c r="A8902" s="1" t="str">
        <f t="shared" si="318"/>
        <v>19100</v>
      </c>
      <c r="B8902" s="1" t="str">
        <f>"75216"</f>
        <v>75216</v>
      </c>
      <c r="C8902" s="2">
        <v>6.2100789587765503E-3</v>
      </c>
      <c r="D8902" s="2">
        <v>3.9052076760561099E-3</v>
      </c>
      <c r="E8902" s="2">
        <v>3.0179568432171398E-3</v>
      </c>
      <c r="F8902" s="2">
        <v>5.8820392710208997E-3</v>
      </c>
    </row>
    <row r="8903" spans="1:6" x14ac:dyDescent="0.25">
      <c r="A8903" s="1" t="str">
        <f t="shared" si="318"/>
        <v>19100</v>
      </c>
      <c r="B8903" s="1" t="str">
        <f>"75126"</f>
        <v>75126</v>
      </c>
      <c r="C8903" s="2">
        <v>7.5055942706649696E-3</v>
      </c>
      <c r="D8903" s="2">
        <v>4.2034349503530001E-3</v>
      </c>
      <c r="E8903" s="2">
        <v>8.8481007448866196E-4</v>
      </c>
      <c r="F8903" s="2">
        <v>6.95398692059793E-3</v>
      </c>
    </row>
    <row r="8904" spans="1:6" x14ac:dyDescent="0.25">
      <c r="A8904" s="1" t="str">
        <f t="shared" si="318"/>
        <v>19100</v>
      </c>
      <c r="B8904" s="1" t="str">
        <f>"75147"</f>
        <v>75147</v>
      </c>
      <c r="C8904" s="2">
        <v>1.22848429720173E-3</v>
      </c>
      <c r="D8904" s="2">
        <v>1.4974148404170099E-3</v>
      </c>
      <c r="E8904" s="2">
        <v>4.3211654800609002E-4</v>
      </c>
      <c r="F8904" s="2">
        <v>1.2201608194930299E-3</v>
      </c>
    </row>
    <row r="8905" spans="1:6" x14ac:dyDescent="0.25">
      <c r="A8905" s="1" t="str">
        <f t="shared" si="318"/>
        <v>19100</v>
      </c>
      <c r="B8905" s="1" t="str">
        <f>"75165"</f>
        <v>75165</v>
      </c>
      <c r="C8905" s="2">
        <v>5.9582428101406003E-3</v>
      </c>
      <c r="D8905" s="2">
        <v>5.12323064897394E-3</v>
      </c>
      <c r="E8905" s="2">
        <v>3.57353526208211E-3</v>
      </c>
      <c r="F8905" s="2">
        <v>5.7904314999473504E-3</v>
      </c>
    </row>
    <row r="8906" spans="1:6" x14ac:dyDescent="0.25">
      <c r="A8906" s="1" t="str">
        <f t="shared" si="318"/>
        <v>19100</v>
      </c>
      <c r="B8906" s="1" t="str">
        <f>"75106"</f>
        <v>75106</v>
      </c>
      <c r="C8906" s="2">
        <v>6.4431213649769798E-4</v>
      </c>
      <c r="D8906" s="2">
        <v>2.3701220220436999E-3</v>
      </c>
      <c r="E8906" s="2">
        <v>1.3717985650986999E-5</v>
      </c>
      <c r="F8906" s="2">
        <v>7.6950527701779702E-4</v>
      </c>
    </row>
    <row r="8907" spans="1:6" x14ac:dyDescent="0.25">
      <c r="A8907" s="1" t="str">
        <f t="shared" si="318"/>
        <v>19100</v>
      </c>
      <c r="B8907" s="1" t="str">
        <f>"75233"</f>
        <v>75233</v>
      </c>
      <c r="C8907" s="2">
        <v>1.6491508987167599E-3</v>
      </c>
      <c r="D8907" s="2">
        <v>7.2516316171138497E-4</v>
      </c>
      <c r="E8907" s="2">
        <v>3.3609064844918098E-3</v>
      </c>
      <c r="F8907" s="2">
        <v>1.63690781386941E-3</v>
      </c>
    </row>
    <row r="8908" spans="1:6" x14ac:dyDescent="0.25">
      <c r="A8908" s="1" t="str">
        <f t="shared" si="318"/>
        <v>19100</v>
      </c>
      <c r="B8908" s="1" t="str">
        <f>"75243"</f>
        <v>75243</v>
      </c>
      <c r="C8908" s="2">
        <v>9.2985172990134504E-3</v>
      </c>
      <c r="D8908" s="2">
        <v>9.5432727775004705E-3</v>
      </c>
      <c r="E8908" s="2">
        <v>9.6437439126438596E-3</v>
      </c>
      <c r="F8908" s="2">
        <v>9.3336013202457192E-3</v>
      </c>
    </row>
    <row r="8909" spans="1:6" x14ac:dyDescent="0.25">
      <c r="A8909" s="1" t="str">
        <f t="shared" si="318"/>
        <v>19100</v>
      </c>
      <c r="B8909" s="1" t="str">
        <f>"75254"</f>
        <v>75254</v>
      </c>
      <c r="C8909" s="2">
        <v>4.0820008569946503E-3</v>
      </c>
      <c r="D8909" s="2">
        <v>5.0039397392551803E-3</v>
      </c>
      <c r="E8909" s="2">
        <v>6.3377093707559897E-3</v>
      </c>
      <c r="F8909" s="2">
        <v>4.2522413140109296E-3</v>
      </c>
    </row>
    <row r="8910" spans="1:6" x14ac:dyDescent="0.25">
      <c r="A8910" s="1" t="str">
        <f t="shared" si="318"/>
        <v>19100</v>
      </c>
      <c r="B8910" s="1" t="str">
        <f>"75374"</f>
        <v>75374</v>
      </c>
      <c r="C8910" s="2">
        <v>5.0210615206894001E-4</v>
      </c>
      <c r="D8910" s="2">
        <v>1.13326364232818E-3</v>
      </c>
      <c r="E8910" s="2">
        <v>1.3717985650986999E-5</v>
      </c>
      <c r="F8910" s="2">
        <v>5.3761456098684796E-4</v>
      </c>
    </row>
    <row r="8911" spans="1:6" x14ac:dyDescent="0.25">
      <c r="A8911" s="1" t="str">
        <f t="shared" si="318"/>
        <v>19100</v>
      </c>
      <c r="B8911" s="1" t="str">
        <f>"75251"</f>
        <v>75251</v>
      </c>
      <c r="C8911" s="2">
        <v>8.8706464295648104E-4</v>
      </c>
      <c r="D8911" s="2">
        <v>2.4077928356391002E-3</v>
      </c>
      <c r="E8911" s="2">
        <v>3.2991755490623699E-3</v>
      </c>
      <c r="F8911" s="2">
        <v>1.11570061486589E-3</v>
      </c>
    </row>
    <row r="8912" spans="1:6" x14ac:dyDescent="0.25">
      <c r="A8912" s="1" t="str">
        <f t="shared" si="318"/>
        <v>19100</v>
      </c>
      <c r="B8912" s="1" t="str">
        <f>"75071"</f>
        <v>75071</v>
      </c>
      <c r="C8912" s="2">
        <v>7.5541447719567204E-3</v>
      </c>
      <c r="D8912" s="2">
        <v>5.1671799315019E-3</v>
      </c>
      <c r="E8912" s="2">
        <v>2.15372374720496E-3</v>
      </c>
      <c r="F8912" s="2">
        <v>7.1309129739847597E-3</v>
      </c>
    </row>
    <row r="8913" spans="1:6" x14ac:dyDescent="0.25">
      <c r="A8913" s="1" t="str">
        <f t="shared" si="318"/>
        <v>19100</v>
      </c>
      <c r="B8913" s="1" t="str">
        <f>"75063"</f>
        <v>75063</v>
      </c>
      <c r="C8913" s="2">
        <v>6.34163515582518E-3</v>
      </c>
      <c r="D8913" s="2">
        <v>6.3443928563580399E-3</v>
      </c>
      <c r="E8913" s="2">
        <v>1.16397108248624E-2</v>
      </c>
      <c r="F8913" s="2">
        <v>6.5531003761387704E-3</v>
      </c>
    </row>
    <row r="8914" spans="1:6" x14ac:dyDescent="0.25">
      <c r="A8914" s="1" t="str">
        <f t="shared" si="318"/>
        <v>19100</v>
      </c>
      <c r="B8914" s="1" t="str">
        <f>"75065"</f>
        <v>75065</v>
      </c>
      <c r="C8914" s="2">
        <v>1.9918234691243802E-3</v>
      </c>
      <c r="D8914" s="2">
        <v>1.9494646035617699E-3</v>
      </c>
      <c r="E8914" s="2">
        <v>9.3282302426711604E-4</v>
      </c>
      <c r="F8914" s="2">
        <v>1.94591313122197E-3</v>
      </c>
    </row>
    <row r="8915" spans="1:6" x14ac:dyDescent="0.25">
      <c r="A8915" s="1" t="str">
        <f t="shared" si="318"/>
        <v>19100</v>
      </c>
      <c r="B8915" s="1" t="str">
        <f>"75048"</f>
        <v>75048</v>
      </c>
      <c r="C8915" s="2">
        <v>2.9477985010111E-3</v>
      </c>
      <c r="D8915" s="2">
        <v>9.1665646415465098E-4</v>
      </c>
      <c r="E8915" s="2">
        <v>9.5340000274359699E-4</v>
      </c>
      <c r="F8915" s="2">
        <v>2.6913542773309E-3</v>
      </c>
    </row>
    <row r="8916" spans="1:6" x14ac:dyDescent="0.25">
      <c r="A8916" s="1" t="str">
        <f t="shared" si="318"/>
        <v>19100</v>
      </c>
      <c r="B8916" s="1" t="str">
        <f>"75050"</f>
        <v>75050</v>
      </c>
      <c r="C8916" s="2">
        <v>5.2826077695836996E-3</v>
      </c>
      <c r="D8916" s="2">
        <v>7.87947851037046E-3</v>
      </c>
      <c r="E8916" s="2">
        <v>9.1773324005103001E-3</v>
      </c>
      <c r="F8916" s="2">
        <v>5.6640948126757797E-3</v>
      </c>
    </row>
    <row r="8917" spans="1:6" x14ac:dyDescent="0.25">
      <c r="A8917" s="1" t="str">
        <f t="shared" si="318"/>
        <v>19100</v>
      </c>
      <c r="B8917" s="1" t="str">
        <f>"75060"</f>
        <v>75060</v>
      </c>
      <c r="C8917" s="2">
        <v>4.9847269519807296E-3</v>
      </c>
      <c r="D8917" s="2">
        <v>3.7859167663373602E-3</v>
      </c>
      <c r="E8917" s="2">
        <v>4.2457165589804696E-3</v>
      </c>
      <c r="F8917" s="2">
        <v>4.8508365703691199E-3</v>
      </c>
    </row>
    <row r="8918" spans="1:6" x14ac:dyDescent="0.25">
      <c r="A8918" s="1" t="str">
        <f t="shared" si="318"/>
        <v>19100</v>
      </c>
      <c r="B8918" s="1" t="str">
        <f>"76110"</f>
        <v>76110</v>
      </c>
      <c r="C8918" s="2">
        <v>3.8971957230453801E-3</v>
      </c>
      <c r="D8918" s="2">
        <v>4.6303708377675003E-3</v>
      </c>
      <c r="E8918" s="2">
        <v>5.30886044693197E-3</v>
      </c>
      <c r="F8918" s="2">
        <v>4.0173425816163698E-3</v>
      </c>
    </row>
    <row r="8919" spans="1:6" x14ac:dyDescent="0.25">
      <c r="A8919" s="1" t="str">
        <f t="shared" si="318"/>
        <v>19100</v>
      </c>
      <c r="B8919" s="1" t="str">
        <f>"76117"</f>
        <v>76117</v>
      </c>
      <c r="C8919" s="2">
        <v>4.0049465130090204E-3</v>
      </c>
      <c r="D8919" s="2">
        <v>5.7385206043654097E-3</v>
      </c>
      <c r="E8919" s="2">
        <v>5.4940532532202898E-3</v>
      </c>
      <c r="F8919" s="2">
        <v>4.2153247495484497E-3</v>
      </c>
    </row>
    <row r="8920" spans="1:6" x14ac:dyDescent="0.25">
      <c r="A8920" s="1" t="str">
        <f t="shared" si="318"/>
        <v>19100</v>
      </c>
      <c r="B8920" s="1" t="str">
        <f>"76120"</f>
        <v>76120</v>
      </c>
      <c r="C8920" s="2">
        <v>2.7758357577261001E-3</v>
      </c>
      <c r="D8920" s="2">
        <v>1.2023268005864E-3</v>
      </c>
      <c r="E8920" s="2">
        <v>4.4514863437452798E-3</v>
      </c>
      <c r="F8920" s="2">
        <v>2.7055739910497802E-3</v>
      </c>
    </row>
    <row r="8921" spans="1:6" x14ac:dyDescent="0.25">
      <c r="A8921" s="1" t="str">
        <f t="shared" si="318"/>
        <v>19100</v>
      </c>
      <c r="B8921" s="1" t="str">
        <f>"76126"</f>
        <v>76126</v>
      </c>
      <c r="C8921" s="2">
        <v>3.8163826305726502E-3</v>
      </c>
      <c r="D8921" s="2">
        <v>2.7279947511999699E-3</v>
      </c>
      <c r="E8921" s="2">
        <v>3.0316748288681198E-3</v>
      </c>
      <c r="F8921" s="2">
        <v>3.69028916608215E-3</v>
      </c>
    </row>
    <row r="8922" spans="1:6" x14ac:dyDescent="0.25">
      <c r="A8922" s="1" t="str">
        <f t="shared" si="318"/>
        <v>19100</v>
      </c>
      <c r="B8922" s="1" t="str">
        <f>"76132"</f>
        <v>76132</v>
      </c>
      <c r="C8922" s="2">
        <v>4.4149633271439196E-3</v>
      </c>
      <c r="D8922" s="2">
        <v>3.68860049788258E-3</v>
      </c>
      <c r="E8922" s="2">
        <v>9.6917568624223203E-3</v>
      </c>
      <c r="F8922" s="2">
        <v>4.5620669994626498E-3</v>
      </c>
    </row>
    <row r="8923" spans="1:6" x14ac:dyDescent="0.25">
      <c r="A8923" s="1" t="str">
        <f t="shared" si="318"/>
        <v>19100</v>
      </c>
      <c r="B8923" s="1" t="str">
        <f>"76155"</f>
        <v>76155</v>
      </c>
      <c r="C8923" s="2">
        <v>1.561446767351E-3</v>
      </c>
      <c r="D8923" s="2">
        <v>1.25255455204693E-3</v>
      </c>
      <c r="E8923" s="2">
        <v>3.0865467714720702E-3</v>
      </c>
      <c r="F8923" s="2">
        <v>1.5953424968450001E-3</v>
      </c>
    </row>
    <row r="8924" spans="1:6" x14ac:dyDescent="0.25">
      <c r="A8924" s="1" t="str">
        <f t="shared" si="318"/>
        <v>19100</v>
      </c>
      <c r="B8924" s="1" t="str">
        <f>"76051"</f>
        <v>76051</v>
      </c>
      <c r="C8924" s="2">
        <v>6.9799959405516298E-3</v>
      </c>
      <c r="D8924" s="2">
        <v>9.1414507658162392E-3</v>
      </c>
      <c r="E8924" s="2">
        <v>7.5791870721703203E-3</v>
      </c>
      <c r="F8924" s="2">
        <v>7.1921671253891602E-3</v>
      </c>
    </row>
    <row r="8925" spans="1:6" x14ac:dyDescent="0.25">
      <c r="A8925" s="1" t="str">
        <f t="shared" si="318"/>
        <v>19100</v>
      </c>
      <c r="B8925" s="1" t="str">
        <f>"75469"</f>
        <v>75469</v>
      </c>
      <c r="C8925" s="2">
        <v>5.0116646494716396E-6</v>
      </c>
      <c r="D8925" s="2">
        <v>0</v>
      </c>
      <c r="E8925" s="2">
        <v>0</v>
      </c>
      <c r="F8925" s="2">
        <v>4.3752965288858401E-6</v>
      </c>
    </row>
    <row r="8926" spans="1:6" x14ac:dyDescent="0.25">
      <c r="A8926" s="1" t="str">
        <f t="shared" si="318"/>
        <v>19100</v>
      </c>
      <c r="B8926" s="1" t="str">
        <f>"75250"</f>
        <v>75250</v>
      </c>
      <c r="C8926" s="2">
        <v>8.1439550553914203E-6</v>
      </c>
      <c r="D8926" s="2">
        <v>2.5113875730264399E-5</v>
      </c>
      <c r="E8926" s="2">
        <v>1.3717985650986999E-5</v>
      </c>
      <c r="F8926" s="2">
        <v>9.8444171899931408E-6</v>
      </c>
    </row>
    <row r="8927" spans="1:6" x14ac:dyDescent="0.25">
      <c r="A8927" s="1" t="str">
        <f t="shared" si="318"/>
        <v>19100</v>
      </c>
      <c r="B8927" s="1" t="str">
        <f>"75242"</f>
        <v>75242</v>
      </c>
      <c r="C8927" s="2">
        <v>3.13229040591977E-7</v>
      </c>
      <c r="D8927" s="2">
        <v>2.6055646070149302E-4</v>
      </c>
      <c r="E8927" s="2">
        <v>6.1730935429441501E-5</v>
      </c>
      <c r="F8927" s="2">
        <v>2.54314110741489E-5</v>
      </c>
    </row>
    <row r="8928" spans="1:6" x14ac:dyDescent="0.25">
      <c r="A8928" s="1" t="str">
        <f t="shared" si="318"/>
        <v>19100</v>
      </c>
      <c r="B8928" s="1" t="str">
        <f>"75495"</f>
        <v>75495</v>
      </c>
      <c r="C8928" s="2">
        <v>4.4478523764060799E-5</v>
      </c>
      <c r="D8928" s="2">
        <v>1.2556937865132199E-5</v>
      </c>
      <c r="E8928" s="2">
        <v>0</v>
      </c>
      <c r="F8928" s="2">
        <v>3.9924580826083301E-5</v>
      </c>
    </row>
    <row r="8929" spans="1:6" x14ac:dyDescent="0.25">
      <c r="A8929" s="1" t="str">
        <f t="shared" ref="A8929:A8995" si="319">"19100"</f>
        <v>19100</v>
      </c>
      <c r="B8929" s="1" t="str">
        <f>"75380"</f>
        <v>75380</v>
      </c>
      <c r="C8929" s="2">
        <v>4.7047001896914999E-4</v>
      </c>
      <c r="D8929" s="2">
        <v>1.57589570207409E-3</v>
      </c>
      <c r="E8929" s="2">
        <v>1.3717985650986999E-5</v>
      </c>
      <c r="F8929" s="2">
        <v>5.4855280230906196E-4</v>
      </c>
    </row>
    <row r="8930" spans="1:6" x14ac:dyDescent="0.25">
      <c r="A8930" s="1" t="str">
        <f t="shared" si="319"/>
        <v>19100</v>
      </c>
      <c r="B8930" s="1" t="str">
        <f>"75367"</f>
        <v>75367</v>
      </c>
      <c r="C8930" s="2">
        <v>1.3312234225159E-4</v>
      </c>
      <c r="D8930" s="2">
        <v>1.40323780642852E-3</v>
      </c>
      <c r="E8930" s="2">
        <v>1.3717985650986999E-5</v>
      </c>
      <c r="F8930" s="2">
        <v>2.39000572890389E-4</v>
      </c>
    </row>
    <row r="8931" spans="1:6" x14ac:dyDescent="0.25">
      <c r="A8931" s="1" t="str">
        <f t="shared" si="319"/>
        <v>19100</v>
      </c>
      <c r="B8931" s="1" t="str">
        <f>"76113"</f>
        <v>76113</v>
      </c>
      <c r="C8931" s="2">
        <v>2.05478250628337E-4</v>
      </c>
      <c r="D8931" s="2">
        <v>5.7761914179608098E-4</v>
      </c>
      <c r="E8931" s="2">
        <v>1.3717985650986999E-5</v>
      </c>
      <c r="F8931" s="2">
        <v>2.30249979832617E-4</v>
      </c>
    </row>
    <row r="8932" spans="1:6" x14ac:dyDescent="0.25">
      <c r="A8932" s="1" t="str">
        <f t="shared" si="319"/>
        <v>19100</v>
      </c>
      <c r="B8932" s="1" t="str">
        <f>"76201"</f>
        <v>76201</v>
      </c>
      <c r="C8932" s="2">
        <v>4.7504316296179301E-3</v>
      </c>
      <c r="D8932" s="2">
        <v>6.3255574495603498E-3</v>
      </c>
      <c r="E8932" s="2">
        <v>1.02747712525892E-2</v>
      </c>
      <c r="F8932" s="2">
        <v>5.10788524144116E-3</v>
      </c>
    </row>
    <row r="8933" spans="1:6" x14ac:dyDescent="0.25">
      <c r="A8933" s="1" t="str">
        <f t="shared" si="319"/>
        <v>19100</v>
      </c>
      <c r="B8933" s="1" t="str">
        <f>"76258"</f>
        <v>76258</v>
      </c>
      <c r="C8933" s="2">
        <v>8.2441883483808499E-4</v>
      </c>
      <c r="D8933" s="2">
        <v>6.8121387918342199E-4</v>
      </c>
      <c r="E8933" s="2">
        <v>2.49667338847963E-3</v>
      </c>
      <c r="F8933" s="2">
        <v>8.7861423420688804E-4</v>
      </c>
    </row>
    <row r="8934" spans="1:6" x14ac:dyDescent="0.25">
      <c r="A8934" s="1" t="str">
        <f t="shared" si="319"/>
        <v>19100</v>
      </c>
      <c r="B8934" s="1" t="str">
        <f>"76004"</f>
        <v>76004</v>
      </c>
      <c r="C8934" s="2">
        <v>4.62012834873167E-4</v>
      </c>
      <c r="D8934" s="2">
        <v>1.1207067044630399E-3</v>
      </c>
      <c r="E8934" s="2">
        <v>1.3717985650986999E-5</v>
      </c>
      <c r="F8934" s="2">
        <v>5.01518364623539E-4</v>
      </c>
    </row>
    <row r="8935" spans="1:6" x14ac:dyDescent="0.25">
      <c r="A8935" s="1" t="str">
        <f t="shared" si="319"/>
        <v>19100</v>
      </c>
      <c r="B8935" s="1" t="str">
        <f>"76192"</f>
        <v>76192</v>
      </c>
      <c r="C8935" s="2">
        <v>0</v>
      </c>
      <c r="D8935" s="2">
        <v>3.1392344662830499E-6</v>
      </c>
      <c r="E8935" s="2">
        <v>0</v>
      </c>
      <c r="F8935" s="2">
        <v>2.7345603305536501E-7</v>
      </c>
    </row>
    <row r="8936" spans="1:6" x14ac:dyDescent="0.25">
      <c r="A8936" s="1" t="str">
        <f t="shared" si="319"/>
        <v>19100</v>
      </c>
      <c r="B8936" s="1" t="str">
        <f>"76623"</f>
        <v>76623</v>
      </c>
      <c r="C8936" s="2">
        <v>0</v>
      </c>
      <c r="D8936" s="2">
        <v>6.2784689325660997E-6</v>
      </c>
      <c r="E8936" s="2">
        <v>0</v>
      </c>
      <c r="F8936" s="2">
        <v>5.4691206611073002E-7</v>
      </c>
    </row>
    <row r="8937" spans="1:6" x14ac:dyDescent="0.25">
      <c r="A8937" s="1" t="str">
        <f t="shared" si="319"/>
        <v>19100</v>
      </c>
      <c r="B8937" s="1" t="str">
        <f>"76485"</f>
        <v>76485</v>
      </c>
      <c r="C8937" s="2">
        <v>0</v>
      </c>
      <c r="D8937" s="2">
        <v>0</v>
      </c>
      <c r="E8937" s="2">
        <v>6.8589928254934996E-6</v>
      </c>
      <c r="F8937" s="2">
        <v>2.7345603305536501E-7</v>
      </c>
    </row>
    <row r="8938" spans="1:6" x14ac:dyDescent="0.25">
      <c r="A8938" s="1" t="str">
        <f t="shared" si="319"/>
        <v>19100</v>
      </c>
      <c r="B8938" s="1" t="str">
        <f>"75260"</f>
        <v>75260</v>
      </c>
      <c r="C8938" s="2">
        <v>0</v>
      </c>
      <c r="D8938" s="2">
        <v>6.2784689325660997E-6</v>
      </c>
      <c r="E8938" s="2">
        <v>0</v>
      </c>
      <c r="F8938" s="2">
        <v>5.4691206611073002E-7</v>
      </c>
    </row>
    <row r="8939" spans="1:6" x14ac:dyDescent="0.25">
      <c r="A8939" s="1" t="str">
        <f t="shared" si="319"/>
        <v>19100</v>
      </c>
      <c r="B8939" s="1" t="str">
        <f>"76641"</f>
        <v>76641</v>
      </c>
      <c r="C8939" s="2">
        <v>2.1926032841438402E-6</v>
      </c>
      <c r="D8939" s="2">
        <v>0</v>
      </c>
      <c r="E8939" s="2">
        <v>0</v>
      </c>
      <c r="F8939" s="2">
        <v>1.9141922313875499E-6</v>
      </c>
    </row>
    <row r="8940" spans="1:6" x14ac:dyDescent="0.25">
      <c r="A8940" s="1" t="str">
        <f t="shared" si="319"/>
        <v>19100</v>
      </c>
      <c r="B8940" s="1" t="str">
        <f>"75452"</f>
        <v>75452</v>
      </c>
      <c r="C8940" s="2">
        <v>6.48384114025394E-5</v>
      </c>
      <c r="D8940" s="2">
        <v>9.4177033988491508E-6</v>
      </c>
      <c r="E8940" s="2">
        <v>6.8589928254934996E-6</v>
      </c>
      <c r="F8940" s="2">
        <v>5.7699222974682003E-5</v>
      </c>
    </row>
    <row r="8941" spans="1:6" x14ac:dyDescent="0.25">
      <c r="A8941" s="1" t="str">
        <f t="shared" si="319"/>
        <v>19100</v>
      </c>
      <c r="B8941" s="1" t="str">
        <f>"76054"</f>
        <v>76054</v>
      </c>
      <c r="C8941" s="2">
        <v>1.7669250179793399E-3</v>
      </c>
      <c r="D8941" s="2">
        <v>3.1298167628841999E-3</v>
      </c>
      <c r="E8941" s="2">
        <v>1.8519280628832399E-3</v>
      </c>
      <c r="F8941" s="2">
        <v>1.88903427634646E-3</v>
      </c>
    </row>
    <row r="8942" spans="1:6" x14ac:dyDescent="0.25">
      <c r="A8942" s="1" t="str">
        <f t="shared" si="319"/>
        <v>19100</v>
      </c>
      <c r="B8942" s="1" t="str">
        <f>"76040"</f>
        <v>76040</v>
      </c>
      <c r="C8942" s="2">
        <v>4.3372825250771099E-3</v>
      </c>
      <c r="D8942" s="2">
        <v>3.4688540852427698E-3</v>
      </c>
      <c r="E8942" s="2">
        <v>8.2925223260216403E-3</v>
      </c>
      <c r="F8942" s="2">
        <v>4.41932295020775E-3</v>
      </c>
    </row>
    <row r="8943" spans="1:6" x14ac:dyDescent="0.25">
      <c r="A8943" s="1" t="str">
        <f t="shared" si="319"/>
        <v>19100</v>
      </c>
      <c r="B8943" s="1" t="str">
        <f>"76060"</f>
        <v>76060</v>
      </c>
      <c r="C8943" s="2">
        <v>1.3832194432541699E-3</v>
      </c>
      <c r="D8943" s="2">
        <v>2.0938693890107901E-3</v>
      </c>
      <c r="E8943" s="2">
        <v>1.7078892135478801E-3</v>
      </c>
      <c r="F8943" s="2">
        <v>1.4580675682512E-3</v>
      </c>
    </row>
    <row r="8944" spans="1:6" x14ac:dyDescent="0.25">
      <c r="A8944" s="1" t="str">
        <f t="shared" si="319"/>
        <v>19100</v>
      </c>
      <c r="B8944" s="1" t="str">
        <f>"76039"</f>
        <v>76039</v>
      </c>
      <c r="C8944" s="2">
        <v>5.9234743866348897E-3</v>
      </c>
      <c r="D8944" s="2">
        <v>2.7279947511999699E-3</v>
      </c>
      <c r="E8944" s="2">
        <v>3.8684719535783301E-3</v>
      </c>
      <c r="F8944" s="2">
        <v>5.5631895364783501E-3</v>
      </c>
    </row>
    <row r="8945" spans="1:6" x14ac:dyDescent="0.25">
      <c r="A8945" s="1" t="str">
        <f t="shared" si="319"/>
        <v>19100</v>
      </c>
      <c r="B8945" s="1" t="str">
        <f>"76105"</f>
        <v>76105</v>
      </c>
      <c r="C8945" s="2">
        <v>2.86917801182251E-3</v>
      </c>
      <c r="D8945" s="2">
        <v>3.0544751356934002E-3</v>
      </c>
      <c r="E8945" s="2">
        <v>2.5858402952110499E-3</v>
      </c>
      <c r="F8945" s="2">
        <v>2.87402290741188E-3</v>
      </c>
    </row>
    <row r="8946" spans="1:6" x14ac:dyDescent="0.25">
      <c r="A8946" s="1" t="str">
        <f t="shared" si="319"/>
        <v>19100</v>
      </c>
      <c r="B8946" s="1" t="str">
        <f>"76094"</f>
        <v>76094</v>
      </c>
      <c r="C8946" s="2">
        <v>3.1761424716026499E-4</v>
      </c>
      <c r="D8946" s="2">
        <v>9.2921340201978305E-4</v>
      </c>
      <c r="E8946" s="2">
        <v>1.3717985650986999E-5</v>
      </c>
      <c r="F8946" s="2">
        <v>3.5877431536863899E-4</v>
      </c>
    </row>
    <row r="8947" spans="1:6" x14ac:dyDescent="0.25">
      <c r="A8947" s="1" t="str">
        <f t="shared" si="319"/>
        <v>19100</v>
      </c>
      <c r="B8947" s="1" t="str">
        <f>"76426"</f>
        <v>76426</v>
      </c>
      <c r="C8947" s="2">
        <v>1.8073315642157101E-3</v>
      </c>
      <c r="D8947" s="2">
        <v>2.4862736972961698E-3</v>
      </c>
      <c r="E8947" s="2">
        <v>1.6667352565949199E-3</v>
      </c>
      <c r="F8947" s="2">
        <v>1.8608683049417601E-3</v>
      </c>
    </row>
    <row r="8948" spans="1:6" x14ac:dyDescent="0.25">
      <c r="A8948" s="1" t="str">
        <f t="shared" si="319"/>
        <v>19100</v>
      </c>
      <c r="B8948" s="1" t="str">
        <f>"76225"</f>
        <v>76225</v>
      </c>
      <c r="C8948" s="2">
        <v>6.8753774409939105E-4</v>
      </c>
      <c r="D8948" s="2">
        <v>3.9554354275166402E-4</v>
      </c>
      <c r="E8948" s="2">
        <v>3.2237266279819401E-4</v>
      </c>
      <c r="F8948" s="2">
        <v>6.4754388627510397E-4</v>
      </c>
    </row>
    <row r="8949" spans="1:6" x14ac:dyDescent="0.25">
      <c r="A8949" s="1" t="str">
        <f t="shared" si="319"/>
        <v>19100</v>
      </c>
      <c r="B8949" s="1" t="str">
        <f>"76266"</f>
        <v>76266</v>
      </c>
      <c r="C8949" s="2">
        <v>2.58695864624914E-3</v>
      </c>
      <c r="D8949" s="2">
        <v>1.63554115693347E-3</v>
      </c>
      <c r="E8949" s="2">
        <v>7.6134820362977896E-4</v>
      </c>
      <c r="F8949" s="2">
        <v>2.4312975898952501E-3</v>
      </c>
    </row>
    <row r="8950" spans="1:6" x14ac:dyDescent="0.25">
      <c r="A8950" s="1" t="str">
        <f t="shared" si="319"/>
        <v>19100</v>
      </c>
      <c r="B8950" s="1" t="str">
        <f>"76207"</f>
        <v>76207</v>
      </c>
      <c r="C8950" s="2">
        <v>2.2154690041070501E-3</v>
      </c>
      <c r="D8950" s="2">
        <v>1.7642497700510701E-3</v>
      </c>
      <c r="E8950" s="2">
        <v>1.74218417767535E-3</v>
      </c>
      <c r="F8950" s="2">
        <v>2.1572946447737701E-3</v>
      </c>
    </row>
    <row r="8951" spans="1:6" x14ac:dyDescent="0.25">
      <c r="A8951" s="1" t="str">
        <f t="shared" si="319"/>
        <v>19100</v>
      </c>
      <c r="B8951" s="1" t="str">
        <f>"76001"</f>
        <v>76001</v>
      </c>
      <c r="C8951" s="2">
        <v>3.59931490544241E-3</v>
      </c>
      <c r="D8951" s="2">
        <v>1.63554115693347E-3</v>
      </c>
      <c r="E8951" s="2">
        <v>1.6735942494204099E-3</v>
      </c>
      <c r="F8951" s="2">
        <v>3.35147714112655E-3</v>
      </c>
    </row>
    <row r="8952" spans="1:6" x14ac:dyDescent="0.25">
      <c r="A8952" s="1" t="str">
        <f t="shared" si="319"/>
        <v>19100</v>
      </c>
      <c r="B8952" s="1" t="str">
        <f>"76015"</f>
        <v>76015</v>
      </c>
      <c r="C8952" s="2">
        <v>2.7034798493493599E-3</v>
      </c>
      <c r="D8952" s="2">
        <v>6.4071775456836996E-3</v>
      </c>
      <c r="E8952" s="2">
        <v>5.4597582890928203E-3</v>
      </c>
      <c r="F8952" s="2">
        <v>3.1359937870789199E-3</v>
      </c>
    </row>
    <row r="8953" spans="1:6" x14ac:dyDescent="0.25">
      <c r="A8953" s="1" t="str">
        <f t="shared" si="319"/>
        <v>19100</v>
      </c>
      <c r="B8953" s="1" t="str">
        <f>"76023"</f>
        <v>76023</v>
      </c>
      <c r="C8953" s="2">
        <v>8.8017360406345696E-4</v>
      </c>
      <c r="D8953" s="2">
        <v>3.8612583935281497E-4</v>
      </c>
      <c r="E8953" s="2">
        <v>4.3897554083158398E-4</v>
      </c>
      <c r="F8953" s="2">
        <v>8.19547731066929E-4</v>
      </c>
    </row>
    <row r="8954" spans="1:6" x14ac:dyDescent="0.25">
      <c r="A8954" s="1" t="str">
        <f t="shared" si="319"/>
        <v>19100</v>
      </c>
      <c r="B8954" s="1" t="str">
        <f>"76028"</f>
        <v>76028</v>
      </c>
      <c r="C8954" s="2">
        <v>8.9483272316316208E-3</v>
      </c>
      <c r="D8954" s="2">
        <v>6.0461655820611502E-3</v>
      </c>
      <c r="E8954" s="2">
        <v>4.7052690782885404E-3</v>
      </c>
      <c r="F8954" s="2">
        <v>8.5263591106662807E-3</v>
      </c>
    </row>
    <row r="8955" spans="1:6" x14ac:dyDescent="0.25">
      <c r="A8955" s="1" t="str">
        <f t="shared" si="319"/>
        <v>19100</v>
      </c>
      <c r="B8955" s="1" t="str">
        <f>"75014"</f>
        <v>75014</v>
      </c>
      <c r="C8955" s="2">
        <v>4.3789419874758499E-4</v>
      </c>
      <c r="D8955" s="2">
        <v>1.42835168215878E-3</v>
      </c>
      <c r="E8955" s="2">
        <v>1.3717985650986999E-5</v>
      </c>
      <c r="F8955" s="2">
        <v>5.07260941317702E-4</v>
      </c>
    </row>
    <row r="8956" spans="1:6" x14ac:dyDescent="0.25">
      <c r="A8956" s="1" t="str">
        <f t="shared" si="319"/>
        <v>19100</v>
      </c>
      <c r="B8956" s="1" t="str">
        <f>"76193"</f>
        <v>76193</v>
      </c>
      <c r="C8956" s="2">
        <v>0</v>
      </c>
      <c r="D8956" s="2">
        <v>3.1392344662830499E-6</v>
      </c>
      <c r="E8956" s="2">
        <v>0</v>
      </c>
      <c r="F8956" s="2">
        <v>2.7345603305536501E-7</v>
      </c>
    </row>
    <row r="8957" spans="1:6" x14ac:dyDescent="0.25">
      <c r="A8957" s="1" t="str">
        <f t="shared" si="319"/>
        <v>19100</v>
      </c>
      <c r="B8957" s="1" t="str">
        <f>"76070"</f>
        <v>76070</v>
      </c>
      <c r="C8957" s="2">
        <v>3.1322904059197701E-6</v>
      </c>
      <c r="D8957" s="2">
        <v>0</v>
      </c>
      <c r="E8957" s="2">
        <v>0</v>
      </c>
      <c r="F8957" s="2">
        <v>2.7345603305536499E-6</v>
      </c>
    </row>
    <row r="8958" spans="1:6" x14ac:dyDescent="0.25">
      <c r="A8958" s="1" t="str">
        <f t="shared" si="319"/>
        <v>19100</v>
      </c>
      <c r="B8958" s="1" t="str">
        <f>"75006"</f>
        <v>75006</v>
      </c>
      <c r="C8958" s="2">
        <v>5.9194024091071898E-3</v>
      </c>
      <c r="D8958" s="2">
        <v>1.1458205801933101E-2</v>
      </c>
      <c r="E8958" s="2">
        <v>1.6475300766835298E-2</v>
      </c>
      <c r="F8958" s="2">
        <v>6.8227280247313603E-3</v>
      </c>
    </row>
    <row r="8959" spans="1:6" x14ac:dyDescent="0.25">
      <c r="A8959" s="1" t="str">
        <f t="shared" si="319"/>
        <v>19100</v>
      </c>
      <c r="B8959" s="1" t="str">
        <f>"75024"</f>
        <v>75024</v>
      </c>
      <c r="C8959" s="2">
        <v>6.4847808273757104E-3</v>
      </c>
      <c r="D8959" s="2">
        <v>7.62833975306781E-3</v>
      </c>
      <c r="E8959" s="2">
        <v>5.4871942603948003E-3</v>
      </c>
      <c r="F8959" s="2">
        <v>6.54462323911405E-3</v>
      </c>
    </row>
    <row r="8960" spans="1:6" x14ac:dyDescent="0.25">
      <c r="A8960" s="1" t="str">
        <f t="shared" si="319"/>
        <v>19100</v>
      </c>
      <c r="B8960" s="1" t="str">
        <f>"75226"</f>
        <v>75226</v>
      </c>
      <c r="C8960" s="2">
        <v>8.980276593772E-4</v>
      </c>
      <c r="D8960" s="2">
        <v>2.9916904463677401E-3</v>
      </c>
      <c r="E8960" s="2">
        <v>1.77647914180281E-3</v>
      </c>
      <c r="F8960" s="2">
        <v>1.1154271588328299E-3</v>
      </c>
    </row>
    <row r="8961" spans="1:6" x14ac:dyDescent="0.25">
      <c r="A8961" s="1" t="str">
        <f t="shared" si="319"/>
        <v>19100</v>
      </c>
      <c r="B8961" s="1" t="str">
        <f>"75114"</f>
        <v>75114</v>
      </c>
      <c r="C8961" s="2">
        <v>8.3381570605584401E-4</v>
      </c>
      <c r="D8961" s="2">
        <v>7.6283397530678095E-4</v>
      </c>
      <c r="E8961" s="2">
        <v>1.7147482063733699E-4</v>
      </c>
      <c r="F8961" s="2">
        <v>8.0122617685221998E-4</v>
      </c>
    </row>
    <row r="8962" spans="1:6" x14ac:dyDescent="0.25">
      <c r="A8962" s="1" t="str">
        <f t="shared" si="319"/>
        <v>19100</v>
      </c>
      <c r="B8962" s="1" t="str">
        <f>"75119"</f>
        <v>75119</v>
      </c>
      <c r="C8962" s="2">
        <v>3.4658793341502299E-3</v>
      </c>
      <c r="D8962" s="2">
        <v>3.0544751356934002E-3</v>
      </c>
      <c r="E8962" s="2">
        <v>4.5200762720002102E-3</v>
      </c>
      <c r="F8962" s="2">
        <v>3.4720712517039699E-3</v>
      </c>
    </row>
    <row r="8963" spans="1:6" x14ac:dyDescent="0.25">
      <c r="A8963" s="1" t="str">
        <f t="shared" si="319"/>
        <v>19100</v>
      </c>
      <c r="B8963" s="1" t="str">
        <f>"75422"</f>
        <v>75422</v>
      </c>
      <c r="C8963" s="2">
        <v>4.1189618837845002E-4</v>
      </c>
      <c r="D8963" s="2">
        <v>1.69518661179284E-4</v>
      </c>
      <c r="E8963" s="2">
        <v>1.3717985650986999E-5</v>
      </c>
      <c r="F8963" s="2">
        <v>3.7490822131890501E-4</v>
      </c>
    </row>
    <row r="8964" spans="1:6" x14ac:dyDescent="0.25">
      <c r="A8964" s="1" t="str">
        <f t="shared" si="319"/>
        <v>19100</v>
      </c>
      <c r="B8964" s="1" t="str">
        <f>"75496"</f>
        <v>75496</v>
      </c>
      <c r="C8964" s="2">
        <v>5.2183958162623498E-4</v>
      </c>
      <c r="D8964" s="2">
        <v>8.7898565055925394E-5</v>
      </c>
      <c r="E8964" s="2">
        <v>3.3609064844918098E-3</v>
      </c>
      <c r="F8964" s="2">
        <v>5.9722797619291695E-4</v>
      </c>
    </row>
    <row r="8965" spans="1:6" x14ac:dyDescent="0.25">
      <c r="A8965" s="1" t="str">
        <f t="shared" si="319"/>
        <v>19100</v>
      </c>
      <c r="B8965" s="1" t="str">
        <f>"75237"</f>
        <v>75237</v>
      </c>
      <c r="C8965" s="2">
        <v>2.7041063074305402E-3</v>
      </c>
      <c r="D8965" s="2">
        <v>3.2616646104680902E-3</v>
      </c>
      <c r="E8965" s="2">
        <v>4.4309093652687998E-3</v>
      </c>
      <c r="F8965" s="2">
        <v>2.82151934906525E-3</v>
      </c>
    </row>
    <row r="8966" spans="1:6" x14ac:dyDescent="0.25">
      <c r="A8966" s="1" t="str">
        <f t="shared" si="319"/>
        <v>19100</v>
      </c>
      <c r="B8966" s="1" t="str">
        <f>"75236"</f>
        <v>75236</v>
      </c>
      <c r="C8966" s="2">
        <v>2.2383347240702701E-3</v>
      </c>
      <c r="D8966" s="2">
        <v>1.0139727326094201E-3</v>
      </c>
      <c r="E8966" s="2">
        <v>4.30058850158442E-3</v>
      </c>
      <c r="F8966" s="2">
        <v>2.21390004361623E-3</v>
      </c>
    </row>
    <row r="8967" spans="1:6" x14ac:dyDescent="0.25">
      <c r="A8967" s="1" t="str">
        <f t="shared" si="319"/>
        <v>19100</v>
      </c>
      <c r="B8967" s="1" t="str">
        <f>"75404"</f>
        <v>75404</v>
      </c>
      <c r="C8967" s="2">
        <v>2.1174283144017699E-4</v>
      </c>
      <c r="D8967" s="2">
        <v>6.62378472385724E-4</v>
      </c>
      <c r="E8967" s="2">
        <v>1.3717985650986999E-5</v>
      </c>
      <c r="F8967" s="2">
        <v>2.43102413386219E-4</v>
      </c>
    </row>
    <row r="8968" spans="1:6" x14ac:dyDescent="0.25">
      <c r="A8968" s="1" t="str">
        <f t="shared" si="319"/>
        <v>19100</v>
      </c>
      <c r="B8968" s="1" t="str">
        <f>"75074"</f>
        <v>75074</v>
      </c>
      <c r="C8968" s="2">
        <v>6.30060215150763E-3</v>
      </c>
      <c r="D8968" s="2">
        <v>8.6642871269412194E-3</v>
      </c>
      <c r="E8968" s="2">
        <v>8.7863698094571702E-3</v>
      </c>
      <c r="F8968" s="2">
        <v>6.6056039344854003E-3</v>
      </c>
    </row>
    <row r="8969" spans="1:6" x14ac:dyDescent="0.25">
      <c r="A8969" s="1" t="str">
        <f t="shared" si="319"/>
        <v>19100</v>
      </c>
      <c r="B8969" s="1" t="str">
        <f>"75075"</f>
        <v>75075</v>
      </c>
      <c r="C8969" s="2">
        <v>5.0038339234568397E-3</v>
      </c>
      <c r="D8969" s="2">
        <v>6.6991263510480297E-3</v>
      </c>
      <c r="E8969" s="2">
        <v>4.7601410208924898E-3</v>
      </c>
      <c r="F8969" s="2">
        <v>5.1417937895400301E-3</v>
      </c>
    </row>
    <row r="8970" spans="1:6" x14ac:dyDescent="0.25">
      <c r="A8970" s="1" t="str">
        <f t="shared" si="319"/>
        <v>19100</v>
      </c>
      <c r="B8970" s="1" t="str">
        <f>"75093"</f>
        <v>75093</v>
      </c>
      <c r="C8970" s="2">
        <v>6.71124542372371E-3</v>
      </c>
      <c r="D8970" s="2">
        <v>1.12039278101642E-2</v>
      </c>
      <c r="E8970" s="2">
        <v>6.2691194425010602E-3</v>
      </c>
      <c r="F8970" s="2">
        <v>7.0849723604314496E-3</v>
      </c>
    </row>
    <row r="8971" spans="1:6" x14ac:dyDescent="0.25">
      <c r="A8971" s="1" t="str">
        <f t="shared" si="319"/>
        <v>19100</v>
      </c>
      <c r="B8971" s="1" t="str">
        <f>"76107"</f>
        <v>76107</v>
      </c>
      <c r="C8971" s="2">
        <v>5.67571021552663E-3</v>
      </c>
      <c r="D8971" s="2">
        <v>9.0849445454231504E-3</v>
      </c>
      <c r="E8971" s="2">
        <v>9.8426547045831706E-3</v>
      </c>
      <c r="F8971" s="2">
        <v>6.1388144860598896E-3</v>
      </c>
    </row>
    <row r="8972" spans="1:6" x14ac:dyDescent="0.25">
      <c r="A8972" s="1" t="str">
        <f t="shared" si="319"/>
        <v>19100</v>
      </c>
      <c r="B8972" s="1" t="str">
        <f>"76177"</f>
        <v>76177</v>
      </c>
      <c r="C8972" s="2">
        <v>2.9070787257341399E-3</v>
      </c>
      <c r="D8972" s="2">
        <v>3.3621201133891398E-3</v>
      </c>
      <c r="E8972" s="2">
        <v>3.3060345418878599E-3</v>
      </c>
      <c r="F8972" s="2">
        <v>2.9626226621218199E-3</v>
      </c>
    </row>
    <row r="8973" spans="1:6" x14ac:dyDescent="0.25">
      <c r="A8973" s="1" t="str">
        <f t="shared" si="319"/>
        <v>19100</v>
      </c>
      <c r="B8973" s="1" t="str">
        <f>"76162"</f>
        <v>76162</v>
      </c>
      <c r="C8973" s="2">
        <v>5.7414883140509496E-4</v>
      </c>
      <c r="D8973" s="2">
        <v>1.2117445039852501E-3</v>
      </c>
      <c r="E8973" s="2">
        <v>1.3717985650986999E-5</v>
      </c>
      <c r="F8973" s="2">
        <v>6.0734584941596597E-4</v>
      </c>
    </row>
    <row r="8974" spans="1:6" x14ac:dyDescent="0.25">
      <c r="A8974" s="1" t="str">
        <f t="shared" si="319"/>
        <v>19100</v>
      </c>
      <c r="B8974" s="1" t="str">
        <f>"76050"</f>
        <v>76050</v>
      </c>
      <c r="C8974" s="2">
        <v>8.4979038712603501E-4</v>
      </c>
      <c r="D8974" s="2">
        <v>3.1078421216202198E-4</v>
      </c>
      <c r="E8974" s="2">
        <v>6.7218129689836298E-4</v>
      </c>
      <c r="F8974" s="2">
        <v>7.95757056191112E-4</v>
      </c>
    </row>
    <row r="8975" spans="1:6" x14ac:dyDescent="0.25">
      <c r="A8975" s="1" t="str">
        <f t="shared" si="319"/>
        <v>19100</v>
      </c>
      <c r="B8975" s="1" t="str">
        <f>"76059"</f>
        <v>76059</v>
      </c>
      <c r="C8975" s="2">
        <v>8.4571840959834002E-4</v>
      </c>
      <c r="D8975" s="2">
        <v>5.7134067286351495E-4</v>
      </c>
      <c r="E8975" s="2">
        <v>1.46096547183011E-3</v>
      </c>
      <c r="F8975" s="2">
        <v>8.4634642230635502E-4</v>
      </c>
    </row>
    <row r="8976" spans="1:6" x14ac:dyDescent="0.25">
      <c r="A8976" s="1" t="str">
        <f t="shared" si="319"/>
        <v>19100</v>
      </c>
      <c r="B8976" s="1" t="str">
        <f>"76093"</f>
        <v>76093</v>
      </c>
      <c r="C8976" s="2">
        <v>2.7752092996449198E-4</v>
      </c>
      <c r="D8976" s="2">
        <v>9.1037799522208506E-5</v>
      </c>
      <c r="E8976" s="2">
        <v>5.8301439016694701E-4</v>
      </c>
      <c r="F8976" s="2">
        <v>2.7345603305536502E-4</v>
      </c>
    </row>
    <row r="8977" spans="1:6" x14ac:dyDescent="0.25">
      <c r="A8977" s="1" t="str">
        <f t="shared" si="319"/>
        <v>19100</v>
      </c>
      <c r="B8977" s="1" t="str">
        <f>"76102"</f>
        <v>76102</v>
      </c>
      <c r="C8977" s="2">
        <v>1.80576541901275E-3</v>
      </c>
      <c r="D8977" s="2">
        <v>8.6517301890760897E-3</v>
      </c>
      <c r="E8977" s="2">
        <v>5.7546949805890504E-3</v>
      </c>
      <c r="F8977" s="2">
        <v>2.55954846939821E-3</v>
      </c>
    </row>
    <row r="8978" spans="1:6" x14ac:dyDescent="0.25">
      <c r="A8978" s="1" t="str">
        <f t="shared" si="319"/>
        <v>19100</v>
      </c>
      <c r="B8978" s="1" t="str">
        <f>"76104"</f>
        <v>76104</v>
      </c>
      <c r="C8978" s="2">
        <v>3.0571154361776999E-3</v>
      </c>
      <c r="D8978" s="2">
        <v>6.5672785034641403E-3</v>
      </c>
      <c r="E8978" s="2">
        <v>6.7286719618091196E-3</v>
      </c>
      <c r="F8978" s="2">
        <v>3.5092612721995E-3</v>
      </c>
    </row>
    <row r="8979" spans="1:6" x14ac:dyDescent="0.25">
      <c r="A8979" s="1" t="str">
        <f t="shared" si="319"/>
        <v>19100</v>
      </c>
      <c r="B8979" s="1" t="str">
        <f>"76244"</f>
        <v>76244</v>
      </c>
      <c r="C8979" s="2">
        <v>8.5834153993419593E-3</v>
      </c>
      <c r="D8979" s="2">
        <v>6.0398871131285897E-3</v>
      </c>
      <c r="E8979" s="2">
        <v>3.7587280683704402E-3</v>
      </c>
      <c r="F8979" s="2">
        <v>8.1694989875290298E-3</v>
      </c>
    </row>
    <row r="8980" spans="1:6" x14ac:dyDescent="0.25">
      <c r="A8980" s="1" t="str">
        <f t="shared" si="319"/>
        <v>19100</v>
      </c>
      <c r="B8980" s="1" t="str">
        <f>"75336"</f>
        <v>75336</v>
      </c>
      <c r="C8980" s="2">
        <v>2.3836729989049499E-4</v>
      </c>
      <c r="D8980" s="2">
        <v>3.6729043255511698E-4</v>
      </c>
      <c r="E8980" s="2">
        <v>1.3717985650986999E-5</v>
      </c>
      <c r="F8980" s="2">
        <v>2.40641309088721E-4</v>
      </c>
    </row>
    <row r="8981" spans="1:6" x14ac:dyDescent="0.25">
      <c r="A8981" s="1" t="str">
        <f t="shared" si="319"/>
        <v>19100</v>
      </c>
      <c r="B8981" s="1" t="str">
        <f>"75030"</f>
        <v>75030</v>
      </c>
      <c r="C8981" s="2">
        <v>4.6389220911671899E-4</v>
      </c>
      <c r="D8981" s="2">
        <v>1.8615660385058401E-3</v>
      </c>
      <c r="E8981" s="2">
        <v>1.3717985650986999E-5</v>
      </c>
      <c r="F8981" s="2">
        <v>5.6769472462293803E-4</v>
      </c>
    </row>
    <row r="8982" spans="1:6" x14ac:dyDescent="0.25">
      <c r="A8982" s="1" t="str">
        <f t="shared" si="319"/>
        <v>19100</v>
      </c>
      <c r="B8982" s="1" t="str">
        <f>"75357"</f>
        <v>75357</v>
      </c>
      <c r="C8982" s="2">
        <v>4.2505180808331301E-4</v>
      </c>
      <c r="D8982" s="2">
        <v>8.2561866463244204E-4</v>
      </c>
      <c r="E8982" s="2">
        <v>1.3717985650986999E-5</v>
      </c>
      <c r="F8982" s="2">
        <v>4.4354568561580198E-4</v>
      </c>
    </row>
    <row r="8983" spans="1:6" x14ac:dyDescent="0.25">
      <c r="A8983" s="1" t="str">
        <f t="shared" si="319"/>
        <v>19100</v>
      </c>
      <c r="B8983" s="1" t="str">
        <f>"76626"</f>
        <v>76626</v>
      </c>
      <c r="C8983" s="2">
        <v>5.6381227306555996E-6</v>
      </c>
      <c r="D8983" s="2">
        <v>0</v>
      </c>
      <c r="E8983" s="2">
        <v>0</v>
      </c>
      <c r="F8983" s="2">
        <v>4.9222085949965704E-6</v>
      </c>
    </row>
    <row r="8984" spans="1:6" x14ac:dyDescent="0.25">
      <c r="A8984" s="1" t="str">
        <f t="shared" si="319"/>
        <v>19100</v>
      </c>
      <c r="B8984" s="1" t="str">
        <f>"75485"</f>
        <v>75485</v>
      </c>
      <c r="C8984" s="2">
        <v>0</v>
      </c>
      <c r="D8984" s="2">
        <v>0</v>
      </c>
      <c r="E8984" s="2">
        <v>6.8589928254934996E-6</v>
      </c>
      <c r="F8984" s="2">
        <v>2.7345603305536501E-7</v>
      </c>
    </row>
    <row r="8985" spans="1:6" x14ac:dyDescent="0.25">
      <c r="A8985" s="1" t="str">
        <f t="shared" si="319"/>
        <v>19100</v>
      </c>
      <c r="B8985" s="1" t="str">
        <f>"76203"</f>
        <v>76203</v>
      </c>
      <c r="C8985" s="2">
        <v>0</v>
      </c>
      <c r="D8985" s="2">
        <v>1.2556937865132199E-5</v>
      </c>
      <c r="E8985" s="2">
        <v>0</v>
      </c>
      <c r="F8985" s="2">
        <v>1.09382413222146E-6</v>
      </c>
    </row>
    <row r="8986" spans="1:6" x14ac:dyDescent="0.25">
      <c r="A8986" s="1" t="str">
        <f t="shared" si="319"/>
        <v>19100</v>
      </c>
      <c r="B8986" s="1" t="str">
        <f>"75132"</f>
        <v>75132</v>
      </c>
      <c r="C8986" s="2">
        <v>0</v>
      </c>
      <c r="D8986" s="2">
        <v>3.1392344662830499E-6</v>
      </c>
      <c r="E8986" s="2">
        <v>0</v>
      </c>
      <c r="F8986" s="2">
        <v>2.7345603305536501E-7</v>
      </c>
    </row>
    <row r="8987" spans="1:6" x14ac:dyDescent="0.25">
      <c r="A8987" s="1" t="str">
        <f t="shared" si="319"/>
        <v>19100</v>
      </c>
      <c r="B8987" s="1" t="str">
        <f>"75029"</f>
        <v>75029</v>
      </c>
      <c r="C8987" s="2">
        <v>7.0038013476366205E-4</v>
      </c>
      <c r="D8987" s="2">
        <v>1.48485790255188E-3</v>
      </c>
      <c r="E8987" s="2">
        <v>1.3717985650986999E-5</v>
      </c>
      <c r="F8987" s="2">
        <v>7.4133930561309498E-4</v>
      </c>
    </row>
    <row r="8988" spans="1:6" x14ac:dyDescent="0.25">
      <c r="A8988" s="1" t="str">
        <f t="shared" si="319"/>
        <v>19100</v>
      </c>
      <c r="B8988" s="1" t="str">
        <f>"75214"</f>
        <v>75214</v>
      </c>
      <c r="C8988" s="2">
        <v>5.8849472146420704E-3</v>
      </c>
      <c r="D8988" s="2">
        <v>3.2805000172657799E-3</v>
      </c>
      <c r="E8988" s="2">
        <v>6.0770676433872404E-3</v>
      </c>
      <c r="F8988" s="2">
        <v>5.6657355488741101E-3</v>
      </c>
    </row>
    <row r="8989" spans="1:6" x14ac:dyDescent="0.25">
      <c r="A8989" s="1" t="str">
        <f t="shared" si="319"/>
        <v>19100</v>
      </c>
      <c r="B8989" s="1" t="str">
        <f>"75211"</f>
        <v>75211</v>
      </c>
      <c r="C8989" s="2">
        <v>7.3298727788928698E-3</v>
      </c>
      <c r="D8989" s="2">
        <v>4.7653579198176704E-3</v>
      </c>
      <c r="E8989" s="2">
        <v>4.5475122433021901E-3</v>
      </c>
      <c r="F8989" s="2">
        <v>6.9955522376223501E-3</v>
      </c>
    </row>
    <row r="8990" spans="1:6" x14ac:dyDescent="0.25">
      <c r="A8990" s="1" t="str">
        <f t="shared" si="319"/>
        <v>19100</v>
      </c>
      <c r="B8990" s="1" t="str">
        <f>"75217"</f>
        <v>75217</v>
      </c>
      <c r="C8990" s="2">
        <v>8.2341650190819096E-3</v>
      </c>
      <c r="D8990" s="2">
        <v>5.2896100756869404E-3</v>
      </c>
      <c r="E8990" s="2">
        <v>5.8232849088439799E-3</v>
      </c>
      <c r="F8990" s="2">
        <v>7.8815497847217302E-3</v>
      </c>
    </row>
    <row r="8991" spans="1:6" x14ac:dyDescent="0.25">
      <c r="A8991" s="1" t="str">
        <f t="shared" si="319"/>
        <v>19100</v>
      </c>
      <c r="B8991" s="1" t="str">
        <f>"75173"</f>
        <v>75173</v>
      </c>
      <c r="C8991" s="2">
        <v>8.2880404140637295E-4</v>
      </c>
      <c r="D8991" s="2">
        <v>1.9149330244326601E-4</v>
      </c>
      <c r="E8991" s="2">
        <v>8.2307913905922006E-5</v>
      </c>
      <c r="F8991" s="2">
        <v>7.4352695387753804E-4</v>
      </c>
    </row>
    <row r="8992" spans="1:6" x14ac:dyDescent="0.25">
      <c r="A8992" s="1" t="str">
        <f t="shared" si="319"/>
        <v>19100</v>
      </c>
      <c r="B8992" s="1" t="str">
        <f>"75172"</f>
        <v>75172</v>
      </c>
      <c r="C8992" s="2">
        <v>7.4955709413660203E-4</v>
      </c>
      <c r="D8992" s="2">
        <v>4.7402440440873998E-4</v>
      </c>
      <c r="E8992" s="2">
        <v>1.3032086368437601E-4</v>
      </c>
      <c r="F8992" s="2">
        <v>7.0086781272090098E-4</v>
      </c>
    </row>
    <row r="8993" spans="1:6" x14ac:dyDescent="0.25">
      <c r="A8993" s="1" t="str">
        <f t="shared" si="319"/>
        <v>19100</v>
      </c>
      <c r="B8993" s="1" t="str">
        <f>"75224"</f>
        <v>75224</v>
      </c>
      <c r="C8993" s="2">
        <v>3.8022873237460101E-3</v>
      </c>
      <c r="D8993" s="2">
        <v>2.69032393760457E-3</v>
      </c>
      <c r="E8993" s="2">
        <v>4.8836028917513697E-3</v>
      </c>
      <c r="F8993" s="2">
        <v>3.7485353011229398E-3</v>
      </c>
    </row>
    <row r="8994" spans="1:6" x14ac:dyDescent="0.25">
      <c r="A8994" s="1" t="str">
        <f t="shared" si="319"/>
        <v>19100</v>
      </c>
      <c r="B8994" s="1" t="str">
        <f>"75225"</f>
        <v>75225</v>
      </c>
      <c r="C8994" s="2">
        <v>3.3741032252567801E-3</v>
      </c>
      <c r="D8994" s="2">
        <v>6.8623665432947503E-3</v>
      </c>
      <c r="E8994" s="2">
        <v>6.0770676433872404E-3</v>
      </c>
      <c r="F8994" s="2">
        <v>3.7857253216184699E-3</v>
      </c>
    </row>
    <row r="8995" spans="1:6" x14ac:dyDescent="0.25">
      <c r="A8995" s="1" t="str">
        <f t="shared" si="319"/>
        <v>19100</v>
      </c>
      <c r="B8995" s="1" t="str">
        <f>"75115"</f>
        <v>75115</v>
      </c>
      <c r="C8995" s="2">
        <v>6.71124542372371E-3</v>
      </c>
      <c r="D8995" s="2">
        <v>4.2944727498752102E-3</v>
      </c>
      <c r="E8995" s="2">
        <v>2.6887251875934502E-3</v>
      </c>
      <c r="F8995" s="2">
        <v>6.34035158242169E-3</v>
      </c>
    </row>
    <row r="8996" spans="1:6" x14ac:dyDescent="0.25">
      <c r="A8996" s="1" t="str">
        <f t="shared" ref="A8996:A9027" si="320">"19124"</f>
        <v>19124</v>
      </c>
      <c r="B8996" s="1" t="str">
        <f>"75172"</f>
        <v>75172</v>
      </c>
      <c r="C8996" s="2">
        <v>0</v>
      </c>
      <c r="D8996" s="2">
        <v>1.5933715742511101E-3</v>
      </c>
      <c r="E8996" s="2">
        <v>2.7419797093501501E-4</v>
      </c>
      <c r="F8996" s="2">
        <v>1.21664368561927E-4</v>
      </c>
    </row>
    <row r="8997" spans="1:6" x14ac:dyDescent="0.25">
      <c r="A8997" s="1" t="str">
        <f t="shared" si="320"/>
        <v>19124</v>
      </c>
      <c r="B8997" s="1" t="str">
        <f>"75207"</f>
        <v>75207</v>
      </c>
      <c r="C8997" s="2">
        <v>0</v>
      </c>
      <c r="D8997" s="2">
        <v>8.6042065009560194E-3</v>
      </c>
      <c r="E8997" s="2">
        <v>1.6451878256100901E-3</v>
      </c>
      <c r="F8997" s="2">
        <v>6.6915402709059901E-4</v>
      </c>
    </row>
    <row r="8998" spans="1:6" x14ac:dyDescent="0.25">
      <c r="A8998" s="1" t="str">
        <f t="shared" si="320"/>
        <v>19124</v>
      </c>
      <c r="B8998" s="1" t="str">
        <f>"75209"</f>
        <v>75209</v>
      </c>
      <c r="C8998" s="2">
        <v>0</v>
      </c>
      <c r="D8998" s="2">
        <v>1.9120458891013299E-3</v>
      </c>
      <c r="E8998" s="2">
        <v>4.3871675349602401E-3</v>
      </c>
      <c r="F8998" s="2">
        <v>4.4610268472706599E-4</v>
      </c>
    </row>
    <row r="8999" spans="1:6" x14ac:dyDescent="0.25">
      <c r="A8999" s="1" t="str">
        <f t="shared" si="320"/>
        <v>19124</v>
      </c>
      <c r="B8999" s="1" t="str">
        <f>"75115"</f>
        <v>75115</v>
      </c>
      <c r="C8999" s="2">
        <v>3.8560109096894002E-3</v>
      </c>
      <c r="D8999" s="2">
        <v>2.868068833652E-3</v>
      </c>
      <c r="E8999" s="2">
        <v>1.3709898546750701E-3</v>
      </c>
      <c r="F8999" s="2">
        <v>3.6093762673371698E-3</v>
      </c>
    </row>
    <row r="9000" spans="1:6" x14ac:dyDescent="0.25">
      <c r="A9000" s="1" t="str">
        <f t="shared" si="320"/>
        <v>19124</v>
      </c>
      <c r="B9000" s="1" t="str">
        <f>"75152"</f>
        <v>75152</v>
      </c>
      <c r="C9000" s="2">
        <v>4.2322070960005599E-4</v>
      </c>
      <c r="D9000" s="2">
        <v>0</v>
      </c>
      <c r="E9000" s="2">
        <v>2.7419797093501501E-4</v>
      </c>
      <c r="F9000" s="2">
        <v>3.8527050044610199E-4</v>
      </c>
    </row>
    <row r="9001" spans="1:6" x14ac:dyDescent="0.25">
      <c r="A9001" s="1" t="str">
        <f t="shared" si="320"/>
        <v>19124</v>
      </c>
      <c r="B9001" s="1" t="str">
        <f>"75043"</f>
        <v>75043</v>
      </c>
      <c r="C9001" s="2">
        <v>3.2682043685782099E-3</v>
      </c>
      <c r="D9001" s="2">
        <v>2.2307202039515599E-3</v>
      </c>
      <c r="E9001" s="2">
        <v>2.7419797093501501E-3</v>
      </c>
      <c r="F9001" s="2">
        <v>3.1632735826100998E-3</v>
      </c>
    </row>
    <row r="9002" spans="1:6" x14ac:dyDescent="0.25">
      <c r="A9002" s="1" t="str">
        <f t="shared" si="320"/>
        <v>19124</v>
      </c>
      <c r="B9002" s="1" t="str">
        <f>"75254"</f>
        <v>75254</v>
      </c>
      <c r="C9002" s="2">
        <v>1.4107356986668501E-4</v>
      </c>
      <c r="D9002" s="2">
        <v>7.0108349267049E-3</v>
      </c>
      <c r="E9002" s="2">
        <v>1.6451878256100901E-3</v>
      </c>
      <c r="F9002" s="2">
        <v>6.8943142185091998E-4</v>
      </c>
    </row>
    <row r="9003" spans="1:6" x14ac:dyDescent="0.25">
      <c r="A9003" s="1" t="str">
        <f t="shared" si="320"/>
        <v>19124</v>
      </c>
      <c r="B9003" s="1" t="str">
        <f>"75065"</f>
        <v>75065</v>
      </c>
      <c r="C9003" s="2">
        <v>5.8780654111118902E-4</v>
      </c>
      <c r="D9003" s="2">
        <v>6.3734862970044601E-4</v>
      </c>
      <c r="E9003" s="2">
        <v>5.4839594187003002E-4</v>
      </c>
      <c r="F9003" s="2">
        <v>5.8804444804931404E-4</v>
      </c>
    </row>
    <row r="9004" spans="1:6" x14ac:dyDescent="0.25">
      <c r="A9004" s="1" t="str">
        <f t="shared" si="320"/>
        <v>19124</v>
      </c>
      <c r="B9004" s="1" t="str">
        <f>"75024"</f>
        <v>75024</v>
      </c>
      <c r="C9004" s="2">
        <v>4.2322070960005599E-4</v>
      </c>
      <c r="D9004" s="2">
        <v>2.51752708731676E-2</v>
      </c>
      <c r="E9004" s="2">
        <v>2.0016451878256101E-2</v>
      </c>
      <c r="F9004" s="2">
        <v>3.4471571092545999E-3</v>
      </c>
    </row>
    <row r="9005" spans="1:6" x14ac:dyDescent="0.25">
      <c r="A9005" s="1" t="str">
        <f t="shared" si="320"/>
        <v>19124</v>
      </c>
      <c r="B9005" s="1" t="str">
        <f>"75237"</f>
        <v>75237</v>
      </c>
      <c r="C9005" s="2">
        <v>1.02043215536902E-2</v>
      </c>
      <c r="D9005" s="2">
        <v>3.1867431485022302E-3</v>
      </c>
      <c r="E9005" s="2">
        <v>1.3709898546750701E-3</v>
      </c>
      <c r="F9005" s="2">
        <v>9.1045502473842098E-3</v>
      </c>
    </row>
    <row r="9006" spans="1:6" x14ac:dyDescent="0.25">
      <c r="A9006" s="1" t="str">
        <f t="shared" si="320"/>
        <v>19124</v>
      </c>
      <c r="B9006" s="1" t="str">
        <f>"75223"</f>
        <v>75223</v>
      </c>
      <c r="C9006" s="2">
        <v>7.9941689591121702E-4</v>
      </c>
      <c r="D9006" s="2">
        <v>3.1867431485022302E-3</v>
      </c>
      <c r="E9006" s="2">
        <v>4.1129695640252199E-3</v>
      </c>
      <c r="F9006" s="2">
        <v>1.1963662908589499E-3</v>
      </c>
    </row>
    <row r="9007" spans="1:6" x14ac:dyDescent="0.25">
      <c r="A9007" s="1" t="str">
        <f t="shared" si="320"/>
        <v>19124</v>
      </c>
      <c r="B9007" s="1" t="str">
        <f>"75149"</f>
        <v>75149</v>
      </c>
      <c r="C9007" s="2">
        <v>0</v>
      </c>
      <c r="D9007" s="2">
        <v>4.14276609305289E-3</v>
      </c>
      <c r="E9007" s="2">
        <v>2.7419797093501501E-3</v>
      </c>
      <c r="F9007" s="2">
        <v>4.6638007948738701E-4</v>
      </c>
    </row>
    <row r="9008" spans="1:6" x14ac:dyDescent="0.25">
      <c r="A9008" s="1" t="str">
        <f t="shared" si="320"/>
        <v>19124</v>
      </c>
      <c r="B9008" s="1" t="str">
        <f>"76651"</f>
        <v>76651</v>
      </c>
      <c r="C9008" s="2">
        <v>4.7024523288895101E-5</v>
      </c>
      <c r="D9008" s="2">
        <v>0</v>
      </c>
      <c r="E9008" s="2">
        <v>0</v>
      </c>
      <c r="F9008" s="2">
        <v>4.0554789520642303E-5</v>
      </c>
    </row>
    <row r="9009" spans="1:6" x14ac:dyDescent="0.25">
      <c r="A9009" s="1" t="str">
        <f t="shared" si="320"/>
        <v>19124</v>
      </c>
      <c r="B9009" s="1" t="str">
        <f>"76065"</f>
        <v>76065</v>
      </c>
      <c r="C9009" s="2">
        <v>1.2437986409912701E-2</v>
      </c>
      <c r="D9009" s="2">
        <v>1.0516252390057299E-2</v>
      </c>
      <c r="E9009" s="2">
        <v>3.2903756512201801E-3</v>
      </c>
      <c r="F9009" s="2">
        <v>1.1639224592424301E-2</v>
      </c>
    </row>
    <row r="9010" spans="1:6" x14ac:dyDescent="0.25">
      <c r="A9010" s="1" t="str">
        <f t="shared" si="320"/>
        <v>19124</v>
      </c>
      <c r="B9010" s="1" t="str">
        <f>"76207"</f>
        <v>76207</v>
      </c>
      <c r="C9010" s="2">
        <v>1.8950882885424701E-2</v>
      </c>
      <c r="D9010" s="2">
        <v>3.50541746335245E-3</v>
      </c>
      <c r="E9010" s="2">
        <v>1.9193857965451001E-3</v>
      </c>
      <c r="F9010" s="2">
        <v>1.67085732825046E-2</v>
      </c>
    </row>
    <row r="9011" spans="1:6" x14ac:dyDescent="0.25">
      <c r="A9011" s="1" t="str">
        <f t="shared" si="320"/>
        <v>19124</v>
      </c>
      <c r="B9011" s="1" t="str">
        <f>"76209"</f>
        <v>76209</v>
      </c>
      <c r="C9011" s="2">
        <v>6.2542615974230499E-3</v>
      </c>
      <c r="D9011" s="2">
        <v>6.3734862970044601E-4</v>
      </c>
      <c r="E9011" s="2">
        <v>5.4839594187003002E-3</v>
      </c>
      <c r="F9011" s="2">
        <v>5.8398896909724997E-3</v>
      </c>
    </row>
    <row r="9012" spans="1:6" x14ac:dyDescent="0.25">
      <c r="A9012" s="1" t="str">
        <f t="shared" si="320"/>
        <v>19124</v>
      </c>
      <c r="B9012" s="1" t="str">
        <f>"75270"</f>
        <v>75270</v>
      </c>
      <c r="C9012" s="2">
        <v>0</v>
      </c>
      <c r="D9012" s="2">
        <v>0</v>
      </c>
      <c r="E9012" s="2">
        <v>2.7419797093501501E-4</v>
      </c>
      <c r="F9012" s="2">
        <v>2.0277394760321101E-5</v>
      </c>
    </row>
    <row r="9013" spans="1:6" x14ac:dyDescent="0.25">
      <c r="A9013" s="1" t="str">
        <f t="shared" si="320"/>
        <v>19124</v>
      </c>
      <c r="B9013" s="1" t="str">
        <f>"76670"</f>
        <v>76670</v>
      </c>
      <c r="C9013" s="2">
        <v>1.1756130822223699E-4</v>
      </c>
      <c r="D9013" s="2">
        <v>0</v>
      </c>
      <c r="E9013" s="2">
        <v>2.7419797093501501E-4</v>
      </c>
      <c r="F9013" s="2">
        <v>1.21664368561927E-4</v>
      </c>
    </row>
    <row r="9014" spans="1:6" x14ac:dyDescent="0.25">
      <c r="A9014" s="1" t="str">
        <f t="shared" si="320"/>
        <v>19124</v>
      </c>
      <c r="B9014" s="1" t="str">
        <f>"75044"</f>
        <v>75044</v>
      </c>
      <c r="C9014" s="2">
        <v>4.7024523288895101E-5</v>
      </c>
      <c r="D9014" s="2">
        <v>9.5602294455066896E-4</v>
      </c>
      <c r="E9014" s="2">
        <v>5.4839594187003002E-4</v>
      </c>
      <c r="F9014" s="2">
        <v>1.41941763322248E-4</v>
      </c>
    </row>
    <row r="9015" spans="1:6" x14ac:dyDescent="0.25">
      <c r="A9015" s="1" t="str">
        <f t="shared" si="320"/>
        <v>19124</v>
      </c>
      <c r="B9015" s="1" t="str">
        <f>"75104"</f>
        <v>75104</v>
      </c>
      <c r="C9015" s="2">
        <v>7.3358256330676398E-3</v>
      </c>
      <c r="D9015" s="2">
        <v>1.9120458891013299E-3</v>
      </c>
      <c r="E9015" s="2">
        <v>1.9193857965451001E-3</v>
      </c>
      <c r="F9015" s="2">
        <v>6.5901532971043798E-3</v>
      </c>
    </row>
    <row r="9016" spans="1:6" x14ac:dyDescent="0.25">
      <c r="A9016" s="1" t="str">
        <f t="shared" si="320"/>
        <v>19124</v>
      </c>
      <c r="B9016" s="1" t="str">
        <f>"75238"</f>
        <v>75238</v>
      </c>
      <c r="C9016" s="2">
        <v>4.7024523288895101E-5</v>
      </c>
      <c r="D9016" s="2">
        <v>7.3295092415551297E-3</v>
      </c>
      <c r="E9016" s="2">
        <v>0</v>
      </c>
      <c r="F9016" s="2">
        <v>5.0693486900802896E-4</v>
      </c>
    </row>
    <row r="9017" spans="1:6" x14ac:dyDescent="0.25">
      <c r="A9017" s="1" t="str">
        <f t="shared" si="320"/>
        <v>19124</v>
      </c>
      <c r="B9017" s="1" t="str">
        <f>"75212"</f>
        <v>75212</v>
      </c>
      <c r="C9017" s="2">
        <v>1.8621711222402401E-2</v>
      </c>
      <c r="D9017" s="2">
        <v>6.3734862970044601E-4</v>
      </c>
      <c r="E9017" s="2">
        <v>1.09679188374006E-3</v>
      </c>
      <c r="F9017" s="2">
        <v>1.6181361018736299E-2</v>
      </c>
    </row>
    <row r="9018" spans="1:6" x14ac:dyDescent="0.25">
      <c r="A9018" s="1" t="str">
        <f t="shared" si="320"/>
        <v>19124</v>
      </c>
      <c r="B9018" s="1" t="str">
        <f>"75074"</f>
        <v>75074</v>
      </c>
      <c r="C9018" s="2">
        <v>7.0536784933342706E-5</v>
      </c>
      <c r="D9018" s="2">
        <v>1.6571064372211501E-2</v>
      </c>
      <c r="E9018" s="2">
        <v>1.6451878256100901E-3</v>
      </c>
      <c r="F9018" s="2">
        <v>1.2369210803795899E-3</v>
      </c>
    </row>
    <row r="9019" spans="1:6" x14ac:dyDescent="0.25">
      <c r="A9019" s="1" t="str">
        <f t="shared" si="320"/>
        <v>19124</v>
      </c>
      <c r="B9019" s="1" t="str">
        <f>"75134"</f>
        <v>75134</v>
      </c>
      <c r="C9019" s="2">
        <v>2.35122616444475E-5</v>
      </c>
      <c r="D9019" s="2">
        <v>1.2746972594008901E-3</v>
      </c>
      <c r="E9019" s="2">
        <v>2.7419797093501501E-4</v>
      </c>
      <c r="F9019" s="2">
        <v>1.21664368561927E-4</v>
      </c>
    </row>
    <row r="9020" spans="1:6" x14ac:dyDescent="0.25">
      <c r="A9020" s="1" t="str">
        <f t="shared" si="320"/>
        <v>19124</v>
      </c>
      <c r="B9020" s="1" t="str">
        <f>"75287"</f>
        <v>75287</v>
      </c>
      <c r="C9020" s="2">
        <v>0</v>
      </c>
      <c r="D9020" s="2">
        <v>9.5602294455066896E-4</v>
      </c>
      <c r="E9020" s="2">
        <v>2.7419797093501501E-4</v>
      </c>
      <c r="F9020" s="2">
        <v>8.11095790412847E-5</v>
      </c>
    </row>
    <row r="9021" spans="1:6" x14ac:dyDescent="0.25">
      <c r="A9021" s="1" t="str">
        <f t="shared" si="320"/>
        <v>19124</v>
      </c>
      <c r="B9021" s="1" t="str">
        <f>"75231"</f>
        <v>75231</v>
      </c>
      <c r="C9021" s="2">
        <v>6.1131880275563705E-4</v>
      </c>
      <c r="D9021" s="2">
        <v>4.4614404079031198E-3</v>
      </c>
      <c r="E9021" s="2">
        <v>2.4677817384151299E-3</v>
      </c>
      <c r="F9021" s="2">
        <v>9.9359234325573803E-4</v>
      </c>
    </row>
    <row r="9022" spans="1:6" x14ac:dyDescent="0.25">
      <c r="A9022" s="1" t="str">
        <f t="shared" si="320"/>
        <v>19124</v>
      </c>
      <c r="B9022" s="1" t="str">
        <f>"75214"</f>
        <v>75214</v>
      </c>
      <c r="C9022" s="2">
        <v>2.0690790247113798E-3</v>
      </c>
      <c r="D9022" s="2">
        <v>1.01975780752071E-2</v>
      </c>
      <c r="E9022" s="2">
        <v>4.6613655058952499E-3</v>
      </c>
      <c r="F9022" s="2">
        <v>2.7780030821639998E-3</v>
      </c>
    </row>
    <row r="9023" spans="1:6" x14ac:dyDescent="0.25">
      <c r="A9023" s="1" t="str">
        <f t="shared" si="320"/>
        <v>19124</v>
      </c>
      <c r="B9023" s="1" t="str">
        <f>"75150"</f>
        <v>75150</v>
      </c>
      <c r="C9023" s="2">
        <v>0</v>
      </c>
      <c r="D9023" s="2">
        <v>3.50541746335245E-3</v>
      </c>
      <c r="E9023" s="2">
        <v>5.4839594187003002E-4</v>
      </c>
      <c r="F9023" s="2">
        <v>2.6360613188417502E-4</v>
      </c>
    </row>
    <row r="9024" spans="1:6" x14ac:dyDescent="0.25">
      <c r="A9024" s="1" t="str">
        <f t="shared" si="320"/>
        <v>19124</v>
      </c>
      <c r="B9024" s="1" t="str">
        <f>"75442"</f>
        <v>75442</v>
      </c>
      <c r="C9024" s="2">
        <v>5.1726975617784601E-3</v>
      </c>
      <c r="D9024" s="2">
        <v>6.3734862970044601E-4</v>
      </c>
      <c r="E9024" s="2">
        <v>0</v>
      </c>
      <c r="F9024" s="2">
        <v>4.5015816367913004E-3</v>
      </c>
    </row>
    <row r="9025" spans="1:6" x14ac:dyDescent="0.25">
      <c r="A9025" s="1" t="str">
        <f t="shared" si="320"/>
        <v>19124</v>
      </c>
      <c r="B9025" s="1" t="str">
        <f>"75496"</f>
        <v>75496</v>
      </c>
      <c r="C9025" s="2">
        <v>3.52683924666713E-4</v>
      </c>
      <c r="D9025" s="2">
        <v>0</v>
      </c>
      <c r="E9025" s="2">
        <v>5.4839594187003002E-4</v>
      </c>
      <c r="F9025" s="2">
        <v>3.4471571092545999E-4</v>
      </c>
    </row>
    <row r="9026" spans="1:6" x14ac:dyDescent="0.25">
      <c r="A9026" s="1" t="str">
        <f t="shared" si="320"/>
        <v>19124</v>
      </c>
      <c r="B9026" s="1" t="str">
        <f>"75407"</f>
        <v>75407</v>
      </c>
      <c r="C9026" s="2">
        <v>7.7825586043121396E-3</v>
      </c>
      <c r="D9026" s="2">
        <v>1.5933715742511101E-3</v>
      </c>
      <c r="E9026" s="2">
        <v>2.7419797093501501E-4</v>
      </c>
      <c r="F9026" s="2">
        <v>6.8334820342282401E-3</v>
      </c>
    </row>
    <row r="9027" spans="1:6" x14ac:dyDescent="0.25">
      <c r="A9027" s="1" t="str">
        <f t="shared" si="320"/>
        <v>19124</v>
      </c>
      <c r="B9027" s="1" t="str">
        <f>"75022"</f>
        <v>75022</v>
      </c>
      <c r="C9027" s="2">
        <v>1.62234605346688E-3</v>
      </c>
      <c r="D9027" s="2">
        <v>3.50541746335245E-3</v>
      </c>
      <c r="E9027" s="2">
        <v>2.4677817384151299E-3</v>
      </c>
      <c r="F9027" s="2">
        <v>1.8046881336685799E-3</v>
      </c>
    </row>
    <row r="9028" spans="1:6" x14ac:dyDescent="0.25">
      <c r="A9028" s="1" t="str">
        <f t="shared" ref="A9028:A9059" si="321">"19124"</f>
        <v>19124</v>
      </c>
      <c r="B9028" s="1" t="str">
        <f>"75226"</f>
        <v>75226</v>
      </c>
      <c r="C9028" s="2">
        <v>7.7355340810232502E-3</v>
      </c>
      <c r="D9028" s="2">
        <v>1.11536010197578E-2</v>
      </c>
      <c r="E9028" s="2">
        <v>1.28873046339457E-2</v>
      </c>
      <c r="F9028" s="2">
        <v>8.3340092464920107E-3</v>
      </c>
    </row>
    <row r="9029" spans="1:6" x14ac:dyDescent="0.25">
      <c r="A9029" s="1" t="str">
        <f t="shared" si="321"/>
        <v>19124</v>
      </c>
      <c r="B9029" s="1" t="str">
        <f>"75453"</f>
        <v>75453</v>
      </c>
      <c r="C9029" s="2">
        <v>6.3483106440008399E-4</v>
      </c>
      <c r="D9029" s="2">
        <v>3.1867431485022301E-4</v>
      </c>
      <c r="E9029" s="2">
        <v>1.3709898546750701E-3</v>
      </c>
      <c r="F9029" s="2">
        <v>6.6915402709059901E-4</v>
      </c>
    </row>
    <row r="9030" spans="1:6" x14ac:dyDescent="0.25">
      <c r="A9030" s="1" t="str">
        <f t="shared" si="321"/>
        <v>19124</v>
      </c>
      <c r="B9030" s="1" t="str">
        <f>"75234"</f>
        <v>75234</v>
      </c>
      <c r="C9030" s="2">
        <v>2.3230114504714201E-2</v>
      </c>
      <c r="D9030" s="2">
        <v>5.0987890376035603E-3</v>
      </c>
      <c r="E9030" s="2">
        <v>1.09679188374006E-2</v>
      </c>
      <c r="F9030" s="2">
        <v>2.1169600129775298E-2</v>
      </c>
    </row>
    <row r="9031" spans="1:6" x14ac:dyDescent="0.25">
      <c r="A9031" s="1" t="str">
        <f t="shared" si="321"/>
        <v>19124</v>
      </c>
      <c r="B9031" s="1" t="str">
        <f>"75158"</f>
        <v>75158</v>
      </c>
      <c r="C9031" s="2">
        <v>6.8185558768897895E-4</v>
      </c>
      <c r="D9031" s="2">
        <v>0</v>
      </c>
      <c r="E9031" s="2">
        <v>8.2259391280504503E-4</v>
      </c>
      <c r="F9031" s="2">
        <v>6.4887663233027804E-4</v>
      </c>
    </row>
    <row r="9032" spans="1:6" x14ac:dyDescent="0.25">
      <c r="A9032" s="1" t="str">
        <f t="shared" si="321"/>
        <v>19124</v>
      </c>
      <c r="B9032" s="1" t="str">
        <f>"75246"</f>
        <v>75246</v>
      </c>
      <c r="C9032" s="2">
        <v>2.8920081822670501E-3</v>
      </c>
      <c r="D9032" s="2">
        <v>6.3734862970044601E-4</v>
      </c>
      <c r="E9032" s="2">
        <v>2.7419797093501501E-3</v>
      </c>
      <c r="F9032" s="2">
        <v>2.73744829264336E-3</v>
      </c>
    </row>
    <row r="9033" spans="1:6" x14ac:dyDescent="0.25">
      <c r="A9033" s="1" t="str">
        <f t="shared" si="321"/>
        <v>19124</v>
      </c>
      <c r="B9033" s="1" t="str">
        <f>"75401"</f>
        <v>75401</v>
      </c>
      <c r="C9033" s="2">
        <v>1.16855940372904E-2</v>
      </c>
      <c r="D9033" s="2">
        <v>4.4614404079031198E-3</v>
      </c>
      <c r="E9033" s="2">
        <v>1.3435700575815701E-2</v>
      </c>
      <c r="F9033" s="2">
        <v>1.13553410657798E-2</v>
      </c>
    </row>
    <row r="9034" spans="1:6" x14ac:dyDescent="0.25">
      <c r="A9034" s="1" t="str">
        <f t="shared" si="321"/>
        <v>19124</v>
      </c>
      <c r="B9034" s="1" t="str">
        <f>"75056"</f>
        <v>75056</v>
      </c>
      <c r="C9034" s="2">
        <v>2.4100068185558699E-2</v>
      </c>
      <c r="D9034" s="2">
        <v>2.8680688336519999E-2</v>
      </c>
      <c r="E9034" s="2">
        <v>1.7000274197970899E-2</v>
      </c>
      <c r="F9034" s="2">
        <v>2.3866493632898E-2</v>
      </c>
    </row>
    <row r="9035" spans="1:6" x14ac:dyDescent="0.25">
      <c r="A9035" s="1" t="str">
        <f t="shared" si="321"/>
        <v>19124</v>
      </c>
      <c r="B9035" s="1" t="str">
        <f>"76205"</f>
        <v>76205</v>
      </c>
      <c r="C9035" s="2">
        <v>4.7024523288895101E-4</v>
      </c>
      <c r="D9035" s="2">
        <v>5.4174633524537901E-3</v>
      </c>
      <c r="E9035" s="2">
        <v>6.0323553605703302E-3</v>
      </c>
      <c r="F9035" s="2">
        <v>1.1963662908589499E-3</v>
      </c>
    </row>
    <row r="9036" spans="1:6" x14ac:dyDescent="0.25">
      <c r="A9036" s="1" t="str">
        <f t="shared" si="321"/>
        <v>19124</v>
      </c>
      <c r="B9036" s="1" t="str">
        <f>"75006"</f>
        <v>75006</v>
      </c>
      <c r="C9036" s="2">
        <v>1.3637111753779499E-2</v>
      </c>
      <c r="D9036" s="2">
        <v>6.0548119821542297E-3</v>
      </c>
      <c r="E9036" s="2">
        <v>5.20976144776528E-3</v>
      </c>
      <c r="F9036" s="2">
        <v>1.25314299618784E-2</v>
      </c>
    </row>
    <row r="9037" spans="1:6" x14ac:dyDescent="0.25">
      <c r="A9037" s="1" t="str">
        <f t="shared" si="321"/>
        <v>19124</v>
      </c>
      <c r="B9037" s="1" t="str">
        <f>"75141"</f>
        <v>75141</v>
      </c>
      <c r="C9037" s="2">
        <v>2.8214713973337001E-4</v>
      </c>
      <c r="D9037" s="2">
        <v>0</v>
      </c>
      <c r="E9037" s="2">
        <v>0</v>
      </c>
      <c r="F9037" s="2">
        <v>2.4332873712385399E-4</v>
      </c>
    </row>
    <row r="9038" spans="1:6" x14ac:dyDescent="0.25">
      <c r="A9038" s="1" t="str">
        <f t="shared" si="321"/>
        <v>19124</v>
      </c>
      <c r="B9038" s="1" t="str">
        <f>"75032"</f>
        <v>75032</v>
      </c>
      <c r="C9038" s="2">
        <v>7.1007030166231602E-3</v>
      </c>
      <c r="D9038" s="2">
        <v>2.2307202039515599E-3</v>
      </c>
      <c r="E9038" s="2">
        <v>1.09679188374006E-3</v>
      </c>
      <c r="F9038" s="2">
        <v>6.3468245599805299E-3</v>
      </c>
    </row>
    <row r="9039" spans="1:6" x14ac:dyDescent="0.25">
      <c r="A9039" s="1" t="str">
        <f t="shared" si="321"/>
        <v>19124</v>
      </c>
      <c r="B9039" s="1" t="str">
        <f>"75452"</f>
        <v>75452</v>
      </c>
      <c r="C9039" s="2">
        <v>2.35122616444475E-5</v>
      </c>
      <c r="D9039" s="2">
        <v>3.1867431485022301E-4</v>
      </c>
      <c r="E9039" s="2">
        <v>0</v>
      </c>
      <c r="F9039" s="2">
        <v>4.0554789520642303E-5</v>
      </c>
    </row>
    <row r="9040" spans="1:6" x14ac:dyDescent="0.25">
      <c r="A9040" s="1" t="str">
        <f t="shared" si="321"/>
        <v>19124</v>
      </c>
      <c r="B9040" s="1" t="str">
        <f>"75233"</f>
        <v>75233</v>
      </c>
      <c r="C9040" s="2">
        <v>0</v>
      </c>
      <c r="D9040" s="2">
        <v>0</v>
      </c>
      <c r="E9040" s="2">
        <v>2.6871401151631401E-2</v>
      </c>
      <c r="F9040" s="2">
        <v>1.98718468651147E-3</v>
      </c>
    </row>
    <row r="9041" spans="1:6" x14ac:dyDescent="0.25">
      <c r="A9041" s="1" t="str">
        <f t="shared" si="321"/>
        <v>19124</v>
      </c>
      <c r="B9041" s="1" t="str">
        <f>"75240"</f>
        <v>75240</v>
      </c>
      <c r="C9041" s="2">
        <v>7.0536784933342706E-5</v>
      </c>
      <c r="D9041" s="2">
        <v>1.7845761631612399E-2</v>
      </c>
      <c r="E9041" s="2">
        <v>1.6451878256100901E-3</v>
      </c>
      <c r="F9041" s="2">
        <v>1.3180306594208701E-3</v>
      </c>
    </row>
    <row r="9042" spans="1:6" x14ac:dyDescent="0.25">
      <c r="A9042" s="1" t="str">
        <f t="shared" si="321"/>
        <v>19124</v>
      </c>
      <c r="B9042" s="1" t="str">
        <f>"75253"</f>
        <v>75253</v>
      </c>
      <c r="C9042" s="2">
        <v>3.5973760316004699E-3</v>
      </c>
      <c r="D9042" s="2">
        <v>0</v>
      </c>
      <c r="E9042" s="2">
        <v>5.4839594187003002E-4</v>
      </c>
      <c r="F9042" s="2">
        <v>3.1429961878497799E-3</v>
      </c>
    </row>
    <row r="9043" spans="1:6" x14ac:dyDescent="0.25">
      <c r="A9043" s="1" t="str">
        <f t="shared" si="321"/>
        <v>19124</v>
      </c>
      <c r="B9043" s="1" t="str">
        <f>"75068"</f>
        <v>75068</v>
      </c>
      <c r="C9043" s="2">
        <v>9.2873433495567898E-3</v>
      </c>
      <c r="D9043" s="2">
        <v>1.2746972594008901E-3</v>
      </c>
      <c r="E9043" s="2">
        <v>2.7419797093501501E-4</v>
      </c>
      <c r="F9043" s="2">
        <v>8.1109579041284702E-3</v>
      </c>
    </row>
    <row r="9044" spans="1:6" x14ac:dyDescent="0.25">
      <c r="A9044" s="1" t="str">
        <f t="shared" si="321"/>
        <v>19124</v>
      </c>
      <c r="B9044" s="1" t="str">
        <f>"75001"</f>
        <v>75001</v>
      </c>
      <c r="C9044" s="2">
        <v>7.5004114645787698E-3</v>
      </c>
      <c r="D9044" s="2">
        <v>1.4659018483110201E-2</v>
      </c>
      <c r="E9044" s="2">
        <v>3.2903756512201801E-3</v>
      </c>
      <c r="F9044" s="2">
        <v>7.6445778246410903E-3</v>
      </c>
    </row>
    <row r="9045" spans="1:6" x14ac:dyDescent="0.25">
      <c r="A9045" s="1" t="str">
        <f t="shared" si="321"/>
        <v>19124</v>
      </c>
      <c r="B9045" s="1" t="str">
        <f>"75007"</f>
        <v>75007</v>
      </c>
      <c r="C9045" s="2">
        <v>4.8200136371117502E-3</v>
      </c>
      <c r="D9045" s="2">
        <v>9.5602294455066896E-4</v>
      </c>
      <c r="E9045" s="2">
        <v>8.2259391280504503E-4</v>
      </c>
      <c r="F9045" s="2">
        <v>4.2785302944277704E-3</v>
      </c>
    </row>
    <row r="9046" spans="1:6" x14ac:dyDescent="0.25">
      <c r="A9046" s="1" t="str">
        <f t="shared" si="321"/>
        <v>19124</v>
      </c>
      <c r="B9046" s="1" t="str">
        <f>"75206"</f>
        <v>75206</v>
      </c>
      <c r="C9046" s="2">
        <v>5.5488937480896198E-3</v>
      </c>
      <c r="D9046" s="2">
        <v>4.4614404079031198E-3</v>
      </c>
      <c r="E9046" s="2">
        <v>1.8919659994515999E-2</v>
      </c>
      <c r="F9046" s="2">
        <v>6.4684889285424596E-3</v>
      </c>
    </row>
    <row r="9047" spans="1:6" x14ac:dyDescent="0.25">
      <c r="A9047" s="1" t="str">
        <f t="shared" si="321"/>
        <v>19124</v>
      </c>
      <c r="B9047" s="1" t="str">
        <f>"75227"</f>
        <v>75227</v>
      </c>
      <c r="C9047" s="2">
        <v>4.2322070960005599E-4</v>
      </c>
      <c r="D9047" s="2">
        <v>2.2307202039515599E-3</v>
      </c>
      <c r="E9047" s="2">
        <v>4.3871675349602401E-3</v>
      </c>
      <c r="F9047" s="2">
        <v>8.3137318517316797E-4</v>
      </c>
    </row>
    <row r="9048" spans="1:6" x14ac:dyDescent="0.25">
      <c r="A9048" s="1" t="str">
        <f t="shared" si="321"/>
        <v>19124</v>
      </c>
      <c r="B9048" s="1" t="str">
        <f>"75077"</f>
        <v>75077</v>
      </c>
      <c r="C9048" s="2">
        <v>6.8185558768897904E-3</v>
      </c>
      <c r="D9048" s="2">
        <v>6.3734862970044601E-4</v>
      </c>
      <c r="E9048" s="2">
        <v>4.6613655058952499E-3</v>
      </c>
      <c r="F9048" s="2">
        <v>6.2657149809392399E-3</v>
      </c>
    </row>
    <row r="9049" spans="1:6" x14ac:dyDescent="0.25">
      <c r="A9049" s="1" t="str">
        <f t="shared" si="321"/>
        <v>19124</v>
      </c>
      <c r="B9049" s="1" t="str">
        <f>"75069"</f>
        <v>75069</v>
      </c>
      <c r="C9049" s="2">
        <v>7.5239237262232197E-3</v>
      </c>
      <c r="D9049" s="2">
        <v>9.5602294455066905E-3</v>
      </c>
      <c r="E9049" s="2">
        <v>1.67260762270359E-2</v>
      </c>
      <c r="F9049" s="2">
        <v>8.3340092464920107E-3</v>
      </c>
    </row>
    <row r="9050" spans="1:6" x14ac:dyDescent="0.25">
      <c r="A9050" s="1" t="str">
        <f t="shared" si="321"/>
        <v>19124</v>
      </c>
      <c r="B9050" s="1" t="str">
        <f>"75089"</f>
        <v>75089</v>
      </c>
      <c r="C9050" s="2">
        <v>1.73285368319578E-2</v>
      </c>
      <c r="D9050" s="2">
        <v>3.1867431485022301E-4</v>
      </c>
      <c r="E9050" s="2">
        <v>5.4839594187003002E-3</v>
      </c>
      <c r="F9050" s="2">
        <v>1.5370265228323399E-2</v>
      </c>
    </row>
    <row r="9051" spans="1:6" x14ac:dyDescent="0.25">
      <c r="A9051" s="1" t="str">
        <f t="shared" si="321"/>
        <v>19124</v>
      </c>
      <c r="B9051" s="1" t="str">
        <f>"75060"</f>
        <v>75060</v>
      </c>
      <c r="C9051" s="2">
        <v>7.0536784933342706E-5</v>
      </c>
      <c r="D9051" s="2">
        <v>0</v>
      </c>
      <c r="E9051" s="2">
        <v>3.5645736221551899E-3</v>
      </c>
      <c r="F9051" s="2">
        <v>3.2443831616513902E-4</v>
      </c>
    </row>
    <row r="9052" spans="1:6" x14ac:dyDescent="0.25">
      <c r="A9052" s="1" t="str">
        <f t="shared" si="321"/>
        <v>19124</v>
      </c>
      <c r="B9052" s="1" t="str">
        <f>"76247"</f>
        <v>76247</v>
      </c>
      <c r="C9052" s="2">
        <v>2.0878888340269401E-2</v>
      </c>
      <c r="D9052" s="2">
        <v>4.7801147227533401E-3</v>
      </c>
      <c r="E9052" s="2">
        <v>1.6451878256100901E-3</v>
      </c>
      <c r="F9052" s="2">
        <v>1.8432151837131899E-2</v>
      </c>
    </row>
    <row r="9053" spans="1:6" x14ac:dyDescent="0.25">
      <c r="A9053" s="1" t="str">
        <f t="shared" si="321"/>
        <v>19124</v>
      </c>
      <c r="B9053" s="1" t="str">
        <f>"75211"</f>
        <v>75211</v>
      </c>
      <c r="C9053" s="2">
        <v>7.0536784933342706E-5</v>
      </c>
      <c r="D9053" s="2">
        <v>5.7361376673040103E-3</v>
      </c>
      <c r="E9053" s="2">
        <v>7.5130244036194102E-2</v>
      </c>
      <c r="F9053" s="2">
        <v>5.9818314542947502E-3</v>
      </c>
    </row>
    <row r="9054" spans="1:6" x14ac:dyDescent="0.25">
      <c r="A9054" s="1" t="str">
        <f t="shared" si="321"/>
        <v>19124</v>
      </c>
      <c r="B9054" s="1" t="str">
        <f>"75225"</f>
        <v>75225</v>
      </c>
      <c r="C9054" s="2">
        <v>7.3358256330676398E-3</v>
      </c>
      <c r="D9054" s="2">
        <v>4.7801147227533401E-3</v>
      </c>
      <c r="E9054" s="2">
        <v>4.6613655058952499E-3</v>
      </c>
      <c r="F9054" s="2">
        <v>6.9754237975504898E-3</v>
      </c>
    </row>
    <row r="9055" spans="1:6" x14ac:dyDescent="0.25">
      <c r="A9055" s="1" t="str">
        <f t="shared" si="321"/>
        <v>19124</v>
      </c>
      <c r="B9055" s="1" t="str">
        <f>"75160"</f>
        <v>75160</v>
      </c>
      <c r="C9055" s="2">
        <v>7.9941689591121702E-4</v>
      </c>
      <c r="D9055" s="2">
        <v>1.33843212237093E-2</v>
      </c>
      <c r="E9055" s="2">
        <v>1.6451878256100901E-3</v>
      </c>
      <c r="F9055" s="2">
        <v>1.6627463703463301E-3</v>
      </c>
    </row>
    <row r="9056" spans="1:6" x14ac:dyDescent="0.25">
      <c r="A9056" s="1" t="str">
        <f t="shared" si="321"/>
        <v>19124</v>
      </c>
      <c r="B9056" s="1" t="str">
        <f>"75251"</f>
        <v>75251</v>
      </c>
      <c r="C9056" s="2">
        <v>1.8809809315558E-4</v>
      </c>
      <c r="D9056" s="2">
        <v>4.4614404079031198E-3</v>
      </c>
      <c r="E9056" s="2">
        <v>5.4839594187003002E-3</v>
      </c>
      <c r="F9056" s="2">
        <v>8.5165057993349003E-4</v>
      </c>
    </row>
    <row r="9057" spans="1:6" x14ac:dyDescent="0.25">
      <c r="A9057" s="1" t="str">
        <f t="shared" si="321"/>
        <v>19124</v>
      </c>
      <c r="B9057" s="1" t="str">
        <f>"75039"</f>
        <v>75039</v>
      </c>
      <c r="C9057" s="2">
        <v>2.2219087254002901E-2</v>
      </c>
      <c r="D9057" s="2">
        <v>4.14276609305289E-3</v>
      </c>
      <c r="E9057" s="2">
        <v>4.1129695640252199E-3</v>
      </c>
      <c r="F9057" s="2">
        <v>1.97299051017925E-2</v>
      </c>
    </row>
    <row r="9058" spans="1:6" x14ac:dyDescent="0.25">
      <c r="A9058" s="1" t="str">
        <f t="shared" si="321"/>
        <v>19124</v>
      </c>
      <c r="B9058" s="1" t="str">
        <f>"75052"</f>
        <v>75052</v>
      </c>
      <c r="C9058" s="2">
        <v>1.8551174437469099E-2</v>
      </c>
      <c r="D9058" s="2">
        <v>2.0076481835564E-2</v>
      </c>
      <c r="E9058" s="2">
        <v>6.5807513024403602E-3</v>
      </c>
      <c r="F9058" s="2">
        <v>1.7762997810041301E-2</v>
      </c>
    </row>
    <row r="9059" spans="1:6" x14ac:dyDescent="0.25">
      <c r="A9059" s="1" t="str">
        <f t="shared" si="321"/>
        <v>19124</v>
      </c>
      <c r="B9059" s="1" t="str">
        <f>"75057"</f>
        <v>75057</v>
      </c>
      <c r="C9059" s="2">
        <v>0</v>
      </c>
      <c r="D9059" s="2">
        <v>3.1867431485022302E-3</v>
      </c>
      <c r="E9059" s="2">
        <v>1.06937208664655E-2</v>
      </c>
      <c r="F9059" s="2">
        <v>9.9359234325573803E-4</v>
      </c>
    </row>
    <row r="9060" spans="1:6" x14ac:dyDescent="0.25">
      <c r="A9060" s="1" t="str">
        <f t="shared" ref="A9060:A9091" si="322">"19124"</f>
        <v>19124</v>
      </c>
      <c r="B9060" s="1" t="str">
        <f>"76266"</f>
        <v>76266</v>
      </c>
      <c r="C9060" s="2">
        <v>2.8920081822670501E-3</v>
      </c>
      <c r="D9060" s="2">
        <v>3.1867431485022301E-4</v>
      </c>
      <c r="E9060" s="2">
        <v>1.09679188374006E-3</v>
      </c>
      <c r="F9060" s="2">
        <v>2.59550652932111E-3</v>
      </c>
    </row>
    <row r="9061" spans="1:6" x14ac:dyDescent="0.25">
      <c r="A9061" s="1" t="str">
        <f t="shared" si="322"/>
        <v>19124</v>
      </c>
      <c r="B9061" s="1" t="str">
        <f>"75041"</f>
        <v>75041</v>
      </c>
      <c r="C9061" s="2">
        <v>8.6995368084456001E-4</v>
      </c>
      <c r="D9061" s="2">
        <v>1.5933715742511101E-3</v>
      </c>
      <c r="E9061" s="2">
        <v>8.2259391280504503E-4</v>
      </c>
      <c r="F9061" s="2">
        <v>9.1248276421445295E-4</v>
      </c>
    </row>
    <row r="9062" spans="1:6" x14ac:dyDescent="0.25">
      <c r="A9062" s="1" t="str">
        <f t="shared" si="322"/>
        <v>19124</v>
      </c>
      <c r="B9062" s="1" t="str">
        <f>"75228"</f>
        <v>75228</v>
      </c>
      <c r="C9062" s="2">
        <v>0</v>
      </c>
      <c r="D9062" s="2">
        <v>1.2746972594008901E-3</v>
      </c>
      <c r="E9062" s="2">
        <v>3.2903756512201801E-3</v>
      </c>
      <c r="F9062" s="2">
        <v>3.2443831616513902E-4</v>
      </c>
    </row>
    <row r="9063" spans="1:6" x14ac:dyDescent="0.25">
      <c r="A9063" s="1" t="str">
        <f t="shared" si="322"/>
        <v>19124</v>
      </c>
      <c r="B9063" s="1" t="str">
        <f>"75220"</f>
        <v>75220</v>
      </c>
      <c r="C9063" s="2">
        <v>0</v>
      </c>
      <c r="D9063" s="2">
        <v>1.9120458891013299E-3</v>
      </c>
      <c r="E9063" s="2">
        <v>8.2259391280504503E-4</v>
      </c>
      <c r="F9063" s="2">
        <v>1.8249655284288999E-4</v>
      </c>
    </row>
    <row r="9064" spans="1:6" x14ac:dyDescent="0.25">
      <c r="A9064" s="1" t="str">
        <f t="shared" si="322"/>
        <v>19124</v>
      </c>
      <c r="B9064" s="1" t="str">
        <f>"75135"</f>
        <v>75135</v>
      </c>
      <c r="C9064" s="2">
        <v>1.3872234370224E-3</v>
      </c>
      <c r="D9064" s="2">
        <v>1.2746972594008901E-3</v>
      </c>
      <c r="E9064" s="2">
        <v>1.09679188374006E-3</v>
      </c>
      <c r="F9064" s="2">
        <v>1.3585854489415101E-3</v>
      </c>
    </row>
    <row r="9065" spans="1:6" x14ac:dyDescent="0.25">
      <c r="A9065" s="1" t="str">
        <f t="shared" si="322"/>
        <v>19124</v>
      </c>
      <c r="B9065" s="1" t="str">
        <f>"75205"</f>
        <v>75205</v>
      </c>
      <c r="C9065" s="2">
        <v>2.8214713973337001E-4</v>
      </c>
      <c r="D9065" s="2">
        <v>6.3734862970044601E-4</v>
      </c>
      <c r="E9065" s="2">
        <v>4.1129695640252199E-3</v>
      </c>
      <c r="F9065" s="2">
        <v>5.8804444804931404E-4</v>
      </c>
    </row>
    <row r="9066" spans="1:6" x14ac:dyDescent="0.25">
      <c r="A9066" s="1" t="str">
        <f t="shared" si="322"/>
        <v>19124</v>
      </c>
      <c r="B9066" s="1" t="str">
        <f>"75180"</f>
        <v>75180</v>
      </c>
      <c r="C9066" s="2">
        <v>5.4078201782229395E-4</v>
      </c>
      <c r="D9066" s="2">
        <v>7.0108349267049E-3</v>
      </c>
      <c r="E9066" s="2">
        <v>2.1935837674801201E-3</v>
      </c>
      <c r="F9066" s="2">
        <v>1.07470192229702E-3</v>
      </c>
    </row>
    <row r="9067" spans="1:6" x14ac:dyDescent="0.25">
      <c r="A9067" s="1" t="str">
        <f t="shared" si="322"/>
        <v>19124</v>
      </c>
      <c r="B9067" s="1" t="str">
        <f>"75114"</f>
        <v>75114</v>
      </c>
      <c r="C9067" s="2">
        <v>6.4893842138675304E-3</v>
      </c>
      <c r="D9067" s="2">
        <v>3.1867431485022301E-4</v>
      </c>
      <c r="E9067" s="2">
        <v>2.7419797093501501E-4</v>
      </c>
      <c r="F9067" s="2">
        <v>5.6371157433692896E-3</v>
      </c>
    </row>
    <row r="9068" spans="1:6" x14ac:dyDescent="0.25">
      <c r="A9068" s="1" t="str">
        <f t="shared" si="322"/>
        <v>19124</v>
      </c>
      <c r="B9068" s="1" t="str">
        <f>"75409"</f>
        <v>75409</v>
      </c>
      <c r="C9068" s="2">
        <v>2.1231572264936101E-2</v>
      </c>
      <c r="D9068" s="2">
        <v>8.2855321861057905E-3</v>
      </c>
      <c r="E9068" s="2">
        <v>1.6451878256100901E-3</v>
      </c>
      <c r="F9068" s="2">
        <v>1.8959364100900301E-2</v>
      </c>
    </row>
    <row r="9069" spans="1:6" x14ac:dyDescent="0.25">
      <c r="A9069" s="1" t="str">
        <f t="shared" si="322"/>
        <v>19124</v>
      </c>
      <c r="B9069" s="1" t="str">
        <f>"75023"</f>
        <v>75023</v>
      </c>
      <c r="C9069" s="2">
        <v>1.01808092920458E-2</v>
      </c>
      <c r="D9069" s="2">
        <v>4.4614404079031198E-3</v>
      </c>
      <c r="E9069" s="2">
        <v>1.9193857965451001E-3</v>
      </c>
      <c r="F9069" s="2">
        <v>9.2059372211858205E-3</v>
      </c>
    </row>
    <row r="9070" spans="1:6" x14ac:dyDescent="0.25">
      <c r="A9070" s="1" t="str">
        <f t="shared" si="322"/>
        <v>19124</v>
      </c>
      <c r="B9070" s="1" t="str">
        <f>"75009"</f>
        <v>75009</v>
      </c>
      <c r="C9070" s="2">
        <v>9.4989537043568203E-3</v>
      </c>
      <c r="D9070" s="2">
        <v>5.0987890376035603E-3</v>
      </c>
      <c r="E9070" s="2">
        <v>5.4839594187003002E-4</v>
      </c>
      <c r="F9070" s="2">
        <v>8.5570605888555407E-3</v>
      </c>
    </row>
    <row r="9071" spans="1:6" x14ac:dyDescent="0.25">
      <c r="A9071" s="1" t="str">
        <f t="shared" si="322"/>
        <v>19124</v>
      </c>
      <c r="B9071" s="1" t="str">
        <f>"75025"</f>
        <v>75025</v>
      </c>
      <c r="C9071" s="2">
        <v>2.35122616444475E-5</v>
      </c>
      <c r="D9071" s="2">
        <v>9.5602294455066896E-4</v>
      </c>
      <c r="E9071" s="2">
        <v>5.4839594187003002E-4</v>
      </c>
      <c r="F9071" s="2">
        <v>1.21664368561927E-4</v>
      </c>
    </row>
    <row r="9072" spans="1:6" x14ac:dyDescent="0.25">
      <c r="A9072" s="1" t="str">
        <f t="shared" si="322"/>
        <v>19124</v>
      </c>
      <c r="B9072" s="1" t="str">
        <f>"75143"</f>
        <v>75143</v>
      </c>
      <c r="C9072" s="2">
        <v>5.64294279466741E-4</v>
      </c>
      <c r="D9072" s="2">
        <v>3.1867431485022301E-4</v>
      </c>
      <c r="E9072" s="2">
        <v>2.7419797093501501E-4</v>
      </c>
      <c r="F9072" s="2">
        <v>5.2721226376835101E-4</v>
      </c>
    </row>
    <row r="9073" spans="1:6" x14ac:dyDescent="0.25">
      <c r="A9073" s="1" t="str">
        <f t="shared" si="322"/>
        <v>19124</v>
      </c>
      <c r="B9073" s="1" t="str">
        <f>"75173"</f>
        <v>75173</v>
      </c>
      <c r="C9073" s="2">
        <v>4.9375749453339898E-4</v>
      </c>
      <c r="D9073" s="2">
        <v>3.1867431485022301E-4</v>
      </c>
      <c r="E9073" s="2">
        <v>2.7419797093501501E-4</v>
      </c>
      <c r="F9073" s="2">
        <v>4.6638007948738701E-4</v>
      </c>
    </row>
    <row r="9074" spans="1:6" x14ac:dyDescent="0.25">
      <c r="A9074" s="1" t="str">
        <f t="shared" si="322"/>
        <v>19124</v>
      </c>
      <c r="B9074" s="1" t="str">
        <f>"75166"</f>
        <v>75166</v>
      </c>
      <c r="C9074" s="2">
        <v>9.4049046577790297E-5</v>
      </c>
      <c r="D9074" s="2">
        <v>2.2307202039515599E-3</v>
      </c>
      <c r="E9074" s="2">
        <v>2.7419797093501501E-4</v>
      </c>
      <c r="F9074" s="2">
        <v>2.4332873712385399E-4</v>
      </c>
    </row>
    <row r="9075" spans="1:6" x14ac:dyDescent="0.25">
      <c r="A9075" s="1" t="str">
        <f t="shared" si="322"/>
        <v>19124</v>
      </c>
      <c r="B9075" s="1" t="str">
        <f>"75423"</f>
        <v>75423</v>
      </c>
      <c r="C9075" s="2">
        <v>2.8214713973337001E-4</v>
      </c>
      <c r="D9075" s="2">
        <v>0</v>
      </c>
      <c r="E9075" s="2">
        <v>0</v>
      </c>
      <c r="F9075" s="2">
        <v>2.4332873712385399E-4</v>
      </c>
    </row>
    <row r="9076" spans="1:6" x14ac:dyDescent="0.25">
      <c r="A9076" s="1" t="str">
        <f t="shared" si="322"/>
        <v>19124</v>
      </c>
      <c r="B9076" s="1" t="str">
        <f>"75080"</f>
        <v>75080</v>
      </c>
      <c r="C9076" s="2">
        <v>9.4049046577790297E-5</v>
      </c>
      <c r="D9076" s="2">
        <v>2.3900573613766699E-2</v>
      </c>
      <c r="E9076" s="2">
        <v>1.45324924595557E-2</v>
      </c>
      <c r="F9076" s="2">
        <v>2.67661610836239E-3</v>
      </c>
    </row>
    <row r="9077" spans="1:6" x14ac:dyDescent="0.25">
      <c r="A9077" s="1" t="str">
        <f t="shared" si="322"/>
        <v>19124</v>
      </c>
      <c r="B9077" s="1" t="str">
        <f>"75088"</f>
        <v>75088</v>
      </c>
      <c r="C9077" s="2">
        <v>3.24939455926265E-2</v>
      </c>
      <c r="D9077" s="2">
        <v>2.5493945188017801E-3</v>
      </c>
      <c r="E9077" s="2">
        <v>2.1935837674801201E-3</v>
      </c>
      <c r="F9077" s="2">
        <v>2.8347797874928998E-2</v>
      </c>
    </row>
    <row r="9078" spans="1:6" x14ac:dyDescent="0.25">
      <c r="A9078" s="1" t="str">
        <f t="shared" si="322"/>
        <v>19124</v>
      </c>
      <c r="B9078" s="1" t="str">
        <f>"75061"</f>
        <v>75061</v>
      </c>
      <c r="C9078" s="2">
        <v>6.7009945686675601E-3</v>
      </c>
      <c r="D9078" s="2">
        <v>6.3734862970044603E-3</v>
      </c>
      <c r="E9078" s="2">
        <v>2.1935837674801201E-3</v>
      </c>
      <c r="F9078" s="2">
        <v>6.3468245599805299E-3</v>
      </c>
    </row>
    <row r="9079" spans="1:6" x14ac:dyDescent="0.25">
      <c r="A9079" s="1" t="str">
        <f t="shared" si="322"/>
        <v>19124</v>
      </c>
      <c r="B9079" s="1" t="str">
        <f>"75154"</f>
        <v>75154</v>
      </c>
      <c r="C9079" s="2">
        <v>1.7469610401824501E-2</v>
      </c>
      <c r="D9079" s="2">
        <v>3.1867431485022302E-3</v>
      </c>
      <c r="E9079" s="2">
        <v>3.0161776802851599E-3</v>
      </c>
      <c r="F9079" s="2">
        <v>1.54919295968853E-2</v>
      </c>
    </row>
    <row r="9080" spans="1:6" x14ac:dyDescent="0.25">
      <c r="A9080" s="1" t="str">
        <f t="shared" si="322"/>
        <v>19124</v>
      </c>
      <c r="B9080" s="1" t="str">
        <f>"75422"</f>
        <v>75422</v>
      </c>
      <c r="C9080" s="2">
        <v>2.11610354800028E-4</v>
      </c>
      <c r="D9080" s="2">
        <v>0</v>
      </c>
      <c r="E9080" s="2">
        <v>0</v>
      </c>
      <c r="F9080" s="2">
        <v>1.8249655284288999E-4</v>
      </c>
    </row>
    <row r="9081" spans="1:6" x14ac:dyDescent="0.25">
      <c r="A9081" s="1" t="str">
        <f t="shared" si="322"/>
        <v>19124</v>
      </c>
      <c r="B9081" s="1" t="str">
        <f>"76050"</f>
        <v>76050</v>
      </c>
      <c r="C9081" s="2">
        <v>2.35122616444475E-5</v>
      </c>
      <c r="D9081" s="2">
        <v>0</v>
      </c>
      <c r="E9081" s="2">
        <v>0</v>
      </c>
      <c r="F9081" s="2">
        <v>2.0277394760321101E-5</v>
      </c>
    </row>
    <row r="9082" spans="1:6" x14ac:dyDescent="0.25">
      <c r="A9082" s="1" t="str">
        <f t="shared" si="322"/>
        <v>19124</v>
      </c>
      <c r="B9082" s="1" t="str">
        <f>"75161"</f>
        <v>75161</v>
      </c>
      <c r="C9082" s="2">
        <v>8.2292915755566504E-4</v>
      </c>
      <c r="D9082" s="2">
        <v>3.1867431485022301E-4</v>
      </c>
      <c r="E9082" s="2">
        <v>2.7419797093501501E-4</v>
      </c>
      <c r="F9082" s="2">
        <v>7.5026360613188398E-4</v>
      </c>
    </row>
    <row r="9083" spans="1:6" x14ac:dyDescent="0.25">
      <c r="A9083" s="1" t="str">
        <f t="shared" si="322"/>
        <v>19124</v>
      </c>
      <c r="B9083" s="1" t="str">
        <f>"75081"</f>
        <v>75081</v>
      </c>
      <c r="C9083" s="2">
        <v>3.52683924666713E-4</v>
      </c>
      <c r="D9083" s="2">
        <v>2.2307202039515599E-3</v>
      </c>
      <c r="E9083" s="2">
        <v>5.4839594187003002E-4</v>
      </c>
      <c r="F9083" s="2">
        <v>4.8665747424770798E-4</v>
      </c>
    </row>
    <row r="9084" spans="1:6" x14ac:dyDescent="0.25">
      <c r="A9084" s="1" t="str">
        <f t="shared" si="322"/>
        <v>19124</v>
      </c>
      <c r="B9084" s="1" t="str">
        <f>"75048"</f>
        <v>75048</v>
      </c>
      <c r="C9084" s="2">
        <v>4.7024523288895101E-5</v>
      </c>
      <c r="D9084" s="2">
        <v>0</v>
      </c>
      <c r="E9084" s="2">
        <v>2.7419797093501501E-4</v>
      </c>
      <c r="F9084" s="2">
        <v>6.0832184280963498E-5</v>
      </c>
    </row>
    <row r="9085" spans="1:6" x14ac:dyDescent="0.25">
      <c r="A9085" s="1" t="str">
        <f t="shared" si="322"/>
        <v>19124</v>
      </c>
      <c r="B9085" s="1" t="str">
        <f>"75247"</f>
        <v>75247</v>
      </c>
      <c r="C9085" s="2">
        <v>4.7024523288895101E-5</v>
      </c>
      <c r="D9085" s="2">
        <v>2.2307202039515599E-3</v>
      </c>
      <c r="E9085" s="2">
        <v>5.4839594187003002E-4</v>
      </c>
      <c r="F9085" s="2">
        <v>2.2305134236353299E-4</v>
      </c>
    </row>
    <row r="9086" spans="1:6" x14ac:dyDescent="0.25">
      <c r="A9086" s="1" t="str">
        <f t="shared" si="322"/>
        <v>19124</v>
      </c>
      <c r="B9086" s="1" t="str">
        <f>"75137"</f>
        <v>75137</v>
      </c>
      <c r="C9086" s="2">
        <v>0</v>
      </c>
      <c r="D9086" s="2">
        <v>3.50541746335245E-3</v>
      </c>
      <c r="E9086" s="2">
        <v>8.2259391280504503E-4</v>
      </c>
      <c r="F9086" s="2">
        <v>2.8388352664449599E-4</v>
      </c>
    </row>
    <row r="9087" spans="1:6" x14ac:dyDescent="0.25">
      <c r="A9087" s="1" t="str">
        <f t="shared" si="322"/>
        <v>19124</v>
      </c>
      <c r="B9087" s="1" t="str">
        <f>"75054"</f>
        <v>75054</v>
      </c>
      <c r="C9087" s="2">
        <v>2.35122616444475E-5</v>
      </c>
      <c r="D9087" s="2">
        <v>0</v>
      </c>
      <c r="E9087" s="2">
        <v>0</v>
      </c>
      <c r="F9087" s="2">
        <v>2.0277394760321101E-5</v>
      </c>
    </row>
    <row r="9088" spans="1:6" x14ac:dyDescent="0.25">
      <c r="A9088" s="1" t="str">
        <f t="shared" si="322"/>
        <v>19124</v>
      </c>
      <c r="B9088" s="1" t="str">
        <f>"76084"</f>
        <v>76084</v>
      </c>
      <c r="C9088" s="2">
        <v>4.7024523288895101E-5</v>
      </c>
      <c r="D9088" s="2">
        <v>0</v>
      </c>
      <c r="E9088" s="2">
        <v>0</v>
      </c>
      <c r="F9088" s="2">
        <v>4.0554789520642303E-5</v>
      </c>
    </row>
    <row r="9089" spans="1:6" x14ac:dyDescent="0.25">
      <c r="A9089" s="1" t="str">
        <f t="shared" si="322"/>
        <v>19124</v>
      </c>
      <c r="B9089" s="1" t="str">
        <f>"75449"</f>
        <v>75449</v>
      </c>
      <c r="C9089" s="2">
        <v>2.35122616444475E-5</v>
      </c>
      <c r="D9089" s="2">
        <v>0</v>
      </c>
      <c r="E9089" s="2">
        <v>0</v>
      </c>
      <c r="F9089" s="2">
        <v>2.0277394760321101E-5</v>
      </c>
    </row>
    <row r="9090" spans="1:6" x14ac:dyDescent="0.25">
      <c r="A9090" s="1" t="str">
        <f t="shared" si="322"/>
        <v>19124</v>
      </c>
      <c r="B9090" s="1" t="str">
        <f>"76064"</f>
        <v>76064</v>
      </c>
      <c r="C9090" s="2">
        <v>9.4049046577790297E-5</v>
      </c>
      <c r="D9090" s="2">
        <v>0</v>
      </c>
      <c r="E9090" s="2">
        <v>0</v>
      </c>
      <c r="F9090" s="2">
        <v>8.11095790412847E-5</v>
      </c>
    </row>
    <row r="9091" spans="1:6" x14ac:dyDescent="0.25">
      <c r="A9091" s="1" t="str">
        <f t="shared" si="322"/>
        <v>19124</v>
      </c>
      <c r="B9091" s="1" t="str">
        <f>"75125"</f>
        <v>75125</v>
      </c>
      <c r="C9091" s="2">
        <v>3.2917166302226601E-4</v>
      </c>
      <c r="D9091" s="2">
        <v>0</v>
      </c>
      <c r="E9091" s="2">
        <v>0</v>
      </c>
      <c r="F9091" s="2">
        <v>2.8388352664449599E-4</v>
      </c>
    </row>
    <row r="9092" spans="1:6" x14ac:dyDescent="0.25">
      <c r="A9092" s="1" t="str">
        <f t="shared" ref="A9092:A9123" si="323">"19124"</f>
        <v>19124</v>
      </c>
      <c r="B9092" s="1" t="str">
        <f>"76258"</f>
        <v>76258</v>
      </c>
      <c r="C9092" s="2">
        <v>3.2917166302226601E-4</v>
      </c>
      <c r="D9092" s="2">
        <v>3.1867431485022301E-4</v>
      </c>
      <c r="E9092" s="2">
        <v>8.2259391280504503E-4</v>
      </c>
      <c r="F9092" s="2">
        <v>3.6499310568578102E-4</v>
      </c>
    </row>
    <row r="9093" spans="1:6" x14ac:dyDescent="0.25">
      <c r="A9093" s="1" t="str">
        <f t="shared" si="323"/>
        <v>19124</v>
      </c>
      <c r="B9093" s="1" t="str">
        <f>"75010"</f>
        <v>75010</v>
      </c>
      <c r="C9093" s="2">
        <v>1.6717218029202199E-2</v>
      </c>
      <c r="D9093" s="2">
        <v>1.3065646908859099E-2</v>
      </c>
      <c r="E9093" s="2">
        <v>1.3709898546750701E-3</v>
      </c>
      <c r="F9093" s="2">
        <v>1.5349987833563099E-2</v>
      </c>
    </row>
    <row r="9094" spans="1:6" x14ac:dyDescent="0.25">
      <c r="A9094" s="1" t="str">
        <f t="shared" si="323"/>
        <v>19124</v>
      </c>
      <c r="B9094" s="1" t="str">
        <f>"75072"</f>
        <v>75072</v>
      </c>
      <c r="C9094" s="2">
        <v>6.1131880275563705E-4</v>
      </c>
      <c r="D9094" s="2">
        <v>1.40216698534098E-2</v>
      </c>
      <c r="E9094" s="2">
        <v>1.9193857965451001E-3</v>
      </c>
      <c r="F9094" s="2">
        <v>1.56135939654473E-3</v>
      </c>
    </row>
    <row r="9095" spans="1:6" x14ac:dyDescent="0.25">
      <c r="A9095" s="1" t="str">
        <f t="shared" si="323"/>
        <v>19124</v>
      </c>
      <c r="B9095" s="1" t="str">
        <f>"75252"</f>
        <v>75252</v>
      </c>
      <c r="C9095" s="2">
        <v>2.7274223507559102E-3</v>
      </c>
      <c r="D9095" s="2">
        <v>2.868068833652E-3</v>
      </c>
      <c r="E9095" s="2">
        <v>1.09679188374006E-3</v>
      </c>
      <c r="F9095" s="2">
        <v>2.6157839240814299E-3</v>
      </c>
    </row>
    <row r="9096" spans="1:6" x14ac:dyDescent="0.25">
      <c r="A9096" s="1" t="str">
        <f t="shared" si="323"/>
        <v>19124</v>
      </c>
      <c r="B9096" s="1" t="str">
        <f>"75063"</f>
        <v>75063</v>
      </c>
      <c r="C9096" s="2">
        <v>1.78693188497801E-3</v>
      </c>
      <c r="D9096" s="2">
        <v>1.01975780752071E-2</v>
      </c>
      <c r="E9096" s="2">
        <v>0.14477652865368701</v>
      </c>
      <c r="F9096" s="2">
        <v>1.28964230675642E-2</v>
      </c>
    </row>
    <row r="9097" spans="1:6" x14ac:dyDescent="0.25">
      <c r="A9097" s="1" t="str">
        <f t="shared" si="323"/>
        <v>19124</v>
      </c>
      <c r="B9097" s="1" t="str">
        <f>"75040"</f>
        <v>75040</v>
      </c>
      <c r="C9097" s="2">
        <v>1.46011144812019E-2</v>
      </c>
      <c r="D9097" s="2">
        <v>3.1867431485022302E-3</v>
      </c>
      <c r="E9097" s="2">
        <v>3.5645736221551899E-3</v>
      </c>
      <c r="F9097" s="2">
        <v>1.30586422256468E-2</v>
      </c>
    </row>
    <row r="9098" spans="1:6" x14ac:dyDescent="0.25">
      <c r="A9098" s="1" t="str">
        <f t="shared" si="323"/>
        <v>19124</v>
      </c>
      <c r="B9098" s="1" t="str">
        <f>"76226"</f>
        <v>76226</v>
      </c>
      <c r="C9098" s="2">
        <v>1.18972043920904E-2</v>
      </c>
      <c r="D9098" s="2">
        <v>4.9713193116634698E-2</v>
      </c>
      <c r="E9098" s="2">
        <v>2.4677817384151299E-3</v>
      </c>
      <c r="F9098" s="2">
        <v>1.3606131884175501E-2</v>
      </c>
    </row>
    <row r="9099" spans="1:6" x14ac:dyDescent="0.25">
      <c r="A9099" s="1" t="str">
        <f t="shared" si="323"/>
        <v>19124</v>
      </c>
      <c r="B9099" s="1" t="str">
        <f>"75219"</f>
        <v>75219</v>
      </c>
      <c r="C9099" s="2">
        <v>6.5599209988008696E-3</v>
      </c>
      <c r="D9099" s="2">
        <v>9.5602294455066905E-3</v>
      </c>
      <c r="E9099" s="2">
        <v>0.14230874691527201</v>
      </c>
      <c r="F9099" s="2">
        <v>1.6789682861545901E-2</v>
      </c>
    </row>
    <row r="9100" spans="1:6" x14ac:dyDescent="0.25">
      <c r="A9100" s="1" t="str">
        <f t="shared" si="323"/>
        <v>19124</v>
      </c>
      <c r="B9100" s="1" t="str">
        <f>"75242"</f>
        <v>75242</v>
      </c>
      <c r="C9100" s="2">
        <v>0</v>
      </c>
      <c r="D9100" s="2">
        <v>6.3734862970044601E-4</v>
      </c>
      <c r="E9100" s="2">
        <v>5.4839594187003002E-4</v>
      </c>
      <c r="F9100" s="2">
        <v>8.11095790412847E-5</v>
      </c>
    </row>
    <row r="9101" spans="1:6" x14ac:dyDescent="0.25">
      <c r="A9101" s="1" t="str">
        <f t="shared" si="323"/>
        <v>19124</v>
      </c>
      <c r="B9101" s="1" t="str">
        <f>"75019"</f>
        <v>75019</v>
      </c>
      <c r="C9101" s="2">
        <v>5.8780654111118902E-4</v>
      </c>
      <c r="D9101" s="2">
        <v>2.868068833652E-3</v>
      </c>
      <c r="E9101" s="2">
        <v>1.09679188374006E-3</v>
      </c>
      <c r="F9101" s="2">
        <v>7.7054100089220495E-4</v>
      </c>
    </row>
    <row r="9102" spans="1:6" x14ac:dyDescent="0.25">
      <c r="A9102" s="1" t="str">
        <f t="shared" si="323"/>
        <v>19124</v>
      </c>
      <c r="B9102" s="1" t="str">
        <f>"75075"</f>
        <v>75075</v>
      </c>
      <c r="C9102" s="2">
        <v>2.35122616444475E-5</v>
      </c>
      <c r="D9102" s="2">
        <v>5.4174633524537901E-3</v>
      </c>
      <c r="E9102" s="2">
        <v>1.3709898546750701E-3</v>
      </c>
      <c r="F9102" s="2">
        <v>4.6638007948738701E-4</v>
      </c>
    </row>
    <row r="9103" spans="1:6" x14ac:dyDescent="0.25">
      <c r="A9103" s="1" t="str">
        <f t="shared" si="323"/>
        <v>19124</v>
      </c>
      <c r="B9103" s="1" t="str">
        <f>"75182"</f>
        <v>75182</v>
      </c>
      <c r="C9103" s="2">
        <v>2.1631280712891702E-3</v>
      </c>
      <c r="D9103" s="2">
        <v>3.50541746335245E-3</v>
      </c>
      <c r="E9103" s="2">
        <v>1.09679188374006E-3</v>
      </c>
      <c r="F9103" s="2">
        <v>2.1696812393543598E-3</v>
      </c>
    </row>
    <row r="9104" spans="1:6" x14ac:dyDescent="0.25">
      <c r="A9104" s="1" t="str">
        <f t="shared" si="323"/>
        <v>19124</v>
      </c>
      <c r="B9104" s="1" t="str">
        <f>"75087"</f>
        <v>75087</v>
      </c>
      <c r="C9104" s="2">
        <v>1.1568032729068201E-2</v>
      </c>
      <c r="D9104" s="2">
        <v>3.1867431485022301E-4</v>
      </c>
      <c r="E9104" s="2">
        <v>2.7419797093501501E-4</v>
      </c>
      <c r="F9104" s="2">
        <v>1.00170330115986E-2</v>
      </c>
    </row>
    <row r="9105" spans="1:6" x14ac:dyDescent="0.25">
      <c r="A9105" s="1" t="str">
        <f t="shared" si="323"/>
        <v>19124</v>
      </c>
      <c r="B9105" s="1" t="str">
        <f>"75119"</f>
        <v>75119</v>
      </c>
      <c r="C9105" s="2">
        <v>3.7854741247560601E-3</v>
      </c>
      <c r="D9105" s="2">
        <v>4.14276609305289E-3</v>
      </c>
      <c r="E9105" s="2">
        <v>1.9193857965451001E-3</v>
      </c>
      <c r="F9105" s="2">
        <v>3.6702084516181299E-3</v>
      </c>
    </row>
    <row r="9106" spans="1:6" x14ac:dyDescent="0.25">
      <c r="A9106" s="1" t="str">
        <f t="shared" si="323"/>
        <v>19124</v>
      </c>
      <c r="B9106" s="1" t="str">
        <f>"75215"</f>
        <v>75215</v>
      </c>
      <c r="C9106" s="2">
        <v>7.7590463426676997E-4</v>
      </c>
      <c r="D9106" s="2">
        <v>2.2307202039515599E-3</v>
      </c>
      <c r="E9106" s="2">
        <v>1.0419522895530499E-2</v>
      </c>
      <c r="F9106" s="2">
        <v>1.5816367913050499E-3</v>
      </c>
    </row>
    <row r="9107" spans="1:6" x14ac:dyDescent="0.25">
      <c r="A9107" s="1" t="str">
        <f t="shared" si="323"/>
        <v>19124</v>
      </c>
      <c r="B9107" s="1" t="str">
        <f>"75147"</f>
        <v>75147</v>
      </c>
      <c r="C9107" s="2">
        <v>2.5863487808892302E-4</v>
      </c>
      <c r="D9107" s="2">
        <v>1.5933715742511101E-3</v>
      </c>
      <c r="E9107" s="2">
        <v>2.7419797093501501E-4</v>
      </c>
      <c r="F9107" s="2">
        <v>3.4471571092545999E-4</v>
      </c>
    </row>
    <row r="9108" spans="1:6" x14ac:dyDescent="0.25">
      <c r="A9108" s="1" t="str">
        <f t="shared" si="323"/>
        <v>19124</v>
      </c>
      <c r="B9108" s="1" t="str">
        <f>"76249"</f>
        <v>76249</v>
      </c>
      <c r="C9108" s="2">
        <v>1.9985422397780402E-3</v>
      </c>
      <c r="D9108" s="2">
        <v>0</v>
      </c>
      <c r="E9108" s="2">
        <v>2.7419797093501501E-4</v>
      </c>
      <c r="F9108" s="2">
        <v>1.7438559493876201E-3</v>
      </c>
    </row>
    <row r="9109" spans="1:6" x14ac:dyDescent="0.25">
      <c r="A9109" s="1" t="str">
        <f t="shared" si="323"/>
        <v>19124</v>
      </c>
      <c r="B9109" s="1" t="str">
        <f>"75116"</f>
        <v>75116</v>
      </c>
      <c r="C9109" s="2">
        <v>0</v>
      </c>
      <c r="D9109" s="2">
        <v>0</v>
      </c>
      <c r="E9109" s="2">
        <v>2.7419797093501501E-4</v>
      </c>
      <c r="F9109" s="2">
        <v>2.0277394760321101E-5</v>
      </c>
    </row>
    <row r="9110" spans="1:6" x14ac:dyDescent="0.25">
      <c r="A9110" s="1" t="str">
        <f t="shared" si="323"/>
        <v>19124</v>
      </c>
      <c r="B9110" s="1" t="str">
        <f>"75042"</f>
        <v>75042</v>
      </c>
      <c r="C9110" s="2">
        <v>6.88909266182314E-3</v>
      </c>
      <c r="D9110" s="2">
        <v>4.14276609305289E-3</v>
      </c>
      <c r="E9110" s="2">
        <v>1.6451878256100901E-3</v>
      </c>
      <c r="F9110" s="2">
        <v>6.32654716522021E-3</v>
      </c>
    </row>
    <row r="9111" spans="1:6" x14ac:dyDescent="0.25">
      <c r="A9111" s="1" t="str">
        <f t="shared" si="323"/>
        <v>19124</v>
      </c>
      <c r="B9111" s="1" t="str">
        <f>"75034"</f>
        <v>75034</v>
      </c>
      <c r="C9111" s="2">
        <v>2.7462321600714702E-2</v>
      </c>
      <c r="D9111" s="2">
        <v>2.26258763543658E-2</v>
      </c>
      <c r="E9111" s="2">
        <v>4.1129695640252199E-3</v>
      </c>
      <c r="F9111" s="2">
        <v>2.5427853029442699E-2</v>
      </c>
    </row>
    <row r="9112" spans="1:6" x14ac:dyDescent="0.25">
      <c r="A9112" s="1" t="str">
        <f t="shared" si="323"/>
        <v>19124</v>
      </c>
      <c r="B9112" s="1" t="str">
        <f>"75204"</f>
        <v>75204</v>
      </c>
      <c r="C9112" s="2">
        <v>2.7603395170581399E-2</v>
      </c>
      <c r="D9112" s="2">
        <v>3.8240917782026698E-3</v>
      </c>
      <c r="E9112" s="2">
        <v>1.5629284343295798E-2</v>
      </c>
      <c r="F9112" s="2">
        <v>2.5204801687079201E-2</v>
      </c>
    </row>
    <row r="9113" spans="1:6" x14ac:dyDescent="0.25">
      <c r="A9113" s="1" t="str">
        <f t="shared" si="323"/>
        <v>19124</v>
      </c>
      <c r="B9113" s="1" t="str">
        <f>"75202"</f>
        <v>75202</v>
      </c>
      <c r="C9113" s="2">
        <v>0</v>
      </c>
      <c r="D9113" s="2">
        <v>8.9228808158062396E-3</v>
      </c>
      <c r="E9113" s="2">
        <v>2.1935837674801201E-2</v>
      </c>
      <c r="F9113" s="2">
        <v>2.1899586341146801E-3</v>
      </c>
    </row>
    <row r="9114" spans="1:6" x14ac:dyDescent="0.25">
      <c r="A9114" s="1" t="str">
        <f t="shared" si="323"/>
        <v>19124</v>
      </c>
      <c r="B9114" s="1" t="str">
        <f>"75126"</f>
        <v>75126</v>
      </c>
      <c r="C9114" s="2">
        <v>3.8466060050316199E-2</v>
      </c>
      <c r="D9114" s="2">
        <v>2.868068833652E-3</v>
      </c>
      <c r="E9114" s="2">
        <v>8.2259391280504503E-4</v>
      </c>
      <c r="F9114" s="2">
        <v>3.3417146565009298E-2</v>
      </c>
    </row>
    <row r="9115" spans="1:6" x14ac:dyDescent="0.25">
      <c r="A9115" s="1" t="str">
        <f t="shared" si="323"/>
        <v>19124</v>
      </c>
      <c r="B9115" s="1" t="str">
        <f>"75236"</f>
        <v>75236</v>
      </c>
      <c r="C9115" s="2">
        <v>5.99562671933413E-3</v>
      </c>
      <c r="D9115" s="2">
        <v>6.3734862970044601E-4</v>
      </c>
      <c r="E9115" s="2">
        <v>3.1532766657526697E-2</v>
      </c>
      <c r="F9115" s="2">
        <v>7.5431908508394804E-3</v>
      </c>
    </row>
    <row r="9116" spans="1:6" x14ac:dyDescent="0.25">
      <c r="A9116" s="1" t="str">
        <f t="shared" si="323"/>
        <v>19124</v>
      </c>
      <c r="B9116" s="1" t="str">
        <f>"75067"</f>
        <v>75067</v>
      </c>
      <c r="C9116" s="2">
        <v>6.88909266182314E-3</v>
      </c>
      <c r="D9116" s="2">
        <v>5.4174633524537901E-3</v>
      </c>
      <c r="E9116" s="2">
        <v>2.0839045791061099E-2</v>
      </c>
      <c r="F9116" s="2">
        <v>7.8270743774839797E-3</v>
      </c>
    </row>
    <row r="9117" spans="1:6" x14ac:dyDescent="0.25">
      <c r="A9117" s="1" t="str">
        <f t="shared" si="323"/>
        <v>19124</v>
      </c>
      <c r="B9117" s="1" t="str">
        <f>"75035"</f>
        <v>75035</v>
      </c>
      <c r="C9117" s="2">
        <v>2.7579882908936999E-2</v>
      </c>
      <c r="D9117" s="2">
        <v>1.33843212237093E-2</v>
      </c>
      <c r="E9117" s="2">
        <v>1.9193857965451001E-3</v>
      </c>
      <c r="F9117" s="2">
        <v>2.47789763971124E-2</v>
      </c>
    </row>
    <row r="9118" spans="1:6" x14ac:dyDescent="0.25">
      <c r="A9118" s="1" t="str">
        <f t="shared" si="323"/>
        <v>19124</v>
      </c>
      <c r="B9118" s="1" t="str">
        <f>"75013"</f>
        <v>75013</v>
      </c>
      <c r="C9118" s="2">
        <v>1.67642425524911E-2</v>
      </c>
      <c r="D9118" s="2">
        <v>1.5933715742511099E-2</v>
      </c>
      <c r="E9118" s="2">
        <v>1.3709898546750701E-3</v>
      </c>
      <c r="F9118" s="2">
        <v>1.55730391759266E-2</v>
      </c>
    </row>
    <row r="9119" spans="1:6" x14ac:dyDescent="0.25">
      <c r="A9119" s="1" t="str">
        <f t="shared" si="323"/>
        <v>19124</v>
      </c>
      <c r="B9119" s="1" t="str">
        <f>"75248"</f>
        <v>75248</v>
      </c>
      <c r="C9119" s="2">
        <v>2.35122616444475E-5</v>
      </c>
      <c r="D9119" s="2">
        <v>9.5602294455066896E-4</v>
      </c>
      <c r="E9119" s="2">
        <v>5.4839594187003002E-4</v>
      </c>
      <c r="F9119" s="2">
        <v>1.21664368561927E-4</v>
      </c>
    </row>
    <row r="9120" spans="1:6" x14ac:dyDescent="0.25">
      <c r="A9120" s="1" t="str">
        <f t="shared" si="323"/>
        <v>19124</v>
      </c>
      <c r="B9120" s="1" t="str">
        <f>"75229"</f>
        <v>75229</v>
      </c>
      <c r="C9120" s="2">
        <v>0</v>
      </c>
      <c r="D9120" s="2">
        <v>6.3734862970044601E-4</v>
      </c>
      <c r="E9120" s="2">
        <v>2.7419797093501501E-4</v>
      </c>
      <c r="F9120" s="2">
        <v>6.0832184280963498E-5</v>
      </c>
    </row>
    <row r="9121" spans="1:6" x14ac:dyDescent="0.25">
      <c r="A9121" s="1" t="str">
        <f t="shared" si="323"/>
        <v>19124</v>
      </c>
      <c r="B9121" s="1" t="str">
        <f>"75232"</f>
        <v>75232</v>
      </c>
      <c r="C9121" s="2">
        <v>2.35122616444475E-5</v>
      </c>
      <c r="D9121" s="2">
        <v>1.2746972594008901E-3</v>
      </c>
      <c r="E9121" s="2">
        <v>2.7419797093501501E-4</v>
      </c>
      <c r="F9121" s="2">
        <v>1.21664368561927E-4</v>
      </c>
    </row>
    <row r="9122" spans="1:6" x14ac:dyDescent="0.25">
      <c r="A9122" s="1" t="str">
        <f t="shared" si="323"/>
        <v>19124</v>
      </c>
      <c r="B9122" s="1" t="str">
        <f>"75249"</f>
        <v>75249</v>
      </c>
      <c r="C9122" s="2">
        <v>2.35122616444475E-5</v>
      </c>
      <c r="D9122" s="2">
        <v>0</v>
      </c>
      <c r="E9122" s="2">
        <v>2.7419797093501501E-4</v>
      </c>
      <c r="F9122" s="2">
        <v>4.0554789520642303E-5</v>
      </c>
    </row>
    <row r="9123" spans="1:6" x14ac:dyDescent="0.25">
      <c r="A9123" s="1" t="str">
        <f t="shared" si="323"/>
        <v>19124</v>
      </c>
      <c r="B9123" s="1" t="str">
        <f>"75098"</f>
        <v>75098</v>
      </c>
      <c r="C9123" s="2">
        <v>2.2336648562225202E-3</v>
      </c>
      <c r="D9123" s="2">
        <v>6.0548119821542297E-3</v>
      </c>
      <c r="E9123" s="2">
        <v>1.6451878256100901E-3</v>
      </c>
      <c r="F9123" s="2">
        <v>2.43328737123854E-3</v>
      </c>
    </row>
    <row r="9124" spans="1:6" x14ac:dyDescent="0.25">
      <c r="A9124" s="1" t="str">
        <f t="shared" ref="A9124:A9155" si="324">"19124"</f>
        <v>19124</v>
      </c>
      <c r="B9124" s="1" t="str">
        <f>"75203"</f>
        <v>75203</v>
      </c>
      <c r="C9124" s="2">
        <v>2.35122616444475E-5</v>
      </c>
      <c r="D9124" s="2">
        <v>6.3734862970044601E-4</v>
      </c>
      <c r="E9124" s="2">
        <v>1.01453249245955E-2</v>
      </c>
      <c r="F9124" s="2">
        <v>8.11095790412847E-4</v>
      </c>
    </row>
    <row r="9125" spans="1:6" x14ac:dyDescent="0.25">
      <c r="A9125" s="1" t="str">
        <f t="shared" si="324"/>
        <v>19124</v>
      </c>
      <c r="B9125" s="1" t="str">
        <f>"75474"</f>
        <v>75474</v>
      </c>
      <c r="C9125" s="2">
        <v>9.40490465777903E-4</v>
      </c>
      <c r="D9125" s="2">
        <v>6.3734862970044601E-4</v>
      </c>
      <c r="E9125" s="2">
        <v>2.7419797093501501E-4</v>
      </c>
      <c r="F9125" s="2">
        <v>8.71927974693811E-4</v>
      </c>
    </row>
    <row r="9126" spans="1:6" x14ac:dyDescent="0.25">
      <c r="A9126" s="1" t="str">
        <f t="shared" si="324"/>
        <v>19124</v>
      </c>
      <c r="B9126" s="1" t="str">
        <f>"75235"</f>
        <v>75235</v>
      </c>
      <c r="C9126" s="2">
        <v>2.0690790247113798E-3</v>
      </c>
      <c r="D9126" s="2">
        <v>3.1867431485022301E-4</v>
      </c>
      <c r="E9126" s="2">
        <v>1.09679188374006E-3</v>
      </c>
      <c r="F9126" s="2">
        <v>1.8857977127098701E-3</v>
      </c>
    </row>
    <row r="9127" spans="1:6" x14ac:dyDescent="0.25">
      <c r="A9127" s="1" t="str">
        <f t="shared" si="324"/>
        <v>19124</v>
      </c>
      <c r="B9127" s="1" t="str">
        <f>"75165"</f>
        <v>75165</v>
      </c>
      <c r="C9127" s="2">
        <v>9.5694904892901604E-3</v>
      </c>
      <c r="D9127" s="2">
        <v>7.9668578712555702E-3</v>
      </c>
      <c r="E9127" s="2">
        <v>4.1129695640252199E-3</v>
      </c>
      <c r="F9127" s="2">
        <v>9.06399545786357E-3</v>
      </c>
    </row>
    <row r="9128" spans="1:6" x14ac:dyDescent="0.25">
      <c r="A9128" s="1" t="str">
        <f t="shared" si="324"/>
        <v>19124</v>
      </c>
      <c r="B9128" s="1" t="str">
        <f>"75402"</f>
        <v>75402</v>
      </c>
      <c r="C9128" s="2">
        <v>1.10507629728903E-3</v>
      </c>
      <c r="D9128" s="2">
        <v>3.1867431485022302E-3</v>
      </c>
      <c r="E9128" s="2">
        <v>2.4677817384151299E-3</v>
      </c>
      <c r="F9128" s="2">
        <v>1.33830805418119E-3</v>
      </c>
    </row>
    <row r="9129" spans="1:6" x14ac:dyDescent="0.25">
      <c r="A9129" s="1" t="str">
        <f t="shared" si="324"/>
        <v>19124</v>
      </c>
      <c r="B9129" s="1" t="str">
        <f>"75071"</f>
        <v>75071</v>
      </c>
      <c r="C9129" s="2">
        <v>1.3401989137335099E-2</v>
      </c>
      <c r="D9129" s="2">
        <v>1.40216698534098E-2</v>
      </c>
      <c r="E9129" s="2">
        <v>3.8387715930902101E-3</v>
      </c>
      <c r="F9129" s="2">
        <v>1.27342039094817E-2</v>
      </c>
    </row>
    <row r="9130" spans="1:6" x14ac:dyDescent="0.25">
      <c r="A9130" s="1" t="str">
        <f t="shared" si="324"/>
        <v>19124</v>
      </c>
      <c r="B9130" s="1" t="str">
        <f>"75062"</f>
        <v>75062</v>
      </c>
      <c r="C9130" s="2">
        <v>7.0536784933342706E-5</v>
      </c>
      <c r="D9130" s="2">
        <v>8.2855321861057905E-3</v>
      </c>
      <c r="E9130" s="2">
        <v>1.9742253907321001E-2</v>
      </c>
      <c r="F9130" s="2">
        <v>2.0480168707924401E-3</v>
      </c>
    </row>
    <row r="9131" spans="1:6" x14ac:dyDescent="0.25">
      <c r="A9131" s="1" t="str">
        <f t="shared" si="324"/>
        <v>19124</v>
      </c>
      <c r="B9131" s="1" t="str">
        <f>"76227"</f>
        <v>76227</v>
      </c>
      <c r="C9131" s="2">
        <v>4.9634384331428798E-2</v>
      </c>
      <c r="D9131" s="2">
        <v>4.4614404079031198E-3</v>
      </c>
      <c r="E9131" s="2">
        <v>4.1129695640252199E-3</v>
      </c>
      <c r="F9131" s="2">
        <v>4.3393624787087297E-2</v>
      </c>
    </row>
    <row r="9132" spans="1:6" x14ac:dyDescent="0.25">
      <c r="A9132" s="1" t="str">
        <f t="shared" si="324"/>
        <v>19124</v>
      </c>
      <c r="B9132" s="1" t="str">
        <f>"76208"</f>
        <v>76208</v>
      </c>
      <c r="C9132" s="2">
        <v>1.2367449624979401E-2</v>
      </c>
      <c r="D9132" s="2">
        <v>1.5615041427660899E-2</v>
      </c>
      <c r="E9132" s="2">
        <v>3.0161776802851599E-3</v>
      </c>
      <c r="F9132" s="2">
        <v>1.18825533295482E-2</v>
      </c>
    </row>
    <row r="9133" spans="1:6" x14ac:dyDescent="0.25">
      <c r="A9133" s="1" t="str">
        <f t="shared" si="324"/>
        <v>19124</v>
      </c>
      <c r="B9133" s="1" t="str">
        <f>"75217"</f>
        <v>75217</v>
      </c>
      <c r="C9133" s="2">
        <v>2.11610354800028E-4</v>
      </c>
      <c r="D9133" s="2">
        <v>2.868068833652E-3</v>
      </c>
      <c r="E9133" s="2">
        <v>3.0161776802851599E-3</v>
      </c>
      <c r="F9133" s="2">
        <v>5.8804444804931404E-4</v>
      </c>
    </row>
    <row r="9134" spans="1:6" x14ac:dyDescent="0.25">
      <c r="A9134" s="1" t="str">
        <f t="shared" si="324"/>
        <v>19124</v>
      </c>
      <c r="B9134" s="1" t="str">
        <f>"75099"</f>
        <v>75099</v>
      </c>
      <c r="C9134" s="2">
        <v>3.90303543297829E-3</v>
      </c>
      <c r="D9134" s="2">
        <v>1.4340344168259999E-2</v>
      </c>
      <c r="E9134" s="2">
        <v>2.1935837674801201E-3</v>
      </c>
      <c r="F9134" s="2">
        <v>4.4407494525103399E-3</v>
      </c>
    </row>
    <row r="9135" spans="1:6" x14ac:dyDescent="0.25">
      <c r="A9135" s="1" t="str">
        <f t="shared" si="324"/>
        <v>19124</v>
      </c>
      <c r="B9135" s="1" t="str">
        <f>"75038"</f>
        <v>75038</v>
      </c>
      <c r="C9135" s="2">
        <v>0</v>
      </c>
      <c r="D9135" s="2">
        <v>3.8240917782026698E-3</v>
      </c>
      <c r="E9135" s="2">
        <v>1.3709898546750701E-3</v>
      </c>
      <c r="F9135" s="2">
        <v>3.4471571092545999E-4</v>
      </c>
    </row>
    <row r="9136" spans="1:6" x14ac:dyDescent="0.25">
      <c r="A9136" s="1" t="str">
        <f t="shared" si="324"/>
        <v>19124</v>
      </c>
      <c r="B9136" s="1" t="str">
        <f>"75428"</f>
        <v>75428</v>
      </c>
      <c r="C9136" s="2">
        <v>6.3483106440008399E-4</v>
      </c>
      <c r="D9136" s="2">
        <v>2.868068833652E-3</v>
      </c>
      <c r="E9136" s="2">
        <v>2.7419797093501501E-3</v>
      </c>
      <c r="F9136" s="2">
        <v>9.3276015897477403E-4</v>
      </c>
    </row>
    <row r="9137" spans="1:6" x14ac:dyDescent="0.25">
      <c r="A9137" s="1" t="str">
        <f t="shared" si="324"/>
        <v>19124</v>
      </c>
      <c r="B9137" s="1" t="str">
        <f>"75094"</f>
        <v>75094</v>
      </c>
      <c r="C9137" s="2">
        <v>5.1726975617784601E-3</v>
      </c>
      <c r="D9137" s="2">
        <v>7.9668578712555702E-3</v>
      </c>
      <c r="E9137" s="2">
        <v>5.4839594187003002E-4</v>
      </c>
      <c r="F9137" s="2">
        <v>5.0085165057993297E-3</v>
      </c>
    </row>
    <row r="9138" spans="1:6" x14ac:dyDescent="0.25">
      <c r="A9138" s="1" t="str">
        <f t="shared" si="324"/>
        <v>19124</v>
      </c>
      <c r="B9138" s="1" t="str">
        <f>"75051"</f>
        <v>75051</v>
      </c>
      <c r="C9138" s="2">
        <v>3.0565940137781798E-4</v>
      </c>
      <c r="D9138" s="2">
        <v>6.3734862970044601E-4</v>
      </c>
      <c r="E9138" s="2">
        <v>8.2259391280504503E-4</v>
      </c>
      <c r="F9138" s="2">
        <v>3.6499310568578102E-4</v>
      </c>
    </row>
    <row r="9139" spans="1:6" x14ac:dyDescent="0.25">
      <c r="A9139" s="1" t="str">
        <f t="shared" si="324"/>
        <v>19124</v>
      </c>
      <c r="B9139" s="1" t="str">
        <f>"75181"</f>
        <v>75181</v>
      </c>
      <c r="C9139" s="2">
        <v>5.8075286261785502E-3</v>
      </c>
      <c r="D9139" s="2">
        <v>9.5602294455066896E-4</v>
      </c>
      <c r="E9139" s="2">
        <v>2.7419797093501501E-4</v>
      </c>
      <c r="F9139" s="2">
        <v>5.0896260848406101E-3</v>
      </c>
    </row>
    <row r="9140" spans="1:6" x14ac:dyDescent="0.25">
      <c r="A9140" s="1" t="str">
        <f t="shared" si="324"/>
        <v>19124</v>
      </c>
      <c r="B9140" s="1" t="str">
        <f>"75230"</f>
        <v>75230</v>
      </c>
      <c r="C9140" s="2">
        <v>2.8214713973337001E-4</v>
      </c>
      <c r="D9140" s="2">
        <v>1.2746972594008901E-3</v>
      </c>
      <c r="E9140" s="2">
        <v>3.0161776802851599E-3</v>
      </c>
      <c r="F9140" s="2">
        <v>5.4748965852867198E-4</v>
      </c>
    </row>
    <row r="9141" spans="1:6" x14ac:dyDescent="0.25">
      <c r="A9141" s="1" t="str">
        <f t="shared" si="324"/>
        <v>19124</v>
      </c>
      <c r="B9141" s="1" t="str">
        <f>"75082"</f>
        <v>75082</v>
      </c>
      <c r="C9141" s="2">
        <v>2.2712844748536298E-2</v>
      </c>
      <c r="D9141" s="2">
        <v>1.01975780752071E-2</v>
      </c>
      <c r="E9141" s="2">
        <v>3.8387715930902101E-3</v>
      </c>
      <c r="F9141" s="2">
        <v>2.0520723497445E-2</v>
      </c>
    </row>
    <row r="9142" spans="1:6" x14ac:dyDescent="0.25">
      <c r="A9142" s="1" t="str">
        <f t="shared" si="324"/>
        <v>19124</v>
      </c>
      <c r="B9142" s="1" t="str">
        <f>"75454"</f>
        <v>75454</v>
      </c>
      <c r="C9142" s="2">
        <v>1.53535068538242E-2</v>
      </c>
      <c r="D9142" s="2">
        <v>2.868068833652E-3</v>
      </c>
      <c r="E9142" s="2">
        <v>1.6451878256100901E-3</v>
      </c>
      <c r="F9142" s="2">
        <v>1.35452996998945E-2</v>
      </c>
    </row>
    <row r="9143" spans="1:6" x14ac:dyDescent="0.25">
      <c r="A9143" s="1" t="str">
        <f t="shared" si="324"/>
        <v>19124</v>
      </c>
      <c r="B9143" s="1" t="str">
        <f>"75244"</f>
        <v>75244</v>
      </c>
      <c r="C9143" s="2">
        <v>6.6304577837342097E-3</v>
      </c>
      <c r="D9143" s="2">
        <v>8.9228808158062396E-3</v>
      </c>
      <c r="E9143" s="2">
        <v>1.6451878256100901E-3</v>
      </c>
      <c r="F9143" s="2">
        <v>6.4076567442614904E-3</v>
      </c>
    </row>
    <row r="9144" spans="1:6" x14ac:dyDescent="0.25">
      <c r="A9144" s="1" t="str">
        <f t="shared" si="324"/>
        <v>19124</v>
      </c>
      <c r="B9144" s="1" t="str">
        <f>"76210"</f>
        <v>76210</v>
      </c>
      <c r="C9144" s="2">
        <v>6.8185558768897904E-3</v>
      </c>
      <c r="D9144" s="2">
        <v>8.6042065009560194E-3</v>
      </c>
      <c r="E9144" s="2">
        <v>1.9193857965451001E-3</v>
      </c>
      <c r="F9144" s="2">
        <v>6.5698759023440599E-3</v>
      </c>
    </row>
    <row r="9145" spans="1:6" x14ac:dyDescent="0.25">
      <c r="A9145" s="1" t="str">
        <f t="shared" si="324"/>
        <v>19124</v>
      </c>
      <c r="B9145" s="1" t="str">
        <f>"76259"</f>
        <v>76259</v>
      </c>
      <c r="C9145" s="2">
        <v>1.7163951000446699E-3</v>
      </c>
      <c r="D9145" s="2">
        <v>6.3734862970044601E-4</v>
      </c>
      <c r="E9145" s="2">
        <v>2.7419797093501501E-4</v>
      </c>
      <c r="F9145" s="2">
        <v>1.5410820017844099E-3</v>
      </c>
    </row>
    <row r="9146" spans="1:6" x14ac:dyDescent="0.25">
      <c r="A9146" s="1" t="str">
        <f t="shared" si="324"/>
        <v>19124</v>
      </c>
      <c r="B9146" s="1" t="str">
        <f>"76201"</f>
        <v>76201</v>
      </c>
      <c r="C9146" s="2">
        <v>1.1309397850979201E-2</v>
      </c>
      <c r="D9146" s="2">
        <v>1.7845761631612399E-2</v>
      </c>
      <c r="E9146" s="2">
        <v>1.39840965176857E-2</v>
      </c>
      <c r="F9146" s="2">
        <v>1.19231081190688E-2</v>
      </c>
    </row>
    <row r="9147" spans="1:6" x14ac:dyDescent="0.25">
      <c r="A9147" s="1" t="str">
        <f t="shared" si="324"/>
        <v>19124</v>
      </c>
      <c r="B9147" s="1" t="str">
        <f>"75033"</f>
        <v>75033</v>
      </c>
      <c r="C9147" s="2">
        <v>1.8174978251157901E-2</v>
      </c>
      <c r="D9147" s="2">
        <v>0.12587635436583799</v>
      </c>
      <c r="E9147" s="2">
        <v>3.5645736221551899E-3</v>
      </c>
      <c r="F9147" s="2">
        <v>2.3947603211939301E-2</v>
      </c>
    </row>
    <row r="9148" spans="1:6" x14ac:dyDescent="0.25">
      <c r="A9148" s="1" t="str">
        <f t="shared" si="324"/>
        <v>19124</v>
      </c>
      <c r="B9148" s="1" t="str">
        <f>"75028"</f>
        <v>75028</v>
      </c>
      <c r="C9148" s="2">
        <v>8.5349509769344703E-3</v>
      </c>
      <c r="D9148" s="2">
        <v>3.50541746335245E-3</v>
      </c>
      <c r="E9148" s="2">
        <v>5.20976144776528E-3</v>
      </c>
      <c r="F9148" s="2">
        <v>7.9690161408062198E-3</v>
      </c>
    </row>
    <row r="9149" spans="1:6" x14ac:dyDescent="0.25">
      <c r="A9149" s="1" t="str">
        <f t="shared" si="324"/>
        <v>19124</v>
      </c>
      <c r="B9149" s="1" t="str">
        <f>"75002"</f>
        <v>75002</v>
      </c>
      <c r="C9149" s="2">
        <v>1.8174978251157901E-2</v>
      </c>
      <c r="D9149" s="2">
        <v>4.14276609305289E-3</v>
      </c>
      <c r="E9149" s="2">
        <v>1.6451878256100901E-3</v>
      </c>
      <c r="F9149" s="2">
        <v>1.6059696650174302E-2</v>
      </c>
    </row>
    <row r="9150" spans="1:6" x14ac:dyDescent="0.25">
      <c r="A9150" s="1" t="str">
        <f t="shared" si="324"/>
        <v>19124</v>
      </c>
      <c r="B9150" s="1" t="str">
        <f>"75142"</f>
        <v>75142</v>
      </c>
      <c r="C9150" s="2">
        <v>5.8780654111118902E-4</v>
      </c>
      <c r="D9150" s="2">
        <v>9.5602294455066896E-4</v>
      </c>
      <c r="E9150" s="2">
        <v>1.3709898546750701E-3</v>
      </c>
      <c r="F9150" s="2">
        <v>6.6915402709059901E-4</v>
      </c>
    </row>
    <row r="9151" spans="1:6" x14ac:dyDescent="0.25">
      <c r="A9151" s="1" t="str">
        <f t="shared" si="324"/>
        <v>19124</v>
      </c>
      <c r="B9151" s="1" t="str">
        <f>"75189"</f>
        <v>75189</v>
      </c>
      <c r="C9151" s="2">
        <v>2.1631280712891702E-3</v>
      </c>
      <c r="D9151" s="2">
        <v>7.9668578712555702E-3</v>
      </c>
      <c r="E9151" s="2">
        <v>8.2259391280504503E-4</v>
      </c>
      <c r="F9151" s="2">
        <v>2.43328737123854E-3</v>
      </c>
    </row>
    <row r="9152" spans="1:6" x14ac:dyDescent="0.25">
      <c r="A9152" s="1" t="str">
        <f t="shared" si="324"/>
        <v>19124</v>
      </c>
      <c r="B9152" s="1" t="str">
        <f>"75167"</f>
        <v>75167</v>
      </c>
      <c r="C9152" s="2">
        <v>9.6400272742235005E-4</v>
      </c>
      <c r="D9152" s="2">
        <v>0</v>
      </c>
      <c r="E9152" s="2">
        <v>2.7419797093501501E-4</v>
      </c>
      <c r="F9152" s="2">
        <v>8.5165057993349003E-4</v>
      </c>
    </row>
    <row r="9153" spans="1:6" x14ac:dyDescent="0.25">
      <c r="A9153" s="1" t="str">
        <f t="shared" si="324"/>
        <v>19124</v>
      </c>
      <c r="B9153" s="1" t="str">
        <f>"75241"</f>
        <v>75241</v>
      </c>
      <c r="C9153" s="2">
        <v>1.8809809315558E-4</v>
      </c>
      <c r="D9153" s="2">
        <v>3.1867431485022302E-3</v>
      </c>
      <c r="E9153" s="2">
        <v>2.7419797093501501E-4</v>
      </c>
      <c r="F9153" s="2">
        <v>3.8527050044610199E-4</v>
      </c>
    </row>
    <row r="9154" spans="1:6" x14ac:dyDescent="0.25">
      <c r="A9154" s="1" t="str">
        <f t="shared" si="324"/>
        <v>19124</v>
      </c>
      <c r="B9154" s="1" t="str">
        <f>"75050"</f>
        <v>75050</v>
      </c>
      <c r="C9154" s="2">
        <v>3.57386376995603E-3</v>
      </c>
      <c r="D9154" s="2">
        <v>4.7801147227533401E-3</v>
      </c>
      <c r="E9154" s="2">
        <v>3.8387715930902101E-3</v>
      </c>
      <c r="F9154" s="2">
        <v>3.6702084516181299E-3</v>
      </c>
    </row>
    <row r="9155" spans="1:6" x14ac:dyDescent="0.25">
      <c r="A9155" s="1" t="str">
        <f t="shared" si="324"/>
        <v>19124</v>
      </c>
      <c r="B9155" s="1" t="str">
        <f>"75208"</f>
        <v>75208</v>
      </c>
      <c r="C9155" s="2">
        <v>9.7340763208012895E-3</v>
      </c>
      <c r="D9155" s="2">
        <v>6.3734862970044601E-4</v>
      </c>
      <c r="E9155" s="2">
        <v>3.2903756512201801E-3</v>
      </c>
      <c r="F9155" s="2">
        <v>8.6787249574174705E-3</v>
      </c>
    </row>
    <row r="9156" spans="1:6" x14ac:dyDescent="0.25">
      <c r="A9156" s="1" t="str">
        <f t="shared" ref="A9156:A9168" si="325">"19124"</f>
        <v>19124</v>
      </c>
      <c r="B9156" s="1" t="str">
        <f>"75036"</f>
        <v>75036</v>
      </c>
      <c r="C9156" s="2">
        <v>3.1976675836448698E-3</v>
      </c>
      <c r="D9156" s="2">
        <v>1.08349267049075E-2</v>
      </c>
      <c r="E9156" s="2">
        <v>8.2259391280504503E-4</v>
      </c>
      <c r="F9156" s="2">
        <v>3.50798929353556E-3</v>
      </c>
    </row>
    <row r="9157" spans="1:6" x14ac:dyDescent="0.25">
      <c r="A9157" s="1" t="str">
        <f t="shared" si="325"/>
        <v>19124</v>
      </c>
      <c r="B9157" s="1" t="str">
        <f>"75424"</f>
        <v>75424</v>
      </c>
      <c r="C9157" s="2">
        <v>7.5239237262232205E-4</v>
      </c>
      <c r="D9157" s="2">
        <v>6.3734862970044601E-4</v>
      </c>
      <c r="E9157" s="2">
        <v>5.4839594187003002E-4</v>
      </c>
      <c r="F9157" s="2">
        <v>7.2998621137156203E-4</v>
      </c>
    </row>
    <row r="9158" spans="1:6" x14ac:dyDescent="0.25">
      <c r="A9158" s="1" t="str">
        <f t="shared" si="325"/>
        <v>19124</v>
      </c>
      <c r="B9158" s="1" t="str">
        <f>"75243"</f>
        <v>75243</v>
      </c>
      <c r="C9158" s="2">
        <v>6.32479838235639E-3</v>
      </c>
      <c r="D9158" s="2">
        <v>7.9668578712555702E-3</v>
      </c>
      <c r="E9158" s="2">
        <v>3.8387715930902101E-3</v>
      </c>
      <c r="F9158" s="2">
        <v>6.24543758617892E-3</v>
      </c>
    </row>
    <row r="9159" spans="1:6" x14ac:dyDescent="0.25">
      <c r="A9159" s="1" t="str">
        <f t="shared" si="325"/>
        <v>19124</v>
      </c>
      <c r="B9159" s="1" t="str">
        <f>"75078"</f>
        <v>75078</v>
      </c>
      <c r="C9159" s="2">
        <v>2.1396158096447199E-2</v>
      </c>
      <c r="D9159" s="2">
        <v>2.03951561504142E-2</v>
      </c>
      <c r="E9159" s="2">
        <v>3.8387715930902101E-3</v>
      </c>
      <c r="F9159" s="2">
        <v>2.0034066023197301E-2</v>
      </c>
    </row>
    <row r="9160" spans="1:6" x14ac:dyDescent="0.25">
      <c r="A9160" s="1" t="str">
        <f t="shared" si="325"/>
        <v>19124</v>
      </c>
      <c r="B9160" s="1" t="str">
        <f>"75070"</f>
        <v>75070</v>
      </c>
      <c r="C9160" s="2">
        <v>2.3018504149914101E-2</v>
      </c>
      <c r="D9160" s="2">
        <v>3.2186105799872501E-2</v>
      </c>
      <c r="E9160" s="2">
        <v>1.06937208664655E-2</v>
      </c>
      <c r="F9160" s="2">
        <v>2.26904047367994E-2</v>
      </c>
    </row>
    <row r="9161" spans="1:6" x14ac:dyDescent="0.25">
      <c r="A9161" s="1" t="str">
        <f t="shared" si="325"/>
        <v>19124</v>
      </c>
      <c r="B9161" s="1" t="str">
        <f>"76262"</f>
        <v>76262</v>
      </c>
      <c r="C9161" s="2">
        <v>1.3190378782534999E-2</v>
      </c>
      <c r="D9161" s="2">
        <v>1.37029955385595E-2</v>
      </c>
      <c r="E9161" s="2">
        <v>4.6613655058952499E-3</v>
      </c>
      <c r="F9161" s="2">
        <v>1.25922621461594E-2</v>
      </c>
    </row>
    <row r="9162" spans="1:6" x14ac:dyDescent="0.25">
      <c r="A9162" s="1" t="str">
        <f t="shared" si="325"/>
        <v>19124</v>
      </c>
      <c r="B9162" s="1" t="str">
        <f>"75201"</f>
        <v>75201</v>
      </c>
      <c r="C9162" s="2">
        <v>1.6270485057957699E-2</v>
      </c>
      <c r="D9162" s="2">
        <v>1.1790949649458199E-2</v>
      </c>
      <c r="E9162" s="2">
        <v>6.4162325198793502E-2</v>
      </c>
      <c r="F9162" s="2">
        <v>1.95271311541893E-2</v>
      </c>
    </row>
    <row r="9163" spans="1:6" x14ac:dyDescent="0.25">
      <c r="A9163" s="1" t="str">
        <f t="shared" si="325"/>
        <v>19124</v>
      </c>
      <c r="B9163" s="1" t="str">
        <f>"75159"</f>
        <v>75159</v>
      </c>
      <c r="C9163" s="2">
        <v>6.9361171851120302E-3</v>
      </c>
      <c r="D9163" s="2">
        <v>0</v>
      </c>
      <c r="E9163" s="2">
        <v>2.7419797093501501E-4</v>
      </c>
      <c r="F9163" s="2">
        <v>6.0021088490550701E-3</v>
      </c>
    </row>
    <row r="9164" spans="1:6" x14ac:dyDescent="0.25">
      <c r="A9164" s="1" t="str">
        <f t="shared" si="325"/>
        <v>19124</v>
      </c>
      <c r="B9164" s="1" t="str">
        <f>"75146"</f>
        <v>75146</v>
      </c>
      <c r="C9164" s="2">
        <v>2.35122616444475E-5</v>
      </c>
      <c r="D9164" s="2">
        <v>0</v>
      </c>
      <c r="E9164" s="2">
        <v>0</v>
      </c>
      <c r="F9164" s="2">
        <v>2.0277394760321101E-5</v>
      </c>
    </row>
    <row r="9165" spans="1:6" x14ac:dyDescent="0.25">
      <c r="A9165" s="1" t="str">
        <f t="shared" si="325"/>
        <v>19124</v>
      </c>
      <c r="B9165" s="1" t="str">
        <f>"75224"</f>
        <v>75224</v>
      </c>
      <c r="C9165" s="2">
        <v>0</v>
      </c>
      <c r="D9165" s="2">
        <v>0</v>
      </c>
      <c r="E9165" s="2">
        <v>5.4839594187003002E-4</v>
      </c>
      <c r="F9165" s="2">
        <v>4.0554789520642303E-5</v>
      </c>
    </row>
    <row r="9166" spans="1:6" x14ac:dyDescent="0.25">
      <c r="A9166" s="1" t="str">
        <f t="shared" si="325"/>
        <v>19124</v>
      </c>
      <c r="B9166" s="1" t="str">
        <f>"75216"</f>
        <v>75216</v>
      </c>
      <c r="C9166" s="2">
        <v>0</v>
      </c>
      <c r="D9166" s="2">
        <v>7.0108349267049E-3</v>
      </c>
      <c r="E9166" s="2">
        <v>1.9193857965451001E-3</v>
      </c>
      <c r="F9166" s="2">
        <v>5.8804444804931404E-4</v>
      </c>
    </row>
    <row r="9167" spans="1:6" x14ac:dyDescent="0.25">
      <c r="A9167" s="1" t="str">
        <f t="shared" si="325"/>
        <v>19124</v>
      </c>
      <c r="B9167" s="1" t="str">
        <f>"75093"</f>
        <v>75093</v>
      </c>
      <c r="C9167" s="2">
        <v>2.35122616444475E-5</v>
      </c>
      <c r="D9167" s="2">
        <v>5.4174633524537901E-3</v>
      </c>
      <c r="E9167" s="2">
        <v>1.3709898546750701E-3</v>
      </c>
      <c r="F9167" s="2">
        <v>4.6638007948738701E-4</v>
      </c>
    </row>
    <row r="9168" spans="1:6" x14ac:dyDescent="0.25">
      <c r="A9168" s="1" t="str">
        <f t="shared" si="325"/>
        <v>19124</v>
      </c>
      <c r="B9168" s="1" t="str">
        <f>"75210"</f>
        <v>75210</v>
      </c>
      <c r="C9168" s="2">
        <v>0</v>
      </c>
      <c r="D9168" s="2">
        <v>3.8240917782026698E-3</v>
      </c>
      <c r="E9168" s="2">
        <v>8.2259391280504503E-4</v>
      </c>
      <c r="F9168" s="2">
        <v>3.0416092140481702E-4</v>
      </c>
    </row>
    <row r="9169" spans="1:6" x14ac:dyDescent="0.25">
      <c r="A9169" s="1" t="str">
        <f t="shared" ref="A9169:A9184" si="326">"19140"</f>
        <v>19140</v>
      </c>
      <c r="B9169" s="1" t="str">
        <f>"30724"</f>
        <v>30724</v>
      </c>
      <c r="C9169" s="2">
        <v>0</v>
      </c>
      <c r="D9169" s="2">
        <v>1.2963443090484799E-4</v>
      </c>
      <c r="E9169" s="2">
        <v>0</v>
      </c>
      <c r="F9169" s="2">
        <v>1.18907478091297E-5</v>
      </c>
    </row>
    <row r="9170" spans="1:6" x14ac:dyDescent="0.25">
      <c r="A9170" s="1" t="str">
        <f t="shared" si="326"/>
        <v>19140</v>
      </c>
      <c r="B9170" s="1" t="str">
        <f>"30540"</f>
        <v>30540</v>
      </c>
      <c r="C9170" s="2">
        <v>1.10232314603025E-4</v>
      </c>
      <c r="D9170" s="2">
        <v>0</v>
      </c>
      <c r="E9170" s="2">
        <v>0</v>
      </c>
      <c r="F9170" s="2">
        <v>9.5125982473037694E-5</v>
      </c>
    </row>
    <row r="9171" spans="1:6" x14ac:dyDescent="0.25">
      <c r="A9171" s="1" t="str">
        <f t="shared" si="326"/>
        <v>19140</v>
      </c>
      <c r="B9171" s="1" t="str">
        <f>"30751"</f>
        <v>30751</v>
      </c>
      <c r="C9171" s="2">
        <v>0</v>
      </c>
      <c r="D9171" s="2">
        <v>1.2963443090484799E-4</v>
      </c>
      <c r="E9171" s="2">
        <v>0</v>
      </c>
      <c r="F9171" s="2">
        <v>1.18907478091297E-5</v>
      </c>
    </row>
    <row r="9172" spans="1:6" x14ac:dyDescent="0.25">
      <c r="A9172" s="1" t="str">
        <f t="shared" si="326"/>
        <v>19140</v>
      </c>
      <c r="B9172" s="1" t="str">
        <f>"30756"</f>
        <v>30756</v>
      </c>
      <c r="C9172" s="2">
        <v>0</v>
      </c>
      <c r="D9172" s="2">
        <v>1.2963443090484799E-4</v>
      </c>
      <c r="E9172" s="2">
        <v>0</v>
      </c>
      <c r="F9172" s="2">
        <v>1.18907478091297E-5</v>
      </c>
    </row>
    <row r="9173" spans="1:6" x14ac:dyDescent="0.25">
      <c r="A9173" s="1" t="str">
        <f t="shared" si="326"/>
        <v>19140</v>
      </c>
      <c r="B9173" s="1" t="str">
        <f>"30736"</f>
        <v>30736</v>
      </c>
      <c r="C9173" s="2">
        <v>2.7971449830517798E-3</v>
      </c>
      <c r="D9173" s="2">
        <v>2.5926886180969598E-4</v>
      </c>
      <c r="E9173" s="2">
        <v>0</v>
      </c>
      <c r="F9173" s="2">
        <v>2.4376033008715898E-3</v>
      </c>
    </row>
    <row r="9174" spans="1:6" x14ac:dyDescent="0.25">
      <c r="A9174" s="1" t="str">
        <f t="shared" si="326"/>
        <v>19140</v>
      </c>
      <c r="B9174" s="1" t="str">
        <f>"30755"</f>
        <v>30755</v>
      </c>
      <c r="C9174" s="2">
        <v>5.5942899661035599E-2</v>
      </c>
      <c r="D9174" s="2">
        <v>2.7093596059113299E-2</v>
      </c>
      <c r="E9174" s="2">
        <v>1.31199160325373E-2</v>
      </c>
      <c r="F9174" s="2">
        <v>5.1356139787631198E-2</v>
      </c>
    </row>
    <row r="9175" spans="1:6" x14ac:dyDescent="0.25">
      <c r="A9175" s="1" t="str">
        <f t="shared" si="326"/>
        <v>19140</v>
      </c>
      <c r="B9175" s="1" t="str">
        <f>"30710"</f>
        <v>30710</v>
      </c>
      <c r="C9175" s="2">
        <v>4.3155951167084601E-2</v>
      </c>
      <c r="D9175" s="2">
        <v>1.1926367643246E-2</v>
      </c>
      <c r="E9175" s="2">
        <v>1.0758331146680599E-2</v>
      </c>
      <c r="F9175" s="2">
        <v>3.8823291596808501E-2</v>
      </c>
    </row>
    <row r="9176" spans="1:6" x14ac:dyDescent="0.25">
      <c r="A9176" s="1" t="str">
        <f t="shared" si="326"/>
        <v>19140</v>
      </c>
      <c r="B9176" s="1" t="str">
        <f>"30719"</f>
        <v>30719</v>
      </c>
      <c r="C9176" s="2">
        <v>1.47849091961308E-2</v>
      </c>
      <c r="D9176" s="2">
        <v>2.3723100855587199E-2</v>
      </c>
      <c r="E9176" s="2">
        <v>5.2479664130149499E-4</v>
      </c>
      <c r="F9176" s="2">
        <v>1.49585607438851E-2</v>
      </c>
    </row>
    <row r="9177" spans="1:6" x14ac:dyDescent="0.25">
      <c r="A9177" s="1" t="str">
        <f t="shared" si="326"/>
        <v>19140</v>
      </c>
      <c r="B9177" s="1" t="str">
        <f>"30735"</f>
        <v>30735</v>
      </c>
      <c r="C9177" s="2">
        <v>1.8532807892633701E-2</v>
      </c>
      <c r="D9177" s="2">
        <v>6.09281825252787E-3</v>
      </c>
      <c r="E9177" s="2">
        <v>4.1983731304119599E-3</v>
      </c>
      <c r="F9177" s="2">
        <v>1.6742172915254601E-2</v>
      </c>
    </row>
    <row r="9178" spans="1:6" x14ac:dyDescent="0.25">
      <c r="A9178" s="1" t="str">
        <f t="shared" si="326"/>
        <v>19140</v>
      </c>
      <c r="B9178" s="1" t="str">
        <f>"30720"</f>
        <v>30720</v>
      </c>
      <c r="C9178" s="2">
        <v>0.194422244881086</v>
      </c>
      <c r="D9178" s="2">
        <v>0.304770547057298</v>
      </c>
      <c r="E9178" s="2">
        <v>0.401994227236945</v>
      </c>
      <c r="F9178" s="2">
        <v>0.21395022532967001</v>
      </c>
    </row>
    <row r="9179" spans="1:6" x14ac:dyDescent="0.25">
      <c r="A9179" s="1" t="str">
        <f t="shared" si="326"/>
        <v>19140</v>
      </c>
      <c r="B9179" s="1" t="str">
        <f>"30711"</f>
        <v>30711</v>
      </c>
      <c r="C9179" s="2">
        <v>2.3038553752032401E-2</v>
      </c>
      <c r="D9179" s="2">
        <v>3.62976406533575E-3</v>
      </c>
      <c r="E9179" s="2">
        <v>2.3615848858567299E-3</v>
      </c>
      <c r="F9179" s="2">
        <v>2.0321288005802601E-2</v>
      </c>
    </row>
    <row r="9180" spans="1:6" x14ac:dyDescent="0.25">
      <c r="A9180" s="1" t="str">
        <f t="shared" si="326"/>
        <v>19140</v>
      </c>
      <c r="B9180" s="1" t="str">
        <f>"30708"</f>
        <v>30708</v>
      </c>
      <c r="C9180" s="2">
        <v>2.8384821010279098E-3</v>
      </c>
      <c r="D9180" s="2">
        <v>3.8890329271454402E-4</v>
      </c>
      <c r="E9180" s="2">
        <v>0</v>
      </c>
      <c r="F9180" s="2">
        <v>2.4851662921081099E-3</v>
      </c>
    </row>
    <row r="9181" spans="1:6" x14ac:dyDescent="0.25">
      <c r="A9181" s="1" t="str">
        <f t="shared" si="326"/>
        <v>19140</v>
      </c>
      <c r="B9181" s="1" t="str">
        <f>"30705"</f>
        <v>30705</v>
      </c>
      <c r="C9181" s="2">
        <v>0.197770551437153</v>
      </c>
      <c r="D9181" s="2">
        <v>0.105263157894736</v>
      </c>
      <c r="E9181" s="2">
        <v>9.9973760167934897E-2</v>
      </c>
      <c r="F9181" s="2">
        <v>0.18485356544073001</v>
      </c>
    </row>
    <row r="9182" spans="1:6" x14ac:dyDescent="0.25">
      <c r="A9182" s="1" t="str">
        <f t="shared" si="326"/>
        <v>19140</v>
      </c>
      <c r="B9182" s="1" t="str">
        <f>"30721"</f>
        <v>30721</v>
      </c>
      <c r="C9182" s="2">
        <v>0.34808609143770403</v>
      </c>
      <c r="D9182" s="2">
        <v>0.37931034482758602</v>
      </c>
      <c r="E9182" s="2">
        <v>0.45342429808449197</v>
      </c>
      <c r="F9182" s="2">
        <v>0.35572361145792403</v>
      </c>
    </row>
    <row r="9183" spans="1:6" x14ac:dyDescent="0.25">
      <c r="A9183" s="1" t="str">
        <f t="shared" si="326"/>
        <v>19140</v>
      </c>
      <c r="B9183" s="1" t="str">
        <f>"30740"</f>
        <v>30740</v>
      </c>
      <c r="C9183" s="2">
        <v>7.7562212362554006E-2</v>
      </c>
      <c r="D9183" s="2">
        <v>3.0464091262639301E-2</v>
      </c>
      <c r="E9183" s="2">
        <v>1.33823143531881E-2</v>
      </c>
      <c r="F9183" s="2">
        <v>7.0333773291002197E-2</v>
      </c>
    </row>
    <row r="9184" spans="1:6" x14ac:dyDescent="0.25">
      <c r="A9184" s="1" t="str">
        <f t="shared" si="326"/>
        <v>19140</v>
      </c>
      <c r="B9184" s="1" t="str">
        <f>"30722"</f>
        <v>30722</v>
      </c>
      <c r="C9184" s="2">
        <v>2.09579188139002E-2</v>
      </c>
      <c r="D9184" s="2">
        <v>0.10668913663469</v>
      </c>
      <c r="E9184" s="2">
        <v>2.6239832065074701E-4</v>
      </c>
      <c r="F9184" s="2">
        <v>2.7883803612409101E-2</v>
      </c>
    </row>
    <row r="9185" spans="1:6" x14ac:dyDescent="0.25">
      <c r="A9185" s="1" t="str">
        <f t="shared" ref="A9185:A9211" si="327">"19180"</f>
        <v>19180</v>
      </c>
      <c r="B9185" s="1" t="str">
        <f>"61846"</f>
        <v>61846</v>
      </c>
      <c r="C9185" s="2">
        <v>6.00857260896508E-2</v>
      </c>
      <c r="D9185" s="2">
        <v>4.0049674014281202E-2</v>
      </c>
      <c r="E9185" s="2">
        <v>4.0978189028420299E-2</v>
      </c>
      <c r="F9185" s="2">
        <v>5.79356679398094E-2</v>
      </c>
    </row>
    <row r="9186" spans="1:6" x14ac:dyDescent="0.25">
      <c r="A9186" s="1" t="str">
        <f t="shared" si="327"/>
        <v>19180</v>
      </c>
      <c r="B9186" s="1" t="str">
        <f>"61811"</f>
        <v>61811</v>
      </c>
      <c r="C9186" s="2">
        <v>6.3778145011361203E-3</v>
      </c>
      <c r="D9186" s="2">
        <v>6.2092517851598805E-4</v>
      </c>
      <c r="E9186" s="2">
        <v>5.28750826173165E-3</v>
      </c>
      <c r="F9186" s="2">
        <v>5.9132115411163703E-3</v>
      </c>
    </row>
    <row r="9187" spans="1:6" x14ac:dyDescent="0.25">
      <c r="A9187" s="1" t="str">
        <f t="shared" si="327"/>
        <v>19180</v>
      </c>
      <c r="B9187" s="1" t="str">
        <f>"60963"</f>
        <v>60963</v>
      </c>
      <c r="C9187" s="2">
        <v>2.2361082420987301E-2</v>
      </c>
      <c r="D9187" s="2">
        <v>2.45265445513815E-2</v>
      </c>
      <c r="E9187" s="2">
        <v>1.5201586252478499E-2</v>
      </c>
      <c r="F9187" s="2">
        <v>2.22723298513644E-2</v>
      </c>
    </row>
    <row r="9188" spans="1:6" x14ac:dyDescent="0.25">
      <c r="A9188" s="1" t="str">
        <f t="shared" si="327"/>
        <v>19180</v>
      </c>
      <c r="B9188" s="1" t="str">
        <f>"61870"</f>
        <v>61870</v>
      </c>
      <c r="C9188" s="2">
        <v>1.5699235695104299E-2</v>
      </c>
      <c r="D9188" s="2">
        <v>3.1046258925799398E-3</v>
      </c>
      <c r="E9188" s="2">
        <v>7.9312623925974803E-3</v>
      </c>
      <c r="F9188" s="2">
        <v>1.44954212875615E-2</v>
      </c>
    </row>
    <row r="9189" spans="1:6" x14ac:dyDescent="0.25">
      <c r="A9189" s="1" t="str">
        <f t="shared" si="327"/>
        <v>19180</v>
      </c>
      <c r="B9189" s="1" t="str">
        <f>"61849"</f>
        <v>61849</v>
      </c>
      <c r="C9189" s="2">
        <v>1.80747779384424E-3</v>
      </c>
      <c r="D9189" s="2">
        <v>1.24185035703197E-3</v>
      </c>
      <c r="E9189" s="2">
        <v>0</v>
      </c>
      <c r="F9189" s="2">
        <v>1.70263678615802E-3</v>
      </c>
    </row>
    <row r="9190" spans="1:6" x14ac:dyDescent="0.25">
      <c r="A9190" s="1" t="str">
        <f t="shared" si="327"/>
        <v>19180</v>
      </c>
      <c r="B9190" s="1" t="str">
        <f>"61832"</f>
        <v>61832</v>
      </c>
      <c r="C9190" s="2">
        <v>0.46113922743234798</v>
      </c>
      <c r="D9190" s="2">
        <v>0.54175721825519996</v>
      </c>
      <c r="E9190" s="2">
        <v>0.63648380700594798</v>
      </c>
      <c r="F9190" s="2">
        <v>0.47321798352583799</v>
      </c>
    </row>
    <row r="9191" spans="1:6" x14ac:dyDescent="0.25">
      <c r="A9191" s="1" t="str">
        <f t="shared" si="327"/>
        <v>19180</v>
      </c>
      <c r="B9191" s="1" t="str">
        <f>"61833"</f>
        <v>61833</v>
      </c>
      <c r="C9191" s="2">
        <v>2.6440818012807201E-2</v>
      </c>
      <c r="D9191" s="2">
        <v>3.1977646693573399E-2</v>
      </c>
      <c r="E9191" s="2">
        <v>3.63516192994051E-2</v>
      </c>
      <c r="F9191" s="2">
        <v>2.71961713680916E-2</v>
      </c>
    </row>
    <row r="9192" spans="1:6" x14ac:dyDescent="0.25">
      <c r="A9192" s="1" t="str">
        <f t="shared" si="327"/>
        <v>19180</v>
      </c>
      <c r="B9192" s="1" t="str">
        <f>"61844"</f>
        <v>61844</v>
      </c>
      <c r="C9192" s="2">
        <v>1.26007023342284E-2</v>
      </c>
      <c r="D9192" s="2">
        <v>4.6569388388699104E-3</v>
      </c>
      <c r="E9192" s="2">
        <v>0</v>
      </c>
      <c r="F9192" s="2">
        <v>1.15733284248308E-2</v>
      </c>
    </row>
    <row r="9193" spans="1:6" x14ac:dyDescent="0.25">
      <c r="A9193" s="1" t="str">
        <f t="shared" si="327"/>
        <v>19180</v>
      </c>
      <c r="B9193" s="1" t="str">
        <f>"60960"</f>
        <v>60960</v>
      </c>
      <c r="C9193" s="2">
        <v>9.8636645321214592E-3</v>
      </c>
      <c r="D9193" s="2">
        <v>8.0720273207078499E-3</v>
      </c>
      <c r="E9193" s="2">
        <v>1.3218770654329099E-3</v>
      </c>
      <c r="F9193" s="2">
        <v>9.4335281395241805E-3</v>
      </c>
    </row>
    <row r="9194" spans="1:6" x14ac:dyDescent="0.25">
      <c r="A9194" s="1" t="str">
        <f t="shared" si="327"/>
        <v>19180</v>
      </c>
      <c r="B9194" s="1" t="str">
        <f>"60932"</f>
        <v>60932</v>
      </c>
      <c r="C9194" s="2">
        <v>0</v>
      </c>
      <c r="D9194" s="2">
        <v>3.1046258925799403E-4</v>
      </c>
      <c r="E9194" s="2">
        <v>0</v>
      </c>
      <c r="F9194" s="2">
        <v>2.3008605218351601E-5</v>
      </c>
    </row>
    <row r="9195" spans="1:6" x14ac:dyDescent="0.25">
      <c r="A9195" s="1" t="str">
        <f t="shared" si="327"/>
        <v>19180</v>
      </c>
      <c r="B9195" s="1" t="str">
        <f>"61812"</f>
        <v>61812</v>
      </c>
      <c r="C9195" s="2">
        <v>4.3637678165668204E-3</v>
      </c>
      <c r="D9195" s="2">
        <v>1.86277553554796E-3</v>
      </c>
      <c r="E9195" s="2">
        <v>0</v>
      </c>
      <c r="F9195" s="2">
        <v>4.0265059132115399E-3</v>
      </c>
    </row>
    <row r="9196" spans="1:6" x14ac:dyDescent="0.25">
      <c r="A9196" s="1" t="str">
        <f t="shared" si="327"/>
        <v>19180</v>
      </c>
      <c r="B9196" s="1" t="str">
        <f>"61859"</f>
        <v>61859</v>
      </c>
      <c r="C9196" s="2">
        <v>2.5821111340632101E-4</v>
      </c>
      <c r="D9196" s="2">
        <v>0</v>
      </c>
      <c r="E9196" s="2">
        <v>0</v>
      </c>
      <c r="F9196" s="2">
        <v>2.30086052183516E-4</v>
      </c>
    </row>
    <row r="9197" spans="1:6" x14ac:dyDescent="0.25">
      <c r="A9197" s="1" t="str">
        <f t="shared" si="327"/>
        <v>19180</v>
      </c>
      <c r="B9197" s="1" t="str">
        <f>"61831"</f>
        <v>61831</v>
      </c>
      <c r="C9197" s="2">
        <v>1.9107622392067699E-3</v>
      </c>
      <c r="D9197" s="2">
        <v>6.2092517851598805E-4</v>
      </c>
      <c r="E9197" s="2">
        <v>0</v>
      </c>
      <c r="F9197" s="2">
        <v>1.7486539965947199E-3</v>
      </c>
    </row>
    <row r="9198" spans="1:6" x14ac:dyDescent="0.25">
      <c r="A9198" s="1" t="str">
        <f t="shared" si="327"/>
        <v>19180</v>
      </c>
      <c r="B9198" s="1" t="str">
        <f>"61883"</f>
        <v>61883</v>
      </c>
      <c r="C9198" s="2">
        <v>5.6858087172071803E-2</v>
      </c>
      <c r="D9198" s="2">
        <v>3.8497361067991301E-2</v>
      </c>
      <c r="E9198" s="2">
        <v>2.6437541308658202E-2</v>
      </c>
      <c r="F9198" s="2">
        <v>5.4438359946620003E-2</v>
      </c>
    </row>
    <row r="9199" spans="1:6" x14ac:dyDescent="0.25">
      <c r="A9199" s="1" t="str">
        <f t="shared" si="327"/>
        <v>19180</v>
      </c>
      <c r="B9199" s="1" t="str">
        <f>"61858"</f>
        <v>61858</v>
      </c>
      <c r="C9199" s="2">
        <v>3.6459409212972499E-2</v>
      </c>
      <c r="D9199" s="2">
        <v>1.3660353927351701E-2</v>
      </c>
      <c r="E9199" s="2">
        <v>1.4540647719762E-2</v>
      </c>
      <c r="F9199" s="2">
        <v>3.4006718512723702E-2</v>
      </c>
    </row>
    <row r="9200" spans="1:6" x14ac:dyDescent="0.25">
      <c r="A9200" s="1" t="str">
        <f t="shared" si="327"/>
        <v>19180</v>
      </c>
      <c r="B9200" s="1" t="str">
        <f>"61850"</f>
        <v>61850</v>
      </c>
      <c r="C9200" s="2">
        <v>5.9646767196860099E-3</v>
      </c>
      <c r="D9200" s="2">
        <v>9.3138776777398305E-4</v>
      </c>
      <c r="E9200" s="2">
        <v>0</v>
      </c>
      <c r="F9200" s="2">
        <v>5.3840136210942802E-3</v>
      </c>
    </row>
    <row r="9201" spans="1:6" x14ac:dyDescent="0.25">
      <c r="A9201" s="1" t="str">
        <f t="shared" si="327"/>
        <v>19180</v>
      </c>
      <c r="B9201" s="1" t="str">
        <f>"61841"</f>
        <v>61841</v>
      </c>
      <c r="C9201" s="2">
        <v>1.6422226812642E-2</v>
      </c>
      <c r="D9201" s="2">
        <v>7.7615647314498602E-3</v>
      </c>
      <c r="E9201" s="2">
        <v>4.6265697290152003E-3</v>
      </c>
      <c r="F9201" s="2">
        <v>1.53697482858589E-2</v>
      </c>
    </row>
    <row r="9202" spans="1:6" x14ac:dyDescent="0.25">
      <c r="A9202" s="1" t="str">
        <f t="shared" si="327"/>
        <v>19180</v>
      </c>
      <c r="B9202" s="1" t="str">
        <f>"61834"</f>
        <v>61834</v>
      </c>
      <c r="C9202" s="2">
        <v>0.115291262135922</v>
      </c>
      <c r="D9202" s="2">
        <v>0.17479043775225001</v>
      </c>
      <c r="E9202" s="2">
        <v>5.55188367481824E-2</v>
      </c>
      <c r="F9202" s="2">
        <v>0.117619989876213</v>
      </c>
    </row>
    <row r="9203" spans="1:6" x14ac:dyDescent="0.25">
      <c r="A9203" s="1" t="str">
        <f t="shared" si="327"/>
        <v>19180</v>
      </c>
      <c r="B9203" s="1" t="str">
        <f>"61817"</f>
        <v>61817</v>
      </c>
      <c r="C9203" s="2">
        <v>2.5666184672588299E-2</v>
      </c>
      <c r="D9203" s="2">
        <v>3.4150884818379299E-3</v>
      </c>
      <c r="E9203" s="2">
        <v>7.9312623925974803E-3</v>
      </c>
      <c r="F9203" s="2">
        <v>2.3399751507063599E-2</v>
      </c>
    </row>
    <row r="9204" spans="1:6" x14ac:dyDescent="0.25">
      <c r="A9204" s="1" t="str">
        <f t="shared" si="327"/>
        <v>19180</v>
      </c>
      <c r="B9204" s="1" t="str">
        <f>"61857"</f>
        <v>61857</v>
      </c>
      <c r="C9204" s="2">
        <v>1.98822557322867E-3</v>
      </c>
      <c r="D9204" s="2">
        <v>1.24185035703197E-3</v>
      </c>
      <c r="E9204" s="2">
        <v>1.3218770654329099E-3</v>
      </c>
      <c r="F9204" s="2">
        <v>1.9097142331231799E-3</v>
      </c>
    </row>
    <row r="9205" spans="1:6" x14ac:dyDescent="0.25">
      <c r="A9205" s="1" t="str">
        <f t="shared" si="327"/>
        <v>19180</v>
      </c>
      <c r="B9205" s="1" t="str">
        <f>"61876"</f>
        <v>61876</v>
      </c>
      <c r="C9205" s="2">
        <v>7.0233422846519298E-3</v>
      </c>
      <c r="D9205" s="2">
        <v>3.4150884818379299E-3</v>
      </c>
      <c r="E9205" s="2">
        <v>0</v>
      </c>
      <c r="F9205" s="2">
        <v>6.5114352767935198E-3</v>
      </c>
    </row>
    <row r="9206" spans="1:6" x14ac:dyDescent="0.25">
      <c r="A9206" s="1" t="str">
        <f t="shared" si="327"/>
        <v>19180</v>
      </c>
      <c r="B9206" s="1" t="str">
        <f>"61865"</f>
        <v>61865</v>
      </c>
      <c r="C9206" s="2">
        <v>1.6293121255938799E-2</v>
      </c>
      <c r="D9206" s="2">
        <v>9.9348028562558192E-3</v>
      </c>
      <c r="E9206" s="2">
        <v>5.9484467944481102E-3</v>
      </c>
      <c r="F9206" s="2">
        <v>1.54617827067323E-2</v>
      </c>
    </row>
    <row r="9207" spans="1:6" x14ac:dyDescent="0.25">
      <c r="A9207" s="1" t="str">
        <f t="shared" si="327"/>
        <v>19180</v>
      </c>
      <c r="B9207" s="1" t="str">
        <f>"61810"</f>
        <v>61810</v>
      </c>
      <c r="C9207" s="2">
        <v>3.6149555876884899E-3</v>
      </c>
      <c r="D9207" s="2">
        <v>1.5523129462899699E-3</v>
      </c>
      <c r="E9207" s="2">
        <v>1.3218770654329099E-3</v>
      </c>
      <c r="F9207" s="2">
        <v>3.38226496709769E-3</v>
      </c>
    </row>
    <row r="9208" spans="1:6" x14ac:dyDescent="0.25">
      <c r="A9208" s="1" t="str">
        <f t="shared" si="327"/>
        <v>19180</v>
      </c>
      <c r="B9208" s="1" t="str">
        <f>"61848"</f>
        <v>61848</v>
      </c>
      <c r="C9208" s="2">
        <v>3.0727122495352102E-3</v>
      </c>
      <c r="D9208" s="2">
        <v>1.86277553554796E-3</v>
      </c>
      <c r="E9208" s="2">
        <v>0</v>
      </c>
      <c r="F9208" s="2">
        <v>2.8760756522939498E-3</v>
      </c>
    </row>
    <row r="9209" spans="1:6" x14ac:dyDescent="0.25">
      <c r="A9209" s="1" t="str">
        <f t="shared" si="327"/>
        <v>19180</v>
      </c>
      <c r="B9209" s="1" t="str">
        <f>"61862"</f>
        <v>61862</v>
      </c>
      <c r="C9209" s="2">
        <v>4.6478000413137702E-4</v>
      </c>
      <c r="D9209" s="2">
        <v>0</v>
      </c>
      <c r="E9209" s="2">
        <v>0</v>
      </c>
      <c r="F9209" s="2">
        <v>4.1415489393032898E-4</v>
      </c>
    </row>
    <row r="9210" spans="1:6" x14ac:dyDescent="0.25">
      <c r="A9210" s="1" t="str">
        <f t="shared" si="327"/>
        <v>19180</v>
      </c>
      <c r="B9210" s="1" t="str">
        <f>"60942"</f>
        <v>60942</v>
      </c>
      <c r="C9210" s="2">
        <v>7.6714521793017895E-2</v>
      </c>
      <c r="D9210" s="2">
        <v>8.1962123564110506E-2</v>
      </c>
      <c r="E9210" s="2">
        <v>0.12227362855254401</v>
      </c>
      <c r="F9210" s="2">
        <v>7.8689429846762596E-2</v>
      </c>
    </row>
    <row r="9211" spans="1:6" x14ac:dyDescent="0.25">
      <c r="A9211" s="1" t="str">
        <f t="shared" si="327"/>
        <v>19180</v>
      </c>
      <c r="B9211" s="1" t="str">
        <f>"61814"</f>
        <v>61814</v>
      </c>
      <c r="C9211" s="2">
        <v>1.1258004544515501E-2</v>
      </c>
      <c r="D9211" s="2">
        <v>2.1732381248059599E-3</v>
      </c>
      <c r="E9211" s="2">
        <v>1.6523463317911401E-2</v>
      </c>
      <c r="F9211" s="2">
        <v>1.07680272421885E-2</v>
      </c>
    </row>
    <row r="9212" spans="1:6" x14ac:dyDescent="0.25">
      <c r="A9212" s="1" t="str">
        <f t="shared" ref="A9212:A9228" si="328">"19220"</f>
        <v>19220</v>
      </c>
      <c r="B9212" s="1" t="str">
        <f>"40444"</f>
        <v>40444</v>
      </c>
      <c r="C9212" s="2">
        <v>2.58996193540791E-3</v>
      </c>
      <c r="D9212" s="2">
        <v>1.02511532547411E-3</v>
      </c>
      <c r="E9212" s="2">
        <v>0</v>
      </c>
      <c r="F9212" s="2">
        <v>2.3959691342799699E-3</v>
      </c>
    </row>
    <row r="9213" spans="1:6" x14ac:dyDescent="0.25">
      <c r="A9213" s="1" t="str">
        <f t="shared" si="328"/>
        <v>19220</v>
      </c>
      <c r="B9213" s="1" t="str">
        <f>"40489"</f>
        <v>40489</v>
      </c>
      <c r="C9213" s="2">
        <v>6.8202330965741798E-2</v>
      </c>
      <c r="D9213" s="2">
        <v>3.0240902101486399E-2</v>
      </c>
      <c r="E9213" s="2">
        <v>3.8014783526927103E-2</v>
      </c>
      <c r="F9213" s="2">
        <v>6.4585462104929298E-2</v>
      </c>
    </row>
    <row r="9214" spans="1:6" x14ac:dyDescent="0.25">
      <c r="A9214" s="1" t="str">
        <f t="shared" si="328"/>
        <v>19220</v>
      </c>
      <c r="B9214" s="1" t="str">
        <f>"40422"</f>
        <v>40422</v>
      </c>
      <c r="C9214" s="2">
        <v>0.44712161048542098</v>
      </c>
      <c r="D9214" s="2">
        <v>0.67042542286007101</v>
      </c>
      <c r="E9214" s="2">
        <v>0.53220696937697898</v>
      </c>
      <c r="F9214" s="2">
        <v>0.46531129981325497</v>
      </c>
    </row>
    <row r="9215" spans="1:6" x14ac:dyDescent="0.25">
      <c r="A9215" s="1" t="str">
        <f t="shared" si="328"/>
        <v>19220</v>
      </c>
      <c r="B9215" s="1" t="str">
        <f>"40330"</f>
        <v>40330</v>
      </c>
      <c r="C9215" s="2">
        <v>2.7469293254326401E-4</v>
      </c>
      <c r="D9215" s="2">
        <v>0</v>
      </c>
      <c r="E9215" s="2">
        <v>0</v>
      </c>
      <c r="F9215" s="2">
        <v>2.4664388146999699E-4</v>
      </c>
    </row>
    <row r="9216" spans="1:6" x14ac:dyDescent="0.25">
      <c r="A9216" s="1" t="str">
        <f t="shared" si="328"/>
        <v>19220</v>
      </c>
      <c r="B9216" s="1" t="str">
        <f>"40328"</f>
        <v>40328</v>
      </c>
      <c r="C9216" s="2">
        <v>6.9850488561001402E-3</v>
      </c>
      <c r="D9216" s="2">
        <v>3.0753459764223398E-3</v>
      </c>
      <c r="E9216" s="2">
        <v>4.2238648363252303E-3</v>
      </c>
      <c r="F9216" s="2">
        <v>6.6241499594799297E-3</v>
      </c>
    </row>
    <row r="9217" spans="1:6" x14ac:dyDescent="0.25">
      <c r="A9217" s="1" t="str">
        <f t="shared" si="328"/>
        <v>19220</v>
      </c>
      <c r="B9217" s="1" t="str">
        <f>"40409"</f>
        <v>40409</v>
      </c>
      <c r="C9217" s="2">
        <v>1.8836086802966601E-3</v>
      </c>
      <c r="D9217" s="2">
        <v>0</v>
      </c>
      <c r="E9217" s="2">
        <v>0</v>
      </c>
      <c r="F9217" s="2">
        <v>1.69127233007998E-3</v>
      </c>
    </row>
    <row r="9218" spans="1:6" x14ac:dyDescent="0.25">
      <c r="A9218" s="1" t="str">
        <f t="shared" si="328"/>
        <v>19220</v>
      </c>
      <c r="B9218" s="1" t="str">
        <f>"40461"</f>
        <v>40461</v>
      </c>
      <c r="C9218" s="2">
        <v>1.9620923753090199E-4</v>
      </c>
      <c r="D9218" s="2">
        <v>0</v>
      </c>
      <c r="E9218" s="2">
        <v>0</v>
      </c>
      <c r="F9218" s="2">
        <v>1.7617420104999799E-4</v>
      </c>
    </row>
    <row r="9219" spans="1:6" x14ac:dyDescent="0.25">
      <c r="A9219" s="1" t="str">
        <f t="shared" si="328"/>
        <v>19220</v>
      </c>
      <c r="B9219" s="1" t="str">
        <f>"40468"</f>
        <v>40468</v>
      </c>
      <c r="C9219" s="2">
        <v>3.3198602990228698E-2</v>
      </c>
      <c r="D9219" s="2">
        <v>1.48641722193746E-2</v>
      </c>
      <c r="E9219" s="2">
        <v>2.0063357972544799E-2</v>
      </c>
      <c r="F9219" s="2">
        <v>3.1499947147739599E-2</v>
      </c>
    </row>
    <row r="9220" spans="1:6" x14ac:dyDescent="0.25">
      <c r="A9220" s="1" t="str">
        <f t="shared" si="328"/>
        <v>19220</v>
      </c>
      <c r="B9220" s="1" t="str">
        <f>"40442"</f>
        <v>40442</v>
      </c>
      <c r="C9220" s="2">
        <v>1.2832084134521001E-2</v>
      </c>
      <c r="D9220" s="2">
        <v>1.5376729882111699E-3</v>
      </c>
      <c r="E9220" s="2">
        <v>1.0559662090813E-3</v>
      </c>
      <c r="F9220" s="2">
        <v>1.1662732109509801E-2</v>
      </c>
    </row>
    <row r="9221" spans="1:6" x14ac:dyDescent="0.25">
      <c r="A9221" s="1" t="str">
        <f t="shared" si="328"/>
        <v>19220</v>
      </c>
      <c r="B9221" s="1" t="str">
        <f>"40437"</f>
        <v>40437</v>
      </c>
      <c r="C9221" s="2">
        <v>6.5651610877840105E-2</v>
      </c>
      <c r="D9221" s="2">
        <v>2.1014864172219299E-2</v>
      </c>
      <c r="E9221" s="2">
        <v>4.4350580781414899E-2</v>
      </c>
      <c r="F9221" s="2">
        <v>6.1872379408759302E-2</v>
      </c>
    </row>
    <row r="9222" spans="1:6" x14ac:dyDescent="0.25">
      <c r="A9222" s="1" t="str">
        <f t="shared" si="328"/>
        <v>19220</v>
      </c>
      <c r="B9222" s="1" t="str">
        <f>"40452"</f>
        <v>40452</v>
      </c>
      <c r="C9222" s="2">
        <v>0</v>
      </c>
      <c r="D9222" s="2">
        <v>0</v>
      </c>
      <c r="E9222" s="2">
        <v>1.0559662090813E-3</v>
      </c>
      <c r="F9222" s="2">
        <v>3.5234840209999599E-5</v>
      </c>
    </row>
    <row r="9223" spans="1:6" x14ac:dyDescent="0.25">
      <c r="A9223" s="1" t="str">
        <f t="shared" si="328"/>
        <v>19220</v>
      </c>
      <c r="B9223" s="1" t="str">
        <f>"40419"</f>
        <v>40419</v>
      </c>
      <c r="C9223" s="2">
        <v>6.7221284778087295E-2</v>
      </c>
      <c r="D9223" s="2">
        <v>4.2029728344438702E-2</v>
      </c>
      <c r="E9223" s="2">
        <v>1.5839493136219601E-2</v>
      </c>
      <c r="F9223" s="2">
        <v>6.3775060780099299E-2</v>
      </c>
    </row>
    <row r="9224" spans="1:6" x14ac:dyDescent="0.25">
      <c r="A9224" s="1" t="str">
        <f t="shared" si="328"/>
        <v>19220</v>
      </c>
      <c r="B9224" s="1" t="str">
        <f>"40448"</f>
        <v>40448</v>
      </c>
      <c r="C9224" s="2">
        <v>0</v>
      </c>
      <c r="D9224" s="2">
        <v>0</v>
      </c>
      <c r="E9224" s="2">
        <v>1.0559662090813E-3</v>
      </c>
      <c r="F9224" s="2">
        <v>3.5234840209999599E-5</v>
      </c>
    </row>
    <row r="9225" spans="1:6" x14ac:dyDescent="0.25">
      <c r="A9225" s="1" t="str">
        <f t="shared" si="328"/>
        <v>19220</v>
      </c>
      <c r="B9225" s="1" t="str">
        <f>"40484"</f>
        <v>40484</v>
      </c>
      <c r="C9225" s="2">
        <v>0.222148098732488</v>
      </c>
      <c r="D9225" s="2">
        <v>0.19323423885186999</v>
      </c>
      <c r="E9225" s="2">
        <v>0.32312565997887999</v>
      </c>
      <c r="F9225" s="2">
        <v>0.223529826292237</v>
      </c>
    </row>
    <row r="9226" spans="1:6" x14ac:dyDescent="0.25">
      <c r="A9226" s="1" t="str">
        <f t="shared" si="328"/>
        <v>19220</v>
      </c>
      <c r="B9226" s="1" t="str">
        <f>"42567"</f>
        <v>42567</v>
      </c>
      <c r="C9226" s="2">
        <v>1.1458619471804699E-2</v>
      </c>
      <c r="D9226" s="2">
        <v>1.5376729882111699E-3</v>
      </c>
      <c r="E9226" s="2">
        <v>8.4477296726504694E-3</v>
      </c>
      <c r="F9226" s="2">
        <v>1.06761565836298E-2</v>
      </c>
    </row>
    <row r="9227" spans="1:6" x14ac:dyDescent="0.25">
      <c r="A9227" s="1" t="str">
        <f t="shared" si="328"/>
        <v>19220</v>
      </c>
      <c r="B9227" s="1" t="str">
        <f>"40440"</f>
        <v>40440</v>
      </c>
      <c r="C9227" s="2">
        <v>4.1439390966526699E-2</v>
      </c>
      <c r="D9227" s="2">
        <v>2.1014864172219299E-2</v>
      </c>
      <c r="E9227" s="2">
        <v>9.5036958817317808E-3</v>
      </c>
      <c r="F9227" s="2">
        <v>3.8969733272259603E-2</v>
      </c>
    </row>
    <row r="9228" spans="1:6" x14ac:dyDescent="0.25">
      <c r="A9228" s="1" t="str">
        <f t="shared" si="328"/>
        <v>19220</v>
      </c>
      <c r="B9228" s="1" t="str">
        <f>"40464"</f>
        <v>40464</v>
      </c>
      <c r="C9228" s="2">
        <v>1.8796844955460499E-2</v>
      </c>
      <c r="D9228" s="2">
        <v>0</v>
      </c>
      <c r="E9228" s="2">
        <v>1.0559662090813E-3</v>
      </c>
      <c r="F9228" s="2">
        <v>1.6912723300799799E-2</v>
      </c>
    </row>
    <row r="9229" spans="1:6" x14ac:dyDescent="0.25">
      <c r="A9229" s="1" t="str">
        <f t="shared" ref="A9229:A9249" si="329">"19260"</f>
        <v>19260</v>
      </c>
      <c r="B9229" s="1" t="str">
        <f>"24530"</f>
        <v>24530</v>
      </c>
      <c r="C9229" s="2">
        <v>1.16169891562494E-2</v>
      </c>
      <c r="D9229" s="2">
        <v>4.2027194066749001E-3</v>
      </c>
      <c r="E9229" s="2">
        <v>1.8856065367693199E-3</v>
      </c>
      <c r="F9229" s="2">
        <v>1.0858505829566399E-2</v>
      </c>
    </row>
    <row r="9230" spans="1:6" x14ac:dyDescent="0.25">
      <c r="A9230" s="1" t="str">
        <f t="shared" si="329"/>
        <v>19260</v>
      </c>
      <c r="B9230" s="1" t="str">
        <f>"24566"</f>
        <v>24566</v>
      </c>
      <c r="C9230" s="2">
        <v>1.29793618940663E-2</v>
      </c>
      <c r="D9230" s="2">
        <v>1.73053152039555E-3</v>
      </c>
      <c r="E9230" s="2">
        <v>1.8856065367693199E-3</v>
      </c>
      <c r="F9230" s="2">
        <v>1.19260087068203E-2</v>
      </c>
    </row>
    <row r="9231" spans="1:6" x14ac:dyDescent="0.25">
      <c r="A9231" s="1" t="str">
        <f t="shared" si="329"/>
        <v>19260</v>
      </c>
      <c r="B9231" s="1" t="str">
        <f>"24527"</f>
        <v>24527</v>
      </c>
      <c r="C9231" s="2">
        <v>2.43201944142717E-2</v>
      </c>
      <c r="D9231" s="2">
        <v>1.65636588380716E-2</v>
      </c>
      <c r="E9231" s="2">
        <v>1.0685103708359499E-2</v>
      </c>
      <c r="F9231" s="2">
        <v>2.34350241022134E-2</v>
      </c>
    </row>
    <row r="9232" spans="1:6" x14ac:dyDescent="0.25">
      <c r="A9232" s="1" t="str">
        <f t="shared" si="329"/>
        <v>19260</v>
      </c>
      <c r="B9232" s="1" t="str">
        <f>"24549"</f>
        <v>24549</v>
      </c>
      <c r="C9232" s="2">
        <v>3.5734668704088902E-2</v>
      </c>
      <c r="D9232" s="2">
        <v>9.6415327564894904E-3</v>
      </c>
      <c r="E9232" s="2">
        <v>1.31992457573852E-2</v>
      </c>
      <c r="F9232" s="2">
        <v>3.3376144646639801E-2</v>
      </c>
    </row>
    <row r="9233" spans="1:6" x14ac:dyDescent="0.25">
      <c r="A9233" s="1" t="str">
        <f t="shared" si="329"/>
        <v>19260</v>
      </c>
      <c r="B9233" s="1" t="str">
        <f>"24565"</f>
        <v>24565</v>
      </c>
      <c r="C9233" s="2">
        <v>9.4629673951065005E-3</v>
      </c>
      <c r="D9233" s="2">
        <v>4.2027194066749001E-3</v>
      </c>
      <c r="E9233" s="2">
        <v>6.2853551225644196E-4</v>
      </c>
      <c r="F9233" s="2">
        <v>8.8736176671726091E-3</v>
      </c>
    </row>
    <row r="9234" spans="1:6" x14ac:dyDescent="0.25">
      <c r="A9234" s="1" t="str">
        <f t="shared" si="329"/>
        <v>19260</v>
      </c>
      <c r="B9234" s="1" t="str">
        <f>"24541"</f>
        <v>24541</v>
      </c>
      <c r="C9234" s="2">
        <v>0.28613509582635199</v>
      </c>
      <c r="D9234" s="2">
        <v>0.38269468479604402</v>
      </c>
      <c r="E9234" s="2">
        <v>0.51037083595223098</v>
      </c>
      <c r="F9234" s="2">
        <v>0.29860057044685001</v>
      </c>
    </row>
    <row r="9235" spans="1:6" x14ac:dyDescent="0.25">
      <c r="A9235" s="1" t="str">
        <f t="shared" si="329"/>
        <v>19260</v>
      </c>
      <c r="B9235" s="1" t="str">
        <f>"24594"</f>
        <v>24594</v>
      </c>
      <c r="C9235" s="2">
        <v>1.0917392344938E-2</v>
      </c>
      <c r="D9235" s="2">
        <v>3.9555006180469702E-3</v>
      </c>
      <c r="E9235" s="2">
        <v>5.6568196103079799E-3</v>
      </c>
      <c r="F9235" s="2">
        <v>1.0308074658482399E-2</v>
      </c>
    </row>
    <row r="9236" spans="1:6" x14ac:dyDescent="0.25">
      <c r="A9236" s="1" t="str">
        <f t="shared" si="329"/>
        <v>19260</v>
      </c>
      <c r="B9236" s="1" t="str">
        <f>"24069"</f>
        <v>24069</v>
      </c>
      <c r="C9236" s="2">
        <v>1.7029659222711099E-2</v>
      </c>
      <c r="D9236" s="2">
        <v>6.6749072929542597E-3</v>
      </c>
      <c r="E9236" s="2">
        <v>9.4280326838466297E-3</v>
      </c>
      <c r="F9236" s="2">
        <v>1.61293012860073E-2</v>
      </c>
    </row>
    <row r="9237" spans="1:6" x14ac:dyDescent="0.25">
      <c r="A9237" s="1" t="str">
        <f t="shared" si="329"/>
        <v>19260</v>
      </c>
      <c r="B9237" s="1" t="str">
        <f>"24557"</f>
        <v>24557</v>
      </c>
      <c r="C9237" s="2">
        <v>6.9849218476719904E-2</v>
      </c>
      <c r="D9237" s="2">
        <v>4.2027194066748999E-2</v>
      </c>
      <c r="E9237" s="2">
        <v>1.38277812696417E-2</v>
      </c>
      <c r="F9237" s="2">
        <v>6.6485413573966201E-2</v>
      </c>
    </row>
    <row r="9238" spans="1:6" x14ac:dyDescent="0.25">
      <c r="A9238" s="1" t="str">
        <f t="shared" si="329"/>
        <v>19260</v>
      </c>
      <c r="B9238" s="1" t="str">
        <f>"24577"</f>
        <v>24577</v>
      </c>
      <c r="C9238" s="2">
        <v>1.84104424029309E-5</v>
      </c>
      <c r="D9238" s="2">
        <v>0</v>
      </c>
      <c r="E9238" s="2">
        <v>0</v>
      </c>
      <c r="F9238" s="2">
        <v>1.6679732457091301E-5</v>
      </c>
    </row>
    <row r="9239" spans="1:6" x14ac:dyDescent="0.25">
      <c r="A9239" s="1" t="str">
        <f t="shared" si="329"/>
        <v>19260</v>
      </c>
      <c r="B9239" s="1" t="str">
        <f>"24563"</f>
        <v>24563</v>
      </c>
      <c r="C9239" s="2">
        <v>4.8382642634902502E-2</v>
      </c>
      <c r="D9239" s="2">
        <v>1.5822002472187801E-2</v>
      </c>
      <c r="E9239" s="2">
        <v>2.1998742928975398E-2</v>
      </c>
      <c r="F9239" s="2">
        <v>4.5485630410488198E-2</v>
      </c>
    </row>
    <row r="9240" spans="1:6" x14ac:dyDescent="0.25">
      <c r="A9240" s="1" t="str">
        <f t="shared" si="329"/>
        <v>19260</v>
      </c>
      <c r="B9240" s="1" t="str">
        <f>"24054"</f>
        <v>24054</v>
      </c>
      <c r="C9240" s="2">
        <v>1.6017084890549899E-2</v>
      </c>
      <c r="D9240" s="2">
        <v>4.2027194066749001E-3</v>
      </c>
      <c r="E9240" s="2">
        <v>2.51414204902576E-3</v>
      </c>
      <c r="F9240" s="2">
        <v>1.4861641619268401E-2</v>
      </c>
    </row>
    <row r="9241" spans="1:6" x14ac:dyDescent="0.25">
      <c r="A9241" s="1" t="str">
        <f t="shared" si="329"/>
        <v>19260</v>
      </c>
      <c r="B9241" s="1" t="str">
        <f>"24161"</f>
        <v>24161</v>
      </c>
      <c r="C9241" s="2">
        <v>5.0260507760001398E-3</v>
      </c>
      <c r="D9241" s="2">
        <v>2.2249690976514202E-3</v>
      </c>
      <c r="E9241" s="2">
        <v>0</v>
      </c>
      <c r="F9241" s="2">
        <v>4.7036845528997699E-3</v>
      </c>
    </row>
    <row r="9242" spans="1:6" x14ac:dyDescent="0.25">
      <c r="A9242" s="1" t="str">
        <f t="shared" si="329"/>
        <v>19260</v>
      </c>
      <c r="B9242" s="1" t="str">
        <f>"24586"</f>
        <v>24586</v>
      </c>
      <c r="C9242" s="2">
        <v>4.81064859988585E-2</v>
      </c>
      <c r="D9242" s="2">
        <v>2.2002472187886198E-2</v>
      </c>
      <c r="E9242" s="2">
        <v>2.0741671904462598E-2</v>
      </c>
      <c r="F9242" s="2">
        <v>4.5619068270144898E-2</v>
      </c>
    </row>
    <row r="9243" spans="1:6" x14ac:dyDescent="0.25">
      <c r="A9243" s="1" t="str">
        <f t="shared" si="329"/>
        <v>19260</v>
      </c>
      <c r="B9243" s="1" t="str">
        <f>"24139"</f>
        <v>24139</v>
      </c>
      <c r="C9243" s="2">
        <v>5.5967744904909999E-3</v>
      </c>
      <c r="D9243" s="2">
        <v>1.73053152039555E-3</v>
      </c>
      <c r="E9243" s="2">
        <v>6.2853551225644196E-4</v>
      </c>
      <c r="F9243" s="2">
        <v>5.2040765266125099E-3</v>
      </c>
    </row>
    <row r="9244" spans="1:6" x14ac:dyDescent="0.25">
      <c r="A9244" s="1" t="str">
        <f t="shared" si="329"/>
        <v>19260</v>
      </c>
      <c r="B9244" s="1" t="str">
        <f>"24597"</f>
        <v>24597</v>
      </c>
      <c r="C9244" s="2">
        <v>1.32555185301102E-3</v>
      </c>
      <c r="D9244" s="2">
        <v>2.4721878862793499E-4</v>
      </c>
      <c r="E9244" s="2">
        <v>0</v>
      </c>
      <c r="F9244" s="2">
        <v>1.2176204693676699E-3</v>
      </c>
    </row>
    <row r="9245" spans="1:6" x14ac:dyDescent="0.25">
      <c r="A9245" s="1" t="str">
        <f t="shared" si="329"/>
        <v>19260</v>
      </c>
      <c r="B9245" s="1" t="str">
        <f>"24569"</f>
        <v>24569</v>
      </c>
      <c r="C9245" s="2">
        <v>6.0754459929672098E-3</v>
      </c>
      <c r="D9245" s="2">
        <v>1.2360939431396701E-3</v>
      </c>
      <c r="E9245" s="2">
        <v>0</v>
      </c>
      <c r="F9245" s="2">
        <v>5.5877103731256103E-3</v>
      </c>
    </row>
    <row r="9246" spans="1:6" x14ac:dyDescent="0.25">
      <c r="A9246" s="1" t="str">
        <f t="shared" si="329"/>
        <v>19260</v>
      </c>
      <c r="B9246" s="1" t="str">
        <f>"24137"</f>
        <v>24137</v>
      </c>
      <c r="C9246" s="2">
        <v>6.9775576707108199E-3</v>
      </c>
      <c r="D9246" s="2">
        <v>2.9666254635352198E-3</v>
      </c>
      <c r="E9246" s="2">
        <v>1.25707102451288E-3</v>
      </c>
      <c r="F9246" s="2">
        <v>6.5551348556369101E-3</v>
      </c>
    </row>
    <row r="9247" spans="1:6" x14ac:dyDescent="0.25">
      <c r="A9247" s="1" t="str">
        <f t="shared" si="329"/>
        <v>19260</v>
      </c>
      <c r="B9247" s="1" t="str">
        <f>"24531"</f>
        <v>24531</v>
      </c>
      <c r="C9247" s="2">
        <v>7.7066111898668896E-2</v>
      </c>
      <c r="D9247" s="2">
        <v>6.7243510506798498E-2</v>
      </c>
      <c r="E9247" s="2">
        <v>2.57699560025141E-2</v>
      </c>
      <c r="F9247" s="2">
        <v>7.5042116324454095E-2</v>
      </c>
    </row>
    <row r="9248" spans="1:6" x14ac:dyDescent="0.25">
      <c r="A9248" s="1" t="str">
        <f t="shared" si="329"/>
        <v>19260</v>
      </c>
      <c r="B9248" s="1" t="str">
        <f>"24592"</f>
        <v>24592</v>
      </c>
      <c r="C9248" s="2">
        <v>7.3641769611723697E-5</v>
      </c>
      <c r="D9248" s="2">
        <v>0</v>
      </c>
      <c r="E9248" s="2">
        <v>0</v>
      </c>
      <c r="F9248" s="2">
        <v>6.6718929828365502E-5</v>
      </c>
    </row>
    <row r="9249" spans="1:6" x14ac:dyDescent="0.25">
      <c r="A9249" s="1" t="str">
        <f t="shared" si="329"/>
        <v>19260</v>
      </c>
      <c r="B9249" s="1" t="str">
        <f>"24540"</f>
        <v>24540</v>
      </c>
      <c r="C9249" s="2">
        <v>0.30728869414732002</v>
      </c>
      <c r="D9249" s="2">
        <v>0.41063040791100103</v>
      </c>
      <c r="E9249" s="2">
        <v>0.35952231301068499</v>
      </c>
      <c r="F9249" s="2">
        <v>0.31564725701799701</v>
      </c>
    </row>
    <row r="9250" spans="1:6" x14ac:dyDescent="0.25">
      <c r="A9250" s="1" t="str">
        <f t="shared" ref="A9250:A9277" si="330">"19300"</f>
        <v>19300</v>
      </c>
      <c r="B9250" s="1" t="str">
        <f>"36526"</f>
        <v>36526</v>
      </c>
      <c r="C9250" s="2">
        <v>0.12088247325470899</v>
      </c>
      <c r="D9250" s="2">
        <v>0.15965543196453899</v>
      </c>
      <c r="E9250" s="2">
        <v>0.118368962787015</v>
      </c>
      <c r="F9250" s="2">
        <v>0.12376349912421</v>
      </c>
    </row>
    <row r="9251" spans="1:6" x14ac:dyDescent="0.25">
      <c r="A9251" s="1" t="str">
        <f t="shared" si="330"/>
        <v>19300</v>
      </c>
      <c r="B9251" s="1" t="str">
        <f>"36480"</f>
        <v>36480</v>
      </c>
      <c r="C9251" s="2">
        <v>4.1599933440106398E-5</v>
      </c>
      <c r="D9251" s="2">
        <v>0</v>
      </c>
      <c r="E9251" s="2">
        <v>0</v>
      </c>
      <c r="F9251" s="2">
        <v>3.7803848431770298E-5</v>
      </c>
    </row>
    <row r="9252" spans="1:6" x14ac:dyDescent="0.25">
      <c r="A9252" s="1" t="str">
        <f t="shared" si="330"/>
        <v>19300</v>
      </c>
      <c r="B9252" s="1" t="str">
        <f>"36533"</f>
        <v>36533</v>
      </c>
      <c r="C9252" s="2">
        <v>8.9578523341029299E-3</v>
      </c>
      <c r="D9252" s="2">
        <v>4.8758049678012803E-2</v>
      </c>
      <c r="E9252" s="2">
        <v>7.9176563737133805E-4</v>
      </c>
      <c r="F9252" s="2">
        <v>1.18263039177388E-2</v>
      </c>
    </row>
    <row r="9253" spans="1:6" x14ac:dyDescent="0.25">
      <c r="A9253" s="1" t="str">
        <f t="shared" si="330"/>
        <v>19300</v>
      </c>
      <c r="B9253" s="1" t="str">
        <f>"36550"</f>
        <v>36550</v>
      </c>
      <c r="C9253" s="2">
        <v>9.0133189120230695E-4</v>
      </c>
      <c r="D9253" s="2">
        <v>3.3453207326252399E-4</v>
      </c>
      <c r="E9253" s="2">
        <v>0</v>
      </c>
      <c r="F9253" s="2">
        <v>8.4428594830953697E-4</v>
      </c>
    </row>
    <row r="9254" spans="1:6" x14ac:dyDescent="0.25">
      <c r="A9254" s="1" t="str">
        <f t="shared" si="330"/>
        <v>19300</v>
      </c>
      <c r="B9254" s="1" t="str">
        <f>"36530"</f>
        <v>36530</v>
      </c>
      <c r="C9254" s="2">
        <v>3.5970075781212002E-2</v>
      </c>
      <c r="D9254" s="2">
        <v>1.6977502718072999E-2</v>
      </c>
      <c r="E9254" s="2">
        <v>2.6128266033254102E-2</v>
      </c>
      <c r="F9254" s="2">
        <v>3.4382600148695097E-2</v>
      </c>
    </row>
    <row r="9255" spans="1:6" x14ac:dyDescent="0.25">
      <c r="A9255" s="1" t="str">
        <f t="shared" si="330"/>
        <v>19300</v>
      </c>
      <c r="B9255" s="1" t="str">
        <f>"36551"</f>
        <v>36551</v>
      </c>
      <c r="C9255" s="2">
        <v>2.9126886730314501E-2</v>
      </c>
      <c r="D9255" s="2">
        <v>1.8817429121016901E-2</v>
      </c>
      <c r="E9255" s="2">
        <v>2.25653206650831E-2</v>
      </c>
      <c r="F9255" s="2">
        <v>2.82457754199377E-2</v>
      </c>
    </row>
    <row r="9256" spans="1:6" x14ac:dyDescent="0.25">
      <c r="A9256" s="1" t="str">
        <f t="shared" si="330"/>
        <v>19300</v>
      </c>
      <c r="B9256" s="1" t="str">
        <f>"36576"</f>
        <v>36576</v>
      </c>
      <c r="C9256" s="2">
        <v>1.55722417510798E-2</v>
      </c>
      <c r="D9256" s="2">
        <v>2.1744584762064E-3</v>
      </c>
      <c r="E9256" s="2">
        <v>2.1773555027711701E-2</v>
      </c>
      <c r="F9256" s="2">
        <v>1.46615925501216E-2</v>
      </c>
    </row>
    <row r="9257" spans="1:6" x14ac:dyDescent="0.25">
      <c r="A9257" s="1" t="str">
        <f t="shared" si="330"/>
        <v>19300</v>
      </c>
      <c r="B9257" s="1" t="str">
        <f>"36567"</f>
        <v>36567</v>
      </c>
      <c r="C9257" s="2">
        <v>4.3700730078831802E-2</v>
      </c>
      <c r="D9257" s="2">
        <v>3.71330601321401E-2</v>
      </c>
      <c r="E9257" s="2">
        <v>7.0467141726048996E-2</v>
      </c>
      <c r="F9257" s="2">
        <v>4.3631941731668199E-2</v>
      </c>
    </row>
    <row r="9258" spans="1:6" x14ac:dyDescent="0.25">
      <c r="A9258" s="1" t="str">
        <f t="shared" si="330"/>
        <v>19300</v>
      </c>
      <c r="B9258" s="1" t="str">
        <f>"36555"</f>
        <v>36555</v>
      </c>
      <c r="C9258" s="2">
        <v>4.1738599884906802E-3</v>
      </c>
      <c r="D9258" s="2">
        <v>6.6906414652504798E-4</v>
      </c>
      <c r="E9258" s="2">
        <v>3.95882818685669E-3</v>
      </c>
      <c r="F9258" s="2">
        <v>3.9063976712829301E-3</v>
      </c>
    </row>
    <row r="9259" spans="1:6" x14ac:dyDescent="0.25">
      <c r="A9259" s="1" t="str">
        <f t="shared" si="330"/>
        <v>19300</v>
      </c>
      <c r="B9259" s="1" t="str">
        <f>"36536"</f>
        <v>36536</v>
      </c>
      <c r="C9259" s="2">
        <v>1.06149163494671E-2</v>
      </c>
      <c r="D9259" s="2">
        <v>2.52571715313205E-2</v>
      </c>
      <c r="E9259" s="2">
        <v>7.9176563737133805E-4</v>
      </c>
      <c r="F9259" s="2">
        <v>1.1561676978716399E-2</v>
      </c>
    </row>
    <row r="9260" spans="1:6" x14ac:dyDescent="0.25">
      <c r="A9260" s="1" t="str">
        <f t="shared" si="330"/>
        <v>19300</v>
      </c>
      <c r="B9260" s="1" t="str">
        <f>"36562"</f>
        <v>36562</v>
      </c>
      <c r="C9260" s="2">
        <v>5.3871913804937896E-3</v>
      </c>
      <c r="D9260" s="2">
        <v>1.3381282930500899E-3</v>
      </c>
      <c r="E9260" s="2">
        <v>9.5011876484560505E-3</v>
      </c>
      <c r="F9260" s="2">
        <v>5.1476240281260596E-3</v>
      </c>
    </row>
    <row r="9261" spans="1:6" x14ac:dyDescent="0.25">
      <c r="A9261" s="1" t="str">
        <f t="shared" si="330"/>
        <v>19300</v>
      </c>
      <c r="B9261" s="1" t="str">
        <f>"36507"</f>
        <v>36507</v>
      </c>
      <c r="C9261" s="2">
        <v>6.6372693803689903E-2</v>
      </c>
      <c r="D9261" s="2">
        <v>6.1553901480304402E-2</v>
      </c>
      <c r="E9261" s="2">
        <v>8.9469517022961201E-2</v>
      </c>
      <c r="F9261" s="2">
        <v>6.6377257204783394E-2</v>
      </c>
    </row>
    <row r="9262" spans="1:6" x14ac:dyDescent="0.25">
      <c r="A9262" s="1" t="str">
        <f t="shared" si="330"/>
        <v>19300</v>
      </c>
      <c r="B9262" s="1" t="str">
        <f>"36527"</f>
        <v>36527</v>
      </c>
      <c r="C9262" s="2">
        <v>5.0446852618369099E-2</v>
      </c>
      <c r="D9262" s="2">
        <v>5.6619553399682103E-2</v>
      </c>
      <c r="E9262" s="2">
        <v>6.7695961995249396E-2</v>
      </c>
      <c r="F9262" s="2">
        <v>5.1186410776617002E-2</v>
      </c>
    </row>
    <row r="9263" spans="1:6" x14ac:dyDescent="0.25">
      <c r="A9263" s="1" t="str">
        <f t="shared" si="330"/>
        <v>19300</v>
      </c>
      <c r="B9263" s="1" t="str">
        <f>"36549"</f>
        <v>36549</v>
      </c>
      <c r="C9263" s="2">
        <v>2.3587162260540299E-2</v>
      </c>
      <c r="D9263" s="2">
        <v>5.1016141172534899E-3</v>
      </c>
      <c r="E9263" s="2">
        <v>1.187648456057E-3</v>
      </c>
      <c r="F9263" s="2">
        <v>2.18380231107526E-2</v>
      </c>
    </row>
    <row r="9264" spans="1:6" x14ac:dyDescent="0.25">
      <c r="A9264" s="1" t="str">
        <f t="shared" si="330"/>
        <v>19300</v>
      </c>
      <c r="B9264" s="1" t="str">
        <f>"36578"</f>
        <v>36578</v>
      </c>
      <c r="C9264" s="2">
        <v>1.0302916848666299E-2</v>
      </c>
      <c r="D9264" s="2">
        <v>5.7706782637785298E-3</v>
      </c>
      <c r="E9264" s="2">
        <v>3.9588281868566902E-4</v>
      </c>
      <c r="F9264" s="2">
        <v>9.80379802663911E-3</v>
      </c>
    </row>
    <row r="9265" spans="1:6" x14ac:dyDescent="0.25">
      <c r="A9265" s="1" t="str">
        <f t="shared" si="330"/>
        <v>19300</v>
      </c>
      <c r="B9265" s="1" t="str">
        <f>"36577"</f>
        <v>36577</v>
      </c>
      <c r="C9265" s="2">
        <v>4.6730591897719597E-3</v>
      </c>
      <c r="D9265" s="2">
        <v>2.1159153633854601E-2</v>
      </c>
      <c r="E9265" s="2">
        <v>7.9176563737133805E-4</v>
      </c>
      <c r="F9265" s="2">
        <v>5.8532958655190996E-3</v>
      </c>
    </row>
    <row r="9266" spans="1:6" x14ac:dyDescent="0.25">
      <c r="A9266" s="1" t="str">
        <f t="shared" si="330"/>
        <v>19300</v>
      </c>
      <c r="B9266" s="1" t="str">
        <f>"36502"</f>
        <v>36502</v>
      </c>
      <c r="C9266" s="2">
        <v>8.8053192448225403E-4</v>
      </c>
      <c r="D9266" s="2">
        <v>5.8543112820941701E-4</v>
      </c>
      <c r="E9266" s="2">
        <v>0</v>
      </c>
      <c r="F9266" s="2">
        <v>8.4428594830953697E-4</v>
      </c>
    </row>
    <row r="9267" spans="1:6" x14ac:dyDescent="0.25">
      <c r="A9267" s="1" t="str">
        <f t="shared" si="330"/>
        <v>19300</v>
      </c>
      <c r="B9267" s="1" t="str">
        <f>"36511"</f>
        <v>36511</v>
      </c>
      <c r="C9267" s="2">
        <v>5.5605244364942304E-3</v>
      </c>
      <c r="D9267" s="2">
        <v>4.0980178974659104E-3</v>
      </c>
      <c r="E9267" s="2">
        <v>2.37529691211401E-3</v>
      </c>
      <c r="F9267" s="2">
        <v>5.3996496843378601E-3</v>
      </c>
    </row>
    <row r="9268" spans="1:6" x14ac:dyDescent="0.25">
      <c r="A9268" s="1" t="str">
        <f t="shared" si="330"/>
        <v>19300</v>
      </c>
      <c r="B9268" s="1" t="str">
        <f>"36580"</f>
        <v>36580</v>
      </c>
      <c r="C9268" s="2">
        <v>2.78026221824711E-2</v>
      </c>
      <c r="D9268" s="2">
        <v>2.47553734214267E-2</v>
      </c>
      <c r="E9268" s="2">
        <v>2.6524148851939801E-2</v>
      </c>
      <c r="F9268" s="2">
        <v>2.7552704865355201E-2</v>
      </c>
    </row>
    <row r="9269" spans="1:6" x14ac:dyDescent="0.25">
      <c r="A9269" s="1" t="str">
        <f t="shared" si="330"/>
        <v>19300</v>
      </c>
      <c r="B9269" s="1" t="str">
        <f>"36561"</f>
        <v>36561</v>
      </c>
      <c r="C9269" s="2">
        <v>0.112056354043166</v>
      </c>
      <c r="D9269" s="2">
        <v>8.7061972066571805E-2</v>
      </c>
      <c r="E9269" s="2">
        <v>0.10728424386381601</v>
      </c>
      <c r="F9269" s="2">
        <v>0.110097407916125</v>
      </c>
    </row>
    <row r="9270" spans="1:6" x14ac:dyDescent="0.25">
      <c r="A9270" s="1" t="str">
        <f t="shared" si="330"/>
        <v>19300</v>
      </c>
      <c r="B9270" s="1" t="str">
        <f>"36579"</f>
        <v>36579</v>
      </c>
      <c r="C9270" s="2">
        <v>5.9487904819352198E-3</v>
      </c>
      <c r="D9270" s="2">
        <v>2.0908254578907702E-3</v>
      </c>
      <c r="E9270" s="2">
        <v>4.3547110055423503E-3</v>
      </c>
      <c r="F9270" s="2">
        <v>5.6327734163337797E-3</v>
      </c>
    </row>
    <row r="9271" spans="1:6" x14ac:dyDescent="0.25">
      <c r="A9271" s="1" t="str">
        <f t="shared" si="330"/>
        <v>19300</v>
      </c>
      <c r="B9271" s="1" t="str">
        <f>"36532"</f>
        <v>36532</v>
      </c>
      <c r="C9271" s="2">
        <v>0.11957900867358601</v>
      </c>
      <c r="D9271" s="2">
        <v>0.12837668311449299</v>
      </c>
      <c r="E9271" s="2">
        <v>0.14726840855106799</v>
      </c>
      <c r="F9271" s="2">
        <v>0.120682485477021</v>
      </c>
    </row>
    <row r="9272" spans="1:6" x14ac:dyDescent="0.25">
      <c r="A9272" s="1" t="str">
        <f t="shared" si="330"/>
        <v>19300</v>
      </c>
      <c r="B9272" s="1" t="str">
        <f>"36542"</f>
        <v>36542</v>
      </c>
      <c r="C9272" s="2">
        <v>0.104415832934667</v>
      </c>
      <c r="D9272" s="2">
        <v>6.3226561846616999E-2</v>
      </c>
      <c r="E9272" s="2">
        <v>0.12193190815518599</v>
      </c>
      <c r="F9272" s="2">
        <v>0.10159154201897699</v>
      </c>
    </row>
    <row r="9273" spans="1:6" x14ac:dyDescent="0.25">
      <c r="A9273" s="1" t="str">
        <f t="shared" si="330"/>
        <v>19300</v>
      </c>
      <c r="B9273" s="1" t="str">
        <f>"36547"</f>
        <v>36547</v>
      </c>
      <c r="C9273" s="2">
        <v>5.1292717931651299E-2</v>
      </c>
      <c r="D9273" s="2">
        <v>5.20197373923224E-2</v>
      </c>
      <c r="E9273" s="2">
        <v>7.9176563737133805E-4</v>
      </c>
      <c r="F9273" s="2">
        <v>5.0543745353276902E-2</v>
      </c>
    </row>
    <row r="9274" spans="1:6" x14ac:dyDescent="0.25">
      <c r="A9274" s="1" t="str">
        <f t="shared" si="330"/>
        <v>19300</v>
      </c>
      <c r="B9274" s="1" t="str">
        <f>"36564"</f>
        <v>36564</v>
      </c>
      <c r="C9274" s="2">
        <v>7.9386539648203195E-3</v>
      </c>
      <c r="D9274" s="2">
        <v>7.6942376850380502E-3</v>
      </c>
      <c r="E9274" s="2">
        <v>3.9588281868566902E-4</v>
      </c>
      <c r="F9274" s="2">
        <v>7.8001940597552796E-3</v>
      </c>
    </row>
    <row r="9275" spans="1:6" x14ac:dyDescent="0.25">
      <c r="A9275" s="1" t="str">
        <f t="shared" si="330"/>
        <v>19300</v>
      </c>
      <c r="B9275" s="1" t="str">
        <f>"36559"</f>
        <v>36559</v>
      </c>
      <c r="C9275" s="2">
        <v>5.7477241369747103E-3</v>
      </c>
      <c r="D9275" s="2">
        <v>1.02032282345069E-2</v>
      </c>
      <c r="E9275" s="2">
        <v>3.9588281868566902E-4</v>
      </c>
      <c r="F9275" s="2">
        <v>5.9982106178408899E-3</v>
      </c>
    </row>
    <row r="9276" spans="1:6" x14ac:dyDescent="0.25">
      <c r="A9276" s="1" t="str">
        <f t="shared" si="330"/>
        <v>19300</v>
      </c>
      <c r="B9276" s="1" t="str">
        <f>"36535"</f>
        <v>36535</v>
      </c>
      <c r="C9276" s="2">
        <v>0.122102737968952</v>
      </c>
      <c r="D9276" s="2">
        <v>0.15656101028686101</v>
      </c>
      <c r="E9276" s="2">
        <v>0.14806017418844</v>
      </c>
      <c r="F9276" s="2">
        <v>0.125111836384943</v>
      </c>
    </row>
    <row r="9277" spans="1:6" x14ac:dyDescent="0.25">
      <c r="A9277" s="1" t="str">
        <f t="shared" si="330"/>
        <v>19300</v>
      </c>
      <c r="B9277" s="1" t="str">
        <f>"36574"</f>
        <v>36574</v>
      </c>
      <c r="C9277" s="2">
        <v>5.9626571264152599E-3</v>
      </c>
      <c r="D9277" s="2">
        <v>2.0071924395751398E-3</v>
      </c>
      <c r="E9277" s="2">
        <v>6.7300079176563698E-3</v>
      </c>
      <c r="F9277" s="2">
        <v>5.6768779061708401E-3</v>
      </c>
    </row>
    <row r="9278" spans="1:6" x14ac:dyDescent="0.25">
      <c r="A9278" s="1" t="str">
        <f t="shared" ref="A9278:A9309" si="331">"19340"</f>
        <v>19340</v>
      </c>
      <c r="B9278" s="1" t="str">
        <f>"61466"</f>
        <v>61466</v>
      </c>
      <c r="C9278" s="2">
        <v>7.6074350708076597E-4</v>
      </c>
      <c r="D9278" s="2">
        <v>6.34880325058726E-5</v>
      </c>
      <c r="E9278" s="2">
        <v>1.5114873035066499E-4</v>
      </c>
      <c r="F9278" s="2">
        <v>6.8935680632877005E-4</v>
      </c>
    </row>
    <row r="9279" spans="1:6" x14ac:dyDescent="0.25">
      <c r="A9279" s="1" t="str">
        <f t="shared" si="331"/>
        <v>19340</v>
      </c>
      <c r="B9279" s="1" t="str">
        <f>"61260"</f>
        <v>61260</v>
      </c>
      <c r="C9279" s="2">
        <v>2.23435155925819E-3</v>
      </c>
      <c r="D9279" s="2">
        <v>4.4441622754110802E-4</v>
      </c>
      <c r="E9279" s="2">
        <v>0</v>
      </c>
      <c r="F9279" s="2">
        <v>2.0300369400164399E-3</v>
      </c>
    </row>
    <row r="9280" spans="1:6" x14ac:dyDescent="0.25">
      <c r="A9280" s="1" t="str">
        <f t="shared" si="331"/>
        <v>19340</v>
      </c>
      <c r="B9280" s="1" t="str">
        <f>"61412"</f>
        <v>61412</v>
      </c>
      <c r="C9280" s="2">
        <v>1.56404609148073E-3</v>
      </c>
      <c r="D9280" s="2">
        <v>3.1744016252936301E-4</v>
      </c>
      <c r="E9280" s="2">
        <v>0</v>
      </c>
      <c r="F9280" s="2">
        <v>1.4215012764986299E-3</v>
      </c>
    </row>
    <row r="9281" spans="1:6" x14ac:dyDescent="0.25">
      <c r="A9281" s="1" t="str">
        <f t="shared" si="331"/>
        <v>19340</v>
      </c>
      <c r="B9281" s="1" t="str">
        <f>"61238"</f>
        <v>61238</v>
      </c>
      <c r="C9281" s="2">
        <v>7.5542362241586601E-3</v>
      </c>
      <c r="D9281" s="2">
        <v>8.4439083232810599E-3</v>
      </c>
      <c r="E9281" s="2">
        <v>3.6275695284159601E-3</v>
      </c>
      <c r="F9281" s="2">
        <v>7.4973495419342799E-3</v>
      </c>
    </row>
    <row r="9282" spans="1:6" x14ac:dyDescent="0.25">
      <c r="A9282" s="1" t="str">
        <f t="shared" si="331"/>
        <v>19340</v>
      </c>
      <c r="B9282" s="1" t="str">
        <f>"61241"</f>
        <v>61241</v>
      </c>
      <c r="C9282" s="2">
        <v>1.9311181333588601E-2</v>
      </c>
      <c r="D9282" s="2">
        <v>1.2126214208621601E-2</v>
      </c>
      <c r="E9282" s="2">
        <v>6.6505441354292602E-3</v>
      </c>
      <c r="F9282" s="2">
        <v>1.8374924527315099E-2</v>
      </c>
    </row>
    <row r="9283" spans="1:6" x14ac:dyDescent="0.25">
      <c r="A9283" s="1" t="str">
        <f t="shared" si="331"/>
        <v>19340</v>
      </c>
      <c r="B9283" s="1" t="str">
        <f>"61239"</f>
        <v>61239</v>
      </c>
      <c r="C9283" s="2">
        <v>2.8461382957217399E-3</v>
      </c>
      <c r="D9283" s="2">
        <v>1.07929655259983E-3</v>
      </c>
      <c r="E9283" s="2">
        <v>2.4183796856106399E-3</v>
      </c>
      <c r="F9283" s="2">
        <v>2.70037700686028E-3</v>
      </c>
    </row>
    <row r="9284" spans="1:6" x14ac:dyDescent="0.25">
      <c r="A9284" s="1" t="str">
        <f t="shared" si="331"/>
        <v>19340</v>
      </c>
      <c r="B9284" s="1" t="str">
        <f>"52726"</f>
        <v>52726</v>
      </c>
      <c r="C9284" s="2">
        <v>9.0597635843254892E-3</v>
      </c>
      <c r="D9284" s="2">
        <v>2.6030093327407701E-3</v>
      </c>
      <c r="E9284" s="2">
        <v>2.11608222490931E-3</v>
      </c>
      <c r="F9284" s="2">
        <v>8.3578570036274401E-3</v>
      </c>
    </row>
    <row r="9285" spans="1:6" x14ac:dyDescent="0.25">
      <c r="A9285" s="1" t="str">
        <f t="shared" si="331"/>
        <v>19340</v>
      </c>
      <c r="B9285" s="1" t="str">
        <f>"52756"</f>
        <v>52756</v>
      </c>
      <c r="C9285" s="2">
        <v>4.9474927383574303E-3</v>
      </c>
      <c r="D9285" s="2">
        <v>1.0158085200939601E-3</v>
      </c>
      <c r="E9285" s="2">
        <v>6.0459492140265997E-4</v>
      </c>
      <c r="F9285" s="2">
        <v>4.5164756276712499E-3</v>
      </c>
    </row>
    <row r="9286" spans="1:6" x14ac:dyDescent="0.25">
      <c r="A9286" s="1" t="str">
        <f t="shared" si="331"/>
        <v>19340</v>
      </c>
      <c r="B9286" s="1" t="str">
        <f>"52769"</f>
        <v>52769</v>
      </c>
      <c r="C9286" s="2">
        <v>5.0006915850064296E-4</v>
      </c>
      <c r="D9286" s="2">
        <v>3.1744016252936301E-4</v>
      </c>
      <c r="E9286" s="2">
        <v>0</v>
      </c>
      <c r="F9286" s="2">
        <v>4.7066430225205702E-4</v>
      </c>
    </row>
    <row r="9287" spans="1:6" x14ac:dyDescent="0.25">
      <c r="A9287" s="1" t="str">
        <f t="shared" si="331"/>
        <v>19340</v>
      </c>
      <c r="B9287" s="1" t="str">
        <f>"61465"</f>
        <v>61465</v>
      </c>
      <c r="C9287" s="2">
        <v>3.0589336823177598E-3</v>
      </c>
      <c r="D9287" s="2">
        <v>1.4602247476350699E-3</v>
      </c>
      <c r="E9287" s="2">
        <v>1.96493349455864E-3</v>
      </c>
      <c r="F9287" s="2">
        <v>2.9048069563232999E-3</v>
      </c>
    </row>
    <row r="9288" spans="1:6" x14ac:dyDescent="0.25">
      <c r="A9288" s="1" t="str">
        <f t="shared" si="331"/>
        <v>19340</v>
      </c>
      <c r="B9288" s="1" t="str">
        <f>"52808"</f>
        <v>52808</v>
      </c>
      <c r="C9288" s="2">
        <v>7.1871641822805199E-3</v>
      </c>
      <c r="D9288" s="2">
        <v>1.3967367151291901E-2</v>
      </c>
      <c r="E9288" s="2">
        <v>3.0229746070132999E-4</v>
      </c>
      <c r="F9288" s="2">
        <v>7.4783328024493499E-3</v>
      </c>
    </row>
    <row r="9289" spans="1:6" x14ac:dyDescent="0.25">
      <c r="A9289" s="1" t="str">
        <f t="shared" si="331"/>
        <v>19340</v>
      </c>
      <c r="B9289" s="1" t="str">
        <f>"61244"</f>
        <v>61244</v>
      </c>
      <c r="C9289" s="2">
        <v>6.0114696713375201E-2</v>
      </c>
      <c r="D9289" s="2">
        <v>5.02190337121452E-2</v>
      </c>
      <c r="E9289" s="2">
        <v>5.7134220072551298E-2</v>
      </c>
      <c r="F9289" s="2">
        <v>5.9279931159402999E-2</v>
      </c>
    </row>
    <row r="9290" spans="1:6" x14ac:dyDescent="0.25">
      <c r="A9290" s="1" t="str">
        <f t="shared" si="331"/>
        <v>19340</v>
      </c>
      <c r="B9290" s="1" t="str">
        <f>"61254"</f>
        <v>61254</v>
      </c>
      <c r="C9290" s="2">
        <v>2.8126230223328701E-2</v>
      </c>
      <c r="D9290" s="2">
        <v>2.91410069201955E-2</v>
      </c>
      <c r="E9290" s="2">
        <v>1.9195888754534401E-2</v>
      </c>
      <c r="F9290" s="2">
        <v>2.79213277487508E-2</v>
      </c>
    </row>
    <row r="9291" spans="1:6" x14ac:dyDescent="0.25">
      <c r="A9291" s="1" t="str">
        <f t="shared" si="331"/>
        <v>19340</v>
      </c>
      <c r="B9291" s="1" t="str">
        <f>"52801"</f>
        <v>52801</v>
      </c>
      <c r="C9291" s="2">
        <v>6.6711353697851798E-3</v>
      </c>
      <c r="D9291" s="2">
        <v>2.3998476287219801E-2</v>
      </c>
      <c r="E9291" s="2">
        <v>2.3579201934703701E-2</v>
      </c>
      <c r="F9291" s="2">
        <v>8.5004825497644303E-3</v>
      </c>
    </row>
    <row r="9292" spans="1:6" x14ac:dyDescent="0.25">
      <c r="A9292" s="1" t="str">
        <f t="shared" si="331"/>
        <v>19340</v>
      </c>
      <c r="B9292" s="1" t="str">
        <f>"61278"</f>
        <v>61278</v>
      </c>
      <c r="C9292" s="2">
        <v>0</v>
      </c>
      <c r="D9292" s="2">
        <v>0</v>
      </c>
      <c r="E9292" s="2">
        <v>1.5114873035066499E-4</v>
      </c>
      <c r="F9292" s="2">
        <v>4.7541848712329002E-6</v>
      </c>
    </row>
    <row r="9293" spans="1:6" x14ac:dyDescent="0.25">
      <c r="A9293" s="1" t="str">
        <f t="shared" si="331"/>
        <v>19340</v>
      </c>
      <c r="B9293" s="1" t="str">
        <f>"61468"</f>
        <v>61468</v>
      </c>
      <c r="C9293" s="2">
        <v>2.3407492525562E-4</v>
      </c>
      <c r="D9293" s="2">
        <v>1.2697606501174501E-4</v>
      </c>
      <c r="E9293" s="2">
        <v>0</v>
      </c>
      <c r="F9293" s="2">
        <v>2.18692504076713E-4</v>
      </c>
    </row>
    <row r="9294" spans="1:6" x14ac:dyDescent="0.25">
      <c r="A9294" s="1" t="str">
        <f t="shared" si="331"/>
        <v>19340</v>
      </c>
      <c r="B9294" s="1" t="str">
        <f>"61257"</f>
        <v>61257</v>
      </c>
      <c r="C9294" s="2">
        <v>3.0216944896634601E-3</v>
      </c>
      <c r="D9294" s="2">
        <v>1.0158085200939601E-3</v>
      </c>
      <c r="E9294" s="2">
        <v>1.81378476420798E-3</v>
      </c>
      <c r="F9294" s="2">
        <v>2.83349418325481E-3</v>
      </c>
    </row>
    <row r="9295" spans="1:6" x14ac:dyDescent="0.25">
      <c r="A9295" s="1" t="str">
        <f t="shared" si="331"/>
        <v>19340</v>
      </c>
      <c r="B9295" s="1" t="str">
        <f>"52748"</f>
        <v>52748</v>
      </c>
      <c r="C9295" s="2">
        <v>2.1923244704054799E-2</v>
      </c>
      <c r="D9295" s="2">
        <v>1.7903625166656001E-2</v>
      </c>
      <c r="E9295" s="2">
        <v>2.3125755743651701E-2</v>
      </c>
      <c r="F9295" s="2">
        <v>2.1660066273337102E-2</v>
      </c>
    </row>
    <row r="9296" spans="1:6" x14ac:dyDescent="0.25">
      <c r="A9296" s="1" t="str">
        <f t="shared" si="331"/>
        <v>19340</v>
      </c>
      <c r="B9296" s="1" t="str">
        <f>"52802"</f>
        <v>52802</v>
      </c>
      <c r="C9296" s="2">
        <v>2.47640631151116E-2</v>
      </c>
      <c r="D9296" s="2">
        <v>3.2315408545489102E-2</v>
      </c>
      <c r="E9296" s="2">
        <v>3.5671100362756898E-2</v>
      </c>
      <c r="F9296" s="2">
        <v>2.5672598304657599E-2</v>
      </c>
    </row>
    <row r="9297" spans="1:6" x14ac:dyDescent="0.25">
      <c r="A9297" s="1" t="str">
        <f t="shared" si="331"/>
        <v>19340</v>
      </c>
      <c r="B9297" s="1" t="str">
        <f>"61201"</f>
        <v>61201</v>
      </c>
      <c r="C9297" s="2">
        <v>9.4018321682785899E-2</v>
      </c>
      <c r="D9297" s="2">
        <v>9.3708335978667998E-2</v>
      </c>
      <c r="E9297" s="2">
        <v>0.112152357920193</v>
      </c>
      <c r="F9297" s="2">
        <v>9.4565491273693597E-2</v>
      </c>
    </row>
    <row r="9298" spans="1:6" x14ac:dyDescent="0.25">
      <c r="A9298" s="1" t="str">
        <f t="shared" si="331"/>
        <v>19340</v>
      </c>
      <c r="B9298" s="1" t="str">
        <f>"61236"</f>
        <v>61236</v>
      </c>
      <c r="C9298" s="2">
        <v>0</v>
      </c>
      <c r="D9298" s="2">
        <v>0</v>
      </c>
      <c r="E9298" s="2">
        <v>1.5114873035066499E-4</v>
      </c>
      <c r="F9298" s="2">
        <v>4.7541848712329002E-6</v>
      </c>
    </row>
    <row r="9299" spans="1:6" x14ac:dyDescent="0.25">
      <c r="A9299" s="1" t="str">
        <f t="shared" si="331"/>
        <v>19340</v>
      </c>
      <c r="B9299" s="1" t="str">
        <f>"61476"</f>
        <v>61476</v>
      </c>
      <c r="C9299" s="2">
        <v>1.1863342802728E-3</v>
      </c>
      <c r="D9299" s="2">
        <v>3.8092819503523497E-4</v>
      </c>
      <c r="E9299" s="2">
        <v>3.0229746070132999E-4</v>
      </c>
      <c r="F9299" s="2">
        <v>1.0982167052548E-3</v>
      </c>
    </row>
    <row r="9300" spans="1:6" x14ac:dyDescent="0.25">
      <c r="A9300" s="1" t="str">
        <f t="shared" si="331"/>
        <v>19340</v>
      </c>
      <c r="B9300" s="1" t="str">
        <f>"61266"</f>
        <v>61266</v>
      </c>
      <c r="C9300" s="2">
        <v>4.7027780437720098E-3</v>
      </c>
      <c r="D9300" s="2">
        <v>1.75861850041267E-2</v>
      </c>
      <c r="E9300" s="2">
        <v>3.0229746070132999E-4</v>
      </c>
      <c r="F9300" s="2">
        <v>5.5291170052438601E-3</v>
      </c>
    </row>
    <row r="9301" spans="1:6" x14ac:dyDescent="0.25">
      <c r="A9301" s="1" t="str">
        <f t="shared" si="331"/>
        <v>19340</v>
      </c>
      <c r="B9301" s="1" t="str">
        <f>"52803"</f>
        <v>52803</v>
      </c>
      <c r="C9301" s="2">
        <v>5.6247140561992599E-2</v>
      </c>
      <c r="D9301" s="2">
        <v>4.12672211288172E-2</v>
      </c>
      <c r="E9301" s="2">
        <v>0.116384522370012</v>
      </c>
      <c r="F9301" s="2">
        <v>5.7016939160696202E-2</v>
      </c>
    </row>
    <row r="9302" spans="1:6" x14ac:dyDescent="0.25">
      <c r="A9302" s="1" t="str">
        <f t="shared" si="331"/>
        <v>19340</v>
      </c>
      <c r="B9302" s="1" t="str">
        <f>"52806"</f>
        <v>52806</v>
      </c>
      <c r="C9302" s="2">
        <v>6.7402938704288803E-2</v>
      </c>
      <c r="D9302" s="2">
        <v>7.1551012634118394E-2</v>
      </c>
      <c r="E9302" s="2">
        <v>8.3585247883917704E-2</v>
      </c>
      <c r="F9302" s="2">
        <v>6.8222552902192105E-2</v>
      </c>
    </row>
    <row r="9303" spans="1:6" x14ac:dyDescent="0.25">
      <c r="A9303" s="1" t="str">
        <f t="shared" si="331"/>
        <v>19340</v>
      </c>
      <c r="B9303" s="1" t="str">
        <f>"52745"</f>
        <v>52745</v>
      </c>
      <c r="C9303" s="2">
        <v>1.59064551480523E-3</v>
      </c>
      <c r="D9303" s="2">
        <v>1.2697606501174501E-4</v>
      </c>
      <c r="E9303" s="2">
        <v>3.0229746070132999E-4</v>
      </c>
      <c r="F9303" s="2">
        <v>1.44051801598356E-3</v>
      </c>
    </row>
    <row r="9304" spans="1:6" x14ac:dyDescent="0.25">
      <c r="A9304" s="1" t="str">
        <f t="shared" si="331"/>
        <v>19340</v>
      </c>
      <c r="B9304" s="1" t="str">
        <f>"61232"</f>
        <v>61232</v>
      </c>
      <c r="C9304" s="2">
        <v>3.4366454935256998E-3</v>
      </c>
      <c r="D9304" s="2">
        <v>5.0790426004698101E-4</v>
      </c>
      <c r="E9304" s="2">
        <v>4.5344619105199501E-4</v>
      </c>
      <c r="F9304" s="2">
        <v>3.1234994604000099E-3</v>
      </c>
    </row>
    <row r="9305" spans="1:6" x14ac:dyDescent="0.25">
      <c r="A9305" s="1" t="str">
        <f t="shared" si="331"/>
        <v>19340</v>
      </c>
      <c r="B9305" s="1" t="str">
        <f>"52809"</f>
        <v>52809</v>
      </c>
      <c r="C9305" s="2">
        <v>2.7982593337376399E-3</v>
      </c>
      <c r="D9305" s="2">
        <v>1.5808520093962199E-2</v>
      </c>
      <c r="E9305" s="2">
        <v>3.0229746070132999E-4</v>
      </c>
      <c r="F9305" s="2">
        <v>3.6940016449479602E-3</v>
      </c>
    </row>
    <row r="9306" spans="1:6" x14ac:dyDescent="0.25">
      <c r="A9306" s="1" t="str">
        <f t="shared" si="331"/>
        <v>19340</v>
      </c>
      <c r="B9306" s="1" t="str">
        <f>"61434"</f>
        <v>61434</v>
      </c>
      <c r="C9306" s="2">
        <v>8.5862938491493498E-3</v>
      </c>
      <c r="D9306" s="2">
        <v>1.3015046663703801E-2</v>
      </c>
      <c r="E9306" s="2">
        <v>1.0126964933494499E-2</v>
      </c>
      <c r="F9306" s="2">
        <v>8.9663926671452506E-3</v>
      </c>
    </row>
    <row r="9307" spans="1:6" x14ac:dyDescent="0.25">
      <c r="A9307" s="1" t="str">
        <f t="shared" si="331"/>
        <v>19340</v>
      </c>
      <c r="B9307" s="1" t="str">
        <f>"61273"</f>
        <v>61273</v>
      </c>
      <c r="C9307" s="2">
        <v>7.4691180695202501E-3</v>
      </c>
      <c r="D9307" s="2">
        <v>1.07929655259983E-3</v>
      </c>
      <c r="E9307" s="2">
        <v>4.8367593712212798E-3</v>
      </c>
      <c r="F9307" s="2">
        <v>6.9078306179014004E-3</v>
      </c>
    </row>
    <row r="9308" spans="1:6" x14ac:dyDescent="0.25">
      <c r="A9308" s="1" t="str">
        <f t="shared" si="331"/>
        <v>19340</v>
      </c>
      <c r="B9308" s="1" t="str">
        <f>"61242"</f>
        <v>61242</v>
      </c>
      <c r="C9308" s="2">
        <v>2.9844552970091599E-3</v>
      </c>
      <c r="D9308" s="2">
        <v>1.07929655259983E-3</v>
      </c>
      <c r="E9308" s="2">
        <v>3.0229746070132999E-4</v>
      </c>
      <c r="F9308" s="2">
        <v>2.7574272253150802E-3</v>
      </c>
    </row>
    <row r="9309" spans="1:6" x14ac:dyDescent="0.25">
      <c r="A9309" s="1" t="str">
        <f t="shared" si="331"/>
        <v>19340</v>
      </c>
      <c r="B9309" s="1" t="str">
        <f>"61259"</f>
        <v>61259</v>
      </c>
      <c r="C9309" s="2">
        <v>3.0270143743283602E-3</v>
      </c>
      <c r="D9309" s="2">
        <v>8.2534442257634402E-4</v>
      </c>
      <c r="E9309" s="2">
        <v>0</v>
      </c>
      <c r="F9309" s="2">
        <v>2.76693559505754E-3</v>
      </c>
    </row>
    <row r="9310" spans="1:6" x14ac:dyDescent="0.25">
      <c r="A9310" s="1" t="str">
        <f t="shared" ref="A9310:A9341" si="332">"19340"</f>
        <v>19340</v>
      </c>
      <c r="B9310" s="1" t="str">
        <f>"61283"</f>
        <v>61283</v>
      </c>
      <c r="C9310" s="2">
        <v>1.5959653994701301E-5</v>
      </c>
      <c r="D9310" s="2">
        <v>6.34880325058726E-5</v>
      </c>
      <c r="E9310" s="2">
        <v>0</v>
      </c>
      <c r="F9310" s="2">
        <v>1.9016739484931601E-5</v>
      </c>
    </row>
    <row r="9311" spans="1:6" x14ac:dyDescent="0.25">
      <c r="A9311" s="1" t="str">
        <f t="shared" si="332"/>
        <v>19340</v>
      </c>
      <c r="B9311" s="1" t="str">
        <f>"61276"</f>
        <v>61276</v>
      </c>
      <c r="C9311" s="2">
        <v>0</v>
      </c>
      <c r="D9311" s="2">
        <v>0</v>
      </c>
      <c r="E9311" s="2">
        <v>1.5114873035066499E-4</v>
      </c>
      <c r="F9311" s="2">
        <v>4.7541848712329002E-6</v>
      </c>
    </row>
    <row r="9312" spans="1:6" x14ac:dyDescent="0.25">
      <c r="A9312" s="1" t="str">
        <f t="shared" si="332"/>
        <v>19340</v>
      </c>
      <c r="B9312" s="1" t="str">
        <f>"61472"</f>
        <v>61472</v>
      </c>
      <c r="C9312" s="2">
        <v>4.2559077319203703E-5</v>
      </c>
      <c r="D9312" s="2">
        <v>0</v>
      </c>
      <c r="E9312" s="2">
        <v>0</v>
      </c>
      <c r="F9312" s="2">
        <v>3.8033478969863202E-5</v>
      </c>
    </row>
    <row r="9313" spans="1:6" x14ac:dyDescent="0.25">
      <c r="A9313" s="1" t="str">
        <f t="shared" si="332"/>
        <v>19340</v>
      </c>
      <c r="B9313" s="1" t="str">
        <f>"61263"</f>
        <v>61263</v>
      </c>
      <c r="C9313" s="2">
        <v>1.39912966686882E-3</v>
      </c>
      <c r="D9313" s="2">
        <v>0</v>
      </c>
      <c r="E9313" s="2">
        <v>1.05804111245465E-3</v>
      </c>
      <c r="F9313" s="2">
        <v>1.28362991523288E-3</v>
      </c>
    </row>
    <row r="9314" spans="1:6" x14ac:dyDescent="0.25">
      <c r="A9314" s="1" t="str">
        <f t="shared" si="332"/>
        <v>19340</v>
      </c>
      <c r="B9314" s="1" t="str">
        <f>"61279"</f>
        <v>61279</v>
      </c>
      <c r="C9314" s="2">
        <v>2.0321959419919702E-3</v>
      </c>
      <c r="D9314" s="2">
        <v>5.0790426004698101E-4</v>
      </c>
      <c r="E9314" s="2">
        <v>0</v>
      </c>
      <c r="F9314" s="2">
        <v>1.85413209978083E-3</v>
      </c>
    </row>
    <row r="9315" spans="1:6" x14ac:dyDescent="0.25">
      <c r="A9315" s="1" t="str">
        <f t="shared" si="332"/>
        <v>19340</v>
      </c>
      <c r="B9315" s="1" t="str">
        <f>"61234"</f>
        <v>61234</v>
      </c>
      <c r="C9315" s="2">
        <v>3.15469160628597E-3</v>
      </c>
      <c r="D9315" s="2">
        <v>3.6823058853406102E-3</v>
      </c>
      <c r="E9315" s="2">
        <v>2.11608222490931E-3</v>
      </c>
      <c r="F9315" s="2">
        <v>3.1615329393698799E-3</v>
      </c>
    </row>
    <row r="9316" spans="1:6" x14ac:dyDescent="0.25">
      <c r="A9316" s="1" t="str">
        <f t="shared" si="332"/>
        <v>19340</v>
      </c>
      <c r="B9316" s="1" t="str">
        <f>"61442"</f>
        <v>61442</v>
      </c>
      <c r="C9316" s="2">
        <v>2.4365071765244102E-3</v>
      </c>
      <c r="D9316" s="2">
        <v>1.1427845851057E-3</v>
      </c>
      <c r="E9316" s="2">
        <v>7.5574365175332505E-4</v>
      </c>
      <c r="F9316" s="2">
        <v>2.28676292306302E-3</v>
      </c>
    </row>
    <row r="9317" spans="1:6" x14ac:dyDescent="0.25">
      <c r="A9317" s="1" t="str">
        <f t="shared" si="332"/>
        <v>19340</v>
      </c>
      <c r="B9317" s="1" t="str">
        <f>"61258"</f>
        <v>61258</v>
      </c>
      <c r="C9317" s="2">
        <v>3.8835158053773301E-4</v>
      </c>
      <c r="D9317" s="2">
        <v>4.4441622754110802E-4</v>
      </c>
      <c r="E9317" s="2">
        <v>1.5114873035066499E-4</v>
      </c>
      <c r="F9317" s="2">
        <v>3.8508897456986498E-4</v>
      </c>
    </row>
    <row r="9318" spans="1:6" x14ac:dyDescent="0.25">
      <c r="A9318" s="1" t="str">
        <f t="shared" si="332"/>
        <v>19340</v>
      </c>
      <c r="B9318" s="1" t="str">
        <f>"61344"</f>
        <v>61344</v>
      </c>
      <c r="C9318" s="2">
        <v>5.3198846649004602E-5</v>
      </c>
      <c r="D9318" s="2">
        <v>6.34880325058726E-5</v>
      </c>
      <c r="E9318" s="2">
        <v>0</v>
      </c>
      <c r="F9318" s="2">
        <v>5.2296033583561898E-5</v>
      </c>
    </row>
    <row r="9319" spans="1:6" x14ac:dyDescent="0.25">
      <c r="A9319" s="1" t="str">
        <f t="shared" si="332"/>
        <v>19340</v>
      </c>
      <c r="B9319" s="1" t="str">
        <f>"61401"</f>
        <v>61401</v>
      </c>
      <c r="C9319" s="2">
        <v>5.3198846649004602E-5</v>
      </c>
      <c r="D9319" s="2">
        <v>0</v>
      </c>
      <c r="E9319" s="2">
        <v>0</v>
      </c>
      <c r="F9319" s="2">
        <v>4.7541848712328997E-5</v>
      </c>
    </row>
    <row r="9320" spans="1:6" x14ac:dyDescent="0.25">
      <c r="A9320" s="1" t="str">
        <f t="shared" si="332"/>
        <v>19340</v>
      </c>
      <c r="B9320" s="1" t="str">
        <f>"52805"</f>
        <v>52805</v>
      </c>
      <c r="C9320" s="2">
        <v>2.2769106365773898E-3</v>
      </c>
      <c r="D9320" s="2">
        <v>5.4599707955050401E-3</v>
      </c>
      <c r="E9320" s="2">
        <v>3.0229746070132999E-4</v>
      </c>
      <c r="F9320" s="2">
        <v>2.4531593935561702E-3</v>
      </c>
    </row>
    <row r="9321" spans="1:6" x14ac:dyDescent="0.25">
      <c r="A9321" s="1" t="str">
        <f t="shared" si="332"/>
        <v>19340</v>
      </c>
      <c r="B9321" s="1" t="str">
        <f>"61419"</f>
        <v>61419</v>
      </c>
      <c r="C9321" s="2">
        <v>3.4579250321852998E-4</v>
      </c>
      <c r="D9321" s="2">
        <v>4.4441622754110802E-4</v>
      </c>
      <c r="E9321" s="2">
        <v>0</v>
      </c>
      <c r="F9321" s="2">
        <v>3.4230131072876801E-4</v>
      </c>
    </row>
    <row r="9322" spans="1:6" x14ac:dyDescent="0.25">
      <c r="A9322" s="1" t="str">
        <f t="shared" si="332"/>
        <v>19340</v>
      </c>
      <c r="B9322" s="1" t="str">
        <f>"61264"</f>
        <v>61264</v>
      </c>
      <c r="C9322" s="2">
        <v>3.4010022662708597E-2</v>
      </c>
      <c r="D9322" s="2">
        <v>4.08228049012761E-2</v>
      </c>
      <c r="E9322" s="2">
        <v>1.9649334945586398E-2</v>
      </c>
      <c r="F9322" s="2">
        <v>3.4068488787254901E-2</v>
      </c>
    </row>
    <row r="9323" spans="1:6" x14ac:dyDescent="0.25">
      <c r="A9323" s="1" t="str">
        <f t="shared" si="332"/>
        <v>19340</v>
      </c>
      <c r="B9323" s="1" t="str">
        <f>"61281"</f>
        <v>61281</v>
      </c>
      <c r="C9323" s="2">
        <v>6.11786736463553E-3</v>
      </c>
      <c r="D9323" s="2">
        <v>1.39673671512919E-3</v>
      </c>
      <c r="E9323" s="2">
        <v>3.0229746070132999E-4</v>
      </c>
      <c r="F9323" s="2">
        <v>5.5814130388274199E-3</v>
      </c>
    </row>
    <row r="9324" spans="1:6" x14ac:dyDescent="0.25">
      <c r="A9324" s="1" t="str">
        <f t="shared" si="332"/>
        <v>19340</v>
      </c>
      <c r="B9324" s="1" t="str">
        <f>"52722"</f>
        <v>52722</v>
      </c>
      <c r="C9324" s="2">
        <v>0.101152287018417</v>
      </c>
      <c r="D9324" s="2">
        <v>0.11910354898101699</v>
      </c>
      <c r="E9324" s="2">
        <v>6.9679564691656495E-2</v>
      </c>
      <c r="F9324" s="2">
        <v>0.101506601185693</v>
      </c>
    </row>
    <row r="9325" spans="1:6" x14ac:dyDescent="0.25">
      <c r="A9325" s="1" t="str">
        <f t="shared" si="332"/>
        <v>19340</v>
      </c>
      <c r="B9325" s="1" t="str">
        <f>"52753"</f>
        <v>52753</v>
      </c>
      <c r="C9325" s="2">
        <v>1.42998499792524E-2</v>
      </c>
      <c r="D9325" s="2">
        <v>8.1899561932575696E-3</v>
      </c>
      <c r="E9325" s="2">
        <v>6.1970979443772599E-3</v>
      </c>
      <c r="F9325" s="2">
        <v>1.35874603619836E-2</v>
      </c>
    </row>
    <row r="9326" spans="1:6" x14ac:dyDescent="0.25">
      <c r="A9326" s="1" t="str">
        <f t="shared" si="332"/>
        <v>19340</v>
      </c>
      <c r="B9326" s="1" t="str">
        <f>"61204"</f>
        <v>61204</v>
      </c>
      <c r="C9326" s="2">
        <v>8.9267664677029797E-3</v>
      </c>
      <c r="D9326" s="2">
        <v>2.3554060059678701E-2</v>
      </c>
      <c r="E9326" s="2">
        <v>6.0459492140265997E-4</v>
      </c>
      <c r="F9326" s="2">
        <v>9.76034154064114E-3</v>
      </c>
    </row>
    <row r="9327" spans="1:6" x14ac:dyDescent="0.25">
      <c r="A9327" s="1" t="str">
        <f t="shared" si="332"/>
        <v>19340</v>
      </c>
      <c r="B9327" s="1" t="str">
        <f>"52773"</f>
        <v>52773</v>
      </c>
      <c r="C9327" s="2">
        <v>6.1976656346090396E-3</v>
      </c>
      <c r="D9327" s="2">
        <v>3.1744016252936301E-3</v>
      </c>
      <c r="E9327" s="2">
        <v>3.1741233373639602E-3</v>
      </c>
      <c r="F9327" s="2">
        <v>5.8761725008438601E-3</v>
      </c>
    </row>
    <row r="9328" spans="1:6" x14ac:dyDescent="0.25">
      <c r="A9328" s="1" t="str">
        <f t="shared" si="332"/>
        <v>19340</v>
      </c>
      <c r="B9328" s="1" t="str">
        <f>"52765"</f>
        <v>52765</v>
      </c>
      <c r="C9328" s="2">
        <v>8.6714120037877497E-4</v>
      </c>
      <c r="D9328" s="2">
        <v>1.90464097517617E-4</v>
      </c>
      <c r="E9328" s="2">
        <v>0</v>
      </c>
      <c r="F9328" s="2">
        <v>7.8919468862466099E-4</v>
      </c>
    </row>
    <row r="9329" spans="1:6" x14ac:dyDescent="0.25">
      <c r="A9329" s="1" t="str">
        <f t="shared" si="332"/>
        <v>19340</v>
      </c>
      <c r="B9329" s="1" t="str">
        <f>"52746"</f>
        <v>52746</v>
      </c>
      <c r="C9329" s="2">
        <v>2.2130720205985901E-3</v>
      </c>
      <c r="D9329" s="2">
        <v>7.6185639007047103E-4</v>
      </c>
      <c r="E9329" s="2">
        <v>0</v>
      </c>
      <c r="F9329" s="2">
        <v>2.0347911248876798E-3</v>
      </c>
    </row>
    <row r="9330" spans="1:6" x14ac:dyDescent="0.25">
      <c r="A9330" s="1" t="str">
        <f t="shared" si="332"/>
        <v>19340</v>
      </c>
      <c r="B9330" s="1" t="str">
        <f>"61250"</f>
        <v>61250</v>
      </c>
      <c r="C9330" s="2">
        <v>1.1703746262781E-4</v>
      </c>
      <c r="D9330" s="2">
        <v>0</v>
      </c>
      <c r="E9330" s="2">
        <v>0</v>
      </c>
      <c r="F9330" s="2">
        <v>1.04592067167123E-4</v>
      </c>
    </row>
    <row r="9331" spans="1:6" x14ac:dyDescent="0.25">
      <c r="A9331" s="1" t="str">
        <f t="shared" si="332"/>
        <v>19340</v>
      </c>
      <c r="B9331" s="1" t="str">
        <f>"61414"</f>
        <v>61414</v>
      </c>
      <c r="C9331" s="2">
        <v>2.0747550193111799E-4</v>
      </c>
      <c r="D9331" s="2">
        <v>6.34880325058726E-5</v>
      </c>
      <c r="E9331" s="2">
        <v>0</v>
      </c>
      <c r="F9331" s="2">
        <v>1.9016739484931599E-4</v>
      </c>
    </row>
    <row r="9332" spans="1:6" x14ac:dyDescent="0.25">
      <c r="A9332" s="1" t="str">
        <f t="shared" si="332"/>
        <v>19340</v>
      </c>
      <c r="B9332" s="1" t="str">
        <f>"61233"</f>
        <v>61233</v>
      </c>
      <c r="C9332" s="2">
        <v>0</v>
      </c>
      <c r="D9332" s="2">
        <v>0</v>
      </c>
      <c r="E9332" s="2">
        <v>1.5114873035066499E-4</v>
      </c>
      <c r="F9332" s="2">
        <v>4.7541848712329002E-6</v>
      </c>
    </row>
    <row r="9333" spans="1:6" x14ac:dyDescent="0.25">
      <c r="A9333" s="1" t="str">
        <f t="shared" si="332"/>
        <v>19340</v>
      </c>
      <c r="B9333" s="1" t="str">
        <f>"52767"</f>
        <v>52767</v>
      </c>
      <c r="C9333" s="2">
        <v>1.4363688595231199E-4</v>
      </c>
      <c r="D9333" s="2">
        <v>0</v>
      </c>
      <c r="E9333" s="2">
        <v>1.5114873035066499E-4</v>
      </c>
      <c r="F9333" s="2">
        <v>1.3311717639452101E-4</v>
      </c>
    </row>
    <row r="9334" spans="1:6" x14ac:dyDescent="0.25">
      <c r="A9334" s="1" t="str">
        <f t="shared" si="332"/>
        <v>19340</v>
      </c>
      <c r="B9334" s="1" t="str">
        <f>"61361"</f>
        <v>61361</v>
      </c>
      <c r="C9334" s="2">
        <v>5.8518731313905102E-5</v>
      </c>
      <c r="D9334" s="2">
        <v>0</v>
      </c>
      <c r="E9334" s="2">
        <v>0</v>
      </c>
      <c r="F9334" s="2">
        <v>5.2296033583561898E-5</v>
      </c>
    </row>
    <row r="9335" spans="1:6" x14ac:dyDescent="0.25">
      <c r="A9335" s="1" t="str">
        <f t="shared" si="332"/>
        <v>19340</v>
      </c>
      <c r="B9335" s="1" t="str">
        <f>"61299"</f>
        <v>61299</v>
      </c>
      <c r="C9335" s="2">
        <v>0</v>
      </c>
      <c r="D9335" s="2">
        <v>6.34880325058726E-5</v>
      </c>
      <c r="E9335" s="2">
        <v>0</v>
      </c>
      <c r="F9335" s="2">
        <v>4.7541848712329002E-6</v>
      </c>
    </row>
    <row r="9336" spans="1:6" x14ac:dyDescent="0.25">
      <c r="A9336" s="1" t="str">
        <f t="shared" si="332"/>
        <v>19340</v>
      </c>
      <c r="B9336" s="1" t="str">
        <f>"61490"</f>
        <v>61490</v>
      </c>
      <c r="C9336" s="2">
        <v>2.9259365656952498E-3</v>
      </c>
      <c r="D9336" s="2">
        <v>1.9681290076820502E-3</v>
      </c>
      <c r="E9336" s="2">
        <v>3.3252720677146301E-3</v>
      </c>
      <c r="F9336" s="2">
        <v>2.8667734773534402E-3</v>
      </c>
    </row>
    <row r="9337" spans="1:6" x14ac:dyDescent="0.25">
      <c r="A9337" s="1" t="str">
        <f t="shared" si="332"/>
        <v>19340</v>
      </c>
      <c r="B9337" s="1" t="str">
        <f>"61413"</f>
        <v>61413</v>
      </c>
      <c r="C9337" s="2">
        <v>2.7344207177588298E-3</v>
      </c>
      <c r="D9337" s="2">
        <v>1.71417687765856E-3</v>
      </c>
      <c r="E9337" s="2">
        <v>1.6626360338573101E-3</v>
      </c>
      <c r="F9337" s="2">
        <v>2.6243100489205598E-3</v>
      </c>
    </row>
    <row r="9338" spans="1:6" x14ac:dyDescent="0.25">
      <c r="A9338" s="1" t="str">
        <f t="shared" si="332"/>
        <v>19340</v>
      </c>
      <c r="B9338" s="1" t="str">
        <f>"61265"</f>
        <v>61265</v>
      </c>
      <c r="C9338" s="2">
        <v>0.113153946822432</v>
      </c>
      <c r="D9338" s="2">
        <v>0.14424480985334201</v>
      </c>
      <c r="E9338" s="2">
        <v>0.127720677146311</v>
      </c>
      <c r="F9338" s="2">
        <v>0.115940306454756</v>
      </c>
    </row>
    <row r="9339" spans="1:6" x14ac:dyDescent="0.25">
      <c r="A9339" s="1" t="str">
        <f t="shared" si="332"/>
        <v>19340</v>
      </c>
      <c r="B9339" s="1" t="str">
        <f>"61240"</f>
        <v>61240</v>
      </c>
      <c r="C9339" s="2">
        <v>1.47839594837583E-2</v>
      </c>
      <c r="D9339" s="2">
        <v>6.6662434131166204E-3</v>
      </c>
      <c r="E9339" s="2">
        <v>1.6626360338573101E-3</v>
      </c>
      <c r="F9339" s="2">
        <v>1.3763365202219199E-2</v>
      </c>
    </row>
    <row r="9340" spans="1:6" x14ac:dyDescent="0.25">
      <c r="A9340" s="1" t="str">
        <f t="shared" si="332"/>
        <v>19340</v>
      </c>
      <c r="B9340" s="1" t="str">
        <f>"61284"</f>
        <v>61284</v>
      </c>
      <c r="C9340" s="2">
        <v>5.44224201219317E-3</v>
      </c>
      <c r="D9340" s="2">
        <v>1.7776649101644299E-3</v>
      </c>
      <c r="E9340" s="2">
        <v>9.0689238210399001E-4</v>
      </c>
      <c r="F9340" s="2">
        <v>5.0251734088931702E-3</v>
      </c>
    </row>
    <row r="9341" spans="1:6" x14ac:dyDescent="0.25">
      <c r="A9341" s="1" t="str">
        <f t="shared" si="332"/>
        <v>19340</v>
      </c>
      <c r="B9341" s="1" t="str">
        <f>"61262"</f>
        <v>61262</v>
      </c>
      <c r="C9341" s="2">
        <v>1.8779192867098601E-3</v>
      </c>
      <c r="D9341" s="2">
        <v>2.5395213002349002E-4</v>
      </c>
      <c r="E9341" s="2">
        <v>0</v>
      </c>
      <c r="F9341" s="2">
        <v>1.6972439990301401E-3</v>
      </c>
    </row>
    <row r="9342" spans="1:6" x14ac:dyDescent="0.25">
      <c r="A9342" s="1" t="str">
        <f t="shared" ref="A9342:A9358" si="333">"19340"</f>
        <v>19340</v>
      </c>
      <c r="B9342" s="1" t="str">
        <f>"52804"</f>
        <v>52804</v>
      </c>
      <c r="C9342" s="2">
        <v>6.4248247098002906E-2</v>
      </c>
      <c r="D9342" s="2">
        <v>2.4188940384737401E-2</v>
      </c>
      <c r="E9342" s="2">
        <v>5.8192261185005999E-2</v>
      </c>
      <c r="F9342" s="2">
        <v>6.1057996301244102E-2</v>
      </c>
    </row>
    <row r="9343" spans="1:6" x14ac:dyDescent="0.25">
      <c r="A9343" s="1" t="str">
        <f t="shared" si="333"/>
        <v>19340</v>
      </c>
      <c r="B9343" s="1" t="str">
        <f>"52807"</f>
        <v>52807</v>
      </c>
      <c r="C9343" s="2">
        <v>4.1931330928745403E-2</v>
      </c>
      <c r="D9343" s="2">
        <v>7.4471462129388599E-2</v>
      </c>
      <c r="E9343" s="2">
        <v>0.10459492140266</v>
      </c>
      <c r="F9343" s="2">
        <v>4.6339039939907102E-2</v>
      </c>
    </row>
    <row r="9344" spans="1:6" x14ac:dyDescent="0.25">
      <c r="A9344" s="1" t="str">
        <f t="shared" si="333"/>
        <v>19340</v>
      </c>
      <c r="B9344" s="1" t="str">
        <f>"61231"</f>
        <v>61231</v>
      </c>
      <c r="C9344" s="2">
        <v>1.3608264972815301E-2</v>
      </c>
      <c r="D9344" s="2">
        <v>1.7903625166656001E-2</v>
      </c>
      <c r="E9344" s="2">
        <v>1.48125755743651E-2</v>
      </c>
      <c r="F9344" s="2">
        <v>1.39677951516822E-2</v>
      </c>
    </row>
    <row r="9345" spans="1:6" x14ac:dyDescent="0.25">
      <c r="A9345" s="1" t="str">
        <f t="shared" si="333"/>
        <v>19340</v>
      </c>
      <c r="B9345" s="1" t="str">
        <f>"52768"</f>
        <v>52768</v>
      </c>
      <c r="C9345" s="2">
        <v>3.7132794961005199E-3</v>
      </c>
      <c r="D9345" s="2">
        <v>3.1744016252936301E-4</v>
      </c>
      <c r="E9345" s="2">
        <v>1.6626360338573101E-3</v>
      </c>
      <c r="F9345" s="2">
        <v>3.3944879980602901E-3</v>
      </c>
    </row>
    <row r="9346" spans="1:6" x14ac:dyDescent="0.25">
      <c r="A9346" s="1" t="str">
        <f t="shared" si="333"/>
        <v>19340</v>
      </c>
      <c r="B9346" s="1" t="str">
        <f>"61274"</f>
        <v>61274</v>
      </c>
      <c r="C9346" s="2">
        <v>7.9266281507016899E-4</v>
      </c>
      <c r="D9346" s="2">
        <v>1.2697606501174501E-4</v>
      </c>
      <c r="E9346" s="2">
        <v>0</v>
      </c>
      <c r="F9346" s="2">
        <v>7.1788191555616796E-4</v>
      </c>
    </row>
    <row r="9347" spans="1:6" x14ac:dyDescent="0.25">
      <c r="A9347" s="1" t="str">
        <f t="shared" si="333"/>
        <v>19340</v>
      </c>
      <c r="B9347" s="1" t="str">
        <f>"52747"</f>
        <v>52747</v>
      </c>
      <c r="C9347" s="2">
        <v>2.4471469458542101E-4</v>
      </c>
      <c r="D9347" s="2">
        <v>0</v>
      </c>
      <c r="E9347" s="2">
        <v>3.0229746070132999E-4</v>
      </c>
      <c r="F9347" s="2">
        <v>2.2820087381917901E-4</v>
      </c>
    </row>
    <row r="9348" spans="1:6" x14ac:dyDescent="0.25">
      <c r="A9348" s="1" t="str">
        <f t="shared" si="333"/>
        <v>19340</v>
      </c>
      <c r="B9348" s="1" t="str">
        <f>"61235"</f>
        <v>61235</v>
      </c>
      <c r="C9348" s="2">
        <v>3.93671465202634E-3</v>
      </c>
      <c r="D9348" s="2">
        <v>1.71417687765856E-3</v>
      </c>
      <c r="E9348" s="2">
        <v>1.2091898428053199E-3</v>
      </c>
      <c r="F9348" s="2">
        <v>3.68449327520549E-3</v>
      </c>
    </row>
    <row r="9349" spans="1:6" x14ac:dyDescent="0.25">
      <c r="A9349" s="1" t="str">
        <f t="shared" si="333"/>
        <v>19340</v>
      </c>
      <c r="B9349" s="1" t="str">
        <f>"52728"</f>
        <v>52728</v>
      </c>
      <c r="C9349" s="2">
        <v>2.5695042931469202E-3</v>
      </c>
      <c r="D9349" s="2">
        <v>5.7139229255285303E-4</v>
      </c>
      <c r="E9349" s="2">
        <v>0</v>
      </c>
      <c r="F9349" s="2">
        <v>2.3390589566465799E-3</v>
      </c>
    </row>
    <row r="9350" spans="1:6" x14ac:dyDescent="0.25">
      <c r="A9350" s="1" t="str">
        <f t="shared" si="333"/>
        <v>19340</v>
      </c>
      <c r="B9350" s="1" t="str">
        <f>"61443"</f>
        <v>61443</v>
      </c>
      <c r="C9350" s="2">
        <v>3.7010437613712498E-2</v>
      </c>
      <c r="D9350" s="2">
        <v>4.0632340803758403E-2</v>
      </c>
      <c r="E9350" s="2">
        <v>4.0205562273276901E-2</v>
      </c>
      <c r="F9350" s="2">
        <v>3.73821556425043E-2</v>
      </c>
    </row>
    <row r="9351" spans="1:6" x14ac:dyDescent="0.25">
      <c r="A9351" s="1" t="str">
        <f t="shared" si="333"/>
        <v>19340</v>
      </c>
      <c r="B9351" s="1" t="str">
        <f>"61486"</f>
        <v>61486</v>
      </c>
      <c r="C9351" s="2">
        <v>3.6228414567972102E-3</v>
      </c>
      <c r="D9351" s="2">
        <v>1.5237127801409399E-3</v>
      </c>
      <c r="E9351" s="2">
        <v>1.3603385731559799E-3</v>
      </c>
      <c r="F9351" s="2">
        <v>3.3944879980602901E-3</v>
      </c>
    </row>
    <row r="9352" spans="1:6" x14ac:dyDescent="0.25">
      <c r="A9352" s="1" t="str">
        <f t="shared" si="333"/>
        <v>19340</v>
      </c>
      <c r="B9352" s="1" t="str">
        <f>"61272"</f>
        <v>61272</v>
      </c>
      <c r="C9352" s="2">
        <v>4.2452679625905702E-3</v>
      </c>
      <c r="D9352" s="2">
        <v>1.8411529426703001E-3</v>
      </c>
      <c r="E9352" s="2">
        <v>4.5344619105199501E-4</v>
      </c>
      <c r="F9352" s="2">
        <v>3.9459734431233004E-3</v>
      </c>
    </row>
    <row r="9353" spans="1:6" x14ac:dyDescent="0.25">
      <c r="A9353" s="1" t="str">
        <f t="shared" si="333"/>
        <v>19340</v>
      </c>
      <c r="B9353" s="1" t="str">
        <f>"61275"</f>
        <v>61275</v>
      </c>
      <c r="C9353" s="2">
        <v>1.0788726100418099E-2</v>
      </c>
      <c r="D9353" s="2">
        <v>2.3490572027172799E-3</v>
      </c>
      <c r="E9353" s="2">
        <v>1.81378476420798E-3</v>
      </c>
      <c r="F9353" s="2">
        <v>9.8744419775507308E-3</v>
      </c>
    </row>
    <row r="9354" spans="1:6" x14ac:dyDescent="0.25">
      <c r="A9354" s="1" t="str">
        <f t="shared" si="333"/>
        <v>19340</v>
      </c>
      <c r="B9354" s="1" t="str">
        <f>"61282"</f>
        <v>61282</v>
      </c>
      <c r="C9354" s="2">
        <v>2.22583974379435E-2</v>
      </c>
      <c r="D9354" s="2">
        <v>1.39038791187861E-2</v>
      </c>
      <c r="E9354" s="2">
        <v>2.6148730350664999E-2</v>
      </c>
      <c r="F9354" s="2">
        <v>2.1755149970761702E-2</v>
      </c>
    </row>
    <row r="9355" spans="1:6" x14ac:dyDescent="0.25">
      <c r="A9355" s="1" t="str">
        <f t="shared" si="333"/>
        <v>19340</v>
      </c>
      <c r="B9355" s="1" t="str">
        <f>"61277"</f>
        <v>61277</v>
      </c>
      <c r="C9355" s="2">
        <v>9.5225935501718297E-4</v>
      </c>
      <c r="D9355" s="2">
        <v>1.2697606501174501E-4</v>
      </c>
      <c r="E9355" s="2">
        <v>0</v>
      </c>
      <c r="F9355" s="2">
        <v>8.60507461693155E-4</v>
      </c>
    </row>
    <row r="9356" spans="1:6" x14ac:dyDescent="0.25">
      <c r="A9356" s="1" t="str">
        <f t="shared" si="333"/>
        <v>19340</v>
      </c>
      <c r="B9356" s="1" t="str">
        <f>"61256"</f>
        <v>61256</v>
      </c>
      <c r="C9356" s="2">
        <v>4.5804206964793004E-3</v>
      </c>
      <c r="D9356" s="2">
        <v>1.0158085200939601E-3</v>
      </c>
      <c r="E9356" s="2">
        <v>1.2091898428053199E-3</v>
      </c>
      <c r="F9356" s="2">
        <v>4.20745361104111E-3</v>
      </c>
    </row>
    <row r="9357" spans="1:6" x14ac:dyDescent="0.25">
      <c r="A9357" s="1" t="str">
        <f t="shared" si="333"/>
        <v>19340</v>
      </c>
      <c r="B9357" s="1" t="str">
        <f>"61237"</f>
        <v>61237</v>
      </c>
      <c r="C9357" s="2">
        <v>0</v>
      </c>
      <c r="D9357" s="2">
        <v>0</v>
      </c>
      <c r="E9357" s="2">
        <v>1.5114873035066499E-4</v>
      </c>
      <c r="F9357" s="2">
        <v>4.7541848712329002E-6</v>
      </c>
    </row>
    <row r="9358" spans="1:6" x14ac:dyDescent="0.25">
      <c r="A9358" s="1" t="str">
        <f t="shared" si="333"/>
        <v>19340</v>
      </c>
      <c r="B9358" s="1" t="str">
        <f>"52758"</f>
        <v>52758</v>
      </c>
      <c r="C9358" s="2">
        <v>7.39463968421164E-4</v>
      </c>
      <c r="D9358" s="2">
        <v>6.34880325058726E-5</v>
      </c>
      <c r="E9358" s="2">
        <v>4.5344619105199501E-4</v>
      </c>
      <c r="F9358" s="2">
        <v>6.7984843658630502E-4</v>
      </c>
    </row>
    <row r="9359" spans="1:6" x14ac:dyDescent="0.25">
      <c r="A9359" s="1" t="str">
        <f t="shared" ref="A9359:A9365" si="334">"19420"</f>
        <v>19420</v>
      </c>
      <c r="B9359" s="1" t="str">
        <f>"37321"</f>
        <v>37321</v>
      </c>
      <c r="C9359" s="2">
        <v>0.55005719101799999</v>
      </c>
      <c r="D9359" s="2">
        <v>0.77382098171318503</v>
      </c>
      <c r="E9359" s="2">
        <v>0.80838323353293395</v>
      </c>
      <c r="F9359" s="2">
        <v>0.574303489315661</v>
      </c>
    </row>
    <row r="9360" spans="1:6" x14ac:dyDescent="0.25">
      <c r="A9360" s="1" t="str">
        <f t="shared" si="334"/>
        <v>19420</v>
      </c>
      <c r="B9360" s="1" t="str">
        <f>"37338"</f>
        <v>37338</v>
      </c>
      <c r="C9360" s="2">
        <v>2.85955090000602E-2</v>
      </c>
      <c r="D9360" s="2">
        <v>8.6621751684311799E-3</v>
      </c>
      <c r="E9360" s="2">
        <v>2.15568862275449E-2</v>
      </c>
      <c r="F9360" s="2">
        <v>2.7157154449553599E-2</v>
      </c>
    </row>
    <row r="9361" spans="1:6" x14ac:dyDescent="0.25">
      <c r="A9361" s="1" t="str">
        <f t="shared" si="334"/>
        <v>19420</v>
      </c>
      <c r="B9361" s="1" t="str">
        <f>"37337"</f>
        <v>37337</v>
      </c>
      <c r="C9361" s="2">
        <v>3.2147372223225501E-2</v>
      </c>
      <c r="D9361" s="2">
        <v>1.5399422521655401E-2</v>
      </c>
      <c r="E9361" s="2">
        <v>1.1976047904191599E-3</v>
      </c>
      <c r="F9361" s="2">
        <v>2.9807952393832798E-2</v>
      </c>
    </row>
    <row r="9362" spans="1:6" x14ac:dyDescent="0.25">
      <c r="A9362" s="1" t="str">
        <f t="shared" si="334"/>
        <v>19420</v>
      </c>
      <c r="B9362" s="1" t="str">
        <f>"37373"</f>
        <v>37373</v>
      </c>
      <c r="C9362" s="2">
        <v>3.1304557221118498E-3</v>
      </c>
      <c r="D9362" s="2">
        <v>0</v>
      </c>
      <c r="E9362" s="2">
        <v>2.3952095808383199E-3</v>
      </c>
      <c r="F9362" s="2">
        <v>2.9212875304300699E-3</v>
      </c>
    </row>
    <row r="9363" spans="1:6" x14ac:dyDescent="0.25">
      <c r="A9363" s="1" t="str">
        <f t="shared" si="334"/>
        <v>19420</v>
      </c>
      <c r="B9363" s="1" t="str">
        <f>"37332"</f>
        <v>37332</v>
      </c>
      <c r="C9363" s="2">
        <v>7.94052134127987E-2</v>
      </c>
      <c r="D9363" s="2">
        <v>3.9461020211741998E-2</v>
      </c>
      <c r="E9363" s="2">
        <v>5.9880239520958001E-3</v>
      </c>
      <c r="F9363" s="2">
        <v>7.38436570192047E-2</v>
      </c>
    </row>
    <row r="9364" spans="1:6" x14ac:dyDescent="0.25">
      <c r="A9364" s="1" t="str">
        <f t="shared" si="334"/>
        <v>19420</v>
      </c>
      <c r="B9364" s="1" t="str">
        <f>"37367"</f>
        <v>37367</v>
      </c>
      <c r="C9364" s="2">
        <v>6.0201071579074097E-5</v>
      </c>
      <c r="D9364" s="2">
        <v>0</v>
      </c>
      <c r="E9364" s="2">
        <v>0</v>
      </c>
      <c r="F9364" s="2">
        <v>5.40979172301866E-5</v>
      </c>
    </row>
    <row r="9365" spans="1:6" x14ac:dyDescent="0.25">
      <c r="A9365" s="1" t="str">
        <f t="shared" si="334"/>
        <v>19420</v>
      </c>
      <c r="B9365" s="1" t="str">
        <f>"37381"</f>
        <v>37381</v>
      </c>
      <c r="C9365" s="2">
        <v>0.30660405755222397</v>
      </c>
      <c r="D9365" s="2">
        <v>0.16265640038498499</v>
      </c>
      <c r="E9365" s="2">
        <v>0.16047904191616699</v>
      </c>
      <c r="F9365" s="2">
        <v>0.29191236137408699</v>
      </c>
    </row>
    <row r="9366" spans="1:6" x14ac:dyDescent="0.25">
      <c r="A9366" s="1" t="str">
        <f t="shared" ref="A9366:A9397" si="335">"19430"</f>
        <v>19430</v>
      </c>
      <c r="B9366" s="1" t="str">
        <f>"45432"</f>
        <v>45432</v>
      </c>
      <c r="C9366" s="2">
        <v>1.6630578162721801E-2</v>
      </c>
      <c r="D9366" s="2">
        <v>1.86638705811863E-2</v>
      </c>
      <c r="E9366" s="2">
        <v>1.1583400483481001E-2</v>
      </c>
      <c r="F9366" s="2">
        <v>1.6559493303679299E-2</v>
      </c>
    </row>
    <row r="9367" spans="1:6" x14ac:dyDescent="0.25">
      <c r="A9367" s="1" t="str">
        <f t="shared" si="335"/>
        <v>19430</v>
      </c>
      <c r="B9367" s="1" t="str">
        <f>"45068"</f>
        <v>45068</v>
      </c>
      <c r="C9367" s="2">
        <v>2.7128599517160697E-4</v>
      </c>
      <c r="D9367" s="2">
        <v>3.8945476333133598E-4</v>
      </c>
      <c r="E9367" s="2">
        <v>0</v>
      </c>
      <c r="F9367" s="2">
        <v>2.6811654718631399E-4</v>
      </c>
    </row>
    <row r="9368" spans="1:6" x14ac:dyDescent="0.25">
      <c r="A9368" s="1" t="str">
        <f t="shared" si="335"/>
        <v>19430</v>
      </c>
      <c r="B9368" s="1" t="str">
        <f>"45337"</f>
        <v>45337</v>
      </c>
      <c r="C9368" s="2">
        <v>1.5007839916374201E-3</v>
      </c>
      <c r="D9368" s="2">
        <v>1.1983223487118E-3</v>
      </c>
      <c r="E9368" s="2">
        <v>5.0362610797743696E-4</v>
      </c>
      <c r="F9368" s="2">
        <v>1.4350828304316599E-3</v>
      </c>
    </row>
    <row r="9369" spans="1:6" x14ac:dyDescent="0.25">
      <c r="A9369" s="1" t="str">
        <f t="shared" si="335"/>
        <v>19430</v>
      </c>
      <c r="B9369" s="1" t="str">
        <f>"45409"</f>
        <v>45409</v>
      </c>
      <c r="C9369" s="2">
        <v>1.2250180442519701E-2</v>
      </c>
      <c r="D9369" s="2">
        <v>1.83942480527261E-2</v>
      </c>
      <c r="E9369" s="2">
        <v>1.9993956486704201E-2</v>
      </c>
      <c r="F9369" s="2">
        <v>1.3038815364396701E-2</v>
      </c>
    </row>
    <row r="9370" spans="1:6" x14ac:dyDescent="0.25">
      <c r="A9370" s="1" t="str">
        <f t="shared" si="335"/>
        <v>19430</v>
      </c>
      <c r="B9370" s="1" t="str">
        <f>"45377"</f>
        <v>45377</v>
      </c>
      <c r="C9370" s="2">
        <v>1.8701311630453701E-2</v>
      </c>
      <c r="D9370" s="2">
        <v>2.6363091671659601E-2</v>
      </c>
      <c r="E9370" s="2">
        <v>2.44762288477034E-2</v>
      </c>
      <c r="F9370" s="2">
        <v>1.9515368352577601E-2</v>
      </c>
    </row>
    <row r="9371" spans="1:6" x14ac:dyDescent="0.25">
      <c r="A9371" s="1" t="str">
        <f t="shared" si="335"/>
        <v>19430</v>
      </c>
      <c r="B9371" s="1" t="str">
        <f>"45370"</f>
        <v>45370</v>
      </c>
      <c r="C9371" s="2">
        <v>3.0538340924363399E-3</v>
      </c>
      <c r="D9371" s="2">
        <v>1.168364289994E-3</v>
      </c>
      <c r="E9371" s="2">
        <v>7.0507655116841203E-4</v>
      </c>
      <c r="F9371" s="2">
        <v>2.8130260688400202E-3</v>
      </c>
    </row>
    <row r="9372" spans="1:6" x14ac:dyDescent="0.25">
      <c r="A9372" s="1" t="str">
        <f t="shared" si="335"/>
        <v>19430</v>
      </c>
      <c r="B9372" s="1" t="str">
        <f>"45440"</f>
        <v>45440</v>
      </c>
      <c r="C9372" s="2">
        <v>2.5471017198038699E-2</v>
      </c>
      <c r="D9372" s="2">
        <v>1.88735769922109E-2</v>
      </c>
      <c r="E9372" s="2">
        <v>3.4347300564061198E-2</v>
      </c>
      <c r="F9372" s="2">
        <v>2.5374374211583499E-2</v>
      </c>
    </row>
    <row r="9373" spans="1:6" x14ac:dyDescent="0.25">
      <c r="A9373" s="1" t="str">
        <f t="shared" si="335"/>
        <v>19430</v>
      </c>
      <c r="B9373" s="1" t="str">
        <f>"45458"</f>
        <v>45458</v>
      </c>
      <c r="C9373" s="2">
        <v>3.57848627392418E-2</v>
      </c>
      <c r="D9373" s="2">
        <v>2.04913121629718E-2</v>
      </c>
      <c r="E9373" s="2">
        <v>2.3166800966962098E-2</v>
      </c>
      <c r="F9373" s="2">
        <v>3.4112336437917799E-2</v>
      </c>
    </row>
    <row r="9374" spans="1:6" x14ac:dyDescent="0.25">
      <c r="A9374" s="1" t="str">
        <f t="shared" si="335"/>
        <v>19430</v>
      </c>
      <c r="B9374" s="1" t="str">
        <f>"45414"</f>
        <v>45414</v>
      </c>
      <c r="C9374" s="2">
        <v>2.4995644490903201E-2</v>
      </c>
      <c r="D9374" s="2">
        <v>4.2810065907729102E-2</v>
      </c>
      <c r="E9374" s="2">
        <v>1.3346091861401999E-2</v>
      </c>
      <c r="F9374" s="2">
        <v>2.57941304452932E-2</v>
      </c>
    </row>
    <row r="9375" spans="1:6" x14ac:dyDescent="0.25">
      <c r="A9375" s="1" t="str">
        <f t="shared" si="335"/>
        <v>19430</v>
      </c>
      <c r="B9375" s="1" t="str">
        <f>"45401"</f>
        <v>45401</v>
      </c>
      <c r="C9375" s="2">
        <v>4.0742676522561496E-3</v>
      </c>
      <c r="D9375" s="2">
        <v>1.67165967645296E-2</v>
      </c>
      <c r="E9375" s="2">
        <v>1.00725221595487E-4</v>
      </c>
      <c r="F9375" s="2">
        <v>4.8282955259699402E-3</v>
      </c>
    </row>
    <row r="9376" spans="1:6" x14ac:dyDescent="0.25">
      <c r="A9376" s="1" t="str">
        <f t="shared" si="335"/>
        <v>19430</v>
      </c>
      <c r="B9376" s="1" t="str">
        <f>"45304"</f>
        <v>45304</v>
      </c>
      <c r="C9376" s="2">
        <v>2.2399761069215201E-5</v>
      </c>
      <c r="D9376" s="2">
        <v>0</v>
      </c>
      <c r="E9376" s="2">
        <v>0</v>
      </c>
      <c r="F9376" s="2">
        <v>1.9779089546531399E-5</v>
      </c>
    </row>
    <row r="9377" spans="1:6" x14ac:dyDescent="0.25">
      <c r="A9377" s="1" t="str">
        <f t="shared" si="335"/>
        <v>19430</v>
      </c>
      <c r="B9377" s="1" t="str">
        <f>"45422"</f>
        <v>45422</v>
      </c>
      <c r="C9377" s="2">
        <v>0</v>
      </c>
      <c r="D9377" s="2">
        <v>2.9958058717795E-5</v>
      </c>
      <c r="E9377" s="2">
        <v>3.5253827558420601E-4</v>
      </c>
      <c r="F9377" s="2">
        <v>1.7581412930250099E-5</v>
      </c>
    </row>
    <row r="9378" spans="1:6" x14ac:dyDescent="0.25">
      <c r="A9378" s="1" t="str">
        <f t="shared" si="335"/>
        <v>19430</v>
      </c>
      <c r="B9378" s="1" t="str">
        <f>"45413"</f>
        <v>45413</v>
      </c>
      <c r="C9378" s="2">
        <v>1.6924263918962599E-3</v>
      </c>
      <c r="D9378" s="2">
        <v>5.9017375674056301E-3</v>
      </c>
      <c r="E9378" s="2">
        <v>5.0362610797743699E-5</v>
      </c>
      <c r="F9378" s="2">
        <v>1.9295600690949499E-3</v>
      </c>
    </row>
    <row r="9379" spans="1:6" x14ac:dyDescent="0.25">
      <c r="A9379" s="1" t="str">
        <f t="shared" si="335"/>
        <v>19430</v>
      </c>
      <c r="B9379" s="1" t="str">
        <f>"45475"</f>
        <v>45475</v>
      </c>
      <c r="C9379" s="2">
        <v>1.7670922621269799E-3</v>
      </c>
      <c r="D9379" s="2">
        <v>1.4020371479928099E-2</v>
      </c>
      <c r="E9379" s="2">
        <v>5.0362610797743699E-5</v>
      </c>
      <c r="F9379" s="2">
        <v>2.5910607305956101E-3</v>
      </c>
    </row>
    <row r="9380" spans="1:6" x14ac:dyDescent="0.25">
      <c r="A9380" s="1" t="str">
        <f t="shared" si="335"/>
        <v>19430</v>
      </c>
      <c r="B9380" s="1" t="str">
        <f>"45309"</f>
        <v>45309</v>
      </c>
      <c r="C9380" s="2">
        <v>1.36090992807187E-2</v>
      </c>
      <c r="D9380" s="2">
        <v>7.66926303175554E-3</v>
      </c>
      <c r="E9380" s="2">
        <v>6.8493150684931503E-3</v>
      </c>
      <c r="F9380" s="2">
        <v>1.28783849714082E-2</v>
      </c>
    </row>
    <row r="9381" spans="1:6" x14ac:dyDescent="0.25">
      <c r="A9381" s="1" t="str">
        <f t="shared" si="335"/>
        <v>19430</v>
      </c>
      <c r="B9381" s="1" t="str">
        <f>"45322"</f>
        <v>45322</v>
      </c>
      <c r="C9381" s="2">
        <v>2.41394758455909E-2</v>
      </c>
      <c r="D9381" s="2">
        <v>1.82444577591372E-2</v>
      </c>
      <c r="E9381" s="2">
        <v>1.43029814665592E-2</v>
      </c>
      <c r="F9381" s="2">
        <v>2.3277790719651099E-2</v>
      </c>
    </row>
    <row r="9382" spans="1:6" x14ac:dyDescent="0.25">
      <c r="A9382" s="1" t="str">
        <f t="shared" si="335"/>
        <v>19430</v>
      </c>
      <c r="B9382" s="1" t="str">
        <f>"45327"</f>
        <v>45327</v>
      </c>
      <c r="C9382" s="2">
        <v>9.7961621742701406E-3</v>
      </c>
      <c r="D9382" s="2">
        <v>5.8118633912522403E-3</v>
      </c>
      <c r="E9382" s="2">
        <v>3.02175664786462E-3</v>
      </c>
      <c r="F9382" s="2">
        <v>9.2082650222185102E-3</v>
      </c>
    </row>
    <row r="9383" spans="1:6" x14ac:dyDescent="0.25">
      <c r="A9383" s="1" t="str">
        <f t="shared" si="335"/>
        <v>19430</v>
      </c>
      <c r="B9383" s="1" t="str">
        <f>"45371"</f>
        <v>45371</v>
      </c>
      <c r="C9383" s="2">
        <v>2.6110654819681899E-2</v>
      </c>
      <c r="D9383" s="2">
        <v>2.3427201917315701E-2</v>
      </c>
      <c r="E9383" s="2">
        <v>2.20588235294117E-2</v>
      </c>
      <c r="F9383" s="2">
        <v>2.57369908532699E-2</v>
      </c>
    </row>
    <row r="9384" spans="1:6" x14ac:dyDescent="0.25">
      <c r="A9384" s="1" t="str">
        <f t="shared" si="335"/>
        <v>19430</v>
      </c>
      <c r="B9384" s="1" t="str">
        <f>"45326"</f>
        <v>45326</v>
      </c>
      <c r="C9384" s="2">
        <v>1.1647875755991901E-3</v>
      </c>
      <c r="D9384" s="2">
        <v>5.3924505692031096E-4</v>
      </c>
      <c r="E9384" s="2">
        <v>0</v>
      </c>
      <c r="F9384" s="2">
        <v>1.06807083551269E-3</v>
      </c>
    </row>
    <row r="9385" spans="1:6" x14ac:dyDescent="0.25">
      <c r="A9385" s="1" t="str">
        <f t="shared" si="335"/>
        <v>19430</v>
      </c>
      <c r="B9385" s="1" t="str">
        <f>"45387"</f>
        <v>45387</v>
      </c>
      <c r="C9385" s="2">
        <v>6.4685532243211599E-3</v>
      </c>
      <c r="D9385" s="2">
        <v>6.3511084481725497E-3</v>
      </c>
      <c r="E9385" s="2">
        <v>1.01228847703464E-2</v>
      </c>
      <c r="F9385" s="2">
        <v>6.6194019682391698E-3</v>
      </c>
    </row>
    <row r="9386" spans="1:6" x14ac:dyDescent="0.25">
      <c r="A9386" s="1" t="str">
        <f t="shared" si="335"/>
        <v>19430</v>
      </c>
      <c r="B9386" s="1" t="str">
        <f>"45312"</f>
        <v>45312</v>
      </c>
      <c r="C9386" s="2">
        <v>1.3788297369272499E-3</v>
      </c>
      <c r="D9386" s="2">
        <v>1.49790293588975E-4</v>
      </c>
      <c r="E9386" s="2">
        <v>0</v>
      </c>
      <c r="F9386" s="2">
        <v>1.22850122850122E-3</v>
      </c>
    </row>
    <row r="9387" spans="1:6" x14ac:dyDescent="0.25">
      <c r="A9387" s="1" t="str">
        <f t="shared" si="335"/>
        <v>19430</v>
      </c>
      <c r="B9387" s="1" t="str">
        <f>"45448"</f>
        <v>45448</v>
      </c>
      <c r="C9387" s="2">
        <v>0</v>
      </c>
      <c r="D9387" s="2">
        <v>2.9958058717795E-5</v>
      </c>
      <c r="E9387" s="2">
        <v>0</v>
      </c>
      <c r="F9387" s="2">
        <v>2.1976766162812599E-6</v>
      </c>
    </row>
    <row r="9388" spans="1:6" x14ac:dyDescent="0.25">
      <c r="A9388" s="1" t="str">
        <f t="shared" si="335"/>
        <v>19430</v>
      </c>
      <c r="B9388" s="1" t="str">
        <f>"45423"</f>
        <v>45423</v>
      </c>
      <c r="C9388" s="2">
        <v>0</v>
      </c>
      <c r="D9388" s="2">
        <v>5.0329538645895698E-3</v>
      </c>
      <c r="E9388" s="2">
        <v>2.0145044319097501E-4</v>
      </c>
      <c r="F9388" s="2">
        <v>3.7800037800037799E-4</v>
      </c>
    </row>
    <row r="9389" spans="1:6" x14ac:dyDescent="0.25">
      <c r="A9389" s="1" t="str">
        <f t="shared" si="335"/>
        <v>19430</v>
      </c>
      <c r="B9389" s="1" t="str">
        <f>"45435"</f>
        <v>45435</v>
      </c>
      <c r="C9389" s="2">
        <v>0</v>
      </c>
      <c r="D9389" s="2">
        <v>5.9916117435590102E-5</v>
      </c>
      <c r="E9389" s="2">
        <v>1.00725221595487E-4</v>
      </c>
      <c r="F9389" s="2">
        <v>8.7907064651250598E-6</v>
      </c>
    </row>
    <row r="9390" spans="1:6" x14ac:dyDescent="0.25">
      <c r="A9390" s="1" t="str">
        <f t="shared" si="335"/>
        <v>19430</v>
      </c>
      <c r="B9390" s="1" t="str">
        <f>"45305"</f>
        <v>45305</v>
      </c>
      <c r="C9390" s="2">
        <v>1.22576470295427E-2</v>
      </c>
      <c r="D9390" s="2">
        <v>1.03954463750748E-2</v>
      </c>
      <c r="E9390" s="2">
        <v>3.3239323126510799E-3</v>
      </c>
      <c r="F9390" s="2">
        <v>1.1731197777709401E-2</v>
      </c>
    </row>
    <row r="9391" spans="1:6" x14ac:dyDescent="0.25">
      <c r="A9391" s="1" t="str">
        <f t="shared" si="335"/>
        <v>19430</v>
      </c>
      <c r="B9391" s="1" t="str">
        <f>"45385"</f>
        <v>45385</v>
      </c>
      <c r="C9391" s="2">
        <v>4.4505836382189697E-2</v>
      </c>
      <c r="D9391" s="2">
        <v>3.0736968244457701E-2</v>
      </c>
      <c r="E9391" s="2">
        <v>2.4778404512489902E-2</v>
      </c>
      <c r="F9391" s="2">
        <v>4.2634926355856501E-2</v>
      </c>
    </row>
    <row r="9392" spans="1:6" x14ac:dyDescent="0.25">
      <c r="A9392" s="1" t="str">
        <f t="shared" si="335"/>
        <v>19430</v>
      </c>
      <c r="B9392" s="1" t="str">
        <f>"45403"</f>
        <v>45403</v>
      </c>
      <c r="C9392" s="2">
        <v>2.0070185918016799E-2</v>
      </c>
      <c r="D9392" s="2">
        <v>1.56081485919712E-2</v>
      </c>
      <c r="E9392" s="2">
        <v>3.3642224012892803E-2</v>
      </c>
      <c r="F9392" s="2">
        <v>2.03351017304505E-2</v>
      </c>
    </row>
    <row r="9393" spans="1:6" x14ac:dyDescent="0.25">
      <c r="A9393" s="1" t="str">
        <f t="shared" si="335"/>
        <v>19430</v>
      </c>
      <c r="B9393" s="1" t="str">
        <f>"45404"</f>
        <v>45404</v>
      </c>
      <c r="C9393" s="2">
        <v>1.44478458896438E-2</v>
      </c>
      <c r="D9393" s="2">
        <v>2.75913720790892E-2</v>
      </c>
      <c r="E9393" s="2">
        <v>1.8432715551974201E-2</v>
      </c>
      <c r="F9393" s="2">
        <v>1.55859225626667E-2</v>
      </c>
    </row>
    <row r="9394" spans="1:6" x14ac:dyDescent="0.25">
      <c r="A9394" s="1" t="str">
        <f t="shared" si="335"/>
        <v>19430</v>
      </c>
      <c r="B9394" s="1" t="str">
        <f>"45449"</f>
        <v>45449</v>
      </c>
      <c r="C9394" s="2">
        <v>2.36466811020682E-2</v>
      </c>
      <c r="D9394" s="2">
        <v>2.2109047333732701E-2</v>
      </c>
      <c r="E9394" s="2">
        <v>4.3664383561643802E-2</v>
      </c>
      <c r="F9394" s="2">
        <v>2.44073965004197E-2</v>
      </c>
    </row>
    <row r="9395" spans="1:6" x14ac:dyDescent="0.25">
      <c r="A9395" s="1" t="str">
        <f t="shared" si="335"/>
        <v>19430</v>
      </c>
      <c r="B9395" s="1" t="str">
        <f>"45005"</f>
        <v>45005</v>
      </c>
      <c r="C9395" s="2">
        <v>4.8781701884068702E-4</v>
      </c>
      <c r="D9395" s="2">
        <v>2.9958058717795E-5</v>
      </c>
      <c r="E9395" s="2">
        <v>2.0145044319097501E-4</v>
      </c>
      <c r="F9395" s="2">
        <v>4.4173299987253402E-4</v>
      </c>
    </row>
    <row r="9396" spans="1:6" x14ac:dyDescent="0.25">
      <c r="A9396" s="1" t="str">
        <f t="shared" si="335"/>
        <v>19430</v>
      </c>
      <c r="B9396" s="1" t="str">
        <f>"45428"</f>
        <v>45428</v>
      </c>
      <c r="C9396" s="2">
        <v>0</v>
      </c>
      <c r="D9396" s="2">
        <v>2.9958058717795E-5</v>
      </c>
      <c r="E9396" s="2">
        <v>0</v>
      </c>
      <c r="F9396" s="2">
        <v>2.1976766162812599E-6</v>
      </c>
    </row>
    <row r="9397" spans="1:6" x14ac:dyDescent="0.25">
      <c r="A9397" s="1" t="str">
        <f t="shared" si="335"/>
        <v>19430</v>
      </c>
      <c r="B9397" s="1" t="str">
        <f>"45481"</f>
        <v>45481</v>
      </c>
      <c r="C9397" s="2">
        <v>0</v>
      </c>
      <c r="D9397" s="2">
        <v>0</v>
      </c>
      <c r="E9397" s="2">
        <v>5.0362610797743699E-5</v>
      </c>
      <c r="F9397" s="2">
        <v>2.1976766162812599E-6</v>
      </c>
    </row>
    <row r="9398" spans="1:6" x14ac:dyDescent="0.25">
      <c r="A9398" s="1" t="str">
        <f t="shared" ref="A9398:A9429" si="336">"19430"</f>
        <v>19430</v>
      </c>
      <c r="B9398" s="1" t="str">
        <f>"45338"</f>
        <v>45338</v>
      </c>
      <c r="C9398" s="2">
        <v>3.7332935115358703E-5</v>
      </c>
      <c r="D9398" s="2">
        <v>0</v>
      </c>
      <c r="E9398" s="2">
        <v>0</v>
      </c>
      <c r="F9398" s="2">
        <v>3.2965149244219E-5</v>
      </c>
    </row>
    <row r="9399" spans="1:6" x14ac:dyDescent="0.25">
      <c r="A9399" s="1" t="str">
        <f t="shared" si="336"/>
        <v>19430</v>
      </c>
      <c r="B9399" s="1" t="str">
        <f>"45469"</f>
        <v>45469</v>
      </c>
      <c r="C9399" s="2">
        <v>0</v>
      </c>
      <c r="D9399" s="2">
        <v>8.98741761533852E-5</v>
      </c>
      <c r="E9399" s="2">
        <v>0</v>
      </c>
      <c r="F9399" s="2">
        <v>6.5930298488437999E-6</v>
      </c>
    </row>
    <row r="9400" spans="1:6" x14ac:dyDescent="0.25">
      <c r="A9400" s="1" t="str">
        <f t="shared" si="336"/>
        <v>19430</v>
      </c>
      <c r="B9400" s="1" t="str">
        <f>"43128"</f>
        <v>43128</v>
      </c>
      <c r="C9400" s="2">
        <v>7.4665870230717503E-6</v>
      </c>
      <c r="D9400" s="2">
        <v>0</v>
      </c>
      <c r="E9400" s="2">
        <v>0</v>
      </c>
      <c r="F9400" s="2">
        <v>6.5930298488437999E-6</v>
      </c>
    </row>
    <row r="9401" spans="1:6" x14ac:dyDescent="0.25">
      <c r="A9401" s="1" t="str">
        <f t="shared" si="336"/>
        <v>19430</v>
      </c>
      <c r="B9401" s="1" t="str">
        <f>"45374"</f>
        <v>45374</v>
      </c>
      <c r="C9401" s="2">
        <v>0</v>
      </c>
      <c r="D9401" s="2">
        <v>0</v>
      </c>
      <c r="E9401" s="2">
        <v>5.0362610797743699E-5</v>
      </c>
      <c r="F9401" s="2">
        <v>2.1976766162812599E-6</v>
      </c>
    </row>
    <row r="9402" spans="1:6" x14ac:dyDescent="0.25">
      <c r="A9402" s="1" t="str">
        <f t="shared" si="336"/>
        <v>19430</v>
      </c>
      <c r="B9402" s="1" t="str">
        <f>"45384"</f>
        <v>45384</v>
      </c>
      <c r="C9402" s="2">
        <v>7.4665870230717503E-6</v>
      </c>
      <c r="D9402" s="2">
        <v>1.49790293588975E-4</v>
      </c>
      <c r="E9402" s="2">
        <v>0</v>
      </c>
      <c r="F9402" s="2">
        <v>1.7581412930250099E-5</v>
      </c>
    </row>
    <row r="9403" spans="1:6" x14ac:dyDescent="0.25">
      <c r="A9403" s="1" t="str">
        <f t="shared" si="336"/>
        <v>19430</v>
      </c>
      <c r="B9403" s="1" t="str">
        <f>"45314"</f>
        <v>45314</v>
      </c>
      <c r="C9403" s="2">
        <v>3.3848527837925199E-3</v>
      </c>
      <c r="D9403" s="2">
        <v>1.1983223487118E-3</v>
      </c>
      <c r="E9403" s="2">
        <v>7.0507655116841203E-4</v>
      </c>
      <c r="F9403" s="2">
        <v>3.1075147354217101E-3</v>
      </c>
    </row>
    <row r="9404" spans="1:6" x14ac:dyDescent="0.25">
      <c r="A9404" s="1" t="str">
        <f t="shared" si="336"/>
        <v>19430</v>
      </c>
      <c r="B9404" s="1" t="str">
        <f>"45344"</f>
        <v>45344</v>
      </c>
      <c r="C9404" s="2">
        <v>1.8467358570397399E-3</v>
      </c>
      <c r="D9404" s="2">
        <v>6.2911923307369601E-4</v>
      </c>
      <c r="E9404" s="2">
        <v>2.0145044319097501E-4</v>
      </c>
      <c r="F9404" s="2">
        <v>1.68561796468773E-3</v>
      </c>
    </row>
    <row r="9405" spans="1:6" x14ac:dyDescent="0.25">
      <c r="A9405" s="1" t="str">
        <f t="shared" si="336"/>
        <v>19430</v>
      </c>
      <c r="B9405" s="1" t="str">
        <f>"45431"</f>
        <v>45431</v>
      </c>
      <c r="C9405" s="2">
        <v>3.1775305507852299E-2</v>
      </c>
      <c r="D9405" s="2">
        <v>2.5733972438585901E-2</v>
      </c>
      <c r="E9405" s="2">
        <v>4.6383964544721899E-2</v>
      </c>
      <c r="F9405" s="2">
        <v>3.1969601737043503E-2</v>
      </c>
    </row>
    <row r="9406" spans="1:6" x14ac:dyDescent="0.25">
      <c r="A9406" s="1" t="str">
        <f t="shared" si="336"/>
        <v>19430</v>
      </c>
      <c r="B9406" s="1" t="str">
        <f>"45459"</f>
        <v>45459</v>
      </c>
      <c r="C9406" s="2">
        <v>3.3778839692376599E-2</v>
      </c>
      <c r="D9406" s="2">
        <v>6.5008987417615294E-2</v>
      </c>
      <c r="E9406" s="2">
        <v>4.3714746172441497E-2</v>
      </c>
      <c r="F9406" s="2">
        <v>3.6503408596431801E-2</v>
      </c>
    </row>
    <row r="9407" spans="1:6" x14ac:dyDescent="0.25">
      <c r="A9407" s="1" t="str">
        <f t="shared" si="336"/>
        <v>19430</v>
      </c>
      <c r="B9407" s="1" t="str">
        <f>"45410"</f>
        <v>45410</v>
      </c>
      <c r="C9407" s="2">
        <v>2.09587097737624E-2</v>
      </c>
      <c r="D9407" s="2">
        <v>9.3469143199520592E-3</v>
      </c>
      <c r="E9407" s="2">
        <v>2.62389202256244E-2</v>
      </c>
      <c r="F9407" s="2">
        <v>2.03372994070668E-2</v>
      </c>
    </row>
    <row r="9408" spans="1:6" x14ac:dyDescent="0.25">
      <c r="A9408" s="1" t="str">
        <f t="shared" si="336"/>
        <v>19430</v>
      </c>
      <c r="B9408" s="1" t="str">
        <f>"45430"</f>
        <v>45430</v>
      </c>
      <c r="C9408" s="2">
        <v>8.4471987854351695E-3</v>
      </c>
      <c r="D9408" s="2">
        <v>5.2426602756141397E-3</v>
      </c>
      <c r="E9408" s="2">
        <v>4.1297340854149801E-3</v>
      </c>
      <c r="F9408" s="2">
        <v>8.0237173260429007E-3</v>
      </c>
    </row>
    <row r="9409" spans="1:6" x14ac:dyDescent="0.25">
      <c r="A9409" s="1" t="str">
        <f t="shared" si="336"/>
        <v>19430</v>
      </c>
      <c r="B9409" s="1" t="str">
        <f>"45318"</f>
        <v>45318</v>
      </c>
      <c r="C9409" s="2">
        <v>5.8314044650190303E-3</v>
      </c>
      <c r="D9409" s="2">
        <v>5.0329538645895698E-3</v>
      </c>
      <c r="E9409" s="2">
        <v>3.7268331990330302E-3</v>
      </c>
      <c r="F9409" s="2">
        <v>5.6809940530870703E-3</v>
      </c>
    </row>
    <row r="9410" spans="1:6" x14ac:dyDescent="0.25">
      <c r="A9410" s="1" t="str">
        <f t="shared" si="336"/>
        <v>19430</v>
      </c>
      <c r="B9410" s="1" t="str">
        <f>"45324"</f>
        <v>45324</v>
      </c>
      <c r="C9410" s="2">
        <v>5.6168645312227698E-2</v>
      </c>
      <c r="D9410" s="2">
        <v>3.77471539844218E-2</v>
      </c>
      <c r="E9410" s="2">
        <v>8.2342868654310994E-2</v>
      </c>
      <c r="F9410" s="2">
        <v>5.5959439680369899E-2</v>
      </c>
    </row>
    <row r="9411" spans="1:6" x14ac:dyDescent="0.25">
      <c r="A9411" s="1" t="str">
        <f t="shared" si="336"/>
        <v>19430</v>
      </c>
      <c r="B9411" s="1" t="str">
        <f>"45335"</f>
        <v>45335</v>
      </c>
      <c r="C9411" s="2">
        <v>7.1256128823514696E-3</v>
      </c>
      <c r="D9411" s="2">
        <v>3.83463151587777E-3</v>
      </c>
      <c r="E9411" s="2">
        <v>2.6188557614826701E-3</v>
      </c>
      <c r="F9411" s="2">
        <v>6.6875299433438902E-3</v>
      </c>
    </row>
    <row r="9412" spans="1:6" x14ac:dyDescent="0.25">
      <c r="A9412" s="1" t="str">
        <f t="shared" si="336"/>
        <v>19430</v>
      </c>
      <c r="B9412" s="1" t="str">
        <f>"45345"</f>
        <v>45345</v>
      </c>
      <c r="C9412" s="2">
        <v>6.9240150327285303E-3</v>
      </c>
      <c r="D9412" s="2">
        <v>3.8645895745955598E-3</v>
      </c>
      <c r="E9412" s="2">
        <v>8.5616438356164303E-4</v>
      </c>
      <c r="F9412" s="2">
        <v>6.4347971324715501E-3</v>
      </c>
    </row>
    <row r="9413" spans="1:6" x14ac:dyDescent="0.25">
      <c r="A9413" s="1" t="str">
        <f t="shared" si="336"/>
        <v>19430</v>
      </c>
      <c r="B9413" s="1" t="str">
        <f>"45308"</f>
        <v>45308</v>
      </c>
      <c r="C9413" s="2">
        <v>1.8193583712884801E-3</v>
      </c>
      <c r="D9413" s="2">
        <v>9.2869982025164705E-4</v>
      </c>
      <c r="E9413" s="2">
        <v>3.02175664786462E-4</v>
      </c>
      <c r="F9413" s="2">
        <v>1.68781564130401E-3</v>
      </c>
    </row>
    <row r="9414" spans="1:6" x14ac:dyDescent="0.25">
      <c r="A9414" s="1" t="str">
        <f t="shared" si="336"/>
        <v>19430</v>
      </c>
      <c r="B9414" s="1" t="str">
        <f>"45402"</f>
        <v>45402</v>
      </c>
      <c r="C9414" s="2">
        <v>1.92886831429353E-2</v>
      </c>
      <c r="D9414" s="2">
        <v>6.4260035949670405E-2</v>
      </c>
      <c r="E9414" s="2">
        <v>3.0973005640612401E-2</v>
      </c>
      <c r="F9414" s="2">
        <v>2.30975812371161E-2</v>
      </c>
    </row>
    <row r="9415" spans="1:6" x14ac:dyDescent="0.25">
      <c r="A9415" s="1" t="str">
        <f t="shared" si="336"/>
        <v>19430</v>
      </c>
      <c r="B9415" s="1" t="str">
        <f>"45169"</f>
        <v>45169</v>
      </c>
      <c r="C9415" s="2">
        <v>6.7199283207645694E-5</v>
      </c>
      <c r="D9415" s="2">
        <v>2.9958058717795E-5</v>
      </c>
      <c r="E9415" s="2">
        <v>0</v>
      </c>
      <c r="F9415" s="2">
        <v>6.1534945255875401E-5</v>
      </c>
    </row>
    <row r="9416" spans="1:6" x14ac:dyDescent="0.25">
      <c r="A9416" s="1" t="str">
        <f t="shared" si="336"/>
        <v>19430</v>
      </c>
      <c r="B9416" s="1" t="str">
        <f>"45470"</f>
        <v>45470</v>
      </c>
      <c r="C9416" s="2">
        <v>0</v>
      </c>
      <c r="D9416" s="2">
        <v>0</v>
      </c>
      <c r="E9416" s="2">
        <v>5.0362610797743699E-5</v>
      </c>
      <c r="F9416" s="2">
        <v>2.1976766162812599E-6</v>
      </c>
    </row>
    <row r="9417" spans="1:6" x14ac:dyDescent="0.25">
      <c r="A9417" s="1" t="str">
        <f t="shared" si="336"/>
        <v>19430</v>
      </c>
      <c r="B9417" s="1" t="str">
        <f>"45301"</f>
        <v>45301</v>
      </c>
      <c r="C9417" s="2">
        <v>1.66753776848602E-4</v>
      </c>
      <c r="D9417" s="2">
        <v>5.9916117435590102E-5</v>
      </c>
      <c r="E9417" s="2">
        <v>0</v>
      </c>
      <c r="F9417" s="2">
        <v>1.5163968652340699E-4</v>
      </c>
    </row>
    <row r="9418" spans="1:6" x14ac:dyDescent="0.25">
      <c r="A9418" s="1" t="str">
        <f t="shared" si="336"/>
        <v>19430</v>
      </c>
      <c r="B9418" s="1" t="str">
        <f>"45359"</f>
        <v>45359</v>
      </c>
      <c r="C9418" s="2">
        <v>1.9562458000447901E-3</v>
      </c>
      <c r="D9418" s="2">
        <v>5.0928699820251605E-4</v>
      </c>
      <c r="E9418" s="2">
        <v>7.0507655116841203E-4</v>
      </c>
      <c r="F9418" s="2">
        <v>1.79550179550179E-3</v>
      </c>
    </row>
    <row r="9419" spans="1:6" x14ac:dyDescent="0.25">
      <c r="A9419" s="1" t="str">
        <f t="shared" si="336"/>
        <v>19430</v>
      </c>
      <c r="B9419" s="1" t="str">
        <f>"45420"</f>
        <v>45420</v>
      </c>
      <c r="C9419" s="2">
        <v>3.29376042211105E-2</v>
      </c>
      <c r="D9419" s="2">
        <v>2.13900539245056E-2</v>
      </c>
      <c r="E9419" s="2">
        <v>3.2131345688960498E-2</v>
      </c>
      <c r="F9419" s="2">
        <v>3.2055311125078499E-2</v>
      </c>
    </row>
    <row r="9420" spans="1:6" x14ac:dyDescent="0.25">
      <c r="A9420" s="1" t="str">
        <f t="shared" si="336"/>
        <v>19430</v>
      </c>
      <c r="B9420" s="1" t="str">
        <f>"45429"</f>
        <v>45429</v>
      </c>
      <c r="C9420" s="2">
        <v>3.4027725926478999E-2</v>
      </c>
      <c r="D9420" s="2">
        <v>3.7717195925704002E-2</v>
      </c>
      <c r="E9420" s="2">
        <v>3.8879935535858098E-2</v>
      </c>
      <c r="F9420" s="2">
        <v>3.4510115905464697E-2</v>
      </c>
    </row>
    <row r="9421" spans="1:6" x14ac:dyDescent="0.25">
      <c r="A9421" s="1" t="str">
        <f t="shared" si="336"/>
        <v>19430</v>
      </c>
      <c r="B9421" s="1" t="str">
        <f>"45417"</f>
        <v>45417</v>
      </c>
      <c r="C9421" s="2">
        <v>4.2240971651857903E-2</v>
      </c>
      <c r="D9421" s="2">
        <v>2.9598562013181499E-2</v>
      </c>
      <c r="E9421" s="2">
        <v>2.7296535052377099E-2</v>
      </c>
      <c r="F9421" s="2">
        <v>4.0661412754436001E-2</v>
      </c>
    </row>
    <row r="9422" spans="1:6" x14ac:dyDescent="0.25">
      <c r="A9422" s="1" t="str">
        <f t="shared" si="336"/>
        <v>19430</v>
      </c>
      <c r="B9422" s="1" t="str">
        <f>"45426"</f>
        <v>45426</v>
      </c>
      <c r="C9422" s="2">
        <v>2.0508225690037001E-2</v>
      </c>
      <c r="D9422" s="2">
        <v>1.4859197124026301E-2</v>
      </c>
      <c r="E9422" s="2">
        <v>2.3166800966962098E-2</v>
      </c>
      <c r="F9422" s="2">
        <v>2.0209834163322501E-2</v>
      </c>
    </row>
    <row r="9423" spans="1:6" x14ac:dyDescent="0.25">
      <c r="A9423" s="1" t="str">
        <f t="shared" si="336"/>
        <v>19430</v>
      </c>
      <c r="B9423" s="1" t="str">
        <f>"45433"</f>
        <v>45433</v>
      </c>
      <c r="C9423" s="2">
        <v>1.1398989521889499E-3</v>
      </c>
      <c r="D9423" s="2">
        <v>2.8310365488316301E-2</v>
      </c>
      <c r="E9423" s="2">
        <v>4.0290088638195002E-4</v>
      </c>
      <c r="F9423" s="2">
        <v>3.1009217055728601E-3</v>
      </c>
    </row>
    <row r="9424" spans="1:6" x14ac:dyDescent="0.25">
      <c r="A9424" s="1" t="str">
        <f t="shared" si="336"/>
        <v>19430</v>
      </c>
      <c r="B9424" s="1" t="str">
        <f>"45066"</f>
        <v>45066</v>
      </c>
      <c r="C9424" s="2">
        <v>1.06523308195823E-3</v>
      </c>
      <c r="D9424" s="2">
        <v>2.9958058717795E-5</v>
      </c>
      <c r="E9424" s="2">
        <v>0</v>
      </c>
      <c r="F9424" s="2">
        <v>9.42803268384663E-4</v>
      </c>
    </row>
    <row r="9425" spans="1:6" x14ac:dyDescent="0.25">
      <c r="A9425" s="1" t="str">
        <f t="shared" si="336"/>
        <v>19430</v>
      </c>
      <c r="B9425" s="1" t="str">
        <f>"45315"</f>
        <v>45315</v>
      </c>
      <c r="C9425" s="2">
        <v>5.3709649319296096E-3</v>
      </c>
      <c r="D9425" s="2">
        <v>4.6135410425404396E-3</v>
      </c>
      <c r="E9425" s="2">
        <v>8.5616438356164303E-4</v>
      </c>
      <c r="F9425" s="2">
        <v>5.1183888393190697E-3</v>
      </c>
    </row>
    <row r="9426" spans="1:6" x14ac:dyDescent="0.25">
      <c r="A9426" s="1" t="str">
        <f t="shared" si="336"/>
        <v>19430</v>
      </c>
      <c r="B9426" s="1" t="str">
        <f>"45373"</f>
        <v>45373</v>
      </c>
      <c r="C9426" s="2">
        <v>4.2133950571193901E-2</v>
      </c>
      <c r="D9426" s="2">
        <v>4.8112642300778899E-2</v>
      </c>
      <c r="E9426" s="2">
        <v>4.9053182917002398E-2</v>
      </c>
      <c r="F9426" s="2">
        <v>4.28744731070312E-2</v>
      </c>
    </row>
    <row r="9427" spans="1:6" x14ac:dyDescent="0.25">
      <c r="A9427" s="1" t="str">
        <f t="shared" si="336"/>
        <v>19430</v>
      </c>
      <c r="B9427" s="1" t="str">
        <f>"45354"</f>
        <v>45354</v>
      </c>
      <c r="C9427" s="2">
        <v>9.9554493640956693E-6</v>
      </c>
      <c r="D9427" s="2">
        <v>2.9958058717795E-5</v>
      </c>
      <c r="E9427" s="2">
        <v>0</v>
      </c>
      <c r="F9427" s="2">
        <v>1.09883830814063E-5</v>
      </c>
    </row>
    <row r="9428" spans="1:6" x14ac:dyDescent="0.25">
      <c r="A9428" s="1" t="str">
        <f t="shared" si="336"/>
        <v>19430</v>
      </c>
      <c r="B9428" s="1" t="str">
        <f>"43153"</f>
        <v>43153</v>
      </c>
      <c r="C9428" s="2">
        <v>9.9554493640956693E-6</v>
      </c>
      <c r="D9428" s="2">
        <v>0</v>
      </c>
      <c r="E9428" s="2">
        <v>0</v>
      </c>
      <c r="F9428" s="2">
        <v>8.7907064651250598E-6</v>
      </c>
    </row>
    <row r="9429" spans="1:6" x14ac:dyDescent="0.25">
      <c r="A9429" s="1" t="str">
        <f t="shared" si="336"/>
        <v>19430</v>
      </c>
      <c r="B9429" s="1" t="str">
        <f>"45378"</f>
        <v>45378</v>
      </c>
      <c r="C9429" s="2">
        <v>7.2177007889693602E-5</v>
      </c>
      <c r="D9429" s="2">
        <v>0</v>
      </c>
      <c r="E9429" s="2">
        <v>0</v>
      </c>
      <c r="F9429" s="2">
        <v>6.3732621872156694E-5</v>
      </c>
    </row>
    <row r="9430" spans="1:6" x14ac:dyDescent="0.25">
      <c r="A9430" s="1" t="str">
        <f t="shared" ref="A9430:A9454" si="337">"19430"</f>
        <v>19430</v>
      </c>
      <c r="B9430" s="1" t="str">
        <f>"45339"</f>
        <v>45339</v>
      </c>
      <c r="C9430" s="2">
        <v>1.43358470842977E-3</v>
      </c>
      <c r="D9430" s="2">
        <v>3.2953864589574503E-4</v>
      </c>
      <c r="E9430" s="2">
        <v>3.02175664786462E-4</v>
      </c>
      <c r="F9430" s="2">
        <v>1.3032222334547899E-3</v>
      </c>
    </row>
    <row r="9431" spans="1:6" x14ac:dyDescent="0.25">
      <c r="A9431" s="1" t="str">
        <f t="shared" si="337"/>
        <v>19430</v>
      </c>
      <c r="B9431" s="1" t="str">
        <f>"45325"</f>
        <v>45325</v>
      </c>
      <c r="C9431" s="2">
        <v>2.7601483361955198E-3</v>
      </c>
      <c r="D9431" s="2">
        <v>1.3780707010185699E-3</v>
      </c>
      <c r="E9431" s="2">
        <v>4.53263497179693E-4</v>
      </c>
      <c r="F9431" s="2">
        <v>2.55809558135139E-3</v>
      </c>
    </row>
    <row r="9432" spans="1:6" x14ac:dyDescent="0.25">
      <c r="A9432" s="1" t="str">
        <f t="shared" si="337"/>
        <v>19430</v>
      </c>
      <c r="B9432" s="1" t="str">
        <f>"45342"</f>
        <v>45342</v>
      </c>
      <c r="C9432" s="2">
        <v>4.3537668931531298E-2</v>
      </c>
      <c r="D9432" s="2">
        <v>3.4871180347513402E-2</v>
      </c>
      <c r="E9432" s="2">
        <v>4.1347703464947601E-2</v>
      </c>
      <c r="F9432" s="2">
        <v>4.28063451319265E-2</v>
      </c>
    </row>
    <row r="9433" spans="1:6" x14ac:dyDescent="0.25">
      <c r="A9433" s="1" t="str">
        <f t="shared" si="337"/>
        <v>19430</v>
      </c>
      <c r="B9433" s="1" t="str">
        <f>"45356"</f>
        <v>45356</v>
      </c>
      <c r="C9433" s="2">
        <v>2.8161477388685598E-2</v>
      </c>
      <c r="D9433" s="2">
        <v>2.84901138406231E-2</v>
      </c>
      <c r="E9433" s="2">
        <v>1.8785253827558399E-2</v>
      </c>
      <c r="F9433" s="2">
        <v>2.77764347531789E-2</v>
      </c>
    </row>
    <row r="9434" spans="1:6" x14ac:dyDescent="0.25">
      <c r="A9434" s="1" t="str">
        <f t="shared" si="337"/>
        <v>19430</v>
      </c>
      <c r="B9434" s="1" t="str">
        <f>"45419"</f>
        <v>45419</v>
      </c>
      <c r="C9434" s="2">
        <v>1.9945742800965598E-2</v>
      </c>
      <c r="D9434" s="2">
        <v>1.02456560814859E-2</v>
      </c>
      <c r="E9434" s="2">
        <v>4.0390813859790403E-2</v>
      </c>
      <c r="F9434" s="2">
        <v>2.0126322451903801E-2</v>
      </c>
    </row>
    <row r="9435" spans="1:6" x14ac:dyDescent="0.25">
      <c r="A9435" s="1" t="str">
        <f t="shared" si="337"/>
        <v>19430</v>
      </c>
      <c r="B9435" s="1" t="str">
        <f>"45424"</f>
        <v>45424</v>
      </c>
      <c r="C9435" s="2">
        <v>5.4680305632295402E-2</v>
      </c>
      <c r="D9435" s="2">
        <v>4.4397843019772301E-2</v>
      </c>
      <c r="E9435" s="2">
        <v>1.4151893634165901E-2</v>
      </c>
      <c r="F9435" s="2">
        <v>5.2157459134203298E-2</v>
      </c>
    </row>
    <row r="9436" spans="1:6" x14ac:dyDescent="0.25">
      <c r="A9436" s="1" t="str">
        <f t="shared" si="337"/>
        <v>19430</v>
      </c>
      <c r="B9436" s="1" t="str">
        <f>"45434"</f>
        <v>45434</v>
      </c>
      <c r="C9436" s="2">
        <v>1.43234027725926E-2</v>
      </c>
      <c r="D9436" s="2">
        <v>1.7165967645296501E-2</v>
      </c>
      <c r="E9436" s="2">
        <v>3.6261079774375501E-3</v>
      </c>
      <c r="F9436" s="2">
        <v>1.4065130344200099E-2</v>
      </c>
    </row>
    <row r="9437" spans="1:6" x14ac:dyDescent="0.25">
      <c r="A9437" s="1" t="str">
        <f t="shared" si="337"/>
        <v>19430</v>
      </c>
      <c r="B9437" s="1" t="str">
        <f>"45416"</f>
        <v>45416</v>
      </c>
      <c r="C9437" s="2">
        <v>6.5705965803031403E-3</v>
      </c>
      <c r="D9437" s="2">
        <v>5.1827441581785497E-3</v>
      </c>
      <c r="E9437" s="2">
        <v>2.0648670427074901E-3</v>
      </c>
      <c r="F9437" s="2">
        <v>6.2721690628667302E-3</v>
      </c>
    </row>
    <row r="9438" spans="1:6" x14ac:dyDescent="0.25">
      <c r="A9438" s="1" t="str">
        <f t="shared" si="337"/>
        <v>19430</v>
      </c>
      <c r="B9438" s="1" t="str">
        <f>"45361"</f>
        <v>45361</v>
      </c>
      <c r="C9438" s="2">
        <v>4.9777246820478296E-6</v>
      </c>
      <c r="D9438" s="2">
        <v>2.9958058717795E-5</v>
      </c>
      <c r="E9438" s="2">
        <v>0</v>
      </c>
      <c r="F9438" s="2">
        <v>6.5930298488437999E-6</v>
      </c>
    </row>
    <row r="9439" spans="1:6" x14ac:dyDescent="0.25">
      <c r="A9439" s="1" t="str">
        <f t="shared" si="337"/>
        <v>19430</v>
      </c>
      <c r="B9439" s="1" t="str">
        <f>"45365"</f>
        <v>45365</v>
      </c>
      <c r="C9439" s="2">
        <v>4.9777246820478296E-6</v>
      </c>
      <c r="D9439" s="2">
        <v>0</v>
      </c>
      <c r="E9439" s="2">
        <v>0</v>
      </c>
      <c r="F9439" s="2">
        <v>4.3953532325625299E-6</v>
      </c>
    </row>
    <row r="9440" spans="1:6" x14ac:dyDescent="0.25">
      <c r="A9440" s="1" t="str">
        <f t="shared" si="337"/>
        <v>19430</v>
      </c>
      <c r="B9440" s="1" t="str">
        <f>"45368"</f>
        <v>45368</v>
      </c>
      <c r="C9440" s="2">
        <v>7.96435949127653E-5</v>
      </c>
      <c r="D9440" s="2">
        <v>0</v>
      </c>
      <c r="E9440" s="2">
        <v>0</v>
      </c>
      <c r="F9440" s="2">
        <v>7.0325651721000505E-5</v>
      </c>
    </row>
    <row r="9441" spans="1:6" x14ac:dyDescent="0.25">
      <c r="A9441" s="1" t="str">
        <f t="shared" si="337"/>
        <v>19430</v>
      </c>
      <c r="B9441" s="1" t="str">
        <f>"45441"</f>
        <v>45441</v>
      </c>
      <c r="C9441" s="2">
        <v>4.3803977202020898E-4</v>
      </c>
      <c r="D9441" s="2">
        <v>2.5464349910125799E-3</v>
      </c>
      <c r="E9441" s="2">
        <v>5.0362610797743699E-5</v>
      </c>
      <c r="F9441" s="2">
        <v>5.7579127346569202E-4</v>
      </c>
    </row>
    <row r="9442" spans="1:6" x14ac:dyDescent="0.25">
      <c r="A9442" s="1" t="str">
        <f t="shared" si="337"/>
        <v>19430</v>
      </c>
      <c r="B9442" s="1" t="str">
        <f>"45490"</f>
        <v>45490</v>
      </c>
      <c r="C9442" s="2">
        <v>9.95544936409567E-5</v>
      </c>
      <c r="D9442" s="2">
        <v>8.98741761533852E-5</v>
      </c>
      <c r="E9442" s="2">
        <v>1.51087832393231E-4</v>
      </c>
      <c r="F9442" s="2">
        <v>1.01093124348938E-4</v>
      </c>
    </row>
    <row r="9443" spans="1:6" x14ac:dyDescent="0.25">
      <c r="A9443" s="1" t="str">
        <f t="shared" si="337"/>
        <v>19430</v>
      </c>
      <c r="B9443" s="1" t="str">
        <f>"45317"</f>
        <v>45317</v>
      </c>
      <c r="C9443" s="2">
        <v>4.6790612011249599E-4</v>
      </c>
      <c r="D9443" s="2">
        <v>8.98741761533852E-5</v>
      </c>
      <c r="E9443" s="2">
        <v>0</v>
      </c>
      <c r="F9443" s="2">
        <v>4.1975623370972201E-4</v>
      </c>
    </row>
    <row r="9444" spans="1:6" x14ac:dyDescent="0.25">
      <c r="A9444" s="1" t="str">
        <f t="shared" si="337"/>
        <v>19430</v>
      </c>
      <c r="B9444" s="1" t="str">
        <f>"45406"</f>
        <v>45406</v>
      </c>
      <c r="C9444" s="2">
        <v>3.3069513925184701E-2</v>
      </c>
      <c r="D9444" s="2">
        <v>1.9622528460155698E-2</v>
      </c>
      <c r="E9444" s="2">
        <v>4.0441176470588203E-2</v>
      </c>
      <c r="F9444" s="2">
        <v>3.2404741707067197E-2</v>
      </c>
    </row>
    <row r="9445" spans="1:6" x14ac:dyDescent="0.25">
      <c r="A9445" s="1" t="str">
        <f t="shared" si="337"/>
        <v>19430</v>
      </c>
      <c r="B9445" s="1" t="str">
        <f>"45405"</f>
        <v>45405</v>
      </c>
      <c r="C9445" s="2">
        <v>3.0540829786704402E-2</v>
      </c>
      <c r="D9445" s="2">
        <v>1.6746554823247401E-2</v>
      </c>
      <c r="E9445" s="2">
        <v>7.6097904915390799E-2</v>
      </c>
      <c r="F9445" s="2">
        <v>3.1516880354089602E-2</v>
      </c>
    </row>
    <row r="9446" spans="1:6" x14ac:dyDescent="0.25">
      <c r="A9446" s="1" t="str">
        <f t="shared" si="337"/>
        <v>19430</v>
      </c>
      <c r="B9446" s="1" t="str">
        <f>"45383"</f>
        <v>45383</v>
      </c>
      <c r="C9446" s="2">
        <v>7.8822270340227398E-3</v>
      </c>
      <c r="D9446" s="2">
        <v>4.6434991012582298E-3</v>
      </c>
      <c r="E9446" s="2">
        <v>7.0507655116841201E-3</v>
      </c>
      <c r="F9446" s="2">
        <v>7.6083564455657398E-3</v>
      </c>
    </row>
    <row r="9447" spans="1:6" x14ac:dyDescent="0.25">
      <c r="A9447" s="1" t="str">
        <f t="shared" si="337"/>
        <v>19430</v>
      </c>
      <c r="B9447" s="1" t="str">
        <f>"45343"</f>
        <v>45343</v>
      </c>
      <c r="C9447" s="2">
        <v>2.43659623186241E-3</v>
      </c>
      <c r="D9447" s="2">
        <v>6.5308568004793198E-3</v>
      </c>
      <c r="E9447" s="2">
        <v>5.0362610797743699E-5</v>
      </c>
      <c r="F9447" s="2">
        <v>2.63281658630495E-3</v>
      </c>
    </row>
    <row r="9448" spans="1:6" x14ac:dyDescent="0.25">
      <c r="A9448" s="1" t="str">
        <f t="shared" si="337"/>
        <v>19430</v>
      </c>
      <c r="B9448" s="1" t="str">
        <f>"45439"</f>
        <v>45439</v>
      </c>
      <c r="C9448" s="2">
        <v>1.3434878916847101E-2</v>
      </c>
      <c r="D9448" s="2">
        <v>2.5314559616536801E-2</v>
      </c>
      <c r="E9448" s="2">
        <v>1.3547542304592999E-2</v>
      </c>
      <c r="F9448" s="2">
        <v>1.43112701252236E-2</v>
      </c>
    </row>
    <row r="9449" spans="1:6" x14ac:dyDescent="0.25">
      <c r="A9449" s="1" t="str">
        <f t="shared" si="337"/>
        <v>19430</v>
      </c>
      <c r="B9449" s="1" t="str">
        <f>"45415"</f>
        <v>45415</v>
      </c>
      <c r="C9449" s="2">
        <v>1.4251225764702899E-2</v>
      </c>
      <c r="D9449" s="2">
        <v>1.34511683642899E-2</v>
      </c>
      <c r="E9449" s="2">
        <v>1.7173650282030599E-2</v>
      </c>
      <c r="F9449" s="2">
        <v>1.43200608316887E-2</v>
      </c>
    </row>
    <row r="9450" spans="1:6" x14ac:dyDescent="0.25">
      <c r="A9450" s="1" t="str">
        <f t="shared" si="337"/>
        <v>19430</v>
      </c>
      <c r="B9450" s="1" t="str">
        <f>"45307"</f>
        <v>45307</v>
      </c>
      <c r="C9450" s="2">
        <v>0</v>
      </c>
      <c r="D9450" s="2">
        <v>2.9958058717795E-5</v>
      </c>
      <c r="E9450" s="2">
        <v>0</v>
      </c>
      <c r="F9450" s="2">
        <v>2.1976766162812599E-6</v>
      </c>
    </row>
    <row r="9451" spans="1:6" x14ac:dyDescent="0.25">
      <c r="A9451" s="1" t="str">
        <f t="shared" si="337"/>
        <v>19430</v>
      </c>
      <c r="B9451" s="1" t="str">
        <f>"45381"</f>
        <v>45381</v>
      </c>
      <c r="C9451" s="2">
        <v>3.3350755369720498E-4</v>
      </c>
      <c r="D9451" s="2">
        <v>0</v>
      </c>
      <c r="E9451" s="2">
        <v>0</v>
      </c>
      <c r="F9451" s="2">
        <v>2.9448866658168902E-4</v>
      </c>
    </row>
    <row r="9452" spans="1:6" x14ac:dyDescent="0.25">
      <c r="A9452" s="1" t="str">
        <f t="shared" si="337"/>
        <v>19430</v>
      </c>
      <c r="B9452" s="1" t="str">
        <f>"45316"</f>
        <v>45316</v>
      </c>
      <c r="C9452" s="2">
        <v>2.4888623410239101E-6</v>
      </c>
      <c r="D9452" s="2">
        <v>2.9958058717795E-5</v>
      </c>
      <c r="E9452" s="2">
        <v>0</v>
      </c>
      <c r="F9452" s="2">
        <v>4.3953532325625299E-6</v>
      </c>
    </row>
    <row r="9453" spans="1:6" x14ac:dyDescent="0.25">
      <c r="A9453" s="1" t="str">
        <f t="shared" si="337"/>
        <v>19430</v>
      </c>
      <c r="B9453" s="1" t="str">
        <f>"45437"</f>
        <v>45437</v>
      </c>
      <c r="C9453" s="2">
        <v>2.0309116702755098E-3</v>
      </c>
      <c r="D9453" s="2">
        <v>1.6476932294787201E-3</v>
      </c>
      <c r="E9453" s="2">
        <v>1.00725221595487E-4</v>
      </c>
      <c r="F9453" s="2">
        <v>1.91857168601354E-3</v>
      </c>
    </row>
    <row r="9454" spans="1:6" x14ac:dyDescent="0.25">
      <c r="A9454" s="1" t="str">
        <f t="shared" si="337"/>
        <v>19430</v>
      </c>
      <c r="B9454" s="1" t="str">
        <f>"45042"</f>
        <v>45042</v>
      </c>
      <c r="C9454" s="2">
        <v>1.0204335598198E-4</v>
      </c>
      <c r="D9454" s="2">
        <v>0</v>
      </c>
      <c r="E9454" s="2">
        <v>0</v>
      </c>
      <c r="F9454" s="2">
        <v>9.0104741267531897E-5</v>
      </c>
    </row>
    <row r="9455" spans="1:6" x14ac:dyDescent="0.25">
      <c r="A9455" s="1" t="str">
        <f t="shared" ref="A9455:A9478" si="338">"19460"</f>
        <v>19460</v>
      </c>
      <c r="B9455" s="1" t="str">
        <f>"35672"</f>
        <v>35672</v>
      </c>
      <c r="C9455" s="2">
        <v>4.2531498986745797E-2</v>
      </c>
      <c r="D9455" s="2">
        <v>2.04890042343942E-2</v>
      </c>
      <c r="E9455" s="2">
        <v>2.2398506766215499E-2</v>
      </c>
      <c r="F9455" s="2">
        <v>4.0231242478433397E-2</v>
      </c>
    </row>
    <row r="9456" spans="1:6" x14ac:dyDescent="0.25">
      <c r="A9456" s="1" t="str">
        <f t="shared" si="338"/>
        <v>19460</v>
      </c>
      <c r="B9456" s="1" t="str">
        <f>"35643"</f>
        <v>35643</v>
      </c>
      <c r="C9456" s="2">
        <v>2.1951741412513999E-2</v>
      </c>
      <c r="D9456" s="2">
        <v>1.10640622865728E-2</v>
      </c>
      <c r="E9456" s="2">
        <v>7.4661689220718603E-3</v>
      </c>
      <c r="F9456" s="2">
        <v>2.07060993577847E-2</v>
      </c>
    </row>
    <row r="9457" spans="1:6" x14ac:dyDescent="0.25">
      <c r="A9457" s="1" t="str">
        <f t="shared" si="338"/>
        <v>19460</v>
      </c>
      <c r="B9457" s="1" t="str">
        <f>"35602"</f>
        <v>35602</v>
      </c>
      <c r="C9457" s="2">
        <v>1.7508527697710399E-2</v>
      </c>
      <c r="D9457" s="2">
        <v>8.0043709875700003E-2</v>
      </c>
      <c r="E9457" s="2">
        <v>9.3327111525898199E-4</v>
      </c>
      <c r="F9457" s="2">
        <v>2.2258213269449201E-2</v>
      </c>
    </row>
    <row r="9458" spans="1:6" x14ac:dyDescent="0.25">
      <c r="A9458" s="1" t="str">
        <f t="shared" si="338"/>
        <v>19460</v>
      </c>
      <c r="B9458" s="1" t="str">
        <f>"35622"</f>
        <v>35622</v>
      </c>
      <c r="C9458" s="2">
        <v>3.46897931954636E-2</v>
      </c>
      <c r="D9458" s="2">
        <v>1.72107635568911E-2</v>
      </c>
      <c r="E9458" s="2">
        <v>1.1665888940737199E-2</v>
      </c>
      <c r="F9458" s="2">
        <v>3.2695616965279797E-2</v>
      </c>
    </row>
    <row r="9459" spans="1:6" x14ac:dyDescent="0.25">
      <c r="A9459" s="1" t="str">
        <f t="shared" si="338"/>
        <v>19460</v>
      </c>
      <c r="B9459" s="1" t="str">
        <f>"35601"</f>
        <v>35601</v>
      </c>
      <c r="C9459" s="2">
        <v>0.202487192719674</v>
      </c>
      <c r="D9459" s="2">
        <v>0.40896052451850801</v>
      </c>
      <c r="E9459" s="2">
        <v>0.42977134857676103</v>
      </c>
      <c r="F9459" s="2">
        <v>0.224966539573281</v>
      </c>
    </row>
    <row r="9460" spans="1:6" x14ac:dyDescent="0.25">
      <c r="A9460" s="1" t="str">
        <f t="shared" si="338"/>
        <v>19460</v>
      </c>
      <c r="B9460" s="1" t="str">
        <f>"35603"</f>
        <v>35603</v>
      </c>
      <c r="C9460" s="2">
        <v>0.19040366533663899</v>
      </c>
      <c r="D9460" s="2">
        <v>0.110640622865728</v>
      </c>
      <c r="E9460" s="2">
        <v>0.278581427904806</v>
      </c>
      <c r="F9460" s="2">
        <v>0.185961242141017</v>
      </c>
    </row>
    <row r="9461" spans="1:6" x14ac:dyDescent="0.25">
      <c r="A9461" s="1" t="str">
        <f t="shared" si="338"/>
        <v>19460</v>
      </c>
      <c r="B9461" s="1" t="str">
        <f>"35621"</f>
        <v>35621</v>
      </c>
      <c r="C9461" s="2">
        <v>1.8905685551373799E-2</v>
      </c>
      <c r="D9461" s="2">
        <v>6.14670127031826E-3</v>
      </c>
      <c r="E9461" s="2">
        <v>5.1329911339244002E-3</v>
      </c>
      <c r="F9461" s="2">
        <v>1.7523141118646699E-2</v>
      </c>
    </row>
    <row r="9462" spans="1:6" x14ac:dyDescent="0.25">
      <c r="A9462" s="1" t="str">
        <f t="shared" si="338"/>
        <v>19460</v>
      </c>
      <c r="B9462" s="1" t="str">
        <f>"35175"</f>
        <v>35175</v>
      </c>
      <c r="C9462" s="2">
        <v>7.9172278374262002E-3</v>
      </c>
      <c r="D9462" s="2">
        <v>3.5514274006283198E-3</v>
      </c>
      <c r="E9462" s="2">
        <v>1.8665422305179601E-3</v>
      </c>
      <c r="F9462" s="2">
        <v>7.41190628831078E-3</v>
      </c>
    </row>
    <row r="9463" spans="1:6" x14ac:dyDescent="0.25">
      <c r="A9463" s="1" t="str">
        <f t="shared" si="338"/>
        <v>19460</v>
      </c>
      <c r="B9463" s="1" t="str">
        <f>"35540"</f>
        <v>35540</v>
      </c>
      <c r="C9463" s="2">
        <v>5.0348030762646702E-5</v>
      </c>
      <c r="D9463" s="2">
        <v>0</v>
      </c>
      <c r="E9463" s="2">
        <v>0</v>
      </c>
      <c r="F9463" s="2">
        <v>4.4988809033752803E-5</v>
      </c>
    </row>
    <row r="9464" spans="1:6" x14ac:dyDescent="0.25">
      <c r="A9464" s="1" t="str">
        <f t="shared" si="338"/>
        <v>19460</v>
      </c>
      <c r="B9464" s="1" t="str">
        <f>"35179"</f>
        <v>35179</v>
      </c>
      <c r="C9464" s="2">
        <v>8.1815549989301E-4</v>
      </c>
      <c r="D9464" s="2">
        <v>0</v>
      </c>
      <c r="E9464" s="2">
        <v>0</v>
      </c>
      <c r="F9464" s="2">
        <v>7.3106814679848296E-4</v>
      </c>
    </row>
    <row r="9465" spans="1:6" x14ac:dyDescent="0.25">
      <c r="A9465" s="1" t="str">
        <f t="shared" si="338"/>
        <v>19460</v>
      </c>
      <c r="B9465" s="1" t="str">
        <f>"35754"</f>
        <v>35754</v>
      </c>
      <c r="C9465" s="2">
        <v>3.5130338464636798E-2</v>
      </c>
      <c r="D9465" s="2">
        <v>1.9532850703455801E-2</v>
      </c>
      <c r="E9465" s="2">
        <v>1.7732151189920602E-2</v>
      </c>
      <c r="F9465" s="2">
        <v>3.3426685112078303E-2</v>
      </c>
    </row>
    <row r="9466" spans="1:6" x14ac:dyDescent="0.25">
      <c r="A9466" s="1" t="str">
        <f t="shared" si="338"/>
        <v>19460</v>
      </c>
      <c r="B9466" s="1" t="str">
        <f>"35618"</f>
        <v>35618</v>
      </c>
      <c r="C9466" s="2">
        <v>1.3191184059813401E-2</v>
      </c>
      <c r="D9466" s="2">
        <v>1.0790875563447599E-2</v>
      </c>
      <c r="E9466" s="2">
        <v>9.7993467102193092E-3</v>
      </c>
      <c r="F9466" s="2">
        <v>1.2911788192687E-2</v>
      </c>
    </row>
    <row r="9467" spans="1:6" x14ac:dyDescent="0.25">
      <c r="A9467" s="1" t="str">
        <f t="shared" si="338"/>
        <v>19460</v>
      </c>
      <c r="B9467" s="1" t="str">
        <f>"35019"</f>
        <v>35019</v>
      </c>
      <c r="C9467" s="2">
        <v>2.6810326381109398E-3</v>
      </c>
      <c r="D9467" s="2">
        <v>0</v>
      </c>
      <c r="E9467" s="2">
        <v>9.3327111525898199E-4</v>
      </c>
      <c r="F9467" s="2">
        <v>2.4181484855642101E-3</v>
      </c>
    </row>
    <row r="9468" spans="1:6" x14ac:dyDescent="0.25">
      <c r="A9468" s="1" t="str">
        <f t="shared" si="338"/>
        <v>19460</v>
      </c>
      <c r="B9468" s="1" t="str">
        <f>"35670"</f>
        <v>35670</v>
      </c>
      <c r="C9468" s="2">
        <v>5.28276712777071E-2</v>
      </c>
      <c r="D9468" s="2">
        <v>2.8001639120338699E-2</v>
      </c>
      <c r="E9468" s="2">
        <v>1.7732151189920602E-2</v>
      </c>
      <c r="F9468" s="2">
        <v>4.9937578027465603E-2</v>
      </c>
    </row>
    <row r="9469" spans="1:6" x14ac:dyDescent="0.25">
      <c r="A9469" s="1" t="str">
        <f t="shared" si="338"/>
        <v>19460</v>
      </c>
      <c r="B9469" s="1" t="str">
        <f>"35673"</f>
        <v>35673</v>
      </c>
      <c r="C9469" s="2">
        <v>5.1631905547094202E-2</v>
      </c>
      <c r="D9469" s="2">
        <v>2.9230979374402399E-2</v>
      </c>
      <c r="E9469" s="2">
        <v>2.1931871208586001E-2</v>
      </c>
      <c r="F9469" s="2">
        <v>4.9071543453565902E-2</v>
      </c>
    </row>
    <row r="9470" spans="1:6" x14ac:dyDescent="0.25">
      <c r="A9470" s="1" t="str">
        <f t="shared" si="338"/>
        <v>19460</v>
      </c>
      <c r="B9470" s="1" t="str">
        <f>"35654"</f>
        <v>35654</v>
      </c>
      <c r="C9470" s="2">
        <v>1.8502901305272601E-3</v>
      </c>
      <c r="D9470" s="2">
        <v>6.8296680781313997E-4</v>
      </c>
      <c r="E9470" s="2">
        <v>0</v>
      </c>
      <c r="F9470" s="2">
        <v>1.7095747432825999E-3</v>
      </c>
    </row>
    <row r="9471" spans="1:6" x14ac:dyDescent="0.25">
      <c r="A9471" s="1" t="str">
        <f t="shared" si="338"/>
        <v>19460</v>
      </c>
      <c r="B9471" s="1" t="str">
        <f>"35651"</f>
        <v>35651</v>
      </c>
      <c r="C9471" s="2">
        <v>8.1060329527861304E-3</v>
      </c>
      <c r="D9471" s="2">
        <v>3.9612074853162104E-3</v>
      </c>
      <c r="E9471" s="2">
        <v>9.3327111525898199E-4</v>
      </c>
      <c r="F9471" s="2">
        <v>7.5918615244457898E-3</v>
      </c>
    </row>
    <row r="9472" spans="1:6" x14ac:dyDescent="0.25">
      <c r="A9472" s="1" t="str">
        <f t="shared" si="338"/>
        <v>19460</v>
      </c>
      <c r="B9472" s="1" t="str">
        <f>"35619"</f>
        <v>35619</v>
      </c>
      <c r="C9472" s="2">
        <v>3.4866011303132903E-2</v>
      </c>
      <c r="D9472" s="2">
        <v>9.9713153940718408E-3</v>
      </c>
      <c r="E9472" s="2">
        <v>8.3994400373308391E-3</v>
      </c>
      <c r="F9472" s="2">
        <v>3.21782456613917E-2</v>
      </c>
    </row>
    <row r="9473" spans="1:6" x14ac:dyDescent="0.25">
      <c r="A9473" s="1" t="str">
        <f t="shared" si="338"/>
        <v>19460</v>
      </c>
      <c r="B9473" s="1" t="str">
        <f>"35058"</f>
        <v>35058</v>
      </c>
      <c r="C9473" s="2">
        <v>2.51740153813233E-5</v>
      </c>
      <c r="D9473" s="2">
        <v>0</v>
      </c>
      <c r="E9473" s="2">
        <v>0</v>
      </c>
      <c r="F9473" s="2">
        <v>2.2494404516876401E-5</v>
      </c>
    </row>
    <row r="9474" spans="1:6" x14ac:dyDescent="0.25">
      <c r="A9474" s="1" t="str">
        <f t="shared" si="338"/>
        <v>19460</v>
      </c>
      <c r="B9474" s="1" t="str">
        <f>"35016"</f>
        <v>35016</v>
      </c>
      <c r="C9474" s="2">
        <v>1.5104409228794001E-4</v>
      </c>
      <c r="D9474" s="2">
        <v>0</v>
      </c>
      <c r="E9474" s="2">
        <v>0</v>
      </c>
      <c r="F9474" s="2">
        <v>1.3496642710125799E-4</v>
      </c>
    </row>
    <row r="9475" spans="1:6" x14ac:dyDescent="0.25">
      <c r="A9475" s="1" t="str">
        <f t="shared" si="338"/>
        <v>19460</v>
      </c>
      <c r="B9475" s="1" t="str">
        <f>"35087"</f>
        <v>35087</v>
      </c>
      <c r="C9475" s="2">
        <v>5.9788286530643E-3</v>
      </c>
      <c r="D9475" s="2">
        <v>1.09274689250102E-3</v>
      </c>
      <c r="E9475" s="2">
        <v>9.3327111525898199E-4</v>
      </c>
      <c r="F9475" s="2">
        <v>5.4548930953425296E-3</v>
      </c>
    </row>
    <row r="9476" spans="1:6" x14ac:dyDescent="0.25">
      <c r="A9476" s="1" t="str">
        <f t="shared" si="338"/>
        <v>19460</v>
      </c>
      <c r="B9476" s="1" t="str">
        <f>"35650"</f>
        <v>35650</v>
      </c>
      <c r="C9476" s="2">
        <v>8.7441942427026798E-2</v>
      </c>
      <c r="D9476" s="2">
        <v>9.1654145608523405E-2</v>
      </c>
      <c r="E9476" s="2">
        <v>6.9528698086794197E-2</v>
      </c>
      <c r="F9476" s="2">
        <v>8.7357019941289596E-2</v>
      </c>
    </row>
    <row r="9477" spans="1:6" x14ac:dyDescent="0.25">
      <c r="A9477" s="1" t="str">
        <f t="shared" si="338"/>
        <v>19460</v>
      </c>
      <c r="B9477" s="1" t="str">
        <f>"35640"</f>
        <v>35640</v>
      </c>
      <c r="C9477" s="2">
        <v>0.16461288657847301</v>
      </c>
      <c r="D9477" s="2">
        <v>0.14670127031826199</v>
      </c>
      <c r="E9477" s="2">
        <v>9.3793747083527695E-2</v>
      </c>
      <c r="F9477" s="2">
        <v>0.16143109401536301</v>
      </c>
    </row>
    <row r="9478" spans="1:6" x14ac:dyDescent="0.25">
      <c r="A9478" s="1" t="str">
        <f t="shared" si="338"/>
        <v>19460</v>
      </c>
      <c r="B9478" s="1" t="str">
        <f>"35775"</f>
        <v>35775</v>
      </c>
      <c r="C9478" s="2">
        <v>4.2418215917529901E-3</v>
      </c>
      <c r="D9478" s="2">
        <v>2.7318672312525599E-4</v>
      </c>
      <c r="E9478" s="2">
        <v>4.66635557629491E-4</v>
      </c>
      <c r="F9478" s="2">
        <v>3.8240487678689902E-3</v>
      </c>
    </row>
    <row r="9479" spans="1:6" x14ac:dyDescent="0.25">
      <c r="A9479" s="1" t="str">
        <f t="shared" ref="A9479:A9507" si="339">"19500"</f>
        <v>19500</v>
      </c>
      <c r="B9479" s="1" t="str">
        <f>"62526"</f>
        <v>62526</v>
      </c>
      <c r="C9479" s="2">
        <v>0.31025664444241402</v>
      </c>
      <c r="D9479" s="2">
        <v>0.30934343434343398</v>
      </c>
      <c r="E9479" s="2">
        <v>0.38409563409563402</v>
      </c>
      <c r="F9479" s="2">
        <v>0.31249898243271801</v>
      </c>
    </row>
    <row r="9480" spans="1:6" x14ac:dyDescent="0.25">
      <c r="A9480" s="1" t="str">
        <f t="shared" si="339"/>
        <v>19500</v>
      </c>
      <c r="B9480" s="1" t="str">
        <f>"62522"</f>
        <v>62522</v>
      </c>
      <c r="C9480" s="2">
        <v>0.13814960270344301</v>
      </c>
      <c r="D9480" s="2">
        <v>9.1750841750841694E-2</v>
      </c>
      <c r="E9480" s="2">
        <v>0.27286902286902198</v>
      </c>
      <c r="F9480" s="2">
        <v>0.138779896126731</v>
      </c>
    </row>
    <row r="9481" spans="1:6" x14ac:dyDescent="0.25">
      <c r="A9481" s="1" t="str">
        <f t="shared" si="339"/>
        <v>19500</v>
      </c>
      <c r="B9481" s="1" t="str">
        <f>"62524"</f>
        <v>62524</v>
      </c>
      <c r="C9481" s="2">
        <v>1.94538314001278E-2</v>
      </c>
      <c r="D9481" s="2">
        <v>3.95622895622895E-2</v>
      </c>
      <c r="E9481" s="2">
        <v>1.03950103950103E-3</v>
      </c>
      <c r="F9481" s="2">
        <v>2.0432751013497001E-2</v>
      </c>
    </row>
    <row r="9482" spans="1:6" x14ac:dyDescent="0.25">
      <c r="A9482" s="1" t="str">
        <f t="shared" si="339"/>
        <v>19500</v>
      </c>
      <c r="B9482" s="1" t="str">
        <f>"62537"</f>
        <v>62537</v>
      </c>
      <c r="C9482" s="2">
        <v>5.4799525070782699E-5</v>
      </c>
      <c r="D9482" s="2">
        <v>2.1043771043770999E-4</v>
      </c>
      <c r="E9482" s="2">
        <v>0</v>
      </c>
      <c r="F9482" s="2">
        <v>6.5124306019113894E-5</v>
      </c>
    </row>
    <row r="9483" spans="1:6" x14ac:dyDescent="0.25">
      <c r="A9483" s="1" t="str">
        <f t="shared" si="339"/>
        <v>19500</v>
      </c>
      <c r="B9483" s="1" t="str">
        <f>"62513"</f>
        <v>62513</v>
      </c>
      <c r="C9483" s="2">
        <v>1.2220294090784499E-2</v>
      </c>
      <c r="D9483" s="2">
        <v>1.2626262626262599E-3</v>
      </c>
      <c r="E9483" s="2">
        <v>8.3160083160083095E-3</v>
      </c>
      <c r="F9483" s="2">
        <v>1.12502238648019E-2</v>
      </c>
    </row>
    <row r="9484" spans="1:6" x14ac:dyDescent="0.25">
      <c r="A9484" s="1" t="str">
        <f t="shared" si="339"/>
        <v>19500</v>
      </c>
      <c r="B9484" s="1" t="str">
        <f>"62535"</f>
        <v>62535</v>
      </c>
      <c r="C9484" s="2">
        <v>2.79112247693853E-2</v>
      </c>
      <c r="D9484" s="2">
        <v>4.9031986531986503E-2</v>
      </c>
      <c r="E9484" s="2">
        <v>1.9230769230769201E-2</v>
      </c>
      <c r="F9484" s="2">
        <v>2.9273375555591698E-2</v>
      </c>
    </row>
    <row r="9485" spans="1:6" x14ac:dyDescent="0.25">
      <c r="A9485" s="1" t="str">
        <f t="shared" si="339"/>
        <v>19500</v>
      </c>
      <c r="B9485" s="1" t="str">
        <f>"62532"</f>
        <v>62532</v>
      </c>
      <c r="C9485" s="2">
        <v>0</v>
      </c>
      <c r="D9485" s="2">
        <v>2.1043771043770999E-4</v>
      </c>
      <c r="E9485" s="2">
        <v>0</v>
      </c>
      <c r="F9485" s="2">
        <v>1.6281076504778399E-5</v>
      </c>
    </row>
    <row r="9486" spans="1:6" x14ac:dyDescent="0.25">
      <c r="A9486" s="1" t="str">
        <f t="shared" si="339"/>
        <v>19500</v>
      </c>
      <c r="B9486" s="1" t="str">
        <f>"62550"</f>
        <v>62550</v>
      </c>
      <c r="C9486" s="2">
        <v>5.6626175906475396E-4</v>
      </c>
      <c r="D9486" s="2">
        <v>4.2087542087541999E-4</v>
      </c>
      <c r="E9486" s="2">
        <v>0</v>
      </c>
      <c r="F9486" s="2">
        <v>5.3727552465769005E-4</v>
      </c>
    </row>
    <row r="9487" spans="1:6" x14ac:dyDescent="0.25">
      <c r="A9487" s="1" t="str">
        <f t="shared" si="339"/>
        <v>19500</v>
      </c>
      <c r="B9487" s="1" t="str">
        <f>"62523"</f>
        <v>62523</v>
      </c>
      <c r="C9487" s="2">
        <v>8.0372636770481305E-3</v>
      </c>
      <c r="D9487" s="2">
        <v>0.13552188552188499</v>
      </c>
      <c r="E9487" s="2">
        <v>6.08108108108108E-2</v>
      </c>
      <c r="F9487" s="2">
        <v>1.9553572882238902E-2</v>
      </c>
    </row>
    <row r="9488" spans="1:6" x14ac:dyDescent="0.25">
      <c r="A9488" s="1" t="str">
        <f t="shared" si="339"/>
        <v>19500</v>
      </c>
      <c r="B9488" s="1" t="str">
        <f>"61830"</f>
        <v>61830</v>
      </c>
      <c r="C9488" s="2">
        <v>6.0279477577860903E-4</v>
      </c>
      <c r="D9488" s="2">
        <v>2.1043771043770999E-4</v>
      </c>
      <c r="E9488" s="2">
        <v>0</v>
      </c>
      <c r="F9488" s="2">
        <v>5.5355660116246797E-4</v>
      </c>
    </row>
    <row r="9489" spans="1:6" x14ac:dyDescent="0.25">
      <c r="A9489" s="1" t="str">
        <f t="shared" si="339"/>
        <v>19500</v>
      </c>
      <c r="B9489" s="1" t="str">
        <f>"62554"</f>
        <v>62554</v>
      </c>
      <c r="C9489" s="2">
        <v>1.2950954425061599E-2</v>
      </c>
      <c r="D9489" s="2">
        <v>2.3148148148148099E-3</v>
      </c>
      <c r="E9489" s="2">
        <v>1.03950103950103E-2</v>
      </c>
      <c r="F9489" s="2">
        <v>1.2047996613536E-2</v>
      </c>
    </row>
    <row r="9490" spans="1:6" x14ac:dyDescent="0.25">
      <c r="A9490" s="1" t="str">
        <f t="shared" si="339"/>
        <v>19500</v>
      </c>
      <c r="B9490" s="1" t="str">
        <f>"62539"</f>
        <v>62539</v>
      </c>
      <c r="C9490" s="2">
        <v>5.1146223399397195E-4</v>
      </c>
      <c r="D9490" s="2">
        <v>0</v>
      </c>
      <c r="E9490" s="2">
        <v>0</v>
      </c>
      <c r="F9490" s="2">
        <v>4.5587014213379701E-4</v>
      </c>
    </row>
    <row r="9491" spans="1:6" x14ac:dyDescent="0.25">
      <c r="A9491" s="1" t="str">
        <f t="shared" si="339"/>
        <v>19500</v>
      </c>
      <c r="B9491" s="1" t="str">
        <f>"62543"</f>
        <v>62543</v>
      </c>
      <c r="C9491" s="2">
        <v>4.5666270892318902E-4</v>
      </c>
      <c r="D9491" s="2">
        <v>0</v>
      </c>
      <c r="E9491" s="2">
        <v>0</v>
      </c>
      <c r="F9491" s="2">
        <v>4.0702691261946199E-4</v>
      </c>
    </row>
    <row r="9492" spans="1:6" x14ac:dyDescent="0.25">
      <c r="A9492" s="1" t="str">
        <f t="shared" si="339"/>
        <v>19500</v>
      </c>
      <c r="B9492" s="1" t="str">
        <f>"61818"</f>
        <v>61818</v>
      </c>
      <c r="C9492" s="2">
        <v>6.7586080920632003E-4</v>
      </c>
      <c r="D9492" s="2">
        <v>2.1043771043770999E-4</v>
      </c>
      <c r="E9492" s="2">
        <v>0</v>
      </c>
      <c r="F9492" s="2">
        <v>6.1868090718158195E-4</v>
      </c>
    </row>
    <row r="9493" spans="1:6" x14ac:dyDescent="0.25">
      <c r="A9493" s="1" t="str">
        <f t="shared" si="339"/>
        <v>19500</v>
      </c>
      <c r="B9493" s="1" t="str">
        <f>"62525"</f>
        <v>62525</v>
      </c>
      <c r="C9493" s="2">
        <v>1.8851036624349199E-2</v>
      </c>
      <c r="D9493" s="2">
        <v>7.4705387205387205E-2</v>
      </c>
      <c r="E9493" s="2">
        <v>1.03950103950103E-3</v>
      </c>
      <c r="F9493" s="2">
        <v>2.26144152651373E-2</v>
      </c>
    </row>
    <row r="9494" spans="1:6" x14ac:dyDescent="0.25">
      <c r="A9494" s="1" t="str">
        <f t="shared" si="339"/>
        <v>19500</v>
      </c>
      <c r="B9494" s="1" t="str">
        <f>"61925"</f>
        <v>61925</v>
      </c>
      <c r="C9494" s="2">
        <v>3.08703991232075E-3</v>
      </c>
      <c r="D9494" s="2">
        <v>0</v>
      </c>
      <c r="E9494" s="2">
        <v>0</v>
      </c>
      <c r="F9494" s="2">
        <v>2.7515019293075601E-3</v>
      </c>
    </row>
    <row r="9495" spans="1:6" x14ac:dyDescent="0.25">
      <c r="A9495" s="1" t="str">
        <f t="shared" si="339"/>
        <v>19500</v>
      </c>
      <c r="B9495" s="1" t="str">
        <f>"61756"</f>
        <v>61756</v>
      </c>
      <c r="C9495" s="2">
        <v>2.01844917344049E-2</v>
      </c>
      <c r="D9495" s="2">
        <v>5.8922558922558897E-3</v>
      </c>
      <c r="E9495" s="2">
        <v>1.1954261954261899E-2</v>
      </c>
      <c r="F9495" s="2">
        <v>1.8820924439523899E-2</v>
      </c>
    </row>
    <row r="9496" spans="1:6" x14ac:dyDescent="0.25">
      <c r="A9496" s="1" t="str">
        <f t="shared" si="339"/>
        <v>19500</v>
      </c>
      <c r="B9496" s="1" t="str">
        <f>"62547"</f>
        <v>62547</v>
      </c>
      <c r="C9496" s="2">
        <v>2.1919810028313001E-4</v>
      </c>
      <c r="D9496" s="2">
        <v>0</v>
      </c>
      <c r="E9496" s="2">
        <v>0</v>
      </c>
      <c r="F9496" s="2">
        <v>1.95372918057341E-4</v>
      </c>
    </row>
    <row r="9497" spans="1:6" x14ac:dyDescent="0.25">
      <c r="A9497" s="1" t="str">
        <f t="shared" si="339"/>
        <v>19500</v>
      </c>
      <c r="B9497" s="1" t="str">
        <f>"61749"</f>
        <v>61749</v>
      </c>
      <c r="C9497" s="2">
        <v>2.0093159192620299E-4</v>
      </c>
      <c r="D9497" s="2">
        <v>0</v>
      </c>
      <c r="E9497" s="2">
        <v>0</v>
      </c>
      <c r="F9497" s="2">
        <v>1.79091841552563E-4</v>
      </c>
    </row>
    <row r="9498" spans="1:6" x14ac:dyDescent="0.25">
      <c r="A9498" s="1" t="str">
        <f t="shared" si="339"/>
        <v>19500</v>
      </c>
      <c r="B9498" s="1" t="str">
        <f>"62514"</f>
        <v>62514</v>
      </c>
      <c r="C9498" s="2">
        <v>1.8266508356927501E-5</v>
      </c>
      <c r="D9498" s="2">
        <v>2.1043771043770999E-4</v>
      </c>
      <c r="E9498" s="2">
        <v>0</v>
      </c>
      <c r="F9498" s="2">
        <v>3.2562153009556899E-5</v>
      </c>
    </row>
    <row r="9499" spans="1:6" x14ac:dyDescent="0.25">
      <c r="A9499" s="1" t="str">
        <f t="shared" si="339"/>
        <v>19500</v>
      </c>
      <c r="B9499" s="1" t="str">
        <f>"62573"</f>
        <v>62573</v>
      </c>
      <c r="C9499" s="2">
        <v>1.2439492191067599E-2</v>
      </c>
      <c r="D9499" s="2">
        <v>5.2609427609427604E-3</v>
      </c>
      <c r="E9499" s="2">
        <v>1.24740124740124E-2</v>
      </c>
      <c r="F9499" s="2">
        <v>1.18851858484883E-2</v>
      </c>
    </row>
    <row r="9500" spans="1:6" x14ac:dyDescent="0.25">
      <c r="A9500" s="1" t="str">
        <f t="shared" si="339"/>
        <v>19500</v>
      </c>
      <c r="B9500" s="1" t="str">
        <f>"62544"</f>
        <v>62544</v>
      </c>
      <c r="C9500" s="2">
        <v>1.5179468444606801E-2</v>
      </c>
      <c r="D9500" s="2">
        <v>6.5235690235690199E-3</v>
      </c>
      <c r="E9500" s="2">
        <v>3.11850311850311E-3</v>
      </c>
      <c r="F9500" s="2">
        <v>1.4131974406147701E-2</v>
      </c>
    </row>
    <row r="9501" spans="1:6" x14ac:dyDescent="0.25">
      <c r="A9501" s="1" t="str">
        <f t="shared" si="339"/>
        <v>19500</v>
      </c>
      <c r="B9501" s="1" t="str">
        <f>"62551"</f>
        <v>62551</v>
      </c>
      <c r="C9501" s="2">
        <v>8.0372636770481305E-3</v>
      </c>
      <c r="D9501" s="2">
        <v>6.3131313131313104E-4</v>
      </c>
      <c r="E9501" s="2">
        <v>5.19750519750519E-3</v>
      </c>
      <c r="F9501" s="2">
        <v>7.3753276566646498E-3</v>
      </c>
    </row>
    <row r="9502" spans="1:6" x14ac:dyDescent="0.25">
      <c r="A9502" s="1" t="str">
        <f t="shared" si="339"/>
        <v>19500</v>
      </c>
      <c r="B9502" s="1" t="str">
        <f>"62549"</f>
        <v>62549</v>
      </c>
      <c r="C9502" s="2">
        <v>5.0872225774043198E-2</v>
      </c>
      <c r="D9502" s="2">
        <v>4.79797979797979E-2</v>
      </c>
      <c r="E9502" s="2">
        <v>1.4033264033263999E-2</v>
      </c>
      <c r="F9502" s="2">
        <v>4.9494472574526598E-2</v>
      </c>
    </row>
    <row r="9503" spans="1:6" x14ac:dyDescent="0.25">
      <c r="A9503" s="1" t="str">
        <f t="shared" si="339"/>
        <v>19500</v>
      </c>
      <c r="B9503" s="1" t="str">
        <f>"62521"</f>
        <v>62521</v>
      </c>
      <c r="C9503" s="2">
        <v>0.31683258745090798</v>
      </c>
      <c r="D9503" s="2">
        <v>0.22159090909090901</v>
      </c>
      <c r="E9503" s="2">
        <v>0.191268191268191</v>
      </c>
      <c r="F9503" s="2">
        <v>0.30553068168867298</v>
      </c>
    </row>
    <row r="9504" spans="1:6" x14ac:dyDescent="0.25">
      <c r="A9504" s="1" t="str">
        <f t="shared" si="339"/>
        <v>19500</v>
      </c>
      <c r="B9504" s="1" t="str">
        <f>"62501"</f>
        <v>62501</v>
      </c>
      <c r="C9504" s="2">
        <v>2.1645812402959101E-2</v>
      </c>
      <c r="D9504" s="2">
        <v>6.7340067340067302E-3</v>
      </c>
      <c r="E9504" s="2">
        <v>4.1580041580041504E-3</v>
      </c>
      <c r="F9504" s="2">
        <v>1.9944318718353601E-2</v>
      </c>
    </row>
    <row r="9505" spans="1:6" x14ac:dyDescent="0.25">
      <c r="A9505" s="1" t="str">
        <f t="shared" si="339"/>
        <v>19500</v>
      </c>
      <c r="B9505" s="1" t="str">
        <f>"61937"</f>
        <v>61937</v>
      </c>
      <c r="C9505" s="2">
        <v>3.8359667549547899E-4</v>
      </c>
      <c r="D9505" s="2">
        <v>2.1043771043770999E-4</v>
      </c>
      <c r="E9505" s="2">
        <v>0</v>
      </c>
      <c r="F9505" s="2">
        <v>3.58183683105126E-4</v>
      </c>
    </row>
    <row r="9506" spans="1:6" x14ac:dyDescent="0.25">
      <c r="A9506" s="1" t="str">
        <f t="shared" si="339"/>
        <v>19500</v>
      </c>
      <c r="B9506" s="1" t="str">
        <f>"61882"</f>
        <v>61882</v>
      </c>
      <c r="C9506" s="2">
        <v>1.4613206685542001E-4</v>
      </c>
      <c r="D9506" s="2">
        <v>0</v>
      </c>
      <c r="E9506" s="2">
        <v>0</v>
      </c>
      <c r="F9506" s="2">
        <v>1.30248612038227E-4</v>
      </c>
    </row>
    <row r="9507" spans="1:6" x14ac:dyDescent="0.25">
      <c r="A9507" s="1" t="str">
        <f t="shared" si="339"/>
        <v>19500</v>
      </c>
      <c r="B9507" s="1" t="str">
        <f>"61914"</f>
        <v>61914</v>
      </c>
      <c r="C9507" s="2">
        <v>5.4799525070782699E-5</v>
      </c>
      <c r="D9507" s="2">
        <v>2.1043771043770999E-4</v>
      </c>
      <c r="E9507" s="2">
        <v>0</v>
      </c>
      <c r="F9507" s="2">
        <v>6.5124306019113894E-5</v>
      </c>
    </row>
    <row r="9508" spans="1:6" x14ac:dyDescent="0.25">
      <c r="A9508" s="1" t="str">
        <f t="shared" ref="A9508:A9520" si="340">"19540"</f>
        <v>19540</v>
      </c>
      <c r="B9508" s="1" t="str">
        <f>"46714"</f>
        <v>46714</v>
      </c>
      <c r="C9508" s="2">
        <v>8.9724417859431693E-3</v>
      </c>
      <c r="D9508" s="2">
        <v>4.3478260869565201E-3</v>
      </c>
      <c r="E9508" s="2">
        <v>0</v>
      </c>
      <c r="F9508" s="2">
        <v>8.4669079627714503E-3</v>
      </c>
    </row>
    <row r="9509" spans="1:6" x14ac:dyDescent="0.25">
      <c r="A9509" s="1" t="str">
        <f t="shared" si="340"/>
        <v>19540</v>
      </c>
      <c r="B9509" s="1" t="str">
        <f>"46780"</f>
        <v>46780</v>
      </c>
      <c r="C9509" s="2">
        <v>0</v>
      </c>
      <c r="D9509" s="2">
        <v>0</v>
      </c>
      <c r="E9509" s="2">
        <v>3.5842293906810001E-3</v>
      </c>
      <c r="F9509" s="2">
        <v>6.4632885211995801E-5</v>
      </c>
    </row>
    <row r="9510" spans="1:6" x14ac:dyDescent="0.25">
      <c r="A9510" s="1" t="str">
        <f t="shared" si="340"/>
        <v>19540</v>
      </c>
      <c r="B9510" s="1" t="str">
        <f>"46769"</f>
        <v>46769</v>
      </c>
      <c r="C9510" s="2">
        <v>0</v>
      </c>
      <c r="D9510" s="2">
        <v>8.6956521739130395E-4</v>
      </c>
      <c r="E9510" s="2">
        <v>0</v>
      </c>
      <c r="F9510" s="2">
        <v>6.4632885211995801E-5</v>
      </c>
    </row>
    <row r="9511" spans="1:6" x14ac:dyDescent="0.25">
      <c r="A9511" s="1" t="str">
        <f t="shared" si="340"/>
        <v>19540</v>
      </c>
      <c r="B9511" s="1" t="str">
        <f>"46745"</f>
        <v>46745</v>
      </c>
      <c r="C9511" s="2">
        <v>4.2725913266395999E-4</v>
      </c>
      <c r="D9511" s="2">
        <v>0</v>
      </c>
      <c r="E9511" s="2">
        <v>0</v>
      </c>
      <c r="F9511" s="2">
        <v>3.8779731127197499E-4</v>
      </c>
    </row>
    <row r="9512" spans="1:6" x14ac:dyDescent="0.25">
      <c r="A9512" s="1" t="str">
        <f t="shared" si="340"/>
        <v>19540</v>
      </c>
      <c r="B9512" s="1" t="str">
        <f>"47326"</f>
        <v>47326</v>
      </c>
      <c r="C9512" s="2">
        <v>1.21056754254788E-3</v>
      </c>
      <c r="D9512" s="2">
        <v>8.6956521739130395E-4</v>
      </c>
      <c r="E9512" s="2">
        <v>0</v>
      </c>
      <c r="F9512" s="2">
        <v>1.1633919338159199E-3</v>
      </c>
    </row>
    <row r="9513" spans="1:6" x14ac:dyDescent="0.25">
      <c r="A9513" s="1" t="str">
        <f t="shared" si="340"/>
        <v>19540</v>
      </c>
      <c r="B9513" s="1" t="str">
        <f>"46773"</f>
        <v>46773</v>
      </c>
      <c r="C9513" s="2">
        <v>4.4150110375275903E-3</v>
      </c>
      <c r="D9513" s="2">
        <v>1.7391304347826001E-3</v>
      </c>
      <c r="E9513" s="2">
        <v>0</v>
      </c>
      <c r="F9513" s="2">
        <v>4.1365046535677304E-3</v>
      </c>
    </row>
    <row r="9514" spans="1:6" x14ac:dyDescent="0.25">
      <c r="A9514" s="1" t="str">
        <f t="shared" si="340"/>
        <v>19540</v>
      </c>
      <c r="B9514" s="1" t="str">
        <f>"46731"</f>
        <v>46731</v>
      </c>
      <c r="C9514" s="2">
        <v>4.2725913266395999E-4</v>
      </c>
      <c r="D9514" s="2">
        <v>8.6956521739130395E-4</v>
      </c>
      <c r="E9514" s="2">
        <v>0</v>
      </c>
      <c r="F9514" s="2">
        <v>4.52430196483971E-4</v>
      </c>
    </row>
    <row r="9515" spans="1:6" x14ac:dyDescent="0.25">
      <c r="A9515" s="1" t="str">
        <f t="shared" si="340"/>
        <v>19540</v>
      </c>
      <c r="B9515" s="1" t="str">
        <f>"46782"</f>
        <v>46782</v>
      </c>
      <c r="C9515" s="2">
        <v>0</v>
      </c>
      <c r="D9515" s="2">
        <v>0</v>
      </c>
      <c r="E9515" s="2">
        <v>7.1684587813620002E-3</v>
      </c>
      <c r="F9515" s="2">
        <v>1.29265770423991E-4</v>
      </c>
    </row>
    <row r="9516" spans="1:6" x14ac:dyDescent="0.25">
      <c r="A9516" s="1" t="str">
        <f t="shared" si="340"/>
        <v>19540</v>
      </c>
      <c r="B9516" s="1" t="str">
        <f>"46733"</f>
        <v>46733</v>
      </c>
      <c r="C9516" s="2">
        <v>0.59282204657124504</v>
      </c>
      <c r="D9516" s="2">
        <v>0.65217391304347805</v>
      </c>
      <c r="E9516" s="2">
        <v>0.63440860215053696</v>
      </c>
      <c r="F9516" s="2">
        <v>0.59798345398138497</v>
      </c>
    </row>
    <row r="9517" spans="1:6" x14ac:dyDescent="0.25">
      <c r="A9517" s="1" t="str">
        <f t="shared" si="340"/>
        <v>19540</v>
      </c>
      <c r="B9517" s="1" t="str">
        <f>"46740"</f>
        <v>46740</v>
      </c>
      <c r="C9517" s="2">
        <v>0.103752759381898</v>
      </c>
      <c r="D9517" s="2">
        <v>2.4347826086956501E-2</v>
      </c>
      <c r="E9517" s="2">
        <v>0.121863799283154</v>
      </c>
      <c r="F9517" s="2">
        <v>9.8177352637021695E-2</v>
      </c>
    </row>
    <row r="9518" spans="1:6" x14ac:dyDescent="0.25">
      <c r="A9518" s="1" t="str">
        <f t="shared" si="340"/>
        <v>19540</v>
      </c>
      <c r="B9518" s="1" t="str">
        <f>"46777"</f>
        <v>46777</v>
      </c>
      <c r="C9518" s="2">
        <v>1.49540696432386E-3</v>
      </c>
      <c r="D9518" s="2">
        <v>0</v>
      </c>
      <c r="E9518" s="2">
        <v>0</v>
      </c>
      <c r="F9518" s="2">
        <v>1.35729058945191E-3</v>
      </c>
    </row>
    <row r="9519" spans="1:6" x14ac:dyDescent="0.25">
      <c r="A9519" s="1" t="str">
        <f t="shared" si="340"/>
        <v>19540</v>
      </c>
      <c r="B9519" s="1" t="str">
        <f>"46772"</f>
        <v>46772</v>
      </c>
      <c r="C9519" s="2">
        <v>7.1993163853877301E-2</v>
      </c>
      <c r="D9519" s="2">
        <v>5.3043478260869498E-2</v>
      </c>
      <c r="E9519" s="2">
        <v>4.3010752688171998E-2</v>
      </c>
      <c r="F9519" s="2">
        <v>7.0062047569803498E-2</v>
      </c>
    </row>
    <row r="9520" spans="1:6" x14ac:dyDescent="0.25">
      <c r="A9520" s="1" t="str">
        <f t="shared" si="340"/>
        <v>19540</v>
      </c>
      <c r="B9520" s="1" t="str">
        <f>"46711"</f>
        <v>46711</v>
      </c>
      <c r="C9520" s="2">
        <v>0.214484084597308</v>
      </c>
      <c r="D9520" s="2">
        <v>0.26173913043478197</v>
      </c>
      <c r="E9520" s="2">
        <v>0.18996415770609301</v>
      </c>
      <c r="F9520" s="2">
        <v>0.21755429162357801</v>
      </c>
    </row>
    <row r="9521" spans="1:6" x14ac:dyDescent="0.25">
      <c r="A9521" s="1" t="str">
        <f t="shared" ref="A9521:A9536" si="341">"19580"</f>
        <v>19580</v>
      </c>
      <c r="B9521" s="1" t="str">
        <f>"43526"</f>
        <v>43526</v>
      </c>
      <c r="C9521" s="2">
        <v>0.14243306822000601</v>
      </c>
      <c r="D9521" s="2">
        <v>0.117684887459807</v>
      </c>
      <c r="E9521" s="2">
        <v>0.14201183431952599</v>
      </c>
      <c r="F9521" s="2">
        <v>0.14049005824462699</v>
      </c>
    </row>
    <row r="9522" spans="1:6" x14ac:dyDescent="0.25">
      <c r="A9522" s="1" t="str">
        <f t="shared" si="341"/>
        <v>19580</v>
      </c>
      <c r="B9522" s="1" t="str">
        <f>"43549"</f>
        <v>43549</v>
      </c>
      <c r="C9522" s="2">
        <v>2.7164781001456199E-2</v>
      </c>
      <c r="D9522" s="2">
        <v>6.4308681672025697E-3</v>
      </c>
      <c r="E9522" s="2">
        <v>0</v>
      </c>
      <c r="F9522" s="2">
        <v>2.4854388431411901E-2</v>
      </c>
    </row>
    <row r="9523" spans="1:6" x14ac:dyDescent="0.25">
      <c r="A9523" s="1" t="str">
        <f t="shared" si="341"/>
        <v>19580</v>
      </c>
      <c r="B9523" s="1" t="str">
        <f>"43530"</f>
        <v>43530</v>
      </c>
      <c r="C9523" s="2">
        <v>0</v>
      </c>
      <c r="D9523" s="2">
        <v>6.4308681672025703E-4</v>
      </c>
      <c r="E9523" s="2">
        <v>0</v>
      </c>
      <c r="F9523" s="2">
        <v>5.02108857200241E-5</v>
      </c>
    </row>
    <row r="9524" spans="1:6" x14ac:dyDescent="0.25">
      <c r="A9524" s="1" t="str">
        <f t="shared" si="341"/>
        <v>19580</v>
      </c>
      <c r="B9524" s="1" t="str">
        <f>"43527"</f>
        <v>43527</v>
      </c>
      <c r="C9524" s="2">
        <v>3.9766998991822497E-3</v>
      </c>
      <c r="D9524" s="2">
        <v>0</v>
      </c>
      <c r="E9524" s="2">
        <v>0</v>
      </c>
      <c r="F9524" s="2">
        <v>3.5649728861217099E-3</v>
      </c>
    </row>
    <row r="9525" spans="1:6" x14ac:dyDescent="0.25">
      <c r="A9525" s="1" t="str">
        <f t="shared" si="341"/>
        <v>19580</v>
      </c>
      <c r="B9525" s="1" t="str">
        <f>"45813"</f>
        <v>45813</v>
      </c>
      <c r="C9525" s="2">
        <v>3.3605914640976798E-4</v>
      </c>
      <c r="D9525" s="2">
        <v>0</v>
      </c>
      <c r="E9525" s="2">
        <v>0</v>
      </c>
      <c r="F9525" s="2">
        <v>3.0126531432014402E-4</v>
      </c>
    </row>
    <row r="9526" spans="1:6" x14ac:dyDescent="0.25">
      <c r="A9526" s="1" t="str">
        <f t="shared" si="341"/>
        <v>19580</v>
      </c>
      <c r="B9526" s="1" t="str">
        <f>"43520"</f>
        <v>43520</v>
      </c>
      <c r="C9526" s="2">
        <v>5.6009857734961303E-5</v>
      </c>
      <c r="D9526" s="2">
        <v>6.4308681672025703E-4</v>
      </c>
      <c r="E9526" s="2">
        <v>0</v>
      </c>
      <c r="F9526" s="2">
        <v>1.00421771440048E-4</v>
      </c>
    </row>
    <row r="9527" spans="1:6" x14ac:dyDescent="0.25">
      <c r="A9527" s="1" t="str">
        <f t="shared" si="341"/>
        <v>19580</v>
      </c>
      <c r="B9527" s="1" t="str">
        <f>"43548"</f>
        <v>43548</v>
      </c>
      <c r="C9527" s="2">
        <v>1.1201971546992201E-3</v>
      </c>
      <c r="D9527" s="2">
        <v>0</v>
      </c>
      <c r="E9527" s="2">
        <v>0</v>
      </c>
      <c r="F9527" s="2">
        <v>1.0042177144004799E-3</v>
      </c>
    </row>
    <row r="9528" spans="1:6" x14ac:dyDescent="0.25">
      <c r="A9528" s="1" t="str">
        <f t="shared" si="341"/>
        <v>19580</v>
      </c>
      <c r="B9528" s="1" t="str">
        <f>"43517"</f>
        <v>43517</v>
      </c>
      <c r="C9528" s="2">
        <v>1.8259213621597398E-2</v>
      </c>
      <c r="D9528" s="2">
        <v>2.5723472668810199E-3</v>
      </c>
      <c r="E9528" s="2">
        <v>7.8895463510848095E-3</v>
      </c>
      <c r="F9528" s="2">
        <v>1.6770435830488001E-2</v>
      </c>
    </row>
    <row r="9529" spans="1:6" x14ac:dyDescent="0.25">
      <c r="A9529" s="1" t="str">
        <f t="shared" si="341"/>
        <v>19580</v>
      </c>
      <c r="B9529" s="1" t="str">
        <f>"43512"</f>
        <v>43512</v>
      </c>
      <c r="C9529" s="2">
        <v>0.75551697098689297</v>
      </c>
      <c r="D9529" s="2">
        <v>0.85144694533762</v>
      </c>
      <c r="E9529" s="2">
        <v>0.83234714003944699</v>
      </c>
      <c r="F9529" s="2">
        <v>0.76496284394456704</v>
      </c>
    </row>
    <row r="9530" spans="1:6" x14ac:dyDescent="0.25">
      <c r="A9530" s="1" t="str">
        <f t="shared" si="341"/>
        <v>19580</v>
      </c>
      <c r="B9530" s="1" t="str">
        <f>"43519"</f>
        <v>43519</v>
      </c>
      <c r="C9530" s="2">
        <v>0</v>
      </c>
      <c r="D9530" s="2">
        <v>6.4308681672025703E-4</v>
      </c>
      <c r="E9530" s="2">
        <v>0</v>
      </c>
      <c r="F9530" s="2">
        <v>5.02108857200241E-5</v>
      </c>
    </row>
    <row r="9531" spans="1:6" x14ac:dyDescent="0.25">
      <c r="A9531" s="1" t="str">
        <f t="shared" si="341"/>
        <v>19580</v>
      </c>
      <c r="B9531" s="1" t="str">
        <f>"43556"</f>
        <v>43556</v>
      </c>
      <c r="C9531" s="2">
        <v>3.0301333034613999E-2</v>
      </c>
      <c r="D9531" s="2">
        <v>1.6077170418006399E-2</v>
      </c>
      <c r="E9531" s="2">
        <v>1.7751479289940801E-2</v>
      </c>
      <c r="F9531" s="2">
        <v>2.8871259289013799E-2</v>
      </c>
    </row>
    <row r="9532" spans="1:6" x14ac:dyDescent="0.25">
      <c r="A9532" s="1" t="str">
        <f t="shared" si="341"/>
        <v>19580</v>
      </c>
      <c r="B9532" s="1" t="str">
        <f>"45831"</f>
        <v>45831</v>
      </c>
      <c r="C9532" s="2">
        <v>6.7211829281953596E-4</v>
      </c>
      <c r="D9532" s="2">
        <v>0</v>
      </c>
      <c r="E9532" s="2">
        <v>0</v>
      </c>
      <c r="F9532" s="2">
        <v>6.0253062864028901E-4</v>
      </c>
    </row>
    <row r="9533" spans="1:6" x14ac:dyDescent="0.25">
      <c r="A9533" s="1" t="str">
        <f t="shared" si="341"/>
        <v>19580</v>
      </c>
      <c r="B9533" s="1" t="str">
        <f>"43536"</f>
        <v>43536</v>
      </c>
      <c r="C9533" s="2">
        <v>8.7935476643889298E-3</v>
      </c>
      <c r="D9533" s="2">
        <v>2.5723472668810199E-3</v>
      </c>
      <c r="E9533" s="2">
        <v>0</v>
      </c>
      <c r="F9533" s="2">
        <v>8.0839526009238803E-3</v>
      </c>
    </row>
    <row r="9534" spans="1:6" x14ac:dyDescent="0.25">
      <c r="A9534" s="1" t="str">
        <f t="shared" si="341"/>
        <v>19580</v>
      </c>
      <c r="B9534" s="1" t="str">
        <f>"43506"</f>
        <v>43506</v>
      </c>
      <c r="C9534" s="2">
        <v>1.03058138232328E-2</v>
      </c>
      <c r="D9534" s="2">
        <v>1.2861736334405099E-3</v>
      </c>
      <c r="E9534" s="2">
        <v>0</v>
      </c>
      <c r="F9534" s="2">
        <v>9.3392247439244794E-3</v>
      </c>
    </row>
    <row r="9535" spans="1:6" x14ac:dyDescent="0.25">
      <c r="A9535" s="1" t="str">
        <f t="shared" si="341"/>
        <v>19580</v>
      </c>
      <c r="B9535" s="1" t="str">
        <f>"43545"</f>
        <v>43545</v>
      </c>
      <c r="C9535" s="2">
        <v>6.1610843508457403E-4</v>
      </c>
      <c r="D9535" s="2">
        <v>0</v>
      </c>
      <c r="E9535" s="2">
        <v>0</v>
      </c>
      <c r="F9535" s="2">
        <v>5.5231974292026503E-4</v>
      </c>
    </row>
    <row r="9536" spans="1:6" x14ac:dyDescent="0.25">
      <c r="A9536" s="1" t="str">
        <f t="shared" si="341"/>
        <v>19580</v>
      </c>
      <c r="B9536" s="1" t="str">
        <f>"45821"</f>
        <v>45821</v>
      </c>
      <c r="C9536" s="2">
        <v>4.4807886187968999E-4</v>
      </c>
      <c r="D9536" s="2">
        <v>0</v>
      </c>
      <c r="E9536" s="2">
        <v>0</v>
      </c>
      <c r="F9536" s="2">
        <v>4.0168708576019199E-4</v>
      </c>
    </row>
    <row r="9537" spans="1:6" x14ac:dyDescent="0.25">
      <c r="A9537" s="1" t="str">
        <f t="shared" ref="A9537:A9544" si="342">"19620"</f>
        <v>19620</v>
      </c>
      <c r="B9537" s="1" t="str">
        <f>"78871"</f>
        <v>78871</v>
      </c>
      <c r="C9537" s="2">
        <v>1.38540133344878E-3</v>
      </c>
      <c r="D9537" s="2">
        <v>7.8646748681897999E-2</v>
      </c>
      <c r="E9537" s="2">
        <v>0</v>
      </c>
      <c r="F9537" s="2">
        <v>8.0904907975460107E-3</v>
      </c>
    </row>
    <row r="9538" spans="1:6" x14ac:dyDescent="0.25">
      <c r="A9538" s="1" t="str">
        <f t="shared" si="342"/>
        <v>19620</v>
      </c>
      <c r="B9538" s="1" t="str">
        <f>"78841"</f>
        <v>78841</v>
      </c>
      <c r="C9538" s="2">
        <v>7.1348168672612303E-2</v>
      </c>
      <c r="D9538" s="2">
        <v>6.5465729349736296E-2</v>
      </c>
      <c r="E9538" s="2">
        <v>1.41643059490084E-3</v>
      </c>
      <c r="F9538" s="2">
        <v>6.8941717791411006E-2</v>
      </c>
    </row>
    <row r="9539" spans="1:6" x14ac:dyDescent="0.25">
      <c r="A9539" s="1" t="str">
        <f t="shared" si="342"/>
        <v>19620</v>
      </c>
      <c r="B9539" s="1" t="str">
        <f>"78843"</f>
        <v>78843</v>
      </c>
      <c r="C9539" s="2">
        <v>0</v>
      </c>
      <c r="D9539" s="2">
        <v>3.11950790861159E-2</v>
      </c>
      <c r="E9539" s="2">
        <v>2.2662889518413502E-2</v>
      </c>
      <c r="F9539" s="2">
        <v>3.3358895705521401E-3</v>
      </c>
    </row>
    <row r="9540" spans="1:6" x14ac:dyDescent="0.25">
      <c r="A9540" s="1" t="str">
        <f t="shared" si="342"/>
        <v>19620</v>
      </c>
      <c r="B9540" s="1" t="str">
        <f>"78837"</f>
        <v>78837</v>
      </c>
      <c r="C9540" s="2">
        <v>1.64516408347043E-3</v>
      </c>
      <c r="D9540" s="2">
        <v>4.39367311072056E-4</v>
      </c>
      <c r="E9540" s="2">
        <v>0</v>
      </c>
      <c r="F9540" s="2">
        <v>1.49539877300613E-3</v>
      </c>
    </row>
    <row r="9541" spans="1:6" x14ac:dyDescent="0.25">
      <c r="A9541" s="1" t="str">
        <f t="shared" si="342"/>
        <v>19620</v>
      </c>
      <c r="B9541" s="1" t="str">
        <f>"76950"</f>
        <v>76950</v>
      </c>
      <c r="C9541" s="2">
        <v>4.3293791670274401E-5</v>
      </c>
      <c r="D9541" s="2">
        <v>0</v>
      </c>
      <c r="E9541" s="2">
        <v>0</v>
      </c>
      <c r="F9541" s="2">
        <v>3.8343558282208503E-5</v>
      </c>
    </row>
    <row r="9542" spans="1:6" x14ac:dyDescent="0.25">
      <c r="A9542" s="1" t="str">
        <f t="shared" si="342"/>
        <v>19620</v>
      </c>
      <c r="B9542" s="1" t="str">
        <f>"78842"</f>
        <v>78842</v>
      </c>
      <c r="C9542" s="2">
        <v>4.7882933587323498E-2</v>
      </c>
      <c r="D9542" s="2">
        <v>7.24956063268892E-2</v>
      </c>
      <c r="E9542" s="2">
        <v>2.8328611898016899E-3</v>
      </c>
      <c r="F9542" s="2">
        <v>4.8811349693251502E-2</v>
      </c>
    </row>
    <row r="9543" spans="1:6" x14ac:dyDescent="0.25">
      <c r="A9543" s="1" t="str">
        <f t="shared" si="342"/>
        <v>19620</v>
      </c>
      <c r="B9543" s="1" t="str">
        <f>"78840"</f>
        <v>78840</v>
      </c>
      <c r="C9543" s="2">
        <v>0.87769503853147401</v>
      </c>
      <c r="D9543" s="2">
        <v>0.75131810193321602</v>
      </c>
      <c r="E9543" s="2">
        <v>0.97308781869688299</v>
      </c>
      <c r="F9543" s="2">
        <v>0.86924846625766805</v>
      </c>
    </row>
    <row r="9544" spans="1:6" x14ac:dyDescent="0.25">
      <c r="A9544" s="1" t="str">
        <f t="shared" si="342"/>
        <v>19620</v>
      </c>
      <c r="B9544" s="1" t="str">
        <f>"78847"</f>
        <v>78847</v>
      </c>
      <c r="C9544" s="2">
        <v>0</v>
      </c>
      <c r="D9544" s="2">
        <v>4.39367311072056E-4</v>
      </c>
      <c r="E9544" s="2">
        <v>0</v>
      </c>
      <c r="F9544" s="2">
        <v>3.8343558282208503E-5</v>
      </c>
    </row>
    <row r="9545" spans="1:6" x14ac:dyDescent="0.25">
      <c r="A9545" s="1" t="str">
        <f t="shared" ref="A9545:A9576" si="343">"19660"</f>
        <v>19660</v>
      </c>
      <c r="B9545" s="1" t="str">
        <f>"32732"</f>
        <v>32732</v>
      </c>
      <c r="C9545" s="2">
        <v>0</v>
      </c>
      <c r="D9545" s="2">
        <v>3.1339120624275202E-5</v>
      </c>
      <c r="E9545" s="2">
        <v>0</v>
      </c>
      <c r="F9545" s="2">
        <v>2.44680642824984E-6</v>
      </c>
    </row>
    <row r="9546" spans="1:6" x14ac:dyDescent="0.25">
      <c r="A9546" s="1" t="str">
        <f t="shared" si="343"/>
        <v>19660</v>
      </c>
      <c r="B9546" s="1" t="str">
        <f>"32764"</f>
        <v>32764</v>
      </c>
      <c r="C9546" s="2">
        <v>4.4525994555797499E-3</v>
      </c>
      <c r="D9546" s="2">
        <v>1.59829515183803E-3</v>
      </c>
      <c r="E9546" s="2">
        <v>6.2843676355066704E-4</v>
      </c>
      <c r="F9546" s="2">
        <v>4.1106347994597399E-3</v>
      </c>
    </row>
    <row r="9547" spans="1:6" x14ac:dyDescent="0.25">
      <c r="A9547" s="1" t="str">
        <f t="shared" si="343"/>
        <v>19660</v>
      </c>
      <c r="B9547" s="1" t="str">
        <f>"32102"</f>
        <v>32102</v>
      </c>
      <c r="C9547" s="2">
        <v>1.3679176612453501E-3</v>
      </c>
      <c r="D9547" s="2">
        <v>5.9544329186123003E-4</v>
      </c>
      <c r="E9547" s="2">
        <v>1.1783189316575001E-3</v>
      </c>
      <c r="F9547" s="2">
        <v>1.3017010198289099E-3</v>
      </c>
    </row>
    <row r="9548" spans="1:6" x14ac:dyDescent="0.25">
      <c r="A9548" s="1" t="str">
        <f t="shared" si="343"/>
        <v>19660</v>
      </c>
      <c r="B9548" s="1" t="str">
        <f>"32738"</f>
        <v>32738</v>
      </c>
      <c r="C9548" s="2">
        <v>4.6454264030083202E-2</v>
      </c>
      <c r="D9548" s="2">
        <v>5.5156852298724399E-3</v>
      </c>
      <c r="E9548" s="2">
        <v>9.0337784760408397E-3</v>
      </c>
      <c r="F9548" s="2">
        <v>4.2092410985182099E-2</v>
      </c>
    </row>
    <row r="9549" spans="1:6" x14ac:dyDescent="0.25">
      <c r="A9549" s="1" t="str">
        <f t="shared" si="343"/>
        <v>19660</v>
      </c>
      <c r="B9549" s="1" t="str">
        <f>"32753"</f>
        <v>32753</v>
      </c>
      <c r="C9549" s="2">
        <v>2.0381423788033101E-3</v>
      </c>
      <c r="D9549" s="2">
        <v>6.2051458836065001E-3</v>
      </c>
      <c r="E9549" s="2">
        <v>1.57109190887666E-4</v>
      </c>
      <c r="F9549" s="2">
        <v>2.3048916554113501E-3</v>
      </c>
    </row>
    <row r="9550" spans="1:6" x14ac:dyDescent="0.25">
      <c r="A9550" s="1" t="str">
        <f t="shared" si="343"/>
        <v>19660</v>
      </c>
      <c r="B9550" s="1" t="str">
        <f>"32126"</f>
        <v>32126</v>
      </c>
      <c r="C9550" s="2">
        <v>2.2990905270328498E-3</v>
      </c>
      <c r="D9550" s="2">
        <v>3.8233727161615799E-3</v>
      </c>
      <c r="E9550" s="2">
        <v>1.57109190887666E-4</v>
      </c>
      <c r="F9550" s="2">
        <v>2.3513809775480999E-3</v>
      </c>
    </row>
    <row r="9551" spans="1:6" x14ac:dyDescent="0.25">
      <c r="A9551" s="1" t="str">
        <f t="shared" si="343"/>
        <v>19660</v>
      </c>
      <c r="B9551" s="1" t="str">
        <f>"32118"</f>
        <v>32118</v>
      </c>
      <c r="C9551" s="2">
        <v>4.1531957907690202E-2</v>
      </c>
      <c r="D9551" s="2">
        <v>3.77009621110031E-2</v>
      </c>
      <c r="E9551" s="2">
        <v>0.108012568735271</v>
      </c>
      <c r="F9551" s="2">
        <v>4.3303580167165803E-2</v>
      </c>
    </row>
    <row r="9552" spans="1:6" x14ac:dyDescent="0.25">
      <c r="A9552" s="1" t="str">
        <f t="shared" si="343"/>
        <v>19660</v>
      </c>
      <c r="B9552" s="1" t="str">
        <f>"32129"</f>
        <v>32129</v>
      </c>
      <c r="C9552" s="2">
        <v>3.3582653265834699E-2</v>
      </c>
      <c r="D9552" s="2">
        <v>3.2153937760506401E-2</v>
      </c>
      <c r="E9552" s="2">
        <v>2.9536527886881301E-2</v>
      </c>
      <c r="F9552" s="2">
        <v>3.3345078004188899E-2</v>
      </c>
    </row>
    <row r="9553" spans="1:6" x14ac:dyDescent="0.25">
      <c r="A9553" s="1" t="str">
        <f t="shared" si="343"/>
        <v>19660</v>
      </c>
      <c r="B9553" s="1" t="str">
        <f>"32119"</f>
        <v>32119</v>
      </c>
      <c r="C9553" s="2">
        <v>3.4000170303002002E-2</v>
      </c>
      <c r="D9553" s="2">
        <v>4.1555673947789001E-2</v>
      </c>
      <c r="E9553" s="2">
        <v>5.3967007069913503E-2</v>
      </c>
      <c r="F9553" s="2">
        <v>3.5211991308943501E-2</v>
      </c>
    </row>
    <row r="9554" spans="1:6" x14ac:dyDescent="0.25">
      <c r="A9554" s="1" t="str">
        <f t="shared" si="343"/>
        <v>19660</v>
      </c>
      <c r="B9554" s="1" t="str">
        <f>"32141"</f>
        <v>32141</v>
      </c>
      <c r="C9554" s="2">
        <v>2.4575821917996302E-2</v>
      </c>
      <c r="D9554" s="2">
        <v>1.29117176972014E-2</v>
      </c>
      <c r="E9554" s="2">
        <v>8.5624509033778405E-3</v>
      </c>
      <c r="F9554" s="2">
        <v>2.31663632626695E-2</v>
      </c>
    </row>
    <row r="9555" spans="1:6" x14ac:dyDescent="0.25">
      <c r="A9555" s="1" t="str">
        <f t="shared" si="343"/>
        <v>19660</v>
      </c>
      <c r="B9555" s="1" t="str">
        <f>"32176"</f>
        <v>32176</v>
      </c>
      <c r="C9555" s="2">
        <v>2.8443348157019301E-2</v>
      </c>
      <c r="D9555" s="2">
        <v>1.6296342724623099E-2</v>
      </c>
      <c r="E9555" s="2">
        <v>2.4273369992144501E-2</v>
      </c>
      <c r="F9555" s="2">
        <v>2.7365083093546301E-2</v>
      </c>
    </row>
    <row r="9556" spans="1:6" x14ac:dyDescent="0.25">
      <c r="A9556" s="1" t="str">
        <f t="shared" si="343"/>
        <v>19660</v>
      </c>
      <c r="B9556" s="1" t="str">
        <f>"32168"</f>
        <v>32168</v>
      </c>
      <c r="C9556" s="2">
        <v>4.4289767811084499E-2</v>
      </c>
      <c r="D9556" s="2">
        <v>3.39402676360901E-2</v>
      </c>
      <c r="E9556" s="2">
        <v>1.7831893165750099E-2</v>
      </c>
      <c r="F9556" s="2">
        <v>4.2657623270107803E-2</v>
      </c>
    </row>
    <row r="9557" spans="1:6" x14ac:dyDescent="0.25">
      <c r="A9557" s="1" t="str">
        <f t="shared" si="343"/>
        <v>19660</v>
      </c>
      <c r="B9557" s="1" t="str">
        <f>"32169"</f>
        <v>32169</v>
      </c>
      <c r="C9557" s="2">
        <v>3.0607844376018E-2</v>
      </c>
      <c r="D9557" s="2">
        <v>1.5168134382149199E-2</v>
      </c>
      <c r="E9557" s="2">
        <v>3.6842105263157801E-2</v>
      </c>
      <c r="F9557" s="2">
        <v>2.9596570556110102E-2</v>
      </c>
    </row>
    <row r="9558" spans="1:6" x14ac:dyDescent="0.25">
      <c r="A9558" s="1" t="str">
        <f t="shared" si="343"/>
        <v>19660</v>
      </c>
      <c r="B9558" s="1" t="str">
        <f>"32175"</f>
        <v>32175</v>
      </c>
      <c r="C9558" s="2">
        <v>3.28245302246626E-3</v>
      </c>
      <c r="D9558" s="2">
        <v>8.3048669654329395E-3</v>
      </c>
      <c r="E9558" s="2">
        <v>1.57109190887666E-4</v>
      </c>
      <c r="F9558" s="2">
        <v>3.5772309981012699E-3</v>
      </c>
    </row>
    <row r="9559" spans="1:6" x14ac:dyDescent="0.25">
      <c r="A9559" s="1" t="str">
        <f t="shared" si="343"/>
        <v>19660</v>
      </c>
      <c r="B9559" s="1" t="str">
        <f>"32125"</f>
        <v>32125</v>
      </c>
      <c r="C9559" s="2">
        <v>3.1615928274967898E-3</v>
      </c>
      <c r="D9559" s="2">
        <v>5.2336331442539696E-3</v>
      </c>
      <c r="E9559" s="2">
        <v>1.57109190887666E-4</v>
      </c>
      <c r="F9559" s="2">
        <v>3.22978448528979E-3</v>
      </c>
    </row>
    <row r="9560" spans="1:6" x14ac:dyDescent="0.25">
      <c r="A9560" s="1" t="str">
        <f t="shared" si="343"/>
        <v>19660</v>
      </c>
      <c r="B9560" s="1" t="str">
        <f>"32724"</f>
        <v>32724</v>
      </c>
      <c r="C9560" s="2">
        <v>5.0569004304270998E-2</v>
      </c>
      <c r="D9560" s="2">
        <v>3.86097966091071E-2</v>
      </c>
      <c r="E9560" s="2">
        <v>5.2081696779261499E-2</v>
      </c>
      <c r="F9560" s="2">
        <v>4.9682404525613101E-2</v>
      </c>
    </row>
    <row r="9561" spans="1:6" x14ac:dyDescent="0.25">
      <c r="A9561" s="1" t="str">
        <f t="shared" si="343"/>
        <v>19660</v>
      </c>
      <c r="B9561" s="1" t="str">
        <f>"32105"</f>
        <v>32105</v>
      </c>
      <c r="C9561" s="2">
        <v>0</v>
      </c>
      <c r="D9561" s="2">
        <v>3.1339120624275202E-5</v>
      </c>
      <c r="E9561" s="2">
        <v>0</v>
      </c>
      <c r="F9561" s="2">
        <v>2.44680642824984E-6</v>
      </c>
    </row>
    <row r="9562" spans="1:6" x14ac:dyDescent="0.25">
      <c r="A9562" s="1" t="str">
        <f t="shared" si="343"/>
        <v>19660</v>
      </c>
      <c r="B9562" s="1" t="str">
        <f>"32115"</f>
        <v>32115</v>
      </c>
      <c r="C9562" s="2">
        <v>3.9636650304759897E-3</v>
      </c>
      <c r="D9562" s="2">
        <v>1.09686922184963E-2</v>
      </c>
      <c r="E9562" s="2">
        <v>1.57109190887666E-4</v>
      </c>
      <c r="F9562" s="2">
        <v>4.39201753870847E-3</v>
      </c>
    </row>
    <row r="9563" spans="1:6" x14ac:dyDescent="0.25">
      <c r="A9563" s="1" t="str">
        <f t="shared" si="343"/>
        <v>19660</v>
      </c>
      <c r="B9563" s="1" t="str">
        <f>"32135"</f>
        <v>32135</v>
      </c>
      <c r="C9563" s="2">
        <v>9.0260591061289801E-3</v>
      </c>
      <c r="D9563" s="2">
        <v>2.29088971763452E-2</v>
      </c>
      <c r="E9563" s="2">
        <v>1.57109190887666E-4</v>
      </c>
      <c r="F9563" s="2">
        <v>9.8337150351361403E-3</v>
      </c>
    </row>
    <row r="9564" spans="1:6" x14ac:dyDescent="0.25">
      <c r="A9564" s="1" t="str">
        <f t="shared" si="343"/>
        <v>19660</v>
      </c>
      <c r="B9564" s="1" t="str">
        <f>"32725"</f>
        <v>32725</v>
      </c>
      <c r="C9564" s="2">
        <v>5.4073949958385603E-2</v>
      </c>
      <c r="D9564" s="2">
        <v>2.2470149487605302E-2</v>
      </c>
      <c r="E9564" s="2">
        <v>3.9041633935585199E-2</v>
      </c>
      <c r="F9564" s="2">
        <v>5.1138254350421797E-2</v>
      </c>
    </row>
    <row r="9565" spans="1:6" x14ac:dyDescent="0.25">
      <c r="A9565" s="1" t="str">
        <f t="shared" si="343"/>
        <v>19660</v>
      </c>
      <c r="B9565" s="1" t="str">
        <f>"32190"</f>
        <v>32190</v>
      </c>
      <c r="C9565" s="2">
        <v>1.38714541953595E-3</v>
      </c>
      <c r="D9565" s="2">
        <v>8.4615625685543203E-4</v>
      </c>
      <c r="E9565" s="2">
        <v>4.0848389630793397E-3</v>
      </c>
      <c r="F9565" s="2">
        <v>1.42893495409791E-3</v>
      </c>
    </row>
    <row r="9566" spans="1:6" x14ac:dyDescent="0.25">
      <c r="A9566" s="1" t="str">
        <f t="shared" si="343"/>
        <v>19660</v>
      </c>
      <c r="B9566" s="1" t="str">
        <f>"32728"</f>
        <v>32728</v>
      </c>
      <c r="C9566" s="2">
        <v>3.36485770085453E-3</v>
      </c>
      <c r="D9566" s="2">
        <v>5.1082766617568699E-3</v>
      </c>
      <c r="E9566" s="2">
        <v>1.57109190887666E-4</v>
      </c>
      <c r="F9566" s="2">
        <v>3.4010609352672799E-3</v>
      </c>
    </row>
    <row r="9567" spans="1:6" x14ac:dyDescent="0.25">
      <c r="A9567" s="1" t="str">
        <f t="shared" si="343"/>
        <v>19660</v>
      </c>
      <c r="B9567" s="1" t="str">
        <f>"32080"</f>
        <v>32080</v>
      </c>
      <c r="C9567" s="2">
        <v>2.7468226129424698E-6</v>
      </c>
      <c r="D9567" s="2">
        <v>3.1339120624275202E-5</v>
      </c>
      <c r="E9567" s="2">
        <v>0</v>
      </c>
      <c r="F9567" s="2">
        <v>4.8936128564996902E-6</v>
      </c>
    </row>
    <row r="9568" spans="1:6" x14ac:dyDescent="0.25">
      <c r="A9568" s="1" t="str">
        <f t="shared" si="343"/>
        <v>19660</v>
      </c>
      <c r="B9568" s="1" t="str">
        <f>"32173"</f>
        <v>32173</v>
      </c>
      <c r="C9568" s="2">
        <v>2.4556594159705698E-3</v>
      </c>
      <c r="D9568" s="2">
        <v>1.0655301012253499E-2</v>
      </c>
      <c r="E9568" s="2">
        <v>1.57109190887666E-4</v>
      </c>
      <c r="F9568" s="2">
        <v>3.0242527453168098E-3</v>
      </c>
    </row>
    <row r="9569" spans="1:6" x14ac:dyDescent="0.25">
      <c r="A9569" s="1" t="str">
        <f t="shared" si="343"/>
        <v>19660</v>
      </c>
      <c r="B9569" s="1" t="str">
        <f>"32132"</f>
        <v>32132</v>
      </c>
      <c r="C9569" s="2">
        <v>1.4308198990817299E-2</v>
      </c>
      <c r="D9569" s="2">
        <v>2.4914600896298801E-2</v>
      </c>
      <c r="E9569" s="2">
        <v>1.45326001571091E-2</v>
      </c>
      <c r="F9569" s="2">
        <v>1.51432849844383E-2</v>
      </c>
    </row>
    <row r="9570" spans="1:6" x14ac:dyDescent="0.25">
      <c r="A9570" s="1" t="str">
        <f t="shared" si="343"/>
        <v>19660</v>
      </c>
      <c r="B9570" s="1" t="str">
        <f>"32120"</f>
        <v>32120</v>
      </c>
      <c r="C9570" s="2">
        <v>4.3729415998044197E-3</v>
      </c>
      <c r="D9570" s="2">
        <v>1.2629665611582901E-2</v>
      </c>
      <c r="E9570" s="2">
        <v>1.57109190887666E-4</v>
      </c>
      <c r="F9570" s="2">
        <v>4.8862724372149401E-3</v>
      </c>
    </row>
    <row r="9571" spans="1:6" x14ac:dyDescent="0.25">
      <c r="A9571" s="1" t="str">
        <f t="shared" si="343"/>
        <v>19660</v>
      </c>
      <c r="B9571" s="1" t="str">
        <f>"32754"</f>
        <v>32754</v>
      </c>
      <c r="C9571" s="2">
        <v>7.9108491252743302E-4</v>
      </c>
      <c r="D9571" s="2">
        <v>3.1339120624275202E-5</v>
      </c>
      <c r="E9571" s="2">
        <v>3.1421838177533298E-4</v>
      </c>
      <c r="F9571" s="2">
        <v>7.1691428347720495E-4</v>
      </c>
    </row>
    <row r="9572" spans="1:6" x14ac:dyDescent="0.25">
      <c r="A9572" s="1" t="str">
        <f t="shared" si="343"/>
        <v>19660</v>
      </c>
      <c r="B9572" s="1" t="str">
        <f>"32774"</f>
        <v>32774</v>
      </c>
      <c r="C9572" s="2">
        <v>2.8347209365566302E-3</v>
      </c>
      <c r="D9572" s="2">
        <v>9.1196841016641002E-3</v>
      </c>
      <c r="E9572" s="2">
        <v>1.57109190887666E-4</v>
      </c>
      <c r="F9572" s="2">
        <v>3.24201851743104E-3</v>
      </c>
    </row>
    <row r="9573" spans="1:6" x14ac:dyDescent="0.25">
      <c r="A9573" s="1" t="str">
        <f t="shared" si="343"/>
        <v>19660</v>
      </c>
      <c r="B9573" s="1" t="str">
        <f>"32128"</f>
        <v>32128</v>
      </c>
      <c r="C9573" s="2">
        <v>2.87015494826359E-2</v>
      </c>
      <c r="D9573" s="2">
        <v>1.20969005609702E-2</v>
      </c>
      <c r="E9573" s="2">
        <v>8.7981146897093392E-3</v>
      </c>
      <c r="F9573" s="2">
        <v>2.6785189970050999E-2</v>
      </c>
    </row>
    <row r="9574" spans="1:6" x14ac:dyDescent="0.25">
      <c r="A9574" s="1" t="str">
        <f t="shared" si="343"/>
        <v>19660</v>
      </c>
      <c r="B9574" s="1" t="str">
        <f>"32130"</f>
        <v>32130</v>
      </c>
      <c r="C9574" s="2">
        <v>6.4000966881559698E-3</v>
      </c>
      <c r="D9574" s="2">
        <v>3.0398947005547002E-3</v>
      </c>
      <c r="E9574" s="2">
        <v>1.5710919088766601E-3</v>
      </c>
      <c r="F9574" s="2">
        <v>5.98733532992737E-3</v>
      </c>
    </row>
    <row r="9575" spans="1:6" x14ac:dyDescent="0.25">
      <c r="A9575" s="1" t="str">
        <f t="shared" si="343"/>
        <v>19660</v>
      </c>
      <c r="B9575" s="1" t="str">
        <f>"32170"</f>
        <v>32170</v>
      </c>
      <c r="C9575" s="2">
        <v>5.1557860444930298E-3</v>
      </c>
      <c r="D9575" s="2">
        <v>1.4008586919051E-2</v>
      </c>
      <c r="E9575" s="2">
        <v>3.1421838177533298E-4</v>
      </c>
      <c r="F9575" s="2">
        <v>5.6961653649656397E-3</v>
      </c>
    </row>
    <row r="9576" spans="1:6" x14ac:dyDescent="0.25">
      <c r="A9576" s="1" t="str">
        <f t="shared" si="343"/>
        <v>19660</v>
      </c>
      <c r="B9576" s="1" t="str">
        <f>"32174"</f>
        <v>32174</v>
      </c>
      <c r="C9576" s="2">
        <v>7.4422411875063502E-2</v>
      </c>
      <c r="D9576" s="2">
        <v>8.0353505280641793E-2</v>
      </c>
      <c r="E9576" s="2">
        <v>6.6142969363707699E-2</v>
      </c>
      <c r="F9576" s="2">
        <v>7.4627596061620297E-2</v>
      </c>
    </row>
    <row r="9577" spans="1:6" x14ac:dyDescent="0.25">
      <c r="A9577" s="1" t="str">
        <f t="shared" ref="A9577:A9601" si="344">"19660"</f>
        <v>19660</v>
      </c>
      <c r="B9577" s="1" t="str">
        <f>"32721"</f>
        <v>32721</v>
      </c>
      <c r="C9577" s="2">
        <v>6.4330585595112804E-3</v>
      </c>
      <c r="D9577" s="2">
        <v>1.50741170202764E-2</v>
      </c>
      <c r="E9577" s="2">
        <v>1.57109190887666E-4</v>
      </c>
      <c r="F9577" s="2">
        <v>6.9122281598058199E-3</v>
      </c>
    </row>
    <row r="9578" spans="1:6" x14ac:dyDescent="0.25">
      <c r="A9578" s="1" t="str">
        <f t="shared" si="344"/>
        <v>19660</v>
      </c>
      <c r="B9578" s="1" t="str">
        <f>"32706"</f>
        <v>32706</v>
      </c>
      <c r="C9578" s="2">
        <v>0</v>
      </c>
      <c r="D9578" s="2">
        <v>3.1339120624275202E-5</v>
      </c>
      <c r="E9578" s="2">
        <v>0</v>
      </c>
      <c r="F9578" s="2">
        <v>2.44680642824984E-6</v>
      </c>
    </row>
    <row r="9579" spans="1:6" x14ac:dyDescent="0.25">
      <c r="A9579" s="1" t="str">
        <f t="shared" si="344"/>
        <v>19660</v>
      </c>
      <c r="B9579" s="1" t="str">
        <f>"32759"</f>
        <v>32759</v>
      </c>
      <c r="C9579" s="2">
        <v>7.8998618348225594E-3</v>
      </c>
      <c r="D9579" s="2">
        <v>3.9173900780344103E-3</v>
      </c>
      <c r="E9579" s="2">
        <v>3.22073841319717E-3</v>
      </c>
      <c r="F9579" s="2">
        <v>7.4431851547360301E-3</v>
      </c>
    </row>
    <row r="9580" spans="1:6" x14ac:dyDescent="0.25">
      <c r="A9580" s="1" t="str">
        <f t="shared" si="344"/>
        <v>19660</v>
      </c>
      <c r="B9580" s="1" t="str">
        <f>"32124"</f>
        <v>32124</v>
      </c>
      <c r="C9580" s="2">
        <v>9.5287276442974495E-3</v>
      </c>
      <c r="D9580" s="2">
        <v>5.98577203923657E-3</v>
      </c>
      <c r="E9580" s="2">
        <v>2.2780832678711699E-3</v>
      </c>
      <c r="F9580" s="2">
        <v>9.0262689138136901E-3</v>
      </c>
    </row>
    <row r="9581" spans="1:6" x14ac:dyDescent="0.25">
      <c r="A9581" s="1" t="str">
        <f t="shared" si="344"/>
        <v>19660</v>
      </c>
      <c r="B9581" s="1" t="str">
        <f>"32164"</f>
        <v>32164</v>
      </c>
      <c r="C9581" s="2">
        <v>5.7642072532597899E-2</v>
      </c>
      <c r="D9581" s="2">
        <v>1.9680967752044799E-2</v>
      </c>
      <c r="E9581" s="2">
        <v>2.2230950510604801E-2</v>
      </c>
      <c r="F9581" s="2">
        <v>5.3575273552958602E-2</v>
      </c>
    </row>
    <row r="9582" spans="1:6" x14ac:dyDescent="0.25">
      <c r="A9582" s="1" t="str">
        <f t="shared" si="344"/>
        <v>19660</v>
      </c>
      <c r="B9582" s="1" t="str">
        <f>"32713"</f>
        <v>32713</v>
      </c>
      <c r="C9582" s="2">
        <v>2.7448998371134101E-2</v>
      </c>
      <c r="D9582" s="2">
        <v>2.76097652699865E-2</v>
      </c>
      <c r="E9582" s="2">
        <v>2.8593872741555299E-2</v>
      </c>
      <c r="F9582" s="2">
        <v>2.7497210640671701E-2</v>
      </c>
    </row>
    <row r="9583" spans="1:6" x14ac:dyDescent="0.25">
      <c r="A9583" s="1" t="str">
        <f t="shared" si="344"/>
        <v>19660</v>
      </c>
      <c r="B9583" s="1" t="str">
        <f>"32720"</f>
        <v>32720</v>
      </c>
      <c r="C9583" s="2">
        <v>3.7277129680242299E-2</v>
      </c>
      <c r="D9583" s="2">
        <v>5.7569964586793601E-2</v>
      </c>
      <c r="E9583" s="2">
        <v>6.6457187745483107E-2</v>
      </c>
      <c r="F9583" s="2">
        <v>3.9770391684772997E-2</v>
      </c>
    </row>
    <row r="9584" spans="1:6" x14ac:dyDescent="0.25">
      <c r="A9584" s="1" t="str">
        <f t="shared" si="344"/>
        <v>19660</v>
      </c>
      <c r="B9584" s="1" t="str">
        <f>"32739"</f>
        <v>32739</v>
      </c>
      <c r="C9584" s="2">
        <v>3.1066563752379399E-3</v>
      </c>
      <c r="D9584" s="2">
        <v>5.8604155567394704E-3</v>
      </c>
      <c r="E9584" s="2">
        <v>1.57109190887666E-4</v>
      </c>
      <c r="F9584" s="2">
        <v>3.22978448528979E-3</v>
      </c>
    </row>
    <row r="9585" spans="1:6" x14ac:dyDescent="0.25">
      <c r="A9585" s="1" t="str">
        <f t="shared" si="344"/>
        <v>19660</v>
      </c>
      <c r="B9585" s="1" t="str">
        <f>"32763"</f>
        <v>32763</v>
      </c>
      <c r="C9585" s="2">
        <v>2.89075611786066E-2</v>
      </c>
      <c r="D9585" s="2">
        <v>4.4658246889592197E-2</v>
      </c>
      <c r="E9585" s="2">
        <v>9.1516103692065906E-2</v>
      </c>
      <c r="F9585" s="2">
        <v>3.2087419500068499E-2</v>
      </c>
    </row>
    <row r="9586" spans="1:6" x14ac:dyDescent="0.25">
      <c r="A9586" s="1" t="str">
        <f t="shared" si="344"/>
        <v>19660</v>
      </c>
      <c r="B9586" s="1" t="str">
        <f>"32114"</f>
        <v>32114</v>
      </c>
      <c r="C9586" s="2">
        <v>4.5459914244197999E-2</v>
      </c>
      <c r="D9586" s="2">
        <v>9.5145570215299693E-2</v>
      </c>
      <c r="E9586" s="2">
        <v>0.113668499607227</v>
      </c>
      <c r="F9586" s="2">
        <v>5.1463679605379002E-2</v>
      </c>
    </row>
    <row r="9587" spans="1:6" x14ac:dyDescent="0.25">
      <c r="A9587" s="1" t="str">
        <f t="shared" si="344"/>
        <v>19660</v>
      </c>
      <c r="B9587" s="1" t="str">
        <f>"32112"</f>
        <v>32112</v>
      </c>
      <c r="C9587" s="2">
        <v>2.7468226129424698E-6</v>
      </c>
      <c r="D9587" s="2">
        <v>0</v>
      </c>
      <c r="E9587" s="2">
        <v>0</v>
      </c>
      <c r="F9587" s="2">
        <v>2.44680642824984E-6</v>
      </c>
    </row>
    <row r="9588" spans="1:6" x14ac:dyDescent="0.25">
      <c r="A9588" s="1" t="str">
        <f t="shared" si="344"/>
        <v>19660</v>
      </c>
      <c r="B9588" s="1" t="str">
        <f>"32723"</f>
        <v>32723</v>
      </c>
      <c r="C9588" s="2">
        <v>8.0289624976308607E-3</v>
      </c>
      <c r="D9588" s="2">
        <v>3.1339120624275202E-5</v>
      </c>
      <c r="E9588" s="2">
        <v>1.57109190887666E-4</v>
      </c>
      <c r="F9588" s="2">
        <v>7.1593556090590498E-3</v>
      </c>
    </row>
    <row r="9589" spans="1:6" x14ac:dyDescent="0.25">
      <c r="A9589" s="1" t="str">
        <f t="shared" si="344"/>
        <v>19660</v>
      </c>
      <c r="B9589" s="1" t="str">
        <f>"32145"</f>
        <v>32145</v>
      </c>
      <c r="C9589" s="2">
        <v>5.4936452258849498E-6</v>
      </c>
      <c r="D9589" s="2">
        <v>0</v>
      </c>
      <c r="E9589" s="2">
        <v>0</v>
      </c>
      <c r="F9589" s="2">
        <v>4.8936128564996902E-6</v>
      </c>
    </row>
    <row r="9590" spans="1:6" x14ac:dyDescent="0.25">
      <c r="A9590" s="1" t="str">
        <f t="shared" si="344"/>
        <v>19660</v>
      </c>
      <c r="B9590" s="1" t="str">
        <f>"32086"</f>
        <v>32086</v>
      </c>
      <c r="C9590" s="2">
        <v>2.8566955174601699E-4</v>
      </c>
      <c r="D9590" s="2">
        <v>3.1339120624275202E-5</v>
      </c>
      <c r="E9590" s="2">
        <v>0</v>
      </c>
      <c r="F9590" s="2">
        <v>2.5691467496623401E-4</v>
      </c>
    </row>
    <row r="9591" spans="1:6" x14ac:dyDescent="0.25">
      <c r="A9591" s="1" t="str">
        <f t="shared" si="344"/>
        <v>19660</v>
      </c>
      <c r="B9591" s="1" t="str">
        <f>"32122"</f>
        <v>32122</v>
      </c>
      <c r="C9591" s="2">
        <v>1.24980428888882E-3</v>
      </c>
      <c r="D9591" s="2">
        <v>2.5384687705662899E-3</v>
      </c>
      <c r="E9591" s="2">
        <v>1.57109190887666E-4</v>
      </c>
      <c r="F9591" s="2">
        <v>1.31638185839841E-3</v>
      </c>
    </row>
    <row r="9592" spans="1:6" x14ac:dyDescent="0.25">
      <c r="A9592" s="1" t="str">
        <f t="shared" si="344"/>
        <v>19660</v>
      </c>
      <c r="B9592" s="1" t="str">
        <f>"32143"</f>
        <v>32143</v>
      </c>
      <c r="C9592" s="2">
        <v>0</v>
      </c>
      <c r="D9592" s="2">
        <v>0</v>
      </c>
      <c r="E9592" s="2">
        <v>7.8554595443833394E-5</v>
      </c>
      <c r="F9592" s="2">
        <v>2.44680642824984E-6</v>
      </c>
    </row>
    <row r="9593" spans="1:6" x14ac:dyDescent="0.25">
      <c r="A9593" s="1" t="str">
        <f t="shared" si="344"/>
        <v>19660</v>
      </c>
      <c r="B9593" s="1" t="str">
        <f>"32121"</f>
        <v>32121</v>
      </c>
      <c r="C9593" s="2">
        <v>2.43368483506703E-3</v>
      </c>
      <c r="D9593" s="2">
        <v>5.7977373154909197E-3</v>
      </c>
      <c r="E9593" s="2">
        <v>1.57109190887666E-4</v>
      </c>
      <c r="F9593" s="2">
        <v>2.6254232975120801E-3</v>
      </c>
    </row>
    <row r="9594" spans="1:6" x14ac:dyDescent="0.25">
      <c r="A9594" s="1" t="str">
        <f t="shared" si="344"/>
        <v>19660</v>
      </c>
      <c r="B9594" s="1" t="str">
        <f>"32110"</f>
        <v>32110</v>
      </c>
      <c r="C9594" s="2">
        <v>1.81949529881309E-2</v>
      </c>
      <c r="D9594" s="2">
        <v>3.7105518819141897E-2</v>
      </c>
      <c r="E9594" s="2">
        <v>1.54752553024351E-2</v>
      </c>
      <c r="F9594" s="2">
        <v>1.9586685458140001E-2</v>
      </c>
    </row>
    <row r="9595" spans="1:6" x14ac:dyDescent="0.25">
      <c r="A9595" s="1" t="str">
        <f t="shared" si="344"/>
        <v>19660</v>
      </c>
      <c r="B9595" s="1" t="str">
        <f>"32117"</f>
        <v>32117</v>
      </c>
      <c r="C9595" s="2">
        <v>3.7952848043026198E-2</v>
      </c>
      <c r="D9595" s="2">
        <v>7.2581403365821501E-2</v>
      </c>
      <c r="E9595" s="2">
        <v>5.6009426551453197E-2</v>
      </c>
      <c r="F9595" s="2">
        <v>4.1218901090296897E-2</v>
      </c>
    </row>
    <row r="9596" spans="1:6" x14ac:dyDescent="0.25">
      <c r="A9596" s="1" t="str">
        <f t="shared" si="344"/>
        <v>19660</v>
      </c>
      <c r="B9596" s="1" t="str">
        <f>"32127"</f>
        <v>32127</v>
      </c>
      <c r="C9596" s="2">
        <v>4.5937861378850003E-2</v>
      </c>
      <c r="D9596" s="2">
        <v>3.8171048920367198E-2</v>
      </c>
      <c r="E9596" s="2">
        <v>5.4359780047132697E-2</v>
      </c>
      <c r="F9596" s="2">
        <v>4.55937909840076E-2</v>
      </c>
    </row>
    <row r="9597" spans="1:6" x14ac:dyDescent="0.25">
      <c r="A9597" s="1" t="str">
        <f t="shared" si="344"/>
        <v>19660</v>
      </c>
      <c r="B9597" s="1" t="str">
        <f>"32136"</f>
        <v>32136</v>
      </c>
      <c r="C9597" s="2">
        <v>2.0595675951842699E-2</v>
      </c>
      <c r="D9597" s="2">
        <v>1.7487229308345599E-2</v>
      </c>
      <c r="E9597" s="2">
        <v>9.9764336213668398E-3</v>
      </c>
      <c r="F9597" s="2">
        <v>2.00222170023685E-2</v>
      </c>
    </row>
    <row r="9598" spans="1:6" x14ac:dyDescent="0.25">
      <c r="A9598" s="1" t="str">
        <f t="shared" si="344"/>
        <v>19660</v>
      </c>
      <c r="B9598" s="1" t="str">
        <f>"32137"</f>
        <v>32137</v>
      </c>
      <c r="C9598" s="2">
        <v>6.7354837291962497E-2</v>
      </c>
      <c r="D9598" s="2">
        <v>5.1960261995048398E-2</v>
      </c>
      <c r="E9598" s="2">
        <v>5.1688923802042402E-2</v>
      </c>
      <c r="F9598" s="2">
        <v>6.5664944114941101E-2</v>
      </c>
    </row>
    <row r="9599" spans="1:6" x14ac:dyDescent="0.25">
      <c r="A9599" s="1" t="str">
        <f t="shared" si="344"/>
        <v>19660</v>
      </c>
      <c r="B9599" s="1" t="str">
        <f>"32180"</f>
        <v>32180</v>
      </c>
      <c r="C9599" s="2">
        <v>4.4086502937726703E-3</v>
      </c>
      <c r="D9599" s="2">
        <v>4.0114074399072303E-3</v>
      </c>
      <c r="E9599" s="2">
        <v>1.5710919088766601E-3</v>
      </c>
      <c r="F9599" s="2">
        <v>4.2892516687219797E-3</v>
      </c>
    </row>
    <row r="9600" spans="1:6" x14ac:dyDescent="0.25">
      <c r="A9600" s="1" t="str">
        <f t="shared" si="344"/>
        <v>19660</v>
      </c>
      <c r="B9600" s="1" t="str">
        <f>"32744"</f>
        <v>32744</v>
      </c>
      <c r="C9600" s="2">
        <v>7.9273300609519898E-3</v>
      </c>
      <c r="D9600" s="2">
        <v>5.8604155567394704E-3</v>
      </c>
      <c r="E9600" s="2">
        <v>3.7706205813039999E-3</v>
      </c>
      <c r="F9600" s="2">
        <v>7.6364828625677698E-3</v>
      </c>
    </row>
    <row r="9601" spans="1:6" x14ac:dyDescent="0.25">
      <c r="A9601" s="1" t="str">
        <f t="shared" si="344"/>
        <v>19660</v>
      </c>
      <c r="B9601" s="1" t="str">
        <f>"32198"</f>
        <v>32198</v>
      </c>
      <c r="C9601" s="2">
        <v>0</v>
      </c>
      <c r="D9601" s="2">
        <v>3.1339120624275202E-5</v>
      </c>
      <c r="E9601" s="2">
        <v>0</v>
      </c>
      <c r="F9601" s="2">
        <v>2.44680642824984E-6</v>
      </c>
    </row>
    <row r="9602" spans="1:6" x14ac:dyDescent="0.25">
      <c r="A9602" s="1" t="str">
        <f>"19700"</f>
        <v>19700</v>
      </c>
      <c r="B9602" s="1" t="str">
        <f>"88029"</f>
        <v>88029</v>
      </c>
      <c r="C9602" s="2">
        <v>0</v>
      </c>
      <c r="D9602" s="2">
        <v>1.0162601626016201E-3</v>
      </c>
      <c r="E9602" s="2">
        <v>0.464462809917355</v>
      </c>
      <c r="F9602" s="2">
        <v>2.0528499672417499E-2</v>
      </c>
    </row>
    <row r="9603" spans="1:6" x14ac:dyDescent="0.25">
      <c r="A9603" s="1" t="str">
        <f>"19700"</f>
        <v>19700</v>
      </c>
      <c r="B9603" s="1" t="str">
        <f>"88031"</f>
        <v>88031</v>
      </c>
      <c r="C9603" s="2">
        <v>0.120925255186038</v>
      </c>
      <c r="D9603" s="2">
        <v>0.18800813008129999</v>
      </c>
      <c r="E9603" s="2">
        <v>3.3057851239669399E-3</v>
      </c>
      <c r="F9603" s="2">
        <v>0.12055033850185599</v>
      </c>
    </row>
    <row r="9604" spans="1:6" x14ac:dyDescent="0.25">
      <c r="A9604" s="1" t="str">
        <f>"19700"</f>
        <v>19700</v>
      </c>
      <c r="B9604" s="1" t="str">
        <f>"88030"</f>
        <v>88030</v>
      </c>
      <c r="C9604" s="2">
        <v>0.87907474481396097</v>
      </c>
      <c r="D9604" s="2">
        <v>0.81097560975609695</v>
      </c>
      <c r="E9604" s="2">
        <v>0.53223140495867705</v>
      </c>
      <c r="F9604" s="2">
        <v>0.85892116182572598</v>
      </c>
    </row>
    <row r="9605" spans="1:6" x14ac:dyDescent="0.25">
      <c r="A9605" s="1" t="str">
        <f t="shared" ref="A9605:A9636" si="345">"19740"</f>
        <v>19740</v>
      </c>
      <c r="B9605" s="1" t="str">
        <f>"80701"</f>
        <v>80701</v>
      </c>
      <c r="C9605" s="2">
        <v>1.6436186505890799E-5</v>
      </c>
      <c r="D9605" s="2">
        <v>0</v>
      </c>
      <c r="E9605" s="2">
        <v>3.0767337394621802E-5</v>
      </c>
      <c r="F9605" s="2">
        <v>1.56563739055216E-5</v>
      </c>
    </row>
    <row r="9606" spans="1:6" x14ac:dyDescent="0.25">
      <c r="A9606" s="1" t="str">
        <f t="shared" si="345"/>
        <v>19740</v>
      </c>
      <c r="B9606" s="1" t="str">
        <f>"80036"</f>
        <v>80036</v>
      </c>
      <c r="C9606" s="2">
        <v>7.0600892036667604E-4</v>
      </c>
      <c r="D9606" s="2">
        <v>9.9684718100890202E-4</v>
      </c>
      <c r="E9606" s="2">
        <v>3.0767337394621802E-5</v>
      </c>
      <c r="F9606" s="2">
        <v>7.0192743009755195E-4</v>
      </c>
    </row>
    <row r="9607" spans="1:6" x14ac:dyDescent="0.25">
      <c r="A9607" s="1" t="str">
        <f t="shared" si="345"/>
        <v>19740</v>
      </c>
      <c r="B9607" s="1" t="str">
        <f>"80037"</f>
        <v>80037</v>
      </c>
      <c r="C9607" s="2">
        <v>6.4325257188963805E-4</v>
      </c>
      <c r="D9607" s="2">
        <v>8.4229723046488599E-4</v>
      </c>
      <c r="E9607" s="2">
        <v>0</v>
      </c>
      <c r="F9607" s="2">
        <v>6.3277844534816499E-4</v>
      </c>
    </row>
    <row r="9608" spans="1:6" x14ac:dyDescent="0.25">
      <c r="A9608" s="1" t="str">
        <f t="shared" si="345"/>
        <v>19740</v>
      </c>
      <c r="B9608" s="1" t="str">
        <f>"80831"</f>
        <v>80831</v>
      </c>
      <c r="C9608" s="2">
        <v>4.8561460131041197E-5</v>
      </c>
      <c r="D9608" s="2">
        <v>0</v>
      </c>
      <c r="E9608" s="2">
        <v>0</v>
      </c>
      <c r="F9608" s="2">
        <v>4.24026793274543E-5</v>
      </c>
    </row>
    <row r="9609" spans="1:6" x14ac:dyDescent="0.25">
      <c r="A9609" s="1" t="str">
        <f t="shared" si="345"/>
        <v>19740</v>
      </c>
      <c r="B9609" s="1" t="str">
        <f>"80830"</f>
        <v>80830</v>
      </c>
      <c r="C9609" s="2">
        <v>9.7122920262082395E-5</v>
      </c>
      <c r="D9609" s="2">
        <v>5.4092482690405498E-5</v>
      </c>
      <c r="E9609" s="2">
        <v>0</v>
      </c>
      <c r="F9609" s="2">
        <v>8.9371801044019103E-5</v>
      </c>
    </row>
    <row r="9610" spans="1:6" x14ac:dyDescent="0.25">
      <c r="A9610" s="1" t="str">
        <f t="shared" si="345"/>
        <v>19740</v>
      </c>
      <c r="B9610" s="1" t="str">
        <f>"80516"</f>
        <v>80516</v>
      </c>
      <c r="C9610" s="2">
        <v>2.0918782825679299E-5</v>
      </c>
      <c r="D9610" s="2">
        <v>8.5002472799208703E-5</v>
      </c>
      <c r="E9610" s="2">
        <v>3.0767337394621802E-5</v>
      </c>
      <c r="F9610" s="2">
        <v>2.67463054219327E-5</v>
      </c>
    </row>
    <row r="9611" spans="1:6" x14ac:dyDescent="0.25">
      <c r="A9611" s="1" t="str">
        <f t="shared" si="345"/>
        <v>19740</v>
      </c>
      <c r="B9611" s="1" t="str">
        <f>"80816"</f>
        <v>80816</v>
      </c>
      <c r="C9611" s="2">
        <v>2.8165646876003901E-4</v>
      </c>
      <c r="D9611" s="2">
        <v>0</v>
      </c>
      <c r="E9611" s="2">
        <v>0</v>
      </c>
      <c r="F9611" s="2">
        <v>2.45935540099235E-4</v>
      </c>
    </row>
    <row r="9612" spans="1:6" x14ac:dyDescent="0.25">
      <c r="A9612" s="1" t="str">
        <f t="shared" si="345"/>
        <v>19740</v>
      </c>
      <c r="B9612" s="1" t="str">
        <f>"80155"</f>
        <v>80155</v>
      </c>
      <c r="C9612" s="2">
        <v>6.02162105624911E-4</v>
      </c>
      <c r="D9612" s="2">
        <v>4.9069609297724996E-3</v>
      </c>
      <c r="E9612" s="2">
        <v>0</v>
      </c>
      <c r="F9612" s="2">
        <v>9.4003478324402603E-4</v>
      </c>
    </row>
    <row r="9613" spans="1:6" x14ac:dyDescent="0.25">
      <c r="A9613" s="1" t="str">
        <f t="shared" si="345"/>
        <v>19740</v>
      </c>
      <c r="B9613" s="1" t="str">
        <f>"80210"</f>
        <v>80210</v>
      </c>
      <c r="C9613" s="2">
        <v>1.3802661168015099E-2</v>
      </c>
      <c r="D9613" s="2">
        <v>9.9452893175074105E-3</v>
      </c>
      <c r="E9613" s="2">
        <v>9.8609316349763006E-3</v>
      </c>
      <c r="F9613" s="2">
        <v>1.3309874866431501E-2</v>
      </c>
    </row>
    <row r="9614" spans="1:6" x14ac:dyDescent="0.25">
      <c r="A9614" s="1" t="str">
        <f t="shared" si="345"/>
        <v>19740</v>
      </c>
      <c r="B9614" s="1" t="str">
        <f>"80117"</f>
        <v>80117</v>
      </c>
      <c r="C9614" s="2">
        <v>1.81993410583409E-3</v>
      </c>
      <c r="D9614" s="2">
        <v>1.0045746785361E-3</v>
      </c>
      <c r="E9614" s="2">
        <v>2.1537136176235299E-4</v>
      </c>
      <c r="F9614" s="2">
        <v>1.68306019484357E-3</v>
      </c>
    </row>
    <row r="9615" spans="1:6" x14ac:dyDescent="0.25">
      <c r="A9615" s="1" t="str">
        <f t="shared" si="345"/>
        <v>19740</v>
      </c>
      <c r="B9615" s="1" t="str">
        <f>"80003"</f>
        <v>80003</v>
      </c>
      <c r="C9615" s="2">
        <v>1.0839665000635001E-2</v>
      </c>
      <c r="D9615" s="2">
        <v>7.2329376854599397E-3</v>
      </c>
      <c r="E9615" s="2">
        <v>1.5337517691219001E-2</v>
      </c>
      <c r="F9615" s="2">
        <v>1.07259208231077E-2</v>
      </c>
    </row>
    <row r="9616" spans="1:6" x14ac:dyDescent="0.25">
      <c r="A9616" s="1" t="str">
        <f t="shared" si="345"/>
        <v>19740</v>
      </c>
      <c r="B9616" s="1" t="str">
        <f>"80453"</f>
        <v>80453</v>
      </c>
      <c r="C9616" s="2">
        <v>1.12812007381341E-4</v>
      </c>
      <c r="D9616" s="2">
        <v>0</v>
      </c>
      <c r="E9616" s="2">
        <v>4.6151006091932798E-5</v>
      </c>
      <c r="F9616" s="2">
        <v>1.0046173256043E-4</v>
      </c>
    </row>
    <row r="9617" spans="1:6" x14ac:dyDescent="0.25">
      <c r="A9617" s="1" t="str">
        <f t="shared" si="345"/>
        <v>19740</v>
      </c>
      <c r="B9617" s="1" t="str">
        <f>"80436"</f>
        <v>80436</v>
      </c>
      <c r="C9617" s="2">
        <v>1.88269045431113E-4</v>
      </c>
      <c r="D9617" s="2">
        <v>0</v>
      </c>
      <c r="E9617" s="2">
        <v>1.5383668697310901E-4</v>
      </c>
      <c r="F9617" s="2">
        <v>1.7091541513527701E-4</v>
      </c>
    </row>
    <row r="9618" spans="1:6" x14ac:dyDescent="0.25">
      <c r="A9618" s="1" t="str">
        <f t="shared" si="345"/>
        <v>19740</v>
      </c>
      <c r="B9618" s="1" t="str">
        <f>"80249"</f>
        <v>80249</v>
      </c>
      <c r="C9618" s="2">
        <v>8.6222740211130203E-3</v>
      </c>
      <c r="D9618" s="2">
        <v>4.3660361028684397E-3</v>
      </c>
      <c r="E9618" s="2">
        <v>2.9228970524890702E-3</v>
      </c>
      <c r="F9618" s="2">
        <v>8.0212822309289004E-3</v>
      </c>
    </row>
    <row r="9619" spans="1:6" x14ac:dyDescent="0.25">
      <c r="A9619" s="1" t="str">
        <f t="shared" si="345"/>
        <v>19740</v>
      </c>
      <c r="B9619" s="1" t="str">
        <f>"80022"</f>
        <v>80022</v>
      </c>
      <c r="C9619" s="2">
        <v>1.38960485913441E-2</v>
      </c>
      <c r="D9619" s="2">
        <v>1.3731763105835799E-2</v>
      </c>
      <c r="E9619" s="2">
        <v>1.1491600516891199E-2</v>
      </c>
      <c r="F9619" s="2">
        <v>1.37802184325099E-2</v>
      </c>
    </row>
    <row r="9620" spans="1:6" x14ac:dyDescent="0.25">
      <c r="A9620" s="1" t="str">
        <f t="shared" si="345"/>
        <v>19740</v>
      </c>
      <c r="B9620" s="1" t="str">
        <f>"80023"</f>
        <v>80023</v>
      </c>
      <c r="C9620" s="2">
        <v>8.0006873314356994E-3</v>
      </c>
      <c r="D9620" s="2">
        <v>4.8296859545004902E-3</v>
      </c>
      <c r="E9620" s="2">
        <v>7.7226016860500804E-3</v>
      </c>
      <c r="F9620" s="2">
        <v>7.7212017310730697E-3</v>
      </c>
    </row>
    <row r="9621" spans="1:6" x14ac:dyDescent="0.25">
      <c r="A9621" s="1" t="str">
        <f t="shared" si="345"/>
        <v>19740</v>
      </c>
      <c r="B9621" s="1" t="str">
        <f>"80104"</f>
        <v>80104</v>
      </c>
      <c r="C9621" s="2">
        <v>1.09950616730543E-2</v>
      </c>
      <c r="D9621" s="2">
        <v>1.26962784371909E-2</v>
      </c>
      <c r="E9621" s="2">
        <v>6.9226509137899203E-3</v>
      </c>
      <c r="F9621" s="2">
        <v>1.09659852229924E-2</v>
      </c>
    </row>
    <row r="9622" spans="1:6" x14ac:dyDescent="0.25">
      <c r="A9622" s="1" t="str">
        <f t="shared" si="345"/>
        <v>19740</v>
      </c>
      <c r="B9622" s="1" t="str">
        <f>"80108"</f>
        <v>80108</v>
      </c>
      <c r="C9622" s="2">
        <v>9.2139767353250999E-3</v>
      </c>
      <c r="D9622" s="2">
        <v>4.4510385756676499E-3</v>
      </c>
      <c r="E9622" s="2">
        <v>5.2458310257830201E-3</v>
      </c>
      <c r="F9622" s="2">
        <v>8.6436230936733794E-3</v>
      </c>
    </row>
    <row r="9623" spans="1:6" x14ac:dyDescent="0.25">
      <c r="A9623" s="1" t="str">
        <f t="shared" si="345"/>
        <v>19740</v>
      </c>
      <c r="B9623" s="1" t="str">
        <f>"80045"</f>
        <v>80045</v>
      </c>
      <c r="C9623" s="2">
        <v>4.7963780621736098E-4</v>
      </c>
      <c r="D9623" s="2">
        <v>4.5205860534124603E-3</v>
      </c>
      <c r="E9623" s="2">
        <v>9.2302012183865601E-4</v>
      </c>
      <c r="F9623" s="2">
        <v>8.3957305068359603E-4</v>
      </c>
    </row>
    <row r="9624" spans="1:6" x14ac:dyDescent="0.25">
      <c r="A9624" s="1" t="str">
        <f t="shared" si="345"/>
        <v>19740</v>
      </c>
      <c r="B9624" s="1" t="str">
        <f>"80136"</f>
        <v>80136</v>
      </c>
      <c r="C9624" s="2">
        <v>1.6944214088800199E-3</v>
      </c>
      <c r="D9624" s="2">
        <v>3.1682739861523202E-4</v>
      </c>
      <c r="E9624" s="2">
        <v>5.2304473570857096E-4</v>
      </c>
      <c r="F9624" s="2">
        <v>1.5284535025265401E-3</v>
      </c>
    </row>
    <row r="9625" spans="1:6" x14ac:dyDescent="0.25">
      <c r="A9625" s="1" t="str">
        <f t="shared" si="345"/>
        <v>19740</v>
      </c>
      <c r="B9625" s="1" t="str">
        <f>"80274"</f>
        <v>80274</v>
      </c>
      <c r="C9625" s="2">
        <v>0</v>
      </c>
      <c r="D9625" s="2">
        <v>7.7274975272007893E-6</v>
      </c>
      <c r="E9625" s="2">
        <v>0</v>
      </c>
      <c r="F9625" s="2">
        <v>6.5234891273006697E-7</v>
      </c>
    </row>
    <row r="9626" spans="1:6" x14ac:dyDescent="0.25">
      <c r="A9626" s="1" t="str">
        <f t="shared" si="345"/>
        <v>19740</v>
      </c>
      <c r="B9626" s="1" t="str">
        <f>"80165"</f>
        <v>80165</v>
      </c>
      <c r="C9626" s="2">
        <v>0</v>
      </c>
      <c r="D9626" s="2">
        <v>7.7274975272007893E-6</v>
      </c>
      <c r="E9626" s="2">
        <v>0</v>
      </c>
      <c r="F9626" s="2">
        <v>6.5234891273006697E-7</v>
      </c>
    </row>
    <row r="9627" spans="1:6" x14ac:dyDescent="0.25">
      <c r="A9627" s="1" t="str">
        <f t="shared" si="345"/>
        <v>19740</v>
      </c>
      <c r="B9627" s="1" t="str">
        <f>"80432"</f>
        <v>80432</v>
      </c>
      <c r="C9627" s="2">
        <v>1.04593914128396E-5</v>
      </c>
      <c r="D9627" s="2">
        <v>0</v>
      </c>
      <c r="E9627" s="2">
        <v>3.0767337394621802E-5</v>
      </c>
      <c r="F9627" s="2">
        <v>1.0437582603681E-5</v>
      </c>
    </row>
    <row r="9628" spans="1:6" x14ac:dyDescent="0.25">
      <c r="A9628" s="1" t="str">
        <f t="shared" si="345"/>
        <v>19740</v>
      </c>
      <c r="B9628" s="1" t="str">
        <f>"80151"</f>
        <v>80151</v>
      </c>
      <c r="C9628" s="2">
        <v>5.6331293752007801E-4</v>
      </c>
      <c r="D9628" s="2">
        <v>1.6305019782393601E-3</v>
      </c>
      <c r="E9628" s="2">
        <v>3.0767337394621802E-5</v>
      </c>
      <c r="F9628" s="2">
        <v>6.3082139860997396E-4</v>
      </c>
    </row>
    <row r="9629" spans="1:6" x14ac:dyDescent="0.25">
      <c r="A9629" s="1" t="str">
        <f t="shared" si="345"/>
        <v>19740</v>
      </c>
      <c r="B9629" s="1" t="str">
        <f>"80421"</f>
        <v>80421</v>
      </c>
      <c r="C9629" s="2">
        <v>2.8584022532517502E-3</v>
      </c>
      <c r="D9629" s="2">
        <v>3.7091988130563702E-4</v>
      </c>
      <c r="E9629" s="2">
        <v>4.7689372961663798E-4</v>
      </c>
      <c r="F9629" s="2">
        <v>2.5474225042109101E-3</v>
      </c>
    </row>
    <row r="9630" spans="1:6" x14ac:dyDescent="0.25">
      <c r="A9630" s="1" t="str">
        <f t="shared" si="345"/>
        <v>19740</v>
      </c>
      <c r="B9630" s="1" t="str">
        <f>"80223"</f>
        <v>80223</v>
      </c>
      <c r="C9630" s="2">
        <v>6.4863168747338398E-3</v>
      </c>
      <c r="D9630" s="2">
        <v>1.6258654797230401E-2</v>
      </c>
      <c r="E9630" s="2">
        <v>1.00147683219494E-2</v>
      </c>
      <c r="F9630" s="2">
        <v>7.4609145148937699E-3</v>
      </c>
    </row>
    <row r="9631" spans="1:6" x14ac:dyDescent="0.25">
      <c r="A9631" s="1" t="str">
        <f t="shared" si="345"/>
        <v>19740</v>
      </c>
      <c r="B9631" s="1" t="str">
        <f>"80241"</f>
        <v>80241</v>
      </c>
      <c r="C9631" s="2">
        <v>9.4478188433407204E-3</v>
      </c>
      <c r="D9631" s="2">
        <v>3.0600890207715102E-3</v>
      </c>
      <c r="E9631" s="2">
        <v>6.8611162390006704E-3</v>
      </c>
      <c r="F9631" s="2">
        <v>8.7988821349031399E-3</v>
      </c>
    </row>
    <row r="9632" spans="1:6" x14ac:dyDescent="0.25">
      <c r="A9632" s="1" t="str">
        <f t="shared" si="345"/>
        <v>19740</v>
      </c>
      <c r="B9632" s="1" t="str">
        <f>"80246"</f>
        <v>80246</v>
      </c>
      <c r="C9632" s="2">
        <v>7.06008920366676E-3</v>
      </c>
      <c r="D9632" s="2">
        <v>1.1908073689416401E-2</v>
      </c>
      <c r="E9632" s="2">
        <v>6.5842102024490801E-3</v>
      </c>
      <c r="F9632" s="2">
        <v>7.4491722344646296E-3</v>
      </c>
    </row>
    <row r="9633" spans="1:6" x14ac:dyDescent="0.25">
      <c r="A9633" s="1" t="str">
        <f t="shared" si="345"/>
        <v>19740</v>
      </c>
      <c r="B9633" s="1" t="str">
        <f>"80260"</f>
        <v>80260</v>
      </c>
      <c r="C9633" s="2">
        <v>1.14448155038064E-2</v>
      </c>
      <c r="D9633" s="2">
        <v>4.7987759643916897E-3</v>
      </c>
      <c r="E9633" s="2">
        <v>6.9380345824872304E-3</v>
      </c>
      <c r="F9633" s="2">
        <v>1.06926510285585E-2</v>
      </c>
    </row>
    <row r="9634" spans="1:6" x14ac:dyDescent="0.25">
      <c r="A9634" s="1" t="str">
        <f t="shared" si="345"/>
        <v>19740</v>
      </c>
      <c r="B9634" s="1" t="str">
        <f>"80014"</f>
        <v>80014</v>
      </c>
      <c r="C9634" s="2">
        <v>1.50936489081142E-2</v>
      </c>
      <c r="D9634" s="2">
        <v>1.7510509396636901E-2</v>
      </c>
      <c r="E9634" s="2">
        <v>3.3859454802781297E-2</v>
      </c>
      <c r="F9634" s="2">
        <v>1.6093447677050701E-2</v>
      </c>
    </row>
    <row r="9635" spans="1:6" x14ac:dyDescent="0.25">
      <c r="A9635" s="1" t="str">
        <f t="shared" si="345"/>
        <v>19740</v>
      </c>
      <c r="B9635" s="1" t="str">
        <f>"80047"</f>
        <v>80047</v>
      </c>
      <c r="C9635" s="2">
        <v>2.0134328469716299E-3</v>
      </c>
      <c r="D9635" s="2">
        <v>4.1573936696340198E-3</v>
      </c>
      <c r="E9635" s="2">
        <v>3.0767337394621802E-5</v>
      </c>
      <c r="F9635" s="2">
        <v>2.1103487326817601E-3</v>
      </c>
    </row>
    <row r="9636" spans="1:6" x14ac:dyDescent="0.25">
      <c r="A9636" s="1" t="str">
        <f t="shared" si="345"/>
        <v>19740</v>
      </c>
      <c r="B9636" s="1" t="str">
        <f>"80019"</f>
        <v>80019</v>
      </c>
      <c r="C9636" s="2">
        <v>1.02203196091176E-3</v>
      </c>
      <c r="D9636" s="2">
        <v>3.3228239366963399E-4</v>
      </c>
      <c r="E9636" s="2">
        <v>1.1076241462063801E-3</v>
      </c>
      <c r="F9636" s="2">
        <v>9.6743343757868896E-4</v>
      </c>
    </row>
    <row r="9637" spans="1:6" x14ac:dyDescent="0.25">
      <c r="A9637" s="1" t="str">
        <f t="shared" ref="A9637:A9668" si="346">"19740"</f>
        <v>19740</v>
      </c>
      <c r="B9637" s="1" t="str">
        <f>"80204"</f>
        <v>80204</v>
      </c>
      <c r="C9637" s="2">
        <v>1.3733180925058401E-2</v>
      </c>
      <c r="D9637" s="2">
        <v>1.8422354104846599E-2</v>
      </c>
      <c r="E9637" s="2">
        <v>1.5291366685126999E-2</v>
      </c>
      <c r="F9637" s="2">
        <v>1.41951123410062E-2</v>
      </c>
    </row>
    <row r="9638" spans="1:6" x14ac:dyDescent="0.25">
      <c r="A9638" s="1" t="str">
        <f t="shared" si="346"/>
        <v>19740</v>
      </c>
      <c r="B9638" s="1" t="str">
        <f>"80123"</f>
        <v>80123</v>
      </c>
      <c r="C9638" s="2">
        <v>1.6369694660480601E-2</v>
      </c>
      <c r="D9638" s="2">
        <v>8.5388847675568706E-3</v>
      </c>
      <c r="E9638" s="2">
        <v>1.3706848809303999E-2</v>
      </c>
      <c r="F9638" s="2">
        <v>1.55957054566377E-2</v>
      </c>
    </row>
    <row r="9639" spans="1:6" x14ac:dyDescent="0.25">
      <c r="A9639" s="1" t="str">
        <f t="shared" si="346"/>
        <v>19740</v>
      </c>
      <c r="B9639" s="1" t="str">
        <f>"80129"</f>
        <v>80129</v>
      </c>
      <c r="C9639" s="2">
        <v>9.3723618052909494E-3</v>
      </c>
      <c r="D9639" s="2">
        <v>5.77244065281899E-3</v>
      </c>
      <c r="E9639" s="2">
        <v>9.3840379053596705E-3</v>
      </c>
      <c r="F9639" s="2">
        <v>9.06895458477339E-3</v>
      </c>
    </row>
    <row r="9640" spans="1:6" x14ac:dyDescent="0.25">
      <c r="A9640" s="1" t="str">
        <f t="shared" si="346"/>
        <v>19740</v>
      </c>
      <c r="B9640" s="1" t="str">
        <f>"80209"</f>
        <v>80209</v>
      </c>
      <c r="C9640" s="2">
        <v>1.3355148635422901E-2</v>
      </c>
      <c r="D9640" s="2">
        <v>1.0238934223541E-2</v>
      </c>
      <c r="E9640" s="2">
        <v>1.3076118392714201E-2</v>
      </c>
      <c r="F9640" s="2">
        <v>1.3080248049150501E-2</v>
      </c>
    </row>
    <row r="9641" spans="1:6" x14ac:dyDescent="0.25">
      <c r="A9641" s="1" t="str">
        <f t="shared" si="346"/>
        <v>19740</v>
      </c>
      <c r="B9641" s="1" t="str">
        <f>"80215"</f>
        <v>80215</v>
      </c>
      <c r="C9641" s="2">
        <v>8.0260887105811606E-3</v>
      </c>
      <c r="D9641" s="2">
        <v>1.2317631058358E-2</v>
      </c>
      <c r="E9641" s="2">
        <v>1.00916866654359E-2</v>
      </c>
      <c r="F9641" s="2">
        <v>8.4759694231017601E-3</v>
      </c>
    </row>
    <row r="9642" spans="1:6" x14ac:dyDescent="0.25">
      <c r="A9642" s="1" t="str">
        <f t="shared" si="346"/>
        <v>19740</v>
      </c>
      <c r="B9642" s="1" t="str">
        <f>"80006"</f>
        <v>80006</v>
      </c>
      <c r="C9642" s="2">
        <v>1.23047268978192E-3</v>
      </c>
      <c r="D9642" s="2">
        <v>4.4046735905044496E-3</v>
      </c>
      <c r="E9642" s="2">
        <v>4.6151006091932798E-5</v>
      </c>
      <c r="F9642" s="2">
        <v>1.44821458626074E-3</v>
      </c>
    </row>
    <row r="9643" spans="1:6" x14ac:dyDescent="0.25">
      <c r="A9643" s="1" t="str">
        <f t="shared" si="346"/>
        <v>19740</v>
      </c>
      <c r="B9643" s="1" t="str">
        <f>"80602"</f>
        <v>80602</v>
      </c>
      <c r="C9643" s="2">
        <v>1.1688369903848301E-2</v>
      </c>
      <c r="D9643" s="2">
        <v>8.8093471810089005E-4</v>
      </c>
      <c r="E9643" s="2">
        <v>3.73823149344655E-3</v>
      </c>
      <c r="F9643" s="2">
        <v>1.0438887301506499E-2</v>
      </c>
    </row>
    <row r="9644" spans="1:6" x14ac:dyDescent="0.25">
      <c r="A9644" s="1" t="str">
        <f t="shared" si="346"/>
        <v>19740</v>
      </c>
      <c r="B9644" s="1" t="str">
        <f>"80601"</f>
        <v>80601</v>
      </c>
      <c r="C9644" s="2">
        <v>1.2130652740734001E-2</v>
      </c>
      <c r="D9644" s="2">
        <v>1.2139898615232399E-2</v>
      </c>
      <c r="E9644" s="2">
        <v>7.5995323364715997E-3</v>
      </c>
      <c r="F9644" s="2">
        <v>1.19392898007856E-2</v>
      </c>
    </row>
    <row r="9645" spans="1:6" x14ac:dyDescent="0.25">
      <c r="A9645" s="1" t="str">
        <f t="shared" si="346"/>
        <v>19740</v>
      </c>
      <c r="B9645" s="1" t="str">
        <f>"80465"</f>
        <v>80465</v>
      </c>
      <c r="C9645" s="2">
        <v>5.2020530291144599E-3</v>
      </c>
      <c r="D9645" s="2">
        <v>3.0523615232443098E-3</v>
      </c>
      <c r="E9645" s="2">
        <v>1.83065657498E-3</v>
      </c>
      <c r="F9645" s="2">
        <v>4.8776128204827103E-3</v>
      </c>
    </row>
    <row r="9646" spans="1:6" x14ac:dyDescent="0.25">
      <c r="A9646" s="1" t="str">
        <f t="shared" si="346"/>
        <v>19740</v>
      </c>
      <c r="B9646" s="1" t="str">
        <f>"80211"</f>
        <v>80211</v>
      </c>
      <c r="C9646" s="2">
        <v>1.57637970579226E-2</v>
      </c>
      <c r="D9646" s="2">
        <v>1.25340009891196E-2</v>
      </c>
      <c r="E9646" s="2">
        <v>1.8214263737616102E-2</v>
      </c>
      <c r="F9646" s="2">
        <v>1.55950531077249E-2</v>
      </c>
    </row>
    <row r="9647" spans="1:6" x14ac:dyDescent="0.25">
      <c r="A9647" s="1" t="str">
        <f t="shared" si="346"/>
        <v>19740</v>
      </c>
      <c r="B9647" s="1" t="str">
        <f>"80273"</f>
        <v>80273</v>
      </c>
      <c r="C9647" s="2">
        <v>0</v>
      </c>
      <c r="D9647" s="2">
        <v>7.7274975272007893E-6</v>
      </c>
      <c r="E9647" s="2">
        <v>0</v>
      </c>
      <c r="F9647" s="2">
        <v>6.5234891273006697E-7</v>
      </c>
    </row>
    <row r="9648" spans="1:6" x14ac:dyDescent="0.25">
      <c r="A9648" s="1" t="str">
        <f t="shared" si="346"/>
        <v>19740</v>
      </c>
      <c r="B9648" s="1" t="str">
        <f>"80420"</f>
        <v>80420</v>
      </c>
      <c r="C9648" s="2">
        <v>0</v>
      </c>
      <c r="D9648" s="2">
        <v>0</v>
      </c>
      <c r="E9648" s="2">
        <v>1.5383668697310901E-5</v>
      </c>
      <c r="F9648" s="2">
        <v>6.5234891273006697E-7</v>
      </c>
    </row>
    <row r="9649" spans="1:6" x14ac:dyDescent="0.25">
      <c r="A9649" s="1" t="str">
        <f t="shared" si="346"/>
        <v>19740</v>
      </c>
      <c r="B9649" s="1" t="str">
        <f>"80427"</f>
        <v>80427</v>
      </c>
      <c r="C9649" s="2">
        <v>0</v>
      </c>
      <c r="D9649" s="2">
        <v>0</v>
      </c>
      <c r="E9649" s="2">
        <v>1.5383668697310901E-5</v>
      </c>
      <c r="F9649" s="2">
        <v>6.5234891273006697E-7</v>
      </c>
    </row>
    <row r="9650" spans="1:6" x14ac:dyDescent="0.25">
      <c r="A9650" s="1" t="str">
        <f t="shared" si="346"/>
        <v>19740</v>
      </c>
      <c r="B9650" s="1" t="str">
        <f>"80281"</f>
        <v>80281</v>
      </c>
      <c r="C9650" s="2">
        <v>0</v>
      </c>
      <c r="D9650" s="2">
        <v>7.7274975272007893E-6</v>
      </c>
      <c r="E9650" s="2">
        <v>0</v>
      </c>
      <c r="F9650" s="2">
        <v>6.5234891273006697E-7</v>
      </c>
    </row>
    <row r="9651" spans="1:6" x14ac:dyDescent="0.25">
      <c r="A9651" s="1" t="str">
        <f t="shared" si="346"/>
        <v>19740</v>
      </c>
      <c r="B9651" s="1" t="str">
        <f>"80303"</f>
        <v>80303</v>
      </c>
      <c r="C9651" s="2">
        <v>1.4941987732627999E-6</v>
      </c>
      <c r="D9651" s="2">
        <v>4.6364985163204702E-5</v>
      </c>
      <c r="E9651" s="2">
        <v>0</v>
      </c>
      <c r="F9651" s="2">
        <v>5.2187913018405299E-6</v>
      </c>
    </row>
    <row r="9652" spans="1:6" x14ac:dyDescent="0.25">
      <c r="A9652" s="1" t="str">
        <f t="shared" si="346"/>
        <v>19740</v>
      </c>
      <c r="B9652" s="1" t="str">
        <f>"80654"</f>
        <v>80654</v>
      </c>
      <c r="C9652" s="2">
        <v>2.0171683439047801E-5</v>
      </c>
      <c r="D9652" s="2">
        <v>0</v>
      </c>
      <c r="E9652" s="2">
        <v>0</v>
      </c>
      <c r="F9652" s="2">
        <v>1.76134206437118E-5</v>
      </c>
    </row>
    <row r="9653" spans="1:6" x14ac:dyDescent="0.25">
      <c r="A9653" s="1" t="str">
        <f t="shared" si="346"/>
        <v>19740</v>
      </c>
      <c r="B9653" s="1" t="str">
        <f>"80642"</f>
        <v>80642</v>
      </c>
      <c r="C9653" s="2">
        <v>3.7952648840875299E-4</v>
      </c>
      <c r="D9653" s="2">
        <v>7.7274975272007893E-6</v>
      </c>
      <c r="E9653" s="2">
        <v>0</v>
      </c>
      <c r="F9653" s="2">
        <v>3.3204559657960402E-4</v>
      </c>
    </row>
    <row r="9654" spans="1:6" x14ac:dyDescent="0.25">
      <c r="A9654" s="1" t="str">
        <f t="shared" si="346"/>
        <v>19740</v>
      </c>
      <c r="B9654" s="1" t="str">
        <f>"80820"</f>
        <v>80820</v>
      </c>
      <c r="C9654" s="2">
        <v>3.7429679270233301E-4</v>
      </c>
      <c r="D9654" s="2">
        <v>1.5454995054401501E-5</v>
      </c>
      <c r="E9654" s="2">
        <v>1.5383668697310901E-5</v>
      </c>
      <c r="F9654" s="2">
        <v>3.2878385201595299E-4</v>
      </c>
    </row>
    <row r="9655" spans="1:6" x14ac:dyDescent="0.25">
      <c r="A9655" s="1" t="str">
        <f t="shared" si="346"/>
        <v>19740</v>
      </c>
      <c r="B9655" s="1" t="str">
        <f>"80422"</f>
        <v>80422</v>
      </c>
      <c r="C9655" s="2">
        <v>1.4680502947307E-3</v>
      </c>
      <c r="D9655" s="2">
        <v>2.9364490603362998E-4</v>
      </c>
      <c r="E9655" s="2">
        <v>1.5383668697310901E-4</v>
      </c>
      <c r="F9655" s="2">
        <v>1.3131783613256199E-3</v>
      </c>
    </row>
    <row r="9656" spans="1:6" x14ac:dyDescent="0.25">
      <c r="A9656" s="1" t="str">
        <f t="shared" si="346"/>
        <v>19740</v>
      </c>
      <c r="B9656" s="1" t="str">
        <f>"80470"</f>
        <v>80470</v>
      </c>
      <c r="C9656" s="2">
        <v>1.3216188149509499E-3</v>
      </c>
      <c r="D9656" s="2">
        <v>7.6502225519287797E-4</v>
      </c>
      <c r="E9656" s="2">
        <v>7.38416097470924E-4</v>
      </c>
      <c r="F9656" s="2">
        <v>1.2499005167908E-3</v>
      </c>
    </row>
    <row r="9657" spans="1:6" x14ac:dyDescent="0.25">
      <c r="A9657" s="1" t="str">
        <f t="shared" si="346"/>
        <v>19740</v>
      </c>
      <c r="B9657" s="1" t="str">
        <f>"80433"</f>
        <v>80433</v>
      </c>
      <c r="C9657" s="2">
        <v>3.4680353527429702E-3</v>
      </c>
      <c r="D9657" s="2">
        <v>4.64422601384767E-3</v>
      </c>
      <c r="E9657" s="2">
        <v>1.5845178758230199E-3</v>
      </c>
      <c r="F9657" s="2">
        <v>3.4874572874549299E-3</v>
      </c>
    </row>
    <row r="9658" spans="1:6" x14ac:dyDescent="0.25">
      <c r="A9658" s="1" t="str">
        <f t="shared" si="346"/>
        <v>19740</v>
      </c>
      <c r="B9658" s="1" t="str">
        <f>"80227"</f>
        <v>80227</v>
      </c>
      <c r="C9658" s="2">
        <v>1.3916220274783101E-2</v>
      </c>
      <c r="D9658" s="2">
        <v>9.1725395647873301E-3</v>
      </c>
      <c r="E9658" s="2">
        <v>1.3937603839763699E-2</v>
      </c>
      <c r="F9658" s="2">
        <v>1.35166694717669E-2</v>
      </c>
    </row>
    <row r="9659" spans="1:6" x14ac:dyDescent="0.25">
      <c r="A9659" s="1" t="str">
        <f t="shared" si="346"/>
        <v>19740</v>
      </c>
      <c r="B9659" s="1" t="str">
        <f>"80228"</f>
        <v>80228</v>
      </c>
      <c r="C9659" s="2">
        <v>1.33925036047545E-2</v>
      </c>
      <c r="D9659" s="2">
        <v>1.09112265084075E-2</v>
      </c>
      <c r="E9659" s="2">
        <v>9.9840009845547899E-3</v>
      </c>
      <c r="F9659" s="2">
        <v>1.30384977187358E-2</v>
      </c>
    </row>
    <row r="9660" spans="1:6" x14ac:dyDescent="0.25">
      <c r="A9660" s="1" t="str">
        <f t="shared" si="346"/>
        <v>19740</v>
      </c>
      <c r="B9660" s="1" t="str">
        <f>"80233"</f>
        <v>80233</v>
      </c>
      <c r="C9660" s="2">
        <v>1.4123913904266599E-2</v>
      </c>
      <c r="D9660" s="2">
        <v>8.0365974282888206E-3</v>
      </c>
      <c r="E9660" s="2">
        <v>5.9534797858593301E-3</v>
      </c>
      <c r="F9660" s="2">
        <v>1.3263558093627699E-2</v>
      </c>
    </row>
    <row r="9661" spans="1:6" x14ac:dyDescent="0.25">
      <c r="A9661" s="1" t="str">
        <f t="shared" si="346"/>
        <v>19740</v>
      </c>
      <c r="B9661" s="1" t="str">
        <f>"80235"</f>
        <v>80235</v>
      </c>
      <c r="C9661" s="2">
        <v>3.6817057773195498E-3</v>
      </c>
      <c r="D9661" s="2">
        <v>2.5500741839762598E-3</v>
      </c>
      <c r="E9661" s="2">
        <v>3.8920681804196599E-3</v>
      </c>
      <c r="F9661" s="2">
        <v>3.5950948580553998E-3</v>
      </c>
    </row>
    <row r="9662" spans="1:6" x14ac:dyDescent="0.25">
      <c r="A9662" s="1" t="str">
        <f t="shared" si="346"/>
        <v>19740</v>
      </c>
      <c r="B9662" s="1" t="str">
        <f>"80239"</f>
        <v>80239</v>
      </c>
      <c r="C9662" s="2">
        <v>1.0815757820262799E-2</v>
      </c>
      <c r="D9662" s="2">
        <v>1.32217482690405E-2</v>
      </c>
      <c r="E9662" s="2">
        <v>7.8610547043258799E-3</v>
      </c>
      <c r="F9662" s="2">
        <v>1.08935744936793E-2</v>
      </c>
    </row>
    <row r="9663" spans="1:6" x14ac:dyDescent="0.25">
      <c r="A9663" s="1" t="str">
        <f t="shared" si="346"/>
        <v>19740</v>
      </c>
      <c r="B9663" s="1" t="str">
        <f>"80220"</f>
        <v>80220</v>
      </c>
      <c r="C9663" s="2">
        <v>1.5173588542483799E-2</v>
      </c>
      <c r="D9663" s="2">
        <v>1.29281033630069E-2</v>
      </c>
      <c r="E9663" s="2">
        <v>9.0609808627161396E-3</v>
      </c>
      <c r="F9663" s="2">
        <v>1.4724819658143E-2</v>
      </c>
    </row>
    <row r="9664" spans="1:6" x14ac:dyDescent="0.25">
      <c r="A9664" s="1" t="str">
        <f t="shared" si="346"/>
        <v>19740</v>
      </c>
      <c r="B9664" s="1" t="str">
        <f>"80248"</f>
        <v>80248</v>
      </c>
      <c r="C9664" s="2">
        <v>7.3215739889877498E-5</v>
      </c>
      <c r="D9664" s="2">
        <v>1.8545994065281799E-4</v>
      </c>
      <c r="E9664" s="2">
        <v>0</v>
      </c>
      <c r="F9664" s="2">
        <v>7.9586567353068097E-5</v>
      </c>
    </row>
    <row r="9665" spans="1:6" x14ac:dyDescent="0.25">
      <c r="A9665" s="1" t="str">
        <f t="shared" si="346"/>
        <v>19740</v>
      </c>
      <c r="B9665" s="1" t="str">
        <f>"80113"</f>
        <v>80113</v>
      </c>
      <c r="C9665" s="2">
        <v>9.3193177488401207E-3</v>
      </c>
      <c r="D9665" s="2">
        <v>6.7229228486646803E-3</v>
      </c>
      <c r="E9665" s="2">
        <v>7.3995446434065503E-3</v>
      </c>
      <c r="F9665" s="2">
        <v>9.0187237184931705E-3</v>
      </c>
    </row>
    <row r="9666" spans="1:6" x14ac:dyDescent="0.25">
      <c r="A9666" s="1" t="str">
        <f t="shared" si="346"/>
        <v>19740</v>
      </c>
      <c r="B9666" s="1" t="str">
        <f>"80109"</f>
        <v>80109</v>
      </c>
      <c r="C9666" s="2">
        <v>7.3193326908278598E-3</v>
      </c>
      <c r="D9666" s="2">
        <v>3.8792037586547899E-3</v>
      </c>
      <c r="E9666" s="2">
        <v>4.2305088917604997E-3</v>
      </c>
      <c r="F9666" s="2">
        <v>6.89793740320773E-3</v>
      </c>
    </row>
    <row r="9667" spans="1:6" x14ac:dyDescent="0.25">
      <c r="A9667" s="1" t="str">
        <f t="shared" si="346"/>
        <v>19740</v>
      </c>
      <c r="B9667" s="1" t="str">
        <f>"80116"</f>
        <v>80116</v>
      </c>
      <c r="C9667" s="2">
        <v>1.8034979193282E-3</v>
      </c>
      <c r="D9667" s="2">
        <v>1.3909495548961399E-3</v>
      </c>
      <c r="E9667" s="2">
        <v>2.30755030459664E-4</v>
      </c>
      <c r="F9667" s="2">
        <v>1.7019783133127399E-3</v>
      </c>
    </row>
    <row r="9668" spans="1:6" x14ac:dyDescent="0.25">
      <c r="A9668" s="1" t="str">
        <f t="shared" si="346"/>
        <v>19740</v>
      </c>
      <c r="B9668" s="1" t="str">
        <f>"80134"</f>
        <v>80134</v>
      </c>
      <c r="C9668" s="2">
        <v>2.37077048359743E-2</v>
      </c>
      <c r="D9668" s="2">
        <v>1.9651026211671599E-2</v>
      </c>
      <c r="E9668" s="2">
        <v>1.7921974032367199E-2</v>
      </c>
      <c r="F9668" s="2">
        <v>2.3119897816066302E-2</v>
      </c>
    </row>
    <row r="9669" spans="1:6" x14ac:dyDescent="0.25">
      <c r="A9669" s="1" t="str">
        <f t="shared" ref="A9669:A9700" si="347">"19740"</f>
        <v>19740</v>
      </c>
      <c r="B9669" s="1" t="str">
        <f>"80203"</f>
        <v>80203</v>
      </c>
      <c r="C9669" s="2">
        <v>1.31459608071661E-2</v>
      </c>
      <c r="D9669" s="2">
        <v>1.5841369930761601E-2</v>
      </c>
      <c r="E9669" s="2">
        <v>2.14602178327487E-2</v>
      </c>
      <c r="F9669" s="2">
        <v>1.37260734727533E-2</v>
      </c>
    </row>
    <row r="9670" spans="1:6" x14ac:dyDescent="0.25">
      <c r="A9670" s="1" t="str">
        <f t="shared" si="347"/>
        <v>19740</v>
      </c>
      <c r="B9670" s="1" t="str">
        <f>"80212"</f>
        <v>80212</v>
      </c>
      <c r="C9670" s="2">
        <v>7.8079356896847904E-3</v>
      </c>
      <c r="D9670" s="2">
        <v>7.1479352126607304E-3</v>
      </c>
      <c r="E9670" s="2">
        <v>6.8918835763952897E-3</v>
      </c>
      <c r="F9670" s="2">
        <v>7.7133735441203104E-3</v>
      </c>
    </row>
    <row r="9671" spans="1:6" x14ac:dyDescent="0.25">
      <c r="A9671" s="1" t="str">
        <f t="shared" si="347"/>
        <v>19740</v>
      </c>
      <c r="B9671" s="1" t="str">
        <f>"80207"</f>
        <v>80207</v>
      </c>
      <c r="C9671" s="2">
        <v>6.7791798342933503E-3</v>
      </c>
      <c r="D9671" s="2">
        <v>5.6642556874381801E-3</v>
      </c>
      <c r="E9671" s="2">
        <v>2.0152605993477299E-3</v>
      </c>
      <c r="F9671" s="2">
        <v>6.4830434947114003E-3</v>
      </c>
    </row>
    <row r="9672" spans="1:6" x14ac:dyDescent="0.25">
      <c r="A9672" s="1" t="str">
        <f t="shared" si="347"/>
        <v>19740</v>
      </c>
      <c r="B9672" s="1" t="str">
        <f>"80002"</f>
        <v>80002</v>
      </c>
      <c r="C9672" s="2">
        <v>7.5613928920964298E-3</v>
      </c>
      <c r="D9672" s="2">
        <v>1.20239861523244E-2</v>
      </c>
      <c r="E9672" s="2">
        <v>1.40606731893421E-2</v>
      </c>
      <c r="F9672" s="2">
        <v>8.2137251601842702E-3</v>
      </c>
    </row>
    <row r="9673" spans="1:6" x14ac:dyDescent="0.25">
      <c r="A9673" s="1" t="str">
        <f t="shared" si="347"/>
        <v>19740</v>
      </c>
      <c r="B9673" s="1" t="str">
        <f>"80005"</f>
        <v>80005</v>
      </c>
      <c r="C9673" s="2">
        <v>8.4646360505338004E-3</v>
      </c>
      <c r="D9673" s="2">
        <v>1.68459446092977E-3</v>
      </c>
      <c r="E9673" s="2">
        <v>9.5840255984247103E-3</v>
      </c>
      <c r="F9673" s="2">
        <v>7.93973861683764E-3</v>
      </c>
    </row>
    <row r="9674" spans="1:6" x14ac:dyDescent="0.25">
      <c r="A9674" s="1" t="str">
        <f t="shared" si="347"/>
        <v>19740</v>
      </c>
      <c r="B9674" s="1" t="str">
        <f>"80007"</f>
        <v>80007</v>
      </c>
      <c r="C9674" s="2">
        <v>4.9906239026977703E-3</v>
      </c>
      <c r="D9674" s="2">
        <v>1.4914070227497499E-3</v>
      </c>
      <c r="E9674" s="2">
        <v>6.5380591963571403E-3</v>
      </c>
      <c r="F9674" s="2">
        <v>4.7608423651040298E-3</v>
      </c>
    </row>
    <row r="9675" spans="1:6" x14ac:dyDescent="0.25">
      <c r="A9675" s="1" t="str">
        <f t="shared" si="347"/>
        <v>19740</v>
      </c>
      <c r="B9675" s="1" t="str">
        <f>"80225"</f>
        <v>80225</v>
      </c>
      <c r="C9675" s="2">
        <v>5.2296957064198199E-5</v>
      </c>
      <c r="D9675" s="2">
        <v>1.5454995054401501E-5</v>
      </c>
      <c r="E9675" s="2">
        <v>1.5383668697310901E-5</v>
      </c>
      <c r="F9675" s="2">
        <v>4.7621470629294898E-5</v>
      </c>
    </row>
    <row r="9676" spans="1:6" x14ac:dyDescent="0.25">
      <c r="A9676" s="1" t="str">
        <f t="shared" si="347"/>
        <v>19740</v>
      </c>
      <c r="B9676" s="1" t="str">
        <f>"80266"</f>
        <v>80266</v>
      </c>
      <c r="C9676" s="2">
        <v>0</v>
      </c>
      <c r="D9676" s="2">
        <v>5.8728981206725996E-4</v>
      </c>
      <c r="E9676" s="2">
        <v>1.38453018275798E-4</v>
      </c>
      <c r="F9676" s="2">
        <v>5.5449657582055699E-5</v>
      </c>
    </row>
    <row r="9677" spans="1:6" x14ac:dyDescent="0.25">
      <c r="A9677" s="1" t="str">
        <f t="shared" si="347"/>
        <v>19740</v>
      </c>
      <c r="B9677" s="1" t="str">
        <f>"80040"</f>
        <v>80040</v>
      </c>
      <c r="C9677" s="2">
        <v>8.8830117070473797E-4</v>
      </c>
      <c r="D9677" s="2">
        <v>7.5729475766567699E-4</v>
      </c>
      <c r="E9677" s="2">
        <v>3.0767337394621802E-5</v>
      </c>
      <c r="F9677" s="2">
        <v>8.4087774850905603E-4</v>
      </c>
    </row>
    <row r="9678" spans="1:6" x14ac:dyDescent="0.25">
      <c r="A9678" s="1" t="str">
        <f t="shared" si="347"/>
        <v>19740</v>
      </c>
      <c r="B9678" s="1" t="str">
        <f>"80042"</f>
        <v>80042</v>
      </c>
      <c r="C9678" s="2">
        <v>8.0238474124212698E-4</v>
      </c>
      <c r="D9678" s="2">
        <v>8.8866221562808995E-4</v>
      </c>
      <c r="E9678" s="2">
        <v>0</v>
      </c>
      <c r="F9678" s="2">
        <v>7.7564285723604896E-4</v>
      </c>
    </row>
    <row r="9679" spans="1:6" x14ac:dyDescent="0.25">
      <c r="A9679" s="1" t="str">
        <f t="shared" si="347"/>
        <v>19740</v>
      </c>
      <c r="B9679" s="1" t="str">
        <f>"80808"</f>
        <v>80808</v>
      </c>
      <c r="C9679" s="2">
        <v>6.9480242956720503E-5</v>
      </c>
      <c r="D9679" s="2">
        <v>0</v>
      </c>
      <c r="E9679" s="2">
        <v>3.0767337394621802E-5</v>
      </c>
      <c r="F9679" s="2">
        <v>6.1973146709356304E-5</v>
      </c>
    </row>
    <row r="9680" spans="1:6" x14ac:dyDescent="0.25">
      <c r="A9680" s="1" t="str">
        <f t="shared" si="347"/>
        <v>19740</v>
      </c>
      <c r="B9680" s="1" t="str">
        <f>"80208"</f>
        <v>80208</v>
      </c>
      <c r="C9680" s="2">
        <v>0</v>
      </c>
      <c r="D9680" s="2">
        <v>7.7274975272007893E-6</v>
      </c>
      <c r="E9680" s="2">
        <v>0</v>
      </c>
      <c r="F9680" s="2">
        <v>6.5234891273006697E-7</v>
      </c>
    </row>
    <row r="9681" spans="1:6" x14ac:dyDescent="0.25">
      <c r="A9681" s="1" t="str">
        <f t="shared" si="347"/>
        <v>19740</v>
      </c>
      <c r="B9681" s="1" t="str">
        <f>"80476"</f>
        <v>80476</v>
      </c>
      <c r="C9681" s="2">
        <v>0</v>
      </c>
      <c r="D9681" s="2">
        <v>0</v>
      </c>
      <c r="E9681" s="2">
        <v>3.0767337394621802E-5</v>
      </c>
      <c r="F9681" s="2">
        <v>1.3046978254601299E-6</v>
      </c>
    </row>
    <row r="9682" spans="1:6" x14ac:dyDescent="0.25">
      <c r="A9682" s="1" t="str">
        <f t="shared" si="347"/>
        <v>19740</v>
      </c>
      <c r="B9682" s="1" t="str">
        <f>"80444"</f>
        <v>80444</v>
      </c>
      <c r="C9682" s="2">
        <v>0</v>
      </c>
      <c r="D9682" s="2">
        <v>0</v>
      </c>
      <c r="E9682" s="2">
        <v>1.5383668697310901E-5</v>
      </c>
      <c r="F9682" s="2">
        <v>6.5234891273006697E-7</v>
      </c>
    </row>
    <row r="9683" spans="1:6" x14ac:dyDescent="0.25">
      <c r="A9683" s="1" t="str">
        <f t="shared" si="347"/>
        <v>19740</v>
      </c>
      <c r="B9683" s="1" t="str">
        <f>"80474"</f>
        <v>80474</v>
      </c>
      <c r="C9683" s="2">
        <v>0</v>
      </c>
      <c r="D9683" s="2">
        <v>0</v>
      </c>
      <c r="E9683" s="2">
        <v>1.5383668697310901E-5</v>
      </c>
      <c r="F9683" s="2">
        <v>6.5234891273006697E-7</v>
      </c>
    </row>
    <row r="9684" spans="1:6" x14ac:dyDescent="0.25">
      <c r="A9684" s="1" t="str">
        <f t="shared" si="347"/>
        <v>19740</v>
      </c>
      <c r="B9684" s="1" t="str">
        <f>"80243"</f>
        <v>80243</v>
      </c>
      <c r="C9684" s="2">
        <v>0</v>
      </c>
      <c r="D9684" s="2">
        <v>7.7274975272007893E-6</v>
      </c>
      <c r="E9684" s="2">
        <v>0</v>
      </c>
      <c r="F9684" s="2">
        <v>6.5234891273006697E-7</v>
      </c>
    </row>
    <row r="9685" spans="1:6" x14ac:dyDescent="0.25">
      <c r="A9685" s="1" t="str">
        <f t="shared" si="347"/>
        <v>19740</v>
      </c>
      <c r="B9685" s="1" t="str">
        <f>"80001"</f>
        <v>80001</v>
      </c>
      <c r="C9685" s="2">
        <v>9.7795309710050704E-4</v>
      </c>
      <c r="D9685" s="2">
        <v>3.6551063303659698E-3</v>
      </c>
      <c r="E9685" s="2">
        <v>3.0767337394621802E-5</v>
      </c>
      <c r="F9685" s="2">
        <v>1.16379046031043E-3</v>
      </c>
    </row>
    <row r="9686" spans="1:6" x14ac:dyDescent="0.25">
      <c r="A9686" s="1" t="str">
        <f t="shared" si="347"/>
        <v>19740</v>
      </c>
      <c r="B9686" s="1" t="str">
        <f>"80440"</f>
        <v>80440</v>
      </c>
      <c r="C9686" s="2">
        <v>7.7698336209665902E-5</v>
      </c>
      <c r="D9686" s="2">
        <v>1.5454995054401501E-5</v>
      </c>
      <c r="E9686" s="2">
        <v>4.6151006091932798E-5</v>
      </c>
      <c r="F9686" s="2">
        <v>7.1106031487577296E-5</v>
      </c>
    </row>
    <row r="9687" spans="1:6" x14ac:dyDescent="0.25">
      <c r="A9687" s="1" t="str">
        <f t="shared" si="347"/>
        <v>19740</v>
      </c>
      <c r="B9687" s="1" t="str">
        <f>"80457"</f>
        <v>80457</v>
      </c>
      <c r="C9687" s="2">
        <v>1.8976324420437601E-4</v>
      </c>
      <c r="D9687" s="2">
        <v>0</v>
      </c>
      <c r="E9687" s="2">
        <v>1.5383668697310901E-5</v>
      </c>
      <c r="F9687" s="2">
        <v>1.6634897274616701E-4</v>
      </c>
    </row>
    <row r="9688" spans="1:6" x14ac:dyDescent="0.25">
      <c r="A9688" s="1" t="str">
        <f t="shared" si="347"/>
        <v>19740</v>
      </c>
      <c r="B9688" s="1" t="str">
        <f>"80256"</f>
        <v>80256</v>
      </c>
      <c r="C9688" s="2">
        <v>0</v>
      </c>
      <c r="D9688" s="2">
        <v>7.7274975272007893E-6</v>
      </c>
      <c r="E9688" s="2">
        <v>0</v>
      </c>
      <c r="F9688" s="2">
        <v>6.5234891273006697E-7</v>
      </c>
    </row>
    <row r="9689" spans="1:6" x14ac:dyDescent="0.25">
      <c r="A9689" s="1" t="str">
        <f t="shared" si="347"/>
        <v>19740</v>
      </c>
      <c r="B9689" s="1" t="str">
        <f>"80041"</f>
        <v>80041</v>
      </c>
      <c r="C9689" s="2">
        <v>6.3951707495648095E-4</v>
      </c>
      <c r="D9689" s="2">
        <v>1.0277571711177001E-3</v>
      </c>
      <c r="E9689" s="2">
        <v>3.0767337394621802E-5</v>
      </c>
      <c r="F9689" s="2">
        <v>6.4647777251549603E-4</v>
      </c>
    </row>
    <row r="9690" spans="1:6" x14ac:dyDescent="0.25">
      <c r="A9690" s="1" t="str">
        <f t="shared" si="347"/>
        <v>19740</v>
      </c>
      <c r="B9690" s="1" t="str">
        <f>"80437"</f>
        <v>80437</v>
      </c>
      <c r="C9690" s="2">
        <v>2.0268806359309902E-3</v>
      </c>
      <c r="D9690" s="2">
        <v>3.8792037586547899E-3</v>
      </c>
      <c r="E9690" s="2">
        <v>3.0767337394621802E-5</v>
      </c>
      <c r="F9690" s="2">
        <v>2.0986064522526202E-3</v>
      </c>
    </row>
    <row r="9691" spans="1:6" x14ac:dyDescent="0.25">
      <c r="A9691" s="1" t="str">
        <f t="shared" si="347"/>
        <v>19740</v>
      </c>
      <c r="B9691" s="1" t="str">
        <f>"80232"</f>
        <v>80232</v>
      </c>
      <c r="C9691" s="2">
        <v>6.8613607668228096E-3</v>
      </c>
      <c r="D9691" s="2">
        <v>4.6905909990108798E-3</v>
      </c>
      <c r="E9691" s="2">
        <v>7.7995200295366404E-3</v>
      </c>
      <c r="F9691" s="2">
        <v>6.7178891032942303E-3</v>
      </c>
    </row>
    <row r="9692" spans="1:6" x14ac:dyDescent="0.25">
      <c r="A9692" s="1" t="str">
        <f t="shared" si="347"/>
        <v>19740</v>
      </c>
      <c r="B9692" s="1" t="str">
        <f>"80234"</f>
        <v>80234</v>
      </c>
      <c r="C9692" s="2">
        <v>9.2864453758283397E-3</v>
      </c>
      <c r="D9692" s="2">
        <v>9.4275469831849607E-3</v>
      </c>
      <c r="E9692" s="2">
        <v>1.72297089409882E-2</v>
      </c>
      <c r="F9692" s="2">
        <v>9.6351934410230898E-3</v>
      </c>
    </row>
    <row r="9693" spans="1:6" x14ac:dyDescent="0.25">
      <c r="A9693" s="1" t="str">
        <f t="shared" si="347"/>
        <v>19740</v>
      </c>
      <c r="B9693" s="1" t="str">
        <f>"80017"</f>
        <v>80017</v>
      </c>
      <c r="C9693" s="2">
        <v>1.1797446414296401E-2</v>
      </c>
      <c r="D9693" s="2">
        <v>2.6505316518298698E-3</v>
      </c>
      <c r="E9693" s="2">
        <v>2.7936742354316601E-2</v>
      </c>
      <c r="F9693" s="2">
        <v>1.17096629835047E-2</v>
      </c>
    </row>
    <row r="9694" spans="1:6" x14ac:dyDescent="0.25">
      <c r="A9694" s="1" t="str">
        <f t="shared" si="347"/>
        <v>19740</v>
      </c>
      <c r="B9694" s="1" t="str">
        <f>"80035"</f>
        <v>80035</v>
      </c>
      <c r="C9694" s="2">
        <v>7.2543350441909204E-4</v>
      </c>
      <c r="D9694" s="2">
        <v>3.1605464886251202E-3</v>
      </c>
      <c r="E9694" s="2">
        <v>3.0767337394621802E-5</v>
      </c>
      <c r="F9694" s="2">
        <v>9.0154619739295195E-4</v>
      </c>
    </row>
    <row r="9695" spans="1:6" x14ac:dyDescent="0.25">
      <c r="A9695" s="1" t="str">
        <f t="shared" si="347"/>
        <v>19740</v>
      </c>
      <c r="B9695" s="1" t="str">
        <f>"80124"</f>
        <v>80124</v>
      </c>
      <c r="C9695" s="2">
        <v>8.2061396627593295E-3</v>
      </c>
      <c r="D9695" s="2">
        <v>8.5775222551928692E-3</v>
      </c>
      <c r="E9695" s="2">
        <v>5.2919820318749599E-3</v>
      </c>
      <c r="F9695" s="2">
        <v>8.1139157765365705E-3</v>
      </c>
    </row>
    <row r="9696" spans="1:6" x14ac:dyDescent="0.25">
      <c r="A9696" s="1" t="str">
        <f t="shared" si="347"/>
        <v>19740</v>
      </c>
      <c r="B9696" s="1" t="str">
        <f>"80202"</f>
        <v>80202</v>
      </c>
      <c r="C9696" s="2">
        <v>1.20693905910303E-2</v>
      </c>
      <c r="D9696" s="2">
        <v>3.944887487636E-2</v>
      </c>
      <c r="E9696" s="2">
        <v>1.01993723463171E-2</v>
      </c>
      <c r="F9696" s="2">
        <v>1.4301445213781201E-2</v>
      </c>
    </row>
    <row r="9697" spans="1:6" x14ac:dyDescent="0.25">
      <c r="A9697" s="1" t="str">
        <f t="shared" si="347"/>
        <v>19740</v>
      </c>
      <c r="B9697" s="1" t="str">
        <f>"80118"</f>
        <v>80118</v>
      </c>
      <c r="C9697" s="2">
        <v>1.87596655983145E-3</v>
      </c>
      <c r="D9697" s="2">
        <v>3.6319238377843701E-4</v>
      </c>
      <c r="E9697" s="2">
        <v>2.9228970524890701E-4</v>
      </c>
      <c r="F9697" s="2">
        <v>1.6811031481053799E-3</v>
      </c>
    </row>
    <row r="9698" spans="1:6" x14ac:dyDescent="0.25">
      <c r="A9698" s="1" t="str">
        <f t="shared" si="347"/>
        <v>19740</v>
      </c>
      <c r="B9698" s="1" t="str">
        <f>"80163"</f>
        <v>80163</v>
      </c>
      <c r="C9698" s="2">
        <v>5.7003683199976E-4</v>
      </c>
      <c r="D9698" s="2">
        <v>5.2315158259149301E-3</v>
      </c>
      <c r="E9698" s="2">
        <v>0</v>
      </c>
      <c r="F9698" s="2">
        <v>9.3938243433129597E-4</v>
      </c>
    </row>
    <row r="9699" spans="1:6" x14ac:dyDescent="0.25">
      <c r="A9699" s="1" t="str">
        <f t="shared" si="347"/>
        <v>19740</v>
      </c>
      <c r="B9699" s="1" t="str">
        <f>"80010"</f>
        <v>80010</v>
      </c>
      <c r="C9699" s="2">
        <v>1.16577388289964E-2</v>
      </c>
      <c r="D9699" s="2">
        <v>9.1493570722057296E-3</v>
      </c>
      <c r="E9699" s="2">
        <v>1.4445264906774899E-2</v>
      </c>
      <c r="F9699" s="2">
        <v>1.1564189175965901E-2</v>
      </c>
    </row>
    <row r="9700" spans="1:6" x14ac:dyDescent="0.25">
      <c r="A9700" s="1" t="str">
        <f t="shared" si="347"/>
        <v>19740</v>
      </c>
      <c r="B9700" s="1" t="str">
        <f>"80827"</f>
        <v>80827</v>
      </c>
      <c r="C9700" s="2">
        <v>2.7269127612046198E-4</v>
      </c>
      <c r="D9700" s="2">
        <v>8.5002472799208703E-5</v>
      </c>
      <c r="E9700" s="2">
        <v>9.2302012183865595E-5</v>
      </c>
      <c r="F9700" s="2">
        <v>2.49197284662885E-4</v>
      </c>
    </row>
    <row r="9701" spans="1:6" x14ac:dyDescent="0.25">
      <c r="A9701" s="1" t="str">
        <f t="shared" ref="A9701:A9732" si="348">"19740"</f>
        <v>19740</v>
      </c>
      <c r="B9701" s="1" t="str">
        <f>"80452"</f>
        <v>80452</v>
      </c>
      <c r="C9701" s="2">
        <v>1.2857580443926401E-3</v>
      </c>
      <c r="D9701" s="2">
        <v>1.0045746785361E-4</v>
      </c>
      <c r="E9701" s="2">
        <v>2.30755030459664E-4</v>
      </c>
      <c r="F9701" s="2">
        <v>1.14095824836488E-3</v>
      </c>
    </row>
    <row r="9702" spans="1:6" x14ac:dyDescent="0.25">
      <c r="A9702" s="1" t="str">
        <f t="shared" si="348"/>
        <v>19740</v>
      </c>
      <c r="B9702" s="1" t="str">
        <f>"80271"</f>
        <v>80271</v>
      </c>
      <c r="C9702" s="2">
        <v>0</v>
      </c>
      <c r="D9702" s="2">
        <v>7.7274975272007893E-6</v>
      </c>
      <c r="E9702" s="2">
        <v>0</v>
      </c>
      <c r="F9702" s="2">
        <v>6.5234891273006697E-7</v>
      </c>
    </row>
    <row r="9703" spans="1:6" x14ac:dyDescent="0.25">
      <c r="A9703" s="1" t="str">
        <f t="shared" si="348"/>
        <v>19740</v>
      </c>
      <c r="B9703" s="1" t="str">
        <f>"80024"</f>
        <v>80024</v>
      </c>
      <c r="C9703" s="2">
        <v>0</v>
      </c>
      <c r="D9703" s="2">
        <v>7.7274975272007893E-6</v>
      </c>
      <c r="E9703" s="2">
        <v>0</v>
      </c>
      <c r="F9703" s="2">
        <v>6.5234891273006697E-7</v>
      </c>
    </row>
    <row r="9704" spans="1:6" x14ac:dyDescent="0.25">
      <c r="A9704" s="1" t="str">
        <f t="shared" si="348"/>
        <v>19740</v>
      </c>
      <c r="B9704" s="1" t="str">
        <f>"80448"</f>
        <v>80448</v>
      </c>
      <c r="C9704" s="2">
        <v>4.40788638112528E-5</v>
      </c>
      <c r="D9704" s="2">
        <v>7.7274975272007893E-6</v>
      </c>
      <c r="E9704" s="2">
        <v>3.0767337394621802E-5</v>
      </c>
      <c r="F9704" s="2">
        <v>4.0445632589264103E-5</v>
      </c>
    </row>
    <row r="9705" spans="1:6" x14ac:dyDescent="0.25">
      <c r="A9705" s="1" t="str">
        <f t="shared" si="348"/>
        <v>19740</v>
      </c>
      <c r="B9705" s="1" t="str">
        <f>"80291"</f>
        <v>80291</v>
      </c>
      <c r="C9705" s="2">
        <v>0</v>
      </c>
      <c r="D9705" s="2">
        <v>7.7274975272007893E-6</v>
      </c>
      <c r="E9705" s="2">
        <v>0</v>
      </c>
      <c r="F9705" s="2">
        <v>6.5234891273006697E-7</v>
      </c>
    </row>
    <row r="9706" spans="1:6" x14ac:dyDescent="0.25">
      <c r="A9706" s="1" t="str">
        <f t="shared" si="348"/>
        <v>19740</v>
      </c>
      <c r="B9706" s="1" t="str">
        <f>"80475"</f>
        <v>80475</v>
      </c>
      <c r="C9706" s="2">
        <v>1.0011131780860799E-4</v>
      </c>
      <c r="D9706" s="2">
        <v>0</v>
      </c>
      <c r="E9706" s="2">
        <v>1.5383668697310901E-5</v>
      </c>
      <c r="F9706" s="2">
        <v>8.8067103218558994E-5</v>
      </c>
    </row>
    <row r="9707" spans="1:6" x14ac:dyDescent="0.25">
      <c r="A9707" s="1" t="str">
        <f t="shared" si="348"/>
        <v>19740</v>
      </c>
      <c r="B9707" s="1" t="str">
        <f>"80425"</f>
        <v>80425</v>
      </c>
      <c r="C9707" s="2">
        <v>6.5744746023563494E-5</v>
      </c>
      <c r="D9707" s="2">
        <v>0</v>
      </c>
      <c r="E9707" s="2">
        <v>3.0767337394621802E-5</v>
      </c>
      <c r="F9707" s="2">
        <v>5.8711402145705998E-5</v>
      </c>
    </row>
    <row r="9708" spans="1:6" x14ac:dyDescent="0.25">
      <c r="A9708" s="1" t="str">
        <f t="shared" si="348"/>
        <v>19740</v>
      </c>
      <c r="B9708" s="1" t="str">
        <f>"80402"</f>
        <v>80402</v>
      </c>
      <c r="C9708" s="2">
        <v>2.0328574310240401E-3</v>
      </c>
      <c r="D9708" s="2">
        <v>6.0197205736894103E-3</v>
      </c>
      <c r="E9708" s="2">
        <v>7.69183434865546E-5</v>
      </c>
      <c r="F9708" s="2">
        <v>2.2864829391188802E-3</v>
      </c>
    </row>
    <row r="9709" spans="1:6" x14ac:dyDescent="0.25">
      <c r="A9709" s="1" t="str">
        <f t="shared" si="348"/>
        <v>19740</v>
      </c>
      <c r="B9709" s="1" t="str">
        <f>"80265"</f>
        <v>80265</v>
      </c>
      <c r="C9709" s="2">
        <v>0</v>
      </c>
      <c r="D9709" s="2">
        <v>6.3365479723046403E-4</v>
      </c>
      <c r="E9709" s="2">
        <v>7.69183434865546E-5</v>
      </c>
      <c r="F9709" s="2">
        <v>5.6754355407515801E-5</v>
      </c>
    </row>
    <row r="9710" spans="1:6" x14ac:dyDescent="0.25">
      <c r="A9710" s="1" t="str">
        <f t="shared" si="348"/>
        <v>19740</v>
      </c>
      <c r="B9710" s="1" t="str">
        <f>"80293"</f>
        <v>80293</v>
      </c>
      <c r="C9710" s="2">
        <v>0</v>
      </c>
      <c r="D9710" s="2">
        <v>1.12048714144411E-3</v>
      </c>
      <c r="E9710" s="2">
        <v>4.6151006091932798E-5</v>
      </c>
      <c r="F9710" s="2">
        <v>9.6547639084049904E-5</v>
      </c>
    </row>
    <row r="9711" spans="1:6" x14ac:dyDescent="0.25">
      <c r="A9711" s="1" t="str">
        <f t="shared" si="348"/>
        <v>19740</v>
      </c>
      <c r="B9711" s="1" t="str">
        <f>"80044"</f>
        <v>80044</v>
      </c>
      <c r="C9711" s="2">
        <v>5.8199042218586299E-4</v>
      </c>
      <c r="D9711" s="2">
        <v>2.7973541048466801E-3</v>
      </c>
      <c r="E9711" s="2">
        <v>3.0767337394621802E-5</v>
      </c>
      <c r="F9711" s="2">
        <v>7.4563480725046603E-4</v>
      </c>
    </row>
    <row r="9712" spans="1:6" x14ac:dyDescent="0.25">
      <c r="A9712" s="1" t="str">
        <f t="shared" si="348"/>
        <v>19740</v>
      </c>
      <c r="B9712" s="1" t="str">
        <f>"80034"</f>
        <v>80034</v>
      </c>
      <c r="C9712" s="2">
        <v>8.2405062345443803E-4</v>
      </c>
      <c r="D9712" s="2">
        <v>2.7123516320474699E-3</v>
      </c>
      <c r="E9712" s="2">
        <v>3.0767337394621802E-5</v>
      </c>
      <c r="F9712" s="2">
        <v>9.4982001693497695E-4</v>
      </c>
    </row>
    <row r="9713" spans="1:6" x14ac:dyDescent="0.25">
      <c r="A9713" s="1" t="str">
        <f t="shared" si="348"/>
        <v>19740</v>
      </c>
      <c r="B9713" s="1" t="str">
        <f>"80217"</f>
        <v>80217</v>
      </c>
      <c r="C9713" s="2">
        <v>5.6406003690670904E-4</v>
      </c>
      <c r="D9713" s="2">
        <v>6.1201780415430203E-3</v>
      </c>
      <c r="E9713" s="2">
        <v>3.0767337394621802E-5</v>
      </c>
      <c r="F9713" s="2">
        <v>1.0104884658188699E-3</v>
      </c>
    </row>
    <row r="9714" spans="1:6" x14ac:dyDescent="0.25">
      <c r="A9714" s="1" t="str">
        <f t="shared" si="348"/>
        <v>19740</v>
      </c>
      <c r="B9714" s="1" t="str">
        <f>"80643"</f>
        <v>80643</v>
      </c>
      <c r="C9714" s="2">
        <v>1.3896048591344101E-4</v>
      </c>
      <c r="D9714" s="2">
        <v>0</v>
      </c>
      <c r="E9714" s="2">
        <v>0</v>
      </c>
      <c r="F9714" s="2">
        <v>1.21336897767792E-4</v>
      </c>
    </row>
    <row r="9715" spans="1:6" x14ac:dyDescent="0.25">
      <c r="A9715" s="1" t="str">
        <f t="shared" si="348"/>
        <v>19740</v>
      </c>
      <c r="B9715" s="1" t="str">
        <f>"80439"</f>
        <v>80439</v>
      </c>
      <c r="C9715" s="2">
        <v>8.1889563768668093E-3</v>
      </c>
      <c r="D9715" s="2">
        <v>8.1756923837784292E-3</v>
      </c>
      <c r="E9715" s="2">
        <v>6.5226755276598302E-3</v>
      </c>
      <c r="F9715" s="2">
        <v>8.11717752110022E-3</v>
      </c>
    </row>
    <row r="9716" spans="1:6" x14ac:dyDescent="0.25">
      <c r="A9716" s="1" t="str">
        <f t="shared" si="348"/>
        <v>19740</v>
      </c>
      <c r="B9716" s="1" t="str">
        <f>"80454"</f>
        <v>80454</v>
      </c>
      <c r="C9716" s="2">
        <v>3.2349403441139698E-4</v>
      </c>
      <c r="D9716" s="2">
        <v>2.31824925816023E-5</v>
      </c>
      <c r="E9716" s="2">
        <v>0</v>
      </c>
      <c r="F9716" s="2">
        <v>2.8442412595030902E-4</v>
      </c>
    </row>
    <row r="9717" spans="1:6" x14ac:dyDescent="0.25">
      <c r="A9717" s="1" t="str">
        <f t="shared" si="348"/>
        <v>19740</v>
      </c>
      <c r="B9717" s="1" t="str">
        <f>"80222"</f>
        <v>80222</v>
      </c>
      <c r="C9717" s="2">
        <v>9.0481206714929201E-3</v>
      </c>
      <c r="D9717" s="2">
        <v>2.1026520771513301E-2</v>
      </c>
      <c r="E9717" s="2">
        <v>1.19838779152052E-2</v>
      </c>
      <c r="F9717" s="2">
        <v>1.0183818876628999E-2</v>
      </c>
    </row>
    <row r="9718" spans="1:6" x14ac:dyDescent="0.25">
      <c r="A9718" s="1" t="str">
        <f t="shared" si="348"/>
        <v>19740</v>
      </c>
      <c r="B9718" s="1" t="str">
        <f>"80237"</f>
        <v>80237</v>
      </c>
      <c r="C9718" s="2">
        <v>1.0969660293908799E-2</v>
      </c>
      <c r="D9718" s="2">
        <v>1.24103610286844E-2</v>
      </c>
      <c r="E9718" s="2">
        <v>5.0766106701125996E-3</v>
      </c>
      <c r="F9718" s="2">
        <v>1.0841386580660899E-2</v>
      </c>
    </row>
    <row r="9719" spans="1:6" x14ac:dyDescent="0.25">
      <c r="A9719" s="1" t="str">
        <f t="shared" si="348"/>
        <v>19740</v>
      </c>
      <c r="B9719" s="1" t="str">
        <f>"80238"</f>
        <v>80238</v>
      </c>
      <c r="C9719" s="2">
        <v>8.5886545487146096E-3</v>
      </c>
      <c r="D9719" s="2">
        <v>4.7292284866468802E-3</v>
      </c>
      <c r="E9719" s="2">
        <v>7.4764629868931103E-3</v>
      </c>
      <c r="F9719" s="2">
        <v>8.2156822069224603E-3</v>
      </c>
    </row>
    <row r="9720" spans="1:6" x14ac:dyDescent="0.25">
      <c r="A9720" s="1" t="str">
        <f t="shared" si="348"/>
        <v>19740</v>
      </c>
      <c r="B9720" s="1" t="str">
        <f>"80103"</f>
        <v>80103</v>
      </c>
      <c r="C9720" s="2">
        <v>6.6865395103510598E-4</v>
      </c>
      <c r="D9720" s="2">
        <v>3.4773738872403498E-4</v>
      </c>
      <c r="E9720" s="2">
        <v>2.4613869915697398E-4</v>
      </c>
      <c r="F9720" s="2">
        <v>6.2364556056994402E-4</v>
      </c>
    </row>
    <row r="9721" spans="1:6" x14ac:dyDescent="0.25">
      <c r="A9721" s="1" t="str">
        <f t="shared" si="348"/>
        <v>19740</v>
      </c>
      <c r="B9721" s="1" t="str">
        <f>"80101"</f>
        <v>80101</v>
      </c>
      <c r="C9721" s="2">
        <v>1.4194888345996599E-4</v>
      </c>
      <c r="D9721" s="2">
        <v>5.4092482690405498E-5</v>
      </c>
      <c r="E9721" s="2">
        <v>4.6151006091932798E-5</v>
      </c>
      <c r="F9721" s="2">
        <v>1.3046978254601299E-4</v>
      </c>
    </row>
    <row r="9722" spans="1:6" x14ac:dyDescent="0.25">
      <c r="A9722" s="1" t="str">
        <f t="shared" si="348"/>
        <v>19740</v>
      </c>
      <c r="B9722" s="1" t="str">
        <f>"80106"</f>
        <v>80106</v>
      </c>
      <c r="C9722" s="2">
        <v>5.1998117309545603E-4</v>
      </c>
      <c r="D9722" s="2">
        <v>1.4682245301681499E-4</v>
      </c>
      <c r="E9722" s="2">
        <v>3.69208048735462E-4</v>
      </c>
      <c r="F9722" s="2">
        <v>4.8208584650751902E-4</v>
      </c>
    </row>
    <row r="9723" spans="1:6" x14ac:dyDescent="0.25">
      <c r="A9723" s="1" t="str">
        <f t="shared" si="348"/>
        <v>19740</v>
      </c>
      <c r="B9723" s="1" t="str">
        <f>"80135"</f>
        <v>80135</v>
      </c>
      <c r="C9723" s="2">
        <v>1.9887785672127898E-3</v>
      </c>
      <c r="D9723" s="2">
        <v>2.1946092977250201E-3</v>
      </c>
      <c r="E9723" s="2">
        <v>8.6148544704941197E-4</v>
      </c>
      <c r="F9723" s="2">
        <v>1.9583514360156599E-3</v>
      </c>
    </row>
    <row r="9724" spans="1:6" x14ac:dyDescent="0.25">
      <c r="A9724" s="1" t="str">
        <f t="shared" si="348"/>
        <v>19740</v>
      </c>
      <c r="B9724" s="1" t="str">
        <f>"80130"</f>
        <v>80130</v>
      </c>
      <c r="C9724" s="2">
        <v>7.4597873755145603E-3</v>
      </c>
      <c r="D9724" s="2">
        <v>5.9501730959445997E-4</v>
      </c>
      <c r="E9724" s="2">
        <v>7.6302996738662199E-3</v>
      </c>
      <c r="F9724" s="2">
        <v>6.8874998206040396E-3</v>
      </c>
    </row>
    <row r="9725" spans="1:6" x14ac:dyDescent="0.25">
      <c r="A9725" s="1" t="str">
        <f t="shared" si="348"/>
        <v>19740</v>
      </c>
      <c r="B9725" s="1" t="str">
        <f>"80162"</f>
        <v>80162</v>
      </c>
      <c r="C9725" s="2">
        <v>5.98426608691754E-4</v>
      </c>
      <c r="D9725" s="2">
        <v>3.8560212660731898E-3</v>
      </c>
      <c r="E9725" s="2">
        <v>3.0767337394621802E-5</v>
      </c>
      <c r="F9725" s="2">
        <v>8.4935828437454695E-4</v>
      </c>
    </row>
    <row r="9726" spans="1:6" x14ac:dyDescent="0.25">
      <c r="A9726" s="1" t="str">
        <f t="shared" si="348"/>
        <v>19740</v>
      </c>
      <c r="B9726" s="1" t="str">
        <f>"80230"</f>
        <v>80230</v>
      </c>
      <c r="C9726" s="2">
        <v>4.09933433444651E-3</v>
      </c>
      <c r="D9726" s="2">
        <v>2.0632418397626101E-3</v>
      </c>
      <c r="E9726" s="2">
        <v>3.5536274690788198E-3</v>
      </c>
      <c r="F9726" s="2">
        <v>3.9043082426894501E-3</v>
      </c>
    </row>
    <row r="9727" spans="1:6" x14ac:dyDescent="0.25">
      <c r="A9727" s="1" t="str">
        <f t="shared" si="348"/>
        <v>19740</v>
      </c>
      <c r="B9727" s="1" t="str">
        <f>"80219"</f>
        <v>80219</v>
      </c>
      <c r="C9727" s="2">
        <v>1.6082808496014199E-2</v>
      </c>
      <c r="D9727" s="2">
        <v>9.9375618199802097E-3</v>
      </c>
      <c r="E9727" s="2">
        <v>1.06301150698418E-2</v>
      </c>
      <c r="F9727" s="2">
        <v>1.5332808844807399E-2</v>
      </c>
    </row>
    <row r="9728" spans="1:6" x14ac:dyDescent="0.25">
      <c r="A9728" s="1" t="str">
        <f t="shared" si="348"/>
        <v>19740</v>
      </c>
      <c r="B9728" s="1" t="str">
        <f>"80011"</f>
        <v>80011</v>
      </c>
      <c r="C9728" s="2">
        <v>1.40820763386153E-2</v>
      </c>
      <c r="D9728" s="2">
        <v>2.11192507418397E-2</v>
      </c>
      <c r="E9728" s="2">
        <v>2.3690849793858802E-2</v>
      </c>
      <c r="F9728" s="2">
        <v>1.5083611560144599E-2</v>
      </c>
    </row>
    <row r="9729" spans="1:6" x14ac:dyDescent="0.25">
      <c r="A9729" s="1" t="str">
        <f t="shared" si="348"/>
        <v>19740</v>
      </c>
      <c r="B9729" s="1" t="str">
        <f>"80250"</f>
        <v>80250</v>
      </c>
      <c r="C9729" s="2">
        <v>1.0847883093887899E-3</v>
      </c>
      <c r="D9729" s="2">
        <v>5.8651706231454001E-3</v>
      </c>
      <c r="E9729" s="2">
        <v>3.0767337394621802E-5</v>
      </c>
      <c r="F9729" s="2">
        <v>1.44364814387163E-3</v>
      </c>
    </row>
    <row r="9730" spans="1:6" x14ac:dyDescent="0.25">
      <c r="A9730" s="1" t="str">
        <f t="shared" si="348"/>
        <v>19740</v>
      </c>
      <c r="B9730" s="1" t="str">
        <f>"80015"</f>
        <v>80015</v>
      </c>
      <c r="C9730" s="2">
        <v>1.8263591605591201E-2</v>
      </c>
      <c r="D9730" s="2">
        <v>5.0383283877349101E-3</v>
      </c>
      <c r="E9730" s="2">
        <v>1.53682850286136E-2</v>
      </c>
      <c r="F9730" s="2">
        <v>1.70243495755165E-2</v>
      </c>
    </row>
    <row r="9731" spans="1:6" x14ac:dyDescent="0.25">
      <c r="A9731" s="1" t="str">
        <f t="shared" si="348"/>
        <v>19740</v>
      </c>
      <c r="B9731" s="1" t="str">
        <f>"80016"</f>
        <v>80016</v>
      </c>
      <c r="C9731" s="2">
        <v>1.8613234118534699E-2</v>
      </c>
      <c r="D9731" s="2">
        <v>6.77701533135509E-3</v>
      </c>
      <c r="E9731" s="2">
        <v>1.30453510553196E-2</v>
      </c>
      <c r="F9731" s="2">
        <v>1.7377922686216199E-2</v>
      </c>
    </row>
    <row r="9732" spans="1:6" x14ac:dyDescent="0.25">
      <c r="A9732" s="1" t="str">
        <f t="shared" si="348"/>
        <v>19740</v>
      </c>
      <c r="B9732" s="1" t="str">
        <f>"80021"</f>
        <v>80021</v>
      </c>
      <c r="C9732" s="2">
        <v>1.36330696072498E-2</v>
      </c>
      <c r="D9732" s="2">
        <v>1.44040553907022E-2</v>
      </c>
      <c r="E9732" s="2">
        <v>1.13531474986154E-2</v>
      </c>
      <c r="F9732" s="2">
        <v>1.36014748304219E-2</v>
      </c>
    </row>
    <row r="9733" spans="1:6" x14ac:dyDescent="0.25">
      <c r="A9733" s="1" t="str">
        <f t="shared" ref="A9733:A9764" si="349">"19740"</f>
        <v>19740</v>
      </c>
      <c r="B9733" s="1" t="str">
        <f>"80012"</f>
        <v>80012</v>
      </c>
      <c r="C9733" s="2">
        <v>1.5489611583028799E-2</v>
      </c>
      <c r="D9733" s="2">
        <v>1.19930761622156E-2</v>
      </c>
      <c r="E9733" s="2">
        <v>3.04904313580702E-2</v>
      </c>
      <c r="F9733" s="2">
        <v>1.5830551065220501E-2</v>
      </c>
    </row>
    <row r="9734" spans="1:6" x14ac:dyDescent="0.25">
      <c r="A9734" s="1" t="str">
        <f t="shared" si="349"/>
        <v>19740</v>
      </c>
      <c r="B9734" s="1" t="str">
        <f>"80030"</f>
        <v>80030</v>
      </c>
      <c r="C9734" s="2">
        <v>5.0944707174395403E-3</v>
      </c>
      <c r="D9734" s="2">
        <v>4.1651211671612197E-3</v>
      </c>
      <c r="E9734" s="2">
        <v>9.4917235862408394E-3</v>
      </c>
      <c r="F9734" s="2">
        <v>5.2024825790222802E-3</v>
      </c>
    </row>
    <row r="9735" spans="1:6" x14ac:dyDescent="0.25">
      <c r="A9735" s="1" t="str">
        <f t="shared" si="349"/>
        <v>19740</v>
      </c>
      <c r="B9735" s="1" t="str">
        <f>"80125"</f>
        <v>80125</v>
      </c>
      <c r="C9735" s="2">
        <v>3.9334782706143302E-3</v>
      </c>
      <c r="D9735" s="2">
        <v>3.7323813056379801E-3</v>
      </c>
      <c r="E9735" s="2">
        <v>1.3383791766660501E-3</v>
      </c>
      <c r="F9735" s="2">
        <v>3.80645590577994E-3</v>
      </c>
    </row>
    <row r="9736" spans="1:6" x14ac:dyDescent="0.25">
      <c r="A9736" s="1" t="str">
        <f t="shared" si="349"/>
        <v>19740</v>
      </c>
      <c r="B9736" s="1" t="str">
        <f>"80131"</f>
        <v>80131</v>
      </c>
      <c r="C9736" s="2">
        <v>7.8445435596297299E-5</v>
      </c>
      <c r="D9736" s="2">
        <v>7.7274975272007893E-6</v>
      </c>
      <c r="E9736" s="2">
        <v>0</v>
      </c>
      <c r="F9736" s="2">
        <v>6.9148984749387105E-5</v>
      </c>
    </row>
    <row r="9737" spans="1:6" x14ac:dyDescent="0.25">
      <c r="A9737" s="1" t="str">
        <f t="shared" si="349"/>
        <v>19740</v>
      </c>
      <c r="B9737" s="1" t="str">
        <f>"80138"</f>
        <v>80138</v>
      </c>
      <c r="C9737" s="2">
        <v>9.9790065072356497E-3</v>
      </c>
      <c r="D9737" s="2">
        <v>4.0492087042532099E-3</v>
      </c>
      <c r="E9737" s="2">
        <v>3.9074518491169696E-3</v>
      </c>
      <c r="F9737" s="2">
        <v>9.2209518814394906E-3</v>
      </c>
    </row>
    <row r="9738" spans="1:6" x14ac:dyDescent="0.25">
      <c r="A9738" s="1" t="str">
        <f t="shared" si="349"/>
        <v>19740</v>
      </c>
      <c r="B9738" s="1" t="str">
        <f>"80126"</f>
        <v>80126</v>
      </c>
      <c r="C9738" s="2">
        <v>1.1996921950527E-2</v>
      </c>
      <c r="D9738" s="2">
        <v>3.8792037586547899E-3</v>
      </c>
      <c r="E9738" s="2">
        <v>8.90714417574303E-3</v>
      </c>
      <c r="F9738" s="2">
        <v>1.11806080152806E-2</v>
      </c>
    </row>
    <row r="9739" spans="1:6" x14ac:dyDescent="0.25">
      <c r="A9739" s="1" t="str">
        <f t="shared" si="349"/>
        <v>19740</v>
      </c>
      <c r="B9739" s="1" t="str">
        <f>"80127"</f>
        <v>80127</v>
      </c>
      <c r="C9739" s="2">
        <v>1.40925357300281E-2</v>
      </c>
      <c r="D9739" s="2">
        <v>1.17148862512363E-2</v>
      </c>
      <c r="E9739" s="2">
        <v>1.14454495107993E-2</v>
      </c>
      <c r="F9739" s="2">
        <v>1.37795660835972E-2</v>
      </c>
    </row>
    <row r="9740" spans="1:6" x14ac:dyDescent="0.25">
      <c r="A9740" s="1" t="str">
        <f t="shared" si="349"/>
        <v>19740</v>
      </c>
      <c r="B9740" s="1" t="str">
        <f>"80121"</f>
        <v>80121</v>
      </c>
      <c r="C9740" s="2">
        <v>5.4754914046215497E-3</v>
      </c>
      <c r="D9740" s="2">
        <v>2.5268916913946502E-3</v>
      </c>
      <c r="E9740" s="2">
        <v>2.0767952741369698E-3</v>
      </c>
      <c r="F9740" s="2">
        <v>5.0824503790799502E-3</v>
      </c>
    </row>
    <row r="9741" spans="1:6" x14ac:dyDescent="0.25">
      <c r="A9741" s="1" t="str">
        <f t="shared" si="349"/>
        <v>19740</v>
      </c>
      <c r="B9741" s="1" t="str">
        <f>"80122"</f>
        <v>80122</v>
      </c>
      <c r="C9741" s="2">
        <v>9.7205101194611909E-3</v>
      </c>
      <c r="D9741" s="2">
        <v>9.0566271018793203E-3</v>
      </c>
      <c r="E9741" s="2">
        <v>4.92277398313949E-3</v>
      </c>
      <c r="F9741" s="2">
        <v>9.4610162813241593E-3</v>
      </c>
    </row>
    <row r="9742" spans="1:6" x14ac:dyDescent="0.25">
      <c r="A9742" s="1" t="str">
        <f t="shared" si="349"/>
        <v>19740</v>
      </c>
      <c r="B9742" s="1" t="str">
        <f>"80214"</f>
        <v>80214</v>
      </c>
      <c r="C9742" s="2">
        <v>1.02203196091176E-2</v>
      </c>
      <c r="D9742" s="2">
        <v>1.0092111770524201E-2</v>
      </c>
      <c r="E9742" s="2">
        <v>2.3106270383361001E-2</v>
      </c>
      <c r="F9742" s="2">
        <v>1.07559288730933E-2</v>
      </c>
    </row>
    <row r="9743" spans="1:6" x14ac:dyDescent="0.25">
      <c r="A9743" s="1" t="str">
        <f t="shared" si="349"/>
        <v>19740</v>
      </c>
      <c r="B9743" s="1" t="str">
        <f>"80216"</f>
        <v>80216</v>
      </c>
      <c r="C9743" s="2">
        <v>6.7851566293864003E-3</v>
      </c>
      <c r="D9743" s="2">
        <v>4.2338958951533098E-2</v>
      </c>
      <c r="E9743" s="2">
        <v>1.00916866654359E-2</v>
      </c>
      <c r="F9743" s="2">
        <v>9.9267934050134305E-3</v>
      </c>
    </row>
    <row r="9744" spans="1:6" x14ac:dyDescent="0.25">
      <c r="A9744" s="1" t="str">
        <f t="shared" si="349"/>
        <v>19740</v>
      </c>
      <c r="B9744" s="1" t="str">
        <f>"80201"</f>
        <v>80201</v>
      </c>
      <c r="C9744" s="2">
        <v>2.3548572666621799E-3</v>
      </c>
      <c r="D9744" s="2">
        <v>6.27472799208704E-3</v>
      </c>
      <c r="E9744" s="2">
        <v>0</v>
      </c>
      <c r="F9744" s="2">
        <v>2.5859110900619802E-3</v>
      </c>
    </row>
    <row r="9745" spans="1:6" x14ac:dyDescent="0.25">
      <c r="A9745" s="1" t="str">
        <f t="shared" si="349"/>
        <v>19740</v>
      </c>
      <c r="B9745" s="1" t="str">
        <f>"80004"</f>
        <v>80004</v>
      </c>
      <c r="C9745" s="2">
        <v>1.15120544486032E-2</v>
      </c>
      <c r="D9745" s="2">
        <v>3.9487512363995999E-3</v>
      </c>
      <c r="E9745" s="2">
        <v>1.38914528336717E-2</v>
      </c>
      <c r="F9745" s="2">
        <v>1.0974465758857899E-2</v>
      </c>
    </row>
    <row r="9746" spans="1:6" x14ac:dyDescent="0.25">
      <c r="A9746" s="1" t="str">
        <f t="shared" si="349"/>
        <v>19740</v>
      </c>
      <c r="B9746" s="1" t="str">
        <f>"80835"</f>
        <v>80835</v>
      </c>
      <c r="C9746" s="2">
        <v>2.57749288387834E-4</v>
      </c>
      <c r="D9746" s="2">
        <v>7.7274975272007893E-6</v>
      </c>
      <c r="E9746" s="2">
        <v>1.0768568088117599E-4</v>
      </c>
      <c r="F9746" s="2">
        <v>2.3027916619371299E-4</v>
      </c>
    </row>
    <row r="9747" spans="1:6" x14ac:dyDescent="0.25">
      <c r="A9747" s="1" t="str">
        <f t="shared" si="349"/>
        <v>19740</v>
      </c>
      <c r="B9747" s="1" t="str">
        <f>"80640"</f>
        <v>80640</v>
      </c>
      <c r="C9747" s="2">
        <v>3.57262926687137E-3</v>
      </c>
      <c r="D9747" s="2">
        <v>4.3814910979228404E-3</v>
      </c>
      <c r="E9747" s="2">
        <v>2.4613869915697398E-3</v>
      </c>
      <c r="F9747" s="2">
        <v>3.5937901602299299E-3</v>
      </c>
    </row>
    <row r="9748" spans="1:6" x14ac:dyDescent="0.25">
      <c r="A9748" s="1" t="str">
        <f t="shared" si="349"/>
        <v>19740</v>
      </c>
      <c r="B9748" s="1" t="str">
        <f>"80614"</f>
        <v>80614</v>
      </c>
      <c r="C9748" s="2">
        <v>6.6790685164847398E-4</v>
      </c>
      <c r="D9748" s="2">
        <v>2.30279426310583E-3</v>
      </c>
      <c r="E9748" s="2">
        <v>1.5383668697310901E-5</v>
      </c>
      <c r="F9748" s="2">
        <v>7.7825225288697005E-4</v>
      </c>
    </row>
    <row r="9749" spans="1:6" x14ac:dyDescent="0.25">
      <c r="A9749" s="1" t="str">
        <f t="shared" si="349"/>
        <v>19740</v>
      </c>
      <c r="B9749" s="1" t="str">
        <f>"80449"</f>
        <v>80449</v>
      </c>
      <c r="C9749" s="2">
        <v>4.3481184301947601E-4</v>
      </c>
      <c r="D9749" s="2">
        <v>7.7274975272007893E-6</v>
      </c>
      <c r="E9749" s="2">
        <v>3.0767337394621802E-5</v>
      </c>
      <c r="F9749" s="2">
        <v>3.8162411394708902E-4</v>
      </c>
    </row>
    <row r="9750" spans="1:6" x14ac:dyDescent="0.25">
      <c r="A9750" s="1" t="str">
        <f t="shared" si="349"/>
        <v>19740</v>
      </c>
      <c r="B9750" s="1" t="str">
        <f>"80259"</f>
        <v>80259</v>
      </c>
      <c r="C9750" s="2">
        <v>0</v>
      </c>
      <c r="D9750" s="2">
        <v>7.7274975272007893E-6</v>
      </c>
      <c r="E9750" s="2">
        <v>0</v>
      </c>
      <c r="F9750" s="2">
        <v>6.5234891273006697E-7</v>
      </c>
    </row>
    <row r="9751" spans="1:6" x14ac:dyDescent="0.25">
      <c r="A9751" s="1" t="str">
        <f t="shared" si="349"/>
        <v>19740</v>
      </c>
      <c r="B9751" s="1" t="str">
        <f>"80419"</f>
        <v>80419</v>
      </c>
      <c r="C9751" s="2">
        <v>0</v>
      </c>
      <c r="D9751" s="2">
        <v>7.7274975272007893E-6</v>
      </c>
      <c r="E9751" s="2">
        <v>0</v>
      </c>
      <c r="F9751" s="2">
        <v>6.5234891273006697E-7</v>
      </c>
    </row>
    <row r="9752" spans="1:6" x14ac:dyDescent="0.25">
      <c r="A9752" s="1" t="str">
        <f t="shared" si="349"/>
        <v>19740</v>
      </c>
      <c r="B9752" s="1" t="str">
        <f>"80160"</f>
        <v>80160</v>
      </c>
      <c r="C9752" s="2">
        <v>4.4452413504568499E-4</v>
      </c>
      <c r="D9752" s="2">
        <v>3.70919881305637E-3</v>
      </c>
      <c r="E9752" s="2">
        <v>3.0767337394621802E-5</v>
      </c>
      <c r="F9752" s="2">
        <v>7.0257977901028201E-4</v>
      </c>
    </row>
    <row r="9753" spans="1:6" x14ac:dyDescent="0.25">
      <c r="A9753" s="1" t="str">
        <f t="shared" si="349"/>
        <v>19740</v>
      </c>
      <c r="B9753" s="1" t="str">
        <f>"80105"</f>
        <v>80105</v>
      </c>
      <c r="C9753" s="2">
        <v>5.0429208597619702E-4</v>
      </c>
      <c r="D9753" s="2">
        <v>6.9547477744807097E-5</v>
      </c>
      <c r="E9753" s="2">
        <v>2.4613869915697398E-4</v>
      </c>
      <c r="F9753" s="2">
        <v>4.5664423891104701E-4</v>
      </c>
    </row>
    <row r="9754" spans="1:6" x14ac:dyDescent="0.25">
      <c r="A9754" s="1" t="str">
        <f t="shared" si="349"/>
        <v>19740</v>
      </c>
      <c r="B9754" s="1" t="str">
        <f>"80110"</f>
        <v>80110</v>
      </c>
      <c r="C9754" s="2">
        <v>8.4892903302926301E-3</v>
      </c>
      <c r="D9754" s="2">
        <v>2.0400593471809999E-2</v>
      </c>
      <c r="E9754" s="2">
        <v>1.25069226509137E-2</v>
      </c>
      <c r="F9754" s="2">
        <v>9.6652014910086695E-3</v>
      </c>
    </row>
    <row r="9755" spans="1:6" x14ac:dyDescent="0.25">
      <c r="A9755" s="1" t="str">
        <f t="shared" si="349"/>
        <v>19740</v>
      </c>
      <c r="B9755" s="1" t="str">
        <f>"80046"</f>
        <v>80046</v>
      </c>
      <c r="C9755" s="2">
        <v>9.3611553144914799E-4</v>
      </c>
      <c r="D9755" s="2">
        <v>5.17742334322453E-3</v>
      </c>
      <c r="E9755" s="2">
        <v>0</v>
      </c>
      <c r="F9755" s="2">
        <v>1.2544669591799101E-3</v>
      </c>
    </row>
    <row r="9756" spans="1:6" x14ac:dyDescent="0.25">
      <c r="A9756" s="1" t="str">
        <f t="shared" si="349"/>
        <v>19740</v>
      </c>
      <c r="B9756" s="1" t="str">
        <f>"80205"</f>
        <v>80205</v>
      </c>
      <c r="C9756" s="2">
        <v>1.36457702968225E-2</v>
      </c>
      <c r="D9756" s="2">
        <v>1.20239861523244E-2</v>
      </c>
      <c r="E9756" s="2">
        <v>1.8645006461140801E-2</v>
      </c>
      <c r="F9756" s="2">
        <v>1.37208546814515E-2</v>
      </c>
    </row>
    <row r="9757" spans="1:6" x14ac:dyDescent="0.25">
      <c r="A9757" s="1" t="str">
        <f t="shared" si="349"/>
        <v>19740</v>
      </c>
      <c r="B9757" s="1" t="str">
        <f>"80128"</f>
        <v>80128</v>
      </c>
      <c r="C9757" s="2">
        <v>1.13461983847711E-2</v>
      </c>
      <c r="D9757" s="2">
        <v>2.7509891196834798E-3</v>
      </c>
      <c r="E9757" s="2">
        <v>1.1506984185588501E-2</v>
      </c>
      <c r="F9757" s="2">
        <v>1.06274161372855E-2</v>
      </c>
    </row>
    <row r="9758" spans="1:6" x14ac:dyDescent="0.25">
      <c r="A9758" s="1" t="str">
        <f t="shared" si="349"/>
        <v>19740</v>
      </c>
      <c r="B9758" s="1" t="str">
        <f>"80206"</f>
        <v>80206</v>
      </c>
      <c r="C9758" s="2">
        <v>1.1891580937012E-2</v>
      </c>
      <c r="D9758" s="2">
        <v>1.6034557368941601E-2</v>
      </c>
      <c r="E9758" s="2">
        <v>2.3829302812134599E-2</v>
      </c>
      <c r="F9758" s="2">
        <v>1.27475501036582E-2</v>
      </c>
    </row>
    <row r="9759" spans="1:6" x14ac:dyDescent="0.25">
      <c r="A9759" s="1" t="str">
        <f t="shared" si="349"/>
        <v>19740</v>
      </c>
      <c r="B9759" s="1" t="str">
        <f>"80603"</f>
        <v>80603</v>
      </c>
      <c r="C9759" s="2">
        <v>1.52632404688795E-3</v>
      </c>
      <c r="D9759" s="2">
        <v>2.7818991097922801E-4</v>
      </c>
      <c r="E9759" s="2">
        <v>6.1534674789243699E-5</v>
      </c>
      <c r="F9759" s="2">
        <v>1.3588427852167201E-3</v>
      </c>
    </row>
    <row r="9760" spans="1:6" x14ac:dyDescent="0.25">
      <c r="A9760" s="1" t="str">
        <f t="shared" si="349"/>
        <v>19740</v>
      </c>
      <c r="B9760" s="1" t="str">
        <f>"80224"</f>
        <v>80224</v>
      </c>
      <c r="C9760" s="2">
        <v>7.8744275350949907E-3</v>
      </c>
      <c r="D9760" s="2">
        <v>6.6688303659742801E-3</v>
      </c>
      <c r="E9760" s="2">
        <v>8.9225278444403401E-3</v>
      </c>
      <c r="F9760" s="2">
        <v>7.8170970212443902E-3</v>
      </c>
    </row>
    <row r="9761" spans="1:6" x14ac:dyDescent="0.25">
      <c r="A9761" s="1" t="str">
        <f t="shared" si="349"/>
        <v>19740</v>
      </c>
      <c r="B9761" s="1" t="str">
        <f>"80231"</f>
        <v>80231</v>
      </c>
      <c r="C9761" s="2">
        <v>1.49382522356949E-2</v>
      </c>
      <c r="D9761" s="2">
        <v>1.2966740850642901E-2</v>
      </c>
      <c r="E9761" s="2">
        <v>1.10454741246692E-2</v>
      </c>
      <c r="F9761" s="2">
        <v>1.4606744504938899E-2</v>
      </c>
    </row>
    <row r="9762" spans="1:6" x14ac:dyDescent="0.25">
      <c r="A9762" s="1" t="str">
        <f t="shared" si="349"/>
        <v>19740</v>
      </c>
      <c r="B9762" s="1" t="str">
        <f>"80218"</f>
        <v>80218</v>
      </c>
      <c r="C9762" s="2">
        <v>1.07537485711724E-2</v>
      </c>
      <c r="D9762" s="2">
        <v>9.0720820969337201E-3</v>
      </c>
      <c r="E9762" s="2">
        <v>2.6321457141099E-2</v>
      </c>
      <c r="F9762" s="2">
        <v>1.12719368630628E-2</v>
      </c>
    </row>
    <row r="9763" spans="1:6" x14ac:dyDescent="0.25">
      <c r="A9763" s="1" t="str">
        <f t="shared" si="349"/>
        <v>19740</v>
      </c>
      <c r="B9763" s="1" t="str">
        <f>"80221"</f>
        <v>80221</v>
      </c>
      <c r="C9763" s="2">
        <v>1.2649886814442899E-2</v>
      </c>
      <c r="D9763" s="2">
        <v>1.19544386745796E-2</v>
      </c>
      <c r="E9763" s="2">
        <v>8.7686911574672306E-3</v>
      </c>
      <c r="F9763" s="2">
        <v>1.2426594438595E-2</v>
      </c>
    </row>
    <row r="9764" spans="1:6" x14ac:dyDescent="0.25">
      <c r="A9764" s="1" t="str">
        <f t="shared" si="349"/>
        <v>19740</v>
      </c>
      <c r="B9764" s="1" t="str">
        <f>"80020"</f>
        <v>80020</v>
      </c>
      <c r="C9764" s="2">
        <v>1.5720465293497899E-2</v>
      </c>
      <c r="D9764" s="2">
        <v>1.35153931750741E-2</v>
      </c>
      <c r="E9764" s="2">
        <v>1.12454618177342E-2</v>
      </c>
      <c r="F9764" s="2">
        <v>1.53445511252366E-2</v>
      </c>
    </row>
    <row r="9765" spans="1:6" x14ac:dyDescent="0.25">
      <c r="A9765" s="1" t="str">
        <f t="shared" ref="A9765:A9797" si="350">"19740"</f>
        <v>19740</v>
      </c>
      <c r="B9765" s="1" t="str">
        <f>"80031"</f>
        <v>80031</v>
      </c>
      <c r="C9765" s="2">
        <v>1.15621101075076E-2</v>
      </c>
      <c r="D9765" s="2">
        <v>6.4060954500494496E-3</v>
      </c>
      <c r="E9765" s="2">
        <v>1.68297335548581E-2</v>
      </c>
      <c r="F9765" s="2">
        <v>1.13502187325904E-2</v>
      </c>
    </row>
    <row r="9766" spans="1:6" x14ac:dyDescent="0.25">
      <c r="A9766" s="1" t="str">
        <f t="shared" si="350"/>
        <v>19740</v>
      </c>
      <c r="B9766" s="1" t="str">
        <f>"80438"</f>
        <v>80438</v>
      </c>
      <c r="C9766" s="2">
        <v>0</v>
      </c>
      <c r="D9766" s="2">
        <v>0</v>
      </c>
      <c r="E9766" s="2">
        <v>1.5383668697310901E-5</v>
      </c>
      <c r="F9766" s="2">
        <v>6.5234891273006697E-7</v>
      </c>
    </row>
    <row r="9767" spans="1:6" x14ac:dyDescent="0.25">
      <c r="A9767" s="1" t="str">
        <f t="shared" si="350"/>
        <v>19740</v>
      </c>
      <c r="B9767" s="1" t="str">
        <f>"80263"</f>
        <v>80263</v>
      </c>
      <c r="C9767" s="2">
        <v>0</v>
      </c>
      <c r="D9767" s="2">
        <v>7.7274975272007893E-6</v>
      </c>
      <c r="E9767" s="2">
        <v>0</v>
      </c>
      <c r="F9767" s="2">
        <v>6.5234891273006697E-7</v>
      </c>
    </row>
    <row r="9768" spans="1:6" x14ac:dyDescent="0.25">
      <c r="A9768" s="1" t="str">
        <f t="shared" si="350"/>
        <v>19740</v>
      </c>
      <c r="B9768" s="1" t="str">
        <f>"80257"</f>
        <v>80257</v>
      </c>
      <c r="C9768" s="2">
        <v>0</v>
      </c>
      <c r="D9768" s="2">
        <v>7.7274975272007893E-6</v>
      </c>
      <c r="E9768" s="2">
        <v>3.0767337394621802E-5</v>
      </c>
      <c r="F9768" s="2">
        <v>1.9570467381902E-6</v>
      </c>
    </row>
    <row r="9769" spans="1:6" x14ac:dyDescent="0.25">
      <c r="A9769" s="1" t="str">
        <f t="shared" si="350"/>
        <v>19740</v>
      </c>
      <c r="B9769" s="1" t="str">
        <f>"80828"</f>
        <v>80828</v>
      </c>
      <c r="C9769" s="2">
        <v>7.4709938663140304E-5</v>
      </c>
      <c r="D9769" s="2">
        <v>4.6364985163204702E-5</v>
      </c>
      <c r="E9769" s="2">
        <v>0</v>
      </c>
      <c r="F9769" s="2">
        <v>6.9148984749387105E-5</v>
      </c>
    </row>
    <row r="9770" spans="1:6" x14ac:dyDescent="0.25">
      <c r="A9770" s="1" t="str">
        <f t="shared" si="350"/>
        <v>19740</v>
      </c>
      <c r="B9770" s="1" t="str">
        <f>"80264"</f>
        <v>80264</v>
      </c>
      <c r="C9770" s="2">
        <v>0</v>
      </c>
      <c r="D9770" s="2">
        <v>6.3365479723046403E-4</v>
      </c>
      <c r="E9770" s="2">
        <v>4.6151006091932798E-5</v>
      </c>
      <c r="F9770" s="2">
        <v>5.5449657582055699E-5</v>
      </c>
    </row>
    <row r="9771" spans="1:6" x14ac:dyDescent="0.25">
      <c r="A9771" s="1" t="str">
        <f t="shared" si="350"/>
        <v>19740</v>
      </c>
      <c r="B9771" s="1" t="str">
        <f>"80161"</f>
        <v>80161</v>
      </c>
      <c r="C9771" s="2">
        <v>6.7986044183457697E-4</v>
      </c>
      <c r="D9771" s="2">
        <v>3.3537339268051398E-3</v>
      </c>
      <c r="E9771" s="2">
        <v>0</v>
      </c>
      <c r="F9771" s="2">
        <v>8.7675693870920999E-4</v>
      </c>
    </row>
    <row r="9772" spans="1:6" x14ac:dyDescent="0.25">
      <c r="A9772" s="1" t="str">
        <f t="shared" si="350"/>
        <v>19740</v>
      </c>
      <c r="B9772" s="1" t="str">
        <f>"80290"</f>
        <v>80290</v>
      </c>
      <c r="C9772" s="2">
        <v>0</v>
      </c>
      <c r="D9772" s="2">
        <v>2.5500741839762597E-4</v>
      </c>
      <c r="E9772" s="2">
        <v>4.6151006091932798E-5</v>
      </c>
      <c r="F9772" s="2">
        <v>2.3484560858282401E-5</v>
      </c>
    </row>
    <row r="9773" spans="1:6" x14ac:dyDescent="0.25">
      <c r="A9773" s="1" t="str">
        <f t="shared" si="350"/>
        <v>19740</v>
      </c>
      <c r="B9773" s="1" t="str">
        <f>"80027"</f>
        <v>80027</v>
      </c>
      <c r="C9773" s="2">
        <v>2.24129815989421E-6</v>
      </c>
      <c r="D9773" s="2">
        <v>8.5002472799208703E-5</v>
      </c>
      <c r="E9773" s="2">
        <v>0</v>
      </c>
      <c r="F9773" s="2">
        <v>9.1328847782209408E-6</v>
      </c>
    </row>
    <row r="9774" spans="1:6" x14ac:dyDescent="0.25">
      <c r="A9774" s="1" t="str">
        <f t="shared" si="350"/>
        <v>19740</v>
      </c>
      <c r="B9774" s="1" t="str">
        <f>"80833"</f>
        <v>80833</v>
      </c>
      <c r="C9774" s="2">
        <v>8.9651926395768398E-6</v>
      </c>
      <c r="D9774" s="2">
        <v>0</v>
      </c>
      <c r="E9774" s="2">
        <v>0</v>
      </c>
      <c r="F9774" s="2">
        <v>7.8281869527607999E-6</v>
      </c>
    </row>
    <row r="9775" spans="1:6" x14ac:dyDescent="0.25">
      <c r="A9775" s="1" t="str">
        <f t="shared" si="350"/>
        <v>19740</v>
      </c>
      <c r="B9775" s="1" t="str">
        <f>"80403"</f>
        <v>80403</v>
      </c>
      <c r="C9775" s="2">
        <v>6.8277412944243903E-3</v>
      </c>
      <c r="D9775" s="2">
        <v>4.6828635014836703E-3</v>
      </c>
      <c r="E9775" s="2">
        <v>8.2917974278505901E-3</v>
      </c>
      <c r="F9775" s="2">
        <v>6.7087562185160097E-3</v>
      </c>
    </row>
    <row r="9776" spans="1:6" x14ac:dyDescent="0.25">
      <c r="A9776" s="1" t="str">
        <f t="shared" si="350"/>
        <v>19740</v>
      </c>
      <c r="B9776" s="1" t="str">
        <f>"80456"</f>
        <v>80456</v>
      </c>
      <c r="C9776" s="2">
        <v>1.94245840524164E-4</v>
      </c>
      <c r="D9776" s="2">
        <v>1.5454995054401501E-5</v>
      </c>
      <c r="E9776" s="2">
        <v>1.5383668697310901E-5</v>
      </c>
      <c r="F9776" s="2">
        <v>1.7156776404800701E-4</v>
      </c>
    </row>
    <row r="9777" spans="1:6" x14ac:dyDescent="0.25">
      <c r="A9777" s="1" t="str">
        <f t="shared" si="350"/>
        <v>19740</v>
      </c>
      <c r="B9777" s="1" t="str">
        <f>"80229"</f>
        <v>80229</v>
      </c>
      <c r="C9777" s="2">
        <v>1.5327491016129799E-2</v>
      </c>
      <c r="D9777" s="2">
        <v>1.3051743323442101E-2</v>
      </c>
      <c r="E9777" s="2">
        <v>1.4691403605931901E-2</v>
      </c>
      <c r="F9777" s="2">
        <v>1.51084008188283E-2</v>
      </c>
    </row>
    <row r="9778" spans="1:6" x14ac:dyDescent="0.25">
      <c r="A9778" s="1" t="str">
        <f t="shared" si="350"/>
        <v>19740</v>
      </c>
      <c r="B9778" s="1" t="str">
        <f>"80226"</f>
        <v>80226</v>
      </c>
      <c r="C9778" s="2">
        <v>1.1932671403276701E-2</v>
      </c>
      <c r="D9778" s="2">
        <v>1.32526582591493E-2</v>
      </c>
      <c r="E9778" s="2">
        <v>1.32453387483847E-2</v>
      </c>
      <c r="F9778" s="2">
        <v>1.20997676333172E-2</v>
      </c>
    </row>
    <row r="9779" spans="1:6" x14ac:dyDescent="0.25">
      <c r="A9779" s="1" t="str">
        <f t="shared" si="350"/>
        <v>19740</v>
      </c>
      <c r="B9779" s="1" t="str">
        <f>"80247"</f>
        <v>80247</v>
      </c>
      <c r="C9779" s="2">
        <v>1.3676401371674401E-2</v>
      </c>
      <c r="D9779" s="2">
        <v>1.52231701285855E-3</v>
      </c>
      <c r="E9779" s="2">
        <v>1.3091502061411599E-2</v>
      </c>
      <c r="F9779" s="2">
        <v>1.26255608569777E-2</v>
      </c>
    </row>
    <row r="9780" spans="1:6" x14ac:dyDescent="0.25">
      <c r="A9780" s="1" t="str">
        <f t="shared" si="350"/>
        <v>19740</v>
      </c>
      <c r="B9780" s="1" t="str">
        <f>"80236"</f>
        <v>80236</v>
      </c>
      <c r="C9780" s="2">
        <v>4.6992551419115201E-3</v>
      </c>
      <c r="D9780" s="2">
        <v>2.0632418397626101E-3</v>
      </c>
      <c r="E9780" s="2">
        <v>2.8613623776998299E-3</v>
      </c>
      <c r="F9780" s="2">
        <v>4.3987887185388402E-3</v>
      </c>
    </row>
    <row r="9781" spans="1:6" x14ac:dyDescent="0.25">
      <c r="A9781" s="1" t="str">
        <f t="shared" si="350"/>
        <v>19740</v>
      </c>
      <c r="B9781" s="1" t="str">
        <f>"80401"</f>
        <v>80401</v>
      </c>
      <c r="C9781" s="2">
        <v>1.3799672770468599E-2</v>
      </c>
      <c r="D9781" s="2">
        <v>2.12583456973293E-2</v>
      </c>
      <c r="E9781" s="2">
        <v>1.7614300658421001E-2</v>
      </c>
      <c r="F9781" s="2">
        <v>1.45910881310334E-2</v>
      </c>
    </row>
    <row r="9782" spans="1:6" x14ac:dyDescent="0.25">
      <c r="A9782" s="1" t="str">
        <f t="shared" si="350"/>
        <v>19740</v>
      </c>
      <c r="B9782" s="1" t="str">
        <f>"80033"</f>
        <v>80033</v>
      </c>
      <c r="C9782" s="2">
        <v>9.7160275231414003E-3</v>
      </c>
      <c r="D9782" s="2">
        <v>1.62663822947576E-2</v>
      </c>
      <c r="E9782" s="2">
        <v>1.5091378992061999E-2</v>
      </c>
      <c r="F9782" s="2">
        <v>1.04969463547395E-2</v>
      </c>
    </row>
    <row r="9783" spans="1:6" x14ac:dyDescent="0.25">
      <c r="A9783" s="1" t="str">
        <f t="shared" si="350"/>
        <v>19740</v>
      </c>
      <c r="B9783" s="1" t="str">
        <f>"80013"</f>
        <v>80013</v>
      </c>
      <c r="C9783" s="2">
        <v>2.0465293497993999E-2</v>
      </c>
      <c r="D9783" s="2">
        <v>3.2996414441147301E-3</v>
      </c>
      <c r="E9783" s="2">
        <v>2.29062826902959E-2</v>
      </c>
      <c r="F9783" s="2">
        <v>1.91196942832055E-2</v>
      </c>
    </row>
    <row r="9784" spans="1:6" x14ac:dyDescent="0.25">
      <c r="A9784" s="1" t="str">
        <f t="shared" si="350"/>
        <v>19740</v>
      </c>
      <c r="B9784" s="1" t="str">
        <f>"80018"</f>
        <v>80018</v>
      </c>
      <c r="C9784" s="2">
        <v>4.4430000522969497E-3</v>
      </c>
      <c r="D9784" s="2">
        <v>3.0909990108803098E-4</v>
      </c>
      <c r="E9784" s="2">
        <v>1.39991385145529E-3</v>
      </c>
      <c r="F9784" s="2">
        <v>3.9649766915733397E-3</v>
      </c>
    </row>
    <row r="9785" spans="1:6" x14ac:dyDescent="0.25">
      <c r="A9785" s="1" t="str">
        <f t="shared" si="350"/>
        <v>19740</v>
      </c>
      <c r="B9785" s="1" t="str">
        <f>"80102"</f>
        <v>80102</v>
      </c>
      <c r="C9785" s="2">
        <v>1.76689004938326E-3</v>
      </c>
      <c r="D9785" s="2">
        <v>7.7274975272007896E-4</v>
      </c>
      <c r="E9785" s="2">
        <v>8.9225278444403399E-4</v>
      </c>
      <c r="F9785" s="2">
        <v>1.6458763068179501E-3</v>
      </c>
    </row>
    <row r="9786" spans="1:6" x14ac:dyDescent="0.25">
      <c r="A9786" s="1" t="str">
        <f t="shared" si="350"/>
        <v>19740</v>
      </c>
      <c r="B9786" s="1" t="str">
        <f>"80107"</f>
        <v>80107</v>
      </c>
      <c r="C9786" s="2">
        <v>4.8202852425458104E-3</v>
      </c>
      <c r="D9786" s="2">
        <v>2.2255192878338202E-3</v>
      </c>
      <c r="E9786" s="2">
        <v>5.5381207310319298E-4</v>
      </c>
      <c r="F9786" s="2">
        <v>4.42031623265893E-3</v>
      </c>
    </row>
    <row r="9787" spans="1:6" x14ac:dyDescent="0.25">
      <c r="A9787" s="1" t="str">
        <f t="shared" si="350"/>
        <v>19740</v>
      </c>
      <c r="B9787" s="1" t="str">
        <f>"80111"</f>
        <v>80111</v>
      </c>
      <c r="C9787" s="2">
        <v>1.0275604963728299E-2</v>
      </c>
      <c r="D9787" s="2">
        <v>2.7988996043521199E-2</v>
      </c>
      <c r="E9787" s="2">
        <v>1.02147560150144E-2</v>
      </c>
      <c r="F9787" s="2">
        <v>1.17683743856504E-2</v>
      </c>
    </row>
    <row r="9788" spans="1:6" x14ac:dyDescent="0.25">
      <c r="A9788" s="1" t="str">
        <f t="shared" si="350"/>
        <v>19740</v>
      </c>
      <c r="B9788" s="1" t="str">
        <f>"80112"</f>
        <v>80112</v>
      </c>
      <c r="C9788" s="2">
        <v>1.1872903452346199E-2</v>
      </c>
      <c r="D9788" s="2">
        <v>3.7787462908011799E-2</v>
      </c>
      <c r="E9788" s="2">
        <v>2.1321764814472899E-2</v>
      </c>
      <c r="F9788" s="2">
        <v>1.44612706974001E-2</v>
      </c>
    </row>
    <row r="9789" spans="1:6" x14ac:dyDescent="0.25">
      <c r="A9789" s="1" t="str">
        <f t="shared" si="350"/>
        <v>19740</v>
      </c>
      <c r="B9789" s="1" t="str">
        <f>"80120"</f>
        <v>80120</v>
      </c>
      <c r="C9789" s="2">
        <v>1.04638740091594E-2</v>
      </c>
      <c r="D9789" s="2">
        <v>1.2572638476755601E-2</v>
      </c>
      <c r="E9789" s="2">
        <v>1.7968125038459098E-2</v>
      </c>
      <c r="F9789" s="2">
        <v>1.09601140827778E-2</v>
      </c>
    </row>
    <row r="9790" spans="1:6" x14ac:dyDescent="0.25">
      <c r="A9790" s="1" t="str">
        <f t="shared" si="350"/>
        <v>19740</v>
      </c>
      <c r="B9790" s="1" t="str">
        <f>"80137"</f>
        <v>80137</v>
      </c>
      <c r="C9790" s="2">
        <v>3.50389612330128E-4</v>
      </c>
      <c r="D9790" s="2">
        <v>1.0663946587537E-3</v>
      </c>
      <c r="E9790" s="2">
        <v>1.0614731401144501E-3</v>
      </c>
      <c r="F9790" s="2">
        <v>4.40987865005525E-4</v>
      </c>
    </row>
    <row r="9791" spans="1:6" x14ac:dyDescent="0.25">
      <c r="A9791" s="1" t="str">
        <f t="shared" si="350"/>
        <v>19740</v>
      </c>
      <c r="B9791" s="1" t="str">
        <f>"80832"</f>
        <v>80832</v>
      </c>
      <c r="C9791" s="2">
        <v>1.15053305541236E-4</v>
      </c>
      <c r="D9791" s="2">
        <v>0</v>
      </c>
      <c r="E9791" s="2">
        <v>0</v>
      </c>
      <c r="F9791" s="2">
        <v>1.0046173256043E-4</v>
      </c>
    </row>
    <row r="9792" spans="1:6" x14ac:dyDescent="0.25">
      <c r="A9792" s="1" t="str">
        <f t="shared" si="350"/>
        <v>19740</v>
      </c>
      <c r="B9792" s="1" t="str">
        <f>"80166"</f>
        <v>80166</v>
      </c>
      <c r="C9792" s="2">
        <v>0</v>
      </c>
      <c r="D9792" s="2">
        <v>7.7274975272007893E-6</v>
      </c>
      <c r="E9792" s="2">
        <v>0</v>
      </c>
      <c r="F9792" s="2">
        <v>6.5234891273006697E-7</v>
      </c>
    </row>
    <row r="9793" spans="1:6" x14ac:dyDescent="0.25">
      <c r="A9793" s="1" t="str">
        <f t="shared" si="350"/>
        <v>19740</v>
      </c>
      <c r="B9793" s="1" t="str">
        <f>"80261"</f>
        <v>80261</v>
      </c>
      <c r="C9793" s="2">
        <v>0</v>
      </c>
      <c r="D9793" s="2">
        <v>3.0909990108803103E-5</v>
      </c>
      <c r="E9793" s="2">
        <v>0</v>
      </c>
      <c r="F9793" s="2">
        <v>2.6093956509202598E-6</v>
      </c>
    </row>
    <row r="9794" spans="1:6" x14ac:dyDescent="0.25">
      <c r="A9794" s="1" t="str">
        <f t="shared" si="350"/>
        <v>19740</v>
      </c>
      <c r="B9794" s="1" t="str">
        <f>"80294"</f>
        <v>80294</v>
      </c>
      <c r="C9794" s="2">
        <v>0</v>
      </c>
      <c r="D9794" s="2">
        <v>2.5500741839762597E-4</v>
      </c>
      <c r="E9794" s="2">
        <v>1.0768568088117599E-4</v>
      </c>
      <c r="F9794" s="2">
        <v>2.6093956509202598E-5</v>
      </c>
    </row>
    <row r="9795" spans="1:6" x14ac:dyDescent="0.25">
      <c r="A9795" s="1" t="str">
        <f t="shared" si="350"/>
        <v>19740</v>
      </c>
      <c r="B9795" s="1" t="str">
        <f>"80038"</f>
        <v>80038</v>
      </c>
      <c r="C9795" s="2">
        <v>7.4411098908487702E-4</v>
      </c>
      <c r="D9795" s="2">
        <v>3.9719337289811996E-3</v>
      </c>
      <c r="E9795" s="2">
        <v>3.0767337394621802E-5</v>
      </c>
      <c r="F9795" s="2">
        <v>9.8635155604786108E-4</v>
      </c>
    </row>
    <row r="9796" spans="1:6" x14ac:dyDescent="0.25">
      <c r="A9796" s="1" t="str">
        <f t="shared" si="350"/>
        <v>19740</v>
      </c>
      <c r="B9796" s="1" t="str">
        <f>"80150"</f>
        <v>80150</v>
      </c>
      <c r="C9796" s="2">
        <v>6.9106693263404795E-4</v>
      </c>
      <c r="D9796" s="2">
        <v>2.1482443125618099E-3</v>
      </c>
      <c r="E9796" s="2">
        <v>3.0767337394621802E-5</v>
      </c>
      <c r="F9796" s="2">
        <v>7.8608043983973005E-4</v>
      </c>
    </row>
    <row r="9797" spans="1:6" x14ac:dyDescent="0.25">
      <c r="A9797" s="1" t="str">
        <f t="shared" si="350"/>
        <v>19740</v>
      </c>
      <c r="B9797" s="1" t="str">
        <f>"80299"</f>
        <v>80299</v>
      </c>
      <c r="C9797" s="2">
        <v>0</v>
      </c>
      <c r="D9797" s="2">
        <v>9.8911968348170103E-4</v>
      </c>
      <c r="E9797" s="2">
        <v>4.6151006091932798E-5</v>
      </c>
      <c r="F9797" s="2">
        <v>8.5457707567638695E-5</v>
      </c>
    </row>
    <row r="9798" spans="1:6" x14ac:dyDescent="0.25">
      <c r="A9798" s="1" t="str">
        <f t="shared" ref="A9798:A9806" si="351">"19760"</f>
        <v>19760</v>
      </c>
      <c r="B9798" s="1" t="str">
        <f>"70634"</f>
        <v>70634</v>
      </c>
      <c r="C9798" s="2">
        <v>0.63505017531132801</v>
      </c>
      <c r="D9798" s="2">
        <v>0.876050420168067</v>
      </c>
      <c r="E9798" s="2">
        <v>0.94525547445255398</v>
      </c>
      <c r="F9798" s="2">
        <v>0.65274651058081901</v>
      </c>
    </row>
    <row r="9799" spans="1:6" x14ac:dyDescent="0.25">
      <c r="A9799" s="1" t="str">
        <f t="shared" si="351"/>
        <v>19760</v>
      </c>
      <c r="B9799" s="1" t="str">
        <f>"70637"</f>
        <v>70637</v>
      </c>
      <c r="C9799" s="2">
        <v>5.0779833151976704E-3</v>
      </c>
      <c r="D9799" s="2">
        <v>4.2016806722688996E-3</v>
      </c>
      <c r="E9799" s="2">
        <v>0</v>
      </c>
      <c r="F9799" s="2">
        <v>4.952723998199E-3</v>
      </c>
    </row>
    <row r="9800" spans="1:6" x14ac:dyDescent="0.25">
      <c r="A9800" s="1" t="str">
        <f t="shared" si="351"/>
        <v>19760</v>
      </c>
      <c r="B9800" s="1" t="str">
        <f>"70652"</f>
        <v>70652</v>
      </c>
      <c r="C9800" s="2">
        <v>6.66183049208076E-2</v>
      </c>
      <c r="D9800" s="2">
        <v>1.9957983193277299E-2</v>
      </c>
      <c r="E9800" s="2">
        <v>3.6496350364963501E-2</v>
      </c>
      <c r="F9800" s="2">
        <v>6.3653759567762203E-2</v>
      </c>
    </row>
    <row r="9801" spans="1:6" x14ac:dyDescent="0.25">
      <c r="A9801" s="1" t="str">
        <f t="shared" si="351"/>
        <v>19760</v>
      </c>
      <c r="B9801" s="1" t="str">
        <f>"70657"</f>
        <v>70657</v>
      </c>
      <c r="C9801" s="2">
        <v>0.10905573691210201</v>
      </c>
      <c r="D9801" s="2">
        <v>1.5756302521008399E-2</v>
      </c>
      <c r="E9801" s="2">
        <v>0</v>
      </c>
      <c r="F9801" s="2">
        <v>0.102375056280954</v>
      </c>
    </row>
    <row r="9802" spans="1:6" x14ac:dyDescent="0.25">
      <c r="A9802" s="1" t="str">
        <f t="shared" si="351"/>
        <v>19760</v>
      </c>
      <c r="B9802" s="1" t="str">
        <f>"70653"</f>
        <v>70653</v>
      </c>
      <c r="C9802" s="2">
        <v>9.1222343126586794E-2</v>
      </c>
      <c r="D9802" s="2">
        <v>5.5672268907563001E-2</v>
      </c>
      <c r="E9802" s="2">
        <v>7.2992700729926996E-3</v>
      </c>
      <c r="F9802" s="2">
        <v>8.8023412877082305E-2</v>
      </c>
    </row>
    <row r="9803" spans="1:6" x14ac:dyDescent="0.25">
      <c r="A9803" s="1" t="str">
        <f t="shared" si="351"/>
        <v>19760</v>
      </c>
      <c r="B9803" s="1" t="str">
        <f>"70662"</f>
        <v>70662</v>
      </c>
      <c r="C9803" s="2">
        <v>1.21508886470801E-2</v>
      </c>
      <c r="D9803" s="2">
        <v>4.2016806722688996E-3</v>
      </c>
      <c r="E9803" s="2">
        <v>0</v>
      </c>
      <c r="F9803" s="2">
        <v>1.15375956776226E-2</v>
      </c>
    </row>
    <row r="9804" spans="1:6" x14ac:dyDescent="0.25">
      <c r="A9804" s="1" t="str">
        <f t="shared" si="351"/>
        <v>19760</v>
      </c>
      <c r="B9804" s="1" t="str">
        <f>"70660"</f>
        <v>70660</v>
      </c>
      <c r="C9804" s="2">
        <v>4.1893362350380797E-2</v>
      </c>
      <c r="D9804" s="2">
        <v>1.3655462184873899E-2</v>
      </c>
      <c r="E9804" s="2">
        <v>7.2992700729926996E-3</v>
      </c>
      <c r="F9804" s="2">
        <v>3.9846915803691998E-2</v>
      </c>
    </row>
    <row r="9805" spans="1:6" x14ac:dyDescent="0.25">
      <c r="A9805" s="1" t="str">
        <f t="shared" si="351"/>
        <v>19760</v>
      </c>
      <c r="B9805" s="1" t="str">
        <f>"70633"</f>
        <v>70633</v>
      </c>
      <c r="C9805" s="2">
        <v>2.89565953330915E-2</v>
      </c>
      <c r="D9805" s="2">
        <v>9.4537815126050397E-3</v>
      </c>
      <c r="E9805" s="2">
        <v>3.6496350364963498E-3</v>
      </c>
      <c r="F9805" s="2">
        <v>2.75213867627194E-2</v>
      </c>
    </row>
    <row r="9806" spans="1:6" x14ac:dyDescent="0.25">
      <c r="A9806" s="1" t="str">
        <f t="shared" si="351"/>
        <v>19760</v>
      </c>
      <c r="B9806" s="1" t="str">
        <f>"70661"</f>
        <v>70661</v>
      </c>
      <c r="C9806" s="2">
        <v>9.9746100834240108E-3</v>
      </c>
      <c r="D9806" s="2">
        <v>1.0504201680672199E-3</v>
      </c>
      <c r="E9806" s="2">
        <v>0</v>
      </c>
      <c r="F9806" s="2">
        <v>9.3426384511481296E-3</v>
      </c>
    </row>
    <row r="9807" spans="1:6" x14ac:dyDescent="0.25">
      <c r="A9807" s="1" t="str">
        <f t="shared" ref="A9807:A9838" si="352">"19780"</f>
        <v>19780</v>
      </c>
      <c r="B9807" s="1" t="str">
        <f>"50002"</f>
        <v>50002</v>
      </c>
      <c r="C9807" s="2">
        <v>4.52581525018706E-4</v>
      </c>
      <c r="D9807" s="2">
        <v>6.4178673426820202E-5</v>
      </c>
      <c r="E9807" s="2">
        <v>0</v>
      </c>
      <c r="F9807" s="2">
        <v>3.9746147630789601E-4</v>
      </c>
    </row>
    <row r="9808" spans="1:6" x14ac:dyDescent="0.25">
      <c r="A9808" s="1" t="str">
        <f t="shared" si="352"/>
        <v>19780</v>
      </c>
      <c r="B9808" s="1" t="str">
        <f>"50174"</f>
        <v>50174</v>
      </c>
      <c r="C9808" s="2">
        <v>6.0344203335827504E-6</v>
      </c>
      <c r="D9808" s="2">
        <v>0</v>
      </c>
      <c r="E9808" s="2">
        <v>0</v>
      </c>
      <c r="F9808" s="2">
        <v>5.2297562672091597E-6</v>
      </c>
    </row>
    <row r="9809" spans="1:6" x14ac:dyDescent="0.25">
      <c r="A9809" s="1" t="str">
        <f t="shared" si="352"/>
        <v>19780</v>
      </c>
      <c r="B9809" s="1" t="str">
        <f>"50164"</f>
        <v>50164</v>
      </c>
      <c r="C9809" s="2">
        <v>7.6335417219821798E-4</v>
      </c>
      <c r="D9809" s="2">
        <v>2.2462535699387001E-4</v>
      </c>
      <c r="E9809" s="2">
        <v>3.02541347317466E-4</v>
      </c>
      <c r="F9809" s="2">
        <v>6.9555758353881901E-4</v>
      </c>
    </row>
    <row r="9810" spans="1:6" x14ac:dyDescent="0.25">
      <c r="A9810" s="1" t="str">
        <f t="shared" si="352"/>
        <v>19780</v>
      </c>
      <c r="B9810" s="1" t="str">
        <f>"50058"</f>
        <v>50058</v>
      </c>
      <c r="C9810" s="2">
        <v>3.8922011151608702E-4</v>
      </c>
      <c r="D9810" s="2">
        <v>9.6268010140230405E-5</v>
      </c>
      <c r="E9810" s="2">
        <v>0</v>
      </c>
      <c r="F9810" s="2">
        <v>3.4516391363580498E-4</v>
      </c>
    </row>
    <row r="9811" spans="1:6" x14ac:dyDescent="0.25">
      <c r="A9811" s="1" t="str">
        <f t="shared" si="352"/>
        <v>19780</v>
      </c>
      <c r="B9811" s="1" t="str">
        <f>"50257"</f>
        <v>50257</v>
      </c>
      <c r="C9811" s="2">
        <v>1.18274638538222E-3</v>
      </c>
      <c r="D9811" s="2">
        <v>2.5671469370728103E-4</v>
      </c>
      <c r="E9811" s="2">
        <v>1.51270673658733E-4</v>
      </c>
      <c r="F9811" s="2">
        <v>1.0537958878426401E-3</v>
      </c>
    </row>
    <row r="9812" spans="1:6" x14ac:dyDescent="0.25">
      <c r="A9812" s="1" t="str">
        <f t="shared" si="352"/>
        <v>19780</v>
      </c>
      <c r="B9812" s="1" t="str">
        <f>"50218"</f>
        <v>50218</v>
      </c>
      <c r="C9812" s="2">
        <v>2.7456612517801499E-4</v>
      </c>
      <c r="D9812" s="2">
        <v>0</v>
      </c>
      <c r="E9812" s="2">
        <v>2.01694231544977E-4</v>
      </c>
      <c r="F9812" s="2">
        <v>2.4841342269243499E-4</v>
      </c>
    </row>
    <row r="9813" spans="1:6" x14ac:dyDescent="0.25">
      <c r="A9813" s="1" t="str">
        <f t="shared" si="352"/>
        <v>19780</v>
      </c>
      <c r="B9813" s="1" t="str">
        <f>"50046"</f>
        <v>50046</v>
      </c>
      <c r="C9813" s="2">
        <v>3.3189311834705101E-4</v>
      </c>
      <c r="D9813" s="2">
        <v>3.2089336713410101E-5</v>
      </c>
      <c r="E9813" s="2">
        <v>0</v>
      </c>
      <c r="F9813" s="2">
        <v>2.9025147283010802E-4</v>
      </c>
    </row>
    <row r="9814" spans="1:6" x14ac:dyDescent="0.25">
      <c r="A9814" s="1" t="str">
        <f t="shared" si="352"/>
        <v>19780</v>
      </c>
      <c r="B9814" s="1" t="str">
        <f>"50208"</f>
        <v>50208</v>
      </c>
      <c r="C9814" s="2">
        <v>2.9366506553380401E-2</v>
      </c>
      <c r="D9814" s="2">
        <v>2.4227449218624599E-2</v>
      </c>
      <c r="E9814" s="2">
        <v>2.29427188382412E-2</v>
      </c>
      <c r="F9814" s="2">
        <v>2.8614611416034899E-2</v>
      </c>
    </row>
    <row r="9815" spans="1:6" x14ac:dyDescent="0.25">
      <c r="A9815" s="1" t="str">
        <f t="shared" si="352"/>
        <v>19780</v>
      </c>
      <c r="B9815" s="1" t="str">
        <f>"50167"</f>
        <v>50167</v>
      </c>
      <c r="C9815" s="2">
        <v>1.0650751888773499E-3</v>
      </c>
      <c r="D9815" s="2">
        <v>9.6268010140230405E-5</v>
      </c>
      <c r="E9815" s="2">
        <v>1.51270673658733E-4</v>
      </c>
      <c r="F9815" s="2">
        <v>9.38741249964045E-4</v>
      </c>
    </row>
    <row r="9816" spans="1:6" x14ac:dyDescent="0.25">
      <c r="A9816" s="1" t="str">
        <f t="shared" si="352"/>
        <v>19780</v>
      </c>
      <c r="B9816" s="1" t="str">
        <f>"50250"</f>
        <v>50250</v>
      </c>
      <c r="C9816" s="2">
        <v>2.2387699437592E-3</v>
      </c>
      <c r="D9816" s="2">
        <v>7.3805474440843304E-4</v>
      </c>
      <c r="E9816" s="2">
        <v>1.71440096813231E-3</v>
      </c>
      <c r="F9816" s="2">
        <v>2.0892876287500598E-3</v>
      </c>
    </row>
    <row r="9817" spans="1:6" x14ac:dyDescent="0.25">
      <c r="A9817" s="1" t="str">
        <f t="shared" si="352"/>
        <v>19780</v>
      </c>
      <c r="B9817" s="1" t="str">
        <f>"50323"</f>
        <v>50323</v>
      </c>
      <c r="C9817" s="2">
        <v>2.12502112047116E-2</v>
      </c>
      <c r="D9817" s="2">
        <v>2.0344639476301999E-2</v>
      </c>
      <c r="E9817" s="2">
        <v>2.0673658733360201E-3</v>
      </c>
      <c r="F9817" s="2">
        <v>2.0181629435160098E-2</v>
      </c>
    </row>
    <row r="9818" spans="1:6" x14ac:dyDescent="0.25">
      <c r="A9818" s="1" t="str">
        <f t="shared" si="352"/>
        <v>19780</v>
      </c>
      <c r="B9818" s="1" t="str">
        <f>"50240"</f>
        <v>50240</v>
      </c>
      <c r="C9818" s="2">
        <v>3.1378985734630302E-3</v>
      </c>
      <c r="D9818" s="2">
        <v>9.6268010140230403E-4</v>
      </c>
      <c r="E9818" s="2">
        <v>4.538120209762E-4</v>
      </c>
      <c r="F9818" s="2">
        <v>2.8214535061593399E-3</v>
      </c>
    </row>
    <row r="9819" spans="1:6" x14ac:dyDescent="0.25">
      <c r="A9819" s="1" t="str">
        <f t="shared" si="352"/>
        <v>19780</v>
      </c>
      <c r="B9819" s="1" t="str">
        <f>"50029"</f>
        <v>50029</v>
      </c>
      <c r="C9819" s="2">
        <v>1.10429892104564E-3</v>
      </c>
      <c r="D9819" s="2">
        <v>5.7760806084138203E-4</v>
      </c>
      <c r="E9819" s="2">
        <v>6.0508269463493297E-4</v>
      </c>
      <c r="F9819" s="2">
        <v>1.03549174090741E-3</v>
      </c>
    </row>
    <row r="9820" spans="1:6" x14ac:dyDescent="0.25">
      <c r="A9820" s="1" t="str">
        <f t="shared" si="352"/>
        <v>19780</v>
      </c>
      <c r="B9820" s="1" t="str">
        <f>"50073"</f>
        <v>50073</v>
      </c>
      <c r="C9820" s="2">
        <v>2.94479712278838E-3</v>
      </c>
      <c r="D9820" s="2">
        <v>3.5298270384751098E-4</v>
      </c>
      <c r="E9820" s="2">
        <v>1.00847115772488E-3</v>
      </c>
      <c r="F9820" s="2">
        <v>2.6331822805398101E-3</v>
      </c>
    </row>
    <row r="9821" spans="1:6" x14ac:dyDescent="0.25">
      <c r="A9821" s="1" t="str">
        <f t="shared" si="352"/>
        <v>19780</v>
      </c>
      <c r="B9821" s="1" t="str">
        <f>"50076"</f>
        <v>50076</v>
      </c>
      <c r="C9821" s="2">
        <v>6.0344203335827504E-6</v>
      </c>
      <c r="D9821" s="2">
        <v>0</v>
      </c>
      <c r="E9821" s="2">
        <v>0</v>
      </c>
      <c r="F9821" s="2">
        <v>5.2297562672091597E-6</v>
      </c>
    </row>
    <row r="9822" spans="1:6" x14ac:dyDescent="0.25">
      <c r="A9822" s="1" t="str">
        <f t="shared" si="352"/>
        <v>19780</v>
      </c>
      <c r="B9822" s="1" t="str">
        <f>"50145"</f>
        <v>50145</v>
      </c>
      <c r="C9822" s="2">
        <v>1.6292934900673399E-4</v>
      </c>
      <c r="D9822" s="2">
        <v>3.2089336713410101E-5</v>
      </c>
      <c r="E9822" s="2">
        <v>0</v>
      </c>
      <c r="F9822" s="2">
        <v>1.4381829734825199E-4</v>
      </c>
    </row>
    <row r="9823" spans="1:6" x14ac:dyDescent="0.25">
      <c r="A9823" s="1" t="str">
        <f t="shared" si="352"/>
        <v>19780</v>
      </c>
      <c r="B9823" s="1" t="str">
        <f>"50106"</f>
        <v>50106</v>
      </c>
      <c r="C9823" s="2">
        <v>1.2370561683844601E-4</v>
      </c>
      <c r="D9823" s="2">
        <v>0</v>
      </c>
      <c r="E9823" s="2">
        <v>0</v>
      </c>
      <c r="F9823" s="2">
        <v>1.07210003477787E-4</v>
      </c>
    </row>
    <row r="9824" spans="1:6" x14ac:dyDescent="0.25">
      <c r="A9824" s="1" t="str">
        <f t="shared" si="352"/>
        <v>19780</v>
      </c>
      <c r="B9824" s="1" t="str">
        <f>"50048"</f>
        <v>50048</v>
      </c>
      <c r="C9824" s="2">
        <v>1.0801612397113101E-3</v>
      </c>
      <c r="D9824" s="2">
        <v>1.6044668356705001E-4</v>
      </c>
      <c r="E9824" s="2">
        <v>2.52117789431222E-4</v>
      </c>
      <c r="F9824" s="2">
        <v>9.6227515316648596E-4</v>
      </c>
    </row>
    <row r="9825" spans="1:6" x14ac:dyDescent="0.25">
      <c r="A9825" s="1" t="str">
        <f t="shared" si="352"/>
        <v>19780</v>
      </c>
      <c r="B9825" s="1" t="str">
        <f>"50228"</f>
        <v>50228</v>
      </c>
      <c r="C9825" s="2">
        <v>3.21332882763281E-3</v>
      </c>
      <c r="D9825" s="2">
        <v>6.0969739755479201E-4</v>
      </c>
      <c r="E9825" s="2">
        <v>2.5211778943122201E-3</v>
      </c>
      <c r="F9825" s="2">
        <v>2.9652718035075901E-3</v>
      </c>
    </row>
    <row r="9826" spans="1:6" x14ac:dyDescent="0.25">
      <c r="A9826" s="1" t="str">
        <f t="shared" si="352"/>
        <v>19780</v>
      </c>
      <c r="B9826" s="1" t="str">
        <f>"50310"</f>
        <v>50310</v>
      </c>
      <c r="C9826" s="2">
        <v>4.4371092712834001E-2</v>
      </c>
      <c r="D9826" s="2">
        <v>3.3629624875653803E-2</v>
      </c>
      <c r="E9826" s="2">
        <v>1.8606292860024201E-2</v>
      </c>
      <c r="F9826" s="2">
        <v>4.2159680148106601E-2</v>
      </c>
    </row>
    <row r="9827" spans="1:6" x14ac:dyDescent="0.25">
      <c r="A9827" s="1" t="str">
        <f t="shared" si="352"/>
        <v>19780</v>
      </c>
      <c r="B9827" s="1" t="str">
        <f>"50311"</f>
        <v>50311</v>
      </c>
      <c r="C9827" s="2">
        <v>2.07493543170243E-2</v>
      </c>
      <c r="D9827" s="2">
        <v>1.23223052979494E-2</v>
      </c>
      <c r="E9827" s="2">
        <v>3.6557079467527197E-2</v>
      </c>
      <c r="F9827" s="2">
        <v>2.08824167749662E-2</v>
      </c>
    </row>
    <row r="9828" spans="1:6" x14ac:dyDescent="0.25">
      <c r="A9828" s="1" t="str">
        <f t="shared" si="352"/>
        <v>19780</v>
      </c>
      <c r="B9828" s="1" t="str">
        <f>"50168"</f>
        <v>50168</v>
      </c>
      <c r="C9828" s="2">
        <v>1.24007337855125E-3</v>
      </c>
      <c r="D9828" s="2">
        <v>6.4178673426820202E-5</v>
      </c>
      <c r="E9828" s="2">
        <v>3.5296490520371102E-4</v>
      </c>
      <c r="F9828" s="2">
        <v>1.09824881611392E-3</v>
      </c>
    </row>
    <row r="9829" spans="1:6" x14ac:dyDescent="0.25">
      <c r="A9829" s="1" t="str">
        <f t="shared" si="352"/>
        <v>19780</v>
      </c>
      <c r="B9829" s="1" t="str">
        <f>"50169"</f>
        <v>50169</v>
      </c>
      <c r="C9829" s="2">
        <v>3.5029810036447799E-3</v>
      </c>
      <c r="D9829" s="2">
        <v>5.1342938741456205E-4</v>
      </c>
      <c r="E9829" s="2">
        <v>2.0673658733360201E-3</v>
      </c>
      <c r="F9829" s="2">
        <v>3.1849215667303799E-3</v>
      </c>
    </row>
    <row r="9830" spans="1:6" x14ac:dyDescent="0.25">
      <c r="A9830" s="1" t="str">
        <f t="shared" si="352"/>
        <v>19780</v>
      </c>
      <c r="B9830" s="1" t="str">
        <f>"50319"</f>
        <v>50319</v>
      </c>
      <c r="C9830" s="2">
        <v>0</v>
      </c>
      <c r="D9830" s="2">
        <v>4.7492218335846896E-3</v>
      </c>
      <c r="E9830" s="2">
        <v>1.26058894715611E-3</v>
      </c>
      <c r="F9830" s="2">
        <v>4.5237391711359199E-4</v>
      </c>
    </row>
    <row r="9831" spans="1:6" x14ac:dyDescent="0.25">
      <c r="A9831" s="1" t="str">
        <f t="shared" si="352"/>
        <v>19780</v>
      </c>
      <c r="B9831" s="1" t="str">
        <f>"50032"</f>
        <v>50032</v>
      </c>
      <c r="C9831" s="2">
        <v>6.1852808419223199E-4</v>
      </c>
      <c r="D9831" s="2">
        <v>0</v>
      </c>
      <c r="E9831" s="2">
        <v>1.51270673658733E-4</v>
      </c>
      <c r="F9831" s="2">
        <v>5.4389465178975298E-4</v>
      </c>
    </row>
    <row r="9832" spans="1:6" x14ac:dyDescent="0.25">
      <c r="A9832" s="1" t="str">
        <f t="shared" si="352"/>
        <v>19780</v>
      </c>
      <c r="B9832" s="1" t="str">
        <f>"50234"</f>
        <v>50234</v>
      </c>
      <c r="C9832" s="2">
        <v>6.9395833836201606E-5</v>
      </c>
      <c r="D9832" s="2">
        <v>0</v>
      </c>
      <c r="E9832" s="2">
        <v>0</v>
      </c>
      <c r="F9832" s="2">
        <v>6.01421970729054E-5</v>
      </c>
    </row>
    <row r="9833" spans="1:6" x14ac:dyDescent="0.25">
      <c r="A9833" s="1" t="str">
        <f t="shared" si="352"/>
        <v>19780</v>
      </c>
      <c r="B9833" s="1" t="str">
        <f>"50242"</f>
        <v>50242</v>
      </c>
      <c r="C9833" s="2">
        <v>1.2068840667165501E-5</v>
      </c>
      <c r="D9833" s="2">
        <v>0</v>
      </c>
      <c r="E9833" s="2">
        <v>0</v>
      </c>
      <c r="F9833" s="2">
        <v>1.0459512534418301E-5</v>
      </c>
    </row>
    <row r="9834" spans="1:6" x14ac:dyDescent="0.25">
      <c r="A9834" s="1" t="str">
        <f t="shared" si="352"/>
        <v>19780</v>
      </c>
      <c r="B9834" s="1" t="str">
        <f>"50263"</f>
        <v>50263</v>
      </c>
      <c r="C9834" s="2">
        <v>3.6384537401337201E-2</v>
      </c>
      <c r="D9834" s="2">
        <v>2.38744665147771E-2</v>
      </c>
      <c r="E9834" s="2">
        <v>1.34630899556272E-2</v>
      </c>
      <c r="F9834" s="2">
        <v>3.4176457206211902E-2</v>
      </c>
    </row>
    <row r="9835" spans="1:6" x14ac:dyDescent="0.25">
      <c r="A9835" s="1" t="str">
        <f t="shared" si="352"/>
        <v>19780</v>
      </c>
      <c r="B9835" s="1" t="str">
        <f>"50320"</f>
        <v>50320</v>
      </c>
      <c r="C9835" s="2">
        <v>2.7378165053464899E-2</v>
      </c>
      <c r="D9835" s="2">
        <v>1.04611237685717E-2</v>
      </c>
      <c r="E9835" s="2">
        <v>9.8325937878176606E-3</v>
      </c>
      <c r="F9835" s="2">
        <v>2.5089755691935899E-2</v>
      </c>
    </row>
    <row r="9836" spans="1:6" x14ac:dyDescent="0.25">
      <c r="A9836" s="1" t="str">
        <f t="shared" si="352"/>
        <v>19780</v>
      </c>
      <c r="B9836" s="1" t="str">
        <f>"50277"</f>
        <v>50277</v>
      </c>
      <c r="C9836" s="2">
        <v>6.9094112819522498E-4</v>
      </c>
      <c r="D9836" s="2">
        <v>2.5671469370728103E-4</v>
      </c>
      <c r="E9836" s="2">
        <v>3.5296490520371102E-4</v>
      </c>
      <c r="F9836" s="2">
        <v>6.3803026459951801E-4</v>
      </c>
    </row>
    <row r="9837" spans="1:6" x14ac:dyDescent="0.25">
      <c r="A9837" s="1" t="str">
        <f t="shared" si="352"/>
        <v>19780</v>
      </c>
      <c r="B9837" s="1" t="str">
        <f>"50162"</f>
        <v>50162</v>
      </c>
      <c r="C9837" s="2">
        <v>1.8103261000748201E-5</v>
      </c>
      <c r="D9837" s="2">
        <v>3.2089336713410101E-5</v>
      </c>
      <c r="E9837" s="2">
        <v>0</v>
      </c>
      <c r="F9837" s="2">
        <v>1.8304146935232E-5</v>
      </c>
    </row>
    <row r="9838" spans="1:6" x14ac:dyDescent="0.25">
      <c r="A9838" s="1" t="str">
        <f t="shared" si="352"/>
        <v>19780</v>
      </c>
      <c r="B9838" s="1" t="str">
        <f>"50232"</f>
        <v>50232</v>
      </c>
      <c r="C9838" s="2">
        <v>6.9697554852880795E-4</v>
      </c>
      <c r="D9838" s="2">
        <v>1.6044668356705001E-4</v>
      </c>
      <c r="E9838" s="2">
        <v>0</v>
      </c>
      <c r="F9838" s="2">
        <v>6.1711123953068104E-4</v>
      </c>
    </row>
    <row r="9839" spans="1:6" x14ac:dyDescent="0.25">
      <c r="A9839" s="1" t="str">
        <f t="shared" ref="A9839:A9870" si="353">"19780"</f>
        <v>19780</v>
      </c>
      <c r="B9839" s="1" t="str">
        <f>"50069"</f>
        <v>50069</v>
      </c>
      <c r="C9839" s="2">
        <v>1.34567573438895E-3</v>
      </c>
      <c r="D9839" s="2">
        <v>7.7014408112184303E-4</v>
      </c>
      <c r="E9839" s="2">
        <v>4.538120209762E-4</v>
      </c>
      <c r="F9839" s="2">
        <v>1.25252662599659E-3</v>
      </c>
    </row>
    <row r="9840" spans="1:6" x14ac:dyDescent="0.25">
      <c r="A9840" s="1" t="str">
        <f t="shared" si="353"/>
        <v>19780</v>
      </c>
      <c r="B9840" s="1" t="str">
        <f>"50047"</f>
        <v>50047</v>
      </c>
      <c r="C9840" s="2">
        <v>7.7753505998213804E-3</v>
      </c>
      <c r="D9840" s="2">
        <v>2.82386163078009E-3</v>
      </c>
      <c r="E9840" s="2">
        <v>3.5800726099233498E-3</v>
      </c>
      <c r="F9840" s="2">
        <v>7.15430657354214E-3</v>
      </c>
    </row>
    <row r="9841" spans="1:6" x14ac:dyDescent="0.25">
      <c r="A9841" s="1" t="str">
        <f t="shared" si="353"/>
        <v>19780</v>
      </c>
      <c r="B9841" s="1" t="str">
        <f>"50007"</f>
        <v>50007</v>
      </c>
      <c r="C9841" s="2">
        <v>6.0344203335827495E-4</v>
      </c>
      <c r="D9841" s="2">
        <v>1.6044668356705001E-4</v>
      </c>
      <c r="E9841" s="2">
        <v>0</v>
      </c>
      <c r="F9841" s="2">
        <v>5.3605001738893897E-4</v>
      </c>
    </row>
    <row r="9842" spans="1:6" x14ac:dyDescent="0.25">
      <c r="A9842" s="1" t="str">
        <f t="shared" si="353"/>
        <v>19780</v>
      </c>
      <c r="B9842" s="1" t="str">
        <f>"50066"</f>
        <v>50066</v>
      </c>
      <c r="C9842" s="2">
        <v>3.9525453184966998E-4</v>
      </c>
      <c r="D9842" s="2">
        <v>3.2089336713410101E-5</v>
      </c>
      <c r="E9842" s="2">
        <v>5.0423557886244398E-5</v>
      </c>
      <c r="F9842" s="2">
        <v>3.4777879176940902E-4</v>
      </c>
    </row>
    <row r="9843" spans="1:6" x14ac:dyDescent="0.25">
      <c r="A9843" s="1" t="str">
        <f t="shared" si="353"/>
        <v>19780</v>
      </c>
      <c r="B9843" s="1" t="str">
        <f>"50039"</f>
        <v>50039</v>
      </c>
      <c r="C9843" s="2">
        <v>5.2499456902169899E-4</v>
      </c>
      <c r="D9843" s="2">
        <v>2.2462535699387001E-4</v>
      </c>
      <c r="E9843" s="2">
        <v>5.0423557886244398E-5</v>
      </c>
      <c r="F9843" s="2">
        <v>4.7590782031603398E-4</v>
      </c>
    </row>
    <row r="9844" spans="1:6" x14ac:dyDescent="0.25">
      <c r="A9844" s="1" t="str">
        <f t="shared" si="353"/>
        <v>19780</v>
      </c>
      <c r="B9844" s="1" t="str">
        <f>"50361"</f>
        <v>50361</v>
      </c>
      <c r="C9844" s="2">
        <v>0</v>
      </c>
      <c r="D9844" s="2">
        <v>3.2089336713410101E-5</v>
      </c>
      <c r="E9844" s="2">
        <v>0</v>
      </c>
      <c r="F9844" s="2">
        <v>2.6148781336045799E-6</v>
      </c>
    </row>
    <row r="9845" spans="1:6" x14ac:dyDescent="0.25">
      <c r="A9845" s="1" t="str">
        <f t="shared" si="353"/>
        <v>19780</v>
      </c>
      <c r="B9845" s="1" t="str">
        <f>"50398"</f>
        <v>50398</v>
      </c>
      <c r="C9845" s="2">
        <v>0</v>
      </c>
      <c r="D9845" s="2">
        <v>6.4178673426820202E-5</v>
      </c>
      <c r="E9845" s="2">
        <v>0</v>
      </c>
      <c r="F9845" s="2">
        <v>5.2297562672091597E-6</v>
      </c>
    </row>
    <row r="9846" spans="1:6" x14ac:dyDescent="0.25">
      <c r="A9846" s="1" t="str">
        <f t="shared" si="353"/>
        <v>19780</v>
      </c>
      <c r="B9846" s="1" t="str">
        <f>"50362"</f>
        <v>50362</v>
      </c>
      <c r="C9846" s="2">
        <v>0</v>
      </c>
      <c r="D9846" s="2">
        <v>0</v>
      </c>
      <c r="E9846" s="2">
        <v>1.00847115772488E-4</v>
      </c>
      <c r="F9846" s="2">
        <v>5.2297562672091597E-6</v>
      </c>
    </row>
    <row r="9847" spans="1:6" x14ac:dyDescent="0.25">
      <c r="A9847" s="1" t="str">
        <f t="shared" si="353"/>
        <v>19780</v>
      </c>
      <c r="B9847" s="1" t="str">
        <f>"50364"</f>
        <v>50364</v>
      </c>
      <c r="C9847" s="2">
        <v>0</v>
      </c>
      <c r="D9847" s="2">
        <v>0</v>
      </c>
      <c r="E9847" s="2">
        <v>1.00847115772488E-4</v>
      </c>
      <c r="F9847" s="2">
        <v>5.2297562672091597E-6</v>
      </c>
    </row>
    <row r="9848" spans="1:6" x14ac:dyDescent="0.25">
      <c r="A9848" s="1" t="str">
        <f t="shared" si="353"/>
        <v>19780</v>
      </c>
      <c r="B9848" s="1" t="str">
        <f>"50241"</f>
        <v>50241</v>
      </c>
      <c r="C9848" s="2">
        <v>1.56894928673151E-4</v>
      </c>
      <c r="D9848" s="2">
        <v>3.20893367134101E-4</v>
      </c>
      <c r="E9848" s="2">
        <v>0</v>
      </c>
      <c r="F9848" s="2">
        <v>1.62122444283484E-4</v>
      </c>
    </row>
    <row r="9849" spans="1:6" x14ac:dyDescent="0.25">
      <c r="A9849" s="1" t="str">
        <f t="shared" si="353"/>
        <v>19780</v>
      </c>
      <c r="B9849" s="1" t="str">
        <f>"50391"</f>
        <v>50391</v>
      </c>
      <c r="C9849" s="2">
        <v>0</v>
      </c>
      <c r="D9849" s="2">
        <v>9.9669479831851801E-2</v>
      </c>
      <c r="E9849" s="2">
        <v>0.34736789027833798</v>
      </c>
      <c r="F9849" s="2">
        <v>2.6135706945377798E-2</v>
      </c>
    </row>
    <row r="9850" spans="1:6" x14ac:dyDescent="0.25">
      <c r="A9850" s="1" t="str">
        <f t="shared" si="353"/>
        <v>19780</v>
      </c>
      <c r="B9850" s="1" t="str">
        <f>"50325"</f>
        <v>50325</v>
      </c>
      <c r="C9850" s="2">
        <v>2.35282048806391E-2</v>
      </c>
      <c r="D9850" s="2">
        <v>4.0560921605750401E-2</v>
      </c>
      <c r="E9850" s="2">
        <v>4.6591367486889801E-2</v>
      </c>
      <c r="F9850" s="2">
        <v>2.61121730421753E-2</v>
      </c>
    </row>
    <row r="9851" spans="1:6" x14ac:dyDescent="0.25">
      <c r="A9851" s="1" t="str">
        <f t="shared" si="353"/>
        <v>19780</v>
      </c>
      <c r="B9851" s="1" t="str">
        <f>"50327"</f>
        <v>50327</v>
      </c>
      <c r="C9851" s="2">
        <v>1.52127736609621E-2</v>
      </c>
      <c r="D9851" s="2">
        <v>9.1133716266084703E-3</v>
      </c>
      <c r="E9851" s="2">
        <v>5.5465913674868804E-3</v>
      </c>
      <c r="F9851" s="2">
        <v>1.4214477534274499E-2</v>
      </c>
    </row>
    <row r="9852" spans="1:6" x14ac:dyDescent="0.25">
      <c r="A9852" s="1" t="str">
        <f t="shared" si="353"/>
        <v>19780</v>
      </c>
      <c r="B9852" s="1" t="str">
        <f>"50151"</f>
        <v>50151</v>
      </c>
      <c r="C9852" s="2">
        <v>1.08619566004489E-4</v>
      </c>
      <c r="D9852" s="2">
        <v>0</v>
      </c>
      <c r="E9852" s="2">
        <v>0</v>
      </c>
      <c r="F9852" s="2">
        <v>9.4135612809765002E-5</v>
      </c>
    </row>
    <row r="9853" spans="1:6" x14ac:dyDescent="0.25">
      <c r="A9853" s="1" t="str">
        <f t="shared" si="353"/>
        <v>19780</v>
      </c>
      <c r="B9853" s="1" t="str">
        <f>"50023"</f>
        <v>50023</v>
      </c>
      <c r="C9853" s="2">
        <v>5.9137319269110998E-2</v>
      </c>
      <c r="D9853" s="2">
        <v>3.50736450277572E-2</v>
      </c>
      <c r="E9853" s="2">
        <v>3.89774102460669E-2</v>
      </c>
      <c r="F9853" s="2">
        <v>5.6130974015955903E-2</v>
      </c>
    </row>
    <row r="9854" spans="1:6" x14ac:dyDescent="0.25">
      <c r="A9854" s="1" t="str">
        <f t="shared" si="353"/>
        <v>19780</v>
      </c>
      <c r="B9854" s="1" t="str">
        <f>"50028"</f>
        <v>50028</v>
      </c>
      <c r="C9854" s="2">
        <v>2.3111829877621899E-3</v>
      </c>
      <c r="D9854" s="2">
        <v>5.7760806084138203E-4</v>
      </c>
      <c r="E9854" s="2">
        <v>1.3614360629286E-3</v>
      </c>
      <c r="F9854" s="2">
        <v>2.1206661663533098E-3</v>
      </c>
    </row>
    <row r="9855" spans="1:6" x14ac:dyDescent="0.25">
      <c r="A9855" s="1" t="str">
        <f t="shared" si="353"/>
        <v>19780</v>
      </c>
      <c r="B9855" s="1" t="str">
        <f>"50125"</f>
        <v>50125</v>
      </c>
      <c r="C9855" s="2">
        <v>3.1388037365130697E-2</v>
      </c>
      <c r="D9855" s="2">
        <v>1.89968873343387E-2</v>
      </c>
      <c r="E9855" s="2">
        <v>1.7345703912868E-2</v>
      </c>
      <c r="F9855" s="2">
        <v>2.96501031569423E-2</v>
      </c>
    </row>
    <row r="9856" spans="1:6" x14ac:dyDescent="0.25">
      <c r="A9856" s="1" t="str">
        <f t="shared" si="353"/>
        <v>19780</v>
      </c>
      <c r="B9856" s="1" t="str">
        <f>"50070"</f>
        <v>50070</v>
      </c>
      <c r="C9856" s="2">
        <v>2.1331675879215002E-3</v>
      </c>
      <c r="D9856" s="2">
        <v>4.1716137727433101E-4</v>
      </c>
      <c r="E9856" s="2">
        <v>0</v>
      </c>
      <c r="F9856" s="2">
        <v>1.8827122561952999E-3</v>
      </c>
    </row>
    <row r="9857" spans="1:6" x14ac:dyDescent="0.25">
      <c r="A9857" s="1" t="str">
        <f t="shared" si="353"/>
        <v>19780</v>
      </c>
      <c r="B9857" s="1" t="str">
        <f>"50225"</f>
        <v>50225</v>
      </c>
      <c r="C9857" s="2">
        <v>4.9180525718699403E-4</v>
      </c>
      <c r="D9857" s="2">
        <v>0</v>
      </c>
      <c r="E9857" s="2">
        <v>0</v>
      </c>
      <c r="F9857" s="2">
        <v>4.2622513577754699E-4</v>
      </c>
    </row>
    <row r="9858" spans="1:6" x14ac:dyDescent="0.25">
      <c r="A9858" s="1" t="str">
        <f t="shared" si="353"/>
        <v>19780</v>
      </c>
      <c r="B9858" s="1" t="str">
        <f>"50055"</f>
        <v>50055</v>
      </c>
      <c r="C9858" s="2">
        <v>2.8663496584518001E-4</v>
      </c>
      <c r="D9858" s="2">
        <v>0</v>
      </c>
      <c r="E9858" s="2">
        <v>0</v>
      </c>
      <c r="F9858" s="2">
        <v>2.4841342269243499E-4</v>
      </c>
    </row>
    <row r="9859" spans="1:6" x14ac:dyDescent="0.25">
      <c r="A9859" s="1" t="str">
        <f t="shared" si="353"/>
        <v>19780</v>
      </c>
      <c r="B9859" s="1" t="str">
        <f>"50214"</f>
        <v>50214</v>
      </c>
      <c r="C9859" s="2">
        <v>6.0344203335827504E-6</v>
      </c>
      <c r="D9859" s="2">
        <v>0</v>
      </c>
      <c r="E9859" s="2">
        <v>0</v>
      </c>
      <c r="F9859" s="2">
        <v>5.2297562672091597E-6</v>
      </c>
    </row>
    <row r="9860" spans="1:6" x14ac:dyDescent="0.25">
      <c r="A9860" s="1" t="str">
        <f t="shared" si="353"/>
        <v>19780</v>
      </c>
      <c r="B9860" s="1" t="str">
        <f>"50947"</f>
        <v>50947</v>
      </c>
      <c r="C9860" s="2">
        <v>0</v>
      </c>
      <c r="D9860" s="2">
        <v>0</v>
      </c>
      <c r="E9860" s="2">
        <v>5.0423557886244398E-5</v>
      </c>
      <c r="F9860" s="2">
        <v>2.6148781336045799E-6</v>
      </c>
    </row>
    <row r="9861" spans="1:6" x14ac:dyDescent="0.25">
      <c r="A9861" s="1" t="str">
        <f t="shared" si="353"/>
        <v>19780</v>
      </c>
      <c r="B9861" s="1" t="str">
        <f>"50243"</f>
        <v>50243</v>
      </c>
      <c r="C9861" s="2">
        <v>2.1422192184218701E-4</v>
      </c>
      <c r="D9861" s="2">
        <v>3.2089336713410101E-5</v>
      </c>
      <c r="E9861" s="2">
        <v>0</v>
      </c>
      <c r="F9861" s="2">
        <v>1.8827122561953E-4</v>
      </c>
    </row>
    <row r="9862" spans="1:6" x14ac:dyDescent="0.25">
      <c r="A9862" s="1" t="str">
        <f t="shared" si="353"/>
        <v>19780</v>
      </c>
      <c r="B9862" s="1" t="str">
        <f>"50038"</f>
        <v>50038</v>
      </c>
      <c r="C9862" s="2">
        <v>4.97839677520577E-4</v>
      </c>
      <c r="D9862" s="2">
        <v>1.9253602028046E-4</v>
      </c>
      <c r="E9862" s="2">
        <v>2.01694231544977E-4</v>
      </c>
      <c r="F9862" s="2">
        <v>4.5760367338080202E-4</v>
      </c>
    </row>
    <row r="9863" spans="1:6" x14ac:dyDescent="0.25">
      <c r="A9863" s="1" t="str">
        <f t="shared" si="353"/>
        <v>19780</v>
      </c>
      <c r="B9863" s="1" t="str">
        <f>"50322"</f>
        <v>50322</v>
      </c>
      <c r="C9863" s="2">
        <v>4.1821550121895201E-2</v>
      </c>
      <c r="D9863" s="2">
        <v>6.6039854956198005E-2</v>
      </c>
      <c r="E9863" s="2">
        <v>3.2170229931423898E-2</v>
      </c>
      <c r="F9863" s="2">
        <v>4.3294537258091001E-2</v>
      </c>
    </row>
    <row r="9864" spans="1:6" x14ac:dyDescent="0.25">
      <c r="A9864" s="1" t="str">
        <f t="shared" si="353"/>
        <v>19780</v>
      </c>
      <c r="B9864" s="1" t="str">
        <f>"50149"</f>
        <v>50149</v>
      </c>
      <c r="C9864" s="2">
        <v>4.52581525018706E-4</v>
      </c>
      <c r="D9864" s="2">
        <v>0</v>
      </c>
      <c r="E9864" s="2">
        <v>0</v>
      </c>
      <c r="F9864" s="2">
        <v>3.9223172004068701E-4</v>
      </c>
    </row>
    <row r="9865" spans="1:6" x14ac:dyDescent="0.25">
      <c r="A9865" s="1" t="str">
        <f t="shared" si="353"/>
        <v>19780</v>
      </c>
      <c r="B9865" s="1" t="str">
        <f>"50226"</f>
        <v>50226</v>
      </c>
      <c r="C9865" s="2">
        <v>9.3805064085543902E-3</v>
      </c>
      <c r="D9865" s="2">
        <v>6.6745820363892996E-3</v>
      </c>
      <c r="E9865" s="2">
        <v>1.71440096813231E-3</v>
      </c>
      <c r="F9865" s="2">
        <v>8.76245662570895E-3</v>
      </c>
    </row>
    <row r="9866" spans="1:6" x14ac:dyDescent="0.25">
      <c r="A9866" s="1" t="str">
        <f t="shared" si="353"/>
        <v>19780</v>
      </c>
      <c r="B9866" s="1" t="str">
        <f>"50021"</f>
        <v>50021</v>
      </c>
      <c r="C9866" s="2">
        <v>4.1411209539211603E-2</v>
      </c>
      <c r="D9866" s="2">
        <v>3.7223630587555699E-2</v>
      </c>
      <c r="E9866" s="2">
        <v>2.44050020169423E-2</v>
      </c>
      <c r="F9866" s="2">
        <v>4.0188062035368802E-2</v>
      </c>
    </row>
    <row r="9867" spans="1:6" x14ac:dyDescent="0.25">
      <c r="A9867" s="1" t="str">
        <f t="shared" si="353"/>
        <v>19780</v>
      </c>
      <c r="B9867" s="1" t="str">
        <f>"50054"</f>
        <v>50054</v>
      </c>
      <c r="C9867" s="2">
        <v>4.4926259383523603E-3</v>
      </c>
      <c r="D9867" s="2">
        <v>3.9469884157494403E-3</v>
      </c>
      <c r="E9867" s="2">
        <v>2.4203307785397301E-3</v>
      </c>
      <c r="F9867" s="2">
        <v>4.3406977017836001E-3</v>
      </c>
    </row>
    <row r="9868" spans="1:6" x14ac:dyDescent="0.25">
      <c r="A9868" s="1" t="str">
        <f t="shared" si="353"/>
        <v>19780</v>
      </c>
      <c r="B9868" s="1" t="str">
        <f>"50001"</f>
        <v>50001</v>
      </c>
      <c r="C9868" s="2">
        <v>8.4783605686837701E-4</v>
      </c>
      <c r="D9868" s="2">
        <v>3.2089336713410101E-5</v>
      </c>
      <c r="E9868" s="2">
        <v>2.01694231544977E-4</v>
      </c>
      <c r="F9868" s="2">
        <v>7.4785514621090998E-4</v>
      </c>
    </row>
    <row r="9869" spans="1:6" x14ac:dyDescent="0.25">
      <c r="A9869" s="1" t="str">
        <f t="shared" si="353"/>
        <v>19780</v>
      </c>
      <c r="B9869" s="1" t="str">
        <f>"50211"</f>
        <v>50211</v>
      </c>
      <c r="C9869" s="2">
        <v>2.0013155036327199E-2</v>
      </c>
      <c r="D9869" s="2">
        <v>6.0007059654076898E-3</v>
      </c>
      <c r="E9869" s="2">
        <v>5.7987091569181104E-3</v>
      </c>
      <c r="F9869" s="2">
        <v>1.8134179856547701E-2</v>
      </c>
    </row>
    <row r="9870" spans="1:6" x14ac:dyDescent="0.25">
      <c r="A9870" s="1" t="str">
        <f t="shared" si="353"/>
        <v>19780</v>
      </c>
      <c r="B9870" s="1" t="str">
        <f>"50220"</f>
        <v>50220</v>
      </c>
      <c r="C9870" s="2">
        <v>1.13175553356344E-2</v>
      </c>
      <c r="D9870" s="2">
        <v>1.10066424926996E-2</v>
      </c>
      <c r="E9870" s="2">
        <v>8.2694634933440907E-3</v>
      </c>
      <c r="F9870" s="2">
        <v>1.11341510928883E-2</v>
      </c>
    </row>
    <row r="9871" spans="1:6" x14ac:dyDescent="0.25">
      <c r="A9871" s="1" t="str">
        <f t="shared" ref="A9871:A9902" si="354">"19780"</f>
        <v>19780</v>
      </c>
      <c r="B9871" s="1" t="str">
        <f>"50251"</f>
        <v>50251</v>
      </c>
      <c r="C9871" s="2">
        <v>1.7107581645707101E-3</v>
      </c>
      <c r="D9871" s="2">
        <v>5.4551872412797204E-4</v>
      </c>
      <c r="E9871" s="2">
        <v>8.0677692617991102E-4</v>
      </c>
      <c r="F9871" s="2">
        <v>1.56892688016275E-3</v>
      </c>
    </row>
    <row r="9872" spans="1:6" x14ac:dyDescent="0.25">
      <c r="A9872" s="1" t="str">
        <f t="shared" si="354"/>
        <v>19780</v>
      </c>
      <c r="B9872" s="1" t="str">
        <f>"50273"</f>
        <v>50273</v>
      </c>
      <c r="C9872" s="2">
        <v>1.22317700161722E-2</v>
      </c>
      <c r="D9872" s="2">
        <v>1.11991785129801E-2</v>
      </c>
      <c r="E9872" s="2">
        <v>7.5131101250504196E-3</v>
      </c>
      <c r="F9872" s="2">
        <v>1.1902925264168E-2</v>
      </c>
    </row>
    <row r="9873" spans="1:6" x14ac:dyDescent="0.25">
      <c r="A9873" s="1" t="str">
        <f t="shared" si="354"/>
        <v>19780</v>
      </c>
      <c r="B9873" s="1" t="str">
        <f>"50309"</f>
        <v>50309</v>
      </c>
      <c r="C9873" s="2">
        <v>2.5220859784209099E-2</v>
      </c>
      <c r="D9873" s="2">
        <v>8.05763244873728E-2</v>
      </c>
      <c r="E9873" s="2">
        <v>2.81867688584106E-2</v>
      </c>
      <c r="F9873" s="2">
        <v>2.9885442188966702E-2</v>
      </c>
    </row>
    <row r="9874" spans="1:6" x14ac:dyDescent="0.25">
      <c r="A9874" s="1" t="str">
        <f t="shared" si="354"/>
        <v>19780</v>
      </c>
      <c r="B9874" s="1" t="str">
        <f>"50161"</f>
        <v>50161</v>
      </c>
      <c r="C9874" s="2">
        <v>6.8490670786164201E-4</v>
      </c>
      <c r="D9874" s="2">
        <v>3.2089336713410101E-5</v>
      </c>
      <c r="E9874" s="2">
        <v>0</v>
      </c>
      <c r="F9874" s="2">
        <v>5.9619221446184504E-4</v>
      </c>
    </row>
    <row r="9875" spans="1:6" x14ac:dyDescent="0.25">
      <c r="A9875" s="1" t="str">
        <f t="shared" si="354"/>
        <v>19780</v>
      </c>
      <c r="B9875" s="1" t="str">
        <f>"50313"</f>
        <v>50313</v>
      </c>
      <c r="C9875" s="2">
        <v>2.2466146901928601E-2</v>
      </c>
      <c r="D9875" s="2">
        <v>4.3641497930237701E-2</v>
      </c>
      <c r="E9875" s="2">
        <v>1.42698668818071E-2</v>
      </c>
      <c r="F9875" s="2">
        <v>2.3766627356332001E-2</v>
      </c>
    </row>
    <row r="9876" spans="1:6" x14ac:dyDescent="0.25">
      <c r="A9876" s="1" t="str">
        <f t="shared" si="354"/>
        <v>19780</v>
      </c>
      <c r="B9876" s="1" t="str">
        <f>"50210"</f>
        <v>50210</v>
      </c>
      <c r="C9876" s="2">
        <v>1.97023823891476E-3</v>
      </c>
      <c r="D9876" s="2">
        <v>2.5671469370728103E-4</v>
      </c>
      <c r="E9876" s="2">
        <v>3.02541347317466E-4</v>
      </c>
      <c r="F9876" s="2">
        <v>1.7441237151142499E-3</v>
      </c>
    </row>
    <row r="9877" spans="1:6" x14ac:dyDescent="0.25">
      <c r="A9877" s="1" t="str">
        <f t="shared" si="354"/>
        <v>19780</v>
      </c>
      <c r="B9877" s="1" t="str">
        <f>"50229"</f>
        <v>50229</v>
      </c>
      <c r="C9877" s="2">
        <v>1.4060199377247801E-3</v>
      </c>
      <c r="D9877" s="2">
        <v>2.8880403042069101E-4</v>
      </c>
      <c r="E9877" s="2">
        <v>3.5296490520371102E-4</v>
      </c>
      <c r="F9877" s="2">
        <v>1.2603712603974E-3</v>
      </c>
    </row>
    <row r="9878" spans="1:6" x14ac:dyDescent="0.25">
      <c r="A9878" s="1" t="str">
        <f t="shared" si="354"/>
        <v>19780</v>
      </c>
      <c r="B9878" s="1" t="str">
        <f>"50316"</f>
        <v>50316</v>
      </c>
      <c r="C9878" s="2">
        <v>2.0426512829177599E-2</v>
      </c>
      <c r="D9878" s="2">
        <v>1.63655617238391E-2</v>
      </c>
      <c r="E9878" s="2">
        <v>1.4874949576442101E-2</v>
      </c>
      <c r="F9878" s="2">
        <v>1.9807701862054699E-2</v>
      </c>
    </row>
    <row r="9879" spans="1:6" x14ac:dyDescent="0.25">
      <c r="A9879" s="1" t="str">
        <f t="shared" si="354"/>
        <v>19780</v>
      </c>
      <c r="B9879" s="1" t="str">
        <f>"50170"</f>
        <v>50170</v>
      </c>
      <c r="C9879" s="2">
        <v>3.8590118033261702E-3</v>
      </c>
      <c r="D9879" s="2">
        <v>4.49250713987741E-4</v>
      </c>
      <c r="E9879" s="2">
        <v>1.46228317870108E-3</v>
      </c>
      <c r="F9879" s="2">
        <v>3.4568688926252499E-3</v>
      </c>
    </row>
    <row r="9880" spans="1:6" x14ac:dyDescent="0.25">
      <c r="A9880" s="1" t="str">
        <f t="shared" si="354"/>
        <v>19780</v>
      </c>
      <c r="B9880" s="1" t="str">
        <f>"50153"</f>
        <v>50153</v>
      </c>
      <c r="C9880" s="2">
        <v>9.5343841270607496E-4</v>
      </c>
      <c r="D9880" s="2">
        <v>3.8507204056092102E-4</v>
      </c>
      <c r="E9880" s="2">
        <v>5.5465913674868799E-4</v>
      </c>
      <c r="F9880" s="2">
        <v>8.8644368729195295E-4</v>
      </c>
    </row>
    <row r="9881" spans="1:6" x14ac:dyDescent="0.25">
      <c r="A9881" s="1" t="str">
        <f t="shared" si="354"/>
        <v>19780</v>
      </c>
      <c r="B9881" s="1" t="str">
        <f>"50063"</f>
        <v>50063</v>
      </c>
      <c r="C9881" s="2">
        <v>3.7081512949866001E-3</v>
      </c>
      <c r="D9881" s="2">
        <v>2.4387895902191702E-3</v>
      </c>
      <c r="E9881" s="2">
        <v>1.3614360629286E-3</v>
      </c>
      <c r="F9881" s="2">
        <v>3.4830176739613001E-3</v>
      </c>
    </row>
    <row r="9882" spans="1:6" x14ac:dyDescent="0.25">
      <c r="A9882" s="1" t="str">
        <f t="shared" si="354"/>
        <v>19780</v>
      </c>
      <c r="B9882" s="1" t="str">
        <f>"50135"</f>
        <v>50135</v>
      </c>
      <c r="C9882" s="2">
        <v>2.3323034589297301E-3</v>
      </c>
      <c r="D9882" s="2">
        <v>4.49250713987741E-4</v>
      </c>
      <c r="E9882" s="2">
        <v>5.5465913674868799E-4</v>
      </c>
      <c r="F9882" s="2">
        <v>2.08667275061645E-3</v>
      </c>
    </row>
    <row r="9883" spans="1:6" x14ac:dyDescent="0.25">
      <c r="A9883" s="1" t="str">
        <f t="shared" si="354"/>
        <v>19780</v>
      </c>
      <c r="B9883" s="1" t="str">
        <f>"50359"</f>
        <v>50359</v>
      </c>
      <c r="C9883" s="2">
        <v>0</v>
      </c>
      <c r="D9883" s="2">
        <v>3.2089336713410101E-5</v>
      </c>
      <c r="E9883" s="2">
        <v>0</v>
      </c>
      <c r="F9883" s="2">
        <v>2.6148781336045799E-6</v>
      </c>
    </row>
    <row r="9884" spans="1:6" x14ac:dyDescent="0.25">
      <c r="A9884" s="1" t="str">
        <f t="shared" si="354"/>
        <v>19780</v>
      </c>
      <c r="B9884" s="1" t="str">
        <f>"50360"</f>
        <v>50360</v>
      </c>
      <c r="C9884" s="2">
        <v>0</v>
      </c>
      <c r="D9884" s="2">
        <v>3.2089336713410101E-5</v>
      </c>
      <c r="E9884" s="2">
        <v>5.0423557886244398E-5</v>
      </c>
      <c r="F9884" s="2">
        <v>5.2297562672091597E-6</v>
      </c>
    </row>
    <row r="9885" spans="1:6" x14ac:dyDescent="0.25">
      <c r="A9885" s="1" t="str">
        <f t="shared" si="354"/>
        <v>19780</v>
      </c>
      <c r="B9885" s="1" t="str">
        <f>"50395"</f>
        <v>50395</v>
      </c>
      <c r="C9885" s="2">
        <v>0</v>
      </c>
      <c r="D9885" s="2">
        <v>1.6044668356705001E-4</v>
      </c>
      <c r="E9885" s="2">
        <v>1.00847115772488E-4</v>
      </c>
      <c r="F9885" s="2">
        <v>1.8304146935232E-5</v>
      </c>
    </row>
    <row r="9886" spans="1:6" x14ac:dyDescent="0.25">
      <c r="A9886" s="1" t="str">
        <f t="shared" si="354"/>
        <v>19780</v>
      </c>
      <c r="B9886" s="1" t="str">
        <f>"50129"</f>
        <v>50129</v>
      </c>
      <c r="C9886" s="2">
        <v>9.0516305003741293E-6</v>
      </c>
      <c r="D9886" s="2">
        <v>0</v>
      </c>
      <c r="E9886" s="2">
        <v>0</v>
      </c>
      <c r="F9886" s="2">
        <v>7.8446344008137502E-6</v>
      </c>
    </row>
    <row r="9887" spans="1:6" x14ac:dyDescent="0.25">
      <c r="A9887" s="1" t="str">
        <f t="shared" si="354"/>
        <v>19780</v>
      </c>
      <c r="B9887" s="1" t="str">
        <f>"50127"</f>
        <v>50127</v>
      </c>
      <c r="C9887" s="2">
        <v>9.0516305003741297E-5</v>
      </c>
      <c r="D9887" s="2">
        <v>1.6044668356705001E-4</v>
      </c>
      <c r="E9887" s="2">
        <v>1.00847115772488E-4</v>
      </c>
      <c r="F9887" s="2">
        <v>9.6750490943369502E-5</v>
      </c>
    </row>
    <row r="9888" spans="1:6" x14ac:dyDescent="0.25">
      <c r="A9888" s="1" t="str">
        <f t="shared" si="354"/>
        <v>19780</v>
      </c>
      <c r="B9888" s="1" t="str">
        <f>"50301"</f>
        <v>50301</v>
      </c>
      <c r="C9888" s="2">
        <v>1.35774457505612E-3</v>
      </c>
      <c r="D9888" s="2">
        <v>7.0275647402368102E-3</v>
      </c>
      <c r="E9888" s="2">
        <v>5.0423557886244398E-5</v>
      </c>
      <c r="F9888" s="2">
        <v>1.7519683495150699E-3</v>
      </c>
    </row>
    <row r="9889" spans="1:6" x14ac:dyDescent="0.25">
      <c r="A9889" s="1" t="str">
        <f t="shared" si="354"/>
        <v>19780</v>
      </c>
      <c r="B9889" s="1" t="str">
        <f>"50137"</f>
        <v>50137</v>
      </c>
      <c r="C9889" s="2">
        <v>1.0560235583769799E-4</v>
      </c>
      <c r="D9889" s="2">
        <v>9.6268010140230405E-5</v>
      </c>
      <c r="E9889" s="2">
        <v>5.0423557886244398E-5</v>
      </c>
      <c r="F9889" s="2">
        <v>1.01980247210578E-4</v>
      </c>
    </row>
    <row r="9890" spans="1:6" x14ac:dyDescent="0.25">
      <c r="A9890" s="1" t="str">
        <f t="shared" si="354"/>
        <v>19780</v>
      </c>
      <c r="B9890" s="1" t="str">
        <f>"50302"</f>
        <v>50302</v>
      </c>
      <c r="C9890" s="2">
        <v>6.0947645369185803E-4</v>
      </c>
      <c r="D9890" s="2">
        <v>1.9895388762314198E-3</v>
      </c>
      <c r="E9890" s="2">
        <v>1.00847115772488E-4</v>
      </c>
      <c r="F9890" s="2">
        <v>6.9555758353881901E-4</v>
      </c>
    </row>
    <row r="9891" spans="1:6" x14ac:dyDescent="0.25">
      <c r="A9891" s="1" t="str">
        <f t="shared" si="354"/>
        <v>19780</v>
      </c>
      <c r="B9891" s="1" t="str">
        <f>"50244"</f>
        <v>50244</v>
      </c>
      <c r="C9891" s="2">
        <v>1.9310145067464801E-4</v>
      </c>
      <c r="D9891" s="2">
        <v>3.2089336713410101E-5</v>
      </c>
      <c r="E9891" s="2">
        <v>0</v>
      </c>
      <c r="F9891" s="2">
        <v>1.6996707868429699E-4</v>
      </c>
    </row>
    <row r="9892" spans="1:6" x14ac:dyDescent="0.25">
      <c r="A9892" s="1" t="str">
        <f t="shared" si="354"/>
        <v>19780</v>
      </c>
      <c r="B9892" s="1" t="str">
        <f>"50276"</f>
        <v>50276</v>
      </c>
      <c r="C9892" s="2">
        <v>2.1874773709237398E-3</v>
      </c>
      <c r="D9892" s="2">
        <v>2.2462535699387001E-4</v>
      </c>
      <c r="E9892" s="2">
        <v>2.01694231544977E-4</v>
      </c>
      <c r="F9892" s="2">
        <v>1.92455030633297E-3</v>
      </c>
    </row>
    <row r="9893" spans="1:6" x14ac:dyDescent="0.25">
      <c r="A9893" s="1" t="str">
        <f t="shared" si="354"/>
        <v>19780</v>
      </c>
      <c r="B9893" s="1" t="str">
        <f>"50317"</f>
        <v>50317</v>
      </c>
      <c r="C9893" s="2">
        <v>4.93374206473726E-2</v>
      </c>
      <c r="D9893" s="2">
        <v>2.9939351153611599E-2</v>
      </c>
      <c r="E9893" s="2">
        <v>1.2101653892698599E-2</v>
      </c>
      <c r="F9893" s="2">
        <v>4.5825739291420302E-2</v>
      </c>
    </row>
    <row r="9894" spans="1:6" x14ac:dyDescent="0.25">
      <c r="A9894" s="1" t="str">
        <f t="shared" si="354"/>
        <v>19780</v>
      </c>
      <c r="B9894" s="1" t="str">
        <f>"50321"</f>
        <v>50321</v>
      </c>
      <c r="C9894" s="2">
        <v>1.2666248280190201E-2</v>
      </c>
      <c r="D9894" s="2">
        <v>1.32849853993517E-2</v>
      </c>
      <c r="E9894" s="2">
        <v>5.8995562726906004E-3</v>
      </c>
      <c r="F9894" s="2">
        <v>1.2365758693816E-2</v>
      </c>
    </row>
    <row r="9895" spans="1:6" x14ac:dyDescent="0.25">
      <c r="A9895" s="1" t="str">
        <f t="shared" si="354"/>
        <v>19780</v>
      </c>
      <c r="B9895" s="1" t="str">
        <f>"50139"</f>
        <v>50139</v>
      </c>
      <c r="C9895" s="2">
        <v>1.2551594293852099E-3</v>
      </c>
      <c r="D9895" s="2">
        <v>1.2835734685364E-4</v>
      </c>
      <c r="E9895" s="2">
        <v>3.02541347317466E-4</v>
      </c>
      <c r="F9895" s="2">
        <v>1.1139380849155499E-3</v>
      </c>
    </row>
    <row r="9896" spans="1:6" x14ac:dyDescent="0.25">
      <c r="A9896" s="1" t="str">
        <f t="shared" si="354"/>
        <v>19780</v>
      </c>
      <c r="B9896" s="1" t="str">
        <f>"50324"</f>
        <v>50324</v>
      </c>
      <c r="C9896" s="2">
        <v>7.1507880952955596E-3</v>
      </c>
      <c r="D9896" s="2">
        <v>8.1186021884927604E-3</v>
      </c>
      <c r="E9896" s="2">
        <v>3.3783783783783699E-3</v>
      </c>
      <c r="F9896" s="2">
        <v>7.0340221793963199E-3</v>
      </c>
    </row>
    <row r="9897" spans="1:6" x14ac:dyDescent="0.25">
      <c r="A9897" s="1" t="str">
        <f t="shared" si="354"/>
        <v>19780</v>
      </c>
      <c r="B9897" s="1" t="str">
        <f>"50261"</f>
        <v>50261</v>
      </c>
      <c r="C9897" s="2">
        <v>3.427550749475E-3</v>
      </c>
      <c r="D9897" s="2">
        <v>1.2835734685364E-4</v>
      </c>
      <c r="E9897" s="2">
        <v>5.5465913674868799E-4</v>
      </c>
      <c r="F9897" s="2">
        <v>3.0097247317788698E-3</v>
      </c>
    </row>
    <row r="9898" spans="1:6" x14ac:dyDescent="0.25">
      <c r="A9898" s="1" t="str">
        <f t="shared" si="354"/>
        <v>19780</v>
      </c>
      <c r="B9898" s="1" t="str">
        <f>"50009"</f>
        <v>50009</v>
      </c>
      <c r="C9898" s="2">
        <v>2.8026865239325099E-2</v>
      </c>
      <c r="D9898" s="2">
        <v>2.07618008535763E-2</v>
      </c>
      <c r="E9898" s="2">
        <v>1.1849536103267401E-2</v>
      </c>
      <c r="F9898" s="2">
        <v>2.65959254968922E-2</v>
      </c>
    </row>
    <row r="9899" spans="1:6" x14ac:dyDescent="0.25">
      <c r="A9899" s="1" t="str">
        <f t="shared" si="354"/>
        <v>19780</v>
      </c>
      <c r="B9899" s="1" t="str">
        <f>"50035"</f>
        <v>50035</v>
      </c>
      <c r="C9899" s="2">
        <v>1.06929928311086E-2</v>
      </c>
      <c r="D9899" s="2">
        <v>3.69027372204216E-3</v>
      </c>
      <c r="E9899" s="2">
        <v>2.7228721258572E-3</v>
      </c>
      <c r="F9899" s="2">
        <v>9.7090425100738106E-3</v>
      </c>
    </row>
    <row r="9900" spans="1:6" x14ac:dyDescent="0.25">
      <c r="A9900" s="1" t="str">
        <f t="shared" si="354"/>
        <v>19780</v>
      </c>
      <c r="B9900" s="1" t="str">
        <f>"50111"</f>
        <v>50111</v>
      </c>
      <c r="C9900" s="2">
        <v>2.3878201259986898E-2</v>
      </c>
      <c r="D9900" s="2">
        <v>2.3938645188203898E-2</v>
      </c>
      <c r="E9900" s="2">
        <v>1.8555869302137901E-2</v>
      </c>
      <c r="F9900" s="2">
        <v>2.36071197901821E-2</v>
      </c>
    </row>
    <row r="9901" spans="1:6" x14ac:dyDescent="0.25">
      <c r="A9901" s="1" t="str">
        <f t="shared" si="354"/>
        <v>19780</v>
      </c>
      <c r="B9901" s="1" t="str">
        <f>"50115"</f>
        <v>50115</v>
      </c>
      <c r="C9901" s="2">
        <v>4.0521132540008199E-3</v>
      </c>
      <c r="D9901" s="2">
        <v>4.9417578538651597E-3</v>
      </c>
      <c r="E9901" s="2">
        <v>2.5211778943122201E-3</v>
      </c>
      <c r="F9901" s="2">
        <v>4.0452164726862902E-3</v>
      </c>
    </row>
    <row r="9902" spans="1:6" x14ac:dyDescent="0.25">
      <c r="A9902" s="1" t="str">
        <f t="shared" si="354"/>
        <v>19780</v>
      </c>
      <c r="B9902" s="1" t="str">
        <f>"50118"</f>
        <v>50118</v>
      </c>
      <c r="C9902" s="2">
        <v>1.1224021820463901E-3</v>
      </c>
      <c r="D9902" s="2">
        <v>2.2462535699387001E-4</v>
      </c>
      <c r="E9902" s="2">
        <v>5.0423557886244398E-5</v>
      </c>
      <c r="F9902" s="2">
        <v>9.9365369076974104E-4</v>
      </c>
    </row>
    <row r="9903" spans="1:6" x14ac:dyDescent="0.25">
      <c r="A9903" s="1" t="str">
        <f t="shared" ref="A9903:A9934" si="355">"19780"</f>
        <v>19780</v>
      </c>
      <c r="B9903" s="1" t="str">
        <f>"50131"</f>
        <v>50131</v>
      </c>
      <c r="C9903" s="2">
        <v>3.3144053682203203E-2</v>
      </c>
      <c r="D9903" s="2">
        <v>3.3918428906074501E-2</v>
      </c>
      <c r="E9903" s="2">
        <v>2.6472367890278299E-2</v>
      </c>
      <c r="F9903" s="2">
        <v>3.2861173505008702E-2</v>
      </c>
    </row>
    <row r="9904" spans="1:6" x14ac:dyDescent="0.25">
      <c r="A9904" s="1" t="str">
        <f t="shared" si="355"/>
        <v>19780</v>
      </c>
      <c r="B9904" s="1" t="str">
        <f>"50072"</f>
        <v>50072</v>
      </c>
      <c r="C9904" s="2">
        <v>3.7262545559873499E-3</v>
      </c>
      <c r="D9904" s="2">
        <v>7.0596540769502197E-4</v>
      </c>
      <c r="E9904" s="2">
        <v>1.1093182734973699E-3</v>
      </c>
      <c r="F9904" s="2">
        <v>3.3444291328802601E-3</v>
      </c>
    </row>
    <row r="9905" spans="1:6" x14ac:dyDescent="0.25">
      <c r="A9905" s="1" t="str">
        <f t="shared" si="355"/>
        <v>19780</v>
      </c>
      <c r="B9905" s="1" t="str">
        <f>"50112"</f>
        <v>50112</v>
      </c>
      <c r="C9905" s="2">
        <v>1.16162591421468E-3</v>
      </c>
      <c r="D9905" s="2">
        <v>1.6044668356705001E-4</v>
      </c>
      <c r="E9905" s="2">
        <v>5.0423557886244399E-4</v>
      </c>
      <c r="F9905" s="2">
        <v>1.0459512534418301E-3</v>
      </c>
    </row>
    <row r="9906" spans="1:6" x14ac:dyDescent="0.25">
      <c r="A9906" s="1" t="str">
        <f t="shared" si="355"/>
        <v>19780</v>
      </c>
      <c r="B9906" s="1" t="str">
        <f>"50124"</f>
        <v>50124</v>
      </c>
      <c r="C9906" s="2">
        <v>7.5430254169784396E-5</v>
      </c>
      <c r="D9906" s="2">
        <v>0</v>
      </c>
      <c r="E9906" s="2">
        <v>0</v>
      </c>
      <c r="F9906" s="2">
        <v>6.5371953340114501E-5</v>
      </c>
    </row>
    <row r="9907" spans="1:6" x14ac:dyDescent="0.25">
      <c r="A9907" s="1" t="str">
        <f t="shared" si="355"/>
        <v>19780</v>
      </c>
      <c r="B9907" s="1" t="str">
        <f>"50252"</f>
        <v>50252</v>
      </c>
      <c r="C9907" s="2">
        <v>1.6896376934031701E-4</v>
      </c>
      <c r="D9907" s="2">
        <v>0</v>
      </c>
      <c r="E9907" s="2">
        <v>0</v>
      </c>
      <c r="F9907" s="2">
        <v>1.46433175481856E-4</v>
      </c>
    </row>
    <row r="9908" spans="1:6" x14ac:dyDescent="0.25">
      <c r="A9908" s="1" t="str">
        <f t="shared" si="355"/>
        <v>19780</v>
      </c>
      <c r="B9908" s="1" t="str">
        <f>"50380"</f>
        <v>50380</v>
      </c>
      <c r="C9908" s="2">
        <v>0</v>
      </c>
      <c r="D9908" s="2">
        <v>0</v>
      </c>
      <c r="E9908" s="2">
        <v>1.00847115772488E-4</v>
      </c>
      <c r="F9908" s="2">
        <v>5.2297562672091597E-6</v>
      </c>
    </row>
    <row r="9909" spans="1:6" x14ac:dyDescent="0.25">
      <c r="A9909" s="1" t="str">
        <f t="shared" si="355"/>
        <v>19780</v>
      </c>
      <c r="B9909" s="1" t="str">
        <f>"50328"</f>
        <v>50328</v>
      </c>
      <c r="C9909" s="2">
        <v>0</v>
      </c>
      <c r="D9909" s="2">
        <v>6.4178673426820202E-5</v>
      </c>
      <c r="E9909" s="2">
        <v>0</v>
      </c>
      <c r="F9909" s="2">
        <v>5.2297562672091597E-6</v>
      </c>
    </row>
    <row r="9910" spans="1:6" x14ac:dyDescent="0.25">
      <c r="A9910" s="1" t="str">
        <f t="shared" si="355"/>
        <v>19780</v>
      </c>
      <c r="B9910" s="1" t="str">
        <f>"50363"</f>
        <v>50363</v>
      </c>
      <c r="C9910" s="2">
        <v>0</v>
      </c>
      <c r="D9910" s="2">
        <v>0</v>
      </c>
      <c r="E9910" s="2">
        <v>5.0423557886244398E-5</v>
      </c>
      <c r="F9910" s="2">
        <v>2.6148781336045799E-6</v>
      </c>
    </row>
    <row r="9911" spans="1:6" x14ac:dyDescent="0.25">
      <c r="A9911" s="1" t="str">
        <f t="shared" si="355"/>
        <v>19780</v>
      </c>
      <c r="B9911" s="1" t="str">
        <f>"50368"</f>
        <v>50368</v>
      </c>
      <c r="C9911" s="2">
        <v>0</v>
      </c>
      <c r="D9911" s="2">
        <v>0</v>
      </c>
      <c r="E9911" s="2">
        <v>5.0423557886244398E-5</v>
      </c>
      <c r="F9911" s="2">
        <v>2.6148781336045799E-6</v>
      </c>
    </row>
    <row r="9912" spans="1:6" x14ac:dyDescent="0.25">
      <c r="A9912" s="1" t="str">
        <f t="shared" si="355"/>
        <v>19780</v>
      </c>
      <c r="B9912" s="1" t="str">
        <f>"50235"</f>
        <v>50235</v>
      </c>
      <c r="C9912" s="2">
        <v>9.0516305003741293E-6</v>
      </c>
      <c r="D9912" s="2">
        <v>0</v>
      </c>
      <c r="E9912" s="2">
        <v>0</v>
      </c>
      <c r="F9912" s="2">
        <v>7.8446344008137502E-6</v>
      </c>
    </row>
    <row r="9913" spans="1:6" x14ac:dyDescent="0.25">
      <c r="A9913" s="1" t="str">
        <f t="shared" si="355"/>
        <v>19780</v>
      </c>
      <c r="B9913" s="1" t="str">
        <f>"50304"</f>
        <v>50304</v>
      </c>
      <c r="C9913" s="2">
        <v>2.3534239300972699E-4</v>
      </c>
      <c r="D9913" s="2">
        <v>1.41193081539004E-3</v>
      </c>
      <c r="E9913" s="2">
        <v>1.00847115772488E-4</v>
      </c>
      <c r="F9913" s="2">
        <v>3.2424488856696801E-4</v>
      </c>
    </row>
    <row r="9914" spans="1:6" x14ac:dyDescent="0.25">
      <c r="A9914" s="1" t="str">
        <f t="shared" si="355"/>
        <v>19780</v>
      </c>
      <c r="B9914" s="1" t="str">
        <f>"50141"</f>
        <v>50141</v>
      </c>
      <c r="C9914" s="2">
        <v>1.2974003717202901E-4</v>
      </c>
      <c r="D9914" s="2">
        <v>3.2089336713410101E-5</v>
      </c>
      <c r="E9914" s="2">
        <v>0</v>
      </c>
      <c r="F9914" s="2">
        <v>1.15054637878601E-4</v>
      </c>
    </row>
    <row r="9915" spans="1:6" x14ac:dyDescent="0.25">
      <c r="A9915" s="1" t="str">
        <f t="shared" si="355"/>
        <v>19780</v>
      </c>
      <c r="B9915" s="1" t="str">
        <f>"50312"</f>
        <v>50312</v>
      </c>
      <c r="C9915" s="2">
        <v>2.46023317000168E-2</v>
      </c>
      <c r="D9915" s="2">
        <v>1.59163110098514E-2</v>
      </c>
      <c r="E9915" s="2">
        <v>2.29427188382412E-2</v>
      </c>
      <c r="F9915" s="2">
        <v>2.3808465406469699E-2</v>
      </c>
    </row>
    <row r="9916" spans="1:6" x14ac:dyDescent="0.25">
      <c r="A9916" s="1" t="str">
        <f t="shared" si="355"/>
        <v>19780</v>
      </c>
      <c r="B9916" s="1" t="str">
        <f>"50216"</f>
        <v>50216</v>
      </c>
      <c r="C9916" s="2">
        <v>5.3977889883897699E-3</v>
      </c>
      <c r="D9916" s="2">
        <v>1.9253602028046E-3</v>
      </c>
      <c r="E9916" s="2">
        <v>1.2101653892698601E-3</v>
      </c>
      <c r="F9916" s="2">
        <v>4.8976667442413796E-3</v>
      </c>
    </row>
    <row r="9917" spans="1:6" x14ac:dyDescent="0.25">
      <c r="A9917" s="1" t="str">
        <f t="shared" si="355"/>
        <v>19780</v>
      </c>
      <c r="B9917" s="1" t="str">
        <f>"50305"</f>
        <v>50305</v>
      </c>
      <c r="C9917" s="2">
        <v>1.7017065340703299E-3</v>
      </c>
      <c r="D9917" s="2">
        <v>7.5089047909379699E-3</v>
      </c>
      <c r="E9917" s="2">
        <v>1.00847115772488E-4</v>
      </c>
      <c r="F9917" s="2">
        <v>2.0919025068836601E-3</v>
      </c>
    </row>
    <row r="9918" spans="1:6" x14ac:dyDescent="0.25">
      <c r="A9918" s="1" t="str">
        <f t="shared" si="355"/>
        <v>19780</v>
      </c>
      <c r="B9918" s="1" t="str">
        <f>"50156"</f>
        <v>50156</v>
      </c>
      <c r="C9918" s="2">
        <v>7.5128533153105302E-4</v>
      </c>
      <c r="D9918" s="2">
        <v>6.4178673426820202E-5</v>
      </c>
      <c r="E9918" s="2">
        <v>0</v>
      </c>
      <c r="F9918" s="2">
        <v>6.5633441153475003E-4</v>
      </c>
    </row>
    <row r="9919" spans="1:6" x14ac:dyDescent="0.25">
      <c r="A9919" s="1" t="str">
        <f t="shared" si="355"/>
        <v>19780</v>
      </c>
      <c r="B9919" s="1" t="str">
        <f>"50858"</f>
        <v>50858</v>
      </c>
      <c r="C9919" s="2">
        <v>6.0344203335827504E-6</v>
      </c>
      <c r="D9919" s="2">
        <v>0</v>
      </c>
      <c r="E9919" s="2">
        <v>0</v>
      </c>
      <c r="F9919" s="2">
        <v>5.2297562672091597E-6</v>
      </c>
    </row>
    <row r="9920" spans="1:6" x14ac:dyDescent="0.25">
      <c r="A9920" s="1" t="str">
        <f t="shared" si="355"/>
        <v>19780</v>
      </c>
      <c r="B9920" s="1" t="str">
        <f>"50392"</f>
        <v>50392</v>
      </c>
      <c r="C9920" s="2">
        <v>0</v>
      </c>
      <c r="D9920" s="2">
        <v>1.9253602028046E-4</v>
      </c>
      <c r="E9920" s="2">
        <v>0</v>
      </c>
      <c r="F9920" s="2">
        <v>1.56892688016275E-5</v>
      </c>
    </row>
    <row r="9921" spans="1:6" x14ac:dyDescent="0.25">
      <c r="A9921" s="1" t="str">
        <f t="shared" si="355"/>
        <v>19780</v>
      </c>
      <c r="B9921" s="1" t="str">
        <f>"50265"</f>
        <v>50265</v>
      </c>
      <c r="C9921" s="2">
        <v>4.6917618093605902E-2</v>
      </c>
      <c r="D9921" s="2">
        <v>4.9513846548791797E-2</v>
      </c>
      <c r="E9921" s="2">
        <v>3.9279951593384398E-2</v>
      </c>
      <c r="F9921" s="2">
        <v>4.6733102003781099E-2</v>
      </c>
    </row>
    <row r="9922" spans="1:6" x14ac:dyDescent="0.25">
      <c r="A9922" s="1" t="str">
        <f t="shared" si="355"/>
        <v>19780</v>
      </c>
      <c r="B9922" s="1" t="str">
        <f>"50315"</f>
        <v>50315</v>
      </c>
      <c r="C9922" s="2">
        <v>5.3413671582707697E-2</v>
      </c>
      <c r="D9922" s="2">
        <v>2.7661008246959499E-2</v>
      </c>
      <c r="E9922" s="2">
        <v>2.2690601048809999E-2</v>
      </c>
      <c r="F9922" s="2">
        <v>4.9721907710491099E-2</v>
      </c>
    </row>
    <row r="9923" spans="1:6" x14ac:dyDescent="0.25">
      <c r="A9923" s="1" t="str">
        <f t="shared" si="355"/>
        <v>19780</v>
      </c>
      <c r="B9923" s="1" t="str">
        <f>"50237"</f>
        <v>50237</v>
      </c>
      <c r="C9923" s="2">
        <v>3.6327210408168102E-3</v>
      </c>
      <c r="D9923" s="2">
        <v>4.1716137727433101E-4</v>
      </c>
      <c r="E9923" s="2">
        <v>3.5296490520371102E-4</v>
      </c>
      <c r="F9923" s="2">
        <v>3.2006108355320099E-3</v>
      </c>
    </row>
    <row r="9924" spans="1:6" x14ac:dyDescent="0.25">
      <c r="A9924" s="1" t="str">
        <f t="shared" si="355"/>
        <v>19780</v>
      </c>
      <c r="B9924" s="1" t="str">
        <f>"50166"</f>
        <v>50166</v>
      </c>
      <c r="C9924" s="2">
        <v>2.0698061744188799E-3</v>
      </c>
      <c r="D9924" s="2">
        <v>3.2089336713410101E-5</v>
      </c>
      <c r="E9924" s="2">
        <v>3.5296490520371102E-4</v>
      </c>
      <c r="F9924" s="2">
        <v>1.8147254247215801E-3</v>
      </c>
    </row>
    <row r="9925" spans="1:6" x14ac:dyDescent="0.25">
      <c r="A9925" s="1" t="str">
        <f t="shared" si="355"/>
        <v>19780</v>
      </c>
      <c r="B9925" s="1" t="str">
        <f>"50003"</f>
        <v>50003</v>
      </c>
      <c r="C9925" s="2">
        <v>1.2156339762002401E-2</v>
      </c>
      <c r="D9925" s="2">
        <v>9.30590764688893E-3</v>
      </c>
      <c r="E9925" s="2">
        <v>5.1936264622831699E-3</v>
      </c>
      <c r="F9925" s="2">
        <v>1.1562991106799401E-2</v>
      </c>
    </row>
    <row r="9926" spans="1:6" x14ac:dyDescent="0.25">
      <c r="A9926" s="1" t="str">
        <f t="shared" si="355"/>
        <v>19780</v>
      </c>
      <c r="B9926" s="1" t="str">
        <f>"50109"</f>
        <v>50109</v>
      </c>
      <c r="C9926" s="2">
        <v>4.45943662651765E-3</v>
      </c>
      <c r="D9926" s="2">
        <v>9.9476943811571401E-4</v>
      </c>
      <c r="E9926" s="2">
        <v>1.31101250504235E-3</v>
      </c>
      <c r="F9926" s="2">
        <v>4.0138379350830302E-3</v>
      </c>
    </row>
    <row r="9927" spans="1:6" x14ac:dyDescent="0.25">
      <c r="A9927" s="1" t="str">
        <f t="shared" si="355"/>
        <v>19780</v>
      </c>
      <c r="B9927" s="1" t="str">
        <f>"50318"</f>
        <v>50318</v>
      </c>
      <c r="C9927" s="2">
        <v>1.9913587100823E-4</v>
      </c>
      <c r="D9927" s="2">
        <v>9.6268010140230405E-5</v>
      </c>
      <c r="E9927" s="2">
        <v>1.00847115772488E-4</v>
      </c>
      <c r="F9927" s="2">
        <v>1.8565634748592499E-4</v>
      </c>
    </row>
    <row r="9928" spans="1:6" x14ac:dyDescent="0.25">
      <c r="A9928" s="1" t="str">
        <f t="shared" si="355"/>
        <v>19780</v>
      </c>
      <c r="B9928" s="1" t="str">
        <f>"50026"</f>
        <v>50026</v>
      </c>
      <c r="C9928" s="2">
        <v>6.8792391802843399E-4</v>
      </c>
      <c r="D9928" s="2">
        <v>2.2462535699387001E-4</v>
      </c>
      <c r="E9928" s="2">
        <v>1.51270673658733E-4</v>
      </c>
      <c r="F9928" s="2">
        <v>6.2234099579788998E-4</v>
      </c>
    </row>
    <row r="9929" spans="1:6" x14ac:dyDescent="0.25">
      <c r="A9929" s="1" t="str">
        <f t="shared" si="355"/>
        <v>19780</v>
      </c>
      <c r="B9929" s="1" t="str">
        <f>"50213"</f>
        <v>50213</v>
      </c>
      <c r="C9929" s="2">
        <v>9.0516305003741293E-6</v>
      </c>
      <c r="D9929" s="2">
        <v>0</v>
      </c>
      <c r="E9929" s="2">
        <v>0</v>
      </c>
      <c r="F9929" s="2">
        <v>7.8446344008137502E-6</v>
      </c>
    </row>
    <row r="9930" spans="1:6" x14ac:dyDescent="0.25">
      <c r="A9930" s="1" t="str">
        <f t="shared" si="355"/>
        <v>19780</v>
      </c>
      <c r="B9930" s="1" t="str">
        <f>"50033"</f>
        <v>50033</v>
      </c>
      <c r="C9930" s="2">
        <v>1.02585145670906E-4</v>
      </c>
      <c r="D9930" s="2">
        <v>1.6044668356705001E-4</v>
      </c>
      <c r="E9930" s="2">
        <v>1.00847115772488E-4</v>
      </c>
      <c r="F9930" s="2">
        <v>1.07210003477787E-4</v>
      </c>
    </row>
    <row r="9931" spans="1:6" x14ac:dyDescent="0.25">
      <c r="A9931" s="1" t="str">
        <f t="shared" si="355"/>
        <v>19780</v>
      </c>
      <c r="B9931" s="1" t="str">
        <f>"50303"</f>
        <v>50303</v>
      </c>
      <c r="C9931" s="2">
        <v>1.2672282700523701E-4</v>
      </c>
      <c r="D9931" s="2">
        <v>2.5350576003594001E-3</v>
      </c>
      <c r="E9931" s="2">
        <v>1.00847115772488E-4</v>
      </c>
      <c r="F9931" s="2">
        <v>3.2163001043336299E-4</v>
      </c>
    </row>
    <row r="9932" spans="1:6" x14ac:dyDescent="0.25">
      <c r="A9932" s="1" t="str">
        <f t="shared" si="355"/>
        <v>19780</v>
      </c>
      <c r="B9932" s="1" t="str">
        <f>"50146"</f>
        <v>50146</v>
      </c>
      <c r="C9932" s="2">
        <v>6.6680344686089398E-4</v>
      </c>
      <c r="D9932" s="2">
        <v>1.9253602028046E-4</v>
      </c>
      <c r="E9932" s="2">
        <v>1.00847115772488E-4</v>
      </c>
      <c r="F9932" s="2">
        <v>5.9880709259544902E-4</v>
      </c>
    </row>
    <row r="9933" spans="1:6" x14ac:dyDescent="0.25">
      <c r="A9933" s="1" t="str">
        <f t="shared" si="355"/>
        <v>19780</v>
      </c>
      <c r="B9933" s="1" t="str">
        <f>"50222"</f>
        <v>50222</v>
      </c>
      <c r="C9933" s="2">
        <v>7.3318207053030401E-4</v>
      </c>
      <c r="D9933" s="2">
        <v>3.2089336713410101E-5</v>
      </c>
      <c r="E9933" s="2">
        <v>1.51270673658733E-4</v>
      </c>
      <c r="F9933" s="2">
        <v>6.4587489900033203E-4</v>
      </c>
    </row>
    <row r="9934" spans="1:6" x14ac:dyDescent="0.25">
      <c r="A9934" s="1" t="str">
        <f t="shared" si="355"/>
        <v>19780</v>
      </c>
      <c r="B9934" s="1" t="str">
        <f>"50160"</f>
        <v>50160</v>
      </c>
      <c r="C9934" s="2">
        <v>5.8232156219073495E-4</v>
      </c>
      <c r="D9934" s="2">
        <v>3.2089336713410101E-5</v>
      </c>
      <c r="E9934" s="2">
        <v>6.5550625252117696E-4</v>
      </c>
      <c r="F9934" s="2">
        <v>5.4127977365614802E-4</v>
      </c>
    </row>
    <row r="9935" spans="1:6" x14ac:dyDescent="0.25">
      <c r="A9935" s="1" t="str">
        <f t="shared" ref="A9935:A9941" si="356">"19780"</f>
        <v>19780</v>
      </c>
      <c r="B9935" s="1" t="str">
        <f>"50128"</f>
        <v>50128</v>
      </c>
      <c r="C9935" s="2">
        <v>4.8577083685341101E-4</v>
      </c>
      <c r="D9935" s="2">
        <v>1.6044668356705001E-4</v>
      </c>
      <c r="E9935" s="2">
        <v>2.52117789431222E-4</v>
      </c>
      <c r="F9935" s="2">
        <v>4.4714416084638299E-4</v>
      </c>
    </row>
    <row r="9936" spans="1:6" x14ac:dyDescent="0.25">
      <c r="A9936" s="1" t="str">
        <f t="shared" si="356"/>
        <v>19780</v>
      </c>
      <c r="B9936" s="1" t="str">
        <f>"50061"</f>
        <v>50061</v>
      </c>
      <c r="C9936" s="2">
        <v>2.4861811774360902E-3</v>
      </c>
      <c r="D9936" s="2">
        <v>7.0596540769502197E-4</v>
      </c>
      <c r="E9936" s="2">
        <v>5.0423557886244398E-5</v>
      </c>
      <c r="F9936" s="2">
        <v>2.2148017791630802E-3</v>
      </c>
    </row>
    <row r="9937" spans="1:6" x14ac:dyDescent="0.25">
      <c r="A9937" s="1" t="str">
        <f t="shared" si="356"/>
        <v>19780</v>
      </c>
      <c r="B9937" s="1" t="str">
        <f>"50233"</f>
        <v>50233</v>
      </c>
      <c r="C9937" s="2">
        <v>2.3564411402640598E-3</v>
      </c>
      <c r="D9937" s="2">
        <v>7.7014408112184303E-4</v>
      </c>
      <c r="E9937" s="2">
        <v>6.5550625252117696E-4</v>
      </c>
      <c r="F9937" s="2">
        <v>2.1389703132885401E-3</v>
      </c>
    </row>
    <row r="9938" spans="1:6" x14ac:dyDescent="0.25">
      <c r="A9938" s="1" t="str">
        <f t="shared" si="356"/>
        <v>19780</v>
      </c>
      <c r="B9938" s="1" t="str">
        <f>"50266"</f>
        <v>50266</v>
      </c>
      <c r="C9938" s="2">
        <v>5.7661903497550002E-2</v>
      </c>
      <c r="D9938" s="2">
        <v>8.2373327343323796E-2</v>
      </c>
      <c r="E9938" s="2">
        <v>6.9887051230334798E-2</v>
      </c>
      <c r="F9938" s="2">
        <v>6.0309549273456102E-2</v>
      </c>
    </row>
    <row r="9939" spans="1:6" x14ac:dyDescent="0.25">
      <c r="A9939" s="1" t="str">
        <f t="shared" si="356"/>
        <v>19780</v>
      </c>
      <c r="B9939" s="1" t="str">
        <f>"50314"</f>
        <v>50314</v>
      </c>
      <c r="C9939" s="2">
        <v>1.5955007361992801E-2</v>
      </c>
      <c r="D9939" s="2">
        <v>1.6140936366845202E-2</v>
      </c>
      <c r="E9939" s="2">
        <v>2.5262202501008399E-2</v>
      </c>
      <c r="F9939" s="2">
        <v>1.6452813216640001E-2</v>
      </c>
    </row>
    <row r="9940" spans="1:6" x14ac:dyDescent="0.25">
      <c r="A9940" s="1" t="str">
        <f t="shared" si="356"/>
        <v>19780</v>
      </c>
      <c r="B9940" s="1" t="str">
        <f>"50155"</f>
        <v>50155</v>
      </c>
      <c r="C9940" s="2">
        <v>3.6508243018175602E-4</v>
      </c>
      <c r="D9940" s="2">
        <v>3.8507204056092102E-4</v>
      </c>
      <c r="E9940" s="2">
        <v>1.00847115772488E-4</v>
      </c>
      <c r="F9940" s="2">
        <v>3.5300854803661802E-4</v>
      </c>
    </row>
    <row r="9941" spans="1:6" x14ac:dyDescent="0.25">
      <c r="A9941" s="1" t="str">
        <f t="shared" si="356"/>
        <v>19780</v>
      </c>
      <c r="B9941" s="1" t="str">
        <f>"50020"</f>
        <v>50020</v>
      </c>
      <c r="C9941" s="2">
        <v>9.0516305003741293E-6</v>
      </c>
      <c r="D9941" s="2">
        <v>0</v>
      </c>
      <c r="E9941" s="2">
        <v>0</v>
      </c>
      <c r="F9941" s="2">
        <v>7.8446344008137502E-6</v>
      </c>
    </row>
    <row r="9942" spans="1:6" x14ac:dyDescent="0.25">
      <c r="A9942" s="1" t="str">
        <f t="shared" ref="A9942:A9973" si="357">"19804"</f>
        <v>19804</v>
      </c>
      <c r="B9942" s="1" t="str">
        <f>"48227"</f>
        <v>48227</v>
      </c>
      <c r="C9942" s="2">
        <v>0</v>
      </c>
      <c r="D9942" s="2">
        <v>2.7777777777777701E-3</v>
      </c>
      <c r="E9942" s="2">
        <v>1.5873015873015799E-2</v>
      </c>
      <c r="F9942" s="2">
        <v>9.2850510677808696E-4</v>
      </c>
    </row>
    <row r="9943" spans="1:6" x14ac:dyDescent="0.25">
      <c r="A9943" s="1" t="str">
        <f t="shared" si="357"/>
        <v>19804</v>
      </c>
      <c r="B9943" s="1" t="str">
        <f>"48239"</f>
        <v>48239</v>
      </c>
      <c r="C9943" s="2">
        <v>4.0849673202614299E-4</v>
      </c>
      <c r="D9943" s="2">
        <v>0</v>
      </c>
      <c r="E9943" s="2">
        <v>0</v>
      </c>
      <c r="F9943" s="2">
        <v>3.0950170225936199E-4</v>
      </c>
    </row>
    <row r="9944" spans="1:6" x14ac:dyDescent="0.25">
      <c r="A9944" s="1" t="str">
        <f t="shared" si="357"/>
        <v>19804</v>
      </c>
      <c r="B9944" s="1" t="str">
        <f>"48207"</f>
        <v>48207</v>
      </c>
      <c r="C9944" s="2">
        <v>4.0849673202614299E-4</v>
      </c>
      <c r="D9944" s="2">
        <v>2.7777777777777701E-3</v>
      </c>
      <c r="E9944" s="2">
        <v>0</v>
      </c>
      <c r="F9944" s="2">
        <v>9.2850510677808696E-4</v>
      </c>
    </row>
    <row r="9945" spans="1:6" x14ac:dyDescent="0.25">
      <c r="A9945" s="1" t="str">
        <f t="shared" si="357"/>
        <v>19804</v>
      </c>
      <c r="B9945" s="1" t="str">
        <f>"48188"</f>
        <v>48188</v>
      </c>
      <c r="C9945" s="2">
        <v>3.8807189542483599E-2</v>
      </c>
      <c r="D9945" s="2">
        <v>1.3888888888888801E-3</v>
      </c>
      <c r="E9945" s="2">
        <v>1.5873015873015799E-2</v>
      </c>
      <c r="F9945" s="2">
        <v>3.00216651191581E-2</v>
      </c>
    </row>
    <row r="9946" spans="1:6" x14ac:dyDescent="0.25">
      <c r="A9946" s="1" t="str">
        <f t="shared" si="357"/>
        <v>19804</v>
      </c>
      <c r="B9946" s="1" t="str">
        <f>"48126"</f>
        <v>48126</v>
      </c>
      <c r="C9946" s="2">
        <v>0.36274509803921501</v>
      </c>
      <c r="D9946" s="2">
        <v>2.7777777777777701E-3</v>
      </c>
      <c r="E9946" s="2">
        <v>3.1746031746031703E-2</v>
      </c>
      <c r="F9946" s="2">
        <v>0.276075518415351</v>
      </c>
    </row>
    <row r="9947" spans="1:6" x14ac:dyDescent="0.25">
      <c r="A9947" s="1" t="str">
        <f t="shared" si="357"/>
        <v>19804</v>
      </c>
      <c r="B9947" s="1" t="str">
        <f>"48150"</f>
        <v>48150</v>
      </c>
      <c r="C9947" s="2">
        <v>4.0849673202614299E-4</v>
      </c>
      <c r="D9947" s="2">
        <v>5.5555555555555497E-3</v>
      </c>
      <c r="E9947" s="2">
        <v>1.5873015873015799E-2</v>
      </c>
      <c r="F9947" s="2">
        <v>1.85701021355617E-3</v>
      </c>
    </row>
    <row r="9948" spans="1:6" x14ac:dyDescent="0.25">
      <c r="A9948" s="1" t="str">
        <f t="shared" si="357"/>
        <v>19804</v>
      </c>
      <c r="B9948" s="1" t="str">
        <f>"48217"</f>
        <v>48217</v>
      </c>
      <c r="C9948" s="2">
        <v>0</v>
      </c>
      <c r="D9948" s="2">
        <v>0</v>
      </c>
      <c r="E9948" s="2">
        <v>1.5873015873015799E-2</v>
      </c>
      <c r="F9948" s="2">
        <v>3.0950170225936199E-4</v>
      </c>
    </row>
    <row r="9949" spans="1:6" x14ac:dyDescent="0.25">
      <c r="A9949" s="1" t="str">
        <f t="shared" si="357"/>
        <v>19804</v>
      </c>
      <c r="B9949" s="1" t="str">
        <f>"48180"</f>
        <v>48180</v>
      </c>
      <c r="C9949" s="2">
        <v>6.9444444444444397E-3</v>
      </c>
      <c r="D9949" s="2">
        <v>1.38888888888888E-2</v>
      </c>
      <c r="E9949" s="2">
        <v>1.5873015873015799E-2</v>
      </c>
      <c r="F9949" s="2">
        <v>8.6660476632621393E-3</v>
      </c>
    </row>
    <row r="9950" spans="1:6" x14ac:dyDescent="0.25">
      <c r="A9950" s="1" t="str">
        <f t="shared" si="357"/>
        <v>19804</v>
      </c>
      <c r="B9950" s="1" t="str">
        <f>"48221"</f>
        <v>48221</v>
      </c>
      <c r="C9950" s="2">
        <v>0</v>
      </c>
      <c r="D9950" s="2">
        <v>2.7777777777777701E-3</v>
      </c>
      <c r="E9950" s="2">
        <v>1.5873015873015799E-2</v>
      </c>
      <c r="F9950" s="2">
        <v>9.2850510677808696E-4</v>
      </c>
    </row>
    <row r="9951" spans="1:6" x14ac:dyDescent="0.25">
      <c r="A9951" s="1" t="str">
        <f t="shared" si="357"/>
        <v>19804</v>
      </c>
      <c r="B9951" s="1" t="str">
        <f>"48234"</f>
        <v>48234</v>
      </c>
      <c r="C9951" s="2">
        <v>4.0849673202614299E-4</v>
      </c>
      <c r="D9951" s="2">
        <v>0</v>
      </c>
      <c r="E9951" s="2">
        <v>0</v>
      </c>
      <c r="F9951" s="2">
        <v>3.0950170225936199E-4</v>
      </c>
    </row>
    <row r="9952" spans="1:6" x14ac:dyDescent="0.25">
      <c r="A9952" s="1" t="str">
        <f t="shared" si="357"/>
        <v>19804</v>
      </c>
      <c r="B9952" s="1" t="str">
        <f>"48152"</f>
        <v>48152</v>
      </c>
      <c r="C9952" s="2">
        <v>0</v>
      </c>
      <c r="D9952" s="2">
        <v>1.3888888888888801E-3</v>
      </c>
      <c r="E9952" s="2">
        <v>0</v>
      </c>
      <c r="F9952" s="2">
        <v>3.0950170225936199E-4</v>
      </c>
    </row>
    <row r="9953" spans="1:6" x14ac:dyDescent="0.25">
      <c r="A9953" s="1" t="str">
        <f t="shared" si="357"/>
        <v>19804</v>
      </c>
      <c r="B9953" s="1" t="str">
        <f>"48164"</f>
        <v>48164</v>
      </c>
      <c r="C9953" s="2">
        <v>4.4934640522875796E-3</v>
      </c>
      <c r="D9953" s="2">
        <v>0</v>
      </c>
      <c r="E9953" s="2">
        <v>1.5873015873015799E-2</v>
      </c>
      <c r="F9953" s="2">
        <v>3.71402042711234E-3</v>
      </c>
    </row>
    <row r="9954" spans="1:6" x14ac:dyDescent="0.25">
      <c r="A9954" s="1" t="str">
        <f t="shared" si="357"/>
        <v>19804</v>
      </c>
      <c r="B9954" s="1" t="str">
        <f>"48201"</f>
        <v>48201</v>
      </c>
      <c r="C9954" s="2">
        <v>6.4542483660130698E-2</v>
      </c>
      <c r="D9954" s="2">
        <v>1.3888888888888801E-3</v>
      </c>
      <c r="E9954" s="2">
        <v>0.12698412698412601</v>
      </c>
      <c r="F9954" s="2">
        <v>5.1686784277313498E-2</v>
      </c>
    </row>
    <row r="9955" spans="1:6" x14ac:dyDescent="0.25">
      <c r="A9955" s="1" t="str">
        <f t="shared" si="357"/>
        <v>19804</v>
      </c>
      <c r="B9955" s="1" t="str">
        <f>"48167"</f>
        <v>48167</v>
      </c>
      <c r="C9955" s="2">
        <v>8.1699346405228696E-4</v>
      </c>
      <c r="D9955" s="2">
        <v>5.2777777777777701E-2</v>
      </c>
      <c r="E9955" s="2">
        <v>4.7619047619047603E-2</v>
      </c>
      <c r="F9955" s="2">
        <v>1.33085731971525E-2</v>
      </c>
    </row>
    <row r="9956" spans="1:6" x14ac:dyDescent="0.25">
      <c r="A9956" s="1" t="str">
        <f t="shared" si="357"/>
        <v>19804</v>
      </c>
      <c r="B9956" s="1" t="str">
        <f>"48125"</f>
        <v>48125</v>
      </c>
      <c r="C9956" s="2">
        <v>0</v>
      </c>
      <c r="D9956" s="2">
        <v>0</v>
      </c>
      <c r="E9956" s="2">
        <v>1.5873015873015799E-2</v>
      </c>
      <c r="F9956" s="2">
        <v>3.0950170225936199E-4</v>
      </c>
    </row>
    <row r="9957" spans="1:6" x14ac:dyDescent="0.25">
      <c r="A9957" s="1" t="str">
        <f t="shared" si="357"/>
        <v>19804</v>
      </c>
      <c r="B9957" s="1" t="str">
        <f>"48168"</f>
        <v>48168</v>
      </c>
      <c r="C9957" s="2">
        <v>1.26633986928104E-2</v>
      </c>
      <c r="D9957" s="2">
        <v>0</v>
      </c>
      <c r="E9957" s="2">
        <v>1.5873015873015799E-2</v>
      </c>
      <c r="F9957" s="2">
        <v>9.9040544722995907E-3</v>
      </c>
    </row>
    <row r="9958" spans="1:6" x14ac:dyDescent="0.25">
      <c r="A9958" s="1" t="str">
        <f t="shared" si="357"/>
        <v>19804</v>
      </c>
      <c r="B9958" s="1" t="str">
        <f>"48195"</f>
        <v>48195</v>
      </c>
      <c r="C9958" s="2">
        <v>4.9019607843137202E-3</v>
      </c>
      <c r="D9958" s="2">
        <v>2.7777777777777701E-3</v>
      </c>
      <c r="E9958" s="2">
        <v>0</v>
      </c>
      <c r="F9958" s="2">
        <v>4.3330238316310696E-3</v>
      </c>
    </row>
    <row r="9959" spans="1:6" x14ac:dyDescent="0.25">
      <c r="A9959" s="1" t="str">
        <f t="shared" si="357"/>
        <v>19804</v>
      </c>
      <c r="B9959" s="1" t="str">
        <f>"48238"</f>
        <v>48238</v>
      </c>
      <c r="C9959" s="2">
        <v>4.0849673202614299E-4</v>
      </c>
      <c r="D9959" s="2">
        <v>0</v>
      </c>
      <c r="E9959" s="2">
        <v>0</v>
      </c>
      <c r="F9959" s="2">
        <v>3.0950170225936199E-4</v>
      </c>
    </row>
    <row r="9960" spans="1:6" x14ac:dyDescent="0.25">
      <c r="A9960" s="1" t="str">
        <f t="shared" si="357"/>
        <v>19804</v>
      </c>
      <c r="B9960" s="1" t="str">
        <f>"48138"</f>
        <v>48138</v>
      </c>
      <c r="C9960" s="2">
        <v>0</v>
      </c>
      <c r="D9960" s="2">
        <v>1.3888888888888801E-3</v>
      </c>
      <c r="E9960" s="2">
        <v>0</v>
      </c>
      <c r="F9960" s="2">
        <v>3.0950170225936199E-4</v>
      </c>
    </row>
    <row r="9961" spans="1:6" x14ac:dyDescent="0.25">
      <c r="A9961" s="1" t="str">
        <f t="shared" si="357"/>
        <v>19804</v>
      </c>
      <c r="B9961" s="1" t="str">
        <f>"48127"</f>
        <v>48127</v>
      </c>
      <c r="C9961" s="2">
        <v>4.0849673202614299E-4</v>
      </c>
      <c r="D9961" s="2">
        <v>1.2500000000000001E-2</v>
      </c>
      <c r="E9961" s="2">
        <v>3.1746031746031703E-2</v>
      </c>
      <c r="F9961" s="2">
        <v>3.71402042711234E-3</v>
      </c>
    </row>
    <row r="9962" spans="1:6" x14ac:dyDescent="0.25">
      <c r="A9962" s="1" t="str">
        <f t="shared" si="357"/>
        <v>19804</v>
      </c>
      <c r="B9962" s="1" t="str">
        <f>"48101"</f>
        <v>48101</v>
      </c>
      <c r="C9962" s="2">
        <v>3.6764705882352902E-3</v>
      </c>
      <c r="D9962" s="2">
        <v>6.9444444444444397E-3</v>
      </c>
      <c r="E9962" s="2">
        <v>0</v>
      </c>
      <c r="F9962" s="2">
        <v>4.3330238316310696E-3</v>
      </c>
    </row>
    <row r="9963" spans="1:6" x14ac:dyDescent="0.25">
      <c r="A9963" s="1" t="str">
        <f t="shared" si="357"/>
        <v>19804</v>
      </c>
      <c r="B9963" s="1" t="str">
        <f>"48187"</f>
        <v>48187</v>
      </c>
      <c r="C9963" s="2">
        <v>6.25E-2</v>
      </c>
      <c r="D9963" s="2">
        <v>1.38888888888888E-2</v>
      </c>
      <c r="E9963" s="2">
        <v>0</v>
      </c>
      <c r="F9963" s="2">
        <v>5.0448777468276002E-2</v>
      </c>
    </row>
    <row r="9964" spans="1:6" x14ac:dyDescent="0.25">
      <c r="A9964" s="1" t="str">
        <f t="shared" si="357"/>
        <v>19804</v>
      </c>
      <c r="B9964" s="1" t="str">
        <f>"48225"</f>
        <v>48225</v>
      </c>
      <c r="C9964" s="2">
        <v>8.1699346405228696E-4</v>
      </c>
      <c r="D9964" s="2">
        <v>1.38888888888888E-2</v>
      </c>
      <c r="E9964" s="2">
        <v>0</v>
      </c>
      <c r="F9964" s="2">
        <v>3.71402042711234E-3</v>
      </c>
    </row>
    <row r="9965" spans="1:6" x14ac:dyDescent="0.25">
      <c r="A9965" s="1" t="str">
        <f t="shared" si="357"/>
        <v>19804</v>
      </c>
      <c r="B9965" s="1" t="str">
        <f>"48226"</f>
        <v>48226</v>
      </c>
      <c r="C9965" s="2">
        <v>0.147875816993464</v>
      </c>
      <c r="D9965" s="2">
        <v>6.6666666666666596E-2</v>
      </c>
      <c r="E9965" s="2">
        <v>0.12698412698412601</v>
      </c>
      <c r="F9965" s="2">
        <v>0.12937171154441299</v>
      </c>
    </row>
    <row r="9966" spans="1:6" x14ac:dyDescent="0.25">
      <c r="A9966" s="1" t="str">
        <f t="shared" si="357"/>
        <v>19804</v>
      </c>
      <c r="B9966" s="1" t="str">
        <f>"48185"</f>
        <v>48185</v>
      </c>
      <c r="C9966" s="2">
        <v>8.1699346405228696E-4</v>
      </c>
      <c r="D9966" s="2">
        <v>5.5555555555555497E-3</v>
      </c>
      <c r="E9966" s="2">
        <v>0</v>
      </c>
      <c r="F9966" s="2">
        <v>1.85701021355617E-3</v>
      </c>
    </row>
    <row r="9967" spans="1:6" x14ac:dyDescent="0.25">
      <c r="A9967" s="1" t="str">
        <f t="shared" si="357"/>
        <v>19804</v>
      </c>
      <c r="B9967" s="1" t="str">
        <f>"48203"</f>
        <v>48203</v>
      </c>
      <c r="C9967" s="2">
        <v>8.1699346405228696E-4</v>
      </c>
      <c r="D9967" s="2">
        <v>2.9166666666666601E-2</v>
      </c>
      <c r="E9967" s="2">
        <v>0</v>
      </c>
      <c r="F9967" s="2">
        <v>7.1185391519653302E-3</v>
      </c>
    </row>
    <row r="9968" spans="1:6" x14ac:dyDescent="0.25">
      <c r="A9968" s="1" t="str">
        <f t="shared" si="357"/>
        <v>19804</v>
      </c>
      <c r="B9968" s="1" t="str">
        <f>"48202"</f>
        <v>48202</v>
      </c>
      <c r="C9968" s="2">
        <v>4.1666666666666602E-2</v>
      </c>
      <c r="D9968" s="2">
        <v>0.68055555555555503</v>
      </c>
      <c r="E9968" s="2">
        <v>9.5238095238095205E-2</v>
      </c>
      <c r="F9968" s="2">
        <v>0.18508201795109799</v>
      </c>
    </row>
    <row r="9969" spans="1:6" x14ac:dyDescent="0.25">
      <c r="A9969" s="1" t="str">
        <f t="shared" si="357"/>
        <v>19804</v>
      </c>
      <c r="B9969" s="1" t="str">
        <f>"48235"</f>
        <v>48235</v>
      </c>
      <c r="C9969" s="2">
        <v>0</v>
      </c>
      <c r="D9969" s="2">
        <v>1.3888888888888801E-3</v>
      </c>
      <c r="E9969" s="2">
        <v>0</v>
      </c>
      <c r="F9969" s="2">
        <v>3.0950170225936199E-4</v>
      </c>
    </row>
    <row r="9970" spans="1:6" x14ac:dyDescent="0.25">
      <c r="A9970" s="1" t="str">
        <f t="shared" si="357"/>
        <v>19804</v>
      </c>
      <c r="B9970" s="1" t="str">
        <f>"48215"</f>
        <v>48215</v>
      </c>
      <c r="C9970" s="2">
        <v>0</v>
      </c>
      <c r="D9970" s="2">
        <v>0</v>
      </c>
      <c r="E9970" s="2">
        <v>1.5873015873015799E-2</v>
      </c>
      <c r="F9970" s="2">
        <v>3.0950170225936199E-4</v>
      </c>
    </row>
    <row r="9971" spans="1:6" x14ac:dyDescent="0.25">
      <c r="A9971" s="1" t="str">
        <f t="shared" si="357"/>
        <v>19804</v>
      </c>
      <c r="B9971" s="1" t="str">
        <f>"48186"</f>
        <v>48186</v>
      </c>
      <c r="C9971" s="2">
        <v>4.0849673202614299E-4</v>
      </c>
      <c r="D9971" s="2">
        <v>0</v>
      </c>
      <c r="E9971" s="2">
        <v>1.5873015873015799E-2</v>
      </c>
      <c r="F9971" s="2">
        <v>6.1900340451872399E-4</v>
      </c>
    </row>
    <row r="9972" spans="1:6" x14ac:dyDescent="0.25">
      <c r="A9972" s="1" t="str">
        <f t="shared" si="357"/>
        <v>19804</v>
      </c>
      <c r="B9972" s="1" t="str">
        <f>"48228"</f>
        <v>48228</v>
      </c>
      <c r="C9972" s="2">
        <v>3.9215686274509803E-2</v>
      </c>
      <c r="D9972" s="2">
        <v>0</v>
      </c>
      <c r="E9972" s="2">
        <v>1.5873015873015799E-2</v>
      </c>
      <c r="F9972" s="2">
        <v>3.00216651191581E-2</v>
      </c>
    </row>
    <row r="9973" spans="1:6" x14ac:dyDescent="0.25">
      <c r="A9973" s="1" t="str">
        <f t="shared" si="357"/>
        <v>19804</v>
      </c>
      <c r="B9973" s="1" t="str">
        <f>"48236"</f>
        <v>48236</v>
      </c>
      <c r="C9973" s="2">
        <v>0</v>
      </c>
      <c r="D9973" s="2">
        <v>8.3333333333333297E-3</v>
      </c>
      <c r="E9973" s="2">
        <v>0</v>
      </c>
      <c r="F9973" s="2">
        <v>1.85701021355617E-3</v>
      </c>
    </row>
    <row r="9974" spans="1:6" x14ac:dyDescent="0.25">
      <c r="A9974" s="1" t="str">
        <f t="shared" ref="A9974:A9993" si="358">"19804"</f>
        <v>19804</v>
      </c>
      <c r="B9974" s="1" t="str">
        <f>"48134"</f>
        <v>48134</v>
      </c>
      <c r="C9974" s="2">
        <v>5.7189542483660101E-3</v>
      </c>
      <c r="D9974" s="2">
        <v>2.7777777777777701E-3</v>
      </c>
      <c r="E9974" s="2">
        <v>1.5873015873015799E-2</v>
      </c>
      <c r="F9974" s="2">
        <v>5.26152893840916E-3</v>
      </c>
    </row>
    <row r="9975" spans="1:6" x14ac:dyDescent="0.25">
      <c r="A9975" s="1" t="str">
        <f t="shared" si="358"/>
        <v>19804</v>
      </c>
      <c r="B9975" s="1" t="str">
        <f>"48111"</f>
        <v>48111</v>
      </c>
      <c r="C9975" s="2">
        <v>8.5784313725490099E-3</v>
      </c>
      <c r="D9975" s="2">
        <v>8.3333333333333297E-3</v>
      </c>
      <c r="E9975" s="2">
        <v>3.1746031746031703E-2</v>
      </c>
      <c r="F9975" s="2">
        <v>8.97554936552151E-3</v>
      </c>
    </row>
    <row r="9976" spans="1:6" x14ac:dyDescent="0.25">
      <c r="A9976" s="1" t="str">
        <f t="shared" si="358"/>
        <v>19804</v>
      </c>
      <c r="B9976" s="1" t="str">
        <f>"48193"</f>
        <v>48193</v>
      </c>
      <c r="C9976" s="2">
        <v>0</v>
      </c>
      <c r="D9976" s="2">
        <v>1.3888888888888801E-3</v>
      </c>
      <c r="E9976" s="2">
        <v>0</v>
      </c>
      <c r="F9976" s="2">
        <v>3.0950170225936199E-4</v>
      </c>
    </row>
    <row r="9977" spans="1:6" x14ac:dyDescent="0.25">
      <c r="A9977" s="1" t="str">
        <f t="shared" si="358"/>
        <v>19804</v>
      </c>
      <c r="B9977" s="1" t="str">
        <f>"48243"</f>
        <v>48243</v>
      </c>
      <c r="C9977" s="2">
        <v>0</v>
      </c>
      <c r="D9977" s="2">
        <v>0</v>
      </c>
      <c r="E9977" s="2">
        <v>1.5873015873015799E-2</v>
      </c>
      <c r="F9977" s="2">
        <v>3.0950170225936199E-4</v>
      </c>
    </row>
    <row r="9978" spans="1:6" x14ac:dyDescent="0.25">
      <c r="A9978" s="1" t="str">
        <f t="shared" si="358"/>
        <v>19804</v>
      </c>
      <c r="B9978" s="1" t="str">
        <f>"48192"</f>
        <v>48192</v>
      </c>
      <c r="C9978" s="2">
        <v>4.0849673202614299E-4</v>
      </c>
      <c r="D9978" s="2">
        <v>0</v>
      </c>
      <c r="E9978" s="2">
        <v>0</v>
      </c>
      <c r="F9978" s="2">
        <v>3.0950170225936199E-4</v>
      </c>
    </row>
    <row r="9979" spans="1:6" x14ac:dyDescent="0.25">
      <c r="A9979" s="1" t="str">
        <f t="shared" si="358"/>
        <v>19804</v>
      </c>
      <c r="B9979" s="1" t="str">
        <f>"48135"</f>
        <v>48135</v>
      </c>
      <c r="C9979" s="2">
        <v>1.2254901960784301E-3</v>
      </c>
      <c r="D9979" s="2">
        <v>5.5555555555555497E-3</v>
      </c>
      <c r="E9979" s="2">
        <v>1.5873015873015799E-2</v>
      </c>
      <c r="F9979" s="2">
        <v>2.4760136180748899E-3</v>
      </c>
    </row>
    <row r="9980" spans="1:6" x14ac:dyDescent="0.25">
      <c r="A9980" s="1" t="str">
        <f t="shared" si="358"/>
        <v>19804</v>
      </c>
      <c r="B9980" s="1" t="str">
        <f>"48170"</f>
        <v>48170</v>
      </c>
      <c r="C9980" s="2">
        <v>1.26633986928104E-2</v>
      </c>
      <c r="D9980" s="2">
        <v>1.2500000000000001E-2</v>
      </c>
      <c r="E9980" s="2">
        <v>3.1746031746031703E-2</v>
      </c>
      <c r="F9980" s="2">
        <v>1.29990714948932E-2</v>
      </c>
    </row>
    <row r="9981" spans="1:6" x14ac:dyDescent="0.25">
      <c r="A9981" s="1" t="str">
        <f t="shared" si="358"/>
        <v>19804</v>
      </c>
      <c r="B9981" s="1" t="str">
        <f>"48242"</f>
        <v>48242</v>
      </c>
      <c r="C9981" s="2">
        <v>0</v>
      </c>
      <c r="D9981" s="2">
        <v>2.7777777777777701E-3</v>
      </c>
      <c r="E9981" s="2">
        <v>1.5873015873015799E-2</v>
      </c>
      <c r="F9981" s="2">
        <v>9.2850510677808696E-4</v>
      </c>
    </row>
    <row r="9982" spans="1:6" x14ac:dyDescent="0.25">
      <c r="A9982" s="1" t="str">
        <f t="shared" si="358"/>
        <v>19804</v>
      </c>
      <c r="B9982" s="1" t="str">
        <f>"48124"</f>
        <v>48124</v>
      </c>
      <c r="C9982" s="2">
        <v>1.75653594771241E-2</v>
      </c>
      <c r="D9982" s="2">
        <v>8.3333333333333297E-3</v>
      </c>
      <c r="E9982" s="2">
        <v>3.1746031746031703E-2</v>
      </c>
      <c r="F9982" s="2">
        <v>1.5784586815227399E-2</v>
      </c>
    </row>
    <row r="9983" spans="1:6" x14ac:dyDescent="0.25">
      <c r="A9983" s="1" t="str">
        <f t="shared" si="358"/>
        <v>19804</v>
      </c>
      <c r="B9983" s="1" t="str">
        <f>"48210"</f>
        <v>48210</v>
      </c>
      <c r="C9983" s="2">
        <v>8.1699346405228696E-4</v>
      </c>
      <c r="D9983" s="2">
        <v>0</v>
      </c>
      <c r="E9983" s="2">
        <v>0</v>
      </c>
      <c r="F9983" s="2">
        <v>6.1900340451872399E-4</v>
      </c>
    </row>
    <row r="9984" spans="1:6" x14ac:dyDescent="0.25">
      <c r="A9984" s="1" t="str">
        <f t="shared" si="358"/>
        <v>19804</v>
      </c>
      <c r="B9984" s="1" t="str">
        <f>"48183"</f>
        <v>48183</v>
      </c>
      <c r="C9984" s="2">
        <v>2.2875816993463999E-2</v>
      </c>
      <c r="D9984" s="2">
        <v>1.3888888888888801E-3</v>
      </c>
      <c r="E9984" s="2">
        <v>0</v>
      </c>
      <c r="F9984" s="2">
        <v>1.7641597028783599E-2</v>
      </c>
    </row>
    <row r="9985" spans="1:6" x14ac:dyDescent="0.25">
      <c r="A9985" s="1" t="str">
        <f t="shared" si="358"/>
        <v>19804</v>
      </c>
      <c r="B9985" s="1" t="str">
        <f>"48174"</f>
        <v>48174</v>
      </c>
      <c r="C9985" s="2">
        <v>1.63398692810457E-3</v>
      </c>
      <c r="D9985" s="2">
        <v>1.3888888888888801E-3</v>
      </c>
      <c r="E9985" s="2">
        <v>0</v>
      </c>
      <c r="F9985" s="2">
        <v>1.54750851129681E-3</v>
      </c>
    </row>
    <row r="9986" spans="1:6" x14ac:dyDescent="0.25">
      <c r="A9986" s="1" t="str">
        <f t="shared" si="358"/>
        <v>19804</v>
      </c>
      <c r="B9986" s="1" t="str">
        <f>"48211"</f>
        <v>48211</v>
      </c>
      <c r="C9986" s="2">
        <v>0</v>
      </c>
      <c r="D9986" s="2">
        <v>1.3888888888888801E-3</v>
      </c>
      <c r="E9986" s="2">
        <v>1.5873015873015799E-2</v>
      </c>
      <c r="F9986" s="2">
        <v>6.1900340451872399E-4</v>
      </c>
    </row>
    <row r="9987" spans="1:6" x14ac:dyDescent="0.25">
      <c r="A9987" s="1" t="str">
        <f t="shared" si="358"/>
        <v>19804</v>
      </c>
      <c r="B9987" s="1" t="str">
        <f>"48146"</f>
        <v>48146</v>
      </c>
      <c r="C9987" s="2">
        <v>2.4509803921568601E-3</v>
      </c>
      <c r="D9987" s="2">
        <v>0</v>
      </c>
      <c r="E9987" s="2">
        <v>0</v>
      </c>
      <c r="F9987" s="2">
        <v>1.85701021355617E-3</v>
      </c>
    </row>
    <row r="9988" spans="1:6" x14ac:dyDescent="0.25">
      <c r="A9988" s="1" t="str">
        <f t="shared" si="358"/>
        <v>19804</v>
      </c>
      <c r="B9988" s="1" t="str">
        <f>"48219"</f>
        <v>48219</v>
      </c>
      <c r="C9988" s="2">
        <v>4.9019607843137202E-3</v>
      </c>
      <c r="D9988" s="2">
        <v>0</v>
      </c>
      <c r="E9988" s="2">
        <v>0</v>
      </c>
      <c r="F9988" s="2">
        <v>3.71402042711234E-3</v>
      </c>
    </row>
    <row r="9989" spans="1:6" x14ac:dyDescent="0.25">
      <c r="A9989" s="1" t="str">
        <f t="shared" si="358"/>
        <v>19804</v>
      </c>
      <c r="B9989" s="1" t="str">
        <f>"48120"</f>
        <v>48120</v>
      </c>
      <c r="C9989" s="2">
        <v>0</v>
      </c>
      <c r="D9989" s="2">
        <v>1.3888888888888801E-3</v>
      </c>
      <c r="E9989" s="2">
        <v>0</v>
      </c>
      <c r="F9989" s="2">
        <v>3.0950170225936199E-4</v>
      </c>
    </row>
    <row r="9990" spans="1:6" x14ac:dyDescent="0.25">
      <c r="A9990" s="1" t="str">
        <f t="shared" si="358"/>
        <v>19804</v>
      </c>
      <c r="B9990" s="1" t="str">
        <f>"48154"</f>
        <v>48154</v>
      </c>
      <c r="C9990" s="2">
        <v>0</v>
      </c>
      <c r="D9990" s="2">
        <v>2.7777777777777701E-3</v>
      </c>
      <c r="E9990" s="2">
        <v>3.1746031746031703E-2</v>
      </c>
      <c r="F9990" s="2">
        <v>1.23800680903744E-3</v>
      </c>
    </row>
    <row r="9991" spans="1:6" x14ac:dyDescent="0.25">
      <c r="A9991" s="1" t="str">
        <f t="shared" si="358"/>
        <v>19804</v>
      </c>
      <c r="B9991" s="1" t="str">
        <f>"48214"</f>
        <v>48214</v>
      </c>
      <c r="C9991" s="2">
        <v>1.02124183006535E-2</v>
      </c>
      <c r="D9991" s="2">
        <v>5.5555555555555497E-3</v>
      </c>
      <c r="E9991" s="2">
        <v>3.1746031746031703E-2</v>
      </c>
      <c r="F9991" s="2">
        <v>9.5945527700402305E-3</v>
      </c>
    </row>
    <row r="9992" spans="1:6" x14ac:dyDescent="0.25">
      <c r="A9992" s="1" t="str">
        <f t="shared" si="358"/>
        <v>19804</v>
      </c>
      <c r="B9992" s="1" t="str">
        <f>"48209"</f>
        <v>48209</v>
      </c>
      <c r="C9992" s="2">
        <v>0</v>
      </c>
      <c r="D9992" s="2">
        <v>2.7777777777777701E-3</v>
      </c>
      <c r="E9992" s="2">
        <v>0</v>
      </c>
      <c r="F9992" s="2">
        <v>6.1900340451872399E-4</v>
      </c>
    </row>
    <row r="9993" spans="1:6" x14ac:dyDescent="0.25">
      <c r="A9993" s="1" t="str">
        <f t="shared" si="358"/>
        <v>19804</v>
      </c>
      <c r="B9993" s="1" t="str">
        <f>"48216"</f>
        <v>48216</v>
      </c>
      <c r="C9993" s="2">
        <v>0.114787581699346</v>
      </c>
      <c r="D9993" s="2">
        <v>1.1111111111111099E-2</v>
      </c>
      <c r="E9993" s="2">
        <v>0.11111111111111099</v>
      </c>
      <c r="F9993" s="2">
        <v>9.1612503868771206E-2</v>
      </c>
    </row>
    <row r="9994" spans="1:6" x14ac:dyDescent="0.25">
      <c r="A9994" s="1" t="str">
        <f t="shared" ref="A9994:A10057" si="359">"19820"</f>
        <v>19820</v>
      </c>
      <c r="B9994" s="1" t="str">
        <f>"48089"</f>
        <v>48089</v>
      </c>
      <c r="C9994" s="2">
        <v>6.6738677193391299E-3</v>
      </c>
      <c r="D9994" s="2">
        <v>8.5119936736666301E-3</v>
      </c>
      <c r="E9994" s="2">
        <v>6.7164076183646101E-3</v>
      </c>
      <c r="F9994" s="2">
        <v>6.82093553090492E-3</v>
      </c>
    </row>
    <row r="9995" spans="1:6" x14ac:dyDescent="0.25">
      <c r="A9995" s="1" t="str">
        <f t="shared" si="359"/>
        <v>19820</v>
      </c>
      <c r="B9995" s="1" t="str">
        <f>"48070"</f>
        <v>48070</v>
      </c>
      <c r="C9995" s="2">
        <v>1.1922867128826701E-3</v>
      </c>
      <c r="D9995" s="2">
        <v>4.8326157631139598E-4</v>
      </c>
      <c r="E9995" s="2">
        <v>1.65496696961756E-4</v>
      </c>
      <c r="F9995" s="2">
        <v>1.1036619372466899E-3</v>
      </c>
    </row>
    <row r="9996" spans="1:6" x14ac:dyDescent="0.25">
      <c r="A9996" s="1" t="str">
        <f t="shared" si="359"/>
        <v>19820</v>
      </c>
      <c r="B9996" s="1" t="str">
        <f>"48101"</f>
        <v>48101</v>
      </c>
      <c r="C9996" s="2">
        <v>6.32621943755404E-3</v>
      </c>
      <c r="D9996" s="2">
        <v>5.7332396098761004E-3</v>
      </c>
      <c r="E9996" s="2">
        <v>3.2961425478216398E-3</v>
      </c>
      <c r="F9996" s="2">
        <v>6.1835544357849402E-3</v>
      </c>
    </row>
    <row r="9997" spans="1:6" x14ac:dyDescent="0.25">
      <c r="A9997" s="1" t="str">
        <f t="shared" si="359"/>
        <v>19820</v>
      </c>
      <c r="B9997" s="1" t="str">
        <f>"48120"</f>
        <v>48120</v>
      </c>
      <c r="C9997" s="2">
        <v>1.37492447218666E-3</v>
      </c>
      <c r="D9997" s="2">
        <v>1.76829804059397E-3</v>
      </c>
      <c r="E9997" s="2">
        <v>2.3721193231185001E-3</v>
      </c>
      <c r="F9997" s="2">
        <v>1.4375904208238999E-3</v>
      </c>
    </row>
    <row r="9998" spans="1:6" x14ac:dyDescent="0.25">
      <c r="A9998" s="1" t="str">
        <f t="shared" si="359"/>
        <v>19820</v>
      </c>
      <c r="B9998" s="1" t="str">
        <f>"48069"</f>
        <v>48069</v>
      </c>
      <c r="C9998" s="2">
        <v>5.6113370552917405E-4</v>
      </c>
      <c r="D9998" s="2">
        <v>3.3498813812494501E-4</v>
      </c>
      <c r="E9998" s="2">
        <v>1.51705305548276E-4</v>
      </c>
      <c r="F9998" s="2">
        <v>5.3028017339900398E-4</v>
      </c>
    </row>
    <row r="9999" spans="1:6" x14ac:dyDescent="0.25">
      <c r="A9999" s="1" t="str">
        <f t="shared" si="359"/>
        <v>19820</v>
      </c>
      <c r="B9999" s="1" t="str">
        <f>"48366"</f>
        <v>48366</v>
      </c>
      <c r="C9999" s="2">
        <v>0</v>
      </c>
      <c r="D9999" s="2">
        <v>0</v>
      </c>
      <c r="E9999" s="2">
        <v>1.3791391413479699E-5</v>
      </c>
      <c r="F9999" s="2">
        <v>4.3536960049179299E-7</v>
      </c>
    </row>
    <row r="10000" spans="1:6" x14ac:dyDescent="0.25">
      <c r="A10000" s="1" t="str">
        <f t="shared" si="359"/>
        <v>19820</v>
      </c>
      <c r="B10000" s="1" t="str">
        <f>"48872"</f>
        <v>48872</v>
      </c>
      <c r="C10000" s="2">
        <v>3.1826955374691403E-5</v>
      </c>
      <c r="D10000" s="2">
        <v>0</v>
      </c>
      <c r="E10000" s="2">
        <v>0</v>
      </c>
      <c r="F10000" s="2">
        <v>2.8299024031966499E-5</v>
      </c>
    </row>
    <row r="10001" spans="1:6" x14ac:dyDescent="0.25">
      <c r="A10001" s="1" t="str">
        <f t="shared" si="359"/>
        <v>19820</v>
      </c>
      <c r="B10001" s="1" t="str">
        <f>"48347"</f>
        <v>48347</v>
      </c>
      <c r="C10001" s="2">
        <v>4.9503156744327699E-4</v>
      </c>
      <c r="D10001" s="2">
        <v>2.1746770934012801E-3</v>
      </c>
      <c r="E10001" s="2">
        <v>2.7582782826959398E-5</v>
      </c>
      <c r="F10001" s="2">
        <v>6.1343576709293698E-4</v>
      </c>
    </row>
    <row r="10002" spans="1:6" x14ac:dyDescent="0.25">
      <c r="A10002" s="1" t="str">
        <f t="shared" si="359"/>
        <v>19820</v>
      </c>
      <c r="B10002" s="1" t="str">
        <f>"48440"</f>
        <v>48440</v>
      </c>
      <c r="C10002" s="2">
        <v>8.6177602245318202E-5</v>
      </c>
      <c r="D10002" s="2">
        <v>5.4916088217204098E-6</v>
      </c>
      <c r="E10002" s="2">
        <v>0</v>
      </c>
      <c r="F10002" s="2">
        <v>7.7060419287047394E-5</v>
      </c>
    </row>
    <row r="10003" spans="1:6" x14ac:dyDescent="0.25">
      <c r="A10003" s="1" t="str">
        <f t="shared" si="359"/>
        <v>19820</v>
      </c>
      <c r="B10003" s="1" t="str">
        <f>"48760"</f>
        <v>48760</v>
      </c>
      <c r="C10003" s="2">
        <v>1.20942430423827E-4</v>
      </c>
      <c r="D10003" s="2">
        <v>1.0983217643440799E-5</v>
      </c>
      <c r="E10003" s="2">
        <v>0</v>
      </c>
      <c r="F10003" s="2">
        <v>1.08407030522456E-4</v>
      </c>
    </row>
    <row r="10004" spans="1:6" x14ac:dyDescent="0.25">
      <c r="A10004" s="1" t="str">
        <f t="shared" si="359"/>
        <v>19820</v>
      </c>
      <c r="B10004" s="1" t="str">
        <f>"48362"</f>
        <v>48362</v>
      </c>
      <c r="C10004" s="2">
        <v>3.14939964569253E-3</v>
      </c>
      <c r="D10004" s="2">
        <v>2.0483700905017102E-3</v>
      </c>
      <c r="E10004" s="2">
        <v>2.7169041084554998E-3</v>
      </c>
      <c r="F10004" s="2">
        <v>3.0484579426435301E-3</v>
      </c>
    </row>
    <row r="10005" spans="1:6" x14ac:dyDescent="0.25">
      <c r="A10005" s="1" t="str">
        <f t="shared" si="359"/>
        <v>19820</v>
      </c>
      <c r="B10005" s="1" t="str">
        <f>"48380"</f>
        <v>48380</v>
      </c>
      <c r="C10005" s="2">
        <v>1.5502175494811199E-3</v>
      </c>
      <c r="D10005" s="2">
        <v>1.86714699938493E-4</v>
      </c>
      <c r="E10005" s="2">
        <v>1.51705305548276E-4</v>
      </c>
      <c r="F10005" s="2">
        <v>1.39797178717914E-3</v>
      </c>
    </row>
    <row r="10006" spans="1:6" x14ac:dyDescent="0.25">
      <c r="A10006" s="1" t="str">
        <f t="shared" si="359"/>
        <v>19820</v>
      </c>
      <c r="B10006" s="1" t="str">
        <f>"48359"</f>
        <v>48359</v>
      </c>
      <c r="C10006" s="2">
        <v>2.0379044349148499E-3</v>
      </c>
      <c r="D10006" s="2">
        <v>2.1746770934012801E-3</v>
      </c>
      <c r="E10006" s="2">
        <v>2.1790398433297899E-3</v>
      </c>
      <c r="F10006" s="2">
        <v>2.0532030359192901E-3</v>
      </c>
    </row>
    <row r="10007" spans="1:6" x14ac:dyDescent="0.25">
      <c r="A10007" s="1" t="str">
        <f t="shared" si="359"/>
        <v>19820</v>
      </c>
      <c r="B10007" s="1" t="str">
        <f>"48430"</f>
        <v>48430</v>
      </c>
      <c r="C10007" s="2">
        <v>3.26544562144333E-3</v>
      </c>
      <c r="D10007" s="2">
        <v>3.4597135576838501E-4</v>
      </c>
      <c r="E10007" s="2">
        <v>1.51705305548276E-4</v>
      </c>
      <c r="F10007" s="2">
        <v>2.9356972161161598E-3</v>
      </c>
    </row>
    <row r="10008" spans="1:6" x14ac:dyDescent="0.25">
      <c r="A10008" s="1" t="str">
        <f t="shared" si="359"/>
        <v>19820</v>
      </c>
      <c r="B10008" s="1" t="str">
        <f>"48453"</f>
        <v>48453</v>
      </c>
      <c r="C10008" s="2">
        <v>7.7363983833865204E-5</v>
      </c>
      <c r="D10008" s="2">
        <v>6.5899305860644904E-5</v>
      </c>
      <c r="E10008" s="2">
        <v>0</v>
      </c>
      <c r="F10008" s="2">
        <v>7.4012832083604799E-5</v>
      </c>
    </row>
    <row r="10009" spans="1:6" x14ac:dyDescent="0.25">
      <c r="A10009" s="1" t="str">
        <f t="shared" si="359"/>
        <v>19820</v>
      </c>
      <c r="B10009" s="1" t="str">
        <f>"48135"</f>
        <v>48135</v>
      </c>
      <c r="C10009" s="2">
        <v>5.7278726765098396E-3</v>
      </c>
      <c r="D10009" s="2">
        <v>4.2614884456550301E-3</v>
      </c>
      <c r="E10009" s="2">
        <v>2.7996524569363799E-3</v>
      </c>
      <c r="F10009" s="2">
        <v>5.5191804254344596E-3</v>
      </c>
    </row>
    <row r="10010" spans="1:6" x14ac:dyDescent="0.25">
      <c r="A10010" s="1" t="str">
        <f t="shared" si="359"/>
        <v>19820</v>
      </c>
      <c r="B10010" s="1" t="str">
        <f>"48146"</f>
        <v>48146</v>
      </c>
      <c r="C10010" s="2">
        <v>8.6481182435045999E-3</v>
      </c>
      <c r="D10010" s="2">
        <v>5.4037430805728799E-3</v>
      </c>
      <c r="E10010" s="2">
        <v>8.7161593733191701E-3</v>
      </c>
      <c r="F10010" s="2">
        <v>8.3930551582807895E-3</v>
      </c>
    </row>
    <row r="10011" spans="1:6" x14ac:dyDescent="0.25">
      <c r="A10011" s="1" t="str">
        <f t="shared" si="359"/>
        <v>19820</v>
      </c>
      <c r="B10011" s="1" t="str">
        <f>"48816"</f>
        <v>48816</v>
      </c>
      <c r="C10011" s="2">
        <v>2.4482273365147201E-6</v>
      </c>
      <c r="D10011" s="2">
        <v>2.1966435286881598E-5</v>
      </c>
      <c r="E10011" s="2">
        <v>0</v>
      </c>
      <c r="F10011" s="2">
        <v>3.9183264044261396E-6</v>
      </c>
    </row>
    <row r="10012" spans="1:6" x14ac:dyDescent="0.25">
      <c r="A10012" s="1" t="str">
        <f t="shared" si="359"/>
        <v>19820</v>
      </c>
      <c r="B10012" s="1" t="str">
        <f>"48168"</f>
        <v>48168</v>
      </c>
      <c r="C10012" s="2">
        <v>4.28684606623728E-3</v>
      </c>
      <c r="D10012" s="2">
        <v>1.3289693348563301E-3</v>
      </c>
      <c r="E10012" s="2">
        <v>3.3237253306486001E-3</v>
      </c>
      <c r="F10012" s="2">
        <v>4.0219443693431797E-3</v>
      </c>
    </row>
    <row r="10013" spans="1:6" x14ac:dyDescent="0.25">
      <c r="A10013" s="1" t="str">
        <f t="shared" si="359"/>
        <v>19820</v>
      </c>
      <c r="B10013" s="1" t="str">
        <f>"48093"</f>
        <v>48093</v>
      </c>
      <c r="C10013" s="2">
        <v>5.2700541645815903E-3</v>
      </c>
      <c r="D10013" s="2">
        <v>4.7172919778578296E-3</v>
      </c>
      <c r="E10013" s="2">
        <v>7.8197189314429903E-3</v>
      </c>
      <c r="F10013" s="2">
        <v>5.3067200603944698E-3</v>
      </c>
    </row>
    <row r="10014" spans="1:6" x14ac:dyDescent="0.25">
      <c r="A10014" s="1" t="str">
        <f t="shared" si="359"/>
        <v>19820</v>
      </c>
      <c r="B10014" s="1" t="str">
        <f>"48074"</f>
        <v>48074</v>
      </c>
      <c r="C10014" s="2">
        <v>2.0139118070170098E-3</v>
      </c>
      <c r="D10014" s="2">
        <v>1.6419910376944001E-3</v>
      </c>
      <c r="E10014" s="2">
        <v>1.1722682701457701E-3</v>
      </c>
      <c r="F10014" s="2">
        <v>1.95785709341159E-3</v>
      </c>
    </row>
    <row r="10015" spans="1:6" x14ac:dyDescent="0.25">
      <c r="A10015" s="1" t="str">
        <f t="shared" si="359"/>
        <v>19820</v>
      </c>
      <c r="B10015" s="1" t="str">
        <f>"48009"</f>
        <v>48009</v>
      </c>
      <c r="C10015" s="2">
        <v>5.0697891684546798E-3</v>
      </c>
      <c r="D10015" s="2">
        <v>9.4840084351111506E-3</v>
      </c>
      <c r="E10015" s="2">
        <v>1.00815071232536E-2</v>
      </c>
      <c r="F10015" s="2">
        <v>5.5779553215008501E-3</v>
      </c>
    </row>
    <row r="10016" spans="1:6" x14ac:dyDescent="0.25">
      <c r="A10016" s="1" t="str">
        <f t="shared" si="359"/>
        <v>19820</v>
      </c>
      <c r="B10016" s="1" t="str">
        <f>"48021"</f>
        <v>48021</v>
      </c>
      <c r="C10016" s="2">
        <v>7.1517616954267999E-3</v>
      </c>
      <c r="D10016" s="2">
        <v>7.3038397328881403E-3</v>
      </c>
      <c r="E10016" s="2">
        <v>4.6063247321022202E-3</v>
      </c>
      <c r="F10016" s="2">
        <v>7.0834634000014798E-3</v>
      </c>
    </row>
    <row r="10017" spans="1:6" x14ac:dyDescent="0.25">
      <c r="A10017" s="1" t="str">
        <f t="shared" si="359"/>
        <v>19820</v>
      </c>
      <c r="B10017" s="1" t="str">
        <f>"48032"</f>
        <v>48032</v>
      </c>
      <c r="C10017" s="2">
        <v>3.8681991916932599E-4</v>
      </c>
      <c r="D10017" s="2">
        <v>8.2374132325806096E-5</v>
      </c>
      <c r="E10017" s="2">
        <v>6.8956957067398499E-5</v>
      </c>
      <c r="F10017" s="2">
        <v>3.5264937639835201E-4</v>
      </c>
    </row>
    <row r="10018" spans="1:6" x14ac:dyDescent="0.25">
      <c r="A10018" s="1" t="str">
        <f t="shared" si="359"/>
        <v>19820</v>
      </c>
      <c r="B10018" s="1" t="str">
        <f>"48035"</f>
        <v>48035</v>
      </c>
      <c r="C10018" s="2">
        <v>7.5816704157187897E-3</v>
      </c>
      <c r="D10018" s="2">
        <v>6.2878921008698704E-3</v>
      </c>
      <c r="E10018" s="2">
        <v>6.5095367471624203E-3</v>
      </c>
      <c r="F10018" s="2">
        <v>7.4452555380101603E-3</v>
      </c>
    </row>
    <row r="10019" spans="1:6" x14ac:dyDescent="0.25">
      <c r="A10019" s="1" t="str">
        <f t="shared" si="359"/>
        <v>19820</v>
      </c>
      <c r="B10019" s="1" t="str">
        <f>"48002"</f>
        <v>48002</v>
      </c>
      <c r="C10019" s="2">
        <v>6.1793257973631599E-4</v>
      </c>
      <c r="D10019" s="2">
        <v>1.04340567612687E-4</v>
      </c>
      <c r="E10019" s="2">
        <v>1.24122522721317E-4</v>
      </c>
      <c r="F10019" s="2">
        <v>5.6162678463441296E-4</v>
      </c>
    </row>
    <row r="10020" spans="1:6" x14ac:dyDescent="0.25">
      <c r="A10020" s="1" t="str">
        <f t="shared" si="359"/>
        <v>19820</v>
      </c>
      <c r="B10020" s="1" t="str">
        <f>"48030"</f>
        <v>48030</v>
      </c>
      <c r="C10020" s="2">
        <v>4.1786344179633199E-3</v>
      </c>
      <c r="D10020" s="2">
        <v>4.1846059221509503E-3</v>
      </c>
      <c r="E10020" s="2">
        <v>3.1858114165138102E-3</v>
      </c>
      <c r="F10020" s="2">
        <v>4.1477661838853104E-3</v>
      </c>
    </row>
    <row r="10021" spans="1:6" x14ac:dyDescent="0.25">
      <c r="A10021" s="1" t="str">
        <f t="shared" si="359"/>
        <v>19820</v>
      </c>
      <c r="B10021" s="1" t="str">
        <f>"48023"</f>
        <v>48023</v>
      </c>
      <c r="C10021" s="2">
        <v>1.1227570565256501E-3</v>
      </c>
      <c r="D10021" s="2">
        <v>8.4021614972322196E-4</v>
      </c>
      <c r="E10021" s="2">
        <v>7.3094374491442405E-4</v>
      </c>
      <c r="F10021" s="2">
        <v>1.08798863162899E-3</v>
      </c>
    </row>
    <row r="10022" spans="1:6" x14ac:dyDescent="0.25">
      <c r="A10022" s="1" t="str">
        <f t="shared" si="359"/>
        <v>19820</v>
      </c>
      <c r="B10022" s="1" t="str">
        <f>"48049"</f>
        <v>48049</v>
      </c>
      <c r="C10022" s="2">
        <v>1.09190939208556E-3</v>
      </c>
      <c r="D10022" s="2">
        <v>1.53765047008171E-4</v>
      </c>
      <c r="E10022" s="2">
        <v>6.8956957067398499E-5</v>
      </c>
      <c r="F10022" s="2">
        <v>9.8524140591292803E-4</v>
      </c>
    </row>
    <row r="10023" spans="1:6" x14ac:dyDescent="0.25">
      <c r="A10023" s="1" t="str">
        <f t="shared" si="359"/>
        <v>19820</v>
      </c>
      <c r="B10023" s="1" t="str">
        <f>"48006"</f>
        <v>48006</v>
      </c>
      <c r="C10023" s="2">
        <v>7.9224636609616405E-4</v>
      </c>
      <c r="D10023" s="2">
        <v>1.04340567612687E-4</v>
      </c>
      <c r="E10023" s="2">
        <v>1.24122522721317E-4</v>
      </c>
      <c r="F10023" s="2">
        <v>7.1661836240949199E-4</v>
      </c>
    </row>
    <row r="10024" spans="1:6" x14ac:dyDescent="0.25">
      <c r="A10024" s="1" t="str">
        <f t="shared" si="359"/>
        <v>19820</v>
      </c>
      <c r="B10024" s="1" t="str">
        <f>"48238"</f>
        <v>48238</v>
      </c>
      <c r="C10024" s="2">
        <v>8.3107525165328697E-3</v>
      </c>
      <c r="D10024" s="2">
        <v>6.8205781565767497E-3</v>
      </c>
      <c r="E10024" s="2">
        <v>1.7859851880456201E-2</v>
      </c>
      <c r="F10024" s="2">
        <v>8.4940609055948902E-3</v>
      </c>
    </row>
    <row r="10025" spans="1:6" x14ac:dyDescent="0.25">
      <c r="A10025" s="1" t="str">
        <f t="shared" si="359"/>
        <v>19820</v>
      </c>
      <c r="B10025" s="1" t="str">
        <f>"48302"</f>
        <v>48302</v>
      </c>
      <c r="C10025" s="2">
        <v>3.8809299738431298E-3</v>
      </c>
      <c r="D10025" s="2">
        <v>5.22251998945611E-3</v>
      </c>
      <c r="E10025" s="2">
        <v>3.5168048104373198E-3</v>
      </c>
      <c r="F10025" s="2">
        <v>3.97579519169105E-3</v>
      </c>
    </row>
    <row r="10026" spans="1:6" x14ac:dyDescent="0.25">
      <c r="A10026" s="1" t="str">
        <f t="shared" si="359"/>
        <v>19820</v>
      </c>
      <c r="B10026" s="1" t="str">
        <f>"48315"</f>
        <v>48315</v>
      </c>
      <c r="C10026" s="2">
        <v>5.5751032907113201E-3</v>
      </c>
      <c r="D10026" s="2">
        <v>8.0452069238203996E-3</v>
      </c>
      <c r="E10026" s="2">
        <v>1.1033113130783699E-3</v>
      </c>
      <c r="F10026" s="2">
        <v>5.62976430395938E-3</v>
      </c>
    </row>
    <row r="10027" spans="1:6" x14ac:dyDescent="0.25">
      <c r="A10027" s="1" t="str">
        <f t="shared" si="359"/>
        <v>19820</v>
      </c>
      <c r="B10027" s="1" t="str">
        <f>"48240"</f>
        <v>48240</v>
      </c>
      <c r="C10027" s="2">
        <v>4.1752068996922E-3</v>
      </c>
      <c r="D10027" s="2">
        <v>4.6953255425709502E-3</v>
      </c>
      <c r="E10027" s="2">
        <v>7.7231791915486302E-4</v>
      </c>
      <c r="F10027" s="2">
        <v>4.1090182894415401E-3</v>
      </c>
    </row>
    <row r="10028" spans="1:6" x14ac:dyDescent="0.25">
      <c r="A10028" s="1" t="str">
        <f t="shared" si="359"/>
        <v>19820</v>
      </c>
      <c r="B10028" s="1" t="str">
        <f>"48844"</f>
        <v>48844</v>
      </c>
      <c r="C10028" s="2">
        <v>4.3431552949771098E-4</v>
      </c>
      <c r="D10028" s="2">
        <v>1.7463316053070901E-3</v>
      </c>
      <c r="E10028" s="2">
        <v>2.7582782826959398E-5</v>
      </c>
      <c r="F10028" s="2">
        <v>5.2549110779359404E-4</v>
      </c>
    </row>
    <row r="10029" spans="1:6" x14ac:dyDescent="0.25">
      <c r="A10029" s="1" t="str">
        <f t="shared" si="359"/>
        <v>19820</v>
      </c>
      <c r="B10029" s="1" t="str">
        <f>"48036"</f>
        <v>48036</v>
      </c>
      <c r="C10029" s="2">
        <v>5.3346873662655798E-3</v>
      </c>
      <c r="D10029" s="2">
        <v>5.8540550039539504E-3</v>
      </c>
      <c r="E10029" s="2">
        <v>6.7715731840185299E-3</v>
      </c>
      <c r="F10029" s="2">
        <v>5.4212222653238096E-3</v>
      </c>
    </row>
    <row r="10030" spans="1:6" x14ac:dyDescent="0.25">
      <c r="A10030" s="1" t="str">
        <f t="shared" si="359"/>
        <v>19820</v>
      </c>
      <c r="B10030" s="1" t="str">
        <f>"48039"</f>
        <v>48039</v>
      </c>
      <c r="C10030" s="2">
        <v>1.8136468108901E-3</v>
      </c>
      <c r="D10030" s="2">
        <v>1.85616378174149E-3</v>
      </c>
      <c r="E10030" s="2">
        <v>2.0825001034354301E-3</v>
      </c>
      <c r="F10030" s="2">
        <v>1.8255047348620899E-3</v>
      </c>
    </row>
    <row r="10031" spans="1:6" x14ac:dyDescent="0.25">
      <c r="A10031" s="1" t="str">
        <f t="shared" si="359"/>
        <v>19820</v>
      </c>
      <c r="B10031" s="1" t="str">
        <f>"48001"</f>
        <v>48001</v>
      </c>
      <c r="C10031" s="2">
        <v>2.9946716780247999E-3</v>
      </c>
      <c r="D10031" s="2">
        <v>1.3124945083911701E-3</v>
      </c>
      <c r="E10031" s="2">
        <v>1.7790894923388799E-3</v>
      </c>
      <c r="F10031" s="2">
        <v>2.82293648958878E-3</v>
      </c>
    </row>
    <row r="10032" spans="1:6" x14ac:dyDescent="0.25">
      <c r="A10032" s="1" t="str">
        <f t="shared" si="359"/>
        <v>19820</v>
      </c>
      <c r="B10032" s="1" t="str">
        <f>"48051"</f>
        <v>48051</v>
      </c>
      <c r="C10032" s="2">
        <v>3.7580289615501E-3</v>
      </c>
      <c r="D10032" s="2">
        <v>4.3823038397328802E-3</v>
      </c>
      <c r="E10032" s="2">
        <v>1.24122522721317E-3</v>
      </c>
      <c r="F10032" s="2">
        <v>3.7280698890112202E-3</v>
      </c>
    </row>
    <row r="10033" spans="1:6" x14ac:dyDescent="0.25">
      <c r="A10033" s="1" t="str">
        <f t="shared" si="359"/>
        <v>19820</v>
      </c>
      <c r="B10033" s="1" t="str">
        <f>"48065"</f>
        <v>48065</v>
      </c>
      <c r="C10033" s="2">
        <v>2.4271725814206898E-3</v>
      </c>
      <c r="D10033" s="2">
        <v>3.1961163342412698E-3</v>
      </c>
      <c r="E10033" s="2">
        <v>1.25501661862665E-3</v>
      </c>
      <c r="F10033" s="2">
        <v>2.4511308507687902E-3</v>
      </c>
    </row>
    <row r="10034" spans="1:6" x14ac:dyDescent="0.25">
      <c r="A10034" s="1" t="str">
        <f t="shared" si="359"/>
        <v>19820</v>
      </c>
      <c r="B10034" s="1" t="str">
        <f>"48230"</f>
        <v>48230</v>
      </c>
      <c r="C10034" s="2">
        <v>3.66009986808951E-3</v>
      </c>
      <c r="D10034" s="2">
        <v>2.4822071874176202E-3</v>
      </c>
      <c r="E10034" s="2">
        <v>7.3921857976251204E-3</v>
      </c>
      <c r="F10034" s="2">
        <v>3.68453292896204E-3</v>
      </c>
    </row>
    <row r="10035" spans="1:6" x14ac:dyDescent="0.25">
      <c r="A10035" s="1" t="str">
        <f t="shared" si="359"/>
        <v>19820</v>
      </c>
      <c r="B10035" s="1" t="str">
        <f>"48331"</f>
        <v>48331</v>
      </c>
      <c r="C10035" s="2">
        <v>4.3744926048844999E-3</v>
      </c>
      <c r="D10035" s="2">
        <v>3.3553729900711701E-3</v>
      </c>
      <c r="E10035" s="2">
        <v>3.0892716766194499E-3</v>
      </c>
      <c r="F10035" s="2">
        <v>4.2531256272043301E-3</v>
      </c>
    </row>
    <row r="10036" spans="1:6" x14ac:dyDescent="0.25">
      <c r="A10036" s="1" t="str">
        <f t="shared" si="359"/>
        <v>19820</v>
      </c>
      <c r="B10036" s="1" t="str">
        <f>"48321"</f>
        <v>48321</v>
      </c>
      <c r="C10036" s="2">
        <v>6.8844152702793998E-4</v>
      </c>
      <c r="D10036" s="2">
        <v>1.6859239082681601E-3</v>
      </c>
      <c r="E10036" s="2">
        <v>2.7582782826959398E-5</v>
      </c>
      <c r="F10036" s="2">
        <v>7.4665886484342504E-4</v>
      </c>
    </row>
    <row r="10037" spans="1:6" x14ac:dyDescent="0.25">
      <c r="A10037" s="1" t="str">
        <f t="shared" si="359"/>
        <v>19820</v>
      </c>
      <c r="B10037" s="1" t="str">
        <f>"48195"</f>
        <v>48195</v>
      </c>
      <c r="C10037" s="2">
        <v>7.6512000720758101E-3</v>
      </c>
      <c r="D10037" s="2">
        <v>6.37575784201739E-3</v>
      </c>
      <c r="E10037" s="2">
        <v>9.1574838985505197E-3</v>
      </c>
      <c r="F10037" s="2">
        <v>7.5976348981822801E-3</v>
      </c>
    </row>
    <row r="10038" spans="1:6" x14ac:dyDescent="0.25">
      <c r="A10038" s="1" t="str">
        <f t="shared" si="359"/>
        <v>19820</v>
      </c>
      <c r="B10038" s="1" t="str">
        <f>"48202"</f>
        <v>48202</v>
      </c>
      <c r="C10038" s="2">
        <v>5.4179270957070797E-3</v>
      </c>
      <c r="D10038" s="2">
        <v>8.1275810561462006E-3</v>
      </c>
      <c r="E10038" s="2">
        <v>8.5092885021169698E-3</v>
      </c>
      <c r="F10038" s="2">
        <v>5.7303346816729803E-3</v>
      </c>
    </row>
    <row r="10039" spans="1:6" x14ac:dyDescent="0.25">
      <c r="A10039" s="1" t="str">
        <f t="shared" si="359"/>
        <v>19820</v>
      </c>
      <c r="B10039" s="1" t="str">
        <f>"48228"</f>
        <v>48228</v>
      </c>
      <c r="C10039" s="2">
        <v>1.2114318506542101E-2</v>
      </c>
      <c r="D10039" s="2">
        <v>7.53997891222212E-3</v>
      </c>
      <c r="E10039" s="2">
        <v>1.0440083300004101E-2</v>
      </c>
      <c r="F10039" s="2">
        <v>1.16988165348149E-2</v>
      </c>
    </row>
    <row r="10040" spans="1:6" x14ac:dyDescent="0.25">
      <c r="A10040" s="1" t="str">
        <f t="shared" si="359"/>
        <v>19820</v>
      </c>
      <c r="B10040" s="1" t="str">
        <f>"48855"</f>
        <v>48855</v>
      </c>
      <c r="C10040" s="2">
        <v>3.3741469151845902E-3</v>
      </c>
      <c r="D10040" s="2">
        <v>1.2081539407784901E-3</v>
      </c>
      <c r="E10040" s="2">
        <v>4.2753313381786999E-4</v>
      </c>
      <c r="F10040" s="2">
        <v>3.1094096867123801E-3</v>
      </c>
    </row>
    <row r="10041" spans="1:6" x14ac:dyDescent="0.25">
      <c r="A10041" s="1" t="str">
        <f t="shared" si="359"/>
        <v>19820</v>
      </c>
      <c r="B10041" s="1" t="str">
        <f>"49285"</f>
        <v>49285</v>
      </c>
      <c r="C10041" s="2">
        <v>4.89645467302944E-5</v>
      </c>
      <c r="D10041" s="2">
        <v>1.0983217643440799E-5</v>
      </c>
      <c r="E10041" s="2">
        <v>0</v>
      </c>
      <c r="F10041" s="2">
        <v>4.4407699250162903E-5</v>
      </c>
    </row>
    <row r="10042" spans="1:6" x14ac:dyDescent="0.25">
      <c r="A10042" s="1" t="str">
        <f t="shared" si="359"/>
        <v>19820</v>
      </c>
      <c r="B10042" s="1" t="str">
        <f>"48377"</f>
        <v>48377</v>
      </c>
      <c r="C10042" s="2">
        <v>5.0619548409778399E-3</v>
      </c>
      <c r="D10042" s="2">
        <v>5.4202179070380399E-3</v>
      </c>
      <c r="E10042" s="2">
        <v>9.6263912066088305E-3</v>
      </c>
      <c r="F10042" s="2">
        <v>5.2344487067128298E-3</v>
      </c>
    </row>
    <row r="10043" spans="1:6" x14ac:dyDescent="0.25">
      <c r="A10043" s="1" t="str">
        <f t="shared" si="359"/>
        <v>19820</v>
      </c>
      <c r="B10043" s="1" t="str">
        <f>"48393"</f>
        <v>48393</v>
      </c>
      <c r="C10043" s="2">
        <v>4.2231921554878897E-3</v>
      </c>
      <c r="D10043" s="2">
        <v>8.2978209296195402E-3</v>
      </c>
      <c r="E10043" s="2">
        <v>8.5506626763574099E-3</v>
      </c>
      <c r="F10043" s="2">
        <v>4.68283542288973E-3</v>
      </c>
    </row>
    <row r="10044" spans="1:6" x14ac:dyDescent="0.25">
      <c r="A10044" s="1" t="str">
        <f t="shared" si="359"/>
        <v>19820</v>
      </c>
      <c r="B10044" s="1" t="str">
        <f>"48357"</f>
        <v>48357</v>
      </c>
      <c r="C10044" s="2">
        <v>2.4164003811400301E-3</v>
      </c>
      <c r="D10044" s="2">
        <v>3.2839820753888002E-3</v>
      </c>
      <c r="E10044" s="2">
        <v>7.5852652774138296E-4</v>
      </c>
      <c r="F10044" s="2">
        <v>2.43284532754814E-3</v>
      </c>
    </row>
    <row r="10045" spans="1:6" x14ac:dyDescent="0.25">
      <c r="A10045" s="1" t="str">
        <f t="shared" si="359"/>
        <v>19820</v>
      </c>
      <c r="B10045" s="1" t="str">
        <f>"48360"</f>
        <v>48360</v>
      </c>
      <c r="C10045" s="2">
        <v>2.5603561485270901E-3</v>
      </c>
      <c r="D10045" s="2">
        <v>1.5376504700817101E-3</v>
      </c>
      <c r="E10045" s="2">
        <v>2.2893709746376299E-3</v>
      </c>
      <c r="F10045" s="2">
        <v>2.4707224827909199E-3</v>
      </c>
    </row>
    <row r="10046" spans="1:6" x14ac:dyDescent="0.25">
      <c r="A10046" s="1" t="str">
        <f t="shared" si="359"/>
        <v>19820</v>
      </c>
      <c r="B10046" s="1" t="str">
        <f>"48421"</f>
        <v>48421</v>
      </c>
      <c r="C10046" s="2">
        <v>1.40528249115945E-3</v>
      </c>
      <c r="D10046" s="2">
        <v>3.1851331165978297E-4</v>
      </c>
      <c r="E10046" s="2">
        <v>2.34453654029155E-4</v>
      </c>
      <c r="F10046" s="2">
        <v>1.28216347344833E-3</v>
      </c>
    </row>
    <row r="10047" spans="1:6" x14ac:dyDescent="0.25">
      <c r="A10047" s="1" t="str">
        <f t="shared" si="359"/>
        <v>19820</v>
      </c>
      <c r="B10047" s="1" t="str">
        <f>"48341"</f>
        <v>48341</v>
      </c>
      <c r="C10047" s="2">
        <v>3.9201016112273704E-3</v>
      </c>
      <c r="D10047" s="2">
        <v>5.8760214392408298E-3</v>
      </c>
      <c r="E10047" s="2">
        <v>4.19258298969783E-3</v>
      </c>
      <c r="F10047" s="2">
        <v>4.0837668526130201E-3</v>
      </c>
    </row>
    <row r="10048" spans="1:6" x14ac:dyDescent="0.25">
      <c r="A10048" s="1" t="str">
        <f t="shared" si="359"/>
        <v>19820</v>
      </c>
      <c r="B10048" s="1" t="str">
        <f>"48356"</f>
        <v>48356</v>
      </c>
      <c r="C10048" s="2">
        <v>1.7450964454676901E-3</v>
      </c>
      <c r="D10048" s="2">
        <v>8.6767419383182399E-4</v>
      </c>
      <c r="E10048" s="2">
        <v>7.0336096208746502E-4</v>
      </c>
      <c r="F10048" s="2">
        <v>1.64264950265553E-3</v>
      </c>
    </row>
    <row r="10049" spans="1:6" x14ac:dyDescent="0.25">
      <c r="A10049" s="1" t="str">
        <f t="shared" si="359"/>
        <v>19820</v>
      </c>
      <c r="B10049" s="1" t="str">
        <f>"48167"</f>
        <v>48167</v>
      </c>
      <c r="C10049" s="2">
        <v>5.2504683458894702E-3</v>
      </c>
      <c r="D10049" s="2">
        <v>5.6508654775503002E-3</v>
      </c>
      <c r="E10049" s="2">
        <v>7.2128977092498804E-3</v>
      </c>
      <c r="F10049" s="2">
        <v>5.3441618460367598E-3</v>
      </c>
    </row>
    <row r="10050" spans="1:6" x14ac:dyDescent="0.25">
      <c r="A10050" s="1" t="str">
        <f t="shared" si="359"/>
        <v>19820</v>
      </c>
      <c r="B10050" s="1" t="str">
        <f>"48169"</f>
        <v>48169</v>
      </c>
      <c r="C10050" s="2">
        <v>4.3637204046038398E-3</v>
      </c>
      <c r="D10050" s="2">
        <v>2.1856603110447198E-3</v>
      </c>
      <c r="E10050" s="2">
        <v>8.1369209339530199E-4</v>
      </c>
      <c r="F10050" s="2">
        <v>4.0789777870076102E-3</v>
      </c>
    </row>
    <row r="10051" spans="1:6" x14ac:dyDescent="0.25">
      <c r="A10051" s="1" t="str">
        <f t="shared" si="359"/>
        <v>19820</v>
      </c>
      <c r="B10051" s="1" t="str">
        <f>"48173"</f>
        <v>48173</v>
      </c>
      <c r="C10051" s="2">
        <v>2.7341802894196398E-3</v>
      </c>
      <c r="D10051" s="2">
        <v>1.0049644143748299E-3</v>
      </c>
      <c r="E10051" s="2">
        <v>2.1238742776758701E-3</v>
      </c>
      <c r="F10051" s="2">
        <v>2.5778234045119E-3</v>
      </c>
    </row>
    <row r="10052" spans="1:6" x14ac:dyDescent="0.25">
      <c r="A10052" s="1" t="str">
        <f t="shared" si="359"/>
        <v>19820</v>
      </c>
      <c r="B10052" s="1" t="str">
        <f>"48126"</f>
        <v>48126</v>
      </c>
      <c r="C10052" s="2">
        <v>8.3146696802712996E-3</v>
      </c>
      <c r="D10052" s="2">
        <v>1.23396450224057E-2</v>
      </c>
      <c r="E10052" s="2">
        <v>1.52532789033085E-2</v>
      </c>
      <c r="F10052" s="2">
        <v>8.8528054564001191E-3</v>
      </c>
    </row>
    <row r="10053" spans="1:6" x14ac:dyDescent="0.25">
      <c r="A10053" s="1" t="str">
        <f t="shared" si="359"/>
        <v>19820</v>
      </c>
      <c r="B10053" s="1" t="str">
        <f>"48128"</f>
        <v>48128</v>
      </c>
      <c r="C10053" s="2">
        <v>2.2680378045472301E-3</v>
      </c>
      <c r="D10053" s="2">
        <v>1.0488972849485899E-3</v>
      </c>
      <c r="E10053" s="2">
        <v>3.3099339392351199E-4</v>
      </c>
      <c r="F10053" s="2">
        <v>2.1102364535837202E-3</v>
      </c>
    </row>
    <row r="10054" spans="1:6" x14ac:dyDescent="0.25">
      <c r="A10054" s="1" t="str">
        <f t="shared" si="359"/>
        <v>19820</v>
      </c>
      <c r="B10054" s="1" t="str">
        <f>"48153"</f>
        <v>48153</v>
      </c>
      <c r="C10054" s="2">
        <v>5.9932605197880403E-4</v>
      </c>
      <c r="D10054" s="2">
        <v>2.21311835515332E-3</v>
      </c>
      <c r="E10054" s="2">
        <v>2.7582782826959398E-5</v>
      </c>
      <c r="F10054" s="2">
        <v>7.0921707920113095E-4</v>
      </c>
    </row>
    <row r="10055" spans="1:6" x14ac:dyDescent="0.25">
      <c r="A10055" s="1" t="str">
        <f t="shared" si="359"/>
        <v>19820</v>
      </c>
      <c r="B10055" s="1" t="str">
        <f>"48122"</f>
        <v>48122</v>
      </c>
      <c r="C10055" s="2">
        <v>2.37771838922309E-3</v>
      </c>
      <c r="D10055" s="2">
        <v>1.5980581671206299E-3</v>
      </c>
      <c r="E10055" s="2">
        <v>3.1030630680329301E-3</v>
      </c>
      <c r="F10055" s="2">
        <v>2.3388054938419099E-3</v>
      </c>
    </row>
    <row r="10056" spans="1:6" x14ac:dyDescent="0.25">
      <c r="A10056" s="1" t="str">
        <f t="shared" si="359"/>
        <v>19820</v>
      </c>
      <c r="B10056" s="1" t="str">
        <f>"48143"</f>
        <v>48143</v>
      </c>
      <c r="C10056" s="2">
        <v>9.3032638787559405E-6</v>
      </c>
      <c r="D10056" s="2">
        <v>0</v>
      </c>
      <c r="E10056" s="2">
        <v>1.3791391413479699E-5</v>
      </c>
      <c r="F10056" s="2">
        <v>8.7073920098358707E-6</v>
      </c>
    </row>
    <row r="10057" spans="1:6" x14ac:dyDescent="0.25">
      <c r="A10057" s="1" t="str">
        <f t="shared" si="359"/>
        <v>19820</v>
      </c>
      <c r="B10057" s="1" t="str">
        <f>"48233"</f>
        <v>48233</v>
      </c>
      <c r="C10057" s="2">
        <v>0</v>
      </c>
      <c r="D10057" s="2">
        <v>2.3064757051225699E-4</v>
      </c>
      <c r="E10057" s="2">
        <v>4.1374174240439101E-5</v>
      </c>
      <c r="F10057" s="2">
        <v>1.9591632022130699E-5</v>
      </c>
    </row>
    <row r="10058" spans="1:6" x14ac:dyDescent="0.25">
      <c r="A10058" s="1" t="str">
        <f t="shared" ref="A10058:A10121" si="360">"19820"</f>
        <v>19820</v>
      </c>
      <c r="B10058" s="1" t="str">
        <f>"48204"</f>
        <v>48204</v>
      </c>
      <c r="C10058" s="2">
        <v>7.9738764350284503E-3</v>
      </c>
      <c r="D10058" s="2">
        <v>5.3323521658905099E-3</v>
      </c>
      <c r="E10058" s="2">
        <v>1.7349570398157401E-2</v>
      </c>
      <c r="F10058" s="2">
        <v>8.0604327835050605E-3</v>
      </c>
    </row>
    <row r="10059" spans="1:6" x14ac:dyDescent="0.25">
      <c r="A10059" s="1" t="str">
        <f t="shared" si="360"/>
        <v>19820</v>
      </c>
      <c r="B10059" s="1" t="str">
        <f>"48226"</f>
        <v>48226</v>
      </c>
      <c r="C10059" s="2">
        <v>2.3145541239410101E-3</v>
      </c>
      <c r="D10059" s="2">
        <v>1.7880678323521599E-2</v>
      </c>
      <c r="E10059" s="2">
        <v>5.5717221310458004E-3</v>
      </c>
      <c r="F10059" s="2">
        <v>3.6514448393246699E-3</v>
      </c>
    </row>
    <row r="10060" spans="1:6" x14ac:dyDescent="0.25">
      <c r="A10060" s="1" t="str">
        <f t="shared" si="360"/>
        <v>19820</v>
      </c>
      <c r="B10060" s="1" t="str">
        <f>"48727"</f>
        <v>48727</v>
      </c>
      <c r="C10060" s="2">
        <v>1.6941733168681801E-4</v>
      </c>
      <c r="D10060" s="2">
        <v>4.9424479395483698E-5</v>
      </c>
      <c r="E10060" s="2">
        <v>0</v>
      </c>
      <c r="F10060" s="2">
        <v>1.54556208174586E-4</v>
      </c>
    </row>
    <row r="10061" spans="1:6" x14ac:dyDescent="0.25">
      <c r="A10061" s="1" t="str">
        <f t="shared" si="360"/>
        <v>19820</v>
      </c>
      <c r="B10061" s="1" t="str">
        <f>"48346"</f>
        <v>48346</v>
      </c>
      <c r="C10061" s="2">
        <v>4.8440626080280304E-3</v>
      </c>
      <c r="D10061" s="2">
        <v>5.3543186011773998E-3</v>
      </c>
      <c r="E10061" s="2">
        <v>6.1509605704119404E-3</v>
      </c>
      <c r="F10061" s="2">
        <v>4.92577165996415E-3</v>
      </c>
    </row>
    <row r="10062" spans="1:6" x14ac:dyDescent="0.25">
      <c r="A10062" s="1" t="str">
        <f t="shared" si="360"/>
        <v>19820</v>
      </c>
      <c r="B10062" s="1" t="str">
        <f>"48376"</f>
        <v>48376</v>
      </c>
      <c r="C10062" s="2">
        <v>3.1875919921421598E-4</v>
      </c>
      <c r="D10062" s="2">
        <v>2.3119673139442901E-3</v>
      </c>
      <c r="E10062" s="2">
        <v>1.3791391413479699E-5</v>
      </c>
      <c r="F10062" s="2">
        <v>4.67151581327694E-4</v>
      </c>
    </row>
    <row r="10063" spans="1:6" x14ac:dyDescent="0.25">
      <c r="A10063" s="1" t="str">
        <f t="shared" si="360"/>
        <v>19820</v>
      </c>
      <c r="B10063" s="1" t="str">
        <f>"48423"</f>
        <v>48423</v>
      </c>
      <c r="C10063" s="2">
        <v>2.54615642997531E-5</v>
      </c>
      <c r="D10063" s="2">
        <v>0</v>
      </c>
      <c r="E10063" s="2">
        <v>0</v>
      </c>
      <c r="F10063" s="2">
        <v>2.2639219225573199E-5</v>
      </c>
    </row>
    <row r="10064" spans="1:6" x14ac:dyDescent="0.25">
      <c r="A10064" s="1" t="str">
        <f t="shared" si="360"/>
        <v>19820</v>
      </c>
      <c r="B10064" s="1" t="str">
        <f>"48361"</f>
        <v>48361</v>
      </c>
      <c r="C10064" s="2">
        <v>2.47270960987987E-4</v>
      </c>
      <c r="D10064" s="2">
        <v>1.4333099024690201E-3</v>
      </c>
      <c r="E10064" s="2">
        <v>2.7582782826959398E-5</v>
      </c>
      <c r="F10064" s="2">
        <v>3.3436385317769701E-4</v>
      </c>
    </row>
    <row r="10065" spans="1:6" x14ac:dyDescent="0.25">
      <c r="A10065" s="1" t="str">
        <f t="shared" si="360"/>
        <v>19820</v>
      </c>
      <c r="B10065" s="1" t="str">
        <f>"48164"</f>
        <v>48164</v>
      </c>
      <c r="C10065" s="2">
        <v>1.9776780424365899E-3</v>
      </c>
      <c r="D10065" s="2">
        <v>9.6652315262279196E-4</v>
      </c>
      <c r="E10065" s="2">
        <v>4.8269869947178902E-4</v>
      </c>
      <c r="F10065" s="2">
        <v>1.8503208020901199E-3</v>
      </c>
    </row>
    <row r="10066" spans="1:6" x14ac:dyDescent="0.25">
      <c r="A10066" s="1" t="str">
        <f t="shared" si="360"/>
        <v>19820</v>
      </c>
      <c r="B10066" s="1" t="str">
        <f>"48170"</f>
        <v>48170</v>
      </c>
      <c r="C10066" s="2">
        <v>9.8311016925085194E-3</v>
      </c>
      <c r="D10066" s="2">
        <v>1.55687110095773E-2</v>
      </c>
      <c r="E10066" s="2">
        <v>1.4605083506875E-2</v>
      </c>
      <c r="F10066" s="2">
        <v>1.0436680062989199E-2</v>
      </c>
    </row>
    <row r="10067" spans="1:6" x14ac:dyDescent="0.25">
      <c r="A10067" s="1" t="str">
        <f t="shared" si="360"/>
        <v>19820</v>
      </c>
      <c r="B10067" s="1" t="str">
        <f>"48183"</f>
        <v>48183</v>
      </c>
      <c r="C10067" s="2">
        <v>9.8879005667156603E-3</v>
      </c>
      <c r="D10067" s="2">
        <v>7.0677005535541597E-3</v>
      </c>
      <c r="E10067" s="2">
        <v>1.3763808630652701E-2</v>
      </c>
      <c r="F10067" s="2">
        <v>9.7866732494550201E-3</v>
      </c>
    </row>
    <row r="10068" spans="1:6" x14ac:dyDescent="0.25">
      <c r="A10068" s="1" t="str">
        <f t="shared" si="360"/>
        <v>19820</v>
      </c>
      <c r="B10068" s="1" t="str">
        <f>"48151"</f>
        <v>48151</v>
      </c>
      <c r="C10068" s="2">
        <v>4.6369425753588802E-4</v>
      </c>
      <c r="D10068" s="2">
        <v>2.7293295843950401E-3</v>
      </c>
      <c r="E10068" s="2">
        <v>1.3791391413479699E-5</v>
      </c>
      <c r="F10068" s="2">
        <v>6.2910907271064099E-4</v>
      </c>
    </row>
    <row r="10069" spans="1:6" x14ac:dyDescent="0.25">
      <c r="A10069" s="1" t="str">
        <f t="shared" si="360"/>
        <v>19820</v>
      </c>
      <c r="B10069" s="1" t="str">
        <f>"48085"</f>
        <v>48085</v>
      </c>
      <c r="C10069" s="2">
        <v>4.5997295198438601E-3</v>
      </c>
      <c r="D10069" s="2">
        <v>2.6085141903171901E-3</v>
      </c>
      <c r="E10069" s="2">
        <v>8.6885765904922102E-4</v>
      </c>
      <c r="F10069" s="2">
        <v>4.3240908720844897E-3</v>
      </c>
    </row>
    <row r="10070" spans="1:6" x14ac:dyDescent="0.25">
      <c r="A10070" s="1" t="str">
        <f t="shared" si="360"/>
        <v>19820</v>
      </c>
      <c r="B10070" s="1" t="str">
        <f>"48096"</f>
        <v>48096</v>
      </c>
      <c r="C10070" s="2">
        <v>7.7021232006753101E-4</v>
      </c>
      <c r="D10070" s="2">
        <v>3.5146296459010601E-4</v>
      </c>
      <c r="E10070" s="2">
        <v>8.2748348480878202E-5</v>
      </c>
      <c r="F10070" s="2">
        <v>7.1531225360801595E-4</v>
      </c>
    </row>
    <row r="10071" spans="1:6" x14ac:dyDescent="0.25">
      <c r="A10071" s="1" t="str">
        <f t="shared" si="360"/>
        <v>19820</v>
      </c>
      <c r="B10071" s="1" t="str">
        <f>"48097"</f>
        <v>48097</v>
      </c>
      <c r="C10071" s="2">
        <v>9.7047731619443595E-4</v>
      </c>
      <c r="D10071" s="2">
        <v>6.9194271153677099E-4</v>
      </c>
      <c r="E10071" s="2">
        <v>9.6539739894357902E-4</v>
      </c>
      <c r="F10071" s="2">
        <v>9.4823498987112599E-4</v>
      </c>
    </row>
    <row r="10072" spans="1:6" x14ac:dyDescent="0.25">
      <c r="A10072" s="1" t="str">
        <f t="shared" si="360"/>
        <v>19820</v>
      </c>
      <c r="B10072" s="1" t="str">
        <f>"48043"</f>
        <v>48043</v>
      </c>
      <c r="C10072" s="2">
        <v>3.8324550725801401E-3</v>
      </c>
      <c r="D10072" s="2">
        <v>6.4746068008083597E-3</v>
      </c>
      <c r="E10072" s="2">
        <v>7.6266394516542697E-3</v>
      </c>
      <c r="F10072" s="2">
        <v>4.1616980111010499E-3</v>
      </c>
    </row>
    <row r="10073" spans="1:6" x14ac:dyDescent="0.25">
      <c r="A10073" s="1" t="str">
        <f t="shared" si="360"/>
        <v>19820</v>
      </c>
      <c r="B10073" s="1" t="str">
        <f>"48045"</f>
        <v>48045</v>
      </c>
      <c r="C10073" s="2">
        <v>6.6165791996646902E-3</v>
      </c>
      <c r="D10073" s="2">
        <v>2.5371232756348202E-3</v>
      </c>
      <c r="E10073" s="2">
        <v>9.2816064212718399E-3</v>
      </c>
      <c r="F10073" s="2">
        <v>6.3772939080037902E-3</v>
      </c>
    </row>
    <row r="10074" spans="1:6" x14ac:dyDescent="0.25">
      <c r="A10074" s="1" t="str">
        <f t="shared" si="360"/>
        <v>19820</v>
      </c>
      <c r="B10074" s="1" t="str">
        <f>"48005"</f>
        <v>48005</v>
      </c>
      <c r="C10074" s="2">
        <v>1.02874512680348E-3</v>
      </c>
      <c r="D10074" s="2">
        <v>3.8990422634214902E-4</v>
      </c>
      <c r="E10074" s="2">
        <v>2.8961921968307302E-4</v>
      </c>
      <c r="F10074" s="2">
        <v>9.5476553387850304E-4</v>
      </c>
    </row>
    <row r="10075" spans="1:6" x14ac:dyDescent="0.25">
      <c r="A10075" s="1" t="str">
        <f t="shared" si="360"/>
        <v>19820</v>
      </c>
      <c r="B10075" s="1" t="str">
        <f>"48059"</f>
        <v>48059</v>
      </c>
      <c r="C10075" s="2">
        <v>3.99403807679011E-3</v>
      </c>
      <c r="D10075" s="2">
        <v>3.3553729900711701E-3</v>
      </c>
      <c r="E10075" s="2">
        <v>3.3650995048890402E-3</v>
      </c>
      <c r="F10075" s="2">
        <v>3.9235508396320397E-3</v>
      </c>
    </row>
    <row r="10076" spans="1:6" x14ac:dyDescent="0.25">
      <c r="A10076" s="1" t="str">
        <f t="shared" si="360"/>
        <v>19820</v>
      </c>
      <c r="B10076" s="1" t="str">
        <f>"48061"</f>
        <v>48061</v>
      </c>
      <c r="C10076" s="2">
        <v>4.6516319393779702E-4</v>
      </c>
      <c r="D10076" s="2">
        <v>1.3893770318952601E-3</v>
      </c>
      <c r="E10076" s="2">
        <v>2.7582782826959398E-5</v>
      </c>
      <c r="F10076" s="2">
        <v>5.2462036859261102E-4</v>
      </c>
    </row>
    <row r="10077" spans="1:6" x14ac:dyDescent="0.25">
      <c r="A10077" s="1" t="str">
        <f t="shared" si="360"/>
        <v>19820</v>
      </c>
      <c r="B10077" s="1" t="str">
        <f>"48064"</f>
        <v>48064</v>
      </c>
      <c r="C10077" s="2">
        <v>9.2738851507177702E-4</v>
      </c>
      <c r="D10077" s="2">
        <v>3.2400492048150398E-4</v>
      </c>
      <c r="E10077" s="2">
        <v>1.10331131307837E-4</v>
      </c>
      <c r="F10077" s="2">
        <v>8.5375978656440697E-4</v>
      </c>
    </row>
    <row r="10078" spans="1:6" x14ac:dyDescent="0.25">
      <c r="A10078" s="1" t="str">
        <f t="shared" si="360"/>
        <v>19820</v>
      </c>
      <c r="B10078" s="1" t="str">
        <f>"48235"</f>
        <v>48235</v>
      </c>
      <c r="C10078" s="2">
        <v>1.04083936984586E-2</v>
      </c>
      <c r="D10078" s="2">
        <v>8.3692118443019006E-3</v>
      </c>
      <c r="E10078" s="2">
        <v>4.3442882952461001E-3</v>
      </c>
      <c r="F10078" s="2">
        <v>1.0055296292958401E-2</v>
      </c>
    </row>
    <row r="10079" spans="1:6" x14ac:dyDescent="0.25">
      <c r="A10079" s="1" t="str">
        <f t="shared" si="360"/>
        <v>19820</v>
      </c>
      <c r="B10079" s="1" t="str">
        <f>"48303"</f>
        <v>48303</v>
      </c>
      <c r="C10079" s="2">
        <v>3.2953139949488101E-4</v>
      </c>
      <c r="D10079" s="2">
        <v>1.64748264651612E-3</v>
      </c>
      <c r="E10079" s="2">
        <v>4.1374174240439101E-5</v>
      </c>
      <c r="F10079" s="2">
        <v>4.2492073007999002E-4</v>
      </c>
    </row>
    <row r="10080" spans="1:6" x14ac:dyDescent="0.25">
      <c r="A10080" s="1" t="str">
        <f t="shared" si="360"/>
        <v>19820</v>
      </c>
      <c r="B10080" s="1" t="str">
        <f>"48335"</f>
        <v>48335</v>
      </c>
      <c r="C10080" s="2">
        <v>5.5212422893080003E-3</v>
      </c>
      <c r="D10080" s="2">
        <v>5.0138388542307301E-3</v>
      </c>
      <c r="E10080" s="2">
        <v>1.696341143858E-2</v>
      </c>
      <c r="F10080" s="2">
        <v>5.8422246689993698E-3</v>
      </c>
    </row>
    <row r="10081" spans="1:6" x14ac:dyDescent="0.25">
      <c r="A10081" s="1" t="str">
        <f t="shared" si="360"/>
        <v>19820</v>
      </c>
      <c r="B10081" s="1" t="str">
        <f>"48324"</f>
        <v>48324</v>
      </c>
      <c r="C10081" s="2">
        <v>3.33497527780035E-3</v>
      </c>
      <c r="D10081" s="2">
        <v>4.9973640277655698E-4</v>
      </c>
      <c r="E10081" s="2">
        <v>1.02056296459749E-3</v>
      </c>
      <c r="F10081" s="2">
        <v>3.0371383330307501E-3</v>
      </c>
    </row>
    <row r="10082" spans="1:6" x14ac:dyDescent="0.25">
      <c r="A10082" s="1" t="str">
        <f t="shared" si="360"/>
        <v>19820</v>
      </c>
      <c r="B10082" s="1" t="str">
        <f>"48327"</f>
        <v>48327</v>
      </c>
      <c r="C10082" s="2">
        <v>5.1593942889711199E-3</v>
      </c>
      <c r="D10082" s="2">
        <v>4.16263948686407E-3</v>
      </c>
      <c r="E10082" s="2">
        <v>8.3713745879821794E-3</v>
      </c>
      <c r="F10082" s="2">
        <v>5.18176898505332E-3</v>
      </c>
    </row>
    <row r="10083" spans="1:6" x14ac:dyDescent="0.25">
      <c r="A10083" s="1" t="str">
        <f t="shared" si="360"/>
        <v>19820</v>
      </c>
      <c r="B10083" s="1" t="str">
        <f>"48206"</f>
        <v>48206</v>
      </c>
      <c r="C10083" s="2">
        <v>6.0206806659570001E-3</v>
      </c>
      <c r="D10083" s="2">
        <v>2.2680344433705199E-3</v>
      </c>
      <c r="E10083" s="2">
        <v>6.6612420527106904E-3</v>
      </c>
      <c r="F10083" s="2">
        <v>5.7433957696877303E-3</v>
      </c>
    </row>
    <row r="10084" spans="1:6" x14ac:dyDescent="0.25">
      <c r="A10084" s="1" t="str">
        <f t="shared" si="360"/>
        <v>19820</v>
      </c>
      <c r="B10084" s="1" t="str">
        <f>"48211"</f>
        <v>48211</v>
      </c>
      <c r="C10084" s="2">
        <v>1.6427605428013701E-3</v>
      </c>
      <c r="D10084" s="2">
        <v>3.6629030840875099E-3</v>
      </c>
      <c r="E10084" s="2">
        <v>2.6893213256285399E-3</v>
      </c>
      <c r="F10084" s="2">
        <v>1.83595360527389E-3</v>
      </c>
    </row>
    <row r="10085" spans="1:6" x14ac:dyDescent="0.25">
      <c r="A10085" s="1" t="str">
        <f t="shared" si="360"/>
        <v>19820</v>
      </c>
      <c r="B10085" s="1" t="str">
        <f>"48221"</f>
        <v>48221</v>
      </c>
      <c r="C10085" s="2">
        <v>8.3381726627018392E-3</v>
      </c>
      <c r="D10085" s="2">
        <v>7.0182760741586796E-3</v>
      </c>
      <c r="E10085" s="2">
        <v>6.2475003103063002E-3</v>
      </c>
      <c r="F10085" s="2">
        <v>8.1675337052260401E-3</v>
      </c>
    </row>
    <row r="10086" spans="1:6" x14ac:dyDescent="0.25">
      <c r="A10086" s="1" t="str">
        <f t="shared" si="360"/>
        <v>19820</v>
      </c>
      <c r="B10086" s="1" t="str">
        <f>"48363"</f>
        <v>48363</v>
      </c>
      <c r="C10086" s="2">
        <v>1.3362424802697301E-3</v>
      </c>
      <c r="D10086" s="2">
        <v>1.04340567612687E-4</v>
      </c>
      <c r="E10086" s="2">
        <v>8.2748348480878202E-5</v>
      </c>
      <c r="F10086" s="2">
        <v>1.19900787975439E-3</v>
      </c>
    </row>
    <row r="10087" spans="1:6" x14ac:dyDescent="0.25">
      <c r="A10087" s="1" t="str">
        <f t="shared" si="360"/>
        <v>19820</v>
      </c>
      <c r="B10087" s="1" t="str">
        <f>"48387"</f>
        <v>48387</v>
      </c>
      <c r="C10087" s="2">
        <v>3.3687608150442501E-4</v>
      </c>
      <c r="D10087" s="2">
        <v>1.8232141288111699E-3</v>
      </c>
      <c r="E10087" s="2">
        <v>2.7582782826959398E-5</v>
      </c>
      <c r="F10087" s="2">
        <v>4.4494773170261197E-4</v>
      </c>
    </row>
    <row r="10088" spans="1:6" x14ac:dyDescent="0.25">
      <c r="A10088" s="1" t="str">
        <f t="shared" si="360"/>
        <v>19820</v>
      </c>
      <c r="B10088" s="1" t="str">
        <f>"48336"</f>
        <v>48336</v>
      </c>
      <c r="C10088" s="2">
        <v>5.9139379540849597E-3</v>
      </c>
      <c r="D10088" s="2">
        <v>7.0402425094455599E-3</v>
      </c>
      <c r="E10088" s="2">
        <v>7.6680136258947098E-3</v>
      </c>
      <c r="F10088" s="2">
        <v>6.0586033604437903E-3</v>
      </c>
    </row>
    <row r="10089" spans="1:6" x14ac:dyDescent="0.25">
      <c r="A10089" s="1" t="str">
        <f t="shared" si="360"/>
        <v>19820</v>
      </c>
      <c r="B10089" s="1" t="str">
        <f>"48370"</f>
        <v>48370</v>
      </c>
      <c r="C10089" s="2">
        <v>3.2904175402757798E-4</v>
      </c>
      <c r="D10089" s="2">
        <v>8.7865741147526502E-5</v>
      </c>
      <c r="E10089" s="2">
        <v>2.7582782826959398E-5</v>
      </c>
      <c r="F10089" s="2">
        <v>3.0040502433933698E-4</v>
      </c>
    </row>
    <row r="10090" spans="1:6" x14ac:dyDescent="0.25">
      <c r="A10090" s="1" t="str">
        <f t="shared" si="360"/>
        <v>19820</v>
      </c>
      <c r="B10090" s="1" t="str">
        <f>"48446"</f>
        <v>48446</v>
      </c>
      <c r="C10090" s="2">
        <v>6.9088975436445398E-3</v>
      </c>
      <c r="D10090" s="2">
        <v>7.5894033916176001E-3</v>
      </c>
      <c r="E10090" s="2">
        <v>7.9300500627508298E-3</v>
      </c>
      <c r="F10090" s="2">
        <v>6.9950833711016399E-3</v>
      </c>
    </row>
    <row r="10091" spans="1:6" x14ac:dyDescent="0.25">
      <c r="A10091" s="1" t="str">
        <f t="shared" si="360"/>
        <v>19820</v>
      </c>
      <c r="B10091" s="1" t="str">
        <f>"48150"</f>
        <v>48150</v>
      </c>
      <c r="C10091" s="2">
        <v>5.6456122380029502E-3</v>
      </c>
      <c r="D10091" s="2">
        <v>1.44813724628767E-2</v>
      </c>
      <c r="E10091" s="2">
        <v>2.4824504544263401E-3</v>
      </c>
      <c r="F10091" s="2">
        <v>6.2462476582557597E-3</v>
      </c>
    </row>
    <row r="10092" spans="1:6" x14ac:dyDescent="0.25">
      <c r="A10092" s="1" t="str">
        <f t="shared" si="360"/>
        <v>19820</v>
      </c>
      <c r="B10092" s="1" t="str">
        <f>"48117"</f>
        <v>48117</v>
      </c>
      <c r="C10092" s="2">
        <v>2.7909791636267799E-5</v>
      </c>
      <c r="D10092" s="2">
        <v>1.0983217643440799E-5</v>
      </c>
      <c r="E10092" s="2">
        <v>1.3791391413479699E-5</v>
      </c>
      <c r="F10092" s="2">
        <v>2.6122176029507599E-5</v>
      </c>
    </row>
    <row r="10093" spans="1:6" x14ac:dyDescent="0.25">
      <c r="A10093" s="1" t="str">
        <f t="shared" si="360"/>
        <v>19820</v>
      </c>
      <c r="B10093" s="1" t="str">
        <f>"48139"</f>
        <v>48139</v>
      </c>
      <c r="C10093" s="2">
        <v>5.53299378052327E-5</v>
      </c>
      <c r="D10093" s="2">
        <v>1.0983217643440799E-5</v>
      </c>
      <c r="E10093" s="2">
        <v>0</v>
      </c>
      <c r="F10093" s="2">
        <v>5.0067504056556199E-5</v>
      </c>
    </row>
    <row r="10094" spans="1:6" x14ac:dyDescent="0.25">
      <c r="A10094" s="1" t="str">
        <f t="shared" si="360"/>
        <v>19820</v>
      </c>
      <c r="B10094" s="1" t="str">
        <f>"48121"</f>
        <v>48121</v>
      </c>
      <c r="C10094" s="2">
        <v>7.3153032815059902E-4</v>
      </c>
      <c r="D10094" s="2">
        <v>1.9769791758193398E-3</v>
      </c>
      <c r="E10094" s="2">
        <v>1.3791391413479699E-5</v>
      </c>
      <c r="F10094" s="2">
        <v>8.0761060891227602E-4</v>
      </c>
    </row>
    <row r="10095" spans="1:6" x14ac:dyDescent="0.25">
      <c r="A10095" s="1" t="str">
        <f t="shared" si="360"/>
        <v>19820</v>
      </c>
      <c r="B10095" s="1" t="str">
        <f>"48317"</f>
        <v>48317</v>
      </c>
      <c r="C10095" s="2">
        <v>6.5524356434480003E-3</v>
      </c>
      <c r="D10095" s="2">
        <v>6.8809858536156704E-3</v>
      </c>
      <c r="E10095" s="2">
        <v>6.5647023128163401E-3</v>
      </c>
      <c r="F10095" s="2">
        <v>6.5788700330314904E-3</v>
      </c>
    </row>
    <row r="10096" spans="1:6" x14ac:dyDescent="0.25">
      <c r="A10096" s="1" t="str">
        <f t="shared" si="360"/>
        <v>19820</v>
      </c>
      <c r="B10096" s="1" t="str">
        <f>"48318"</f>
        <v>48318</v>
      </c>
      <c r="C10096" s="2">
        <v>5.7092661487523301E-4</v>
      </c>
      <c r="D10096" s="2">
        <v>3.6464282576223498E-3</v>
      </c>
      <c r="E10096" s="2">
        <v>2.7582782826959398E-5</v>
      </c>
      <c r="F10096" s="2">
        <v>7.9759710810096496E-4</v>
      </c>
    </row>
    <row r="10097" spans="1:6" x14ac:dyDescent="0.25">
      <c r="A10097" s="1" t="str">
        <f t="shared" si="360"/>
        <v>19820</v>
      </c>
      <c r="B10097" s="1" t="str">
        <f>"48212"</f>
        <v>48212</v>
      </c>
      <c r="C10097" s="2">
        <v>7.4205770569761203E-3</v>
      </c>
      <c r="D10097" s="2">
        <v>7.5948950004393204E-3</v>
      </c>
      <c r="E10097" s="2">
        <v>1.5542898122991601E-2</v>
      </c>
      <c r="F10097" s="2">
        <v>7.6908039926875298E-3</v>
      </c>
    </row>
    <row r="10098" spans="1:6" x14ac:dyDescent="0.25">
      <c r="A10098" s="1" t="str">
        <f t="shared" si="360"/>
        <v>19820</v>
      </c>
      <c r="B10098" s="1" t="str">
        <f>"48192"</f>
        <v>48192</v>
      </c>
      <c r="C10098" s="2">
        <v>6.1308508961001604E-3</v>
      </c>
      <c r="D10098" s="2">
        <v>5.6508654775503002E-3</v>
      </c>
      <c r="E10098" s="2">
        <v>1.1681308527217301E-2</v>
      </c>
      <c r="F10098" s="2">
        <v>6.2680161382803502E-3</v>
      </c>
    </row>
    <row r="10099" spans="1:6" x14ac:dyDescent="0.25">
      <c r="A10099" s="1" t="str">
        <f t="shared" si="360"/>
        <v>19820</v>
      </c>
      <c r="B10099" s="1" t="str">
        <f>"48188"</f>
        <v>48188</v>
      </c>
      <c r="C10099" s="2">
        <v>8.9051821138386496E-3</v>
      </c>
      <c r="D10099" s="2">
        <v>2.35040857569633E-3</v>
      </c>
      <c r="E10099" s="2">
        <v>3.9443379442551897E-3</v>
      </c>
      <c r="F10099" s="2">
        <v>8.2289208188953793E-3</v>
      </c>
    </row>
    <row r="10100" spans="1:6" x14ac:dyDescent="0.25">
      <c r="A10100" s="1" t="str">
        <f t="shared" si="360"/>
        <v>19820</v>
      </c>
      <c r="B10100" s="1" t="str">
        <f>"48201"</f>
        <v>48201</v>
      </c>
      <c r="C10100" s="2">
        <v>4.3769408322210197E-3</v>
      </c>
      <c r="D10100" s="2">
        <v>5.3488269923556804E-3</v>
      </c>
      <c r="E10100" s="2">
        <v>8.67478519907873E-3</v>
      </c>
      <c r="F10100" s="2">
        <v>4.5896663283844803E-3</v>
      </c>
    </row>
    <row r="10101" spans="1:6" x14ac:dyDescent="0.25">
      <c r="A10101" s="1" t="str">
        <f t="shared" si="360"/>
        <v>19820</v>
      </c>
      <c r="B10101" s="1" t="str">
        <f>"48219"</f>
        <v>48219</v>
      </c>
      <c r="C10101" s="2">
        <v>1.08250819911334E-2</v>
      </c>
      <c r="D10101" s="2">
        <v>6.63386345663825E-3</v>
      </c>
      <c r="E10101" s="2">
        <v>7.8473017142699497E-3</v>
      </c>
      <c r="F10101" s="2">
        <v>1.0398802907746399E-2</v>
      </c>
    </row>
    <row r="10102" spans="1:6" x14ac:dyDescent="0.25">
      <c r="A10102" s="1" t="str">
        <f t="shared" si="360"/>
        <v>19820</v>
      </c>
      <c r="B10102" s="1" t="str">
        <f>"48216"</f>
        <v>48216</v>
      </c>
      <c r="C10102" s="2">
        <v>1.38618631793463E-3</v>
      </c>
      <c r="D10102" s="2">
        <v>3.6189702135137501E-3</v>
      </c>
      <c r="E10102" s="2">
        <v>3.68230150739908E-3</v>
      </c>
      <c r="F10102" s="2">
        <v>1.63568358904766E-3</v>
      </c>
    </row>
    <row r="10103" spans="1:6" x14ac:dyDescent="0.25">
      <c r="A10103" s="1" t="str">
        <f t="shared" si="360"/>
        <v>19820</v>
      </c>
      <c r="B10103" s="1" t="str">
        <f>"48189"</f>
        <v>48189</v>
      </c>
      <c r="C10103" s="2">
        <v>1.3391803530735499E-3</v>
      </c>
      <c r="D10103" s="2">
        <v>1.2411035937088101E-3</v>
      </c>
      <c r="E10103" s="2">
        <v>1.13089409590533E-3</v>
      </c>
      <c r="F10103" s="2">
        <v>1.32482969429652E-3</v>
      </c>
    </row>
    <row r="10104" spans="1:6" x14ac:dyDescent="0.25">
      <c r="A10104" s="1" t="str">
        <f t="shared" si="360"/>
        <v>19820</v>
      </c>
      <c r="B10104" s="1" t="str">
        <f>"48455"</f>
        <v>48455</v>
      </c>
      <c r="C10104" s="2">
        <v>1.6966215442046999E-3</v>
      </c>
      <c r="D10104" s="2">
        <v>6.6997627624989001E-4</v>
      </c>
      <c r="E10104" s="2">
        <v>5.1028148229874902E-4</v>
      </c>
      <c r="F10104" s="2">
        <v>1.5777794321822499E-3</v>
      </c>
    </row>
    <row r="10105" spans="1:6" x14ac:dyDescent="0.25">
      <c r="A10105" s="1" t="str">
        <f t="shared" si="360"/>
        <v>19820</v>
      </c>
      <c r="B10105" s="1" t="str">
        <f>"48464"</f>
        <v>48464</v>
      </c>
      <c r="C10105" s="2">
        <v>3.7702700982326698E-4</v>
      </c>
      <c r="D10105" s="2">
        <v>3.2949652930322398E-5</v>
      </c>
      <c r="E10105" s="2">
        <v>4.1374174240439101E-5</v>
      </c>
      <c r="F10105" s="2">
        <v>3.39152918783107E-4</v>
      </c>
    </row>
    <row r="10106" spans="1:6" x14ac:dyDescent="0.25">
      <c r="A10106" s="1" t="str">
        <f t="shared" si="360"/>
        <v>19820</v>
      </c>
      <c r="B10106" s="1" t="str">
        <f>"48222"</f>
        <v>48222</v>
      </c>
      <c r="C10106" s="2">
        <v>0</v>
      </c>
      <c r="D10106" s="2">
        <v>5.4916088217204098E-6</v>
      </c>
      <c r="E10106" s="2">
        <v>0</v>
      </c>
      <c r="F10106" s="2">
        <v>4.3536960049179299E-7</v>
      </c>
    </row>
    <row r="10107" spans="1:6" x14ac:dyDescent="0.25">
      <c r="A10107" s="1" t="str">
        <f t="shared" si="360"/>
        <v>19820</v>
      </c>
      <c r="B10107" s="1" t="str">
        <f>"48333"</f>
        <v>48333</v>
      </c>
      <c r="C10107" s="2">
        <v>2.4825025192259199E-4</v>
      </c>
      <c r="D10107" s="2">
        <v>2.3284421404094501E-3</v>
      </c>
      <c r="E10107" s="2">
        <v>1.3791391413479699E-5</v>
      </c>
      <c r="F10107" s="2">
        <v>4.0576446765835098E-4</v>
      </c>
    </row>
    <row r="10108" spans="1:6" x14ac:dyDescent="0.25">
      <c r="A10108" s="1" t="str">
        <f t="shared" si="360"/>
        <v>19820</v>
      </c>
      <c r="B10108" s="1" t="str">
        <f>"48037"</f>
        <v>48037</v>
      </c>
      <c r="C10108" s="2">
        <v>6.5710421712055097E-4</v>
      </c>
      <c r="D10108" s="2">
        <v>4.8216325454705196E-3</v>
      </c>
      <c r="E10108" s="2">
        <v>2.7582782826959398E-5</v>
      </c>
      <c r="F10108" s="2">
        <v>9.6739125229276498E-4</v>
      </c>
    </row>
    <row r="10109" spans="1:6" x14ac:dyDescent="0.25">
      <c r="A10109" s="1" t="str">
        <f t="shared" si="360"/>
        <v>19820</v>
      </c>
      <c r="B10109" s="1" t="str">
        <f>"48311"</f>
        <v>48311</v>
      </c>
      <c r="C10109" s="2">
        <v>4.3088801122659099E-4</v>
      </c>
      <c r="D10109" s="2">
        <v>1.8671469993849299E-3</v>
      </c>
      <c r="E10109" s="2">
        <v>2.7582782826959398E-5</v>
      </c>
      <c r="F10109" s="2">
        <v>5.3202165180097098E-4</v>
      </c>
    </row>
    <row r="10110" spans="1:6" x14ac:dyDescent="0.25">
      <c r="A10110" s="1" t="str">
        <f t="shared" si="360"/>
        <v>19820</v>
      </c>
      <c r="B10110" s="1" t="str">
        <f>"48232"</f>
        <v>48232</v>
      </c>
      <c r="C10110" s="2">
        <v>3.8192346449629602E-4</v>
      </c>
      <c r="D10110" s="2">
        <v>1.7298567788419201E-3</v>
      </c>
      <c r="E10110" s="2">
        <v>2.7582782826959398E-5</v>
      </c>
      <c r="F10110" s="2">
        <v>4.77600451739497E-4</v>
      </c>
    </row>
    <row r="10111" spans="1:6" x14ac:dyDescent="0.25">
      <c r="A10111" s="1" t="str">
        <f t="shared" si="360"/>
        <v>19820</v>
      </c>
      <c r="B10111" s="1" t="str">
        <f>"48439"</f>
        <v>48439</v>
      </c>
      <c r="C10111" s="2">
        <v>1.2583888509685599E-4</v>
      </c>
      <c r="D10111" s="2">
        <v>5.4916088217204098E-6</v>
      </c>
      <c r="E10111" s="2">
        <v>0</v>
      </c>
      <c r="F10111" s="2">
        <v>1.12325356926882E-4</v>
      </c>
    </row>
    <row r="10112" spans="1:6" x14ac:dyDescent="0.25">
      <c r="A10112" s="1" t="str">
        <f t="shared" si="360"/>
        <v>19820</v>
      </c>
      <c r="B10112" s="1" t="str">
        <f>"48348"</f>
        <v>48348</v>
      </c>
      <c r="C10112" s="2">
        <v>4.7035343589120803E-3</v>
      </c>
      <c r="D10112" s="2">
        <v>1.2411035937088101E-3</v>
      </c>
      <c r="E10112" s="2">
        <v>1.64117557820408E-3</v>
      </c>
      <c r="F10112" s="2">
        <v>4.3323628944938299E-3</v>
      </c>
    </row>
    <row r="10113" spans="1:6" x14ac:dyDescent="0.25">
      <c r="A10113" s="1" t="str">
        <f t="shared" si="360"/>
        <v>19820</v>
      </c>
      <c r="B10113" s="1" t="str">
        <f>"48371"</f>
        <v>48371</v>
      </c>
      <c r="C10113" s="2">
        <v>5.0702788139219898E-3</v>
      </c>
      <c r="D10113" s="2">
        <v>4.5031192338107302E-3</v>
      </c>
      <c r="E10113" s="2">
        <v>2.8548180225902902E-3</v>
      </c>
      <c r="F10113" s="2">
        <v>4.9553767927975898E-3</v>
      </c>
    </row>
    <row r="10114" spans="1:6" x14ac:dyDescent="0.25">
      <c r="A10114" s="1" t="str">
        <f t="shared" si="360"/>
        <v>19820</v>
      </c>
      <c r="B10114" s="1" t="str">
        <f>"48390"</f>
        <v>48390</v>
      </c>
      <c r="C10114" s="2">
        <v>5.8395118430549101E-3</v>
      </c>
      <c r="D10114" s="2">
        <v>8.4076531060539392E-3</v>
      </c>
      <c r="E10114" s="2">
        <v>5.1166062144009702E-3</v>
      </c>
      <c r="F10114" s="2">
        <v>6.0202908356005204E-3</v>
      </c>
    </row>
    <row r="10115" spans="1:6" x14ac:dyDescent="0.25">
      <c r="A10115" s="1" t="str">
        <f t="shared" si="360"/>
        <v>19820</v>
      </c>
      <c r="B10115" s="1" t="str">
        <f>"48340"</f>
        <v>48340</v>
      </c>
      <c r="C10115" s="2">
        <v>5.5672689632344802E-3</v>
      </c>
      <c r="D10115" s="2">
        <v>2.9874351990159002E-3</v>
      </c>
      <c r="E10115" s="2">
        <v>2.3583279317050199E-3</v>
      </c>
      <c r="F10115" s="2">
        <v>5.2614416219433201E-3</v>
      </c>
    </row>
    <row r="10116" spans="1:6" x14ac:dyDescent="0.25">
      <c r="A10116" s="1" t="str">
        <f t="shared" si="360"/>
        <v>19820</v>
      </c>
      <c r="B10116" s="1" t="str">
        <f>"48342"</f>
        <v>48342</v>
      </c>
      <c r="C10116" s="2">
        <v>4.1952823638516197E-3</v>
      </c>
      <c r="D10116" s="2">
        <v>5.2005535541692202E-3</v>
      </c>
      <c r="E10116" s="2">
        <v>3.9581293356686703E-3</v>
      </c>
      <c r="F10116" s="2">
        <v>4.26749282402055E-3</v>
      </c>
    </row>
    <row r="10117" spans="1:6" x14ac:dyDescent="0.25">
      <c r="A10117" s="1" t="str">
        <f t="shared" si="360"/>
        <v>19820</v>
      </c>
      <c r="B10117" s="1" t="str">
        <f>"48444"</f>
        <v>48444</v>
      </c>
      <c r="C10117" s="2">
        <v>1.9429132142580799E-3</v>
      </c>
      <c r="D10117" s="2">
        <v>2.22959318161848E-3</v>
      </c>
      <c r="E10117" s="2">
        <v>2.3583279317050199E-3</v>
      </c>
      <c r="F10117" s="2">
        <v>1.9787548342352001E-3</v>
      </c>
    </row>
    <row r="10118" spans="1:6" x14ac:dyDescent="0.25">
      <c r="A10118" s="1" t="str">
        <f t="shared" si="360"/>
        <v>19820</v>
      </c>
      <c r="B10118" s="1" t="str">
        <f>"48418"</f>
        <v>48418</v>
      </c>
      <c r="C10118" s="2">
        <v>9.8418738927891794E-5</v>
      </c>
      <c r="D10118" s="2">
        <v>0</v>
      </c>
      <c r="E10118" s="2">
        <v>0</v>
      </c>
      <c r="F10118" s="2">
        <v>8.7509289698850404E-5</v>
      </c>
    </row>
    <row r="10119" spans="1:6" x14ac:dyDescent="0.25">
      <c r="A10119" s="1" t="str">
        <f t="shared" si="360"/>
        <v>19820</v>
      </c>
      <c r="B10119" s="1" t="str">
        <f>"48438"</f>
        <v>48438</v>
      </c>
      <c r="C10119" s="2">
        <v>2.00754641594207E-4</v>
      </c>
      <c r="D10119" s="2">
        <v>5.4916088217204098E-6</v>
      </c>
      <c r="E10119" s="2">
        <v>0</v>
      </c>
      <c r="F10119" s="2">
        <v>1.78936905802127E-4</v>
      </c>
    </row>
    <row r="10120" spans="1:6" x14ac:dyDescent="0.25">
      <c r="A10120" s="1" t="str">
        <f t="shared" si="360"/>
        <v>19820</v>
      </c>
      <c r="B10120" s="1" t="str">
        <f>"48165"</f>
        <v>48165</v>
      </c>
      <c r="C10120" s="2">
        <v>2.10890302767378E-3</v>
      </c>
      <c r="D10120" s="2">
        <v>2.1801687022229999E-3</v>
      </c>
      <c r="E10120" s="2">
        <v>1.58601001255016E-3</v>
      </c>
      <c r="F10120" s="2">
        <v>2.0980461047699502E-3</v>
      </c>
    </row>
    <row r="10121" spans="1:6" x14ac:dyDescent="0.25">
      <c r="A10121" s="1" t="str">
        <f t="shared" si="360"/>
        <v>19820</v>
      </c>
      <c r="B10121" s="1" t="str">
        <f>"48136"</f>
        <v>48136</v>
      </c>
      <c r="C10121" s="2">
        <v>9.4109858815625896E-4</v>
      </c>
      <c r="D10121" s="2">
        <v>2.0868113522537501E-3</v>
      </c>
      <c r="E10121" s="2">
        <v>2.7582782826959398E-5</v>
      </c>
      <c r="F10121" s="2">
        <v>1.00309155953309E-3</v>
      </c>
    </row>
    <row r="10122" spans="1:6" x14ac:dyDescent="0.25">
      <c r="A10122" s="1" t="str">
        <f t="shared" ref="A10122:A10185" si="361">"19820"</f>
        <v>19820</v>
      </c>
      <c r="B10122" s="1" t="str">
        <f>"48080"</f>
        <v>48080</v>
      </c>
      <c r="C10122" s="2">
        <v>5.84293936132603E-3</v>
      </c>
      <c r="D10122" s="2">
        <v>7.2599068623143796E-3</v>
      </c>
      <c r="E10122" s="2">
        <v>2.33074514887807E-3</v>
      </c>
      <c r="F10122" s="2">
        <v>5.8444015170018302E-3</v>
      </c>
    </row>
    <row r="10123" spans="1:6" x14ac:dyDescent="0.25">
      <c r="A10123" s="1" t="str">
        <f t="shared" si="361"/>
        <v>19820</v>
      </c>
      <c r="B10123" s="1" t="str">
        <f>"48072"</f>
        <v>48072</v>
      </c>
      <c r="C10123" s="2">
        <v>3.7541117978116701E-3</v>
      </c>
      <c r="D10123" s="2">
        <v>4.1846059221509503E-3</v>
      </c>
      <c r="E10123" s="2">
        <v>1.82046366657932E-3</v>
      </c>
      <c r="F10123" s="2">
        <v>3.7271991498102398E-3</v>
      </c>
    </row>
    <row r="10124" spans="1:6" x14ac:dyDescent="0.25">
      <c r="A10124" s="1" t="str">
        <f t="shared" si="361"/>
        <v>19820</v>
      </c>
      <c r="B10124" s="1" t="str">
        <f>"48116"</f>
        <v>48116</v>
      </c>
      <c r="C10124" s="2">
        <v>6.4388378950337201E-3</v>
      </c>
      <c r="D10124" s="2">
        <v>1.19112995343115E-2</v>
      </c>
      <c r="E10124" s="2">
        <v>7.0474010122881202E-3</v>
      </c>
      <c r="F10124" s="2">
        <v>6.8919007757850901E-3</v>
      </c>
    </row>
    <row r="10125" spans="1:6" x14ac:dyDescent="0.25">
      <c r="A10125" s="1" t="str">
        <f t="shared" si="361"/>
        <v>19820</v>
      </c>
      <c r="B10125" s="1" t="str">
        <f>"48044"</f>
        <v>48044</v>
      </c>
      <c r="C10125" s="2">
        <v>1.01033445723289E-2</v>
      </c>
      <c r="D10125" s="2">
        <v>3.4597135576838502E-3</v>
      </c>
      <c r="E10125" s="2">
        <v>2.90998358824421E-3</v>
      </c>
      <c r="F10125" s="2">
        <v>9.3495621705612601E-3</v>
      </c>
    </row>
    <row r="10126" spans="1:6" x14ac:dyDescent="0.25">
      <c r="A10126" s="1" t="str">
        <f t="shared" si="361"/>
        <v>19820</v>
      </c>
      <c r="B10126" s="1" t="str">
        <f>"48015"</f>
        <v>48015</v>
      </c>
      <c r="C10126" s="2">
        <v>2.52265344754477E-3</v>
      </c>
      <c r="D10126" s="2">
        <v>2.4602407521307399E-3</v>
      </c>
      <c r="E10126" s="2">
        <v>1.6273841867906001E-3</v>
      </c>
      <c r="F10126" s="2">
        <v>2.4894433756120701E-3</v>
      </c>
    </row>
    <row r="10127" spans="1:6" x14ac:dyDescent="0.25">
      <c r="A10127" s="1" t="str">
        <f t="shared" si="361"/>
        <v>19820</v>
      </c>
      <c r="B10127" s="1" t="str">
        <f>"48028"</f>
        <v>48028</v>
      </c>
      <c r="C10127" s="2">
        <v>4.8279043076070302E-4</v>
      </c>
      <c r="D10127" s="2">
        <v>9.3357349969246895E-5</v>
      </c>
      <c r="E10127" s="2">
        <v>1.3791391413479699E-5</v>
      </c>
      <c r="F10127" s="2">
        <v>4.3711107889376002E-4</v>
      </c>
    </row>
    <row r="10128" spans="1:6" x14ac:dyDescent="0.25">
      <c r="A10128" s="1" t="str">
        <f t="shared" si="361"/>
        <v>19820</v>
      </c>
      <c r="B10128" s="1" t="str">
        <f>"48012"</f>
        <v>48012</v>
      </c>
      <c r="C10128" s="2">
        <v>5.4791327791199498E-4</v>
      </c>
      <c r="D10128" s="2">
        <v>4.0033828310341701E-3</v>
      </c>
      <c r="E10128" s="2">
        <v>2.7582782826959398E-5</v>
      </c>
      <c r="F10128" s="2">
        <v>8.0543376090981696E-4</v>
      </c>
    </row>
    <row r="10129" spans="1:6" x14ac:dyDescent="0.25">
      <c r="A10129" s="1" t="str">
        <f t="shared" si="361"/>
        <v>19820</v>
      </c>
      <c r="B10129" s="1" t="str">
        <f>"48239"</f>
        <v>48239</v>
      </c>
      <c r="C10129" s="2">
        <v>7.8411825133893505E-3</v>
      </c>
      <c r="D10129" s="2">
        <v>6.6393550654599703E-3</v>
      </c>
      <c r="E10129" s="2">
        <v>2.77206967410942E-3</v>
      </c>
      <c r="F10129" s="2">
        <v>7.5858799189690001E-3</v>
      </c>
    </row>
    <row r="10130" spans="1:6" x14ac:dyDescent="0.25">
      <c r="A10130" s="1" t="str">
        <f t="shared" si="361"/>
        <v>19820</v>
      </c>
      <c r="B10130" s="1" t="str">
        <f>"48229"</f>
        <v>48229</v>
      </c>
      <c r="C10130" s="2">
        <v>2.2602034770703898E-3</v>
      </c>
      <c r="D10130" s="2">
        <v>1.6419910376944001E-3</v>
      </c>
      <c r="E10130" s="2">
        <v>5.0200664745066103E-3</v>
      </c>
      <c r="F10130" s="2">
        <v>2.29831612099617E-3</v>
      </c>
    </row>
    <row r="10131" spans="1:6" x14ac:dyDescent="0.25">
      <c r="A10131" s="1" t="str">
        <f t="shared" si="361"/>
        <v>19820</v>
      </c>
      <c r="B10131" s="1" t="str">
        <f>"48209"</f>
        <v>48209</v>
      </c>
      <c r="C10131" s="2">
        <v>5.2920882106102197E-3</v>
      </c>
      <c r="D10131" s="2">
        <v>5.3653018188208404E-3</v>
      </c>
      <c r="E10131" s="2">
        <v>8.8816560702809303E-3</v>
      </c>
      <c r="F10131" s="2">
        <v>5.4112087645125E-3</v>
      </c>
    </row>
    <row r="10132" spans="1:6" x14ac:dyDescent="0.25">
      <c r="A10132" s="1" t="str">
        <f t="shared" si="361"/>
        <v>19820</v>
      </c>
      <c r="B10132" s="1" t="str">
        <f>"48225"</f>
        <v>48225</v>
      </c>
      <c r="C10132" s="2">
        <v>3.3222444956504701E-3</v>
      </c>
      <c r="D10132" s="2">
        <v>2.6194974079606298E-3</v>
      </c>
      <c r="E10132" s="2">
        <v>5.6406790881131904E-3</v>
      </c>
      <c r="F10132" s="2">
        <v>3.3397202053725402E-3</v>
      </c>
    </row>
    <row r="10133" spans="1:6" x14ac:dyDescent="0.25">
      <c r="A10133" s="1" t="str">
        <f t="shared" si="361"/>
        <v>19820</v>
      </c>
      <c r="B10133" s="1" t="str">
        <f>"48462"</f>
        <v>48462</v>
      </c>
      <c r="C10133" s="2">
        <v>2.6357615504917502E-3</v>
      </c>
      <c r="D10133" s="2">
        <v>1.1477462437395601E-3</v>
      </c>
      <c r="E10133" s="2">
        <v>9.7918879035705907E-4</v>
      </c>
      <c r="F10133" s="2">
        <v>2.4654980475850201E-3</v>
      </c>
    </row>
    <row r="10134" spans="1:6" x14ac:dyDescent="0.25">
      <c r="A10134" s="1" t="str">
        <f t="shared" si="361"/>
        <v>19820</v>
      </c>
      <c r="B10134" s="1" t="str">
        <f>"48330"</f>
        <v>48330</v>
      </c>
      <c r="C10134" s="2">
        <v>3.2561423575645798E-4</v>
      </c>
      <c r="D10134" s="2">
        <v>9.6103154380107101E-4</v>
      </c>
      <c r="E10134" s="2">
        <v>2.7582782826959398E-5</v>
      </c>
      <c r="F10134" s="2">
        <v>3.6658120361408999E-4</v>
      </c>
    </row>
    <row r="10135" spans="1:6" x14ac:dyDescent="0.25">
      <c r="A10135" s="1" t="str">
        <f t="shared" si="361"/>
        <v>19820</v>
      </c>
      <c r="B10135" s="1" t="str">
        <f>"48892"</f>
        <v>48892</v>
      </c>
      <c r="C10135" s="2">
        <v>1.6452087701378899E-4</v>
      </c>
      <c r="D10135" s="2">
        <v>1.0983217643440799E-5</v>
      </c>
      <c r="E10135" s="2">
        <v>0</v>
      </c>
      <c r="F10135" s="2">
        <v>1.4715492496622599E-4</v>
      </c>
    </row>
    <row r="10136" spans="1:6" x14ac:dyDescent="0.25">
      <c r="A10136" s="1" t="str">
        <f t="shared" si="361"/>
        <v>19820</v>
      </c>
      <c r="B10136" s="1" t="str">
        <f>"48382"</f>
        <v>48382</v>
      </c>
      <c r="C10136" s="2">
        <v>4.4097470785303102E-3</v>
      </c>
      <c r="D10136" s="2">
        <v>2.1032861787189101E-3</v>
      </c>
      <c r="E10136" s="2">
        <v>9.9298018177053794E-4</v>
      </c>
      <c r="F10136" s="2">
        <v>4.1190317902528497E-3</v>
      </c>
    </row>
    <row r="10137" spans="1:6" x14ac:dyDescent="0.25">
      <c r="A10137" s="1" t="str">
        <f t="shared" si="361"/>
        <v>19820</v>
      </c>
      <c r="B10137" s="1" t="str">
        <f>"48383"</f>
        <v>48383</v>
      </c>
      <c r="C10137" s="2">
        <v>2.5721076397423599E-3</v>
      </c>
      <c r="D10137" s="2">
        <v>5.4916088217204096E-4</v>
      </c>
      <c r="E10137" s="2">
        <v>4.2753313381786999E-4</v>
      </c>
      <c r="F10137" s="2">
        <v>2.3440299290478101E-3</v>
      </c>
    </row>
    <row r="10138" spans="1:6" x14ac:dyDescent="0.25">
      <c r="A10138" s="1" t="str">
        <f t="shared" si="361"/>
        <v>19820</v>
      </c>
      <c r="B10138" s="1" t="str">
        <f>"48374"</f>
        <v>48374</v>
      </c>
      <c r="C10138" s="2">
        <v>2.98634770508065E-3</v>
      </c>
      <c r="D10138" s="2">
        <v>1.55961690536859E-3</v>
      </c>
      <c r="E10138" s="2">
        <v>5.2407287371222799E-4</v>
      </c>
      <c r="F10138" s="2">
        <v>2.7955082047578001E-3</v>
      </c>
    </row>
    <row r="10139" spans="1:6" x14ac:dyDescent="0.25">
      <c r="A10139" s="1" t="str">
        <f t="shared" si="361"/>
        <v>19820</v>
      </c>
      <c r="B10139" s="1" t="str">
        <f>"48343"</f>
        <v>48343</v>
      </c>
      <c r="C10139" s="2">
        <v>7.7266054740404602E-4</v>
      </c>
      <c r="D10139" s="2">
        <v>1.03791406730515E-3</v>
      </c>
      <c r="E10139" s="2">
        <v>2.7582782826959398E-5</v>
      </c>
      <c r="F10139" s="2">
        <v>7.7016882326998203E-4</v>
      </c>
    </row>
    <row r="10140" spans="1:6" x14ac:dyDescent="0.25">
      <c r="A10140" s="1" t="str">
        <f t="shared" si="361"/>
        <v>19820</v>
      </c>
      <c r="B10140" s="1" t="str">
        <f>"48127"</f>
        <v>48127</v>
      </c>
      <c r="C10140" s="2">
        <v>7.8646854958198901E-3</v>
      </c>
      <c r="D10140" s="2">
        <v>5.5025920393638496E-3</v>
      </c>
      <c r="E10140" s="2">
        <v>7.1715235350094404E-3</v>
      </c>
      <c r="F10140" s="2">
        <v>7.6555390550476898E-3</v>
      </c>
    </row>
    <row r="10141" spans="1:6" x14ac:dyDescent="0.25">
      <c r="A10141" s="1" t="str">
        <f t="shared" si="361"/>
        <v>19820</v>
      </c>
      <c r="B10141" s="1" t="str">
        <f>"48180"</f>
        <v>48180</v>
      </c>
      <c r="C10141" s="2">
        <v>1.4207063233794901E-2</v>
      </c>
      <c r="D10141" s="2">
        <v>1.37454968807661E-2</v>
      </c>
      <c r="E10141" s="2">
        <v>4.1787915982843503E-3</v>
      </c>
      <c r="F10141" s="2">
        <v>1.38538960572493E-2</v>
      </c>
    </row>
    <row r="10142" spans="1:6" x14ac:dyDescent="0.25">
      <c r="A10142" s="1" t="str">
        <f t="shared" si="361"/>
        <v>19820</v>
      </c>
      <c r="B10142" s="1" t="str">
        <f>"48184"</f>
        <v>48184</v>
      </c>
      <c r="C10142" s="2">
        <v>4.2378815195069797E-3</v>
      </c>
      <c r="D10142" s="2">
        <v>4.17911431332923E-3</v>
      </c>
      <c r="E10142" s="2">
        <v>3.1168544594464098E-3</v>
      </c>
      <c r="F10142" s="2">
        <v>4.1978336879418699E-3</v>
      </c>
    </row>
    <row r="10143" spans="1:6" x14ac:dyDescent="0.25">
      <c r="A10143" s="1" t="str">
        <f t="shared" si="361"/>
        <v>19820</v>
      </c>
      <c r="B10143" s="1" t="str">
        <f>"48082"</f>
        <v>48082</v>
      </c>
      <c r="C10143" s="2">
        <v>3.7046576056140698E-3</v>
      </c>
      <c r="D10143" s="2">
        <v>1.48822599068623E-3</v>
      </c>
      <c r="E10143" s="2">
        <v>7.4473513632790399E-4</v>
      </c>
      <c r="F10143" s="2">
        <v>3.4355015174807402E-3</v>
      </c>
    </row>
    <row r="10144" spans="1:6" x14ac:dyDescent="0.25">
      <c r="A10144" s="1" t="str">
        <f t="shared" si="361"/>
        <v>19820</v>
      </c>
      <c r="B10144" s="1" t="str">
        <f>"48084"</f>
        <v>48084</v>
      </c>
      <c r="C10144" s="2">
        <v>3.6018320574804602E-3</v>
      </c>
      <c r="D10144" s="2">
        <v>1.27624989016782E-2</v>
      </c>
      <c r="E10144" s="2">
        <v>1.7528858486532701E-2</v>
      </c>
      <c r="F10144" s="2">
        <v>4.76773249498563E-3</v>
      </c>
    </row>
    <row r="10145" spans="1:6" x14ac:dyDescent="0.25">
      <c r="A10145" s="1" t="str">
        <f t="shared" si="361"/>
        <v>19820</v>
      </c>
      <c r="B10145" s="1" t="str">
        <f>"48073"</f>
        <v>48073</v>
      </c>
      <c r="C10145" s="2">
        <v>8.7563298917785505E-3</v>
      </c>
      <c r="D10145" s="2">
        <v>4.4811527985238499E-3</v>
      </c>
      <c r="E10145" s="2">
        <v>1.6715166393137401E-2</v>
      </c>
      <c r="F10145" s="2">
        <v>8.6686441153921E-3</v>
      </c>
    </row>
    <row r="10146" spans="1:6" x14ac:dyDescent="0.25">
      <c r="A10146" s="1" t="str">
        <f t="shared" si="361"/>
        <v>19820</v>
      </c>
      <c r="B10146" s="1" t="str">
        <f>"48026"</f>
        <v>48026</v>
      </c>
      <c r="C10146" s="2">
        <v>3.70220937827756E-3</v>
      </c>
      <c r="D10146" s="2">
        <v>5.5245584746507299E-3</v>
      </c>
      <c r="E10146" s="2">
        <v>3.06168889379249E-3</v>
      </c>
      <c r="F10146" s="2">
        <v>3.8264634187223701E-3</v>
      </c>
    </row>
    <row r="10147" spans="1:6" x14ac:dyDescent="0.25">
      <c r="A10147" s="1" t="str">
        <f t="shared" si="361"/>
        <v>19820</v>
      </c>
      <c r="B10147" s="1" t="str">
        <f>"48054"</f>
        <v>48054</v>
      </c>
      <c r="C10147" s="2">
        <v>1.5727412409770501E-3</v>
      </c>
      <c r="D10147" s="2">
        <v>6.26043405676126E-4</v>
      </c>
      <c r="E10147" s="2">
        <v>8.2748348480878205E-4</v>
      </c>
      <c r="F10147" s="2">
        <v>1.4741614672652099E-3</v>
      </c>
    </row>
    <row r="10148" spans="1:6" x14ac:dyDescent="0.25">
      <c r="A10148" s="1" t="str">
        <f t="shared" si="361"/>
        <v>19820</v>
      </c>
      <c r="B10148" s="1" t="str">
        <f>"48066"</f>
        <v>48066</v>
      </c>
      <c r="C10148" s="2">
        <v>1.07780760262724E-2</v>
      </c>
      <c r="D10148" s="2">
        <v>1.06097882435638E-2</v>
      </c>
      <c r="E10148" s="2">
        <v>1.00539243404267E-2</v>
      </c>
      <c r="F10148" s="2">
        <v>1.0741874152934001E-2</v>
      </c>
    </row>
    <row r="10149" spans="1:6" x14ac:dyDescent="0.25">
      <c r="A10149" s="1" t="str">
        <f t="shared" si="361"/>
        <v>19820</v>
      </c>
      <c r="B10149" s="1" t="str">
        <f>"48003"</f>
        <v>48003</v>
      </c>
      <c r="C10149" s="2">
        <v>1.3034362339604301E-3</v>
      </c>
      <c r="D10149" s="2">
        <v>8.0726649679289995E-4</v>
      </c>
      <c r="E10149" s="2">
        <v>5.9302983077962697E-4</v>
      </c>
      <c r="F10149" s="2">
        <v>1.24167410060259E-3</v>
      </c>
    </row>
    <row r="10150" spans="1:6" x14ac:dyDescent="0.25">
      <c r="A10150" s="1" t="str">
        <f t="shared" si="361"/>
        <v>19820</v>
      </c>
      <c r="B10150" s="1" t="str">
        <f>"48022"</f>
        <v>48022</v>
      </c>
      <c r="C10150" s="2">
        <v>5.06783058658547E-4</v>
      </c>
      <c r="D10150" s="2">
        <v>1.3729022054301E-4</v>
      </c>
      <c r="E10150" s="2">
        <v>8.2748348480878202E-5</v>
      </c>
      <c r="F10150" s="2">
        <v>4.6410399412425102E-4</v>
      </c>
    </row>
    <row r="10151" spans="1:6" x14ac:dyDescent="0.25">
      <c r="A10151" s="1" t="str">
        <f t="shared" si="361"/>
        <v>19820</v>
      </c>
      <c r="B10151" s="1" t="str">
        <f>"48242"</f>
        <v>48242</v>
      </c>
      <c r="C10151" s="2">
        <v>1.61583004209971E-4</v>
      </c>
      <c r="D10151" s="2">
        <v>2.5920393638520301E-3</v>
      </c>
      <c r="E10151" s="2">
        <v>6.8956957067398499E-5</v>
      </c>
      <c r="F10151" s="2">
        <v>3.51343267596877E-4</v>
      </c>
    </row>
    <row r="10152" spans="1:6" x14ac:dyDescent="0.25">
      <c r="A10152" s="1" t="str">
        <f t="shared" si="361"/>
        <v>19820</v>
      </c>
      <c r="B10152" s="1" t="str">
        <f>"48312"</f>
        <v>48312</v>
      </c>
      <c r="C10152" s="2">
        <v>7.0215160011242199E-3</v>
      </c>
      <c r="D10152" s="2">
        <v>5.0577717248044898E-3</v>
      </c>
      <c r="E10152" s="2">
        <v>9.5988084237818693E-3</v>
      </c>
      <c r="F10152" s="2">
        <v>6.9471927150475399E-3</v>
      </c>
    </row>
    <row r="10153" spans="1:6" x14ac:dyDescent="0.25">
      <c r="A10153" s="1" t="str">
        <f t="shared" si="361"/>
        <v>19820</v>
      </c>
      <c r="B10153" s="1" t="str">
        <f>"48314"</f>
        <v>48314</v>
      </c>
      <c r="C10153" s="2">
        <v>4.4077884966611004E-3</v>
      </c>
      <c r="D10153" s="2">
        <v>5.2005535541692202E-3</v>
      </c>
      <c r="E10153" s="2">
        <v>3.8477982043608298E-3</v>
      </c>
      <c r="F10153" s="2">
        <v>4.4529602738300599E-3</v>
      </c>
    </row>
    <row r="10154" spans="1:6" x14ac:dyDescent="0.25">
      <c r="A10154" s="1" t="str">
        <f t="shared" si="361"/>
        <v>19820</v>
      </c>
      <c r="B10154" s="1" t="str">
        <f>"48186"</f>
        <v>48186</v>
      </c>
      <c r="C10154" s="2">
        <v>7.5914633250648497E-3</v>
      </c>
      <c r="D10154" s="2">
        <v>2.8446533696511699E-3</v>
      </c>
      <c r="E10154" s="2">
        <v>3.6685101159855999E-3</v>
      </c>
      <c r="F10154" s="2">
        <v>7.0913000528103299E-3</v>
      </c>
    </row>
    <row r="10155" spans="1:6" x14ac:dyDescent="0.25">
      <c r="A10155" s="1" t="str">
        <f t="shared" si="361"/>
        <v>19820</v>
      </c>
      <c r="B10155" s="1" t="str">
        <f>"48237"</f>
        <v>48237</v>
      </c>
      <c r="C10155" s="2">
        <v>7.0180884828531E-3</v>
      </c>
      <c r="D10155" s="2">
        <v>9.4126175204287798E-3</v>
      </c>
      <c r="E10155" s="2">
        <v>6.4957453557489397E-3</v>
      </c>
      <c r="F10155" s="2">
        <v>7.1914350609234403E-3</v>
      </c>
    </row>
    <row r="10156" spans="1:6" x14ac:dyDescent="0.25">
      <c r="A10156" s="1" t="str">
        <f t="shared" si="361"/>
        <v>19820</v>
      </c>
      <c r="B10156" s="1" t="str">
        <f>"48244"</f>
        <v>48244</v>
      </c>
      <c r="C10156" s="2">
        <v>6.2429797081125398E-4</v>
      </c>
      <c r="D10156" s="2">
        <v>1.9605043493541802E-3</v>
      </c>
      <c r="E10156" s="2">
        <v>2.7582782826959398E-5</v>
      </c>
      <c r="F10156" s="2">
        <v>7.1139392720359E-4</v>
      </c>
    </row>
    <row r="10157" spans="1:6" x14ac:dyDescent="0.25">
      <c r="A10157" s="1" t="str">
        <f t="shared" si="361"/>
        <v>19820</v>
      </c>
      <c r="B10157" s="1" t="str">
        <f>"48320"</f>
        <v>48320</v>
      </c>
      <c r="C10157" s="2">
        <v>1.1163916654507099E-3</v>
      </c>
      <c r="D10157" s="2">
        <v>2.1307442228275099E-3</v>
      </c>
      <c r="E10157" s="2">
        <v>3.5995531589181999E-3</v>
      </c>
      <c r="F10157" s="2">
        <v>1.2751975598404601E-3</v>
      </c>
    </row>
    <row r="10158" spans="1:6" x14ac:dyDescent="0.25">
      <c r="A10158" s="1" t="str">
        <f t="shared" si="361"/>
        <v>19820</v>
      </c>
      <c r="B10158" s="1" t="str">
        <f>"48308"</f>
        <v>48308</v>
      </c>
      <c r="C10158" s="2">
        <v>4.2550191108625798E-4</v>
      </c>
      <c r="D10158" s="2">
        <v>3.32791494596256E-3</v>
      </c>
      <c r="E10158" s="2">
        <v>2.7582782826959398E-5</v>
      </c>
      <c r="F10158" s="2">
        <v>6.4304089992637896E-4</v>
      </c>
    </row>
    <row r="10159" spans="1:6" x14ac:dyDescent="0.25">
      <c r="A10159" s="1" t="str">
        <f t="shared" si="361"/>
        <v>19820</v>
      </c>
      <c r="B10159" s="1" t="str">
        <f>"48428"</f>
        <v>48428</v>
      </c>
      <c r="C10159" s="2">
        <v>1.00083533516721E-3</v>
      </c>
      <c r="D10159" s="2">
        <v>2.91055267551181E-4</v>
      </c>
      <c r="E10159" s="2">
        <v>2.06870871202195E-4</v>
      </c>
      <c r="F10159" s="2">
        <v>9.1950059623866702E-4</v>
      </c>
    </row>
    <row r="10160" spans="1:6" x14ac:dyDescent="0.25">
      <c r="A10160" s="1" t="str">
        <f t="shared" si="361"/>
        <v>19820</v>
      </c>
      <c r="B10160" s="1" t="str">
        <f>"48353"</f>
        <v>48353</v>
      </c>
      <c r="C10160" s="2">
        <v>1.514473430368E-3</v>
      </c>
      <c r="D10160" s="2">
        <v>2.0868113522537501E-3</v>
      </c>
      <c r="E10160" s="2">
        <v>5.6544704795266697E-4</v>
      </c>
      <c r="F10160" s="2">
        <v>1.5298887761281601E-3</v>
      </c>
    </row>
    <row r="10161" spans="1:6" x14ac:dyDescent="0.25">
      <c r="A10161" s="1" t="str">
        <f t="shared" si="361"/>
        <v>19820</v>
      </c>
      <c r="B10161" s="1" t="str">
        <f>"48138"</f>
        <v>48138</v>
      </c>
      <c r="C10161" s="2">
        <v>2.5598665030597901E-3</v>
      </c>
      <c r="D10161" s="2">
        <v>1.9220630876021401E-3</v>
      </c>
      <c r="E10161" s="2">
        <v>2.3031623660511101E-3</v>
      </c>
      <c r="F10161" s="2">
        <v>2.5011983548253501E-3</v>
      </c>
    </row>
    <row r="10162" spans="1:6" x14ac:dyDescent="0.25">
      <c r="A10162" s="1" t="str">
        <f t="shared" si="361"/>
        <v>19820</v>
      </c>
      <c r="B10162" s="1" t="str">
        <f>"48123"</f>
        <v>48123</v>
      </c>
      <c r="C10162" s="2">
        <v>3.5842048206575502E-4</v>
      </c>
      <c r="D10162" s="2">
        <v>9.4455671733591001E-4</v>
      </c>
      <c r="E10162" s="2">
        <v>2.7582782826959398E-5</v>
      </c>
      <c r="F10162" s="2">
        <v>3.94444858045564E-4</v>
      </c>
    </row>
    <row r="10163" spans="1:6" x14ac:dyDescent="0.25">
      <c r="A10163" s="1" t="str">
        <f t="shared" si="361"/>
        <v>19820</v>
      </c>
      <c r="B10163" s="1" t="str">
        <f>"48088"</f>
        <v>48088</v>
      </c>
      <c r="C10163" s="2">
        <v>5.2010141536918703E-3</v>
      </c>
      <c r="D10163" s="2">
        <v>2.14172744047096E-3</v>
      </c>
      <c r="E10163" s="2">
        <v>5.2407287371222799E-3</v>
      </c>
      <c r="F10163" s="2">
        <v>4.9597304888025096E-3</v>
      </c>
    </row>
    <row r="10164" spans="1:6" x14ac:dyDescent="0.25">
      <c r="A10164" s="1" t="str">
        <f t="shared" si="361"/>
        <v>19820</v>
      </c>
      <c r="B10164" s="1" t="str">
        <f>"48081"</f>
        <v>48081</v>
      </c>
      <c r="C10164" s="2">
        <v>4.6628937851259404E-3</v>
      </c>
      <c r="D10164" s="2">
        <v>2.7732624549687999E-3</v>
      </c>
      <c r="E10164" s="2">
        <v>1.43430470700188E-3</v>
      </c>
      <c r="F10164" s="2">
        <v>4.4111647921828501E-3</v>
      </c>
    </row>
    <row r="10165" spans="1:6" x14ac:dyDescent="0.25">
      <c r="A10165" s="1" t="str">
        <f t="shared" si="361"/>
        <v>19820</v>
      </c>
      <c r="B10165" s="1" t="str">
        <f>"48075"</f>
        <v>48075</v>
      </c>
      <c r="C10165" s="2">
        <v>5.1192433606522796E-3</v>
      </c>
      <c r="D10165" s="2">
        <v>1.67219488621386E-2</v>
      </c>
      <c r="E10165" s="2">
        <v>9.2402322470313998E-3</v>
      </c>
      <c r="F10165" s="2">
        <v>6.1691872389687099E-3</v>
      </c>
    </row>
    <row r="10166" spans="1:6" x14ac:dyDescent="0.25">
      <c r="A10166" s="1" t="str">
        <f t="shared" si="361"/>
        <v>19820</v>
      </c>
      <c r="B10166" s="1" t="str">
        <f>"48079"</f>
        <v>48079</v>
      </c>
      <c r="C10166" s="2">
        <v>2.7376078076907602E-3</v>
      </c>
      <c r="D10166" s="2">
        <v>2.0593533081451499E-3</v>
      </c>
      <c r="E10166" s="2">
        <v>3.28235115640817E-3</v>
      </c>
      <c r="F10166" s="2">
        <v>2.70103300145108E-3</v>
      </c>
    </row>
    <row r="10167" spans="1:6" x14ac:dyDescent="0.25">
      <c r="A10167" s="1" t="str">
        <f t="shared" si="361"/>
        <v>19820</v>
      </c>
      <c r="B10167" s="1" t="str">
        <f>"48095"</f>
        <v>48095</v>
      </c>
      <c r="C10167" s="2">
        <v>1.07917860993568E-3</v>
      </c>
      <c r="D10167" s="2">
        <v>1.4937175995079501E-3</v>
      </c>
      <c r="E10167" s="2">
        <v>5.9302983077962697E-4</v>
      </c>
      <c r="F10167" s="2">
        <v>1.0966960236388199E-3</v>
      </c>
    </row>
    <row r="10168" spans="1:6" x14ac:dyDescent="0.25">
      <c r="A10168" s="1" t="str">
        <f t="shared" si="361"/>
        <v>19820</v>
      </c>
      <c r="B10168" s="1" t="str">
        <f>"48004"</f>
        <v>48004</v>
      </c>
      <c r="C10168" s="2">
        <v>1.3710073084482399E-5</v>
      </c>
      <c r="D10168" s="2">
        <v>0</v>
      </c>
      <c r="E10168" s="2">
        <v>1.3791391413479699E-5</v>
      </c>
      <c r="F10168" s="2">
        <v>1.2625718414261999E-5</v>
      </c>
    </row>
    <row r="10169" spans="1:6" x14ac:dyDescent="0.25">
      <c r="A10169" s="1" t="str">
        <f t="shared" si="361"/>
        <v>19820</v>
      </c>
      <c r="B10169" s="1" t="str">
        <f>"48435"</f>
        <v>48435</v>
      </c>
      <c r="C10169" s="2">
        <v>1.97327123323086E-4</v>
      </c>
      <c r="D10169" s="2">
        <v>2.7458044108602001E-5</v>
      </c>
      <c r="E10169" s="2">
        <v>0</v>
      </c>
      <c r="F10169" s="2">
        <v>1.7763079700065099E-4</v>
      </c>
    </row>
    <row r="10170" spans="1:6" x14ac:dyDescent="0.25">
      <c r="A10170" s="1" t="str">
        <f t="shared" si="361"/>
        <v>19820</v>
      </c>
      <c r="B10170" s="1" t="str">
        <f>"48451"</f>
        <v>48451</v>
      </c>
      <c r="C10170" s="2">
        <v>1.4885222206009499E-4</v>
      </c>
      <c r="D10170" s="2">
        <v>1.2081539407784899E-4</v>
      </c>
      <c r="E10170" s="2">
        <v>8.2748348480878202E-5</v>
      </c>
      <c r="F10170" s="2">
        <v>1.44542707363275E-4</v>
      </c>
    </row>
    <row r="10171" spans="1:6" x14ac:dyDescent="0.25">
      <c r="A10171" s="1" t="str">
        <f t="shared" si="361"/>
        <v>19820</v>
      </c>
      <c r="B10171" s="1" t="str">
        <f>"48076"</f>
        <v>48076</v>
      </c>
      <c r="C10171" s="2">
        <v>5.54131775346742E-3</v>
      </c>
      <c r="D10171" s="2">
        <v>1.08898602934715E-2</v>
      </c>
      <c r="E10171" s="2">
        <v>9.5022686838875103E-3</v>
      </c>
      <c r="F10171" s="2">
        <v>6.0903853412796896E-3</v>
      </c>
    </row>
    <row r="10172" spans="1:6" x14ac:dyDescent="0.25">
      <c r="A10172" s="1" t="str">
        <f t="shared" si="361"/>
        <v>19820</v>
      </c>
      <c r="B10172" s="1" t="str">
        <f>"48099"</f>
        <v>48099</v>
      </c>
      <c r="C10172" s="2">
        <v>7.1537202772960196E-4</v>
      </c>
      <c r="D10172" s="2">
        <v>4.7447500219664302E-3</v>
      </c>
      <c r="E10172" s="2">
        <v>2.7582782826959398E-5</v>
      </c>
      <c r="F10172" s="2">
        <v>1.0131050603444001E-3</v>
      </c>
    </row>
    <row r="10173" spans="1:6" x14ac:dyDescent="0.25">
      <c r="A10173" s="1" t="str">
        <f t="shared" si="361"/>
        <v>19820</v>
      </c>
      <c r="B10173" s="1" t="str">
        <f>"48111"</f>
        <v>48111</v>
      </c>
      <c r="C10173" s="2">
        <v>1.02531760853236E-2</v>
      </c>
      <c r="D10173" s="2">
        <v>4.7667164572533097E-3</v>
      </c>
      <c r="E10173" s="2">
        <v>8.4817057192900103E-3</v>
      </c>
      <c r="F10173" s="2">
        <v>9.7622925518274801E-3</v>
      </c>
    </row>
    <row r="10174" spans="1:6" x14ac:dyDescent="0.25">
      <c r="A10174" s="1" t="str">
        <f t="shared" si="361"/>
        <v>19820</v>
      </c>
      <c r="B10174" s="1" t="str">
        <f>"48288"</f>
        <v>48288</v>
      </c>
      <c r="C10174" s="2">
        <v>0</v>
      </c>
      <c r="D10174" s="2">
        <v>5.4916088217204098E-6</v>
      </c>
      <c r="E10174" s="2">
        <v>0</v>
      </c>
      <c r="F10174" s="2">
        <v>4.3536960049179299E-7</v>
      </c>
    </row>
    <row r="10175" spans="1:6" x14ac:dyDescent="0.25">
      <c r="A10175" s="1" t="str">
        <f t="shared" si="361"/>
        <v>19820</v>
      </c>
      <c r="B10175" s="1" t="str">
        <f>"48025"</f>
        <v>48025</v>
      </c>
      <c r="C10175" s="2">
        <v>3.1126762356448101E-3</v>
      </c>
      <c r="D10175" s="2">
        <v>5.3268605570687896E-3</v>
      </c>
      <c r="E10175" s="2">
        <v>2.15145706050283E-3</v>
      </c>
      <c r="F10175" s="2">
        <v>3.25787072048009E-3</v>
      </c>
    </row>
    <row r="10176" spans="1:6" x14ac:dyDescent="0.25">
      <c r="A10176" s="1" t="str">
        <f t="shared" si="361"/>
        <v>19820</v>
      </c>
      <c r="B10176" s="1" t="str">
        <f>"48033"</f>
        <v>48033</v>
      </c>
      <c r="C10176" s="2">
        <v>4.4195399878763702E-3</v>
      </c>
      <c r="D10176" s="2">
        <v>6.6942711536771803E-3</v>
      </c>
      <c r="E10176" s="2">
        <v>9.1299011157235602E-3</v>
      </c>
      <c r="F10176" s="2">
        <v>4.7485762325639898E-3</v>
      </c>
    </row>
    <row r="10177" spans="1:6" x14ac:dyDescent="0.25">
      <c r="A10177" s="1" t="str">
        <f t="shared" si="361"/>
        <v>19820</v>
      </c>
      <c r="B10177" s="1" t="str">
        <f>"48040"</f>
        <v>48040</v>
      </c>
      <c r="C10177" s="2">
        <v>2.3003544053892301E-3</v>
      </c>
      <c r="D10177" s="2">
        <v>2.3559001845180499E-3</v>
      </c>
      <c r="E10177" s="2">
        <v>2.62036436856114E-3</v>
      </c>
      <c r="F10177" s="2">
        <v>2.3148601658148599E-3</v>
      </c>
    </row>
    <row r="10178" spans="1:6" x14ac:dyDescent="0.25">
      <c r="A10178" s="1" t="str">
        <f t="shared" si="361"/>
        <v>19820</v>
      </c>
      <c r="B10178" s="1" t="str">
        <f>"48017"</f>
        <v>48017</v>
      </c>
      <c r="C10178" s="2">
        <v>3.0583255887741902E-3</v>
      </c>
      <c r="D10178" s="2">
        <v>3.4542219488621299E-3</v>
      </c>
      <c r="E10178" s="2">
        <v>3.0478975023790099E-3</v>
      </c>
      <c r="F10178" s="2">
        <v>3.08938268508976E-3</v>
      </c>
    </row>
    <row r="10179" spans="1:6" x14ac:dyDescent="0.25">
      <c r="A10179" s="1" t="str">
        <f t="shared" si="361"/>
        <v>19820</v>
      </c>
      <c r="B10179" s="1" t="str">
        <f>"48034"</f>
        <v>48034</v>
      </c>
      <c r="C10179" s="2">
        <v>3.9729833216960901E-3</v>
      </c>
      <c r="D10179" s="2">
        <v>7.1226166417713696E-3</v>
      </c>
      <c r="E10179" s="2">
        <v>9.5574342495414293E-3</v>
      </c>
      <c r="F10179" s="2">
        <v>4.3989744433690801E-3</v>
      </c>
    </row>
    <row r="10180" spans="1:6" x14ac:dyDescent="0.25">
      <c r="A10180" s="1" t="str">
        <f t="shared" si="361"/>
        <v>19820</v>
      </c>
      <c r="B10180" s="1" t="str">
        <f>"48062"</f>
        <v>48062</v>
      </c>
      <c r="C10180" s="2">
        <v>2.16472261094631E-3</v>
      </c>
      <c r="D10180" s="2">
        <v>2.82268693436429E-3</v>
      </c>
      <c r="E10180" s="2">
        <v>1.53084444689624E-3</v>
      </c>
      <c r="F10180" s="2">
        <v>2.1968750040815901E-3</v>
      </c>
    </row>
    <row r="10181" spans="1:6" x14ac:dyDescent="0.25">
      <c r="A10181" s="1" t="str">
        <f t="shared" si="361"/>
        <v>19820</v>
      </c>
      <c r="B10181" s="1" t="str">
        <f>"48050"</f>
        <v>48050</v>
      </c>
      <c r="C10181" s="2">
        <v>3.25124590289155E-4</v>
      </c>
      <c r="D10181" s="2">
        <v>1.86714699938493E-4</v>
      </c>
      <c r="E10181" s="2">
        <v>2.7582782826959398E-5</v>
      </c>
      <c r="F10181" s="2">
        <v>3.0475872034425497E-4</v>
      </c>
    </row>
    <row r="10182" spans="1:6" x14ac:dyDescent="0.25">
      <c r="A10182" s="1" t="str">
        <f t="shared" si="361"/>
        <v>19820</v>
      </c>
      <c r="B10182" s="1" t="str">
        <f>"48027"</f>
        <v>48027</v>
      </c>
      <c r="C10182" s="2">
        <v>6.3604946202652497E-4</v>
      </c>
      <c r="D10182" s="2">
        <v>1.3729022054301E-4</v>
      </c>
      <c r="E10182" s="2">
        <v>1.79288088375236E-4</v>
      </c>
      <c r="F10182" s="2">
        <v>5.8208915585752702E-4</v>
      </c>
    </row>
    <row r="10183" spans="1:6" x14ac:dyDescent="0.25">
      <c r="A10183" s="1" t="str">
        <f t="shared" si="361"/>
        <v>19820</v>
      </c>
      <c r="B10183" s="1" t="str">
        <f>"48304"</f>
        <v>48304</v>
      </c>
      <c r="C10183" s="2">
        <v>3.6219075216398799E-3</v>
      </c>
      <c r="D10183" s="2">
        <v>3.5915121694051399E-3</v>
      </c>
      <c r="E10183" s="2">
        <v>3.1582286336868499E-3</v>
      </c>
      <c r="F10183" s="2">
        <v>3.6048602920720498E-3</v>
      </c>
    </row>
    <row r="10184" spans="1:6" x14ac:dyDescent="0.25">
      <c r="A10184" s="1" t="str">
        <f t="shared" si="361"/>
        <v>19820</v>
      </c>
      <c r="B10184" s="1" t="str">
        <f>"48309"</f>
        <v>48309</v>
      </c>
      <c r="C10184" s="2">
        <v>6.0392871937145097E-3</v>
      </c>
      <c r="D10184" s="2">
        <v>6.6283718478165297E-3</v>
      </c>
      <c r="E10184" s="2">
        <v>3.97192072708215E-3</v>
      </c>
      <c r="F10184" s="2">
        <v>6.0207262052010104E-3</v>
      </c>
    </row>
    <row r="10185" spans="1:6" x14ac:dyDescent="0.25">
      <c r="A10185" s="1" t="str">
        <f t="shared" si="361"/>
        <v>19820</v>
      </c>
      <c r="B10185" s="1" t="str">
        <f>"48323"</f>
        <v>48323</v>
      </c>
      <c r="C10185" s="2">
        <v>3.4500419626165399E-3</v>
      </c>
      <c r="D10185" s="2">
        <v>1.33446094367805E-3</v>
      </c>
      <c r="E10185" s="2">
        <v>9.6539739894357902E-4</v>
      </c>
      <c r="F10185" s="2">
        <v>3.2038848900190998E-3</v>
      </c>
    </row>
    <row r="10186" spans="1:6" x14ac:dyDescent="0.25">
      <c r="A10186" s="1" t="str">
        <f t="shared" ref="A10186:A10249" si="362">"19820"</f>
        <v>19820</v>
      </c>
      <c r="B10186" s="1" t="str">
        <f>"48328"</f>
        <v>48328</v>
      </c>
      <c r="C10186" s="2">
        <v>5.7812440324458599E-3</v>
      </c>
      <c r="D10186" s="2">
        <v>5.3817766452860004E-3</v>
      </c>
      <c r="E10186" s="2">
        <v>1.09365733908894E-2</v>
      </c>
      <c r="F10186" s="2">
        <v>5.9123191746785504E-3</v>
      </c>
    </row>
    <row r="10187" spans="1:6" x14ac:dyDescent="0.25">
      <c r="A10187" s="1" t="str">
        <f t="shared" si="362"/>
        <v>19820</v>
      </c>
      <c r="B10187" s="1" t="str">
        <f>"48334"</f>
        <v>48334</v>
      </c>
      <c r="C10187" s="2">
        <v>4.0136238954822301E-3</v>
      </c>
      <c r="D10187" s="2">
        <v>1.15927862226517E-2</v>
      </c>
      <c r="E10187" s="2">
        <v>1.12675667848129E-2</v>
      </c>
      <c r="F10187" s="2">
        <v>4.8434868054712003E-3</v>
      </c>
    </row>
    <row r="10188" spans="1:6" x14ac:dyDescent="0.25">
      <c r="A10188" s="1" t="str">
        <f t="shared" si="362"/>
        <v>19820</v>
      </c>
      <c r="B10188" s="1" t="str">
        <f>"48231"</f>
        <v>48231</v>
      </c>
      <c r="C10188" s="2">
        <v>6.6102138085897505E-5</v>
      </c>
      <c r="D10188" s="2">
        <v>3.6244618223354698E-4</v>
      </c>
      <c r="E10188" s="2">
        <v>2.7582782826959398E-5</v>
      </c>
      <c r="F10188" s="2">
        <v>8.8380028899834E-5</v>
      </c>
    </row>
    <row r="10189" spans="1:6" x14ac:dyDescent="0.25">
      <c r="A10189" s="1" t="str">
        <f t="shared" si="362"/>
        <v>19820</v>
      </c>
      <c r="B10189" s="1" t="str">
        <f>"48205"</f>
        <v>48205</v>
      </c>
      <c r="C10189" s="2">
        <v>9.5324179574537201E-3</v>
      </c>
      <c r="D10189" s="2">
        <v>5.6179158246199802E-3</v>
      </c>
      <c r="E10189" s="2">
        <v>1.0274586603042301E-2</v>
      </c>
      <c r="F10189" s="2">
        <v>9.2455088360437199E-3</v>
      </c>
    </row>
    <row r="10190" spans="1:6" x14ac:dyDescent="0.25">
      <c r="A10190" s="1" t="str">
        <f t="shared" si="362"/>
        <v>19820</v>
      </c>
      <c r="B10190" s="1" t="str">
        <f>"48207"</f>
        <v>48207</v>
      </c>
      <c r="C10190" s="2">
        <v>6.9191800984579098E-3</v>
      </c>
      <c r="D10190" s="2">
        <v>8.1605307090765293E-3</v>
      </c>
      <c r="E10190" s="2">
        <v>1.1529603221669E-2</v>
      </c>
      <c r="F10190" s="2">
        <v>7.1631360368914704E-3</v>
      </c>
    </row>
    <row r="10191" spans="1:6" x14ac:dyDescent="0.25">
      <c r="A10191" s="1" t="str">
        <f t="shared" si="362"/>
        <v>19820</v>
      </c>
      <c r="B10191" s="1" t="str">
        <f>"48214"</f>
        <v>48214</v>
      </c>
      <c r="C10191" s="2">
        <v>7.0102541553762497E-3</v>
      </c>
      <c r="D10191" s="2">
        <v>3.76175204287848E-3</v>
      </c>
      <c r="E10191" s="2">
        <v>5.2269373457088002E-3</v>
      </c>
      <c r="F10191" s="2">
        <v>6.6964198251642697E-3</v>
      </c>
    </row>
    <row r="10192" spans="1:6" x14ac:dyDescent="0.25">
      <c r="A10192" s="1" t="str">
        <f t="shared" si="362"/>
        <v>19820</v>
      </c>
      <c r="B10192" s="1" t="str">
        <f>"48223"</f>
        <v>48223</v>
      </c>
      <c r="C10192" s="2">
        <v>6.1719811153536103E-3</v>
      </c>
      <c r="D10192" s="2">
        <v>4.28345488094192E-3</v>
      </c>
      <c r="E10192" s="2">
        <v>3.1168544594464098E-3</v>
      </c>
      <c r="F10192" s="2">
        <v>5.9258156322937999E-3</v>
      </c>
    </row>
    <row r="10193" spans="1:6" x14ac:dyDescent="0.25">
      <c r="A10193" s="1" t="str">
        <f t="shared" si="362"/>
        <v>19820</v>
      </c>
      <c r="B10193" s="1" t="str">
        <f>"48224"</f>
        <v>48224</v>
      </c>
      <c r="C10193" s="2">
        <v>9.3820967989917195E-3</v>
      </c>
      <c r="D10193" s="2">
        <v>6.2714172744047E-3</v>
      </c>
      <c r="E10193" s="2">
        <v>4.9373181260257302E-3</v>
      </c>
      <c r="F10193" s="2">
        <v>8.9951713157609397E-3</v>
      </c>
    </row>
    <row r="10194" spans="1:6" x14ac:dyDescent="0.25">
      <c r="A10194" s="1" t="str">
        <f t="shared" si="362"/>
        <v>19820</v>
      </c>
      <c r="B10194" s="1" t="str">
        <f>"48227"</f>
        <v>48227</v>
      </c>
      <c r="C10194" s="2">
        <v>1.02923477227078E-2</v>
      </c>
      <c r="D10194" s="2">
        <v>8.5833845883489992E-3</v>
      </c>
      <c r="E10194" s="2">
        <v>5.9302983077962699E-3</v>
      </c>
      <c r="F10194" s="2">
        <v>1.0019160616117601E-2</v>
      </c>
    </row>
    <row r="10195" spans="1:6" x14ac:dyDescent="0.25">
      <c r="A10195" s="1" t="str">
        <f t="shared" si="362"/>
        <v>19820</v>
      </c>
      <c r="B10195" s="1" t="str">
        <f>"48843"</f>
        <v>48843</v>
      </c>
      <c r="C10195" s="2">
        <v>9.6582568425505801E-3</v>
      </c>
      <c r="D10195" s="2">
        <v>8.4955188472014692E-3</v>
      </c>
      <c r="E10195" s="2">
        <v>8.4541229364630491E-3</v>
      </c>
      <c r="F10195" s="2">
        <v>9.5280637067628998E-3</v>
      </c>
    </row>
    <row r="10196" spans="1:6" x14ac:dyDescent="0.25">
      <c r="A10196" s="1" t="str">
        <f t="shared" si="362"/>
        <v>19820</v>
      </c>
      <c r="B10196" s="1" t="str">
        <f>"48836"</f>
        <v>48836</v>
      </c>
      <c r="C10196" s="2">
        <v>2.7611107901213002E-3</v>
      </c>
      <c r="D10196" s="2">
        <v>1.3015112907477299E-3</v>
      </c>
      <c r="E10196" s="2">
        <v>8.4127487622226199E-4</v>
      </c>
      <c r="F10196" s="2">
        <v>2.5847893181197702E-3</v>
      </c>
    </row>
    <row r="10197" spans="1:6" x14ac:dyDescent="0.25">
      <c r="A10197" s="1" t="str">
        <f t="shared" si="362"/>
        <v>19820</v>
      </c>
      <c r="B10197" s="1" t="str">
        <f>"48367"</f>
        <v>48367</v>
      </c>
      <c r="C10197" s="2">
        <v>9.5921547044646805E-4</v>
      </c>
      <c r="D10197" s="2">
        <v>2.1966435286881601E-4</v>
      </c>
      <c r="E10197" s="2">
        <v>1.24122522721317E-4</v>
      </c>
      <c r="F10197" s="2">
        <v>8.7422215778752102E-4</v>
      </c>
    </row>
    <row r="10198" spans="1:6" x14ac:dyDescent="0.25">
      <c r="A10198" s="1" t="str">
        <f t="shared" si="362"/>
        <v>19820</v>
      </c>
      <c r="B10198" s="1" t="str">
        <f>"48386"</f>
        <v>48386</v>
      </c>
      <c r="C10198" s="2">
        <v>3.7771251347749101E-3</v>
      </c>
      <c r="D10198" s="2">
        <v>1.5706001230120299E-3</v>
      </c>
      <c r="E10198" s="2">
        <v>2.0549173206084702E-3</v>
      </c>
      <c r="F10198" s="2">
        <v>3.5478268744076201E-3</v>
      </c>
    </row>
    <row r="10199" spans="1:6" x14ac:dyDescent="0.25">
      <c r="A10199" s="1" t="str">
        <f t="shared" si="362"/>
        <v>19820</v>
      </c>
      <c r="B10199" s="1" t="str">
        <f>"48412"</f>
        <v>48412</v>
      </c>
      <c r="C10199" s="2">
        <v>1.1741698305924599E-3</v>
      </c>
      <c r="D10199" s="2">
        <v>2.1417274404709601E-4</v>
      </c>
      <c r="E10199" s="2">
        <v>2.34453654029155E-4</v>
      </c>
      <c r="F10199" s="2">
        <v>1.0683969996068601E-3</v>
      </c>
    </row>
    <row r="10200" spans="1:6" x14ac:dyDescent="0.25">
      <c r="A10200" s="1" t="str">
        <f t="shared" si="362"/>
        <v>19820</v>
      </c>
      <c r="B10200" s="1" t="str">
        <f>"48154"</f>
        <v>48154</v>
      </c>
      <c r="C10200" s="2">
        <v>7.6350417716548099E-3</v>
      </c>
      <c r="D10200" s="2">
        <v>4.77220806607503E-3</v>
      </c>
      <c r="E10200" s="2">
        <v>1.7790894923388799E-3</v>
      </c>
      <c r="F10200" s="2">
        <v>7.2232170417593396E-3</v>
      </c>
    </row>
    <row r="10201" spans="1:6" x14ac:dyDescent="0.25">
      <c r="A10201" s="1" t="str">
        <f t="shared" si="362"/>
        <v>19820</v>
      </c>
      <c r="B10201" s="1" t="str">
        <f>"48124"</f>
        <v>48124</v>
      </c>
      <c r="C10201" s="2">
        <v>7.2002365966897996E-3</v>
      </c>
      <c r="D10201" s="2">
        <v>6.6723047183902904E-3</v>
      </c>
      <c r="E10201" s="2">
        <v>4.6201161235156999E-3</v>
      </c>
      <c r="F10201" s="2">
        <v>7.0769328559940996E-3</v>
      </c>
    </row>
    <row r="10202" spans="1:6" x14ac:dyDescent="0.25">
      <c r="A10202" s="1" t="str">
        <f t="shared" si="362"/>
        <v>19820</v>
      </c>
      <c r="B10202" s="1" t="str">
        <f>"48125"</f>
        <v>48125</v>
      </c>
      <c r="C10202" s="2">
        <v>4.5066968810563001E-3</v>
      </c>
      <c r="D10202" s="2">
        <v>1.9934540022844998E-3</v>
      </c>
      <c r="E10202" s="2">
        <v>1.0481457474244499E-3</v>
      </c>
      <c r="F10202" s="2">
        <v>4.1982690575423599E-3</v>
      </c>
    </row>
    <row r="10203" spans="1:6" x14ac:dyDescent="0.25">
      <c r="A10203" s="1" t="str">
        <f t="shared" si="362"/>
        <v>19820</v>
      </c>
      <c r="B10203" s="1" t="str">
        <f>"48174"</f>
        <v>48174</v>
      </c>
      <c r="C10203" s="2">
        <v>7.0866388482755099E-3</v>
      </c>
      <c r="D10203" s="2">
        <v>7.3862138652139499E-3</v>
      </c>
      <c r="E10203" s="2">
        <v>5.2131459542953196E-3</v>
      </c>
      <c r="F10203" s="2">
        <v>7.0512460495650801E-3</v>
      </c>
    </row>
    <row r="10204" spans="1:6" x14ac:dyDescent="0.25">
      <c r="A10204" s="1" t="str">
        <f t="shared" si="362"/>
        <v>19820</v>
      </c>
      <c r="B10204" s="1" t="str">
        <f>"48137"</f>
        <v>48137</v>
      </c>
      <c r="C10204" s="2">
        <v>6.9970337277590702E-4</v>
      </c>
      <c r="D10204" s="2">
        <v>1.04340567612687E-4</v>
      </c>
      <c r="E10204" s="2">
        <v>1.24122522721317E-4</v>
      </c>
      <c r="F10204" s="2">
        <v>6.3433350791654297E-4</v>
      </c>
    </row>
    <row r="10205" spans="1:6" x14ac:dyDescent="0.25">
      <c r="A10205" s="1" t="str">
        <f t="shared" si="362"/>
        <v>19820</v>
      </c>
      <c r="B10205" s="1" t="str">
        <f>"48083"</f>
        <v>48083</v>
      </c>
      <c r="C10205" s="2">
        <v>4.8827445999449597E-3</v>
      </c>
      <c r="D10205" s="2">
        <v>1.3734513663122699E-2</v>
      </c>
      <c r="E10205" s="2">
        <v>9.2816064212718399E-3</v>
      </c>
      <c r="F10205" s="2">
        <v>5.7233687680651102E-3</v>
      </c>
    </row>
    <row r="10206" spans="1:6" x14ac:dyDescent="0.25">
      <c r="A10206" s="1" t="str">
        <f t="shared" si="362"/>
        <v>19820</v>
      </c>
      <c r="B10206" s="1" t="str">
        <f>"48091"</f>
        <v>48091</v>
      </c>
      <c r="C10206" s="2">
        <v>6.7659210671920803E-3</v>
      </c>
      <c r="D10206" s="2">
        <v>6.0682277480010498E-3</v>
      </c>
      <c r="E10206" s="2">
        <v>6.6060764870567697E-3</v>
      </c>
      <c r="F10206" s="2">
        <v>6.7055625867746002E-3</v>
      </c>
    </row>
    <row r="10207" spans="1:6" x14ac:dyDescent="0.25">
      <c r="A10207" s="1" t="str">
        <f t="shared" si="362"/>
        <v>19820</v>
      </c>
      <c r="B10207" s="1" t="str">
        <f>"48092"</f>
        <v>48092</v>
      </c>
      <c r="C10207" s="2">
        <v>5.5927305275342296E-3</v>
      </c>
      <c r="D10207" s="2">
        <v>5.55750812758105E-3</v>
      </c>
      <c r="E10207" s="2">
        <v>7.9438414541643104E-3</v>
      </c>
      <c r="F10207" s="2">
        <v>5.6641585023982297E-3</v>
      </c>
    </row>
    <row r="10208" spans="1:6" x14ac:dyDescent="0.25">
      <c r="A10208" s="1" t="str">
        <f t="shared" si="362"/>
        <v>19820</v>
      </c>
      <c r="B10208" s="1" t="str">
        <f>"48094"</f>
        <v>48094</v>
      </c>
      <c r="C10208" s="2">
        <v>4.4866214168968804E-3</v>
      </c>
      <c r="D10208" s="2">
        <v>2.8117037167208498E-3</v>
      </c>
      <c r="E10208" s="2">
        <v>2.9789405453116099E-3</v>
      </c>
      <c r="F10208" s="2">
        <v>4.3062407184643204E-3</v>
      </c>
    </row>
    <row r="10209" spans="1:6" x14ac:dyDescent="0.25">
      <c r="A10209" s="1" t="str">
        <f t="shared" si="362"/>
        <v>19820</v>
      </c>
      <c r="B10209" s="1" t="str">
        <f>"48038"</f>
        <v>48038</v>
      </c>
      <c r="C10209" s="2">
        <v>1.125597000236E-2</v>
      </c>
      <c r="D10209" s="2">
        <v>9.8080133555926499E-3</v>
      </c>
      <c r="E10209" s="2">
        <v>2.1376656690893499E-2</v>
      </c>
      <c r="F10209" s="2">
        <v>1.14606693633459E-2</v>
      </c>
    </row>
    <row r="10210" spans="1:6" x14ac:dyDescent="0.25">
      <c r="A10210" s="1" t="str">
        <f t="shared" si="362"/>
        <v>19820</v>
      </c>
      <c r="B10210" s="1" t="str">
        <f>"48041"</f>
        <v>48041</v>
      </c>
      <c r="C10210" s="2">
        <v>9.0192695077202399E-4</v>
      </c>
      <c r="D10210" s="2">
        <v>2.2515596169053601E-4</v>
      </c>
      <c r="E10210" s="2">
        <v>2.8961921968307302E-4</v>
      </c>
      <c r="F10210" s="2">
        <v>8.2894371933637395E-4</v>
      </c>
    </row>
    <row r="10211" spans="1:6" x14ac:dyDescent="0.25">
      <c r="A10211" s="1" t="str">
        <f t="shared" si="362"/>
        <v>19820</v>
      </c>
      <c r="B10211" s="1" t="str">
        <f>"48042"</f>
        <v>48042</v>
      </c>
      <c r="C10211" s="2">
        <v>5.9898330015169202E-3</v>
      </c>
      <c r="D10211" s="2">
        <v>2.5645813197434299E-3</v>
      </c>
      <c r="E10211" s="2">
        <v>3.44784785336992E-4</v>
      </c>
      <c r="F10211" s="2">
        <v>5.5400781662580702E-3</v>
      </c>
    </row>
    <row r="10212" spans="1:6" x14ac:dyDescent="0.25">
      <c r="A10212" s="1" t="str">
        <f t="shared" si="362"/>
        <v>19820</v>
      </c>
      <c r="B10212" s="1" t="str">
        <f>"48047"</f>
        <v>48047</v>
      </c>
      <c r="C10212" s="2">
        <v>8.8180252206587206E-3</v>
      </c>
      <c r="D10212" s="2">
        <v>5.0248220718741698E-3</v>
      </c>
      <c r="E10212" s="2">
        <v>5.5027651739784E-3</v>
      </c>
      <c r="F10212" s="2">
        <v>8.4126467903029196E-3</v>
      </c>
    </row>
    <row r="10213" spans="1:6" x14ac:dyDescent="0.25">
      <c r="A10213" s="1" t="str">
        <f t="shared" si="362"/>
        <v>19820</v>
      </c>
      <c r="B10213" s="1" t="str">
        <f>"48060"</f>
        <v>48060</v>
      </c>
      <c r="C10213" s="2">
        <v>9.0799855456657995E-3</v>
      </c>
      <c r="D10213" s="2">
        <v>1.02638168877954E-2</v>
      </c>
      <c r="E10213" s="2">
        <v>1.5377401426029801E-2</v>
      </c>
      <c r="F10213" s="2">
        <v>9.3726367593873292E-3</v>
      </c>
    </row>
    <row r="10214" spans="1:6" x14ac:dyDescent="0.25">
      <c r="A10214" s="1" t="str">
        <f t="shared" si="362"/>
        <v>19820</v>
      </c>
      <c r="B10214" s="1" t="str">
        <f>"48063"</f>
        <v>48063</v>
      </c>
      <c r="C10214" s="2">
        <v>8.6618283165890901E-4</v>
      </c>
      <c r="D10214" s="2">
        <v>2.4163078815569799E-4</v>
      </c>
      <c r="E10214" s="2">
        <v>9.6539739894357905E-5</v>
      </c>
      <c r="F10214" s="2">
        <v>7.9237267289506395E-4</v>
      </c>
    </row>
    <row r="10215" spans="1:6" x14ac:dyDescent="0.25">
      <c r="A10215" s="1" t="str">
        <f t="shared" si="362"/>
        <v>19820</v>
      </c>
      <c r="B10215" s="1" t="str">
        <f>"48048"</f>
        <v>48048</v>
      </c>
      <c r="C10215" s="2">
        <v>1.9850227244461302E-3</v>
      </c>
      <c r="D10215" s="2">
        <v>1.21913715842193E-3</v>
      </c>
      <c r="E10215" s="2">
        <v>3.0341061109655302E-4</v>
      </c>
      <c r="F10215" s="2">
        <v>1.8712185429137201E-3</v>
      </c>
    </row>
    <row r="10216" spans="1:6" x14ac:dyDescent="0.25">
      <c r="A10216" s="1" t="str">
        <f t="shared" si="362"/>
        <v>19820</v>
      </c>
      <c r="B10216" s="1" t="str">
        <f>"48014"</f>
        <v>48014</v>
      </c>
      <c r="C10216" s="2">
        <v>8.5002453123791098E-4</v>
      </c>
      <c r="D10216" s="2">
        <v>2.4712239697741802E-4</v>
      </c>
      <c r="E10216" s="2">
        <v>4.8269869947178902E-4</v>
      </c>
      <c r="F10216" s="2">
        <v>7.9063119449309597E-4</v>
      </c>
    </row>
    <row r="10217" spans="1:6" x14ac:dyDescent="0.25">
      <c r="A10217" s="1" t="str">
        <f t="shared" si="362"/>
        <v>19820</v>
      </c>
      <c r="B10217" s="1" t="str">
        <f>"48301"</f>
        <v>48301</v>
      </c>
      <c r="C10217" s="2">
        <v>2.8433712286281901E-3</v>
      </c>
      <c r="D10217" s="2">
        <v>1.8616553905632101E-3</v>
      </c>
      <c r="E10217" s="2">
        <v>3.13064585085989E-3</v>
      </c>
      <c r="F10217" s="2">
        <v>2.7746104639341899E-3</v>
      </c>
    </row>
    <row r="10218" spans="1:6" x14ac:dyDescent="0.25">
      <c r="A10218" s="1" t="str">
        <f t="shared" si="362"/>
        <v>19820</v>
      </c>
      <c r="B10218" s="1" t="str">
        <f>"48329"</f>
        <v>48329</v>
      </c>
      <c r="C10218" s="2">
        <v>5.1505806705596704E-3</v>
      </c>
      <c r="D10218" s="2">
        <v>4.1241982251120201E-3</v>
      </c>
      <c r="E10218" s="2">
        <v>2.7169041084554998E-3</v>
      </c>
      <c r="F10218" s="2">
        <v>4.9923832088393898E-3</v>
      </c>
    </row>
    <row r="10219" spans="1:6" x14ac:dyDescent="0.25">
      <c r="A10219" s="1" t="str">
        <f t="shared" si="362"/>
        <v>19820</v>
      </c>
      <c r="B10219" s="1" t="str">
        <f>"48193"</f>
        <v>48193</v>
      </c>
      <c r="C10219" s="2">
        <v>3.7262020061754001E-3</v>
      </c>
      <c r="D10219" s="2">
        <v>2.92702750197697E-3</v>
      </c>
      <c r="E10219" s="2">
        <v>4.3167055124191398E-3</v>
      </c>
      <c r="F10219" s="2">
        <v>3.6814853417586001E-3</v>
      </c>
    </row>
    <row r="10220" spans="1:6" x14ac:dyDescent="0.25">
      <c r="A10220" s="1" t="str">
        <f t="shared" si="362"/>
        <v>19820</v>
      </c>
      <c r="B10220" s="1" t="str">
        <f>"48208"</f>
        <v>48208</v>
      </c>
      <c r="C10220" s="2">
        <v>2.72193915273706E-3</v>
      </c>
      <c r="D10220" s="2">
        <v>2.87211141375977E-3</v>
      </c>
      <c r="E10220" s="2">
        <v>7.3921857976251204E-3</v>
      </c>
      <c r="F10220" s="2">
        <v>2.88127601605468E-3</v>
      </c>
    </row>
    <row r="10221" spans="1:6" x14ac:dyDescent="0.25">
      <c r="A10221" s="1" t="str">
        <f t="shared" si="362"/>
        <v>19820</v>
      </c>
      <c r="B10221" s="1" t="str">
        <f>"48220"</f>
        <v>48220</v>
      </c>
      <c r="C10221" s="2">
        <v>6.0050120110033099E-3</v>
      </c>
      <c r="D10221" s="2">
        <v>7.5070292592918E-3</v>
      </c>
      <c r="E10221" s="2">
        <v>8.2334606738473804E-3</v>
      </c>
      <c r="F10221" s="2">
        <v>6.1944386757972298E-3</v>
      </c>
    </row>
    <row r="10222" spans="1:6" x14ac:dyDescent="0.25">
      <c r="A10222" s="1" t="str">
        <f t="shared" si="362"/>
        <v>19820</v>
      </c>
      <c r="B10222" s="1" t="str">
        <f>"48218"</f>
        <v>48218</v>
      </c>
      <c r="C10222" s="2">
        <v>1.8684871032280299E-3</v>
      </c>
      <c r="D10222" s="2">
        <v>1.58707494947719E-3</v>
      </c>
      <c r="E10222" s="2">
        <v>5.1166062144009702E-3</v>
      </c>
      <c r="F10222" s="2">
        <v>1.9487143318012599E-3</v>
      </c>
    </row>
    <row r="10223" spans="1:6" x14ac:dyDescent="0.25">
      <c r="A10223" s="1" t="str">
        <f t="shared" si="362"/>
        <v>19820</v>
      </c>
      <c r="B10223" s="1" t="str">
        <f>"48215"</f>
        <v>48215</v>
      </c>
      <c r="C10223" s="2">
        <v>3.6581412862202898E-3</v>
      </c>
      <c r="D10223" s="2">
        <v>2.92702750197697E-3</v>
      </c>
      <c r="E10223" s="2">
        <v>2.5789901943206999E-3</v>
      </c>
      <c r="F10223" s="2">
        <v>3.5661123976282799E-3</v>
      </c>
    </row>
    <row r="10224" spans="1:6" x14ac:dyDescent="0.25">
      <c r="A10224" s="1" t="str">
        <f t="shared" si="362"/>
        <v>19820</v>
      </c>
      <c r="B10224" s="1" t="str">
        <f>"48744"</f>
        <v>48744</v>
      </c>
      <c r="C10224" s="2">
        <v>9.2053347852953494E-5</v>
      </c>
      <c r="D10224" s="2">
        <v>2.1966435286881598E-5</v>
      </c>
      <c r="E10224" s="2">
        <v>0</v>
      </c>
      <c r="F10224" s="2">
        <v>8.3590963294424294E-5</v>
      </c>
    </row>
    <row r="10225" spans="1:6" x14ac:dyDescent="0.25">
      <c r="A10225" s="1" t="str">
        <f t="shared" si="362"/>
        <v>19820</v>
      </c>
      <c r="B10225" s="1" t="str">
        <f>"48350"</f>
        <v>48350</v>
      </c>
      <c r="C10225" s="2">
        <v>1.5247559851813599E-3</v>
      </c>
      <c r="D10225" s="2">
        <v>5.8760214392408305E-4</v>
      </c>
      <c r="E10225" s="2">
        <v>6.4819539643354599E-4</v>
      </c>
      <c r="F10225" s="2">
        <v>1.42278785440718E-3</v>
      </c>
    </row>
    <row r="10226" spans="1:6" x14ac:dyDescent="0.25">
      <c r="A10226" s="1" t="str">
        <f t="shared" si="362"/>
        <v>19820</v>
      </c>
      <c r="B10226" s="1" t="str">
        <f>"48141"</f>
        <v>48141</v>
      </c>
      <c r="C10226" s="2">
        <v>6.1352577053058899E-3</v>
      </c>
      <c r="D10226" s="2">
        <v>3.24004920481504E-3</v>
      </c>
      <c r="E10226" s="2">
        <v>4.77182142906397E-3</v>
      </c>
      <c r="F10226" s="2">
        <v>5.8626870402224904E-3</v>
      </c>
    </row>
    <row r="10227" spans="1:6" x14ac:dyDescent="0.25">
      <c r="A10227" s="1" t="str">
        <f t="shared" si="362"/>
        <v>19820</v>
      </c>
      <c r="B10227" s="1" t="str">
        <f>"48152"</f>
        <v>48152</v>
      </c>
      <c r="C10227" s="2">
        <v>6.5798557896169603E-3</v>
      </c>
      <c r="D10227" s="2">
        <v>9.9453035761356608E-3</v>
      </c>
      <c r="E10227" s="2">
        <v>3.5857617675047202E-3</v>
      </c>
      <c r="F10227" s="2">
        <v>6.7521471340272199E-3</v>
      </c>
    </row>
    <row r="10228" spans="1:6" x14ac:dyDescent="0.25">
      <c r="A10228" s="1" t="str">
        <f t="shared" si="362"/>
        <v>19820</v>
      </c>
      <c r="B10228" s="1" t="str">
        <f>"48134"</f>
        <v>48134</v>
      </c>
      <c r="C10228" s="2">
        <v>4.9263230465349198E-3</v>
      </c>
      <c r="D10228" s="2">
        <v>2.7403128020384799E-3</v>
      </c>
      <c r="E10228" s="2">
        <v>3.7374670730529998E-3</v>
      </c>
      <c r="F10228" s="2">
        <v>4.7154881429266101E-3</v>
      </c>
    </row>
    <row r="10229" spans="1:6" x14ac:dyDescent="0.25">
      <c r="A10229" s="1" t="str">
        <f t="shared" si="362"/>
        <v>19820</v>
      </c>
      <c r="B10229" s="1" t="str">
        <f>"48178"</f>
        <v>48178</v>
      </c>
      <c r="C10229" s="2">
        <v>7.1057350215003303E-3</v>
      </c>
      <c r="D10229" s="2">
        <v>4.3383709691591204E-3</v>
      </c>
      <c r="E10229" s="2">
        <v>5.8613413507288704E-3</v>
      </c>
      <c r="F10229" s="2">
        <v>6.8470577069344304E-3</v>
      </c>
    </row>
    <row r="10230" spans="1:6" x14ac:dyDescent="0.25">
      <c r="A10230" s="1" t="str">
        <f t="shared" si="362"/>
        <v>19820</v>
      </c>
      <c r="B10230" s="1" t="str">
        <f>"48185"</f>
        <v>48185</v>
      </c>
      <c r="C10230" s="2">
        <v>1.2708258458380599E-2</v>
      </c>
      <c r="D10230" s="2">
        <v>9.1490202969862003E-3</v>
      </c>
      <c r="E10230" s="2">
        <v>2.66863423850832E-2</v>
      </c>
      <c r="F10230" s="2">
        <v>1.28673485425349E-2</v>
      </c>
    </row>
    <row r="10231" spans="1:6" x14ac:dyDescent="0.25">
      <c r="A10231" s="1" t="str">
        <f t="shared" si="362"/>
        <v>19820</v>
      </c>
      <c r="B10231" s="1" t="str">
        <f>"48090"</f>
        <v>48090</v>
      </c>
      <c r="C10231" s="2">
        <v>5.6554051473490098E-4</v>
      </c>
      <c r="D10231" s="2">
        <v>2.2515596169053599E-3</v>
      </c>
      <c r="E10231" s="2">
        <v>2.7582782826959398E-5</v>
      </c>
      <c r="F10231" s="2">
        <v>6.8222416397063996E-4</v>
      </c>
    </row>
    <row r="10232" spans="1:6" x14ac:dyDescent="0.25">
      <c r="A10232" s="1" t="str">
        <f t="shared" si="362"/>
        <v>19820</v>
      </c>
      <c r="B10232" s="1" t="str">
        <f>"48098"</f>
        <v>48098</v>
      </c>
      <c r="C10232" s="2">
        <v>3.6586309316875999E-3</v>
      </c>
      <c r="D10232" s="2">
        <v>3.1247254195589098E-3</v>
      </c>
      <c r="E10232" s="2">
        <v>1.5722186211366801E-3</v>
      </c>
      <c r="F10232" s="2">
        <v>3.55043909201057E-3</v>
      </c>
    </row>
    <row r="10233" spans="1:6" x14ac:dyDescent="0.25">
      <c r="A10233" s="1" t="str">
        <f t="shared" si="362"/>
        <v>19820</v>
      </c>
      <c r="B10233" s="1" t="str">
        <f>"48071"</f>
        <v>48071</v>
      </c>
      <c r="C10233" s="2">
        <v>7.0802734572005697E-3</v>
      </c>
      <c r="D10233" s="2">
        <v>1.0252833670151999E-2</v>
      </c>
      <c r="E10233" s="2">
        <v>9.9160104262919005E-3</v>
      </c>
      <c r="F10233" s="2">
        <v>7.4213102099831103E-3</v>
      </c>
    </row>
    <row r="10234" spans="1:6" x14ac:dyDescent="0.25">
      <c r="A10234" s="1" t="str">
        <f t="shared" si="362"/>
        <v>19820</v>
      </c>
      <c r="B10234" s="1" t="str">
        <f>"48114"</f>
        <v>48114</v>
      </c>
      <c r="C10234" s="2">
        <v>4.2716670567508799E-3</v>
      </c>
      <c r="D10234" s="2">
        <v>3.8166681310956799E-3</v>
      </c>
      <c r="E10234" s="2">
        <v>2.7031127170420201E-3</v>
      </c>
      <c r="F10234" s="2">
        <v>4.1860787087285899E-3</v>
      </c>
    </row>
    <row r="10235" spans="1:6" x14ac:dyDescent="0.25">
      <c r="A10235" s="1" t="str">
        <f t="shared" si="362"/>
        <v>19820</v>
      </c>
      <c r="B10235" s="1" t="str">
        <f>"48046"</f>
        <v>48046</v>
      </c>
      <c r="C10235" s="2">
        <v>6.0716037945565096E-4</v>
      </c>
      <c r="D10235" s="2">
        <v>2.19664352868816E-3</v>
      </c>
      <c r="E10235" s="2">
        <v>2.7582782826959398E-5</v>
      </c>
      <c r="F10235" s="2">
        <v>7.1487688400752401E-4</v>
      </c>
    </row>
    <row r="10236" spans="1:6" x14ac:dyDescent="0.25">
      <c r="A10236" s="1" t="str">
        <f t="shared" si="362"/>
        <v>19820</v>
      </c>
      <c r="B10236" s="1" t="str">
        <f>"48325"</f>
        <v>48325</v>
      </c>
      <c r="C10236" s="2">
        <v>4.2452262015165202E-4</v>
      </c>
      <c r="D10236" s="2">
        <v>3.4102890782883701E-3</v>
      </c>
      <c r="E10236" s="2">
        <v>2.7582782826959398E-5</v>
      </c>
      <c r="F10236" s="2">
        <v>6.4870070473277202E-4</v>
      </c>
    </row>
    <row r="10237" spans="1:6" x14ac:dyDescent="0.25">
      <c r="A10237" s="1" t="str">
        <f t="shared" si="362"/>
        <v>19820</v>
      </c>
      <c r="B10237" s="1" t="str">
        <f>"48332"</f>
        <v>48332</v>
      </c>
      <c r="C10237" s="2">
        <v>2.3600911524001899E-4</v>
      </c>
      <c r="D10237" s="2">
        <v>2.0758281346103099E-3</v>
      </c>
      <c r="E10237" s="2">
        <v>1.3791391413479699E-5</v>
      </c>
      <c r="F10237" s="2">
        <v>3.7485322602343399E-4</v>
      </c>
    </row>
    <row r="10238" spans="1:6" x14ac:dyDescent="0.25">
      <c r="A10238" s="1" t="str">
        <f t="shared" si="362"/>
        <v>19820</v>
      </c>
      <c r="B10238" s="1" t="str">
        <f>"48068"</f>
        <v>48068</v>
      </c>
      <c r="C10238" s="2">
        <v>6.0960860679216597E-4</v>
      </c>
      <c r="D10238" s="2">
        <v>3.1631666813109502E-3</v>
      </c>
      <c r="E10238" s="2">
        <v>4.1374174240439101E-5</v>
      </c>
      <c r="F10238" s="2">
        <v>7.9411415129703095E-4</v>
      </c>
    </row>
    <row r="10239" spans="1:6" x14ac:dyDescent="0.25">
      <c r="A10239" s="1" t="str">
        <f t="shared" si="362"/>
        <v>19820</v>
      </c>
      <c r="B10239" s="1" t="str">
        <f>"48463"</f>
        <v>48463</v>
      </c>
      <c r="C10239" s="2">
        <v>3.9171637384235503E-6</v>
      </c>
      <c r="D10239" s="2">
        <v>0</v>
      </c>
      <c r="E10239" s="2">
        <v>0</v>
      </c>
      <c r="F10239" s="2">
        <v>3.4829568039343401E-6</v>
      </c>
    </row>
    <row r="10240" spans="1:6" x14ac:dyDescent="0.25">
      <c r="A10240" s="1" t="str">
        <f t="shared" si="362"/>
        <v>19820</v>
      </c>
      <c r="B10240" s="1" t="str">
        <f>"48067"</f>
        <v>48067</v>
      </c>
      <c r="C10240" s="2">
        <v>6.5191397516713998E-3</v>
      </c>
      <c r="D10240" s="2">
        <v>7.2763816887795396E-3</v>
      </c>
      <c r="E10240" s="2">
        <v>1.13227323504668E-2</v>
      </c>
      <c r="F10240" s="2">
        <v>6.7308140236031202E-3</v>
      </c>
    </row>
    <row r="10241" spans="1:6" x14ac:dyDescent="0.25">
      <c r="A10241" s="1" t="str">
        <f t="shared" si="362"/>
        <v>19820</v>
      </c>
      <c r="B10241" s="1" t="str">
        <f>"48307"</f>
        <v>48307</v>
      </c>
      <c r="C10241" s="2">
        <v>9.9187482311557402E-3</v>
      </c>
      <c r="D10241" s="2">
        <v>1.13786134786046E-2</v>
      </c>
      <c r="E10241" s="2">
        <v>1.5942848473982502E-2</v>
      </c>
      <c r="F10241" s="2">
        <v>1.0224655067549699E-2</v>
      </c>
    </row>
    <row r="10242" spans="1:6" x14ac:dyDescent="0.25">
      <c r="A10242" s="1" t="str">
        <f t="shared" si="362"/>
        <v>19820</v>
      </c>
      <c r="B10242" s="1" t="str">
        <f>"48310"</f>
        <v>48310</v>
      </c>
      <c r="C10242" s="2">
        <v>7.8637062048852908E-3</v>
      </c>
      <c r="D10242" s="2">
        <v>6.5899305860644903E-3</v>
      </c>
      <c r="E10242" s="2">
        <v>6.3302486587871803E-3</v>
      </c>
      <c r="F10242" s="2">
        <v>7.7143139511140803E-3</v>
      </c>
    </row>
    <row r="10243" spans="1:6" x14ac:dyDescent="0.25">
      <c r="A10243" s="1" t="str">
        <f t="shared" si="362"/>
        <v>19820</v>
      </c>
      <c r="B10243" s="1" t="str">
        <f>"48313"</f>
        <v>48313</v>
      </c>
      <c r="C10243" s="2">
        <v>7.1742853869227402E-3</v>
      </c>
      <c r="D10243" s="2">
        <v>4.4536947544152501E-3</v>
      </c>
      <c r="E10243" s="2">
        <v>3.8753809871877902E-3</v>
      </c>
      <c r="F10243" s="2">
        <v>6.8544589901427897E-3</v>
      </c>
    </row>
    <row r="10244" spans="1:6" x14ac:dyDescent="0.25">
      <c r="A10244" s="1" t="str">
        <f t="shared" si="362"/>
        <v>19820</v>
      </c>
      <c r="B10244" s="1" t="str">
        <f>"48316"</f>
        <v>48316</v>
      </c>
      <c r="C10244" s="2">
        <v>6.0765002492295401E-3</v>
      </c>
      <c r="D10244" s="2">
        <v>4.4207451014849301E-3</v>
      </c>
      <c r="E10244" s="2">
        <v>3.17202002510033E-3</v>
      </c>
      <c r="F10244" s="2">
        <v>5.8535442786121598E-3</v>
      </c>
    </row>
    <row r="10245" spans="1:6" x14ac:dyDescent="0.25">
      <c r="A10245" s="1" t="str">
        <f t="shared" si="362"/>
        <v>19820</v>
      </c>
      <c r="B10245" s="1" t="str">
        <f>"48234"</f>
        <v>48234</v>
      </c>
      <c r="C10245" s="2">
        <v>8.0350821184413199E-3</v>
      </c>
      <c r="D10245" s="2">
        <v>6.7162375889640597E-3</v>
      </c>
      <c r="E10245" s="2">
        <v>6.2475003103063002E-3</v>
      </c>
      <c r="F10245" s="2">
        <v>7.8740945944945698E-3</v>
      </c>
    </row>
    <row r="10246" spans="1:6" x14ac:dyDescent="0.25">
      <c r="A10246" s="1" t="str">
        <f t="shared" si="362"/>
        <v>19820</v>
      </c>
      <c r="B10246" s="1" t="str">
        <f>"48306"</f>
        <v>48306</v>
      </c>
      <c r="C10246" s="2">
        <v>5.0041766758360902E-3</v>
      </c>
      <c r="D10246" s="2">
        <v>1.3783938142518199E-3</v>
      </c>
      <c r="E10246" s="2">
        <v>2.2479968003971899E-3</v>
      </c>
      <c r="F10246" s="2">
        <v>4.6297203316297301E-3</v>
      </c>
    </row>
    <row r="10247" spans="1:6" x14ac:dyDescent="0.25">
      <c r="A10247" s="1" t="str">
        <f t="shared" si="362"/>
        <v>19820</v>
      </c>
      <c r="B10247" s="1" t="str">
        <f>"48236"</f>
        <v>48236</v>
      </c>
      <c r="C10247" s="2">
        <v>6.6748470102737396E-3</v>
      </c>
      <c r="D10247" s="2">
        <v>6.4691151919866402E-3</v>
      </c>
      <c r="E10247" s="2">
        <v>1.59980140396364E-3</v>
      </c>
      <c r="F10247" s="2">
        <v>6.4983266569404998E-3</v>
      </c>
    </row>
    <row r="10248" spans="1:6" x14ac:dyDescent="0.25">
      <c r="A10248" s="1" t="str">
        <f t="shared" si="362"/>
        <v>19820</v>
      </c>
      <c r="B10248" s="1" t="str">
        <f>"48243"</f>
        <v>48243</v>
      </c>
      <c r="C10248" s="2">
        <v>2.9672515318558403E-4</v>
      </c>
      <c r="D10248" s="2">
        <v>1.8177225199894501E-3</v>
      </c>
      <c r="E10248" s="2">
        <v>2.48245045442634E-4</v>
      </c>
      <c r="F10248" s="2">
        <v>4.1577796846966198E-4</v>
      </c>
    </row>
    <row r="10249" spans="1:6" x14ac:dyDescent="0.25">
      <c r="A10249" s="1" t="str">
        <f t="shared" si="362"/>
        <v>19820</v>
      </c>
      <c r="B10249" s="1" t="str">
        <f>"48322"</f>
        <v>48322</v>
      </c>
      <c r="C10249" s="2">
        <v>6.5088571968580401E-3</v>
      </c>
      <c r="D10249" s="2">
        <v>5.9913452244969596E-3</v>
      </c>
      <c r="E10249" s="2">
        <v>4.8545697775448501E-3</v>
      </c>
      <c r="F10249" s="2">
        <v>6.4156064328470602E-3</v>
      </c>
    </row>
    <row r="10250" spans="1:6" x14ac:dyDescent="0.25">
      <c r="A10250" s="1" t="str">
        <f t="shared" ref="A10250:A10260" si="363">"19820"</f>
        <v>19820</v>
      </c>
      <c r="B10250" s="1" t="str">
        <f>"48326"</f>
        <v>48326</v>
      </c>
      <c r="C10250" s="2">
        <v>5.55943463575763E-3</v>
      </c>
      <c r="D10250" s="2">
        <v>8.5943678059924398E-3</v>
      </c>
      <c r="E10250" s="2">
        <v>9.9160104262919005E-3</v>
      </c>
      <c r="F10250" s="2">
        <v>5.9375706115070703E-3</v>
      </c>
    </row>
    <row r="10251" spans="1:6" x14ac:dyDescent="0.25">
      <c r="A10251" s="1" t="str">
        <f t="shared" si="363"/>
        <v>19820</v>
      </c>
      <c r="B10251" s="1" t="str">
        <f>"48203"</f>
        <v>48203</v>
      </c>
      <c r="C10251" s="2">
        <v>7.7814457663783901E-3</v>
      </c>
      <c r="D10251" s="2">
        <v>7.0402425094455599E-3</v>
      </c>
      <c r="E10251" s="2">
        <v>7.9438414541643104E-3</v>
      </c>
      <c r="F10251" s="2">
        <v>7.7278104087293298E-3</v>
      </c>
    </row>
    <row r="10252" spans="1:6" x14ac:dyDescent="0.25">
      <c r="A10252" s="1" t="str">
        <f t="shared" si="363"/>
        <v>19820</v>
      </c>
      <c r="B10252" s="1" t="str">
        <f>"48210"</f>
        <v>48210</v>
      </c>
      <c r="C10252" s="2">
        <v>5.7396241677251103E-3</v>
      </c>
      <c r="D10252" s="2">
        <v>4.5580353220279401E-3</v>
      </c>
      <c r="E10252" s="2">
        <v>1.1198609827745501E-2</v>
      </c>
      <c r="F10252" s="2">
        <v>5.8182793409723198E-3</v>
      </c>
    </row>
    <row r="10253" spans="1:6" x14ac:dyDescent="0.25">
      <c r="A10253" s="1" t="str">
        <f t="shared" si="363"/>
        <v>19820</v>
      </c>
      <c r="B10253" s="1" t="str">
        <f>"48213"</f>
        <v>48213</v>
      </c>
      <c r="C10253" s="2">
        <v>6.6474268641047701E-3</v>
      </c>
      <c r="D10253" s="2">
        <v>5.3762850364642801E-3</v>
      </c>
      <c r="E10253" s="2">
        <v>8.5230798935304504E-3</v>
      </c>
      <c r="F10253" s="2">
        <v>6.6058629482619799E-3</v>
      </c>
    </row>
    <row r="10254" spans="1:6" x14ac:dyDescent="0.25">
      <c r="A10254" s="1" t="str">
        <f t="shared" si="363"/>
        <v>19820</v>
      </c>
      <c r="B10254" s="1" t="str">
        <f>"48187"</f>
        <v>48187</v>
      </c>
      <c r="C10254" s="2">
        <v>1.08353645459468E-2</v>
      </c>
      <c r="D10254" s="2">
        <v>1.0801994552324E-2</v>
      </c>
      <c r="E10254" s="2">
        <v>8.4954971107034892E-3</v>
      </c>
      <c r="F10254" s="2">
        <v>1.07588535673532E-2</v>
      </c>
    </row>
    <row r="10255" spans="1:6" x14ac:dyDescent="0.25">
      <c r="A10255" s="1" t="str">
        <f t="shared" si="363"/>
        <v>19820</v>
      </c>
      <c r="B10255" s="1" t="str">
        <f>"48217"</f>
        <v>48217</v>
      </c>
      <c r="C10255" s="2">
        <v>1.62562295144577E-3</v>
      </c>
      <c r="D10255" s="2">
        <v>1.3124945083911701E-3</v>
      </c>
      <c r="E10255" s="2">
        <v>1.18605966155925E-3</v>
      </c>
      <c r="F10255" s="2">
        <v>1.58692219379258E-3</v>
      </c>
    </row>
    <row r="10256" spans="1:6" x14ac:dyDescent="0.25">
      <c r="A10256" s="1" t="str">
        <f t="shared" si="363"/>
        <v>19820</v>
      </c>
      <c r="B10256" s="1" t="str">
        <f>"48461"</f>
        <v>48461</v>
      </c>
      <c r="C10256" s="2">
        <v>1.6300297606515E-3</v>
      </c>
      <c r="D10256" s="2">
        <v>6.9194271153677099E-4</v>
      </c>
      <c r="E10256" s="2">
        <v>6.0682122219310702E-4</v>
      </c>
      <c r="F10256" s="2">
        <v>1.5233582321207799E-3</v>
      </c>
    </row>
    <row r="10257" spans="1:6" x14ac:dyDescent="0.25">
      <c r="A10257" s="1" t="str">
        <f t="shared" si="363"/>
        <v>19820</v>
      </c>
      <c r="B10257" s="1" t="str">
        <f>"48375"</f>
        <v>48375</v>
      </c>
      <c r="C10257" s="2">
        <v>4.70108613157557E-3</v>
      </c>
      <c r="D10257" s="2">
        <v>8.2648712766892098E-3</v>
      </c>
      <c r="E10257" s="2">
        <v>7.0474010122881202E-3</v>
      </c>
      <c r="F10257" s="2">
        <v>5.0576886489131596E-3</v>
      </c>
    </row>
    <row r="10258" spans="1:6" x14ac:dyDescent="0.25">
      <c r="A10258" s="1" t="str">
        <f t="shared" si="363"/>
        <v>19820</v>
      </c>
      <c r="B10258" s="1" t="str">
        <f>"48381"</f>
        <v>48381</v>
      </c>
      <c r="C10258" s="2">
        <v>3.2487976755550302E-3</v>
      </c>
      <c r="D10258" s="2">
        <v>4.4646779720586898E-3</v>
      </c>
      <c r="E10258" s="2">
        <v>2.9375663710711698E-3</v>
      </c>
      <c r="F10258" s="2">
        <v>3.3353665093676299E-3</v>
      </c>
    </row>
    <row r="10259" spans="1:6" x14ac:dyDescent="0.25">
      <c r="A10259" s="1" t="str">
        <f t="shared" si="363"/>
        <v>19820</v>
      </c>
      <c r="B10259" s="1" t="str">
        <f>"48416"</f>
        <v>48416</v>
      </c>
      <c r="C10259" s="2">
        <v>3.96612828515385E-4</v>
      </c>
      <c r="D10259" s="2">
        <v>1.2081539407784899E-4</v>
      </c>
      <c r="E10259" s="2">
        <v>8.2748348480878202E-5</v>
      </c>
      <c r="F10259" s="2">
        <v>3.6483972521212201E-4</v>
      </c>
    </row>
    <row r="10260" spans="1:6" x14ac:dyDescent="0.25">
      <c r="A10260" s="1" t="str">
        <f t="shared" si="363"/>
        <v>19820</v>
      </c>
      <c r="B10260" s="1" t="str">
        <f>"48442"</f>
        <v>48442</v>
      </c>
      <c r="C10260" s="2">
        <v>4.5135519175985399E-3</v>
      </c>
      <c r="D10260" s="2">
        <v>2.19664352868816E-3</v>
      </c>
      <c r="E10260" s="2">
        <v>2.1376656690893499E-3</v>
      </c>
      <c r="F10260" s="2">
        <v>4.2548671056062901E-3</v>
      </c>
    </row>
    <row r="10261" spans="1:6" x14ac:dyDescent="0.25">
      <c r="A10261" s="1" t="str">
        <f t="shared" ref="A10261:A10276" si="364">"19860"</f>
        <v>19860</v>
      </c>
      <c r="B10261" s="1" t="str">
        <f>"58601"</f>
        <v>58601</v>
      </c>
      <c r="C10261" s="2">
        <v>0.77321321973191504</v>
      </c>
      <c r="D10261" s="2">
        <v>0.75250659630606798</v>
      </c>
      <c r="E10261" s="2">
        <v>0.93204983012457499</v>
      </c>
      <c r="F10261" s="2">
        <v>0.77797689224239497</v>
      </c>
    </row>
    <row r="10262" spans="1:6" x14ac:dyDescent="0.25">
      <c r="A10262" s="1" t="str">
        <f t="shared" si="364"/>
        <v>19860</v>
      </c>
      <c r="B10262" s="1" t="str">
        <f>"58645"</f>
        <v>58645</v>
      </c>
      <c r="C10262" s="2">
        <v>4.5042600531828196E-3</v>
      </c>
      <c r="D10262" s="2">
        <v>1.05540897097625E-3</v>
      </c>
      <c r="E10262" s="2">
        <v>1.13250283125707E-3</v>
      </c>
      <c r="F10262" s="2">
        <v>4.0556472530063597E-3</v>
      </c>
    </row>
    <row r="10263" spans="1:6" x14ac:dyDescent="0.25">
      <c r="A10263" s="1" t="str">
        <f t="shared" si="364"/>
        <v>19860</v>
      </c>
      <c r="B10263" s="1" t="str">
        <f>"58634"</f>
        <v>58634</v>
      </c>
      <c r="C10263" s="2">
        <v>6.5121832094209501E-4</v>
      </c>
      <c r="D10263" s="2">
        <v>5.2770448548812598E-4</v>
      </c>
      <c r="E10263" s="2">
        <v>0</v>
      </c>
      <c r="F10263" s="2">
        <v>6.1306295684979899E-4</v>
      </c>
    </row>
    <row r="10264" spans="1:6" x14ac:dyDescent="0.25">
      <c r="A10264" s="1" t="str">
        <f t="shared" si="364"/>
        <v>19860</v>
      </c>
      <c r="B10264" s="1" t="str">
        <f>"58641"</f>
        <v>58641</v>
      </c>
      <c r="C10264" s="2">
        <v>4.3414554729473004E-3</v>
      </c>
      <c r="D10264" s="2">
        <v>2.1108179419525E-3</v>
      </c>
      <c r="E10264" s="2">
        <v>2.2650056625141499E-3</v>
      </c>
      <c r="F10264" s="2">
        <v>4.0556472530063597E-3</v>
      </c>
    </row>
    <row r="10265" spans="1:6" x14ac:dyDescent="0.25">
      <c r="A10265" s="1" t="str">
        <f t="shared" si="364"/>
        <v>19860</v>
      </c>
      <c r="B10265" s="1" t="str">
        <f>"58642"</f>
        <v>58642</v>
      </c>
      <c r="C10265" s="2">
        <v>5.4268193411841298E-4</v>
      </c>
      <c r="D10265" s="2">
        <v>0</v>
      </c>
      <c r="E10265" s="2">
        <v>0</v>
      </c>
      <c r="F10265" s="2">
        <v>4.7158688988446101E-4</v>
      </c>
    </row>
    <row r="10266" spans="1:6" x14ac:dyDescent="0.25">
      <c r="A10266" s="1" t="str">
        <f t="shared" si="364"/>
        <v>19860</v>
      </c>
      <c r="B10266" s="1" t="str">
        <f>"58647"</f>
        <v>58647</v>
      </c>
      <c r="C10266" s="2">
        <v>2.8219460574157398E-3</v>
      </c>
      <c r="D10266" s="2">
        <v>0</v>
      </c>
      <c r="E10266" s="2">
        <v>0</v>
      </c>
      <c r="F10266" s="2">
        <v>2.4522518273991899E-3</v>
      </c>
    </row>
    <row r="10267" spans="1:6" x14ac:dyDescent="0.25">
      <c r="A10267" s="1" t="str">
        <f t="shared" si="364"/>
        <v>19860</v>
      </c>
      <c r="B10267" s="1" t="str">
        <f>"58627"</f>
        <v>58627</v>
      </c>
      <c r="C10267" s="2">
        <v>4.7213328268301902E-3</v>
      </c>
      <c r="D10267" s="2">
        <v>4.7493403693931301E-3</v>
      </c>
      <c r="E10267" s="2">
        <v>1.13250283125707E-3</v>
      </c>
      <c r="F10267" s="2">
        <v>4.5743928318792704E-3</v>
      </c>
    </row>
    <row r="10268" spans="1:6" x14ac:dyDescent="0.25">
      <c r="A10268" s="1" t="str">
        <f t="shared" si="364"/>
        <v>19860</v>
      </c>
      <c r="B10268" s="1" t="str">
        <f>"58602"</f>
        <v>58602</v>
      </c>
      <c r="C10268" s="2">
        <v>0.114180278938514</v>
      </c>
      <c r="D10268" s="2">
        <v>0.208970976253298</v>
      </c>
      <c r="E10268" s="2">
        <v>2.2650056625141499E-3</v>
      </c>
      <c r="F10268" s="2">
        <v>0.117991039849092</v>
      </c>
    </row>
    <row r="10269" spans="1:6" x14ac:dyDescent="0.25">
      <c r="A10269" s="1" t="str">
        <f t="shared" si="364"/>
        <v>19860</v>
      </c>
      <c r="B10269" s="1" t="str">
        <f>"58638"</f>
        <v>58638</v>
      </c>
      <c r="C10269" s="2">
        <v>1.6280458023552301E-3</v>
      </c>
      <c r="D10269" s="2">
        <v>0</v>
      </c>
      <c r="E10269" s="2">
        <v>0</v>
      </c>
      <c r="F10269" s="2">
        <v>1.41476066965338E-3</v>
      </c>
    </row>
    <row r="10270" spans="1:6" x14ac:dyDescent="0.25">
      <c r="A10270" s="1" t="str">
        <f t="shared" si="364"/>
        <v>19860</v>
      </c>
      <c r="B10270" s="1" t="str">
        <f>"58640"</f>
        <v>58640</v>
      </c>
      <c r="C10270" s="2">
        <v>5.4268193411841301E-5</v>
      </c>
      <c r="D10270" s="2">
        <v>0</v>
      </c>
      <c r="E10270" s="2">
        <v>0</v>
      </c>
      <c r="F10270" s="2">
        <v>4.7158688988446101E-5</v>
      </c>
    </row>
    <row r="10271" spans="1:6" x14ac:dyDescent="0.25">
      <c r="A10271" s="1" t="str">
        <f t="shared" si="364"/>
        <v>19860</v>
      </c>
      <c r="B10271" s="1" t="str">
        <f>"58630"</f>
        <v>58630</v>
      </c>
      <c r="C10271" s="2">
        <v>8.5201063656590807E-3</v>
      </c>
      <c r="D10271" s="2">
        <v>5.2770448548812598E-4</v>
      </c>
      <c r="E10271" s="2">
        <v>6.7950169875424602E-3</v>
      </c>
      <c r="F10271" s="2">
        <v>7.7340249941051601E-3</v>
      </c>
    </row>
    <row r="10272" spans="1:6" x14ac:dyDescent="0.25">
      <c r="A10272" s="1" t="str">
        <f t="shared" si="364"/>
        <v>19860</v>
      </c>
      <c r="B10272" s="1" t="str">
        <f>"58622"</f>
        <v>58622</v>
      </c>
      <c r="C10272" s="2">
        <v>4.2709068215119099E-2</v>
      </c>
      <c r="D10272" s="2">
        <v>1.58311345646437E-2</v>
      </c>
      <c r="E10272" s="2">
        <v>3.3975084937712299E-2</v>
      </c>
      <c r="F10272" s="2">
        <v>3.9943409573213802E-2</v>
      </c>
    </row>
    <row r="10273" spans="1:6" x14ac:dyDescent="0.25">
      <c r="A10273" s="1" t="str">
        <f t="shared" si="364"/>
        <v>19860</v>
      </c>
      <c r="B10273" s="1" t="str">
        <f>"58652"</f>
        <v>58652</v>
      </c>
      <c r="C10273" s="2">
        <v>2.5071905356270598E-2</v>
      </c>
      <c r="D10273" s="2">
        <v>1.00263852242744E-2</v>
      </c>
      <c r="E10273" s="2">
        <v>9.0600226500566206E-3</v>
      </c>
      <c r="F10273" s="2">
        <v>2.3060598915350099E-2</v>
      </c>
    </row>
    <row r="10274" spans="1:6" x14ac:dyDescent="0.25">
      <c r="A10274" s="1" t="str">
        <f t="shared" si="364"/>
        <v>19860</v>
      </c>
      <c r="B10274" s="1" t="str">
        <f>"58620"</f>
        <v>58620</v>
      </c>
      <c r="C10274" s="2">
        <v>2.71340967059206E-4</v>
      </c>
      <c r="D10274" s="2">
        <v>0</v>
      </c>
      <c r="E10274" s="2">
        <v>0</v>
      </c>
      <c r="F10274" s="2">
        <v>2.3579344494222999E-4</v>
      </c>
    </row>
    <row r="10275" spans="1:6" x14ac:dyDescent="0.25">
      <c r="A10275" s="1" t="str">
        <f t="shared" si="364"/>
        <v>19860</v>
      </c>
      <c r="B10275" s="1" t="str">
        <f>"58655"</f>
        <v>58655</v>
      </c>
      <c r="C10275" s="2">
        <v>6.7835241764801603E-3</v>
      </c>
      <c r="D10275" s="2">
        <v>1.05540897097625E-3</v>
      </c>
      <c r="E10275" s="2">
        <v>3.3975084937712301E-3</v>
      </c>
      <c r="F10275" s="2">
        <v>6.1306295684979903E-3</v>
      </c>
    </row>
    <row r="10276" spans="1:6" x14ac:dyDescent="0.25">
      <c r="A10276" s="1" t="str">
        <f t="shared" si="364"/>
        <v>19860</v>
      </c>
      <c r="B10276" s="1" t="str">
        <f>"58656"</f>
        <v>58656</v>
      </c>
      <c r="C10276" s="2">
        <v>9.9853475877787999E-3</v>
      </c>
      <c r="D10276" s="2">
        <v>2.6385224274406301E-3</v>
      </c>
      <c r="E10276" s="2">
        <v>7.9275198187995395E-3</v>
      </c>
      <c r="F10276" s="2">
        <v>9.2431030417354301E-3</v>
      </c>
    </row>
    <row r="10277" spans="1:6" x14ac:dyDescent="0.25">
      <c r="A10277" s="1" t="str">
        <f t="shared" ref="A10277:A10300" si="365">"19940"</f>
        <v>19940</v>
      </c>
      <c r="B10277" s="1" t="str">
        <f>"61378"</f>
        <v>61378</v>
      </c>
      <c r="C10277" s="2">
        <v>1.44909813512687E-2</v>
      </c>
      <c r="D10277" s="2">
        <v>1.3774104683195501E-2</v>
      </c>
      <c r="E10277" s="2">
        <v>0</v>
      </c>
      <c r="F10277" s="2">
        <v>1.40199661775135E-2</v>
      </c>
    </row>
    <row r="10278" spans="1:6" x14ac:dyDescent="0.25">
      <c r="A10278" s="1" t="str">
        <f t="shared" si="365"/>
        <v>19940</v>
      </c>
      <c r="B10278" s="1" t="str">
        <f>"61021"</f>
        <v>61021</v>
      </c>
      <c r="C10278" s="2">
        <v>0.62965453989605602</v>
      </c>
      <c r="D10278" s="2">
        <v>0.77892561983470998</v>
      </c>
      <c r="E10278" s="2">
        <v>0.73664122137404497</v>
      </c>
      <c r="F10278" s="2">
        <v>0.64453657738257497</v>
      </c>
    </row>
    <row r="10279" spans="1:6" x14ac:dyDescent="0.25">
      <c r="A10279" s="1" t="str">
        <f t="shared" si="365"/>
        <v>19940</v>
      </c>
      <c r="B10279" s="1" t="str">
        <f>"61367"</f>
        <v>61367</v>
      </c>
      <c r="C10279" s="2">
        <v>2.0605319474166901E-2</v>
      </c>
      <c r="D10279" s="2">
        <v>2.4793388429752001E-2</v>
      </c>
      <c r="E10279" s="2">
        <v>1.7175572519083901E-2</v>
      </c>
      <c r="F10279" s="2">
        <v>2.08390158747476E-2</v>
      </c>
    </row>
    <row r="10280" spans="1:6" x14ac:dyDescent="0.25">
      <c r="A10280" s="1" t="str">
        <f t="shared" si="365"/>
        <v>19940</v>
      </c>
      <c r="B10280" s="1" t="str">
        <f>"61310"</f>
        <v>61310</v>
      </c>
      <c r="C10280" s="2">
        <v>0.111647814124121</v>
      </c>
      <c r="D10280" s="2">
        <v>9.9173553719008198E-2</v>
      </c>
      <c r="E10280" s="2">
        <v>9.3511450381679295E-2</v>
      </c>
      <c r="F10280" s="2">
        <v>0.110141290709726</v>
      </c>
    </row>
    <row r="10281" spans="1:6" x14ac:dyDescent="0.25">
      <c r="A10281" s="1" t="str">
        <f t="shared" si="365"/>
        <v>19940</v>
      </c>
      <c r="B10281" s="1" t="str">
        <f>"61243"</f>
        <v>61243</v>
      </c>
      <c r="C10281" s="2">
        <v>1.8343014368694499E-4</v>
      </c>
      <c r="D10281" s="2">
        <v>0</v>
      </c>
      <c r="E10281" s="2">
        <v>0</v>
      </c>
      <c r="F10281" s="2">
        <v>1.6365719273361999E-4</v>
      </c>
    </row>
    <row r="10282" spans="1:6" x14ac:dyDescent="0.25">
      <c r="A10282" s="1" t="str">
        <f t="shared" si="365"/>
        <v>19940</v>
      </c>
      <c r="B10282" s="1" t="str">
        <f>"61057"</f>
        <v>61057</v>
      </c>
      <c r="C10282" s="2">
        <v>1.8343014368694499E-4</v>
      </c>
      <c r="D10282" s="2">
        <v>0</v>
      </c>
      <c r="E10282" s="2">
        <v>1.90839694656488E-3</v>
      </c>
      <c r="F10282" s="2">
        <v>2.1820959031149399E-4</v>
      </c>
    </row>
    <row r="10283" spans="1:6" x14ac:dyDescent="0.25">
      <c r="A10283" s="1" t="str">
        <f t="shared" si="365"/>
        <v>19940</v>
      </c>
      <c r="B10283" s="1" t="str">
        <f>"61324"</f>
        <v>61324</v>
      </c>
      <c r="C10283" s="2">
        <v>2.6903087740752E-3</v>
      </c>
      <c r="D10283" s="2">
        <v>0</v>
      </c>
      <c r="E10283" s="2">
        <v>0</v>
      </c>
      <c r="F10283" s="2">
        <v>2.4003054934264301E-3</v>
      </c>
    </row>
    <row r="10284" spans="1:6" x14ac:dyDescent="0.25">
      <c r="A10284" s="1" t="str">
        <f t="shared" si="365"/>
        <v>19940</v>
      </c>
      <c r="B10284" s="1" t="str">
        <f>"61071"</f>
        <v>61071</v>
      </c>
      <c r="C10284" s="2">
        <v>3.1183124426780802E-3</v>
      </c>
      <c r="D10284" s="2">
        <v>1.3774104683195499E-3</v>
      </c>
      <c r="E10284" s="2">
        <v>0</v>
      </c>
      <c r="F10284" s="2">
        <v>2.8912770716272899E-3</v>
      </c>
    </row>
    <row r="10285" spans="1:6" x14ac:dyDescent="0.25">
      <c r="A10285" s="1" t="str">
        <f t="shared" si="365"/>
        <v>19940</v>
      </c>
      <c r="B10285" s="1" t="str">
        <f>"61064"</f>
        <v>61064</v>
      </c>
      <c r="C10285" s="2">
        <v>1.8343014368694499E-4</v>
      </c>
      <c r="D10285" s="2">
        <v>0</v>
      </c>
      <c r="E10285" s="2">
        <v>0</v>
      </c>
      <c r="F10285" s="2">
        <v>1.6365719273361999E-4</v>
      </c>
    </row>
    <row r="10286" spans="1:6" x14ac:dyDescent="0.25">
      <c r="A10286" s="1" t="str">
        <f t="shared" si="365"/>
        <v>19940</v>
      </c>
      <c r="B10286" s="1" t="str">
        <f>"61318"</f>
        <v>61318</v>
      </c>
      <c r="C10286" s="2">
        <v>2.0421889330479899E-2</v>
      </c>
      <c r="D10286" s="2">
        <v>8.95316804407713E-3</v>
      </c>
      <c r="E10286" s="2">
        <v>7.63358778625954E-3</v>
      </c>
      <c r="F10286" s="2">
        <v>1.9147891549833599E-2</v>
      </c>
    </row>
    <row r="10287" spans="1:6" x14ac:dyDescent="0.25">
      <c r="A10287" s="1" t="str">
        <f t="shared" si="365"/>
        <v>19940</v>
      </c>
      <c r="B10287" s="1" t="str">
        <f>"61376"</f>
        <v>61376</v>
      </c>
      <c r="C10287" s="2">
        <v>2.0788749617853802E-3</v>
      </c>
      <c r="D10287" s="2">
        <v>0</v>
      </c>
      <c r="E10287" s="2">
        <v>0</v>
      </c>
      <c r="F10287" s="2">
        <v>1.8547815176477001E-3</v>
      </c>
    </row>
    <row r="10288" spans="1:6" x14ac:dyDescent="0.25">
      <c r="A10288" s="1" t="str">
        <f t="shared" si="365"/>
        <v>19940</v>
      </c>
      <c r="B10288" s="1" t="str">
        <f>"61006"</f>
        <v>61006</v>
      </c>
      <c r="C10288" s="2">
        <v>4.1699785998165602E-2</v>
      </c>
      <c r="D10288" s="2">
        <v>5.5096418732782301E-3</v>
      </c>
      <c r="E10288" s="2">
        <v>6.4885496183206104E-2</v>
      </c>
      <c r="F10288" s="2">
        <v>3.9495935846380399E-2</v>
      </c>
    </row>
    <row r="10289" spans="1:6" x14ac:dyDescent="0.25">
      <c r="A10289" s="1" t="str">
        <f t="shared" si="365"/>
        <v>19940</v>
      </c>
      <c r="B10289" s="1" t="str">
        <f>"61081"</f>
        <v>61081</v>
      </c>
      <c r="C10289" s="2">
        <v>1.37572607765209E-2</v>
      </c>
      <c r="D10289" s="2">
        <v>6.8870523415977898E-4</v>
      </c>
      <c r="E10289" s="2">
        <v>3.81679389312977E-3</v>
      </c>
      <c r="F10289" s="2">
        <v>1.24379466477551E-2</v>
      </c>
    </row>
    <row r="10290" spans="1:6" x14ac:dyDescent="0.25">
      <c r="A10290" s="1" t="str">
        <f t="shared" si="365"/>
        <v>19940</v>
      </c>
      <c r="B10290" s="1" t="str">
        <f>"60530"</f>
        <v>60530</v>
      </c>
      <c r="C10290" s="2">
        <v>1.0944665239987701E-2</v>
      </c>
      <c r="D10290" s="2">
        <v>6.1983471074380098E-3</v>
      </c>
      <c r="E10290" s="2">
        <v>5.7251908396946504E-3</v>
      </c>
      <c r="F10290" s="2">
        <v>1.04195079373738E-2</v>
      </c>
    </row>
    <row r="10291" spans="1:6" x14ac:dyDescent="0.25">
      <c r="A10291" s="1" t="str">
        <f t="shared" si="365"/>
        <v>19940</v>
      </c>
      <c r="B10291" s="1" t="str">
        <f>"61330"</f>
        <v>61330</v>
      </c>
      <c r="C10291" s="2">
        <v>1.2840110058086199E-3</v>
      </c>
      <c r="D10291" s="2">
        <v>0</v>
      </c>
      <c r="E10291" s="2">
        <v>0</v>
      </c>
      <c r="F10291" s="2">
        <v>1.1456003491353401E-3</v>
      </c>
    </row>
    <row r="10292" spans="1:6" x14ac:dyDescent="0.25">
      <c r="A10292" s="1" t="str">
        <f t="shared" si="365"/>
        <v>19940</v>
      </c>
      <c r="B10292" s="1" t="str">
        <f>"61331"</f>
        <v>61331</v>
      </c>
      <c r="C10292" s="2">
        <v>0</v>
      </c>
      <c r="D10292" s="2">
        <v>6.8870523415977898E-4</v>
      </c>
      <c r="E10292" s="2">
        <v>0</v>
      </c>
      <c r="F10292" s="2">
        <v>5.4552397577873498E-5</v>
      </c>
    </row>
    <row r="10293" spans="1:6" x14ac:dyDescent="0.25">
      <c r="A10293" s="1" t="str">
        <f t="shared" si="365"/>
        <v>19940</v>
      </c>
      <c r="B10293" s="1" t="str">
        <f>"61031"</f>
        <v>61031</v>
      </c>
      <c r="C10293" s="2">
        <v>4.21277896667685E-2</v>
      </c>
      <c r="D10293" s="2">
        <v>2.6170798898071598E-2</v>
      </c>
      <c r="E10293" s="2">
        <v>3.4351145038167899E-2</v>
      </c>
      <c r="F10293" s="2">
        <v>4.06415361955157E-2</v>
      </c>
    </row>
    <row r="10294" spans="1:6" x14ac:dyDescent="0.25">
      <c r="A10294" s="1" t="str">
        <f t="shared" si="365"/>
        <v>19940</v>
      </c>
      <c r="B10294" s="1" t="str">
        <f>"61342"</f>
        <v>61342</v>
      </c>
      <c r="C10294" s="2">
        <v>1.52858453072454E-3</v>
      </c>
      <c r="D10294" s="2">
        <v>6.8870523415977898E-4</v>
      </c>
      <c r="E10294" s="2">
        <v>0</v>
      </c>
      <c r="F10294" s="2">
        <v>1.4183623370247101E-3</v>
      </c>
    </row>
    <row r="10295" spans="1:6" x14ac:dyDescent="0.25">
      <c r="A10295" s="1" t="str">
        <f t="shared" si="365"/>
        <v>19940</v>
      </c>
      <c r="B10295" s="1" t="str">
        <f>"61068"</f>
        <v>61068</v>
      </c>
      <c r="C10295" s="2">
        <v>2.5680220116172398E-3</v>
      </c>
      <c r="D10295" s="2">
        <v>5.5096418732782301E-3</v>
      </c>
      <c r="E10295" s="2">
        <v>0</v>
      </c>
      <c r="F10295" s="2">
        <v>2.7276198788936698E-3</v>
      </c>
    </row>
    <row r="10296" spans="1:6" x14ac:dyDescent="0.25">
      <c r="A10296" s="1" t="str">
        <f t="shared" si="365"/>
        <v>19940</v>
      </c>
      <c r="B10296" s="1" t="str">
        <f>"60518"</f>
        <v>60518</v>
      </c>
      <c r="C10296" s="2">
        <v>4.3411800672577099E-3</v>
      </c>
      <c r="D10296" s="2">
        <v>0</v>
      </c>
      <c r="E10296" s="2">
        <v>0</v>
      </c>
      <c r="F10296" s="2">
        <v>3.8732202280290198E-3</v>
      </c>
    </row>
    <row r="10297" spans="1:6" x14ac:dyDescent="0.25">
      <c r="A10297" s="1" t="str">
        <f t="shared" si="365"/>
        <v>19940</v>
      </c>
      <c r="B10297" s="1" t="str">
        <f>"61042"</f>
        <v>61042</v>
      </c>
      <c r="C10297" s="2">
        <v>1.52247019260165E-2</v>
      </c>
      <c r="D10297" s="2">
        <v>5.5096418732782301E-3</v>
      </c>
      <c r="E10297" s="2">
        <v>7.63358778625954E-3</v>
      </c>
      <c r="F10297" s="2">
        <v>1.42381757678249E-2</v>
      </c>
    </row>
    <row r="10298" spans="1:6" x14ac:dyDescent="0.25">
      <c r="A10298" s="1" t="str">
        <f t="shared" si="365"/>
        <v>19940</v>
      </c>
      <c r="B10298" s="1" t="str">
        <f>"60553"</f>
        <v>60553</v>
      </c>
      <c r="C10298" s="2">
        <v>1.9627025374503199E-2</v>
      </c>
      <c r="D10298" s="2">
        <v>7.5757575757575699E-3</v>
      </c>
      <c r="E10298" s="2">
        <v>5.7251908396946504E-3</v>
      </c>
      <c r="F10298" s="2">
        <v>1.82750531885876E-2</v>
      </c>
    </row>
    <row r="10299" spans="1:6" x14ac:dyDescent="0.25">
      <c r="A10299" s="1" t="str">
        <f t="shared" si="365"/>
        <v>19940</v>
      </c>
      <c r="B10299" s="1" t="str">
        <f>"61353"</f>
        <v>61353</v>
      </c>
      <c r="C10299" s="2">
        <v>3.78477529807398E-2</v>
      </c>
      <c r="D10299" s="2">
        <v>1.4462809917355299E-2</v>
      </c>
      <c r="E10299" s="2">
        <v>2.0992366412213699E-2</v>
      </c>
      <c r="F10299" s="2">
        <v>3.5513610823195603E-2</v>
      </c>
    </row>
    <row r="10300" spans="1:6" x14ac:dyDescent="0.25">
      <c r="A10300" s="1" t="str">
        <f t="shared" si="365"/>
        <v>19940</v>
      </c>
      <c r="B10300" s="1" t="str">
        <f>"61349"</f>
        <v>61349</v>
      </c>
      <c r="C10300" s="2">
        <v>3.7908896361968799E-3</v>
      </c>
      <c r="D10300" s="2">
        <v>0</v>
      </c>
      <c r="E10300" s="2">
        <v>0</v>
      </c>
      <c r="F10300" s="2">
        <v>3.3822486498281501E-3</v>
      </c>
    </row>
    <row r="10301" spans="1:6" x14ac:dyDescent="0.25">
      <c r="A10301" s="1" t="str">
        <f t="shared" ref="A10301:A10310" si="366">"19980"</f>
        <v>19980</v>
      </c>
      <c r="B10301" s="1" t="str">
        <f>"67841"</f>
        <v>67841</v>
      </c>
      <c r="C10301" s="2">
        <v>3.2332563510392601E-3</v>
      </c>
      <c r="D10301" s="2">
        <v>0</v>
      </c>
      <c r="E10301" s="2">
        <v>0</v>
      </c>
      <c r="F10301" s="2">
        <v>2.7420513155317601E-3</v>
      </c>
    </row>
    <row r="10302" spans="1:6" x14ac:dyDescent="0.25">
      <c r="A10302" s="1" t="str">
        <f t="shared" si="366"/>
        <v>19980</v>
      </c>
      <c r="B10302" s="1" t="str">
        <f>"67834"</f>
        <v>67834</v>
      </c>
      <c r="C10302" s="2">
        <v>3.6335642802155503E-2</v>
      </c>
      <c r="D10302" s="2">
        <v>2.9498525073746299E-3</v>
      </c>
      <c r="E10302" s="2">
        <v>3.0895983522142099E-3</v>
      </c>
      <c r="F10302" s="2">
        <v>3.1272442384278898E-2</v>
      </c>
    </row>
    <row r="10303" spans="1:6" x14ac:dyDescent="0.25">
      <c r="A10303" s="1" t="str">
        <f t="shared" si="366"/>
        <v>19980</v>
      </c>
      <c r="B10303" s="1" t="str">
        <f>"67801"</f>
        <v>67801</v>
      </c>
      <c r="C10303" s="2">
        <v>0.87929176289453403</v>
      </c>
      <c r="D10303" s="2">
        <v>0.96460176991150404</v>
      </c>
      <c r="E10303" s="2">
        <v>0.97837281153449995</v>
      </c>
      <c r="F10303" s="2">
        <v>0.89312528563034499</v>
      </c>
    </row>
    <row r="10304" spans="1:6" x14ac:dyDescent="0.25">
      <c r="A10304" s="1" t="str">
        <f t="shared" si="366"/>
        <v>19980</v>
      </c>
      <c r="B10304" s="1" t="str">
        <f>"67842"</f>
        <v>67842</v>
      </c>
      <c r="C10304" s="2">
        <v>1.7321016166281698E-2</v>
      </c>
      <c r="D10304" s="2">
        <v>2.9498525073746299E-3</v>
      </c>
      <c r="E10304" s="2">
        <v>1.13285272914521E-2</v>
      </c>
      <c r="F10304" s="2">
        <v>1.56688646601814E-2</v>
      </c>
    </row>
    <row r="10305" spans="1:6" x14ac:dyDescent="0.25">
      <c r="A10305" s="1" t="str">
        <f t="shared" si="366"/>
        <v>19980</v>
      </c>
      <c r="B10305" s="1" t="str">
        <f>"67865"</f>
        <v>67865</v>
      </c>
      <c r="C10305" s="2">
        <v>7.23633564280215E-3</v>
      </c>
      <c r="D10305" s="2">
        <v>2.21238938053097E-3</v>
      </c>
      <c r="E10305" s="2">
        <v>0</v>
      </c>
      <c r="F10305" s="2">
        <v>6.3328328001566797E-3</v>
      </c>
    </row>
    <row r="10306" spans="1:6" x14ac:dyDescent="0.25">
      <c r="A10306" s="1" t="str">
        <f t="shared" si="366"/>
        <v>19980</v>
      </c>
      <c r="B10306" s="1" t="str">
        <f>"67876"</f>
        <v>67876</v>
      </c>
      <c r="C10306" s="2">
        <v>3.8491147036181603E-2</v>
      </c>
      <c r="D10306" s="2">
        <v>2.1386430678466E-2</v>
      </c>
      <c r="E10306" s="2">
        <v>7.2090628218331601E-3</v>
      </c>
      <c r="F10306" s="2">
        <v>3.4993797741072002E-2</v>
      </c>
    </row>
    <row r="10307" spans="1:6" x14ac:dyDescent="0.25">
      <c r="A10307" s="1" t="str">
        <f t="shared" si="366"/>
        <v>19980</v>
      </c>
      <c r="B10307" s="1" t="str">
        <f>"67882"</f>
        <v>67882</v>
      </c>
      <c r="C10307" s="2">
        <v>1.27020785219399E-2</v>
      </c>
      <c r="D10307" s="2">
        <v>5.1622418879056003E-3</v>
      </c>
      <c r="E10307" s="2">
        <v>0</v>
      </c>
      <c r="F10307" s="2">
        <v>1.12293530064634E-2</v>
      </c>
    </row>
    <row r="10308" spans="1:6" x14ac:dyDescent="0.25">
      <c r="A10308" s="1" t="str">
        <f t="shared" si="366"/>
        <v>19980</v>
      </c>
      <c r="B10308" s="1" t="str">
        <f>"67563"</f>
        <v>67563</v>
      </c>
      <c r="C10308" s="2">
        <v>3.38722093918398E-3</v>
      </c>
      <c r="D10308" s="2">
        <v>7.3746312684365705E-4</v>
      </c>
      <c r="E10308" s="2">
        <v>0</v>
      </c>
      <c r="F10308" s="2">
        <v>2.9379121237840299E-3</v>
      </c>
    </row>
    <row r="10309" spans="1:6" x14ac:dyDescent="0.25">
      <c r="A10309" s="1" t="str">
        <f t="shared" si="366"/>
        <v>19980</v>
      </c>
      <c r="B10309" s="1" t="str">
        <f>"67844"</f>
        <v>67844</v>
      </c>
      <c r="C10309" s="2">
        <v>1.92455735180908E-3</v>
      </c>
      <c r="D10309" s="2">
        <v>0</v>
      </c>
      <c r="E10309" s="2">
        <v>0</v>
      </c>
      <c r="F10309" s="2">
        <v>1.63217340210223E-3</v>
      </c>
    </row>
    <row r="10310" spans="1:6" x14ac:dyDescent="0.25">
      <c r="A10310" s="1" t="str">
        <f t="shared" si="366"/>
        <v>19980</v>
      </c>
      <c r="B10310" s="1" t="str">
        <f>"67835"</f>
        <v>67835</v>
      </c>
      <c r="C10310" s="2">
        <v>7.6982294072363306E-5</v>
      </c>
      <c r="D10310" s="2">
        <v>0</v>
      </c>
      <c r="E10310" s="2">
        <v>0</v>
      </c>
      <c r="F10310" s="2">
        <v>6.5286936084089499E-5</v>
      </c>
    </row>
    <row r="10311" spans="1:6" x14ac:dyDescent="0.25">
      <c r="A10311" s="1" t="str">
        <f t="shared" ref="A10311:A10342" si="367">"20020"</f>
        <v>20020</v>
      </c>
      <c r="B10311" s="1" t="str">
        <f>"36477"</f>
        <v>36477</v>
      </c>
      <c r="C10311" s="2">
        <v>3.5001603315162402E-2</v>
      </c>
      <c r="D10311" s="2">
        <v>3.4770828629487403E-2</v>
      </c>
      <c r="E10311" s="2">
        <v>4.2643923240938096E-3</v>
      </c>
      <c r="F10311" s="2">
        <v>3.4198407108414097E-2</v>
      </c>
    </row>
    <row r="10312" spans="1:6" x14ac:dyDescent="0.25">
      <c r="A10312" s="1" t="str">
        <f t="shared" si="367"/>
        <v>20020</v>
      </c>
      <c r="B10312" s="1" t="str">
        <f>"36345"</f>
        <v>36345</v>
      </c>
      <c r="C10312" s="2">
        <v>4.962877087393E-2</v>
      </c>
      <c r="D10312" s="2">
        <v>3.7141566945134298E-2</v>
      </c>
      <c r="E10312" s="2">
        <v>1.4498933901918899E-2</v>
      </c>
      <c r="F10312" s="2">
        <v>4.7537519640244802E-2</v>
      </c>
    </row>
    <row r="10313" spans="1:6" x14ac:dyDescent="0.25">
      <c r="A10313" s="1" t="str">
        <f t="shared" si="367"/>
        <v>20020</v>
      </c>
      <c r="B10313" s="1" t="str">
        <f>"36322"</f>
        <v>36322</v>
      </c>
      <c r="C10313" s="2">
        <v>5.7966009718556501E-4</v>
      </c>
      <c r="D10313" s="2">
        <v>1.12892300745089E-4</v>
      </c>
      <c r="E10313" s="2">
        <v>0</v>
      </c>
      <c r="F10313" s="2">
        <v>5.2012786476675495E-4</v>
      </c>
    </row>
    <row r="10314" spans="1:6" x14ac:dyDescent="0.25">
      <c r="A10314" s="1" t="str">
        <f t="shared" si="367"/>
        <v>20020</v>
      </c>
      <c r="B10314" s="1" t="str">
        <f>"36317"</f>
        <v>36317</v>
      </c>
      <c r="C10314" s="2">
        <v>3.1079647763992001E-3</v>
      </c>
      <c r="D10314" s="2">
        <v>9.0313840596071302E-4</v>
      </c>
      <c r="E10314" s="2">
        <v>8.5287846481876296E-4</v>
      </c>
      <c r="F10314" s="2">
        <v>2.8390312618518702E-3</v>
      </c>
    </row>
    <row r="10315" spans="1:6" x14ac:dyDescent="0.25">
      <c r="A10315" s="1" t="str">
        <f t="shared" si="367"/>
        <v>20020</v>
      </c>
      <c r="B10315" s="1" t="str">
        <f>"36353"</f>
        <v>36353</v>
      </c>
      <c r="C10315" s="2">
        <v>1.05325472977972E-2</v>
      </c>
      <c r="D10315" s="2">
        <v>2.9351998193723099E-3</v>
      </c>
      <c r="E10315" s="2">
        <v>8.5287846481876296E-4</v>
      </c>
      <c r="F10315" s="2">
        <v>9.5573495150891204E-3</v>
      </c>
    </row>
    <row r="10316" spans="1:6" x14ac:dyDescent="0.25">
      <c r="A10316" s="1" t="str">
        <f t="shared" si="367"/>
        <v>20020</v>
      </c>
      <c r="B10316" s="1" t="str">
        <f>"36370"</f>
        <v>36370</v>
      </c>
      <c r="C10316" s="2">
        <v>5.9815988752127403E-3</v>
      </c>
      <c r="D10316" s="2">
        <v>4.5156920298035602E-4</v>
      </c>
      <c r="E10316" s="2">
        <v>0</v>
      </c>
      <c r="F10316" s="2">
        <v>5.2988026223113101E-3</v>
      </c>
    </row>
    <row r="10317" spans="1:6" x14ac:dyDescent="0.25">
      <c r="A10317" s="1" t="str">
        <f t="shared" si="367"/>
        <v>20020</v>
      </c>
      <c r="B10317" s="1" t="str">
        <f>"36314"</f>
        <v>36314</v>
      </c>
      <c r="C10317" s="2">
        <v>4.6989467452702204E-3</v>
      </c>
      <c r="D10317" s="2">
        <v>1.5804922104312401E-3</v>
      </c>
      <c r="E10317" s="2">
        <v>2.5586353944562802E-3</v>
      </c>
      <c r="F10317" s="2">
        <v>4.3452348702389303E-3</v>
      </c>
    </row>
    <row r="10318" spans="1:6" x14ac:dyDescent="0.25">
      <c r="A10318" s="1" t="str">
        <f t="shared" si="367"/>
        <v>20020</v>
      </c>
      <c r="B10318" s="1" t="str">
        <f>"36321"</f>
        <v>36321</v>
      </c>
      <c r="C10318" s="2">
        <v>1.02365506524259E-2</v>
      </c>
      <c r="D10318" s="2">
        <v>3.72544592458794E-3</v>
      </c>
      <c r="E10318" s="2">
        <v>8.9552238805970102E-3</v>
      </c>
      <c r="F10318" s="2">
        <v>9.5790215094544006E-3</v>
      </c>
    </row>
    <row r="10319" spans="1:6" x14ac:dyDescent="0.25">
      <c r="A10319" s="1" t="str">
        <f t="shared" si="367"/>
        <v>20020</v>
      </c>
      <c r="B10319" s="1" t="str">
        <f>"36349"</f>
        <v>36349</v>
      </c>
      <c r="C10319" s="2">
        <v>0</v>
      </c>
      <c r="D10319" s="2">
        <v>1.12892300745089E-4</v>
      </c>
      <c r="E10319" s="2">
        <v>0</v>
      </c>
      <c r="F10319" s="2">
        <v>1.0835997182640699E-5</v>
      </c>
    </row>
    <row r="10320" spans="1:6" x14ac:dyDescent="0.25">
      <c r="A10320" s="1" t="str">
        <f t="shared" si="367"/>
        <v>20020</v>
      </c>
      <c r="B10320" s="1" t="str">
        <f>"36352"</f>
        <v>36352</v>
      </c>
      <c r="C10320" s="2">
        <v>2.06950987888803E-2</v>
      </c>
      <c r="D10320" s="2">
        <v>9.4829532625874905E-3</v>
      </c>
      <c r="E10320" s="2">
        <v>5.5437100213219601E-3</v>
      </c>
      <c r="F10320" s="2">
        <v>1.92338949991873E-2</v>
      </c>
    </row>
    <row r="10321" spans="1:6" x14ac:dyDescent="0.25">
      <c r="A10321" s="1" t="str">
        <f t="shared" si="367"/>
        <v>20020</v>
      </c>
      <c r="B10321" s="1" t="str">
        <f>"36303"</f>
        <v>36303</v>
      </c>
      <c r="C10321" s="2">
        <v>0.186712217261537</v>
      </c>
      <c r="D10321" s="2">
        <v>0.311356965454955</v>
      </c>
      <c r="E10321" s="2">
        <v>0.32537313432835802</v>
      </c>
      <c r="F10321" s="2">
        <v>0.202199707428076</v>
      </c>
    </row>
    <row r="10322" spans="1:6" x14ac:dyDescent="0.25">
      <c r="A10322" s="1" t="str">
        <f t="shared" si="367"/>
        <v>20020</v>
      </c>
      <c r="B10322" s="1" t="str">
        <f>"36373"</f>
        <v>36373</v>
      </c>
      <c r="C10322" s="2">
        <v>4.11928664808465E-3</v>
      </c>
      <c r="D10322" s="2">
        <v>1.35470760894107E-3</v>
      </c>
      <c r="E10322" s="2">
        <v>4.2643923240938099E-4</v>
      </c>
      <c r="F10322" s="2">
        <v>3.7600910223763301E-3</v>
      </c>
    </row>
    <row r="10323" spans="1:6" x14ac:dyDescent="0.25">
      <c r="A10323" s="1" t="str">
        <f t="shared" si="367"/>
        <v>20020</v>
      </c>
      <c r="B10323" s="1" t="str">
        <f>"36313"</f>
        <v>36313</v>
      </c>
      <c r="C10323" s="2">
        <v>0</v>
      </c>
      <c r="D10323" s="2">
        <v>1.12892300745089E-4</v>
      </c>
      <c r="E10323" s="2">
        <v>0</v>
      </c>
      <c r="F10323" s="2">
        <v>1.0835997182640699E-5</v>
      </c>
    </row>
    <row r="10324" spans="1:6" x14ac:dyDescent="0.25">
      <c r="A10324" s="1" t="str">
        <f t="shared" si="367"/>
        <v>20020</v>
      </c>
      <c r="B10324" s="1" t="str">
        <f>"36467"</f>
        <v>36467</v>
      </c>
      <c r="C10324" s="2">
        <v>1.2333193557139601E-5</v>
      </c>
      <c r="D10324" s="2">
        <v>0</v>
      </c>
      <c r="E10324" s="2">
        <v>0</v>
      </c>
      <c r="F10324" s="2">
        <v>1.0835997182640699E-5</v>
      </c>
    </row>
    <row r="10325" spans="1:6" x14ac:dyDescent="0.25">
      <c r="A10325" s="1" t="str">
        <f t="shared" si="367"/>
        <v>20020</v>
      </c>
      <c r="B10325" s="1" t="str">
        <f>"36320"</f>
        <v>36320</v>
      </c>
      <c r="C10325" s="2">
        <v>2.39387286944081E-2</v>
      </c>
      <c r="D10325" s="2">
        <v>8.9184917588620398E-3</v>
      </c>
      <c r="E10325" s="2">
        <v>1.40724946695095E-2</v>
      </c>
      <c r="F10325" s="2">
        <v>2.2246302215961401E-2</v>
      </c>
    </row>
    <row r="10326" spans="1:6" x14ac:dyDescent="0.25">
      <c r="A10326" s="1" t="str">
        <f t="shared" si="367"/>
        <v>20020</v>
      </c>
      <c r="B10326" s="1" t="str">
        <f>"36343"</f>
        <v>36343</v>
      </c>
      <c r="C10326" s="2">
        <v>1.10628746207542E-2</v>
      </c>
      <c r="D10326" s="2">
        <v>3.2738767216075799E-3</v>
      </c>
      <c r="E10326" s="2">
        <v>8.5287846481876296E-4</v>
      </c>
      <c r="F10326" s="2">
        <v>1.00558053854905E-2</v>
      </c>
    </row>
    <row r="10327" spans="1:6" x14ac:dyDescent="0.25">
      <c r="A10327" s="1" t="str">
        <f t="shared" si="367"/>
        <v>20020</v>
      </c>
      <c r="B10327" s="1" t="str">
        <f>"36316"</f>
        <v>36316</v>
      </c>
      <c r="C10327" s="2">
        <v>6.9682543597839198E-3</v>
      </c>
      <c r="D10327" s="2">
        <v>1.46759990968615E-3</v>
      </c>
      <c r="E10327" s="2">
        <v>0</v>
      </c>
      <c r="F10327" s="2">
        <v>6.2632063715663397E-3</v>
      </c>
    </row>
    <row r="10328" spans="1:6" x14ac:dyDescent="0.25">
      <c r="A10328" s="1" t="str">
        <f t="shared" si="367"/>
        <v>20020</v>
      </c>
      <c r="B10328" s="1" t="str">
        <f>"36350"</f>
        <v>36350</v>
      </c>
      <c r="C10328" s="2">
        <v>4.7482795194987697E-3</v>
      </c>
      <c r="D10328" s="2">
        <v>7.9024610521562396E-4</v>
      </c>
      <c r="E10328" s="2">
        <v>0</v>
      </c>
      <c r="F10328" s="2">
        <v>4.2477108955951597E-3</v>
      </c>
    </row>
    <row r="10329" spans="1:6" x14ac:dyDescent="0.25">
      <c r="A10329" s="1" t="str">
        <f t="shared" si="367"/>
        <v>20020</v>
      </c>
      <c r="B10329" s="1" t="str">
        <f>"36453"</f>
        <v>36453</v>
      </c>
      <c r="C10329" s="2">
        <v>6.2405959399126796E-3</v>
      </c>
      <c r="D10329" s="2">
        <v>1.46759990968615E-3</v>
      </c>
      <c r="E10329" s="2">
        <v>0</v>
      </c>
      <c r="F10329" s="2">
        <v>5.6238825377905397E-3</v>
      </c>
    </row>
    <row r="10330" spans="1:6" x14ac:dyDescent="0.25">
      <c r="A10330" s="1" t="str">
        <f t="shared" si="367"/>
        <v>20020</v>
      </c>
      <c r="B10330" s="1" t="str">
        <f>"36375"</f>
        <v>36375</v>
      </c>
      <c r="C10330" s="2">
        <v>4.8913445647615898E-2</v>
      </c>
      <c r="D10330" s="2">
        <v>1.74983066154888E-2</v>
      </c>
      <c r="E10330" s="2">
        <v>1.19402985074626E-2</v>
      </c>
      <c r="F10330" s="2">
        <v>4.4958552310776299E-2</v>
      </c>
    </row>
    <row r="10331" spans="1:6" x14ac:dyDescent="0.25">
      <c r="A10331" s="1" t="str">
        <f t="shared" si="367"/>
        <v>20020</v>
      </c>
      <c r="B10331" s="1" t="str">
        <f>"36318"</f>
        <v>36318</v>
      </c>
      <c r="C10331" s="2">
        <v>5.3156064231271996E-3</v>
      </c>
      <c r="D10331" s="2">
        <v>4.5156920298035602E-4</v>
      </c>
      <c r="E10331" s="2">
        <v>0</v>
      </c>
      <c r="F10331" s="2">
        <v>4.7136587744487099E-3</v>
      </c>
    </row>
    <row r="10332" spans="1:6" x14ac:dyDescent="0.25">
      <c r="A10332" s="1" t="str">
        <f t="shared" si="367"/>
        <v>20020</v>
      </c>
      <c r="B10332" s="1" t="str">
        <f>"36305"</f>
        <v>36305</v>
      </c>
      <c r="C10332" s="2">
        <v>9.9911201006388506E-2</v>
      </c>
      <c r="D10332" s="2">
        <v>8.7717317678934204E-2</v>
      </c>
      <c r="E10332" s="2">
        <v>0.119829424307036</v>
      </c>
      <c r="F10332" s="2">
        <v>9.9246898195806399E-2</v>
      </c>
    </row>
    <row r="10333" spans="1:6" x14ac:dyDescent="0.25">
      <c r="A10333" s="1" t="str">
        <f t="shared" si="367"/>
        <v>20020</v>
      </c>
      <c r="B10333" s="1" t="str">
        <f>"36310"</f>
        <v>36310</v>
      </c>
      <c r="C10333" s="2">
        <v>5.8903332428899099E-2</v>
      </c>
      <c r="D10333" s="2">
        <v>4.8092120117407898E-2</v>
      </c>
      <c r="E10333" s="2">
        <v>6.4818763326226006E-2</v>
      </c>
      <c r="F10333" s="2">
        <v>5.8015928915858397E-2</v>
      </c>
    </row>
    <row r="10334" spans="1:6" x14ac:dyDescent="0.25">
      <c r="A10334" s="1" t="str">
        <f t="shared" si="367"/>
        <v>20020</v>
      </c>
      <c r="B10334" s="1" t="str">
        <f>"36344"</f>
        <v>36344</v>
      </c>
      <c r="C10334" s="2">
        <v>3.9577218124861202E-2</v>
      </c>
      <c r="D10334" s="2">
        <v>2.5626552269135201E-2</v>
      </c>
      <c r="E10334" s="2">
        <v>1.02345415778251E-2</v>
      </c>
      <c r="F10334" s="2">
        <v>3.7492550251936901E-2</v>
      </c>
    </row>
    <row r="10335" spans="1:6" x14ac:dyDescent="0.25">
      <c r="A10335" s="1" t="str">
        <f t="shared" si="367"/>
        <v>20020</v>
      </c>
      <c r="B10335" s="1" t="str">
        <f>"36319"</f>
        <v>36319</v>
      </c>
      <c r="C10335" s="2">
        <v>1.5897486495153001E-2</v>
      </c>
      <c r="D10335" s="2">
        <v>5.5317227365093702E-3</v>
      </c>
      <c r="E10335" s="2">
        <v>8.1023454157782508E-3</v>
      </c>
      <c r="F10335" s="2">
        <v>1.4704448176843399E-2</v>
      </c>
    </row>
    <row r="10336" spans="1:6" x14ac:dyDescent="0.25">
      <c r="A10336" s="1" t="str">
        <f t="shared" si="367"/>
        <v>20020</v>
      </c>
      <c r="B10336" s="1" t="str">
        <f>"36016"</f>
        <v>36016</v>
      </c>
      <c r="C10336" s="2">
        <v>1.2333193557139601E-5</v>
      </c>
      <c r="D10336" s="2">
        <v>0</v>
      </c>
      <c r="E10336" s="2">
        <v>0</v>
      </c>
      <c r="F10336" s="2">
        <v>1.0835997182640699E-5</v>
      </c>
    </row>
    <row r="10337" spans="1:6" x14ac:dyDescent="0.25">
      <c r="A10337" s="1" t="str">
        <f t="shared" si="367"/>
        <v>20020</v>
      </c>
      <c r="B10337" s="1" t="str">
        <f>"36442"</f>
        <v>36442</v>
      </c>
      <c r="C10337" s="2">
        <v>8.63323548999778E-5</v>
      </c>
      <c r="D10337" s="2">
        <v>0</v>
      </c>
      <c r="E10337" s="2">
        <v>0</v>
      </c>
      <c r="F10337" s="2">
        <v>7.5851980278485097E-5</v>
      </c>
    </row>
    <row r="10338" spans="1:6" x14ac:dyDescent="0.25">
      <c r="A10338" s="1" t="str">
        <f t="shared" si="367"/>
        <v>20020</v>
      </c>
      <c r="B10338" s="1" t="str">
        <f>"36302"</f>
        <v>36302</v>
      </c>
      <c r="C10338" s="2">
        <v>2.0991095434251698E-2</v>
      </c>
      <c r="D10338" s="2">
        <v>8.9072025287875306E-2</v>
      </c>
      <c r="E10338" s="2">
        <v>4.2643923240938099E-4</v>
      </c>
      <c r="F10338" s="2">
        <v>2.7003304979140701E-2</v>
      </c>
    </row>
    <row r="10339" spans="1:6" x14ac:dyDescent="0.25">
      <c r="A10339" s="1" t="str">
        <f t="shared" si="367"/>
        <v>20020</v>
      </c>
      <c r="B10339" s="1" t="str">
        <f>"36376"</f>
        <v>36376</v>
      </c>
      <c r="C10339" s="2">
        <v>1.50588293332675E-2</v>
      </c>
      <c r="D10339" s="2">
        <v>2.70941521788214E-3</v>
      </c>
      <c r="E10339" s="2">
        <v>5.9701492537313399E-3</v>
      </c>
      <c r="F10339" s="2">
        <v>1.36425204529446E-2</v>
      </c>
    </row>
    <row r="10340" spans="1:6" x14ac:dyDescent="0.25">
      <c r="A10340" s="1" t="str">
        <f t="shared" si="367"/>
        <v>20020</v>
      </c>
      <c r="B10340" s="1" t="str">
        <f>"36301"</f>
        <v>36301</v>
      </c>
      <c r="C10340" s="2">
        <v>0.23585999358673901</v>
      </c>
      <c r="D10340" s="2">
        <v>0.254685030480921</v>
      </c>
      <c r="E10340" s="2">
        <v>0.33347547974413599</v>
      </c>
      <c r="F10340" s="2">
        <v>0.24014736956168301</v>
      </c>
    </row>
    <row r="10341" spans="1:6" x14ac:dyDescent="0.25">
      <c r="A10341" s="1" t="str">
        <f t="shared" si="367"/>
        <v>20020</v>
      </c>
      <c r="B10341" s="1" t="str">
        <f>"36312"</f>
        <v>36312</v>
      </c>
      <c r="C10341" s="2">
        <v>3.8195900446461602E-2</v>
      </c>
      <c r="D10341" s="2">
        <v>9.3700609618424004E-3</v>
      </c>
      <c r="E10341" s="2">
        <v>4.8187633262260103E-2</v>
      </c>
      <c r="F10341" s="2">
        <v>3.56829387224359E-2</v>
      </c>
    </row>
    <row r="10342" spans="1:6" x14ac:dyDescent="0.25">
      <c r="A10342" s="1" t="str">
        <f t="shared" si="367"/>
        <v>20020</v>
      </c>
      <c r="B10342" s="1" t="str">
        <f>"36340"</f>
        <v>36340</v>
      </c>
      <c r="C10342" s="2">
        <v>3.7011913864976098E-2</v>
      </c>
      <c r="D10342" s="2">
        <v>3.9286520659291002E-2</v>
      </c>
      <c r="E10342" s="2">
        <v>1.8763326226012698E-2</v>
      </c>
      <c r="F10342" s="2">
        <v>3.6766538440699999E-2</v>
      </c>
    </row>
    <row r="10343" spans="1:6" x14ac:dyDescent="0.25">
      <c r="A10343" s="1" t="str">
        <f t="shared" ref="A10343:A10357" si="368">"20060"</f>
        <v>20060</v>
      </c>
      <c r="B10343" s="1" t="str">
        <f>"31554"</f>
        <v>31554</v>
      </c>
      <c r="C10343" s="2">
        <v>7.5939343548323199E-2</v>
      </c>
      <c r="D10343" s="2">
        <v>1.49908592321755E-2</v>
      </c>
      <c r="E10343" s="2">
        <v>3.09090909090909E-2</v>
      </c>
      <c r="F10343" s="2">
        <v>6.9231308247494905E-2</v>
      </c>
    </row>
    <row r="10344" spans="1:6" x14ac:dyDescent="0.25">
      <c r="A10344" s="1" t="str">
        <f t="shared" si="368"/>
        <v>20060</v>
      </c>
      <c r="B10344" s="1" t="str">
        <f>"31567"</f>
        <v>31567</v>
      </c>
      <c r="C10344" s="2">
        <v>1.76584709189531E-2</v>
      </c>
      <c r="D10344" s="2">
        <v>6.2157221206581301E-3</v>
      </c>
      <c r="E10344" s="2">
        <v>7.2727272727272701E-3</v>
      </c>
      <c r="F10344" s="2">
        <v>1.63618527082895E-2</v>
      </c>
    </row>
    <row r="10345" spans="1:6" x14ac:dyDescent="0.25">
      <c r="A10345" s="1" t="str">
        <f t="shared" si="368"/>
        <v>20060</v>
      </c>
      <c r="B10345" s="1" t="str">
        <f>"31798"</f>
        <v>31798</v>
      </c>
      <c r="C10345" s="2">
        <v>9.93783901492655E-3</v>
      </c>
      <c r="D10345" s="2">
        <v>3.6563071297989001E-4</v>
      </c>
      <c r="E10345" s="2">
        <v>0</v>
      </c>
      <c r="F10345" s="2">
        <v>8.8290939667857796E-3</v>
      </c>
    </row>
    <row r="10346" spans="1:6" x14ac:dyDescent="0.25">
      <c r="A10346" s="1" t="str">
        <f t="shared" si="368"/>
        <v>20060</v>
      </c>
      <c r="B10346" s="1" t="str">
        <f>"31534"</f>
        <v>31534</v>
      </c>
      <c r="C10346" s="2">
        <v>8.7658866848794301E-2</v>
      </c>
      <c r="D10346" s="2">
        <v>0.14990859232175499</v>
      </c>
      <c r="E10346" s="2">
        <v>3.6363636363636299E-3</v>
      </c>
      <c r="F10346" s="2">
        <v>9.2004764907855002E-2</v>
      </c>
    </row>
    <row r="10347" spans="1:6" x14ac:dyDescent="0.25">
      <c r="A10347" s="1" t="str">
        <f t="shared" si="368"/>
        <v>20060</v>
      </c>
      <c r="B10347" s="1" t="str">
        <f>"31532"</f>
        <v>31532</v>
      </c>
      <c r="C10347" s="2">
        <v>1.1877895236964E-4</v>
      </c>
      <c r="D10347" s="2">
        <v>0</v>
      </c>
      <c r="E10347" s="2">
        <v>0</v>
      </c>
      <c r="F10347" s="2">
        <v>1.05108261509354E-4</v>
      </c>
    </row>
    <row r="10348" spans="1:6" x14ac:dyDescent="0.25">
      <c r="A10348" s="1" t="str">
        <f t="shared" si="368"/>
        <v>20060</v>
      </c>
      <c r="B10348" s="1" t="str">
        <f>"31642"</f>
        <v>31642</v>
      </c>
      <c r="C10348" s="2">
        <v>7.9898641960644501E-2</v>
      </c>
      <c r="D10348" s="2">
        <v>2.7422303473491699E-2</v>
      </c>
      <c r="E10348" s="2">
        <v>0.04</v>
      </c>
      <c r="F10348" s="2">
        <v>7.4101324364095E-2</v>
      </c>
    </row>
    <row r="10349" spans="1:6" x14ac:dyDescent="0.25">
      <c r="A10349" s="1" t="str">
        <f t="shared" si="368"/>
        <v>20060</v>
      </c>
      <c r="B10349" s="1" t="str">
        <f>"31533"</f>
        <v>31533</v>
      </c>
      <c r="C10349" s="2">
        <v>0.315872827334996</v>
      </c>
      <c r="D10349" s="2">
        <v>0.64387568555758601</v>
      </c>
      <c r="E10349" s="2">
        <v>0.63272727272727203</v>
      </c>
      <c r="F10349" s="2">
        <v>0.35340901128162</v>
      </c>
    </row>
    <row r="10350" spans="1:6" x14ac:dyDescent="0.25">
      <c r="A10350" s="1" t="str">
        <f t="shared" si="368"/>
        <v>20060</v>
      </c>
      <c r="B10350" s="1" t="str">
        <f>"31512"</f>
        <v>31512</v>
      </c>
      <c r="C10350" s="2">
        <v>4.2562457932454299E-2</v>
      </c>
      <c r="D10350" s="2">
        <v>2.0109689213893899E-2</v>
      </c>
      <c r="E10350" s="2">
        <v>2.7272727272727199E-2</v>
      </c>
      <c r="F10350" s="2">
        <v>4.0116319809403597E-2</v>
      </c>
    </row>
    <row r="10351" spans="1:6" x14ac:dyDescent="0.25">
      <c r="A10351" s="1" t="str">
        <f t="shared" si="368"/>
        <v>20060</v>
      </c>
      <c r="B10351" s="1" t="str">
        <f>"31635"</f>
        <v>31635</v>
      </c>
      <c r="C10351" s="2">
        <v>4.3552282535534698E-4</v>
      </c>
      <c r="D10351" s="2">
        <v>0</v>
      </c>
      <c r="E10351" s="2">
        <v>0</v>
      </c>
      <c r="F10351" s="2">
        <v>3.8539695886763301E-4</v>
      </c>
    </row>
    <row r="10352" spans="1:6" x14ac:dyDescent="0.25">
      <c r="A10352" s="1" t="str">
        <f t="shared" si="368"/>
        <v>20060</v>
      </c>
      <c r="B10352" s="1" t="str">
        <f>"31774"</f>
        <v>31774</v>
      </c>
      <c r="C10352" s="2">
        <v>3.9592984123213297E-5</v>
      </c>
      <c r="D10352" s="2">
        <v>0</v>
      </c>
      <c r="E10352" s="2">
        <v>0</v>
      </c>
      <c r="F10352" s="2">
        <v>3.5036087169784799E-5</v>
      </c>
    </row>
    <row r="10353" spans="1:6" x14ac:dyDescent="0.25">
      <c r="A10353" s="1" t="str">
        <f t="shared" si="368"/>
        <v>20060</v>
      </c>
      <c r="B10353" s="1" t="str">
        <f>"31624"</f>
        <v>31624</v>
      </c>
      <c r="C10353" s="2">
        <v>2.6646078314922501E-2</v>
      </c>
      <c r="D10353" s="2">
        <v>3.2906764168190101E-3</v>
      </c>
      <c r="E10353" s="2">
        <v>7.2727272727272701E-3</v>
      </c>
      <c r="F10353" s="2">
        <v>2.4034755798472401E-2</v>
      </c>
    </row>
    <row r="10354" spans="1:6" x14ac:dyDescent="0.25">
      <c r="A10354" s="1" t="str">
        <f t="shared" si="368"/>
        <v>20060</v>
      </c>
      <c r="B10354" s="1" t="str">
        <f>"31650"</f>
        <v>31650</v>
      </c>
      <c r="C10354" s="2">
        <v>5.0243496852357697E-2</v>
      </c>
      <c r="D10354" s="2">
        <v>2.41316270566727E-2</v>
      </c>
      <c r="E10354" s="2">
        <v>5.2727272727272699E-2</v>
      </c>
      <c r="F10354" s="2">
        <v>4.7789222899586502E-2</v>
      </c>
    </row>
    <row r="10355" spans="1:6" x14ac:dyDescent="0.25">
      <c r="A10355" s="1" t="str">
        <f t="shared" si="368"/>
        <v>20060</v>
      </c>
      <c r="B10355" s="1" t="str">
        <f>"31519"</f>
        <v>31519</v>
      </c>
      <c r="C10355" s="2">
        <v>7.3207427643821502E-2</v>
      </c>
      <c r="D10355" s="2">
        <v>3.1078610603290601E-2</v>
      </c>
      <c r="E10355" s="2">
        <v>4.54545454545454E-2</v>
      </c>
      <c r="F10355" s="2">
        <v>6.8635694765608504E-2</v>
      </c>
    </row>
    <row r="10356" spans="1:6" x14ac:dyDescent="0.25">
      <c r="A10356" s="1" t="str">
        <f t="shared" si="368"/>
        <v>20060</v>
      </c>
      <c r="B10356" s="1" t="str">
        <f>"31535"</f>
        <v>31535</v>
      </c>
      <c r="C10356" s="2">
        <v>0.21740507582056401</v>
      </c>
      <c r="D10356" s="2">
        <v>7.7513711151736706E-2</v>
      </c>
      <c r="E10356" s="2">
        <v>0.15272727272727199</v>
      </c>
      <c r="F10356" s="2">
        <v>0.20275383645154499</v>
      </c>
    </row>
    <row r="10357" spans="1:6" x14ac:dyDescent="0.25">
      <c r="A10357" s="1" t="str">
        <f t="shared" si="368"/>
        <v>20060</v>
      </c>
      <c r="B10357" s="1" t="str">
        <f>"31552"</f>
        <v>31552</v>
      </c>
      <c r="C10357" s="2">
        <v>2.3755790473927998E-3</v>
      </c>
      <c r="D10357" s="2">
        <v>1.09689213893967E-3</v>
      </c>
      <c r="E10357" s="2">
        <v>0</v>
      </c>
      <c r="F10357" s="2">
        <v>2.2072734916964401E-3</v>
      </c>
    </row>
    <row r="10358" spans="1:6" x14ac:dyDescent="0.25">
      <c r="A10358" s="1" t="str">
        <f t="shared" ref="A10358:A10378" si="369">"20100"</f>
        <v>20100</v>
      </c>
      <c r="B10358" s="1" t="str">
        <f>"19946"</f>
        <v>19946</v>
      </c>
      <c r="C10358" s="2">
        <v>2.7989883760517399E-2</v>
      </c>
      <c r="D10358" s="2">
        <v>4.7619047619047597E-3</v>
      </c>
      <c r="E10358" s="2">
        <v>4.25985090521831E-3</v>
      </c>
      <c r="F10358" s="2">
        <v>2.5977200506655401E-2</v>
      </c>
    </row>
    <row r="10359" spans="1:6" x14ac:dyDescent="0.25">
      <c r="A10359" s="1" t="str">
        <f t="shared" si="369"/>
        <v>20100</v>
      </c>
      <c r="B10359" s="1" t="str">
        <f>"19952"</f>
        <v>19952</v>
      </c>
      <c r="C10359" s="2">
        <v>5.7900880307378E-2</v>
      </c>
      <c r="D10359" s="2">
        <v>4.31972789115646E-2</v>
      </c>
      <c r="E10359" s="2">
        <v>2.1831735889243802E-2</v>
      </c>
      <c r="F10359" s="2">
        <v>5.61876402746605E-2</v>
      </c>
    </row>
    <row r="10360" spans="1:6" x14ac:dyDescent="0.25">
      <c r="A10360" s="1" t="str">
        <f t="shared" si="369"/>
        <v>20100</v>
      </c>
      <c r="B10360" s="1" t="str">
        <f>"19902"</f>
        <v>19902</v>
      </c>
      <c r="C10360" s="2">
        <v>1.0578279266572599E-3</v>
      </c>
      <c r="D10360" s="2">
        <v>3.40136054421768E-3</v>
      </c>
      <c r="E10360" s="2">
        <v>6.2300319488817799E-2</v>
      </c>
      <c r="F10360" s="2">
        <v>2.48883358147596E-3</v>
      </c>
    </row>
    <row r="10361" spans="1:6" x14ac:dyDescent="0.25">
      <c r="A10361" s="1" t="str">
        <f t="shared" si="369"/>
        <v>20100</v>
      </c>
      <c r="B10361" s="1" t="str">
        <f>"19954"</f>
        <v>19954</v>
      </c>
      <c r="C10361" s="2">
        <v>8.2802392879723699E-3</v>
      </c>
      <c r="D10361" s="2">
        <v>2.7210884353741399E-3</v>
      </c>
      <c r="E10361" s="2">
        <v>5.3248136315228896E-4</v>
      </c>
      <c r="F10361" s="2">
        <v>7.7553832137063601E-3</v>
      </c>
    </row>
    <row r="10362" spans="1:6" x14ac:dyDescent="0.25">
      <c r="A10362" s="1" t="str">
        <f t="shared" si="369"/>
        <v>20100</v>
      </c>
      <c r="B10362" s="1" t="str">
        <f>"19979"</f>
        <v>19979</v>
      </c>
      <c r="C10362" s="2">
        <v>3.81790768931472E-3</v>
      </c>
      <c r="D10362" s="2">
        <v>1.1904761904761899E-3</v>
      </c>
      <c r="E10362" s="2">
        <v>5.3248136315228896E-4</v>
      </c>
      <c r="F10362" s="2">
        <v>3.5776982733717001E-3</v>
      </c>
    </row>
    <row r="10363" spans="1:6" x14ac:dyDescent="0.25">
      <c r="A10363" s="1" t="str">
        <f t="shared" si="369"/>
        <v>20100</v>
      </c>
      <c r="B10363" s="1" t="str">
        <f>"19963"</f>
        <v>19963</v>
      </c>
      <c r="C10363" s="2">
        <v>4.7480667282719699E-2</v>
      </c>
      <c r="D10363" s="2">
        <v>0.105102040816326</v>
      </c>
      <c r="E10363" s="2">
        <v>7.9872204472843406E-2</v>
      </c>
      <c r="F10363" s="2">
        <v>5.1921068420701703E-2</v>
      </c>
    </row>
    <row r="10364" spans="1:6" x14ac:dyDescent="0.25">
      <c r="A10364" s="1" t="str">
        <f t="shared" si="369"/>
        <v>20100</v>
      </c>
      <c r="B10364" s="1" t="str">
        <f>"19904"</f>
        <v>19904</v>
      </c>
      <c r="C10364" s="2">
        <v>0.19518749088079301</v>
      </c>
      <c r="D10364" s="2">
        <v>0.226190476190476</v>
      </c>
      <c r="E10364" s="2">
        <v>0.305111821086261</v>
      </c>
      <c r="F10364" s="2">
        <v>0.19950667762938601</v>
      </c>
    </row>
    <row r="10365" spans="1:6" x14ac:dyDescent="0.25">
      <c r="A10365" s="1" t="str">
        <f t="shared" si="369"/>
        <v>20100</v>
      </c>
      <c r="B10365" s="1" t="str">
        <f>"19964"</f>
        <v>19964</v>
      </c>
      <c r="C10365" s="2">
        <v>6.4928748601721696E-3</v>
      </c>
      <c r="D10365" s="2">
        <v>3.06122448979591E-3</v>
      </c>
      <c r="E10365" s="2">
        <v>1.0649627263045699E-3</v>
      </c>
      <c r="F10365" s="2">
        <v>6.1554187684718098E-3</v>
      </c>
    </row>
    <row r="10366" spans="1:6" x14ac:dyDescent="0.25">
      <c r="A10366" s="1" t="str">
        <f t="shared" si="369"/>
        <v>20100</v>
      </c>
      <c r="B10366" s="1" t="str">
        <f>"19950"</f>
        <v>19950</v>
      </c>
      <c r="C10366" s="2">
        <v>8.1221730460580704E-3</v>
      </c>
      <c r="D10366" s="2">
        <v>2.3809523809523799E-3</v>
      </c>
      <c r="E10366" s="2">
        <v>0</v>
      </c>
      <c r="F10366" s="2">
        <v>7.5776093864580703E-3</v>
      </c>
    </row>
    <row r="10367" spans="1:6" x14ac:dyDescent="0.25">
      <c r="A10367" s="1" t="str">
        <f t="shared" si="369"/>
        <v>20100</v>
      </c>
      <c r="B10367" s="1" t="str">
        <f>"19953"</f>
        <v>19953</v>
      </c>
      <c r="C10367" s="2">
        <v>2.3065512377802602E-2</v>
      </c>
      <c r="D10367" s="2">
        <v>2.7210884353741399E-3</v>
      </c>
      <c r="E10367" s="2">
        <v>5.3248136315228896E-4</v>
      </c>
      <c r="F10367" s="2">
        <v>2.12661940845758E-2</v>
      </c>
    </row>
    <row r="10368" spans="1:6" x14ac:dyDescent="0.25">
      <c r="A10368" s="1" t="str">
        <f t="shared" si="369"/>
        <v>20100</v>
      </c>
      <c r="B10368" s="1" t="str">
        <f>"19962"</f>
        <v>19962</v>
      </c>
      <c r="C10368" s="2">
        <v>6.8734497349350707E-2</v>
      </c>
      <c r="D10368" s="2">
        <v>6.63265306122448E-3</v>
      </c>
      <c r="E10368" s="2">
        <v>9.5846645367412102E-3</v>
      </c>
      <c r="F10368" s="2">
        <v>6.3443034599231105E-2</v>
      </c>
    </row>
    <row r="10369" spans="1:6" x14ac:dyDescent="0.25">
      <c r="A10369" s="1" t="str">
        <f t="shared" si="369"/>
        <v>20100</v>
      </c>
      <c r="B10369" s="1" t="str">
        <f>"19943"</f>
        <v>19943</v>
      </c>
      <c r="C10369" s="2">
        <v>8.6595982685666997E-2</v>
      </c>
      <c r="D10369" s="2">
        <v>3.53741496598639E-2</v>
      </c>
      <c r="E10369" s="2">
        <v>2.60915867944621E-2</v>
      </c>
      <c r="F10369" s="2">
        <v>8.19870669540676E-2</v>
      </c>
    </row>
    <row r="10370" spans="1:6" x14ac:dyDescent="0.25">
      <c r="A10370" s="1" t="str">
        <f t="shared" si="369"/>
        <v>20100</v>
      </c>
      <c r="B10370" s="1" t="str">
        <f>"19955"</f>
        <v>19955</v>
      </c>
      <c r="C10370" s="2">
        <v>0</v>
      </c>
      <c r="D10370" s="2">
        <v>0</v>
      </c>
      <c r="E10370" s="2">
        <v>5.3248136315228896E-4</v>
      </c>
      <c r="F10370" s="2">
        <v>1.1110864203017699E-5</v>
      </c>
    </row>
    <row r="10371" spans="1:6" x14ac:dyDescent="0.25">
      <c r="A10371" s="1" t="str">
        <f t="shared" si="369"/>
        <v>20100</v>
      </c>
      <c r="B10371" s="1" t="str">
        <f>"19934"</f>
        <v>19934</v>
      </c>
      <c r="C10371" s="2">
        <v>7.9568114391323302E-2</v>
      </c>
      <c r="D10371" s="2">
        <v>7.1258503401360501E-2</v>
      </c>
      <c r="E10371" s="2">
        <v>4.1001064962726298E-2</v>
      </c>
      <c r="F10371" s="2">
        <v>7.8220483989244596E-2</v>
      </c>
    </row>
    <row r="10372" spans="1:6" x14ac:dyDescent="0.25">
      <c r="A10372" s="1" t="str">
        <f t="shared" si="369"/>
        <v>20100</v>
      </c>
      <c r="B10372" s="1" t="str">
        <f>"19938"</f>
        <v>19938</v>
      </c>
      <c r="C10372" s="2">
        <v>4.7504985166091099E-2</v>
      </c>
      <c r="D10372" s="2">
        <v>4.9319727891156398E-3</v>
      </c>
      <c r="E10372" s="2">
        <v>1.5974440894568601E-3</v>
      </c>
      <c r="F10372" s="2">
        <v>4.3765694095686702E-2</v>
      </c>
    </row>
    <row r="10373" spans="1:6" x14ac:dyDescent="0.25">
      <c r="A10373" s="1" t="str">
        <f t="shared" si="369"/>
        <v>20100</v>
      </c>
      <c r="B10373" s="1" t="str">
        <f>"19977"</f>
        <v>19977</v>
      </c>
      <c r="C10373" s="2">
        <v>0.13294586839161501</v>
      </c>
      <c r="D10373" s="2">
        <v>9.7108843537414904E-2</v>
      </c>
      <c r="E10373" s="2">
        <v>9.5846645367412095E-2</v>
      </c>
      <c r="F10373" s="2">
        <v>0.129830448212261</v>
      </c>
    </row>
    <row r="10374" spans="1:6" x14ac:dyDescent="0.25">
      <c r="A10374" s="1" t="str">
        <f t="shared" si="369"/>
        <v>20100</v>
      </c>
      <c r="B10374" s="1" t="str">
        <f>"19901"</f>
        <v>19901</v>
      </c>
      <c r="C10374" s="2">
        <v>0.19152764943339301</v>
      </c>
      <c r="D10374" s="2">
        <v>0.32074829931972698</v>
      </c>
      <c r="E10374" s="2">
        <v>0.32428115015974401</v>
      </c>
      <c r="F10374" s="2">
        <v>0.20273993911246399</v>
      </c>
    </row>
    <row r="10375" spans="1:6" x14ac:dyDescent="0.25">
      <c r="A10375" s="1" t="str">
        <f t="shared" si="369"/>
        <v>20100</v>
      </c>
      <c r="B10375" s="1" t="str">
        <f>"19980"</f>
        <v>19980</v>
      </c>
      <c r="C10375" s="2">
        <v>6.0794708428578296E-4</v>
      </c>
      <c r="D10375" s="2">
        <v>0</v>
      </c>
      <c r="E10375" s="2">
        <v>5.3248136315228896E-4</v>
      </c>
      <c r="F10375" s="2">
        <v>5.6665407435390301E-4</v>
      </c>
    </row>
    <row r="10376" spans="1:6" x14ac:dyDescent="0.25">
      <c r="A10376" s="1" t="str">
        <f t="shared" si="369"/>
        <v>20100</v>
      </c>
      <c r="B10376" s="1" t="str">
        <f>"19961"</f>
        <v>19961</v>
      </c>
      <c r="C10376" s="2">
        <v>0</v>
      </c>
      <c r="D10376" s="2">
        <v>0</v>
      </c>
      <c r="E10376" s="2">
        <v>5.3248136315228896E-4</v>
      </c>
      <c r="F10376" s="2">
        <v>1.1110864203017699E-5</v>
      </c>
    </row>
    <row r="10377" spans="1:6" x14ac:dyDescent="0.25">
      <c r="A10377" s="1" t="str">
        <f t="shared" si="369"/>
        <v>20100</v>
      </c>
      <c r="B10377" s="1" t="str">
        <f>"19903"</f>
        <v>19903</v>
      </c>
      <c r="C10377" s="2">
        <v>1.3119498078887201E-2</v>
      </c>
      <c r="D10377" s="2">
        <v>6.9217687074829906E-2</v>
      </c>
      <c r="E10377" s="2">
        <v>1.0649627263045699E-3</v>
      </c>
      <c r="F10377" s="2">
        <v>1.6532965934090298E-2</v>
      </c>
    </row>
    <row r="10378" spans="1:6" x14ac:dyDescent="0.25">
      <c r="A10378" s="1" t="str">
        <f t="shared" si="369"/>
        <v>20100</v>
      </c>
      <c r="B10378" s="1" t="str">
        <f>"19936"</f>
        <v>19936</v>
      </c>
      <c r="C10378" s="2">
        <v>0</v>
      </c>
      <c r="D10378" s="2">
        <v>0</v>
      </c>
      <c r="E10378" s="2">
        <v>2.28966986155484E-2</v>
      </c>
      <c r="F10378" s="2">
        <v>4.7776716072976102E-4</v>
      </c>
    </row>
    <row r="10379" spans="1:6" x14ac:dyDescent="0.25">
      <c r="A10379" s="1" t="str">
        <f t="shared" ref="A10379:A10404" si="370">"20140"</f>
        <v>20140</v>
      </c>
      <c r="B10379" s="1" t="str">
        <f>"31022"</f>
        <v>31022</v>
      </c>
      <c r="C10379" s="2">
        <v>1.72413793103448E-2</v>
      </c>
      <c r="D10379" s="2">
        <v>8.4400465657741494E-3</v>
      </c>
      <c r="E10379" s="2">
        <v>4.3668122270742304E-3</v>
      </c>
      <c r="F10379" s="2">
        <v>1.6261996040993199E-2</v>
      </c>
    </row>
    <row r="10380" spans="1:6" x14ac:dyDescent="0.25">
      <c r="A10380" s="1" t="str">
        <f t="shared" si="370"/>
        <v>20140</v>
      </c>
      <c r="B10380" s="1" t="str">
        <f>"30454"</f>
        <v>30454</v>
      </c>
      <c r="C10380" s="2">
        <v>1.18202649080646E-2</v>
      </c>
      <c r="D10380" s="2">
        <v>2.6193247962747299E-3</v>
      </c>
      <c r="E10380" s="2">
        <v>0</v>
      </c>
      <c r="F10380" s="2">
        <v>1.0824626024205E-2</v>
      </c>
    </row>
    <row r="10381" spans="1:6" x14ac:dyDescent="0.25">
      <c r="A10381" s="1" t="str">
        <f t="shared" si="370"/>
        <v>20140</v>
      </c>
      <c r="B10381" s="1" t="str">
        <f>"31037"</f>
        <v>31037</v>
      </c>
      <c r="C10381" s="2">
        <v>3.0738277538702198E-4</v>
      </c>
      <c r="D10381" s="2">
        <v>0</v>
      </c>
      <c r="E10381" s="2">
        <v>0</v>
      </c>
      <c r="F10381" s="2">
        <v>2.7562705154225801E-4</v>
      </c>
    </row>
    <row r="10382" spans="1:6" x14ac:dyDescent="0.25">
      <c r="A10382" s="1" t="str">
        <f t="shared" si="370"/>
        <v>20140</v>
      </c>
      <c r="B10382" s="1" t="str">
        <f>"31089"</f>
        <v>31089</v>
      </c>
      <c r="C10382" s="2">
        <v>2.12373553903761E-3</v>
      </c>
      <c r="D10382" s="2">
        <v>8.7310826542491202E-4</v>
      </c>
      <c r="E10382" s="2">
        <v>0</v>
      </c>
      <c r="F10382" s="2">
        <v>1.9795033701671301E-3</v>
      </c>
    </row>
    <row r="10383" spans="1:6" x14ac:dyDescent="0.25">
      <c r="A10383" s="1" t="str">
        <f t="shared" si="370"/>
        <v>20140</v>
      </c>
      <c r="B10383" s="1" t="str">
        <f>"31011"</f>
        <v>31011</v>
      </c>
      <c r="C10383" s="2">
        <v>1.1177555468619E-4</v>
      </c>
      <c r="D10383" s="2">
        <v>0</v>
      </c>
      <c r="E10383" s="2">
        <v>0</v>
      </c>
      <c r="F10383" s="2">
        <v>1.00228018742639E-4</v>
      </c>
    </row>
    <row r="10384" spans="1:6" x14ac:dyDescent="0.25">
      <c r="A10384" s="1" t="str">
        <f t="shared" si="370"/>
        <v>20140</v>
      </c>
      <c r="B10384" s="1" t="str">
        <f>"30457"</f>
        <v>30457</v>
      </c>
      <c r="C10384" s="2">
        <v>8.0394567708042194E-2</v>
      </c>
      <c r="D10384" s="2">
        <v>8.4109429569266494E-2</v>
      </c>
      <c r="E10384" s="2">
        <v>8.8791848617176095E-2</v>
      </c>
      <c r="F10384" s="2">
        <v>8.0858954120624396E-2</v>
      </c>
    </row>
    <row r="10385" spans="1:6" x14ac:dyDescent="0.25">
      <c r="A10385" s="1" t="str">
        <f t="shared" si="370"/>
        <v>20140</v>
      </c>
      <c r="B10385" s="1" t="str">
        <f>"31012"</f>
        <v>31012</v>
      </c>
      <c r="C10385" s="2">
        <v>3.3532666405857001E-4</v>
      </c>
      <c r="D10385" s="2">
        <v>0</v>
      </c>
      <c r="E10385" s="2">
        <v>0</v>
      </c>
      <c r="F10385" s="2">
        <v>3.00684056227918E-4</v>
      </c>
    </row>
    <row r="10386" spans="1:6" x14ac:dyDescent="0.25">
      <c r="A10386" s="1" t="str">
        <f t="shared" si="370"/>
        <v>20140</v>
      </c>
      <c r="B10386" s="1" t="str">
        <f>"31021"</f>
        <v>31021</v>
      </c>
      <c r="C10386" s="2">
        <v>0.41932599340524201</v>
      </c>
      <c r="D10386" s="2">
        <v>0.55762514551804399</v>
      </c>
      <c r="E10386" s="2">
        <v>0.61863173216885003</v>
      </c>
      <c r="F10386" s="2">
        <v>0.43466386028214099</v>
      </c>
    </row>
    <row r="10387" spans="1:6" x14ac:dyDescent="0.25">
      <c r="A10387" s="1" t="str">
        <f t="shared" si="370"/>
        <v>20140</v>
      </c>
      <c r="B10387" s="1" t="str">
        <f>"31075"</f>
        <v>31075</v>
      </c>
      <c r="C10387" s="2">
        <v>3.2219303638294297E-2</v>
      </c>
      <c r="D10387" s="2">
        <v>8.1490104772991793E-3</v>
      </c>
      <c r="E10387" s="2">
        <v>8.7336244541484694E-3</v>
      </c>
      <c r="F10387" s="2">
        <v>2.9742664561878199E-2</v>
      </c>
    </row>
    <row r="10388" spans="1:6" x14ac:dyDescent="0.25">
      <c r="A10388" s="1" t="str">
        <f t="shared" si="370"/>
        <v>20140</v>
      </c>
      <c r="B10388" s="1" t="str">
        <f>"30411"</f>
        <v>30411</v>
      </c>
      <c r="C10388" s="2">
        <v>3.1297155312133198E-3</v>
      </c>
      <c r="D10388" s="2">
        <v>8.7310826542491202E-4</v>
      </c>
      <c r="E10388" s="2">
        <v>0</v>
      </c>
      <c r="F10388" s="2">
        <v>2.8815555388508802E-3</v>
      </c>
    </row>
    <row r="10389" spans="1:6" x14ac:dyDescent="0.25">
      <c r="A10389" s="1" t="str">
        <f t="shared" si="370"/>
        <v>20140</v>
      </c>
      <c r="B10389" s="1" t="str">
        <f>"30470"</f>
        <v>30470</v>
      </c>
      <c r="C10389" s="2">
        <v>4.3592466327614099E-3</v>
      </c>
      <c r="D10389" s="2">
        <v>8.7310826542491202E-4</v>
      </c>
      <c r="E10389" s="2">
        <v>0</v>
      </c>
      <c r="F10389" s="2">
        <v>3.9840637450199202E-3</v>
      </c>
    </row>
    <row r="10390" spans="1:6" x14ac:dyDescent="0.25">
      <c r="A10390" s="1" t="str">
        <f t="shared" si="370"/>
        <v>20140</v>
      </c>
      <c r="B10390" s="1" t="str">
        <f>"31049"</f>
        <v>31049</v>
      </c>
      <c r="C10390" s="2">
        <v>1.6794277091600002E-2</v>
      </c>
      <c r="D10390" s="2">
        <v>2.9103608847497E-3</v>
      </c>
      <c r="E10390" s="2">
        <v>4.3668122270742304E-3</v>
      </c>
      <c r="F10390" s="2">
        <v>1.5385000876995099E-2</v>
      </c>
    </row>
    <row r="10391" spans="1:6" x14ac:dyDescent="0.25">
      <c r="A10391" s="1" t="str">
        <f t="shared" si="370"/>
        <v>20140</v>
      </c>
      <c r="B10391" s="1" t="str">
        <f>"31065"</f>
        <v>31065</v>
      </c>
      <c r="C10391" s="2">
        <v>1.25747499021963E-2</v>
      </c>
      <c r="D10391" s="2">
        <v>5.2386495925494702E-3</v>
      </c>
      <c r="E10391" s="2">
        <v>0</v>
      </c>
      <c r="F10391" s="2">
        <v>1.1726678192888799E-2</v>
      </c>
    </row>
    <row r="10392" spans="1:6" x14ac:dyDescent="0.25">
      <c r="A10392" s="1" t="str">
        <f t="shared" si="370"/>
        <v>20140</v>
      </c>
      <c r="B10392" s="1" t="str">
        <f>"31019"</f>
        <v>31019</v>
      </c>
      <c r="C10392" s="2">
        <v>2.9927904767227401E-2</v>
      </c>
      <c r="D10392" s="2">
        <v>3.2013969732246701E-3</v>
      </c>
      <c r="E10392" s="2">
        <v>8.7336244541484694E-3</v>
      </c>
      <c r="F10392" s="2">
        <v>2.7262021097997899E-2</v>
      </c>
    </row>
    <row r="10393" spans="1:6" x14ac:dyDescent="0.25">
      <c r="A10393" s="1" t="str">
        <f t="shared" si="370"/>
        <v>20140</v>
      </c>
      <c r="B10393" s="1" t="str">
        <f>"30474"</f>
        <v>30474</v>
      </c>
      <c r="C10393" s="2">
        <v>6.9859721678868804E-4</v>
      </c>
      <c r="D10393" s="2">
        <v>0</v>
      </c>
      <c r="E10393" s="2">
        <v>0</v>
      </c>
      <c r="F10393" s="2">
        <v>6.2642511714149595E-4</v>
      </c>
    </row>
    <row r="10394" spans="1:6" x14ac:dyDescent="0.25">
      <c r="A10394" s="1" t="str">
        <f t="shared" si="370"/>
        <v>20140</v>
      </c>
      <c r="B10394" s="1" t="str">
        <f>"31042"</f>
        <v>31042</v>
      </c>
      <c r="C10394" s="2">
        <v>2.2355110937238E-4</v>
      </c>
      <c r="D10394" s="2">
        <v>1.1641443538998801E-3</v>
      </c>
      <c r="E10394" s="2">
        <v>0</v>
      </c>
      <c r="F10394" s="2">
        <v>3.00684056227918E-4</v>
      </c>
    </row>
    <row r="10395" spans="1:6" x14ac:dyDescent="0.25">
      <c r="A10395" s="1" t="str">
        <f t="shared" si="370"/>
        <v>20140</v>
      </c>
      <c r="B10395" s="1" t="str">
        <f>"31035"</f>
        <v>31035</v>
      </c>
      <c r="C10395" s="2">
        <v>1.67663332029285E-4</v>
      </c>
      <c r="D10395" s="2">
        <v>0</v>
      </c>
      <c r="E10395" s="2">
        <v>0</v>
      </c>
      <c r="F10395" s="2">
        <v>1.50342028113959E-4</v>
      </c>
    </row>
    <row r="10396" spans="1:6" x14ac:dyDescent="0.25">
      <c r="A10396" s="1" t="str">
        <f t="shared" si="370"/>
        <v>20140</v>
      </c>
      <c r="B10396" s="1" t="str">
        <f>"31009"</f>
        <v>31009</v>
      </c>
      <c r="C10396" s="2">
        <v>1.99519365114849E-2</v>
      </c>
      <c r="D10396" s="2">
        <v>1.7462165308498199E-3</v>
      </c>
      <c r="E10396" s="2">
        <v>7.27802037845705E-3</v>
      </c>
      <c r="F10396" s="2">
        <v>1.8166328397103401E-2</v>
      </c>
    </row>
    <row r="10397" spans="1:6" x14ac:dyDescent="0.25">
      <c r="A10397" s="1" t="str">
        <f t="shared" si="370"/>
        <v>20140</v>
      </c>
      <c r="B10397" s="1" t="str">
        <f>"31027"</f>
        <v>31027</v>
      </c>
      <c r="C10397" s="2">
        <v>0.177080422511596</v>
      </c>
      <c r="D10397" s="2">
        <v>0.105646100116414</v>
      </c>
      <c r="E10397" s="2">
        <v>0.13100436681222699</v>
      </c>
      <c r="F10397" s="2">
        <v>0.17013706181562999</v>
      </c>
    </row>
    <row r="10398" spans="1:6" x14ac:dyDescent="0.25">
      <c r="A10398" s="1" t="str">
        <f t="shared" si="370"/>
        <v>20140</v>
      </c>
      <c r="B10398" s="1" t="str">
        <f>"30428"</f>
        <v>30428</v>
      </c>
      <c r="C10398" s="2">
        <v>3.85625663667355E-3</v>
      </c>
      <c r="D10398" s="2">
        <v>8.7310826542491202E-4</v>
      </c>
      <c r="E10398" s="2">
        <v>4.3668122270742304E-3</v>
      </c>
      <c r="F10398" s="2">
        <v>3.6082086747350199E-3</v>
      </c>
    </row>
    <row r="10399" spans="1:6" x14ac:dyDescent="0.25">
      <c r="A10399" s="1" t="str">
        <f t="shared" si="370"/>
        <v>20140</v>
      </c>
      <c r="B10399" s="1" t="str">
        <f>"30413"</f>
        <v>30413</v>
      </c>
      <c r="C10399" s="2">
        <v>1.73252109763594E-3</v>
      </c>
      <c r="D10399" s="2">
        <v>0</v>
      </c>
      <c r="E10399" s="2">
        <v>0</v>
      </c>
      <c r="F10399" s="2">
        <v>1.5535342905109099E-3</v>
      </c>
    </row>
    <row r="10400" spans="1:6" x14ac:dyDescent="0.25">
      <c r="A10400" s="1" t="str">
        <f t="shared" si="370"/>
        <v>20140</v>
      </c>
      <c r="B10400" s="1" t="str">
        <f>"30477"</f>
        <v>30477</v>
      </c>
      <c r="C10400" s="2">
        <v>2.79438886715475E-5</v>
      </c>
      <c r="D10400" s="2">
        <v>0</v>
      </c>
      <c r="E10400" s="2">
        <v>0</v>
      </c>
      <c r="F10400" s="2">
        <v>2.50570046856598E-5</v>
      </c>
    </row>
    <row r="10401" spans="1:6" x14ac:dyDescent="0.25">
      <c r="A10401" s="1" t="str">
        <f t="shared" si="370"/>
        <v>20140</v>
      </c>
      <c r="B10401" s="1" t="str">
        <f>"31002"</f>
        <v>31002</v>
      </c>
      <c r="C10401" s="2">
        <v>2.27463253786396E-2</v>
      </c>
      <c r="D10401" s="2">
        <v>5.8207217694994104E-3</v>
      </c>
      <c r="E10401" s="2">
        <v>1.1644832605531201E-2</v>
      </c>
      <c r="F10401" s="2">
        <v>2.1097997945325599E-2</v>
      </c>
    </row>
    <row r="10402" spans="1:6" x14ac:dyDescent="0.25">
      <c r="A10402" s="1" t="str">
        <f t="shared" si="370"/>
        <v>20140</v>
      </c>
      <c r="B10402" s="1" t="str">
        <f>"31040"</f>
        <v>31040</v>
      </c>
      <c r="C10402" s="2">
        <v>6.3460571173084401E-2</v>
      </c>
      <c r="D10402" s="2">
        <v>0.14697322467985999</v>
      </c>
      <c r="E10402" s="2">
        <v>5.8224163027656402E-3</v>
      </c>
      <c r="F10402" s="2">
        <v>6.9658473026134399E-2</v>
      </c>
    </row>
    <row r="10403" spans="1:6" x14ac:dyDescent="0.25">
      <c r="A10403" s="1" t="str">
        <f t="shared" si="370"/>
        <v>20140</v>
      </c>
      <c r="B10403" s="1" t="str">
        <f>"30436"</f>
        <v>30436</v>
      </c>
      <c r="C10403" s="2">
        <v>1.67663332029285E-4</v>
      </c>
      <c r="D10403" s="2">
        <v>0</v>
      </c>
      <c r="E10403" s="2">
        <v>0</v>
      </c>
      <c r="F10403" s="2">
        <v>1.50342028113959E-4</v>
      </c>
    </row>
    <row r="10404" spans="1:6" x14ac:dyDescent="0.25">
      <c r="A10404" s="1" t="str">
        <f t="shared" si="370"/>
        <v>20140</v>
      </c>
      <c r="B10404" s="1" t="str">
        <f>"31096"</f>
        <v>31096</v>
      </c>
      <c r="C10404" s="2">
        <v>7.9220924383837196E-2</v>
      </c>
      <c r="D10404" s="2">
        <v>6.2863795110593701E-2</v>
      </c>
      <c r="E10404" s="2">
        <v>0.106259097525473</v>
      </c>
      <c r="F10404" s="2">
        <v>7.8278082638001401E-2</v>
      </c>
    </row>
    <row r="10405" spans="1:6" x14ac:dyDescent="0.25">
      <c r="A10405" s="1" t="str">
        <f t="shared" ref="A10405:A10436" si="371">"20180"</f>
        <v>20180</v>
      </c>
      <c r="B10405" s="1" t="str">
        <f>"16837"</f>
        <v>16837</v>
      </c>
      <c r="C10405" s="2">
        <v>2.8762045959970302E-3</v>
      </c>
      <c r="D10405" s="2">
        <v>3.3456005352960801E-4</v>
      </c>
      <c r="E10405" s="2">
        <v>6.9881201956673597E-4</v>
      </c>
      <c r="F10405" s="2">
        <v>2.5953598112465502E-3</v>
      </c>
    </row>
    <row r="10406" spans="1:6" x14ac:dyDescent="0.25">
      <c r="A10406" s="1" t="str">
        <f t="shared" si="371"/>
        <v>20180</v>
      </c>
      <c r="B10406" s="1" t="str">
        <f>"16858"</f>
        <v>16858</v>
      </c>
      <c r="C10406" s="2">
        <v>4.7501853224610799E-2</v>
      </c>
      <c r="D10406" s="2">
        <v>2.0742723318835699E-2</v>
      </c>
      <c r="E10406" s="2">
        <v>4.8916841369671497E-3</v>
      </c>
      <c r="F10406" s="2">
        <v>4.3806527723161598E-2</v>
      </c>
    </row>
    <row r="10407" spans="1:6" x14ac:dyDescent="0.25">
      <c r="A10407" s="1" t="str">
        <f t="shared" si="371"/>
        <v>20180</v>
      </c>
      <c r="B10407" s="1" t="str">
        <f>"16876"</f>
        <v>16876</v>
      </c>
      <c r="C10407" s="2">
        <v>0</v>
      </c>
      <c r="D10407" s="2">
        <v>3.3456005352960801E-4</v>
      </c>
      <c r="E10407" s="2">
        <v>9.9231306778476497E-2</v>
      </c>
      <c r="F10407" s="2">
        <v>3.7488530606894699E-3</v>
      </c>
    </row>
    <row r="10408" spans="1:6" x14ac:dyDescent="0.25">
      <c r="A10408" s="1" t="str">
        <f t="shared" si="371"/>
        <v>20180</v>
      </c>
      <c r="B10408" s="1" t="str">
        <f>"16863"</f>
        <v>16863</v>
      </c>
      <c r="C10408" s="2">
        <v>1.03187546330615E-2</v>
      </c>
      <c r="D10408" s="2">
        <v>4.6838407494145104E-3</v>
      </c>
      <c r="E10408" s="2">
        <v>0</v>
      </c>
      <c r="F10408" s="2">
        <v>9.4901035522348895E-3</v>
      </c>
    </row>
    <row r="10409" spans="1:6" x14ac:dyDescent="0.25">
      <c r="A10409" s="1" t="str">
        <f t="shared" si="371"/>
        <v>20180</v>
      </c>
      <c r="B10409" s="1" t="str">
        <f>"16839"</f>
        <v>16839</v>
      </c>
      <c r="C10409" s="2">
        <v>6.9384729429206801E-3</v>
      </c>
      <c r="D10409" s="2">
        <v>2.0073603211776501E-3</v>
      </c>
      <c r="E10409" s="2">
        <v>6.9881201956673597E-4</v>
      </c>
      <c r="F10409" s="2">
        <v>6.3179971162668699E-3</v>
      </c>
    </row>
    <row r="10410" spans="1:6" x14ac:dyDescent="0.25">
      <c r="A10410" s="1" t="str">
        <f t="shared" si="371"/>
        <v>20180</v>
      </c>
      <c r="B10410" s="1" t="str">
        <f>"15851"</f>
        <v>15851</v>
      </c>
      <c r="C10410" s="2">
        <v>1.18606375092661E-4</v>
      </c>
      <c r="D10410" s="2">
        <v>3.3456005352960801E-4</v>
      </c>
      <c r="E10410" s="2">
        <v>0</v>
      </c>
      <c r="F10410" s="2">
        <v>1.3107877834578501E-4</v>
      </c>
    </row>
    <row r="10411" spans="1:6" x14ac:dyDescent="0.25">
      <c r="A10411" s="1" t="str">
        <f t="shared" si="371"/>
        <v>20180</v>
      </c>
      <c r="B10411" s="1" t="str">
        <f>"16873"</f>
        <v>16873</v>
      </c>
      <c r="C10411" s="2">
        <v>0</v>
      </c>
      <c r="D10411" s="2">
        <v>3.3456005352960801E-4</v>
      </c>
      <c r="E10411" s="2">
        <v>6.9881201956673597E-4</v>
      </c>
      <c r="F10411" s="2">
        <v>5.2431511338314301E-5</v>
      </c>
    </row>
    <row r="10412" spans="1:6" x14ac:dyDescent="0.25">
      <c r="A10412" s="1" t="str">
        <f t="shared" si="371"/>
        <v>20180</v>
      </c>
      <c r="B10412" s="1" t="str">
        <f>"16821"</f>
        <v>16821</v>
      </c>
      <c r="C10412" s="2">
        <v>2.6093402520385401E-3</v>
      </c>
      <c r="D10412" s="2">
        <v>1.0036801605888201E-3</v>
      </c>
      <c r="E10412" s="2">
        <v>6.9881201956673597E-4</v>
      </c>
      <c r="F10412" s="2">
        <v>2.4118495215624501E-3</v>
      </c>
    </row>
    <row r="10413" spans="1:6" x14ac:dyDescent="0.25">
      <c r="A10413" s="1" t="str">
        <f t="shared" si="371"/>
        <v>20180</v>
      </c>
      <c r="B10413" s="1" t="str">
        <f>"15753"</f>
        <v>15753</v>
      </c>
      <c r="C10413" s="2">
        <v>6.0785767234988802E-3</v>
      </c>
      <c r="D10413" s="2">
        <v>2.0073603211776501E-3</v>
      </c>
      <c r="E10413" s="2">
        <v>0</v>
      </c>
      <c r="F10413" s="2">
        <v>5.5315244461921599E-3</v>
      </c>
    </row>
    <row r="10414" spans="1:6" x14ac:dyDescent="0.25">
      <c r="A10414" s="1" t="str">
        <f t="shared" si="371"/>
        <v>20180</v>
      </c>
      <c r="B10414" s="1" t="str">
        <f>"16651"</f>
        <v>16651</v>
      </c>
      <c r="C10414" s="2">
        <v>5.0229799851742002E-2</v>
      </c>
      <c r="D10414" s="2">
        <v>4.6838407494145098E-2</v>
      </c>
      <c r="E10414" s="2">
        <v>2.16631726065688E-2</v>
      </c>
      <c r="F10414" s="2">
        <v>4.88923843229781E-2</v>
      </c>
    </row>
    <row r="10415" spans="1:6" x14ac:dyDescent="0.25">
      <c r="A10415" s="1" t="str">
        <f t="shared" si="371"/>
        <v>20180</v>
      </c>
      <c r="B10415" s="1" t="str">
        <f>"16645"</f>
        <v>16645</v>
      </c>
      <c r="C10415" s="2">
        <v>2.0459599703484001E-3</v>
      </c>
      <c r="D10415" s="2">
        <v>2.34192037470725E-3</v>
      </c>
      <c r="E10415" s="2">
        <v>0</v>
      </c>
      <c r="F10415" s="2">
        <v>1.9923974308559398E-3</v>
      </c>
    </row>
    <row r="10416" spans="1:6" x14ac:dyDescent="0.25">
      <c r="A10416" s="1" t="str">
        <f t="shared" si="371"/>
        <v>20180</v>
      </c>
      <c r="B10416" s="1" t="str">
        <f>"16666"</f>
        <v>16666</v>
      </c>
      <c r="C10416" s="2">
        <v>3.5730170496664097E-2</v>
      </c>
      <c r="D10416" s="2">
        <v>2.5426564068250199E-2</v>
      </c>
      <c r="E10416" s="2">
        <v>1.25786163522012E-2</v>
      </c>
      <c r="F10416" s="2">
        <v>3.40542666142351E-2</v>
      </c>
    </row>
    <row r="10417" spans="1:6" x14ac:dyDescent="0.25">
      <c r="A10417" s="1" t="str">
        <f t="shared" si="371"/>
        <v>20180</v>
      </c>
      <c r="B10417" s="1" t="str">
        <f>"16878"</f>
        <v>16878</v>
      </c>
      <c r="C10417" s="2">
        <v>2.31578947368421E-2</v>
      </c>
      <c r="D10417" s="2">
        <v>4.6838407494145104E-3</v>
      </c>
      <c r="E10417" s="2">
        <v>0</v>
      </c>
      <c r="F10417" s="2">
        <v>2.0841525756979899E-2</v>
      </c>
    </row>
    <row r="10418" spans="1:6" x14ac:dyDescent="0.25">
      <c r="A10418" s="1" t="str">
        <f t="shared" si="371"/>
        <v>20180</v>
      </c>
      <c r="B10418" s="1" t="str">
        <f>"16845"</f>
        <v>16845</v>
      </c>
      <c r="C10418" s="2">
        <v>2.3424759080800501E-3</v>
      </c>
      <c r="D10418" s="2">
        <v>5.35296085647373E-3</v>
      </c>
      <c r="E10418" s="2">
        <v>2.0964360587002002E-3</v>
      </c>
      <c r="F10418" s="2">
        <v>2.5691440555774001E-3</v>
      </c>
    </row>
    <row r="10419" spans="1:6" x14ac:dyDescent="0.25">
      <c r="A10419" s="1" t="str">
        <f t="shared" si="371"/>
        <v>20180</v>
      </c>
      <c r="B10419" s="1" t="str">
        <f>"16855"</f>
        <v>16855</v>
      </c>
      <c r="C10419" s="2">
        <v>0</v>
      </c>
      <c r="D10419" s="2">
        <v>3.3456005352960801E-4</v>
      </c>
      <c r="E10419" s="2">
        <v>0</v>
      </c>
      <c r="F10419" s="2">
        <v>2.62157556691571E-5</v>
      </c>
    </row>
    <row r="10420" spans="1:6" x14ac:dyDescent="0.25">
      <c r="A10420" s="1" t="str">
        <f t="shared" si="371"/>
        <v>20180</v>
      </c>
      <c r="B10420" s="1" t="str">
        <f>"15767"</f>
        <v>15767</v>
      </c>
      <c r="C10420" s="2">
        <v>1.60118606375092E-3</v>
      </c>
      <c r="D10420" s="2">
        <v>0</v>
      </c>
      <c r="E10420" s="2">
        <v>0</v>
      </c>
      <c r="F10420" s="2">
        <v>1.41565080613448E-3</v>
      </c>
    </row>
    <row r="10421" spans="1:6" x14ac:dyDescent="0.25">
      <c r="A10421" s="1" t="str">
        <f t="shared" si="371"/>
        <v>20180</v>
      </c>
      <c r="B10421" s="1" t="str">
        <f>"16692"</f>
        <v>16692</v>
      </c>
      <c r="C10421" s="2">
        <v>7.8873239436619696E-3</v>
      </c>
      <c r="D10421" s="2">
        <v>3.01104048176647E-3</v>
      </c>
      <c r="E10421" s="2">
        <v>0</v>
      </c>
      <c r="F10421" s="2">
        <v>7.2093328090182098E-3</v>
      </c>
    </row>
    <row r="10422" spans="1:6" x14ac:dyDescent="0.25">
      <c r="A10422" s="1" t="str">
        <f t="shared" si="371"/>
        <v>20180</v>
      </c>
      <c r="B10422" s="1" t="str">
        <f>"16661"</f>
        <v>16661</v>
      </c>
      <c r="C10422" s="2">
        <v>1.28687916975537E-2</v>
      </c>
      <c r="D10422" s="2">
        <v>4.0147206423553003E-3</v>
      </c>
      <c r="E10422" s="2">
        <v>0</v>
      </c>
      <c r="F10422" s="2">
        <v>1.1692227028444E-2</v>
      </c>
    </row>
    <row r="10423" spans="1:6" x14ac:dyDescent="0.25">
      <c r="A10423" s="1" t="str">
        <f t="shared" si="371"/>
        <v>20180</v>
      </c>
      <c r="B10423" s="1" t="str">
        <f>"16681"</f>
        <v>16681</v>
      </c>
      <c r="C10423" s="2">
        <v>0</v>
      </c>
      <c r="D10423" s="2">
        <v>3.3456005352960801E-4</v>
      </c>
      <c r="E10423" s="2">
        <v>6.9881201956673597E-4</v>
      </c>
      <c r="F10423" s="2">
        <v>5.2431511338314301E-5</v>
      </c>
    </row>
    <row r="10424" spans="1:6" x14ac:dyDescent="0.25">
      <c r="A10424" s="1" t="str">
        <f t="shared" si="371"/>
        <v>20180</v>
      </c>
      <c r="B10424" s="1" t="str">
        <f>"15823"</f>
        <v>15823</v>
      </c>
      <c r="C10424" s="2">
        <v>5.9303187546330602E-5</v>
      </c>
      <c r="D10424" s="2">
        <v>0</v>
      </c>
      <c r="E10424" s="2">
        <v>0</v>
      </c>
      <c r="F10424" s="2">
        <v>5.2431511338314301E-5</v>
      </c>
    </row>
    <row r="10425" spans="1:6" x14ac:dyDescent="0.25">
      <c r="A10425" s="1" t="str">
        <f t="shared" si="371"/>
        <v>20180</v>
      </c>
      <c r="B10425" s="1" t="str">
        <f>"16871"</f>
        <v>16871</v>
      </c>
      <c r="C10425" s="2">
        <v>6.8198665678280196E-4</v>
      </c>
      <c r="D10425" s="2">
        <v>3.3456005352960801E-4</v>
      </c>
      <c r="E10425" s="2">
        <v>6.9881201956673597E-4</v>
      </c>
      <c r="F10425" s="2">
        <v>6.5539389172892897E-4</v>
      </c>
    </row>
    <row r="10426" spans="1:6" x14ac:dyDescent="0.25">
      <c r="A10426" s="1" t="str">
        <f t="shared" si="371"/>
        <v>20180</v>
      </c>
      <c r="B10426" s="1" t="str">
        <f>"16861"</f>
        <v>16861</v>
      </c>
      <c r="C10426" s="2">
        <v>4.0622683469236399E-3</v>
      </c>
      <c r="D10426" s="2">
        <v>1.3382402141184301E-3</v>
      </c>
      <c r="E10426" s="2">
        <v>0</v>
      </c>
      <c r="F10426" s="2">
        <v>3.6964215493511601E-3</v>
      </c>
    </row>
    <row r="10427" spans="1:6" x14ac:dyDescent="0.25">
      <c r="A10427" s="1" t="str">
        <f t="shared" si="371"/>
        <v>20180</v>
      </c>
      <c r="B10427" s="1" t="str">
        <f>"16866"</f>
        <v>16866</v>
      </c>
      <c r="C10427" s="2">
        <v>3.8309859154929501E-2</v>
      </c>
      <c r="D10427" s="2">
        <v>5.3529608564737298E-2</v>
      </c>
      <c r="E10427" s="2">
        <v>3.8434661076170502E-2</v>
      </c>
      <c r="F10427" s="2">
        <v>3.9507143793419797E-2</v>
      </c>
    </row>
    <row r="10428" spans="1:6" x14ac:dyDescent="0.25">
      <c r="A10428" s="1" t="str">
        <f t="shared" si="371"/>
        <v>20180</v>
      </c>
      <c r="B10428" s="1" t="str">
        <f>"15849"</f>
        <v>15849</v>
      </c>
      <c r="C10428" s="2">
        <v>1.8621200889547801E-2</v>
      </c>
      <c r="D10428" s="2">
        <v>1.2378721980595499E-2</v>
      </c>
      <c r="E10428" s="2">
        <v>1.39762403913347E-3</v>
      </c>
      <c r="F10428" s="2">
        <v>1.7485909031327799E-2</v>
      </c>
    </row>
    <row r="10429" spans="1:6" x14ac:dyDescent="0.25">
      <c r="A10429" s="1" t="str">
        <f t="shared" si="371"/>
        <v>20180</v>
      </c>
      <c r="B10429" s="1" t="str">
        <f>"15840"</f>
        <v>15840</v>
      </c>
      <c r="C10429" s="2">
        <v>4.4477390659747898E-4</v>
      </c>
      <c r="D10429" s="2">
        <v>1.6728002676480399E-3</v>
      </c>
      <c r="E10429" s="2">
        <v>2.0964360587002002E-3</v>
      </c>
      <c r="F10429" s="2">
        <v>6.0296238039061405E-4</v>
      </c>
    </row>
    <row r="10430" spans="1:6" x14ac:dyDescent="0.25">
      <c r="A10430" s="1" t="str">
        <f t="shared" si="371"/>
        <v>20180</v>
      </c>
      <c r="B10430" s="1" t="str">
        <f>"16616"</f>
        <v>16616</v>
      </c>
      <c r="C10430" s="2">
        <v>1.92735359525574E-3</v>
      </c>
      <c r="D10430" s="2">
        <v>6.69120107059217E-4</v>
      </c>
      <c r="E10430" s="2">
        <v>0</v>
      </c>
      <c r="F10430" s="2">
        <v>1.7564556298335201E-3</v>
      </c>
    </row>
    <row r="10431" spans="1:6" x14ac:dyDescent="0.25">
      <c r="A10431" s="1" t="str">
        <f t="shared" si="371"/>
        <v>20180</v>
      </c>
      <c r="B10431" s="1" t="str">
        <f>"16825"</f>
        <v>16825</v>
      </c>
      <c r="C10431" s="2">
        <v>0</v>
      </c>
      <c r="D10431" s="2">
        <v>3.3456005352960801E-4</v>
      </c>
      <c r="E10431" s="2">
        <v>2.0964360587002002E-3</v>
      </c>
      <c r="F10431" s="2">
        <v>1.0486302267662801E-4</v>
      </c>
    </row>
    <row r="10432" spans="1:6" x14ac:dyDescent="0.25">
      <c r="A10432" s="1" t="str">
        <f t="shared" si="371"/>
        <v>20180</v>
      </c>
      <c r="B10432" s="1" t="str">
        <f>"16830"</f>
        <v>16830</v>
      </c>
      <c r="C10432" s="2">
        <v>0.20136397331356501</v>
      </c>
      <c r="D10432" s="2">
        <v>0.27768484442957497</v>
      </c>
      <c r="E10432" s="2">
        <v>0.24388539482879101</v>
      </c>
      <c r="F10432" s="2">
        <v>0.208939572683182</v>
      </c>
    </row>
    <row r="10433" spans="1:6" x14ac:dyDescent="0.25">
      <c r="A10433" s="1" t="str">
        <f t="shared" si="371"/>
        <v>20180</v>
      </c>
      <c r="B10433" s="1" t="str">
        <f>"15866"</f>
        <v>15866</v>
      </c>
      <c r="C10433" s="2">
        <v>2.8169014084507E-3</v>
      </c>
      <c r="D10433" s="2">
        <v>1.3382402141184301E-3</v>
      </c>
      <c r="E10433" s="2">
        <v>6.9881201956673597E-4</v>
      </c>
      <c r="F10433" s="2">
        <v>2.6215755669157098E-3</v>
      </c>
    </row>
    <row r="10434" spans="1:6" x14ac:dyDescent="0.25">
      <c r="A10434" s="1" t="str">
        <f t="shared" si="371"/>
        <v>20180</v>
      </c>
      <c r="B10434" s="1" t="str">
        <f>"16879"</f>
        <v>16879</v>
      </c>
      <c r="C10434" s="2">
        <v>1.4529280948851E-3</v>
      </c>
      <c r="D10434" s="2">
        <v>1.0036801605888201E-3</v>
      </c>
      <c r="E10434" s="2">
        <v>0</v>
      </c>
      <c r="F10434" s="2">
        <v>1.36321929479617E-3</v>
      </c>
    </row>
    <row r="10435" spans="1:6" x14ac:dyDescent="0.25">
      <c r="A10435" s="1" t="str">
        <f t="shared" si="371"/>
        <v>20180</v>
      </c>
      <c r="B10435" s="1" t="str">
        <f>"16836"</f>
        <v>16836</v>
      </c>
      <c r="C10435" s="2">
        <v>1.5982209043736099E-2</v>
      </c>
      <c r="D10435" s="2">
        <v>1.0705921712947399E-2</v>
      </c>
      <c r="E10435" s="2">
        <v>0</v>
      </c>
      <c r="F10435" s="2">
        <v>1.49691964870887E-2</v>
      </c>
    </row>
    <row r="10436" spans="1:6" x14ac:dyDescent="0.25">
      <c r="A10436" s="1" t="str">
        <f t="shared" si="371"/>
        <v>20180</v>
      </c>
      <c r="B10436" s="1" t="str">
        <f>"15721"</f>
        <v>15721</v>
      </c>
      <c r="C10436" s="2">
        <v>0</v>
      </c>
      <c r="D10436" s="2">
        <v>0</v>
      </c>
      <c r="E10436" s="2">
        <v>6.9881201956673597E-4</v>
      </c>
      <c r="F10436" s="2">
        <v>2.62157556691571E-5</v>
      </c>
    </row>
    <row r="10437" spans="1:6" x14ac:dyDescent="0.25">
      <c r="A10437" s="1" t="str">
        <f t="shared" ref="A10437:A10463" si="372">"20180"</f>
        <v>20180</v>
      </c>
      <c r="B10437" s="1" t="str">
        <f>"15757"</f>
        <v>15757</v>
      </c>
      <c r="C10437" s="2">
        <v>2.4136397331356502E-2</v>
      </c>
      <c r="D10437" s="2">
        <v>1.63934426229508E-2</v>
      </c>
      <c r="E10437" s="2">
        <v>0</v>
      </c>
      <c r="F10437" s="2">
        <v>2.2624197142482601E-2</v>
      </c>
    </row>
    <row r="10438" spans="1:6" x14ac:dyDescent="0.25">
      <c r="A10438" s="1" t="str">
        <f t="shared" si="372"/>
        <v>20180</v>
      </c>
      <c r="B10438" s="1" t="str">
        <f>"16656"</f>
        <v>16656</v>
      </c>
      <c r="C10438" s="2">
        <v>1.1949592290585599E-2</v>
      </c>
      <c r="D10438" s="2">
        <v>7.3603211776513801E-3</v>
      </c>
      <c r="E10438" s="2">
        <v>0.10971348707197701</v>
      </c>
      <c r="F10438" s="2">
        <v>1.5257569799449399E-2</v>
      </c>
    </row>
    <row r="10439" spans="1:6" x14ac:dyDescent="0.25">
      <c r="A10439" s="1" t="str">
        <f t="shared" si="372"/>
        <v>20180</v>
      </c>
      <c r="B10439" s="1" t="str">
        <f>"16833"</f>
        <v>16833</v>
      </c>
      <c r="C10439" s="2">
        <v>7.3535952557449893E-2</v>
      </c>
      <c r="D10439" s="2">
        <v>6.2228169956507103E-2</v>
      </c>
      <c r="E10439" s="2">
        <v>5.1013277428371702E-2</v>
      </c>
      <c r="F10439" s="2">
        <v>7.1804954777821395E-2</v>
      </c>
    </row>
    <row r="10440" spans="1:6" x14ac:dyDescent="0.25">
      <c r="A10440" s="1" t="str">
        <f t="shared" si="372"/>
        <v>20180</v>
      </c>
      <c r="B10440" s="1" t="str">
        <f>"16640"</f>
        <v>16640</v>
      </c>
      <c r="C10440" s="2">
        <v>2.9651593773165301E-5</v>
      </c>
      <c r="D10440" s="2">
        <v>0</v>
      </c>
      <c r="E10440" s="2">
        <v>0</v>
      </c>
      <c r="F10440" s="2">
        <v>2.62157556691571E-5</v>
      </c>
    </row>
    <row r="10441" spans="1:6" x14ac:dyDescent="0.25">
      <c r="A10441" s="1" t="str">
        <f t="shared" si="372"/>
        <v>20180</v>
      </c>
      <c r="B10441" s="1" t="str">
        <f>"16834"</f>
        <v>16834</v>
      </c>
      <c r="C10441" s="2">
        <v>0</v>
      </c>
      <c r="D10441" s="2">
        <v>3.3456005352960801E-4</v>
      </c>
      <c r="E10441" s="2">
        <v>0</v>
      </c>
      <c r="F10441" s="2">
        <v>2.62157556691571E-5</v>
      </c>
    </row>
    <row r="10442" spans="1:6" x14ac:dyDescent="0.25">
      <c r="A10442" s="1" t="str">
        <f t="shared" si="372"/>
        <v>20180</v>
      </c>
      <c r="B10442" s="1" t="str">
        <f>"16850"</f>
        <v>16850</v>
      </c>
      <c r="C10442" s="2">
        <v>1.0674573758339501E-3</v>
      </c>
      <c r="D10442" s="2">
        <v>2.6764804282368602E-3</v>
      </c>
      <c r="E10442" s="2">
        <v>0</v>
      </c>
      <c r="F10442" s="2">
        <v>1.1534932494429099E-3</v>
      </c>
    </row>
    <row r="10443" spans="1:6" x14ac:dyDescent="0.25">
      <c r="A10443" s="1" t="str">
        <f t="shared" si="372"/>
        <v>20180</v>
      </c>
      <c r="B10443" s="1" t="str">
        <f>"15865"</f>
        <v>15865</v>
      </c>
      <c r="C10443" s="2">
        <v>1.18606375092661E-4</v>
      </c>
      <c r="D10443" s="2">
        <v>0</v>
      </c>
      <c r="E10443" s="2">
        <v>0</v>
      </c>
      <c r="F10443" s="2">
        <v>1.0486302267662801E-4</v>
      </c>
    </row>
    <row r="10444" spans="1:6" x14ac:dyDescent="0.25">
      <c r="A10444" s="1" t="str">
        <f t="shared" si="372"/>
        <v>20180</v>
      </c>
      <c r="B10444" s="1" t="str">
        <f>"16639"</f>
        <v>16639</v>
      </c>
      <c r="C10444" s="2">
        <v>2.1052631578947299E-3</v>
      </c>
      <c r="D10444" s="2">
        <v>1.0036801605888201E-3</v>
      </c>
      <c r="E10444" s="2">
        <v>0</v>
      </c>
      <c r="F10444" s="2">
        <v>1.9399659195176301E-3</v>
      </c>
    </row>
    <row r="10445" spans="1:6" x14ac:dyDescent="0.25">
      <c r="A10445" s="1" t="str">
        <f t="shared" si="372"/>
        <v>20180</v>
      </c>
      <c r="B10445" s="1" t="str">
        <f>"15848"</f>
        <v>15848</v>
      </c>
      <c r="C10445" s="2">
        <v>1.14455151964418E-2</v>
      </c>
      <c r="D10445" s="2">
        <v>4.3492806958849101E-3</v>
      </c>
      <c r="E10445" s="2">
        <v>0</v>
      </c>
      <c r="F10445" s="2">
        <v>1.04600865119937E-2</v>
      </c>
    </row>
    <row r="10446" spans="1:6" x14ac:dyDescent="0.25">
      <c r="A10446" s="1" t="str">
        <f t="shared" si="372"/>
        <v>20180</v>
      </c>
      <c r="B10446" s="1" t="str">
        <f>"16627"</f>
        <v>16627</v>
      </c>
      <c r="C10446" s="2">
        <v>2.0845070422535202E-2</v>
      </c>
      <c r="D10446" s="2">
        <v>2.6764804282368602E-3</v>
      </c>
      <c r="E10446" s="2">
        <v>2.79524807826694E-3</v>
      </c>
      <c r="F10446" s="2">
        <v>1.8744265303447302E-2</v>
      </c>
    </row>
    <row r="10447" spans="1:6" x14ac:dyDescent="0.25">
      <c r="A10447" s="1" t="str">
        <f t="shared" si="372"/>
        <v>20180</v>
      </c>
      <c r="B10447" s="1" t="str">
        <f>"16838"</f>
        <v>16838</v>
      </c>
      <c r="C10447" s="2">
        <v>2.1082283172720501E-2</v>
      </c>
      <c r="D10447" s="2">
        <v>1.00368016058882E-2</v>
      </c>
      <c r="E10447" s="2">
        <v>2.79524807826694E-3</v>
      </c>
      <c r="F10447" s="2">
        <v>1.9530737973521999E-2</v>
      </c>
    </row>
    <row r="10448" spans="1:6" x14ac:dyDescent="0.25">
      <c r="A10448" s="1" t="str">
        <f t="shared" si="372"/>
        <v>20180</v>
      </c>
      <c r="B10448" s="1" t="str">
        <f>"16671"</f>
        <v>16671</v>
      </c>
      <c r="C10448" s="2">
        <v>5.9303187546330602E-5</v>
      </c>
      <c r="D10448" s="2">
        <v>3.3456005352960801E-4</v>
      </c>
      <c r="E10448" s="2">
        <v>0</v>
      </c>
      <c r="F10448" s="2">
        <v>7.8647267007471398E-5</v>
      </c>
    </row>
    <row r="10449" spans="1:6" x14ac:dyDescent="0.25">
      <c r="A10449" s="1" t="str">
        <f t="shared" si="372"/>
        <v>20180</v>
      </c>
      <c r="B10449" s="1" t="str">
        <f>"16847"</f>
        <v>16847</v>
      </c>
      <c r="C10449" s="2">
        <v>0</v>
      </c>
      <c r="D10449" s="2">
        <v>3.3456005352960801E-4</v>
      </c>
      <c r="E10449" s="2">
        <v>0</v>
      </c>
      <c r="F10449" s="2">
        <v>2.62157556691571E-5</v>
      </c>
    </row>
    <row r="10450" spans="1:6" x14ac:dyDescent="0.25">
      <c r="A10450" s="1" t="str">
        <f t="shared" si="372"/>
        <v>20180</v>
      </c>
      <c r="B10450" s="1" t="str">
        <f>"16849"</f>
        <v>16849</v>
      </c>
      <c r="C10450" s="2">
        <v>0</v>
      </c>
      <c r="D10450" s="2">
        <v>3.3456005352960801E-4</v>
      </c>
      <c r="E10450" s="2">
        <v>0</v>
      </c>
      <c r="F10450" s="2">
        <v>2.62157556691571E-5</v>
      </c>
    </row>
    <row r="10451" spans="1:6" x14ac:dyDescent="0.25">
      <c r="A10451" s="1" t="str">
        <f t="shared" si="372"/>
        <v>20180</v>
      </c>
      <c r="B10451" s="1" t="str">
        <f>"16663"</f>
        <v>16663</v>
      </c>
      <c r="C10451" s="2">
        <v>0</v>
      </c>
      <c r="D10451" s="2">
        <v>3.3456005352960801E-4</v>
      </c>
      <c r="E10451" s="2">
        <v>0</v>
      </c>
      <c r="F10451" s="2">
        <v>2.62157556691571E-5</v>
      </c>
    </row>
    <row r="10452" spans="1:6" x14ac:dyDescent="0.25">
      <c r="A10452" s="1" t="str">
        <f t="shared" si="372"/>
        <v>20180</v>
      </c>
      <c r="B10452" s="1" t="str">
        <f>"16843"</f>
        <v>16843</v>
      </c>
      <c r="C10452" s="2">
        <v>0</v>
      </c>
      <c r="D10452" s="2">
        <v>3.3456005352960801E-4</v>
      </c>
      <c r="E10452" s="2">
        <v>1.9566736547868599E-2</v>
      </c>
      <c r="F10452" s="2">
        <v>7.6025691440555698E-4</v>
      </c>
    </row>
    <row r="10453" spans="1:6" x14ac:dyDescent="0.25">
      <c r="A10453" s="1" t="str">
        <f t="shared" si="372"/>
        <v>20180</v>
      </c>
      <c r="B10453" s="1" t="str">
        <f>"16881"</f>
        <v>16881</v>
      </c>
      <c r="C10453" s="2">
        <v>2.73684210526315E-2</v>
      </c>
      <c r="D10453" s="2">
        <v>1.8066242890598799E-2</v>
      </c>
      <c r="E10453" s="2">
        <v>1.39762403913347E-3</v>
      </c>
      <c r="F10453" s="2">
        <v>2.5665224800104799E-2</v>
      </c>
    </row>
    <row r="10454" spans="1:6" x14ac:dyDescent="0.25">
      <c r="A10454" s="1" t="str">
        <f t="shared" si="372"/>
        <v>20180</v>
      </c>
      <c r="B10454" s="1" t="str">
        <f>"15856"</f>
        <v>15856</v>
      </c>
      <c r="C10454" s="2">
        <v>1.20385470719051E-2</v>
      </c>
      <c r="D10454" s="2">
        <v>3.01104048176647E-3</v>
      </c>
      <c r="E10454" s="2">
        <v>1.39762403913347E-3</v>
      </c>
      <c r="F10454" s="2">
        <v>1.09319701140385E-2</v>
      </c>
    </row>
    <row r="10455" spans="1:6" x14ac:dyDescent="0.25">
      <c r="A10455" s="1" t="str">
        <f t="shared" si="372"/>
        <v>20180</v>
      </c>
      <c r="B10455" s="1" t="str">
        <f>"16620"</f>
        <v>16620</v>
      </c>
      <c r="C10455" s="2">
        <v>0</v>
      </c>
      <c r="D10455" s="2">
        <v>3.3456005352960801E-4</v>
      </c>
      <c r="E10455" s="2">
        <v>0</v>
      </c>
      <c r="F10455" s="2">
        <v>2.62157556691571E-5</v>
      </c>
    </row>
    <row r="10456" spans="1:6" x14ac:dyDescent="0.25">
      <c r="A10456" s="1" t="str">
        <f t="shared" si="372"/>
        <v>20180</v>
      </c>
      <c r="B10456" s="1" t="str">
        <f>"16860"</f>
        <v>16860</v>
      </c>
      <c r="C10456" s="2">
        <v>3.76575240919199E-3</v>
      </c>
      <c r="D10456" s="2">
        <v>1.3382402141184301E-3</v>
      </c>
      <c r="E10456" s="2">
        <v>6.9881201956673597E-4</v>
      </c>
      <c r="F10456" s="2">
        <v>3.4604797483287399E-3</v>
      </c>
    </row>
    <row r="10457" spans="1:6" x14ac:dyDescent="0.25">
      <c r="A10457" s="1" t="str">
        <f t="shared" si="372"/>
        <v>20180</v>
      </c>
      <c r="B10457" s="1" t="str">
        <f>"16646"</f>
        <v>16646</v>
      </c>
      <c r="C10457" s="2">
        <v>3.85470719051148E-4</v>
      </c>
      <c r="D10457" s="2">
        <v>0</v>
      </c>
      <c r="E10457" s="2">
        <v>0</v>
      </c>
      <c r="F10457" s="2">
        <v>3.40804823699043E-4</v>
      </c>
    </row>
    <row r="10458" spans="1:6" x14ac:dyDescent="0.25">
      <c r="A10458" s="1" t="str">
        <f t="shared" si="372"/>
        <v>20180</v>
      </c>
      <c r="B10458" s="1" t="str">
        <f>"16840"</f>
        <v>16840</v>
      </c>
      <c r="C10458" s="2">
        <v>1.7197924388435799E-3</v>
      </c>
      <c r="D10458" s="2">
        <v>1.0036801605888201E-3</v>
      </c>
      <c r="E10458" s="2">
        <v>1.39762403913347E-3</v>
      </c>
      <c r="F10458" s="2">
        <v>1.6515926071569E-3</v>
      </c>
    </row>
    <row r="10459" spans="1:6" x14ac:dyDescent="0.25">
      <c r="A10459" s="1" t="str">
        <f t="shared" si="372"/>
        <v>20180</v>
      </c>
      <c r="B10459" s="1" t="str">
        <f>"15801"</f>
        <v>15801</v>
      </c>
      <c r="C10459" s="2">
        <v>0.28068198665678201</v>
      </c>
      <c r="D10459" s="2">
        <v>0.37905654064904598</v>
      </c>
      <c r="E10459" s="2">
        <v>0.37246680642906999</v>
      </c>
      <c r="F10459" s="2">
        <v>0.29183379210905702</v>
      </c>
    </row>
    <row r="10460" spans="1:6" x14ac:dyDescent="0.25">
      <c r="A10460" s="1" t="str">
        <f t="shared" si="372"/>
        <v>20180</v>
      </c>
      <c r="B10460" s="1" t="str">
        <f>"15724"</f>
        <v>15724</v>
      </c>
      <c r="C10460" s="2">
        <v>5.5151964418087398E-3</v>
      </c>
      <c r="D10460" s="2">
        <v>2.34192037470725E-3</v>
      </c>
      <c r="E10460" s="2">
        <v>1.39762403913347E-3</v>
      </c>
      <c r="F10460" s="2">
        <v>5.1120723554856397E-3</v>
      </c>
    </row>
    <row r="10461" spans="1:6" x14ac:dyDescent="0.25">
      <c r="A10461" s="1" t="str">
        <f t="shared" si="372"/>
        <v>20180</v>
      </c>
      <c r="B10461" s="1" t="str">
        <f>"15742"</f>
        <v>15742</v>
      </c>
      <c r="C10461" s="2">
        <v>9.4885100074128899E-4</v>
      </c>
      <c r="D10461" s="2">
        <v>0</v>
      </c>
      <c r="E10461" s="2">
        <v>0</v>
      </c>
      <c r="F10461" s="2">
        <v>8.3890418141302904E-4</v>
      </c>
    </row>
    <row r="10462" spans="1:6" x14ac:dyDescent="0.25">
      <c r="A10462" s="1" t="str">
        <f t="shared" si="372"/>
        <v>20180</v>
      </c>
      <c r="B10462" s="1" t="str">
        <f>"15824"</f>
        <v>15824</v>
      </c>
      <c r="C10462" s="2">
        <v>1.0971089696071099E-3</v>
      </c>
      <c r="D10462" s="2">
        <v>3.3456005352960801E-4</v>
      </c>
      <c r="E10462" s="2">
        <v>0</v>
      </c>
      <c r="F10462" s="2">
        <v>9.9619871542797208E-4</v>
      </c>
    </row>
    <row r="10463" spans="1:6" x14ac:dyDescent="0.25">
      <c r="A10463" s="1" t="str">
        <f t="shared" si="372"/>
        <v>20180</v>
      </c>
      <c r="B10463" s="1" t="str">
        <f>"16680"</f>
        <v>16680</v>
      </c>
      <c r="C10463" s="2">
        <v>2.07561156412157E-3</v>
      </c>
      <c r="D10463" s="2">
        <v>6.69120107059217E-4</v>
      </c>
      <c r="E10463" s="2">
        <v>1.39762403913347E-3</v>
      </c>
      <c r="F10463" s="2">
        <v>1.9399659195176301E-3</v>
      </c>
    </row>
    <row r="10464" spans="1:6" x14ac:dyDescent="0.25">
      <c r="A10464" s="1" t="str">
        <f t="shared" ref="A10464:A10485" si="373">"20220"</f>
        <v>20220</v>
      </c>
      <c r="B10464" s="1" t="str">
        <f>"52065"</f>
        <v>52065</v>
      </c>
      <c r="C10464" s="2">
        <v>7.5404108528845902E-3</v>
      </c>
      <c r="D10464" s="2">
        <v>2.1531100478468799E-3</v>
      </c>
      <c r="E10464" s="2">
        <v>7.6511094108645697E-4</v>
      </c>
      <c r="F10464" s="2">
        <v>6.7670184747294099E-3</v>
      </c>
    </row>
    <row r="10465" spans="1:6" x14ac:dyDescent="0.25">
      <c r="A10465" s="1" t="str">
        <f t="shared" si="373"/>
        <v>20220</v>
      </c>
      <c r="B10465" s="1" t="str">
        <f>"52078"</f>
        <v>52078</v>
      </c>
      <c r="C10465" s="2">
        <v>5.7713995090993503E-3</v>
      </c>
      <c r="D10465" s="2">
        <v>2.3923444976076502E-3</v>
      </c>
      <c r="E10465" s="2">
        <v>3.82555470543228E-4</v>
      </c>
      <c r="F10465" s="2">
        <v>5.2290597304727304E-3</v>
      </c>
    </row>
    <row r="10466" spans="1:6" x14ac:dyDescent="0.25">
      <c r="A10466" s="1" t="str">
        <f t="shared" si="373"/>
        <v>20220</v>
      </c>
      <c r="B10466" s="1" t="str">
        <f>"52053"</f>
        <v>52053</v>
      </c>
      <c r="C10466" s="2">
        <v>1.04592795701302E-2</v>
      </c>
      <c r="D10466" s="2">
        <v>5.5023923444975998E-3</v>
      </c>
      <c r="E10466" s="2">
        <v>1.91277735271614E-3</v>
      </c>
      <c r="F10466" s="2">
        <v>9.6314666359074898E-3</v>
      </c>
    </row>
    <row r="10467" spans="1:6" x14ac:dyDescent="0.25">
      <c r="A10467" s="1" t="str">
        <f t="shared" si="373"/>
        <v>20220</v>
      </c>
      <c r="B10467" s="1" t="str">
        <f>"52073"</f>
        <v>52073</v>
      </c>
      <c r="C10467" s="2">
        <v>1.42184286756738E-2</v>
      </c>
      <c r="D10467" s="2">
        <v>4.54545454545454E-3</v>
      </c>
      <c r="E10467" s="2">
        <v>1.53022188217291E-3</v>
      </c>
      <c r="F10467" s="2">
        <v>1.2803506545936901E-2</v>
      </c>
    </row>
    <row r="10468" spans="1:6" x14ac:dyDescent="0.25">
      <c r="A10468" s="1" t="str">
        <f t="shared" si="373"/>
        <v>20220</v>
      </c>
      <c r="B10468" s="1" t="str">
        <f>"52040"</f>
        <v>52040</v>
      </c>
      <c r="C10468" s="2">
        <v>4.9023726864648502E-2</v>
      </c>
      <c r="D10468" s="2">
        <v>6.4593301435406605E-2</v>
      </c>
      <c r="E10468" s="2">
        <v>2.8691660290742101E-2</v>
      </c>
      <c r="F10468" s="2">
        <v>4.9253128784820299E-2</v>
      </c>
    </row>
    <row r="10469" spans="1:6" x14ac:dyDescent="0.25">
      <c r="A10469" s="1" t="str">
        <f t="shared" si="373"/>
        <v>20220</v>
      </c>
      <c r="B10469" s="1" t="str">
        <f>"52031"</f>
        <v>52031</v>
      </c>
      <c r="C10469" s="2">
        <v>4.7984432700174601E-3</v>
      </c>
      <c r="D10469" s="2">
        <v>0</v>
      </c>
      <c r="E10469" s="2">
        <v>2.2953328232593702E-3</v>
      </c>
      <c r="F10469" s="2">
        <v>4.2870599996155103E-3</v>
      </c>
    </row>
    <row r="10470" spans="1:6" x14ac:dyDescent="0.25">
      <c r="A10470" s="1" t="str">
        <f t="shared" si="373"/>
        <v>20220</v>
      </c>
      <c r="B10470" s="1" t="str">
        <f>"52079"</f>
        <v>52079</v>
      </c>
      <c r="C10470" s="2">
        <v>3.7149238219489999E-3</v>
      </c>
      <c r="D10470" s="2">
        <v>9.5693779904306201E-4</v>
      </c>
      <c r="E10470" s="2">
        <v>7.6511094108645697E-4</v>
      </c>
      <c r="F10470" s="2">
        <v>3.3450602687582899E-3</v>
      </c>
    </row>
    <row r="10471" spans="1:6" x14ac:dyDescent="0.25">
      <c r="A10471" s="1" t="str">
        <f t="shared" si="373"/>
        <v>20220</v>
      </c>
      <c r="B10471" s="1" t="str">
        <f>"52068"</f>
        <v>52068</v>
      </c>
      <c r="C10471" s="2">
        <v>3.9846980518762502E-2</v>
      </c>
      <c r="D10471" s="2">
        <v>2.9425837320574098E-2</v>
      </c>
      <c r="E10471" s="2">
        <v>1.3389441469013001E-2</v>
      </c>
      <c r="F10471" s="2">
        <v>3.7679989234288697E-2</v>
      </c>
    </row>
    <row r="10472" spans="1:6" x14ac:dyDescent="0.25">
      <c r="A10472" s="1" t="str">
        <f t="shared" si="373"/>
        <v>20220</v>
      </c>
      <c r="B10472" s="1" t="str">
        <f>"52056"</f>
        <v>52056</v>
      </c>
      <c r="C10472" s="2">
        <v>2.2997147469208099E-3</v>
      </c>
      <c r="D10472" s="2">
        <v>0</v>
      </c>
      <c r="E10472" s="2">
        <v>0</v>
      </c>
      <c r="F10472" s="2">
        <v>1.99934636753369E-3</v>
      </c>
    </row>
    <row r="10473" spans="1:6" x14ac:dyDescent="0.25">
      <c r="A10473" s="1" t="str">
        <f t="shared" si="373"/>
        <v>20220</v>
      </c>
      <c r="B10473" s="1" t="str">
        <f>"52237"</f>
        <v>52237</v>
      </c>
      <c r="C10473" s="2">
        <v>8.8450567189262105E-5</v>
      </c>
      <c r="D10473" s="2">
        <v>0</v>
      </c>
      <c r="E10473" s="2">
        <v>0</v>
      </c>
      <c r="F10473" s="2">
        <v>7.6897937212834201E-5</v>
      </c>
    </row>
    <row r="10474" spans="1:6" x14ac:dyDescent="0.25">
      <c r="A10474" s="1" t="str">
        <f t="shared" si="373"/>
        <v>20220</v>
      </c>
      <c r="B10474" s="1" t="str">
        <f>"52099"</f>
        <v>52099</v>
      </c>
      <c r="C10474" s="2">
        <v>0</v>
      </c>
      <c r="D10474" s="2">
        <v>0</v>
      </c>
      <c r="E10474" s="2">
        <v>3.82555470543228E-4</v>
      </c>
      <c r="F10474" s="2">
        <v>1.92244843032085E-5</v>
      </c>
    </row>
    <row r="10475" spans="1:6" x14ac:dyDescent="0.25">
      <c r="A10475" s="1" t="str">
        <f t="shared" si="373"/>
        <v>20220</v>
      </c>
      <c r="B10475" s="1" t="str">
        <f>"52054"</f>
        <v>52054</v>
      </c>
      <c r="C10475" s="2">
        <v>1.01718152267651E-3</v>
      </c>
      <c r="D10475" s="2">
        <v>0</v>
      </c>
      <c r="E10475" s="2">
        <v>0</v>
      </c>
      <c r="F10475" s="2">
        <v>8.8432627794759403E-4</v>
      </c>
    </row>
    <row r="10476" spans="1:6" x14ac:dyDescent="0.25">
      <c r="A10476" s="1" t="str">
        <f t="shared" si="373"/>
        <v>20220</v>
      </c>
      <c r="B10476" s="1" t="str">
        <f>"52052"</f>
        <v>52052</v>
      </c>
      <c r="C10476" s="2">
        <v>8.4028038829798903E-4</v>
      </c>
      <c r="D10476" s="2">
        <v>0</v>
      </c>
      <c r="E10476" s="2">
        <v>0</v>
      </c>
      <c r="F10476" s="2">
        <v>7.3053040352192504E-4</v>
      </c>
    </row>
    <row r="10477" spans="1:6" x14ac:dyDescent="0.25">
      <c r="A10477" s="1" t="str">
        <f t="shared" si="373"/>
        <v>20220</v>
      </c>
      <c r="B10477" s="1" t="str">
        <f>"52032"</f>
        <v>52032</v>
      </c>
      <c r="C10477" s="2">
        <v>7.0760453751409604E-3</v>
      </c>
      <c r="D10477" s="2">
        <v>1.67464114832535E-3</v>
      </c>
      <c r="E10477" s="2">
        <v>1.1476664116296801E-3</v>
      </c>
      <c r="F10477" s="2">
        <v>6.3440798200588202E-3</v>
      </c>
    </row>
    <row r="10478" spans="1:6" x14ac:dyDescent="0.25">
      <c r="A10478" s="1" t="str">
        <f t="shared" si="373"/>
        <v>20220</v>
      </c>
      <c r="B10478" s="1" t="str">
        <f>"52004"</f>
        <v>52004</v>
      </c>
      <c r="C10478" s="2">
        <v>2.0763770647679199E-2</v>
      </c>
      <c r="D10478" s="2">
        <v>0.11363636363636299</v>
      </c>
      <c r="E10478" s="2">
        <v>7.6511094108645697E-4</v>
      </c>
      <c r="F10478" s="2">
        <v>2.7221869773343298E-2</v>
      </c>
    </row>
    <row r="10479" spans="1:6" x14ac:dyDescent="0.25">
      <c r="A10479" s="1" t="str">
        <f t="shared" si="373"/>
        <v>20220</v>
      </c>
      <c r="B10479" s="1" t="str">
        <f>"52046"</f>
        <v>52046</v>
      </c>
      <c r="C10479" s="2">
        <v>2.2886584260221499E-2</v>
      </c>
      <c r="D10479" s="2">
        <v>1.55502392344497E-2</v>
      </c>
      <c r="E10479" s="2">
        <v>1.07115531752104E-2</v>
      </c>
      <c r="F10479" s="2">
        <v>2.1685218294019201E-2</v>
      </c>
    </row>
    <row r="10480" spans="1:6" x14ac:dyDescent="0.25">
      <c r="A10480" s="1" t="str">
        <f t="shared" si="373"/>
        <v>20220</v>
      </c>
      <c r="B10480" s="1" t="str">
        <f>"52033"</f>
        <v>52033</v>
      </c>
      <c r="C10480" s="2">
        <v>2.7065873559914199E-2</v>
      </c>
      <c r="D10480" s="2">
        <v>1.1483253588516699E-2</v>
      </c>
      <c r="E10480" s="2">
        <v>1.8362662586074899E-2</v>
      </c>
      <c r="F10480" s="2">
        <v>2.5376319280235302E-2</v>
      </c>
    </row>
    <row r="10481" spans="1:6" x14ac:dyDescent="0.25">
      <c r="A10481" s="1" t="str">
        <f t="shared" si="373"/>
        <v>20220</v>
      </c>
      <c r="B10481" s="1" t="str">
        <f>"52003"</f>
        <v>52003</v>
      </c>
      <c r="C10481" s="2">
        <v>0.13939809389027699</v>
      </c>
      <c r="D10481" s="2">
        <v>0.16148325358851601</v>
      </c>
      <c r="E10481" s="2">
        <v>0.17941851568477399</v>
      </c>
      <c r="F10481" s="2">
        <v>0.14318395909029699</v>
      </c>
    </row>
    <row r="10482" spans="1:6" x14ac:dyDescent="0.25">
      <c r="A10482" s="1" t="str">
        <f t="shared" si="373"/>
        <v>20220</v>
      </c>
      <c r="B10482" s="1" t="str">
        <f>"52045"</f>
        <v>52045</v>
      </c>
      <c r="C10482" s="2">
        <v>2.3373062379762499E-2</v>
      </c>
      <c r="D10482" s="2">
        <v>8.6124401913875506E-3</v>
      </c>
      <c r="E10482" s="2">
        <v>1.41545524100994E-2</v>
      </c>
      <c r="F10482" s="2">
        <v>2.17236672626256E-2</v>
      </c>
    </row>
    <row r="10483" spans="1:6" x14ac:dyDescent="0.25">
      <c r="A10483" s="1" t="str">
        <f t="shared" si="373"/>
        <v>20220</v>
      </c>
      <c r="B10483" s="1" t="str">
        <f>"52039"</f>
        <v>52039</v>
      </c>
      <c r="C10483" s="2">
        <v>1.13437852420228E-2</v>
      </c>
      <c r="D10483" s="2">
        <v>2.8708133971291801E-3</v>
      </c>
      <c r="E10483" s="2">
        <v>3.82555470543228E-4</v>
      </c>
      <c r="F10483" s="2">
        <v>1.01120787434877E-2</v>
      </c>
    </row>
    <row r="10484" spans="1:6" x14ac:dyDescent="0.25">
      <c r="A10484" s="1" t="str">
        <f t="shared" si="373"/>
        <v>20220</v>
      </c>
      <c r="B10484" s="1" t="str">
        <f>"52001"</f>
        <v>52001</v>
      </c>
      <c r="C10484" s="2">
        <v>0.43966565685602399</v>
      </c>
      <c r="D10484" s="2">
        <v>0.38157894736842102</v>
      </c>
      <c r="E10484" s="2">
        <v>0.53366488140780399</v>
      </c>
      <c r="F10484" s="2">
        <v>0.43972162946728899</v>
      </c>
    </row>
    <row r="10485" spans="1:6" x14ac:dyDescent="0.25">
      <c r="A10485" s="1" t="str">
        <f t="shared" si="373"/>
        <v>20220</v>
      </c>
      <c r="B10485" s="1" t="str">
        <f>"52002"</f>
        <v>52002</v>
      </c>
      <c r="C10485" s="2">
        <v>0.16880790748070601</v>
      </c>
      <c r="D10485" s="2">
        <v>0.19354066985645901</v>
      </c>
      <c r="E10485" s="2">
        <v>0.19127773527161401</v>
      </c>
      <c r="F10485" s="2">
        <v>0.171924563123594</v>
      </c>
    </row>
    <row r="10486" spans="1:6" x14ac:dyDescent="0.25">
      <c r="A10486" s="1" t="str">
        <f t="shared" ref="A10486:A10517" si="374">"20260"</f>
        <v>20260</v>
      </c>
      <c r="B10486" s="1" t="str">
        <f>"55782"</f>
        <v>55782</v>
      </c>
      <c r="C10486" s="2">
        <v>2.1184546286170201E-3</v>
      </c>
      <c r="D10486" s="2">
        <v>1.3812154696132501E-3</v>
      </c>
      <c r="E10486" s="2">
        <v>4.6699875466998697E-4</v>
      </c>
      <c r="F10486" s="2">
        <v>2.0012607330611898E-3</v>
      </c>
    </row>
    <row r="10487" spans="1:6" x14ac:dyDescent="0.25">
      <c r="A10487" s="1" t="str">
        <f t="shared" si="374"/>
        <v>20260</v>
      </c>
      <c r="B10487" s="1" t="str">
        <f>"55757"</f>
        <v>55757</v>
      </c>
      <c r="C10487" s="2">
        <v>2.99197325794936E-3</v>
      </c>
      <c r="D10487" s="2">
        <v>2.5897790055248601E-4</v>
      </c>
      <c r="E10487" s="2">
        <v>4.6699875466998697E-4</v>
      </c>
      <c r="F10487" s="2">
        <v>2.69894796110087E-3</v>
      </c>
    </row>
    <row r="10488" spans="1:6" x14ac:dyDescent="0.25">
      <c r="A10488" s="1" t="str">
        <f t="shared" si="374"/>
        <v>20260</v>
      </c>
      <c r="B10488" s="1" t="str">
        <f>"55602"</f>
        <v>55602</v>
      </c>
      <c r="C10488" s="2">
        <v>1.56132857368851E-3</v>
      </c>
      <c r="D10488" s="2">
        <v>2.5897790055248601E-4</v>
      </c>
      <c r="E10488" s="2">
        <v>2.0236612702366099E-3</v>
      </c>
      <c r="F10488" s="2">
        <v>1.4871754071372101E-3</v>
      </c>
    </row>
    <row r="10489" spans="1:6" x14ac:dyDescent="0.25">
      <c r="A10489" s="1" t="str">
        <f t="shared" si="374"/>
        <v>20260</v>
      </c>
      <c r="B10489" s="1" t="str">
        <f>"55719"</f>
        <v>55719</v>
      </c>
      <c r="C10489" s="2">
        <v>2.0317905756281399E-2</v>
      </c>
      <c r="D10489" s="2">
        <v>1.6574585635359101E-2</v>
      </c>
      <c r="E10489" s="2">
        <v>1.8835616438356101E-2</v>
      </c>
      <c r="F10489" s="2">
        <v>1.9994247140400299E-2</v>
      </c>
    </row>
    <row r="10490" spans="1:6" x14ac:dyDescent="0.25">
      <c r="A10490" s="1" t="str">
        <f t="shared" si="374"/>
        <v>20260</v>
      </c>
      <c r="B10490" s="1" t="str">
        <f>"55720"</f>
        <v>55720</v>
      </c>
      <c r="C10490" s="2">
        <v>5.4687768675759502E-2</v>
      </c>
      <c r="D10490" s="2">
        <v>5.5075966850828703E-2</v>
      </c>
      <c r="E10490" s="2">
        <v>4.3742216687422099E-2</v>
      </c>
      <c r="F10490" s="2">
        <v>5.4284962392210298E-2</v>
      </c>
    </row>
    <row r="10491" spans="1:6" x14ac:dyDescent="0.25">
      <c r="A10491" s="1" t="str">
        <f t="shared" si="374"/>
        <v>20260</v>
      </c>
      <c r="B10491" s="1" t="str">
        <f>"55708"</f>
        <v>55708</v>
      </c>
      <c r="C10491" s="2">
        <v>4.2850559533389697E-3</v>
      </c>
      <c r="D10491" s="2">
        <v>2.1581491712707101E-3</v>
      </c>
      <c r="E10491" s="2">
        <v>2.1793275217932701E-3</v>
      </c>
      <c r="F10491" s="2">
        <v>4.05148197335324E-3</v>
      </c>
    </row>
    <row r="10492" spans="1:6" x14ac:dyDescent="0.25">
      <c r="A10492" s="1" t="str">
        <f t="shared" si="374"/>
        <v>20260</v>
      </c>
      <c r="B10492" s="1" t="str">
        <f>"55603"</f>
        <v>55603</v>
      </c>
      <c r="C10492" s="2">
        <v>1.4856694798093301E-3</v>
      </c>
      <c r="D10492" s="2">
        <v>6.0428176795580097E-4</v>
      </c>
      <c r="E10492" s="2">
        <v>3.1133250311332497E-4</v>
      </c>
      <c r="F10492" s="2">
        <v>1.37701426586779E-3</v>
      </c>
    </row>
    <row r="10493" spans="1:6" x14ac:dyDescent="0.25">
      <c r="A10493" s="1" t="str">
        <f t="shared" si="374"/>
        <v>20260</v>
      </c>
      <c r="B10493" s="1" t="str">
        <f>"55705"</f>
        <v>55705</v>
      </c>
      <c r="C10493" s="2">
        <v>1.25456533850566E-2</v>
      </c>
      <c r="D10493" s="2">
        <v>1.01864640883977E-2</v>
      </c>
      <c r="E10493" s="2">
        <v>6.38231631382316E-3</v>
      </c>
      <c r="F10493" s="2">
        <v>1.21360857298481E-2</v>
      </c>
    </row>
    <row r="10494" spans="1:6" x14ac:dyDescent="0.25">
      <c r="A10494" s="1" t="str">
        <f t="shared" si="374"/>
        <v>20260</v>
      </c>
      <c r="B10494" s="1" t="str">
        <f>"54836"</f>
        <v>54836</v>
      </c>
      <c r="C10494" s="2">
        <v>3.6316365062005998E-3</v>
      </c>
      <c r="D10494" s="2">
        <v>1.7265193370165699E-4</v>
      </c>
      <c r="E10494" s="2">
        <v>1.55666251556662E-4</v>
      </c>
      <c r="F10494" s="2">
        <v>3.2497536674479899E-3</v>
      </c>
    </row>
    <row r="10495" spans="1:6" x14ac:dyDescent="0.25">
      <c r="A10495" s="1" t="str">
        <f t="shared" si="374"/>
        <v>20260</v>
      </c>
      <c r="B10495" s="1" t="str">
        <f>"54838"</f>
        <v>54838</v>
      </c>
      <c r="C10495" s="2">
        <v>6.9537585374409303E-3</v>
      </c>
      <c r="D10495" s="2">
        <v>1.72651933701657E-3</v>
      </c>
      <c r="E10495" s="2">
        <v>9.3399750933997503E-4</v>
      </c>
      <c r="F10495" s="2">
        <v>6.3465057497995598E-3</v>
      </c>
    </row>
    <row r="10496" spans="1:6" x14ac:dyDescent="0.25">
      <c r="A10496" s="1" t="str">
        <f t="shared" si="374"/>
        <v>20260</v>
      </c>
      <c r="B10496" s="1" t="str">
        <f>"55750"</f>
        <v>55750</v>
      </c>
      <c r="C10496" s="2">
        <v>7.26327301240121E-3</v>
      </c>
      <c r="D10496" s="2">
        <v>4.2299723756906004E-3</v>
      </c>
      <c r="E10496" s="2">
        <v>1.40099626400996E-3</v>
      </c>
      <c r="F10496" s="2">
        <v>6.8177506318965403E-3</v>
      </c>
    </row>
    <row r="10497" spans="1:6" x14ac:dyDescent="0.25">
      <c r="A10497" s="1" t="str">
        <f t="shared" si="374"/>
        <v>20260</v>
      </c>
      <c r="B10497" s="1" t="str">
        <f>"55807"</f>
        <v>55807</v>
      </c>
      <c r="C10497" s="2">
        <v>3.2045065307554202E-2</v>
      </c>
      <c r="D10497" s="2">
        <v>3.4098756906077297E-2</v>
      </c>
      <c r="E10497" s="2">
        <v>4.2963885429638797E-2</v>
      </c>
      <c r="F10497" s="2">
        <v>3.2619937942556999E-2</v>
      </c>
    </row>
    <row r="10498" spans="1:6" x14ac:dyDescent="0.25">
      <c r="A10498" s="1" t="str">
        <f t="shared" si="374"/>
        <v>20260</v>
      </c>
      <c r="B10498" s="1" t="str">
        <f>"55792"</f>
        <v>55792</v>
      </c>
      <c r="C10498" s="2">
        <v>4.1158547070273499E-2</v>
      </c>
      <c r="D10498" s="2">
        <v>7.62258287292817E-2</v>
      </c>
      <c r="E10498" s="2">
        <v>5.24595267745952E-2</v>
      </c>
      <c r="F10498" s="2">
        <v>4.4088936761384798E-2</v>
      </c>
    </row>
    <row r="10499" spans="1:6" x14ac:dyDescent="0.25">
      <c r="A10499" s="1" t="str">
        <f t="shared" si="374"/>
        <v>20260</v>
      </c>
      <c r="B10499" s="1" t="str">
        <f>"55765"</f>
        <v>55765</v>
      </c>
      <c r="C10499" s="2">
        <v>3.1157790479334701E-3</v>
      </c>
      <c r="D10499" s="2">
        <v>1.3812154696132501E-3</v>
      </c>
      <c r="E10499" s="2">
        <v>9.3399750933997503E-4</v>
      </c>
      <c r="F10499" s="2">
        <v>2.9070301168320099E-3</v>
      </c>
    </row>
    <row r="10500" spans="1:6" x14ac:dyDescent="0.25">
      <c r="A10500" s="1" t="str">
        <f t="shared" si="374"/>
        <v>20260</v>
      </c>
      <c r="B10500" s="1" t="str">
        <f>"55808"</f>
        <v>55808</v>
      </c>
      <c r="C10500" s="2">
        <v>1.89147734697948E-2</v>
      </c>
      <c r="D10500" s="2">
        <v>6.6470994475138099E-3</v>
      </c>
      <c r="E10500" s="2">
        <v>1.1207970112079701E-2</v>
      </c>
      <c r="F10500" s="2">
        <v>1.7742063807781001E-2</v>
      </c>
    </row>
    <row r="10501" spans="1:6" x14ac:dyDescent="0.25">
      <c r="A10501" s="1" t="str">
        <f t="shared" si="374"/>
        <v>20260</v>
      </c>
      <c r="B10501" s="1" t="str">
        <f>"55810"</f>
        <v>55810</v>
      </c>
      <c r="C10501" s="2">
        <v>2.6570098150479001E-2</v>
      </c>
      <c r="D10501" s="2">
        <v>1.5279696132596599E-2</v>
      </c>
      <c r="E10501" s="2">
        <v>2.42839352428393E-2</v>
      </c>
      <c r="F10501" s="2">
        <v>2.5679786042583402E-2</v>
      </c>
    </row>
    <row r="10502" spans="1:6" x14ac:dyDescent="0.25">
      <c r="A10502" s="1" t="str">
        <f t="shared" si="374"/>
        <v>20260</v>
      </c>
      <c r="B10502" s="1" t="str">
        <f>"55767"</f>
        <v>55767</v>
      </c>
      <c r="C10502" s="2">
        <v>9.8700727015111102E-3</v>
      </c>
      <c r="D10502" s="2">
        <v>5.6975138121546903E-3</v>
      </c>
      <c r="E10502" s="2">
        <v>8.8729763387297607E-3</v>
      </c>
      <c r="F10502" s="2">
        <v>9.5350587832089898E-3</v>
      </c>
    </row>
    <row r="10503" spans="1:6" x14ac:dyDescent="0.25">
      <c r="A10503" s="1" t="str">
        <f t="shared" si="374"/>
        <v>20260</v>
      </c>
      <c r="B10503" s="1" t="str">
        <f>"55731"</f>
        <v>55731</v>
      </c>
      <c r="C10503" s="2">
        <v>2.67420506365681E-2</v>
      </c>
      <c r="D10503" s="2">
        <v>3.0559392265193299E-2</v>
      </c>
      <c r="E10503" s="2">
        <v>3.78268991282689E-2</v>
      </c>
      <c r="F10503" s="2">
        <v>2.7448484366298001E-2</v>
      </c>
    </row>
    <row r="10504" spans="1:6" x14ac:dyDescent="0.25">
      <c r="A10504" s="1" t="str">
        <f t="shared" si="374"/>
        <v>20260</v>
      </c>
      <c r="B10504" s="1" t="str">
        <f>"55713"</f>
        <v>55713</v>
      </c>
      <c r="C10504" s="2">
        <v>0</v>
      </c>
      <c r="D10504" s="2">
        <v>0</v>
      </c>
      <c r="E10504" s="2">
        <v>1.55666251556662E-4</v>
      </c>
      <c r="F10504" s="2">
        <v>6.1200634038568598E-6</v>
      </c>
    </row>
    <row r="10505" spans="1:6" x14ac:dyDescent="0.25">
      <c r="A10505" s="1" t="str">
        <f t="shared" si="374"/>
        <v>20260</v>
      </c>
      <c r="B10505" s="1" t="str">
        <f>"55763"</f>
        <v>55763</v>
      </c>
      <c r="C10505" s="2">
        <v>2.7787521751989402E-3</v>
      </c>
      <c r="D10505" s="2">
        <v>6.9060773480662905E-4</v>
      </c>
      <c r="E10505" s="2">
        <v>1.55666251556662E-4</v>
      </c>
      <c r="F10505" s="2">
        <v>2.5275861857928798E-3</v>
      </c>
    </row>
    <row r="10506" spans="1:6" x14ac:dyDescent="0.25">
      <c r="A10506" s="1" t="str">
        <f t="shared" si="374"/>
        <v>20260</v>
      </c>
      <c r="B10506" s="1" t="str">
        <f>"55723"</f>
        <v>55723</v>
      </c>
      <c r="C10506" s="2">
        <v>9.6224611215428892E-3</v>
      </c>
      <c r="D10506" s="2">
        <v>6.4744475138121503E-3</v>
      </c>
      <c r="E10506" s="2">
        <v>2.6463262764632599E-3</v>
      </c>
      <c r="F10506" s="2">
        <v>9.1250145351505808E-3</v>
      </c>
    </row>
    <row r="10507" spans="1:6" x14ac:dyDescent="0.25">
      <c r="A10507" s="1" t="str">
        <f t="shared" si="374"/>
        <v>20260</v>
      </c>
      <c r="B10507" s="1" t="str">
        <f>"55703"</f>
        <v>55703</v>
      </c>
      <c r="C10507" s="2">
        <v>2.8750455674088102E-3</v>
      </c>
      <c r="D10507" s="2">
        <v>7.7693370165745799E-4</v>
      </c>
      <c r="E10507" s="2">
        <v>4.6699875466998697E-4</v>
      </c>
      <c r="F10507" s="2">
        <v>2.6316272636584502E-3</v>
      </c>
    </row>
    <row r="10508" spans="1:6" x14ac:dyDescent="0.25">
      <c r="A10508" s="1" t="str">
        <f t="shared" si="374"/>
        <v>20260</v>
      </c>
      <c r="B10508" s="1" t="str">
        <f>"55738"</f>
        <v>55738</v>
      </c>
      <c r="C10508" s="2">
        <v>2.1115765291734498E-3</v>
      </c>
      <c r="D10508" s="2">
        <v>6.0428176795580097E-4</v>
      </c>
      <c r="E10508" s="2">
        <v>4.6699875466998697E-4</v>
      </c>
      <c r="F10508" s="2">
        <v>1.9400600990226199E-3</v>
      </c>
    </row>
    <row r="10509" spans="1:6" x14ac:dyDescent="0.25">
      <c r="A10509" s="1" t="str">
        <f t="shared" si="374"/>
        <v>20260</v>
      </c>
      <c r="B10509" s="1" t="str">
        <f>"55601"</f>
        <v>55601</v>
      </c>
      <c r="C10509" s="2">
        <v>0</v>
      </c>
      <c r="D10509" s="2">
        <v>0</v>
      </c>
      <c r="E10509" s="2">
        <v>1.55666251556662E-4</v>
      </c>
      <c r="F10509" s="2">
        <v>6.1200634038568598E-6</v>
      </c>
    </row>
    <row r="10510" spans="1:6" x14ac:dyDescent="0.25">
      <c r="A10510" s="1" t="str">
        <f t="shared" si="374"/>
        <v>20260</v>
      </c>
      <c r="B10510" s="1" t="str">
        <f>"55758"</f>
        <v>55758</v>
      </c>
      <c r="C10510" s="2">
        <v>5.2961365715425502E-4</v>
      </c>
      <c r="D10510" s="2">
        <v>4.3162983425414298E-4</v>
      </c>
      <c r="E10510" s="2">
        <v>1.55666251556662E-4</v>
      </c>
      <c r="F10510" s="2">
        <v>5.0796526252011901E-4</v>
      </c>
    </row>
    <row r="10511" spans="1:6" x14ac:dyDescent="0.25">
      <c r="A10511" s="1" t="str">
        <f t="shared" si="374"/>
        <v>20260</v>
      </c>
      <c r="B10511" s="1" t="str">
        <f>"54830"</f>
        <v>54830</v>
      </c>
      <c r="C10511" s="2">
        <v>1.0179587176471301E-3</v>
      </c>
      <c r="D10511" s="2">
        <v>3.4530386740331398E-4</v>
      </c>
      <c r="E10511" s="2">
        <v>0</v>
      </c>
      <c r="F10511" s="2">
        <v>9.3024963738624303E-4</v>
      </c>
    </row>
    <row r="10512" spans="1:6" x14ac:dyDescent="0.25">
      <c r="A10512" s="1" t="str">
        <f t="shared" si="374"/>
        <v>20260</v>
      </c>
      <c r="B10512" s="1" t="str">
        <f>"55783"</f>
        <v>55783</v>
      </c>
      <c r="C10512" s="2">
        <v>2.5448967941178399E-4</v>
      </c>
      <c r="D10512" s="2">
        <v>0</v>
      </c>
      <c r="E10512" s="2">
        <v>0</v>
      </c>
      <c r="F10512" s="2">
        <v>2.2644234594270299E-4</v>
      </c>
    </row>
    <row r="10513" spans="1:6" x14ac:dyDescent="0.25">
      <c r="A10513" s="1" t="str">
        <f t="shared" si="374"/>
        <v>20260</v>
      </c>
      <c r="B10513" s="1" t="str">
        <f>"55717"</f>
        <v>55717</v>
      </c>
      <c r="C10513" s="2">
        <v>1.4581570820350899E-3</v>
      </c>
      <c r="D10513" s="2">
        <v>6.9060773480662905E-4</v>
      </c>
      <c r="E10513" s="2">
        <v>4.6699875466998697E-4</v>
      </c>
      <c r="F10513" s="2">
        <v>1.3647741390600801E-3</v>
      </c>
    </row>
    <row r="10514" spans="1:6" x14ac:dyDescent="0.25">
      <c r="A10514" s="1" t="str">
        <f t="shared" si="374"/>
        <v>20260</v>
      </c>
      <c r="B10514" s="1" t="str">
        <f>"56669"</f>
        <v>56669</v>
      </c>
      <c r="C10514" s="2">
        <v>1.36186368982522E-3</v>
      </c>
      <c r="D10514" s="2">
        <v>1.6401933701657399E-3</v>
      </c>
      <c r="E10514" s="2">
        <v>0</v>
      </c>
      <c r="F10514" s="2">
        <v>1.32805375863693E-3</v>
      </c>
    </row>
    <row r="10515" spans="1:6" x14ac:dyDescent="0.25">
      <c r="A10515" s="1" t="str">
        <f t="shared" si="374"/>
        <v>20260</v>
      </c>
      <c r="B10515" s="1" t="str">
        <f>"54880"</f>
        <v>54880</v>
      </c>
      <c r="C10515" s="2">
        <v>0.10100489032870399</v>
      </c>
      <c r="D10515" s="2">
        <v>0.113173342541436</v>
      </c>
      <c r="E10515" s="2">
        <v>0.110211706102117</v>
      </c>
      <c r="F10515" s="2">
        <v>0.102229539098025</v>
      </c>
    </row>
    <row r="10516" spans="1:6" x14ac:dyDescent="0.25">
      <c r="A10516" s="1" t="str">
        <f t="shared" si="374"/>
        <v>20260</v>
      </c>
      <c r="B10516" s="1" t="str">
        <f>"55812"</f>
        <v>55812</v>
      </c>
      <c r="C10516" s="2">
        <v>2.6618244846583899E-2</v>
      </c>
      <c r="D10516" s="2">
        <v>1.8732734806629799E-2</v>
      </c>
      <c r="E10516" s="2">
        <v>6.8337484433374798E-2</v>
      </c>
      <c r="F10516" s="2">
        <v>2.7699406965856099E-2</v>
      </c>
    </row>
    <row r="10517" spans="1:6" x14ac:dyDescent="0.25">
      <c r="A10517" s="1" t="str">
        <f t="shared" si="374"/>
        <v>20260</v>
      </c>
      <c r="B10517" s="1" t="str">
        <f>"55798"</f>
        <v>55798</v>
      </c>
      <c r="C10517" s="2">
        <v>2.6549463852148301E-3</v>
      </c>
      <c r="D10517" s="2">
        <v>1.4675414364640801E-3</v>
      </c>
      <c r="E10517" s="2">
        <v>4.6699875466998697E-4</v>
      </c>
      <c r="F10517" s="2">
        <v>2.4847457419658798E-3</v>
      </c>
    </row>
    <row r="10518" spans="1:6" x14ac:dyDescent="0.25">
      <c r="A10518" s="1" t="str">
        <f t="shared" ref="A10518:A10549" si="375">"20260"</f>
        <v>20260</v>
      </c>
      <c r="B10518" s="1" t="str">
        <f>"54890"</f>
        <v>54890</v>
      </c>
      <c r="C10518" s="2">
        <v>0</v>
      </c>
      <c r="D10518" s="2">
        <v>0</v>
      </c>
      <c r="E10518" s="2">
        <v>1.55666251556662E-4</v>
      </c>
      <c r="F10518" s="2">
        <v>6.1200634038568598E-6</v>
      </c>
    </row>
    <row r="10519" spans="1:6" x14ac:dyDescent="0.25">
      <c r="A10519" s="1" t="str">
        <f t="shared" si="375"/>
        <v>20260</v>
      </c>
      <c r="B10519" s="1" t="str">
        <f>"54820"</f>
        <v>54820</v>
      </c>
      <c r="C10519" s="2">
        <v>2.0152831369635899E-3</v>
      </c>
      <c r="D10519" s="2">
        <v>5.1795580110497203E-4</v>
      </c>
      <c r="E10519" s="2">
        <v>7.78331257783312E-4</v>
      </c>
      <c r="F10519" s="2">
        <v>1.86049927477248E-3</v>
      </c>
    </row>
    <row r="10520" spans="1:6" x14ac:dyDescent="0.25">
      <c r="A10520" s="1" t="str">
        <f t="shared" si="375"/>
        <v>20260</v>
      </c>
      <c r="B10520" s="1" t="str">
        <f>"55749"</f>
        <v>55749</v>
      </c>
      <c r="C10520" s="2">
        <v>1.4581570820350899E-3</v>
      </c>
      <c r="D10520" s="2">
        <v>8.6325966850828699E-5</v>
      </c>
      <c r="E10520" s="2">
        <v>1.5566625155666201E-3</v>
      </c>
      <c r="F10520" s="2">
        <v>1.3647741390600801E-3</v>
      </c>
    </row>
    <row r="10521" spans="1:6" x14ac:dyDescent="0.25">
      <c r="A10521" s="1" t="str">
        <f t="shared" si="375"/>
        <v>20260</v>
      </c>
      <c r="B10521" s="1" t="str">
        <f>"55706"</f>
        <v>55706</v>
      </c>
      <c r="C10521" s="2">
        <v>7.4833721945951797E-3</v>
      </c>
      <c r="D10521" s="2">
        <v>6.2154696132596596E-3</v>
      </c>
      <c r="E10521" s="2">
        <v>2.6463262764632599E-3</v>
      </c>
      <c r="F10521" s="2">
        <v>7.2033146263395199E-3</v>
      </c>
    </row>
    <row r="10522" spans="1:6" x14ac:dyDescent="0.25">
      <c r="A10522" s="1" t="str">
        <f t="shared" si="375"/>
        <v>20260</v>
      </c>
      <c r="B10522" s="1" t="str">
        <f>"55724"</f>
        <v>55724</v>
      </c>
      <c r="C10522" s="2">
        <v>3.4871964178857999E-3</v>
      </c>
      <c r="D10522" s="2">
        <v>7.7693370165745799E-4</v>
      </c>
      <c r="E10522" s="2">
        <v>3.1133250311332497E-4</v>
      </c>
      <c r="F10522" s="2">
        <v>3.1701928431978501E-3</v>
      </c>
    </row>
    <row r="10523" spans="1:6" x14ac:dyDescent="0.25">
      <c r="A10523" s="1" t="str">
        <f t="shared" si="375"/>
        <v>20260</v>
      </c>
      <c r="B10523" s="1" t="str">
        <f>"55771"</f>
        <v>55771</v>
      </c>
      <c r="C10523" s="2">
        <v>8.3156222272661607E-3</v>
      </c>
      <c r="D10523" s="2">
        <v>3.1077348066298298E-3</v>
      </c>
      <c r="E10523" s="2">
        <v>2.0236612702366099E-3</v>
      </c>
      <c r="F10523" s="2">
        <v>7.6990397620519298E-3</v>
      </c>
    </row>
    <row r="10524" spans="1:6" x14ac:dyDescent="0.25">
      <c r="A10524" s="1" t="str">
        <f t="shared" si="375"/>
        <v>20260</v>
      </c>
      <c r="B10524" s="1" t="str">
        <f>"55803"</f>
        <v>55803</v>
      </c>
      <c r="C10524" s="2">
        <v>5.73702274587485E-2</v>
      </c>
      <c r="D10524" s="2">
        <v>3.8156077348066197E-2</v>
      </c>
      <c r="E10524" s="2">
        <v>1.3231631382316301E-2</v>
      </c>
      <c r="F10524" s="2">
        <v>5.4272722265402598E-2</v>
      </c>
    </row>
    <row r="10525" spans="1:6" x14ac:dyDescent="0.25">
      <c r="A10525" s="1" t="str">
        <f t="shared" si="375"/>
        <v>20260</v>
      </c>
      <c r="B10525" s="1" t="str">
        <f>"55768"</f>
        <v>55768</v>
      </c>
      <c r="C10525" s="2">
        <v>9.9801222926081002E-3</v>
      </c>
      <c r="D10525" s="2">
        <v>3.3667127071823201E-3</v>
      </c>
      <c r="E10525" s="2">
        <v>5.7596513075965101E-3</v>
      </c>
      <c r="F10525" s="2">
        <v>9.3453368176894293E-3</v>
      </c>
    </row>
    <row r="10526" spans="1:6" x14ac:dyDescent="0.25">
      <c r="A10526" s="1" t="str">
        <f t="shared" si="375"/>
        <v>20260</v>
      </c>
      <c r="B10526" s="1" t="str">
        <f>"55781"</f>
        <v>55781</v>
      </c>
      <c r="C10526" s="2">
        <v>1.3824979881559101E-3</v>
      </c>
      <c r="D10526" s="2">
        <v>5.1795580110497203E-4</v>
      </c>
      <c r="E10526" s="2">
        <v>0</v>
      </c>
      <c r="F10526" s="2">
        <v>1.2668531245983699E-3</v>
      </c>
    </row>
    <row r="10527" spans="1:6" x14ac:dyDescent="0.25">
      <c r="A10527" s="1" t="str">
        <f t="shared" si="375"/>
        <v>20260</v>
      </c>
      <c r="B10527" s="1" t="str">
        <f>"55746"</f>
        <v>55746</v>
      </c>
      <c r="C10527" s="2">
        <v>6.2453142947540702E-2</v>
      </c>
      <c r="D10527" s="2">
        <v>8.2959254143646396E-2</v>
      </c>
      <c r="E10527" s="2">
        <v>6.8493150684931503E-2</v>
      </c>
      <c r="F10527" s="2">
        <v>6.4144384535823704E-2</v>
      </c>
    </row>
    <row r="10528" spans="1:6" x14ac:dyDescent="0.25">
      <c r="A10528" s="1" t="str">
        <f t="shared" si="375"/>
        <v>20260</v>
      </c>
      <c r="B10528" s="1" t="str">
        <f>"55616"</f>
        <v>55616</v>
      </c>
      <c r="C10528" s="2">
        <v>2.53664307478557E-2</v>
      </c>
      <c r="D10528" s="2">
        <v>2.1236187845303799E-2</v>
      </c>
      <c r="E10528" s="2">
        <v>1.33872976338729E-2</v>
      </c>
      <c r="F10528" s="2">
        <v>2.46026548835045E-2</v>
      </c>
    </row>
    <row r="10529" spans="1:6" x14ac:dyDescent="0.25">
      <c r="A10529" s="1" t="str">
        <f t="shared" si="375"/>
        <v>20260</v>
      </c>
      <c r="B10529" s="1" t="str">
        <f>"55726"</f>
        <v>55726</v>
      </c>
      <c r="C10529" s="2">
        <v>3.5422212134343001E-3</v>
      </c>
      <c r="D10529" s="2">
        <v>1.4675414364640801E-3</v>
      </c>
      <c r="E10529" s="2">
        <v>1.08966376089663E-3</v>
      </c>
      <c r="F10529" s="2">
        <v>3.2987141746788399E-3</v>
      </c>
    </row>
    <row r="10530" spans="1:6" x14ac:dyDescent="0.25">
      <c r="A10530" s="1" t="str">
        <f t="shared" si="375"/>
        <v>20260</v>
      </c>
      <c r="B10530" s="1" t="str">
        <f>"55736"</f>
        <v>55736</v>
      </c>
      <c r="C10530" s="2">
        <v>5.3786737648652896E-3</v>
      </c>
      <c r="D10530" s="2">
        <v>5.2658839779005503E-3</v>
      </c>
      <c r="E10530" s="2">
        <v>2.6463262764632599E-3</v>
      </c>
      <c r="F10530" s="2">
        <v>5.2632545273169004E-3</v>
      </c>
    </row>
    <row r="10531" spans="1:6" x14ac:dyDescent="0.25">
      <c r="A10531" s="1" t="str">
        <f t="shared" si="375"/>
        <v>20260</v>
      </c>
      <c r="B10531" s="1" t="str">
        <f>"55741"</f>
        <v>55741</v>
      </c>
      <c r="C10531" s="2">
        <v>1.12181801924492E-2</v>
      </c>
      <c r="D10531" s="2">
        <v>4.9205801104972302E-3</v>
      </c>
      <c r="E10531" s="2">
        <v>1.40099626400996E-3</v>
      </c>
      <c r="F10531" s="2">
        <v>1.0385747596345E-2</v>
      </c>
    </row>
    <row r="10532" spans="1:6" x14ac:dyDescent="0.25">
      <c r="A10532" s="1" t="str">
        <f t="shared" si="375"/>
        <v>20260</v>
      </c>
      <c r="B10532" s="1" t="str">
        <f>"55733"</f>
        <v>55733</v>
      </c>
      <c r="C10532" s="2">
        <v>1.3288488124961299E-2</v>
      </c>
      <c r="D10532" s="2">
        <v>3.5393646408839702E-3</v>
      </c>
      <c r="E10532" s="2">
        <v>1.3542963885429599E-2</v>
      </c>
      <c r="F10532" s="2">
        <v>1.26073306119451E-2</v>
      </c>
    </row>
    <row r="10533" spans="1:6" x14ac:dyDescent="0.25">
      <c r="A10533" s="1" t="str">
        <f t="shared" si="375"/>
        <v>20260</v>
      </c>
      <c r="B10533" s="1" t="str">
        <f>"54854"</f>
        <v>54854</v>
      </c>
      <c r="C10533" s="2">
        <v>3.0057294568364801E-3</v>
      </c>
      <c r="D10533" s="2">
        <v>5.1795580110497203E-4</v>
      </c>
      <c r="E10533" s="2">
        <v>0</v>
      </c>
      <c r="F10533" s="2">
        <v>2.7111880879085899E-3</v>
      </c>
    </row>
    <row r="10534" spans="1:6" x14ac:dyDescent="0.25">
      <c r="A10534" s="1" t="str">
        <f t="shared" si="375"/>
        <v>20260</v>
      </c>
      <c r="B10534" s="1" t="str">
        <f>"55796"</f>
        <v>55796</v>
      </c>
      <c r="C10534" s="2">
        <v>8.5976243044521899E-4</v>
      </c>
      <c r="D10534" s="2">
        <v>1.7265193370165699E-4</v>
      </c>
      <c r="E10534" s="2">
        <v>1.2453300124532999E-3</v>
      </c>
      <c r="F10534" s="2">
        <v>8.2620855952067604E-4</v>
      </c>
    </row>
    <row r="10535" spans="1:6" x14ac:dyDescent="0.25">
      <c r="A10535" s="1" t="str">
        <f t="shared" si="375"/>
        <v>20260</v>
      </c>
      <c r="B10535" s="1" t="str">
        <f>"54874"</f>
        <v>54874</v>
      </c>
      <c r="C10535" s="2">
        <v>1.09086657174889E-2</v>
      </c>
      <c r="D10535" s="2">
        <v>2.4171270718232E-3</v>
      </c>
      <c r="E10535" s="2">
        <v>6.2266500622664995E-4</v>
      </c>
      <c r="F10535" s="2">
        <v>9.9022625874404004E-3</v>
      </c>
    </row>
    <row r="10536" spans="1:6" x14ac:dyDescent="0.25">
      <c r="A10536" s="1" t="str">
        <f t="shared" si="375"/>
        <v>20260</v>
      </c>
      <c r="B10536" s="1" t="str">
        <f>"54873"</f>
        <v>54873</v>
      </c>
      <c r="C10536" s="2">
        <v>9.0722131660579495E-3</v>
      </c>
      <c r="D10536" s="2">
        <v>2.7624309392265101E-3</v>
      </c>
      <c r="E10536" s="2">
        <v>2.9576587795765801E-3</v>
      </c>
      <c r="F10536" s="2">
        <v>8.3844868632838992E-3</v>
      </c>
    </row>
    <row r="10537" spans="1:6" x14ac:dyDescent="0.25">
      <c r="A10537" s="1" t="str">
        <f t="shared" si="375"/>
        <v>20260</v>
      </c>
      <c r="B10537" s="1" t="str">
        <f>"55802"</f>
        <v>55802</v>
      </c>
      <c r="C10537" s="2">
        <v>1.13970107779818E-2</v>
      </c>
      <c r="D10537" s="2">
        <v>0.167645027624309</v>
      </c>
      <c r="E10537" s="2">
        <v>4.6699875466998698E-2</v>
      </c>
      <c r="F10537" s="2">
        <v>2.3862127211637899E-2</v>
      </c>
    </row>
    <row r="10538" spans="1:6" x14ac:dyDescent="0.25">
      <c r="A10538" s="1" t="str">
        <f t="shared" si="375"/>
        <v>20260</v>
      </c>
      <c r="B10538" s="1" t="str">
        <f>"55790"</f>
        <v>55790</v>
      </c>
      <c r="C10538" s="2">
        <v>1.1837209142369701E-2</v>
      </c>
      <c r="D10538" s="2">
        <v>6.3881215469613201E-3</v>
      </c>
      <c r="E10538" s="2">
        <v>3.5803237858032301E-3</v>
      </c>
      <c r="F10538" s="2">
        <v>1.1126275268211701E-2</v>
      </c>
    </row>
    <row r="10539" spans="1:6" x14ac:dyDescent="0.25">
      <c r="A10539" s="1" t="str">
        <f t="shared" si="375"/>
        <v>20260</v>
      </c>
      <c r="B10539" s="1" t="str">
        <f>"55797"</f>
        <v>55797</v>
      </c>
      <c r="C10539" s="2">
        <v>4.4570084394280098E-3</v>
      </c>
      <c r="D10539" s="2">
        <v>7.7693370165745799E-4</v>
      </c>
      <c r="E10539" s="2">
        <v>4.6699875466998697E-4</v>
      </c>
      <c r="F10539" s="2">
        <v>4.0392418465455297E-3</v>
      </c>
    </row>
    <row r="10540" spans="1:6" x14ac:dyDescent="0.25">
      <c r="A10540" s="1" t="str">
        <f t="shared" si="375"/>
        <v>20260</v>
      </c>
      <c r="B10540" s="1" t="str">
        <f>"55711"</f>
        <v>55711</v>
      </c>
      <c r="C10540" s="2">
        <v>1.6988905625597501E-3</v>
      </c>
      <c r="D10540" s="2">
        <v>1.5538674033149099E-3</v>
      </c>
      <c r="E10540" s="2">
        <v>1.55666251556662E-4</v>
      </c>
      <c r="F10540" s="2">
        <v>1.6279368654259199E-3</v>
      </c>
    </row>
    <row r="10541" spans="1:6" x14ac:dyDescent="0.25">
      <c r="A10541" s="1" t="str">
        <f t="shared" si="375"/>
        <v>20260</v>
      </c>
      <c r="B10541" s="1" t="str">
        <f>"55787"</f>
        <v>55787</v>
      </c>
      <c r="C10541" s="2">
        <v>3.7829546939589602E-4</v>
      </c>
      <c r="D10541" s="2">
        <v>0</v>
      </c>
      <c r="E10541" s="2">
        <v>0</v>
      </c>
      <c r="F10541" s="2">
        <v>3.3660348721212702E-4</v>
      </c>
    </row>
    <row r="10542" spans="1:6" x14ac:dyDescent="0.25">
      <c r="A10542" s="1" t="str">
        <f t="shared" si="375"/>
        <v>20260</v>
      </c>
      <c r="B10542" s="1" t="str">
        <f>"54849"</f>
        <v>54849</v>
      </c>
      <c r="C10542" s="2">
        <v>7.9373267578702594E-3</v>
      </c>
      <c r="D10542" s="2">
        <v>1.3812154696132501E-3</v>
      </c>
      <c r="E10542" s="2">
        <v>1.71232876712328E-3</v>
      </c>
      <c r="F10542" s="2">
        <v>7.2277948799549501E-3</v>
      </c>
    </row>
    <row r="10543" spans="1:6" x14ac:dyDescent="0.25">
      <c r="A10543" s="1" t="str">
        <f t="shared" si="375"/>
        <v>20260</v>
      </c>
      <c r="B10543" s="1" t="str">
        <f>"55804"</f>
        <v>55804</v>
      </c>
      <c r="C10543" s="2">
        <v>4.4824574073691899E-2</v>
      </c>
      <c r="D10543" s="2">
        <v>1.3207872928176699E-2</v>
      </c>
      <c r="E10543" s="2">
        <v>1.5255292652552901E-2</v>
      </c>
      <c r="F10543" s="2">
        <v>4.1420589117303203E-2</v>
      </c>
    </row>
    <row r="10544" spans="1:6" x14ac:dyDescent="0.25">
      <c r="A10544" s="1" t="str">
        <f t="shared" si="375"/>
        <v>20260</v>
      </c>
      <c r="B10544" s="1" t="str">
        <f>"55805"</f>
        <v>55805</v>
      </c>
      <c r="C10544" s="2">
        <v>3.703856550358E-2</v>
      </c>
      <c r="D10544" s="2">
        <v>2.1754143646408802E-2</v>
      </c>
      <c r="E10544" s="2">
        <v>0.156911581569115</v>
      </c>
      <c r="F10544" s="2">
        <v>4.0667821318628797E-2</v>
      </c>
    </row>
    <row r="10545" spans="1:6" x14ac:dyDescent="0.25">
      <c r="A10545" s="1" t="str">
        <f t="shared" si="375"/>
        <v>20260</v>
      </c>
      <c r="B10545" s="1" t="str">
        <f>"55751"</f>
        <v>55751</v>
      </c>
      <c r="C10545" s="2">
        <v>5.46121095818803E-3</v>
      </c>
      <c r="D10545" s="2">
        <v>1.4675414364640801E-3</v>
      </c>
      <c r="E10545" s="2">
        <v>0</v>
      </c>
      <c r="F10545" s="2">
        <v>4.9633714205279096E-3</v>
      </c>
    </row>
    <row r="10546" spans="1:6" x14ac:dyDescent="0.25">
      <c r="A10546" s="1" t="str">
        <f t="shared" si="375"/>
        <v>20260</v>
      </c>
      <c r="B10546" s="1" t="str">
        <f>"55734"</f>
        <v>55734</v>
      </c>
      <c r="C10546" s="2">
        <v>2.36812963841831E-2</v>
      </c>
      <c r="D10546" s="2">
        <v>1.7783149171270701E-2</v>
      </c>
      <c r="E10546" s="2">
        <v>1.4943960149439601E-2</v>
      </c>
      <c r="F10546" s="2">
        <v>2.2919637447443901E-2</v>
      </c>
    </row>
    <row r="10547" spans="1:6" x14ac:dyDescent="0.25">
      <c r="A10547" s="1" t="str">
        <f t="shared" si="375"/>
        <v>20260</v>
      </c>
      <c r="B10547" s="1" t="str">
        <f>"55614"</f>
        <v>55614</v>
      </c>
      <c r="C10547" s="2">
        <v>9.5055334310023398E-3</v>
      </c>
      <c r="D10547" s="2">
        <v>7.8556629834254099E-3</v>
      </c>
      <c r="E10547" s="2">
        <v>2.0236612702366099E-3</v>
      </c>
      <c r="F10547" s="2">
        <v>9.0944142181312894E-3</v>
      </c>
    </row>
    <row r="10548" spans="1:6" x14ac:dyDescent="0.25">
      <c r="A10548" s="1" t="str">
        <f t="shared" si="375"/>
        <v>20260</v>
      </c>
      <c r="B10548" s="1" t="str">
        <f>"55732"</f>
        <v>55732</v>
      </c>
      <c r="C10548" s="2">
        <v>5.2479898754376102E-3</v>
      </c>
      <c r="D10548" s="2">
        <v>2.9350828729281702E-3</v>
      </c>
      <c r="E10548" s="2">
        <v>1.55666251556662E-4</v>
      </c>
      <c r="F10548" s="2">
        <v>4.8838105962777699E-3</v>
      </c>
    </row>
    <row r="10549" spans="1:6" x14ac:dyDescent="0.25">
      <c r="A10549" s="1" t="str">
        <f t="shared" si="375"/>
        <v>20260</v>
      </c>
      <c r="B10549" s="1" t="str">
        <f>"55780"</f>
        <v>55780</v>
      </c>
      <c r="C10549" s="2">
        <v>4.8146696104932199E-4</v>
      </c>
      <c r="D10549" s="2">
        <v>8.6325966850828699E-5</v>
      </c>
      <c r="E10549" s="2">
        <v>0</v>
      </c>
      <c r="F10549" s="2">
        <v>4.3452450167383701E-4</v>
      </c>
    </row>
    <row r="10550" spans="1:6" x14ac:dyDescent="0.25">
      <c r="A10550" s="1" t="str">
        <f t="shared" ref="A10550:A10566" si="376">"20260"</f>
        <v>20260</v>
      </c>
      <c r="B10550" s="1" t="str">
        <f>"55725"</f>
        <v>55725</v>
      </c>
      <c r="C10550" s="2">
        <v>1.15552070651837E-3</v>
      </c>
      <c r="D10550" s="2">
        <v>6.0428176795580097E-4</v>
      </c>
      <c r="E10550" s="2">
        <v>4.6699875466998697E-4</v>
      </c>
      <c r="F10550" s="2">
        <v>1.08937128588652E-3</v>
      </c>
    </row>
    <row r="10551" spans="1:6" x14ac:dyDescent="0.25">
      <c r="A10551" s="1" t="str">
        <f t="shared" si="376"/>
        <v>20260</v>
      </c>
      <c r="B10551" s="1" t="str">
        <f>"54842"</f>
        <v>54842</v>
      </c>
      <c r="C10551" s="2">
        <v>0</v>
      </c>
      <c r="D10551" s="2">
        <v>8.6325966850828699E-5</v>
      </c>
      <c r="E10551" s="2">
        <v>0</v>
      </c>
      <c r="F10551" s="2">
        <v>6.1200634038568598E-6</v>
      </c>
    </row>
    <row r="10552" spans="1:6" x14ac:dyDescent="0.25">
      <c r="A10552" s="1" t="str">
        <f t="shared" si="376"/>
        <v>20260</v>
      </c>
      <c r="B10552" s="1" t="str">
        <f>"54864"</f>
        <v>54864</v>
      </c>
      <c r="C10552" s="2">
        <v>3.9067604839430701E-3</v>
      </c>
      <c r="D10552" s="2">
        <v>1.12223756906077E-3</v>
      </c>
      <c r="E10552" s="2">
        <v>6.2266500622664995E-4</v>
      </c>
      <c r="F10552" s="2">
        <v>3.5802370912562599E-3</v>
      </c>
    </row>
    <row r="10553" spans="1:6" x14ac:dyDescent="0.25">
      <c r="A10553" s="1" t="str">
        <f t="shared" si="376"/>
        <v>20260</v>
      </c>
      <c r="B10553" s="1" t="str">
        <f>"55707"</f>
        <v>55707</v>
      </c>
      <c r="C10553" s="2">
        <v>1.0936178115263101E-2</v>
      </c>
      <c r="D10553" s="2">
        <v>2.9350828729281702E-3</v>
      </c>
      <c r="E10553" s="2">
        <v>3.2689912826899098E-3</v>
      </c>
      <c r="F10553" s="2">
        <v>1.00675042993445E-2</v>
      </c>
    </row>
    <row r="10554" spans="1:6" x14ac:dyDescent="0.25">
      <c r="A10554" s="1" t="str">
        <f t="shared" si="376"/>
        <v>20260</v>
      </c>
      <c r="B10554" s="1" t="str">
        <f>"55702"</f>
        <v>55702</v>
      </c>
      <c r="C10554" s="2">
        <v>1.8226963525438599E-3</v>
      </c>
      <c r="D10554" s="2">
        <v>1.7265193370165699E-4</v>
      </c>
      <c r="E10554" s="2">
        <v>4.6699875466998697E-4</v>
      </c>
      <c r="F10554" s="2">
        <v>1.6524171190413499E-3</v>
      </c>
    </row>
    <row r="10555" spans="1:6" x14ac:dyDescent="0.25">
      <c r="A10555" s="1" t="str">
        <f t="shared" si="376"/>
        <v>20260</v>
      </c>
      <c r="B10555" s="1" t="str">
        <f>"55710"</f>
        <v>55710</v>
      </c>
      <c r="C10555" s="2">
        <v>5.0760373893485701E-3</v>
      </c>
      <c r="D10555" s="2">
        <v>9.4958563535911598E-4</v>
      </c>
      <c r="E10555" s="2">
        <v>1.55666251556662E-4</v>
      </c>
      <c r="F10555" s="2">
        <v>4.5900475528926404E-3</v>
      </c>
    </row>
    <row r="10556" spans="1:6" x14ac:dyDescent="0.25">
      <c r="A10556" s="1" t="str">
        <f t="shared" si="376"/>
        <v>20260</v>
      </c>
      <c r="B10556" s="1" t="str">
        <f>"55769"</f>
        <v>55769</v>
      </c>
      <c r="C10556" s="2">
        <v>6.8780994435617498E-6</v>
      </c>
      <c r="D10556" s="2">
        <v>0</v>
      </c>
      <c r="E10556" s="2">
        <v>0</v>
      </c>
      <c r="F10556" s="2">
        <v>6.1200634038568598E-6</v>
      </c>
    </row>
    <row r="10557" spans="1:6" x14ac:dyDescent="0.25">
      <c r="A10557" s="1" t="str">
        <f t="shared" si="376"/>
        <v>20260</v>
      </c>
      <c r="B10557" s="1" t="str">
        <f>"55609"</f>
        <v>55609</v>
      </c>
      <c r="C10557" s="2">
        <v>0</v>
      </c>
      <c r="D10557" s="2">
        <v>0</v>
      </c>
      <c r="E10557" s="2">
        <v>1.55666251556662E-4</v>
      </c>
      <c r="F10557" s="2">
        <v>6.1200634038568598E-6</v>
      </c>
    </row>
    <row r="10558" spans="1:6" x14ac:dyDescent="0.25">
      <c r="A10558" s="1" t="str">
        <f t="shared" si="376"/>
        <v>20260</v>
      </c>
      <c r="B10558" s="1" t="str">
        <f>"55756"</f>
        <v>55756</v>
      </c>
      <c r="C10558" s="2">
        <v>9.6293392209864502E-5</v>
      </c>
      <c r="D10558" s="2">
        <v>0</v>
      </c>
      <c r="E10558" s="2">
        <v>0</v>
      </c>
      <c r="F10558" s="2">
        <v>8.5680887653995995E-5</v>
      </c>
    </row>
    <row r="10559" spans="1:6" x14ac:dyDescent="0.25">
      <c r="A10559" s="1" t="str">
        <f t="shared" si="376"/>
        <v>20260</v>
      </c>
      <c r="B10559" s="1" t="str">
        <f>"55791"</f>
        <v>55791</v>
      </c>
      <c r="C10559" s="2">
        <v>0</v>
      </c>
      <c r="D10559" s="2">
        <v>8.6325966850828699E-5</v>
      </c>
      <c r="E10559" s="2">
        <v>0</v>
      </c>
      <c r="F10559" s="2">
        <v>6.1200634038568598E-6</v>
      </c>
    </row>
    <row r="10560" spans="1:6" x14ac:dyDescent="0.25">
      <c r="A10560" s="1" t="str">
        <f t="shared" si="376"/>
        <v>20260</v>
      </c>
      <c r="B10560" s="1" t="str">
        <f>"54859"</f>
        <v>54859</v>
      </c>
      <c r="C10560" s="2">
        <v>1.4306446842608401E-3</v>
      </c>
      <c r="D10560" s="2">
        <v>0</v>
      </c>
      <c r="E10560" s="2">
        <v>0</v>
      </c>
      <c r="F10560" s="2">
        <v>1.2729731880022201E-3</v>
      </c>
    </row>
    <row r="10561" spans="1:6" x14ac:dyDescent="0.25">
      <c r="A10561" s="1" t="str">
        <f t="shared" si="376"/>
        <v>20260</v>
      </c>
      <c r="B10561" s="1" t="str">
        <f>"55816"</f>
        <v>55816</v>
      </c>
      <c r="C10561" s="2">
        <v>6.3209733886332503E-3</v>
      </c>
      <c r="D10561" s="2">
        <v>2.3221685082872898E-2</v>
      </c>
      <c r="E10561" s="2">
        <v>1.55666251556662E-4</v>
      </c>
      <c r="F10561" s="2">
        <v>7.2767553871858097E-3</v>
      </c>
    </row>
    <row r="10562" spans="1:6" x14ac:dyDescent="0.25">
      <c r="A10562" s="1" t="str">
        <f t="shared" si="376"/>
        <v>20260</v>
      </c>
      <c r="B10562" s="1" t="str">
        <f>"55607"</f>
        <v>55607</v>
      </c>
      <c r="C10562" s="2">
        <v>1.09361781152631E-3</v>
      </c>
      <c r="D10562" s="2">
        <v>5.1795580110497203E-4</v>
      </c>
      <c r="E10562" s="2">
        <v>1.55666251556662E-4</v>
      </c>
      <c r="F10562" s="2">
        <v>1.01593052504023E-3</v>
      </c>
    </row>
    <row r="10563" spans="1:6" x14ac:dyDescent="0.25">
      <c r="A10563" s="1" t="str">
        <f t="shared" si="376"/>
        <v>20260</v>
      </c>
      <c r="B10563" s="1" t="str">
        <f>"55806"</f>
        <v>55806</v>
      </c>
      <c r="C10563" s="2">
        <v>3.4307960024486002E-2</v>
      </c>
      <c r="D10563" s="2">
        <v>3.2631215469613201E-2</v>
      </c>
      <c r="E10563" s="2">
        <v>0.10382938978829299</v>
      </c>
      <c r="F10563" s="2">
        <v>3.6922342515468401E-2</v>
      </c>
    </row>
    <row r="10564" spans="1:6" x14ac:dyDescent="0.25">
      <c r="A10564" s="1" t="str">
        <f t="shared" si="376"/>
        <v>20260</v>
      </c>
      <c r="B10564" s="1" t="str">
        <f>"55811"</f>
        <v>55811</v>
      </c>
      <c r="C10564" s="2">
        <v>8.2599096217733106E-2</v>
      </c>
      <c r="D10564" s="2">
        <v>0.100569751381215</v>
      </c>
      <c r="E10564" s="2">
        <v>7.0516811955168096E-2</v>
      </c>
      <c r="F10564" s="2">
        <v>8.3398104004357404E-2</v>
      </c>
    </row>
    <row r="10565" spans="1:6" x14ac:dyDescent="0.25">
      <c r="A10565" s="1" t="str">
        <f t="shared" si="376"/>
        <v>20260</v>
      </c>
      <c r="B10565" s="1" t="str">
        <f>"55779"</f>
        <v>55779</v>
      </c>
      <c r="C10565" s="2">
        <v>1.2187992213991399E-2</v>
      </c>
      <c r="D10565" s="2">
        <v>2.3308011049723702E-3</v>
      </c>
      <c r="E10565" s="2">
        <v>1.5566625155666201E-3</v>
      </c>
      <c r="F10565" s="2">
        <v>1.1071194697577001E-2</v>
      </c>
    </row>
    <row r="10566" spans="1:6" x14ac:dyDescent="0.25">
      <c r="A10566" s="1" t="str">
        <f t="shared" si="376"/>
        <v>20260</v>
      </c>
      <c r="B10566" s="1" t="str">
        <f>"55718"</f>
        <v>55718</v>
      </c>
      <c r="C10566" s="2">
        <v>9.9801222926081002E-3</v>
      </c>
      <c r="D10566" s="2">
        <v>6.3881215469613201E-3</v>
      </c>
      <c r="E10566" s="2">
        <v>5.7596513075965101E-3</v>
      </c>
      <c r="F10566" s="2">
        <v>9.5595390368244208E-3</v>
      </c>
    </row>
    <row r="10567" spans="1:6" x14ac:dyDescent="0.25">
      <c r="A10567" s="1" t="str">
        <f t="shared" ref="A10567:A10574" si="377">"20300"</f>
        <v>20300</v>
      </c>
      <c r="B10567" s="1" t="str">
        <f>"79086"</f>
        <v>79086</v>
      </c>
      <c r="C10567" s="2">
        <v>1.10220440881763E-2</v>
      </c>
      <c r="D10567" s="2">
        <v>1.48777895855472E-2</v>
      </c>
      <c r="E10567" s="2">
        <v>2.89575289575289E-2</v>
      </c>
      <c r="F10567" s="2">
        <v>1.2390130255215501E-2</v>
      </c>
    </row>
    <row r="10568" spans="1:6" x14ac:dyDescent="0.25">
      <c r="A10568" s="1" t="str">
        <f t="shared" si="377"/>
        <v>20300</v>
      </c>
      <c r="B10568" s="1" t="str">
        <f>"79036"</f>
        <v>79036</v>
      </c>
      <c r="C10568" s="2">
        <v>1.1272545090180301E-2</v>
      </c>
      <c r="D10568" s="2">
        <v>4.25079702444208E-3</v>
      </c>
      <c r="E10568" s="2">
        <v>0</v>
      </c>
      <c r="F10568" s="2">
        <v>9.9544636238483499E-3</v>
      </c>
    </row>
    <row r="10569" spans="1:6" x14ac:dyDescent="0.25">
      <c r="A10569" s="1" t="str">
        <f t="shared" si="377"/>
        <v>20300</v>
      </c>
      <c r="B10569" s="1" t="str">
        <f>"79029"</f>
        <v>79029</v>
      </c>
      <c r="C10569" s="2">
        <v>0.95127755511022005</v>
      </c>
      <c r="D10569" s="2">
        <v>0.97130712008501496</v>
      </c>
      <c r="E10569" s="2">
        <v>0.96718146718146703</v>
      </c>
      <c r="F10569" s="2">
        <v>0.95414592820078303</v>
      </c>
    </row>
    <row r="10570" spans="1:6" x14ac:dyDescent="0.25">
      <c r="A10570" s="1" t="str">
        <f t="shared" si="377"/>
        <v>20300</v>
      </c>
      <c r="B10570" s="1" t="str">
        <f>"79083"</f>
        <v>79083</v>
      </c>
      <c r="C10570" s="2">
        <v>1.25250501002004E-4</v>
      </c>
      <c r="D10570" s="2">
        <v>0</v>
      </c>
      <c r="E10570" s="2">
        <v>0</v>
      </c>
      <c r="F10570" s="2">
        <v>1.05898549189876E-4</v>
      </c>
    </row>
    <row r="10571" spans="1:6" x14ac:dyDescent="0.25">
      <c r="A10571" s="1" t="str">
        <f t="shared" si="377"/>
        <v>20300</v>
      </c>
      <c r="B10571" s="1" t="str">
        <f>"79022"</f>
        <v>79022</v>
      </c>
      <c r="C10571" s="2">
        <v>1.25250501002004E-4</v>
      </c>
      <c r="D10571" s="2">
        <v>0</v>
      </c>
      <c r="E10571" s="2">
        <v>0</v>
      </c>
      <c r="F10571" s="2">
        <v>1.05898549189876E-4</v>
      </c>
    </row>
    <row r="10572" spans="1:6" x14ac:dyDescent="0.25">
      <c r="A10572" s="1" t="str">
        <f t="shared" si="377"/>
        <v>20300</v>
      </c>
      <c r="B10572" s="1" t="str">
        <f>"79058"</f>
        <v>79058</v>
      </c>
      <c r="C10572" s="2">
        <v>8.7675350701402796E-4</v>
      </c>
      <c r="D10572" s="2">
        <v>8.5015940488841601E-3</v>
      </c>
      <c r="E10572" s="2">
        <v>0</v>
      </c>
      <c r="F10572" s="2">
        <v>1.58847823784814E-3</v>
      </c>
    </row>
    <row r="10573" spans="1:6" x14ac:dyDescent="0.25">
      <c r="A10573" s="1" t="str">
        <f t="shared" si="377"/>
        <v>20300</v>
      </c>
      <c r="B10573" s="1" t="str">
        <f>"79018"</f>
        <v>79018</v>
      </c>
      <c r="C10573" s="2">
        <v>5.5110220440881697E-3</v>
      </c>
      <c r="D10573" s="2">
        <v>0</v>
      </c>
      <c r="E10573" s="2">
        <v>0</v>
      </c>
      <c r="F10573" s="2">
        <v>4.6595361643545401E-3</v>
      </c>
    </row>
    <row r="10574" spans="1:6" x14ac:dyDescent="0.25">
      <c r="A10574" s="1" t="str">
        <f t="shared" si="377"/>
        <v>20300</v>
      </c>
      <c r="B10574" s="1" t="str">
        <f>"79013"</f>
        <v>79013</v>
      </c>
      <c r="C10574" s="2">
        <v>1.9789579158316601E-2</v>
      </c>
      <c r="D10574" s="2">
        <v>1.06269925611052E-3</v>
      </c>
      <c r="E10574" s="2">
        <v>3.8610038610038598E-3</v>
      </c>
      <c r="F10574" s="2">
        <v>1.7049666419569998E-2</v>
      </c>
    </row>
    <row r="10575" spans="1:6" x14ac:dyDescent="0.25">
      <c r="A10575" s="1" t="str">
        <f t="shared" ref="A10575:A10583" si="378">"20340"</f>
        <v>20340</v>
      </c>
      <c r="B10575" s="1" t="str">
        <f>"73533"</f>
        <v>73533</v>
      </c>
      <c r="C10575" s="2">
        <v>0.66393375082399397</v>
      </c>
      <c r="D10575" s="2">
        <v>0.77441765427053499</v>
      </c>
      <c r="E10575" s="2">
        <v>0.80504587155963303</v>
      </c>
      <c r="F10575" s="2">
        <v>0.67615540416129605</v>
      </c>
    </row>
    <row r="10576" spans="1:6" x14ac:dyDescent="0.25">
      <c r="A10576" s="1" t="str">
        <f t="shared" si="378"/>
        <v>20340</v>
      </c>
      <c r="B10576" s="1" t="str">
        <f>"73481"</f>
        <v>73481</v>
      </c>
      <c r="C10576" s="2">
        <v>3.0075807514831901E-3</v>
      </c>
      <c r="D10576" s="2">
        <v>4.0866366979975399E-4</v>
      </c>
      <c r="E10576" s="2">
        <v>0</v>
      </c>
      <c r="F10576" s="2">
        <v>2.7250966672804199E-3</v>
      </c>
    </row>
    <row r="10577" spans="1:6" x14ac:dyDescent="0.25">
      <c r="A10577" s="1" t="str">
        <f t="shared" si="378"/>
        <v>20340</v>
      </c>
      <c r="B10577" s="1" t="str">
        <f>"73491"</f>
        <v>73491</v>
      </c>
      <c r="C10577" s="2">
        <v>4.1199736321687497E-5</v>
      </c>
      <c r="D10577" s="2">
        <v>4.0866366979975399E-4</v>
      </c>
      <c r="E10577" s="2">
        <v>2.2935779816513702E-3</v>
      </c>
      <c r="F10577" s="2">
        <v>1.10476891916774E-4</v>
      </c>
    </row>
    <row r="10578" spans="1:6" x14ac:dyDescent="0.25">
      <c r="A10578" s="1" t="str">
        <f t="shared" si="378"/>
        <v>20340</v>
      </c>
      <c r="B10578" s="1" t="str">
        <f>"73434"</f>
        <v>73434</v>
      </c>
      <c r="C10578" s="2">
        <v>2.3071852340144998E-3</v>
      </c>
      <c r="D10578" s="2">
        <v>1.6346546791990099E-3</v>
      </c>
      <c r="E10578" s="2">
        <v>0</v>
      </c>
      <c r="F10578" s="2">
        <v>2.2095378383354802E-3</v>
      </c>
    </row>
    <row r="10579" spans="1:6" x14ac:dyDescent="0.25">
      <c r="A10579" s="1" t="str">
        <f t="shared" si="378"/>
        <v>20340</v>
      </c>
      <c r="B10579" s="1" t="str">
        <f>"73573"</f>
        <v>73573</v>
      </c>
      <c r="C10579" s="2">
        <v>7.4159525379037495E-4</v>
      </c>
      <c r="D10579" s="2">
        <v>0</v>
      </c>
      <c r="E10579" s="2">
        <v>0</v>
      </c>
      <c r="F10579" s="2">
        <v>6.6286135150064396E-4</v>
      </c>
    </row>
    <row r="10580" spans="1:6" x14ac:dyDescent="0.25">
      <c r="A10580" s="1" t="str">
        <f t="shared" si="378"/>
        <v>20340</v>
      </c>
      <c r="B10580" s="1" t="str">
        <f>"73529"</f>
        <v>73529</v>
      </c>
      <c r="C10580" s="2">
        <v>0.103411338167435</v>
      </c>
      <c r="D10580" s="2">
        <v>6.2525541479362401E-2</v>
      </c>
      <c r="E10580" s="2">
        <v>2.7522935779816501E-2</v>
      </c>
      <c r="F10580" s="2">
        <v>9.8508561959123497E-2</v>
      </c>
    </row>
    <row r="10581" spans="1:6" x14ac:dyDescent="0.25">
      <c r="A10581" s="1" t="str">
        <f t="shared" si="378"/>
        <v>20340</v>
      </c>
      <c r="B10581" s="1" t="str">
        <f>"73425"</f>
        <v>73425</v>
      </c>
      <c r="C10581" s="2">
        <v>0</v>
      </c>
      <c r="D10581" s="2">
        <v>0</v>
      </c>
      <c r="E10581" s="2">
        <v>4.5871559633027499E-3</v>
      </c>
      <c r="F10581" s="2">
        <v>7.3651261277849294E-5</v>
      </c>
    </row>
    <row r="10582" spans="1:6" x14ac:dyDescent="0.25">
      <c r="A10582" s="1" t="str">
        <f t="shared" si="378"/>
        <v>20340</v>
      </c>
      <c r="B10582" s="1" t="str">
        <f>"73442"</f>
        <v>73442</v>
      </c>
      <c r="C10582" s="2">
        <v>9.0639419907712505E-3</v>
      </c>
      <c r="D10582" s="2">
        <v>2.8606456885982802E-3</v>
      </c>
      <c r="E10582" s="2">
        <v>2.2935779816513702E-3</v>
      </c>
      <c r="F10582" s="2">
        <v>8.3962437856748198E-3</v>
      </c>
    </row>
    <row r="10583" spans="1:6" x14ac:dyDescent="0.25">
      <c r="A10583" s="1" t="str">
        <f t="shared" si="378"/>
        <v>20340</v>
      </c>
      <c r="B10583" s="1" t="str">
        <f>"73055"</f>
        <v>73055</v>
      </c>
      <c r="C10583" s="2">
        <v>0.217493408042188</v>
      </c>
      <c r="D10583" s="2">
        <v>0.15774417654270501</v>
      </c>
      <c r="E10583" s="2">
        <v>0.15825688073394401</v>
      </c>
      <c r="F10583" s="2">
        <v>0.211158166083594</v>
      </c>
    </row>
    <row r="10584" spans="1:6" x14ac:dyDescent="0.25">
      <c r="A10584" s="1" t="str">
        <f t="shared" ref="A10584:A10591" si="379">"20420"</f>
        <v>20420</v>
      </c>
      <c r="B10584" s="1" t="str">
        <f>"81301"</f>
        <v>81301</v>
      </c>
      <c r="C10584" s="2">
        <v>0.54470695291698901</v>
      </c>
      <c r="D10584" s="2">
        <v>0.60355374308185195</v>
      </c>
      <c r="E10584" s="2">
        <v>0.78616751269035501</v>
      </c>
      <c r="F10584" s="2">
        <v>0.56150519031141799</v>
      </c>
    </row>
    <row r="10585" spans="1:6" x14ac:dyDescent="0.25">
      <c r="A10585" s="1" t="str">
        <f t="shared" si="379"/>
        <v>20420</v>
      </c>
      <c r="B10585" s="1" t="str">
        <f>"81328"</f>
        <v>81328</v>
      </c>
      <c r="C10585" s="2">
        <v>1.1121970948063701E-3</v>
      </c>
      <c r="D10585" s="2">
        <v>0</v>
      </c>
      <c r="E10585" s="2">
        <v>1.2690355329949201E-3</v>
      </c>
      <c r="F10585" s="2">
        <v>1.00922722029988E-3</v>
      </c>
    </row>
    <row r="10586" spans="1:6" x14ac:dyDescent="0.25">
      <c r="A10586" s="1" t="str">
        <f t="shared" si="379"/>
        <v>20420</v>
      </c>
      <c r="B10586" s="1" t="str">
        <f>"81122"</f>
        <v>81122</v>
      </c>
      <c r="C10586" s="2">
        <v>0.14960736072259101</v>
      </c>
      <c r="D10586" s="2">
        <v>4.0489367899796E-2</v>
      </c>
      <c r="E10586" s="2">
        <v>6.4086294416243597E-2</v>
      </c>
      <c r="F10586" s="2">
        <v>0.13491926182237601</v>
      </c>
    </row>
    <row r="10587" spans="1:6" x14ac:dyDescent="0.25">
      <c r="A10587" s="1" t="str">
        <f t="shared" si="379"/>
        <v>20420</v>
      </c>
      <c r="B10587" s="1" t="str">
        <f>"81303"</f>
        <v>81303</v>
      </c>
      <c r="C10587" s="2">
        <v>0.127835260018199</v>
      </c>
      <c r="D10587" s="2">
        <v>0.15584037285173299</v>
      </c>
      <c r="E10587" s="2">
        <v>0.12753807106598899</v>
      </c>
      <c r="F10587" s="2">
        <v>0.13059400230680501</v>
      </c>
    </row>
    <row r="10588" spans="1:6" x14ac:dyDescent="0.25">
      <c r="A10588" s="1" t="str">
        <f t="shared" si="379"/>
        <v>20420</v>
      </c>
      <c r="B10588" s="1" t="str">
        <f>"81329"</f>
        <v>81329</v>
      </c>
      <c r="C10588" s="2">
        <v>0</v>
      </c>
      <c r="D10588" s="2">
        <v>0</v>
      </c>
      <c r="E10588" s="2">
        <v>6.3451776649746101E-4</v>
      </c>
      <c r="F10588" s="2">
        <v>2.8835063437139501E-5</v>
      </c>
    </row>
    <row r="10589" spans="1:6" x14ac:dyDescent="0.25">
      <c r="A10589" s="1" t="str">
        <f t="shared" si="379"/>
        <v>20420</v>
      </c>
      <c r="B10589" s="1" t="str">
        <f>"81302"</f>
        <v>81302</v>
      </c>
      <c r="C10589" s="2">
        <v>8.4088840955815397E-2</v>
      </c>
      <c r="D10589" s="2">
        <v>0.19312554616953101</v>
      </c>
      <c r="E10589" s="2">
        <v>1.2690355329949201E-3</v>
      </c>
      <c r="F10589" s="2">
        <v>9.1118800461361005E-2</v>
      </c>
    </row>
    <row r="10590" spans="1:6" x14ac:dyDescent="0.25">
      <c r="A10590" s="1" t="str">
        <f t="shared" si="379"/>
        <v>20420</v>
      </c>
      <c r="B10590" s="1" t="str">
        <f>"81326"</f>
        <v>81326</v>
      </c>
      <c r="C10590" s="2">
        <v>3.6196959994607501E-2</v>
      </c>
      <c r="D10590" s="2">
        <v>3.7867754150888401E-3</v>
      </c>
      <c r="E10590" s="2">
        <v>3.80710659898477E-3</v>
      </c>
      <c r="F10590" s="2">
        <v>3.1516724336793499E-2</v>
      </c>
    </row>
    <row r="10591" spans="1:6" x14ac:dyDescent="0.25">
      <c r="A10591" s="1" t="str">
        <f t="shared" si="379"/>
        <v>20420</v>
      </c>
      <c r="B10591" s="1" t="str">
        <f>"81137"</f>
        <v>81137</v>
      </c>
      <c r="C10591" s="2">
        <v>5.6452428296990299E-2</v>
      </c>
      <c r="D10591" s="2">
        <v>3.20419458199825E-3</v>
      </c>
      <c r="E10591" s="2">
        <v>1.5228426395939E-2</v>
      </c>
      <c r="F10591" s="2">
        <v>4.9307958477508601E-2</v>
      </c>
    </row>
    <row r="10592" spans="1:6" x14ac:dyDescent="0.25">
      <c r="A10592" s="1" t="str">
        <f t="shared" ref="A10592:A10606" si="380">"20460"</f>
        <v>20460</v>
      </c>
      <c r="B10592" s="1" t="str">
        <f>"74726"</f>
        <v>74726</v>
      </c>
      <c r="C10592" s="2">
        <v>4.4860948414247898E-2</v>
      </c>
      <c r="D10592" s="2">
        <v>7.2393822393822301E-3</v>
      </c>
      <c r="E10592" s="2">
        <v>2.90697674418604E-3</v>
      </c>
      <c r="F10592" s="2">
        <v>4.1233064991164303E-2</v>
      </c>
    </row>
    <row r="10593" spans="1:6" x14ac:dyDescent="0.25">
      <c r="A10593" s="1" t="str">
        <f t="shared" si="380"/>
        <v>20460</v>
      </c>
      <c r="B10593" s="1" t="str">
        <f>"74731"</f>
        <v>74731</v>
      </c>
      <c r="C10593" s="2">
        <v>3.4014490867282698E-2</v>
      </c>
      <c r="D10593" s="2">
        <v>6.7567567567567502E-3</v>
      </c>
      <c r="E10593" s="2">
        <v>2.0348837209302299E-2</v>
      </c>
      <c r="F10593" s="2">
        <v>3.1612016493225897E-2</v>
      </c>
    </row>
    <row r="10594" spans="1:6" x14ac:dyDescent="0.25">
      <c r="A10594" s="1" t="str">
        <f t="shared" si="380"/>
        <v>20460</v>
      </c>
      <c r="B10594" s="1" t="str">
        <f>"74741"</f>
        <v>74741</v>
      </c>
      <c r="C10594" s="2">
        <v>2.2690789188251102E-2</v>
      </c>
      <c r="D10594" s="2">
        <v>8.6872586872586803E-3</v>
      </c>
      <c r="E10594" s="2">
        <v>2.90697674418604E-3</v>
      </c>
      <c r="F10594" s="2">
        <v>2.1284115452581898E-2</v>
      </c>
    </row>
    <row r="10595" spans="1:6" x14ac:dyDescent="0.25">
      <c r="A10595" s="1" t="str">
        <f t="shared" si="380"/>
        <v>20460</v>
      </c>
      <c r="B10595" s="1" t="str">
        <f>"74721"</f>
        <v>74721</v>
      </c>
      <c r="C10595" s="2">
        <v>0</v>
      </c>
      <c r="D10595" s="2">
        <v>0</v>
      </c>
      <c r="E10595" s="2">
        <v>2.90697674418604E-3</v>
      </c>
      <c r="F10595" s="2">
        <v>3.92695857058708E-5</v>
      </c>
    </row>
    <row r="10596" spans="1:6" x14ac:dyDescent="0.25">
      <c r="A10596" s="1" t="str">
        <f t="shared" si="380"/>
        <v>20460</v>
      </c>
      <c r="B10596" s="1" t="str">
        <f>"74701"</f>
        <v>74701</v>
      </c>
      <c r="C10596" s="2">
        <v>0.49481539329254998</v>
      </c>
      <c r="D10596" s="2">
        <v>0.68629343629343598</v>
      </c>
      <c r="E10596" s="2">
        <v>0.74127906976744096</v>
      </c>
      <c r="F10596" s="2">
        <v>0.51372472020420101</v>
      </c>
    </row>
    <row r="10597" spans="1:6" x14ac:dyDescent="0.25">
      <c r="A10597" s="1" t="str">
        <f t="shared" si="380"/>
        <v>20460</v>
      </c>
      <c r="B10597" s="1" t="str">
        <f>"74702"</f>
        <v>74702</v>
      </c>
      <c r="C10597" s="2">
        <v>4.8461972319840299E-2</v>
      </c>
      <c r="D10597" s="2">
        <v>0.17277992277992199</v>
      </c>
      <c r="E10597" s="2">
        <v>5.8139534883720903E-3</v>
      </c>
      <c r="F10597" s="2">
        <v>5.8001178087571097E-2</v>
      </c>
    </row>
    <row r="10598" spans="1:6" x14ac:dyDescent="0.25">
      <c r="A10598" s="1" t="str">
        <f t="shared" si="380"/>
        <v>20460</v>
      </c>
      <c r="B10598" s="1" t="str">
        <f>"74748"</f>
        <v>74748</v>
      </c>
      <c r="C10598" s="2">
        <v>1.60527571695084E-3</v>
      </c>
      <c r="D10598" s="2">
        <v>0</v>
      </c>
      <c r="E10598" s="2">
        <v>2.90697674418604E-3</v>
      </c>
      <c r="F10598" s="2">
        <v>1.4922442568230899E-3</v>
      </c>
    </row>
    <row r="10599" spans="1:6" x14ac:dyDescent="0.25">
      <c r="A10599" s="1" t="str">
        <f t="shared" si="380"/>
        <v>20460</v>
      </c>
      <c r="B10599" s="1" t="str">
        <f>"74720"</f>
        <v>74720</v>
      </c>
      <c r="C10599" s="2">
        <v>1.3015749056358099E-4</v>
      </c>
      <c r="D10599" s="2">
        <v>0</v>
      </c>
      <c r="E10599" s="2">
        <v>2.90697674418604E-3</v>
      </c>
      <c r="F10599" s="2">
        <v>1.5707834282348301E-4</v>
      </c>
    </row>
    <row r="10600" spans="1:6" x14ac:dyDescent="0.25">
      <c r="A10600" s="1" t="str">
        <f t="shared" si="380"/>
        <v>20460</v>
      </c>
      <c r="B10600" s="1" t="str">
        <f>"73449"</f>
        <v>73449</v>
      </c>
      <c r="C10600" s="2">
        <v>7.4927328734435306E-2</v>
      </c>
      <c r="D10600" s="2">
        <v>2.9922779922779901E-2</v>
      </c>
      <c r="E10600" s="2">
        <v>4.3604651162790602E-2</v>
      </c>
      <c r="F10600" s="2">
        <v>7.0842332613390901E-2</v>
      </c>
    </row>
    <row r="10601" spans="1:6" x14ac:dyDescent="0.25">
      <c r="A10601" s="1" t="str">
        <f t="shared" si="380"/>
        <v>20460</v>
      </c>
      <c r="B10601" s="1" t="str">
        <f>"74730"</f>
        <v>74730</v>
      </c>
      <c r="C10601" s="2">
        <v>0.150982689053755</v>
      </c>
      <c r="D10601" s="2">
        <v>5.6467181467181403E-2</v>
      </c>
      <c r="E10601" s="2">
        <v>0.142441860465116</v>
      </c>
      <c r="F10601" s="2">
        <v>0.14317690948360401</v>
      </c>
    </row>
    <row r="10602" spans="1:6" x14ac:dyDescent="0.25">
      <c r="A10602" s="1" t="str">
        <f t="shared" si="380"/>
        <v>20460</v>
      </c>
      <c r="B10602" s="1" t="str">
        <f>"74727"</f>
        <v>74727</v>
      </c>
      <c r="C10602" s="2">
        <v>9.5448826413293403E-4</v>
      </c>
      <c r="D10602" s="2">
        <v>0</v>
      </c>
      <c r="E10602" s="2">
        <v>0</v>
      </c>
      <c r="F10602" s="2">
        <v>8.63930885529157E-4</v>
      </c>
    </row>
    <row r="10603" spans="1:6" x14ac:dyDescent="0.25">
      <c r="A10603" s="1" t="str">
        <f t="shared" si="380"/>
        <v>20460</v>
      </c>
      <c r="B10603" s="1" t="str">
        <f>"74753"</f>
        <v>74753</v>
      </c>
      <c r="C10603" s="2">
        <v>0</v>
      </c>
      <c r="D10603" s="2">
        <v>0</v>
      </c>
      <c r="E10603" s="2">
        <v>2.90697674418604E-3</v>
      </c>
      <c r="F10603" s="2">
        <v>3.92695857058708E-5</v>
      </c>
    </row>
    <row r="10604" spans="1:6" x14ac:dyDescent="0.25">
      <c r="A10604" s="1" t="str">
        <f t="shared" si="380"/>
        <v>20460</v>
      </c>
      <c r="B10604" s="1" t="str">
        <f>"74723"</f>
        <v>74723</v>
      </c>
      <c r="C10604" s="2">
        <v>3.19319710182654E-2</v>
      </c>
      <c r="D10604" s="2">
        <v>6.7567567567567502E-3</v>
      </c>
      <c r="E10604" s="2">
        <v>2.90697674418604E-3</v>
      </c>
      <c r="F10604" s="2">
        <v>2.9491458865108899E-2</v>
      </c>
    </row>
    <row r="10605" spans="1:6" x14ac:dyDescent="0.25">
      <c r="A10605" s="1" t="str">
        <f t="shared" si="380"/>
        <v>20460</v>
      </c>
      <c r="B10605" s="1" t="str">
        <f>"74729"</f>
        <v>74729</v>
      </c>
      <c r="C10605" s="2">
        <v>4.9286303093409603E-2</v>
      </c>
      <c r="D10605" s="2">
        <v>1.2548262548262501E-2</v>
      </c>
      <c r="E10605" s="2">
        <v>8.7209302325581307E-3</v>
      </c>
      <c r="F10605" s="2">
        <v>4.5749067347339398E-2</v>
      </c>
    </row>
    <row r="10606" spans="1:6" x14ac:dyDescent="0.25">
      <c r="A10606" s="1" t="str">
        <f t="shared" si="380"/>
        <v>20460</v>
      </c>
      <c r="B10606" s="1" t="str">
        <f>"74733"</f>
        <v>74733</v>
      </c>
      <c r="C10606" s="2">
        <v>4.5338192546314299E-2</v>
      </c>
      <c r="D10606" s="2">
        <v>1.2548262548262501E-2</v>
      </c>
      <c r="E10606" s="2">
        <v>1.7441860465116199E-2</v>
      </c>
      <c r="F10606" s="2">
        <v>4.2293343805222802E-2</v>
      </c>
    </row>
    <row r="10607" spans="1:6" x14ac:dyDescent="0.25">
      <c r="A10607" s="1" t="str">
        <f t="shared" ref="A10607:A10638" si="381">"20500"</f>
        <v>20500</v>
      </c>
      <c r="B10607" s="1" t="str">
        <f>"27256"</f>
        <v>27256</v>
      </c>
      <c r="C10607" s="2">
        <v>0</v>
      </c>
      <c r="D10607" s="2">
        <v>0</v>
      </c>
      <c r="E10607" s="2">
        <v>8.8534749889331501E-5</v>
      </c>
      <c r="F10607" s="2">
        <v>2.8029419678894898E-6</v>
      </c>
    </row>
    <row r="10608" spans="1:6" x14ac:dyDescent="0.25">
      <c r="A10608" s="1" t="str">
        <f t="shared" si="381"/>
        <v>20500</v>
      </c>
      <c r="B10608" s="1" t="str">
        <f>"27332"</f>
        <v>27332</v>
      </c>
      <c r="C10608" s="2">
        <v>0</v>
      </c>
      <c r="D10608" s="2">
        <v>1.0883930653813199E-3</v>
      </c>
      <c r="E10608" s="2">
        <v>0</v>
      </c>
      <c r="F10608" s="2">
        <v>7.8482375100905901E-5</v>
      </c>
    </row>
    <row r="10609" spans="1:6" x14ac:dyDescent="0.25">
      <c r="A10609" s="1" t="str">
        <f t="shared" si="381"/>
        <v>20500</v>
      </c>
      <c r="B10609" s="1" t="str">
        <f>"27706"</f>
        <v>27706</v>
      </c>
      <c r="C10609" s="2">
        <v>0</v>
      </c>
      <c r="D10609" s="2">
        <v>0</v>
      </c>
      <c r="E10609" s="2">
        <v>8.8534749889331501E-5</v>
      </c>
      <c r="F10609" s="2">
        <v>2.8029419678894898E-6</v>
      </c>
    </row>
    <row r="10610" spans="1:6" x14ac:dyDescent="0.25">
      <c r="A10610" s="1" t="str">
        <f t="shared" si="381"/>
        <v>20500</v>
      </c>
      <c r="B10610" s="1" t="str">
        <f>"27522"</f>
        <v>27522</v>
      </c>
      <c r="C10610" s="2">
        <v>1.7898526022136201E-2</v>
      </c>
      <c r="D10610" s="2">
        <v>1.1272642462877999E-2</v>
      </c>
      <c r="E10610" s="2">
        <v>1.2217795484727701E-2</v>
      </c>
      <c r="F10610" s="2">
        <v>1.72408960444882E-2</v>
      </c>
    </row>
    <row r="10611" spans="1:6" x14ac:dyDescent="0.25">
      <c r="A10611" s="1" t="str">
        <f t="shared" si="381"/>
        <v>20500</v>
      </c>
      <c r="B10611" s="1" t="str">
        <f>"27525"</f>
        <v>27525</v>
      </c>
      <c r="C10611" s="2">
        <v>6.8773123750965597E-3</v>
      </c>
      <c r="D10611" s="2">
        <v>5.44196532690663E-4</v>
      </c>
      <c r="E10611" s="2">
        <v>8.8534749889331501E-5</v>
      </c>
      <c r="F10611" s="2">
        <v>6.2057135169073397E-3</v>
      </c>
    </row>
    <row r="10612" spans="1:6" x14ac:dyDescent="0.25">
      <c r="A10612" s="1" t="str">
        <f t="shared" si="381"/>
        <v>20500</v>
      </c>
      <c r="B10612" s="1" t="str">
        <f>"27613"</f>
        <v>27613</v>
      </c>
      <c r="C10612" s="2">
        <v>1.56686380169321E-3</v>
      </c>
      <c r="D10612" s="2">
        <v>7.7742361812951794E-5</v>
      </c>
      <c r="E10612" s="2">
        <v>0</v>
      </c>
      <c r="F10612" s="2">
        <v>1.4098798098484101E-3</v>
      </c>
    </row>
    <row r="10613" spans="1:6" x14ac:dyDescent="0.25">
      <c r="A10613" s="1" t="str">
        <f t="shared" si="381"/>
        <v>20500</v>
      </c>
      <c r="B10613" s="1" t="str">
        <f>"27596"</f>
        <v>27596</v>
      </c>
      <c r="C10613" s="2">
        <v>1.3041560984153001E-3</v>
      </c>
      <c r="D10613" s="2">
        <v>0</v>
      </c>
      <c r="E10613" s="2">
        <v>0</v>
      </c>
      <c r="F10613" s="2">
        <v>1.1688268006099199E-3</v>
      </c>
    </row>
    <row r="10614" spans="1:6" x14ac:dyDescent="0.25">
      <c r="A10614" s="1" t="str">
        <f t="shared" si="381"/>
        <v>20500</v>
      </c>
      <c r="B10614" s="1" t="str">
        <f>"27713"</f>
        <v>27713</v>
      </c>
      <c r="C10614" s="2">
        <v>8.1433133070834093E-2</v>
      </c>
      <c r="D10614" s="2">
        <v>7.2844593018735901E-2</v>
      </c>
      <c r="E10614" s="2">
        <v>9.9513058875608601E-2</v>
      </c>
      <c r="F10614" s="2">
        <v>8.1386222979639405E-2</v>
      </c>
    </row>
    <row r="10615" spans="1:6" x14ac:dyDescent="0.25">
      <c r="A10615" s="1" t="str">
        <f t="shared" si="381"/>
        <v>20500</v>
      </c>
      <c r="B10615" s="1" t="str">
        <f>"27208"</f>
        <v>27208</v>
      </c>
      <c r="C10615" s="2">
        <v>1.2791363171507401E-3</v>
      </c>
      <c r="D10615" s="2">
        <v>6.21938894503615E-4</v>
      </c>
      <c r="E10615" s="2">
        <v>8.8534749889331501E-5</v>
      </c>
      <c r="F10615" s="2">
        <v>1.19405327832092E-3</v>
      </c>
    </row>
    <row r="10616" spans="1:6" x14ac:dyDescent="0.25">
      <c r="A10616" s="1" t="str">
        <f t="shared" si="381"/>
        <v>20500</v>
      </c>
      <c r="B10616" s="1" t="str">
        <f>"27355"</f>
        <v>27355</v>
      </c>
      <c r="C10616" s="2">
        <v>9.50751688053367E-4</v>
      </c>
      <c r="D10616" s="2">
        <v>3.8871180906475901E-4</v>
      </c>
      <c r="E10616" s="2">
        <v>1.77069499778663E-4</v>
      </c>
      <c r="F10616" s="2">
        <v>8.8572966185307997E-4</v>
      </c>
    </row>
    <row r="10617" spans="1:6" x14ac:dyDescent="0.25">
      <c r="A10617" s="1" t="str">
        <f t="shared" si="381"/>
        <v>20500</v>
      </c>
      <c r="B10617" s="1" t="str">
        <f>"27314"</f>
        <v>27314</v>
      </c>
      <c r="C10617" s="2">
        <v>3.1274726580702799E-6</v>
      </c>
      <c r="D10617" s="2">
        <v>0</v>
      </c>
      <c r="E10617" s="2">
        <v>0</v>
      </c>
      <c r="F10617" s="2">
        <v>2.8029419678894898E-6</v>
      </c>
    </row>
    <row r="10618" spans="1:6" x14ac:dyDescent="0.25">
      <c r="A10618" s="1" t="str">
        <f t="shared" si="381"/>
        <v>20500</v>
      </c>
      <c r="B10618" s="1" t="str">
        <f>"27344"</f>
        <v>27344</v>
      </c>
      <c r="C10618" s="2">
        <v>2.4391159260290101E-2</v>
      </c>
      <c r="D10618" s="2">
        <v>3.0980331182461299E-2</v>
      </c>
      <c r="E10618" s="2">
        <v>1.01814962372731E-2</v>
      </c>
      <c r="F10618" s="2">
        <v>2.44164274822854E-2</v>
      </c>
    </row>
    <row r="10619" spans="1:6" x14ac:dyDescent="0.25">
      <c r="A10619" s="1" t="str">
        <f t="shared" si="381"/>
        <v>20500</v>
      </c>
      <c r="B10619" s="1" t="str">
        <f>"27516"</f>
        <v>27516</v>
      </c>
      <c r="C10619" s="2">
        <v>6.2133499297882297E-2</v>
      </c>
      <c r="D10619" s="2">
        <v>3.9531990981885999E-2</v>
      </c>
      <c r="E10619" s="2">
        <v>7.3483842408145095E-2</v>
      </c>
      <c r="F10619" s="2">
        <v>6.0863081890752499E-2</v>
      </c>
    </row>
    <row r="10620" spans="1:6" x14ac:dyDescent="0.25">
      <c r="A10620" s="1" t="str">
        <f t="shared" si="381"/>
        <v>20500</v>
      </c>
      <c r="B10620" s="1" t="str">
        <f>"27510"</f>
        <v>27510</v>
      </c>
      <c r="C10620" s="2">
        <v>3.3085533249725498E-2</v>
      </c>
      <c r="D10620" s="2">
        <v>3.8482469097411098E-2</v>
      </c>
      <c r="E10620" s="2">
        <v>5.4094732182381498E-2</v>
      </c>
      <c r="F10620" s="2">
        <v>3.4139833168893997E-2</v>
      </c>
    </row>
    <row r="10621" spans="1:6" x14ac:dyDescent="0.25">
      <c r="A10621" s="1" t="str">
        <f t="shared" si="381"/>
        <v>20500</v>
      </c>
      <c r="B10621" s="1" t="str">
        <f>"27583"</f>
        <v>27583</v>
      </c>
      <c r="C10621" s="2">
        <v>9.8796861268440304E-3</v>
      </c>
      <c r="D10621" s="2">
        <v>1.71033195988494E-3</v>
      </c>
      <c r="E10621" s="2">
        <v>1.77069499778663E-4</v>
      </c>
      <c r="F10621" s="2">
        <v>8.9834290070858296E-3</v>
      </c>
    </row>
    <row r="10622" spans="1:6" x14ac:dyDescent="0.25">
      <c r="A10622" s="1" t="str">
        <f t="shared" si="381"/>
        <v>20500</v>
      </c>
      <c r="B10622" s="1" t="str">
        <f>"27231"</f>
        <v>27231</v>
      </c>
      <c r="C10622" s="2">
        <v>3.4527298145095899E-3</v>
      </c>
      <c r="D10622" s="2">
        <v>1.24387778900723E-3</v>
      </c>
      <c r="E10622" s="2">
        <v>8.8534749889331501E-5</v>
      </c>
      <c r="F10622" s="2">
        <v>3.1869450174903499E-3</v>
      </c>
    </row>
    <row r="10623" spans="1:6" x14ac:dyDescent="0.25">
      <c r="A10623" s="1" t="str">
        <f t="shared" si="381"/>
        <v>20500</v>
      </c>
      <c r="B10623" s="1" t="str">
        <f>"27312"</f>
        <v>27312</v>
      </c>
      <c r="C10623" s="2">
        <v>3.6947961982442303E-2</v>
      </c>
      <c r="D10623" s="2">
        <v>3.9026665630101799E-2</v>
      </c>
      <c r="E10623" s="2">
        <v>1.4962372731297E-2</v>
      </c>
      <c r="F10623" s="2">
        <v>3.6401807336980799E-2</v>
      </c>
    </row>
    <row r="10624" spans="1:6" x14ac:dyDescent="0.25">
      <c r="A10624" s="1" t="str">
        <f t="shared" si="381"/>
        <v>20500</v>
      </c>
      <c r="B10624" s="1" t="str">
        <f>"27302"</f>
        <v>27302</v>
      </c>
      <c r="C10624" s="2">
        <v>1.2416066452538999E-2</v>
      </c>
      <c r="D10624" s="2">
        <v>5.1309958796548196E-3</v>
      </c>
      <c r="E10624" s="2">
        <v>5.2235502434705601E-3</v>
      </c>
      <c r="F10624" s="2">
        <v>1.16630415283881E-2</v>
      </c>
    </row>
    <row r="10625" spans="1:6" x14ac:dyDescent="0.25">
      <c r="A10625" s="1" t="str">
        <f t="shared" si="381"/>
        <v>20500</v>
      </c>
      <c r="B10625" s="1" t="str">
        <f>"27515"</f>
        <v>27515</v>
      </c>
      <c r="C10625" s="2">
        <v>4.9195144911445597E-3</v>
      </c>
      <c r="D10625" s="2">
        <v>2.2739640830288399E-2</v>
      </c>
      <c r="E10625" s="2">
        <v>8.8534749889331501E-5</v>
      </c>
      <c r="F10625" s="2">
        <v>6.0515517086734199E-3</v>
      </c>
    </row>
    <row r="10626" spans="1:6" x14ac:dyDescent="0.25">
      <c r="A10626" s="1" t="str">
        <f t="shared" si="381"/>
        <v>20500</v>
      </c>
      <c r="B10626" s="1" t="str">
        <f>"27573"</f>
        <v>27573</v>
      </c>
      <c r="C10626" s="2">
        <v>1.7832849096316699E-2</v>
      </c>
      <c r="D10626" s="2">
        <v>3.6538910052087301E-2</v>
      </c>
      <c r="E10626" s="2">
        <v>2.1956617972554202E-2</v>
      </c>
      <c r="F10626" s="2">
        <v>1.9312270158758599E-2</v>
      </c>
    </row>
    <row r="10627" spans="1:6" x14ac:dyDescent="0.25">
      <c r="A10627" s="1" t="str">
        <f t="shared" si="381"/>
        <v>20500</v>
      </c>
      <c r="B10627" s="1" t="str">
        <f>"27559"</f>
        <v>27559</v>
      </c>
      <c r="C10627" s="2">
        <v>3.6466331193099502E-3</v>
      </c>
      <c r="D10627" s="2">
        <v>1.32162015082018E-3</v>
      </c>
      <c r="E10627" s="2">
        <v>6.1974324922532003E-4</v>
      </c>
      <c r="F10627" s="2">
        <v>3.3831509552426199E-3</v>
      </c>
    </row>
    <row r="10628" spans="1:6" x14ac:dyDescent="0.25">
      <c r="A10628" s="1" t="str">
        <f t="shared" si="381"/>
        <v>20500</v>
      </c>
      <c r="B10628" s="1" t="str">
        <f>"27703"</f>
        <v>27703</v>
      </c>
      <c r="C10628" s="2">
        <v>8.6493383831591802E-2</v>
      </c>
      <c r="D10628" s="2">
        <v>7.3505403094145993E-2</v>
      </c>
      <c r="E10628" s="2">
        <v>0.100132802124833</v>
      </c>
      <c r="F10628" s="2">
        <v>8.5988653690913894E-2</v>
      </c>
    </row>
    <row r="10629" spans="1:6" x14ac:dyDescent="0.25">
      <c r="A10629" s="1" t="str">
        <f t="shared" si="381"/>
        <v>20500</v>
      </c>
      <c r="B10629" s="1" t="str">
        <f>"27704"</f>
        <v>27704</v>
      </c>
      <c r="C10629" s="2">
        <v>5.38613341172864E-2</v>
      </c>
      <c r="D10629" s="2">
        <v>5.1931897691051797E-2</v>
      </c>
      <c r="E10629" s="2">
        <v>6.2239929172199997E-2</v>
      </c>
      <c r="F10629" s="2">
        <v>5.3987465243519502E-2</v>
      </c>
    </row>
    <row r="10630" spans="1:6" x14ac:dyDescent="0.25">
      <c r="A10630" s="1" t="str">
        <f t="shared" si="381"/>
        <v>20500</v>
      </c>
      <c r="B10630" s="1" t="str">
        <f>"27702"</f>
        <v>27702</v>
      </c>
      <c r="C10630" s="2">
        <v>5.0977804326545603E-3</v>
      </c>
      <c r="D10630" s="2">
        <v>2.0679468242245098E-2</v>
      </c>
      <c r="E10630" s="2">
        <v>8.8534749889331501E-5</v>
      </c>
      <c r="F10630" s="2">
        <v>6.0627634765449802E-3</v>
      </c>
    </row>
    <row r="10631" spans="1:6" x14ac:dyDescent="0.25">
      <c r="A10631" s="1" t="str">
        <f t="shared" si="381"/>
        <v>20500</v>
      </c>
      <c r="B10631" s="1" t="str">
        <f>"27717"</f>
        <v>27717</v>
      </c>
      <c r="C10631" s="2">
        <v>1.9796901925584901E-3</v>
      </c>
      <c r="D10631" s="2">
        <v>2.2195444297597702E-2</v>
      </c>
      <c r="E10631" s="2">
        <v>1.77069499778663E-4</v>
      </c>
      <c r="F10631" s="2">
        <v>3.3803480132747299E-3</v>
      </c>
    </row>
    <row r="10632" spans="1:6" x14ac:dyDescent="0.25">
      <c r="A10632" s="1" t="str">
        <f t="shared" si="381"/>
        <v>20500</v>
      </c>
      <c r="B10632" s="1" t="str">
        <f>"27330"</f>
        <v>27330</v>
      </c>
      <c r="C10632" s="2">
        <v>1.49180445789952E-3</v>
      </c>
      <c r="D10632" s="2">
        <v>5.05325351784187E-4</v>
      </c>
      <c r="E10632" s="2">
        <v>4.42673749446657E-4</v>
      </c>
      <c r="F10632" s="2">
        <v>1.3874562741052999E-3</v>
      </c>
    </row>
    <row r="10633" spans="1:6" x14ac:dyDescent="0.25">
      <c r="A10633" s="1" t="str">
        <f t="shared" si="381"/>
        <v>20500</v>
      </c>
      <c r="B10633" s="1" t="str">
        <f>"27707"</f>
        <v>27707</v>
      </c>
      <c r="C10633" s="2">
        <v>7.1124983189834401E-2</v>
      </c>
      <c r="D10633" s="2">
        <v>7.4205084350462497E-2</v>
      </c>
      <c r="E10633" s="2">
        <v>0.10455953961929999</v>
      </c>
      <c r="F10633" s="2">
        <v>7.2405596914521406E-2</v>
      </c>
    </row>
    <row r="10634" spans="1:6" x14ac:dyDescent="0.25">
      <c r="A10634" s="1" t="str">
        <f t="shared" si="381"/>
        <v>20500</v>
      </c>
      <c r="B10634" s="1" t="str">
        <f>"27207"</f>
        <v>27207</v>
      </c>
      <c r="C10634" s="2">
        <v>5.8546288159075704E-3</v>
      </c>
      <c r="D10634" s="2">
        <v>3.0319521107051201E-3</v>
      </c>
      <c r="E10634" s="2">
        <v>1.77069499778663E-4</v>
      </c>
      <c r="F10634" s="2">
        <v>5.4713427213202897E-3</v>
      </c>
    </row>
    <row r="10635" spans="1:6" x14ac:dyDescent="0.25">
      <c r="A10635" s="1" t="str">
        <f t="shared" si="381"/>
        <v>20500</v>
      </c>
      <c r="B10635" s="1" t="str">
        <f>"27278"</f>
        <v>27278</v>
      </c>
      <c r="C10635" s="2">
        <v>4.5576659046058197E-2</v>
      </c>
      <c r="D10635" s="2">
        <v>4.8977687942159599E-2</v>
      </c>
      <c r="E10635" s="2">
        <v>2.52324037184594E-2</v>
      </c>
      <c r="F10635" s="2">
        <v>4.5177818638442897E-2</v>
      </c>
    </row>
    <row r="10636" spans="1:6" x14ac:dyDescent="0.25">
      <c r="A10636" s="1" t="str">
        <f t="shared" si="381"/>
        <v>20500</v>
      </c>
      <c r="B10636" s="1" t="str">
        <f>"27514"</f>
        <v>27514</v>
      </c>
      <c r="C10636" s="2">
        <v>7.2003803006752201E-2</v>
      </c>
      <c r="D10636" s="2">
        <v>6.1766306460390198E-2</v>
      </c>
      <c r="E10636" s="2">
        <v>9.5617529880478003E-2</v>
      </c>
      <c r="F10636" s="2">
        <v>7.2013185039016894E-2</v>
      </c>
    </row>
    <row r="10637" spans="1:6" x14ac:dyDescent="0.25">
      <c r="A10637" s="1" t="str">
        <f t="shared" si="381"/>
        <v>20500</v>
      </c>
      <c r="B10637" s="1" t="str">
        <f>"27507"</f>
        <v>27507</v>
      </c>
      <c r="C10637" s="2">
        <v>2.40815394671412E-3</v>
      </c>
      <c r="D10637" s="2">
        <v>2.3322708543885499E-4</v>
      </c>
      <c r="E10637" s="2">
        <v>1.77069499778663E-4</v>
      </c>
      <c r="F10637" s="2">
        <v>2.18068885101802E-3</v>
      </c>
    </row>
    <row r="10638" spans="1:6" x14ac:dyDescent="0.25">
      <c r="A10638" s="1" t="str">
        <f t="shared" si="381"/>
        <v>20500</v>
      </c>
      <c r="B10638" s="1" t="str">
        <f>"27572"</f>
        <v>27572</v>
      </c>
      <c r="C10638" s="2">
        <v>1.0020422396457101E-2</v>
      </c>
      <c r="D10638" s="2">
        <v>2.2545284925756001E-3</v>
      </c>
      <c r="E10638" s="2">
        <v>0</v>
      </c>
      <c r="F10638" s="2">
        <v>9.1431966992555295E-3</v>
      </c>
    </row>
    <row r="10639" spans="1:6" x14ac:dyDescent="0.25">
      <c r="A10639" s="1" t="str">
        <f t="shared" ref="A10639:A10673" si="382">"20500"</f>
        <v>20500</v>
      </c>
      <c r="B10639" s="1" t="str">
        <f>"27581"</f>
        <v>27581</v>
      </c>
      <c r="C10639" s="2">
        <v>5.1978595577128099E-3</v>
      </c>
      <c r="D10639" s="2">
        <v>5.44196532690663E-4</v>
      </c>
      <c r="E10639" s="2">
        <v>4.42673749446657E-4</v>
      </c>
      <c r="F10639" s="2">
        <v>4.7117454480222398E-3</v>
      </c>
    </row>
    <row r="10640" spans="1:6" x14ac:dyDescent="0.25">
      <c r="A10640" s="1" t="str">
        <f t="shared" si="382"/>
        <v>20500</v>
      </c>
      <c r="B10640" s="1" t="str">
        <f>"27560"</f>
        <v>27560</v>
      </c>
      <c r="C10640" s="2">
        <v>9.9140883260827994E-3</v>
      </c>
      <c r="D10640" s="2">
        <v>6.2582601259426199E-3</v>
      </c>
      <c r="E10640" s="2">
        <v>5.0553342186808299E-2</v>
      </c>
      <c r="F10640" s="2">
        <v>1.09370795587048E-2</v>
      </c>
    </row>
    <row r="10641" spans="1:6" x14ac:dyDescent="0.25">
      <c r="A10641" s="1" t="str">
        <f t="shared" si="382"/>
        <v>20500</v>
      </c>
      <c r="B10641" s="1" t="str">
        <f>"27562"</f>
        <v>27562</v>
      </c>
      <c r="C10641" s="2">
        <v>1.9265231573712899E-3</v>
      </c>
      <c r="D10641" s="2">
        <v>9.7177952266189801E-4</v>
      </c>
      <c r="E10641" s="2">
        <v>5.3120849933598903E-4</v>
      </c>
      <c r="F10641" s="2">
        <v>1.8135034532245E-3</v>
      </c>
    </row>
    <row r="10642" spans="1:6" x14ac:dyDescent="0.25">
      <c r="A10642" s="1" t="str">
        <f t="shared" si="382"/>
        <v>20500</v>
      </c>
      <c r="B10642" s="1" t="str">
        <f>"27701"</f>
        <v>27701</v>
      </c>
      <c r="C10642" s="2">
        <v>4.1257619305263199E-2</v>
      </c>
      <c r="D10642" s="2">
        <v>8.4039493119800898E-2</v>
      </c>
      <c r="E10642" s="2">
        <v>9.7476759628153997E-2</v>
      </c>
      <c r="F10642" s="2">
        <v>4.6122410081621601E-2</v>
      </c>
    </row>
    <row r="10643" spans="1:6" x14ac:dyDescent="0.25">
      <c r="A10643" s="1" t="str">
        <f t="shared" si="382"/>
        <v>20500</v>
      </c>
      <c r="B10643" s="1" t="str">
        <f>"27617"</f>
        <v>27617</v>
      </c>
      <c r="C10643" s="2">
        <v>9.4762421539529599E-4</v>
      </c>
      <c r="D10643" s="2">
        <v>3.8871180906475897E-5</v>
      </c>
      <c r="E10643" s="2">
        <v>0</v>
      </c>
      <c r="F10643" s="2">
        <v>8.52094358238407E-4</v>
      </c>
    </row>
    <row r="10644" spans="1:6" x14ac:dyDescent="0.25">
      <c r="A10644" s="1" t="str">
        <f t="shared" si="382"/>
        <v>20500</v>
      </c>
      <c r="B10644" s="1" t="str">
        <f>"27712"</f>
        <v>27712</v>
      </c>
      <c r="C10644" s="2">
        <v>2.81284890866841E-2</v>
      </c>
      <c r="D10644" s="2">
        <v>5.63632123143901E-3</v>
      </c>
      <c r="E10644" s="2">
        <v>1.4165559982292999E-3</v>
      </c>
      <c r="F10644" s="2">
        <v>2.56609337160283E-2</v>
      </c>
    </row>
    <row r="10645" spans="1:6" x14ac:dyDescent="0.25">
      <c r="A10645" s="1" t="str">
        <f t="shared" si="382"/>
        <v>20500</v>
      </c>
      <c r="B10645" s="1" t="str">
        <f>"27708"</f>
        <v>27708</v>
      </c>
      <c r="C10645" s="2">
        <v>0</v>
      </c>
      <c r="D10645" s="2">
        <v>5.0921246987483404E-3</v>
      </c>
      <c r="E10645" s="2">
        <v>1.77069499778663E-4</v>
      </c>
      <c r="F10645" s="2">
        <v>3.72791281729303E-4</v>
      </c>
    </row>
    <row r="10646" spans="1:6" x14ac:dyDescent="0.25">
      <c r="A10646" s="1" t="str">
        <f t="shared" si="382"/>
        <v>20500</v>
      </c>
      <c r="B10646" s="1" t="str">
        <f>"27305"</f>
        <v>27305</v>
      </c>
      <c r="C10646" s="2">
        <v>7.1931871135616496E-5</v>
      </c>
      <c r="D10646" s="2">
        <v>0</v>
      </c>
      <c r="E10646" s="2">
        <v>0</v>
      </c>
      <c r="F10646" s="2">
        <v>6.4467665261458393E-5</v>
      </c>
    </row>
    <row r="10647" spans="1:6" x14ac:dyDescent="0.25">
      <c r="A10647" s="1" t="str">
        <f t="shared" si="382"/>
        <v>20500</v>
      </c>
      <c r="B10647" s="1" t="str">
        <f>"27541"</f>
        <v>27541</v>
      </c>
      <c r="C10647" s="2">
        <v>5.9203057417270503E-3</v>
      </c>
      <c r="D10647" s="2">
        <v>1.74920314079141E-3</v>
      </c>
      <c r="E10647" s="2">
        <v>8.8534749889331501E-5</v>
      </c>
      <c r="F10647" s="2">
        <v>5.4349044757377304E-3</v>
      </c>
    </row>
    <row r="10648" spans="1:6" x14ac:dyDescent="0.25">
      <c r="A10648" s="1" t="str">
        <f t="shared" si="382"/>
        <v>20500</v>
      </c>
      <c r="B10648" s="1" t="str">
        <f>"27599"</f>
        <v>27599</v>
      </c>
      <c r="C10648" s="2">
        <v>0</v>
      </c>
      <c r="D10648" s="2">
        <v>2.12625359558423E-2</v>
      </c>
      <c r="E10648" s="2">
        <v>2.6560424966799397E-4</v>
      </c>
      <c r="F10648" s="2">
        <v>1.5416180823392201E-3</v>
      </c>
    </row>
    <row r="10649" spans="1:6" x14ac:dyDescent="0.25">
      <c r="A10649" s="1" t="str">
        <f t="shared" si="382"/>
        <v>20500</v>
      </c>
      <c r="B10649" s="1" t="str">
        <f>"27540"</f>
        <v>27540</v>
      </c>
      <c r="C10649" s="2">
        <v>1.2509890632281101E-5</v>
      </c>
      <c r="D10649" s="2">
        <v>0</v>
      </c>
      <c r="E10649" s="2">
        <v>0</v>
      </c>
      <c r="F10649" s="2">
        <v>1.12117678715579E-5</v>
      </c>
    </row>
    <row r="10650" spans="1:6" x14ac:dyDescent="0.25">
      <c r="A10650" s="1" t="str">
        <f t="shared" si="382"/>
        <v>20500</v>
      </c>
      <c r="B10650" s="1" t="str">
        <f>"27298"</f>
        <v>27298</v>
      </c>
      <c r="C10650" s="2">
        <v>1.34481324297022E-4</v>
      </c>
      <c r="D10650" s="2">
        <v>7.7742361812951794E-5</v>
      </c>
      <c r="E10650" s="2">
        <v>0</v>
      </c>
      <c r="F10650" s="2">
        <v>1.2613238855502701E-4</v>
      </c>
    </row>
    <row r="10651" spans="1:6" x14ac:dyDescent="0.25">
      <c r="A10651" s="1" t="str">
        <f t="shared" si="382"/>
        <v>20500</v>
      </c>
      <c r="B10651" s="1" t="str">
        <f>"27252"</f>
        <v>27252</v>
      </c>
      <c r="C10651" s="2">
        <v>2.34873196621078E-3</v>
      </c>
      <c r="D10651" s="2">
        <v>8.9403716084894601E-4</v>
      </c>
      <c r="E10651" s="2">
        <v>8.8534749889331501E-5</v>
      </c>
      <c r="F10651" s="2">
        <v>2.1722800251143602E-3</v>
      </c>
    </row>
    <row r="10652" spans="1:6" x14ac:dyDescent="0.25">
      <c r="A10652" s="1" t="str">
        <f t="shared" si="382"/>
        <v>20500</v>
      </c>
      <c r="B10652" s="1" t="str">
        <f>"27517"</f>
        <v>27517</v>
      </c>
      <c r="C10652" s="2">
        <v>4.4397601853965699E-2</v>
      </c>
      <c r="D10652" s="2">
        <v>3.3623571484101597E-2</v>
      </c>
      <c r="E10652" s="2">
        <v>2.8154050464807401E-2</v>
      </c>
      <c r="F10652" s="2">
        <v>4.3106444524172498E-2</v>
      </c>
    </row>
    <row r="10653" spans="1:6" x14ac:dyDescent="0.25">
      <c r="A10653" s="1" t="str">
        <f t="shared" si="382"/>
        <v>20500</v>
      </c>
      <c r="B10653" s="1" t="str">
        <f>"27574"</f>
        <v>27574</v>
      </c>
      <c r="C10653" s="2">
        <v>2.1019743734890298E-2</v>
      </c>
      <c r="D10653" s="2">
        <v>5.2087382414677703E-3</v>
      </c>
      <c r="E10653" s="2">
        <v>6.1974324922532003E-4</v>
      </c>
      <c r="F10653" s="2">
        <v>1.92337877836577E-2</v>
      </c>
    </row>
    <row r="10654" spans="1:6" x14ac:dyDescent="0.25">
      <c r="A10654" s="1" t="str">
        <f t="shared" si="382"/>
        <v>20500</v>
      </c>
      <c r="B10654" s="1" t="str">
        <f>"27565"</f>
        <v>27565</v>
      </c>
      <c r="C10654" s="2">
        <v>3.4680544305341399E-2</v>
      </c>
      <c r="D10654" s="2">
        <v>3.1369042991526E-2</v>
      </c>
      <c r="E10654" s="2">
        <v>1.46082337317397E-2</v>
      </c>
      <c r="F10654" s="2">
        <v>3.3806283074715199E-2</v>
      </c>
    </row>
    <row r="10655" spans="1:6" x14ac:dyDescent="0.25">
      <c r="A10655" s="1" t="str">
        <f t="shared" si="382"/>
        <v>20500</v>
      </c>
      <c r="B10655" s="1" t="str">
        <f>"27523"</f>
        <v>27523</v>
      </c>
      <c r="C10655" s="2">
        <v>4.6505518425505104E-3</v>
      </c>
      <c r="D10655" s="2">
        <v>2.37114203529503E-3</v>
      </c>
      <c r="E10655" s="2">
        <v>7.0827799911465201E-4</v>
      </c>
      <c r="F10655" s="2">
        <v>4.3613777020360496E-3</v>
      </c>
    </row>
    <row r="10656" spans="1:6" x14ac:dyDescent="0.25">
      <c r="A10656" s="1" t="str">
        <f t="shared" si="382"/>
        <v>20500</v>
      </c>
      <c r="B10656" s="1" t="str">
        <f>"27213"</f>
        <v>27213</v>
      </c>
      <c r="C10656" s="2">
        <v>0</v>
      </c>
      <c r="D10656" s="2">
        <v>0</v>
      </c>
      <c r="E10656" s="2">
        <v>8.8534749889331501E-5</v>
      </c>
      <c r="F10656" s="2">
        <v>2.8029419678894898E-6</v>
      </c>
    </row>
    <row r="10657" spans="1:6" x14ac:dyDescent="0.25">
      <c r="A10657" s="1" t="str">
        <f t="shared" si="382"/>
        <v>20500</v>
      </c>
      <c r="B10657" s="1" t="str">
        <f>"27582"</f>
        <v>27582</v>
      </c>
      <c r="C10657" s="2">
        <v>0</v>
      </c>
      <c r="D10657" s="2">
        <v>3.8871180906475897E-5</v>
      </c>
      <c r="E10657" s="2">
        <v>3.54138999557326E-4</v>
      </c>
      <c r="F10657" s="2">
        <v>1.4014709839447401E-5</v>
      </c>
    </row>
    <row r="10658" spans="1:6" x14ac:dyDescent="0.25">
      <c r="A10658" s="1" t="str">
        <f t="shared" si="382"/>
        <v>20500</v>
      </c>
      <c r="B10658" s="1" t="str">
        <f>"27722"</f>
        <v>27722</v>
      </c>
      <c r="C10658" s="2">
        <v>3.97501774840733E-3</v>
      </c>
      <c r="D10658" s="2">
        <v>9.1347275130218408E-3</v>
      </c>
      <c r="E10658" s="2">
        <v>1.77069499778663E-4</v>
      </c>
      <c r="F10658" s="2">
        <v>4.2268364875773599E-3</v>
      </c>
    </row>
    <row r="10659" spans="1:6" x14ac:dyDescent="0.25">
      <c r="A10659" s="1" t="str">
        <f t="shared" si="382"/>
        <v>20500</v>
      </c>
      <c r="B10659" s="1" t="str">
        <f>"27544"</f>
        <v>27544</v>
      </c>
      <c r="C10659" s="2">
        <v>8.5380003565318802E-4</v>
      </c>
      <c r="D10659" s="2">
        <v>1.1661354271942701E-4</v>
      </c>
      <c r="E10659" s="2">
        <v>0</v>
      </c>
      <c r="F10659" s="2">
        <v>7.7361198313750099E-4</v>
      </c>
    </row>
    <row r="10660" spans="1:6" x14ac:dyDescent="0.25">
      <c r="A10660" s="1" t="str">
        <f t="shared" si="382"/>
        <v>20500</v>
      </c>
      <c r="B10660" s="1" t="str">
        <f>"27519"</f>
        <v>27519</v>
      </c>
      <c r="C10660" s="2">
        <v>5.8765211245140597E-3</v>
      </c>
      <c r="D10660" s="2">
        <v>3.8871180906475897E-5</v>
      </c>
      <c r="E10660" s="2">
        <v>0</v>
      </c>
      <c r="F10660" s="2">
        <v>5.2695308996322503E-3</v>
      </c>
    </row>
    <row r="10661" spans="1:6" x14ac:dyDescent="0.25">
      <c r="A10661" s="1" t="str">
        <f t="shared" si="382"/>
        <v>20500</v>
      </c>
      <c r="B10661" s="1" t="str">
        <f>"27509"</f>
        <v>27509</v>
      </c>
      <c r="C10661" s="2">
        <v>5.4605672609907199E-3</v>
      </c>
      <c r="D10661" s="2">
        <v>6.1805177641296701E-3</v>
      </c>
      <c r="E10661" s="2">
        <v>5.6662239929172204E-3</v>
      </c>
      <c r="F10661" s="2">
        <v>5.5189927347744101E-3</v>
      </c>
    </row>
    <row r="10662" spans="1:6" x14ac:dyDescent="0.25">
      <c r="A10662" s="1" t="str">
        <f t="shared" si="382"/>
        <v>20500</v>
      </c>
      <c r="B10662" s="1" t="str">
        <f>"27503"</f>
        <v>27503</v>
      </c>
      <c r="C10662" s="2">
        <v>4.9070046005122801E-3</v>
      </c>
      <c r="D10662" s="2">
        <v>1.0883930653813199E-3</v>
      </c>
      <c r="E10662" s="2">
        <v>0</v>
      </c>
      <c r="F10662" s="2">
        <v>4.4762983227195196E-3</v>
      </c>
    </row>
    <row r="10663" spans="1:6" x14ac:dyDescent="0.25">
      <c r="A10663" s="1" t="str">
        <f t="shared" si="382"/>
        <v>20500</v>
      </c>
      <c r="B10663" s="1" t="str">
        <f>"27705"</f>
        <v>27705</v>
      </c>
      <c r="C10663" s="2">
        <v>7.9456570350933703E-2</v>
      </c>
      <c r="D10663" s="2">
        <v>7.6265256938505693E-2</v>
      </c>
      <c r="E10663" s="2">
        <v>0.100841080123948</v>
      </c>
      <c r="F10663" s="2">
        <v>7.9903466678625801E-2</v>
      </c>
    </row>
    <row r="10664" spans="1:6" x14ac:dyDescent="0.25">
      <c r="A10664" s="1" t="str">
        <f t="shared" si="382"/>
        <v>20500</v>
      </c>
      <c r="B10664" s="1" t="str">
        <f>"27325"</f>
        <v>27325</v>
      </c>
      <c r="C10664" s="2">
        <v>3.1274726580702799E-6</v>
      </c>
      <c r="D10664" s="2">
        <v>0</v>
      </c>
      <c r="E10664" s="2">
        <v>0</v>
      </c>
      <c r="F10664" s="2">
        <v>2.8029419678894898E-6</v>
      </c>
    </row>
    <row r="10665" spans="1:6" x14ac:dyDescent="0.25">
      <c r="A10665" s="1" t="str">
        <f t="shared" si="382"/>
        <v>20500</v>
      </c>
      <c r="B10665" s="1" t="str">
        <f>"27710"</f>
        <v>27710</v>
      </c>
      <c r="C10665" s="2">
        <v>0</v>
      </c>
      <c r="D10665" s="2">
        <v>1.2050066081007501E-3</v>
      </c>
      <c r="E10665" s="2">
        <v>6.1974324922532003E-4</v>
      </c>
      <c r="F10665" s="2">
        <v>1.0651179477979999E-4</v>
      </c>
    </row>
    <row r="10666" spans="1:6" x14ac:dyDescent="0.25">
      <c r="A10666" s="1" t="str">
        <f t="shared" si="382"/>
        <v>20500</v>
      </c>
      <c r="B10666" s="1" t="str">
        <f>"27349"</f>
        <v>27349</v>
      </c>
      <c r="C10666" s="2">
        <v>4.3471869947176898E-4</v>
      </c>
      <c r="D10666" s="2">
        <v>7.7742361812951794E-5</v>
      </c>
      <c r="E10666" s="2">
        <v>0</v>
      </c>
      <c r="F10666" s="2">
        <v>3.9521481747241898E-4</v>
      </c>
    </row>
    <row r="10667" spans="1:6" x14ac:dyDescent="0.25">
      <c r="A10667" s="1" t="str">
        <f t="shared" si="382"/>
        <v>20500</v>
      </c>
      <c r="B10667" s="1" t="str">
        <f>"27587"</f>
        <v>27587</v>
      </c>
      <c r="C10667" s="2">
        <v>4.0250573109364496E-3</v>
      </c>
      <c r="D10667" s="2">
        <v>3.1096944725180701E-4</v>
      </c>
      <c r="E10667" s="2">
        <v>1.77069499778663E-4</v>
      </c>
      <c r="F10667" s="2">
        <v>3.6354157323526702E-3</v>
      </c>
    </row>
    <row r="10668" spans="1:6" x14ac:dyDescent="0.25">
      <c r="A10668" s="1" t="str">
        <f t="shared" si="382"/>
        <v>20500</v>
      </c>
      <c r="B10668" s="1" t="str">
        <f>"27291"</f>
        <v>27291</v>
      </c>
      <c r="C10668" s="2">
        <v>9.35114324763015E-4</v>
      </c>
      <c r="D10668" s="2">
        <v>1.9435590453237899E-4</v>
      </c>
      <c r="E10668" s="2">
        <v>0</v>
      </c>
      <c r="F10668" s="2">
        <v>8.52094358238407E-4</v>
      </c>
    </row>
    <row r="10669" spans="1:6" x14ac:dyDescent="0.25">
      <c r="A10669" s="1" t="str">
        <f t="shared" si="382"/>
        <v>20500</v>
      </c>
      <c r="B10669" s="1" t="str">
        <f>"27502"</f>
        <v>27502</v>
      </c>
      <c r="C10669" s="2">
        <v>3.1274726580702802E-4</v>
      </c>
      <c r="D10669" s="2">
        <v>1.9435590453237899E-4</v>
      </c>
      <c r="E10669" s="2">
        <v>0</v>
      </c>
      <c r="F10669" s="2">
        <v>2.9430890662839699E-4</v>
      </c>
    </row>
    <row r="10670" spans="1:6" x14ac:dyDescent="0.25">
      <c r="A10670" s="1" t="str">
        <f t="shared" si="382"/>
        <v>20500</v>
      </c>
      <c r="B10670" s="1" t="str">
        <f>"27715"</f>
        <v>27715</v>
      </c>
      <c r="C10670" s="2">
        <v>3.76860455297469E-3</v>
      </c>
      <c r="D10670" s="2">
        <v>1.4187981030863699E-2</v>
      </c>
      <c r="E10670" s="2">
        <v>1.77069499778663E-4</v>
      </c>
      <c r="F10670" s="2">
        <v>4.4062247735222803E-3</v>
      </c>
    </row>
    <row r="10671" spans="1:6" x14ac:dyDescent="0.25">
      <c r="A10671" s="1" t="str">
        <f t="shared" si="382"/>
        <v>20500</v>
      </c>
      <c r="B10671" s="1" t="str">
        <f>"27709"</f>
        <v>27709</v>
      </c>
      <c r="C10671" s="2">
        <v>4.4378837018017297E-3</v>
      </c>
      <c r="D10671" s="2">
        <v>2.7287568996346101E-2</v>
      </c>
      <c r="E10671" s="2">
        <v>1.38114209827357E-2</v>
      </c>
      <c r="F10671" s="2">
        <v>6.3822988608843801E-3</v>
      </c>
    </row>
    <row r="10672" spans="1:6" x14ac:dyDescent="0.25">
      <c r="A10672" s="1" t="str">
        <f t="shared" si="382"/>
        <v>20500</v>
      </c>
      <c r="B10672" s="1" t="str">
        <f>"27243"</f>
        <v>27243</v>
      </c>
      <c r="C10672" s="2">
        <v>6.5895848905540896E-3</v>
      </c>
      <c r="D10672" s="2">
        <v>1.04952188447485E-3</v>
      </c>
      <c r="E10672" s="2">
        <v>9.7388224878264696E-4</v>
      </c>
      <c r="F10672" s="2">
        <v>6.0123105211229702E-3</v>
      </c>
    </row>
    <row r="10673" spans="1:6" x14ac:dyDescent="0.25">
      <c r="A10673" s="1" t="str">
        <f t="shared" si="382"/>
        <v>20500</v>
      </c>
      <c r="B10673" s="1" t="str">
        <f>"27343"</f>
        <v>27343</v>
      </c>
      <c r="C10673" s="2">
        <v>2.4237913100044698E-3</v>
      </c>
      <c r="D10673" s="2">
        <v>6.6081007541009002E-4</v>
      </c>
      <c r="E10673" s="2">
        <v>0</v>
      </c>
      <c r="F10673" s="2">
        <v>2.2199300385684802E-3</v>
      </c>
    </row>
    <row r="10674" spans="1:6" x14ac:dyDescent="0.25">
      <c r="A10674" s="1" t="str">
        <f t="shared" ref="A10674:A10685" si="383">"20540"</f>
        <v>20540</v>
      </c>
      <c r="B10674" s="1" t="str">
        <f>"38240"</f>
        <v>38240</v>
      </c>
      <c r="C10674" s="2">
        <v>1.40654584798485E-3</v>
      </c>
      <c r="D10674" s="2">
        <v>9.9354197714853409E-4</v>
      </c>
      <c r="E10674" s="2">
        <v>0</v>
      </c>
      <c r="F10674" s="2">
        <v>1.3360053440213699E-3</v>
      </c>
    </row>
    <row r="10675" spans="1:6" x14ac:dyDescent="0.25">
      <c r="A10675" s="1" t="str">
        <f t="shared" si="383"/>
        <v>20540</v>
      </c>
      <c r="B10675" s="1" t="str">
        <f>"38080"</f>
        <v>38080</v>
      </c>
      <c r="C10675" s="2">
        <v>8.1146875845279891E-3</v>
      </c>
      <c r="D10675" s="2">
        <v>1.4903129657228001E-3</v>
      </c>
      <c r="E10675" s="2">
        <v>0</v>
      </c>
      <c r="F10675" s="2">
        <v>7.30031491554537E-3</v>
      </c>
    </row>
    <row r="10676" spans="1:6" x14ac:dyDescent="0.25">
      <c r="A10676" s="1" t="str">
        <f t="shared" si="383"/>
        <v>20540</v>
      </c>
      <c r="B10676" s="1" t="str">
        <f>"38034"</f>
        <v>38034</v>
      </c>
      <c r="C10676" s="2">
        <v>1.79605085204219E-2</v>
      </c>
      <c r="D10676" s="2">
        <v>5.4644808743169303E-3</v>
      </c>
      <c r="E10676" s="2">
        <v>0</v>
      </c>
      <c r="F10676" s="2">
        <v>1.6366065464261802E-2</v>
      </c>
    </row>
    <row r="10677" spans="1:6" x14ac:dyDescent="0.25">
      <c r="A10677" s="1" t="str">
        <f t="shared" si="383"/>
        <v>20540</v>
      </c>
      <c r="B10677" s="1" t="str">
        <f>"38059"</f>
        <v>38059</v>
      </c>
      <c r="C10677" s="2">
        <v>0.18241817690018899</v>
      </c>
      <c r="D10677" s="2">
        <v>0.113760556383507</v>
      </c>
      <c r="E10677" s="2">
        <v>9.3478260869565205E-2</v>
      </c>
      <c r="F10677" s="2">
        <v>0.17387155262906701</v>
      </c>
    </row>
    <row r="10678" spans="1:6" x14ac:dyDescent="0.25">
      <c r="A10678" s="1" t="str">
        <f t="shared" si="383"/>
        <v>20540</v>
      </c>
      <c r="B10678" s="1" t="str">
        <f>"38040"</f>
        <v>38040</v>
      </c>
      <c r="C10678" s="2">
        <v>7.1950229916148203E-3</v>
      </c>
      <c r="D10678" s="2">
        <v>1.4903129657228001E-3</v>
      </c>
      <c r="E10678" s="2">
        <v>0</v>
      </c>
      <c r="F10678" s="2">
        <v>6.4891688138181101E-3</v>
      </c>
    </row>
    <row r="10679" spans="1:6" x14ac:dyDescent="0.25">
      <c r="A10679" s="1" t="str">
        <f t="shared" si="383"/>
        <v>20540</v>
      </c>
      <c r="B10679" s="1" t="str">
        <f>"38025"</f>
        <v>38025</v>
      </c>
      <c r="C10679" s="2">
        <v>5.2529077630511199E-2</v>
      </c>
      <c r="D10679" s="2">
        <v>0.14903129657228001</v>
      </c>
      <c r="E10679" s="2">
        <v>2.17391304347826E-3</v>
      </c>
      <c r="F10679" s="2">
        <v>6.06928141998282E-2</v>
      </c>
    </row>
    <row r="10680" spans="1:6" x14ac:dyDescent="0.25">
      <c r="A10680" s="1" t="str">
        <f t="shared" si="383"/>
        <v>20540</v>
      </c>
      <c r="B10680" s="1" t="str">
        <f>"38030"</f>
        <v>38030</v>
      </c>
      <c r="C10680" s="2">
        <v>1.6012983500135199E-2</v>
      </c>
      <c r="D10680" s="2">
        <v>2.4838549428713298E-3</v>
      </c>
      <c r="E10680" s="2">
        <v>0</v>
      </c>
      <c r="F10680" s="2">
        <v>1.4362057448229699E-2</v>
      </c>
    </row>
    <row r="10681" spans="1:6" x14ac:dyDescent="0.25">
      <c r="A10681" s="1" t="str">
        <f t="shared" si="383"/>
        <v>20540</v>
      </c>
      <c r="B10681" s="1" t="str">
        <f>"38259"</f>
        <v>38259</v>
      </c>
      <c r="C10681" s="2">
        <v>1.8501487692723799E-2</v>
      </c>
      <c r="D10681" s="2">
        <v>4.96770988574267E-3</v>
      </c>
      <c r="E10681" s="2">
        <v>0</v>
      </c>
      <c r="F10681" s="2">
        <v>1.67954957534115E-2</v>
      </c>
    </row>
    <row r="10682" spans="1:6" x14ac:dyDescent="0.25">
      <c r="A10682" s="1" t="str">
        <f t="shared" si="383"/>
        <v>20540</v>
      </c>
      <c r="B10682" s="1" t="str">
        <f>"38024"</f>
        <v>38024</v>
      </c>
      <c r="C10682" s="2">
        <v>0.69440086556667502</v>
      </c>
      <c r="D10682" s="2">
        <v>0.71882762046696402</v>
      </c>
      <c r="E10682" s="2">
        <v>0.90434782608695596</v>
      </c>
      <c r="F10682" s="2">
        <v>0.70135509113465</v>
      </c>
    </row>
    <row r="10683" spans="1:6" x14ac:dyDescent="0.25">
      <c r="A10683" s="1" t="str">
        <f t="shared" si="383"/>
        <v>20540</v>
      </c>
      <c r="B10683" s="1" t="str">
        <f>"38007"</f>
        <v>38007</v>
      </c>
      <c r="C10683" s="2">
        <v>0</v>
      </c>
      <c r="D10683" s="2">
        <v>4.9677098857426705E-4</v>
      </c>
      <c r="E10683" s="2">
        <v>0</v>
      </c>
      <c r="F10683" s="2">
        <v>4.7714476572191999E-5</v>
      </c>
    </row>
    <row r="10684" spans="1:6" x14ac:dyDescent="0.25">
      <c r="A10684" s="1" t="str">
        <f t="shared" si="383"/>
        <v>20540</v>
      </c>
      <c r="B10684" s="1" t="str">
        <f>"38070"</f>
        <v>38070</v>
      </c>
      <c r="C10684" s="2">
        <v>0</v>
      </c>
      <c r="D10684" s="2">
        <v>4.9677098857426705E-4</v>
      </c>
      <c r="E10684" s="2">
        <v>0</v>
      </c>
      <c r="F10684" s="2">
        <v>4.7714476572191999E-5</v>
      </c>
    </row>
    <row r="10685" spans="1:6" x14ac:dyDescent="0.25">
      <c r="A10685" s="1" t="str">
        <f t="shared" si="383"/>
        <v>20540</v>
      </c>
      <c r="B10685" s="1" t="str">
        <f>"38047"</f>
        <v>38047</v>
      </c>
      <c r="C10685" s="2">
        <v>1.46064376521503E-3</v>
      </c>
      <c r="D10685" s="2">
        <v>4.9677098857426705E-4</v>
      </c>
      <c r="E10685" s="2">
        <v>0</v>
      </c>
      <c r="F10685" s="2">
        <v>1.3360053440213699E-3</v>
      </c>
    </row>
    <row r="10686" spans="1:6" x14ac:dyDescent="0.25">
      <c r="A10686" s="1" t="str">
        <f>"20580"</f>
        <v>20580</v>
      </c>
      <c r="B10686" s="1" t="str">
        <f>"78852"</f>
        <v>78852</v>
      </c>
      <c r="C10686" s="2">
        <v>0.75595214747989803</v>
      </c>
      <c r="D10686" s="2">
        <v>0.86793396698349101</v>
      </c>
      <c r="E10686" s="2">
        <v>0.99901574803149595</v>
      </c>
      <c r="F10686" s="2">
        <v>0.77246580147316701</v>
      </c>
    </row>
    <row r="10687" spans="1:6" x14ac:dyDescent="0.25">
      <c r="A10687" s="1" t="str">
        <f>"20580"</f>
        <v>20580</v>
      </c>
      <c r="B10687" s="1" t="str">
        <f>"78877"</f>
        <v>78877</v>
      </c>
      <c r="C10687" s="2">
        <v>1.0394194940184299E-2</v>
      </c>
      <c r="D10687" s="2">
        <v>3.0015007503751798E-3</v>
      </c>
      <c r="E10687" s="2">
        <v>0</v>
      </c>
      <c r="F10687" s="2">
        <v>9.5054366888810901E-3</v>
      </c>
    </row>
    <row r="10688" spans="1:6" x14ac:dyDescent="0.25">
      <c r="A10688" s="1" t="str">
        <f>"20580"</f>
        <v>20580</v>
      </c>
      <c r="B10688" s="1" t="str">
        <f>"78853"</f>
        <v>78853</v>
      </c>
      <c r="C10688" s="2">
        <v>0.23051578740929499</v>
      </c>
      <c r="D10688" s="2">
        <v>0.12856428214106999</v>
      </c>
      <c r="E10688" s="2">
        <v>9.8425196850393699E-4</v>
      </c>
      <c r="F10688" s="2">
        <v>0.21518765345492799</v>
      </c>
    </row>
    <row r="10689" spans="1:6" x14ac:dyDescent="0.25">
      <c r="A10689" s="1" t="str">
        <f>"20580"</f>
        <v>20580</v>
      </c>
      <c r="B10689" s="1" t="str">
        <f>"78860"</f>
        <v>78860</v>
      </c>
      <c r="C10689" s="2">
        <v>3.13787017062169E-3</v>
      </c>
      <c r="D10689" s="2">
        <v>5.0025012506253101E-4</v>
      </c>
      <c r="E10689" s="2">
        <v>0</v>
      </c>
      <c r="F10689" s="2">
        <v>2.8411083830234998E-3</v>
      </c>
    </row>
    <row r="10690" spans="1:6" x14ac:dyDescent="0.25">
      <c r="A10690" s="1" t="str">
        <f t="shared" ref="A10690:A10705" si="384">"20660"</f>
        <v>20660</v>
      </c>
      <c r="B10690" s="1" t="str">
        <f>"21673"</f>
        <v>21673</v>
      </c>
      <c r="C10690" s="2">
        <v>6.5644815473746607E-2</v>
      </c>
      <c r="D10690" s="2">
        <v>2.0670958996950099E-2</v>
      </c>
      <c r="E10690" s="2">
        <v>4.08163265306122E-2</v>
      </c>
      <c r="F10690" s="2">
        <v>5.9641220781237798E-2</v>
      </c>
    </row>
    <row r="10691" spans="1:6" x14ac:dyDescent="0.25">
      <c r="A10691" s="1" t="str">
        <f t="shared" si="384"/>
        <v>20660</v>
      </c>
      <c r="B10691" s="1" t="str">
        <f>"21625"</f>
        <v>21625</v>
      </c>
      <c r="C10691" s="2">
        <v>4.45235162629442E-2</v>
      </c>
      <c r="D10691" s="2">
        <v>7.7939681463910504E-3</v>
      </c>
      <c r="E10691" s="2">
        <v>0</v>
      </c>
      <c r="F10691" s="2">
        <v>3.8790090859672201E-2</v>
      </c>
    </row>
    <row r="10692" spans="1:6" x14ac:dyDescent="0.25">
      <c r="A10692" s="1" t="str">
        <f t="shared" si="384"/>
        <v>20660</v>
      </c>
      <c r="B10692" s="1" t="str">
        <f>"21663"</f>
        <v>21663</v>
      </c>
      <c r="C10692" s="2">
        <v>0.122257196295789</v>
      </c>
      <c r="D10692" s="2">
        <v>9.0477804134191694E-2</v>
      </c>
      <c r="E10692" s="2">
        <v>7.4829931972789102E-2</v>
      </c>
      <c r="F10692" s="2">
        <v>0.116991535295488</v>
      </c>
    </row>
    <row r="10693" spans="1:6" x14ac:dyDescent="0.25">
      <c r="A10693" s="1" t="str">
        <f t="shared" si="384"/>
        <v>20660</v>
      </c>
      <c r="B10693" s="1" t="str">
        <f>"21653"</f>
        <v>21653</v>
      </c>
      <c r="C10693" s="2">
        <v>4.5618356826787E-5</v>
      </c>
      <c r="D10693" s="2">
        <v>3.3886818027787101E-4</v>
      </c>
      <c r="E10693" s="2">
        <v>0</v>
      </c>
      <c r="F10693" s="2">
        <v>7.7657839558903401E-5</v>
      </c>
    </row>
    <row r="10694" spans="1:6" x14ac:dyDescent="0.25">
      <c r="A10694" s="1" t="str">
        <f t="shared" si="384"/>
        <v>20660</v>
      </c>
      <c r="B10694" s="1" t="str">
        <f>"21601"</f>
        <v>21601</v>
      </c>
      <c r="C10694" s="2">
        <v>0.62697869622736102</v>
      </c>
      <c r="D10694" s="2">
        <v>0.84750931887495695</v>
      </c>
      <c r="E10694" s="2">
        <v>0.87301587301587302</v>
      </c>
      <c r="F10694" s="2">
        <v>0.660674070047371</v>
      </c>
    </row>
    <row r="10695" spans="1:6" x14ac:dyDescent="0.25">
      <c r="A10695" s="1" t="str">
        <f t="shared" si="384"/>
        <v>20660</v>
      </c>
      <c r="B10695" s="1" t="str">
        <f>"21654"</f>
        <v>21654</v>
      </c>
      <c r="C10695" s="2">
        <v>3.5856028465854603E-2</v>
      </c>
      <c r="D10695" s="2">
        <v>1.1182649949169701E-2</v>
      </c>
      <c r="E10695" s="2">
        <v>3.40136054421768E-3</v>
      </c>
      <c r="F10695" s="2">
        <v>3.1917372058709301E-2</v>
      </c>
    </row>
    <row r="10696" spans="1:6" x14ac:dyDescent="0.25">
      <c r="A10696" s="1" t="str">
        <f t="shared" si="384"/>
        <v>20660</v>
      </c>
      <c r="B10696" s="1" t="str">
        <f>"21665"</f>
        <v>21665</v>
      </c>
      <c r="C10696" s="2">
        <v>8.0288308015145204E-3</v>
      </c>
      <c r="D10696" s="2">
        <v>6.7773636055574299E-4</v>
      </c>
      <c r="E10696" s="2">
        <v>1.13378684807256E-3</v>
      </c>
      <c r="F10696" s="2">
        <v>6.9503766405218598E-3</v>
      </c>
    </row>
    <row r="10697" spans="1:6" x14ac:dyDescent="0.25">
      <c r="A10697" s="1" t="str">
        <f t="shared" si="384"/>
        <v>20660</v>
      </c>
      <c r="B10697" s="1" t="str">
        <f>"21679"</f>
        <v>21679</v>
      </c>
      <c r="C10697" s="2">
        <v>9.5798549336252904E-3</v>
      </c>
      <c r="D10697" s="2">
        <v>2.7109454422229698E-3</v>
      </c>
      <c r="E10697" s="2">
        <v>4.53514739229024E-3</v>
      </c>
      <c r="F10697" s="2">
        <v>8.6200201910382798E-3</v>
      </c>
    </row>
    <row r="10698" spans="1:6" x14ac:dyDescent="0.25">
      <c r="A10698" s="1" t="str">
        <f t="shared" si="384"/>
        <v>20660</v>
      </c>
      <c r="B10698" s="1" t="str">
        <f>"21612"</f>
        <v>21612</v>
      </c>
      <c r="C10698" s="2">
        <v>8.7131061539163293E-3</v>
      </c>
      <c r="D10698" s="2">
        <v>1.01660454083361E-3</v>
      </c>
      <c r="E10698" s="2">
        <v>0</v>
      </c>
      <c r="F10698" s="2">
        <v>7.5328104372136299E-3</v>
      </c>
    </row>
    <row r="10699" spans="1:6" x14ac:dyDescent="0.25">
      <c r="A10699" s="1" t="str">
        <f t="shared" si="384"/>
        <v>20660</v>
      </c>
      <c r="B10699" s="1" t="str">
        <f>"21652"</f>
        <v>21652</v>
      </c>
      <c r="C10699" s="2">
        <v>5.9303863874823198E-3</v>
      </c>
      <c r="D10699" s="2">
        <v>1.01660454083361E-3</v>
      </c>
      <c r="E10699" s="2">
        <v>0</v>
      </c>
      <c r="F10699" s="2">
        <v>5.1642463306670796E-3</v>
      </c>
    </row>
    <row r="10700" spans="1:6" x14ac:dyDescent="0.25">
      <c r="A10700" s="1" t="str">
        <f t="shared" si="384"/>
        <v>20660</v>
      </c>
      <c r="B10700" s="1" t="str">
        <f>"21624"</f>
        <v>21624</v>
      </c>
      <c r="C10700" s="2">
        <v>4.5162173258519204E-3</v>
      </c>
      <c r="D10700" s="2">
        <v>6.7773636055574299E-4</v>
      </c>
      <c r="E10700" s="2">
        <v>0</v>
      </c>
      <c r="F10700" s="2">
        <v>3.9217208977246204E-3</v>
      </c>
    </row>
    <row r="10701" spans="1:6" x14ac:dyDescent="0.25">
      <c r="A10701" s="1" t="str">
        <f t="shared" si="384"/>
        <v>20660</v>
      </c>
      <c r="B10701" s="1" t="str">
        <f>"21662"</f>
        <v>21662</v>
      </c>
      <c r="C10701" s="2">
        <v>3.04730623602937E-2</v>
      </c>
      <c r="D10701" s="2">
        <v>8.4717045069467901E-3</v>
      </c>
      <c r="E10701" s="2">
        <v>1.13378684807256E-3</v>
      </c>
      <c r="F10701" s="2">
        <v>2.6947270326939499E-2</v>
      </c>
    </row>
    <row r="10702" spans="1:6" x14ac:dyDescent="0.25">
      <c r="A10702" s="1" t="str">
        <f t="shared" si="384"/>
        <v>20660</v>
      </c>
      <c r="B10702" s="1" t="str">
        <f>"21647"</f>
        <v>21647</v>
      </c>
      <c r="C10702" s="2">
        <v>8.0288308015145204E-3</v>
      </c>
      <c r="D10702" s="2">
        <v>2.7109454422229698E-3</v>
      </c>
      <c r="E10702" s="2">
        <v>0</v>
      </c>
      <c r="F10702" s="2">
        <v>7.1445212394191096E-3</v>
      </c>
    </row>
    <row r="10703" spans="1:6" x14ac:dyDescent="0.25">
      <c r="A10703" s="1" t="str">
        <f t="shared" si="384"/>
        <v>20660</v>
      </c>
      <c r="B10703" s="1" t="str">
        <f>"21671"</f>
        <v>21671</v>
      </c>
      <c r="C10703" s="2">
        <v>1.78823958761005E-2</v>
      </c>
      <c r="D10703" s="2">
        <v>3.0498136225008401E-3</v>
      </c>
      <c r="E10703" s="2">
        <v>0</v>
      </c>
      <c r="F10703" s="2">
        <v>1.5570396831560101E-2</v>
      </c>
    </row>
    <row r="10704" spans="1:6" x14ac:dyDescent="0.25">
      <c r="A10704" s="1" t="str">
        <f t="shared" si="384"/>
        <v>20660</v>
      </c>
      <c r="B10704" s="1" t="str">
        <f>"21657"</f>
        <v>21657</v>
      </c>
      <c r="C10704" s="2">
        <v>6.0216231011358898E-3</v>
      </c>
      <c r="D10704" s="2">
        <v>1.01660454083361E-3</v>
      </c>
      <c r="E10704" s="2">
        <v>0</v>
      </c>
      <c r="F10704" s="2">
        <v>5.2419041702259804E-3</v>
      </c>
    </row>
    <row r="10705" spans="1:6" x14ac:dyDescent="0.25">
      <c r="A10705" s="1" t="str">
        <f t="shared" si="384"/>
        <v>20660</v>
      </c>
      <c r="B10705" s="1" t="str">
        <f>"21676"</f>
        <v>21676</v>
      </c>
      <c r="C10705" s="2">
        <v>5.5198211760412296E-3</v>
      </c>
      <c r="D10705" s="2">
        <v>6.7773636055574299E-4</v>
      </c>
      <c r="E10705" s="2">
        <v>1.13378684807256E-3</v>
      </c>
      <c r="F10705" s="2">
        <v>4.8147860526520101E-3</v>
      </c>
    </row>
    <row r="10706" spans="1:6" x14ac:dyDescent="0.25">
      <c r="A10706" s="1" t="str">
        <f t="shared" ref="A10706:A10745" si="385">"20700"</f>
        <v>20700</v>
      </c>
      <c r="B10706" s="1" t="str">
        <f>"18424"</f>
        <v>18424</v>
      </c>
      <c r="C10706" s="2">
        <v>3.9055740946730899E-3</v>
      </c>
      <c r="D10706" s="2">
        <v>1.8604651162790599E-4</v>
      </c>
      <c r="E10706" s="2">
        <v>1.1142061281337E-3</v>
      </c>
      <c r="F10706" s="2">
        <v>3.62170753860127E-3</v>
      </c>
    </row>
    <row r="10707" spans="1:6" x14ac:dyDescent="0.25">
      <c r="A10707" s="1" t="str">
        <f t="shared" si="385"/>
        <v>20700</v>
      </c>
      <c r="B10707" s="1" t="str">
        <f>"18370"</f>
        <v>18370</v>
      </c>
      <c r="C10707" s="2">
        <v>1.27301940427635E-2</v>
      </c>
      <c r="D10707" s="2">
        <v>1.5627906976744099E-2</v>
      </c>
      <c r="E10707" s="2">
        <v>5.0139275766016697E-3</v>
      </c>
      <c r="F10707" s="2">
        <v>1.27497729336966E-2</v>
      </c>
    </row>
    <row r="10708" spans="1:6" x14ac:dyDescent="0.25">
      <c r="A10708" s="1" t="str">
        <f t="shared" si="385"/>
        <v>20700</v>
      </c>
      <c r="B10708" s="1" t="str">
        <f>"18355"</f>
        <v>18355</v>
      </c>
      <c r="C10708" s="2">
        <v>7.5021628970461003E-3</v>
      </c>
      <c r="D10708" s="2">
        <v>3.7209302325581302E-3</v>
      </c>
      <c r="E10708" s="2">
        <v>2.2284122562674E-3</v>
      </c>
      <c r="F10708" s="2">
        <v>7.1639418710263301E-3</v>
      </c>
    </row>
    <row r="10709" spans="1:6" x14ac:dyDescent="0.25">
      <c r="A10709" s="1" t="str">
        <f t="shared" si="385"/>
        <v>20700</v>
      </c>
      <c r="B10709" s="1" t="str">
        <f>"18346"</f>
        <v>18346</v>
      </c>
      <c r="C10709" s="2">
        <v>2.4409838091706802E-2</v>
      </c>
      <c r="D10709" s="2">
        <v>2.67906976744186E-2</v>
      </c>
      <c r="E10709" s="2">
        <v>8.3565459610027808E-3</v>
      </c>
      <c r="F10709" s="2">
        <v>2.4227974568574E-2</v>
      </c>
    </row>
    <row r="10710" spans="1:6" x14ac:dyDescent="0.25">
      <c r="A10710" s="1" t="str">
        <f t="shared" si="385"/>
        <v>20700</v>
      </c>
      <c r="B10710" s="1" t="str">
        <f>"18341"</f>
        <v>18341</v>
      </c>
      <c r="C10710" s="2">
        <v>0</v>
      </c>
      <c r="D10710" s="2">
        <v>1.8604651162790599E-4</v>
      </c>
      <c r="E10710" s="2">
        <v>0</v>
      </c>
      <c r="F10710" s="2">
        <v>1.1353315168029E-5</v>
      </c>
    </row>
    <row r="10711" spans="1:6" x14ac:dyDescent="0.25">
      <c r="A10711" s="1" t="str">
        <f t="shared" si="385"/>
        <v>20700</v>
      </c>
      <c r="B10711" s="1" t="str">
        <f>"18333"</f>
        <v>18333</v>
      </c>
      <c r="C10711" s="2">
        <v>1.0629094055122901E-3</v>
      </c>
      <c r="D10711" s="2">
        <v>3.9069767441860404E-3</v>
      </c>
      <c r="E10711" s="2">
        <v>1.1142061281337E-3</v>
      </c>
      <c r="F10711" s="2">
        <v>1.2375113533151601E-3</v>
      </c>
    </row>
    <row r="10712" spans="1:6" x14ac:dyDescent="0.25">
      <c r="A10712" s="1" t="str">
        <f t="shared" si="385"/>
        <v>20700</v>
      </c>
      <c r="B10712" s="1" t="str">
        <f>"18071"</f>
        <v>18071</v>
      </c>
      <c r="C10712" s="2">
        <v>1.3224570510443701E-3</v>
      </c>
      <c r="D10712" s="2">
        <v>1.8604651162790599E-4</v>
      </c>
      <c r="E10712" s="2">
        <v>1.1142061281337E-3</v>
      </c>
      <c r="F10712" s="2">
        <v>1.2488646684831899E-3</v>
      </c>
    </row>
    <row r="10713" spans="1:6" x14ac:dyDescent="0.25">
      <c r="A10713" s="1" t="str">
        <f t="shared" si="385"/>
        <v>20700</v>
      </c>
      <c r="B10713" s="1" t="str">
        <f>"18210"</f>
        <v>18210</v>
      </c>
      <c r="C10713" s="2">
        <v>1.19762699295513E-2</v>
      </c>
      <c r="D10713" s="2">
        <v>7.4418604651162699E-4</v>
      </c>
      <c r="E10713" s="2">
        <v>0</v>
      </c>
      <c r="F10713" s="2">
        <v>1.10467756584922E-2</v>
      </c>
    </row>
    <row r="10714" spans="1:6" x14ac:dyDescent="0.25">
      <c r="A10714" s="1" t="str">
        <f t="shared" si="385"/>
        <v>20700</v>
      </c>
      <c r="B10714" s="1" t="str">
        <f>"18610"</f>
        <v>18610</v>
      </c>
      <c r="C10714" s="2">
        <v>2.0973921641329801E-2</v>
      </c>
      <c r="D10714" s="2">
        <v>1.13488372093023E-2</v>
      </c>
      <c r="E10714" s="2">
        <v>5.0139275766016697E-3</v>
      </c>
      <c r="F10714" s="2">
        <v>2.0061307901907299E-2</v>
      </c>
    </row>
    <row r="10715" spans="1:6" x14ac:dyDescent="0.25">
      <c r="A10715" s="1" t="str">
        <f t="shared" si="385"/>
        <v>20700</v>
      </c>
      <c r="B10715" s="1" t="str">
        <f>"18334"</f>
        <v>18334</v>
      </c>
      <c r="C10715" s="2">
        <v>2.2370535162526201E-2</v>
      </c>
      <c r="D10715" s="2">
        <v>1.1162790697674401E-3</v>
      </c>
      <c r="E10715" s="2">
        <v>4.4568245125348096E-3</v>
      </c>
      <c r="F10715" s="2">
        <v>2.0708446866485E-2</v>
      </c>
    </row>
    <row r="10716" spans="1:6" x14ac:dyDescent="0.25">
      <c r="A10716" s="1" t="str">
        <f t="shared" si="385"/>
        <v>20700</v>
      </c>
      <c r="B10716" s="1" t="str">
        <f>"18335"</f>
        <v>18335</v>
      </c>
      <c r="C10716" s="2">
        <v>1.36942281547398E-2</v>
      </c>
      <c r="D10716" s="2">
        <v>2.13953488372093E-2</v>
      </c>
      <c r="E10716" s="2">
        <v>5.5710306406685196E-4</v>
      </c>
      <c r="F10716" s="2">
        <v>1.3896457765667501E-2</v>
      </c>
    </row>
    <row r="10717" spans="1:6" x14ac:dyDescent="0.25">
      <c r="A10717" s="1" t="str">
        <f t="shared" si="385"/>
        <v>20700</v>
      </c>
      <c r="B10717" s="1" t="str">
        <f>"18350"</f>
        <v>18350</v>
      </c>
      <c r="C10717" s="2">
        <v>1.78346310715609E-2</v>
      </c>
      <c r="D10717" s="2">
        <v>1.46976744186046E-2</v>
      </c>
      <c r="E10717" s="2">
        <v>6.6852367688022196E-3</v>
      </c>
      <c r="F10717" s="2">
        <v>1.7415985467756499E-2</v>
      </c>
    </row>
    <row r="10718" spans="1:6" x14ac:dyDescent="0.25">
      <c r="A10718" s="1" t="str">
        <f t="shared" si="385"/>
        <v>20700</v>
      </c>
      <c r="B10718" s="1" t="str">
        <f>"18324"</f>
        <v>18324</v>
      </c>
      <c r="C10718" s="2">
        <v>1.28537881596835E-3</v>
      </c>
      <c r="D10718" s="2">
        <v>0</v>
      </c>
      <c r="E10718" s="2">
        <v>0</v>
      </c>
      <c r="F10718" s="2">
        <v>1.18074477747502E-3</v>
      </c>
    </row>
    <row r="10719" spans="1:6" x14ac:dyDescent="0.25">
      <c r="A10719" s="1" t="str">
        <f t="shared" si="385"/>
        <v>20700</v>
      </c>
      <c r="B10719" s="1" t="str">
        <f>"18322"</f>
        <v>18322</v>
      </c>
      <c r="C10719" s="2">
        <v>1.15684093437152E-2</v>
      </c>
      <c r="D10719" s="2">
        <v>4.6139534883720898E-2</v>
      </c>
      <c r="E10719" s="2">
        <v>3.8997214484679597E-2</v>
      </c>
      <c r="F10719" s="2">
        <v>1.42370572207084E-2</v>
      </c>
    </row>
    <row r="10720" spans="1:6" x14ac:dyDescent="0.25">
      <c r="A10720" s="1" t="str">
        <f t="shared" si="385"/>
        <v>20700</v>
      </c>
      <c r="B10720" s="1" t="str">
        <f>"18332"</f>
        <v>18332</v>
      </c>
      <c r="C10720" s="2">
        <v>1.54369052033123E-2</v>
      </c>
      <c r="D10720" s="2">
        <v>2.6046511627906901E-3</v>
      </c>
      <c r="E10720" s="2">
        <v>6.6852367688022196E-3</v>
      </c>
      <c r="F10720" s="2">
        <v>1.4475476839237E-2</v>
      </c>
    </row>
    <row r="10721" spans="1:6" x14ac:dyDescent="0.25">
      <c r="A10721" s="1" t="str">
        <f t="shared" si="385"/>
        <v>20700</v>
      </c>
      <c r="B10721" s="1" t="str">
        <f>"18344"</f>
        <v>18344</v>
      </c>
      <c r="C10721" s="2">
        <v>2.81547398343838E-2</v>
      </c>
      <c r="D10721" s="2">
        <v>6.67906976744186E-2</v>
      </c>
      <c r="E10721" s="2">
        <v>7.0194986072423304E-2</v>
      </c>
      <c r="F10721" s="2">
        <v>3.1369209809264303E-2</v>
      </c>
    </row>
    <row r="10722" spans="1:6" x14ac:dyDescent="0.25">
      <c r="A10722" s="1" t="str">
        <f t="shared" si="385"/>
        <v>20700</v>
      </c>
      <c r="B10722" s="1" t="str">
        <f>"18331"</f>
        <v>18331</v>
      </c>
      <c r="C10722" s="2">
        <v>2.4100852799406702E-3</v>
      </c>
      <c r="D10722" s="2">
        <v>8.1860465116279004E-3</v>
      </c>
      <c r="E10722" s="2">
        <v>8.3565459610027808E-3</v>
      </c>
      <c r="F10722" s="2">
        <v>2.8837420526793799E-3</v>
      </c>
    </row>
    <row r="10723" spans="1:6" x14ac:dyDescent="0.25">
      <c r="A10723" s="1" t="str">
        <f t="shared" si="385"/>
        <v>20700</v>
      </c>
      <c r="B10723" s="1" t="str">
        <f>"18342"</f>
        <v>18342</v>
      </c>
      <c r="C10723" s="2">
        <v>1.2359411692003399E-5</v>
      </c>
      <c r="D10723" s="2">
        <v>1.8604651162790599E-4</v>
      </c>
      <c r="E10723" s="2">
        <v>0</v>
      </c>
      <c r="F10723" s="2">
        <v>2.2706630336058098E-5</v>
      </c>
    </row>
    <row r="10724" spans="1:6" x14ac:dyDescent="0.25">
      <c r="A10724" s="1" t="str">
        <f t="shared" si="385"/>
        <v>20700</v>
      </c>
      <c r="B10724" s="1" t="str">
        <f>"18466"</f>
        <v>18466</v>
      </c>
      <c r="C10724" s="2">
        <v>0.10482017055988101</v>
      </c>
      <c r="D10724" s="2">
        <v>3.2372093023255798E-2</v>
      </c>
      <c r="E10724" s="2">
        <v>2.78551532033426E-2</v>
      </c>
      <c r="F10724" s="2">
        <v>9.8830608537693002E-2</v>
      </c>
    </row>
    <row r="10725" spans="1:6" x14ac:dyDescent="0.25">
      <c r="A10725" s="1" t="str">
        <f t="shared" si="385"/>
        <v>20700</v>
      </c>
      <c r="B10725" s="1" t="str">
        <f>"18360"</f>
        <v>18360</v>
      </c>
      <c r="C10725" s="2">
        <v>0.15895439377085599</v>
      </c>
      <c r="D10725" s="2">
        <v>0.29320930232558101</v>
      </c>
      <c r="E10725" s="2">
        <v>0.31420612813370402</v>
      </c>
      <c r="F10725" s="2">
        <v>0.17031108083560301</v>
      </c>
    </row>
    <row r="10726" spans="1:6" x14ac:dyDescent="0.25">
      <c r="A10726" s="1" t="str">
        <f t="shared" si="385"/>
        <v>20700</v>
      </c>
      <c r="B10726" s="1" t="str">
        <f>"18326"</f>
        <v>18326</v>
      </c>
      <c r="C10726" s="2">
        <v>3.1813125695216903E-2</v>
      </c>
      <c r="D10726" s="2">
        <v>2.8279069767441802E-2</v>
      </c>
      <c r="E10726" s="2">
        <v>2.84122562674094E-2</v>
      </c>
      <c r="F10726" s="2">
        <v>3.1528156221616699E-2</v>
      </c>
    </row>
    <row r="10727" spans="1:6" x14ac:dyDescent="0.25">
      <c r="A10727" s="1" t="str">
        <f t="shared" si="385"/>
        <v>20700</v>
      </c>
      <c r="B10727" s="1" t="str">
        <f>"18353"</f>
        <v>18353</v>
      </c>
      <c r="C10727" s="2">
        <v>5.83858608330243E-2</v>
      </c>
      <c r="D10727" s="2">
        <v>7.6279069767441797E-3</v>
      </c>
      <c r="E10727" s="2">
        <v>1.55988857938718E-2</v>
      </c>
      <c r="F10727" s="2">
        <v>5.4416439600363298E-2</v>
      </c>
    </row>
    <row r="10728" spans="1:6" x14ac:dyDescent="0.25">
      <c r="A10728" s="1" t="str">
        <f t="shared" si="385"/>
        <v>20700</v>
      </c>
      <c r="B10728" s="1" t="str">
        <f>"18327"</f>
        <v>18327</v>
      </c>
      <c r="C10728" s="2">
        <v>7.7740699542701696E-3</v>
      </c>
      <c r="D10728" s="2">
        <v>8.1860465116279004E-3</v>
      </c>
      <c r="E10728" s="2">
        <v>1.1142061281337E-3</v>
      </c>
      <c r="F10728" s="2">
        <v>7.6634877384196103E-3</v>
      </c>
    </row>
    <row r="10729" spans="1:6" x14ac:dyDescent="0.25">
      <c r="A10729" s="1" t="str">
        <f t="shared" si="385"/>
        <v>20700</v>
      </c>
      <c r="B10729" s="1" t="str">
        <f>"18348"</f>
        <v>18348</v>
      </c>
      <c r="C10729" s="2">
        <v>0</v>
      </c>
      <c r="D10729" s="2">
        <v>1.8604651162790599E-4</v>
      </c>
      <c r="E10729" s="2">
        <v>0</v>
      </c>
      <c r="F10729" s="2">
        <v>1.1353315168029E-5</v>
      </c>
    </row>
    <row r="10730" spans="1:6" x14ac:dyDescent="0.25">
      <c r="A10730" s="1" t="str">
        <f t="shared" si="385"/>
        <v>20700</v>
      </c>
      <c r="B10730" s="1" t="str">
        <f>"18328"</f>
        <v>18328</v>
      </c>
      <c r="C10730" s="2">
        <v>2.47188233840069E-5</v>
      </c>
      <c r="D10730" s="2">
        <v>0</v>
      </c>
      <c r="E10730" s="2">
        <v>0</v>
      </c>
      <c r="F10730" s="2">
        <v>2.2706630336058098E-5</v>
      </c>
    </row>
    <row r="10731" spans="1:6" x14ac:dyDescent="0.25">
      <c r="A10731" s="1" t="str">
        <f t="shared" si="385"/>
        <v>20700</v>
      </c>
      <c r="B10731" s="1" t="str">
        <f>"18323"</f>
        <v>18323</v>
      </c>
      <c r="C10731" s="2">
        <v>6.1797058460017295E-5</v>
      </c>
      <c r="D10731" s="2">
        <v>3.7209302325581301E-4</v>
      </c>
      <c r="E10731" s="2">
        <v>0</v>
      </c>
      <c r="F10731" s="2">
        <v>7.9473206176203405E-5</v>
      </c>
    </row>
    <row r="10732" spans="1:6" x14ac:dyDescent="0.25">
      <c r="A10732" s="1" t="str">
        <f t="shared" si="385"/>
        <v>20700</v>
      </c>
      <c r="B10732" s="1" t="str">
        <f>"18321"</f>
        <v>18321</v>
      </c>
      <c r="C10732" s="2">
        <v>8.4661970090223696E-3</v>
      </c>
      <c r="D10732" s="2">
        <v>2.3627906976744099E-2</v>
      </c>
      <c r="E10732" s="2">
        <v>1.22562674094707E-2</v>
      </c>
      <c r="F10732" s="2">
        <v>9.4686648501362304E-3</v>
      </c>
    </row>
    <row r="10733" spans="1:6" x14ac:dyDescent="0.25">
      <c r="A10733" s="1" t="str">
        <f t="shared" si="385"/>
        <v>20700</v>
      </c>
      <c r="B10733" s="1" t="str">
        <f>"18325"</f>
        <v>18325</v>
      </c>
      <c r="C10733" s="2">
        <v>9.9864046471387895E-3</v>
      </c>
      <c r="D10733" s="2">
        <v>3.3488372093023202E-3</v>
      </c>
      <c r="E10733" s="2">
        <v>4.4568245125348096E-3</v>
      </c>
      <c r="F10733" s="2">
        <v>9.4686648501362304E-3</v>
      </c>
    </row>
    <row r="10734" spans="1:6" x14ac:dyDescent="0.25">
      <c r="A10734" s="1" t="str">
        <f t="shared" si="385"/>
        <v>20700</v>
      </c>
      <c r="B10734" s="1" t="str">
        <f>"18356"</f>
        <v>18356</v>
      </c>
      <c r="C10734" s="2">
        <v>6.5257693733778198E-3</v>
      </c>
      <c r="D10734" s="2">
        <v>8.9302325581395291E-3</v>
      </c>
      <c r="E10734" s="2">
        <v>1.1142061281337E-3</v>
      </c>
      <c r="F10734" s="2">
        <v>6.5622161671207904E-3</v>
      </c>
    </row>
    <row r="10735" spans="1:6" x14ac:dyDescent="0.25">
      <c r="A10735" s="1" t="str">
        <f t="shared" si="385"/>
        <v>20700</v>
      </c>
      <c r="B10735" s="1" t="str">
        <f>"18357"</f>
        <v>18357</v>
      </c>
      <c r="C10735" s="2">
        <v>0</v>
      </c>
      <c r="D10735" s="2">
        <v>3.7209302325581301E-4</v>
      </c>
      <c r="E10735" s="2">
        <v>0</v>
      </c>
      <c r="F10735" s="2">
        <v>2.2706630336058098E-5</v>
      </c>
    </row>
    <row r="10736" spans="1:6" x14ac:dyDescent="0.25">
      <c r="A10736" s="1" t="str">
        <f t="shared" si="385"/>
        <v>20700</v>
      </c>
      <c r="B10736" s="1" t="str">
        <f>"18320"</f>
        <v>18320</v>
      </c>
      <c r="C10736" s="2">
        <v>4.8201705598813404E-3</v>
      </c>
      <c r="D10736" s="2">
        <v>7.4418604651162699E-3</v>
      </c>
      <c r="E10736" s="2">
        <v>1.1142061281337E-3</v>
      </c>
      <c r="F10736" s="2">
        <v>4.9046321525885502E-3</v>
      </c>
    </row>
    <row r="10737" spans="1:6" x14ac:dyDescent="0.25">
      <c r="A10737" s="1" t="str">
        <f t="shared" si="385"/>
        <v>20700</v>
      </c>
      <c r="B10737" s="1" t="str">
        <f>"18058"</f>
        <v>18058</v>
      </c>
      <c r="C10737" s="2">
        <v>4.2639970337411903E-2</v>
      </c>
      <c r="D10737" s="2">
        <v>6.6976744186046499E-3</v>
      </c>
      <c r="E10737" s="2">
        <v>6.1281337047353699E-3</v>
      </c>
      <c r="F10737" s="2">
        <v>3.97025431425976E-2</v>
      </c>
    </row>
    <row r="10738" spans="1:6" x14ac:dyDescent="0.25">
      <c r="A10738" s="1" t="str">
        <f t="shared" si="385"/>
        <v>20700</v>
      </c>
      <c r="B10738" s="1" t="str">
        <f>"18347"</f>
        <v>18347</v>
      </c>
      <c r="C10738" s="2">
        <v>2.0281794586577601E-2</v>
      </c>
      <c r="D10738" s="2">
        <v>8.55813953488372E-3</v>
      </c>
      <c r="E10738" s="2">
        <v>7.7994428969359302E-3</v>
      </c>
      <c r="F10738" s="2">
        <v>1.9311989100817401E-2</v>
      </c>
    </row>
    <row r="10739" spans="1:6" x14ac:dyDescent="0.25">
      <c r="A10739" s="1" t="str">
        <f t="shared" si="385"/>
        <v>20700</v>
      </c>
      <c r="B10739" s="1" t="str">
        <f>"18330"</f>
        <v>18330</v>
      </c>
      <c r="C10739" s="2">
        <v>3.9216413298726903E-2</v>
      </c>
      <c r="D10739" s="2">
        <v>1.26511627906976E-2</v>
      </c>
      <c r="E10739" s="2">
        <v>1.6713091922005499E-2</v>
      </c>
      <c r="F10739" s="2">
        <v>3.7136693914623001E-2</v>
      </c>
    </row>
    <row r="10740" spans="1:6" x14ac:dyDescent="0.25">
      <c r="A10740" s="1" t="str">
        <f t="shared" si="385"/>
        <v>20700</v>
      </c>
      <c r="B10740" s="1" t="str">
        <f>"18352"</f>
        <v>18352</v>
      </c>
      <c r="C10740" s="2">
        <v>1.2359411692003399E-5</v>
      </c>
      <c r="D10740" s="2">
        <v>1.8604651162790599E-4</v>
      </c>
      <c r="E10740" s="2">
        <v>0</v>
      </c>
      <c r="F10740" s="2">
        <v>2.2706630336058098E-5</v>
      </c>
    </row>
    <row r="10741" spans="1:6" x14ac:dyDescent="0.25">
      <c r="A10741" s="1" t="str">
        <f t="shared" si="385"/>
        <v>20700</v>
      </c>
      <c r="B10741" s="1" t="str">
        <f>"18301"</f>
        <v>18301</v>
      </c>
      <c r="C10741" s="2">
        <v>0.18573723890742799</v>
      </c>
      <c r="D10741" s="2">
        <v>0.20706976744186001</v>
      </c>
      <c r="E10741" s="2">
        <v>0.27910863509749301</v>
      </c>
      <c r="F10741" s="2">
        <v>0.188941871026339</v>
      </c>
    </row>
    <row r="10742" spans="1:6" x14ac:dyDescent="0.25">
      <c r="A10742" s="1" t="str">
        <f t="shared" si="385"/>
        <v>20700</v>
      </c>
      <c r="B10742" s="1" t="str">
        <f>"18302"</f>
        <v>18302</v>
      </c>
      <c r="C10742" s="2">
        <v>9.5760721789642803E-2</v>
      </c>
      <c r="D10742" s="2">
        <v>4.27906976744186E-2</v>
      </c>
      <c r="E10742" s="2">
        <v>9.1922005571030599E-2</v>
      </c>
      <c r="F10742" s="2">
        <v>9.2450045413260601E-2</v>
      </c>
    </row>
    <row r="10743" spans="1:6" x14ac:dyDescent="0.25">
      <c r="A10743" s="1" t="str">
        <f t="shared" si="385"/>
        <v>20700</v>
      </c>
      <c r="B10743" s="1" t="str">
        <f>"18354"</f>
        <v>18354</v>
      </c>
      <c r="C10743" s="2">
        <v>4.8943270300333703E-3</v>
      </c>
      <c r="D10743" s="2">
        <v>8.0000000000000002E-3</v>
      </c>
      <c r="E10743" s="2">
        <v>8.3565459610027808E-3</v>
      </c>
      <c r="F10743" s="2">
        <v>5.1544050862851899E-3</v>
      </c>
    </row>
    <row r="10744" spans="1:6" x14ac:dyDescent="0.25">
      <c r="A10744" s="1" t="str">
        <f t="shared" si="385"/>
        <v>20700</v>
      </c>
      <c r="B10744" s="1" t="str">
        <f>"18372"</f>
        <v>18372</v>
      </c>
      <c r="C10744" s="2">
        <v>2.3173896922506401E-2</v>
      </c>
      <c r="D10744" s="2">
        <v>7.6093023255813894E-2</v>
      </c>
      <c r="E10744" s="2">
        <v>2.39554317548746E-2</v>
      </c>
      <c r="F10744" s="2">
        <v>2.64191643960036E-2</v>
      </c>
    </row>
    <row r="10745" spans="1:6" x14ac:dyDescent="0.25">
      <c r="A10745" s="1" t="str">
        <f t="shared" si="385"/>
        <v>20700</v>
      </c>
      <c r="B10745" s="1" t="str">
        <f>"18349"</f>
        <v>18349</v>
      </c>
      <c r="C10745" s="2">
        <v>0</v>
      </c>
      <c r="D10745" s="2">
        <v>1.8604651162790599E-4</v>
      </c>
      <c r="E10745" s="2">
        <v>0</v>
      </c>
      <c r="F10745" s="2">
        <v>1.1353315168029E-5</v>
      </c>
    </row>
    <row r="10746" spans="1:6" x14ac:dyDescent="0.25">
      <c r="A10746" s="1" t="str">
        <f t="shared" ref="A10746:A10770" si="386">"20740"</f>
        <v>20740</v>
      </c>
      <c r="B10746" s="1" t="str">
        <f>"54701"</f>
        <v>54701</v>
      </c>
      <c r="C10746" s="2">
        <v>0.22281421288665701</v>
      </c>
      <c r="D10746" s="2">
        <v>0.32661171622019403</v>
      </c>
      <c r="E10746" s="2">
        <v>0.35766233766233702</v>
      </c>
      <c r="F10746" s="2">
        <v>0.236584899506247</v>
      </c>
    </row>
    <row r="10747" spans="1:6" x14ac:dyDescent="0.25">
      <c r="A10747" s="1" t="str">
        <f t="shared" si="386"/>
        <v>20740</v>
      </c>
      <c r="B10747" s="1" t="str">
        <f>"54770"</f>
        <v>54770</v>
      </c>
      <c r="C10747" s="2">
        <v>1.9931772011192398E-3</v>
      </c>
      <c r="D10747" s="2">
        <v>4.4156608772446198E-4</v>
      </c>
      <c r="E10747" s="2">
        <v>0</v>
      </c>
      <c r="F10747" s="2">
        <v>1.78830515909167E-3</v>
      </c>
    </row>
    <row r="10748" spans="1:6" x14ac:dyDescent="0.25">
      <c r="A10748" s="1" t="str">
        <f t="shared" si="386"/>
        <v>20740</v>
      </c>
      <c r="B10748" s="1" t="str">
        <f>"54703"</f>
        <v>54703</v>
      </c>
      <c r="C10748" s="2">
        <v>0.25152363064893202</v>
      </c>
      <c r="D10748" s="2">
        <v>0.22313806299676101</v>
      </c>
      <c r="E10748" s="2">
        <v>0.27896103896103802</v>
      </c>
      <c r="F10748" s="2">
        <v>0.25054267750896903</v>
      </c>
    </row>
    <row r="10749" spans="1:6" x14ac:dyDescent="0.25">
      <c r="A10749" s="1" t="str">
        <f t="shared" si="386"/>
        <v>20740</v>
      </c>
      <c r="B10749" s="1" t="str">
        <f>"54757"</f>
        <v>54757</v>
      </c>
      <c r="C10749" s="2">
        <v>1.5102150331557301E-2</v>
      </c>
      <c r="D10749" s="2">
        <v>2.79658522225493E-3</v>
      </c>
      <c r="E10749" s="2">
        <v>6.4935064935064896E-3</v>
      </c>
      <c r="F10749" s="2">
        <v>1.37890699688452E-2</v>
      </c>
    </row>
    <row r="10750" spans="1:6" x14ac:dyDescent="0.25">
      <c r="A10750" s="1" t="str">
        <f t="shared" si="386"/>
        <v>20740</v>
      </c>
      <c r="B10750" s="1" t="str">
        <f>"54722"</f>
        <v>54722</v>
      </c>
      <c r="C10750" s="2">
        <v>2.33176178977091E-2</v>
      </c>
      <c r="D10750" s="2">
        <v>1.4130114807182801E-2</v>
      </c>
      <c r="E10750" s="2">
        <v>9.6103896103896108E-3</v>
      </c>
      <c r="F10750" s="2">
        <v>2.2022022022022001E-2</v>
      </c>
    </row>
    <row r="10751" spans="1:6" x14ac:dyDescent="0.25">
      <c r="A10751" s="1" t="str">
        <f t="shared" si="386"/>
        <v>20740</v>
      </c>
      <c r="B10751" s="1" t="str">
        <f>"54729"</f>
        <v>54729</v>
      </c>
      <c r="C10751" s="2">
        <v>0.205603894361608</v>
      </c>
      <c r="D10751" s="2">
        <v>0.20253164556962</v>
      </c>
      <c r="E10751" s="2">
        <v>0.22129870129870099</v>
      </c>
      <c r="F10751" s="2">
        <v>0.206048745374588</v>
      </c>
    </row>
    <row r="10752" spans="1:6" x14ac:dyDescent="0.25">
      <c r="A10752" s="1" t="str">
        <f t="shared" si="386"/>
        <v>20740</v>
      </c>
      <c r="B10752" s="1" t="str">
        <f>"54702"</f>
        <v>54702</v>
      </c>
      <c r="C10752" s="2">
        <v>1.4309990161881701E-2</v>
      </c>
      <c r="D10752" s="2">
        <v>7.6243744480423897E-2</v>
      </c>
      <c r="E10752" s="2">
        <v>1.0389610389610301E-3</v>
      </c>
      <c r="F10752" s="2">
        <v>1.8467906108355501E-2</v>
      </c>
    </row>
    <row r="10753" spans="1:6" x14ac:dyDescent="0.25">
      <c r="A10753" s="1" t="str">
        <f t="shared" si="386"/>
        <v>20740</v>
      </c>
      <c r="B10753" s="1" t="str">
        <f>"54433"</f>
        <v>54433</v>
      </c>
      <c r="C10753" s="2">
        <v>1.12435636986213E-3</v>
      </c>
      <c r="D10753" s="2">
        <v>0</v>
      </c>
      <c r="E10753" s="2">
        <v>0</v>
      </c>
      <c r="F10753" s="2">
        <v>9.8975379874256201E-4</v>
      </c>
    </row>
    <row r="10754" spans="1:6" x14ac:dyDescent="0.25">
      <c r="A10754" s="1" t="str">
        <f t="shared" si="386"/>
        <v>20740</v>
      </c>
      <c r="B10754" s="1" t="str">
        <f>"54724"</f>
        <v>54724</v>
      </c>
      <c r="C10754" s="2">
        <v>4.3326050570482999E-2</v>
      </c>
      <c r="D10754" s="2">
        <v>4.0329702678834199E-2</v>
      </c>
      <c r="E10754" s="2">
        <v>1.97402597402597E-2</v>
      </c>
      <c r="F10754" s="2">
        <v>4.2075783648817297E-2</v>
      </c>
    </row>
    <row r="10755" spans="1:6" x14ac:dyDescent="0.25">
      <c r="A10755" s="1" t="str">
        <f t="shared" si="386"/>
        <v>20740</v>
      </c>
      <c r="B10755" s="1" t="str">
        <f>"54720"</f>
        <v>54720</v>
      </c>
      <c r="C10755" s="2">
        <v>5.3956328976452403E-2</v>
      </c>
      <c r="D10755" s="2">
        <v>4.7836326170150101E-2</v>
      </c>
      <c r="E10755" s="2">
        <v>5.2987012987012902E-2</v>
      </c>
      <c r="F10755" s="2">
        <v>5.3446705132098302E-2</v>
      </c>
    </row>
    <row r="10756" spans="1:6" x14ac:dyDescent="0.25">
      <c r="A10756" s="1" t="str">
        <f t="shared" si="386"/>
        <v>20740</v>
      </c>
      <c r="B10756" s="1" t="str">
        <f>"54739"</f>
        <v>54739</v>
      </c>
      <c r="C10756" s="2">
        <v>6.4267187959165398E-3</v>
      </c>
      <c r="D10756" s="2">
        <v>1.6190756549896901E-3</v>
      </c>
      <c r="E10756" s="2">
        <v>5.1948051948051905E-4</v>
      </c>
      <c r="F10756" s="2">
        <v>5.8035563653541103E-3</v>
      </c>
    </row>
    <row r="10757" spans="1:6" x14ac:dyDescent="0.25">
      <c r="A10757" s="1" t="str">
        <f t="shared" si="386"/>
        <v>20740</v>
      </c>
      <c r="B10757" s="1" t="str">
        <f>"54745"</f>
        <v>54745</v>
      </c>
      <c r="C10757" s="2">
        <v>1.6673693893978301E-2</v>
      </c>
      <c r="D10757" s="2">
        <v>7.0650574035914003E-3</v>
      </c>
      <c r="E10757" s="2">
        <v>4.1558441558441498E-3</v>
      </c>
      <c r="F10757" s="2">
        <v>1.53974198918019E-2</v>
      </c>
    </row>
    <row r="10758" spans="1:6" x14ac:dyDescent="0.25">
      <c r="A10758" s="1" t="str">
        <f t="shared" si="386"/>
        <v>20740</v>
      </c>
      <c r="B10758" s="1" t="str">
        <f>"54758"</f>
        <v>54758</v>
      </c>
      <c r="C10758" s="2">
        <v>3.3219620018654001E-3</v>
      </c>
      <c r="D10758" s="2">
        <v>1.17750956726523E-3</v>
      </c>
      <c r="E10758" s="2">
        <v>0</v>
      </c>
      <c r="F10758" s="2">
        <v>3.0142502052614398E-3</v>
      </c>
    </row>
    <row r="10759" spans="1:6" x14ac:dyDescent="0.25">
      <c r="A10759" s="1" t="str">
        <f t="shared" si="386"/>
        <v>20740</v>
      </c>
      <c r="B10759" s="1" t="str">
        <f>"54738"</f>
        <v>54738</v>
      </c>
      <c r="C10759" s="2">
        <v>1.0847483613783499E-2</v>
      </c>
      <c r="D10759" s="2">
        <v>1.9134530468059999E-3</v>
      </c>
      <c r="E10759" s="2">
        <v>5.1948051948051905E-4</v>
      </c>
      <c r="F10759" s="2">
        <v>9.7175827512906102E-3</v>
      </c>
    </row>
    <row r="10760" spans="1:6" x14ac:dyDescent="0.25">
      <c r="A10760" s="1" t="str">
        <f t="shared" si="386"/>
        <v>20740</v>
      </c>
      <c r="B10760" s="1" t="str">
        <f>"54748"</f>
        <v>54748</v>
      </c>
      <c r="C10760" s="2">
        <v>7.6916197120114396E-3</v>
      </c>
      <c r="D10760" s="2">
        <v>1.6190756549896901E-3</v>
      </c>
      <c r="E10760" s="2">
        <v>2.0779220779220701E-3</v>
      </c>
      <c r="F10760" s="2">
        <v>6.9845126024901298E-3</v>
      </c>
    </row>
    <row r="10761" spans="1:6" x14ac:dyDescent="0.25">
      <c r="A10761" s="1" t="str">
        <f t="shared" si="386"/>
        <v>20740</v>
      </c>
      <c r="B10761" s="1" t="str">
        <f>"54766"</f>
        <v>54766</v>
      </c>
      <c r="C10761" s="2">
        <v>8.8159760818735803E-4</v>
      </c>
      <c r="D10761" s="2">
        <v>2.9437739181630799E-4</v>
      </c>
      <c r="E10761" s="2">
        <v>0</v>
      </c>
      <c r="F10761" s="2">
        <v>7.9855136034911295E-4</v>
      </c>
    </row>
    <row r="10762" spans="1:6" x14ac:dyDescent="0.25">
      <c r="A10762" s="1" t="str">
        <f t="shared" si="386"/>
        <v>20740</v>
      </c>
      <c r="B10762" s="1" t="str">
        <f>"54730"</f>
        <v>54730</v>
      </c>
      <c r="C10762" s="2">
        <v>3.4497297711679198E-3</v>
      </c>
      <c r="D10762" s="2">
        <v>5.8875478363261695E-4</v>
      </c>
      <c r="E10762" s="2">
        <v>7.79220779220779E-4</v>
      </c>
      <c r="F10762" s="2">
        <v>3.1154750255873798E-3</v>
      </c>
    </row>
    <row r="10763" spans="1:6" x14ac:dyDescent="0.25">
      <c r="A10763" s="1" t="str">
        <f t="shared" si="386"/>
        <v>20740</v>
      </c>
      <c r="B10763" s="1" t="str">
        <f>"54741"</f>
        <v>54741</v>
      </c>
      <c r="C10763" s="2">
        <v>7.7427268197324496E-3</v>
      </c>
      <c r="D10763" s="2">
        <v>1.7662643508978501E-3</v>
      </c>
      <c r="E10763" s="2">
        <v>3.3766233766233701E-3</v>
      </c>
      <c r="F10763" s="2">
        <v>7.0969846250745101E-3</v>
      </c>
    </row>
    <row r="10764" spans="1:6" x14ac:dyDescent="0.25">
      <c r="A10764" s="1" t="str">
        <f t="shared" si="386"/>
        <v>20740</v>
      </c>
      <c r="B10764" s="1" t="str">
        <f>"54732"</f>
        <v>54732</v>
      </c>
      <c r="C10764" s="2">
        <v>1.7670282494537899E-2</v>
      </c>
      <c r="D10764" s="2">
        <v>1.00088313217544E-2</v>
      </c>
      <c r="E10764" s="2">
        <v>5.7142857142857099E-3</v>
      </c>
      <c r="F10764" s="2">
        <v>1.65671289266794E-2</v>
      </c>
    </row>
    <row r="10765" spans="1:6" x14ac:dyDescent="0.25">
      <c r="A10765" s="1" t="str">
        <f t="shared" si="386"/>
        <v>20740</v>
      </c>
      <c r="B10765" s="1" t="str">
        <f>"54755"</f>
        <v>54755</v>
      </c>
      <c r="C10765" s="2">
        <v>4.3313273793552801E-3</v>
      </c>
      <c r="D10765" s="2">
        <v>2.9437739181630799E-4</v>
      </c>
      <c r="E10765" s="2">
        <v>5.1948051948051905E-4</v>
      </c>
      <c r="F10765" s="2">
        <v>3.8577903746442998E-3</v>
      </c>
    </row>
    <row r="10766" spans="1:6" x14ac:dyDescent="0.25">
      <c r="A10766" s="1" t="str">
        <f t="shared" si="386"/>
        <v>20740</v>
      </c>
      <c r="B10766" s="1" t="str">
        <f>"54727"</f>
        <v>54727</v>
      </c>
      <c r="C10766" s="2">
        <v>2.9054390739391998E-2</v>
      </c>
      <c r="D10766" s="2">
        <v>9.4200765381218694E-3</v>
      </c>
      <c r="E10766" s="2">
        <v>1.1168831168831101E-2</v>
      </c>
      <c r="F10766" s="2">
        <v>2.67795885773413E-2</v>
      </c>
    </row>
    <row r="10767" spans="1:6" x14ac:dyDescent="0.25">
      <c r="A10767" s="1" t="str">
        <f t="shared" si="386"/>
        <v>20740</v>
      </c>
      <c r="B10767" s="1" t="str">
        <f>"54768"</f>
        <v>54768</v>
      </c>
      <c r="C10767" s="2">
        <v>2.17332975583579E-2</v>
      </c>
      <c r="D10767" s="2">
        <v>2.2667059169855699E-2</v>
      </c>
      <c r="E10767" s="2">
        <v>1.24675324675324E-2</v>
      </c>
      <c r="F10767" s="2">
        <v>2.1403425897807901E-2</v>
      </c>
    </row>
    <row r="10768" spans="1:6" x14ac:dyDescent="0.25">
      <c r="A10768" s="1" t="str">
        <f t="shared" si="386"/>
        <v>20740</v>
      </c>
      <c r="B10768" s="1" t="str">
        <f>"54742"</f>
        <v>54742</v>
      </c>
      <c r="C10768" s="2">
        <v>2.64223746917602E-2</v>
      </c>
      <c r="D10768" s="2">
        <v>5.5931704445098601E-3</v>
      </c>
      <c r="E10768" s="2">
        <v>8.8311688311688303E-3</v>
      </c>
      <c r="F10768" s="2">
        <v>2.40690128330577E-2</v>
      </c>
    </row>
    <row r="10769" spans="1:6" x14ac:dyDescent="0.25">
      <c r="A10769" s="1" t="str">
        <f t="shared" si="386"/>
        <v>20740</v>
      </c>
      <c r="B10769" s="1" t="str">
        <f>"54774"</f>
        <v>54774</v>
      </c>
      <c r="C10769" s="2">
        <v>0</v>
      </c>
      <c r="D10769" s="2">
        <v>1.4718869590815399E-4</v>
      </c>
      <c r="E10769" s="2">
        <v>0</v>
      </c>
      <c r="F10769" s="2">
        <v>1.1247202258438201E-5</v>
      </c>
    </row>
    <row r="10770" spans="1:6" x14ac:dyDescent="0.25">
      <c r="A10770" s="1" t="str">
        <f t="shared" si="386"/>
        <v>20740</v>
      </c>
      <c r="B10770" s="1" t="str">
        <f>"54726"</f>
        <v>54726</v>
      </c>
      <c r="C10770" s="2">
        <v>1.06813855136903E-2</v>
      </c>
      <c r="D10770" s="2">
        <v>1.7662643508978501E-3</v>
      </c>
      <c r="E10770" s="2">
        <v>2.0779220779220701E-3</v>
      </c>
      <c r="F10770" s="2">
        <v>9.6276051332231105E-3</v>
      </c>
    </row>
    <row r="10771" spans="1:6" x14ac:dyDescent="0.25">
      <c r="A10771" s="1" t="str">
        <f t="shared" ref="A10771:A10785" si="387">"20780"</f>
        <v>20780</v>
      </c>
      <c r="B10771" s="1" t="str">
        <f>"81620"</f>
        <v>81620</v>
      </c>
      <c r="C10771" s="2">
        <v>0.24419218585005201</v>
      </c>
      <c r="D10771" s="2">
        <v>0.23525127458120901</v>
      </c>
      <c r="E10771" s="2">
        <v>3.7006578947368402E-3</v>
      </c>
      <c r="F10771" s="2">
        <v>0.227016515416267</v>
      </c>
    </row>
    <row r="10772" spans="1:6" x14ac:dyDescent="0.25">
      <c r="A10772" s="1" t="str">
        <f t="shared" si="387"/>
        <v>20780</v>
      </c>
      <c r="B10772" s="1" t="str">
        <f>"81631"</f>
        <v>81631</v>
      </c>
      <c r="C10772" s="2">
        <v>8.0088437170010504E-2</v>
      </c>
      <c r="D10772" s="2">
        <v>3.64166059723233E-4</v>
      </c>
      <c r="E10772" s="2">
        <v>2.9605263157894701E-2</v>
      </c>
      <c r="F10772" s="2">
        <v>7.0458260526464103E-2</v>
      </c>
    </row>
    <row r="10773" spans="1:6" x14ac:dyDescent="0.25">
      <c r="A10773" s="1" t="str">
        <f t="shared" si="387"/>
        <v>20780</v>
      </c>
      <c r="B10773" s="1" t="str">
        <f>"81645"</f>
        <v>81645</v>
      </c>
      <c r="C10773" s="2">
        <v>4.97624076029567E-2</v>
      </c>
      <c r="D10773" s="2">
        <v>1.8936635105608099E-2</v>
      </c>
      <c r="E10773" s="2">
        <v>5.7565789473684199E-3</v>
      </c>
      <c r="F10773" s="2">
        <v>4.4360520827461801E-2</v>
      </c>
    </row>
    <row r="10774" spans="1:6" x14ac:dyDescent="0.25">
      <c r="A10774" s="1" t="str">
        <f t="shared" si="387"/>
        <v>20780</v>
      </c>
      <c r="B10774" s="1" t="str">
        <f>"80463"</f>
        <v>80463</v>
      </c>
      <c r="C10774" s="2">
        <v>1.51795142555438E-3</v>
      </c>
      <c r="D10774" s="2">
        <v>0</v>
      </c>
      <c r="E10774" s="2">
        <v>8.2236842105263099E-4</v>
      </c>
      <c r="F10774" s="2">
        <v>1.35279860210811E-3</v>
      </c>
    </row>
    <row r="10775" spans="1:6" x14ac:dyDescent="0.25">
      <c r="A10775" s="1" t="str">
        <f t="shared" si="387"/>
        <v>20780</v>
      </c>
      <c r="B10775" s="1" t="str">
        <f>"81642"</f>
        <v>81642</v>
      </c>
      <c r="C10775" s="2">
        <v>1.64994720168954E-4</v>
      </c>
      <c r="D10775" s="2">
        <v>0</v>
      </c>
      <c r="E10775" s="2">
        <v>0</v>
      </c>
      <c r="F10775" s="2">
        <v>1.4091652105292801E-4</v>
      </c>
    </row>
    <row r="10776" spans="1:6" x14ac:dyDescent="0.25">
      <c r="A10776" s="1" t="str">
        <f t="shared" si="387"/>
        <v>20780</v>
      </c>
      <c r="B10776" s="1" t="str">
        <f>"80426"</f>
        <v>80426</v>
      </c>
      <c r="C10776" s="2">
        <v>0</v>
      </c>
      <c r="D10776" s="2">
        <v>0</v>
      </c>
      <c r="E10776" s="2">
        <v>4.1118421052631501E-4</v>
      </c>
      <c r="F10776" s="2">
        <v>2.81833042105856E-5</v>
      </c>
    </row>
    <row r="10777" spans="1:6" x14ac:dyDescent="0.25">
      <c r="A10777" s="1" t="str">
        <f t="shared" si="387"/>
        <v>20780</v>
      </c>
      <c r="B10777" s="1" t="str">
        <f>"81655"</f>
        <v>81655</v>
      </c>
      <c r="C10777" s="2">
        <v>3.7948785638859499E-3</v>
      </c>
      <c r="D10777" s="2">
        <v>3.64166059723233E-4</v>
      </c>
      <c r="E10777" s="2">
        <v>0</v>
      </c>
      <c r="F10777" s="2">
        <v>3.2692632884279301E-3</v>
      </c>
    </row>
    <row r="10778" spans="1:6" x14ac:dyDescent="0.25">
      <c r="A10778" s="1" t="str">
        <f t="shared" si="387"/>
        <v>20780</v>
      </c>
      <c r="B10778" s="1" t="str">
        <f>"80423"</f>
        <v>80423</v>
      </c>
      <c r="C10778" s="2">
        <v>1.8809398099260801E-3</v>
      </c>
      <c r="D10778" s="2">
        <v>3.64166059723233E-4</v>
      </c>
      <c r="E10778" s="2">
        <v>8.2236842105263099E-4</v>
      </c>
      <c r="F10778" s="2">
        <v>1.69099825263513E-3</v>
      </c>
    </row>
    <row r="10779" spans="1:6" x14ac:dyDescent="0.25">
      <c r="A10779" s="1" t="str">
        <f t="shared" si="387"/>
        <v>20780</v>
      </c>
      <c r="B10779" s="1" t="str">
        <f>"81649"</f>
        <v>81649</v>
      </c>
      <c r="C10779" s="2">
        <v>3.3328933474128801E-3</v>
      </c>
      <c r="D10779" s="2">
        <v>0</v>
      </c>
      <c r="E10779" s="2">
        <v>4.1118421052631501E-4</v>
      </c>
      <c r="F10779" s="2">
        <v>2.8746970294797301E-3</v>
      </c>
    </row>
    <row r="10780" spans="1:6" x14ac:dyDescent="0.25">
      <c r="A10780" s="1" t="str">
        <f t="shared" si="387"/>
        <v>20780</v>
      </c>
      <c r="B10780" s="1" t="str">
        <f>"81637"</f>
        <v>81637</v>
      </c>
      <c r="C10780" s="2">
        <v>1.8842397043294601E-2</v>
      </c>
      <c r="D10780" s="2">
        <v>1.8572469045884901E-2</v>
      </c>
      <c r="E10780" s="2">
        <v>8.2236842105263101E-3</v>
      </c>
      <c r="F10780" s="2">
        <v>1.8093681303195899E-2</v>
      </c>
    </row>
    <row r="10781" spans="1:6" x14ac:dyDescent="0.25">
      <c r="A10781" s="1" t="str">
        <f t="shared" si="387"/>
        <v>20780</v>
      </c>
      <c r="B10781" s="1" t="str">
        <f>"81657"</f>
        <v>81657</v>
      </c>
      <c r="C10781" s="2">
        <v>0.17868928194297701</v>
      </c>
      <c r="D10781" s="2">
        <v>0.19810633648943901</v>
      </c>
      <c r="E10781" s="2">
        <v>0.84991776315789402</v>
      </c>
      <c r="F10781" s="2">
        <v>0.22619919959415999</v>
      </c>
    </row>
    <row r="10782" spans="1:6" x14ac:dyDescent="0.25">
      <c r="A10782" s="1" t="str">
        <f t="shared" si="387"/>
        <v>20780</v>
      </c>
      <c r="B10782" s="1" t="str">
        <f>"81632"</f>
        <v>81632</v>
      </c>
      <c r="C10782" s="2">
        <v>0.16314677930306201</v>
      </c>
      <c r="D10782" s="2">
        <v>0.19191551347414401</v>
      </c>
      <c r="E10782" s="2">
        <v>2.8371710526315701E-2</v>
      </c>
      <c r="F10782" s="2">
        <v>0.156135505326644</v>
      </c>
    </row>
    <row r="10783" spans="1:6" x14ac:dyDescent="0.25">
      <c r="A10783" s="1" t="str">
        <f t="shared" si="387"/>
        <v>20780</v>
      </c>
      <c r="B10783" s="1" t="str">
        <f>"81623"</f>
        <v>81623</v>
      </c>
      <c r="C10783" s="2">
        <v>4.6033526927138302E-2</v>
      </c>
      <c r="D10783" s="2">
        <v>3.2774945375091E-2</v>
      </c>
      <c r="E10783" s="2">
        <v>1.3569078947368401E-2</v>
      </c>
      <c r="F10783" s="2">
        <v>4.2782255791668999E-2</v>
      </c>
    </row>
    <row r="10784" spans="1:6" x14ac:dyDescent="0.25">
      <c r="A10784" s="1" t="str">
        <f t="shared" si="387"/>
        <v>20780</v>
      </c>
      <c r="B10784" s="1" t="str">
        <f>"81621"</f>
        <v>81621</v>
      </c>
      <c r="C10784" s="2">
        <v>5.5042238648363197E-2</v>
      </c>
      <c r="D10784" s="2">
        <v>0.13219227967953301</v>
      </c>
      <c r="E10784" s="2">
        <v>5.7565789473684202E-2</v>
      </c>
      <c r="F10784" s="2">
        <v>6.1185953441181398E-2</v>
      </c>
    </row>
    <row r="10785" spans="1:6" x14ac:dyDescent="0.25">
      <c r="A10785" s="1" t="str">
        <f t="shared" si="387"/>
        <v>20780</v>
      </c>
      <c r="B10785" s="1" t="str">
        <f>"81658"</f>
        <v>81658</v>
      </c>
      <c r="C10785" s="2">
        <v>0.153511087645195</v>
      </c>
      <c r="D10785" s="2">
        <v>0.17115804806991899</v>
      </c>
      <c r="E10785" s="2">
        <v>8.2236842105263099E-4</v>
      </c>
      <c r="F10785" s="2">
        <v>0.14441125077504</v>
      </c>
    </row>
    <row r="10786" spans="1:6" x14ac:dyDescent="0.25">
      <c r="A10786" s="1" t="str">
        <f t="shared" ref="A10786:A10799" si="388">"20820"</f>
        <v>20820</v>
      </c>
      <c r="B10786" s="1" t="str">
        <f>"62445"</f>
        <v>62445</v>
      </c>
      <c r="C10786" s="2">
        <v>6.9162890531838696E-3</v>
      </c>
      <c r="D10786" s="2">
        <v>8.6107921928817392E-3</v>
      </c>
      <c r="E10786" s="2">
        <v>1.8796992481203E-3</v>
      </c>
      <c r="F10786" s="2">
        <v>6.9305891000734999E-3</v>
      </c>
    </row>
    <row r="10787" spans="1:6" x14ac:dyDescent="0.25">
      <c r="A10787" s="1" t="str">
        <f t="shared" si="388"/>
        <v>20820</v>
      </c>
      <c r="B10787" s="1" t="str">
        <f>"62479"</f>
        <v>62479</v>
      </c>
      <c r="C10787" s="2">
        <v>7.1547817791557298E-4</v>
      </c>
      <c r="D10787" s="2">
        <v>5.7405281285878302E-4</v>
      </c>
      <c r="E10787" s="2">
        <v>0</v>
      </c>
      <c r="F10787" s="2">
        <v>6.8255801743148095E-4</v>
      </c>
    </row>
    <row r="10788" spans="1:6" x14ac:dyDescent="0.25">
      <c r="A10788" s="1" t="str">
        <f t="shared" si="388"/>
        <v>20820</v>
      </c>
      <c r="B10788" s="1" t="str">
        <f>"62458"</f>
        <v>62458</v>
      </c>
      <c r="C10788" s="2">
        <v>2.0868113522537501E-3</v>
      </c>
      <c r="D10788" s="2">
        <v>0</v>
      </c>
      <c r="E10788" s="2">
        <v>0</v>
      </c>
      <c r="F10788" s="2">
        <v>1.8376562007770599E-3</v>
      </c>
    </row>
    <row r="10789" spans="1:6" x14ac:dyDescent="0.25">
      <c r="A10789" s="1" t="str">
        <f t="shared" si="388"/>
        <v>20820</v>
      </c>
      <c r="B10789" s="1" t="str">
        <f>"62461"</f>
        <v>62461</v>
      </c>
      <c r="C10789" s="2">
        <v>2.3372287145242001E-2</v>
      </c>
      <c r="D10789" s="2">
        <v>9.7588978185993106E-3</v>
      </c>
      <c r="E10789" s="2">
        <v>1.8796992481203E-3</v>
      </c>
      <c r="F10789" s="2">
        <v>2.15268297805313E-2</v>
      </c>
    </row>
    <row r="10790" spans="1:6" x14ac:dyDescent="0.25">
      <c r="A10790" s="1" t="str">
        <f t="shared" si="388"/>
        <v>20820</v>
      </c>
      <c r="B10790" s="1" t="str">
        <f>"62426"</f>
        <v>62426</v>
      </c>
      <c r="C10790" s="2">
        <v>2.2597185785833501E-2</v>
      </c>
      <c r="D10790" s="2">
        <v>6.8886337543053898E-3</v>
      </c>
      <c r="E10790" s="2">
        <v>1.8796992481203E-3</v>
      </c>
      <c r="F10790" s="2">
        <v>2.0581749448703099E-2</v>
      </c>
    </row>
    <row r="10791" spans="1:6" x14ac:dyDescent="0.25">
      <c r="A10791" s="1" t="str">
        <f t="shared" si="388"/>
        <v>20820</v>
      </c>
      <c r="B10791" s="1" t="str">
        <f>"62443"</f>
        <v>62443</v>
      </c>
      <c r="C10791" s="2">
        <v>3.47603148103982E-2</v>
      </c>
      <c r="D10791" s="2">
        <v>3.4443168771526901E-3</v>
      </c>
      <c r="E10791" s="2">
        <v>9.3984962406014998E-3</v>
      </c>
      <c r="F10791" s="2">
        <v>3.11876509503307E-2</v>
      </c>
    </row>
    <row r="10792" spans="1:6" x14ac:dyDescent="0.25">
      <c r="A10792" s="1" t="str">
        <f t="shared" si="388"/>
        <v>20820</v>
      </c>
      <c r="B10792" s="1" t="str">
        <f>"62424"</f>
        <v>62424</v>
      </c>
      <c r="C10792" s="2">
        <v>5.4793703792034298E-2</v>
      </c>
      <c r="D10792" s="2">
        <v>2.9850746268656699E-2</v>
      </c>
      <c r="E10792" s="2">
        <v>3.1954887218045097E-2</v>
      </c>
      <c r="F10792" s="2">
        <v>5.1874409324792599E-2</v>
      </c>
    </row>
    <row r="10793" spans="1:6" x14ac:dyDescent="0.25">
      <c r="A10793" s="1" t="str">
        <f t="shared" si="388"/>
        <v>20820</v>
      </c>
      <c r="B10793" s="1" t="str">
        <f>"62401"</f>
        <v>62401</v>
      </c>
      <c r="C10793" s="2">
        <v>0.55533031242547104</v>
      </c>
      <c r="D10793" s="2">
        <v>0.76291618828932195</v>
      </c>
      <c r="E10793" s="2">
        <v>0.85902255639097702</v>
      </c>
      <c r="F10793" s="2">
        <v>0.58279953796072603</v>
      </c>
    </row>
    <row r="10794" spans="1:6" x14ac:dyDescent="0.25">
      <c r="A10794" s="1" t="str">
        <f t="shared" si="388"/>
        <v>20820</v>
      </c>
      <c r="B10794" s="1" t="str">
        <f>"62473"</f>
        <v>62473</v>
      </c>
      <c r="C10794" s="2">
        <v>3.4402575721440398E-2</v>
      </c>
      <c r="D10794" s="2">
        <v>6.3145809414466101E-3</v>
      </c>
      <c r="E10794" s="2">
        <v>9.3984962406014998E-3</v>
      </c>
      <c r="F10794" s="2">
        <v>3.1135146487451401E-2</v>
      </c>
    </row>
    <row r="10795" spans="1:6" x14ac:dyDescent="0.25">
      <c r="A10795" s="1" t="str">
        <f t="shared" si="388"/>
        <v>20820</v>
      </c>
      <c r="B10795" s="1" t="str">
        <f>"62411"</f>
        <v>62411</v>
      </c>
      <c r="C10795" s="2">
        <v>0.118232768900548</v>
      </c>
      <c r="D10795" s="2">
        <v>9.7014925373134303E-2</v>
      </c>
      <c r="E10795" s="2">
        <v>4.13533834586466E-2</v>
      </c>
      <c r="F10795" s="2">
        <v>0.11414470229969501</v>
      </c>
    </row>
    <row r="10796" spans="1:6" x14ac:dyDescent="0.25">
      <c r="A10796" s="1" t="str">
        <f t="shared" si="388"/>
        <v>20820</v>
      </c>
      <c r="B10796" s="1" t="str">
        <f>"62467"</f>
        <v>62467</v>
      </c>
      <c r="C10796" s="2">
        <v>8.3412830908657198E-2</v>
      </c>
      <c r="D10796" s="2">
        <v>6.0275545350172197E-2</v>
      </c>
      <c r="E10796" s="2">
        <v>2.6315789473684199E-2</v>
      </c>
      <c r="F10796" s="2">
        <v>7.9701774650845297E-2</v>
      </c>
    </row>
    <row r="10797" spans="1:6" x14ac:dyDescent="0.25">
      <c r="A10797" s="1" t="str">
        <f t="shared" si="388"/>
        <v>20820</v>
      </c>
      <c r="B10797" s="1" t="str">
        <f>"62462"</f>
        <v>62462</v>
      </c>
      <c r="C10797" s="2">
        <v>3.57739088957786E-4</v>
      </c>
      <c r="D10797" s="2">
        <v>0</v>
      </c>
      <c r="E10797" s="2">
        <v>0</v>
      </c>
      <c r="F10797" s="2">
        <v>3.1502677727606799E-4</v>
      </c>
    </row>
    <row r="10798" spans="1:6" x14ac:dyDescent="0.25">
      <c r="A10798" s="1" t="str">
        <f t="shared" si="388"/>
        <v>20820</v>
      </c>
      <c r="B10798" s="1" t="str">
        <f>"62414"</f>
        <v>62414</v>
      </c>
      <c r="C10798" s="2">
        <v>6.06367755783448E-2</v>
      </c>
      <c r="D10798" s="2">
        <v>1.4351320321469499E-2</v>
      </c>
      <c r="E10798" s="2">
        <v>1.6917293233082699E-2</v>
      </c>
      <c r="F10798" s="2">
        <v>5.5182190486191302E-2</v>
      </c>
    </row>
    <row r="10799" spans="1:6" x14ac:dyDescent="0.25">
      <c r="A10799" s="1" t="str">
        <f t="shared" si="388"/>
        <v>20820</v>
      </c>
      <c r="B10799" s="1" t="str">
        <f>"62838"</f>
        <v>62838</v>
      </c>
      <c r="C10799" s="2">
        <v>2.3849272597185698E-3</v>
      </c>
      <c r="D10799" s="2">
        <v>0</v>
      </c>
      <c r="E10799" s="2">
        <v>0</v>
      </c>
      <c r="F10799" s="2">
        <v>2.1001785151737798E-3</v>
      </c>
    </row>
    <row r="10800" spans="1:6" x14ac:dyDescent="0.25">
      <c r="A10800" s="1" t="str">
        <f t="shared" ref="A10800:A10813" si="389">"20900"</f>
        <v>20900</v>
      </c>
      <c r="B10800" s="1" t="str">
        <f>"77420"</f>
        <v>77420</v>
      </c>
      <c r="C10800" s="2">
        <v>5.4392688679245203E-2</v>
      </c>
      <c r="D10800" s="2">
        <v>1.42045454545454E-2</v>
      </c>
      <c r="E10800" s="2">
        <v>2.40549828178694E-2</v>
      </c>
      <c r="F10800" s="2">
        <v>5.0841405168950499E-2</v>
      </c>
    </row>
    <row r="10801" spans="1:6" x14ac:dyDescent="0.25">
      <c r="A10801" s="1" t="str">
        <f t="shared" si="389"/>
        <v>20900</v>
      </c>
      <c r="B10801" s="1" t="str">
        <f>"77434"</f>
        <v>77434</v>
      </c>
      <c r="C10801" s="2">
        <v>7.8125E-3</v>
      </c>
      <c r="D10801" s="2">
        <v>2.27272727272727E-3</v>
      </c>
      <c r="E10801" s="2">
        <v>0</v>
      </c>
      <c r="F10801" s="2">
        <v>7.2758112752756296E-3</v>
      </c>
    </row>
    <row r="10802" spans="1:6" x14ac:dyDescent="0.25">
      <c r="A10802" s="1" t="str">
        <f t="shared" si="389"/>
        <v>20900</v>
      </c>
      <c r="B10802" s="1" t="str">
        <f>"77488"</f>
        <v>77488</v>
      </c>
      <c r="C10802" s="2">
        <v>0.35868710691823802</v>
      </c>
      <c r="D10802" s="2">
        <v>0.42499999999999999</v>
      </c>
      <c r="E10802" s="2">
        <v>0.54982817869415801</v>
      </c>
      <c r="F10802" s="2">
        <v>0.36637950274516801</v>
      </c>
    </row>
    <row r="10803" spans="1:6" x14ac:dyDescent="0.25">
      <c r="A10803" s="1" t="str">
        <f t="shared" si="389"/>
        <v>20900</v>
      </c>
      <c r="B10803" s="1" t="str">
        <f>"77448"</f>
        <v>77448</v>
      </c>
      <c r="C10803" s="2">
        <v>0</v>
      </c>
      <c r="D10803" s="2">
        <v>5.6818181818181805E-4</v>
      </c>
      <c r="E10803" s="2">
        <v>0</v>
      </c>
      <c r="F10803" s="2">
        <v>4.4636878989421001E-5</v>
      </c>
    </row>
    <row r="10804" spans="1:6" x14ac:dyDescent="0.25">
      <c r="A10804" s="1" t="str">
        <f t="shared" si="389"/>
        <v>20900</v>
      </c>
      <c r="B10804" s="1" t="str">
        <f>"77485"</f>
        <v>77485</v>
      </c>
      <c r="C10804" s="2">
        <v>3.4394654088050301E-4</v>
      </c>
      <c r="D10804" s="2">
        <v>0</v>
      </c>
      <c r="E10804" s="2">
        <v>0</v>
      </c>
      <c r="F10804" s="2">
        <v>3.1245815292594702E-4</v>
      </c>
    </row>
    <row r="10805" spans="1:6" x14ac:dyDescent="0.25">
      <c r="A10805" s="1" t="str">
        <f t="shared" si="389"/>
        <v>20900</v>
      </c>
      <c r="B10805" s="1" t="str">
        <f>"77455"</f>
        <v>77455</v>
      </c>
      <c r="C10805" s="2">
        <v>4.1470125786163499E-2</v>
      </c>
      <c r="D10805" s="2">
        <v>4.54545454545454E-3</v>
      </c>
      <c r="E10805" s="2">
        <v>0</v>
      </c>
      <c r="F10805" s="2">
        <v>3.8030620898986699E-2</v>
      </c>
    </row>
    <row r="10806" spans="1:6" x14ac:dyDescent="0.25">
      <c r="A10806" s="1" t="str">
        <f t="shared" si="389"/>
        <v>20900</v>
      </c>
      <c r="B10806" s="1" t="str">
        <f>"77454"</f>
        <v>77454</v>
      </c>
      <c r="C10806" s="2">
        <v>0</v>
      </c>
      <c r="D10806" s="2">
        <v>5.6818181818181805E-4</v>
      </c>
      <c r="E10806" s="2">
        <v>0</v>
      </c>
      <c r="F10806" s="2">
        <v>4.4636878989421001E-5</v>
      </c>
    </row>
    <row r="10807" spans="1:6" x14ac:dyDescent="0.25">
      <c r="A10807" s="1" t="str">
        <f t="shared" si="389"/>
        <v>20900</v>
      </c>
      <c r="B10807" s="1" t="str">
        <f>"77467"</f>
        <v>77467</v>
      </c>
      <c r="C10807" s="2">
        <v>0</v>
      </c>
      <c r="D10807" s="2">
        <v>5.6818181818181805E-4</v>
      </c>
      <c r="E10807" s="2">
        <v>0</v>
      </c>
      <c r="F10807" s="2">
        <v>4.4636878989421001E-5</v>
      </c>
    </row>
    <row r="10808" spans="1:6" x14ac:dyDescent="0.25">
      <c r="A10808" s="1" t="str">
        <f t="shared" si="389"/>
        <v>20900</v>
      </c>
      <c r="B10808" s="1" t="str">
        <f>"77435"</f>
        <v>77435</v>
      </c>
      <c r="C10808" s="2">
        <v>9.5469732704402496E-2</v>
      </c>
      <c r="D10808" s="2">
        <v>6.1931818181818102E-2</v>
      </c>
      <c r="E10808" s="2">
        <v>6.1855670103092703E-2</v>
      </c>
      <c r="F10808" s="2">
        <v>9.2398339508101501E-2</v>
      </c>
    </row>
    <row r="10809" spans="1:6" x14ac:dyDescent="0.25">
      <c r="A10809" s="1" t="str">
        <f t="shared" si="389"/>
        <v>20900</v>
      </c>
      <c r="B10809" s="1" t="str">
        <f>"77436"</f>
        <v>77436</v>
      </c>
      <c r="C10809" s="2">
        <v>0</v>
      </c>
      <c r="D10809" s="2">
        <v>5.6818181818181805E-4</v>
      </c>
      <c r="E10809" s="2">
        <v>0</v>
      </c>
      <c r="F10809" s="2">
        <v>4.4636878989421001E-5</v>
      </c>
    </row>
    <row r="10810" spans="1:6" x14ac:dyDescent="0.25">
      <c r="A10810" s="1" t="str">
        <f t="shared" si="389"/>
        <v>20900</v>
      </c>
      <c r="B10810" s="1" t="str">
        <f>"77437"</f>
        <v>77437</v>
      </c>
      <c r="C10810" s="2">
        <v>0.44182389937106897</v>
      </c>
      <c r="D10810" s="2">
        <v>0.48806818181818101</v>
      </c>
      <c r="E10810" s="2">
        <v>0.36426116838487899</v>
      </c>
      <c r="F10810" s="2">
        <v>0.44444940409766498</v>
      </c>
    </row>
    <row r="10811" spans="1:6" x14ac:dyDescent="0.25">
      <c r="A10811" s="1" t="str">
        <f t="shared" si="389"/>
        <v>20900</v>
      </c>
      <c r="B10811" s="1" t="str">
        <f>"77453"</f>
        <v>77453</v>
      </c>
      <c r="C10811" s="2">
        <v>0</v>
      </c>
      <c r="D10811" s="2">
        <v>5.6818181818181805E-4</v>
      </c>
      <c r="E10811" s="2">
        <v>0</v>
      </c>
      <c r="F10811" s="2">
        <v>4.4636878989421001E-5</v>
      </c>
    </row>
    <row r="10812" spans="1:6" x14ac:dyDescent="0.25">
      <c r="A10812" s="1" t="str">
        <f t="shared" si="389"/>
        <v>20900</v>
      </c>
      <c r="B10812" s="1" t="str">
        <f>"77432"</f>
        <v>77432</v>
      </c>
      <c r="C10812" s="2">
        <v>0</v>
      </c>
      <c r="D10812" s="2">
        <v>5.6818181818181805E-4</v>
      </c>
      <c r="E10812" s="2">
        <v>0</v>
      </c>
      <c r="F10812" s="2">
        <v>4.4636878989421001E-5</v>
      </c>
    </row>
    <row r="10813" spans="1:6" x14ac:dyDescent="0.25">
      <c r="A10813" s="1" t="str">
        <f t="shared" si="389"/>
        <v>20900</v>
      </c>
      <c r="B10813" s="1" t="str">
        <f>"77443"</f>
        <v>77443</v>
      </c>
      <c r="C10813" s="2">
        <v>0</v>
      </c>
      <c r="D10813" s="2">
        <v>5.6818181818181805E-4</v>
      </c>
      <c r="E10813" s="2">
        <v>0</v>
      </c>
      <c r="F10813" s="2">
        <v>4.4636878989421001E-5</v>
      </c>
    </row>
    <row r="10814" spans="1:6" x14ac:dyDescent="0.25">
      <c r="A10814" s="1" t="str">
        <f t="shared" ref="A10814:A10832" si="390">"20940"</f>
        <v>20940</v>
      </c>
      <c r="B10814" s="1" t="str">
        <f>"92222"</f>
        <v>92222</v>
      </c>
      <c r="C10814" s="2">
        <v>0</v>
      </c>
      <c r="D10814" s="2">
        <v>1.6677785190126701E-4</v>
      </c>
      <c r="E10814" s="2">
        <v>0</v>
      </c>
      <c r="F10814" s="2">
        <v>1.41167170162906E-5</v>
      </c>
    </row>
    <row r="10815" spans="1:6" x14ac:dyDescent="0.25">
      <c r="A10815" s="1" t="str">
        <f t="shared" si="390"/>
        <v>20940</v>
      </c>
      <c r="B10815" s="1" t="str">
        <f>"92275"</f>
        <v>92275</v>
      </c>
      <c r="C10815" s="2">
        <v>1.6350555918901198E-5</v>
      </c>
      <c r="D10815" s="2">
        <v>0</v>
      </c>
      <c r="E10815" s="2">
        <v>0</v>
      </c>
      <c r="F10815" s="2">
        <v>1.41167170162906E-5</v>
      </c>
    </row>
    <row r="10816" spans="1:6" x14ac:dyDescent="0.25">
      <c r="A10816" s="1" t="str">
        <f t="shared" si="390"/>
        <v>20940</v>
      </c>
      <c r="B10816" s="1" t="str">
        <f>"92232"</f>
        <v>92232</v>
      </c>
      <c r="C10816" s="2">
        <v>7.3315892740353106E-2</v>
      </c>
      <c r="D10816" s="2">
        <v>5.5537024683122001E-2</v>
      </c>
      <c r="E10816" s="2">
        <v>5.4318305268875595E-4</v>
      </c>
      <c r="F10816" s="2">
        <v>6.8028459301504807E-2</v>
      </c>
    </row>
    <row r="10817" spans="1:6" x14ac:dyDescent="0.25">
      <c r="A10817" s="1" t="str">
        <f t="shared" si="390"/>
        <v>20940</v>
      </c>
      <c r="B10817" s="1" t="str">
        <f>"92249"</f>
        <v>92249</v>
      </c>
      <c r="C10817" s="2">
        <v>2.1860693263570902E-2</v>
      </c>
      <c r="D10817" s="2">
        <v>6.00400266844563E-3</v>
      </c>
      <c r="E10817" s="2">
        <v>6.2466051059206903E-3</v>
      </c>
      <c r="F10817" s="2">
        <v>1.9706936954741801E-2</v>
      </c>
    </row>
    <row r="10818" spans="1:6" x14ac:dyDescent="0.25">
      <c r="A10818" s="1" t="str">
        <f t="shared" si="390"/>
        <v>20940</v>
      </c>
      <c r="B10818" s="1" t="str">
        <f>"92244"</f>
        <v>92244</v>
      </c>
      <c r="C10818" s="2">
        <v>4.0549378678875002E-2</v>
      </c>
      <c r="D10818" s="2">
        <v>7.1380920613742405E-2</v>
      </c>
      <c r="E10818" s="2">
        <v>5.4318305268875595E-4</v>
      </c>
      <c r="F10818" s="2">
        <v>4.10796465174059E-2</v>
      </c>
    </row>
    <row r="10819" spans="1:6" x14ac:dyDescent="0.25">
      <c r="A10819" s="1" t="str">
        <f t="shared" si="390"/>
        <v>20940</v>
      </c>
      <c r="B10819" s="1" t="str">
        <f>"92227"</f>
        <v>92227</v>
      </c>
      <c r="C10819" s="2">
        <v>0.15544473512099399</v>
      </c>
      <c r="D10819" s="2">
        <v>0.129919946631087</v>
      </c>
      <c r="E10819" s="2">
        <v>0.145844649646931</v>
      </c>
      <c r="F10819" s="2">
        <v>0.152785228267314</v>
      </c>
    </row>
    <row r="10820" spans="1:6" x14ac:dyDescent="0.25">
      <c r="A10820" s="1" t="str">
        <f t="shared" si="390"/>
        <v>20940</v>
      </c>
      <c r="B10820" s="1" t="str">
        <f>"92274"</f>
        <v>92274</v>
      </c>
      <c r="C10820" s="2">
        <v>4.4751471550032701E-2</v>
      </c>
      <c r="D10820" s="2">
        <v>1.1007338225483601E-2</v>
      </c>
      <c r="E10820" s="2">
        <v>6.8441064638783203E-2</v>
      </c>
      <c r="F10820" s="2">
        <v>4.3126570484768E-2</v>
      </c>
    </row>
    <row r="10821" spans="1:6" x14ac:dyDescent="0.25">
      <c r="A10821" s="1" t="str">
        <f t="shared" si="390"/>
        <v>20940</v>
      </c>
      <c r="B10821" s="1" t="str">
        <f>"92243"</f>
        <v>92243</v>
      </c>
      <c r="C10821" s="2">
        <v>0.27001308044473499</v>
      </c>
      <c r="D10821" s="2">
        <v>0.37224816544362899</v>
      </c>
      <c r="E10821" s="2">
        <v>0.39299293862031498</v>
      </c>
      <c r="F10821" s="2">
        <v>0.285058866709957</v>
      </c>
    </row>
    <row r="10822" spans="1:6" x14ac:dyDescent="0.25">
      <c r="A10822" s="1" t="str">
        <f t="shared" si="390"/>
        <v>20940</v>
      </c>
      <c r="B10822" s="1" t="str">
        <f>"92250"</f>
        <v>92250</v>
      </c>
      <c r="C10822" s="2">
        <v>4.3786788750817499E-2</v>
      </c>
      <c r="D10822" s="2">
        <v>2.8519012675116698E-2</v>
      </c>
      <c r="E10822" s="2">
        <v>4.0195545898967899E-2</v>
      </c>
      <c r="F10822" s="2">
        <v>4.2307800897823197E-2</v>
      </c>
    </row>
    <row r="10823" spans="1:6" x14ac:dyDescent="0.25">
      <c r="A10823" s="1" t="str">
        <f t="shared" si="390"/>
        <v>20940</v>
      </c>
      <c r="B10823" s="1" t="str">
        <f>"92259"</f>
        <v>92259</v>
      </c>
      <c r="C10823" s="2">
        <v>1.6350555918901198E-5</v>
      </c>
      <c r="D10823" s="2">
        <v>1.6677785190126701E-4</v>
      </c>
      <c r="E10823" s="2">
        <v>0</v>
      </c>
      <c r="F10823" s="2">
        <v>2.8233434032581301E-5</v>
      </c>
    </row>
    <row r="10824" spans="1:6" x14ac:dyDescent="0.25">
      <c r="A10824" s="1" t="str">
        <f t="shared" si="390"/>
        <v>20940</v>
      </c>
      <c r="B10824" s="1" t="str">
        <f>"92225"</f>
        <v>92225</v>
      </c>
      <c r="C10824" s="2">
        <v>1.9620667102681399E-4</v>
      </c>
      <c r="D10824" s="2">
        <v>0</v>
      </c>
      <c r="E10824" s="2">
        <v>0</v>
      </c>
      <c r="F10824" s="2">
        <v>1.6940060419548799E-4</v>
      </c>
    </row>
    <row r="10825" spans="1:6" x14ac:dyDescent="0.25">
      <c r="A10825" s="1" t="str">
        <f t="shared" si="390"/>
        <v>20940</v>
      </c>
      <c r="B10825" s="1" t="str">
        <f>"92273"</f>
        <v>92273</v>
      </c>
      <c r="C10825" s="2">
        <v>1.6350555918901198E-5</v>
      </c>
      <c r="D10825" s="2">
        <v>1.6677785190126701E-4</v>
      </c>
      <c r="E10825" s="2">
        <v>0</v>
      </c>
      <c r="F10825" s="2">
        <v>2.8233434032581301E-5</v>
      </c>
    </row>
    <row r="10826" spans="1:6" x14ac:dyDescent="0.25">
      <c r="A10826" s="1" t="str">
        <f t="shared" si="390"/>
        <v>20940</v>
      </c>
      <c r="B10826" s="1" t="str">
        <f>"92266"</f>
        <v>92266</v>
      </c>
      <c r="C10826" s="2">
        <v>0</v>
      </c>
      <c r="D10826" s="2">
        <v>1.6677785190126701E-4</v>
      </c>
      <c r="E10826" s="2">
        <v>0</v>
      </c>
      <c r="F10826" s="2">
        <v>1.41167170162906E-5</v>
      </c>
    </row>
    <row r="10827" spans="1:6" x14ac:dyDescent="0.25">
      <c r="A10827" s="1" t="str">
        <f t="shared" si="390"/>
        <v>20940</v>
      </c>
      <c r="B10827" s="1" t="str">
        <f>"92257"</f>
        <v>92257</v>
      </c>
      <c r="C10827" s="2">
        <v>6.81818181818181E-3</v>
      </c>
      <c r="D10827" s="2">
        <v>4.33622414943295E-3</v>
      </c>
      <c r="E10827" s="2">
        <v>2.1455730581205801E-2</v>
      </c>
      <c r="F10827" s="2">
        <v>7.3689262825037396E-3</v>
      </c>
    </row>
    <row r="10828" spans="1:6" x14ac:dyDescent="0.25">
      <c r="A10828" s="1" t="str">
        <f t="shared" si="390"/>
        <v>20940</v>
      </c>
      <c r="B10828" s="1" t="str">
        <f>"92281"</f>
        <v>92281</v>
      </c>
      <c r="C10828" s="2">
        <v>9.81033355134074E-5</v>
      </c>
      <c r="D10828" s="2">
        <v>3.33555703802535E-4</v>
      </c>
      <c r="E10828" s="2">
        <v>0</v>
      </c>
      <c r="F10828" s="2">
        <v>1.12933736130325E-4</v>
      </c>
    </row>
    <row r="10829" spans="1:6" x14ac:dyDescent="0.25">
      <c r="A10829" s="1" t="str">
        <f t="shared" si="390"/>
        <v>20940</v>
      </c>
      <c r="B10829" s="1" t="str">
        <f>"92283"</f>
        <v>92283</v>
      </c>
      <c r="C10829" s="2">
        <v>4.4064748201438797E-2</v>
      </c>
      <c r="D10829" s="2">
        <v>1.3175450300200099E-2</v>
      </c>
      <c r="E10829" s="2">
        <v>8.4193373166757107E-3</v>
      </c>
      <c r="F10829" s="2">
        <v>3.9597391230695299E-2</v>
      </c>
    </row>
    <row r="10830" spans="1:6" x14ac:dyDescent="0.25">
      <c r="A10830" s="1" t="str">
        <f t="shared" si="390"/>
        <v>20940</v>
      </c>
      <c r="B10830" s="1" t="str">
        <f>"92251"</f>
        <v>92251</v>
      </c>
      <c r="C10830" s="2">
        <v>0.11839437540876301</v>
      </c>
      <c r="D10830" s="2">
        <v>6.1874583055370198E-2</v>
      </c>
      <c r="E10830" s="2">
        <v>5.4861488321564303E-2</v>
      </c>
      <c r="F10830" s="2">
        <v>0.110308026765295</v>
      </c>
    </row>
    <row r="10831" spans="1:6" x14ac:dyDescent="0.25">
      <c r="A10831" s="1" t="str">
        <f t="shared" si="390"/>
        <v>20940</v>
      </c>
      <c r="B10831" s="1" t="str">
        <f>"92231"</f>
        <v>92231</v>
      </c>
      <c r="C10831" s="2">
        <v>0.17699476782210499</v>
      </c>
      <c r="D10831" s="2">
        <v>0.23732488325550299</v>
      </c>
      <c r="E10831" s="2">
        <v>0.25285171102661502</v>
      </c>
      <c r="F10831" s="2">
        <v>0.18604421355769499</v>
      </c>
    </row>
    <row r="10832" spans="1:6" x14ac:dyDescent="0.25">
      <c r="A10832" s="1" t="str">
        <f t="shared" si="390"/>
        <v>20940</v>
      </c>
      <c r="B10832" s="1" t="str">
        <f>"92233"</f>
        <v>92233</v>
      </c>
      <c r="C10832" s="2">
        <v>3.6625245258338698E-3</v>
      </c>
      <c r="D10832" s="2">
        <v>7.6717811874582997E-3</v>
      </c>
      <c r="E10832" s="2">
        <v>7.6045627376425803E-3</v>
      </c>
      <c r="F10832" s="2">
        <v>4.2067816708546198E-3</v>
      </c>
    </row>
    <row r="10833" spans="1:6" x14ac:dyDescent="0.25">
      <c r="A10833" s="1" t="str">
        <f t="shared" ref="A10833:A10844" si="391">"20980"</f>
        <v>20980</v>
      </c>
      <c r="B10833" s="1" t="str">
        <f>"71764"</f>
        <v>71764</v>
      </c>
      <c r="C10833" s="2">
        <v>4.9971170478569998E-4</v>
      </c>
      <c r="D10833" s="2">
        <v>0</v>
      </c>
      <c r="E10833" s="2">
        <v>0</v>
      </c>
      <c r="F10833" s="2">
        <v>4.49096624866134E-4</v>
      </c>
    </row>
    <row r="10834" spans="1:6" x14ac:dyDescent="0.25">
      <c r="A10834" s="1" t="str">
        <f t="shared" si="391"/>
        <v>20980</v>
      </c>
      <c r="B10834" s="1" t="str">
        <f>"71749"</f>
        <v>71749</v>
      </c>
      <c r="C10834" s="2">
        <v>5.1393426869113898E-2</v>
      </c>
      <c r="D10834" s="2">
        <v>1.19805316360913E-2</v>
      </c>
      <c r="E10834" s="2">
        <v>7.66283524904214E-3</v>
      </c>
      <c r="F10834" s="2">
        <v>4.7362420976266903E-2</v>
      </c>
    </row>
    <row r="10835" spans="1:6" x14ac:dyDescent="0.25">
      <c r="A10835" s="1" t="str">
        <f t="shared" si="391"/>
        <v>20980</v>
      </c>
      <c r="B10835" s="1" t="str">
        <f>"71724"</f>
        <v>71724</v>
      </c>
      <c r="C10835" s="2">
        <v>0</v>
      </c>
      <c r="D10835" s="2">
        <v>0</v>
      </c>
      <c r="E10835" s="2">
        <v>3.83141762452107E-3</v>
      </c>
      <c r="F10835" s="2">
        <v>3.4545894220471801E-5</v>
      </c>
    </row>
    <row r="10836" spans="1:6" x14ac:dyDescent="0.25">
      <c r="A10836" s="1" t="str">
        <f t="shared" si="391"/>
        <v>20980</v>
      </c>
      <c r="B10836" s="1" t="str">
        <f>"71765"</f>
        <v>71765</v>
      </c>
      <c r="C10836" s="2">
        <v>3.7132423601768202E-2</v>
      </c>
      <c r="D10836" s="2">
        <v>1.0482965181579901E-2</v>
      </c>
      <c r="E10836" s="2">
        <v>1.1494252873563199E-2</v>
      </c>
      <c r="F10836" s="2">
        <v>3.4442256537810398E-2</v>
      </c>
    </row>
    <row r="10837" spans="1:6" x14ac:dyDescent="0.25">
      <c r="A10837" s="1" t="str">
        <f t="shared" si="391"/>
        <v>20980</v>
      </c>
      <c r="B10837" s="1" t="str">
        <f>"71753"</f>
        <v>71753</v>
      </c>
      <c r="C10837" s="2">
        <v>6.1502979050547697E-3</v>
      </c>
      <c r="D10837" s="2">
        <v>7.4878322725570898E-4</v>
      </c>
      <c r="E10837" s="2">
        <v>0</v>
      </c>
      <c r="F10837" s="2">
        <v>5.5964348637164403E-3</v>
      </c>
    </row>
    <row r="10838" spans="1:6" x14ac:dyDescent="0.25">
      <c r="A10838" s="1" t="str">
        <f t="shared" si="391"/>
        <v>20980</v>
      </c>
      <c r="B10838" s="1" t="str">
        <f>"71762"</f>
        <v>71762</v>
      </c>
      <c r="C10838" s="2">
        <v>5.2200653469152397E-2</v>
      </c>
      <c r="D10838" s="2">
        <v>5.5035567203294597E-2</v>
      </c>
      <c r="E10838" s="2">
        <v>2.68199233716475E-2</v>
      </c>
      <c r="F10838" s="2">
        <v>5.2233392061353502E-2</v>
      </c>
    </row>
    <row r="10839" spans="1:6" x14ac:dyDescent="0.25">
      <c r="A10839" s="1" t="str">
        <f t="shared" si="391"/>
        <v>20980</v>
      </c>
      <c r="B10839" s="1" t="str">
        <f>"71747"</f>
        <v>71747</v>
      </c>
      <c r="C10839" s="2">
        <v>1.5837017105516001E-2</v>
      </c>
      <c r="D10839" s="2">
        <v>4.1183077499063999E-3</v>
      </c>
      <c r="E10839" s="2">
        <v>3.83141762452107E-3</v>
      </c>
      <c r="F10839" s="2">
        <v>1.4647459149479999E-2</v>
      </c>
    </row>
    <row r="10840" spans="1:6" x14ac:dyDescent="0.25">
      <c r="A10840" s="1" t="str">
        <f t="shared" si="391"/>
        <v>20980</v>
      </c>
      <c r="B10840" s="1" t="str">
        <f>"71758"</f>
        <v>71758</v>
      </c>
      <c r="C10840" s="2">
        <v>1.35306553911205E-2</v>
      </c>
      <c r="D10840" s="2">
        <v>1.1231748408835601E-3</v>
      </c>
      <c r="E10840" s="2">
        <v>7.66283524904214E-3</v>
      </c>
      <c r="F10840" s="2">
        <v>1.23328842367084E-2</v>
      </c>
    </row>
    <row r="10841" spans="1:6" x14ac:dyDescent="0.25">
      <c r="A10841" s="1" t="str">
        <f t="shared" si="391"/>
        <v>20980</v>
      </c>
      <c r="B10841" s="1" t="str">
        <f>"71759"</f>
        <v>71759</v>
      </c>
      <c r="C10841" s="2">
        <v>0</v>
      </c>
      <c r="D10841" s="2">
        <v>0</v>
      </c>
      <c r="E10841" s="2">
        <v>3.83141762452107E-3</v>
      </c>
      <c r="F10841" s="2">
        <v>3.4545894220471801E-5</v>
      </c>
    </row>
    <row r="10842" spans="1:6" x14ac:dyDescent="0.25">
      <c r="A10842" s="1" t="str">
        <f t="shared" si="391"/>
        <v>20980</v>
      </c>
      <c r="B10842" s="1" t="str">
        <f>"71730"</f>
        <v>71730</v>
      </c>
      <c r="C10842" s="2">
        <v>0.80745723620987797</v>
      </c>
      <c r="D10842" s="2">
        <v>0.86297266941220496</v>
      </c>
      <c r="E10842" s="2">
        <v>0.92337164750957801</v>
      </c>
      <c r="F10842" s="2">
        <v>0.81362490068055404</v>
      </c>
    </row>
    <row r="10843" spans="1:6" x14ac:dyDescent="0.25">
      <c r="A10843" s="1" t="str">
        <f t="shared" si="391"/>
        <v>20980</v>
      </c>
      <c r="B10843" s="1" t="str">
        <f>"71731"</f>
        <v>71731</v>
      </c>
      <c r="C10843" s="2">
        <v>1.5798577743609401E-2</v>
      </c>
      <c r="D10843" s="2">
        <v>5.3538000748783197E-2</v>
      </c>
      <c r="E10843" s="2">
        <v>7.66283524904214E-3</v>
      </c>
      <c r="F10843" s="2">
        <v>1.9207517186582299E-2</v>
      </c>
    </row>
    <row r="10844" spans="1:6" x14ac:dyDescent="0.25">
      <c r="A10844" s="1" t="str">
        <f t="shared" si="391"/>
        <v>20980</v>
      </c>
      <c r="B10844" s="1" t="str">
        <f>"71750"</f>
        <v>71750</v>
      </c>
      <c r="C10844" s="2">
        <v>0</v>
      </c>
      <c r="D10844" s="2">
        <v>0</v>
      </c>
      <c r="E10844" s="2">
        <v>3.83141762452107E-3</v>
      </c>
      <c r="F10844" s="2">
        <v>3.4545894220471801E-5</v>
      </c>
    </row>
    <row r="10845" spans="1:6" x14ac:dyDescent="0.25">
      <c r="A10845" s="1" t="str">
        <f t="shared" ref="A10845:A10876" si="392">"20994"</f>
        <v>20994</v>
      </c>
      <c r="B10845" s="1" t="str">
        <f>"60177"</f>
        <v>60177</v>
      </c>
      <c r="C10845" s="2">
        <v>0.104728236853733</v>
      </c>
      <c r="D10845" s="2">
        <v>1.5873015873015799E-2</v>
      </c>
      <c r="E10845" s="2">
        <v>9.7560975609755993E-3</v>
      </c>
      <c r="F10845" s="2">
        <v>9.2906707787201198E-2</v>
      </c>
    </row>
    <row r="10846" spans="1:6" x14ac:dyDescent="0.25">
      <c r="A10846" s="1" t="str">
        <f t="shared" si="392"/>
        <v>20994</v>
      </c>
      <c r="B10846" s="1" t="str">
        <f>"60545"</f>
        <v>60545</v>
      </c>
      <c r="C10846" s="2">
        <v>1.7675651789659701E-3</v>
      </c>
      <c r="D10846" s="2">
        <v>0</v>
      </c>
      <c r="E10846" s="2">
        <v>0</v>
      </c>
      <c r="F10846" s="2">
        <v>1.5420200462606E-3</v>
      </c>
    </row>
    <row r="10847" spans="1:6" x14ac:dyDescent="0.25">
      <c r="A10847" s="1" t="str">
        <f t="shared" si="392"/>
        <v>20994</v>
      </c>
      <c r="B10847" s="1" t="str">
        <f>"60552"</f>
        <v>60552</v>
      </c>
      <c r="C10847" s="2">
        <v>4.4189129474149301E-4</v>
      </c>
      <c r="D10847" s="2">
        <v>0</v>
      </c>
      <c r="E10847" s="2">
        <v>0</v>
      </c>
      <c r="F10847" s="2">
        <v>3.8550501156515E-4</v>
      </c>
    </row>
    <row r="10848" spans="1:6" x14ac:dyDescent="0.25">
      <c r="A10848" s="1" t="str">
        <f t="shared" si="392"/>
        <v>20994</v>
      </c>
      <c r="B10848" s="1" t="str">
        <f>"60175"</f>
        <v>60175</v>
      </c>
      <c r="C10848" s="2">
        <v>0</v>
      </c>
      <c r="D10848" s="2">
        <v>3.9682539682539597E-2</v>
      </c>
      <c r="E10848" s="2">
        <v>4.8780487804877997E-3</v>
      </c>
      <c r="F10848" s="2">
        <v>2.3130300693908999E-3</v>
      </c>
    </row>
    <row r="10849" spans="1:6" x14ac:dyDescent="0.25">
      <c r="A10849" s="1" t="str">
        <f t="shared" si="392"/>
        <v>20994</v>
      </c>
      <c r="B10849" s="1" t="str">
        <f>"60119"</f>
        <v>60119</v>
      </c>
      <c r="C10849" s="2">
        <v>1.32567388422448E-3</v>
      </c>
      <c r="D10849" s="2">
        <v>0</v>
      </c>
      <c r="E10849" s="2">
        <v>0</v>
      </c>
      <c r="F10849" s="2">
        <v>1.15651503469545E-3</v>
      </c>
    </row>
    <row r="10850" spans="1:6" x14ac:dyDescent="0.25">
      <c r="A10850" s="1" t="str">
        <f t="shared" si="392"/>
        <v>20994</v>
      </c>
      <c r="B10850" s="1" t="str">
        <f>"60136"</f>
        <v>60136</v>
      </c>
      <c r="C10850" s="2">
        <v>1.32567388422448E-3</v>
      </c>
      <c r="D10850" s="2">
        <v>0</v>
      </c>
      <c r="E10850" s="2">
        <v>0</v>
      </c>
      <c r="F10850" s="2">
        <v>1.15651503469545E-3</v>
      </c>
    </row>
    <row r="10851" spans="1:6" x14ac:dyDescent="0.25">
      <c r="A10851" s="1" t="str">
        <f t="shared" si="392"/>
        <v>20994</v>
      </c>
      <c r="B10851" s="1" t="str">
        <f>"60174"</f>
        <v>60174</v>
      </c>
      <c r="C10851" s="2">
        <v>4.4189129474149301E-4</v>
      </c>
      <c r="D10851" s="2">
        <v>0.19841269841269801</v>
      </c>
      <c r="E10851" s="2">
        <v>4.8780487804878002E-2</v>
      </c>
      <c r="F10851" s="2">
        <v>1.38781804163454E-2</v>
      </c>
    </row>
    <row r="10852" spans="1:6" x14ac:dyDescent="0.25">
      <c r="A10852" s="1" t="str">
        <f t="shared" si="392"/>
        <v>20994</v>
      </c>
      <c r="B10852" s="1" t="str">
        <f>"60184"</f>
        <v>60184</v>
      </c>
      <c r="C10852" s="2">
        <v>4.4189129474149301E-4</v>
      </c>
      <c r="D10852" s="2">
        <v>0</v>
      </c>
      <c r="E10852" s="2">
        <v>0</v>
      </c>
      <c r="F10852" s="2">
        <v>3.8550501156515E-4</v>
      </c>
    </row>
    <row r="10853" spans="1:6" x14ac:dyDescent="0.25">
      <c r="A10853" s="1" t="str">
        <f t="shared" si="392"/>
        <v>20994</v>
      </c>
      <c r="B10853" s="1" t="str">
        <f>"60542"</f>
        <v>60542</v>
      </c>
      <c r="C10853" s="2">
        <v>0.16570923552805999</v>
      </c>
      <c r="D10853" s="2">
        <v>3.9682539682539597E-2</v>
      </c>
      <c r="E10853" s="2">
        <v>0</v>
      </c>
      <c r="F10853" s="2">
        <v>0.14649190439475701</v>
      </c>
    </row>
    <row r="10854" spans="1:6" x14ac:dyDescent="0.25">
      <c r="A10854" s="1" t="str">
        <f t="shared" si="392"/>
        <v>20994</v>
      </c>
      <c r="B10854" s="1" t="str">
        <f>"60151"</f>
        <v>60151</v>
      </c>
      <c r="C10854" s="2">
        <v>8.83782589482987E-4</v>
      </c>
      <c r="D10854" s="2">
        <v>7.9365079365079309E-3</v>
      </c>
      <c r="E10854" s="2">
        <v>0</v>
      </c>
      <c r="F10854" s="2">
        <v>1.15651503469545E-3</v>
      </c>
    </row>
    <row r="10855" spans="1:6" x14ac:dyDescent="0.25">
      <c r="A10855" s="1" t="str">
        <f t="shared" si="392"/>
        <v>20994</v>
      </c>
      <c r="B10855" s="1" t="str">
        <f>"60135"</f>
        <v>60135</v>
      </c>
      <c r="C10855" s="2">
        <v>0</v>
      </c>
      <c r="D10855" s="2">
        <v>7.9365079365079309E-3</v>
      </c>
      <c r="E10855" s="2">
        <v>4.8780487804877997E-3</v>
      </c>
      <c r="F10855" s="2">
        <v>7.7101002313030001E-4</v>
      </c>
    </row>
    <row r="10856" spans="1:6" x14ac:dyDescent="0.25">
      <c r="A10856" s="1" t="str">
        <f t="shared" si="392"/>
        <v>20994</v>
      </c>
      <c r="B10856" s="1" t="str">
        <f>"60560"</f>
        <v>60560</v>
      </c>
      <c r="C10856" s="2">
        <v>3.9770216526734403E-2</v>
      </c>
      <c r="D10856" s="2">
        <v>0.134920634920634</v>
      </c>
      <c r="E10856" s="2">
        <v>2.4390243902439001E-2</v>
      </c>
      <c r="F10856" s="2">
        <v>4.3176561295296803E-2</v>
      </c>
    </row>
    <row r="10857" spans="1:6" x14ac:dyDescent="0.25">
      <c r="A10857" s="1" t="str">
        <f t="shared" si="392"/>
        <v>20994</v>
      </c>
      <c r="B10857" s="1" t="str">
        <f>"60134"</f>
        <v>60134</v>
      </c>
      <c r="C10857" s="2">
        <v>1.9885108263367202E-2</v>
      </c>
      <c r="D10857" s="2">
        <v>3.1746031746031703E-2</v>
      </c>
      <c r="E10857" s="2">
        <v>3.9024390243902397E-2</v>
      </c>
      <c r="F10857" s="2">
        <v>2.1973785659213499E-2</v>
      </c>
    </row>
    <row r="10858" spans="1:6" x14ac:dyDescent="0.25">
      <c r="A10858" s="1" t="str">
        <f t="shared" si="392"/>
        <v>20994</v>
      </c>
      <c r="B10858" s="1" t="str">
        <f>"60447"</f>
        <v>60447</v>
      </c>
      <c r="C10858" s="2">
        <v>8.83782589482987E-4</v>
      </c>
      <c r="D10858" s="2">
        <v>0</v>
      </c>
      <c r="E10858" s="2">
        <v>9.7560975609755993E-3</v>
      </c>
      <c r="F10858" s="2">
        <v>1.5420200462606E-3</v>
      </c>
    </row>
    <row r="10859" spans="1:6" x14ac:dyDescent="0.25">
      <c r="A10859" s="1" t="str">
        <f t="shared" si="392"/>
        <v>20994</v>
      </c>
      <c r="B10859" s="1" t="str">
        <f>"60123"</f>
        <v>60123</v>
      </c>
      <c r="C10859" s="2">
        <v>0</v>
      </c>
      <c r="D10859" s="2">
        <v>1.5873015873015799E-2</v>
      </c>
      <c r="E10859" s="2">
        <v>0.10243902439024299</v>
      </c>
      <c r="F10859" s="2">
        <v>8.8666152659984503E-3</v>
      </c>
    </row>
    <row r="10860" spans="1:6" x14ac:dyDescent="0.25">
      <c r="A10860" s="1" t="str">
        <f t="shared" si="392"/>
        <v>20994</v>
      </c>
      <c r="B10860" s="1" t="str">
        <f>"60140"</f>
        <v>60140</v>
      </c>
      <c r="C10860" s="2">
        <v>0.13433495360141401</v>
      </c>
      <c r="D10860" s="2">
        <v>8.7301587301587297E-2</v>
      </c>
      <c r="E10860" s="2">
        <v>9.7560975609755993E-3</v>
      </c>
      <c r="F10860" s="2">
        <v>0.122205088666152</v>
      </c>
    </row>
    <row r="10861" spans="1:6" x14ac:dyDescent="0.25">
      <c r="A10861" s="1" t="str">
        <f t="shared" si="392"/>
        <v>20994</v>
      </c>
      <c r="B10861" s="1" t="str">
        <f>"60118"</f>
        <v>60118</v>
      </c>
      <c r="C10861" s="2">
        <v>1.6349977905435201E-2</v>
      </c>
      <c r="D10861" s="2">
        <v>0</v>
      </c>
      <c r="E10861" s="2">
        <v>3.4146341463414602E-2</v>
      </c>
      <c r="F10861" s="2">
        <v>1.6962220508866602E-2</v>
      </c>
    </row>
    <row r="10862" spans="1:6" x14ac:dyDescent="0.25">
      <c r="A10862" s="1" t="str">
        <f t="shared" si="392"/>
        <v>20994</v>
      </c>
      <c r="B10862" s="1" t="str">
        <f>"60538"</f>
        <v>60538</v>
      </c>
      <c r="C10862" s="2">
        <v>0</v>
      </c>
      <c r="D10862" s="2">
        <v>4.7619047619047603E-2</v>
      </c>
      <c r="E10862" s="2">
        <v>0</v>
      </c>
      <c r="F10862" s="2">
        <v>2.3130300693908999E-3</v>
      </c>
    </row>
    <row r="10863" spans="1:6" x14ac:dyDescent="0.25">
      <c r="A10863" s="1" t="str">
        <f t="shared" si="392"/>
        <v>20994</v>
      </c>
      <c r="B10863" s="1" t="str">
        <f>"60178"</f>
        <v>60178</v>
      </c>
      <c r="C10863" s="2">
        <v>8.83782589482987E-4</v>
      </c>
      <c r="D10863" s="2">
        <v>7.9365079365079309E-3</v>
      </c>
      <c r="E10863" s="2">
        <v>4.8780487804877997E-3</v>
      </c>
      <c r="F10863" s="2">
        <v>1.5420200462606E-3</v>
      </c>
    </row>
    <row r="10864" spans="1:6" x14ac:dyDescent="0.25">
      <c r="A10864" s="1" t="str">
        <f t="shared" si="392"/>
        <v>20994</v>
      </c>
      <c r="B10864" s="1" t="str">
        <f>"60124"</f>
        <v>60124</v>
      </c>
      <c r="C10864" s="2">
        <v>0.21299160406539899</v>
      </c>
      <c r="D10864" s="2">
        <v>7.1428571428571397E-2</v>
      </c>
      <c r="E10864" s="2">
        <v>6.3414634146341395E-2</v>
      </c>
      <c r="F10864" s="2">
        <v>0.194294525828835</v>
      </c>
    </row>
    <row r="10865" spans="1:6" x14ac:dyDescent="0.25">
      <c r="A10865" s="1" t="str">
        <f t="shared" si="392"/>
        <v>20994</v>
      </c>
      <c r="B10865" s="1" t="str">
        <f>"60110"</f>
        <v>60110</v>
      </c>
      <c r="C10865" s="2">
        <v>0</v>
      </c>
      <c r="D10865" s="2">
        <v>7.9365079365079309E-3</v>
      </c>
      <c r="E10865" s="2">
        <v>4.8780487804877997E-3</v>
      </c>
      <c r="F10865" s="2">
        <v>7.7101002313030001E-4</v>
      </c>
    </row>
    <row r="10866" spans="1:6" x14ac:dyDescent="0.25">
      <c r="A10866" s="1" t="str">
        <f t="shared" si="392"/>
        <v>20994</v>
      </c>
      <c r="B10866" s="1" t="str">
        <f>"60536"</f>
        <v>60536</v>
      </c>
      <c r="C10866" s="2">
        <v>0</v>
      </c>
      <c r="D10866" s="2">
        <v>7.9365079365079309E-3</v>
      </c>
      <c r="E10866" s="2">
        <v>0</v>
      </c>
      <c r="F10866" s="2">
        <v>3.8550501156515E-4</v>
      </c>
    </row>
    <row r="10867" spans="1:6" x14ac:dyDescent="0.25">
      <c r="A10867" s="1" t="str">
        <f t="shared" si="392"/>
        <v>20994</v>
      </c>
      <c r="B10867" s="1" t="str">
        <f>"60548"</f>
        <v>60548</v>
      </c>
      <c r="C10867" s="2">
        <v>3.9770216526734403E-3</v>
      </c>
      <c r="D10867" s="2">
        <v>0</v>
      </c>
      <c r="E10867" s="2">
        <v>0</v>
      </c>
      <c r="F10867" s="2">
        <v>3.4695451040863499E-3</v>
      </c>
    </row>
    <row r="10868" spans="1:6" x14ac:dyDescent="0.25">
      <c r="A10868" s="1" t="str">
        <f t="shared" si="392"/>
        <v>20994</v>
      </c>
      <c r="B10868" s="1" t="str">
        <f>"60520"</f>
        <v>60520</v>
      </c>
      <c r="C10868" s="2">
        <v>4.4189129474149301E-4</v>
      </c>
      <c r="D10868" s="2">
        <v>0</v>
      </c>
      <c r="E10868" s="2">
        <v>0</v>
      </c>
      <c r="F10868" s="2">
        <v>3.8550501156515E-4</v>
      </c>
    </row>
    <row r="10869" spans="1:6" x14ac:dyDescent="0.25">
      <c r="A10869" s="1" t="str">
        <f t="shared" si="392"/>
        <v>20994</v>
      </c>
      <c r="B10869" s="1" t="str">
        <f>"60506"</f>
        <v>60506</v>
      </c>
      <c r="C10869" s="2">
        <v>1.6791869200176699E-2</v>
      </c>
      <c r="D10869" s="2">
        <v>7.9365079365079305E-2</v>
      </c>
      <c r="E10869" s="2">
        <v>7.3170731707316999E-2</v>
      </c>
      <c r="F10869" s="2">
        <v>2.4286815728604399E-2</v>
      </c>
    </row>
    <row r="10870" spans="1:6" x14ac:dyDescent="0.25">
      <c r="A10870" s="1" t="str">
        <f t="shared" si="392"/>
        <v>20994</v>
      </c>
      <c r="B10870" s="1" t="str">
        <f>"60505"</f>
        <v>60505</v>
      </c>
      <c r="C10870" s="2">
        <v>0</v>
      </c>
      <c r="D10870" s="2">
        <v>7.9365079365079309E-3</v>
      </c>
      <c r="E10870" s="2">
        <v>0.12682926829268201</v>
      </c>
      <c r="F10870" s="2">
        <v>1.0408635312258999E-2</v>
      </c>
    </row>
    <row r="10871" spans="1:6" x14ac:dyDescent="0.25">
      <c r="A10871" s="1" t="str">
        <f t="shared" si="392"/>
        <v>20994</v>
      </c>
      <c r="B10871" s="1" t="str">
        <f>"60556"</f>
        <v>60556</v>
      </c>
      <c r="C10871" s="2">
        <v>4.4189129474149301E-4</v>
      </c>
      <c r="D10871" s="2">
        <v>0</v>
      </c>
      <c r="E10871" s="2">
        <v>0</v>
      </c>
      <c r="F10871" s="2">
        <v>3.8550501156515E-4</v>
      </c>
    </row>
    <row r="10872" spans="1:6" x14ac:dyDescent="0.25">
      <c r="A10872" s="1" t="str">
        <f t="shared" si="392"/>
        <v>20994</v>
      </c>
      <c r="B10872" s="1" t="str">
        <f>"60115"</f>
        <v>60115</v>
      </c>
      <c r="C10872" s="2">
        <v>2.2094564737074598E-3</v>
      </c>
      <c r="D10872" s="2">
        <v>7.9365079365079305E-2</v>
      </c>
      <c r="E10872" s="2">
        <v>0.27804878048780401</v>
      </c>
      <c r="F10872" s="2">
        <v>2.7756360832690799E-2</v>
      </c>
    </row>
    <row r="10873" spans="1:6" x14ac:dyDescent="0.25">
      <c r="A10873" s="1" t="str">
        <f t="shared" si="392"/>
        <v>20994</v>
      </c>
      <c r="B10873" s="1" t="str">
        <f>"60541"</f>
        <v>60541</v>
      </c>
      <c r="C10873" s="2">
        <v>1.32567388422448E-3</v>
      </c>
      <c r="D10873" s="2">
        <v>1.5873015873015799E-2</v>
      </c>
      <c r="E10873" s="2">
        <v>0</v>
      </c>
      <c r="F10873" s="2">
        <v>1.9275250578257501E-3</v>
      </c>
    </row>
    <row r="10874" spans="1:6" x14ac:dyDescent="0.25">
      <c r="A10874" s="1" t="str">
        <f t="shared" si="392"/>
        <v>20994</v>
      </c>
      <c r="B10874" s="1" t="str">
        <f>"60554"</f>
        <v>60554</v>
      </c>
      <c r="C10874" s="2">
        <v>3.0932390631904501E-3</v>
      </c>
      <c r="D10874" s="2">
        <v>0</v>
      </c>
      <c r="E10874" s="2">
        <v>4.8780487804877997E-3</v>
      </c>
      <c r="F10874" s="2">
        <v>3.0840400925212E-3</v>
      </c>
    </row>
    <row r="10875" spans="1:6" x14ac:dyDescent="0.25">
      <c r="A10875" s="1" t="str">
        <f t="shared" si="392"/>
        <v>20994</v>
      </c>
      <c r="B10875" s="1" t="str">
        <f>"60510"</f>
        <v>60510</v>
      </c>
      <c r="C10875" s="2">
        <v>0.108705258506407</v>
      </c>
      <c r="D10875" s="2">
        <v>3.9682539682539597E-2</v>
      </c>
      <c r="E10875" s="2">
        <v>9.7560975609755993E-3</v>
      </c>
      <c r="F10875" s="2">
        <v>9.7532767925983005E-2</v>
      </c>
    </row>
    <row r="10876" spans="1:6" x14ac:dyDescent="0.25">
      <c r="A10876" s="1" t="str">
        <f t="shared" si="392"/>
        <v>20994</v>
      </c>
      <c r="B10876" s="1" t="str">
        <f>"60543"</f>
        <v>60543</v>
      </c>
      <c r="C10876" s="2">
        <v>0.16084843128590301</v>
      </c>
      <c r="D10876" s="2">
        <v>5.5555555555555497E-2</v>
      </c>
      <c r="E10876" s="2">
        <v>0.146341463414634</v>
      </c>
      <c r="F10876" s="2">
        <v>0.15458750963762499</v>
      </c>
    </row>
    <row r="10877" spans="1:6" x14ac:dyDescent="0.25">
      <c r="A10877" s="1" t="str">
        <f t="shared" ref="A10877:A10885" si="393">"21020"</f>
        <v>21020</v>
      </c>
      <c r="B10877" s="1" t="str">
        <f>"27919"</f>
        <v>27919</v>
      </c>
      <c r="C10877" s="2">
        <v>1.8666281546737901E-2</v>
      </c>
      <c r="D10877" s="2">
        <v>4.3149946062567401E-3</v>
      </c>
      <c r="E10877" s="2">
        <v>1.4044943820224699E-3</v>
      </c>
      <c r="F10877" s="2">
        <v>1.6992625841615899E-2</v>
      </c>
    </row>
    <row r="10878" spans="1:6" x14ac:dyDescent="0.25">
      <c r="A10878" s="1" t="str">
        <f t="shared" si="393"/>
        <v>21020</v>
      </c>
      <c r="B10878" s="1" t="str">
        <f>"27985"</f>
        <v>27985</v>
      </c>
      <c r="C10878" s="2">
        <v>0</v>
      </c>
      <c r="D10878" s="2">
        <v>3.5958288385472801E-4</v>
      </c>
      <c r="E10878" s="2">
        <v>1.4044943820224699E-3</v>
      </c>
      <c r="F10878" s="2">
        <v>6.4123116383456199E-5</v>
      </c>
    </row>
    <row r="10879" spans="1:6" x14ac:dyDescent="0.25">
      <c r="A10879" s="1" t="str">
        <f t="shared" si="393"/>
        <v>21020</v>
      </c>
      <c r="B10879" s="1" t="str">
        <f>"27932"</f>
        <v>27932</v>
      </c>
      <c r="C10879" s="2">
        <v>4.5853341517131802E-3</v>
      </c>
      <c r="D10879" s="2">
        <v>2.15749730312837E-3</v>
      </c>
      <c r="E10879" s="2">
        <v>1.4044943820224699E-3</v>
      </c>
      <c r="F10879" s="2">
        <v>4.2962487976915603E-3</v>
      </c>
    </row>
    <row r="10880" spans="1:6" x14ac:dyDescent="0.25">
      <c r="A10880" s="1" t="str">
        <f t="shared" si="393"/>
        <v>21020</v>
      </c>
      <c r="B10880" s="1" t="str">
        <f>"27907"</f>
        <v>27907</v>
      </c>
      <c r="C10880" s="2">
        <v>1.3828212441780599E-2</v>
      </c>
      <c r="D10880" s="2">
        <v>4.1711614527148499E-2</v>
      </c>
      <c r="E10880" s="2">
        <v>1.4044943820224699E-3</v>
      </c>
      <c r="F10880" s="2">
        <v>1.6030779095863999E-2</v>
      </c>
    </row>
    <row r="10881" spans="1:6" x14ac:dyDescent="0.25">
      <c r="A10881" s="1" t="str">
        <f t="shared" si="393"/>
        <v>21020</v>
      </c>
      <c r="B10881" s="1" t="str">
        <f>"27946"</f>
        <v>27946</v>
      </c>
      <c r="C10881" s="2">
        <v>3.6104993320576202E-5</v>
      </c>
      <c r="D10881" s="2">
        <v>0</v>
      </c>
      <c r="E10881" s="2">
        <v>0</v>
      </c>
      <c r="F10881" s="2">
        <v>3.20615581917281E-5</v>
      </c>
    </row>
    <row r="10882" spans="1:6" x14ac:dyDescent="0.25">
      <c r="A10882" s="1" t="str">
        <f t="shared" si="393"/>
        <v>21020</v>
      </c>
      <c r="B10882" s="1" t="str">
        <f>"27944"</f>
        <v>27944</v>
      </c>
      <c r="C10882" s="2">
        <v>0.233779831750731</v>
      </c>
      <c r="D10882" s="2">
        <v>0.139158576051779</v>
      </c>
      <c r="E10882" s="2">
        <v>8.4269662921348298E-2</v>
      </c>
      <c r="F10882" s="2">
        <v>0.22193010580314201</v>
      </c>
    </row>
    <row r="10883" spans="1:6" x14ac:dyDescent="0.25">
      <c r="A10883" s="1" t="str">
        <f t="shared" si="393"/>
        <v>21020</v>
      </c>
      <c r="B10883" s="1" t="str">
        <f>"27980"</f>
        <v>27980</v>
      </c>
      <c r="C10883" s="2">
        <v>5.0908040582012398E-3</v>
      </c>
      <c r="D10883" s="2">
        <v>3.5958288385472801E-4</v>
      </c>
      <c r="E10883" s="2">
        <v>0</v>
      </c>
      <c r="F10883" s="2">
        <v>4.5527412632253902E-3</v>
      </c>
    </row>
    <row r="10884" spans="1:6" x14ac:dyDescent="0.25">
      <c r="A10884" s="1" t="str">
        <f t="shared" si="393"/>
        <v>21020</v>
      </c>
      <c r="B10884" s="1" t="str">
        <f>"27906"</f>
        <v>27906</v>
      </c>
      <c r="C10884" s="2">
        <v>4.9752680795753998E-2</v>
      </c>
      <c r="D10884" s="2">
        <v>0.10967277957569201</v>
      </c>
      <c r="E10884" s="2">
        <v>1.4044943820224699E-3</v>
      </c>
      <c r="F10884" s="2">
        <v>5.3991663994870098E-2</v>
      </c>
    </row>
    <row r="10885" spans="1:6" x14ac:dyDescent="0.25">
      <c r="A10885" s="1" t="str">
        <f t="shared" si="393"/>
        <v>21020</v>
      </c>
      <c r="B10885" s="1" t="str">
        <f>"27909"</f>
        <v>27909</v>
      </c>
      <c r="C10885" s="2">
        <v>0.67426075026176102</v>
      </c>
      <c r="D10885" s="2">
        <v>0.702265372168284</v>
      </c>
      <c r="E10885" s="2">
        <v>0.90870786516853896</v>
      </c>
      <c r="F10885" s="2">
        <v>0.68210965052901495</v>
      </c>
    </row>
    <row r="10886" spans="1:6" x14ac:dyDescent="0.25">
      <c r="A10886" s="1" t="str">
        <f t="shared" ref="A10886:A10920" si="394">"21060"</f>
        <v>21060</v>
      </c>
      <c r="B10886" s="1" t="str">
        <f>"42718"</f>
        <v>42718</v>
      </c>
      <c r="C10886" s="2">
        <v>1.26215656055694E-3</v>
      </c>
      <c r="D10886" s="2">
        <v>0</v>
      </c>
      <c r="E10886" s="2">
        <v>0</v>
      </c>
      <c r="F10886" s="2">
        <v>1.09534076627734E-3</v>
      </c>
    </row>
    <row r="10887" spans="1:6" x14ac:dyDescent="0.25">
      <c r="A10887" s="1" t="str">
        <f t="shared" si="394"/>
        <v>21060</v>
      </c>
      <c r="B10887" s="1" t="str">
        <f>"42788"</f>
        <v>42788</v>
      </c>
      <c r="C10887" s="2">
        <v>1.70058989211882E-3</v>
      </c>
      <c r="D10887" s="2">
        <v>0</v>
      </c>
      <c r="E10887" s="2">
        <v>1.83284457478005E-4</v>
      </c>
      <c r="F10887" s="2">
        <v>1.48735746157659E-3</v>
      </c>
    </row>
    <row r="10888" spans="1:6" x14ac:dyDescent="0.25">
      <c r="A10888" s="1" t="str">
        <f t="shared" si="394"/>
        <v>21060</v>
      </c>
      <c r="B10888" s="1" t="str">
        <f>"40051"</f>
        <v>40051</v>
      </c>
      <c r="C10888" s="2">
        <v>5.1814848275495498E-3</v>
      </c>
      <c r="D10888" s="2">
        <v>1.66472448809721E-4</v>
      </c>
      <c r="E10888" s="2">
        <v>3.4824046920821101E-3</v>
      </c>
      <c r="F10888" s="2">
        <v>4.72726014919694E-3</v>
      </c>
    </row>
    <row r="10889" spans="1:6" x14ac:dyDescent="0.25">
      <c r="A10889" s="1" t="str">
        <f t="shared" si="394"/>
        <v>21060</v>
      </c>
      <c r="B10889" s="1" t="str">
        <f>"40108"</f>
        <v>40108</v>
      </c>
      <c r="C10889" s="2">
        <v>7.1398203751926403E-2</v>
      </c>
      <c r="D10889" s="2">
        <v>6.9751956051273503E-2</v>
      </c>
      <c r="E10889" s="2">
        <v>6.98313782991202E-2</v>
      </c>
      <c r="F10889" s="2">
        <v>7.1185619905224096E-2</v>
      </c>
    </row>
    <row r="10890" spans="1:6" x14ac:dyDescent="0.25">
      <c r="A10890" s="1" t="str">
        <f t="shared" si="394"/>
        <v>21060</v>
      </c>
      <c r="B10890" s="1" t="str">
        <f>"40162"</f>
        <v>40162</v>
      </c>
      <c r="C10890" s="2">
        <v>3.2258064516128997E-2</v>
      </c>
      <c r="D10890" s="2">
        <v>2.9965040785749899E-3</v>
      </c>
      <c r="E10890" s="2">
        <v>1.6312316715542501E-2</v>
      </c>
      <c r="F10890" s="2">
        <v>2.9228303605400598E-2</v>
      </c>
    </row>
    <row r="10891" spans="1:6" x14ac:dyDescent="0.25">
      <c r="A10891" s="1" t="str">
        <f t="shared" si="394"/>
        <v>21060</v>
      </c>
      <c r="B10891" s="1" t="str">
        <f>"40161"</f>
        <v>40161</v>
      </c>
      <c r="C10891" s="2">
        <v>1.1425838337673301E-3</v>
      </c>
      <c r="D10891" s="2">
        <v>1.66472448809721E-4</v>
      </c>
      <c r="E10891" s="2">
        <v>1.64956011730205E-3</v>
      </c>
      <c r="F10891" s="2">
        <v>1.10687066908025E-3</v>
      </c>
    </row>
    <row r="10892" spans="1:6" x14ac:dyDescent="0.25">
      <c r="A10892" s="1" t="str">
        <f t="shared" si="394"/>
        <v>21060</v>
      </c>
      <c r="B10892" s="1" t="str">
        <f>"42724"</f>
        <v>42724</v>
      </c>
      <c r="C10892" s="2">
        <v>2.9574321092628999E-2</v>
      </c>
      <c r="D10892" s="2">
        <v>1.1320126519061001E-2</v>
      </c>
      <c r="E10892" s="2">
        <v>1.6495601173020499E-2</v>
      </c>
      <c r="F10892" s="2">
        <v>2.74872882821597E-2</v>
      </c>
    </row>
    <row r="10893" spans="1:6" x14ac:dyDescent="0.25">
      <c r="A10893" s="1" t="str">
        <f t="shared" si="394"/>
        <v>21060</v>
      </c>
      <c r="B10893" s="1" t="str">
        <f>"40052"</f>
        <v>40052</v>
      </c>
      <c r="C10893" s="2">
        <v>1.5943030238614001E-4</v>
      </c>
      <c r="D10893" s="2">
        <v>0</v>
      </c>
      <c r="E10893" s="2">
        <v>5.49853372434017E-4</v>
      </c>
      <c r="F10893" s="2">
        <v>1.7294854204379001E-4</v>
      </c>
    </row>
    <row r="10894" spans="1:6" x14ac:dyDescent="0.25">
      <c r="A10894" s="1" t="str">
        <f t="shared" si="394"/>
        <v>21060</v>
      </c>
      <c r="B10894" s="1" t="str">
        <f>"42776"</f>
        <v>42776</v>
      </c>
      <c r="C10894" s="2">
        <v>1.72051867991709E-2</v>
      </c>
      <c r="D10894" s="2">
        <v>1.18195438654902E-2</v>
      </c>
      <c r="E10894" s="2">
        <v>6.2316715542521904E-3</v>
      </c>
      <c r="F10894" s="2">
        <v>1.6141863924087101E-2</v>
      </c>
    </row>
    <row r="10895" spans="1:6" x14ac:dyDescent="0.25">
      <c r="A10895" s="1" t="str">
        <f t="shared" si="394"/>
        <v>21060</v>
      </c>
      <c r="B10895" s="1" t="str">
        <f>"42702"</f>
        <v>42702</v>
      </c>
      <c r="C10895" s="2">
        <v>2.0951798905245199E-2</v>
      </c>
      <c r="D10895" s="2">
        <v>7.2581987681038698E-2</v>
      </c>
      <c r="E10895" s="2">
        <v>3.6656891495601103E-4</v>
      </c>
      <c r="F10895" s="2">
        <v>2.3232754147882499E-2</v>
      </c>
    </row>
    <row r="10896" spans="1:6" x14ac:dyDescent="0.25">
      <c r="A10896" s="1" t="str">
        <f t="shared" si="394"/>
        <v>21060</v>
      </c>
      <c r="B10896" s="1" t="str">
        <f>"42732"</f>
        <v>42732</v>
      </c>
      <c r="C10896" s="2">
        <v>1.1518839347398601E-2</v>
      </c>
      <c r="D10896" s="2">
        <v>3.32944897619443E-3</v>
      </c>
      <c r="E10896" s="2">
        <v>8.9809384164222794E-3</v>
      </c>
      <c r="F10896" s="2">
        <v>1.0791989023532501E-2</v>
      </c>
    </row>
    <row r="10897" spans="1:6" x14ac:dyDescent="0.25">
      <c r="A10897" s="1" t="str">
        <f t="shared" si="394"/>
        <v>21060</v>
      </c>
      <c r="B10897" s="1" t="str">
        <f>"40175"</f>
        <v>40175</v>
      </c>
      <c r="C10897" s="2">
        <v>8.3142902694372106E-2</v>
      </c>
      <c r="D10897" s="2">
        <v>2.9798568336940199E-2</v>
      </c>
      <c r="E10897" s="2">
        <v>5.3152492668621702E-2</v>
      </c>
      <c r="F10897" s="2">
        <v>7.7561656155238606E-2</v>
      </c>
    </row>
    <row r="10898" spans="1:6" x14ac:dyDescent="0.25">
      <c r="A10898" s="1" t="str">
        <f t="shared" si="394"/>
        <v>21060</v>
      </c>
      <c r="B10898" s="1" t="str">
        <f>"40176"</f>
        <v>40176</v>
      </c>
      <c r="C10898" s="2">
        <v>2.7368868576287302E-3</v>
      </c>
      <c r="D10898" s="2">
        <v>1.66472448809721E-4</v>
      </c>
      <c r="E10898" s="2">
        <v>8.0645161290322492E-3</v>
      </c>
      <c r="F10898" s="2">
        <v>2.8940056035327601E-3</v>
      </c>
    </row>
    <row r="10899" spans="1:6" x14ac:dyDescent="0.25">
      <c r="A10899" s="1" t="str">
        <f t="shared" si="394"/>
        <v>21060</v>
      </c>
      <c r="B10899" s="1" t="str">
        <f>"40140"</f>
        <v>40140</v>
      </c>
      <c r="C10899" s="2">
        <v>2.3914545357920999E-4</v>
      </c>
      <c r="D10899" s="2">
        <v>0</v>
      </c>
      <c r="E10899" s="2">
        <v>3.6656891495601103E-4</v>
      </c>
      <c r="F10899" s="2">
        <v>2.3059805605838701E-4</v>
      </c>
    </row>
    <row r="10900" spans="1:6" x14ac:dyDescent="0.25">
      <c r="A10900" s="1" t="str">
        <f t="shared" si="394"/>
        <v>21060</v>
      </c>
      <c r="B10900" s="1" t="str">
        <f>"40159"</f>
        <v>40159</v>
      </c>
      <c r="C10900" s="2">
        <v>9.9776797576659401E-3</v>
      </c>
      <c r="D10900" s="2">
        <v>2.2307308140502701E-2</v>
      </c>
      <c r="E10900" s="2">
        <v>3.6656891495601103E-4</v>
      </c>
      <c r="F10900" s="2">
        <v>1.02270237861894E-2</v>
      </c>
    </row>
    <row r="10901" spans="1:6" x14ac:dyDescent="0.25">
      <c r="A10901" s="1" t="str">
        <f t="shared" si="394"/>
        <v>21060</v>
      </c>
      <c r="B10901" s="1" t="str">
        <f>"42740"</f>
        <v>42740</v>
      </c>
      <c r="C10901" s="2">
        <v>1.11866928840941E-2</v>
      </c>
      <c r="D10901" s="2">
        <v>4.9941734642916496E-3</v>
      </c>
      <c r="E10901" s="2">
        <v>1.68621700879765E-2</v>
      </c>
      <c r="F10901" s="2">
        <v>1.11148263020142E-2</v>
      </c>
    </row>
    <row r="10902" spans="1:6" x14ac:dyDescent="0.25">
      <c r="A10902" s="1" t="str">
        <f t="shared" si="394"/>
        <v>21060</v>
      </c>
      <c r="B10902" s="1" t="str">
        <f>"40121"</f>
        <v>40121</v>
      </c>
      <c r="C10902" s="2">
        <v>9.0144550140830101E-2</v>
      </c>
      <c r="D10902" s="2">
        <v>9.4722823372731801E-2</v>
      </c>
      <c r="E10902" s="2">
        <v>7.8812316715542494E-2</v>
      </c>
      <c r="F10902" s="2">
        <v>8.9748763417924302E-2</v>
      </c>
    </row>
    <row r="10903" spans="1:6" x14ac:dyDescent="0.25">
      <c r="A10903" s="1" t="str">
        <f t="shared" si="394"/>
        <v>21060</v>
      </c>
      <c r="B10903" s="1" t="str">
        <f>"42757"</f>
        <v>42757</v>
      </c>
      <c r="C10903" s="2">
        <v>7.5596535048094802E-3</v>
      </c>
      <c r="D10903" s="2">
        <v>4.4947561178624897E-3</v>
      </c>
      <c r="E10903" s="2">
        <v>3.6656891495601101E-3</v>
      </c>
      <c r="F10903" s="2">
        <v>7.1024201265983298E-3</v>
      </c>
    </row>
    <row r="10904" spans="1:6" x14ac:dyDescent="0.25">
      <c r="A10904" s="1" t="str">
        <f t="shared" si="394"/>
        <v>21060</v>
      </c>
      <c r="B10904" s="1" t="str">
        <f>"40171"</f>
        <v>40171</v>
      </c>
      <c r="C10904" s="2">
        <v>1.32858585321783E-5</v>
      </c>
      <c r="D10904" s="2">
        <v>0</v>
      </c>
      <c r="E10904" s="2">
        <v>0</v>
      </c>
      <c r="F10904" s="2">
        <v>1.15299028029193E-5</v>
      </c>
    </row>
    <row r="10905" spans="1:6" x14ac:dyDescent="0.25">
      <c r="A10905" s="1" t="str">
        <f t="shared" si="394"/>
        <v>21060</v>
      </c>
      <c r="B10905" s="1" t="str">
        <f>"40157"</f>
        <v>40157</v>
      </c>
      <c r="C10905" s="2">
        <v>6.1380666418663901E-3</v>
      </c>
      <c r="D10905" s="2">
        <v>2.49708673214582E-3</v>
      </c>
      <c r="E10905" s="2">
        <v>4.76539589442815E-3</v>
      </c>
      <c r="F10905" s="2">
        <v>5.7995411098684399E-3</v>
      </c>
    </row>
    <row r="10906" spans="1:6" x14ac:dyDescent="0.25">
      <c r="A10906" s="1" t="str">
        <f t="shared" si="394"/>
        <v>21060</v>
      </c>
      <c r="B10906" s="1" t="str">
        <f>"40160"</f>
        <v>40160</v>
      </c>
      <c r="C10906" s="2">
        <v>0.14760588829250099</v>
      </c>
      <c r="D10906" s="2">
        <v>0.14616281005493501</v>
      </c>
      <c r="E10906" s="2">
        <v>0.20289589442815201</v>
      </c>
      <c r="F10906" s="2">
        <v>0.15098407720422899</v>
      </c>
    </row>
    <row r="10907" spans="1:6" x14ac:dyDescent="0.25">
      <c r="A10907" s="1" t="str">
        <f t="shared" si="394"/>
        <v>21060</v>
      </c>
      <c r="B10907" s="1" t="str">
        <f>"42748"</f>
        <v>42748</v>
      </c>
      <c r="C10907" s="2">
        <v>5.7328479566349497E-2</v>
      </c>
      <c r="D10907" s="2">
        <v>6.3259530547694301E-2</v>
      </c>
      <c r="E10907" s="2">
        <v>1.9978005865102601E-2</v>
      </c>
      <c r="F10907" s="2">
        <v>5.5389653065224601E-2</v>
      </c>
    </row>
    <row r="10908" spans="1:6" x14ac:dyDescent="0.25">
      <c r="A10908" s="1" t="str">
        <f t="shared" si="394"/>
        <v>21060</v>
      </c>
      <c r="B10908" s="1" t="str">
        <f>"40150"</f>
        <v>40150</v>
      </c>
      <c r="C10908" s="2">
        <v>5.8457777541584695E-4</v>
      </c>
      <c r="D10908" s="2">
        <v>1.66472448809721E-4</v>
      </c>
      <c r="E10908" s="2">
        <v>0</v>
      </c>
      <c r="F10908" s="2">
        <v>5.1884562613137102E-4</v>
      </c>
    </row>
    <row r="10909" spans="1:6" x14ac:dyDescent="0.25">
      <c r="A10909" s="1" t="str">
        <f t="shared" si="394"/>
        <v>21060</v>
      </c>
      <c r="B10909" s="1" t="str">
        <f>"40117"</f>
        <v>40117</v>
      </c>
      <c r="C10909" s="2">
        <v>1.54381676143912E-2</v>
      </c>
      <c r="D10909" s="2">
        <v>3.9953387714333202E-3</v>
      </c>
      <c r="E10909" s="2">
        <v>1.2829912023460399E-2</v>
      </c>
      <c r="F10909" s="2">
        <v>1.44815579204667E-2</v>
      </c>
    </row>
    <row r="10910" spans="1:6" x14ac:dyDescent="0.25">
      <c r="A10910" s="1" t="str">
        <f t="shared" si="394"/>
        <v>21060</v>
      </c>
      <c r="B10910" s="1" t="str">
        <f>"40177"</f>
        <v>40177</v>
      </c>
      <c r="C10910" s="2">
        <v>7.4267949194876904E-3</v>
      </c>
      <c r="D10910" s="2">
        <v>9.3224571333444303E-3</v>
      </c>
      <c r="E10910" s="2">
        <v>1.20967741935483E-2</v>
      </c>
      <c r="F10910" s="2">
        <v>7.8518638087880892E-3</v>
      </c>
    </row>
    <row r="10911" spans="1:6" x14ac:dyDescent="0.25">
      <c r="A10911" s="1" t="str">
        <f t="shared" si="394"/>
        <v>21060</v>
      </c>
      <c r="B10911" s="1" t="str">
        <f>"40122"</f>
        <v>40122</v>
      </c>
      <c r="C10911" s="2">
        <v>0</v>
      </c>
      <c r="D10911" s="2">
        <v>3.3793907108373503E-2</v>
      </c>
      <c r="E10911" s="2">
        <v>3.6656891495601103E-4</v>
      </c>
      <c r="F10911" s="2">
        <v>2.36363007459847E-3</v>
      </c>
    </row>
    <row r="10912" spans="1:6" x14ac:dyDescent="0.25">
      <c r="A10912" s="1" t="str">
        <f t="shared" si="394"/>
        <v>21060</v>
      </c>
      <c r="B10912" s="1" t="str">
        <f>"42716"</f>
        <v>42716</v>
      </c>
      <c r="C10912" s="2">
        <v>9.2602433969283006E-3</v>
      </c>
      <c r="D10912" s="2">
        <v>2.6635591809555498E-3</v>
      </c>
      <c r="E10912" s="2">
        <v>3.4824046920821101E-3</v>
      </c>
      <c r="F10912" s="2">
        <v>8.4398888517369704E-3</v>
      </c>
    </row>
    <row r="10913" spans="1:6" x14ac:dyDescent="0.25">
      <c r="A10913" s="1" t="str">
        <f t="shared" si="394"/>
        <v>21060</v>
      </c>
      <c r="B10913" s="1" t="str">
        <f>"42764"</f>
        <v>42764</v>
      </c>
      <c r="C10913" s="2">
        <v>1.24887070202476E-3</v>
      </c>
      <c r="D10913" s="2">
        <v>1.66472448809721E-4</v>
      </c>
      <c r="E10913" s="2">
        <v>7.3313782991202303E-4</v>
      </c>
      <c r="F10913" s="2">
        <v>1.1414603774890101E-3</v>
      </c>
    </row>
    <row r="10914" spans="1:6" x14ac:dyDescent="0.25">
      <c r="A10914" s="1" t="str">
        <f t="shared" si="394"/>
        <v>21060</v>
      </c>
      <c r="B10914" s="1" t="str">
        <f>"42701"</f>
        <v>42701</v>
      </c>
      <c r="C10914" s="2">
        <v>0.311712812881968</v>
      </c>
      <c r="D10914" s="2">
        <v>0.39503912102547001</v>
      </c>
      <c r="E10914" s="2">
        <v>0.40194281524926601</v>
      </c>
      <c r="F10914" s="2">
        <v>0.32316011576022402</v>
      </c>
    </row>
    <row r="10915" spans="1:6" x14ac:dyDescent="0.25">
      <c r="A10915" s="1" t="str">
        <f t="shared" si="394"/>
        <v>21060</v>
      </c>
      <c r="B10915" s="1" t="str">
        <f>"40104"</f>
        <v>40104</v>
      </c>
      <c r="C10915" s="2">
        <v>7.6260827974703703E-3</v>
      </c>
      <c r="D10915" s="2">
        <v>9.9883469285833091E-4</v>
      </c>
      <c r="E10915" s="2">
        <v>1.42961876832844E-2</v>
      </c>
      <c r="F10915" s="2">
        <v>7.5866760443209398E-3</v>
      </c>
    </row>
    <row r="10916" spans="1:6" x14ac:dyDescent="0.25">
      <c r="A10916" s="1" t="str">
        <f t="shared" si="394"/>
        <v>21060</v>
      </c>
      <c r="B10916" s="1" t="str">
        <f>"40155"</f>
        <v>40155</v>
      </c>
      <c r="C10916" s="2">
        <v>8.1309454216931393E-3</v>
      </c>
      <c r="D10916" s="2">
        <v>7.4912601964374796E-3</v>
      </c>
      <c r="E10916" s="2">
        <v>1.7778592375366501E-2</v>
      </c>
      <c r="F10916" s="2">
        <v>8.6935467134011991E-3</v>
      </c>
    </row>
    <row r="10917" spans="1:6" x14ac:dyDescent="0.25">
      <c r="A10917" s="1" t="str">
        <f t="shared" si="394"/>
        <v>21060</v>
      </c>
      <c r="B10917" s="1" t="str">
        <f>"40142"</f>
        <v>40142</v>
      </c>
      <c r="C10917" s="2">
        <v>1.2608279747037199E-2</v>
      </c>
      <c r="D10917" s="2">
        <v>9.9883469285833091E-4</v>
      </c>
      <c r="E10917" s="2">
        <v>9.1642228739002903E-3</v>
      </c>
      <c r="F10917" s="2">
        <v>1.15875523169339E-2</v>
      </c>
    </row>
    <row r="10918" spans="1:6" x14ac:dyDescent="0.25">
      <c r="A10918" s="1" t="str">
        <f t="shared" si="394"/>
        <v>21060</v>
      </c>
      <c r="B10918" s="1" t="str">
        <f>"42784"</f>
        <v>42784</v>
      </c>
      <c r="C10918" s="2">
        <v>1.2754424190891201E-2</v>
      </c>
      <c r="D10918" s="2">
        <v>3.6623938738138801E-3</v>
      </c>
      <c r="E10918" s="2">
        <v>8.0645161290322492E-3</v>
      </c>
      <c r="F10918" s="2">
        <v>1.18296802757952E-2</v>
      </c>
    </row>
    <row r="10919" spans="1:6" x14ac:dyDescent="0.25">
      <c r="A10919" s="1" t="str">
        <f t="shared" si="394"/>
        <v>21060</v>
      </c>
      <c r="B10919" s="1" t="str">
        <f>"40146"</f>
        <v>40146</v>
      </c>
      <c r="C10919" s="2">
        <v>3.7200403890099299E-4</v>
      </c>
      <c r="D10919" s="2">
        <v>0</v>
      </c>
      <c r="E10919" s="2">
        <v>1.2829912023460399E-3</v>
      </c>
      <c r="F10919" s="2">
        <v>4.0354659810217701E-4</v>
      </c>
    </row>
    <row r="10920" spans="1:6" x14ac:dyDescent="0.25">
      <c r="A10920" s="1" t="str">
        <f t="shared" si="394"/>
        <v>21060</v>
      </c>
      <c r="B10920" s="1" t="str">
        <f>"42712"</f>
        <v>42712</v>
      </c>
      <c r="C10920" s="2">
        <v>4.41090503268321E-3</v>
      </c>
      <c r="D10920" s="2">
        <v>1.1653071416680501E-3</v>
      </c>
      <c r="E10920" s="2">
        <v>4.9486803519061496E-3</v>
      </c>
      <c r="F10920" s="2">
        <v>4.21994442586848E-3</v>
      </c>
    </row>
    <row r="10921" spans="1:6" x14ac:dyDescent="0.25">
      <c r="A10921" s="1" t="str">
        <f t="shared" ref="A10921:A10928" si="395">"21120"</f>
        <v>21120</v>
      </c>
      <c r="B10921" s="1" t="str">
        <f>"73644"</f>
        <v>73644</v>
      </c>
      <c r="C10921" s="2">
        <v>0.68876531410200703</v>
      </c>
      <c r="D10921" s="2">
        <v>0.75521183591122998</v>
      </c>
      <c r="E10921" s="2">
        <v>0.74534161490683204</v>
      </c>
      <c r="F10921" s="2">
        <v>0.69755218501276395</v>
      </c>
    </row>
    <row r="10922" spans="1:6" x14ac:dyDescent="0.25">
      <c r="A10922" s="1" t="str">
        <f t="shared" si="395"/>
        <v>21120</v>
      </c>
      <c r="B10922" s="1" t="str">
        <f>"73664"</f>
        <v>73664</v>
      </c>
      <c r="C10922" s="2">
        <v>8.6888522026240295E-5</v>
      </c>
      <c r="D10922" s="2">
        <v>0</v>
      </c>
      <c r="E10922" s="2">
        <v>0</v>
      </c>
      <c r="F10922" s="2">
        <v>7.5086349301696894E-5</v>
      </c>
    </row>
    <row r="10923" spans="1:6" x14ac:dyDescent="0.25">
      <c r="A10923" s="1" t="str">
        <f t="shared" si="395"/>
        <v>21120</v>
      </c>
      <c r="B10923" s="1" t="str">
        <f>"73645"</f>
        <v>73645</v>
      </c>
      <c r="C10923" s="2">
        <v>3.3017638369971299E-2</v>
      </c>
      <c r="D10923" s="2">
        <v>1.7484868863483501E-2</v>
      </c>
      <c r="E10923" s="2">
        <v>1.2422360248447201E-2</v>
      </c>
      <c r="F10923" s="2">
        <v>3.0785403213695699E-2</v>
      </c>
    </row>
    <row r="10924" spans="1:6" x14ac:dyDescent="0.25">
      <c r="A10924" s="1" t="str">
        <f t="shared" si="395"/>
        <v>21120</v>
      </c>
      <c r="B10924" s="1" t="str">
        <f>"73668"</f>
        <v>73668</v>
      </c>
      <c r="C10924" s="2">
        <v>5.2133113215744199E-3</v>
      </c>
      <c r="D10924" s="2">
        <v>7.3974445191661003E-3</v>
      </c>
      <c r="E10924" s="2">
        <v>3.1055900621118002E-3</v>
      </c>
      <c r="F10924" s="2">
        <v>5.4062171497221796E-3</v>
      </c>
    </row>
    <row r="10925" spans="1:6" x14ac:dyDescent="0.25">
      <c r="A10925" s="1" t="str">
        <f t="shared" si="395"/>
        <v>21120</v>
      </c>
      <c r="B10925" s="1" t="str">
        <f>"73666"</f>
        <v>73666</v>
      </c>
      <c r="C10925" s="2">
        <v>8.5150751585715504E-3</v>
      </c>
      <c r="D10925" s="2">
        <v>3.3624747814391298E-3</v>
      </c>
      <c r="E10925" s="2">
        <v>0</v>
      </c>
      <c r="F10925" s="2">
        <v>7.7338939780747804E-3</v>
      </c>
    </row>
    <row r="10926" spans="1:6" x14ac:dyDescent="0.25">
      <c r="A10926" s="1" t="str">
        <f t="shared" si="395"/>
        <v>21120</v>
      </c>
      <c r="B10926" s="1" t="str">
        <f>"73662"</f>
        <v>73662</v>
      </c>
      <c r="C10926" s="2">
        <v>0.241636979754974</v>
      </c>
      <c r="D10926" s="2">
        <v>0.21049092131809</v>
      </c>
      <c r="E10926" s="2">
        <v>0.23602484472049601</v>
      </c>
      <c r="F10926" s="2">
        <v>0.23802372728637899</v>
      </c>
    </row>
    <row r="10927" spans="1:6" x14ac:dyDescent="0.25">
      <c r="A10927" s="1" t="str">
        <f t="shared" si="395"/>
        <v>21120</v>
      </c>
      <c r="B10927" s="1" t="str">
        <f>"73627"</f>
        <v>73627</v>
      </c>
      <c r="C10927" s="2">
        <v>2.1287687896428799E-2</v>
      </c>
      <c r="D10927" s="2">
        <v>5.37995965030262E-3</v>
      </c>
      <c r="E10927" s="2">
        <v>3.1055900621118002E-3</v>
      </c>
      <c r="F10927" s="2">
        <v>1.9071932722631E-2</v>
      </c>
    </row>
    <row r="10928" spans="1:6" x14ac:dyDescent="0.25">
      <c r="A10928" s="1" t="str">
        <f t="shared" si="395"/>
        <v>21120</v>
      </c>
      <c r="B10928" s="1" t="str">
        <f>"73673"</f>
        <v>73673</v>
      </c>
      <c r="C10928" s="2">
        <v>1.4771048744460799E-3</v>
      </c>
      <c r="D10928" s="2">
        <v>6.7249495628782696E-4</v>
      </c>
      <c r="E10928" s="2">
        <v>0</v>
      </c>
      <c r="F10928" s="2">
        <v>1.3515542874305399E-3</v>
      </c>
    </row>
    <row r="10929" spans="1:6" x14ac:dyDescent="0.25">
      <c r="A10929" s="1" t="str">
        <f t="shared" ref="A10929:A10947" si="396">"21140"</f>
        <v>21140</v>
      </c>
      <c r="B10929" s="1" t="str">
        <f>"46767"</f>
        <v>46767</v>
      </c>
      <c r="C10929" s="2">
        <v>6.8043172219615195E-4</v>
      </c>
      <c r="D10929" s="2">
        <v>2.3012311586698801E-4</v>
      </c>
      <c r="E10929" s="2">
        <v>0</v>
      </c>
      <c r="F10929" s="2">
        <v>6.1539092708643101E-4</v>
      </c>
    </row>
    <row r="10930" spans="1:6" x14ac:dyDescent="0.25">
      <c r="A10930" s="1" t="str">
        <f t="shared" si="396"/>
        <v>21140</v>
      </c>
      <c r="B10930" s="1" t="str">
        <f>"46542"</f>
        <v>46542</v>
      </c>
      <c r="C10930" s="2">
        <v>1.47817925856405E-3</v>
      </c>
      <c r="D10930" s="2">
        <v>1.15061557933494E-4</v>
      </c>
      <c r="E10930" s="2">
        <v>2.8026905829596401E-4</v>
      </c>
      <c r="F10930" s="2">
        <v>1.31283397778438E-3</v>
      </c>
    </row>
    <row r="10931" spans="1:6" x14ac:dyDescent="0.25">
      <c r="A10931" s="1" t="str">
        <f t="shared" si="396"/>
        <v>21140</v>
      </c>
      <c r="B10931" s="1" t="str">
        <f>"46507"</f>
        <v>46507</v>
      </c>
      <c r="C10931" s="2">
        <v>4.9788831534490798E-2</v>
      </c>
      <c r="D10931" s="2">
        <v>2.0135772638361499E-2</v>
      </c>
      <c r="E10931" s="2">
        <v>1.12107623318385E-2</v>
      </c>
      <c r="F10931" s="2">
        <v>4.5733802397973297E-2</v>
      </c>
    </row>
    <row r="10932" spans="1:6" x14ac:dyDescent="0.25">
      <c r="A10932" s="1" t="str">
        <f t="shared" si="396"/>
        <v>21140</v>
      </c>
      <c r="B10932" s="1" t="str">
        <f>"46553"</f>
        <v>46553</v>
      </c>
      <c r="C10932" s="2">
        <v>1.6072266541529701E-2</v>
      </c>
      <c r="D10932" s="2">
        <v>9.5501093084800308E-3</v>
      </c>
      <c r="E10932" s="2">
        <v>2.5224215246636701E-3</v>
      </c>
      <c r="F10932" s="2">
        <v>1.4995025590005999E-2</v>
      </c>
    </row>
    <row r="10933" spans="1:6" x14ac:dyDescent="0.25">
      <c r="A10933" s="1" t="str">
        <f t="shared" si="396"/>
        <v>21140</v>
      </c>
      <c r="B10933" s="1" t="str">
        <f>"46530"</f>
        <v>46530</v>
      </c>
      <c r="C10933" s="2">
        <v>9.4556546222430704E-3</v>
      </c>
      <c r="D10933" s="2">
        <v>5.7530778966747198E-4</v>
      </c>
      <c r="E10933" s="2">
        <v>0</v>
      </c>
      <c r="F10933" s="2">
        <v>8.3180340311182592E-3</v>
      </c>
    </row>
    <row r="10934" spans="1:6" x14ac:dyDescent="0.25">
      <c r="A10934" s="1" t="str">
        <f t="shared" si="396"/>
        <v>21140</v>
      </c>
      <c r="B10934" s="1" t="str">
        <f>"46567"</f>
        <v>46567</v>
      </c>
      <c r="C10934" s="2">
        <v>4.8451431252932798E-3</v>
      </c>
      <c r="D10934" s="2">
        <v>1.03555402140144E-3</v>
      </c>
      <c r="E10934" s="2">
        <v>5.6053811659192803E-4</v>
      </c>
      <c r="F10934" s="2">
        <v>4.3487625514107798E-3</v>
      </c>
    </row>
    <row r="10935" spans="1:6" x14ac:dyDescent="0.25">
      <c r="A10935" s="1" t="str">
        <f t="shared" si="396"/>
        <v>21140</v>
      </c>
      <c r="B10935" s="1" t="str">
        <f>"46527"</f>
        <v>46527</v>
      </c>
      <c r="C10935" s="2">
        <v>7.8015016424213901E-3</v>
      </c>
      <c r="D10935" s="2">
        <v>3.6589575422851198E-2</v>
      </c>
      <c r="E10935" s="2">
        <v>5.6053811659192803E-4</v>
      </c>
      <c r="F10935" s="2">
        <v>1.01026677196689E-2</v>
      </c>
    </row>
    <row r="10936" spans="1:6" x14ac:dyDescent="0.25">
      <c r="A10936" s="1" t="str">
        <f t="shared" si="396"/>
        <v>21140</v>
      </c>
      <c r="B10936" s="1" t="str">
        <f>"46514"</f>
        <v>46514</v>
      </c>
      <c r="C10936" s="2">
        <v>0.21925152510558399</v>
      </c>
      <c r="D10936" s="2">
        <v>0.24726728799907899</v>
      </c>
      <c r="E10936" s="2">
        <v>0.22673766816143401</v>
      </c>
      <c r="F10936" s="2">
        <v>0.22202278997733299</v>
      </c>
    </row>
    <row r="10937" spans="1:6" x14ac:dyDescent="0.25">
      <c r="A10937" s="1" t="str">
        <f t="shared" si="396"/>
        <v>21140</v>
      </c>
      <c r="B10937" s="1" t="str">
        <f>"46515"</f>
        <v>46515</v>
      </c>
      <c r="C10937" s="2">
        <v>1.9767714687939902E-2</v>
      </c>
      <c r="D10937" s="2">
        <v>6.3053733747554894E-2</v>
      </c>
      <c r="E10937" s="2">
        <v>5.6053811659192803E-4</v>
      </c>
      <c r="F10937" s="2">
        <v>2.2923312033969499E-2</v>
      </c>
    </row>
    <row r="10938" spans="1:6" x14ac:dyDescent="0.25">
      <c r="A10938" s="1" t="str">
        <f t="shared" si="396"/>
        <v>21140</v>
      </c>
      <c r="B10938" s="1" t="str">
        <f>"46565"</f>
        <v>46565</v>
      </c>
      <c r="C10938" s="2">
        <v>5.8657907085875099E-5</v>
      </c>
      <c r="D10938" s="2">
        <v>0</v>
      </c>
      <c r="E10938" s="2">
        <v>0</v>
      </c>
      <c r="F10938" s="2">
        <v>5.1282577257202598E-5</v>
      </c>
    </row>
    <row r="10939" spans="1:6" x14ac:dyDescent="0.25">
      <c r="A10939" s="1" t="str">
        <f t="shared" si="396"/>
        <v>21140</v>
      </c>
      <c r="B10939" s="1" t="str">
        <f>"46516"</f>
        <v>46516</v>
      </c>
      <c r="C10939" s="2">
        <v>0.16588456123885401</v>
      </c>
      <c r="D10939" s="2">
        <v>0.21366931308249901</v>
      </c>
      <c r="E10939" s="2">
        <v>0.28559417040358698</v>
      </c>
      <c r="F10939" s="2">
        <v>0.17452486692171201</v>
      </c>
    </row>
    <row r="10940" spans="1:6" x14ac:dyDescent="0.25">
      <c r="A10940" s="1" t="str">
        <f t="shared" si="396"/>
        <v>21140</v>
      </c>
      <c r="B10940" s="1" t="str">
        <f>"46526"</f>
        <v>46526</v>
      </c>
      <c r="C10940" s="2">
        <v>0.15642890661661099</v>
      </c>
      <c r="D10940" s="2">
        <v>0.14152571625819799</v>
      </c>
      <c r="E10940" s="2">
        <v>0.160313901345291</v>
      </c>
      <c r="F10940" s="2">
        <v>0.155242617873003</v>
      </c>
    </row>
    <row r="10941" spans="1:6" x14ac:dyDescent="0.25">
      <c r="A10941" s="1" t="str">
        <f t="shared" si="396"/>
        <v>21140</v>
      </c>
      <c r="B10941" s="1" t="str">
        <f>"46561"</f>
        <v>46561</v>
      </c>
      <c r="C10941" s="2">
        <v>9.1740966682308696E-3</v>
      </c>
      <c r="D10941" s="2">
        <v>9.2049246346795495E-4</v>
      </c>
      <c r="E10941" s="2">
        <v>1.37331838565022E-2</v>
      </c>
      <c r="F10941" s="2">
        <v>8.6052164637585998E-3</v>
      </c>
    </row>
    <row r="10942" spans="1:6" x14ac:dyDescent="0.25">
      <c r="A10942" s="1" t="str">
        <f t="shared" si="396"/>
        <v>21140</v>
      </c>
      <c r="B10942" s="1" t="str">
        <f>"46517"</f>
        <v>46517</v>
      </c>
      <c r="C10942" s="2">
        <v>0.11081651806663501</v>
      </c>
      <c r="D10942" s="2">
        <v>0.108157864457484</v>
      </c>
      <c r="E10942" s="2">
        <v>0.14882286995515601</v>
      </c>
      <c r="F10942" s="2">
        <v>0.111970379183376</v>
      </c>
    </row>
    <row r="10943" spans="1:6" x14ac:dyDescent="0.25">
      <c r="A10943" s="1" t="str">
        <f t="shared" si="396"/>
        <v>21140</v>
      </c>
      <c r="B10943" s="1" t="str">
        <f>"46528"</f>
        <v>46528</v>
      </c>
      <c r="C10943" s="2">
        <v>0.11387846081651801</v>
      </c>
      <c r="D10943" s="2">
        <v>6.4089287768956296E-2</v>
      </c>
      <c r="E10943" s="2">
        <v>8.0156950672645694E-2</v>
      </c>
      <c r="F10943" s="2">
        <v>0.10820623801269701</v>
      </c>
    </row>
    <row r="10944" spans="1:6" x14ac:dyDescent="0.25">
      <c r="A10944" s="1" t="str">
        <f t="shared" si="396"/>
        <v>21140</v>
      </c>
      <c r="B10944" s="1" t="str">
        <f>"46573"</f>
        <v>46573</v>
      </c>
      <c r="C10944" s="2">
        <v>1.35147817925856E-2</v>
      </c>
      <c r="D10944" s="2">
        <v>1.4727879415487199E-2</v>
      </c>
      <c r="E10944" s="2">
        <v>4.2040358744394601E-3</v>
      </c>
      <c r="F10944" s="2">
        <v>1.3282187509615399E-2</v>
      </c>
    </row>
    <row r="10945" spans="1:6" x14ac:dyDescent="0.25">
      <c r="A10945" s="1" t="str">
        <f t="shared" si="396"/>
        <v>21140</v>
      </c>
      <c r="B10945" s="1" t="str">
        <f>"46550"</f>
        <v>46550</v>
      </c>
      <c r="C10945" s="2">
        <v>4.5905678085405903E-2</v>
      </c>
      <c r="D10945" s="2">
        <v>4.3033022667126899E-2</v>
      </c>
      <c r="E10945" s="2">
        <v>3.5594170403587401E-2</v>
      </c>
      <c r="F10945" s="2">
        <v>4.5272259202658399E-2</v>
      </c>
    </row>
    <row r="10946" spans="1:6" x14ac:dyDescent="0.25">
      <c r="A10946" s="1" t="str">
        <f t="shared" si="396"/>
        <v>21140</v>
      </c>
      <c r="B10946" s="1" t="str">
        <f>"46543"</f>
        <v>46543</v>
      </c>
      <c r="C10946" s="2">
        <v>8.3528859690286204E-3</v>
      </c>
      <c r="D10946" s="2">
        <v>2.3012311586698801E-3</v>
      </c>
      <c r="E10946" s="2">
        <v>4.2040358744394601E-3</v>
      </c>
      <c r="F10946" s="2">
        <v>7.6616170422260698E-3</v>
      </c>
    </row>
    <row r="10947" spans="1:6" x14ac:dyDescent="0.25">
      <c r="A10947" s="1" t="str">
        <f t="shared" si="396"/>
        <v>21140</v>
      </c>
      <c r="B10947" s="1" t="str">
        <f>"46540"</f>
        <v>46540</v>
      </c>
      <c r="C10947" s="2">
        <v>4.6844204598779901E-2</v>
      </c>
      <c r="D10947" s="2">
        <v>3.3022667126912798E-2</v>
      </c>
      <c r="E10947" s="2">
        <v>2.4943946188340799E-2</v>
      </c>
      <c r="F10947" s="2">
        <v>4.4810716007343598E-2</v>
      </c>
    </row>
    <row r="10948" spans="1:6" x14ac:dyDescent="0.25">
      <c r="A10948" s="1" t="str">
        <f t="shared" ref="A10948:A10969" si="397">"21180"</f>
        <v>21180</v>
      </c>
      <c r="B10948" s="1" t="str">
        <f>"26270"</f>
        <v>26270</v>
      </c>
      <c r="C10948" s="2">
        <v>2.2109370161639899E-2</v>
      </c>
      <c r="D10948" s="2">
        <v>8.31946755407653E-3</v>
      </c>
      <c r="E10948" s="2">
        <v>0</v>
      </c>
      <c r="F10948" s="2">
        <v>2.07192457517077E-2</v>
      </c>
    </row>
    <row r="10949" spans="1:6" x14ac:dyDescent="0.25">
      <c r="A10949" s="1" t="str">
        <f t="shared" si="397"/>
        <v>21180</v>
      </c>
      <c r="B10949" s="1" t="str">
        <f>"26254"</f>
        <v>26254</v>
      </c>
      <c r="C10949" s="2">
        <v>1.7464544497429801E-2</v>
      </c>
      <c r="D10949" s="2">
        <v>1.6638935108153001E-3</v>
      </c>
      <c r="E10949" s="2">
        <v>0</v>
      </c>
      <c r="F10949" s="2">
        <v>1.6033421780613101E-2</v>
      </c>
    </row>
    <row r="10950" spans="1:6" x14ac:dyDescent="0.25">
      <c r="A10950" s="1" t="str">
        <f t="shared" si="397"/>
        <v>21180</v>
      </c>
      <c r="B10950" s="1" t="str">
        <f>"26253"</f>
        <v>26253</v>
      </c>
      <c r="C10950" s="2">
        <v>0.13364711711153701</v>
      </c>
      <c r="D10950" s="2">
        <v>3.16139767054908E-2</v>
      </c>
      <c r="E10950" s="2">
        <v>0.101648351648351</v>
      </c>
      <c r="F10950" s="2">
        <v>0.12606560153559501</v>
      </c>
    </row>
    <row r="10951" spans="1:6" x14ac:dyDescent="0.25">
      <c r="A10951" s="1" t="str">
        <f t="shared" si="397"/>
        <v>21180</v>
      </c>
      <c r="B10951" s="1" t="str">
        <f>"26280"</f>
        <v>26280</v>
      </c>
      <c r="C10951" s="2">
        <v>4.8430048925496898E-2</v>
      </c>
      <c r="D10951" s="2">
        <v>1.41430948419301E-2</v>
      </c>
      <c r="E10951" s="2">
        <v>5.4945054945054897E-3</v>
      </c>
      <c r="F10951" s="2">
        <v>4.5221024106588299E-2</v>
      </c>
    </row>
    <row r="10952" spans="1:6" x14ac:dyDescent="0.25">
      <c r="A10952" s="1" t="str">
        <f t="shared" si="397"/>
        <v>21180</v>
      </c>
      <c r="B10952" s="1" t="str">
        <f>"26267"</f>
        <v>26267</v>
      </c>
      <c r="C10952" s="2">
        <v>4.4590326376416599E-3</v>
      </c>
      <c r="D10952" s="2">
        <v>8.3194675540765295E-4</v>
      </c>
      <c r="E10952" s="2">
        <v>2.7472527472527401E-3</v>
      </c>
      <c r="F10952" s="2">
        <v>4.1777225766386197E-3</v>
      </c>
    </row>
    <row r="10953" spans="1:6" x14ac:dyDescent="0.25">
      <c r="A10953" s="1" t="str">
        <f t="shared" si="397"/>
        <v>21180</v>
      </c>
      <c r="B10953" s="1" t="str">
        <f>"26273"</f>
        <v>26273</v>
      </c>
      <c r="C10953" s="2">
        <v>2.5825230693007899E-2</v>
      </c>
      <c r="D10953" s="2">
        <v>4.1597337770382598E-3</v>
      </c>
      <c r="E10953" s="2">
        <v>2.7472527472527401E-3</v>
      </c>
      <c r="F10953" s="2">
        <v>2.3880765539434301E-2</v>
      </c>
    </row>
    <row r="10954" spans="1:6" x14ac:dyDescent="0.25">
      <c r="A10954" s="1" t="str">
        <f t="shared" si="397"/>
        <v>21180</v>
      </c>
      <c r="B10954" s="1" t="str">
        <f>"26294"</f>
        <v>26294</v>
      </c>
      <c r="C10954" s="2">
        <v>1.41202700191986E-2</v>
      </c>
      <c r="D10954" s="2">
        <v>3.3277870216306101E-3</v>
      </c>
      <c r="E10954" s="2">
        <v>0</v>
      </c>
      <c r="F10954" s="2">
        <v>1.3097724834867E-2</v>
      </c>
    </row>
    <row r="10955" spans="1:6" x14ac:dyDescent="0.25">
      <c r="A10955" s="1" t="str">
        <f t="shared" si="397"/>
        <v>21180</v>
      </c>
      <c r="B10955" s="1" t="str">
        <f>"26283"</f>
        <v>26283</v>
      </c>
      <c r="C10955" s="2">
        <v>5.6852666129931201E-2</v>
      </c>
      <c r="D10955" s="2">
        <v>1.9134775374375999E-2</v>
      </c>
      <c r="E10955" s="2">
        <v>2.7472527472527401E-3</v>
      </c>
      <c r="F10955" s="2">
        <v>5.3181279286399798E-2</v>
      </c>
    </row>
    <row r="10956" spans="1:6" x14ac:dyDescent="0.25">
      <c r="A10956" s="1" t="str">
        <f t="shared" si="397"/>
        <v>21180</v>
      </c>
      <c r="B10956" s="1" t="str">
        <f>"26278"</f>
        <v>26278</v>
      </c>
      <c r="C10956" s="2">
        <v>2.3719576391899401E-2</v>
      </c>
      <c r="D10956" s="2">
        <v>8.3194675540765295E-4</v>
      </c>
      <c r="E10956" s="2">
        <v>0</v>
      </c>
      <c r="F10956" s="2">
        <v>2.1678992830124699E-2</v>
      </c>
    </row>
    <row r="10957" spans="1:6" x14ac:dyDescent="0.25">
      <c r="A10957" s="1" t="str">
        <f t="shared" si="397"/>
        <v>21180</v>
      </c>
      <c r="B10957" s="1" t="str">
        <f>"26241"</f>
        <v>26241</v>
      </c>
      <c r="C10957" s="2">
        <v>0.58221341425651796</v>
      </c>
      <c r="D10957" s="2">
        <v>0.89683860232945001</v>
      </c>
      <c r="E10957" s="2">
        <v>0.879120879120879</v>
      </c>
      <c r="F10957" s="2">
        <v>0.60966521763676296</v>
      </c>
    </row>
    <row r="10958" spans="1:6" x14ac:dyDescent="0.25">
      <c r="A10958" s="1" t="str">
        <f t="shared" si="397"/>
        <v>21180</v>
      </c>
      <c r="B10958" s="1" t="str">
        <f>"26296"</f>
        <v>26296</v>
      </c>
      <c r="C10958" s="2">
        <v>1.2386201771226799E-4</v>
      </c>
      <c r="D10958" s="2">
        <v>0</v>
      </c>
      <c r="E10958" s="2">
        <v>0</v>
      </c>
      <c r="F10958" s="2">
        <v>1.1291142099023299E-4</v>
      </c>
    </row>
    <row r="10959" spans="1:6" x14ac:dyDescent="0.25">
      <c r="A10959" s="1" t="str">
        <f t="shared" si="397"/>
        <v>21180</v>
      </c>
      <c r="B10959" s="1" t="str">
        <f>"26259"</f>
        <v>26259</v>
      </c>
      <c r="C10959" s="2">
        <v>0</v>
      </c>
      <c r="D10959" s="2">
        <v>8.3194675540765295E-4</v>
      </c>
      <c r="E10959" s="2">
        <v>0</v>
      </c>
      <c r="F10959" s="2">
        <v>5.6455710495116497E-5</v>
      </c>
    </row>
    <row r="10960" spans="1:6" x14ac:dyDescent="0.25">
      <c r="A10960" s="1" t="str">
        <f t="shared" si="397"/>
        <v>21180</v>
      </c>
      <c r="B10960" s="1" t="str">
        <f>"26282"</f>
        <v>26282</v>
      </c>
      <c r="C10960" s="2">
        <v>4.6448256642100602E-3</v>
      </c>
      <c r="D10960" s="2">
        <v>1.6638935108153001E-3</v>
      </c>
      <c r="E10960" s="2">
        <v>2.7472527472527401E-3</v>
      </c>
      <c r="F10960" s="2">
        <v>4.4035454186190899E-3</v>
      </c>
    </row>
    <row r="10961" spans="1:6" x14ac:dyDescent="0.25">
      <c r="A10961" s="1" t="str">
        <f t="shared" si="397"/>
        <v>21180</v>
      </c>
      <c r="B10961" s="1" t="str">
        <f>"26250"</f>
        <v>26250</v>
      </c>
      <c r="C10961" s="2">
        <v>8.67034123985879E-4</v>
      </c>
      <c r="D10961" s="2">
        <v>3.3277870216306101E-3</v>
      </c>
      <c r="E10961" s="2">
        <v>0</v>
      </c>
      <c r="F10961" s="2">
        <v>1.0162027889120901E-3</v>
      </c>
    </row>
    <row r="10962" spans="1:6" x14ac:dyDescent="0.25">
      <c r="A10962" s="1" t="str">
        <f t="shared" si="397"/>
        <v>21180</v>
      </c>
      <c r="B10962" s="1" t="str">
        <f>"26293"</f>
        <v>26293</v>
      </c>
      <c r="C10962" s="2">
        <v>1.9012819718833202E-2</v>
      </c>
      <c r="D10962" s="2">
        <v>3.3277870216306101E-3</v>
      </c>
      <c r="E10962" s="2">
        <v>0</v>
      </c>
      <c r="F10962" s="2">
        <v>1.75577259639812E-2</v>
      </c>
    </row>
    <row r="10963" spans="1:6" x14ac:dyDescent="0.25">
      <c r="A10963" s="1" t="str">
        <f t="shared" si="397"/>
        <v>21180</v>
      </c>
      <c r="B10963" s="1" t="str">
        <f>"26257"</f>
        <v>26257</v>
      </c>
      <c r="C10963" s="2">
        <v>1.7650337523998201E-2</v>
      </c>
      <c r="D10963" s="2">
        <v>3.3277870216306101E-3</v>
      </c>
      <c r="E10963" s="2">
        <v>0</v>
      </c>
      <c r="F10963" s="2">
        <v>1.6315700333088601E-2</v>
      </c>
    </row>
    <row r="10964" spans="1:6" x14ac:dyDescent="0.25">
      <c r="A10964" s="1" t="str">
        <f t="shared" si="397"/>
        <v>21180</v>
      </c>
      <c r="B10964" s="1" t="str">
        <f>"26230"</f>
        <v>26230</v>
      </c>
      <c r="C10964" s="2">
        <v>4.1493775933609898E-3</v>
      </c>
      <c r="D10964" s="2">
        <v>1.6638935108153001E-3</v>
      </c>
      <c r="E10964" s="2">
        <v>0</v>
      </c>
      <c r="F10964" s="2">
        <v>3.8954440241630401E-3</v>
      </c>
    </row>
    <row r="10965" spans="1:6" x14ac:dyDescent="0.25">
      <c r="A10965" s="1" t="str">
        <f t="shared" si="397"/>
        <v>21180</v>
      </c>
      <c r="B10965" s="1" t="str">
        <f>"26263"</f>
        <v>26263</v>
      </c>
      <c r="C10965" s="2">
        <v>1.0528271505542801E-3</v>
      </c>
      <c r="D10965" s="2">
        <v>0</v>
      </c>
      <c r="E10965" s="2">
        <v>0</v>
      </c>
      <c r="F10965" s="2">
        <v>9.5974707841698097E-4</v>
      </c>
    </row>
    <row r="10966" spans="1:6" x14ac:dyDescent="0.25">
      <c r="A10966" s="1" t="str">
        <f t="shared" si="397"/>
        <v>21180</v>
      </c>
      <c r="B10966" s="1" t="str">
        <f>"26276"</f>
        <v>26276</v>
      </c>
      <c r="C10966" s="2">
        <v>5.3879977704836797E-3</v>
      </c>
      <c r="D10966" s="2">
        <v>0</v>
      </c>
      <c r="E10966" s="2">
        <v>0</v>
      </c>
      <c r="F10966" s="2">
        <v>4.9116468130751397E-3</v>
      </c>
    </row>
    <row r="10967" spans="1:6" x14ac:dyDescent="0.25">
      <c r="A10967" s="1" t="str">
        <f t="shared" si="397"/>
        <v>21180</v>
      </c>
      <c r="B10967" s="1" t="str">
        <f>"26224"</f>
        <v>26224</v>
      </c>
      <c r="C10967" s="2">
        <v>4.2113086022171299E-3</v>
      </c>
      <c r="D10967" s="2">
        <v>8.3194675540765295E-4</v>
      </c>
      <c r="E10967" s="2">
        <v>0</v>
      </c>
      <c r="F10967" s="2">
        <v>3.8954440241630401E-3</v>
      </c>
    </row>
    <row r="10968" spans="1:6" x14ac:dyDescent="0.25">
      <c r="A10968" s="1" t="str">
        <f t="shared" si="397"/>
        <v>21180</v>
      </c>
      <c r="B10968" s="1" t="str">
        <f>"26268"</f>
        <v>26268</v>
      </c>
      <c r="C10968" s="2">
        <v>4.5828946553539297E-3</v>
      </c>
      <c r="D10968" s="2">
        <v>2.4958402662229599E-3</v>
      </c>
      <c r="E10968" s="2">
        <v>0</v>
      </c>
      <c r="F10968" s="2">
        <v>4.3470897081239702E-3</v>
      </c>
    </row>
    <row r="10969" spans="1:6" x14ac:dyDescent="0.25">
      <c r="A10969" s="1" t="str">
        <f t="shared" si="397"/>
        <v>21180</v>
      </c>
      <c r="B10969" s="1" t="str">
        <f>"26285"</f>
        <v>26285</v>
      </c>
      <c r="C10969" s="2">
        <v>9.4754443549885398E-3</v>
      </c>
      <c r="D10969" s="2">
        <v>1.6638935108153001E-3</v>
      </c>
      <c r="E10969" s="2">
        <v>2.7472527472527401E-3</v>
      </c>
      <c r="F10969" s="2">
        <v>8.8070908372381799E-3</v>
      </c>
    </row>
    <row r="10970" spans="1:6" x14ac:dyDescent="0.25">
      <c r="A10970" s="1" t="str">
        <f t="shared" ref="A10970:A10987" si="398">"21220"</f>
        <v>21220</v>
      </c>
      <c r="B10970" s="1" t="str">
        <f>"89825"</f>
        <v>89825</v>
      </c>
      <c r="C10970" s="2">
        <v>5.1813471502590595E-4</v>
      </c>
      <c r="D10970" s="2">
        <v>5.1177072671443097E-4</v>
      </c>
      <c r="E10970" s="2">
        <v>0</v>
      </c>
      <c r="F10970" s="2">
        <v>4.5895851721094397E-4</v>
      </c>
    </row>
    <row r="10971" spans="1:6" x14ac:dyDescent="0.25">
      <c r="A10971" s="1" t="str">
        <f t="shared" si="398"/>
        <v>21220</v>
      </c>
      <c r="B10971" s="1" t="str">
        <f>"89815"</f>
        <v>89815</v>
      </c>
      <c r="C10971" s="2">
        <v>0.33022452504317701</v>
      </c>
      <c r="D10971" s="2">
        <v>4.7594677584442101E-2</v>
      </c>
      <c r="E10971" s="2">
        <v>6.9448769853628106E-2</v>
      </c>
      <c r="F10971" s="2">
        <v>0.28116504854368901</v>
      </c>
    </row>
    <row r="10972" spans="1:6" x14ac:dyDescent="0.25">
      <c r="A10972" s="1" t="str">
        <f t="shared" si="398"/>
        <v>21220</v>
      </c>
      <c r="B10972" s="1" t="str">
        <f>"89823"</f>
        <v>89823</v>
      </c>
      <c r="C10972" s="2">
        <v>3.0656303972366101E-3</v>
      </c>
      <c r="D10972" s="2">
        <v>0</v>
      </c>
      <c r="E10972" s="2">
        <v>6.2285892245406399E-4</v>
      </c>
      <c r="F10972" s="2">
        <v>2.5772285966460702E-3</v>
      </c>
    </row>
    <row r="10973" spans="1:6" x14ac:dyDescent="0.25">
      <c r="A10973" s="1" t="str">
        <f t="shared" si="398"/>
        <v>21220</v>
      </c>
      <c r="B10973" s="1" t="str">
        <f>"89830"</f>
        <v>89830</v>
      </c>
      <c r="C10973" s="2">
        <v>0</v>
      </c>
      <c r="D10973" s="2">
        <v>5.1177072671443097E-4</v>
      </c>
      <c r="E10973" s="2">
        <v>1.8062908751167801E-2</v>
      </c>
      <c r="F10973" s="2">
        <v>2.0829655781112E-3</v>
      </c>
    </row>
    <row r="10974" spans="1:6" x14ac:dyDescent="0.25">
      <c r="A10974" s="1" t="str">
        <f t="shared" si="398"/>
        <v>21220</v>
      </c>
      <c r="B10974" s="1" t="str">
        <f>"89820"</f>
        <v>89820</v>
      </c>
      <c r="C10974" s="2">
        <v>1.29533678756476E-4</v>
      </c>
      <c r="D10974" s="2">
        <v>5.1177072671443097E-4</v>
      </c>
      <c r="E10974" s="2">
        <v>0</v>
      </c>
      <c r="F10974" s="2">
        <v>1.4121800529567501E-4</v>
      </c>
    </row>
    <row r="10975" spans="1:6" x14ac:dyDescent="0.25">
      <c r="A10975" s="1" t="str">
        <f t="shared" si="398"/>
        <v>21220</v>
      </c>
      <c r="B10975" s="1" t="str">
        <f>"89316"</f>
        <v>89316</v>
      </c>
      <c r="C10975" s="2">
        <v>1.4594127806563001E-2</v>
      </c>
      <c r="D10975" s="2">
        <v>4.0941658137154504E-3</v>
      </c>
      <c r="E10975" s="2">
        <v>0</v>
      </c>
      <c r="F10975" s="2">
        <v>1.22153574580759E-2</v>
      </c>
    </row>
    <row r="10976" spans="1:6" x14ac:dyDescent="0.25">
      <c r="A10976" s="1" t="str">
        <f t="shared" si="398"/>
        <v>21220</v>
      </c>
      <c r="B10976" s="1" t="str">
        <f>"89835"</f>
        <v>89835</v>
      </c>
      <c r="C10976" s="2">
        <v>8.7651122625215794E-3</v>
      </c>
      <c r="D10976" s="2">
        <v>3.0706243602865902E-3</v>
      </c>
      <c r="E10976" s="2">
        <v>3.7682964808470797E-2</v>
      </c>
      <c r="F10976" s="2">
        <v>1.1650485436893201E-2</v>
      </c>
    </row>
    <row r="10977" spans="1:6" x14ac:dyDescent="0.25">
      <c r="A10977" s="1" t="str">
        <f t="shared" si="398"/>
        <v>21220</v>
      </c>
      <c r="B10977" s="1" t="str">
        <f>"89826"</f>
        <v>89826</v>
      </c>
      <c r="C10977" s="2">
        <v>0</v>
      </c>
      <c r="D10977" s="2">
        <v>5.1177072671443097E-4</v>
      </c>
      <c r="E10977" s="2">
        <v>0</v>
      </c>
      <c r="F10977" s="2">
        <v>3.5304501323918697E-5</v>
      </c>
    </row>
    <row r="10978" spans="1:6" x14ac:dyDescent="0.25">
      <c r="A10978" s="1" t="str">
        <f t="shared" si="398"/>
        <v>21220</v>
      </c>
      <c r="B10978" s="1" t="str">
        <f>"89834"</f>
        <v>89834</v>
      </c>
      <c r="C10978" s="2">
        <v>3.0224525043177799E-3</v>
      </c>
      <c r="D10978" s="2">
        <v>5.1177072671443097E-4</v>
      </c>
      <c r="E10978" s="2">
        <v>0</v>
      </c>
      <c r="F10978" s="2">
        <v>2.5066195939982298E-3</v>
      </c>
    </row>
    <row r="10979" spans="1:6" x14ac:dyDescent="0.25">
      <c r="A10979" s="1" t="str">
        <f t="shared" si="398"/>
        <v>21220</v>
      </c>
      <c r="B10979" s="1" t="str">
        <f>"89833"</f>
        <v>89833</v>
      </c>
      <c r="C10979" s="2">
        <v>5.2245250431778899E-3</v>
      </c>
      <c r="D10979" s="2">
        <v>0</v>
      </c>
      <c r="E10979" s="2">
        <v>3.1142946122703199E-4</v>
      </c>
      <c r="F10979" s="2">
        <v>4.3071491615180903E-3</v>
      </c>
    </row>
    <row r="10980" spans="1:6" x14ac:dyDescent="0.25">
      <c r="A10980" s="1" t="str">
        <f t="shared" si="398"/>
        <v>21220</v>
      </c>
      <c r="B10980" s="1" t="str">
        <f>"89832"</f>
        <v>89832</v>
      </c>
      <c r="C10980" s="2">
        <v>0</v>
      </c>
      <c r="D10980" s="2">
        <v>5.1177072671443097E-4</v>
      </c>
      <c r="E10980" s="2">
        <v>3.7371535347243801E-2</v>
      </c>
      <c r="F10980" s="2">
        <v>4.2718446601941696E-3</v>
      </c>
    </row>
    <row r="10981" spans="1:6" x14ac:dyDescent="0.25">
      <c r="A10981" s="1" t="str">
        <f t="shared" si="398"/>
        <v>21220</v>
      </c>
      <c r="B10981" s="1" t="str">
        <f>"89828"</f>
        <v>89828</v>
      </c>
      <c r="C10981" s="2">
        <v>1.2953367875647599E-3</v>
      </c>
      <c r="D10981" s="2">
        <v>5.1177072671443097E-4</v>
      </c>
      <c r="E10981" s="2">
        <v>7.1628776082217297E-3</v>
      </c>
      <c r="F10981" s="2">
        <v>1.90644307149161E-3</v>
      </c>
    </row>
    <row r="10982" spans="1:6" x14ac:dyDescent="0.25">
      <c r="A10982" s="1" t="str">
        <f t="shared" si="398"/>
        <v>21220</v>
      </c>
      <c r="B10982" s="1" t="str">
        <f>"89883"</f>
        <v>89883</v>
      </c>
      <c r="C10982" s="2">
        <v>0</v>
      </c>
      <c r="D10982" s="2">
        <v>5.1177072671443097E-4</v>
      </c>
      <c r="E10982" s="2">
        <v>0.41606976019931402</v>
      </c>
      <c r="F10982" s="2">
        <v>4.7202118270079398E-2</v>
      </c>
    </row>
    <row r="10983" spans="1:6" x14ac:dyDescent="0.25">
      <c r="A10983" s="1" t="str">
        <f t="shared" si="398"/>
        <v>21220</v>
      </c>
      <c r="B10983" s="1" t="str">
        <f>"89821"</f>
        <v>89821</v>
      </c>
      <c r="C10983" s="2">
        <v>2.0552677029360901E-2</v>
      </c>
      <c r="D10983" s="2">
        <v>6.1412487205731803E-3</v>
      </c>
      <c r="E10983" s="2">
        <v>3.4257240734973499E-3</v>
      </c>
      <c r="F10983" s="2">
        <v>1.7616946160635399E-2</v>
      </c>
    </row>
    <row r="10984" spans="1:6" x14ac:dyDescent="0.25">
      <c r="A10984" s="1" t="str">
        <f t="shared" si="398"/>
        <v>21220</v>
      </c>
      <c r="B10984" s="1" t="str">
        <f>"89822"</f>
        <v>89822</v>
      </c>
      <c r="C10984" s="2">
        <v>1.2953367875647599E-3</v>
      </c>
      <c r="D10984" s="2">
        <v>1.02354145342886E-3</v>
      </c>
      <c r="E10984" s="2">
        <v>0.154469012768607</v>
      </c>
      <c r="F10984" s="2">
        <v>1.86407766990291E-2</v>
      </c>
    </row>
    <row r="10985" spans="1:6" x14ac:dyDescent="0.25">
      <c r="A10985" s="1" t="str">
        <f t="shared" si="398"/>
        <v>21220</v>
      </c>
      <c r="B10985" s="1" t="str">
        <f>"89803"</f>
        <v>89803</v>
      </c>
      <c r="C10985" s="2">
        <v>8.2383419689119095E-2</v>
      </c>
      <c r="D10985" s="2">
        <v>0.178096212896622</v>
      </c>
      <c r="E10985" s="2">
        <v>6.2285892245406399E-4</v>
      </c>
      <c r="F10985" s="2">
        <v>7.9717563989408602E-2</v>
      </c>
    </row>
    <row r="10986" spans="1:6" x14ac:dyDescent="0.25">
      <c r="A10986" s="1" t="str">
        <f t="shared" si="398"/>
        <v>21220</v>
      </c>
      <c r="B10986" s="1" t="str">
        <f>"89801"</f>
        <v>89801</v>
      </c>
      <c r="C10986" s="2">
        <v>0.52802245250431701</v>
      </c>
      <c r="D10986" s="2">
        <v>0.75486182190378703</v>
      </c>
      <c r="E10986" s="2">
        <v>0.25474929928371198</v>
      </c>
      <c r="F10986" s="2">
        <v>0.51269196822594798</v>
      </c>
    </row>
    <row r="10987" spans="1:6" x14ac:dyDescent="0.25">
      <c r="A10987" s="1" t="str">
        <f t="shared" si="398"/>
        <v>21220</v>
      </c>
      <c r="B10987" s="1" t="str">
        <f>"89831"</f>
        <v>89831</v>
      </c>
      <c r="C10987" s="2">
        <v>9.0673575129533604E-4</v>
      </c>
      <c r="D10987" s="2">
        <v>1.02354145342886E-3</v>
      </c>
      <c r="E10987" s="2">
        <v>0</v>
      </c>
      <c r="F10987" s="2">
        <v>8.12003530450132E-4</v>
      </c>
    </row>
    <row r="10988" spans="1:6" x14ac:dyDescent="0.25">
      <c r="A10988" s="1" t="str">
        <f t="shared" ref="A10988:A11000" si="399">"21260"</f>
        <v>21260</v>
      </c>
      <c r="B10988" s="1" t="str">
        <f>"98941"</f>
        <v>98941</v>
      </c>
      <c r="C10988" s="2">
        <v>0</v>
      </c>
      <c r="D10988" s="2">
        <v>0</v>
      </c>
      <c r="E10988" s="2">
        <v>0.27065736320235001</v>
      </c>
      <c r="F10988" s="2">
        <v>2.72872005627753E-2</v>
      </c>
    </row>
    <row r="10989" spans="1:6" x14ac:dyDescent="0.25">
      <c r="A10989" s="1" t="str">
        <f t="shared" si="399"/>
        <v>21260</v>
      </c>
      <c r="B10989" s="1" t="str">
        <f>"98950"</f>
        <v>98950</v>
      </c>
      <c r="C10989" s="2">
        <v>0</v>
      </c>
      <c r="D10989" s="2">
        <v>4.8543689320388299E-4</v>
      </c>
      <c r="E10989" s="2">
        <v>0</v>
      </c>
      <c r="F10989" s="2">
        <v>3.7024695471879701E-5</v>
      </c>
    </row>
    <row r="10990" spans="1:6" x14ac:dyDescent="0.25">
      <c r="A10990" s="1" t="str">
        <f t="shared" si="399"/>
        <v>21260</v>
      </c>
      <c r="B10990" s="1" t="str">
        <f>"98812"</f>
        <v>98812</v>
      </c>
      <c r="C10990" s="2">
        <v>2.6995410780167301E-4</v>
      </c>
      <c r="D10990" s="2">
        <v>0</v>
      </c>
      <c r="E10990" s="2">
        <v>0</v>
      </c>
      <c r="F10990" s="2">
        <v>2.2214817283127799E-4</v>
      </c>
    </row>
    <row r="10991" spans="1:6" x14ac:dyDescent="0.25">
      <c r="A10991" s="1" t="str">
        <f t="shared" si="399"/>
        <v>21260</v>
      </c>
      <c r="B10991" s="1" t="str">
        <f>"98901"</f>
        <v>98901</v>
      </c>
      <c r="C10991" s="2">
        <v>1.43975524160892E-3</v>
      </c>
      <c r="D10991" s="2">
        <v>0</v>
      </c>
      <c r="E10991" s="2">
        <v>0</v>
      </c>
      <c r="F10991" s="2">
        <v>1.18479025510015E-3</v>
      </c>
    </row>
    <row r="10992" spans="1:6" x14ac:dyDescent="0.25">
      <c r="A10992" s="1" t="str">
        <f t="shared" si="399"/>
        <v>21260</v>
      </c>
      <c r="B10992" s="1" t="str">
        <f>"98934"</f>
        <v>98934</v>
      </c>
      <c r="C10992" s="2">
        <v>0</v>
      </c>
      <c r="D10992" s="2">
        <v>4.8543689320388299E-4</v>
      </c>
      <c r="E10992" s="2">
        <v>9.6584649283877999E-2</v>
      </c>
      <c r="F10992" s="2">
        <v>9.7745196045762508E-3</v>
      </c>
    </row>
    <row r="10993" spans="1:6" x14ac:dyDescent="0.25">
      <c r="A10993" s="1" t="str">
        <f t="shared" si="399"/>
        <v>21260</v>
      </c>
      <c r="B10993" s="1" t="str">
        <f>"98926"</f>
        <v>98926</v>
      </c>
      <c r="C10993" s="2">
        <v>0.72752632052551003</v>
      </c>
      <c r="D10993" s="2">
        <v>0.77524271844660098</v>
      </c>
      <c r="E10993" s="2">
        <v>0.26661770106500099</v>
      </c>
      <c r="F10993" s="2">
        <v>0.68469769336147202</v>
      </c>
    </row>
    <row r="10994" spans="1:6" x14ac:dyDescent="0.25">
      <c r="A10994" s="1" t="str">
        <f t="shared" si="399"/>
        <v>21260</v>
      </c>
      <c r="B10994" s="1" t="str">
        <f>"98828"</f>
        <v>98828</v>
      </c>
      <c r="C10994" s="2">
        <v>4.4992351300278898E-5</v>
      </c>
      <c r="D10994" s="2">
        <v>0</v>
      </c>
      <c r="E10994" s="2">
        <v>0</v>
      </c>
      <c r="F10994" s="2">
        <v>3.7024695471879701E-5</v>
      </c>
    </row>
    <row r="10995" spans="1:6" x14ac:dyDescent="0.25">
      <c r="A10995" s="1" t="str">
        <f t="shared" si="399"/>
        <v>21260</v>
      </c>
      <c r="B10995" s="1" t="str">
        <f>"98946"</f>
        <v>98946</v>
      </c>
      <c r="C10995" s="2">
        <v>8.5035543957527205E-3</v>
      </c>
      <c r="D10995" s="2">
        <v>2.4271844660194099E-3</v>
      </c>
      <c r="E10995" s="2">
        <v>4.7741461623209596E-3</v>
      </c>
      <c r="F10995" s="2">
        <v>7.6641119626791E-3</v>
      </c>
    </row>
    <row r="10996" spans="1:6" x14ac:dyDescent="0.25">
      <c r="A10996" s="1" t="str">
        <f t="shared" si="399"/>
        <v>21260</v>
      </c>
      <c r="B10996" s="1" t="str">
        <f>"98922"</f>
        <v>98922</v>
      </c>
      <c r="C10996" s="2">
        <v>0.262215423378025</v>
      </c>
      <c r="D10996" s="2">
        <v>0.219902912621359</v>
      </c>
      <c r="E10996" s="2">
        <v>3.7458685273595201E-2</v>
      </c>
      <c r="F10996" s="2">
        <v>0.236328631197008</v>
      </c>
    </row>
    <row r="10997" spans="1:6" x14ac:dyDescent="0.25">
      <c r="A10997" s="1" t="str">
        <f t="shared" si="399"/>
        <v>21260</v>
      </c>
      <c r="B10997" s="1" t="str">
        <f>"98925"</f>
        <v>98925</v>
      </c>
      <c r="C10997" s="2">
        <v>0</v>
      </c>
      <c r="D10997" s="2">
        <v>4.8543689320388299E-4</v>
      </c>
      <c r="E10997" s="2">
        <v>8.2262210796915106E-2</v>
      </c>
      <c r="F10997" s="2">
        <v>8.3305564811729394E-3</v>
      </c>
    </row>
    <row r="10998" spans="1:6" x14ac:dyDescent="0.25">
      <c r="A10998" s="1" t="str">
        <f t="shared" si="399"/>
        <v>21260</v>
      </c>
      <c r="B10998" s="1" t="str">
        <f>"98940"</f>
        <v>98940</v>
      </c>
      <c r="C10998" s="2">
        <v>0</v>
      </c>
      <c r="D10998" s="2">
        <v>4.8543689320388299E-4</v>
      </c>
      <c r="E10998" s="2">
        <v>0.166360631656261</v>
      </c>
      <c r="F10998" s="2">
        <v>1.6809211744233402E-2</v>
      </c>
    </row>
    <row r="10999" spans="1:6" x14ac:dyDescent="0.25">
      <c r="A10999" s="1" t="str">
        <f t="shared" si="399"/>
        <v>21260</v>
      </c>
      <c r="B10999" s="1" t="str">
        <f>"98068"</f>
        <v>98068</v>
      </c>
      <c r="C10999" s="2">
        <v>0</v>
      </c>
      <c r="D10999" s="2">
        <v>0</v>
      </c>
      <c r="E10999" s="2">
        <v>3.6724201248622803E-4</v>
      </c>
      <c r="F10999" s="2">
        <v>3.7024695471879701E-5</v>
      </c>
    </row>
    <row r="11000" spans="1:6" x14ac:dyDescent="0.25">
      <c r="A11000" s="1" t="str">
        <f t="shared" si="399"/>
        <v>21260</v>
      </c>
      <c r="B11000" s="1" t="str">
        <f>"98943"</f>
        <v>98943</v>
      </c>
      <c r="C11000" s="2">
        <v>0</v>
      </c>
      <c r="D11000" s="2">
        <v>4.8543689320388299E-4</v>
      </c>
      <c r="E11000" s="2">
        <v>7.4917370547190498E-2</v>
      </c>
      <c r="F11000" s="2">
        <v>7.5900625717353403E-3</v>
      </c>
    </row>
    <row r="11001" spans="1:6" x14ac:dyDescent="0.25">
      <c r="A11001" s="1" t="str">
        <f t="shared" ref="A11001:A11024" si="400">"21300"</f>
        <v>21300</v>
      </c>
      <c r="B11001" s="1" t="str">
        <f>"14872"</f>
        <v>14872</v>
      </c>
      <c r="C11001" s="2">
        <v>6.2582830216462897E-3</v>
      </c>
      <c r="D11001" s="2">
        <v>1.9900497512437801E-3</v>
      </c>
      <c r="E11001" s="2">
        <v>3.7858301784748499E-3</v>
      </c>
      <c r="F11001" s="2">
        <v>5.8759044069282996E-3</v>
      </c>
    </row>
    <row r="11002" spans="1:6" x14ac:dyDescent="0.25">
      <c r="A11002" s="1" t="str">
        <f t="shared" si="400"/>
        <v>21300</v>
      </c>
      <c r="B11002" s="1" t="str">
        <f>"14867"</f>
        <v>14867</v>
      </c>
      <c r="C11002" s="2">
        <v>7.3626859078191698E-5</v>
      </c>
      <c r="D11002" s="2">
        <v>0</v>
      </c>
      <c r="E11002" s="2">
        <v>0</v>
      </c>
      <c r="F11002" s="2">
        <v>6.5775049331286898E-5</v>
      </c>
    </row>
    <row r="11003" spans="1:6" x14ac:dyDescent="0.25">
      <c r="A11003" s="1" t="str">
        <f t="shared" si="400"/>
        <v>21300</v>
      </c>
      <c r="B11003" s="1" t="str">
        <f>"14825"</f>
        <v>14825</v>
      </c>
      <c r="C11003" s="2">
        <v>1.11421980071663E-2</v>
      </c>
      <c r="D11003" s="2">
        <v>5.9701492537313399E-3</v>
      </c>
      <c r="E11003" s="2">
        <v>1.6224986479177899E-3</v>
      </c>
      <c r="F11003" s="2">
        <v>1.04143828107871E-2</v>
      </c>
    </row>
    <row r="11004" spans="1:6" x14ac:dyDescent="0.25">
      <c r="A11004" s="1" t="str">
        <f t="shared" si="400"/>
        <v>21300</v>
      </c>
      <c r="B11004" s="1" t="str">
        <f>"14838"</f>
        <v>14838</v>
      </c>
      <c r="C11004" s="2">
        <v>1.9952878810189902E-2</v>
      </c>
      <c r="D11004" s="2">
        <v>2.3217247097844099E-3</v>
      </c>
      <c r="E11004" s="2">
        <v>3.7858301784748499E-3</v>
      </c>
      <c r="F11004" s="2">
        <v>1.81319885989914E-2</v>
      </c>
    </row>
    <row r="11005" spans="1:6" x14ac:dyDescent="0.25">
      <c r="A11005" s="1" t="str">
        <f t="shared" si="400"/>
        <v>21300</v>
      </c>
      <c r="B11005" s="1" t="str">
        <f>"14889"</f>
        <v>14889</v>
      </c>
      <c r="C11005" s="2">
        <v>2.2726157168801799E-2</v>
      </c>
      <c r="D11005" s="2">
        <v>8.9552238805970102E-3</v>
      </c>
      <c r="E11005" s="2">
        <v>3.5154137371552097E-2</v>
      </c>
      <c r="F11005" s="2">
        <v>2.2319666739749999E-2</v>
      </c>
    </row>
    <row r="11006" spans="1:6" x14ac:dyDescent="0.25">
      <c r="A11006" s="1" t="str">
        <f t="shared" si="400"/>
        <v>21300</v>
      </c>
      <c r="B11006" s="1" t="str">
        <f>"14883"</f>
        <v>14883</v>
      </c>
      <c r="C11006" s="2">
        <v>9.8169145437588894E-5</v>
      </c>
      <c r="D11006" s="2">
        <v>0</v>
      </c>
      <c r="E11006" s="2">
        <v>0</v>
      </c>
      <c r="F11006" s="2">
        <v>8.7700065775049297E-5</v>
      </c>
    </row>
    <row r="11007" spans="1:6" x14ac:dyDescent="0.25">
      <c r="A11007" s="1" t="str">
        <f t="shared" si="400"/>
        <v>21300</v>
      </c>
      <c r="B11007" s="1" t="str">
        <f>"14805"</f>
        <v>14805</v>
      </c>
      <c r="C11007" s="2">
        <v>5.8901487262553304E-4</v>
      </c>
      <c r="D11007" s="2">
        <v>0</v>
      </c>
      <c r="E11007" s="2">
        <v>0</v>
      </c>
      <c r="F11007" s="2">
        <v>5.2620039465029497E-4</v>
      </c>
    </row>
    <row r="11008" spans="1:6" x14ac:dyDescent="0.25">
      <c r="A11008" s="1" t="str">
        <f t="shared" si="400"/>
        <v>21300</v>
      </c>
      <c r="B11008" s="1" t="str">
        <f>"14864"</f>
        <v>14864</v>
      </c>
      <c r="C11008" s="2">
        <v>1.2614735188730099E-2</v>
      </c>
      <c r="D11008" s="2">
        <v>4.97512437810945E-3</v>
      </c>
      <c r="E11008" s="2">
        <v>1.2439156300703001E-2</v>
      </c>
      <c r="F11008" s="2">
        <v>1.2102609076956801E-2</v>
      </c>
    </row>
    <row r="11009" spans="1:6" x14ac:dyDescent="0.25">
      <c r="A11009" s="1" t="str">
        <f t="shared" si="400"/>
        <v>21300</v>
      </c>
      <c r="B11009" s="1" t="str">
        <f>"14892"</f>
        <v>14892</v>
      </c>
      <c r="C11009" s="2">
        <v>1.11421980071663E-2</v>
      </c>
      <c r="D11009" s="2">
        <v>5.3067993366500803E-3</v>
      </c>
      <c r="E11009" s="2">
        <v>0</v>
      </c>
      <c r="F11009" s="2">
        <v>1.03047577285682E-2</v>
      </c>
    </row>
    <row r="11010" spans="1:6" x14ac:dyDescent="0.25">
      <c r="A11010" s="1" t="str">
        <f t="shared" si="400"/>
        <v>21300</v>
      </c>
      <c r="B11010" s="1" t="str">
        <f>"14902"</f>
        <v>14902</v>
      </c>
      <c r="C11010" s="2">
        <v>2.1032739410003401E-2</v>
      </c>
      <c r="D11010" s="2">
        <v>6.0696517412935302E-2</v>
      </c>
      <c r="E11010" s="2">
        <v>5.4083288263926397E-4</v>
      </c>
      <c r="F11010" s="2">
        <v>2.2823942117956499E-2</v>
      </c>
    </row>
    <row r="11011" spans="1:6" x14ac:dyDescent="0.25">
      <c r="A11011" s="1" t="str">
        <f t="shared" si="400"/>
        <v>21300</v>
      </c>
      <c r="B11011" s="1" t="str">
        <f>"14824"</f>
        <v>14824</v>
      </c>
      <c r="C11011" s="2">
        <v>2.7978206449712799E-3</v>
      </c>
      <c r="D11011" s="2">
        <v>0</v>
      </c>
      <c r="E11011" s="2">
        <v>0</v>
      </c>
      <c r="F11011" s="2">
        <v>2.4994518745889002E-3</v>
      </c>
    </row>
    <row r="11012" spans="1:6" x14ac:dyDescent="0.25">
      <c r="A11012" s="1" t="str">
        <f t="shared" si="400"/>
        <v>21300</v>
      </c>
      <c r="B11012" s="1" t="str">
        <f>"14830"</f>
        <v>14830</v>
      </c>
      <c r="C11012" s="2">
        <v>3.1168703676434399E-3</v>
      </c>
      <c r="D11012" s="2">
        <v>2.9850746268656699E-3</v>
      </c>
      <c r="E11012" s="2">
        <v>0</v>
      </c>
      <c r="F11012" s="2">
        <v>2.98180223635167E-3</v>
      </c>
    </row>
    <row r="11013" spans="1:6" x14ac:dyDescent="0.25">
      <c r="A11013" s="1" t="str">
        <f t="shared" si="400"/>
        <v>21300</v>
      </c>
      <c r="B11013" s="1" t="str">
        <f>"14816"</f>
        <v>14816</v>
      </c>
      <c r="C11013" s="2">
        <v>5.2520492809110001E-3</v>
      </c>
      <c r="D11013" s="2">
        <v>2.3217247097844099E-3</v>
      </c>
      <c r="E11013" s="2">
        <v>1.40616549486208E-2</v>
      </c>
      <c r="F11013" s="2">
        <v>5.4154790616092897E-3</v>
      </c>
    </row>
    <row r="11014" spans="1:6" x14ac:dyDescent="0.25">
      <c r="A11014" s="1" t="str">
        <f t="shared" si="400"/>
        <v>21300</v>
      </c>
      <c r="B11014" s="1" t="str">
        <f>"14814"</f>
        <v>14814</v>
      </c>
      <c r="C11014" s="2">
        <v>1.85048839149855E-2</v>
      </c>
      <c r="D11014" s="2">
        <v>2.3548922056384699E-2</v>
      </c>
      <c r="E11014" s="2">
        <v>1.5684153596538599E-2</v>
      </c>
      <c r="F11014" s="2">
        <v>1.8723964042972999E-2</v>
      </c>
    </row>
    <row r="11015" spans="1:6" x14ac:dyDescent="0.25">
      <c r="A11015" s="1" t="str">
        <f t="shared" si="400"/>
        <v>21300</v>
      </c>
      <c r="B11015" s="1" t="str">
        <f>"14812"</f>
        <v>14812</v>
      </c>
      <c r="C11015" s="2">
        <v>1.1313994011682101E-2</v>
      </c>
      <c r="D11015" s="2">
        <v>2.9850746268656699E-3</v>
      </c>
      <c r="E11015" s="2">
        <v>5.4083288263926397E-4</v>
      </c>
      <c r="F11015" s="2">
        <v>1.0326682745012E-2</v>
      </c>
    </row>
    <row r="11016" spans="1:6" x14ac:dyDescent="0.25">
      <c r="A11016" s="1" t="str">
        <f t="shared" si="400"/>
        <v>21300</v>
      </c>
      <c r="B11016" s="1" t="str">
        <f>"14871"</f>
        <v>14871</v>
      </c>
      <c r="C11016" s="2">
        <v>4.3096254847101501E-2</v>
      </c>
      <c r="D11016" s="2">
        <v>1.5257048092868901E-2</v>
      </c>
      <c r="E11016" s="2">
        <v>1.0275824770146E-2</v>
      </c>
      <c r="F11016" s="2">
        <v>3.99254549440912E-2</v>
      </c>
    </row>
    <row r="11017" spans="1:6" x14ac:dyDescent="0.25">
      <c r="A11017" s="1" t="str">
        <f t="shared" si="400"/>
        <v>21300</v>
      </c>
      <c r="B11017" s="1" t="str">
        <f>"14901"</f>
        <v>14901</v>
      </c>
      <c r="C11017" s="2">
        <v>0.16953811417071599</v>
      </c>
      <c r="D11017" s="2">
        <v>0.28524046434494099</v>
      </c>
      <c r="E11017" s="2">
        <v>0.28231476473769601</v>
      </c>
      <c r="F11017" s="2">
        <v>0.18175838631878899</v>
      </c>
    </row>
    <row r="11018" spans="1:6" x14ac:dyDescent="0.25">
      <c r="A11018" s="1" t="str">
        <f t="shared" si="400"/>
        <v>21300</v>
      </c>
      <c r="B11018" s="1" t="str">
        <f>"14894"</f>
        <v>14894</v>
      </c>
      <c r="C11018" s="2">
        <v>1.60506552790457E-2</v>
      </c>
      <c r="D11018" s="2">
        <v>3.64842454394693E-3</v>
      </c>
      <c r="E11018" s="2">
        <v>4.8674959437533796E-3</v>
      </c>
      <c r="F11018" s="2">
        <v>1.47774610830958E-2</v>
      </c>
    </row>
    <row r="11019" spans="1:6" x14ac:dyDescent="0.25">
      <c r="A11019" s="1" t="str">
        <f t="shared" si="400"/>
        <v>21300</v>
      </c>
      <c r="B11019" s="1" t="str">
        <f>"14904"</f>
        <v>14904</v>
      </c>
      <c r="C11019" s="2">
        <v>0.17945319785991201</v>
      </c>
      <c r="D11019" s="2">
        <v>0.11542288557213901</v>
      </c>
      <c r="E11019" s="2">
        <v>0.15630070308274699</v>
      </c>
      <c r="F11019" s="2">
        <v>0.17428195571146601</v>
      </c>
    </row>
    <row r="11020" spans="1:6" x14ac:dyDescent="0.25">
      <c r="A11020" s="1" t="str">
        <f t="shared" si="400"/>
        <v>21300</v>
      </c>
      <c r="B11020" s="1" t="str">
        <f>"14903"</f>
        <v>14903</v>
      </c>
      <c r="C11020" s="2">
        <v>8.62906788396407E-2</v>
      </c>
      <c r="D11020" s="2">
        <v>0.14129353233830799</v>
      </c>
      <c r="E11020" s="2">
        <v>0.105462412114656</v>
      </c>
      <c r="F11020" s="2">
        <v>9.0703793027844704E-2</v>
      </c>
    </row>
    <row r="11021" spans="1:6" x14ac:dyDescent="0.25">
      <c r="A11021" s="1" t="str">
        <f t="shared" si="400"/>
        <v>21300</v>
      </c>
      <c r="B11021" s="1" t="str">
        <f>"14845"</f>
        <v>14845</v>
      </c>
      <c r="C11021" s="2">
        <v>0.2312619643646</v>
      </c>
      <c r="D11021" s="2">
        <v>0.27330016583747901</v>
      </c>
      <c r="E11021" s="2">
        <v>0.202271498107084</v>
      </c>
      <c r="F11021" s="2">
        <v>0.23286559964919901</v>
      </c>
    </row>
    <row r="11022" spans="1:6" x14ac:dyDescent="0.25">
      <c r="A11022" s="1" t="str">
        <f t="shared" si="400"/>
        <v>21300</v>
      </c>
      <c r="B11022" s="1" t="str">
        <f>"14861"</f>
        <v>14861</v>
      </c>
      <c r="C11022" s="2">
        <v>1.62715358562803E-2</v>
      </c>
      <c r="D11022" s="2">
        <v>3.64842454394693E-3</v>
      </c>
      <c r="E11022" s="2">
        <v>8.6533261222282304E-3</v>
      </c>
      <c r="F11022" s="2">
        <v>1.5128261346195999E-2</v>
      </c>
    </row>
    <row r="11023" spans="1:6" x14ac:dyDescent="0.25">
      <c r="A11023" s="1" t="str">
        <f t="shared" si="400"/>
        <v>21300</v>
      </c>
      <c r="B11023" s="1" t="str">
        <f>"14905"</f>
        <v>14905</v>
      </c>
      <c r="C11023" s="2">
        <v>0.10602267707259599</v>
      </c>
      <c r="D11023" s="2">
        <v>3.9469320066334898E-2</v>
      </c>
      <c r="E11023" s="2">
        <v>0.12493239588967001</v>
      </c>
      <c r="F11023" s="2">
        <v>0.10238982679237001</v>
      </c>
    </row>
    <row r="11024" spans="1:6" x14ac:dyDescent="0.25">
      <c r="A11024" s="1" t="str">
        <f t="shared" si="400"/>
        <v>21300</v>
      </c>
      <c r="B11024" s="1" t="str">
        <f>"14859"</f>
        <v>14859</v>
      </c>
      <c r="C11024" s="2">
        <v>5.3993029990673904E-3</v>
      </c>
      <c r="D11024" s="2">
        <v>6.6334991708126003E-4</v>
      </c>
      <c r="E11024" s="2">
        <v>1.7306652244456398E-2</v>
      </c>
      <c r="F11024" s="2">
        <v>5.5689541767156301E-3</v>
      </c>
    </row>
    <row r="11025" spans="1:6" x14ac:dyDescent="0.25">
      <c r="A11025" s="1" t="str">
        <f t="shared" ref="A11025:A11056" si="401">"21340"</f>
        <v>21340</v>
      </c>
      <c r="B11025" s="1" t="str">
        <f>"79821"</f>
        <v>79821</v>
      </c>
      <c r="C11025" s="2">
        <v>5.3315542314538601E-3</v>
      </c>
      <c r="D11025" s="2">
        <v>8.1891121278429794E-3</v>
      </c>
      <c r="E11025" s="2">
        <v>4.9590875278948598E-3</v>
      </c>
      <c r="F11025" s="2">
        <v>5.5409972256552503E-3</v>
      </c>
    </row>
    <row r="11026" spans="1:6" x14ac:dyDescent="0.25">
      <c r="A11026" s="1" t="str">
        <f t="shared" si="401"/>
        <v>21340</v>
      </c>
      <c r="B11026" s="1" t="str">
        <f>"79953"</f>
        <v>79953</v>
      </c>
      <c r="C11026" s="2">
        <v>6.9016883255066199E-4</v>
      </c>
      <c r="D11026" s="2">
        <v>2.6523440090179602E-4</v>
      </c>
      <c r="E11026" s="2">
        <v>8.2651458798247703E-5</v>
      </c>
      <c r="F11026" s="2">
        <v>6.3845826431659298E-4</v>
      </c>
    </row>
    <row r="11027" spans="1:6" x14ac:dyDescent="0.25">
      <c r="A11027" s="1" t="str">
        <f t="shared" si="401"/>
        <v>21340</v>
      </c>
      <c r="B11027" s="1" t="str">
        <f>"79949"</f>
        <v>79949</v>
      </c>
      <c r="C11027" s="2">
        <v>3.4796011974429198E-4</v>
      </c>
      <c r="D11027" s="2">
        <v>5.3046880180359301E-4</v>
      </c>
      <c r="E11027" s="2">
        <v>8.2651458798247703E-5</v>
      </c>
      <c r="F11027" s="2">
        <v>3.5384433925979801E-4</v>
      </c>
    </row>
    <row r="11028" spans="1:6" x14ac:dyDescent="0.25">
      <c r="A11028" s="1" t="str">
        <f t="shared" si="401"/>
        <v>21340</v>
      </c>
      <c r="B11028" s="1" t="str">
        <f>"79947"</f>
        <v>79947</v>
      </c>
      <c r="C11028" s="2">
        <v>4.9749670013026902E-4</v>
      </c>
      <c r="D11028" s="2">
        <v>2.3208010078907201E-4</v>
      </c>
      <c r="E11028" s="2">
        <v>8.2651458798247703E-5</v>
      </c>
      <c r="F11028" s="2">
        <v>4.6410018410161899E-4</v>
      </c>
    </row>
    <row r="11029" spans="1:6" x14ac:dyDescent="0.25">
      <c r="A11029" s="1" t="str">
        <f t="shared" si="401"/>
        <v>21340</v>
      </c>
      <c r="B11029" s="1" t="str">
        <f>"79913"</f>
        <v>79913</v>
      </c>
      <c r="C11029" s="2">
        <v>7.0167164642650701E-3</v>
      </c>
      <c r="D11029" s="2">
        <v>1.83674822624494E-2</v>
      </c>
      <c r="E11029" s="2">
        <v>8.2651458798247703E-5</v>
      </c>
      <c r="F11029" s="2">
        <v>7.6794477977036001E-3</v>
      </c>
    </row>
    <row r="11030" spans="1:6" x14ac:dyDescent="0.25">
      <c r="A11030" s="1" t="str">
        <f t="shared" si="401"/>
        <v>21340</v>
      </c>
      <c r="B11030" s="1" t="str">
        <f>"79924"</f>
        <v>79924</v>
      </c>
      <c r="C11030" s="2">
        <v>6.5796095369829805E-2</v>
      </c>
      <c r="D11030" s="2">
        <v>3.4115774815993601E-2</v>
      </c>
      <c r="E11030" s="2">
        <v>3.0663691214149899E-2</v>
      </c>
      <c r="F11030" s="2">
        <v>6.22560909944051E-2</v>
      </c>
    </row>
    <row r="11031" spans="1:6" x14ac:dyDescent="0.25">
      <c r="A11031" s="1" t="str">
        <f t="shared" si="401"/>
        <v>21340</v>
      </c>
      <c r="B11031" s="1" t="str">
        <f>"79927"</f>
        <v>79927</v>
      </c>
      <c r="C11031" s="2">
        <v>3.90894372535881E-2</v>
      </c>
      <c r="D11031" s="2">
        <v>2.7087063192096E-2</v>
      </c>
      <c r="E11031" s="2">
        <v>5.76907182411769E-2</v>
      </c>
      <c r="F11031" s="2">
        <v>3.8738262880703103E-2</v>
      </c>
    </row>
    <row r="11032" spans="1:6" x14ac:dyDescent="0.25">
      <c r="A11032" s="1" t="str">
        <f t="shared" si="401"/>
        <v>21340</v>
      </c>
      <c r="B11032" s="1" t="str">
        <f>"79837"</f>
        <v>79837</v>
      </c>
      <c r="C11032" s="2">
        <v>0</v>
      </c>
      <c r="D11032" s="2">
        <v>3.3154300112724597E-5</v>
      </c>
      <c r="E11032" s="2">
        <v>0</v>
      </c>
      <c r="F11032" s="2">
        <v>2.5640894149260701E-6</v>
      </c>
    </row>
    <row r="11033" spans="1:6" x14ac:dyDescent="0.25">
      <c r="A11033" s="1" t="str">
        <f t="shared" si="401"/>
        <v>21340</v>
      </c>
      <c r="B11033" s="1" t="str">
        <f>"79955"</f>
        <v>79955</v>
      </c>
      <c r="C11033" s="2">
        <v>6.8441742561274003E-4</v>
      </c>
      <c r="D11033" s="2">
        <v>3.3154300112724598E-4</v>
      </c>
      <c r="E11033" s="2">
        <v>8.2651458798247703E-5</v>
      </c>
      <c r="F11033" s="2">
        <v>6.3845826431659298E-4</v>
      </c>
    </row>
    <row r="11034" spans="1:6" x14ac:dyDescent="0.25">
      <c r="A11034" s="1" t="str">
        <f t="shared" si="401"/>
        <v>21340</v>
      </c>
      <c r="B11034" s="1" t="str">
        <f>"79929"</f>
        <v>79929</v>
      </c>
      <c r="C11034" s="2">
        <v>5.9066949252460799E-3</v>
      </c>
      <c r="D11034" s="2">
        <v>3.3817386114979101E-3</v>
      </c>
      <c r="E11034" s="2">
        <v>1.65302917596495E-4</v>
      </c>
      <c r="F11034" s="2">
        <v>5.5333049574104697E-3</v>
      </c>
    </row>
    <row r="11035" spans="1:6" x14ac:dyDescent="0.25">
      <c r="A11035" s="1" t="str">
        <f t="shared" si="401"/>
        <v>21340</v>
      </c>
      <c r="B11035" s="1" t="str">
        <f>"79935"</f>
        <v>79935</v>
      </c>
      <c r="C11035" s="2">
        <v>2.0719443493864599E-2</v>
      </c>
      <c r="D11035" s="2">
        <v>3.2789602811484603E-2</v>
      </c>
      <c r="E11035" s="2">
        <v>3.5705430200842998E-2</v>
      </c>
      <c r="F11035" s="2">
        <v>2.21178352931523E-2</v>
      </c>
    </row>
    <row r="11036" spans="1:6" x14ac:dyDescent="0.25">
      <c r="A11036" s="1" t="str">
        <f t="shared" si="401"/>
        <v>21340</v>
      </c>
      <c r="B11036" s="1" t="str">
        <f>"79914"</f>
        <v>79914</v>
      </c>
      <c r="C11036" s="2">
        <v>2.8009351787681002E-3</v>
      </c>
      <c r="D11036" s="2">
        <v>3.2159671109342801E-3</v>
      </c>
      <c r="E11036" s="2">
        <v>8.2651458798247703E-5</v>
      </c>
      <c r="F11036" s="2">
        <v>2.7487038528007501E-3</v>
      </c>
    </row>
    <row r="11037" spans="1:6" x14ac:dyDescent="0.25">
      <c r="A11037" s="1" t="str">
        <f t="shared" si="401"/>
        <v>21340</v>
      </c>
      <c r="B11037" s="1" t="str">
        <f>"79839"</f>
        <v>79839</v>
      </c>
      <c r="C11037" s="2">
        <v>6.2115194929559603E-4</v>
      </c>
      <c r="D11037" s="2">
        <v>6.6308600225449194E-5</v>
      </c>
      <c r="E11037" s="2">
        <v>2.47954376394743E-4</v>
      </c>
      <c r="F11037" s="2">
        <v>5.6666376069866304E-4</v>
      </c>
    </row>
    <row r="11038" spans="1:6" x14ac:dyDescent="0.25">
      <c r="A11038" s="1" t="str">
        <f t="shared" si="401"/>
        <v>21340</v>
      </c>
      <c r="B11038" s="1" t="str">
        <f>"79918"</f>
        <v>79918</v>
      </c>
      <c r="C11038" s="2">
        <v>0</v>
      </c>
      <c r="D11038" s="2">
        <v>4.7742192162323399E-3</v>
      </c>
      <c r="E11038" s="2">
        <v>4.95908752789486E-4</v>
      </c>
      <c r="F11038" s="2">
        <v>3.8461341223891099E-4</v>
      </c>
    </row>
    <row r="11039" spans="1:6" x14ac:dyDescent="0.25">
      <c r="A11039" s="1" t="str">
        <f t="shared" si="401"/>
        <v>21340</v>
      </c>
      <c r="B11039" s="1" t="str">
        <f>"79950"</f>
        <v>79950</v>
      </c>
      <c r="C11039" s="2">
        <v>3.5658723015117498E-4</v>
      </c>
      <c r="D11039" s="2">
        <v>4.3100590146541998E-4</v>
      </c>
      <c r="E11039" s="2">
        <v>8.2651458798247703E-5</v>
      </c>
      <c r="F11039" s="2">
        <v>3.5384433925979801E-4</v>
      </c>
    </row>
    <row r="11040" spans="1:6" x14ac:dyDescent="0.25">
      <c r="A11040" s="1" t="str">
        <f t="shared" si="401"/>
        <v>21340</v>
      </c>
      <c r="B11040" s="1" t="str">
        <f>"79952"</f>
        <v>79952</v>
      </c>
      <c r="C11040" s="2">
        <v>5.7514069379221804E-4</v>
      </c>
      <c r="D11040" s="2">
        <v>7.9570320270539005E-4</v>
      </c>
      <c r="E11040" s="2">
        <v>8.2651458798247703E-5</v>
      </c>
      <c r="F11040" s="2">
        <v>5.7692011835836702E-4</v>
      </c>
    </row>
    <row r="11041" spans="1:6" x14ac:dyDescent="0.25">
      <c r="A11041" s="1" t="str">
        <f t="shared" si="401"/>
        <v>21340</v>
      </c>
      <c r="B11041" s="1" t="str">
        <f>"79849"</f>
        <v>79849</v>
      </c>
      <c r="C11041" s="2">
        <v>1.4597070808446499E-2</v>
      </c>
      <c r="D11041" s="2">
        <v>1.25986340428353E-3</v>
      </c>
      <c r="E11041" s="2">
        <v>1.03314323497809E-2</v>
      </c>
      <c r="F11041" s="2">
        <v>1.3433264444797701E-2</v>
      </c>
    </row>
    <row r="11042" spans="1:6" x14ac:dyDescent="0.25">
      <c r="A11042" s="1" t="str">
        <f t="shared" si="401"/>
        <v>21340</v>
      </c>
      <c r="B11042" s="1" t="str">
        <f>"79903"</f>
        <v>79903</v>
      </c>
      <c r="C11042" s="2">
        <v>2.0549776989195901E-2</v>
      </c>
      <c r="D11042" s="2">
        <v>3.4546780717459001E-2</v>
      </c>
      <c r="E11042" s="2">
        <v>3.16555087197289E-2</v>
      </c>
      <c r="F11042" s="2">
        <v>2.1976810375331401E-2</v>
      </c>
    </row>
    <row r="11043" spans="1:6" x14ac:dyDescent="0.25">
      <c r="A11043" s="1" t="str">
        <f t="shared" si="401"/>
        <v>21340</v>
      </c>
      <c r="B11043" s="1" t="str">
        <f>"79902"</f>
        <v>79902</v>
      </c>
      <c r="C11043" s="2">
        <v>3.2584596006798097E-2</v>
      </c>
      <c r="D11043" s="2">
        <v>6.3158941714740402E-2</v>
      </c>
      <c r="E11043" s="2">
        <v>8.67840317381601E-2</v>
      </c>
      <c r="F11043" s="2">
        <v>3.66305813816339E-2</v>
      </c>
    </row>
    <row r="11044" spans="1:6" x14ac:dyDescent="0.25">
      <c r="A11044" s="1" t="str">
        <f t="shared" si="401"/>
        <v>21340</v>
      </c>
      <c r="B11044" s="1" t="str">
        <f>"79911"</f>
        <v>79911</v>
      </c>
      <c r="C11044" s="2">
        <v>9.9441825956674609E-3</v>
      </c>
      <c r="D11044" s="2">
        <v>9.9462900338173794E-4</v>
      </c>
      <c r="E11044" s="2">
        <v>1.7356806347632E-3</v>
      </c>
      <c r="F11044" s="2">
        <v>8.9973897569756E-3</v>
      </c>
    </row>
    <row r="11045" spans="1:6" x14ac:dyDescent="0.25">
      <c r="A11045" s="1" t="str">
        <f t="shared" si="401"/>
        <v>21340</v>
      </c>
      <c r="B11045" s="1" t="str">
        <f>"79937"</f>
        <v>79937</v>
      </c>
      <c r="C11045" s="2">
        <v>3.64639199864266E-3</v>
      </c>
      <c r="D11045" s="2">
        <v>1.1670313639679001E-2</v>
      </c>
      <c r="E11045" s="2">
        <v>8.2651458798247703E-5</v>
      </c>
      <c r="F11045" s="2">
        <v>4.1563889415951703E-3</v>
      </c>
    </row>
    <row r="11046" spans="1:6" x14ac:dyDescent="0.25">
      <c r="A11046" s="1" t="str">
        <f t="shared" si="401"/>
        <v>21340</v>
      </c>
      <c r="B11046" s="1" t="str">
        <f>"79948"</f>
        <v>79948</v>
      </c>
      <c r="C11046" s="2">
        <v>6.0102202501286796E-4</v>
      </c>
      <c r="D11046" s="2">
        <v>4.9731450169086897E-4</v>
      </c>
      <c r="E11046" s="2">
        <v>8.2651458798247703E-5</v>
      </c>
      <c r="F11046" s="2">
        <v>5.7692011835836702E-4</v>
      </c>
    </row>
    <row r="11047" spans="1:6" x14ac:dyDescent="0.25">
      <c r="A11047" s="1" t="str">
        <f t="shared" si="401"/>
        <v>21340</v>
      </c>
      <c r="B11047" s="1" t="str">
        <f>"79853"</f>
        <v>79853</v>
      </c>
      <c r="C11047" s="2">
        <v>1.0812645043293699E-3</v>
      </c>
      <c r="D11047" s="2">
        <v>6.6308600225449194E-5</v>
      </c>
      <c r="E11047" s="2">
        <v>0</v>
      </c>
      <c r="F11047" s="2">
        <v>9.6922579884205695E-4</v>
      </c>
    </row>
    <row r="11048" spans="1:6" x14ac:dyDescent="0.25">
      <c r="A11048" s="1" t="str">
        <f t="shared" si="401"/>
        <v>21340</v>
      </c>
      <c r="B11048" s="1" t="str">
        <f>"79907"</f>
        <v>79907</v>
      </c>
      <c r="C11048" s="2">
        <v>5.4557846213129799E-2</v>
      </c>
      <c r="D11048" s="2">
        <v>4.1840726742258402E-2</v>
      </c>
      <c r="E11048" s="2">
        <v>4.2896107116290598E-2</v>
      </c>
      <c r="F11048" s="2">
        <v>5.32125476279608E-2</v>
      </c>
    </row>
    <row r="11049" spans="1:6" x14ac:dyDescent="0.25">
      <c r="A11049" s="1" t="str">
        <f t="shared" si="401"/>
        <v>21340</v>
      </c>
      <c r="B11049" s="1" t="str">
        <f>"79936"</f>
        <v>79936</v>
      </c>
      <c r="C11049" s="2">
        <v>0.109429144104376</v>
      </c>
      <c r="D11049" s="2">
        <v>0.110901133877063</v>
      </c>
      <c r="E11049" s="2">
        <v>9.5049177617984898E-2</v>
      </c>
      <c r="F11049" s="2">
        <v>0.109096876426274</v>
      </c>
    </row>
    <row r="11050" spans="1:6" x14ac:dyDescent="0.25">
      <c r="A11050" s="1" t="str">
        <f t="shared" si="401"/>
        <v>21340</v>
      </c>
      <c r="B11050" s="1" t="str">
        <f>"79938"</f>
        <v>79938</v>
      </c>
      <c r="C11050" s="2">
        <v>8.6009415053157304E-2</v>
      </c>
      <c r="D11050" s="2">
        <v>3.64365758238843E-2</v>
      </c>
      <c r="E11050" s="2">
        <v>4.1243077940325598E-2</v>
      </c>
      <c r="F11050" s="2">
        <v>8.0786765196075902E-2</v>
      </c>
    </row>
    <row r="11051" spans="1:6" x14ac:dyDescent="0.25">
      <c r="A11051" s="1" t="str">
        <f t="shared" si="401"/>
        <v>21340</v>
      </c>
      <c r="B11051" s="1" t="str">
        <f>"79926"</f>
        <v>79926</v>
      </c>
      <c r="C11051" s="2">
        <v>2.1826589329414698E-3</v>
      </c>
      <c r="D11051" s="2">
        <v>4.0448246137524003E-3</v>
      </c>
      <c r="E11051" s="2">
        <v>8.2651458798247703E-5</v>
      </c>
      <c r="F11051" s="2">
        <v>2.2615268639648001E-3</v>
      </c>
    </row>
    <row r="11052" spans="1:6" x14ac:dyDescent="0.25">
      <c r="A11052" s="1" t="str">
        <f t="shared" si="401"/>
        <v>21340</v>
      </c>
      <c r="B11052" s="1" t="str">
        <f>"79946"</f>
        <v>79946</v>
      </c>
      <c r="C11052" s="2">
        <v>3.7096574749598098E-4</v>
      </c>
      <c r="D11052" s="2">
        <v>4.3100590146541998E-4</v>
      </c>
      <c r="E11052" s="2">
        <v>8.2651458798247703E-5</v>
      </c>
      <c r="F11052" s="2">
        <v>3.6666478633442899E-4</v>
      </c>
    </row>
    <row r="11053" spans="1:6" x14ac:dyDescent="0.25">
      <c r="A11053" s="1" t="str">
        <f t="shared" si="401"/>
        <v>21340</v>
      </c>
      <c r="B11053" s="1" t="str">
        <f>"79901"</f>
        <v>79901</v>
      </c>
      <c r="C11053" s="2">
        <v>1.5350505117314299E-2</v>
      </c>
      <c r="D11053" s="2">
        <v>7.9868708971553598E-2</v>
      </c>
      <c r="E11053" s="2">
        <v>6.6121167038598203E-2</v>
      </c>
      <c r="F11053" s="2">
        <v>2.19152722293731E-2</v>
      </c>
    </row>
    <row r="11054" spans="1:6" x14ac:dyDescent="0.25">
      <c r="A11054" s="1" t="str">
        <f t="shared" si="401"/>
        <v>21340</v>
      </c>
      <c r="B11054" s="1" t="str">
        <f>"79915"</f>
        <v>79915</v>
      </c>
      <c r="C11054" s="2">
        <v>3.9897509928366201E-2</v>
      </c>
      <c r="D11054" s="2">
        <v>4.74438034613089E-2</v>
      </c>
      <c r="E11054" s="2">
        <v>4.9425572361352102E-2</v>
      </c>
      <c r="F11054" s="2">
        <v>4.0776713965569401E-2</v>
      </c>
    </row>
    <row r="11055" spans="1:6" x14ac:dyDescent="0.25">
      <c r="A11055" s="1" t="str">
        <f t="shared" si="401"/>
        <v>21340</v>
      </c>
      <c r="B11055" s="1" t="str">
        <f>"79922"</f>
        <v>79922</v>
      </c>
      <c r="C11055" s="2">
        <v>9.1849968798617294E-3</v>
      </c>
      <c r="D11055" s="2">
        <v>1.2897022743849801E-2</v>
      </c>
      <c r="E11055" s="2">
        <v>6.7774196214563098E-3</v>
      </c>
      <c r="F11055" s="2">
        <v>9.3973877057040699E-3</v>
      </c>
    </row>
    <row r="11056" spans="1:6" x14ac:dyDescent="0.25">
      <c r="A11056" s="1" t="str">
        <f t="shared" si="401"/>
        <v>21340</v>
      </c>
      <c r="B11056" s="1" t="str">
        <f>"79917"</f>
        <v>79917</v>
      </c>
      <c r="C11056" s="2">
        <v>4.1841485473383903E-3</v>
      </c>
      <c r="D11056" s="2">
        <v>4.8073735163450598E-3</v>
      </c>
      <c r="E11056" s="2">
        <v>8.2651458798247703E-5</v>
      </c>
      <c r="F11056" s="2">
        <v>4.1051071532966403E-3</v>
      </c>
    </row>
    <row r="11057" spans="1:6" x14ac:dyDescent="0.25">
      <c r="A11057" s="1" t="str">
        <f t="shared" ref="A11057:A11086" si="402">"21340"</f>
        <v>21340</v>
      </c>
      <c r="B11057" s="1" t="str">
        <f>"79945"</f>
        <v>79945</v>
      </c>
      <c r="C11057" s="2">
        <v>3.7671715443390299E-4</v>
      </c>
      <c r="D11057" s="2">
        <v>1.6577150056362299E-4</v>
      </c>
      <c r="E11057" s="2">
        <v>8.2651458798247703E-5</v>
      </c>
      <c r="F11057" s="2">
        <v>3.5128024984487199E-4</v>
      </c>
    </row>
    <row r="11058" spans="1:6" x14ac:dyDescent="0.25">
      <c r="A11058" s="1" t="str">
        <f t="shared" si="402"/>
        <v>21340</v>
      </c>
      <c r="B11058" s="1" t="str">
        <f>"79943"</f>
        <v>79943</v>
      </c>
      <c r="C11058" s="2">
        <v>6.0389772848182905E-4</v>
      </c>
      <c r="D11058" s="2">
        <v>4.3100590146541998E-4</v>
      </c>
      <c r="E11058" s="2">
        <v>8.2651458798247703E-5</v>
      </c>
      <c r="F11058" s="2">
        <v>5.74356028943441E-4</v>
      </c>
    </row>
    <row r="11059" spans="1:6" x14ac:dyDescent="0.25">
      <c r="A11059" s="1" t="str">
        <f t="shared" si="402"/>
        <v>21340</v>
      </c>
      <c r="B11059" s="1" t="str">
        <f>"79912"</f>
        <v>79912</v>
      </c>
      <c r="C11059" s="2">
        <v>9.6019738828610895E-2</v>
      </c>
      <c r="D11059" s="2">
        <v>8.7825740998607502E-2</v>
      </c>
      <c r="E11059" s="2">
        <v>8.3477973386230198E-2</v>
      </c>
      <c r="F11059" s="2">
        <v>9.4996948733596195E-2</v>
      </c>
    </row>
    <row r="11060" spans="1:6" x14ac:dyDescent="0.25">
      <c r="A11060" s="1" t="str">
        <f t="shared" si="402"/>
        <v>21340</v>
      </c>
      <c r="B11060" s="1" t="str">
        <f>"79925"</f>
        <v>79925</v>
      </c>
      <c r="C11060" s="2">
        <v>4.7604395225181902E-2</v>
      </c>
      <c r="D11060" s="2">
        <v>0.113387706385518</v>
      </c>
      <c r="E11060" s="2">
        <v>4.82684519381767E-2</v>
      </c>
      <c r="F11060" s="2">
        <v>5.2712550192050199E-2</v>
      </c>
    </row>
    <row r="11061" spans="1:6" x14ac:dyDescent="0.25">
      <c r="A11061" s="1" t="str">
        <f t="shared" si="402"/>
        <v>21340</v>
      </c>
      <c r="B11061" s="1" t="str">
        <f>"79835"</f>
        <v>79835</v>
      </c>
      <c r="C11061" s="2">
        <v>1.58652560382583E-2</v>
      </c>
      <c r="D11061" s="2">
        <v>1.9362111265831101E-2</v>
      </c>
      <c r="E11061" s="2">
        <v>3.2729977684106099E-2</v>
      </c>
      <c r="F11061" s="2">
        <v>1.66588889287747E-2</v>
      </c>
    </row>
    <row r="11062" spans="1:6" x14ac:dyDescent="0.25">
      <c r="A11062" s="1" t="str">
        <f t="shared" si="402"/>
        <v>21340</v>
      </c>
      <c r="B11062" s="1" t="str">
        <f>"79996"</f>
        <v>79996</v>
      </c>
      <c r="C11062" s="2">
        <v>6.98220802263753E-3</v>
      </c>
      <c r="D11062" s="2">
        <v>1.1073536237650001E-2</v>
      </c>
      <c r="E11062" s="2">
        <v>8.2651458798247703E-5</v>
      </c>
      <c r="F11062" s="2">
        <v>7.0845790534407498E-3</v>
      </c>
    </row>
    <row r="11063" spans="1:6" x14ac:dyDescent="0.25">
      <c r="A11063" s="1" t="str">
        <f t="shared" si="402"/>
        <v>21340</v>
      </c>
      <c r="B11063" s="1" t="str">
        <f>"79968"</f>
        <v>79968</v>
      </c>
      <c r="C11063" s="2">
        <v>0</v>
      </c>
      <c r="D11063" s="2">
        <v>6.6308600225449194E-5</v>
      </c>
      <c r="E11063" s="2">
        <v>8.2651458798247703E-5</v>
      </c>
      <c r="F11063" s="2">
        <v>7.6922682447782306E-6</v>
      </c>
    </row>
    <row r="11064" spans="1:6" x14ac:dyDescent="0.25">
      <c r="A11064" s="1" t="str">
        <f t="shared" si="402"/>
        <v>21340</v>
      </c>
      <c r="B11064" s="1" t="str">
        <f>"79910"</f>
        <v>79910</v>
      </c>
      <c r="C11064" s="2">
        <v>0</v>
      </c>
      <c r="D11064" s="2">
        <v>0</v>
      </c>
      <c r="E11064" s="2">
        <v>1.65302917596495E-4</v>
      </c>
      <c r="F11064" s="2">
        <v>5.1281788298521503E-6</v>
      </c>
    </row>
    <row r="11065" spans="1:6" x14ac:dyDescent="0.25">
      <c r="A11065" s="1" t="str">
        <f t="shared" si="402"/>
        <v>21340</v>
      </c>
      <c r="B11065" s="1" t="str">
        <f>"79941"</f>
        <v>79941</v>
      </c>
      <c r="C11065" s="2">
        <v>1.61039394261821E-4</v>
      </c>
      <c r="D11065" s="2">
        <v>4.9731450169086897E-4</v>
      </c>
      <c r="E11065" s="2">
        <v>8.2651458798247703E-5</v>
      </c>
      <c r="F11065" s="2">
        <v>1.8461443787467699E-4</v>
      </c>
    </row>
    <row r="11066" spans="1:6" x14ac:dyDescent="0.25">
      <c r="A11066" s="1" t="str">
        <f t="shared" si="402"/>
        <v>21340</v>
      </c>
      <c r="B11066" s="1" t="str">
        <f>"79838"</f>
        <v>79838</v>
      </c>
      <c r="C11066" s="2">
        <v>1.15028138758443E-5</v>
      </c>
      <c r="D11066" s="2">
        <v>6.6308600225449194E-5</v>
      </c>
      <c r="E11066" s="2">
        <v>0</v>
      </c>
      <c r="F11066" s="2">
        <v>1.53845364895564E-5</v>
      </c>
    </row>
    <row r="11067" spans="1:6" x14ac:dyDescent="0.25">
      <c r="A11067" s="1" t="str">
        <f t="shared" si="402"/>
        <v>21340</v>
      </c>
      <c r="B11067" s="1" t="str">
        <f>"79934"</f>
        <v>79934</v>
      </c>
      <c r="C11067" s="2">
        <v>3.0424942701608299E-2</v>
      </c>
      <c r="D11067" s="2">
        <v>7.3271003249121402E-3</v>
      </c>
      <c r="E11067" s="2">
        <v>3.8846185635176399E-3</v>
      </c>
      <c r="F11067" s="2">
        <v>2.7815241973118E-2</v>
      </c>
    </row>
    <row r="11068" spans="1:6" x14ac:dyDescent="0.25">
      <c r="A11068" s="1" t="str">
        <f t="shared" si="402"/>
        <v>21340</v>
      </c>
      <c r="B11068" s="1" t="str">
        <f>"79904"</f>
        <v>79904</v>
      </c>
      <c r="C11068" s="2">
        <v>4.1930632280921698E-2</v>
      </c>
      <c r="D11068" s="2">
        <v>2.50978051853325E-2</v>
      </c>
      <c r="E11068" s="2">
        <v>5.1491858831308301E-2</v>
      </c>
      <c r="F11068" s="2">
        <v>4.0925431151635099E-2</v>
      </c>
    </row>
    <row r="11069" spans="1:6" x14ac:dyDescent="0.25">
      <c r="A11069" s="1" t="str">
        <f t="shared" si="402"/>
        <v>21340</v>
      </c>
      <c r="B11069" s="1" t="str">
        <f>"79908"</f>
        <v>79908</v>
      </c>
      <c r="C11069" s="2">
        <v>3.2610477338018799E-3</v>
      </c>
      <c r="D11069" s="2">
        <v>1.6577150056362299E-4</v>
      </c>
      <c r="E11069" s="2">
        <v>2.3390362839904099E-2</v>
      </c>
      <c r="F11069" s="2">
        <v>3.6461351480248801E-3</v>
      </c>
    </row>
    <row r="11070" spans="1:6" x14ac:dyDescent="0.25">
      <c r="A11070" s="1" t="str">
        <f t="shared" si="402"/>
        <v>21340</v>
      </c>
      <c r="B11070" s="1" t="str">
        <f>"79997"</f>
        <v>79997</v>
      </c>
      <c r="C11070" s="2">
        <v>3.2121607748295399E-3</v>
      </c>
      <c r="D11070" s="2">
        <v>8.0564949273920806E-3</v>
      </c>
      <c r="E11070" s="2">
        <v>8.2651458798247703E-5</v>
      </c>
      <c r="F11070" s="2">
        <v>3.4897256937143901E-3</v>
      </c>
    </row>
    <row r="11071" spans="1:6" x14ac:dyDescent="0.25">
      <c r="A11071" s="1" t="str">
        <f t="shared" si="402"/>
        <v>21340</v>
      </c>
      <c r="B11071" s="1" t="str">
        <f>"79940"</f>
        <v>79940</v>
      </c>
      <c r="C11071" s="2">
        <v>7.7643993661949504E-5</v>
      </c>
      <c r="D11071" s="2">
        <v>8.2885750281811495E-4</v>
      </c>
      <c r="E11071" s="2">
        <v>8.2651458798247703E-5</v>
      </c>
      <c r="F11071" s="2">
        <v>1.3589673899108199E-4</v>
      </c>
    </row>
    <row r="11072" spans="1:6" x14ac:dyDescent="0.25">
      <c r="A11072" s="1" t="str">
        <f t="shared" si="402"/>
        <v>21340</v>
      </c>
      <c r="B11072" s="1" t="str">
        <f>"79942"</f>
        <v>79942</v>
      </c>
      <c r="C11072" s="2">
        <v>2.01299242827276E-4</v>
      </c>
      <c r="D11072" s="2">
        <v>5.9677740202904303E-4</v>
      </c>
      <c r="E11072" s="2">
        <v>8.2651458798247703E-5</v>
      </c>
      <c r="F11072" s="2">
        <v>2.2820395792842E-4</v>
      </c>
    </row>
    <row r="11073" spans="1:6" x14ac:dyDescent="0.25">
      <c r="A11073" s="1" t="str">
        <f t="shared" si="402"/>
        <v>21340</v>
      </c>
      <c r="B11073" s="1" t="str">
        <f>"79944"</f>
        <v>79944</v>
      </c>
      <c r="C11073" s="2">
        <v>4.9174529319234695E-4</v>
      </c>
      <c r="D11073" s="2">
        <v>2.9838870101452103E-4</v>
      </c>
      <c r="E11073" s="2">
        <v>8.2651458798247703E-5</v>
      </c>
      <c r="F11073" s="2">
        <v>4.6410018410161899E-4</v>
      </c>
    </row>
    <row r="11074" spans="1:6" x14ac:dyDescent="0.25">
      <c r="A11074" s="1" t="str">
        <f t="shared" si="402"/>
        <v>21340</v>
      </c>
      <c r="B11074" s="1" t="str">
        <f>"79930"</f>
        <v>79930</v>
      </c>
      <c r="C11074" s="2">
        <v>3.5719112787965697E-2</v>
      </c>
      <c r="D11074" s="2">
        <v>1.51515151515151E-2</v>
      </c>
      <c r="E11074" s="2">
        <v>5.6533597818001401E-2</v>
      </c>
      <c r="F11074" s="2">
        <v>3.4774180645227401E-2</v>
      </c>
    </row>
    <row r="11075" spans="1:6" x14ac:dyDescent="0.25">
      <c r="A11075" s="1" t="str">
        <f t="shared" si="402"/>
        <v>21340</v>
      </c>
      <c r="B11075" s="1" t="str">
        <f>"79905"</f>
        <v>79905</v>
      </c>
      <c r="C11075" s="2">
        <v>2.6686528191958901E-2</v>
      </c>
      <c r="D11075" s="2">
        <v>4.57529341555599E-2</v>
      </c>
      <c r="E11075" s="2">
        <v>5.56244317712207E-2</v>
      </c>
      <c r="F11075" s="2">
        <v>2.9058825339357199E-2</v>
      </c>
    </row>
    <row r="11076" spans="1:6" x14ac:dyDescent="0.25">
      <c r="A11076" s="1" t="str">
        <f t="shared" si="402"/>
        <v>21340</v>
      </c>
      <c r="B11076" s="1" t="str">
        <f>"79836"</f>
        <v>79836</v>
      </c>
      <c r="C11076" s="2">
        <v>1.09593059202107E-2</v>
      </c>
      <c r="D11076" s="2">
        <v>3.4812015118360802E-3</v>
      </c>
      <c r="E11076" s="2">
        <v>3.8846185635176399E-3</v>
      </c>
      <c r="F11076" s="2">
        <v>1.0161486351352E-2</v>
      </c>
    </row>
    <row r="11077" spans="1:6" x14ac:dyDescent="0.25">
      <c r="A11077" s="1" t="str">
        <f t="shared" si="402"/>
        <v>21340</v>
      </c>
      <c r="B11077" s="1" t="str">
        <f>"79916"</f>
        <v>79916</v>
      </c>
      <c r="C11077" s="2">
        <v>0</v>
      </c>
      <c r="D11077" s="2">
        <v>8.2885750281811495E-3</v>
      </c>
      <c r="E11077" s="2">
        <v>7.4386312918423003E-4</v>
      </c>
      <c r="F11077" s="2">
        <v>6.6409915846585396E-4</v>
      </c>
    </row>
    <row r="11078" spans="1:6" x14ac:dyDescent="0.25">
      <c r="A11078" s="1" t="str">
        <f t="shared" si="402"/>
        <v>21340</v>
      </c>
      <c r="B11078" s="1" t="str">
        <f>"79951"</f>
        <v>79951</v>
      </c>
      <c r="C11078" s="2">
        <v>6.0389772848182905E-4</v>
      </c>
      <c r="D11078" s="2">
        <v>4.6416020157814402E-4</v>
      </c>
      <c r="E11078" s="2">
        <v>8.2651458798247703E-5</v>
      </c>
      <c r="F11078" s="2">
        <v>5.7692011835836702E-4</v>
      </c>
    </row>
    <row r="11079" spans="1:6" x14ac:dyDescent="0.25">
      <c r="A11079" s="1" t="str">
        <f t="shared" si="402"/>
        <v>21340</v>
      </c>
      <c r="B11079" s="1" t="str">
        <f>"79931"</f>
        <v>79931</v>
      </c>
      <c r="C11079" s="2">
        <v>1.5672583905837899E-3</v>
      </c>
      <c r="D11079" s="2">
        <v>1.8897951064253001E-3</v>
      </c>
      <c r="E11079" s="2">
        <v>8.2651458798247703E-5</v>
      </c>
      <c r="F11079" s="2">
        <v>1.5461459172004201E-3</v>
      </c>
    </row>
    <row r="11080" spans="1:6" x14ac:dyDescent="0.25">
      <c r="A11080" s="1" t="str">
        <f t="shared" si="402"/>
        <v>21340</v>
      </c>
      <c r="B11080" s="1" t="str">
        <f>"79995"</f>
        <v>79995</v>
      </c>
      <c r="C11080" s="2">
        <v>4.4170805283242397E-3</v>
      </c>
      <c r="D11080" s="2">
        <v>6.9955573237848899E-3</v>
      </c>
      <c r="E11080" s="2">
        <v>8.2651458798247703E-5</v>
      </c>
      <c r="F11080" s="2">
        <v>4.4820282972907804E-3</v>
      </c>
    </row>
    <row r="11081" spans="1:6" x14ac:dyDescent="0.25">
      <c r="A11081" s="1" t="str">
        <f t="shared" si="402"/>
        <v>21340</v>
      </c>
      <c r="B11081" s="1" t="str">
        <f>"79928"</f>
        <v>79928</v>
      </c>
      <c r="C11081" s="2">
        <v>7.3137766326087497E-2</v>
      </c>
      <c r="D11081" s="2">
        <v>2.24786154764272E-2</v>
      </c>
      <c r="E11081" s="2">
        <v>1.6860897594842501E-2</v>
      </c>
      <c r="F11081" s="2">
        <v>6.7474012953779694E-2</v>
      </c>
    </row>
    <row r="11082" spans="1:6" x14ac:dyDescent="0.25">
      <c r="A11082" s="1" t="str">
        <f t="shared" si="402"/>
        <v>21340</v>
      </c>
      <c r="B11082" s="1" t="str">
        <f>"79932"</f>
        <v>79932</v>
      </c>
      <c r="C11082" s="2">
        <v>3.2449437943756897E-2</v>
      </c>
      <c r="D11082" s="2">
        <v>2.11192891718055E-2</v>
      </c>
      <c r="E11082" s="2">
        <v>2.13240763699479E-2</v>
      </c>
      <c r="F11082" s="2">
        <v>3.1228044984384602E-2</v>
      </c>
    </row>
    <row r="11083" spans="1:6" x14ac:dyDescent="0.25">
      <c r="A11083" s="1" t="str">
        <f t="shared" si="402"/>
        <v>21340</v>
      </c>
      <c r="B11083" s="1" t="str">
        <f>"79906"</f>
        <v>79906</v>
      </c>
      <c r="C11083" s="2">
        <v>9.9901938511708401E-3</v>
      </c>
      <c r="D11083" s="2">
        <v>8.3548836284065998E-3</v>
      </c>
      <c r="E11083" s="2">
        <v>3.7441110835606202E-2</v>
      </c>
      <c r="F11083" s="2">
        <v>1.0715329664976E-2</v>
      </c>
    </row>
    <row r="11084" spans="1:6" x14ac:dyDescent="0.25">
      <c r="A11084" s="1" t="str">
        <f t="shared" si="402"/>
        <v>21340</v>
      </c>
      <c r="B11084" s="1" t="str">
        <f>"79923"</f>
        <v>79923</v>
      </c>
      <c r="C11084" s="2">
        <v>2.29481136823095E-3</v>
      </c>
      <c r="D11084" s="2">
        <v>5.1389165174723101E-3</v>
      </c>
      <c r="E11084" s="2">
        <v>8.2651458798247703E-5</v>
      </c>
      <c r="F11084" s="2">
        <v>2.4461413018394699E-3</v>
      </c>
    </row>
    <row r="11085" spans="1:6" x14ac:dyDescent="0.25">
      <c r="A11085" s="1" t="str">
        <f t="shared" si="402"/>
        <v>21340</v>
      </c>
      <c r="B11085" s="1" t="str">
        <f>"79851"</f>
        <v>79851</v>
      </c>
      <c r="C11085" s="2">
        <v>0</v>
      </c>
      <c r="D11085" s="2">
        <v>3.3154300112724597E-5</v>
      </c>
      <c r="E11085" s="2">
        <v>0</v>
      </c>
      <c r="F11085" s="2">
        <v>2.5640894149260701E-6</v>
      </c>
    </row>
    <row r="11086" spans="1:6" x14ac:dyDescent="0.25">
      <c r="A11086" s="1" t="str">
        <f t="shared" si="402"/>
        <v>21340</v>
      </c>
      <c r="B11086" s="1" t="str">
        <f>"79954"</f>
        <v>79954</v>
      </c>
      <c r="C11086" s="2">
        <v>3.45084416275331E-4</v>
      </c>
      <c r="D11086" s="2">
        <v>1.3261720045089801E-4</v>
      </c>
      <c r="E11086" s="2">
        <v>8.2651458798247703E-5</v>
      </c>
      <c r="F11086" s="2">
        <v>3.2051117686575901E-4</v>
      </c>
    </row>
    <row r="11087" spans="1:6" x14ac:dyDescent="0.25">
      <c r="A11087" s="1" t="str">
        <f t="shared" ref="A11087:A11104" si="403">"21380"</f>
        <v>21380</v>
      </c>
      <c r="B11087" s="1" t="str">
        <f>"66854"</f>
        <v>66854</v>
      </c>
      <c r="C11087" s="2">
        <v>2.1987686895338601E-2</v>
      </c>
      <c r="D11087" s="2">
        <v>9.3959731543624102E-3</v>
      </c>
      <c r="E11087" s="2">
        <v>6.6793893129770904E-3</v>
      </c>
      <c r="F11087" s="2">
        <v>2.0308731307284101E-2</v>
      </c>
    </row>
    <row r="11088" spans="1:6" x14ac:dyDescent="0.25">
      <c r="A11088" s="1" t="str">
        <f t="shared" si="403"/>
        <v>21380</v>
      </c>
      <c r="B11088" s="1" t="str">
        <f>"66865"</f>
        <v>66865</v>
      </c>
      <c r="C11088" s="2">
        <v>2.86389621811785E-2</v>
      </c>
      <c r="D11088" s="2">
        <v>3.3557046979865702E-3</v>
      </c>
      <c r="E11088" s="2">
        <v>1.90839694656488E-2</v>
      </c>
      <c r="F11088" s="2">
        <v>2.6338639652677201E-2</v>
      </c>
    </row>
    <row r="11089" spans="1:6" x14ac:dyDescent="0.25">
      <c r="A11089" s="1" t="str">
        <f t="shared" si="403"/>
        <v>21380</v>
      </c>
      <c r="B11089" s="1" t="str">
        <f>"66846"</f>
        <v>66846</v>
      </c>
      <c r="C11089" s="2">
        <v>3.7379067722075601E-3</v>
      </c>
      <c r="D11089" s="2">
        <v>0</v>
      </c>
      <c r="E11089" s="2">
        <v>0</v>
      </c>
      <c r="F11089" s="2">
        <v>3.28027013989387E-3</v>
      </c>
    </row>
    <row r="11090" spans="1:6" x14ac:dyDescent="0.25">
      <c r="A11090" s="1" t="str">
        <f t="shared" si="403"/>
        <v>21380</v>
      </c>
      <c r="B11090" s="1" t="str">
        <f>"66840"</f>
        <v>66840</v>
      </c>
      <c r="C11090" s="2">
        <v>1.1543535620052699E-3</v>
      </c>
      <c r="D11090" s="2">
        <v>0</v>
      </c>
      <c r="E11090" s="2">
        <v>0</v>
      </c>
      <c r="F11090" s="2">
        <v>1.0130246020260401E-3</v>
      </c>
    </row>
    <row r="11091" spans="1:6" x14ac:dyDescent="0.25">
      <c r="A11091" s="1" t="str">
        <f t="shared" si="403"/>
        <v>21380</v>
      </c>
      <c r="B11091" s="1" t="str">
        <f>"66523"</f>
        <v>66523</v>
      </c>
      <c r="C11091" s="2">
        <v>8.2453825857519705E-4</v>
      </c>
      <c r="D11091" s="2">
        <v>0</v>
      </c>
      <c r="E11091" s="2">
        <v>0</v>
      </c>
      <c r="F11091" s="2">
        <v>7.2358900144717795E-4</v>
      </c>
    </row>
    <row r="11092" spans="1:6" x14ac:dyDescent="0.25">
      <c r="A11092" s="1" t="str">
        <f t="shared" si="403"/>
        <v>21380</v>
      </c>
      <c r="B11092" s="1" t="str">
        <f>"66843"</f>
        <v>66843</v>
      </c>
      <c r="C11092" s="2">
        <v>7.8056288478451996E-3</v>
      </c>
      <c r="D11092" s="2">
        <v>2.6845637583892599E-3</v>
      </c>
      <c r="E11092" s="2">
        <v>1.90839694656488E-3</v>
      </c>
      <c r="F11092" s="2">
        <v>7.1394114809454796E-3</v>
      </c>
    </row>
    <row r="11093" spans="1:6" x14ac:dyDescent="0.25">
      <c r="A11093" s="1" t="str">
        <f t="shared" si="403"/>
        <v>21380</v>
      </c>
      <c r="B11093" s="1" t="str">
        <f>"66801"</f>
        <v>66801</v>
      </c>
      <c r="C11093" s="2">
        <v>0.78320140721196096</v>
      </c>
      <c r="D11093" s="2">
        <v>0.94228187919463002</v>
      </c>
      <c r="E11093" s="2">
        <v>0.93225190839694605</v>
      </c>
      <c r="F11093" s="2">
        <v>0.80217076700434098</v>
      </c>
    </row>
    <row r="11094" spans="1:6" x14ac:dyDescent="0.25">
      <c r="A11094" s="1" t="str">
        <f t="shared" si="403"/>
        <v>21380</v>
      </c>
      <c r="B11094" s="1" t="str">
        <f>"66858"</f>
        <v>66858</v>
      </c>
      <c r="C11094" s="2">
        <v>2.7484608619173201E-4</v>
      </c>
      <c r="D11094" s="2">
        <v>0</v>
      </c>
      <c r="E11094" s="2">
        <v>0</v>
      </c>
      <c r="F11094" s="2">
        <v>2.4119633381572601E-4</v>
      </c>
    </row>
    <row r="11095" spans="1:6" x14ac:dyDescent="0.25">
      <c r="A11095" s="1" t="str">
        <f t="shared" si="403"/>
        <v>21380</v>
      </c>
      <c r="B11095" s="1" t="str">
        <f>"66860"</f>
        <v>66860</v>
      </c>
      <c r="C11095" s="2">
        <v>3.4080914687774802E-3</v>
      </c>
      <c r="D11095" s="2">
        <v>6.7114093959731497E-4</v>
      </c>
      <c r="E11095" s="2">
        <v>3.81679389312977E-3</v>
      </c>
      <c r="F11095" s="2">
        <v>3.23203087313072E-3</v>
      </c>
    </row>
    <row r="11096" spans="1:6" x14ac:dyDescent="0.25">
      <c r="A11096" s="1" t="str">
        <f t="shared" si="403"/>
        <v>21380</v>
      </c>
      <c r="B11096" s="1" t="str">
        <f>"66869"</f>
        <v>66869</v>
      </c>
      <c r="C11096" s="2">
        <v>1.98988566402814E-2</v>
      </c>
      <c r="D11096" s="2">
        <v>7.3825503355704602E-3</v>
      </c>
      <c r="E11096" s="2">
        <v>3.81679389312977E-3</v>
      </c>
      <c r="F11096" s="2">
        <v>1.8186203569705701E-2</v>
      </c>
    </row>
    <row r="11097" spans="1:6" x14ac:dyDescent="0.25">
      <c r="A11097" s="1" t="str">
        <f t="shared" si="403"/>
        <v>21380</v>
      </c>
      <c r="B11097" s="1" t="str">
        <f>"66845"</f>
        <v>66845</v>
      </c>
      <c r="C11097" s="2">
        <v>2.9353562005277001E-2</v>
      </c>
      <c r="D11097" s="2">
        <v>1.2751677852348899E-2</v>
      </c>
      <c r="E11097" s="2">
        <v>3.81679389312977E-3</v>
      </c>
      <c r="F11097" s="2">
        <v>2.6869271587071801E-2</v>
      </c>
    </row>
    <row r="11098" spans="1:6" x14ac:dyDescent="0.25">
      <c r="A11098" s="1" t="str">
        <f t="shared" si="403"/>
        <v>21380</v>
      </c>
      <c r="B11098" s="1" t="str">
        <f>"66850"</f>
        <v>66850</v>
      </c>
      <c r="C11098" s="2">
        <v>6.8161829375549604E-3</v>
      </c>
      <c r="D11098" s="2">
        <v>2.01342281879194E-3</v>
      </c>
      <c r="E11098" s="2">
        <v>0</v>
      </c>
      <c r="F11098" s="2">
        <v>6.12638687891944E-3</v>
      </c>
    </row>
    <row r="11099" spans="1:6" x14ac:dyDescent="0.25">
      <c r="A11099" s="1" t="str">
        <f t="shared" si="403"/>
        <v>21380</v>
      </c>
      <c r="B11099" s="1" t="str">
        <f>"66833"</f>
        <v>66833</v>
      </c>
      <c r="C11099" s="2">
        <v>1.6105980650835499E-2</v>
      </c>
      <c r="D11099" s="2">
        <v>6.7114093959731497E-4</v>
      </c>
      <c r="E11099" s="2">
        <v>5.7251908396946504E-3</v>
      </c>
      <c r="F11099" s="2">
        <v>1.44717800289435E-2</v>
      </c>
    </row>
    <row r="11100" spans="1:6" x14ac:dyDescent="0.25">
      <c r="A11100" s="1" t="str">
        <f t="shared" si="403"/>
        <v>21380</v>
      </c>
      <c r="B11100" s="1" t="str">
        <f>"66830"</f>
        <v>66830</v>
      </c>
      <c r="C11100" s="2">
        <v>8.1904133685136299E-3</v>
      </c>
      <c r="D11100" s="2">
        <v>5.3691275167785197E-3</v>
      </c>
      <c r="E11100" s="2">
        <v>4.7709923664122104E-3</v>
      </c>
      <c r="F11100" s="2">
        <v>7.8147612156295194E-3</v>
      </c>
    </row>
    <row r="11101" spans="1:6" x14ac:dyDescent="0.25">
      <c r="A11101" s="1" t="str">
        <f t="shared" si="403"/>
        <v>21380</v>
      </c>
      <c r="B11101" s="1" t="str">
        <f>"66868"</f>
        <v>66868</v>
      </c>
      <c r="C11101" s="2">
        <v>1.9294195250659601E-2</v>
      </c>
      <c r="D11101" s="2">
        <v>7.3825503355704602E-3</v>
      </c>
      <c r="E11101" s="2">
        <v>4.7709923664122104E-3</v>
      </c>
      <c r="F11101" s="2">
        <v>1.77038109020742E-2</v>
      </c>
    </row>
    <row r="11102" spans="1:6" x14ac:dyDescent="0.25">
      <c r="A11102" s="1" t="str">
        <f t="shared" si="403"/>
        <v>21380</v>
      </c>
      <c r="B11102" s="1" t="str">
        <f>"66862"</f>
        <v>66862</v>
      </c>
      <c r="C11102" s="2">
        <v>5.1121372031662201E-3</v>
      </c>
      <c r="D11102" s="2">
        <v>1.3422818791946299E-3</v>
      </c>
      <c r="E11102" s="2">
        <v>9.5419847328244195E-4</v>
      </c>
      <c r="F11102" s="2">
        <v>4.6309696092619304E-3</v>
      </c>
    </row>
    <row r="11103" spans="1:6" x14ac:dyDescent="0.25">
      <c r="A11103" s="1" t="str">
        <f t="shared" si="403"/>
        <v>21380</v>
      </c>
      <c r="B11103" s="1" t="str">
        <f>"66864"</f>
        <v>66864</v>
      </c>
      <c r="C11103" s="2">
        <v>1.1543535620052701E-2</v>
      </c>
      <c r="D11103" s="2">
        <v>3.3557046979865702E-3</v>
      </c>
      <c r="E11103" s="2">
        <v>1.90839694656488E-3</v>
      </c>
      <c r="F11103" s="2">
        <v>1.0467920887602501E-2</v>
      </c>
    </row>
    <row r="11104" spans="1:6" x14ac:dyDescent="0.25">
      <c r="A11104" s="1" t="str">
        <f t="shared" si="403"/>
        <v>21380</v>
      </c>
      <c r="B11104" s="1" t="str">
        <f>"66835"</f>
        <v>66835</v>
      </c>
      <c r="C11104" s="2">
        <v>3.2651715039577797E-2</v>
      </c>
      <c r="D11104" s="2">
        <v>1.3422818791946299E-3</v>
      </c>
      <c r="E11104" s="2">
        <v>1.0496183206106799E-2</v>
      </c>
      <c r="F11104" s="2">
        <v>2.9281234925229101E-2</v>
      </c>
    </row>
    <row r="11105" spans="1:6" x14ac:dyDescent="0.25">
      <c r="A11105" s="1" t="str">
        <f t="shared" ref="A11105:A11128" si="404">"21420"</f>
        <v>21420</v>
      </c>
      <c r="B11105" s="1" t="str">
        <f>"73736"</f>
        <v>73736</v>
      </c>
      <c r="C11105" s="2">
        <v>5.7807180936476302E-3</v>
      </c>
      <c r="D11105" s="2">
        <v>1.1353959693442999E-3</v>
      </c>
      <c r="E11105" s="2">
        <v>2.1141649048625698E-3</v>
      </c>
      <c r="F11105" s="2">
        <v>5.2655547333067603E-3</v>
      </c>
    </row>
    <row r="11106" spans="1:6" x14ac:dyDescent="0.25">
      <c r="A11106" s="1" t="str">
        <f t="shared" si="404"/>
        <v>21420</v>
      </c>
      <c r="B11106" s="1" t="str">
        <f>"73702"</f>
        <v>73702</v>
      </c>
      <c r="C11106" s="2">
        <v>5.2829340355835301E-2</v>
      </c>
      <c r="D11106" s="2">
        <v>0.151007663922793</v>
      </c>
      <c r="E11106" s="2">
        <v>0</v>
      </c>
      <c r="F11106" s="2">
        <v>6.1962771104912599E-2</v>
      </c>
    </row>
    <row r="11107" spans="1:6" x14ac:dyDescent="0.25">
      <c r="A11107" s="1" t="str">
        <f t="shared" si="404"/>
        <v>21420</v>
      </c>
      <c r="B11107" s="1" t="str">
        <f>"73738"</f>
        <v>73738</v>
      </c>
      <c r="C11107" s="2">
        <v>9.31337915087674E-3</v>
      </c>
      <c r="D11107" s="2">
        <v>2.2707919386886098E-3</v>
      </c>
      <c r="E11107" s="2">
        <v>2.1141649048625698E-3</v>
      </c>
      <c r="F11107" s="2">
        <v>8.5102749473444494E-3</v>
      </c>
    </row>
    <row r="11108" spans="1:6" x14ac:dyDescent="0.25">
      <c r="A11108" s="1" t="str">
        <f t="shared" si="404"/>
        <v>21420</v>
      </c>
      <c r="B11108" s="1" t="str">
        <f>"73753"</f>
        <v>73753</v>
      </c>
      <c r="C11108" s="2">
        <v>5.5237972894855098E-3</v>
      </c>
      <c r="D11108" s="2">
        <v>1.7030939540164599E-3</v>
      </c>
      <c r="E11108" s="2">
        <v>0</v>
      </c>
      <c r="F11108" s="2">
        <v>5.0663175271816402E-3</v>
      </c>
    </row>
    <row r="11109" spans="1:6" x14ac:dyDescent="0.25">
      <c r="A11109" s="1" t="str">
        <f t="shared" si="404"/>
        <v>21420</v>
      </c>
      <c r="B11109" s="1" t="str">
        <f>"73718"</f>
        <v>73718</v>
      </c>
      <c r="C11109" s="2">
        <v>7.7076241248635099E-4</v>
      </c>
      <c r="D11109" s="2">
        <v>0</v>
      </c>
      <c r="E11109" s="2">
        <v>0</v>
      </c>
      <c r="F11109" s="2">
        <v>6.8309899242898603E-4</v>
      </c>
    </row>
    <row r="11110" spans="1:6" x14ac:dyDescent="0.25">
      <c r="A11110" s="1" t="str">
        <f t="shared" si="404"/>
        <v>21420</v>
      </c>
      <c r="B11110" s="1" t="str">
        <f>"73056"</f>
        <v>73056</v>
      </c>
      <c r="C11110" s="2">
        <v>1.6057550260132299E-3</v>
      </c>
      <c r="D11110" s="2">
        <v>1.1353959693442999E-3</v>
      </c>
      <c r="E11110" s="2">
        <v>0</v>
      </c>
      <c r="F11110" s="2">
        <v>1.53697273296521E-3</v>
      </c>
    </row>
    <row r="11111" spans="1:6" x14ac:dyDescent="0.25">
      <c r="A11111" s="1" t="str">
        <f t="shared" si="404"/>
        <v>21420</v>
      </c>
      <c r="B11111" s="1" t="str">
        <f>"73705"</f>
        <v>73705</v>
      </c>
      <c r="C11111" s="2">
        <v>5.6843727920868302E-3</v>
      </c>
      <c r="D11111" s="2">
        <v>2.32756173715583E-2</v>
      </c>
      <c r="E11111" s="2">
        <v>2.7484143763213498E-2</v>
      </c>
      <c r="F11111" s="2">
        <v>7.7417885808618398E-3</v>
      </c>
    </row>
    <row r="11112" spans="1:6" x14ac:dyDescent="0.25">
      <c r="A11112" s="1" t="str">
        <f t="shared" si="404"/>
        <v>21420</v>
      </c>
      <c r="B11112" s="1" t="str">
        <f>"73754"</f>
        <v>73754</v>
      </c>
      <c r="C11112" s="2">
        <v>2.6494957929218299E-2</v>
      </c>
      <c r="D11112" s="2">
        <v>1.7030939540164599E-3</v>
      </c>
      <c r="E11112" s="2">
        <v>8.4566596194503105E-3</v>
      </c>
      <c r="F11112" s="2">
        <v>2.3766152444925099E-2</v>
      </c>
    </row>
    <row r="11113" spans="1:6" x14ac:dyDescent="0.25">
      <c r="A11113" s="1" t="str">
        <f t="shared" si="404"/>
        <v>21420</v>
      </c>
      <c r="B11113" s="1" t="str">
        <f>"73703"</f>
        <v>73703</v>
      </c>
      <c r="C11113" s="2">
        <v>0.46672875586100498</v>
      </c>
      <c r="D11113" s="2">
        <v>0.329264831109849</v>
      </c>
      <c r="E11113" s="2">
        <v>0.47357293868921702</v>
      </c>
      <c r="F11113" s="2">
        <v>0.453036944270507</v>
      </c>
    </row>
    <row r="11114" spans="1:6" x14ac:dyDescent="0.25">
      <c r="A11114" s="1" t="str">
        <f t="shared" si="404"/>
        <v>21420</v>
      </c>
      <c r="B11114" s="1" t="str">
        <f>"74640"</f>
        <v>74640</v>
      </c>
      <c r="C11114" s="2">
        <v>4.2070781681546598E-3</v>
      </c>
      <c r="D11114" s="2">
        <v>1.4192449616803799E-3</v>
      </c>
      <c r="E11114" s="2">
        <v>2.1141649048625698E-3</v>
      </c>
      <c r="F11114" s="2">
        <v>3.89935674844879E-3</v>
      </c>
    </row>
    <row r="11115" spans="1:6" x14ac:dyDescent="0.25">
      <c r="A11115" s="1" t="str">
        <f t="shared" si="404"/>
        <v>21420</v>
      </c>
      <c r="B11115" s="1" t="str">
        <f>"73727"</f>
        <v>73727</v>
      </c>
      <c r="C11115" s="2">
        <v>2.6976684437022198E-3</v>
      </c>
      <c r="D11115" s="2">
        <v>5.6769798467215396E-4</v>
      </c>
      <c r="E11115" s="2">
        <v>2.1141649048625698E-3</v>
      </c>
      <c r="F11115" s="2">
        <v>2.47623384755507E-3</v>
      </c>
    </row>
    <row r="11116" spans="1:6" x14ac:dyDescent="0.25">
      <c r="A11116" s="1" t="str">
        <f t="shared" si="404"/>
        <v>21420</v>
      </c>
      <c r="B11116" s="1" t="str">
        <f>"73743"</f>
        <v>73743</v>
      </c>
      <c r="C11116" s="2">
        <v>3.2115100520264597E-5</v>
      </c>
      <c r="D11116" s="2">
        <v>0</v>
      </c>
      <c r="E11116" s="2">
        <v>2.1141649048625698E-3</v>
      </c>
      <c r="F11116" s="2">
        <v>5.69249160357488E-5</v>
      </c>
    </row>
    <row r="11117" spans="1:6" x14ac:dyDescent="0.25">
      <c r="A11117" s="1" t="str">
        <f t="shared" si="404"/>
        <v>21420</v>
      </c>
      <c r="B11117" s="1" t="str">
        <f>"73757"</f>
        <v>73757</v>
      </c>
      <c r="C11117" s="2">
        <v>4.1749630676344001E-4</v>
      </c>
      <c r="D11117" s="2">
        <v>0</v>
      </c>
      <c r="E11117" s="2">
        <v>0</v>
      </c>
      <c r="F11117" s="2">
        <v>3.7001195423236701E-4</v>
      </c>
    </row>
    <row r="11118" spans="1:6" x14ac:dyDescent="0.25">
      <c r="A11118" s="1" t="str">
        <f t="shared" si="404"/>
        <v>21420</v>
      </c>
      <c r="B11118" s="1" t="str">
        <f>"73720"</f>
        <v>73720</v>
      </c>
      <c r="C11118" s="2">
        <v>3.5326610572290998E-3</v>
      </c>
      <c r="D11118" s="2">
        <v>0</v>
      </c>
      <c r="E11118" s="2">
        <v>2.1141649048625698E-3</v>
      </c>
      <c r="F11118" s="2">
        <v>3.1593328399840601E-3</v>
      </c>
    </row>
    <row r="11119" spans="1:6" x14ac:dyDescent="0.25">
      <c r="A11119" s="1" t="str">
        <f t="shared" si="404"/>
        <v>21420</v>
      </c>
      <c r="B11119" s="1" t="str">
        <f>"73742"</f>
        <v>73742</v>
      </c>
      <c r="C11119" s="2">
        <v>1.2846040208105801E-4</v>
      </c>
      <c r="D11119" s="2">
        <v>0</v>
      </c>
      <c r="E11119" s="2">
        <v>0</v>
      </c>
      <c r="F11119" s="2">
        <v>1.13849832071497E-4</v>
      </c>
    </row>
    <row r="11120" spans="1:6" x14ac:dyDescent="0.25">
      <c r="A11120" s="1" t="str">
        <f t="shared" si="404"/>
        <v>21420</v>
      </c>
      <c r="B11120" s="1" t="str">
        <f>"74630"</f>
        <v>74630</v>
      </c>
      <c r="C11120" s="2">
        <v>4.8172650780396899E-4</v>
      </c>
      <c r="D11120" s="2">
        <v>0</v>
      </c>
      <c r="E11120" s="2">
        <v>0</v>
      </c>
      <c r="F11120" s="2">
        <v>4.2693687026811597E-4</v>
      </c>
    </row>
    <row r="11121" spans="1:6" x14ac:dyDescent="0.25">
      <c r="A11121" s="1" t="str">
        <f t="shared" si="404"/>
        <v>21420</v>
      </c>
      <c r="B11121" s="1" t="str">
        <f>"73733"</f>
        <v>73733</v>
      </c>
      <c r="C11121" s="2">
        <v>3.6290063587898999E-3</v>
      </c>
      <c r="D11121" s="2">
        <v>8.5154697700823105E-4</v>
      </c>
      <c r="E11121" s="2">
        <v>2.1141649048625698E-3</v>
      </c>
      <c r="F11121" s="2">
        <v>3.3301075880913002E-3</v>
      </c>
    </row>
    <row r="11122" spans="1:6" x14ac:dyDescent="0.25">
      <c r="A11122" s="1" t="str">
        <f t="shared" si="404"/>
        <v>21420</v>
      </c>
      <c r="B11122" s="1" t="str">
        <f>"73773"</f>
        <v>73773</v>
      </c>
      <c r="C11122" s="2">
        <v>3.9790609544607801E-2</v>
      </c>
      <c r="D11122" s="2">
        <v>1.39086006244677E-2</v>
      </c>
      <c r="E11122" s="2">
        <v>1.90274841437632E-2</v>
      </c>
      <c r="F11122" s="2">
        <v>3.6915808049183103E-2</v>
      </c>
    </row>
    <row r="11123" spans="1:6" x14ac:dyDescent="0.25">
      <c r="A11123" s="1" t="str">
        <f t="shared" si="404"/>
        <v>21420</v>
      </c>
      <c r="B11123" s="1" t="str">
        <f>"73739"</f>
        <v>73739</v>
      </c>
      <c r="C11123" s="2">
        <v>6.10186909885027E-4</v>
      </c>
      <c r="D11123" s="2">
        <v>0</v>
      </c>
      <c r="E11123" s="2">
        <v>0</v>
      </c>
      <c r="F11123" s="2">
        <v>5.4078670233961401E-4</v>
      </c>
    </row>
    <row r="11124" spans="1:6" x14ac:dyDescent="0.25">
      <c r="A11124" s="1" t="str">
        <f t="shared" si="404"/>
        <v>21420</v>
      </c>
      <c r="B11124" s="1" t="str">
        <f>"73761"</f>
        <v>73761</v>
      </c>
      <c r="C11124" s="2">
        <v>8.0287751300661496E-4</v>
      </c>
      <c r="D11124" s="2">
        <v>0</v>
      </c>
      <c r="E11124" s="2">
        <v>0</v>
      </c>
      <c r="F11124" s="2">
        <v>7.1156145044686003E-4</v>
      </c>
    </row>
    <row r="11125" spans="1:6" x14ac:dyDescent="0.25">
      <c r="A11125" s="1" t="str">
        <f t="shared" si="404"/>
        <v>21420</v>
      </c>
      <c r="B11125" s="1" t="str">
        <f>"73735"</f>
        <v>73735</v>
      </c>
      <c r="C11125" s="2">
        <v>5.8449482946881601E-3</v>
      </c>
      <c r="D11125" s="2">
        <v>2.8384899233607698E-4</v>
      </c>
      <c r="E11125" s="2">
        <v>2.1141649048625698E-3</v>
      </c>
      <c r="F11125" s="2">
        <v>5.2370922752888903E-3</v>
      </c>
    </row>
    <row r="11126" spans="1:6" x14ac:dyDescent="0.25">
      <c r="A11126" s="1" t="str">
        <f t="shared" si="404"/>
        <v>21420</v>
      </c>
      <c r="B11126" s="1" t="str">
        <f>"73730"</f>
        <v>73730</v>
      </c>
      <c r="C11126" s="2">
        <v>4.56034427387757E-3</v>
      </c>
      <c r="D11126" s="2">
        <v>1.4192449616803799E-3</v>
      </c>
      <c r="E11126" s="2">
        <v>2.1141649048625698E-3</v>
      </c>
      <c r="F11126" s="2">
        <v>4.21244378664541E-3</v>
      </c>
    </row>
    <row r="11127" spans="1:6" x14ac:dyDescent="0.25">
      <c r="A11127" s="1" t="str">
        <f t="shared" si="404"/>
        <v>21420</v>
      </c>
      <c r="B11127" s="1" t="str">
        <f>"73073"</f>
        <v>73073</v>
      </c>
      <c r="C11127" s="2">
        <v>7.0653221144582098E-4</v>
      </c>
      <c r="D11127" s="2">
        <v>2.8384899233607698E-4</v>
      </c>
      <c r="E11127" s="2">
        <v>0</v>
      </c>
      <c r="F11127" s="2">
        <v>6.5463653441111096E-4</v>
      </c>
    </row>
    <row r="11128" spans="1:6" x14ac:dyDescent="0.25">
      <c r="A11128" s="1" t="str">
        <f t="shared" si="404"/>
        <v>21420</v>
      </c>
      <c r="B11128" s="1" t="str">
        <f>"73701"</f>
        <v>73701</v>
      </c>
      <c r="C11128" s="2">
        <v>0.35782644999678798</v>
      </c>
      <c r="D11128" s="2">
        <v>0.46977008231620698</v>
      </c>
      <c r="E11128" s="2">
        <v>0.45243128964059098</v>
      </c>
      <c r="F11128" s="2">
        <v>0.37032504127056398</v>
      </c>
    </row>
    <row r="11129" spans="1:6" x14ac:dyDescent="0.25">
      <c r="A11129" s="1" t="str">
        <f t="shared" ref="A11129:A11144" si="405">"21460"</f>
        <v>21460</v>
      </c>
      <c r="B11129" s="1" t="str">
        <f>"36311"</f>
        <v>36311</v>
      </c>
      <c r="C11129" s="2">
        <v>4.2858198477795E-3</v>
      </c>
      <c r="D11129" s="2">
        <v>0</v>
      </c>
      <c r="E11129" s="2">
        <v>0</v>
      </c>
      <c r="F11129" s="2">
        <v>3.8815459260498498E-3</v>
      </c>
    </row>
    <row r="11130" spans="1:6" x14ac:dyDescent="0.25">
      <c r="A11130" s="1" t="str">
        <f t="shared" si="405"/>
        <v>21460</v>
      </c>
      <c r="B11130" s="1" t="str">
        <f>"36322"</f>
        <v>36322</v>
      </c>
      <c r="C11130" s="2">
        <v>1.9581763097613202E-3</v>
      </c>
      <c r="D11130" s="2">
        <v>4.6511627906976698E-4</v>
      </c>
      <c r="E11130" s="2">
        <v>0</v>
      </c>
      <c r="F11130" s="2">
        <v>1.80692655178183E-3</v>
      </c>
    </row>
    <row r="11131" spans="1:6" x14ac:dyDescent="0.25">
      <c r="A11131" s="1" t="str">
        <f t="shared" si="405"/>
        <v>21460</v>
      </c>
      <c r="B11131" s="1" t="str">
        <f>"36477"</f>
        <v>36477</v>
      </c>
      <c r="C11131" s="2">
        <v>6.3178896031921899E-3</v>
      </c>
      <c r="D11131" s="2">
        <v>4.1860465116279003E-3</v>
      </c>
      <c r="E11131" s="2">
        <v>1.4947683109118E-3</v>
      </c>
      <c r="F11131" s="2">
        <v>6.0565501087501998E-3</v>
      </c>
    </row>
    <row r="11132" spans="1:6" x14ac:dyDescent="0.25">
      <c r="A11132" s="1" t="str">
        <f t="shared" si="405"/>
        <v>21460</v>
      </c>
      <c r="B11132" s="1" t="str">
        <f>"36323"</f>
        <v>36323</v>
      </c>
      <c r="C11132" s="2">
        <v>0.163969555900391</v>
      </c>
      <c r="D11132" s="2">
        <v>0.15023255813953401</v>
      </c>
      <c r="E11132" s="2">
        <v>0.18236173393124</v>
      </c>
      <c r="F11132" s="2">
        <v>0.16339300652501201</v>
      </c>
    </row>
    <row r="11133" spans="1:6" x14ac:dyDescent="0.25">
      <c r="A11133" s="1" t="str">
        <f t="shared" si="405"/>
        <v>21460</v>
      </c>
      <c r="B11133" s="1" t="str">
        <f>"36330"</f>
        <v>36330</v>
      </c>
      <c r="C11133" s="2">
        <v>0.62410404197147695</v>
      </c>
      <c r="D11133" s="2">
        <v>0.74465116279069699</v>
      </c>
      <c r="E11133" s="2">
        <v>0.79820627802690503</v>
      </c>
      <c r="F11133" s="2">
        <v>0.63667391668060902</v>
      </c>
    </row>
    <row r="11134" spans="1:6" x14ac:dyDescent="0.25">
      <c r="A11134" s="1" t="str">
        <f t="shared" si="405"/>
        <v>21460</v>
      </c>
      <c r="B11134" s="1" t="str">
        <f>"36009"</f>
        <v>36009</v>
      </c>
      <c r="C11134" s="2">
        <v>2.14290992388975E-3</v>
      </c>
      <c r="D11134" s="2">
        <v>4.6511627906976698E-4</v>
      </c>
      <c r="E11134" s="2">
        <v>1.4947683109118E-3</v>
      </c>
      <c r="F11134" s="2">
        <v>2.0076961686464698E-3</v>
      </c>
    </row>
    <row r="11135" spans="1:6" x14ac:dyDescent="0.25">
      <c r="A11135" s="1" t="str">
        <f t="shared" si="405"/>
        <v>21460</v>
      </c>
      <c r="B11135" s="1" t="str">
        <f>"36034"</f>
        <v>36034</v>
      </c>
      <c r="C11135" s="2">
        <v>5.2464346412473203E-3</v>
      </c>
      <c r="D11135" s="2">
        <v>4.6511627906976698E-4</v>
      </c>
      <c r="E11135" s="2">
        <v>7.4738415545590403E-3</v>
      </c>
      <c r="F11135" s="2">
        <v>4.9523172159946401E-3</v>
      </c>
    </row>
    <row r="11136" spans="1:6" x14ac:dyDescent="0.25">
      <c r="A11136" s="1" t="str">
        <f t="shared" si="405"/>
        <v>21460</v>
      </c>
      <c r="B11136" s="1" t="str">
        <f>"36467"</f>
        <v>36467</v>
      </c>
      <c r="C11136" s="2">
        <v>6.9829306140545304E-3</v>
      </c>
      <c r="D11136" s="2">
        <v>0</v>
      </c>
      <c r="E11136" s="2">
        <v>0</v>
      </c>
      <c r="F11136" s="2">
        <v>6.3242429312364004E-3</v>
      </c>
    </row>
    <row r="11137" spans="1:6" x14ac:dyDescent="0.25">
      <c r="A11137" s="1" t="str">
        <f t="shared" si="405"/>
        <v>21460</v>
      </c>
      <c r="B11137" s="1" t="str">
        <f>"36010"</f>
        <v>36010</v>
      </c>
      <c r="C11137" s="2">
        <v>1.52220498041823E-2</v>
      </c>
      <c r="D11137" s="2">
        <v>5.1162790697674397E-3</v>
      </c>
      <c r="E11137" s="2">
        <v>0</v>
      </c>
      <c r="F11137" s="2">
        <v>1.41542579889576E-2</v>
      </c>
    </row>
    <row r="11138" spans="1:6" x14ac:dyDescent="0.25">
      <c r="A11138" s="1" t="str">
        <f t="shared" si="405"/>
        <v>21460</v>
      </c>
      <c r="B11138" s="1" t="str">
        <f>"36360"</f>
        <v>36360</v>
      </c>
      <c r="C11138" s="2">
        <v>3.6946722825685299E-4</v>
      </c>
      <c r="D11138" s="2">
        <v>0</v>
      </c>
      <c r="E11138" s="2">
        <v>0</v>
      </c>
      <c r="F11138" s="2">
        <v>3.3461602810774599E-4</v>
      </c>
    </row>
    <row r="11139" spans="1:6" x14ac:dyDescent="0.25">
      <c r="A11139" s="1" t="str">
        <f t="shared" si="405"/>
        <v>21460</v>
      </c>
      <c r="B11139" s="1" t="str">
        <f>"36346"</f>
        <v>36346</v>
      </c>
      <c r="C11139" s="2">
        <v>3.0296312717061898E-2</v>
      </c>
      <c r="D11139" s="2">
        <v>9.7674418604651106E-3</v>
      </c>
      <c r="E11139" s="2">
        <v>2.9895366218236101E-3</v>
      </c>
      <c r="F11139" s="2">
        <v>2.8208131169483001E-2</v>
      </c>
    </row>
    <row r="11140" spans="1:6" x14ac:dyDescent="0.25">
      <c r="A11140" s="1" t="str">
        <f t="shared" si="405"/>
        <v>21460</v>
      </c>
      <c r="B11140" s="1" t="str">
        <f>"36351"</f>
        <v>36351</v>
      </c>
      <c r="C11140" s="2">
        <v>8.0026601640434403E-2</v>
      </c>
      <c r="D11140" s="2">
        <v>5.8604651162790601E-2</v>
      </c>
      <c r="E11140" s="2">
        <v>2.9895366218236101E-3</v>
      </c>
      <c r="F11140" s="2">
        <v>7.6760916847916999E-2</v>
      </c>
    </row>
    <row r="11141" spans="1:6" x14ac:dyDescent="0.25">
      <c r="A11141" s="1" t="str">
        <f t="shared" si="405"/>
        <v>21460</v>
      </c>
      <c r="B11141" s="1" t="str">
        <f>"36316"</f>
        <v>36316</v>
      </c>
      <c r="C11141" s="2">
        <v>1.8177787630237099E-2</v>
      </c>
      <c r="D11141" s="2">
        <v>8.8372093023255799E-3</v>
      </c>
      <c r="E11141" s="2">
        <v>0</v>
      </c>
      <c r="F11141" s="2">
        <v>1.70988790363058E-2</v>
      </c>
    </row>
    <row r="11142" spans="1:6" x14ac:dyDescent="0.25">
      <c r="A11142" s="1" t="str">
        <f t="shared" si="405"/>
        <v>21460</v>
      </c>
      <c r="B11142" s="1" t="str">
        <f>"36079"</f>
        <v>36079</v>
      </c>
      <c r="C11142" s="2">
        <v>8.9041602009901702E-3</v>
      </c>
      <c r="D11142" s="2">
        <v>2.7906976744185999E-3</v>
      </c>
      <c r="E11142" s="2">
        <v>0</v>
      </c>
      <c r="F11142" s="2">
        <v>8.2650158942613305E-3</v>
      </c>
    </row>
    <row r="11143" spans="1:6" x14ac:dyDescent="0.25">
      <c r="A11143" s="1" t="str">
        <f t="shared" si="405"/>
        <v>21460</v>
      </c>
      <c r="B11143" s="1" t="str">
        <f>"36453"</f>
        <v>36453</v>
      </c>
      <c r="C11143" s="2">
        <v>2.46434641247321E-2</v>
      </c>
      <c r="D11143" s="2">
        <v>1.3953488372093001E-2</v>
      </c>
      <c r="E11143" s="2">
        <v>2.9895366218236101E-3</v>
      </c>
      <c r="F11143" s="2">
        <v>2.3389660364731401E-2</v>
      </c>
    </row>
    <row r="11144" spans="1:6" x14ac:dyDescent="0.25">
      <c r="A11144" s="1" t="str">
        <f t="shared" si="405"/>
        <v>21460</v>
      </c>
      <c r="B11144" s="1" t="str">
        <f>"36318"</f>
        <v>36318</v>
      </c>
      <c r="C11144" s="2">
        <v>7.3523978423113796E-3</v>
      </c>
      <c r="D11144" s="2">
        <v>4.6511627906976698E-4</v>
      </c>
      <c r="E11144" s="2">
        <v>0</v>
      </c>
      <c r="F11144" s="2">
        <v>6.6923205621549197E-3</v>
      </c>
    </row>
    <row r="11145" spans="1:6" x14ac:dyDescent="0.25">
      <c r="A11145" s="1" t="str">
        <f t="shared" ref="A11145:A11189" si="406">"21500"</f>
        <v>21500</v>
      </c>
      <c r="B11145" s="1" t="str">
        <f>"16403"</f>
        <v>16403</v>
      </c>
      <c r="C11145" s="2">
        <v>1.15624331794315E-3</v>
      </c>
      <c r="D11145" s="2">
        <v>2.7593818984547402E-4</v>
      </c>
      <c r="E11145" s="2">
        <v>0</v>
      </c>
      <c r="F11145" s="2">
        <v>1.0375755549984599E-3</v>
      </c>
    </row>
    <row r="11146" spans="1:6" x14ac:dyDescent="0.25">
      <c r="A11146" s="1" t="str">
        <f t="shared" si="406"/>
        <v>21500</v>
      </c>
      <c r="B11146" s="1" t="str">
        <f>"16563"</f>
        <v>16563</v>
      </c>
      <c r="C11146" s="2">
        <v>0</v>
      </c>
      <c r="D11146" s="2">
        <v>3.1272994849153701E-3</v>
      </c>
      <c r="E11146" s="2">
        <v>2.63117164525615E-3</v>
      </c>
      <c r="F11146" s="2">
        <v>3.55143310771287E-4</v>
      </c>
    </row>
    <row r="11147" spans="1:6" x14ac:dyDescent="0.25">
      <c r="A11147" s="1" t="str">
        <f t="shared" si="406"/>
        <v>21500</v>
      </c>
      <c r="B11147" s="1" t="str">
        <f>"16546"</f>
        <v>16546</v>
      </c>
      <c r="C11147" s="2">
        <v>1.1087264692605499E-4</v>
      </c>
      <c r="D11147" s="2">
        <v>9.1979396615158204E-5</v>
      </c>
      <c r="E11147" s="2">
        <v>3.0954960532425302E-4</v>
      </c>
      <c r="F11147" s="2">
        <v>1.18381103590429E-4</v>
      </c>
    </row>
    <row r="11148" spans="1:6" x14ac:dyDescent="0.25">
      <c r="A11148" s="1" t="str">
        <f t="shared" si="406"/>
        <v>21500</v>
      </c>
      <c r="B11148" s="1" t="str">
        <f>"16427"</f>
        <v>16427</v>
      </c>
      <c r="C11148" s="2">
        <v>0</v>
      </c>
      <c r="D11148" s="2">
        <v>0</v>
      </c>
      <c r="E11148" s="2">
        <v>1.5477480266212599E-4</v>
      </c>
      <c r="F11148" s="2">
        <v>6.9635943288487697E-6</v>
      </c>
    </row>
    <row r="11149" spans="1:6" x14ac:dyDescent="0.25">
      <c r="A11149" s="1" t="str">
        <f t="shared" si="406"/>
        <v>21500</v>
      </c>
      <c r="B11149" s="1" t="str">
        <f>"16415"</f>
        <v>16415</v>
      </c>
      <c r="C11149" s="2">
        <v>3.0410783156861E-2</v>
      </c>
      <c r="D11149" s="2">
        <v>1.9683590875643801E-2</v>
      </c>
      <c r="E11149" s="2">
        <v>6.0362173038229303E-3</v>
      </c>
      <c r="F11149" s="2">
        <v>2.8501991587978E-2</v>
      </c>
    </row>
    <row r="11150" spans="1:6" x14ac:dyDescent="0.25">
      <c r="A11150" s="1" t="str">
        <f t="shared" si="406"/>
        <v>21500</v>
      </c>
      <c r="B11150" s="1" t="str">
        <f>"16544"</f>
        <v>16544</v>
      </c>
      <c r="C11150" s="2">
        <v>0</v>
      </c>
      <c r="D11150" s="2">
        <v>1.83958793230316E-4</v>
      </c>
      <c r="E11150" s="2">
        <v>1.5477480266212599E-4</v>
      </c>
      <c r="F11150" s="2">
        <v>2.0890782986546301E-5</v>
      </c>
    </row>
    <row r="11151" spans="1:6" x14ac:dyDescent="0.25">
      <c r="A11151" s="1" t="str">
        <f t="shared" si="406"/>
        <v>21500</v>
      </c>
      <c r="B11151" s="1" t="str">
        <f>"16443"</f>
        <v>16443</v>
      </c>
      <c r="C11151" s="2">
        <v>4.7675238178204E-3</v>
      </c>
      <c r="D11151" s="2">
        <v>1.83958793230316E-3</v>
      </c>
      <c r="E11151" s="2">
        <v>1.85729763194551E-3</v>
      </c>
      <c r="F11151" s="2">
        <v>4.4149188044901198E-3</v>
      </c>
    </row>
    <row r="11152" spans="1:6" x14ac:dyDescent="0.25">
      <c r="A11152" s="1" t="str">
        <f t="shared" si="406"/>
        <v>21500</v>
      </c>
      <c r="B11152" s="1" t="str">
        <f>"16430"</f>
        <v>16430</v>
      </c>
      <c r="C11152" s="2">
        <v>4.6724901204552098E-4</v>
      </c>
      <c r="D11152" s="2">
        <v>1.83958793230316E-4</v>
      </c>
      <c r="E11152" s="2">
        <v>1.5477480266212599E-4</v>
      </c>
      <c r="F11152" s="2">
        <v>4.3174284838862399E-4</v>
      </c>
    </row>
    <row r="11153" spans="1:6" x14ac:dyDescent="0.25">
      <c r="A11153" s="1" t="str">
        <f t="shared" si="406"/>
        <v>21500</v>
      </c>
      <c r="B11153" s="1" t="str">
        <f>"16501"</f>
        <v>16501</v>
      </c>
      <c r="C11153" s="2">
        <v>1.1728742149820601E-2</v>
      </c>
      <c r="D11153" s="2">
        <v>0.107247976453274</v>
      </c>
      <c r="E11153" s="2">
        <v>3.97771242841665E-2</v>
      </c>
      <c r="F11153" s="2">
        <v>2.0222277930976799E-2</v>
      </c>
    </row>
    <row r="11154" spans="1:6" x14ac:dyDescent="0.25">
      <c r="A11154" s="1" t="str">
        <f t="shared" si="406"/>
        <v>21500</v>
      </c>
      <c r="B11154" s="1" t="str">
        <f>"16530"</f>
        <v>16530</v>
      </c>
      <c r="C11154" s="2">
        <v>0</v>
      </c>
      <c r="D11154" s="2">
        <v>2.7593818984547402E-4</v>
      </c>
      <c r="E11154" s="2">
        <v>0</v>
      </c>
      <c r="F11154" s="2">
        <v>2.0890782986546301E-5</v>
      </c>
    </row>
    <row r="11155" spans="1:6" x14ac:dyDescent="0.25">
      <c r="A11155" s="1" t="str">
        <f t="shared" si="406"/>
        <v>21500</v>
      </c>
      <c r="B11155" s="1" t="str">
        <f>"16413"</f>
        <v>16413</v>
      </c>
      <c r="C11155" s="2">
        <v>0</v>
      </c>
      <c r="D11155" s="2">
        <v>0</v>
      </c>
      <c r="E11155" s="2">
        <v>1.5477480266212599E-4</v>
      </c>
      <c r="F11155" s="2">
        <v>6.9635943288487697E-6</v>
      </c>
    </row>
    <row r="11156" spans="1:6" x14ac:dyDescent="0.25">
      <c r="A11156" s="1" t="str">
        <f t="shared" si="406"/>
        <v>21500</v>
      </c>
      <c r="B11156" s="1" t="str">
        <f>"16534"</f>
        <v>16534</v>
      </c>
      <c r="C11156" s="2">
        <v>0</v>
      </c>
      <c r="D11156" s="2">
        <v>9.1979396615158204E-5</v>
      </c>
      <c r="E11156" s="2">
        <v>0</v>
      </c>
      <c r="F11156" s="2">
        <v>6.9635943288487697E-6</v>
      </c>
    </row>
    <row r="11157" spans="1:6" x14ac:dyDescent="0.25">
      <c r="A11157" s="1" t="str">
        <f t="shared" si="406"/>
        <v>21500</v>
      </c>
      <c r="B11157" s="1" t="str">
        <f>"16475"</f>
        <v>16475</v>
      </c>
      <c r="C11157" s="2">
        <v>0</v>
      </c>
      <c r="D11157" s="2">
        <v>9.1979396615158204E-5</v>
      </c>
      <c r="E11157" s="2">
        <v>0</v>
      </c>
      <c r="F11157" s="2">
        <v>6.9635943288487697E-6</v>
      </c>
    </row>
    <row r="11158" spans="1:6" x14ac:dyDescent="0.25">
      <c r="A11158" s="1" t="str">
        <f t="shared" si="406"/>
        <v>21500</v>
      </c>
      <c r="B11158" s="1" t="str">
        <f>"16426"</f>
        <v>16426</v>
      </c>
      <c r="C11158" s="2">
        <v>1.37561276936113E-2</v>
      </c>
      <c r="D11158" s="2">
        <v>6.4385577630610702E-3</v>
      </c>
      <c r="E11158" s="2">
        <v>4.0241448692152904E-3</v>
      </c>
      <c r="F11158" s="2">
        <v>1.27642684047798E-2</v>
      </c>
    </row>
    <row r="11159" spans="1:6" x14ac:dyDescent="0.25">
      <c r="A11159" s="1" t="str">
        <f t="shared" si="406"/>
        <v>21500</v>
      </c>
      <c r="B11159" s="1" t="str">
        <f>"16506"</f>
        <v>16506</v>
      </c>
      <c r="C11159" s="2">
        <v>8.6211402459788797E-2</v>
      </c>
      <c r="D11159" s="2">
        <v>8.5080941869021307E-2</v>
      </c>
      <c r="E11159" s="2">
        <v>4.00866738894907E-2</v>
      </c>
      <c r="F11159" s="2">
        <v>8.4050583549204694E-2</v>
      </c>
    </row>
    <row r="11160" spans="1:6" x14ac:dyDescent="0.25">
      <c r="A11160" s="1" t="str">
        <f t="shared" si="406"/>
        <v>21500</v>
      </c>
      <c r="B11160" s="1" t="str">
        <f>"16512"</f>
        <v>16512</v>
      </c>
      <c r="C11160" s="2">
        <v>9.7092760808103196E-3</v>
      </c>
      <c r="D11160" s="2">
        <v>2.5294334069168499E-2</v>
      </c>
      <c r="E11160" s="2">
        <v>1.5477480266212599E-4</v>
      </c>
      <c r="F11160" s="2">
        <v>1.04593186819308E-2</v>
      </c>
    </row>
    <row r="11161" spans="1:6" x14ac:dyDescent="0.25">
      <c r="A11161" s="1" t="str">
        <f t="shared" si="406"/>
        <v>21500</v>
      </c>
      <c r="B11161" s="1" t="str">
        <f>"16503"</f>
        <v>16503</v>
      </c>
      <c r="C11161" s="2">
        <v>5.6006525647219002E-2</v>
      </c>
      <c r="D11161" s="2">
        <v>5.0772626931567297E-2</v>
      </c>
      <c r="E11161" s="2">
        <v>8.6519114688128701E-2</v>
      </c>
      <c r="F11161" s="2">
        <v>5.6983092392969503E-2</v>
      </c>
    </row>
    <row r="11162" spans="1:6" x14ac:dyDescent="0.25">
      <c r="A11162" s="1" t="str">
        <f t="shared" si="406"/>
        <v>21500</v>
      </c>
      <c r="B11162" s="1" t="str">
        <f>"16504"</f>
        <v>16504</v>
      </c>
      <c r="C11162" s="2">
        <v>5.5016591299664998E-2</v>
      </c>
      <c r="D11162" s="2">
        <v>2.2810890360559201E-2</v>
      </c>
      <c r="E11162" s="2">
        <v>2.6621266057885701E-2</v>
      </c>
      <c r="F11162" s="2">
        <v>5.1300799420628901E-2</v>
      </c>
    </row>
    <row r="11163" spans="1:6" x14ac:dyDescent="0.25">
      <c r="A11163" s="1" t="str">
        <f t="shared" si="406"/>
        <v>21500</v>
      </c>
      <c r="B11163" s="1" t="str">
        <f>"16442"</f>
        <v>16442</v>
      </c>
      <c r="C11163" s="2">
        <v>8.5451132880867298E-3</v>
      </c>
      <c r="D11163" s="2">
        <v>2.4834437086092699E-3</v>
      </c>
      <c r="E11163" s="2">
        <v>1.0834236186348799E-3</v>
      </c>
      <c r="F11163" s="2">
        <v>7.7504804880086896E-3</v>
      </c>
    </row>
    <row r="11164" spans="1:6" x14ac:dyDescent="0.25">
      <c r="A11164" s="1" t="str">
        <f t="shared" si="406"/>
        <v>21500</v>
      </c>
      <c r="B11164" s="1" t="str">
        <f>"16541"</f>
        <v>16541</v>
      </c>
      <c r="C11164" s="2">
        <v>7.9194747804325608E-6</v>
      </c>
      <c r="D11164" s="2">
        <v>2.7593818984547402E-4</v>
      </c>
      <c r="E11164" s="2">
        <v>3.0954960532425302E-4</v>
      </c>
      <c r="F11164" s="2">
        <v>4.1781565973092603E-5</v>
      </c>
    </row>
    <row r="11165" spans="1:6" x14ac:dyDescent="0.25">
      <c r="A11165" s="1" t="str">
        <f t="shared" si="406"/>
        <v>21500</v>
      </c>
      <c r="B11165" s="1" t="str">
        <f>"16515"</f>
        <v>16515</v>
      </c>
      <c r="C11165" s="2">
        <v>0</v>
      </c>
      <c r="D11165" s="2">
        <v>3.67917586460632E-4</v>
      </c>
      <c r="E11165" s="2">
        <v>3.2502708559046501E-3</v>
      </c>
      <c r="F11165" s="2">
        <v>1.7408985822121899E-4</v>
      </c>
    </row>
    <row r="11166" spans="1:6" x14ac:dyDescent="0.25">
      <c r="A11166" s="1" t="str">
        <f t="shared" si="406"/>
        <v>21500</v>
      </c>
      <c r="B11166" s="1" t="str">
        <f>"16410"</f>
        <v>16410</v>
      </c>
      <c r="C11166" s="2">
        <v>5.6228270941071096E-3</v>
      </c>
      <c r="D11166" s="2">
        <v>1.47167034584253E-3</v>
      </c>
      <c r="E11166" s="2">
        <v>7.73874013310633E-4</v>
      </c>
      <c r="F11166" s="2">
        <v>5.0903874543884496E-3</v>
      </c>
    </row>
    <row r="11167" spans="1:6" x14ac:dyDescent="0.25">
      <c r="A11167" s="1" t="str">
        <f t="shared" si="406"/>
        <v>21500</v>
      </c>
      <c r="B11167" s="1" t="str">
        <f>"16508"</f>
        <v>16508</v>
      </c>
      <c r="C11167" s="2">
        <v>6.1558077468302302E-2</v>
      </c>
      <c r="D11167" s="2">
        <v>7.2295805739514302E-2</v>
      </c>
      <c r="E11167" s="2">
        <v>5.3242532115771499E-2</v>
      </c>
      <c r="F11167" s="2">
        <v>6.1996880309740598E-2</v>
      </c>
    </row>
    <row r="11168" spans="1:6" x14ac:dyDescent="0.25">
      <c r="A11168" s="1" t="str">
        <f t="shared" si="406"/>
        <v>21500</v>
      </c>
      <c r="B11168" s="1" t="str">
        <f>"16417"</f>
        <v>16417</v>
      </c>
      <c r="C11168" s="2">
        <v>2.9595077254476399E-2</v>
      </c>
      <c r="D11168" s="2">
        <v>2.2718910963943999E-2</v>
      </c>
      <c r="E11168" s="2">
        <v>1.68704534901718E-2</v>
      </c>
      <c r="F11168" s="2">
        <v>2.8501991587978E-2</v>
      </c>
    </row>
    <row r="11169" spans="1:6" x14ac:dyDescent="0.25">
      <c r="A11169" s="1" t="str">
        <f t="shared" si="406"/>
        <v>21500</v>
      </c>
      <c r="B11169" s="1" t="str">
        <f>"16423"</f>
        <v>16423</v>
      </c>
      <c r="C11169" s="2">
        <v>1.4912371011554499E-2</v>
      </c>
      <c r="D11169" s="2">
        <v>6.8984547461368598E-3</v>
      </c>
      <c r="E11169" s="2">
        <v>2.55378424392508E-2</v>
      </c>
      <c r="F11169" s="2">
        <v>1.47837107601459E-2</v>
      </c>
    </row>
    <row r="11170" spans="1:6" x14ac:dyDescent="0.25">
      <c r="A11170" s="1" t="str">
        <f t="shared" si="406"/>
        <v>21500</v>
      </c>
      <c r="B11170" s="1" t="str">
        <f>"16412"</f>
        <v>16412</v>
      </c>
      <c r="C11170" s="2">
        <v>3.6524617687354897E-2</v>
      </c>
      <c r="D11170" s="2">
        <v>2.7961736571007999E-2</v>
      </c>
      <c r="E11170" s="2">
        <v>4.47299179693545E-2</v>
      </c>
      <c r="F11170" s="2">
        <v>3.62455084816578E-2</v>
      </c>
    </row>
    <row r="11171" spans="1:6" x14ac:dyDescent="0.25">
      <c r="A11171" s="1" t="str">
        <f t="shared" si="406"/>
        <v>21500</v>
      </c>
      <c r="B11171" s="1" t="str">
        <f>"16502"</f>
        <v>16502</v>
      </c>
      <c r="C11171" s="2">
        <v>6.1542238518741403E-2</v>
      </c>
      <c r="D11171" s="2">
        <v>5.4267844002943301E-2</v>
      </c>
      <c r="E11171" s="2">
        <v>0.21683949852963899</v>
      </c>
      <c r="F11171" s="2">
        <v>6.7978607838221697E-2</v>
      </c>
    </row>
    <row r="11172" spans="1:6" x14ac:dyDescent="0.25">
      <c r="A11172" s="1" t="str">
        <f t="shared" si="406"/>
        <v>21500</v>
      </c>
      <c r="B11172" s="1" t="str">
        <f>"16434"</f>
        <v>16434</v>
      </c>
      <c r="C11172" s="2">
        <v>5.5436323463027897E-5</v>
      </c>
      <c r="D11172" s="2">
        <v>0</v>
      </c>
      <c r="E11172" s="2">
        <v>0</v>
      </c>
      <c r="F11172" s="2">
        <v>4.87451603019414E-5</v>
      </c>
    </row>
    <row r="11173" spans="1:6" x14ac:dyDescent="0.25">
      <c r="A11173" s="1" t="str">
        <f t="shared" si="406"/>
        <v>21500</v>
      </c>
      <c r="B11173" s="1" t="str">
        <f>"16444"</f>
        <v>16444</v>
      </c>
      <c r="C11173" s="2">
        <v>1.5838949560865101E-5</v>
      </c>
      <c r="D11173" s="2">
        <v>3.67917586460632E-4</v>
      </c>
      <c r="E11173" s="2">
        <v>0</v>
      </c>
      <c r="F11173" s="2">
        <v>4.1781565973092603E-5</v>
      </c>
    </row>
    <row r="11174" spans="1:6" x14ac:dyDescent="0.25">
      <c r="A11174" s="1" t="str">
        <f t="shared" si="406"/>
        <v>21500</v>
      </c>
      <c r="B11174" s="1" t="str">
        <f>"16421"</f>
        <v>16421</v>
      </c>
      <c r="C11174" s="2">
        <v>8.0461863769194803E-3</v>
      </c>
      <c r="D11174" s="2">
        <v>4.13907284768211E-3</v>
      </c>
      <c r="E11174" s="2">
        <v>3.4050456585667799E-3</v>
      </c>
      <c r="F11174" s="2">
        <v>7.5415726581432203E-3</v>
      </c>
    </row>
    <row r="11175" spans="1:6" x14ac:dyDescent="0.25">
      <c r="A11175" s="1" t="str">
        <f t="shared" si="406"/>
        <v>21500</v>
      </c>
      <c r="B11175" s="1" t="str">
        <f>"16565"</f>
        <v>16565</v>
      </c>
      <c r="C11175" s="2">
        <v>0</v>
      </c>
      <c r="D11175" s="2">
        <v>1.93156732891832E-2</v>
      </c>
      <c r="E11175" s="2">
        <v>4.6432440798637901E-4</v>
      </c>
      <c r="F11175" s="2">
        <v>1.48324559204478E-3</v>
      </c>
    </row>
    <row r="11176" spans="1:6" x14ac:dyDescent="0.25">
      <c r="A11176" s="1" t="str">
        <f t="shared" si="406"/>
        <v>21500</v>
      </c>
      <c r="B11176" s="1" t="str">
        <f>"16505"</f>
        <v>16505</v>
      </c>
      <c r="C11176" s="2">
        <v>7.4157961843970499E-2</v>
      </c>
      <c r="D11176" s="2">
        <v>0.129323031640912</v>
      </c>
      <c r="E11176" s="2">
        <v>5.5873703761027703E-2</v>
      </c>
      <c r="F11176" s="2">
        <v>7.7511768474415696E-2</v>
      </c>
    </row>
    <row r="11177" spans="1:6" x14ac:dyDescent="0.25">
      <c r="A11177" s="1" t="str">
        <f t="shared" si="406"/>
        <v>21500</v>
      </c>
      <c r="B11177" s="1" t="str">
        <f>"16514"</f>
        <v>16514</v>
      </c>
      <c r="C11177" s="2">
        <v>5.1001417585985597E-3</v>
      </c>
      <c r="D11177" s="2">
        <v>1.3704930095658501E-2</v>
      </c>
      <c r="E11177" s="2">
        <v>1.5477480266212599E-4</v>
      </c>
      <c r="F11177" s="2">
        <v>5.52909389710593E-3</v>
      </c>
    </row>
    <row r="11178" spans="1:6" x14ac:dyDescent="0.25">
      <c r="A11178" s="1" t="str">
        <f t="shared" si="406"/>
        <v>21500</v>
      </c>
      <c r="B11178" s="1" t="str">
        <f>"16441"</f>
        <v>16441</v>
      </c>
      <c r="C11178" s="2">
        <v>3.9098446990995503E-2</v>
      </c>
      <c r="D11178" s="2">
        <v>2.46504782928623E-2</v>
      </c>
      <c r="E11178" s="2">
        <v>9.4412629623897206E-3</v>
      </c>
      <c r="F11178" s="2">
        <v>3.6670287735717601E-2</v>
      </c>
    </row>
    <row r="11179" spans="1:6" x14ac:dyDescent="0.25">
      <c r="A11179" s="1" t="str">
        <f t="shared" si="406"/>
        <v>21500</v>
      </c>
      <c r="B11179" s="1" t="str">
        <f>"16428"</f>
        <v>16428</v>
      </c>
      <c r="C11179" s="2">
        <v>4.4032279779205E-2</v>
      </c>
      <c r="D11179" s="2">
        <v>3.2928623988226602E-2</v>
      </c>
      <c r="E11179" s="2">
        <v>3.1574059743073798E-2</v>
      </c>
      <c r="F11179" s="2">
        <v>4.2631124481212201E-2</v>
      </c>
    </row>
    <row r="11180" spans="1:6" x14ac:dyDescent="0.25">
      <c r="A11180" s="1" t="str">
        <f t="shared" si="406"/>
        <v>21500</v>
      </c>
      <c r="B11180" s="1" t="str">
        <f>"16438"</f>
        <v>16438</v>
      </c>
      <c r="C11180" s="2">
        <v>2.1873589343554701E-2</v>
      </c>
      <c r="D11180" s="2">
        <v>1.7016188373804201E-2</v>
      </c>
      <c r="E11180" s="2">
        <v>1.2227209410308E-2</v>
      </c>
      <c r="F11180" s="2">
        <v>2.1071836439096402E-2</v>
      </c>
    </row>
    <row r="11181" spans="1:6" x14ac:dyDescent="0.25">
      <c r="A11181" s="1" t="str">
        <f t="shared" si="406"/>
        <v>21500</v>
      </c>
      <c r="B11181" s="1" t="str">
        <f>"16550"</f>
        <v>16550</v>
      </c>
      <c r="C11181" s="2">
        <v>0</v>
      </c>
      <c r="D11181" s="2">
        <v>9.1979396615158204E-5</v>
      </c>
      <c r="E11181" s="2">
        <v>1.5477480266212599E-4</v>
      </c>
      <c r="F11181" s="2">
        <v>1.39271886576975E-5</v>
      </c>
    </row>
    <row r="11182" spans="1:6" x14ac:dyDescent="0.25">
      <c r="A11182" s="1" t="str">
        <f t="shared" si="406"/>
        <v>21500</v>
      </c>
      <c r="B11182" s="1" t="str">
        <f>"16411"</f>
        <v>16411</v>
      </c>
      <c r="C11182" s="2">
        <v>4.6645706456747704E-3</v>
      </c>
      <c r="D11182" s="2">
        <v>6.43855776306107E-4</v>
      </c>
      <c r="E11182" s="2">
        <v>2.01207243460764E-3</v>
      </c>
      <c r="F11182" s="2">
        <v>4.2408289462689003E-3</v>
      </c>
    </row>
    <row r="11183" spans="1:6" x14ac:dyDescent="0.25">
      <c r="A11183" s="1" t="str">
        <f t="shared" si="406"/>
        <v>21500</v>
      </c>
      <c r="B11183" s="1" t="str">
        <f>"16510"</f>
        <v>16510</v>
      </c>
      <c r="C11183" s="2">
        <v>8.3312874690150501E-2</v>
      </c>
      <c r="D11183" s="2">
        <v>5.3623988226637199E-2</v>
      </c>
      <c r="E11183" s="2">
        <v>5.0301810865191102E-2</v>
      </c>
      <c r="F11183" s="2">
        <v>7.95799559900838E-2</v>
      </c>
    </row>
    <row r="11184" spans="1:6" x14ac:dyDescent="0.25">
      <c r="A11184" s="1" t="str">
        <f t="shared" si="406"/>
        <v>21500</v>
      </c>
      <c r="B11184" s="1" t="str">
        <f>"16511"</f>
        <v>16511</v>
      </c>
      <c r="C11184" s="2">
        <v>4.01042202881104E-2</v>
      </c>
      <c r="D11184" s="2">
        <v>2.22590139808682E-2</v>
      </c>
      <c r="E11184" s="2">
        <v>4.5194242377340897E-2</v>
      </c>
      <c r="F11184" s="2">
        <v>3.8982201052895397E-2</v>
      </c>
    </row>
    <row r="11185" spans="1:6" x14ac:dyDescent="0.25">
      <c r="A11185" s="1" t="str">
        <f t="shared" si="406"/>
        <v>21500</v>
      </c>
      <c r="B11185" s="1" t="str">
        <f>"16401"</f>
        <v>16401</v>
      </c>
      <c r="C11185" s="2">
        <v>1.51103578810653E-2</v>
      </c>
      <c r="D11185" s="2">
        <v>9.5658572479764507E-3</v>
      </c>
      <c r="E11185" s="2">
        <v>1.85729763194551E-3</v>
      </c>
      <c r="F11185" s="2">
        <v>1.40943149215899E-2</v>
      </c>
    </row>
    <row r="11186" spans="1:6" x14ac:dyDescent="0.25">
      <c r="A11186" s="1" t="str">
        <f t="shared" si="406"/>
        <v>21500</v>
      </c>
      <c r="B11186" s="1" t="str">
        <f>"16407"</f>
        <v>16407</v>
      </c>
      <c r="C11186" s="2">
        <v>3.3586492543814399E-2</v>
      </c>
      <c r="D11186" s="2">
        <v>4.0011037527593801E-2</v>
      </c>
      <c r="E11186" s="2">
        <v>2.9097662900479802E-2</v>
      </c>
      <c r="F11186" s="2">
        <v>3.3870922815520399E-2</v>
      </c>
    </row>
    <row r="11187" spans="1:6" x14ac:dyDescent="0.25">
      <c r="A11187" s="1" t="str">
        <f t="shared" si="406"/>
        <v>21500</v>
      </c>
      <c r="B11187" s="1" t="str">
        <f>"16507"</f>
        <v>16507</v>
      </c>
      <c r="C11187" s="2">
        <v>3.68176382542309E-2</v>
      </c>
      <c r="D11187" s="2">
        <v>4.0838852097130202E-2</v>
      </c>
      <c r="E11187" s="2">
        <v>0.129701284630862</v>
      </c>
      <c r="F11187" s="2">
        <v>4.1301077964402098E-2</v>
      </c>
    </row>
    <row r="11188" spans="1:6" x14ac:dyDescent="0.25">
      <c r="A11188" s="1" t="str">
        <f t="shared" si="406"/>
        <v>21500</v>
      </c>
      <c r="B11188" s="1" t="str">
        <f>"16509"</f>
        <v>16509</v>
      </c>
      <c r="C11188" s="2">
        <v>0.10625559312906301</v>
      </c>
      <c r="D11188" s="2">
        <v>7.9286239882266296E-2</v>
      </c>
      <c r="E11188" s="2">
        <v>5.7266676984986803E-2</v>
      </c>
      <c r="F11188" s="2">
        <v>0.10200969332330501</v>
      </c>
    </row>
    <row r="11189" spans="1:6" x14ac:dyDescent="0.25">
      <c r="A11189" s="1" t="str">
        <f t="shared" si="406"/>
        <v>21500</v>
      </c>
      <c r="B11189" s="1" t="str">
        <f>"16435"</f>
        <v>16435</v>
      </c>
      <c r="C11189" s="2">
        <v>1.18792121706488E-4</v>
      </c>
      <c r="D11189" s="2">
        <v>0</v>
      </c>
      <c r="E11189" s="2">
        <v>0</v>
      </c>
      <c r="F11189" s="2">
        <v>1.04453914932731E-4</v>
      </c>
    </row>
    <row r="11190" spans="1:6" x14ac:dyDescent="0.25">
      <c r="A11190" s="1" t="str">
        <f t="shared" ref="A11190:A11202" si="407">"21540"</f>
        <v>21540</v>
      </c>
      <c r="B11190" s="1" t="str">
        <f>"49872"</f>
        <v>49872</v>
      </c>
      <c r="C11190" s="2">
        <v>4.4167837783577503E-3</v>
      </c>
      <c r="D11190" s="2">
        <v>5.6433408577878099E-4</v>
      </c>
      <c r="E11190" s="2">
        <v>0</v>
      </c>
      <c r="F11190" s="2">
        <v>4.0162454873646199E-3</v>
      </c>
    </row>
    <row r="11191" spans="1:6" x14ac:dyDescent="0.25">
      <c r="A11191" s="1" t="str">
        <f t="shared" si="407"/>
        <v>21540</v>
      </c>
      <c r="B11191" s="1" t="str">
        <f>"49880"</f>
        <v>49880</v>
      </c>
      <c r="C11191" s="2">
        <v>2.19333467175266E-2</v>
      </c>
      <c r="D11191" s="2">
        <v>2.2573363431151201E-3</v>
      </c>
      <c r="E11191" s="2">
        <v>6.4655172413793103E-3</v>
      </c>
      <c r="F11191" s="2">
        <v>2.0036101083032401E-2</v>
      </c>
    </row>
    <row r="11192" spans="1:6" x14ac:dyDescent="0.25">
      <c r="A11192" s="1" t="str">
        <f t="shared" si="407"/>
        <v>21540</v>
      </c>
      <c r="B11192" s="1" t="str">
        <f>"49829"</f>
        <v>49829</v>
      </c>
      <c r="C11192" s="2">
        <v>0.462055812085926</v>
      </c>
      <c r="D11192" s="2">
        <v>0.792325056433408</v>
      </c>
      <c r="E11192" s="2">
        <v>0.67672413793103403</v>
      </c>
      <c r="F11192" s="2">
        <v>0.49296028880866399</v>
      </c>
    </row>
    <row r="11193" spans="1:6" x14ac:dyDescent="0.25">
      <c r="A11193" s="1" t="str">
        <f t="shared" si="407"/>
        <v>21540</v>
      </c>
      <c r="B11193" s="1" t="str">
        <f>"49894"</f>
        <v>49894</v>
      </c>
      <c r="C11193" s="2">
        <v>1.3852640032122001E-2</v>
      </c>
      <c r="D11193" s="2">
        <v>2.2573363431151201E-3</v>
      </c>
      <c r="E11193" s="2">
        <v>6.4655172413793103E-3</v>
      </c>
      <c r="F11193" s="2">
        <v>1.27707581227436E-2</v>
      </c>
    </row>
    <row r="11194" spans="1:6" x14ac:dyDescent="0.25">
      <c r="A11194" s="1" t="str">
        <f t="shared" si="407"/>
        <v>21540</v>
      </c>
      <c r="B11194" s="1" t="str">
        <f>"49817"</f>
        <v>49817</v>
      </c>
      <c r="C11194" s="2">
        <v>2.81068058622766E-3</v>
      </c>
      <c r="D11194" s="2">
        <v>2.8216704288939001E-3</v>
      </c>
      <c r="E11194" s="2">
        <v>2.1551724137930999E-3</v>
      </c>
      <c r="F11194" s="2">
        <v>2.79783393501805E-3</v>
      </c>
    </row>
    <row r="11195" spans="1:6" x14ac:dyDescent="0.25">
      <c r="A11195" s="1" t="str">
        <f t="shared" si="407"/>
        <v>21540</v>
      </c>
      <c r="B11195" s="1" t="str">
        <f>"49818"</f>
        <v>49818</v>
      </c>
      <c r="C11195" s="2">
        <v>2.32884962858863E-2</v>
      </c>
      <c r="D11195" s="2">
        <v>1.12866817155756E-3</v>
      </c>
      <c r="E11195" s="2">
        <v>2.1551724137930999E-3</v>
      </c>
      <c r="F11195" s="2">
        <v>2.1074007220216601E-2</v>
      </c>
    </row>
    <row r="11196" spans="1:6" x14ac:dyDescent="0.25">
      <c r="A11196" s="1" t="str">
        <f t="shared" si="407"/>
        <v>21540</v>
      </c>
      <c r="B11196" s="1" t="str">
        <f>"49864"</f>
        <v>49864</v>
      </c>
      <c r="C11196" s="2">
        <v>2.96125276048986E-3</v>
      </c>
      <c r="D11196" s="2">
        <v>0</v>
      </c>
      <c r="E11196" s="2">
        <v>0</v>
      </c>
      <c r="F11196" s="2">
        <v>2.6624548736462E-3</v>
      </c>
    </row>
    <row r="11197" spans="1:6" x14ac:dyDescent="0.25">
      <c r="A11197" s="1" t="str">
        <f t="shared" si="407"/>
        <v>21540</v>
      </c>
      <c r="B11197" s="1" t="str">
        <f>"49895"</f>
        <v>49895</v>
      </c>
      <c r="C11197" s="2">
        <v>9.8373820517968207E-3</v>
      </c>
      <c r="D11197" s="2">
        <v>5.6433408577878099E-4</v>
      </c>
      <c r="E11197" s="2">
        <v>8.6206896551724102E-2</v>
      </c>
      <c r="F11197" s="2">
        <v>1.06949458483754E-2</v>
      </c>
    </row>
    <row r="11198" spans="1:6" x14ac:dyDescent="0.25">
      <c r="A11198" s="1" t="str">
        <f t="shared" si="407"/>
        <v>21540</v>
      </c>
      <c r="B11198" s="1" t="str">
        <f>"49835"</f>
        <v>49835</v>
      </c>
      <c r="C11198" s="2">
        <v>2.56976510740815E-2</v>
      </c>
      <c r="D11198" s="2">
        <v>4.5146726862302401E-3</v>
      </c>
      <c r="E11198" s="2">
        <v>2.1551724137930999E-3</v>
      </c>
      <c r="F11198" s="2">
        <v>2.35108303249097E-2</v>
      </c>
    </row>
    <row r="11199" spans="1:6" x14ac:dyDescent="0.25">
      <c r="A11199" s="1" t="str">
        <f t="shared" si="407"/>
        <v>21540</v>
      </c>
      <c r="B11199" s="1" t="str">
        <f>"49837"</f>
        <v>49837</v>
      </c>
      <c r="C11199" s="2">
        <v>0.24287291708492201</v>
      </c>
      <c r="D11199" s="2">
        <v>0.15349887133182799</v>
      </c>
      <c r="E11199" s="2">
        <v>0.15517241379310301</v>
      </c>
      <c r="F11199" s="2">
        <v>0.23388989169675001</v>
      </c>
    </row>
    <row r="11200" spans="1:6" x14ac:dyDescent="0.25">
      <c r="A11200" s="1" t="str">
        <f t="shared" si="407"/>
        <v>21540</v>
      </c>
      <c r="B11200" s="1" t="str">
        <f>"49854"</f>
        <v>49854</v>
      </c>
      <c r="C11200" s="2">
        <v>1.9574382654085499E-3</v>
      </c>
      <c r="D11200" s="2">
        <v>0</v>
      </c>
      <c r="E11200" s="2">
        <v>0</v>
      </c>
      <c r="F11200" s="2">
        <v>1.7599277978339301E-3</v>
      </c>
    </row>
    <row r="11201" spans="1:6" x14ac:dyDescent="0.25">
      <c r="A11201" s="1" t="str">
        <f t="shared" si="407"/>
        <v>21540</v>
      </c>
      <c r="B11201" s="1" t="str">
        <f>"49878"</f>
        <v>49878</v>
      </c>
      <c r="C11201" s="2">
        <v>0.115237904035334</v>
      </c>
      <c r="D11201" s="2">
        <v>2.03160270880361E-2</v>
      </c>
      <c r="E11201" s="2">
        <v>2.5862068965517199E-2</v>
      </c>
      <c r="F11201" s="2">
        <v>0.10577617328519801</v>
      </c>
    </row>
    <row r="11202" spans="1:6" x14ac:dyDescent="0.25">
      <c r="A11202" s="1" t="str">
        <f t="shared" si="407"/>
        <v>21540</v>
      </c>
      <c r="B11202" s="1" t="str">
        <f>"49807"</f>
        <v>49807</v>
      </c>
      <c r="C11202" s="2">
        <v>7.3077695241919205E-2</v>
      </c>
      <c r="D11202" s="2">
        <v>1.9751693002257299E-2</v>
      </c>
      <c r="E11202" s="2">
        <v>3.66379310344827E-2</v>
      </c>
      <c r="F11202" s="2">
        <v>6.80505415162454E-2</v>
      </c>
    </row>
    <row r="11203" spans="1:6" x14ac:dyDescent="0.25">
      <c r="A11203" s="1" t="str">
        <f t="shared" ref="A11203:A11231" si="408">"21580"</f>
        <v>21580</v>
      </c>
      <c r="B11203" s="1" t="str">
        <f>"87017"</f>
        <v>87017</v>
      </c>
      <c r="C11203" s="2">
        <v>4.2245021122510502E-3</v>
      </c>
      <c r="D11203" s="2">
        <v>0</v>
      </c>
      <c r="E11203" s="2">
        <v>3.2362459546925498E-3</v>
      </c>
      <c r="F11203" s="2">
        <v>3.8527965989105799E-3</v>
      </c>
    </row>
    <row r="11204" spans="1:6" x14ac:dyDescent="0.25">
      <c r="A11204" s="1" t="str">
        <f t="shared" si="408"/>
        <v>21580</v>
      </c>
      <c r="B11204" s="1" t="str">
        <f>"87522"</f>
        <v>87522</v>
      </c>
      <c r="C11204" s="2">
        <v>8.1472540736270294E-3</v>
      </c>
      <c r="D11204" s="2">
        <v>3.3898305084745701E-3</v>
      </c>
      <c r="E11204" s="2">
        <v>1.2944983818770199E-2</v>
      </c>
      <c r="F11204" s="2">
        <v>7.9713033080908696E-3</v>
      </c>
    </row>
    <row r="11205" spans="1:6" x14ac:dyDescent="0.25">
      <c r="A11205" s="1" t="str">
        <f t="shared" si="408"/>
        <v>21580</v>
      </c>
      <c r="B11205" s="1" t="str">
        <f>"87528"</f>
        <v>87528</v>
      </c>
      <c r="C11205" s="2">
        <v>9.0525045262522599E-3</v>
      </c>
      <c r="D11205" s="2">
        <v>6.7796610169491497E-3</v>
      </c>
      <c r="E11205" s="2">
        <v>2.2653721682847801E-2</v>
      </c>
      <c r="F11205" s="2">
        <v>9.4327089145741904E-3</v>
      </c>
    </row>
    <row r="11206" spans="1:6" x14ac:dyDescent="0.25">
      <c r="A11206" s="1" t="str">
        <f t="shared" si="408"/>
        <v>21580</v>
      </c>
      <c r="B11206" s="1" t="str">
        <f>"87532"</f>
        <v>87532</v>
      </c>
      <c r="C11206" s="2">
        <v>0.56216053108026498</v>
      </c>
      <c r="D11206" s="2">
        <v>0.89661016949152506</v>
      </c>
      <c r="E11206" s="2">
        <v>0.70873786407766903</v>
      </c>
      <c r="F11206" s="2">
        <v>0.59439351667330897</v>
      </c>
    </row>
    <row r="11207" spans="1:6" x14ac:dyDescent="0.25">
      <c r="A11207" s="1" t="str">
        <f t="shared" si="408"/>
        <v>21580</v>
      </c>
      <c r="B11207" s="1" t="str">
        <f>"87581"</f>
        <v>87581</v>
      </c>
      <c r="C11207" s="2">
        <v>8.1472540736270294E-3</v>
      </c>
      <c r="D11207" s="2">
        <v>0</v>
      </c>
      <c r="E11207" s="2">
        <v>6.4724919093851101E-3</v>
      </c>
      <c r="F11207" s="2">
        <v>7.4398830875514804E-3</v>
      </c>
    </row>
    <row r="11208" spans="1:6" x14ac:dyDescent="0.25">
      <c r="A11208" s="1" t="str">
        <f t="shared" si="408"/>
        <v>21580</v>
      </c>
      <c r="B11208" s="1" t="str">
        <f>"87515"</f>
        <v>87515</v>
      </c>
      <c r="C11208" s="2">
        <v>0</v>
      </c>
      <c r="D11208" s="2">
        <v>0</v>
      </c>
      <c r="E11208" s="2">
        <v>3.2362459546925498E-3</v>
      </c>
      <c r="F11208" s="2">
        <v>1.3285505513484699E-4</v>
      </c>
    </row>
    <row r="11209" spans="1:6" x14ac:dyDescent="0.25">
      <c r="A11209" s="1" t="str">
        <f t="shared" si="408"/>
        <v>21580</v>
      </c>
      <c r="B11209" s="1" t="str">
        <f>"87412"</f>
        <v>87412</v>
      </c>
      <c r="C11209" s="2">
        <v>9.0525045262522595E-4</v>
      </c>
      <c r="D11209" s="2">
        <v>1.6949152542372801E-3</v>
      </c>
      <c r="E11209" s="2">
        <v>0</v>
      </c>
      <c r="F11209" s="2">
        <v>9.2998538594393505E-4</v>
      </c>
    </row>
    <row r="11210" spans="1:6" x14ac:dyDescent="0.25">
      <c r="A11210" s="1" t="str">
        <f t="shared" si="408"/>
        <v>21580</v>
      </c>
      <c r="B11210" s="1" t="str">
        <f>"87551"</f>
        <v>87551</v>
      </c>
      <c r="C11210" s="2">
        <v>2.3234761617380799E-2</v>
      </c>
      <c r="D11210" s="2">
        <v>1.3559322033898299E-2</v>
      </c>
      <c r="E11210" s="2">
        <v>3.2362459546925498E-3</v>
      </c>
      <c r="F11210" s="2">
        <v>2.1655373986980201E-2</v>
      </c>
    </row>
    <row r="11211" spans="1:6" x14ac:dyDescent="0.25">
      <c r="A11211" s="1" t="str">
        <f t="shared" si="408"/>
        <v>21580</v>
      </c>
      <c r="B11211" s="1" t="str">
        <f>"87064"</f>
        <v>87064</v>
      </c>
      <c r="C11211" s="2">
        <v>5.1297525648762799E-3</v>
      </c>
      <c r="D11211" s="2">
        <v>0</v>
      </c>
      <c r="E11211" s="2">
        <v>3.2362459546925498E-3</v>
      </c>
      <c r="F11211" s="2">
        <v>4.6499269297196697E-3</v>
      </c>
    </row>
    <row r="11212" spans="1:6" x14ac:dyDescent="0.25">
      <c r="A11212" s="1" t="str">
        <f t="shared" si="408"/>
        <v>21580</v>
      </c>
      <c r="B11212" s="1" t="str">
        <f>"87531"</f>
        <v>87531</v>
      </c>
      <c r="C11212" s="2">
        <v>1.6898008449004201E-2</v>
      </c>
      <c r="D11212" s="2">
        <v>1.6949152542372801E-3</v>
      </c>
      <c r="E11212" s="2">
        <v>3.2362459546925498E-3</v>
      </c>
      <c r="F11212" s="2">
        <v>1.51454762853726E-2</v>
      </c>
    </row>
    <row r="11213" spans="1:6" x14ac:dyDescent="0.25">
      <c r="A11213" s="1" t="str">
        <f t="shared" si="408"/>
        <v>21580</v>
      </c>
      <c r="B11213" s="1" t="str">
        <f>"87566"</f>
        <v>87566</v>
      </c>
      <c r="C11213" s="2">
        <v>2.8364514182257002E-2</v>
      </c>
      <c r="D11213" s="2">
        <v>2.20338983050847E-2</v>
      </c>
      <c r="E11213" s="2">
        <v>9.7087378640776604E-3</v>
      </c>
      <c r="F11213" s="2">
        <v>2.7102431247508899E-2</v>
      </c>
    </row>
    <row r="11214" spans="1:6" x14ac:dyDescent="0.25">
      <c r="A11214" s="1" t="str">
        <f t="shared" si="408"/>
        <v>21580</v>
      </c>
      <c r="B11214" s="1" t="str">
        <f>"87539"</f>
        <v>87539</v>
      </c>
      <c r="C11214" s="2">
        <v>5.4315027157513501E-3</v>
      </c>
      <c r="D11214" s="2">
        <v>1.6949152542372801E-3</v>
      </c>
      <c r="E11214" s="2">
        <v>3.2362459546925498E-3</v>
      </c>
      <c r="F11214" s="2">
        <v>5.0484920951242096E-3</v>
      </c>
    </row>
    <row r="11215" spans="1:6" x14ac:dyDescent="0.25">
      <c r="A11215" s="1" t="str">
        <f t="shared" si="408"/>
        <v>21580</v>
      </c>
      <c r="B11215" s="1" t="str">
        <f>"87511"</f>
        <v>87511</v>
      </c>
      <c r="C11215" s="2">
        <v>0</v>
      </c>
      <c r="D11215" s="2">
        <v>0</v>
      </c>
      <c r="E11215" s="2">
        <v>6.4724919093851101E-3</v>
      </c>
      <c r="F11215" s="2">
        <v>2.6571011026969502E-4</v>
      </c>
    </row>
    <row r="11216" spans="1:6" x14ac:dyDescent="0.25">
      <c r="A11216" s="1" t="str">
        <f t="shared" si="408"/>
        <v>21580</v>
      </c>
      <c r="B11216" s="1" t="str">
        <f>"87510"</f>
        <v>87510</v>
      </c>
      <c r="C11216" s="2">
        <v>2.2631261315630602E-3</v>
      </c>
      <c r="D11216" s="2">
        <v>1.1864406779661E-2</v>
      </c>
      <c r="E11216" s="2">
        <v>0.113268608414239</v>
      </c>
      <c r="F11216" s="2">
        <v>7.5727381426863201E-3</v>
      </c>
    </row>
    <row r="11217" spans="1:6" x14ac:dyDescent="0.25">
      <c r="A11217" s="1" t="str">
        <f t="shared" si="408"/>
        <v>21580</v>
      </c>
      <c r="B11217" s="1" t="str">
        <f>"87537"</f>
        <v>87537</v>
      </c>
      <c r="C11217" s="2">
        <v>6.6083283041641502E-2</v>
      </c>
      <c r="D11217" s="2">
        <v>5.0847457627118597E-3</v>
      </c>
      <c r="E11217" s="2">
        <v>2.2653721682847801E-2</v>
      </c>
      <c r="F11217" s="2">
        <v>5.9519064700411801E-2</v>
      </c>
    </row>
    <row r="11218" spans="1:6" x14ac:dyDescent="0.25">
      <c r="A11218" s="1" t="str">
        <f t="shared" si="408"/>
        <v>21580</v>
      </c>
      <c r="B11218" s="1" t="str">
        <f>"87575"</f>
        <v>87575</v>
      </c>
      <c r="C11218" s="2">
        <v>4.0736270368135104E-3</v>
      </c>
      <c r="D11218" s="2">
        <v>0</v>
      </c>
      <c r="E11218" s="2">
        <v>3.2362459546925498E-3</v>
      </c>
      <c r="F11218" s="2">
        <v>3.7199415437757402E-3</v>
      </c>
    </row>
    <row r="11219" spans="1:6" x14ac:dyDescent="0.25">
      <c r="A11219" s="1" t="str">
        <f t="shared" si="408"/>
        <v>21580</v>
      </c>
      <c r="B11219" s="1" t="str">
        <f>"87530"</f>
        <v>87530</v>
      </c>
      <c r="C11219" s="2">
        <v>6.7893783946891897E-3</v>
      </c>
      <c r="D11219" s="2">
        <v>0</v>
      </c>
      <c r="E11219" s="2">
        <v>3.2362459546925498E-3</v>
      </c>
      <c r="F11219" s="2">
        <v>6.1113325362030001E-3</v>
      </c>
    </row>
    <row r="11220" spans="1:6" x14ac:dyDescent="0.25">
      <c r="A11220" s="1" t="str">
        <f t="shared" si="408"/>
        <v>21580</v>
      </c>
      <c r="B11220" s="1" t="str">
        <f>"87523"</f>
        <v>87523</v>
      </c>
      <c r="C11220" s="2">
        <v>0</v>
      </c>
      <c r="D11220" s="2">
        <v>0</v>
      </c>
      <c r="E11220" s="2">
        <v>9.7087378640776604E-3</v>
      </c>
      <c r="F11220" s="2">
        <v>3.9856516540454301E-4</v>
      </c>
    </row>
    <row r="11221" spans="1:6" x14ac:dyDescent="0.25">
      <c r="A11221" s="1" t="str">
        <f t="shared" si="408"/>
        <v>21580</v>
      </c>
      <c r="B11221" s="1" t="str">
        <f>"87548"</f>
        <v>87548</v>
      </c>
      <c r="C11221" s="2">
        <v>0</v>
      </c>
      <c r="D11221" s="2">
        <v>0</v>
      </c>
      <c r="E11221" s="2">
        <v>1.6181229773462699E-2</v>
      </c>
      <c r="F11221" s="2">
        <v>6.6427527567423895E-4</v>
      </c>
    </row>
    <row r="11222" spans="1:6" x14ac:dyDescent="0.25">
      <c r="A11222" s="1" t="str">
        <f t="shared" si="408"/>
        <v>21580</v>
      </c>
      <c r="B11222" s="1" t="str">
        <f>"87554"</f>
        <v>87554</v>
      </c>
      <c r="C11222" s="2">
        <v>2.8666264333132101E-3</v>
      </c>
      <c r="D11222" s="2">
        <v>0</v>
      </c>
      <c r="E11222" s="2">
        <v>9.7087378640776604E-3</v>
      </c>
      <c r="F11222" s="2">
        <v>2.9228112129666499E-3</v>
      </c>
    </row>
    <row r="11223" spans="1:6" x14ac:dyDescent="0.25">
      <c r="A11223" s="1" t="str">
        <f t="shared" si="408"/>
        <v>21580</v>
      </c>
      <c r="B11223" s="1" t="str">
        <f>"87012"</f>
        <v>87012</v>
      </c>
      <c r="C11223" s="2">
        <v>3.7718768859384402E-3</v>
      </c>
      <c r="D11223" s="2">
        <v>1.6949152542372801E-3</v>
      </c>
      <c r="E11223" s="2">
        <v>3.2362459546925498E-3</v>
      </c>
      <c r="F11223" s="2">
        <v>3.5870864886408901E-3</v>
      </c>
    </row>
    <row r="11224" spans="1:6" x14ac:dyDescent="0.25">
      <c r="A11224" s="1" t="str">
        <f t="shared" si="408"/>
        <v>21580</v>
      </c>
      <c r="B11224" s="1" t="str">
        <f>"87029"</f>
        <v>87029</v>
      </c>
      <c r="C11224" s="2">
        <v>1.22208811104405E-2</v>
      </c>
      <c r="D11224" s="2">
        <v>6.7796610169491497E-3</v>
      </c>
      <c r="E11224" s="2">
        <v>9.7087378640776604E-3</v>
      </c>
      <c r="F11224" s="2">
        <v>1.16912448518666E-2</v>
      </c>
    </row>
    <row r="11225" spans="1:6" x14ac:dyDescent="0.25">
      <c r="A11225" s="1" t="str">
        <f t="shared" si="408"/>
        <v>21580</v>
      </c>
      <c r="B11225" s="1" t="str">
        <f>"87518"</f>
        <v>87518</v>
      </c>
      <c r="C11225" s="2">
        <v>0</v>
      </c>
      <c r="D11225" s="2">
        <v>0</v>
      </c>
      <c r="E11225" s="2">
        <v>3.2362459546925498E-3</v>
      </c>
      <c r="F11225" s="2">
        <v>1.3285505513484699E-4</v>
      </c>
    </row>
    <row r="11226" spans="1:6" x14ac:dyDescent="0.25">
      <c r="A11226" s="1" t="str">
        <f t="shared" si="408"/>
        <v>21580</v>
      </c>
      <c r="B11226" s="1" t="str">
        <f>"87046"</f>
        <v>87046</v>
      </c>
      <c r="C11226" s="2">
        <v>6.0350030175015002E-4</v>
      </c>
      <c r="D11226" s="2">
        <v>0</v>
      </c>
      <c r="E11226" s="2">
        <v>0</v>
      </c>
      <c r="F11226" s="2">
        <v>5.3142022053939101E-4</v>
      </c>
    </row>
    <row r="11227" spans="1:6" x14ac:dyDescent="0.25">
      <c r="A11227" s="1" t="str">
        <f t="shared" si="408"/>
        <v>21580</v>
      </c>
      <c r="B11227" s="1" t="str">
        <f>"87578"</f>
        <v>87578</v>
      </c>
      <c r="C11227" s="2">
        <v>2.3989136994568401E-2</v>
      </c>
      <c r="D11227" s="2">
        <v>0</v>
      </c>
      <c r="E11227" s="2">
        <v>6.4724919093851101E-3</v>
      </c>
      <c r="F11227" s="2">
        <v>2.1389663876710499E-2</v>
      </c>
    </row>
    <row r="11228" spans="1:6" x14ac:dyDescent="0.25">
      <c r="A11228" s="1" t="str">
        <f t="shared" si="408"/>
        <v>21580</v>
      </c>
      <c r="B11228" s="1" t="str">
        <f>"87520"</f>
        <v>87520</v>
      </c>
      <c r="C11228" s="2">
        <v>0.192818346409173</v>
      </c>
      <c r="D11228" s="2">
        <v>2.7118644067796599E-2</v>
      </c>
      <c r="E11228" s="2">
        <v>3.2362459546925498E-3</v>
      </c>
      <c r="F11228" s="2">
        <v>0.17204729639962801</v>
      </c>
    </row>
    <row r="11229" spans="1:6" x14ac:dyDescent="0.25">
      <c r="A11229" s="1" t="str">
        <f t="shared" si="408"/>
        <v>21580</v>
      </c>
      <c r="B11229" s="1" t="str">
        <f>"87527"</f>
        <v>87527</v>
      </c>
      <c r="C11229" s="2">
        <v>0</v>
      </c>
      <c r="D11229" s="2">
        <v>0</v>
      </c>
      <c r="E11229" s="2">
        <v>3.2362459546925498E-3</v>
      </c>
      <c r="F11229" s="2">
        <v>1.3285505513484699E-4</v>
      </c>
    </row>
    <row r="11230" spans="1:6" x14ac:dyDescent="0.25">
      <c r="A11230" s="1" t="str">
        <f t="shared" si="408"/>
        <v>21580</v>
      </c>
      <c r="B11230" s="1" t="str">
        <f>"87582"</f>
        <v>87582</v>
      </c>
      <c r="C11230" s="2">
        <v>0</v>
      </c>
      <c r="D11230" s="2">
        <v>0</v>
      </c>
      <c r="E11230" s="2">
        <v>3.2362459546925498E-3</v>
      </c>
      <c r="F11230" s="2">
        <v>1.3285505513484699E-4</v>
      </c>
    </row>
    <row r="11231" spans="1:6" x14ac:dyDescent="0.25">
      <c r="A11231" s="1" t="str">
        <f t="shared" si="408"/>
        <v>21580</v>
      </c>
      <c r="B11231" s="1" t="str">
        <f>"87516"</f>
        <v>87516</v>
      </c>
      <c r="C11231" s="2">
        <v>1.2824381412190699E-2</v>
      </c>
      <c r="D11231" s="2">
        <v>0</v>
      </c>
      <c r="E11231" s="2">
        <v>3.2362459546925498E-3</v>
      </c>
      <c r="F11231" s="2">
        <v>1.14255347415969E-2</v>
      </c>
    </row>
    <row r="11232" spans="1:6" x14ac:dyDescent="0.25">
      <c r="A11232" s="1" t="str">
        <f t="shared" ref="A11232:A11242" si="409">"21640"</f>
        <v>21640</v>
      </c>
      <c r="B11232" s="1" t="str">
        <f>"39867"</f>
        <v>39867</v>
      </c>
      <c r="C11232" s="2">
        <v>5.9520435349469901E-3</v>
      </c>
      <c r="D11232" s="2">
        <v>5.0838840874427998E-4</v>
      </c>
      <c r="E11232" s="2">
        <v>0</v>
      </c>
      <c r="F11232" s="2">
        <v>5.2957633892885599E-3</v>
      </c>
    </row>
    <row r="11233" spans="1:6" x14ac:dyDescent="0.25">
      <c r="A11233" s="1" t="str">
        <f t="shared" si="409"/>
        <v>21640</v>
      </c>
      <c r="B11233" s="1" t="str">
        <f>"36027"</f>
        <v>36027</v>
      </c>
      <c r="C11233" s="2">
        <v>0.53126240009069703</v>
      </c>
      <c r="D11233" s="2">
        <v>0.64107778342653698</v>
      </c>
      <c r="E11233" s="2">
        <v>0.54166666666666596</v>
      </c>
      <c r="F11233" s="2">
        <v>0.54226618705035901</v>
      </c>
    </row>
    <row r="11234" spans="1:6" x14ac:dyDescent="0.25">
      <c r="A11234" s="1" t="str">
        <f t="shared" si="409"/>
        <v>21640</v>
      </c>
      <c r="B11234" s="1" t="str">
        <f>"36017"</f>
        <v>36017</v>
      </c>
      <c r="C11234" s="2">
        <v>7.3805339833342698E-2</v>
      </c>
      <c r="D11234" s="2">
        <v>6.5582104728012194E-2</v>
      </c>
      <c r="E11234" s="2">
        <v>9.3137254901960703E-2</v>
      </c>
      <c r="F11234" s="2">
        <v>7.3391286970423603E-2</v>
      </c>
    </row>
    <row r="11235" spans="1:6" x14ac:dyDescent="0.25">
      <c r="A11235" s="1" t="str">
        <f t="shared" si="409"/>
        <v>21640</v>
      </c>
      <c r="B11235" s="1" t="str">
        <f>"36016"</f>
        <v>36016</v>
      </c>
      <c r="C11235" s="2">
        <v>0.115469644577971</v>
      </c>
      <c r="D11235" s="2">
        <v>6.0498220640569297E-2</v>
      </c>
      <c r="E11235" s="2">
        <v>0.32352941176470501</v>
      </c>
      <c r="F11235" s="2">
        <v>0.114308553157474</v>
      </c>
    </row>
    <row r="11236" spans="1:6" x14ac:dyDescent="0.25">
      <c r="A11236" s="1" t="str">
        <f t="shared" si="409"/>
        <v>21640</v>
      </c>
      <c r="B11236" s="1" t="str">
        <f>"36072"</f>
        <v>36072</v>
      </c>
      <c r="C11236" s="2">
        <v>7.2614931126353296E-2</v>
      </c>
      <c r="D11236" s="2">
        <v>0.13929842399593201</v>
      </c>
      <c r="E11236" s="2">
        <v>4.9019607843137202E-3</v>
      </c>
      <c r="F11236" s="2">
        <v>7.7787769784172595E-2</v>
      </c>
    </row>
    <row r="11237" spans="1:6" x14ac:dyDescent="0.25">
      <c r="A11237" s="1" t="str">
        <f t="shared" si="409"/>
        <v>21640</v>
      </c>
      <c r="B11237" s="1" t="str">
        <f>"36317"</f>
        <v>36317</v>
      </c>
      <c r="C11237" s="2">
        <v>1.30378096479791E-3</v>
      </c>
      <c r="D11237" s="2">
        <v>5.0838840874427998E-4</v>
      </c>
      <c r="E11237" s="2">
        <v>0</v>
      </c>
      <c r="F11237" s="2">
        <v>1.19904076738609E-3</v>
      </c>
    </row>
    <row r="11238" spans="1:6" x14ac:dyDescent="0.25">
      <c r="A11238" s="1" t="str">
        <f t="shared" si="409"/>
        <v>21640</v>
      </c>
      <c r="B11238" s="1" t="str">
        <f>"36311"</f>
        <v>36311</v>
      </c>
      <c r="C11238" s="2">
        <v>1.87064225384048E-2</v>
      </c>
      <c r="D11238" s="2">
        <v>3.0503304524656799E-3</v>
      </c>
      <c r="E11238" s="2">
        <v>2.4509803921568601E-3</v>
      </c>
      <c r="F11238" s="2">
        <v>1.68365307753796E-2</v>
      </c>
    </row>
    <row r="11239" spans="1:6" x14ac:dyDescent="0.25">
      <c r="A11239" s="1" t="str">
        <f t="shared" si="409"/>
        <v>21640</v>
      </c>
      <c r="B11239" s="1" t="str">
        <f>"39854"</f>
        <v>39854</v>
      </c>
      <c r="C11239" s="2">
        <v>0.104189104926024</v>
      </c>
      <c r="D11239" s="2">
        <v>5.7956278596847897E-2</v>
      </c>
      <c r="E11239" s="2">
        <v>1.47058823529411E-2</v>
      </c>
      <c r="F11239" s="2">
        <v>9.7821742605915196E-2</v>
      </c>
    </row>
    <row r="11240" spans="1:6" x14ac:dyDescent="0.25">
      <c r="A11240" s="1" t="str">
        <f t="shared" si="409"/>
        <v>21640</v>
      </c>
      <c r="B11240" s="1" t="str">
        <f>"36053"</f>
        <v>36053</v>
      </c>
      <c r="C11240" s="2">
        <v>2.6812538971713599E-2</v>
      </c>
      <c r="D11240" s="2">
        <v>1.6268429079816901E-2</v>
      </c>
      <c r="E11240" s="2">
        <v>2.4509803921568601E-3</v>
      </c>
      <c r="F11240" s="2">
        <v>2.52797761790567E-2</v>
      </c>
    </row>
    <row r="11241" spans="1:6" x14ac:dyDescent="0.25">
      <c r="A11241" s="1" t="str">
        <f t="shared" si="409"/>
        <v>21640</v>
      </c>
      <c r="B11241" s="1" t="str">
        <f>"36374"</f>
        <v>36374</v>
      </c>
      <c r="C11241" s="2">
        <v>3.9113428943937396E-3</v>
      </c>
      <c r="D11241" s="2">
        <v>2.5419420437213999E-3</v>
      </c>
      <c r="E11241" s="2">
        <v>0</v>
      </c>
      <c r="F11241" s="2">
        <v>3.6970423661071101E-3</v>
      </c>
    </row>
    <row r="11242" spans="1:6" x14ac:dyDescent="0.25">
      <c r="A11242" s="1" t="str">
        <f t="shared" si="409"/>
        <v>21640</v>
      </c>
      <c r="B11242" s="1" t="str">
        <f>"36048"</f>
        <v>36048</v>
      </c>
      <c r="C11242" s="2">
        <v>4.5972450541352503E-2</v>
      </c>
      <c r="D11242" s="2">
        <v>1.2709710218607E-2</v>
      </c>
      <c r="E11242" s="2">
        <v>1.7156862745097999E-2</v>
      </c>
      <c r="F11242" s="2">
        <v>4.2116306954436397E-2</v>
      </c>
    </row>
    <row r="11243" spans="1:6" x14ac:dyDescent="0.25">
      <c r="A11243" s="1" t="str">
        <f t="shared" ref="A11243:A11284" si="410">"21660"</f>
        <v>21660</v>
      </c>
      <c r="B11243" s="1" t="str">
        <f>"97403"</f>
        <v>97403</v>
      </c>
      <c r="C11243" s="2">
        <v>5.6736116654692498E-2</v>
      </c>
      <c r="D11243" s="2">
        <v>3.2641641408253597E-2</v>
      </c>
      <c r="E11243" s="2">
        <v>3.5632839224629398E-2</v>
      </c>
      <c r="F11243" s="2">
        <v>5.4088845089283598E-2</v>
      </c>
    </row>
    <row r="11244" spans="1:6" x14ac:dyDescent="0.25">
      <c r="A11244" s="1" t="str">
        <f t="shared" si="410"/>
        <v>21660</v>
      </c>
      <c r="B11244" s="1" t="str">
        <f>"97402"</f>
        <v>97402</v>
      </c>
      <c r="C11244" s="2">
        <v>0.135398206540539</v>
      </c>
      <c r="D11244" s="2">
        <v>0.237467941245045</v>
      </c>
      <c r="E11244" s="2">
        <v>0.223346636259977</v>
      </c>
      <c r="F11244" s="2">
        <v>0.14656469112633599</v>
      </c>
    </row>
    <row r="11245" spans="1:6" x14ac:dyDescent="0.25">
      <c r="A11245" s="1" t="str">
        <f t="shared" si="410"/>
        <v>21660</v>
      </c>
      <c r="B11245" s="1" t="str">
        <f>"97489"</f>
        <v>97489</v>
      </c>
      <c r="C11245" s="2">
        <v>2.7194593012426398E-3</v>
      </c>
      <c r="D11245" s="2">
        <v>9.909069713219859E-4</v>
      </c>
      <c r="E11245" s="2">
        <v>1.4253135689851701E-3</v>
      </c>
      <c r="F11245" s="2">
        <v>2.53681445889936E-3</v>
      </c>
    </row>
    <row r="11246" spans="1:6" x14ac:dyDescent="0.25">
      <c r="A11246" s="1" t="str">
        <f t="shared" si="410"/>
        <v>21660</v>
      </c>
      <c r="B11246" s="1" t="str">
        <f>"97408"</f>
        <v>97408</v>
      </c>
      <c r="C11246" s="2">
        <v>3.6667464942391099E-2</v>
      </c>
      <c r="D11246" s="2">
        <v>1.80111914199114E-2</v>
      </c>
      <c r="E11246" s="2">
        <v>3.7485746864310103E-2</v>
      </c>
      <c r="F11246" s="2">
        <v>3.5185333628823402E-2</v>
      </c>
    </row>
    <row r="11247" spans="1:6" x14ac:dyDescent="0.25">
      <c r="A11247" s="1" t="str">
        <f t="shared" si="410"/>
        <v>21660</v>
      </c>
      <c r="B11247" s="1" t="str">
        <f>"97413"</f>
        <v>97413</v>
      </c>
      <c r="C11247" s="2">
        <v>4.62467736356137E-3</v>
      </c>
      <c r="D11247" s="2">
        <v>1.5737934250408001E-3</v>
      </c>
      <c r="E11247" s="2">
        <v>5.1311288483466303E-3</v>
      </c>
      <c r="F11247" s="2">
        <v>4.3946302522197096E-3</v>
      </c>
    </row>
    <row r="11248" spans="1:6" x14ac:dyDescent="0.25">
      <c r="A11248" s="1" t="str">
        <f t="shared" si="410"/>
        <v>21660</v>
      </c>
      <c r="B11248" s="1" t="str">
        <f>"97440"</f>
        <v>97440</v>
      </c>
      <c r="C11248" s="2">
        <v>1.06277108113142E-2</v>
      </c>
      <c r="D11248" s="2">
        <v>3.5847516903707098E-2</v>
      </c>
      <c r="E11248" s="2">
        <v>1.42531356898517E-4</v>
      </c>
      <c r="F11248" s="2">
        <v>1.23209966191524E-2</v>
      </c>
    </row>
    <row r="11249" spans="1:6" x14ac:dyDescent="0.25">
      <c r="A11249" s="1" t="str">
        <f t="shared" si="410"/>
        <v>21660</v>
      </c>
      <c r="B11249" s="1" t="str">
        <f>"97461"</f>
        <v>97461</v>
      </c>
      <c r="C11249" s="2">
        <v>1.71363188845427E-3</v>
      </c>
      <c r="D11249" s="2">
        <v>2.9144322685940697E-4</v>
      </c>
      <c r="E11249" s="2">
        <v>2.8506271379703498E-4</v>
      </c>
      <c r="F11249" s="2">
        <v>1.5513233401075999E-3</v>
      </c>
    </row>
    <row r="11250" spans="1:6" x14ac:dyDescent="0.25">
      <c r="A11250" s="1" t="str">
        <f t="shared" si="410"/>
        <v>21660</v>
      </c>
      <c r="B11250" s="1" t="str">
        <f>"97477"</f>
        <v>97477</v>
      </c>
      <c r="C11250" s="2">
        <v>9.2775604693861202E-2</v>
      </c>
      <c r="D11250" s="2">
        <v>0.109932385171368</v>
      </c>
      <c r="E11250" s="2">
        <v>9.2360319270239397E-2</v>
      </c>
      <c r="F11250" s="2">
        <v>9.41497663584452E-2</v>
      </c>
    </row>
    <row r="11251" spans="1:6" x14ac:dyDescent="0.25">
      <c r="A11251" s="1" t="str">
        <f t="shared" si="410"/>
        <v>21660</v>
      </c>
      <c r="B11251" s="1" t="str">
        <f>"97437"</f>
        <v>97437</v>
      </c>
      <c r="C11251" s="2">
        <v>4.8960911098693402E-3</v>
      </c>
      <c r="D11251" s="2">
        <v>2.9144322685940697E-4</v>
      </c>
      <c r="E11251" s="2">
        <v>1.42531356898517E-4</v>
      </c>
      <c r="F11251" s="2">
        <v>4.3663386411539199E-3</v>
      </c>
    </row>
    <row r="11252" spans="1:6" x14ac:dyDescent="0.25">
      <c r="A11252" s="1" t="str">
        <f t="shared" si="410"/>
        <v>21660</v>
      </c>
      <c r="B11252" s="1" t="str">
        <f>"97324"</f>
        <v>97324</v>
      </c>
      <c r="C11252" s="2">
        <v>7.4505734280620498E-5</v>
      </c>
      <c r="D11252" s="2">
        <v>0</v>
      </c>
      <c r="E11252" s="2">
        <v>0</v>
      </c>
      <c r="F11252" s="2">
        <v>6.6013759153514906E-5</v>
      </c>
    </row>
    <row r="11253" spans="1:6" x14ac:dyDescent="0.25">
      <c r="A11253" s="1" t="str">
        <f t="shared" si="410"/>
        <v>21660</v>
      </c>
      <c r="B11253" s="1" t="str">
        <f>"97498"</f>
        <v>97498</v>
      </c>
      <c r="C11253" s="2">
        <v>1.64976983049945E-4</v>
      </c>
      <c r="D11253" s="2">
        <v>0</v>
      </c>
      <c r="E11253" s="2">
        <v>0</v>
      </c>
      <c r="F11253" s="2">
        <v>1.46173323839926E-4</v>
      </c>
    </row>
    <row r="11254" spans="1:6" x14ac:dyDescent="0.25">
      <c r="A11254" s="1" t="str">
        <f t="shared" si="410"/>
        <v>21660</v>
      </c>
      <c r="B11254" s="1" t="str">
        <f>"97409"</f>
        <v>97409</v>
      </c>
      <c r="C11254" s="2">
        <v>0</v>
      </c>
      <c r="D11254" s="2">
        <v>0</v>
      </c>
      <c r="E11254" s="2">
        <v>1.42531356898517E-4</v>
      </c>
      <c r="F11254" s="2">
        <v>4.7152685109653498E-6</v>
      </c>
    </row>
    <row r="11255" spans="1:6" x14ac:dyDescent="0.25">
      <c r="A11255" s="1" t="str">
        <f t="shared" si="410"/>
        <v>21660</v>
      </c>
      <c r="B11255" s="1" t="str">
        <f>"97455"</f>
        <v>97455</v>
      </c>
      <c r="C11255" s="2">
        <v>5.3750565445304802E-3</v>
      </c>
      <c r="D11255" s="2">
        <v>1.8652366519002E-3</v>
      </c>
      <c r="E11255" s="2">
        <v>1.1402508551881399E-3</v>
      </c>
      <c r="F11255" s="2">
        <v>4.95103193651362E-3</v>
      </c>
    </row>
    <row r="11256" spans="1:6" x14ac:dyDescent="0.25">
      <c r="A11256" s="1" t="str">
        <f t="shared" si="410"/>
        <v>21660</v>
      </c>
      <c r="B11256" s="1" t="str">
        <f>"97431"</f>
        <v>97431</v>
      </c>
      <c r="C11256" s="2">
        <v>5.4069875735078803E-3</v>
      </c>
      <c r="D11256" s="2">
        <v>6.4117509909069703E-4</v>
      </c>
      <c r="E11256" s="2">
        <v>2.7080957810718298E-3</v>
      </c>
      <c r="F11256" s="2">
        <v>4.9321708624697602E-3</v>
      </c>
    </row>
    <row r="11257" spans="1:6" x14ac:dyDescent="0.25">
      <c r="A11257" s="1" t="str">
        <f t="shared" si="410"/>
        <v>21660</v>
      </c>
      <c r="B11257" s="1" t="str">
        <f>"97401"</f>
        <v>97401</v>
      </c>
      <c r="C11257" s="2">
        <v>0.123360208616055</v>
      </c>
      <c r="D11257" s="2">
        <v>0.22703427372347801</v>
      </c>
      <c r="E11257" s="2">
        <v>0.33566134549600901</v>
      </c>
      <c r="F11257" s="2">
        <v>0.13877035227771001</v>
      </c>
    </row>
    <row r="11258" spans="1:6" x14ac:dyDescent="0.25">
      <c r="A11258" s="1" t="str">
        <f t="shared" si="410"/>
        <v>21660</v>
      </c>
      <c r="B11258" s="1" t="str">
        <f>"97452"</f>
        <v>97452</v>
      </c>
      <c r="C11258" s="2">
        <v>3.6028844362842902E-3</v>
      </c>
      <c r="D11258" s="2">
        <v>1.7486593611564401E-3</v>
      </c>
      <c r="E11258" s="2">
        <v>7.1265678449258796E-4</v>
      </c>
      <c r="F11258" s="2">
        <v>3.3572711798073298E-3</v>
      </c>
    </row>
    <row r="11259" spans="1:6" x14ac:dyDescent="0.25">
      <c r="A11259" s="1" t="str">
        <f t="shared" si="410"/>
        <v>21660</v>
      </c>
      <c r="B11259" s="1" t="str">
        <f>"97456"</f>
        <v>97456</v>
      </c>
      <c r="C11259" s="2">
        <v>3.8849418589180702E-4</v>
      </c>
      <c r="D11259" s="2">
        <v>1.16577290743763E-4</v>
      </c>
      <c r="E11259" s="2">
        <v>1.42531356898517E-4</v>
      </c>
      <c r="F11259" s="2">
        <v>3.5836040683336702E-4</v>
      </c>
    </row>
    <row r="11260" spans="1:6" x14ac:dyDescent="0.25">
      <c r="A11260" s="1" t="str">
        <f t="shared" si="410"/>
        <v>21660</v>
      </c>
      <c r="B11260" s="1" t="str">
        <f>"97419"</f>
        <v>97419</v>
      </c>
      <c r="C11260" s="2">
        <v>3.11859716346025E-3</v>
      </c>
      <c r="D11260" s="2">
        <v>1.74865936115644E-4</v>
      </c>
      <c r="E11260" s="2">
        <v>8.5518814139110596E-4</v>
      </c>
      <c r="F11260" s="2">
        <v>2.8055847640243801E-3</v>
      </c>
    </row>
    <row r="11261" spans="1:6" x14ac:dyDescent="0.25">
      <c r="A11261" s="1" t="str">
        <f t="shared" si="410"/>
        <v>21660</v>
      </c>
      <c r="B11261" s="1" t="str">
        <f>"97475"</f>
        <v>97475</v>
      </c>
      <c r="C11261" s="2">
        <v>8.7437801016471001E-3</v>
      </c>
      <c r="D11261" s="2">
        <v>2.4481231056190201E-2</v>
      </c>
      <c r="E11261" s="2">
        <v>2.8506271379703498E-4</v>
      </c>
      <c r="F11261" s="2">
        <v>9.7370294751434605E-3</v>
      </c>
    </row>
    <row r="11262" spans="1:6" x14ac:dyDescent="0.25">
      <c r="A11262" s="1" t="str">
        <f t="shared" si="410"/>
        <v>21660</v>
      </c>
      <c r="B11262" s="1" t="str">
        <f>"97493"</f>
        <v>97493</v>
      </c>
      <c r="C11262" s="2">
        <v>1.4741491711237E-3</v>
      </c>
      <c r="D11262" s="2">
        <v>4.0802051760317E-4</v>
      </c>
      <c r="E11262" s="2">
        <v>1.1402508551881399E-3</v>
      </c>
      <c r="F11262" s="2">
        <v>1.37685840520188E-3</v>
      </c>
    </row>
    <row r="11263" spans="1:6" x14ac:dyDescent="0.25">
      <c r="A11263" s="1" t="str">
        <f t="shared" si="410"/>
        <v>21660</v>
      </c>
      <c r="B11263" s="1" t="str">
        <f>"97439"</f>
        <v>97439</v>
      </c>
      <c r="C11263" s="2">
        <v>6.3303264947712906E-2</v>
      </c>
      <c r="D11263" s="2">
        <v>5.6423408719981298E-2</v>
      </c>
      <c r="E11263" s="2">
        <v>3.2069555302166403E-2</v>
      </c>
      <c r="F11263" s="2">
        <v>6.1713434271514503E-2</v>
      </c>
    </row>
    <row r="11264" spans="1:6" x14ac:dyDescent="0.25">
      <c r="A11264" s="1" t="str">
        <f t="shared" si="410"/>
        <v>21660</v>
      </c>
      <c r="B11264" s="1" t="str">
        <f>"97446"</f>
        <v>97446</v>
      </c>
      <c r="C11264" s="2">
        <v>1.1175860142092999E-4</v>
      </c>
      <c r="D11264" s="2">
        <v>0</v>
      </c>
      <c r="E11264" s="2">
        <v>0</v>
      </c>
      <c r="F11264" s="2">
        <v>9.9020638730272406E-5</v>
      </c>
    </row>
    <row r="11265" spans="1:6" x14ac:dyDescent="0.25">
      <c r="A11265" s="1" t="str">
        <f t="shared" si="410"/>
        <v>21660</v>
      </c>
      <c r="B11265" s="1" t="str">
        <f>"97490"</f>
        <v>97490</v>
      </c>
      <c r="C11265" s="2">
        <v>1.0005055746254701E-3</v>
      </c>
      <c r="D11265" s="2">
        <v>3.4973187223128898E-4</v>
      </c>
      <c r="E11265" s="2">
        <v>2.8506271379703498E-4</v>
      </c>
      <c r="F11265" s="2">
        <v>9.2419262814920898E-4</v>
      </c>
    </row>
    <row r="11266" spans="1:6" x14ac:dyDescent="0.25">
      <c r="A11266" s="1" t="str">
        <f t="shared" si="410"/>
        <v>21660</v>
      </c>
      <c r="B11266" s="1" t="str">
        <f>"97453"</f>
        <v>97453</v>
      </c>
      <c r="C11266" s="2">
        <v>3.2782523083473001E-3</v>
      </c>
      <c r="D11266" s="2">
        <v>1.2823501981813899E-3</v>
      </c>
      <c r="E11266" s="2">
        <v>1.71037628278221E-3</v>
      </c>
      <c r="F11266" s="2">
        <v>3.0649245321274798E-3</v>
      </c>
    </row>
    <row r="11267" spans="1:6" x14ac:dyDescent="0.25">
      <c r="A11267" s="1" t="str">
        <f t="shared" si="410"/>
        <v>21660</v>
      </c>
      <c r="B11267" s="1" t="str">
        <f>"97478"</f>
        <v>97478</v>
      </c>
      <c r="C11267" s="2">
        <v>8.0561986110002301E-2</v>
      </c>
      <c r="D11267" s="2">
        <v>3.49731872231289E-2</v>
      </c>
      <c r="E11267" s="2">
        <v>4.4612314709236003E-2</v>
      </c>
      <c r="F11267" s="2">
        <v>7.5684774869504895E-2</v>
      </c>
    </row>
    <row r="11268" spans="1:6" x14ac:dyDescent="0.25">
      <c r="A11268" s="1" t="str">
        <f t="shared" si="410"/>
        <v>21660</v>
      </c>
      <c r="B11268" s="1" t="str">
        <f>"97404"</f>
        <v>97404</v>
      </c>
      <c r="C11268" s="2">
        <v>8.2030813442963105E-2</v>
      </c>
      <c r="D11268" s="2">
        <v>4.8146421077174102E-2</v>
      </c>
      <c r="E11268" s="2">
        <v>4.3757126567844903E-2</v>
      </c>
      <c r="F11268" s="2">
        <v>7.8023548050943706E-2</v>
      </c>
    </row>
    <row r="11269" spans="1:6" x14ac:dyDescent="0.25">
      <c r="A11269" s="1" t="str">
        <f t="shared" si="410"/>
        <v>21660</v>
      </c>
      <c r="B11269" s="1" t="str">
        <f>"97454"</f>
        <v>97454</v>
      </c>
      <c r="C11269" s="2">
        <v>3.6507809797503999E-3</v>
      </c>
      <c r="D11269" s="2">
        <v>1.16577290743763E-4</v>
      </c>
      <c r="E11269" s="2">
        <v>2.8506271379703498E-4</v>
      </c>
      <c r="F11269" s="2">
        <v>3.25353527256609E-3</v>
      </c>
    </row>
    <row r="11270" spans="1:6" x14ac:dyDescent="0.25">
      <c r="A11270" s="1" t="str">
        <f t="shared" si="410"/>
        <v>21660</v>
      </c>
      <c r="B11270" s="1" t="str">
        <f>"97463"</f>
        <v>97463</v>
      </c>
      <c r="C11270" s="2">
        <v>1.37569516511002E-2</v>
      </c>
      <c r="D11270" s="2">
        <v>3.1475868500816001E-3</v>
      </c>
      <c r="E11270" s="2">
        <v>1.56784492588369E-2</v>
      </c>
      <c r="F11270" s="2">
        <v>1.29622731366437E-2</v>
      </c>
    </row>
    <row r="11271" spans="1:6" x14ac:dyDescent="0.25">
      <c r="A11271" s="1" t="str">
        <f t="shared" si="410"/>
        <v>21660</v>
      </c>
      <c r="B11271" s="1" t="str">
        <f>"97412"</f>
        <v>97412</v>
      </c>
      <c r="C11271" s="2">
        <v>1.3943215986801801E-3</v>
      </c>
      <c r="D11271" s="2">
        <v>2.33154581487526E-4</v>
      </c>
      <c r="E11271" s="2">
        <v>0</v>
      </c>
      <c r="F11271" s="2">
        <v>1.2542614239167799E-3</v>
      </c>
    </row>
    <row r="11272" spans="1:6" x14ac:dyDescent="0.25">
      <c r="A11272" s="1" t="str">
        <f t="shared" si="410"/>
        <v>21660</v>
      </c>
      <c r="B11272" s="1" t="str">
        <f>"97390"</f>
        <v>97390</v>
      </c>
      <c r="C11272" s="2">
        <v>9.0471248769324905E-5</v>
      </c>
      <c r="D11272" s="2">
        <v>5.82886453718815E-5</v>
      </c>
      <c r="E11272" s="2">
        <v>0</v>
      </c>
      <c r="F11272" s="2">
        <v>8.4874833197376396E-5</v>
      </c>
    </row>
    <row r="11273" spans="1:6" x14ac:dyDescent="0.25">
      <c r="A11273" s="1" t="str">
        <f t="shared" si="410"/>
        <v>21660</v>
      </c>
      <c r="B11273" s="1" t="str">
        <f>"97448"</f>
        <v>97448</v>
      </c>
      <c r="C11273" s="2">
        <v>3.39320401266597E-2</v>
      </c>
      <c r="D11273" s="2">
        <v>2.8678013522965701E-2</v>
      </c>
      <c r="E11273" s="2">
        <v>1.9669327251995401E-2</v>
      </c>
      <c r="F11273" s="2">
        <v>3.3035171187823197E-2</v>
      </c>
    </row>
    <row r="11274" spans="1:6" x14ac:dyDescent="0.25">
      <c r="A11274" s="1" t="str">
        <f t="shared" si="410"/>
        <v>21660</v>
      </c>
      <c r="B11274" s="1" t="str">
        <f>"97405"</f>
        <v>97405</v>
      </c>
      <c r="C11274" s="2">
        <v>0.11683563502833801</v>
      </c>
      <c r="D11274" s="2">
        <v>7.0296106318489093E-2</v>
      </c>
      <c r="E11274" s="2">
        <v>5.80102622576966E-2</v>
      </c>
      <c r="F11274" s="2">
        <v>0.11112473299792</v>
      </c>
    </row>
    <row r="11275" spans="1:6" x14ac:dyDescent="0.25">
      <c r="A11275" s="1" t="str">
        <f t="shared" si="410"/>
        <v>21660</v>
      </c>
      <c r="B11275" s="1" t="str">
        <f>"97492"</f>
        <v>97492</v>
      </c>
      <c r="C11275" s="2">
        <v>1.88393070966711E-3</v>
      </c>
      <c r="D11275" s="2">
        <v>2.33154581487526E-4</v>
      </c>
      <c r="E11275" s="2">
        <v>5.7012542759406995E-4</v>
      </c>
      <c r="F11275" s="2">
        <v>1.7069272009694501E-3</v>
      </c>
    </row>
    <row r="11276" spans="1:6" x14ac:dyDescent="0.25">
      <c r="A11276" s="1" t="str">
        <f t="shared" si="410"/>
        <v>21660</v>
      </c>
      <c r="B11276" s="1" t="str">
        <f>"97438"</f>
        <v>97438</v>
      </c>
      <c r="C11276" s="2">
        <v>2.3575743061653399E-3</v>
      </c>
      <c r="D11276" s="2">
        <v>6.4117509909069703E-4</v>
      </c>
      <c r="E11276" s="2">
        <v>0</v>
      </c>
      <c r="F11276" s="2">
        <v>2.1407319039782702E-3</v>
      </c>
    </row>
    <row r="11277" spans="1:6" x14ac:dyDescent="0.25">
      <c r="A11277" s="1" t="str">
        <f t="shared" si="410"/>
        <v>21660</v>
      </c>
      <c r="B11277" s="1" t="str">
        <f>"97434"</f>
        <v>97434</v>
      </c>
      <c r="C11277" s="2">
        <v>2.2245283520928101E-3</v>
      </c>
      <c r="D11277" s="2">
        <v>1.74865936115644E-4</v>
      </c>
      <c r="E11277" s="2">
        <v>5.7012542759406995E-4</v>
      </c>
      <c r="F11277" s="2">
        <v>2.0039891171602701E-3</v>
      </c>
    </row>
    <row r="11278" spans="1:6" x14ac:dyDescent="0.25">
      <c r="A11278" s="1" t="str">
        <f t="shared" si="410"/>
        <v>21660</v>
      </c>
      <c r="B11278" s="1" t="str">
        <f>"97488"</f>
        <v>97488</v>
      </c>
      <c r="C11278" s="2">
        <v>3.59756259812139E-3</v>
      </c>
      <c r="D11278" s="2">
        <v>5.8288645371881503E-4</v>
      </c>
      <c r="E11278" s="2">
        <v>9.977194982896231E-4</v>
      </c>
      <c r="F11278" s="2">
        <v>3.2676810780989901E-3</v>
      </c>
    </row>
    <row r="11279" spans="1:6" x14ac:dyDescent="0.25">
      <c r="A11279" s="1" t="str">
        <f t="shared" si="410"/>
        <v>21660</v>
      </c>
      <c r="B11279" s="1" t="str">
        <f>"97426"</f>
        <v>97426</v>
      </c>
      <c r="C11279" s="2">
        <v>2.4209041803038699E-2</v>
      </c>
      <c r="D11279" s="2">
        <v>6.6449055723944899E-3</v>
      </c>
      <c r="E11279" s="2">
        <v>1.52508551881413E-2</v>
      </c>
      <c r="F11279" s="2">
        <v>2.2491830797304699E-2</v>
      </c>
    </row>
    <row r="11280" spans="1:6" x14ac:dyDescent="0.25">
      <c r="A11280" s="1" t="str">
        <f t="shared" si="410"/>
        <v>21660</v>
      </c>
      <c r="B11280" s="1" t="str">
        <f>"97424"</f>
        <v>97424</v>
      </c>
      <c r="C11280" s="2">
        <v>4.6092440328889497E-2</v>
      </c>
      <c r="D11280" s="2">
        <v>4.7854977850314701E-2</v>
      </c>
      <c r="E11280" s="2">
        <v>2.1949828962371701E-2</v>
      </c>
      <c r="F11280" s="2">
        <v>4.5436327371662102E-2</v>
      </c>
    </row>
    <row r="11281" spans="1:6" x14ac:dyDescent="0.25">
      <c r="A11281" s="1" t="str">
        <f t="shared" si="410"/>
        <v>21660</v>
      </c>
      <c r="B11281" s="1" t="str">
        <f>"97480"</f>
        <v>97480</v>
      </c>
      <c r="C11281" s="2">
        <v>1.25595380644474E-3</v>
      </c>
      <c r="D11281" s="2">
        <v>2.33154581487526E-4</v>
      </c>
      <c r="E11281" s="2">
        <v>2.8506271379703498E-4</v>
      </c>
      <c r="F11281" s="2">
        <v>1.14109497965361E-3</v>
      </c>
    </row>
    <row r="11282" spans="1:6" x14ac:dyDescent="0.25">
      <c r="A11282" s="1" t="str">
        <f t="shared" si="410"/>
        <v>21660</v>
      </c>
      <c r="B11282" s="1" t="str">
        <f>"97451"</f>
        <v>97451</v>
      </c>
      <c r="C11282" s="2">
        <v>9.2599984034485495E-4</v>
      </c>
      <c r="D11282" s="2">
        <v>5.82886453718815E-5</v>
      </c>
      <c r="E11282" s="2">
        <v>1.42531356898517E-4</v>
      </c>
      <c r="F11282" s="2">
        <v>8.2988725792990201E-4</v>
      </c>
    </row>
    <row r="11283" spans="1:6" x14ac:dyDescent="0.25">
      <c r="A11283" s="1" t="str">
        <f t="shared" si="410"/>
        <v>21660</v>
      </c>
      <c r="B11283" s="1" t="str">
        <f>"97430"</f>
        <v>97430</v>
      </c>
      <c r="C11283" s="2">
        <v>1.2825629972592499E-3</v>
      </c>
      <c r="D11283" s="2">
        <v>1.16577290743763E-4</v>
      </c>
      <c r="E11283" s="2">
        <v>1.42531356898517E-4</v>
      </c>
      <c r="F11283" s="2">
        <v>1.1505255166755399E-3</v>
      </c>
    </row>
    <row r="11284" spans="1:6" x14ac:dyDescent="0.25">
      <c r="A11284" s="1" t="str">
        <f t="shared" si="410"/>
        <v>21660</v>
      </c>
      <c r="B11284" s="1" t="str">
        <f>"97487"</f>
        <v>97487</v>
      </c>
      <c r="C11284" s="2">
        <v>1.8355019823847098E-2</v>
      </c>
      <c r="D11284" s="2">
        <v>6.2368850547913201E-3</v>
      </c>
      <c r="E11284" s="2">
        <v>5.2736602052451502E-3</v>
      </c>
      <c r="F11284" s="2">
        <v>1.6941959759898501E-2</v>
      </c>
    </row>
    <row r="11285" spans="1:6" x14ac:dyDescent="0.25">
      <c r="A11285" s="1" t="str">
        <f t="shared" ref="A11285:A11324" si="411">"21700"</f>
        <v>21700</v>
      </c>
      <c r="B11285" s="1" t="str">
        <f>"95545"</f>
        <v>95545</v>
      </c>
      <c r="C11285" s="2">
        <v>0</v>
      </c>
      <c r="D11285" s="2">
        <v>1.35538086202222E-4</v>
      </c>
      <c r="E11285" s="2">
        <v>0</v>
      </c>
      <c r="F11285" s="2">
        <v>1.2783310110319899E-5</v>
      </c>
    </row>
    <row r="11286" spans="1:6" x14ac:dyDescent="0.25">
      <c r="A11286" s="1" t="str">
        <f t="shared" si="411"/>
        <v>21700</v>
      </c>
      <c r="B11286" s="1" t="str">
        <f>"95525"</f>
        <v>95525</v>
      </c>
      <c r="C11286" s="2">
        <v>1.9336893304972499E-3</v>
      </c>
      <c r="D11286" s="2">
        <v>1.35538086202222E-4</v>
      </c>
      <c r="E11286" s="2">
        <v>2.7624309392265098E-4</v>
      </c>
      <c r="F11286" s="2">
        <v>1.68739693456223E-3</v>
      </c>
    </row>
    <row r="11287" spans="1:6" x14ac:dyDescent="0.25">
      <c r="A11287" s="1" t="str">
        <f t="shared" si="411"/>
        <v>21700</v>
      </c>
      <c r="B11287" s="1" t="str">
        <f>"95553"</f>
        <v>95553</v>
      </c>
      <c r="C11287" s="2">
        <v>1.48745333115173E-5</v>
      </c>
      <c r="D11287" s="2">
        <v>1.35538086202222E-4</v>
      </c>
      <c r="E11287" s="2">
        <v>0</v>
      </c>
      <c r="F11287" s="2">
        <v>2.5566620220639901E-5</v>
      </c>
    </row>
    <row r="11288" spans="1:6" x14ac:dyDescent="0.25">
      <c r="A11288" s="1" t="str">
        <f t="shared" si="411"/>
        <v>21700</v>
      </c>
      <c r="B11288" s="1" t="str">
        <f>"95559"</f>
        <v>95559</v>
      </c>
      <c r="C11288" s="2">
        <v>0</v>
      </c>
      <c r="D11288" s="2">
        <v>0</v>
      </c>
      <c r="E11288" s="2">
        <v>2.7624309392265098E-4</v>
      </c>
      <c r="F11288" s="2">
        <v>1.2783310110319899E-5</v>
      </c>
    </row>
    <row r="11289" spans="1:6" x14ac:dyDescent="0.25">
      <c r="A11289" s="1" t="str">
        <f t="shared" si="411"/>
        <v>21700</v>
      </c>
      <c r="B11289" s="1" t="str">
        <f>"95546"</f>
        <v>95546</v>
      </c>
      <c r="C11289" s="2">
        <v>1.6168617709619301E-2</v>
      </c>
      <c r="D11289" s="2">
        <v>9.4876660341555903E-4</v>
      </c>
      <c r="E11289" s="2">
        <v>1.1049723756906E-3</v>
      </c>
      <c r="F11289" s="2">
        <v>1.40360745011313E-2</v>
      </c>
    </row>
    <row r="11290" spans="1:6" x14ac:dyDescent="0.25">
      <c r="A11290" s="1" t="str">
        <f t="shared" si="411"/>
        <v>21700</v>
      </c>
      <c r="B11290" s="1" t="str">
        <f>"95521"</f>
        <v>95521</v>
      </c>
      <c r="C11290" s="2">
        <v>0.16507757069121901</v>
      </c>
      <c r="D11290" s="2">
        <v>0.17741935483870899</v>
      </c>
      <c r="E11290" s="2">
        <v>0.28121546961325899</v>
      </c>
      <c r="F11290" s="2">
        <v>0.17161593823104501</v>
      </c>
    </row>
    <row r="11291" spans="1:6" x14ac:dyDescent="0.25">
      <c r="A11291" s="1" t="str">
        <f t="shared" si="411"/>
        <v>21700</v>
      </c>
      <c r="B11291" s="1" t="str">
        <f>"95537"</f>
        <v>95537</v>
      </c>
      <c r="C11291" s="2">
        <v>0</v>
      </c>
      <c r="D11291" s="2">
        <v>1.35538086202222E-4</v>
      </c>
      <c r="E11291" s="2">
        <v>0</v>
      </c>
      <c r="F11291" s="2">
        <v>1.2783310110319899E-5</v>
      </c>
    </row>
    <row r="11292" spans="1:6" x14ac:dyDescent="0.25">
      <c r="A11292" s="1" t="str">
        <f t="shared" si="411"/>
        <v>21700</v>
      </c>
      <c r="B11292" s="1" t="str">
        <f>"95565"</f>
        <v>95565</v>
      </c>
      <c r="C11292" s="2">
        <v>1.4577042645286999E-3</v>
      </c>
      <c r="D11292" s="2">
        <v>1.35538086202222E-4</v>
      </c>
      <c r="E11292" s="2">
        <v>2.7624309392265098E-4</v>
      </c>
      <c r="F11292" s="2">
        <v>1.2783310110319899E-3</v>
      </c>
    </row>
    <row r="11293" spans="1:6" x14ac:dyDescent="0.25">
      <c r="A11293" s="1" t="str">
        <f t="shared" si="411"/>
        <v>21700</v>
      </c>
      <c r="B11293" s="1" t="str">
        <f>"95540"</f>
        <v>95540</v>
      </c>
      <c r="C11293" s="2">
        <v>0.103214386648618</v>
      </c>
      <c r="D11293" s="2">
        <v>0.113580916237462</v>
      </c>
      <c r="E11293" s="2">
        <v>7.9005524861878396E-2</v>
      </c>
      <c r="F11293" s="2">
        <v>0.103071829419509</v>
      </c>
    </row>
    <row r="11294" spans="1:6" x14ac:dyDescent="0.25">
      <c r="A11294" s="1" t="str">
        <f t="shared" si="411"/>
        <v>21700</v>
      </c>
      <c r="B11294" s="1" t="str">
        <f>"95560"</f>
        <v>95560</v>
      </c>
      <c r="C11294" s="2">
        <v>2.88417200910321E-2</v>
      </c>
      <c r="D11294" s="2">
        <v>3.07671455679045E-2</v>
      </c>
      <c r="E11294" s="2">
        <v>5.2486187845303799E-3</v>
      </c>
      <c r="F11294" s="2">
        <v>2.7931532591049101E-2</v>
      </c>
    </row>
    <row r="11295" spans="1:6" x14ac:dyDescent="0.25">
      <c r="A11295" s="1" t="str">
        <f t="shared" si="411"/>
        <v>21700</v>
      </c>
      <c r="B11295" s="1" t="str">
        <f>"95524"</f>
        <v>95524</v>
      </c>
      <c r="C11295" s="2">
        <v>1.9500513171399201E-2</v>
      </c>
      <c r="D11295" s="2">
        <v>1.77554892924911E-2</v>
      </c>
      <c r="E11295" s="2">
        <v>1.6574585635359101E-3</v>
      </c>
      <c r="F11295" s="2">
        <v>1.85102330397433E-2</v>
      </c>
    </row>
    <row r="11296" spans="1:6" x14ac:dyDescent="0.25">
      <c r="A11296" s="1" t="str">
        <f t="shared" si="411"/>
        <v>21700</v>
      </c>
      <c r="B11296" s="1" t="str">
        <f>"95568"</f>
        <v>95568</v>
      </c>
      <c r="C11296" s="2">
        <v>1.48745333115173E-5</v>
      </c>
      <c r="D11296" s="2">
        <v>0</v>
      </c>
      <c r="E11296" s="2">
        <v>0</v>
      </c>
      <c r="F11296" s="2">
        <v>1.2783310110319899E-5</v>
      </c>
    </row>
    <row r="11297" spans="1:6" x14ac:dyDescent="0.25">
      <c r="A11297" s="1" t="str">
        <f t="shared" si="411"/>
        <v>21700</v>
      </c>
      <c r="B11297" s="1" t="str">
        <f>"95571"</f>
        <v>95571</v>
      </c>
      <c r="C11297" s="2">
        <v>0</v>
      </c>
      <c r="D11297" s="2">
        <v>1.35538086202222E-4</v>
      </c>
      <c r="E11297" s="2">
        <v>2.7624309392265098E-4</v>
      </c>
      <c r="F11297" s="2">
        <v>2.5566620220639901E-5</v>
      </c>
    </row>
    <row r="11298" spans="1:6" x14ac:dyDescent="0.25">
      <c r="A11298" s="1" t="str">
        <f t="shared" si="411"/>
        <v>21700</v>
      </c>
      <c r="B11298" s="1" t="str">
        <f>"95554"</f>
        <v>95554</v>
      </c>
      <c r="C11298" s="2">
        <v>2.3353017299082199E-3</v>
      </c>
      <c r="D11298" s="2">
        <v>1.35538086202222E-4</v>
      </c>
      <c r="E11298" s="2">
        <v>2.7624309392265098E-4</v>
      </c>
      <c r="F11298" s="2">
        <v>2.03254630754087E-3</v>
      </c>
    </row>
    <row r="11299" spans="1:6" x14ac:dyDescent="0.25">
      <c r="A11299" s="1" t="str">
        <f t="shared" si="411"/>
        <v>21700</v>
      </c>
      <c r="B11299" s="1" t="str">
        <f>"95550"</f>
        <v>95550</v>
      </c>
      <c r="C11299" s="2">
        <v>6.54479465706763E-4</v>
      </c>
      <c r="D11299" s="2">
        <v>2.7107617240444497E-4</v>
      </c>
      <c r="E11299" s="2">
        <v>8.2872928176795505E-4</v>
      </c>
      <c r="F11299" s="2">
        <v>6.2638219540567795E-4</v>
      </c>
    </row>
    <row r="11300" spans="1:6" x14ac:dyDescent="0.25">
      <c r="A11300" s="1" t="str">
        <f t="shared" si="411"/>
        <v>21700</v>
      </c>
      <c r="B11300" s="1" t="str">
        <f>"95573"</f>
        <v>95573</v>
      </c>
      <c r="C11300" s="2">
        <v>2.5286706629579399E-4</v>
      </c>
      <c r="D11300" s="2">
        <v>0</v>
      </c>
      <c r="E11300" s="2">
        <v>2.7624309392265098E-4</v>
      </c>
      <c r="F11300" s="2">
        <v>2.30099581985759E-4</v>
      </c>
    </row>
    <row r="11301" spans="1:6" x14ac:dyDescent="0.25">
      <c r="A11301" s="1" t="str">
        <f t="shared" si="411"/>
        <v>21700</v>
      </c>
      <c r="B11301" s="1" t="str">
        <f>"95519"</f>
        <v>95519</v>
      </c>
      <c r="C11301" s="2">
        <v>0.12704338901366899</v>
      </c>
      <c r="D11301" s="2">
        <v>5.3130929791271299E-2</v>
      </c>
      <c r="E11301" s="2">
        <v>0.110220994475138</v>
      </c>
      <c r="F11301" s="2">
        <v>0.119293849949505</v>
      </c>
    </row>
    <row r="11302" spans="1:6" x14ac:dyDescent="0.25">
      <c r="A11302" s="1" t="str">
        <f t="shared" si="411"/>
        <v>21700</v>
      </c>
      <c r="B11302" s="1" t="str">
        <f>"95589"</f>
        <v>95589</v>
      </c>
      <c r="C11302" s="2">
        <v>9.4304541195019999E-3</v>
      </c>
      <c r="D11302" s="2">
        <v>3.7950664136622301E-3</v>
      </c>
      <c r="E11302" s="2">
        <v>1.6574585635359101E-3</v>
      </c>
      <c r="F11302" s="2">
        <v>8.5392511536937308E-3</v>
      </c>
    </row>
    <row r="11303" spans="1:6" x14ac:dyDescent="0.25">
      <c r="A11303" s="1" t="str">
        <f t="shared" si="411"/>
        <v>21700</v>
      </c>
      <c r="B11303" s="1" t="str">
        <f>"95558"</f>
        <v>95558</v>
      </c>
      <c r="C11303" s="2">
        <v>1.04121733180621E-3</v>
      </c>
      <c r="D11303" s="2">
        <v>2.7107617240444497E-4</v>
      </c>
      <c r="E11303" s="2">
        <v>2.7624309392265098E-4</v>
      </c>
      <c r="F11303" s="2">
        <v>9.3318163805335705E-4</v>
      </c>
    </row>
    <row r="11304" spans="1:6" x14ac:dyDescent="0.25">
      <c r="A11304" s="1" t="str">
        <f t="shared" si="411"/>
        <v>21700</v>
      </c>
      <c r="B11304" s="1" t="str">
        <f>"95534"</f>
        <v>95534</v>
      </c>
      <c r="C11304" s="2">
        <v>4.9532195927352697E-3</v>
      </c>
      <c r="D11304" s="2">
        <v>1.03008945513689E-2</v>
      </c>
      <c r="E11304" s="2">
        <v>5.5248618784530304E-4</v>
      </c>
      <c r="F11304" s="2">
        <v>5.2539404553415001E-3</v>
      </c>
    </row>
    <row r="11305" spans="1:6" x14ac:dyDescent="0.25">
      <c r="A11305" s="1" t="str">
        <f t="shared" si="411"/>
        <v>21700</v>
      </c>
      <c r="B11305" s="1" t="str">
        <f>"95502"</f>
        <v>95502</v>
      </c>
      <c r="C11305" s="2">
        <v>5.5496883785271199E-2</v>
      </c>
      <c r="D11305" s="2">
        <v>7.8476551911087003E-2</v>
      </c>
      <c r="E11305" s="2">
        <v>1.6574585635359101E-3</v>
      </c>
      <c r="F11305" s="2">
        <v>5.5172766436140899E-2</v>
      </c>
    </row>
    <row r="11306" spans="1:6" x14ac:dyDescent="0.25">
      <c r="A11306" s="1" t="str">
        <f t="shared" si="411"/>
        <v>21700</v>
      </c>
      <c r="B11306" s="1" t="str">
        <f>"95518"</f>
        <v>95518</v>
      </c>
      <c r="C11306" s="2">
        <v>2.5480075562629202E-2</v>
      </c>
      <c r="D11306" s="2">
        <v>4.79804825155868E-2</v>
      </c>
      <c r="E11306" s="2">
        <v>0</v>
      </c>
      <c r="F11306" s="2">
        <v>2.6423101998031301E-2</v>
      </c>
    </row>
    <row r="11307" spans="1:6" x14ac:dyDescent="0.25">
      <c r="A11307" s="1" t="str">
        <f t="shared" si="411"/>
        <v>21700</v>
      </c>
      <c r="B11307" s="1" t="str">
        <f>"95503"</f>
        <v>95503</v>
      </c>
      <c r="C11307" s="2">
        <v>0.16263814722813</v>
      </c>
      <c r="D11307" s="2">
        <v>6.3025210084033598E-2</v>
      </c>
      <c r="E11307" s="2">
        <v>9.1436464088397701E-2</v>
      </c>
      <c r="F11307" s="2">
        <v>0.14994822759405299</v>
      </c>
    </row>
    <row r="11308" spans="1:6" x14ac:dyDescent="0.25">
      <c r="A11308" s="1" t="str">
        <f t="shared" si="411"/>
        <v>21700</v>
      </c>
      <c r="B11308" s="1" t="str">
        <f>"95564"</f>
        <v>95564</v>
      </c>
      <c r="C11308" s="2">
        <v>1.3089589314135199E-3</v>
      </c>
      <c r="D11308" s="2">
        <v>3.3884521550555701E-3</v>
      </c>
      <c r="E11308" s="2">
        <v>1.3812154696132501E-3</v>
      </c>
      <c r="F11308" s="2">
        <v>1.50843059301775E-3</v>
      </c>
    </row>
    <row r="11309" spans="1:6" x14ac:dyDescent="0.25">
      <c r="A11309" s="1" t="str">
        <f t="shared" si="411"/>
        <v>21700</v>
      </c>
      <c r="B11309" s="1" t="str">
        <f>"95556"</f>
        <v>95556</v>
      </c>
      <c r="C11309" s="2">
        <v>1.48745333115173E-5</v>
      </c>
      <c r="D11309" s="2">
        <v>1.35538086202222E-4</v>
      </c>
      <c r="E11309" s="2">
        <v>0</v>
      </c>
      <c r="F11309" s="2">
        <v>2.5566620220639901E-5</v>
      </c>
    </row>
    <row r="11310" spans="1:6" x14ac:dyDescent="0.25">
      <c r="A11310" s="1" t="str">
        <f t="shared" si="411"/>
        <v>21700</v>
      </c>
      <c r="B11310" s="1" t="str">
        <f>"95511"</f>
        <v>95511</v>
      </c>
      <c r="C11310" s="2">
        <v>5.3548319921462397E-4</v>
      </c>
      <c r="D11310" s="2">
        <v>1.35538086202222E-4</v>
      </c>
      <c r="E11310" s="2">
        <v>5.5248618784530304E-4</v>
      </c>
      <c r="F11310" s="2">
        <v>4.9854909430247798E-4</v>
      </c>
    </row>
    <row r="11311" spans="1:6" x14ac:dyDescent="0.25">
      <c r="A11311" s="1" t="str">
        <f t="shared" si="411"/>
        <v>21700</v>
      </c>
      <c r="B11311" s="1" t="str">
        <f>"95547"</f>
        <v>95547</v>
      </c>
      <c r="C11311" s="2">
        <v>2.6476669294500802E-3</v>
      </c>
      <c r="D11311" s="2">
        <v>1.35538086202222E-4</v>
      </c>
      <c r="E11311" s="2">
        <v>8.2872928176795505E-4</v>
      </c>
      <c r="F11311" s="2">
        <v>2.3265624400782298E-3</v>
      </c>
    </row>
    <row r="11312" spans="1:6" x14ac:dyDescent="0.25">
      <c r="A11312" s="1" t="str">
        <f t="shared" si="411"/>
        <v>21700</v>
      </c>
      <c r="B11312" s="1" t="str">
        <f>"95528"</f>
        <v>95528</v>
      </c>
      <c r="C11312" s="2">
        <v>5.89031519136087E-3</v>
      </c>
      <c r="D11312" s="2">
        <v>2.7107617240444497E-4</v>
      </c>
      <c r="E11312" s="2">
        <v>1.3812154696132501E-3</v>
      </c>
      <c r="F11312" s="2">
        <v>5.1516739744589396E-3</v>
      </c>
    </row>
    <row r="11313" spans="1:6" x14ac:dyDescent="0.25">
      <c r="A11313" s="1" t="str">
        <f t="shared" si="411"/>
        <v>21700</v>
      </c>
      <c r="B11313" s="1" t="str">
        <f>"95501"</f>
        <v>95501</v>
      </c>
      <c r="C11313" s="2">
        <v>0.16591054455666401</v>
      </c>
      <c r="D11313" s="2">
        <v>0.33613445378151202</v>
      </c>
      <c r="E11313" s="2">
        <v>0.366574585635359</v>
      </c>
      <c r="F11313" s="2">
        <v>0.19125110256049699</v>
      </c>
    </row>
    <row r="11314" spans="1:6" x14ac:dyDescent="0.25">
      <c r="A11314" s="1" t="str">
        <f t="shared" si="411"/>
        <v>21700</v>
      </c>
      <c r="B11314" s="1" t="str">
        <f>"95542"</f>
        <v>95542</v>
      </c>
      <c r="C11314" s="2">
        <v>2.9168959823885499E-2</v>
      </c>
      <c r="D11314" s="2">
        <v>3.7137435619409E-2</v>
      </c>
      <c r="E11314" s="2">
        <v>1.54696132596685E-2</v>
      </c>
      <c r="F11314" s="2">
        <v>2.9286563462742998E-2</v>
      </c>
    </row>
    <row r="11315" spans="1:6" x14ac:dyDescent="0.25">
      <c r="A11315" s="1" t="str">
        <f t="shared" si="411"/>
        <v>21700</v>
      </c>
      <c r="B11315" s="1" t="str">
        <f>"95562"</f>
        <v>95562</v>
      </c>
      <c r="C11315" s="2">
        <v>2.4037245831412E-2</v>
      </c>
      <c r="D11315" s="2">
        <v>1.05719707237733E-2</v>
      </c>
      <c r="E11315" s="2">
        <v>2.3204419889502701E-2</v>
      </c>
      <c r="F11315" s="2">
        <v>2.2728725376148801E-2</v>
      </c>
    </row>
    <row r="11316" spans="1:6" x14ac:dyDescent="0.25">
      <c r="A11316" s="1" t="str">
        <f t="shared" si="411"/>
        <v>21700</v>
      </c>
      <c r="B11316" s="1" t="str">
        <f>"95570"</f>
        <v>95570</v>
      </c>
      <c r="C11316" s="2">
        <v>1.58860015767005E-2</v>
      </c>
      <c r="D11316" s="2">
        <v>5.6925996204933499E-3</v>
      </c>
      <c r="E11316" s="2">
        <v>6.3535911602209897E-3</v>
      </c>
      <c r="F11316" s="2">
        <v>1.4483490354992501E-2</v>
      </c>
    </row>
    <row r="11317" spans="1:6" x14ac:dyDescent="0.25">
      <c r="A11317" s="1" t="str">
        <f t="shared" si="411"/>
        <v>21700</v>
      </c>
      <c r="B11317" s="1" t="str">
        <f>"95569"</f>
        <v>95569</v>
      </c>
      <c r="C11317" s="2">
        <v>1.3982061312826301E-3</v>
      </c>
      <c r="D11317" s="2">
        <v>1.35538086202222E-4</v>
      </c>
      <c r="E11317" s="2">
        <v>0</v>
      </c>
      <c r="F11317" s="2">
        <v>1.21441446048039E-3</v>
      </c>
    </row>
    <row r="11318" spans="1:6" x14ac:dyDescent="0.25">
      <c r="A11318" s="1" t="str">
        <f t="shared" si="411"/>
        <v>21700</v>
      </c>
      <c r="B11318" s="1" t="str">
        <f>"95551"</f>
        <v>95551</v>
      </c>
      <c r="C11318" s="2">
        <v>5.2060866590310697E-3</v>
      </c>
      <c r="D11318" s="2">
        <v>1.2198427758200001E-3</v>
      </c>
      <c r="E11318" s="2">
        <v>2.7624309392265098E-4</v>
      </c>
      <c r="F11318" s="2">
        <v>4.6019916397151799E-3</v>
      </c>
    </row>
    <row r="11319" spans="1:6" x14ac:dyDescent="0.25">
      <c r="A11319" s="1" t="str">
        <f t="shared" si="411"/>
        <v>21700</v>
      </c>
      <c r="B11319" s="1" t="str">
        <f>"95587"</f>
        <v>95587</v>
      </c>
      <c r="C11319" s="2">
        <v>1.4874533311517299E-4</v>
      </c>
      <c r="D11319" s="2">
        <v>0</v>
      </c>
      <c r="E11319" s="2">
        <v>5.5248618784530304E-4</v>
      </c>
      <c r="F11319" s="2">
        <v>1.5339972132383901E-4</v>
      </c>
    </row>
    <row r="11320" spans="1:6" x14ac:dyDescent="0.25">
      <c r="A11320" s="1" t="str">
        <f t="shared" si="411"/>
        <v>21700</v>
      </c>
      <c r="B11320" s="1" t="str">
        <f>"95514"</f>
        <v>95514</v>
      </c>
      <c r="C11320" s="2">
        <v>1.10071546505228E-3</v>
      </c>
      <c r="D11320" s="2">
        <v>0</v>
      </c>
      <c r="E11320" s="2">
        <v>5.5248618784530304E-4</v>
      </c>
      <c r="F11320" s="2">
        <v>9.7153156838431702E-4</v>
      </c>
    </row>
    <row r="11321" spans="1:6" x14ac:dyDescent="0.25">
      <c r="A11321" s="1" t="str">
        <f t="shared" si="411"/>
        <v>21700</v>
      </c>
      <c r="B11321" s="1" t="str">
        <f>"95549"</f>
        <v>95549</v>
      </c>
      <c r="C11321" s="2">
        <v>6.0688095910990704E-3</v>
      </c>
      <c r="D11321" s="2">
        <v>2.7107617240444497E-4</v>
      </c>
      <c r="E11321" s="2">
        <v>2.7624309392265098E-4</v>
      </c>
      <c r="F11321" s="2">
        <v>5.2539404553415001E-3</v>
      </c>
    </row>
    <row r="11322" spans="1:6" x14ac:dyDescent="0.25">
      <c r="A11322" s="1" t="str">
        <f t="shared" si="411"/>
        <v>21700</v>
      </c>
      <c r="B11322" s="1" t="str">
        <f>"95536"</f>
        <v>95536</v>
      </c>
      <c r="C11322" s="2">
        <v>1.1587261449672001E-2</v>
      </c>
      <c r="D11322" s="2">
        <v>5.2859853618866899E-3</v>
      </c>
      <c r="E11322" s="2">
        <v>3.59116022099447E-3</v>
      </c>
      <c r="F11322" s="2">
        <v>1.06229307016758E-2</v>
      </c>
    </row>
    <row r="11323" spans="1:6" x14ac:dyDescent="0.25">
      <c r="A11323" s="1" t="str">
        <f t="shared" si="411"/>
        <v>21700</v>
      </c>
      <c r="B11323" s="1" t="str">
        <f>"95526"</f>
        <v>95526</v>
      </c>
      <c r="C11323" s="2">
        <v>3.5401389281411199E-3</v>
      </c>
      <c r="D11323" s="2">
        <v>2.7107617240444497E-4</v>
      </c>
      <c r="E11323" s="2">
        <v>2.20994475138121E-3</v>
      </c>
      <c r="F11323" s="2">
        <v>3.1702609073593498E-3</v>
      </c>
    </row>
    <row r="11324" spans="1:6" x14ac:dyDescent="0.25">
      <c r="A11324" s="1" t="str">
        <f t="shared" si="411"/>
        <v>21700</v>
      </c>
      <c r="B11324" s="1" t="str">
        <f>"95555"</f>
        <v>95555</v>
      </c>
      <c r="C11324" s="2">
        <v>0</v>
      </c>
      <c r="D11324" s="2">
        <v>5.4215234480889103E-4</v>
      </c>
      <c r="E11324" s="2">
        <v>2.7624309392265098E-4</v>
      </c>
      <c r="F11324" s="2">
        <v>6.3916550551599795E-5</v>
      </c>
    </row>
    <row r="11325" spans="1:6" x14ac:dyDescent="0.25">
      <c r="A11325" s="1" t="str">
        <f t="shared" ref="A11325:A11331" si="412">"21740"</f>
        <v>21740</v>
      </c>
      <c r="B11325" s="1" t="str">
        <f>"82933"</f>
        <v>82933</v>
      </c>
      <c r="C11325" s="2">
        <v>1.6273849607182901E-2</v>
      </c>
      <c r="D11325" s="2">
        <v>1.5936254980079599E-3</v>
      </c>
      <c r="E11325" s="2">
        <v>0.19158878504672799</v>
      </c>
      <c r="F11325" s="2">
        <v>2.08484848484848E-2</v>
      </c>
    </row>
    <row r="11326" spans="1:6" x14ac:dyDescent="0.25">
      <c r="A11326" s="1" t="str">
        <f t="shared" si="412"/>
        <v>21740</v>
      </c>
      <c r="B11326" s="1" t="str">
        <f>"82930"</f>
        <v>82930</v>
      </c>
      <c r="C11326" s="2">
        <v>0.68303404414515501</v>
      </c>
      <c r="D11326" s="2">
        <v>0.746613545816733</v>
      </c>
      <c r="E11326" s="2">
        <v>0.76635514018691497</v>
      </c>
      <c r="F11326" s="2">
        <v>0.69236363636363596</v>
      </c>
    </row>
    <row r="11327" spans="1:6" x14ac:dyDescent="0.25">
      <c r="A11327" s="1" t="str">
        <f t="shared" si="412"/>
        <v>21740</v>
      </c>
      <c r="B11327" s="1" t="str">
        <f>"82937"</f>
        <v>82937</v>
      </c>
      <c r="C11327" s="2">
        <v>7.3606434717545799E-2</v>
      </c>
      <c r="D11327" s="2">
        <v>2.1513944223107501E-2</v>
      </c>
      <c r="E11327" s="2">
        <v>3.2710280373831703E-2</v>
      </c>
      <c r="F11327" s="2">
        <v>6.6909090909090904E-2</v>
      </c>
    </row>
    <row r="11328" spans="1:6" x14ac:dyDescent="0.25">
      <c r="A11328" s="1" t="str">
        <f t="shared" si="412"/>
        <v>21740</v>
      </c>
      <c r="B11328" s="1" t="str">
        <f>"82936"</f>
        <v>82936</v>
      </c>
      <c r="C11328" s="2">
        <v>2.9928918817807701E-3</v>
      </c>
      <c r="D11328" s="2">
        <v>0</v>
      </c>
      <c r="E11328" s="2">
        <v>2.3364485981308401E-3</v>
      </c>
      <c r="F11328" s="2">
        <v>2.6666666666666601E-3</v>
      </c>
    </row>
    <row r="11329" spans="1:6" x14ac:dyDescent="0.25">
      <c r="A11329" s="1" t="str">
        <f t="shared" si="412"/>
        <v>21740</v>
      </c>
      <c r="B11329" s="1" t="str">
        <f>"82944"</f>
        <v>82944</v>
      </c>
      <c r="C11329" s="2">
        <v>0</v>
      </c>
      <c r="D11329" s="2">
        <v>7.9681274900398398E-4</v>
      </c>
      <c r="E11329" s="2">
        <v>0</v>
      </c>
      <c r="F11329" s="2">
        <v>8.0808080808080797E-5</v>
      </c>
    </row>
    <row r="11330" spans="1:6" x14ac:dyDescent="0.25">
      <c r="A11330" s="1" t="str">
        <f t="shared" si="412"/>
        <v>21740</v>
      </c>
      <c r="B11330" s="1" t="str">
        <f>"82939"</f>
        <v>82939</v>
      </c>
      <c r="C11330" s="2">
        <v>0</v>
      </c>
      <c r="D11330" s="2">
        <v>0</v>
      </c>
      <c r="E11330" s="2">
        <v>2.3364485981308401E-3</v>
      </c>
      <c r="F11330" s="2">
        <v>8.0808080808080797E-5</v>
      </c>
    </row>
    <row r="11331" spans="1:6" x14ac:dyDescent="0.25">
      <c r="A11331" s="1" t="str">
        <f t="shared" si="412"/>
        <v>21740</v>
      </c>
      <c r="B11331" s="1" t="str">
        <f>"82931"</f>
        <v>82931</v>
      </c>
      <c r="C11331" s="2">
        <v>0.22409277964833499</v>
      </c>
      <c r="D11331" s="2">
        <v>0.229482071713147</v>
      </c>
      <c r="E11331" s="2">
        <v>4.6728971962616802E-3</v>
      </c>
      <c r="F11331" s="2">
        <v>0.21705050505050499</v>
      </c>
    </row>
    <row r="11332" spans="1:6" x14ac:dyDescent="0.25">
      <c r="A11332" s="1" t="str">
        <f t="shared" ref="A11332:A11363" si="413">"21780"</f>
        <v>21780</v>
      </c>
      <c r="B11332" s="1" t="str">
        <f>"47601"</f>
        <v>47601</v>
      </c>
      <c r="C11332" s="2">
        <v>4.0577242956648302E-2</v>
      </c>
      <c r="D11332" s="2">
        <v>2.7719112988384299E-2</v>
      </c>
      <c r="E11332" s="2">
        <v>2.6348364279398701E-2</v>
      </c>
      <c r="F11332" s="2">
        <v>3.9001551133013901E-2</v>
      </c>
    </row>
    <row r="11333" spans="1:6" x14ac:dyDescent="0.25">
      <c r="A11333" s="1" t="str">
        <f t="shared" si="413"/>
        <v>21780</v>
      </c>
      <c r="B11333" s="1" t="str">
        <f>"47637"</f>
        <v>47637</v>
      </c>
      <c r="C11333" s="2">
        <v>4.0414804033683301E-3</v>
      </c>
      <c r="D11333" s="2">
        <v>1.0559662090813E-3</v>
      </c>
      <c r="E11333" s="2">
        <v>5.3050397877984004E-4</v>
      </c>
      <c r="F11333" s="2">
        <v>3.6689160957237899E-3</v>
      </c>
    </row>
    <row r="11334" spans="1:6" x14ac:dyDescent="0.25">
      <c r="A11334" s="1" t="str">
        <f t="shared" si="413"/>
        <v>21780</v>
      </c>
      <c r="B11334" s="1" t="str">
        <f>"47704"</f>
        <v>47704</v>
      </c>
      <c r="C11334" s="2">
        <v>5.5229233808088102E-4</v>
      </c>
      <c r="D11334" s="2">
        <v>1.0559662090813E-3</v>
      </c>
      <c r="E11334" s="2">
        <v>3.5366931918655997E-4</v>
      </c>
      <c r="F11334" s="2">
        <v>5.8954502006170102E-4</v>
      </c>
    </row>
    <row r="11335" spans="1:6" x14ac:dyDescent="0.25">
      <c r="A11335" s="1" t="str">
        <f t="shared" si="413"/>
        <v>21780</v>
      </c>
      <c r="B11335" s="1" t="str">
        <f>"47702"</f>
        <v>47702</v>
      </c>
      <c r="C11335" s="2">
        <v>4.1584364279031002E-4</v>
      </c>
      <c r="D11335" s="2">
        <v>2.4419218585005199E-3</v>
      </c>
      <c r="E11335" s="2">
        <v>3.5366931918655997E-4</v>
      </c>
      <c r="F11335" s="2">
        <v>5.8954502006170102E-4</v>
      </c>
    </row>
    <row r="11336" spans="1:6" x14ac:dyDescent="0.25">
      <c r="A11336" s="1" t="str">
        <f t="shared" si="413"/>
        <v>21780</v>
      </c>
      <c r="B11336" s="1" t="str">
        <f>"47620"</f>
        <v>47620</v>
      </c>
      <c r="C11336" s="2">
        <v>4.0362823578334497E-2</v>
      </c>
      <c r="D11336" s="2">
        <v>2.9171066525871099E-2</v>
      </c>
      <c r="E11336" s="2">
        <v>1.9805481874447299E-2</v>
      </c>
      <c r="F11336" s="2">
        <v>3.8726811706189003E-2</v>
      </c>
    </row>
    <row r="11337" spans="1:6" x14ac:dyDescent="0.25">
      <c r="A11337" s="1" t="str">
        <f t="shared" si="413"/>
        <v>21780</v>
      </c>
      <c r="B11337" s="1" t="str">
        <f>"47630"</f>
        <v>47630</v>
      </c>
      <c r="C11337" s="2">
        <v>0.106280538517517</v>
      </c>
      <c r="D11337" s="2">
        <v>5.9068109820485701E-2</v>
      </c>
      <c r="E11337" s="2">
        <v>7.6569407603890305E-2</v>
      </c>
      <c r="F11337" s="2">
        <v>0.101224307570788</v>
      </c>
    </row>
    <row r="11338" spans="1:6" x14ac:dyDescent="0.25">
      <c r="A11338" s="1" t="str">
        <f t="shared" si="413"/>
        <v>21780</v>
      </c>
      <c r="B11338" s="1" t="str">
        <f>"47638"</f>
        <v>47638</v>
      </c>
      <c r="C11338" s="2">
        <v>9.7788231624908999E-3</v>
      </c>
      <c r="D11338" s="2">
        <v>1.91393875395987E-3</v>
      </c>
      <c r="E11338" s="2">
        <v>1.2378426171529601E-3</v>
      </c>
      <c r="F11338" s="2">
        <v>8.82028034869012E-3</v>
      </c>
    </row>
    <row r="11339" spans="1:6" x14ac:dyDescent="0.25">
      <c r="A11339" s="1" t="str">
        <f t="shared" si="413"/>
        <v>21780</v>
      </c>
      <c r="B11339" s="1" t="str">
        <f>"47631"</f>
        <v>47631</v>
      </c>
      <c r="C11339" s="2">
        <v>5.9257719097619201E-3</v>
      </c>
      <c r="D11339" s="2">
        <v>7.2597676874340002E-4</v>
      </c>
      <c r="E11339" s="2">
        <v>1.0610079575596801E-3</v>
      </c>
      <c r="F11339" s="2">
        <v>5.3173526566730198E-3</v>
      </c>
    </row>
    <row r="11340" spans="1:6" x14ac:dyDescent="0.25">
      <c r="A11340" s="1" t="str">
        <f t="shared" si="413"/>
        <v>21780</v>
      </c>
      <c r="B11340" s="1" t="str">
        <f>"47721"</f>
        <v>47721</v>
      </c>
      <c r="C11340" s="2">
        <v>0</v>
      </c>
      <c r="D11340" s="2">
        <v>0</v>
      </c>
      <c r="E11340" s="2">
        <v>1.7683465959327999E-4</v>
      </c>
      <c r="F11340" s="2">
        <v>5.7237380588514703E-6</v>
      </c>
    </row>
    <row r="11341" spans="1:6" x14ac:dyDescent="0.25">
      <c r="A11341" s="1" t="str">
        <f t="shared" si="413"/>
        <v>21780</v>
      </c>
      <c r="B11341" s="1" t="str">
        <f>"42420"</f>
        <v>42420</v>
      </c>
      <c r="C11341" s="2">
        <v>0.119022247634889</v>
      </c>
      <c r="D11341" s="2">
        <v>0.110150475184794</v>
      </c>
      <c r="E11341" s="2">
        <v>0.17842617152961901</v>
      </c>
      <c r="F11341" s="2">
        <v>0.120175604283645</v>
      </c>
    </row>
    <row r="11342" spans="1:6" x14ac:dyDescent="0.25">
      <c r="A11342" s="1" t="str">
        <f t="shared" si="413"/>
        <v>21780</v>
      </c>
      <c r="B11342" s="1" t="str">
        <f>"47711"</f>
        <v>47711</v>
      </c>
      <c r="C11342" s="2">
        <v>9.4026146169040398E-2</v>
      </c>
      <c r="D11342" s="2">
        <v>8.8899155227032706E-2</v>
      </c>
      <c r="E11342" s="2">
        <v>8.4350132625994598E-2</v>
      </c>
      <c r="F11342" s="2">
        <v>9.3268311668984694E-2</v>
      </c>
    </row>
    <row r="11343" spans="1:6" x14ac:dyDescent="0.25">
      <c r="A11343" s="1" t="str">
        <f t="shared" si="413"/>
        <v>21780</v>
      </c>
      <c r="B11343" s="1" t="str">
        <f>"47610"</f>
        <v>47610</v>
      </c>
      <c r="C11343" s="2">
        <v>1.98565339432373E-2</v>
      </c>
      <c r="D11343" s="2">
        <v>1.2605596620908099E-2</v>
      </c>
      <c r="E11343" s="2">
        <v>1.0610079575596801E-2</v>
      </c>
      <c r="F11343" s="2">
        <v>1.8928401760621799E-2</v>
      </c>
    </row>
    <row r="11344" spans="1:6" x14ac:dyDescent="0.25">
      <c r="A11344" s="1" t="str">
        <f t="shared" si="413"/>
        <v>21780</v>
      </c>
      <c r="B11344" s="1" t="str">
        <f>"47633"</f>
        <v>47633</v>
      </c>
      <c r="C11344" s="2">
        <v>6.0622206050525004E-3</v>
      </c>
      <c r="D11344" s="2">
        <v>1.91393875395987E-3</v>
      </c>
      <c r="E11344" s="2">
        <v>1.9451812555260799E-3</v>
      </c>
      <c r="F11344" s="2">
        <v>5.5691971312624797E-3</v>
      </c>
    </row>
    <row r="11345" spans="1:6" x14ac:dyDescent="0.25">
      <c r="A11345" s="1" t="str">
        <f t="shared" si="413"/>
        <v>21780</v>
      </c>
      <c r="B11345" s="1" t="str">
        <f>"47701"</f>
        <v>47701</v>
      </c>
      <c r="C11345" s="2">
        <v>1.9492670755795799E-4</v>
      </c>
      <c r="D11345" s="2">
        <v>3.4978880675818301E-3</v>
      </c>
      <c r="E11345" s="2">
        <v>3.5366931918655997E-4</v>
      </c>
      <c r="F11345" s="2">
        <v>4.8651773500237499E-4</v>
      </c>
    </row>
    <row r="11346" spans="1:6" x14ac:dyDescent="0.25">
      <c r="A11346" s="1" t="str">
        <f t="shared" si="413"/>
        <v>21780</v>
      </c>
      <c r="B11346" s="1" t="str">
        <f>"42457"</f>
        <v>42457</v>
      </c>
      <c r="C11346" s="2">
        <v>0</v>
      </c>
      <c r="D11346" s="2">
        <v>0</v>
      </c>
      <c r="E11346" s="2">
        <v>1.7683465959327999E-4</v>
      </c>
      <c r="F11346" s="2">
        <v>5.7237380588514703E-6</v>
      </c>
    </row>
    <row r="11347" spans="1:6" x14ac:dyDescent="0.25">
      <c r="A11347" s="1" t="str">
        <f t="shared" si="413"/>
        <v>21780</v>
      </c>
      <c r="B11347" s="1" t="str">
        <f>"47618"</f>
        <v>47618</v>
      </c>
      <c r="C11347" s="2">
        <v>0</v>
      </c>
      <c r="D11347" s="2">
        <v>0</v>
      </c>
      <c r="E11347" s="2">
        <v>1.7683465959327999E-4</v>
      </c>
      <c r="F11347" s="2">
        <v>5.7237380588514703E-6</v>
      </c>
    </row>
    <row r="11348" spans="1:6" x14ac:dyDescent="0.25">
      <c r="A11348" s="1" t="str">
        <f t="shared" si="413"/>
        <v>21780</v>
      </c>
      <c r="B11348" s="1" t="str">
        <f>"42301"</f>
        <v>42301</v>
      </c>
      <c r="C11348" s="2">
        <v>2.0792182139515501E-4</v>
      </c>
      <c r="D11348" s="2">
        <v>1.3199577613516299E-4</v>
      </c>
      <c r="E11348" s="2">
        <v>0</v>
      </c>
      <c r="F11348" s="2">
        <v>1.9460709400095E-4</v>
      </c>
    </row>
    <row r="11349" spans="1:6" x14ac:dyDescent="0.25">
      <c r="A11349" s="1" t="str">
        <f t="shared" si="413"/>
        <v>21780</v>
      </c>
      <c r="B11349" s="1" t="str">
        <f>"47705"</f>
        <v>47705</v>
      </c>
      <c r="C11349" s="2">
        <v>5.3279966732508498E-4</v>
      </c>
      <c r="D11349" s="2">
        <v>1.18796198521647E-3</v>
      </c>
      <c r="E11349" s="2">
        <v>3.5366931918655997E-4</v>
      </c>
      <c r="F11349" s="2">
        <v>5.8382128200284999E-4</v>
      </c>
    </row>
    <row r="11350" spans="1:6" x14ac:dyDescent="0.25">
      <c r="A11350" s="1" t="str">
        <f t="shared" si="413"/>
        <v>21780</v>
      </c>
      <c r="B11350" s="1" t="str">
        <f>"42419"</f>
        <v>42419</v>
      </c>
      <c r="C11350" s="2">
        <v>5.9647572512735196E-3</v>
      </c>
      <c r="D11350" s="2">
        <v>2.6597148891235399E-2</v>
      </c>
      <c r="E11350" s="2">
        <v>3.5366931918655997E-4</v>
      </c>
      <c r="F11350" s="2">
        <v>7.5725054518604997E-3</v>
      </c>
    </row>
    <row r="11351" spans="1:6" x14ac:dyDescent="0.25">
      <c r="A11351" s="1" t="str">
        <f t="shared" si="413"/>
        <v>21780</v>
      </c>
      <c r="B11351" s="1" t="str">
        <f>"42452"</f>
        <v>42452</v>
      </c>
      <c r="C11351" s="2">
        <v>6.21816197109886E-3</v>
      </c>
      <c r="D11351" s="2">
        <v>1.5839493136219601E-3</v>
      </c>
      <c r="E11351" s="2">
        <v>1.0610079575596801E-3</v>
      </c>
      <c r="F11351" s="2">
        <v>5.6493294640864002E-3</v>
      </c>
    </row>
    <row r="11352" spans="1:6" x14ac:dyDescent="0.25">
      <c r="A11352" s="1" t="str">
        <f t="shared" si="413"/>
        <v>21780</v>
      </c>
      <c r="B11352" s="1" t="str">
        <f>"47660"</f>
        <v>47660</v>
      </c>
      <c r="C11352" s="2">
        <v>3.8985341511591603E-5</v>
      </c>
      <c r="D11352" s="2">
        <v>0</v>
      </c>
      <c r="E11352" s="2">
        <v>0</v>
      </c>
      <c r="F11352" s="2">
        <v>3.43424283531088E-5</v>
      </c>
    </row>
    <row r="11353" spans="1:6" x14ac:dyDescent="0.25">
      <c r="A11353" s="1" t="str">
        <f t="shared" si="413"/>
        <v>21780</v>
      </c>
      <c r="B11353" s="1" t="str">
        <f>"47732"</f>
        <v>47732</v>
      </c>
      <c r="C11353" s="2">
        <v>2.0792182139515501E-4</v>
      </c>
      <c r="D11353" s="2">
        <v>2.2439281942977802E-3</v>
      </c>
      <c r="E11353" s="2">
        <v>3.5366931918655997E-4</v>
      </c>
      <c r="F11353" s="2">
        <v>3.8921418800189999E-4</v>
      </c>
    </row>
    <row r="11354" spans="1:6" x14ac:dyDescent="0.25">
      <c r="A11354" s="1" t="str">
        <f t="shared" si="413"/>
        <v>21780</v>
      </c>
      <c r="B11354" s="1" t="str">
        <f>"42462"</f>
        <v>42462</v>
      </c>
      <c r="C11354" s="2">
        <v>1.11757978999896E-3</v>
      </c>
      <c r="D11354" s="2">
        <v>6.5997888067581805E-5</v>
      </c>
      <c r="E11354" s="2">
        <v>1.5915119363395199E-3</v>
      </c>
      <c r="F11354" s="2">
        <v>1.04172032671096E-3</v>
      </c>
    </row>
    <row r="11355" spans="1:6" x14ac:dyDescent="0.25">
      <c r="A11355" s="1" t="str">
        <f t="shared" si="413"/>
        <v>21780</v>
      </c>
      <c r="B11355" s="1" t="str">
        <f>"47722"</f>
        <v>47722</v>
      </c>
      <c r="C11355" s="2">
        <v>0</v>
      </c>
      <c r="D11355" s="2">
        <v>1.3199577613516299E-4</v>
      </c>
      <c r="E11355" s="2">
        <v>0</v>
      </c>
      <c r="F11355" s="2">
        <v>1.14474761177029E-5</v>
      </c>
    </row>
    <row r="11356" spans="1:6" x14ac:dyDescent="0.25">
      <c r="A11356" s="1" t="str">
        <f t="shared" si="413"/>
        <v>21780</v>
      </c>
      <c r="B11356" s="1" t="str">
        <f>"42451"</f>
        <v>42451</v>
      </c>
      <c r="C11356" s="2">
        <v>2.3781058322070898E-3</v>
      </c>
      <c r="D11356" s="2">
        <v>5.2798310454065401E-4</v>
      </c>
      <c r="E11356" s="2">
        <v>3.5366931918655997E-4</v>
      </c>
      <c r="F11356" s="2">
        <v>2.1521255101281502E-3</v>
      </c>
    </row>
    <row r="11357" spans="1:6" x14ac:dyDescent="0.25">
      <c r="A11357" s="1" t="str">
        <f t="shared" si="413"/>
        <v>21780</v>
      </c>
      <c r="B11357" s="1" t="str">
        <f>"47706"</f>
        <v>47706</v>
      </c>
      <c r="C11357" s="2">
        <v>6.3026302110406396E-4</v>
      </c>
      <c r="D11357" s="2">
        <v>8.57972544878563E-3</v>
      </c>
      <c r="E11357" s="2">
        <v>3.5366931918655997E-4</v>
      </c>
      <c r="F11357" s="2">
        <v>1.31073601547698E-3</v>
      </c>
    </row>
    <row r="11358" spans="1:6" x14ac:dyDescent="0.25">
      <c r="A11358" s="1" t="str">
        <f t="shared" si="413"/>
        <v>21780</v>
      </c>
      <c r="B11358" s="1" t="str">
        <f>"47730"</f>
        <v>47730</v>
      </c>
      <c r="C11358" s="2">
        <v>2.8589250441833798E-4</v>
      </c>
      <c r="D11358" s="2">
        <v>2.2439281942977802E-3</v>
      </c>
      <c r="E11358" s="2">
        <v>3.5366931918655997E-4</v>
      </c>
      <c r="F11358" s="2">
        <v>4.5789904470811698E-4</v>
      </c>
    </row>
    <row r="11359" spans="1:6" x14ac:dyDescent="0.25">
      <c r="A11359" s="1" t="str">
        <f t="shared" si="413"/>
        <v>21780</v>
      </c>
      <c r="B11359" s="1" t="str">
        <f>"47710"</f>
        <v>47710</v>
      </c>
      <c r="C11359" s="2">
        <v>6.0030928370932497E-2</v>
      </c>
      <c r="D11359" s="2">
        <v>6.0784054910242802E-2</v>
      </c>
      <c r="E11359" s="2">
        <v>9.2484526967285499E-2</v>
      </c>
      <c r="F11359" s="2">
        <v>6.11466936827103E-2</v>
      </c>
    </row>
    <row r="11360" spans="1:6" x14ac:dyDescent="0.25">
      <c r="A11360" s="1" t="str">
        <f t="shared" si="413"/>
        <v>21780</v>
      </c>
      <c r="B11360" s="1" t="str">
        <f>"47616"</f>
        <v>47616</v>
      </c>
      <c r="C11360" s="2">
        <v>7.7320927331323399E-4</v>
      </c>
      <c r="D11360" s="2">
        <v>6.5997888067581805E-5</v>
      </c>
      <c r="E11360" s="2">
        <v>1.7683465959327999E-4</v>
      </c>
      <c r="F11360" s="2">
        <v>6.9257230512102797E-4</v>
      </c>
    </row>
    <row r="11361" spans="1:6" x14ac:dyDescent="0.25">
      <c r="A11361" s="1" t="str">
        <f t="shared" si="413"/>
        <v>21780</v>
      </c>
      <c r="B11361" s="1" t="str">
        <f>"47737"</f>
        <v>47737</v>
      </c>
      <c r="C11361" s="2">
        <v>1.88429150639359E-4</v>
      </c>
      <c r="D11361" s="2">
        <v>1.2539598732840499E-3</v>
      </c>
      <c r="E11361" s="2">
        <v>3.5366931918655997E-4</v>
      </c>
      <c r="F11361" s="2">
        <v>2.8618690294257299E-4</v>
      </c>
    </row>
    <row r="11362" spans="1:6" x14ac:dyDescent="0.25">
      <c r="A11362" s="1" t="str">
        <f t="shared" si="413"/>
        <v>21780</v>
      </c>
      <c r="B11362" s="1" t="str">
        <f>"47703"</f>
        <v>47703</v>
      </c>
      <c r="C11362" s="2">
        <v>5.8478012267387401E-4</v>
      </c>
      <c r="D11362" s="2">
        <v>7.2597676874340002E-4</v>
      </c>
      <c r="E11362" s="2">
        <v>3.5366931918655997E-4</v>
      </c>
      <c r="F11362" s="2">
        <v>5.8954502006170102E-4</v>
      </c>
    </row>
    <row r="11363" spans="1:6" x14ac:dyDescent="0.25">
      <c r="A11363" s="1" t="str">
        <f t="shared" si="413"/>
        <v>21780</v>
      </c>
      <c r="B11363" s="1" t="str">
        <f>"47728"</f>
        <v>47728</v>
      </c>
      <c r="C11363" s="2">
        <v>7.4721904563883898E-3</v>
      </c>
      <c r="D11363" s="2">
        <v>1.4981520591341E-2</v>
      </c>
      <c r="E11363" s="2">
        <v>3.5366931918655997E-4</v>
      </c>
      <c r="F11363" s="2">
        <v>7.8930347831561807E-3</v>
      </c>
    </row>
    <row r="11364" spans="1:6" x14ac:dyDescent="0.25">
      <c r="A11364" s="1" t="str">
        <f t="shared" ref="A11364:A11392" si="414">"21780"</f>
        <v>21780</v>
      </c>
      <c r="B11364" s="1" t="str">
        <f>"47708"</f>
        <v>47708</v>
      </c>
      <c r="C11364" s="2">
        <v>3.2292857885435002E-3</v>
      </c>
      <c r="D11364" s="2">
        <v>5.22043294614572E-2</v>
      </c>
      <c r="E11364" s="2">
        <v>2.26348364279398E-2</v>
      </c>
      <c r="F11364" s="2">
        <v>8.1048130913336808E-3</v>
      </c>
    </row>
    <row r="11365" spans="1:6" x14ac:dyDescent="0.25">
      <c r="A11365" s="1" t="str">
        <f t="shared" si="414"/>
        <v>21780</v>
      </c>
      <c r="B11365" s="1" t="str">
        <f>"47639"</f>
        <v>47639</v>
      </c>
      <c r="C11365" s="2">
        <v>8.7067262709221297E-4</v>
      </c>
      <c r="D11365" s="2">
        <v>2.63991552270327E-4</v>
      </c>
      <c r="E11365" s="2">
        <v>0</v>
      </c>
      <c r="F11365" s="2">
        <v>7.8987585212150302E-4</v>
      </c>
    </row>
    <row r="11366" spans="1:6" x14ac:dyDescent="0.25">
      <c r="A11366" s="1" t="str">
        <f t="shared" si="414"/>
        <v>21780</v>
      </c>
      <c r="B11366" s="1" t="str">
        <f>"47712"</f>
        <v>47712</v>
      </c>
      <c r="C11366" s="2">
        <v>7.1720033267491407E-2</v>
      </c>
      <c r="D11366" s="2">
        <v>0.12269007391763399</v>
      </c>
      <c r="E11366" s="2">
        <v>9.9204244031830202E-2</v>
      </c>
      <c r="F11366" s="2">
        <v>7.7030066796023103E-2</v>
      </c>
    </row>
    <row r="11367" spans="1:6" x14ac:dyDescent="0.25">
      <c r="A11367" s="1" t="str">
        <f t="shared" si="414"/>
        <v>21780</v>
      </c>
      <c r="B11367" s="1" t="str">
        <f>"47747"</f>
        <v>47747</v>
      </c>
      <c r="C11367" s="2">
        <v>0</v>
      </c>
      <c r="D11367" s="2">
        <v>0</v>
      </c>
      <c r="E11367" s="2">
        <v>1.7683465959327999E-4</v>
      </c>
      <c r="F11367" s="2">
        <v>5.7237380588514703E-6</v>
      </c>
    </row>
    <row r="11368" spans="1:6" x14ac:dyDescent="0.25">
      <c r="A11368" s="1" t="str">
        <f t="shared" si="414"/>
        <v>21780</v>
      </c>
      <c r="B11368" s="1" t="str">
        <f>"42402"</f>
        <v>42402</v>
      </c>
      <c r="C11368" s="2">
        <v>0</v>
      </c>
      <c r="D11368" s="2">
        <v>0</v>
      </c>
      <c r="E11368" s="2">
        <v>1.7683465959327999E-4</v>
      </c>
      <c r="F11368" s="2">
        <v>5.7237380588514703E-6</v>
      </c>
    </row>
    <row r="11369" spans="1:6" x14ac:dyDescent="0.25">
      <c r="A11369" s="1" t="str">
        <f t="shared" si="414"/>
        <v>21780</v>
      </c>
      <c r="B11369" s="1" t="str">
        <f>"47612"</f>
        <v>47612</v>
      </c>
      <c r="C11369" s="2">
        <v>1.53342343278927E-3</v>
      </c>
      <c r="D11369" s="2">
        <v>5.9398099260823598E-4</v>
      </c>
      <c r="E11369" s="2">
        <v>1.9451812555260799E-3</v>
      </c>
      <c r="F11369" s="2">
        <v>1.4652769430659701E-3</v>
      </c>
    </row>
    <row r="11370" spans="1:6" x14ac:dyDescent="0.25">
      <c r="A11370" s="1" t="str">
        <f t="shared" si="414"/>
        <v>21780</v>
      </c>
      <c r="B11370" s="1" t="str">
        <f>"47713"</f>
        <v>47713</v>
      </c>
      <c r="C11370" s="2">
        <v>3.62693627196174E-2</v>
      </c>
      <c r="D11370" s="2">
        <v>2.67951425554382E-2</v>
      </c>
      <c r="E11370" s="2">
        <v>8.9655172413793102E-2</v>
      </c>
      <c r="F11370" s="2">
        <v>3.7175678692240297E-2</v>
      </c>
    </row>
    <row r="11371" spans="1:6" x14ac:dyDescent="0.25">
      <c r="A11371" s="1" t="str">
        <f t="shared" si="414"/>
        <v>21780</v>
      </c>
      <c r="B11371" s="1" t="str">
        <f>"47725"</f>
        <v>47725</v>
      </c>
      <c r="C11371" s="2">
        <v>5.1265724087742999E-2</v>
      </c>
      <c r="D11371" s="2">
        <v>2.7587117212249199E-2</v>
      </c>
      <c r="E11371" s="2">
        <v>6.36604774535809E-3</v>
      </c>
      <c r="F11371" s="2">
        <v>4.7758870363056698E-2</v>
      </c>
    </row>
    <row r="11372" spans="1:6" x14ac:dyDescent="0.25">
      <c r="A11372" s="1" t="str">
        <f t="shared" si="414"/>
        <v>21780</v>
      </c>
      <c r="B11372" s="1" t="str">
        <f>"47629"</f>
        <v>47629</v>
      </c>
      <c r="C11372" s="2">
        <v>7.6346293793533599E-3</v>
      </c>
      <c r="D11372" s="2">
        <v>2.2571277719112898E-2</v>
      </c>
      <c r="E11372" s="2">
        <v>3.5366931918655997E-4</v>
      </c>
      <c r="F11372" s="2">
        <v>8.6943581113953904E-3</v>
      </c>
    </row>
    <row r="11373" spans="1:6" x14ac:dyDescent="0.25">
      <c r="A11373" s="1" t="str">
        <f t="shared" si="414"/>
        <v>21780</v>
      </c>
      <c r="B11373" s="1" t="str">
        <f>"47724"</f>
        <v>47724</v>
      </c>
      <c r="C11373" s="2">
        <v>5.3409917870880499E-3</v>
      </c>
      <c r="D11373" s="2">
        <v>1.6961457233368501E-2</v>
      </c>
      <c r="E11373" s="2">
        <v>3.5366931918655997E-4</v>
      </c>
      <c r="F11373" s="2">
        <v>6.1873608416184401E-3</v>
      </c>
    </row>
    <row r="11374" spans="1:6" x14ac:dyDescent="0.25">
      <c r="A11374" s="1" t="str">
        <f t="shared" si="414"/>
        <v>21780</v>
      </c>
      <c r="B11374" s="1" t="str">
        <f>"47613"</f>
        <v>47613</v>
      </c>
      <c r="C11374" s="2">
        <v>6.4975569185985998E-3</v>
      </c>
      <c r="D11374" s="2">
        <v>2.70591341077085E-3</v>
      </c>
      <c r="E11374" s="2">
        <v>1.4146772767462399E-3</v>
      </c>
      <c r="F11374" s="2">
        <v>6.0042012237351899E-3</v>
      </c>
    </row>
    <row r="11375" spans="1:6" x14ac:dyDescent="0.25">
      <c r="A11375" s="1" t="str">
        <f t="shared" si="414"/>
        <v>21780</v>
      </c>
      <c r="B11375" s="1" t="str">
        <f>"47523"</f>
        <v>47523</v>
      </c>
      <c r="C11375" s="2">
        <v>2.7289739058114098E-3</v>
      </c>
      <c r="D11375" s="2">
        <v>7.2597676874340002E-4</v>
      </c>
      <c r="E11375" s="2">
        <v>8.8417329796640104E-4</v>
      </c>
      <c r="F11375" s="2">
        <v>2.49554979365924E-3</v>
      </c>
    </row>
    <row r="11376" spans="1:6" x14ac:dyDescent="0.25">
      <c r="A11376" s="1" t="str">
        <f t="shared" si="414"/>
        <v>21780</v>
      </c>
      <c r="B11376" s="1" t="str">
        <f>"47735"</f>
        <v>47735</v>
      </c>
      <c r="C11376" s="2">
        <v>1.03960910697577E-4</v>
      </c>
      <c r="D11376" s="2">
        <v>1.7159450897571199E-3</v>
      </c>
      <c r="E11376" s="2">
        <v>3.5366931918655997E-4</v>
      </c>
      <c r="F11376" s="2">
        <v>2.5184447458946401E-4</v>
      </c>
    </row>
    <row r="11377" spans="1:6" x14ac:dyDescent="0.25">
      <c r="A11377" s="1" t="str">
        <f t="shared" si="414"/>
        <v>21780</v>
      </c>
      <c r="B11377" s="1" t="str">
        <f>"47736"</f>
        <v>47736</v>
      </c>
      <c r="C11377" s="2">
        <v>5.4579478116228205E-4</v>
      </c>
      <c r="D11377" s="2">
        <v>1.18796198521647E-3</v>
      </c>
      <c r="E11377" s="2">
        <v>3.5366931918655997E-4</v>
      </c>
      <c r="F11377" s="2">
        <v>5.9526875812055302E-4</v>
      </c>
    </row>
    <row r="11378" spans="1:6" x14ac:dyDescent="0.25">
      <c r="A11378" s="1" t="str">
        <f t="shared" si="414"/>
        <v>21780</v>
      </c>
      <c r="B11378" s="1" t="str">
        <f>"42406"</f>
        <v>42406</v>
      </c>
      <c r="C11378" s="2">
        <v>7.7061025054579397E-3</v>
      </c>
      <c r="D11378" s="2">
        <v>1.2539598732840499E-3</v>
      </c>
      <c r="E11378" s="2">
        <v>1.9451812555260799E-3</v>
      </c>
      <c r="F11378" s="2">
        <v>6.9600654795633904E-3</v>
      </c>
    </row>
    <row r="11379" spans="1:6" x14ac:dyDescent="0.25">
      <c r="A11379" s="1" t="str">
        <f t="shared" si="414"/>
        <v>21780</v>
      </c>
      <c r="B11379" s="1" t="str">
        <f>"47715"</f>
        <v>47715</v>
      </c>
      <c r="C11379" s="2">
        <v>9.9425615968395803E-2</v>
      </c>
      <c r="D11379" s="2">
        <v>0.13562565997887999</v>
      </c>
      <c r="E11379" s="2">
        <v>0.175419982316534</v>
      </c>
      <c r="F11379" s="2">
        <v>0.105024869641865</v>
      </c>
    </row>
    <row r="11380" spans="1:6" x14ac:dyDescent="0.25">
      <c r="A11380" s="1" t="str">
        <f t="shared" si="414"/>
        <v>21780</v>
      </c>
      <c r="B11380" s="1" t="str">
        <f>"47619"</f>
        <v>47619</v>
      </c>
      <c r="C11380" s="2">
        <v>4.7497141074955796E-3</v>
      </c>
      <c r="D11380" s="2">
        <v>1.5839493136219601E-3</v>
      </c>
      <c r="E11380" s="2">
        <v>2.8293545534924798E-3</v>
      </c>
      <c r="F11380" s="2">
        <v>4.4130020433744803E-3</v>
      </c>
    </row>
    <row r="11381" spans="1:6" x14ac:dyDescent="0.25">
      <c r="A11381" s="1" t="str">
        <f t="shared" si="414"/>
        <v>21780</v>
      </c>
      <c r="B11381" s="1" t="str">
        <f>"47734"</f>
        <v>47734</v>
      </c>
      <c r="C11381" s="2">
        <v>2.0142426447655601E-4</v>
      </c>
      <c r="D11381" s="2">
        <v>2.3099260823653601E-3</v>
      </c>
      <c r="E11381" s="2">
        <v>3.5366931918655997E-4</v>
      </c>
      <c r="F11381" s="2">
        <v>3.8921418800189999E-4</v>
      </c>
    </row>
    <row r="11382" spans="1:6" x14ac:dyDescent="0.25">
      <c r="A11382" s="1" t="str">
        <f t="shared" si="414"/>
        <v>21780</v>
      </c>
      <c r="B11382" s="1" t="str">
        <f>"47733"</f>
        <v>47733</v>
      </c>
      <c r="C11382" s="2">
        <v>1.2345358145337301E-4</v>
      </c>
      <c r="D11382" s="2">
        <v>1.64994720168954E-3</v>
      </c>
      <c r="E11382" s="2">
        <v>3.5366931918655997E-4</v>
      </c>
      <c r="F11382" s="2">
        <v>2.6329195070716699E-4</v>
      </c>
    </row>
    <row r="11383" spans="1:6" x14ac:dyDescent="0.25">
      <c r="A11383" s="1" t="str">
        <f t="shared" si="414"/>
        <v>21780</v>
      </c>
      <c r="B11383" s="1" t="str">
        <f>"47719"</f>
        <v>47719</v>
      </c>
      <c r="C11383" s="2">
        <v>4.08046574487992E-3</v>
      </c>
      <c r="D11383" s="2">
        <v>1.4519535374868E-2</v>
      </c>
      <c r="E11383" s="2">
        <v>3.5366931918655997E-4</v>
      </c>
      <c r="F11383" s="2">
        <v>4.8651773500237496E-3</v>
      </c>
    </row>
    <row r="11384" spans="1:6" x14ac:dyDescent="0.25">
      <c r="A11384" s="1" t="str">
        <f t="shared" si="414"/>
        <v>21780</v>
      </c>
      <c r="B11384" s="1" t="str">
        <f>"47537"</f>
        <v>47537</v>
      </c>
      <c r="C11384" s="2">
        <v>8.3168728558062101E-4</v>
      </c>
      <c r="D11384" s="2">
        <v>1.9799366420274501E-4</v>
      </c>
      <c r="E11384" s="2">
        <v>0</v>
      </c>
      <c r="F11384" s="2">
        <v>7.4980968570954301E-4</v>
      </c>
    </row>
    <row r="11385" spans="1:6" x14ac:dyDescent="0.25">
      <c r="A11385" s="1" t="str">
        <f t="shared" si="414"/>
        <v>21780</v>
      </c>
      <c r="B11385" s="1" t="str">
        <f>"42458"</f>
        <v>42458</v>
      </c>
      <c r="C11385" s="2">
        <v>2.7159787919742101E-3</v>
      </c>
      <c r="D11385" s="2">
        <v>3.2998944033790903E-4</v>
      </c>
      <c r="E11385" s="2">
        <v>1.0610079575596801E-3</v>
      </c>
      <c r="F11385" s="2">
        <v>2.4554836272472802E-3</v>
      </c>
    </row>
    <row r="11386" spans="1:6" x14ac:dyDescent="0.25">
      <c r="A11386" s="1" t="str">
        <f t="shared" si="414"/>
        <v>21780</v>
      </c>
      <c r="B11386" s="1" t="str">
        <f>"47714"</f>
        <v>47714</v>
      </c>
      <c r="C11386" s="2">
        <v>0.10332415011955499</v>
      </c>
      <c r="D11386" s="2">
        <v>6.4611932418162599E-2</v>
      </c>
      <c r="E11386" s="2">
        <v>7.9045092838196204E-2</v>
      </c>
      <c r="F11386" s="2">
        <v>9.9180933083778303E-2</v>
      </c>
    </row>
    <row r="11387" spans="1:6" x14ac:dyDescent="0.25">
      <c r="A11387" s="1" t="str">
        <f t="shared" si="414"/>
        <v>21780</v>
      </c>
      <c r="B11387" s="1" t="str">
        <f>"47720"</f>
        <v>47720</v>
      </c>
      <c r="C11387" s="2">
        <v>4.9712807984197901E-2</v>
      </c>
      <c r="D11387" s="2">
        <v>1.5047518479408601E-2</v>
      </c>
      <c r="E11387" s="2">
        <v>1.27320954907161E-2</v>
      </c>
      <c r="F11387" s="2">
        <v>4.5509441305928003E-2</v>
      </c>
    </row>
    <row r="11388" spans="1:6" x14ac:dyDescent="0.25">
      <c r="A11388" s="1" t="str">
        <f t="shared" si="414"/>
        <v>21780</v>
      </c>
      <c r="B11388" s="1" t="str">
        <f>"47716"</f>
        <v>47716</v>
      </c>
      <c r="C11388" s="2">
        <v>5.0096163842395201E-3</v>
      </c>
      <c r="D11388" s="2">
        <v>2.2373284054910202E-2</v>
      </c>
      <c r="E11388" s="2">
        <v>5.3050397877984004E-4</v>
      </c>
      <c r="F11388" s="2">
        <v>6.3705204595016903E-3</v>
      </c>
    </row>
    <row r="11389" spans="1:6" x14ac:dyDescent="0.25">
      <c r="A11389" s="1" t="str">
        <f t="shared" si="414"/>
        <v>21780</v>
      </c>
      <c r="B11389" s="1" t="str">
        <f>"47750"</f>
        <v>47750</v>
      </c>
      <c r="C11389" s="2">
        <v>0</v>
      </c>
      <c r="D11389" s="2">
        <v>0</v>
      </c>
      <c r="E11389" s="2">
        <v>1.7683465959327999E-4</v>
      </c>
      <c r="F11389" s="2">
        <v>5.7237380588514703E-6</v>
      </c>
    </row>
    <row r="11390" spans="1:6" x14ac:dyDescent="0.25">
      <c r="A11390" s="1" t="str">
        <f t="shared" si="414"/>
        <v>21780</v>
      </c>
      <c r="B11390" s="1" t="str">
        <f>"47731"</f>
        <v>47731</v>
      </c>
      <c r="C11390" s="2">
        <v>4.2883875662750801E-4</v>
      </c>
      <c r="D11390" s="2">
        <v>3.1678986272439202E-3</v>
      </c>
      <c r="E11390" s="2">
        <v>3.5366931918655997E-4</v>
      </c>
      <c r="F11390" s="2">
        <v>6.6395361482677099E-4</v>
      </c>
    </row>
    <row r="11391" spans="1:6" x14ac:dyDescent="0.25">
      <c r="A11391" s="1" t="str">
        <f t="shared" si="414"/>
        <v>21780</v>
      </c>
      <c r="B11391" s="1" t="str">
        <f>"47541"</f>
        <v>47541</v>
      </c>
      <c r="C11391" s="2">
        <v>7.1473126104584604E-5</v>
      </c>
      <c r="D11391" s="2">
        <v>0</v>
      </c>
      <c r="E11391" s="2">
        <v>0</v>
      </c>
      <c r="F11391" s="2">
        <v>6.2961118647366206E-5</v>
      </c>
    </row>
    <row r="11392" spans="1:6" x14ac:dyDescent="0.25">
      <c r="A11392" s="1" t="str">
        <f t="shared" si="414"/>
        <v>21780</v>
      </c>
      <c r="B11392" s="1" t="str">
        <f>"42461"</f>
        <v>42461</v>
      </c>
      <c r="C11392" s="2">
        <v>1.4944380912776701E-4</v>
      </c>
      <c r="D11392" s="2">
        <v>0</v>
      </c>
      <c r="E11392" s="2">
        <v>0</v>
      </c>
      <c r="F11392" s="2">
        <v>1.3164597535358301E-4</v>
      </c>
    </row>
    <row r="11393" spans="1:6" x14ac:dyDescent="0.25">
      <c r="A11393" s="1" t="str">
        <f t="shared" ref="A11393:A11405" si="415">"21820"</f>
        <v>21820</v>
      </c>
      <c r="B11393" s="1" t="str">
        <f>"99707"</f>
        <v>99707</v>
      </c>
      <c r="C11393" s="2">
        <v>8.0994604542222501E-2</v>
      </c>
      <c r="D11393" s="2">
        <v>0.104560394412489</v>
      </c>
      <c r="E11393" s="2">
        <v>2.9489826010026498E-4</v>
      </c>
      <c r="F11393" s="2">
        <v>7.8160386611266605E-2</v>
      </c>
    </row>
    <row r="11394" spans="1:6" x14ac:dyDescent="0.25">
      <c r="A11394" s="1" t="str">
        <f t="shared" si="415"/>
        <v>21820</v>
      </c>
      <c r="B11394" s="1" t="str">
        <f>"99703"</f>
        <v>99703</v>
      </c>
      <c r="C11394" s="2">
        <v>4.1783428834330102E-2</v>
      </c>
      <c r="D11394" s="2">
        <v>1.31470829909613E-2</v>
      </c>
      <c r="E11394" s="2">
        <v>0.21527572987319299</v>
      </c>
      <c r="F11394" s="2">
        <v>4.9788683417443802E-2</v>
      </c>
    </row>
    <row r="11395" spans="1:6" x14ac:dyDescent="0.25">
      <c r="A11395" s="1" t="str">
        <f t="shared" si="415"/>
        <v>21820</v>
      </c>
      <c r="B11395" s="1" t="str">
        <f>"99712"</f>
        <v>99712</v>
      </c>
      <c r="C11395" s="2">
        <v>0.10617340750345</v>
      </c>
      <c r="D11395" s="2">
        <v>8.6277732128184001E-3</v>
      </c>
      <c r="E11395" s="2">
        <v>2.1527572987319301E-2</v>
      </c>
      <c r="F11395" s="2">
        <v>9.2586978618685006E-2</v>
      </c>
    </row>
    <row r="11396" spans="1:6" x14ac:dyDescent="0.25">
      <c r="A11396" s="1" t="str">
        <f t="shared" si="415"/>
        <v>21820</v>
      </c>
      <c r="B11396" s="1" t="str">
        <f>"99725"</f>
        <v>99725</v>
      </c>
      <c r="C11396" s="2">
        <v>0</v>
      </c>
      <c r="D11396" s="2">
        <v>0</v>
      </c>
      <c r="E11396" s="2">
        <v>2.9489826010026498E-4</v>
      </c>
      <c r="F11396" s="2">
        <v>1.7832623000517099E-5</v>
      </c>
    </row>
    <row r="11397" spans="1:6" x14ac:dyDescent="0.25">
      <c r="A11397" s="1" t="str">
        <f t="shared" si="415"/>
        <v>21820</v>
      </c>
      <c r="B11397" s="1" t="str">
        <f>"99706"</f>
        <v>99706</v>
      </c>
      <c r="C11397" s="2">
        <v>2.5325191350537402E-2</v>
      </c>
      <c r="D11397" s="2">
        <v>2.8142974527526701E-2</v>
      </c>
      <c r="E11397" s="2">
        <v>2.9489826010026498E-4</v>
      </c>
      <c r="F11397" s="2">
        <v>2.4056208427697599E-2</v>
      </c>
    </row>
    <row r="11398" spans="1:6" x14ac:dyDescent="0.25">
      <c r="A11398" s="1" t="str">
        <f t="shared" si="415"/>
        <v>21820</v>
      </c>
      <c r="B11398" s="1" t="str">
        <f>"99702"</f>
        <v>99702</v>
      </c>
      <c r="C11398" s="2">
        <v>3.5614203856288398E-2</v>
      </c>
      <c r="D11398" s="2">
        <v>4.7658175842235001E-2</v>
      </c>
      <c r="E11398" s="2">
        <v>0.13240931878501899</v>
      </c>
      <c r="F11398" s="2">
        <v>4.2512973233232797E-2</v>
      </c>
    </row>
    <row r="11399" spans="1:6" x14ac:dyDescent="0.25">
      <c r="A11399" s="1" t="str">
        <f t="shared" si="415"/>
        <v>21820</v>
      </c>
      <c r="B11399" s="1" t="str">
        <f>"99708"</f>
        <v>99708</v>
      </c>
      <c r="C11399" s="2">
        <v>8.8502237651093704E-2</v>
      </c>
      <c r="D11399" s="2">
        <v>0.106820049301561</v>
      </c>
      <c r="E11399" s="2">
        <v>2.9489826010026498E-4</v>
      </c>
      <c r="F11399" s="2">
        <v>8.4758457121457895E-2</v>
      </c>
    </row>
    <row r="11400" spans="1:6" x14ac:dyDescent="0.25">
      <c r="A11400" s="1" t="str">
        <f t="shared" si="415"/>
        <v>21820</v>
      </c>
      <c r="B11400" s="1" t="str">
        <f>"99775"</f>
        <v>99775</v>
      </c>
      <c r="C11400" s="2">
        <v>0</v>
      </c>
      <c r="D11400" s="2">
        <v>0</v>
      </c>
      <c r="E11400" s="2">
        <v>2.9489826010026498E-4</v>
      </c>
      <c r="F11400" s="2">
        <v>1.7832623000517099E-5</v>
      </c>
    </row>
    <row r="11401" spans="1:6" x14ac:dyDescent="0.25">
      <c r="A11401" s="1" t="str">
        <f t="shared" si="415"/>
        <v>21820</v>
      </c>
      <c r="B11401" s="1" t="str">
        <f>"99790"</f>
        <v>99790</v>
      </c>
      <c r="C11401" s="2">
        <v>2.0912627044209202E-5</v>
      </c>
      <c r="D11401" s="2">
        <v>0</v>
      </c>
      <c r="E11401" s="2">
        <v>2.9489826010026498E-4</v>
      </c>
      <c r="F11401" s="2">
        <v>3.5665246001034198E-5</v>
      </c>
    </row>
    <row r="11402" spans="1:6" x14ac:dyDescent="0.25">
      <c r="A11402" s="1" t="str">
        <f t="shared" si="415"/>
        <v>21820</v>
      </c>
      <c r="B11402" s="1" t="str">
        <f>"99701"</f>
        <v>99701</v>
      </c>
      <c r="C11402" s="2">
        <v>0.186540633234346</v>
      </c>
      <c r="D11402" s="2">
        <v>0.45213640098603097</v>
      </c>
      <c r="E11402" s="2">
        <v>0.33146564435269799</v>
      </c>
      <c r="F11402" s="2">
        <v>0.21836046864133199</v>
      </c>
    </row>
    <row r="11403" spans="1:6" x14ac:dyDescent="0.25">
      <c r="A11403" s="1" t="str">
        <f t="shared" si="415"/>
        <v>21820</v>
      </c>
      <c r="B11403" s="1" t="str">
        <f>"99709"</f>
        <v>99709</v>
      </c>
      <c r="C11403" s="2">
        <v>0.250240495211008</v>
      </c>
      <c r="D11403" s="2">
        <v>0.18508627773212799</v>
      </c>
      <c r="E11403" s="2">
        <v>0.18519610734296599</v>
      </c>
      <c r="F11403" s="2">
        <v>0.24065124739197799</v>
      </c>
    </row>
    <row r="11404" spans="1:6" x14ac:dyDescent="0.25">
      <c r="A11404" s="1" t="str">
        <f t="shared" si="415"/>
        <v>21820</v>
      </c>
      <c r="B11404" s="1" t="str">
        <f>"99714"</f>
        <v>99714</v>
      </c>
      <c r="C11404" s="2">
        <v>1.20874984315529E-2</v>
      </c>
      <c r="D11404" s="2">
        <v>1.4379622021363999E-3</v>
      </c>
      <c r="E11404" s="2">
        <v>1.1795930404010599E-3</v>
      </c>
      <c r="F11404" s="2">
        <v>1.05034149473045E-2</v>
      </c>
    </row>
    <row r="11405" spans="1:6" x14ac:dyDescent="0.25">
      <c r="A11405" s="1" t="str">
        <f t="shared" si="415"/>
        <v>21820</v>
      </c>
      <c r="B11405" s="1" t="str">
        <f>"99705"</f>
        <v>99705</v>
      </c>
      <c r="C11405" s="2">
        <v>0.17271738675812401</v>
      </c>
      <c r="D11405" s="2">
        <v>5.2382908792111701E-2</v>
      </c>
      <c r="E11405" s="2">
        <v>0.11117664405780001</v>
      </c>
      <c r="F11405" s="2">
        <v>0.15854985109759701</v>
      </c>
    </row>
    <row r="11406" spans="1:6" x14ac:dyDescent="0.25">
      <c r="A11406" s="1" t="str">
        <f t="shared" ref="A11406:A11421" si="416">"21840"</f>
        <v>21840</v>
      </c>
      <c r="B11406" s="1" t="str">
        <f>"52567"</f>
        <v>52567</v>
      </c>
      <c r="C11406" s="2">
        <v>3.3890214797135998E-2</v>
      </c>
      <c r="D11406" s="2">
        <v>1.1183597390493899E-2</v>
      </c>
      <c r="E11406" s="2">
        <v>7.09219858156028E-3</v>
      </c>
      <c r="F11406" s="2">
        <v>2.9949086552860101E-2</v>
      </c>
    </row>
    <row r="11407" spans="1:6" x14ac:dyDescent="0.25">
      <c r="A11407" s="1" t="str">
        <f t="shared" si="416"/>
        <v>21840</v>
      </c>
      <c r="B11407" s="1" t="str">
        <f>"52588"</f>
        <v>52588</v>
      </c>
      <c r="C11407" s="2">
        <v>5.9665871121718304E-4</v>
      </c>
      <c r="D11407" s="2">
        <v>0</v>
      </c>
      <c r="E11407" s="2">
        <v>0</v>
      </c>
      <c r="F11407" s="2">
        <v>4.9915144254766798E-4</v>
      </c>
    </row>
    <row r="11408" spans="1:6" x14ac:dyDescent="0.25">
      <c r="A11408" s="1" t="str">
        <f t="shared" si="416"/>
        <v>21840</v>
      </c>
      <c r="B11408" s="1" t="str">
        <f>"52654"</f>
        <v>52654</v>
      </c>
      <c r="C11408" s="2">
        <v>1.19331742243436E-4</v>
      </c>
      <c r="D11408" s="2">
        <v>0</v>
      </c>
      <c r="E11408" s="2">
        <v>0</v>
      </c>
      <c r="F11408" s="2">
        <v>9.9830288509533699E-5</v>
      </c>
    </row>
    <row r="11409" spans="1:6" x14ac:dyDescent="0.25">
      <c r="A11409" s="1" t="str">
        <f t="shared" si="416"/>
        <v>21840</v>
      </c>
      <c r="B11409" s="1" t="str">
        <f>"52540"</f>
        <v>52540</v>
      </c>
      <c r="C11409" s="2">
        <v>2.93556085918854E-2</v>
      </c>
      <c r="D11409" s="2">
        <v>7.4557315936626201E-3</v>
      </c>
      <c r="E11409" s="2">
        <v>0</v>
      </c>
      <c r="F11409" s="2">
        <v>2.5356893281421499E-2</v>
      </c>
    </row>
    <row r="11410" spans="1:6" x14ac:dyDescent="0.25">
      <c r="A11410" s="1" t="str">
        <f t="shared" si="416"/>
        <v>21840</v>
      </c>
      <c r="B11410" s="1" t="str">
        <f>"52556"</f>
        <v>52556</v>
      </c>
      <c r="C11410" s="2">
        <v>0.79904534606205202</v>
      </c>
      <c r="D11410" s="2">
        <v>0.93569431500465905</v>
      </c>
      <c r="E11410" s="2">
        <v>0.97340425531914798</v>
      </c>
      <c r="F11410" s="2">
        <v>0.82350004991514403</v>
      </c>
    </row>
    <row r="11411" spans="1:6" x14ac:dyDescent="0.25">
      <c r="A11411" s="1" t="str">
        <f t="shared" si="416"/>
        <v>21840</v>
      </c>
      <c r="B11411" s="1" t="str">
        <f>"52554"</f>
        <v>52554</v>
      </c>
      <c r="C11411" s="2">
        <v>1.6706443914081099E-3</v>
      </c>
      <c r="D11411" s="2">
        <v>0</v>
      </c>
      <c r="E11411" s="2">
        <v>0</v>
      </c>
      <c r="F11411" s="2">
        <v>1.39762403913347E-3</v>
      </c>
    </row>
    <row r="11412" spans="1:6" x14ac:dyDescent="0.25">
      <c r="A11412" s="1" t="str">
        <f t="shared" si="416"/>
        <v>21840</v>
      </c>
      <c r="B11412" s="1" t="str">
        <f>"52641"</f>
        <v>52641</v>
      </c>
      <c r="C11412" s="2">
        <v>2.38663484486873E-3</v>
      </c>
      <c r="D11412" s="2">
        <v>0</v>
      </c>
      <c r="E11412" s="2">
        <v>0</v>
      </c>
      <c r="F11412" s="2">
        <v>1.9966057701906702E-3</v>
      </c>
    </row>
    <row r="11413" spans="1:6" x14ac:dyDescent="0.25">
      <c r="A11413" s="1" t="str">
        <f t="shared" si="416"/>
        <v>21840</v>
      </c>
      <c r="B11413" s="1" t="str">
        <f>"52557"</f>
        <v>52557</v>
      </c>
      <c r="C11413" s="2">
        <v>0</v>
      </c>
      <c r="D11413" s="2">
        <v>9.3196644920782805E-4</v>
      </c>
      <c r="E11413" s="2">
        <v>0</v>
      </c>
      <c r="F11413" s="2">
        <v>9.9830288509533699E-5</v>
      </c>
    </row>
    <row r="11414" spans="1:6" x14ac:dyDescent="0.25">
      <c r="A11414" s="1" t="str">
        <f t="shared" si="416"/>
        <v>21840</v>
      </c>
      <c r="B11414" s="1" t="str">
        <f>"52635"</f>
        <v>52635</v>
      </c>
      <c r="C11414" s="2">
        <v>3.3770883054892599E-2</v>
      </c>
      <c r="D11414" s="2">
        <v>1.8639328984156499E-2</v>
      </c>
      <c r="E11414" s="2">
        <v>0</v>
      </c>
      <c r="F11414" s="2">
        <v>3.0248577418388701E-2</v>
      </c>
    </row>
    <row r="11415" spans="1:6" x14ac:dyDescent="0.25">
      <c r="A11415" s="1" t="str">
        <f t="shared" si="416"/>
        <v>21840</v>
      </c>
      <c r="B11415" s="1" t="str">
        <f>"52535"</f>
        <v>52535</v>
      </c>
      <c r="C11415" s="2">
        <v>3.5799522673031002E-3</v>
      </c>
      <c r="D11415" s="2">
        <v>9.3196644920782805E-4</v>
      </c>
      <c r="E11415" s="2">
        <v>0</v>
      </c>
      <c r="F11415" s="2">
        <v>3.0947389437955401E-3</v>
      </c>
    </row>
    <row r="11416" spans="1:6" x14ac:dyDescent="0.25">
      <c r="A11416" s="1" t="str">
        <f t="shared" si="416"/>
        <v>21840</v>
      </c>
      <c r="B11416" s="1" t="str">
        <f>"52580"</f>
        <v>52580</v>
      </c>
      <c r="C11416" s="2">
        <v>2.5298329355608499E-2</v>
      </c>
      <c r="D11416" s="2">
        <v>9.3196644920782792E-3</v>
      </c>
      <c r="E11416" s="2">
        <v>3.54609929078014E-3</v>
      </c>
      <c r="F11416" s="2">
        <v>2.2361984626135499E-2</v>
      </c>
    </row>
    <row r="11417" spans="1:6" x14ac:dyDescent="0.25">
      <c r="A11417" s="1" t="str">
        <f t="shared" si="416"/>
        <v>21840</v>
      </c>
      <c r="B11417" s="1" t="str">
        <f>"52651"</f>
        <v>52651</v>
      </c>
      <c r="C11417" s="2">
        <v>2.9832935560859101E-3</v>
      </c>
      <c r="D11417" s="2">
        <v>0</v>
      </c>
      <c r="E11417" s="2">
        <v>0</v>
      </c>
      <c r="F11417" s="2">
        <v>2.4957572127383399E-3</v>
      </c>
    </row>
    <row r="11418" spans="1:6" x14ac:dyDescent="0.25">
      <c r="A11418" s="1" t="str">
        <f t="shared" si="416"/>
        <v>21840</v>
      </c>
      <c r="B11418" s="1" t="str">
        <f>"52576"</f>
        <v>52576</v>
      </c>
      <c r="C11418" s="2">
        <v>1.19331742243436E-4</v>
      </c>
      <c r="D11418" s="2">
        <v>0</v>
      </c>
      <c r="E11418" s="2">
        <v>0</v>
      </c>
      <c r="F11418" s="2">
        <v>9.9830288509533699E-5</v>
      </c>
    </row>
    <row r="11419" spans="1:6" x14ac:dyDescent="0.25">
      <c r="A11419" s="1" t="str">
        <f t="shared" si="416"/>
        <v>21840</v>
      </c>
      <c r="B11419" s="1" t="str">
        <f>"52585"</f>
        <v>52585</v>
      </c>
      <c r="C11419" s="2">
        <v>4.2959427207637201E-3</v>
      </c>
      <c r="D11419" s="2">
        <v>1.86393289841565E-3</v>
      </c>
      <c r="E11419" s="2">
        <v>0</v>
      </c>
      <c r="F11419" s="2">
        <v>3.7935509633622798E-3</v>
      </c>
    </row>
    <row r="11420" spans="1:6" x14ac:dyDescent="0.25">
      <c r="A11420" s="1" t="str">
        <f t="shared" si="416"/>
        <v>21840</v>
      </c>
      <c r="B11420" s="1" t="str">
        <f>"52563"</f>
        <v>52563</v>
      </c>
      <c r="C11420" s="2">
        <v>1.3126491646778E-3</v>
      </c>
      <c r="D11420" s="2">
        <v>0</v>
      </c>
      <c r="E11420" s="2">
        <v>0</v>
      </c>
      <c r="F11420" s="2">
        <v>1.0981331736048699E-3</v>
      </c>
    </row>
    <row r="11421" spans="1:6" x14ac:dyDescent="0.25">
      <c r="A11421" s="1" t="str">
        <f t="shared" si="416"/>
        <v>21840</v>
      </c>
      <c r="B11421" s="1" t="str">
        <f>"52533"</f>
        <v>52533</v>
      </c>
      <c r="C11421" s="2">
        <v>6.1575178997613299E-2</v>
      </c>
      <c r="D11421" s="2">
        <v>1.39794967381174E-2</v>
      </c>
      <c r="E11421" s="2">
        <v>1.5957446808510599E-2</v>
      </c>
      <c r="F11421" s="2">
        <v>5.3908355795148202E-2</v>
      </c>
    </row>
    <row r="11422" spans="1:6" x14ac:dyDescent="0.25">
      <c r="A11422" s="1" t="str">
        <f t="shared" ref="A11422:A11436" si="417">"21860"</f>
        <v>21860</v>
      </c>
      <c r="B11422" s="1" t="str">
        <f>"56098"</f>
        <v>56098</v>
      </c>
      <c r="C11422" s="2">
        <v>4.1294535676558103E-3</v>
      </c>
      <c r="D11422" s="2">
        <v>0</v>
      </c>
      <c r="E11422" s="2">
        <v>0</v>
      </c>
      <c r="F11422" s="2">
        <v>3.7226214180590398E-3</v>
      </c>
    </row>
    <row r="11423" spans="1:6" x14ac:dyDescent="0.25">
      <c r="A11423" s="1" t="str">
        <f t="shared" si="417"/>
        <v>21860</v>
      </c>
      <c r="B11423" s="1" t="str">
        <f>"56088"</f>
        <v>56088</v>
      </c>
      <c r="C11423" s="2">
        <v>8.1916834725823395E-2</v>
      </c>
      <c r="D11423" s="2">
        <v>5.1620648259303702E-2</v>
      </c>
      <c r="E11423" s="2">
        <v>4.5901639344262203E-2</v>
      </c>
      <c r="F11423" s="2">
        <v>7.8781057917063399E-2</v>
      </c>
    </row>
    <row r="11424" spans="1:6" x14ac:dyDescent="0.25">
      <c r="A11424" s="1" t="str">
        <f t="shared" si="417"/>
        <v>21860</v>
      </c>
      <c r="B11424" s="1" t="str">
        <f>"56075"</f>
        <v>56075</v>
      </c>
      <c r="C11424" s="2">
        <v>0</v>
      </c>
      <c r="D11424" s="2">
        <v>0</v>
      </c>
      <c r="E11424" s="2">
        <v>3.27868852459016E-3</v>
      </c>
      <c r="F11424" s="2">
        <v>8.6572591117652098E-5</v>
      </c>
    </row>
    <row r="11425" spans="1:6" x14ac:dyDescent="0.25">
      <c r="A11425" s="1" t="str">
        <f t="shared" si="417"/>
        <v>21860</v>
      </c>
      <c r="B11425" s="1" t="str">
        <f>"56171"</f>
        <v>56171</v>
      </c>
      <c r="C11425" s="2">
        <v>8.6526457312974106E-2</v>
      </c>
      <c r="D11425" s="2">
        <v>2.5210084033613401E-2</v>
      </c>
      <c r="E11425" s="2">
        <v>6.8852459016393405E-2</v>
      </c>
      <c r="F11425" s="2">
        <v>8.1637953423945905E-2</v>
      </c>
    </row>
    <row r="11426" spans="1:6" x14ac:dyDescent="0.25">
      <c r="A11426" s="1" t="str">
        <f t="shared" si="417"/>
        <v>21860</v>
      </c>
      <c r="B11426" s="1" t="str">
        <f>"56176"</f>
        <v>56176</v>
      </c>
      <c r="C11426" s="2">
        <v>5.4931335830212202E-2</v>
      </c>
      <c r="D11426" s="2">
        <v>1.0804321728691399E-2</v>
      </c>
      <c r="E11426" s="2">
        <v>2.6229508196721301E-2</v>
      </c>
      <c r="F11426" s="2">
        <v>5.0991256168297097E-2</v>
      </c>
    </row>
    <row r="11427" spans="1:6" x14ac:dyDescent="0.25">
      <c r="A11427" s="1" t="str">
        <f t="shared" si="417"/>
        <v>21860</v>
      </c>
      <c r="B11427" s="1" t="str">
        <f>"56027"</f>
        <v>56027</v>
      </c>
      <c r="C11427" s="2">
        <v>1.5365408623835501E-3</v>
      </c>
      <c r="D11427" s="2">
        <v>0</v>
      </c>
      <c r="E11427" s="2">
        <v>0</v>
      </c>
      <c r="F11427" s="2">
        <v>1.3851614578824301E-3</v>
      </c>
    </row>
    <row r="11428" spans="1:6" x14ac:dyDescent="0.25">
      <c r="A11428" s="1" t="str">
        <f t="shared" si="417"/>
        <v>21860</v>
      </c>
      <c r="B11428" s="1" t="str">
        <f>"56127"</f>
        <v>56127</v>
      </c>
      <c r="C11428" s="2">
        <v>1.9975031210986201E-2</v>
      </c>
      <c r="D11428" s="2">
        <v>6.0024009603841504E-3</v>
      </c>
      <c r="E11428" s="2">
        <v>3.27868852459016E-3</v>
      </c>
      <c r="F11428" s="2">
        <v>1.8526534499177499E-2</v>
      </c>
    </row>
    <row r="11429" spans="1:6" x14ac:dyDescent="0.25">
      <c r="A11429" s="1" t="str">
        <f t="shared" si="417"/>
        <v>21860</v>
      </c>
      <c r="B11429" s="1" t="str">
        <f>"56039"</f>
        <v>56039</v>
      </c>
      <c r="C11429" s="2">
        <v>4.2927110342840601E-2</v>
      </c>
      <c r="D11429" s="2">
        <v>2.2809123649459698E-2</v>
      </c>
      <c r="E11429" s="2">
        <v>9.8360655737704892E-3</v>
      </c>
      <c r="F11429" s="2">
        <v>4.0602545234178798E-2</v>
      </c>
    </row>
    <row r="11430" spans="1:6" x14ac:dyDescent="0.25">
      <c r="A11430" s="1" t="str">
        <f t="shared" si="417"/>
        <v>21860</v>
      </c>
      <c r="B11430" s="1" t="str">
        <f>"56160"</f>
        <v>56160</v>
      </c>
      <c r="C11430" s="2">
        <v>2.3048112935753302E-3</v>
      </c>
      <c r="D11430" s="2">
        <v>0</v>
      </c>
      <c r="E11430" s="2">
        <v>0</v>
      </c>
      <c r="F11430" s="2">
        <v>2.0777421868236499E-3</v>
      </c>
    </row>
    <row r="11431" spans="1:6" x14ac:dyDescent="0.25">
      <c r="A11431" s="1" t="str">
        <f t="shared" si="417"/>
        <v>21860</v>
      </c>
      <c r="B11431" s="1" t="str">
        <f>"56162"</f>
        <v>56162</v>
      </c>
      <c r="C11431" s="2">
        <v>6.0501296456352601E-3</v>
      </c>
      <c r="D11431" s="2">
        <v>2.40096038415366E-3</v>
      </c>
      <c r="E11431" s="2">
        <v>0</v>
      </c>
      <c r="F11431" s="2">
        <v>5.6272184226473796E-3</v>
      </c>
    </row>
    <row r="11432" spans="1:6" x14ac:dyDescent="0.25">
      <c r="A11432" s="1" t="str">
        <f t="shared" si="417"/>
        <v>21860</v>
      </c>
      <c r="B11432" s="1" t="str">
        <f>"56181"</f>
        <v>56181</v>
      </c>
      <c r="C11432" s="2">
        <v>5.7140113319888601E-2</v>
      </c>
      <c r="D11432" s="2">
        <v>1.8007202881152401E-2</v>
      </c>
      <c r="E11432" s="2">
        <v>3.6065573770491799E-2</v>
      </c>
      <c r="F11432" s="2">
        <v>5.37615790840619E-2</v>
      </c>
    </row>
    <row r="11433" spans="1:6" x14ac:dyDescent="0.25">
      <c r="A11433" s="1" t="str">
        <f t="shared" si="417"/>
        <v>21860</v>
      </c>
      <c r="B11433" s="1" t="str">
        <f>"56031"</f>
        <v>56031</v>
      </c>
      <c r="C11433" s="2">
        <v>0.60251608566215298</v>
      </c>
      <c r="D11433" s="2">
        <v>0.860744297719087</v>
      </c>
      <c r="E11433" s="2">
        <v>0.80327868852458995</v>
      </c>
      <c r="F11433" s="2">
        <v>0.62643926932732996</v>
      </c>
    </row>
    <row r="11434" spans="1:6" x14ac:dyDescent="0.25">
      <c r="A11434" s="1" t="str">
        <f t="shared" si="417"/>
        <v>21860</v>
      </c>
      <c r="B11434" s="1" t="str">
        <f>"56111"</f>
        <v>56111</v>
      </c>
      <c r="C11434" s="2">
        <v>1.1524056467876599E-3</v>
      </c>
      <c r="D11434" s="2">
        <v>0</v>
      </c>
      <c r="E11434" s="2">
        <v>0</v>
      </c>
      <c r="F11434" s="2">
        <v>1.03887109341182E-3</v>
      </c>
    </row>
    <row r="11435" spans="1:6" x14ac:dyDescent="0.25">
      <c r="A11435" s="1" t="str">
        <f t="shared" si="417"/>
        <v>21860</v>
      </c>
      <c r="B11435" s="1" t="str">
        <f>"56121"</f>
        <v>56121</v>
      </c>
      <c r="C11435" s="2">
        <v>3.5820608854316698E-2</v>
      </c>
      <c r="D11435" s="2">
        <v>0</v>
      </c>
      <c r="E11435" s="2">
        <v>3.27868852459016E-3</v>
      </c>
      <c r="F11435" s="2">
        <v>3.2378149078001899E-2</v>
      </c>
    </row>
    <row r="11436" spans="1:6" x14ac:dyDescent="0.25">
      <c r="A11436" s="1" t="str">
        <f t="shared" si="417"/>
        <v>21860</v>
      </c>
      <c r="B11436" s="1" t="str">
        <f>"56013"</f>
        <v>56013</v>
      </c>
      <c r="C11436" s="2">
        <v>3.0730817247671101E-3</v>
      </c>
      <c r="D11436" s="2">
        <v>2.40096038415366E-3</v>
      </c>
      <c r="E11436" s="2">
        <v>0</v>
      </c>
      <c r="F11436" s="2">
        <v>2.9434680980001699E-3</v>
      </c>
    </row>
    <row r="11437" spans="1:6" x14ac:dyDescent="0.25">
      <c r="A11437" s="1" t="str">
        <f t="shared" ref="A11437:A11459" si="418">"21900"</f>
        <v>21900</v>
      </c>
      <c r="B11437" s="1" t="str">
        <f>"26566"</f>
        <v>26566</v>
      </c>
      <c r="C11437" s="2">
        <v>0</v>
      </c>
      <c r="D11437" s="2">
        <v>4.22297297297297E-4</v>
      </c>
      <c r="E11437" s="2">
        <v>0</v>
      </c>
      <c r="F11437" s="2">
        <v>3.1397174254317103E-5</v>
      </c>
    </row>
    <row r="11438" spans="1:6" x14ac:dyDescent="0.25">
      <c r="A11438" s="1" t="str">
        <f t="shared" si="418"/>
        <v>21900</v>
      </c>
      <c r="B11438" s="1" t="str">
        <f>"26586"</f>
        <v>26586</v>
      </c>
      <c r="C11438" s="2">
        <v>2.43469792355048E-3</v>
      </c>
      <c r="D11438" s="2">
        <v>0</v>
      </c>
      <c r="E11438" s="2">
        <v>1.36798905608755E-3</v>
      </c>
      <c r="F11438" s="2">
        <v>2.22919937205651E-3</v>
      </c>
    </row>
    <row r="11439" spans="1:6" x14ac:dyDescent="0.25">
      <c r="A11439" s="1" t="str">
        <f t="shared" si="418"/>
        <v>21900</v>
      </c>
      <c r="B11439" s="1" t="str">
        <f>"26559"</f>
        <v>26559</v>
      </c>
      <c r="C11439" s="2">
        <v>2.4346979235504801E-4</v>
      </c>
      <c r="D11439" s="2">
        <v>0</v>
      </c>
      <c r="E11439" s="2">
        <v>1.36798905608755E-3</v>
      </c>
      <c r="F11439" s="2">
        <v>2.5117739403453601E-4</v>
      </c>
    </row>
    <row r="11440" spans="1:6" x14ac:dyDescent="0.25">
      <c r="A11440" s="1" t="str">
        <f t="shared" si="418"/>
        <v>21900</v>
      </c>
      <c r="B11440" s="1" t="str">
        <f>"26563"</f>
        <v>26563</v>
      </c>
      <c r="C11440" s="2">
        <v>3.4781398907864001E-5</v>
      </c>
      <c r="D11440" s="2">
        <v>0</v>
      </c>
      <c r="E11440" s="2">
        <v>1.36798905608755E-3</v>
      </c>
      <c r="F11440" s="2">
        <v>6.2794348508634205E-5</v>
      </c>
    </row>
    <row r="11441" spans="1:6" x14ac:dyDescent="0.25">
      <c r="A11441" s="1" t="str">
        <f t="shared" si="418"/>
        <v>21900</v>
      </c>
      <c r="B11441" s="1" t="str">
        <f>"26578"</f>
        <v>26578</v>
      </c>
      <c r="C11441" s="2">
        <v>0</v>
      </c>
      <c r="D11441" s="2">
        <v>0</v>
      </c>
      <c r="E11441" s="2">
        <v>1.36798905608755E-3</v>
      </c>
      <c r="F11441" s="2">
        <v>3.1397174254317103E-5</v>
      </c>
    </row>
    <row r="11442" spans="1:6" x14ac:dyDescent="0.25">
      <c r="A11442" s="1" t="str">
        <f t="shared" si="418"/>
        <v>21900</v>
      </c>
      <c r="B11442" s="1" t="str">
        <f>"26571"</f>
        <v>26571</v>
      </c>
      <c r="C11442" s="2">
        <v>2.6677332962331698E-2</v>
      </c>
      <c r="D11442" s="2">
        <v>5.9121621621621599E-3</v>
      </c>
      <c r="E11442" s="2">
        <v>4.1039671682626504E-3</v>
      </c>
      <c r="F11442" s="2">
        <v>2.4615384615384601E-2</v>
      </c>
    </row>
    <row r="11443" spans="1:6" x14ac:dyDescent="0.25">
      <c r="A11443" s="1" t="str">
        <f t="shared" si="418"/>
        <v>21900</v>
      </c>
      <c r="B11443" s="1" t="str">
        <f>"26555"</f>
        <v>26555</v>
      </c>
      <c r="C11443" s="2">
        <v>6.6502034711836105E-2</v>
      </c>
      <c r="D11443" s="2">
        <v>0.108108108108108</v>
      </c>
      <c r="E11443" s="2">
        <v>4.1039671682626504E-3</v>
      </c>
      <c r="F11443" s="2">
        <v>6.8163265306122406E-2</v>
      </c>
    </row>
    <row r="11444" spans="1:6" x14ac:dyDescent="0.25">
      <c r="A11444" s="1" t="str">
        <f t="shared" si="418"/>
        <v>21900</v>
      </c>
      <c r="B11444" s="1" t="str">
        <f>"26560"</f>
        <v>26560</v>
      </c>
      <c r="C11444" s="2">
        <v>2.7477305137212599E-3</v>
      </c>
      <c r="D11444" s="2">
        <v>8.4459459459459399E-4</v>
      </c>
      <c r="E11444" s="2">
        <v>1.36798905608755E-3</v>
      </c>
      <c r="F11444" s="2">
        <v>2.5745682888539999E-3</v>
      </c>
    </row>
    <row r="11445" spans="1:6" x14ac:dyDescent="0.25">
      <c r="A11445" s="1" t="str">
        <f t="shared" si="418"/>
        <v>21900</v>
      </c>
      <c r="B11445" s="1" t="str">
        <f>"26588"</f>
        <v>26588</v>
      </c>
      <c r="C11445" s="2">
        <v>5.6798024416541998E-2</v>
      </c>
      <c r="D11445" s="2">
        <v>1.9425675675675599E-2</v>
      </c>
      <c r="E11445" s="2">
        <v>6.8399452804377503E-3</v>
      </c>
      <c r="F11445" s="2">
        <v>5.287284144427E-2</v>
      </c>
    </row>
    <row r="11446" spans="1:6" x14ac:dyDescent="0.25">
      <c r="A11446" s="1" t="str">
        <f t="shared" si="418"/>
        <v>21900</v>
      </c>
      <c r="B11446" s="1" t="str">
        <f>"26585"</f>
        <v>26585</v>
      </c>
      <c r="C11446" s="2">
        <v>7.1997495739278602E-3</v>
      </c>
      <c r="D11446" s="2">
        <v>8.4459459459459399E-4</v>
      </c>
      <c r="E11446" s="2">
        <v>0</v>
      </c>
      <c r="F11446" s="2">
        <v>6.5620094191522699E-3</v>
      </c>
    </row>
    <row r="11447" spans="1:6" x14ac:dyDescent="0.25">
      <c r="A11447" s="1" t="str">
        <f t="shared" si="418"/>
        <v>21900</v>
      </c>
      <c r="B11447" s="1" t="str">
        <f>"26587"</f>
        <v>26587</v>
      </c>
      <c r="C11447" s="2">
        <v>3.1303259017077599E-3</v>
      </c>
      <c r="D11447" s="2">
        <v>0</v>
      </c>
      <c r="E11447" s="2">
        <v>1.36798905608755E-3</v>
      </c>
      <c r="F11447" s="2">
        <v>2.8571428571428502E-3</v>
      </c>
    </row>
    <row r="11448" spans="1:6" x14ac:dyDescent="0.25">
      <c r="A11448" s="1" t="str">
        <f t="shared" si="418"/>
        <v>21900</v>
      </c>
      <c r="B11448" s="1" t="str">
        <f>"26508"</f>
        <v>26508</v>
      </c>
      <c r="C11448" s="2">
        <v>1.04344196723592E-4</v>
      </c>
      <c r="D11448" s="2">
        <v>0</v>
      </c>
      <c r="E11448" s="2">
        <v>0</v>
      </c>
      <c r="F11448" s="2">
        <v>9.4191522762951301E-5</v>
      </c>
    </row>
    <row r="11449" spans="1:6" x14ac:dyDescent="0.25">
      <c r="A11449" s="1" t="str">
        <f t="shared" si="418"/>
        <v>21900</v>
      </c>
      <c r="B11449" s="1" t="str">
        <f>"26576"</f>
        <v>26576</v>
      </c>
      <c r="C11449" s="2">
        <v>2.0868839344718399E-4</v>
      </c>
      <c r="D11449" s="2">
        <v>4.22297297297297E-4</v>
      </c>
      <c r="E11449" s="2">
        <v>0</v>
      </c>
      <c r="F11449" s="2">
        <v>2.1978021978021899E-4</v>
      </c>
    </row>
    <row r="11450" spans="1:6" x14ac:dyDescent="0.25">
      <c r="A11450" s="1" t="str">
        <f t="shared" si="418"/>
        <v>21900</v>
      </c>
      <c r="B11450" s="1" t="str">
        <f>"26574"</f>
        <v>26574</v>
      </c>
      <c r="C11450" s="2">
        <v>0</v>
      </c>
      <c r="D11450" s="2">
        <v>0</v>
      </c>
      <c r="E11450" s="2">
        <v>1.36798905608755E-3</v>
      </c>
      <c r="F11450" s="2">
        <v>3.1397174254317103E-5</v>
      </c>
    </row>
    <row r="11451" spans="1:6" x14ac:dyDescent="0.25">
      <c r="A11451" s="1" t="str">
        <f t="shared" si="418"/>
        <v>21900</v>
      </c>
      <c r="B11451" s="1" t="str">
        <f>"26572"</f>
        <v>26572</v>
      </c>
      <c r="C11451" s="2">
        <v>0</v>
      </c>
      <c r="D11451" s="2">
        <v>0</v>
      </c>
      <c r="E11451" s="2">
        <v>1.36798905608755E-3</v>
      </c>
      <c r="F11451" s="2">
        <v>3.1397174254317103E-5</v>
      </c>
    </row>
    <row r="11452" spans="1:6" x14ac:dyDescent="0.25">
      <c r="A11452" s="1" t="str">
        <f t="shared" si="418"/>
        <v>21900</v>
      </c>
      <c r="B11452" s="1" t="str">
        <f>"26330"</f>
        <v>26330</v>
      </c>
      <c r="C11452" s="2">
        <v>3.4781398907864001E-5</v>
      </c>
      <c r="D11452" s="2">
        <v>0</v>
      </c>
      <c r="E11452" s="2">
        <v>0</v>
      </c>
      <c r="F11452" s="2">
        <v>3.1397174254317103E-5</v>
      </c>
    </row>
    <row r="11453" spans="1:6" x14ac:dyDescent="0.25">
      <c r="A11453" s="1" t="str">
        <f t="shared" si="418"/>
        <v>21900</v>
      </c>
      <c r="B11453" s="1" t="str">
        <f>"26570"</f>
        <v>26570</v>
      </c>
      <c r="C11453" s="2">
        <v>1.7634169246286999E-2</v>
      </c>
      <c r="D11453" s="2">
        <v>5.48986486486486E-3</v>
      </c>
      <c r="E11453" s="2">
        <v>1.36798905608755E-3</v>
      </c>
      <c r="F11453" s="2">
        <v>1.63579277864992E-2</v>
      </c>
    </row>
    <row r="11454" spans="1:6" x14ac:dyDescent="0.25">
      <c r="A11454" s="1" t="str">
        <f t="shared" si="418"/>
        <v>21900</v>
      </c>
      <c r="B11454" s="1" t="str">
        <f>"26354"</f>
        <v>26354</v>
      </c>
      <c r="C11454" s="2">
        <v>1.04344196723592E-4</v>
      </c>
      <c r="D11454" s="2">
        <v>0</v>
      </c>
      <c r="E11454" s="2">
        <v>0</v>
      </c>
      <c r="F11454" s="2">
        <v>9.4191522762951301E-5</v>
      </c>
    </row>
    <row r="11455" spans="1:6" x14ac:dyDescent="0.25">
      <c r="A11455" s="1" t="str">
        <f t="shared" si="418"/>
        <v>21900</v>
      </c>
      <c r="B11455" s="1" t="str">
        <f>"26448"</f>
        <v>26448</v>
      </c>
      <c r="C11455" s="2">
        <v>6.6084657924941697E-4</v>
      </c>
      <c r="D11455" s="2">
        <v>4.22297297297297E-4</v>
      </c>
      <c r="E11455" s="2">
        <v>0</v>
      </c>
      <c r="F11455" s="2">
        <v>6.2794348508634203E-4</v>
      </c>
    </row>
    <row r="11456" spans="1:6" x14ac:dyDescent="0.25">
      <c r="A11456" s="1" t="str">
        <f t="shared" si="418"/>
        <v>21900</v>
      </c>
      <c r="B11456" s="1" t="str">
        <f>"26591"</f>
        <v>26591</v>
      </c>
      <c r="C11456" s="2">
        <v>1.9060206601509502E-2</v>
      </c>
      <c r="D11456" s="2">
        <v>3.8006756756756698E-3</v>
      </c>
      <c r="E11456" s="2">
        <v>1.36798905608755E-3</v>
      </c>
      <c r="F11456" s="2">
        <v>1.7519623233908901E-2</v>
      </c>
    </row>
    <row r="11457" spans="1:6" x14ac:dyDescent="0.25">
      <c r="A11457" s="1" t="str">
        <f t="shared" si="418"/>
        <v>21900</v>
      </c>
      <c r="B11457" s="1" t="str">
        <f>"26562"</f>
        <v>26562</v>
      </c>
      <c r="C11457" s="2">
        <v>3.13032590170776E-4</v>
      </c>
      <c r="D11457" s="2">
        <v>0</v>
      </c>
      <c r="E11457" s="2">
        <v>0</v>
      </c>
      <c r="F11457" s="2">
        <v>2.8257456828885403E-4</v>
      </c>
    </row>
    <row r="11458" spans="1:6" x14ac:dyDescent="0.25">
      <c r="A11458" s="1" t="str">
        <f t="shared" si="418"/>
        <v>21900</v>
      </c>
      <c r="B11458" s="1" t="str">
        <f>"26554"</f>
        <v>26554</v>
      </c>
      <c r="C11458" s="2">
        <v>0.71134917046363599</v>
      </c>
      <c r="D11458" s="2">
        <v>0.79476351351351304</v>
      </c>
      <c r="E11458" s="2">
        <v>0.94117647058823495</v>
      </c>
      <c r="F11458" s="2">
        <v>0.72282574568288804</v>
      </c>
    </row>
    <row r="11459" spans="1:6" x14ac:dyDescent="0.25">
      <c r="A11459" s="1" t="str">
        <f t="shared" si="418"/>
        <v>21900</v>
      </c>
      <c r="B11459" s="1" t="str">
        <f>"26582"</f>
        <v>26582</v>
      </c>
      <c r="C11459" s="2">
        <v>8.4762269138464699E-2</v>
      </c>
      <c r="D11459" s="2">
        <v>5.9543918918918901E-2</v>
      </c>
      <c r="E11459" s="2">
        <v>3.00957592339261E-2</v>
      </c>
      <c r="F11459" s="2">
        <v>8.16326530612244E-2</v>
      </c>
    </row>
    <row r="11460" spans="1:6" x14ac:dyDescent="0.25">
      <c r="A11460" s="1" t="str">
        <f>"21980"</f>
        <v>21980</v>
      </c>
      <c r="B11460" s="1" t="str">
        <f>"89407"</f>
        <v>89407</v>
      </c>
      <c r="C11460" s="2">
        <v>0.20143506023303201</v>
      </c>
      <c r="D11460" s="2">
        <v>0.21085759244689201</v>
      </c>
      <c r="E11460" s="2">
        <v>7.7669902912621304E-3</v>
      </c>
      <c r="F11460" s="2">
        <v>0.19626553572480401</v>
      </c>
    </row>
    <row r="11461" spans="1:6" x14ac:dyDescent="0.25">
      <c r="A11461" s="1" t="str">
        <f>"21980"</f>
        <v>21980</v>
      </c>
      <c r="B11461" s="1" t="str">
        <f>"89496"</f>
        <v>89496</v>
      </c>
      <c r="C11461" s="2">
        <v>0</v>
      </c>
      <c r="D11461" s="2">
        <v>7.8678206136900003E-4</v>
      </c>
      <c r="E11461" s="2">
        <v>0</v>
      </c>
      <c r="F11461" s="2">
        <v>5.8903222006243699E-5</v>
      </c>
    </row>
    <row r="11462" spans="1:6" x14ac:dyDescent="0.25">
      <c r="A11462" s="1" t="str">
        <f>"21980"</f>
        <v>21980</v>
      </c>
      <c r="B11462" s="1" t="str">
        <f>"89406"</f>
        <v>89406</v>
      </c>
      <c r="C11462" s="2">
        <v>0.79487854650779999</v>
      </c>
      <c r="D11462" s="2">
        <v>0.78127458693941698</v>
      </c>
      <c r="E11462" s="2">
        <v>0.990291262135922</v>
      </c>
      <c r="F11462" s="2">
        <v>0.79978794840077705</v>
      </c>
    </row>
    <row r="11463" spans="1:6" x14ac:dyDescent="0.25">
      <c r="A11463" s="1" t="str">
        <f>"21980"</f>
        <v>21980</v>
      </c>
      <c r="B11463" s="1" t="str">
        <f>"89408"</f>
        <v>89408</v>
      </c>
      <c r="C11463" s="2">
        <v>3.6863932591666101E-3</v>
      </c>
      <c r="D11463" s="2">
        <v>7.0810385523210001E-3</v>
      </c>
      <c r="E11463" s="2">
        <v>1.94174757281553E-3</v>
      </c>
      <c r="F11463" s="2">
        <v>3.88761265241208E-3</v>
      </c>
    </row>
    <row r="11464" spans="1:6" x14ac:dyDescent="0.25">
      <c r="A11464" s="1" t="str">
        <f t="shared" ref="A11464:A11495" si="419">"22020"</f>
        <v>22020</v>
      </c>
      <c r="B11464" s="1" t="str">
        <f>"58051"</f>
        <v>58051</v>
      </c>
      <c r="C11464" s="2">
        <v>4.9673420143944696E-3</v>
      </c>
      <c r="D11464" s="2">
        <v>1.91826522101751E-3</v>
      </c>
      <c r="E11464" s="2">
        <v>3.0998140111593302E-3</v>
      </c>
      <c r="F11464" s="2">
        <v>4.5992584141471698E-3</v>
      </c>
    </row>
    <row r="11465" spans="1:6" x14ac:dyDescent="0.25">
      <c r="A11465" s="1" t="str">
        <f t="shared" si="419"/>
        <v>22020</v>
      </c>
      <c r="B11465" s="1" t="str">
        <f>"58103"</f>
        <v>58103</v>
      </c>
      <c r="C11465" s="2">
        <v>0.202837292507384</v>
      </c>
      <c r="D11465" s="2">
        <v>0.23160967472894001</v>
      </c>
      <c r="E11465" s="2">
        <v>0.30080595164290103</v>
      </c>
      <c r="F11465" s="2">
        <v>0.210931260695949</v>
      </c>
    </row>
    <row r="11466" spans="1:6" x14ac:dyDescent="0.25">
      <c r="A11466" s="1" t="str">
        <f t="shared" si="419"/>
        <v>22020</v>
      </c>
      <c r="B11466" s="1" t="str">
        <f>"58006"</f>
        <v>58006</v>
      </c>
      <c r="C11466" s="2">
        <v>1.57257561259724E-3</v>
      </c>
      <c r="D11466" s="2">
        <v>1.6680567139282701E-4</v>
      </c>
      <c r="E11466" s="2">
        <v>1.2399256044637299E-3</v>
      </c>
      <c r="F11466" s="2">
        <v>1.43325727324586E-3</v>
      </c>
    </row>
    <row r="11467" spans="1:6" x14ac:dyDescent="0.25">
      <c r="A11467" s="1" t="str">
        <f t="shared" si="419"/>
        <v>22020</v>
      </c>
      <c r="B11467" s="1" t="str">
        <f>"56594"</f>
        <v>56594</v>
      </c>
      <c r="C11467" s="2">
        <v>2.49615176602737E-5</v>
      </c>
      <c r="D11467" s="2">
        <v>8.3402835696413599E-5</v>
      </c>
      <c r="E11467" s="2">
        <v>0</v>
      </c>
      <c r="F11467" s="2">
        <v>2.8522532800912699E-5</v>
      </c>
    </row>
    <row r="11468" spans="1:6" x14ac:dyDescent="0.25">
      <c r="A11468" s="1" t="str">
        <f t="shared" si="419"/>
        <v>22020</v>
      </c>
      <c r="B11468" s="1" t="str">
        <f>"56574"</f>
        <v>56574</v>
      </c>
      <c r="C11468" s="2">
        <v>3.3282023547031598E-5</v>
      </c>
      <c r="D11468" s="2">
        <v>0</v>
      </c>
      <c r="E11468" s="2">
        <v>0</v>
      </c>
      <c r="F11468" s="2">
        <v>2.8522532800912699E-5</v>
      </c>
    </row>
    <row r="11469" spans="1:6" x14ac:dyDescent="0.25">
      <c r="A11469" s="1" t="str">
        <f t="shared" si="419"/>
        <v>22020</v>
      </c>
      <c r="B11469" s="1" t="str">
        <f>"58122"</f>
        <v>58122</v>
      </c>
      <c r="C11469" s="2">
        <v>0</v>
      </c>
      <c r="D11469" s="2">
        <v>8.3402835696413599E-5</v>
      </c>
      <c r="E11469" s="2">
        <v>0</v>
      </c>
      <c r="F11469" s="2">
        <v>7.1306332002281798E-6</v>
      </c>
    </row>
    <row r="11470" spans="1:6" x14ac:dyDescent="0.25">
      <c r="A11470" s="1" t="str">
        <f t="shared" si="419"/>
        <v>22020</v>
      </c>
      <c r="B11470" s="1" t="str">
        <f>"58002"</f>
        <v>58002</v>
      </c>
      <c r="C11470" s="2">
        <v>1.3312809418812601E-4</v>
      </c>
      <c r="D11470" s="2">
        <v>0</v>
      </c>
      <c r="E11470" s="2">
        <v>1.23992560446373E-4</v>
      </c>
      <c r="F11470" s="2">
        <v>1.21220764403879E-4</v>
      </c>
    </row>
    <row r="11471" spans="1:6" x14ac:dyDescent="0.25">
      <c r="A11471" s="1" t="str">
        <f t="shared" si="419"/>
        <v>22020</v>
      </c>
      <c r="B11471" s="1" t="str">
        <f>"56529"</f>
        <v>56529</v>
      </c>
      <c r="C11471" s="2">
        <v>2.0143944751840899E-2</v>
      </c>
      <c r="D11471" s="2">
        <v>1.0508757297748099E-2</v>
      </c>
      <c r="E11471" s="2">
        <v>7.68753874767513E-3</v>
      </c>
      <c r="F11471" s="2">
        <v>1.86038220193953E-2</v>
      </c>
    </row>
    <row r="11472" spans="1:6" x14ac:dyDescent="0.25">
      <c r="A11472" s="1" t="str">
        <f t="shared" si="419"/>
        <v>22020</v>
      </c>
      <c r="B11472" s="1" t="str">
        <f>"58038"</f>
        <v>58038</v>
      </c>
      <c r="C11472" s="2">
        <v>9.4021716520364398E-4</v>
      </c>
      <c r="D11472" s="2">
        <v>7.5062552126772299E-4</v>
      </c>
      <c r="E11472" s="2">
        <v>7.4395536267823903E-4</v>
      </c>
      <c r="F11472" s="2">
        <v>9.1272104962920701E-4</v>
      </c>
    </row>
    <row r="11473" spans="1:6" x14ac:dyDescent="0.25">
      <c r="A11473" s="1" t="str">
        <f t="shared" si="419"/>
        <v>22020</v>
      </c>
      <c r="B11473" s="1" t="str">
        <f>"58108"</f>
        <v>58108</v>
      </c>
      <c r="C11473" s="2">
        <v>2.32142114240545E-3</v>
      </c>
      <c r="D11473" s="2">
        <v>2.05170975813177E-2</v>
      </c>
      <c r="E11473" s="2">
        <v>4.95970241785492E-4</v>
      </c>
      <c r="F11473" s="2">
        <v>3.7721049629206999E-3</v>
      </c>
    </row>
    <row r="11474" spans="1:6" x14ac:dyDescent="0.25">
      <c r="A11474" s="1" t="str">
        <f t="shared" si="419"/>
        <v>22020</v>
      </c>
      <c r="B11474" s="1" t="str">
        <f>"58004"</f>
        <v>58004</v>
      </c>
      <c r="C11474" s="2">
        <v>9.0693514165661199E-4</v>
      </c>
      <c r="D11474" s="2">
        <v>8.3402835696413599E-4</v>
      </c>
      <c r="E11474" s="2">
        <v>1.23992560446373E-4</v>
      </c>
      <c r="F11474" s="2">
        <v>8.5567598402738103E-4</v>
      </c>
    </row>
    <row r="11475" spans="1:6" x14ac:dyDescent="0.25">
      <c r="A11475" s="1" t="str">
        <f t="shared" si="419"/>
        <v>22020</v>
      </c>
      <c r="B11475" s="1" t="str">
        <f>"58007"</f>
        <v>58007</v>
      </c>
      <c r="C11475" s="2">
        <v>4.4930731788492701E-4</v>
      </c>
      <c r="D11475" s="2">
        <v>2.5020850708924101E-4</v>
      </c>
      <c r="E11475" s="2">
        <v>3.7197768133911897E-4</v>
      </c>
      <c r="F11475" s="2">
        <v>4.2783799201368997E-4</v>
      </c>
    </row>
    <row r="11476" spans="1:6" x14ac:dyDescent="0.25">
      <c r="A11476" s="1" t="str">
        <f t="shared" si="419"/>
        <v>22020</v>
      </c>
      <c r="B11476" s="1" t="str">
        <f>"58059"</f>
        <v>58059</v>
      </c>
      <c r="C11476" s="2">
        <v>6.0822898032200298E-3</v>
      </c>
      <c r="D11476" s="2">
        <v>2.0016680567139199E-3</v>
      </c>
      <c r="E11476" s="2">
        <v>9.9194048357098509E-4</v>
      </c>
      <c r="F11476" s="2">
        <v>5.4406731317741003E-3</v>
      </c>
    </row>
    <row r="11477" spans="1:6" x14ac:dyDescent="0.25">
      <c r="A11477" s="1" t="str">
        <f t="shared" si="419"/>
        <v>22020</v>
      </c>
      <c r="B11477" s="1" t="str">
        <f>"56549"</f>
        <v>56549</v>
      </c>
      <c r="C11477" s="2">
        <v>1.39118858426592E-2</v>
      </c>
      <c r="D11477" s="2">
        <v>2.2518765638031599E-3</v>
      </c>
      <c r="E11477" s="2">
        <v>5.9516429014259097E-3</v>
      </c>
      <c r="F11477" s="2">
        <v>1.24572162007986E-2</v>
      </c>
    </row>
    <row r="11478" spans="1:6" x14ac:dyDescent="0.25">
      <c r="A11478" s="1" t="str">
        <f t="shared" si="419"/>
        <v>22020</v>
      </c>
      <c r="B11478" s="1" t="str">
        <f>"56560"</f>
        <v>56560</v>
      </c>
      <c r="C11478" s="2">
        <v>0.16160918583849801</v>
      </c>
      <c r="D11478" s="2">
        <v>0.101167639699749</v>
      </c>
      <c r="E11478" s="2">
        <v>0.129696218226906</v>
      </c>
      <c r="F11478" s="2">
        <v>0.154606389047347</v>
      </c>
    </row>
    <row r="11479" spans="1:6" x14ac:dyDescent="0.25">
      <c r="A11479" s="1" t="str">
        <f t="shared" si="419"/>
        <v>22020</v>
      </c>
      <c r="B11479" s="1" t="str">
        <f>"56561"</f>
        <v>56561</v>
      </c>
      <c r="C11479" s="2">
        <v>5.4416108499396702E-3</v>
      </c>
      <c r="D11479" s="2">
        <v>2.15179316096747E-2</v>
      </c>
      <c r="E11479" s="2">
        <v>2.47985120892746E-4</v>
      </c>
      <c r="F11479" s="2">
        <v>6.5173987450085503E-3</v>
      </c>
    </row>
    <row r="11480" spans="1:6" x14ac:dyDescent="0.25">
      <c r="A11480" s="1" t="str">
        <f t="shared" si="419"/>
        <v>22020</v>
      </c>
      <c r="B11480" s="1" t="str">
        <f>"56585"</f>
        <v>56585</v>
      </c>
      <c r="C11480" s="2">
        <v>2.8040104838374098E-3</v>
      </c>
      <c r="D11480" s="2">
        <v>4.1701417848206799E-4</v>
      </c>
      <c r="E11480" s="2">
        <v>1.3639181649101001E-3</v>
      </c>
      <c r="F11480" s="2">
        <v>2.51711351968054E-3</v>
      </c>
    </row>
    <row r="11481" spans="1:6" x14ac:dyDescent="0.25">
      <c r="A11481" s="1" t="str">
        <f t="shared" si="419"/>
        <v>22020</v>
      </c>
      <c r="B11481" s="1" t="str">
        <f>"58078"</f>
        <v>58078</v>
      </c>
      <c r="C11481" s="2">
        <v>0.14560885301826301</v>
      </c>
      <c r="D11481" s="2">
        <v>0.133778148457047</v>
      </c>
      <c r="E11481" s="2">
        <v>0.15300681959082399</v>
      </c>
      <c r="F11481" s="2">
        <v>0.14502281802624001</v>
      </c>
    </row>
    <row r="11482" spans="1:6" x14ac:dyDescent="0.25">
      <c r="A11482" s="1" t="str">
        <f t="shared" si="419"/>
        <v>22020</v>
      </c>
      <c r="B11482" s="1" t="str">
        <f>"58029"</f>
        <v>58029</v>
      </c>
      <c r="C11482" s="2">
        <v>5.4083288263926397E-4</v>
      </c>
      <c r="D11482" s="2">
        <v>0</v>
      </c>
      <c r="E11482" s="2">
        <v>1.23992560446373E-4</v>
      </c>
      <c r="F11482" s="2">
        <v>4.7062179121505903E-4</v>
      </c>
    </row>
    <row r="11483" spans="1:6" x14ac:dyDescent="0.25">
      <c r="A11483" s="1" t="str">
        <f t="shared" si="419"/>
        <v>22020</v>
      </c>
      <c r="B11483" s="1" t="str">
        <f>"58107"</f>
        <v>58107</v>
      </c>
      <c r="C11483" s="2">
        <v>6.8311353330282399E-3</v>
      </c>
      <c r="D11483" s="2">
        <v>3.7614678899082502E-2</v>
      </c>
      <c r="E11483" s="2">
        <v>2.47985120892746E-4</v>
      </c>
      <c r="F11483" s="2">
        <v>9.0844266970907007E-3</v>
      </c>
    </row>
    <row r="11484" spans="1:6" x14ac:dyDescent="0.25">
      <c r="A11484" s="1" t="str">
        <f t="shared" si="419"/>
        <v>22020</v>
      </c>
      <c r="B11484" s="1" t="str">
        <f>"56514"</f>
        <v>56514</v>
      </c>
      <c r="C11484" s="2">
        <v>1.23809127594957E-2</v>
      </c>
      <c r="D11484" s="2">
        <v>3.2527105921601302E-3</v>
      </c>
      <c r="E11484" s="2">
        <v>7.0675759454432701E-3</v>
      </c>
      <c r="F11484" s="2">
        <v>1.1294922989161399E-2</v>
      </c>
    </row>
    <row r="11485" spans="1:6" x14ac:dyDescent="0.25">
      <c r="A11485" s="1" t="str">
        <f t="shared" si="419"/>
        <v>22020</v>
      </c>
      <c r="B11485" s="1" t="str">
        <f>"58005"</f>
        <v>58005</v>
      </c>
      <c r="C11485" s="2">
        <v>2.42958771893331E-3</v>
      </c>
      <c r="D11485" s="2">
        <v>2.5020850708924101E-4</v>
      </c>
      <c r="E11485" s="2">
        <v>2.47985120892746E-4</v>
      </c>
      <c r="F11485" s="2">
        <v>2.1177980604677599E-3</v>
      </c>
    </row>
    <row r="11486" spans="1:6" x14ac:dyDescent="0.25">
      <c r="A11486" s="1" t="str">
        <f t="shared" si="419"/>
        <v>22020</v>
      </c>
      <c r="B11486" s="1" t="str">
        <f>"58012"</f>
        <v>58012</v>
      </c>
      <c r="C11486" s="2">
        <v>8.6866081457752601E-3</v>
      </c>
      <c r="D11486" s="2">
        <v>2.9190992493744699E-3</v>
      </c>
      <c r="E11486" s="2">
        <v>4.9597024178549198E-3</v>
      </c>
      <c r="F11486" s="2">
        <v>7.9791785510553298E-3</v>
      </c>
    </row>
    <row r="11487" spans="1:6" x14ac:dyDescent="0.25">
      <c r="A11487" s="1" t="str">
        <f t="shared" si="419"/>
        <v>22020</v>
      </c>
      <c r="B11487" s="1" t="str">
        <f>"58047"</f>
        <v>58047</v>
      </c>
      <c r="C11487" s="2">
        <v>1.43528726546574E-2</v>
      </c>
      <c r="D11487" s="2">
        <v>6.25521267723102E-3</v>
      </c>
      <c r="E11487" s="2">
        <v>2.8518288902665799E-3</v>
      </c>
      <c r="F11487" s="2">
        <v>1.29991443240159E-2</v>
      </c>
    </row>
    <row r="11488" spans="1:6" x14ac:dyDescent="0.25">
      <c r="A11488" s="1" t="str">
        <f t="shared" si="419"/>
        <v>22020</v>
      </c>
      <c r="B11488" s="1" t="str">
        <f>"56547"</f>
        <v>56547</v>
      </c>
      <c r="C11488" s="2">
        <v>8.7365311810958107E-3</v>
      </c>
      <c r="D11488" s="2">
        <v>2.9190992493744699E-3</v>
      </c>
      <c r="E11488" s="2">
        <v>3.0998140111593302E-3</v>
      </c>
      <c r="F11488" s="2">
        <v>7.9150028522532792E-3</v>
      </c>
    </row>
    <row r="11489" spans="1:6" x14ac:dyDescent="0.25">
      <c r="A11489" s="1" t="str">
        <f t="shared" si="419"/>
        <v>22020</v>
      </c>
      <c r="B11489" s="1" t="str">
        <f>"58015"</f>
        <v>58015</v>
      </c>
      <c r="C11489" s="2">
        <v>8.3205058867579096E-6</v>
      </c>
      <c r="D11489" s="2">
        <v>0</v>
      </c>
      <c r="E11489" s="2">
        <v>0</v>
      </c>
      <c r="F11489" s="2">
        <v>7.1306332002281798E-6</v>
      </c>
    </row>
    <row r="11490" spans="1:6" x14ac:dyDescent="0.25">
      <c r="A11490" s="1" t="str">
        <f t="shared" si="419"/>
        <v>22020</v>
      </c>
      <c r="B11490" s="1" t="str">
        <f>"56562"</f>
        <v>56562</v>
      </c>
      <c r="C11490" s="2">
        <v>0</v>
      </c>
      <c r="D11490" s="2">
        <v>1.6680567139282701E-4</v>
      </c>
      <c r="E11490" s="2">
        <v>1.23992560446373E-4</v>
      </c>
      <c r="F11490" s="2">
        <v>2.1391899600684499E-5</v>
      </c>
    </row>
    <row r="11491" spans="1:6" x14ac:dyDescent="0.25">
      <c r="A11491" s="1" t="str">
        <f t="shared" si="419"/>
        <v>22020</v>
      </c>
      <c r="B11491" s="1" t="str">
        <f>"58068"</f>
        <v>58068</v>
      </c>
      <c r="C11491" s="2">
        <v>1.6641011773515799E-5</v>
      </c>
      <c r="D11491" s="2">
        <v>0</v>
      </c>
      <c r="E11491" s="2">
        <v>0</v>
      </c>
      <c r="F11491" s="2">
        <v>1.42612664004563E-5</v>
      </c>
    </row>
    <row r="11492" spans="1:6" x14ac:dyDescent="0.25">
      <c r="A11492" s="1" t="str">
        <f t="shared" si="419"/>
        <v>22020</v>
      </c>
      <c r="B11492" s="1" t="str">
        <f>"58121"</f>
        <v>58121</v>
      </c>
      <c r="C11492" s="2">
        <v>0</v>
      </c>
      <c r="D11492" s="2">
        <v>8.3402835696413599E-5</v>
      </c>
      <c r="E11492" s="2">
        <v>0</v>
      </c>
      <c r="F11492" s="2">
        <v>7.1306332002281798E-6</v>
      </c>
    </row>
    <row r="11493" spans="1:6" x14ac:dyDescent="0.25">
      <c r="A11493" s="1" t="str">
        <f t="shared" si="419"/>
        <v>22020</v>
      </c>
      <c r="B11493" s="1" t="str">
        <f>"58109"</f>
        <v>58109</v>
      </c>
      <c r="C11493" s="2">
        <v>5.1587136497898995E-4</v>
      </c>
      <c r="D11493" s="2">
        <v>5.8381984987489503E-3</v>
      </c>
      <c r="E11493" s="2">
        <v>2.47985120892746E-4</v>
      </c>
      <c r="F11493" s="2">
        <v>9.5550484883057596E-4</v>
      </c>
    </row>
    <row r="11494" spans="1:6" x14ac:dyDescent="0.25">
      <c r="A11494" s="1" t="str">
        <f t="shared" si="419"/>
        <v>22020</v>
      </c>
      <c r="B11494" s="1" t="str">
        <f>"58124"</f>
        <v>58124</v>
      </c>
      <c r="C11494" s="2">
        <v>0</v>
      </c>
      <c r="D11494" s="2">
        <v>8.3402835696413599E-5</v>
      </c>
      <c r="E11494" s="2">
        <v>0</v>
      </c>
      <c r="F11494" s="2">
        <v>7.1306332002281798E-6</v>
      </c>
    </row>
    <row r="11495" spans="1:6" x14ac:dyDescent="0.25">
      <c r="A11495" s="1" t="str">
        <f t="shared" si="419"/>
        <v>22020</v>
      </c>
      <c r="B11495" s="1" t="str">
        <f>"58031"</f>
        <v>58031</v>
      </c>
      <c r="C11495" s="2">
        <v>8.0708907101551702E-4</v>
      </c>
      <c r="D11495" s="2">
        <v>1.6680567139282701E-4</v>
      </c>
      <c r="E11495" s="2">
        <v>1.23992560446373E-4</v>
      </c>
      <c r="F11495" s="2">
        <v>7.1306332002281803E-4</v>
      </c>
    </row>
    <row r="11496" spans="1:6" x14ac:dyDescent="0.25">
      <c r="A11496" s="1" t="str">
        <f t="shared" ref="A11496:A11523" si="420">"22020"</f>
        <v>22020</v>
      </c>
      <c r="B11496" s="1" t="str">
        <f>"58011"</f>
        <v>58011</v>
      </c>
      <c r="C11496" s="2">
        <v>1.73066522444564E-3</v>
      </c>
      <c r="D11496" s="2">
        <v>1.08423686405337E-3</v>
      </c>
      <c r="E11496" s="2">
        <v>1.11593304401735E-3</v>
      </c>
      <c r="F11496" s="2">
        <v>1.6400456360524799E-3</v>
      </c>
    </row>
    <row r="11497" spans="1:6" x14ac:dyDescent="0.25">
      <c r="A11497" s="1" t="str">
        <f t="shared" si="420"/>
        <v>22020</v>
      </c>
      <c r="B11497" s="1" t="str">
        <f>"56572"</f>
        <v>56572</v>
      </c>
      <c r="C11497" s="2">
        <v>1.9137163539543201E-4</v>
      </c>
      <c r="D11497" s="2">
        <v>8.3402835696413599E-5</v>
      </c>
      <c r="E11497" s="2">
        <v>0</v>
      </c>
      <c r="F11497" s="2">
        <v>1.7113519680547599E-4</v>
      </c>
    </row>
    <row r="11498" spans="1:6" x14ac:dyDescent="0.25">
      <c r="A11498" s="1" t="str">
        <f t="shared" si="420"/>
        <v>22020</v>
      </c>
      <c r="B11498" s="1" t="str">
        <f>"58046"</f>
        <v>58046</v>
      </c>
      <c r="C11498" s="2">
        <v>7.0724300037442204E-4</v>
      </c>
      <c r="D11498" s="2">
        <v>0</v>
      </c>
      <c r="E11498" s="2">
        <v>0</v>
      </c>
      <c r="F11498" s="2">
        <v>6.0610382201939502E-4</v>
      </c>
    </row>
    <row r="11499" spans="1:6" x14ac:dyDescent="0.25">
      <c r="A11499" s="1" t="str">
        <f t="shared" si="420"/>
        <v>22020</v>
      </c>
      <c r="B11499" s="1" t="str">
        <f>"58064"</f>
        <v>58064</v>
      </c>
      <c r="C11499" s="2">
        <v>1.73066522444564E-3</v>
      </c>
      <c r="D11499" s="2">
        <v>5.8381984987489503E-4</v>
      </c>
      <c r="E11499" s="2">
        <v>1.61190328580285E-3</v>
      </c>
      <c r="F11499" s="2">
        <v>1.6257843696520201E-3</v>
      </c>
    </row>
    <row r="11500" spans="1:6" x14ac:dyDescent="0.25">
      <c r="A11500" s="1" t="str">
        <f t="shared" si="420"/>
        <v>22020</v>
      </c>
      <c r="B11500" s="1" t="str">
        <f>"58042"</f>
        <v>58042</v>
      </c>
      <c r="C11500" s="2">
        <v>4.8342139202063403E-3</v>
      </c>
      <c r="D11500" s="2">
        <v>1.33444537114261E-3</v>
      </c>
      <c r="E11500" s="2">
        <v>1.11593304401735E-3</v>
      </c>
      <c r="F11500" s="2">
        <v>4.3211637193382698E-3</v>
      </c>
    </row>
    <row r="11501" spans="1:6" x14ac:dyDescent="0.25">
      <c r="A11501" s="1" t="str">
        <f t="shared" si="420"/>
        <v>22020</v>
      </c>
      <c r="B11501" s="1" t="str">
        <f>"58104"</f>
        <v>58104</v>
      </c>
      <c r="C11501" s="2">
        <v>0.19186254524275001</v>
      </c>
      <c r="D11501" s="2">
        <v>9.9165971643035797E-2</v>
      </c>
      <c r="E11501" s="2">
        <v>0.147179169249845</v>
      </c>
      <c r="F11501" s="2">
        <v>0.18136765544780301</v>
      </c>
    </row>
    <row r="11502" spans="1:6" x14ac:dyDescent="0.25">
      <c r="A11502" s="1" t="str">
        <f t="shared" si="420"/>
        <v>22020</v>
      </c>
      <c r="B11502" s="1" t="str">
        <f>"58036"</f>
        <v>58036</v>
      </c>
      <c r="C11502" s="2">
        <v>1.0234222240712201E-3</v>
      </c>
      <c r="D11502" s="2">
        <v>6.6722268557130901E-4</v>
      </c>
      <c r="E11502" s="2">
        <v>1.23992560446373E-4</v>
      </c>
      <c r="F11502" s="2">
        <v>9.4124358243011903E-4</v>
      </c>
    </row>
    <row r="11503" spans="1:6" x14ac:dyDescent="0.25">
      <c r="A11503" s="1" t="str">
        <f t="shared" si="420"/>
        <v>22020</v>
      </c>
      <c r="B11503" s="1" t="str">
        <f>"56519"</f>
        <v>56519</v>
      </c>
      <c r="C11503" s="2">
        <v>3.6610225901734797E-4</v>
      </c>
      <c r="D11503" s="2">
        <v>8.3402835696413599E-5</v>
      </c>
      <c r="E11503" s="2">
        <v>0</v>
      </c>
      <c r="F11503" s="2">
        <v>3.20878494010268E-4</v>
      </c>
    </row>
    <row r="11504" spans="1:6" x14ac:dyDescent="0.25">
      <c r="A11504" s="1" t="str">
        <f t="shared" si="420"/>
        <v>22020</v>
      </c>
      <c r="B11504" s="1" t="str">
        <f>"58052"</f>
        <v>58052</v>
      </c>
      <c r="C11504" s="2">
        <v>2.01356242459541E-3</v>
      </c>
      <c r="D11504" s="2">
        <v>7.5062552126772299E-4</v>
      </c>
      <c r="E11504" s="2">
        <v>6.1996280223186595E-4</v>
      </c>
      <c r="F11504" s="2">
        <v>1.8254420992584099E-3</v>
      </c>
    </row>
    <row r="11505" spans="1:6" x14ac:dyDescent="0.25">
      <c r="A11505" s="1" t="str">
        <f t="shared" si="420"/>
        <v>22020</v>
      </c>
      <c r="B11505" s="1" t="str">
        <f>"58106"</f>
        <v>58106</v>
      </c>
      <c r="C11505" s="2">
        <v>1.1049631817614499E-2</v>
      </c>
      <c r="D11505" s="2">
        <v>5.0041701417848201E-2</v>
      </c>
      <c r="E11505" s="2">
        <v>2.47985120892746E-4</v>
      </c>
      <c r="F11505" s="2">
        <v>1.37621220764403E-2</v>
      </c>
    </row>
    <row r="11506" spans="1:6" x14ac:dyDescent="0.25">
      <c r="A11506" s="1" t="str">
        <f t="shared" si="420"/>
        <v>22020</v>
      </c>
      <c r="B11506" s="1" t="str">
        <f>"58126"</f>
        <v>58126</v>
      </c>
      <c r="C11506" s="2">
        <v>0</v>
      </c>
      <c r="D11506" s="2">
        <v>8.3402835696413599E-5</v>
      </c>
      <c r="E11506" s="2">
        <v>0</v>
      </c>
      <c r="F11506" s="2">
        <v>7.1306332002281798E-6</v>
      </c>
    </row>
    <row r="11507" spans="1:6" x14ac:dyDescent="0.25">
      <c r="A11507" s="1" t="str">
        <f t="shared" si="420"/>
        <v>22020</v>
      </c>
      <c r="B11507" s="1" t="str">
        <f>"56584"</f>
        <v>56584</v>
      </c>
      <c r="C11507" s="2">
        <v>8.3205058867579096E-6</v>
      </c>
      <c r="D11507" s="2">
        <v>0</v>
      </c>
      <c r="E11507" s="2">
        <v>0</v>
      </c>
      <c r="F11507" s="2">
        <v>7.1306332002281798E-6</v>
      </c>
    </row>
    <row r="11508" spans="1:6" x14ac:dyDescent="0.25">
      <c r="A11508" s="1" t="str">
        <f t="shared" si="420"/>
        <v>22020</v>
      </c>
      <c r="B11508" s="1" t="str">
        <f>"58125"</f>
        <v>58125</v>
      </c>
      <c r="C11508" s="2">
        <v>0</v>
      </c>
      <c r="D11508" s="2">
        <v>2.5020850708924101E-4</v>
      </c>
      <c r="E11508" s="2">
        <v>0</v>
      </c>
      <c r="F11508" s="2">
        <v>2.1391899600684499E-5</v>
      </c>
    </row>
    <row r="11509" spans="1:6" x14ac:dyDescent="0.25">
      <c r="A11509" s="1" t="str">
        <f t="shared" si="420"/>
        <v>22020</v>
      </c>
      <c r="B11509" s="1" t="str">
        <f>"58035"</f>
        <v>58035</v>
      </c>
      <c r="C11509" s="2">
        <v>1.2480758830136799E-4</v>
      </c>
      <c r="D11509" s="2">
        <v>0</v>
      </c>
      <c r="E11509" s="2">
        <v>0</v>
      </c>
      <c r="F11509" s="2">
        <v>1.0695949800342201E-4</v>
      </c>
    </row>
    <row r="11510" spans="1:6" x14ac:dyDescent="0.25">
      <c r="A11510" s="1" t="str">
        <f t="shared" si="420"/>
        <v>22020</v>
      </c>
      <c r="B11510" s="1" t="str">
        <f>"56563"</f>
        <v>56563</v>
      </c>
      <c r="C11510" s="2">
        <v>0</v>
      </c>
      <c r="D11510" s="2">
        <v>8.5070892410341895E-2</v>
      </c>
      <c r="E11510" s="2">
        <v>9.9194048357098509E-4</v>
      </c>
      <c r="F11510" s="2">
        <v>7.3302909298345598E-3</v>
      </c>
    </row>
    <row r="11511" spans="1:6" x14ac:dyDescent="0.25">
      <c r="A11511" s="1" t="str">
        <f t="shared" si="420"/>
        <v>22020</v>
      </c>
      <c r="B11511" s="1" t="str">
        <f>"58027"</f>
        <v>58027</v>
      </c>
      <c r="C11511" s="2">
        <v>8.3205058867579103E-4</v>
      </c>
      <c r="D11511" s="2">
        <v>2.5020850708924101E-4</v>
      </c>
      <c r="E11511" s="2">
        <v>1.23992560446373E-4</v>
      </c>
      <c r="F11511" s="2">
        <v>7.4158585282373005E-4</v>
      </c>
    </row>
    <row r="11512" spans="1:6" x14ac:dyDescent="0.25">
      <c r="A11512" s="1" t="str">
        <f t="shared" si="420"/>
        <v>22020</v>
      </c>
      <c r="B11512" s="1" t="str">
        <f>"56552"</f>
        <v>56552</v>
      </c>
      <c r="C11512" s="2">
        <v>1.1648708241461E-3</v>
      </c>
      <c r="D11512" s="2">
        <v>8.3402835696413599E-5</v>
      </c>
      <c r="E11512" s="2">
        <v>4.95970241785492E-4</v>
      </c>
      <c r="F11512" s="2">
        <v>1.0339418140330799E-3</v>
      </c>
    </row>
    <row r="11513" spans="1:6" x14ac:dyDescent="0.25">
      <c r="A11513" s="1" t="str">
        <f t="shared" si="420"/>
        <v>22020</v>
      </c>
      <c r="B11513" s="1" t="str">
        <f>"56525"</f>
        <v>56525</v>
      </c>
      <c r="C11513" s="2">
        <v>3.3282023547031599E-4</v>
      </c>
      <c r="D11513" s="2">
        <v>3.3361134278565402E-4</v>
      </c>
      <c r="E11513" s="2">
        <v>1.23992560446373E-4</v>
      </c>
      <c r="F11513" s="2">
        <v>3.20878494010268E-4</v>
      </c>
    </row>
    <row r="11514" spans="1:6" x14ac:dyDescent="0.25">
      <c r="A11514" s="1" t="str">
        <f t="shared" si="420"/>
        <v>22020</v>
      </c>
      <c r="B11514" s="1" t="str">
        <f>"56546"</f>
        <v>56546</v>
      </c>
      <c r="C11514" s="2">
        <v>1.0067812122977E-3</v>
      </c>
      <c r="D11514" s="2">
        <v>1.6680567139282701E-4</v>
      </c>
      <c r="E11514" s="2">
        <v>3.7197768133911897E-4</v>
      </c>
      <c r="F11514" s="2">
        <v>8.9845978322874998E-4</v>
      </c>
    </row>
    <row r="11515" spans="1:6" x14ac:dyDescent="0.25">
      <c r="A11515" s="1" t="str">
        <f t="shared" si="420"/>
        <v>22020</v>
      </c>
      <c r="B11515" s="1" t="str">
        <f>"58048"</f>
        <v>58048</v>
      </c>
      <c r="C11515" s="2">
        <v>2.1300495070100201E-3</v>
      </c>
      <c r="D11515" s="2">
        <v>1.0008340283569599E-3</v>
      </c>
      <c r="E11515" s="2">
        <v>1.2399256044637299E-3</v>
      </c>
      <c r="F11515" s="2">
        <v>1.9823160296634302E-3</v>
      </c>
    </row>
    <row r="11516" spans="1:6" x14ac:dyDescent="0.25">
      <c r="A11516" s="1" t="str">
        <f t="shared" si="420"/>
        <v>22020</v>
      </c>
      <c r="B11516" s="1" t="str">
        <f>"58021"</f>
        <v>58021</v>
      </c>
      <c r="C11516" s="2">
        <v>1.53097308316345E-3</v>
      </c>
      <c r="D11516" s="2">
        <v>1.6680567139282701E-4</v>
      </c>
      <c r="E11516" s="2">
        <v>6.1996280223186595E-4</v>
      </c>
      <c r="F11516" s="2">
        <v>1.36195094124358E-3</v>
      </c>
    </row>
    <row r="11517" spans="1:6" x14ac:dyDescent="0.25">
      <c r="A11517" s="1" t="str">
        <f t="shared" si="420"/>
        <v>22020</v>
      </c>
      <c r="B11517" s="1" t="str">
        <f>"56580"</f>
        <v>56580</v>
      </c>
      <c r="C11517" s="2">
        <v>3.8607147314556698E-3</v>
      </c>
      <c r="D11517" s="2">
        <v>6.6722268557130901E-4</v>
      </c>
      <c r="E11517" s="2">
        <v>6.1996280223186595E-4</v>
      </c>
      <c r="F11517" s="2">
        <v>3.4013120365088399E-3</v>
      </c>
    </row>
    <row r="11518" spans="1:6" x14ac:dyDescent="0.25">
      <c r="A11518" s="1" t="str">
        <f t="shared" si="420"/>
        <v>22020</v>
      </c>
      <c r="B11518" s="1" t="str">
        <f>"56536"</f>
        <v>56536</v>
      </c>
      <c r="C11518" s="2">
        <v>1.6391396596913E-3</v>
      </c>
      <c r="D11518" s="2">
        <v>3.3361134278565402E-4</v>
      </c>
      <c r="E11518" s="2">
        <v>3.7197768133911897E-4</v>
      </c>
      <c r="F11518" s="2">
        <v>1.4546491728465399E-3</v>
      </c>
    </row>
    <row r="11519" spans="1:6" x14ac:dyDescent="0.25">
      <c r="A11519" s="1" t="str">
        <f t="shared" si="420"/>
        <v>22020</v>
      </c>
      <c r="B11519" s="1" t="str">
        <f>"58105"</f>
        <v>58105</v>
      </c>
      <c r="C11519" s="2">
        <v>2.6875234014228002E-3</v>
      </c>
      <c r="D11519" s="2">
        <v>7.6730608840700496E-3</v>
      </c>
      <c r="E11519" s="2">
        <v>2.6038437693738301E-3</v>
      </c>
      <c r="F11519" s="2">
        <v>3.1089560752994802E-3</v>
      </c>
    </row>
    <row r="11520" spans="1:6" x14ac:dyDescent="0.25">
      <c r="A11520" s="1" t="str">
        <f t="shared" si="420"/>
        <v>22020</v>
      </c>
      <c r="B11520" s="1" t="str">
        <f>"58079"</f>
        <v>58079</v>
      </c>
      <c r="C11520" s="2">
        <v>1.99692141282189E-3</v>
      </c>
      <c r="D11520" s="2">
        <v>9.1743119266054997E-4</v>
      </c>
      <c r="E11520" s="2">
        <v>6.1996280223186595E-4</v>
      </c>
      <c r="F11520" s="2">
        <v>1.8254420992584099E-3</v>
      </c>
    </row>
    <row r="11521" spans="1:6" x14ac:dyDescent="0.25">
      <c r="A11521" s="1" t="str">
        <f t="shared" si="420"/>
        <v>22020</v>
      </c>
      <c r="B11521" s="1" t="str">
        <f>"58071"</f>
        <v>58071</v>
      </c>
      <c r="C11521" s="2">
        <v>1.38120397720181E-3</v>
      </c>
      <c r="D11521" s="2">
        <v>5.0041701417848203E-4</v>
      </c>
      <c r="E11521" s="2">
        <v>1.11593304401735E-3</v>
      </c>
      <c r="F11521" s="2">
        <v>1.2906446092413001E-3</v>
      </c>
    </row>
    <row r="11522" spans="1:6" x14ac:dyDescent="0.25">
      <c r="A11522" s="1" t="str">
        <f t="shared" si="420"/>
        <v>22020</v>
      </c>
      <c r="B11522" s="1" t="str">
        <f>"58102"</f>
        <v>58102</v>
      </c>
      <c r="C11522" s="2">
        <v>0.14025044722719099</v>
      </c>
      <c r="D11522" s="2">
        <v>0.161050875729774</v>
      </c>
      <c r="E11522" s="2">
        <v>0.21363918164910101</v>
      </c>
      <c r="F11522" s="2">
        <v>0.14624928693667899</v>
      </c>
    </row>
    <row r="11523" spans="1:6" x14ac:dyDescent="0.25">
      <c r="A11523" s="1" t="str">
        <f t="shared" si="420"/>
        <v>22020</v>
      </c>
      <c r="B11523" s="1" t="str">
        <f>"56554"</f>
        <v>56554</v>
      </c>
      <c r="C11523" s="2">
        <v>4.4930731788492701E-4</v>
      </c>
      <c r="D11523" s="2">
        <v>2.5020850708924101E-4</v>
      </c>
      <c r="E11523" s="2">
        <v>0</v>
      </c>
      <c r="F11523" s="2">
        <v>4.0644609241300599E-4</v>
      </c>
    </row>
    <row r="11524" spans="1:6" x14ac:dyDescent="0.25">
      <c r="A11524" s="1" t="str">
        <f t="shared" ref="A11524:A11539" si="421">"22060"</f>
        <v>22060</v>
      </c>
      <c r="B11524" s="1" t="str">
        <f>"56052"</f>
        <v>56052</v>
      </c>
      <c r="C11524" s="2">
        <v>3.9557541572045997E-3</v>
      </c>
      <c r="D11524" s="2">
        <v>5.0658561296859097E-4</v>
      </c>
      <c r="E11524" s="2">
        <v>0</v>
      </c>
      <c r="F11524" s="2">
        <v>3.61070624089042E-3</v>
      </c>
    </row>
    <row r="11525" spans="1:6" x14ac:dyDescent="0.25">
      <c r="A11525" s="1" t="str">
        <f t="shared" si="421"/>
        <v>22060</v>
      </c>
      <c r="B11525" s="1" t="str">
        <f>"55057"</f>
        <v>55057</v>
      </c>
      <c r="C11525" s="2">
        <v>0.29089443996776698</v>
      </c>
      <c r="D11525" s="2">
        <v>0.35410334346504502</v>
      </c>
      <c r="E11525" s="2">
        <v>0.34868421052631499</v>
      </c>
      <c r="F11525" s="2">
        <v>0.29677355240492898</v>
      </c>
    </row>
    <row r="11526" spans="1:6" x14ac:dyDescent="0.25">
      <c r="A11526" s="1" t="str">
        <f t="shared" si="421"/>
        <v>22060</v>
      </c>
      <c r="B11526" s="1" t="str">
        <f>"55049"</f>
        <v>55049</v>
      </c>
      <c r="C11526" s="2">
        <v>9.8893853930114993E-4</v>
      </c>
      <c r="D11526" s="2">
        <v>0</v>
      </c>
      <c r="E11526" s="2">
        <v>0</v>
      </c>
      <c r="F11526" s="2">
        <v>8.94395123890287E-4</v>
      </c>
    </row>
    <row r="11527" spans="1:6" x14ac:dyDescent="0.25">
      <c r="A11527" s="1" t="str">
        <f t="shared" si="421"/>
        <v>22060</v>
      </c>
      <c r="B11527" s="1" t="str">
        <f>"55053"</f>
        <v>55053</v>
      </c>
      <c r="C11527" s="2">
        <v>1.26730642443777E-2</v>
      </c>
      <c r="D11527" s="2">
        <v>2.02634245187436E-3</v>
      </c>
      <c r="E11527" s="2">
        <v>1.09649122807017E-3</v>
      </c>
      <c r="F11527" s="2">
        <v>1.1627136610573701E-2</v>
      </c>
    </row>
    <row r="11528" spans="1:6" x14ac:dyDescent="0.25">
      <c r="A11528" s="1" t="str">
        <f t="shared" si="421"/>
        <v>22060</v>
      </c>
      <c r="B11528" s="1" t="str">
        <f>"55088"</f>
        <v>55088</v>
      </c>
      <c r="C11528" s="2">
        <v>1.98886528459453E-2</v>
      </c>
      <c r="D11528" s="2">
        <v>2.02634245187436E-3</v>
      </c>
      <c r="E11528" s="2">
        <v>2.1929824561403499E-3</v>
      </c>
      <c r="F11528" s="2">
        <v>1.8186034185769102E-2</v>
      </c>
    </row>
    <row r="11529" spans="1:6" x14ac:dyDescent="0.25">
      <c r="A11529" s="1" t="str">
        <f t="shared" si="421"/>
        <v>22060</v>
      </c>
      <c r="B11529" s="1" t="str">
        <f>"55946"</f>
        <v>55946</v>
      </c>
      <c r="C11529" s="2">
        <v>3.8824994505896999E-3</v>
      </c>
      <c r="D11529" s="2">
        <v>5.0658561296859097E-4</v>
      </c>
      <c r="E11529" s="2">
        <v>0</v>
      </c>
      <c r="F11529" s="2">
        <v>3.5444547502318799E-3</v>
      </c>
    </row>
    <row r="11530" spans="1:6" x14ac:dyDescent="0.25">
      <c r="A11530" s="1" t="str">
        <f t="shared" si="421"/>
        <v>22060</v>
      </c>
      <c r="B11530" s="1" t="str">
        <f>"55046"</f>
        <v>55046</v>
      </c>
      <c r="C11530" s="2">
        <v>9.3839279173686896E-2</v>
      </c>
      <c r="D11530" s="2">
        <v>4.7112462006078999E-2</v>
      </c>
      <c r="E11530" s="2">
        <v>2.0833333333333301E-2</v>
      </c>
      <c r="F11530" s="2">
        <v>8.8578243010467697E-2</v>
      </c>
    </row>
    <row r="11531" spans="1:6" x14ac:dyDescent="0.25">
      <c r="A11531" s="1" t="str">
        <f t="shared" si="421"/>
        <v>22060</v>
      </c>
      <c r="B11531" s="1" t="str">
        <f>"55019"</f>
        <v>55019</v>
      </c>
      <c r="C11531" s="2">
        <v>3.0730349424950499E-2</v>
      </c>
      <c r="D11531" s="2">
        <v>3.4954407294832797E-2</v>
      </c>
      <c r="E11531" s="2">
        <v>1.3157894736842099E-2</v>
      </c>
      <c r="F11531" s="2">
        <v>3.0475685702928301E-2</v>
      </c>
    </row>
    <row r="11532" spans="1:6" x14ac:dyDescent="0.25">
      <c r="A11532" s="1" t="str">
        <f t="shared" si="421"/>
        <v>22060</v>
      </c>
      <c r="B11532" s="1" t="str">
        <f>"55018"</f>
        <v>55018</v>
      </c>
      <c r="C11532" s="2">
        <v>1.5749761922203499E-3</v>
      </c>
      <c r="D11532" s="2">
        <v>4.0526849037487303E-3</v>
      </c>
      <c r="E11532" s="2">
        <v>4.3859649122806998E-3</v>
      </c>
      <c r="F11532" s="2">
        <v>1.8219159931098399E-3</v>
      </c>
    </row>
    <row r="11533" spans="1:6" x14ac:dyDescent="0.25">
      <c r="A11533" s="1" t="str">
        <f t="shared" si="421"/>
        <v>22060</v>
      </c>
      <c r="B11533" s="1" t="str">
        <f>"55021"</f>
        <v>55021</v>
      </c>
      <c r="C11533" s="2">
        <v>0.49055014284667697</v>
      </c>
      <c r="D11533" s="2">
        <v>0.54761904761904701</v>
      </c>
      <c r="E11533" s="2">
        <v>0.59210526315789402</v>
      </c>
      <c r="F11533" s="2">
        <v>0.49734994037365798</v>
      </c>
    </row>
    <row r="11534" spans="1:6" x14ac:dyDescent="0.25">
      <c r="A11534" s="1" t="str">
        <f t="shared" si="421"/>
        <v>22060</v>
      </c>
      <c r="B11534" s="1" t="str">
        <f>"56071"</f>
        <v>56071</v>
      </c>
      <c r="C11534" s="2">
        <v>4.6883012233536001E-3</v>
      </c>
      <c r="D11534" s="2">
        <v>1.5197568389057701E-3</v>
      </c>
      <c r="E11534" s="2">
        <v>0</v>
      </c>
      <c r="F11534" s="2">
        <v>4.3394726381343496E-3</v>
      </c>
    </row>
    <row r="11535" spans="1:6" x14ac:dyDescent="0.25">
      <c r="A11535" s="1" t="str">
        <f t="shared" si="421"/>
        <v>22060</v>
      </c>
      <c r="B11535" s="1" t="str">
        <f>"55020"</f>
        <v>55020</v>
      </c>
      <c r="C11535" s="2">
        <v>3.6627353307449998E-4</v>
      </c>
      <c r="D11535" s="2">
        <v>0</v>
      </c>
      <c r="E11535" s="2">
        <v>0</v>
      </c>
      <c r="F11535" s="2">
        <v>3.3125745329269901E-4</v>
      </c>
    </row>
    <row r="11536" spans="1:6" x14ac:dyDescent="0.25">
      <c r="A11536" s="1" t="str">
        <f t="shared" si="421"/>
        <v>22060</v>
      </c>
      <c r="B11536" s="1" t="str">
        <f>"56096"</f>
        <v>56096</v>
      </c>
      <c r="C11536" s="2">
        <v>2.4174053182916999E-3</v>
      </c>
      <c r="D11536" s="2">
        <v>1.01317122593718E-3</v>
      </c>
      <c r="E11536" s="2">
        <v>0</v>
      </c>
      <c r="F11536" s="2">
        <v>2.2525506823903498E-3</v>
      </c>
    </row>
    <row r="11537" spans="1:6" x14ac:dyDescent="0.25">
      <c r="A11537" s="1" t="str">
        <f t="shared" si="421"/>
        <v>22060</v>
      </c>
      <c r="B11537" s="1" t="str">
        <f>"55087"</f>
        <v>55087</v>
      </c>
      <c r="C11537" s="2">
        <v>5.7504944692696501E-3</v>
      </c>
      <c r="D11537" s="2">
        <v>0</v>
      </c>
      <c r="E11537" s="2">
        <v>1.09649122807017E-3</v>
      </c>
      <c r="F11537" s="2">
        <v>5.2338677620246401E-3</v>
      </c>
    </row>
    <row r="11538" spans="1:6" x14ac:dyDescent="0.25">
      <c r="A11538" s="1" t="str">
        <f t="shared" si="421"/>
        <v>22060</v>
      </c>
      <c r="B11538" s="1" t="str">
        <f>"55052"</f>
        <v>55052</v>
      </c>
      <c r="C11538" s="2">
        <v>2.9778038238956799E-2</v>
      </c>
      <c r="D11538" s="2">
        <v>4.5592705167173198E-3</v>
      </c>
      <c r="E11538" s="2">
        <v>1.53508771929824E-2</v>
      </c>
      <c r="F11538" s="2">
        <v>2.7693123095269601E-2</v>
      </c>
    </row>
    <row r="11539" spans="1:6" x14ac:dyDescent="0.25">
      <c r="A11539" s="1" t="str">
        <f t="shared" si="421"/>
        <v>22060</v>
      </c>
      <c r="B11539" s="1" t="str">
        <f>"56069"</f>
        <v>56069</v>
      </c>
      <c r="C11539" s="2">
        <v>8.0213903743315499E-3</v>
      </c>
      <c r="D11539" s="2">
        <v>0</v>
      </c>
      <c r="E11539" s="2">
        <v>1.09649122807017E-3</v>
      </c>
      <c r="F11539" s="2">
        <v>7.2876639724393701E-3</v>
      </c>
    </row>
    <row r="11540" spans="1:6" x14ac:dyDescent="0.25">
      <c r="A11540" s="1" t="str">
        <f t="shared" ref="A11540:A11556" si="422">"22100"</f>
        <v>22100</v>
      </c>
      <c r="B11540" s="1" t="str">
        <f>"63628"</f>
        <v>63628</v>
      </c>
      <c r="C11540" s="2">
        <v>0.20656408258667699</v>
      </c>
      <c r="D11540" s="2">
        <v>0.122231012658227</v>
      </c>
      <c r="E11540" s="2">
        <v>0.156204379562043</v>
      </c>
      <c r="F11540" s="2">
        <v>0.19928271158538299</v>
      </c>
    </row>
    <row r="11541" spans="1:6" x14ac:dyDescent="0.25">
      <c r="A11541" s="1" t="str">
        <f t="shared" si="422"/>
        <v>22100</v>
      </c>
      <c r="B11541" s="1" t="str">
        <f>"63640"</f>
        <v>63640</v>
      </c>
      <c r="C11541" s="2">
        <v>0.39537073107388598</v>
      </c>
      <c r="D11541" s="2">
        <v>0.580696202531645</v>
      </c>
      <c r="E11541" s="2">
        <v>0.35036496350364899</v>
      </c>
      <c r="F11541" s="2">
        <v>0.40823705794161702</v>
      </c>
    </row>
    <row r="11542" spans="1:6" x14ac:dyDescent="0.25">
      <c r="A11542" s="1" t="str">
        <f t="shared" si="422"/>
        <v>22100</v>
      </c>
      <c r="B11542" s="1" t="str">
        <f>"63020"</f>
        <v>63020</v>
      </c>
      <c r="C11542" s="2">
        <v>7.1419296195299295E-4</v>
      </c>
      <c r="D11542" s="2">
        <v>0</v>
      </c>
      <c r="E11542" s="2">
        <v>0</v>
      </c>
      <c r="F11542" s="2">
        <v>6.4673545580151096E-4</v>
      </c>
    </row>
    <row r="11543" spans="1:6" x14ac:dyDescent="0.25">
      <c r="A11543" s="1" t="str">
        <f t="shared" si="422"/>
        <v>22100</v>
      </c>
      <c r="B11543" s="1" t="str">
        <f>"63648"</f>
        <v>63648</v>
      </c>
      <c r="C11543" s="2">
        <v>2.46721205038306E-3</v>
      </c>
      <c r="D11543" s="2">
        <v>0</v>
      </c>
      <c r="E11543" s="2">
        <v>0</v>
      </c>
      <c r="F11543" s="2">
        <v>2.2341770291324902E-3</v>
      </c>
    </row>
    <row r="11544" spans="1:6" x14ac:dyDescent="0.25">
      <c r="A11544" s="1" t="str">
        <f t="shared" si="422"/>
        <v>22100</v>
      </c>
      <c r="B11544" s="1" t="str">
        <f>"63630"</f>
        <v>63630</v>
      </c>
      <c r="C11544" s="2">
        <v>3.5709648097649599E-4</v>
      </c>
      <c r="D11544" s="2">
        <v>0</v>
      </c>
      <c r="E11544" s="2">
        <v>0</v>
      </c>
      <c r="F11544" s="2">
        <v>3.2336772790075499E-4</v>
      </c>
    </row>
    <row r="11545" spans="1:6" x14ac:dyDescent="0.25">
      <c r="A11545" s="1" t="str">
        <f t="shared" si="422"/>
        <v>22100</v>
      </c>
      <c r="B11545" s="1" t="str">
        <f>"63653"</f>
        <v>63653</v>
      </c>
      <c r="C11545" s="2">
        <v>1.6004415011037498E-2</v>
      </c>
      <c r="D11545" s="2">
        <v>9.8892405063291094E-3</v>
      </c>
      <c r="E11545" s="2">
        <v>7.2992700729926996E-3</v>
      </c>
      <c r="F11545" s="2">
        <v>1.5374665608372201E-2</v>
      </c>
    </row>
    <row r="11546" spans="1:6" x14ac:dyDescent="0.25">
      <c r="A11546" s="1" t="str">
        <f t="shared" si="422"/>
        <v>22100</v>
      </c>
      <c r="B11546" s="1" t="str">
        <f>"63601"</f>
        <v>63601</v>
      </c>
      <c r="C11546" s="2">
        <v>0.25568108037917098</v>
      </c>
      <c r="D11546" s="2">
        <v>0.256724683544303</v>
      </c>
      <c r="E11546" s="2">
        <v>0.41167883211678802</v>
      </c>
      <c r="F11546" s="2">
        <v>0.25889996178381303</v>
      </c>
    </row>
    <row r="11547" spans="1:6" x14ac:dyDescent="0.25">
      <c r="A11547" s="1" t="str">
        <f t="shared" si="422"/>
        <v>22100</v>
      </c>
      <c r="B11547" s="1" t="str">
        <f>"63654"</f>
        <v>63654</v>
      </c>
      <c r="C11547" s="2">
        <v>3.2463316452408702E-5</v>
      </c>
      <c r="D11547" s="2">
        <v>0</v>
      </c>
      <c r="E11547" s="2">
        <v>0</v>
      </c>
      <c r="F11547" s="2">
        <v>2.9397066172795901E-5</v>
      </c>
    </row>
    <row r="11548" spans="1:6" x14ac:dyDescent="0.25">
      <c r="A11548" s="1" t="str">
        <f t="shared" si="422"/>
        <v>22100</v>
      </c>
      <c r="B11548" s="1" t="str">
        <f>"63028"</f>
        <v>63028</v>
      </c>
      <c r="C11548" s="2">
        <v>3.2463316452408702E-5</v>
      </c>
      <c r="D11548" s="2">
        <v>0</v>
      </c>
      <c r="E11548" s="2">
        <v>0</v>
      </c>
      <c r="F11548" s="2">
        <v>2.9397066172795901E-5</v>
      </c>
    </row>
    <row r="11549" spans="1:6" x14ac:dyDescent="0.25">
      <c r="A11549" s="1" t="str">
        <f t="shared" si="422"/>
        <v>22100</v>
      </c>
      <c r="B11549" s="1" t="str">
        <f>"63645"</f>
        <v>63645</v>
      </c>
      <c r="C11549" s="2">
        <v>6.8172964550058399E-3</v>
      </c>
      <c r="D11549" s="2">
        <v>3.9556962025316401E-4</v>
      </c>
      <c r="E11549" s="2">
        <v>0</v>
      </c>
      <c r="F11549" s="2">
        <v>6.2027809624599396E-3</v>
      </c>
    </row>
    <row r="11550" spans="1:6" x14ac:dyDescent="0.25">
      <c r="A11550" s="1" t="str">
        <f t="shared" si="422"/>
        <v>22100</v>
      </c>
      <c r="B11550" s="1" t="str">
        <f>"63624"</f>
        <v>63624</v>
      </c>
      <c r="C11550" s="2">
        <v>4.7331515387611899E-2</v>
      </c>
      <c r="D11550" s="2">
        <v>1.26582278481012E-2</v>
      </c>
      <c r="E11550" s="2">
        <v>4.8175182481751802E-2</v>
      </c>
      <c r="F11550" s="2">
        <v>4.4771731781168202E-2</v>
      </c>
    </row>
    <row r="11551" spans="1:6" x14ac:dyDescent="0.25">
      <c r="A11551" s="1" t="str">
        <f t="shared" si="422"/>
        <v>22100</v>
      </c>
      <c r="B11551" s="1" t="str">
        <f>"63637"</f>
        <v>63637</v>
      </c>
      <c r="C11551" s="2">
        <v>1.7270484352681401E-2</v>
      </c>
      <c r="D11551" s="2">
        <v>1.02848101265822E-2</v>
      </c>
      <c r="E11551" s="2">
        <v>1.4598540145985399E-2</v>
      </c>
      <c r="F11551" s="2">
        <v>1.6697533586148099E-2</v>
      </c>
    </row>
    <row r="11552" spans="1:6" x14ac:dyDescent="0.25">
      <c r="A11552" s="1" t="str">
        <f t="shared" si="422"/>
        <v>22100</v>
      </c>
      <c r="B11552" s="1" t="str">
        <f>"63036"</f>
        <v>63036</v>
      </c>
      <c r="C11552" s="2">
        <v>2.1815348656018599E-2</v>
      </c>
      <c r="D11552" s="2">
        <v>1.9778481012658199E-3</v>
      </c>
      <c r="E11552" s="2">
        <v>1.4598540145985401E-3</v>
      </c>
      <c r="F11552" s="2">
        <v>1.9931210865155601E-2</v>
      </c>
    </row>
    <row r="11553" spans="1:6" x14ac:dyDescent="0.25">
      <c r="A11553" s="1" t="str">
        <f t="shared" si="422"/>
        <v>22100</v>
      </c>
      <c r="B11553" s="1" t="str">
        <f>"63650"</f>
        <v>63650</v>
      </c>
      <c r="C11553" s="2">
        <v>1.3115179846773101E-2</v>
      </c>
      <c r="D11553" s="2">
        <v>3.1645569620253099E-3</v>
      </c>
      <c r="E11553" s="2">
        <v>2.9197080291970801E-3</v>
      </c>
      <c r="F11553" s="2">
        <v>1.2170385395537499E-2</v>
      </c>
    </row>
    <row r="11554" spans="1:6" x14ac:dyDescent="0.25">
      <c r="A11554" s="1" t="str">
        <f t="shared" si="422"/>
        <v>22100</v>
      </c>
      <c r="B11554" s="1" t="str">
        <f>"63651"</f>
        <v>63651</v>
      </c>
      <c r="C11554" s="2">
        <v>0</v>
      </c>
      <c r="D11554" s="2">
        <v>0</v>
      </c>
      <c r="E11554" s="2">
        <v>1.4598540145985401E-3</v>
      </c>
      <c r="F11554" s="2">
        <v>2.9397066172795901E-5</v>
      </c>
    </row>
    <row r="11555" spans="1:6" x14ac:dyDescent="0.25">
      <c r="A11555" s="1" t="str">
        <f t="shared" si="422"/>
        <v>22100</v>
      </c>
      <c r="B11555" s="1" t="str">
        <f>"63087"</f>
        <v>63087</v>
      </c>
      <c r="C11555" s="2">
        <v>1.46409557200363E-2</v>
      </c>
      <c r="D11555" s="2">
        <v>1.18670886075949E-3</v>
      </c>
      <c r="E11555" s="2">
        <v>5.8394160583941602E-3</v>
      </c>
      <c r="F11555" s="2">
        <v>1.34638563071405E-2</v>
      </c>
    </row>
    <row r="11556" spans="1:6" x14ac:dyDescent="0.25">
      <c r="A11556" s="1" t="str">
        <f t="shared" si="422"/>
        <v>22100</v>
      </c>
      <c r="B11556" s="1" t="str">
        <f>"63626"</f>
        <v>63626</v>
      </c>
      <c r="C11556" s="2">
        <v>1.7854824048824801E-3</v>
      </c>
      <c r="D11556" s="2">
        <v>7.9113924050632899E-4</v>
      </c>
      <c r="E11556" s="2">
        <v>0</v>
      </c>
      <c r="F11556" s="2">
        <v>1.6756327718493601E-3</v>
      </c>
    </row>
    <row r="11557" spans="1:6" x14ac:dyDescent="0.25">
      <c r="A11557" s="1" t="str">
        <f t="shared" ref="A11557:A11573" si="423">"22140"</f>
        <v>22140</v>
      </c>
      <c r="B11557" s="1" t="str">
        <f>"87419"</f>
        <v>87419</v>
      </c>
      <c r="C11557" s="2">
        <v>1.21070518266779E-3</v>
      </c>
      <c r="D11557" s="2">
        <v>4.0832993058391101E-4</v>
      </c>
      <c r="E11557" s="2">
        <v>2.8392958546280501E-3</v>
      </c>
      <c r="F11557" s="2">
        <v>1.1909414019613299E-3</v>
      </c>
    </row>
    <row r="11558" spans="1:6" x14ac:dyDescent="0.25">
      <c r="A11558" s="1" t="str">
        <f t="shared" si="423"/>
        <v>22140</v>
      </c>
      <c r="B11558" s="1" t="str">
        <f>"87412"</f>
        <v>87412</v>
      </c>
      <c r="C11558" s="2">
        <v>5.4800339847068799E-3</v>
      </c>
      <c r="D11558" s="2">
        <v>2.0416496529195499E-4</v>
      </c>
      <c r="E11558" s="2">
        <v>2.2714366837024401E-3</v>
      </c>
      <c r="F11558" s="2">
        <v>4.8940248236848402E-3</v>
      </c>
    </row>
    <row r="11559" spans="1:6" x14ac:dyDescent="0.25">
      <c r="A11559" s="1" t="str">
        <f t="shared" si="423"/>
        <v>22140</v>
      </c>
      <c r="B11559" s="1" t="str">
        <f>"87410"</f>
        <v>87410</v>
      </c>
      <c r="C11559" s="2">
        <v>0.18194562446898799</v>
      </c>
      <c r="D11559" s="2">
        <v>0.11759902000816599</v>
      </c>
      <c r="E11559" s="2">
        <v>9.8239636570130601E-2</v>
      </c>
      <c r="F11559" s="2">
        <v>0.17333779936359001</v>
      </c>
    </row>
    <row r="11560" spans="1:6" x14ac:dyDescent="0.25">
      <c r="A11560" s="1" t="str">
        <f t="shared" si="423"/>
        <v>22140</v>
      </c>
      <c r="B11560" s="1" t="str">
        <f>"87416"</f>
        <v>87416</v>
      </c>
      <c r="C11560" s="2">
        <v>2.9311809685641402E-3</v>
      </c>
      <c r="D11560" s="2">
        <v>1.02082482645977E-3</v>
      </c>
      <c r="E11560" s="2">
        <v>1.7035775127768301E-3</v>
      </c>
      <c r="F11560" s="2">
        <v>2.7168350732242798E-3</v>
      </c>
    </row>
    <row r="11561" spans="1:6" x14ac:dyDescent="0.25">
      <c r="A11561" s="1" t="str">
        <f t="shared" si="423"/>
        <v>22140</v>
      </c>
      <c r="B11561" s="1" t="str">
        <f>"87413"</f>
        <v>87413</v>
      </c>
      <c r="C11561" s="2">
        <v>0.16204333050127401</v>
      </c>
      <c r="D11561" s="2">
        <v>8.7790935075541005E-2</v>
      </c>
      <c r="E11561" s="2">
        <v>0.118682566723452</v>
      </c>
      <c r="F11561" s="2">
        <v>0.15385474236587901</v>
      </c>
    </row>
    <row r="11562" spans="1:6" x14ac:dyDescent="0.25">
      <c r="A11562" s="1" t="str">
        <f t="shared" si="423"/>
        <v>22140</v>
      </c>
      <c r="B11562" s="1" t="str">
        <f>"87364"</f>
        <v>87364</v>
      </c>
      <c r="C11562" s="2">
        <v>0</v>
      </c>
      <c r="D11562" s="2">
        <v>2.0416496529195499E-4</v>
      </c>
      <c r="E11562" s="2">
        <v>0</v>
      </c>
      <c r="F11562" s="2">
        <v>1.8608459405645801E-5</v>
      </c>
    </row>
    <row r="11563" spans="1:6" x14ac:dyDescent="0.25">
      <c r="A11563" s="1" t="str">
        <f t="shared" si="423"/>
        <v>22140</v>
      </c>
      <c r="B11563" s="1" t="str">
        <f>"87455"</f>
        <v>87455</v>
      </c>
      <c r="C11563" s="2">
        <v>0</v>
      </c>
      <c r="D11563" s="2">
        <v>0</v>
      </c>
      <c r="E11563" s="2">
        <v>5.6785917092561002E-4</v>
      </c>
      <c r="F11563" s="2">
        <v>1.8608459405645801E-5</v>
      </c>
    </row>
    <row r="11564" spans="1:6" x14ac:dyDescent="0.25">
      <c r="A11564" s="1" t="str">
        <f t="shared" si="423"/>
        <v>22140</v>
      </c>
      <c r="B11564" s="1" t="str">
        <f>"87402"</f>
        <v>87402</v>
      </c>
      <c r="C11564" s="2">
        <v>9.8406966864910697E-2</v>
      </c>
      <c r="D11564" s="2">
        <v>0.13127807268272701</v>
      </c>
      <c r="E11564" s="2">
        <v>0.106189664963089</v>
      </c>
      <c r="F11564" s="2">
        <v>0.10165801373304301</v>
      </c>
    </row>
    <row r="11565" spans="1:6" x14ac:dyDescent="0.25">
      <c r="A11565" s="1" t="str">
        <f t="shared" si="423"/>
        <v>22140</v>
      </c>
      <c r="B11565" s="1" t="str">
        <f>"87461"</f>
        <v>87461</v>
      </c>
      <c r="C11565" s="2">
        <v>0</v>
      </c>
      <c r="D11565" s="2">
        <v>0</v>
      </c>
      <c r="E11565" s="2">
        <v>5.6785917092561002E-4</v>
      </c>
      <c r="F11565" s="2">
        <v>1.8608459405645801E-5</v>
      </c>
    </row>
    <row r="11566" spans="1:6" x14ac:dyDescent="0.25">
      <c r="A11566" s="1" t="str">
        <f t="shared" si="423"/>
        <v>22140</v>
      </c>
      <c r="B11566" s="1" t="str">
        <f>"87418"</f>
        <v>87418</v>
      </c>
      <c r="C11566" s="2">
        <v>6.1172472387425597E-3</v>
      </c>
      <c r="D11566" s="2">
        <v>0</v>
      </c>
      <c r="E11566" s="2">
        <v>1.13571834185122E-3</v>
      </c>
      <c r="F11566" s="2">
        <v>5.3964532276372804E-3</v>
      </c>
    </row>
    <row r="11567" spans="1:6" x14ac:dyDescent="0.25">
      <c r="A11567" s="1" t="str">
        <f t="shared" si="423"/>
        <v>22140</v>
      </c>
      <c r="B11567" s="1" t="str">
        <f>"87415"</f>
        <v>87415</v>
      </c>
      <c r="C11567" s="2">
        <v>3.3751062022090002E-2</v>
      </c>
      <c r="D11567" s="2">
        <v>2.7562270314414002E-2</v>
      </c>
      <c r="E11567" s="2">
        <v>4.5428733674048802E-3</v>
      </c>
      <c r="F11567" s="2">
        <v>3.2229851690578501E-2</v>
      </c>
    </row>
    <row r="11568" spans="1:6" x14ac:dyDescent="0.25">
      <c r="A11568" s="1" t="str">
        <f t="shared" si="423"/>
        <v>22140</v>
      </c>
      <c r="B11568" s="1" t="str">
        <f>"87499"</f>
        <v>87499</v>
      </c>
      <c r="C11568" s="2">
        <v>7.7442650807136706E-2</v>
      </c>
      <c r="D11568" s="2">
        <v>0.14026133115557299</v>
      </c>
      <c r="E11568" s="2">
        <v>1.7035775127768301E-3</v>
      </c>
      <c r="F11568" s="2">
        <v>8.0686279982880194E-2</v>
      </c>
    </row>
    <row r="11569" spans="1:6" x14ac:dyDescent="0.25">
      <c r="A11569" s="1" t="str">
        <f t="shared" si="423"/>
        <v>22140</v>
      </c>
      <c r="B11569" s="1" t="str">
        <f>"87420"</f>
        <v>87420</v>
      </c>
      <c r="C11569" s="2">
        <v>4.24808836023789E-5</v>
      </c>
      <c r="D11569" s="2">
        <v>0</v>
      </c>
      <c r="E11569" s="2">
        <v>5.6785917092561002E-4</v>
      </c>
      <c r="F11569" s="2">
        <v>5.5825378216937398E-5</v>
      </c>
    </row>
    <row r="11570" spans="1:6" x14ac:dyDescent="0.25">
      <c r="A11570" s="1" t="str">
        <f t="shared" si="423"/>
        <v>22140</v>
      </c>
      <c r="B11570" s="1" t="str">
        <f>"87421"</f>
        <v>87421</v>
      </c>
      <c r="C11570" s="2">
        <v>1.4231096006796899E-3</v>
      </c>
      <c r="D11570" s="2">
        <v>1.22498979175173E-3</v>
      </c>
      <c r="E11570" s="2">
        <v>1.13571834185122E-3</v>
      </c>
      <c r="F11570" s="2">
        <v>1.3956344554234301E-3</v>
      </c>
    </row>
    <row r="11571" spans="1:6" x14ac:dyDescent="0.25">
      <c r="A11571" s="1" t="str">
        <f t="shared" si="423"/>
        <v>22140</v>
      </c>
      <c r="B11571" s="1" t="str">
        <f>"87037"</f>
        <v>87037</v>
      </c>
      <c r="C11571" s="2">
        <v>9.7493627867459593E-3</v>
      </c>
      <c r="D11571" s="2">
        <v>0</v>
      </c>
      <c r="E11571" s="2">
        <v>5.6785917092561002E-4</v>
      </c>
      <c r="F11571" s="2">
        <v>8.5598913265970706E-3</v>
      </c>
    </row>
    <row r="11572" spans="1:6" x14ac:dyDescent="0.25">
      <c r="A11572" s="1" t="str">
        <f t="shared" si="423"/>
        <v>22140</v>
      </c>
      <c r="B11572" s="1" t="str">
        <f>"87417"</f>
        <v>87417</v>
      </c>
      <c r="C11572" s="2">
        <v>4.0123194562446798E-2</v>
      </c>
      <c r="D11572" s="2">
        <v>1.6945692119232299E-2</v>
      </c>
      <c r="E11572" s="2">
        <v>2.0442930153321898E-2</v>
      </c>
      <c r="F11572" s="2">
        <v>3.7365786486536698E-2</v>
      </c>
    </row>
    <row r="11573" spans="1:6" x14ac:dyDescent="0.25">
      <c r="A11573" s="1" t="str">
        <f t="shared" si="423"/>
        <v>22140</v>
      </c>
      <c r="B11573" s="1" t="str">
        <f>"87401"</f>
        <v>87401</v>
      </c>
      <c r="C11573" s="2">
        <v>0.37933305012744201</v>
      </c>
      <c r="D11573" s="2">
        <v>0.47550020416496502</v>
      </c>
      <c r="E11573" s="2">
        <v>0.63884156729131103</v>
      </c>
      <c r="F11573" s="2">
        <v>0.39660209531252899</v>
      </c>
    </row>
    <row r="11574" spans="1:6" x14ac:dyDescent="0.25">
      <c r="A11574" s="1" t="str">
        <f t="shared" ref="A11574:A11605" si="424">"22180"</f>
        <v>22180</v>
      </c>
      <c r="B11574" s="1" t="str">
        <f>"28307"</f>
        <v>28307</v>
      </c>
      <c r="C11574" s="2">
        <v>2.1995954040427899E-2</v>
      </c>
      <c r="D11574" s="2">
        <v>9.1554131380178498E-4</v>
      </c>
      <c r="E11574" s="2">
        <v>1.5659693817926802E-2</v>
      </c>
      <c r="F11574" s="2">
        <v>2.0481862964621501E-2</v>
      </c>
    </row>
    <row r="11575" spans="1:6" x14ac:dyDescent="0.25">
      <c r="A11575" s="1" t="str">
        <f t="shared" si="424"/>
        <v>22180</v>
      </c>
      <c r="B11575" s="1" t="str">
        <f>"28357"</f>
        <v>28357</v>
      </c>
      <c r="C11575" s="2">
        <v>2.0585399775575599E-3</v>
      </c>
      <c r="D11575" s="2">
        <v>2.86106660563057E-4</v>
      </c>
      <c r="E11575" s="2">
        <v>0</v>
      </c>
      <c r="F11575" s="2">
        <v>1.88446036721898E-3</v>
      </c>
    </row>
    <row r="11576" spans="1:6" x14ac:dyDescent="0.25">
      <c r="A11576" s="1" t="str">
        <f t="shared" si="424"/>
        <v>22180</v>
      </c>
      <c r="B11576" s="1" t="str">
        <f>"28344"</f>
        <v>28344</v>
      </c>
      <c r="C11576" s="2">
        <v>2.09014903671392E-3</v>
      </c>
      <c r="D11576" s="2">
        <v>4.00549324788281E-4</v>
      </c>
      <c r="E11576" s="2">
        <v>1.16863386700946E-4</v>
      </c>
      <c r="F11576" s="2">
        <v>1.92386923421406E-3</v>
      </c>
    </row>
    <row r="11577" spans="1:6" x14ac:dyDescent="0.25">
      <c r="A11577" s="1" t="str">
        <f t="shared" si="424"/>
        <v>22180</v>
      </c>
      <c r="B11577" s="1" t="str">
        <f>"27330"</f>
        <v>27330</v>
      </c>
      <c r="C11577" s="2">
        <v>1.18533971836328E-5</v>
      </c>
      <c r="D11577" s="2">
        <v>5.72213321126115E-5</v>
      </c>
      <c r="E11577" s="2">
        <v>0</v>
      </c>
      <c r="F11577" s="2">
        <v>1.43304970891177E-5</v>
      </c>
    </row>
    <row r="11578" spans="1:6" x14ac:dyDescent="0.25">
      <c r="A11578" s="1" t="str">
        <f t="shared" si="424"/>
        <v>22180</v>
      </c>
      <c r="B11578" s="1" t="str">
        <f>"27546"</f>
        <v>27546</v>
      </c>
      <c r="C11578" s="2">
        <v>3.5169029443838602E-2</v>
      </c>
      <c r="D11578" s="2">
        <v>2.5921263447012999E-2</v>
      </c>
      <c r="E11578" s="2">
        <v>1.43741965642164E-2</v>
      </c>
      <c r="F11578" s="2">
        <v>3.3952530228392203E-2</v>
      </c>
    </row>
    <row r="11579" spans="1:6" x14ac:dyDescent="0.25">
      <c r="A11579" s="1" t="str">
        <f t="shared" si="424"/>
        <v>22180</v>
      </c>
      <c r="B11579" s="1" t="str">
        <f>"28301"</f>
        <v>28301</v>
      </c>
      <c r="C11579" s="2">
        <v>3.7357956790416098E-2</v>
      </c>
      <c r="D11579" s="2">
        <v>0.11770428015564199</v>
      </c>
      <c r="E11579" s="2">
        <v>6.8248217833352803E-2</v>
      </c>
      <c r="F11579" s="2">
        <v>4.3335423197492097E-2</v>
      </c>
    </row>
    <row r="11580" spans="1:6" x14ac:dyDescent="0.25">
      <c r="A11580" s="1" t="str">
        <f t="shared" si="424"/>
        <v>22180</v>
      </c>
      <c r="B11580" s="1" t="str">
        <f>"28318"</f>
        <v>28318</v>
      </c>
      <c r="C11580" s="2">
        <v>1.3868474704850399E-3</v>
      </c>
      <c r="D11580" s="2">
        <v>2.86106660563057E-4</v>
      </c>
      <c r="E11580" s="2">
        <v>0</v>
      </c>
      <c r="F11580" s="2">
        <v>1.2754142409314799E-3</v>
      </c>
    </row>
    <row r="11581" spans="1:6" x14ac:dyDescent="0.25">
      <c r="A11581" s="1" t="str">
        <f t="shared" si="424"/>
        <v>22180</v>
      </c>
      <c r="B11581" s="1" t="str">
        <f>"28376"</f>
        <v>28376</v>
      </c>
      <c r="C11581" s="2">
        <v>7.2696884927220096E-2</v>
      </c>
      <c r="D11581" s="2">
        <v>4.2687113756008199E-2</v>
      </c>
      <c r="E11581" s="2">
        <v>5.8431693350473202E-3</v>
      </c>
      <c r="F11581" s="2">
        <v>6.8768472906403894E-2</v>
      </c>
    </row>
    <row r="11582" spans="1:6" x14ac:dyDescent="0.25">
      <c r="A11582" s="1" t="str">
        <f t="shared" si="424"/>
        <v>22180</v>
      </c>
      <c r="B11582" s="1" t="str">
        <f>"28386"</f>
        <v>28386</v>
      </c>
      <c r="C11582" s="2">
        <v>1.93605487332669E-3</v>
      </c>
      <c r="D11582" s="2">
        <v>5.7221332112611498E-4</v>
      </c>
      <c r="E11582" s="2">
        <v>0</v>
      </c>
      <c r="F11582" s="2">
        <v>1.7913121361397199E-3</v>
      </c>
    </row>
    <row r="11583" spans="1:6" x14ac:dyDescent="0.25">
      <c r="A11583" s="1" t="str">
        <f t="shared" si="424"/>
        <v>22180</v>
      </c>
      <c r="B11583" s="1" t="str">
        <f>"28348"</f>
        <v>28348</v>
      </c>
      <c r="C11583" s="2">
        <v>6.2957343574668395E-2</v>
      </c>
      <c r="D11583" s="2">
        <v>2.9468986037994901E-2</v>
      </c>
      <c r="E11583" s="2">
        <v>4.72128082271824E-2</v>
      </c>
      <c r="F11583" s="2">
        <v>6.0377966860725399E-2</v>
      </c>
    </row>
    <row r="11584" spans="1:6" x14ac:dyDescent="0.25">
      <c r="A11584" s="1" t="str">
        <f t="shared" si="424"/>
        <v>22180</v>
      </c>
      <c r="B11584" s="1" t="str">
        <f>"28441"</f>
        <v>28441</v>
      </c>
      <c r="C11584" s="2">
        <v>3.9511323945442701E-6</v>
      </c>
      <c r="D11584" s="2">
        <v>0</v>
      </c>
      <c r="E11584" s="2">
        <v>0</v>
      </c>
      <c r="F11584" s="2">
        <v>3.5826242722794402E-6</v>
      </c>
    </row>
    <row r="11585" spans="1:6" x14ac:dyDescent="0.25">
      <c r="A11585" s="1" t="str">
        <f t="shared" si="424"/>
        <v>22180</v>
      </c>
      <c r="B11585" s="1" t="str">
        <f>"28399"</f>
        <v>28399</v>
      </c>
      <c r="C11585" s="2">
        <v>5.5315853523619798E-5</v>
      </c>
      <c r="D11585" s="2">
        <v>0</v>
      </c>
      <c r="E11585" s="2">
        <v>0</v>
      </c>
      <c r="F11585" s="2">
        <v>5.0156739811912197E-5</v>
      </c>
    </row>
    <row r="11586" spans="1:6" x14ac:dyDescent="0.25">
      <c r="A11586" s="1" t="str">
        <f t="shared" si="424"/>
        <v>22180</v>
      </c>
      <c r="B11586" s="1" t="str">
        <f>"27504"</f>
        <v>27504</v>
      </c>
      <c r="C11586" s="2">
        <v>8.65297994405196E-4</v>
      </c>
      <c r="D11586" s="2">
        <v>4.57770656900892E-4</v>
      </c>
      <c r="E11586" s="2">
        <v>3.5059016010283899E-4</v>
      </c>
      <c r="F11586" s="2">
        <v>8.2400358262427198E-4</v>
      </c>
    </row>
    <row r="11587" spans="1:6" x14ac:dyDescent="0.25">
      <c r="A11587" s="1" t="str">
        <f t="shared" si="424"/>
        <v>22180</v>
      </c>
      <c r="B11587" s="1" t="str">
        <f>"28331"</f>
        <v>28331</v>
      </c>
      <c r="C11587" s="2">
        <v>2.47736001137926E-3</v>
      </c>
      <c r="D11587" s="2">
        <v>6.9237811856260002E-3</v>
      </c>
      <c r="E11587" s="2">
        <v>2.33726773401893E-4</v>
      </c>
      <c r="F11587" s="2">
        <v>2.6869682042095799E-3</v>
      </c>
    </row>
    <row r="11588" spans="1:6" x14ac:dyDescent="0.25">
      <c r="A11588" s="1" t="str">
        <f t="shared" si="424"/>
        <v>22180</v>
      </c>
      <c r="B11588" s="1" t="str">
        <f>"28304"</f>
        <v>28304</v>
      </c>
      <c r="C11588" s="2">
        <v>7.2179286583534799E-2</v>
      </c>
      <c r="D11588" s="2">
        <v>8.7033646143282198E-2</v>
      </c>
      <c r="E11588" s="2">
        <v>0.10844922285847799</v>
      </c>
      <c r="F11588" s="2">
        <v>7.4221227048813204E-2</v>
      </c>
    </row>
    <row r="11589" spans="1:6" x14ac:dyDescent="0.25">
      <c r="A11589" s="1" t="str">
        <f t="shared" si="424"/>
        <v>22180</v>
      </c>
      <c r="B11589" s="1" t="str">
        <f>"28305"</f>
        <v>28305</v>
      </c>
      <c r="C11589" s="2">
        <v>1.6918748913438499E-2</v>
      </c>
      <c r="D11589" s="2">
        <v>5.4875257495994499E-2</v>
      </c>
      <c r="E11589" s="2">
        <v>3.8681780998013303E-2</v>
      </c>
      <c r="F11589" s="2">
        <v>1.9962382445141001E-2</v>
      </c>
    </row>
    <row r="11590" spans="1:6" x14ac:dyDescent="0.25">
      <c r="A11590" s="1" t="str">
        <f t="shared" si="424"/>
        <v>22180</v>
      </c>
      <c r="B11590" s="1" t="str">
        <f>"28391"</f>
        <v>28391</v>
      </c>
      <c r="C11590" s="2">
        <v>9.8580753243879601E-3</v>
      </c>
      <c r="D11590" s="2">
        <v>5.72213321126115E-3</v>
      </c>
      <c r="E11590" s="2">
        <v>1.4023606404113501E-3</v>
      </c>
      <c r="F11590" s="2">
        <v>9.3399014778325108E-3</v>
      </c>
    </row>
    <row r="11591" spans="1:6" x14ac:dyDescent="0.25">
      <c r="A11591" s="1" t="str">
        <f t="shared" si="424"/>
        <v>22180</v>
      </c>
      <c r="B11591" s="1" t="str">
        <f>"28377"</f>
        <v>28377</v>
      </c>
      <c r="C11591" s="2">
        <v>6.3652742876108203E-3</v>
      </c>
      <c r="D11591" s="2">
        <v>2.1744106202792402E-3</v>
      </c>
      <c r="E11591" s="2">
        <v>0</v>
      </c>
      <c r="F11591" s="2">
        <v>5.9077474249887999E-3</v>
      </c>
    </row>
    <row r="11592" spans="1:6" x14ac:dyDescent="0.25">
      <c r="A11592" s="1" t="str">
        <f t="shared" si="424"/>
        <v>22180</v>
      </c>
      <c r="B11592" s="1" t="str">
        <f>"27592"</f>
        <v>27592</v>
      </c>
      <c r="C11592" s="2">
        <v>1.54094163387226E-4</v>
      </c>
      <c r="D11592" s="2">
        <v>5.72213321126115E-5</v>
      </c>
      <c r="E11592" s="2">
        <v>0</v>
      </c>
      <c r="F11592" s="2">
        <v>1.4330497089117699E-4</v>
      </c>
    </row>
    <row r="11593" spans="1:6" x14ac:dyDescent="0.25">
      <c r="A11593" s="1" t="str">
        <f t="shared" si="424"/>
        <v>22180</v>
      </c>
      <c r="B11593" s="1" t="str">
        <f>"27552"</f>
        <v>27552</v>
      </c>
      <c r="C11593" s="2">
        <v>0</v>
      </c>
      <c r="D11593" s="2">
        <v>5.72213321126115E-5</v>
      </c>
      <c r="E11593" s="2">
        <v>0</v>
      </c>
      <c r="F11593" s="2">
        <v>3.5826242722794402E-6</v>
      </c>
    </row>
    <row r="11594" spans="1:6" x14ac:dyDescent="0.25">
      <c r="A11594" s="1" t="str">
        <f t="shared" si="424"/>
        <v>22180</v>
      </c>
      <c r="B11594" s="1" t="str">
        <f>"28390"</f>
        <v>28390</v>
      </c>
      <c r="C11594" s="2">
        <v>5.5169661625021703E-2</v>
      </c>
      <c r="D11594" s="2">
        <v>4.8352025635156698E-2</v>
      </c>
      <c r="E11594" s="2">
        <v>5.8081103190370402E-2</v>
      </c>
      <c r="F11594" s="2">
        <v>5.4832064487236903E-2</v>
      </c>
    </row>
    <row r="11595" spans="1:6" x14ac:dyDescent="0.25">
      <c r="A11595" s="1" t="str">
        <f t="shared" si="424"/>
        <v>22180</v>
      </c>
      <c r="B11595" s="1" t="str">
        <f>"27501"</f>
        <v>27501</v>
      </c>
      <c r="C11595" s="2">
        <v>2.83375215336715E-2</v>
      </c>
      <c r="D11595" s="2">
        <v>3.0498970016021899E-2</v>
      </c>
      <c r="E11595" s="2">
        <v>2.36064041135912E-2</v>
      </c>
      <c r="F11595" s="2">
        <v>2.83278101209135E-2</v>
      </c>
    </row>
    <row r="11596" spans="1:6" x14ac:dyDescent="0.25">
      <c r="A11596" s="1" t="str">
        <f t="shared" si="424"/>
        <v>22180</v>
      </c>
      <c r="B11596" s="1" t="str">
        <f>"27505"</f>
        <v>27505</v>
      </c>
      <c r="C11596" s="2">
        <v>9.5577892624026002E-3</v>
      </c>
      <c r="D11596" s="2">
        <v>1.0872053101396201E-3</v>
      </c>
      <c r="E11596" s="2">
        <v>1.16863386700946E-4</v>
      </c>
      <c r="F11596" s="2">
        <v>8.7380206000895605E-3</v>
      </c>
    </row>
    <row r="11597" spans="1:6" x14ac:dyDescent="0.25">
      <c r="A11597" s="1" t="str">
        <f t="shared" si="424"/>
        <v>22180</v>
      </c>
      <c r="B11597" s="1" t="str">
        <f>"27521"</f>
        <v>27521</v>
      </c>
      <c r="C11597" s="2">
        <v>1.0024022884958799E-2</v>
      </c>
      <c r="D11597" s="2">
        <v>2.8038452735179601E-3</v>
      </c>
      <c r="E11597" s="2">
        <v>2.9215846675236601E-3</v>
      </c>
      <c r="F11597" s="2">
        <v>9.3542319749216306E-3</v>
      </c>
    </row>
    <row r="11598" spans="1:6" x14ac:dyDescent="0.25">
      <c r="A11598" s="1" t="str">
        <f t="shared" si="424"/>
        <v>22180</v>
      </c>
      <c r="B11598" s="1" t="str">
        <f>"28339"</f>
        <v>28339</v>
      </c>
      <c r="C11598" s="2">
        <v>1.23907511892908E-2</v>
      </c>
      <c r="D11598" s="2">
        <v>1.8253604943922998E-2</v>
      </c>
      <c r="E11598" s="2">
        <v>2.8047212808227102E-3</v>
      </c>
      <c r="F11598" s="2">
        <v>1.2463949843260101E-2</v>
      </c>
    </row>
    <row r="11599" spans="1:6" x14ac:dyDescent="0.25">
      <c r="A11599" s="1" t="str">
        <f t="shared" si="424"/>
        <v>22180</v>
      </c>
      <c r="B11599" s="1" t="str">
        <f>"28326"</f>
        <v>28326</v>
      </c>
      <c r="C11599" s="2">
        <v>2.78791901759044E-2</v>
      </c>
      <c r="D11599" s="2">
        <v>9.2698558022430693E-3</v>
      </c>
      <c r="E11599" s="2">
        <v>1.16863386700946E-4</v>
      </c>
      <c r="F11599" s="2">
        <v>2.5862964621585299E-2</v>
      </c>
    </row>
    <row r="11600" spans="1:6" x14ac:dyDescent="0.25">
      <c r="A11600" s="1" t="str">
        <f t="shared" si="424"/>
        <v>22180</v>
      </c>
      <c r="B11600" s="1" t="str">
        <f>"28311"</f>
        <v>28311</v>
      </c>
      <c r="C11600" s="2">
        <v>7.3913833704739695E-2</v>
      </c>
      <c r="D11600" s="2">
        <v>5.0640878919661202E-2</v>
      </c>
      <c r="E11600" s="2">
        <v>9.2322075493747796E-2</v>
      </c>
      <c r="F11600" s="2">
        <v>7.3021047917599599E-2</v>
      </c>
    </row>
    <row r="11601" spans="1:6" x14ac:dyDescent="0.25">
      <c r="A11601" s="1" t="str">
        <f t="shared" si="424"/>
        <v>22180</v>
      </c>
      <c r="B11601" s="1" t="str">
        <f>"28395"</f>
        <v>28395</v>
      </c>
      <c r="C11601" s="2">
        <v>6.0965972847818097E-3</v>
      </c>
      <c r="D11601" s="2">
        <v>2.34607461661707E-3</v>
      </c>
      <c r="E11601" s="2">
        <v>1.16863386700946E-4</v>
      </c>
      <c r="F11601" s="2">
        <v>5.6784594715629097E-3</v>
      </c>
    </row>
    <row r="11602" spans="1:6" x14ac:dyDescent="0.25">
      <c r="A11602" s="1" t="str">
        <f t="shared" si="424"/>
        <v>22180</v>
      </c>
      <c r="B11602" s="1" t="str">
        <f>"28371"</f>
        <v>28371</v>
      </c>
      <c r="C11602" s="2">
        <v>5.96225878336731E-3</v>
      </c>
      <c r="D11602" s="2">
        <v>8.0109864957656201E-4</v>
      </c>
      <c r="E11602" s="2">
        <v>9.3490709360757201E-4</v>
      </c>
      <c r="F11602" s="2">
        <v>5.4849977608598197E-3</v>
      </c>
    </row>
    <row r="11603" spans="1:6" x14ac:dyDescent="0.25">
      <c r="A11603" s="1" t="str">
        <f t="shared" si="424"/>
        <v>22180</v>
      </c>
      <c r="B11603" s="1" t="str">
        <f>"27543"</f>
        <v>27543</v>
      </c>
      <c r="C11603" s="2">
        <v>0</v>
      </c>
      <c r="D11603" s="2">
        <v>5.72213321126115E-5</v>
      </c>
      <c r="E11603" s="2">
        <v>0</v>
      </c>
      <c r="F11603" s="2">
        <v>3.5826242722794402E-6</v>
      </c>
    </row>
    <row r="11604" spans="1:6" x14ac:dyDescent="0.25">
      <c r="A11604" s="1" t="str">
        <f t="shared" si="424"/>
        <v>22180</v>
      </c>
      <c r="B11604" s="1" t="str">
        <f>"28342"</f>
        <v>28342</v>
      </c>
      <c r="C11604" s="2">
        <v>0</v>
      </c>
      <c r="D11604" s="2">
        <v>0</v>
      </c>
      <c r="E11604" s="2">
        <v>1.16863386700946E-4</v>
      </c>
      <c r="F11604" s="2">
        <v>3.5826242722794402E-6</v>
      </c>
    </row>
    <row r="11605" spans="1:6" x14ac:dyDescent="0.25">
      <c r="A11605" s="1" t="str">
        <f t="shared" si="424"/>
        <v>22180</v>
      </c>
      <c r="B11605" s="1" t="str">
        <f>"28309"</f>
        <v>28309</v>
      </c>
      <c r="C11605" s="2">
        <v>3.87210974665339E-3</v>
      </c>
      <c r="D11605" s="2">
        <v>1.65941863126573E-2</v>
      </c>
      <c r="E11605" s="2">
        <v>1.16863386700946E-4</v>
      </c>
      <c r="F11605" s="2">
        <v>4.5535154500671703E-3</v>
      </c>
    </row>
    <row r="11606" spans="1:6" x14ac:dyDescent="0.25">
      <c r="A11606" s="1" t="str">
        <f t="shared" ref="A11606:A11624" si="425">"22180"</f>
        <v>22180</v>
      </c>
      <c r="B11606" s="1" t="str">
        <f>"28308"</f>
        <v>28308</v>
      </c>
      <c r="C11606" s="2">
        <v>6.7208762031198098E-3</v>
      </c>
      <c r="D11606" s="2">
        <v>2.28885328450446E-4</v>
      </c>
      <c r="E11606" s="2">
        <v>0</v>
      </c>
      <c r="F11606" s="2">
        <v>6.1083743842364497E-3</v>
      </c>
    </row>
    <row r="11607" spans="1:6" x14ac:dyDescent="0.25">
      <c r="A11607" s="1" t="str">
        <f t="shared" si="425"/>
        <v>22180</v>
      </c>
      <c r="B11607" s="1" t="str">
        <f>"28384"</f>
        <v>28384</v>
      </c>
      <c r="C11607" s="2">
        <v>1.0351966873706001E-3</v>
      </c>
      <c r="D11607" s="2">
        <v>1.71663996337834E-4</v>
      </c>
      <c r="E11607" s="2">
        <v>0</v>
      </c>
      <c r="F11607" s="2">
        <v>9.4939543215405203E-4</v>
      </c>
    </row>
    <row r="11608" spans="1:6" x14ac:dyDescent="0.25">
      <c r="A11608" s="1" t="str">
        <f t="shared" si="425"/>
        <v>22180</v>
      </c>
      <c r="B11608" s="1" t="str">
        <f>"28382"</f>
        <v>28382</v>
      </c>
      <c r="C11608" s="2">
        <v>1.8886412845921601E-3</v>
      </c>
      <c r="D11608" s="2">
        <v>5.7221332112611498E-4</v>
      </c>
      <c r="E11608" s="2">
        <v>0</v>
      </c>
      <c r="F11608" s="2">
        <v>1.74832064487236E-3</v>
      </c>
    </row>
    <row r="11609" spans="1:6" x14ac:dyDescent="0.25">
      <c r="A11609" s="1" t="str">
        <f t="shared" si="425"/>
        <v>22180</v>
      </c>
      <c r="B11609" s="1" t="str">
        <f>"28303"</f>
        <v>28303</v>
      </c>
      <c r="C11609" s="2">
        <v>6.9721682234128293E-2</v>
      </c>
      <c r="D11609" s="2">
        <v>0.153810940718699</v>
      </c>
      <c r="E11609" s="2">
        <v>0.157648708659576</v>
      </c>
      <c r="F11609" s="2">
        <v>7.7682042095835097E-2</v>
      </c>
    </row>
    <row r="11610" spans="1:6" x14ac:dyDescent="0.25">
      <c r="A11610" s="1" t="str">
        <f t="shared" si="425"/>
        <v>22180</v>
      </c>
      <c r="B11610" s="1" t="str">
        <f>"28314"</f>
        <v>28314</v>
      </c>
      <c r="C11610" s="2">
        <v>0.114132410348805</v>
      </c>
      <c r="D11610" s="2">
        <v>7.0840009155413095E-2</v>
      </c>
      <c r="E11610" s="2">
        <v>0.20018698141872099</v>
      </c>
      <c r="F11610" s="2">
        <v>0.11406000895656</v>
      </c>
    </row>
    <row r="11611" spans="1:6" x14ac:dyDescent="0.25">
      <c r="A11611" s="1" t="str">
        <f t="shared" si="425"/>
        <v>22180</v>
      </c>
      <c r="B11611" s="1" t="str">
        <f>"27332"</f>
        <v>27332</v>
      </c>
      <c r="C11611" s="2">
        <v>2.1383528519273599E-2</v>
      </c>
      <c r="D11611" s="2">
        <v>4.4632639047836997E-3</v>
      </c>
      <c r="E11611" s="2">
        <v>3.5059016010283899E-4</v>
      </c>
      <c r="F11611" s="2">
        <v>1.9679355127630901E-2</v>
      </c>
    </row>
    <row r="11612" spans="1:6" x14ac:dyDescent="0.25">
      <c r="A11612" s="1" t="str">
        <f t="shared" si="425"/>
        <v>22180</v>
      </c>
      <c r="B11612" s="1" t="str">
        <f>"28334"</f>
        <v>28334</v>
      </c>
      <c r="C11612" s="2">
        <v>3.1510280846490601E-2</v>
      </c>
      <c r="D11612" s="2">
        <v>6.0940718699931298E-2</v>
      </c>
      <c r="E11612" s="2">
        <v>1.7295781231739998E-2</v>
      </c>
      <c r="F11612" s="2">
        <v>3.2917151813703499E-2</v>
      </c>
    </row>
    <row r="11613" spans="1:6" x14ac:dyDescent="0.25">
      <c r="A11613" s="1" t="str">
        <f t="shared" si="425"/>
        <v>22180</v>
      </c>
      <c r="B11613" s="1" t="str">
        <f>"28312"</f>
        <v>28312</v>
      </c>
      <c r="C11613" s="2">
        <v>4.1060167844104101E-2</v>
      </c>
      <c r="D11613" s="2">
        <v>2.7580682078278702E-2</v>
      </c>
      <c r="E11613" s="2">
        <v>1.21537922168984E-2</v>
      </c>
      <c r="F11613" s="2">
        <v>3.9330049261083702E-2</v>
      </c>
    </row>
    <row r="11614" spans="1:6" x14ac:dyDescent="0.25">
      <c r="A11614" s="1" t="str">
        <f t="shared" si="425"/>
        <v>22180</v>
      </c>
      <c r="B11614" s="1" t="str">
        <f>"28315"</f>
        <v>28315</v>
      </c>
      <c r="C11614" s="2">
        <v>2.8724732508336802E-3</v>
      </c>
      <c r="D11614" s="2">
        <v>1.88830395971618E-3</v>
      </c>
      <c r="E11614" s="2">
        <v>0</v>
      </c>
      <c r="F11614" s="2">
        <v>2.7227944469323702E-3</v>
      </c>
    </row>
    <row r="11615" spans="1:6" x14ac:dyDescent="0.25">
      <c r="A11615" s="1" t="str">
        <f t="shared" si="425"/>
        <v>22180</v>
      </c>
      <c r="B11615" s="1" t="str">
        <f>"28310"</f>
        <v>28310</v>
      </c>
      <c r="C11615" s="2">
        <v>0</v>
      </c>
      <c r="D11615" s="2">
        <v>5.72213321126115E-5</v>
      </c>
      <c r="E11615" s="2">
        <v>7.0819212340773596E-2</v>
      </c>
      <c r="F11615" s="2">
        <v>2.1746529332736199E-3</v>
      </c>
    </row>
    <row r="11616" spans="1:6" x14ac:dyDescent="0.25">
      <c r="A11616" s="1" t="str">
        <f t="shared" si="425"/>
        <v>22180</v>
      </c>
      <c r="B11616" s="1" t="str">
        <f>"28356"</f>
        <v>28356</v>
      </c>
      <c r="C11616" s="2">
        <v>1.10197082483839E-2</v>
      </c>
      <c r="D11616" s="2">
        <v>2.1744106202792402E-3</v>
      </c>
      <c r="E11616" s="2">
        <v>1.16863386700946E-4</v>
      </c>
      <c r="F11616" s="2">
        <v>1.0131661442006199E-2</v>
      </c>
    </row>
    <row r="11617" spans="1:6" x14ac:dyDescent="0.25">
      <c r="A11617" s="1" t="str">
        <f t="shared" si="425"/>
        <v>22180</v>
      </c>
      <c r="B11617" s="1" t="str">
        <f>"27540"</f>
        <v>27540</v>
      </c>
      <c r="C11617" s="2">
        <v>2.1731228169993501E-3</v>
      </c>
      <c r="D11617" s="2">
        <v>4.00549324788281E-4</v>
      </c>
      <c r="E11617" s="2">
        <v>0</v>
      </c>
      <c r="F11617" s="2">
        <v>1.9955217196596501E-3</v>
      </c>
    </row>
    <row r="11618" spans="1:6" x14ac:dyDescent="0.25">
      <c r="A11618" s="1" t="str">
        <f t="shared" si="425"/>
        <v>22180</v>
      </c>
      <c r="B11618" s="1" t="str">
        <f>"27506"</f>
        <v>27506</v>
      </c>
      <c r="C11618" s="2">
        <v>0</v>
      </c>
      <c r="D11618" s="2">
        <v>5.72213321126115E-5</v>
      </c>
      <c r="E11618" s="2">
        <v>1.16863386700946E-4</v>
      </c>
      <c r="F11618" s="2">
        <v>7.1652485445588803E-6</v>
      </c>
    </row>
    <row r="11619" spans="1:6" x14ac:dyDescent="0.25">
      <c r="A11619" s="1" t="str">
        <f t="shared" si="425"/>
        <v>22180</v>
      </c>
      <c r="B11619" s="1" t="str">
        <f>"28368"</f>
        <v>28368</v>
      </c>
      <c r="C11619" s="2">
        <v>0</v>
      </c>
      <c r="D11619" s="2">
        <v>0</v>
      </c>
      <c r="E11619" s="2">
        <v>1.16863386700946E-4</v>
      </c>
      <c r="F11619" s="2">
        <v>3.5826242722794402E-6</v>
      </c>
    </row>
    <row r="11620" spans="1:6" x14ac:dyDescent="0.25">
      <c r="A11620" s="1" t="str">
        <f t="shared" si="425"/>
        <v>22180</v>
      </c>
      <c r="B11620" s="1" t="str">
        <f>"28364"</f>
        <v>28364</v>
      </c>
      <c r="C11620" s="2">
        <v>4.7413588734531302E-5</v>
      </c>
      <c r="D11620" s="2">
        <v>0</v>
      </c>
      <c r="E11620" s="2">
        <v>0</v>
      </c>
      <c r="F11620" s="2">
        <v>4.2991491267353297E-5</v>
      </c>
    </row>
    <row r="11621" spans="1:6" x14ac:dyDescent="0.25">
      <c r="A11621" s="1" t="str">
        <f t="shared" si="425"/>
        <v>22180</v>
      </c>
      <c r="B11621" s="1" t="str">
        <f>"28323"</f>
        <v>28323</v>
      </c>
      <c r="C11621" s="2">
        <v>7.6454411834431697E-3</v>
      </c>
      <c r="D11621" s="2">
        <v>1.0872053101396201E-3</v>
      </c>
      <c r="E11621" s="2">
        <v>0</v>
      </c>
      <c r="F11621" s="2">
        <v>7.0004478280340302E-3</v>
      </c>
    </row>
    <row r="11622" spans="1:6" x14ac:dyDescent="0.25">
      <c r="A11622" s="1" t="str">
        <f t="shared" si="425"/>
        <v>22180</v>
      </c>
      <c r="B11622" s="1" t="str">
        <f>"27526"</f>
        <v>27526</v>
      </c>
      <c r="C11622" s="2">
        <v>1.6179887155658799E-2</v>
      </c>
      <c r="D11622" s="2">
        <v>5.1499198901350397E-3</v>
      </c>
      <c r="E11622" s="2">
        <v>5.8431693350473205E-4</v>
      </c>
      <c r="F11622" s="2">
        <v>1.5011195700850801E-2</v>
      </c>
    </row>
    <row r="11623" spans="1:6" x14ac:dyDescent="0.25">
      <c r="A11623" s="1" t="str">
        <f t="shared" si="425"/>
        <v>22180</v>
      </c>
      <c r="B11623" s="1" t="str">
        <f>"28302"</f>
        <v>28302</v>
      </c>
      <c r="C11623" s="2">
        <v>6.2230335214072301E-3</v>
      </c>
      <c r="D11623" s="2">
        <v>3.0498970016021899E-2</v>
      </c>
      <c r="E11623" s="2">
        <v>1.16863386700946E-4</v>
      </c>
      <c r="F11623" s="2">
        <v>7.5557545902373404E-3</v>
      </c>
    </row>
    <row r="11624" spans="1:6" x14ac:dyDescent="0.25">
      <c r="A11624" s="1" t="str">
        <f t="shared" si="425"/>
        <v>22180</v>
      </c>
      <c r="B11624" s="1" t="str">
        <f>"28306"</f>
        <v>28306</v>
      </c>
      <c r="C11624" s="2">
        <v>8.6644382279961393E-2</v>
      </c>
      <c r="D11624" s="2">
        <v>8.3772030212863294E-2</v>
      </c>
      <c r="E11624" s="2">
        <v>5.8665420123875101E-2</v>
      </c>
      <c r="F11624" s="2">
        <v>8.5606806986117306E-2</v>
      </c>
    </row>
    <row r="11625" spans="1:6" x14ac:dyDescent="0.25">
      <c r="A11625" s="1" t="str">
        <f t="shared" ref="A11625:A11656" si="426">"22220"</f>
        <v>22220</v>
      </c>
      <c r="B11625" s="1" t="str">
        <f>"72737"</f>
        <v>72737</v>
      </c>
      <c r="C11625" s="2">
        <v>0</v>
      </c>
      <c r="D11625" s="2">
        <v>0</v>
      </c>
      <c r="E11625" s="2">
        <v>1.5472690700912801E-4</v>
      </c>
      <c r="F11625" s="2">
        <v>3.5729598399313898E-6</v>
      </c>
    </row>
    <row r="11626" spans="1:6" x14ac:dyDescent="0.25">
      <c r="A11626" s="1" t="str">
        <f t="shared" si="426"/>
        <v>22220</v>
      </c>
      <c r="B11626" s="1" t="str">
        <f>"72739"</f>
        <v>72739</v>
      </c>
      <c r="C11626" s="2">
        <v>9.0464772777308503E-4</v>
      </c>
      <c r="D11626" s="2">
        <v>2.3309035429733799E-3</v>
      </c>
      <c r="E11626" s="2">
        <v>6.1890762803651497E-4</v>
      </c>
      <c r="F11626" s="2">
        <v>1.01829355438044E-3</v>
      </c>
    </row>
    <row r="11627" spans="1:6" x14ac:dyDescent="0.25">
      <c r="A11627" s="1" t="str">
        <f t="shared" si="426"/>
        <v>22220</v>
      </c>
      <c r="B11627" s="1" t="str">
        <f>"72732"</f>
        <v>72732</v>
      </c>
      <c r="C11627" s="2">
        <v>1.13161023292677E-2</v>
      </c>
      <c r="D11627" s="2">
        <v>2.9666045092388502E-3</v>
      </c>
      <c r="E11627" s="2">
        <v>4.3323533962556001E-3</v>
      </c>
      <c r="F11627" s="2">
        <v>1.04509075317993E-2</v>
      </c>
    </row>
    <row r="11628" spans="1:6" x14ac:dyDescent="0.25">
      <c r="A11628" s="1" t="str">
        <f t="shared" si="426"/>
        <v>22220</v>
      </c>
      <c r="B11628" s="1" t="str">
        <f>"72761"</f>
        <v>72761</v>
      </c>
      <c r="C11628" s="2">
        <v>3.79751902362091E-2</v>
      </c>
      <c r="D11628" s="2">
        <v>3.9498220037294397E-2</v>
      </c>
      <c r="E11628" s="2">
        <v>3.6051369333126998E-2</v>
      </c>
      <c r="F11628" s="2">
        <v>3.8059168214949202E-2</v>
      </c>
    </row>
    <row r="11629" spans="1:6" x14ac:dyDescent="0.25">
      <c r="A11629" s="1" t="str">
        <f t="shared" si="426"/>
        <v>22220</v>
      </c>
      <c r="B11629" s="1" t="str">
        <f>"72714"</f>
        <v>72714</v>
      </c>
      <c r="C11629" s="2">
        <v>2.4305402668310501E-2</v>
      </c>
      <c r="D11629" s="2">
        <v>7.9250720461095103E-3</v>
      </c>
      <c r="E11629" s="2">
        <v>1.5472690700912801E-4</v>
      </c>
      <c r="F11629" s="2">
        <v>2.2366728597970498E-2</v>
      </c>
    </row>
    <row r="11630" spans="1:6" x14ac:dyDescent="0.25">
      <c r="A11630" s="1" t="str">
        <f t="shared" si="426"/>
        <v>22220</v>
      </c>
      <c r="B11630" s="1" t="str">
        <f>"72721"</f>
        <v>72721</v>
      </c>
      <c r="C11630" s="2">
        <v>1.0207308432837901E-3</v>
      </c>
      <c r="D11630" s="2">
        <v>4.2380064417697899E-5</v>
      </c>
      <c r="E11630" s="2">
        <v>3.09453814018257E-4</v>
      </c>
      <c r="F11630" s="2">
        <v>9.2182363870230003E-4</v>
      </c>
    </row>
    <row r="11631" spans="1:6" x14ac:dyDescent="0.25">
      <c r="A11631" s="1" t="str">
        <f t="shared" si="426"/>
        <v>22220</v>
      </c>
      <c r="B11631" s="1" t="str">
        <f>"72752"</f>
        <v>72752</v>
      </c>
      <c r="C11631" s="2">
        <v>1.1167996285340301E-3</v>
      </c>
      <c r="D11631" s="2">
        <v>4.2380064417697899E-5</v>
      </c>
      <c r="E11631" s="2">
        <v>3.09453814018257E-4</v>
      </c>
      <c r="F11631" s="2">
        <v>1.00757467486065E-3</v>
      </c>
    </row>
    <row r="11632" spans="1:6" x14ac:dyDescent="0.25">
      <c r="A11632" s="1" t="str">
        <f t="shared" si="426"/>
        <v>22220</v>
      </c>
      <c r="B11632" s="1" t="str">
        <f>"72742"</f>
        <v>72742</v>
      </c>
      <c r="C11632" s="2">
        <v>1.5451062961080099E-3</v>
      </c>
      <c r="D11632" s="2">
        <v>1.69520257670791E-4</v>
      </c>
      <c r="E11632" s="2">
        <v>1.5472690700912801E-4</v>
      </c>
      <c r="F11632" s="2">
        <v>1.39702729741317E-3</v>
      </c>
    </row>
    <row r="11633" spans="1:6" x14ac:dyDescent="0.25">
      <c r="A11633" s="1" t="str">
        <f t="shared" si="426"/>
        <v>22220</v>
      </c>
      <c r="B11633" s="1" t="str">
        <f>"72747"</f>
        <v>72747</v>
      </c>
      <c r="C11633" s="2">
        <v>3.8427514100095598E-4</v>
      </c>
      <c r="D11633" s="2">
        <v>1.27140193253093E-4</v>
      </c>
      <c r="E11633" s="2">
        <v>7.7363453504564401E-4</v>
      </c>
      <c r="F11633" s="2">
        <v>3.7158782335286499E-4</v>
      </c>
    </row>
    <row r="11634" spans="1:6" x14ac:dyDescent="0.25">
      <c r="A11634" s="1" t="str">
        <f t="shared" si="426"/>
        <v>22220</v>
      </c>
      <c r="B11634" s="1" t="str">
        <f>"72703"</f>
        <v>72703</v>
      </c>
      <c r="C11634" s="2">
        <v>7.5650165518511198E-2</v>
      </c>
      <c r="D11634" s="2">
        <v>0.127436853704017</v>
      </c>
      <c r="E11634" s="2">
        <v>0.15658362989323801</v>
      </c>
      <c r="F11634" s="2">
        <v>8.1885093611547805E-2</v>
      </c>
    </row>
    <row r="11635" spans="1:6" x14ac:dyDescent="0.25">
      <c r="A11635" s="1" t="str">
        <f t="shared" si="426"/>
        <v>22220</v>
      </c>
      <c r="B11635" s="1" t="str">
        <f>"72704"</f>
        <v>72704</v>
      </c>
      <c r="C11635" s="2">
        <v>6.0151068164805997E-2</v>
      </c>
      <c r="D11635" s="2">
        <v>2.3944736395999301E-2</v>
      </c>
      <c r="E11635" s="2">
        <v>4.0693176543400801E-2</v>
      </c>
      <c r="F11635" s="2">
        <v>5.6649278262112301E-2</v>
      </c>
    </row>
    <row r="11636" spans="1:6" x14ac:dyDescent="0.25">
      <c r="A11636" s="1" t="str">
        <f t="shared" si="426"/>
        <v>22220</v>
      </c>
      <c r="B11636" s="1" t="str">
        <f>"72738"</f>
        <v>72738</v>
      </c>
      <c r="C11636" s="2">
        <v>4.9995796990645299E-3</v>
      </c>
      <c r="D11636" s="2">
        <v>1.3985421257840299E-3</v>
      </c>
      <c r="E11636" s="2">
        <v>1.5472690700912801E-4</v>
      </c>
      <c r="F11636" s="2">
        <v>4.58410747463198E-3</v>
      </c>
    </row>
    <row r="11637" spans="1:6" x14ac:dyDescent="0.25">
      <c r="A11637" s="1" t="str">
        <f t="shared" si="426"/>
        <v>22220</v>
      </c>
      <c r="B11637" s="1" t="str">
        <f>"72740"</f>
        <v>72740</v>
      </c>
      <c r="C11637" s="2">
        <v>1.8301103590170498E-2</v>
      </c>
      <c r="D11637" s="2">
        <v>7.1198508221732397E-3</v>
      </c>
      <c r="E11637" s="2">
        <v>6.6532570013925398E-3</v>
      </c>
      <c r="F11637" s="2">
        <v>1.7089466914391799E-2</v>
      </c>
    </row>
    <row r="11638" spans="1:6" x14ac:dyDescent="0.25">
      <c r="A11638" s="1" t="str">
        <f t="shared" si="426"/>
        <v>22220</v>
      </c>
      <c r="B11638" s="1" t="str">
        <f>"72774"</f>
        <v>72774</v>
      </c>
      <c r="C11638" s="2">
        <v>1.0923821456162599E-2</v>
      </c>
      <c r="D11638" s="2">
        <v>2.83946431598576E-3</v>
      </c>
      <c r="E11638" s="2">
        <v>9.2836144205477305E-4</v>
      </c>
      <c r="F11638" s="2">
        <v>1.00114334714877E-2</v>
      </c>
    </row>
    <row r="11639" spans="1:6" x14ac:dyDescent="0.25">
      <c r="A11639" s="1" t="str">
        <f t="shared" si="426"/>
        <v>22220</v>
      </c>
      <c r="B11639" s="1" t="str">
        <f>"72727"</f>
        <v>72727</v>
      </c>
      <c r="C11639" s="2">
        <v>1.30413375977199E-2</v>
      </c>
      <c r="D11639" s="2">
        <v>2.2037633497202901E-3</v>
      </c>
      <c r="E11639" s="2">
        <v>1.85672288410954E-3</v>
      </c>
      <c r="F11639" s="2">
        <v>1.1869372588252099E-2</v>
      </c>
    </row>
    <row r="11640" spans="1:6" x14ac:dyDescent="0.25">
      <c r="A11640" s="1" t="str">
        <f t="shared" si="426"/>
        <v>22220</v>
      </c>
      <c r="B11640" s="1" t="str">
        <f>"72776"</f>
        <v>72776</v>
      </c>
      <c r="C11640" s="2">
        <v>1.9654072315778001E-3</v>
      </c>
      <c r="D11640" s="2">
        <v>4.2380064417697899E-5</v>
      </c>
      <c r="E11640" s="2">
        <v>3.09453814018257E-4</v>
      </c>
      <c r="F11640" s="2">
        <v>1.76504216092611E-3</v>
      </c>
    </row>
    <row r="11641" spans="1:6" x14ac:dyDescent="0.25">
      <c r="A11641" s="1" t="str">
        <f t="shared" si="426"/>
        <v>22220</v>
      </c>
      <c r="B11641" s="1" t="str">
        <f>"72751"</f>
        <v>72751</v>
      </c>
      <c r="C11641" s="2">
        <v>1.2969286008782201E-2</v>
      </c>
      <c r="D11641" s="2">
        <v>4.9584675368706498E-3</v>
      </c>
      <c r="E11641" s="2">
        <v>4.0228995822373503E-3</v>
      </c>
      <c r="F11641" s="2">
        <v>1.20873231384879E-2</v>
      </c>
    </row>
    <row r="11642" spans="1:6" x14ac:dyDescent="0.25">
      <c r="A11642" s="1" t="str">
        <f t="shared" si="426"/>
        <v>22220</v>
      </c>
      <c r="B11642" s="1" t="str">
        <f>"72769"</f>
        <v>72769</v>
      </c>
      <c r="C11642" s="2">
        <v>1.8733413123796601E-3</v>
      </c>
      <c r="D11642" s="2">
        <v>7.6284115951856198E-4</v>
      </c>
      <c r="E11642" s="2">
        <v>1.5472690700912801E-4</v>
      </c>
      <c r="F11642" s="2">
        <v>1.74003144204659E-3</v>
      </c>
    </row>
    <row r="11643" spans="1:6" x14ac:dyDescent="0.25">
      <c r="A11643" s="1" t="str">
        <f t="shared" si="426"/>
        <v>22220</v>
      </c>
      <c r="B11643" s="1" t="str">
        <f>"72718"</f>
        <v>72718</v>
      </c>
      <c r="C11643" s="2">
        <v>7.1090901085176898E-3</v>
      </c>
      <c r="D11643" s="2">
        <v>5.5094083743007199E-4</v>
      </c>
      <c r="E11643" s="2">
        <v>1.0830883490639E-3</v>
      </c>
      <c r="F11643" s="2">
        <v>6.4170358725167903E-3</v>
      </c>
    </row>
    <row r="11644" spans="1:6" x14ac:dyDescent="0.25">
      <c r="A11644" s="1" t="str">
        <f t="shared" si="426"/>
        <v>22220</v>
      </c>
      <c r="B11644" s="1" t="str">
        <f>"72722"</f>
        <v>72722</v>
      </c>
      <c r="C11644" s="2">
        <v>4.7754192001473001E-3</v>
      </c>
      <c r="D11644" s="2">
        <v>1.65282251229021E-3</v>
      </c>
      <c r="E11644" s="2">
        <v>4.17762648924647E-3</v>
      </c>
      <c r="F11644" s="2">
        <v>4.49835643847363E-3</v>
      </c>
    </row>
    <row r="11645" spans="1:6" x14ac:dyDescent="0.25">
      <c r="A11645" s="1" t="str">
        <f t="shared" si="426"/>
        <v>22220</v>
      </c>
      <c r="B11645" s="1" t="str">
        <f>"72711"</f>
        <v>72711</v>
      </c>
      <c r="C11645" s="2">
        <v>0</v>
      </c>
      <c r="D11645" s="2">
        <v>0</v>
      </c>
      <c r="E11645" s="2">
        <v>1.5472690700912801E-4</v>
      </c>
      <c r="F11645" s="2">
        <v>3.5729598399313898E-6</v>
      </c>
    </row>
    <row r="11646" spans="1:6" x14ac:dyDescent="0.25">
      <c r="A11646" s="1" t="str">
        <f t="shared" si="426"/>
        <v>22220</v>
      </c>
      <c r="B11646" s="1" t="str">
        <f>"72728"</f>
        <v>72728</v>
      </c>
      <c r="C11646" s="2">
        <v>0</v>
      </c>
      <c r="D11646" s="2">
        <v>0</v>
      </c>
      <c r="E11646" s="2">
        <v>1.5472690700912801E-4</v>
      </c>
      <c r="F11646" s="2">
        <v>3.5729598399313898E-6</v>
      </c>
    </row>
    <row r="11647" spans="1:6" x14ac:dyDescent="0.25">
      <c r="A11647" s="1" t="str">
        <f t="shared" si="426"/>
        <v>22220</v>
      </c>
      <c r="B11647" s="1" t="str">
        <f>"72729"</f>
        <v>72729</v>
      </c>
      <c r="C11647" s="2">
        <v>4.2830666757398198E-4</v>
      </c>
      <c r="D11647" s="2">
        <v>8.4760128835395797E-5</v>
      </c>
      <c r="E11647" s="2">
        <v>1.5472690700912801E-4</v>
      </c>
      <c r="F11647" s="2">
        <v>3.9302558239245297E-4</v>
      </c>
    </row>
    <row r="11648" spans="1:6" x14ac:dyDescent="0.25">
      <c r="A11648" s="1" t="str">
        <f t="shared" si="426"/>
        <v>22220</v>
      </c>
      <c r="B11648" s="1" t="str">
        <f>"72770"</f>
        <v>72770</v>
      </c>
      <c r="C11648" s="2">
        <v>3.2223071719351E-3</v>
      </c>
      <c r="D11648" s="2">
        <v>6.9503305645024502E-3</v>
      </c>
      <c r="E11648" s="2">
        <v>3.09453814018257E-4</v>
      </c>
      <c r="F11648" s="2">
        <v>3.4693440045733799E-3</v>
      </c>
    </row>
    <row r="11649" spans="1:6" x14ac:dyDescent="0.25">
      <c r="A11649" s="1" t="str">
        <f t="shared" si="426"/>
        <v>22220</v>
      </c>
      <c r="B11649" s="1" t="str">
        <f>"72701"</f>
        <v>72701</v>
      </c>
      <c r="C11649" s="2">
        <v>8.8979709471981902E-2</v>
      </c>
      <c r="D11649" s="2">
        <v>9.0439057467367301E-2</v>
      </c>
      <c r="E11649" s="2">
        <v>0.16958069008200499</v>
      </c>
      <c r="F11649" s="2">
        <v>9.0963984564813402E-2</v>
      </c>
    </row>
    <row r="11650" spans="1:6" x14ac:dyDescent="0.25">
      <c r="A11650" s="1" t="str">
        <f t="shared" si="426"/>
        <v>22220</v>
      </c>
      <c r="B11650" s="1" t="str">
        <f>"72702"</f>
        <v>72702</v>
      </c>
      <c r="C11650" s="2">
        <v>8.4700645662294204E-3</v>
      </c>
      <c r="D11650" s="2">
        <v>3.00898457365655E-2</v>
      </c>
      <c r="E11650" s="2">
        <v>3.09453814018257E-4</v>
      </c>
      <c r="F11650" s="2">
        <v>1.01043304273259E-2</v>
      </c>
    </row>
    <row r="11651" spans="1:6" x14ac:dyDescent="0.25">
      <c r="A11651" s="1" t="str">
        <f t="shared" si="426"/>
        <v>22220</v>
      </c>
      <c r="B11651" s="1" t="str">
        <f>"72744"</f>
        <v>72744</v>
      </c>
      <c r="C11651" s="2">
        <v>9.7629903010555494E-3</v>
      </c>
      <c r="D11651" s="2">
        <v>3.1785048313273398E-3</v>
      </c>
      <c r="E11651" s="2">
        <v>1.7019959771004099E-3</v>
      </c>
      <c r="F11651" s="2">
        <v>9.0217235958267809E-3</v>
      </c>
    </row>
    <row r="11652" spans="1:6" x14ac:dyDescent="0.25">
      <c r="A11652" s="1" t="str">
        <f t="shared" si="426"/>
        <v>22220</v>
      </c>
      <c r="B11652" s="1" t="str">
        <f>"72736"</f>
        <v>72736</v>
      </c>
      <c r="C11652" s="2">
        <v>1.1404165382413799E-2</v>
      </c>
      <c r="D11652" s="2">
        <v>6.1027292761484898E-3</v>
      </c>
      <c r="E11652" s="2">
        <v>1.7019959771004099E-3</v>
      </c>
      <c r="F11652" s="2">
        <v>1.0733171359153901E-2</v>
      </c>
    </row>
    <row r="11653" spans="1:6" x14ac:dyDescent="0.25">
      <c r="A11653" s="1" t="str">
        <f t="shared" si="426"/>
        <v>22220</v>
      </c>
      <c r="B11653" s="1" t="str">
        <f>"72753"</f>
        <v>72753</v>
      </c>
      <c r="C11653" s="2">
        <v>1.7924834181273702E-2</v>
      </c>
      <c r="D11653" s="2">
        <v>5.2975080522122296E-3</v>
      </c>
      <c r="E11653" s="2">
        <v>1.3770694723812401E-2</v>
      </c>
      <c r="F11653" s="2">
        <v>1.6764327568958098E-2</v>
      </c>
    </row>
    <row r="11654" spans="1:6" x14ac:dyDescent="0.25">
      <c r="A11654" s="1" t="str">
        <f t="shared" si="426"/>
        <v>22220</v>
      </c>
      <c r="B11654" s="1" t="str">
        <f>"72719"</f>
        <v>72719</v>
      </c>
      <c r="C11654" s="2">
        <v>2.87685983163945E-2</v>
      </c>
      <c r="D11654" s="2">
        <v>1.1484997457196101E-2</v>
      </c>
      <c r="E11654" s="2">
        <v>2.7850843261643101E-3</v>
      </c>
      <c r="F11654" s="2">
        <v>2.6711447763327099E-2</v>
      </c>
    </row>
    <row r="11655" spans="1:6" x14ac:dyDescent="0.25">
      <c r="A11655" s="1" t="str">
        <f t="shared" si="426"/>
        <v>22220</v>
      </c>
      <c r="B11655" s="1" t="str">
        <f>"72745"</f>
        <v>72745</v>
      </c>
      <c r="C11655" s="2">
        <v>2.67511538261395E-2</v>
      </c>
      <c r="D11655" s="2">
        <v>3.9455839972876702E-2</v>
      </c>
      <c r="E11655" s="2">
        <v>1.79483212130589E-2</v>
      </c>
      <c r="F11655" s="2">
        <v>2.7618979562669701E-2</v>
      </c>
    </row>
    <row r="11656" spans="1:6" x14ac:dyDescent="0.25">
      <c r="A11656" s="1" t="str">
        <f t="shared" si="426"/>
        <v>22220</v>
      </c>
      <c r="B11656" s="1" t="str">
        <f>"72773"</f>
        <v>72773</v>
      </c>
      <c r="C11656" s="2">
        <v>3.38642468007093E-3</v>
      </c>
      <c r="D11656" s="2">
        <v>1.69520257670791E-4</v>
      </c>
      <c r="E11656" s="2">
        <v>3.09453814018257E-4</v>
      </c>
      <c r="F11656" s="2">
        <v>3.0441617836215501E-3</v>
      </c>
    </row>
    <row r="11657" spans="1:6" x14ac:dyDescent="0.25">
      <c r="A11657" s="1" t="str">
        <f t="shared" ref="A11657:A11680" si="427">"22220"</f>
        <v>22220</v>
      </c>
      <c r="B11657" s="1" t="str">
        <f>"72766"</f>
        <v>72766</v>
      </c>
      <c r="C11657" s="2">
        <v>6.2724911036301902E-3</v>
      </c>
      <c r="D11657" s="2">
        <v>1.5341583319206599E-2</v>
      </c>
      <c r="E11657" s="2">
        <v>3.09453814018257E-4</v>
      </c>
      <c r="F11657" s="2">
        <v>6.8993854509075301E-3</v>
      </c>
    </row>
    <row r="11658" spans="1:6" x14ac:dyDescent="0.25">
      <c r="A11658" s="1" t="str">
        <f t="shared" si="427"/>
        <v>22220</v>
      </c>
      <c r="B11658" s="1" t="str">
        <f>"72757"</f>
        <v>72757</v>
      </c>
      <c r="C11658" s="2">
        <v>6.5687031914850999E-3</v>
      </c>
      <c r="D11658" s="2">
        <v>2.2885234785556801E-2</v>
      </c>
      <c r="E11658" s="2">
        <v>3.09453814018257E-4</v>
      </c>
      <c r="F11658" s="2">
        <v>7.7997713305702401E-3</v>
      </c>
    </row>
    <row r="11659" spans="1:6" x14ac:dyDescent="0.25">
      <c r="A11659" s="1" t="str">
        <f t="shared" si="427"/>
        <v>22220</v>
      </c>
      <c r="B11659" s="1" t="str">
        <f>"72717"</f>
        <v>72717</v>
      </c>
      <c r="C11659" s="2">
        <v>1.8933556426401299E-3</v>
      </c>
      <c r="D11659" s="2">
        <v>1.27140193253093E-4</v>
      </c>
      <c r="E11659" s="2">
        <v>1.5472690700912801E-4</v>
      </c>
      <c r="F11659" s="2">
        <v>1.70430184364727E-3</v>
      </c>
    </row>
    <row r="11660" spans="1:6" x14ac:dyDescent="0.25">
      <c r="A11660" s="1" t="str">
        <f t="shared" si="427"/>
        <v>22220</v>
      </c>
      <c r="B11660" s="1" t="str">
        <f>"72948"</f>
        <v>72948</v>
      </c>
      <c r="C11660" s="2">
        <v>2.8020062364652999E-5</v>
      </c>
      <c r="D11660" s="2">
        <v>0</v>
      </c>
      <c r="E11660" s="2">
        <v>0</v>
      </c>
      <c r="F11660" s="2">
        <v>2.50107188795197E-5</v>
      </c>
    </row>
    <row r="11661" spans="1:6" x14ac:dyDescent="0.25">
      <c r="A11661" s="1" t="str">
        <f t="shared" si="427"/>
        <v>22220</v>
      </c>
      <c r="B11661" s="1" t="str">
        <f>"72716"</f>
        <v>72716</v>
      </c>
      <c r="C11661" s="2">
        <v>0</v>
      </c>
      <c r="D11661" s="2">
        <v>8.4760128835395797E-5</v>
      </c>
      <c r="E11661" s="2">
        <v>0</v>
      </c>
      <c r="F11661" s="2">
        <v>7.1459196798627899E-6</v>
      </c>
    </row>
    <row r="11662" spans="1:6" x14ac:dyDescent="0.25">
      <c r="A11662" s="1" t="str">
        <f t="shared" si="427"/>
        <v>22220</v>
      </c>
      <c r="B11662" s="1" t="str">
        <f>"72852"</f>
        <v>72852</v>
      </c>
      <c r="C11662" s="2">
        <v>2.00143302604664E-5</v>
      </c>
      <c r="D11662" s="2">
        <v>0</v>
      </c>
      <c r="E11662" s="2">
        <v>0</v>
      </c>
      <c r="F11662" s="2">
        <v>1.78647991996569E-5</v>
      </c>
    </row>
    <row r="11663" spans="1:6" x14ac:dyDescent="0.25">
      <c r="A11663" s="1" t="str">
        <f t="shared" si="427"/>
        <v>22220</v>
      </c>
      <c r="B11663" s="1" t="str">
        <f>"72712"</f>
        <v>72712</v>
      </c>
      <c r="C11663" s="2">
        <v>7.2684041773910094E-2</v>
      </c>
      <c r="D11663" s="2">
        <v>0.16939311747753799</v>
      </c>
      <c r="E11663" s="2">
        <v>0.136778585796069</v>
      </c>
      <c r="F11663" s="2">
        <v>8.2317421752179501E-2</v>
      </c>
    </row>
    <row r="11664" spans="1:6" x14ac:dyDescent="0.25">
      <c r="A11664" s="1" t="str">
        <f t="shared" si="427"/>
        <v>22220</v>
      </c>
      <c r="B11664" s="1" t="str">
        <f>"72760"</f>
        <v>72760</v>
      </c>
      <c r="C11664" s="2">
        <v>4.4431813178235599E-4</v>
      </c>
      <c r="D11664" s="2">
        <v>1.69520257670791E-4</v>
      </c>
      <c r="E11664" s="2">
        <v>3.09453814018257E-4</v>
      </c>
      <c r="F11664" s="2">
        <v>4.1803630127197302E-4</v>
      </c>
    </row>
    <row r="11665" spans="1:6" x14ac:dyDescent="0.25">
      <c r="A11665" s="1" t="str">
        <f t="shared" si="427"/>
        <v>22220</v>
      </c>
      <c r="B11665" s="1" t="str">
        <f>"72713"</f>
        <v>72713</v>
      </c>
      <c r="C11665" s="2">
        <v>4.1345603452071597E-2</v>
      </c>
      <c r="D11665" s="2">
        <v>7.5436514663502199E-3</v>
      </c>
      <c r="E11665" s="2">
        <v>4.4561349218629101E-2</v>
      </c>
      <c r="F11665" s="2">
        <v>3.8570101472059401E-2</v>
      </c>
    </row>
    <row r="11666" spans="1:6" x14ac:dyDescent="0.25">
      <c r="A11666" s="1" t="str">
        <f t="shared" si="427"/>
        <v>22220</v>
      </c>
      <c r="B11666" s="1" t="str">
        <f>"72741"</f>
        <v>72741</v>
      </c>
      <c r="C11666" s="2">
        <v>7.5654168384563301E-4</v>
      </c>
      <c r="D11666" s="2">
        <v>1.14426173927784E-3</v>
      </c>
      <c r="E11666" s="2">
        <v>3.09453814018257E-4</v>
      </c>
      <c r="F11666" s="2">
        <v>7.7890524510504497E-4</v>
      </c>
    </row>
    <row r="11667" spans="1:6" x14ac:dyDescent="0.25">
      <c r="A11667" s="1" t="str">
        <f t="shared" si="427"/>
        <v>22220</v>
      </c>
      <c r="B11667" s="1" t="str">
        <f>"72734"</f>
        <v>72734</v>
      </c>
      <c r="C11667" s="2">
        <v>1.2080649745217499E-2</v>
      </c>
      <c r="D11667" s="2">
        <v>4.6618070859467701E-3</v>
      </c>
      <c r="E11667" s="2">
        <v>1.85672288410954E-3</v>
      </c>
      <c r="F11667" s="2">
        <v>1.1219093897384499E-2</v>
      </c>
    </row>
    <row r="11668" spans="1:6" x14ac:dyDescent="0.25">
      <c r="A11668" s="1" t="str">
        <f t="shared" si="427"/>
        <v>22220</v>
      </c>
      <c r="B11668" s="1" t="str">
        <f>"72765"</f>
        <v>72765</v>
      </c>
      <c r="C11668" s="2">
        <v>5.4438978308468796E-3</v>
      </c>
      <c r="D11668" s="2">
        <v>1.2459738938803099E-2</v>
      </c>
      <c r="E11668" s="2">
        <v>3.09453814018257E-4</v>
      </c>
      <c r="F11668" s="2">
        <v>5.9168214949263899E-3</v>
      </c>
    </row>
    <row r="11669" spans="1:6" x14ac:dyDescent="0.25">
      <c r="A11669" s="1" t="str">
        <f t="shared" si="427"/>
        <v>22220</v>
      </c>
      <c r="B11669" s="1" t="str">
        <f>"72735"</f>
        <v>72735</v>
      </c>
      <c r="C11669" s="2">
        <v>4.00286605209329E-6</v>
      </c>
      <c r="D11669" s="2">
        <v>0</v>
      </c>
      <c r="E11669" s="2">
        <v>1.5472690700912801E-4</v>
      </c>
      <c r="F11669" s="2">
        <v>7.1459196798627899E-6</v>
      </c>
    </row>
    <row r="11670" spans="1:6" x14ac:dyDescent="0.25">
      <c r="A11670" s="1" t="str">
        <f t="shared" si="427"/>
        <v>22220</v>
      </c>
      <c r="B11670" s="1" t="str">
        <f>"72733"</f>
        <v>72733</v>
      </c>
      <c r="C11670" s="2">
        <v>0</v>
      </c>
      <c r="D11670" s="2">
        <v>0</v>
      </c>
      <c r="E11670" s="2">
        <v>1.5472690700912801E-4</v>
      </c>
      <c r="F11670" s="2">
        <v>3.5729598399313898E-6</v>
      </c>
    </row>
    <row r="11671" spans="1:6" x14ac:dyDescent="0.25">
      <c r="A11671" s="1" t="str">
        <f t="shared" si="427"/>
        <v>22220</v>
      </c>
      <c r="B11671" s="1" t="str">
        <f>"72749"</f>
        <v>72749</v>
      </c>
      <c r="C11671" s="2">
        <v>1.00071651302332E-4</v>
      </c>
      <c r="D11671" s="2">
        <v>4.2380064417697899E-5</v>
      </c>
      <c r="E11671" s="2">
        <v>1.5472690700912801E-4</v>
      </c>
      <c r="F11671" s="2">
        <v>9.64699156781477E-5</v>
      </c>
    </row>
    <row r="11672" spans="1:6" x14ac:dyDescent="0.25">
      <c r="A11672" s="1" t="str">
        <f t="shared" si="427"/>
        <v>22220</v>
      </c>
      <c r="B11672" s="1" t="str">
        <f>"72632"</f>
        <v>72632</v>
      </c>
      <c r="C11672" s="2">
        <v>5.2037258677212798E-5</v>
      </c>
      <c r="D11672" s="2">
        <v>0</v>
      </c>
      <c r="E11672" s="2">
        <v>0</v>
      </c>
      <c r="F11672" s="2">
        <v>4.6448477919108097E-5</v>
      </c>
    </row>
    <row r="11673" spans="1:6" x14ac:dyDescent="0.25">
      <c r="A11673" s="1" t="str">
        <f t="shared" si="427"/>
        <v>22220</v>
      </c>
      <c r="B11673" s="1" t="str">
        <f>"72959"</f>
        <v>72959</v>
      </c>
      <c r="C11673" s="2">
        <v>5.25976599245059E-3</v>
      </c>
      <c r="D11673" s="2">
        <v>5.9332090184777001E-4</v>
      </c>
      <c r="E11673" s="2">
        <v>1.5472690700912801E-4</v>
      </c>
      <c r="F11673" s="2">
        <v>4.7484636272688199E-3</v>
      </c>
    </row>
    <row r="11674" spans="1:6" x14ac:dyDescent="0.25">
      <c r="A11674" s="1" t="str">
        <f t="shared" si="427"/>
        <v>22220</v>
      </c>
      <c r="B11674" s="1" t="str">
        <f>"72756"</f>
        <v>72756</v>
      </c>
      <c r="C11674" s="2">
        <v>7.3796838536392004E-2</v>
      </c>
      <c r="D11674" s="2">
        <v>8.6624851669774502E-2</v>
      </c>
      <c r="E11674" s="2">
        <v>5.5856413430295501E-2</v>
      </c>
      <c r="F11674" s="2">
        <v>7.4464056024010197E-2</v>
      </c>
    </row>
    <row r="11675" spans="1:6" x14ac:dyDescent="0.25">
      <c r="A11675" s="1" t="str">
        <f t="shared" si="427"/>
        <v>22220</v>
      </c>
      <c r="B11675" s="1" t="str">
        <f>"72758"</f>
        <v>72758</v>
      </c>
      <c r="C11675" s="2">
        <v>7.2135649124773299E-2</v>
      </c>
      <c r="D11675" s="2">
        <v>6.4163417528394606E-2</v>
      </c>
      <c r="E11675" s="2">
        <v>4.3323533962555998E-2</v>
      </c>
      <c r="F11675" s="2">
        <v>7.0798199228240599E-2</v>
      </c>
    </row>
    <row r="11676" spans="1:6" x14ac:dyDescent="0.25">
      <c r="A11676" s="1" t="str">
        <f t="shared" si="427"/>
        <v>22220</v>
      </c>
      <c r="B11676" s="1" t="str">
        <f>"72762"</f>
        <v>72762</v>
      </c>
      <c r="C11676" s="2">
        <v>6.8360946437649298E-2</v>
      </c>
      <c r="D11676" s="2">
        <v>6.5773859976267099E-2</v>
      </c>
      <c r="E11676" s="2">
        <v>9.2217236577440798E-2</v>
      </c>
      <c r="F11676" s="2">
        <v>6.8693725882520998E-2</v>
      </c>
    </row>
    <row r="11677" spans="1:6" x14ac:dyDescent="0.25">
      <c r="A11677" s="1" t="str">
        <f t="shared" si="427"/>
        <v>22220</v>
      </c>
      <c r="B11677" s="1" t="str">
        <f>"72764"</f>
        <v>72764</v>
      </c>
      <c r="C11677" s="2">
        <v>8.4364404913918306E-2</v>
      </c>
      <c r="D11677" s="2">
        <v>0.10340735717918199</v>
      </c>
      <c r="E11677" s="2">
        <v>0.14884728454278101</v>
      </c>
      <c r="F11677" s="2">
        <v>8.7458910961840705E-2</v>
      </c>
    </row>
    <row r="11678" spans="1:6" x14ac:dyDescent="0.25">
      <c r="A11678" s="1" t="str">
        <f t="shared" si="427"/>
        <v>22220</v>
      </c>
      <c r="B11678" s="1" t="str">
        <f>"72715"</f>
        <v>72715</v>
      </c>
      <c r="C11678" s="2">
        <v>3.51091381429103E-2</v>
      </c>
      <c r="D11678" s="2">
        <v>7.4588913375148299E-3</v>
      </c>
      <c r="E11678" s="2">
        <v>1.54726907009128E-3</v>
      </c>
      <c r="F11678" s="2">
        <v>3.2003001286265501E-2</v>
      </c>
    </row>
    <row r="11679" spans="1:6" x14ac:dyDescent="0.25">
      <c r="A11679" s="1" t="str">
        <f t="shared" si="427"/>
        <v>22220</v>
      </c>
      <c r="B11679" s="1" t="str">
        <f>"72768"</f>
        <v>72768</v>
      </c>
      <c r="C11679" s="2">
        <v>2.4617626220373701E-3</v>
      </c>
      <c r="D11679" s="2">
        <v>2.9666045092388501E-4</v>
      </c>
      <c r="E11679" s="2">
        <v>3.09453814018257E-4</v>
      </c>
      <c r="F11679" s="2">
        <v>2.2295269401171902E-3</v>
      </c>
    </row>
    <row r="11680" spans="1:6" x14ac:dyDescent="0.25">
      <c r="A11680" s="1" t="str">
        <f t="shared" si="427"/>
        <v>22220</v>
      </c>
      <c r="B11680" s="1" t="str">
        <f>"72730"</f>
        <v>72730</v>
      </c>
      <c r="C11680" s="2">
        <v>2.1391316182386499E-2</v>
      </c>
      <c r="D11680" s="2">
        <v>1.85624682149516E-2</v>
      </c>
      <c r="E11680" s="2">
        <v>4.0228995822373503E-3</v>
      </c>
      <c r="F11680" s="2">
        <v>2.0751750750321499E-2</v>
      </c>
    </row>
    <row r="11681" spans="1:6" x14ac:dyDescent="0.25">
      <c r="A11681" s="1" t="str">
        <f t="shared" ref="A11681:A11716" si="428">"22260"</f>
        <v>22260</v>
      </c>
      <c r="B11681" s="1" t="str">
        <f>"56583"</f>
        <v>56583</v>
      </c>
      <c r="C11681" s="2">
        <v>6.0226451457480099E-5</v>
      </c>
      <c r="D11681" s="2">
        <v>0</v>
      </c>
      <c r="E11681" s="2">
        <v>0</v>
      </c>
      <c r="F11681" s="2">
        <v>5.5845642643732701E-5</v>
      </c>
    </row>
    <row r="11682" spans="1:6" x14ac:dyDescent="0.25">
      <c r="A11682" s="1" t="str">
        <f t="shared" si="428"/>
        <v>22260</v>
      </c>
      <c r="B11682" s="1" t="str">
        <f>"56572"</f>
        <v>56572</v>
      </c>
      <c r="C11682" s="2">
        <v>0.10072874006263501</v>
      </c>
      <c r="D11682" s="2">
        <v>5.2662037037037E-2</v>
      </c>
      <c r="E11682" s="2">
        <v>5.0171037628278202E-2</v>
      </c>
      <c r="F11682" s="2">
        <v>9.7171418200094895E-2</v>
      </c>
    </row>
    <row r="11683" spans="1:6" x14ac:dyDescent="0.25">
      <c r="A11683" s="1" t="str">
        <f t="shared" si="428"/>
        <v>22260</v>
      </c>
      <c r="B11683" s="1" t="str">
        <f>"56524"</f>
        <v>56524</v>
      </c>
      <c r="C11683" s="2">
        <v>1.6953746085280601E-2</v>
      </c>
      <c r="D11683" s="2">
        <v>5.7870370370370298E-3</v>
      </c>
      <c r="E11683" s="2">
        <v>3.4207525655644199E-3</v>
      </c>
      <c r="F11683" s="2">
        <v>1.6083545081395E-2</v>
      </c>
    </row>
    <row r="11684" spans="1:6" x14ac:dyDescent="0.25">
      <c r="A11684" s="1" t="str">
        <f t="shared" si="428"/>
        <v>22260</v>
      </c>
      <c r="B11684" s="1" t="str">
        <f>"56309"</f>
        <v>56309</v>
      </c>
      <c r="C11684" s="2">
        <v>2.9209828956877799E-3</v>
      </c>
      <c r="D11684" s="2">
        <v>1.7361111111111099E-3</v>
      </c>
      <c r="E11684" s="2">
        <v>0</v>
      </c>
      <c r="F11684" s="2">
        <v>2.7922821321866298E-3</v>
      </c>
    </row>
    <row r="11685" spans="1:6" x14ac:dyDescent="0.25">
      <c r="A11685" s="1" t="str">
        <f t="shared" si="428"/>
        <v>22260</v>
      </c>
      <c r="B11685" s="1" t="str">
        <f>"56324"</f>
        <v>56324</v>
      </c>
      <c r="C11685" s="2">
        <v>1.505661286437E-2</v>
      </c>
      <c r="D11685" s="2">
        <v>6.3657407407407404E-3</v>
      </c>
      <c r="E11685" s="2">
        <v>3.4207525655644199E-3</v>
      </c>
      <c r="F11685" s="2">
        <v>1.43523301594393E-2</v>
      </c>
    </row>
    <row r="11686" spans="1:6" x14ac:dyDescent="0.25">
      <c r="A11686" s="1" t="str">
        <f t="shared" si="428"/>
        <v>22260</v>
      </c>
      <c r="B11686" s="1" t="str">
        <f>"56453"</f>
        <v>56453</v>
      </c>
      <c r="C11686" s="2">
        <v>4.3363045049385597E-3</v>
      </c>
      <c r="D11686" s="2">
        <v>0</v>
      </c>
      <c r="E11686" s="2">
        <v>0</v>
      </c>
      <c r="F11686" s="2">
        <v>4.0208862703487499E-3</v>
      </c>
    </row>
    <row r="11687" spans="1:6" x14ac:dyDescent="0.25">
      <c r="A11687" s="1" t="str">
        <f t="shared" si="428"/>
        <v>22260</v>
      </c>
      <c r="B11687" s="1" t="str">
        <f>"56515"</f>
        <v>56515</v>
      </c>
      <c r="C11687" s="2">
        <v>6.6550228860515495E-2</v>
      </c>
      <c r="D11687" s="2">
        <v>3.2986111111111098E-2</v>
      </c>
      <c r="E11687" s="2">
        <v>3.5347776510832297E-2</v>
      </c>
      <c r="F11687" s="2">
        <v>6.4166643397648798E-2</v>
      </c>
    </row>
    <row r="11688" spans="1:6" x14ac:dyDescent="0.25">
      <c r="A11688" s="1" t="str">
        <f t="shared" si="428"/>
        <v>22260</v>
      </c>
      <c r="B11688" s="1" t="str">
        <f>"56527"</f>
        <v>56527</v>
      </c>
      <c r="C11688" s="2">
        <v>1.2496988677427099E-2</v>
      </c>
      <c r="D11688" s="2">
        <v>2.8935185185185101E-3</v>
      </c>
      <c r="E11688" s="2">
        <v>6.8415051311288399E-3</v>
      </c>
      <c r="F11688" s="2">
        <v>1.1895121883114999E-2</v>
      </c>
    </row>
    <row r="11689" spans="1:6" x14ac:dyDescent="0.25">
      <c r="A11689" s="1" t="str">
        <f t="shared" si="428"/>
        <v>22260</v>
      </c>
      <c r="B11689" s="1" t="str">
        <f>"56551"</f>
        <v>56551</v>
      </c>
      <c r="C11689" s="2">
        <v>3.9147193447361998E-2</v>
      </c>
      <c r="D11689" s="2">
        <v>1.4467592592592501E-2</v>
      </c>
      <c r="E11689" s="2">
        <v>3.7628278221208601E-2</v>
      </c>
      <c r="F11689" s="2">
        <v>3.79191913550945E-2</v>
      </c>
    </row>
    <row r="11690" spans="1:6" x14ac:dyDescent="0.25">
      <c r="A11690" s="1" t="str">
        <f t="shared" si="428"/>
        <v>22260</v>
      </c>
      <c r="B11690" s="1" t="str">
        <f>"56576"</f>
        <v>56576</v>
      </c>
      <c r="C11690" s="2">
        <v>2.0928691881474299E-2</v>
      </c>
      <c r="D11690" s="2">
        <v>3.4722222222222199E-3</v>
      </c>
      <c r="E11690" s="2">
        <v>3.4207525655644199E-3</v>
      </c>
      <c r="F11690" s="2">
        <v>1.9657666210593901E-2</v>
      </c>
    </row>
    <row r="11691" spans="1:6" x14ac:dyDescent="0.25">
      <c r="A11691" s="1" t="str">
        <f t="shared" si="428"/>
        <v>22260</v>
      </c>
      <c r="B11691" s="1" t="str">
        <f>"56544"</f>
        <v>56544</v>
      </c>
      <c r="C11691" s="2">
        <v>1.9423030595037302E-2</v>
      </c>
      <c r="D11691" s="2">
        <v>2.3148148148148099E-3</v>
      </c>
      <c r="E11691" s="2">
        <v>0</v>
      </c>
      <c r="F11691" s="2">
        <v>1.8121911037891202E-2</v>
      </c>
    </row>
    <row r="11692" spans="1:6" x14ac:dyDescent="0.25">
      <c r="A11692" s="1" t="str">
        <f t="shared" si="428"/>
        <v>22260</v>
      </c>
      <c r="B11692" s="1" t="str">
        <f>"56579"</f>
        <v>56579</v>
      </c>
      <c r="C11692" s="2">
        <v>7.4680799807275303E-3</v>
      </c>
      <c r="D11692" s="2">
        <v>3.4722222222222199E-3</v>
      </c>
      <c r="E11692" s="2">
        <v>4.5610034207525596E-3</v>
      </c>
      <c r="F11692" s="2">
        <v>7.2040879010415197E-3</v>
      </c>
    </row>
    <row r="11693" spans="1:6" x14ac:dyDescent="0.25">
      <c r="A11693" s="1" t="str">
        <f t="shared" si="428"/>
        <v>22260</v>
      </c>
      <c r="B11693" s="1" t="str">
        <f>"56567"</f>
        <v>56567</v>
      </c>
      <c r="C11693" s="2">
        <v>4.9265237292218697E-2</v>
      </c>
      <c r="D11693" s="2">
        <v>1.9675925925925899E-2</v>
      </c>
      <c r="E11693" s="2">
        <v>5.5872291904218899E-2</v>
      </c>
      <c r="F11693" s="2">
        <v>4.7999329852288199E-2</v>
      </c>
    </row>
    <row r="11694" spans="1:6" x14ac:dyDescent="0.25">
      <c r="A11694" s="1" t="str">
        <f t="shared" si="428"/>
        <v>22260</v>
      </c>
      <c r="B11694" s="1" t="str">
        <f>"56464"</f>
        <v>56464</v>
      </c>
      <c r="C11694" s="2">
        <v>1.1744158034208601E-3</v>
      </c>
      <c r="D11694" s="2">
        <v>0</v>
      </c>
      <c r="E11694" s="2">
        <v>0</v>
      </c>
      <c r="F11694" s="2">
        <v>1.0889900315527801E-3</v>
      </c>
    </row>
    <row r="11695" spans="1:6" x14ac:dyDescent="0.25">
      <c r="A11695" s="1" t="str">
        <f t="shared" si="428"/>
        <v>22260</v>
      </c>
      <c r="B11695" s="1" t="str">
        <f>"56326"</f>
        <v>56326</v>
      </c>
      <c r="C11695" s="2">
        <v>1.47554806070826E-3</v>
      </c>
      <c r="D11695" s="2">
        <v>5.7870370370370302E-4</v>
      </c>
      <c r="E11695" s="2">
        <v>0</v>
      </c>
      <c r="F11695" s="2">
        <v>1.3961410660933099E-3</v>
      </c>
    </row>
    <row r="11696" spans="1:6" x14ac:dyDescent="0.25">
      <c r="A11696" s="1" t="str">
        <f t="shared" si="428"/>
        <v>22260</v>
      </c>
      <c r="B11696" s="1" t="str">
        <f>"56514"</f>
        <v>56514</v>
      </c>
      <c r="C11696" s="2">
        <v>4.8181161165984101E-4</v>
      </c>
      <c r="D11696" s="2">
        <v>0</v>
      </c>
      <c r="E11696" s="2">
        <v>0</v>
      </c>
      <c r="F11696" s="2">
        <v>4.4676514114986101E-4</v>
      </c>
    </row>
    <row r="11697" spans="1:6" x14ac:dyDescent="0.25">
      <c r="A11697" s="1" t="str">
        <f t="shared" si="428"/>
        <v>22260</v>
      </c>
      <c r="B11697" s="1" t="str">
        <f>"56518"</f>
        <v>56518</v>
      </c>
      <c r="C11697" s="2">
        <v>4.3965309563960397E-3</v>
      </c>
      <c r="D11697" s="2">
        <v>0</v>
      </c>
      <c r="E11697" s="2">
        <v>4.5610034207525596E-3</v>
      </c>
      <c r="F11697" s="2">
        <v>4.1884231982799499E-3</v>
      </c>
    </row>
    <row r="11698" spans="1:6" x14ac:dyDescent="0.25">
      <c r="A11698" s="1" t="str">
        <f t="shared" si="428"/>
        <v>22260</v>
      </c>
      <c r="B11698" s="1" t="str">
        <f>"56533"</f>
        <v>56533</v>
      </c>
      <c r="C11698" s="2">
        <v>4.9987954709708503E-3</v>
      </c>
      <c r="D11698" s="2">
        <v>5.2083333333333296E-3</v>
      </c>
      <c r="E11698" s="2">
        <v>1.1402508551881399E-3</v>
      </c>
      <c r="F11698" s="2">
        <v>4.91441655264847E-3</v>
      </c>
    </row>
    <row r="11699" spans="1:6" x14ac:dyDescent="0.25">
      <c r="A11699" s="1" t="str">
        <f t="shared" si="428"/>
        <v>22260</v>
      </c>
      <c r="B11699" s="1" t="str">
        <f>"56587"</f>
        <v>56587</v>
      </c>
      <c r="C11699" s="2">
        <v>2.8758130570946699E-2</v>
      </c>
      <c r="D11699" s="2">
        <v>5.7870370370370298E-3</v>
      </c>
      <c r="E11699" s="2">
        <v>1.9384264538198401E-2</v>
      </c>
      <c r="F11699" s="2">
        <v>2.7420210538072701E-2</v>
      </c>
    </row>
    <row r="11700" spans="1:6" x14ac:dyDescent="0.25">
      <c r="A11700" s="1" t="str">
        <f t="shared" si="428"/>
        <v>22260</v>
      </c>
      <c r="B11700" s="1" t="str">
        <f>"56361"</f>
        <v>56361</v>
      </c>
      <c r="C11700" s="2">
        <v>3.2160925078294302E-2</v>
      </c>
      <c r="D11700" s="2">
        <v>2.7199074074074001E-2</v>
      </c>
      <c r="E11700" s="2">
        <v>1.59635119726339E-2</v>
      </c>
      <c r="F11700" s="2">
        <v>3.1524865272387098E-2</v>
      </c>
    </row>
    <row r="11701" spans="1:6" x14ac:dyDescent="0.25">
      <c r="A11701" s="1" t="str">
        <f t="shared" si="428"/>
        <v>22260</v>
      </c>
      <c r="B11701" s="1" t="str">
        <f>"56571"</f>
        <v>56571</v>
      </c>
      <c r="C11701" s="2">
        <v>4.10443266682727E-2</v>
      </c>
      <c r="D11701" s="2">
        <v>2.6041666666666598E-2</v>
      </c>
      <c r="E11701" s="2">
        <v>1.82440136830102E-2</v>
      </c>
      <c r="F11701" s="2">
        <v>3.9762097562337603E-2</v>
      </c>
    </row>
    <row r="11702" spans="1:6" x14ac:dyDescent="0.25">
      <c r="A11702" s="1" t="str">
        <f t="shared" si="428"/>
        <v>22260</v>
      </c>
      <c r="B11702" s="1" t="str">
        <f>"56531"</f>
        <v>56531</v>
      </c>
      <c r="C11702" s="2">
        <v>3.9147193447362002E-4</v>
      </c>
      <c r="D11702" s="2">
        <v>0</v>
      </c>
      <c r="E11702" s="2">
        <v>0</v>
      </c>
      <c r="F11702" s="2">
        <v>3.6299667718426199E-4</v>
      </c>
    </row>
    <row r="11703" spans="1:6" x14ac:dyDescent="0.25">
      <c r="A11703" s="1" t="str">
        <f t="shared" si="428"/>
        <v>22260</v>
      </c>
      <c r="B11703" s="1" t="str">
        <f>"56528"</f>
        <v>56528</v>
      </c>
      <c r="C11703" s="2">
        <v>3.8665381835702201E-2</v>
      </c>
      <c r="D11703" s="2">
        <v>2.8935185185185101E-3</v>
      </c>
      <c r="E11703" s="2">
        <v>1.48232611174458E-2</v>
      </c>
      <c r="F11703" s="2">
        <v>3.6355513361069999E-2</v>
      </c>
    </row>
    <row r="11704" spans="1:6" x14ac:dyDescent="0.25">
      <c r="A11704" s="1" t="str">
        <f t="shared" si="428"/>
        <v>22260</v>
      </c>
      <c r="B11704" s="1" t="str">
        <f>"56501"</f>
        <v>56501</v>
      </c>
      <c r="C11704" s="2">
        <v>1.32197060949168E-2</v>
      </c>
      <c r="D11704" s="2">
        <v>5.7870370370370302E-4</v>
      </c>
      <c r="E11704" s="2">
        <v>0</v>
      </c>
      <c r="F11704" s="2">
        <v>1.22860413816211E-2</v>
      </c>
    </row>
    <row r="11705" spans="1:6" x14ac:dyDescent="0.25">
      <c r="A11705" s="1" t="str">
        <f t="shared" si="428"/>
        <v>22260</v>
      </c>
      <c r="B11705" s="1" t="str">
        <f>"56573"</f>
        <v>56573</v>
      </c>
      <c r="C11705" s="2">
        <v>0.10849795230065</v>
      </c>
      <c r="D11705" s="2">
        <v>0.210069444444444</v>
      </c>
      <c r="E11705" s="2">
        <v>0.22348916761687501</v>
      </c>
      <c r="F11705" s="2">
        <v>0.116214782341607</v>
      </c>
    </row>
    <row r="11706" spans="1:6" x14ac:dyDescent="0.25">
      <c r="A11706" s="1" t="str">
        <f t="shared" si="428"/>
        <v>22260</v>
      </c>
      <c r="B11706" s="1" t="str">
        <f>"56534"</f>
        <v>56534</v>
      </c>
      <c r="C11706" s="2">
        <v>1.8609973500361299E-2</v>
      </c>
      <c r="D11706" s="2">
        <v>1.04166666666666E-2</v>
      </c>
      <c r="E11706" s="2">
        <v>7.9817559863169796E-3</v>
      </c>
      <c r="F11706" s="2">
        <v>1.7954374109960002E-2</v>
      </c>
    </row>
    <row r="11707" spans="1:6" x14ac:dyDescent="0.25">
      <c r="A11707" s="1" t="str">
        <f t="shared" si="428"/>
        <v>22260</v>
      </c>
      <c r="B11707" s="1" t="str">
        <f>"56537"</f>
        <v>56537</v>
      </c>
      <c r="C11707" s="2">
        <v>0.28095639604914402</v>
      </c>
      <c r="D11707" s="2">
        <v>0.53761574074074003</v>
      </c>
      <c r="E11707" s="2">
        <v>0.46294184720638498</v>
      </c>
      <c r="F11707" s="2">
        <v>0.29779688939770399</v>
      </c>
    </row>
    <row r="11708" spans="1:6" x14ac:dyDescent="0.25">
      <c r="A11708" s="1" t="str">
        <f t="shared" si="428"/>
        <v>22260</v>
      </c>
      <c r="B11708" s="1" t="str">
        <f>"56477"</f>
        <v>56477</v>
      </c>
      <c r="C11708" s="2">
        <v>6.2635509515779298E-3</v>
      </c>
      <c r="D11708" s="2">
        <v>2.3148148148148099E-3</v>
      </c>
      <c r="E11708" s="2">
        <v>0</v>
      </c>
      <c r="F11708" s="2">
        <v>5.9196381202356596E-3</v>
      </c>
    </row>
    <row r="11709" spans="1:6" x14ac:dyDescent="0.25">
      <c r="A11709" s="1" t="str">
        <f t="shared" si="428"/>
        <v>22260</v>
      </c>
      <c r="B11709" s="1" t="str">
        <f>"56586"</f>
        <v>56586</v>
      </c>
      <c r="C11709" s="2">
        <v>3.5021681522524599E-2</v>
      </c>
      <c r="D11709" s="2">
        <v>1.5625E-2</v>
      </c>
      <c r="E11709" s="2">
        <v>1.9384264538198401E-2</v>
      </c>
      <c r="F11709" s="2">
        <v>3.3702845335492601E-2</v>
      </c>
    </row>
    <row r="11710" spans="1:6" x14ac:dyDescent="0.25">
      <c r="A11710" s="1" t="str">
        <f t="shared" si="428"/>
        <v>22260</v>
      </c>
      <c r="B11710" s="1" t="str">
        <f>"56354"</f>
        <v>56354</v>
      </c>
      <c r="C11710" s="2">
        <v>3.0113225728739999E-5</v>
      </c>
      <c r="D11710" s="2">
        <v>0</v>
      </c>
      <c r="E11710" s="2">
        <v>0</v>
      </c>
      <c r="F11710" s="2">
        <v>2.79228213218663E-5</v>
      </c>
    </row>
    <row r="11711" spans="1:6" x14ac:dyDescent="0.25">
      <c r="A11711" s="1" t="str">
        <f t="shared" si="428"/>
        <v>22260</v>
      </c>
      <c r="B11711" s="1" t="str">
        <f>"56437"</f>
        <v>56437</v>
      </c>
      <c r="C11711" s="2">
        <v>1.02384967477716E-3</v>
      </c>
      <c r="D11711" s="2">
        <v>0</v>
      </c>
      <c r="E11711" s="2">
        <v>0</v>
      </c>
      <c r="F11711" s="2">
        <v>9.4937592494345605E-4</v>
      </c>
    </row>
    <row r="11712" spans="1:6" x14ac:dyDescent="0.25">
      <c r="A11712" s="1" t="str">
        <f t="shared" si="428"/>
        <v>22260</v>
      </c>
      <c r="B11712" s="1" t="str">
        <f>"56522"</f>
        <v>56522</v>
      </c>
      <c r="C11712" s="2">
        <v>6.3237774030354096E-4</v>
      </c>
      <c r="D11712" s="2">
        <v>0</v>
      </c>
      <c r="E11712" s="2">
        <v>0</v>
      </c>
      <c r="F11712" s="2">
        <v>5.8637924775919298E-4</v>
      </c>
    </row>
    <row r="11713" spans="1:6" x14ac:dyDescent="0.25">
      <c r="A11713" s="1" t="str">
        <f t="shared" si="428"/>
        <v>22260</v>
      </c>
      <c r="B11713" s="1" t="str">
        <f>"56588"</f>
        <v>56588</v>
      </c>
      <c r="C11713" s="2">
        <v>9.81691158756926E-3</v>
      </c>
      <c r="D11713" s="2">
        <v>4.0509259259259196E-3</v>
      </c>
      <c r="E11713" s="2">
        <v>2.2805017103762798E-3</v>
      </c>
      <c r="F11713" s="2">
        <v>9.3541451428252303E-3</v>
      </c>
    </row>
    <row r="11714" spans="1:6" x14ac:dyDescent="0.25">
      <c r="A11714" s="1" t="str">
        <f t="shared" si="428"/>
        <v>22260</v>
      </c>
      <c r="B11714" s="1" t="str">
        <f>"56315"</f>
        <v>56315</v>
      </c>
      <c r="C11714" s="2">
        <v>3.3124548301613997E-4</v>
      </c>
      <c r="D11714" s="2">
        <v>0</v>
      </c>
      <c r="E11714" s="2">
        <v>0</v>
      </c>
      <c r="F11714" s="2">
        <v>3.0715103454052899E-4</v>
      </c>
    </row>
    <row r="11715" spans="1:6" x14ac:dyDescent="0.25">
      <c r="A11715" s="1" t="str">
        <f t="shared" si="428"/>
        <v>22260</v>
      </c>
      <c r="B11715" s="1" t="str">
        <f>"56446"</f>
        <v>56446</v>
      </c>
      <c r="C11715" s="2">
        <v>1.2045290291496E-3</v>
      </c>
      <c r="D11715" s="2">
        <v>0</v>
      </c>
      <c r="E11715" s="2">
        <v>0</v>
      </c>
      <c r="F11715" s="2">
        <v>1.1169128528746501E-3</v>
      </c>
    </row>
    <row r="11716" spans="1:6" x14ac:dyDescent="0.25">
      <c r="A11716" s="1" t="str">
        <f t="shared" si="428"/>
        <v>22260</v>
      </c>
      <c r="B11716" s="1" t="str">
        <f>"56482"</f>
        <v>56482</v>
      </c>
      <c r="C11716" s="2">
        <v>1.55083112503011E-2</v>
      </c>
      <c r="D11716" s="2">
        <v>5.7870370370370298E-3</v>
      </c>
      <c r="E11716" s="2">
        <v>9.1220068415051297E-3</v>
      </c>
      <c r="F11716" s="2">
        <v>1.48828637645547E-2</v>
      </c>
    </row>
    <row r="11717" spans="1:6" x14ac:dyDescent="0.25">
      <c r="A11717" s="1" t="str">
        <f t="shared" ref="A11717:A11725" si="429">"22280"</f>
        <v>22280</v>
      </c>
      <c r="B11717" s="1" t="str">
        <f>"89706"</f>
        <v>89706</v>
      </c>
      <c r="C11717" s="2">
        <v>2.5242651850327501E-2</v>
      </c>
      <c r="D11717" s="2">
        <v>0.206666666666666</v>
      </c>
      <c r="E11717" s="2">
        <v>0.109437751004016</v>
      </c>
      <c r="F11717" s="2">
        <v>3.9655225870461601E-2</v>
      </c>
    </row>
    <row r="11718" spans="1:6" x14ac:dyDescent="0.25">
      <c r="A11718" s="1" t="str">
        <f t="shared" si="429"/>
        <v>22280</v>
      </c>
      <c r="B11718" s="1" t="str">
        <f>"89406"</f>
        <v>89406</v>
      </c>
      <c r="C11718" s="2">
        <v>3.4297081318379799E-5</v>
      </c>
      <c r="D11718" s="2">
        <v>0</v>
      </c>
      <c r="E11718" s="2">
        <v>0</v>
      </c>
      <c r="F11718" s="2">
        <v>3.10048677642389E-5</v>
      </c>
    </row>
    <row r="11719" spans="1:6" x14ac:dyDescent="0.25">
      <c r="A11719" s="1" t="str">
        <f t="shared" si="429"/>
        <v>22280</v>
      </c>
      <c r="B11719" s="1" t="str">
        <f>"89444"</f>
        <v>89444</v>
      </c>
      <c r="C11719" s="2">
        <v>1.9103474294337501E-2</v>
      </c>
      <c r="D11719" s="2">
        <v>5.7142857142857099E-3</v>
      </c>
      <c r="E11719" s="2">
        <v>2.00803212851405E-3</v>
      </c>
      <c r="F11719" s="2">
        <v>1.7703779493380398E-2</v>
      </c>
    </row>
    <row r="11720" spans="1:6" x14ac:dyDescent="0.25">
      <c r="A11720" s="1" t="str">
        <f t="shared" si="429"/>
        <v>22280</v>
      </c>
      <c r="B11720" s="1" t="str">
        <f>"89428"</f>
        <v>89428</v>
      </c>
      <c r="C11720" s="2">
        <v>0</v>
      </c>
      <c r="D11720" s="2">
        <v>4.7619047619047597E-4</v>
      </c>
      <c r="E11720" s="2">
        <v>0</v>
      </c>
      <c r="F11720" s="2">
        <v>3.10048677642389E-5</v>
      </c>
    </row>
    <row r="11721" spans="1:6" x14ac:dyDescent="0.25">
      <c r="A11721" s="1" t="str">
        <f t="shared" si="429"/>
        <v>22280</v>
      </c>
      <c r="B11721" s="1" t="str">
        <f>"89408"</f>
        <v>89408</v>
      </c>
      <c r="C11721" s="2">
        <v>0.38011455225160301</v>
      </c>
      <c r="D11721" s="2">
        <v>0.38761904761904697</v>
      </c>
      <c r="E11721" s="2">
        <v>0.373493975903614</v>
      </c>
      <c r="F11721" s="2">
        <v>0.38039872259944801</v>
      </c>
    </row>
    <row r="11722" spans="1:6" x14ac:dyDescent="0.25">
      <c r="A11722" s="1" t="str">
        <f t="shared" si="429"/>
        <v>22280</v>
      </c>
      <c r="B11722" s="1" t="str">
        <f>"89403"</f>
        <v>89403</v>
      </c>
      <c r="C11722" s="2">
        <v>0.29601810885893598</v>
      </c>
      <c r="D11722" s="2">
        <v>0.17333333333333301</v>
      </c>
      <c r="E11722" s="2">
        <v>0.29317269076305202</v>
      </c>
      <c r="F11722" s="2">
        <v>0.28794220692648698</v>
      </c>
    </row>
    <row r="11723" spans="1:6" x14ac:dyDescent="0.25">
      <c r="A11723" s="1" t="str">
        <f t="shared" si="429"/>
        <v>22280</v>
      </c>
      <c r="B11723" s="1" t="str">
        <f>"89447"</f>
        <v>89447</v>
      </c>
      <c r="C11723" s="2">
        <v>0.145453921871248</v>
      </c>
      <c r="D11723" s="2">
        <v>0.188571428571428</v>
      </c>
      <c r="E11723" s="2">
        <v>0.182730923694779</v>
      </c>
      <c r="F11723" s="2">
        <v>0.14941245775586701</v>
      </c>
    </row>
    <row r="11724" spans="1:6" x14ac:dyDescent="0.25">
      <c r="A11724" s="1" t="str">
        <f t="shared" si="429"/>
        <v>22280</v>
      </c>
      <c r="B11724" s="1" t="str">
        <f>"89430"</f>
        <v>89430</v>
      </c>
      <c r="C11724" s="2">
        <v>7.5110608087251701E-3</v>
      </c>
      <c r="D11724" s="2">
        <v>2.3809523809523799E-3</v>
      </c>
      <c r="E11724" s="2">
        <v>4.0160642570281103E-3</v>
      </c>
      <c r="F11724" s="2">
        <v>7.0691098502464796E-3</v>
      </c>
    </row>
    <row r="11725" spans="1:6" x14ac:dyDescent="0.25">
      <c r="A11725" s="1" t="str">
        <f t="shared" si="429"/>
        <v>22280</v>
      </c>
      <c r="B11725" s="1" t="str">
        <f>"89429"</f>
        <v>89429</v>
      </c>
      <c r="C11725" s="2">
        <v>0.126521932983503</v>
      </c>
      <c r="D11725" s="2">
        <v>3.52380952380952E-2</v>
      </c>
      <c r="E11725" s="2">
        <v>3.51405622489959E-2</v>
      </c>
      <c r="F11725" s="2">
        <v>0.117756487768579</v>
      </c>
    </row>
    <row r="11726" spans="1:6" x14ac:dyDescent="0.25">
      <c r="A11726" s="1" t="str">
        <f t="shared" ref="A11726:A11750" si="430">"22300"</f>
        <v>22300</v>
      </c>
      <c r="B11726" s="1" t="str">
        <f>"45897"</f>
        <v>45897</v>
      </c>
      <c r="C11726" s="2">
        <v>1.6056887257712999E-3</v>
      </c>
      <c r="D11726" s="2">
        <v>6.7911714770797901E-4</v>
      </c>
      <c r="E11726" s="2">
        <v>7.1123755334281599E-4</v>
      </c>
      <c r="F11726" s="2">
        <v>1.5040660769367999E-3</v>
      </c>
    </row>
    <row r="11727" spans="1:6" x14ac:dyDescent="0.25">
      <c r="A11727" s="1" t="str">
        <f t="shared" si="430"/>
        <v>22300</v>
      </c>
      <c r="B11727" s="1" t="str">
        <f>"43516"</f>
        <v>43516</v>
      </c>
      <c r="C11727" s="2">
        <v>4.8744122032343102E-4</v>
      </c>
      <c r="D11727" s="2">
        <v>0</v>
      </c>
      <c r="E11727" s="2">
        <v>0</v>
      </c>
      <c r="F11727" s="2">
        <v>4.3337497132077299E-4</v>
      </c>
    </row>
    <row r="11728" spans="1:6" x14ac:dyDescent="0.25">
      <c r="A11728" s="1" t="str">
        <f t="shared" si="430"/>
        <v>22300</v>
      </c>
      <c r="B11728" s="1" t="str">
        <f>"45890"</f>
        <v>45890</v>
      </c>
      <c r="C11728" s="2">
        <v>3.7274916848262399E-3</v>
      </c>
      <c r="D11728" s="2">
        <v>6.7911714770797901E-4</v>
      </c>
      <c r="E11728" s="2">
        <v>7.1123755334281599E-4</v>
      </c>
      <c r="F11728" s="2">
        <v>3.3905218344507599E-3</v>
      </c>
    </row>
    <row r="11729" spans="1:6" x14ac:dyDescent="0.25">
      <c r="A11729" s="1" t="str">
        <f t="shared" si="430"/>
        <v>22300</v>
      </c>
      <c r="B11729" s="1" t="str">
        <f>"45810"</f>
        <v>45810</v>
      </c>
      <c r="C11729" s="2">
        <v>2.95332033490079E-3</v>
      </c>
      <c r="D11729" s="2">
        <v>6.7911714770797901E-4</v>
      </c>
      <c r="E11729" s="2">
        <v>1.42247510668563E-3</v>
      </c>
      <c r="F11729" s="2">
        <v>2.7277130547836898E-3</v>
      </c>
    </row>
    <row r="11730" spans="1:6" x14ac:dyDescent="0.25">
      <c r="A11730" s="1" t="str">
        <f t="shared" si="430"/>
        <v>22300</v>
      </c>
      <c r="B11730" s="1" t="str">
        <f>"45856"</f>
        <v>45856</v>
      </c>
      <c r="C11730" s="2">
        <v>5.7346025920403698E-5</v>
      </c>
      <c r="D11730" s="2">
        <v>0</v>
      </c>
      <c r="E11730" s="2">
        <v>0</v>
      </c>
      <c r="F11730" s="2">
        <v>5.0985290743620403E-5</v>
      </c>
    </row>
    <row r="11731" spans="1:6" x14ac:dyDescent="0.25">
      <c r="A11731" s="1" t="str">
        <f t="shared" si="430"/>
        <v>22300</v>
      </c>
      <c r="B11731" s="1" t="str">
        <f>"45816"</f>
        <v>45816</v>
      </c>
      <c r="C11731" s="2">
        <v>5.7346025920403695E-4</v>
      </c>
      <c r="D11731" s="2">
        <v>0</v>
      </c>
      <c r="E11731" s="2">
        <v>1.42247510668563E-3</v>
      </c>
      <c r="F11731" s="2">
        <v>5.6083819817982501E-4</v>
      </c>
    </row>
    <row r="11732" spans="1:6" x14ac:dyDescent="0.25">
      <c r="A11732" s="1" t="str">
        <f t="shared" si="430"/>
        <v>22300</v>
      </c>
      <c r="B11732" s="1" t="str">
        <f>"45872"</f>
        <v>45872</v>
      </c>
      <c r="C11732" s="2">
        <v>6.5947929808464196E-4</v>
      </c>
      <c r="D11732" s="2">
        <v>3.3955857385398902E-4</v>
      </c>
      <c r="E11732" s="2">
        <v>0</v>
      </c>
      <c r="F11732" s="2">
        <v>6.1182348892344497E-4</v>
      </c>
    </row>
    <row r="11733" spans="1:6" x14ac:dyDescent="0.25">
      <c r="A11733" s="1" t="str">
        <f t="shared" si="430"/>
        <v>22300</v>
      </c>
      <c r="B11733" s="1" t="str">
        <f>"45868"</f>
        <v>45868</v>
      </c>
      <c r="C11733" s="2">
        <v>6.8528500974882403E-3</v>
      </c>
      <c r="D11733" s="2">
        <v>1.0186757215619601E-3</v>
      </c>
      <c r="E11733" s="2">
        <v>2.1337126600284402E-3</v>
      </c>
      <c r="F11733" s="2">
        <v>6.2456981160935003E-3</v>
      </c>
    </row>
    <row r="11734" spans="1:6" x14ac:dyDescent="0.25">
      <c r="A11734" s="1" t="str">
        <f t="shared" si="430"/>
        <v>22300</v>
      </c>
      <c r="B11734" s="1" t="str">
        <f>"43316"</f>
        <v>43316</v>
      </c>
      <c r="C11734" s="2">
        <v>7.7417134992544998E-4</v>
      </c>
      <c r="D11734" s="2">
        <v>0</v>
      </c>
      <c r="E11734" s="2">
        <v>0</v>
      </c>
      <c r="F11734" s="2">
        <v>6.8830142503887605E-4</v>
      </c>
    </row>
    <row r="11735" spans="1:6" x14ac:dyDescent="0.25">
      <c r="A11735" s="1" t="str">
        <f t="shared" si="430"/>
        <v>22300</v>
      </c>
      <c r="B11735" s="1" t="str">
        <f>"44802"</f>
        <v>44802</v>
      </c>
      <c r="C11735" s="2">
        <v>5.3045073976373397E-3</v>
      </c>
      <c r="D11735" s="2">
        <v>1.35823429541595E-3</v>
      </c>
      <c r="E11735" s="2">
        <v>0</v>
      </c>
      <c r="F11735" s="2">
        <v>4.8181099752721297E-3</v>
      </c>
    </row>
    <row r="11736" spans="1:6" x14ac:dyDescent="0.25">
      <c r="A11736" s="1" t="str">
        <f t="shared" si="430"/>
        <v>22300</v>
      </c>
      <c r="B11736" s="1" t="str">
        <f>"45841"</f>
        <v>45841</v>
      </c>
      <c r="C11736" s="2">
        <v>1.1612570248881701E-2</v>
      </c>
      <c r="D11736" s="2">
        <v>1.0186757215619601E-3</v>
      </c>
      <c r="E11736" s="2">
        <v>0</v>
      </c>
      <c r="F11736" s="2">
        <v>1.04009993116985E-2</v>
      </c>
    </row>
    <row r="11737" spans="1:6" x14ac:dyDescent="0.25">
      <c r="A11737" s="1" t="str">
        <f t="shared" si="430"/>
        <v>22300</v>
      </c>
      <c r="B11737" s="1" t="str">
        <f>"45814"</f>
        <v>45814</v>
      </c>
      <c r="C11737" s="2">
        <v>2.8099552700997801E-2</v>
      </c>
      <c r="D11737" s="2">
        <v>3.73514431239388E-3</v>
      </c>
      <c r="E11737" s="2">
        <v>6.4011379800853396E-3</v>
      </c>
      <c r="F11737" s="2">
        <v>2.5492645371810198E-2</v>
      </c>
    </row>
    <row r="11738" spans="1:6" x14ac:dyDescent="0.25">
      <c r="A11738" s="1" t="str">
        <f t="shared" si="430"/>
        <v>22300</v>
      </c>
      <c r="B11738" s="1" t="str">
        <f>"45889"</f>
        <v>45889</v>
      </c>
      <c r="C11738" s="2">
        <v>1.5426080972588499E-2</v>
      </c>
      <c r="D11738" s="2">
        <v>5.0933786078098398E-3</v>
      </c>
      <c r="E11738" s="2">
        <v>7.1123755334281599E-4</v>
      </c>
      <c r="F11738" s="2">
        <v>1.41229255359828E-2</v>
      </c>
    </row>
    <row r="11739" spans="1:6" x14ac:dyDescent="0.25">
      <c r="A11739" s="1" t="str">
        <f t="shared" si="430"/>
        <v>22300</v>
      </c>
      <c r="B11739" s="1" t="str">
        <f>"45877"</f>
        <v>45877</v>
      </c>
      <c r="C11739" s="2">
        <v>1.14692051840807E-4</v>
      </c>
      <c r="D11739" s="2">
        <v>0</v>
      </c>
      <c r="E11739" s="2">
        <v>0</v>
      </c>
      <c r="F11739" s="2">
        <v>1.0197058148724001E-4</v>
      </c>
    </row>
    <row r="11740" spans="1:6" x14ac:dyDescent="0.25">
      <c r="A11740" s="1" t="str">
        <f t="shared" si="430"/>
        <v>22300</v>
      </c>
      <c r="B11740" s="1" t="str">
        <f>"45867"</f>
        <v>45867</v>
      </c>
      <c r="C11740" s="2">
        <v>1.03222846656726E-2</v>
      </c>
      <c r="D11740" s="2">
        <v>1.0186757215619601E-3</v>
      </c>
      <c r="E11740" s="2">
        <v>7.1123755334281599E-4</v>
      </c>
      <c r="F11740" s="2">
        <v>9.2793229153389205E-3</v>
      </c>
    </row>
    <row r="11741" spans="1:6" x14ac:dyDescent="0.25">
      <c r="A11741" s="1" t="str">
        <f t="shared" si="430"/>
        <v>22300</v>
      </c>
      <c r="B11741" s="1" t="str">
        <f>"45881"</f>
        <v>45881</v>
      </c>
      <c r="C11741" s="2">
        <v>1.4336506480100901E-2</v>
      </c>
      <c r="D11741" s="2">
        <v>2.3769100169779198E-3</v>
      </c>
      <c r="E11741" s="2">
        <v>7.1123755334281599E-4</v>
      </c>
      <c r="F11741" s="2">
        <v>1.29502638488795E-2</v>
      </c>
    </row>
    <row r="11742" spans="1:6" x14ac:dyDescent="0.25">
      <c r="A11742" s="1" t="str">
        <f t="shared" si="430"/>
        <v>22300</v>
      </c>
      <c r="B11742" s="1" t="str">
        <f>"44830"</f>
        <v>44830</v>
      </c>
      <c r="C11742" s="2">
        <v>5.1353366211721499E-2</v>
      </c>
      <c r="D11742" s="2">
        <v>2.9881154499151099E-2</v>
      </c>
      <c r="E11742" s="2">
        <v>1.7069701280227501E-2</v>
      </c>
      <c r="F11742" s="2">
        <v>4.8512504142554799E-2</v>
      </c>
    </row>
    <row r="11743" spans="1:6" x14ac:dyDescent="0.25">
      <c r="A11743" s="1" t="str">
        <f t="shared" si="430"/>
        <v>22300</v>
      </c>
      <c r="B11743" s="1" t="str">
        <f>"44804"</f>
        <v>44804</v>
      </c>
      <c r="C11743" s="2">
        <v>1.35623351301754E-2</v>
      </c>
      <c r="D11743" s="2">
        <v>5.7724957555178201E-3</v>
      </c>
      <c r="E11743" s="2">
        <v>7.1123755334281599E-4</v>
      </c>
      <c r="F11743" s="2">
        <v>1.25168888775588E-2</v>
      </c>
    </row>
    <row r="11744" spans="1:6" x14ac:dyDescent="0.25">
      <c r="A11744" s="1" t="str">
        <f t="shared" si="430"/>
        <v>22300</v>
      </c>
      <c r="B11744" s="1" t="str">
        <f>"45817"</f>
        <v>45817</v>
      </c>
      <c r="C11744" s="2">
        <v>1.46805826356233E-2</v>
      </c>
      <c r="D11744" s="2">
        <v>1.4261460101867501E-2</v>
      </c>
      <c r="E11744" s="2">
        <v>9.9573257467994308E-3</v>
      </c>
      <c r="F11744" s="2">
        <v>1.4479822571188201E-2</v>
      </c>
    </row>
    <row r="11745" spans="1:6" x14ac:dyDescent="0.25">
      <c r="A11745" s="1" t="str">
        <f t="shared" si="430"/>
        <v>22300</v>
      </c>
      <c r="B11745" s="1" t="str">
        <f>"45840"</f>
        <v>45840</v>
      </c>
      <c r="C11745" s="2">
        <v>0.75587796765684101</v>
      </c>
      <c r="D11745" s="2">
        <v>0.81663837011884499</v>
      </c>
      <c r="E11745" s="2">
        <v>0.94594594594594505</v>
      </c>
      <c r="F11745" s="2">
        <v>0.76725214775537198</v>
      </c>
    </row>
    <row r="11746" spans="1:6" x14ac:dyDescent="0.25">
      <c r="A11746" s="1" t="str">
        <f t="shared" si="430"/>
        <v>22300</v>
      </c>
      <c r="B11746" s="1" t="str">
        <f>"45858"</f>
        <v>45858</v>
      </c>
      <c r="C11746" s="2">
        <v>3.1655006308062797E-2</v>
      </c>
      <c r="D11746" s="2">
        <v>3.73514431239388E-3</v>
      </c>
      <c r="E11746" s="2">
        <v>8.5348506401137902E-3</v>
      </c>
      <c r="F11746" s="2">
        <v>2.8730211334030101E-2</v>
      </c>
    </row>
    <row r="11747" spans="1:6" x14ac:dyDescent="0.25">
      <c r="A11747" s="1" t="str">
        <f t="shared" si="430"/>
        <v>22300</v>
      </c>
      <c r="B11747" s="1" t="str">
        <f>"44817"</f>
        <v>44817</v>
      </c>
      <c r="C11747" s="2">
        <v>7.4549833696524795E-4</v>
      </c>
      <c r="D11747" s="2">
        <v>3.3955857385398902E-4</v>
      </c>
      <c r="E11747" s="2">
        <v>0</v>
      </c>
      <c r="F11747" s="2">
        <v>6.8830142503887605E-4</v>
      </c>
    </row>
    <row r="11748" spans="1:6" x14ac:dyDescent="0.25">
      <c r="A11748" s="1" t="str">
        <f t="shared" si="430"/>
        <v>22300</v>
      </c>
      <c r="B11748" s="1" t="str">
        <f>"45839"</f>
        <v>45839</v>
      </c>
      <c r="C11748" s="2">
        <v>2.0873953435026901E-2</v>
      </c>
      <c r="D11748" s="2">
        <v>0.10899830220713</v>
      </c>
      <c r="E11748" s="2">
        <v>1.42247510668563E-3</v>
      </c>
      <c r="F11748" s="2">
        <v>2.67927702857725E-2</v>
      </c>
    </row>
    <row r="11749" spans="1:6" x14ac:dyDescent="0.25">
      <c r="A11749" s="1" t="str">
        <f t="shared" si="430"/>
        <v>22300</v>
      </c>
      <c r="B11749" s="1" t="str">
        <f>"45836"</f>
        <v>45836</v>
      </c>
      <c r="C11749" s="2">
        <v>2.00711090721413E-4</v>
      </c>
      <c r="D11749" s="2">
        <v>0</v>
      </c>
      <c r="E11749" s="2">
        <v>0</v>
      </c>
      <c r="F11749" s="2">
        <v>1.7844851760267101E-4</v>
      </c>
    </row>
    <row r="11750" spans="1:6" x14ac:dyDescent="0.25">
      <c r="A11750" s="1" t="str">
        <f t="shared" si="430"/>
        <v>22300</v>
      </c>
      <c r="B11750" s="1" t="str">
        <f>"45843"</f>
        <v>45843</v>
      </c>
      <c r="C11750" s="2">
        <v>8.1431356806973207E-3</v>
      </c>
      <c r="D11750" s="2">
        <v>2.3769100169779198E-3</v>
      </c>
      <c r="E11750" s="2">
        <v>1.42247510668563E-3</v>
      </c>
      <c r="F11750" s="2">
        <v>7.4693450939403898E-3</v>
      </c>
    </row>
    <row r="11751" spans="1:6" x14ac:dyDescent="0.25">
      <c r="A11751" s="1" t="str">
        <f>"22340"</f>
        <v>22340</v>
      </c>
      <c r="B11751" s="1" t="str">
        <f>"31750"</f>
        <v>31750</v>
      </c>
      <c r="C11751" s="2">
        <v>0.97155721502306103</v>
      </c>
      <c r="D11751" s="2">
        <v>0.99886749716874201</v>
      </c>
      <c r="E11751" s="2">
        <v>1</v>
      </c>
      <c r="F11751" s="2">
        <v>0.974592006254275</v>
      </c>
    </row>
    <row r="11752" spans="1:6" x14ac:dyDescent="0.25">
      <c r="A11752" s="1" t="str">
        <f>"22340"</f>
        <v>22340</v>
      </c>
      <c r="B11752" s="1" t="str">
        <f>"31079"</f>
        <v>31079</v>
      </c>
      <c r="C11752" s="2">
        <v>8.4559631012519204E-3</v>
      </c>
      <c r="D11752" s="2">
        <v>0</v>
      </c>
      <c r="E11752" s="2">
        <v>0</v>
      </c>
      <c r="F11752" s="2">
        <v>7.5246750708492099E-3</v>
      </c>
    </row>
    <row r="11753" spans="1:6" x14ac:dyDescent="0.25">
      <c r="A11753" s="1" t="str">
        <f>"22340"</f>
        <v>22340</v>
      </c>
      <c r="B11753" s="1" t="str">
        <f>"31001"</f>
        <v>31001</v>
      </c>
      <c r="C11753" s="2">
        <v>1.09817702613661E-4</v>
      </c>
      <c r="D11753" s="2">
        <v>0</v>
      </c>
      <c r="E11753" s="2">
        <v>0</v>
      </c>
      <c r="F11753" s="2">
        <v>9.7723052868171605E-5</v>
      </c>
    </row>
    <row r="11754" spans="1:6" x14ac:dyDescent="0.25">
      <c r="A11754" s="1" t="str">
        <f>"22340"</f>
        <v>22340</v>
      </c>
      <c r="B11754" s="1" t="str">
        <f>"31798"</f>
        <v>31798</v>
      </c>
      <c r="C11754" s="2">
        <v>1.1970129584889E-2</v>
      </c>
      <c r="D11754" s="2">
        <v>0</v>
      </c>
      <c r="E11754" s="2">
        <v>0</v>
      </c>
      <c r="F11754" s="2">
        <v>1.06518127626307E-2</v>
      </c>
    </row>
    <row r="11755" spans="1:6" x14ac:dyDescent="0.25">
      <c r="A11755" s="1" t="str">
        <f>"22340"</f>
        <v>22340</v>
      </c>
      <c r="B11755" s="1" t="str">
        <f>"31783"</f>
        <v>31783</v>
      </c>
      <c r="C11755" s="2">
        <v>7.9068745881836107E-3</v>
      </c>
      <c r="D11755" s="2">
        <v>1.13250283125707E-3</v>
      </c>
      <c r="E11755" s="2">
        <v>0</v>
      </c>
      <c r="F11755" s="2">
        <v>7.1337828593765196E-3</v>
      </c>
    </row>
    <row r="11756" spans="1:6" x14ac:dyDescent="0.25">
      <c r="A11756" s="1" t="str">
        <f t="shared" ref="A11756:A11784" si="431">"22380"</f>
        <v>22380</v>
      </c>
      <c r="B11756" s="1" t="str">
        <f>"86005"</f>
        <v>86005</v>
      </c>
      <c r="C11756" s="2">
        <v>0.139689578713968</v>
      </c>
      <c r="D11756" s="2">
        <v>2.1079258010118E-2</v>
      </c>
      <c r="E11756" s="2">
        <v>7.4738003309431797E-2</v>
      </c>
      <c r="F11756" s="2">
        <v>0.127275445314566</v>
      </c>
    </row>
    <row r="11757" spans="1:6" x14ac:dyDescent="0.25">
      <c r="A11757" s="1" t="str">
        <f t="shared" si="431"/>
        <v>22380</v>
      </c>
      <c r="B11757" s="1" t="str">
        <f>"86020"</f>
        <v>86020</v>
      </c>
      <c r="C11757" s="2">
        <v>1.4432096983691699E-4</v>
      </c>
      <c r="D11757" s="2">
        <v>0</v>
      </c>
      <c r="E11757" s="2">
        <v>5.51571980143408E-4</v>
      </c>
      <c r="F11757" s="2">
        <v>1.4949230114649E-4</v>
      </c>
    </row>
    <row r="11758" spans="1:6" x14ac:dyDescent="0.25">
      <c r="A11758" s="1" t="str">
        <f t="shared" si="431"/>
        <v>22380</v>
      </c>
      <c r="B11758" s="1" t="str">
        <f>"86035"</f>
        <v>86035</v>
      </c>
      <c r="C11758" s="2">
        <v>3.9360264500977398E-5</v>
      </c>
      <c r="D11758" s="2">
        <v>0</v>
      </c>
      <c r="E11758" s="2">
        <v>0</v>
      </c>
      <c r="F11758" s="2">
        <v>3.4498223341497898E-5</v>
      </c>
    </row>
    <row r="11759" spans="1:6" x14ac:dyDescent="0.25">
      <c r="A11759" s="1" t="str">
        <f t="shared" si="431"/>
        <v>22380</v>
      </c>
      <c r="B11759" s="1" t="str">
        <f>"86053"</f>
        <v>86053</v>
      </c>
      <c r="C11759" s="2">
        <v>3.9360264500977398E-5</v>
      </c>
      <c r="D11759" s="2">
        <v>0</v>
      </c>
      <c r="E11759" s="2">
        <v>2.75785990071704E-4</v>
      </c>
      <c r="F11759" s="2">
        <v>4.59976311219972E-5</v>
      </c>
    </row>
    <row r="11760" spans="1:6" x14ac:dyDescent="0.25">
      <c r="A11760" s="1" t="str">
        <f t="shared" si="431"/>
        <v>22380</v>
      </c>
      <c r="B11760" s="1" t="str">
        <f>"86045"</f>
        <v>86045</v>
      </c>
      <c r="C11760" s="2">
        <v>1.3382489930332301E-3</v>
      </c>
      <c r="D11760" s="2">
        <v>7.0264193367060095E-4</v>
      </c>
      <c r="E11760" s="2">
        <v>5.51571980143408E-4</v>
      </c>
      <c r="F11760" s="2">
        <v>1.25343544807442E-3</v>
      </c>
    </row>
    <row r="11761" spans="1:6" x14ac:dyDescent="0.25">
      <c r="A11761" s="1" t="str">
        <f t="shared" si="431"/>
        <v>22380</v>
      </c>
      <c r="B11761" s="1" t="str">
        <f>"85931"</f>
        <v>85931</v>
      </c>
      <c r="C11761" s="2">
        <v>1.29495270208215E-2</v>
      </c>
      <c r="D11761" s="2">
        <v>1.4052838673412E-4</v>
      </c>
      <c r="E11761" s="2">
        <v>2.75785990071704E-4</v>
      </c>
      <c r="F11761" s="2">
        <v>1.13729142949138E-2</v>
      </c>
    </row>
    <row r="11762" spans="1:6" x14ac:dyDescent="0.25">
      <c r="A11762" s="1" t="str">
        <f t="shared" si="431"/>
        <v>22380</v>
      </c>
      <c r="B11762" s="1" t="str">
        <f>"86336"</f>
        <v>86336</v>
      </c>
      <c r="C11762" s="2">
        <v>3.0176202784082701E-2</v>
      </c>
      <c r="D11762" s="2">
        <v>6.8999437886453005E-2</v>
      </c>
      <c r="E11762" s="2">
        <v>5.2399338113623802E-2</v>
      </c>
      <c r="F11762" s="2">
        <v>3.4279734593668398E-2</v>
      </c>
    </row>
    <row r="11763" spans="1:6" x14ac:dyDescent="0.25">
      <c r="A11763" s="1" t="str">
        <f t="shared" si="431"/>
        <v>22380</v>
      </c>
      <c r="B11763" s="1" t="str">
        <f>"86040"</f>
        <v>86040</v>
      </c>
      <c r="C11763" s="2">
        <v>0.10510502630577601</v>
      </c>
      <c r="D11763" s="2">
        <v>6.1129848229342303E-2</v>
      </c>
      <c r="E11763" s="2">
        <v>1.2961941533370099E-2</v>
      </c>
      <c r="F11763" s="2">
        <v>9.7664470279780494E-2</v>
      </c>
    </row>
    <row r="11764" spans="1:6" x14ac:dyDescent="0.25">
      <c r="A11764" s="1" t="str">
        <f t="shared" si="431"/>
        <v>22380</v>
      </c>
      <c r="B11764" s="1" t="str">
        <f>"86017"</f>
        <v>86017</v>
      </c>
      <c r="C11764" s="2">
        <v>4.7192957136671897E-2</v>
      </c>
      <c r="D11764" s="2">
        <v>1.4052838673412E-4</v>
      </c>
      <c r="E11764" s="2">
        <v>2.48207391064533E-3</v>
      </c>
      <c r="F11764" s="2">
        <v>4.1478363864260903E-2</v>
      </c>
    </row>
    <row r="11765" spans="1:6" x14ac:dyDescent="0.25">
      <c r="A11765" s="1" t="str">
        <f t="shared" si="431"/>
        <v>22380</v>
      </c>
      <c r="B11765" s="1" t="str">
        <f>"86001"</f>
        <v>86001</v>
      </c>
      <c r="C11765" s="2">
        <v>0.234495335808656</v>
      </c>
      <c r="D11765" s="2">
        <v>0.33937605396289999</v>
      </c>
      <c r="E11765" s="2">
        <v>0.50551571980143395</v>
      </c>
      <c r="F11765" s="2">
        <v>0.25437839951242502</v>
      </c>
    </row>
    <row r="11766" spans="1:6" x14ac:dyDescent="0.25">
      <c r="A11766" s="1" t="str">
        <f t="shared" si="431"/>
        <v>22380</v>
      </c>
      <c r="B11766" s="1" t="str">
        <f>"86052"</f>
        <v>86052</v>
      </c>
      <c r="C11766" s="2">
        <v>7.0323672575079701E-3</v>
      </c>
      <c r="D11766" s="2">
        <v>0</v>
      </c>
      <c r="E11766" s="2">
        <v>2.48207391064533E-3</v>
      </c>
      <c r="F11766" s="2">
        <v>6.2671772403721203E-3</v>
      </c>
    </row>
    <row r="11767" spans="1:6" x14ac:dyDescent="0.25">
      <c r="A11767" s="1" t="str">
        <f t="shared" si="431"/>
        <v>22380</v>
      </c>
      <c r="B11767" s="1" t="str">
        <f>"86339"</f>
        <v>86339</v>
      </c>
      <c r="C11767" s="2">
        <v>3.0176202784082701E-2</v>
      </c>
      <c r="D11767" s="2">
        <v>8.2349634626194407E-2</v>
      </c>
      <c r="E11767" s="2">
        <v>5.51571980143408E-4</v>
      </c>
      <c r="F11767" s="2">
        <v>3.3210289670081897E-2</v>
      </c>
    </row>
    <row r="11768" spans="1:6" x14ac:dyDescent="0.25">
      <c r="A11768" s="1" t="str">
        <f t="shared" si="431"/>
        <v>22380</v>
      </c>
      <c r="B11768" s="1" t="str">
        <f>"86046"</f>
        <v>86046</v>
      </c>
      <c r="C11768" s="2">
        <v>5.4461485981185699E-2</v>
      </c>
      <c r="D11768" s="2">
        <v>4.13153456998313E-2</v>
      </c>
      <c r="E11768" s="2">
        <v>3.6127964699393202E-2</v>
      </c>
      <c r="F11768" s="2">
        <v>5.2621290003564802E-2</v>
      </c>
    </row>
    <row r="11769" spans="1:6" x14ac:dyDescent="0.25">
      <c r="A11769" s="1" t="str">
        <f t="shared" si="431"/>
        <v>22380</v>
      </c>
      <c r="B11769" s="1" t="str">
        <f>"86435"</f>
        <v>86435</v>
      </c>
      <c r="C11769" s="2">
        <v>2.0336136658838299E-3</v>
      </c>
      <c r="D11769" s="2">
        <v>1.4052838673412E-4</v>
      </c>
      <c r="E11769" s="2">
        <v>0</v>
      </c>
      <c r="F11769" s="2">
        <v>1.79390761375789E-3</v>
      </c>
    </row>
    <row r="11770" spans="1:6" x14ac:dyDescent="0.25">
      <c r="A11770" s="1" t="str">
        <f t="shared" si="431"/>
        <v>22380</v>
      </c>
      <c r="B11770" s="1" t="str">
        <f>"86016"</f>
        <v>86016</v>
      </c>
      <c r="C11770" s="2">
        <v>0</v>
      </c>
      <c r="D11770" s="2">
        <v>0</v>
      </c>
      <c r="E11770" s="2">
        <v>2.75785990071704E-4</v>
      </c>
      <c r="F11770" s="2">
        <v>1.14994077804993E-5</v>
      </c>
    </row>
    <row r="11771" spans="1:6" x14ac:dyDescent="0.25">
      <c r="A11771" s="1" t="str">
        <f t="shared" si="431"/>
        <v>22380</v>
      </c>
      <c r="B11771" s="1" t="str">
        <f>"86044"</f>
        <v>86044</v>
      </c>
      <c r="C11771" s="2">
        <v>3.54242380508797E-4</v>
      </c>
      <c r="D11771" s="2">
        <v>9.8369870713884192E-4</v>
      </c>
      <c r="E11771" s="2">
        <v>5.51571980143408E-4</v>
      </c>
      <c r="F11771" s="2">
        <v>4.1397868009797399E-4</v>
      </c>
    </row>
    <row r="11772" spans="1:6" x14ac:dyDescent="0.25">
      <c r="A11772" s="1" t="str">
        <f t="shared" si="431"/>
        <v>22380</v>
      </c>
      <c r="B11772" s="1" t="str">
        <f>"86015"</f>
        <v>86015</v>
      </c>
      <c r="C11772" s="2">
        <v>6.3632427609913497E-3</v>
      </c>
      <c r="D11772" s="2">
        <v>0</v>
      </c>
      <c r="E11772" s="2">
        <v>2.75785990071704E-4</v>
      </c>
      <c r="F11772" s="2">
        <v>5.58871218132266E-3</v>
      </c>
    </row>
    <row r="11773" spans="1:6" x14ac:dyDescent="0.25">
      <c r="A11773" s="1" t="str">
        <f t="shared" si="431"/>
        <v>22380</v>
      </c>
      <c r="B11773" s="1" t="str">
        <f>"86038"</f>
        <v>86038</v>
      </c>
      <c r="C11773" s="2">
        <v>8.7773389837179708E-3</v>
      </c>
      <c r="D11773" s="2">
        <v>1.4052838673412E-3</v>
      </c>
      <c r="E11773" s="2">
        <v>2.7578599007170401E-3</v>
      </c>
      <c r="F11773" s="2">
        <v>7.9230919607640206E-3</v>
      </c>
    </row>
    <row r="11774" spans="1:6" x14ac:dyDescent="0.25">
      <c r="A11774" s="1" t="str">
        <f t="shared" si="431"/>
        <v>22380</v>
      </c>
      <c r="B11774" s="1" t="str">
        <f>"86018"</f>
        <v>86018</v>
      </c>
      <c r="C11774" s="2">
        <v>1.01811884175861E-2</v>
      </c>
      <c r="D11774" s="2">
        <v>0</v>
      </c>
      <c r="E11774" s="2">
        <v>2.75785990071704E-4</v>
      </c>
      <c r="F11774" s="2">
        <v>8.93503984544795E-3</v>
      </c>
    </row>
    <row r="11775" spans="1:6" x14ac:dyDescent="0.25">
      <c r="A11775" s="1" t="str">
        <f t="shared" si="431"/>
        <v>22380</v>
      </c>
      <c r="B11775" s="1" t="str">
        <f>"86003"</f>
        <v>86003</v>
      </c>
      <c r="C11775" s="2">
        <v>2.2881433763234801E-2</v>
      </c>
      <c r="D11775" s="2">
        <v>7.6587970770095506E-2</v>
      </c>
      <c r="E11775" s="2">
        <v>5.51571980143408E-4</v>
      </c>
      <c r="F11775" s="2">
        <v>2.63451432251239E-2</v>
      </c>
    </row>
    <row r="11776" spans="1:6" x14ac:dyDescent="0.25">
      <c r="A11776" s="1" t="str">
        <f t="shared" si="431"/>
        <v>22380</v>
      </c>
      <c r="B11776" s="1" t="str">
        <f>"86024"</f>
        <v>86024</v>
      </c>
      <c r="C11776" s="2">
        <v>1.5967147299229802E-2</v>
      </c>
      <c r="D11776" s="2">
        <v>4.0753232152894803E-3</v>
      </c>
      <c r="E11776" s="2">
        <v>2.75785990071704E-4</v>
      </c>
      <c r="F11776" s="2">
        <v>1.43397615022826E-2</v>
      </c>
    </row>
    <row r="11777" spans="1:6" x14ac:dyDescent="0.25">
      <c r="A11777" s="1" t="str">
        <f t="shared" si="431"/>
        <v>22380</v>
      </c>
      <c r="B11777" s="1" t="str">
        <f>"86004"</f>
        <v>86004</v>
      </c>
      <c r="C11777" s="2">
        <v>0.21575984990619099</v>
      </c>
      <c r="D11777" s="2">
        <v>0.22119168071950501</v>
      </c>
      <c r="E11777" s="2">
        <v>0.30308880308880298</v>
      </c>
      <c r="F11777" s="2">
        <v>0.219845677947585</v>
      </c>
    </row>
    <row r="11778" spans="1:6" x14ac:dyDescent="0.25">
      <c r="A11778" s="1" t="str">
        <f t="shared" si="431"/>
        <v>22380</v>
      </c>
      <c r="B11778" s="1" t="str">
        <f>"86023"</f>
        <v>86023</v>
      </c>
      <c r="C11778" s="2">
        <v>2.2041748120547301E-2</v>
      </c>
      <c r="D11778" s="2">
        <v>4.2158516020235999E-4</v>
      </c>
      <c r="E11778" s="2">
        <v>1.3789299503585201E-3</v>
      </c>
      <c r="F11778" s="2">
        <v>1.9411000333482802E-2</v>
      </c>
    </row>
    <row r="11779" spans="1:6" x14ac:dyDescent="0.25">
      <c r="A11779" s="1" t="str">
        <f t="shared" si="431"/>
        <v>22380</v>
      </c>
      <c r="B11779" s="1" t="str">
        <f>"86022"</f>
        <v>86022</v>
      </c>
      <c r="C11779" s="2">
        <v>9.6957451554074408E-3</v>
      </c>
      <c r="D11779" s="2">
        <v>1.54581225407532E-3</v>
      </c>
      <c r="E11779" s="2">
        <v>2.75785990071704E-4</v>
      </c>
      <c r="F11779" s="2">
        <v>8.6360552431549702E-3</v>
      </c>
    </row>
    <row r="11780" spans="1:6" x14ac:dyDescent="0.25">
      <c r="A11780" s="1" t="str">
        <f t="shared" si="431"/>
        <v>22380</v>
      </c>
      <c r="B11780" s="1" t="str">
        <f>"86002"</f>
        <v>86002</v>
      </c>
      <c r="C11780" s="2">
        <v>2.2028628032380301E-2</v>
      </c>
      <c r="D11780" s="2">
        <v>7.7290612703766096E-2</v>
      </c>
      <c r="E11780" s="2">
        <v>5.51571980143408E-4</v>
      </c>
      <c r="F11780" s="2">
        <v>2.5655178758293901E-2</v>
      </c>
    </row>
    <row r="11781" spans="1:6" x14ac:dyDescent="0.25">
      <c r="A11781" s="1" t="str">
        <f t="shared" si="431"/>
        <v>22380</v>
      </c>
      <c r="B11781" s="1" t="str">
        <f>"86011"</f>
        <v>86011</v>
      </c>
      <c r="C11781" s="2">
        <v>0</v>
      </c>
      <c r="D11781" s="2">
        <v>7.0264193367060095E-4</v>
      </c>
      <c r="E11781" s="2">
        <v>0</v>
      </c>
      <c r="F11781" s="2">
        <v>5.7497038902496501E-5</v>
      </c>
    </row>
    <row r="11782" spans="1:6" x14ac:dyDescent="0.25">
      <c r="A11782" s="1" t="str">
        <f t="shared" si="431"/>
        <v>22380</v>
      </c>
      <c r="B11782" s="1" t="str">
        <f>"86036"</f>
        <v>86036</v>
      </c>
      <c r="C11782" s="2">
        <v>6.8224458468360896E-4</v>
      </c>
      <c r="D11782" s="2">
        <v>4.2158516020235999E-4</v>
      </c>
      <c r="E11782" s="2">
        <v>2.75785990071704E-4</v>
      </c>
      <c r="F11782" s="2">
        <v>6.43966835707961E-4</v>
      </c>
    </row>
    <row r="11783" spans="1:6" x14ac:dyDescent="0.25">
      <c r="A11783" s="1" t="str">
        <f t="shared" si="431"/>
        <v>22380</v>
      </c>
      <c r="B11783" s="1" t="str">
        <f>"86047"</f>
        <v>86047</v>
      </c>
      <c r="C11783" s="2">
        <v>3.2800220417481202E-4</v>
      </c>
      <c r="D11783" s="2">
        <v>0</v>
      </c>
      <c r="E11783" s="2">
        <v>5.51571980143408E-4</v>
      </c>
      <c r="F11783" s="2">
        <v>3.1048401007348098E-4</v>
      </c>
    </row>
    <row r="11784" spans="1:6" x14ac:dyDescent="0.25">
      <c r="A11784" s="1" t="str">
        <f t="shared" si="431"/>
        <v>22380</v>
      </c>
      <c r="B11784" s="1" t="str">
        <f>"85928"</f>
        <v>85928</v>
      </c>
      <c r="C11784" s="2">
        <v>6.5600440834962402E-5</v>
      </c>
      <c r="D11784" s="2">
        <v>0</v>
      </c>
      <c r="E11784" s="2">
        <v>0</v>
      </c>
      <c r="F11784" s="2">
        <v>5.7497038902496501E-5</v>
      </c>
    </row>
    <row r="11785" spans="1:6" x14ac:dyDescent="0.25">
      <c r="A11785" s="1" t="str">
        <f t="shared" ref="A11785:A11823" si="432">"22420"</f>
        <v>22420</v>
      </c>
      <c r="B11785" s="1" t="str">
        <f>"48503"</f>
        <v>48503</v>
      </c>
      <c r="C11785" s="2">
        <v>6.20298527246647E-2</v>
      </c>
      <c r="D11785" s="2">
        <v>5.9190031152647898E-2</v>
      </c>
      <c r="E11785" s="2">
        <v>0.11663974151857801</v>
      </c>
      <c r="F11785" s="2">
        <v>6.3293748792062995E-2</v>
      </c>
    </row>
    <row r="11786" spans="1:6" x14ac:dyDescent="0.25">
      <c r="A11786" s="1" t="str">
        <f t="shared" si="432"/>
        <v>22420</v>
      </c>
      <c r="B11786" s="1" t="str">
        <f>"48480"</f>
        <v>48480</v>
      </c>
      <c r="C11786" s="2">
        <v>3.4653020067507102E-3</v>
      </c>
      <c r="D11786" s="2">
        <v>2.3299584631360299E-2</v>
      </c>
      <c r="E11786" s="2">
        <v>3.2310177705977298E-4</v>
      </c>
      <c r="F11786" s="2">
        <v>4.6943114222518E-3</v>
      </c>
    </row>
    <row r="11787" spans="1:6" x14ac:dyDescent="0.25">
      <c r="A11787" s="1" t="str">
        <f t="shared" si="432"/>
        <v>22420</v>
      </c>
      <c r="B11787" s="1" t="str">
        <f>"48509"</f>
        <v>48509</v>
      </c>
      <c r="C11787" s="2">
        <v>2.0545643045489101E-2</v>
      </c>
      <c r="D11787" s="2">
        <v>3.39434060228452E-2</v>
      </c>
      <c r="E11787" s="2">
        <v>1.40549273021001E-2</v>
      </c>
      <c r="F11787" s="2">
        <v>2.1259690338651799E-2</v>
      </c>
    </row>
    <row r="11788" spans="1:6" x14ac:dyDescent="0.25">
      <c r="A11788" s="1" t="str">
        <f t="shared" si="432"/>
        <v>22420</v>
      </c>
      <c r="B11788" s="1" t="str">
        <f>"48532"</f>
        <v>48532</v>
      </c>
      <c r="C11788" s="2">
        <v>4.80550282384241E-2</v>
      </c>
      <c r="D11788" s="2">
        <v>8.29439252336448E-2</v>
      </c>
      <c r="E11788" s="2">
        <v>8.7722132471728498E-2</v>
      </c>
      <c r="F11788" s="2">
        <v>5.14183864109777E-2</v>
      </c>
    </row>
    <row r="11789" spans="1:6" x14ac:dyDescent="0.25">
      <c r="A11789" s="1" t="str">
        <f t="shared" si="432"/>
        <v>22420</v>
      </c>
      <c r="B11789" s="1" t="str">
        <f>"48423"</f>
        <v>48423</v>
      </c>
      <c r="C11789" s="2">
        <v>7.8187060032096606E-2</v>
      </c>
      <c r="D11789" s="2">
        <v>4.1407061266874302E-2</v>
      </c>
      <c r="E11789" s="2">
        <v>7.5928917609046798E-2</v>
      </c>
      <c r="F11789" s="2">
        <v>7.5693087379474694E-2</v>
      </c>
    </row>
    <row r="11790" spans="1:6" x14ac:dyDescent="0.25">
      <c r="A11790" s="1" t="str">
        <f t="shared" si="432"/>
        <v>22420</v>
      </c>
      <c r="B11790" s="1" t="str">
        <f>"48421"</f>
        <v>48421</v>
      </c>
      <c r="C11790" s="2">
        <v>5.4914621964901895E-4</v>
      </c>
      <c r="D11790" s="2">
        <v>0</v>
      </c>
      <c r="E11790" s="2">
        <v>0</v>
      </c>
      <c r="F11790" s="2">
        <v>4.9820688470375997E-4</v>
      </c>
    </row>
    <row r="11791" spans="1:6" x14ac:dyDescent="0.25">
      <c r="A11791" s="1" t="str">
        <f t="shared" si="432"/>
        <v>22420</v>
      </c>
      <c r="B11791" s="1" t="str">
        <f>"48473"</f>
        <v>48473</v>
      </c>
      <c r="C11791" s="2">
        <v>4.8386409577867502E-2</v>
      </c>
      <c r="D11791" s="2">
        <v>3.06983385254413E-2</v>
      </c>
      <c r="E11791" s="2">
        <v>3.7964458804523399E-2</v>
      </c>
      <c r="F11791" s="2">
        <v>4.6938819335580903E-2</v>
      </c>
    </row>
    <row r="11792" spans="1:6" x14ac:dyDescent="0.25">
      <c r="A11792" s="1" t="str">
        <f t="shared" si="432"/>
        <v>22420</v>
      </c>
      <c r="B11792" s="1" t="str">
        <f>"48439"</f>
        <v>48439</v>
      </c>
      <c r="C11792" s="2">
        <v>0.109957062446446</v>
      </c>
      <c r="D11792" s="2">
        <v>7.6973001038421501E-2</v>
      </c>
      <c r="E11792" s="2">
        <v>0.15864297253634799</v>
      </c>
      <c r="F11792" s="2">
        <v>0.109068653767689</v>
      </c>
    </row>
    <row r="11793" spans="1:6" x14ac:dyDescent="0.25">
      <c r="A11793" s="1" t="str">
        <f t="shared" si="432"/>
        <v>22420</v>
      </c>
      <c r="B11793" s="1" t="str">
        <f>"48507"</f>
        <v>48507</v>
      </c>
      <c r="C11793" s="2">
        <v>7.7978763190160796E-2</v>
      </c>
      <c r="D11793" s="2">
        <v>0.136292834890965</v>
      </c>
      <c r="E11793" s="2">
        <v>0.11421647819062999</v>
      </c>
      <c r="F11793" s="2">
        <v>8.2801125260377501E-2</v>
      </c>
    </row>
    <row r="11794" spans="1:6" x14ac:dyDescent="0.25">
      <c r="A11794" s="1" t="str">
        <f t="shared" si="432"/>
        <v>22420</v>
      </c>
      <c r="B11794" s="1" t="str">
        <f>"48519"</f>
        <v>48519</v>
      </c>
      <c r="C11794" s="2">
        <v>1.7894592329942099E-2</v>
      </c>
      <c r="D11794" s="2">
        <v>1.00597092419522E-2</v>
      </c>
      <c r="E11794" s="2">
        <v>9.0468497576736608E-3</v>
      </c>
      <c r="F11794" s="2">
        <v>1.7140893765971599E-2</v>
      </c>
    </row>
    <row r="11795" spans="1:6" x14ac:dyDescent="0.25">
      <c r="A11795" s="1" t="str">
        <f t="shared" si="432"/>
        <v>22420</v>
      </c>
      <c r="B11795" s="1" t="str">
        <f>"48464"</f>
        <v>48464</v>
      </c>
      <c r="C11795" s="2">
        <v>3.0771124376884702E-4</v>
      </c>
      <c r="D11795" s="2">
        <v>3.2450674974039402E-4</v>
      </c>
      <c r="E11795" s="2">
        <v>0</v>
      </c>
      <c r="F11795" s="2">
        <v>3.0064208559709598E-4</v>
      </c>
    </row>
    <row r="11796" spans="1:6" x14ac:dyDescent="0.25">
      <c r="A11796" s="1" t="str">
        <f t="shared" si="432"/>
        <v>22420</v>
      </c>
      <c r="B11796" s="1" t="str">
        <f>"48457"</f>
        <v>48457</v>
      </c>
      <c r="C11796" s="2">
        <v>1.37854637208443E-2</v>
      </c>
      <c r="D11796" s="2">
        <v>6.2305295950155701E-3</v>
      </c>
      <c r="E11796" s="2">
        <v>8.4006462035541105E-3</v>
      </c>
      <c r="F11796" s="2">
        <v>1.3142354027530201E-2</v>
      </c>
    </row>
    <row r="11797" spans="1:6" x14ac:dyDescent="0.25">
      <c r="A11797" s="1" t="str">
        <f t="shared" si="432"/>
        <v>22420</v>
      </c>
      <c r="B11797" s="1" t="str">
        <f>"48449"</f>
        <v>48449</v>
      </c>
      <c r="C11797" s="2">
        <v>4.3174254510336702E-3</v>
      </c>
      <c r="D11797" s="2">
        <v>1.5576323987538899E-3</v>
      </c>
      <c r="E11797" s="2">
        <v>1.4539579967689799E-3</v>
      </c>
      <c r="F11797" s="2">
        <v>4.0586681555608E-3</v>
      </c>
    </row>
    <row r="11798" spans="1:6" x14ac:dyDescent="0.25">
      <c r="A11798" s="1" t="str">
        <f t="shared" si="432"/>
        <v>22420</v>
      </c>
      <c r="B11798" s="1" t="str">
        <f>"48411"</f>
        <v>48411</v>
      </c>
      <c r="C11798" s="2">
        <v>3.8818956906223803E-4</v>
      </c>
      <c r="D11798" s="2">
        <v>6.4901349948078905E-5</v>
      </c>
      <c r="E11798" s="2">
        <v>4.8465266558966001E-4</v>
      </c>
      <c r="F11798" s="2">
        <v>3.6936027659071799E-4</v>
      </c>
    </row>
    <row r="11799" spans="1:6" x14ac:dyDescent="0.25">
      <c r="A11799" s="1" t="str">
        <f t="shared" si="432"/>
        <v>22420</v>
      </c>
      <c r="B11799" s="1" t="str">
        <f>"48550"</f>
        <v>48550</v>
      </c>
      <c r="C11799" s="2">
        <v>0</v>
      </c>
      <c r="D11799" s="2">
        <v>0</v>
      </c>
      <c r="E11799" s="2">
        <v>1.61550888529886E-4</v>
      </c>
      <c r="F11799" s="2">
        <v>4.2948869371013802E-6</v>
      </c>
    </row>
    <row r="11800" spans="1:6" x14ac:dyDescent="0.25">
      <c r="A11800" s="1" t="str">
        <f t="shared" si="432"/>
        <v>22420</v>
      </c>
      <c r="B11800" s="1" t="str">
        <f>"48415"</f>
        <v>48415</v>
      </c>
      <c r="C11800" s="2">
        <v>3.2664732030846801E-4</v>
      </c>
      <c r="D11800" s="2">
        <v>0</v>
      </c>
      <c r="E11800" s="2">
        <v>0</v>
      </c>
      <c r="F11800" s="2">
        <v>2.96347198659995E-4</v>
      </c>
    </row>
    <row r="11801" spans="1:6" x14ac:dyDescent="0.25">
      <c r="A11801" s="1" t="str">
        <f t="shared" si="432"/>
        <v>22420</v>
      </c>
      <c r="B11801" s="1" t="str">
        <f>"48418"</f>
        <v>48418</v>
      </c>
      <c r="C11801" s="2">
        <v>2.7078589451658502E-3</v>
      </c>
      <c r="D11801" s="2">
        <v>5.1921079958463102E-4</v>
      </c>
      <c r="E11801" s="2">
        <v>3.2310177705977298E-4</v>
      </c>
      <c r="F11801" s="2">
        <v>2.4996241973930002E-3</v>
      </c>
    </row>
    <row r="11802" spans="1:6" x14ac:dyDescent="0.25">
      <c r="A11802" s="1" t="str">
        <f t="shared" si="432"/>
        <v>22420</v>
      </c>
      <c r="B11802" s="1" t="str">
        <f>"48531"</f>
        <v>48531</v>
      </c>
      <c r="C11802" s="2">
        <v>3.6309926764723898E-3</v>
      </c>
      <c r="D11802" s="2">
        <v>6.8146417445482804E-3</v>
      </c>
      <c r="E11802" s="2">
        <v>3.2310177705977298E-4</v>
      </c>
      <c r="F11802" s="2">
        <v>3.7537311830266001E-3</v>
      </c>
    </row>
    <row r="11803" spans="1:6" x14ac:dyDescent="0.25">
      <c r="A11803" s="1" t="str">
        <f t="shared" si="432"/>
        <v>22420</v>
      </c>
      <c r="B11803" s="1" t="str">
        <f>"48429"</f>
        <v>48429</v>
      </c>
      <c r="C11803" s="2">
        <v>6.4382660234712597E-4</v>
      </c>
      <c r="D11803" s="2">
        <v>1.29802699896157E-4</v>
      </c>
      <c r="E11803" s="2">
        <v>0</v>
      </c>
      <c r="F11803" s="2">
        <v>5.9269439731999001E-4</v>
      </c>
    </row>
    <row r="11804" spans="1:6" x14ac:dyDescent="0.25">
      <c r="A11804" s="1" t="str">
        <f t="shared" si="432"/>
        <v>22420</v>
      </c>
      <c r="B11804" s="1" t="str">
        <f>"48746"</f>
        <v>48746</v>
      </c>
      <c r="C11804" s="2">
        <v>1.66164071635177E-3</v>
      </c>
      <c r="D11804" s="2">
        <v>0</v>
      </c>
      <c r="E11804" s="2">
        <v>0</v>
      </c>
      <c r="F11804" s="2">
        <v>1.5075053149225799E-3</v>
      </c>
    </row>
    <row r="11805" spans="1:6" x14ac:dyDescent="0.25">
      <c r="A11805" s="1" t="str">
        <f t="shared" si="432"/>
        <v>22420</v>
      </c>
      <c r="B11805" s="1" t="str">
        <f>"48442"</f>
        <v>48442</v>
      </c>
      <c r="C11805" s="2">
        <v>2.4332858353413398E-3</v>
      </c>
      <c r="D11805" s="2">
        <v>3.1801661474558599E-3</v>
      </c>
      <c r="E11805" s="2">
        <v>3.2310177705977298E-4</v>
      </c>
      <c r="F11805" s="2">
        <v>2.4266111194622799E-3</v>
      </c>
    </row>
    <row r="11806" spans="1:6" x14ac:dyDescent="0.25">
      <c r="A11806" s="1" t="str">
        <f t="shared" si="432"/>
        <v>22420</v>
      </c>
      <c r="B11806" s="1" t="str">
        <f>"48505"</f>
        <v>48505</v>
      </c>
      <c r="C11806" s="2">
        <v>6.3947130474301297E-2</v>
      </c>
      <c r="D11806" s="2">
        <v>4.8740913811007203E-2</v>
      </c>
      <c r="E11806" s="2">
        <v>2.73021001615508E-2</v>
      </c>
      <c r="F11806" s="2">
        <v>6.1966628728498702E-2</v>
      </c>
    </row>
    <row r="11807" spans="1:6" x14ac:dyDescent="0.25">
      <c r="A11807" s="1" t="str">
        <f t="shared" si="432"/>
        <v>22420</v>
      </c>
      <c r="B11807" s="1" t="str">
        <f>"48458"</f>
        <v>48458</v>
      </c>
      <c r="C11807" s="2">
        <v>5.0611398571273003E-2</v>
      </c>
      <c r="D11807" s="2">
        <v>2.7193665628245E-2</v>
      </c>
      <c r="E11807" s="2">
        <v>4.1033925686591199E-2</v>
      </c>
      <c r="F11807" s="2">
        <v>4.8807095153220001E-2</v>
      </c>
    </row>
    <row r="11808" spans="1:6" x14ac:dyDescent="0.25">
      <c r="A11808" s="1" t="str">
        <f t="shared" si="432"/>
        <v>22420</v>
      </c>
      <c r="B11808" s="1" t="str">
        <f>"48504"</f>
        <v>48504</v>
      </c>
      <c r="C11808" s="2">
        <v>7.5436594914716604E-2</v>
      </c>
      <c r="D11808" s="2">
        <v>7.3598130841121406E-2</v>
      </c>
      <c r="E11808" s="2">
        <v>3.9256865912762499E-2</v>
      </c>
      <c r="F11808" s="2">
        <v>7.4353082655099101E-2</v>
      </c>
    </row>
    <row r="11809" spans="1:6" x14ac:dyDescent="0.25">
      <c r="A11809" s="1" t="str">
        <f t="shared" si="432"/>
        <v>22420</v>
      </c>
      <c r="B11809" s="1" t="str">
        <f>"48501"</f>
        <v>48501</v>
      </c>
      <c r="C11809" s="2">
        <v>7.8348016682683406E-3</v>
      </c>
      <c r="D11809" s="2">
        <v>2.0379023883696699E-2</v>
      </c>
      <c r="E11809" s="2">
        <v>1.61550888529886E-4</v>
      </c>
      <c r="F11809" s="2">
        <v>8.4609272660897197E-3</v>
      </c>
    </row>
    <row r="11810" spans="1:6" x14ac:dyDescent="0.25">
      <c r="A11810" s="1" t="str">
        <f t="shared" si="432"/>
        <v>22420</v>
      </c>
      <c r="B11810" s="1" t="str">
        <f>"48462"</f>
        <v>48462</v>
      </c>
      <c r="C11810" s="2">
        <v>2.1303086107074E-4</v>
      </c>
      <c r="D11810" s="2">
        <v>0</v>
      </c>
      <c r="E11810" s="2">
        <v>0</v>
      </c>
      <c r="F11810" s="2">
        <v>1.9326991216956201E-4</v>
      </c>
    </row>
    <row r="11811" spans="1:6" x14ac:dyDescent="0.25">
      <c r="A11811" s="1" t="str">
        <f t="shared" si="432"/>
        <v>22420</v>
      </c>
      <c r="B11811" s="1" t="str">
        <f>"48438"</f>
        <v>48438</v>
      </c>
      <c r="C11811" s="2">
        <v>1.0599468843053E-2</v>
      </c>
      <c r="D11811" s="2">
        <v>6.4252336448598103E-3</v>
      </c>
      <c r="E11811" s="2">
        <v>1.06623586429725E-2</v>
      </c>
      <c r="F11811" s="2">
        <v>1.03249081967917E-2</v>
      </c>
    </row>
    <row r="11812" spans="1:6" x14ac:dyDescent="0.25">
      <c r="A11812" s="1" t="str">
        <f t="shared" si="432"/>
        <v>22420</v>
      </c>
      <c r="B11812" s="1" t="str">
        <f>"48436"</f>
        <v>48436</v>
      </c>
      <c r="C11812" s="2">
        <v>6.1778949710514699E-3</v>
      </c>
      <c r="D11812" s="2">
        <v>9.2808930425752802E-3</v>
      </c>
      <c r="E11812" s="2">
        <v>1.29240710823909E-3</v>
      </c>
      <c r="F11812" s="2">
        <v>6.2533553804196102E-3</v>
      </c>
    </row>
    <row r="11813" spans="1:6" x14ac:dyDescent="0.25">
      <c r="A11813" s="1" t="str">
        <f t="shared" si="432"/>
        <v>22420</v>
      </c>
      <c r="B11813" s="1" t="str">
        <f>"48437"</f>
        <v>48437</v>
      </c>
      <c r="C11813" s="2">
        <v>1.6995128694310101E-3</v>
      </c>
      <c r="D11813" s="2">
        <v>5.1921079958463102E-4</v>
      </c>
      <c r="E11813" s="2">
        <v>3.7156704361873899E-3</v>
      </c>
      <c r="F11813" s="2">
        <v>1.6750059054695299E-3</v>
      </c>
    </row>
    <row r="11814" spans="1:6" x14ac:dyDescent="0.25">
      <c r="A11814" s="1" t="str">
        <f t="shared" si="432"/>
        <v>22420</v>
      </c>
      <c r="B11814" s="1" t="str">
        <f>"48502"</f>
        <v>48502</v>
      </c>
      <c r="C11814" s="2">
        <v>2.2060529168658801E-3</v>
      </c>
      <c r="D11814" s="2">
        <v>4.35488058151609E-2</v>
      </c>
      <c r="E11814" s="2">
        <v>2.3747980613893299E-2</v>
      </c>
      <c r="F11814" s="2">
        <v>5.5146348272381704E-3</v>
      </c>
    </row>
    <row r="11815" spans="1:6" x14ac:dyDescent="0.25">
      <c r="A11815" s="1" t="str">
        <f t="shared" si="432"/>
        <v>22420</v>
      </c>
      <c r="B11815" s="1" t="str">
        <f>"48420"</f>
        <v>48420</v>
      </c>
      <c r="C11815" s="2">
        <v>4.5101000298243203E-2</v>
      </c>
      <c r="D11815" s="2">
        <v>3.5695742471443401E-2</v>
      </c>
      <c r="E11815" s="2">
        <v>3.7964458804523399E-2</v>
      </c>
      <c r="F11815" s="2">
        <v>4.4288874095389397E-2</v>
      </c>
    </row>
    <row r="11816" spans="1:6" x14ac:dyDescent="0.25">
      <c r="A11816" s="1" t="str">
        <f t="shared" si="432"/>
        <v>22420</v>
      </c>
      <c r="B11816" s="1" t="str">
        <f>"48433"</f>
        <v>48433</v>
      </c>
      <c r="C11816" s="2">
        <v>5.4535900434109497E-2</v>
      </c>
      <c r="D11816" s="2">
        <v>3.2515576323987501E-2</v>
      </c>
      <c r="E11816" s="2">
        <v>2.6655896607431302E-2</v>
      </c>
      <c r="F11816" s="2">
        <v>5.2337492215517402E-2</v>
      </c>
    </row>
    <row r="11817" spans="1:6" x14ac:dyDescent="0.25">
      <c r="A11817" s="1" t="str">
        <f t="shared" si="432"/>
        <v>22420</v>
      </c>
      <c r="B11817" s="1" t="str">
        <f>"48529"</f>
        <v>48529</v>
      </c>
      <c r="C11817" s="2">
        <v>2.3504405004804999E-2</v>
      </c>
      <c r="D11817" s="2">
        <v>3.3164589823468302E-2</v>
      </c>
      <c r="E11817" s="2">
        <v>1.45395799676898E-2</v>
      </c>
      <c r="F11817" s="2">
        <v>2.39053406919062E-2</v>
      </c>
    </row>
    <row r="11818" spans="1:6" x14ac:dyDescent="0.25">
      <c r="A11818" s="1" t="str">
        <f t="shared" si="432"/>
        <v>22420</v>
      </c>
      <c r="B11818" s="1" t="str">
        <f>"48460"</f>
        <v>48460</v>
      </c>
      <c r="C11818" s="2">
        <v>6.6276267888674799E-5</v>
      </c>
      <c r="D11818" s="2">
        <v>0</v>
      </c>
      <c r="E11818" s="2">
        <v>0</v>
      </c>
      <c r="F11818" s="2">
        <v>6.0128417119419298E-5</v>
      </c>
    </row>
    <row r="11819" spans="1:6" x14ac:dyDescent="0.25">
      <c r="A11819" s="1" t="str">
        <f t="shared" si="432"/>
        <v>22420</v>
      </c>
      <c r="B11819" s="1" t="str">
        <f>"48463"</f>
        <v>48463</v>
      </c>
      <c r="C11819" s="2">
        <v>9.3307517148984304E-3</v>
      </c>
      <c r="D11819" s="2">
        <v>5.1272066458982303E-3</v>
      </c>
      <c r="E11819" s="2">
        <v>7.2697899838449096E-3</v>
      </c>
      <c r="F11819" s="2">
        <v>8.9977881332273905E-3</v>
      </c>
    </row>
    <row r="11820" spans="1:6" x14ac:dyDescent="0.25">
      <c r="A11820" s="1" t="str">
        <f t="shared" si="432"/>
        <v>22420</v>
      </c>
      <c r="B11820" s="1" t="str">
        <f>"48430"</f>
        <v>48430</v>
      </c>
      <c r="C11820" s="2">
        <v>5.5686267083891502E-2</v>
      </c>
      <c r="D11820" s="2">
        <v>8.29439252336448E-2</v>
      </c>
      <c r="E11820" s="2">
        <v>4.2003231017770502E-2</v>
      </c>
      <c r="F11820" s="2">
        <v>5.7126291150385401E-2</v>
      </c>
    </row>
    <row r="11821" spans="1:6" x14ac:dyDescent="0.25">
      <c r="A11821" s="1" t="str">
        <f t="shared" si="432"/>
        <v>22420</v>
      </c>
      <c r="B11821" s="1" t="str">
        <f>"48451"</f>
        <v>48451</v>
      </c>
      <c r="C11821" s="2">
        <v>3.2522711456799698E-2</v>
      </c>
      <c r="D11821" s="2">
        <v>1.9924714434060201E-2</v>
      </c>
      <c r="E11821" s="2">
        <v>1.38933764135702E-2</v>
      </c>
      <c r="F11821" s="2">
        <v>3.11937638241673E-2</v>
      </c>
    </row>
    <row r="11822" spans="1:6" x14ac:dyDescent="0.25">
      <c r="A11822" s="1" t="str">
        <f t="shared" si="432"/>
        <v>22420</v>
      </c>
      <c r="B11822" s="1" t="str">
        <f>"48417"</f>
        <v>48417</v>
      </c>
      <c r="C11822" s="2">
        <v>4.7340191349053401E-5</v>
      </c>
      <c r="D11822" s="2">
        <v>0</v>
      </c>
      <c r="E11822" s="2">
        <v>0</v>
      </c>
      <c r="F11822" s="2">
        <v>4.29488693710138E-5</v>
      </c>
    </row>
    <row r="11823" spans="1:6" x14ac:dyDescent="0.25">
      <c r="A11823" s="1" t="str">
        <f t="shared" si="432"/>
        <v>22420</v>
      </c>
      <c r="B11823" s="1" t="str">
        <f>"48506"</f>
        <v>48506</v>
      </c>
      <c r="C11823" s="2">
        <v>6.3227559565795705E-2</v>
      </c>
      <c r="D11823" s="2">
        <v>4.7313084112149503E-2</v>
      </c>
      <c r="E11823" s="2">
        <v>8.4491114701130798E-2</v>
      </c>
      <c r="F11823" s="2">
        <v>6.2739708377176906E-2</v>
      </c>
    </row>
    <row r="11824" spans="1:6" x14ac:dyDescent="0.25">
      <c r="A11824" s="1" t="str">
        <f t="shared" ref="A11824:A11846" si="433">"22500"</f>
        <v>22500</v>
      </c>
      <c r="B11824" s="1" t="str">
        <f>"29593"</f>
        <v>29593</v>
      </c>
      <c r="C11824" s="2">
        <v>6.1095111470975197E-3</v>
      </c>
      <c r="D11824" s="2">
        <v>4.0566037735848999E-3</v>
      </c>
      <c r="E11824" s="2">
        <v>6.5146579804560198E-4</v>
      </c>
      <c r="F11824" s="2">
        <v>5.7947087525438597E-3</v>
      </c>
    </row>
    <row r="11825" spans="1:6" x14ac:dyDescent="0.25">
      <c r="A11825" s="1" t="str">
        <f t="shared" si="433"/>
        <v>22500</v>
      </c>
      <c r="B11825" s="1" t="str">
        <f>"29554"</f>
        <v>29554</v>
      </c>
      <c r="C11825" s="2">
        <v>9.3850924247582395E-4</v>
      </c>
      <c r="D11825" s="2">
        <v>1.8867924528301799E-4</v>
      </c>
      <c r="E11825" s="2">
        <v>6.5146579804560198E-4</v>
      </c>
      <c r="F11825" s="2">
        <v>8.6634573733378E-4</v>
      </c>
    </row>
    <row r="11826" spans="1:6" x14ac:dyDescent="0.25">
      <c r="A11826" s="1" t="str">
        <f t="shared" si="433"/>
        <v>22500</v>
      </c>
      <c r="B11826" s="1" t="str">
        <f>"29550"</f>
        <v>29550</v>
      </c>
      <c r="C11826" s="2">
        <v>0.13830129827111801</v>
      </c>
      <c r="D11826" s="2">
        <v>0.12273584905660299</v>
      </c>
      <c r="E11826" s="2">
        <v>5.1140065146579802E-2</v>
      </c>
      <c r="F11826" s="2">
        <v>0.13476580059336499</v>
      </c>
    </row>
    <row r="11827" spans="1:6" x14ac:dyDescent="0.25">
      <c r="A11827" s="1" t="str">
        <f t="shared" si="433"/>
        <v>22500</v>
      </c>
      <c r="B11827" s="1" t="str">
        <f>"29591"</f>
        <v>29591</v>
      </c>
      <c r="C11827" s="2">
        <v>2.2524221819419699E-2</v>
      </c>
      <c r="D11827" s="2">
        <v>7.3584905660377302E-3</v>
      </c>
      <c r="E11827" s="2">
        <v>6.5146579804560203E-3</v>
      </c>
      <c r="F11827" s="2">
        <v>2.0808643841998101E-2</v>
      </c>
    </row>
    <row r="11828" spans="1:6" x14ac:dyDescent="0.25">
      <c r="A11828" s="1" t="str">
        <f t="shared" si="433"/>
        <v>22500</v>
      </c>
      <c r="B11828" s="1" t="str">
        <f>"29505"</f>
        <v>29505</v>
      </c>
      <c r="C11828" s="2">
        <v>0.106594407589043</v>
      </c>
      <c r="D11828" s="2">
        <v>0.08</v>
      </c>
      <c r="E11828" s="2">
        <v>0.13908794788273601</v>
      </c>
      <c r="F11828" s="2">
        <v>0.105105718699173</v>
      </c>
    </row>
    <row r="11829" spans="1:6" x14ac:dyDescent="0.25">
      <c r="A11829" s="1" t="str">
        <f t="shared" si="433"/>
        <v>22500</v>
      </c>
      <c r="B11829" s="1" t="str">
        <f>"29502"</f>
        <v>29502</v>
      </c>
      <c r="C11829" s="2">
        <v>1.9184233044726402E-2</v>
      </c>
      <c r="D11829" s="2">
        <v>5.7924528301886699E-2</v>
      </c>
      <c r="E11829" s="2">
        <v>6.5146579804560198E-4</v>
      </c>
      <c r="F11829" s="2">
        <v>2.2075470156023898E-2</v>
      </c>
    </row>
    <row r="11830" spans="1:6" x14ac:dyDescent="0.25">
      <c r="A11830" s="1" t="str">
        <f t="shared" si="433"/>
        <v>22500</v>
      </c>
      <c r="B11830" s="1" t="str">
        <f>"29101"</f>
        <v>29101</v>
      </c>
      <c r="C11830" s="2">
        <v>2.1254474020775999E-3</v>
      </c>
      <c r="D11830" s="2">
        <v>2.8301886792452799E-4</v>
      </c>
      <c r="E11830" s="2">
        <v>0</v>
      </c>
      <c r="F11830" s="2">
        <v>1.9124990805292801E-3</v>
      </c>
    </row>
    <row r="11831" spans="1:6" x14ac:dyDescent="0.25">
      <c r="A11831" s="1" t="str">
        <f t="shared" si="433"/>
        <v>22500</v>
      </c>
      <c r="B11831" s="1" t="str">
        <f>"29069"</f>
        <v>29069</v>
      </c>
      <c r="C11831" s="2">
        <v>1.9671889807973599E-2</v>
      </c>
      <c r="D11831" s="2">
        <v>6.1320754716981101E-3</v>
      </c>
      <c r="E11831" s="2">
        <v>6.8403908794788196E-3</v>
      </c>
      <c r="F11831" s="2">
        <v>1.8176914338021901E-2</v>
      </c>
    </row>
    <row r="11832" spans="1:6" x14ac:dyDescent="0.25">
      <c r="A11832" s="1" t="str">
        <f t="shared" si="433"/>
        <v>22500</v>
      </c>
      <c r="B11832" s="1" t="str">
        <f>"29161"</f>
        <v>29161</v>
      </c>
      <c r="C11832" s="2">
        <v>5.8758039435790298E-2</v>
      </c>
      <c r="D11832" s="2">
        <v>4.2547169811320701E-2</v>
      </c>
      <c r="E11832" s="2">
        <v>2.7687296416938099E-2</v>
      </c>
      <c r="F11832" s="2">
        <v>5.6574011262494499E-2</v>
      </c>
    </row>
    <row r="11833" spans="1:6" x14ac:dyDescent="0.25">
      <c r="A11833" s="1" t="str">
        <f t="shared" si="433"/>
        <v>22500</v>
      </c>
      <c r="B11833" s="1" t="str">
        <f>"29504"</f>
        <v>29504</v>
      </c>
      <c r="C11833" s="2">
        <v>0</v>
      </c>
      <c r="D11833" s="2">
        <v>0</v>
      </c>
      <c r="E11833" s="2">
        <v>6.5146579804560198E-4</v>
      </c>
      <c r="F11833" s="2">
        <v>1.6346145987429799E-5</v>
      </c>
    </row>
    <row r="11834" spans="1:6" x14ac:dyDescent="0.25">
      <c r="A11834" s="1" t="str">
        <f t="shared" si="433"/>
        <v>22500</v>
      </c>
      <c r="B11834" s="1" t="str">
        <f>"29551"</f>
        <v>29551</v>
      </c>
      <c r="C11834" s="2">
        <v>1.73624209858027E-2</v>
      </c>
      <c r="D11834" s="2">
        <v>3.0943396226414999E-2</v>
      </c>
      <c r="E11834" s="2">
        <v>6.5146579804560198E-4</v>
      </c>
      <c r="F11834" s="2">
        <v>1.81197028270659E-2</v>
      </c>
    </row>
    <row r="11835" spans="1:6" x14ac:dyDescent="0.25">
      <c r="A11835" s="1" t="str">
        <f t="shared" si="433"/>
        <v>22500</v>
      </c>
      <c r="B11835" s="1" t="str">
        <f>"29114"</f>
        <v>29114</v>
      </c>
      <c r="C11835" s="2">
        <v>5.3458222537103297E-3</v>
      </c>
      <c r="D11835" s="2">
        <v>2.26415094339622E-3</v>
      </c>
      <c r="E11835" s="2">
        <v>1.3029315960912001E-3</v>
      </c>
      <c r="F11835" s="2">
        <v>4.9774014531723696E-3</v>
      </c>
    </row>
    <row r="11836" spans="1:6" x14ac:dyDescent="0.25">
      <c r="A11836" s="1" t="str">
        <f t="shared" si="433"/>
        <v>22500</v>
      </c>
      <c r="B11836" s="1" t="str">
        <f>"29541"</f>
        <v>29541</v>
      </c>
      <c r="C11836" s="2">
        <v>4.3005805875803903E-2</v>
      </c>
      <c r="D11836" s="2">
        <v>1.12264150943396E-2</v>
      </c>
      <c r="E11836" s="2">
        <v>9.4462540716612302E-3</v>
      </c>
      <c r="F11836" s="2">
        <v>3.9410557975693199E-2</v>
      </c>
    </row>
    <row r="11837" spans="1:6" x14ac:dyDescent="0.25">
      <c r="A11837" s="1" t="str">
        <f t="shared" si="433"/>
        <v>22500</v>
      </c>
      <c r="B11837" s="1" t="str">
        <f>"29583"</f>
        <v>29583</v>
      </c>
      <c r="C11837" s="2">
        <v>2.1834141494069901E-2</v>
      </c>
      <c r="D11837" s="2">
        <v>5.3773584905660301E-3</v>
      </c>
      <c r="E11837" s="2">
        <v>9.7719869706840309E-4</v>
      </c>
      <c r="F11837" s="2">
        <v>1.9885086593708301E-2</v>
      </c>
    </row>
    <row r="11838" spans="1:6" x14ac:dyDescent="0.25">
      <c r="A11838" s="1" t="str">
        <f t="shared" si="433"/>
        <v>22500</v>
      </c>
      <c r="B11838" s="1" t="str">
        <f>"29506"</f>
        <v>29506</v>
      </c>
      <c r="C11838" s="2">
        <v>9.2553573235924599E-2</v>
      </c>
      <c r="D11838" s="2">
        <v>9.7452830188679201E-2</v>
      </c>
      <c r="E11838" s="2">
        <v>0.22964169381107399</v>
      </c>
      <c r="F11838" s="2">
        <v>9.6417742106854706E-2</v>
      </c>
    </row>
    <row r="11839" spans="1:6" x14ac:dyDescent="0.25">
      <c r="A11839" s="1" t="str">
        <f t="shared" si="433"/>
        <v>22500</v>
      </c>
      <c r="B11839" s="1" t="str">
        <f>"29530"</f>
        <v>29530</v>
      </c>
      <c r="C11839" s="2">
        <v>1.2927504761554199E-2</v>
      </c>
      <c r="D11839" s="2">
        <v>1.50943396226415E-3</v>
      </c>
      <c r="E11839" s="2">
        <v>3.5830618892508099E-3</v>
      </c>
      <c r="F11839" s="2">
        <v>1.1703840526999699E-2</v>
      </c>
    </row>
    <row r="11840" spans="1:6" x14ac:dyDescent="0.25">
      <c r="A11840" s="1" t="str">
        <f t="shared" si="433"/>
        <v>22500</v>
      </c>
      <c r="B11840" s="1" t="str">
        <f>"29540"</f>
        <v>29540</v>
      </c>
      <c r="C11840" s="2">
        <v>4.03835006394744E-2</v>
      </c>
      <c r="D11840" s="2">
        <v>4.02830188679245E-2</v>
      </c>
      <c r="E11840" s="2">
        <v>1.3029315960912001E-3</v>
      </c>
      <c r="F11840" s="2">
        <v>3.9394211829705802E-2</v>
      </c>
    </row>
    <row r="11841" spans="1:6" x14ac:dyDescent="0.25">
      <c r="A11841" s="1" t="str">
        <f t="shared" si="433"/>
        <v>22500</v>
      </c>
      <c r="B11841" s="1" t="str">
        <f>"29560"</f>
        <v>29560</v>
      </c>
      <c r="C11841" s="2">
        <v>5.26117240046741E-2</v>
      </c>
      <c r="D11841" s="2">
        <v>7.0377358490566005E-2</v>
      </c>
      <c r="E11841" s="2">
        <v>5.9283387622149797E-2</v>
      </c>
      <c r="F11841" s="2">
        <v>5.4318243116229202E-2</v>
      </c>
    </row>
    <row r="11842" spans="1:6" x14ac:dyDescent="0.25">
      <c r="A11842" s="1" t="str">
        <f t="shared" si="433"/>
        <v>22500</v>
      </c>
      <c r="B11842" s="1" t="str">
        <f>"29555"</f>
        <v>29555</v>
      </c>
      <c r="C11842" s="2">
        <v>2.53489506178519E-2</v>
      </c>
      <c r="D11842" s="2">
        <v>8.0188679245283001E-3</v>
      </c>
      <c r="E11842" s="2">
        <v>8.7947882736156297E-3</v>
      </c>
      <c r="F11842" s="2">
        <v>2.34322002729806E-2</v>
      </c>
    </row>
    <row r="11843" spans="1:6" x14ac:dyDescent="0.25">
      <c r="A11843" s="1" t="str">
        <f t="shared" si="433"/>
        <v>22500</v>
      </c>
      <c r="B11843" s="1" t="str">
        <f>"29501"</f>
        <v>29501</v>
      </c>
      <c r="C11843" s="2">
        <v>0.206738864403816</v>
      </c>
      <c r="D11843" s="2">
        <v>0.29301886792452803</v>
      </c>
      <c r="E11843" s="2">
        <v>0.42182410423452699</v>
      </c>
      <c r="F11843" s="2">
        <v>0.219610471341119</v>
      </c>
    </row>
    <row r="11844" spans="1:6" x14ac:dyDescent="0.25">
      <c r="A11844" s="1" t="str">
        <f t="shared" si="433"/>
        <v>22500</v>
      </c>
      <c r="B11844" s="1" t="str">
        <f>"29532"</f>
        <v>29532</v>
      </c>
      <c r="C11844" s="2">
        <v>9.6464028412907202E-2</v>
      </c>
      <c r="D11844" s="2">
        <v>8.5377358490566005E-2</v>
      </c>
      <c r="E11844" s="2">
        <v>2.89902280130293E-2</v>
      </c>
      <c r="F11844" s="2">
        <v>9.3810531821859694E-2</v>
      </c>
    </row>
    <row r="11845" spans="1:6" x14ac:dyDescent="0.25">
      <c r="A11845" s="1" t="str">
        <f t="shared" si="433"/>
        <v>22500</v>
      </c>
      <c r="B11845" s="1" t="str">
        <f>"29079"</f>
        <v>29079</v>
      </c>
      <c r="C11845" s="2">
        <v>0</v>
      </c>
      <c r="D11845" s="2">
        <v>9.4339622641509402E-5</v>
      </c>
      <c r="E11845" s="2">
        <v>0</v>
      </c>
      <c r="F11845" s="2">
        <v>8.1730729937148995E-6</v>
      </c>
    </row>
    <row r="11846" spans="1:6" x14ac:dyDescent="0.25">
      <c r="A11846" s="1" t="str">
        <f t="shared" si="433"/>
        <v>22500</v>
      </c>
      <c r="B11846" s="1" t="str">
        <f>"29503"</f>
        <v>29503</v>
      </c>
      <c r="C11846" s="2">
        <v>1.12161055546865E-2</v>
      </c>
      <c r="D11846" s="2">
        <v>3.2830188679245198E-2</v>
      </c>
      <c r="E11846" s="2">
        <v>3.2573289902280099E-4</v>
      </c>
      <c r="F11846" s="2">
        <v>1.2815378454144899E-2</v>
      </c>
    </row>
    <row r="11847" spans="1:6" x14ac:dyDescent="0.25">
      <c r="A11847" s="1" t="str">
        <f t="shared" ref="A11847:A11867" si="434">"22520"</f>
        <v>22520</v>
      </c>
      <c r="B11847" s="1" t="str">
        <f>"35631"</f>
        <v>35631</v>
      </c>
      <c r="C11847" s="2">
        <v>8.8322358484866706E-3</v>
      </c>
      <c r="D11847" s="2">
        <v>4.2439675033345399E-2</v>
      </c>
      <c r="E11847" s="2">
        <v>8.8928412627834505E-4</v>
      </c>
      <c r="F11847" s="2">
        <v>1.1612571171229101E-2</v>
      </c>
    </row>
    <row r="11848" spans="1:6" x14ac:dyDescent="0.25">
      <c r="A11848" s="1" t="str">
        <f t="shared" si="434"/>
        <v>22520</v>
      </c>
      <c r="B11848" s="1" t="str">
        <f>"35582"</f>
        <v>35582</v>
      </c>
      <c r="C11848" s="2">
        <v>1.2082401981513901E-5</v>
      </c>
      <c r="D11848" s="2">
        <v>0</v>
      </c>
      <c r="E11848" s="2">
        <v>0</v>
      </c>
      <c r="F11848" s="2">
        <v>1.07225957259733E-5</v>
      </c>
    </row>
    <row r="11849" spans="1:6" x14ac:dyDescent="0.25">
      <c r="A11849" s="1" t="str">
        <f t="shared" si="434"/>
        <v>22520</v>
      </c>
      <c r="B11849" s="1" t="str">
        <f>"35661"</f>
        <v>35661</v>
      </c>
      <c r="C11849" s="2">
        <v>0.114033709901528</v>
      </c>
      <c r="D11849" s="2">
        <v>0.145386201042803</v>
      </c>
      <c r="E11849" s="2">
        <v>0.164962205424633</v>
      </c>
      <c r="F11849" s="2">
        <v>0.118034333751514</v>
      </c>
    </row>
    <row r="11850" spans="1:6" x14ac:dyDescent="0.25">
      <c r="A11850" s="1" t="str">
        <f t="shared" si="434"/>
        <v>22520</v>
      </c>
      <c r="B11850" s="1" t="str">
        <f>"35646"</f>
        <v>35646</v>
      </c>
      <c r="C11850" s="2">
        <v>2.81519966169274E-2</v>
      </c>
      <c r="D11850" s="2">
        <v>1.4550745725718401E-2</v>
      </c>
      <c r="E11850" s="2">
        <v>1.2894619831036E-2</v>
      </c>
      <c r="F11850" s="2">
        <v>2.6581314804687901E-2</v>
      </c>
    </row>
    <row r="11851" spans="1:6" x14ac:dyDescent="0.25">
      <c r="A11851" s="1" t="str">
        <f t="shared" si="434"/>
        <v>22520</v>
      </c>
      <c r="B11851" s="1" t="str">
        <f>"35610"</f>
        <v>35610</v>
      </c>
      <c r="C11851" s="2">
        <v>9.9438168307859603E-3</v>
      </c>
      <c r="D11851" s="2">
        <v>2.6676367163817102E-3</v>
      </c>
      <c r="E11851" s="2">
        <v>3.1124944419742102E-3</v>
      </c>
      <c r="F11851" s="2">
        <v>9.13565155852928E-3</v>
      </c>
    </row>
    <row r="11852" spans="1:6" x14ac:dyDescent="0.25">
      <c r="A11852" s="1" t="str">
        <f t="shared" si="434"/>
        <v>22520</v>
      </c>
      <c r="B11852" s="1" t="str">
        <f>"35652"</f>
        <v>35652</v>
      </c>
      <c r="C11852" s="2">
        <v>5.6074427596206101E-2</v>
      </c>
      <c r="D11852" s="2">
        <v>3.8559476173153799E-2</v>
      </c>
      <c r="E11852" s="2">
        <v>1.6896398399288502E-2</v>
      </c>
      <c r="F11852" s="2">
        <v>5.3580810842688703E-2</v>
      </c>
    </row>
    <row r="11853" spans="1:6" x14ac:dyDescent="0.25">
      <c r="A11853" s="1" t="str">
        <f t="shared" si="434"/>
        <v>22520</v>
      </c>
      <c r="B11853" s="1" t="str">
        <f>"35630"</f>
        <v>35630</v>
      </c>
      <c r="C11853" s="2">
        <v>0.23500271854044499</v>
      </c>
      <c r="D11853" s="2">
        <v>0.37941069479810802</v>
      </c>
      <c r="E11853" s="2">
        <v>0.36193863939528598</v>
      </c>
      <c r="F11853" s="2">
        <v>0.250833681817694</v>
      </c>
    </row>
    <row r="11854" spans="1:6" x14ac:dyDescent="0.25">
      <c r="A11854" s="1" t="str">
        <f t="shared" si="434"/>
        <v>22520</v>
      </c>
      <c r="B11854" s="1" t="str">
        <f>"35677"</f>
        <v>35677</v>
      </c>
      <c r="C11854" s="2">
        <v>1.6142089047302601E-2</v>
      </c>
      <c r="D11854" s="2">
        <v>7.5178852916211901E-3</v>
      </c>
      <c r="E11854" s="2">
        <v>8.8928412627834505E-4</v>
      </c>
      <c r="F11854" s="2">
        <v>1.50116340163626E-2</v>
      </c>
    </row>
    <row r="11855" spans="1:6" x14ac:dyDescent="0.25">
      <c r="A11855" s="1" t="str">
        <f t="shared" si="434"/>
        <v>22520</v>
      </c>
      <c r="B11855" s="1" t="str">
        <f>"35674"</f>
        <v>35674</v>
      </c>
      <c r="C11855" s="2">
        <v>0.12947501963390301</v>
      </c>
      <c r="D11855" s="2">
        <v>0.132533042318418</v>
      </c>
      <c r="E11855" s="2">
        <v>0.217429968875055</v>
      </c>
      <c r="F11855" s="2">
        <v>0.13186648223802</v>
      </c>
    </row>
    <row r="11856" spans="1:6" x14ac:dyDescent="0.25">
      <c r="A11856" s="1" t="str">
        <f t="shared" si="434"/>
        <v>22520</v>
      </c>
      <c r="B11856" s="1" t="str">
        <f>"35634"</f>
        <v>35634</v>
      </c>
      <c r="C11856" s="2">
        <v>6.8108499969793901E-2</v>
      </c>
      <c r="D11856" s="2">
        <v>3.3466715169152401E-2</v>
      </c>
      <c r="E11856" s="2">
        <v>2.9346376167185401E-2</v>
      </c>
      <c r="F11856" s="2">
        <v>6.4110399845594607E-2</v>
      </c>
    </row>
    <row r="11857" spans="1:6" x14ac:dyDescent="0.25">
      <c r="A11857" s="1" t="str">
        <f t="shared" si="434"/>
        <v>22520</v>
      </c>
      <c r="B11857" s="1" t="str">
        <f>"35633"</f>
        <v>35633</v>
      </c>
      <c r="C11857" s="2">
        <v>0.124557482027427</v>
      </c>
      <c r="D11857" s="2">
        <v>4.4986055535346098E-2</v>
      </c>
      <c r="E11857" s="2">
        <v>5.5135615829257398E-2</v>
      </c>
      <c r="F11857" s="2">
        <v>0.115846924223416</v>
      </c>
    </row>
    <row r="11858" spans="1:6" x14ac:dyDescent="0.25">
      <c r="A11858" s="1" t="str">
        <f t="shared" si="434"/>
        <v>22520</v>
      </c>
      <c r="B11858" s="1" t="str">
        <f>"35672"</f>
        <v>35672</v>
      </c>
      <c r="C11858" s="2">
        <v>1.05116897239171E-3</v>
      </c>
      <c r="D11858" s="2">
        <v>2.4251242876197399E-4</v>
      </c>
      <c r="E11858" s="2">
        <v>0</v>
      </c>
      <c r="F11858" s="2">
        <v>9.54311019611627E-4</v>
      </c>
    </row>
    <row r="11859" spans="1:6" x14ac:dyDescent="0.25">
      <c r="A11859" s="1" t="str">
        <f t="shared" si="434"/>
        <v>22520</v>
      </c>
      <c r="B11859" s="1" t="str">
        <f>"35648"</f>
        <v>35648</v>
      </c>
      <c r="C11859" s="2">
        <v>2.5675104210717E-2</v>
      </c>
      <c r="D11859" s="2">
        <v>1.1640596580574701E-2</v>
      </c>
      <c r="E11859" s="2">
        <v>4.4464206313917197E-3</v>
      </c>
      <c r="F11859" s="2">
        <v>2.3922111064646499E-2</v>
      </c>
    </row>
    <row r="11860" spans="1:6" x14ac:dyDescent="0.25">
      <c r="A11860" s="1" t="str">
        <f t="shared" si="434"/>
        <v>22520</v>
      </c>
      <c r="B11860" s="1" t="str">
        <f>"35660"</f>
        <v>35660</v>
      </c>
      <c r="C11860" s="2">
        <v>6.6731106143901403E-2</v>
      </c>
      <c r="D11860" s="2">
        <v>9.3124772644597995E-2</v>
      </c>
      <c r="E11860" s="2">
        <v>0.10626945309026201</v>
      </c>
      <c r="F11860" s="2">
        <v>7.0018550090605897E-2</v>
      </c>
    </row>
    <row r="11861" spans="1:6" x14ac:dyDescent="0.25">
      <c r="A11861" s="1" t="str">
        <f t="shared" si="434"/>
        <v>22520</v>
      </c>
      <c r="B11861" s="1" t="str">
        <f>"35632"</f>
        <v>35632</v>
      </c>
      <c r="C11861" s="2">
        <v>0</v>
      </c>
      <c r="D11861" s="2">
        <v>1.2125621438098699E-4</v>
      </c>
      <c r="E11861" s="2">
        <v>0</v>
      </c>
      <c r="F11861" s="2">
        <v>1.07225957259733E-5</v>
      </c>
    </row>
    <row r="11862" spans="1:6" x14ac:dyDescent="0.25">
      <c r="A11862" s="1" t="str">
        <f t="shared" si="434"/>
        <v>22520</v>
      </c>
      <c r="B11862" s="1" t="str">
        <f>"35617"</f>
        <v>35617</v>
      </c>
      <c r="C11862" s="2">
        <v>0</v>
      </c>
      <c r="D11862" s="2">
        <v>1.2125621438098699E-4</v>
      </c>
      <c r="E11862" s="2">
        <v>0</v>
      </c>
      <c r="F11862" s="2">
        <v>1.07225957259733E-5</v>
      </c>
    </row>
    <row r="11863" spans="1:6" x14ac:dyDescent="0.25">
      <c r="A11863" s="1" t="str">
        <f t="shared" si="434"/>
        <v>22520</v>
      </c>
      <c r="B11863" s="1" t="str">
        <f>"35645"</f>
        <v>35645</v>
      </c>
      <c r="C11863" s="2">
        <v>7.7448196701504199E-2</v>
      </c>
      <c r="D11863" s="2">
        <v>3.2617921668485497E-2</v>
      </c>
      <c r="E11863" s="2">
        <v>1.7341040462427699E-2</v>
      </c>
      <c r="F11863" s="2">
        <v>7.2034398087088905E-2</v>
      </c>
    </row>
    <row r="11864" spans="1:6" x14ac:dyDescent="0.25">
      <c r="A11864" s="1" t="str">
        <f t="shared" si="434"/>
        <v>22520</v>
      </c>
      <c r="B11864" s="1" t="str">
        <f>"35614"</f>
        <v>35614</v>
      </c>
      <c r="C11864" s="2">
        <v>4.8329607926055603E-5</v>
      </c>
      <c r="D11864" s="2">
        <v>0</v>
      </c>
      <c r="E11864" s="2">
        <v>0</v>
      </c>
      <c r="F11864" s="2">
        <v>4.2890382903893303E-5</v>
      </c>
    </row>
    <row r="11865" spans="1:6" x14ac:dyDescent="0.25">
      <c r="A11865" s="1" t="str">
        <f t="shared" si="434"/>
        <v>22520</v>
      </c>
      <c r="B11865" s="1" t="str">
        <f>"35654"</f>
        <v>35654</v>
      </c>
      <c r="C11865" s="2">
        <v>6.8990515314444499E-3</v>
      </c>
      <c r="D11865" s="2">
        <v>5.8202982902873703E-3</v>
      </c>
      <c r="E11865" s="2">
        <v>2.6678523788350298E-3</v>
      </c>
      <c r="F11865" s="2">
        <v>6.7016223287333296E-3</v>
      </c>
    </row>
    <row r="11866" spans="1:6" x14ac:dyDescent="0.25">
      <c r="A11866" s="1" t="str">
        <f t="shared" si="434"/>
        <v>22520</v>
      </c>
      <c r="B11866" s="1" t="str">
        <f>"35653"</f>
        <v>35653</v>
      </c>
      <c r="C11866" s="2">
        <v>2.5493868180994301E-3</v>
      </c>
      <c r="D11866" s="2">
        <v>2.4251242876197399E-4</v>
      </c>
      <c r="E11866" s="2">
        <v>1.3339261894175099E-3</v>
      </c>
      <c r="F11866" s="2">
        <v>2.3160806768102401E-3</v>
      </c>
    </row>
    <row r="11867" spans="1:6" x14ac:dyDescent="0.25">
      <c r="A11867" s="1" t="str">
        <f t="shared" si="434"/>
        <v>22520</v>
      </c>
      <c r="B11867" s="1" t="str">
        <f>"35616"</f>
        <v>35616</v>
      </c>
      <c r="C11867" s="2">
        <v>2.9263577599226698E-2</v>
      </c>
      <c r="D11867" s="2">
        <v>1.4550745725718401E-2</v>
      </c>
      <c r="E11867" s="2">
        <v>4.4464206313917197E-3</v>
      </c>
      <c r="F11867" s="2">
        <v>2.7364064292683898E-2</v>
      </c>
    </row>
    <row r="11868" spans="1:6" x14ac:dyDescent="0.25">
      <c r="A11868" s="1" t="str">
        <f t="shared" ref="A11868:A11893" si="435">"22540"</f>
        <v>22540</v>
      </c>
      <c r="B11868" s="1" t="str">
        <f>"53065"</f>
        <v>53065</v>
      </c>
      <c r="C11868" s="2">
        <v>1.8011909050454501E-2</v>
      </c>
      <c r="D11868" s="2">
        <v>2.9103608847497E-3</v>
      </c>
      <c r="E11868" s="2">
        <v>5.5935363579863199E-3</v>
      </c>
      <c r="F11868" s="2">
        <v>1.66360364499578E-2</v>
      </c>
    </row>
    <row r="11869" spans="1:6" x14ac:dyDescent="0.25">
      <c r="A11869" s="1" t="str">
        <f t="shared" si="435"/>
        <v>22540</v>
      </c>
      <c r="B11869" s="1" t="str">
        <f>"53963"</f>
        <v>53963</v>
      </c>
      <c r="C11869" s="2">
        <v>4.7742154224322403E-2</v>
      </c>
      <c r="D11869" s="2">
        <v>4.86030267753201E-2</v>
      </c>
      <c r="E11869" s="2">
        <v>2.9210689869484101E-2</v>
      </c>
      <c r="F11869" s="2">
        <v>4.7227965387855099E-2</v>
      </c>
    </row>
    <row r="11870" spans="1:6" x14ac:dyDescent="0.25">
      <c r="A11870" s="1" t="str">
        <f t="shared" si="435"/>
        <v>22540</v>
      </c>
      <c r="B11870" s="1" t="str">
        <f>"53061"</f>
        <v>53061</v>
      </c>
      <c r="C11870" s="2">
        <v>2.11904812358288E-5</v>
      </c>
      <c r="D11870" s="2">
        <v>0</v>
      </c>
      <c r="E11870" s="2">
        <v>0</v>
      </c>
      <c r="F11870" s="2">
        <v>1.9143885442989501E-5</v>
      </c>
    </row>
    <row r="11871" spans="1:6" x14ac:dyDescent="0.25">
      <c r="A11871" s="1" t="str">
        <f t="shared" si="435"/>
        <v>22540</v>
      </c>
      <c r="B11871" s="1" t="str">
        <f>"53048"</f>
        <v>53048</v>
      </c>
      <c r="C11871" s="2">
        <v>1.27142887414973E-4</v>
      </c>
      <c r="D11871" s="2">
        <v>0</v>
      </c>
      <c r="E11871" s="2">
        <v>0</v>
      </c>
      <c r="F11871" s="2">
        <v>1.14863312657937E-4</v>
      </c>
    </row>
    <row r="11872" spans="1:6" x14ac:dyDescent="0.25">
      <c r="A11872" s="1" t="str">
        <f t="shared" si="435"/>
        <v>22540</v>
      </c>
      <c r="B11872" s="1" t="str">
        <f>"54964"</f>
        <v>54964</v>
      </c>
      <c r="C11872" s="2">
        <v>2.05547667987539E-3</v>
      </c>
      <c r="D11872" s="2">
        <v>5.8207217694994102E-4</v>
      </c>
      <c r="E11872" s="2">
        <v>0</v>
      </c>
      <c r="F11872" s="2">
        <v>1.8952446588559599E-3</v>
      </c>
    </row>
    <row r="11873" spans="1:6" x14ac:dyDescent="0.25">
      <c r="A11873" s="1" t="str">
        <f t="shared" si="435"/>
        <v>22540</v>
      </c>
      <c r="B11873" s="1" t="str">
        <f>"53011"</f>
        <v>53011</v>
      </c>
      <c r="C11873" s="2">
        <v>1.6952384988663E-3</v>
      </c>
      <c r="D11873" s="2">
        <v>0</v>
      </c>
      <c r="E11873" s="2">
        <v>0</v>
      </c>
      <c r="F11873" s="2">
        <v>1.5315108354391599E-3</v>
      </c>
    </row>
    <row r="11874" spans="1:6" x14ac:dyDescent="0.25">
      <c r="A11874" s="1" t="str">
        <f t="shared" si="435"/>
        <v>22540</v>
      </c>
      <c r="B11874" s="1" t="str">
        <f>"54974"</f>
        <v>54974</v>
      </c>
      <c r="C11874" s="2">
        <v>1.40492890593545E-2</v>
      </c>
      <c r="D11874" s="2">
        <v>4.9476135040745E-3</v>
      </c>
      <c r="E11874" s="2">
        <v>1.3051584835301401E-2</v>
      </c>
      <c r="F11874" s="2">
        <v>1.34198636955356E-2</v>
      </c>
    </row>
    <row r="11875" spans="1:6" x14ac:dyDescent="0.25">
      <c r="A11875" s="1" t="str">
        <f t="shared" si="435"/>
        <v>22540</v>
      </c>
      <c r="B11875" s="1" t="str">
        <f>"54971"</f>
        <v>54971</v>
      </c>
      <c r="C11875" s="2">
        <v>9.1839545676082296E-2</v>
      </c>
      <c r="D11875" s="2">
        <v>0.105355064027939</v>
      </c>
      <c r="E11875" s="2">
        <v>0.101926662523306</v>
      </c>
      <c r="F11875" s="2">
        <v>9.3039283252928998E-2</v>
      </c>
    </row>
    <row r="11876" spans="1:6" x14ac:dyDescent="0.25">
      <c r="A11876" s="1" t="str">
        <f t="shared" si="435"/>
        <v>22540</v>
      </c>
      <c r="B11876" s="1" t="str">
        <f>"53049"</f>
        <v>53049</v>
      </c>
      <c r="C11876" s="2">
        <v>2.3076434065817601E-2</v>
      </c>
      <c r="D11876" s="2">
        <v>1.25145518044237E-2</v>
      </c>
      <c r="E11876" s="2">
        <v>4.9720323182100602E-3</v>
      </c>
      <c r="F11876" s="2">
        <v>2.1824029405008001E-2</v>
      </c>
    </row>
    <row r="11877" spans="1:6" x14ac:dyDescent="0.25">
      <c r="A11877" s="1" t="str">
        <f t="shared" si="435"/>
        <v>22540</v>
      </c>
      <c r="B11877" s="1" t="str">
        <f>"53040"</f>
        <v>53040</v>
      </c>
      <c r="C11877" s="2">
        <v>3.92023902862834E-3</v>
      </c>
      <c r="D11877" s="2">
        <v>1.1641443538998801E-3</v>
      </c>
      <c r="E11877" s="2">
        <v>0</v>
      </c>
      <c r="F11877" s="2">
        <v>3.6181943487250102E-3</v>
      </c>
    </row>
    <row r="11878" spans="1:6" x14ac:dyDescent="0.25">
      <c r="A11878" s="1" t="str">
        <f t="shared" si="435"/>
        <v>22540</v>
      </c>
      <c r="B11878" s="1" t="str">
        <f>"53946"</f>
        <v>53946</v>
      </c>
      <c r="C11878" s="2">
        <v>6.3571443707486502E-4</v>
      </c>
      <c r="D11878" s="2">
        <v>0</v>
      </c>
      <c r="E11878" s="2">
        <v>0</v>
      </c>
      <c r="F11878" s="2">
        <v>5.7431656328968503E-4</v>
      </c>
    </row>
    <row r="11879" spans="1:6" x14ac:dyDescent="0.25">
      <c r="A11879" s="1" t="str">
        <f t="shared" si="435"/>
        <v>22540</v>
      </c>
      <c r="B11879" s="1" t="str">
        <f>"53057"</f>
        <v>53057</v>
      </c>
      <c r="C11879" s="2">
        <v>1.5002860714966801E-2</v>
      </c>
      <c r="D11879" s="2">
        <v>6.6938300349243304E-3</v>
      </c>
      <c r="E11879" s="2">
        <v>3.1075201988812898E-3</v>
      </c>
      <c r="F11879" s="2">
        <v>1.40898996860402E-2</v>
      </c>
    </row>
    <row r="11880" spans="1:6" x14ac:dyDescent="0.25">
      <c r="A11880" s="1" t="str">
        <f t="shared" si="435"/>
        <v>22540</v>
      </c>
      <c r="B11880" s="1" t="str">
        <f>"53079"</f>
        <v>53079</v>
      </c>
      <c r="C11880" s="2">
        <v>1.4430717721599399E-2</v>
      </c>
      <c r="D11880" s="2">
        <v>7.2759022118742698E-3</v>
      </c>
      <c r="E11880" s="2">
        <v>4.3505282784337997E-3</v>
      </c>
      <c r="F11880" s="2">
        <v>1.36495903208515E-2</v>
      </c>
    </row>
    <row r="11881" spans="1:6" x14ac:dyDescent="0.25">
      <c r="A11881" s="1" t="str">
        <f t="shared" si="435"/>
        <v>22540</v>
      </c>
      <c r="B11881" s="1" t="str">
        <f>"53919"</f>
        <v>53919</v>
      </c>
      <c r="C11881" s="2">
        <v>2.12752431607721E-2</v>
      </c>
      <c r="D11881" s="2">
        <v>1.0186263096623901E-2</v>
      </c>
      <c r="E11881" s="2">
        <v>8.0795525170913596E-3</v>
      </c>
      <c r="F11881" s="2">
        <v>2.0139367486024899E-2</v>
      </c>
    </row>
    <row r="11882" spans="1:6" x14ac:dyDescent="0.25">
      <c r="A11882" s="1" t="str">
        <f t="shared" si="435"/>
        <v>22540</v>
      </c>
      <c r="B11882" s="1" t="str">
        <f>"54935"</f>
        <v>54935</v>
      </c>
      <c r="C11882" s="2">
        <v>0.41425271767921801</v>
      </c>
      <c r="D11882" s="2">
        <v>0.44586728754365501</v>
      </c>
      <c r="E11882" s="2">
        <v>0.63269111249223098</v>
      </c>
      <c r="F11882" s="2">
        <v>0.423060724404625</v>
      </c>
    </row>
    <row r="11883" spans="1:6" x14ac:dyDescent="0.25">
      <c r="A11883" s="1" t="str">
        <f t="shared" si="435"/>
        <v>22540</v>
      </c>
      <c r="B11883" s="1" t="str">
        <f>"54937"</f>
        <v>54937</v>
      </c>
      <c r="C11883" s="2">
        <v>0.19808861859252799</v>
      </c>
      <c r="D11883" s="2">
        <v>0.17549476135040701</v>
      </c>
      <c r="E11883" s="2">
        <v>0.148539465506525</v>
      </c>
      <c r="F11883" s="2">
        <v>0.19507619266406301</v>
      </c>
    </row>
    <row r="11884" spans="1:6" x14ac:dyDescent="0.25">
      <c r="A11884" s="1" t="str">
        <f t="shared" si="435"/>
        <v>22540</v>
      </c>
      <c r="B11884" s="1" t="str">
        <f>"53010"</f>
        <v>53010</v>
      </c>
      <c r="C11884" s="2">
        <v>6.9653111822169406E-2</v>
      </c>
      <c r="D11884" s="2">
        <v>2.9685681024446998E-2</v>
      </c>
      <c r="E11884" s="2">
        <v>2.8589185829707799E-2</v>
      </c>
      <c r="F11884" s="2">
        <v>6.5759246496668894E-2</v>
      </c>
    </row>
    <row r="11885" spans="1:6" x14ac:dyDescent="0.25">
      <c r="A11885" s="1" t="str">
        <f t="shared" si="435"/>
        <v>22540</v>
      </c>
      <c r="B11885" s="1" t="str">
        <f>"53019"</f>
        <v>53019</v>
      </c>
      <c r="C11885" s="2">
        <v>1.7821194719331999E-2</v>
      </c>
      <c r="D11885" s="2">
        <v>8.7310826542491195E-3</v>
      </c>
      <c r="E11885" s="2">
        <v>4.9720323182100602E-3</v>
      </c>
      <c r="F11885" s="2">
        <v>1.6827475304387701E-2</v>
      </c>
    </row>
    <row r="11886" spans="1:6" x14ac:dyDescent="0.25">
      <c r="A11886" s="1" t="str">
        <f t="shared" si="435"/>
        <v>22540</v>
      </c>
      <c r="B11886" s="1" t="str">
        <f>"54979"</f>
        <v>54979</v>
      </c>
      <c r="C11886" s="2">
        <v>1.3519527028458799E-2</v>
      </c>
      <c r="D11886" s="2">
        <v>4.9476135040745E-3</v>
      </c>
      <c r="E11886" s="2">
        <v>4.3505282784337997E-3</v>
      </c>
      <c r="F11886" s="2">
        <v>1.2673252163259E-2</v>
      </c>
    </row>
    <row r="11887" spans="1:6" x14ac:dyDescent="0.25">
      <c r="A11887" s="1" t="str">
        <f t="shared" si="435"/>
        <v>22540</v>
      </c>
      <c r="B11887" s="1" t="str">
        <f>"54932"</f>
        <v>54932</v>
      </c>
      <c r="C11887" s="2">
        <v>9.4297641499438405E-3</v>
      </c>
      <c r="D11887" s="2">
        <v>3.7834691501746199E-3</v>
      </c>
      <c r="E11887" s="2">
        <v>1.2430080795525101E-3</v>
      </c>
      <c r="F11887" s="2">
        <v>8.80618730377517E-3</v>
      </c>
    </row>
    <row r="11888" spans="1:6" x14ac:dyDescent="0.25">
      <c r="A11888" s="1" t="str">
        <f t="shared" si="435"/>
        <v>22540</v>
      </c>
      <c r="B11888" s="1" t="str">
        <f>"53014"</f>
        <v>53014</v>
      </c>
      <c r="C11888" s="2">
        <v>3.3904769977326102E-4</v>
      </c>
      <c r="D11888" s="2">
        <v>2.9103608847497002E-4</v>
      </c>
      <c r="E11888" s="2">
        <v>0</v>
      </c>
      <c r="F11888" s="2">
        <v>3.2544605253082102E-4</v>
      </c>
    </row>
    <row r="11889" spans="1:6" x14ac:dyDescent="0.25">
      <c r="A11889" s="1" t="str">
        <f t="shared" si="435"/>
        <v>22540</v>
      </c>
      <c r="B11889" s="1" t="str">
        <f>"53931"</f>
        <v>53931</v>
      </c>
      <c r="C11889" s="2">
        <v>2.43690534212031E-3</v>
      </c>
      <c r="D11889" s="2">
        <v>0</v>
      </c>
      <c r="E11889" s="2">
        <v>6.8365444375388402E-3</v>
      </c>
      <c r="F11889" s="2">
        <v>2.4121295658166698E-3</v>
      </c>
    </row>
    <row r="11890" spans="1:6" x14ac:dyDescent="0.25">
      <c r="A11890" s="1" t="str">
        <f t="shared" si="435"/>
        <v>22540</v>
      </c>
      <c r="B11890" s="1" t="str">
        <f>"53023"</f>
        <v>53023</v>
      </c>
      <c r="C11890" s="2">
        <v>2.3309529359411701E-4</v>
      </c>
      <c r="D11890" s="2">
        <v>5.8207217694994102E-4</v>
      </c>
      <c r="E11890" s="2">
        <v>0</v>
      </c>
      <c r="F11890" s="2">
        <v>2.4887051075886299E-4</v>
      </c>
    </row>
    <row r="11891" spans="1:6" x14ac:dyDescent="0.25">
      <c r="A11891" s="1" t="str">
        <f t="shared" si="435"/>
        <v>22540</v>
      </c>
      <c r="B11891" s="1" t="str">
        <f>"53006"</f>
        <v>53006</v>
      </c>
      <c r="C11891" s="2">
        <v>4.0473819160433099E-3</v>
      </c>
      <c r="D11891" s="2">
        <v>2.9103608847497E-3</v>
      </c>
      <c r="E11891" s="2">
        <v>1.2430080795525101E-3</v>
      </c>
      <c r="F11891" s="2">
        <v>3.8862087449268701E-3</v>
      </c>
    </row>
    <row r="11892" spans="1:6" x14ac:dyDescent="0.25">
      <c r="A11892" s="1" t="str">
        <f t="shared" si="435"/>
        <v>22540</v>
      </c>
      <c r="B11892" s="1" t="str">
        <f>"54904"</f>
        <v>54904</v>
      </c>
      <c r="C11892" s="2">
        <v>8.4761924943315404E-5</v>
      </c>
      <c r="D11892" s="2">
        <v>2.9103608847497002E-4</v>
      </c>
      <c r="E11892" s="2">
        <v>0</v>
      </c>
      <c r="F11892" s="2">
        <v>9.5719427214947496E-5</v>
      </c>
    </row>
    <row r="11893" spans="1:6" x14ac:dyDescent="0.25">
      <c r="A11893" s="1" t="str">
        <f t="shared" si="435"/>
        <v>22540</v>
      </c>
      <c r="B11893" s="1" t="str">
        <f>"54936"</f>
        <v>54936</v>
      </c>
      <c r="C11893" s="2">
        <v>1.6210718145409E-2</v>
      </c>
      <c r="D11893" s="2">
        <v>0.12718277066356201</v>
      </c>
      <c r="E11893" s="2">
        <v>1.2430080795525101E-3</v>
      </c>
      <c r="F11893" s="2">
        <v>2.3049238073359301E-2</v>
      </c>
    </row>
    <row r="11894" spans="1:6" x14ac:dyDescent="0.25">
      <c r="A11894" s="1" t="str">
        <f t="shared" ref="A11894:A11911" si="436">"22580"</f>
        <v>22580</v>
      </c>
      <c r="B11894" s="1" t="str">
        <f>"28150"</f>
        <v>28150</v>
      </c>
      <c r="C11894" s="2">
        <v>5.5711858269032503E-4</v>
      </c>
      <c r="D11894" s="2">
        <v>3.20102432778489E-4</v>
      </c>
      <c r="E11894" s="2">
        <v>0</v>
      </c>
      <c r="F11894" s="2">
        <v>5.2642133761155103E-4</v>
      </c>
    </row>
    <row r="11895" spans="1:6" x14ac:dyDescent="0.25">
      <c r="A11895" s="1" t="str">
        <f t="shared" si="436"/>
        <v>22580</v>
      </c>
      <c r="B11895" s="1" t="str">
        <f>"28139"</f>
        <v>28139</v>
      </c>
      <c r="C11895" s="2">
        <v>0.28368478230591299</v>
      </c>
      <c r="D11895" s="2">
        <v>0.27944942381561999</v>
      </c>
      <c r="E11895" s="2">
        <v>0.26237054085155298</v>
      </c>
      <c r="F11895" s="2">
        <v>0.28288879975935</v>
      </c>
    </row>
    <row r="11896" spans="1:6" x14ac:dyDescent="0.25">
      <c r="A11896" s="1" t="str">
        <f t="shared" si="436"/>
        <v>22580</v>
      </c>
      <c r="B11896" s="1" t="str">
        <f>"28160"</f>
        <v>28160</v>
      </c>
      <c r="C11896" s="2">
        <v>7.4765313797041696E-2</v>
      </c>
      <c r="D11896" s="2">
        <v>0.15524967989756699</v>
      </c>
      <c r="E11896" s="2">
        <v>0.15995397008055201</v>
      </c>
      <c r="F11896" s="2">
        <v>8.2923894515190999E-2</v>
      </c>
    </row>
    <row r="11897" spans="1:6" x14ac:dyDescent="0.25">
      <c r="A11897" s="1" t="str">
        <f t="shared" si="436"/>
        <v>22580</v>
      </c>
      <c r="B11897" s="1" t="str">
        <f>"28720"</f>
        <v>28720</v>
      </c>
      <c r="C11897" s="2">
        <v>0</v>
      </c>
      <c r="D11897" s="2">
        <v>0</v>
      </c>
      <c r="E11897" s="2">
        <v>1.15074798619102E-3</v>
      </c>
      <c r="F11897" s="2">
        <v>2.50676827434071E-5</v>
      </c>
    </row>
    <row r="11898" spans="1:6" x14ac:dyDescent="0.25">
      <c r="A11898" s="1" t="str">
        <f t="shared" si="436"/>
        <v>22580</v>
      </c>
      <c r="B11898" s="1" t="str">
        <f>"28752"</f>
        <v>28752</v>
      </c>
      <c r="C11898" s="2">
        <v>8.3567787403548798E-5</v>
      </c>
      <c r="D11898" s="2">
        <v>0</v>
      </c>
      <c r="E11898" s="2">
        <v>0</v>
      </c>
      <c r="F11898" s="2">
        <v>7.5203048230221498E-5</v>
      </c>
    </row>
    <row r="11899" spans="1:6" x14ac:dyDescent="0.25">
      <c r="A11899" s="1" t="str">
        <f t="shared" si="436"/>
        <v>22580</v>
      </c>
      <c r="B11899" s="1" t="str">
        <f>"28024"</f>
        <v>28024</v>
      </c>
      <c r="C11899" s="2">
        <v>0</v>
      </c>
      <c r="D11899" s="2">
        <v>0</v>
      </c>
      <c r="E11899" s="2">
        <v>1.15074798619102E-3</v>
      </c>
      <c r="F11899" s="2">
        <v>2.50676827434071E-5</v>
      </c>
    </row>
    <row r="11900" spans="1:6" x14ac:dyDescent="0.25">
      <c r="A11900" s="1" t="str">
        <f t="shared" si="436"/>
        <v>22580</v>
      </c>
      <c r="B11900" s="1" t="str">
        <f>"28019"</f>
        <v>28019</v>
      </c>
      <c r="C11900" s="2">
        <v>0</v>
      </c>
      <c r="D11900" s="2">
        <v>0</v>
      </c>
      <c r="E11900" s="2">
        <v>1.15074798619102E-3</v>
      </c>
      <c r="F11900" s="2">
        <v>2.50676827434071E-5</v>
      </c>
    </row>
    <row r="11901" spans="1:6" x14ac:dyDescent="0.25">
      <c r="A11901" s="1" t="str">
        <f t="shared" si="436"/>
        <v>22580</v>
      </c>
      <c r="B11901" s="1" t="str">
        <f>"28043"</f>
        <v>28043</v>
      </c>
      <c r="C11901" s="2">
        <v>0.30766873729073202</v>
      </c>
      <c r="D11901" s="2">
        <v>0.45390524967989698</v>
      </c>
      <c r="E11901" s="2">
        <v>0.44073647871116201</v>
      </c>
      <c r="F11901" s="2">
        <v>0.32201945252180803</v>
      </c>
    </row>
    <row r="11902" spans="1:6" x14ac:dyDescent="0.25">
      <c r="A11902" s="1" t="str">
        <f t="shared" si="436"/>
        <v>22580</v>
      </c>
      <c r="B11902" s="1" t="str">
        <f>"28167"</f>
        <v>28167</v>
      </c>
      <c r="C11902" s="2">
        <v>3.8218334772556303E-2</v>
      </c>
      <c r="D11902" s="2">
        <v>7.6824583866837298E-3</v>
      </c>
      <c r="E11902" s="2">
        <v>1.15074798619102E-3</v>
      </c>
      <c r="F11902" s="2">
        <v>3.50195527925398E-2</v>
      </c>
    </row>
    <row r="11903" spans="1:6" x14ac:dyDescent="0.25">
      <c r="A11903" s="1" t="str">
        <f t="shared" si="436"/>
        <v>22580</v>
      </c>
      <c r="B11903" s="1" t="str">
        <f>"28074"</f>
        <v>28074</v>
      </c>
      <c r="C11903" s="2">
        <v>0</v>
      </c>
      <c r="D11903" s="2">
        <v>0</v>
      </c>
      <c r="E11903" s="2">
        <v>2.3014959723820401E-3</v>
      </c>
      <c r="F11903" s="2">
        <v>5.0135365486814303E-5</v>
      </c>
    </row>
    <row r="11904" spans="1:6" x14ac:dyDescent="0.25">
      <c r="A11904" s="1" t="str">
        <f t="shared" si="436"/>
        <v>22580</v>
      </c>
      <c r="B11904" s="1" t="str">
        <f>"28040"</f>
        <v>28040</v>
      </c>
      <c r="C11904" s="2">
        <v>9.3707345608512696E-2</v>
      </c>
      <c r="D11904" s="2">
        <v>1.92061459667093E-2</v>
      </c>
      <c r="E11904" s="2">
        <v>3.56731875719217E-2</v>
      </c>
      <c r="F11904" s="2">
        <v>8.66088438784718E-2</v>
      </c>
    </row>
    <row r="11905" spans="1:6" x14ac:dyDescent="0.25">
      <c r="A11905" s="1" t="str">
        <f t="shared" si="436"/>
        <v>22580</v>
      </c>
      <c r="B11905" s="1" t="str">
        <f>"28076"</f>
        <v>28076</v>
      </c>
      <c r="C11905" s="2">
        <v>0</v>
      </c>
      <c r="D11905" s="2">
        <v>0</v>
      </c>
      <c r="E11905" s="2">
        <v>1.15074798619102E-3</v>
      </c>
      <c r="F11905" s="2">
        <v>2.50676827434071E-5</v>
      </c>
    </row>
    <row r="11906" spans="1:6" x14ac:dyDescent="0.25">
      <c r="A11906" s="1" t="str">
        <f t="shared" si="436"/>
        <v>22580</v>
      </c>
      <c r="B11906" s="1" t="str">
        <f>"28020"</f>
        <v>28020</v>
      </c>
      <c r="C11906" s="2">
        <v>2.2284743307613001E-3</v>
      </c>
      <c r="D11906" s="2">
        <v>6.4020486555697799E-4</v>
      </c>
      <c r="E11906" s="2">
        <v>1.15074798619102E-3</v>
      </c>
      <c r="F11906" s="2">
        <v>2.0806176677027901E-3</v>
      </c>
    </row>
    <row r="11907" spans="1:6" x14ac:dyDescent="0.25">
      <c r="A11907" s="1" t="str">
        <f t="shared" si="436"/>
        <v>22580</v>
      </c>
      <c r="B11907" s="1" t="str">
        <f>"28756"</f>
        <v>28756</v>
      </c>
      <c r="C11907" s="2">
        <v>1.00281344884258E-3</v>
      </c>
      <c r="D11907" s="2">
        <v>3.20102432778489E-4</v>
      </c>
      <c r="E11907" s="2">
        <v>0</v>
      </c>
      <c r="F11907" s="2">
        <v>9.2750426150606604E-4</v>
      </c>
    </row>
    <row r="11908" spans="1:6" x14ac:dyDescent="0.25">
      <c r="A11908" s="1" t="str">
        <f t="shared" si="436"/>
        <v>22580</v>
      </c>
      <c r="B11908" s="1" t="str">
        <f>"28018"</f>
        <v>28018</v>
      </c>
      <c r="C11908" s="2">
        <v>7.3400373269450397E-2</v>
      </c>
      <c r="D11908" s="2">
        <v>3.2970550576184303E-2</v>
      </c>
      <c r="E11908" s="2">
        <v>1.7261219792865299E-2</v>
      </c>
      <c r="F11908" s="2">
        <v>6.9011330592600006E-2</v>
      </c>
    </row>
    <row r="11909" spans="1:6" x14ac:dyDescent="0.25">
      <c r="A11909" s="1" t="str">
        <f t="shared" si="436"/>
        <v>22580</v>
      </c>
      <c r="B11909" s="1" t="str">
        <f>"28746"</f>
        <v>28746</v>
      </c>
      <c r="C11909" s="2">
        <v>6.9834814340232296E-2</v>
      </c>
      <c r="D11909" s="2">
        <v>3.0729833546734898E-2</v>
      </c>
      <c r="E11909" s="2">
        <v>5.75373993095512E-2</v>
      </c>
      <c r="F11909" s="2">
        <v>6.6504562318259297E-2</v>
      </c>
    </row>
    <row r="11910" spans="1:6" x14ac:dyDescent="0.25">
      <c r="A11910" s="1" t="str">
        <f t="shared" si="436"/>
        <v>22580</v>
      </c>
      <c r="B11910" s="1" t="str">
        <f>"28711"</f>
        <v>28711</v>
      </c>
      <c r="C11910" s="2">
        <v>7.5211008663193899E-4</v>
      </c>
      <c r="D11910" s="2">
        <v>3.20102432778489E-4</v>
      </c>
      <c r="E11910" s="2">
        <v>0</v>
      </c>
      <c r="F11910" s="2">
        <v>7.0189511681540101E-4</v>
      </c>
    </row>
    <row r="11911" spans="1:6" x14ac:dyDescent="0.25">
      <c r="A11911" s="1" t="str">
        <f t="shared" si="436"/>
        <v>22580</v>
      </c>
      <c r="B11911" s="1" t="str">
        <f>"28114"</f>
        <v>28114</v>
      </c>
      <c r="C11911" s="2">
        <v>5.4096214379230602E-2</v>
      </c>
      <c r="D11911" s="2">
        <v>1.92061459667093E-2</v>
      </c>
      <c r="E11911" s="2">
        <v>1.7261219792865299E-2</v>
      </c>
      <c r="F11911" s="2">
        <v>5.0561516093452302E-2</v>
      </c>
    </row>
    <row r="11912" spans="1:6" x14ac:dyDescent="0.25">
      <c r="A11912" s="1" t="str">
        <f t="shared" ref="A11912:A11926" si="437">"22620"</f>
        <v>22620</v>
      </c>
      <c r="B11912" s="1" t="str">
        <f>"72368"</f>
        <v>72368</v>
      </c>
      <c r="C11912" s="2">
        <v>1.83351668500183E-4</v>
      </c>
      <c r="D11912" s="2">
        <v>0</v>
      </c>
      <c r="E11912" s="2">
        <v>0</v>
      </c>
      <c r="F11912" s="2">
        <v>1.6508460586050301E-4</v>
      </c>
    </row>
    <row r="11913" spans="1:6" x14ac:dyDescent="0.25">
      <c r="A11913" s="1" t="str">
        <f t="shared" si="437"/>
        <v>22620</v>
      </c>
      <c r="B11913" s="1" t="str">
        <f>"72359"</f>
        <v>72359</v>
      </c>
      <c r="C11913" s="2">
        <v>9.1675834250091594E-5</v>
      </c>
      <c r="D11913" s="2">
        <v>0</v>
      </c>
      <c r="E11913" s="2">
        <v>3.8610038610038598E-3</v>
      </c>
      <c r="F11913" s="2">
        <v>1.6508460586050301E-4</v>
      </c>
    </row>
    <row r="11914" spans="1:6" x14ac:dyDescent="0.25">
      <c r="A11914" s="1" t="str">
        <f t="shared" si="437"/>
        <v>22620</v>
      </c>
      <c r="B11914" s="1" t="str">
        <f>"72335"</f>
        <v>72335</v>
      </c>
      <c r="C11914" s="2">
        <v>0.70617895122845598</v>
      </c>
      <c r="D11914" s="2">
        <v>0.82172995780590696</v>
      </c>
      <c r="E11914" s="2">
        <v>0.89961389961389904</v>
      </c>
      <c r="F11914" s="2">
        <v>0.71935617003714403</v>
      </c>
    </row>
    <row r="11915" spans="1:6" x14ac:dyDescent="0.25">
      <c r="A11915" s="1" t="str">
        <f t="shared" si="437"/>
        <v>22620</v>
      </c>
      <c r="B11915" s="1" t="str">
        <f>"72376"</f>
        <v>72376</v>
      </c>
      <c r="C11915" s="2">
        <v>1.28346167950128E-3</v>
      </c>
      <c r="D11915" s="2">
        <v>0</v>
      </c>
      <c r="E11915" s="2">
        <v>0</v>
      </c>
      <c r="F11915" s="2">
        <v>1.1555922410235199E-3</v>
      </c>
    </row>
    <row r="11916" spans="1:6" x14ac:dyDescent="0.25">
      <c r="A11916" s="1" t="str">
        <f t="shared" si="437"/>
        <v>22620</v>
      </c>
      <c r="B11916" s="1" t="str">
        <f>"72021"</f>
        <v>72021</v>
      </c>
      <c r="C11916" s="2">
        <v>5.5005500550055003E-4</v>
      </c>
      <c r="D11916" s="2">
        <v>0</v>
      </c>
      <c r="E11916" s="2">
        <v>0</v>
      </c>
      <c r="F11916" s="2">
        <v>4.9525381758150995E-4</v>
      </c>
    </row>
    <row r="11917" spans="1:6" x14ac:dyDescent="0.25">
      <c r="A11917" s="1" t="str">
        <f t="shared" si="437"/>
        <v>22620</v>
      </c>
      <c r="B11917" s="1" t="str">
        <f>"72396"</f>
        <v>72396</v>
      </c>
      <c r="C11917" s="2">
        <v>3.1169783645031098E-3</v>
      </c>
      <c r="D11917" s="2">
        <v>0</v>
      </c>
      <c r="E11917" s="2">
        <v>0</v>
      </c>
      <c r="F11917" s="2">
        <v>2.8064382996285499E-3</v>
      </c>
    </row>
    <row r="11918" spans="1:6" x14ac:dyDescent="0.25">
      <c r="A11918" s="1" t="str">
        <f t="shared" si="437"/>
        <v>22620</v>
      </c>
      <c r="B11918" s="1" t="str">
        <f>"72340"</f>
        <v>72340</v>
      </c>
      <c r="C11918" s="2">
        <v>0</v>
      </c>
      <c r="D11918" s="2">
        <v>0</v>
      </c>
      <c r="E11918" s="2">
        <v>3.8610038610038598E-3</v>
      </c>
      <c r="F11918" s="2">
        <v>8.2542302930251694E-5</v>
      </c>
    </row>
    <row r="11919" spans="1:6" x14ac:dyDescent="0.25">
      <c r="A11919" s="1" t="str">
        <f t="shared" si="437"/>
        <v>22620</v>
      </c>
      <c r="B11919" s="1" t="str">
        <f>"72346"</f>
        <v>72346</v>
      </c>
      <c r="C11919" s="2">
        <v>3.2361569490282301E-2</v>
      </c>
      <c r="D11919" s="2">
        <v>2.63713080168776E-2</v>
      </c>
      <c r="E11919" s="2">
        <v>3.8610038610038598E-3</v>
      </c>
      <c r="F11919" s="2">
        <v>3.1283532810565402E-2</v>
      </c>
    </row>
    <row r="11920" spans="1:6" x14ac:dyDescent="0.25">
      <c r="A11920" s="1" t="str">
        <f t="shared" si="437"/>
        <v>22620</v>
      </c>
      <c r="B11920" s="1" t="str">
        <f>"72372"</f>
        <v>72372</v>
      </c>
      <c r="C11920" s="2">
        <v>7.5082508250825006E-2</v>
      </c>
      <c r="D11920" s="2">
        <v>2.3206751054852301E-2</v>
      </c>
      <c r="E11920" s="2">
        <v>2.3166023166023099E-2</v>
      </c>
      <c r="F11920" s="2">
        <v>6.99133305819232E-2</v>
      </c>
    </row>
    <row r="11921" spans="1:6" x14ac:dyDescent="0.25">
      <c r="A11921" s="1" t="str">
        <f t="shared" si="437"/>
        <v>22620</v>
      </c>
      <c r="B11921" s="1" t="str">
        <f>"72394"</f>
        <v>72394</v>
      </c>
      <c r="C11921" s="2">
        <v>2.52108544187752E-2</v>
      </c>
      <c r="D11921" s="2">
        <v>1.68776371308016E-2</v>
      </c>
      <c r="E11921" s="2">
        <v>3.8610038610038598E-3</v>
      </c>
      <c r="F11921" s="2">
        <v>2.41023524556335E-2</v>
      </c>
    </row>
    <row r="11922" spans="1:6" x14ac:dyDescent="0.25">
      <c r="A11922" s="1" t="str">
        <f t="shared" si="437"/>
        <v>22620</v>
      </c>
      <c r="B11922" s="1" t="str">
        <f>"72392"</f>
        <v>72392</v>
      </c>
      <c r="C11922" s="2">
        <v>7.2423909057572396E-3</v>
      </c>
      <c r="D11922" s="2">
        <v>8.4388185654008397E-3</v>
      </c>
      <c r="E11922" s="2">
        <v>1.1583011583011499E-2</v>
      </c>
      <c r="F11922" s="2">
        <v>7.4288072637226504E-3</v>
      </c>
    </row>
    <row r="11923" spans="1:6" x14ac:dyDescent="0.25">
      <c r="A11923" s="1" t="str">
        <f t="shared" si="437"/>
        <v>22620</v>
      </c>
      <c r="B11923" s="1" t="str">
        <f>"72326"</f>
        <v>72326</v>
      </c>
      <c r="C11923" s="2">
        <v>0.105793912724605</v>
      </c>
      <c r="D11923" s="2">
        <v>4.8523206751054801E-2</v>
      </c>
      <c r="E11923" s="2">
        <v>1.9305019305019301E-2</v>
      </c>
      <c r="F11923" s="2">
        <v>9.9463475030953305E-2</v>
      </c>
    </row>
    <row r="11924" spans="1:6" x14ac:dyDescent="0.25">
      <c r="A11924" s="1" t="str">
        <f t="shared" si="437"/>
        <v>22620</v>
      </c>
      <c r="B11924" s="1" t="str">
        <f>"72360"</f>
        <v>72360</v>
      </c>
      <c r="C11924" s="2">
        <v>1.83351668500183E-4</v>
      </c>
      <c r="D11924" s="2">
        <v>0</v>
      </c>
      <c r="E11924" s="2">
        <v>0</v>
      </c>
      <c r="F11924" s="2">
        <v>1.6508460586050301E-4</v>
      </c>
    </row>
    <row r="11925" spans="1:6" x14ac:dyDescent="0.25">
      <c r="A11925" s="1" t="str">
        <f t="shared" si="437"/>
        <v>22620</v>
      </c>
      <c r="B11925" s="1" t="str">
        <f>"72322"</f>
        <v>72322</v>
      </c>
      <c r="C11925" s="2">
        <v>0</v>
      </c>
      <c r="D11925" s="2">
        <v>0</v>
      </c>
      <c r="E11925" s="2">
        <v>3.8610038610038598E-3</v>
      </c>
      <c r="F11925" s="2">
        <v>8.2542302930251694E-5</v>
      </c>
    </row>
    <row r="11926" spans="1:6" x14ac:dyDescent="0.25">
      <c r="A11926" s="1" t="str">
        <f t="shared" si="437"/>
        <v>22620</v>
      </c>
      <c r="B11926" s="1" t="str">
        <f>"72348"</f>
        <v>72348</v>
      </c>
      <c r="C11926" s="2">
        <v>4.2720938760542698E-2</v>
      </c>
      <c r="D11926" s="2">
        <v>5.4852320675105398E-2</v>
      </c>
      <c r="E11926" s="2">
        <v>2.7027027027027001E-2</v>
      </c>
      <c r="F11926" s="2">
        <v>4.3334709038382102E-2</v>
      </c>
    </row>
    <row r="11927" spans="1:6" x14ac:dyDescent="0.25">
      <c r="A11927" s="1" t="str">
        <f t="shared" ref="A11927:A11958" si="438">"22660"</f>
        <v>22660</v>
      </c>
      <c r="B11927" s="1" t="str">
        <f>"80545"</f>
        <v>80545</v>
      </c>
      <c r="C11927" s="2">
        <v>4.2605858733345504E-3</v>
      </c>
      <c r="D11927" s="2">
        <v>1.6917170928492399E-3</v>
      </c>
      <c r="E11927" s="2">
        <v>4.8414427499394801E-4</v>
      </c>
      <c r="F11927" s="2">
        <v>3.9053272282228999E-3</v>
      </c>
    </row>
    <row r="11928" spans="1:6" x14ac:dyDescent="0.25">
      <c r="A11928" s="1" t="str">
        <f t="shared" si="438"/>
        <v>22660</v>
      </c>
      <c r="B11928" s="1" t="str">
        <f>"80527"</f>
        <v>80527</v>
      </c>
      <c r="C11928" s="2">
        <v>1.1304526373425799E-2</v>
      </c>
      <c r="D11928" s="2">
        <v>4.4179842540178198E-2</v>
      </c>
      <c r="E11928" s="2">
        <v>2.4207213749697401E-4</v>
      </c>
      <c r="F11928" s="2">
        <v>1.33846671927382E-2</v>
      </c>
    </row>
    <row r="11929" spans="1:6" x14ac:dyDescent="0.25">
      <c r="A11929" s="1" t="str">
        <f t="shared" si="438"/>
        <v>22660</v>
      </c>
      <c r="B11929" s="1" t="str">
        <f>"80550"</f>
        <v>80550</v>
      </c>
      <c r="C11929" s="2">
        <v>1.2992790655229E-2</v>
      </c>
      <c r="D11929" s="2">
        <v>5.2703494046457099E-3</v>
      </c>
      <c r="E11929" s="2">
        <v>8.1094166061486308E-3</v>
      </c>
      <c r="F11929" s="2">
        <v>1.2193466995712599E-2</v>
      </c>
    </row>
    <row r="11930" spans="1:6" x14ac:dyDescent="0.25">
      <c r="A11930" s="1" t="str">
        <f t="shared" si="438"/>
        <v>22660</v>
      </c>
      <c r="B11930" s="1" t="str">
        <f>"80515"</f>
        <v>80515</v>
      </c>
      <c r="C11930" s="2">
        <v>1.5114528198576301E-3</v>
      </c>
      <c r="D11930" s="2">
        <v>2.6026416813065199E-4</v>
      </c>
      <c r="E11930" s="2">
        <v>3.9941902687000699E-3</v>
      </c>
      <c r="F11930" s="2">
        <v>1.5179006730029799E-3</v>
      </c>
    </row>
    <row r="11931" spans="1:6" x14ac:dyDescent="0.25">
      <c r="A11931" s="1" t="str">
        <f t="shared" si="438"/>
        <v>22660</v>
      </c>
      <c r="B11931" s="1" t="str">
        <f>"80537"</f>
        <v>80537</v>
      </c>
      <c r="C11931" s="2">
        <v>0.114967375433473</v>
      </c>
      <c r="D11931" s="2">
        <v>0.15713449150888101</v>
      </c>
      <c r="E11931" s="2">
        <v>0.104817235536189</v>
      </c>
      <c r="F11931" s="2">
        <v>0.117803165476304</v>
      </c>
    </row>
    <row r="11932" spans="1:6" x14ac:dyDescent="0.25">
      <c r="A11932" s="1" t="str">
        <f t="shared" si="438"/>
        <v>22660</v>
      </c>
      <c r="B11932" s="1" t="str">
        <f>"80522"</f>
        <v>80522</v>
      </c>
      <c r="C11932" s="2">
        <v>6.9583865668917597E-3</v>
      </c>
      <c r="D11932" s="2">
        <v>4.4700370876439501E-2</v>
      </c>
      <c r="E11932" s="2">
        <v>0</v>
      </c>
      <c r="F11932" s="2">
        <v>9.5848893490618602E-3</v>
      </c>
    </row>
    <row r="11933" spans="1:6" x14ac:dyDescent="0.25">
      <c r="A11933" s="1" t="str">
        <f t="shared" si="438"/>
        <v>22660</v>
      </c>
      <c r="B11933" s="1" t="str">
        <f>"80539"</f>
        <v>80539</v>
      </c>
      <c r="C11933" s="2">
        <v>1.0066846139806501E-2</v>
      </c>
      <c r="D11933" s="2">
        <v>2.1536859912811498E-2</v>
      </c>
      <c r="E11933" s="2">
        <v>2.4207213749697401E-4</v>
      </c>
      <c r="F11933" s="2">
        <v>1.0544886132318699E-2</v>
      </c>
    </row>
    <row r="11934" spans="1:6" x14ac:dyDescent="0.25">
      <c r="A11934" s="1" t="str">
        <f t="shared" si="438"/>
        <v>22660</v>
      </c>
      <c r="B11934" s="1" t="str">
        <f>"80547"</f>
        <v>80547</v>
      </c>
      <c r="C11934" s="2">
        <v>1.6067028654864E-2</v>
      </c>
      <c r="D11934" s="2">
        <v>1.0996161103520001E-2</v>
      </c>
      <c r="E11934" s="2">
        <v>1.45243282498184E-3</v>
      </c>
      <c r="F11934" s="2">
        <v>1.50684311843143E-2</v>
      </c>
    </row>
    <row r="11935" spans="1:6" x14ac:dyDescent="0.25">
      <c r="A11935" s="1" t="str">
        <f t="shared" si="438"/>
        <v>22660</v>
      </c>
      <c r="B11935" s="1" t="str">
        <f>"80534"</f>
        <v>80534</v>
      </c>
      <c r="C11935" s="2">
        <v>9.5991513049826609E-3</v>
      </c>
      <c r="D11935" s="2">
        <v>9.9551044309974593E-3</v>
      </c>
      <c r="E11935" s="2">
        <v>2.7838295812151999E-3</v>
      </c>
      <c r="F11935" s="2">
        <v>9.34363361295543E-3</v>
      </c>
    </row>
    <row r="11936" spans="1:6" x14ac:dyDescent="0.25">
      <c r="A11936" s="1" t="str">
        <f t="shared" si="438"/>
        <v>22660</v>
      </c>
      <c r="B11936" s="1" t="str">
        <f>"80538"</f>
        <v>80538</v>
      </c>
      <c r="C11936" s="2">
        <v>0.12561028472348901</v>
      </c>
      <c r="D11936" s="2">
        <v>0.113930639599193</v>
      </c>
      <c r="E11936" s="2">
        <v>9.6223674655047206E-2</v>
      </c>
      <c r="F11936" s="2">
        <v>0.123487753758312</v>
      </c>
    </row>
    <row r="11937" spans="1:6" x14ac:dyDescent="0.25">
      <c r="A11937" s="1" t="str">
        <f t="shared" si="438"/>
        <v>22660</v>
      </c>
      <c r="B11937" s="1" t="str">
        <f>"80540"</f>
        <v>80540</v>
      </c>
      <c r="C11937" s="2">
        <v>4.3176218288008697E-3</v>
      </c>
      <c r="D11937" s="2">
        <v>5.8559437829396803E-4</v>
      </c>
      <c r="E11937" s="2">
        <v>0</v>
      </c>
      <c r="F11937" s="2">
        <v>3.85003945536517E-3</v>
      </c>
    </row>
    <row r="11938" spans="1:6" x14ac:dyDescent="0.25">
      <c r="A11938" s="1" t="str">
        <f t="shared" si="438"/>
        <v>22660</v>
      </c>
      <c r="B11938" s="1" t="str">
        <f>"80541"</f>
        <v>80541</v>
      </c>
      <c r="C11938" s="2">
        <v>0</v>
      </c>
      <c r="D11938" s="2">
        <v>6.5066042032663107E-5</v>
      </c>
      <c r="E11938" s="2">
        <v>0</v>
      </c>
      <c r="F11938" s="2">
        <v>5.0261611688840398E-6</v>
      </c>
    </row>
    <row r="11939" spans="1:6" x14ac:dyDescent="0.25">
      <c r="A11939" s="1" t="str">
        <f t="shared" si="438"/>
        <v>22660</v>
      </c>
      <c r="B11939" s="1" t="str">
        <f>"80532"</f>
        <v>80532</v>
      </c>
      <c r="C11939" s="2">
        <v>0</v>
      </c>
      <c r="D11939" s="2">
        <v>0</v>
      </c>
      <c r="E11939" s="2">
        <v>1.21036068748487E-4</v>
      </c>
      <c r="F11939" s="2">
        <v>5.0261611688840398E-6</v>
      </c>
    </row>
    <row r="11940" spans="1:6" x14ac:dyDescent="0.25">
      <c r="A11940" s="1" t="str">
        <f t="shared" si="438"/>
        <v>22660</v>
      </c>
      <c r="B11940" s="1" t="str">
        <f>"80511"</f>
        <v>80511</v>
      </c>
      <c r="C11940" s="2">
        <v>0</v>
      </c>
      <c r="D11940" s="2">
        <v>6.5066042032663107E-5</v>
      </c>
      <c r="E11940" s="2">
        <v>0</v>
      </c>
      <c r="F11940" s="2">
        <v>5.0261611688840398E-6</v>
      </c>
    </row>
    <row r="11941" spans="1:6" x14ac:dyDescent="0.25">
      <c r="A11941" s="1" t="str">
        <f t="shared" si="438"/>
        <v>22660</v>
      </c>
      <c r="B11941" s="1" t="str">
        <f>"80510"</f>
        <v>80510</v>
      </c>
      <c r="C11941" s="2">
        <v>9.6961124292754104E-5</v>
      </c>
      <c r="D11941" s="2">
        <v>0</v>
      </c>
      <c r="E11941" s="2">
        <v>1.21036068748487E-4</v>
      </c>
      <c r="F11941" s="2">
        <v>9.0470901039912705E-5</v>
      </c>
    </row>
    <row r="11942" spans="1:6" x14ac:dyDescent="0.25">
      <c r="A11942" s="1" t="str">
        <f t="shared" si="438"/>
        <v>22660</v>
      </c>
      <c r="B11942" s="1" t="str">
        <f>"80504"</f>
        <v>80504</v>
      </c>
      <c r="C11942" s="2">
        <v>5.3613798138346398E-4</v>
      </c>
      <c r="D11942" s="2">
        <v>0</v>
      </c>
      <c r="E11942" s="2">
        <v>0</v>
      </c>
      <c r="F11942" s="2">
        <v>4.7245914987509898E-4</v>
      </c>
    </row>
    <row r="11943" spans="1:6" x14ac:dyDescent="0.25">
      <c r="A11943" s="1" t="str">
        <f t="shared" si="438"/>
        <v>22660</v>
      </c>
      <c r="B11943" s="1" t="str">
        <f>"80513"</f>
        <v>80513</v>
      </c>
      <c r="C11943" s="2">
        <v>3.6155092170104E-2</v>
      </c>
      <c r="D11943" s="2">
        <v>1.1776953607912E-2</v>
      </c>
      <c r="E11943" s="2">
        <v>1.21036068748487E-2</v>
      </c>
      <c r="F11943" s="2">
        <v>3.3273186938012303E-2</v>
      </c>
    </row>
    <row r="11944" spans="1:6" x14ac:dyDescent="0.25">
      <c r="A11944" s="1" t="str">
        <f t="shared" si="438"/>
        <v>22660</v>
      </c>
      <c r="B11944" s="1" t="str">
        <f>"80524"</f>
        <v>80524</v>
      </c>
      <c r="C11944" s="2">
        <v>9.7708295309362994E-2</v>
      </c>
      <c r="D11944" s="2">
        <v>0.18888672002082099</v>
      </c>
      <c r="E11944" s="2">
        <v>0.18119099491648499</v>
      </c>
      <c r="F11944" s="2">
        <v>0.108218276127242</v>
      </c>
    </row>
    <row r="11945" spans="1:6" x14ac:dyDescent="0.25">
      <c r="A11945" s="1" t="str">
        <f t="shared" si="438"/>
        <v>22660</v>
      </c>
      <c r="B11945" s="1" t="str">
        <f>"80503"</f>
        <v>80503</v>
      </c>
      <c r="C11945" s="2">
        <v>1.0836831538601899E-4</v>
      </c>
      <c r="D11945" s="2">
        <v>0</v>
      </c>
      <c r="E11945" s="2">
        <v>0</v>
      </c>
      <c r="F11945" s="2">
        <v>9.5497062208796705E-5</v>
      </c>
    </row>
    <row r="11946" spans="1:6" x14ac:dyDescent="0.25">
      <c r="A11946" s="1" t="str">
        <f t="shared" si="438"/>
        <v>22660</v>
      </c>
      <c r="B11946" s="1" t="str">
        <f>"80535"</f>
        <v>80535</v>
      </c>
      <c r="C11946" s="2">
        <v>1.1732296039423201E-2</v>
      </c>
      <c r="D11946" s="2">
        <v>1.26228121543366E-2</v>
      </c>
      <c r="E11946" s="2">
        <v>3.3890099249576301E-3</v>
      </c>
      <c r="F11946" s="2">
        <v>1.14546213038867E-2</v>
      </c>
    </row>
    <row r="11947" spans="1:6" x14ac:dyDescent="0.25">
      <c r="A11947" s="1" t="str">
        <f t="shared" si="438"/>
        <v>22660</v>
      </c>
      <c r="B11947" s="1" t="str">
        <f>"80523"</f>
        <v>80523</v>
      </c>
      <c r="C11947" s="2">
        <v>0</v>
      </c>
      <c r="D11947" s="2">
        <v>6.5066042032663107E-5</v>
      </c>
      <c r="E11947" s="2">
        <v>2.1302348099733699E-2</v>
      </c>
      <c r="F11947" s="2">
        <v>8.8963052689247505E-4</v>
      </c>
    </row>
    <row r="11948" spans="1:6" x14ac:dyDescent="0.25">
      <c r="A11948" s="1" t="str">
        <f t="shared" si="438"/>
        <v>22660</v>
      </c>
      <c r="B11948" s="1" t="str">
        <f>"80512"</f>
        <v>80512</v>
      </c>
      <c r="C11948" s="2">
        <v>9.2113068078116395E-3</v>
      </c>
      <c r="D11948" s="2">
        <v>6.3114060771683198E-3</v>
      </c>
      <c r="E11948" s="2">
        <v>4.8414427499394801E-4</v>
      </c>
      <c r="F11948" s="2">
        <v>8.6248925658050108E-3</v>
      </c>
    </row>
    <row r="11949" spans="1:6" x14ac:dyDescent="0.25">
      <c r="A11949" s="1" t="str">
        <f t="shared" si="438"/>
        <v>22660</v>
      </c>
      <c r="B11949" s="1" t="str">
        <f>"80525"</f>
        <v>80525</v>
      </c>
      <c r="C11949" s="2">
        <v>0.152377258623836</v>
      </c>
      <c r="D11949" s="2">
        <v>0.18810592751642899</v>
      </c>
      <c r="E11949" s="2">
        <v>0.197288792060033</v>
      </c>
      <c r="F11949" s="2">
        <v>0.15700219643242999</v>
      </c>
    </row>
    <row r="11950" spans="1:6" x14ac:dyDescent="0.25">
      <c r="A11950" s="1" t="str">
        <f t="shared" si="438"/>
        <v>22660</v>
      </c>
      <c r="B11950" s="1" t="str">
        <f>"80517"</f>
        <v>80517</v>
      </c>
      <c r="C11950" s="2">
        <v>5.3967421062237599E-2</v>
      </c>
      <c r="D11950" s="2">
        <v>5.8364239703298799E-2</v>
      </c>
      <c r="E11950" s="2">
        <v>5.0835148874364501E-2</v>
      </c>
      <c r="F11950" s="2">
        <v>5.4176991239401E-2</v>
      </c>
    </row>
    <row r="11951" spans="1:6" x14ac:dyDescent="0.25">
      <c r="A11951" s="1" t="str">
        <f t="shared" si="438"/>
        <v>22660</v>
      </c>
      <c r="B11951" s="1" t="str">
        <f>"80526"</f>
        <v>80526</v>
      </c>
      <c r="C11951" s="2">
        <v>0.125102664719839</v>
      </c>
      <c r="D11951" s="2">
        <v>4.8734465482464698E-2</v>
      </c>
      <c r="E11951" s="2">
        <v>0.128419268942144</v>
      </c>
      <c r="F11951" s="2">
        <v>0.119341170793982</v>
      </c>
    </row>
    <row r="11952" spans="1:6" x14ac:dyDescent="0.25">
      <c r="A11952" s="1" t="str">
        <f t="shared" si="438"/>
        <v>22660</v>
      </c>
      <c r="B11952" s="1" t="str">
        <f>"80549"</f>
        <v>80549</v>
      </c>
      <c r="C11952" s="2">
        <v>2.55806260266471E-2</v>
      </c>
      <c r="D11952" s="2">
        <v>3.05810397553516E-3</v>
      </c>
      <c r="E11952" s="2">
        <v>1.35560396998305E-2</v>
      </c>
      <c r="F11952" s="2">
        <v>2.3341492468297399E-2</v>
      </c>
    </row>
    <row r="11953" spans="1:6" x14ac:dyDescent="0.25">
      <c r="A11953" s="1" t="str">
        <f t="shared" si="438"/>
        <v>22660</v>
      </c>
      <c r="B11953" s="1" t="str">
        <f>"80612"</f>
        <v>80612</v>
      </c>
      <c r="C11953" s="2">
        <v>4.6199123927723998E-4</v>
      </c>
      <c r="D11953" s="2">
        <v>6.5066042032663107E-5</v>
      </c>
      <c r="E11953" s="2">
        <v>0</v>
      </c>
      <c r="F11953" s="2">
        <v>4.1214521584849098E-4</v>
      </c>
    </row>
    <row r="11954" spans="1:6" x14ac:dyDescent="0.25">
      <c r="A11954" s="1" t="str">
        <f t="shared" si="438"/>
        <v>22660</v>
      </c>
      <c r="B11954" s="1" t="str">
        <f>"80528"</f>
        <v>80528</v>
      </c>
      <c r="C11954" s="2">
        <v>5.39788282533308E-2</v>
      </c>
      <c r="D11954" s="2">
        <v>2.8433860368273702E-2</v>
      </c>
      <c r="E11954" s="2">
        <v>5.5918663761800998E-2</v>
      </c>
      <c r="F11954" s="2">
        <v>5.2086108193145297E-2</v>
      </c>
    </row>
    <row r="11955" spans="1:6" x14ac:dyDescent="0.25">
      <c r="A11955" s="1" t="str">
        <f t="shared" si="438"/>
        <v>22660</v>
      </c>
      <c r="B11955" s="1" t="str">
        <f>"80521"</f>
        <v>80521</v>
      </c>
      <c r="C11955" s="2">
        <v>0.10713633874794599</v>
      </c>
      <c r="D11955" s="2">
        <v>4.1967597111067699E-2</v>
      </c>
      <c r="E11955" s="2">
        <v>0.11679980634228999</v>
      </c>
      <c r="F11955" s="2">
        <v>0.10250353087822101</v>
      </c>
    </row>
    <row r="11956" spans="1:6" x14ac:dyDescent="0.25">
      <c r="A11956" s="1" t="str">
        <f t="shared" si="438"/>
        <v>22660</v>
      </c>
      <c r="B11956" s="1" t="str">
        <f>"80536"</f>
        <v>80536</v>
      </c>
      <c r="C11956" s="2">
        <v>8.1846596094177701E-3</v>
      </c>
      <c r="D11956" s="2">
        <v>1.17118875658793E-3</v>
      </c>
      <c r="E11956" s="2">
        <v>1.21036068748487E-4</v>
      </c>
      <c r="F11956" s="2">
        <v>7.3080383395573902E-3</v>
      </c>
    </row>
    <row r="11957" spans="1:6" x14ac:dyDescent="0.25">
      <c r="A11957" s="1" t="str">
        <f t="shared" si="438"/>
        <v>22660</v>
      </c>
      <c r="B11957" s="1" t="str">
        <f>"80553"</f>
        <v>80553</v>
      </c>
      <c r="C11957" s="2">
        <v>0</v>
      </c>
      <c r="D11957" s="2">
        <v>6.5066042032663107E-5</v>
      </c>
      <c r="E11957" s="2">
        <v>0</v>
      </c>
      <c r="F11957" s="2">
        <v>5.0261611688840398E-6</v>
      </c>
    </row>
    <row r="11958" spans="1:6" x14ac:dyDescent="0.25">
      <c r="A11958" s="1" t="str">
        <f t="shared" si="438"/>
        <v>22660</v>
      </c>
      <c r="B11958" s="1" t="str">
        <f>"80430"</f>
        <v>80430</v>
      </c>
      <c r="C11958" s="2">
        <v>5.7035955466325901E-6</v>
      </c>
      <c r="D11958" s="2">
        <v>0</v>
      </c>
      <c r="E11958" s="2">
        <v>0</v>
      </c>
      <c r="F11958" s="2">
        <v>5.0261611688840398E-6</v>
      </c>
    </row>
    <row r="11959" spans="1:6" x14ac:dyDescent="0.25">
      <c r="A11959" s="1" t="str">
        <f t="shared" ref="A11959:A11981" si="439">"22700"</f>
        <v>22700</v>
      </c>
      <c r="B11959" s="1" t="str">
        <f>"50563"</f>
        <v>50563</v>
      </c>
      <c r="C11959" s="2">
        <v>5.34045393858477E-4</v>
      </c>
      <c r="D11959" s="2">
        <v>0</v>
      </c>
      <c r="E11959" s="2">
        <v>0</v>
      </c>
      <c r="F11959" s="2">
        <v>4.6985857256965599E-4</v>
      </c>
    </row>
    <row r="11960" spans="1:6" x14ac:dyDescent="0.25">
      <c r="A11960" s="1" t="str">
        <f t="shared" si="439"/>
        <v>22700</v>
      </c>
      <c r="B11960" s="1" t="str">
        <f>"50530"</f>
        <v>50530</v>
      </c>
      <c r="C11960" s="2">
        <v>3.1028037383177502E-2</v>
      </c>
      <c r="D11960" s="2">
        <v>3.7115588547189798E-3</v>
      </c>
      <c r="E11960" s="2">
        <v>3.7202380952380897E-2</v>
      </c>
      <c r="F11960" s="2">
        <v>2.88023304985199E-2</v>
      </c>
    </row>
    <row r="11961" spans="1:6" x14ac:dyDescent="0.25">
      <c r="A11961" s="1" t="str">
        <f t="shared" si="439"/>
        <v>22700</v>
      </c>
      <c r="B11961" s="1" t="str">
        <f>"50532"</f>
        <v>50532</v>
      </c>
      <c r="C11961" s="2">
        <v>1.6021361815754299E-2</v>
      </c>
      <c r="D11961" s="2">
        <v>4.7720042417815399E-3</v>
      </c>
      <c r="E11961" s="2">
        <v>7.4404761904761901E-3</v>
      </c>
      <c r="F11961" s="2">
        <v>1.47535591786872E-2</v>
      </c>
    </row>
    <row r="11962" spans="1:6" x14ac:dyDescent="0.25">
      <c r="A11962" s="1" t="str">
        <f t="shared" si="439"/>
        <v>22700</v>
      </c>
      <c r="B11962" s="1" t="str">
        <f>"50521"</f>
        <v>50521</v>
      </c>
      <c r="C11962" s="2">
        <v>2.9372496662216198E-3</v>
      </c>
      <c r="D11962" s="2">
        <v>5.3022269353128297E-4</v>
      </c>
      <c r="E11962" s="2">
        <v>2.97619047619047E-3</v>
      </c>
      <c r="F11962" s="2">
        <v>2.725179720904E-3</v>
      </c>
    </row>
    <row r="11963" spans="1:6" x14ac:dyDescent="0.25">
      <c r="A11963" s="1" t="str">
        <f t="shared" si="439"/>
        <v>22700</v>
      </c>
      <c r="B11963" s="1" t="str">
        <f>"50518"</f>
        <v>50518</v>
      </c>
      <c r="C11963" s="2">
        <v>7.4766355140186902E-3</v>
      </c>
      <c r="D11963" s="2">
        <v>0</v>
      </c>
      <c r="E11963" s="2">
        <v>4.4642857142857097E-3</v>
      </c>
      <c r="F11963" s="2">
        <v>6.7189775877460802E-3</v>
      </c>
    </row>
    <row r="11964" spans="1:6" x14ac:dyDescent="0.25">
      <c r="A11964" s="1" t="str">
        <f t="shared" si="439"/>
        <v>22700</v>
      </c>
      <c r="B11964" s="1" t="str">
        <f>"50523"</f>
        <v>50523</v>
      </c>
      <c r="C11964" s="2">
        <v>1.65020026702269E-2</v>
      </c>
      <c r="D11964" s="2">
        <v>1.5906680805938399E-3</v>
      </c>
      <c r="E11964" s="2">
        <v>2.97619047619047E-3</v>
      </c>
      <c r="F11964" s="2">
        <v>1.47535591786872E-2</v>
      </c>
    </row>
    <row r="11965" spans="1:6" x14ac:dyDescent="0.25">
      <c r="A11965" s="1" t="str">
        <f t="shared" si="439"/>
        <v>22700</v>
      </c>
      <c r="B11965" s="1" t="str">
        <f>"50591"</f>
        <v>50591</v>
      </c>
      <c r="C11965" s="2">
        <v>5.8744993324432501E-4</v>
      </c>
      <c r="D11965" s="2">
        <v>0</v>
      </c>
      <c r="E11965" s="2">
        <v>0</v>
      </c>
      <c r="F11965" s="2">
        <v>5.1684442982662202E-4</v>
      </c>
    </row>
    <row r="11966" spans="1:6" x14ac:dyDescent="0.25">
      <c r="A11966" s="1" t="str">
        <f t="shared" si="439"/>
        <v>22700</v>
      </c>
      <c r="B11966" s="1" t="str">
        <f>"50524"</f>
        <v>50524</v>
      </c>
      <c r="C11966" s="2">
        <v>1.2817089452603399E-2</v>
      </c>
      <c r="D11966" s="2">
        <v>1.5906680805938399E-3</v>
      </c>
      <c r="E11966" s="2">
        <v>5.9523809523809503E-3</v>
      </c>
      <c r="F11966" s="2">
        <v>1.16055067424705E-2</v>
      </c>
    </row>
    <row r="11967" spans="1:6" x14ac:dyDescent="0.25">
      <c r="A11967" s="1" t="str">
        <f t="shared" si="439"/>
        <v>22700</v>
      </c>
      <c r="B11967" s="1" t="str">
        <f>"50249"</f>
        <v>50249</v>
      </c>
      <c r="C11967" s="2">
        <v>3.4712950600800999E-3</v>
      </c>
      <c r="D11967" s="2">
        <v>0</v>
      </c>
      <c r="E11967" s="2">
        <v>0</v>
      </c>
      <c r="F11967" s="2">
        <v>3.0540807217027599E-3</v>
      </c>
    </row>
    <row r="11968" spans="1:6" x14ac:dyDescent="0.25">
      <c r="A11968" s="1" t="str">
        <f t="shared" si="439"/>
        <v>22700</v>
      </c>
      <c r="B11968" s="1" t="str">
        <f>"50538"</f>
        <v>50538</v>
      </c>
      <c r="C11968" s="2">
        <v>3.7383177570093402E-4</v>
      </c>
      <c r="D11968" s="2">
        <v>0</v>
      </c>
      <c r="E11968" s="2">
        <v>0</v>
      </c>
      <c r="F11968" s="2">
        <v>3.28901000798759E-4</v>
      </c>
    </row>
    <row r="11969" spans="1:6" x14ac:dyDescent="0.25">
      <c r="A11969" s="1" t="str">
        <f t="shared" si="439"/>
        <v>22700</v>
      </c>
      <c r="B11969" s="1" t="str">
        <f>"50516"</f>
        <v>50516</v>
      </c>
      <c r="C11969" s="2">
        <v>1.5861148197596701E-2</v>
      </c>
      <c r="D11969" s="2">
        <v>3.1813361611876898E-3</v>
      </c>
      <c r="E11969" s="2">
        <v>5.9523809523809503E-3</v>
      </c>
      <c r="F11969" s="2">
        <v>1.44246581778884E-2</v>
      </c>
    </row>
    <row r="11970" spans="1:6" x14ac:dyDescent="0.25">
      <c r="A11970" s="1" t="str">
        <f t="shared" si="439"/>
        <v>22700</v>
      </c>
      <c r="B11970" s="1" t="str">
        <f>"50594"</f>
        <v>50594</v>
      </c>
      <c r="C11970" s="2">
        <v>7.6902536715620796E-3</v>
      </c>
      <c r="D11970" s="2">
        <v>1.5906680805938399E-3</v>
      </c>
      <c r="E11970" s="2">
        <v>4.4642857142857097E-3</v>
      </c>
      <c r="F11970" s="2">
        <v>7.0478785885448401E-3</v>
      </c>
    </row>
    <row r="11971" spans="1:6" x14ac:dyDescent="0.25">
      <c r="A11971" s="1" t="str">
        <f t="shared" si="439"/>
        <v>22700</v>
      </c>
      <c r="B11971" s="1" t="str">
        <f>"50586"</f>
        <v>50586</v>
      </c>
      <c r="C11971" s="2">
        <v>4.8064085447262997E-4</v>
      </c>
      <c r="D11971" s="2">
        <v>0</v>
      </c>
      <c r="E11971" s="2">
        <v>0</v>
      </c>
      <c r="F11971" s="2">
        <v>4.2287271531269002E-4</v>
      </c>
    </row>
    <row r="11972" spans="1:6" x14ac:dyDescent="0.25">
      <c r="A11972" s="1" t="str">
        <f t="shared" si="439"/>
        <v>22700</v>
      </c>
      <c r="B11972" s="1" t="str">
        <f>"50533"</f>
        <v>50533</v>
      </c>
      <c r="C11972" s="2">
        <v>1.0146862483310999E-3</v>
      </c>
      <c r="D11972" s="2">
        <v>0</v>
      </c>
      <c r="E11972" s="2">
        <v>0</v>
      </c>
      <c r="F11972" s="2">
        <v>8.9273128788234699E-4</v>
      </c>
    </row>
    <row r="11973" spans="1:6" x14ac:dyDescent="0.25">
      <c r="A11973" s="1" t="str">
        <f t="shared" si="439"/>
        <v>22700</v>
      </c>
      <c r="B11973" s="1" t="str">
        <f>"50595"</f>
        <v>50595</v>
      </c>
      <c r="C11973" s="2">
        <v>2.1361815754339101E-4</v>
      </c>
      <c r="D11973" s="2">
        <v>0</v>
      </c>
      <c r="E11973" s="2">
        <v>0</v>
      </c>
      <c r="F11973" s="2">
        <v>1.87943429027862E-4</v>
      </c>
    </row>
    <row r="11974" spans="1:6" x14ac:dyDescent="0.25">
      <c r="A11974" s="1" t="str">
        <f t="shared" si="439"/>
        <v>22700</v>
      </c>
      <c r="B11974" s="1" t="str">
        <f>"50557"</f>
        <v>50557</v>
      </c>
      <c r="C11974" s="2">
        <v>2.11481975967957E-2</v>
      </c>
      <c r="D11974" s="2">
        <v>2.6511134676564102E-3</v>
      </c>
      <c r="E11974" s="2">
        <v>5.9523809523809503E-3</v>
      </c>
      <c r="F11974" s="2">
        <v>1.9029272189070998E-2</v>
      </c>
    </row>
    <row r="11975" spans="1:6" x14ac:dyDescent="0.25">
      <c r="A11975" s="1" t="str">
        <f t="shared" si="439"/>
        <v>22700</v>
      </c>
      <c r="B11975" s="1" t="str">
        <f>"50566"</f>
        <v>50566</v>
      </c>
      <c r="C11975" s="2">
        <v>1.1588785046728899E-2</v>
      </c>
      <c r="D11975" s="2">
        <v>2.6511134676564102E-3</v>
      </c>
      <c r="E11975" s="2">
        <v>1.48809523809523E-3</v>
      </c>
      <c r="F11975" s="2">
        <v>1.0477846168303301E-2</v>
      </c>
    </row>
    <row r="11976" spans="1:6" x14ac:dyDescent="0.25">
      <c r="A11976" s="1" t="str">
        <f t="shared" si="439"/>
        <v>22700</v>
      </c>
      <c r="B11976" s="1" t="str">
        <f>"50569"</f>
        <v>50569</v>
      </c>
      <c r="C11976" s="2">
        <v>2.0881174899866399E-2</v>
      </c>
      <c r="D11976" s="2">
        <v>6.8928950159066801E-3</v>
      </c>
      <c r="E11976" s="2">
        <v>4.4642857142857097E-3</v>
      </c>
      <c r="F11976" s="2">
        <v>1.9123243903585E-2</v>
      </c>
    </row>
    <row r="11977" spans="1:6" x14ac:dyDescent="0.25">
      <c r="A11977" s="1" t="str">
        <f t="shared" si="439"/>
        <v>22700</v>
      </c>
      <c r="B11977" s="1" t="str">
        <f>"50544"</f>
        <v>50544</v>
      </c>
      <c r="C11977" s="2">
        <v>1.36181575433911E-2</v>
      </c>
      <c r="D11977" s="2">
        <v>3.7115588547189798E-3</v>
      </c>
      <c r="E11977" s="2">
        <v>1.7857142857142801E-2</v>
      </c>
      <c r="F11977" s="2">
        <v>1.28741248884085E-2</v>
      </c>
    </row>
    <row r="11978" spans="1:6" x14ac:dyDescent="0.25">
      <c r="A11978" s="1" t="str">
        <f t="shared" si="439"/>
        <v>22700</v>
      </c>
      <c r="B11978" s="1" t="str">
        <f>"50501"</f>
        <v>50501</v>
      </c>
      <c r="C11978" s="2">
        <v>0.77265687583444498</v>
      </c>
      <c r="D11978" s="2">
        <v>0.95546129374337196</v>
      </c>
      <c r="E11978" s="2">
        <v>0.87648809523809501</v>
      </c>
      <c r="F11978" s="2">
        <v>0.79213456749518296</v>
      </c>
    </row>
    <row r="11979" spans="1:6" x14ac:dyDescent="0.25">
      <c r="A11979" s="1" t="str">
        <f t="shared" si="439"/>
        <v>22700</v>
      </c>
      <c r="B11979" s="1" t="str">
        <f>"50543"</f>
        <v>50543</v>
      </c>
      <c r="C11979" s="2">
        <v>3.9465954606141503E-2</v>
      </c>
      <c r="D11979" s="2">
        <v>1.0604453870625599E-2</v>
      </c>
      <c r="E11979" s="2">
        <v>2.2321428571428499E-2</v>
      </c>
      <c r="F11979" s="2">
        <v>3.6367053516891401E-2</v>
      </c>
    </row>
    <row r="11980" spans="1:6" x14ac:dyDescent="0.25">
      <c r="A11980" s="1" t="str">
        <f t="shared" si="439"/>
        <v>22700</v>
      </c>
      <c r="B11980" s="1" t="str">
        <f>"50548"</f>
        <v>50548</v>
      </c>
      <c r="C11980" s="2">
        <v>3.52469959946595E-3</v>
      </c>
      <c r="D11980" s="2">
        <v>1.0604453870625601E-3</v>
      </c>
      <c r="E11980" s="2">
        <v>0</v>
      </c>
      <c r="F11980" s="2">
        <v>3.1950382934736602E-3</v>
      </c>
    </row>
    <row r="11981" spans="1:6" x14ac:dyDescent="0.25">
      <c r="A11981" s="1" t="str">
        <f t="shared" si="439"/>
        <v>22700</v>
      </c>
      <c r="B11981" s="1" t="str">
        <f>"50217"</f>
        <v>50217</v>
      </c>
      <c r="C11981" s="2">
        <v>1.06809078771695E-4</v>
      </c>
      <c r="D11981" s="2">
        <v>0</v>
      </c>
      <c r="E11981" s="2">
        <v>0</v>
      </c>
      <c r="F11981" s="2">
        <v>9.3971714513931296E-5</v>
      </c>
    </row>
    <row r="11982" spans="1:6" x14ac:dyDescent="0.25">
      <c r="A11982" s="1" t="str">
        <f t="shared" ref="A11982:A12013" si="440">"22744"</f>
        <v>22744</v>
      </c>
      <c r="B11982" s="1" t="str">
        <f>"33073"</f>
        <v>33073</v>
      </c>
      <c r="C11982" s="2">
        <v>0</v>
      </c>
      <c r="D11982" s="2">
        <v>1.5267175572518999E-3</v>
      </c>
      <c r="E11982" s="2">
        <v>0</v>
      </c>
      <c r="F11982" s="2">
        <v>1.22339124051871E-4</v>
      </c>
    </row>
    <row r="11983" spans="1:6" x14ac:dyDescent="0.25">
      <c r="A11983" s="1" t="str">
        <f t="shared" si="440"/>
        <v>22744</v>
      </c>
      <c r="B11983" s="1" t="str">
        <f>"33026"</f>
        <v>33026</v>
      </c>
      <c r="C11983" s="2">
        <v>3.3845719926667598E-3</v>
      </c>
      <c r="D11983" s="2">
        <v>0</v>
      </c>
      <c r="E11983" s="2">
        <v>4.6728971962616802E-3</v>
      </c>
      <c r="F11983" s="2">
        <v>3.1808172253486602E-3</v>
      </c>
    </row>
    <row r="11984" spans="1:6" x14ac:dyDescent="0.25">
      <c r="A11984" s="1" t="str">
        <f t="shared" si="440"/>
        <v>22744</v>
      </c>
      <c r="B11984" s="1" t="str">
        <f>"33312"</f>
        <v>33312</v>
      </c>
      <c r="C11984" s="2">
        <v>5.6409533211112595E-4</v>
      </c>
      <c r="D11984" s="2">
        <v>3.0534351145038098E-3</v>
      </c>
      <c r="E11984" s="2">
        <v>4.6728971962616802E-3</v>
      </c>
      <c r="F11984" s="2">
        <v>9.7871299241497406E-4</v>
      </c>
    </row>
    <row r="11985" spans="1:6" x14ac:dyDescent="0.25">
      <c r="A11985" s="1" t="str">
        <f t="shared" si="440"/>
        <v>22744</v>
      </c>
      <c r="B11985" s="1" t="str">
        <f>"33315"</f>
        <v>33315</v>
      </c>
      <c r="C11985" s="2">
        <v>1.41023833027781E-4</v>
      </c>
      <c r="D11985" s="2">
        <v>6.1068702290076301E-3</v>
      </c>
      <c r="E11985" s="2">
        <v>7.0093457943925198E-3</v>
      </c>
      <c r="F11985" s="2">
        <v>9.7871299241497406E-4</v>
      </c>
    </row>
    <row r="11986" spans="1:6" x14ac:dyDescent="0.25">
      <c r="A11986" s="1" t="str">
        <f t="shared" si="440"/>
        <v>22744</v>
      </c>
      <c r="B11986" s="1" t="str">
        <f>"33306"</f>
        <v>33306</v>
      </c>
      <c r="C11986" s="2">
        <v>0</v>
      </c>
      <c r="D11986" s="2">
        <v>9.1603053435114507E-3</v>
      </c>
      <c r="E11986" s="2">
        <v>7.0093457943925198E-3</v>
      </c>
      <c r="F11986" s="2">
        <v>1.10105211646684E-3</v>
      </c>
    </row>
    <row r="11987" spans="1:6" x14ac:dyDescent="0.25">
      <c r="A11987" s="1" t="str">
        <f t="shared" si="440"/>
        <v>22744</v>
      </c>
      <c r="B11987" s="1" t="str">
        <f>"33028"</f>
        <v>33028</v>
      </c>
      <c r="C11987" s="2">
        <v>5.6409533211112595E-4</v>
      </c>
      <c r="D11987" s="2">
        <v>0</v>
      </c>
      <c r="E11987" s="2">
        <v>4.6728971962616802E-3</v>
      </c>
      <c r="F11987" s="2">
        <v>7.3403474431123E-4</v>
      </c>
    </row>
    <row r="11988" spans="1:6" x14ac:dyDescent="0.25">
      <c r="A11988" s="1" t="str">
        <f t="shared" si="440"/>
        <v>22744</v>
      </c>
      <c r="B11988" s="1" t="str">
        <f>"33394"</f>
        <v>33394</v>
      </c>
      <c r="C11988" s="2">
        <v>0</v>
      </c>
      <c r="D11988" s="2">
        <v>0</v>
      </c>
      <c r="E11988" s="2">
        <v>4.6728971962616802E-3</v>
      </c>
      <c r="F11988" s="2">
        <v>2.4467824810374303E-4</v>
      </c>
    </row>
    <row r="11989" spans="1:6" x14ac:dyDescent="0.25">
      <c r="A11989" s="1" t="str">
        <f t="shared" si="440"/>
        <v>22744</v>
      </c>
      <c r="B11989" s="1" t="str">
        <f>"33069"</f>
        <v>33069</v>
      </c>
      <c r="C11989" s="2">
        <v>0</v>
      </c>
      <c r="D11989" s="2">
        <v>3.9694656488549598E-2</v>
      </c>
      <c r="E11989" s="2">
        <v>9.3457943925233603E-3</v>
      </c>
      <c r="F11989" s="2">
        <v>3.67017372155615E-3</v>
      </c>
    </row>
    <row r="11990" spans="1:6" x14ac:dyDescent="0.25">
      <c r="A11990" s="1" t="str">
        <f t="shared" si="440"/>
        <v>22744</v>
      </c>
      <c r="B11990" s="1" t="str">
        <f>"33326"</f>
        <v>33326</v>
      </c>
      <c r="C11990" s="2">
        <v>0</v>
      </c>
      <c r="D11990" s="2">
        <v>0</v>
      </c>
      <c r="E11990" s="2">
        <v>4.4392523364485903E-2</v>
      </c>
      <c r="F11990" s="2">
        <v>2.3244433569855599E-3</v>
      </c>
    </row>
    <row r="11991" spans="1:6" x14ac:dyDescent="0.25">
      <c r="A11991" s="1" t="str">
        <f t="shared" si="440"/>
        <v>22744</v>
      </c>
      <c r="B11991" s="1" t="str">
        <f>"33060"</f>
        <v>33060</v>
      </c>
      <c r="C11991" s="2">
        <v>6.0358200535890499E-2</v>
      </c>
      <c r="D11991" s="2">
        <v>2.90076335877862E-2</v>
      </c>
      <c r="E11991" s="2">
        <v>3.73831775700934E-2</v>
      </c>
      <c r="F11991" s="2">
        <v>5.6643014436016603E-2</v>
      </c>
    </row>
    <row r="11992" spans="1:6" x14ac:dyDescent="0.25">
      <c r="A11992" s="1" t="str">
        <f t="shared" si="440"/>
        <v>22744</v>
      </c>
      <c r="B11992" s="1" t="str">
        <f>"33311"</f>
        <v>33311</v>
      </c>
      <c r="C11992" s="2">
        <v>1.9743336623889401E-3</v>
      </c>
      <c r="D11992" s="2">
        <v>2.2900763358778602E-2</v>
      </c>
      <c r="E11992" s="2">
        <v>0.128504672897196</v>
      </c>
      <c r="F11992" s="2">
        <v>1.02764864203572E-2</v>
      </c>
    </row>
    <row r="11993" spans="1:6" x14ac:dyDescent="0.25">
      <c r="A11993" s="1" t="str">
        <f t="shared" si="440"/>
        <v>22744</v>
      </c>
      <c r="B11993" s="1" t="str">
        <f>"33388"</f>
        <v>33388</v>
      </c>
      <c r="C11993" s="2">
        <v>0</v>
      </c>
      <c r="D11993" s="2">
        <v>0</v>
      </c>
      <c r="E11993" s="2">
        <v>2.3364485981308401E-3</v>
      </c>
      <c r="F11993" s="2">
        <v>1.22339124051871E-4</v>
      </c>
    </row>
    <row r="11994" spans="1:6" x14ac:dyDescent="0.25">
      <c r="A11994" s="1" t="str">
        <f t="shared" si="440"/>
        <v>22744</v>
      </c>
      <c r="B11994" s="1" t="str">
        <f>"33019"</f>
        <v>33019</v>
      </c>
      <c r="C11994" s="2">
        <v>0</v>
      </c>
      <c r="D11994" s="2">
        <v>0</v>
      </c>
      <c r="E11994" s="2">
        <v>2.3364485981308401E-3</v>
      </c>
      <c r="F11994" s="2">
        <v>1.22339124051871E-4</v>
      </c>
    </row>
    <row r="11995" spans="1:6" x14ac:dyDescent="0.25">
      <c r="A11995" s="1" t="str">
        <f t="shared" si="440"/>
        <v>22744</v>
      </c>
      <c r="B11995" s="1" t="str">
        <f>"33305"</f>
        <v>33305</v>
      </c>
      <c r="C11995" s="2">
        <v>4.2307149908334498E-4</v>
      </c>
      <c r="D11995" s="2">
        <v>4.5801526717557202E-3</v>
      </c>
      <c r="E11995" s="2">
        <v>7.0093457943925198E-3</v>
      </c>
      <c r="F11995" s="2">
        <v>1.10105211646684E-3</v>
      </c>
    </row>
    <row r="11996" spans="1:6" x14ac:dyDescent="0.25">
      <c r="A11996" s="1" t="str">
        <f t="shared" si="440"/>
        <v>22744</v>
      </c>
      <c r="B11996" s="1" t="str">
        <f>"33316"</f>
        <v>33316</v>
      </c>
      <c r="C11996" s="2">
        <v>0</v>
      </c>
      <c r="D11996" s="2">
        <v>0</v>
      </c>
      <c r="E11996" s="2">
        <v>4.6728971962616802E-3</v>
      </c>
      <c r="F11996" s="2">
        <v>2.4467824810374303E-4</v>
      </c>
    </row>
    <row r="11997" spans="1:6" x14ac:dyDescent="0.25">
      <c r="A11997" s="1" t="str">
        <f t="shared" si="440"/>
        <v>22744</v>
      </c>
      <c r="B11997" s="1" t="str">
        <f>"33029"</f>
        <v>33029</v>
      </c>
      <c r="C11997" s="2">
        <v>1.76279791284727E-2</v>
      </c>
      <c r="D11997" s="2">
        <v>3.0534351145038098E-3</v>
      </c>
      <c r="E11997" s="2">
        <v>0</v>
      </c>
      <c r="F11997" s="2">
        <v>1.5537068754587701E-2</v>
      </c>
    </row>
    <row r="11998" spans="1:6" x14ac:dyDescent="0.25">
      <c r="A11998" s="1" t="str">
        <f t="shared" si="440"/>
        <v>22744</v>
      </c>
      <c r="B11998" s="1" t="str">
        <f>"33331"</f>
        <v>33331</v>
      </c>
      <c r="C11998" s="2">
        <v>2.6794528275278502E-3</v>
      </c>
      <c r="D11998" s="2">
        <v>3.0534351145038098E-3</v>
      </c>
      <c r="E11998" s="2">
        <v>4.6728971962616802E-3</v>
      </c>
      <c r="F11998" s="2">
        <v>2.8137998531930501E-3</v>
      </c>
    </row>
    <row r="11999" spans="1:6" x14ac:dyDescent="0.25">
      <c r="A11999" s="1" t="str">
        <f t="shared" si="440"/>
        <v>22744</v>
      </c>
      <c r="B11999" s="1" t="str">
        <f>"33067"</f>
        <v>33067</v>
      </c>
      <c r="C11999" s="2">
        <v>0</v>
      </c>
      <c r="D11999" s="2">
        <v>2.13740458015267E-2</v>
      </c>
      <c r="E11999" s="2">
        <v>0</v>
      </c>
      <c r="F11999" s="2">
        <v>1.7127477367261999E-3</v>
      </c>
    </row>
    <row r="12000" spans="1:6" x14ac:dyDescent="0.25">
      <c r="A12000" s="1" t="str">
        <f t="shared" si="440"/>
        <v>22744</v>
      </c>
      <c r="B12000" s="1" t="str">
        <f>"33327"</f>
        <v>33327</v>
      </c>
      <c r="C12000" s="2">
        <v>0</v>
      </c>
      <c r="D12000" s="2">
        <v>0</v>
      </c>
      <c r="E12000" s="2">
        <v>2.3364485981308401E-3</v>
      </c>
      <c r="F12000" s="2">
        <v>1.22339124051871E-4</v>
      </c>
    </row>
    <row r="12001" spans="1:6" x14ac:dyDescent="0.25">
      <c r="A12001" s="1" t="str">
        <f t="shared" si="440"/>
        <v>22744</v>
      </c>
      <c r="B12001" s="1" t="str">
        <f>"33442"</f>
        <v>33442</v>
      </c>
      <c r="C12001" s="2">
        <v>3.2153433930334201E-2</v>
      </c>
      <c r="D12001" s="2">
        <v>1.5267175572518999E-3</v>
      </c>
      <c r="E12001" s="2">
        <v>1.86915887850467E-2</v>
      </c>
      <c r="F12001" s="2">
        <v>2.8994372400293601E-2</v>
      </c>
    </row>
    <row r="12002" spans="1:6" x14ac:dyDescent="0.25">
      <c r="A12002" s="1" t="str">
        <f t="shared" si="440"/>
        <v>22744</v>
      </c>
      <c r="B12002" s="1" t="str">
        <f>"33441"</f>
        <v>33441</v>
      </c>
      <c r="C12002" s="2">
        <v>3.1025243266111901E-3</v>
      </c>
      <c r="D12002" s="2">
        <v>4.5801526717557202E-3</v>
      </c>
      <c r="E12002" s="2">
        <v>7.0093457943925198E-3</v>
      </c>
      <c r="F12002" s="2">
        <v>3.4254954734524098E-3</v>
      </c>
    </row>
    <row r="12003" spans="1:6" x14ac:dyDescent="0.25">
      <c r="A12003" s="1" t="str">
        <f t="shared" si="440"/>
        <v>22744</v>
      </c>
      <c r="B12003" s="1" t="str">
        <f>"33314"</f>
        <v>33314</v>
      </c>
      <c r="C12003" s="2">
        <v>9.8716683119447093E-4</v>
      </c>
      <c r="D12003" s="2">
        <v>8.5496183206106802E-2</v>
      </c>
      <c r="E12003" s="2">
        <v>2.33644859813084E-2</v>
      </c>
      <c r="F12003" s="2">
        <v>8.9307560557866407E-3</v>
      </c>
    </row>
    <row r="12004" spans="1:6" x14ac:dyDescent="0.25">
      <c r="A12004" s="1" t="str">
        <f t="shared" si="440"/>
        <v>22744</v>
      </c>
      <c r="B12004" s="1" t="str">
        <f>"33009"</f>
        <v>33009</v>
      </c>
      <c r="C12004" s="2">
        <v>1.60767169651671E-2</v>
      </c>
      <c r="D12004" s="2">
        <v>1.3740458015267101E-2</v>
      </c>
      <c r="E12004" s="2">
        <v>3.2710280373831703E-2</v>
      </c>
      <c r="F12004" s="2">
        <v>1.6760459995106398E-2</v>
      </c>
    </row>
    <row r="12005" spans="1:6" x14ac:dyDescent="0.25">
      <c r="A12005" s="1" t="str">
        <f t="shared" si="440"/>
        <v>22744</v>
      </c>
      <c r="B12005" s="1" t="str">
        <f>"33024"</f>
        <v>33024</v>
      </c>
      <c r="C12005" s="2">
        <v>6.62812015230573E-3</v>
      </c>
      <c r="D12005" s="2">
        <v>0.100763358778625</v>
      </c>
      <c r="E12005" s="2">
        <v>0.100467289719626</v>
      </c>
      <c r="F12005" s="2">
        <v>1.9084903352091901E-2</v>
      </c>
    </row>
    <row r="12006" spans="1:6" x14ac:dyDescent="0.25">
      <c r="A12006" s="1" t="str">
        <f t="shared" si="440"/>
        <v>22744</v>
      </c>
      <c r="B12006" s="1" t="str">
        <f>"33023"</f>
        <v>33023</v>
      </c>
      <c r="C12006" s="2">
        <v>5.6409533211112595E-4</v>
      </c>
      <c r="D12006" s="2">
        <v>2.4427480916030499E-2</v>
      </c>
      <c r="E12006" s="2">
        <v>9.3457943925233603E-3</v>
      </c>
      <c r="F12006" s="2">
        <v>2.93613897724492E-3</v>
      </c>
    </row>
    <row r="12007" spans="1:6" x14ac:dyDescent="0.25">
      <c r="A12007" s="1" t="str">
        <f t="shared" si="440"/>
        <v>22744</v>
      </c>
      <c r="B12007" s="1" t="str">
        <f>"33351"</f>
        <v>33351</v>
      </c>
      <c r="C12007" s="2">
        <v>6.8396559018474107E-2</v>
      </c>
      <c r="D12007" s="2">
        <v>4.4274809160305302E-2</v>
      </c>
      <c r="E12007" s="2">
        <v>0.107476635514018</v>
      </c>
      <c r="F12007" s="2">
        <v>6.8509909469048197E-2</v>
      </c>
    </row>
    <row r="12008" spans="1:6" x14ac:dyDescent="0.25">
      <c r="A12008" s="1" t="str">
        <f t="shared" si="440"/>
        <v>22744</v>
      </c>
      <c r="B12008" s="1" t="str">
        <f>"33071"</f>
        <v>33071</v>
      </c>
      <c r="C12008" s="2">
        <v>0</v>
      </c>
      <c r="D12008" s="2">
        <v>3.0534351145038098E-3</v>
      </c>
      <c r="E12008" s="2">
        <v>0</v>
      </c>
      <c r="F12008" s="2">
        <v>2.4467824810374303E-4</v>
      </c>
    </row>
    <row r="12009" spans="1:6" x14ac:dyDescent="0.25">
      <c r="A12009" s="1" t="str">
        <f t="shared" si="440"/>
        <v>22744</v>
      </c>
      <c r="B12009" s="1" t="str">
        <f>"33063"</f>
        <v>33063</v>
      </c>
      <c r="C12009" s="2">
        <v>1.12819066422225E-3</v>
      </c>
      <c r="D12009" s="2">
        <v>1.8320610687022901E-2</v>
      </c>
      <c r="E12009" s="2">
        <v>9.3457943925233603E-3</v>
      </c>
      <c r="F12009" s="2">
        <v>2.93613897724492E-3</v>
      </c>
    </row>
    <row r="12010" spans="1:6" x14ac:dyDescent="0.25">
      <c r="A12010" s="1" t="str">
        <f t="shared" si="440"/>
        <v>22744</v>
      </c>
      <c r="B12010" s="1" t="str">
        <f>"33068"</f>
        <v>33068</v>
      </c>
      <c r="C12010" s="2">
        <v>0</v>
      </c>
      <c r="D12010" s="2">
        <v>0</v>
      </c>
      <c r="E12010" s="2">
        <v>4.6728971962616802E-3</v>
      </c>
      <c r="F12010" s="2">
        <v>2.4467824810374303E-4</v>
      </c>
    </row>
    <row r="12011" spans="1:6" x14ac:dyDescent="0.25">
      <c r="A12011" s="1" t="str">
        <f t="shared" si="440"/>
        <v>22744</v>
      </c>
      <c r="B12011" s="1" t="str">
        <f>"33330"</f>
        <v>33330</v>
      </c>
      <c r="C12011" s="2">
        <v>2.8204766605556298E-4</v>
      </c>
      <c r="D12011" s="2">
        <v>3.0534351145038098E-3</v>
      </c>
      <c r="E12011" s="2">
        <v>2.3364485981308401E-3</v>
      </c>
      <c r="F12011" s="2">
        <v>6.1169562025935797E-4</v>
      </c>
    </row>
    <row r="12012" spans="1:6" x14ac:dyDescent="0.25">
      <c r="A12012" s="1" t="str">
        <f t="shared" si="440"/>
        <v>22744</v>
      </c>
      <c r="B12012" s="1" t="str">
        <f>"33313"</f>
        <v>33313</v>
      </c>
      <c r="C12012" s="2">
        <v>1.4102383302778099E-3</v>
      </c>
      <c r="D12012" s="2">
        <v>3.0534351145038098E-3</v>
      </c>
      <c r="E12012" s="2">
        <v>9.3457943925233603E-3</v>
      </c>
      <c r="F12012" s="2">
        <v>1.9574259848299399E-3</v>
      </c>
    </row>
    <row r="12013" spans="1:6" x14ac:dyDescent="0.25">
      <c r="A12013" s="1" t="str">
        <f t="shared" si="440"/>
        <v>22744</v>
      </c>
      <c r="B12013" s="1" t="str">
        <f>"33020"</f>
        <v>33020</v>
      </c>
      <c r="C12013" s="2">
        <v>4.8653222394584597E-2</v>
      </c>
      <c r="D12013" s="2">
        <v>0</v>
      </c>
      <c r="E12013" s="2">
        <v>5.1401869158878503E-2</v>
      </c>
      <c r="F12013" s="2">
        <v>4.4898458527036902E-2</v>
      </c>
    </row>
    <row r="12014" spans="1:6" x14ac:dyDescent="0.25">
      <c r="A12014" s="1" t="str">
        <f t="shared" ref="A12014:A12034" si="441">"22744"</f>
        <v>22744</v>
      </c>
      <c r="B12014" s="1" t="str">
        <f>"33323"</f>
        <v>33323</v>
      </c>
      <c r="C12014" s="2">
        <v>3.7089268086306498E-2</v>
      </c>
      <c r="D12014" s="2">
        <v>1.5267175572518999E-3</v>
      </c>
      <c r="E12014" s="2">
        <v>7.0093457943925198E-3</v>
      </c>
      <c r="F12014" s="2">
        <v>3.26645461218497E-2</v>
      </c>
    </row>
    <row r="12015" spans="1:6" x14ac:dyDescent="0.25">
      <c r="A12015" s="1" t="str">
        <f t="shared" si="441"/>
        <v>22744</v>
      </c>
      <c r="B12015" s="1" t="str">
        <f>"33309"</f>
        <v>33309</v>
      </c>
      <c r="C12015" s="2">
        <v>3.9486673247778803E-3</v>
      </c>
      <c r="D12015" s="2">
        <v>7.63358778625954E-3</v>
      </c>
      <c r="E12015" s="2">
        <v>7.0093457943925198E-3</v>
      </c>
      <c r="F12015" s="2">
        <v>4.40420846586738E-3</v>
      </c>
    </row>
    <row r="12016" spans="1:6" x14ac:dyDescent="0.25">
      <c r="A12016" s="1" t="str">
        <f t="shared" si="441"/>
        <v>22744</v>
      </c>
      <c r="B12016" s="1" t="str">
        <f>"33304"</f>
        <v>33304</v>
      </c>
      <c r="C12016" s="2">
        <v>3.9768720913834398E-2</v>
      </c>
      <c r="D12016" s="2">
        <v>6.5648854961831996E-2</v>
      </c>
      <c r="E12016" s="2">
        <v>2.57009345794392E-2</v>
      </c>
      <c r="F12016" s="2">
        <v>4.1105945681428897E-2</v>
      </c>
    </row>
    <row r="12017" spans="1:6" x14ac:dyDescent="0.25">
      <c r="A12017" s="1" t="str">
        <f t="shared" si="441"/>
        <v>22744</v>
      </c>
      <c r="B12017" s="1" t="str">
        <f>"33076"</f>
        <v>33076</v>
      </c>
      <c r="C12017" s="2">
        <v>0</v>
      </c>
      <c r="D12017" s="2">
        <v>1.5267175572518999E-3</v>
      </c>
      <c r="E12017" s="2">
        <v>2.3364485981308401E-3</v>
      </c>
      <c r="F12017" s="2">
        <v>2.4467824810374303E-4</v>
      </c>
    </row>
    <row r="12018" spans="1:6" x14ac:dyDescent="0.25">
      <c r="A12018" s="1" t="str">
        <f t="shared" si="441"/>
        <v>22744</v>
      </c>
      <c r="B12018" s="1" t="str">
        <f>"33319"</f>
        <v>33319</v>
      </c>
      <c r="C12018" s="2">
        <v>0</v>
      </c>
      <c r="D12018" s="2">
        <v>0</v>
      </c>
      <c r="E12018" s="2">
        <v>2.3364485981308401E-3</v>
      </c>
      <c r="F12018" s="2">
        <v>1.22339124051871E-4</v>
      </c>
    </row>
    <row r="12019" spans="1:6" x14ac:dyDescent="0.25">
      <c r="A12019" s="1" t="str">
        <f t="shared" si="441"/>
        <v>22744</v>
      </c>
      <c r="B12019" s="1" t="str">
        <f>"33325"</f>
        <v>33325</v>
      </c>
      <c r="C12019" s="2">
        <v>0</v>
      </c>
      <c r="D12019" s="2">
        <v>0</v>
      </c>
      <c r="E12019" s="2">
        <v>9.3457943925233603E-3</v>
      </c>
      <c r="F12019" s="2">
        <v>4.8935649620748703E-4</v>
      </c>
    </row>
    <row r="12020" spans="1:6" x14ac:dyDescent="0.25">
      <c r="A12020" s="1" t="str">
        <f t="shared" si="441"/>
        <v>22744</v>
      </c>
      <c r="B12020" s="1" t="str">
        <f>"33308"</f>
        <v>33308</v>
      </c>
      <c r="C12020" s="2">
        <v>0</v>
      </c>
      <c r="D12020" s="2">
        <v>3.5114503816793798E-2</v>
      </c>
      <c r="E12020" s="2">
        <v>2.33644859813084E-2</v>
      </c>
      <c r="F12020" s="2">
        <v>4.0371910937117596E-3</v>
      </c>
    </row>
    <row r="12021" spans="1:6" x14ac:dyDescent="0.25">
      <c r="A12021" s="1" t="str">
        <f t="shared" si="441"/>
        <v>22744</v>
      </c>
      <c r="B12021" s="1" t="str">
        <f>"33321"</f>
        <v>33321</v>
      </c>
      <c r="C12021" s="2">
        <v>0</v>
      </c>
      <c r="D12021" s="2">
        <v>0</v>
      </c>
      <c r="E12021" s="2">
        <v>2.3364485981308401E-3</v>
      </c>
      <c r="F12021" s="2">
        <v>1.22339124051871E-4</v>
      </c>
    </row>
    <row r="12022" spans="1:6" x14ac:dyDescent="0.25">
      <c r="A12022" s="1" t="str">
        <f t="shared" si="441"/>
        <v>22744</v>
      </c>
      <c r="B12022" s="1" t="str">
        <f>"33065"</f>
        <v>33065</v>
      </c>
      <c r="C12022" s="2">
        <v>0</v>
      </c>
      <c r="D12022" s="2">
        <v>1.5267175572518999E-3</v>
      </c>
      <c r="E12022" s="2">
        <v>2.3364485981308401E-3</v>
      </c>
      <c r="F12022" s="2">
        <v>2.4467824810374303E-4</v>
      </c>
    </row>
    <row r="12023" spans="1:6" x14ac:dyDescent="0.25">
      <c r="A12023" s="1" t="str">
        <f t="shared" si="441"/>
        <v>22744</v>
      </c>
      <c r="B12023" s="1" t="str">
        <f>"33062"</f>
        <v>33062</v>
      </c>
      <c r="C12023" s="2">
        <v>5.00634607248625E-2</v>
      </c>
      <c r="D12023" s="2">
        <v>4.5801526717557202E-3</v>
      </c>
      <c r="E12023" s="2">
        <v>1.16822429906542E-2</v>
      </c>
      <c r="F12023" s="2">
        <v>4.44091020308294E-2</v>
      </c>
    </row>
    <row r="12024" spans="1:6" x14ac:dyDescent="0.25">
      <c r="A12024" s="1" t="str">
        <f t="shared" si="441"/>
        <v>22744</v>
      </c>
      <c r="B12024" s="1" t="str">
        <f>"33004"</f>
        <v>33004</v>
      </c>
      <c r="C12024" s="2">
        <v>6.1768438866168299E-2</v>
      </c>
      <c r="D12024" s="2">
        <v>0.174045801526717</v>
      </c>
      <c r="E12024" s="2">
        <v>1.6355140186915799E-2</v>
      </c>
      <c r="F12024" s="2">
        <v>6.8387570344996304E-2</v>
      </c>
    </row>
    <row r="12025" spans="1:6" x14ac:dyDescent="0.25">
      <c r="A12025" s="1" t="str">
        <f t="shared" si="441"/>
        <v>22744</v>
      </c>
      <c r="B12025" s="1" t="str">
        <f>"33328"</f>
        <v>33328</v>
      </c>
      <c r="C12025" s="2">
        <v>3.2435481596389702E-3</v>
      </c>
      <c r="D12025" s="2">
        <v>4.5801526717557202E-3</v>
      </c>
      <c r="E12025" s="2">
        <v>1.6355140186915799E-2</v>
      </c>
      <c r="F12025" s="2">
        <v>4.0371910937117596E-3</v>
      </c>
    </row>
    <row r="12026" spans="1:6" x14ac:dyDescent="0.25">
      <c r="A12026" s="1" t="str">
        <f t="shared" si="441"/>
        <v>22744</v>
      </c>
      <c r="B12026" s="1" t="str">
        <f>"33027"</f>
        <v>33027</v>
      </c>
      <c r="C12026" s="2">
        <v>5.6409533211112595E-4</v>
      </c>
      <c r="D12026" s="2">
        <v>3.3587786259541903E-2</v>
      </c>
      <c r="E12026" s="2">
        <v>4.6728971962616802E-3</v>
      </c>
      <c r="F12026" s="2">
        <v>3.4254954734524098E-3</v>
      </c>
    </row>
    <row r="12027" spans="1:6" x14ac:dyDescent="0.25">
      <c r="A12027" s="1" t="str">
        <f t="shared" si="441"/>
        <v>22744</v>
      </c>
      <c r="B12027" s="1" t="str">
        <f>"33064"</f>
        <v>33064</v>
      </c>
      <c r="C12027" s="2">
        <v>9.8857706952474894E-2</v>
      </c>
      <c r="D12027" s="2">
        <v>5.6488549618320602E-2</v>
      </c>
      <c r="E12027" s="2">
        <v>2.8037383177569999E-2</v>
      </c>
      <c r="F12027" s="2">
        <v>9.1754343038903799E-2</v>
      </c>
    </row>
    <row r="12028" spans="1:6" x14ac:dyDescent="0.25">
      <c r="A12028" s="1" t="str">
        <f t="shared" si="441"/>
        <v>22744</v>
      </c>
      <c r="B12028" s="1" t="str">
        <f>"33324"</f>
        <v>33324</v>
      </c>
      <c r="C12028" s="2">
        <v>4.0614863912001101E-2</v>
      </c>
      <c r="D12028" s="2">
        <v>3.0534351145038098E-3</v>
      </c>
      <c r="E12028" s="2">
        <v>7.0093457943925198E-3</v>
      </c>
      <c r="F12028" s="2">
        <v>3.58453633471984E-2</v>
      </c>
    </row>
    <row r="12029" spans="1:6" x14ac:dyDescent="0.25">
      <c r="A12029" s="1" t="str">
        <f t="shared" si="441"/>
        <v>22744</v>
      </c>
      <c r="B12029" s="1" t="str">
        <f>"33334"</f>
        <v>33334</v>
      </c>
      <c r="C12029" s="2">
        <v>3.2435481596389702E-3</v>
      </c>
      <c r="D12029" s="2">
        <v>0</v>
      </c>
      <c r="E12029" s="2">
        <v>1.16822429906542E-2</v>
      </c>
      <c r="F12029" s="2">
        <v>3.4254954734524098E-3</v>
      </c>
    </row>
    <row r="12030" spans="1:6" x14ac:dyDescent="0.25">
      <c r="A12030" s="1" t="str">
        <f t="shared" si="441"/>
        <v>22744</v>
      </c>
      <c r="B12030" s="1" t="str">
        <f>"33025"</f>
        <v>33025</v>
      </c>
      <c r="C12030" s="2">
        <v>7.0088845014807499E-2</v>
      </c>
      <c r="D12030" s="2">
        <v>1.2213740458015199E-2</v>
      </c>
      <c r="E12030" s="2">
        <v>7.7102803738317696E-2</v>
      </c>
      <c r="F12030" s="2">
        <v>6.5818448739906998E-2</v>
      </c>
    </row>
    <row r="12031" spans="1:6" x14ac:dyDescent="0.25">
      <c r="A12031" s="1" t="str">
        <f t="shared" si="441"/>
        <v>22744</v>
      </c>
      <c r="B12031" s="1" t="str">
        <f>"33317"</f>
        <v>33317</v>
      </c>
      <c r="C12031" s="2">
        <v>0</v>
      </c>
      <c r="D12031" s="2">
        <v>1.5267175572519E-2</v>
      </c>
      <c r="E12031" s="2">
        <v>9.3457943925233603E-3</v>
      </c>
      <c r="F12031" s="2">
        <v>1.7127477367261999E-3</v>
      </c>
    </row>
    <row r="12032" spans="1:6" x14ac:dyDescent="0.25">
      <c r="A12032" s="1" t="str">
        <f t="shared" si="441"/>
        <v>22744</v>
      </c>
      <c r="B12032" s="1" t="str">
        <f>"33021"</f>
        <v>33021</v>
      </c>
      <c r="C12032" s="2">
        <v>7.2063178677196402E-2</v>
      </c>
      <c r="D12032" s="2">
        <v>1.5267175572518999E-3</v>
      </c>
      <c r="E12032" s="2">
        <v>2.10280373831775E-2</v>
      </c>
      <c r="F12032" s="2">
        <v>6.3738683631025195E-2</v>
      </c>
    </row>
    <row r="12033" spans="1:6" x14ac:dyDescent="0.25">
      <c r="A12033" s="1" t="str">
        <f t="shared" si="441"/>
        <v>22744</v>
      </c>
      <c r="B12033" s="1" t="str">
        <f>"33301"</f>
        <v>33301</v>
      </c>
      <c r="C12033" s="2">
        <v>0.25158651812156202</v>
      </c>
      <c r="D12033" s="2">
        <v>0.13587786259541901</v>
      </c>
      <c r="E12033" s="2">
        <v>5.8411214953271E-2</v>
      </c>
      <c r="F12033" s="2">
        <v>0.23219965745045201</v>
      </c>
    </row>
    <row r="12034" spans="1:6" x14ac:dyDescent="0.25">
      <c r="A12034" s="1" t="str">
        <f t="shared" si="441"/>
        <v>22744</v>
      </c>
      <c r="B12034" s="1" t="str">
        <f>"33322"</f>
        <v>33322</v>
      </c>
      <c r="C12034" s="2">
        <v>0</v>
      </c>
      <c r="D12034" s="2">
        <v>0</v>
      </c>
      <c r="E12034" s="2">
        <v>4.6728971962616802E-3</v>
      </c>
      <c r="F12034" s="2">
        <v>2.4467824810374303E-4</v>
      </c>
    </row>
    <row r="12035" spans="1:6" x14ac:dyDescent="0.25">
      <c r="A12035" s="1" t="str">
        <f t="shared" ref="A12035:A12045" si="442">"22780"</f>
        <v>22780</v>
      </c>
      <c r="B12035" s="1" t="str">
        <f>"65584"</f>
        <v>65584</v>
      </c>
      <c r="C12035" s="2">
        <v>0.17694011744435401</v>
      </c>
      <c r="D12035" s="2">
        <v>0.36176935229067902</v>
      </c>
      <c r="E12035" s="2">
        <v>0.156692913385826</v>
      </c>
      <c r="F12035" s="2">
        <v>0.18366424535916001</v>
      </c>
    </row>
    <row r="12036" spans="1:6" x14ac:dyDescent="0.25">
      <c r="A12036" s="1" t="str">
        <f t="shared" si="442"/>
        <v>22780</v>
      </c>
      <c r="B12036" s="1" t="str">
        <f>"65583"</f>
        <v>65583</v>
      </c>
      <c r="C12036" s="2">
        <v>0.24536727733042599</v>
      </c>
      <c r="D12036" s="2">
        <v>0.39099526066350698</v>
      </c>
      <c r="E12036" s="2">
        <v>0.26850393700787401</v>
      </c>
      <c r="F12036" s="2">
        <v>0.25226795803066898</v>
      </c>
    </row>
    <row r="12037" spans="1:6" x14ac:dyDescent="0.25">
      <c r="A12037" s="1" t="str">
        <f t="shared" si="442"/>
        <v>22780</v>
      </c>
      <c r="B12037" s="1" t="str">
        <f>"65459"</f>
        <v>65459</v>
      </c>
      <c r="C12037" s="2">
        <v>0.106297689792186</v>
      </c>
      <c r="D12037" s="2">
        <v>3.8704581358609699E-2</v>
      </c>
      <c r="E12037" s="2">
        <v>1.33858267716535E-2</v>
      </c>
      <c r="F12037" s="2">
        <v>9.97255851493139E-2</v>
      </c>
    </row>
    <row r="12038" spans="1:6" x14ac:dyDescent="0.25">
      <c r="A12038" s="1" t="str">
        <f t="shared" si="442"/>
        <v>22780</v>
      </c>
      <c r="B12038" s="1" t="str">
        <f>"65552"</f>
        <v>65552</v>
      </c>
      <c r="C12038" s="2">
        <v>3.1295052568655699E-3</v>
      </c>
      <c r="D12038" s="2">
        <v>1.5797788309636601E-3</v>
      </c>
      <c r="E12038" s="2">
        <v>0</v>
      </c>
      <c r="F12038" s="2">
        <v>2.93785310734463E-3</v>
      </c>
    </row>
    <row r="12039" spans="1:6" x14ac:dyDescent="0.25">
      <c r="A12039" s="1" t="str">
        <f t="shared" si="442"/>
        <v>22780</v>
      </c>
      <c r="B12039" s="1" t="str">
        <f>"65461"</f>
        <v>65461</v>
      </c>
      <c r="C12039" s="2">
        <v>8.7907451035549699E-4</v>
      </c>
      <c r="D12039" s="2">
        <v>7.8988941548183199E-4</v>
      </c>
      <c r="E12039" s="2">
        <v>0</v>
      </c>
      <c r="F12039" s="2">
        <v>8.3938660209846605E-4</v>
      </c>
    </row>
    <row r="12040" spans="1:6" x14ac:dyDescent="0.25">
      <c r="A12040" s="1" t="str">
        <f t="shared" si="442"/>
        <v>22780</v>
      </c>
      <c r="B12040" s="1" t="str">
        <f>"65452"</f>
        <v>65452</v>
      </c>
      <c r="C12040" s="2">
        <v>4.8278772108723902E-2</v>
      </c>
      <c r="D12040" s="2">
        <v>3.0015797788309598E-2</v>
      </c>
      <c r="E12040" s="2">
        <v>8.6614173228346403E-3</v>
      </c>
      <c r="F12040" s="2">
        <v>4.59079903147699E-2</v>
      </c>
    </row>
    <row r="12041" spans="1:6" x14ac:dyDescent="0.25">
      <c r="A12041" s="1" t="str">
        <f t="shared" si="442"/>
        <v>22780</v>
      </c>
      <c r="B12041" s="1" t="str">
        <f>"65534"</f>
        <v>65534</v>
      </c>
      <c r="C12041" s="2">
        <v>1.4135518126516399E-2</v>
      </c>
      <c r="D12041" s="2">
        <v>3.1595576619273301E-3</v>
      </c>
      <c r="E12041" s="2">
        <v>8.1102362204724401E-2</v>
      </c>
      <c r="F12041" s="2">
        <v>1.64326069410815E-2</v>
      </c>
    </row>
    <row r="12042" spans="1:6" x14ac:dyDescent="0.25">
      <c r="A12042" s="1" t="str">
        <f t="shared" si="442"/>
        <v>22780</v>
      </c>
      <c r="B12042" s="1" t="str">
        <f>"65457"</f>
        <v>65457</v>
      </c>
      <c r="C12042" s="2">
        <v>5.0986321600618801E-3</v>
      </c>
      <c r="D12042" s="2">
        <v>7.8988941548183199E-4</v>
      </c>
      <c r="E12042" s="2">
        <v>3.9370078740157402E-3</v>
      </c>
      <c r="F12042" s="2">
        <v>4.8748991121872398E-3</v>
      </c>
    </row>
    <row r="12043" spans="1:6" x14ac:dyDescent="0.25">
      <c r="A12043" s="1" t="str">
        <f t="shared" si="442"/>
        <v>22780</v>
      </c>
      <c r="B12043" s="1" t="str">
        <f>"65550"</f>
        <v>65550</v>
      </c>
      <c r="C12043" s="2">
        <v>3.9734167868068397E-3</v>
      </c>
      <c r="D12043" s="2">
        <v>0</v>
      </c>
      <c r="E12043" s="2">
        <v>0</v>
      </c>
      <c r="F12043" s="2">
        <v>3.64810330912025E-3</v>
      </c>
    </row>
    <row r="12044" spans="1:6" x14ac:dyDescent="0.25">
      <c r="A12044" s="1" t="str">
        <f t="shared" si="442"/>
        <v>22780</v>
      </c>
      <c r="B12044" s="1" t="str">
        <f>"65556"</f>
        <v>65556</v>
      </c>
      <c r="C12044" s="2">
        <v>7.0572101691339303E-2</v>
      </c>
      <c r="D12044" s="2">
        <v>4.0284360189573397E-2</v>
      </c>
      <c r="E12044" s="2">
        <v>7.4803149606299205E-2</v>
      </c>
      <c r="F12044" s="2">
        <v>6.9507667473769102E-2</v>
      </c>
    </row>
    <row r="12045" spans="1:6" x14ac:dyDescent="0.25">
      <c r="A12045" s="1" t="str">
        <f t="shared" si="442"/>
        <v>22780</v>
      </c>
      <c r="B12045" s="1" t="str">
        <f>"65473"</f>
        <v>65473</v>
      </c>
      <c r="C12045" s="2">
        <v>0.32532789479236202</v>
      </c>
      <c r="D12045" s="2">
        <v>0.13191153238546599</v>
      </c>
      <c r="E12045" s="2">
        <v>0.39291338582677099</v>
      </c>
      <c r="F12045" s="2">
        <v>0.32019370460048402</v>
      </c>
    </row>
    <row r="12046" spans="1:6" x14ac:dyDescent="0.25">
      <c r="A12046" s="1" t="str">
        <f t="shared" ref="A12046:A12090" si="443">"22800"</f>
        <v>22800</v>
      </c>
      <c r="B12046" s="1" t="str">
        <f>"62330"</f>
        <v>62330</v>
      </c>
      <c r="C12046" s="2">
        <v>2.70525322428436E-2</v>
      </c>
      <c r="D12046" s="2">
        <v>1.1372549019607801E-2</v>
      </c>
      <c r="E12046" s="2">
        <v>6.8649885583523997E-3</v>
      </c>
      <c r="F12046" s="2">
        <v>2.54160277162492E-2</v>
      </c>
    </row>
    <row r="12047" spans="1:6" x14ac:dyDescent="0.25">
      <c r="A12047" s="1" t="str">
        <f t="shared" si="443"/>
        <v>22800</v>
      </c>
      <c r="B12047" s="1" t="str">
        <f>"62373"</f>
        <v>62373</v>
      </c>
      <c r="C12047" s="2">
        <v>4.5926391947153098E-3</v>
      </c>
      <c r="D12047" s="2">
        <v>7.8431372549019605E-4</v>
      </c>
      <c r="E12047" s="2">
        <v>1.1441647597254E-3</v>
      </c>
      <c r="F12047" s="2">
        <v>4.2312716533197004E-3</v>
      </c>
    </row>
    <row r="12048" spans="1:6" x14ac:dyDescent="0.25">
      <c r="A12048" s="1" t="str">
        <f t="shared" si="443"/>
        <v>22800</v>
      </c>
      <c r="B12048" s="1" t="str">
        <f>"52625"</f>
        <v>52625</v>
      </c>
      <c r="C12048" s="2">
        <v>3.94463667820069E-2</v>
      </c>
      <c r="D12048" s="2">
        <v>1.7254901960784299E-2</v>
      </c>
      <c r="E12048" s="2">
        <v>3.4324942791762E-2</v>
      </c>
      <c r="F12048" s="2">
        <v>3.7712273527574197E-2</v>
      </c>
    </row>
    <row r="12049" spans="1:6" x14ac:dyDescent="0.25">
      <c r="A12049" s="1" t="str">
        <f t="shared" si="443"/>
        <v>22800</v>
      </c>
      <c r="B12049" s="1" t="str">
        <f>"52656"</f>
        <v>52656</v>
      </c>
      <c r="C12049" s="2">
        <v>3.4790814721610497E-2</v>
      </c>
      <c r="D12049" s="2">
        <v>1.25490196078431E-2</v>
      </c>
      <c r="E12049" s="2">
        <v>2.4027459954233402E-2</v>
      </c>
      <c r="F12049" s="2">
        <v>3.2913045947634403E-2</v>
      </c>
    </row>
    <row r="12050" spans="1:6" x14ac:dyDescent="0.25">
      <c r="A12050" s="1" t="str">
        <f t="shared" si="443"/>
        <v>22800</v>
      </c>
      <c r="B12050" s="1" t="str">
        <f>"52658"</f>
        <v>52658</v>
      </c>
      <c r="C12050" s="2">
        <v>1.51934570619691E-2</v>
      </c>
      <c r="D12050" s="2">
        <v>7.4509803921568602E-3</v>
      </c>
      <c r="E12050" s="2">
        <v>2.2883295194508001E-3</v>
      </c>
      <c r="F12050" s="2">
        <v>1.43124893508263E-2</v>
      </c>
    </row>
    <row r="12051" spans="1:6" x14ac:dyDescent="0.25">
      <c r="A12051" s="1" t="str">
        <f t="shared" si="443"/>
        <v>22800</v>
      </c>
      <c r="B12051" s="1" t="str">
        <f>"63474"</f>
        <v>63474</v>
      </c>
      <c r="C12051" s="2">
        <v>8.7134318968228996E-3</v>
      </c>
      <c r="D12051" s="2">
        <v>3.1372549019607798E-3</v>
      </c>
      <c r="E12051" s="2">
        <v>1.2585812356979399E-2</v>
      </c>
      <c r="F12051" s="2">
        <v>8.4057477139773892E-3</v>
      </c>
    </row>
    <row r="12052" spans="1:6" x14ac:dyDescent="0.25">
      <c r="A12052" s="1" t="str">
        <f t="shared" si="443"/>
        <v>22800</v>
      </c>
      <c r="B12052" s="1" t="str">
        <f>"62380"</f>
        <v>62380</v>
      </c>
      <c r="C12052" s="2">
        <v>5.8194400754954297E-3</v>
      </c>
      <c r="D12052" s="2">
        <v>1.1764705882352899E-3</v>
      </c>
      <c r="E12052" s="2">
        <v>1.1441647597254E-3</v>
      </c>
      <c r="F12052" s="2">
        <v>5.3671835065598897E-3</v>
      </c>
    </row>
    <row r="12053" spans="1:6" x14ac:dyDescent="0.25">
      <c r="A12053" s="1" t="str">
        <f t="shared" si="443"/>
        <v>22800</v>
      </c>
      <c r="B12053" s="1" t="str">
        <f>"62316"</f>
        <v>62316</v>
      </c>
      <c r="C12053" s="2">
        <v>9.9087763447624991E-3</v>
      </c>
      <c r="D12053" s="2">
        <v>3.9215686274509803E-3</v>
      </c>
      <c r="E12053" s="2">
        <v>8.0091533180778E-3</v>
      </c>
      <c r="F12053" s="2">
        <v>9.4280683818935597E-3</v>
      </c>
    </row>
    <row r="12054" spans="1:6" x14ac:dyDescent="0.25">
      <c r="A12054" s="1" t="str">
        <f t="shared" si="443"/>
        <v>22800</v>
      </c>
      <c r="B12054" s="1" t="str">
        <f>"63435"</f>
        <v>63435</v>
      </c>
      <c r="C12054" s="2">
        <v>1.7930166719094E-3</v>
      </c>
      <c r="D12054" s="2">
        <v>3.9215686274509802E-4</v>
      </c>
      <c r="E12054" s="2">
        <v>0</v>
      </c>
      <c r="F12054" s="2">
        <v>1.64707218719827E-3</v>
      </c>
    </row>
    <row r="12055" spans="1:6" x14ac:dyDescent="0.25">
      <c r="A12055" s="1" t="str">
        <f t="shared" si="443"/>
        <v>22800</v>
      </c>
      <c r="B12055" s="1" t="str">
        <f>"62313"</f>
        <v>62313</v>
      </c>
      <c r="C12055" s="2">
        <v>5.97672223969801E-3</v>
      </c>
      <c r="D12055" s="2">
        <v>2.3529411764705798E-3</v>
      </c>
      <c r="E12055" s="2">
        <v>1.1441647597254E-3</v>
      </c>
      <c r="F12055" s="2">
        <v>5.5943658772079196E-3</v>
      </c>
    </row>
    <row r="12056" spans="1:6" x14ac:dyDescent="0.25">
      <c r="A12056" s="1" t="str">
        <f t="shared" si="443"/>
        <v>22800</v>
      </c>
      <c r="B12056" s="1" t="str">
        <f>"63472"</f>
        <v>63472</v>
      </c>
      <c r="C12056" s="2">
        <v>7.6439131802453599E-3</v>
      </c>
      <c r="D12056" s="2">
        <v>3.1372549019607798E-3</v>
      </c>
      <c r="E12056" s="2">
        <v>6.8649885583523997E-3</v>
      </c>
      <c r="F12056" s="2">
        <v>7.2982336570682101E-3</v>
      </c>
    </row>
    <row r="12057" spans="1:6" x14ac:dyDescent="0.25">
      <c r="A12057" s="1" t="str">
        <f t="shared" si="443"/>
        <v>22800</v>
      </c>
      <c r="B12057" s="1" t="str">
        <f>"52649"</f>
        <v>52649</v>
      </c>
      <c r="C12057" s="2">
        <v>1.38408304498269E-3</v>
      </c>
      <c r="D12057" s="2">
        <v>3.9215686274509802E-4</v>
      </c>
      <c r="E12057" s="2">
        <v>0</v>
      </c>
      <c r="F12057" s="2">
        <v>1.27790083489521E-3</v>
      </c>
    </row>
    <row r="12058" spans="1:6" x14ac:dyDescent="0.25">
      <c r="A12058" s="1" t="str">
        <f t="shared" si="443"/>
        <v>22800</v>
      </c>
      <c r="B12058" s="1" t="str">
        <f>"62311"</f>
        <v>62311</v>
      </c>
      <c r="C12058" s="2">
        <v>1.3054419628814E-2</v>
      </c>
      <c r="D12058" s="2">
        <v>1.68627450980392E-2</v>
      </c>
      <c r="E12058" s="2">
        <v>5.7208237986270003E-3</v>
      </c>
      <c r="F12058" s="2">
        <v>1.31481797012551E-2</v>
      </c>
    </row>
    <row r="12059" spans="1:6" x14ac:dyDescent="0.25">
      <c r="A12059" s="1" t="str">
        <f t="shared" si="443"/>
        <v>22800</v>
      </c>
      <c r="B12059" s="1" t="str">
        <f>"62351"</f>
        <v>62351</v>
      </c>
      <c r="C12059" s="2">
        <v>1.6986473733878499E-3</v>
      </c>
      <c r="D12059" s="2">
        <v>7.8431372549019605E-4</v>
      </c>
      <c r="E12059" s="2">
        <v>0</v>
      </c>
      <c r="F12059" s="2">
        <v>1.5902765945362599E-3</v>
      </c>
    </row>
    <row r="12060" spans="1:6" x14ac:dyDescent="0.25">
      <c r="A12060" s="1" t="str">
        <f t="shared" si="443"/>
        <v>22800</v>
      </c>
      <c r="B12060" s="1" t="str">
        <f>"52631"</f>
        <v>52631</v>
      </c>
      <c r="C12060" s="2">
        <v>0</v>
      </c>
      <c r="D12060" s="2">
        <v>0</v>
      </c>
      <c r="E12060" s="2">
        <v>1.1441647597254E-3</v>
      </c>
      <c r="F12060" s="2">
        <v>2.8397796331004701E-5</v>
      </c>
    </row>
    <row r="12061" spans="1:6" x14ac:dyDescent="0.25">
      <c r="A12061" s="1" t="str">
        <f t="shared" si="443"/>
        <v>22800</v>
      </c>
      <c r="B12061" s="1" t="str">
        <f>"62374"</f>
        <v>62374</v>
      </c>
      <c r="C12061" s="2">
        <v>1.5413652091852701E-3</v>
      </c>
      <c r="D12061" s="2">
        <v>1.1764705882352899E-3</v>
      </c>
      <c r="E12061" s="2">
        <v>0</v>
      </c>
      <c r="F12061" s="2">
        <v>1.47668540921224E-3</v>
      </c>
    </row>
    <row r="12062" spans="1:6" x14ac:dyDescent="0.25">
      <c r="A12062" s="1" t="str">
        <f t="shared" si="443"/>
        <v>22800</v>
      </c>
      <c r="B12062" s="1" t="str">
        <f>"62346"</f>
        <v>62346</v>
      </c>
      <c r="C12062" s="2">
        <v>9.43692985215476E-5</v>
      </c>
      <c r="D12062" s="2">
        <v>0</v>
      </c>
      <c r="E12062" s="2">
        <v>0</v>
      </c>
      <c r="F12062" s="2">
        <v>8.5193388993014106E-5</v>
      </c>
    </row>
    <row r="12063" spans="1:6" x14ac:dyDescent="0.25">
      <c r="A12063" s="1" t="str">
        <f t="shared" si="443"/>
        <v>22800</v>
      </c>
      <c r="B12063" s="1" t="str">
        <f>"62321"</f>
        <v>62321</v>
      </c>
      <c r="C12063" s="2">
        <v>7.0179301667190899E-2</v>
      </c>
      <c r="D12063" s="2">
        <v>0.114509803921568</v>
      </c>
      <c r="E12063" s="2">
        <v>0.10983981693363799</v>
      </c>
      <c r="F12063" s="2">
        <v>7.4373828590901303E-2</v>
      </c>
    </row>
    <row r="12064" spans="1:6" x14ac:dyDescent="0.25">
      <c r="A12064" s="1" t="str">
        <f t="shared" si="443"/>
        <v>22800</v>
      </c>
      <c r="B12064" s="1" t="str">
        <f>"62326"</f>
        <v>62326</v>
      </c>
      <c r="C12064" s="2">
        <v>7.2349795533186497E-4</v>
      </c>
      <c r="D12064" s="2">
        <v>3.9215686274509802E-4</v>
      </c>
      <c r="E12064" s="2">
        <v>0</v>
      </c>
      <c r="F12064" s="2">
        <v>6.8154711194411295E-4</v>
      </c>
    </row>
    <row r="12065" spans="1:6" x14ac:dyDescent="0.25">
      <c r="A12065" s="1" t="str">
        <f t="shared" si="443"/>
        <v>22800</v>
      </c>
      <c r="B12065" s="1" t="str">
        <f>"62341"</f>
        <v>62341</v>
      </c>
      <c r="C12065" s="2">
        <v>5.3696130858760599E-2</v>
      </c>
      <c r="D12065" s="2">
        <v>6.11764705882352E-2</v>
      </c>
      <c r="E12065" s="2">
        <v>4.3478260869565202E-2</v>
      </c>
      <c r="F12065" s="2">
        <v>5.3984210825239902E-2</v>
      </c>
    </row>
    <row r="12066" spans="1:6" x14ac:dyDescent="0.25">
      <c r="A12066" s="1" t="str">
        <f t="shared" si="443"/>
        <v>22800</v>
      </c>
      <c r="B12066" s="1" t="str">
        <f>"52648"</f>
        <v>52648</v>
      </c>
      <c r="C12066" s="2">
        <v>2.8310789556464197E-4</v>
      </c>
      <c r="D12066" s="2">
        <v>1.5686274509803899E-3</v>
      </c>
      <c r="E12066" s="2">
        <v>2.2883295194508001E-3</v>
      </c>
      <c r="F12066" s="2">
        <v>4.2596694496507001E-4</v>
      </c>
    </row>
    <row r="12067" spans="1:6" x14ac:dyDescent="0.25">
      <c r="A12067" s="1" t="str">
        <f t="shared" si="443"/>
        <v>22800</v>
      </c>
      <c r="B12067" s="1" t="str">
        <f>"63465"</f>
        <v>63465</v>
      </c>
      <c r="C12067" s="2">
        <v>1.4218307643913099E-2</v>
      </c>
      <c r="D12067" s="2">
        <v>1.1764705882352899E-3</v>
      </c>
      <c r="E12067" s="2">
        <v>2.2883295194508001E-3</v>
      </c>
      <c r="F12067" s="2">
        <v>1.29777929232691E-2</v>
      </c>
    </row>
    <row r="12068" spans="1:6" x14ac:dyDescent="0.25">
      <c r="A12068" s="1" t="str">
        <f t="shared" si="443"/>
        <v>22800</v>
      </c>
      <c r="B12068" s="1" t="str">
        <f>"63453"</f>
        <v>63453</v>
      </c>
      <c r="C12068" s="2">
        <v>7.6753696130858699E-3</v>
      </c>
      <c r="D12068" s="2">
        <v>3.1372549019607798E-3</v>
      </c>
      <c r="E12068" s="2">
        <v>2.2883295194508001E-3</v>
      </c>
      <c r="F12068" s="2">
        <v>7.2130402680751901E-3</v>
      </c>
    </row>
    <row r="12069" spans="1:6" x14ac:dyDescent="0.25">
      <c r="A12069" s="1" t="str">
        <f t="shared" si="443"/>
        <v>22800</v>
      </c>
      <c r="B12069" s="1" t="str">
        <f>"62358"</f>
        <v>62358</v>
      </c>
      <c r="C12069" s="2">
        <v>1.28656810317709E-2</v>
      </c>
      <c r="D12069" s="2">
        <v>8.2352941176470507E-3</v>
      </c>
      <c r="E12069" s="2">
        <v>2.2883295194508001E-3</v>
      </c>
      <c r="F12069" s="2">
        <v>1.2267848014994E-2</v>
      </c>
    </row>
    <row r="12070" spans="1:6" x14ac:dyDescent="0.25">
      <c r="A12070" s="1" t="str">
        <f t="shared" si="443"/>
        <v>22800</v>
      </c>
      <c r="B12070" s="1" t="str">
        <f>"52630"</f>
        <v>52630</v>
      </c>
      <c r="C12070" s="2">
        <v>1.5413652091852701E-3</v>
      </c>
      <c r="D12070" s="2">
        <v>7.8431372549019605E-4</v>
      </c>
      <c r="E12070" s="2">
        <v>0</v>
      </c>
      <c r="F12070" s="2">
        <v>1.44828761288124E-3</v>
      </c>
    </row>
    <row r="12071" spans="1:6" x14ac:dyDescent="0.25">
      <c r="A12071" s="1" t="str">
        <f t="shared" si="443"/>
        <v>22800</v>
      </c>
      <c r="B12071" s="1" t="str">
        <f>"62379"</f>
        <v>62379</v>
      </c>
      <c r="C12071" s="2">
        <v>3.4193142497640702E-2</v>
      </c>
      <c r="D12071" s="2">
        <v>3.6862745098039197E-2</v>
      </c>
      <c r="E12071" s="2">
        <v>3.3180778032036597E-2</v>
      </c>
      <c r="F12071" s="2">
        <v>3.4361333560515697E-2</v>
      </c>
    </row>
    <row r="12072" spans="1:6" x14ac:dyDescent="0.25">
      <c r="A12072" s="1" t="str">
        <f t="shared" si="443"/>
        <v>22800</v>
      </c>
      <c r="B12072" s="1" t="str">
        <f>"63466"</f>
        <v>63466</v>
      </c>
      <c r="C12072" s="2">
        <v>0</v>
      </c>
      <c r="D12072" s="2">
        <v>0</v>
      </c>
      <c r="E12072" s="2">
        <v>1.1441647597254E-3</v>
      </c>
      <c r="F12072" s="2">
        <v>2.8397796331004701E-5</v>
      </c>
    </row>
    <row r="12073" spans="1:6" x14ac:dyDescent="0.25">
      <c r="A12073" s="1" t="str">
        <f t="shared" si="443"/>
        <v>22800</v>
      </c>
      <c r="B12073" s="1" t="str">
        <f>"52624"</f>
        <v>52624</v>
      </c>
      <c r="C12073" s="2">
        <v>0</v>
      </c>
      <c r="D12073" s="2">
        <v>0</v>
      </c>
      <c r="E12073" s="2">
        <v>1.1441647597254E-3</v>
      </c>
      <c r="F12073" s="2">
        <v>2.8397796331004701E-5</v>
      </c>
    </row>
    <row r="12074" spans="1:6" x14ac:dyDescent="0.25">
      <c r="A12074" s="1" t="str">
        <f t="shared" si="443"/>
        <v>22800</v>
      </c>
      <c r="B12074" s="1" t="str">
        <f>"52626"</f>
        <v>52626</v>
      </c>
      <c r="C12074" s="2">
        <v>5.5048757470902701E-3</v>
      </c>
      <c r="D12074" s="2">
        <v>0</v>
      </c>
      <c r="E12074" s="2">
        <v>0</v>
      </c>
      <c r="F12074" s="2">
        <v>4.9696143579258199E-3</v>
      </c>
    </row>
    <row r="12075" spans="1:6" x14ac:dyDescent="0.25">
      <c r="A12075" s="1" t="str">
        <f t="shared" si="443"/>
        <v>22800</v>
      </c>
      <c r="B12075" s="1" t="str">
        <f>"52619"</f>
        <v>52619</v>
      </c>
      <c r="C12075" s="2">
        <v>8.3674111355772195E-3</v>
      </c>
      <c r="D12075" s="2">
        <v>2.7450980392156798E-3</v>
      </c>
      <c r="E12075" s="2">
        <v>2.2883295194508001E-3</v>
      </c>
      <c r="F12075" s="2">
        <v>7.8093939910262901E-3</v>
      </c>
    </row>
    <row r="12076" spans="1:6" x14ac:dyDescent="0.25">
      <c r="A12076" s="1" t="str">
        <f t="shared" si="443"/>
        <v>22800</v>
      </c>
      <c r="B12076" s="1" t="str">
        <f>"62329"</f>
        <v>62329</v>
      </c>
      <c r="C12076" s="2">
        <v>0</v>
      </c>
      <c r="D12076" s="2">
        <v>0</v>
      </c>
      <c r="E12076" s="2">
        <v>1.1441647597254E-3</v>
      </c>
      <c r="F12076" s="2">
        <v>2.8397796331004701E-5</v>
      </c>
    </row>
    <row r="12077" spans="1:6" x14ac:dyDescent="0.25">
      <c r="A12077" s="1" t="str">
        <f t="shared" si="443"/>
        <v>22800</v>
      </c>
      <c r="B12077" s="1" t="str">
        <f>"62349"</f>
        <v>62349</v>
      </c>
      <c r="C12077" s="2">
        <v>9.43692985215476E-5</v>
      </c>
      <c r="D12077" s="2">
        <v>0</v>
      </c>
      <c r="E12077" s="2">
        <v>0</v>
      </c>
      <c r="F12077" s="2">
        <v>8.5193388993014106E-5</v>
      </c>
    </row>
    <row r="12078" spans="1:6" x14ac:dyDescent="0.25">
      <c r="A12078" s="1" t="str">
        <f t="shared" si="443"/>
        <v>22800</v>
      </c>
      <c r="B12078" s="1" t="str">
        <f>"63432"</f>
        <v>63432</v>
      </c>
      <c r="C12078" s="2">
        <v>8.0213903743315499E-3</v>
      </c>
      <c r="D12078" s="2">
        <v>1.9607843137254902E-3</v>
      </c>
      <c r="E12078" s="2">
        <v>1.1441647597254E-3</v>
      </c>
      <c r="F12078" s="2">
        <v>7.4118248423922298E-3</v>
      </c>
    </row>
    <row r="12079" spans="1:6" x14ac:dyDescent="0.25">
      <c r="A12079" s="1" t="str">
        <f t="shared" si="443"/>
        <v>22800</v>
      </c>
      <c r="B12079" s="1" t="str">
        <f>"63445"</f>
        <v>63445</v>
      </c>
      <c r="C12079" s="2">
        <v>8.4397609311104099E-2</v>
      </c>
      <c r="D12079" s="2">
        <v>0.10313725490196</v>
      </c>
      <c r="E12079" s="2">
        <v>4.4622425629290599E-2</v>
      </c>
      <c r="F12079" s="2">
        <v>8.4767422048049004E-2</v>
      </c>
    </row>
    <row r="12080" spans="1:6" x14ac:dyDescent="0.25">
      <c r="A12080" s="1" t="str">
        <f t="shared" si="443"/>
        <v>22800</v>
      </c>
      <c r="B12080" s="1" t="str">
        <f>"52632"</f>
        <v>52632</v>
      </c>
      <c r="C12080" s="2">
        <v>0.19924504561182699</v>
      </c>
      <c r="D12080" s="2">
        <v>0.273725490196078</v>
      </c>
      <c r="E12080" s="2">
        <v>0.25858123569794</v>
      </c>
      <c r="F12080" s="2">
        <v>0.20611120577043199</v>
      </c>
    </row>
    <row r="12081" spans="1:6" x14ac:dyDescent="0.25">
      <c r="A12081" s="1" t="str">
        <f t="shared" si="443"/>
        <v>22800</v>
      </c>
      <c r="B12081" s="1" t="str">
        <f>"52657"</f>
        <v>52657</v>
      </c>
      <c r="C12081" s="2">
        <v>2.2334067316766202E-3</v>
      </c>
      <c r="D12081" s="2">
        <v>2.3529411764705798E-3</v>
      </c>
      <c r="E12081" s="2">
        <v>3.4324942791761999E-3</v>
      </c>
      <c r="F12081" s="2">
        <v>2.2718237064803699E-3</v>
      </c>
    </row>
    <row r="12082" spans="1:6" x14ac:dyDescent="0.25">
      <c r="A12082" s="1" t="str">
        <f t="shared" si="443"/>
        <v>22800</v>
      </c>
      <c r="B12082" s="1" t="str">
        <f>"52639"</f>
        <v>52639</v>
      </c>
      <c r="C12082" s="2">
        <v>3.1833910034602002E-2</v>
      </c>
      <c r="D12082" s="2">
        <v>9.0196078431372499E-3</v>
      </c>
      <c r="E12082" s="2">
        <v>2.9748283752860399E-2</v>
      </c>
      <c r="F12082" s="2">
        <v>3.0130061907195999E-2</v>
      </c>
    </row>
    <row r="12083" spans="1:6" x14ac:dyDescent="0.25">
      <c r="A12083" s="1" t="str">
        <f t="shared" si="443"/>
        <v>22800</v>
      </c>
      <c r="B12083" s="1" t="str">
        <f>"52627"</f>
        <v>52627</v>
      </c>
      <c r="C12083" s="2">
        <v>0.200283107895564</v>
      </c>
      <c r="D12083" s="2">
        <v>0.239607843137254</v>
      </c>
      <c r="E12083" s="2">
        <v>0.237986270022883</v>
      </c>
      <c r="F12083" s="2">
        <v>0.204066564434599</v>
      </c>
    </row>
    <row r="12084" spans="1:6" x14ac:dyDescent="0.25">
      <c r="A12084" s="1" t="str">
        <f t="shared" si="443"/>
        <v>22800</v>
      </c>
      <c r="B12084" s="1" t="str">
        <f>"63430"</f>
        <v>63430</v>
      </c>
      <c r="C12084" s="2">
        <v>1.3966656181189E-2</v>
      </c>
      <c r="D12084" s="2">
        <v>1.5686274509803901E-2</v>
      </c>
      <c r="E12084" s="2">
        <v>1.1441647597254E-3</v>
      </c>
      <c r="F12084" s="2">
        <v>1.37729312205372E-2</v>
      </c>
    </row>
    <row r="12085" spans="1:6" x14ac:dyDescent="0.25">
      <c r="A12085" s="1" t="str">
        <f t="shared" si="443"/>
        <v>22800</v>
      </c>
      <c r="B12085" s="1" t="str">
        <f>"61450"</f>
        <v>61450</v>
      </c>
      <c r="C12085" s="2">
        <v>2.988361119849E-2</v>
      </c>
      <c r="D12085" s="2">
        <v>1.09803921568627E-2</v>
      </c>
      <c r="E12085" s="2">
        <v>3.3180778032036597E-2</v>
      </c>
      <c r="F12085" s="2">
        <v>2.8596580905321699E-2</v>
      </c>
    </row>
    <row r="12086" spans="1:6" x14ac:dyDescent="0.25">
      <c r="A12086" s="1" t="str">
        <f t="shared" si="443"/>
        <v>22800</v>
      </c>
      <c r="B12086" s="1" t="str">
        <f>"62354"</f>
        <v>62354</v>
      </c>
      <c r="C12086" s="2">
        <v>2.6895250078640999E-2</v>
      </c>
      <c r="D12086" s="2">
        <v>0.02</v>
      </c>
      <c r="E12086" s="2">
        <v>7.5514874141876395E-2</v>
      </c>
      <c r="F12086" s="2">
        <v>2.7602658033736498E-2</v>
      </c>
    </row>
    <row r="12087" spans="1:6" x14ac:dyDescent="0.25">
      <c r="A12087" s="1" t="str">
        <f t="shared" si="443"/>
        <v>22800</v>
      </c>
      <c r="B12087" s="1" t="str">
        <f>"62336"</f>
        <v>62336</v>
      </c>
      <c r="C12087" s="2">
        <v>0</v>
      </c>
      <c r="D12087" s="2">
        <v>0</v>
      </c>
      <c r="E12087" s="2">
        <v>1.1441647597254E-3</v>
      </c>
      <c r="F12087" s="2">
        <v>2.8397796331004701E-5</v>
      </c>
    </row>
    <row r="12088" spans="1:6" x14ac:dyDescent="0.25">
      <c r="A12088" s="1" t="str">
        <f t="shared" si="443"/>
        <v>22800</v>
      </c>
      <c r="B12088" s="1" t="str">
        <f>"62367"</f>
        <v>62367</v>
      </c>
      <c r="C12088" s="2">
        <v>1.0946838628499499E-2</v>
      </c>
      <c r="D12088" s="2">
        <v>1.0196078431372499E-2</v>
      </c>
      <c r="E12088" s="2">
        <v>5.7208237986270003E-3</v>
      </c>
      <c r="F12088" s="2">
        <v>1.07627648094507E-2</v>
      </c>
    </row>
    <row r="12089" spans="1:6" x14ac:dyDescent="0.25">
      <c r="A12089" s="1" t="str">
        <f t="shared" si="443"/>
        <v>22800</v>
      </c>
      <c r="B12089" s="1" t="str">
        <f>"62334"</f>
        <v>62334</v>
      </c>
      <c r="C12089" s="2">
        <v>2.6737967914438501E-3</v>
      </c>
      <c r="D12089" s="2">
        <v>0</v>
      </c>
      <c r="E12089" s="2">
        <v>1.1441647597254E-3</v>
      </c>
      <c r="F12089" s="2">
        <v>2.4422104844663999E-3</v>
      </c>
    </row>
    <row r="12090" spans="1:6" x14ac:dyDescent="0.25">
      <c r="A12090" s="1" t="str">
        <f t="shared" si="443"/>
        <v>22800</v>
      </c>
      <c r="B12090" s="1" t="str">
        <f>"61420"</f>
        <v>61420</v>
      </c>
      <c r="C12090" s="2">
        <v>1.57282164202579E-3</v>
      </c>
      <c r="D12090" s="2">
        <v>0</v>
      </c>
      <c r="E12090" s="2">
        <v>0</v>
      </c>
      <c r="F12090" s="2">
        <v>1.4198898165502299E-3</v>
      </c>
    </row>
    <row r="12091" spans="1:6" x14ac:dyDescent="0.25">
      <c r="A12091" s="1" t="str">
        <f t="shared" ref="A12091:A12101" si="444">"22820"</f>
        <v>22820</v>
      </c>
      <c r="B12091" s="1" t="str">
        <f>"80649"</f>
        <v>80649</v>
      </c>
      <c r="C12091" s="2">
        <v>7.7274615704196001E-3</v>
      </c>
      <c r="D12091" s="2">
        <v>9.0909090909090898E-4</v>
      </c>
      <c r="E12091" s="2">
        <v>5.5248618784530298E-3</v>
      </c>
      <c r="F12091" s="2">
        <v>7.0916800701856901E-3</v>
      </c>
    </row>
    <row r="12092" spans="1:6" x14ac:dyDescent="0.25">
      <c r="A12092" s="1" t="str">
        <f t="shared" si="444"/>
        <v>22820</v>
      </c>
      <c r="B12092" s="1" t="str">
        <f>"80701"</f>
        <v>80701</v>
      </c>
      <c r="C12092" s="2">
        <v>0.51483174075612703</v>
      </c>
      <c r="D12092" s="2">
        <v>0.69545454545454499</v>
      </c>
      <c r="E12092" s="2">
        <v>0.64640883977900498</v>
      </c>
      <c r="F12092" s="2">
        <v>0.53458107910513197</v>
      </c>
    </row>
    <row r="12093" spans="1:6" x14ac:dyDescent="0.25">
      <c r="A12093" s="1" t="str">
        <f t="shared" si="444"/>
        <v>22820</v>
      </c>
      <c r="B12093" s="1" t="str">
        <f>"80653"</f>
        <v>80653</v>
      </c>
      <c r="C12093" s="2">
        <v>4.1545492314083901E-2</v>
      </c>
      <c r="D12093" s="2">
        <v>7.2727272727272701E-3</v>
      </c>
      <c r="E12093" s="2">
        <v>9.20810313075506E-3</v>
      </c>
      <c r="F12093" s="2">
        <v>3.7505483257786201E-2</v>
      </c>
    </row>
    <row r="12094" spans="1:6" x14ac:dyDescent="0.25">
      <c r="A12094" s="1" t="str">
        <f t="shared" si="444"/>
        <v>22820</v>
      </c>
      <c r="B12094" s="1" t="str">
        <f>"80750"</f>
        <v>80750</v>
      </c>
      <c r="C12094" s="2">
        <v>1.56211051100955E-2</v>
      </c>
      <c r="D12094" s="2">
        <v>0</v>
      </c>
      <c r="E12094" s="2">
        <v>1.8416206261510099E-3</v>
      </c>
      <c r="F12094" s="2">
        <v>1.38178096212896E-2</v>
      </c>
    </row>
    <row r="12095" spans="1:6" x14ac:dyDescent="0.25">
      <c r="A12095" s="1" t="str">
        <f t="shared" si="444"/>
        <v>22820</v>
      </c>
      <c r="B12095" s="1" t="str">
        <f>"80733"</f>
        <v>80733</v>
      </c>
      <c r="C12095" s="2">
        <v>1.65351059410054E-2</v>
      </c>
      <c r="D12095" s="2">
        <v>0</v>
      </c>
      <c r="E12095" s="2">
        <v>1.8416206261510099E-3</v>
      </c>
      <c r="F12095" s="2">
        <v>1.46220207632694E-2</v>
      </c>
    </row>
    <row r="12096" spans="1:6" x14ac:dyDescent="0.25">
      <c r="A12096" s="1" t="str">
        <f t="shared" si="444"/>
        <v>22820</v>
      </c>
      <c r="B12096" s="1" t="str">
        <f>"80723"</f>
        <v>80723</v>
      </c>
      <c r="C12096" s="2">
        <v>0.24794349813045199</v>
      </c>
      <c r="D12096" s="2">
        <v>0.236363636363636</v>
      </c>
      <c r="E12096" s="2">
        <v>0.23756906077348</v>
      </c>
      <c r="F12096" s="2">
        <v>0.24660038017253899</v>
      </c>
    </row>
    <row r="12097" spans="1:6" x14ac:dyDescent="0.25">
      <c r="A12097" s="1" t="str">
        <f t="shared" si="444"/>
        <v>22820</v>
      </c>
      <c r="B12097" s="1" t="str">
        <f>"80705"</f>
        <v>80705</v>
      </c>
      <c r="C12097" s="2">
        <v>3.4482758620689599E-2</v>
      </c>
      <c r="D12097" s="2">
        <v>7.2727272727272701E-3</v>
      </c>
      <c r="E12097" s="2">
        <v>5.5248618784530298E-3</v>
      </c>
      <c r="F12097" s="2">
        <v>3.1144904225763999E-2</v>
      </c>
    </row>
    <row r="12098" spans="1:6" x14ac:dyDescent="0.25">
      <c r="A12098" s="1" t="str">
        <f t="shared" si="444"/>
        <v>22820</v>
      </c>
      <c r="B12098" s="1" t="str">
        <f>"80754"</f>
        <v>80754</v>
      </c>
      <c r="C12098" s="2">
        <v>1.66181969256335E-4</v>
      </c>
      <c r="D12098" s="2">
        <v>0</v>
      </c>
      <c r="E12098" s="2">
        <v>0</v>
      </c>
      <c r="F12098" s="2">
        <v>1.4622020763269399E-4</v>
      </c>
    </row>
    <row r="12099" spans="1:6" x14ac:dyDescent="0.25">
      <c r="A12099" s="1" t="str">
        <f t="shared" si="444"/>
        <v>22820</v>
      </c>
      <c r="B12099" s="1" t="str">
        <f>"80742"</f>
        <v>80742</v>
      </c>
      <c r="C12099" s="2">
        <v>8.3090984628167799E-4</v>
      </c>
      <c r="D12099" s="2">
        <v>0</v>
      </c>
      <c r="E12099" s="2">
        <v>0</v>
      </c>
      <c r="F12099" s="2">
        <v>7.3110103816347396E-4</v>
      </c>
    </row>
    <row r="12100" spans="1:6" x14ac:dyDescent="0.25">
      <c r="A12100" s="1" t="str">
        <f t="shared" si="444"/>
        <v>22820</v>
      </c>
      <c r="B12100" s="1" t="str">
        <f>"80654"</f>
        <v>80654</v>
      </c>
      <c r="C12100" s="2">
        <v>0.12006647278770199</v>
      </c>
      <c r="D12100" s="2">
        <v>5.2727272727272699E-2</v>
      </c>
      <c r="E12100" s="2">
        <v>9.2081031307550604E-2</v>
      </c>
      <c r="F12100" s="2">
        <v>0.113539991226787</v>
      </c>
    </row>
    <row r="12101" spans="1:6" x14ac:dyDescent="0.25">
      <c r="A12101" s="1" t="str">
        <f t="shared" si="444"/>
        <v>22820</v>
      </c>
      <c r="B12101" s="1" t="str">
        <f>"80741"</f>
        <v>80741</v>
      </c>
      <c r="C12101" s="2">
        <v>2.49272953884503E-4</v>
      </c>
      <c r="D12101" s="2">
        <v>0</v>
      </c>
      <c r="E12101" s="2">
        <v>0</v>
      </c>
      <c r="F12101" s="2">
        <v>2.1933031144904199E-4</v>
      </c>
    </row>
    <row r="12102" spans="1:6" x14ac:dyDescent="0.25">
      <c r="A12102" s="1" t="str">
        <f t="shared" ref="A12102:A12125" si="445">"22840"</f>
        <v>22840</v>
      </c>
      <c r="B12102" s="1" t="str">
        <f>"35984"</f>
        <v>35984</v>
      </c>
      <c r="C12102" s="2">
        <v>3.08717864655902E-2</v>
      </c>
      <c r="D12102" s="2">
        <v>1.48684712161646E-2</v>
      </c>
      <c r="E12102" s="2">
        <v>9.7879282218597003E-3</v>
      </c>
      <c r="F12102" s="2">
        <v>2.9493712191571E-2</v>
      </c>
    </row>
    <row r="12103" spans="1:6" x14ac:dyDescent="0.25">
      <c r="A12103" s="1" t="str">
        <f t="shared" si="445"/>
        <v>22840</v>
      </c>
      <c r="B12103" s="1" t="str">
        <f>"35988"</f>
        <v>35988</v>
      </c>
      <c r="C12103" s="2">
        <v>2.4915990492582502E-2</v>
      </c>
      <c r="D12103" s="2">
        <v>1.0293556995806301E-2</v>
      </c>
      <c r="E12103" s="2">
        <v>2.77324632952691E-2</v>
      </c>
      <c r="F12103" s="2">
        <v>2.39965862596952E-2</v>
      </c>
    </row>
    <row r="12104" spans="1:6" x14ac:dyDescent="0.25">
      <c r="A12104" s="1" t="str">
        <f t="shared" si="445"/>
        <v>22840</v>
      </c>
      <c r="B12104" s="1" t="str">
        <f>"35975"</f>
        <v>35975</v>
      </c>
      <c r="C12104" s="2">
        <v>1.43430866322432E-2</v>
      </c>
      <c r="D12104" s="2">
        <v>1.5249714067861199E-3</v>
      </c>
      <c r="E12104" s="2">
        <v>0</v>
      </c>
      <c r="F12104" s="2">
        <v>1.327844574412E-2</v>
      </c>
    </row>
    <row r="12105" spans="1:6" x14ac:dyDescent="0.25">
      <c r="A12105" s="1" t="str">
        <f t="shared" si="445"/>
        <v>22840</v>
      </c>
      <c r="B12105" s="1" t="str">
        <f>"35978"</f>
        <v>35978</v>
      </c>
      <c r="C12105" s="2">
        <v>7.13056306860093E-2</v>
      </c>
      <c r="D12105" s="2">
        <v>5.2992756385817699E-2</v>
      </c>
      <c r="E12105" s="2">
        <v>3.2626427406198998E-2</v>
      </c>
      <c r="F12105" s="2">
        <v>6.95047566454981E-2</v>
      </c>
    </row>
    <row r="12106" spans="1:6" x14ac:dyDescent="0.25">
      <c r="A12106" s="1" t="str">
        <f t="shared" si="445"/>
        <v>22840</v>
      </c>
      <c r="B12106" s="1" t="str">
        <f>"35951"</f>
        <v>35951</v>
      </c>
      <c r="C12106" s="2">
        <v>2.9041335409665799E-2</v>
      </c>
      <c r="D12106" s="2">
        <v>5.3373999237514196E-3</v>
      </c>
      <c r="E12106" s="2">
        <v>4.8939641109298502E-3</v>
      </c>
      <c r="F12106" s="2">
        <v>2.71091141845929E-2</v>
      </c>
    </row>
    <row r="12107" spans="1:6" x14ac:dyDescent="0.25">
      <c r="A12107" s="1" t="str">
        <f t="shared" si="445"/>
        <v>22840</v>
      </c>
      <c r="B12107" s="1" t="str">
        <f>"35967"</f>
        <v>35967</v>
      </c>
      <c r="C12107" s="2">
        <v>0.21716799169466899</v>
      </c>
      <c r="D12107" s="2">
        <v>0.43385436523065102</v>
      </c>
      <c r="E12107" s="2">
        <v>0.471451876019575</v>
      </c>
      <c r="F12107" s="2">
        <v>0.23534727277291001</v>
      </c>
    </row>
    <row r="12108" spans="1:6" x14ac:dyDescent="0.25">
      <c r="A12108" s="1" t="str">
        <f t="shared" si="445"/>
        <v>22840</v>
      </c>
      <c r="B12108" s="1" t="str">
        <f>"35961"</f>
        <v>35961</v>
      </c>
      <c r="C12108" s="2">
        <v>5.54326148129934E-2</v>
      </c>
      <c r="D12108" s="2">
        <v>2.02058711399161E-2</v>
      </c>
      <c r="E12108" s="2">
        <v>3.5889070146818899E-2</v>
      </c>
      <c r="F12108" s="2">
        <v>5.2812570596651502E-2</v>
      </c>
    </row>
    <row r="12109" spans="1:6" x14ac:dyDescent="0.25">
      <c r="A12109" s="1" t="str">
        <f t="shared" si="445"/>
        <v>22840</v>
      </c>
      <c r="B12109" s="1" t="str">
        <f>"35989"</f>
        <v>35989</v>
      </c>
      <c r="C12109" s="2">
        <v>4.5460754582957598E-2</v>
      </c>
      <c r="D12109" s="2">
        <v>1.2199771254288901E-2</v>
      </c>
      <c r="E12109" s="2">
        <v>9.7879282218597003E-3</v>
      </c>
      <c r="F12109" s="2">
        <v>4.2721955872386301E-2</v>
      </c>
    </row>
    <row r="12110" spans="1:6" x14ac:dyDescent="0.25">
      <c r="A12110" s="1" t="str">
        <f t="shared" si="445"/>
        <v>22840</v>
      </c>
      <c r="B12110" s="1" t="str">
        <f>"35963"</f>
        <v>35963</v>
      </c>
      <c r="C12110" s="2">
        <v>2.3795863727016899E-2</v>
      </c>
      <c r="D12110" s="2">
        <v>2.6686999618757098E-3</v>
      </c>
      <c r="E12110" s="2">
        <v>1.30505709624796E-2</v>
      </c>
      <c r="F12110" s="2">
        <v>2.22395140440272E-2</v>
      </c>
    </row>
    <row r="12111" spans="1:6" x14ac:dyDescent="0.25">
      <c r="A12111" s="1" t="str">
        <f t="shared" si="445"/>
        <v>22840</v>
      </c>
      <c r="B12111" s="1" t="str">
        <f>"35957"</f>
        <v>35957</v>
      </c>
      <c r="C12111" s="2">
        <v>2.7074283528672499E-2</v>
      </c>
      <c r="D12111" s="2">
        <v>5.3373999237514196E-3</v>
      </c>
      <c r="E12111" s="2">
        <v>6.5252854812398002E-3</v>
      </c>
      <c r="F12111" s="2">
        <v>2.5326940937272498E-2</v>
      </c>
    </row>
    <row r="12112" spans="1:6" x14ac:dyDescent="0.25">
      <c r="A12112" s="1" t="str">
        <f t="shared" si="445"/>
        <v>22840</v>
      </c>
      <c r="B12112" s="1" t="str">
        <f>"35979"</f>
        <v>35979</v>
      </c>
      <c r="C12112" s="2">
        <v>1.2020872606070499E-2</v>
      </c>
      <c r="D12112" s="2">
        <v>4.5749142203583603E-3</v>
      </c>
      <c r="E12112" s="2">
        <v>0</v>
      </c>
      <c r="F12112" s="2">
        <v>1.13456663068852E-2</v>
      </c>
    </row>
    <row r="12113" spans="1:6" x14ac:dyDescent="0.25">
      <c r="A12113" s="1" t="str">
        <f t="shared" si="445"/>
        <v>22840</v>
      </c>
      <c r="B12113" s="1" t="str">
        <f>"35968"</f>
        <v>35968</v>
      </c>
      <c r="C12113" s="2">
        <v>0.102395978471709</v>
      </c>
      <c r="D12113" s="2">
        <v>0.20243995425085701</v>
      </c>
      <c r="E12113" s="2">
        <v>7.3409461663947698E-2</v>
      </c>
      <c r="F12113" s="2">
        <v>0.108536860864981</v>
      </c>
    </row>
    <row r="12114" spans="1:6" x14ac:dyDescent="0.25">
      <c r="A12114" s="1" t="str">
        <f t="shared" si="445"/>
        <v>22840</v>
      </c>
      <c r="B12114" s="1" t="str">
        <f>"35954"</f>
        <v>35954</v>
      </c>
      <c r="C12114" s="2">
        <v>1.7484905608829799E-3</v>
      </c>
      <c r="D12114" s="2">
        <v>3.8124285169652999E-4</v>
      </c>
      <c r="E12114" s="2">
        <v>0</v>
      </c>
      <c r="F12114" s="2">
        <v>1.63156705740605E-3</v>
      </c>
    </row>
    <row r="12115" spans="1:6" x14ac:dyDescent="0.25">
      <c r="A12115" s="1" t="str">
        <f t="shared" si="445"/>
        <v>22840</v>
      </c>
      <c r="B12115" s="1" t="str">
        <f>"35771"</f>
        <v>35771</v>
      </c>
      <c r="C12115" s="2">
        <v>2.3222140261727098E-3</v>
      </c>
      <c r="D12115" s="2">
        <v>0</v>
      </c>
      <c r="E12115" s="2">
        <v>3.2626427406199001E-3</v>
      </c>
      <c r="F12115" s="2">
        <v>2.1837897537588702E-3</v>
      </c>
    </row>
    <row r="12116" spans="1:6" x14ac:dyDescent="0.25">
      <c r="A12116" s="1" t="str">
        <f t="shared" si="445"/>
        <v>22840</v>
      </c>
      <c r="B12116" s="1" t="str">
        <f>"35956"</f>
        <v>35956</v>
      </c>
      <c r="C12116" s="2">
        <v>2.7320165013796599E-5</v>
      </c>
      <c r="D12116" s="2">
        <v>0</v>
      </c>
      <c r="E12116" s="2">
        <v>0</v>
      </c>
      <c r="F12116" s="2">
        <v>2.5101031652400901E-5</v>
      </c>
    </row>
    <row r="12117" spans="1:6" x14ac:dyDescent="0.25">
      <c r="A12117" s="1" t="str">
        <f t="shared" si="445"/>
        <v>22840</v>
      </c>
      <c r="B12117" s="1" t="str">
        <f>"35974"</f>
        <v>35974</v>
      </c>
      <c r="C12117" s="2">
        <v>2.34407015818375E-2</v>
      </c>
      <c r="D12117" s="2">
        <v>2.5924513915364E-2</v>
      </c>
      <c r="E12117" s="2">
        <v>9.7879282218597003E-3</v>
      </c>
      <c r="F12117" s="2">
        <v>2.3394161500037602E-2</v>
      </c>
    </row>
    <row r="12118" spans="1:6" x14ac:dyDescent="0.25">
      <c r="A12118" s="1" t="str">
        <f t="shared" si="445"/>
        <v>22840</v>
      </c>
      <c r="B12118" s="1" t="str">
        <f>"35966"</f>
        <v>35966</v>
      </c>
      <c r="C12118" s="2">
        <v>1.98071196350025E-2</v>
      </c>
      <c r="D12118" s="2">
        <v>1.18185284025924E-2</v>
      </c>
      <c r="E12118" s="2">
        <v>1.30505709624796E-2</v>
      </c>
      <c r="F12118" s="2">
        <v>1.9177188182434201E-2</v>
      </c>
    </row>
    <row r="12119" spans="1:6" x14ac:dyDescent="0.25">
      <c r="A12119" s="1" t="str">
        <f t="shared" si="445"/>
        <v>22840</v>
      </c>
      <c r="B12119" s="1" t="str">
        <f>"35765"</f>
        <v>35765</v>
      </c>
      <c r="C12119" s="2">
        <v>3.3877004617107799E-3</v>
      </c>
      <c r="D12119" s="2">
        <v>0</v>
      </c>
      <c r="E12119" s="2">
        <v>3.2626427406199001E-3</v>
      </c>
      <c r="F12119" s="2">
        <v>3.1627299882025098E-3</v>
      </c>
    </row>
    <row r="12120" spans="1:6" x14ac:dyDescent="0.25">
      <c r="A12120" s="1" t="str">
        <f t="shared" si="445"/>
        <v>22840</v>
      </c>
      <c r="B12120" s="1" t="str">
        <f>"35986"</f>
        <v>35986</v>
      </c>
      <c r="C12120" s="2">
        <v>0.108870857579979</v>
      </c>
      <c r="D12120" s="2">
        <v>9.9504384292794498E-2</v>
      </c>
      <c r="E12120" s="2">
        <v>0.102773246329526</v>
      </c>
      <c r="F12120" s="2">
        <v>0.10816034539019501</v>
      </c>
    </row>
    <row r="12121" spans="1:6" x14ac:dyDescent="0.25">
      <c r="A12121" s="1" t="str">
        <f t="shared" si="445"/>
        <v>22840</v>
      </c>
      <c r="B12121" s="1" t="str">
        <f>"35981"</f>
        <v>35981</v>
      </c>
      <c r="C12121" s="2">
        <v>3.2429035871376598E-2</v>
      </c>
      <c r="D12121" s="2">
        <v>2.47807853602744E-2</v>
      </c>
      <c r="E12121" s="2">
        <v>5.3833605220228301E-2</v>
      </c>
      <c r="F12121" s="2">
        <v>3.2254825673335097E-2</v>
      </c>
    </row>
    <row r="12122" spans="1:6" x14ac:dyDescent="0.25">
      <c r="A12122" s="1" t="str">
        <f t="shared" si="445"/>
        <v>22840</v>
      </c>
      <c r="B12122" s="1" t="str">
        <f>"35962"</f>
        <v>35962</v>
      </c>
      <c r="C12122" s="2">
        <v>8.8490014479687407E-2</v>
      </c>
      <c r="D12122" s="2">
        <v>3.7361799466259997E-2</v>
      </c>
      <c r="E12122" s="2">
        <v>6.6884176182707894E-2</v>
      </c>
      <c r="F12122" s="2">
        <v>8.4791284921810206E-2</v>
      </c>
    </row>
    <row r="12123" spans="1:6" x14ac:dyDescent="0.25">
      <c r="A12123" s="1" t="str">
        <f t="shared" si="445"/>
        <v>22840</v>
      </c>
      <c r="B12123" s="1" t="str">
        <f>"35983"</f>
        <v>35983</v>
      </c>
      <c r="C12123" s="2">
        <v>6.2836379531732301E-4</v>
      </c>
      <c r="D12123" s="2">
        <v>0</v>
      </c>
      <c r="E12123" s="2">
        <v>0</v>
      </c>
      <c r="F12123" s="2">
        <v>5.7732372800522102E-4</v>
      </c>
    </row>
    <row r="12124" spans="1:6" x14ac:dyDescent="0.25">
      <c r="A12124" s="1" t="str">
        <f t="shared" si="445"/>
        <v>22840</v>
      </c>
      <c r="B12124" s="1" t="str">
        <f>"35959"</f>
        <v>35959</v>
      </c>
      <c r="C12124" s="2">
        <v>7.9228478540010301E-4</v>
      </c>
      <c r="D12124" s="2">
        <v>0</v>
      </c>
      <c r="E12124" s="2">
        <v>0</v>
      </c>
      <c r="F12124" s="2">
        <v>7.2792991791962604E-4</v>
      </c>
    </row>
    <row r="12125" spans="1:6" x14ac:dyDescent="0.25">
      <c r="A12125" s="1" t="str">
        <f t="shared" si="445"/>
        <v>22840</v>
      </c>
      <c r="B12125" s="1" t="str">
        <f>"35971"</f>
        <v>35971</v>
      </c>
      <c r="C12125" s="2">
        <v>6.4229707947436002E-2</v>
      </c>
      <c r="D12125" s="2">
        <v>3.3930613800991202E-2</v>
      </c>
      <c r="E12125" s="2">
        <v>6.19902120717781E-2</v>
      </c>
      <c r="F12125" s="2">
        <v>6.2200356434649398E-2</v>
      </c>
    </row>
    <row r="12126" spans="1:6" x14ac:dyDescent="0.25">
      <c r="A12126" s="1" t="str">
        <f t="shared" ref="A12126:A12141" si="446">"22860"</f>
        <v>22860</v>
      </c>
      <c r="B12126" s="1" t="str">
        <f>"71446"</f>
        <v>71446</v>
      </c>
      <c r="C12126" s="2">
        <v>0.50870922685070996</v>
      </c>
      <c r="D12126" s="2">
        <v>0.72674418604651103</v>
      </c>
      <c r="E12126" s="2">
        <v>0.12790306294177001</v>
      </c>
      <c r="F12126" s="2">
        <v>0.48120300751879602</v>
      </c>
    </row>
    <row r="12127" spans="1:6" x14ac:dyDescent="0.25">
      <c r="A12127" s="1" t="str">
        <f t="shared" si="446"/>
        <v>22860</v>
      </c>
      <c r="B12127" s="1" t="str">
        <f>"71403"</f>
        <v>71403</v>
      </c>
      <c r="C12127" s="2">
        <v>8.6229562073781907E-2</v>
      </c>
      <c r="D12127" s="2">
        <v>1.9379844961240299E-2</v>
      </c>
      <c r="E12127" s="2">
        <v>1.6829350387075001E-3</v>
      </c>
      <c r="F12127" s="2">
        <v>7.39406118984096E-2</v>
      </c>
    </row>
    <row r="12128" spans="1:6" x14ac:dyDescent="0.25">
      <c r="A12128" s="1" t="str">
        <f t="shared" si="446"/>
        <v>22860</v>
      </c>
      <c r="B12128" s="1" t="str">
        <f>"71474"</f>
        <v>71474</v>
      </c>
      <c r="C12128" s="2">
        <v>0</v>
      </c>
      <c r="D12128" s="2">
        <v>0</v>
      </c>
      <c r="E12128" s="2">
        <v>3.3658700774150102E-4</v>
      </c>
      <c r="F12128" s="2">
        <v>3.4648834066733598E-5</v>
      </c>
    </row>
    <row r="12129" spans="1:6" x14ac:dyDescent="0.25">
      <c r="A12129" s="1" t="str">
        <f t="shared" si="446"/>
        <v>22860</v>
      </c>
      <c r="B12129" s="1" t="str">
        <f>"71443"</f>
        <v>71443</v>
      </c>
      <c r="C12129" s="2">
        <v>2.4648755237860402E-3</v>
      </c>
      <c r="D12129" s="2">
        <v>1.9379844961240299E-3</v>
      </c>
      <c r="E12129" s="2">
        <v>6.7317401548300205E-4</v>
      </c>
      <c r="F12129" s="2">
        <v>2.25217421433768E-3</v>
      </c>
    </row>
    <row r="12130" spans="1:6" x14ac:dyDescent="0.25">
      <c r="A12130" s="1" t="str">
        <f t="shared" si="446"/>
        <v>22860</v>
      </c>
      <c r="B12130" s="1" t="str">
        <f>"71429"</f>
        <v>71429</v>
      </c>
      <c r="C12130" s="2">
        <v>2.46487552378604E-4</v>
      </c>
      <c r="D12130" s="2">
        <v>0</v>
      </c>
      <c r="E12130" s="2">
        <v>0</v>
      </c>
      <c r="F12130" s="2">
        <v>2.0789300440040101E-4</v>
      </c>
    </row>
    <row r="12131" spans="1:6" x14ac:dyDescent="0.25">
      <c r="A12131" s="1" t="str">
        <f t="shared" si="446"/>
        <v>22860</v>
      </c>
      <c r="B12131" s="1" t="str">
        <f>"70656"</f>
        <v>70656</v>
      </c>
      <c r="C12131" s="2">
        <v>4.3874784323391598E-2</v>
      </c>
      <c r="D12131" s="2">
        <v>1.61498708010335E-2</v>
      </c>
      <c r="E12131" s="2">
        <v>1.6829350387075001E-3</v>
      </c>
      <c r="F12131" s="2">
        <v>3.8044419805273497E-2</v>
      </c>
    </row>
    <row r="12132" spans="1:6" x14ac:dyDescent="0.25">
      <c r="A12132" s="1" t="str">
        <f t="shared" si="446"/>
        <v>22860</v>
      </c>
      <c r="B12132" s="1" t="str">
        <f>"70659"</f>
        <v>70659</v>
      </c>
      <c r="C12132" s="2">
        <v>4.1081258729767403E-5</v>
      </c>
      <c r="D12132" s="2">
        <v>6.4599483204134305E-4</v>
      </c>
      <c r="E12132" s="2">
        <v>3.3658700774150102E-4</v>
      </c>
      <c r="F12132" s="2">
        <v>1.039465022002E-4</v>
      </c>
    </row>
    <row r="12133" spans="1:6" x14ac:dyDescent="0.25">
      <c r="A12133" s="1" t="str">
        <f t="shared" si="446"/>
        <v>22860</v>
      </c>
      <c r="B12133" s="1" t="str">
        <f>"70639"</f>
        <v>70639</v>
      </c>
      <c r="C12133" s="2">
        <v>7.8876016761153505E-3</v>
      </c>
      <c r="D12133" s="2">
        <v>2.58397932816537E-3</v>
      </c>
      <c r="E12133" s="2">
        <v>3.3658700774150102E-4</v>
      </c>
      <c r="F12133" s="2">
        <v>6.8258203111465198E-3</v>
      </c>
    </row>
    <row r="12134" spans="1:6" x14ac:dyDescent="0.25">
      <c r="A12134" s="1" t="str">
        <f t="shared" si="446"/>
        <v>22860</v>
      </c>
      <c r="B12134" s="1" t="str">
        <f>"71439"</f>
        <v>71439</v>
      </c>
      <c r="C12134" s="2">
        <v>2.50184865664283E-2</v>
      </c>
      <c r="D12134" s="2">
        <v>4.5219638242894001E-3</v>
      </c>
      <c r="E12134" s="2">
        <v>2.0195220464490002E-3</v>
      </c>
      <c r="F12134" s="2">
        <v>2.1551574789508299E-2</v>
      </c>
    </row>
    <row r="12135" spans="1:6" x14ac:dyDescent="0.25">
      <c r="A12135" s="1" t="str">
        <f t="shared" si="446"/>
        <v>22860</v>
      </c>
      <c r="B12135" s="1" t="str">
        <f>"71447"</f>
        <v>71447</v>
      </c>
      <c r="C12135" s="2">
        <v>2.0540629364883701E-4</v>
      </c>
      <c r="D12135" s="2">
        <v>0</v>
      </c>
      <c r="E12135" s="2">
        <v>0</v>
      </c>
      <c r="F12135" s="2">
        <v>1.7324417033366801E-4</v>
      </c>
    </row>
    <row r="12136" spans="1:6" x14ac:dyDescent="0.25">
      <c r="A12136" s="1" t="str">
        <f t="shared" si="446"/>
        <v>22860</v>
      </c>
      <c r="B12136" s="1" t="str">
        <f>"71438"</f>
        <v>71438</v>
      </c>
      <c r="C12136" s="2">
        <v>1.0147070906252499E-2</v>
      </c>
      <c r="D12136" s="2">
        <v>2.58397932816537E-3</v>
      </c>
      <c r="E12136" s="2">
        <v>0</v>
      </c>
      <c r="F12136" s="2">
        <v>8.6968573507501395E-3</v>
      </c>
    </row>
    <row r="12137" spans="1:6" x14ac:dyDescent="0.25">
      <c r="A12137" s="1" t="str">
        <f t="shared" si="446"/>
        <v>22860</v>
      </c>
      <c r="B12137" s="1" t="str">
        <f>"71459"</f>
        <v>71459</v>
      </c>
      <c r="C12137" s="2">
        <v>0.16843316079204601</v>
      </c>
      <c r="D12137" s="2">
        <v>7.2997416020671793E-2</v>
      </c>
      <c r="E12137" s="2">
        <v>0.84651632446987501</v>
      </c>
      <c r="F12137" s="2">
        <v>0.23311735560098401</v>
      </c>
    </row>
    <row r="12138" spans="1:6" x14ac:dyDescent="0.25">
      <c r="A12138" s="1" t="str">
        <f t="shared" si="446"/>
        <v>22860</v>
      </c>
      <c r="B12138" s="1" t="str">
        <f>"70634"</f>
        <v>70634</v>
      </c>
      <c r="C12138" s="2">
        <v>5.9691068934352103E-2</v>
      </c>
      <c r="D12138" s="2">
        <v>2.97157622739018E-2</v>
      </c>
      <c r="E12138" s="2">
        <v>3.3658700774150101E-3</v>
      </c>
      <c r="F12138" s="2">
        <v>5.2285090606701001E-2</v>
      </c>
    </row>
    <row r="12139" spans="1:6" x14ac:dyDescent="0.25">
      <c r="A12139" s="1" t="str">
        <f t="shared" si="446"/>
        <v>22860</v>
      </c>
      <c r="B12139" s="1" t="str">
        <f>"71496"</f>
        <v>71496</v>
      </c>
      <c r="C12139" s="2">
        <v>4.6421822364637197E-2</v>
      </c>
      <c r="D12139" s="2">
        <v>0.117571059431524</v>
      </c>
      <c r="E12139" s="2">
        <v>6.7317401548300205E-4</v>
      </c>
      <c r="F12139" s="2">
        <v>4.5528567963688003E-2</v>
      </c>
    </row>
    <row r="12140" spans="1:6" x14ac:dyDescent="0.25">
      <c r="A12140" s="1" t="str">
        <f t="shared" si="446"/>
        <v>22860</v>
      </c>
      <c r="B12140" s="1" t="str">
        <f>"71461"</f>
        <v>71461</v>
      </c>
      <c r="C12140" s="2">
        <v>4.0629364883739999E-2</v>
      </c>
      <c r="D12140" s="2">
        <v>5.16795865633074E-3</v>
      </c>
      <c r="E12140" s="2">
        <v>1.4136654325143E-2</v>
      </c>
      <c r="F12140" s="2">
        <v>3.6000138595336198E-2</v>
      </c>
    </row>
    <row r="12141" spans="1:6" x14ac:dyDescent="0.25">
      <c r="A12141" s="1" t="str">
        <f t="shared" si="446"/>
        <v>22860</v>
      </c>
      <c r="B12141" s="1" t="str">
        <f>"71475"</f>
        <v>71475</v>
      </c>
      <c r="C12141" s="2">
        <v>0</v>
      </c>
      <c r="D12141" s="2">
        <v>0</v>
      </c>
      <c r="E12141" s="2">
        <v>3.3658700774150102E-4</v>
      </c>
      <c r="F12141" s="2">
        <v>3.4648834066733598E-5</v>
      </c>
    </row>
    <row r="12142" spans="1:6" x14ac:dyDescent="0.25">
      <c r="A12142" s="1" t="str">
        <f t="shared" ref="A12142:A12173" si="447">"22900"</f>
        <v>22900</v>
      </c>
      <c r="B12142" s="1" t="str">
        <f>"72774"</f>
        <v>72774</v>
      </c>
      <c r="C12142" s="2">
        <v>8.1016924435514495E-6</v>
      </c>
      <c r="D12142" s="2">
        <v>0</v>
      </c>
      <c r="E12142" s="2">
        <v>0</v>
      </c>
      <c r="F12142" s="2">
        <v>7.2632190586868002E-6</v>
      </c>
    </row>
    <row r="12143" spans="1:6" x14ac:dyDescent="0.25">
      <c r="A12143" s="1" t="str">
        <f t="shared" si="447"/>
        <v>22900</v>
      </c>
      <c r="B12143" s="1" t="str">
        <f>"72821"</f>
        <v>72821</v>
      </c>
      <c r="C12143" s="2">
        <v>5.62257455582471E-3</v>
      </c>
      <c r="D12143" s="2">
        <v>1.6576513697434999E-3</v>
      </c>
      <c r="E12143" s="2">
        <v>2.1528525296017199E-3</v>
      </c>
      <c r="F12143" s="2">
        <v>5.2222545031958096E-3</v>
      </c>
    </row>
    <row r="12144" spans="1:6" x14ac:dyDescent="0.25">
      <c r="A12144" s="1" t="str">
        <f t="shared" si="447"/>
        <v>22900</v>
      </c>
      <c r="B12144" s="1" t="str">
        <f>"72919"</f>
        <v>72919</v>
      </c>
      <c r="C12144" s="2">
        <v>0</v>
      </c>
      <c r="D12144" s="2">
        <v>8.7244808933868397E-5</v>
      </c>
      <c r="E12144" s="2">
        <v>0</v>
      </c>
      <c r="F12144" s="2">
        <v>7.2632190586868002E-6</v>
      </c>
    </row>
    <row r="12145" spans="1:6" x14ac:dyDescent="0.25">
      <c r="A12145" s="1" t="str">
        <f t="shared" si="447"/>
        <v>22900</v>
      </c>
      <c r="B12145" s="1" t="str">
        <f>"72906"</f>
        <v>72906</v>
      </c>
      <c r="C12145" s="2">
        <v>2.4062026557347799E-3</v>
      </c>
      <c r="D12145" s="2">
        <v>6.2816262432385198E-3</v>
      </c>
      <c r="E12145" s="2">
        <v>7.1761750986724005E-4</v>
      </c>
      <c r="F12145" s="2">
        <v>2.6946542707727999E-3</v>
      </c>
    </row>
    <row r="12146" spans="1:6" x14ac:dyDescent="0.25">
      <c r="A12146" s="1" t="str">
        <f t="shared" si="447"/>
        <v>22900</v>
      </c>
      <c r="B12146" s="1" t="str">
        <f>"72928"</f>
        <v>72928</v>
      </c>
      <c r="C12146" s="2">
        <v>2.7221686610332798E-3</v>
      </c>
      <c r="D12146" s="2">
        <v>1.2214273250741501E-3</v>
      </c>
      <c r="E12146" s="2">
        <v>3.5880875493362002E-4</v>
      </c>
      <c r="F12146" s="2">
        <v>2.5493898895990702E-3</v>
      </c>
    </row>
    <row r="12147" spans="1:6" x14ac:dyDescent="0.25">
      <c r="A12147" s="1" t="str">
        <f t="shared" si="447"/>
        <v>22900</v>
      </c>
      <c r="B12147" s="1" t="str">
        <f>"72959"</f>
        <v>72959</v>
      </c>
      <c r="C12147" s="2">
        <v>1.06942340254879E-3</v>
      </c>
      <c r="D12147" s="2">
        <v>3.4897923573547299E-4</v>
      </c>
      <c r="E12147" s="2">
        <v>0</v>
      </c>
      <c r="F12147" s="2">
        <v>9.8779779198140591E-4</v>
      </c>
    </row>
    <row r="12148" spans="1:6" x14ac:dyDescent="0.25">
      <c r="A12148" s="1" t="str">
        <f t="shared" si="447"/>
        <v>22900</v>
      </c>
      <c r="B12148" s="1" t="str">
        <f>"72932"</f>
        <v>72932</v>
      </c>
      <c r="C12148" s="2">
        <v>4.9501340830099402E-3</v>
      </c>
      <c r="D12148" s="2">
        <v>1.2214273250741501E-3</v>
      </c>
      <c r="E12148" s="2">
        <v>3.5880875493362002E-4</v>
      </c>
      <c r="F12148" s="2">
        <v>4.5467751307379399E-3</v>
      </c>
    </row>
    <row r="12149" spans="1:6" x14ac:dyDescent="0.25">
      <c r="A12149" s="1" t="str">
        <f t="shared" si="447"/>
        <v>22900</v>
      </c>
      <c r="B12149" s="1" t="str">
        <f>"72957"</f>
        <v>72957</v>
      </c>
      <c r="C12149" s="2">
        <v>1.00866070922215E-2</v>
      </c>
      <c r="D12149" s="2">
        <v>2.28581399406735E-2</v>
      </c>
      <c r="E12149" s="2">
        <v>7.1761750986724005E-4</v>
      </c>
      <c r="F12149" s="2">
        <v>1.09601975595583E-2</v>
      </c>
    </row>
    <row r="12150" spans="1:6" x14ac:dyDescent="0.25">
      <c r="A12150" s="1" t="str">
        <f t="shared" si="447"/>
        <v>22900</v>
      </c>
      <c r="B12150" s="1" t="str">
        <f>"72934"</f>
        <v>72934</v>
      </c>
      <c r="C12150" s="2">
        <v>3.9617276048966596E-3</v>
      </c>
      <c r="D12150" s="2">
        <v>2.6173442680160497E-4</v>
      </c>
      <c r="E12150" s="2">
        <v>3.5880875493362002E-4</v>
      </c>
      <c r="F12150" s="2">
        <v>3.5807669959325899E-3</v>
      </c>
    </row>
    <row r="12151" spans="1:6" x14ac:dyDescent="0.25">
      <c r="A12151" s="1" t="str">
        <f t="shared" si="447"/>
        <v>22900</v>
      </c>
      <c r="B12151" s="1" t="str">
        <f>"72902"</f>
        <v>72902</v>
      </c>
      <c r="C12151" s="2">
        <v>1.0451183252181299E-2</v>
      </c>
      <c r="D12151" s="2">
        <v>4.0394346536381E-2</v>
      </c>
      <c r="E12151" s="2">
        <v>7.1761750986724005E-4</v>
      </c>
      <c r="F12151" s="2">
        <v>1.2746949447995299E-2</v>
      </c>
    </row>
    <row r="12152" spans="1:6" x14ac:dyDescent="0.25">
      <c r="A12152" s="1" t="str">
        <f t="shared" si="447"/>
        <v>22900</v>
      </c>
      <c r="B12152" s="1" t="str">
        <f>"74962"</f>
        <v>74962</v>
      </c>
      <c r="C12152" s="2">
        <v>1.9541282173846101E-2</v>
      </c>
      <c r="D12152" s="2">
        <v>6.4561158611062602E-3</v>
      </c>
      <c r="E12152" s="2">
        <v>1.0405453893074901E-2</v>
      </c>
      <c r="F12152" s="2">
        <v>1.8266995932597299E-2</v>
      </c>
    </row>
    <row r="12153" spans="1:6" x14ac:dyDescent="0.25">
      <c r="A12153" s="1" t="str">
        <f t="shared" si="447"/>
        <v>22900</v>
      </c>
      <c r="B12153" s="1" t="str">
        <f>"74435"</f>
        <v>74435</v>
      </c>
      <c r="C12153" s="2">
        <v>1.4502029473957101E-2</v>
      </c>
      <c r="D12153" s="2">
        <v>7.9392776129820208E-3</v>
      </c>
      <c r="E12153" s="2">
        <v>4.6645138141370602E-3</v>
      </c>
      <c r="F12153" s="2">
        <v>1.37565368971528E-2</v>
      </c>
    </row>
    <row r="12154" spans="1:6" x14ac:dyDescent="0.25">
      <c r="A12154" s="1" t="str">
        <f t="shared" si="447"/>
        <v>22900</v>
      </c>
      <c r="B12154" s="1" t="str">
        <f>"72908"</f>
        <v>72908</v>
      </c>
      <c r="C12154" s="2">
        <v>5.1632085942753397E-2</v>
      </c>
      <c r="D12154" s="2">
        <v>4.2749956377595502E-2</v>
      </c>
      <c r="E12154" s="2">
        <v>4.0545389307499097E-2</v>
      </c>
      <c r="F12154" s="2">
        <v>5.0668216153399101E-2</v>
      </c>
    </row>
    <row r="12155" spans="1:6" x14ac:dyDescent="0.25">
      <c r="A12155" s="1" t="str">
        <f t="shared" si="447"/>
        <v>22900</v>
      </c>
      <c r="B12155" s="1" t="str">
        <f>"72901"</f>
        <v>72901</v>
      </c>
      <c r="C12155" s="2">
        <v>8.8397566251589899E-2</v>
      </c>
      <c r="D12155" s="2">
        <v>0.22212528354562899</v>
      </c>
      <c r="E12155" s="2">
        <v>0.18658055256548201</v>
      </c>
      <c r="F12155" s="2">
        <v>0.101518012783265</v>
      </c>
    </row>
    <row r="12156" spans="1:6" x14ac:dyDescent="0.25">
      <c r="A12156" s="1" t="str">
        <f t="shared" si="447"/>
        <v>22900</v>
      </c>
      <c r="B12156" s="1" t="str">
        <f>"74946"</f>
        <v>74946</v>
      </c>
      <c r="C12156" s="2">
        <v>0</v>
      </c>
      <c r="D12156" s="2">
        <v>0</v>
      </c>
      <c r="E12156" s="2">
        <v>3.5880875493362002E-4</v>
      </c>
      <c r="F12156" s="2">
        <v>7.2632190586868002E-6</v>
      </c>
    </row>
    <row r="12157" spans="1:6" x14ac:dyDescent="0.25">
      <c r="A12157" s="1" t="str">
        <f t="shared" si="447"/>
        <v>22900</v>
      </c>
      <c r="B12157" s="1" t="str">
        <f>"74931"</f>
        <v>74931</v>
      </c>
      <c r="C12157" s="2">
        <v>8.3447432168580005E-4</v>
      </c>
      <c r="D12157" s="2">
        <v>0</v>
      </c>
      <c r="E12157" s="2">
        <v>0</v>
      </c>
      <c r="F12157" s="2">
        <v>7.4811156304474102E-4</v>
      </c>
    </row>
    <row r="12158" spans="1:6" x14ac:dyDescent="0.25">
      <c r="A12158" s="1" t="str">
        <f t="shared" si="447"/>
        <v>22900</v>
      </c>
      <c r="B12158" s="1" t="str">
        <f>"72855"</f>
        <v>72855</v>
      </c>
      <c r="C12158" s="2">
        <v>8.9118616879066E-5</v>
      </c>
      <c r="D12158" s="2">
        <v>0</v>
      </c>
      <c r="E12158" s="2">
        <v>0</v>
      </c>
      <c r="F12158" s="2">
        <v>7.9895409645554897E-5</v>
      </c>
    </row>
    <row r="12159" spans="1:6" x14ac:dyDescent="0.25">
      <c r="A12159" s="1" t="str">
        <f t="shared" si="447"/>
        <v>22900</v>
      </c>
      <c r="B12159" s="1" t="str">
        <f>"72955"</f>
        <v>72955</v>
      </c>
      <c r="C12159" s="2">
        <v>1.53121987183122E-3</v>
      </c>
      <c r="D12159" s="2">
        <v>0</v>
      </c>
      <c r="E12159" s="2">
        <v>3.5880875493362002E-4</v>
      </c>
      <c r="F12159" s="2">
        <v>1.38001162115049E-3</v>
      </c>
    </row>
    <row r="12160" spans="1:6" x14ac:dyDescent="0.25">
      <c r="A12160" s="1" t="str">
        <f t="shared" si="447"/>
        <v>22900</v>
      </c>
      <c r="B12160" s="1" t="str">
        <f>"72913"</f>
        <v>72913</v>
      </c>
      <c r="C12160" s="2">
        <v>3.6052531373803902E-3</v>
      </c>
      <c r="D12160" s="2">
        <v>1.28249869132786E-2</v>
      </c>
      <c r="E12160" s="2">
        <v>7.1761750986724005E-4</v>
      </c>
      <c r="F12160" s="2">
        <v>4.3143521208599597E-3</v>
      </c>
    </row>
    <row r="12161" spans="1:6" x14ac:dyDescent="0.25">
      <c r="A12161" s="1" t="str">
        <f t="shared" si="447"/>
        <v>22900</v>
      </c>
      <c r="B12161" s="1" t="str">
        <f>"72948"</f>
        <v>72948</v>
      </c>
      <c r="C12161" s="2">
        <v>1.6203384887102899E-3</v>
      </c>
      <c r="D12161" s="2">
        <v>0</v>
      </c>
      <c r="E12161" s="2">
        <v>3.5880875493362002E-4</v>
      </c>
      <c r="F12161" s="2">
        <v>1.4599070307960401E-3</v>
      </c>
    </row>
    <row r="12162" spans="1:6" x14ac:dyDescent="0.25">
      <c r="A12162" s="1" t="str">
        <f t="shared" si="447"/>
        <v>22900</v>
      </c>
      <c r="B12162" s="1" t="str">
        <f>"72927"</f>
        <v>72927</v>
      </c>
      <c r="C12162" s="2">
        <v>9.39796323451969E-4</v>
      </c>
      <c r="D12162" s="2">
        <v>0</v>
      </c>
      <c r="E12162" s="2">
        <v>0</v>
      </c>
      <c r="F12162" s="2">
        <v>8.4253341080766904E-4</v>
      </c>
    </row>
    <row r="12163" spans="1:6" x14ac:dyDescent="0.25">
      <c r="A12163" s="1" t="str">
        <f t="shared" si="447"/>
        <v>22900</v>
      </c>
      <c r="B12163" s="1" t="str">
        <f>"72947"</f>
        <v>72947</v>
      </c>
      <c r="C12163" s="2">
        <v>1.6665181356385301E-2</v>
      </c>
      <c r="D12163" s="2">
        <v>4.8857093002966298E-3</v>
      </c>
      <c r="E12163" s="2">
        <v>0.109795479009687</v>
      </c>
      <c r="F12163" s="2">
        <v>1.7569726902963299E-2</v>
      </c>
    </row>
    <row r="12164" spans="1:6" x14ac:dyDescent="0.25">
      <c r="A12164" s="1" t="str">
        <f t="shared" si="447"/>
        <v>22900</v>
      </c>
      <c r="B12164" s="1" t="str">
        <f>"72945"</f>
        <v>72945</v>
      </c>
      <c r="C12164" s="2">
        <v>2.4305077330654299E-5</v>
      </c>
      <c r="D12164" s="2">
        <v>0</v>
      </c>
      <c r="E12164" s="2">
        <v>3.5880875493362002E-4</v>
      </c>
      <c r="F12164" s="2">
        <v>2.9052876234747201E-5</v>
      </c>
    </row>
    <row r="12165" spans="1:6" x14ac:dyDescent="0.25">
      <c r="A12165" s="1" t="str">
        <f t="shared" si="447"/>
        <v>22900</v>
      </c>
      <c r="B12165" s="1" t="str">
        <f>"72914"</f>
        <v>72914</v>
      </c>
      <c r="C12165" s="2">
        <v>4.1723716084290001E-3</v>
      </c>
      <c r="D12165" s="2">
        <v>8.0265224219158906E-3</v>
      </c>
      <c r="E12165" s="2">
        <v>7.1761750986724005E-4</v>
      </c>
      <c r="F12165" s="2">
        <v>4.4233004067402602E-3</v>
      </c>
    </row>
    <row r="12166" spans="1:6" x14ac:dyDescent="0.25">
      <c r="A12166" s="1" t="str">
        <f t="shared" si="447"/>
        <v>22900</v>
      </c>
      <c r="B12166" s="1" t="str">
        <f>"72721"</f>
        <v>72721</v>
      </c>
      <c r="C12166" s="2">
        <v>8.1016924435514495E-6</v>
      </c>
      <c r="D12166" s="2">
        <v>0</v>
      </c>
      <c r="E12166" s="2">
        <v>0</v>
      </c>
      <c r="F12166" s="2">
        <v>7.2632190586868002E-6</v>
      </c>
    </row>
    <row r="12167" spans="1:6" x14ac:dyDescent="0.25">
      <c r="A12167" s="1" t="str">
        <f t="shared" si="447"/>
        <v>22900</v>
      </c>
      <c r="B12167" s="1" t="str">
        <f>"72933"</f>
        <v>72933</v>
      </c>
      <c r="C12167" s="2">
        <v>1.7216096442546801E-2</v>
      </c>
      <c r="D12167" s="2">
        <v>5.8454021985691797E-3</v>
      </c>
      <c r="E12167" s="2">
        <v>6.8173663437387797E-3</v>
      </c>
      <c r="F12167" s="2">
        <v>1.6058977338756501E-2</v>
      </c>
    </row>
    <row r="12168" spans="1:6" x14ac:dyDescent="0.25">
      <c r="A12168" s="1" t="str">
        <f t="shared" si="447"/>
        <v>22900</v>
      </c>
      <c r="B12168" s="1" t="str">
        <f>"72940"</f>
        <v>72940</v>
      </c>
      <c r="C12168" s="2">
        <v>8.5796922977209901E-3</v>
      </c>
      <c r="D12168" s="2">
        <v>2.5300994590821799E-3</v>
      </c>
      <c r="E12168" s="2">
        <v>1.4352350197344801E-3</v>
      </c>
      <c r="F12168" s="2">
        <v>7.93143521208599E-3</v>
      </c>
    </row>
    <row r="12169" spans="1:6" x14ac:dyDescent="0.25">
      <c r="A12169" s="1" t="str">
        <f t="shared" si="447"/>
        <v>22900</v>
      </c>
      <c r="B12169" s="1" t="str">
        <f>"72917"</f>
        <v>72917</v>
      </c>
      <c r="C12169" s="2">
        <v>1.50691479450057E-2</v>
      </c>
      <c r="D12169" s="2">
        <v>3.1495376025126497E-2</v>
      </c>
      <c r="E12169" s="2">
        <v>7.1761750986724005E-4</v>
      </c>
      <c r="F12169" s="2">
        <v>1.6146135967460701E-2</v>
      </c>
    </row>
    <row r="12170" spans="1:6" x14ac:dyDescent="0.25">
      <c r="A12170" s="1" t="str">
        <f t="shared" si="447"/>
        <v>22900</v>
      </c>
      <c r="B12170" s="1" t="str">
        <f>"74955"</f>
        <v>74955</v>
      </c>
      <c r="C12170" s="2">
        <v>6.2617980896209194E-2</v>
      </c>
      <c r="D12170" s="2">
        <v>6.4037689757459396E-2</v>
      </c>
      <c r="E12170" s="2">
        <v>8.32436311445999E-2</v>
      </c>
      <c r="F12170" s="2">
        <v>6.3153689715281805E-2</v>
      </c>
    </row>
    <row r="12171" spans="1:6" x14ac:dyDescent="0.25">
      <c r="A12171" s="1" t="str">
        <f t="shared" si="447"/>
        <v>22900</v>
      </c>
      <c r="B12171" s="1" t="str">
        <f>"74954"</f>
        <v>74954</v>
      </c>
      <c r="C12171" s="2">
        <v>1.52311817938767E-2</v>
      </c>
      <c r="D12171" s="2">
        <v>1.21270284418077E-2</v>
      </c>
      <c r="E12171" s="2">
        <v>2.7628274129888698E-2</v>
      </c>
      <c r="F12171" s="2">
        <v>1.5223707147007499E-2</v>
      </c>
    </row>
    <row r="12172" spans="1:6" x14ac:dyDescent="0.25">
      <c r="A12172" s="1" t="str">
        <f t="shared" si="447"/>
        <v>22900</v>
      </c>
      <c r="B12172" s="1" t="str">
        <f>"72941"</f>
        <v>72941</v>
      </c>
      <c r="C12172" s="2">
        <v>1.76778929118292E-2</v>
      </c>
      <c r="D12172" s="2">
        <v>4.5367300645611499E-3</v>
      </c>
      <c r="E12172" s="2">
        <v>2.8704700394689602E-3</v>
      </c>
      <c r="F12172" s="2">
        <v>1.6284137129575799E-2</v>
      </c>
    </row>
    <row r="12173" spans="1:6" x14ac:dyDescent="0.25">
      <c r="A12173" s="1" t="str">
        <f t="shared" si="447"/>
        <v>22900</v>
      </c>
      <c r="B12173" s="1" t="str">
        <f>"72956"</f>
        <v>72956</v>
      </c>
      <c r="C12173" s="2">
        <v>0.13524155196020399</v>
      </c>
      <c r="D12173" s="2">
        <v>0.13601465712790001</v>
      </c>
      <c r="E12173" s="2">
        <v>0.117330462863293</v>
      </c>
      <c r="F12173" s="2">
        <v>0.13494334689134199</v>
      </c>
    </row>
    <row r="12174" spans="1:6" x14ac:dyDescent="0.25">
      <c r="A12174" s="1" t="str">
        <f t="shared" ref="A12174:A12195" si="448">"22900"</f>
        <v>22900</v>
      </c>
      <c r="B12174" s="1" t="str">
        <f>"72904"</f>
        <v>72904</v>
      </c>
      <c r="C12174" s="2">
        <v>7.4811028023754098E-2</v>
      </c>
      <c r="D12174" s="2">
        <v>4.7024952015354997E-2</v>
      </c>
      <c r="E12174" s="2">
        <v>4.52099031216361E-2</v>
      </c>
      <c r="F12174" s="2">
        <v>7.1898605461940698E-2</v>
      </c>
    </row>
    <row r="12175" spans="1:6" x14ac:dyDescent="0.25">
      <c r="A12175" s="1" t="str">
        <f t="shared" si="448"/>
        <v>22900</v>
      </c>
      <c r="B12175" s="1" t="str">
        <f>"72952"</f>
        <v>72952</v>
      </c>
      <c r="C12175" s="2">
        <v>1.01838274015441E-2</v>
      </c>
      <c r="D12175" s="2">
        <v>1.39591694294189E-3</v>
      </c>
      <c r="E12175" s="2">
        <v>3.5880875493362002E-4</v>
      </c>
      <c r="F12175" s="2">
        <v>9.2533410807669903E-3</v>
      </c>
    </row>
    <row r="12176" spans="1:6" x14ac:dyDescent="0.25">
      <c r="A12176" s="1" t="str">
        <f t="shared" si="448"/>
        <v>22900</v>
      </c>
      <c r="B12176" s="1" t="str">
        <f>"72820"</f>
        <v>72820</v>
      </c>
      <c r="C12176" s="2">
        <v>0</v>
      </c>
      <c r="D12176" s="2">
        <v>0</v>
      </c>
      <c r="E12176" s="2">
        <v>3.5880875493362002E-4</v>
      </c>
      <c r="F12176" s="2">
        <v>7.2632190586868002E-6</v>
      </c>
    </row>
    <row r="12177" spans="1:6" x14ac:dyDescent="0.25">
      <c r="A12177" s="1" t="str">
        <f t="shared" si="448"/>
        <v>22900</v>
      </c>
      <c r="B12177" s="1" t="str">
        <f>"72943"</f>
        <v>72943</v>
      </c>
      <c r="C12177" s="2">
        <v>5.6711847104860202E-5</v>
      </c>
      <c r="D12177" s="2">
        <v>1.7448961786773601E-4</v>
      </c>
      <c r="E12177" s="2">
        <v>0</v>
      </c>
      <c r="F12177" s="2">
        <v>6.5368971528181202E-5</v>
      </c>
    </row>
    <row r="12178" spans="1:6" x14ac:dyDescent="0.25">
      <c r="A12178" s="1" t="str">
        <f t="shared" si="448"/>
        <v>22900</v>
      </c>
      <c r="B12178" s="1" t="str">
        <f>"72918"</f>
        <v>72918</v>
      </c>
      <c r="C12178" s="2">
        <v>6.2383031815346204E-3</v>
      </c>
      <c r="D12178" s="2">
        <v>2.1200488570930001E-2</v>
      </c>
      <c r="E12178" s="2">
        <v>7.1761750986724005E-4</v>
      </c>
      <c r="F12178" s="2">
        <v>7.3721673445671099E-3</v>
      </c>
    </row>
    <row r="12179" spans="1:6" x14ac:dyDescent="0.25">
      <c r="A12179" s="1" t="str">
        <f t="shared" si="448"/>
        <v>22900</v>
      </c>
      <c r="B12179" s="1" t="str">
        <f>"72916"</f>
        <v>72916</v>
      </c>
      <c r="C12179" s="2">
        <v>3.9001547423256698E-2</v>
      </c>
      <c r="D12179" s="2">
        <v>3.28040481591345E-2</v>
      </c>
      <c r="E12179" s="2">
        <v>1.1481880157875801E-2</v>
      </c>
      <c r="F12179" s="2">
        <v>3.7928529924462502E-2</v>
      </c>
    </row>
    <row r="12180" spans="1:6" x14ac:dyDescent="0.25">
      <c r="A12180" s="1" t="str">
        <f t="shared" si="448"/>
        <v>22900</v>
      </c>
      <c r="B12180" s="1" t="str">
        <f>"72923"</f>
        <v>72923</v>
      </c>
      <c r="C12180" s="2">
        <v>2.4896500879033601E-2</v>
      </c>
      <c r="D12180" s="2">
        <v>1.5180596754493099E-2</v>
      </c>
      <c r="E12180" s="2">
        <v>3.3369214208826603E-2</v>
      </c>
      <c r="F12180" s="2">
        <v>2.4259151656013899E-2</v>
      </c>
    </row>
    <row r="12181" spans="1:6" x14ac:dyDescent="0.25">
      <c r="A12181" s="1" t="str">
        <f t="shared" si="448"/>
        <v>22900</v>
      </c>
      <c r="B12181" s="1" t="str">
        <f>"72937"</f>
        <v>72937</v>
      </c>
      <c r="C12181" s="2">
        <v>1.3975419465126201E-2</v>
      </c>
      <c r="D12181" s="2">
        <v>2.4428546501483101E-3</v>
      </c>
      <c r="E12181" s="2">
        <v>3.2292787944025801E-3</v>
      </c>
      <c r="F12181" s="2">
        <v>1.27977919814061E-2</v>
      </c>
    </row>
    <row r="12182" spans="1:6" x14ac:dyDescent="0.25">
      <c r="A12182" s="1" t="str">
        <f t="shared" si="448"/>
        <v>22900</v>
      </c>
      <c r="B12182" s="1" t="str">
        <f>"72944"</f>
        <v>72944</v>
      </c>
      <c r="C12182" s="2">
        <v>7.9639636720110797E-3</v>
      </c>
      <c r="D12182" s="2">
        <v>7.8520328040481498E-4</v>
      </c>
      <c r="E12182" s="2">
        <v>5.0233225690706797E-3</v>
      </c>
      <c r="F12182" s="2">
        <v>7.3067983730389302E-3</v>
      </c>
    </row>
    <row r="12183" spans="1:6" x14ac:dyDescent="0.25">
      <c r="A12183" s="1" t="str">
        <f t="shared" si="448"/>
        <v>22900</v>
      </c>
      <c r="B12183" s="1" t="str">
        <f>"74936"</f>
        <v>74936</v>
      </c>
      <c r="C12183" s="2">
        <v>3.0867448209931001E-3</v>
      </c>
      <c r="D12183" s="2">
        <v>7.8520328040481498E-4</v>
      </c>
      <c r="E12183" s="2">
        <v>3.5880875493362002E-4</v>
      </c>
      <c r="F12183" s="2">
        <v>2.83991865194654E-3</v>
      </c>
    </row>
    <row r="12184" spans="1:6" x14ac:dyDescent="0.25">
      <c r="A12184" s="1" t="str">
        <f t="shared" si="448"/>
        <v>22900</v>
      </c>
      <c r="B12184" s="1" t="str">
        <f>"74948"</f>
        <v>74948</v>
      </c>
      <c r="C12184" s="2">
        <v>4.2687817485072603E-2</v>
      </c>
      <c r="D12184" s="2">
        <v>8.6372360844529702E-3</v>
      </c>
      <c r="E12184" s="2">
        <v>2.4757804090419801E-2</v>
      </c>
      <c r="F12184" s="2">
        <v>3.9490122022080097E-2</v>
      </c>
    </row>
    <row r="12185" spans="1:6" x14ac:dyDescent="0.25">
      <c r="A12185" s="1" t="str">
        <f t="shared" si="448"/>
        <v>22900</v>
      </c>
      <c r="B12185" s="1" t="str">
        <f>"72936"</f>
        <v>72936</v>
      </c>
      <c r="C12185" s="2">
        <v>4.8294188656010199E-2</v>
      </c>
      <c r="D12185" s="2">
        <v>2.2509160704938001E-2</v>
      </c>
      <c r="E12185" s="2">
        <v>3.0498744169357699E-2</v>
      </c>
      <c r="F12185" s="2">
        <v>4.5787332945961601E-2</v>
      </c>
    </row>
    <row r="12186" spans="1:6" x14ac:dyDescent="0.25">
      <c r="A12186" s="1" t="str">
        <f t="shared" si="448"/>
        <v>22900</v>
      </c>
      <c r="B12186" s="1" t="str">
        <f>"72946"</f>
        <v>72946</v>
      </c>
      <c r="C12186" s="2">
        <v>1.5044842867675001E-2</v>
      </c>
      <c r="D12186" s="2">
        <v>3.3153027394869999E-3</v>
      </c>
      <c r="E12186" s="2">
        <v>2.5116612845353398E-3</v>
      </c>
      <c r="F12186" s="2">
        <v>1.3814642649622301E-2</v>
      </c>
    </row>
    <row r="12187" spans="1:6" x14ac:dyDescent="0.25">
      <c r="A12187" s="1" t="str">
        <f t="shared" si="448"/>
        <v>22900</v>
      </c>
      <c r="B12187" s="1" t="str">
        <f>"72951"</f>
        <v>72951</v>
      </c>
      <c r="C12187" s="2">
        <v>1.9930163411136501E-3</v>
      </c>
      <c r="D12187" s="2">
        <v>5.2346885360320995E-4</v>
      </c>
      <c r="E12187" s="2">
        <v>7.1761750986724E-3</v>
      </c>
      <c r="F12187" s="2">
        <v>1.9755955839628101E-3</v>
      </c>
    </row>
    <row r="12188" spans="1:6" x14ac:dyDescent="0.25">
      <c r="A12188" s="1" t="str">
        <f t="shared" si="448"/>
        <v>22900</v>
      </c>
      <c r="B12188" s="1" t="str">
        <f>"72930"</f>
        <v>72930</v>
      </c>
      <c r="C12188" s="2">
        <v>3.09484651343665E-3</v>
      </c>
      <c r="D12188" s="2">
        <v>4.3622404466934199E-4</v>
      </c>
      <c r="E12188" s="2">
        <v>3.5880875493362002E-4</v>
      </c>
      <c r="F12188" s="2">
        <v>2.81812899477048E-3</v>
      </c>
    </row>
    <row r="12189" spans="1:6" x14ac:dyDescent="0.25">
      <c r="A12189" s="1" t="str">
        <f t="shared" si="448"/>
        <v>22900</v>
      </c>
      <c r="B12189" s="1" t="str">
        <f>"72935"</f>
        <v>72935</v>
      </c>
      <c r="C12189" s="2">
        <v>4.86101546613087E-5</v>
      </c>
      <c r="D12189" s="2">
        <v>0</v>
      </c>
      <c r="E12189" s="2">
        <v>3.5880875493362002E-4</v>
      </c>
      <c r="F12189" s="2">
        <v>5.0842533410807602E-5</v>
      </c>
    </row>
    <row r="12190" spans="1:6" x14ac:dyDescent="0.25">
      <c r="A12190" s="1" t="str">
        <f t="shared" si="448"/>
        <v>22900</v>
      </c>
      <c r="B12190" s="1" t="str">
        <f>"72905"</f>
        <v>72905</v>
      </c>
      <c r="C12190" s="2">
        <v>0</v>
      </c>
      <c r="D12190" s="2">
        <v>0</v>
      </c>
      <c r="E12190" s="2">
        <v>1.0405453893074901E-2</v>
      </c>
      <c r="F12190" s="2">
        <v>2.1063335270191699E-4</v>
      </c>
    </row>
    <row r="12191" spans="1:6" x14ac:dyDescent="0.25">
      <c r="A12191" s="1" t="str">
        <f t="shared" si="448"/>
        <v>22900</v>
      </c>
      <c r="B12191" s="1" t="str">
        <f>"72903"</f>
        <v>72903</v>
      </c>
      <c r="C12191" s="2">
        <v>0.10142508770082</v>
      </c>
      <c r="D12191" s="2">
        <v>0.14953760251265</v>
      </c>
      <c r="E12191" s="2">
        <v>0.15357014711158901</v>
      </c>
      <c r="F12191" s="2">
        <v>0.10648605461940699</v>
      </c>
    </row>
    <row r="12192" spans="1:6" x14ac:dyDescent="0.25">
      <c r="A12192" s="1" t="str">
        <f t="shared" si="448"/>
        <v>22900</v>
      </c>
      <c r="B12192" s="1" t="str">
        <f>"72949"</f>
        <v>72949</v>
      </c>
      <c r="C12192" s="2">
        <v>3.7251581855449599E-2</v>
      </c>
      <c r="D12192" s="2">
        <v>3.5421392427150498E-2</v>
      </c>
      <c r="E12192" s="2">
        <v>2.40401865805525E-2</v>
      </c>
      <c r="F12192" s="2">
        <v>3.6831783846600803E-2</v>
      </c>
    </row>
    <row r="12193" spans="1:6" x14ac:dyDescent="0.25">
      <c r="A12193" s="1" t="str">
        <f t="shared" si="448"/>
        <v>22900</v>
      </c>
      <c r="B12193" s="1" t="str">
        <f>"72921"</f>
        <v>72921</v>
      </c>
      <c r="C12193" s="2">
        <v>4.8812696972397498E-2</v>
      </c>
      <c r="D12193" s="2">
        <v>2.0851509335194501E-2</v>
      </c>
      <c r="E12193" s="2">
        <v>4.52099031216361E-2</v>
      </c>
      <c r="F12193" s="2">
        <v>4.6411969785008701E-2</v>
      </c>
    </row>
    <row r="12194" spans="1:6" x14ac:dyDescent="0.25">
      <c r="A12194" s="1" t="str">
        <f t="shared" si="448"/>
        <v>22900</v>
      </c>
      <c r="B12194" s="1" t="str">
        <f>"72938"</f>
        <v>72938</v>
      </c>
      <c r="C12194" s="2">
        <v>4.5693545381630197E-3</v>
      </c>
      <c r="D12194" s="2">
        <v>9.5969289827255199E-4</v>
      </c>
      <c r="E12194" s="2">
        <v>3.5880875493362002E-4</v>
      </c>
      <c r="F12194" s="2">
        <v>4.1836141778036004E-3</v>
      </c>
    </row>
    <row r="12195" spans="1:6" x14ac:dyDescent="0.25">
      <c r="A12195" s="1" t="str">
        <f t="shared" si="448"/>
        <v>22900</v>
      </c>
      <c r="B12195" s="1" t="str">
        <f>"74945"</f>
        <v>74945</v>
      </c>
      <c r="C12195" s="2">
        <v>8.9118616879066E-5</v>
      </c>
      <c r="D12195" s="2">
        <v>8.7244808933868397E-5</v>
      </c>
      <c r="E12195" s="2">
        <v>3.5880875493362002E-4</v>
      </c>
      <c r="F12195" s="2">
        <v>9.4421847762928498E-5</v>
      </c>
    </row>
    <row r="12196" spans="1:6" x14ac:dyDescent="0.25">
      <c r="A12196" s="1" t="str">
        <f t="shared" ref="A12196:A12227" si="449">"23060"</f>
        <v>23060</v>
      </c>
      <c r="B12196" s="1" t="str">
        <f>"46869"</f>
        <v>46869</v>
      </c>
      <c r="C12196" s="2">
        <v>6.3751988956680197E-4</v>
      </c>
      <c r="D12196" s="2">
        <v>1.71635623927277E-3</v>
      </c>
      <c r="E12196" s="2">
        <v>3.1705770450221902E-4</v>
      </c>
      <c r="F12196" s="2">
        <v>7.0809159872921095E-4</v>
      </c>
    </row>
    <row r="12197" spans="1:6" x14ac:dyDescent="0.25">
      <c r="A12197" s="1" t="str">
        <f t="shared" si="449"/>
        <v>23060</v>
      </c>
      <c r="B12197" s="1" t="str">
        <f>"46807"</f>
        <v>46807</v>
      </c>
      <c r="C12197" s="2">
        <v>3.8983550933097202E-2</v>
      </c>
      <c r="D12197" s="2">
        <v>2.3901849850613398E-2</v>
      </c>
      <c r="E12197" s="2">
        <v>4.1058972733037401E-2</v>
      </c>
      <c r="F12197" s="2">
        <v>3.7925386027936499E-2</v>
      </c>
    </row>
    <row r="12198" spans="1:6" x14ac:dyDescent="0.25">
      <c r="A12198" s="1" t="str">
        <f t="shared" si="449"/>
        <v>23060</v>
      </c>
      <c r="B12198" s="1" t="str">
        <f>"46748"</f>
        <v>46748</v>
      </c>
      <c r="C12198" s="2">
        <v>1.5047576897543701E-2</v>
      </c>
      <c r="D12198" s="2">
        <v>3.0512999809293698E-3</v>
      </c>
      <c r="E12198" s="2">
        <v>1.28408370323398E-2</v>
      </c>
      <c r="F12198" s="2">
        <v>1.40910228147113E-2</v>
      </c>
    </row>
    <row r="12199" spans="1:6" x14ac:dyDescent="0.25">
      <c r="A12199" s="1" t="str">
        <f t="shared" si="449"/>
        <v>23060</v>
      </c>
      <c r="B12199" s="1" t="str">
        <f>"46816"</f>
        <v>46816</v>
      </c>
      <c r="C12199" s="2">
        <v>4.4868755202899901E-2</v>
      </c>
      <c r="D12199" s="2">
        <v>1.6400737397495299E-2</v>
      </c>
      <c r="E12199" s="2">
        <v>8.0215599239061505E-2</v>
      </c>
      <c r="F12199" s="2">
        <v>4.3807266908047197E-2</v>
      </c>
    </row>
    <row r="12200" spans="1:6" x14ac:dyDescent="0.25">
      <c r="A12200" s="1" t="str">
        <f t="shared" si="449"/>
        <v>23060</v>
      </c>
      <c r="B12200" s="1" t="str">
        <f>"46764"</f>
        <v>46764</v>
      </c>
      <c r="C12200" s="2">
        <v>2.93996775519236E-3</v>
      </c>
      <c r="D12200" s="2">
        <v>1.0170999936431201E-3</v>
      </c>
      <c r="E12200" s="2">
        <v>1.42675967025998E-3</v>
      </c>
      <c r="F12200" s="2">
        <v>2.7521160137275302E-3</v>
      </c>
    </row>
    <row r="12201" spans="1:6" x14ac:dyDescent="0.25">
      <c r="A12201" s="1" t="str">
        <f t="shared" si="449"/>
        <v>23060</v>
      </c>
      <c r="B12201" s="1" t="str">
        <f>"46745"</f>
        <v>46745</v>
      </c>
      <c r="C12201" s="2">
        <v>3.9673758416843103E-3</v>
      </c>
      <c r="D12201" s="2">
        <v>1.3349437416566E-3</v>
      </c>
      <c r="E12201" s="2">
        <v>4.75586556753329E-4</v>
      </c>
      <c r="F12201" s="2">
        <v>3.6679144814173101E-3</v>
      </c>
    </row>
    <row r="12202" spans="1:6" x14ac:dyDescent="0.25">
      <c r="A12202" s="1" t="str">
        <f t="shared" si="449"/>
        <v>23060</v>
      </c>
      <c r="B12202" s="1" t="str">
        <f>"46765"</f>
        <v>46765</v>
      </c>
      <c r="C12202" s="2">
        <v>1.08536444008893E-2</v>
      </c>
      <c r="D12202" s="2">
        <v>4.8947937194075298E-3</v>
      </c>
      <c r="E12202" s="2">
        <v>3.3291058972733001E-3</v>
      </c>
      <c r="F12202" s="2">
        <v>1.0187077800384199E-2</v>
      </c>
    </row>
    <row r="12203" spans="1:6" x14ac:dyDescent="0.25">
      <c r="A12203" s="1" t="str">
        <f t="shared" si="449"/>
        <v>23060</v>
      </c>
      <c r="B12203" s="1" t="str">
        <f>"46899"</f>
        <v>46899</v>
      </c>
      <c r="C12203" s="2">
        <v>2.0864287294913501E-3</v>
      </c>
      <c r="D12203" s="2">
        <v>8.4546436971584694E-3</v>
      </c>
      <c r="E12203" s="2">
        <v>3.1705770450221902E-4</v>
      </c>
      <c r="F12203" s="2">
        <v>2.5066442595014001E-3</v>
      </c>
    </row>
    <row r="12204" spans="1:6" x14ac:dyDescent="0.25">
      <c r="A12204" s="1" t="str">
        <f t="shared" si="449"/>
        <v>23060</v>
      </c>
      <c r="B12204" s="1" t="str">
        <f>"46750"</f>
        <v>46750</v>
      </c>
      <c r="C12204" s="2">
        <v>1.15912707193964E-4</v>
      </c>
      <c r="D12204" s="2">
        <v>6.3568749602695303E-5</v>
      </c>
      <c r="E12204" s="2">
        <v>0</v>
      </c>
      <c r="F12204" s="2">
        <v>1.0857404513847899E-4</v>
      </c>
    </row>
    <row r="12205" spans="1:6" x14ac:dyDescent="0.25">
      <c r="A12205" s="1" t="str">
        <f t="shared" si="449"/>
        <v>23060</v>
      </c>
      <c r="B12205" s="1" t="str">
        <f>"46860"</f>
        <v>46860</v>
      </c>
      <c r="C12205" s="2">
        <v>2.1075037671629799E-4</v>
      </c>
      <c r="D12205" s="2">
        <v>1.6527874896700701E-3</v>
      </c>
      <c r="E12205" s="2">
        <v>3.1705770450221902E-4</v>
      </c>
      <c r="F12205" s="2">
        <v>3.2100152475724201E-4</v>
      </c>
    </row>
    <row r="12206" spans="1:6" x14ac:dyDescent="0.25">
      <c r="A12206" s="1" t="str">
        <f t="shared" si="449"/>
        <v>23060</v>
      </c>
      <c r="B12206" s="1" t="str">
        <f>"46851"</f>
        <v>46851</v>
      </c>
      <c r="C12206" s="2">
        <v>3.5300688099979899E-4</v>
      </c>
      <c r="D12206" s="2">
        <v>2.98773123132667E-3</v>
      </c>
      <c r="E12206" s="2">
        <v>3.1705770450221902E-4</v>
      </c>
      <c r="F12206" s="2">
        <v>5.4759083635058995E-4</v>
      </c>
    </row>
    <row r="12207" spans="1:6" x14ac:dyDescent="0.25">
      <c r="A12207" s="1" t="str">
        <f t="shared" si="449"/>
        <v>23060</v>
      </c>
      <c r="B12207" s="1" t="str">
        <f>"46865"</f>
        <v>46865</v>
      </c>
      <c r="C12207" s="2">
        <v>6.6386368665633899E-4</v>
      </c>
      <c r="D12207" s="2">
        <v>1.5256499904646799E-3</v>
      </c>
      <c r="E12207" s="2">
        <v>3.1705770450221902E-4</v>
      </c>
      <c r="F12207" s="2">
        <v>7.1753282004560098E-4</v>
      </c>
    </row>
    <row r="12208" spans="1:6" x14ac:dyDescent="0.25">
      <c r="A12208" s="1" t="str">
        <f t="shared" si="449"/>
        <v>23060</v>
      </c>
      <c r="B12208" s="1" t="str">
        <f>"46783"</f>
        <v>46783</v>
      </c>
      <c r="C12208" s="2">
        <v>7.9716329992939802E-3</v>
      </c>
      <c r="D12208" s="2">
        <v>2.41561248490242E-3</v>
      </c>
      <c r="E12208" s="2">
        <v>7.9264426125554802E-4</v>
      </c>
      <c r="F12208" s="2">
        <v>7.3452701841510201E-3</v>
      </c>
    </row>
    <row r="12209" spans="1:6" x14ac:dyDescent="0.25">
      <c r="A12209" s="1" t="str">
        <f t="shared" si="449"/>
        <v>23060</v>
      </c>
      <c r="B12209" s="1" t="str">
        <f>"46706"</f>
        <v>46706</v>
      </c>
      <c r="C12209" s="2">
        <v>9.6418297347706497E-4</v>
      </c>
      <c r="D12209" s="2">
        <v>2.54274998410781E-4</v>
      </c>
      <c r="E12209" s="2">
        <v>0</v>
      </c>
      <c r="F12209" s="2">
        <v>8.8275419308241705E-4</v>
      </c>
    </row>
    <row r="12210" spans="1:6" x14ac:dyDescent="0.25">
      <c r="A12210" s="1" t="str">
        <f t="shared" si="449"/>
        <v>23060</v>
      </c>
      <c r="B12210" s="1" t="str">
        <f>"46704"</f>
        <v>46704</v>
      </c>
      <c r="C12210" s="2">
        <v>4.00425715760966E-4</v>
      </c>
      <c r="D12210" s="2">
        <v>5.0854999682156199E-4</v>
      </c>
      <c r="E12210" s="2">
        <v>4.75586556753329E-4</v>
      </c>
      <c r="F12210" s="2">
        <v>4.10693127262942E-4</v>
      </c>
    </row>
    <row r="12211" spans="1:6" x14ac:dyDescent="0.25">
      <c r="A12211" s="1" t="str">
        <f t="shared" si="449"/>
        <v>23060</v>
      </c>
      <c r="B12211" s="1" t="str">
        <f>"46802"</f>
        <v>46802</v>
      </c>
      <c r="C12211" s="2">
        <v>3.2798027376473901E-2</v>
      </c>
      <c r="D12211" s="2">
        <v>9.4971711906426795E-2</v>
      </c>
      <c r="E12211" s="2">
        <v>0.102409638554216</v>
      </c>
      <c r="F12211" s="2">
        <v>3.9487908155799001E-2</v>
      </c>
    </row>
    <row r="12212" spans="1:6" x14ac:dyDescent="0.25">
      <c r="A12212" s="1" t="str">
        <f t="shared" si="449"/>
        <v>23060</v>
      </c>
      <c r="B12212" s="1" t="str">
        <f>"46806"</f>
        <v>46806</v>
      </c>
      <c r="C12212" s="2">
        <v>5.4758216630312197E-2</v>
      </c>
      <c r="D12212" s="2">
        <v>3.4072849787044598E-2</v>
      </c>
      <c r="E12212" s="2">
        <v>9.5117311350665801E-3</v>
      </c>
      <c r="F12212" s="2">
        <v>5.1874790522902003E-2</v>
      </c>
    </row>
    <row r="12213" spans="1:6" x14ac:dyDescent="0.25">
      <c r="A12213" s="1" t="str">
        <f t="shared" si="449"/>
        <v>23060</v>
      </c>
      <c r="B12213" s="1" t="str">
        <f>"46803"</f>
        <v>46803</v>
      </c>
      <c r="C12213" s="2">
        <v>2.6090896637477701E-2</v>
      </c>
      <c r="D12213" s="2">
        <v>6.1216705867395499E-2</v>
      </c>
      <c r="E12213" s="2">
        <v>2.69499048826886E-2</v>
      </c>
      <c r="F12213" s="2">
        <v>2.8724915855115E-2</v>
      </c>
    </row>
    <row r="12214" spans="1:6" x14ac:dyDescent="0.25">
      <c r="A12214" s="1" t="str">
        <f t="shared" si="449"/>
        <v>23060</v>
      </c>
      <c r="B12214" s="1" t="str">
        <f>"46825"</f>
        <v>46825</v>
      </c>
      <c r="C12214" s="2">
        <v>7.3483387601555303E-2</v>
      </c>
      <c r="D12214" s="2">
        <v>0.111626724302332</v>
      </c>
      <c r="E12214" s="2">
        <v>0.18421052631578899</v>
      </c>
      <c r="F12214" s="2">
        <v>7.9613098750454303E-2</v>
      </c>
    </row>
    <row r="12215" spans="1:6" x14ac:dyDescent="0.25">
      <c r="A12215" s="1" t="str">
        <f t="shared" si="449"/>
        <v>23060</v>
      </c>
      <c r="B12215" s="1" t="str">
        <f>"46741"</f>
        <v>46741</v>
      </c>
      <c r="C12215" s="2">
        <v>7.5870135617867396E-3</v>
      </c>
      <c r="D12215" s="2">
        <v>4.7676562202021398E-3</v>
      </c>
      <c r="E12215" s="2">
        <v>4.7558655675332901E-3</v>
      </c>
      <c r="F12215" s="2">
        <v>7.2933434669108701E-3</v>
      </c>
    </row>
    <row r="12216" spans="1:6" x14ac:dyDescent="0.25">
      <c r="A12216" s="1" t="str">
        <f t="shared" si="449"/>
        <v>23060</v>
      </c>
      <c r="B12216" s="1" t="str">
        <f>"46797"</f>
        <v>46797</v>
      </c>
      <c r="C12216" s="2">
        <v>8.4036712715623903E-3</v>
      </c>
      <c r="D12216" s="2">
        <v>3.7505562265590202E-3</v>
      </c>
      <c r="E12216" s="2">
        <v>1.9023462270133099E-3</v>
      </c>
      <c r="F12216" s="2">
        <v>7.8645373565524399E-3</v>
      </c>
    </row>
    <row r="12217" spans="1:6" x14ac:dyDescent="0.25">
      <c r="A12217" s="1" t="str">
        <f t="shared" si="449"/>
        <v>23060</v>
      </c>
      <c r="B12217" s="1" t="str">
        <f>"46777"</f>
        <v>46777</v>
      </c>
      <c r="C12217" s="2">
        <v>2.6870673031328002E-4</v>
      </c>
      <c r="D12217" s="2">
        <v>0</v>
      </c>
      <c r="E12217" s="2">
        <v>0</v>
      </c>
      <c r="F12217" s="2">
        <v>2.4075114356793099E-4</v>
      </c>
    </row>
    <row r="12218" spans="1:6" x14ac:dyDescent="0.25">
      <c r="A12218" s="1" t="str">
        <f t="shared" si="449"/>
        <v>23060</v>
      </c>
      <c r="B12218" s="1" t="str">
        <f>"46856"</f>
        <v>46856</v>
      </c>
      <c r="C12218" s="2">
        <v>4.10963234596781E-4</v>
      </c>
      <c r="D12218" s="2">
        <v>1.90706248808085E-3</v>
      </c>
      <c r="E12218" s="2">
        <v>3.1705770450221902E-4</v>
      </c>
      <c r="F12218" s="2">
        <v>5.1926717240142095E-4</v>
      </c>
    </row>
    <row r="12219" spans="1:6" x14ac:dyDescent="0.25">
      <c r="A12219" s="1" t="str">
        <f t="shared" si="449"/>
        <v>23060</v>
      </c>
      <c r="B12219" s="1" t="str">
        <f>"46787"</f>
        <v>46787</v>
      </c>
      <c r="C12219" s="2">
        <v>9.3941980421289994E-3</v>
      </c>
      <c r="D12219" s="2">
        <v>7.4375437035153497E-3</v>
      </c>
      <c r="E12219" s="2">
        <v>3.64616360177552E-3</v>
      </c>
      <c r="F12219" s="2">
        <v>9.0777342957084894E-3</v>
      </c>
    </row>
    <row r="12220" spans="1:6" x14ac:dyDescent="0.25">
      <c r="A12220" s="1" t="str">
        <f t="shared" si="449"/>
        <v>23060</v>
      </c>
      <c r="B12220" s="1" t="str">
        <f>"46809"</f>
        <v>46809</v>
      </c>
      <c r="C12220" s="2">
        <v>2.3656729786404401E-2</v>
      </c>
      <c r="D12220" s="2">
        <v>4.1256118492149198E-2</v>
      </c>
      <c r="E12220" s="2">
        <v>2.6791376030437498E-2</v>
      </c>
      <c r="F12220" s="2">
        <v>2.50570013736977E-2</v>
      </c>
    </row>
    <row r="12221" spans="1:6" x14ac:dyDescent="0.25">
      <c r="A12221" s="1" t="str">
        <f t="shared" si="449"/>
        <v>23060</v>
      </c>
      <c r="B12221" s="1" t="str">
        <f>"46814"</f>
        <v>46814</v>
      </c>
      <c r="C12221" s="2">
        <v>3.1291162182952401E-2</v>
      </c>
      <c r="D12221" s="2">
        <v>9.8531561884177693E-3</v>
      </c>
      <c r="E12221" s="2">
        <v>3.1705770450221899E-3</v>
      </c>
      <c r="F12221" s="2">
        <v>2.8861813564202601E-2</v>
      </c>
    </row>
    <row r="12222" spans="1:6" x14ac:dyDescent="0.25">
      <c r="A12222" s="1" t="str">
        <f t="shared" si="449"/>
        <v>23060</v>
      </c>
      <c r="B12222" s="1" t="str">
        <f>"46815"</f>
        <v>46815</v>
      </c>
      <c r="C12222" s="2">
        <v>6.00111697699659E-2</v>
      </c>
      <c r="D12222" s="2">
        <v>4.2463924734600401E-2</v>
      </c>
      <c r="E12222" s="2">
        <v>4.4705136334812899E-2</v>
      </c>
      <c r="F12222" s="2">
        <v>5.8252335522123097E-2</v>
      </c>
    </row>
    <row r="12223" spans="1:6" x14ac:dyDescent="0.25">
      <c r="A12223" s="1" t="str">
        <f t="shared" si="449"/>
        <v>23060</v>
      </c>
      <c r="B12223" s="1" t="str">
        <f>"46788"</f>
        <v>46788</v>
      </c>
      <c r="C12223" s="2">
        <v>3.9146882475052398E-3</v>
      </c>
      <c r="D12223" s="2">
        <v>6.3568749602695303E-4</v>
      </c>
      <c r="E12223" s="2">
        <v>0</v>
      </c>
      <c r="F12223" s="2">
        <v>3.5546198256206402E-3</v>
      </c>
    </row>
    <row r="12224" spans="1:6" x14ac:dyDescent="0.25">
      <c r="A12224" s="1" t="str">
        <f t="shared" si="449"/>
        <v>23060</v>
      </c>
      <c r="B12224" s="1" t="str">
        <f>"46723"</f>
        <v>46723</v>
      </c>
      <c r="C12224" s="2">
        <v>1.54111212973793E-2</v>
      </c>
      <c r="D12224" s="2">
        <v>1.04888436844447E-2</v>
      </c>
      <c r="E12224" s="2">
        <v>7.7679137603043702E-3</v>
      </c>
      <c r="F12224" s="2">
        <v>1.4817996856073301E-2</v>
      </c>
    </row>
    <row r="12225" spans="1:6" x14ac:dyDescent="0.25">
      <c r="A12225" s="1" t="str">
        <f t="shared" si="449"/>
        <v>23060</v>
      </c>
      <c r="B12225" s="1" t="str">
        <f>"46857"</f>
        <v>46857</v>
      </c>
      <c r="C12225" s="2">
        <v>2.9505052740281699E-4</v>
      </c>
      <c r="D12225" s="2">
        <v>1.5892187400673801E-3</v>
      </c>
      <c r="E12225" s="2">
        <v>3.1705770450221902E-4</v>
      </c>
      <c r="F12225" s="2">
        <v>3.9181068463016298E-4</v>
      </c>
    </row>
    <row r="12226" spans="1:6" x14ac:dyDescent="0.25">
      <c r="A12226" s="1" t="str">
        <f t="shared" si="449"/>
        <v>23060</v>
      </c>
      <c r="B12226" s="1" t="str">
        <f>"46861"</f>
        <v>46861</v>
      </c>
      <c r="C12226" s="2">
        <v>2.6343797089537201E-4</v>
      </c>
      <c r="D12226" s="2">
        <v>9.5353124404042901E-4</v>
      </c>
      <c r="E12226" s="2">
        <v>3.1705770450221902E-4</v>
      </c>
      <c r="F12226" s="2">
        <v>3.16280914099047E-4</v>
      </c>
    </row>
    <row r="12227" spans="1:6" x14ac:dyDescent="0.25">
      <c r="A12227" s="1" t="str">
        <f t="shared" si="449"/>
        <v>23060</v>
      </c>
      <c r="B12227" s="1" t="str">
        <f>"46862"</f>
        <v>46862</v>
      </c>
      <c r="C12227" s="2">
        <v>5.7429477655191298E-4</v>
      </c>
      <c r="D12227" s="2">
        <v>1.77992498887546E-3</v>
      </c>
      <c r="E12227" s="2">
        <v>3.1705770450221902E-4</v>
      </c>
      <c r="F12227" s="2">
        <v>6.5616488148906901E-4</v>
      </c>
    </row>
    <row r="12228" spans="1:6" x14ac:dyDescent="0.25">
      <c r="A12228" s="1" t="str">
        <f t="shared" ref="A12228:A12258" si="450">"23060"</f>
        <v>23060</v>
      </c>
      <c r="B12228" s="1" t="str">
        <f>"46863"</f>
        <v>46863</v>
      </c>
      <c r="C12228" s="2">
        <v>6.2171361131307999E-4</v>
      </c>
      <c r="D12228" s="2">
        <v>1.97063123768355E-3</v>
      </c>
      <c r="E12228" s="2">
        <v>3.1705770450221902E-4</v>
      </c>
      <c r="F12228" s="2">
        <v>7.1281220938740602E-4</v>
      </c>
    </row>
    <row r="12229" spans="1:6" x14ac:dyDescent="0.25">
      <c r="A12229" s="1" t="str">
        <f t="shared" si="450"/>
        <v>23060</v>
      </c>
      <c r="B12229" s="1" t="str">
        <f>"46898"</f>
        <v>46898</v>
      </c>
      <c r="C12229" s="2">
        <v>4.9052150180718401E-3</v>
      </c>
      <c r="D12229" s="2">
        <v>1.6591443646303401E-2</v>
      </c>
      <c r="E12229" s="2">
        <v>3.1705770450221902E-4</v>
      </c>
      <c r="F12229" s="2">
        <v>5.63640912588452E-3</v>
      </c>
    </row>
    <row r="12230" spans="1:6" x14ac:dyDescent="0.25">
      <c r="A12230" s="1" t="str">
        <f t="shared" si="450"/>
        <v>23060</v>
      </c>
      <c r="B12230" s="1" t="str">
        <f>"46850"</f>
        <v>46850</v>
      </c>
      <c r="C12230" s="2">
        <v>2.7924424914909502E-4</v>
      </c>
      <c r="D12230" s="2">
        <v>3.8776937257644101E-3</v>
      </c>
      <c r="E12230" s="2">
        <v>3.1705770450221902E-4</v>
      </c>
      <c r="F12230" s="2">
        <v>5.4759083635058995E-4</v>
      </c>
    </row>
    <row r="12231" spans="1:6" x14ac:dyDescent="0.25">
      <c r="A12231" s="1" t="str">
        <f t="shared" si="450"/>
        <v>23060</v>
      </c>
      <c r="B12231" s="1" t="str">
        <f>"46867"</f>
        <v>46867</v>
      </c>
      <c r="C12231" s="2">
        <v>6.3751988956680197E-4</v>
      </c>
      <c r="D12231" s="2">
        <v>1.5892187400673801E-3</v>
      </c>
      <c r="E12231" s="2">
        <v>3.1705770450221902E-4</v>
      </c>
      <c r="F12231" s="2">
        <v>6.9865037741282201E-4</v>
      </c>
    </row>
    <row r="12232" spans="1:6" x14ac:dyDescent="0.25">
      <c r="A12232" s="1" t="str">
        <f t="shared" si="450"/>
        <v>23060</v>
      </c>
      <c r="B12232" s="1" t="str">
        <f>"46845"</f>
        <v>46845</v>
      </c>
      <c r="C12232" s="2">
        <v>5.9552787700607998E-2</v>
      </c>
      <c r="D12232" s="2">
        <v>2.1804081113724401E-2</v>
      </c>
      <c r="E12232" s="2">
        <v>2.2511097019657499E-2</v>
      </c>
      <c r="F12232" s="2">
        <v>5.56465584387996E-2</v>
      </c>
    </row>
    <row r="12233" spans="1:6" x14ac:dyDescent="0.25">
      <c r="A12233" s="1" t="str">
        <f t="shared" si="450"/>
        <v>23060</v>
      </c>
      <c r="B12233" s="1" t="str">
        <f>"46819"</f>
        <v>46819</v>
      </c>
      <c r="C12233" s="2">
        <v>2.2292121097166401E-2</v>
      </c>
      <c r="D12233" s="2">
        <v>4.25910622338058E-3</v>
      </c>
      <c r="E12233" s="2">
        <v>8.5605580215599199E-3</v>
      </c>
      <c r="F12233" s="2">
        <v>2.0544097584463499E-2</v>
      </c>
    </row>
    <row r="12234" spans="1:6" x14ac:dyDescent="0.25">
      <c r="A12234" s="1" t="str">
        <f t="shared" si="450"/>
        <v>23060</v>
      </c>
      <c r="B12234" s="1" t="str">
        <f>"46853"</f>
        <v>46853</v>
      </c>
      <c r="C12234" s="2">
        <v>5.0053214470120798E-4</v>
      </c>
      <c r="D12234" s="2">
        <v>3.6234187273536298E-3</v>
      </c>
      <c r="E12234" s="2">
        <v>3.1705770450221902E-4</v>
      </c>
      <c r="F12234" s="2">
        <v>7.2697404136199003E-4</v>
      </c>
    </row>
    <row r="12235" spans="1:6" x14ac:dyDescent="0.25">
      <c r="A12235" s="1" t="str">
        <f t="shared" si="450"/>
        <v>23060</v>
      </c>
      <c r="B12235" s="1" t="str">
        <f>"46799"</f>
        <v>46799</v>
      </c>
      <c r="C12235" s="2">
        <v>1.3171898544768601E-4</v>
      </c>
      <c r="D12235" s="2">
        <v>0</v>
      </c>
      <c r="E12235" s="2">
        <v>1.58528852251109E-4</v>
      </c>
      <c r="F12235" s="2">
        <v>1.2273587711306299E-4</v>
      </c>
    </row>
    <row r="12236" spans="1:6" x14ac:dyDescent="0.25">
      <c r="A12236" s="1" t="str">
        <f t="shared" si="450"/>
        <v>23060</v>
      </c>
      <c r="B12236" s="1" t="str">
        <f>"46733"</f>
        <v>46733</v>
      </c>
      <c r="C12236" s="2">
        <v>3.1085680565654E-4</v>
      </c>
      <c r="D12236" s="2">
        <v>0</v>
      </c>
      <c r="E12236" s="2">
        <v>0</v>
      </c>
      <c r="F12236" s="2">
        <v>2.7851602883348901E-4</v>
      </c>
    </row>
    <row r="12237" spans="1:6" x14ac:dyDescent="0.25">
      <c r="A12237" s="1" t="str">
        <f t="shared" si="450"/>
        <v>23060</v>
      </c>
      <c r="B12237" s="1" t="str">
        <f>"46859"</f>
        <v>46859</v>
      </c>
      <c r="C12237" s="2">
        <v>4.7418834761167101E-4</v>
      </c>
      <c r="D12237" s="2">
        <v>1.90706248808085E-3</v>
      </c>
      <c r="E12237" s="2">
        <v>3.1705770450221902E-4</v>
      </c>
      <c r="F12237" s="2">
        <v>5.7591450029975796E-4</v>
      </c>
    </row>
    <row r="12238" spans="1:6" x14ac:dyDescent="0.25">
      <c r="A12238" s="1" t="str">
        <f t="shared" si="450"/>
        <v>23060</v>
      </c>
      <c r="B12238" s="1" t="str">
        <f>"46866"</f>
        <v>46866</v>
      </c>
      <c r="C12238" s="2">
        <v>8.3773274744728603E-4</v>
      </c>
      <c r="D12238" s="2">
        <v>2.3520437352997198E-3</v>
      </c>
      <c r="E12238" s="2">
        <v>3.1705770450221902E-4</v>
      </c>
      <c r="F12238" s="2">
        <v>9.3468091032255899E-4</v>
      </c>
    </row>
    <row r="12239" spans="1:6" x14ac:dyDescent="0.25">
      <c r="A12239" s="1" t="str">
        <f t="shared" si="450"/>
        <v>23060</v>
      </c>
      <c r="B12239" s="1" t="str">
        <f>"46804"</f>
        <v>46804</v>
      </c>
      <c r="C12239" s="2">
        <v>6.8451722357453698E-2</v>
      </c>
      <c r="D12239" s="2">
        <v>9.9993643125039694E-2</v>
      </c>
      <c r="E12239" s="2">
        <v>8.6556753329105798E-2</v>
      </c>
      <c r="F12239" s="2">
        <v>7.13331476559807E-2</v>
      </c>
    </row>
    <row r="12240" spans="1:6" x14ac:dyDescent="0.25">
      <c r="A12240" s="1" t="str">
        <f t="shared" si="450"/>
        <v>23060</v>
      </c>
      <c r="B12240" s="1" t="str">
        <f>"46818"</f>
        <v>46818</v>
      </c>
      <c r="C12240" s="2">
        <v>4.9642251235524001E-2</v>
      </c>
      <c r="D12240" s="2">
        <v>4.9583624690102301E-2</v>
      </c>
      <c r="E12240" s="2">
        <v>2.0133164235890899E-2</v>
      </c>
      <c r="F12240" s="2">
        <v>4.8759187488493498E-2</v>
      </c>
    </row>
    <row r="12241" spans="1:6" x14ac:dyDescent="0.25">
      <c r="A12241" s="1" t="str">
        <f t="shared" si="450"/>
        <v>23060</v>
      </c>
      <c r="B12241" s="1" t="str">
        <f>"46562"</f>
        <v>46562</v>
      </c>
      <c r="C12241" s="2">
        <v>4.00425715760966E-4</v>
      </c>
      <c r="D12241" s="2">
        <v>1.2713749920539001E-4</v>
      </c>
      <c r="E12241" s="2">
        <v>0</v>
      </c>
      <c r="F12241" s="2">
        <v>3.6820763133919003E-4</v>
      </c>
    </row>
    <row r="12242" spans="1:6" x14ac:dyDescent="0.25">
      <c r="A12242" s="1" t="str">
        <f t="shared" si="450"/>
        <v>23060</v>
      </c>
      <c r="B12242" s="1" t="str">
        <f>"46805"</f>
        <v>46805</v>
      </c>
      <c r="C12242" s="2">
        <v>5.7092277052445198E-2</v>
      </c>
      <c r="D12242" s="2">
        <v>8.3465768228338899E-2</v>
      </c>
      <c r="E12242" s="2">
        <v>8.4178820545339206E-2</v>
      </c>
      <c r="F12242" s="2">
        <v>5.9857343145909299E-2</v>
      </c>
    </row>
    <row r="12243" spans="1:6" x14ac:dyDescent="0.25">
      <c r="A12243" s="1" t="str">
        <f t="shared" si="450"/>
        <v>23060</v>
      </c>
      <c r="B12243" s="1" t="str">
        <f>"46773"</f>
        <v>46773</v>
      </c>
      <c r="C12243" s="2">
        <v>8.0717394282342203E-3</v>
      </c>
      <c r="D12243" s="2">
        <v>2.0341999872862501E-3</v>
      </c>
      <c r="E12243" s="2">
        <v>2.85351934051997E-3</v>
      </c>
      <c r="F12243" s="2">
        <v>7.4680060612640799E-3</v>
      </c>
    </row>
    <row r="12244" spans="1:6" x14ac:dyDescent="0.25">
      <c r="A12244" s="1" t="str">
        <f t="shared" si="450"/>
        <v>23060</v>
      </c>
      <c r="B12244" s="1" t="str">
        <f>"46858"</f>
        <v>46858</v>
      </c>
      <c r="C12244" s="2">
        <v>3.5827564041770701E-4</v>
      </c>
      <c r="D12244" s="2">
        <v>1.20780624245121E-3</v>
      </c>
      <c r="E12244" s="2">
        <v>3.1705770450221902E-4</v>
      </c>
      <c r="F12244" s="2">
        <v>4.2013434857933202E-4</v>
      </c>
    </row>
    <row r="12245" spans="1:6" x14ac:dyDescent="0.25">
      <c r="A12245" s="1" t="str">
        <f t="shared" si="450"/>
        <v>23060</v>
      </c>
      <c r="B12245" s="1" t="str">
        <f>"46855"</f>
        <v>46855</v>
      </c>
      <c r="C12245" s="2">
        <v>3.7408191867142898E-4</v>
      </c>
      <c r="D12245" s="2">
        <v>1.97063123768355E-3</v>
      </c>
      <c r="E12245" s="2">
        <v>3.1705770450221902E-4</v>
      </c>
      <c r="F12245" s="2">
        <v>4.9094350845225304E-4</v>
      </c>
    </row>
    <row r="12246" spans="1:6" x14ac:dyDescent="0.25">
      <c r="A12246" s="1" t="str">
        <f t="shared" si="450"/>
        <v>23060</v>
      </c>
      <c r="B12246" s="1" t="str">
        <f>"46808"</f>
        <v>46808</v>
      </c>
      <c r="C12246" s="2">
        <v>4.9868807890494103E-2</v>
      </c>
      <c r="D12246" s="2">
        <v>6.8781387070116301E-2</v>
      </c>
      <c r="E12246" s="2">
        <v>5.4692454026632802E-2</v>
      </c>
      <c r="F12246" s="2">
        <v>5.1416891289057097E-2</v>
      </c>
    </row>
    <row r="12247" spans="1:6" x14ac:dyDescent="0.25">
      <c r="A12247" s="1" t="str">
        <f t="shared" si="450"/>
        <v>23060</v>
      </c>
      <c r="B12247" s="1" t="str">
        <f>"46743"</f>
        <v>46743</v>
      </c>
      <c r="C12247" s="2">
        <v>4.6523145660122799E-3</v>
      </c>
      <c r="D12247" s="2">
        <v>1.08066874324582E-3</v>
      </c>
      <c r="E12247" s="2">
        <v>9.5117311350665799E-4</v>
      </c>
      <c r="F12247" s="2">
        <v>4.27687325632443E-3</v>
      </c>
    </row>
    <row r="12248" spans="1:6" x14ac:dyDescent="0.25">
      <c r="A12248" s="1" t="str">
        <f t="shared" si="450"/>
        <v>23060</v>
      </c>
      <c r="B12248" s="1" t="str">
        <f>"46774"</f>
        <v>46774</v>
      </c>
      <c r="C12248" s="2">
        <v>3.94840830777985E-2</v>
      </c>
      <c r="D12248" s="2">
        <v>2.8860212319623602E-2</v>
      </c>
      <c r="E12248" s="2">
        <v>2.07672796448953E-2</v>
      </c>
      <c r="F12248" s="2">
        <v>3.8137813507555303E-2</v>
      </c>
    </row>
    <row r="12249" spans="1:6" x14ac:dyDescent="0.25">
      <c r="A12249" s="1" t="str">
        <f t="shared" si="450"/>
        <v>23060</v>
      </c>
      <c r="B12249" s="1" t="str">
        <f>"46725"</f>
        <v>46725</v>
      </c>
      <c r="C12249" s="2">
        <v>5.5153373586655202E-2</v>
      </c>
      <c r="D12249" s="2">
        <v>4.9265780942088798E-2</v>
      </c>
      <c r="E12249" s="2">
        <v>3.8363982244768502E-2</v>
      </c>
      <c r="F12249" s="2">
        <v>5.4216213409366602E-2</v>
      </c>
    </row>
    <row r="12250" spans="1:6" x14ac:dyDescent="0.25">
      <c r="A12250" s="1" t="str">
        <f t="shared" si="450"/>
        <v>23060</v>
      </c>
      <c r="B12250" s="1" t="str">
        <f>"46798"</f>
        <v>46798</v>
      </c>
      <c r="C12250" s="2">
        <v>4.0306009546992004E-3</v>
      </c>
      <c r="D12250" s="2">
        <v>1.84349373847816E-3</v>
      </c>
      <c r="E12250" s="2">
        <v>1.1097019657577601E-3</v>
      </c>
      <c r="F12250" s="2">
        <v>3.78120913721399E-3</v>
      </c>
    </row>
    <row r="12251" spans="1:6" x14ac:dyDescent="0.25">
      <c r="A12251" s="1" t="str">
        <f t="shared" si="450"/>
        <v>23060</v>
      </c>
      <c r="B12251" s="1" t="str">
        <f>"46864"</f>
        <v>46864</v>
      </c>
      <c r="C12251" s="2">
        <v>4.84725866447486E-4</v>
      </c>
      <c r="D12251" s="2">
        <v>1.39851249125929E-3</v>
      </c>
      <c r="E12251" s="2">
        <v>3.1705770450221902E-4</v>
      </c>
      <c r="F12251" s="2">
        <v>5.4759083635058995E-4</v>
      </c>
    </row>
    <row r="12252" spans="1:6" x14ac:dyDescent="0.25">
      <c r="A12252" s="1" t="str">
        <f t="shared" si="450"/>
        <v>23060</v>
      </c>
      <c r="B12252" s="1" t="str">
        <f>"46962"</f>
        <v>46962</v>
      </c>
      <c r="C12252" s="2">
        <v>1.42256504283501E-4</v>
      </c>
      <c r="D12252" s="2">
        <v>6.3568749602695303E-5</v>
      </c>
      <c r="E12252" s="2">
        <v>0</v>
      </c>
      <c r="F12252" s="2">
        <v>1.3217709842945201E-4</v>
      </c>
    </row>
    <row r="12253" spans="1:6" x14ac:dyDescent="0.25">
      <c r="A12253" s="1" t="str">
        <f t="shared" si="450"/>
        <v>23060</v>
      </c>
      <c r="B12253" s="1" t="str">
        <f>"46852"</f>
        <v>46852</v>
      </c>
      <c r="C12253" s="2">
        <v>3.4773812158189201E-4</v>
      </c>
      <c r="D12253" s="2">
        <v>3.0512999809293698E-3</v>
      </c>
      <c r="E12253" s="2">
        <v>3.1705770450221902E-4</v>
      </c>
      <c r="F12253" s="2">
        <v>5.4759083635058995E-4</v>
      </c>
    </row>
    <row r="12254" spans="1:6" x14ac:dyDescent="0.25">
      <c r="A12254" s="1" t="str">
        <f t="shared" si="450"/>
        <v>23060</v>
      </c>
      <c r="B12254" s="1" t="str">
        <f>"46885"</f>
        <v>46885</v>
      </c>
      <c r="C12254" s="2">
        <v>2.41309181340161E-3</v>
      </c>
      <c r="D12254" s="2">
        <v>1.7354268641535799E-2</v>
      </c>
      <c r="E12254" s="2">
        <v>3.1705770450221902E-4</v>
      </c>
      <c r="F12254" s="2">
        <v>3.4602076124567401E-3</v>
      </c>
    </row>
    <row r="12255" spans="1:6" x14ac:dyDescent="0.25">
      <c r="A12255" s="1" t="str">
        <f t="shared" si="450"/>
        <v>23060</v>
      </c>
      <c r="B12255" s="1" t="str">
        <f>"46895"</f>
        <v>46895</v>
      </c>
      <c r="C12255" s="2">
        <v>3.53006880999799E-3</v>
      </c>
      <c r="D12255" s="2">
        <v>8.0096624499396002E-3</v>
      </c>
      <c r="E12255" s="2">
        <v>3.1705770450221902E-4</v>
      </c>
      <c r="F12255" s="2">
        <v>3.7670473052394001E-3</v>
      </c>
    </row>
    <row r="12256" spans="1:6" x14ac:dyDescent="0.25">
      <c r="A12256" s="1" t="str">
        <f t="shared" si="450"/>
        <v>23060</v>
      </c>
      <c r="B12256" s="1" t="str">
        <f>"46854"</f>
        <v>46854</v>
      </c>
      <c r="C12256" s="2">
        <v>4.6365082877585602E-4</v>
      </c>
      <c r="D12256" s="2">
        <v>1.6527874896700701E-3</v>
      </c>
      <c r="E12256" s="2">
        <v>3.1705770450221902E-4</v>
      </c>
      <c r="F12256" s="2">
        <v>5.4759083635058995E-4</v>
      </c>
    </row>
    <row r="12257" spans="1:6" x14ac:dyDescent="0.25">
      <c r="A12257" s="1" t="str">
        <f t="shared" si="450"/>
        <v>23060</v>
      </c>
      <c r="B12257" s="1" t="str">
        <f>"46868"</f>
        <v>46868</v>
      </c>
      <c r="C12257" s="2">
        <v>6.7440120549215404E-4</v>
      </c>
      <c r="D12257" s="2">
        <v>1.3349437416566E-3</v>
      </c>
      <c r="E12257" s="2">
        <v>3.1705770450221902E-4</v>
      </c>
      <c r="F12257" s="2">
        <v>7.1281220938740602E-4</v>
      </c>
    </row>
    <row r="12258" spans="1:6" x14ac:dyDescent="0.25">
      <c r="A12258" s="1" t="str">
        <f t="shared" si="450"/>
        <v>23060</v>
      </c>
      <c r="B12258" s="1" t="str">
        <f>"46835"</f>
        <v>46835</v>
      </c>
      <c r="C12258" s="2">
        <v>8.5143152193384503E-2</v>
      </c>
      <c r="D12258" s="2">
        <v>2.1994787362532499E-2</v>
      </c>
      <c r="E12258" s="2">
        <v>9.5117311350665798E-2</v>
      </c>
      <c r="F12258" s="2">
        <v>8.0750765919079204E-2</v>
      </c>
    </row>
    <row r="12259" spans="1:6" x14ac:dyDescent="0.25">
      <c r="A12259" s="1" t="str">
        <f t="shared" ref="A12259:A12290" si="451">"23104"</f>
        <v>23104</v>
      </c>
      <c r="B12259" s="1" t="str">
        <f>"76131"</f>
        <v>76131</v>
      </c>
      <c r="C12259" s="2">
        <v>5.0797465588813602E-2</v>
      </c>
      <c r="D12259" s="2">
        <v>3.6945812807881698E-3</v>
      </c>
      <c r="E12259" s="2">
        <v>2.1174205967276202E-2</v>
      </c>
      <c r="F12259" s="2">
        <v>4.7373381616151497E-2</v>
      </c>
    </row>
    <row r="12260" spans="1:6" x14ac:dyDescent="0.25">
      <c r="A12260" s="1" t="str">
        <f t="shared" si="451"/>
        <v>23104</v>
      </c>
      <c r="B12260" s="1" t="str">
        <f>"76106"</f>
        <v>76106</v>
      </c>
      <c r="C12260" s="2">
        <v>1.65501420144199E-2</v>
      </c>
      <c r="D12260" s="2">
        <v>3.6945812807881698E-3</v>
      </c>
      <c r="E12260" s="2">
        <v>2.1174205967276202E-2</v>
      </c>
      <c r="F12260" s="2">
        <v>1.6270648345651999E-2</v>
      </c>
    </row>
    <row r="12261" spans="1:6" x14ac:dyDescent="0.25">
      <c r="A12261" s="1" t="str">
        <f t="shared" si="451"/>
        <v>23104</v>
      </c>
      <c r="B12261" s="1" t="str">
        <f>"76012"</f>
        <v>76012</v>
      </c>
      <c r="C12261" s="2">
        <v>0</v>
      </c>
      <c r="D12261" s="2">
        <v>0</v>
      </c>
      <c r="E12261" s="2">
        <v>6.7372473532242502E-3</v>
      </c>
      <c r="F12261" s="2">
        <v>3.4723944640111101E-4</v>
      </c>
    </row>
    <row r="12262" spans="1:6" x14ac:dyDescent="0.25">
      <c r="A12262" s="1" t="str">
        <f t="shared" si="451"/>
        <v>23104</v>
      </c>
      <c r="B12262" s="1" t="str">
        <f>"76016"</f>
        <v>76016</v>
      </c>
      <c r="C12262" s="2">
        <v>0</v>
      </c>
      <c r="D12262" s="2">
        <v>1.23152709359605E-3</v>
      </c>
      <c r="E12262" s="2">
        <v>4.8123195380173197E-3</v>
      </c>
      <c r="F12262" s="2">
        <v>2.9763381120095201E-4</v>
      </c>
    </row>
    <row r="12263" spans="1:6" x14ac:dyDescent="0.25">
      <c r="A12263" s="1" t="str">
        <f t="shared" si="451"/>
        <v>23104</v>
      </c>
      <c r="B12263" s="1" t="str">
        <f>"76001"</f>
        <v>76001</v>
      </c>
      <c r="C12263" s="2">
        <v>9.1216954336901905E-3</v>
      </c>
      <c r="D12263" s="2">
        <v>4.9261083743842296E-3</v>
      </c>
      <c r="E12263" s="2">
        <v>3.8498556304138501E-3</v>
      </c>
      <c r="F12263" s="2">
        <v>8.6809861600277705E-3</v>
      </c>
    </row>
    <row r="12264" spans="1:6" x14ac:dyDescent="0.25">
      <c r="A12264" s="1" t="str">
        <f t="shared" si="451"/>
        <v>23104</v>
      </c>
      <c r="B12264" s="1" t="str">
        <f>"76078"</f>
        <v>76078</v>
      </c>
      <c r="C12264" s="2">
        <v>1.3109023377758299E-3</v>
      </c>
      <c r="D12264" s="2">
        <v>6.1576354679802898E-3</v>
      </c>
      <c r="E12264" s="2">
        <v>2.8873917228103901E-3</v>
      </c>
      <c r="F12264" s="2">
        <v>1.5873803264050701E-3</v>
      </c>
    </row>
    <row r="12265" spans="1:6" x14ac:dyDescent="0.25">
      <c r="A12265" s="1" t="str">
        <f t="shared" si="451"/>
        <v>23104</v>
      </c>
      <c r="B12265" s="1" t="str">
        <f>"75054"</f>
        <v>75054</v>
      </c>
      <c r="C12265" s="2">
        <v>3.6596023596241999E-3</v>
      </c>
      <c r="D12265" s="2">
        <v>0</v>
      </c>
      <c r="E12265" s="2">
        <v>9.6246390760346395E-4</v>
      </c>
      <c r="F12265" s="2">
        <v>3.3731831936107898E-3</v>
      </c>
    </row>
    <row r="12266" spans="1:6" x14ac:dyDescent="0.25">
      <c r="A12266" s="1" t="str">
        <f t="shared" si="451"/>
        <v>23104</v>
      </c>
      <c r="B12266" s="1" t="str">
        <f>"76092"</f>
        <v>76092</v>
      </c>
      <c r="C12266" s="2">
        <v>5.4620930740659798E-5</v>
      </c>
      <c r="D12266" s="2">
        <v>5.2955665024630498E-2</v>
      </c>
      <c r="E12266" s="2">
        <v>2.30991337824831E-2</v>
      </c>
      <c r="F12266" s="2">
        <v>3.3731831936107898E-3</v>
      </c>
    </row>
    <row r="12267" spans="1:6" x14ac:dyDescent="0.25">
      <c r="A12267" s="1" t="str">
        <f t="shared" si="451"/>
        <v>23104</v>
      </c>
      <c r="B12267" s="1" t="str">
        <f>"76002"</f>
        <v>76002</v>
      </c>
      <c r="C12267" s="2">
        <v>2.0592090889228701E-2</v>
      </c>
      <c r="D12267" s="2">
        <v>9.8522167487684695E-3</v>
      </c>
      <c r="E12267" s="2">
        <v>4.8123195380173197E-3</v>
      </c>
      <c r="F12267" s="2">
        <v>1.9346197728061901E-2</v>
      </c>
    </row>
    <row r="12268" spans="1:6" x14ac:dyDescent="0.25">
      <c r="A12268" s="1" t="str">
        <f t="shared" si="451"/>
        <v>23104</v>
      </c>
      <c r="B12268" s="1" t="str">
        <f>"75052"</f>
        <v>75052</v>
      </c>
      <c r="C12268" s="2">
        <v>1.0760323355909899E-2</v>
      </c>
      <c r="D12268" s="2">
        <v>6.1576354679802898E-3</v>
      </c>
      <c r="E12268" s="2">
        <v>1.9249278152069201E-3</v>
      </c>
      <c r="F12268" s="2">
        <v>1.0119549580832299E-2</v>
      </c>
    </row>
    <row r="12269" spans="1:6" x14ac:dyDescent="0.25">
      <c r="A12269" s="1" t="str">
        <f t="shared" si="451"/>
        <v>23104</v>
      </c>
      <c r="B12269" s="1" t="str">
        <f>"76177"</f>
        <v>76177</v>
      </c>
      <c r="C12269" s="2">
        <v>3.7142232903648598E-2</v>
      </c>
      <c r="D12269" s="2">
        <v>7.5123152709359597E-2</v>
      </c>
      <c r="E12269" s="2">
        <v>1.2512030798844999E-2</v>
      </c>
      <c r="F12269" s="2">
        <v>3.7402648940919603E-2</v>
      </c>
    </row>
    <row r="12270" spans="1:6" x14ac:dyDescent="0.25">
      <c r="A12270" s="1" t="str">
        <f t="shared" si="451"/>
        <v>23104</v>
      </c>
      <c r="B12270" s="1" t="str">
        <f>"76248"</f>
        <v>76248</v>
      </c>
      <c r="C12270" s="2">
        <v>1.09241861481319E-4</v>
      </c>
      <c r="D12270" s="2">
        <v>7.38916256157635E-3</v>
      </c>
      <c r="E12270" s="2">
        <v>2.6948989412897001E-2</v>
      </c>
      <c r="F12270" s="2">
        <v>1.78580286720571E-3</v>
      </c>
    </row>
    <row r="12271" spans="1:6" x14ac:dyDescent="0.25">
      <c r="A12271" s="1" t="str">
        <f t="shared" si="451"/>
        <v>23104</v>
      </c>
      <c r="B12271" s="1" t="str">
        <f>"76108"</f>
        <v>76108</v>
      </c>
      <c r="C12271" s="2">
        <v>2.55079746558881E-2</v>
      </c>
      <c r="D12271" s="2">
        <v>6.1576354679802898E-3</v>
      </c>
      <c r="E12271" s="2">
        <v>1.82868142444658E-2</v>
      </c>
      <c r="F12271" s="2">
        <v>2.43563668832779E-2</v>
      </c>
    </row>
    <row r="12272" spans="1:6" x14ac:dyDescent="0.25">
      <c r="A12272" s="1" t="str">
        <f t="shared" si="451"/>
        <v>23104</v>
      </c>
      <c r="B12272" s="1" t="str">
        <f>"76073"</f>
        <v>76073</v>
      </c>
      <c r="C12272" s="2">
        <v>3.7688442211055201E-3</v>
      </c>
      <c r="D12272" s="2">
        <v>0</v>
      </c>
      <c r="E12272" s="2">
        <v>9.6246390760346395E-4</v>
      </c>
      <c r="F12272" s="2">
        <v>3.4723944640111101E-3</v>
      </c>
    </row>
    <row r="12273" spans="1:6" x14ac:dyDescent="0.25">
      <c r="A12273" s="1" t="str">
        <f t="shared" si="451"/>
        <v>23104</v>
      </c>
      <c r="B12273" s="1" t="str">
        <f>"76082"</f>
        <v>76082</v>
      </c>
      <c r="C12273" s="2">
        <v>9.3948000873934796E-3</v>
      </c>
      <c r="D12273" s="2">
        <v>0</v>
      </c>
      <c r="E12273" s="2">
        <v>9.6246390760346395E-4</v>
      </c>
      <c r="F12273" s="2">
        <v>8.5817748896274606E-3</v>
      </c>
    </row>
    <row r="12274" spans="1:6" x14ac:dyDescent="0.25">
      <c r="A12274" s="1" t="str">
        <f t="shared" si="451"/>
        <v>23104</v>
      </c>
      <c r="B12274" s="1" t="str">
        <f>"76023"</f>
        <v>76023</v>
      </c>
      <c r="C12274" s="2">
        <v>1.4747651299978101E-3</v>
      </c>
      <c r="D12274" s="2">
        <v>4.9261083743842296E-3</v>
      </c>
      <c r="E12274" s="2">
        <v>6.7372473532242502E-3</v>
      </c>
      <c r="F12274" s="2">
        <v>1.88501413760603E-3</v>
      </c>
    </row>
    <row r="12275" spans="1:6" x14ac:dyDescent="0.25">
      <c r="A12275" s="1" t="str">
        <f t="shared" si="451"/>
        <v>23104</v>
      </c>
      <c r="B12275" s="1" t="str">
        <f>"76011"</f>
        <v>76011</v>
      </c>
      <c r="C12275" s="2">
        <v>5.4620930740659798E-5</v>
      </c>
      <c r="D12275" s="2">
        <v>7.38916256157635E-3</v>
      </c>
      <c r="E12275" s="2">
        <v>9.6246390760346395E-3</v>
      </c>
      <c r="F12275" s="2">
        <v>8.4329579840269799E-4</v>
      </c>
    </row>
    <row r="12276" spans="1:6" x14ac:dyDescent="0.25">
      <c r="A12276" s="1" t="str">
        <f t="shared" si="451"/>
        <v>23104</v>
      </c>
      <c r="B12276" s="1" t="str">
        <f>"76006"</f>
        <v>76006</v>
      </c>
      <c r="C12276" s="2">
        <v>0</v>
      </c>
      <c r="D12276" s="2">
        <v>7.38916256157635E-3</v>
      </c>
      <c r="E12276" s="2">
        <v>1.2512030798844999E-2</v>
      </c>
      <c r="F12276" s="2">
        <v>9.42507068803016E-4</v>
      </c>
    </row>
    <row r="12277" spans="1:6" x14ac:dyDescent="0.25">
      <c r="A12277" s="1" t="str">
        <f t="shared" si="451"/>
        <v>23104</v>
      </c>
      <c r="B12277" s="1" t="str">
        <f>"76052"</f>
        <v>76052</v>
      </c>
      <c r="C12277" s="2">
        <v>3.6432160804020099E-2</v>
      </c>
      <c r="D12277" s="2">
        <v>8.6206896551724102E-3</v>
      </c>
      <c r="E12277" s="2">
        <v>0</v>
      </c>
      <c r="F12277" s="2">
        <v>3.3434198124906903E-2</v>
      </c>
    </row>
    <row r="12278" spans="1:6" x14ac:dyDescent="0.25">
      <c r="A12278" s="1" t="str">
        <f t="shared" si="451"/>
        <v>23104</v>
      </c>
      <c r="B12278" s="1" t="str">
        <f>"76021"</f>
        <v>76021</v>
      </c>
      <c r="C12278" s="2">
        <v>5.4620930740659798E-5</v>
      </c>
      <c r="D12278" s="2">
        <v>3.6945812807881698E-3</v>
      </c>
      <c r="E12278" s="2">
        <v>1.0587102983638101E-2</v>
      </c>
      <c r="F12278" s="2">
        <v>7.4408452800238097E-4</v>
      </c>
    </row>
    <row r="12279" spans="1:6" x14ac:dyDescent="0.25">
      <c r="A12279" s="1" t="str">
        <f t="shared" si="451"/>
        <v>23104</v>
      </c>
      <c r="B12279" s="1" t="str">
        <f>"76031"</f>
        <v>76031</v>
      </c>
      <c r="C12279" s="2">
        <v>1.6932488529604499E-3</v>
      </c>
      <c r="D12279" s="2">
        <v>6.1576354679802898E-3</v>
      </c>
      <c r="E12279" s="2">
        <v>1.7324350336862301E-2</v>
      </c>
      <c r="F12279" s="2">
        <v>2.67870430080857E-3</v>
      </c>
    </row>
    <row r="12280" spans="1:6" x14ac:dyDescent="0.25">
      <c r="A12280" s="1" t="str">
        <f t="shared" si="451"/>
        <v>23104</v>
      </c>
      <c r="B12280" s="1" t="str">
        <f>"76270"</f>
        <v>76270</v>
      </c>
      <c r="C12280" s="2">
        <v>6.00830238147258E-4</v>
      </c>
      <c r="D12280" s="2">
        <v>0</v>
      </c>
      <c r="E12280" s="2">
        <v>0</v>
      </c>
      <c r="F12280" s="2">
        <v>5.4566198720174604E-4</v>
      </c>
    </row>
    <row r="12281" spans="1:6" x14ac:dyDescent="0.25">
      <c r="A12281" s="1" t="str">
        <f t="shared" si="451"/>
        <v>23104</v>
      </c>
      <c r="B12281" s="1" t="str">
        <f>"76013"</f>
        <v>76013</v>
      </c>
      <c r="C12281" s="2">
        <v>1.6331658291457201E-2</v>
      </c>
      <c r="D12281" s="2">
        <v>1.23152709359605E-3</v>
      </c>
      <c r="E12281" s="2">
        <v>1.5399422521655401E-2</v>
      </c>
      <c r="F12281" s="2">
        <v>1.5675380723250101E-2</v>
      </c>
    </row>
    <row r="12282" spans="1:6" x14ac:dyDescent="0.25">
      <c r="A12282" s="1" t="str">
        <f t="shared" si="451"/>
        <v>23104</v>
      </c>
      <c r="B12282" s="1" t="str">
        <f>"75261"</f>
        <v>75261</v>
      </c>
      <c r="C12282" s="2">
        <v>0</v>
      </c>
      <c r="D12282" s="2">
        <v>9.8522167487684695E-3</v>
      </c>
      <c r="E12282" s="2">
        <v>0</v>
      </c>
      <c r="F12282" s="2">
        <v>3.9684508160126898E-4</v>
      </c>
    </row>
    <row r="12283" spans="1:6" x14ac:dyDescent="0.25">
      <c r="A12283" s="1" t="str">
        <f t="shared" si="451"/>
        <v>23104</v>
      </c>
      <c r="B12283" s="1" t="str">
        <f>"76036"</f>
        <v>76036</v>
      </c>
      <c r="C12283" s="2">
        <v>3.3264146821061803E-2</v>
      </c>
      <c r="D12283" s="2">
        <v>1.23152709359605E-3</v>
      </c>
      <c r="E12283" s="2">
        <v>3.8498556304138501E-3</v>
      </c>
      <c r="F12283" s="2">
        <v>3.0457860012897402E-2</v>
      </c>
    </row>
    <row r="12284" spans="1:6" x14ac:dyDescent="0.25">
      <c r="A12284" s="1" t="str">
        <f t="shared" si="451"/>
        <v>23104</v>
      </c>
      <c r="B12284" s="1" t="str">
        <f>"76040"</f>
        <v>76040</v>
      </c>
      <c r="C12284" s="2">
        <v>3.9381691064015699E-2</v>
      </c>
      <c r="D12284" s="2">
        <v>9.8522167487684695E-3</v>
      </c>
      <c r="E12284" s="2">
        <v>1.34744947064485E-2</v>
      </c>
      <c r="F12284" s="2">
        <v>3.6856986953717898E-2</v>
      </c>
    </row>
    <row r="12285" spans="1:6" x14ac:dyDescent="0.25">
      <c r="A12285" s="1" t="str">
        <f t="shared" si="451"/>
        <v>23104</v>
      </c>
      <c r="B12285" s="1" t="str">
        <f>"76033"</f>
        <v>76033</v>
      </c>
      <c r="C12285" s="2">
        <v>1.5894690845532002E-2</v>
      </c>
      <c r="D12285" s="2">
        <v>1.23152709359605E-3</v>
      </c>
      <c r="E12285" s="2">
        <v>1.0587102983638101E-2</v>
      </c>
      <c r="F12285" s="2">
        <v>1.5030507465648E-2</v>
      </c>
    </row>
    <row r="12286" spans="1:6" x14ac:dyDescent="0.25">
      <c r="A12286" s="1" t="str">
        <f t="shared" si="451"/>
        <v>23104</v>
      </c>
      <c r="B12286" s="1" t="str">
        <f>"76490"</f>
        <v>76490</v>
      </c>
      <c r="C12286" s="2">
        <v>1.09241861481319E-4</v>
      </c>
      <c r="D12286" s="2">
        <v>0</v>
      </c>
      <c r="E12286" s="2">
        <v>0</v>
      </c>
      <c r="F12286" s="2">
        <v>9.9211270400317394E-5</v>
      </c>
    </row>
    <row r="12287" spans="1:6" x14ac:dyDescent="0.25">
      <c r="A12287" s="1" t="str">
        <f t="shared" si="451"/>
        <v>23104</v>
      </c>
      <c r="B12287" s="1" t="str">
        <f>"76115"</f>
        <v>76115</v>
      </c>
      <c r="C12287" s="2">
        <v>0</v>
      </c>
      <c r="D12287" s="2">
        <v>0</v>
      </c>
      <c r="E12287" s="2">
        <v>1.6361886429258898E-2</v>
      </c>
      <c r="F12287" s="2">
        <v>8.4329579840269799E-4</v>
      </c>
    </row>
    <row r="12288" spans="1:6" x14ac:dyDescent="0.25">
      <c r="A12288" s="1" t="str">
        <f t="shared" si="451"/>
        <v>23104</v>
      </c>
      <c r="B12288" s="1" t="str">
        <f>"76487"</f>
        <v>76487</v>
      </c>
      <c r="C12288" s="2">
        <v>1.42014419925715E-3</v>
      </c>
      <c r="D12288" s="2">
        <v>1.23152709359605E-3</v>
      </c>
      <c r="E12288" s="2">
        <v>9.6246390760346395E-4</v>
      </c>
      <c r="F12288" s="2">
        <v>1.3889577856044399E-3</v>
      </c>
    </row>
    <row r="12289" spans="1:6" x14ac:dyDescent="0.25">
      <c r="A12289" s="1" t="str">
        <f t="shared" si="451"/>
        <v>23104</v>
      </c>
      <c r="B12289" s="1" t="str">
        <f>"76118"</f>
        <v>76118</v>
      </c>
      <c r="C12289" s="2">
        <v>7.4284465807297299E-3</v>
      </c>
      <c r="D12289" s="2">
        <v>1.23152709359605E-3</v>
      </c>
      <c r="E12289" s="2">
        <v>3.8498556304138501E-3</v>
      </c>
      <c r="F12289" s="2">
        <v>6.9943945632223803E-3</v>
      </c>
    </row>
    <row r="12290" spans="1:6" x14ac:dyDescent="0.25">
      <c r="A12290" s="1" t="str">
        <f t="shared" si="451"/>
        <v>23104</v>
      </c>
      <c r="B12290" s="1" t="str">
        <f>"76117"</f>
        <v>76117</v>
      </c>
      <c r="C12290" s="2">
        <v>1.6386279222197899E-4</v>
      </c>
      <c r="D12290" s="2">
        <v>1.3546798029556601E-2</v>
      </c>
      <c r="E12290" s="2">
        <v>1.2512030798844999E-2</v>
      </c>
      <c r="F12290" s="2">
        <v>1.33935215040428E-3</v>
      </c>
    </row>
    <row r="12291" spans="1:6" x14ac:dyDescent="0.25">
      <c r="A12291" s="1" t="str">
        <f t="shared" ref="A12291:A12322" si="452">"23104"</f>
        <v>23104</v>
      </c>
      <c r="B12291" s="1" t="str">
        <f>"76182"</f>
        <v>76182</v>
      </c>
      <c r="C12291" s="2">
        <v>1.7478697837011101E-3</v>
      </c>
      <c r="D12291" s="2">
        <v>0</v>
      </c>
      <c r="E12291" s="2">
        <v>0</v>
      </c>
      <c r="F12291" s="2">
        <v>1.5873803264050701E-3</v>
      </c>
    </row>
    <row r="12292" spans="1:6" x14ac:dyDescent="0.25">
      <c r="A12292" s="1" t="str">
        <f t="shared" si="452"/>
        <v>23104</v>
      </c>
      <c r="B12292" s="1" t="str">
        <f>"76486"</f>
        <v>76486</v>
      </c>
      <c r="C12292" s="2">
        <v>5.4620930740659798E-5</v>
      </c>
      <c r="D12292" s="2">
        <v>0</v>
      </c>
      <c r="E12292" s="2">
        <v>0</v>
      </c>
      <c r="F12292" s="2">
        <v>4.9605635200158697E-5</v>
      </c>
    </row>
    <row r="12293" spans="1:6" x14ac:dyDescent="0.25">
      <c r="A12293" s="1" t="str">
        <f t="shared" si="452"/>
        <v>23104</v>
      </c>
      <c r="B12293" s="1" t="str">
        <f>"76132"</f>
        <v>76132</v>
      </c>
      <c r="C12293" s="2">
        <v>0</v>
      </c>
      <c r="D12293" s="2">
        <v>0</v>
      </c>
      <c r="E12293" s="2">
        <v>7.6997112608277098E-3</v>
      </c>
      <c r="F12293" s="2">
        <v>3.9684508160126898E-4</v>
      </c>
    </row>
    <row r="12294" spans="1:6" x14ac:dyDescent="0.25">
      <c r="A12294" s="1" t="str">
        <f t="shared" si="452"/>
        <v>23104</v>
      </c>
      <c r="B12294" s="1" t="str">
        <f>"76148"</f>
        <v>76148</v>
      </c>
      <c r="C12294" s="2">
        <v>0</v>
      </c>
      <c r="D12294" s="2">
        <v>1.23152709359605E-3</v>
      </c>
      <c r="E12294" s="2">
        <v>1.9249278152069201E-3</v>
      </c>
      <c r="F12294" s="2">
        <v>1.48816905600476E-4</v>
      </c>
    </row>
    <row r="12295" spans="1:6" x14ac:dyDescent="0.25">
      <c r="A12295" s="1" t="str">
        <f t="shared" si="452"/>
        <v>23104</v>
      </c>
      <c r="B12295" s="1" t="str">
        <f>"76088"</f>
        <v>76088</v>
      </c>
      <c r="C12295" s="2">
        <v>7.7561721651736902E-3</v>
      </c>
      <c r="D12295" s="2">
        <v>0</v>
      </c>
      <c r="E12295" s="2">
        <v>2.8873917228103901E-3</v>
      </c>
      <c r="F12295" s="2">
        <v>7.1928171040230096E-3</v>
      </c>
    </row>
    <row r="12296" spans="1:6" x14ac:dyDescent="0.25">
      <c r="A12296" s="1" t="str">
        <f t="shared" si="452"/>
        <v>23104</v>
      </c>
      <c r="B12296" s="1" t="str">
        <f>"76044"</f>
        <v>76044</v>
      </c>
      <c r="C12296" s="2">
        <v>2.1083679265894599E-2</v>
      </c>
      <c r="D12296" s="2">
        <v>1.23152709359605E-3</v>
      </c>
      <c r="E12296" s="2">
        <v>2.8873917228103901E-3</v>
      </c>
      <c r="F12296" s="2">
        <v>1.9346197728061901E-2</v>
      </c>
    </row>
    <row r="12297" spans="1:6" x14ac:dyDescent="0.25">
      <c r="A12297" s="1" t="str">
        <f t="shared" si="452"/>
        <v>23104</v>
      </c>
      <c r="B12297" s="1" t="str">
        <f>"76084"</f>
        <v>76084</v>
      </c>
      <c r="C12297" s="2">
        <v>3.2772558444395798E-4</v>
      </c>
      <c r="D12297" s="2">
        <v>3.6945812807881698E-3</v>
      </c>
      <c r="E12297" s="2">
        <v>3.8498556304138501E-3</v>
      </c>
      <c r="F12297" s="2">
        <v>6.4487325760206296E-4</v>
      </c>
    </row>
    <row r="12298" spans="1:6" x14ac:dyDescent="0.25">
      <c r="A12298" s="1" t="str">
        <f t="shared" si="452"/>
        <v>23104</v>
      </c>
      <c r="B12298" s="1" t="str">
        <f>"76005"</f>
        <v>76005</v>
      </c>
      <c r="C12298" s="2">
        <v>2.0592090889228701E-2</v>
      </c>
      <c r="D12298" s="2">
        <v>8.6206896551724102E-3</v>
      </c>
      <c r="E12298" s="2">
        <v>2.8873917228103901E-3</v>
      </c>
      <c r="F12298" s="2">
        <v>1.9197380822461401E-2</v>
      </c>
    </row>
    <row r="12299" spans="1:6" x14ac:dyDescent="0.25">
      <c r="A12299" s="1" t="str">
        <f t="shared" si="452"/>
        <v>23104</v>
      </c>
      <c r="B12299" s="1" t="str">
        <f>"76133"</f>
        <v>76133</v>
      </c>
      <c r="C12299" s="2">
        <v>0</v>
      </c>
      <c r="D12299" s="2">
        <v>0</v>
      </c>
      <c r="E12299" s="2">
        <v>9.6246390760346395E-4</v>
      </c>
      <c r="F12299" s="2">
        <v>4.9605635200158697E-5</v>
      </c>
    </row>
    <row r="12300" spans="1:6" x14ac:dyDescent="0.25">
      <c r="A12300" s="1" t="str">
        <f t="shared" si="452"/>
        <v>23104</v>
      </c>
      <c r="B12300" s="1" t="str">
        <f>"76105"</f>
        <v>76105</v>
      </c>
      <c r="C12300" s="2">
        <v>5.4620930740659798E-5</v>
      </c>
      <c r="D12300" s="2">
        <v>0</v>
      </c>
      <c r="E12300" s="2">
        <v>6.7372473532242502E-3</v>
      </c>
      <c r="F12300" s="2">
        <v>3.9684508160126898E-4</v>
      </c>
    </row>
    <row r="12301" spans="1:6" x14ac:dyDescent="0.25">
      <c r="A12301" s="1" t="str">
        <f t="shared" si="452"/>
        <v>23104</v>
      </c>
      <c r="B12301" s="1" t="str">
        <f>"76022"</f>
        <v>76022</v>
      </c>
      <c r="C12301" s="2">
        <v>0</v>
      </c>
      <c r="D12301" s="2">
        <v>0</v>
      </c>
      <c r="E12301" s="2">
        <v>2.8873917228103901E-3</v>
      </c>
      <c r="F12301" s="2">
        <v>1.48816905600476E-4</v>
      </c>
    </row>
    <row r="12302" spans="1:6" x14ac:dyDescent="0.25">
      <c r="A12302" s="1" t="str">
        <f t="shared" si="452"/>
        <v>23104</v>
      </c>
      <c r="B12302" s="1" t="str">
        <f>"75050"</f>
        <v>75050</v>
      </c>
      <c r="C12302" s="2">
        <v>0</v>
      </c>
      <c r="D12302" s="2">
        <v>3.6945812807881698E-3</v>
      </c>
      <c r="E12302" s="2">
        <v>9.6246390760346395E-4</v>
      </c>
      <c r="F12302" s="2">
        <v>1.98422540800634E-4</v>
      </c>
    </row>
    <row r="12303" spans="1:6" x14ac:dyDescent="0.25">
      <c r="A12303" s="1" t="str">
        <f t="shared" si="452"/>
        <v>23104</v>
      </c>
      <c r="B12303" s="1" t="str">
        <f>"76155"</f>
        <v>76155</v>
      </c>
      <c r="C12303" s="2">
        <v>0</v>
      </c>
      <c r="D12303" s="2">
        <v>2.46305418719211E-3</v>
      </c>
      <c r="E12303" s="2">
        <v>9.6246390760346395E-4</v>
      </c>
      <c r="F12303" s="2">
        <v>1.48816905600476E-4</v>
      </c>
    </row>
    <row r="12304" spans="1:6" x14ac:dyDescent="0.25">
      <c r="A12304" s="1" t="str">
        <f t="shared" si="452"/>
        <v>23104</v>
      </c>
      <c r="B12304" s="1" t="str">
        <f>"76018"</f>
        <v>76018</v>
      </c>
      <c r="C12304" s="2">
        <v>9.8317675333187606E-3</v>
      </c>
      <c r="D12304" s="2">
        <v>1.3546798029556601E-2</v>
      </c>
      <c r="E12304" s="2">
        <v>5.7747834456207802E-3</v>
      </c>
      <c r="F12304" s="2">
        <v>9.7723101344312693E-3</v>
      </c>
    </row>
    <row r="12305" spans="1:6" x14ac:dyDescent="0.25">
      <c r="A12305" s="1" t="str">
        <f t="shared" si="452"/>
        <v>23104</v>
      </c>
      <c r="B12305" s="1" t="str">
        <f>"76008"</f>
        <v>76008</v>
      </c>
      <c r="C12305" s="2">
        <v>5.5713349355473001E-3</v>
      </c>
      <c r="D12305" s="2">
        <v>8.6206896551724102E-3</v>
      </c>
      <c r="E12305" s="2">
        <v>9.6246390760346395E-4</v>
      </c>
      <c r="F12305" s="2">
        <v>5.4566198720174602E-3</v>
      </c>
    </row>
    <row r="12306" spans="1:6" x14ac:dyDescent="0.25">
      <c r="A12306" s="1" t="str">
        <f t="shared" si="452"/>
        <v>23104</v>
      </c>
      <c r="B12306" s="1" t="str">
        <f>"76135"</f>
        <v>76135</v>
      </c>
      <c r="C12306" s="2">
        <v>2.18483722962639E-4</v>
      </c>
      <c r="D12306" s="2">
        <v>0</v>
      </c>
      <c r="E12306" s="2">
        <v>5.7747834456207802E-3</v>
      </c>
      <c r="F12306" s="2">
        <v>4.9605635200158699E-4</v>
      </c>
    </row>
    <row r="12307" spans="1:6" x14ac:dyDescent="0.25">
      <c r="A12307" s="1" t="str">
        <f t="shared" si="452"/>
        <v>23104</v>
      </c>
      <c r="B12307" s="1" t="str">
        <f>"76225"</f>
        <v>76225</v>
      </c>
      <c r="C12307" s="2">
        <v>8.7393489185055699E-4</v>
      </c>
      <c r="D12307" s="2">
        <v>0</v>
      </c>
      <c r="E12307" s="2">
        <v>2.8873917228103901E-3</v>
      </c>
      <c r="F12307" s="2">
        <v>9.42507068803016E-4</v>
      </c>
    </row>
    <row r="12308" spans="1:6" x14ac:dyDescent="0.25">
      <c r="A12308" s="1" t="str">
        <f t="shared" si="452"/>
        <v>23104</v>
      </c>
      <c r="B12308" s="1" t="str">
        <f>"76104"</f>
        <v>76104</v>
      </c>
      <c r="C12308" s="2">
        <v>2.96045444614376E-2</v>
      </c>
      <c r="D12308" s="2">
        <v>3.6945812807881701E-2</v>
      </c>
      <c r="E12308" s="2">
        <v>1.5399422521655401E-2</v>
      </c>
      <c r="F12308" s="2">
        <v>2.9168113497693299E-2</v>
      </c>
    </row>
    <row r="12309" spans="1:6" x14ac:dyDescent="0.25">
      <c r="A12309" s="1" t="str">
        <f t="shared" si="452"/>
        <v>23104</v>
      </c>
      <c r="B12309" s="1" t="str">
        <f>"76086"</f>
        <v>76086</v>
      </c>
      <c r="C12309" s="2">
        <v>5.4620930740659798E-5</v>
      </c>
      <c r="D12309" s="2">
        <v>4.9261083743842296E-3</v>
      </c>
      <c r="E12309" s="2">
        <v>2.5986525505293501E-2</v>
      </c>
      <c r="F12309" s="2">
        <v>1.5873803264050701E-3</v>
      </c>
    </row>
    <row r="12310" spans="1:6" x14ac:dyDescent="0.25">
      <c r="A12310" s="1" t="str">
        <f t="shared" si="452"/>
        <v>23104</v>
      </c>
      <c r="B12310" s="1" t="str">
        <f>"76009"</f>
        <v>76009</v>
      </c>
      <c r="C12310" s="2">
        <v>3.8234651518461799E-4</v>
      </c>
      <c r="D12310" s="2">
        <v>1.3546798029556601E-2</v>
      </c>
      <c r="E12310" s="2">
        <v>1.0587102983638101E-2</v>
      </c>
      <c r="F12310" s="2">
        <v>1.4385634208046001E-3</v>
      </c>
    </row>
    <row r="12311" spans="1:6" x14ac:dyDescent="0.25">
      <c r="A12311" s="1" t="str">
        <f t="shared" si="452"/>
        <v>23104</v>
      </c>
      <c r="B12311" s="1" t="str">
        <f>"76116"</f>
        <v>76116</v>
      </c>
      <c r="C12311" s="2">
        <v>1.6386279222197899E-4</v>
      </c>
      <c r="D12311" s="2">
        <v>1.3546798029556601E-2</v>
      </c>
      <c r="E12311" s="2">
        <v>1.5399422521655401E-2</v>
      </c>
      <c r="F12311" s="2">
        <v>1.48816905600476E-3</v>
      </c>
    </row>
    <row r="12312" spans="1:6" x14ac:dyDescent="0.25">
      <c r="A12312" s="1" t="str">
        <f t="shared" si="452"/>
        <v>23104</v>
      </c>
      <c r="B12312" s="1" t="str">
        <f>"76112"</f>
        <v>76112</v>
      </c>
      <c r="C12312" s="2">
        <v>1.63862792221979E-3</v>
      </c>
      <c r="D12312" s="2">
        <v>9.8522167487684695E-3</v>
      </c>
      <c r="E12312" s="2">
        <v>1.0587102983638101E-2</v>
      </c>
      <c r="F12312" s="2">
        <v>2.4306761248077701E-3</v>
      </c>
    </row>
    <row r="12313" spans="1:6" x14ac:dyDescent="0.25">
      <c r="A12313" s="1" t="str">
        <f t="shared" si="452"/>
        <v>23104</v>
      </c>
      <c r="B12313" s="1" t="str">
        <f>"76053"</f>
        <v>76053</v>
      </c>
      <c r="C12313" s="2">
        <v>2.18483722962639E-4</v>
      </c>
      <c r="D12313" s="2">
        <v>7.38916256157635E-3</v>
      </c>
      <c r="E12313" s="2">
        <v>2.30991337824831E-2</v>
      </c>
      <c r="F12313" s="2">
        <v>1.6865915968053899E-3</v>
      </c>
    </row>
    <row r="12314" spans="1:6" x14ac:dyDescent="0.25">
      <c r="A12314" s="1" t="str">
        <f t="shared" si="452"/>
        <v>23104</v>
      </c>
      <c r="B12314" s="1" t="str">
        <f>"76014"</f>
        <v>76014</v>
      </c>
      <c r="C12314" s="2">
        <v>0</v>
      </c>
      <c r="D12314" s="2">
        <v>6.1576354679802898E-3</v>
      </c>
      <c r="E12314" s="2">
        <v>7.6997112608277098E-3</v>
      </c>
      <c r="F12314" s="2">
        <v>6.4487325760206296E-4</v>
      </c>
    </row>
    <row r="12315" spans="1:6" x14ac:dyDescent="0.25">
      <c r="A12315" s="1" t="str">
        <f t="shared" si="452"/>
        <v>23104</v>
      </c>
      <c r="B12315" s="1" t="str">
        <f>"76034"</f>
        <v>76034</v>
      </c>
      <c r="C12315" s="2">
        <v>1.03779768407253E-3</v>
      </c>
      <c r="D12315" s="2">
        <v>1.8472906403940802E-2</v>
      </c>
      <c r="E12315" s="2">
        <v>7.6997112608277098E-3</v>
      </c>
      <c r="F12315" s="2">
        <v>2.08343667840666E-3</v>
      </c>
    </row>
    <row r="12316" spans="1:6" x14ac:dyDescent="0.25">
      <c r="A12316" s="1" t="str">
        <f t="shared" si="452"/>
        <v>23104</v>
      </c>
      <c r="B12316" s="1" t="str">
        <f>"76130"</f>
        <v>76130</v>
      </c>
      <c r="C12316" s="2">
        <v>0</v>
      </c>
      <c r="D12316" s="2">
        <v>1.23152709359605E-3</v>
      </c>
      <c r="E12316" s="2">
        <v>0</v>
      </c>
      <c r="F12316" s="2">
        <v>4.9605635200158697E-5</v>
      </c>
    </row>
    <row r="12317" spans="1:6" x14ac:dyDescent="0.25">
      <c r="A12317" s="1" t="str">
        <f t="shared" si="452"/>
        <v>23104</v>
      </c>
      <c r="B12317" s="1" t="str">
        <f>"76071"</f>
        <v>76071</v>
      </c>
      <c r="C12317" s="2">
        <v>0</v>
      </c>
      <c r="D12317" s="2">
        <v>0</v>
      </c>
      <c r="E12317" s="2">
        <v>1.9249278152069201E-3</v>
      </c>
      <c r="F12317" s="2">
        <v>9.9211270400317394E-5</v>
      </c>
    </row>
    <row r="12318" spans="1:6" x14ac:dyDescent="0.25">
      <c r="A12318" s="1" t="str">
        <f t="shared" si="452"/>
        <v>23104</v>
      </c>
      <c r="B12318" s="1" t="str">
        <f>"76426"</f>
        <v>76426</v>
      </c>
      <c r="C12318" s="2">
        <v>6.00830238147258E-4</v>
      </c>
      <c r="D12318" s="2">
        <v>1.23152709359605E-2</v>
      </c>
      <c r="E12318" s="2">
        <v>2.8873917228103901E-3</v>
      </c>
      <c r="F12318" s="2">
        <v>1.1905352448038E-3</v>
      </c>
    </row>
    <row r="12319" spans="1:6" x14ac:dyDescent="0.25">
      <c r="A12319" s="1" t="str">
        <f t="shared" si="452"/>
        <v>23104</v>
      </c>
      <c r="B12319" s="1" t="str">
        <f>"76103"</f>
        <v>76103</v>
      </c>
      <c r="C12319" s="2">
        <v>3.2772558444395798E-4</v>
      </c>
      <c r="D12319" s="2">
        <v>7.38916256157635E-3</v>
      </c>
      <c r="E12319" s="2">
        <v>1.4436958614051899E-2</v>
      </c>
      <c r="F12319" s="2">
        <v>1.33935215040428E-3</v>
      </c>
    </row>
    <row r="12320" spans="1:6" x14ac:dyDescent="0.25">
      <c r="A12320" s="1" t="str">
        <f t="shared" si="452"/>
        <v>23104</v>
      </c>
      <c r="B12320" s="1" t="str">
        <f>"76114"</f>
        <v>76114</v>
      </c>
      <c r="C12320" s="2">
        <v>1.20166047629451E-2</v>
      </c>
      <c r="D12320" s="2">
        <v>1.23152709359605E-3</v>
      </c>
      <c r="E12320" s="2">
        <v>7.6997112608277098E-3</v>
      </c>
      <c r="F12320" s="2">
        <v>1.13596904608363E-2</v>
      </c>
    </row>
    <row r="12321" spans="1:6" x14ac:dyDescent="0.25">
      <c r="A12321" s="1" t="str">
        <f t="shared" si="452"/>
        <v>23104</v>
      </c>
      <c r="B12321" s="1" t="str">
        <f>"76119"</f>
        <v>76119</v>
      </c>
      <c r="C12321" s="2">
        <v>1.23989512781297E-2</v>
      </c>
      <c r="D12321" s="2">
        <v>1.23152709359605E-3</v>
      </c>
      <c r="E12321" s="2">
        <v>5.7747834456207802E-3</v>
      </c>
      <c r="F12321" s="2">
        <v>1.16077186368371E-2</v>
      </c>
    </row>
    <row r="12322" spans="1:6" x14ac:dyDescent="0.25">
      <c r="A12322" s="1" t="str">
        <f t="shared" si="452"/>
        <v>23104</v>
      </c>
      <c r="B12322" s="1" t="str">
        <f>"76110"</f>
        <v>76110</v>
      </c>
      <c r="C12322" s="2">
        <v>7.1007209962857705E-4</v>
      </c>
      <c r="D12322" s="2">
        <v>4.9261083743842296E-3</v>
      </c>
      <c r="E12322" s="2">
        <v>1.7324350336862301E-2</v>
      </c>
      <c r="F12322" s="2">
        <v>1.7361972320055501E-3</v>
      </c>
    </row>
    <row r="12323" spans="1:6" x14ac:dyDescent="0.25">
      <c r="A12323" s="1" t="str">
        <f t="shared" ref="A12323:A12359" si="453">"23104"</f>
        <v>23104</v>
      </c>
      <c r="B12323" s="1" t="str">
        <f>"76164"</f>
        <v>76164</v>
      </c>
      <c r="C12323" s="2">
        <v>1.6386279222197899E-4</v>
      </c>
      <c r="D12323" s="2">
        <v>0</v>
      </c>
      <c r="E12323" s="2">
        <v>1.9249278152069199E-2</v>
      </c>
      <c r="F12323" s="2">
        <v>1.1409296096036501E-3</v>
      </c>
    </row>
    <row r="12324" spans="1:6" x14ac:dyDescent="0.25">
      <c r="A12324" s="1" t="str">
        <f t="shared" si="453"/>
        <v>23104</v>
      </c>
      <c r="B12324" s="1" t="str">
        <f>"76039"</f>
        <v>76039</v>
      </c>
      <c r="C12324" s="2">
        <v>2.1356783919597899E-2</v>
      </c>
      <c r="D12324" s="2">
        <v>2.7093596059113299E-2</v>
      </c>
      <c r="E12324" s="2">
        <v>7.6997112608277098E-3</v>
      </c>
      <c r="F12324" s="2">
        <v>2.0883972419266799E-2</v>
      </c>
    </row>
    <row r="12325" spans="1:6" x14ac:dyDescent="0.25">
      <c r="A12325" s="1" t="str">
        <f t="shared" si="453"/>
        <v>23104</v>
      </c>
      <c r="B12325" s="1" t="str">
        <f>"76179"</f>
        <v>76179</v>
      </c>
      <c r="C12325" s="2">
        <v>5.2108367926589398E-2</v>
      </c>
      <c r="D12325" s="2">
        <v>8.6206896551724102E-3</v>
      </c>
      <c r="E12325" s="2">
        <v>2.6948989412897001E-2</v>
      </c>
      <c r="F12325" s="2">
        <v>4.9059973212956902E-2</v>
      </c>
    </row>
    <row r="12326" spans="1:6" x14ac:dyDescent="0.25">
      <c r="A12326" s="1" t="str">
        <f t="shared" si="453"/>
        <v>23104</v>
      </c>
      <c r="B12326" s="1" t="str">
        <f>"76010"</f>
        <v>76010</v>
      </c>
      <c r="C12326" s="2">
        <v>5.4620930740659798E-5</v>
      </c>
      <c r="D12326" s="2">
        <v>4.3103448275862002E-2</v>
      </c>
      <c r="E12326" s="2">
        <v>1.7324350336862301E-2</v>
      </c>
      <c r="F12326" s="2">
        <v>2.67870430080857E-3</v>
      </c>
    </row>
    <row r="12327" spans="1:6" x14ac:dyDescent="0.25">
      <c r="A12327" s="1" t="str">
        <f t="shared" si="453"/>
        <v>23104</v>
      </c>
      <c r="B12327" s="1" t="str">
        <f>"76123"</f>
        <v>76123</v>
      </c>
      <c r="C12327" s="2">
        <v>5.8662879615468601E-2</v>
      </c>
      <c r="D12327" s="2">
        <v>1.23152709359605E-3</v>
      </c>
      <c r="E12327" s="2">
        <v>9.6246390760346395E-4</v>
      </c>
      <c r="F12327" s="2">
        <v>5.3375663475370802E-2</v>
      </c>
    </row>
    <row r="12328" spans="1:6" x14ac:dyDescent="0.25">
      <c r="A12328" s="1" t="str">
        <f t="shared" si="453"/>
        <v>23104</v>
      </c>
      <c r="B12328" s="1" t="str">
        <f>"76107"</f>
        <v>76107</v>
      </c>
      <c r="C12328" s="2">
        <v>3.0478479353288099E-2</v>
      </c>
      <c r="D12328" s="2">
        <v>5.2955665024630498E-2</v>
      </c>
      <c r="E12328" s="2">
        <v>4.4273339749759298E-2</v>
      </c>
      <c r="F12328" s="2">
        <v>3.2094845974502698E-2</v>
      </c>
    </row>
    <row r="12329" spans="1:6" x14ac:dyDescent="0.25">
      <c r="A12329" s="1" t="str">
        <f t="shared" si="453"/>
        <v>23104</v>
      </c>
      <c r="B12329" s="1" t="str">
        <f>"76137"</f>
        <v>76137</v>
      </c>
      <c r="C12329" s="2">
        <v>5.7406598208433399E-2</v>
      </c>
      <c r="D12329" s="2">
        <v>2.46305418719211E-2</v>
      </c>
      <c r="E12329" s="2">
        <v>5.1010587102983597E-2</v>
      </c>
      <c r="F12329" s="2">
        <v>5.5756733964978399E-2</v>
      </c>
    </row>
    <row r="12330" spans="1:6" x14ac:dyDescent="0.25">
      <c r="A12330" s="1" t="str">
        <f t="shared" si="453"/>
        <v>23104</v>
      </c>
      <c r="B12330" s="1" t="str">
        <f>"76063"</f>
        <v>76063</v>
      </c>
      <c r="C12330" s="2">
        <v>5.10159493117762E-2</v>
      </c>
      <c r="D12330" s="2">
        <v>1.8472906403940802E-2</v>
      </c>
      <c r="E12330" s="2">
        <v>2.40615976900866E-2</v>
      </c>
      <c r="F12330" s="2">
        <v>4.8315888684954601E-2</v>
      </c>
    </row>
    <row r="12331" spans="1:6" x14ac:dyDescent="0.25">
      <c r="A12331" s="1" t="str">
        <f t="shared" si="453"/>
        <v>23104</v>
      </c>
      <c r="B12331" s="1" t="str">
        <f>"76244"</f>
        <v>76244</v>
      </c>
      <c r="C12331" s="2">
        <v>2.1029058335154002E-2</v>
      </c>
      <c r="D12331" s="2">
        <v>6.6502463054187097E-2</v>
      </c>
      <c r="E12331" s="2">
        <v>3.0798845043310801E-2</v>
      </c>
      <c r="F12331" s="2">
        <v>2.33642541792747E-2</v>
      </c>
    </row>
    <row r="12332" spans="1:6" x14ac:dyDescent="0.25">
      <c r="A12332" s="1" t="str">
        <f t="shared" si="453"/>
        <v>23104</v>
      </c>
      <c r="B12332" s="1" t="str">
        <f>"76126"</f>
        <v>76126</v>
      </c>
      <c r="C12332" s="2">
        <v>1.47476512999781E-2</v>
      </c>
      <c r="D12332" s="2">
        <v>3.6945812807881698E-3</v>
      </c>
      <c r="E12332" s="2">
        <v>1.0587102983638101E-2</v>
      </c>
      <c r="F12332" s="2">
        <v>1.4088000396844999E-2</v>
      </c>
    </row>
    <row r="12333" spans="1:6" x14ac:dyDescent="0.25">
      <c r="A12333" s="1" t="str">
        <f t="shared" si="453"/>
        <v>23104</v>
      </c>
      <c r="B12333" s="1" t="str">
        <f>"76085"</f>
        <v>76085</v>
      </c>
      <c r="C12333" s="2">
        <v>3.55036049814288E-3</v>
      </c>
      <c r="D12333" s="2">
        <v>0</v>
      </c>
      <c r="E12333" s="2">
        <v>9.6246390760346395E-4</v>
      </c>
      <c r="F12333" s="2">
        <v>3.27397192321047E-3</v>
      </c>
    </row>
    <row r="12334" spans="1:6" x14ac:dyDescent="0.25">
      <c r="A12334" s="1" t="str">
        <f t="shared" si="453"/>
        <v>23104</v>
      </c>
      <c r="B12334" s="1" t="str">
        <f>"76102"</f>
        <v>76102</v>
      </c>
      <c r="C12334" s="2">
        <v>5.9973781953244397E-2</v>
      </c>
      <c r="D12334" s="2">
        <v>6.4039408866994996E-2</v>
      </c>
      <c r="E12334" s="2">
        <v>3.1761308950914301E-2</v>
      </c>
      <c r="F12334" s="2">
        <v>5.86834664417877E-2</v>
      </c>
    </row>
    <row r="12335" spans="1:6" x14ac:dyDescent="0.25">
      <c r="A12335" s="1" t="str">
        <f t="shared" si="453"/>
        <v>23104</v>
      </c>
      <c r="B12335" s="1" t="str">
        <f>"76431"</f>
        <v>76431</v>
      </c>
      <c r="C12335" s="2">
        <v>1.03779768407253E-3</v>
      </c>
      <c r="D12335" s="2">
        <v>0</v>
      </c>
      <c r="E12335" s="2">
        <v>3.8498556304138501E-3</v>
      </c>
      <c r="F12335" s="2">
        <v>1.1409296096036501E-3</v>
      </c>
    </row>
    <row r="12336" spans="1:6" x14ac:dyDescent="0.25">
      <c r="A12336" s="1" t="str">
        <f t="shared" si="453"/>
        <v>23104</v>
      </c>
      <c r="B12336" s="1" t="str">
        <f>"76234"</f>
        <v>76234</v>
      </c>
      <c r="C12336" s="2">
        <v>9.0670745029495306E-3</v>
      </c>
      <c r="D12336" s="2">
        <v>9.8522167487684695E-3</v>
      </c>
      <c r="E12336" s="2">
        <v>1.34744947064485E-2</v>
      </c>
      <c r="F12336" s="2">
        <v>9.3258594176298393E-3</v>
      </c>
    </row>
    <row r="12337" spans="1:6" x14ac:dyDescent="0.25">
      <c r="A12337" s="1" t="str">
        <f t="shared" si="453"/>
        <v>23104</v>
      </c>
      <c r="B12337" s="1" t="str">
        <f>"76051"</f>
        <v>76051</v>
      </c>
      <c r="C12337" s="2">
        <v>2.56718374481101E-3</v>
      </c>
      <c r="D12337" s="2">
        <v>6.1576354679802898E-3</v>
      </c>
      <c r="E12337" s="2">
        <v>3.65736284889316E-2</v>
      </c>
      <c r="F12337" s="2">
        <v>4.4645071680142799E-3</v>
      </c>
    </row>
    <row r="12338" spans="1:6" x14ac:dyDescent="0.25">
      <c r="A12338" s="1" t="str">
        <f t="shared" si="453"/>
        <v>23104</v>
      </c>
      <c r="B12338" s="1" t="str">
        <f>"76087"</f>
        <v>76087</v>
      </c>
      <c r="C12338" s="2">
        <v>5.1889884203626798E-3</v>
      </c>
      <c r="D12338" s="2">
        <v>5.2955665024630498E-2</v>
      </c>
      <c r="E12338" s="2">
        <v>1.7324350336862301E-2</v>
      </c>
      <c r="F12338" s="2">
        <v>7.7384790912247599E-3</v>
      </c>
    </row>
    <row r="12339" spans="1:6" x14ac:dyDescent="0.25">
      <c r="A12339" s="1" t="str">
        <f t="shared" si="453"/>
        <v>23104</v>
      </c>
      <c r="B12339" s="1" t="str">
        <f>"76017"</f>
        <v>76017</v>
      </c>
      <c r="C12339" s="2">
        <v>0</v>
      </c>
      <c r="D12339" s="2">
        <v>2.3399014778325102E-2</v>
      </c>
      <c r="E12339" s="2">
        <v>1.4436958614051899E-2</v>
      </c>
      <c r="F12339" s="2">
        <v>1.6865915968053899E-3</v>
      </c>
    </row>
    <row r="12340" spans="1:6" x14ac:dyDescent="0.25">
      <c r="A12340" s="1" t="str">
        <f t="shared" si="453"/>
        <v>23104</v>
      </c>
      <c r="B12340" s="1" t="str">
        <f>"76028"</f>
        <v>76028</v>
      </c>
      <c r="C12340" s="2">
        <v>3.7196853834389303E-2</v>
      </c>
      <c r="D12340" s="2">
        <v>2.2167487684728999E-2</v>
      </c>
      <c r="E12340" s="2">
        <v>1.7324350336862301E-2</v>
      </c>
      <c r="F12340" s="2">
        <v>3.5567240438513802E-2</v>
      </c>
    </row>
    <row r="12341" spans="1:6" x14ac:dyDescent="0.25">
      <c r="A12341" s="1" t="str">
        <f t="shared" si="453"/>
        <v>23104</v>
      </c>
      <c r="B12341" s="1" t="str">
        <f>"76120"</f>
        <v>76120</v>
      </c>
      <c r="C12341" s="2">
        <v>0</v>
      </c>
      <c r="D12341" s="2">
        <v>1.23152709359605E-3</v>
      </c>
      <c r="E12341" s="2">
        <v>3.8498556304138501E-3</v>
      </c>
      <c r="F12341" s="2">
        <v>2.48028176000793E-4</v>
      </c>
    </row>
    <row r="12342" spans="1:6" x14ac:dyDescent="0.25">
      <c r="A12342" s="1" t="str">
        <f t="shared" si="453"/>
        <v>23104</v>
      </c>
      <c r="B12342" s="1" t="str">
        <f>"76093"</f>
        <v>76093</v>
      </c>
      <c r="C12342" s="2">
        <v>5.4620930740659798E-4</v>
      </c>
      <c r="D12342" s="2">
        <v>1.23152709359605E-3</v>
      </c>
      <c r="E12342" s="2">
        <v>1.9249278152069201E-3</v>
      </c>
      <c r="F12342" s="2">
        <v>6.4487325760206296E-4</v>
      </c>
    </row>
    <row r="12343" spans="1:6" x14ac:dyDescent="0.25">
      <c r="A12343" s="1" t="str">
        <f t="shared" si="453"/>
        <v>23104</v>
      </c>
      <c r="B12343" s="1" t="str">
        <f>"76015"</f>
        <v>76015</v>
      </c>
      <c r="C12343" s="2">
        <v>1.52938606073847E-3</v>
      </c>
      <c r="D12343" s="2">
        <v>1.23152709359605E-3</v>
      </c>
      <c r="E12343" s="2">
        <v>4.8123195380173197E-3</v>
      </c>
      <c r="F12343" s="2">
        <v>1.6865915968053899E-3</v>
      </c>
    </row>
    <row r="12344" spans="1:6" x14ac:dyDescent="0.25">
      <c r="A12344" s="1" t="str">
        <f t="shared" si="453"/>
        <v>23104</v>
      </c>
      <c r="B12344" s="1" t="str">
        <f>"76059"</f>
        <v>76059</v>
      </c>
      <c r="C12344" s="2">
        <v>5.4620930740659798E-5</v>
      </c>
      <c r="D12344" s="2">
        <v>0</v>
      </c>
      <c r="E12344" s="2">
        <v>3.8498556304138501E-3</v>
      </c>
      <c r="F12344" s="2">
        <v>2.48028176000793E-4</v>
      </c>
    </row>
    <row r="12345" spans="1:6" x14ac:dyDescent="0.25">
      <c r="A12345" s="1" t="str">
        <f t="shared" si="453"/>
        <v>23104</v>
      </c>
      <c r="B12345" s="1" t="str">
        <f>"76054"</f>
        <v>76054</v>
      </c>
      <c r="C12345" s="2">
        <v>0</v>
      </c>
      <c r="D12345" s="2">
        <v>1.23152709359605E-2</v>
      </c>
      <c r="E12345" s="2">
        <v>6.7372473532242502E-3</v>
      </c>
      <c r="F12345" s="2">
        <v>8.4329579840269799E-4</v>
      </c>
    </row>
    <row r="12346" spans="1:6" x14ac:dyDescent="0.25">
      <c r="A12346" s="1" t="str">
        <f t="shared" si="453"/>
        <v>23104</v>
      </c>
      <c r="B12346" s="1" t="str">
        <f>"76180"</f>
        <v>76180</v>
      </c>
      <c r="C12346" s="2">
        <v>2.12475420581166E-2</v>
      </c>
      <c r="D12346" s="2">
        <v>1.1083743842364499E-2</v>
      </c>
      <c r="E12346" s="2">
        <v>7.6997112608277098E-3</v>
      </c>
      <c r="F12346" s="2">
        <v>2.0139887891264401E-2</v>
      </c>
    </row>
    <row r="12347" spans="1:6" x14ac:dyDescent="0.25">
      <c r="A12347" s="1" t="str">
        <f t="shared" si="453"/>
        <v>23104</v>
      </c>
      <c r="B12347" s="1" t="str">
        <f>"76161"</f>
        <v>76161</v>
      </c>
      <c r="C12347" s="2">
        <v>1.03233559099847E-2</v>
      </c>
      <c r="D12347" s="2">
        <v>1.9704433497536901E-2</v>
      </c>
      <c r="E12347" s="2">
        <v>1.9249278152069201E-3</v>
      </c>
      <c r="F12347" s="2">
        <v>1.02683664864328E-2</v>
      </c>
    </row>
    <row r="12348" spans="1:6" x14ac:dyDescent="0.25">
      <c r="A12348" s="1" t="str">
        <f t="shared" si="453"/>
        <v>23104</v>
      </c>
      <c r="B12348" s="1" t="str">
        <f>"76020"</f>
        <v>76020</v>
      </c>
      <c r="C12348" s="2">
        <v>2.7802053746995799E-2</v>
      </c>
      <c r="D12348" s="2">
        <v>2.3399014778325102E-2</v>
      </c>
      <c r="E12348" s="2">
        <v>1.4436958614051899E-2</v>
      </c>
      <c r="F12348" s="2">
        <v>2.6935859913686098E-2</v>
      </c>
    </row>
    <row r="12349" spans="1:6" x14ac:dyDescent="0.25">
      <c r="A12349" s="1" t="str">
        <f t="shared" si="453"/>
        <v>23104</v>
      </c>
      <c r="B12349" s="1" t="str">
        <f>"76067"</f>
        <v>76067</v>
      </c>
      <c r="C12349" s="2">
        <v>5.4620930740659798E-5</v>
      </c>
      <c r="D12349" s="2">
        <v>0</v>
      </c>
      <c r="E12349" s="2">
        <v>0</v>
      </c>
      <c r="F12349" s="2">
        <v>4.9605635200158697E-5</v>
      </c>
    </row>
    <row r="12350" spans="1:6" x14ac:dyDescent="0.25">
      <c r="A12350" s="1" t="str">
        <f t="shared" si="453"/>
        <v>23104</v>
      </c>
      <c r="B12350" s="1" t="str">
        <f>"76262"</f>
        <v>76262</v>
      </c>
      <c r="C12350" s="2">
        <v>0</v>
      </c>
      <c r="D12350" s="2">
        <v>2.46305418719211E-3</v>
      </c>
      <c r="E12350" s="2">
        <v>0</v>
      </c>
      <c r="F12350" s="2">
        <v>9.9211270400317394E-5</v>
      </c>
    </row>
    <row r="12351" spans="1:6" x14ac:dyDescent="0.25">
      <c r="A12351" s="1" t="str">
        <f t="shared" si="453"/>
        <v>23104</v>
      </c>
      <c r="B12351" s="1" t="str">
        <f>"76066"</f>
        <v>76066</v>
      </c>
      <c r="C12351" s="2">
        <v>4.9158837666593797E-4</v>
      </c>
      <c r="D12351" s="2">
        <v>0</v>
      </c>
      <c r="E12351" s="2">
        <v>0</v>
      </c>
      <c r="F12351" s="2">
        <v>4.4645071680142798E-4</v>
      </c>
    </row>
    <row r="12352" spans="1:6" x14ac:dyDescent="0.25">
      <c r="A12352" s="1" t="str">
        <f t="shared" si="453"/>
        <v>23104</v>
      </c>
      <c r="B12352" s="1" t="str">
        <f>"76019"</f>
        <v>76019</v>
      </c>
      <c r="C12352" s="2">
        <v>0</v>
      </c>
      <c r="D12352" s="2">
        <v>0</v>
      </c>
      <c r="E12352" s="2">
        <v>9.6246390760346395E-4</v>
      </c>
      <c r="F12352" s="2">
        <v>4.9605635200158697E-5</v>
      </c>
    </row>
    <row r="12353" spans="1:6" x14ac:dyDescent="0.25">
      <c r="A12353" s="1" t="str">
        <f t="shared" si="453"/>
        <v>23104</v>
      </c>
      <c r="B12353" s="1" t="str">
        <f>"76111"</f>
        <v>76111</v>
      </c>
      <c r="C12353" s="2">
        <v>1.39829582696089E-2</v>
      </c>
      <c r="D12353" s="2">
        <v>6.1576354679802898E-3</v>
      </c>
      <c r="E12353" s="2">
        <v>2.79114533205004E-2</v>
      </c>
      <c r="F12353" s="2">
        <v>1.4385634208046E-2</v>
      </c>
    </row>
    <row r="12354" spans="1:6" x14ac:dyDescent="0.25">
      <c r="A12354" s="1" t="str">
        <f t="shared" si="453"/>
        <v>23104</v>
      </c>
      <c r="B12354" s="1" t="str">
        <f>"76140"</f>
        <v>76140</v>
      </c>
      <c r="C12354" s="2">
        <v>0</v>
      </c>
      <c r="D12354" s="2">
        <v>1.23152709359605E-3</v>
      </c>
      <c r="E12354" s="2">
        <v>1.82868142444658E-2</v>
      </c>
      <c r="F12354" s="2">
        <v>9.9211270400317397E-4</v>
      </c>
    </row>
    <row r="12355" spans="1:6" x14ac:dyDescent="0.25">
      <c r="A12355" s="1" t="str">
        <f t="shared" si="453"/>
        <v>23104</v>
      </c>
      <c r="B12355" s="1" t="str">
        <f>"76134"</f>
        <v>76134</v>
      </c>
      <c r="C12355" s="2">
        <v>0</v>
      </c>
      <c r="D12355" s="2">
        <v>3.6945812807881698E-3</v>
      </c>
      <c r="E12355" s="2">
        <v>3.8498556304138501E-3</v>
      </c>
      <c r="F12355" s="2">
        <v>3.4723944640111101E-4</v>
      </c>
    </row>
    <row r="12356" spans="1:6" x14ac:dyDescent="0.25">
      <c r="A12356" s="1" t="str">
        <f t="shared" si="453"/>
        <v>23104</v>
      </c>
      <c r="B12356" s="1" t="str">
        <f>"76058"</f>
        <v>76058</v>
      </c>
      <c r="C12356" s="2">
        <v>5.7351977277692798E-3</v>
      </c>
      <c r="D12356" s="2">
        <v>6.1576354679802898E-3</v>
      </c>
      <c r="E12356" s="2">
        <v>4.8123195380173197E-3</v>
      </c>
      <c r="F12356" s="2">
        <v>5.7046480480182496E-3</v>
      </c>
    </row>
    <row r="12357" spans="1:6" x14ac:dyDescent="0.25">
      <c r="A12357" s="1" t="str">
        <f t="shared" si="453"/>
        <v>23104</v>
      </c>
      <c r="B12357" s="1" t="str">
        <f>"76050"</f>
        <v>76050</v>
      </c>
      <c r="C12357" s="2">
        <v>1.52938606073847E-3</v>
      </c>
      <c r="D12357" s="2">
        <v>0</v>
      </c>
      <c r="E12357" s="2">
        <v>3.8498556304138501E-3</v>
      </c>
      <c r="F12357" s="2">
        <v>1.5873803264050701E-3</v>
      </c>
    </row>
    <row r="12358" spans="1:6" x14ac:dyDescent="0.25">
      <c r="A12358" s="1" t="str">
        <f t="shared" si="453"/>
        <v>23104</v>
      </c>
      <c r="B12358" s="1" t="str">
        <f>"76060"</f>
        <v>76060</v>
      </c>
      <c r="C12358" s="2">
        <v>5.4620930740659798E-4</v>
      </c>
      <c r="D12358" s="2">
        <v>4.9261083743842296E-3</v>
      </c>
      <c r="E12358" s="2">
        <v>3.8498556304138501E-3</v>
      </c>
      <c r="F12358" s="2">
        <v>8.9290143360285705E-4</v>
      </c>
    </row>
    <row r="12359" spans="1:6" x14ac:dyDescent="0.25">
      <c r="A12359" s="1" t="str">
        <f t="shared" si="453"/>
        <v>23104</v>
      </c>
      <c r="B12359" s="1" t="str">
        <f>"76109"</f>
        <v>76109</v>
      </c>
      <c r="C12359" s="2">
        <v>2.0209744374044099E-2</v>
      </c>
      <c r="D12359" s="2">
        <v>4.3103448275862002E-2</v>
      </c>
      <c r="E12359" s="2">
        <v>2.1174205967276202E-2</v>
      </c>
      <c r="F12359" s="2">
        <v>2.1181606230467699E-2</v>
      </c>
    </row>
    <row r="12360" spans="1:6" x14ac:dyDescent="0.25">
      <c r="A12360" s="1" t="str">
        <f t="shared" ref="A12360:A12374" si="454">"23140"</f>
        <v>23140</v>
      </c>
      <c r="B12360" s="1" t="str">
        <f>"47905"</f>
        <v>47905</v>
      </c>
      <c r="C12360" s="2">
        <v>2.8766630708378202E-4</v>
      </c>
      <c r="D12360" s="2">
        <v>0</v>
      </c>
      <c r="E12360" s="2">
        <v>0</v>
      </c>
      <c r="F12360" s="2">
        <v>2.5874894883239497E-4</v>
      </c>
    </row>
    <row r="12361" spans="1:6" x14ac:dyDescent="0.25">
      <c r="A12361" s="1" t="str">
        <f t="shared" si="454"/>
        <v>23140</v>
      </c>
      <c r="B12361" s="1" t="str">
        <f>"46067"</f>
        <v>46067</v>
      </c>
      <c r="C12361" s="2">
        <v>7.1916576770945695E-5</v>
      </c>
      <c r="D12361" s="2">
        <v>0</v>
      </c>
      <c r="E12361" s="2">
        <v>5.1546391752577301E-3</v>
      </c>
      <c r="F12361" s="2">
        <v>2.5874894883239497E-4</v>
      </c>
    </row>
    <row r="12362" spans="1:6" x14ac:dyDescent="0.25">
      <c r="A12362" s="1" t="str">
        <f t="shared" si="454"/>
        <v>23140</v>
      </c>
      <c r="B12362" s="1" t="str">
        <f>"46071"</f>
        <v>46071</v>
      </c>
      <c r="C12362" s="2">
        <v>2.15749730312837E-4</v>
      </c>
      <c r="D12362" s="2">
        <v>0</v>
      </c>
      <c r="E12362" s="2">
        <v>0</v>
      </c>
      <c r="F12362" s="2">
        <v>1.9406171162429599E-4</v>
      </c>
    </row>
    <row r="12363" spans="1:6" x14ac:dyDescent="0.25">
      <c r="A12363" s="1" t="str">
        <f t="shared" si="454"/>
        <v>23140</v>
      </c>
      <c r="B12363" s="1" t="str">
        <f>"46057"</f>
        <v>46057</v>
      </c>
      <c r="C12363" s="2">
        <v>2.60338007910823E-2</v>
      </c>
      <c r="D12363" s="2">
        <v>1.33744855967078E-2</v>
      </c>
      <c r="E12363" s="2">
        <v>2.2336769759450099E-2</v>
      </c>
      <c r="F12363" s="2">
        <v>2.5098648036742301E-2</v>
      </c>
    </row>
    <row r="12364" spans="1:6" x14ac:dyDescent="0.25">
      <c r="A12364" s="1" t="str">
        <f t="shared" si="454"/>
        <v>23140</v>
      </c>
      <c r="B12364" s="1" t="str">
        <f>"46041"</f>
        <v>46041</v>
      </c>
      <c r="C12364" s="2">
        <v>0.72621359223300896</v>
      </c>
      <c r="D12364" s="2">
        <v>0.90226337448559601</v>
      </c>
      <c r="E12364" s="2">
        <v>0.58419243986254199</v>
      </c>
      <c r="F12364" s="2">
        <v>0.73193608900963802</v>
      </c>
    </row>
    <row r="12365" spans="1:6" x14ac:dyDescent="0.25">
      <c r="A12365" s="1" t="str">
        <f t="shared" si="454"/>
        <v>23140</v>
      </c>
      <c r="B12365" s="1" t="str">
        <f>"46065"</f>
        <v>46065</v>
      </c>
      <c r="C12365" s="2">
        <v>8.3567062207838896E-2</v>
      </c>
      <c r="D12365" s="2">
        <v>3.4979423868312702E-2</v>
      </c>
      <c r="E12365" s="2">
        <v>0.35738831615120198</v>
      </c>
      <c r="F12365" s="2">
        <v>9.0820881040170706E-2</v>
      </c>
    </row>
    <row r="12366" spans="1:6" x14ac:dyDescent="0.25">
      <c r="A12366" s="1" t="str">
        <f t="shared" si="454"/>
        <v>23140</v>
      </c>
      <c r="B12366" s="1" t="str">
        <f>"46058"</f>
        <v>46058</v>
      </c>
      <c r="C12366" s="2">
        <v>6.5300251708018606E-2</v>
      </c>
      <c r="D12366" s="2">
        <v>1.33744855967078E-2</v>
      </c>
      <c r="E12366" s="2">
        <v>1.03092783505154E-2</v>
      </c>
      <c r="F12366" s="2">
        <v>5.99650688919076E-2</v>
      </c>
    </row>
    <row r="12367" spans="1:6" x14ac:dyDescent="0.25">
      <c r="A12367" s="1" t="str">
        <f t="shared" si="454"/>
        <v>23140</v>
      </c>
      <c r="B12367" s="1" t="str">
        <f>"46039"</f>
        <v>46039</v>
      </c>
      <c r="C12367" s="2">
        <v>2.2509888529306001E-2</v>
      </c>
      <c r="D12367" s="2">
        <v>4.1152263374485496E-3</v>
      </c>
      <c r="E12367" s="2">
        <v>6.8728522336769697E-3</v>
      </c>
      <c r="F12367" s="2">
        <v>2.0764603143799701E-2</v>
      </c>
    </row>
    <row r="12368" spans="1:6" x14ac:dyDescent="0.25">
      <c r="A12368" s="1" t="str">
        <f t="shared" si="454"/>
        <v>23140</v>
      </c>
      <c r="B12368" s="1" t="str">
        <f>"46920"</f>
        <v>46920</v>
      </c>
      <c r="C12368" s="2">
        <v>7.1916576770945695E-5</v>
      </c>
      <c r="D12368" s="2">
        <v>0</v>
      </c>
      <c r="E12368" s="2">
        <v>0</v>
      </c>
      <c r="F12368" s="2">
        <v>6.4687237208098798E-5</v>
      </c>
    </row>
    <row r="12369" spans="1:6" x14ac:dyDescent="0.25">
      <c r="A12369" s="1" t="str">
        <f t="shared" si="454"/>
        <v>23140</v>
      </c>
      <c r="B12369" s="1" t="str">
        <f>"47930"</f>
        <v>47930</v>
      </c>
      <c r="C12369" s="2">
        <v>1.2944983818770201E-3</v>
      </c>
      <c r="D12369" s="2">
        <v>0</v>
      </c>
      <c r="E12369" s="2">
        <v>0</v>
      </c>
      <c r="F12369" s="2">
        <v>1.1643702697457701E-3</v>
      </c>
    </row>
    <row r="12370" spans="1:6" x14ac:dyDescent="0.25">
      <c r="A12370" s="1" t="str">
        <f t="shared" si="454"/>
        <v>23140</v>
      </c>
      <c r="B12370" s="1" t="str">
        <f>"46979"</f>
        <v>46979</v>
      </c>
      <c r="C12370" s="2">
        <v>3.5239122617763299E-3</v>
      </c>
      <c r="D12370" s="2">
        <v>2.05761316872427E-3</v>
      </c>
      <c r="E12370" s="2">
        <v>0</v>
      </c>
      <c r="F12370" s="2">
        <v>3.2990490976130401E-3</v>
      </c>
    </row>
    <row r="12371" spans="1:6" x14ac:dyDescent="0.25">
      <c r="A12371" s="1" t="str">
        <f t="shared" si="454"/>
        <v>23140</v>
      </c>
      <c r="B12371" s="1" t="str">
        <f>"46069"</f>
        <v>46069</v>
      </c>
      <c r="C12371" s="2">
        <v>4.0273282991729496E-3</v>
      </c>
      <c r="D12371" s="2">
        <v>0</v>
      </c>
      <c r="E12371" s="2">
        <v>0</v>
      </c>
      <c r="F12371" s="2">
        <v>3.6224852836535299E-3</v>
      </c>
    </row>
    <row r="12372" spans="1:6" x14ac:dyDescent="0.25">
      <c r="A12372" s="1" t="str">
        <f t="shared" si="454"/>
        <v>23140</v>
      </c>
      <c r="B12372" s="1" t="str">
        <f>"46035"</f>
        <v>46035</v>
      </c>
      <c r="C12372" s="2">
        <v>2.8263214670981598E-2</v>
      </c>
      <c r="D12372" s="2">
        <v>8.2304526748971096E-3</v>
      </c>
      <c r="E12372" s="2">
        <v>1.7182130584192401E-3</v>
      </c>
      <c r="F12372" s="2">
        <v>2.60042693576557E-2</v>
      </c>
    </row>
    <row r="12373" spans="1:6" x14ac:dyDescent="0.25">
      <c r="A12373" s="1" t="str">
        <f t="shared" si="454"/>
        <v>23140</v>
      </c>
      <c r="B12373" s="1" t="str">
        <f>"46049"</f>
        <v>46049</v>
      </c>
      <c r="C12373" s="2">
        <v>8.6299892125134801E-4</v>
      </c>
      <c r="D12373" s="2">
        <v>0</v>
      </c>
      <c r="E12373" s="2">
        <v>0</v>
      </c>
      <c r="F12373" s="2">
        <v>7.7624684649718601E-4</v>
      </c>
    </row>
    <row r="12374" spans="1:6" x14ac:dyDescent="0.25">
      <c r="A12374" s="1" t="str">
        <f t="shared" si="454"/>
        <v>23140</v>
      </c>
      <c r="B12374" s="1" t="str">
        <f>"46050"</f>
        <v>46050</v>
      </c>
      <c r="C12374" s="2">
        <v>3.7756202804746397E-2</v>
      </c>
      <c r="D12374" s="2">
        <v>2.1604938271604899E-2</v>
      </c>
      <c r="E12374" s="2">
        <v>1.20274914089347E-2</v>
      </c>
      <c r="F12374" s="2">
        <v>3.57720421760786E-2</v>
      </c>
    </row>
    <row r="12375" spans="1:6" x14ac:dyDescent="0.25">
      <c r="A12375" s="1" t="str">
        <f t="shared" ref="A12375:A12387" si="455">"23180"</f>
        <v>23180</v>
      </c>
      <c r="B12375" s="1" t="str">
        <f>"40379"</f>
        <v>40379</v>
      </c>
      <c r="C12375" s="2">
        <v>1.3790285509985101E-3</v>
      </c>
      <c r="D12375" s="2">
        <v>2.5081514923501301E-4</v>
      </c>
      <c r="E12375" s="2">
        <v>0</v>
      </c>
      <c r="F12375" s="2">
        <v>1.23260348266511E-3</v>
      </c>
    </row>
    <row r="12376" spans="1:6" x14ac:dyDescent="0.25">
      <c r="A12376" s="1" t="str">
        <f t="shared" si="455"/>
        <v>23180</v>
      </c>
      <c r="B12376" s="1" t="str">
        <f>"40372"</f>
        <v>40372</v>
      </c>
      <c r="C12376" s="2">
        <v>9.9596506461004097E-4</v>
      </c>
      <c r="D12376" s="2">
        <v>2.5081514923501301E-4</v>
      </c>
      <c r="E12376" s="2">
        <v>0</v>
      </c>
      <c r="F12376" s="2">
        <v>8.9643889648371804E-4</v>
      </c>
    </row>
    <row r="12377" spans="1:6" x14ac:dyDescent="0.25">
      <c r="A12377" s="1" t="str">
        <f t="shared" si="455"/>
        <v>23180</v>
      </c>
      <c r="B12377" s="1" t="str">
        <f>"40012"</f>
        <v>40012</v>
      </c>
      <c r="C12377" s="2">
        <v>8.9381480157311403E-4</v>
      </c>
      <c r="D12377" s="2">
        <v>0</v>
      </c>
      <c r="E12377" s="2">
        <v>0</v>
      </c>
      <c r="F12377" s="2">
        <v>7.8438403442325304E-4</v>
      </c>
    </row>
    <row r="12378" spans="1:6" x14ac:dyDescent="0.25">
      <c r="A12378" s="1" t="str">
        <f t="shared" si="455"/>
        <v>23180</v>
      </c>
      <c r="B12378" s="1" t="str">
        <f>"40347"</f>
        <v>40347</v>
      </c>
      <c r="C12378" s="2">
        <v>1.71101690586853E-3</v>
      </c>
      <c r="D12378" s="2">
        <v>1.0032605969400501E-3</v>
      </c>
      <c r="E12378" s="2">
        <v>6.7750677506775003E-4</v>
      </c>
      <c r="F12378" s="2">
        <v>1.61359001367069E-3</v>
      </c>
    </row>
    <row r="12379" spans="1:6" x14ac:dyDescent="0.25">
      <c r="A12379" s="1" t="str">
        <f t="shared" si="455"/>
        <v>23180</v>
      </c>
      <c r="B12379" s="1" t="str">
        <f>"40601"</f>
        <v>40601</v>
      </c>
      <c r="C12379" s="2">
        <v>0.64592165074825003</v>
      </c>
      <c r="D12379" s="2">
        <v>0.65763732129420605</v>
      </c>
      <c r="E12379" s="2">
        <v>0.87737127371273704</v>
      </c>
      <c r="F12379" s="2">
        <v>0.65462450415723505</v>
      </c>
    </row>
    <row r="12380" spans="1:6" x14ac:dyDescent="0.25">
      <c r="A12380" s="1" t="str">
        <f t="shared" si="455"/>
        <v>23180</v>
      </c>
      <c r="B12380" s="1" t="str">
        <f>"40046"</f>
        <v>40046</v>
      </c>
      <c r="C12380" s="2">
        <v>3.4220338117370601E-3</v>
      </c>
      <c r="D12380" s="2">
        <v>5.0163029847002699E-4</v>
      </c>
      <c r="E12380" s="2">
        <v>2.7100271002710001E-3</v>
      </c>
      <c r="F12380" s="2">
        <v>3.13753613769301E-3</v>
      </c>
    </row>
    <row r="12381" spans="1:6" x14ac:dyDescent="0.25">
      <c r="A12381" s="1" t="str">
        <f t="shared" si="455"/>
        <v>23180</v>
      </c>
      <c r="B12381" s="1" t="str">
        <f>"40003"</f>
        <v>40003</v>
      </c>
      <c r="C12381" s="2">
        <v>1.73655447162776E-3</v>
      </c>
      <c r="D12381" s="2">
        <v>2.5081514923501301E-4</v>
      </c>
      <c r="E12381" s="2">
        <v>1.3550135501355001E-3</v>
      </c>
      <c r="F12381" s="2">
        <v>1.5911790412585999E-3</v>
      </c>
    </row>
    <row r="12382" spans="1:6" x14ac:dyDescent="0.25">
      <c r="A12382" s="1" t="str">
        <f t="shared" si="455"/>
        <v>23180</v>
      </c>
      <c r="B12382" s="1" t="str">
        <f>"40342"</f>
        <v>40342</v>
      </c>
      <c r="C12382" s="2">
        <v>0.28032585933908699</v>
      </c>
      <c r="D12382" s="2">
        <v>0.21193880110358601</v>
      </c>
      <c r="E12382" s="2">
        <v>0.112466124661246</v>
      </c>
      <c r="F12382" s="2">
        <v>0.26866273727617002</v>
      </c>
    </row>
    <row r="12383" spans="1:6" x14ac:dyDescent="0.25">
      <c r="A12383" s="1" t="str">
        <f t="shared" si="455"/>
        <v>23180</v>
      </c>
      <c r="B12383" s="1" t="str">
        <f>"40078"</f>
        <v>40078</v>
      </c>
      <c r="C12383" s="2">
        <v>2.5537565759231801E-5</v>
      </c>
      <c r="D12383" s="2">
        <v>0</v>
      </c>
      <c r="E12383" s="2">
        <v>0</v>
      </c>
      <c r="F12383" s="2">
        <v>2.2410972412092899E-5</v>
      </c>
    </row>
    <row r="12384" spans="1:6" x14ac:dyDescent="0.25">
      <c r="A12384" s="1" t="str">
        <f t="shared" si="455"/>
        <v>23180</v>
      </c>
      <c r="B12384" s="1" t="str">
        <f>"40621"</f>
        <v>40621</v>
      </c>
      <c r="C12384" s="2">
        <v>0</v>
      </c>
      <c r="D12384" s="2">
        <v>0</v>
      </c>
      <c r="E12384" s="2">
        <v>6.7750677506775003E-4</v>
      </c>
      <c r="F12384" s="2">
        <v>2.2410972412092899E-5</v>
      </c>
    </row>
    <row r="12385" spans="1:6" x14ac:dyDescent="0.25">
      <c r="A12385" s="1" t="str">
        <f t="shared" si="455"/>
        <v>23180</v>
      </c>
      <c r="B12385" s="1" t="str">
        <f>"40076"</f>
        <v>40076</v>
      </c>
      <c r="C12385" s="2">
        <v>3.57525920629245E-3</v>
      </c>
      <c r="D12385" s="2">
        <v>2.5081514923501301E-4</v>
      </c>
      <c r="E12385" s="2">
        <v>2.0325203252032501E-3</v>
      </c>
      <c r="F12385" s="2">
        <v>3.2271800273413801E-3</v>
      </c>
    </row>
    <row r="12386" spans="1:6" x14ac:dyDescent="0.25">
      <c r="A12386" s="1" t="str">
        <f t="shared" si="455"/>
        <v>23180</v>
      </c>
      <c r="B12386" s="1" t="str">
        <f>"40602"</f>
        <v>40602</v>
      </c>
      <c r="C12386" s="2">
        <v>4.1089943306604003E-2</v>
      </c>
      <c r="D12386" s="2">
        <v>9.05442688738399E-2</v>
      </c>
      <c r="E12386" s="2">
        <v>1.3550135501355001E-3</v>
      </c>
      <c r="F12386" s="2">
        <v>4.4194437596647297E-2</v>
      </c>
    </row>
    <row r="12387" spans="1:6" x14ac:dyDescent="0.25">
      <c r="A12387" s="1" t="str">
        <f t="shared" si="455"/>
        <v>23180</v>
      </c>
      <c r="B12387" s="1" t="str">
        <f>"40604"</f>
        <v>40604</v>
      </c>
      <c r="C12387" s="2">
        <v>1.8923336227590699E-2</v>
      </c>
      <c r="D12387" s="2">
        <v>3.7371457236017001E-2</v>
      </c>
      <c r="E12387" s="2">
        <v>1.3550135501355001E-3</v>
      </c>
      <c r="F12387" s="2">
        <v>1.9990587391586899E-2</v>
      </c>
    </row>
    <row r="12388" spans="1:6" x14ac:dyDescent="0.25">
      <c r="A12388" s="1" t="str">
        <f t="shared" ref="A12388:A12419" si="456">"23224"</f>
        <v>23224</v>
      </c>
      <c r="B12388" s="1" t="str">
        <f>"20817"</f>
        <v>20817</v>
      </c>
      <c r="C12388" s="2">
        <v>0</v>
      </c>
      <c r="D12388" s="2">
        <v>2.1917808219177999E-2</v>
      </c>
      <c r="E12388" s="2">
        <v>7.7041602465331201E-3</v>
      </c>
      <c r="F12388" s="2">
        <v>2.3070097604258998E-3</v>
      </c>
    </row>
    <row r="12389" spans="1:6" x14ac:dyDescent="0.25">
      <c r="A12389" s="1" t="str">
        <f t="shared" si="456"/>
        <v>23224</v>
      </c>
      <c r="B12389" s="1" t="str">
        <f>"20872"</f>
        <v>20872</v>
      </c>
      <c r="C12389" s="2">
        <v>1.8177883574983698E-2</v>
      </c>
      <c r="D12389" s="2">
        <v>2.7397260273972599E-3</v>
      </c>
      <c r="E12389" s="2">
        <v>2.4653312788906E-2</v>
      </c>
      <c r="F12389" s="2">
        <v>1.79236912156166E-2</v>
      </c>
    </row>
    <row r="12390" spans="1:6" x14ac:dyDescent="0.25">
      <c r="A12390" s="1" t="str">
        <f t="shared" si="456"/>
        <v>23224</v>
      </c>
      <c r="B12390" s="1" t="str">
        <f>"20895"</f>
        <v>20895</v>
      </c>
      <c r="C12390" s="2">
        <v>0</v>
      </c>
      <c r="D12390" s="2">
        <v>5.4794520547945197E-3</v>
      </c>
      <c r="E12390" s="2">
        <v>1.3867488443759599E-2</v>
      </c>
      <c r="F12390" s="2">
        <v>1.9520851818988401E-3</v>
      </c>
    </row>
    <row r="12391" spans="1:6" x14ac:dyDescent="0.25">
      <c r="A12391" s="1" t="str">
        <f t="shared" si="456"/>
        <v>23224</v>
      </c>
      <c r="B12391" s="1" t="str">
        <f>"20854"</f>
        <v>20854</v>
      </c>
      <c r="C12391" s="2">
        <v>1.7312270071413099E-2</v>
      </c>
      <c r="D12391" s="2">
        <v>6.02739726027397E-2</v>
      </c>
      <c r="E12391" s="2">
        <v>9.2449922958397508E-3</v>
      </c>
      <c r="F12391" s="2">
        <v>1.91659272404614E-2</v>
      </c>
    </row>
    <row r="12392" spans="1:6" x14ac:dyDescent="0.25">
      <c r="A12392" s="1" t="str">
        <f t="shared" si="456"/>
        <v>23224</v>
      </c>
      <c r="B12392" s="1" t="str">
        <f>"20851"</f>
        <v>20851</v>
      </c>
      <c r="C12392" s="2">
        <v>0</v>
      </c>
      <c r="D12392" s="2">
        <v>0</v>
      </c>
      <c r="E12392" s="2">
        <v>3.08166409861325E-3</v>
      </c>
      <c r="F12392" s="2">
        <v>3.5492457852706198E-4</v>
      </c>
    </row>
    <row r="12393" spans="1:6" x14ac:dyDescent="0.25">
      <c r="A12393" s="1" t="str">
        <f t="shared" si="456"/>
        <v>23224</v>
      </c>
      <c r="B12393" s="1" t="str">
        <f>"21754"</f>
        <v>21754</v>
      </c>
      <c r="C12393" s="2">
        <v>2.1640337589266301E-2</v>
      </c>
      <c r="D12393" s="2">
        <v>0</v>
      </c>
      <c r="E12393" s="2">
        <v>0</v>
      </c>
      <c r="F12393" s="2">
        <v>1.7746228926353101E-2</v>
      </c>
    </row>
    <row r="12394" spans="1:6" x14ac:dyDescent="0.25">
      <c r="A12394" s="1" t="str">
        <f t="shared" si="456"/>
        <v>23224</v>
      </c>
      <c r="B12394" s="1" t="str">
        <f>"21702"</f>
        <v>21702</v>
      </c>
      <c r="C12394" s="2">
        <v>1.77450768231984E-2</v>
      </c>
      <c r="D12394" s="2">
        <v>1.9178082191780799E-2</v>
      </c>
      <c r="E12394" s="2">
        <v>1.54083204930662E-3</v>
      </c>
      <c r="F12394" s="2">
        <v>1.5971606033717799E-2</v>
      </c>
    </row>
    <row r="12395" spans="1:6" x14ac:dyDescent="0.25">
      <c r="A12395" s="1" t="str">
        <f t="shared" si="456"/>
        <v>23224</v>
      </c>
      <c r="B12395" s="1" t="str">
        <f>"21788"</f>
        <v>21788</v>
      </c>
      <c r="C12395" s="2">
        <v>4.3280675178532701E-4</v>
      </c>
      <c r="D12395" s="2">
        <v>2.7397260273972599E-3</v>
      </c>
      <c r="E12395" s="2">
        <v>0</v>
      </c>
      <c r="F12395" s="2">
        <v>5.3238686779059398E-4</v>
      </c>
    </row>
    <row r="12396" spans="1:6" x14ac:dyDescent="0.25">
      <c r="A12396" s="1" t="str">
        <f t="shared" si="456"/>
        <v>23224</v>
      </c>
      <c r="B12396" s="1" t="str">
        <f>"21798"</f>
        <v>21798</v>
      </c>
      <c r="C12396" s="2">
        <v>6.4921012767799101E-4</v>
      </c>
      <c r="D12396" s="2">
        <v>2.7397260273972599E-3</v>
      </c>
      <c r="E12396" s="2">
        <v>0</v>
      </c>
      <c r="F12396" s="2">
        <v>7.0984915705412505E-4</v>
      </c>
    </row>
    <row r="12397" spans="1:6" x14ac:dyDescent="0.25">
      <c r="A12397" s="1" t="str">
        <f t="shared" si="456"/>
        <v>23224</v>
      </c>
      <c r="B12397" s="1" t="str">
        <f>"20855"</f>
        <v>20855</v>
      </c>
      <c r="C12397" s="2">
        <v>2.1640337589266299E-4</v>
      </c>
      <c r="D12397" s="2">
        <v>8.21917808219178E-3</v>
      </c>
      <c r="E12397" s="2">
        <v>4.6224961479198702E-3</v>
      </c>
      <c r="F12397" s="2">
        <v>1.2422360248447199E-3</v>
      </c>
    </row>
    <row r="12398" spans="1:6" x14ac:dyDescent="0.25">
      <c r="A12398" s="1" t="str">
        <f t="shared" si="456"/>
        <v>23224</v>
      </c>
      <c r="B12398" s="1" t="str">
        <f>"20879"</f>
        <v>20879</v>
      </c>
      <c r="C12398" s="2">
        <v>0</v>
      </c>
      <c r="D12398" s="2">
        <v>5.4794520547945197E-3</v>
      </c>
      <c r="E12398" s="2">
        <v>6.0092449922958299E-2</v>
      </c>
      <c r="F12398" s="2">
        <v>7.2759538598047898E-3</v>
      </c>
    </row>
    <row r="12399" spans="1:6" x14ac:dyDescent="0.25">
      <c r="A12399" s="1" t="str">
        <f t="shared" si="456"/>
        <v>23224</v>
      </c>
      <c r="B12399" s="1" t="str">
        <f>"20902"</f>
        <v>20902</v>
      </c>
      <c r="C12399" s="2">
        <v>0</v>
      </c>
      <c r="D12399" s="2">
        <v>1.0958904109589E-2</v>
      </c>
      <c r="E12399" s="2">
        <v>1.6949152542372801E-2</v>
      </c>
      <c r="F12399" s="2">
        <v>2.6619343389529702E-3</v>
      </c>
    </row>
    <row r="12400" spans="1:6" x14ac:dyDescent="0.25">
      <c r="A12400" s="1" t="str">
        <f t="shared" si="456"/>
        <v>23224</v>
      </c>
      <c r="B12400" s="1" t="str">
        <f>"20837"</f>
        <v>20837</v>
      </c>
      <c r="C12400" s="2">
        <v>1.6013849816057101E-2</v>
      </c>
      <c r="D12400" s="2">
        <v>0</v>
      </c>
      <c r="E12400" s="2">
        <v>0</v>
      </c>
      <c r="F12400" s="2">
        <v>1.31322094055013E-2</v>
      </c>
    </row>
    <row r="12401" spans="1:6" x14ac:dyDescent="0.25">
      <c r="A12401" s="1" t="str">
        <f t="shared" si="456"/>
        <v>23224</v>
      </c>
      <c r="B12401" s="1" t="str">
        <f>"20910"</f>
        <v>20910</v>
      </c>
      <c r="C12401" s="2">
        <v>0.300151482363124</v>
      </c>
      <c r="D12401" s="2">
        <v>7.3972602739726001E-2</v>
      </c>
      <c r="E12401" s="2">
        <v>4.3143297380585498E-2</v>
      </c>
      <c r="F12401" s="2">
        <v>0.25590062111801198</v>
      </c>
    </row>
    <row r="12402" spans="1:6" x14ac:dyDescent="0.25">
      <c r="A12402" s="1" t="str">
        <f t="shared" si="456"/>
        <v>23224</v>
      </c>
      <c r="B12402" s="1" t="str">
        <f>"21755"</f>
        <v>21755</v>
      </c>
      <c r="C12402" s="2">
        <v>4.3280675178532701E-4</v>
      </c>
      <c r="D12402" s="2">
        <v>0</v>
      </c>
      <c r="E12402" s="2">
        <v>0</v>
      </c>
      <c r="F12402" s="2">
        <v>3.5492457852706198E-4</v>
      </c>
    </row>
    <row r="12403" spans="1:6" x14ac:dyDescent="0.25">
      <c r="A12403" s="1" t="str">
        <f t="shared" si="456"/>
        <v>23224</v>
      </c>
      <c r="B12403" s="1" t="str">
        <f>"21718"</f>
        <v>21718</v>
      </c>
      <c r="C12403" s="2">
        <v>2.1640337589266299E-4</v>
      </c>
      <c r="D12403" s="2">
        <v>0</v>
      </c>
      <c r="E12403" s="2">
        <v>0</v>
      </c>
      <c r="F12403" s="2">
        <v>1.7746228926353099E-4</v>
      </c>
    </row>
    <row r="12404" spans="1:6" x14ac:dyDescent="0.25">
      <c r="A12404" s="1" t="str">
        <f t="shared" si="456"/>
        <v>23224</v>
      </c>
      <c r="B12404" s="1" t="str">
        <f>"20842"</f>
        <v>20842</v>
      </c>
      <c r="C12404" s="2">
        <v>4.3280675178532701E-4</v>
      </c>
      <c r="D12404" s="2">
        <v>0</v>
      </c>
      <c r="E12404" s="2">
        <v>3.08166409861325E-3</v>
      </c>
      <c r="F12404" s="2">
        <v>7.0984915705412505E-4</v>
      </c>
    </row>
    <row r="12405" spans="1:6" x14ac:dyDescent="0.25">
      <c r="A12405" s="1" t="str">
        <f t="shared" si="456"/>
        <v>23224</v>
      </c>
      <c r="B12405" s="1" t="str">
        <f>"21701"</f>
        <v>21701</v>
      </c>
      <c r="C12405" s="2">
        <v>6.7517853278511106E-2</v>
      </c>
      <c r="D12405" s="2">
        <v>9.5890410958904104E-2</v>
      </c>
      <c r="E12405" s="2">
        <v>5.3929121725731798E-2</v>
      </c>
      <c r="F12405" s="2">
        <v>6.7790594498669005E-2</v>
      </c>
    </row>
    <row r="12406" spans="1:6" x14ac:dyDescent="0.25">
      <c r="A12406" s="1" t="str">
        <f t="shared" si="456"/>
        <v>23224</v>
      </c>
      <c r="B12406" s="1" t="str">
        <f>"20850"</f>
        <v>20850</v>
      </c>
      <c r="C12406" s="2">
        <v>8.0285652456178302E-2</v>
      </c>
      <c r="D12406" s="2">
        <v>0.235616438356164</v>
      </c>
      <c r="E12406" s="2">
        <v>5.0847457627118599E-2</v>
      </c>
      <c r="F12406" s="2">
        <v>8.6956521739130405E-2</v>
      </c>
    </row>
    <row r="12407" spans="1:6" x14ac:dyDescent="0.25">
      <c r="A12407" s="1" t="str">
        <f t="shared" si="456"/>
        <v>23224</v>
      </c>
      <c r="B12407" s="1" t="str">
        <f>"21704"</f>
        <v>21704</v>
      </c>
      <c r="C12407" s="2">
        <v>4.9556373079419999E-2</v>
      </c>
      <c r="D12407" s="2">
        <v>7.6712328767123195E-2</v>
      </c>
      <c r="E12407" s="2">
        <v>1.54083204930662E-3</v>
      </c>
      <c r="F12407" s="2">
        <v>4.5785270629991097E-2</v>
      </c>
    </row>
    <row r="12408" spans="1:6" x14ac:dyDescent="0.25">
      <c r="A12408" s="1" t="str">
        <f t="shared" si="456"/>
        <v>23224</v>
      </c>
      <c r="B12408" s="1" t="str">
        <f>"20882"</f>
        <v>20882</v>
      </c>
      <c r="C12408" s="2">
        <v>0</v>
      </c>
      <c r="D12408" s="2">
        <v>0</v>
      </c>
      <c r="E12408" s="2">
        <v>1.54083204930662E-3</v>
      </c>
      <c r="F12408" s="2">
        <v>1.7746228926353099E-4</v>
      </c>
    </row>
    <row r="12409" spans="1:6" x14ac:dyDescent="0.25">
      <c r="A12409" s="1" t="str">
        <f t="shared" si="456"/>
        <v>23224</v>
      </c>
      <c r="B12409" s="1" t="str">
        <f>"20839"</f>
        <v>20839</v>
      </c>
      <c r="C12409" s="2">
        <v>0</v>
      </c>
      <c r="D12409" s="2">
        <v>2.7397260273972599E-3</v>
      </c>
      <c r="E12409" s="2">
        <v>0</v>
      </c>
      <c r="F12409" s="2">
        <v>1.7746228926353099E-4</v>
      </c>
    </row>
    <row r="12410" spans="1:6" x14ac:dyDescent="0.25">
      <c r="A12410" s="1" t="str">
        <f t="shared" si="456"/>
        <v>23224</v>
      </c>
      <c r="B12410" s="1" t="str">
        <f>"21758"</f>
        <v>21758</v>
      </c>
      <c r="C12410" s="2">
        <v>1.08201687946331E-3</v>
      </c>
      <c r="D12410" s="2">
        <v>0</v>
      </c>
      <c r="E12410" s="2">
        <v>0</v>
      </c>
      <c r="F12410" s="2">
        <v>8.8731144631765699E-4</v>
      </c>
    </row>
    <row r="12411" spans="1:6" x14ac:dyDescent="0.25">
      <c r="A12411" s="1" t="str">
        <f t="shared" si="456"/>
        <v>23224</v>
      </c>
      <c r="B12411" s="1" t="str">
        <f>"21710"</f>
        <v>21710</v>
      </c>
      <c r="C12411" s="2">
        <v>8.65613503570655E-4</v>
      </c>
      <c r="D12411" s="2">
        <v>0</v>
      </c>
      <c r="E12411" s="2">
        <v>0</v>
      </c>
      <c r="F12411" s="2">
        <v>7.0984915705412505E-4</v>
      </c>
    </row>
    <row r="12412" spans="1:6" x14ac:dyDescent="0.25">
      <c r="A12412" s="1" t="str">
        <f t="shared" si="456"/>
        <v>23224</v>
      </c>
      <c r="B12412" s="1" t="str">
        <f>"21769"</f>
        <v>21769</v>
      </c>
      <c r="C12412" s="2">
        <v>0</v>
      </c>
      <c r="D12412" s="2">
        <v>5.4794520547945197E-3</v>
      </c>
      <c r="E12412" s="2">
        <v>0</v>
      </c>
      <c r="F12412" s="2">
        <v>3.5492457852706198E-4</v>
      </c>
    </row>
    <row r="12413" spans="1:6" x14ac:dyDescent="0.25">
      <c r="A12413" s="1" t="str">
        <f t="shared" si="456"/>
        <v>23224</v>
      </c>
      <c r="B12413" s="1" t="str">
        <f>"20912"</f>
        <v>20912</v>
      </c>
      <c r="C12413" s="2">
        <v>8.0069249080285607E-3</v>
      </c>
      <c r="D12413" s="2">
        <v>1.6438356164383501E-2</v>
      </c>
      <c r="E12413" s="2">
        <v>4.6224961479198703E-2</v>
      </c>
      <c r="F12413" s="2">
        <v>1.2954747116237701E-2</v>
      </c>
    </row>
    <row r="12414" spans="1:6" x14ac:dyDescent="0.25">
      <c r="A12414" s="1" t="str">
        <f t="shared" si="456"/>
        <v>23224</v>
      </c>
      <c r="B12414" s="1" t="str">
        <f>"21716"</f>
        <v>21716</v>
      </c>
      <c r="C12414" s="2">
        <v>4.9772776455312704E-3</v>
      </c>
      <c r="D12414" s="2">
        <v>0</v>
      </c>
      <c r="E12414" s="2">
        <v>0</v>
      </c>
      <c r="F12414" s="2">
        <v>4.0816326530612197E-3</v>
      </c>
    </row>
    <row r="12415" spans="1:6" x14ac:dyDescent="0.25">
      <c r="A12415" s="1" t="str">
        <f t="shared" si="456"/>
        <v>23224</v>
      </c>
      <c r="B12415" s="1" t="str">
        <f>"20838"</f>
        <v>20838</v>
      </c>
      <c r="C12415" s="2">
        <v>8.65613503570655E-4</v>
      </c>
      <c r="D12415" s="2">
        <v>0</v>
      </c>
      <c r="E12415" s="2">
        <v>0</v>
      </c>
      <c r="F12415" s="2">
        <v>7.0984915705412505E-4</v>
      </c>
    </row>
    <row r="12416" spans="1:6" x14ac:dyDescent="0.25">
      <c r="A12416" s="1" t="str">
        <f t="shared" si="456"/>
        <v>23224</v>
      </c>
      <c r="B12416" s="1" t="str">
        <f>"20818"</f>
        <v>20818</v>
      </c>
      <c r="C12416" s="2">
        <v>0</v>
      </c>
      <c r="D12416" s="2">
        <v>0</v>
      </c>
      <c r="E12416" s="2">
        <v>1.54083204930662E-3</v>
      </c>
      <c r="F12416" s="2">
        <v>1.7746228926353099E-4</v>
      </c>
    </row>
    <row r="12417" spans="1:6" x14ac:dyDescent="0.25">
      <c r="A12417" s="1" t="str">
        <f t="shared" si="456"/>
        <v>23224</v>
      </c>
      <c r="B12417" s="1" t="str">
        <f>"20905"</f>
        <v>20905</v>
      </c>
      <c r="C12417" s="2">
        <v>0</v>
      </c>
      <c r="D12417" s="2">
        <v>0</v>
      </c>
      <c r="E12417" s="2">
        <v>1.54083204930662E-3</v>
      </c>
      <c r="F12417" s="2">
        <v>1.7746228926353099E-4</v>
      </c>
    </row>
    <row r="12418" spans="1:6" x14ac:dyDescent="0.25">
      <c r="A12418" s="1" t="str">
        <f t="shared" si="456"/>
        <v>23224</v>
      </c>
      <c r="B12418" s="1" t="str">
        <f>"20871"</f>
        <v>20871</v>
      </c>
      <c r="C12418" s="2">
        <v>2.96472624972949E-2</v>
      </c>
      <c r="D12418" s="2">
        <v>8.21917808219178E-3</v>
      </c>
      <c r="E12418" s="2">
        <v>0</v>
      </c>
      <c r="F12418" s="2">
        <v>2.4844720496894401E-2</v>
      </c>
    </row>
    <row r="12419" spans="1:6" x14ac:dyDescent="0.25">
      <c r="A12419" s="1" t="str">
        <f t="shared" si="456"/>
        <v>23224</v>
      </c>
      <c r="B12419" s="1" t="str">
        <f>"20903"</f>
        <v>20903</v>
      </c>
      <c r="C12419" s="2">
        <v>0</v>
      </c>
      <c r="D12419" s="2">
        <v>0</v>
      </c>
      <c r="E12419" s="2">
        <v>1.54083204930662E-3</v>
      </c>
      <c r="F12419" s="2">
        <v>1.7746228926353099E-4</v>
      </c>
    </row>
    <row r="12420" spans="1:6" x14ac:dyDescent="0.25">
      <c r="A12420" s="1" t="str">
        <f t="shared" ref="A12420:A12448" si="457">"23224"</f>
        <v>23224</v>
      </c>
      <c r="B12420" s="1" t="str">
        <f>"20815"</f>
        <v>20815</v>
      </c>
      <c r="C12420" s="2">
        <v>0</v>
      </c>
      <c r="D12420" s="2">
        <v>1.9178082191780799E-2</v>
      </c>
      <c r="E12420" s="2">
        <v>9.2449922958397508E-3</v>
      </c>
      <c r="F12420" s="2">
        <v>2.3070097604258998E-3</v>
      </c>
    </row>
    <row r="12421" spans="1:6" x14ac:dyDescent="0.25">
      <c r="A12421" s="1" t="str">
        <f t="shared" si="457"/>
        <v>23224</v>
      </c>
      <c r="B12421" s="1" t="str">
        <f>"21773"</f>
        <v>21773</v>
      </c>
      <c r="C12421" s="2">
        <v>6.4921012767799101E-4</v>
      </c>
      <c r="D12421" s="2">
        <v>0</v>
      </c>
      <c r="E12421" s="2">
        <v>0</v>
      </c>
      <c r="F12421" s="2">
        <v>5.3238686779059398E-4</v>
      </c>
    </row>
    <row r="12422" spans="1:6" x14ac:dyDescent="0.25">
      <c r="A12422" s="1" t="str">
        <f t="shared" si="457"/>
        <v>23224</v>
      </c>
      <c r="B12422" s="1" t="str">
        <f>"20904"</f>
        <v>20904</v>
      </c>
      <c r="C12422" s="2">
        <v>1.7312270071413099E-2</v>
      </c>
      <c r="D12422" s="2">
        <v>1.9178082191780799E-2</v>
      </c>
      <c r="E12422" s="2">
        <v>2.0030816640986101E-2</v>
      </c>
      <c r="F12422" s="2">
        <v>1.7746228926353101E-2</v>
      </c>
    </row>
    <row r="12423" spans="1:6" x14ac:dyDescent="0.25">
      <c r="A12423" s="1" t="str">
        <f t="shared" si="457"/>
        <v>23224</v>
      </c>
      <c r="B12423" s="1" t="str">
        <f>"20852"</f>
        <v>20852</v>
      </c>
      <c r="C12423" s="2">
        <v>6.4921012767799101E-4</v>
      </c>
      <c r="D12423" s="2">
        <v>6.3013698630136894E-2</v>
      </c>
      <c r="E12423" s="2">
        <v>4.4684129429892097E-2</v>
      </c>
      <c r="F12423" s="2">
        <v>9.7604259094942296E-3</v>
      </c>
    </row>
    <row r="12424" spans="1:6" x14ac:dyDescent="0.25">
      <c r="A12424" s="1" t="str">
        <f t="shared" si="457"/>
        <v>23224</v>
      </c>
      <c r="B12424" s="1" t="str">
        <f>"20812"</f>
        <v>20812</v>
      </c>
      <c r="C12424" s="2">
        <v>2.1640337589266299E-4</v>
      </c>
      <c r="D12424" s="2">
        <v>0</v>
      </c>
      <c r="E12424" s="2">
        <v>0</v>
      </c>
      <c r="F12424" s="2">
        <v>1.7746228926353099E-4</v>
      </c>
    </row>
    <row r="12425" spans="1:6" x14ac:dyDescent="0.25">
      <c r="A12425" s="1" t="str">
        <f t="shared" si="457"/>
        <v>23224</v>
      </c>
      <c r="B12425" s="1" t="str">
        <f>"21727"</f>
        <v>21727</v>
      </c>
      <c r="C12425" s="2">
        <v>2.3804371348192998E-3</v>
      </c>
      <c r="D12425" s="2">
        <v>2.7397260273972599E-3</v>
      </c>
      <c r="E12425" s="2">
        <v>0</v>
      </c>
      <c r="F12425" s="2">
        <v>2.1295474711623698E-3</v>
      </c>
    </row>
    <row r="12426" spans="1:6" x14ac:dyDescent="0.25">
      <c r="A12426" s="1" t="str">
        <f t="shared" si="457"/>
        <v>23224</v>
      </c>
      <c r="B12426" s="1" t="str">
        <f>"20906"</f>
        <v>20906</v>
      </c>
      <c r="C12426" s="2">
        <v>5.4317247349058601E-2</v>
      </c>
      <c r="D12426" s="2">
        <v>2.7397260273972599E-3</v>
      </c>
      <c r="E12426" s="2">
        <v>1.3867488443759599E-2</v>
      </c>
      <c r="F12426" s="2">
        <v>4.6317657497781703E-2</v>
      </c>
    </row>
    <row r="12427" spans="1:6" x14ac:dyDescent="0.25">
      <c r="A12427" s="1" t="str">
        <f t="shared" si="457"/>
        <v>23224</v>
      </c>
      <c r="B12427" s="1" t="str">
        <f>"20861"</f>
        <v>20861</v>
      </c>
      <c r="C12427" s="2">
        <v>7.4875568058861697E-2</v>
      </c>
      <c r="D12427" s="2">
        <v>1.0958904109589E-2</v>
      </c>
      <c r="E12427" s="2">
        <v>1.54083204930662E-3</v>
      </c>
      <c r="F12427" s="2">
        <v>6.2289263531499502E-2</v>
      </c>
    </row>
    <row r="12428" spans="1:6" x14ac:dyDescent="0.25">
      <c r="A12428" s="1" t="str">
        <f t="shared" si="457"/>
        <v>23224</v>
      </c>
      <c r="B12428" s="1" t="str">
        <f>"20866"</f>
        <v>20866</v>
      </c>
      <c r="C12428" s="2">
        <v>0</v>
      </c>
      <c r="D12428" s="2">
        <v>1.3698630136986301E-2</v>
      </c>
      <c r="E12428" s="2">
        <v>1.2326656394453E-2</v>
      </c>
      <c r="F12428" s="2">
        <v>2.3070097604258998E-3</v>
      </c>
    </row>
    <row r="12429" spans="1:6" x14ac:dyDescent="0.25">
      <c r="A12429" s="1" t="str">
        <f t="shared" si="457"/>
        <v>23224</v>
      </c>
      <c r="B12429" s="1" t="str">
        <f>"20814"</f>
        <v>20814</v>
      </c>
      <c r="C12429" s="2">
        <v>4.7392339320493297E-2</v>
      </c>
      <c r="D12429" s="2">
        <v>6.3013698630136894E-2</v>
      </c>
      <c r="E12429" s="2">
        <v>0.445300462249614</v>
      </c>
      <c r="F12429" s="2">
        <v>9.4232475598935203E-2</v>
      </c>
    </row>
    <row r="12430" spans="1:6" x14ac:dyDescent="0.25">
      <c r="A12430" s="1" t="str">
        <f t="shared" si="457"/>
        <v>23224</v>
      </c>
      <c r="B12430" s="1" t="str">
        <f>"20878"</f>
        <v>20878</v>
      </c>
      <c r="C12430" s="2">
        <v>2.1856740965159001E-2</v>
      </c>
      <c r="D12430" s="2">
        <v>2.46575342465753E-2</v>
      </c>
      <c r="E12430" s="2">
        <v>1.07858243451463E-2</v>
      </c>
      <c r="F12430" s="2">
        <v>2.07630878438331E-2</v>
      </c>
    </row>
    <row r="12431" spans="1:6" x14ac:dyDescent="0.25">
      <c r="A12431" s="1" t="str">
        <f t="shared" si="457"/>
        <v>23224</v>
      </c>
      <c r="B12431" s="1" t="str">
        <f>"20877"</f>
        <v>20877</v>
      </c>
      <c r="C12431" s="2">
        <v>2.1640337589266299E-4</v>
      </c>
      <c r="D12431" s="2">
        <v>3.0136986301369802E-2</v>
      </c>
      <c r="E12431" s="2">
        <v>1.54083204930662E-2</v>
      </c>
      <c r="F12431" s="2">
        <v>3.9041703637976901E-3</v>
      </c>
    </row>
    <row r="12432" spans="1:6" x14ac:dyDescent="0.25">
      <c r="A12432" s="1" t="str">
        <f t="shared" si="457"/>
        <v>23224</v>
      </c>
      <c r="B12432" s="1" t="str">
        <f>"20816"</f>
        <v>20816</v>
      </c>
      <c r="C12432" s="2">
        <v>4.3280675178532701E-4</v>
      </c>
      <c r="D12432" s="2">
        <v>5.4794520547945197E-3</v>
      </c>
      <c r="E12432" s="2">
        <v>1.6949152542372801E-2</v>
      </c>
      <c r="F12432" s="2">
        <v>2.6619343389529702E-3</v>
      </c>
    </row>
    <row r="12433" spans="1:6" x14ac:dyDescent="0.25">
      <c r="A12433" s="1" t="str">
        <f t="shared" si="457"/>
        <v>23224</v>
      </c>
      <c r="B12433" s="1" t="str">
        <f>"21703"</f>
        <v>21703</v>
      </c>
      <c r="C12433" s="2">
        <v>3.83033975330015E-2</v>
      </c>
      <c r="D12433" s="2">
        <v>4.93150684931506E-2</v>
      </c>
      <c r="E12433" s="2">
        <v>1.07858243451463E-2</v>
      </c>
      <c r="F12433" s="2">
        <v>3.5847382431233303E-2</v>
      </c>
    </row>
    <row r="12434" spans="1:6" x14ac:dyDescent="0.25">
      <c r="A12434" s="1" t="str">
        <f t="shared" si="457"/>
        <v>23224</v>
      </c>
      <c r="B12434" s="1" t="str">
        <f>"21791"</f>
        <v>21791</v>
      </c>
      <c r="C12434" s="2">
        <v>2.1640337589266299E-4</v>
      </c>
      <c r="D12434" s="2">
        <v>0</v>
      </c>
      <c r="E12434" s="2">
        <v>0</v>
      </c>
      <c r="F12434" s="2">
        <v>1.7746228926353099E-4</v>
      </c>
    </row>
    <row r="12435" spans="1:6" x14ac:dyDescent="0.25">
      <c r="A12435" s="1" t="str">
        <f t="shared" si="457"/>
        <v>23224</v>
      </c>
      <c r="B12435" s="1" t="str">
        <f>"20874"</f>
        <v>20874</v>
      </c>
      <c r="C12435" s="2">
        <v>3.3542523263362899E-2</v>
      </c>
      <c r="D12435" s="2">
        <v>2.7397260273972599E-3</v>
      </c>
      <c r="E12435" s="2">
        <v>4.6224961479198702E-3</v>
      </c>
      <c r="F12435" s="2">
        <v>2.8216503992901501E-2</v>
      </c>
    </row>
    <row r="12436" spans="1:6" x14ac:dyDescent="0.25">
      <c r="A12436" s="1" t="str">
        <f t="shared" si="457"/>
        <v>23224</v>
      </c>
      <c r="B12436" s="1" t="str">
        <f>"20886"</f>
        <v>20886</v>
      </c>
      <c r="C12436" s="2">
        <v>0</v>
      </c>
      <c r="D12436" s="2">
        <v>0</v>
      </c>
      <c r="E12436" s="2">
        <v>1.54083204930662E-3</v>
      </c>
      <c r="F12436" s="2">
        <v>1.7746228926353099E-4</v>
      </c>
    </row>
    <row r="12437" spans="1:6" x14ac:dyDescent="0.25">
      <c r="A12437" s="1" t="str">
        <f t="shared" si="457"/>
        <v>23224</v>
      </c>
      <c r="B12437" s="1" t="str">
        <f>"20862"</f>
        <v>20862</v>
      </c>
      <c r="C12437" s="2">
        <v>0</v>
      </c>
      <c r="D12437" s="2">
        <v>0</v>
      </c>
      <c r="E12437" s="2">
        <v>1.54083204930662E-3</v>
      </c>
      <c r="F12437" s="2">
        <v>1.7746228926353099E-4</v>
      </c>
    </row>
    <row r="12438" spans="1:6" x14ac:dyDescent="0.25">
      <c r="A12438" s="1" t="str">
        <f t="shared" si="457"/>
        <v>23224</v>
      </c>
      <c r="B12438" s="1" t="str">
        <f>"20860"</f>
        <v>20860</v>
      </c>
      <c r="C12438" s="2">
        <v>0</v>
      </c>
      <c r="D12438" s="2">
        <v>8.21917808219178E-3</v>
      </c>
      <c r="E12438" s="2">
        <v>1.54083204930662E-3</v>
      </c>
      <c r="F12438" s="2">
        <v>7.0984915705412505E-4</v>
      </c>
    </row>
    <row r="12439" spans="1:6" x14ac:dyDescent="0.25">
      <c r="A12439" s="1" t="str">
        <f t="shared" si="457"/>
        <v>23224</v>
      </c>
      <c r="B12439" s="1" t="str">
        <f>"21780"</f>
        <v>21780</v>
      </c>
      <c r="C12439" s="2">
        <v>2.1640337589266299E-4</v>
      </c>
      <c r="D12439" s="2">
        <v>0</v>
      </c>
      <c r="E12439" s="2">
        <v>0</v>
      </c>
      <c r="F12439" s="2">
        <v>1.7746228926353099E-4</v>
      </c>
    </row>
    <row r="12440" spans="1:6" x14ac:dyDescent="0.25">
      <c r="A12440" s="1" t="str">
        <f t="shared" si="457"/>
        <v>23224</v>
      </c>
      <c r="B12440" s="1" t="str">
        <f>"21790"</f>
        <v>21790</v>
      </c>
      <c r="C12440" s="2">
        <v>4.3280675178532701E-4</v>
      </c>
      <c r="D12440" s="2">
        <v>0</v>
      </c>
      <c r="E12440" s="2">
        <v>0</v>
      </c>
      <c r="F12440" s="2">
        <v>3.5492457852706198E-4</v>
      </c>
    </row>
    <row r="12441" spans="1:6" x14ac:dyDescent="0.25">
      <c r="A12441" s="1" t="str">
        <f t="shared" si="457"/>
        <v>23224</v>
      </c>
      <c r="B12441" s="1" t="str">
        <f>"20832"</f>
        <v>20832</v>
      </c>
      <c r="C12441" s="2">
        <v>0</v>
      </c>
      <c r="D12441" s="2">
        <v>2.7397260273972599E-3</v>
      </c>
      <c r="E12441" s="2">
        <v>6.1633281972264999E-3</v>
      </c>
      <c r="F12441" s="2">
        <v>8.8731144631765699E-4</v>
      </c>
    </row>
    <row r="12442" spans="1:6" x14ac:dyDescent="0.25">
      <c r="A12442" s="1" t="str">
        <f t="shared" si="457"/>
        <v>23224</v>
      </c>
      <c r="B12442" s="1" t="str">
        <f>"21793"</f>
        <v>21793</v>
      </c>
      <c r="C12442" s="2">
        <v>1.9692707206232399E-2</v>
      </c>
      <c r="D12442" s="2">
        <v>2.7397260273972599E-3</v>
      </c>
      <c r="E12442" s="2">
        <v>0</v>
      </c>
      <c r="F12442" s="2">
        <v>1.6326530612244799E-2</v>
      </c>
    </row>
    <row r="12443" spans="1:6" x14ac:dyDescent="0.25">
      <c r="A12443" s="1" t="str">
        <f t="shared" si="457"/>
        <v>23224</v>
      </c>
      <c r="B12443" s="1" t="str">
        <f>"21774"</f>
        <v>21774</v>
      </c>
      <c r="C12443" s="2">
        <v>3.8736204284786802E-2</v>
      </c>
      <c r="D12443" s="2">
        <v>2.7397260273972599E-3</v>
      </c>
      <c r="E12443" s="2">
        <v>3.08166409861325E-3</v>
      </c>
      <c r="F12443" s="2">
        <v>3.2298136645962698E-2</v>
      </c>
    </row>
    <row r="12444" spans="1:6" x14ac:dyDescent="0.25">
      <c r="A12444" s="1" t="str">
        <f t="shared" si="457"/>
        <v>23224</v>
      </c>
      <c r="B12444" s="1" t="str">
        <f>"21770"</f>
        <v>21770</v>
      </c>
      <c r="C12444" s="2">
        <v>1.14693789223111E-2</v>
      </c>
      <c r="D12444" s="2">
        <v>0</v>
      </c>
      <c r="E12444" s="2">
        <v>1.54083204930662E-3</v>
      </c>
      <c r="F12444" s="2">
        <v>9.5829636202307E-3</v>
      </c>
    </row>
    <row r="12445" spans="1:6" x14ac:dyDescent="0.25">
      <c r="A12445" s="1" t="str">
        <f t="shared" si="457"/>
        <v>23224</v>
      </c>
      <c r="B12445" s="1" t="str">
        <f>"21771"</f>
        <v>21771</v>
      </c>
      <c r="C12445" s="2">
        <v>8.65613503570655E-4</v>
      </c>
      <c r="D12445" s="2">
        <v>0</v>
      </c>
      <c r="E12445" s="2">
        <v>0</v>
      </c>
      <c r="F12445" s="2">
        <v>7.0984915705412505E-4</v>
      </c>
    </row>
    <row r="12446" spans="1:6" x14ac:dyDescent="0.25">
      <c r="A12446" s="1" t="str">
        <f t="shared" si="457"/>
        <v>23224</v>
      </c>
      <c r="B12446" s="1" t="str">
        <f>"20853"</f>
        <v>20853</v>
      </c>
      <c r="C12446" s="2">
        <v>0</v>
      </c>
      <c r="D12446" s="2">
        <v>2.7397260273972599E-3</v>
      </c>
      <c r="E12446" s="2">
        <v>1.07858243451463E-2</v>
      </c>
      <c r="F12446" s="2">
        <v>1.4196983141082501E-3</v>
      </c>
    </row>
    <row r="12447" spans="1:6" x14ac:dyDescent="0.25">
      <c r="A12447" s="1" t="str">
        <f t="shared" si="457"/>
        <v>23224</v>
      </c>
      <c r="B12447" s="1" t="str">
        <f>"20876"</f>
        <v>20876</v>
      </c>
      <c r="C12447" s="2">
        <v>0</v>
      </c>
      <c r="D12447" s="2">
        <v>1.0958904109589E-2</v>
      </c>
      <c r="E12447" s="2">
        <v>6.1633281972264999E-3</v>
      </c>
      <c r="F12447" s="2">
        <v>1.4196983141082501E-3</v>
      </c>
    </row>
    <row r="12448" spans="1:6" x14ac:dyDescent="0.25">
      <c r="A12448" s="1" t="str">
        <f t="shared" si="457"/>
        <v>23224</v>
      </c>
      <c r="B12448" s="1" t="str">
        <f>"20901"</f>
        <v>20901</v>
      </c>
      <c r="C12448" s="2">
        <v>0</v>
      </c>
      <c r="D12448" s="2">
        <v>8.21917808219178E-3</v>
      </c>
      <c r="E12448" s="2">
        <v>1.54083204930662E-2</v>
      </c>
      <c r="F12448" s="2">
        <v>2.3070097604258998E-3</v>
      </c>
    </row>
    <row r="12449" spans="1:6" x14ac:dyDescent="0.25">
      <c r="A12449" s="1" t="str">
        <f t="shared" ref="A12449:A12456" si="458">"23240"</f>
        <v>23240</v>
      </c>
      <c r="B12449" s="1" t="str">
        <f>"78058"</f>
        <v>78058</v>
      </c>
      <c r="C12449" s="2">
        <v>3.6159359462775201E-3</v>
      </c>
      <c r="D12449" s="2">
        <v>5.0838840874427998E-4</v>
      </c>
      <c r="E12449" s="2">
        <v>0</v>
      </c>
      <c r="F12449" s="2">
        <v>3.1916680665210798E-3</v>
      </c>
    </row>
    <row r="12450" spans="1:6" x14ac:dyDescent="0.25">
      <c r="A12450" s="1" t="str">
        <f t="shared" si="458"/>
        <v>23240</v>
      </c>
      <c r="B12450" s="1" t="str">
        <f>"78631"</f>
        <v>78631</v>
      </c>
      <c r="C12450" s="2">
        <v>6.9025634403047695E-2</v>
      </c>
      <c r="D12450" s="2">
        <v>1.01677681748856E-2</v>
      </c>
      <c r="E12450" s="2">
        <v>2.4691358024691301E-3</v>
      </c>
      <c r="F12450" s="2">
        <v>6.1033652500139902E-2</v>
      </c>
    </row>
    <row r="12451" spans="1:6" x14ac:dyDescent="0.25">
      <c r="A12451" s="1" t="str">
        <f t="shared" si="458"/>
        <v>23240</v>
      </c>
      <c r="B12451" s="1" t="str">
        <f>"78671"</f>
        <v>78671</v>
      </c>
      <c r="C12451" s="2">
        <v>1.53031574869245E-2</v>
      </c>
      <c r="D12451" s="2">
        <v>9.1509913573970501E-3</v>
      </c>
      <c r="E12451" s="2">
        <v>9.8765432098765395E-3</v>
      </c>
      <c r="F12451" s="2">
        <v>1.45024917408589E-2</v>
      </c>
    </row>
    <row r="12452" spans="1:6" x14ac:dyDescent="0.25">
      <c r="A12452" s="1" t="str">
        <f t="shared" si="458"/>
        <v>23240</v>
      </c>
      <c r="B12452" s="1" t="str">
        <f>"78618"</f>
        <v>78618</v>
      </c>
      <c r="C12452" s="2">
        <v>9.2335507199586692E-3</v>
      </c>
      <c r="D12452" s="2">
        <v>3.0503304524656799E-3</v>
      </c>
      <c r="E12452" s="2">
        <v>0</v>
      </c>
      <c r="F12452" s="2">
        <v>8.3431323142393096E-3</v>
      </c>
    </row>
    <row r="12453" spans="1:6" x14ac:dyDescent="0.25">
      <c r="A12453" s="1" t="str">
        <f t="shared" si="458"/>
        <v>23240</v>
      </c>
      <c r="B12453" s="1" t="str">
        <f>"78635"</f>
        <v>78635</v>
      </c>
      <c r="C12453" s="2">
        <v>6.4570284754955699E-5</v>
      </c>
      <c r="D12453" s="2">
        <v>0</v>
      </c>
      <c r="E12453" s="2">
        <v>0</v>
      </c>
      <c r="F12453" s="2">
        <v>5.5994176605632997E-5</v>
      </c>
    </row>
    <row r="12454" spans="1:6" x14ac:dyDescent="0.25">
      <c r="A12454" s="1" t="str">
        <f t="shared" si="458"/>
        <v>23240</v>
      </c>
      <c r="B12454" s="1" t="str">
        <f>"78675"</f>
        <v>78675</v>
      </c>
      <c r="C12454" s="2">
        <v>9.29812100471363E-3</v>
      </c>
      <c r="D12454" s="2">
        <v>1.52516522623284E-3</v>
      </c>
      <c r="E12454" s="2">
        <v>7.4074074074073999E-3</v>
      </c>
      <c r="F12454" s="2">
        <v>8.3991264908449496E-3</v>
      </c>
    </row>
    <row r="12455" spans="1:6" x14ac:dyDescent="0.25">
      <c r="A12455" s="1" t="str">
        <f t="shared" si="458"/>
        <v>23240</v>
      </c>
      <c r="B12455" s="1" t="str">
        <f>"78028"</f>
        <v>78028</v>
      </c>
      <c r="C12455" s="2">
        <v>2.86046361464454E-2</v>
      </c>
      <c r="D12455" s="2">
        <v>1.01677681748856E-3</v>
      </c>
      <c r="E12455" s="2">
        <v>4.9382716049382698E-3</v>
      </c>
      <c r="F12455" s="2">
        <v>2.5029396942717899E-2</v>
      </c>
    </row>
    <row r="12456" spans="1:6" x14ac:dyDescent="0.25">
      <c r="A12456" s="1" t="str">
        <f t="shared" si="458"/>
        <v>23240</v>
      </c>
      <c r="B12456" s="1" t="str">
        <f>"78624"</f>
        <v>78624</v>
      </c>
      <c r="C12456" s="2">
        <v>0.864854394007877</v>
      </c>
      <c r="D12456" s="2">
        <v>0.97458057956278499</v>
      </c>
      <c r="E12456" s="2">
        <v>0.97530864197530798</v>
      </c>
      <c r="F12456" s="2">
        <v>0.87944453776807197</v>
      </c>
    </row>
    <row r="12457" spans="1:6" x14ac:dyDescent="0.25">
      <c r="A12457" s="1" t="str">
        <f t="shared" ref="A12457:A12475" si="459">"23300"</f>
        <v>23300</v>
      </c>
      <c r="B12457" s="1" t="str">
        <f>"61032"</f>
        <v>61032</v>
      </c>
      <c r="C12457" s="2">
        <v>0.68420129756268599</v>
      </c>
      <c r="D12457" s="2">
        <v>0.84402079722703605</v>
      </c>
      <c r="E12457" s="2">
        <v>0.81796116504854299</v>
      </c>
      <c r="F12457" s="2">
        <v>0.69945204399416505</v>
      </c>
    </row>
    <row r="12458" spans="1:6" x14ac:dyDescent="0.25">
      <c r="A12458" s="1" t="str">
        <f t="shared" si="459"/>
        <v>23300</v>
      </c>
      <c r="B12458" s="1" t="str">
        <f>"61047"</f>
        <v>61047</v>
      </c>
      <c r="C12458" s="2">
        <v>1.7534630896019599E-4</v>
      </c>
      <c r="D12458" s="2">
        <v>0</v>
      </c>
      <c r="E12458" s="2">
        <v>0</v>
      </c>
      <c r="F12458" s="2">
        <v>1.5768518153506499E-4</v>
      </c>
    </row>
    <row r="12459" spans="1:6" x14ac:dyDescent="0.25">
      <c r="A12459" s="1" t="str">
        <f t="shared" si="459"/>
        <v>23300</v>
      </c>
      <c r="B12459" s="1" t="str">
        <f>"61063"</f>
        <v>61063</v>
      </c>
      <c r="C12459" s="2">
        <v>4.2959845695248102E-3</v>
      </c>
      <c r="D12459" s="2">
        <v>5.7770075101097596E-4</v>
      </c>
      <c r="E12459" s="2">
        <v>0</v>
      </c>
      <c r="F12459" s="2">
        <v>3.9027082429928602E-3</v>
      </c>
    </row>
    <row r="12460" spans="1:6" x14ac:dyDescent="0.25">
      <c r="A12460" s="1" t="str">
        <f t="shared" si="459"/>
        <v>23300</v>
      </c>
      <c r="B12460" s="1" t="str">
        <f>"61048"</f>
        <v>61048</v>
      </c>
      <c r="C12460" s="2">
        <v>8.74101350166578E-2</v>
      </c>
      <c r="D12460" s="2">
        <v>7.7411900635470807E-2</v>
      </c>
      <c r="E12460" s="2">
        <v>6.3106796116504799E-2</v>
      </c>
      <c r="F12460" s="2">
        <v>8.5938423936610497E-2</v>
      </c>
    </row>
    <row r="12461" spans="1:6" x14ac:dyDescent="0.25">
      <c r="A12461" s="1" t="str">
        <f t="shared" si="459"/>
        <v>23300</v>
      </c>
      <c r="B12461" s="1" t="str">
        <f>"61027"</f>
        <v>61027</v>
      </c>
      <c r="C12461" s="2">
        <v>0</v>
      </c>
      <c r="D12461" s="2">
        <v>0</v>
      </c>
      <c r="E12461" s="2">
        <v>1.2135922330097E-3</v>
      </c>
      <c r="F12461" s="2">
        <v>3.9421295383766303E-5</v>
      </c>
    </row>
    <row r="12462" spans="1:6" x14ac:dyDescent="0.25">
      <c r="A12462" s="1" t="str">
        <f t="shared" si="459"/>
        <v>23300</v>
      </c>
      <c r="B12462" s="1" t="str">
        <f>"61013"</f>
        <v>61013</v>
      </c>
      <c r="C12462" s="2">
        <v>2.6301946344029398E-4</v>
      </c>
      <c r="D12462" s="2">
        <v>5.7770075101097596E-4</v>
      </c>
      <c r="E12462" s="2">
        <v>1.2135922330097E-3</v>
      </c>
      <c r="F12462" s="2">
        <v>3.1537036307012999E-4</v>
      </c>
    </row>
    <row r="12463" spans="1:6" x14ac:dyDescent="0.25">
      <c r="A12463" s="1" t="str">
        <f t="shared" si="459"/>
        <v>23300</v>
      </c>
      <c r="B12463" s="1" t="str">
        <f>"61089"</f>
        <v>61089</v>
      </c>
      <c r="C12463" s="2">
        <v>1.72277748553392E-2</v>
      </c>
      <c r="D12463" s="2">
        <v>8.6655112651646393E-3</v>
      </c>
      <c r="E12463" s="2">
        <v>1.2135922330097E-2</v>
      </c>
      <c r="F12463" s="2">
        <v>1.64781014704143E-2</v>
      </c>
    </row>
    <row r="12464" spans="1:6" x14ac:dyDescent="0.25">
      <c r="A12464" s="1" t="str">
        <f t="shared" si="459"/>
        <v>23300</v>
      </c>
      <c r="B12464" s="1" t="str">
        <f>"61070"</f>
        <v>61070</v>
      </c>
      <c r="C12464" s="2">
        <v>2.1392249693143899E-2</v>
      </c>
      <c r="D12464" s="2">
        <v>6.9324090121317102E-3</v>
      </c>
      <c r="E12464" s="2">
        <v>6.0679611650485401E-3</v>
      </c>
      <c r="F12464" s="2">
        <v>1.9907754168801899E-2</v>
      </c>
    </row>
    <row r="12465" spans="1:6" x14ac:dyDescent="0.25">
      <c r="A12465" s="1" t="str">
        <f t="shared" si="459"/>
        <v>23300</v>
      </c>
      <c r="B12465" s="1" t="str">
        <f>"61062"</f>
        <v>61062</v>
      </c>
      <c r="C12465" s="2">
        <v>3.6866561458881203E-2</v>
      </c>
      <c r="D12465" s="2">
        <v>2.4263431542461002E-2</v>
      </c>
      <c r="E12465" s="2">
        <v>1.2135922330097E-2</v>
      </c>
      <c r="F12465" s="2">
        <v>3.52032167777033E-2</v>
      </c>
    </row>
    <row r="12466" spans="1:6" x14ac:dyDescent="0.25">
      <c r="A12466" s="1" t="str">
        <f t="shared" si="459"/>
        <v>23300</v>
      </c>
      <c r="B12466" s="1" t="str">
        <f>"61067"</f>
        <v>61067</v>
      </c>
      <c r="C12466" s="2">
        <v>1.55619849202174E-2</v>
      </c>
      <c r="D12466" s="2">
        <v>3.4662045060658499E-3</v>
      </c>
      <c r="E12466" s="2">
        <v>7.2815533980582501E-3</v>
      </c>
      <c r="F12466" s="2">
        <v>1.44676154058422E-2</v>
      </c>
    </row>
    <row r="12467" spans="1:6" x14ac:dyDescent="0.25">
      <c r="A12467" s="1" t="str">
        <f t="shared" si="459"/>
        <v>23300</v>
      </c>
      <c r="B12467" s="1" t="str">
        <f>"61060"</f>
        <v>61060</v>
      </c>
      <c r="C12467" s="2">
        <v>3.0904786954234601E-2</v>
      </c>
      <c r="D12467" s="2">
        <v>8.6655112651646393E-3</v>
      </c>
      <c r="E12467" s="2">
        <v>3.5194174757281503E-2</v>
      </c>
      <c r="F12467" s="2">
        <v>2.9526550242440899E-2</v>
      </c>
    </row>
    <row r="12468" spans="1:6" x14ac:dyDescent="0.25">
      <c r="A12468" s="1" t="str">
        <f t="shared" si="459"/>
        <v>23300</v>
      </c>
      <c r="B12468" s="1" t="str">
        <f>"61050"</f>
        <v>61050</v>
      </c>
      <c r="C12468" s="2">
        <v>8.5919691390496204E-3</v>
      </c>
      <c r="D12468" s="2">
        <v>2.8885037550548799E-3</v>
      </c>
      <c r="E12468" s="2">
        <v>1.2135922330097E-3</v>
      </c>
      <c r="F12468" s="2">
        <v>7.9631016675207906E-3</v>
      </c>
    </row>
    <row r="12469" spans="1:6" x14ac:dyDescent="0.25">
      <c r="A12469" s="1" t="str">
        <f t="shared" si="459"/>
        <v>23300</v>
      </c>
      <c r="B12469" s="1" t="str">
        <f>"61018"</f>
        <v>61018</v>
      </c>
      <c r="C12469" s="2">
        <v>2.1742942311064301E-2</v>
      </c>
      <c r="D12469" s="2">
        <v>7.5101097631426897E-3</v>
      </c>
      <c r="E12469" s="2">
        <v>1.45631067961165E-2</v>
      </c>
      <c r="F12469" s="2">
        <v>2.0538494894942201E-2</v>
      </c>
    </row>
    <row r="12470" spans="1:6" x14ac:dyDescent="0.25">
      <c r="A12470" s="1" t="str">
        <f t="shared" si="459"/>
        <v>23300</v>
      </c>
      <c r="B12470" s="1" t="str">
        <f>"61078"</f>
        <v>61078</v>
      </c>
      <c r="C12470" s="2">
        <v>1.6219533578818101E-3</v>
      </c>
      <c r="D12470" s="2">
        <v>1.73310225303292E-3</v>
      </c>
      <c r="E12470" s="2">
        <v>0</v>
      </c>
      <c r="F12470" s="2">
        <v>1.5768518153506501E-3</v>
      </c>
    </row>
    <row r="12471" spans="1:6" x14ac:dyDescent="0.25">
      <c r="A12471" s="1" t="str">
        <f t="shared" si="459"/>
        <v>23300</v>
      </c>
      <c r="B12471" s="1" t="str">
        <f>"61044"</f>
        <v>61044</v>
      </c>
      <c r="C12471" s="2">
        <v>3.6822724881641201E-3</v>
      </c>
      <c r="D12471" s="2">
        <v>2.8885037550548799E-3</v>
      </c>
      <c r="E12471" s="2">
        <v>1.2135922330097E-3</v>
      </c>
      <c r="F12471" s="2">
        <v>3.5479165845389601E-3</v>
      </c>
    </row>
    <row r="12472" spans="1:6" x14ac:dyDescent="0.25">
      <c r="A12472" s="1" t="str">
        <f t="shared" si="459"/>
        <v>23300</v>
      </c>
      <c r="B12472" s="1" t="str">
        <f>"61019"</f>
        <v>61019</v>
      </c>
      <c r="C12472" s="2">
        <v>4.8833947045414598E-2</v>
      </c>
      <c r="D12472" s="2">
        <v>5.7770075101097598E-3</v>
      </c>
      <c r="E12472" s="2">
        <v>1.8203883495145599E-2</v>
      </c>
      <c r="F12472" s="2">
        <v>4.4900855442109797E-2</v>
      </c>
    </row>
    <row r="12473" spans="1:6" x14ac:dyDescent="0.25">
      <c r="A12473" s="1" t="str">
        <f t="shared" si="459"/>
        <v>23300</v>
      </c>
      <c r="B12473" s="1" t="str">
        <f>"61007"</f>
        <v>61007</v>
      </c>
      <c r="C12473" s="2">
        <v>3.4192530247238199E-3</v>
      </c>
      <c r="D12473" s="2">
        <v>1.15540150202195E-3</v>
      </c>
      <c r="E12473" s="2">
        <v>2.4271844660194099E-3</v>
      </c>
      <c r="F12473" s="2">
        <v>3.23254622146883E-3</v>
      </c>
    </row>
    <row r="12474" spans="1:6" x14ac:dyDescent="0.25">
      <c r="A12474" s="1" t="str">
        <f t="shared" si="459"/>
        <v>23300</v>
      </c>
      <c r="B12474" s="1" t="str">
        <f>"61039"</f>
        <v>61039</v>
      </c>
      <c r="C12474" s="2">
        <v>1.35455023671751E-2</v>
      </c>
      <c r="D12474" s="2">
        <v>3.4662045060658499E-3</v>
      </c>
      <c r="E12474" s="2">
        <v>6.0679611650485401E-3</v>
      </c>
      <c r="F12474" s="2">
        <v>1.26148145228052E-2</v>
      </c>
    </row>
    <row r="12475" spans="1:6" x14ac:dyDescent="0.25">
      <c r="A12475" s="1" t="str">
        <f t="shared" si="459"/>
        <v>23300</v>
      </c>
      <c r="B12475" s="1" t="str">
        <f>"61087"</f>
        <v>61087</v>
      </c>
      <c r="C12475" s="2">
        <v>2.6301946344029398E-4</v>
      </c>
      <c r="D12475" s="2">
        <v>0</v>
      </c>
      <c r="E12475" s="2">
        <v>0</v>
      </c>
      <c r="F12475" s="2">
        <v>2.36527772302597E-4</v>
      </c>
    </row>
    <row r="12476" spans="1:6" x14ac:dyDescent="0.25">
      <c r="A12476" s="1" t="str">
        <f t="shared" ref="A12476:A12490" si="460">"23340"</f>
        <v>23340</v>
      </c>
      <c r="B12476" s="1" t="str">
        <f>"68633"</f>
        <v>68633</v>
      </c>
      <c r="C12476" s="2">
        <v>2.33729268159176E-2</v>
      </c>
      <c r="D12476" s="2">
        <v>1.8489170628631799E-2</v>
      </c>
      <c r="E12476" s="2">
        <v>1.3836477987421301E-2</v>
      </c>
      <c r="F12476" s="2">
        <v>2.2570024335544201E-2</v>
      </c>
    </row>
    <row r="12477" spans="1:6" x14ac:dyDescent="0.25">
      <c r="A12477" s="1" t="str">
        <f t="shared" si="460"/>
        <v>23340</v>
      </c>
      <c r="B12477" s="1" t="str">
        <f>"68072"</f>
        <v>68072</v>
      </c>
      <c r="C12477" s="2">
        <v>2.1347638075428299E-3</v>
      </c>
      <c r="D12477" s="2">
        <v>0</v>
      </c>
      <c r="E12477" s="2">
        <v>1.2578616352201201E-3</v>
      </c>
      <c r="F12477" s="2">
        <v>1.9086701340840699E-3</v>
      </c>
    </row>
    <row r="12478" spans="1:6" x14ac:dyDescent="0.25">
      <c r="A12478" s="1" t="str">
        <f t="shared" si="460"/>
        <v>23340</v>
      </c>
      <c r="B12478" s="1" t="str">
        <f>"68025"</f>
        <v>68025</v>
      </c>
      <c r="C12478" s="2">
        <v>0.72532705676282205</v>
      </c>
      <c r="D12478" s="2">
        <v>0.71579503433703096</v>
      </c>
      <c r="E12478" s="2">
        <v>0.92578616352201204</v>
      </c>
      <c r="F12478" s="2">
        <v>0.73207042992794702</v>
      </c>
    </row>
    <row r="12479" spans="1:6" x14ac:dyDescent="0.25">
      <c r="A12479" s="1" t="str">
        <f t="shared" si="460"/>
        <v>23340</v>
      </c>
      <c r="B12479" s="1" t="str">
        <f>"68063"</f>
        <v>68063</v>
      </c>
      <c r="C12479" s="2">
        <v>7.7179922272702303E-3</v>
      </c>
      <c r="D12479" s="2">
        <v>0</v>
      </c>
      <c r="E12479" s="2">
        <v>1.2578616352201201E-3</v>
      </c>
      <c r="F12479" s="2">
        <v>6.7757789759984701E-3</v>
      </c>
    </row>
    <row r="12480" spans="1:6" x14ac:dyDescent="0.25">
      <c r="A12480" s="1" t="str">
        <f t="shared" si="460"/>
        <v>23340</v>
      </c>
      <c r="B12480" s="1" t="str">
        <f>"68064"</f>
        <v>68064</v>
      </c>
      <c r="C12480" s="2">
        <v>2.7368766763369599E-4</v>
      </c>
      <c r="D12480" s="2">
        <v>0</v>
      </c>
      <c r="E12480" s="2">
        <v>0</v>
      </c>
      <c r="F12480" s="2">
        <v>2.3858376676050901E-4</v>
      </c>
    </row>
    <row r="12481" spans="1:6" x14ac:dyDescent="0.25">
      <c r="A12481" s="1" t="str">
        <f t="shared" si="460"/>
        <v>23340</v>
      </c>
      <c r="B12481" s="1" t="str">
        <f>"68026"</f>
        <v>68026</v>
      </c>
      <c r="C12481" s="2">
        <v>6.8914554710164694E-2</v>
      </c>
      <c r="D12481" s="2">
        <v>0.164289487585842</v>
      </c>
      <c r="E12481" s="2">
        <v>2.5157232704402501E-3</v>
      </c>
      <c r="F12481" s="2">
        <v>7.5010736269504205E-2</v>
      </c>
    </row>
    <row r="12482" spans="1:6" x14ac:dyDescent="0.25">
      <c r="A12482" s="1" t="str">
        <f t="shared" si="460"/>
        <v>23340</v>
      </c>
      <c r="B12482" s="1" t="str">
        <f>"68031"</f>
        <v>68031</v>
      </c>
      <c r="C12482" s="2">
        <v>4.1491050413268303E-2</v>
      </c>
      <c r="D12482" s="2">
        <v>2.4828314844162699E-2</v>
      </c>
      <c r="E12482" s="2">
        <v>1.63522012578616E-2</v>
      </c>
      <c r="F12482" s="2">
        <v>3.9032304242019297E-2</v>
      </c>
    </row>
    <row r="12483" spans="1:6" x14ac:dyDescent="0.25">
      <c r="A12483" s="1" t="str">
        <f t="shared" si="460"/>
        <v>23340</v>
      </c>
      <c r="B12483" s="1" t="str">
        <f>"68664"</f>
        <v>68664</v>
      </c>
      <c r="C12483" s="2">
        <v>9.0864305654387197E-3</v>
      </c>
      <c r="D12483" s="2">
        <v>0</v>
      </c>
      <c r="E12483" s="2">
        <v>0</v>
      </c>
      <c r="F12483" s="2">
        <v>7.9209810564489103E-3</v>
      </c>
    </row>
    <row r="12484" spans="1:6" x14ac:dyDescent="0.25">
      <c r="A12484" s="1" t="str">
        <f t="shared" si="460"/>
        <v>23340</v>
      </c>
      <c r="B12484" s="1" t="str">
        <f>"68045"</f>
        <v>68045</v>
      </c>
      <c r="C12484" s="2">
        <v>1.6421260058021699E-4</v>
      </c>
      <c r="D12484" s="2">
        <v>0</v>
      </c>
      <c r="E12484" s="2">
        <v>0</v>
      </c>
      <c r="F12484" s="2">
        <v>1.4315026005630501E-4</v>
      </c>
    </row>
    <row r="12485" spans="1:6" x14ac:dyDescent="0.25">
      <c r="A12485" s="1" t="str">
        <f t="shared" si="460"/>
        <v>23340</v>
      </c>
      <c r="B12485" s="1" t="str">
        <f>"68659"</f>
        <v>68659</v>
      </c>
      <c r="C12485" s="2">
        <v>0</v>
      </c>
      <c r="D12485" s="2">
        <v>5.2826201796090798E-4</v>
      </c>
      <c r="E12485" s="2">
        <v>0</v>
      </c>
      <c r="F12485" s="2">
        <v>4.7716753352101901E-5</v>
      </c>
    </row>
    <row r="12486" spans="1:6" x14ac:dyDescent="0.25">
      <c r="A12486" s="1" t="str">
        <f t="shared" si="460"/>
        <v>23340</v>
      </c>
      <c r="B12486" s="1" t="str">
        <f>"68621"</f>
        <v>68621</v>
      </c>
      <c r="C12486" s="2">
        <v>1.43959713175324E-2</v>
      </c>
      <c r="D12486" s="2">
        <v>1.0565240359218101E-3</v>
      </c>
      <c r="E12486" s="2">
        <v>0</v>
      </c>
      <c r="F12486" s="2">
        <v>1.2644939638307E-2</v>
      </c>
    </row>
    <row r="12487" spans="1:6" x14ac:dyDescent="0.25">
      <c r="A12487" s="1" t="str">
        <f t="shared" si="460"/>
        <v>23340</v>
      </c>
      <c r="B12487" s="1" t="str">
        <f>"68649"</f>
        <v>68649</v>
      </c>
      <c r="C12487" s="2">
        <v>5.3916470523838099E-2</v>
      </c>
      <c r="D12487" s="2">
        <v>4.3845747490755399E-2</v>
      </c>
      <c r="E12487" s="2">
        <v>2.0125786163522001E-2</v>
      </c>
      <c r="F12487" s="2">
        <v>5.1724960633678402E-2</v>
      </c>
    </row>
    <row r="12488" spans="1:6" x14ac:dyDescent="0.25">
      <c r="A12488" s="1" t="str">
        <f t="shared" si="460"/>
        <v>23340</v>
      </c>
      <c r="B12488" s="1" t="str">
        <f>"68788"</f>
        <v>68788</v>
      </c>
      <c r="C12488" s="2">
        <v>1.09475067053478E-4</v>
      </c>
      <c r="D12488" s="2">
        <v>0</v>
      </c>
      <c r="E12488" s="2">
        <v>0</v>
      </c>
      <c r="F12488" s="2">
        <v>9.5433506704203802E-5</v>
      </c>
    </row>
    <row r="12489" spans="1:6" x14ac:dyDescent="0.25">
      <c r="A12489" s="1" t="str">
        <f t="shared" si="460"/>
        <v>23340</v>
      </c>
      <c r="B12489" s="1" t="str">
        <f>"68044"</f>
        <v>68044</v>
      </c>
      <c r="C12489" s="2">
        <v>1.0892769171821101E-2</v>
      </c>
      <c r="D12489" s="2">
        <v>1.0565240359218101E-3</v>
      </c>
      <c r="E12489" s="2">
        <v>2.5157232704402501E-3</v>
      </c>
      <c r="F12489" s="2">
        <v>9.6865009304766894E-3</v>
      </c>
    </row>
    <row r="12490" spans="1:6" x14ac:dyDescent="0.25">
      <c r="A12490" s="1" t="str">
        <f t="shared" si="460"/>
        <v>23340</v>
      </c>
      <c r="B12490" s="1" t="str">
        <f>"68057"</f>
        <v>68057</v>
      </c>
      <c r="C12490" s="2">
        <v>4.2202638349115897E-2</v>
      </c>
      <c r="D12490" s="2">
        <v>3.0110935023771698E-2</v>
      </c>
      <c r="E12490" s="2">
        <v>1.63522012578616E-2</v>
      </c>
      <c r="F12490" s="2">
        <v>4.0129789569117703E-2</v>
      </c>
    </row>
    <row r="12491" spans="1:6" x14ac:dyDescent="0.25">
      <c r="A12491" s="1" t="str">
        <f t="shared" ref="A12491:A12509" si="461">"23380"</f>
        <v>23380</v>
      </c>
      <c r="B12491" s="1" t="str">
        <f>"44841"</f>
        <v>44841</v>
      </c>
      <c r="C12491" s="2">
        <v>3.2309043020193099E-3</v>
      </c>
      <c r="D12491" s="2">
        <v>1.66805671392827E-3</v>
      </c>
      <c r="E12491" s="2">
        <v>0</v>
      </c>
      <c r="F12491" s="2">
        <v>3.0073303677714399E-3</v>
      </c>
    </row>
    <row r="12492" spans="1:6" x14ac:dyDescent="0.25">
      <c r="A12492" s="1" t="str">
        <f t="shared" si="461"/>
        <v>23380</v>
      </c>
      <c r="B12492" s="1" t="str">
        <f>"43406"</f>
        <v>43406</v>
      </c>
      <c r="C12492" s="2">
        <v>1.2642669007901599E-3</v>
      </c>
      <c r="D12492" s="2">
        <v>0</v>
      </c>
      <c r="E12492" s="2">
        <v>0</v>
      </c>
      <c r="F12492" s="2">
        <v>1.1277488879142901E-3</v>
      </c>
    </row>
    <row r="12493" spans="1:6" x14ac:dyDescent="0.25">
      <c r="A12493" s="1" t="str">
        <f t="shared" si="461"/>
        <v>23380</v>
      </c>
      <c r="B12493" s="1" t="str">
        <f>"43416"</f>
        <v>43416</v>
      </c>
      <c r="C12493" s="2">
        <v>1.6856892010535501E-3</v>
      </c>
      <c r="D12493" s="2">
        <v>4.1701417848206799E-4</v>
      </c>
      <c r="E12493" s="2">
        <v>0</v>
      </c>
      <c r="F12493" s="2">
        <v>1.5349915418833399E-3</v>
      </c>
    </row>
    <row r="12494" spans="1:6" x14ac:dyDescent="0.25">
      <c r="A12494" s="1" t="str">
        <f t="shared" si="461"/>
        <v>23380</v>
      </c>
      <c r="B12494" s="1" t="str">
        <f>"43410"</f>
        <v>43410</v>
      </c>
      <c r="C12494" s="2">
        <v>0.156804214223002</v>
      </c>
      <c r="D12494" s="2">
        <v>0.13052543786488699</v>
      </c>
      <c r="E12494" s="2">
        <v>0.16491897044804499</v>
      </c>
      <c r="F12494" s="2">
        <v>0.15509679844621199</v>
      </c>
    </row>
    <row r="12495" spans="1:6" x14ac:dyDescent="0.25">
      <c r="A12495" s="1" t="str">
        <f t="shared" si="461"/>
        <v>23380</v>
      </c>
      <c r="B12495" s="1" t="str">
        <f>"44811"</f>
        <v>44811</v>
      </c>
      <c r="C12495" s="2">
        <v>9.6540825285338E-2</v>
      </c>
      <c r="D12495" s="2">
        <v>7.8398665554628794E-2</v>
      </c>
      <c r="E12495" s="2">
        <v>8.1029551954242093E-2</v>
      </c>
      <c r="F12495" s="2">
        <v>9.4668253868805202E-2</v>
      </c>
    </row>
    <row r="12496" spans="1:6" x14ac:dyDescent="0.25">
      <c r="A12496" s="1" t="str">
        <f t="shared" si="461"/>
        <v>23380</v>
      </c>
      <c r="B12496" s="1" t="str">
        <f>"43469"</f>
        <v>43469</v>
      </c>
      <c r="C12496" s="2">
        <v>4.4424934152765501E-2</v>
      </c>
      <c r="D12496" s="2">
        <v>4.0450375312760599E-2</v>
      </c>
      <c r="E12496" s="2">
        <v>2.7645376549094301E-2</v>
      </c>
      <c r="F12496" s="2">
        <v>4.3574963974688297E-2</v>
      </c>
    </row>
    <row r="12497" spans="1:6" x14ac:dyDescent="0.25">
      <c r="A12497" s="1" t="str">
        <f t="shared" si="461"/>
        <v>23380</v>
      </c>
      <c r="B12497" s="1" t="str">
        <f>"43435"</f>
        <v>43435</v>
      </c>
      <c r="C12497" s="2">
        <v>2.0368744512730401E-2</v>
      </c>
      <c r="D12497" s="2">
        <v>5.0041701417848196E-3</v>
      </c>
      <c r="E12497" s="2">
        <v>1.9065776930409901E-3</v>
      </c>
      <c r="F12497" s="2">
        <v>1.86078566505858E-2</v>
      </c>
    </row>
    <row r="12498" spans="1:6" x14ac:dyDescent="0.25">
      <c r="A12498" s="1" t="str">
        <f t="shared" si="461"/>
        <v>23380</v>
      </c>
      <c r="B12498" s="1" t="str">
        <f>"43457"</f>
        <v>43457</v>
      </c>
      <c r="C12498" s="2">
        <v>5.9350307287093897E-3</v>
      </c>
      <c r="D12498" s="2">
        <v>8.3402835696413599E-4</v>
      </c>
      <c r="E12498" s="2">
        <v>0</v>
      </c>
      <c r="F12498" s="2">
        <v>5.3568072175928802E-3</v>
      </c>
    </row>
    <row r="12499" spans="1:6" x14ac:dyDescent="0.25">
      <c r="A12499" s="1" t="str">
        <f t="shared" si="461"/>
        <v>23380</v>
      </c>
      <c r="B12499" s="1" t="str">
        <f>"44824"</f>
        <v>44824</v>
      </c>
      <c r="C12499" s="2">
        <v>1.33450395083406E-3</v>
      </c>
      <c r="D12499" s="2">
        <v>0</v>
      </c>
      <c r="E12499" s="2">
        <v>0</v>
      </c>
      <c r="F12499" s="2">
        <v>1.1904016039095201E-3</v>
      </c>
    </row>
    <row r="12500" spans="1:6" x14ac:dyDescent="0.25">
      <c r="A12500" s="1" t="str">
        <f t="shared" si="461"/>
        <v>23380</v>
      </c>
      <c r="B12500" s="1" t="str">
        <f>"43407"</f>
        <v>43407</v>
      </c>
      <c r="C12500" s="2">
        <v>8.2879719051799795E-3</v>
      </c>
      <c r="D12500" s="2">
        <v>8.3402835696413599E-4</v>
      </c>
      <c r="E12500" s="2">
        <v>9.5328884652049503E-4</v>
      </c>
      <c r="F12500" s="2">
        <v>7.4869995614309801E-3</v>
      </c>
    </row>
    <row r="12501" spans="1:6" x14ac:dyDescent="0.25">
      <c r="A12501" s="1" t="str">
        <f t="shared" si="461"/>
        <v>23380</v>
      </c>
      <c r="B12501" s="1" t="str">
        <f>"43442"</f>
        <v>43442</v>
      </c>
      <c r="C12501" s="2">
        <v>1.4258121158911299E-2</v>
      </c>
      <c r="D12501" s="2">
        <v>5.4211843202668798E-3</v>
      </c>
      <c r="E12501" s="2">
        <v>3.8131553860819801E-3</v>
      </c>
      <c r="F12501" s="2">
        <v>1.3251049432992899E-2</v>
      </c>
    </row>
    <row r="12502" spans="1:6" x14ac:dyDescent="0.25">
      <c r="A12502" s="1" t="str">
        <f t="shared" si="461"/>
        <v>23380</v>
      </c>
      <c r="B12502" s="1" t="str">
        <f>"43464"</f>
        <v>43464</v>
      </c>
      <c r="C12502" s="2">
        <v>1.75943810359964E-2</v>
      </c>
      <c r="D12502" s="2">
        <v>4.5871559633027499E-3</v>
      </c>
      <c r="E12502" s="2">
        <v>9.5328884652049503E-4</v>
      </c>
      <c r="F12502" s="2">
        <v>1.60704216527786E-2</v>
      </c>
    </row>
    <row r="12503" spans="1:6" x14ac:dyDescent="0.25">
      <c r="A12503" s="1" t="str">
        <f t="shared" si="461"/>
        <v>23380</v>
      </c>
      <c r="B12503" s="1" t="str">
        <f>"43443"</f>
        <v>43443</v>
      </c>
      <c r="C12503" s="2">
        <v>7.0237050043898101E-5</v>
      </c>
      <c r="D12503" s="2">
        <v>0</v>
      </c>
      <c r="E12503" s="2">
        <v>0</v>
      </c>
      <c r="F12503" s="2">
        <v>6.26527159952383E-5</v>
      </c>
    </row>
    <row r="12504" spans="1:6" x14ac:dyDescent="0.25">
      <c r="A12504" s="1" t="str">
        <f t="shared" si="461"/>
        <v>23380</v>
      </c>
      <c r="B12504" s="1" t="str">
        <f>"44836"</f>
        <v>44836</v>
      </c>
      <c r="C12504" s="2">
        <v>1.3766461808604E-2</v>
      </c>
      <c r="D12504" s="2">
        <v>4.1701417848206803E-3</v>
      </c>
      <c r="E12504" s="2">
        <v>5.7197330791229697E-3</v>
      </c>
      <c r="F12504" s="2">
        <v>1.2781154063028599E-2</v>
      </c>
    </row>
    <row r="12505" spans="1:6" x14ac:dyDescent="0.25">
      <c r="A12505" s="1" t="str">
        <f t="shared" si="461"/>
        <v>23380</v>
      </c>
      <c r="B12505" s="1" t="str">
        <f>"43449"</f>
        <v>43449</v>
      </c>
      <c r="C12505" s="2">
        <v>9.833187006145739E-4</v>
      </c>
      <c r="D12505" s="2">
        <v>0</v>
      </c>
      <c r="E12505" s="2">
        <v>0</v>
      </c>
      <c r="F12505" s="2">
        <v>8.7713802393333705E-4</v>
      </c>
    </row>
    <row r="12506" spans="1:6" x14ac:dyDescent="0.25">
      <c r="A12506" s="1" t="str">
        <f t="shared" si="461"/>
        <v>23380</v>
      </c>
      <c r="B12506" s="1" t="str">
        <f>"43450"</f>
        <v>43450</v>
      </c>
      <c r="C12506" s="2">
        <v>2.1071115013169401E-4</v>
      </c>
      <c r="D12506" s="2">
        <v>0</v>
      </c>
      <c r="E12506" s="2">
        <v>0</v>
      </c>
      <c r="F12506" s="2">
        <v>1.87958147985715E-4</v>
      </c>
    </row>
    <row r="12507" spans="1:6" x14ac:dyDescent="0.25">
      <c r="A12507" s="1" t="str">
        <f t="shared" si="461"/>
        <v>23380</v>
      </c>
      <c r="B12507" s="1" t="str">
        <f>"43430"</f>
        <v>43430</v>
      </c>
      <c r="C12507" s="2">
        <v>1.01843722563652E-3</v>
      </c>
      <c r="D12507" s="2">
        <v>7.0892410341951602E-3</v>
      </c>
      <c r="E12507" s="2">
        <v>5.7197330791229697E-3</v>
      </c>
      <c r="F12507" s="2">
        <v>1.6289706158761901E-3</v>
      </c>
    </row>
    <row r="12508" spans="1:6" x14ac:dyDescent="0.25">
      <c r="A12508" s="1" t="str">
        <f t="shared" si="461"/>
        <v>23380</v>
      </c>
      <c r="B12508" s="1" t="str">
        <f>"43420"</f>
        <v>43420</v>
      </c>
      <c r="C12508" s="2">
        <v>0.54208955223880495</v>
      </c>
      <c r="D12508" s="2">
        <v>0.66638865721434504</v>
      </c>
      <c r="E12508" s="2">
        <v>0.64251668255481398</v>
      </c>
      <c r="F12508" s="2">
        <v>0.55472714742184004</v>
      </c>
    </row>
    <row r="12509" spans="1:6" x14ac:dyDescent="0.25">
      <c r="A12509" s="1" t="str">
        <f t="shared" si="461"/>
        <v>23380</v>
      </c>
      <c r="B12509" s="1" t="str">
        <f>"43431"</f>
        <v>43431</v>
      </c>
      <c r="C12509" s="2">
        <v>7.0131694468832301E-2</v>
      </c>
      <c r="D12509" s="2">
        <v>5.4211843202668801E-2</v>
      </c>
      <c r="E12509" s="2">
        <v>6.4823641563393694E-2</v>
      </c>
      <c r="F12509" s="2">
        <v>6.8761355804774105E-2</v>
      </c>
    </row>
    <row r="12510" spans="1:6" x14ac:dyDescent="0.25">
      <c r="A12510" s="1" t="str">
        <f t="shared" ref="A12510:A12541" si="462">"23420"</f>
        <v>23420</v>
      </c>
      <c r="B12510" s="1" t="str">
        <f>"93778"</f>
        <v>93778</v>
      </c>
      <c r="C12510" s="2">
        <v>1.6306213525574999E-4</v>
      </c>
      <c r="D12510" s="2">
        <v>1.4463407578825501E-3</v>
      </c>
      <c r="E12510" s="2">
        <v>1.0998075336816E-4</v>
      </c>
      <c r="F12510" s="2">
        <v>2.70931981159042E-4</v>
      </c>
    </row>
    <row r="12511" spans="1:6" x14ac:dyDescent="0.25">
      <c r="A12511" s="1" t="str">
        <f t="shared" si="462"/>
        <v>23420</v>
      </c>
      <c r="B12511" s="1" t="str">
        <f>"93616"</f>
        <v>93616</v>
      </c>
      <c r="C12511" s="2">
        <v>1.2758896898958599E-3</v>
      </c>
      <c r="D12511" s="2">
        <v>4.0497541220711498E-4</v>
      </c>
      <c r="E12511" s="2">
        <v>1.374759417102E-3</v>
      </c>
      <c r="F12511" s="2">
        <v>1.20552303543243E-3</v>
      </c>
    </row>
    <row r="12512" spans="1:6" x14ac:dyDescent="0.25">
      <c r="A12512" s="1" t="str">
        <f t="shared" si="462"/>
        <v>23420</v>
      </c>
      <c r="B12512" s="1" t="str">
        <f>"93621"</f>
        <v>93621</v>
      </c>
      <c r="C12512" s="2">
        <v>6.8657741160315798E-4</v>
      </c>
      <c r="D12512" s="2">
        <v>1.44634075788255E-4</v>
      </c>
      <c r="E12512" s="2">
        <v>1.6497113005224E-4</v>
      </c>
      <c r="F12512" s="2">
        <v>6.1643239749947104E-4</v>
      </c>
    </row>
    <row r="12513" spans="1:6" x14ac:dyDescent="0.25">
      <c r="A12513" s="1" t="str">
        <f t="shared" si="462"/>
        <v>23420</v>
      </c>
      <c r="B12513" s="1" t="str">
        <f>"93706"</f>
        <v>93706</v>
      </c>
      <c r="C12513" s="2">
        <v>3.4351756493877998E-2</v>
      </c>
      <c r="D12513" s="2">
        <v>3.8588371420306598E-2</v>
      </c>
      <c r="E12513" s="2">
        <v>2.5790486664833599E-2</v>
      </c>
      <c r="F12513" s="2">
        <v>3.4328821943004802E-2</v>
      </c>
    </row>
    <row r="12514" spans="1:6" x14ac:dyDescent="0.25">
      <c r="A12514" s="1" t="str">
        <f t="shared" si="462"/>
        <v>23420</v>
      </c>
      <c r="B12514" s="1" t="str">
        <f>"93727"</f>
        <v>93727</v>
      </c>
      <c r="C12514" s="2">
        <v>7.35066941297631E-2</v>
      </c>
      <c r="D12514" s="2">
        <v>6.6444894417124603E-2</v>
      </c>
      <c r="E12514" s="2">
        <v>7.4786912290349103E-2</v>
      </c>
      <c r="F12514" s="2">
        <v>7.2957756981469696E-2</v>
      </c>
    </row>
    <row r="12515" spans="1:6" x14ac:dyDescent="0.25">
      <c r="A12515" s="1" t="str">
        <f t="shared" si="462"/>
        <v>23420</v>
      </c>
      <c r="B12515" s="1" t="str">
        <f>"93772"</f>
        <v>93772</v>
      </c>
      <c r="C12515" s="2">
        <v>2.23137658771026E-4</v>
      </c>
      <c r="D12515" s="2">
        <v>8.6780445472953399E-4</v>
      </c>
      <c r="E12515" s="2">
        <v>1.0998075336816E-4</v>
      </c>
      <c r="F12515" s="2">
        <v>2.7341759566508798E-4</v>
      </c>
    </row>
    <row r="12516" spans="1:6" x14ac:dyDescent="0.25">
      <c r="A12516" s="1" t="str">
        <f t="shared" si="462"/>
        <v>23420</v>
      </c>
      <c r="B12516" s="1" t="str">
        <f>"93776"</f>
        <v>93776</v>
      </c>
      <c r="C12516" s="2">
        <v>1.9453026662089401E-4</v>
      </c>
      <c r="D12516" s="2">
        <v>1.24385305177899E-3</v>
      </c>
      <c r="E12516" s="2">
        <v>1.0998075336816E-4</v>
      </c>
      <c r="F12516" s="2">
        <v>2.8087443918322703E-4</v>
      </c>
    </row>
    <row r="12517" spans="1:6" x14ac:dyDescent="0.25">
      <c r="A12517" s="1" t="str">
        <f t="shared" si="462"/>
        <v>23420</v>
      </c>
      <c r="B12517" s="1" t="str">
        <f>"93779"</f>
        <v>93779</v>
      </c>
      <c r="C12517" s="2">
        <v>2.88934660716329E-4</v>
      </c>
      <c r="D12517" s="2">
        <v>1.0992189759907399E-3</v>
      </c>
      <c r="E12517" s="2">
        <v>1.0998075336816E-4</v>
      </c>
      <c r="F12517" s="2">
        <v>3.50471645352522E-4</v>
      </c>
    </row>
    <row r="12518" spans="1:6" x14ac:dyDescent="0.25">
      <c r="A12518" s="1" t="str">
        <f t="shared" si="462"/>
        <v>23420</v>
      </c>
      <c r="B12518" s="1" t="str">
        <f>"93654"</f>
        <v>93654</v>
      </c>
      <c r="C12518" s="2">
        <v>2.9817484838082099E-2</v>
      </c>
      <c r="D12518" s="2">
        <v>2.8435059299971002E-2</v>
      </c>
      <c r="E12518" s="2">
        <v>2.72202364586197E-2</v>
      </c>
      <c r="F12518" s="2">
        <v>2.9581298236456499E-2</v>
      </c>
    </row>
    <row r="12519" spans="1:6" x14ac:dyDescent="0.25">
      <c r="A12519" s="1" t="str">
        <f t="shared" si="462"/>
        <v>23420</v>
      </c>
      <c r="B12519" s="1" t="str">
        <f>"93657"</f>
        <v>93657</v>
      </c>
      <c r="C12519" s="2">
        <v>3.7346950451996701E-2</v>
      </c>
      <c r="D12519" s="2">
        <v>2.5050621926525799E-2</v>
      </c>
      <c r="E12519" s="2">
        <v>3.4423975804234203E-2</v>
      </c>
      <c r="F12519" s="2">
        <v>3.6158234219454903E-2</v>
      </c>
    </row>
    <row r="12520" spans="1:6" x14ac:dyDescent="0.25">
      <c r="A12520" s="1" t="str">
        <f t="shared" si="462"/>
        <v>23420</v>
      </c>
      <c r="B12520" s="1" t="str">
        <f>"93650"</f>
        <v>93650</v>
      </c>
      <c r="C12520" s="2">
        <v>6.03902048289277E-3</v>
      </c>
      <c r="D12520" s="2">
        <v>1.1483945617587501E-2</v>
      </c>
      <c r="E12520" s="2">
        <v>6.2139125653010701E-3</v>
      </c>
      <c r="F12520" s="2">
        <v>6.51479562034724E-3</v>
      </c>
    </row>
    <row r="12521" spans="1:6" x14ac:dyDescent="0.25">
      <c r="A12521" s="1" t="str">
        <f t="shared" si="462"/>
        <v>23420</v>
      </c>
      <c r="B12521" s="1" t="str">
        <f>"93667"</f>
        <v>93667</v>
      </c>
      <c r="C12521" s="2">
        <v>2.6690696876072702E-3</v>
      </c>
      <c r="D12521" s="2">
        <v>3.47121781891813E-4</v>
      </c>
      <c r="E12521" s="2">
        <v>5.4990376684080202E-5</v>
      </c>
      <c r="F12521" s="2">
        <v>2.3513913227197502E-3</v>
      </c>
    </row>
    <row r="12522" spans="1:6" x14ac:dyDescent="0.25">
      <c r="A12522" s="1" t="str">
        <f t="shared" si="462"/>
        <v>23420</v>
      </c>
      <c r="B12522" s="1" t="str">
        <f>"93744"</f>
        <v>93744</v>
      </c>
      <c r="C12522" s="2">
        <v>1.9023915779837501E-3</v>
      </c>
      <c r="D12522" s="2">
        <v>4.9464853919583404E-3</v>
      </c>
      <c r="E12522" s="2">
        <v>1.0998075336816E-4</v>
      </c>
      <c r="F12522" s="2">
        <v>2.0829449560667598E-3</v>
      </c>
    </row>
    <row r="12523" spans="1:6" x14ac:dyDescent="0.25">
      <c r="A12523" s="1" t="str">
        <f t="shared" si="462"/>
        <v>23420</v>
      </c>
      <c r="B12523" s="1" t="str">
        <f>"93745"</f>
        <v>93745</v>
      </c>
      <c r="C12523" s="2">
        <v>2.2370980661402902E-3</v>
      </c>
      <c r="D12523" s="2">
        <v>4.0497541220711501E-3</v>
      </c>
      <c r="E12523" s="2">
        <v>1.0998075336816E-4</v>
      </c>
      <c r="F12523" s="2">
        <v>2.2967078035867399E-3</v>
      </c>
    </row>
    <row r="12524" spans="1:6" x14ac:dyDescent="0.25">
      <c r="A12524" s="1" t="str">
        <f t="shared" si="462"/>
        <v>23420</v>
      </c>
      <c r="B12524" s="1" t="str">
        <f>"93720"</f>
        <v>93720</v>
      </c>
      <c r="C12524" s="2">
        <v>5.6079070831902902E-2</v>
      </c>
      <c r="D12524" s="2">
        <v>5.6580850448365597E-2</v>
      </c>
      <c r="E12524" s="2">
        <v>5.5650261204289203E-2</v>
      </c>
      <c r="F12524" s="2">
        <v>5.6102805015970002E-2</v>
      </c>
    </row>
    <row r="12525" spans="1:6" x14ac:dyDescent="0.25">
      <c r="A12525" s="1" t="str">
        <f t="shared" si="462"/>
        <v>23420</v>
      </c>
      <c r="B12525" s="1" t="str">
        <f>"93722"</f>
        <v>93722</v>
      </c>
      <c r="C12525" s="2">
        <v>7.9213868863714301E-2</v>
      </c>
      <c r="D12525" s="2">
        <v>6.9742551345096895E-2</v>
      </c>
      <c r="E12525" s="2">
        <v>6.2139125653010698E-2</v>
      </c>
      <c r="F12525" s="2">
        <v>7.7628226638330605E-2</v>
      </c>
    </row>
    <row r="12526" spans="1:6" x14ac:dyDescent="0.25">
      <c r="A12526" s="1" t="str">
        <f t="shared" si="462"/>
        <v>23420</v>
      </c>
      <c r="B12526" s="1" t="str">
        <f>"93725"</f>
        <v>93725</v>
      </c>
      <c r="C12526" s="2">
        <v>2.0963496967616398E-2</v>
      </c>
      <c r="D12526" s="2">
        <v>2.8579693375759298E-2</v>
      </c>
      <c r="E12526" s="2">
        <v>1.4682430574649401E-2</v>
      </c>
      <c r="F12526" s="2">
        <v>2.1334029305394998E-2</v>
      </c>
    </row>
    <row r="12527" spans="1:6" x14ac:dyDescent="0.25">
      <c r="A12527" s="1" t="str">
        <f t="shared" si="462"/>
        <v>23420</v>
      </c>
      <c r="B12527" s="1" t="str">
        <f>"93703"</f>
        <v>93703</v>
      </c>
      <c r="C12527" s="2">
        <v>3.1242132967158699E-2</v>
      </c>
      <c r="D12527" s="2">
        <v>3.7662713335261701E-2</v>
      </c>
      <c r="E12527" s="2">
        <v>5.06461369260379E-2</v>
      </c>
      <c r="F12527" s="2">
        <v>3.2670917067472001E-2</v>
      </c>
    </row>
    <row r="12528" spans="1:6" x14ac:dyDescent="0.25">
      <c r="A12528" s="1" t="str">
        <f t="shared" si="462"/>
        <v>23420</v>
      </c>
      <c r="B12528" s="1" t="str">
        <f>"93611"</f>
        <v>93611</v>
      </c>
      <c r="C12528" s="2">
        <v>4.7599839798603903E-2</v>
      </c>
      <c r="D12528" s="2">
        <v>3.2716227943303401E-2</v>
      </c>
      <c r="E12528" s="2">
        <v>2.5185592521308701E-2</v>
      </c>
      <c r="F12528" s="2">
        <v>4.5307781216211103E-2</v>
      </c>
    </row>
    <row r="12529" spans="1:6" x14ac:dyDescent="0.25">
      <c r="A12529" s="1" t="str">
        <f t="shared" si="462"/>
        <v>23420</v>
      </c>
      <c r="B12529" s="1" t="str">
        <f>"93630"</f>
        <v>93630</v>
      </c>
      <c r="C12529" s="2">
        <v>1.93443185719189E-2</v>
      </c>
      <c r="D12529" s="2">
        <v>1.4116285796933701E-2</v>
      </c>
      <c r="E12529" s="2">
        <v>7.1487489689304297E-3</v>
      </c>
      <c r="F12529" s="2">
        <v>1.83438350546213E-2</v>
      </c>
    </row>
    <row r="12530" spans="1:6" x14ac:dyDescent="0.25">
      <c r="A12530" s="1" t="str">
        <f t="shared" si="462"/>
        <v>23420</v>
      </c>
      <c r="B12530" s="1" t="str">
        <f>"93646"</f>
        <v>93646</v>
      </c>
      <c r="C12530" s="2">
        <v>7.56951596292481E-3</v>
      </c>
      <c r="D12530" s="2">
        <v>4.8307781313277403E-3</v>
      </c>
      <c r="E12530" s="2">
        <v>5.6640087984602596E-3</v>
      </c>
      <c r="F12530" s="2">
        <v>7.2480518996308804E-3</v>
      </c>
    </row>
    <row r="12531" spans="1:6" x14ac:dyDescent="0.25">
      <c r="A12531" s="1" t="str">
        <f t="shared" si="462"/>
        <v>23420</v>
      </c>
      <c r="B12531" s="1" t="str">
        <f>"93613"</f>
        <v>93613</v>
      </c>
      <c r="C12531" s="2">
        <v>5.7929969104016403E-3</v>
      </c>
      <c r="D12531" s="2">
        <v>1.9843795198148599E-2</v>
      </c>
      <c r="E12531" s="2">
        <v>1.0998075336816E-4</v>
      </c>
      <c r="F12531" s="2">
        <v>6.7434721549034897E-3</v>
      </c>
    </row>
    <row r="12532" spans="1:6" x14ac:dyDescent="0.25">
      <c r="A12532" s="1" t="str">
        <f t="shared" si="462"/>
        <v>23420</v>
      </c>
      <c r="B12532" s="1" t="str">
        <f>"93668"</f>
        <v>93668</v>
      </c>
      <c r="C12532" s="2">
        <v>3.4328870580157899E-4</v>
      </c>
      <c r="D12532" s="2">
        <v>1.7356089094590601E-4</v>
      </c>
      <c r="E12532" s="2">
        <v>2.19961506736321E-4</v>
      </c>
      <c r="F12532" s="2">
        <v>3.2312988578601302E-4</v>
      </c>
    </row>
    <row r="12533" spans="1:6" x14ac:dyDescent="0.25">
      <c r="A12533" s="1" t="str">
        <f t="shared" si="462"/>
        <v>23420</v>
      </c>
      <c r="B12533" s="1" t="str">
        <f>"93624"</f>
        <v>93624</v>
      </c>
      <c r="C12533" s="2">
        <v>0</v>
      </c>
      <c r="D12533" s="2">
        <v>0</v>
      </c>
      <c r="E12533" s="2">
        <v>5.4990376684080202E-5</v>
      </c>
      <c r="F12533" s="2">
        <v>2.48561450604625E-6</v>
      </c>
    </row>
    <row r="12534" spans="1:6" x14ac:dyDescent="0.25">
      <c r="A12534" s="1" t="str">
        <f t="shared" si="462"/>
        <v>23420</v>
      </c>
      <c r="B12534" s="1" t="str">
        <f>"93786"</f>
        <v>93786</v>
      </c>
      <c r="C12534" s="2">
        <v>0</v>
      </c>
      <c r="D12534" s="2">
        <v>2.89268151576511E-5</v>
      </c>
      <c r="E12534" s="2">
        <v>0</v>
      </c>
      <c r="F12534" s="2">
        <v>2.48561450604625E-6</v>
      </c>
    </row>
    <row r="12535" spans="1:6" x14ac:dyDescent="0.25">
      <c r="A12535" s="1" t="str">
        <f t="shared" si="462"/>
        <v>23420</v>
      </c>
      <c r="B12535" s="1" t="str">
        <f>"93765"</f>
        <v>93765</v>
      </c>
      <c r="C12535" s="2">
        <v>0</v>
      </c>
      <c r="D12535" s="2">
        <v>2.89268151576511E-5</v>
      </c>
      <c r="E12535" s="2">
        <v>0</v>
      </c>
      <c r="F12535" s="2">
        <v>2.48561450604625E-6</v>
      </c>
    </row>
    <row r="12536" spans="1:6" x14ac:dyDescent="0.25">
      <c r="A12536" s="1" t="str">
        <f t="shared" si="462"/>
        <v>23420</v>
      </c>
      <c r="B12536" s="1" t="str">
        <f>"93620"</f>
        <v>93620</v>
      </c>
      <c r="C12536" s="2">
        <v>6.23641148872868E-4</v>
      </c>
      <c r="D12536" s="2">
        <v>8.6780445472953399E-5</v>
      </c>
      <c r="E12536" s="2">
        <v>1.0998075336816E-4</v>
      </c>
      <c r="F12536" s="2">
        <v>5.5429203484831495E-4</v>
      </c>
    </row>
    <row r="12537" spans="1:6" x14ac:dyDescent="0.25">
      <c r="A12537" s="1" t="str">
        <f t="shared" si="462"/>
        <v>23420</v>
      </c>
      <c r="B12537" s="1" t="str">
        <f>"93606"</f>
        <v>93606</v>
      </c>
      <c r="C12537" s="2">
        <v>0</v>
      </c>
      <c r="D12537" s="2">
        <v>0</v>
      </c>
      <c r="E12537" s="2">
        <v>5.4990376684080202E-5</v>
      </c>
      <c r="F12537" s="2">
        <v>2.48561450604625E-6</v>
      </c>
    </row>
    <row r="12538" spans="1:6" x14ac:dyDescent="0.25">
      <c r="A12538" s="1" t="str">
        <f t="shared" si="462"/>
        <v>23420</v>
      </c>
      <c r="B12538" s="1" t="str">
        <f>"93741"</f>
        <v>93741</v>
      </c>
      <c r="C12538" s="2">
        <v>0</v>
      </c>
      <c r="D12538" s="2">
        <v>2.89268151576511E-5</v>
      </c>
      <c r="E12538" s="2">
        <v>0</v>
      </c>
      <c r="F12538" s="2">
        <v>2.48561450604625E-6</v>
      </c>
    </row>
    <row r="12539" spans="1:6" x14ac:dyDescent="0.25">
      <c r="A12539" s="1" t="str">
        <f t="shared" si="462"/>
        <v>23420</v>
      </c>
      <c r="B12539" s="1" t="str">
        <f>"93844"</f>
        <v>93844</v>
      </c>
      <c r="C12539" s="2">
        <v>0</v>
      </c>
      <c r="D12539" s="2">
        <v>2.89268151576511E-5</v>
      </c>
      <c r="E12539" s="2">
        <v>0</v>
      </c>
      <c r="F12539" s="2">
        <v>2.48561450604625E-6</v>
      </c>
    </row>
    <row r="12540" spans="1:6" x14ac:dyDescent="0.25">
      <c r="A12540" s="1" t="str">
        <f t="shared" si="462"/>
        <v>23420</v>
      </c>
      <c r="B12540" s="1" t="str">
        <f>"93652"</f>
        <v>93652</v>
      </c>
      <c r="C12540" s="2">
        <v>1.4875843918068401E-4</v>
      </c>
      <c r="D12540" s="2">
        <v>2.89268151576511E-5</v>
      </c>
      <c r="E12540" s="2">
        <v>0</v>
      </c>
      <c r="F12540" s="2">
        <v>1.3173756882045099E-4</v>
      </c>
    </row>
    <row r="12541" spans="1:6" x14ac:dyDescent="0.25">
      <c r="A12541" s="1" t="str">
        <f t="shared" si="462"/>
        <v>23420</v>
      </c>
      <c r="B12541" s="1" t="str">
        <f>"93712"</f>
        <v>93712</v>
      </c>
      <c r="C12541" s="2">
        <v>2.8321318228630198E-4</v>
      </c>
      <c r="D12541" s="2">
        <v>6.36389933468325E-4</v>
      </c>
      <c r="E12541" s="2">
        <v>1.0998075336816E-4</v>
      </c>
      <c r="F12541" s="2">
        <v>3.0573058424368901E-4</v>
      </c>
    </row>
    <row r="12542" spans="1:6" x14ac:dyDescent="0.25">
      <c r="A12542" s="1" t="str">
        <f t="shared" ref="A12542:A12573" si="463">"23420"</f>
        <v>23420</v>
      </c>
      <c r="B12542" s="1" t="str">
        <f>"93729"</f>
        <v>93729</v>
      </c>
      <c r="C12542" s="2">
        <v>4.2396155166494996E-3</v>
      </c>
      <c r="D12542" s="2">
        <v>2.2447208562337201E-2</v>
      </c>
      <c r="E12542" s="2">
        <v>1.0998075336816E-4</v>
      </c>
      <c r="F12542" s="2">
        <v>5.6174887836645399E-3</v>
      </c>
    </row>
    <row r="12543" spans="1:6" x14ac:dyDescent="0.25">
      <c r="A12543" s="1" t="str">
        <f t="shared" si="463"/>
        <v>23420</v>
      </c>
      <c r="B12543" s="1" t="str">
        <f>"93794"</f>
        <v>93794</v>
      </c>
      <c r="C12543" s="2">
        <v>5.2637601556242098E-4</v>
      </c>
      <c r="D12543" s="2">
        <v>2.63234017934625E-3</v>
      </c>
      <c r="E12543" s="2">
        <v>1.0998075336816E-4</v>
      </c>
      <c r="F12543" s="2">
        <v>6.8851521817481296E-4</v>
      </c>
    </row>
    <row r="12544" spans="1:6" x14ac:dyDescent="0.25">
      <c r="A12544" s="1" t="str">
        <f t="shared" si="463"/>
        <v>23420</v>
      </c>
      <c r="B12544" s="1" t="str">
        <f>"93764"</f>
        <v>93764</v>
      </c>
      <c r="C12544" s="2">
        <v>0</v>
      </c>
      <c r="D12544" s="2">
        <v>2.89268151576511E-5</v>
      </c>
      <c r="E12544" s="2">
        <v>0</v>
      </c>
      <c r="F12544" s="2">
        <v>2.48561450604625E-6</v>
      </c>
    </row>
    <row r="12545" spans="1:6" x14ac:dyDescent="0.25">
      <c r="A12545" s="1" t="str">
        <f t="shared" si="463"/>
        <v>23420</v>
      </c>
      <c r="B12545" s="1" t="str">
        <f>"93627"</f>
        <v>93627</v>
      </c>
      <c r="C12545" s="2">
        <v>0</v>
      </c>
      <c r="D12545" s="2">
        <v>0</v>
      </c>
      <c r="E12545" s="2">
        <v>5.4990376684080202E-5</v>
      </c>
      <c r="F12545" s="2">
        <v>2.48561450604625E-6</v>
      </c>
    </row>
    <row r="12546" spans="1:6" x14ac:dyDescent="0.25">
      <c r="A12546" s="1" t="str">
        <f t="shared" si="463"/>
        <v>23420</v>
      </c>
      <c r="B12546" s="1" t="str">
        <f>"93750"</f>
        <v>93750</v>
      </c>
      <c r="C12546" s="2">
        <v>0</v>
      </c>
      <c r="D12546" s="2">
        <v>2.89268151576511E-5</v>
      </c>
      <c r="E12546" s="2">
        <v>0</v>
      </c>
      <c r="F12546" s="2">
        <v>2.48561450604625E-6</v>
      </c>
    </row>
    <row r="12547" spans="1:6" x14ac:dyDescent="0.25">
      <c r="A12547" s="1" t="str">
        <f t="shared" si="463"/>
        <v>23420</v>
      </c>
      <c r="B12547" s="1" t="str">
        <f>"93740"</f>
        <v>93740</v>
      </c>
      <c r="C12547" s="2">
        <v>0</v>
      </c>
      <c r="D12547" s="2">
        <v>2.89268151576511E-5</v>
      </c>
      <c r="E12547" s="2">
        <v>0</v>
      </c>
      <c r="F12547" s="2">
        <v>2.48561450604625E-6</v>
      </c>
    </row>
    <row r="12548" spans="1:6" x14ac:dyDescent="0.25">
      <c r="A12548" s="1" t="str">
        <f t="shared" si="463"/>
        <v>23420</v>
      </c>
      <c r="B12548" s="1" t="str">
        <f>"93761"</f>
        <v>93761</v>
      </c>
      <c r="C12548" s="2">
        <v>0</v>
      </c>
      <c r="D12548" s="2">
        <v>2.89268151576511E-5</v>
      </c>
      <c r="E12548" s="2">
        <v>0</v>
      </c>
      <c r="F12548" s="2">
        <v>2.48561450604625E-6</v>
      </c>
    </row>
    <row r="12549" spans="1:6" x14ac:dyDescent="0.25">
      <c r="A12549" s="1" t="str">
        <f t="shared" si="463"/>
        <v>23420</v>
      </c>
      <c r="B12549" s="1" t="str">
        <f>"93715"</f>
        <v>93715</v>
      </c>
      <c r="C12549" s="2">
        <v>3.6331388030667102E-4</v>
      </c>
      <c r="D12549" s="2">
        <v>4.3390222736476699E-4</v>
      </c>
      <c r="E12549" s="2">
        <v>1.0998075336816E-4</v>
      </c>
      <c r="F12549" s="2">
        <v>3.57928488870661E-4</v>
      </c>
    </row>
    <row r="12550" spans="1:6" x14ac:dyDescent="0.25">
      <c r="A12550" s="1" t="str">
        <f t="shared" si="463"/>
        <v>23420</v>
      </c>
      <c r="B12550" s="1" t="str">
        <f>"93791"</f>
        <v>93791</v>
      </c>
      <c r="C12550" s="2">
        <v>1.6592287447076299E-4</v>
      </c>
      <c r="D12550" s="2">
        <v>9.8351171536013794E-4</v>
      </c>
      <c r="E12550" s="2">
        <v>1.0998075336816E-4</v>
      </c>
      <c r="F12550" s="2">
        <v>2.33647763568348E-4</v>
      </c>
    </row>
    <row r="12551" spans="1:6" x14ac:dyDescent="0.25">
      <c r="A12551" s="1" t="str">
        <f t="shared" si="463"/>
        <v>23420</v>
      </c>
      <c r="B12551" s="1" t="str">
        <f>"93714"</f>
        <v>93714</v>
      </c>
      <c r="C12551" s="2">
        <v>3.5187092344661801E-4</v>
      </c>
      <c r="D12551" s="2">
        <v>4.6282904252241798E-4</v>
      </c>
      <c r="E12551" s="2">
        <v>1.0998075336816E-4</v>
      </c>
      <c r="F12551" s="2">
        <v>3.50471645352522E-4</v>
      </c>
    </row>
    <row r="12552" spans="1:6" x14ac:dyDescent="0.25">
      <c r="A12552" s="1" t="str">
        <f t="shared" si="463"/>
        <v>23420</v>
      </c>
      <c r="B12552" s="1" t="str">
        <f>"93608"</f>
        <v>93608</v>
      </c>
      <c r="C12552" s="2">
        <v>4.4341457832703898E-4</v>
      </c>
      <c r="D12552" s="2">
        <v>1.44634075788255E-4</v>
      </c>
      <c r="E12552" s="2">
        <v>5.4990376684080202E-5</v>
      </c>
      <c r="F12552" s="2">
        <v>4.00183935473447E-4</v>
      </c>
    </row>
    <row r="12553" spans="1:6" x14ac:dyDescent="0.25">
      <c r="A12553" s="1" t="str">
        <f t="shared" si="463"/>
        <v>23420</v>
      </c>
      <c r="B12553" s="1" t="str">
        <f>"93660"</f>
        <v>93660</v>
      </c>
      <c r="C12553" s="2">
        <v>3.1468131365144702E-4</v>
      </c>
      <c r="D12553" s="2">
        <v>3.47121781891813E-4</v>
      </c>
      <c r="E12553" s="2">
        <v>2.19961506736321E-4</v>
      </c>
      <c r="F12553" s="2">
        <v>3.13187427761828E-4</v>
      </c>
    </row>
    <row r="12554" spans="1:6" x14ac:dyDescent="0.25">
      <c r="A12554" s="1" t="str">
        <f t="shared" si="463"/>
        <v>23420</v>
      </c>
      <c r="B12554" s="1" t="str">
        <f>"93723"</f>
        <v>93723</v>
      </c>
      <c r="C12554" s="2">
        <v>1.1299919899301901E-2</v>
      </c>
      <c r="D12554" s="2">
        <v>1.21492623662134E-3</v>
      </c>
      <c r="E12554" s="2">
        <v>5.4990376684080202E-5</v>
      </c>
      <c r="F12554" s="2">
        <v>9.9250587226426996E-3</v>
      </c>
    </row>
    <row r="12555" spans="1:6" x14ac:dyDescent="0.25">
      <c r="A12555" s="1" t="str">
        <f t="shared" si="463"/>
        <v>23420</v>
      </c>
      <c r="B12555" s="1" t="str">
        <f>"93721"</f>
        <v>93721</v>
      </c>
      <c r="C12555" s="2">
        <v>6.8114200709463299E-3</v>
      </c>
      <c r="D12555" s="2">
        <v>5.74486549030951E-2</v>
      </c>
      <c r="E12555" s="2">
        <v>1.6882045642012601E-2</v>
      </c>
      <c r="F12555" s="2">
        <v>1.16177622012602E-2</v>
      </c>
    </row>
    <row r="12556" spans="1:6" x14ac:dyDescent="0.25">
      <c r="A12556" s="1" t="str">
        <f t="shared" si="463"/>
        <v>23420</v>
      </c>
      <c r="B12556" s="1" t="str">
        <f>"93631"</f>
        <v>93631</v>
      </c>
      <c r="C12556" s="2">
        <v>1.59285959491932E-2</v>
      </c>
      <c r="D12556" s="2">
        <v>1.55626265548163E-2</v>
      </c>
      <c r="E12556" s="2">
        <v>1.12180368435523E-2</v>
      </c>
      <c r="F12556" s="2">
        <v>1.5684227533151799E-2</v>
      </c>
    </row>
    <row r="12557" spans="1:6" x14ac:dyDescent="0.25">
      <c r="A12557" s="1" t="str">
        <f t="shared" si="463"/>
        <v>23420</v>
      </c>
      <c r="B12557" s="1" t="str">
        <f>"93651"</f>
        <v>93651</v>
      </c>
      <c r="C12557" s="2">
        <v>1.5219132623870001E-3</v>
      </c>
      <c r="D12557" s="2">
        <v>3.7604859704946399E-4</v>
      </c>
      <c r="E12557" s="2">
        <v>1.6497113005224E-4</v>
      </c>
      <c r="F12557" s="2">
        <v>1.3621167493133399E-3</v>
      </c>
    </row>
    <row r="12558" spans="1:6" x14ac:dyDescent="0.25">
      <c r="A12558" s="1" t="str">
        <f t="shared" si="463"/>
        <v>23420</v>
      </c>
      <c r="B12558" s="1" t="str">
        <f>"93656"</f>
        <v>93656</v>
      </c>
      <c r="C12558" s="2">
        <v>4.6773086165465098E-3</v>
      </c>
      <c r="D12558" s="2">
        <v>1.0992189759907399E-3</v>
      </c>
      <c r="E12558" s="2">
        <v>1.374759417102E-3</v>
      </c>
      <c r="F12558" s="2">
        <v>4.2205734312665399E-3</v>
      </c>
    </row>
    <row r="12559" spans="1:6" x14ac:dyDescent="0.25">
      <c r="A12559" s="1" t="str">
        <f t="shared" si="463"/>
        <v>23420</v>
      </c>
      <c r="B12559" s="1" t="str">
        <f>"93773"</f>
        <v>93773</v>
      </c>
      <c r="C12559" s="2">
        <v>2.8321318228630198E-4</v>
      </c>
      <c r="D12559" s="2">
        <v>6.0746311831067303E-4</v>
      </c>
      <c r="E12559" s="2">
        <v>1.0998075336816E-4</v>
      </c>
      <c r="F12559" s="2">
        <v>3.0324496973764298E-4</v>
      </c>
    </row>
    <row r="12560" spans="1:6" x14ac:dyDescent="0.25">
      <c r="A12560" s="1" t="str">
        <f t="shared" si="463"/>
        <v>23420</v>
      </c>
      <c r="B12560" s="1" t="str">
        <f>"93771"</f>
        <v>93771</v>
      </c>
      <c r="C12560" s="2">
        <v>2.4030209406110501E-4</v>
      </c>
      <c r="D12560" s="2">
        <v>6.9424356378362698E-4</v>
      </c>
      <c r="E12560" s="2">
        <v>1.0998075336816E-4</v>
      </c>
      <c r="F12560" s="2">
        <v>2.7341759566508798E-4</v>
      </c>
    </row>
    <row r="12561" spans="1:6" x14ac:dyDescent="0.25">
      <c r="A12561" s="1" t="str">
        <f t="shared" si="463"/>
        <v>23420</v>
      </c>
      <c r="B12561" s="1" t="str">
        <f>"93641"</f>
        <v>93641</v>
      </c>
      <c r="C12561" s="2">
        <v>7.2090628218331599E-4</v>
      </c>
      <c r="D12561" s="2">
        <v>2.3141452126120899E-4</v>
      </c>
      <c r="E12561" s="2">
        <v>3.2994226010448098E-4</v>
      </c>
      <c r="F12561" s="2">
        <v>6.6117345860830404E-4</v>
      </c>
    </row>
    <row r="12562" spans="1:6" x14ac:dyDescent="0.25">
      <c r="A12562" s="1" t="str">
        <f t="shared" si="463"/>
        <v>23420</v>
      </c>
      <c r="B12562" s="1" t="str">
        <f>"93709"</f>
        <v>93709</v>
      </c>
      <c r="C12562" s="2">
        <v>3.5473166266163097E-4</v>
      </c>
      <c r="D12562" s="2">
        <v>6.9424356378362698E-4</v>
      </c>
      <c r="E12562" s="2">
        <v>1.0998075336816E-4</v>
      </c>
      <c r="F12562" s="2">
        <v>3.7284217590693802E-4</v>
      </c>
    </row>
    <row r="12563" spans="1:6" x14ac:dyDescent="0.25">
      <c r="A12563" s="1" t="str">
        <f t="shared" si="463"/>
        <v>23420</v>
      </c>
      <c r="B12563" s="1" t="str">
        <f>"93755"</f>
        <v>93755</v>
      </c>
      <c r="C12563" s="2">
        <v>2.1398329328298402E-3</v>
      </c>
      <c r="D12563" s="2">
        <v>9.1698004049754096E-3</v>
      </c>
      <c r="E12563" s="2">
        <v>1.0998075336816E-4</v>
      </c>
      <c r="F12563" s="2">
        <v>2.6521506779513498E-3</v>
      </c>
    </row>
    <row r="12564" spans="1:6" x14ac:dyDescent="0.25">
      <c r="A12564" s="1" t="str">
        <f t="shared" si="463"/>
        <v>23420</v>
      </c>
      <c r="B12564" s="1" t="str">
        <f>"93728"</f>
        <v>93728</v>
      </c>
      <c r="C12564" s="2">
        <v>1.8448907197619799E-2</v>
      </c>
      <c r="D12564" s="2">
        <v>2.3662134798958599E-2</v>
      </c>
      <c r="E12564" s="2">
        <v>1.8091833929062402E-2</v>
      </c>
      <c r="F12564" s="2">
        <v>1.88807277879273E-2</v>
      </c>
    </row>
    <row r="12565" spans="1:6" x14ac:dyDescent="0.25">
      <c r="A12565" s="1" t="str">
        <f t="shared" si="463"/>
        <v>23420</v>
      </c>
      <c r="B12565" s="1" t="str">
        <f>"93704"</f>
        <v>93704</v>
      </c>
      <c r="C12565" s="2">
        <v>3.3762444215585302E-2</v>
      </c>
      <c r="D12565" s="2">
        <v>2.7538328030083801E-2</v>
      </c>
      <c r="E12565" s="2">
        <v>6.2084135276326599E-2</v>
      </c>
      <c r="F12565" s="2">
        <v>3.4507786187440097E-2</v>
      </c>
    </row>
    <row r="12566" spans="1:6" x14ac:dyDescent="0.25">
      <c r="A12566" s="1" t="str">
        <f t="shared" si="463"/>
        <v>23420</v>
      </c>
      <c r="B12566" s="1" t="str">
        <f>"93602"</f>
        <v>93602</v>
      </c>
      <c r="C12566" s="2">
        <v>4.2110081244993696E-3</v>
      </c>
      <c r="D12566" s="2">
        <v>1.24385305177899E-3</v>
      </c>
      <c r="E12566" s="2">
        <v>6.0489414352488298E-4</v>
      </c>
      <c r="F12566" s="2">
        <v>3.79304773622658E-3</v>
      </c>
    </row>
    <row r="12567" spans="1:6" x14ac:dyDescent="0.25">
      <c r="A12567" s="1" t="str">
        <f t="shared" si="463"/>
        <v>23420</v>
      </c>
      <c r="B12567" s="1" t="str">
        <f>"93612"</f>
        <v>93612</v>
      </c>
      <c r="C12567" s="2">
        <v>4.5188236640347802E-2</v>
      </c>
      <c r="D12567" s="2">
        <v>6.17876771767428E-2</v>
      </c>
      <c r="E12567" s="2">
        <v>9.2383832829254803E-2</v>
      </c>
      <c r="F12567" s="2">
        <v>4.8747871692579103E-2</v>
      </c>
    </row>
    <row r="12568" spans="1:6" x14ac:dyDescent="0.25">
      <c r="A12568" s="1" t="str">
        <f t="shared" si="463"/>
        <v>23420</v>
      </c>
      <c r="B12568" s="1" t="str">
        <f>"93701"</f>
        <v>93701</v>
      </c>
      <c r="C12568" s="2">
        <v>1.1362856162032199E-2</v>
      </c>
      <c r="D12568" s="2">
        <v>1.9814868382990999E-2</v>
      </c>
      <c r="E12568" s="2">
        <v>3.7393456145174503E-2</v>
      </c>
      <c r="F12568" s="2">
        <v>1.32657246187688E-2</v>
      </c>
    </row>
    <row r="12569" spans="1:6" x14ac:dyDescent="0.25">
      <c r="A12569" s="1" t="str">
        <f t="shared" si="463"/>
        <v>23420</v>
      </c>
      <c r="B12569" s="1" t="str">
        <f>"93888"</f>
        <v>93888</v>
      </c>
      <c r="C12569" s="2">
        <v>0</v>
      </c>
      <c r="D12569" s="2">
        <v>0</v>
      </c>
      <c r="E12569" s="2">
        <v>5.4990376684080202E-5</v>
      </c>
      <c r="F12569" s="2">
        <v>2.48561450604625E-6</v>
      </c>
    </row>
    <row r="12570" spans="1:6" x14ac:dyDescent="0.25">
      <c r="A12570" s="1" t="str">
        <f t="shared" si="463"/>
        <v>23420</v>
      </c>
      <c r="B12570" s="1" t="str">
        <f>"93790"</f>
        <v>93790</v>
      </c>
      <c r="C12570" s="2">
        <v>5.2637601556242098E-4</v>
      </c>
      <c r="D12570" s="2">
        <v>1.5620480185131601E-3</v>
      </c>
      <c r="E12570" s="2">
        <v>1.0998075336816E-4</v>
      </c>
      <c r="F12570" s="2">
        <v>5.96547481451101E-4</v>
      </c>
    </row>
    <row r="12571" spans="1:6" x14ac:dyDescent="0.25">
      <c r="A12571" s="1" t="str">
        <f t="shared" si="463"/>
        <v>23420</v>
      </c>
      <c r="B12571" s="1" t="str">
        <f>"93777"</f>
        <v>93777</v>
      </c>
      <c r="C12571" s="2">
        <v>1.6592287447076299E-4</v>
      </c>
      <c r="D12571" s="2">
        <v>1.24385305177899E-3</v>
      </c>
      <c r="E12571" s="2">
        <v>1.0998075336816E-4</v>
      </c>
      <c r="F12571" s="2">
        <v>2.5601829412276401E-4</v>
      </c>
    </row>
    <row r="12572" spans="1:6" x14ac:dyDescent="0.25">
      <c r="A12572" s="1" t="str">
        <f t="shared" si="463"/>
        <v>23420</v>
      </c>
      <c r="B12572" s="1" t="str">
        <f>"93793"</f>
        <v>93793</v>
      </c>
      <c r="C12572" s="2">
        <v>1.31594003890605E-4</v>
      </c>
      <c r="D12572" s="2">
        <v>1.0124385305177799E-3</v>
      </c>
      <c r="E12572" s="2">
        <v>1.0998075336816E-4</v>
      </c>
      <c r="F12572" s="2">
        <v>2.0630600400183899E-4</v>
      </c>
    </row>
    <row r="12573" spans="1:6" x14ac:dyDescent="0.25">
      <c r="A12573" s="1" t="str">
        <f t="shared" si="463"/>
        <v>23420</v>
      </c>
      <c r="B12573" s="1" t="str">
        <f>"93724"</f>
        <v>93724</v>
      </c>
      <c r="C12573" s="2">
        <v>0</v>
      </c>
      <c r="D12573" s="2">
        <v>8.6780445472953399E-5</v>
      </c>
      <c r="E12573" s="2">
        <v>2.19961506736321E-4</v>
      </c>
      <c r="F12573" s="2">
        <v>1.7399301542323799E-5</v>
      </c>
    </row>
    <row r="12574" spans="1:6" x14ac:dyDescent="0.25">
      <c r="A12574" s="1" t="str">
        <f t="shared" ref="A12574:A12605" si="464">"23420"</f>
        <v>23420</v>
      </c>
      <c r="B12574" s="1" t="str">
        <f>"93603"</f>
        <v>93603</v>
      </c>
      <c r="C12574" s="2">
        <v>2.2885913720105198E-5</v>
      </c>
      <c r="D12574" s="2">
        <v>0</v>
      </c>
      <c r="E12574" s="2">
        <v>0</v>
      </c>
      <c r="F12574" s="2">
        <v>1.988491604837E-5</v>
      </c>
    </row>
    <row r="12575" spans="1:6" x14ac:dyDescent="0.25">
      <c r="A12575" s="1" t="str">
        <f t="shared" si="464"/>
        <v>23420</v>
      </c>
      <c r="B12575" s="1" t="str">
        <f>"93718"</f>
        <v>93718</v>
      </c>
      <c r="C12575" s="2">
        <v>2.86073921501315E-4</v>
      </c>
      <c r="D12575" s="2">
        <v>5.2068267283771996E-4</v>
      </c>
      <c r="E12575" s="2">
        <v>1.0998075336816E-4</v>
      </c>
      <c r="F12575" s="2">
        <v>2.9827374072555001E-4</v>
      </c>
    </row>
    <row r="12576" spans="1:6" x14ac:dyDescent="0.25">
      <c r="A12576" s="1" t="str">
        <f t="shared" si="464"/>
        <v>23420</v>
      </c>
      <c r="B12576" s="1" t="str">
        <f>"93707"</f>
        <v>93707</v>
      </c>
      <c r="C12576" s="2">
        <v>3.2040279208147302E-4</v>
      </c>
      <c r="D12576" s="2">
        <v>7.2317037894127796E-4</v>
      </c>
      <c r="E12576" s="2">
        <v>1.0998075336816E-4</v>
      </c>
      <c r="F12576" s="2">
        <v>3.4550041634042898E-4</v>
      </c>
    </row>
    <row r="12577" spans="1:6" x14ac:dyDescent="0.25">
      <c r="A12577" s="1" t="str">
        <f t="shared" si="464"/>
        <v>23420</v>
      </c>
      <c r="B12577" s="1" t="str">
        <f>"93210"</f>
        <v>93210</v>
      </c>
      <c r="C12577" s="2">
        <v>1.4320860510355801E-2</v>
      </c>
      <c r="D12577" s="2">
        <v>1.24096037026323E-2</v>
      </c>
      <c r="E12577" s="2">
        <v>8.2485565026120394E-3</v>
      </c>
      <c r="F12577" s="2">
        <v>1.38821570162683E-2</v>
      </c>
    </row>
    <row r="12578" spans="1:6" x14ac:dyDescent="0.25">
      <c r="A12578" s="1" t="str">
        <f t="shared" si="464"/>
        <v>23420</v>
      </c>
      <c r="B12578" s="1" t="str">
        <f>"93609"</f>
        <v>93609</v>
      </c>
      <c r="C12578" s="2">
        <v>3.6874928481519598E-3</v>
      </c>
      <c r="D12578" s="2">
        <v>1.15707260630604E-3</v>
      </c>
      <c r="E12578" s="2">
        <v>1.5397305471542401E-3</v>
      </c>
      <c r="F12578" s="2">
        <v>3.3729788847047699E-3</v>
      </c>
    </row>
    <row r="12579" spans="1:6" x14ac:dyDescent="0.25">
      <c r="A12579" s="1" t="str">
        <f t="shared" si="464"/>
        <v>23420</v>
      </c>
      <c r="B12579" s="1" t="str">
        <f>"93775"</f>
        <v>93775</v>
      </c>
      <c r="C12579" s="2">
        <v>2.1455544112598601E-4</v>
      </c>
      <c r="D12579" s="2">
        <v>1.5909748336708099E-3</v>
      </c>
      <c r="E12579" s="2">
        <v>1.0998075336816E-4</v>
      </c>
      <c r="F12579" s="2">
        <v>3.2810111479810502E-4</v>
      </c>
    </row>
    <row r="12580" spans="1:6" x14ac:dyDescent="0.25">
      <c r="A12580" s="1" t="str">
        <f t="shared" si="464"/>
        <v>23420</v>
      </c>
      <c r="B12580" s="1" t="str">
        <f>"93626"</f>
        <v>93626</v>
      </c>
      <c r="C12580" s="2">
        <v>1.8737841858336101E-3</v>
      </c>
      <c r="D12580" s="2">
        <v>2.8926815157651102E-4</v>
      </c>
      <c r="E12580" s="2">
        <v>5.4990376684080202E-5</v>
      </c>
      <c r="F12580" s="2">
        <v>1.6554192610268E-3</v>
      </c>
    </row>
    <row r="12581" spans="1:6" x14ac:dyDescent="0.25">
      <c r="A12581" s="1" t="str">
        <f t="shared" si="464"/>
        <v>23420</v>
      </c>
      <c r="B12581" s="1" t="str">
        <f>"93242"</f>
        <v>93242</v>
      </c>
      <c r="C12581" s="2">
        <v>2.25998397986039E-3</v>
      </c>
      <c r="D12581" s="2">
        <v>3.1819496673416201E-4</v>
      </c>
      <c r="E12581" s="2">
        <v>5.4990376684080202E-5</v>
      </c>
      <c r="F12581" s="2">
        <v>1.9934628338490901E-3</v>
      </c>
    </row>
    <row r="12582" spans="1:6" x14ac:dyDescent="0.25">
      <c r="A12582" s="1" t="str">
        <f t="shared" si="464"/>
        <v>23420</v>
      </c>
      <c r="B12582" s="1" t="str">
        <f>"93702"</f>
        <v>93702</v>
      </c>
      <c r="C12582" s="2">
        <v>3.7467101499027301E-2</v>
      </c>
      <c r="D12582" s="2">
        <v>2.7943303442291002E-2</v>
      </c>
      <c r="E12582" s="2">
        <v>6.3183942810008206E-2</v>
      </c>
      <c r="F12582" s="2">
        <v>3.7811167865975603E-2</v>
      </c>
    </row>
    <row r="12583" spans="1:6" x14ac:dyDescent="0.25">
      <c r="A12583" s="1" t="str">
        <f t="shared" si="464"/>
        <v>23420</v>
      </c>
      <c r="B12583" s="1" t="str">
        <f>"93730"</f>
        <v>93730</v>
      </c>
      <c r="C12583" s="2">
        <v>1.4987412747453899E-2</v>
      </c>
      <c r="D12583" s="2">
        <v>3.0662424067110202E-3</v>
      </c>
      <c r="E12583" s="2">
        <v>1.97965356062689E-3</v>
      </c>
      <c r="F12583" s="2">
        <v>1.3375091657034901E-2</v>
      </c>
    </row>
    <row r="12584" spans="1:6" x14ac:dyDescent="0.25">
      <c r="A12584" s="1" t="str">
        <f t="shared" si="464"/>
        <v>23420</v>
      </c>
      <c r="B12584" s="1" t="str">
        <f>"93622"</f>
        <v>93622</v>
      </c>
      <c r="C12584" s="2">
        <v>1.0227142693672E-2</v>
      </c>
      <c r="D12584" s="2">
        <v>9.1987272201330596E-3</v>
      </c>
      <c r="E12584" s="2">
        <v>4.3992301347264198E-3</v>
      </c>
      <c r="F12584" s="2">
        <v>9.8753464325217807E-3</v>
      </c>
    </row>
    <row r="12585" spans="1:6" x14ac:dyDescent="0.25">
      <c r="A12585" s="1" t="str">
        <f t="shared" si="464"/>
        <v>23420</v>
      </c>
      <c r="B12585" s="1" t="str">
        <f>"93675"</f>
        <v>93675</v>
      </c>
      <c r="C12585" s="2">
        <v>5.00915436548804E-3</v>
      </c>
      <c r="D12585" s="2">
        <v>4.9175585768006897E-4</v>
      </c>
      <c r="E12585" s="2">
        <v>5.4990376684080202E-5</v>
      </c>
      <c r="F12585" s="2">
        <v>4.3970520611958204E-3</v>
      </c>
    </row>
    <row r="12586" spans="1:6" x14ac:dyDescent="0.25">
      <c r="A12586" s="1" t="str">
        <f t="shared" si="464"/>
        <v>23420</v>
      </c>
      <c r="B12586" s="1" t="str">
        <f>"93642"</f>
        <v>93642</v>
      </c>
      <c r="C12586" s="2">
        <v>0</v>
      </c>
      <c r="D12586" s="2">
        <v>0</v>
      </c>
      <c r="E12586" s="2">
        <v>5.4990376684080202E-5</v>
      </c>
      <c r="F12586" s="2">
        <v>2.48561450604625E-6</v>
      </c>
    </row>
    <row r="12587" spans="1:6" x14ac:dyDescent="0.25">
      <c r="A12587" s="1" t="str">
        <f t="shared" si="464"/>
        <v>23420</v>
      </c>
      <c r="B12587" s="1" t="str">
        <f>"93640"</f>
        <v>93640</v>
      </c>
      <c r="C12587" s="2">
        <v>8.9255063508410504E-3</v>
      </c>
      <c r="D12587" s="2">
        <v>5.5828753254266702E-3</v>
      </c>
      <c r="E12587" s="2">
        <v>8.1385757492438808E-3</v>
      </c>
      <c r="F12587" s="2">
        <v>8.6027118054260894E-3</v>
      </c>
    </row>
    <row r="12588" spans="1:6" x14ac:dyDescent="0.25">
      <c r="A12588" s="1" t="str">
        <f t="shared" si="464"/>
        <v>23420</v>
      </c>
      <c r="B12588" s="1" t="str">
        <f>"93605"</f>
        <v>93605</v>
      </c>
      <c r="C12588" s="2">
        <v>0</v>
      </c>
      <c r="D12588" s="2">
        <v>0</v>
      </c>
      <c r="E12588" s="2">
        <v>5.4990376684080202E-5</v>
      </c>
      <c r="F12588" s="2">
        <v>2.48561450604625E-6</v>
      </c>
    </row>
    <row r="12589" spans="1:6" x14ac:dyDescent="0.25">
      <c r="A12589" s="1" t="str">
        <f t="shared" si="464"/>
        <v>23420</v>
      </c>
      <c r="B12589" s="1" t="str">
        <f>"93716"</f>
        <v>93716</v>
      </c>
      <c r="C12589" s="2">
        <v>2.9751687836136802E-4</v>
      </c>
      <c r="D12589" s="2">
        <v>6.0746311831067303E-4</v>
      </c>
      <c r="E12589" s="2">
        <v>1.0998075336816E-4</v>
      </c>
      <c r="F12589" s="2">
        <v>3.1567304226787403E-4</v>
      </c>
    </row>
    <row r="12590" spans="1:6" x14ac:dyDescent="0.25">
      <c r="A12590" s="1" t="str">
        <f t="shared" si="464"/>
        <v>23420</v>
      </c>
      <c r="B12590" s="1" t="str">
        <f>"93634"</f>
        <v>93634</v>
      </c>
      <c r="C12590" s="2">
        <v>0</v>
      </c>
      <c r="D12590" s="2">
        <v>0</v>
      </c>
      <c r="E12590" s="2">
        <v>5.4990376684080202E-5</v>
      </c>
      <c r="F12590" s="2">
        <v>2.48561450604625E-6</v>
      </c>
    </row>
    <row r="12591" spans="1:6" x14ac:dyDescent="0.25">
      <c r="A12591" s="1" t="str">
        <f t="shared" si="464"/>
        <v>23420</v>
      </c>
      <c r="B12591" s="1" t="str">
        <f>"93708"</f>
        <v>93708</v>
      </c>
      <c r="C12591" s="2">
        <v>3.1754205286645999E-4</v>
      </c>
      <c r="D12591" s="2">
        <v>8.0995082441423104E-4</v>
      </c>
      <c r="E12591" s="2">
        <v>1.0998075336816E-4</v>
      </c>
      <c r="F12591" s="2">
        <v>3.50471645352522E-4</v>
      </c>
    </row>
    <row r="12592" spans="1:6" x14ac:dyDescent="0.25">
      <c r="A12592" s="1" t="str">
        <f t="shared" si="464"/>
        <v>23420</v>
      </c>
      <c r="B12592" s="1" t="str">
        <f>"93647"</f>
        <v>93647</v>
      </c>
      <c r="C12592" s="2">
        <v>1.7164435290078901E-5</v>
      </c>
      <c r="D12592" s="2">
        <v>0</v>
      </c>
      <c r="E12592" s="2">
        <v>0</v>
      </c>
      <c r="F12592" s="2">
        <v>1.49136870362775E-5</v>
      </c>
    </row>
    <row r="12593" spans="1:6" x14ac:dyDescent="0.25">
      <c r="A12593" s="1" t="str">
        <f t="shared" si="464"/>
        <v>23420</v>
      </c>
      <c r="B12593" s="1" t="str">
        <f>"93234"</f>
        <v>93234</v>
      </c>
      <c r="C12593" s="2">
        <v>2.8607392150131498E-6</v>
      </c>
      <c r="D12593" s="2">
        <v>1.1570726063060399E-4</v>
      </c>
      <c r="E12593" s="2">
        <v>0</v>
      </c>
      <c r="F12593" s="2">
        <v>1.2428072530231201E-5</v>
      </c>
    </row>
    <row r="12594" spans="1:6" x14ac:dyDescent="0.25">
      <c r="A12594" s="1" t="str">
        <f t="shared" si="464"/>
        <v>23420</v>
      </c>
      <c r="B12594" s="1" t="str">
        <f>"93792"</f>
        <v>93792</v>
      </c>
      <c r="C12594" s="2">
        <v>1.1729030781553901E-4</v>
      </c>
      <c r="D12594" s="2">
        <v>1.0124385305177799E-3</v>
      </c>
      <c r="E12594" s="2">
        <v>1.0998075336816E-4</v>
      </c>
      <c r="F12594" s="2">
        <v>1.93877931471608E-4</v>
      </c>
    </row>
    <row r="12595" spans="1:6" x14ac:dyDescent="0.25">
      <c r="A12595" s="1" t="str">
        <f t="shared" si="464"/>
        <v>23420</v>
      </c>
      <c r="B12595" s="1" t="str">
        <f>"93628"</f>
        <v>93628</v>
      </c>
      <c r="C12595" s="2">
        <v>4.7488270969218402E-4</v>
      </c>
      <c r="D12595" s="2">
        <v>2.89268151576511E-5</v>
      </c>
      <c r="E12595" s="2">
        <v>1.0998075336816E-4</v>
      </c>
      <c r="F12595" s="2">
        <v>4.2006885152181698E-4</v>
      </c>
    </row>
    <row r="12596" spans="1:6" x14ac:dyDescent="0.25">
      <c r="A12596" s="1" t="str">
        <f t="shared" si="464"/>
        <v>23420</v>
      </c>
      <c r="B12596" s="1" t="str">
        <f>"93717"</f>
        <v>93717</v>
      </c>
      <c r="C12596" s="2">
        <v>3.0037761757638099E-4</v>
      </c>
      <c r="D12596" s="2">
        <v>4.0497541220711498E-4</v>
      </c>
      <c r="E12596" s="2">
        <v>1.0998075336816E-4</v>
      </c>
      <c r="F12596" s="2">
        <v>3.0075935523159701E-4</v>
      </c>
    </row>
    <row r="12597" spans="1:6" x14ac:dyDescent="0.25">
      <c r="A12597" s="1" t="str">
        <f t="shared" si="464"/>
        <v>23420</v>
      </c>
      <c r="B12597" s="1" t="str">
        <f>"93711"</f>
        <v>93711</v>
      </c>
      <c r="C12597" s="2">
        <v>4.8592516306213501E-2</v>
      </c>
      <c r="D12597" s="2">
        <v>6.8585478738790798E-2</v>
      </c>
      <c r="E12597" s="2">
        <v>7.3962056640087898E-2</v>
      </c>
      <c r="F12597" s="2">
        <v>5.1457191504169601E-2</v>
      </c>
    </row>
    <row r="12598" spans="1:6" x14ac:dyDescent="0.25">
      <c r="A12598" s="1" t="str">
        <f t="shared" si="464"/>
        <v>23420</v>
      </c>
      <c r="B12598" s="1" t="str">
        <f>"93726"</f>
        <v>93726</v>
      </c>
      <c r="C12598" s="2">
        <v>4.42270282641034E-2</v>
      </c>
      <c r="D12598" s="2">
        <v>3.9976858547873799E-2</v>
      </c>
      <c r="E12598" s="2">
        <v>5.6860049491339E-2</v>
      </c>
      <c r="F12598" s="2">
        <v>4.44328449100828E-2</v>
      </c>
    </row>
    <row r="12599" spans="1:6" x14ac:dyDescent="0.25">
      <c r="A12599" s="1" t="str">
        <f t="shared" si="464"/>
        <v>23420</v>
      </c>
      <c r="B12599" s="1" t="str">
        <f>"93705"</f>
        <v>93705</v>
      </c>
      <c r="C12599" s="2">
        <v>3.7398443757867002E-2</v>
      </c>
      <c r="D12599" s="2">
        <v>1.2351750072316999E-2</v>
      </c>
      <c r="E12599" s="2">
        <v>5.2020896343139902E-2</v>
      </c>
      <c r="F12599" s="2">
        <v>3.5907187154344197E-2</v>
      </c>
    </row>
    <row r="12600" spans="1:6" x14ac:dyDescent="0.25">
      <c r="A12600" s="1" t="str">
        <f t="shared" si="464"/>
        <v>23420</v>
      </c>
      <c r="B12600" s="1" t="str">
        <f>"93737"</f>
        <v>93737</v>
      </c>
      <c r="C12600" s="2">
        <v>6.3908914063393902E-3</v>
      </c>
      <c r="D12600" s="2">
        <v>4.0497541220711498E-4</v>
      </c>
      <c r="E12600" s="2">
        <v>2.7495188342040102E-4</v>
      </c>
      <c r="F12600" s="2">
        <v>5.6000894821222101E-3</v>
      </c>
    </row>
    <row r="12601" spans="1:6" x14ac:dyDescent="0.25">
      <c r="A12601" s="1" t="str">
        <f t="shared" si="464"/>
        <v>23420</v>
      </c>
      <c r="B12601" s="1" t="str">
        <f>"93648"</f>
        <v>93648</v>
      </c>
      <c r="C12601" s="2">
        <v>1.47328069573177E-2</v>
      </c>
      <c r="D12601" s="2">
        <v>7.1738501590974798E-3</v>
      </c>
      <c r="E12601" s="2">
        <v>5.4990376684080199E-3</v>
      </c>
      <c r="F12601" s="2">
        <v>1.3665908554242301E-2</v>
      </c>
    </row>
    <row r="12602" spans="1:6" x14ac:dyDescent="0.25">
      <c r="A12602" s="1" t="str">
        <f t="shared" si="464"/>
        <v>23420</v>
      </c>
      <c r="B12602" s="1" t="str">
        <f>"93649"</f>
        <v>93649</v>
      </c>
      <c r="C12602" s="2">
        <v>0</v>
      </c>
      <c r="D12602" s="2">
        <v>0</v>
      </c>
      <c r="E12602" s="2">
        <v>5.4990376684080202E-5</v>
      </c>
      <c r="F12602" s="2">
        <v>2.48561450604625E-6</v>
      </c>
    </row>
    <row r="12603" spans="1:6" x14ac:dyDescent="0.25">
      <c r="A12603" s="1" t="str">
        <f t="shared" si="464"/>
        <v>23420</v>
      </c>
      <c r="B12603" s="1" t="str">
        <f>"93760"</f>
        <v>93760</v>
      </c>
      <c r="C12603" s="2">
        <v>0</v>
      </c>
      <c r="D12603" s="2">
        <v>2.89268151576511E-5</v>
      </c>
      <c r="E12603" s="2">
        <v>0</v>
      </c>
      <c r="F12603" s="2">
        <v>2.48561450604625E-6</v>
      </c>
    </row>
    <row r="12604" spans="1:6" x14ac:dyDescent="0.25">
      <c r="A12604" s="1" t="str">
        <f t="shared" si="464"/>
        <v>23420</v>
      </c>
      <c r="B12604" s="1" t="str">
        <f>"93664"</f>
        <v>93664</v>
      </c>
      <c r="C12604" s="2">
        <v>7.6095663119350005E-4</v>
      </c>
      <c r="D12604" s="2">
        <v>5.2068267283771996E-4</v>
      </c>
      <c r="E12604" s="2">
        <v>5.4990376684080202E-5</v>
      </c>
      <c r="F12604" s="2">
        <v>7.08400134223183E-4</v>
      </c>
    </row>
    <row r="12605" spans="1:6" x14ac:dyDescent="0.25">
      <c r="A12605" s="1" t="str">
        <f t="shared" si="464"/>
        <v>23420</v>
      </c>
      <c r="B12605" s="1" t="str">
        <f>"93774"</f>
        <v>93774</v>
      </c>
      <c r="C12605" s="2">
        <v>2.9465613914635499E-4</v>
      </c>
      <c r="D12605" s="2">
        <v>1.18599942146369E-3</v>
      </c>
      <c r="E12605" s="2">
        <v>1.0998075336816E-4</v>
      </c>
      <c r="F12605" s="2">
        <v>3.6289971788275299E-4</v>
      </c>
    </row>
    <row r="12606" spans="1:6" x14ac:dyDescent="0.25">
      <c r="A12606" s="1" t="str">
        <f t="shared" ref="A12606:A12611" si="465">"23420"</f>
        <v>23420</v>
      </c>
      <c r="B12606" s="1" t="str">
        <f>"93618"</f>
        <v>93618</v>
      </c>
      <c r="C12606" s="2">
        <v>3.0609909600640801E-4</v>
      </c>
      <c r="D12606" s="2">
        <v>1.1570726063060399E-4</v>
      </c>
      <c r="E12606" s="2">
        <v>0</v>
      </c>
      <c r="F12606" s="2">
        <v>2.75903210171134E-4</v>
      </c>
    </row>
    <row r="12607" spans="1:6" x14ac:dyDescent="0.25">
      <c r="A12607" s="1" t="str">
        <f t="shared" si="465"/>
        <v>23420</v>
      </c>
      <c r="B12607" s="1" t="str">
        <f>"93710"</f>
        <v>93710</v>
      </c>
      <c r="C12607" s="2">
        <v>3.55017736583133E-2</v>
      </c>
      <c r="D12607" s="2">
        <v>6.2973676598206504E-2</v>
      </c>
      <c r="E12607" s="2">
        <v>5.9334616442122602E-2</v>
      </c>
      <c r="F12607" s="2">
        <v>3.8939636851720603E-2</v>
      </c>
    </row>
    <row r="12608" spans="1:6" x14ac:dyDescent="0.25">
      <c r="A12608" s="1" t="str">
        <f t="shared" si="465"/>
        <v>23420</v>
      </c>
      <c r="B12608" s="1" t="str">
        <f>"93619"</f>
        <v>93619</v>
      </c>
      <c r="C12608" s="2">
        <v>4.9310561849181797E-2</v>
      </c>
      <c r="D12608" s="2">
        <v>3.87619323112525E-3</v>
      </c>
      <c r="E12608" s="2">
        <v>2.2546054440472901E-3</v>
      </c>
      <c r="F12608" s="2">
        <v>4.3279519779277402E-2</v>
      </c>
    </row>
    <row r="12609" spans="1:6" x14ac:dyDescent="0.25">
      <c r="A12609" s="1" t="str">
        <f t="shared" si="465"/>
        <v>23420</v>
      </c>
      <c r="B12609" s="1" t="str">
        <f>"93625"</f>
        <v>93625</v>
      </c>
      <c r="C12609" s="2">
        <v>7.8069573177709101E-3</v>
      </c>
      <c r="D12609" s="2">
        <v>6.2192652588949904E-3</v>
      </c>
      <c r="E12609" s="2">
        <v>7.4786912290349099E-3</v>
      </c>
      <c r="F12609" s="2">
        <v>7.6556926786224702E-3</v>
      </c>
    </row>
    <row r="12610" spans="1:6" x14ac:dyDescent="0.25">
      <c r="A12610" s="1" t="str">
        <f t="shared" si="465"/>
        <v>23420</v>
      </c>
      <c r="B12610" s="1" t="str">
        <f>"93662"</f>
        <v>93662</v>
      </c>
      <c r="C12610" s="2">
        <v>2.70168211465842E-2</v>
      </c>
      <c r="D12610" s="2">
        <v>2.0133063349725099E-2</v>
      </c>
      <c r="E12610" s="2">
        <v>1.8311795435798701E-2</v>
      </c>
      <c r="F12610" s="2">
        <v>2.6031840721822401E-2</v>
      </c>
    </row>
    <row r="12611" spans="1:6" x14ac:dyDescent="0.25">
      <c r="A12611" s="1" t="str">
        <f t="shared" si="465"/>
        <v>23420</v>
      </c>
      <c r="B12611" s="1" t="str">
        <f>"93747"</f>
        <v>93747</v>
      </c>
      <c r="C12611" s="2">
        <v>2.44307128962123E-3</v>
      </c>
      <c r="D12611" s="2">
        <v>7.8970205380387605E-3</v>
      </c>
      <c r="E12611" s="2">
        <v>1.0998075336816E-4</v>
      </c>
      <c r="F12611" s="2">
        <v>2.8062587773262202E-3</v>
      </c>
    </row>
    <row r="12612" spans="1:6" x14ac:dyDescent="0.25">
      <c r="A12612" s="1" t="str">
        <f t="shared" ref="A12612:A12628" si="466">"23460"</f>
        <v>23460</v>
      </c>
      <c r="B12612" s="1" t="str">
        <f>"35907"</f>
        <v>35907</v>
      </c>
      <c r="C12612" s="2">
        <v>7.2276567763786007E-2</v>
      </c>
      <c r="D12612" s="2">
        <v>2.4757189106836702E-2</v>
      </c>
      <c r="E12612" s="2">
        <v>4.4634377967711303E-2</v>
      </c>
      <c r="F12612" s="2">
        <v>6.7768915923834702E-2</v>
      </c>
    </row>
    <row r="12613" spans="1:6" x14ac:dyDescent="0.25">
      <c r="A12613" s="1" t="str">
        <f t="shared" si="466"/>
        <v>23460</v>
      </c>
      <c r="B12613" s="1" t="str">
        <f>"35121"</f>
        <v>35121</v>
      </c>
      <c r="C12613" s="2">
        <v>2.8824154641589599E-4</v>
      </c>
      <c r="D12613" s="2">
        <v>0</v>
      </c>
      <c r="E12613" s="2">
        <v>0</v>
      </c>
      <c r="F12613" s="2">
        <v>2.5884522673223998E-4</v>
      </c>
    </row>
    <row r="12614" spans="1:6" x14ac:dyDescent="0.25">
      <c r="A12614" s="1" t="str">
        <f t="shared" si="466"/>
        <v>23460</v>
      </c>
      <c r="B12614" s="1" t="str">
        <f>"35901"</f>
        <v>35901</v>
      </c>
      <c r="C12614" s="2">
        <v>0.188636077032553</v>
      </c>
      <c r="D12614" s="2">
        <v>0.30908398400304699</v>
      </c>
      <c r="E12614" s="2">
        <v>0.407407407407407</v>
      </c>
      <c r="F12614" s="2">
        <v>0.20259492339799001</v>
      </c>
    </row>
    <row r="12615" spans="1:6" x14ac:dyDescent="0.25">
      <c r="A12615" s="1" t="str">
        <f t="shared" si="466"/>
        <v>23460</v>
      </c>
      <c r="B12615" s="1" t="str">
        <f>"35952"</f>
        <v>35952</v>
      </c>
      <c r="C12615" s="2">
        <v>4.1704948747049997E-2</v>
      </c>
      <c r="D12615" s="2">
        <v>8.9506760617025297E-3</v>
      </c>
      <c r="E12615" s="2">
        <v>8.5470085470085392E-3</v>
      </c>
      <c r="F12615" s="2">
        <v>3.8357627036383901E-2</v>
      </c>
    </row>
    <row r="12616" spans="1:6" x14ac:dyDescent="0.25">
      <c r="A12616" s="1" t="str">
        <f t="shared" si="466"/>
        <v>23460</v>
      </c>
      <c r="B12616" s="1" t="str">
        <f>"35905"</f>
        <v>35905</v>
      </c>
      <c r="C12616" s="2">
        <v>5.3162550217081897E-2</v>
      </c>
      <c r="D12616" s="2">
        <v>3.0851266425442701E-2</v>
      </c>
      <c r="E12616" s="2">
        <v>4.5584045584045503E-2</v>
      </c>
      <c r="F12616" s="2">
        <v>5.1138110106288298E-2</v>
      </c>
    </row>
    <row r="12617" spans="1:6" x14ac:dyDescent="0.25">
      <c r="A12617" s="1" t="str">
        <f t="shared" si="466"/>
        <v>23460</v>
      </c>
      <c r="B12617" s="1" t="str">
        <f>"35903"</f>
        <v>35903</v>
      </c>
      <c r="C12617" s="2">
        <v>0.16954007458250001</v>
      </c>
      <c r="D12617" s="2">
        <v>0.14892401447343301</v>
      </c>
      <c r="E12617" s="2">
        <v>0.115859449192782</v>
      </c>
      <c r="F12617" s="2">
        <v>0.16687428210894101</v>
      </c>
    </row>
    <row r="12618" spans="1:6" x14ac:dyDescent="0.25">
      <c r="A12618" s="1" t="str">
        <f t="shared" si="466"/>
        <v>23460</v>
      </c>
      <c r="B12618" s="1" t="str">
        <f>"36272"</f>
        <v>36272</v>
      </c>
      <c r="C12618" s="2">
        <v>1.12414203102199E-2</v>
      </c>
      <c r="D12618" s="2">
        <v>3.6183584079223E-3</v>
      </c>
      <c r="E12618" s="2">
        <v>0</v>
      </c>
      <c r="F12618" s="2">
        <v>1.0402342549301899E-2</v>
      </c>
    </row>
    <row r="12619" spans="1:6" x14ac:dyDescent="0.25">
      <c r="A12619" s="1" t="str">
        <f t="shared" si="466"/>
        <v>23460</v>
      </c>
      <c r="B12619" s="1" t="str">
        <f>"35961"</f>
        <v>35961</v>
      </c>
      <c r="C12619" s="2">
        <v>4.6118647426543402E-3</v>
      </c>
      <c r="D12619" s="2">
        <v>7.6175966482574695E-4</v>
      </c>
      <c r="E12619" s="2">
        <v>0</v>
      </c>
      <c r="F12619" s="2">
        <v>4.2062349343989103E-3</v>
      </c>
    </row>
    <row r="12620" spans="1:6" x14ac:dyDescent="0.25">
      <c r="A12620" s="1" t="str">
        <f t="shared" si="466"/>
        <v>23460</v>
      </c>
      <c r="B12620" s="1" t="str">
        <f>"35904"</f>
        <v>35904</v>
      </c>
      <c r="C12620" s="2">
        <v>0.13091570736277</v>
      </c>
      <c r="D12620" s="2">
        <v>0.10588459341077799</v>
      </c>
      <c r="E12620" s="2">
        <v>0.113960113960113</v>
      </c>
      <c r="F12620" s="2">
        <v>0.12850047724588601</v>
      </c>
    </row>
    <row r="12621" spans="1:6" x14ac:dyDescent="0.25">
      <c r="A12621" s="1" t="str">
        <f t="shared" si="466"/>
        <v>23460</v>
      </c>
      <c r="B12621" s="1" t="str">
        <f>"35990"</f>
        <v>35990</v>
      </c>
      <c r="C12621" s="2">
        <v>1.8015096650993499E-5</v>
      </c>
      <c r="D12621" s="2">
        <v>1.9043991620643601E-4</v>
      </c>
      <c r="E12621" s="2">
        <v>0</v>
      </c>
      <c r="F12621" s="2">
        <v>3.2355653341529997E-5</v>
      </c>
    </row>
    <row r="12622" spans="1:6" x14ac:dyDescent="0.25">
      <c r="A12622" s="1" t="str">
        <f t="shared" si="466"/>
        <v>23460</v>
      </c>
      <c r="B12622" s="1" t="str">
        <f>"36271"</f>
        <v>36271</v>
      </c>
      <c r="C12622" s="2">
        <v>7.2060386603974106E-5</v>
      </c>
      <c r="D12622" s="2">
        <v>0</v>
      </c>
      <c r="E12622" s="2">
        <v>0</v>
      </c>
      <c r="F12622" s="2">
        <v>6.4711306683060103E-5</v>
      </c>
    </row>
    <row r="12623" spans="1:6" x14ac:dyDescent="0.25">
      <c r="A12623" s="1" t="str">
        <f t="shared" si="466"/>
        <v>23460</v>
      </c>
      <c r="B12623" s="1" t="str">
        <f>"35902"</f>
        <v>35902</v>
      </c>
      <c r="C12623" s="2">
        <v>2.40681691257273E-2</v>
      </c>
      <c r="D12623" s="2">
        <v>8.7602361454960906E-2</v>
      </c>
      <c r="E12623" s="2">
        <v>1.89933523266856E-3</v>
      </c>
      <c r="F12623" s="2">
        <v>2.90877323540355E-2</v>
      </c>
    </row>
    <row r="12624" spans="1:6" x14ac:dyDescent="0.25">
      <c r="A12624" s="1" t="str">
        <f t="shared" si="466"/>
        <v>23460</v>
      </c>
      <c r="B12624" s="1" t="str">
        <f>"35906"</f>
        <v>35906</v>
      </c>
      <c r="C12624" s="2">
        <v>9.5101695220594806E-2</v>
      </c>
      <c r="D12624" s="2">
        <v>0.13140354218244099</v>
      </c>
      <c r="E12624" s="2">
        <v>0.150047483380816</v>
      </c>
      <c r="F12624" s="2">
        <v>9.9121544011777404E-2</v>
      </c>
    </row>
    <row r="12625" spans="1:6" x14ac:dyDescent="0.25">
      <c r="A12625" s="1" t="str">
        <f t="shared" si="466"/>
        <v>23460</v>
      </c>
      <c r="B12625" s="1" t="str">
        <f>"35954"</f>
        <v>35954</v>
      </c>
      <c r="C12625" s="2">
        <v>0.12005260408222</v>
      </c>
      <c r="D12625" s="2">
        <v>0.111407350980765</v>
      </c>
      <c r="E12625" s="2">
        <v>9.59164292497625E-2</v>
      </c>
      <c r="F12625" s="2">
        <v>0.118907026030123</v>
      </c>
    </row>
    <row r="12626" spans="1:6" x14ac:dyDescent="0.25">
      <c r="A12626" s="1" t="str">
        <f t="shared" si="466"/>
        <v>23460</v>
      </c>
      <c r="B12626" s="1" t="str">
        <f>"35972"</f>
        <v>35972</v>
      </c>
      <c r="C12626" s="2">
        <v>8.5031256192689402E-3</v>
      </c>
      <c r="D12626" s="2">
        <v>2.2852789944772401E-3</v>
      </c>
      <c r="E12626" s="2">
        <v>0</v>
      </c>
      <c r="F12626" s="2">
        <v>7.8300681086502805E-3</v>
      </c>
    </row>
    <row r="12627" spans="1:6" x14ac:dyDescent="0.25">
      <c r="A12627" s="1" t="str">
        <f t="shared" si="466"/>
        <v>23460</v>
      </c>
      <c r="B12627" s="1" t="str">
        <f>"35957"</f>
        <v>35957</v>
      </c>
      <c r="C12627" s="2">
        <v>4.1434722297285098E-4</v>
      </c>
      <c r="D12627" s="2">
        <v>0</v>
      </c>
      <c r="E12627" s="2">
        <v>0</v>
      </c>
      <c r="F12627" s="2">
        <v>3.72090013427596E-4</v>
      </c>
    </row>
    <row r="12628" spans="1:6" x14ac:dyDescent="0.25">
      <c r="A12628" s="1" t="str">
        <f t="shared" si="466"/>
        <v>23460</v>
      </c>
      <c r="B12628" s="1" t="str">
        <f>"35956"</f>
        <v>35956</v>
      </c>
      <c r="C12628" s="2">
        <v>7.9392530940928394E-2</v>
      </c>
      <c r="D12628" s="2">
        <v>3.4279184917158603E-2</v>
      </c>
      <c r="E12628" s="2">
        <v>1.6144349477682798E-2</v>
      </c>
      <c r="F12628" s="2">
        <v>7.4482713992202201E-2</v>
      </c>
    </row>
    <row r="12629" spans="1:6" x14ac:dyDescent="0.25">
      <c r="A12629" s="1" t="str">
        <f t="shared" ref="A12629:A12637" si="467">"23500"</f>
        <v>23500</v>
      </c>
      <c r="B12629" s="1" t="str">
        <f>"29341"</f>
        <v>29341</v>
      </c>
      <c r="C12629" s="2">
        <v>0.34765913974706703</v>
      </c>
      <c r="D12629" s="2">
        <v>0.46418604651162698</v>
      </c>
      <c r="E12629" s="2">
        <v>0.366336633663366</v>
      </c>
      <c r="F12629" s="2">
        <v>0.35600012927830299</v>
      </c>
    </row>
    <row r="12630" spans="1:6" x14ac:dyDescent="0.25">
      <c r="A12630" s="1" t="str">
        <f t="shared" si="467"/>
        <v>23500</v>
      </c>
      <c r="B12630" s="1" t="str">
        <f>"29330"</f>
        <v>29330</v>
      </c>
      <c r="C12630" s="2">
        <v>5.5659280656638603E-2</v>
      </c>
      <c r="D12630" s="2">
        <v>1.86046511627906E-2</v>
      </c>
      <c r="E12630" s="2">
        <v>7.4257425742574202E-3</v>
      </c>
      <c r="F12630" s="2">
        <v>5.2454671794705997E-2</v>
      </c>
    </row>
    <row r="12631" spans="1:6" x14ac:dyDescent="0.25">
      <c r="A12631" s="1" t="str">
        <f t="shared" si="467"/>
        <v>23500</v>
      </c>
      <c r="B12631" s="1" t="str">
        <f>"29702"</f>
        <v>29702</v>
      </c>
      <c r="C12631" s="2">
        <v>0.18152675520484701</v>
      </c>
      <c r="D12631" s="2">
        <v>0.15395348837209299</v>
      </c>
      <c r="E12631" s="2">
        <v>0.17079207920792</v>
      </c>
      <c r="F12631" s="2">
        <v>0.17947060534565701</v>
      </c>
    </row>
    <row r="12632" spans="1:6" x14ac:dyDescent="0.25">
      <c r="A12632" s="1" t="str">
        <f t="shared" si="467"/>
        <v>23500</v>
      </c>
      <c r="B12632" s="1" t="str">
        <f>"29323"</f>
        <v>29323</v>
      </c>
      <c r="C12632" s="2">
        <v>2.5258040652411301E-2</v>
      </c>
      <c r="D12632" s="2">
        <v>1.34883720930232E-2</v>
      </c>
      <c r="E12632" s="2">
        <v>1.9801980198019799E-2</v>
      </c>
      <c r="F12632" s="2">
        <v>2.4368960279241101E-2</v>
      </c>
    </row>
    <row r="12633" spans="1:6" x14ac:dyDescent="0.25">
      <c r="A12633" s="1" t="str">
        <f t="shared" si="467"/>
        <v>23500</v>
      </c>
      <c r="B12633" s="1" t="str">
        <f>"29340"</f>
        <v>29340</v>
      </c>
      <c r="C12633" s="2">
        <v>0.36256032691020501</v>
      </c>
      <c r="D12633" s="2">
        <v>0.34604651162790601</v>
      </c>
      <c r="E12633" s="2">
        <v>0.43069306930693002</v>
      </c>
      <c r="F12633" s="2">
        <v>0.36230244659189997</v>
      </c>
    </row>
    <row r="12634" spans="1:6" x14ac:dyDescent="0.25">
      <c r="A12634" s="1" t="str">
        <f t="shared" si="467"/>
        <v>23500</v>
      </c>
      <c r="B12634" s="1" t="str">
        <f>"29306"</f>
        <v>29306</v>
      </c>
      <c r="C12634" s="2">
        <v>1.02159439179906E-3</v>
      </c>
      <c r="D12634" s="2">
        <v>4.6511627906976698E-4</v>
      </c>
      <c r="E12634" s="2">
        <v>0</v>
      </c>
      <c r="F12634" s="2">
        <v>9.6958727901489902E-4</v>
      </c>
    </row>
    <row r="12635" spans="1:6" x14ac:dyDescent="0.25">
      <c r="A12635" s="1" t="str">
        <f t="shared" si="467"/>
        <v>23500</v>
      </c>
      <c r="B12635" s="1" t="str">
        <f>"29743"</f>
        <v>29743</v>
      </c>
      <c r="C12635" s="2">
        <v>5.9534293866910903E-3</v>
      </c>
      <c r="D12635" s="2">
        <v>0</v>
      </c>
      <c r="E12635" s="2">
        <v>0</v>
      </c>
      <c r="F12635" s="2">
        <v>5.4620083384505896E-3</v>
      </c>
    </row>
    <row r="12636" spans="1:6" x14ac:dyDescent="0.25">
      <c r="A12636" s="1" t="str">
        <f t="shared" si="467"/>
        <v>23500</v>
      </c>
      <c r="B12636" s="1" t="str">
        <f>"29307"</f>
        <v>29307</v>
      </c>
      <c r="C12636" s="2">
        <v>8.1023003487511805E-3</v>
      </c>
      <c r="D12636" s="2">
        <v>9.3023255813953396E-4</v>
      </c>
      <c r="E12636" s="2">
        <v>4.9504950495049497E-3</v>
      </c>
      <c r="F12636" s="2">
        <v>7.56278077631621E-3</v>
      </c>
    </row>
    <row r="12637" spans="1:6" x14ac:dyDescent="0.25">
      <c r="A12637" s="1" t="str">
        <f t="shared" si="467"/>
        <v>23500</v>
      </c>
      <c r="B12637" s="1" t="str">
        <f>"29372"</f>
        <v>29372</v>
      </c>
      <c r="C12637" s="2">
        <v>1.2259132701588699E-2</v>
      </c>
      <c r="D12637" s="2">
        <v>2.3255813953488298E-3</v>
      </c>
      <c r="E12637" s="2">
        <v>0</v>
      </c>
      <c r="F12637" s="2">
        <v>1.1408810316408601E-2</v>
      </c>
    </row>
    <row r="12638" spans="1:6" x14ac:dyDescent="0.25">
      <c r="A12638" s="1" t="str">
        <f t="shared" ref="A12638:A12682" si="468">"23540"</f>
        <v>23540</v>
      </c>
      <c r="B12638" s="1" t="str">
        <f>"32633"</f>
        <v>32633</v>
      </c>
      <c r="C12638" s="2">
        <v>0</v>
      </c>
      <c r="D12638" s="2">
        <v>0</v>
      </c>
      <c r="E12638" s="2">
        <v>1.6943409013893499E-4</v>
      </c>
      <c r="F12638" s="2">
        <v>5.2708700098038103E-6</v>
      </c>
    </row>
    <row r="12639" spans="1:6" x14ac:dyDescent="0.25">
      <c r="A12639" s="1" t="str">
        <f t="shared" si="468"/>
        <v>23540</v>
      </c>
      <c r="B12639" s="1" t="str">
        <f>"32639"</f>
        <v>32639</v>
      </c>
      <c r="C12639" s="2">
        <v>0</v>
      </c>
      <c r="D12639" s="2">
        <v>0</v>
      </c>
      <c r="E12639" s="2">
        <v>1.6943409013893499E-4</v>
      </c>
      <c r="F12639" s="2">
        <v>5.2708700098038103E-6</v>
      </c>
    </row>
    <row r="12640" spans="1:6" x14ac:dyDescent="0.25">
      <c r="A12640" s="1" t="str">
        <f t="shared" si="468"/>
        <v>23540</v>
      </c>
      <c r="B12640" s="1" t="str">
        <f>"32605"</f>
        <v>32605</v>
      </c>
      <c r="C12640" s="2">
        <v>6.8185592938831599E-2</v>
      </c>
      <c r="D12640" s="2">
        <v>6.2746127592543902E-2</v>
      </c>
      <c r="E12640" s="2">
        <v>3.7614368010843703E-2</v>
      </c>
      <c r="F12640" s="2">
        <v>6.6797735634243696E-2</v>
      </c>
    </row>
    <row r="12641" spans="1:6" x14ac:dyDescent="0.25">
      <c r="A12641" s="1" t="str">
        <f t="shared" si="468"/>
        <v>23540</v>
      </c>
      <c r="B12641" s="1" t="str">
        <f>"34498"</f>
        <v>34498</v>
      </c>
      <c r="C12641" s="2">
        <v>3.15569686328477E-3</v>
      </c>
      <c r="D12641" s="2">
        <v>1.7064846416382201E-3</v>
      </c>
      <c r="E12641" s="2">
        <v>0</v>
      </c>
      <c r="F12641" s="2">
        <v>2.9411454654705298E-3</v>
      </c>
    </row>
    <row r="12642" spans="1:6" x14ac:dyDescent="0.25">
      <c r="A12642" s="1" t="str">
        <f t="shared" si="468"/>
        <v>23540</v>
      </c>
      <c r="B12642" s="1" t="str">
        <f>"32667"</f>
        <v>32667</v>
      </c>
      <c r="C12642" s="2">
        <v>6.8215251743937704E-3</v>
      </c>
      <c r="D12642" s="2">
        <v>4.7912838015227001E-3</v>
      </c>
      <c r="E12642" s="2">
        <v>1.3554727211114799E-3</v>
      </c>
      <c r="F12642" s="2">
        <v>6.4884409820685001E-3</v>
      </c>
    </row>
    <row r="12643" spans="1:6" x14ac:dyDescent="0.25">
      <c r="A12643" s="1" t="str">
        <f t="shared" si="468"/>
        <v>23540</v>
      </c>
      <c r="B12643" s="1" t="str">
        <f>"32627"</f>
        <v>32627</v>
      </c>
      <c r="C12643" s="2">
        <v>3.6361695060029399E-3</v>
      </c>
      <c r="D12643" s="2">
        <v>1.6474140194276701E-2</v>
      </c>
      <c r="E12643" s="2">
        <v>3.3886818027787101E-4</v>
      </c>
      <c r="F12643" s="2">
        <v>4.5645734284900999E-3</v>
      </c>
    </row>
    <row r="12644" spans="1:6" x14ac:dyDescent="0.25">
      <c r="A12644" s="1" t="str">
        <f t="shared" si="468"/>
        <v>23540</v>
      </c>
      <c r="B12644" s="1" t="str">
        <f>"32654"</f>
        <v>32654</v>
      </c>
      <c r="C12644" s="2">
        <v>0</v>
      </c>
      <c r="D12644" s="2">
        <v>0</v>
      </c>
      <c r="E12644" s="2">
        <v>3.3886818027787101E-4</v>
      </c>
      <c r="F12644" s="2">
        <v>1.05417400196076E-5</v>
      </c>
    </row>
    <row r="12645" spans="1:6" x14ac:dyDescent="0.25">
      <c r="A12645" s="1" t="str">
        <f t="shared" si="468"/>
        <v>23540</v>
      </c>
      <c r="B12645" s="1" t="str">
        <f>"32635"</f>
        <v>32635</v>
      </c>
      <c r="C12645" s="2">
        <v>6.0800550467422698E-3</v>
      </c>
      <c r="D12645" s="2">
        <v>3.4260960882121202E-2</v>
      </c>
      <c r="E12645" s="2">
        <v>3.3886818027787101E-4</v>
      </c>
      <c r="F12645" s="2">
        <v>8.1645776451861104E-3</v>
      </c>
    </row>
    <row r="12646" spans="1:6" x14ac:dyDescent="0.25">
      <c r="A12646" s="1" t="str">
        <f t="shared" si="468"/>
        <v>23540</v>
      </c>
      <c r="B12646" s="1" t="str">
        <f>"32662"</f>
        <v>32662</v>
      </c>
      <c r="C12646" s="2">
        <v>0</v>
      </c>
      <c r="D12646" s="2">
        <v>0</v>
      </c>
      <c r="E12646" s="2">
        <v>3.3886818027787101E-4</v>
      </c>
      <c r="F12646" s="2">
        <v>1.05417400196076E-5</v>
      </c>
    </row>
    <row r="12647" spans="1:6" x14ac:dyDescent="0.25">
      <c r="A12647" s="1" t="str">
        <f t="shared" si="468"/>
        <v>23540</v>
      </c>
      <c r="B12647" s="1" t="str">
        <f>"32611"</f>
        <v>32611</v>
      </c>
      <c r="C12647" s="2">
        <v>0</v>
      </c>
      <c r="D12647" s="2">
        <v>6.5634024678393202E-5</v>
      </c>
      <c r="E12647" s="2">
        <v>1.6943409013893499E-4</v>
      </c>
      <c r="F12647" s="2">
        <v>1.05417400196076E-5</v>
      </c>
    </row>
    <row r="12648" spans="1:6" x14ac:dyDescent="0.25">
      <c r="A12648" s="1" t="str">
        <f t="shared" si="468"/>
        <v>23540</v>
      </c>
      <c r="B12648" s="1" t="str">
        <f>"32622"</f>
        <v>32622</v>
      </c>
      <c r="C12648" s="2">
        <v>1.0499217007545201E-3</v>
      </c>
      <c r="D12648" s="2">
        <v>6.5634024678393202E-5</v>
      </c>
      <c r="E12648" s="2">
        <v>0</v>
      </c>
      <c r="F12648" s="2">
        <v>9.3821486174507898E-4</v>
      </c>
    </row>
    <row r="12649" spans="1:6" x14ac:dyDescent="0.25">
      <c r="A12649" s="1" t="str">
        <f t="shared" si="468"/>
        <v>23540</v>
      </c>
      <c r="B12649" s="1" t="str">
        <f>"32615"</f>
        <v>32615</v>
      </c>
      <c r="C12649" s="2">
        <v>4.62973947705594E-2</v>
      </c>
      <c r="D12649" s="2">
        <v>4.2202677868206799E-2</v>
      </c>
      <c r="E12649" s="2">
        <v>2.60928498813961E-2</v>
      </c>
      <c r="F12649" s="2">
        <v>4.5340023824332401E-2</v>
      </c>
    </row>
    <row r="12650" spans="1:6" x14ac:dyDescent="0.25">
      <c r="A12650" s="1" t="str">
        <f t="shared" si="468"/>
        <v>23540</v>
      </c>
      <c r="B12650" s="1" t="str">
        <f>"32668"</f>
        <v>32668</v>
      </c>
      <c r="C12650" s="2">
        <v>1.40938641863996E-2</v>
      </c>
      <c r="D12650" s="2">
        <v>1.0501443948542899E-3</v>
      </c>
      <c r="E12650" s="2">
        <v>1.6943409013893499E-4</v>
      </c>
      <c r="F12650" s="2">
        <v>1.2613191933460499E-2</v>
      </c>
    </row>
    <row r="12651" spans="1:6" x14ac:dyDescent="0.25">
      <c r="A12651" s="1" t="str">
        <f t="shared" si="468"/>
        <v>23540</v>
      </c>
      <c r="B12651" s="1" t="str">
        <f>"32607"</f>
        <v>32607</v>
      </c>
      <c r="C12651" s="2">
        <v>8.8288331039719004E-2</v>
      </c>
      <c r="D12651" s="2">
        <v>5.5001312680493498E-2</v>
      </c>
      <c r="E12651" s="2">
        <v>0.178414096916299</v>
      </c>
      <c r="F12651" s="2">
        <v>8.8418844414459005E-2</v>
      </c>
    </row>
    <row r="12652" spans="1:6" x14ac:dyDescent="0.25">
      <c r="A12652" s="1" t="str">
        <f t="shared" si="468"/>
        <v>23540</v>
      </c>
      <c r="B12652" s="1" t="str">
        <f>"32608"</f>
        <v>32608</v>
      </c>
      <c r="C12652" s="2">
        <v>0.165887628719214</v>
      </c>
      <c r="D12652" s="2">
        <v>9.5169335783670206E-2</v>
      </c>
      <c r="E12652" s="2">
        <v>0.21348695357505901</v>
      </c>
      <c r="F12652" s="2">
        <v>0.161689208420741</v>
      </c>
    </row>
    <row r="12653" spans="1:6" x14ac:dyDescent="0.25">
      <c r="A12653" s="1" t="str">
        <f t="shared" si="468"/>
        <v>23540</v>
      </c>
      <c r="B12653" s="1" t="str">
        <f>"32618"</f>
        <v>32618</v>
      </c>
      <c r="C12653" s="2">
        <v>2.05179613723722E-2</v>
      </c>
      <c r="D12653" s="2">
        <v>7.6791808873720099E-3</v>
      </c>
      <c r="E12653" s="2">
        <v>4.40528634361233E-3</v>
      </c>
      <c r="F12653" s="2">
        <v>1.8985673775313301E-2</v>
      </c>
    </row>
    <row r="12654" spans="1:6" x14ac:dyDescent="0.25">
      <c r="A12654" s="1" t="str">
        <f t="shared" si="468"/>
        <v>23540</v>
      </c>
      <c r="B12654" s="1" t="str">
        <f>"32604"</f>
        <v>32604</v>
      </c>
      <c r="C12654" s="2">
        <v>1.37794808522754E-2</v>
      </c>
      <c r="D12654" s="2">
        <v>2.3496980834864699E-2</v>
      </c>
      <c r="E12654" s="2">
        <v>3.3886818027787101E-4</v>
      </c>
      <c r="F12654" s="2">
        <v>1.4141744236303599E-2</v>
      </c>
    </row>
    <row r="12655" spans="1:6" x14ac:dyDescent="0.25">
      <c r="A12655" s="1" t="str">
        <f t="shared" si="468"/>
        <v>23540</v>
      </c>
      <c r="B12655" s="1" t="str">
        <f>"32693"</f>
        <v>32693</v>
      </c>
      <c r="C12655" s="2">
        <v>4.3616238788971598E-2</v>
      </c>
      <c r="D12655" s="2">
        <v>3.3407718561302098E-2</v>
      </c>
      <c r="E12655" s="2">
        <v>7.6245340562521103E-3</v>
      </c>
      <c r="F12655" s="2">
        <v>4.1676769167518703E-2</v>
      </c>
    </row>
    <row r="12656" spans="1:6" x14ac:dyDescent="0.25">
      <c r="A12656" s="1" t="str">
        <f t="shared" si="468"/>
        <v>23540</v>
      </c>
      <c r="B12656" s="1" t="str">
        <f>"32621"</f>
        <v>32621</v>
      </c>
      <c r="C12656" s="2">
        <v>1.4271817017036E-2</v>
      </c>
      <c r="D12656" s="2">
        <v>6.0383302704121802E-3</v>
      </c>
      <c r="E12656" s="2">
        <v>1.01660454083361E-3</v>
      </c>
      <c r="F12656" s="2">
        <v>1.3198258504548701E-2</v>
      </c>
    </row>
    <row r="12657" spans="1:6" x14ac:dyDescent="0.25">
      <c r="A12657" s="1" t="str">
        <f t="shared" si="468"/>
        <v>23540</v>
      </c>
      <c r="B12657" s="1" t="str">
        <f>"32641"</f>
        <v>32641</v>
      </c>
      <c r="C12657" s="2">
        <v>3.7245527452190001E-2</v>
      </c>
      <c r="D12657" s="2">
        <v>3.3801522709372499E-2</v>
      </c>
      <c r="E12657" s="2">
        <v>2.45679430701457E-2</v>
      </c>
      <c r="F12657" s="2">
        <v>3.65745669980286E-2</v>
      </c>
    </row>
    <row r="12658" spans="1:6" x14ac:dyDescent="0.25">
      <c r="A12658" s="1" t="str">
        <f t="shared" si="468"/>
        <v>23540</v>
      </c>
      <c r="B12658" s="1" t="str">
        <f>"32643"</f>
        <v>32643</v>
      </c>
      <c r="C12658" s="2">
        <v>3.4742324301238497E-2</v>
      </c>
      <c r="D12658" s="2">
        <v>3.8789708584930402E-2</v>
      </c>
      <c r="E12658" s="2">
        <v>1.71128431040325E-2</v>
      </c>
      <c r="F12658" s="2">
        <v>3.4518927694205198E-2</v>
      </c>
    </row>
    <row r="12659" spans="1:6" x14ac:dyDescent="0.25">
      <c r="A12659" s="1" t="str">
        <f t="shared" si="468"/>
        <v>23540</v>
      </c>
      <c r="B12659" s="1" t="str">
        <f>"34449"</f>
        <v>34449</v>
      </c>
      <c r="C12659" s="2">
        <v>1.10508707825179E-2</v>
      </c>
      <c r="D12659" s="2">
        <v>7.6135468626936202E-3</v>
      </c>
      <c r="E12659" s="2">
        <v>1.1690952219586499E-2</v>
      </c>
      <c r="F12659" s="2">
        <v>1.07947417800782E-2</v>
      </c>
    </row>
    <row r="12660" spans="1:6" x14ac:dyDescent="0.25">
      <c r="A12660" s="1" t="str">
        <f t="shared" si="468"/>
        <v>23540</v>
      </c>
      <c r="B12660" s="1" t="str">
        <f>"32044"</f>
        <v>32044</v>
      </c>
      <c r="C12660" s="2">
        <v>1.48294025530299E-4</v>
      </c>
      <c r="D12660" s="2">
        <v>0</v>
      </c>
      <c r="E12660" s="2">
        <v>0</v>
      </c>
      <c r="F12660" s="2">
        <v>1.3177175024509501E-4</v>
      </c>
    </row>
    <row r="12661" spans="1:6" x14ac:dyDescent="0.25">
      <c r="A12661" s="1" t="str">
        <f t="shared" si="468"/>
        <v>23540</v>
      </c>
      <c r="B12661" s="1" t="str">
        <f>"32631"</f>
        <v>32631</v>
      </c>
      <c r="C12661" s="2">
        <v>6.8808427846058905E-4</v>
      </c>
      <c r="D12661" s="2">
        <v>3.9380414807035902E-4</v>
      </c>
      <c r="E12661" s="2">
        <v>1.6943409013893499E-4</v>
      </c>
      <c r="F12661" s="2">
        <v>6.4831701120586895E-4</v>
      </c>
    </row>
    <row r="12662" spans="1:6" x14ac:dyDescent="0.25">
      <c r="A12662" s="1" t="str">
        <f t="shared" si="468"/>
        <v>23540</v>
      </c>
      <c r="B12662" s="1" t="str">
        <f>"32640"</f>
        <v>32640</v>
      </c>
      <c r="C12662" s="2">
        <v>1.46751767664784E-2</v>
      </c>
      <c r="D12662" s="2">
        <v>1.05014439485429E-2</v>
      </c>
      <c r="E12662" s="2">
        <v>2.5415113520840301E-3</v>
      </c>
      <c r="F12662" s="2">
        <v>1.3962534655970299E-2</v>
      </c>
    </row>
    <row r="12663" spans="1:6" x14ac:dyDescent="0.25">
      <c r="A12663" s="1" t="str">
        <f t="shared" si="468"/>
        <v>23540</v>
      </c>
      <c r="B12663" s="1" t="str">
        <f>"32666"</f>
        <v>32666</v>
      </c>
      <c r="C12663" s="2">
        <v>2.69301950363023E-3</v>
      </c>
      <c r="D12663" s="2">
        <v>3.2817012339196599E-4</v>
      </c>
      <c r="E12663" s="2">
        <v>5.0830227041680697E-4</v>
      </c>
      <c r="F12663" s="2">
        <v>2.4351419445293601E-3</v>
      </c>
    </row>
    <row r="12664" spans="1:6" x14ac:dyDescent="0.25">
      <c r="A12664" s="1" t="str">
        <f t="shared" si="468"/>
        <v>23540</v>
      </c>
      <c r="B12664" s="1" t="str">
        <f>"32614"</f>
        <v>32614</v>
      </c>
      <c r="C12664" s="2">
        <v>1.06949651212451E-2</v>
      </c>
      <c r="D12664" s="2">
        <v>2.2446836440010502E-2</v>
      </c>
      <c r="E12664" s="2">
        <v>3.3886818027787101E-4</v>
      </c>
      <c r="F12664" s="2">
        <v>1.13165579110487E-2</v>
      </c>
    </row>
    <row r="12665" spans="1:6" x14ac:dyDescent="0.25">
      <c r="A12665" s="1" t="str">
        <f t="shared" si="468"/>
        <v>23540</v>
      </c>
      <c r="B12665" s="1" t="str">
        <f>"32619"</f>
        <v>32619</v>
      </c>
      <c r="C12665" s="2">
        <v>1.5197171736345E-2</v>
      </c>
      <c r="D12665" s="2">
        <v>6.1695983197689597E-3</v>
      </c>
      <c r="E12665" s="2">
        <v>3.38868180277871E-3</v>
      </c>
      <c r="F12665" s="2">
        <v>1.4104848146234999E-2</v>
      </c>
    </row>
    <row r="12666" spans="1:6" x14ac:dyDescent="0.25">
      <c r="A12666" s="1" t="str">
        <f t="shared" si="468"/>
        <v>23540</v>
      </c>
      <c r="B12666" s="1" t="str">
        <f>"32606"</f>
        <v>32606</v>
      </c>
      <c r="C12666" s="2">
        <v>6.9366013382052796E-2</v>
      </c>
      <c r="D12666" s="2">
        <v>7.8760829614071895E-2</v>
      </c>
      <c r="E12666" s="2">
        <v>7.8617417824466199E-2</v>
      </c>
      <c r="F12666" s="2">
        <v>7.0408281590959396E-2</v>
      </c>
    </row>
    <row r="12667" spans="1:6" x14ac:dyDescent="0.25">
      <c r="A12667" s="1" t="str">
        <f t="shared" si="468"/>
        <v>23540</v>
      </c>
      <c r="B12667" s="1" t="str">
        <f>"32669"</f>
        <v>32669</v>
      </c>
      <c r="C12667" s="2">
        <v>4.9939496037583603E-2</v>
      </c>
      <c r="D12667" s="2">
        <v>3.7411394066684103E-2</v>
      </c>
      <c r="E12667" s="2">
        <v>3.1006438495425202E-2</v>
      </c>
      <c r="F12667" s="2">
        <v>4.8344419729920603E-2</v>
      </c>
    </row>
    <row r="12668" spans="1:6" x14ac:dyDescent="0.25">
      <c r="A12668" s="1" t="str">
        <f t="shared" si="468"/>
        <v>23540</v>
      </c>
      <c r="B12668" s="1" t="str">
        <f>"32696"</f>
        <v>32696</v>
      </c>
      <c r="C12668" s="2">
        <v>3.4368623356902099E-2</v>
      </c>
      <c r="D12668" s="2">
        <v>2.8091362562352298E-2</v>
      </c>
      <c r="E12668" s="2">
        <v>1.4063029481531601E-2</v>
      </c>
      <c r="F12668" s="2">
        <v>3.3232835411813003E-2</v>
      </c>
    </row>
    <row r="12669" spans="1:6" x14ac:dyDescent="0.25">
      <c r="A12669" s="1" t="str">
        <f t="shared" si="468"/>
        <v>23540</v>
      </c>
      <c r="B12669" s="1" t="str">
        <f>"32625"</f>
        <v>32625</v>
      </c>
      <c r="C12669" s="2">
        <v>4.3064585013998903E-3</v>
      </c>
      <c r="D12669" s="2">
        <v>1.77211866631661E-3</v>
      </c>
      <c r="E12669" s="2">
        <v>1.6943409013893499E-4</v>
      </c>
      <c r="F12669" s="2">
        <v>3.9742359873920696E-3</v>
      </c>
    </row>
    <row r="12670" spans="1:6" x14ac:dyDescent="0.25">
      <c r="A12670" s="1" t="str">
        <f t="shared" si="468"/>
        <v>23540</v>
      </c>
      <c r="B12670" s="1" t="str">
        <f>"32653"</f>
        <v>32653</v>
      </c>
      <c r="C12670" s="2">
        <v>4.1012195700659601E-2</v>
      </c>
      <c r="D12670" s="2">
        <v>3.8199002362824801E-2</v>
      </c>
      <c r="E12670" s="2">
        <v>3.2700779396814601E-2</v>
      </c>
      <c r="F12670" s="2">
        <v>4.0527719505381497E-2</v>
      </c>
    </row>
    <row r="12671" spans="1:6" x14ac:dyDescent="0.25">
      <c r="A12671" s="1" t="str">
        <f t="shared" si="468"/>
        <v>23540</v>
      </c>
      <c r="B12671" s="1" t="str">
        <f>"32658"</f>
        <v>32658</v>
      </c>
      <c r="C12671" s="2">
        <v>0</v>
      </c>
      <c r="D12671" s="2">
        <v>0</v>
      </c>
      <c r="E12671" s="2">
        <v>1.6943409013893499E-4</v>
      </c>
      <c r="F12671" s="2">
        <v>5.2708700098038103E-6</v>
      </c>
    </row>
    <row r="12672" spans="1:6" x14ac:dyDescent="0.25">
      <c r="A12672" s="1" t="str">
        <f t="shared" si="468"/>
        <v>23540</v>
      </c>
      <c r="B12672" s="1" t="str">
        <f>"32612"</f>
        <v>32612</v>
      </c>
      <c r="C12672" s="2">
        <v>0</v>
      </c>
      <c r="D12672" s="2">
        <v>6.5634024678393202E-5</v>
      </c>
      <c r="E12672" s="2">
        <v>1.6943409013893499E-4</v>
      </c>
      <c r="F12672" s="2">
        <v>1.05417400196076E-5</v>
      </c>
    </row>
    <row r="12673" spans="1:6" x14ac:dyDescent="0.25">
      <c r="A12673" s="1" t="str">
        <f t="shared" si="468"/>
        <v>23540</v>
      </c>
      <c r="B12673" s="1" t="str">
        <f>"32683"</f>
        <v>32683</v>
      </c>
      <c r="C12673" s="2">
        <v>0</v>
      </c>
      <c r="D12673" s="2">
        <v>0</v>
      </c>
      <c r="E12673" s="2">
        <v>1.6943409013893499E-4</v>
      </c>
      <c r="F12673" s="2">
        <v>5.2708700098038103E-6</v>
      </c>
    </row>
    <row r="12674" spans="1:6" x14ac:dyDescent="0.25">
      <c r="A12674" s="1" t="str">
        <f t="shared" si="468"/>
        <v>23540</v>
      </c>
      <c r="B12674" s="1" t="str">
        <f>"32008"</f>
        <v>32008</v>
      </c>
      <c r="C12674" s="2">
        <v>4.1818915199544398E-3</v>
      </c>
      <c r="D12674" s="2">
        <v>8.5324232081911199E-4</v>
      </c>
      <c r="E12674" s="2">
        <v>0</v>
      </c>
      <c r="F12674" s="2">
        <v>3.7844846670391399E-3</v>
      </c>
    </row>
    <row r="12675" spans="1:6" x14ac:dyDescent="0.25">
      <c r="A12675" s="1" t="str">
        <f t="shared" si="468"/>
        <v>23540</v>
      </c>
      <c r="B12675" s="1" t="str">
        <f>"34431"</f>
        <v>34431</v>
      </c>
      <c r="C12675" s="2">
        <v>2.71081478669387E-3</v>
      </c>
      <c r="D12675" s="2">
        <v>5.2507219742714605E-4</v>
      </c>
      <c r="E12675" s="2">
        <v>5.0830227041680697E-4</v>
      </c>
      <c r="F12675" s="2">
        <v>2.4667671645881798E-3</v>
      </c>
    </row>
    <row r="12676" spans="1:6" x14ac:dyDescent="0.25">
      <c r="A12676" s="1" t="str">
        <f t="shared" si="468"/>
        <v>23540</v>
      </c>
      <c r="B12676" s="1" t="str">
        <f>"32626"</f>
        <v>32626</v>
      </c>
      <c r="C12676" s="2">
        <v>2.8217387177905302E-2</v>
      </c>
      <c r="D12676" s="2">
        <v>3.7214491992648903E-2</v>
      </c>
      <c r="E12676" s="2">
        <v>4.91358861402914E-3</v>
      </c>
      <c r="F12676" s="2">
        <v>2.8214967162479801E-2</v>
      </c>
    </row>
    <row r="12677" spans="1:6" x14ac:dyDescent="0.25">
      <c r="A12677" s="1" t="str">
        <f t="shared" si="468"/>
        <v>23540</v>
      </c>
      <c r="B12677" s="1" t="str">
        <f>"32601"</f>
        <v>32601</v>
      </c>
      <c r="C12677" s="2">
        <v>5.6589000142362199E-2</v>
      </c>
      <c r="D12677" s="2">
        <v>0.136124967182987</v>
      </c>
      <c r="E12677" s="2">
        <v>0.171806167400881</v>
      </c>
      <c r="F12677" s="2">
        <v>6.6560546483802593E-2</v>
      </c>
    </row>
    <row r="12678" spans="1:6" x14ac:dyDescent="0.25">
      <c r="A12678" s="1" t="str">
        <f t="shared" si="468"/>
        <v>23540</v>
      </c>
      <c r="B12678" s="1" t="str">
        <f>"32610"</f>
        <v>32610</v>
      </c>
      <c r="C12678" s="2">
        <v>0</v>
      </c>
      <c r="D12678" s="2">
        <v>1.9690207403517899E-4</v>
      </c>
      <c r="E12678" s="2">
        <v>0</v>
      </c>
      <c r="F12678" s="2">
        <v>1.5812610029411399E-5</v>
      </c>
    </row>
    <row r="12679" spans="1:6" x14ac:dyDescent="0.25">
      <c r="A12679" s="1" t="str">
        <f t="shared" si="468"/>
        <v>23540</v>
      </c>
      <c r="B12679" s="1" t="str">
        <f>"32609"</f>
        <v>32609</v>
      </c>
      <c r="C12679" s="2">
        <v>5.0010677169838098E-2</v>
      </c>
      <c r="D12679" s="2">
        <v>0.111249671829876</v>
      </c>
      <c r="E12679" s="2">
        <v>6.9806845137241599E-2</v>
      </c>
      <c r="F12679" s="2">
        <v>5.5544428163312599E-2</v>
      </c>
    </row>
    <row r="12680" spans="1:6" x14ac:dyDescent="0.25">
      <c r="A12680" s="1" t="str">
        <f t="shared" si="468"/>
        <v>23540</v>
      </c>
      <c r="B12680" s="1" t="str">
        <f>"32603"</f>
        <v>32603</v>
      </c>
      <c r="C12680" s="2">
        <v>1.6869928344326799E-2</v>
      </c>
      <c r="D12680" s="2">
        <v>1.2601732738251501E-2</v>
      </c>
      <c r="E12680" s="2">
        <v>6.0318536089461097E-2</v>
      </c>
      <c r="F12680" s="2">
        <v>1.7878791073254501E-2</v>
      </c>
    </row>
    <row r="12681" spans="1:6" x14ac:dyDescent="0.25">
      <c r="A12681" s="1" t="str">
        <f t="shared" si="468"/>
        <v>23540</v>
      </c>
      <c r="B12681" s="1" t="str">
        <f>"32694"</f>
        <v>32694</v>
      </c>
      <c r="C12681" s="2">
        <v>4.9411569306695704E-3</v>
      </c>
      <c r="D12681" s="2">
        <v>2.8878970858492998E-3</v>
      </c>
      <c r="E12681" s="2">
        <v>2.5415113520840301E-3</v>
      </c>
      <c r="F12681" s="2">
        <v>4.7016160487449998E-3</v>
      </c>
    </row>
    <row r="12682" spans="1:6" x14ac:dyDescent="0.25">
      <c r="A12682" s="1" t="str">
        <f t="shared" si="468"/>
        <v>23540</v>
      </c>
      <c r="B12682" s="1" t="str">
        <f>"32644"</f>
        <v>32644</v>
      </c>
      <c r="C12682" s="2">
        <v>1.46692450054572E-2</v>
      </c>
      <c r="D12682" s="2">
        <v>9.8451037017589903E-3</v>
      </c>
      <c r="E12682" s="2">
        <v>3.3886818027787101E-4</v>
      </c>
      <c r="F12682" s="2">
        <v>1.3836033775735E-2</v>
      </c>
    </row>
    <row r="12683" spans="1:6" x14ac:dyDescent="0.25">
      <c r="A12683" s="1" t="str">
        <f t="shared" ref="A12683:A12704" si="469">"23580"</f>
        <v>23580</v>
      </c>
      <c r="B12683" s="1" t="str">
        <f>"30519"</f>
        <v>30519</v>
      </c>
      <c r="C12683" s="2">
        <v>1.2458931069256E-2</v>
      </c>
      <c r="D12683" s="2">
        <v>5.4209536453147401E-3</v>
      </c>
      <c r="E12683" s="2">
        <v>6.4446831364124496E-3</v>
      </c>
      <c r="F12683" s="2">
        <v>1.17334471122144E-2</v>
      </c>
    </row>
    <row r="12684" spans="1:6" x14ac:dyDescent="0.25">
      <c r="A12684" s="1" t="str">
        <f t="shared" si="469"/>
        <v>23580</v>
      </c>
      <c r="B12684" s="1" t="str">
        <f>"30542"</f>
        <v>30542</v>
      </c>
      <c r="C12684" s="2">
        <v>0.177547900198432</v>
      </c>
      <c r="D12684" s="2">
        <v>0.116716450934837</v>
      </c>
      <c r="E12684" s="2">
        <v>9.8818474758324296E-2</v>
      </c>
      <c r="F12684" s="2">
        <v>0.17079438346068801</v>
      </c>
    </row>
    <row r="12685" spans="1:6" x14ac:dyDescent="0.25">
      <c r="A12685" s="1" t="str">
        <f t="shared" si="469"/>
        <v>23580</v>
      </c>
      <c r="B12685" s="1" t="str">
        <f>"30507"</f>
        <v>30507</v>
      </c>
      <c r="C12685" s="2">
        <v>0.112911095930516</v>
      </c>
      <c r="D12685" s="2">
        <v>5.3988273039052903E-2</v>
      </c>
      <c r="E12685" s="2">
        <v>6.01503759398496E-2</v>
      </c>
      <c r="F12685" s="2">
        <v>0.106793762848609</v>
      </c>
    </row>
    <row r="12686" spans="1:6" x14ac:dyDescent="0.25">
      <c r="A12686" s="1" t="str">
        <f t="shared" si="469"/>
        <v>23580</v>
      </c>
      <c r="B12686" s="1" t="str">
        <f>"30502"</f>
        <v>30502</v>
      </c>
      <c r="C12686" s="2">
        <v>4.9445366123418199E-3</v>
      </c>
      <c r="D12686" s="2">
        <v>1.19482243611018E-2</v>
      </c>
      <c r="E12686" s="2">
        <v>1.07411385606874E-3</v>
      </c>
      <c r="F12686" s="2">
        <v>5.4885380706722001E-3</v>
      </c>
    </row>
    <row r="12687" spans="1:6" x14ac:dyDescent="0.25">
      <c r="A12687" s="1" t="str">
        <f t="shared" si="469"/>
        <v>23580</v>
      </c>
      <c r="B12687" s="1" t="str">
        <f>"30533"</f>
        <v>30533</v>
      </c>
      <c r="C12687" s="2">
        <v>2.0060071782527101E-3</v>
      </c>
      <c r="D12687" s="2">
        <v>3.3189512114171902E-4</v>
      </c>
      <c r="E12687" s="2">
        <v>2.14822771213748E-3</v>
      </c>
      <c r="F12687" s="2">
        <v>1.8618362359877399E-3</v>
      </c>
    </row>
    <row r="12688" spans="1:6" x14ac:dyDescent="0.25">
      <c r="A12688" s="1" t="str">
        <f t="shared" si="469"/>
        <v>23580</v>
      </c>
      <c r="B12688" s="1" t="str">
        <f>"30567"</f>
        <v>30567</v>
      </c>
      <c r="C12688" s="2">
        <v>3.46985025427496E-4</v>
      </c>
      <c r="D12688" s="2">
        <v>1.10631707047239E-4</v>
      </c>
      <c r="E12688" s="2">
        <v>0</v>
      </c>
      <c r="F12688" s="2">
        <v>3.2000310306039298E-4</v>
      </c>
    </row>
    <row r="12689" spans="1:6" x14ac:dyDescent="0.25">
      <c r="A12689" s="1" t="str">
        <f t="shared" si="469"/>
        <v>23580</v>
      </c>
      <c r="B12689" s="1" t="str">
        <f>"30504"</f>
        <v>30504</v>
      </c>
      <c r="C12689" s="2">
        <v>0.13473862268631401</v>
      </c>
      <c r="D12689" s="2">
        <v>0.105653280230113</v>
      </c>
      <c r="E12689" s="2">
        <v>6.3372717508055801E-2</v>
      </c>
      <c r="F12689" s="2">
        <v>0.130900663279159</v>
      </c>
    </row>
    <row r="12690" spans="1:6" x14ac:dyDescent="0.25">
      <c r="A12690" s="1" t="str">
        <f t="shared" si="469"/>
        <v>23580</v>
      </c>
      <c r="B12690" s="1" t="str">
        <f>"30548"</f>
        <v>30548</v>
      </c>
      <c r="C12690" s="2">
        <v>2.49829218307797E-2</v>
      </c>
      <c r="D12690" s="2">
        <v>2.65516096913375E-3</v>
      </c>
      <c r="E12690" s="2">
        <v>3.22234156820622E-3</v>
      </c>
      <c r="F12690" s="2">
        <v>2.2632946743725901E-2</v>
      </c>
    </row>
    <row r="12691" spans="1:6" x14ac:dyDescent="0.25">
      <c r="A12691" s="1" t="str">
        <f t="shared" si="469"/>
        <v>23580</v>
      </c>
      <c r="B12691" s="1" t="str">
        <f>"30566"</f>
        <v>30566</v>
      </c>
      <c r="C12691" s="2">
        <v>5.7003133708510803E-2</v>
      </c>
      <c r="D12691" s="2">
        <v>6.8481026662241304E-2</v>
      </c>
      <c r="E12691" s="2">
        <v>9.1299677765843107E-2</v>
      </c>
      <c r="F12691" s="2">
        <v>5.8628447306155601E-2</v>
      </c>
    </row>
    <row r="12692" spans="1:6" x14ac:dyDescent="0.25">
      <c r="A12692" s="1" t="str">
        <f t="shared" si="469"/>
        <v>23580</v>
      </c>
      <c r="B12692" s="1" t="str">
        <f>"30564"</f>
        <v>30564</v>
      </c>
      <c r="C12692" s="2">
        <v>2.01576613209286E-2</v>
      </c>
      <c r="D12692" s="2">
        <v>1.8254231662794499E-2</v>
      </c>
      <c r="E12692" s="2">
        <v>3.7593984962406E-3</v>
      </c>
      <c r="F12692" s="2">
        <v>1.96947364338078E-2</v>
      </c>
    </row>
    <row r="12693" spans="1:6" x14ac:dyDescent="0.25">
      <c r="A12693" s="1" t="str">
        <f t="shared" si="469"/>
        <v>23580</v>
      </c>
      <c r="B12693" s="1" t="str">
        <f>"30527"</f>
        <v>30527</v>
      </c>
      <c r="C12693" s="2">
        <v>2.8203376598028601E-2</v>
      </c>
      <c r="D12693" s="2">
        <v>1.8586126783936199E-2</v>
      </c>
      <c r="E12693" s="2">
        <v>7.5187969924812E-3</v>
      </c>
      <c r="F12693" s="2">
        <v>2.6986928358093101E-2</v>
      </c>
    </row>
    <row r="12694" spans="1:6" x14ac:dyDescent="0.25">
      <c r="A12694" s="1" t="str">
        <f t="shared" si="469"/>
        <v>23580</v>
      </c>
      <c r="B12694" s="1" t="str">
        <f>"30510"</f>
        <v>30510</v>
      </c>
      <c r="C12694" s="2">
        <v>2.4939548702601301E-3</v>
      </c>
      <c r="D12694" s="2">
        <v>1.54884389866135E-3</v>
      </c>
      <c r="E12694" s="2">
        <v>0</v>
      </c>
      <c r="F12694" s="2">
        <v>2.3660835499010801E-3</v>
      </c>
    </row>
    <row r="12695" spans="1:6" x14ac:dyDescent="0.25">
      <c r="A12695" s="1" t="str">
        <f t="shared" si="469"/>
        <v>23580</v>
      </c>
      <c r="B12695" s="1" t="str">
        <f>"30517"</f>
        <v>30517</v>
      </c>
      <c r="C12695" s="2">
        <v>1.6514318553939901E-2</v>
      </c>
      <c r="D12695" s="2">
        <v>1.9139285319172399E-2</v>
      </c>
      <c r="E12695" s="2">
        <v>1.55746509129967E-2</v>
      </c>
      <c r="F12695" s="2">
        <v>1.67274349327023E-2</v>
      </c>
    </row>
    <row r="12696" spans="1:6" x14ac:dyDescent="0.25">
      <c r="A12696" s="1" t="str">
        <f t="shared" si="469"/>
        <v>23580</v>
      </c>
      <c r="B12696" s="1" t="str">
        <f>"30518"</f>
        <v>30518</v>
      </c>
      <c r="C12696" s="2">
        <v>2.4711839779664499E-2</v>
      </c>
      <c r="D12696" s="2">
        <v>7.8105985175351195E-2</v>
      </c>
      <c r="E12696" s="2">
        <v>9.2910848549946204E-2</v>
      </c>
      <c r="F12696" s="2">
        <v>3.06233272565067E-2</v>
      </c>
    </row>
    <row r="12697" spans="1:6" x14ac:dyDescent="0.25">
      <c r="A12697" s="1" t="str">
        <f t="shared" si="469"/>
        <v>23580</v>
      </c>
      <c r="B12697" s="1" t="str">
        <f>"30554"</f>
        <v>30554</v>
      </c>
      <c r="C12697" s="2">
        <v>2.80841004955379E-2</v>
      </c>
      <c r="D12697" s="2">
        <v>7.3016926651178196E-3</v>
      </c>
      <c r="E12697" s="2">
        <v>3.7593984962406E-3</v>
      </c>
      <c r="F12697" s="2">
        <v>2.5823280710600801E-2</v>
      </c>
    </row>
    <row r="12698" spans="1:6" x14ac:dyDescent="0.25">
      <c r="A12698" s="1" t="str">
        <f t="shared" si="469"/>
        <v>23580</v>
      </c>
      <c r="B12698" s="1" t="str">
        <f>"30543"</f>
        <v>30543</v>
      </c>
      <c r="C12698" s="2">
        <v>1.52239679906314E-2</v>
      </c>
      <c r="D12698" s="2">
        <v>2.4338975550392702E-3</v>
      </c>
      <c r="E12698" s="2">
        <v>5.3705692803437098E-4</v>
      </c>
      <c r="F12698" s="2">
        <v>1.38377099414297E-2</v>
      </c>
    </row>
    <row r="12699" spans="1:6" x14ac:dyDescent="0.25">
      <c r="A12699" s="1" t="str">
        <f t="shared" si="469"/>
        <v>23580</v>
      </c>
      <c r="B12699" s="1" t="str">
        <f>"30528"</f>
        <v>30528</v>
      </c>
      <c r="C12699" s="2">
        <v>3.2529846133827703E-5</v>
      </c>
      <c r="D12699" s="2">
        <v>0</v>
      </c>
      <c r="E12699" s="2">
        <v>0</v>
      </c>
      <c r="F12699" s="2">
        <v>2.9091191187308399E-5</v>
      </c>
    </row>
    <row r="12700" spans="1:6" x14ac:dyDescent="0.25">
      <c r="A12700" s="1" t="str">
        <f t="shared" si="469"/>
        <v>23580</v>
      </c>
      <c r="B12700" s="1" t="str">
        <f>"30575"</f>
        <v>30575</v>
      </c>
      <c r="C12700" s="2">
        <v>2.2554026652787198E-3</v>
      </c>
      <c r="D12700" s="2">
        <v>8.8505365637791698E-4</v>
      </c>
      <c r="E12700" s="2">
        <v>1.61117078410311E-3</v>
      </c>
      <c r="F12700" s="2">
        <v>2.1236569566735102E-3</v>
      </c>
    </row>
    <row r="12701" spans="1:6" x14ac:dyDescent="0.25">
      <c r="A12701" s="1" t="str">
        <f t="shared" si="469"/>
        <v>23580</v>
      </c>
      <c r="B12701" s="1" t="str">
        <f>"30501"</f>
        <v>30501</v>
      </c>
      <c r="C12701" s="2">
        <v>0.152120403803823</v>
      </c>
      <c r="D12701" s="2">
        <v>0.38566213076667699</v>
      </c>
      <c r="E12701" s="2">
        <v>0.41944146079484401</v>
      </c>
      <c r="F12701" s="2">
        <v>0.177417477987665</v>
      </c>
    </row>
    <row r="12702" spans="1:6" x14ac:dyDescent="0.25">
      <c r="A12702" s="1" t="str">
        <f t="shared" si="469"/>
        <v>23580</v>
      </c>
      <c r="B12702" s="1" t="str">
        <f>"30531"</f>
        <v>30531</v>
      </c>
      <c r="C12702" s="2">
        <v>4.3373128178437001E-4</v>
      </c>
      <c r="D12702" s="2">
        <v>1.10631707047239E-4</v>
      </c>
      <c r="E12702" s="2">
        <v>0</v>
      </c>
      <c r="F12702" s="2">
        <v>3.9757961289321498E-4</v>
      </c>
    </row>
    <row r="12703" spans="1:6" x14ac:dyDescent="0.25">
      <c r="A12703" s="1" t="str">
        <f t="shared" si="469"/>
        <v>23580</v>
      </c>
      <c r="B12703" s="1" t="str">
        <f>"30503"</f>
        <v>30503</v>
      </c>
      <c r="C12703" s="2">
        <v>1.8075751168363598E-2</v>
      </c>
      <c r="D12703" s="2">
        <v>7.2021241287753002E-2</v>
      </c>
      <c r="E12703" s="2">
        <v>5.3705692803437098E-4</v>
      </c>
      <c r="F12703" s="2">
        <v>2.2487490787789399E-2</v>
      </c>
    </row>
    <row r="12704" spans="1:6" x14ac:dyDescent="0.25">
      <c r="A12704" s="1" t="str">
        <f t="shared" si="469"/>
        <v>23580</v>
      </c>
      <c r="B12704" s="1" t="str">
        <f>"30506"</f>
        <v>30506</v>
      </c>
      <c r="C12704" s="2">
        <v>0.164752827385793</v>
      </c>
      <c r="D12704" s="2">
        <v>3.06449828520854E-2</v>
      </c>
      <c r="E12704" s="2">
        <v>0.12781954887218</v>
      </c>
      <c r="F12704" s="2">
        <v>0.152331174120476</v>
      </c>
    </row>
    <row r="12705" spans="1:6" x14ac:dyDescent="0.25">
      <c r="A12705" s="1" t="str">
        <f t="shared" ref="A12705:A12720" si="470">"23620"</f>
        <v>23620</v>
      </c>
      <c r="B12705" s="1" t="str">
        <f>"76239"</f>
        <v>76239</v>
      </c>
      <c r="C12705" s="2">
        <v>5.2381414298186E-3</v>
      </c>
      <c r="D12705" s="2">
        <v>0</v>
      </c>
      <c r="E12705" s="2">
        <v>0</v>
      </c>
      <c r="F12705" s="2">
        <v>4.6797816101915198E-3</v>
      </c>
    </row>
    <row r="12706" spans="1:6" x14ac:dyDescent="0.25">
      <c r="A12706" s="1" t="str">
        <f t="shared" si="470"/>
        <v>23620</v>
      </c>
      <c r="B12706" s="1" t="str">
        <f>"76240"</f>
        <v>76240</v>
      </c>
      <c r="C12706" s="2">
        <v>0.62678242312542398</v>
      </c>
      <c r="D12706" s="2">
        <v>0.686254980079681</v>
      </c>
      <c r="E12706" s="2">
        <v>0.83628318584070704</v>
      </c>
      <c r="F12706" s="2">
        <v>0.63606031718519795</v>
      </c>
    </row>
    <row r="12707" spans="1:6" x14ac:dyDescent="0.25">
      <c r="A12707" s="1" t="str">
        <f t="shared" si="470"/>
        <v>23620</v>
      </c>
      <c r="B12707" s="1" t="str">
        <f>"76263"</f>
        <v>76263</v>
      </c>
      <c r="C12707" s="2">
        <v>1.6490445242021499E-3</v>
      </c>
      <c r="D12707" s="2">
        <v>9.9601593625498006E-4</v>
      </c>
      <c r="E12707" s="2">
        <v>2.21238938053097E-2</v>
      </c>
      <c r="F12707" s="2">
        <v>1.99324031545194E-3</v>
      </c>
    </row>
    <row r="12708" spans="1:6" x14ac:dyDescent="0.25">
      <c r="A12708" s="1" t="str">
        <f t="shared" si="470"/>
        <v>23620</v>
      </c>
      <c r="B12708" s="1" t="str">
        <f>"76271"</f>
        <v>76271</v>
      </c>
      <c r="C12708" s="2">
        <v>3.39509166747502E-3</v>
      </c>
      <c r="D12708" s="2">
        <v>4.9800796812749003E-4</v>
      </c>
      <c r="E12708" s="2">
        <v>0</v>
      </c>
      <c r="F12708" s="2">
        <v>3.07652309558887E-3</v>
      </c>
    </row>
    <row r="12709" spans="1:6" x14ac:dyDescent="0.25">
      <c r="A12709" s="1" t="str">
        <f t="shared" si="470"/>
        <v>23620</v>
      </c>
      <c r="B12709" s="1" t="str">
        <f>"76233"</f>
        <v>76233</v>
      </c>
      <c r="C12709" s="2">
        <v>1.27073430982636E-2</v>
      </c>
      <c r="D12709" s="2">
        <v>4.9800796812749003E-4</v>
      </c>
      <c r="E12709" s="2">
        <v>0</v>
      </c>
      <c r="F12709" s="2">
        <v>1.13961348470404E-2</v>
      </c>
    </row>
    <row r="12710" spans="1:6" x14ac:dyDescent="0.25">
      <c r="A12710" s="1" t="str">
        <f t="shared" si="470"/>
        <v>23620</v>
      </c>
      <c r="B12710" s="1" t="str">
        <f>"76253"</f>
        <v>76253</v>
      </c>
      <c r="C12710" s="2">
        <v>0</v>
      </c>
      <c r="D12710" s="2">
        <v>0</v>
      </c>
      <c r="E12710" s="2">
        <v>2.21238938053097E-3</v>
      </c>
      <c r="F12710" s="2">
        <v>4.3331311205476999E-5</v>
      </c>
    </row>
    <row r="12711" spans="1:6" x14ac:dyDescent="0.25">
      <c r="A12711" s="1" t="str">
        <f t="shared" si="470"/>
        <v>23620</v>
      </c>
      <c r="B12711" s="1" t="str">
        <f>"76250"</f>
        <v>76250</v>
      </c>
      <c r="C12711" s="2">
        <v>3.2204869531477297E-2</v>
      </c>
      <c r="D12711" s="2">
        <v>2.1414342629482001E-2</v>
      </c>
      <c r="E12711" s="2">
        <v>2.6548672566371601E-2</v>
      </c>
      <c r="F12711" s="2">
        <v>3.1155212756738E-2</v>
      </c>
    </row>
    <row r="12712" spans="1:6" x14ac:dyDescent="0.25">
      <c r="A12712" s="1" t="str">
        <f t="shared" si="470"/>
        <v>23620</v>
      </c>
      <c r="B12712" s="1" t="str">
        <f>"76234"</f>
        <v>76234</v>
      </c>
      <c r="C12712" s="2">
        <v>1.3580366669900001E-3</v>
      </c>
      <c r="D12712" s="2">
        <v>4.9800796812749003E-4</v>
      </c>
      <c r="E12712" s="2">
        <v>2.21238938053097E-3</v>
      </c>
      <c r="F12712" s="2">
        <v>1.2999393361643101E-3</v>
      </c>
    </row>
    <row r="12713" spans="1:6" x14ac:dyDescent="0.25">
      <c r="A12713" s="1" t="str">
        <f t="shared" si="470"/>
        <v>23620</v>
      </c>
      <c r="B12713" s="1" t="str">
        <f>"76272"</f>
        <v>76272</v>
      </c>
      <c r="C12713" s="2">
        <v>0.15243961586962801</v>
      </c>
      <c r="D12713" s="2">
        <v>6.6235059760956103E-2</v>
      </c>
      <c r="E12713" s="2">
        <v>7.3008849557522099E-2</v>
      </c>
      <c r="F12713" s="2">
        <v>0.143383308778923</v>
      </c>
    </row>
    <row r="12714" spans="1:6" x14ac:dyDescent="0.25">
      <c r="A12714" s="1" t="str">
        <f t="shared" si="470"/>
        <v>23620</v>
      </c>
      <c r="B12714" s="1" t="str">
        <f>"76258"</f>
        <v>76258</v>
      </c>
      <c r="C12714" s="2">
        <v>2.9100785721214401E-4</v>
      </c>
      <c r="D12714" s="2">
        <v>0</v>
      </c>
      <c r="E12714" s="2">
        <v>0</v>
      </c>
      <c r="F12714" s="2">
        <v>2.5998786723286201E-4</v>
      </c>
    </row>
    <row r="12715" spans="1:6" x14ac:dyDescent="0.25">
      <c r="A12715" s="1" t="str">
        <f t="shared" si="470"/>
        <v>23620</v>
      </c>
      <c r="B12715" s="1" t="str">
        <f>"76238"</f>
        <v>76238</v>
      </c>
      <c r="C12715" s="2">
        <v>4.75312833446503E-3</v>
      </c>
      <c r="D12715" s="2">
        <v>9.9601593625498006E-4</v>
      </c>
      <c r="E12715" s="2">
        <v>2.21238938053097E-3</v>
      </c>
      <c r="F12715" s="2">
        <v>4.3764624317531803E-3</v>
      </c>
    </row>
    <row r="12716" spans="1:6" x14ac:dyDescent="0.25">
      <c r="A12716" s="1" t="str">
        <f t="shared" si="470"/>
        <v>23620</v>
      </c>
      <c r="B12716" s="1" t="str">
        <f>"76252"</f>
        <v>76252</v>
      </c>
      <c r="C12716" s="2">
        <v>4.9713842273741302E-2</v>
      </c>
      <c r="D12716" s="2">
        <v>2.88844621513944E-2</v>
      </c>
      <c r="E12716" s="2">
        <v>3.09734513274336E-2</v>
      </c>
      <c r="F12716" s="2">
        <v>4.75344483924083E-2</v>
      </c>
    </row>
    <row r="12717" spans="1:6" x14ac:dyDescent="0.25">
      <c r="A12717" s="1" t="str">
        <f t="shared" si="470"/>
        <v>23620</v>
      </c>
      <c r="B12717" s="1" t="str">
        <f>"76241"</f>
        <v>76241</v>
      </c>
      <c r="C12717" s="2">
        <v>5.7522553108933901E-2</v>
      </c>
      <c r="D12717" s="2">
        <v>0.187749003984063</v>
      </c>
      <c r="E12717" s="2">
        <v>4.4247787610619399E-3</v>
      </c>
      <c r="F12717" s="2">
        <v>6.7813502036571605E-2</v>
      </c>
    </row>
    <row r="12718" spans="1:6" x14ac:dyDescent="0.25">
      <c r="A12718" s="1" t="str">
        <f t="shared" si="470"/>
        <v>23620</v>
      </c>
      <c r="B12718" s="1" t="str">
        <f>"76266"</f>
        <v>76266</v>
      </c>
      <c r="C12718" s="2">
        <v>4.8501309535357401E-4</v>
      </c>
      <c r="D12718" s="2">
        <v>0</v>
      </c>
      <c r="E12718" s="2">
        <v>0</v>
      </c>
      <c r="F12718" s="2">
        <v>4.3331311205476998E-4</v>
      </c>
    </row>
    <row r="12719" spans="1:6" x14ac:dyDescent="0.25">
      <c r="A12719" s="1" t="str">
        <f t="shared" si="470"/>
        <v>23620</v>
      </c>
      <c r="B12719" s="1" t="str">
        <f>"76265"</f>
        <v>76265</v>
      </c>
      <c r="C12719" s="2">
        <v>1.98855369094965E-3</v>
      </c>
      <c r="D12719" s="2">
        <v>1.4940239043824701E-3</v>
      </c>
      <c r="E12719" s="2">
        <v>0</v>
      </c>
      <c r="F12719" s="2">
        <v>1.9065776930409901E-3</v>
      </c>
    </row>
    <row r="12720" spans="1:6" x14ac:dyDescent="0.25">
      <c r="A12720" s="1" t="str">
        <f t="shared" si="470"/>
        <v>23620</v>
      </c>
      <c r="B12720" s="1" t="str">
        <f>"76273"</f>
        <v>76273</v>
      </c>
      <c r="C12720" s="2">
        <v>4.9471335726064603E-2</v>
      </c>
      <c r="D12720" s="2">
        <v>4.4820717131474098E-3</v>
      </c>
      <c r="E12720" s="2">
        <v>0</v>
      </c>
      <c r="F12720" s="2">
        <v>4.4587919230435903E-2</v>
      </c>
    </row>
    <row r="12721" spans="1:6" x14ac:dyDescent="0.25">
      <c r="A12721" s="1" t="str">
        <f t="shared" ref="A12721:A12747" si="471">"23660"</f>
        <v>23660</v>
      </c>
      <c r="B12721" s="1" t="str">
        <f>"61544"</f>
        <v>61544</v>
      </c>
      <c r="C12721" s="2">
        <v>3.6537056267066598E-3</v>
      </c>
      <c r="D12721" s="2">
        <v>8.2135523613963005E-4</v>
      </c>
      <c r="E12721" s="2">
        <v>7.1994240460763104E-4</v>
      </c>
      <c r="F12721" s="2">
        <v>3.2858340318524699E-3</v>
      </c>
    </row>
    <row r="12722" spans="1:6" x14ac:dyDescent="0.25">
      <c r="A12722" s="1" t="str">
        <f t="shared" si="471"/>
        <v>23660</v>
      </c>
      <c r="B12722" s="1" t="str">
        <f>"61410"</f>
        <v>61410</v>
      </c>
      <c r="C12722" s="2">
        <v>6.7958924656743899E-2</v>
      </c>
      <c r="D12722" s="2">
        <v>6.2833675564681696E-2</v>
      </c>
      <c r="E12722" s="2">
        <v>5.6155507559395197E-2</v>
      </c>
      <c r="F12722" s="2">
        <v>6.6990779547359505E-2</v>
      </c>
    </row>
    <row r="12723" spans="1:6" x14ac:dyDescent="0.25">
      <c r="A12723" s="1" t="str">
        <f t="shared" si="471"/>
        <v>23660</v>
      </c>
      <c r="B12723" s="1" t="str">
        <f>"61414"</f>
        <v>61414</v>
      </c>
      <c r="C12723" s="2">
        <v>1.43840621514557E-2</v>
      </c>
      <c r="D12723" s="2">
        <v>9.4455852156057393E-3</v>
      </c>
      <c r="E12723" s="2">
        <v>1.4398848092152599E-3</v>
      </c>
      <c r="F12723" s="2">
        <v>1.33780385582564E-2</v>
      </c>
    </row>
    <row r="12724" spans="1:6" x14ac:dyDescent="0.25">
      <c r="A12724" s="1" t="str">
        <f t="shared" si="471"/>
        <v>23660</v>
      </c>
      <c r="B12724" s="1" t="str">
        <f>"61428"</f>
        <v>61428</v>
      </c>
      <c r="C12724" s="2">
        <v>3.3498711588015803E-2</v>
      </c>
      <c r="D12724" s="2">
        <v>5.7494866529774098E-3</v>
      </c>
      <c r="E12724" s="2">
        <v>2.15982721382289E-3</v>
      </c>
      <c r="F12724" s="2">
        <v>2.9773679798826402E-2</v>
      </c>
    </row>
    <row r="12725" spans="1:6" x14ac:dyDescent="0.25">
      <c r="A12725" s="1" t="str">
        <f t="shared" si="471"/>
        <v>23660</v>
      </c>
      <c r="B12725" s="1" t="str">
        <f>"61529"</f>
        <v>61529</v>
      </c>
      <c r="C12725" s="2">
        <v>1.2307218953117099E-3</v>
      </c>
      <c r="D12725" s="2">
        <v>4.1067761806981503E-4</v>
      </c>
      <c r="E12725" s="2">
        <v>0</v>
      </c>
      <c r="F12725" s="2">
        <v>1.10645431684828E-3</v>
      </c>
    </row>
    <row r="12726" spans="1:6" x14ac:dyDescent="0.25">
      <c r="A12726" s="1" t="str">
        <f t="shared" si="471"/>
        <v>23660</v>
      </c>
      <c r="B12726" s="1" t="str">
        <f>"61449"</f>
        <v>61449</v>
      </c>
      <c r="C12726" s="2">
        <v>3.0383446790508001E-3</v>
      </c>
      <c r="D12726" s="2">
        <v>1.23203285420944E-3</v>
      </c>
      <c r="E12726" s="2">
        <v>0</v>
      </c>
      <c r="F12726" s="2">
        <v>2.7493713327745098E-3</v>
      </c>
    </row>
    <row r="12727" spans="1:6" x14ac:dyDescent="0.25">
      <c r="A12727" s="1" t="str">
        <f t="shared" si="471"/>
        <v>23660</v>
      </c>
      <c r="B12727" s="1" t="str">
        <f>"61439"</f>
        <v>61439</v>
      </c>
      <c r="C12727" s="2">
        <v>3.4229452713357101E-3</v>
      </c>
      <c r="D12727" s="2">
        <v>0</v>
      </c>
      <c r="E12727" s="2">
        <v>7.1994240460763104E-4</v>
      </c>
      <c r="F12727" s="2">
        <v>3.0176026823134899E-3</v>
      </c>
    </row>
    <row r="12728" spans="1:6" x14ac:dyDescent="0.25">
      <c r="A12728" s="1" t="str">
        <f t="shared" si="471"/>
        <v>23660</v>
      </c>
      <c r="B12728" s="1" t="str">
        <f>"61434"</f>
        <v>61434</v>
      </c>
      <c r="C12728" s="2">
        <v>2.7306642052228702E-3</v>
      </c>
      <c r="D12728" s="2">
        <v>0</v>
      </c>
      <c r="E12728" s="2">
        <v>0</v>
      </c>
      <c r="F12728" s="2">
        <v>2.3805532271584202E-3</v>
      </c>
    </row>
    <row r="12729" spans="1:6" x14ac:dyDescent="0.25">
      <c r="A12729" s="1" t="str">
        <f t="shared" si="471"/>
        <v>23660</v>
      </c>
      <c r="B12729" s="1" t="str">
        <f>"61488"</f>
        <v>61488</v>
      </c>
      <c r="C12729" s="2">
        <v>2.0614591746471199E-2</v>
      </c>
      <c r="D12729" s="2">
        <v>3.6960985626283299E-3</v>
      </c>
      <c r="E12729" s="2">
        <v>2.08783297336213E-2</v>
      </c>
      <c r="F12729" s="2">
        <v>1.92455993294216E-2</v>
      </c>
    </row>
    <row r="12730" spans="1:6" x14ac:dyDescent="0.25">
      <c r="A12730" s="1" t="str">
        <f t="shared" si="471"/>
        <v>23660</v>
      </c>
      <c r="B12730" s="1" t="str">
        <f>"61474"</f>
        <v>61474</v>
      </c>
      <c r="C12730" s="2">
        <v>4.1921464559055398E-3</v>
      </c>
      <c r="D12730" s="2">
        <v>2.46406570841889E-3</v>
      </c>
      <c r="E12730" s="2">
        <v>0</v>
      </c>
      <c r="F12730" s="2">
        <v>3.8558256496227898E-3</v>
      </c>
    </row>
    <row r="12731" spans="1:6" x14ac:dyDescent="0.25">
      <c r="A12731" s="1" t="str">
        <f t="shared" si="471"/>
        <v>23660</v>
      </c>
      <c r="B12731" s="1" t="str">
        <f>"61402"</f>
        <v>61402</v>
      </c>
      <c r="C12731" s="2">
        <v>4.3998307757393898E-2</v>
      </c>
      <c r="D12731" s="2">
        <v>0.103080082135523</v>
      </c>
      <c r="E12731" s="2">
        <v>1.4398848092152599E-3</v>
      </c>
      <c r="F12731" s="2">
        <v>4.6839899413243902E-2</v>
      </c>
    </row>
    <row r="12732" spans="1:6" x14ac:dyDescent="0.25">
      <c r="A12732" s="1" t="str">
        <f t="shared" si="471"/>
        <v>23660</v>
      </c>
      <c r="B12732" s="1" t="str">
        <f>"61458"</f>
        <v>61458</v>
      </c>
      <c r="C12732" s="2">
        <v>1.5691704165224401E-2</v>
      </c>
      <c r="D12732" s="2">
        <v>4.9281314168377801E-3</v>
      </c>
      <c r="E12732" s="2">
        <v>7.1994240460763104E-4</v>
      </c>
      <c r="F12732" s="2">
        <v>1.41156747694886E-2</v>
      </c>
    </row>
    <row r="12733" spans="1:6" x14ac:dyDescent="0.25">
      <c r="A12733" s="1" t="str">
        <f t="shared" si="471"/>
        <v>23660</v>
      </c>
      <c r="B12733" s="1" t="str">
        <f>"61572"</f>
        <v>61572</v>
      </c>
      <c r="C12733" s="2">
        <v>1.9268489673473999E-2</v>
      </c>
      <c r="D12733" s="2">
        <v>4.51745379876796E-3</v>
      </c>
      <c r="E12733" s="2">
        <v>6.4794816414686799E-3</v>
      </c>
      <c r="F12733" s="2">
        <v>1.74685666387259E-2</v>
      </c>
    </row>
    <row r="12734" spans="1:6" x14ac:dyDescent="0.25">
      <c r="A12734" s="1" t="str">
        <f t="shared" si="471"/>
        <v>23660</v>
      </c>
      <c r="B12734" s="1" t="str">
        <f>"61490"</f>
        <v>61490</v>
      </c>
      <c r="C12734" s="2">
        <v>3.8460059228491199E-5</v>
      </c>
      <c r="D12734" s="2">
        <v>0</v>
      </c>
      <c r="E12734" s="2">
        <v>0</v>
      </c>
      <c r="F12734" s="2">
        <v>3.3528918692372103E-5</v>
      </c>
    </row>
    <row r="12735" spans="1:6" x14ac:dyDescent="0.25">
      <c r="A12735" s="1" t="str">
        <f t="shared" si="471"/>
        <v>23660</v>
      </c>
      <c r="B12735" s="1" t="str">
        <f>"61466"</f>
        <v>61466</v>
      </c>
      <c r="C12735" s="2">
        <v>3.8460059228491199E-5</v>
      </c>
      <c r="D12735" s="2">
        <v>0</v>
      </c>
      <c r="E12735" s="2">
        <v>0</v>
      </c>
      <c r="F12735" s="2">
        <v>3.3528918692372103E-5</v>
      </c>
    </row>
    <row r="12736" spans="1:6" x14ac:dyDescent="0.25">
      <c r="A12736" s="1" t="str">
        <f t="shared" si="471"/>
        <v>23660</v>
      </c>
      <c r="B12736" s="1" t="str">
        <f>"61401"</f>
        <v>61401</v>
      </c>
      <c r="C12736" s="2">
        <v>0.61016883966001301</v>
      </c>
      <c r="D12736" s="2">
        <v>0.71868583162217603</v>
      </c>
      <c r="E12736" s="2">
        <v>0.82073434125269895</v>
      </c>
      <c r="F12736" s="2">
        <v>0.62883487007544003</v>
      </c>
    </row>
    <row r="12737" spans="1:6" x14ac:dyDescent="0.25">
      <c r="A12737" s="1" t="str">
        <f t="shared" si="471"/>
        <v>23660</v>
      </c>
      <c r="B12737" s="1" t="str">
        <f>"61423"</f>
        <v>61423</v>
      </c>
      <c r="C12737" s="2">
        <v>3.8460059228491199E-5</v>
      </c>
      <c r="D12737" s="2">
        <v>0</v>
      </c>
      <c r="E12737" s="2">
        <v>0</v>
      </c>
      <c r="F12737" s="2">
        <v>3.3528918692372103E-5</v>
      </c>
    </row>
    <row r="12738" spans="1:6" x14ac:dyDescent="0.25">
      <c r="A12738" s="1" t="str">
        <f t="shared" si="471"/>
        <v>23660</v>
      </c>
      <c r="B12738" s="1" t="str">
        <f>"61413"</f>
        <v>61413</v>
      </c>
      <c r="C12738" s="2">
        <v>0</v>
      </c>
      <c r="D12738" s="2">
        <v>4.1067761806981503E-4</v>
      </c>
      <c r="E12738" s="2">
        <v>0</v>
      </c>
      <c r="F12738" s="2">
        <v>3.3528918692372103E-5</v>
      </c>
    </row>
    <row r="12739" spans="1:6" x14ac:dyDescent="0.25">
      <c r="A12739" s="1" t="str">
        <f t="shared" si="471"/>
        <v>23660</v>
      </c>
      <c r="B12739" s="1" t="str">
        <f>"61472"</f>
        <v>61472</v>
      </c>
      <c r="C12739" s="2">
        <v>1.16533979462328E-2</v>
      </c>
      <c r="D12739" s="2">
        <v>3.2854209445585202E-3</v>
      </c>
      <c r="E12739" s="2">
        <v>3.5997120230381501E-3</v>
      </c>
      <c r="F12739" s="2">
        <v>1.0595138306789599E-2</v>
      </c>
    </row>
    <row r="12740" spans="1:6" x14ac:dyDescent="0.25">
      <c r="A12740" s="1" t="str">
        <f t="shared" si="471"/>
        <v>23660</v>
      </c>
      <c r="B12740" s="1" t="str">
        <f>"61489"</f>
        <v>61489</v>
      </c>
      <c r="C12740" s="2">
        <v>1.3653321026114299E-2</v>
      </c>
      <c r="D12740" s="2">
        <v>9.0349075975359305E-3</v>
      </c>
      <c r="E12740" s="2">
        <v>1.15190784737221E-2</v>
      </c>
      <c r="F12740" s="2">
        <v>1.31768650461022E-2</v>
      </c>
    </row>
    <row r="12741" spans="1:6" x14ac:dyDescent="0.25">
      <c r="A12741" s="1" t="str">
        <f t="shared" si="471"/>
        <v>23660</v>
      </c>
      <c r="B12741" s="1" t="str">
        <f>"61436"</f>
        <v>61436</v>
      </c>
      <c r="C12741" s="2">
        <v>1.6191684935194801E-2</v>
      </c>
      <c r="D12741" s="2">
        <v>2.46406570841889E-3</v>
      </c>
      <c r="E12741" s="2">
        <v>7.9193664506839404E-3</v>
      </c>
      <c r="F12741" s="2">
        <v>1.4685666387258999E-2</v>
      </c>
    </row>
    <row r="12742" spans="1:6" x14ac:dyDescent="0.25">
      <c r="A12742" s="1" t="str">
        <f t="shared" si="471"/>
        <v>23660</v>
      </c>
      <c r="B12742" s="1" t="str">
        <f>"61531"</f>
        <v>61531</v>
      </c>
      <c r="C12742" s="2">
        <v>6.92281066112841E-4</v>
      </c>
      <c r="D12742" s="2">
        <v>0</v>
      </c>
      <c r="E12742" s="2">
        <v>0</v>
      </c>
      <c r="F12742" s="2">
        <v>6.0352053646269899E-4</v>
      </c>
    </row>
    <row r="12743" spans="1:6" x14ac:dyDescent="0.25">
      <c r="A12743" s="1" t="str">
        <f t="shared" si="471"/>
        <v>23660</v>
      </c>
      <c r="B12743" s="1" t="str">
        <f>"61412"</f>
        <v>61412</v>
      </c>
      <c r="C12743" s="2">
        <v>2.3076035537094699E-4</v>
      </c>
      <c r="D12743" s="2">
        <v>0</v>
      </c>
      <c r="E12743" s="2">
        <v>0</v>
      </c>
      <c r="F12743" s="2">
        <v>2.01173512154233E-4</v>
      </c>
    </row>
    <row r="12744" spans="1:6" x14ac:dyDescent="0.25">
      <c r="A12744" s="1" t="str">
        <f t="shared" si="471"/>
        <v>23660</v>
      </c>
      <c r="B12744" s="1" t="str">
        <f>"61467"</f>
        <v>61467</v>
      </c>
      <c r="C12744" s="2">
        <v>1.9768470443444399E-2</v>
      </c>
      <c r="D12744" s="2">
        <v>1.2320328542094401E-2</v>
      </c>
      <c r="E12744" s="2">
        <v>5.75953923686105E-3</v>
      </c>
      <c r="F12744" s="2">
        <v>1.8507963118189402E-2</v>
      </c>
    </row>
    <row r="12745" spans="1:6" x14ac:dyDescent="0.25">
      <c r="A12745" s="1" t="str">
        <f t="shared" si="471"/>
        <v>23660</v>
      </c>
      <c r="B12745" s="1" t="str">
        <f>"61485"</f>
        <v>61485</v>
      </c>
      <c r="C12745" s="2">
        <v>1.20379985385177E-2</v>
      </c>
      <c r="D12745" s="2">
        <v>3.2854209445585202E-3</v>
      </c>
      <c r="E12745" s="2">
        <v>1.4398848092152599E-3</v>
      </c>
      <c r="F12745" s="2">
        <v>1.0829840737636201E-2</v>
      </c>
    </row>
    <row r="12746" spans="1:6" x14ac:dyDescent="0.25">
      <c r="A12746" s="1" t="str">
        <f t="shared" si="471"/>
        <v>23660</v>
      </c>
      <c r="B12746" s="1" t="str">
        <f>"61430"</f>
        <v>61430</v>
      </c>
      <c r="C12746" s="2">
        <v>1.44609822699126E-2</v>
      </c>
      <c r="D12746" s="2">
        <v>2.8747433264887001E-3</v>
      </c>
      <c r="E12746" s="2">
        <v>2.8797696184305198E-3</v>
      </c>
      <c r="F12746" s="2">
        <v>1.2975691533948E-2</v>
      </c>
    </row>
    <row r="12747" spans="1:6" x14ac:dyDescent="0.25">
      <c r="A12747" s="1" t="str">
        <f t="shared" si="471"/>
        <v>23660</v>
      </c>
      <c r="B12747" s="1" t="str">
        <f>"61448"</f>
        <v>61448</v>
      </c>
      <c r="C12747" s="2">
        <v>6.7343563709088103E-2</v>
      </c>
      <c r="D12747" s="2">
        <v>4.8459958932238097E-2</v>
      </c>
      <c r="E12747" s="2">
        <v>5.5435565154787599E-2</v>
      </c>
      <c r="F12747" s="2">
        <v>6.5247275775356203E-2</v>
      </c>
    </row>
    <row r="12748" spans="1:6" x14ac:dyDescent="0.25">
      <c r="A12748" s="1" t="str">
        <f t="shared" ref="A12748:A12769" si="472">"23700"</f>
        <v>23700</v>
      </c>
      <c r="B12748" s="1" t="str">
        <f>"87313"</f>
        <v>87313</v>
      </c>
      <c r="C12748" s="2">
        <v>0</v>
      </c>
      <c r="D12748" s="2">
        <v>0</v>
      </c>
      <c r="E12748" s="2">
        <v>2.0746887966804901E-3</v>
      </c>
      <c r="F12748" s="2">
        <v>6.3467885250063406E-5</v>
      </c>
    </row>
    <row r="12749" spans="1:6" x14ac:dyDescent="0.25">
      <c r="A12749" s="1" t="str">
        <f t="shared" si="472"/>
        <v>23700</v>
      </c>
      <c r="B12749" s="1" t="str">
        <f>"87045"</f>
        <v>87045</v>
      </c>
      <c r="C12749" s="2">
        <v>9.2462460241141999E-3</v>
      </c>
      <c r="D12749" s="2">
        <v>2.84900284900284E-3</v>
      </c>
      <c r="E12749" s="2">
        <v>2.0746887966804901E-3</v>
      </c>
      <c r="F12749" s="2">
        <v>8.3142929677583102E-3</v>
      </c>
    </row>
    <row r="12750" spans="1:6" x14ac:dyDescent="0.25">
      <c r="A12750" s="1" t="str">
        <f t="shared" si="472"/>
        <v>23700</v>
      </c>
      <c r="B12750" s="1" t="str">
        <f>"87312"</f>
        <v>87312</v>
      </c>
      <c r="C12750" s="2">
        <v>7.3969968192913601E-5</v>
      </c>
      <c r="D12750" s="2">
        <v>0</v>
      </c>
      <c r="E12750" s="2">
        <v>2.0746887966804901E-3</v>
      </c>
      <c r="F12750" s="2">
        <v>1.26935770500126E-4</v>
      </c>
    </row>
    <row r="12751" spans="1:6" x14ac:dyDescent="0.25">
      <c r="A12751" s="1" t="str">
        <f t="shared" si="472"/>
        <v>23700</v>
      </c>
      <c r="B12751" s="1" t="str">
        <f>"87365"</f>
        <v>87365</v>
      </c>
      <c r="C12751" s="2">
        <v>0</v>
      </c>
      <c r="D12751" s="2">
        <v>0</v>
      </c>
      <c r="E12751" s="2">
        <v>2.0746887966804901E-3</v>
      </c>
      <c r="F12751" s="2">
        <v>6.3467885250063406E-5</v>
      </c>
    </row>
    <row r="12752" spans="1:6" x14ac:dyDescent="0.25">
      <c r="A12752" s="1" t="str">
        <f t="shared" si="472"/>
        <v>23700</v>
      </c>
      <c r="B12752" s="1" t="str">
        <f>"87327"</f>
        <v>87327</v>
      </c>
      <c r="C12752" s="2">
        <v>0</v>
      </c>
      <c r="D12752" s="2">
        <v>5.69800569800569E-4</v>
      </c>
      <c r="E12752" s="2">
        <v>2.0746887966804901E-3</v>
      </c>
      <c r="F12752" s="2">
        <v>1.26935770500126E-4</v>
      </c>
    </row>
    <row r="12753" spans="1:6" x14ac:dyDescent="0.25">
      <c r="A12753" s="1" t="str">
        <f t="shared" si="472"/>
        <v>23700</v>
      </c>
      <c r="B12753" s="1" t="str">
        <f>"87302"</f>
        <v>87302</v>
      </c>
      <c r="C12753" s="2">
        <v>0</v>
      </c>
      <c r="D12753" s="2">
        <v>5.69800569800569E-4</v>
      </c>
      <c r="E12753" s="2">
        <v>0</v>
      </c>
      <c r="F12753" s="2">
        <v>6.3467885250063406E-5</v>
      </c>
    </row>
    <row r="12754" spans="1:6" x14ac:dyDescent="0.25">
      <c r="A12754" s="1" t="str">
        <f t="shared" si="472"/>
        <v>23700</v>
      </c>
      <c r="B12754" s="1" t="str">
        <f>"87347"</f>
        <v>87347</v>
      </c>
      <c r="C12754" s="2">
        <v>0</v>
      </c>
      <c r="D12754" s="2">
        <v>5.69800569800569E-4</v>
      </c>
      <c r="E12754" s="2">
        <v>2.0746887966804901E-3</v>
      </c>
      <c r="F12754" s="2">
        <v>1.26935770500126E-4</v>
      </c>
    </row>
    <row r="12755" spans="1:6" x14ac:dyDescent="0.25">
      <c r="A12755" s="1" t="str">
        <f t="shared" si="472"/>
        <v>23700</v>
      </c>
      <c r="B12755" s="1" t="str">
        <f>"87320"</f>
        <v>87320</v>
      </c>
      <c r="C12755" s="2">
        <v>0</v>
      </c>
      <c r="D12755" s="2">
        <v>0</v>
      </c>
      <c r="E12755" s="2">
        <v>2.0746887966804901E-3</v>
      </c>
      <c r="F12755" s="2">
        <v>6.3467885250063406E-5</v>
      </c>
    </row>
    <row r="12756" spans="1:6" x14ac:dyDescent="0.25">
      <c r="A12756" s="1" t="str">
        <f t="shared" si="472"/>
        <v>23700</v>
      </c>
      <c r="B12756" s="1" t="str">
        <f>"87326"</f>
        <v>87326</v>
      </c>
      <c r="C12756" s="2">
        <v>0</v>
      </c>
      <c r="D12756" s="2">
        <v>5.69800569800569E-4</v>
      </c>
      <c r="E12756" s="2">
        <v>2.0746887966804901E-3</v>
      </c>
      <c r="F12756" s="2">
        <v>1.26935770500126E-4</v>
      </c>
    </row>
    <row r="12757" spans="1:6" x14ac:dyDescent="0.25">
      <c r="A12757" s="1" t="str">
        <f t="shared" si="472"/>
        <v>23700</v>
      </c>
      <c r="B12757" s="1" t="str">
        <f>"87328"</f>
        <v>87328</v>
      </c>
      <c r="C12757" s="2">
        <v>0</v>
      </c>
      <c r="D12757" s="2">
        <v>5.69800569800569E-4</v>
      </c>
      <c r="E12757" s="2">
        <v>2.0746887966804901E-3</v>
      </c>
      <c r="F12757" s="2">
        <v>1.26935770500126E-4</v>
      </c>
    </row>
    <row r="12758" spans="1:6" x14ac:dyDescent="0.25">
      <c r="A12758" s="1" t="str">
        <f t="shared" si="472"/>
        <v>23700</v>
      </c>
      <c r="B12758" s="1" t="str">
        <f>"87317"</f>
        <v>87317</v>
      </c>
      <c r="C12758" s="2">
        <v>5.1039278053110404E-3</v>
      </c>
      <c r="D12758" s="2">
        <v>0</v>
      </c>
      <c r="E12758" s="2">
        <v>2.0746887966804901E-3</v>
      </c>
      <c r="F12758" s="2">
        <v>4.4427519675044403E-3</v>
      </c>
    </row>
    <row r="12759" spans="1:6" x14ac:dyDescent="0.25">
      <c r="A12759" s="1" t="str">
        <f t="shared" si="472"/>
        <v>23700</v>
      </c>
      <c r="B12759" s="1" t="str">
        <f>"87322"</f>
        <v>87322</v>
      </c>
      <c r="C12759" s="2">
        <v>0</v>
      </c>
      <c r="D12759" s="2">
        <v>0</v>
      </c>
      <c r="E12759" s="2">
        <v>4.1493775933609898E-3</v>
      </c>
      <c r="F12759" s="2">
        <v>1.26935770500126E-4</v>
      </c>
    </row>
    <row r="12760" spans="1:6" x14ac:dyDescent="0.25">
      <c r="A12760" s="1" t="str">
        <f t="shared" si="472"/>
        <v>23700</v>
      </c>
      <c r="B12760" s="1" t="str">
        <f>"87305"</f>
        <v>87305</v>
      </c>
      <c r="C12760" s="2">
        <v>0.29269916413935898</v>
      </c>
      <c r="D12760" s="2">
        <v>0.18917378917378899</v>
      </c>
      <c r="E12760" s="2">
        <v>2.0746887966804901E-3</v>
      </c>
      <c r="F12760" s="2">
        <v>0.27227722772277202</v>
      </c>
    </row>
    <row r="12761" spans="1:6" x14ac:dyDescent="0.25">
      <c r="A12761" s="1" t="str">
        <f t="shared" si="472"/>
        <v>23700</v>
      </c>
      <c r="B12761" s="1" t="str">
        <f>"87310"</f>
        <v>87310</v>
      </c>
      <c r="C12761" s="2">
        <v>0</v>
      </c>
      <c r="D12761" s="2">
        <v>1.13960113960113E-3</v>
      </c>
      <c r="E12761" s="2">
        <v>0</v>
      </c>
      <c r="F12761" s="2">
        <v>1.26935770500126E-4</v>
      </c>
    </row>
    <row r="12762" spans="1:6" x14ac:dyDescent="0.25">
      <c r="A12762" s="1" t="str">
        <f t="shared" si="472"/>
        <v>23700</v>
      </c>
      <c r="B12762" s="1" t="str">
        <f>"87020"</f>
        <v>87020</v>
      </c>
      <c r="C12762" s="2">
        <v>2.0711591094015802E-3</v>
      </c>
      <c r="D12762" s="2">
        <v>0</v>
      </c>
      <c r="E12762" s="2">
        <v>0</v>
      </c>
      <c r="F12762" s="2">
        <v>1.7771007870017699E-3</v>
      </c>
    </row>
    <row r="12763" spans="1:6" x14ac:dyDescent="0.25">
      <c r="A12763" s="1" t="str">
        <f t="shared" si="472"/>
        <v>23700</v>
      </c>
      <c r="B12763" s="1" t="str">
        <f>"87319"</f>
        <v>87319</v>
      </c>
      <c r="C12763" s="2">
        <v>0</v>
      </c>
      <c r="D12763" s="2">
        <v>5.69800569800569E-4</v>
      </c>
      <c r="E12763" s="2">
        <v>0</v>
      </c>
      <c r="F12763" s="2">
        <v>6.3467885250063406E-5</v>
      </c>
    </row>
    <row r="12764" spans="1:6" x14ac:dyDescent="0.25">
      <c r="A12764" s="1" t="str">
        <f t="shared" si="472"/>
        <v>23700</v>
      </c>
      <c r="B12764" s="1" t="str">
        <f>"87316"</f>
        <v>87316</v>
      </c>
      <c r="C12764" s="2">
        <v>0</v>
      </c>
      <c r="D12764" s="2">
        <v>0</v>
      </c>
      <c r="E12764" s="2">
        <v>4.1493775933609898E-3</v>
      </c>
      <c r="F12764" s="2">
        <v>1.26935770500126E-4</v>
      </c>
    </row>
    <row r="12765" spans="1:6" x14ac:dyDescent="0.25">
      <c r="A12765" s="1" t="str">
        <f t="shared" si="472"/>
        <v>23700</v>
      </c>
      <c r="B12765" s="1" t="str">
        <f>"87301"</f>
        <v>87301</v>
      </c>
      <c r="C12765" s="2">
        <v>0.65263702936607704</v>
      </c>
      <c r="D12765" s="2">
        <v>0.78632478632478597</v>
      </c>
      <c r="E12765" s="2">
        <v>0.95435684647302899</v>
      </c>
      <c r="F12765" s="2">
        <v>0.67675806042142606</v>
      </c>
    </row>
    <row r="12766" spans="1:6" x14ac:dyDescent="0.25">
      <c r="A12766" s="1" t="str">
        <f t="shared" si="472"/>
        <v>23700</v>
      </c>
      <c r="B12766" s="1" t="str">
        <f>"87325"</f>
        <v>87325</v>
      </c>
      <c r="C12766" s="2">
        <v>0</v>
      </c>
      <c r="D12766" s="2">
        <v>2.84900284900284E-3</v>
      </c>
      <c r="E12766" s="2">
        <v>4.1493775933609898E-3</v>
      </c>
      <c r="F12766" s="2">
        <v>4.4427519675044401E-4</v>
      </c>
    </row>
    <row r="12767" spans="1:6" x14ac:dyDescent="0.25">
      <c r="A12767" s="1" t="str">
        <f t="shared" si="472"/>
        <v>23700</v>
      </c>
      <c r="B12767" s="1" t="str">
        <f>"87323"</f>
        <v>87323</v>
      </c>
      <c r="C12767" s="2">
        <v>1.1761224942673201E-2</v>
      </c>
      <c r="D12767" s="2">
        <v>1.7094017094017001E-3</v>
      </c>
      <c r="E12767" s="2">
        <v>6.2240663900414899E-3</v>
      </c>
      <c r="F12767" s="2">
        <v>1.04722010662604E-2</v>
      </c>
    </row>
    <row r="12768" spans="1:6" x14ac:dyDescent="0.25">
      <c r="A12768" s="1" t="str">
        <f t="shared" si="472"/>
        <v>23700</v>
      </c>
      <c r="B12768" s="1" t="str">
        <f>"87311"</f>
        <v>87311</v>
      </c>
      <c r="C12768" s="2">
        <v>0</v>
      </c>
      <c r="D12768" s="2">
        <v>1.13960113960113E-3</v>
      </c>
      <c r="E12768" s="2">
        <v>0</v>
      </c>
      <c r="F12768" s="2">
        <v>1.26935770500126E-4</v>
      </c>
    </row>
    <row r="12769" spans="1:6" x14ac:dyDescent="0.25">
      <c r="A12769" s="1" t="str">
        <f t="shared" si="472"/>
        <v>23700</v>
      </c>
      <c r="B12769" s="1" t="str">
        <f>"87321"</f>
        <v>87321</v>
      </c>
      <c r="C12769" s="2">
        <v>2.6407278644870101E-2</v>
      </c>
      <c r="D12769" s="2">
        <v>1.1396011396011299E-2</v>
      </c>
      <c r="E12769" s="2">
        <v>4.1493775933609898E-3</v>
      </c>
      <c r="F12769" s="2">
        <v>2.4054328509774001E-2</v>
      </c>
    </row>
    <row r="12770" spans="1:6" x14ac:dyDescent="0.25">
      <c r="A12770" s="1" t="str">
        <f t="shared" ref="A12770:A12779" si="473">"23780"</f>
        <v>23780</v>
      </c>
      <c r="B12770" s="1" t="str">
        <f>"67853"</f>
        <v>67853</v>
      </c>
      <c r="C12770" s="2">
        <v>7.7211559673505403E-4</v>
      </c>
      <c r="D12770" s="2">
        <v>4.5850527281063698E-4</v>
      </c>
      <c r="E12770" s="2">
        <v>0</v>
      </c>
      <c r="F12770" s="2">
        <v>6.97090807695882E-4</v>
      </c>
    </row>
    <row r="12771" spans="1:6" x14ac:dyDescent="0.25">
      <c r="A12771" s="1" t="str">
        <f t="shared" si="473"/>
        <v>23780</v>
      </c>
      <c r="B12771" s="1" t="str">
        <f>"67839"</f>
        <v>67839</v>
      </c>
      <c r="C12771" s="2">
        <v>5.5151114052503798E-5</v>
      </c>
      <c r="D12771" s="2">
        <v>0</v>
      </c>
      <c r="E12771" s="2">
        <v>0</v>
      </c>
      <c r="F12771" s="2">
        <v>4.6472720513058801E-5</v>
      </c>
    </row>
    <row r="12772" spans="1:6" x14ac:dyDescent="0.25">
      <c r="A12772" s="1" t="str">
        <f t="shared" si="473"/>
        <v>23780</v>
      </c>
      <c r="B12772" s="1" t="str">
        <f>"67835"</f>
        <v>67835</v>
      </c>
      <c r="C12772" s="2">
        <v>5.3496580630928697E-3</v>
      </c>
      <c r="D12772" s="2">
        <v>1.37551581843191E-3</v>
      </c>
      <c r="E12772" s="2">
        <v>8.2987551867219904E-4</v>
      </c>
      <c r="F12772" s="2">
        <v>4.6937447718189401E-3</v>
      </c>
    </row>
    <row r="12773" spans="1:6" x14ac:dyDescent="0.25">
      <c r="A12773" s="1" t="str">
        <f t="shared" si="473"/>
        <v>23780</v>
      </c>
      <c r="B12773" s="1" t="str">
        <f>"67860"</f>
        <v>67860</v>
      </c>
      <c r="C12773" s="2">
        <v>6.1548643282594302E-2</v>
      </c>
      <c r="D12773" s="2">
        <v>2.9344337459880701E-2</v>
      </c>
      <c r="E12773" s="2">
        <v>2.8215767634854699E-2</v>
      </c>
      <c r="F12773" s="2">
        <v>5.6417882702853403E-2</v>
      </c>
    </row>
    <row r="12774" spans="1:6" x14ac:dyDescent="0.25">
      <c r="A12774" s="1" t="str">
        <f t="shared" si="473"/>
        <v>23780</v>
      </c>
      <c r="B12774" s="1" t="str">
        <f>"67838"</f>
        <v>67838</v>
      </c>
      <c r="C12774" s="2">
        <v>1.9137436576218799E-2</v>
      </c>
      <c r="D12774" s="2">
        <v>6.8775790921595499E-3</v>
      </c>
      <c r="E12774" s="2">
        <v>7.4688796680497903E-3</v>
      </c>
      <c r="F12774" s="2">
        <v>1.72413793103448E-2</v>
      </c>
    </row>
    <row r="12775" spans="1:6" x14ac:dyDescent="0.25">
      <c r="A12775" s="1" t="str">
        <f t="shared" si="473"/>
        <v>23780</v>
      </c>
      <c r="B12775" s="1" t="str">
        <f>"67851"</f>
        <v>67851</v>
      </c>
      <c r="C12775" s="2">
        <v>5.0849327156408497E-2</v>
      </c>
      <c r="D12775" s="2">
        <v>1.05456212746446E-2</v>
      </c>
      <c r="E12775" s="2">
        <v>1.9917012448132699E-2</v>
      </c>
      <c r="F12775" s="2">
        <v>4.5032066177154002E-2</v>
      </c>
    </row>
    <row r="12776" spans="1:6" x14ac:dyDescent="0.25">
      <c r="A12776" s="1" t="str">
        <f t="shared" si="473"/>
        <v>23780</v>
      </c>
      <c r="B12776" s="1" t="str">
        <f>"67871"</f>
        <v>67871</v>
      </c>
      <c r="C12776" s="2">
        <v>1.5993823075226099E-3</v>
      </c>
      <c r="D12776" s="2">
        <v>9.1701054562127397E-4</v>
      </c>
      <c r="E12776" s="2">
        <v>0</v>
      </c>
      <c r="F12776" s="2">
        <v>1.44065433590482E-3</v>
      </c>
    </row>
    <row r="12777" spans="1:6" x14ac:dyDescent="0.25">
      <c r="A12777" s="1" t="str">
        <f t="shared" si="473"/>
        <v>23780</v>
      </c>
      <c r="B12777" s="1" t="str">
        <f>"67880"</f>
        <v>67880</v>
      </c>
      <c r="C12777" s="2">
        <v>2.20604456210015E-4</v>
      </c>
      <c r="D12777" s="2">
        <v>0</v>
      </c>
      <c r="E12777" s="2">
        <v>0</v>
      </c>
      <c r="F12777" s="2">
        <v>1.8589088205223499E-4</v>
      </c>
    </row>
    <row r="12778" spans="1:6" x14ac:dyDescent="0.25">
      <c r="A12778" s="1" t="str">
        <f t="shared" si="473"/>
        <v>23780</v>
      </c>
      <c r="B12778" s="1" t="str">
        <f>"67868"</f>
        <v>67868</v>
      </c>
      <c r="C12778" s="2">
        <v>6.0666225457754203E-3</v>
      </c>
      <c r="D12778" s="2">
        <v>3.2095369096744601E-3</v>
      </c>
      <c r="E12778" s="2">
        <v>2.48962655601659E-3</v>
      </c>
      <c r="F12778" s="2">
        <v>5.5767264615670603E-3</v>
      </c>
    </row>
    <row r="12779" spans="1:6" x14ac:dyDescent="0.25">
      <c r="A12779" s="1" t="str">
        <f t="shared" si="473"/>
        <v>23780</v>
      </c>
      <c r="B12779" s="1" t="str">
        <f>"67846"</f>
        <v>67846</v>
      </c>
      <c r="C12779" s="2">
        <v>0.85440105890138895</v>
      </c>
      <c r="D12779" s="2">
        <v>0.947271893626776</v>
      </c>
      <c r="E12779" s="2">
        <v>0.94107883817427296</v>
      </c>
      <c r="F12779" s="2">
        <v>0.86866809183009497</v>
      </c>
    </row>
    <row r="12780" spans="1:6" x14ac:dyDescent="0.25">
      <c r="A12780" s="1" t="str">
        <f t="shared" ref="A12780:A12789" si="474">"23820"</f>
        <v>23820</v>
      </c>
      <c r="B12780" s="1" t="str">
        <f>"89705"</f>
        <v>89705</v>
      </c>
      <c r="C12780" s="2">
        <v>7.3495883470550902E-2</v>
      </c>
      <c r="D12780" s="2">
        <v>0.13265007320644201</v>
      </c>
      <c r="E12780" s="2">
        <v>3.6540240518038801E-2</v>
      </c>
      <c r="F12780" s="2">
        <v>7.67823021234222E-2</v>
      </c>
    </row>
    <row r="12781" spans="1:6" x14ac:dyDescent="0.25">
      <c r="A12781" s="1" t="str">
        <f t="shared" si="474"/>
        <v>23820</v>
      </c>
      <c r="B12781" s="1" t="str">
        <f>"89411"</f>
        <v>89411</v>
      </c>
      <c r="C12781" s="2">
        <v>3.1570614312856203E-2</v>
      </c>
      <c r="D12781" s="2">
        <v>2.8111273792093699E-2</v>
      </c>
      <c r="E12781" s="2">
        <v>2.5439407955596599E-2</v>
      </c>
      <c r="F12781" s="2">
        <v>3.0895928088919899E-2</v>
      </c>
    </row>
    <row r="12782" spans="1:6" x14ac:dyDescent="0.25">
      <c r="A12782" s="1" t="str">
        <f t="shared" si="474"/>
        <v>23820</v>
      </c>
      <c r="B12782" s="1" t="str">
        <f>"89449"</f>
        <v>89449</v>
      </c>
      <c r="C12782" s="2">
        <v>0.12580747308422999</v>
      </c>
      <c r="D12782" s="2">
        <v>0.112737920937042</v>
      </c>
      <c r="E12782" s="2">
        <v>8.14061054579093E-2</v>
      </c>
      <c r="F12782" s="2">
        <v>0.122022768253626</v>
      </c>
    </row>
    <row r="12783" spans="1:6" x14ac:dyDescent="0.25">
      <c r="A12783" s="1" t="str">
        <f t="shared" si="474"/>
        <v>23820</v>
      </c>
      <c r="B12783" s="1" t="str">
        <f>"89410"</f>
        <v>89410</v>
      </c>
      <c r="C12783" s="2">
        <v>0.169537682077264</v>
      </c>
      <c r="D12783" s="2">
        <v>0.29341142020497801</v>
      </c>
      <c r="E12783" s="2">
        <v>0.19842738205365401</v>
      </c>
      <c r="F12783" s="2">
        <v>0.18260354711090701</v>
      </c>
    </row>
    <row r="12784" spans="1:6" x14ac:dyDescent="0.25">
      <c r="A12784" s="1" t="str">
        <f t="shared" si="474"/>
        <v>23820</v>
      </c>
      <c r="B12784" s="1" t="str">
        <f>"89460"</f>
        <v>89460</v>
      </c>
      <c r="C12784" s="2">
        <v>0.24088030398986701</v>
      </c>
      <c r="D12784" s="2">
        <v>3.7774524158125898E-2</v>
      </c>
      <c r="E12784" s="2">
        <v>0.342738205365402</v>
      </c>
      <c r="F12784" s="2">
        <v>0.22814005436391499</v>
      </c>
    </row>
    <row r="12785" spans="1:6" x14ac:dyDescent="0.25">
      <c r="A12785" s="1" t="str">
        <f t="shared" si="474"/>
        <v>23820</v>
      </c>
      <c r="B12785" s="1" t="str">
        <f>"89448"</f>
        <v>89448</v>
      </c>
      <c r="C12785" s="2">
        <v>0.106776440785307</v>
      </c>
      <c r="D12785" s="2">
        <v>9.2825768667642694E-2</v>
      </c>
      <c r="E12785" s="2">
        <v>0.185938945420906</v>
      </c>
      <c r="F12785" s="2">
        <v>0.11010038485345899</v>
      </c>
    </row>
    <row r="12786" spans="1:6" x14ac:dyDescent="0.25">
      <c r="A12786" s="1" t="str">
        <f t="shared" si="474"/>
        <v>23820</v>
      </c>
      <c r="B12786" s="1" t="str">
        <f>"89701"</f>
        <v>89701</v>
      </c>
      <c r="C12786" s="2">
        <v>2.2165927802406501E-4</v>
      </c>
      <c r="D12786" s="2">
        <v>0</v>
      </c>
      <c r="E12786" s="2">
        <v>0</v>
      </c>
      <c r="F12786" s="2">
        <v>1.8838980542024299E-4</v>
      </c>
    </row>
    <row r="12787" spans="1:6" x14ac:dyDescent="0.25">
      <c r="A12787" s="1" t="str">
        <f t="shared" si="474"/>
        <v>23820</v>
      </c>
      <c r="B12787" s="1" t="str">
        <f>"89444"</f>
        <v>89444</v>
      </c>
      <c r="C12787" s="2">
        <v>2.77390753641545E-2</v>
      </c>
      <c r="D12787" s="2">
        <v>4.9780380673499196E-3</v>
      </c>
      <c r="E12787" s="2">
        <v>2.7752081406105401E-3</v>
      </c>
      <c r="F12787" s="2">
        <v>2.4194633581828402E-2</v>
      </c>
    </row>
    <row r="12788" spans="1:6" x14ac:dyDescent="0.25">
      <c r="A12788" s="1" t="str">
        <f t="shared" si="474"/>
        <v>23820</v>
      </c>
      <c r="B12788" s="1" t="str">
        <f>"89413"</f>
        <v>89413</v>
      </c>
      <c r="C12788" s="2">
        <v>2.50158328055731E-3</v>
      </c>
      <c r="D12788" s="2">
        <v>2.9282576866764199E-4</v>
      </c>
      <c r="E12788" s="2">
        <v>1.4338575393154401E-2</v>
      </c>
      <c r="F12788" s="2">
        <v>2.9873240573781499E-3</v>
      </c>
    </row>
    <row r="12789" spans="1:6" x14ac:dyDescent="0.25">
      <c r="A12789" s="1" t="str">
        <f t="shared" si="474"/>
        <v>23820</v>
      </c>
      <c r="B12789" s="1" t="str">
        <f>"89423"</f>
        <v>89423</v>
      </c>
      <c r="C12789" s="2">
        <v>0.22146928435718799</v>
      </c>
      <c r="D12789" s="2">
        <v>0.29721815519765699</v>
      </c>
      <c r="E12789" s="2">
        <v>0.112395929694727</v>
      </c>
      <c r="F12789" s="2">
        <v>0.22208466776112101</v>
      </c>
    </row>
    <row r="12790" spans="1:6" x14ac:dyDescent="0.25">
      <c r="A12790" s="1" t="str">
        <f t="shared" ref="A12790:A12818" si="475">"23844"</f>
        <v>23844</v>
      </c>
      <c r="B12790" s="1" t="str">
        <f>"46303"</f>
        <v>46303</v>
      </c>
      <c r="C12790" s="2">
        <v>1.8867924528301799E-2</v>
      </c>
      <c r="D12790" s="2">
        <v>0</v>
      </c>
      <c r="E12790" s="2">
        <v>0</v>
      </c>
      <c r="F12790" s="2">
        <v>1.6949152542372801E-2</v>
      </c>
    </row>
    <row r="12791" spans="1:6" x14ac:dyDescent="0.25">
      <c r="A12791" s="1" t="str">
        <f t="shared" si="475"/>
        <v>23844</v>
      </c>
      <c r="B12791" s="1" t="str">
        <f>"46327"</f>
        <v>46327</v>
      </c>
      <c r="C12791" s="2">
        <v>0</v>
      </c>
      <c r="D12791" s="2">
        <v>0</v>
      </c>
      <c r="E12791" s="2">
        <v>2.5000000000000001E-2</v>
      </c>
      <c r="F12791" s="2">
        <v>9.4161958568738204E-4</v>
      </c>
    </row>
    <row r="12792" spans="1:6" x14ac:dyDescent="0.25">
      <c r="A12792" s="1" t="str">
        <f t="shared" si="475"/>
        <v>23844</v>
      </c>
      <c r="B12792" s="1" t="str">
        <f>"46356"</f>
        <v>46356</v>
      </c>
      <c r="C12792" s="2">
        <v>6.9182389937106903E-2</v>
      </c>
      <c r="D12792" s="2">
        <v>1.47058823529411E-2</v>
      </c>
      <c r="E12792" s="2">
        <v>0</v>
      </c>
      <c r="F12792" s="2">
        <v>6.3088512241054606E-2</v>
      </c>
    </row>
    <row r="12793" spans="1:6" x14ac:dyDescent="0.25">
      <c r="A12793" s="1" t="str">
        <f t="shared" si="475"/>
        <v>23844</v>
      </c>
      <c r="B12793" s="1" t="str">
        <f>"46324"</f>
        <v>46324</v>
      </c>
      <c r="C12793" s="2">
        <v>1.1530398322851101E-2</v>
      </c>
      <c r="D12793" s="2">
        <v>0.16176470588235201</v>
      </c>
      <c r="E12793" s="2">
        <v>0.15</v>
      </c>
      <c r="F12793" s="2">
        <v>2.6365348399246698E-2</v>
      </c>
    </row>
    <row r="12794" spans="1:6" x14ac:dyDescent="0.25">
      <c r="A12794" s="1" t="str">
        <f t="shared" si="475"/>
        <v>23844</v>
      </c>
      <c r="B12794" s="1" t="str">
        <f>"46341"</f>
        <v>46341</v>
      </c>
      <c r="C12794" s="2">
        <v>4.19287211740041E-3</v>
      </c>
      <c r="D12794" s="2">
        <v>0</v>
      </c>
      <c r="E12794" s="2">
        <v>2.5000000000000001E-2</v>
      </c>
      <c r="F12794" s="2">
        <v>4.7080979284369103E-3</v>
      </c>
    </row>
    <row r="12795" spans="1:6" x14ac:dyDescent="0.25">
      <c r="A12795" s="1" t="str">
        <f t="shared" si="475"/>
        <v>23844</v>
      </c>
      <c r="B12795" s="1" t="str">
        <f>"46392"</f>
        <v>46392</v>
      </c>
      <c r="C12795" s="2">
        <v>1.1530398322851101E-2</v>
      </c>
      <c r="D12795" s="2">
        <v>0</v>
      </c>
      <c r="E12795" s="2">
        <v>2.5000000000000001E-2</v>
      </c>
      <c r="F12795" s="2">
        <v>1.1299435028248501E-2</v>
      </c>
    </row>
    <row r="12796" spans="1:6" x14ac:dyDescent="0.25">
      <c r="A12796" s="1" t="str">
        <f t="shared" si="475"/>
        <v>23844</v>
      </c>
      <c r="B12796" s="1" t="str">
        <f>"46320"</f>
        <v>46320</v>
      </c>
      <c r="C12796" s="2">
        <v>0</v>
      </c>
      <c r="D12796" s="2">
        <v>2.94117647058823E-2</v>
      </c>
      <c r="E12796" s="2">
        <v>0</v>
      </c>
      <c r="F12796" s="2">
        <v>1.88323917137476E-3</v>
      </c>
    </row>
    <row r="12797" spans="1:6" x14ac:dyDescent="0.25">
      <c r="A12797" s="1" t="str">
        <f t="shared" si="475"/>
        <v>23844</v>
      </c>
      <c r="B12797" s="1" t="str">
        <f>"47943"</f>
        <v>47943</v>
      </c>
      <c r="C12797" s="2">
        <v>0</v>
      </c>
      <c r="D12797" s="2">
        <v>1.47058823529411E-2</v>
      </c>
      <c r="E12797" s="2">
        <v>0</v>
      </c>
      <c r="F12797" s="2">
        <v>9.4161958568738204E-4</v>
      </c>
    </row>
    <row r="12798" spans="1:6" x14ac:dyDescent="0.25">
      <c r="A12798" s="1" t="str">
        <f t="shared" si="475"/>
        <v>23844</v>
      </c>
      <c r="B12798" s="1" t="str">
        <f>"46385"</f>
        <v>46385</v>
      </c>
      <c r="C12798" s="2">
        <v>8.2809224318658198E-2</v>
      </c>
      <c r="D12798" s="2">
        <v>4.4117647058823498E-2</v>
      </c>
      <c r="E12798" s="2">
        <v>2.5000000000000001E-2</v>
      </c>
      <c r="F12798" s="2">
        <v>7.81544256120527E-2</v>
      </c>
    </row>
    <row r="12799" spans="1:6" x14ac:dyDescent="0.25">
      <c r="A12799" s="1" t="str">
        <f t="shared" si="475"/>
        <v>23844</v>
      </c>
      <c r="B12799" s="1" t="str">
        <f>"46402"</f>
        <v>46402</v>
      </c>
      <c r="C12799" s="2">
        <v>8.3857442348008304E-3</v>
      </c>
      <c r="D12799" s="2">
        <v>2.94117647058823E-2</v>
      </c>
      <c r="E12799" s="2">
        <v>0.05</v>
      </c>
      <c r="F12799" s="2">
        <v>1.1299435028248501E-2</v>
      </c>
    </row>
    <row r="12800" spans="1:6" x14ac:dyDescent="0.25">
      <c r="A12800" s="1" t="str">
        <f t="shared" si="475"/>
        <v>23844</v>
      </c>
      <c r="B12800" s="1" t="str">
        <f>"46312"</f>
        <v>46312</v>
      </c>
      <c r="C12800" s="2">
        <v>7.3375262054507298E-3</v>
      </c>
      <c r="D12800" s="2">
        <v>0</v>
      </c>
      <c r="E12800" s="2">
        <v>2.5000000000000001E-2</v>
      </c>
      <c r="F12800" s="2">
        <v>7.5329566854990503E-3</v>
      </c>
    </row>
    <row r="12801" spans="1:6" x14ac:dyDescent="0.25">
      <c r="A12801" s="1" t="str">
        <f t="shared" si="475"/>
        <v>23844</v>
      </c>
      <c r="B12801" s="1" t="str">
        <f>"46307"</f>
        <v>46307</v>
      </c>
      <c r="C12801" s="2">
        <v>0.22012578616352199</v>
      </c>
      <c r="D12801" s="2">
        <v>0</v>
      </c>
      <c r="E12801" s="2">
        <v>0</v>
      </c>
      <c r="F12801" s="2">
        <v>0.19774011299434999</v>
      </c>
    </row>
    <row r="12802" spans="1:6" x14ac:dyDescent="0.25">
      <c r="A12802" s="1" t="str">
        <f t="shared" si="475"/>
        <v>23844</v>
      </c>
      <c r="B12802" s="1" t="str">
        <f>"46373"</f>
        <v>46373</v>
      </c>
      <c r="C12802" s="2">
        <v>9.9580712788259904E-2</v>
      </c>
      <c r="D12802" s="2">
        <v>5.8823529411764698E-2</v>
      </c>
      <c r="E12802" s="2">
        <v>2.5000000000000001E-2</v>
      </c>
      <c r="F12802" s="2">
        <v>9.4161958568738199E-2</v>
      </c>
    </row>
    <row r="12803" spans="1:6" x14ac:dyDescent="0.25">
      <c r="A12803" s="1" t="str">
        <f t="shared" si="475"/>
        <v>23844</v>
      </c>
      <c r="B12803" s="1" t="str">
        <f>"46342"</f>
        <v>46342</v>
      </c>
      <c r="C12803" s="2">
        <v>6.1844863731656097E-2</v>
      </c>
      <c r="D12803" s="2">
        <v>0</v>
      </c>
      <c r="E12803" s="2">
        <v>2.5000000000000001E-2</v>
      </c>
      <c r="F12803" s="2">
        <v>5.6497175141242903E-2</v>
      </c>
    </row>
    <row r="12804" spans="1:6" x14ac:dyDescent="0.25">
      <c r="A12804" s="1" t="str">
        <f t="shared" si="475"/>
        <v>23844</v>
      </c>
      <c r="B12804" s="1" t="str">
        <f>"46349"</f>
        <v>46349</v>
      </c>
      <c r="C12804" s="2">
        <v>4.19287211740041E-3</v>
      </c>
      <c r="D12804" s="2">
        <v>0</v>
      </c>
      <c r="E12804" s="2">
        <v>2.5000000000000001E-2</v>
      </c>
      <c r="F12804" s="2">
        <v>4.7080979284369103E-3</v>
      </c>
    </row>
    <row r="12805" spans="1:6" x14ac:dyDescent="0.25">
      <c r="A12805" s="1" t="str">
        <f t="shared" si="475"/>
        <v>23844</v>
      </c>
      <c r="B12805" s="1" t="str">
        <f>"46410"</f>
        <v>46410</v>
      </c>
      <c r="C12805" s="2">
        <v>2.6205450733752599E-2</v>
      </c>
      <c r="D12805" s="2">
        <v>7.3529411764705802E-2</v>
      </c>
      <c r="E12805" s="2">
        <v>2.5000000000000001E-2</v>
      </c>
      <c r="F12805" s="2">
        <v>2.9190207156308799E-2</v>
      </c>
    </row>
    <row r="12806" spans="1:6" x14ac:dyDescent="0.25">
      <c r="A12806" s="1" t="str">
        <f t="shared" si="475"/>
        <v>23844</v>
      </c>
      <c r="B12806" s="1" t="str">
        <f>"46383"</f>
        <v>46383</v>
      </c>
      <c r="C12806" s="2">
        <v>0.10272536687631</v>
      </c>
      <c r="D12806" s="2">
        <v>0.220588235294117</v>
      </c>
      <c r="E12806" s="2">
        <v>0.1</v>
      </c>
      <c r="F12806" s="2">
        <v>0.11016949152542301</v>
      </c>
    </row>
    <row r="12807" spans="1:6" x14ac:dyDescent="0.25">
      <c r="A12807" s="1" t="str">
        <f t="shared" si="475"/>
        <v>23844</v>
      </c>
      <c r="B12807" s="1" t="str">
        <f>"46319"</f>
        <v>46319</v>
      </c>
      <c r="C12807" s="2">
        <v>3.1446540880503099E-3</v>
      </c>
      <c r="D12807" s="2">
        <v>0</v>
      </c>
      <c r="E12807" s="2">
        <v>0.05</v>
      </c>
      <c r="F12807" s="2">
        <v>4.7080979284369103E-3</v>
      </c>
    </row>
    <row r="12808" spans="1:6" x14ac:dyDescent="0.25">
      <c r="A12808" s="1" t="str">
        <f t="shared" si="475"/>
        <v>23844</v>
      </c>
      <c r="B12808" s="1" t="str">
        <f>"46323"</f>
        <v>46323</v>
      </c>
      <c r="C12808" s="2">
        <v>0</v>
      </c>
      <c r="D12808" s="2">
        <v>1.47058823529411E-2</v>
      </c>
      <c r="E12808" s="2">
        <v>0</v>
      </c>
      <c r="F12808" s="2">
        <v>9.4161958568738204E-4</v>
      </c>
    </row>
    <row r="12809" spans="1:6" x14ac:dyDescent="0.25">
      <c r="A12809" s="1" t="str">
        <f t="shared" si="475"/>
        <v>23844</v>
      </c>
      <c r="B12809" s="1" t="str">
        <f>"46310"</f>
        <v>46310</v>
      </c>
      <c r="C12809" s="2">
        <v>4.19287211740041E-3</v>
      </c>
      <c r="D12809" s="2">
        <v>0</v>
      </c>
      <c r="E12809" s="2">
        <v>0</v>
      </c>
      <c r="F12809" s="2">
        <v>3.7664783427495199E-3</v>
      </c>
    </row>
    <row r="12810" spans="1:6" x14ac:dyDescent="0.25">
      <c r="A12810" s="1" t="str">
        <f t="shared" si="475"/>
        <v>23844</v>
      </c>
      <c r="B12810" s="1" t="str">
        <f>"46311"</f>
        <v>46311</v>
      </c>
      <c r="C12810" s="2">
        <v>9.4339622641509396E-3</v>
      </c>
      <c r="D12810" s="2">
        <v>7.3529411764705802E-2</v>
      </c>
      <c r="E12810" s="2">
        <v>2.5000000000000001E-2</v>
      </c>
      <c r="F12810" s="2">
        <v>1.41242937853107E-2</v>
      </c>
    </row>
    <row r="12811" spans="1:6" x14ac:dyDescent="0.25">
      <c r="A12811" s="1" t="str">
        <f t="shared" si="475"/>
        <v>23844</v>
      </c>
      <c r="B12811" s="1" t="str">
        <f>"47948"</f>
        <v>47948</v>
      </c>
      <c r="C12811" s="2">
        <v>0</v>
      </c>
      <c r="D12811" s="2">
        <v>0</v>
      </c>
      <c r="E12811" s="2">
        <v>2.5000000000000001E-2</v>
      </c>
      <c r="F12811" s="2">
        <v>9.4161958568738204E-4</v>
      </c>
    </row>
    <row r="12812" spans="1:6" x14ac:dyDescent="0.25">
      <c r="A12812" s="1" t="str">
        <f t="shared" si="475"/>
        <v>23844</v>
      </c>
      <c r="B12812" s="1" t="str">
        <f>"46408"</f>
        <v>46408</v>
      </c>
      <c r="C12812" s="2">
        <v>0</v>
      </c>
      <c r="D12812" s="2">
        <v>0</v>
      </c>
      <c r="E12812" s="2">
        <v>2.5000000000000001E-2</v>
      </c>
      <c r="F12812" s="2">
        <v>9.4161958568738204E-4</v>
      </c>
    </row>
    <row r="12813" spans="1:6" x14ac:dyDescent="0.25">
      <c r="A12813" s="1" t="str">
        <f t="shared" si="475"/>
        <v>23844</v>
      </c>
      <c r="B12813" s="1" t="str">
        <f>"46304"</f>
        <v>46304</v>
      </c>
      <c r="C12813" s="2">
        <v>9.3291404612159304E-2</v>
      </c>
      <c r="D12813" s="2">
        <v>1.47058823529411E-2</v>
      </c>
      <c r="E12813" s="2">
        <v>0.15</v>
      </c>
      <c r="F12813" s="2">
        <v>9.03954802259887E-2</v>
      </c>
    </row>
    <row r="12814" spans="1:6" x14ac:dyDescent="0.25">
      <c r="A12814" s="1" t="str">
        <f t="shared" si="475"/>
        <v>23844</v>
      </c>
      <c r="B12814" s="1" t="str">
        <f>"46321"</f>
        <v>46321</v>
      </c>
      <c r="C12814" s="2">
        <v>1.0482180293501E-2</v>
      </c>
      <c r="D12814" s="2">
        <v>0</v>
      </c>
      <c r="E12814" s="2">
        <v>0</v>
      </c>
      <c r="F12814" s="2">
        <v>9.4161958568738206E-3</v>
      </c>
    </row>
    <row r="12815" spans="1:6" x14ac:dyDescent="0.25">
      <c r="A12815" s="1" t="str">
        <f t="shared" si="475"/>
        <v>23844</v>
      </c>
      <c r="B12815" s="1" t="str">
        <f>"46375"</f>
        <v>46375</v>
      </c>
      <c r="C12815" s="2">
        <v>3.7735849056603703E-2</v>
      </c>
      <c r="D12815" s="2">
        <v>5.8823529411764698E-2</v>
      </c>
      <c r="E12815" s="2">
        <v>2.5000000000000001E-2</v>
      </c>
      <c r="F12815" s="2">
        <v>3.8606403013182598E-2</v>
      </c>
    </row>
    <row r="12816" spans="1:6" x14ac:dyDescent="0.25">
      <c r="A12816" s="1" t="str">
        <f t="shared" si="475"/>
        <v>23844</v>
      </c>
      <c r="B12816" s="1" t="str">
        <f>"46404"</f>
        <v>46404</v>
      </c>
      <c r="C12816" s="2">
        <v>3.1446540880503099E-3</v>
      </c>
      <c r="D12816" s="2">
        <v>0</v>
      </c>
      <c r="E12816" s="2">
        <v>2.5000000000000001E-2</v>
      </c>
      <c r="F12816" s="2">
        <v>3.7664783427495199E-3</v>
      </c>
    </row>
    <row r="12817" spans="1:6" x14ac:dyDescent="0.25">
      <c r="A12817" s="1" t="str">
        <f t="shared" si="475"/>
        <v>23844</v>
      </c>
      <c r="B12817" s="1" t="str">
        <f>"46405"</f>
        <v>46405</v>
      </c>
      <c r="C12817" s="2">
        <v>0</v>
      </c>
      <c r="D12817" s="2">
        <v>0</v>
      </c>
      <c r="E12817" s="2">
        <v>2.5000000000000001E-2</v>
      </c>
      <c r="F12817" s="2">
        <v>9.4161958568738204E-4</v>
      </c>
    </row>
    <row r="12818" spans="1:6" x14ac:dyDescent="0.25">
      <c r="A12818" s="1" t="str">
        <f t="shared" si="475"/>
        <v>23844</v>
      </c>
      <c r="B12818" s="1" t="str">
        <f>"46368"</f>
        <v>46368</v>
      </c>
      <c r="C12818" s="2">
        <v>0.110062893081761</v>
      </c>
      <c r="D12818" s="2">
        <v>0.191176470588235</v>
      </c>
      <c r="E12818" s="2">
        <v>0.125</v>
      </c>
      <c r="F12818" s="2">
        <v>0.115819209039548</v>
      </c>
    </row>
    <row r="12819" spans="1:6" x14ac:dyDescent="0.25">
      <c r="A12819" s="1" t="str">
        <f t="shared" ref="A12819:A12824" si="476">"23860"</f>
        <v>23860</v>
      </c>
      <c r="B12819" s="1" t="str">
        <f>"29576"</f>
        <v>29576</v>
      </c>
      <c r="C12819" s="2">
        <v>0.20138466048756201</v>
      </c>
      <c r="D12819" s="2">
        <v>0.23396704689480299</v>
      </c>
      <c r="E12819" s="2">
        <v>0.149361465852304</v>
      </c>
      <c r="F12819" s="2">
        <v>0.202080297071213</v>
      </c>
    </row>
    <row r="12820" spans="1:6" x14ac:dyDescent="0.25">
      <c r="A12820" s="1" t="str">
        <f t="shared" si="476"/>
        <v>23860</v>
      </c>
      <c r="B12820" s="1" t="str">
        <f>"29440"</f>
        <v>29440</v>
      </c>
      <c r="C12820" s="2">
        <v>0.32444805268024202</v>
      </c>
      <c r="D12820" s="2">
        <v>0.315082382762991</v>
      </c>
      <c r="E12820" s="2">
        <v>0.19933370349805599</v>
      </c>
      <c r="F12820" s="2">
        <v>0.31921180299067597</v>
      </c>
    </row>
    <row r="12821" spans="1:6" x14ac:dyDescent="0.25">
      <c r="A12821" s="1" t="str">
        <f t="shared" si="476"/>
        <v>23860</v>
      </c>
      <c r="B12821" s="1" t="str">
        <f>"29510"</f>
        <v>29510</v>
      </c>
      <c r="C12821" s="2">
        <v>7.1465620278285097E-2</v>
      </c>
      <c r="D12821" s="2">
        <v>6.8694550063371301E-2</v>
      </c>
      <c r="E12821" s="2">
        <v>4.7196002220988298E-2</v>
      </c>
      <c r="F12821" s="2">
        <v>7.0374732975303902E-2</v>
      </c>
    </row>
    <row r="12822" spans="1:6" x14ac:dyDescent="0.25">
      <c r="A12822" s="1" t="str">
        <f t="shared" si="476"/>
        <v>23860</v>
      </c>
      <c r="B12822" s="1" t="str">
        <f>"29442"</f>
        <v>29442</v>
      </c>
      <c r="C12822" s="2">
        <v>5.0289786437543602E-2</v>
      </c>
      <c r="D12822" s="2">
        <v>9.0240811153358594E-2</v>
      </c>
      <c r="E12822" s="2">
        <v>1.1104941699056001E-3</v>
      </c>
      <c r="F12822" s="2">
        <v>5.1668030904989101E-2</v>
      </c>
    </row>
    <row r="12823" spans="1:6" x14ac:dyDescent="0.25">
      <c r="A12823" s="1" t="str">
        <f t="shared" si="476"/>
        <v>23860</v>
      </c>
      <c r="B12823" s="1" t="str">
        <f>"29585"</f>
        <v>29585</v>
      </c>
      <c r="C12823" s="2">
        <v>0.31078185959452398</v>
      </c>
      <c r="D12823" s="2">
        <v>0.28010139416983498</v>
      </c>
      <c r="E12823" s="2">
        <v>0.60299833425874505</v>
      </c>
      <c r="F12823" s="2">
        <v>0.31887240711533399</v>
      </c>
    </row>
    <row r="12824" spans="1:6" x14ac:dyDescent="0.25">
      <c r="A12824" s="1" t="str">
        <f t="shared" si="476"/>
        <v>23860</v>
      </c>
      <c r="B12824" s="1" t="str">
        <f>"29554"</f>
        <v>29554</v>
      </c>
      <c r="C12824" s="2">
        <v>4.1630020521841102E-2</v>
      </c>
      <c r="D12824" s="2">
        <v>1.1913814955639999E-2</v>
      </c>
      <c r="E12824" s="2">
        <v>0</v>
      </c>
      <c r="F12824" s="2">
        <v>3.7792728942482298E-2</v>
      </c>
    </row>
    <row r="12825" spans="1:6" x14ac:dyDescent="0.25">
      <c r="A12825" s="1" t="str">
        <f t="shared" ref="A12825:A12845" si="477">"23900"</f>
        <v>23900</v>
      </c>
      <c r="B12825" s="1" t="str">
        <f>"17019"</f>
        <v>17019</v>
      </c>
      <c r="C12825" s="2">
        <v>1.18542834997492E-3</v>
      </c>
      <c r="D12825" s="2">
        <v>7.73096250483185E-4</v>
      </c>
      <c r="E12825" s="2">
        <v>0</v>
      </c>
      <c r="F12825" s="2">
        <v>1.14097363083164E-3</v>
      </c>
    </row>
    <row r="12826" spans="1:6" x14ac:dyDescent="0.25">
      <c r="A12826" s="1" t="str">
        <f t="shared" si="477"/>
        <v>23900</v>
      </c>
      <c r="B12826" s="1" t="str">
        <f>"17324"</f>
        <v>17324</v>
      </c>
      <c r="C12826" s="2">
        <v>1.6573200200610899E-2</v>
      </c>
      <c r="D12826" s="2">
        <v>8.8906068805566195E-3</v>
      </c>
      <c r="E12826" s="2">
        <v>5.7142857142857099E-3</v>
      </c>
      <c r="F12826" s="2">
        <v>1.59525016903313E-2</v>
      </c>
    </row>
    <row r="12827" spans="1:6" x14ac:dyDescent="0.25">
      <c r="A12827" s="1" t="str">
        <f t="shared" si="477"/>
        <v>23900</v>
      </c>
      <c r="B12827" s="1" t="str">
        <f>"17306"</f>
        <v>17306</v>
      </c>
      <c r="C12827" s="2">
        <v>1.5957689326585501E-4</v>
      </c>
      <c r="D12827" s="2">
        <v>0</v>
      </c>
      <c r="E12827" s="2">
        <v>1.1428571428571399E-3</v>
      </c>
      <c r="F12827" s="2">
        <v>1.6903313049357601E-4</v>
      </c>
    </row>
    <row r="12828" spans="1:6" x14ac:dyDescent="0.25">
      <c r="A12828" s="1" t="str">
        <f t="shared" si="477"/>
        <v>23900</v>
      </c>
      <c r="B12828" s="1" t="str">
        <f>"17331"</f>
        <v>17331</v>
      </c>
      <c r="C12828" s="2">
        <v>0.104363288195869</v>
      </c>
      <c r="D12828" s="2">
        <v>8.5427135678391899E-2</v>
      </c>
      <c r="E12828" s="2">
        <v>5.2571428571428498E-2</v>
      </c>
      <c r="F12828" s="2">
        <v>0.102370689655172</v>
      </c>
    </row>
    <row r="12829" spans="1:6" x14ac:dyDescent="0.25">
      <c r="A12829" s="1" t="str">
        <f t="shared" si="477"/>
        <v>23900</v>
      </c>
      <c r="B12829" s="1" t="str">
        <f>"17344"</f>
        <v>17344</v>
      </c>
      <c r="C12829" s="2">
        <v>3.77513336068937E-2</v>
      </c>
      <c r="D12829" s="2">
        <v>2.8218013142636202E-2</v>
      </c>
      <c r="E12829" s="2">
        <v>4.2285714285714197E-2</v>
      </c>
      <c r="F12829" s="2">
        <v>3.7314063556457E-2</v>
      </c>
    </row>
    <row r="12830" spans="1:6" x14ac:dyDescent="0.25">
      <c r="A12830" s="1" t="str">
        <f t="shared" si="477"/>
        <v>23900</v>
      </c>
      <c r="B12830" s="1" t="str">
        <f>"17372"</f>
        <v>17372</v>
      </c>
      <c r="C12830" s="2">
        <v>3.6862262344412498E-2</v>
      </c>
      <c r="D12830" s="2">
        <v>2.8218013142636202E-2</v>
      </c>
      <c r="E12830" s="2">
        <v>3.4285714285714202E-3</v>
      </c>
      <c r="F12830" s="2">
        <v>3.5771636240703099E-2</v>
      </c>
    </row>
    <row r="12831" spans="1:6" x14ac:dyDescent="0.25">
      <c r="A12831" s="1" t="str">
        <f t="shared" si="477"/>
        <v>23900</v>
      </c>
      <c r="B12831" s="1" t="str">
        <f>"17303"</f>
        <v>17303</v>
      </c>
      <c r="C12831" s="2">
        <v>5.6991747594948195E-4</v>
      </c>
      <c r="D12831" s="2">
        <v>0</v>
      </c>
      <c r="E12831" s="2">
        <v>1.1428571428571399E-3</v>
      </c>
      <c r="F12831" s="2">
        <v>5.4935767410412397E-4</v>
      </c>
    </row>
    <row r="12832" spans="1:6" x14ac:dyDescent="0.25">
      <c r="A12832" s="1" t="str">
        <f t="shared" si="477"/>
        <v>23900</v>
      </c>
      <c r="B12832" s="1" t="str">
        <f>"17343"</f>
        <v>17343</v>
      </c>
      <c r="C12832" s="2">
        <v>0</v>
      </c>
      <c r="D12832" s="2">
        <v>0</v>
      </c>
      <c r="E12832" s="2">
        <v>1.1428571428571399E-3</v>
      </c>
      <c r="F12832" s="2">
        <v>2.1129141311697001E-5</v>
      </c>
    </row>
    <row r="12833" spans="1:6" x14ac:dyDescent="0.25">
      <c r="A12833" s="1" t="str">
        <f t="shared" si="477"/>
        <v>23900</v>
      </c>
      <c r="B12833" s="1" t="str">
        <f>"17320"</f>
        <v>17320</v>
      </c>
      <c r="C12833" s="2">
        <v>7.7349199835863705E-2</v>
      </c>
      <c r="D12833" s="2">
        <v>2.8991109393119399E-2</v>
      </c>
      <c r="E12833" s="2">
        <v>2.5142857142857099E-2</v>
      </c>
      <c r="F12833" s="2">
        <v>7.3740703177822803E-2</v>
      </c>
    </row>
    <row r="12834" spans="1:6" x14ac:dyDescent="0.25">
      <c r="A12834" s="1" t="str">
        <f t="shared" si="477"/>
        <v>23900</v>
      </c>
      <c r="B12834" s="1" t="str">
        <f>"17353"</f>
        <v>17353</v>
      </c>
      <c r="C12834" s="2">
        <v>3.2257329138740701E-2</v>
      </c>
      <c r="D12834" s="2">
        <v>5.0251256281407001E-3</v>
      </c>
      <c r="E12834" s="2">
        <v>1.1428571428571399E-3</v>
      </c>
      <c r="F12834" s="2">
        <v>3.0193542934415101E-2</v>
      </c>
    </row>
    <row r="12835" spans="1:6" x14ac:dyDescent="0.25">
      <c r="A12835" s="1" t="str">
        <f t="shared" si="477"/>
        <v>23900</v>
      </c>
      <c r="B12835" s="1" t="str">
        <f>"17222"</f>
        <v>17222</v>
      </c>
      <c r="C12835" s="2">
        <v>6.45146582774814E-3</v>
      </c>
      <c r="D12835" s="2">
        <v>3.4789331271743301E-3</v>
      </c>
      <c r="E12835" s="2">
        <v>6.8571428571428499E-3</v>
      </c>
      <c r="F12835" s="2">
        <v>6.29648411088573E-3</v>
      </c>
    </row>
    <row r="12836" spans="1:6" x14ac:dyDescent="0.25">
      <c r="A12836" s="1" t="str">
        <f t="shared" si="477"/>
        <v>23900</v>
      </c>
      <c r="B12836" s="1" t="str">
        <f>"17301"</f>
        <v>17301</v>
      </c>
      <c r="C12836" s="2">
        <v>2.9590115351297099E-2</v>
      </c>
      <c r="D12836" s="2">
        <v>2.4739080015461899E-2</v>
      </c>
      <c r="E12836" s="2">
        <v>1.48571428571428E-2</v>
      </c>
      <c r="F12836" s="2">
        <v>2.9052569303583499E-2</v>
      </c>
    </row>
    <row r="12837" spans="1:6" x14ac:dyDescent="0.25">
      <c r="A12837" s="1" t="str">
        <f t="shared" si="477"/>
        <v>23900</v>
      </c>
      <c r="B12837" s="1" t="str">
        <f>"17307"</f>
        <v>17307</v>
      </c>
      <c r="C12837" s="2">
        <v>5.0357908174896202E-2</v>
      </c>
      <c r="D12837" s="2">
        <v>3.2856590645535297E-2</v>
      </c>
      <c r="E12837" s="2">
        <v>2.4E-2</v>
      </c>
      <c r="F12837" s="2">
        <v>4.8913962136578698E-2</v>
      </c>
    </row>
    <row r="12838" spans="1:6" x14ac:dyDescent="0.25">
      <c r="A12838" s="1" t="str">
        <f t="shared" si="477"/>
        <v>23900</v>
      </c>
      <c r="B12838" s="1" t="str">
        <f>"17310"</f>
        <v>17310</v>
      </c>
      <c r="C12838" s="2">
        <v>2.2796699037979299E-5</v>
      </c>
      <c r="D12838" s="2">
        <v>0</v>
      </c>
      <c r="E12838" s="2">
        <v>1.1428571428571399E-3</v>
      </c>
      <c r="F12838" s="2">
        <v>4.2258282623394103E-5</v>
      </c>
    </row>
    <row r="12839" spans="1:6" x14ac:dyDescent="0.25">
      <c r="A12839" s="1" t="str">
        <f t="shared" si="477"/>
        <v>23900</v>
      </c>
      <c r="B12839" s="1" t="str">
        <f>"17304"</f>
        <v>17304</v>
      </c>
      <c r="C12839" s="2">
        <v>2.8153923311904399E-2</v>
      </c>
      <c r="D12839" s="2">
        <v>1.27560881329725E-2</v>
      </c>
      <c r="E12839" s="2">
        <v>1.9428571428571399E-2</v>
      </c>
      <c r="F12839" s="2">
        <v>2.7150946585530699E-2</v>
      </c>
    </row>
    <row r="12840" spans="1:6" x14ac:dyDescent="0.25">
      <c r="A12840" s="1" t="str">
        <f t="shared" si="477"/>
        <v>23900</v>
      </c>
      <c r="B12840" s="1" t="str">
        <f>"17350"</f>
        <v>17350</v>
      </c>
      <c r="C12840" s="2">
        <v>0.13007796471070901</v>
      </c>
      <c r="D12840" s="2">
        <v>0.112872052570545</v>
      </c>
      <c r="E12840" s="2">
        <v>6.8571428571428505E-2</v>
      </c>
      <c r="F12840" s="2">
        <v>0.12800033806625999</v>
      </c>
    </row>
    <row r="12841" spans="1:6" x14ac:dyDescent="0.25">
      <c r="A12841" s="1" t="str">
        <f t="shared" si="477"/>
        <v>23900</v>
      </c>
      <c r="B12841" s="1" t="str">
        <f>"17340"</f>
        <v>17340</v>
      </c>
      <c r="C12841" s="2">
        <v>0.10785118314868</v>
      </c>
      <c r="D12841" s="2">
        <v>8.1175106300734406E-2</v>
      </c>
      <c r="E12841" s="2">
        <v>0.13142857142857101</v>
      </c>
      <c r="F12841" s="2">
        <v>0.10682893847194</v>
      </c>
    </row>
    <row r="12842" spans="1:6" x14ac:dyDescent="0.25">
      <c r="A12842" s="1" t="str">
        <f t="shared" si="477"/>
        <v>23900</v>
      </c>
      <c r="B12842" s="1" t="str">
        <f>"17325"</f>
        <v>17325</v>
      </c>
      <c r="C12842" s="2">
        <v>0.27609082204896701</v>
      </c>
      <c r="D12842" s="2">
        <v>0.52647854657904902</v>
      </c>
      <c r="E12842" s="2">
        <v>0.58285714285714196</v>
      </c>
      <c r="F12842" s="2">
        <v>0.29544878296145999</v>
      </c>
    </row>
    <row r="12843" spans="1:6" x14ac:dyDescent="0.25">
      <c r="A12843" s="1" t="str">
        <f t="shared" si="477"/>
        <v>23900</v>
      </c>
      <c r="B12843" s="1" t="str">
        <f>"17316"</f>
        <v>17316</v>
      </c>
      <c r="C12843" s="2">
        <v>6.4332284685177502E-2</v>
      </c>
      <c r="D12843" s="2">
        <v>1.9713954387321202E-2</v>
      </c>
      <c r="E12843" s="2">
        <v>1.48571428571428E-2</v>
      </c>
      <c r="F12843" s="2">
        <v>6.0978701825557799E-2</v>
      </c>
    </row>
    <row r="12844" spans="1:6" x14ac:dyDescent="0.25">
      <c r="A12844" s="1" t="str">
        <f t="shared" si="477"/>
        <v>23900</v>
      </c>
      <c r="B12844" s="1" t="str">
        <f>"17337"</f>
        <v>17337</v>
      </c>
      <c r="C12844" s="2">
        <v>0</v>
      </c>
      <c r="D12844" s="2">
        <v>0</v>
      </c>
      <c r="E12844" s="2">
        <v>1.1428571428571399E-3</v>
      </c>
      <c r="F12844" s="2">
        <v>2.1129141311697001E-5</v>
      </c>
    </row>
    <row r="12845" spans="1:6" x14ac:dyDescent="0.25">
      <c r="A12845" s="1" t="str">
        <f t="shared" si="477"/>
        <v>23900</v>
      </c>
      <c r="B12845" s="1" t="str">
        <f>"17375"</f>
        <v>17375</v>
      </c>
      <c r="C12845" s="2">
        <v>0</v>
      </c>
      <c r="D12845" s="2">
        <v>3.8654812524159201E-4</v>
      </c>
      <c r="E12845" s="2">
        <v>1.1428571428571399E-3</v>
      </c>
      <c r="F12845" s="2">
        <v>4.2258282623394103E-5</v>
      </c>
    </row>
    <row r="12846" spans="1:6" x14ac:dyDescent="0.25">
      <c r="A12846" s="1" t="str">
        <f t="shared" ref="A12846:A12863" si="478">"23940"</f>
        <v>23940</v>
      </c>
      <c r="B12846" s="1" t="str">
        <f>"82730"</f>
        <v>82730</v>
      </c>
      <c r="C12846" s="2">
        <v>4.6172350909866903E-3</v>
      </c>
      <c r="D12846" s="2">
        <v>8.39983200335993E-4</v>
      </c>
      <c r="E12846" s="2">
        <v>3.22407307898979E-3</v>
      </c>
      <c r="F12846" s="2">
        <v>4.2312177244710897E-3</v>
      </c>
    </row>
    <row r="12847" spans="1:6" x14ac:dyDescent="0.25">
      <c r="A12847" s="1" t="str">
        <f t="shared" si="478"/>
        <v>23940</v>
      </c>
      <c r="B12847" s="1" t="str">
        <f>"82712"</f>
        <v>82712</v>
      </c>
      <c r="C12847" s="2">
        <v>9.31207077173786E-4</v>
      </c>
      <c r="D12847" s="2">
        <v>8.39983200335993E-4</v>
      </c>
      <c r="E12847" s="2">
        <v>5.9108006448146096E-3</v>
      </c>
      <c r="F12847" s="2">
        <v>1.23271697484591E-3</v>
      </c>
    </row>
    <row r="12848" spans="1:6" x14ac:dyDescent="0.25">
      <c r="A12848" s="1" t="str">
        <f t="shared" si="478"/>
        <v>23940</v>
      </c>
      <c r="B12848" s="1" t="str">
        <f>"82720"</f>
        <v>82720</v>
      </c>
      <c r="C12848" s="2">
        <v>1.80033368253598E-2</v>
      </c>
      <c r="D12848" s="2">
        <v>1.25997480050398E-3</v>
      </c>
      <c r="E12848" s="2">
        <v>1.61203653949489E-3</v>
      </c>
      <c r="F12848" s="2">
        <v>1.5658837248042599E-2</v>
      </c>
    </row>
    <row r="12849" spans="1:6" x14ac:dyDescent="0.25">
      <c r="A12849" s="1" t="str">
        <f t="shared" si="478"/>
        <v>23940</v>
      </c>
      <c r="B12849" s="1" t="str">
        <f>"82725"</f>
        <v>82725</v>
      </c>
      <c r="C12849" s="2">
        <v>2.4056182826989402E-3</v>
      </c>
      <c r="D12849" s="2">
        <v>0</v>
      </c>
      <c r="E12849" s="2">
        <v>5.37345513164965E-4</v>
      </c>
      <c r="F12849" s="2">
        <v>2.0989505247376301E-3</v>
      </c>
    </row>
    <row r="12850" spans="1:6" x14ac:dyDescent="0.25">
      <c r="A12850" s="1" t="str">
        <f t="shared" si="478"/>
        <v>23940</v>
      </c>
      <c r="B12850" s="1" t="str">
        <f>"82727"</f>
        <v>82727</v>
      </c>
      <c r="C12850" s="2">
        <v>2.44053854809296E-2</v>
      </c>
      <c r="D12850" s="2">
        <v>4.1999160016799597E-3</v>
      </c>
      <c r="E12850" s="2">
        <v>3.65394948952176E-2</v>
      </c>
      <c r="F12850" s="2">
        <v>2.3554889222055599E-2</v>
      </c>
    </row>
    <row r="12851" spans="1:6" x14ac:dyDescent="0.25">
      <c r="A12851" s="1" t="str">
        <f t="shared" si="478"/>
        <v>23940</v>
      </c>
      <c r="B12851" s="1" t="str">
        <f>"82718"</f>
        <v>82718</v>
      </c>
      <c r="C12851" s="2">
        <v>0.418344779420323</v>
      </c>
      <c r="D12851" s="2">
        <v>0.37715245695086003</v>
      </c>
      <c r="E12851" s="2">
        <v>0.40838259000537303</v>
      </c>
      <c r="F12851" s="2">
        <v>0.41445943694819198</v>
      </c>
    </row>
    <row r="12852" spans="1:6" x14ac:dyDescent="0.25">
      <c r="A12852" s="1" t="str">
        <f t="shared" si="478"/>
        <v>23940</v>
      </c>
      <c r="B12852" s="1" t="str">
        <f>"82714"</f>
        <v>82714</v>
      </c>
      <c r="C12852" s="2">
        <v>2.3280176929344602E-3</v>
      </c>
      <c r="D12852" s="2">
        <v>0</v>
      </c>
      <c r="E12852" s="2">
        <v>2.68672756582482E-3</v>
      </c>
      <c r="F12852" s="2">
        <v>2.1655838747292998E-3</v>
      </c>
    </row>
    <row r="12853" spans="1:6" x14ac:dyDescent="0.25">
      <c r="A12853" s="1" t="str">
        <f t="shared" si="478"/>
        <v>23940</v>
      </c>
      <c r="B12853" s="1" t="str">
        <f>"82831"</f>
        <v>82831</v>
      </c>
      <c r="C12853" s="2">
        <v>1.1252085515849901E-3</v>
      </c>
      <c r="D12853" s="2">
        <v>0</v>
      </c>
      <c r="E12853" s="2">
        <v>6.44814615797958E-3</v>
      </c>
      <c r="F12853" s="2">
        <v>1.3659836748292501E-3</v>
      </c>
    </row>
    <row r="12854" spans="1:6" x14ac:dyDescent="0.25">
      <c r="A12854" s="1" t="str">
        <f t="shared" si="478"/>
        <v>23940</v>
      </c>
      <c r="B12854" s="1" t="str">
        <f>"82715"</f>
        <v>82715</v>
      </c>
      <c r="C12854" s="2">
        <v>1.1640088464672301E-4</v>
      </c>
      <c r="D12854" s="2">
        <v>4.1999160016799601E-4</v>
      </c>
      <c r="E12854" s="2">
        <v>5.37345513164965E-4</v>
      </c>
      <c r="F12854" s="2">
        <v>1.6658337497917701E-4</v>
      </c>
    </row>
    <row r="12855" spans="1:6" x14ac:dyDescent="0.25">
      <c r="A12855" s="1" t="str">
        <f t="shared" si="478"/>
        <v>23940</v>
      </c>
      <c r="B12855" s="1" t="str">
        <f>"82701"</f>
        <v>82701</v>
      </c>
      <c r="C12855" s="2">
        <v>0.128428976060218</v>
      </c>
      <c r="D12855" s="2">
        <v>0.16715665686686201</v>
      </c>
      <c r="E12855" s="2">
        <v>8.1139172487909694E-2</v>
      </c>
      <c r="F12855" s="2">
        <v>0.128569048808928</v>
      </c>
    </row>
    <row r="12856" spans="1:6" x14ac:dyDescent="0.25">
      <c r="A12856" s="1" t="str">
        <f t="shared" si="478"/>
        <v>23940</v>
      </c>
      <c r="B12856" s="1" t="str">
        <f>"82716"</f>
        <v>82716</v>
      </c>
      <c r="C12856" s="2">
        <v>0.33081131416598702</v>
      </c>
      <c r="D12856" s="2">
        <v>0.433011339773204</v>
      </c>
      <c r="E12856" s="2">
        <v>0.41805480924234201</v>
      </c>
      <c r="F12856" s="2">
        <v>0.34432783608195899</v>
      </c>
    </row>
    <row r="12857" spans="1:6" x14ac:dyDescent="0.25">
      <c r="A12857" s="1" t="str">
        <f t="shared" si="478"/>
        <v>23940</v>
      </c>
      <c r="B12857" s="1" t="str">
        <f>"82732"</f>
        <v>82732</v>
      </c>
      <c r="C12857" s="2">
        <v>0</v>
      </c>
      <c r="D12857" s="2">
        <v>0</v>
      </c>
      <c r="E12857" s="2">
        <v>1.07469102632993E-3</v>
      </c>
      <c r="F12857" s="2">
        <v>6.6633349991670801E-5</v>
      </c>
    </row>
    <row r="12858" spans="1:6" x14ac:dyDescent="0.25">
      <c r="A12858" s="1" t="str">
        <f t="shared" si="478"/>
        <v>23940</v>
      </c>
      <c r="B12858" s="1" t="str">
        <f>"82723"</f>
        <v>82723</v>
      </c>
      <c r="C12858" s="2">
        <v>1.1640088464672301E-3</v>
      </c>
      <c r="D12858" s="2">
        <v>1.25997480050398E-3</v>
      </c>
      <c r="E12858" s="2">
        <v>3.76141859215475E-3</v>
      </c>
      <c r="F12858" s="2">
        <v>1.33266699983341E-3</v>
      </c>
    </row>
    <row r="12859" spans="1:6" x14ac:dyDescent="0.25">
      <c r="A12859" s="1" t="str">
        <f t="shared" si="478"/>
        <v>23940</v>
      </c>
      <c r="B12859" s="1" t="str">
        <f>"82711"</f>
        <v>82711</v>
      </c>
      <c r="C12859" s="2">
        <v>2.7548209366391099E-3</v>
      </c>
      <c r="D12859" s="2">
        <v>4.1999160016799601E-4</v>
      </c>
      <c r="E12859" s="2">
        <v>3.22407307898979E-3</v>
      </c>
      <c r="F12859" s="2">
        <v>2.5987006496751598E-3</v>
      </c>
    </row>
    <row r="12860" spans="1:6" x14ac:dyDescent="0.25">
      <c r="A12860" s="1" t="str">
        <f t="shared" si="478"/>
        <v>23940</v>
      </c>
      <c r="B12860" s="1" t="str">
        <f>"82729"</f>
        <v>82729</v>
      </c>
      <c r="C12860" s="2">
        <v>1.23772940674349E-2</v>
      </c>
      <c r="D12860" s="2">
        <v>1.6799664006719799E-3</v>
      </c>
      <c r="E12860" s="2">
        <v>2.14938205265986E-3</v>
      </c>
      <c r="F12860" s="2">
        <v>1.0894552723638099E-2</v>
      </c>
    </row>
    <row r="12861" spans="1:6" x14ac:dyDescent="0.25">
      <c r="A12861" s="1" t="str">
        <f t="shared" si="478"/>
        <v>23940</v>
      </c>
      <c r="B12861" s="1" t="str">
        <f>"82721"</f>
        <v>82721</v>
      </c>
      <c r="C12861" s="2">
        <v>4.2835525549994098E-2</v>
      </c>
      <c r="D12861" s="2">
        <v>9.2398152036959197E-3</v>
      </c>
      <c r="E12861" s="2">
        <v>1.5583019881783899E-2</v>
      </c>
      <c r="F12861" s="2">
        <v>3.8480759620189903E-2</v>
      </c>
    </row>
    <row r="12862" spans="1:6" x14ac:dyDescent="0.25">
      <c r="A12862" s="1" t="str">
        <f t="shared" si="478"/>
        <v>23940</v>
      </c>
      <c r="B12862" s="1" t="str">
        <f>"82731"</f>
        <v>82731</v>
      </c>
      <c r="C12862" s="2">
        <v>2.0176153338765301E-3</v>
      </c>
      <c r="D12862" s="2">
        <v>4.1999160016799601E-4</v>
      </c>
      <c r="E12862" s="2">
        <v>4.29876410531972E-3</v>
      </c>
      <c r="F12862" s="2">
        <v>2.03231717474596E-3</v>
      </c>
    </row>
    <row r="12863" spans="1:6" x14ac:dyDescent="0.25">
      <c r="A12863" s="1" t="str">
        <f t="shared" si="478"/>
        <v>23940</v>
      </c>
      <c r="B12863" s="1" t="str">
        <f>"82710"</f>
        <v>82710</v>
      </c>
      <c r="C12863" s="2">
        <v>7.3332557327435597E-3</v>
      </c>
      <c r="D12863" s="2">
        <v>2.0999580008399799E-3</v>
      </c>
      <c r="E12863" s="2">
        <v>4.83610961848468E-3</v>
      </c>
      <c r="F12863" s="2">
        <v>6.7632850241545802E-3</v>
      </c>
    </row>
    <row r="12864" spans="1:6" x14ac:dyDescent="0.25">
      <c r="A12864" s="1" t="str">
        <f t="shared" ref="A12864:A12883" si="479">"23980"</f>
        <v>23980</v>
      </c>
      <c r="B12864" s="1" t="str">
        <f>"42156"</f>
        <v>42156</v>
      </c>
      <c r="C12864" s="2">
        <v>8.5331319614876302E-3</v>
      </c>
      <c r="D12864" s="2">
        <v>7.3684210526315701E-3</v>
      </c>
      <c r="E12864" s="2">
        <v>4.5300113250283103E-3</v>
      </c>
      <c r="F12864" s="2">
        <v>8.3367500341669995E-3</v>
      </c>
    </row>
    <row r="12865" spans="1:6" x14ac:dyDescent="0.25">
      <c r="A12865" s="1" t="str">
        <f t="shared" si="479"/>
        <v>23980</v>
      </c>
      <c r="B12865" s="1" t="str">
        <f>"42124"</f>
        <v>42124</v>
      </c>
      <c r="C12865" s="2">
        <v>2.3031904851802901E-3</v>
      </c>
      <c r="D12865" s="2">
        <v>0</v>
      </c>
      <c r="E12865" s="2">
        <v>1.13250283125707E-3</v>
      </c>
      <c r="F12865" s="2">
        <v>2.1183545168784999E-3</v>
      </c>
    </row>
    <row r="12866" spans="1:6" x14ac:dyDescent="0.25">
      <c r="A12866" s="1" t="str">
        <f t="shared" si="479"/>
        <v>23980</v>
      </c>
      <c r="B12866" s="1" t="str">
        <f>"42141"</f>
        <v>42141</v>
      </c>
      <c r="C12866" s="2">
        <v>0.57160656975646496</v>
      </c>
      <c r="D12866" s="2">
        <v>0.75263157894736799</v>
      </c>
      <c r="E12866" s="2">
        <v>0.62400906002265</v>
      </c>
      <c r="F12866" s="2">
        <v>0.58493918272515999</v>
      </c>
    </row>
    <row r="12867" spans="1:6" x14ac:dyDescent="0.25">
      <c r="A12867" s="1" t="str">
        <f t="shared" si="479"/>
        <v>23980</v>
      </c>
      <c r="B12867" s="1" t="str">
        <f>"42154"</f>
        <v>42154</v>
      </c>
      <c r="C12867" s="2">
        <v>1.40834434585614E-2</v>
      </c>
      <c r="D12867" s="2">
        <v>2.6315789473684201E-3</v>
      </c>
      <c r="E12867" s="2">
        <v>6.7950169875424602E-3</v>
      </c>
      <c r="F12867" s="2">
        <v>1.3120131201312E-2</v>
      </c>
    </row>
    <row r="12868" spans="1:6" x14ac:dyDescent="0.25">
      <c r="A12868" s="1" t="str">
        <f t="shared" si="479"/>
        <v>23980</v>
      </c>
      <c r="B12868" s="1" t="str">
        <f>"42171"</f>
        <v>42171</v>
      </c>
      <c r="C12868" s="2">
        <v>2.9639418538795499E-2</v>
      </c>
      <c r="D12868" s="2">
        <v>3.6842105263157798E-3</v>
      </c>
      <c r="E12868" s="2">
        <v>2.03850509626274E-2</v>
      </c>
      <c r="F12868" s="2">
        <v>2.76752767527675E-2</v>
      </c>
    </row>
    <row r="12869" spans="1:6" x14ac:dyDescent="0.25">
      <c r="A12869" s="1" t="str">
        <f t="shared" si="479"/>
        <v>23980</v>
      </c>
      <c r="B12869" s="1" t="str">
        <f>"42157"</f>
        <v>42157</v>
      </c>
      <c r="C12869" s="2">
        <v>3.7757221068529298E-5</v>
      </c>
      <c r="D12869" s="2">
        <v>0</v>
      </c>
      <c r="E12869" s="2">
        <v>0</v>
      </c>
      <c r="F12869" s="2">
        <v>3.4167008336749998E-5</v>
      </c>
    </row>
    <row r="12870" spans="1:6" x14ac:dyDescent="0.25">
      <c r="A12870" s="1" t="str">
        <f t="shared" si="479"/>
        <v>23980</v>
      </c>
      <c r="B12870" s="1" t="str">
        <f>"42123"</f>
        <v>42123</v>
      </c>
      <c r="C12870" s="2">
        <v>1.7141778365112301E-2</v>
      </c>
      <c r="D12870" s="2">
        <v>4.2105263157894701E-3</v>
      </c>
      <c r="E12870" s="2">
        <v>2.2650056625141499E-3</v>
      </c>
      <c r="F12870" s="2">
        <v>1.5853491868251999E-2</v>
      </c>
    </row>
    <row r="12871" spans="1:6" x14ac:dyDescent="0.25">
      <c r="A12871" s="1" t="str">
        <f t="shared" si="479"/>
        <v>23980</v>
      </c>
      <c r="B12871" s="1" t="str">
        <f>"42160"</f>
        <v>42160</v>
      </c>
      <c r="C12871" s="2">
        <v>2.9488389654521399E-2</v>
      </c>
      <c r="D12871" s="2">
        <v>1.26315789473684E-2</v>
      </c>
      <c r="E12871" s="2">
        <v>9.0600226500566206E-3</v>
      </c>
      <c r="F12871" s="2">
        <v>2.77777777777777E-2</v>
      </c>
    </row>
    <row r="12872" spans="1:6" x14ac:dyDescent="0.25">
      <c r="A12872" s="1" t="str">
        <f t="shared" si="479"/>
        <v>23980</v>
      </c>
      <c r="B12872" s="1" t="str">
        <f>"42127"</f>
        <v>42127</v>
      </c>
      <c r="C12872" s="2">
        <v>0.11251651878421701</v>
      </c>
      <c r="D12872" s="2">
        <v>0.10210526315789401</v>
      </c>
      <c r="E12872" s="2">
        <v>0.175537938844847</v>
      </c>
      <c r="F12872" s="2">
        <v>0.11374197075304</v>
      </c>
    </row>
    <row r="12873" spans="1:6" x14ac:dyDescent="0.25">
      <c r="A12873" s="1" t="str">
        <f t="shared" si="479"/>
        <v>23980</v>
      </c>
      <c r="B12873" s="1" t="str">
        <f>"42129"</f>
        <v>42129</v>
      </c>
      <c r="C12873" s="2">
        <v>0.12920521049650699</v>
      </c>
      <c r="D12873" s="2">
        <v>8.1052631578947307E-2</v>
      </c>
      <c r="E12873" s="2">
        <v>9.62627406568516E-2</v>
      </c>
      <c r="F12873" s="2">
        <v>0.12508541752084101</v>
      </c>
    </row>
    <row r="12874" spans="1:6" x14ac:dyDescent="0.25">
      <c r="A12874" s="1" t="str">
        <f t="shared" si="479"/>
        <v>23980</v>
      </c>
      <c r="B12874" s="1" t="str">
        <f>"42166"</f>
        <v>42166</v>
      </c>
      <c r="C12874" s="2">
        <v>4.4440249197659001E-2</v>
      </c>
      <c r="D12874" s="2">
        <v>1.7894736842105199E-2</v>
      </c>
      <c r="E12874" s="2">
        <v>5.6625141562853896E-3</v>
      </c>
      <c r="F12874" s="2">
        <v>4.1547082137487999E-2</v>
      </c>
    </row>
    <row r="12875" spans="1:6" x14ac:dyDescent="0.25">
      <c r="A12875" s="1" t="str">
        <f t="shared" si="479"/>
        <v>23980</v>
      </c>
      <c r="B12875" s="1" t="str">
        <f>"42749"</f>
        <v>42749</v>
      </c>
      <c r="C12875" s="2">
        <v>7.5892014347743999E-3</v>
      </c>
      <c r="D12875" s="2">
        <v>1.57894736842105E-3</v>
      </c>
      <c r="E12875" s="2">
        <v>3.8505096262740603E-2</v>
      </c>
      <c r="F12875" s="2">
        <v>8.1317479841465003E-3</v>
      </c>
    </row>
    <row r="12876" spans="1:6" x14ac:dyDescent="0.25">
      <c r="A12876" s="1" t="str">
        <f t="shared" si="479"/>
        <v>23980</v>
      </c>
      <c r="B12876" s="1" t="str">
        <f>"42717"</f>
        <v>42717</v>
      </c>
      <c r="C12876" s="2">
        <v>9.8168774778176291E-4</v>
      </c>
      <c r="D12876" s="2">
        <v>0</v>
      </c>
      <c r="E12876" s="2">
        <v>1.13250283125707E-3</v>
      </c>
      <c r="F12876" s="2">
        <v>9.2250922509225003E-4</v>
      </c>
    </row>
    <row r="12877" spans="1:6" x14ac:dyDescent="0.25">
      <c r="A12877" s="1" t="str">
        <f t="shared" si="479"/>
        <v>23980</v>
      </c>
      <c r="B12877" s="1" t="str">
        <f>"42152"</f>
        <v>42152</v>
      </c>
      <c r="C12877" s="2">
        <v>0</v>
      </c>
      <c r="D12877" s="2">
        <v>0</v>
      </c>
      <c r="E12877" s="2">
        <v>1.13250283125707E-3</v>
      </c>
      <c r="F12877" s="2">
        <v>3.4167008336749998E-5</v>
      </c>
    </row>
    <row r="12878" spans="1:6" x14ac:dyDescent="0.25">
      <c r="A12878" s="1" t="str">
        <f t="shared" si="479"/>
        <v>23980</v>
      </c>
      <c r="B12878" s="1" t="str">
        <f>"42130"</f>
        <v>42130</v>
      </c>
      <c r="C12878" s="2">
        <v>3.4736643383046998E-3</v>
      </c>
      <c r="D12878" s="2">
        <v>1.57894736842105E-3</v>
      </c>
      <c r="E12878" s="2">
        <v>2.2650056625141499E-3</v>
      </c>
      <c r="F12878" s="2">
        <v>3.3141998086647501E-3</v>
      </c>
    </row>
    <row r="12879" spans="1:6" x14ac:dyDescent="0.25">
      <c r="A12879" s="1" t="str">
        <f t="shared" si="479"/>
        <v>23980</v>
      </c>
      <c r="B12879" s="1" t="str">
        <f>"42715"</f>
        <v>42715</v>
      </c>
      <c r="C12879" s="2">
        <v>1.8123466112894E-3</v>
      </c>
      <c r="D12879" s="2">
        <v>1.57894736842105E-3</v>
      </c>
      <c r="E12879" s="2">
        <v>4.5300113250283103E-3</v>
      </c>
      <c r="F12879" s="2">
        <v>1.8791854585212501E-3</v>
      </c>
    </row>
    <row r="12880" spans="1:6" x14ac:dyDescent="0.25">
      <c r="A12880" s="1" t="str">
        <f t="shared" si="479"/>
        <v>23980</v>
      </c>
      <c r="B12880" s="1" t="str">
        <f>"42746"</f>
        <v>42746</v>
      </c>
      <c r="C12880" s="2">
        <v>3.4359071172361702E-3</v>
      </c>
      <c r="D12880" s="2">
        <v>2.6315789473684201E-3</v>
      </c>
      <c r="E12880" s="2">
        <v>3.3975084937712301E-3</v>
      </c>
      <c r="F12880" s="2">
        <v>3.3825338253382501E-3</v>
      </c>
    </row>
    <row r="12881" spans="1:6" x14ac:dyDescent="0.25">
      <c r="A12881" s="1" t="str">
        <f t="shared" si="479"/>
        <v>23980</v>
      </c>
      <c r="B12881" s="1" t="str">
        <f>"42133"</f>
        <v>42133</v>
      </c>
      <c r="C12881" s="2">
        <v>1.0383235793845501E-2</v>
      </c>
      <c r="D12881" s="2">
        <v>3.6842105263157798E-3</v>
      </c>
      <c r="E12881" s="2">
        <v>0</v>
      </c>
      <c r="F12881" s="2">
        <v>9.6350963509635006E-3</v>
      </c>
    </row>
    <row r="12882" spans="1:6" x14ac:dyDescent="0.25">
      <c r="A12882" s="1" t="str">
        <f t="shared" si="479"/>
        <v>23980</v>
      </c>
      <c r="B12882" s="1" t="str">
        <f>"42214"</f>
        <v>42214</v>
      </c>
      <c r="C12882" s="2">
        <v>1.0798565225599299E-2</v>
      </c>
      <c r="D12882" s="2">
        <v>3.1578947368421E-3</v>
      </c>
      <c r="E12882" s="2">
        <v>3.3975084937712301E-3</v>
      </c>
      <c r="F12882" s="2">
        <v>1.00792674593412E-2</v>
      </c>
    </row>
    <row r="12883" spans="1:6" x14ac:dyDescent="0.25">
      <c r="A12883" s="1" t="str">
        <f t="shared" si="479"/>
        <v>23980</v>
      </c>
      <c r="B12883" s="1" t="str">
        <f>"42131"</f>
        <v>42131</v>
      </c>
      <c r="C12883" s="2">
        <v>2.52973381159146E-3</v>
      </c>
      <c r="D12883" s="2">
        <v>1.57894736842105E-3</v>
      </c>
      <c r="E12883" s="2">
        <v>0</v>
      </c>
      <c r="F12883" s="2">
        <v>2.3916905835724999E-3</v>
      </c>
    </row>
    <row r="12884" spans="1:6" x14ac:dyDescent="0.25">
      <c r="A12884" s="1" t="str">
        <f t="shared" ref="A12884:A12915" si="480">"24020"</f>
        <v>24020</v>
      </c>
      <c r="B12884" s="1" t="str">
        <f>"12841"</f>
        <v>12841</v>
      </c>
      <c r="C12884" s="2">
        <v>3.5542379905007799E-3</v>
      </c>
      <c r="D12884" s="2">
        <v>0</v>
      </c>
      <c r="E12884" s="2">
        <v>3.43760742523203E-4</v>
      </c>
      <c r="F12884" s="2">
        <v>3.1782516778047299E-3</v>
      </c>
    </row>
    <row r="12885" spans="1:6" x14ac:dyDescent="0.25">
      <c r="A12885" s="1" t="str">
        <f t="shared" si="480"/>
        <v>24020</v>
      </c>
      <c r="B12885" s="1" t="str">
        <f>"12883"</f>
        <v>12883</v>
      </c>
      <c r="C12885" s="2">
        <v>9.5629721717509805E-4</v>
      </c>
      <c r="D12885" s="2">
        <v>0</v>
      </c>
      <c r="E12885" s="2">
        <v>0</v>
      </c>
      <c r="F12885" s="2">
        <v>8.5131741369769696E-4</v>
      </c>
    </row>
    <row r="12886" spans="1:6" x14ac:dyDescent="0.25">
      <c r="A12886" s="1" t="str">
        <f t="shared" si="480"/>
        <v>24020</v>
      </c>
      <c r="B12886" s="1" t="str">
        <f>"12811"</f>
        <v>12811</v>
      </c>
      <c r="C12886" s="2">
        <v>1.43444582576264E-3</v>
      </c>
      <c r="D12886" s="2">
        <v>0</v>
      </c>
      <c r="E12886" s="2">
        <v>3.43760742523203E-4</v>
      </c>
      <c r="F12886" s="2">
        <v>1.2911647441081701E-3</v>
      </c>
    </row>
    <row r="12887" spans="1:6" x14ac:dyDescent="0.25">
      <c r="A12887" s="1" t="str">
        <f t="shared" si="480"/>
        <v>24020</v>
      </c>
      <c r="B12887" s="1" t="str">
        <f>"12094"</f>
        <v>12094</v>
      </c>
      <c r="C12887" s="2">
        <v>9.7223550412801603E-4</v>
      </c>
      <c r="D12887" s="2">
        <v>0</v>
      </c>
      <c r="E12887" s="2">
        <v>0</v>
      </c>
      <c r="F12887" s="2">
        <v>8.6550603725932501E-4</v>
      </c>
    </row>
    <row r="12888" spans="1:6" x14ac:dyDescent="0.25">
      <c r="A12888" s="1" t="str">
        <f t="shared" si="480"/>
        <v>24020</v>
      </c>
      <c r="B12888" s="1" t="str">
        <f>"12853"</f>
        <v>12853</v>
      </c>
      <c r="C12888" s="2">
        <v>1.12205540148544E-2</v>
      </c>
      <c r="D12888" s="2">
        <v>4.9710024855012403E-3</v>
      </c>
      <c r="E12888" s="2">
        <v>7.9064970780336804E-3</v>
      </c>
      <c r="F12888" s="2">
        <v>1.06556562947828E-2</v>
      </c>
    </row>
    <row r="12889" spans="1:6" x14ac:dyDescent="0.25">
      <c r="A12889" s="1" t="str">
        <f t="shared" si="480"/>
        <v>24020</v>
      </c>
      <c r="B12889" s="1" t="str">
        <f>"12845"</f>
        <v>12845</v>
      </c>
      <c r="C12889" s="2">
        <v>5.0508431353797997E-2</v>
      </c>
      <c r="D12889" s="2">
        <v>0.102112676056338</v>
      </c>
      <c r="E12889" s="2">
        <v>4.74389824682021E-2</v>
      </c>
      <c r="F12889" s="2">
        <v>5.3916769534187399E-2</v>
      </c>
    </row>
    <row r="12890" spans="1:6" x14ac:dyDescent="0.25">
      <c r="A12890" s="1" t="str">
        <f t="shared" si="480"/>
        <v>24020</v>
      </c>
      <c r="B12890" s="1" t="str">
        <f>"12814"</f>
        <v>12814</v>
      </c>
      <c r="C12890" s="2">
        <v>1.02483185107264E-2</v>
      </c>
      <c r="D12890" s="2">
        <v>1.44987572493786E-3</v>
      </c>
      <c r="E12890" s="2">
        <v>4.1251289102784399E-3</v>
      </c>
      <c r="F12890" s="2">
        <v>9.3928687977979201E-3</v>
      </c>
    </row>
    <row r="12891" spans="1:6" x14ac:dyDescent="0.25">
      <c r="A12891" s="1" t="str">
        <f t="shared" si="480"/>
        <v>24020</v>
      </c>
      <c r="B12891" s="1" t="str">
        <f>"12057"</f>
        <v>12057</v>
      </c>
      <c r="C12891" s="2">
        <v>9.3876510152688698E-3</v>
      </c>
      <c r="D12891" s="2">
        <v>3.5211267605633799E-3</v>
      </c>
      <c r="E12891" s="2">
        <v>1.37504297009281E-3</v>
      </c>
      <c r="F12891" s="2">
        <v>8.6550603725932505E-3</v>
      </c>
    </row>
    <row r="12892" spans="1:6" x14ac:dyDescent="0.25">
      <c r="A12892" s="1" t="str">
        <f t="shared" si="480"/>
        <v>24020</v>
      </c>
      <c r="B12892" s="1" t="str">
        <f>"12849"</f>
        <v>12849</v>
      </c>
      <c r="C12892" s="2">
        <v>2.0401007299735399E-3</v>
      </c>
      <c r="D12892" s="2">
        <v>1.65700082850041E-3</v>
      </c>
      <c r="E12892" s="2">
        <v>1.03128222756961E-3</v>
      </c>
      <c r="F12892" s="2">
        <v>1.9722186750663301E-3</v>
      </c>
    </row>
    <row r="12893" spans="1:6" x14ac:dyDescent="0.25">
      <c r="A12893" s="1" t="str">
        <f t="shared" si="480"/>
        <v>24020</v>
      </c>
      <c r="B12893" s="1" t="str">
        <f>"12886"</f>
        <v>12886</v>
      </c>
      <c r="C12893" s="2">
        <v>5.8971661725797705E-4</v>
      </c>
      <c r="D12893" s="2">
        <v>4.14250207125103E-4</v>
      </c>
      <c r="E12893" s="2">
        <v>3.43760742523203E-4</v>
      </c>
      <c r="F12893" s="2">
        <v>5.6754494246513102E-4</v>
      </c>
    </row>
    <row r="12894" spans="1:6" x14ac:dyDescent="0.25">
      <c r="A12894" s="1" t="str">
        <f t="shared" si="480"/>
        <v>24020</v>
      </c>
      <c r="B12894" s="1" t="str">
        <f>"12857"</f>
        <v>12857</v>
      </c>
      <c r="C12894" s="2">
        <v>4.7814860858754903E-4</v>
      </c>
      <c r="D12894" s="2">
        <v>0</v>
      </c>
      <c r="E12894" s="2">
        <v>0</v>
      </c>
      <c r="F12894" s="2">
        <v>4.2565870684884799E-4</v>
      </c>
    </row>
    <row r="12895" spans="1:6" x14ac:dyDescent="0.25">
      <c r="A12895" s="1" t="str">
        <f t="shared" si="480"/>
        <v>24020</v>
      </c>
      <c r="B12895" s="1" t="str">
        <f>"12823"</f>
        <v>12823</v>
      </c>
      <c r="C12895" s="2">
        <v>1.02005036498677E-3</v>
      </c>
      <c r="D12895" s="2">
        <v>2.0712510356255101E-4</v>
      </c>
      <c r="E12895" s="2">
        <v>3.43760742523203E-4</v>
      </c>
      <c r="F12895" s="2">
        <v>9.3644915506746603E-4</v>
      </c>
    </row>
    <row r="12896" spans="1:6" x14ac:dyDescent="0.25">
      <c r="A12896" s="1" t="str">
        <f t="shared" si="480"/>
        <v>24020</v>
      </c>
      <c r="B12896" s="1" t="str">
        <f>"12821"</f>
        <v>12821</v>
      </c>
      <c r="C12896" s="2">
        <v>1.8329029995856E-3</v>
      </c>
      <c r="D12896" s="2">
        <v>0</v>
      </c>
      <c r="E12896" s="2">
        <v>1.03128222756961E-3</v>
      </c>
      <c r="F12896" s="2">
        <v>1.67425758027213E-3</v>
      </c>
    </row>
    <row r="12897" spans="1:6" x14ac:dyDescent="0.25">
      <c r="A12897" s="1" t="str">
        <f t="shared" si="480"/>
        <v>24020</v>
      </c>
      <c r="B12897" s="1" t="str">
        <f>"12860"</f>
        <v>12860</v>
      </c>
      <c r="C12897" s="2">
        <v>3.2992253992540801E-3</v>
      </c>
      <c r="D12897" s="2">
        <v>2.07125103562551E-3</v>
      </c>
      <c r="E12897" s="2">
        <v>3.43760742523203E-4</v>
      </c>
      <c r="F12897" s="2">
        <v>3.09311993643496E-3</v>
      </c>
    </row>
    <row r="12898" spans="1:6" x14ac:dyDescent="0.25">
      <c r="A12898" s="1" t="str">
        <f t="shared" si="480"/>
        <v>24020</v>
      </c>
      <c r="B12898" s="1" t="str">
        <f>"12878"</f>
        <v>12878</v>
      </c>
      <c r="C12898" s="2">
        <v>5.1799432596984401E-3</v>
      </c>
      <c r="D12898" s="2">
        <v>1.44987572493786E-3</v>
      </c>
      <c r="E12898" s="2">
        <v>2.06256445513922E-3</v>
      </c>
      <c r="F12898" s="2">
        <v>4.7957547638303602E-3</v>
      </c>
    </row>
    <row r="12899" spans="1:6" x14ac:dyDescent="0.25">
      <c r="A12899" s="1" t="str">
        <f t="shared" si="480"/>
        <v>24020</v>
      </c>
      <c r="B12899" s="1" t="str">
        <f>"12808"</f>
        <v>12808</v>
      </c>
      <c r="C12899" s="2">
        <v>3.5701762774536898E-3</v>
      </c>
      <c r="D12899" s="2">
        <v>1.03562551781275E-3</v>
      </c>
      <c r="E12899" s="2">
        <v>3.43760742523203E-4</v>
      </c>
      <c r="F12899" s="2">
        <v>3.2633834191745001E-3</v>
      </c>
    </row>
    <row r="12900" spans="1:6" x14ac:dyDescent="0.25">
      <c r="A12900" s="1" t="str">
        <f t="shared" si="480"/>
        <v>24020</v>
      </c>
      <c r="B12900" s="1" t="str">
        <f>"12810"</f>
        <v>12810</v>
      </c>
      <c r="C12900" s="2">
        <v>4.7336712250167301E-3</v>
      </c>
      <c r="D12900" s="2">
        <v>4.14250207125103E-4</v>
      </c>
      <c r="E12900" s="2">
        <v>1.03128222756961E-3</v>
      </c>
      <c r="F12900" s="2">
        <v>4.2849643156117403E-3</v>
      </c>
    </row>
    <row r="12901" spans="1:6" x14ac:dyDescent="0.25">
      <c r="A12901" s="1" t="str">
        <f t="shared" si="480"/>
        <v>24020</v>
      </c>
      <c r="B12901" s="1" t="str">
        <f>"12803"</f>
        <v>12803</v>
      </c>
      <c r="C12901" s="2">
        <v>7.4272417200599199E-3</v>
      </c>
      <c r="D12901" s="2">
        <v>1.15990057995028E-2</v>
      </c>
      <c r="E12901" s="2">
        <v>3.43760742523203E-4</v>
      </c>
      <c r="F12901" s="2">
        <v>7.4206501227315896E-3</v>
      </c>
    </row>
    <row r="12902" spans="1:6" x14ac:dyDescent="0.25">
      <c r="A12902" s="1" t="str">
        <f t="shared" si="480"/>
        <v>24020</v>
      </c>
      <c r="B12902" s="1" t="str">
        <f>"12820"</f>
        <v>12820</v>
      </c>
      <c r="C12902" s="2">
        <v>0</v>
      </c>
      <c r="D12902" s="2">
        <v>0</v>
      </c>
      <c r="E12902" s="2">
        <v>3.43760742523203E-4</v>
      </c>
      <c r="F12902" s="2">
        <v>1.4188623561628201E-5</v>
      </c>
    </row>
    <row r="12903" spans="1:6" x14ac:dyDescent="0.25">
      <c r="A12903" s="1" t="str">
        <f t="shared" si="480"/>
        <v>24020</v>
      </c>
      <c r="B12903" s="1" t="str">
        <f>"12854"</f>
        <v>12854</v>
      </c>
      <c r="C12903" s="2">
        <v>4.6221032163463002E-4</v>
      </c>
      <c r="D12903" s="2">
        <v>0</v>
      </c>
      <c r="E12903" s="2">
        <v>3.43760742523203E-4</v>
      </c>
      <c r="F12903" s="2">
        <v>4.2565870684884799E-4</v>
      </c>
    </row>
    <row r="12904" spans="1:6" x14ac:dyDescent="0.25">
      <c r="A12904" s="1" t="str">
        <f t="shared" si="480"/>
        <v>24020</v>
      </c>
      <c r="B12904" s="1" t="str">
        <f>"12874"</f>
        <v>12874</v>
      </c>
      <c r="C12904" s="2">
        <v>2.0082241560676999E-3</v>
      </c>
      <c r="D12904" s="2">
        <v>1.65700082850041E-3</v>
      </c>
      <c r="E12904" s="2">
        <v>3.43760742523203E-4</v>
      </c>
      <c r="F12904" s="2">
        <v>1.91546418081981E-3</v>
      </c>
    </row>
    <row r="12905" spans="1:6" x14ac:dyDescent="0.25">
      <c r="A12905" s="1" t="str">
        <f t="shared" si="480"/>
        <v>24020</v>
      </c>
      <c r="B12905" s="1" t="str">
        <f>"12090"</f>
        <v>12090</v>
      </c>
      <c r="C12905" s="2">
        <v>7.8097606069299605E-4</v>
      </c>
      <c r="D12905" s="2">
        <v>8.2850041425020697E-4</v>
      </c>
      <c r="E12905" s="2">
        <v>6.8752148504640698E-4</v>
      </c>
      <c r="F12905" s="2">
        <v>7.8037429588955496E-4</v>
      </c>
    </row>
    <row r="12906" spans="1:6" x14ac:dyDescent="0.25">
      <c r="A12906" s="1" t="str">
        <f t="shared" si="480"/>
        <v>24020</v>
      </c>
      <c r="B12906" s="1" t="str">
        <f>"12885"</f>
        <v>12885</v>
      </c>
      <c r="C12906" s="2">
        <v>3.69130725829587E-2</v>
      </c>
      <c r="D12906" s="2">
        <v>4.0182270091135001E-2</v>
      </c>
      <c r="E12906" s="2">
        <v>4.9157786180818099E-2</v>
      </c>
      <c r="F12906" s="2">
        <v>3.7642418308999802E-2</v>
      </c>
    </row>
    <row r="12907" spans="1:6" x14ac:dyDescent="0.25">
      <c r="A12907" s="1" t="str">
        <f t="shared" si="480"/>
        <v>24020</v>
      </c>
      <c r="B12907" s="1" t="str">
        <f>"12861"</f>
        <v>12861</v>
      </c>
      <c r="C12907" s="2">
        <v>7.2997354244365804E-3</v>
      </c>
      <c r="D12907" s="2">
        <v>2.0712510356255101E-4</v>
      </c>
      <c r="E12907" s="2">
        <v>3.43760742523203E-4</v>
      </c>
      <c r="F12907" s="2">
        <v>6.5267668383490098E-3</v>
      </c>
    </row>
    <row r="12908" spans="1:6" x14ac:dyDescent="0.25">
      <c r="A12908" s="1" t="str">
        <f t="shared" si="480"/>
        <v>24020</v>
      </c>
      <c r="B12908" s="1" t="str">
        <f>"12809"</f>
        <v>12809</v>
      </c>
      <c r="C12908" s="2">
        <v>2.48318510726467E-2</v>
      </c>
      <c r="D12908" s="2">
        <v>3.9353769676884797E-3</v>
      </c>
      <c r="E12908" s="2">
        <v>6.87521485046407E-3</v>
      </c>
      <c r="F12908" s="2">
        <v>2.26592318279203E-2</v>
      </c>
    </row>
    <row r="12909" spans="1:6" x14ac:dyDescent="0.25">
      <c r="A12909" s="1" t="str">
        <f t="shared" si="480"/>
        <v>24020</v>
      </c>
      <c r="B12909" s="1" t="str">
        <f>"12816"</f>
        <v>12816</v>
      </c>
      <c r="C12909" s="2">
        <v>3.5080169583373101E-2</v>
      </c>
      <c r="D12909" s="2">
        <v>3.5625517812758897E-2</v>
      </c>
      <c r="E12909" s="2">
        <v>3.5063595737366698E-2</v>
      </c>
      <c r="F12909" s="2">
        <v>3.5116843315029997E-2</v>
      </c>
    </row>
    <row r="12910" spans="1:6" x14ac:dyDescent="0.25">
      <c r="A12910" s="1" t="str">
        <f t="shared" si="480"/>
        <v>24020</v>
      </c>
      <c r="B12910" s="1" t="str">
        <f>"12824"</f>
        <v>12824</v>
      </c>
      <c r="C12910" s="2">
        <v>6.8056485288961101E-3</v>
      </c>
      <c r="D12910" s="2">
        <v>2.69262634631317E-3</v>
      </c>
      <c r="E12910" s="2">
        <v>6.8752148504640698E-4</v>
      </c>
      <c r="F12910" s="2">
        <v>6.2713716142397003E-3</v>
      </c>
    </row>
    <row r="12911" spans="1:6" x14ac:dyDescent="0.25">
      <c r="A12911" s="1" t="str">
        <f t="shared" si="480"/>
        <v>24020</v>
      </c>
      <c r="B12911" s="1" t="str">
        <f>"12185"</f>
        <v>12185</v>
      </c>
      <c r="C12911" s="2">
        <v>1.59382869529183E-3</v>
      </c>
      <c r="D12911" s="2">
        <v>2.69262634631317E-3</v>
      </c>
      <c r="E12911" s="2">
        <v>0</v>
      </c>
      <c r="F12911" s="2">
        <v>1.6033144624639901E-3</v>
      </c>
    </row>
    <row r="12912" spans="1:6" x14ac:dyDescent="0.25">
      <c r="A12912" s="1" t="str">
        <f t="shared" si="480"/>
        <v>24020</v>
      </c>
      <c r="B12912" s="1" t="str">
        <f>"12856"</f>
        <v>12856</v>
      </c>
      <c r="C12912" s="2">
        <v>2.4066813298906599E-3</v>
      </c>
      <c r="D12912" s="2">
        <v>2.0712510356255101E-4</v>
      </c>
      <c r="E12912" s="2">
        <v>3.43760742523203E-4</v>
      </c>
      <c r="F12912" s="2">
        <v>2.17085940492912E-3</v>
      </c>
    </row>
    <row r="12913" spans="1:6" x14ac:dyDescent="0.25">
      <c r="A12913" s="1" t="str">
        <f t="shared" si="480"/>
        <v>24020</v>
      </c>
      <c r="B12913" s="1" t="str">
        <f>"12873"</f>
        <v>12873</v>
      </c>
      <c r="C12913" s="2">
        <v>6.5984507985081698E-3</v>
      </c>
      <c r="D12913" s="2">
        <v>8.2850041425020697E-4</v>
      </c>
      <c r="E12913" s="2">
        <v>6.8752148504640698E-4</v>
      </c>
      <c r="F12913" s="2">
        <v>5.9592218958838799E-3</v>
      </c>
    </row>
    <row r="12914" spans="1:6" x14ac:dyDescent="0.25">
      <c r="A12914" s="1" t="str">
        <f t="shared" si="480"/>
        <v>24020</v>
      </c>
      <c r="B12914" s="1" t="str">
        <f>"12819"</f>
        <v>12819</v>
      </c>
      <c r="C12914" s="2">
        <v>2.9645213732427999E-3</v>
      </c>
      <c r="D12914" s="2">
        <v>2.0712510356255101E-4</v>
      </c>
      <c r="E12914" s="2">
        <v>1.7188037126160099E-3</v>
      </c>
      <c r="F12914" s="2">
        <v>2.72421572383263E-3</v>
      </c>
    </row>
    <row r="12915" spans="1:6" x14ac:dyDescent="0.25">
      <c r="A12915" s="1" t="str">
        <f t="shared" si="480"/>
        <v>24020</v>
      </c>
      <c r="B12915" s="1" t="str">
        <f>"12836"</f>
        <v>12836</v>
      </c>
      <c r="C12915" s="2">
        <v>6.2318701985910503E-3</v>
      </c>
      <c r="D12915" s="2">
        <v>2.4855012427506202E-3</v>
      </c>
      <c r="E12915" s="2">
        <v>3.43760742523203E-4</v>
      </c>
      <c r="F12915" s="2">
        <v>5.7322039188978198E-3</v>
      </c>
    </row>
    <row r="12916" spans="1:6" x14ac:dyDescent="0.25">
      <c r="A12916" s="1" t="str">
        <f t="shared" ref="A12916:A12936" si="481">"24020"</f>
        <v>24020</v>
      </c>
      <c r="B12916" s="1" t="str">
        <f>"12870"</f>
        <v>12870</v>
      </c>
      <c r="C12916" s="2">
        <v>1.5938286952918299E-4</v>
      </c>
      <c r="D12916" s="2">
        <v>0</v>
      </c>
      <c r="E12916" s="2">
        <v>0</v>
      </c>
      <c r="F12916" s="2">
        <v>1.4188623561628199E-4</v>
      </c>
    </row>
    <row r="12917" spans="1:6" x14ac:dyDescent="0.25">
      <c r="A12917" s="1" t="str">
        <f t="shared" si="481"/>
        <v>24020</v>
      </c>
      <c r="B12917" s="1" t="str">
        <f>"12838"</f>
        <v>12838</v>
      </c>
      <c r="C12917" s="2">
        <v>3.47454655573618E-3</v>
      </c>
      <c r="D12917" s="2">
        <v>0</v>
      </c>
      <c r="E12917" s="2">
        <v>4.4688896528016497E-3</v>
      </c>
      <c r="F12917" s="2">
        <v>3.27757204273613E-3</v>
      </c>
    </row>
    <row r="12918" spans="1:6" x14ac:dyDescent="0.25">
      <c r="A12918" s="1" t="str">
        <f t="shared" si="481"/>
        <v>24020</v>
      </c>
      <c r="B12918" s="1" t="str">
        <f>"12843"</f>
        <v>12843</v>
      </c>
      <c r="C12918" s="2">
        <v>5.06837525102801E-3</v>
      </c>
      <c r="D12918" s="2">
        <v>0</v>
      </c>
      <c r="E12918" s="2">
        <v>3.43760742523203E-4</v>
      </c>
      <c r="F12918" s="2">
        <v>4.5261709161594204E-3</v>
      </c>
    </row>
    <row r="12919" spans="1:6" x14ac:dyDescent="0.25">
      <c r="A12919" s="1" t="str">
        <f t="shared" si="481"/>
        <v>24020</v>
      </c>
      <c r="B12919" s="1" t="str">
        <f>"12846"</f>
        <v>12846</v>
      </c>
      <c r="C12919" s="2">
        <v>2.5230308246469602E-2</v>
      </c>
      <c r="D12919" s="2">
        <v>5.3852526926263401E-3</v>
      </c>
      <c r="E12919" s="2">
        <v>1.1000343760742499E-2</v>
      </c>
      <c r="F12919" s="2">
        <v>2.3283531264632E-2</v>
      </c>
    </row>
    <row r="12920" spans="1:6" x14ac:dyDescent="0.25">
      <c r="A12920" s="1" t="str">
        <f t="shared" si="481"/>
        <v>24020</v>
      </c>
      <c r="B12920" s="1" t="str">
        <f>"12865"</f>
        <v>12865</v>
      </c>
      <c r="C12920" s="2">
        <v>2.4050875011953701E-2</v>
      </c>
      <c r="D12920" s="2">
        <v>4.7638773819386896E-3</v>
      </c>
      <c r="E12920" s="2">
        <v>4.4688896528016497E-3</v>
      </c>
      <c r="F12920" s="2">
        <v>2.19214234027157E-2</v>
      </c>
    </row>
    <row r="12921" spans="1:6" x14ac:dyDescent="0.25">
      <c r="A12921" s="1" t="str">
        <f t="shared" si="481"/>
        <v>24020</v>
      </c>
      <c r="B12921" s="1" t="str">
        <f>"12834"</f>
        <v>12834</v>
      </c>
      <c r="C12921" s="2">
        <v>4.5758821841828397E-2</v>
      </c>
      <c r="D12921" s="2">
        <v>4.5153272576636198E-2</v>
      </c>
      <c r="E12921" s="2">
        <v>3.54073564798899E-2</v>
      </c>
      <c r="F12921" s="2">
        <v>4.52900864087174E-2</v>
      </c>
    </row>
    <row r="12922" spans="1:6" x14ac:dyDescent="0.25">
      <c r="A12922" s="1" t="str">
        <f t="shared" si="481"/>
        <v>24020</v>
      </c>
      <c r="B12922" s="1" t="str">
        <f>"12815"</f>
        <v>12815</v>
      </c>
      <c r="C12922" s="2">
        <v>1.04714545280673E-2</v>
      </c>
      <c r="D12922" s="2">
        <v>3.5211267605633799E-3</v>
      </c>
      <c r="E12922" s="2">
        <v>1.03128222756961E-3</v>
      </c>
      <c r="F12922" s="2">
        <v>9.6056981512223395E-3</v>
      </c>
    </row>
    <row r="12923" spans="1:6" x14ac:dyDescent="0.25">
      <c r="A12923" s="1" t="str">
        <f t="shared" si="481"/>
        <v>24020</v>
      </c>
      <c r="B12923" s="1" t="str">
        <f>"12827"</f>
        <v>12827</v>
      </c>
      <c r="C12923" s="2">
        <v>2.7063211246055201E-2</v>
      </c>
      <c r="D12923" s="2">
        <v>8.4921292460646194E-3</v>
      </c>
      <c r="E12923" s="2">
        <v>8.9377793056032995E-3</v>
      </c>
      <c r="F12923" s="2">
        <v>2.5042920586273901E-2</v>
      </c>
    </row>
    <row r="12924" spans="1:6" x14ac:dyDescent="0.25">
      <c r="A12924" s="1" t="str">
        <f t="shared" si="481"/>
        <v>24020</v>
      </c>
      <c r="B12924" s="1" t="str">
        <f>"12839"</f>
        <v>12839</v>
      </c>
      <c r="C12924" s="2">
        <v>9.64106977782027E-2</v>
      </c>
      <c r="D12924" s="2">
        <v>7.2286661143330502E-2</v>
      </c>
      <c r="E12924" s="2">
        <v>0.17325541423169399</v>
      </c>
      <c r="F12924" s="2">
        <v>9.7929879822358401E-2</v>
      </c>
    </row>
    <row r="12925" spans="1:6" x14ac:dyDescent="0.25">
      <c r="A12925" s="1" t="str">
        <f t="shared" si="481"/>
        <v>24020</v>
      </c>
      <c r="B12925" s="1" t="str">
        <f>"12848"</f>
        <v>12848</v>
      </c>
      <c r="C12925" s="2">
        <v>0</v>
      </c>
      <c r="D12925" s="2">
        <v>0</v>
      </c>
      <c r="E12925" s="2">
        <v>3.43760742523203E-4</v>
      </c>
      <c r="F12925" s="2">
        <v>1.4188623561628201E-5</v>
      </c>
    </row>
    <row r="12926" spans="1:6" x14ac:dyDescent="0.25">
      <c r="A12926" s="1" t="str">
        <f t="shared" si="481"/>
        <v>24020</v>
      </c>
      <c r="B12926" s="1" t="str">
        <f>"12862"</f>
        <v>12862</v>
      </c>
      <c r="C12926" s="2">
        <v>7.6503777374007796E-4</v>
      </c>
      <c r="D12926" s="2">
        <v>0</v>
      </c>
      <c r="E12926" s="2">
        <v>3.43760742523203E-4</v>
      </c>
      <c r="F12926" s="2">
        <v>6.9524255451978599E-4</v>
      </c>
    </row>
    <row r="12927" spans="1:6" x14ac:dyDescent="0.25">
      <c r="A12927" s="1" t="str">
        <f t="shared" si="481"/>
        <v>24020</v>
      </c>
      <c r="B12927" s="1" t="str">
        <f>"12028"</f>
        <v>12028</v>
      </c>
      <c r="C12927" s="2">
        <v>3.4904848426890998E-3</v>
      </c>
      <c r="D12927" s="2">
        <v>4.14250207125103E-4</v>
      </c>
      <c r="E12927" s="2">
        <v>6.8752148504640698E-4</v>
      </c>
      <c r="F12927" s="2">
        <v>3.1640630542431E-3</v>
      </c>
    </row>
    <row r="12928" spans="1:6" x14ac:dyDescent="0.25">
      <c r="A12928" s="1" t="str">
        <f t="shared" si="481"/>
        <v>24020</v>
      </c>
      <c r="B12928" s="1" t="str">
        <f>"12887"</f>
        <v>12887</v>
      </c>
      <c r="C12928" s="2">
        <v>3.9128494469414403E-2</v>
      </c>
      <c r="D12928" s="2">
        <v>3.1068765534382699E-2</v>
      </c>
      <c r="E12928" s="2">
        <v>4.0563767617738E-2</v>
      </c>
      <c r="F12928" s="2">
        <v>3.8635621958313798E-2</v>
      </c>
    </row>
    <row r="12929" spans="1:6" x14ac:dyDescent="0.25">
      <c r="A12929" s="1" t="str">
        <f t="shared" si="481"/>
        <v>24020</v>
      </c>
      <c r="B12929" s="1" t="str">
        <f>"12804"</f>
        <v>12804</v>
      </c>
      <c r="C12929" s="2">
        <v>0.21062446208281499</v>
      </c>
      <c r="D12929" s="2">
        <v>0.25186412593206198</v>
      </c>
      <c r="E12929" s="2">
        <v>0.15159848745273199</v>
      </c>
      <c r="F12929" s="2">
        <v>0.21101320960853501</v>
      </c>
    </row>
    <row r="12930" spans="1:6" x14ac:dyDescent="0.25">
      <c r="A12930" s="1" t="str">
        <f t="shared" si="481"/>
        <v>24020</v>
      </c>
      <c r="B12930" s="1" t="str">
        <f>"12832"</f>
        <v>12832</v>
      </c>
      <c r="C12930" s="2">
        <v>4.76395397022727E-2</v>
      </c>
      <c r="D12930" s="2">
        <v>3.8525269262634602E-2</v>
      </c>
      <c r="E12930" s="2">
        <v>5.0532829150910903E-2</v>
      </c>
      <c r="F12930" s="2">
        <v>4.7134607471729102E-2</v>
      </c>
    </row>
    <row r="12931" spans="1:6" x14ac:dyDescent="0.25">
      <c r="A12931" s="1" t="str">
        <f t="shared" si="481"/>
        <v>24020</v>
      </c>
      <c r="B12931" s="1" t="str">
        <f>"12828"</f>
        <v>12828</v>
      </c>
      <c r="C12931" s="2">
        <v>4.0228236269165697E-2</v>
      </c>
      <c r="D12931" s="2">
        <v>2.9618889809444899E-2</v>
      </c>
      <c r="E12931" s="2">
        <v>5.1907872121003701E-2</v>
      </c>
      <c r="F12931" s="2">
        <v>3.9983541196668498E-2</v>
      </c>
    </row>
    <row r="12932" spans="1:6" x14ac:dyDescent="0.25">
      <c r="A12932" s="1" t="str">
        <f t="shared" si="481"/>
        <v>24020</v>
      </c>
      <c r="B12932" s="1" t="str">
        <f>"12837"</f>
        <v>12837</v>
      </c>
      <c r="C12932" s="2">
        <v>5.2755729814159503E-3</v>
      </c>
      <c r="D12932" s="2">
        <v>6.2137531068765504E-4</v>
      </c>
      <c r="E12932" s="2">
        <v>1.7188037126160099E-3</v>
      </c>
      <c r="F12932" s="2">
        <v>4.8099433873919802E-3</v>
      </c>
    </row>
    <row r="12933" spans="1:6" x14ac:dyDescent="0.25">
      <c r="A12933" s="1" t="str">
        <f t="shared" si="481"/>
        <v>24020</v>
      </c>
      <c r="B12933" s="1" t="str">
        <f>"12154"</f>
        <v>12154</v>
      </c>
      <c r="C12933" s="2">
        <v>3.71362086002996E-3</v>
      </c>
      <c r="D12933" s="2">
        <v>1.8641259320629599E-3</v>
      </c>
      <c r="E12933" s="2">
        <v>0</v>
      </c>
      <c r="F12933" s="2">
        <v>3.4336469019140398E-3</v>
      </c>
    </row>
    <row r="12934" spans="1:6" x14ac:dyDescent="0.25">
      <c r="A12934" s="1" t="str">
        <f t="shared" si="481"/>
        <v>24020</v>
      </c>
      <c r="B12934" s="1" t="str">
        <f>"12844"</f>
        <v>12844</v>
      </c>
      <c r="C12934" s="2">
        <v>1.99228586911478E-3</v>
      </c>
      <c r="D12934" s="2">
        <v>1.03562551781275E-3</v>
      </c>
      <c r="E12934" s="2">
        <v>3.43760742523203E-4</v>
      </c>
      <c r="F12934" s="2">
        <v>1.8587096865733E-3</v>
      </c>
    </row>
    <row r="12935" spans="1:6" x14ac:dyDescent="0.25">
      <c r="A12935" s="1" t="str">
        <f t="shared" si="481"/>
        <v>24020</v>
      </c>
      <c r="B12935" s="1" t="str">
        <f>"12801"</f>
        <v>12801</v>
      </c>
      <c r="C12935" s="2">
        <v>0.14157980300277301</v>
      </c>
      <c r="D12935" s="2">
        <v>0.27796188898094398</v>
      </c>
      <c r="E12935" s="2">
        <v>0.28016500515641102</v>
      </c>
      <c r="F12935" s="2">
        <v>0.156642404120376</v>
      </c>
    </row>
    <row r="12936" spans="1:6" x14ac:dyDescent="0.25">
      <c r="A12936" s="1" t="str">
        <f t="shared" si="481"/>
        <v>24020</v>
      </c>
      <c r="B12936" s="1" t="str">
        <f>"12817"</f>
        <v>12817</v>
      </c>
      <c r="C12936" s="2">
        <v>1.54442000573778E-2</v>
      </c>
      <c r="D12936" s="2">
        <v>4.9710024855012403E-3</v>
      </c>
      <c r="E12936" s="2">
        <v>1.7531797868683301E-2</v>
      </c>
      <c r="F12936" s="2">
        <v>1.48129229983399E-2</v>
      </c>
    </row>
    <row r="12937" spans="1:6" x14ac:dyDescent="0.25">
      <c r="A12937" s="1" t="str">
        <f t="shared" ref="A12937:A12953" si="482">"24060"</f>
        <v>24060</v>
      </c>
      <c r="B12937" s="1" t="str">
        <f>"81641"</f>
        <v>81641</v>
      </c>
      <c r="C12937" s="2">
        <v>4.1302686739772401E-5</v>
      </c>
      <c r="D12937" s="2">
        <v>0</v>
      </c>
      <c r="E12937" s="2">
        <v>0</v>
      </c>
      <c r="F12937" s="2">
        <v>3.5092644581695598E-5</v>
      </c>
    </row>
    <row r="12938" spans="1:6" x14ac:dyDescent="0.25">
      <c r="A12938" s="1" t="str">
        <f t="shared" si="482"/>
        <v>24060</v>
      </c>
      <c r="B12938" s="1" t="str">
        <f>"81654"</f>
        <v>81654</v>
      </c>
      <c r="C12938" s="2">
        <v>1.3464675877165801E-2</v>
      </c>
      <c r="D12938" s="2">
        <v>1.4215763702416599E-3</v>
      </c>
      <c r="E12938" s="2">
        <v>1.29579982126899E-2</v>
      </c>
      <c r="F12938" s="2">
        <v>1.2106962380685E-2</v>
      </c>
    </row>
    <row r="12939" spans="1:6" x14ac:dyDescent="0.25">
      <c r="A12939" s="1" t="str">
        <f t="shared" si="482"/>
        <v>24060</v>
      </c>
      <c r="B12939" s="1" t="str">
        <f>"81656"</f>
        <v>81656</v>
      </c>
      <c r="C12939" s="2">
        <v>3.7378931499494001E-3</v>
      </c>
      <c r="D12939" s="2">
        <v>0</v>
      </c>
      <c r="E12939" s="2">
        <v>1.3404825737265401E-3</v>
      </c>
      <c r="F12939" s="2">
        <v>3.2285233015160002E-3</v>
      </c>
    </row>
    <row r="12940" spans="1:6" x14ac:dyDescent="0.25">
      <c r="A12940" s="1" t="str">
        <f t="shared" si="482"/>
        <v>24060</v>
      </c>
      <c r="B12940" s="1" t="str">
        <f>"81642"</f>
        <v>81642</v>
      </c>
      <c r="C12940" s="2">
        <v>1.3423373190425999E-3</v>
      </c>
      <c r="D12940" s="2">
        <v>1.5795293002685099E-4</v>
      </c>
      <c r="E12940" s="2">
        <v>1.3404825737265401E-3</v>
      </c>
      <c r="F12940" s="2">
        <v>1.2106962380685001E-3</v>
      </c>
    </row>
    <row r="12941" spans="1:6" x14ac:dyDescent="0.25">
      <c r="A12941" s="1" t="str">
        <f t="shared" si="482"/>
        <v>24060</v>
      </c>
      <c r="B12941" s="1" t="str">
        <f>"81602"</f>
        <v>81602</v>
      </c>
      <c r="C12941" s="2">
        <v>4.3987361377857602E-2</v>
      </c>
      <c r="D12941" s="2">
        <v>9.3508134575896296E-2</v>
      </c>
      <c r="E12941" s="2">
        <v>8.9365504915102703E-4</v>
      </c>
      <c r="F12941" s="2">
        <v>4.77961819202695E-2</v>
      </c>
    </row>
    <row r="12942" spans="1:6" x14ac:dyDescent="0.25">
      <c r="A12942" s="1" t="str">
        <f t="shared" si="482"/>
        <v>24060</v>
      </c>
      <c r="B12942" s="1" t="str">
        <f>"81635"</f>
        <v>81635</v>
      </c>
      <c r="C12942" s="2">
        <v>6.2325754290316497E-2</v>
      </c>
      <c r="D12942" s="2">
        <v>1.8954351603222199E-2</v>
      </c>
      <c r="E12942" s="2">
        <v>1.4745308310991899E-2</v>
      </c>
      <c r="F12942" s="2">
        <v>5.56393879842784E-2</v>
      </c>
    </row>
    <row r="12943" spans="1:6" x14ac:dyDescent="0.25">
      <c r="A12943" s="1" t="str">
        <f t="shared" si="482"/>
        <v>24060</v>
      </c>
      <c r="B12943" s="1" t="str">
        <f>"81637"</f>
        <v>81637</v>
      </c>
      <c r="C12943" s="2">
        <v>1.4455940358920299E-4</v>
      </c>
      <c r="D12943" s="2">
        <v>3.1590586005370301E-4</v>
      </c>
      <c r="E12943" s="2">
        <v>0</v>
      </c>
      <c r="F12943" s="2">
        <v>1.5791690061763E-4</v>
      </c>
    </row>
    <row r="12944" spans="1:6" x14ac:dyDescent="0.25">
      <c r="A12944" s="1" t="str">
        <f t="shared" si="482"/>
        <v>24060</v>
      </c>
      <c r="B12944" s="1" t="str">
        <f>"81630"</f>
        <v>81630</v>
      </c>
      <c r="C12944" s="2">
        <v>1.0119158251244199E-3</v>
      </c>
      <c r="D12944" s="2">
        <v>0</v>
      </c>
      <c r="E12944" s="2">
        <v>0</v>
      </c>
      <c r="F12944" s="2">
        <v>8.5976979225154402E-4</v>
      </c>
    </row>
    <row r="12945" spans="1:6" x14ac:dyDescent="0.25">
      <c r="A12945" s="1" t="str">
        <f t="shared" si="482"/>
        <v>24060</v>
      </c>
      <c r="B12945" s="1" t="str">
        <f>"81647"</f>
        <v>81647</v>
      </c>
      <c r="C12945" s="2">
        <v>5.89182826342853E-2</v>
      </c>
      <c r="D12945" s="2">
        <v>1.6111198862738901E-2</v>
      </c>
      <c r="E12945" s="2">
        <v>3.70866845397676E-2</v>
      </c>
      <c r="F12945" s="2">
        <v>5.3305727119595699E-2</v>
      </c>
    </row>
    <row r="12946" spans="1:6" x14ac:dyDescent="0.25">
      <c r="A12946" s="1" t="str">
        <f t="shared" si="482"/>
        <v>24060</v>
      </c>
      <c r="B12946" s="1" t="str">
        <f>"81612"</f>
        <v>81612</v>
      </c>
      <c r="C12946" s="2">
        <v>0.13092951696507801</v>
      </c>
      <c r="D12946" s="2">
        <v>6.8235665771599993E-2</v>
      </c>
      <c r="E12946" s="2">
        <v>1.3404825737265401E-3</v>
      </c>
      <c r="F12946" s="2">
        <v>0.118876333520494</v>
      </c>
    </row>
    <row r="12947" spans="1:6" x14ac:dyDescent="0.25">
      <c r="A12947" s="1" t="str">
        <f t="shared" si="482"/>
        <v>24060</v>
      </c>
      <c r="B12947" s="1" t="str">
        <f>"81650"</f>
        <v>81650</v>
      </c>
      <c r="C12947" s="2">
        <v>0.106870701939161</v>
      </c>
      <c r="D12947" s="2">
        <v>0.12288737956089001</v>
      </c>
      <c r="E12947" s="2">
        <v>0.14298480786416401</v>
      </c>
      <c r="F12947" s="2">
        <v>0.110068079730488</v>
      </c>
    </row>
    <row r="12948" spans="1:6" x14ac:dyDescent="0.25">
      <c r="A12948" s="1" t="str">
        <f t="shared" si="482"/>
        <v>24060</v>
      </c>
      <c r="B12948" s="1" t="str">
        <f>"81652"</f>
        <v>81652</v>
      </c>
      <c r="C12948" s="2">
        <v>4.5701422877558101E-2</v>
      </c>
      <c r="D12948" s="2">
        <v>2.38508924340546E-2</v>
      </c>
      <c r="E12948" s="2">
        <v>2.77033065236818E-2</v>
      </c>
      <c r="F12948" s="2">
        <v>4.2567377877596797E-2</v>
      </c>
    </row>
    <row r="12949" spans="1:6" x14ac:dyDescent="0.25">
      <c r="A12949" s="1" t="str">
        <f t="shared" si="482"/>
        <v>24060</v>
      </c>
      <c r="B12949" s="1" t="str">
        <f>"81623"</f>
        <v>81623</v>
      </c>
      <c r="C12949" s="2">
        <v>0.131611011296284</v>
      </c>
      <c r="D12949" s="2">
        <v>0.149739377665455</v>
      </c>
      <c r="E12949" s="2">
        <v>0.11349419124218001</v>
      </c>
      <c r="F12949" s="2">
        <v>0.13291339135317201</v>
      </c>
    </row>
    <row r="12950" spans="1:6" x14ac:dyDescent="0.25">
      <c r="A12950" s="1" t="str">
        <f t="shared" si="482"/>
        <v>24060</v>
      </c>
      <c r="B12950" s="1" t="str">
        <f>"81621"</f>
        <v>81621</v>
      </c>
      <c r="C12950" s="2">
        <v>8.6074799165685695E-2</v>
      </c>
      <c r="D12950" s="2">
        <v>8.0240088453640807E-2</v>
      </c>
      <c r="E12950" s="2">
        <v>3.1277926720285898E-2</v>
      </c>
      <c r="F12950" s="2">
        <v>8.3274845592363797E-2</v>
      </c>
    </row>
    <row r="12951" spans="1:6" x14ac:dyDescent="0.25">
      <c r="A12951" s="1" t="str">
        <f t="shared" si="482"/>
        <v>24060</v>
      </c>
      <c r="B12951" s="1" t="str">
        <f>"81601"</f>
        <v>81601</v>
      </c>
      <c r="C12951" s="2">
        <v>0.14239101253536501</v>
      </c>
      <c r="D12951" s="2">
        <v>0.19286052756278599</v>
      </c>
      <c r="E12951" s="2">
        <v>0.28865058087578099</v>
      </c>
      <c r="F12951" s="2">
        <v>0.15374087591240801</v>
      </c>
    </row>
    <row r="12952" spans="1:6" x14ac:dyDescent="0.25">
      <c r="A12952" s="1" t="str">
        <f t="shared" si="482"/>
        <v>24060</v>
      </c>
      <c r="B12952" s="1" t="str">
        <f>"81611"</f>
        <v>81611</v>
      </c>
      <c r="C12952" s="2">
        <v>0.124940627387811</v>
      </c>
      <c r="D12952" s="2">
        <v>0.20707629126520199</v>
      </c>
      <c r="E12952" s="2">
        <v>0.31546023235031201</v>
      </c>
      <c r="F12952" s="2">
        <v>0.14154618192026899</v>
      </c>
    </row>
    <row r="12953" spans="1:6" x14ac:dyDescent="0.25">
      <c r="A12953" s="1" t="str">
        <f t="shared" si="482"/>
        <v>24060</v>
      </c>
      <c r="B12953" s="1" t="str">
        <f>"81615"</f>
        <v>81615</v>
      </c>
      <c r="C12953" s="2">
        <v>4.6506825268983698E-2</v>
      </c>
      <c r="D12953" s="2">
        <v>2.4640657084188899E-2</v>
      </c>
      <c r="E12953" s="2">
        <v>1.07238605898123E-2</v>
      </c>
      <c r="F12953" s="2">
        <v>4.26726558113419E-2</v>
      </c>
    </row>
    <row r="12954" spans="1:6" x14ac:dyDescent="0.25">
      <c r="A12954" s="1" t="str">
        <f t="shared" ref="A12954:A12968" si="483">"24100"</f>
        <v>24100</v>
      </c>
      <c r="B12954" s="1" t="str">
        <f>"13452"</f>
        <v>13452</v>
      </c>
      <c r="C12954" s="2">
        <v>3.4963754850992103E-2</v>
      </c>
      <c r="D12954" s="2">
        <v>1.13207547169811E-2</v>
      </c>
      <c r="E12954" s="2">
        <v>3.6596523330283599E-3</v>
      </c>
      <c r="F12954" s="2">
        <v>3.2383847729826103E-2</v>
      </c>
    </row>
    <row r="12955" spans="1:6" x14ac:dyDescent="0.25">
      <c r="A12955" s="1" t="str">
        <f t="shared" si="483"/>
        <v>24100</v>
      </c>
      <c r="B12955" s="1" t="str">
        <f>"12134"</f>
        <v>12134</v>
      </c>
      <c r="C12955" s="2">
        <v>3.9833052646994202E-2</v>
      </c>
      <c r="D12955" s="2">
        <v>1.4555256064690001E-2</v>
      </c>
      <c r="E12955" s="2">
        <v>9.1491308325708995E-3</v>
      </c>
      <c r="F12955" s="2">
        <v>3.71753354041372E-2</v>
      </c>
    </row>
    <row r="12956" spans="1:6" x14ac:dyDescent="0.25">
      <c r="A12956" s="1" t="str">
        <f t="shared" si="483"/>
        <v>24100</v>
      </c>
      <c r="B12956" s="1" t="str">
        <f>"13470"</f>
        <v>13470</v>
      </c>
      <c r="C12956" s="2">
        <v>1.04708208244856E-2</v>
      </c>
      <c r="D12956" s="2">
        <v>5.3908355795148199E-4</v>
      </c>
      <c r="E12956" s="2">
        <v>9.1491308325708997E-4</v>
      </c>
      <c r="F12956" s="2">
        <v>9.5168858634591194E-3</v>
      </c>
    </row>
    <row r="12957" spans="1:6" x14ac:dyDescent="0.25">
      <c r="A12957" s="1" t="str">
        <f t="shared" si="483"/>
        <v>24100</v>
      </c>
      <c r="B12957" s="1" t="str">
        <f>"13329"</f>
        <v>13329</v>
      </c>
      <c r="C12957" s="2">
        <v>1.8305630812037701E-2</v>
      </c>
      <c r="D12957" s="2">
        <v>5.3908355795148199E-3</v>
      </c>
      <c r="E12957" s="2">
        <v>1.8298261665141799E-3</v>
      </c>
      <c r="F12957" s="2">
        <v>1.69189082017051E-2</v>
      </c>
    </row>
    <row r="12958" spans="1:6" x14ac:dyDescent="0.25">
      <c r="A12958" s="1" t="str">
        <f t="shared" si="483"/>
        <v>24100</v>
      </c>
      <c r="B12958" s="1" t="str">
        <f>"12068"</f>
        <v>12068</v>
      </c>
      <c r="C12958" s="2">
        <v>4.7594640111298201E-4</v>
      </c>
      <c r="D12958" s="2">
        <v>0</v>
      </c>
      <c r="E12958" s="2">
        <v>0</v>
      </c>
      <c r="F12958" s="2">
        <v>4.2958165355891798E-4</v>
      </c>
    </row>
    <row r="12959" spans="1:6" x14ac:dyDescent="0.25">
      <c r="A12959" s="1" t="str">
        <f t="shared" si="483"/>
        <v>24100</v>
      </c>
      <c r="B12959" s="1" t="str">
        <f>"12032"</f>
        <v>12032</v>
      </c>
      <c r="C12959" s="2">
        <v>1.58160650216006E-2</v>
      </c>
      <c r="D12959" s="2">
        <v>2.1563342318059201E-3</v>
      </c>
      <c r="E12959" s="2">
        <v>3.6596523330283599E-3</v>
      </c>
      <c r="F12959" s="2">
        <v>1.45396867358403E-2</v>
      </c>
    </row>
    <row r="12960" spans="1:6" x14ac:dyDescent="0.25">
      <c r="A12960" s="1" t="str">
        <f t="shared" si="483"/>
        <v>24100</v>
      </c>
      <c r="B12960" s="1" t="str">
        <f>"12117"</f>
        <v>12117</v>
      </c>
      <c r="C12960" s="2">
        <v>5.1768323936442803E-2</v>
      </c>
      <c r="D12960" s="2">
        <v>2.4258760107816701E-2</v>
      </c>
      <c r="E12960" s="2">
        <v>2.1043000914912999E-2</v>
      </c>
      <c r="F12960" s="2">
        <v>4.8972308505716697E-2</v>
      </c>
    </row>
    <row r="12961" spans="1:6" x14ac:dyDescent="0.25">
      <c r="A12961" s="1" t="str">
        <f t="shared" si="483"/>
        <v>24100</v>
      </c>
      <c r="B12961" s="1" t="str">
        <f>"12095"</f>
        <v>12095</v>
      </c>
      <c r="C12961" s="2">
        <v>0.22208391301164199</v>
      </c>
      <c r="D12961" s="2">
        <v>0.39029649595687299</v>
      </c>
      <c r="E12961" s="2">
        <v>0.28087831655992601</v>
      </c>
      <c r="F12961" s="2">
        <v>0.23451853810058801</v>
      </c>
    </row>
    <row r="12962" spans="1:6" x14ac:dyDescent="0.25">
      <c r="A12962" s="1" t="str">
        <f t="shared" si="483"/>
        <v>24100</v>
      </c>
      <c r="B12962" s="1" t="str">
        <f>"12070"</f>
        <v>12070</v>
      </c>
      <c r="C12962" s="2">
        <v>7.6151424178077104E-3</v>
      </c>
      <c r="D12962" s="2">
        <v>5.3908355795148199E-4</v>
      </c>
      <c r="E12962" s="2">
        <v>8.2342177493138092E-3</v>
      </c>
      <c r="F12962" s="2">
        <v>7.2037538827572503E-3</v>
      </c>
    </row>
    <row r="12963" spans="1:6" x14ac:dyDescent="0.25">
      <c r="A12963" s="1" t="str">
        <f t="shared" si="483"/>
        <v>24100</v>
      </c>
      <c r="B12963" s="1" t="str">
        <f>"12086"</f>
        <v>12086</v>
      </c>
      <c r="C12963" s="2">
        <v>3.80757120890385E-3</v>
      </c>
      <c r="D12963" s="2">
        <v>1.6172506738544399E-3</v>
      </c>
      <c r="E12963" s="2">
        <v>3.6596523330283599E-3</v>
      </c>
      <c r="F12963" s="2">
        <v>3.6679664265415299E-3</v>
      </c>
    </row>
    <row r="12964" spans="1:6" x14ac:dyDescent="0.25">
      <c r="A12964" s="1" t="str">
        <f t="shared" si="483"/>
        <v>24100</v>
      </c>
      <c r="B12964" s="1" t="str">
        <f>"12010"</f>
        <v>12010</v>
      </c>
      <c r="C12964" s="2">
        <v>6.0188914109980202E-2</v>
      </c>
      <c r="D12964" s="2">
        <v>6.6846361185983805E-2</v>
      </c>
      <c r="E12964" s="2">
        <v>2.7447392497712698E-2</v>
      </c>
      <c r="F12964" s="2">
        <v>5.94144471614566E-2</v>
      </c>
    </row>
    <row r="12965" spans="1:6" x14ac:dyDescent="0.25">
      <c r="A12965" s="1" t="str">
        <f t="shared" si="483"/>
        <v>24100</v>
      </c>
      <c r="B12965" s="1" t="str">
        <f>"12025"</f>
        <v>12025</v>
      </c>
      <c r="C12965" s="2">
        <v>8.4022845427253398E-2</v>
      </c>
      <c r="D12965" s="2">
        <v>2.6415094339622601E-2</v>
      </c>
      <c r="E12965" s="2">
        <v>4.4830741079597398E-2</v>
      </c>
      <c r="F12965" s="2">
        <v>7.9076068997422505E-2</v>
      </c>
    </row>
    <row r="12966" spans="1:6" x14ac:dyDescent="0.25">
      <c r="A12966" s="1" t="str">
        <f t="shared" si="483"/>
        <v>24100</v>
      </c>
      <c r="B12966" s="1" t="str">
        <f>"13454"</f>
        <v>13454</v>
      </c>
      <c r="C12966" s="2">
        <v>7.3222523248151104E-5</v>
      </c>
      <c r="D12966" s="2">
        <v>0</v>
      </c>
      <c r="E12966" s="2">
        <v>0</v>
      </c>
      <c r="F12966" s="2">
        <v>6.6089485162910494E-5</v>
      </c>
    </row>
    <row r="12967" spans="1:6" x14ac:dyDescent="0.25">
      <c r="A12967" s="1" t="str">
        <f t="shared" si="483"/>
        <v>24100</v>
      </c>
      <c r="B12967" s="1" t="str">
        <f>"12078"</f>
        <v>12078</v>
      </c>
      <c r="C12967" s="2">
        <v>0.44263015303507303</v>
      </c>
      <c r="D12967" s="2">
        <v>0.45283018867924502</v>
      </c>
      <c r="E12967" s="2">
        <v>0.59469350411710797</v>
      </c>
      <c r="F12967" s="2">
        <v>0.448747604256162</v>
      </c>
    </row>
    <row r="12968" spans="1:6" x14ac:dyDescent="0.25">
      <c r="A12968" s="1" t="str">
        <f t="shared" si="483"/>
        <v>24100</v>
      </c>
      <c r="B12968" s="1" t="str">
        <f>"13339"</f>
        <v>13339</v>
      </c>
      <c r="C12968" s="2">
        <v>7.9446437724243896E-3</v>
      </c>
      <c r="D12968" s="2">
        <v>3.2345013477088902E-3</v>
      </c>
      <c r="E12968" s="2">
        <v>0</v>
      </c>
      <c r="F12968" s="2">
        <v>7.36897759566452E-3</v>
      </c>
    </row>
    <row r="12969" spans="1:6" x14ac:dyDescent="0.25">
      <c r="A12969" s="1" t="str">
        <f t="shared" ref="A12969:A12984" si="484">"24140"</f>
        <v>24140</v>
      </c>
      <c r="B12969" s="1" t="str">
        <f>"27531"</f>
        <v>27531</v>
      </c>
      <c r="C12969" s="2">
        <v>0</v>
      </c>
      <c r="D12969" s="2">
        <v>0</v>
      </c>
      <c r="E12969" s="2">
        <v>3.81998953427524E-2</v>
      </c>
      <c r="F12969" s="2">
        <v>1.1006739743377101E-3</v>
      </c>
    </row>
    <row r="12970" spans="1:6" x14ac:dyDescent="0.25">
      <c r="A12970" s="1" t="str">
        <f t="shared" si="484"/>
        <v>24140</v>
      </c>
      <c r="B12970" s="1" t="str">
        <f>"27851"</f>
        <v>27851</v>
      </c>
      <c r="C12970" s="2">
        <v>7.4165219883021204E-4</v>
      </c>
      <c r="D12970" s="2">
        <v>0</v>
      </c>
      <c r="E12970" s="2">
        <v>0</v>
      </c>
      <c r="F12970" s="2">
        <v>6.6341992973779798E-4</v>
      </c>
    </row>
    <row r="12971" spans="1:6" x14ac:dyDescent="0.25">
      <c r="A12971" s="1" t="str">
        <f t="shared" si="484"/>
        <v>24140</v>
      </c>
      <c r="B12971" s="1" t="str">
        <f>"28551"</f>
        <v>28551</v>
      </c>
      <c r="C12971" s="2">
        <v>3.1874188817907503E-2</v>
      </c>
      <c r="D12971" s="2">
        <v>1.39626352015732E-2</v>
      </c>
      <c r="E12971" s="2">
        <v>0</v>
      </c>
      <c r="F12971" s="2">
        <v>2.9582497776035398E-2</v>
      </c>
    </row>
    <row r="12972" spans="1:6" x14ac:dyDescent="0.25">
      <c r="A12972" s="1" t="str">
        <f t="shared" si="484"/>
        <v>24140</v>
      </c>
      <c r="B12972" s="1" t="str">
        <f>"28578"</f>
        <v>28578</v>
      </c>
      <c r="C12972" s="2">
        <v>2.9446963439917699E-2</v>
      </c>
      <c r="D12972" s="2">
        <v>8.45624385447394E-3</v>
      </c>
      <c r="E12972" s="2">
        <v>0</v>
      </c>
      <c r="F12972" s="2">
        <v>2.6989128959787698E-2</v>
      </c>
    </row>
    <row r="12973" spans="1:6" x14ac:dyDescent="0.25">
      <c r="A12973" s="1" t="str">
        <f t="shared" si="484"/>
        <v>24140</v>
      </c>
      <c r="B12973" s="1" t="str">
        <f>"27542"</f>
        <v>27542</v>
      </c>
      <c r="C12973" s="2">
        <v>4.8207392923963702E-3</v>
      </c>
      <c r="D12973" s="2">
        <v>1.9665683382497499E-4</v>
      </c>
      <c r="E12973" s="2">
        <v>0</v>
      </c>
      <c r="F12973" s="2">
        <v>4.3273072689715402E-3</v>
      </c>
    </row>
    <row r="12974" spans="1:6" x14ac:dyDescent="0.25">
      <c r="A12974" s="1" t="str">
        <f t="shared" si="484"/>
        <v>24140</v>
      </c>
      <c r="B12974" s="1" t="str">
        <f>"27883"</f>
        <v>27883</v>
      </c>
      <c r="C12974" s="2">
        <v>4.4162017293980799E-3</v>
      </c>
      <c r="D12974" s="2">
        <v>5.8997050147492603E-4</v>
      </c>
      <c r="E12974" s="2">
        <v>0</v>
      </c>
      <c r="F12974" s="2">
        <v>3.9955973041026398E-3</v>
      </c>
    </row>
    <row r="12975" spans="1:6" x14ac:dyDescent="0.25">
      <c r="A12975" s="1" t="str">
        <f t="shared" si="484"/>
        <v>24140</v>
      </c>
      <c r="B12975" s="1" t="str">
        <f>"28333"</f>
        <v>28333</v>
      </c>
      <c r="C12975" s="2">
        <v>9.2639101926610096E-2</v>
      </c>
      <c r="D12975" s="2">
        <v>2.20255653883972E-2</v>
      </c>
      <c r="E12975" s="2">
        <v>9.9424385138670805E-3</v>
      </c>
      <c r="F12975" s="2">
        <v>8.4842362378058797E-2</v>
      </c>
    </row>
    <row r="12976" spans="1:6" x14ac:dyDescent="0.25">
      <c r="A12976" s="1" t="str">
        <f t="shared" si="484"/>
        <v>24140</v>
      </c>
      <c r="B12976" s="1" t="str">
        <f>"27534"</f>
        <v>27534</v>
      </c>
      <c r="C12976" s="2">
        <v>0.27248976014293602</v>
      </c>
      <c r="D12976" s="2">
        <v>0.31209439528023503</v>
      </c>
      <c r="E12976" s="2">
        <v>0.36891679748822598</v>
      </c>
      <c r="F12976" s="2">
        <v>0.27830466052500602</v>
      </c>
    </row>
    <row r="12977" spans="1:6" x14ac:dyDescent="0.25">
      <c r="A12977" s="1" t="str">
        <f t="shared" si="484"/>
        <v>24140</v>
      </c>
      <c r="B12977" s="1" t="str">
        <f>"27530"</f>
        <v>27530</v>
      </c>
      <c r="C12977" s="2">
        <v>0.31732600670858102</v>
      </c>
      <c r="D12977" s="2">
        <v>0.36322517207472899</v>
      </c>
      <c r="E12977" s="2">
        <v>0.46258503401360501</v>
      </c>
      <c r="F12977" s="2">
        <v>0.32503053239449298</v>
      </c>
    </row>
    <row r="12978" spans="1:6" x14ac:dyDescent="0.25">
      <c r="A12978" s="1" t="str">
        <f t="shared" si="484"/>
        <v>24140</v>
      </c>
      <c r="B12978" s="1" t="str">
        <f>"27532"</f>
        <v>27532</v>
      </c>
      <c r="C12978" s="2">
        <v>1.2152982621740501E-2</v>
      </c>
      <c r="D12978" s="2">
        <v>6.0176991150442401E-2</v>
      </c>
      <c r="E12978" s="2">
        <v>5.2328623757195102E-4</v>
      </c>
      <c r="F12978" s="2">
        <v>1.54999019947831E-2</v>
      </c>
    </row>
    <row r="12979" spans="1:6" x14ac:dyDescent="0.25">
      <c r="A12979" s="1" t="str">
        <f t="shared" si="484"/>
        <v>24140</v>
      </c>
      <c r="B12979" s="1" t="str">
        <f>"27830"</f>
        <v>27830</v>
      </c>
      <c r="C12979" s="2">
        <v>2.5469010737101099E-2</v>
      </c>
      <c r="D12979" s="2">
        <v>9.8328416912487702E-3</v>
      </c>
      <c r="E12979" s="2">
        <v>3.6106750392464602E-2</v>
      </c>
      <c r="F12979" s="2">
        <v>2.4576692851650199E-2</v>
      </c>
    </row>
    <row r="12980" spans="1:6" x14ac:dyDescent="0.25">
      <c r="A12980" s="1" t="str">
        <f t="shared" si="484"/>
        <v>24140</v>
      </c>
      <c r="B12980" s="1" t="str">
        <f>"27863"</f>
        <v>27863</v>
      </c>
      <c r="C12980" s="2">
        <v>8.6537327018052404E-2</v>
      </c>
      <c r="D12980" s="2">
        <v>1.5535889872172999E-2</v>
      </c>
      <c r="E12980" s="2">
        <v>4.08163265306122E-2</v>
      </c>
      <c r="F12980" s="2">
        <v>7.9776246550970195E-2</v>
      </c>
    </row>
    <row r="12981" spans="1:6" x14ac:dyDescent="0.25">
      <c r="A12981" s="1" t="str">
        <f t="shared" si="484"/>
        <v>24140</v>
      </c>
      <c r="B12981" s="1" t="str">
        <f>"27569"</f>
        <v>27569</v>
      </c>
      <c r="C12981" s="2">
        <v>1.6990577645928401E-2</v>
      </c>
      <c r="D12981" s="2">
        <v>5.7030481809242804E-3</v>
      </c>
      <c r="E12981" s="2">
        <v>0</v>
      </c>
      <c r="F12981" s="2">
        <v>1.5635601525865801E-2</v>
      </c>
    </row>
    <row r="12982" spans="1:6" x14ac:dyDescent="0.25">
      <c r="A12982" s="1" t="str">
        <f t="shared" si="484"/>
        <v>24140</v>
      </c>
      <c r="B12982" s="1" t="str">
        <f>"27524"</f>
        <v>27524</v>
      </c>
      <c r="C12982" s="2">
        <v>2.1575336693242502E-3</v>
      </c>
      <c r="D12982" s="2">
        <v>5.8997050147492603E-4</v>
      </c>
      <c r="E12982" s="2">
        <v>0</v>
      </c>
      <c r="F12982" s="2">
        <v>1.9751820635375301E-3</v>
      </c>
    </row>
    <row r="12983" spans="1:6" x14ac:dyDescent="0.25">
      <c r="A12983" s="1" t="str">
        <f t="shared" si="484"/>
        <v>24140</v>
      </c>
      <c r="B12983" s="1" t="str">
        <f>"27533"</f>
        <v>27533</v>
      </c>
      <c r="C12983" s="2">
        <v>1.8996409729128302E-2</v>
      </c>
      <c r="D12983" s="2">
        <v>9.12487708947885E-2</v>
      </c>
      <c r="E12983" s="2">
        <v>5.2328623757195102E-4</v>
      </c>
      <c r="F12983" s="2">
        <v>2.4003739275967599E-2</v>
      </c>
    </row>
    <row r="12984" spans="1:6" x14ac:dyDescent="0.25">
      <c r="A12984" s="1" t="str">
        <f t="shared" si="484"/>
        <v>24140</v>
      </c>
      <c r="B12984" s="1" t="str">
        <f>"28365"</f>
        <v>28365</v>
      </c>
      <c r="C12984" s="2">
        <v>8.3941544322146705E-2</v>
      </c>
      <c r="D12984" s="2">
        <v>9.6361848574237893E-2</v>
      </c>
      <c r="E12984" s="2">
        <v>4.2386185243328101E-2</v>
      </c>
      <c r="F12984" s="2">
        <v>8.3696455226693597E-2</v>
      </c>
    </row>
    <row r="12985" spans="1:6" x14ac:dyDescent="0.25">
      <c r="A12985" s="1" t="str">
        <f t="shared" ref="A12985:A12994" si="485">"24180"</f>
        <v>24180</v>
      </c>
      <c r="B12985" s="1" t="str">
        <f>"76433"</f>
        <v>76433</v>
      </c>
      <c r="C12985" s="2">
        <v>1.55810827324941E-3</v>
      </c>
      <c r="D12985" s="2">
        <v>3.1152647975077802E-4</v>
      </c>
      <c r="E12985" s="2">
        <v>0</v>
      </c>
      <c r="F12985" s="2">
        <v>1.42037694618956E-3</v>
      </c>
    </row>
    <row r="12986" spans="1:6" x14ac:dyDescent="0.25">
      <c r="A12986" s="1" t="str">
        <f t="shared" si="485"/>
        <v>24180</v>
      </c>
      <c r="B12986" s="1" t="str">
        <f>"76049"</f>
        <v>76049</v>
      </c>
      <c r="C12986" s="2">
        <v>0.46217768544543503</v>
      </c>
      <c r="D12986" s="2">
        <v>0.42523364485981302</v>
      </c>
      <c r="E12986" s="2">
        <v>0.31137724550898199</v>
      </c>
      <c r="F12986" s="2">
        <v>0.45618683419830602</v>
      </c>
    </row>
    <row r="12987" spans="1:6" x14ac:dyDescent="0.25">
      <c r="A12987" s="1" t="str">
        <f t="shared" si="485"/>
        <v>24180</v>
      </c>
      <c r="B12987" s="1" t="str">
        <f>"76033"</f>
        <v>76033</v>
      </c>
      <c r="C12987" s="2">
        <v>7.3322742270560905E-4</v>
      </c>
      <c r="D12987" s="2">
        <v>1.5576323987538899E-3</v>
      </c>
      <c r="E12987" s="2">
        <v>1.04790419161676E-2</v>
      </c>
      <c r="F12987" s="2">
        <v>9.8333788582354508E-4</v>
      </c>
    </row>
    <row r="12988" spans="1:6" x14ac:dyDescent="0.25">
      <c r="A12988" s="1" t="str">
        <f t="shared" si="485"/>
        <v>24180</v>
      </c>
      <c r="B12988" s="1" t="str">
        <f>"76048"</f>
        <v>76048</v>
      </c>
      <c r="C12988" s="2">
        <v>0.45191250152755702</v>
      </c>
      <c r="D12988" s="2">
        <v>0.536448598130841</v>
      </c>
      <c r="E12988" s="2">
        <v>0.62125748502994005</v>
      </c>
      <c r="F12988" s="2">
        <v>0.46241464080852202</v>
      </c>
    </row>
    <row r="12989" spans="1:6" x14ac:dyDescent="0.25">
      <c r="A12989" s="1" t="str">
        <f t="shared" si="485"/>
        <v>24180</v>
      </c>
      <c r="B12989" s="1" t="str">
        <f>"76035"</f>
        <v>76035</v>
      </c>
      <c r="C12989" s="2">
        <v>1.6680923866552601E-2</v>
      </c>
      <c r="D12989" s="2">
        <v>2.0560747663551399E-2</v>
      </c>
      <c r="E12989" s="2">
        <v>1.19760479041916E-2</v>
      </c>
      <c r="F12989" s="2">
        <v>1.6935263589183201E-2</v>
      </c>
    </row>
    <row r="12990" spans="1:6" x14ac:dyDescent="0.25">
      <c r="A12990" s="1" t="str">
        <f t="shared" si="485"/>
        <v>24180</v>
      </c>
      <c r="B12990" s="1" t="str">
        <f>"76462"</f>
        <v>76462</v>
      </c>
      <c r="C12990" s="2">
        <v>1.8575094708542E-2</v>
      </c>
      <c r="D12990" s="2">
        <v>2.18068535825545E-3</v>
      </c>
      <c r="E12990" s="2">
        <v>1.79640718562874E-2</v>
      </c>
      <c r="F12990" s="2">
        <v>1.71264681780934E-2</v>
      </c>
    </row>
    <row r="12991" spans="1:6" x14ac:dyDescent="0.25">
      <c r="A12991" s="1" t="str">
        <f t="shared" si="485"/>
        <v>24180</v>
      </c>
      <c r="B12991" s="1" t="str">
        <f>"76476"</f>
        <v>76476</v>
      </c>
      <c r="C12991" s="2">
        <v>3.8036172552853402E-2</v>
      </c>
      <c r="D12991" s="2">
        <v>1.1214953271028E-2</v>
      </c>
      <c r="E12991" s="2">
        <v>2.09580838323353E-2</v>
      </c>
      <c r="F12991" s="2">
        <v>3.5372848948374697E-2</v>
      </c>
    </row>
    <row r="12992" spans="1:6" x14ac:dyDescent="0.25">
      <c r="A12992" s="1" t="str">
        <f t="shared" si="485"/>
        <v>24180</v>
      </c>
      <c r="B12992" s="1" t="str">
        <f>"76467"</f>
        <v>76467</v>
      </c>
      <c r="C12992" s="2">
        <v>0</v>
      </c>
      <c r="D12992" s="2">
        <v>0</v>
      </c>
      <c r="E12992" s="2">
        <v>1.49700598802395E-3</v>
      </c>
      <c r="F12992" s="2">
        <v>2.7314941272876201E-5</v>
      </c>
    </row>
    <row r="12993" spans="1:6" x14ac:dyDescent="0.25">
      <c r="A12993" s="1" t="str">
        <f t="shared" si="485"/>
        <v>24180</v>
      </c>
      <c r="B12993" s="1" t="str">
        <f>"76087"</f>
        <v>76087</v>
      </c>
      <c r="C12993" s="2">
        <v>1.02651839178785E-2</v>
      </c>
      <c r="D12993" s="2">
        <v>2.4922118380062302E-3</v>
      </c>
      <c r="E12993" s="2">
        <v>4.4910179640718501E-3</v>
      </c>
      <c r="F12993" s="2">
        <v>9.4782846216880604E-3</v>
      </c>
    </row>
    <row r="12994" spans="1:6" x14ac:dyDescent="0.25">
      <c r="A12994" s="1" t="str">
        <f t="shared" si="485"/>
        <v>24180</v>
      </c>
      <c r="B12994" s="1" t="str">
        <f>"76044"</f>
        <v>76044</v>
      </c>
      <c r="C12994" s="2">
        <v>6.1102285225467402E-5</v>
      </c>
      <c r="D12994" s="2">
        <v>0</v>
      </c>
      <c r="E12994" s="2">
        <v>0</v>
      </c>
      <c r="F12994" s="2">
        <v>5.4629882545752497E-5</v>
      </c>
    </row>
    <row r="12995" spans="1:6" x14ac:dyDescent="0.25">
      <c r="A12995" s="1" t="str">
        <f t="shared" ref="A12995:A13041" si="486">"24220"</f>
        <v>24220</v>
      </c>
      <c r="B12995" s="1" t="str">
        <f>"56556"</f>
        <v>56556</v>
      </c>
      <c r="C12995" s="2">
        <v>1.07990935067494E-2</v>
      </c>
      <c r="D12995" s="2">
        <v>1.1675423234092199E-3</v>
      </c>
      <c r="E12995" s="2">
        <v>6.5927479772250504E-3</v>
      </c>
      <c r="F12995" s="2">
        <v>9.4856730232710795E-3</v>
      </c>
    </row>
    <row r="12996" spans="1:6" x14ac:dyDescent="0.25">
      <c r="A12996" s="1" t="str">
        <f t="shared" si="486"/>
        <v>24220</v>
      </c>
      <c r="B12996" s="1" t="str">
        <f>"58275"</f>
        <v>58275</v>
      </c>
      <c r="C12996" s="2">
        <v>4.4930535028081496E-3</v>
      </c>
      <c r="D12996" s="2">
        <v>8.7565674255691704E-4</v>
      </c>
      <c r="E12996" s="2">
        <v>2.9967036260113801E-4</v>
      </c>
      <c r="F12996" s="2">
        <v>3.8566317655167799E-3</v>
      </c>
    </row>
    <row r="12997" spans="1:6" x14ac:dyDescent="0.25">
      <c r="A12997" s="1" t="str">
        <f t="shared" si="486"/>
        <v>24220</v>
      </c>
      <c r="B12997" s="1" t="str">
        <f>"58202"</f>
        <v>58202</v>
      </c>
      <c r="C12997" s="2">
        <v>0</v>
      </c>
      <c r="D12997" s="2">
        <v>0.39375364856975997</v>
      </c>
      <c r="E12997" s="2">
        <v>3.83578064129457E-2</v>
      </c>
      <c r="F12997" s="2">
        <v>4.6378048380214601E-2</v>
      </c>
    </row>
    <row r="12998" spans="1:6" x14ac:dyDescent="0.25">
      <c r="A12998" s="1" t="str">
        <f t="shared" si="486"/>
        <v>24220</v>
      </c>
      <c r="B12998" s="1" t="str">
        <f>"56517"</f>
        <v>56517</v>
      </c>
      <c r="C12998" s="2">
        <v>2.24652675140407E-3</v>
      </c>
      <c r="D12998" s="2">
        <v>1.1675423234092199E-3</v>
      </c>
      <c r="E12998" s="2">
        <v>1.4983518130056901E-3</v>
      </c>
      <c r="F12998" s="2">
        <v>2.08422227327928E-3</v>
      </c>
    </row>
    <row r="12999" spans="1:6" x14ac:dyDescent="0.25">
      <c r="A12999" s="1" t="str">
        <f t="shared" si="486"/>
        <v>24220</v>
      </c>
      <c r="B12999" s="1" t="str">
        <f>"56542"</f>
        <v>56542</v>
      </c>
      <c r="C12999" s="2">
        <v>2.5716819391072999E-2</v>
      </c>
      <c r="D12999" s="2">
        <v>1.69293636894337E-2</v>
      </c>
      <c r="E12999" s="2">
        <v>1.46838477674557E-2</v>
      </c>
      <c r="F12999" s="2">
        <v>2.41244625332326E-2</v>
      </c>
    </row>
    <row r="13000" spans="1:6" x14ac:dyDescent="0.25">
      <c r="A13000" s="1" t="str">
        <f t="shared" si="486"/>
        <v>24220</v>
      </c>
      <c r="B13000" s="1" t="str">
        <f>"58228"</f>
        <v>58228</v>
      </c>
      <c r="C13000" s="2">
        <v>1.2099714257562301E-2</v>
      </c>
      <c r="D13000" s="2">
        <v>2.7729130180969E-3</v>
      </c>
      <c r="E13000" s="2">
        <v>4.1953850764159398E-3</v>
      </c>
      <c r="F13000" s="2">
        <v>1.06180457544228E-2</v>
      </c>
    </row>
    <row r="13001" spans="1:6" x14ac:dyDescent="0.25">
      <c r="A13001" s="1" t="str">
        <f t="shared" si="486"/>
        <v>24220</v>
      </c>
      <c r="B13001" s="1" t="str">
        <f>"58278"</f>
        <v>58278</v>
      </c>
      <c r="C13001" s="2">
        <v>1.7302197260813799E-2</v>
      </c>
      <c r="D13001" s="2">
        <v>2.9188558085230499E-3</v>
      </c>
      <c r="E13001" s="2">
        <v>2.69703326341024E-3</v>
      </c>
      <c r="F13001" s="2">
        <v>1.4884957494994499E-2</v>
      </c>
    </row>
    <row r="13002" spans="1:6" x14ac:dyDescent="0.25">
      <c r="A13002" s="1" t="str">
        <f t="shared" si="486"/>
        <v>24220</v>
      </c>
      <c r="B13002" s="1" t="str">
        <f>"58207"</f>
        <v>58207</v>
      </c>
      <c r="C13002" s="2">
        <v>1.5765100009853099E-4</v>
      </c>
      <c r="D13002" s="2">
        <v>1.45942790426152E-4</v>
      </c>
      <c r="E13002" s="2">
        <v>0</v>
      </c>
      <c r="F13002" s="2">
        <v>1.47700791019791E-4</v>
      </c>
    </row>
    <row r="13003" spans="1:6" x14ac:dyDescent="0.25">
      <c r="A13003" s="1" t="str">
        <f t="shared" si="486"/>
        <v>24220</v>
      </c>
      <c r="B13003" s="1" t="str">
        <f>"58240"</f>
        <v>58240</v>
      </c>
      <c r="C13003" s="2">
        <v>8.8678687555424096E-4</v>
      </c>
      <c r="D13003" s="2">
        <v>0</v>
      </c>
      <c r="E13003" s="2">
        <v>0</v>
      </c>
      <c r="F13003" s="2">
        <v>7.3850395509895896E-4</v>
      </c>
    </row>
    <row r="13004" spans="1:6" x14ac:dyDescent="0.25">
      <c r="A13004" s="1" t="str">
        <f t="shared" si="486"/>
        <v>24220</v>
      </c>
      <c r="B13004" s="1" t="str">
        <f>"58206"</f>
        <v>58206</v>
      </c>
      <c r="C13004" s="2">
        <v>9.5970046309981193E-3</v>
      </c>
      <c r="D13004" s="2">
        <v>2.8750729713952101E-2</v>
      </c>
      <c r="E13004" s="2">
        <v>5.9934072520227699E-4</v>
      </c>
      <c r="F13004" s="2">
        <v>1.12580825155085E-2</v>
      </c>
    </row>
    <row r="13005" spans="1:6" x14ac:dyDescent="0.25">
      <c r="A13005" s="1" t="str">
        <f t="shared" si="486"/>
        <v>24220</v>
      </c>
      <c r="B13005" s="1" t="str">
        <f>"56592"</f>
        <v>56592</v>
      </c>
      <c r="C13005" s="2">
        <v>4.0398068775248704E-3</v>
      </c>
      <c r="D13005" s="2">
        <v>1.02159953298307E-3</v>
      </c>
      <c r="E13005" s="2">
        <v>2.3973629008091002E-3</v>
      </c>
      <c r="F13005" s="2">
        <v>3.6104637804837999E-3</v>
      </c>
    </row>
    <row r="13006" spans="1:6" x14ac:dyDescent="0.25">
      <c r="A13006" s="1" t="str">
        <f t="shared" si="486"/>
        <v>24220</v>
      </c>
      <c r="B13006" s="1" t="str">
        <f>"56723"</f>
        <v>56723</v>
      </c>
      <c r="C13006" s="2">
        <v>7.3898906296186798E-3</v>
      </c>
      <c r="D13006" s="2">
        <v>2.9188558085230498E-4</v>
      </c>
      <c r="E13006" s="2">
        <v>1.4983518130056901E-3</v>
      </c>
      <c r="F13006" s="2">
        <v>6.2690780188400502E-3</v>
      </c>
    </row>
    <row r="13007" spans="1:6" x14ac:dyDescent="0.25">
      <c r="A13007" s="1" t="str">
        <f t="shared" si="486"/>
        <v>24220</v>
      </c>
      <c r="B13007" s="1" t="str">
        <f>"56736"</f>
        <v>56736</v>
      </c>
      <c r="C13007" s="2">
        <v>1.27500246329687E-2</v>
      </c>
      <c r="D13007" s="2">
        <v>2.9188558085230499E-3</v>
      </c>
      <c r="E13007" s="2">
        <v>2.0976925382079699E-3</v>
      </c>
      <c r="F13007" s="2">
        <v>1.1061148127482099E-2</v>
      </c>
    </row>
    <row r="13008" spans="1:6" x14ac:dyDescent="0.25">
      <c r="A13008" s="1" t="str">
        <f t="shared" si="486"/>
        <v>24220</v>
      </c>
      <c r="B13008" s="1" t="str">
        <f>"56744"</f>
        <v>56744</v>
      </c>
      <c r="C13008" s="2">
        <v>8.0796137550497504E-4</v>
      </c>
      <c r="D13008" s="2">
        <v>0</v>
      </c>
      <c r="E13008" s="2">
        <v>0</v>
      </c>
      <c r="F13008" s="2">
        <v>6.7285915909016296E-4</v>
      </c>
    </row>
    <row r="13009" spans="1:6" x14ac:dyDescent="0.25">
      <c r="A13009" s="1" t="str">
        <f t="shared" si="486"/>
        <v>24220</v>
      </c>
      <c r="B13009" s="1" t="str">
        <f>"58244"</f>
        <v>58244</v>
      </c>
      <c r="C13009" s="2">
        <v>1.47797812592373E-3</v>
      </c>
      <c r="D13009" s="2">
        <v>0</v>
      </c>
      <c r="E13009" s="2">
        <v>2.9967036260113801E-4</v>
      </c>
      <c r="F13009" s="2">
        <v>1.2472511241671299E-3</v>
      </c>
    </row>
    <row r="13010" spans="1:6" x14ac:dyDescent="0.25">
      <c r="A13010" s="1" t="str">
        <f t="shared" si="486"/>
        <v>24220</v>
      </c>
      <c r="B13010" s="1" t="str">
        <f>"58208"</f>
        <v>58208</v>
      </c>
      <c r="C13010" s="2">
        <v>2.9973396393733299E-2</v>
      </c>
      <c r="D13010" s="2">
        <v>5.5166374781085797E-2</v>
      </c>
      <c r="E13010" s="2">
        <v>5.9934072520227699E-4</v>
      </c>
      <c r="F13010" s="2">
        <v>3.1197689303180402E-2</v>
      </c>
    </row>
    <row r="13011" spans="1:6" x14ac:dyDescent="0.25">
      <c r="A13011" s="1" t="str">
        <f t="shared" si="486"/>
        <v>24220</v>
      </c>
      <c r="B13011" s="1" t="str">
        <f>"56621"</f>
        <v>56621</v>
      </c>
      <c r="C13011" s="2">
        <v>5.5177850034486098E-4</v>
      </c>
      <c r="D13011" s="2">
        <v>0</v>
      </c>
      <c r="E13011" s="2">
        <v>0</v>
      </c>
      <c r="F13011" s="2">
        <v>4.5951357206157399E-4</v>
      </c>
    </row>
    <row r="13012" spans="1:6" x14ac:dyDescent="0.25">
      <c r="A13012" s="1" t="str">
        <f t="shared" si="486"/>
        <v>24220</v>
      </c>
      <c r="B13012" s="1" t="str">
        <f>"58258"</f>
        <v>58258</v>
      </c>
      <c r="C13012" s="2">
        <v>2.1085821263178602E-3</v>
      </c>
      <c r="D13012" s="2">
        <v>1.45942790426152E-4</v>
      </c>
      <c r="E13012" s="2">
        <v>2.9967036260113801E-4</v>
      </c>
      <c r="F13012" s="2">
        <v>1.7888206912397E-3</v>
      </c>
    </row>
    <row r="13013" spans="1:6" x14ac:dyDescent="0.25">
      <c r="A13013" s="1" t="str">
        <f t="shared" si="486"/>
        <v>24220</v>
      </c>
      <c r="B13013" s="1" t="str">
        <f>"56710"</f>
        <v>56710</v>
      </c>
      <c r="C13013" s="2">
        <v>2.3647650014779699E-4</v>
      </c>
      <c r="D13013" s="2">
        <v>0</v>
      </c>
      <c r="E13013" s="2">
        <v>0</v>
      </c>
      <c r="F13013" s="2">
        <v>1.96934388026389E-4</v>
      </c>
    </row>
    <row r="13014" spans="1:6" x14ac:dyDescent="0.25">
      <c r="A13014" s="1" t="str">
        <f t="shared" si="486"/>
        <v>24220</v>
      </c>
      <c r="B13014" s="1" t="str">
        <f>"58212"</f>
        <v>58212</v>
      </c>
      <c r="C13014" s="2">
        <v>3.3500837520937998E-4</v>
      </c>
      <c r="D13014" s="2">
        <v>0</v>
      </c>
      <c r="E13014" s="2">
        <v>0</v>
      </c>
      <c r="F13014" s="2">
        <v>2.7899038303738399E-4</v>
      </c>
    </row>
    <row r="13015" spans="1:6" x14ac:dyDescent="0.25">
      <c r="A13015" s="1" t="str">
        <f t="shared" si="486"/>
        <v>24220</v>
      </c>
      <c r="B13015" s="1" t="str">
        <f>"56644"</f>
        <v>56644</v>
      </c>
      <c r="C13015" s="2">
        <v>3.3500837520937998E-4</v>
      </c>
      <c r="D13015" s="2">
        <v>0</v>
      </c>
      <c r="E13015" s="2">
        <v>0</v>
      </c>
      <c r="F13015" s="2">
        <v>2.7899038303738399E-4</v>
      </c>
    </row>
    <row r="13016" spans="1:6" x14ac:dyDescent="0.25">
      <c r="A13016" s="1" t="str">
        <f t="shared" si="486"/>
        <v>24220</v>
      </c>
      <c r="B13016" s="1" t="str">
        <f>"56722"</f>
        <v>56722</v>
      </c>
      <c r="C13016" s="2">
        <v>3.2318455020199002E-3</v>
      </c>
      <c r="D13016" s="2">
        <v>7.2971395213076399E-4</v>
      </c>
      <c r="E13016" s="2">
        <v>2.9967036260113801E-4</v>
      </c>
      <c r="F13016" s="2">
        <v>2.7899038303738398E-3</v>
      </c>
    </row>
    <row r="13017" spans="1:6" x14ac:dyDescent="0.25">
      <c r="A13017" s="1" t="str">
        <f t="shared" si="486"/>
        <v>24220</v>
      </c>
      <c r="B13017" s="1" t="str">
        <f>"58256"</f>
        <v>58256</v>
      </c>
      <c r="C13017" s="2">
        <v>7.5475416297172103E-3</v>
      </c>
      <c r="D13017" s="2">
        <v>5.8377116170461104E-4</v>
      </c>
      <c r="E13017" s="2">
        <v>1.1986814504045501E-3</v>
      </c>
      <c r="F13017" s="2">
        <v>6.4167788098598404E-3</v>
      </c>
    </row>
    <row r="13018" spans="1:6" x14ac:dyDescent="0.25">
      <c r="A13018" s="1" t="str">
        <f t="shared" si="486"/>
        <v>24220</v>
      </c>
      <c r="B13018" s="1" t="str">
        <f>"58203"</f>
        <v>58203</v>
      </c>
      <c r="C13018" s="2">
        <v>0.16334614247709101</v>
      </c>
      <c r="D13018" s="2">
        <v>0.12478108581436</v>
      </c>
      <c r="E13018" s="2">
        <v>0.198082109679352</v>
      </c>
      <c r="F13018" s="2">
        <v>0.16091180621656201</v>
      </c>
    </row>
    <row r="13019" spans="1:6" x14ac:dyDescent="0.25">
      <c r="A13019" s="1" t="str">
        <f t="shared" si="486"/>
        <v>24220</v>
      </c>
      <c r="B13019" s="1" t="str">
        <f>"58231"</f>
        <v>58231</v>
      </c>
      <c r="C13019" s="2">
        <v>6.30604000394127E-4</v>
      </c>
      <c r="D13019" s="2">
        <v>1.45942790426152E-4</v>
      </c>
      <c r="E13019" s="2">
        <v>0</v>
      </c>
      <c r="F13019" s="2">
        <v>5.4156956707256999E-4</v>
      </c>
    </row>
    <row r="13020" spans="1:6" x14ac:dyDescent="0.25">
      <c r="A13020" s="1" t="str">
        <f t="shared" si="486"/>
        <v>24220</v>
      </c>
      <c r="B13020" s="1" t="str">
        <f>"56716"</f>
        <v>56716</v>
      </c>
      <c r="C13020" s="2">
        <v>8.5033008178145603E-2</v>
      </c>
      <c r="D13020" s="2">
        <v>5.34150612959719E-2</v>
      </c>
      <c r="E13020" s="2">
        <v>7.85136350014983E-2</v>
      </c>
      <c r="F13020" s="2">
        <v>8.1120556667870103E-2</v>
      </c>
    </row>
    <row r="13021" spans="1:6" x14ac:dyDescent="0.25">
      <c r="A13021" s="1" t="str">
        <f t="shared" si="486"/>
        <v>24220</v>
      </c>
      <c r="B13021" s="1" t="str">
        <f>"56535"</f>
        <v>56535</v>
      </c>
      <c r="C13021" s="2">
        <v>1.46221302591388E-2</v>
      </c>
      <c r="D13021" s="2">
        <v>3.9404553415061201E-3</v>
      </c>
      <c r="E13021" s="2">
        <v>5.6937368894216297E-3</v>
      </c>
      <c r="F13021" s="2">
        <v>1.29320248137328E-2</v>
      </c>
    </row>
    <row r="13022" spans="1:6" x14ac:dyDescent="0.25">
      <c r="A13022" s="1" t="str">
        <f t="shared" si="486"/>
        <v>24220</v>
      </c>
      <c r="B13022" s="1" t="str">
        <f>"58205"</f>
        <v>58205</v>
      </c>
      <c r="C13022" s="2">
        <v>1.9706375012316401E-5</v>
      </c>
      <c r="D13022" s="2">
        <v>1.45942790426152E-4</v>
      </c>
      <c r="E13022" s="2">
        <v>5.0943961642193503E-2</v>
      </c>
      <c r="F13022" s="2">
        <v>2.8227262283782402E-3</v>
      </c>
    </row>
    <row r="13023" spans="1:6" x14ac:dyDescent="0.25">
      <c r="A13023" s="1" t="str">
        <f t="shared" si="486"/>
        <v>24220</v>
      </c>
      <c r="B13023" s="1" t="str">
        <f>"58235"</f>
        <v>58235</v>
      </c>
      <c r="C13023" s="2">
        <v>2.0100502512562799E-3</v>
      </c>
      <c r="D13023" s="2">
        <v>1.02159953298307E-3</v>
      </c>
      <c r="E13023" s="2">
        <v>1.1986814504045501E-3</v>
      </c>
      <c r="F13023" s="2">
        <v>1.8544654872484901E-3</v>
      </c>
    </row>
    <row r="13024" spans="1:6" x14ac:dyDescent="0.25">
      <c r="A13024" s="1" t="str">
        <f t="shared" si="486"/>
        <v>24220</v>
      </c>
      <c r="B13024" s="1" t="str">
        <f>"56742"</f>
        <v>56742</v>
      </c>
      <c r="C13024" s="2">
        <v>1.1823825007389801E-4</v>
      </c>
      <c r="D13024" s="2">
        <v>0</v>
      </c>
      <c r="E13024" s="2">
        <v>0</v>
      </c>
      <c r="F13024" s="2">
        <v>9.8467194013194607E-5</v>
      </c>
    </row>
    <row r="13025" spans="1:6" x14ac:dyDescent="0.25">
      <c r="A13025" s="1" t="str">
        <f t="shared" si="486"/>
        <v>24220</v>
      </c>
      <c r="B13025" s="1" t="str">
        <f>"58233"</f>
        <v>58233</v>
      </c>
      <c r="C13025" s="2">
        <v>1.39915262587447E-3</v>
      </c>
      <c r="D13025" s="2">
        <v>2.9188558085230498E-4</v>
      </c>
      <c r="E13025" s="2">
        <v>0</v>
      </c>
      <c r="F13025" s="2">
        <v>1.1980175271605301E-3</v>
      </c>
    </row>
    <row r="13026" spans="1:6" x14ac:dyDescent="0.25">
      <c r="A13026" s="1" t="str">
        <f t="shared" si="486"/>
        <v>24220</v>
      </c>
      <c r="B13026" s="1" t="str">
        <f>"58266"</f>
        <v>58266</v>
      </c>
      <c r="C13026" s="2">
        <v>1.7144546260715299E-3</v>
      </c>
      <c r="D13026" s="2">
        <v>2.9188558085230498E-4</v>
      </c>
      <c r="E13026" s="2">
        <v>2.9967036260113801E-4</v>
      </c>
      <c r="F13026" s="2">
        <v>1.4770079101979099E-3</v>
      </c>
    </row>
    <row r="13027" spans="1:6" x14ac:dyDescent="0.25">
      <c r="A13027" s="1" t="str">
        <f t="shared" si="486"/>
        <v>24220</v>
      </c>
      <c r="B13027" s="1" t="str">
        <f>"56523"</f>
        <v>56523</v>
      </c>
      <c r="C13027" s="2">
        <v>4.6309981278943703E-3</v>
      </c>
      <c r="D13027" s="2">
        <v>4.3782837127845798E-4</v>
      </c>
      <c r="E13027" s="2">
        <v>1.7980221756068301E-3</v>
      </c>
      <c r="F13027" s="2">
        <v>4.00433255653658E-3</v>
      </c>
    </row>
    <row r="13028" spans="1:6" x14ac:dyDescent="0.25">
      <c r="A13028" s="1" t="str">
        <f t="shared" si="486"/>
        <v>24220</v>
      </c>
      <c r="B13028" s="1" t="str">
        <f>"56684"</f>
        <v>56684</v>
      </c>
      <c r="C13028" s="2">
        <v>4.0595132525371898E-3</v>
      </c>
      <c r="D13028" s="2">
        <v>1.45942790426152E-4</v>
      </c>
      <c r="E13028" s="2">
        <v>5.9934072520227699E-4</v>
      </c>
      <c r="F13028" s="2">
        <v>3.4299405914596098E-3</v>
      </c>
    </row>
    <row r="13029" spans="1:6" x14ac:dyDescent="0.25">
      <c r="A13029" s="1" t="str">
        <f t="shared" si="486"/>
        <v>24220</v>
      </c>
      <c r="B13029" s="1" t="str">
        <f>"56721"</f>
        <v>56721</v>
      </c>
      <c r="C13029" s="2">
        <v>9.6935658685584694E-2</v>
      </c>
      <c r="D13029" s="2">
        <v>5.9690601284296499E-2</v>
      </c>
      <c r="E13029" s="2">
        <v>5.30416541804015E-2</v>
      </c>
      <c r="F13029" s="2">
        <v>9.0343650507105994E-2</v>
      </c>
    </row>
    <row r="13030" spans="1:6" x14ac:dyDescent="0.25">
      <c r="A13030" s="1" t="str">
        <f t="shared" si="486"/>
        <v>24220</v>
      </c>
      <c r="B13030" s="1" t="str">
        <f>"56762"</f>
        <v>56762</v>
      </c>
      <c r="C13030" s="2">
        <v>3.9018622524386601E-3</v>
      </c>
      <c r="D13030" s="2">
        <v>2.1891418563922899E-3</v>
      </c>
      <c r="E13030" s="2">
        <v>0</v>
      </c>
      <c r="F13030" s="2">
        <v>3.4955853874684001E-3</v>
      </c>
    </row>
    <row r="13031" spans="1:6" x14ac:dyDescent="0.25">
      <c r="A13031" s="1" t="str">
        <f t="shared" si="486"/>
        <v>24220</v>
      </c>
      <c r="B13031" s="1" t="str">
        <f>"58201"</f>
        <v>58201</v>
      </c>
      <c r="C13031" s="2">
        <v>0.40411863237757401</v>
      </c>
      <c r="D13031" s="2">
        <v>0.236135434909515</v>
      </c>
      <c r="E13031" s="2">
        <v>0.372490260713215</v>
      </c>
      <c r="F13031" s="2">
        <v>0.38349689828338801</v>
      </c>
    </row>
    <row r="13032" spans="1:6" x14ac:dyDescent="0.25">
      <c r="A13032" s="1" t="str">
        <f t="shared" si="486"/>
        <v>24220</v>
      </c>
      <c r="B13032" s="1" t="str">
        <f>"58267"</f>
        <v>58267</v>
      </c>
      <c r="C13032" s="2">
        <v>1.1587348507241999E-2</v>
      </c>
      <c r="D13032" s="2">
        <v>1.75131348511383E-3</v>
      </c>
      <c r="E13032" s="2">
        <v>3.5960443512136602E-3</v>
      </c>
      <c r="F13032" s="2">
        <v>1.00436537893458E-2</v>
      </c>
    </row>
    <row r="13033" spans="1:6" x14ac:dyDescent="0.25">
      <c r="A13033" s="1" t="str">
        <f t="shared" si="486"/>
        <v>24220</v>
      </c>
      <c r="B13033" s="1" t="str">
        <f>"58204"</f>
        <v>58204</v>
      </c>
      <c r="C13033" s="2">
        <v>1.07990935067494E-2</v>
      </c>
      <c r="D13033" s="2">
        <v>7.2971395213076399E-4</v>
      </c>
      <c r="E13033" s="2">
        <v>0.140845070422535</v>
      </c>
      <c r="F13033" s="2">
        <v>1.6788656579249599E-2</v>
      </c>
    </row>
    <row r="13034" spans="1:6" x14ac:dyDescent="0.25">
      <c r="A13034" s="1" t="str">
        <f t="shared" si="486"/>
        <v>24220</v>
      </c>
      <c r="B13034" s="1" t="str">
        <f>"58251"</f>
        <v>58251</v>
      </c>
      <c r="C13034" s="2">
        <v>1.10552763819095E-2</v>
      </c>
      <c r="D13034" s="2">
        <v>2.62697022767075E-3</v>
      </c>
      <c r="E13034" s="2">
        <v>4.7947258016182099E-3</v>
      </c>
      <c r="F13034" s="2">
        <v>9.7646634063084606E-3</v>
      </c>
    </row>
    <row r="13035" spans="1:6" x14ac:dyDescent="0.25">
      <c r="A13035" s="1" t="str">
        <f t="shared" si="486"/>
        <v>24220</v>
      </c>
      <c r="B13035" s="1" t="str">
        <f>"56540"</f>
        <v>56540</v>
      </c>
      <c r="C13035" s="2">
        <v>1.7243078135776899E-2</v>
      </c>
      <c r="D13035" s="2">
        <v>2.4810274372446001E-3</v>
      </c>
      <c r="E13035" s="2">
        <v>6.8924183398261897E-3</v>
      </c>
      <c r="F13035" s="2">
        <v>1.5016247087012101E-2</v>
      </c>
    </row>
    <row r="13036" spans="1:6" x14ac:dyDescent="0.25">
      <c r="A13036" s="1" t="str">
        <f t="shared" si="486"/>
        <v>24220</v>
      </c>
      <c r="B13036" s="1" t="str">
        <f>"56646"</f>
        <v>56646</v>
      </c>
      <c r="C13036" s="2">
        <v>3.66538575229086E-3</v>
      </c>
      <c r="D13036" s="2">
        <v>0</v>
      </c>
      <c r="E13036" s="2">
        <v>5.9934072520227699E-4</v>
      </c>
      <c r="F13036" s="2">
        <v>3.0853054124134298E-3</v>
      </c>
    </row>
    <row r="13037" spans="1:6" x14ac:dyDescent="0.25">
      <c r="A13037" s="1" t="str">
        <f t="shared" si="486"/>
        <v>24220</v>
      </c>
      <c r="B13037" s="1" t="str">
        <f>"58261"</f>
        <v>58261</v>
      </c>
      <c r="C13037" s="2">
        <v>8.2766775051729201E-4</v>
      </c>
      <c r="D13037" s="2">
        <v>0</v>
      </c>
      <c r="E13037" s="2">
        <v>0</v>
      </c>
      <c r="F13037" s="2">
        <v>6.8927035809236204E-4</v>
      </c>
    </row>
    <row r="13038" spans="1:6" x14ac:dyDescent="0.25">
      <c r="A13038" s="1" t="str">
        <f t="shared" si="486"/>
        <v>24220</v>
      </c>
      <c r="B13038" s="1" t="str">
        <f>"56568"</f>
        <v>56568</v>
      </c>
      <c r="C13038" s="2">
        <v>1.6356291260222601E-3</v>
      </c>
      <c r="D13038" s="2">
        <v>0</v>
      </c>
      <c r="E13038" s="2">
        <v>5.9934072520227699E-4</v>
      </c>
      <c r="F13038" s="2">
        <v>1.3949519151869199E-3</v>
      </c>
    </row>
    <row r="13039" spans="1:6" x14ac:dyDescent="0.25">
      <c r="A13039" s="1" t="str">
        <f t="shared" si="486"/>
        <v>24220</v>
      </c>
      <c r="B13039" s="1" t="str">
        <f>"56651"</f>
        <v>56651</v>
      </c>
      <c r="C13039" s="2">
        <v>2.28593950142871E-3</v>
      </c>
      <c r="D13039" s="2">
        <v>0</v>
      </c>
      <c r="E13039" s="2">
        <v>2.9967036260113801E-4</v>
      </c>
      <c r="F13039" s="2">
        <v>1.9201102832572901E-3</v>
      </c>
    </row>
    <row r="13040" spans="1:6" x14ac:dyDescent="0.25">
      <c r="A13040" s="1" t="str">
        <f t="shared" si="486"/>
        <v>24220</v>
      </c>
      <c r="B13040" s="1" t="str">
        <f>"56750"</f>
        <v>56750</v>
      </c>
      <c r="C13040" s="2">
        <v>3.9412750024632898E-4</v>
      </c>
      <c r="D13040" s="2">
        <v>0</v>
      </c>
      <c r="E13040" s="2">
        <v>0</v>
      </c>
      <c r="F13040" s="2">
        <v>3.2822398004398199E-4</v>
      </c>
    </row>
    <row r="13041" spans="1:6" x14ac:dyDescent="0.25">
      <c r="A13041" s="1" t="str">
        <f t="shared" si="486"/>
        <v>24220</v>
      </c>
      <c r="B13041" s="1" t="str">
        <f>"58214"</f>
        <v>58214</v>
      </c>
      <c r="C13041" s="2">
        <v>3.8821558774263399E-3</v>
      </c>
      <c r="D13041" s="2">
        <v>4.3782837127845798E-4</v>
      </c>
      <c r="E13041" s="2">
        <v>2.0976925382079699E-3</v>
      </c>
      <c r="F13041" s="2">
        <v>3.3971181934552099E-3</v>
      </c>
    </row>
    <row r="13042" spans="1:6" x14ac:dyDescent="0.25">
      <c r="A13042" s="1" t="str">
        <f t="shared" ref="A13042:A13071" si="487">"24260"</f>
        <v>24260</v>
      </c>
      <c r="B13042" s="1" t="str">
        <f>"68827"</f>
        <v>68827</v>
      </c>
      <c r="C13042" s="2">
        <v>5.8683724069129401E-3</v>
      </c>
      <c r="D13042" s="2">
        <v>1.09021531752521E-3</v>
      </c>
      <c r="E13042" s="2">
        <v>1.6116035455278001E-3</v>
      </c>
      <c r="F13042" s="2">
        <v>5.28327049832012E-3</v>
      </c>
    </row>
    <row r="13043" spans="1:6" x14ac:dyDescent="0.25">
      <c r="A13043" s="1" t="str">
        <f t="shared" si="487"/>
        <v>24260</v>
      </c>
      <c r="B13043" s="1" t="str">
        <f>"68869"</f>
        <v>68869</v>
      </c>
      <c r="C13043" s="2">
        <v>5.8683724069129402E-5</v>
      </c>
      <c r="D13043" s="2">
        <v>0</v>
      </c>
      <c r="E13043" s="2">
        <v>0</v>
      </c>
      <c r="F13043" s="2">
        <v>5.1293888333205002E-5</v>
      </c>
    </row>
    <row r="13044" spans="1:6" x14ac:dyDescent="0.25">
      <c r="A13044" s="1" t="str">
        <f t="shared" si="487"/>
        <v>24260</v>
      </c>
      <c r="B13044" s="1" t="str">
        <f>"68801"</f>
        <v>68801</v>
      </c>
      <c r="C13044" s="2">
        <v>0.35430298406736799</v>
      </c>
      <c r="D13044" s="2">
        <v>0.32433905696374998</v>
      </c>
      <c r="E13044" s="2">
        <v>0.47945205479452002</v>
      </c>
      <c r="F13044" s="2">
        <v>0.355466646149111</v>
      </c>
    </row>
    <row r="13045" spans="1:6" x14ac:dyDescent="0.25">
      <c r="A13045" s="1" t="str">
        <f t="shared" si="487"/>
        <v>24260</v>
      </c>
      <c r="B13045" s="1" t="str">
        <f>"68802"</f>
        <v>68802</v>
      </c>
      <c r="C13045" s="2">
        <v>3.79096857486576E-2</v>
      </c>
      <c r="D13045" s="2">
        <v>0.15917143635868</v>
      </c>
      <c r="E13045" s="2">
        <v>3.2232070910556002E-3</v>
      </c>
      <c r="F13045" s="2">
        <v>4.8216255033212703E-2</v>
      </c>
    </row>
    <row r="13046" spans="1:6" x14ac:dyDescent="0.25">
      <c r="A13046" s="1" t="str">
        <f t="shared" si="487"/>
        <v>24260</v>
      </c>
      <c r="B13046" s="1" t="str">
        <f>"68980"</f>
        <v>68980</v>
      </c>
      <c r="C13046" s="2">
        <v>1.17367448138258E-4</v>
      </c>
      <c r="D13046" s="2">
        <v>0</v>
      </c>
      <c r="E13046" s="2">
        <v>0</v>
      </c>
      <c r="F13046" s="2">
        <v>1.0258777666641E-4</v>
      </c>
    </row>
    <row r="13047" spans="1:6" x14ac:dyDescent="0.25">
      <c r="A13047" s="1" t="str">
        <f t="shared" si="487"/>
        <v>24260</v>
      </c>
      <c r="B13047" s="1" t="str">
        <f>"68816"</f>
        <v>68816</v>
      </c>
      <c r="C13047" s="2">
        <v>2.4353745488688702E-3</v>
      </c>
      <c r="D13047" s="2">
        <v>1.36276914690651E-3</v>
      </c>
      <c r="E13047" s="2">
        <v>0</v>
      </c>
      <c r="F13047" s="2">
        <v>2.2569310866610202E-3</v>
      </c>
    </row>
    <row r="13048" spans="1:6" x14ac:dyDescent="0.25">
      <c r="A13048" s="1" t="str">
        <f t="shared" si="487"/>
        <v>24260</v>
      </c>
      <c r="B13048" s="1" t="str">
        <f>"68803"</f>
        <v>68803</v>
      </c>
      <c r="C13048" s="2">
        <v>0.33121093864616602</v>
      </c>
      <c r="D13048" s="2">
        <v>0.36086127010084401</v>
      </c>
      <c r="E13048" s="2">
        <v>0.38678485092667197</v>
      </c>
      <c r="F13048" s="2">
        <v>0.33576979302915999</v>
      </c>
    </row>
    <row r="13049" spans="1:6" x14ac:dyDescent="0.25">
      <c r="A13049" s="1" t="str">
        <f t="shared" si="487"/>
        <v>24260</v>
      </c>
      <c r="B13049" s="1" t="str">
        <f>"68832"</f>
        <v>68832</v>
      </c>
      <c r="C13049" s="2">
        <v>2.25932337666148E-2</v>
      </c>
      <c r="D13049" s="2">
        <v>3.2706459525756299E-3</v>
      </c>
      <c r="E13049" s="2">
        <v>3.2232070910556002E-3</v>
      </c>
      <c r="F13049" s="2">
        <v>2.0158498114949599E-2</v>
      </c>
    </row>
    <row r="13050" spans="1:6" x14ac:dyDescent="0.25">
      <c r="A13050" s="1" t="str">
        <f t="shared" si="487"/>
        <v>24260</v>
      </c>
      <c r="B13050" s="1" t="str">
        <f>"68810"</f>
        <v>68810</v>
      </c>
      <c r="C13050" s="2">
        <v>1.56978961884921E-2</v>
      </c>
      <c r="D13050" s="2">
        <v>2.9980921231943301E-3</v>
      </c>
      <c r="E13050" s="2">
        <v>1.2087026591458499E-2</v>
      </c>
      <c r="F13050" s="2">
        <v>1.4387935677464001E-2</v>
      </c>
    </row>
    <row r="13051" spans="1:6" x14ac:dyDescent="0.25">
      <c r="A13051" s="1" t="str">
        <f t="shared" si="487"/>
        <v>24260</v>
      </c>
      <c r="B13051" s="1" t="str">
        <f>"68638"</f>
        <v>68638</v>
      </c>
      <c r="C13051" s="2">
        <v>2.9341862034564701E-5</v>
      </c>
      <c r="D13051" s="2">
        <v>0</v>
      </c>
      <c r="E13051" s="2">
        <v>0</v>
      </c>
      <c r="F13051" s="2">
        <v>2.5646944166602501E-5</v>
      </c>
    </row>
    <row r="13052" spans="1:6" x14ac:dyDescent="0.25">
      <c r="A13052" s="1" t="str">
        <f t="shared" si="487"/>
        <v>24260</v>
      </c>
      <c r="B13052" s="1" t="str">
        <f>"68875"</f>
        <v>68875</v>
      </c>
      <c r="C13052" s="2">
        <v>8.80255861036941E-5</v>
      </c>
      <c r="D13052" s="2">
        <v>0</v>
      </c>
      <c r="E13052" s="2">
        <v>0</v>
      </c>
      <c r="F13052" s="2">
        <v>7.6940832499807594E-5</v>
      </c>
    </row>
    <row r="13053" spans="1:6" x14ac:dyDescent="0.25">
      <c r="A13053" s="1" t="str">
        <f t="shared" si="487"/>
        <v>24260</v>
      </c>
      <c r="B13053" s="1" t="str">
        <f>"68865"</f>
        <v>68865</v>
      </c>
      <c r="C13053" s="2">
        <v>1.7605117220738801E-4</v>
      </c>
      <c r="D13053" s="2">
        <v>0</v>
      </c>
      <c r="E13053" s="2">
        <v>0</v>
      </c>
      <c r="F13053" s="2">
        <v>1.53881664999615E-4</v>
      </c>
    </row>
    <row r="13054" spans="1:6" x14ac:dyDescent="0.25">
      <c r="A13054" s="1" t="str">
        <f t="shared" si="487"/>
        <v>24260</v>
      </c>
      <c r="B13054" s="1" t="str">
        <f>"68901"</f>
        <v>68901</v>
      </c>
      <c r="C13054" s="2">
        <v>1.4670931017282299E-4</v>
      </c>
      <c r="D13054" s="2">
        <v>0</v>
      </c>
      <c r="E13054" s="2">
        <v>0</v>
      </c>
      <c r="F13054" s="2">
        <v>1.2823472083301201E-4</v>
      </c>
    </row>
    <row r="13055" spans="1:6" x14ac:dyDescent="0.25">
      <c r="A13055" s="1" t="str">
        <f t="shared" si="487"/>
        <v>24260</v>
      </c>
      <c r="B13055" s="1" t="str">
        <f>"68956"</f>
        <v>68956</v>
      </c>
      <c r="C13055" s="2">
        <v>7.3354655086411698E-4</v>
      </c>
      <c r="D13055" s="2">
        <v>0</v>
      </c>
      <c r="E13055" s="2">
        <v>0</v>
      </c>
      <c r="F13055" s="2">
        <v>6.4117360416506301E-4</v>
      </c>
    </row>
    <row r="13056" spans="1:6" x14ac:dyDescent="0.25">
      <c r="A13056" s="1" t="str">
        <f t="shared" si="487"/>
        <v>24260</v>
      </c>
      <c r="B13056" s="1" t="str">
        <f>"68864"</f>
        <v>68864</v>
      </c>
      <c r="C13056" s="2">
        <v>1.3203837915554101E-2</v>
      </c>
      <c r="D13056" s="2">
        <v>8.1766148814390802E-3</v>
      </c>
      <c r="E13056" s="2">
        <v>1.6116035455278001E-3</v>
      </c>
      <c r="F13056" s="2">
        <v>1.2361827088302401E-2</v>
      </c>
    </row>
    <row r="13057" spans="1:6" x14ac:dyDescent="0.25">
      <c r="A13057" s="1" t="str">
        <f t="shared" si="487"/>
        <v>24260</v>
      </c>
      <c r="B13057" s="1" t="str">
        <f>"68628"</f>
        <v>68628</v>
      </c>
      <c r="C13057" s="2">
        <v>1.24409495026554E-2</v>
      </c>
      <c r="D13057" s="2">
        <v>1.90787680566911E-3</v>
      </c>
      <c r="E13057" s="2">
        <v>1.6116035455278001E-3</v>
      </c>
      <c r="F13057" s="2">
        <v>1.1105126824138899E-2</v>
      </c>
    </row>
    <row r="13058" spans="1:6" x14ac:dyDescent="0.25">
      <c r="A13058" s="1" t="str">
        <f t="shared" si="487"/>
        <v>24260</v>
      </c>
      <c r="B13058" s="1" t="str">
        <f>"68663"</f>
        <v>68663</v>
      </c>
      <c r="C13058" s="2">
        <v>7.8929608872978993E-3</v>
      </c>
      <c r="D13058" s="2">
        <v>1.09021531752521E-3</v>
      </c>
      <c r="E13058" s="2">
        <v>4.8348106365833999E-3</v>
      </c>
      <c r="F13058" s="2">
        <v>7.1554974224821103E-3</v>
      </c>
    </row>
    <row r="13059" spans="1:6" x14ac:dyDescent="0.25">
      <c r="A13059" s="1" t="str">
        <f t="shared" si="487"/>
        <v>24260</v>
      </c>
      <c r="B13059" s="1" t="str">
        <f>"68831"</f>
        <v>68831</v>
      </c>
      <c r="C13059" s="2">
        <v>1.23822657785863E-2</v>
      </c>
      <c r="D13059" s="2">
        <v>2.1804306350504199E-3</v>
      </c>
      <c r="E13059" s="2">
        <v>4.0290088638195E-3</v>
      </c>
      <c r="F13059" s="2">
        <v>1.1156420712472101E-2</v>
      </c>
    </row>
    <row r="13060" spans="1:6" x14ac:dyDescent="0.25">
      <c r="A13060" s="1" t="str">
        <f t="shared" si="487"/>
        <v>24260</v>
      </c>
      <c r="B13060" s="1" t="str">
        <f>"68876"</f>
        <v>68876</v>
      </c>
      <c r="C13060" s="2">
        <v>1.6138024119010501E-3</v>
      </c>
      <c r="D13060" s="2">
        <v>2.72553829381302E-4</v>
      </c>
      <c r="E13060" s="2">
        <v>0</v>
      </c>
      <c r="F13060" s="2">
        <v>1.43622887332974E-3</v>
      </c>
    </row>
    <row r="13061" spans="1:6" x14ac:dyDescent="0.25">
      <c r="A13061" s="1" t="str">
        <f t="shared" si="487"/>
        <v>24260</v>
      </c>
      <c r="B13061" s="1" t="str">
        <f>"68640"</f>
        <v>68640</v>
      </c>
      <c r="C13061" s="2">
        <v>5.8683724069129402E-5</v>
      </c>
      <c r="D13061" s="2">
        <v>0</v>
      </c>
      <c r="E13061" s="2">
        <v>0</v>
      </c>
      <c r="F13061" s="2">
        <v>5.1293888333205002E-5</v>
      </c>
    </row>
    <row r="13062" spans="1:6" x14ac:dyDescent="0.25">
      <c r="A13062" s="1" t="str">
        <f t="shared" si="487"/>
        <v>24260</v>
      </c>
      <c r="B13062" s="1" t="str">
        <f>"68873"</f>
        <v>68873</v>
      </c>
      <c r="C13062" s="2">
        <v>4.8824858425515601E-2</v>
      </c>
      <c r="D13062" s="2">
        <v>5.5328427364404402E-2</v>
      </c>
      <c r="E13062" s="2">
        <v>2.7397260273972601E-2</v>
      </c>
      <c r="F13062" s="2">
        <v>4.8754840860711399E-2</v>
      </c>
    </row>
    <row r="13063" spans="1:6" x14ac:dyDescent="0.25">
      <c r="A13063" s="1" t="str">
        <f t="shared" si="487"/>
        <v>24260</v>
      </c>
      <c r="B13063" s="1" t="str">
        <f>"68824"</f>
        <v>68824</v>
      </c>
      <c r="C13063" s="2">
        <v>1.8661424253983101E-2</v>
      </c>
      <c r="D13063" s="2">
        <v>2.7255382938130199E-3</v>
      </c>
      <c r="E13063" s="2">
        <v>4.8348106365833999E-3</v>
      </c>
      <c r="F13063" s="2">
        <v>1.67218075966248E-2</v>
      </c>
    </row>
    <row r="13064" spans="1:6" x14ac:dyDescent="0.25">
      <c r="A13064" s="1" t="str">
        <f t="shared" si="487"/>
        <v>24260</v>
      </c>
      <c r="B13064" s="1" t="str">
        <f>"68826"</f>
        <v>68826</v>
      </c>
      <c r="C13064" s="2">
        <v>5.2521933041870798E-2</v>
      </c>
      <c r="D13064" s="2">
        <v>6.4595257563368702E-2</v>
      </c>
      <c r="E13064" s="2">
        <v>4.5930701047542301E-2</v>
      </c>
      <c r="F13064" s="2">
        <v>5.3448231643199701E-2</v>
      </c>
    </row>
    <row r="13065" spans="1:6" x14ac:dyDescent="0.25">
      <c r="A13065" s="1" t="str">
        <f t="shared" si="487"/>
        <v>24260</v>
      </c>
      <c r="B13065" s="1" t="str">
        <f>"68820"</f>
        <v>68820</v>
      </c>
      <c r="C13065" s="2">
        <v>5.7803468208092396E-3</v>
      </c>
      <c r="D13065" s="2">
        <v>0</v>
      </c>
      <c r="E13065" s="2">
        <v>8.0580177276390005E-4</v>
      </c>
      <c r="F13065" s="2">
        <v>5.0780949449873002E-3</v>
      </c>
    </row>
    <row r="13066" spans="1:6" x14ac:dyDescent="0.25">
      <c r="A13066" s="1" t="str">
        <f t="shared" si="487"/>
        <v>24260</v>
      </c>
      <c r="B13066" s="1" t="str">
        <f>"68817"</f>
        <v>68817</v>
      </c>
      <c r="C13066" s="2">
        <v>3.2276048238021098E-4</v>
      </c>
      <c r="D13066" s="2">
        <v>0</v>
      </c>
      <c r="E13066" s="2">
        <v>0</v>
      </c>
      <c r="F13066" s="2">
        <v>2.8211638583262801E-4</v>
      </c>
    </row>
    <row r="13067" spans="1:6" x14ac:dyDescent="0.25">
      <c r="A13067" s="1" t="str">
        <f t="shared" si="487"/>
        <v>24260</v>
      </c>
      <c r="B13067" s="1" t="str">
        <f>"68882"</f>
        <v>68882</v>
      </c>
      <c r="C13067" s="2">
        <v>1.29104192952084E-3</v>
      </c>
      <c r="D13067" s="2">
        <v>2.72553829381302E-4</v>
      </c>
      <c r="E13067" s="2">
        <v>0</v>
      </c>
      <c r="F13067" s="2">
        <v>1.1541124874971101E-3</v>
      </c>
    </row>
    <row r="13068" spans="1:6" x14ac:dyDescent="0.25">
      <c r="A13068" s="1" t="str">
        <f t="shared" si="487"/>
        <v>24260</v>
      </c>
      <c r="B13068" s="1" t="str">
        <f>"68838"</f>
        <v>68838</v>
      </c>
      <c r="C13068" s="2">
        <v>4.5773304773920904E-3</v>
      </c>
      <c r="D13068" s="2">
        <v>8.1766148814390802E-4</v>
      </c>
      <c r="E13068" s="2">
        <v>8.0580177276390005E-4</v>
      </c>
      <c r="F13068" s="2">
        <v>4.1035110666563998E-3</v>
      </c>
    </row>
    <row r="13069" spans="1:6" x14ac:dyDescent="0.25">
      <c r="A13069" s="1" t="str">
        <f t="shared" si="487"/>
        <v>24260</v>
      </c>
      <c r="B13069" s="1" t="str">
        <f>"68883"</f>
        <v>68883</v>
      </c>
      <c r="C13069" s="2">
        <v>3.0134092309497901E-2</v>
      </c>
      <c r="D13069" s="2">
        <v>5.9961842463886602E-3</v>
      </c>
      <c r="E13069" s="2">
        <v>1.9339242546333599E-2</v>
      </c>
      <c r="F13069" s="2">
        <v>2.7519171090764499E-2</v>
      </c>
    </row>
    <row r="13070" spans="1:6" x14ac:dyDescent="0.25">
      <c r="A13070" s="1" t="str">
        <f t="shared" si="487"/>
        <v>24260</v>
      </c>
      <c r="B13070" s="1" t="str">
        <f>"68872"</f>
        <v>68872</v>
      </c>
      <c r="C13070" s="2">
        <v>1.07684633666852E-2</v>
      </c>
      <c r="D13070" s="2">
        <v>1.63532297628781E-3</v>
      </c>
      <c r="E13070" s="2">
        <v>8.0580177276390005E-4</v>
      </c>
      <c r="F13070" s="2">
        <v>9.5919571183093501E-3</v>
      </c>
    </row>
    <row r="13071" spans="1:6" x14ac:dyDescent="0.25">
      <c r="A13071" s="1" t="str">
        <f t="shared" si="487"/>
        <v>24260</v>
      </c>
      <c r="B13071" s="1" t="str">
        <f>"68835"</f>
        <v>68835</v>
      </c>
      <c r="C13071" s="2">
        <v>8.1570376456089905E-3</v>
      </c>
      <c r="D13071" s="2">
        <v>1.90787680566911E-3</v>
      </c>
      <c r="E13071" s="2">
        <v>1.6116035455278001E-3</v>
      </c>
      <c r="F13071" s="2">
        <v>7.3606729758149301E-3</v>
      </c>
    </row>
    <row r="13072" spans="1:6" x14ac:dyDescent="0.25">
      <c r="A13072" s="1" t="str">
        <f t="shared" ref="A13072:A13091" si="488">"24300"</f>
        <v>24300</v>
      </c>
      <c r="B13072" s="1" t="str">
        <f>"81521"</f>
        <v>81521</v>
      </c>
      <c r="C13072" s="2">
        <v>9.5044099694113995E-2</v>
      </c>
      <c r="D13072" s="2">
        <v>4.3377120963327798E-2</v>
      </c>
      <c r="E13072" s="2">
        <v>5.5359246171966997E-2</v>
      </c>
      <c r="F13072" s="2">
        <v>8.8248051110720302E-2</v>
      </c>
    </row>
    <row r="13073" spans="1:6" x14ac:dyDescent="0.25">
      <c r="A13073" s="1" t="str">
        <f t="shared" si="488"/>
        <v>24300</v>
      </c>
      <c r="B13073" s="1" t="str">
        <f>"81526"</f>
        <v>81526</v>
      </c>
      <c r="C13073" s="2">
        <v>3.36474493505068E-2</v>
      </c>
      <c r="D13073" s="2">
        <v>9.4417077175697802E-3</v>
      </c>
      <c r="E13073" s="2">
        <v>2.8857479387514699E-2</v>
      </c>
      <c r="F13073" s="2">
        <v>3.1287732254850202E-2</v>
      </c>
    </row>
    <row r="13074" spans="1:6" x14ac:dyDescent="0.25">
      <c r="A13074" s="1" t="str">
        <f t="shared" si="488"/>
        <v>24300</v>
      </c>
      <c r="B13074" s="1" t="str">
        <f>"81501"</f>
        <v>81501</v>
      </c>
      <c r="C13074" s="2">
        <v>0.148484973183545</v>
      </c>
      <c r="D13074" s="2">
        <v>0.33374384236453197</v>
      </c>
      <c r="E13074" s="2">
        <v>0.26599921476246502</v>
      </c>
      <c r="F13074" s="2">
        <v>0.17137330754352001</v>
      </c>
    </row>
    <row r="13075" spans="1:6" x14ac:dyDescent="0.25">
      <c r="A13075" s="1" t="str">
        <f t="shared" si="488"/>
        <v>24300</v>
      </c>
      <c r="B13075" s="1" t="str">
        <f>"81643"</f>
        <v>81643</v>
      </c>
      <c r="C13075" s="2">
        <v>0</v>
      </c>
      <c r="D13075" s="2">
        <v>0</v>
      </c>
      <c r="E13075" s="2">
        <v>1.9630938358853499E-4</v>
      </c>
      <c r="F13075" s="2">
        <v>1.17226422835707E-5</v>
      </c>
    </row>
    <row r="13076" spans="1:6" x14ac:dyDescent="0.25">
      <c r="A13076" s="1" t="str">
        <f t="shared" si="488"/>
        <v>24300</v>
      </c>
      <c r="B13076" s="1" t="str">
        <f>"81524"</f>
        <v>81524</v>
      </c>
      <c r="C13076" s="2">
        <v>1.2770393536617099E-2</v>
      </c>
      <c r="D13076" s="2">
        <v>1.77887246852764E-3</v>
      </c>
      <c r="E13076" s="2">
        <v>3.9261876717707096E-3</v>
      </c>
      <c r="F13076" s="2">
        <v>1.13006271613621E-2</v>
      </c>
    </row>
    <row r="13077" spans="1:6" x14ac:dyDescent="0.25">
      <c r="A13077" s="1" t="str">
        <f t="shared" si="488"/>
        <v>24300</v>
      </c>
      <c r="B13077" s="1" t="str">
        <f>"81523"</f>
        <v>81523</v>
      </c>
      <c r="C13077" s="2">
        <v>8.9433905326255399E-3</v>
      </c>
      <c r="D13077" s="2">
        <v>9.5785440613026804E-4</v>
      </c>
      <c r="E13077" s="2">
        <v>1.9630938358853499E-4</v>
      </c>
      <c r="F13077" s="2">
        <v>7.7369439071566697E-3</v>
      </c>
    </row>
    <row r="13078" spans="1:6" x14ac:dyDescent="0.25">
      <c r="A13078" s="1" t="str">
        <f t="shared" si="488"/>
        <v>24300</v>
      </c>
      <c r="B13078" s="1" t="str">
        <f>"81507"</f>
        <v>81507</v>
      </c>
      <c r="C13078" s="2">
        <v>9.9282608397459601E-2</v>
      </c>
      <c r="D13078" s="2">
        <v>1.7378215654077701E-2</v>
      </c>
      <c r="E13078" s="2">
        <v>7.8523753435414206E-2</v>
      </c>
      <c r="F13078" s="2">
        <v>9.1026317331926607E-2</v>
      </c>
    </row>
    <row r="13079" spans="1:6" x14ac:dyDescent="0.25">
      <c r="A13079" s="1" t="str">
        <f t="shared" si="488"/>
        <v>24300</v>
      </c>
      <c r="B13079" s="1" t="str">
        <f>"81505"</f>
        <v>81505</v>
      </c>
      <c r="C13079" s="2">
        <v>7.4537399009642902E-2</v>
      </c>
      <c r="D13079" s="2">
        <v>0.22140120415982401</v>
      </c>
      <c r="E13079" s="2">
        <v>0.119552414605418</v>
      </c>
      <c r="F13079" s="2">
        <v>8.98071625344352E-2</v>
      </c>
    </row>
    <row r="13080" spans="1:6" x14ac:dyDescent="0.25">
      <c r="A13080" s="1" t="str">
        <f t="shared" si="488"/>
        <v>24300</v>
      </c>
      <c r="B13080" s="1" t="str">
        <f>"81504"</f>
        <v>81504</v>
      </c>
      <c r="C13080" s="2">
        <v>0.18875766429365001</v>
      </c>
      <c r="D13080" s="2">
        <v>6.7323481116584497E-2</v>
      </c>
      <c r="E13080" s="2">
        <v>0.13309776207302701</v>
      </c>
      <c r="F13080" s="2">
        <v>0.17503077193599401</v>
      </c>
    </row>
    <row r="13081" spans="1:6" x14ac:dyDescent="0.25">
      <c r="A13081" s="1" t="str">
        <f t="shared" si="488"/>
        <v>24300</v>
      </c>
      <c r="B13081" s="1" t="str">
        <f>"81527"</f>
        <v>81527</v>
      </c>
      <c r="C13081" s="2">
        <v>1.24000384071986E-2</v>
      </c>
      <c r="D13081" s="2">
        <v>1.50519978106185E-3</v>
      </c>
      <c r="E13081" s="2">
        <v>1.1778563015312101E-3</v>
      </c>
      <c r="F13081" s="2">
        <v>1.0796553543168601E-2</v>
      </c>
    </row>
    <row r="13082" spans="1:6" x14ac:dyDescent="0.25">
      <c r="A13082" s="1" t="str">
        <f t="shared" si="488"/>
        <v>24300</v>
      </c>
      <c r="B13082" s="1" t="str">
        <f>"81522"</f>
        <v>81522</v>
      </c>
      <c r="C13082" s="2">
        <v>1.92035993031836E-4</v>
      </c>
      <c r="D13082" s="2">
        <v>4.1050903119868598E-4</v>
      </c>
      <c r="E13082" s="2">
        <v>3.9261876717707102E-4</v>
      </c>
      <c r="F13082" s="2">
        <v>2.22730203387843E-4</v>
      </c>
    </row>
    <row r="13083" spans="1:6" x14ac:dyDescent="0.25">
      <c r="A13083" s="1" t="str">
        <f t="shared" si="488"/>
        <v>24300</v>
      </c>
      <c r="B13083" s="1" t="str">
        <f>"81503"</f>
        <v>81503</v>
      </c>
      <c r="C13083" s="2">
        <v>9.6827291057981102E-2</v>
      </c>
      <c r="D13083" s="2">
        <v>3.2019704433497498E-2</v>
      </c>
      <c r="E13083" s="2">
        <v>8.2057322340007802E-2</v>
      </c>
      <c r="F13083" s="2">
        <v>9.0393294648613703E-2</v>
      </c>
    </row>
    <row r="13084" spans="1:6" x14ac:dyDescent="0.25">
      <c r="A13084" s="1" t="str">
        <f t="shared" si="488"/>
        <v>24300</v>
      </c>
      <c r="B13084" s="1" t="str">
        <f>"81630"</f>
        <v>81630</v>
      </c>
      <c r="C13084" s="2">
        <v>3.1137264584447798E-3</v>
      </c>
      <c r="D13084" s="2">
        <v>1.50519978106185E-3</v>
      </c>
      <c r="E13084" s="2">
        <v>9.8154691794267697E-4</v>
      </c>
      <c r="F13084" s="2">
        <v>2.8486020749076799E-3</v>
      </c>
    </row>
    <row r="13085" spans="1:6" x14ac:dyDescent="0.25">
      <c r="A13085" s="1" t="str">
        <f t="shared" si="488"/>
        <v>24300</v>
      </c>
      <c r="B13085" s="1" t="str">
        <f>"81506"</f>
        <v>81506</v>
      </c>
      <c r="C13085" s="2">
        <v>8.0161310234146702E-2</v>
      </c>
      <c r="D13085" s="2">
        <v>8.9490968801313603E-2</v>
      </c>
      <c r="E13085" s="2">
        <v>6.7726737338044699E-2</v>
      </c>
      <c r="F13085" s="2">
        <v>8.0218041146474406E-2</v>
      </c>
    </row>
    <row r="13086" spans="1:6" x14ac:dyDescent="0.25">
      <c r="A13086" s="1" t="str">
        <f t="shared" si="488"/>
        <v>24300</v>
      </c>
      <c r="B13086" s="1" t="str">
        <f>"81525"</f>
        <v>81525</v>
      </c>
      <c r="C13086" s="2">
        <v>7.9694937108212207E-3</v>
      </c>
      <c r="D13086" s="2">
        <v>1.23152709359605E-3</v>
      </c>
      <c r="E13086" s="2">
        <v>1.1778563015312101E-3</v>
      </c>
      <c r="F13086" s="2">
        <v>6.9866948010081399E-3</v>
      </c>
    </row>
    <row r="13087" spans="1:6" x14ac:dyDescent="0.25">
      <c r="A13087" s="1" t="str">
        <f t="shared" si="488"/>
        <v>24300</v>
      </c>
      <c r="B13087" s="1" t="str">
        <f>"81635"</f>
        <v>81635</v>
      </c>
      <c r="C13087" s="2">
        <v>8.2301139870787204E-5</v>
      </c>
      <c r="D13087" s="2">
        <v>0</v>
      </c>
      <c r="E13087" s="2">
        <v>0</v>
      </c>
      <c r="F13087" s="2">
        <v>7.0335853701424301E-5</v>
      </c>
    </row>
    <row r="13088" spans="1:6" x14ac:dyDescent="0.25">
      <c r="A13088" s="1" t="str">
        <f t="shared" si="488"/>
        <v>24300</v>
      </c>
      <c r="B13088" s="1" t="str">
        <f>"81646"</f>
        <v>81646</v>
      </c>
      <c r="C13088" s="2">
        <v>0</v>
      </c>
      <c r="D13088" s="2">
        <v>1.36836343732895E-4</v>
      </c>
      <c r="E13088" s="2">
        <v>0</v>
      </c>
      <c r="F13088" s="2">
        <v>1.17226422835707E-5</v>
      </c>
    </row>
    <row r="13089" spans="1:6" x14ac:dyDescent="0.25">
      <c r="A13089" s="1" t="str">
        <f t="shared" si="488"/>
        <v>24300</v>
      </c>
      <c r="B13089" s="1" t="str">
        <f>"81502"</f>
        <v>81502</v>
      </c>
      <c r="C13089" s="2">
        <v>3.2618685102121903E-2</v>
      </c>
      <c r="D13089" s="2">
        <v>0.13191023535851101</v>
      </c>
      <c r="E13089" s="2">
        <v>3.9261876717707102E-4</v>
      </c>
      <c r="F13089" s="2">
        <v>3.9200515796260403E-2</v>
      </c>
    </row>
    <row r="13090" spans="1:6" x14ac:dyDescent="0.25">
      <c r="A13090" s="1" t="str">
        <f t="shared" si="488"/>
        <v>24300</v>
      </c>
      <c r="B13090" s="1" t="str">
        <f>"81520"</f>
        <v>81520</v>
      </c>
      <c r="C13090" s="2">
        <v>9.6210032508950202E-2</v>
      </c>
      <c r="D13090" s="2">
        <v>4.4471811713190999E-2</v>
      </c>
      <c r="E13090" s="2">
        <v>0.158225363172359</v>
      </c>
      <c r="F13090" s="2">
        <v>9.5480921399683394E-2</v>
      </c>
    </row>
    <row r="13091" spans="1:6" x14ac:dyDescent="0.25">
      <c r="A13091" s="1" t="str">
        <f t="shared" si="488"/>
        <v>24300</v>
      </c>
      <c r="B13091" s="1" t="str">
        <f>"81624"</f>
        <v>81624</v>
      </c>
      <c r="C13091" s="2">
        <v>8.9571073892706701E-3</v>
      </c>
      <c r="D13091" s="2">
        <v>1.91570881226053E-3</v>
      </c>
      <c r="E13091" s="2">
        <v>2.1594032194738899E-3</v>
      </c>
      <c r="F13091" s="2">
        <v>7.9479514682609404E-3</v>
      </c>
    </row>
    <row r="13092" spans="1:6" x14ac:dyDescent="0.25">
      <c r="A13092" s="1" t="str">
        <f t="shared" ref="A13092:A13124" si="489">"24330"</f>
        <v>24330</v>
      </c>
      <c r="B13092" s="1" t="str">
        <f>"55784"</f>
        <v>55784</v>
      </c>
      <c r="C13092" s="2">
        <v>2.9377953761655301E-3</v>
      </c>
      <c r="D13092" s="2">
        <v>2.1582733812949601E-3</v>
      </c>
      <c r="E13092" s="2">
        <v>9.0252707581227397E-4</v>
      </c>
      <c r="F13092" s="2">
        <v>2.8093130652299399E-3</v>
      </c>
    </row>
    <row r="13093" spans="1:6" x14ac:dyDescent="0.25">
      <c r="A13093" s="1" t="str">
        <f t="shared" si="489"/>
        <v>24330</v>
      </c>
      <c r="B13093" s="1" t="str">
        <f>"55721"</f>
        <v>55721</v>
      </c>
      <c r="C13093" s="2">
        <v>7.3487461148720498E-2</v>
      </c>
      <c r="D13093" s="2">
        <v>3.7410071942445999E-2</v>
      </c>
      <c r="E13093" s="2">
        <v>2.8880866425992701E-2</v>
      </c>
      <c r="F13093" s="2">
        <v>6.9655570521454602E-2</v>
      </c>
    </row>
    <row r="13094" spans="1:6" x14ac:dyDescent="0.25">
      <c r="A13094" s="1" t="str">
        <f t="shared" si="489"/>
        <v>24330</v>
      </c>
      <c r="B13094" s="1" t="str">
        <f>"55775"</f>
        <v>55775</v>
      </c>
      <c r="C13094" s="2">
        <v>2.5844083961340299E-2</v>
      </c>
      <c r="D13094" s="2">
        <v>4.3165467625899201E-3</v>
      </c>
      <c r="E13094" s="2">
        <v>0</v>
      </c>
      <c r="F13094" s="2">
        <v>2.3590532999807502E-2</v>
      </c>
    </row>
    <row r="13095" spans="1:6" x14ac:dyDescent="0.25">
      <c r="A13095" s="1" t="str">
        <f t="shared" si="489"/>
        <v>24330</v>
      </c>
      <c r="B13095" s="1" t="str">
        <f>"55742"</f>
        <v>55742</v>
      </c>
      <c r="C13095" s="2">
        <v>7.4509303018691101E-3</v>
      </c>
      <c r="D13095" s="2">
        <v>3.5971223021582701E-3</v>
      </c>
      <c r="E13095" s="2">
        <v>7.22021660649819E-3</v>
      </c>
      <c r="F13095" s="2">
        <v>7.2349432364825798E-3</v>
      </c>
    </row>
    <row r="13096" spans="1:6" x14ac:dyDescent="0.25">
      <c r="A13096" s="1" t="str">
        <f t="shared" si="489"/>
        <v>24330</v>
      </c>
      <c r="B13096" s="1" t="str">
        <f>"56688"</f>
        <v>56688</v>
      </c>
      <c r="C13096" s="2">
        <v>4.0022139907182602E-3</v>
      </c>
      <c r="D13096" s="2">
        <v>0</v>
      </c>
      <c r="E13096" s="2">
        <v>9.0252707581227397E-4</v>
      </c>
      <c r="F13096" s="2">
        <v>3.65595535886088E-3</v>
      </c>
    </row>
    <row r="13097" spans="1:6" x14ac:dyDescent="0.25">
      <c r="A13097" s="1" t="str">
        <f t="shared" si="489"/>
        <v>24330</v>
      </c>
      <c r="B13097" s="1" t="str">
        <f>"55769"</f>
        <v>55769</v>
      </c>
      <c r="C13097" s="2">
        <v>5.4115042363860798E-2</v>
      </c>
      <c r="D13097" s="2">
        <v>5.6115107913668999E-2</v>
      </c>
      <c r="E13097" s="2">
        <v>1.08303249097472E-2</v>
      </c>
      <c r="F13097" s="2">
        <v>5.23763709832595E-2</v>
      </c>
    </row>
    <row r="13098" spans="1:6" x14ac:dyDescent="0.25">
      <c r="A13098" s="1" t="str">
        <f t="shared" si="489"/>
        <v>24330</v>
      </c>
      <c r="B13098" s="1" t="str">
        <f>"55745"</f>
        <v>55745</v>
      </c>
      <c r="C13098" s="2">
        <v>0</v>
      </c>
      <c r="D13098" s="2">
        <v>0</v>
      </c>
      <c r="E13098" s="2">
        <v>9.0252707581227397E-4</v>
      </c>
      <c r="F13098" s="2">
        <v>3.8483740619588197E-5</v>
      </c>
    </row>
    <row r="13099" spans="1:6" x14ac:dyDescent="0.25">
      <c r="A13099" s="1" t="str">
        <f t="shared" si="489"/>
        <v>24330</v>
      </c>
      <c r="B13099" s="1" t="str">
        <f>"55752"</f>
        <v>55752</v>
      </c>
      <c r="C13099" s="2">
        <v>4.6834419040320101E-4</v>
      </c>
      <c r="D13099" s="2">
        <v>0</v>
      </c>
      <c r="E13099" s="2">
        <v>0</v>
      </c>
      <c r="F13099" s="2">
        <v>4.2332114681546999E-4</v>
      </c>
    </row>
    <row r="13100" spans="1:6" x14ac:dyDescent="0.25">
      <c r="A13100" s="1" t="str">
        <f t="shared" si="489"/>
        <v>24330</v>
      </c>
      <c r="B13100" s="1" t="str">
        <f>"56657"</f>
        <v>56657</v>
      </c>
      <c r="C13100" s="2">
        <v>1.1155107080512599E-2</v>
      </c>
      <c r="D13100" s="2">
        <v>2.1582733812949601E-3</v>
      </c>
      <c r="E13100" s="2">
        <v>9.0252707581227397E-4</v>
      </c>
      <c r="F13100" s="2">
        <v>1.0236675004810399E-2</v>
      </c>
    </row>
    <row r="13101" spans="1:6" x14ac:dyDescent="0.25">
      <c r="A13101" s="1" t="str">
        <f t="shared" si="489"/>
        <v>24330</v>
      </c>
      <c r="B13101" s="1" t="str">
        <f>"56639"</f>
        <v>56639</v>
      </c>
      <c r="C13101" s="2">
        <v>1.14105675480052E-2</v>
      </c>
      <c r="D13101" s="2">
        <v>2.8776978417266101E-3</v>
      </c>
      <c r="E13101" s="2">
        <v>1.8050541516245399E-3</v>
      </c>
      <c r="F13101" s="2">
        <v>1.05445449297671E-2</v>
      </c>
    </row>
    <row r="13102" spans="1:6" x14ac:dyDescent="0.25">
      <c r="A13102" s="1" t="str">
        <f t="shared" si="489"/>
        <v>24330</v>
      </c>
      <c r="B13102" s="1" t="str">
        <f>"55723"</f>
        <v>55723</v>
      </c>
      <c r="C13102" s="2">
        <v>5.3220930727636501E-3</v>
      </c>
      <c r="D13102" s="2">
        <v>5.0359712230215797E-3</v>
      </c>
      <c r="E13102" s="2">
        <v>4.5126353790613701E-3</v>
      </c>
      <c r="F13102" s="2">
        <v>5.2722724648835801E-3</v>
      </c>
    </row>
    <row r="13103" spans="1:6" x14ac:dyDescent="0.25">
      <c r="A13103" s="1" t="str">
        <f t="shared" si="489"/>
        <v>24330</v>
      </c>
      <c r="B13103" s="1" t="str">
        <f>"56680"</f>
        <v>56680</v>
      </c>
      <c r="C13103" s="2">
        <v>4.5982884148677901E-3</v>
      </c>
      <c r="D13103" s="2">
        <v>1.4388489208633001E-3</v>
      </c>
      <c r="E13103" s="2">
        <v>9.0252707581227397E-4</v>
      </c>
      <c r="F13103" s="2">
        <v>4.2716952087742902E-3</v>
      </c>
    </row>
    <row r="13104" spans="1:6" x14ac:dyDescent="0.25">
      <c r="A13104" s="1" t="str">
        <f t="shared" si="489"/>
        <v>24330</v>
      </c>
      <c r="B13104" s="1" t="str">
        <f>"55722"</f>
        <v>55722</v>
      </c>
      <c r="C13104" s="2">
        <v>4.2576744582109199E-5</v>
      </c>
      <c r="D13104" s="2">
        <v>0</v>
      </c>
      <c r="E13104" s="2">
        <v>9.0252707581227397E-4</v>
      </c>
      <c r="F13104" s="2">
        <v>7.6967481239176394E-5</v>
      </c>
    </row>
    <row r="13105" spans="1:6" x14ac:dyDescent="0.25">
      <c r="A13105" s="1" t="str">
        <f t="shared" si="489"/>
        <v>24330</v>
      </c>
      <c r="B13105" s="1" t="str">
        <f>"56628"</f>
        <v>56628</v>
      </c>
      <c r="C13105" s="2">
        <v>4.33857027291693E-2</v>
      </c>
      <c r="D13105" s="2">
        <v>5.7553956834532297E-3</v>
      </c>
      <c r="E13105" s="2">
        <v>8.1227436823104598E-3</v>
      </c>
      <c r="F13105" s="2">
        <v>3.9869155281893401E-2</v>
      </c>
    </row>
    <row r="13106" spans="1:6" x14ac:dyDescent="0.25">
      <c r="A13106" s="1" t="str">
        <f t="shared" si="489"/>
        <v>24330</v>
      </c>
      <c r="B13106" s="1" t="str">
        <f>"55746"</f>
        <v>55746</v>
      </c>
      <c r="C13106" s="2">
        <v>1.53276280495593E-3</v>
      </c>
      <c r="D13106" s="2">
        <v>0</v>
      </c>
      <c r="E13106" s="2">
        <v>0</v>
      </c>
      <c r="F13106" s="2">
        <v>1.3854146623051701E-3</v>
      </c>
    </row>
    <row r="13107" spans="1:6" x14ac:dyDescent="0.25">
      <c r="A13107" s="1" t="str">
        <f t="shared" si="489"/>
        <v>24330</v>
      </c>
      <c r="B13107" s="1" t="str">
        <f>"55744"</f>
        <v>55744</v>
      </c>
      <c r="C13107" s="2">
        <v>0.43828500872823201</v>
      </c>
      <c r="D13107" s="2">
        <v>0.75395683453237405</v>
      </c>
      <c r="E13107" s="2">
        <v>0.86191335740072195</v>
      </c>
      <c r="F13107" s="2">
        <v>0.47323455839907602</v>
      </c>
    </row>
    <row r="13108" spans="1:6" x14ac:dyDescent="0.25">
      <c r="A13108" s="1" t="str">
        <f t="shared" si="489"/>
        <v>24330</v>
      </c>
      <c r="B13108" s="1" t="str">
        <f>"55709"</f>
        <v>55709</v>
      </c>
      <c r="C13108" s="2">
        <v>0.108996466130199</v>
      </c>
      <c r="D13108" s="2">
        <v>2.3741007194244601E-2</v>
      </c>
      <c r="E13108" s="2">
        <v>5.4151624548736399E-3</v>
      </c>
      <c r="F13108" s="2">
        <v>0.100019241870309</v>
      </c>
    </row>
    <row r="13109" spans="1:6" x14ac:dyDescent="0.25">
      <c r="A13109" s="1" t="str">
        <f t="shared" si="489"/>
        <v>24330</v>
      </c>
      <c r="B13109" s="1" t="str">
        <f>"56659"</f>
        <v>56659</v>
      </c>
      <c r="C13109" s="2">
        <v>3.1081023544939699E-3</v>
      </c>
      <c r="D13109" s="2">
        <v>7.1942446043165404E-4</v>
      </c>
      <c r="E13109" s="2">
        <v>1.8050541516245399E-3</v>
      </c>
      <c r="F13109" s="2">
        <v>2.9247642870886999E-3</v>
      </c>
    </row>
    <row r="13110" spans="1:6" x14ac:dyDescent="0.25">
      <c r="A13110" s="1" t="str">
        <f t="shared" si="489"/>
        <v>24330</v>
      </c>
      <c r="B13110" s="1" t="str">
        <f>"56661"</f>
        <v>56661</v>
      </c>
      <c r="C13110" s="2">
        <v>1.1112530335930499E-2</v>
      </c>
      <c r="D13110" s="2">
        <v>1.4388489208633001E-3</v>
      </c>
      <c r="E13110" s="2">
        <v>0</v>
      </c>
      <c r="F13110" s="2">
        <v>1.01212237829517E-2</v>
      </c>
    </row>
    <row r="13111" spans="1:6" x14ac:dyDescent="0.25">
      <c r="A13111" s="1" t="str">
        <f t="shared" si="489"/>
        <v>24330</v>
      </c>
      <c r="B13111" s="1" t="str">
        <f>"55764"</f>
        <v>55764</v>
      </c>
      <c r="C13111" s="2">
        <v>9.6649210201388003E-3</v>
      </c>
      <c r="D13111" s="2">
        <v>0</v>
      </c>
      <c r="E13111" s="2">
        <v>4.5126353790613701E-3</v>
      </c>
      <c r="F13111" s="2">
        <v>8.9282278237444602E-3</v>
      </c>
    </row>
    <row r="13112" spans="1:6" x14ac:dyDescent="0.25">
      <c r="A13112" s="1" t="str">
        <f t="shared" si="489"/>
        <v>24330</v>
      </c>
      <c r="B13112" s="1" t="str">
        <f>"55786"</f>
        <v>55786</v>
      </c>
      <c r="C13112" s="2">
        <v>5.2795163281815398E-3</v>
      </c>
      <c r="D13112" s="2">
        <v>7.1942446043165404E-4</v>
      </c>
      <c r="E13112" s="2">
        <v>1.8050541516245399E-3</v>
      </c>
      <c r="F13112" s="2">
        <v>4.8874350586877004E-3</v>
      </c>
    </row>
    <row r="13113" spans="1:6" x14ac:dyDescent="0.25">
      <c r="A13113" s="1" t="str">
        <f t="shared" si="489"/>
        <v>24330</v>
      </c>
      <c r="B13113" s="1" t="str">
        <f>"55753"</f>
        <v>55753</v>
      </c>
      <c r="C13113" s="2">
        <v>2.1628986247711399E-2</v>
      </c>
      <c r="D13113" s="2">
        <v>7.1942446043165404E-4</v>
      </c>
      <c r="E13113" s="2">
        <v>8.1227436823104598E-3</v>
      </c>
      <c r="F13113" s="2">
        <v>1.99345776409467E-2</v>
      </c>
    </row>
    <row r="13114" spans="1:6" x14ac:dyDescent="0.25">
      <c r="A13114" s="1" t="str">
        <f t="shared" si="489"/>
        <v>24330</v>
      </c>
      <c r="B13114" s="1" t="str">
        <f>"55748"</f>
        <v>55748</v>
      </c>
      <c r="C13114" s="2">
        <v>5.7052837740026296E-3</v>
      </c>
      <c r="D13114" s="2">
        <v>0</v>
      </c>
      <c r="E13114" s="2">
        <v>0</v>
      </c>
      <c r="F13114" s="2">
        <v>5.1568212430248197E-3</v>
      </c>
    </row>
    <row r="13115" spans="1:6" x14ac:dyDescent="0.25">
      <c r="A13115" s="1" t="str">
        <f t="shared" si="489"/>
        <v>24330</v>
      </c>
      <c r="B13115" s="1" t="str">
        <f>"55736"</f>
        <v>55736</v>
      </c>
      <c r="C13115" s="2">
        <v>1.78822327244858E-3</v>
      </c>
      <c r="D13115" s="2">
        <v>1.4388489208633001E-3</v>
      </c>
      <c r="E13115" s="2">
        <v>9.0252707581227397E-4</v>
      </c>
      <c r="F13115" s="2">
        <v>1.7317683278814701E-3</v>
      </c>
    </row>
    <row r="13116" spans="1:6" x14ac:dyDescent="0.25">
      <c r="A13116" s="1" t="str">
        <f t="shared" si="489"/>
        <v>24330</v>
      </c>
      <c r="B13116" s="1" t="str">
        <f>"56636"</f>
        <v>56636</v>
      </c>
      <c r="C13116" s="2">
        <v>0.11197683825094699</v>
      </c>
      <c r="D13116" s="2">
        <v>8.92086330935251E-2</v>
      </c>
      <c r="E13116" s="2">
        <v>4.2418772563176797E-2</v>
      </c>
      <c r="F13116" s="2">
        <v>0.10779295747546599</v>
      </c>
    </row>
    <row r="13117" spans="1:6" x14ac:dyDescent="0.25">
      <c r="A13117" s="1" t="str">
        <f t="shared" si="489"/>
        <v>24330</v>
      </c>
      <c r="B13117" s="1" t="str">
        <f>"56637"</f>
        <v>56637</v>
      </c>
      <c r="C13117" s="2">
        <v>5.0240558606888903E-3</v>
      </c>
      <c r="D13117" s="2">
        <v>3.5971223021582701E-3</v>
      </c>
      <c r="E13117" s="2">
        <v>0</v>
      </c>
      <c r="F13117" s="2">
        <v>4.7335000962093502E-3</v>
      </c>
    </row>
    <row r="13118" spans="1:6" x14ac:dyDescent="0.25">
      <c r="A13118" s="1" t="str">
        <f t="shared" si="489"/>
        <v>24330</v>
      </c>
      <c r="B13118" s="1" t="str">
        <f>"55781"</f>
        <v>55781</v>
      </c>
      <c r="C13118" s="2">
        <v>1.1495721037169399E-3</v>
      </c>
      <c r="D13118" s="2">
        <v>0</v>
      </c>
      <c r="E13118" s="2">
        <v>0</v>
      </c>
      <c r="F13118" s="2">
        <v>1.0390609967288801E-3</v>
      </c>
    </row>
    <row r="13119" spans="1:6" x14ac:dyDescent="0.25">
      <c r="A13119" s="1" t="str">
        <f t="shared" si="489"/>
        <v>24330</v>
      </c>
      <c r="B13119" s="1" t="str">
        <f>"55793"</f>
        <v>55793</v>
      </c>
      <c r="C13119" s="2">
        <v>1.20066419721548E-2</v>
      </c>
      <c r="D13119" s="2">
        <v>2.8776978417266101E-3</v>
      </c>
      <c r="E13119" s="2">
        <v>9.0252707581227397E-4</v>
      </c>
      <c r="F13119" s="2">
        <v>1.10448335578218E-2</v>
      </c>
    </row>
    <row r="13120" spans="1:6" x14ac:dyDescent="0.25">
      <c r="A13120" s="1" t="str">
        <f t="shared" si="489"/>
        <v>24330</v>
      </c>
      <c r="B13120" s="1" t="str">
        <f>"55771"</f>
        <v>55771</v>
      </c>
      <c r="C13120" s="2">
        <v>4.2576744582109199E-5</v>
      </c>
      <c r="D13120" s="2">
        <v>0</v>
      </c>
      <c r="E13120" s="2">
        <v>0</v>
      </c>
      <c r="F13120" s="2">
        <v>3.8483740619588197E-5</v>
      </c>
    </row>
    <row r="13121" spans="1:6" x14ac:dyDescent="0.25">
      <c r="A13121" s="1" t="str">
        <f t="shared" si="489"/>
        <v>24330</v>
      </c>
      <c r="B13121" s="1" t="str">
        <f>"56631"</f>
        <v>56631</v>
      </c>
      <c r="C13121" s="2">
        <v>0</v>
      </c>
      <c r="D13121" s="2">
        <v>0</v>
      </c>
      <c r="E13121" s="2">
        <v>9.0252707581227397E-4</v>
      </c>
      <c r="F13121" s="2">
        <v>3.8483740619588197E-5</v>
      </c>
    </row>
    <row r="13122" spans="1:6" x14ac:dyDescent="0.25">
      <c r="A13122" s="1" t="str">
        <f t="shared" si="489"/>
        <v>24330</v>
      </c>
      <c r="B13122" s="1" t="str">
        <f>"56630"</f>
        <v>56630</v>
      </c>
      <c r="C13122" s="2">
        <v>5.5349767956741997E-3</v>
      </c>
      <c r="D13122" s="2">
        <v>0</v>
      </c>
      <c r="E13122" s="2">
        <v>0</v>
      </c>
      <c r="F13122" s="2">
        <v>5.00288628054646E-3</v>
      </c>
    </row>
    <row r="13123" spans="1:6" x14ac:dyDescent="0.25">
      <c r="A13123" s="1" t="str">
        <f t="shared" si="489"/>
        <v>24330</v>
      </c>
      <c r="B13123" s="1" t="str">
        <f>"55716"</f>
        <v>55716</v>
      </c>
      <c r="C13123" s="2">
        <v>6.8548558777195802E-3</v>
      </c>
      <c r="D13123" s="2">
        <v>0</v>
      </c>
      <c r="E13123" s="2">
        <v>2.7075812274368199E-3</v>
      </c>
      <c r="F13123" s="2">
        <v>6.3113334616124598E-3</v>
      </c>
    </row>
    <row r="13124" spans="1:6" x14ac:dyDescent="0.25">
      <c r="A13124" s="1" t="str">
        <f t="shared" si="489"/>
        <v>24330</v>
      </c>
      <c r="B13124" s="1" t="str">
        <f>"56681"</f>
        <v>56681</v>
      </c>
      <c r="C13124" s="2">
        <v>6.0884744752416203E-3</v>
      </c>
      <c r="D13124" s="2">
        <v>7.1942446043165404E-4</v>
      </c>
      <c r="E13124" s="2">
        <v>1.8050541516245399E-3</v>
      </c>
      <c r="F13124" s="2">
        <v>5.6186261304598797E-3</v>
      </c>
    </row>
    <row r="13125" spans="1:6" x14ac:dyDescent="0.25">
      <c r="A13125" s="1" t="str">
        <f t="shared" ref="A13125:A13156" si="490">"24340"</f>
        <v>24340</v>
      </c>
      <c r="B13125" s="1" t="str">
        <f>"49310"</f>
        <v>49310</v>
      </c>
      <c r="C13125" s="2">
        <v>1.04011065006915E-4</v>
      </c>
      <c r="D13125" s="2">
        <v>1.21749293854095E-4</v>
      </c>
      <c r="E13125" s="2">
        <v>0</v>
      </c>
      <c r="F13125" s="2">
        <v>1.01550004589279E-4</v>
      </c>
    </row>
    <row r="13126" spans="1:6" x14ac:dyDescent="0.25">
      <c r="A13126" s="1" t="str">
        <f t="shared" si="490"/>
        <v>24340</v>
      </c>
      <c r="B13126" s="1" t="str">
        <f>"49456"</f>
        <v>49456</v>
      </c>
      <c r="C13126" s="2">
        <v>2.1370954356846401E-2</v>
      </c>
      <c r="D13126" s="2">
        <v>1.3928119216908501E-2</v>
      </c>
      <c r="E13126" s="2">
        <v>1.6788702928870199E-2</v>
      </c>
      <c r="F13126" s="2">
        <v>2.0602933623401799E-2</v>
      </c>
    </row>
    <row r="13127" spans="1:6" x14ac:dyDescent="0.25">
      <c r="A13127" s="1" t="str">
        <f t="shared" si="490"/>
        <v>24340</v>
      </c>
      <c r="B13127" s="1" t="str">
        <f>"49516"</f>
        <v>49516</v>
      </c>
      <c r="C13127" s="2">
        <v>1.86777316735822E-3</v>
      </c>
      <c r="D13127" s="2">
        <v>7.5484562189539299E-3</v>
      </c>
      <c r="E13127" s="2">
        <v>1.04602510460251E-4</v>
      </c>
      <c r="F13127" s="2">
        <v>2.2575347174078101E-3</v>
      </c>
    </row>
    <row r="13128" spans="1:6" x14ac:dyDescent="0.25">
      <c r="A13128" s="1" t="str">
        <f t="shared" si="490"/>
        <v>24340</v>
      </c>
      <c r="B13128" s="1" t="str">
        <f>"49341"</f>
        <v>49341</v>
      </c>
      <c r="C13128" s="2">
        <v>3.3540248962655603E-2</v>
      </c>
      <c r="D13128" s="2">
        <v>2.3254115126132201E-2</v>
      </c>
      <c r="E13128" s="2">
        <v>1.5794979079497899E-2</v>
      </c>
      <c r="F13128" s="2">
        <v>3.2052696640843002E-2</v>
      </c>
    </row>
    <row r="13129" spans="1:6" x14ac:dyDescent="0.25">
      <c r="A13129" s="1" t="str">
        <f t="shared" si="490"/>
        <v>24340</v>
      </c>
      <c r="B13129" s="1" t="str">
        <f>"49301"</f>
        <v>49301</v>
      </c>
      <c r="C13129" s="2">
        <v>1.7119778699861601E-2</v>
      </c>
      <c r="D13129" s="2">
        <v>1.6825752410636E-2</v>
      </c>
      <c r="E13129" s="2">
        <v>6.01464435146443E-3</v>
      </c>
      <c r="F13129" s="2">
        <v>1.6681541138492701E-2</v>
      </c>
    </row>
    <row r="13130" spans="1:6" x14ac:dyDescent="0.25">
      <c r="A13130" s="1" t="str">
        <f t="shared" si="490"/>
        <v>24340</v>
      </c>
      <c r="B13130" s="1" t="str">
        <f>"49418"</f>
        <v>49418</v>
      </c>
      <c r="C13130" s="2">
        <v>2.7587275242046998E-2</v>
      </c>
      <c r="D13130" s="2">
        <v>3.4333300866854898E-2</v>
      </c>
      <c r="E13130" s="2">
        <v>3.7238493723849297E-2</v>
      </c>
      <c r="F13130" s="2">
        <v>2.84886820567E-2</v>
      </c>
    </row>
    <row r="13131" spans="1:6" x14ac:dyDescent="0.25">
      <c r="A13131" s="1" t="str">
        <f t="shared" si="490"/>
        <v>24340</v>
      </c>
      <c r="B13131" s="1" t="str">
        <f>"49428"</f>
        <v>49428</v>
      </c>
      <c r="C13131" s="2">
        <v>2.24486860304287E-2</v>
      </c>
      <c r="D13131" s="2">
        <v>1.88954904061556E-2</v>
      </c>
      <c r="E13131" s="2">
        <v>1.5638075313807499E-2</v>
      </c>
      <c r="F13131" s="2">
        <v>2.1909413490136899E-2</v>
      </c>
    </row>
    <row r="13132" spans="1:6" x14ac:dyDescent="0.25">
      <c r="A13132" s="1" t="str">
        <f t="shared" si="490"/>
        <v>24340</v>
      </c>
      <c r="B13132" s="1" t="str">
        <f>"49429"</f>
        <v>49429</v>
      </c>
      <c r="C13132" s="2">
        <v>1.00912863070539E-3</v>
      </c>
      <c r="D13132" s="2">
        <v>5.4787182234343002E-3</v>
      </c>
      <c r="E13132" s="2">
        <v>1.04602510460251E-4</v>
      </c>
      <c r="F13132" s="2">
        <v>1.3338202525860999E-3</v>
      </c>
    </row>
    <row r="13133" spans="1:6" x14ac:dyDescent="0.25">
      <c r="A13133" s="1" t="str">
        <f t="shared" si="490"/>
        <v>24340</v>
      </c>
      <c r="B13133" s="1" t="str">
        <f>"49326"</f>
        <v>49326</v>
      </c>
      <c r="C13133" s="2">
        <v>4.1781466113416299E-3</v>
      </c>
      <c r="D13133" s="2">
        <v>6.0874646927047802E-4</v>
      </c>
      <c r="E13133" s="2">
        <v>3.1380753138075302E-4</v>
      </c>
      <c r="F13133" s="2">
        <v>3.74758574628512E-3</v>
      </c>
    </row>
    <row r="13134" spans="1:6" x14ac:dyDescent="0.25">
      <c r="A13134" s="1" t="str">
        <f t="shared" si="490"/>
        <v>24340</v>
      </c>
      <c r="B13134" s="1" t="str">
        <f>"48812"</f>
        <v>48812</v>
      </c>
      <c r="C13134" s="2">
        <v>0</v>
      </c>
      <c r="D13134" s="2">
        <v>2.4349858770819098E-5</v>
      </c>
      <c r="E13134" s="2">
        <v>0</v>
      </c>
      <c r="F13134" s="2">
        <v>1.95288470363998E-6</v>
      </c>
    </row>
    <row r="13135" spans="1:6" x14ac:dyDescent="0.25">
      <c r="A13135" s="1" t="str">
        <f t="shared" si="490"/>
        <v>24340</v>
      </c>
      <c r="B13135" s="1" t="str">
        <f>"49327"</f>
        <v>49327</v>
      </c>
      <c r="C13135" s="2">
        <v>5.7538035961272402E-5</v>
      </c>
      <c r="D13135" s="2">
        <v>0</v>
      </c>
      <c r="E13135" s="2">
        <v>0</v>
      </c>
      <c r="F13135" s="2">
        <v>5.0775002294639502E-5</v>
      </c>
    </row>
    <row r="13136" spans="1:6" x14ac:dyDescent="0.25">
      <c r="A13136" s="1" t="str">
        <f t="shared" si="490"/>
        <v>24340</v>
      </c>
      <c r="B13136" s="1" t="str">
        <f>"49317"</f>
        <v>49317</v>
      </c>
      <c r="C13136" s="2">
        <v>0</v>
      </c>
      <c r="D13136" s="2">
        <v>2.4349858770819098E-5</v>
      </c>
      <c r="E13136" s="2">
        <v>0</v>
      </c>
      <c r="F13136" s="2">
        <v>1.95288470363998E-6</v>
      </c>
    </row>
    <row r="13137" spans="1:6" x14ac:dyDescent="0.25">
      <c r="A13137" s="1" t="str">
        <f t="shared" si="490"/>
        <v>24340</v>
      </c>
      <c r="B13137" s="1" t="str">
        <f>"49303"</f>
        <v>49303</v>
      </c>
      <c r="C13137" s="2">
        <v>2.2130013831258601E-6</v>
      </c>
      <c r="D13137" s="2">
        <v>0</v>
      </c>
      <c r="E13137" s="2">
        <v>0</v>
      </c>
      <c r="F13137" s="2">
        <v>1.95288470363998E-6</v>
      </c>
    </row>
    <row r="13138" spans="1:6" x14ac:dyDescent="0.25">
      <c r="A13138" s="1" t="str">
        <f t="shared" si="490"/>
        <v>24340</v>
      </c>
      <c r="B13138" s="1" t="str">
        <f>"48852"</f>
        <v>48852</v>
      </c>
      <c r="C13138" s="2">
        <v>2.2130013831258601E-6</v>
      </c>
      <c r="D13138" s="2">
        <v>7.3049576312457295E-5</v>
      </c>
      <c r="E13138" s="2">
        <v>0</v>
      </c>
      <c r="F13138" s="2">
        <v>7.8115388145599202E-6</v>
      </c>
    </row>
    <row r="13139" spans="1:6" x14ac:dyDescent="0.25">
      <c r="A13139" s="1" t="str">
        <f t="shared" si="490"/>
        <v>24340</v>
      </c>
      <c r="B13139" s="1" t="str">
        <f>"48870"</f>
        <v>48870</v>
      </c>
      <c r="C13139" s="2">
        <v>0</v>
      </c>
      <c r="D13139" s="2">
        <v>2.4349858770819098E-5</v>
      </c>
      <c r="E13139" s="2">
        <v>0</v>
      </c>
      <c r="F13139" s="2">
        <v>1.95288470363998E-6</v>
      </c>
    </row>
    <row r="13140" spans="1:6" x14ac:dyDescent="0.25">
      <c r="A13140" s="1" t="str">
        <f t="shared" si="490"/>
        <v>24340</v>
      </c>
      <c r="B13140" s="1" t="str">
        <f>"48889"</f>
        <v>48889</v>
      </c>
      <c r="C13140" s="2">
        <v>7.5242047026279296E-5</v>
      </c>
      <c r="D13140" s="2">
        <v>0</v>
      </c>
      <c r="E13140" s="2">
        <v>0</v>
      </c>
      <c r="F13140" s="2">
        <v>6.6398079923759299E-5</v>
      </c>
    </row>
    <row r="13141" spans="1:6" x14ac:dyDescent="0.25">
      <c r="A13141" s="1" t="str">
        <f t="shared" si="490"/>
        <v>24340</v>
      </c>
      <c r="B13141" s="1" t="str">
        <f>"49337"</f>
        <v>49337</v>
      </c>
      <c r="C13141" s="2">
        <v>1.6818810511756501E-4</v>
      </c>
      <c r="D13141" s="2">
        <v>0</v>
      </c>
      <c r="E13141" s="2">
        <v>0</v>
      </c>
      <c r="F13141" s="2">
        <v>1.4841923747663799E-4</v>
      </c>
    </row>
    <row r="13142" spans="1:6" x14ac:dyDescent="0.25">
      <c r="A13142" s="1" t="str">
        <f t="shared" si="490"/>
        <v>24340</v>
      </c>
      <c r="B13142" s="1" t="str">
        <f>"49434"</f>
        <v>49434</v>
      </c>
      <c r="C13142" s="2">
        <v>1.5712309820193601E-4</v>
      </c>
      <c r="D13142" s="2">
        <v>9.7399435083276502E-5</v>
      </c>
      <c r="E13142" s="2">
        <v>0</v>
      </c>
      <c r="F13142" s="2">
        <v>1.46466352772998E-4</v>
      </c>
    </row>
    <row r="13143" spans="1:6" x14ac:dyDescent="0.25">
      <c r="A13143" s="1" t="str">
        <f t="shared" si="490"/>
        <v>24340</v>
      </c>
      <c r="B13143" s="1" t="str">
        <f>"48875"</f>
        <v>48875</v>
      </c>
      <c r="C13143" s="2">
        <v>9.7128630705394098E-3</v>
      </c>
      <c r="D13143" s="2">
        <v>5.9900652576214998E-3</v>
      </c>
      <c r="E13143" s="2">
        <v>3.3472803347280298E-3</v>
      </c>
      <c r="F13143" s="2">
        <v>9.1766052224042695E-3</v>
      </c>
    </row>
    <row r="13144" spans="1:6" x14ac:dyDescent="0.25">
      <c r="A13144" s="1" t="str">
        <f t="shared" si="490"/>
        <v>24340</v>
      </c>
      <c r="B13144" s="1" t="str">
        <f>"48888"</f>
        <v>48888</v>
      </c>
      <c r="C13144" s="2">
        <v>6.9643153526970899E-3</v>
      </c>
      <c r="D13144" s="2">
        <v>2.9706827700399299E-3</v>
      </c>
      <c r="E13144" s="2">
        <v>3.81799163179916E-3</v>
      </c>
      <c r="F13144" s="2">
        <v>6.5265406795648098E-3</v>
      </c>
    </row>
    <row r="13145" spans="1:6" x14ac:dyDescent="0.25">
      <c r="A13145" s="1" t="str">
        <f t="shared" si="490"/>
        <v>24340</v>
      </c>
      <c r="B13145" s="1" t="str">
        <f>"48849"</f>
        <v>48849</v>
      </c>
      <c r="C13145" s="2">
        <v>4.86417704011065E-3</v>
      </c>
      <c r="D13145" s="2">
        <v>3.6768286743936798E-3</v>
      </c>
      <c r="E13145" s="2">
        <v>1.56903765690376E-3</v>
      </c>
      <c r="F13145" s="2">
        <v>4.6459127099595099E-3</v>
      </c>
    </row>
    <row r="13146" spans="1:6" x14ac:dyDescent="0.25">
      <c r="A13146" s="1" t="str">
        <f t="shared" si="490"/>
        <v>24340</v>
      </c>
      <c r="B13146" s="1" t="str">
        <f>"49505"</f>
        <v>49505</v>
      </c>
      <c r="C13146" s="2">
        <v>3.1373720608575302E-2</v>
      </c>
      <c r="D13146" s="2">
        <v>1.8189344501801801E-2</v>
      </c>
      <c r="E13146" s="2">
        <v>4.2677824267782397E-2</v>
      </c>
      <c r="F13146" s="2">
        <v>3.0738405235293299E-2</v>
      </c>
    </row>
    <row r="13147" spans="1:6" x14ac:dyDescent="0.25">
      <c r="A13147" s="1" t="str">
        <f t="shared" si="490"/>
        <v>24340</v>
      </c>
      <c r="B13147" s="1" t="str">
        <f>"49508"</f>
        <v>49508</v>
      </c>
      <c r="C13147" s="2">
        <v>3.5912586445366497E-2</v>
      </c>
      <c r="D13147" s="2">
        <v>2.7539690269796399E-2</v>
      </c>
      <c r="E13147" s="2">
        <v>6.0564853556485297E-2</v>
      </c>
      <c r="F13147" s="2">
        <v>3.6161566057301503E-2</v>
      </c>
    </row>
    <row r="13148" spans="1:6" x14ac:dyDescent="0.25">
      <c r="A13148" s="1" t="str">
        <f t="shared" si="490"/>
        <v>24340</v>
      </c>
      <c r="B13148" s="1" t="str">
        <f>"49519"</f>
        <v>49519</v>
      </c>
      <c r="C13148" s="2">
        <v>2.61178423236514E-2</v>
      </c>
      <c r="D13148" s="2">
        <v>1.91633388526346E-2</v>
      </c>
      <c r="E13148" s="2">
        <v>5.0732217573221702E-2</v>
      </c>
      <c r="F13148" s="2">
        <v>2.6479163696654501E-2</v>
      </c>
    </row>
    <row r="13149" spans="1:6" x14ac:dyDescent="0.25">
      <c r="A13149" s="1" t="str">
        <f t="shared" si="490"/>
        <v>24340</v>
      </c>
      <c r="B13149" s="1" t="str">
        <f>"49501"</f>
        <v>49501</v>
      </c>
      <c r="C13149" s="2">
        <v>2.9742738589211598E-3</v>
      </c>
      <c r="D13149" s="2">
        <v>1.4682964838803899E-2</v>
      </c>
      <c r="E13149" s="2">
        <v>1.56903765690376E-4</v>
      </c>
      <c r="F13149" s="2">
        <v>3.8081251720979599E-3</v>
      </c>
    </row>
    <row r="13150" spans="1:6" x14ac:dyDescent="0.25">
      <c r="A13150" s="1" t="str">
        <f t="shared" si="490"/>
        <v>24340</v>
      </c>
      <c r="B13150" s="1" t="str">
        <f>"49315"</f>
        <v>49315</v>
      </c>
      <c r="C13150" s="2">
        <v>2.2260580912862999E-2</v>
      </c>
      <c r="D13150" s="2">
        <v>2.4033310606798398E-2</v>
      </c>
      <c r="E13150" s="2">
        <v>1.65794979079497E-2</v>
      </c>
      <c r="F13150" s="2">
        <v>2.2190628887461102E-2</v>
      </c>
    </row>
    <row r="13151" spans="1:6" x14ac:dyDescent="0.25">
      <c r="A13151" s="1" t="str">
        <f t="shared" si="490"/>
        <v>24340</v>
      </c>
      <c r="B13151" s="1" t="str">
        <f>"49321"</f>
        <v>49321</v>
      </c>
      <c r="C13151" s="2">
        <v>1.6694882434301499E-2</v>
      </c>
      <c r="D13151" s="2">
        <v>1.6679653258011101E-2</v>
      </c>
      <c r="E13151" s="2">
        <v>2.4529288702928798E-2</v>
      </c>
      <c r="F13151" s="2">
        <v>1.6986191152260501E-2</v>
      </c>
    </row>
    <row r="13152" spans="1:6" x14ac:dyDescent="0.25">
      <c r="A13152" s="1" t="str">
        <f t="shared" si="490"/>
        <v>24340</v>
      </c>
      <c r="B13152" s="1" t="str">
        <f>"49330"</f>
        <v>49330</v>
      </c>
      <c r="C13152" s="2">
        <v>4.2843706777316703E-3</v>
      </c>
      <c r="D13152" s="2">
        <v>2.2158371481445401E-3</v>
      </c>
      <c r="E13152" s="2">
        <v>1.9874476987447598E-3</v>
      </c>
      <c r="F13152" s="2">
        <v>4.0327069130165604E-3</v>
      </c>
    </row>
    <row r="13153" spans="1:6" x14ac:dyDescent="0.25">
      <c r="A13153" s="1" t="str">
        <f t="shared" si="490"/>
        <v>24340</v>
      </c>
      <c r="B13153" s="1" t="str">
        <f>"49319"</f>
        <v>49319</v>
      </c>
      <c r="C13153" s="2">
        <v>1.4650069156293201E-2</v>
      </c>
      <c r="D13153" s="2">
        <v>7.45105678387065E-3</v>
      </c>
      <c r="E13153" s="2">
        <v>6.3284518828451803E-3</v>
      </c>
      <c r="F13153" s="2">
        <v>1.37619785065509E-2</v>
      </c>
    </row>
    <row r="13154" spans="1:6" x14ac:dyDescent="0.25">
      <c r="A13154" s="1" t="str">
        <f t="shared" si="490"/>
        <v>24340</v>
      </c>
      <c r="B13154" s="1" t="str">
        <f>"49423"</f>
        <v>49423</v>
      </c>
      <c r="C13154" s="2">
        <v>2.6390041493775902E-2</v>
      </c>
      <c r="D13154" s="2">
        <v>3.4235901431771597E-2</v>
      </c>
      <c r="E13154" s="2">
        <v>3.6506276150627598E-2</v>
      </c>
      <c r="F13154" s="2">
        <v>2.7397019507365301E-2</v>
      </c>
    </row>
    <row r="13155" spans="1:6" x14ac:dyDescent="0.25">
      <c r="A13155" s="1" t="str">
        <f t="shared" si="490"/>
        <v>24340</v>
      </c>
      <c r="B13155" s="1" t="str">
        <f>"49512"</f>
        <v>49512</v>
      </c>
      <c r="C13155" s="2">
        <v>1.8675518672199101E-2</v>
      </c>
      <c r="D13155" s="2">
        <v>5.3155741696698101E-2</v>
      </c>
      <c r="E13155" s="2">
        <v>5.7531380753138003E-2</v>
      </c>
      <c r="F13155" s="2">
        <v>2.2891714496067798E-2</v>
      </c>
    </row>
    <row r="13156" spans="1:6" x14ac:dyDescent="0.25">
      <c r="A13156" s="1" t="str">
        <f t="shared" si="490"/>
        <v>24340</v>
      </c>
      <c r="B13156" s="1" t="str">
        <f>"49518"</f>
        <v>49518</v>
      </c>
      <c r="C13156" s="2">
        <v>1.0356846473028999E-3</v>
      </c>
      <c r="D13156" s="2">
        <v>5.6978669523716696E-3</v>
      </c>
      <c r="E13156" s="2">
        <v>1.04602510460251E-4</v>
      </c>
      <c r="F13156" s="2">
        <v>1.3748308313625401E-3</v>
      </c>
    </row>
    <row r="13157" spans="1:6" x14ac:dyDescent="0.25">
      <c r="A13157" s="1" t="str">
        <f t="shared" ref="A13157:A13188" si="491">"24340"</f>
        <v>24340</v>
      </c>
      <c r="B13157" s="1" t="str">
        <f>"49544"</f>
        <v>49544</v>
      </c>
      <c r="C13157" s="2">
        <v>9.0578146611341604E-3</v>
      </c>
      <c r="D13157" s="2">
        <v>1.5924807636115701E-2</v>
      </c>
      <c r="E13157" s="2">
        <v>2.76673640167364E-2</v>
      </c>
      <c r="F13157" s="2">
        <v>1.0303419696404499E-2</v>
      </c>
    </row>
    <row r="13158" spans="1:6" x14ac:dyDescent="0.25">
      <c r="A13158" s="1" t="str">
        <f t="shared" si="491"/>
        <v>24340</v>
      </c>
      <c r="B13158" s="1" t="str">
        <f>"49318"</f>
        <v>49318</v>
      </c>
      <c r="C13158" s="2">
        <v>4.5145228215767599E-4</v>
      </c>
      <c r="D13158" s="2">
        <v>1.70449011395733E-4</v>
      </c>
      <c r="E13158" s="2">
        <v>0</v>
      </c>
      <c r="F13158" s="2">
        <v>4.1205867246803599E-4</v>
      </c>
    </row>
    <row r="13159" spans="1:6" x14ac:dyDescent="0.25">
      <c r="A13159" s="1" t="str">
        <f t="shared" si="491"/>
        <v>24340</v>
      </c>
      <c r="B13159" s="1" t="str">
        <f>"49424"</f>
        <v>49424</v>
      </c>
      <c r="C13159" s="2">
        <v>4.3120331950207397E-2</v>
      </c>
      <c r="D13159" s="2">
        <v>4.4560241550598997E-2</v>
      </c>
      <c r="E13159" s="2">
        <v>6.1453974895397397E-2</v>
      </c>
      <c r="F13159" s="2">
        <v>4.3920376984863098E-2</v>
      </c>
    </row>
    <row r="13160" spans="1:6" x14ac:dyDescent="0.25">
      <c r="A13160" s="1" t="str">
        <f t="shared" si="491"/>
        <v>24340</v>
      </c>
      <c r="B13160" s="1" t="str">
        <f>"49430"</f>
        <v>49430</v>
      </c>
      <c r="C13160" s="2">
        <v>1.10650069156293E-5</v>
      </c>
      <c r="D13160" s="2">
        <v>4.8699717541638197E-5</v>
      </c>
      <c r="E13160" s="2">
        <v>0</v>
      </c>
      <c r="F13160" s="2">
        <v>1.3670192925479801E-5</v>
      </c>
    </row>
    <row r="13161" spans="1:6" x14ac:dyDescent="0.25">
      <c r="A13161" s="1" t="str">
        <f t="shared" si="491"/>
        <v>24340</v>
      </c>
      <c r="B13161" s="1" t="str">
        <f>"49514"</f>
        <v>49514</v>
      </c>
      <c r="C13161" s="2">
        <v>1.56237897648686E-3</v>
      </c>
      <c r="D13161" s="2">
        <v>6.0144151163923198E-3</v>
      </c>
      <c r="E13161" s="2">
        <v>1.04602510460251E-4</v>
      </c>
      <c r="F13161" s="2">
        <v>1.86500489197618E-3</v>
      </c>
    </row>
    <row r="13162" spans="1:6" x14ac:dyDescent="0.25">
      <c r="A13162" s="1" t="str">
        <f t="shared" si="491"/>
        <v>24340</v>
      </c>
      <c r="B13162" s="1" t="str">
        <f>"49343"</f>
        <v>49343</v>
      </c>
      <c r="C13162" s="2">
        <v>4.1405255878284898E-3</v>
      </c>
      <c r="D13162" s="2">
        <v>1.0713937859160401E-3</v>
      </c>
      <c r="E13162" s="2">
        <v>5.2301255230125497E-4</v>
      </c>
      <c r="F13162" s="2">
        <v>3.75930305450696E-3</v>
      </c>
    </row>
    <row r="13163" spans="1:6" x14ac:dyDescent="0.25">
      <c r="A13163" s="1" t="str">
        <f t="shared" si="491"/>
        <v>24340</v>
      </c>
      <c r="B13163" s="1" t="str">
        <f>"48837"</f>
        <v>48837</v>
      </c>
      <c r="C13163" s="2">
        <v>2.1687413554633399E-4</v>
      </c>
      <c r="D13163" s="2">
        <v>0</v>
      </c>
      <c r="E13163" s="2">
        <v>0</v>
      </c>
      <c r="F13163" s="2">
        <v>1.9138270095671799E-4</v>
      </c>
    </row>
    <row r="13164" spans="1:6" x14ac:dyDescent="0.25">
      <c r="A13164" s="1" t="str">
        <f t="shared" si="491"/>
        <v>24340</v>
      </c>
      <c r="B13164" s="1" t="str">
        <f>"48850"</f>
        <v>48850</v>
      </c>
      <c r="C13164" s="2">
        <v>4.1715076071922501E-3</v>
      </c>
      <c r="D13164" s="2">
        <v>2.8002337586441901E-3</v>
      </c>
      <c r="E13164" s="2">
        <v>1.56903765690376E-3</v>
      </c>
      <c r="F13164" s="2">
        <v>3.9643559483891599E-3</v>
      </c>
    </row>
    <row r="13165" spans="1:6" x14ac:dyDescent="0.25">
      <c r="A13165" s="1" t="str">
        <f t="shared" si="491"/>
        <v>24340</v>
      </c>
      <c r="B13165" s="1" t="str">
        <f>"48884"</f>
        <v>48884</v>
      </c>
      <c r="C13165" s="2">
        <v>4.3618257261410697E-3</v>
      </c>
      <c r="D13165" s="2">
        <v>1.6557903964157E-3</v>
      </c>
      <c r="E13165" s="2">
        <v>1.4121338912133801E-3</v>
      </c>
      <c r="F13165" s="2">
        <v>4.0346597977202001E-3</v>
      </c>
    </row>
    <row r="13166" spans="1:6" x14ac:dyDescent="0.25">
      <c r="A13166" s="1" t="str">
        <f t="shared" si="491"/>
        <v>24340</v>
      </c>
      <c r="B13166" s="1" t="str">
        <f>"48811"</f>
        <v>48811</v>
      </c>
      <c r="C13166" s="2">
        <v>2.63789764868603E-3</v>
      </c>
      <c r="D13166" s="2">
        <v>1.5827408201032401E-3</v>
      </c>
      <c r="E13166" s="2">
        <v>1.0460251046025099E-3</v>
      </c>
      <c r="F13166" s="2">
        <v>2.4938337665482502E-3</v>
      </c>
    </row>
    <row r="13167" spans="1:6" x14ac:dyDescent="0.25">
      <c r="A13167" s="1" t="str">
        <f t="shared" si="491"/>
        <v>24340</v>
      </c>
      <c r="B13167" s="1" t="str">
        <f>"49503"</f>
        <v>49503</v>
      </c>
      <c r="C13167" s="2">
        <v>4.1856708160442603E-2</v>
      </c>
      <c r="D13167" s="2">
        <v>7.9891886627057498E-2</v>
      </c>
      <c r="E13167" s="2">
        <v>9.0062761506276096E-2</v>
      </c>
      <c r="F13167" s="2">
        <v>4.6707143456957402E-2</v>
      </c>
    </row>
    <row r="13168" spans="1:6" x14ac:dyDescent="0.25">
      <c r="A13168" s="1" t="str">
        <f t="shared" si="491"/>
        <v>24340</v>
      </c>
      <c r="B13168" s="1" t="str">
        <f>"49525"</f>
        <v>49525</v>
      </c>
      <c r="C13168" s="2">
        <v>2.7704564315352599E-2</v>
      </c>
      <c r="D13168" s="2">
        <v>3.23122625888769E-2</v>
      </c>
      <c r="E13168" s="2">
        <v>4.0794979079497903E-2</v>
      </c>
      <c r="F13168" s="2">
        <v>2.8562891675438299E-2</v>
      </c>
    </row>
    <row r="13169" spans="1:6" x14ac:dyDescent="0.25">
      <c r="A13169" s="1" t="str">
        <f t="shared" si="491"/>
        <v>24340</v>
      </c>
      <c r="B13169" s="1" t="str">
        <f>"49460"</f>
        <v>49460</v>
      </c>
      <c r="C13169" s="2">
        <v>8.5665283540802203E-3</v>
      </c>
      <c r="D13169" s="2">
        <v>2.8002337586441901E-3</v>
      </c>
      <c r="E13169" s="2">
        <v>3.1380753138075302E-4</v>
      </c>
      <c r="F13169" s="2">
        <v>7.7959157369307999E-3</v>
      </c>
    </row>
    <row r="13170" spans="1:6" x14ac:dyDescent="0.25">
      <c r="A13170" s="1" t="str">
        <f t="shared" si="491"/>
        <v>24340</v>
      </c>
      <c r="B13170" s="1" t="str">
        <f>"49588"</f>
        <v>49588</v>
      </c>
      <c r="C13170" s="2">
        <v>3.6071922544951497E-4</v>
      </c>
      <c r="D13170" s="2">
        <v>3.48202980422713E-3</v>
      </c>
      <c r="E13170" s="2">
        <v>1.04602510460251E-4</v>
      </c>
      <c r="F13170" s="2">
        <v>6.0148848872111399E-4</v>
      </c>
    </row>
    <row r="13171" spans="1:6" x14ac:dyDescent="0.25">
      <c r="A13171" s="1" t="str">
        <f t="shared" si="491"/>
        <v>24340</v>
      </c>
      <c r="B13171" s="1" t="str">
        <f>"49404"</f>
        <v>49404</v>
      </c>
      <c r="C13171" s="2">
        <v>7.4666666666666597E-3</v>
      </c>
      <c r="D13171" s="2">
        <v>7.1345086198499998E-3</v>
      </c>
      <c r="E13171" s="2">
        <v>5.4393305439330497E-3</v>
      </c>
      <c r="F13171" s="2">
        <v>7.3643282174263702E-3</v>
      </c>
    </row>
    <row r="13172" spans="1:6" x14ac:dyDescent="0.25">
      <c r="A13172" s="1" t="str">
        <f t="shared" si="491"/>
        <v>24340</v>
      </c>
      <c r="B13172" s="1" t="str">
        <f>"49306"</f>
        <v>49306</v>
      </c>
      <c r="C13172" s="2">
        <v>9.1905947441217103E-3</v>
      </c>
      <c r="D13172" s="2">
        <v>3.8959774033310601E-3</v>
      </c>
      <c r="E13172" s="2">
        <v>1.6736401673640099E-3</v>
      </c>
      <c r="F13172" s="2">
        <v>8.4852840373157191E-3</v>
      </c>
    </row>
    <row r="13173" spans="1:6" x14ac:dyDescent="0.25">
      <c r="A13173" s="1" t="str">
        <f t="shared" si="491"/>
        <v>24340</v>
      </c>
      <c r="B13173" s="1" t="str">
        <f>"48877"</f>
        <v>48877</v>
      </c>
      <c r="C13173" s="2">
        <v>8.6307053941908705E-4</v>
      </c>
      <c r="D13173" s="2">
        <v>1.21749293854095E-4</v>
      </c>
      <c r="E13173" s="2">
        <v>0</v>
      </c>
      <c r="F13173" s="2">
        <v>7.71389457937792E-4</v>
      </c>
    </row>
    <row r="13174" spans="1:6" x14ac:dyDescent="0.25">
      <c r="A13174" s="1" t="str">
        <f t="shared" si="491"/>
        <v>24340</v>
      </c>
      <c r="B13174" s="1" t="str">
        <f>"48846"</f>
        <v>48846</v>
      </c>
      <c r="C13174" s="2">
        <v>1.58406639004149E-2</v>
      </c>
      <c r="D13174" s="2">
        <v>1.5218661731761901E-2</v>
      </c>
      <c r="E13174" s="2">
        <v>1.47489539748953E-2</v>
      </c>
      <c r="F13174" s="2">
        <v>1.57500151348564E-2</v>
      </c>
    </row>
    <row r="13175" spans="1:6" x14ac:dyDescent="0.25">
      <c r="A13175" s="1" t="str">
        <f t="shared" si="491"/>
        <v>24340</v>
      </c>
      <c r="B13175" s="1" t="str">
        <f>"48890"</f>
        <v>48890</v>
      </c>
      <c r="C13175" s="2">
        <v>6.8603042876901705E-4</v>
      </c>
      <c r="D13175" s="2">
        <v>4.8699717541638197E-5</v>
      </c>
      <c r="E13175" s="2">
        <v>0</v>
      </c>
      <c r="F13175" s="2">
        <v>6.0930002753567395E-4</v>
      </c>
    </row>
    <row r="13176" spans="1:6" x14ac:dyDescent="0.25">
      <c r="A13176" s="1" t="str">
        <f t="shared" si="491"/>
        <v>24340</v>
      </c>
      <c r="B13176" s="1" t="str">
        <f>"48873"</f>
        <v>48873</v>
      </c>
      <c r="C13176" s="2">
        <v>1.2237897648686E-3</v>
      </c>
      <c r="D13176" s="2">
        <v>9.7399435083276502E-4</v>
      </c>
      <c r="E13176" s="2">
        <v>5.2301255230125497E-4</v>
      </c>
      <c r="F13176" s="2">
        <v>1.1775894762948999E-3</v>
      </c>
    </row>
    <row r="13177" spans="1:6" x14ac:dyDescent="0.25">
      <c r="A13177" s="1" t="str">
        <f t="shared" si="491"/>
        <v>24340</v>
      </c>
      <c r="B13177" s="1" t="str">
        <f>"48865"</f>
        <v>48865</v>
      </c>
      <c r="C13177" s="2">
        <v>1.9430152143844999E-3</v>
      </c>
      <c r="D13177" s="2">
        <v>6.5744618681211602E-4</v>
      </c>
      <c r="E13177" s="2">
        <v>5.2301255230125497E-4</v>
      </c>
      <c r="F13177" s="2">
        <v>1.78688950383058E-3</v>
      </c>
    </row>
    <row r="13178" spans="1:6" x14ac:dyDescent="0.25">
      <c r="A13178" s="1" t="str">
        <f t="shared" si="491"/>
        <v>24340</v>
      </c>
      <c r="B13178" s="1" t="str">
        <f>"49348"</f>
        <v>49348</v>
      </c>
      <c r="C13178" s="2">
        <v>1.2835408022129999E-4</v>
      </c>
      <c r="D13178" s="2">
        <v>7.3049576312457295E-5</v>
      </c>
      <c r="E13178" s="2">
        <v>0</v>
      </c>
      <c r="F13178" s="2">
        <v>1.19125966922038E-4</v>
      </c>
    </row>
    <row r="13179" spans="1:6" x14ac:dyDescent="0.25">
      <c r="A13179" s="1" t="str">
        <f t="shared" si="491"/>
        <v>24340</v>
      </c>
      <c r="B13179" s="1" t="str">
        <f>"49351"</f>
        <v>49351</v>
      </c>
      <c r="C13179" s="2">
        <v>0</v>
      </c>
      <c r="D13179" s="2">
        <v>2.4349858770819098E-5</v>
      </c>
      <c r="E13179" s="2">
        <v>2.09205020920502E-4</v>
      </c>
      <c r="F13179" s="2">
        <v>9.7644235181999007E-6</v>
      </c>
    </row>
    <row r="13180" spans="1:6" x14ac:dyDescent="0.25">
      <c r="A13180" s="1" t="str">
        <f t="shared" si="491"/>
        <v>24340</v>
      </c>
      <c r="B13180" s="1" t="str">
        <f>"49415"</f>
        <v>49415</v>
      </c>
      <c r="C13180" s="2">
        <v>5.8201936376210195E-4</v>
      </c>
      <c r="D13180" s="2">
        <v>2.4349858770819101E-4</v>
      </c>
      <c r="E13180" s="2">
        <v>5.2301255230125497E-4</v>
      </c>
      <c r="F13180" s="2">
        <v>5.52666371130114E-4</v>
      </c>
    </row>
    <row r="13181" spans="1:6" x14ac:dyDescent="0.25">
      <c r="A13181" s="1" t="str">
        <f t="shared" si="491"/>
        <v>24340</v>
      </c>
      <c r="B13181" s="1" t="str">
        <f>"48861"</f>
        <v>48861</v>
      </c>
      <c r="C13181" s="2">
        <v>5.9751037344398303E-5</v>
      </c>
      <c r="D13181" s="2">
        <v>0</v>
      </c>
      <c r="E13181" s="2">
        <v>0</v>
      </c>
      <c r="F13181" s="2">
        <v>5.2727886998279498E-5</v>
      </c>
    </row>
    <row r="13182" spans="1:6" x14ac:dyDescent="0.25">
      <c r="A13182" s="1" t="str">
        <f t="shared" si="491"/>
        <v>24340</v>
      </c>
      <c r="B13182" s="1" t="str">
        <f>"49333"</f>
        <v>49333</v>
      </c>
      <c r="C13182" s="2">
        <v>1.12863070539419E-4</v>
      </c>
      <c r="D13182" s="2">
        <v>0</v>
      </c>
      <c r="E13182" s="2">
        <v>0</v>
      </c>
      <c r="F13182" s="2">
        <v>9.9597119885639002E-5</v>
      </c>
    </row>
    <row r="13183" spans="1:6" x14ac:dyDescent="0.25">
      <c r="A13183" s="1" t="str">
        <f t="shared" si="491"/>
        <v>24340</v>
      </c>
      <c r="B13183" s="1" t="str">
        <f>"48894"</f>
        <v>48894</v>
      </c>
      <c r="C13183" s="2">
        <v>1.7040110650069101E-4</v>
      </c>
      <c r="D13183" s="2">
        <v>1.21749293854095E-4</v>
      </c>
      <c r="E13183" s="2">
        <v>0</v>
      </c>
      <c r="F13183" s="2">
        <v>1.6013654569847801E-4</v>
      </c>
    </row>
    <row r="13184" spans="1:6" x14ac:dyDescent="0.25">
      <c r="A13184" s="1" t="str">
        <f t="shared" si="491"/>
        <v>24340</v>
      </c>
      <c r="B13184" s="1" t="str">
        <f>"48885"</f>
        <v>48885</v>
      </c>
      <c r="C13184" s="2">
        <v>9.3831258644536597E-4</v>
      </c>
      <c r="D13184" s="2">
        <v>3.8959774033310601E-4</v>
      </c>
      <c r="E13184" s="2">
        <v>5.23012552301255E-5</v>
      </c>
      <c r="F13184" s="2">
        <v>8.6122215430523095E-4</v>
      </c>
    </row>
    <row r="13185" spans="1:6" x14ac:dyDescent="0.25">
      <c r="A13185" s="1" t="str">
        <f t="shared" si="491"/>
        <v>24340</v>
      </c>
      <c r="B13185" s="1" t="str">
        <f>"49451"</f>
        <v>49451</v>
      </c>
      <c r="C13185" s="2">
        <v>2.8105117565698401E-4</v>
      </c>
      <c r="D13185" s="2">
        <v>4.8699717541638197E-5</v>
      </c>
      <c r="E13185" s="2">
        <v>2.09205020920502E-4</v>
      </c>
      <c r="F13185" s="2">
        <v>2.5973366558411701E-4</v>
      </c>
    </row>
    <row r="13186" spans="1:6" x14ac:dyDescent="0.25">
      <c r="A13186" s="1" t="str">
        <f t="shared" si="491"/>
        <v>24340</v>
      </c>
      <c r="B13186" s="1" t="str">
        <f>"49323"</f>
        <v>49323</v>
      </c>
      <c r="C13186" s="2">
        <v>2.8769017980636201E-5</v>
      </c>
      <c r="D13186" s="2">
        <v>0</v>
      </c>
      <c r="E13186" s="2">
        <v>0</v>
      </c>
      <c r="F13186" s="2">
        <v>2.53875011473197E-5</v>
      </c>
    </row>
    <row r="13187" spans="1:6" x14ac:dyDescent="0.25">
      <c r="A13187" s="1" t="str">
        <f t="shared" si="491"/>
        <v>24340</v>
      </c>
      <c r="B13187" s="1" t="str">
        <f>"49515"</f>
        <v>49515</v>
      </c>
      <c r="C13187" s="2">
        <v>2.7330567081604402E-3</v>
      </c>
      <c r="D13187" s="2">
        <v>6.3796629979546099E-3</v>
      </c>
      <c r="E13187" s="2">
        <v>1.04602510460251E-4</v>
      </c>
      <c r="F13187" s="2">
        <v>2.92737417075633E-3</v>
      </c>
    </row>
    <row r="13188" spans="1:6" x14ac:dyDescent="0.25">
      <c r="A13188" s="1" t="str">
        <f t="shared" si="491"/>
        <v>24340</v>
      </c>
      <c r="B13188" s="1" t="str">
        <f>"49468"</f>
        <v>49468</v>
      </c>
      <c r="C13188" s="2">
        <v>4.7800829875518599E-4</v>
      </c>
      <c r="D13188" s="2">
        <v>5.6735170936008496E-3</v>
      </c>
      <c r="E13188" s="2">
        <v>1.04602510460251E-4</v>
      </c>
      <c r="F13188" s="2">
        <v>8.8075100134163095E-4</v>
      </c>
    </row>
    <row r="13189" spans="1:6" x14ac:dyDescent="0.25">
      <c r="A13189" s="1" t="str">
        <f t="shared" ref="A13189:A13220" si="492">"24340"</f>
        <v>24340</v>
      </c>
      <c r="B13189" s="1" t="str">
        <f>"49546"</f>
        <v>49546</v>
      </c>
      <c r="C13189" s="2">
        <v>3.01344398340248E-2</v>
      </c>
      <c r="D13189" s="2">
        <v>5.7149118535112398E-2</v>
      </c>
      <c r="E13189" s="2">
        <v>5.3138075313807501E-2</v>
      </c>
      <c r="F13189" s="2">
        <v>3.3159982267806802E-2</v>
      </c>
    </row>
    <row r="13190" spans="1:6" x14ac:dyDescent="0.25">
      <c r="A13190" s="1" t="str">
        <f t="shared" si="492"/>
        <v>24340</v>
      </c>
      <c r="B13190" s="1" t="str">
        <f>"49331"</f>
        <v>49331</v>
      </c>
      <c r="C13190" s="2">
        <v>1.5760995850622399E-2</v>
      </c>
      <c r="D13190" s="2">
        <v>9.2042466153696295E-3</v>
      </c>
      <c r="E13190" s="2">
        <v>7.4267782426778199E-3</v>
      </c>
      <c r="F13190" s="2">
        <v>1.49239449052167E-2</v>
      </c>
    </row>
    <row r="13191" spans="1:6" x14ac:dyDescent="0.25">
      <c r="A13191" s="1" t="str">
        <f t="shared" si="492"/>
        <v>24340</v>
      </c>
      <c r="B13191" s="1" t="str">
        <f>"49426"</f>
        <v>49426</v>
      </c>
      <c r="C13191" s="2">
        <v>3.27966804979253E-2</v>
      </c>
      <c r="D13191" s="2">
        <v>2.0478231226258799E-2</v>
      </c>
      <c r="E13191" s="2">
        <v>1.6108786610878601E-2</v>
      </c>
      <c r="F13191" s="2">
        <v>3.1185615832426801E-2</v>
      </c>
    </row>
    <row r="13192" spans="1:6" x14ac:dyDescent="0.25">
      <c r="A13192" s="1" t="str">
        <f t="shared" si="492"/>
        <v>24340</v>
      </c>
      <c r="B13192" s="1" t="str">
        <f>"49403"</f>
        <v>49403</v>
      </c>
      <c r="C13192" s="2">
        <v>1.9784232365145202E-3</v>
      </c>
      <c r="D13192" s="2">
        <v>1.0470439271452201E-3</v>
      </c>
      <c r="E13192" s="2">
        <v>2.09205020920502E-4</v>
      </c>
      <c r="F13192" s="2">
        <v>1.83766450612522E-3</v>
      </c>
    </row>
    <row r="13193" spans="1:6" x14ac:dyDescent="0.25">
      <c r="A13193" s="1" t="str">
        <f t="shared" si="492"/>
        <v>24340</v>
      </c>
      <c r="B13193" s="1" t="str">
        <f>"49339"</f>
        <v>49339</v>
      </c>
      <c r="C13193" s="2">
        <v>2.6091286307053899E-3</v>
      </c>
      <c r="D13193" s="2">
        <v>2.9219830524982902E-4</v>
      </c>
      <c r="E13193" s="2">
        <v>2.61506276150627E-4</v>
      </c>
      <c r="F13193" s="2">
        <v>2.3356501055534101E-3</v>
      </c>
    </row>
    <row r="13194" spans="1:6" x14ac:dyDescent="0.25">
      <c r="A13194" s="1" t="str">
        <f t="shared" si="492"/>
        <v>24340</v>
      </c>
      <c r="B13194" s="1" t="str">
        <f>"49325"</f>
        <v>49325</v>
      </c>
      <c r="C13194" s="2">
        <v>3.8948824343015202E-4</v>
      </c>
      <c r="D13194" s="2">
        <v>2.4349858770819098E-5</v>
      </c>
      <c r="E13194" s="2">
        <v>2.09205020920502E-4</v>
      </c>
      <c r="F13194" s="2">
        <v>3.5347213135883599E-4</v>
      </c>
    </row>
    <row r="13195" spans="1:6" x14ac:dyDescent="0.25">
      <c r="A13195" s="1" t="str">
        <f t="shared" si="492"/>
        <v>24340</v>
      </c>
      <c r="B13195" s="1" t="str">
        <f>"48838"</f>
        <v>48838</v>
      </c>
      <c r="C13195" s="2">
        <v>1.9547441217150699E-2</v>
      </c>
      <c r="D13195" s="2">
        <v>2.2767117950715801E-2</v>
      </c>
      <c r="E13195" s="2">
        <v>1.9612970711297001E-2</v>
      </c>
      <c r="F13195" s="2">
        <v>1.9808109549020299E-2</v>
      </c>
    </row>
    <row r="13196" spans="1:6" x14ac:dyDescent="0.25">
      <c r="A13196" s="1" t="str">
        <f t="shared" si="492"/>
        <v>24340</v>
      </c>
      <c r="B13196" s="1" t="str">
        <f>"48886"</f>
        <v>48886</v>
      </c>
      <c r="C13196" s="2">
        <v>2.7374827109266902E-3</v>
      </c>
      <c r="D13196" s="2">
        <v>6.8179604558293503E-4</v>
      </c>
      <c r="E13196" s="2">
        <v>1.56903765690376E-4</v>
      </c>
      <c r="F13196" s="2">
        <v>2.4762578042154901E-3</v>
      </c>
    </row>
    <row r="13197" spans="1:6" x14ac:dyDescent="0.25">
      <c r="A13197" s="1" t="str">
        <f t="shared" si="492"/>
        <v>24340</v>
      </c>
      <c r="B13197" s="1" t="str">
        <f>"49464"</f>
        <v>49464</v>
      </c>
      <c r="C13197" s="2">
        <v>2.3221023513139601E-2</v>
      </c>
      <c r="D13197" s="2">
        <v>2.2109671763903702E-2</v>
      </c>
      <c r="E13197" s="2">
        <v>1.02510460251046E-2</v>
      </c>
      <c r="F13197" s="2">
        <v>2.2647603908112799E-2</v>
      </c>
    </row>
    <row r="13198" spans="1:6" x14ac:dyDescent="0.25">
      <c r="A13198" s="1" t="str">
        <f t="shared" si="492"/>
        <v>24340</v>
      </c>
      <c r="B13198" s="1" t="str">
        <f>"49345"</f>
        <v>49345</v>
      </c>
      <c r="C13198" s="2">
        <v>1.2999170124481299E-2</v>
      </c>
      <c r="D13198" s="2">
        <v>1.08356871530145E-2</v>
      </c>
      <c r="E13198" s="2">
        <v>5.3870292887029199E-3</v>
      </c>
      <c r="F13198" s="2">
        <v>1.2541425566775901E-2</v>
      </c>
    </row>
    <row r="13199" spans="1:6" x14ac:dyDescent="0.25">
      <c r="A13199" s="1" t="str">
        <f t="shared" si="492"/>
        <v>24340</v>
      </c>
      <c r="B13199" s="1" t="str">
        <f>"49435"</f>
        <v>49435</v>
      </c>
      <c r="C13199" s="2">
        <v>3.09598893499308E-3</v>
      </c>
      <c r="D13199" s="2">
        <v>2.36193630076945E-3</v>
      </c>
      <c r="E13199" s="2">
        <v>8.3682008368200799E-4</v>
      </c>
      <c r="F13199" s="2">
        <v>2.9527616719036498E-3</v>
      </c>
    </row>
    <row r="13200" spans="1:6" x14ac:dyDescent="0.25">
      <c r="A13200" s="1" t="str">
        <f t="shared" si="492"/>
        <v>24340</v>
      </c>
      <c r="B13200" s="1" t="str">
        <f>"49322"</f>
        <v>49322</v>
      </c>
      <c r="C13200" s="2">
        <v>1.25698478561549E-3</v>
      </c>
      <c r="D13200" s="2">
        <v>2.9219830524982902E-4</v>
      </c>
      <c r="E13200" s="2">
        <v>0</v>
      </c>
      <c r="F13200" s="2">
        <v>1.1326731281111799E-3</v>
      </c>
    </row>
    <row r="13201" spans="1:6" x14ac:dyDescent="0.25">
      <c r="A13201" s="1" t="str">
        <f t="shared" si="492"/>
        <v>24340</v>
      </c>
      <c r="B13201" s="1" t="str">
        <f>"49510"</f>
        <v>49510</v>
      </c>
      <c r="C13201" s="2">
        <v>8.7856154910096796E-4</v>
      </c>
      <c r="D13201" s="2">
        <v>3.2872309340605801E-3</v>
      </c>
      <c r="E13201" s="2">
        <v>1.04602510460251E-4</v>
      </c>
      <c r="F13201" s="2">
        <v>1.0428404317437501E-3</v>
      </c>
    </row>
    <row r="13202" spans="1:6" x14ac:dyDescent="0.25">
      <c r="A13202" s="1" t="str">
        <f t="shared" si="492"/>
        <v>24340</v>
      </c>
      <c r="B13202" s="1" t="str">
        <f>"48845"</f>
        <v>48845</v>
      </c>
      <c r="C13202" s="2">
        <v>7.9446749654218495E-4</v>
      </c>
      <c r="D13202" s="2">
        <v>1.94798870166553E-4</v>
      </c>
      <c r="E13202" s="2">
        <v>0</v>
      </c>
      <c r="F13202" s="2">
        <v>7.1670868623587296E-4</v>
      </c>
    </row>
    <row r="13203" spans="1:6" x14ac:dyDescent="0.25">
      <c r="A13203" s="1" t="str">
        <f t="shared" si="492"/>
        <v>24340</v>
      </c>
      <c r="B13203" s="1" t="str">
        <f>"48851"</f>
        <v>48851</v>
      </c>
      <c r="C13203" s="2">
        <v>2.3258644536652798E-3</v>
      </c>
      <c r="D13203" s="2">
        <v>2.9219830524982902E-4</v>
      </c>
      <c r="E13203" s="2">
        <v>0</v>
      </c>
      <c r="F13203" s="2">
        <v>2.0759164399692998E-3</v>
      </c>
    </row>
    <row r="13204" spans="1:6" x14ac:dyDescent="0.25">
      <c r="A13204" s="1" t="str">
        <f t="shared" si="492"/>
        <v>24340</v>
      </c>
      <c r="B13204" s="1" t="str">
        <f>"48829"</f>
        <v>48829</v>
      </c>
      <c r="C13204" s="2">
        <v>3.0251728907330498E-3</v>
      </c>
      <c r="D13204" s="2">
        <v>1.5340411025615999E-3</v>
      </c>
      <c r="E13204" s="2">
        <v>1.15062761506276E-3</v>
      </c>
      <c r="F13204" s="2">
        <v>2.8355885896852498E-3</v>
      </c>
    </row>
    <row r="13205" spans="1:6" x14ac:dyDescent="0.25">
      <c r="A13205" s="1" t="str">
        <f t="shared" si="492"/>
        <v>24340</v>
      </c>
      <c r="B13205" s="1" t="str">
        <f>"49534"</f>
        <v>49534</v>
      </c>
      <c r="C13205" s="2">
        <v>2.7810788381742699E-2</v>
      </c>
      <c r="D13205" s="2">
        <v>1.9431187299113601E-2</v>
      </c>
      <c r="E13205" s="2">
        <v>4.1370292887029203E-2</v>
      </c>
      <c r="F13205" s="2">
        <v>2.76450358647275E-2</v>
      </c>
    </row>
    <row r="13206" spans="1:6" x14ac:dyDescent="0.25">
      <c r="A13206" s="1" t="str">
        <f t="shared" si="492"/>
        <v>24340</v>
      </c>
      <c r="B13206" s="1" t="str">
        <f>"49507"</f>
        <v>49507</v>
      </c>
      <c r="C13206" s="2">
        <v>2.9479391424619601E-2</v>
      </c>
      <c r="D13206" s="2">
        <v>2.4179409759423301E-2</v>
      </c>
      <c r="E13206" s="2">
        <v>2.06589958158995E-2</v>
      </c>
      <c r="F13206" s="2">
        <v>2.8724981105840399E-2</v>
      </c>
    </row>
    <row r="13207" spans="1:6" x14ac:dyDescent="0.25">
      <c r="A13207" s="1" t="str">
        <f t="shared" si="492"/>
        <v>24340</v>
      </c>
      <c r="B13207" s="1" t="str">
        <f>"49302"</f>
        <v>49302</v>
      </c>
      <c r="C13207" s="2">
        <v>7.0130013831258596E-3</v>
      </c>
      <c r="D13207" s="2">
        <v>1.68014025518651E-3</v>
      </c>
      <c r="E13207" s="2">
        <v>8.8912133891213305E-4</v>
      </c>
      <c r="F13207" s="2">
        <v>6.3566397103481404E-3</v>
      </c>
    </row>
    <row r="13208" spans="1:6" x14ac:dyDescent="0.25">
      <c r="A13208" s="1" t="str">
        <f t="shared" si="492"/>
        <v>24340</v>
      </c>
      <c r="B13208" s="1" t="str">
        <f>"49336"</f>
        <v>49336</v>
      </c>
      <c r="C13208" s="2">
        <v>2.8326417704010998E-4</v>
      </c>
      <c r="D13208" s="2">
        <v>0</v>
      </c>
      <c r="E13208" s="2">
        <v>0</v>
      </c>
      <c r="F13208" s="2">
        <v>2.4996924206591701E-4</v>
      </c>
    </row>
    <row r="13209" spans="1:6" x14ac:dyDescent="0.25">
      <c r="A13209" s="1" t="str">
        <f t="shared" si="492"/>
        <v>24340</v>
      </c>
      <c r="B13209" s="1" t="str">
        <f>"49401"</f>
        <v>49401</v>
      </c>
      <c r="C13209" s="2">
        <v>1.9518672199170101E-2</v>
      </c>
      <c r="D13209" s="2">
        <v>8.2059024057660399E-3</v>
      </c>
      <c r="E13209" s="2">
        <v>1.13493723849372E-2</v>
      </c>
      <c r="F13209" s="2">
        <v>1.8306341211921099E-2</v>
      </c>
    </row>
    <row r="13210" spans="1:6" x14ac:dyDescent="0.25">
      <c r="A13210" s="1" t="str">
        <f t="shared" si="492"/>
        <v>24340</v>
      </c>
      <c r="B13210" s="1" t="str">
        <f>"49417"</f>
        <v>49417</v>
      </c>
      <c r="C13210" s="2">
        <v>3.4237344398340197E-2</v>
      </c>
      <c r="D13210" s="2">
        <v>3.8521476575435802E-2</v>
      </c>
      <c r="E13210" s="2">
        <v>3.6244769874476897E-2</v>
      </c>
      <c r="F13210" s="2">
        <v>3.4655891950795097E-2</v>
      </c>
    </row>
    <row r="13211" spans="1:6" x14ac:dyDescent="0.25">
      <c r="A13211" s="1" t="str">
        <f t="shared" si="492"/>
        <v>24340</v>
      </c>
      <c r="B13211" s="1" t="str">
        <f>"49316"</f>
        <v>49316</v>
      </c>
      <c r="C13211" s="2">
        <v>1.7836791147994399E-2</v>
      </c>
      <c r="D13211" s="2">
        <v>1.66553033992402E-2</v>
      </c>
      <c r="E13211" s="2">
        <v>1.14016736401673E-2</v>
      </c>
      <c r="F13211" s="2">
        <v>1.7501752714021501E-2</v>
      </c>
    </row>
    <row r="13212" spans="1:6" x14ac:dyDescent="0.25">
      <c r="A13212" s="1" t="str">
        <f t="shared" si="492"/>
        <v>24340</v>
      </c>
      <c r="B13212" s="1" t="str">
        <f>"49329"</f>
        <v>49329</v>
      </c>
      <c r="C13212" s="2">
        <v>7.0993084370677704E-3</v>
      </c>
      <c r="D13212" s="2">
        <v>2.87328333495665E-3</v>
      </c>
      <c r="E13212" s="2">
        <v>1.56903765690376E-3</v>
      </c>
      <c r="F13212" s="2">
        <v>6.5538810654157701E-3</v>
      </c>
    </row>
    <row r="13213" spans="1:6" x14ac:dyDescent="0.25">
      <c r="A13213" s="1" t="str">
        <f t="shared" si="492"/>
        <v>24340</v>
      </c>
      <c r="B13213" s="1" t="str">
        <f>"49422"</f>
        <v>49422</v>
      </c>
      <c r="C13213" s="2">
        <v>3.2154910096818799E-3</v>
      </c>
      <c r="D13213" s="2">
        <v>1.14200837635141E-2</v>
      </c>
      <c r="E13213" s="2">
        <v>1.04602510460251E-4</v>
      </c>
      <c r="F13213" s="2">
        <v>3.7573501698033199E-3</v>
      </c>
    </row>
    <row r="13214" spans="1:6" x14ac:dyDescent="0.25">
      <c r="A13214" s="1" t="str">
        <f t="shared" si="492"/>
        <v>24340</v>
      </c>
      <c r="B13214" s="1" t="str">
        <f>"49427"</f>
        <v>49427</v>
      </c>
      <c r="C13214" s="2">
        <v>0</v>
      </c>
      <c r="D13214" s="2">
        <v>2.4349858770819098E-5</v>
      </c>
      <c r="E13214" s="2">
        <v>0</v>
      </c>
      <c r="F13214" s="2">
        <v>1.95288470363998E-6</v>
      </c>
    </row>
    <row r="13215" spans="1:6" x14ac:dyDescent="0.25">
      <c r="A13215" s="1" t="str">
        <f t="shared" si="492"/>
        <v>24340</v>
      </c>
      <c r="B13215" s="1" t="str">
        <f>"49409"</f>
        <v>49409</v>
      </c>
      <c r="C13215" s="2">
        <v>5.5325034578146603E-5</v>
      </c>
      <c r="D13215" s="2">
        <v>5.3569689295802003E-4</v>
      </c>
      <c r="E13215" s="2">
        <v>0</v>
      </c>
      <c r="F13215" s="2">
        <v>9.1785581071079101E-5</v>
      </c>
    </row>
    <row r="13216" spans="1:6" x14ac:dyDescent="0.25">
      <c r="A13216" s="1" t="str">
        <f t="shared" si="492"/>
        <v>24340</v>
      </c>
      <c r="B13216" s="1" t="str">
        <f>"49560"</f>
        <v>49560</v>
      </c>
      <c r="C13216" s="2">
        <v>0</v>
      </c>
      <c r="D13216" s="2">
        <v>2.4349858770819098E-5</v>
      </c>
      <c r="E13216" s="2">
        <v>0</v>
      </c>
      <c r="F13216" s="2">
        <v>1.95288470363998E-6</v>
      </c>
    </row>
    <row r="13217" spans="1:6" x14ac:dyDescent="0.25">
      <c r="A13217" s="1" t="str">
        <f t="shared" si="492"/>
        <v>24340</v>
      </c>
      <c r="B13217" s="1" t="str">
        <f>"48860"</f>
        <v>48860</v>
      </c>
      <c r="C13217" s="2">
        <v>1.4362378976486799E-3</v>
      </c>
      <c r="D13217" s="2">
        <v>2.4349858770819101E-4</v>
      </c>
      <c r="E13217" s="2">
        <v>7.3221757322175702E-4</v>
      </c>
      <c r="F13217" s="2">
        <v>1.3142914055496999E-3</v>
      </c>
    </row>
    <row r="13218" spans="1:6" x14ac:dyDescent="0.25">
      <c r="A13218" s="1" t="str">
        <f t="shared" si="492"/>
        <v>24340</v>
      </c>
      <c r="B13218" s="1" t="str">
        <f>"49347"</f>
        <v>49347</v>
      </c>
      <c r="C13218" s="2">
        <v>1.52475795297372E-3</v>
      </c>
      <c r="D13218" s="2">
        <v>2.6784844647901001E-4</v>
      </c>
      <c r="E13218" s="2">
        <v>1.04602510460251E-4</v>
      </c>
      <c r="F13218" s="2">
        <v>1.37092506195526E-3</v>
      </c>
    </row>
    <row r="13219" spans="1:6" x14ac:dyDescent="0.25">
      <c r="A13219" s="1" t="str">
        <f t="shared" si="492"/>
        <v>24340</v>
      </c>
      <c r="B13219" s="1" t="str">
        <f>"48818"</f>
        <v>48818</v>
      </c>
      <c r="C13219" s="2">
        <v>3.03181189488243E-3</v>
      </c>
      <c r="D13219" s="2">
        <v>8.5224505697866903E-4</v>
      </c>
      <c r="E13219" s="2">
        <v>5.2301255230125497E-4</v>
      </c>
      <c r="F13219" s="2">
        <v>2.7633318556505699E-3</v>
      </c>
    </row>
    <row r="13220" spans="1:6" x14ac:dyDescent="0.25">
      <c r="A13220" s="1" t="str">
        <f t="shared" si="492"/>
        <v>24340</v>
      </c>
      <c r="B13220" s="1" t="str">
        <f>"49506"</f>
        <v>49506</v>
      </c>
      <c r="C13220" s="2">
        <v>2.8908437067773098E-2</v>
      </c>
      <c r="D13220" s="2">
        <v>2.2450569786695199E-2</v>
      </c>
      <c r="E13220" s="2">
        <v>1.7730125523012501E-2</v>
      </c>
      <c r="F13220" s="2">
        <v>2.7973120494939E-2</v>
      </c>
    </row>
    <row r="13221" spans="1:6" x14ac:dyDescent="0.25">
      <c r="A13221" s="1" t="str">
        <f t="shared" ref="A13221:A13229" si="493">"24340"</f>
        <v>24340</v>
      </c>
      <c r="B13221" s="1" t="str">
        <f>"49548"</f>
        <v>49548</v>
      </c>
      <c r="C13221" s="2">
        <v>2.9483817427385799E-2</v>
      </c>
      <c r="D13221" s="2">
        <v>3.8716275445602397E-2</v>
      </c>
      <c r="E13221" s="2">
        <v>2.1495815899581501E-2</v>
      </c>
      <c r="F13221" s="2">
        <v>2.9926005198578999E-2</v>
      </c>
    </row>
    <row r="13222" spans="1:6" x14ac:dyDescent="0.25">
      <c r="A13222" s="1" t="str">
        <f t="shared" si="493"/>
        <v>24340</v>
      </c>
      <c r="B13222" s="1" t="str">
        <f>"48891"</f>
        <v>48891</v>
      </c>
      <c r="C13222" s="2">
        <v>2.883540802213E-3</v>
      </c>
      <c r="D13222" s="2">
        <v>8.2789519820785002E-4</v>
      </c>
      <c r="E13222" s="2">
        <v>4.18410041841004E-4</v>
      </c>
      <c r="F13222" s="2">
        <v>2.6266299263957701E-3</v>
      </c>
    </row>
    <row r="13223" spans="1:6" x14ac:dyDescent="0.25">
      <c r="A13223" s="1" t="str">
        <f t="shared" si="493"/>
        <v>24340</v>
      </c>
      <c r="B13223" s="1" t="str">
        <f>"48881"</f>
        <v>48881</v>
      </c>
      <c r="C13223" s="2">
        <v>5.4749654218533804E-3</v>
      </c>
      <c r="D13223" s="2">
        <v>1.12009350345767E-3</v>
      </c>
      <c r="E13223" s="2">
        <v>1.56903765690376E-3</v>
      </c>
      <c r="F13223" s="2">
        <v>4.9798559942819502E-3</v>
      </c>
    </row>
    <row r="13224" spans="1:6" x14ac:dyDescent="0.25">
      <c r="A13224" s="1" t="str">
        <f t="shared" si="493"/>
        <v>24340</v>
      </c>
      <c r="B13224" s="1" t="str">
        <f>"48809"</f>
        <v>48809</v>
      </c>
      <c r="C13224" s="2">
        <v>1.10450899031811E-2</v>
      </c>
      <c r="D13224" s="2">
        <v>7.1832083373916398E-3</v>
      </c>
      <c r="E13224" s="2">
        <v>6.2238493723849302E-3</v>
      </c>
      <c r="F13224" s="2">
        <v>1.0555341823174099E-2</v>
      </c>
    </row>
    <row r="13225" spans="1:6" x14ac:dyDescent="0.25">
      <c r="A13225" s="1" t="str">
        <f t="shared" si="493"/>
        <v>24340</v>
      </c>
      <c r="B13225" s="1" t="str">
        <f>"48834"</f>
        <v>48834</v>
      </c>
      <c r="C13225" s="2">
        <v>2.4077455048409401E-3</v>
      </c>
      <c r="D13225" s="2">
        <v>1.21749293854095E-4</v>
      </c>
      <c r="E13225" s="2">
        <v>1.56903765690376E-4</v>
      </c>
      <c r="F13225" s="2">
        <v>2.1403616351894201E-3</v>
      </c>
    </row>
    <row r="13226" spans="1:6" x14ac:dyDescent="0.25">
      <c r="A13226" s="1" t="str">
        <f t="shared" si="493"/>
        <v>24340</v>
      </c>
      <c r="B13226" s="1" t="str">
        <f>"48815"</f>
        <v>48815</v>
      </c>
      <c r="C13226" s="2">
        <v>2.3811894882434302E-3</v>
      </c>
      <c r="D13226" s="2">
        <v>1.0470439271452201E-3</v>
      </c>
      <c r="E13226" s="2">
        <v>1.04602510460251E-4</v>
      </c>
      <c r="F13226" s="2">
        <v>2.18918375278041E-3</v>
      </c>
    </row>
    <row r="13227" spans="1:6" x14ac:dyDescent="0.25">
      <c r="A13227" s="1" t="str">
        <f t="shared" si="493"/>
        <v>24340</v>
      </c>
      <c r="B13227" s="1" t="str">
        <f>"49448"</f>
        <v>49448</v>
      </c>
      <c r="C13227" s="2">
        <v>3.45228215767634E-3</v>
      </c>
      <c r="D13227" s="2">
        <v>2.7515340411025601E-3</v>
      </c>
      <c r="E13227" s="2">
        <v>1.9351464435146399E-3</v>
      </c>
      <c r="F13227" s="2">
        <v>3.3394328432243599E-3</v>
      </c>
    </row>
    <row r="13228" spans="1:6" x14ac:dyDescent="0.25">
      <c r="A13228" s="1" t="str">
        <f t="shared" si="493"/>
        <v>24340</v>
      </c>
      <c r="B13228" s="1" t="str">
        <f>"49504"</f>
        <v>49504</v>
      </c>
      <c r="C13228" s="2">
        <v>4.0309820193637602E-2</v>
      </c>
      <c r="D13228" s="2">
        <v>3.0339924028440601E-2</v>
      </c>
      <c r="E13228" s="2">
        <v>3.4361924686192397E-2</v>
      </c>
      <c r="F13228" s="2">
        <v>3.9288134467829097E-2</v>
      </c>
    </row>
    <row r="13229" spans="1:6" x14ac:dyDescent="0.25">
      <c r="A13229" s="1" t="str">
        <f t="shared" si="493"/>
        <v>24340</v>
      </c>
      <c r="B13229" s="1" t="str">
        <f>"49509"</f>
        <v>49509</v>
      </c>
      <c r="C13229" s="2">
        <v>2.5013554633471598E-2</v>
      </c>
      <c r="D13229" s="2">
        <v>2.77344891399629E-2</v>
      </c>
      <c r="E13229" s="2">
        <v>2.8608786610878598E-2</v>
      </c>
      <c r="F13229" s="2">
        <v>2.5366019415579699E-2</v>
      </c>
    </row>
    <row r="13230" spans="1:6" x14ac:dyDescent="0.25">
      <c r="A13230" s="1" t="str">
        <f t="shared" ref="A13230:A13243" si="494">"24380"</f>
        <v>24380</v>
      </c>
      <c r="B13230" s="1" t="str">
        <f>"87007"</f>
        <v>87007</v>
      </c>
      <c r="C13230" s="2">
        <v>0.10706494378251299</v>
      </c>
      <c r="D13230" s="2">
        <v>1.9305019305019299E-3</v>
      </c>
      <c r="E13230" s="2">
        <v>1.6233766233766201E-2</v>
      </c>
      <c r="F13230" s="2">
        <v>9.4915254237288096E-2</v>
      </c>
    </row>
    <row r="13231" spans="1:6" x14ac:dyDescent="0.25">
      <c r="A13231" s="1" t="str">
        <f t="shared" si="494"/>
        <v>24380</v>
      </c>
      <c r="B13231" s="1" t="str">
        <f>"87045"</f>
        <v>87045</v>
      </c>
      <c r="C13231" s="2">
        <v>4.6987749622419799E-3</v>
      </c>
      <c r="D13231" s="2">
        <v>0</v>
      </c>
      <c r="E13231" s="2">
        <v>0</v>
      </c>
      <c r="F13231" s="2">
        <v>4.1267501842299102E-3</v>
      </c>
    </row>
    <row r="13232" spans="1:6" x14ac:dyDescent="0.25">
      <c r="A13232" s="1" t="str">
        <f t="shared" si="494"/>
        <v>24380</v>
      </c>
      <c r="B13232" s="1" t="str">
        <f>"87040"</f>
        <v>87040</v>
      </c>
      <c r="C13232" s="2">
        <v>0</v>
      </c>
      <c r="D13232" s="2">
        <v>0</v>
      </c>
      <c r="E13232" s="2">
        <v>3.24675324675324E-3</v>
      </c>
      <c r="F13232" s="2">
        <v>1.47383935151068E-4</v>
      </c>
    </row>
    <row r="13233" spans="1:6" x14ac:dyDescent="0.25">
      <c r="A13233" s="1" t="str">
        <f t="shared" si="494"/>
        <v>24380</v>
      </c>
      <c r="B13233" s="1" t="str">
        <f>"87014"</f>
        <v>87014</v>
      </c>
      <c r="C13233" s="2">
        <v>2.8696089947977801E-2</v>
      </c>
      <c r="D13233" s="2">
        <v>9.6525096525096506E-3</v>
      </c>
      <c r="E13233" s="2">
        <v>3.24675324675324E-3</v>
      </c>
      <c r="F13233" s="2">
        <v>2.6086956521739101E-2</v>
      </c>
    </row>
    <row r="13234" spans="1:6" x14ac:dyDescent="0.25">
      <c r="A13234" s="1" t="str">
        <f t="shared" si="494"/>
        <v>24380</v>
      </c>
      <c r="B13234" s="1" t="str">
        <f>"87315"</f>
        <v>87315</v>
      </c>
      <c r="C13234" s="2">
        <v>1.51032052357778E-2</v>
      </c>
      <c r="D13234" s="2">
        <v>1.9305019305019299E-3</v>
      </c>
      <c r="E13234" s="2">
        <v>3.24675324675324E-3</v>
      </c>
      <c r="F13234" s="2">
        <v>1.3559322033898299E-2</v>
      </c>
    </row>
    <row r="13235" spans="1:6" x14ac:dyDescent="0.25">
      <c r="A13235" s="1" t="str">
        <f t="shared" si="494"/>
        <v>24380</v>
      </c>
      <c r="B13235" s="1" t="str">
        <f>"87034"</f>
        <v>87034</v>
      </c>
      <c r="C13235" s="2">
        <v>0</v>
      </c>
      <c r="D13235" s="2">
        <v>3.8610038610038598E-3</v>
      </c>
      <c r="E13235" s="2">
        <v>0</v>
      </c>
      <c r="F13235" s="2">
        <v>2.9476787030213698E-4</v>
      </c>
    </row>
    <row r="13236" spans="1:6" x14ac:dyDescent="0.25">
      <c r="A13236" s="1" t="str">
        <f t="shared" si="494"/>
        <v>24380</v>
      </c>
      <c r="B13236" s="1" t="str">
        <f>"87357"</f>
        <v>87357</v>
      </c>
      <c r="C13236" s="2">
        <v>1.6781339150864199E-4</v>
      </c>
      <c r="D13236" s="2">
        <v>0</v>
      </c>
      <c r="E13236" s="2">
        <v>6.4935064935064896E-3</v>
      </c>
      <c r="F13236" s="2">
        <v>4.42151805453205E-4</v>
      </c>
    </row>
    <row r="13237" spans="1:6" x14ac:dyDescent="0.25">
      <c r="A13237" s="1" t="str">
        <f t="shared" si="494"/>
        <v>24380</v>
      </c>
      <c r="B13237" s="1" t="str">
        <f>"87005"</f>
        <v>87005</v>
      </c>
      <c r="C13237" s="2">
        <v>4.0275213962074098E-3</v>
      </c>
      <c r="D13237" s="2">
        <v>0</v>
      </c>
      <c r="E13237" s="2">
        <v>6.4935064935064896E-3</v>
      </c>
      <c r="F13237" s="2">
        <v>3.8319823139277799E-3</v>
      </c>
    </row>
    <row r="13238" spans="1:6" x14ac:dyDescent="0.25">
      <c r="A13238" s="1" t="str">
        <f t="shared" si="494"/>
        <v>24380</v>
      </c>
      <c r="B13238" s="1" t="str">
        <f>"87323"</f>
        <v>87323</v>
      </c>
      <c r="C13238" s="2">
        <v>3.2387984561167898E-2</v>
      </c>
      <c r="D13238" s="2">
        <v>0</v>
      </c>
      <c r="E13238" s="2">
        <v>1.6233766233766201E-2</v>
      </c>
      <c r="F13238" s="2">
        <v>2.9182019159911501E-2</v>
      </c>
    </row>
    <row r="13239" spans="1:6" x14ac:dyDescent="0.25">
      <c r="A13239" s="1" t="str">
        <f t="shared" si="494"/>
        <v>24380</v>
      </c>
      <c r="B13239" s="1" t="str">
        <f>"87020"</f>
        <v>87020</v>
      </c>
      <c r="C13239" s="2">
        <v>0.78368853834535901</v>
      </c>
      <c r="D13239" s="2">
        <v>0.97490347490347395</v>
      </c>
      <c r="E13239" s="2">
        <v>0.93831168831168799</v>
      </c>
      <c r="F13239" s="2">
        <v>0.80530582166543796</v>
      </c>
    </row>
    <row r="13240" spans="1:6" x14ac:dyDescent="0.25">
      <c r="A13240" s="1" t="str">
        <f t="shared" si="494"/>
        <v>24380</v>
      </c>
      <c r="B13240" s="1" t="str">
        <f>"87049"</f>
        <v>87049</v>
      </c>
      <c r="C13240" s="2">
        <v>0</v>
      </c>
      <c r="D13240" s="2">
        <v>1.9305019305019299E-3</v>
      </c>
      <c r="E13240" s="2">
        <v>0</v>
      </c>
      <c r="F13240" s="2">
        <v>1.47383935151068E-4</v>
      </c>
    </row>
    <row r="13241" spans="1:6" x14ac:dyDescent="0.25">
      <c r="A13241" s="1" t="str">
        <f t="shared" si="494"/>
        <v>24380</v>
      </c>
      <c r="B13241" s="1" t="str">
        <f>"87038"</f>
        <v>87038</v>
      </c>
      <c r="C13241" s="2">
        <v>2.4165128377244501E-2</v>
      </c>
      <c r="D13241" s="2">
        <v>1.9305019305019299E-3</v>
      </c>
      <c r="E13241" s="2">
        <v>0</v>
      </c>
      <c r="F13241" s="2">
        <v>2.1370670596904898E-2</v>
      </c>
    </row>
    <row r="13242" spans="1:6" x14ac:dyDescent="0.25">
      <c r="A13242" s="1" t="str">
        <f t="shared" si="494"/>
        <v>24380</v>
      </c>
      <c r="B13242" s="1" t="str">
        <f>"87021"</f>
        <v>87021</v>
      </c>
      <c r="C13242" s="2">
        <v>0</v>
      </c>
      <c r="D13242" s="2">
        <v>1.9305019305019299E-3</v>
      </c>
      <c r="E13242" s="2">
        <v>3.24675324675324E-3</v>
      </c>
      <c r="F13242" s="2">
        <v>2.9476787030213698E-4</v>
      </c>
    </row>
    <row r="13243" spans="1:6" x14ac:dyDescent="0.25">
      <c r="A13243" s="1" t="str">
        <f t="shared" si="494"/>
        <v>24380</v>
      </c>
      <c r="B13243" s="1" t="str">
        <f>"87051"</f>
        <v>87051</v>
      </c>
      <c r="C13243" s="2">
        <v>0</v>
      </c>
      <c r="D13243" s="2">
        <v>1.9305019305019299E-3</v>
      </c>
      <c r="E13243" s="2">
        <v>3.24675324675324E-3</v>
      </c>
      <c r="F13243" s="2">
        <v>2.9476787030213698E-4</v>
      </c>
    </row>
    <row r="13244" spans="1:6" x14ac:dyDescent="0.25">
      <c r="A13244" s="1" t="str">
        <f t="shared" ref="A13244:A13256" si="495">"24420"</f>
        <v>24420</v>
      </c>
      <c r="B13244" s="1" t="str">
        <f>"97538"</f>
        <v>97538</v>
      </c>
      <c r="C13244" s="2">
        <v>1.9134793993241202E-2</v>
      </c>
      <c r="D13244" s="2">
        <v>6.1162079510703304E-3</v>
      </c>
      <c r="E13244" s="2">
        <v>3.3025099075297201E-3</v>
      </c>
      <c r="F13244" s="2">
        <v>1.7712977467164701E-2</v>
      </c>
    </row>
    <row r="13245" spans="1:6" x14ac:dyDescent="0.25">
      <c r="A13245" s="1" t="str">
        <f t="shared" si="495"/>
        <v>24420</v>
      </c>
      <c r="B13245" s="1" t="str">
        <f>"97527"</f>
        <v>97527</v>
      </c>
      <c r="C13245" s="2">
        <v>0.37287111429402597</v>
      </c>
      <c r="D13245" s="2">
        <v>0.229635807617458</v>
      </c>
      <c r="E13245" s="2">
        <v>0.27014531043593099</v>
      </c>
      <c r="F13245" s="2">
        <v>0.359400731011768</v>
      </c>
    </row>
    <row r="13246" spans="1:6" x14ac:dyDescent="0.25">
      <c r="A13246" s="1" t="str">
        <f t="shared" si="495"/>
        <v>24420</v>
      </c>
      <c r="B13246" s="1" t="str">
        <f>"97530"</f>
        <v>97530</v>
      </c>
      <c r="C13246" s="2">
        <v>8.9519504061947404E-4</v>
      </c>
      <c r="D13246" s="2">
        <v>0</v>
      </c>
      <c r="E13246" s="2">
        <v>0</v>
      </c>
      <c r="F13246" s="2">
        <v>8.0330963569907995E-4</v>
      </c>
    </row>
    <row r="13247" spans="1:6" x14ac:dyDescent="0.25">
      <c r="A13247" s="1" t="str">
        <f t="shared" si="495"/>
        <v>24420</v>
      </c>
      <c r="B13247" s="1" t="str">
        <f>"97497"</f>
        <v>97497</v>
      </c>
      <c r="C13247" s="2">
        <v>1.70310856477855E-2</v>
      </c>
      <c r="D13247" s="2">
        <v>7.7842646649986004E-3</v>
      </c>
      <c r="E13247" s="2">
        <v>3.96301188903566E-3</v>
      </c>
      <c r="F13247" s="2">
        <v>1.5965779009519201E-2</v>
      </c>
    </row>
    <row r="13248" spans="1:6" x14ac:dyDescent="0.25">
      <c r="A13248" s="1" t="str">
        <f t="shared" si="495"/>
        <v>24420</v>
      </c>
      <c r="B13248" s="1" t="str">
        <f>"97528"</f>
        <v>97528</v>
      </c>
      <c r="C13248" s="2">
        <v>3.4442629187834202E-2</v>
      </c>
      <c r="D13248" s="2">
        <v>0.139560745065332</v>
      </c>
      <c r="E13248" s="2">
        <v>6.6050198150594398E-4</v>
      </c>
      <c r="F13248" s="2">
        <v>4.1008956902437999E-2</v>
      </c>
    </row>
    <row r="13249" spans="1:6" x14ac:dyDescent="0.25">
      <c r="A13249" s="1" t="str">
        <f t="shared" si="495"/>
        <v>24420</v>
      </c>
      <c r="B13249" s="1" t="str">
        <f>"97531"</f>
        <v>97531</v>
      </c>
      <c r="C13249" s="2">
        <v>5.4606897477787898E-3</v>
      </c>
      <c r="D13249" s="2">
        <v>1.9460661662496501E-3</v>
      </c>
      <c r="E13249" s="2">
        <v>1.98150594451783E-3</v>
      </c>
      <c r="F13249" s="2">
        <v>5.1010161866891501E-3</v>
      </c>
    </row>
    <row r="13250" spans="1:6" x14ac:dyDescent="0.25">
      <c r="A13250" s="1" t="str">
        <f t="shared" si="495"/>
        <v>24420</v>
      </c>
      <c r="B13250" s="1" t="str">
        <f>"97534"</f>
        <v>97534</v>
      </c>
      <c r="C13250" s="2">
        <v>5.4606897477787898E-3</v>
      </c>
      <c r="D13250" s="2">
        <v>8.3402835696413599E-4</v>
      </c>
      <c r="E13250" s="2">
        <v>6.6050198150594398E-4</v>
      </c>
      <c r="F13250" s="2">
        <v>4.9805197413342901E-3</v>
      </c>
    </row>
    <row r="13251" spans="1:6" x14ac:dyDescent="0.25">
      <c r="A13251" s="1" t="str">
        <f t="shared" si="495"/>
        <v>24420</v>
      </c>
      <c r="B13251" s="1" t="str">
        <f>"97543"</f>
        <v>97543</v>
      </c>
      <c r="C13251" s="2">
        <v>7.8329566054203999E-3</v>
      </c>
      <c r="D13251" s="2">
        <v>1.9460661662496501E-3</v>
      </c>
      <c r="E13251" s="2">
        <v>2.6420079260237699E-3</v>
      </c>
      <c r="F13251" s="2">
        <v>7.2498694621841902E-3</v>
      </c>
    </row>
    <row r="13252" spans="1:6" x14ac:dyDescent="0.25">
      <c r="A13252" s="1" t="str">
        <f t="shared" si="495"/>
        <v>24420</v>
      </c>
      <c r="B13252" s="1" t="str">
        <f>"97532"</f>
        <v>97532</v>
      </c>
      <c r="C13252" s="2">
        <v>2.7460107871002299E-2</v>
      </c>
      <c r="D13252" s="2">
        <v>1.9182652210175101E-2</v>
      </c>
      <c r="E13252" s="2">
        <v>1.7833553500660501E-2</v>
      </c>
      <c r="F13252" s="2">
        <v>2.6569466200746999E-2</v>
      </c>
    </row>
    <row r="13253" spans="1:6" x14ac:dyDescent="0.25">
      <c r="A13253" s="1" t="str">
        <f t="shared" si="495"/>
        <v>24420</v>
      </c>
      <c r="B13253" s="1" t="str">
        <f>"97533"</f>
        <v>97533</v>
      </c>
      <c r="C13253" s="2">
        <v>5.3711702437168399E-3</v>
      </c>
      <c r="D13253" s="2">
        <v>0</v>
      </c>
      <c r="E13253" s="2">
        <v>1.98150594451783E-3</v>
      </c>
      <c r="F13253" s="2">
        <v>4.8801060368719104E-3</v>
      </c>
    </row>
    <row r="13254" spans="1:6" x14ac:dyDescent="0.25">
      <c r="A13254" s="1" t="str">
        <f t="shared" si="495"/>
        <v>24420</v>
      </c>
      <c r="B13254" s="1" t="str">
        <f>"97544"</f>
        <v>97544</v>
      </c>
      <c r="C13254" s="2">
        <v>2.5356399525546601E-2</v>
      </c>
      <c r="D13254" s="2">
        <v>1.0842368640533701E-2</v>
      </c>
      <c r="E13254" s="2">
        <v>7.2655217965653801E-3</v>
      </c>
      <c r="F13254" s="2">
        <v>2.3757882475800199E-2</v>
      </c>
    </row>
    <row r="13255" spans="1:6" x14ac:dyDescent="0.25">
      <c r="A13255" s="1" t="str">
        <f t="shared" si="495"/>
        <v>24420</v>
      </c>
      <c r="B13255" s="1" t="str">
        <f>"97526"</f>
        <v>97526</v>
      </c>
      <c r="C13255" s="2">
        <v>0.37929413871047102</v>
      </c>
      <c r="D13255" s="2">
        <v>0.55824298026132801</v>
      </c>
      <c r="E13255" s="2">
        <v>0.66248348745046204</v>
      </c>
      <c r="F13255" s="2">
        <v>0.40083142547294798</v>
      </c>
    </row>
    <row r="13256" spans="1:6" x14ac:dyDescent="0.25">
      <c r="A13256" s="1" t="str">
        <f t="shared" si="495"/>
        <v>24420</v>
      </c>
      <c r="B13256" s="1" t="str">
        <f>"97523"</f>
        <v>97523</v>
      </c>
      <c r="C13256" s="2">
        <v>9.93890293847772E-2</v>
      </c>
      <c r="D13256" s="2">
        <v>2.3908812899638501E-2</v>
      </c>
      <c r="E13256" s="2">
        <v>2.7080581241743701E-2</v>
      </c>
      <c r="F13256" s="2">
        <v>9.1737960396834906E-2</v>
      </c>
    </row>
    <row r="13257" spans="1:6" x14ac:dyDescent="0.25">
      <c r="A13257" s="1" t="str">
        <f t="shared" ref="A13257:A13267" si="496">"24460"</f>
        <v>24460</v>
      </c>
      <c r="B13257" s="1" t="str">
        <f>"67565"</f>
        <v>67565</v>
      </c>
      <c r="C13257" s="2">
        <v>6.1628965613838502E-3</v>
      </c>
      <c r="D13257" s="2">
        <v>2.5239777889954499E-3</v>
      </c>
      <c r="E13257" s="2">
        <v>0</v>
      </c>
      <c r="F13257" s="2">
        <v>5.6003854028664297E-3</v>
      </c>
    </row>
    <row r="13258" spans="1:6" x14ac:dyDescent="0.25">
      <c r="A13258" s="1" t="str">
        <f t="shared" si="496"/>
        <v>24460</v>
      </c>
      <c r="B13258" s="1" t="str">
        <f>"67564"</f>
        <v>67564</v>
      </c>
      <c r="C13258" s="2">
        <v>9.6645423348973997E-3</v>
      </c>
      <c r="D13258" s="2">
        <v>2.5239777889954499E-3</v>
      </c>
      <c r="E13258" s="2">
        <v>2.8901734104046198E-3</v>
      </c>
      <c r="F13258" s="2">
        <v>8.6715644947609194E-3</v>
      </c>
    </row>
    <row r="13259" spans="1:6" x14ac:dyDescent="0.25">
      <c r="A13259" s="1" t="str">
        <f t="shared" si="496"/>
        <v>24460</v>
      </c>
      <c r="B13259" s="1" t="str">
        <f>"67526"</f>
        <v>67526</v>
      </c>
      <c r="C13259" s="2">
        <v>9.1953218012465796E-2</v>
      </c>
      <c r="D13259" s="2">
        <v>7.4204946996466403E-2</v>
      </c>
      <c r="E13259" s="2">
        <v>5.4913294797687799E-2</v>
      </c>
      <c r="F13259" s="2">
        <v>8.9064193664940297E-2</v>
      </c>
    </row>
    <row r="13260" spans="1:6" x14ac:dyDescent="0.25">
      <c r="A13260" s="1" t="str">
        <f t="shared" si="496"/>
        <v>24460</v>
      </c>
      <c r="B13260" s="1" t="str">
        <f>"67525"</f>
        <v>67525</v>
      </c>
      <c r="C13260" s="2">
        <v>3.5016457735135502E-2</v>
      </c>
      <c r="D13260" s="2">
        <v>9.5911155981827298E-3</v>
      </c>
      <c r="E13260" s="2">
        <v>2.3121387283236899E-2</v>
      </c>
      <c r="F13260" s="2">
        <v>3.17355172829097E-2</v>
      </c>
    </row>
    <row r="13261" spans="1:6" x14ac:dyDescent="0.25">
      <c r="A13261" s="1" t="str">
        <f t="shared" si="496"/>
        <v>24460</v>
      </c>
      <c r="B13261" s="1" t="str">
        <f>"67511"</f>
        <v>67511</v>
      </c>
      <c r="C13261" s="2">
        <v>8.4039498564325195E-3</v>
      </c>
      <c r="D13261" s="2">
        <v>1.0095911155981799E-3</v>
      </c>
      <c r="E13261" s="2">
        <v>1.44508670520231E-2</v>
      </c>
      <c r="F13261" s="2">
        <v>7.6478381307960898E-3</v>
      </c>
    </row>
    <row r="13262" spans="1:6" x14ac:dyDescent="0.25">
      <c r="A13262" s="1" t="str">
        <f t="shared" si="496"/>
        <v>24460</v>
      </c>
      <c r="B13262" s="1" t="str">
        <f>"67544"</f>
        <v>67544</v>
      </c>
      <c r="C13262" s="2">
        <v>0.120036417116044</v>
      </c>
      <c r="D13262" s="2">
        <v>9.3891973750630894E-2</v>
      </c>
      <c r="E13262" s="2">
        <v>7.5144508670520194E-2</v>
      </c>
      <c r="F13262" s="2">
        <v>0.11598217511742701</v>
      </c>
    </row>
    <row r="13263" spans="1:6" x14ac:dyDescent="0.25">
      <c r="A13263" s="1" t="str">
        <f t="shared" si="496"/>
        <v>24460</v>
      </c>
      <c r="B13263" s="1" t="str">
        <f>"67530"</f>
        <v>67530</v>
      </c>
      <c r="C13263" s="2">
        <v>0.71195461867077503</v>
      </c>
      <c r="D13263" s="2">
        <v>0.81272084805653699</v>
      </c>
      <c r="E13263" s="2">
        <v>0.81213872832369904</v>
      </c>
      <c r="F13263" s="2">
        <v>0.72606286884258697</v>
      </c>
    </row>
    <row r="13264" spans="1:6" x14ac:dyDescent="0.25">
      <c r="A13264" s="1" t="str">
        <f t="shared" si="496"/>
        <v>24460</v>
      </c>
      <c r="B13264" s="1" t="str">
        <f>"67665"</f>
        <v>67665</v>
      </c>
      <c r="C13264" s="2">
        <v>9.8046081658379391E-4</v>
      </c>
      <c r="D13264" s="2">
        <v>5.0479555779909104E-4</v>
      </c>
      <c r="E13264" s="2">
        <v>0</v>
      </c>
      <c r="F13264" s="2">
        <v>9.0328796820426298E-4</v>
      </c>
    </row>
    <row r="13265" spans="1:6" x14ac:dyDescent="0.25">
      <c r="A13265" s="1" t="str">
        <f t="shared" si="496"/>
        <v>24460</v>
      </c>
      <c r="B13265" s="1" t="str">
        <f>"67567"</f>
        <v>67567</v>
      </c>
      <c r="C13265" s="2">
        <v>1.5267175572519E-2</v>
      </c>
      <c r="D13265" s="2">
        <v>3.0287733467945399E-3</v>
      </c>
      <c r="E13265" s="2">
        <v>1.7341040462427699E-2</v>
      </c>
      <c r="F13265" s="2">
        <v>1.3850415512465301E-2</v>
      </c>
    </row>
    <row r="13266" spans="1:6" x14ac:dyDescent="0.25">
      <c r="A13266" s="1" t="str">
        <f t="shared" si="496"/>
        <v>24460</v>
      </c>
      <c r="B13266" s="1" t="str">
        <f>"67427"</f>
        <v>67427</v>
      </c>
      <c r="C13266" s="2">
        <v>7.0032915470270998E-5</v>
      </c>
      <c r="D13266" s="2">
        <v>0</v>
      </c>
      <c r="E13266" s="2">
        <v>0</v>
      </c>
      <c r="F13266" s="2">
        <v>6.0219197880284201E-5</v>
      </c>
    </row>
    <row r="13267" spans="1:6" x14ac:dyDescent="0.25">
      <c r="A13267" s="1" t="str">
        <f t="shared" si="496"/>
        <v>24460</v>
      </c>
      <c r="B13267" s="1" t="str">
        <f>"67450"</f>
        <v>67450</v>
      </c>
      <c r="C13267" s="2">
        <v>4.9023040829189696E-4</v>
      </c>
      <c r="D13267" s="2">
        <v>0</v>
      </c>
      <c r="E13267" s="2">
        <v>0</v>
      </c>
      <c r="F13267" s="2">
        <v>4.2153438516198899E-4</v>
      </c>
    </row>
    <row r="13268" spans="1:6" x14ac:dyDescent="0.25">
      <c r="A13268" s="1" t="str">
        <f t="shared" ref="A13268:A13288" si="497">"24500"</f>
        <v>24500</v>
      </c>
      <c r="B13268" s="1" t="str">
        <f>"59480"</f>
        <v>59480</v>
      </c>
      <c r="C13268" s="2">
        <v>3.8659197185054802E-3</v>
      </c>
      <c r="D13268" s="2">
        <v>4.2744176106005501E-4</v>
      </c>
      <c r="E13268" s="2">
        <v>5.3361792956243301E-4</v>
      </c>
      <c r="F13268" s="2">
        <v>3.4170167433820401E-3</v>
      </c>
    </row>
    <row r="13269" spans="1:6" x14ac:dyDescent="0.25">
      <c r="A13269" s="1" t="str">
        <f t="shared" si="497"/>
        <v>24500</v>
      </c>
      <c r="B13269" s="1" t="str">
        <f>"59405"</f>
        <v>59405</v>
      </c>
      <c r="C13269" s="2">
        <v>0.380133339506458</v>
      </c>
      <c r="D13269" s="2">
        <v>0.29194272280401701</v>
      </c>
      <c r="E13269" s="2">
        <v>0.491462113127001</v>
      </c>
      <c r="F13269" s="2">
        <v>0.376032642559948</v>
      </c>
    </row>
    <row r="13270" spans="1:6" x14ac:dyDescent="0.25">
      <c r="A13270" s="1" t="str">
        <f t="shared" si="497"/>
        <v>24500</v>
      </c>
      <c r="B13270" s="1" t="str">
        <f>"59440"</f>
        <v>59440</v>
      </c>
      <c r="C13270" s="2">
        <v>8.1022269549516101E-4</v>
      </c>
      <c r="D13270" s="2">
        <v>0</v>
      </c>
      <c r="E13270" s="2">
        <v>5.3361792956243301E-4</v>
      </c>
      <c r="F13270" s="2">
        <v>7.2360354565737298E-4</v>
      </c>
    </row>
    <row r="13271" spans="1:6" x14ac:dyDescent="0.25">
      <c r="A13271" s="1" t="str">
        <f t="shared" si="497"/>
        <v>24500</v>
      </c>
      <c r="B13271" s="1" t="str">
        <f>"59421"</f>
        <v>59421</v>
      </c>
      <c r="C13271" s="2">
        <v>2.5163202000092501E-2</v>
      </c>
      <c r="D13271" s="2">
        <v>8.7625561017311299E-3</v>
      </c>
      <c r="E13271" s="2">
        <v>7.4706510138740599E-3</v>
      </c>
      <c r="F13271" s="2">
        <v>2.2954312476131101E-2</v>
      </c>
    </row>
    <row r="13272" spans="1:6" x14ac:dyDescent="0.25">
      <c r="A13272" s="1" t="str">
        <f t="shared" si="497"/>
        <v>24500</v>
      </c>
      <c r="B13272" s="1" t="str">
        <f>"59472"</f>
        <v>59472</v>
      </c>
      <c r="C13272" s="2">
        <v>5.9956479466641904E-3</v>
      </c>
      <c r="D13272" s="2">
        <v>8.54883522120111E-4</v>
      </c>
      <c r="E13272" s="2">
        <v>1.6008537886872899E-3</v>
      </c>
      <c r="F13272" s="2">
        <v>5.3466261984683704E-3</v>
      </c>
    </row>
    <row r="13273" spans="1:6" x14ac:dyDescent="0.25">
      <c r="A13273" s="1" t="str">
        <f t="shared" si="497"/>
        <v>24500</v>
      </c>
      <c r="B13273" s="1" t="str">
        <f>"59485"</f>
        <v>59485</v>
      </c>
      <c r="C13273" s="2">
        <v>3.9353673781193496E-3</v>
      </c>
      <c r="D13273" s="2">
        <v>0</v>
      </c>
      <c r="E13273" s="2">
        <v>5.3361792956243301E-4</v>
      </c>
      <c r="F13273" s="2">
        <v>3.4371168418725201E-3</v>
      </c>
    </row>
    <row r="13274" spans="1:6" x14ac:dyDescent="0.25">
      <c r="A13274" s="1" t="str">
        <f t="shared" si="497"/>
        <v>24500</v>
      </c>
      <c r="B13274" s="1" t="str">
        <f>"59463"</f>
        <v>59463</v>
      </c>
      <c r="C13274" s="2">
        <v>2.5232649659706402E-3</v>
      </c>
      <c r="D13274" s="2">
        <v>4.2744176106005501E-4</v>
      </c>
      <c r="E13274" s="2">
        <v>5.3361792956243301E-4</v>
      </c>
      <c r="F13274" s="2">
        <v>2.25121103093405E-3</v>
      </c>
    </row>
    <row r="13275" spans="1:6" x14ac:dyDescent="0.25">
      <c r="A13275" s="1" t="str">
        <f t="shared" si="497"/>
        <v>24500</v>
      </c>
      <c r="B13275" s="1" t="str">
        <f>"59414"</f>
        <v>59414</v>
      </c>
      <c r="C13275" s="2">
        <v>2.1112088522616701E-2</v>
      </c>
      <c r="D13275" s="2">
        <v>4.3599059628125603E-2</v>
      </c>
      <c r="E13275" s="2">
        <v>9.6051227321237893E-3</v>
      </c>
      <c r="F13275" s="2">
        <v>2.2793511688207199E-2</v>
      </c>
    </row>
    <row r="13276" spans="1:6" x14ac:dyDescent="0.25">
      <c r="A13276" s="1" t="str">
        <f t="shared" si="497"/>
        <v>24500</v>
      </c>
      <c r="B13276" s="1" t="str">
        <f>"59443"</f>
        <v>59443</v>
      </c>
      <c r="C13276" s="2">
        <v>5.7410065280799998E-3</v>
      </c>
      <c r="D13276" s="2">
        <v>6.4116264159008295E-4</v>
      </c>
      <c r="E13276" s="2">
        <v>1.6008537886872899E-3</v>
      </c>
      <c r="F13276" s="2">
        <v>5.1054250165825802E-3</v>
      </c>
    </row>
    <row r="13277" spans="1:6" x14ac:dyDescent="0.25">
      <c r="A13277" s="1" t="str">
        <f t="shared" si="497"/>
        <v>24500</v>
      </c>
      <c r="B13277" s="1" t="str">
        <f>"59401"</f>
        <v>59401</v>
      </c>
      <c r="C13277" s="2">
        <v>0.16190564377980399</v>
      </c>
      <c r="D13277" s="2">
        <v>0.24364180380423101</v>
      </c>
      <c r="E13277" s="2">
        <v>0.27961579509071499</v>
      </c>
      <c r="F13277" s="2">
        <v>0.174026652730598</v>
      </c>
    </row>
    <row r="13278" spans="1:6" x14ac:dyDescent="0.25">
      <c r="A13278" s="1" t="str">
        <f t="shared" si="497"/>
        <v>24500</v>
      </c>
      <c r="B13278" s="1" t="str">
        <f>"59403"</f>
        <v>59403</v>
      </c>
      <c r="C13278" s="2">
        <v>4.5465067827214198E-2</v>
      </c>
      <c r="D13278" s="2">
        <v>0.15622996366745001</v>
      </c>
      <c r="E13278" s="2">
        <v>1.0672358591248599E-3</v>
      </c>
      <c r="F13278" s="2">
        <v>5.42099656288315E-2</v>
      </c>
    </row>
    <row r="13279" spans="1:6" x14ac:dyDescent="0.25">
      <c r="A13279" s="1" t="str">
        <f t="shared" si="497"/>
        <v>24500</v>
      </c>
      <c r="B13279" s="1" t="str">
        <f>"59483"</f>
        <v>59483</v>
      </c>
      <c r="C13279" s="2">
        <v>4.3983517755451602E-3</v>
      </c>
      <c r="D13279" s="2">
        <v>2.1372088053002699E-4</v>
      </c>
      <c r="E13279" s="2">
        <v>5.3361792956243301E-4</v>
      </c>
      <c r="F13279" s="2">
        <v>3.8592189101726501E-3</v>
      </c>
    </row>
    <row r="13280" spans="1:6" x14ac:dyDescent="0.25">
      <c r="A13280" s="1" t="str">
        <f t="shared" si="497"/>
        <v>24500</v>
      </c>
      <c r="B13280" s="1" t="str">
        <f>"59404"</f>
        <v>59404</v>
      </c>
      <c r="C13280" s="2">
        <v>0.285221538034168</v>
      </c>
      <c r="D13280" s="2">
        <v>0.171190425304552</v>
      </c>
      <c r="E13280" s="2">
        <v>0.191035218783351</v>
      </c>
      <c r="F13280" s="2">
        <v>0.27094932765170499</v>
      </c>
    </row>
    <row r="13281" spans="1:6" x14ac:dyDescent="0.25">
      <c r="A13281" s="1" t="str">
        <f t="shared" si="497"/>
        <v>24500</v>
      </c>
      <c r="B13281" s="1" t="str">
        <f>"59436"</f>
        <v>59436</v>
      </c>
      <c r="C13281" s="2">
        <v>6.9447659613870998E-5</v>
      </c>
      <c r="D13281" s="2">
        <v>0</v>
      </c>
      <c r="E13281" s="2">
        <v>0</v>
      </c>
      <c r="F13281" s="2">
        <v>6.03002954714478E-5</v>
      </c>
    </row>
    <row r="13282" spans="1:6" x14ac:dyDescent="0.25">
      <c r="A13282" s="1" t="str">
        <f t="shared" si="497"/>
        <v>24500</v>
      </c>
      <c r="B13282" s="1" t="str">
        <f>"59468"</f>
        <v>59468</v>
      </c>
      <c r="C13282" s="2">
        <v>8.1022269549516101E-4</v>
      </c>
      <c r="D13282" s="2">
        <v>2.1372088053002699E-4</v>
      </c>
      <c r="E13282" s="2">
        <v>0</v>
      </c>
      <c r="F13282" s="2">
        <v>7.2360354565737298E-4</v>
      </c>
    </row>
    <row r="13283" spans="1:6" x14ac:dyDescent="0.25">
      <c r="A13283" s="1" t="str">
        <f t="shared" si="497"/>
        <v>24500</v>
      </c>
      <c r="B13283" s="1" t="str">
        <f>"59477"</f>
        <v>59477</v>
      </c>
      <c r="C13283" s="2">
        <v>1.15746099356451E-4</v>
      </c>
      <c r="D13283" s="2">
        <v>0</v>
      </c>
      <c r="E13283" s="2">
        <v>5.3361792956243301E-4</v>
      </c>
      <c r="F13283" s="2">
        <v>1.20600590942895E-4</v>
      </c>
    </row>
    <row r="13284" spans="1:6" x14ac:dyDescent="0.25">
      <c r="A13284" s="1" t="str">
        <f t="shared" si="497"/>
        <v>24500</v>
      </c>
      <c r="B13284" s="1" t="str">
        <f>"59406"</f>
        <v>59406</v>
      </c>
      <c r="C13284" s="2">
        <v>2.4491874623825099E-2</v>
      </c>
      <c r="D13284" s="2">
        <v>4.6377431075015997E-2</v>
      </c>
      <c r="E13284" s="2">
        <v>1.0672358591248599E-3</v>
      </c>
      <c r="F13284" s="2">
        <v>2.5667825772346199E-2</v>
      </c>
    </row>
    <row r="13285" spans="1:6" x14ac:dyDescent="0.25">
      <c r="A13285" s="1" t="str">
        <f t="shared" si="497"/>
        <v>24500</v>
      </c>
      <c r="B13285" s="1" t="str">
        <f>"59412"</f>
        <v>59412</v>
      </c>
      <c r="C13285" s="2">
        <v>1.3380249085605801E-2</v>
      </c>
      <c r="D13285" s="2">
        <v>8.54883522120111E-4</v>
      </c>
      <c r="E13285" s="2">
        <v>9.6051227321237893E-3</v>
      </c>
      <c r="F13285" s="2">
        <v>1.20600590942895E-2</v>
      </c>
    </row>
    <row r="13286" spans="1:6" x14ac:dyDescent="0.25">
      <c r="A13286" s="1" t="str">
        <f t="shared" si="497"/>
        <v>24500</v>
      </c>
      <c r="B13286" s="1" t="str">
        <f>"59402"</f>
        <v>59402</v>
      </c>
      <c r="C13286" s="2">
        <v>0</v>
      </c>
      <c r="D13286" s="2">
        <v>3.2699294721094202E-2</v>
      </c>
      <c r="E13286" s="2">
        <v>0</v>
      </c>
      <c r="F13286" s="2">
        <v>3.07531506904383E-3</v>
      </c>
    </row>
    <row r="13287" spans="1:6" x14ac:dyDescent="0.25">
      <c r="A13287" s="1" t="str">
        <f t="shared" si="497"/>
        <v>24500</v>
      </c>
      <c r="B13287" s="1" t="str">
        <f>"59465"</f>
        <v>59465</v>
      </c>
      <c r="C13287" s="2">
        <v>1.1574609935645101E-3</v>
      </c>
      <c r="D13287" s="2">
        <v>2.1372088053002699E-4</v>
      </c>
      <c r="E13287" s="2">
        <v>5.3361792956243301E-4</v>
      </c>
      <c r="F13287" s="2">
        <v>1.0452051215050901E-3</v>
      </c>
    </row>
    <row r="13288" spans="1:6" x14ac:dyDescent="0.25">
      <c r="A13288" s="1" t="str">
        <f t="shared" si="497"/>
        <v>24500</v>
      </c>
      <c r="B13288" s="1" t="str">
        <f>"59487"</f>
        <v>59487</v>
      </c>
      <c r="C13288" s="2">
        <v>1.37043381638038E-2</v>
      </c>
      <c r="D13288" s="2">
        <v>1.7097670442402201E-3</v>
      </c>
      <c r="E13288" s="2">
        <v>2.1344717182497299E-3</v>
      </c>
      <c r="F13288" s="2">
        <v>1.21404594882514E-2</v>
      </c>
    </row>
    <row r="13289" spans="1:6" x14ac:dyDescent="0.25">
      <c r="A13289" s="1" t="str">
        <f t="shared" ref="A13289:A13336" si="498">"24540"</f>
        <v>24540</v>
      </c>
      <c r="B13289" s="1" t="str">
        <f>"80741"</f>
        <v>80741</v>
      </c>
      <c r="C13289" s="2">
        <v>7.6189315210434802E-6</v>
      </c>
      <c r="D13289" s="2">
        <v>0</v>
      </c>
      <c r="E13289" s="2">
        <v>0</v>
      </c>
      <c r="F13289" s="2">
        <v>6.8177479614933499E-6</v>
      </c>
    </row>
    <row r="13290" spans="1:6" x14ac:dyDescent="0.25">
      <c r="A13290" s="1" t="str">
        <f t="shared" si="498"/>
        <v>24540</v>
      </c>
      <c r="B13290" s="1" t="str">
        <f>"80549"</f>
        <v>80549</v>
      </c>
      <c r="C13290" s="2">
        <v>7.3141742602017405E-4</v>
      </c>
      <c r="D13290" s="2">
        <v>0</v>
      </c>
      <c r="E13290" s="2">
        <v>5.0607287449392702E-4</v>
      </c>
      <c r="F13290" s="2">
        <v>6.7495704818784196E-4</v>
      </c>
    </row>
    <row r="13291" spans="1:6" x14ac:dyDescent="0.25">
      <c r="A13291" s="1" t="str">
        <f t="shared" si="498"/>
        <v>24540</v>
      </c>
      <c r="B13291" s="1" t="str">
        <f>"80742"</f>
        <v>80742</v>
      </c>
      <c r="C13291" s="2">
        <v>9.2189071404626198E-4</v>
      </c>
      <c r="D13291" s="2">
        <v>3.1592249368155001E-4</v>
      </c>
      <c r="E13291" s="2">
        <v>1.6869095816464199E-4</v>
      </c>
      <c r="F13291" s="2">
        <v>8.5221849518666898E-4</v>
      </c>
    </row>
    <row r="13292" spans="1:6" x14ac:dyDescent="0.25">
      <c r="A13292" s="1" t="str">
        <f t="shared" si="498"/>
        <v>24540</v>
      </c>
      <c r="B13292" s="1" t="str">
        <f>"80643"</f>
        <v>80643</v>
      </c>
      <c r="C13292" s="2">
        <v>1.0011276018651099E-2</v>
      </c>
      <c r="D13292" s="2">
        <v>4.73883740522325E-3</v>
      </c>
      <c r="E13292" s="2">
        <v>3.3738191632928399E-3</v>
      </c>
      <c r="F13292" s="2">
        <v>9.4016744388993392E-3</v>
      </c>
    </row>
    <row r="13293" spans="1:6" x14ac:dyDescent="0.25">
      <c r="A13293" s="1" t="str">
        <f t="shared" si="498"/>
        <v>24540</v>
      </c>
      <c r="B13293" s="1" t="str">
        <f>"80542"</f>
        <v>80542</v>
      </c>
      <c r="C13293" s="2">
        <v>1.1512205528296701E-2</v>
      </c>
      <c r="D13293" s="2">
        <v>4.2122999157539998E-4</v>
      </c>
      <c r="E13293" s="2">
        <v>2.36167341430499E-3</v>
      </c>
      <c r="F13293" s="2">
        <v>1.04243366331233E-2</v>
      </c>
    </row>
    <row r="13294" spans="1:6" x14ac:dyDescent="0.25">
      <c r="A13294" s="1" t="str">
        <f t="shared" si="498"/>
        <v>24540</v>
      </c>
      <c r="B13294" s="1" t="str">
        <f>"80623"</f>
        <v>80623</v>
      </c>
      <c r="C13294" s="2">
        <v>2.6437692378020899E-3</v>
      </c>
      <c r="D13294" s="2">
        <v>0</v>
      </c>
      <c r="E13294" s="2">
        <v>1.6869095816464199E-4</v>
      </c>
      <c r="F13294" s="2">
        <v>2.3725762905996801E-3</v>
      </c>
    </row>
    <row r="13295" spans="1:6" x14ac:dyDescent="0.25">
      <c r="A13295" s="1" t="str">
        <f t="shared" si="498"/>
        <v>24540</v>
      </c>
      <c r="B13295" s="1" t="str">
        <f>"80634"</f>
        <v>80634</v>
      </c>
      <c r="C13295" s="2">
        <v>0.20107122177185799</v>
      </c>
      <c r="D13295" s="2">
        <v>0.178180286436394</v>
      </c>
      <c r="E13295" s="2">
        <v>0.23852901484480399</v>
      </c>
      <c r="F13295" s="2">
        <v>0.201103111620169</v>
      </c>
    </row>
    <row r="13296" spans="1:6" x14ac:dyDescent="0.25">
      <c r="A13296" s="1" t="str">
        <f t="shared" si="498"/>
        <v>24540</v>
      </c>
      <c r="B13296" s="1" t="str">
        <f>"80729"</f>
        <v>80729</v>
      </c>
      <c r="C13296" s="2">
        <v>1.6609270715874801E-3</v>
      </c>
      <c r="D13296" s="2">
        <v>4.2122999157539998E-4</v>
      </c>
      <c r="E13296" s="2">
        <v>3.3738191632928398E-4</v>
      </c>
      <c r="F13296" s="2">
        <v>1.5271755433745101E-3</v>
      </c>
    </row>
    <row r="13297" spans="1:6" x14ac:dyDescent="0.25">
      <c r="A13297" s="1" t="str">
        <f t="shared" si="498"/>
        <v>24540</v>
      </c>
      <c r="B13297" s="1" t="str">
        <f>"80611"</f>
        <v>80611</v>
      </c>
      <c r="C13297" s="2">
        <v>2.48377167586017E-3</v>
      </c>
      <c r="D13297" s="2">
        <v>1.2636899747262001E-3</v>
      </c>
      <c r="E13297" s="2">
        <v>1.6869095816464199E-4</v>
      </c>
      <c r="F13297" s="2">
        <v>2.31121655894624E-3</v>
      </c>
    </row>
    <row r="13298" spans="1:6" x14ac:dyDescent="0.25">
      <c r="A13298" s="1" t="str">
        <f t="shared" si="498"/>
        <v>24540</v>
      </c>
      <c r="B13298" s="1" t="str">
        <f>"80644"</f>
        <v>80644</v>
      </c>
      <c r="C13298" s="2">
        <v>1.02627007588455E-2</v>
      </c>
      <c r="D13298" s="2">
        <v>4.1069924178601504E-3</v>
      </c>
      <c r="E13298" s="2">
        <v>7.5910931174088996E-3</v>
      </c>
      <c r="F13298" s="2">
        <v>9.7561973328969907E-3</v>
      </c>
    </row>
    <row r="13299" spans="1:6" x14ac:dyDescent="0.25">
      <c r="A13299" s="1" t="str">
        <f t="shared" si="498"/>
        <v>24540</v>
      </c>
      <c r="B13299" s="1" t="str">
        <f>"80504"</f>
        <v>80504</v>
      </c>
      <c r="C13299" s="2">
        <v>7.5930271538719396E-2</v>
      </c>
      <c r="D13299" s="2">
        <v>8.8247683235046295E-2</v>
      </c>
      <c r="E13299" s="2">
        <v>2.8340080971659899E-2</v>
      </c>
      <c r="F13299" s="2">
        <v>7.4804330633505098E-2</v>
      </c>
    </row>
    <row r="13300" spans="1:6" x14ac:dyDescent="0.25">
      <c r="A13300" s="1" t="str">
        <f t="shared" si="498"/>
        <v>24540</v>
      </c>
      <c r="B13300" s="1" t="str">
        <f>"80514"</f>
        <v>80514</v>
      </c>
      <c r="C13300" s="2">
        <v>2.1020632066558902E-2</v>
      </c>
      <c r="D13300" s="2">
        <v>1.63226621735467E-2</v>
      </c>
      <c r="E13300" s="2">
        <v>5.7354925775978402E-3</v>
      </c>
      <c r="F13300" s="2">
        <v>2.0098720990482401E-2</v>
      </c>
    </row>
    <row r="13301" spans="1:6" x14ac:dyDescent="0.25">
      <c r="A13301" s="1" t="str">
        <f t="shared" si="498"/>
        <v>24540</v>
      </c>
      <c r="B13301" s="1" t="str">
        <f>"80551"</f>
        <v>80551</v>
      </c>
      <c r="C13301" s="2">
        <v>0</v>
      </c>
      <c r="D13301" s="2">
        <v>1.0530749789385E-4</v>
      </c>
      <c r="E13301" s="2">
        <v>0</v>
      </c>
      <c r="F13301" s="2">
        <v>6.8177479614933499E-6</v>
      </c>
    </row>
    <row r="13302" spans="1:6" x14ac:dyDescent="0.25">
      <c r="A13302" s="1" t="str">
        <f t="shared" si="498"/>
        <v>24540</v>
      </c>
      <c r="B13302" s="1" t="str">
        <f>"80745"</f>
        <v>80745</v>
      </c>
      <c r="C13302" s="2">
        <v>3.0475726084173901E-5</v>
      </c>
      <c r="D13302" s="2">
        <v>0</v>
      </c>
      <c r="E13302" s="2">
        <v>0</v>
      </c>
      <c r="F13302" s="2">
        <v>2.72709918459734E-5</v>
      </c>
    </row>
    <row r="13303" spans="1:6" x14ac:dyDescent="0.25">
      <c r="A13303" s="1" t="str">
        <f t="shared" si="498"/>
        <v>24540</v>
      </c>
      <c r="B13303" s="1" t="str">
        <f>"80646"</f>
        <v>80646</v>
      </c>
      <c r="C13303" s="2">
        <v>0</v>
      </c>
      <c r="D13303" s="2">
        <v>0</v>
      </c>
      <c r="E13303" s="2">
        <v>1.6869095816464199E-4</v>
      </c>
      <c r="F13303" s="2">
        <v>6.8177479614933499E-6</v>
      </c>
    </row>
    <row r="13304" spans="1:6" x14ac:dyDescent="0.25">
      <c r="A13304" s="1" t="str">
        <f t="shared" si="498"/>
        <v>24540</v>
      </c>
      <c r="B13304" s="1" t="str">
        <f>"80622"</f>
        <v>80622</v>
      </c>
      <c r="C13304" s="2">
        <v>4.4189802822052198E-4</v>
      </c>
      <c r="D13304" s="2">
        <v>1.0530749789385E-4</v>
      </c>
      <c r="E13304" s="2">
        <v>0</v>
      </c>
      <c r="F13304" s="2">
        <v>4.0224712972810798E-4</v>
      </c>
    </row>
    <row r="13305" spans="1:6" x14ac:dyDescent="0.25">
      <c r="A13305" s="1" t="str">
        <f t="shared" si="498"/>
        <v>24540</v>
      </c>
      <c r="B13305" s="1" t="str">
        <f>"80546"</f>
        <v>80546</v>
      </c>
      <c r="C13305" s="2">
        <v>8.8379605644104396E-4</v>
      </c>
      <c r="D13305" s="2">
        <v>0</v>
      </c>
      <c r="E13305" s="2">
        <v>1.6869095816464199E-4</v>
      </c>
      <c r="F13305" s="2">
        <v>7.9767651149472297E-4</v>
      </c>
    </row>
    <row r="13306" spans="1:6" x14ac:dyDescent="0.25">
      <c r="A13306" s="1" t="str">
        <f t="shared" si="498"/>
        <v>24540</v>
      </c>
      <c r="B13306" s="1" t="str">
        <f>"80615"</f>
        <v>80615</v>
      </c>
      <c r="C13306" s="2">
        <v>2.8578612135434101E-2</v>
      </c>
      <c r="D13306" s="2">
        <v>2.42207245155855E-2</v>
      </c>
      <c r="E13306" s="2">
        <v>1.73751686909581E-2</v>
      </c>
      <c r="F13306" s="2">
        <v>2.7843682674738801E-2</v>
      </c>
    </row>
    <row r="13307" spans="1:6" x14ac:dyDescent="0.25">
      <c r="A13307" s="1" t="str">
        <f t="shared" si="498"/>
        <v>24540</v>
      </c>
      <c r="B13307" s="1" t="str">
        <f>"80632"</f>
        <v>80632</v>
      </c>
      <c r="C13307" s="2">
        <v>8.6246304818212195E-3</v>
      </c>
      <c r="D13307" s="2">
        <v>2.5589721988205499E-2</v>
      </c>
      <c r="E13307" s="2">
        <v>0</v>
      </c>
      <c r="F13307" s="2">
        <v>9.3744034470533595E-3</v>
      </c>
    </row>
    <row r="13308" spans="1:6" x14ac:dyDescent="0.25">
      <c r="A13308" s="1" t="str">
        <f t="shared" si="498"/>
        <v>24540</v>
      </c>
      <c r="B13308" s="1" t="str">
        <f>"80530"</f>
        <v>80530</v>
      </c>
      <c r="C13308" s="2">
        <v>2.1569195136074099E-2</v>
      </c>
      <c r="D13308" s="2">
        <v>1.27422072451558E-2</v>
      </c>
      <c r="E13308" s="2">
        <v>1.5182186234817801E-3</v>
      </c>
      <c r="F13308" s="2">
        <v>2.01873517139818E-2</v>
      </c>
    </row>
    <row r="13309" spans="1:6" x14ac:dyDescent="0.25">
      <c r="A13309" s="1" t="str">
        <f t="shared" si="498"/>
        <v>24540</v>
      </c>
      <c r="B13309" s="1" t="str">
        <f>"80650"</f>
        <v>80650</v>
      </c>
      <c r="C13309" s="2">
        <v>5.7599122299088704E-3</v>
      </c>
      <c r="D13309" s="2">
        <v>1.0530749789384999E-3</v>
      </c>
      <c r="E13309" s="2">
        <v>1.0121457489878499E-3</v>
      </c>
      <c r="F13309" s="2">
        <v>5.26330142627287E-3</v>
      </c>
    </row>
    <row r="13310" spans="1:6" x14ac:dyDescent="0.25">
      <c r="A13310" s="1" t="str">
        <f t="shared" si="498"/>
        <v>24540</v>
      </c>
      <c r="B13310" s="1" t="str">
        <f>"80652"</f>
        <v>80652</v>
      </c>
      <c r="C13310" s="2">
        <v>1.3866455368299101E-3</v>
      </c>
      <c r="D13310" s="2">
        <v>1.2636899747262001E-3</v>
      </c>
      <c r="E13310" s="2">
        <v>1.6869095816464199E-4</v>
      </c>
      <c r="F13310" s="2">
        <v>1.3294608524912E-3</v>
      </c>
    </row>
    <row r="13311" spans="1:6" x14ac:dyDescent="0.25">
      <c r="A13311" s="1" t="str">
        <f t="shared" si="498"/>
        <v>24540</v>
      </c>
      <c r="B13311" s="1" t="str">
        <f>"80610"</f>
        <v>80610</v>
      </c>
      <c r="C13311" s="2">
        <v>1.16493462956754E-2</v>
      </c>
      <c r="D13311" s="2">
        <v>2.42207245155855E-3</v>
      </c>
      <c r="E13311" s="2">
        <v>6.9163292847503298E-3</v>
      </c>
      <c r="F13311" s="2">
        <v>1.0860672502658901E-2</v>
      </c>
    </row>
    <row r="13312" spans="1:6" x14ac:dyDescent="0.25">
      <c r="A13312" s="1" t="str">
        <f t="shared" si="498"/>
        <v>24540</v>
      </c>
      <c r="B13312" s="1" t="str">
        <f>"80654"</f>
        <v>80654</v>
      </c>
      <c r="C13312" s="2">
        <v>1.7523542498399999E-4</v>
      </c>
      <c r="D13312" s="2">
        <v>0</v>
      </c>
      <c r="E13312" s="2">
        <v>0</v>
      </c>
      <c r="F13312" s="2">
        <v>1.5680820311434699E-4</v>
      </c>
    </row>
    <row r="13313" spans="1:6" x14ac:dyDescent="0.25">
      <c r="A13313" s="1" t="str">
        <f t="shared" si="498"/>
        <v>24540</v>
      </c>
      <c r="B13313" s="1" t="str">
        <f>"80754"</f>
        <v>80754</v>
      </c>
      <c r="C13313" s="2">
        <v>4.5713589126260902E-4</v>
      </c>
      <c r="D13313" s="2">
        <v>2.1061499578769999E-4</v>
      </c>
      <c r="E13313" s="2">
        <v>1.6869095816464199E-4</v>
      </c>
      <c r="F13313" s="2">
        <v>4.2951812157408098E-4</v>
      </c>
    </row>
    <row r="13314" spans="1:6" x14ac:dyDescent="0.25">
      <c r="A13314" s="1" t="str">
        <f t="shared" si="498"/>
        <v>24540</v>
      </c>
      <c r="B13314" s="1" t="str">
        <f>"80631"</f>
        <v>80631</v>
      </c>
      <c r="C13314" s="2">
        <v>0.152942431353426</v>
      </c>
      <c r="D13314" s="2">
        <v>0.228306655433866</v>
      </c>
      <c r="E13314" s="2">
        <v>0.40536437246963503</v>
      </c>
      <c r="F13314" s="2">
        <v>0.16802339851100301</v>
      </c>
    </row>
    <row r="13315" spans="1:6" x14ac:dyDescent="0.25">
      <c r="A13315" s="1" t="str">
        <f t="shared" si="498"/>
        <v>24540</v>
      </c>
      <c r="B13315" s="1" t="str">
        <f>"80645"</f>
        <v>80645</v>
      </c>
      <c r="C13315" s="2">
        <v>1.25712370097217E-2</v>
      </c>
      <c r="D13315" s="2">
        <v>1.63226621735467E-2</v>
      </c>
      <c r="E13315" s="2">
        <v>9.6153846153846107E-3</v>
      </c>
      <c r="F13315" s="2">
        <v>1.2694646704300599E-2</v>
      </c>
    </row>
    <row r="13316" spans="1:6" x14ac:dyDescent="0.25">
      <c r="A13316" s="1" t="str">
        <f t="shared" si="498"/>
        <v>24540</v>
      </c>
      <c r="B13316" s="1" t="str">
        <f>"80642"</f>
        <v>80642</v>
      </c>
      <c r="C13316" s="2">
        <v>5.9046719288087003E-3</v>
      </c>
      <c r="D13316" s="2">
        <v>4.1069924178601504E-3</v>
      </c>
      <c r="E13316" s="2">
        <v>2.53036437246963E-3</v>
      </c>
      <c r="F13316" s="2">
        <v>5.6519130600779901E-3</v>
      </c>
    </row>
    <row r="13317" spans="1:6" x14ac:dyDescent="0.25">
      <c r="A13317" s="1" t="str">
        <f t="shared" si="498"/>
        <v>24540</v>
      </c>
      <c r="B13317" s="1" t="str">
        <f>"80550"</f>
        <v>80550</v>
      </c>
      <c r="C13317" s="2">
        <v>0.106550757321793</v>
      </c>
      <c r="D13317" s="2">
        <v>0.109203875315922</v>
      </c>
      <c r="E13317" s="2">
        <v>8.9068825910931099E-2</v>
      </c>
      <c r="F13317" s="2">
        <v>0.106015980801221</v>
      </c>
    </row>
    <row r="13318" spans="1:6" x14ac:dyDescent="0.25">
      <c r="A13318" s="1" t="str">
        <f t="shared" si="498"/>
        <v>24540</v>
      </c>
      <c r="B13318" s="1" t="str">
        <f>"80651"</f>
        <v>80651</v>
      </c>
      <c r="C13318" s="2">
        <v>1.29293267912108E-2</v>
      </c>
      <c r="D13318" s="2">
        <v>8.7405223251895495E-3</v>
      </c>
      <c r="E13318" s="2">
        <v>5.9041835357624799E-3</v>
      </c>
      <c r="F13318" s="2">
        <v>1.2374212550110401E-2</v>
      </c>
    </row>
    <row r="13319" spans="1:6" x14ac:dyDescent="0.25">
      <c r="A13319" s="1" t="str">
        <f t="shared" si="498"/>
        <v>24540</v>
      </c>
      <c r="B13319" s="1" t="str">
        <f>"80732"</f>
        <v>80732</v>
      </c>
      <c r="C13319" s="2">
        <v>2.05711151068174E-4</v>
      </c>
      <c r="D13319" s="2">
        <v>0</v>
      </c>
      <c r="E13319" s="2">
        <v>1.6869095816464199E-4</v>
      </c>
      <c r="F13319" s="2">
        <v>1.90896942921814E-4</v>
      </c>
    </row>
    <row r="13320" spans="1:6" x14ac:dyDescent="0.25">
      <c r="A13320" s="1" t="str">
        <f t="shared" si="498"/>
        <v>24540</v>
      </c>
      <c r="B13320" s="1" t="str">
        <f>"80524"</f>
        <v>80524</v>
      </c>
      <c r="C13320" s="2">
        <v>2.2399658671867799E-3</v>
      </c>
      <c r="D13320" s="2">
        <v>7.3715248525695E-4</v>
      </c>
      <c r="E13320" s="2">
        <v>1.3495276653171301E-3</v>
      </c>
      <c r="F13320" s="2">
        <v>2.1066841201014398E-3</v>
      </c>
    </row>
    <row r="13321" spans="1:6" x14ac:dyDescent="0.25">
      <c r="A13321" s="1" t="str">
        <f t="shared" si="498"/>
        <v>24540</v>
      </c>
      <c r="B13321" s="1" t="str">
        <f>"80537"</f>
        <v>80537</v>
      </c>
      <c r="C13321" s="2">
        <v>4.7237375430469601E-4</v>
      </c>
      <c r="D13321" s="2">
        <v>0</v>
      </c>
      <c r="E13321" s="2">
        <v>5.0607287449392702E-4</v>
      </c>
      <c r="F13321" s="2">
        <v>4.4315361749706802E-4</v>
      </c>
    </row>
    <row r="13322" spans="1:6" x14ac:dyDescent="0.25">
      <c r="A13322" s="1" t="str">
        <f t="shared" si="498"/>
        <v>24540</v>
      </c>
      <c r="B13322" s="1" t="str">
        <f>"80633"</f>
        <v>80633</v>
      </c>
      <c r="C13322" s="2">
        <v>7.9846402340535694E-3</v>
      </c>
      <c r="D13322" s="2">
        <v>4.1069924178601502E-2</v>
      </c>
      <c r="E13322" s="2">
        <v>0</v>
      </c>
      <c r="F13322" s="2">
        <v>9.8039215686274508E-3</v>
      </c>
    </row>
    <row r="13323" spans="1:6" x14ac:dyDescent="0.25">
      <c r="A13323" s="1" t="str">
        <f t="shared" si="498"/>
        <v>24540</v>
      </c>
      <c r="B13323" s="1" t="str">
        <f>"80603"</f>
        <v>80603</v>
      </c>
      <c r="C13323" s="2">
        <v>2.6932922926888699E-2</v>
      </c>
      <c r="D13323" s="2">
        <v>1.9481887110362198E-2</v>
      </c>
      <c r="E13323" s="2">
        <v>9.7840755735492495E-3</v>
      </c>
      <c r="F13323" s="2">
        <v>2.5757451798521899E-2</v>
      </c>
    </row>
    <row r="13324" spans="1:6" x14ac:dyDescent="0.25">
      <c r="A13324" s="1" t="str">
        <f t="shared" si="498"/>
        <v>24540</v>
      </c>
      <c r="B13324" s="1" t="str">
        <f>"80620"</f>
        <v>80620</v>
      </c>
      <c r="C13324" s="2">
        <v>6.2040959375857102E-2</v>
      </c>
      <c r="D13324" s="2">
        <v>5.2127211457455698E-2</v>
      </c>
      <c r="E13324" s="2">
        <v>7.7429149797570804E-2</v>
      </c>
      <c r="F13324" s="2">
        <v>6.2021053205705001E-2</v>
      </c>
    </row>
    <row r="13325" spans="1:6" x14ac:dyDescent="0.25">
      <c r="A13325" s="1" t="str">
        <f t="shared" si="498"/>
        <v>24540</v>
      </c>
      <c r="B13325" s="1" t="str">
        <f>"80520"</f>
        <v>80520</v>
      </c>
      <c r="C13325" s="2">
        <v>5.1656355712674804E-3</v>
      </c>
      <c r="D13325" s="2">
        <v>1.0530749789385E-4</v>
      </c>
      <c r="E13325" s="2">
        <v>6.7476383265856904E-4</v>
      </c>
      <c r="F13325" s="2">
        <v>4.6565218576999599E-3</v>
      </c>
    </row>
    <row r="13326" spans="1:6" x14ac:dyDescent="0.25">
      <c r="A13326" s="1" t="str">
        <f t="shared" si="498"/>
        <v>24540</v>
      </c>
      <c r="B13326" s="1" t="str">
        <f>"80516"</f>
        <v>80516</v>
      </c>
      <c r="C13326" s="2">
        <v>7.37284003291378E-2</v>
      </c>
      <c r="D13326" s="2">
        <v>7.4663016006739594E-2</v>
      </c>
      <c r="E13326" s="2">
        <v>4.3690958164642302E-2</v>
      </c>
      <c r="F13326" s="2">
        <v>7.2574927050096799E-2</v>
      </c>
    </row>
    <row r="13327" spans="1:6" x14ac:dyDescent="0.25">
      <c r="A13327" s="1" t="str">
        <f t="shared" si="498"/>
        <v>24540</v>
      </c>
      <c r="B13327" s="1" t="str">
        <f>"80534"</f>
        <v>80534</v>
      </c>
      <c r="C13327" s="2">
        <v>4.0159388047420197E-2</v>
      </c>
      <c r="D13327" s="2">
        <v>1.6006739679865201E-2</v>
      </c>
      <c r="E13327" s="2">
        <v>1.09649122807017E-2</v>
      </c>
      <c r="F13327" s="2">
        <v>3.7415800812675502E-2</v>
      </c>
    </row>
    <row r="13328" spans="1:6" x14ac:dyDescent="0.25">
      <c r="A13328" s="1" t="str">
        <f t="shared" si="498"/>
        <v>24540</v>
      </c>
      <c r="B13328" s="1" t="str">
        <f>"80513"</f>
        <v>80513</v>
      </c>
      <c r="C13328" s="2">
        <v>2.88757504647548E-3</v>
      </c>
      <c r="D13328" s="2">
        <v>1.0636057287278801E-2</v>
      </c>
      <c r="E13328" s="2">
        <v>3.87989203778677E-3</v>
      </c>
      <c r="F13328" s="2">
        <v>3.4293272246311499E-3</v>
      </c>
    </row>
    <row r="13329" spans="1:6" x14ac:dyDescent="0.25">
      <c r="A13329" s="1" t="str">
        <f t="shared" si="498"/>
        <v>24540</v>
      </c>
      <c r="B13329" s="1" t="str">
        <f>"80639"</f>
        <v>80639</v>
      </c>
      <c r="C13329" s="2">
        <v>0</v>
      </c>
      <c r="D13329" s="2">
        <v>8.4245998315079997E-4</v>
      </c>
      <c r="E13329" s="2">
        <v>1.6869095816464199E-4</v>
      </c>
      <c r="F13329" s="2">
        <v>6.1359731653440206E-5</v>
      </c>
    </row>
    <row r="13330" spans="1:6" x14ac:dyDescent="0.25">
      <c r="A13330" s="1" t="str">
        <f t="shared" si="498"/>
        <v>24540</v>
      </c>
      <c r="B13330" s="1" t="str">
        <f>"80638"</f>
        <v>80638</v>
      </c>
      <c r="C13330" s="2">
        <v>0</v>
      </c>
      <c r="D13330" s="2">
        <v>1.0530749789385E-4</v>
      </c>
      <c r="E13330" s="2">
        <v>0</v>
      </c>
      <c r="F13330" s="2">
        <v>6.8177479614933499E-6</v>
      </c>
    </row>
    <row r="13331" spans="1:6" x14ac:dyDescent="0.25">
      <c r="A13331" s="1" t="str">
        <f t="shared" si="498"/>
        <v>24540</v>
      </c>
      <c r="B13331" s="1" t="str">
        <f>"80649"</f>
        <v>80649</v>
      </c>
      <c r="C13331" s="2">
        <v>5.10468411909913E-4</v>
      </c>
      <c r="D13331" s="2">
        <v>0</v>
      </c>
      <c r="E13331" s="2">
        <v>0</v>
      </c>
      <c r="F13331" s="2">
        <v>4.5678911342005501E-4</v>
      </c>
    </row>
    <row r="13332" spans="1:6" x14ac:dyDescent="0.25">
      <c r="A13332" s="1" t="str">
        <f t="shared" si="498"/>
        <v>24540</v>
      </c>
      <c r="B13332" s="1" t="str">
        <f>"80612"</f>
        <v>80612</v>
      </c>
      <c r="C13332" s="2">
        <v>1.5009295096455599E-3</v>
      </c>
      <c r="D13332" s="2">
        <v>9.4776748104465004E-4</v>
      </c>
      <c r="E13332" s="2">
        <v>1.6869095816464199E-4</v>
      </c>
      <c r="F13332" s="2">
        <v>1.4112738280291201E-3</v>
      </c>
    </row>
    <row r="13333" spans="1:6" x14ac:dyDescent="0.25">
      <c r="A13333" s="1" t="str">
        <f t="shared" si="498"/>
        <v>24540</v>
      </c>
      <c r="B13333" s="1" t="str">
        <f>"80648"</f>
        <v>80648</v>
      </c>
      <c r="C13333" s="2">
        <v>3.9847011855057403E-3</v>
      </c>
      <c r="D13333" s="2">
        <v>5.3706823925863496E-3</v>
      </c>
      <c r="E13333" s="2">
        <v>8.4345479082321105E-4</v>
      </c>
      <c r="F13333" s="2">
        <v>3.9474760697046501E-3</v>
      </c>
    </row>
    <row r="13334" spans="1:6" x14ac:dyDescent="0.25">
      <c r="A13334" s="1" t="str">
        <f t="shared" si="498"/>
        <v>24540</v>
      </c>
      <c r="B13334" s="1" t="str">
        <f>"80624"</f>
        <v>80624</v>
      </c>
      <c r="C13334" s="2">
        <v>3.1313808551488701E-3</v>
      </c>
      <c r="D13334" s="2">
        <v>3.1592249368155001E-4</v>
      </c>
      <c r="E13334" s="2">
        <v>1.6869095816464199E-4</v>
      </c>
      <c r="F13334" s="2">
        <v>2.8293654040197399E-3</v>
      </c>
    </row>
    <row r="13335" spans="1:6" x14ac:dyDescent="0.25">
      <c r="A13335" s="1" t="str">
        <f t="shared" si="498"/>
        <v>24540</v>
      </c>
      <c r="B13335" s="1" t="str">
        <f>"80543"</f>
        <v>80543</v>
      </c>
      <c r="C13335" s="2">
        <v>2.26663212751043E-2</v>
      </c>
      <c r="D13335" s="2">
        <v>7.6874473462510504E-3</v>
      </c>
      <c r="E13335" s="2">
        <v>7.2537112010796203E-3</v>
      </c>
      <c r="F13335" s="2">
        <v>2.10736589489759E-2</v>
      </c>
    </row>
    <row r="13336" spans="1:6" x14ac:dyDescent="0.25">
      <c r="A13336" s="1" t="str">
        <f t="shared" si="498"/>
        <v>24540</v>
      </c>
      <c r="B13336" s="1" t="str">
        <f>"80621"</f>
        <v>80621</v>
      </c>
      <c r="C13336" s="2">
        <v>3.767561637156E-2</v>
      </c>
      <c r="D13336" s="2">
        <v>4.1491154170176903E-2</v>
      </c>
      <c r="E13336" s="2">
        <v>1.5688259109311702E-2</v>
      </c>
      <c r="F13336" s="2">
        <v>3.7034006926831897E-2</v>
      </c>
    </row>
    <row r="13337" spans="1:6" x14ac:dyDescent="0.25">
      <c r="A13337" s="1" t="str">
        <f t="shared" ref="A13337:A13368" si="499">"24580"</f>
        <v>24580</v>
      </c>
      <c r="B13337" s="1" t="str">
        <f>"54157"</f>
        <v>54157</v>
      </c>
      <c r="C13337" s="2">
        <v>6.12574104450691E-5</v>
      </c>
      <c r="D13337" s="2">
        <v>0</v>
      </c>
      <c r="E13337" s="2">
        <v>0</v>
      </c>
      <c r="F13337" s="2">
        <v>5.4654100272055899E-5</v>
      </c>
    </row>
    <row r="13338" spans="1:6" x14ac:dyDescent="0.25">
      <c r="A13338" s="1" t="str">
        <f t="shared" si="499"/>
        <v>24580</v>
      </c>
      <c r="B13338" s="1" t="str">
        <f>"54114"</f>
        <v>54114</v>
      </c>
      <c r="C13338" s="2">
        <v>2.4434900388644199E-3</v>
      </c>
      <c r="D13338" s="2">
        <v>4.4563279857397502E-4</v>
      </c>
      <c r="E13338" s="2">
        <v>0</v>
      </c>
      <c r="F13338" s="2">
        <v>2.21045472211426E-3</v>
      </c>
    </row>
    <row r="13339" spans="1:6" x14ac:dyDescent="0.25">
      <c r="A13339" s="1" t="str">
        <f t="shared" si="499"/>
        <v>24580</v>
      </c>
      <c r="B13339" s="1" t="str">
        <f>"54174"</f>
        <v>54174</v>
      </c>
      <c r="C13339" s="2">
        <v>1.2755154130451E-2</v>
      </c>
      <c r="D13339" s="2">
        <v>4.7237076648841301E-3</v>
      </c>
      <c r="E13339" s="2">
        <v>2.9092022661154401E-3</v>
      </c>
      <c r="F13339" s="2">
        <v>1.1817431014380099E-2</v>
      </c>
    </row>
    <row r="13340" spans="1:6" x14ac:dyDescent="0.25">
      <c r="A13340" s="1" t="str">
        <f t="shared" si="499"/>
        <v>24580</v>
      </c>
      <c r="B13340" s="1" t="str">
        <f>"54213"</f>
        <v>54213</v>
      </c>
      <c r="C13340" s="2">
        <v>2.9267429434866299E-4</v>
      </c>
      <c r="D13340" s="2">
        <v>0</v>
      </c>
      <c r="E13340" s="2">
        <v>0</v>
      </c>
      <c r="F13340" s="2">
        <v>2.6112514574426699E-4</v>
      </c>
    </row>
    <row r="13341" spans="1:6" x14ac:dyDescent="0.25">
      <c r="A13341" s="1" t="str">
        <f t="shared" si="499"/>
        <v>24580</v>
      </c>
      <c r="B13341" s="1" t="str">
        <f>"54307"</f>
        <v>54307</v>
      </c>
      <c r="C13341" s="2">
        <v>6.4592536124856203E-3</v>
      </c>
      <c r="D13341" s="2">
        <v>4.7504456327985702E-2</v>
      </c>
      <c r="E13341" s="2">
        <v>3.0623181748583599E-4</v>
      </c>
      <c r="F13341" s="2">
        <v>9.0118538670812195E-3</v>
      </c>
    </row>
    <row r="13342" spans="1:6" x14ac:dyDescent="0.25">
      <c r="A13342" s="1" t="str">
        <f t="shared" si="499"/>
        <v>24580</v>
      </c>
      <c r="B13342" s="1" t="str">
        <f>"54491"</f>
        <v>54491</v>
      </c>
      <c r="C13342" s="2">
        <v>5.8534858869732696E-4</v>
      </c>
      <c r="D13342" s="2">
        <v>1.7825311942959001E-4</v>
      </c>
      <c r="E13342" s="2">
        <v>1.5311590874291799E-4</v>
      </c>
      <c r="F13342" s="2">
        <v>5.4046832491255303E-4</v>
      </c>
    </row>
    <row r="13343" spans="1:6" x14ac:dyDescent="0.25">
      <c r="A13343" s="1" t="str">
        <f t="shared" si="499"/>
        <v>24580</v>
      </c>
      <c r="B13343" s="1" t="str">
        <f>"54324"</f>
        <v>54324</v>
      </c>
      <c r="C13343" s="2">
        <v>1.40211406129824E-3</v>
      </c>
      <c r="D13343" s="2">
        <v>1.1764705882352899E-2</v>
      </c>
      <c r="E13343" s="2">
        <v>3.0623181748583599E-4</v>
      </c>
      <c r="F13343" s="2">
        <v>2.0647104547221102E-3</v>
      </c>
    </row>
    <row r="13344" spans="1:6" x14ac:dyDescent="0.25">
      <c r="A13344" s="1" t="str">
        <f t="shared" si="499"/>
        <v>24580</v>
      </c>
      <c r="B13344" s="1" t="str">
        <f>"54175"</f>
        <v>54175</v>
      </c>
      <c r="C13344" s="2">
        <v>5.7786157186515202E-3</v>
      </c>
      <c r="D13344" s="2">
        <v>7.1301247771836005E-4</v>
      </c>
      <c r="E13344" s="2">
        <v>7.6557954371459099E-4</v>
      </c>
      <c r="F13344" s="2">
        <v>5.2346482705013598E-3</v>
      </c>
    </row>
    <row r="13345" spans="1:6" x14ac:dyDescent="0.25">
      <c r="A13345" s="1" t="str">
        <f t="shared" si="499"/>
        <v>24580</v>
      </c>
      <c r="B13345" s="1" t="str">
        <f>"54301"</f>
        <v>54301</v>
      </c>
      <c r="C13345" s="2">
        <v>7.0262249780494196E-2</v>
      </c>
      <c r="D13345" s="2">
        <v>8.7254901960784295E-2</v>
      </c>
      <c r="E13345" s="2">
        <v>7.1198897565456998E-2</v>
      </c>
      <c r="F13345" s="2">
        <v>7.1457199766809101E-2</v>
      </c>
    </row>
    <row r="13346" spans="1:6" x14ac:dyDescent="0.25">
      <c r="A13346" s="1" t="str">
        <f t="shared" si="499"/>
        <v>24580</v>
      </c>
      <c r="B13346" s="1" t="str">
        <f>"54304"</f>
        <v>54304</v>
      </c>
      <c r="C13346" s="2">
        <v>9.2498689772054304E-2</v>
      </c>
      <c r="D13346" s="2">
        <v>0.15998217468805701</v>
      </c>
      <c r="E13346" s="2">
        <v>0.15235032919920299</v>
      </c>
      <c r="F13346" s="2">
        <v>9.9470462495141798E-2</v>
      </c>
    </row>
    <row r="13347" spans="1:6" x14ac:dyDescent="0.25">
      <c r="A13347" s="1" t="str">
        <f t="shared" si="499"/>
        <v>24580</v>
      </c>
      <c r="B13347" s="1" t="str">
        <f>"54173"</f>
        <v>54173</v>
      </c>
      <c r="C13347" s="2">
        <v>1.1421103858536201E-2</v>
      </c>
      <c r="D13347" s="2">
        <v>7.6648841354723697E-3</v>
      </c>
      <c r="E13347" s="2">
        <v>2.60297044862961E-3</v>
      </c>
      <c r="F13347" s="2">
        <v>1.0815439176059E-2</v>
      </c>
    </row>
    <row r="13348" spans="1:6" x14ac:dyDescent="0.25">
      <c r="A13348" s="1" t="str">
        <f t="shared" si="499"/>
        <v>24580</v>
      </c>
      <c r="B13348" s="1" t="str">
        <f>"54141"</f>
        <v>54141</v>
      </c>
      <c r="C13348" s="2">
        <v>8.2084929996392598E-3</v>
      </c>
      <c r="D13348" s="2">
        <v>2.8520499108734402E-3</v>
      </c>
      <c r="E13348" s="2">
        <v>7.6557954371459099E-4</v>
      </c>
      <c r="F13348" s="2">
        <v>7.5483385153517204E-3</v>
      </c>
    </row>
    <row r="13349" spans="1:6" x14ac:dyDescent="0.25">
      <c r="A13349" s="1" t="str">
        <f t="shared" si="499"/>
        <v>24580</v>
      </c>
      <c r="B13349" s="1" t="str">
        <f>"54180"</f>
        <v>54180</v>
      </c>
      <c r="C13349" s="2">
        <v>7.7184337160787E-3</v>
      </c>
      <c r="D13349" s="2">
        <v>5.4367201426024896E-3</v>
      </c>
      <c r="E13349" s="2">
        <v>3.8278977185729501E-3</v>
      </c>
      <c r="F13349" s="2">
        <v>7.4086669257675802E-3</v>
      </c>
    </row>
    <row r="13350" spans="1:6" x14ac:dyDescent="0.25">
      <c r="A13350" s="1" t="str">
        <f t="shared" si="499"/>
        <v>24580</v>
      </c>
      <c r="B13350" s="1" t="str">
        <f>"54205"</f>
        <v>54205</v>
      </c>
      <c r="C13350" s="2">
        <v>5.9555815710483802E-3</v>
      </c>
      <c r="D13350" s="2">
        <v>2.49554367201426E-3</v>
      </c>
      <c r="E13350" s="2">
        <v>1.22492726994334E-3</v>
      </c>
      <c r="F13350" s="2">
        <v>5.5322094830936603E-3</v>
      </c>
    </row>
    <row r="13351" spans="1:6" x14ac:dyDescent="0.25">
      <c r="A13351" s="1" t="str">
        <f t="shared" si="499"/>
        <v>24580</v>
      </c>
      <c r="B13351" s="1" t="str">
        <f>"54155"</f>
        <v>54155</v>
      </c>
      <c r="C13351" s="2">
        <v>1.78871638499601E-2</v>
      </c>
      <c r="D13351" s="2">
        <v>6.3279857397504401E-3</v>
      </c>
      <c r="E13351" s="2">
        <v>2.11299954065227E-2</v>
      </c>
      <c r="F13351" s="2">
        <v>1.7228186941313599E-2</v>
      </c>
    </row>
    <row r="13352" spans="1:6" x14ac:dyDescent="0.25">
      <c r="A13352" s="1" t="str">
        <f t="shared" si="499"/>
        <v>24580</v>
      </c>
      <c r="B13352" s="1" t="str">
        <f>"54308"</f>
        <v>54308</v>
      </c>
      <c r="C13352" s="2">
        <v>4.1382783945113303E-3</v>
      </c>
      <c r="D13352" s="2">
        <v>1.8181818181818101E-2</v>
      </c>
      <c r="E13352" s="2">
        <v>3.0623181748583599E-4</v>
      </c>
      <c r="F13352" s="2">
        <v>4.9431597357170601E-3</v>
      </c>
    </row>
    <row r="13353" spans="1:6" x14ac:dyDescent="0.25">
      <c r="A13353" s="1" t="str">
        <f t="shared" si="499"/>
        <v>24580</v>
      </c>
      <c r="B13353" s="1" t="str">
        <f>"54344"</f>
        <v>54344</v>
      </c>
      <c r="C13353" s="2">
        <v>0</v>
      </c>
      <c r="D13353" s="2">
        <v>8.9126559714795006E-5</v>
      </c>
      <c r="E13353" s="2">
        <v>0</v>
      </c>
      <c r="F13353" s="2">
        <v>6.0726778080062099E-6</v>
      </c>
    </row>
    <row r="13354" spans="1:6" x14ac:dyDescent="0.25">
      <c r="A13354" s="1" t="str">
        <f t="shared" si="499"/>
        <v>24580</v>
      </c>
      <c r="B13354" s="1" t="str">
        <f>"54110"</f>
        <v>54110</v>
      </c>
      <c r="C13354" s="2">
        <v>1.9057861027354801E-4</v>
      </c>
      <c r="D13354" s="2">
        <v>8.9126559714795006E-5</v>
      </c>
      <c r="E13354" s="2">
        <v>0</v>
      </c>
      <c r="F13354" s="2">
        <v>1.7610765643217999E-4</v>
      </c>
    </row>
    <row r="13355" spans="1:6" x14ac:dyDescent="0.25">
      <c r="A13355" s="1" t="str">
        <f t="shared" si="499"/>
        <v>24580</v>
      </c>
      <c r="B13355" s="1" t="str">
        <f>"54227"</f>
        <v>54227</v>
      </c>
      <c r="C13355" s="2">
        <v>2.0419136815023E-5</v>
      </c>
      <c r="D13355" s="2">
        <v>0</v>
      </c>
      <c r="E13355" s="2">
        <v>0</v>
      </c>
      <c r="F13355" s="2">
        <v>1.8218033424018599E-5</v>
      </c>
    </row>
    <row r="13356" spans="1:6" x14ac:dyDescent="0.25">
      <c r="A13356" s="1" t="str">
        <f t="shared" si="499"/>
        <v>24580</v>
      </c>
      <c r="B13356" s="1" t="str">
        <f>"54230"</f>
        <v>54230</v>
      </c>
      <c r="C13356" s="2">
        <v>6.12574104450691E-5</v>
      </c>
      <c r="D13356" s="2">
        <v>8.9126559714795006E-5</v>
      </c>
      <c r="E13356" s="2">
        <v>0</v>
      </c>
      <c r="F13356" s="2">
        <v>6.0726778080062099E-5</v>
      </c>
    </row>
    <row r="13357" spans="1:6" x14ac:dyDescent="0.25">
      <c r="A13357" s="1" t="str">
        <f t="shared" si="499"/>
        <v>24580</v>
      </c>
      <c r="B13357" s="1" t="str">
        <f>"54165"</f>
        <v>54165</v>
      </c>
      <c r="C13357" s="2">
        <v>2.0419136815023E-4</v>
      </c>
      <c r="D13357" s="2">
        <v>3.5650623885918003E-4</v>
      </c>
      <c r="E13357" s="2">
        <v>0</v>
      </c>
      <c r="F13357" s="2">
        <v>2.0647104547221099E-4</v>
      </c>
    </row>
    <row r="13358" spans="1:6" x14ac:dyDescent="0.25">
      <c r="A13358" s="1" t="str">
        <f t="shared" si="499"/>
        <v>24580</v>
      </c>
      <c r="B13358" s="1" t="str">
        <f>"54302"</f>
        <v>54302</v>
      </c>
      <c r="C13358" s="2">
        <v>9.3043200087121594E-2</v>
      </c>
      <c r="D13358" s="2">
        <v>8.6720142602495498E-2</v>
      </c>
      <c r="E13358" s="2">
        <v>0.177461338233042</v>
      </c>
      <c r="F13358" s="2">
        <v>9.5960454722114202E-2</v>
      </c>
    </row>
    <row r="13359" spans="1:6" x14ac:dyDescent="0.25">
      <c r="A13359" s="1" t="str">
        <f t="shared" si="499"/>
        <v>24580</v>
      </c>
      <c r="B13359" s="1" t="str">
        <f>"54154"</f>
        <v>54154</v>
      </c>
      <c r="C13359" s="2">
        <v>1.7029560103729201E-2</v>
      </c>
      <c r="D13359" s="2">
        <v>1.6399286987522198E-2</v>
      </c>
      <c r="E13359" s="2">
        <v>1.34741999693768E-2</v>
      </c>
      <c r="F13359" s="2">
        <v>1.6845608239409199E-2</v>
      </c>
    </row>
    <row r="13360" spans="1:6" x14ac:dyDescent="0.25">
      <c r="A13360" s="1" t="str">
        <f t="shared" si="499"/>
        <v>24580</v>
      </c>
      <c r="B13360" s="1" t="str">
        <f>"54201"</f>
        <v>54201</v>
      </c>
      <c r="C13360" s="2">
        <v>1.7812293681638398E-2</v>
      </c>
      <c r="D13360" s="2">
        <v>1.80035650623885E-2</v>
      </c>
      <c r="E13360" s="2">
        <v>1.0258765885775499E-2</v>
      </c>
      <c r="F13360" s="2">
        <v>1.7525748153905899E-2</v>
      </c>
    </row>
    <row r="13361" spans="1:6" x14ac:dyDescent="0.25">
      <c r="A13361" s="1" t="str">
        <f t="shared" si="499"/>
        <v>24580</v>
      </c>
      <c r="B13361" s="1" t="str">
        <f>"54138"</f>
        <v>54138</v>
      </c>
      <c r="C13361" s="2">
        <v>5.3770393612894004E-3</v>
      </c>
      <c r="D13361" s="2">
        <v>3.20855614973262E-3</v>
      </c>
      <c r="E13361" s="2">
        <v>1.07181136120042E-3</v>
      </c>
      <c r="F13361" s="2">
        <v>5.0585406140691699E-3</v>
      </c>
    </row>
    <row r="13362" spans="1:6" x14ac:dyDescent="0.25">
      <c r="A13362" s="1" t="str">
        <f t="shared" si="499"/>
        <v>24580</v>
      </c>
      <c r="B13362" s="1" t="str">
        <f>"54124"</f>
        <v>54124</v>
      </c>
      <c r="C13362" s="2">
        <v>1.19996460682952E-2</v>
      </c>
      <c r="D13362" s="2">
        <v>8.1996434937611409E-3</v>
      </c>
      <c r="E13362" s="2">
        <v>4.2872454448017096E-3</v>
      </c>
      <c r="F13362" s="2">
        <v>1.14348523124757E-2</v>
      </c>
    </row>
    <row r="13363" spans="1:6" x14ac:dyDescent="0.25">
      <c r="A13363" s="1" t="str">
        <f t="shared" si="499"/>
        <v>24580</v>
      </c>
      <c r="B13363" s="1" t="str">
        <f>"54101"</f>
        <v>54101</v>
      </c>
      <c r="C13363" s="2">
        <v>8.2765567890226693E-3</v>
      </c>
      <c r="D13363" s="2">
        <v>3.9215686274509803E-3</v>
      </c>
      <c r="E13363" s="2">
        <v>7.6557954371459099E-4</v>
      </c>
      <c r="F13363" s="2">
        <v>7.6819374271278598E-3</v>
      </c>
    </row>
    <row r="13364" spans="1:6" x14ac:dyDescent="0.25">
      <c r="A13364" s="1" t="str">
        <f t="shared" si="499"/>
        <v>24580</v>
      </c>
      <c r="B13364" s="1" t="str">
        <f>"54149"</f>
        <v>54149</v>
      </c>
      <c r="C13364" s="2">
        <v>7.3372764955316099E-3</v>
      </c>
      <c r="D13364" s="2">
        <v>1.8716577540106899E-3</v>
      </c>
      <c r="E13364" s="2">
        <v>7.6557954371459099E-4</v>
      </c>
      <c r="F13364" s="2">
        <v>6.7042363000388598E-3</v>
      </c>
    </row>
    <row r="13365" spans="1:6" x14ac:dyDescent="0.25">
      <c r="A13365" s="1" t="str">
        <f t="shared" si="499"/>
        <v>24580</v>
      </c>
      <c r="B13365" s="1" t="str">
        <f>"54112"</f>
        <v>54112</v>
      </c>
      <c r="C13365" s="2">
        <v>1.7288202503386099E-3</v>
      </c>
      <c r="D13365" s="2">
        <v>4.4563279857397502E-4</v>
      </c>
      <c r="E13365" s="2">
        <v>0</v>
      </c>
      <c r="F13365" s="2">
        <v>1.57282355227361E-3</v>
      </c>
    </row>
    <row r="13366" spans="1:6" x14ac:dyDescent="0.25">
      <c r="A13366" s="1" t="str">
        <f t="shared" si="499"/>
        <v>24580</v>
      </c>
      <c r="B13366" s="1" t="str">
        <f>"54111"</f>
        <v>54111</v>
      </c>
      <c r="C13366" s="2">
        <v>4.9005928356055204E-4</v>
      </c>
      <c r="D13366" s="2">
        <v>0</v>
      </c>
      <c r="E13366" s="2">
        <v>0</v>
      </c>
      <c r="F13366" s="2">
        <v>4.3723280217644698E-4</v>
      </c>
    </row>
    <row r="13367" spans="1:6" x14ac:dyDescent="0.25">
      <c r="A13367" s="1" t="str">
        <f t="shared" si="499"/>
        <v>24580</v>
      </c>
      <c r="B13367" s="1" t="str">
        <f>"54208"</f>
        <v>54208</v>
      </c>
      <c r="C13367" s="2">
        <v>1.67096602936271E-2</v>
      </c>
      <c r="D13367" s="2">
        <v>7.3975044563279798E-3</v>
      </c>
      <c r="E13367" s="2">
        <v>6.1246363497167297E-3</v>
      </c>
      <c r="F13367" s="2">
        <v>1.565536338904E-2</v>
      </c>
    </row>
    <row r="13368" spans="1:6" x14ac:dyDescent="0.25">
      <c r="A13368" s="1" t="str">
        <f t="shared" si="499"/>
        <v>24580</v>
      </c>
      <c r="B13368" s="1" t="str">
        <f>"54216"</f>
        <v>54216</v>
      </c>
      <c r="C13368" s="2">
        <v>1.9411792732148499E-2</v>
      </c>
      <c r="D13368" s="2">
        <v>1.4349376114081901E-2</v>
      </c>
      <c r="E13368" s="2">
        <v>9.1869545245750993E-3</v>
      </c>
      <c r="F13368" s="2">
        <v>1.8661338904003101E-2</v>
      </c>
    </row>
    <row r="13369" spans="1:6" x14ac:dyDescent="0.25">
      <c r="A13369" s="1" t="str">
        <f t="shared" ref="A13369:A13385" si="500">"24580"</f>
        <v>24580</v>
      </c>
      <c r="B13369" s="1" t="str">
        <f>"54115"</f>
        <v>54115</v>
      </c>
      <c r="C13369" s="2">
        <v>0.132921774286861</v>
      </c>
      <c r="D13369" s="2">
        <v>0.12691622103386799</v>
      </c>
      <c r="E13369" s="2">
        <v>0.14729750421068699</v>
      </c>
      <c r="F13369" s="2">
        <v>0.133082734162456</v>
      </c>
    </row>
    <row r="13370" spans="1:6" x14ac:dyDescent="0.25">
      <c r="A13370" s="1" t="str">
        <f t="shared" si="500"/>
        <v>24580</v>
      </c>
      <c r="B13370" s="1" t="str">
        <f>"54217"</f>
        <v>54217</v>
      </c>
      <c r="C13370" s="2">
        <v>2.0636940941049901E-2</v>
      </c>
      <c r="D13370" s="2">
        <v>1.4795008912655901E-2</v>
      </c>
      <c r="E13370" s="2">
        <v>9.0338386158321793E-3</v>
      </c>
      <c r="F13370" s="2">
        <v>1.9778711620676199E-2</v>
      </c>
    </row>
    <row r="13371" spans="1:6" x14ac:dyDescent="0.25">
      <c r="A13371" s="1" t="str">
        <f t="shared" si="500"/>
        <v>24580</v>
      </c>
      <c r="B13371" s="1" t="str">
        <f>"54153"</f>
        <v>54153</v>
      </c>
      <c r="C13371" s="2">
        <v>2.3693005084365001E-2</v>
      </c>
      <c r="D13371" s="2">
        <v>2.3975044563279799E-2</v>
      </c>
      <c r="E13371" s="2">
        <v>1.45460113305772E-2</v>
      </c>
      <c r="F13371" s="2">
        <v>2.3349446171783899E-2</v>
      </c>
    </row>
    <row r="13372" spans="1:6" x14ac:dyDescent="0.25">
      <c r="A13372" s="1" t="str">
        <f t="shared" si="500"/>
        <v>24580</v>
      </c>
      <c r="B13372" s="1" t="str">
        <f>"54139"</f>
        <v>54139</v>
      </c>
      <c r="C13372" s="2">
        <v>9.8964749763478296E-3</v>
      </c>
      <c r="D13372" s="2">
        <v>4.9019607843137202E-3</v>
      </c>
      <c r="E13372" s="2">
        <v>1.07181136120042E-3</v>
      </c>
      <c r="F13372" s="2">
        <v>9.2061795569374199E-3</v>
      </c>
    </row>
    <row r="13373" spans="1:6" x14ac:dyDescent="0.25">
      <c r="A13373" s="1" t="str">
        <f t="shared" si="500"/>
        <v>24580</v>
      </c>
      <c r="B13373" s="1" t="str">
        <f>"54162"</f>
        <v>54162</v>
      </c>
      <c r="C13373" s="2">
        <v>1.8622252775300999E-2</v>
      </c>
      <c r="D13373" s="2">
        <v>9.7147950089126502E-3</v>
      </c>
      <c r="E13373" s="2">
        <v>7.6557954371459097E-3</v>
      </c>
      <c r="F13373" s="2">
        <v>1.7580402254178E-2</v>
      </c>
    </row>
    <row r="13374" spans="1:6" x14ac:dyDescent="0.25">
      <c r="A13374" s="1" t="str">
        <f t="shared" si="500"/>
        <v>24580</v>
      </c>
      <c r="B13374" s="1" t="str">
        <f>"54126"</f>
        <v>54126</v>
      </c>
      <c r="C13374" s="2">
        <v>1.0447791670353399E-2</v>
      </c>
      <c r="D13374" s="2">
        <v>3.1194295900178201E-3</v>
      </c>
      <c r="E13374" s="2">
        <v>2.2967386311437701E-3</v>
      </c>
      <c r="F13374" s="2">
        <v>9.6251943256898502E-3</v>
      </c>
    </row>
    <row r="13375" spans="1:6" x14ac:dyDescent="0.25">
      <c r="A13375" s="1" t="str">
        <f t="shared" si="500"/>
        <v>24580</v>
      </c>
      <c r="B13375" s="1" t="str">
        <f>"54313"</f>
        <v>54313</v>
      </c>
      <c r="C13375" s="2">
        <v>0.10687376208983</v>
      </c>
      <c r="D13375" s="2">
        <v>6.9251336898395702E-2</v>
      </c>
      <c r="E13375" s="2">
        <v>6.7217883938141099E-2</v>
      </c>
      <c r="F13375" s="2">
        <v>0.102737563155849</v>
      </c>
    </row>
    <row r="13376" spans="1:6" x14ac:dyDescent="0.25">
      <c r="A13376" s="1" t="str">
        <f t="shared" si="500"/>
        <v>24580</v>
      </c>
      <c r="B13376" s="1" t="str">
        <f>"54229"</f>
        <v>54229</v>
      </c>
      <c r="C13376" s="2">
        <v>1.23059331205205E-2</v>
      </c>
      <c r="D13376" s="2">
        <v>4.7237076648841301E-3</v>
      </c>
      <c r="E13376" s="2">
        <v>6.7370999846884001E-3</v>
      </c>
      <c r="F13376" s="2">
        <v>1.15684512242518E-2</v>
      </c>
    </row>
    <row r="13377" spans="1:6" x14ac:dyDescent="0.25">
      <c r="A13377" s="1" t="str">
        <f t="shared" si="500"/>
        <v>24580</v>
      </c>
      <c r="B13377" s="1" t="str">
        <f>"54303"</f>
        <v>54303</v>
      </c>
      <c r="C13377" s="2">
        <v>8.73258417789151E-2</v>
      </c>
      <c r="D13377" s="2">
        <v>0.12139037433155001</v>
      </c>
      <c r="E13377" s="2">
        <v>0.155106415556576</v>
      </c>
      <c r="F13377" s="2">
        <v>9.2335066070734495E-2</v>
      </c>
    </row>
    <row r="13378" spans="1:6" x14ac:dyDescent="0.25">
      <c r="A13378" s="1" t="str">
        <f t="shared" si="500"/>
        <v>24580</v>
      </c>
      <c r="B13378" s="1" t="str">
        <f>"54171"</f>
        <v>54171</v>
      </c>
      <c r="C13378" s="2">
        <v>1.02844385758332E-2</v>
      </c>
      <c r="D13378" s="2">
        <v>8.0213903743315499E-4</v>
      </c>
      <c r="E13378" s="2">
        <v>3.0623181748583599E-4</v>
      </c>
      <c r="F13378" s="2">
        <v>9.2426156237854599E-3</v>
      </c>
    </row>
    <row r="13379" spans="1:6" x14ac:dyDescent="0.25">
      <c r="A13379" s="1" t="str">
        <f t="shared" si="500"/>
        <v>24580</v>
      </c>
      <c r="B13379" s="1" t="str">
        <f>"54311"</f>
        <v>54311</v>
      </c>
      <c r="C13379" s="2">
        <v>0.103627119336241</v>
      </c>
      <c r="D13379" s="2">
        <v>7.0499108734402793E-2</v>
      </c>
      <c r="E13379" s="2">
        <v>0.10580309294135599</v>
      </c>
      <c r="F13379" s="2">
        <v>0.101456228138359</v>
      </c>
    </row>
    <row r="13380" spans="1:6" x14ac:dyDescent="0.25">
      <c r="A13380" s="1" t="str">
        <f t="shared" si="500"/>
        <v>24580</v>
      </c>
      <c r="B13380" s="1" t="str">
        <f>"54137"</f>
        <v>54137</v>
      </c>
      <c r="C13380" s="2">
        <v>9.8011856712110494E-4</v>
      </c>
      <c r="D13380" s="2">
        <v>3.5650623885918003E-4</v>
      </c>
      <c r="E13380" s="2">
        <v>0</v>
      </c>
      <c r="F13380" s="2">
        <v>8.9875631558491997E-4</v>
      </c>
    </row>
    <row r="13381" spans="1:6" x14ac:dyDescent="0.25">
      <c r="A13381" s="1" t="str">
        <f t="shared" si="500"/>
        <v>24580</v>
      </c>
      <c r="B13381" s="1" t="str">
        <f>"54305"</f>
        <v>54305</v>
      </c>
      <c r="C13381" s="2">
        <v>7.0446022011829397E-3</v>
      </c>
      <c r="D13381" s="2">
        <v>3.03030303030303E-2</v>
      </c>
      <c r="E13381" s="2">
        <v>3.0623181748583599E-4</v>
      </c>
      <c r="F13381" s="2">
        <v>8.3620773416245592E-3</v>
      </c>
    </row>
    <row r="13382" spans="1:6" x14ac:dyDescent="0.25">
      <c r="A13382" s="1" t="str">
        <f t="shared" si="500"/>
        <v>24580</v>
      </c>
      <c r="B13382" s="1" t="str">
        <f>"54241"</f>
        <v>54241</v>
      </c>
      <c r="C13382" s="2">
        <v>1.3612757876681999E-5</v>
      </c>
      <c r="D13382" s="2">
        <v>0</v>
      </c>
      <c r="E13382" s="2">
        <v>0</v>
      </c>
      <c r="F13382" s="2">
        <v>1.2145355616012399E-5</v>
      </c>
    </row>
    <row r="13383" spans="1:6" x14ac:dyDescent="0.25">
      <c r="A13383" s="1" t="str">
        <f t="shared" si="500"/>
        <v>24580</v>
      </c>
      <c r="B13383" s="1" t="str">
        <f>"54104"</f>
        <v>54104</v>
      </c>
      <c r="C13383" s="2">
        <v>6.8063789383410094E-5</v>
      </c>
      <c r="D13383" s="2">
        <v>0</v>
      </c>
      <c r="E13383" s="2">
        <v>0</v>
      </c>
      <c r="F13383" s="2">
        <v>6.0726778080062099E-5</v>
      </c>
    </row>
    <row r="13384" spans="1:6" x14ac:dyDescent="0.25">
      <c r="A13384" s="1" t="str">
        <f t="shared" si="500"/>
        <v>24580</v>
      </c>
      <c r="B13384" s="1" t="str">
        <f>"54130"</f>
        <v>54130</v>
      </c>
      <c r="C13384" s="2">
        <v>1.85814145016709E-3</v>
      </c>
      <c r="D13384" s="2">
        <v>1.7825311942959001E-3</v>
      </c>
      <c r="E13384" s="2">
        <v>3.0623181748583599E-4</v>
      </c>
      <c r="F13384" s="2">
        <v>1.7914399533618299E-3</v>
      </c>
    </row>
    <row r="13385" spans="1:6" x14ac:dyDescent="0.25">
      <c r="A13385" s="1" t="str">
        <f t="shared" si="500"/>
        <v>24580</v>
      </c>
      <c r="B13385" s="1" t="str">
        <f>"54161"</f>
        <v>54161</v>
      </c>
      <c r="C13385" s="2">
        <v>5.8398731290965804E-3</v>
      </c>
      <c r="D13385" s="2">
        <v>8.0213903743315499E-4</v>
      </c>
      <c r="E13385" s="2">
        <v>1.07181136120042E-3</v>
      </c>
      <c r="F13385" s="2">
        <v>5.3075204041974303E-3</v>
      </c>
    </row>
    <row r="13386" spans="1:6" x14ac:dyDescent="0.25">
      <c r="A13386" s="1" t="str">
        <f t="shared" ref="A13386:A13396" si="501">"24620"</f>
        <v>24620</v>
      </c>
      <c r="B13386" s="1" t="str">
        <f>"37857"</f>
        <v>37857</v>
      </c>
      <c r="C13386" s="2">
        <v>1.6910935738444099E-4</v>
      </c>
      <c r="D13386" s="2">
        <v>0</v>
      </c>
      <c r="E13386" s="2">
        <v>0</v>
      </c>
      <c r="F13386" s="2">
        <v>1.5451572197471E-4</v>
      </c>
    </row>
    <row r="13387" spans="1:6" x14ac:dyDescent="0.25">
      <c r="A13387" s="1" t="str">
        <f t="shared" si="501"/>
        <v>24620</v>
      </c>
      <c r="B13387" s="1" t="str">
        <f>"37818"</f>
        <v>37818</v>
      </c>
      <c r="C13387" s="2">
        <v>6.9616685456595204E-2</v>
      </c>
      <c r="D13387" s="2">
        <v>3.7721614485099898E-2</v>
      </c>
      <c r="E13387" s="2">
        <v>0.05</v>
      </c>
      <c r="F13387" s="2">
        <v>6.7085575957353594E-2</v>
      </c>
    </row>
    <row r="13388" spans="1:6" x14ac:dyDescent="0.25">
      <c r="A13388" s="1" t="str">
        <f t="shared" si="501"/>
        <v>24620</v>
      </c>
      <c r="B13388" s="1" t="str">
        <f>"37656"</f>
        <v>37656</v>
      </c>
      <c r="C13388" s="2">
        <v>1.23167981961668E-2</v>
      </c>
      <c r="D13388" s="2">
        <v>3.01772915880799E-3</v>
      </c>
      <c r="E13388" s="2">
        <v>0</v>
      </c>
      <c r="F13388" s="2">
        <v>1.1459916046457699E-2</v>
      </c>
    </row>
    <row r="13389" spans="1:6" x14ac:dyDescent="0.25">
      <c r="A13389" s="1" t="str">
        <f t="shared" si="501"/>
        <v>24620</v>
      </c>
      <c r="B13389" s="1" t="str">
        <f>"37711"</f>
        <v>37711</v>
      </c>
      <c r="C13389" s="2">
        <v>2.46617812852311E-2</v>
      </c>
      <c r="D13389" s="2">
        <v>2.0746887966804899E-2</v>
      </c>
      <c r="E13389" s="2">
        <v>1.7142857142857099E-2</v>
      </c>
      <c r="F13389" s="2">
        <v>2.4258968350029601E-2</v>
      </c>
    </row>
    <row r="13390" spans="1:6" x14ac:dyDescent="0.25">
      <c r="A13390" s="1" t="str">
        <f t="shared" si="501"/>
        <v>24620</v>
      </c>
      <c r="B13390" s="1" t="str">
        <f>"37743"</f>
        <v>37743</v>
      </c>
      <c r="C13390" s="2">
        <v>0.37015219842164498</v>
      </c>
      <c r="D13390" s="2">
        <v>0.357600905318747</v>
      </c>
      <c r="E13390" s="2">
        <v>0.49</v>
      </c>
      <c r="F13390" s="2">
        <v>0.37145579562720499</v>
      </c>
    </row>
    <row r="13391" spans="1:6" x14ac:dyDescent="0.25">
      <c r="A13391" s="1" t="str">
        <f t="shared" si="501"/>
        <v>24620</v>
      </c>
      <c r="B13391" s="1" t="str">
        <f>"37616"</f>
        <v>37616</v>
      </c>
      <c r="C13391" s="2">
        <v>7.1589627959413704E-2</v>
      </c>
      <c r="D13391" s="2">
        <v>1.9615239532251898E-2</v>
      </c>
      <c r="E13391" s="2">
        <v>1.8571428571428499E-2</v>
      </c>
      <c r="F13391" s="2">
        <v>6.7085575957353594E-2</v>
      </c>
    </row>
    <row r="13392" spans="1:6" x14ac:dyDescent="0.25">
      <c r="A13392" s="1" t="str">
        <f t="shared" si="501"/>
        <v>24620</v>
      </c>
      <c r="B13392" s="1" t="str">
        <f>"37745"</f>
        <v>37745</v>
      </c>
      <c r="C13392" s="2">
        <v>0.27285794813979702</v>
      </c>
      <c r="D13392" s="2">
        <v>0.50433798566578603</v>
      </c>
      <c r="E13392" s="2">
        <v>0.38714285714285701</v>
      </c>
      <c r="F13392" s="2">
        <v>0.29072133089541802</v>
      </c>
    </row>
    <row r="13393" spans="1:6" x14ac:dyDescent="0.25">
      <c r="A13393" s="1" t="str">
        <f t="shared" si="501"/>
        <v>24620</v>
      </c>
      <c r="B13393" s="1" t="str">
        <f>"37641"</f>
        <v>37641</v>
      </c>
      <c r="C13393" s="2">
        <v>9.3602029312288601E-2</v>
      </c>
      <c r="D13393" s="2">
        <v>2.4519049415314902E-2</v>
      </c>
      <c r="E13393" s="2">
        <v>1.7142857142857099E-2</v>
      </c>
      <c r="F13393" s="2">
        <v>8.7507403878344603E-2</v>
      </c>
    </row>
    <row r="13394" spans="1:6" x14ac:dyDescent="0.25">
      <c r="A13394" s="1" t="str">
        <f t="shared" si="501"/>
        <v>24620</v>
      </c>
      <c r="B13394" s="1" t="str">
        <f>"37681"</f>
        <v>37681</v>
      </c>
      <c r="C13394" s="2">
        <v>2.4577226606538799E-2</v>
      </c>
      <c r="D13394" s="2">
        <v>5.28102602791399E-3</v>
      </c>
      <c r="E13394" s="2">
        <v>8.5714285714285701E-3</v>
      </c>
      <c r="F13394" s="2">
        <v>2.2971337333573601E-2</v>
      </c>
    </row>
    <row r="13395" spans="1:6" x14ac:dyDescent="0.25">
      <c r="A13395" s="1" t="str">
        <f t="shared" si="501"/>
        <v>24620</v>
      </c>
      <c r="B13395" s="1" t="str">
        <f>"37809"</f>
        <v>37809</v>
      </c>
      <c r="C13395" s="2">
        <v>3.0862457722660601E-2</v>
      </c>
      <c r="D13395" s="2">
        <v>1.6974726518294899E-2</v>
      </c>
      <c r="E13395" s="2">
        <v>1.1428571428571401E-2</v>
      </c>
      <c r="F13395" s="2">
        <v>2.9564008137827998E-2</v>
      </c>
    </row>
    <row r="13396" spans="1:6" x14ac:dyDescent="0.25">
      <c r="A13396" s="1" t="str">
        <f t="shared" si="501"/>
        <v>24620</v>
      </c>
      <c r="B13396" s="1" t="str">
        <f>"37810"</f>
        <v>37810</v>
      </c>
      <c r="C13396" s="2">
        <v>2.9594137542277299E-2</v>
      </c>
      <c r="D13396" s="2">
        <v>1.01848359109769E-2</v>
      </c>
      <c r="E13396" s="2">
        <v>0</v>
      </c>
      <c r="F13396" s="2">
        <v>2.7735572094460599E-2</v>
      </c>
    </row>
    <row r="13397" spans="1:6" x14ac:dyDescent="0.25">
      <c r="A13397" s="1" t="str">
        <f t="shared" ref="A13397:A13428" si="502">"24660"</f>
        <v>24660</v>
      </c>
      <c r="B13397" s="1" t="str">
        <f>"27375"</f>
        <v>27375</v>
      </c>
      <c r="C13397" s="2">
        <v>0</v>
      </c>
      <c r="D13397" s="2">
        <v>0</v>
      </c>
      <c r="E13397" s="2">
        <v>4.8560190355946103E-5</v>
      </c>
      <c r="F13397" s="2">
        <v>2.31974427139152E-6</v>
      </c>
    </row>
    <row r="13398" spans="1:6" x14ac:dyDescent="0.25">
      <c r="A13398" s="1" t="str">
        <f t="shared" si="502"/>
        <v>24660</v>
      </c>
      <c r="B13398" s="1" t="str">
        <f>"27230"</f>
        <v>27230</v>
      </c>
      <c r="C13398" s="2">
        <v>0</v>
      </c>
      <c r="D13398" s="2">
        <v>0</v>
      </c>
      <c r="E13398" s="2">
        <v>4.8560190355946103E-5</v>
      </c>
      <c r="F13398" s="2">
        <v>2.31974427139152E-6</v>
      </c>
    </row>
    <row r="13399" spans="1:6" x14ac:dyDescent="0.25">
      <c r="A13399" s="1" t="str">
        <f t="shared" si="502"/>
        <v>24660</v>
      </c>
      <c r="B13399" s="1" t="str">
        <f>"27326"</f>
        <v>27326</v>
      </c>
      <c r="C13399" s="2">
        <v>3.5278723409972001E-3</v>
      </c>
      <c r="D13399" s="2">
        <v>9.6580527277473197E-4</v>
      </c>
      <c r="E13399" s="2">
        <v>2.91361142135677E-4</v>
      </c>
      <c r="F13399" s="2">
        <v>3.1455732320068998E-3</v>
      </c>
    </row>
    <row r="13400" spans="1:6" x14ac:dyDescent="0.25">
      <c r="A13400" s="1" t="str">
        <f t="shared" si="502"/>
        <v>24660</v>
      </c>
      <c r="B13400" s="1" t="str">
        <f>"27214"</f>
        <v>27214</v>
      </c>
      <c r="C13400" s="2">
        <v>1.51405640834114E-2</v>
      </c>
      <c r="D13400" s="2">
        <v>8.01357347950926E-3</v>
      </c>
      <c r="E13400" s="2">
        <v>3.7391346574078498E-3</v>
      </c>
      <c r="F13400" s="2">
        <v>1.39625407695055E-2</v>
      </c>
    </row>
    <row r="13401" spans="1:6" x14ac:dyDescent="0.25">
      <c r="A13401" s="1" t="str">
        <f t="shared" si="502"/>
        <v>24660</v>
      </c>
      <c r="B13401" s="1" t="str">
        <f>"27235"</f>
        <v>27235</v>
      </c>
      <c r="C13401" s="2">
        <v>8.5200938258203698E-3</v>
      </c>
      <c r="D13401" s="2">
        <v>6.6040198381623503E-3</v>
      </c>
      <c r="E13401" s="2">
        <v>7.2840285533919201E-4</v>
      </c>
      <c r="F13401" s="2">
        <v>7.97760054931544E-3</v>
      </c>
    </row>
    <row r="13402" spans="1:6" x14ac:dyDescent="0.25">
      <c r="A13402" s="1" t="str">
        <f t="shared" si="502"/>
        <v>24660</v>
      </c>
      <c r="B13402" s="1" t="str">
        <f>"27357"</f>
        <v>27357</v>
      </c>
      <c r="C13402" s="2">
        <v>1.25826551202512E-2</v>
      </c>
      <c r="D13402" s="2">
        <v>6.65622552858261E-3</v>
      </c>
      <c r="E13402" s="2">
        <v>9.7120380711892304E-4</v>
      </c>
      <c r="F13402" s="2">
        <v>1.1501292097559099E-2</v>
      </c>
    </row>
    <row r="13403" spans="1:6" x14ac:dyDescent="0.25">
      <c r="A13403" s="1" t="str">
        <f t="shared" si="502"/>
        <v>24660</v>
      </c>
      <c r="B13403" s="1" t="str">
        <f>"27298"</f>
        <v>27298</v>
      </c>
      <c r="C13403" s="2">
        <v>9.6969468992071008E-3</v>
      </c>
      <c r="D13403" s="2">
        <v>3.8371182458887998E-3</v>
      </c>
      <c r="E13403" s="2">
        <v>2.0880881853056802E-3</v>
      </c>
      <c r="F13403" s="2">
        <v>8.8127084870163897E-3</v>
      </c>
    </row>
    <row r="13404" spans="1:6" x14ac:dyDescent="0.25">
      <c r="A13404" s="1" t="str">
        <f t="shared" si="502"/>
        <v>24660</v>
      </c>
      <c r="B13404" s="1" t="str">
        <f>"27260"</f>
        <v>27260</v>
      </c>
      <c r="C13404" s="2">
        <v>3.2277479384919601E-2</v>
      </c>
      <c r="D13404" s="2">
        <v>6.4656747585486798E-2</v>
      </c>
      <c r="E13404" s="2">
        <v>8.8670907589957701E-2</v>
      </c>
      <c r="F13404" s="2">
        <v>3.7848947532024002E-2</v>
      </c>
    </row>
    <row r="13405" spans="1:6" x14ac:dyDescent="0.25">
      <c r="A13405" s="1" t="str">
        <f t="shared" si="502"/>
        <v>24660</v>
      </c>
      <c r="B13405" s="1" t="str">
        <f>"27283"</f>
        <v>27283</v>
      </c>
      <c r="C13405" s="2">
        <v>4.0867432068977501E-3</v>
      </c>
      <c r="D13405" s="2">
        <v>8.6139389193421996E-4</v>
      </c>
      <c r="E13405" s="2">
        <v>4.8560190355946103E-5</v>
      </c>
      <c r="F13405" s="2">
        <v>3.60720234201381E-3</v>
      </c>
    </row>
    <row r="13406" spans="1:6" x14ac:dyDescent="0.25">
      <c r="A13406" s="1" t="str">
        <f t="shared" si="502"/>
        <v>24660</v>
      </c>
      <c r="B13406" s="1" t="str">
        <f>"27416"</f>
        <v>27416</v>
      </c>
      <c r="C13406" s="2">
        <v>2.0259068888894799E-3</v>
      </c>
      <c r="D13406" s="2">
        <v>7.2565909684155503E-3</v>
      </c>
      <c r="E13406" s="2">
        <v>9.7120380711892301E-5</v>
      </c>
      <c r="F13406" s="2">
        <v>2.3986155766188301E-3</v>
      </c>
    </row>
    <row r="13407" spans="1:6" x14ac:dyDescent="0.25">
      <c r="A13407" s="1" t="str">
        <f t="shared" si="502"/>
        <v>24660</v>
      </c>
      <c r="B13407" s="1" t="str">
        <f>"27239"</f>
        <v>27239</v>
      </c>
      <c r="C13407" s="2">
        <v>3.2457500288839499E-3</v>
      </c>
      <c r="D13407" s="2">
        <v>1.5661707126076699E-3</v>
      </c>
      <c r="E13407" s="2">
        <v>2.91361142135677E-4</v>
      </c>
      <c r="F13407" s="2">
        <v>2.9553542017527901E-3</v>
      </c>
    </row>
    <row r="13408" spans="1:6" x14ac:dyDescent="0.25">
      <c r="A13408" s="1" t="str">
        <f t="shared" si="502"/>
        <v>24660</v>
      </c>
      <c r="B13408" s="1" t="str">
        <f>"27205"</f>
        <v>27205</v>
      </c>
      <c r="C13408" s="2">
        <v>4.1700364609502397E-2</v>
      </c>
      <c r="D13408" s="2">
        <v>1.7149569303053998E-2</v>
      </c>
      <c r="E13408" s="2">
        <v>1.1557325304715101E-2</v>
      </c>
      <c r="F13408" s="2">
        <v>3.8078602214891802E-2</v>
      </c>
    </row>
    <row r="13409" spans="1:6" x14ac:dyDescent="0.25">
      <c r="A13409" s="1" t="str">
        <f t="shared" si="502"/>
        <v>24660</v>
      </c>
      <c r="B13409" s="1" t="str">
        <f>"27301"</f>
        <v>27301</v>
      </c>
      <c r="C13409" s="2">
        <v>1.28056660907788E-2</v>
      </c>
      <c r="D13409" s="2">
        <v>4.9334377447141703E-3</v>
      </c>
      <c r="E13409" s="2">
        <v>5.82722284271354E-4</v>
      </c>
      <c r="F13409" s="2">
        <v>1.15221697960016E-2</v>
      </c>
    </row>
    <row r="13410" spans="1:6" x14ac:dyDescent="0.25">
      <c r="A13410" s="1" t="str">
        <f t="shared" si="502"/>
        <v>24660</v>
      </c>
      <c r="B13410" s="1" t="str">
        <f>"27261"</f>
        <v>27261</v>
      </c>
      <c r="C13410" s="2">
        <v>3.8529847197181998E-3</v>
      </c>
      <c r="D13410" s="2">
        <v>1.2712085617332201E-2</v>
      </c>
      <c r="E13410" s="2">
        <v>9.7120380711892301E-5</v>
      </c>
      <c r="F13410" s="2">
        <v>4.4608682338858896E-3</v>
      </c>
    </row>
    <row r="13411" spans="1:6" x14ac:dyDescent="0.25">
      <c r="A13411" s="1" t="str">
        <f t="shared" si="502"/>
        <v>24660</v>
      </c>
      <c r="B13411" s="1" t="str">
        <f>"27409"</f>
        <v>27409</v>
      </c>
      <c r="C13411" s="2">
        <v>2.5772544931336801E-2</v>
      </c>
      <c r="D13411" s="2">
        <v>4.5732184808143998E-2</v>
      </c>
      <c r="E13411" s="2">
        <v>7.6627980381683003E-2</v>
      </c>
      <c r="F13411" s="2">
        <v>2.9975735474921199E-2</v>
      </c>
    </row>
    <row r="13412" spans="1:6" x14ac:dyDescent="0.25">
      <c r="A13412" s="1" t="str">
        <f t="shared" si="502"/>
        <v>24660</v>
      </c>
      <c r="B13412" s="1" t="str">
        <f>"27408"</f>
        <v>27408</v>
      </c>
      <c r="C13412" s="2">
        <v>2.3725143009143398E-2</v>
      </c>
      <c r="D13412" s="2">
        <v>4.5862699034194702E-2</v>
      </c>
      <c r="E13412" s="2">
        <v>3.1321322779585201E-2</v>
      </c>
      <c r="F13412" s="2">
        <v>2.60553676562695E-2</v>
      </c>
    </row>
    <row r="13413" spans="1:6" x14ac:dyDescent="0.25">
      <c r="A13413" s="1" t="str">
        <f t="shared" si="502"/>
        <v>24660</v>
      </c>
      <c r="B13413" s="1" t="str">
        <f>"27413"</f>
        <v>27413</v>
      </c>
      <c r="C13413" s="2">
        <v>0</v>
      </c>
      <c r="D13413" s="2">
        <v>0</v>
      </c>
      <c r="E13413" s="2">
        <v>4.8560190355946103E-5</v>
      </c>
      <c r="F13413" s="2">
        <v>2.31974427139152E-6</v>
      </c>
    </row>
    <row r="13414" spans="1:6" x14ac:dyDescent="0.25">
      <c r="A13414" s="1" t="str">
        <f t="shared" si="502"/>
        <v>24660</v>
      </c>
      <c r="B13414" s="1" t="str">
        <f>"27438"</f>
        <v>27438</v>
      </c>
      <c r="C13414" s="2">
        <v>1.5933193436491501E-3</v>
      </c>
      <c r="D13414" s="2">
        <v>1.04672409292612E-2</v>
      </c>
      <c r="E13414" s="2">
        <v>4.8560190355946103E-5</v>
      </c>
      <c r="F13414" s="2">
        <v>2.3081455500345602E-3</v>
      </c>
    </row>
    <row r="13415" spans="1:6" x14ac:dyDescent="0.25">
      <c r="A13415" s="1" t="str">
        <f t="shared" si="502"/>
        <v>24660</v>
      </c>
      <c r="B13415" s="1" t="str">
        <f>"27244"</f>
        <v>27244</v>
      </c>
      <c r="C13415" s="2">
        <v>3.8422372030662597E-4</v>
      </c>
      <c r="D13415" s="2">
        <v>2.6102845210127902E-5</v>
      </c>
      <c r="E13415" s="2">
        <v>0</v>
      </c>
      <c r="F13415" s="2">
        <v>3.3404317508037897E-4</v>
      </c>
    </row>
    <row r="13416" spans="1:6" x14ac:dyDescent="0.25">
      <c r="A13416" s="1" t="str">
        <f t="shared" si="502"/>
        <v>24660</v>
      </c>
      <c r="B13416" s="1" t="str">
        <f>"27360"</f>
        <v>27360</v>
      </c>
      <c r="C13416" s="2">
        <v>4.9465445390524396E-3</v>
      </c>
      <c r="D13416" s="2">
        <v>1.09631949882537E-3</v>
      </c>
      <c r="E13416" s="2">
        <v>1.01976399747487E-3</v>
      </c>
      <c r="F13416" s="2">
        <v>4.4167930927294496E-3</v>
      </c>
    </row>
    <row r="13417" spans="1:6" x14ac:dyDescent="0.25">
      <c r="A13417" s="1" t="str">
        <f t="shared" si="502"/>
        <v>24660</v>
      </c>
      <c r="B13417" s="1" t="str">
        <f>"27288"</f>
        <v>27288</v>
      </c>
      <c r="C13417" s="2">
        <v>3.3414029270861602E-2</v>
      </c>
      <c r="D13417" s="2">
        <v>3.3620464630644699E-2</v>
      </c>
      <c r="E13417" s="2">
        <v>2.23862477540911E-2</v>
      </c>
      <c r="F13417" s="2">
        <v>3.29055724896887E-2</v>
      </c>
    </row>
    <row r="13418" spans="1:6" x14ac:dyDescent="0.25">
      <c r="A13418" s="1" t="str">
        <f t="shared" si="502"/>
        <v>24660</v>
      </c>
      <c r="B13418" s="1" t="str">
        <f>"27370"</f>
        <v>27370</v>
      </c>
      <c r="C13418" s="2">
        <v>1.83030208582429E-2</v>
      </c>
      <c r="D13418" s="2">
        <v>3.6282954842077699E-3</v>
      </c>
      <c r="E13418" s="2">
        <v>2.96217161171271E-3</v>
      </c>
      <c r="F13418" s="2">
        <v>1.6266046830997302E-2</v>
      </c>
    </row>
    <row r="13419" spans="1:6" x14ac:dyDescent="0.25">
      <c r="A13419" s="1" t="str">
        <f t="shared" si="502"/>
        <v>24660</v>
      </c>
      <c r="B13419" s="1" t="str">
        <f>"27268"</f>
        <v>27268</v>
      </c>
      <c r="C13419" s="2">
        <v>0</v>
      </c>
      <c r="D13419" s="2">
        <v>7.8308535630383698E-5</v>
      </c>
      <c r="E13419" s="2">
        <v>0</v>
      </c>
      <c r="F13419" s="2">
        <v>6.95923281417456E-6</v>
      </c>
    </row>
    <row r="13420" spans="1:6" x14ac:dyDescent="0.25">
      <c r="A13420" s="1" t="str">
        <f t="shared" si="502"/>
        <v>24660</v>
      </c>
      <c r="B13420" s="1" t="str">
        <f>"27325"</f>
        <v>27325</v>
      </c>
      <c r="C13420" s="2">
        <v>4.5676945770717799E-5</v>
      </c>
      <c r="D13420" s="2">
        <v>2.6102845210127902E-5</v>
      </c>
      <c r="E13420" s="2">
        <v>0</v>
      </c>
      <c r="F13420" s="2">
        <v>4.1755396885047297E-5</v>
      </c>
    </row>
    <row r="13421" spans="1:6" x14ac:dyDescent="0.25">
      <c r="A13421" s="1" t="str">
        <f t="shared" si="502"/>
        <v>24660</v>
      </c>
      <c r="B13421" s="1" t="str">
        <f>"27435"</f>
        <v>27435</v>
      </c>
      <c r="C13421" s="2">
        <v>7.6844744061325303E-4</v>
      </c>
      <c r="D13421" s="2">
        <v>2.32315322370138E-3</v>
      </c>
      <c r="E13421" s="2">
        <v>4.8560190355946103E-5</v>
      </c>
      <c r="F13421" s="2">
        <v>8.7222384604321204E-4</v>
      </c>
    </row>
    <row r="13422" spans="1:6" x14ac:dyDescent="0.25">
      <c r="A13422" s="1" t="str">
        <f t="shared" si="502"/>
        <v>24660</v>
      </c>
      <c r="B13422" s="1" t="str">
        <f>"27350"</f>
        <v>27350</v>
      </c>
      <c r="C13422" s="2">
        <v>8.1197488305358393E-3</v>
      </c>
      <c r="D13422" s="2">
        <v>1.5661707126076699E-3</v>
      </c>
      <c r="E13422" s="2">
        <v>6.7984266498324604E-4</v>
      </c>
      <c r="F13422" s="2">
        <v>7.1819282642281504E-3</v>
      </c>
    </row>
    <row r="13423" spans="1:6" x14ac:dyDescent="0.25">
      <c r="A13423" s="1" t="str">
        <f t="shared" si="502"/>
        <v>24660</v>
      </c>
      <c r="B13423" s="1" t="str">
        <f>"27412"</f>
        <v>27412</v>
      </c>
      <c r="C13423" s="2">
        <v>0</v>
      </c>
      <c r="D13423" s="2">
        <v>1.2529365700861301E-3</v>
      </c>
      <c r="E13423" s="2">
        <v>4.8560190355946103E-5</v>
      </c>
      <c r="F13423" s="2">
        <v>1.1366746929818399E-4</v>
      </c>
    </row>
    <row r="13424" spans="1:6" x14ac:dyDescent="0.25">
      <c r="A13424" s="1" t="str">
        <f t="shared" si="502"/>
        <v>24660</v>
      </c>
      <c r="B13424" s="1" t="str">
        <f>"27248"</f>
        <v>27248</v>
      </c>
      <c r="C13424" s="2">
        <v>5.7418607712955297E-3</v>
      </c>
      <c r="D13424" s="2">
        <v>1.8794048551292E-3</v>
      </c>
      <c r="E13424" s="2">
        <v>7.2840285533919201E-4</v>
      </c>
      <c r="F13424" s="2">
        <v>5.1591112595747403E-3</v>
      </c>
    </row>
    <row r="13425" spans="1:6" x14ac:dyDescent="0.25">
      <c r="A13425" s="1" t="str">
        <f t="shared" si="502"/>
        <v>24660</v>
      </c>
      <c r="B13425" s="1" t="str">
        <f>"27355"</f>
        <v>27355</v>
      </c>
      <c r="C13425" s="2">
        <v>2.6976266796353301E-3</v>
      </c>
      <c r="D13425" s="2">
        <v>7.5698251109370903E-4</v>
      </c>
      <c r="E13425" s="2">
        <v>1.9424076142378401E-4</v>
      </c>
      <c r="F13425" s="2">
        <v>2.405574809433E-3</v>
      </c>
    </row>
    <row r="13426" spans="1:6" x14ac:dyDescent="0.25">
      <c r="A13426" s="1" t="str">
        <f t="shared" si="502"/>
        <v>24660</v>
      </c>
      <c r="B13426" s="1" t="str">
        <f>"27263"</f>
        <v>27263</v>
      </c>
      <c r="C13426" s="2">
        <v>2.7572753970535602E-2</v>
      </c>
      <c r="D13426" s="2">
        <v>4.0146175933176702E-2</v>
      </c>
      <c r="E13426" s="2">
        <v>1.8841353858107101E-2</v>
      </c>
      <c r="F13426" s="2">
        <v>2.8273043179719799E-2</v>
      </c>
    </row>
    <row r="13427" spans="1:6" x14ac:dyDescent="0.25">
      <c r="A13427" s="1" t="str">
        <f t="shared" si="502"/>
        <v>24660</v>
      </c>
      <c r="B13427" s="1" t="str">
        <f>"27410"</f>
        <v>27410</v>
      </c>
      <c r="C13427" s="2">
        <v>7.1492480768662298E-2</v>
      </c>
      <c r="D13427" s="2">
        <v>3.9806838945444997E-2</v>
      </c>
      <c r="E13427" s="2">
        <v>7.5996697907055696E-2</v>
      </c>
      <c r="F13427" s="2">
        <v>6.8891765371785402E-2</v>
      </c>
    </row>
    <row r="13428" spans="1:6" x14ac:dyDescent="0.25">
      <c r="A13428" s="1" t="str">
        <f t="shared" si="502"/>
        <v>24660</v>
      </c>
      <c r="B13428" s="1" t="str">
        <f>"27417"</f>
        <v>27417</v>
      </c>
      <c r="C13428" s="2">
        <v>2.51491889655246E-3</v>
      </c>
      <c r="D13428" s="2">
        <v>9.0837901331245093E-3</v>
      </c>
      <c r="E13428" s="2">
        <v>4.8560190355946103E-5</v>
      </c>
      <c r="F13428" s="2">
        <v>2.9808713887380998E-3</v>
      </c>
    </row>
    <row r="13429" spans="1:6" x14ac:dyDescent="0.25">
      <c r="A13429" s="1" t="str">
        <f t="shared" ref="A13429:A13460" si="503">"24660"</f>
        <v>24660</v>
      </c>
      <c r="B13429" s="1" t="str">
        <f>"27419"</f>
        <v>27419</v>
      </c>
      <c r="C13429" s="2">
        <v>3.69983260742814E-3</v>
      </c>
      <c r="D13429" s="2">
        <v>1.4017227877838601E-2</v>
      </c>
      <c r="E13429" s="2">
        <v>4.8560190355946103E-5</v>
      </c>
      <c r="F13429" s="2">
        <v>4.4423102797147597E-3</v>
      </c>
    </row>
    <row r="13430" spans="1:6" x14ac:dyDescent="0.25">
      <c r="A13430" s="1" t="str">
        <f t="shared" si="503"/>
        <v>24660</v>
      </c>
      <c r="B13430" s="1" t="str">
        <f>"27420"</f>
        <v>27420</v>
      </c>
      <c r="C13430" s="2">
        <v>1.5315211229005299E-3</v>
      </c>
      <c r="D13430" s="2">
        <v>1.2738188462542399E-2</v>
      </c>
      <c r="E13430" s="2">
        <v>4.8560190355946103E-5</v>
      </c>
      <c r="F13430" s="2">
        <v>2.4566091834036202E-3</v>
      </c>
    </row>
    <row r="13431" spans="1:6" x14ac:dyDescent="0.25">
      <c r="A13431" s="1" t="str">
        <f t="shared" si="503"/>
        <v>24660</v>
      </c>
      <c r="B13431" s="1" t="str">
        <f>"27429"</f>
        <v>27429</v>
      </c>
      <c r="C13431" s="2">
        <v>2.2381703427651698E-3</v>
      </c>
      <c r="D13431" s="2">
        <v>5.9514487079091599E-3</v>
      </c>
      <c r="E13431" s="2">
        <v>4.8560190355946103E-5</v>
      </c>
      <c r="F13431" s="2">
        <v>2.46356841621779E-3</v>
      </c>
    </row>
    <row r="13432" spans="1:6" x14ac:dyDescent="0.25">
      <c r="A13432" s="1" t="str">
        <f t="shared" si="503"/>
        <v>24660</v>
      </c>
      <c r="B13432" s="1" t="str">
        <f>"27377"</f>
        <v>27377</v>
      </c>
      <c r="C13432" s="2">
        <v>1.4184035101389301E-2</v>
      </c>
      <c r="D13432" s="2">
        <v>6.13416862438005E-3</v>
      </c>
      <c r="E13432" s="2">
        <v>4.9045792259505604E-3</v>
      </c>
      <c r="F13432" s="2">
        <v>1.3025364083863299E-2</v>
      </c>
    </row>
    <row r="13433" spans="1:6" x14ac:dyDescent="0.25">
      <c r="A13433" s="1" t="str">
        <f t="shared" si="503"/>
        <v>24660</v>
      </c>
      <c r="B13433" s="1" t="str">
        <f>"27027"</f>
        <v>27027</v>
      </c>
      <c r="C13433" s="2">
        <v>5.9111341585634802E-3</v>
      </c>
      <c r="D13433" s="2">
        <v>4.7246149830331499E-3</v>
      </c>
      <c r="E13433" s="2">
        <v>2.5736900888651401E-3</v>
      </c>
      <c r="F13433" s="2">
        <v>5.6462575565669601E-3</v>
      </c>
    </row>
    <row r="13434" spans="1:6" x14ac:dyDescent="0.25">
      <c r="A13434" s="1" t="str">
        <f t="shared" si="503"/>
        <v>24660</v>
      </c>
      <c r="B13434" s="1" t="str">
        <f>"27289"</f>
        <v>27289</v>
      </c>
      <c r="C13434" s="2">
        <v>4.9922214848231597E-3</v>
      </c>
      <c r="D13434" s="2">
        <v>9.4492299660662998E-3</v>
      </c>
      <c r="E13434" s="2">
        <v>4.8560190355946103E-5</v>
      </c>
      <c r="F13434" s="2">
        <v>5.15215202676056E-3</v>
      </c>
    </row>
    <row r="13435" spans="1:6" x14ac:dyDescent="0.25">
      <c r="A13435" s="1" t="str">
        <f t="shared" si="503"/>
        <v>24660</v>
      </c>
      <c r="B13435" s="1" t="str">
        <f>"27262"</f>
        <v>27262</v>
      </c>
      <c r="C13435" s="2">
        <v>2.8897385397886499E-2</v>
      </c>
      <c r="D13435" s="2">
        <v>6.2020360219263798E-2</v>
      </c>
      <c r="E13435" s="2">
        <v>4.15189627543339E-2</v>
      </c>
      <c r="F13435" s="2">
        <v>3.2443943379681803E-2</v>
      </c>
    </row>
    <row r="13436" spans="1:6" x14ac:dyDescent="0.25">
      <c r="A13436" s="1" t="str">
        <f t="shared" si="503"/>
        <v>24660</v>
      </c>
      <c r="B13436" s="1" t="str">
        <f>"27407"</f>
        <v>27407</v>
      </c>
      <c r="C13436" s="2">
        <v>6.0771832908358601E-2</v>
      </c>
      <c r="D13436" s="2">
        <v>8.0866614460976205E-2</v>
      </c>
      <c r="E13436" s="2">
        <v>0.12470256883406899</v>
      </c>
      <c r="F13436" s="2">
        <v>6.5611646972037793E-2</v>
      </c>
    </row>
    <row r="13437" spans="1:6" x14ac:dyDescent="0.25">
      <c r="A13437" s="1" t="str">
        <f t="shared" si="503"/>
        <v>24660</v>
      </c>
      <c r="B13437" s="1" t="str">
        <f>"27403"</f>
        <v>27403</v>
      </c>
      <c r="C13437" s="2">
        <v>2.5753736777195901E-2</v>
      </c>
      <c r="D13437" s="2">
        <v>2.5345862699034102E-2</v>
      </c>
      <c r="E13437" s="2">
        <v>6.19142427038313E-2</v>
      </c>
      <c r="F13437" s="2">
        <v>2.7444894474833E-2</v>
      </c>
    </row>
    <row r="13438" spans="1:6" x14ac:dyDescent="0.25">
      <c r="A13438" s="1" t="str">
        <f t="shared" si="503"/>
        <v>24660</v>
      </c>
      <c r="B13438" s="1" t="str">
        <f>"27402"</f>
        <v>27402</v>
      </c>
      <c r="C13438" s="2">
        <v>4.9895346056601699E-3</v>
      </c>
      <c r="D13438" s="2">
        <v>1.0415035238841E-2</v>
      </c>
      <c r="E13438" s="2">
        <v>4.8560190355946103E-5</v>
      </c>
      <c r="F13438" s="2">
        <v>5.2356628205306602E-3</v>
      </c>
    </row>
    <row r="13439" spans="1:6" x14ac:dyDescent="0.25">
      <c r="A13439" s="1" t="str">
        <f t="shared" si="503"/>
        <v>24660</v>
      </c>
      <c r="B13439" s="1" t="str">
        <f>"27499"</f>
        <v>27499</v>
      </c>
      <c r="C13439" s="2">
        <v>0</v>
      </c>
      <c r="D13439" s="2">
        <v>0</v>
      </c>
      <c r="E13439" s="2">
        <v>1.4568057106783801E-4</v>
      </c>
      <c r="F13439" s="2">
        <v>6.95923281417456E-6</v>
      </c>
    </row>
    <row r="13440" spans="1:6" x14ac:dyDescent="0.25">
      <c r="A13440" s="1" t="str">
        <f t="shared" si="503"/>
        <v>24660</v>
      </c>
      <c r="B13440" s="1" t="str">
        <f>"27311"</f>
        <v>27311</v>
      </c>
      <c r="C13440" s="2">
        <v>7.8188183642817E-4</v>
      </c>
      <c r="D13440" s="2">
        <v>1.04411380840511E-4</v>
      </c>
      <c r="E13440" s="2">
        <v>0</v>
      </c>
      <c r="F13440" s="2">
        <v>6.8432456006049802E-4</v>
      </c>
    </row>
    <row r="13441" spans="1:6" x14ac:dyDescent="0.25">
      <c r="A13441" s="1" t="str">
        <f t="shared" si="503"/>
        <v>24660</v>
      </c>
      <c r="B13441" s="1" t="str">
        <f>"27425"</f>
        <v>27425</v>
      </c>
      <c r="C13441" s="2">
        <v>8.5711445299170499E-4</v>
      </c>
      <c r="D13441" s="2">
        <v>1.6966849386583101E-3</v>
      </c>
      <c r="E13441" s="2">
        <v>4.8560190355946103E-5</v>
      </c>
      <c r="F13441" s="2">
        <v>8.9310154448573502E-4</v>
      </c>
    </row>
    <row r="13442" spans="1:6" x14ac:dyDescent="0.25">
      <c r="A13442" s="1" t="str">
        <f t="shared" si="503"/>
        <v>24660</v>
      </c>
      <c r="B13442" s="1" t="str">
        <f>"27344"</f>
        <v>27344</v>
      </c>
      <c r="C13442" s="2">
        <v>4.48708820218228E-4</v>
      </c>
      <c r="D13442" s="2">
        <v>7.8308535630383698E-5</v>
      </c>
      <c r="E13442" s="2">
        <v>0</v>
      </c>
      <c r="F13442" s="2">
        <v>3.9435652613655799E-4</v>
      </c>
    </row>
    <row r="13443" spans="1:6" x14ac:dyDescent="0.25">
      <c r="A13443" s="1" t="str">
        <f t="shared" si="503"/>
        <v>24660</v>
      </c>
      <c r="B13443" s="1" t="str">
        <f>"27233"</f>
        <v>27233</v>
      </c>
      <c r="C13443" s="2">
        <v>4.00613683200825E-3</v>
      </c>
      <c r="D13443" s="2">
        <v>1.07021665361524E-3</v>
      </c>
      <c r="E13443" s="2">
        <v>3.3992133249162302E-4</v>
      </c>
      <c r="F13443" s="2">
        <v>3.5700864336715502E-3</v>
      </c>
    </row>
    <row r="13444" spans="1:6" x14ac:dyDescent="0.25">
      <c r="A13444" s="1" t="str">
        <f t="shared" si="503"/>
        <v>24660</v>
      </c>
      <c r="B13444" s="1" t="str">
        <f>"27203"</f>
        <v>27203</v>
      </c>
      <c r="C13444" s="2">
        <v>2.7390046187452801E-2</v>
      </c>
      <c r="D13444" s="2">
        <v>4.8838423388149303E-2</v>
      </c>
      <c r="E13444" s="2">
        <v>3.5885980673044202E-2</v>
      </c>
      <c r="F13444" s="2">
        <v>2.9702005650897E-2</v>
      </c>
    </row>
    <row r="13445" spans="1:6" x14ac:dyDescent="0.25">
      <c r="A13445" s="1" t="str">
        <f t="shared" si="503"/>
        <v>24660</v>
      </c>
      <c r="B13445" s="1" t="str">
        <f>"27025"</f>
        <v>27025</v>
      </c>
      <c r="C13445" s="2">
        <v>1.13628119802568E-2</v>
      </c>
      <c r="D13445" s="2">
        <v>1.2137823022709399E-2</v>
      </c>
      <c r="E13445" s="2">
        <v>6.9926674112562497E-3</v>
      </c>
      <c r="F13445" s="2">
        <v>1.1222922784992101E-2</v>
      </c>
    </row>
    <row r="13446" spans="1:6" x14ac:dyDescent="0.25">
      <c r="A13446" s="1" t="str">
        <f t="shared" si="503"/>
        <v>24660</v>
      </c>
      <c r="B13446" s="1" t="str">
        <f>"27341"</f>
        <v>27341</v>
      </c>
      <c r="C13446" s="2">
        <v>4.8686250433259198E-3</v>
      </c>
      <c r="D13446" s="2">
        <v>2.3753589141216301E-3</v>
      </c>
      <c r="E13446" s="2">
        <v>3.3992133249162302E-4</v>
      </c>
      <c r="F13446" s="2">
        <v>4.4307115583577996E-3</v>
      </c>
    </row>
    <row r="13447" spans="1:6" x14ac:dyDescent="0.25">
      <c r="A13447" s="1" t="str">
        <f t="shared" si="503"/>
        <v>24660</v>
      </c>
      <c r="B13447" s="1" t="str">
        <f>"27317"</f>
        <v>27317</v>
      </c>
      <c r="C13447" s="2">
        <v>2.1425174445629601E-2</v>
      </c>
      <c r="D13447" s="2">
        <v>1.4069433568258899E-2</v>
      </c>
      <c r="E13447" s="2">
        <v>1.01976399747487E-2</v>
      </c>
      <c r="F13447" s="2">
        <v>2.0235129279348198E-2</v>
      </c>
    </row>
    <row r="13448" spans="1:6" x14ac:dyDescent="0.25">
      <c r="A13448" s="1" t="str">
        <f t="shared" si="503"/>
        <v>24660</v>
      </c>
      <c r="B13448" s="1" t="str">
        <f>"27265"</f>
        <v>27265</v>
      </c>
      <c r="C13448" s="2">
        <v>5.0905612621883499E-2</v>
      </c>
      <c r="D13448" s="2">
        <v>3.3333333333333298E-2</v>
      </c>
      <c r="E13448" s="2">
        <v>4.6229301218860701E-2</v>
      </c>
      <c r="F13448" s="2">
        <v>4.9120584946715402E-2</v>
      </c>
    </row>
    <row r="13449" spans="1:6" x14ac:dyDescent="0.25">
      <c r="A13449" s="1" t="str">
        <f t="shared" si="503"/>
        <v>24660</v>
      </c>
      <c r="B13449" s="1" t="str">
        <f>"27405"</f>
        <v>27405</v>
      </c>
      <c r="C13449" s="2">
        <v>6.0454781167126499E-2</v>
      </c>
      <c r="D13449" s="2">
        <v>5.4398329417906503E-2</v>
      </c>
      <c r="E13449" s="2">
        <v>0.10343320545816501</v>
      </c>
      <c r="F13449" s="2">
        <v>6.1969648465953098E-2</v>
      </c>
    </row>
    <row r="13450" spans="1:6" x14ac:dyDescent="0.25">
      <c r="A13450" s="1" t="str">
        <f t="shared" si="503"/>
        <v>24660</v>
      </c>
      <c r="B13450" s="1" t="str">
        <f>"27371"</f>
        <v>27371</v>
      </c>
      <c r="C13450" s="2">
        <v>3.1167798290607397E-4</v>
      </c>
      <c r="D13450" s="2">
        <v>1.04411380840511E-4</v>
      </c>
      <c r="E13450" s="2">
        <v>0</v>
      </c>
      <c r="F13450" s="2">
        <v>2.78369312566982E-4</v>
      </c>
    </row>
    <row r="13451" spans="1:6" x14ac:dyDescent="0.25">
      <c r="A13451" s="1" t="str">
        <f t="shared" si="503"/>
        <v>24660</v>
      </c>
      <c r="B13451" s="1" t="str">
        <f>"27249"</f>
        <v>27249</v>
      </c>
      <c r="C13451" s="2">
        <v>1.2217239554085499E-2</v>
      </c>
      <c r="D13451" s="2">
        <v>6.9694596711041496E-3</v>
      </c>
      <c r="E13451" s="2">
        <v>2.4765697081532501E-3</v>
      </c>
      <c r="F13451" s="2">
        <v>1.12855558803197E-2</v>
      </c>
    </row>
    <row r="13452" spans="1:6" x14ac:dyDescent="0.25">
      <c r="A13452" s="1" t="str">
        <f t="shared" si="503"/>
        <v>24660</v>
      </c>
      <c r="B13452" s="1" t="str">
        <f>"27048"</f>
        <v>27048</v>
      </c>
      <c r="C13452" s="2">
        <v>1.03149291066932E-2</v>
      </c>
      <c r="D13452" s="2">
        <v>2.8191072826938102E-3</v>
      </c>
      <c r="E13452" s="2">
        <v>5.3416209391540803E-4</v>
      </c>
      <c r="F13452" s="2">
        <v>9.1815478261676395E-3</v>
      </c>
    </row>
    <row r="13453" spans="1:6" x14ac:dyDescent="0.25">
      <c r="A13453" s="1" t="str">
        <f t="shared" si="503"/>
        <v>24660</v>
      </c>
      <c r="B13453" s="1" t="str">
        <f>"27284"</f>
        <v>27284</v>
      </c>
      <c r="C13453" s="2">
        <v>3.4633872410855999E-3</v>
      </c>
      <c r="D13453" s="2">
        <v>7.5698251109370903E-4</v>
      </c>
      <c r="E13453" s="2">
        <v>0</v>
      </c>
      <c r="F13453" s="2">
        <v>3.0574229496940198E-3</v>
      </c>
    </row>
    <row r="13454" spans="1:6" x14ac:dyDescent="0.25">
      <c r="A13454" s="1" t="str">
        <f t="shared" si="503"/>
        <v>24660</v>
      </c>
      <c r="B13454" s="1" t="str">
        <f>"27316"</f>
        <v>27316</v>
      </c>
      <c r="C13454" s="2">
        <v>8.0122736640165001E-3</v>
      </c>
      <c r="D13454" s="2">
        <v>3.8893239363090499E-3</v>
      </c>
      <c r="E13454" s="2">
        <v>1.4568057106783799E-3</v>
      </c>
      <c r="F13454" s="2">
        <v>7.3327116418686004E-3</v>
      </c>
    </row>
    <row r="13455" spans="1:6" x14ac:dyDescent="0.25">
      <c r="A13455" s="1" t="str">
        <f t="shared" si="503"/>
        <v>24660</v>
      </c>
      <c r="B13455" s="1" t="str">
        <f>"27313"</f>
        <v>27313</v>
      </c>
      <c r="C13455" s="2">
        <v>8.0149605431794908E-3</v>
      </c>
      <c r="D13455" s="2">
        <v>1.4095536413469001E-3</v>
      </c>
      <c r="E13455" s="2">
        <v>4.8560190355946098E-4</v>
      </c>
      <c r="F13455" s="2">
        <v>7.0682607949299602E-3</v>
      </c>
    </row>
    <row r="13456" spans="1:6" x14ac:dyDescent="0.25">
      <c r="A13456" s="1" t="str">
        <f t="shared" si="503"/>
        <v>24660</v>
      </c>
      <c r="B13456" s="1" t="str">
        <f>"27310"</f>
        <v>27310</v>
      </c>
      <c r="C13456" s="2">
        <v>9.8662202864750505E-3</v>
      </c>
      <c r="D13456" s="2">
        <v>8.7444531453928394E-3</v>
      </c>
      <c r="E13456" s="2">
        <v>1.01976399747487E-3</v>
      </c>
      <c r="F13456" s="2">
        <v>9.3439299251650391E-3</v>
      </c>
    </row>
    <row r="13457" spans="1:6" x14ac:dyDescent="0.25">
      <c r="A13457" s="1" t="str">
        <f t="shared" si="503"/>
        <v>24660</v>
      </c>
      <c r="B13457" s="1" t="str">
        <f>"27282"</f>
        <v>27282</v>
      </c>
      <c r="C13457" s="2">
        <v>2.34268994220522E-2</v>
      </c>
      <c r="D13457" s="2">
        <v>1.77760375880971E-2</v>
      </c>
      <c r="E13457" s="2">
        <v>1.46651774874957E-2</v>
      </c>
      <c r="F13457" s="2">
        <v>2.2506158921040499E-2</v>
      </c>
    </row>
    <row r="13458" spans="1:6" x14ac:dyDescent="0.25">
      <c r="A13458" s="1" t="str">
        <f t="shared" si="503"/>
        <v>24660</v>
      </c>
      <c r="B13458" s="1" t="str">
        <f>"27406"</f>
        <v>27406</v>
      </c>
      <c r="C13458" s="2">
        <v>7.3572125240811498E-2</v>
      </c>
      <c r="D13458" s="2">
        <v>5.0952753850169598E-2</v>
      </c>
      <c r="E13458" s="2">
        <v>7.2937405914631104E-2</v>
      </c>
      <c r="F13458" s="2">
        <v>7.1531634352628895E-2</v>
      </c>
    </row>
    <row r="13459" spans="1:6" x14ac:dyDescent="0.25">
      <c r="A13459" s="1" t="str">
        <f t="shared" si="503"/>
        <v>24660</v>
      </c>
      <c r="B13459" s="1" t="str">
        <f>"27415"</f>
        <v>27415</v>
      </c>
      <c r="C13459" s="2">
        <v>2.9555670792817401E-3</v>
      </c>
      <c r="D13459" s="2">
        <v>7.88305925345862E-3</v>
      </c>
      <c r="E13459" s="2">
        <v>4.8560190355946103E-5</v>
      </c>
      <c r="F13459" s="2">
        <v>3.2546012127623002E-3</v>
      </c>
    </row>
    <row r="13460" spans="1:6" x14ac:dyDescent="0.25">
      <c r="A13460" s="1" t="str">
        <f t="shared" si="503"/>
        <v>24660</v>
      </c>
      <c r="B13460" s="1" t="str">
        <f>"27404"</f>
        <v>27404</v>
      </c>
      <c r="C13460" s="2">
        <v>2.1951802761574399E-3</v>
      </c>
      <c r="D13460" s="2">
        <v>1.5478987209605799E-2</v>
      </c>
      <c r="E13460" s="2">
        <v>4.8560190355946103E-5</v>
      </c>
      <c r="F13460" s="2">
        <v>3.2731591669334301E-3</v>
      </c>
    </row>
    <row r="13461" spans="1:6" x14ac:dyDescent="0.25">
      <c r="A13461" s="1" t="str">
        <f t="shared" ref="A13461:A13472" si="504">"24660"</f>
        <v>24660</v>
      </c>
      <c r="B13461" s="1" t="str">
        <f>"27342"</f>
        <v>27342</v>
      </c>
      <c r="C13461" s="2">
        <v>0</v>
      </c>
      <c r="D13461" s="2">
        <v>0</v>
      </c>
      <c r="E13461" s="2">
        <v>4.8560190355946103E-5</v>
      </c>
      <c r="F13461" s="2">
        <v>2.31974427139152E-6</v>
      </c>
    </row>
    <row r="13462" spans="1:6" x14ac:dyDescent="0.25">
      <c r="A13462" s="1" t="str">
        <f t="shared" si="504"/>
        <v>24660</v>
      </c>
      <c r="B13462" s="1" t="str">
        <f>"27498"</f>
        <v>27498</v>
      </c>
      <c r="C13462" s="2">
        <v>0</v>
      </c>
      <c r="D13462" s="2">
        <v>2.6102845210127902E-5</v>
      </c>
      <c r="E13462" s="2">
        <v>9.7120380711892301E-5</v>
      </c>
      <c r="F13462" s="2">
        <v>6.95923281417456E-6</v>
      </c>
    </row>
    <row r="13463" spans="1:6" x14ac:dyDescent="0.25">
      <c r="A13463" s="1" t="str">
        <f t="shared" si="504"/>
        <v>24660</v>
      </c>
      <c r="B13463" s="1" t="str">
        <f>"27292"</f>
        <v>27292</v>
      </c>
      <c r="C13463" s="2">
        <v>1.12848924845302E-4</v>
      </c>
      <c r="D13463" s="2">
        <v>0</v>
      </c>
      <c r="E13463" s="2">
        <v>0</v>
      </c>
      <c r="F13463" s="2">
        <v>9.7429259398443906E-5</v>
      </c>
    </row>
    <row r="13464" spans="1:6" x14ac:dyDescent="0.25">
      <c r="A13464" s="1" t="str">
        <f t="shared" si="504"/>
        <v>24660</v>
      </c>
      <c r="B13464" s="1" t="str">
        <f>"27215"</f>
        <v>27215</v>
      </c>
      <c r="C13464" s="2">
        <v>2.1898065178314698E-3</v>
      </c>
      <c r="D13464" s="2">
        <v>3.9154267815191802E-4</v>
      </c>
      <c r="E13464" s="2">
        <v>9.7120380711892304E-4</v>
      </c>
      <c r="F13464" s="2">
        <v>1.9717826306827899E-3</v>
      </c>
    </row>
    <row r="13465" spans="1:6" x14ac:dyDescent="0.25">
      <c r="A13465" s="1" t="str">
        <f t="shared" si="504"/>
        <v>24660</v>
      </c>
      <c r="B13465" s="1" t="str">
        <f>"27208"</f>
        <v>27208</v>
      </c>
      <c r="C13465" s="2">
        <v>8.7860948629557198E-4</v>
      </c>
      <c r="D13465" s="2">
        <v>2.87131297311406E-4</v>
      </c>
      <c r="E13465" s="2">
        <v>0</v>
      </c>
      <c r="F13465" s="2">
        <v>7.8407356373033405E-4</v>
      </c>
    </row>
    <row r="13466" spans="1:6" x14ac:dyDescent="0.25">
      <c r="A13466" s="1" t="str">
        <f t="shared" si="504"/>
        <v>24660</v>
      </c>
      <c r="B13466" s="1" t="str">
        <f>"27358"</f>
        <v>27358</v>
      </c>
      <c r="C13466" s="2">
        <v>1.63819022567098E-2</v>
      </c>
      <c r="D13466" s="2">
        <v>4.4896893761419898E-3</v>
      </c>
      <c r="E13466" s="2">
        <v>9.2264361676297696E-4</v>
      </c>
      <c r="F13466" s="2">
        <v>1.4586551978509801E-2</v>
      </c>
    </row>
    <row r="13467" spans="1:6" x14ac:dyDescent="0.25">
      <c r="A13467" s="1" t="str">
        <f t="shared" si="504"/>
        <v>24660</v>
      </c>
      <c r="B13467" s="1" t="str">
        <f>"27320"</f>
        <v>27320</v>
      </c>
      <c r="C13467" s="2">
        <v>4.9368717740657E-2</v>
      </c>
      <c r="D13467" s="2">
        <v>3.4429652832158701E-2</v>
      </c>
      <c r="E13467" s="2">
        <v>1.6947506434225199E-2</v>
      </c>
      <c r="F13467" s="2">
        <v>4.6492314687228802E-2</v>
      </c>
    </row>
    <row r="13468" spans="1:6" x14ac:dyDescent="0.25">
      <c r="A13468" s="1" t="str">
        <f t="shared" si="504"/>
        <v>24660</v>
      </c>
      <c r="B13468" s="1" t="str">
        <f>"27455"</f>
        <v>27455</v>
      </c>
      <c r="C13468" s="2">
        <v>3.7721096569123903E-2</v>
      </c>
      <c r="D13468" s="2">
        <v>1.1354737666405599E-2</v>
      </c>
      <c r="E13468" s="2">
        <v>3.37007721070266E-2</v>
      </c>
      <c r="F13468" s="2">
        <v>3.5185881108466599E-2</v>
      </c>
    </row>
    <row r="13469" spans="1:6" x14ac:dyDescent="0.25">
      <c r="A13469" s="1" t="str">
        <f t="shared" si="504"/>
        <v>24660</v>
      </c>
      <c r="B13469" s="1" t="str">
        <f>"27401"</f>
        <v>27401</v>
      </c>
      <c r="C13469" s="2">
        <v>2.69708930380274E-2</v>
      </c>
      <c r="D13469" s="2">
        <v>5.98799269120334E-2</v>
      </c>
      <c r="E13469" s="2">
        <v>7.3471568008546498E-2</v>
      </c>
      <c r="F13469" s="2">
        <v>3.2116859437415601E-2</v>
      </c>
    </row>
    <row r="13470" spans="1:6" x14ac:dyDescent="0.25">
      <c r="A13470" s="1" t="str">
        <f t="shared" si="504"/>
        <v>24660</v>
      </c>
      <c r="B13470" s="1" t="str">
        <f>"27411"</f>
        <v>27411</v>
      </c>
      <c r="C13470" s="2">
        <v>0</v>
      </c>
      <c r="D13470" s="2">
        <v>0</v>
      </c>
      <c r="E13470" s="2">
        <v>1.9424076142378401E-4</v>
      </c>
      <c r="F13470" s="2">
        <v>9.27897708556608E-6</v>
      </c>
    </row>
    <row r="13471" spans="1:6" x14ac:dyDescent="0.25">
      <c r="A13471" s="1" t="str">
        <f t="shared" si="504"/>
        <v>24660</v>
      </c>
      <c r="B13471" s="1" t="str">
        <f>"27497"</f>
        <v>27497</v>
      </c>
      <c r="C13471" s="2">
        <v>0</v>
      </c>
      <c r="D13471" s="2">
        <v>2.6102845210127902E-5</v>
      </c>
      <c r="E13471" s="2">
        <v>0</v>
      </c>
      <c r="F13471" s="2">
        <v>2.31974427139152E-6</v>
      </c>
    </row>
    <row r="13472" spans="1:6" x14ac:dyDescent="0.25">
      <c r="A13472" s="1" t="str">
        <f t="shared" si="504"/>
        <v>24660</v>
      </c>
      <c r="B13472" s="1" t="str">
        <f>"27495"</f>
        <v>27495</v>
      </c>
      <c r="C13472" s="2">
        <v>0</v>
      </c>
      <c r="D13472" s="2">
        <v>0</v>
      </c>
      <c r="E13472" s="2">
        <v>2.4280095177973E-4</v>
      </c>
      <c r="F13472" s="2">
        <v>1.1598721356957601E-5</v>
      </c>
    </row>
    <row r="13473" spans="1:6" x14ac:dyDescent="0.25">
      <c r="A13473" s="1" t="str">
        <f t="shared" ref="A13473:A13482" si="505">"24700"</f>
        <v>24700</v>
      </c>
      <c r="B13473" s="1" t="str">
        <f>"47006"</f>
        <v>47006</v>
      </c>
      <c r="C13473" s="2">
        <v>4.9468216670788998E-4</v>
      </c>
      <c r="D13473" s="2">
        <v>0</v>
      </c>
      <c r="E13473" s="2">
        <v>0</v>
      </c>
      <c r="F13473" s="2">
        <v>4.4273907910271498E-4</v>
      </c>
    </row>
    <row r="13474" spans="1:6" x14ac:dyDescent="0.25">
      <c r="A13474" s="1" t="str">
        <f t="shared" si="505"/>
        <v>24700</v>
      </c>
      <c r="B13474" s="1" t="str">
        <f>"47240"</f>
        <v>47240</v>
      </c>
      <c r="C13474" s="2">
        <v>0.82603677137439102</v>
      </c>
      <c r="D13474" s="2">
        <v>0.94974874371859197</v>
      </c>
      <c r="E13474" s="2">
        <v>0.90887850467289699</v>
      </c>
      <c r="F13474" s="2">
        <v>0.83773612750885396</v>
      </c>
    </row>
    <row r="13475" spans="1:6" x14ac:dyDescent="0.25">
      <c r="A13475" s="1" t="str">
        <f t="shared" si="505"/>
        <v>24700</v>
      </c>
      <c r="B13475" s="1" t="str">
        <f>"47283"</f>
        <v>47283</v>
      </c>
      <c r="C13475" s="2">
        <v>0.11509605078736899</v>
      </c>
      <c r="D13475" s="2">
        <v>3.3165829145728597E-2</v>
      </c>
      <c r="E13475" s="2">
        <v>6.7757009345794303E-2</v>
      </c>
      <c r="F13475" s="2">
        <v>0.107585596221959</v>
      </c>
    </row>
    <row r="13476" spans="1:6" x14ac:dyDescent="0.25">
      <c r="A13476" s="1" t="str">
        <f t="shared" si="505"/>
        <v>24700</v>
      </c>
      <c r="B13476" s="1" t="str">
        <f>"46156"</f>
        <v>46156</v>
      </c>
      <c r="C13476" s="2">
        <v>1.64894055569296E-4</v>
      </c>
      <c r="D13476" s="2">
        <v>0</v>
      </c>
      <c r="E13476" s="2">
        <v>0</v>
      </c>
      <c r="F13476" s="2">
        <v>1.4757969303423799E-4</v>
      </c>
    </row>
    <row r="13477" spans="1:6" x14ac:dyDescent="0.25">
      <c r="A13477" s="1" t="str">
        <f t="shared" si="505"/>
        <v>24700</v>
      </c>
      <c r="B13477" s="1" t="str">
        <f>"47244"</f>
        <v>47244</v>
      </c>
      <c r="C13477" s="2">
        <v>3.05054002803198E-3</v>
      </c>
      <c r="D13477" s="2">
        <v>0</v>
      </c>
      <c r="E13477" s="2">
        <v>0</v>
      </c>
      <c r="F13477" s="2">
        <v>2.7302243211334101E-3</v>
      </c>
    </row>
    <row r="13478" spans="1:6" x14ac:dyDescent="0.25">
      <c r="A13478" s="1" t="str">
        <f t="shared" si="505"/>
        <v>24700</v>
      </c>
      <c r="B13478" s="1" t="str">
        <f>"46173"</f>
        <v>46173</v>
      </c>
      <c r="C13478" s="2">
        <v>2.1436227224008501E-3</v>
      </c>
      <c r="D13478" s="2">
        <v>3.0150753768844198E-3</v>
      </c>
      <c r="E13478" s="2">
        <v>0</v>
      </c>
      <c r="F13478" s="2">
        <v>2.13990554899645E-3</v>
      </c>
    </row>
    <row r="13479" spans="1:6" x14ac:dyDescent="0.25">
      <c r="A13479" s="1" t="str">
        <f t="shared" si="505"/>
        <v>24700</v>
      </c>
      <c r="B13479" s="1" t="str">
        <f>"47272"</f>
        <v>47272</v>
      </c>
      <c r="C13479" s="2">
        <v>5.1282051282051197E-2</v>
      </c>
      <c r="D13479" s="2">
        <v>1.4070351758793899E-2</v>
      </c>
      <c r="E13479" s="2">
        <v>1.6355140186915799E-2</v>
      </c>
      <c r="F13479" s="2">
        <v>4.74468713105076E-2</v>
      </c>
    </row>
    <row r="13480" spans="1:6" x14ac:dyDescent="0.25">
      <c r="A13480" s="1" t="str">
        <f t="shared" si="505"/>
        <v>24700</v>
      </c>
      <c r="B13480" s="1" t="str">
        <f>"47225"</f>
        <v>47225</v>
      </c>
      <c r="C13480" s="2">
        <v>0</v>
      </c>
      <c r="D13480" s="2">
        <v>0</v>
      </c>
      <c r="E13480" s="2">
        <v>2.3364485981308401E-3</v>
      </c>
      <c r="F13480" s="2">
        <v>7.37898465171192E-5</v>
      </c>
    </row>
    <row r="13481" spans="1:6" x14ac:dyDescent="0.25">
      <c r="A13481" s="1" t="str">
        <f t="shared" si="505"/>
        <v>24700</v>
      </c>
      <c r="B13481" s="1" t="str">
        <f>"47246"</f>
        <v>47246</v>
      </c>
      <c r="C13481" s="2">
        <v>1.73138758347761E-3</v>
      </c>
      <c r="D13481" s="2">
        <v>0</v>
      </c>
      <c r="E13481" s="2">
        <v>0</v>
      </c>
      <c r="F13481" s="2">
        <v>1.5495867768595001E-3</v>
      </c>
    </row>
    <row r="13482" spans="1:6" x14ac:dyDescent="0.25">
      <c r="A13482" s="1" t="str">
        <f t="shared" si="505"/>
        <v>24700</v>
      </c>
      <c r="B13482" s="1" t="str">
        <f>"47263"</f>
        <v>47263</v>
      </c>
      <c r="C13482" s="2">
        <v>0</v>
      </c>
      <c r="D13482" s="2">
        <v>0</v>
      </c>
      <c r="E13482" s="2">
        <v>4.6728971962616802E-3</v>
      </c>
      <c r="F13482" s="2">
        <v>1.4757969303423799E-4</v>
      </c>
    </row>
    <row r="13483" spans="1:6" x14ac:dyDescent="0.25">
      <c r="A13483" s="1" t="str">
        <f t="shared" ref="A13483:A13498" si="506">"24740"</f>
        <v>24740</v>
      </c>
      <c r="B13483" s="1" t="str">
        <f>"38748"</f>
        <v>38748</v>
      </c>
      <c r="C13483" s="2">
        <v>7.2610590894413907E-2</v>
      </c>
      <c r="D13483" s="2">
        <v>5.0367261280167802E-2</v>
      </c>
      <c r="E13483" s="2">
        <v>3.2110091743119198E-2</v>
      </c>
      <c r="F13483" s="2">
        <v>6.9426278765597899E-2</v>
      </c>
    </row>
    <row r="13484" spans="1:6" x14ac:dyDescent="0.25">
      <c r="A13484" s="1" t="str">
        <f t="shared" si="506"/>
        <v>24740</v>
      </c>
      <c r="B13484" s="1" t="str">
        <f>"38721"</f>
        <v>38721</v>
      </c>
      <c r="C13484" s="2">
        <v>1.21084920891185E-4</v>
      </c>
      <c r="D13484" s="2">
        <v>0</v>
      </c>
      <c r="E13484" s="2">
        <v>0</v>
      </c>
      <c r="F13484" s="2">
        <v>1.06048287320159E-4</v>
      </c>
    </row>
    <row r="13485" spans="1:6" x14ac:dyDescent="0.25">
      <c r="A13485" s="1" t="str">
        <f t="shared" si="506"/>
        <v>24740</v>
      </c>
      <c r="B13485" s="1" t="str">
        <f>"38776"</f>
        <v>38776</v>
      </c>
      <c r="C13485" s="2">
        <v>8.0723280594123301E-5</v>
      </c>
      <c r="D13485" s="2">
        <v>3.4977264777894299E-4</v>
      </c>
      <c r="E13485" s="2">
        <v>0</v>
      </c>
      <c r="F13485" s="2">
        <v>1.06048287320159E-4</v>
      </c>
    </row>
    <row r="13486" spans="1:6" x14ac:dyDescent="0.25">
      <c r="A13486" s="1" t="str">
        <f t="shared" si="506"/>
        <v>24740</v>
      </c>
      <c r="B13486" s="1" t="str">
        <f>"38756"</f>
        <v>38756</v>
      </c>
      <c r="C13486" s="2">
        <v>0.14090248627704199</v>
      </c>
      <c r="D13486" s="2">
        <v>0.12381951731374601</v>
      </c>
      <c r="E13486" s="2">
        <v>0.13761467889908199</v>
      </c>
      <c r="F13486" s="2">
        <v>0.13910000353494201</v>
      </c>
    </row>
    <row r="13487" spans="1:6" x14ac:dyDescent="0.25">
      <c r="A13487" s="1" t="str">
        <f t="shared" si="506"/>
        <v>24740</v>
      </c>
      <c r="B13487" s="1" t="str">
        <f>"38703"</f>
        <v>38703</v>
      </c>
      <c r="C13487" s="2">
        <v>0.26198740716822699</v>
      </c>
      <c r="D13487" s="2">
        <v>0.23015040223854399</v>
      </c>
      <c r="E13487" s="2">
        <v>0.10703363914373</v>
      </c>
      <c r="F13487" s="2">
        <v>0.25518752872141098</v>
      </c>
    </row>
    <row r="13488" spans="1:6" x14ac:dyDescent="0.25">
      <c r="A13488" s="1" t="str">
        <f t="shared" si="506"/>
        <v>24740</v>
      </c>
      <c r="B13488" s="1" t="str">
        <f>"38751"</f>
        <v>38751</v>
      </c>
      <c r="C13488" s="2">
        <v>4.0361640297061603E-5</v>
      </c>
      <c r="D13488" s="2">
        <v>0</v>
      </c>
      <c r="E13488" s="2">
        <v>0</v>
      </c>
      <c r="F13488" s="2">
        <v>3.53494291067199E-5</v>
      </c>
    </row>
    <row r="13489" spans="1:6" x14ac:dyDescent="0.25">
      <c r="A13489" s="1" t="str">
        <f t="shared" si="506"/>
        <v>24740</v>
      </c>
      <c r="B13489" s="1" t="str">
        <f>"38701"</f>
        <v>38701</v>
      </c>
      <c r="C13489" s="2">
        <v>0.51126089764287996</v>
      </c>
      <c r="D13489" s="2">
        <v>0.59111577474641397</v>
      </c>
      <c r="E13489" s="2">
        <v>0.72324159021406698</v>
      </c>
      <c r="F13489" s="2">
        <v>0.52423203365265603</v>
      </c>
    </row>
    <row r="13490" spans="1:6" x14ac:dyDescent="0.25">
      <c r="A13490" s="1" t="str">
        <f t="shared" si="506"/>
        <v>24740</v>
      </c>
      <c r="B13490" s="1" t="str">
        <f>"38773"</f>
        <v>38773</v>
      </c>
      <c r="C13490" s="2">
        <v>4.0361640297061603E-5</v>
      </c>
      <c r="D13490" s="2">
        <v>0</v>
      </c>
      <c r="E13490" s="2">
        <v>0</v>
      </c>
      <c r="F13490" s="2">
        <v>3.53494291067199E-5</v>
      </c>
    </row>
    <row r="13491" spans="1:6" x14ac:dyDescent="0.25">
      <c r="A13491" s="1" t="str">
        <f t="shared" si="506"/>
        <v>24740</v>
      </c>
      <c r="B13491" s="1" t="str">
        <f>"38760"</f>
        <v>38760</v>
      </c>
      <c r="C13491" s="2">
        <v>1.6144656118824601E-4</v>
      </c>
      <c r="D13491" s="2">
        <v>3.4977264777894299E-4</v>
      </c>
      <c r="E13491" s="2">
        <v>0</v>
      </c>
      <c r="F13491" s="2">
        <v>1.76747145533599E-4</v>
      </c>
    </row>
    <row r="13492" spans="1:6" x14ac:dyDescent="0.25">
      <c r="A13492" s="1" t="str">
        <f t="shared" si="506"/>
        <v>24740</v>
      </c>
      <c r="B13492" s="1" t="str">
        <f>"38754"</f>
        <v>38754</v>
      </c>
      <c r="C13492" s="2">
        <v>3.6325476267355498E-4</v>
      </c>
      <c r="D13492" s="2">
        <v>0</v>
      </c>
      <c r="E13492" s="2">
        <v>0</v>
      </c>
      <c r="F13492" s="2">
        <v>3.1814486196047898E-4</v>
      </c>
    </row>
    <row r="13493" spans="1:6" x14ac:dyDescent="0.25">
      <c r="A13493" s="1" t="str">
        <f t="shared" si="506"/>
        <v>24740</v>
      </c>
      <c r="B13493" s="1" t="str">
        <f>"38780"</f>
        <v>38780</v>
      </c>
      <c r="C13493" s="2">
        <v>0</v>
      </c>
      <c r="D13493" s="2">
        <v>3.4977264777894299E-4</v>
      </c>
      <c r="E13493" s="2">
        <v>0</v>
      </c>
      <c r="F13493" s="2">
        <v>3.53494291067199E-5</v>
      </c>
    </row>
    <row r="13494" spans="1:6" x14ac:dyDescent="0.25">
      <c r="A13494" s="1" t="str">
        <f t="shared" si="506"/>
        <v>24740</v>
      </c>
      <c r="B13494" s="1" t="str">
        <f>"38782"</f>
        <v>38782</v>
      </c>
      <c r="C13494" s="2">
        <v>0</v>
      </c>
      <c r="D13494" s="2">
        <v>3.4977264777894299E-4</v>
      </c>
      <c r="E13494" s="2">
        <v>0</v>
      </c>
      <c r="F13494" s="2">
        <v>3.53494291067199E-5</v>
      </c>
    </row>
    <row r="13495" spans="1:6" x14ac:dyDescent="0.25">
      <c r="A13495" s="1" t="str">
        <f t="shared" si="506"/>
        <v>24740</v>
      </c>
      <c r="B13495" s="1" t="str">
        <f>"38723"</f>
        <v>38723</v>
      </c>
      <c r="C13495" s="2">
        <v>0</v>
      </c>
      <c r="D13495" s="2">
        <v>3.4977264777894299E-4</v>
      </c>
      <c r="E13495" s="2">
        <v>0</v>
      </c>
      <c r="F13495" s="2">
        <v>3.53494291067199E-5</v>
      </c>
    </row>
    <row r="13496" spans="1:6" x14ac:dyDescent="0.25">
      <c r="A13496" s="1" t="str">
        <f t="shared" si="506"/>
        <v>24740</v>
      </c>
      <c r="B13496" s="1" t="str">
        <f>"38722"</f>
        <v>38722</v>
      </c>
      <c r="C13496" s="2">
        <v>1.21084920891185E-4</v>
      </c>
      <c r="D13496" s="2">
        <v>3.4977264777894299E-4</v>
      </c>
      <c r="E13496" s="2">
        <v>0</v>
      </c>
      <c r="F13496" s="2">
        <v>1.41397716426879E-4</v>
      </c>
    </row>
    <row r="13497" spans="1:6" x14ac:dyDescent="0.25">
      <c r="A13497" s="1" t="str">
        <f t="shared" si="506"/>
        <v>24740</v>
      </c>
      <c r="B13497" s="1" t="str">
        <f>"38744"</f>
        <v>38744</v>
      </c>
      <c r="C13497" s="2">
        <v>1.1260897642880199E-2</v>
      </c>
      <c r="D13497" s="2">
        <v>2.09863588667366E-3</v>
      </c>
      <c r="E13497" s="2">
        <v>0</v>
      </c>
      <c r="F13497" s="2">
        <v>1.00745872954151E-2</v>
      </c>
    </row>
    <row r="13498" spans="1:6" x14ac:dyDescent="0.25">
      <c r="A13498" s="1" t="str">
        <f t="shared" si="506"/>
        <v>24740</v>
      </c>
      <c r="B13498" s="1" t="str">
        <f>"38731"</f>
        <v>38731</v>
      </c>
      <c r="C13498" s="2">
        <v>1.0494026477236001E-3</v>
      </c>
      <c r="D13498" s="2">
        <v>3.4977264777894299E-4</v>
      </c>
      <c r="E13498" s="2">
        <v>0</v>
      </c>
      <c r="F13498" s="2">
        <v>9.5443458588143797E-4</v>
      </c>
    </row>
    <row r="13499" spans="1:6" x14ac:dyDescent="0.25">
      <c r="A13499" s="1" t="str">
        <f t="shared" ref="A13499:A13521" si="507">"24780"</f>
        <v>24780</v>
      </c>
      <c r="B13499" s="1" t="str">
        <f>"27828"</f>
        <v>27828</v>
      </c>
      <c r="C13499" s="2">
        <v>4.2171090422361099E-2</v>
      </c>
      <c r="D13499" s="2">
        <v>5.2117263843648197E-2</v>
      </c>
      <c r="E13499" s="2">
        <v>2.39812175079657E-2</v>
      </c>
      <c r="F13499" s="2">
        <v>4.1837913596848401E-2</v>
      </c>
    </row>
    <row r="13500" spans="1:6" x14ac:dyDescent="0.25">
      <c r="A13500" s="1" t="str">
        <f t="shared" si="507"/>
        <v>24780</v>
      </c>
      <c r="B13500" s="1" t="str">
        <f>"27886"</f>
        <v>27886</v>
      </c>
      <c r="C13500" s="2">
        <v>1.11632544680113E-3</v>
      </c>
      <c r="D13500" s="2">
        <v>2.7144408251900099E-4</v>
      </c>
      <c r="E13500" s="2">
        <v>0</v>
      </c>
      <c r="F13500" s="2">
        <v>9.9433701395859695E-4</v>
      </c>
    </row>
    <row r="13501" spans="1:6" x14ac:dyDescent="0.25">
      <c r="A13501" s="1" t="str">
        <f t="shared" si="507"/>
        <v>24780</v>
      </c>
      <c r="B13501" s="1" t="str">
        <f>"27837"</f>
        <v>27837</v>
      </c>
      <c r="C13501" s="2">
        <v>2.6011466721579699E-2</v>
      </c>
      <c r="D13501" s="2">
        <v>3.3930510314875099E-3</v>
      </c>
      <c r="E13501" s="2">
        <v>8.3850410867013204E-4</v>
      </c>
      <c r="F13501" s="2">
        <v>2.3011799465898899E-2</v>
      </c>
    </row>
    <row r="13502" spans="1:6" x14ac:dyDescent="0.25">
      <c r="A13502" s="1" t="str">
        <f t="shared" si="507"/>
        <v>24780</v>
      </c>
      <c r="B13502" s="1" t="str">
        <f>"27836"</f>
        <v>27836</v>
      </c>
      <c r="C13502" s="2">
        <v>1.38619441403752E-2</v>
      </c>
      <c r="D13502" s="2">
        <v>4.28881650380021E-2</v>
      </c>
      <c r="E13502" s="2">
        <v>1.67700821734026E-4</v>
      </c>
      <c r="F13502" s="2">
        <v>1.5113922612170601E-2</v>
      </c>
    </row>
    <row r="13503" spans="1:6" x14ac:dyDescent="0.25">
      <c r="A13503" s="1" t="str">
        <f t="shared" si="507"/>
        <v>24780</v>
      </c>
      <c r="B13503" s="1" t="str">
        <f>"27884"</f>
        <v>27884</v>
      </c>
      <c r="C13503" s="2">
        <v>5.9067705680253997E-3</v>
      </c>
      <c r="D13503" s="2">
        <v>1.2214983713355E-3</v>
      </c>
      <c r="E13503" s="2">
        <v>0</v>
      </c>
      <c r="F13503" s="2">
        <v>5.2463114831720198E-3</v>
      </c>
    </row>
    <row r="13504" spans="1:6" x14ac:dyDescent="0.25">
      <c r="A13504" s="1" t="str">
        <f t="shared" si="507"/>
        <v>24780</v>
      </c>
      <c r="B13504" s="1" t="str">
        <f>"27879"</f>
        <v>27879</v>
      </c>
      <c r="C13504" s="2">
        <v>3.4248431183413301E-3</v>
      </c>
      <c r="D13504" s="2">
        <v>6.1074918566775202E-3</v>
      </c>
      <c r="E13504" s="2">
        <v>5.0310246520207896E-4</v>
      </c>
      <c r="F13504" s="2">
        <v>3.4470349817231302E-3</v>
      </c>
    </row>
    <row r="13505" spans="1:6" x14ac:dyDescent="0.25">
      <c r="A13505" s="1" t="str">
        <f t="shared" si="507"/>
        <v>24780</v>
      </c>
      <c r="B13505" s="1" t="str">
        <f>"27817"</f>
        <v>27817</v>
      </c>
      <c r="C13505" s="2">
        <v>7.5866777937940894E-5</v>
      </c>
      <c r="D13505" s="2">
        <v>0</v>
      </c>
      <c r="E13505" s="2">
        <v>0</v>
      </c>
      <c r="F13505" s="2">
        <v>6.62891342639065E-5</v>
      </c>
    </row>
    <row r="13506" spans="1:6" x14ac:dyDescent="0.25">
      <c r="A13506" s="1" t="str">
        <f t="shared" si="507"/>
        <v>24780</v>
      </c>
      <c r="B13506" s="1" t="str">
        <f>"27889"</f>
        <v>27889</v>
      </c>
      <c r="C13506" s="2">
        <v>9.1040133525529098E-3</v>
      </c>
      <c r="D13506" s="2">
        <v>1.357220412595E-3</v>
      </c>
      <c r="E13506" s="2">
        <v>0</v>
      </c>
      <c r="F13506" s="2">
        <v>8.0493948749029293E-3</v>
      </c>
    </row>
    <row r="13507" spans="1:6" x14ac:dyDescent="0.25">
      <c r="A13507" s="1" t="str">
        <f t="shared" si="507"/>
        <v>24780</v>
      </c>
      <c r="B13507" s="1" t="str">
        <f>"27871"</f>
        <v>27871</v>
      </c>
      <c r="C13507" s="2">
        <v>2.6444991166939399E-3</v>
      </c>
      <c r="D13507" s="2">
        <v>9.5005428881650303E-4</v>
      </c>
      <c r="E13507" s="2">
        <v>0</v>
      </c>
      <c r="F13507" s="2">
        <v>2.3769389571772102E-3</v>
      </c>
    </row>
    <row r="13508" spans="1:6" x14ac:dyDescent="0.25">
      <c r="A13508" s="1" t="str">
        <f t="shared" si="507"/>
        <v>24780</v>
      </c>
      <c r="B13508" s="1" t="str">
        <f>"28513"</f>
        <v>28513</v>
      </c>
      <c r="C13508" s="2">
        <v>5.08740936629564E-2</v>
      </c>
      <c r="D13508" s="2">
        <v>3.9495114006514599E-2</v>
      </c>
      <c r="E13508" s="2">
        <v>2.0291799429817198E-2</v>
      </c>
      <c r="F13508" s="2">
        <v>4.8353188507358001E-2</v>
      </c>
    </row>
    <row r="13509" spans="1:6" x14ac:dyDescent="0.25">
      <c r="A13509" s="1" t="str">
        <f t="shared" si="507"/>
        <v>24780</v>
      </c>
      <c r="B13509" s="1" t="str">
        <f>"27834"</f>
        <v>27834</v>
      </c>
      <c r="C13509" s="2">
        <v>0.30791073731669999</v>
      </c>
      <c r="D13509" s="2">
        <v>0.337812160694896</v>
      </c>
      <c r="E13509" s="2">
        <v>0.41321482475264099</v>
      </c>
      <c r="F13509" s="2">
        <v>0.315943483778101</v>
      </c>
    </row>
    <row r="13510" spans="1:6" x14ac:dyDescent="0.25">
      <c r="A13510" s="1" t="str">
        <f t="shared" si="507"/>
        <v>24780</v>
      </c>
      <c r="B13510" s="1" t="str">
        <f>"27827"</f>
        <v>27827</v>
      </c>
      <c r="C13510" s="2">
        <v>0</v>
      </c>
      <c r="D13510" s="2">
        <v>1.3572204125950001E-4</v>
      </c>
      <c r="E13510" s="2">
        <v>0</v>
      </c>
      <c r="F13510" s="2">
        <v>9.4698763234152108E-6</v>
      </c>
    </row>
    <row r="13511" spans="1:6" x14ac:dyDescent="0.25">
      <c r="A13511" s="1" t="str">
        <f t="shared" si="507"/>
        <v>24780</v>
      </c>
      <c r="B13511" s="1" t="str">
        <f>"28586"</f>
        <v>28586</v>
      </c>
      <c r="C13511" s="2">
        <v>1.11632544680113E-3</v>
      </c>
      <c r="D13511" s="2">
        <v>2.7144408251900099E-4</v>
      </c>
      <c r="E13511" s="2">
        <v>0</v>
      </c>
      <c r="F13511" s="2">
        <v>9.9433701395859695E-4</v>
      </c>
    </row>
    <row r="13512" spans="1:6" x14ac:dyDescent="0.25">
      <c r="A13512" s="1" t="str">
        <f t="shared" si="507"/>
        <v>24780</v>
      </c>
      <c r="B13512" s="1" t="str">
        <f>"28590"</f>
        <v>28590</v>
      </c>
      <c r="C13512" s="2">
        <v>0.154128778436494</v>
      </c>
      <c r="D13512" s="2">
        <v>0.10409880564603601</v>
      </c>
      <c r="E13512" s="2">
        <v>8.9216837162502005E-2</v>
      </c>
      <c r="F13512" s="2">
        <v>0.14697248053940401</v>
      </c>
    </row>
    <row r="13513" spans="1:6" x14ac:dyDescent="0.25">
      <c r="A13513" s="1" t="str">
        <f t="shared" si="507"/>
        <v>24780</v>
      </c>
      <c r="B13513" s="1" t="str">
        <f>"27858"</f>
        <v>27858</v>
      </c>
      <c r="C13513" s="2">
        <v>0.32300822612635</v>
      </c>
      <c r="D13513" s="2">
        <v>0.288273615635179</v>
      </c>
      <c r="E13513" s="2">
        <v>0.44440717759517001</v>
      </c>
      <c r="F13513" s="2">
        <v>0.32743991363472702</v>
      </c>
    </row>
    <row r="13514" spans="1:6" x14ac:dyDescent="0.25">
      <c r="A13514" s="1" t="str">
        <f t="shared" si="507"/>
        <v>24780</v>
      </c>
      <c r="B13514" s="1" t="str">
        <f>"27833"</f>
        <v>27833</v>
      </c>
      <c r="C13514" s="2">
        <v>6.8171719032806902E-3</v>
      </c>
      <c r="D13514" s="2">
        <v>3.02660152008686E-2</v>
      </c>
      <c r="E13514" s="2">
        <v>1.67700821734026E-4</v>
      </c>
      <c r="F13514" s="2">
        <v>8.0778045038731698E-3</v>
      </c>
    </row>
    <row r="13515" spans="1:6" x14ac:dyDescent="0.25">
      <c r="A13515" s="1" t="str">
        <f t="shared" si="507"/>
        <v>24780</v>
      </c>
      <c r="B13515" s="1" t="str">
        <f>"27811"</f>
        <v>27811</v>
      </c>
      <c r="C13515" s="2">
        <v>0</v>
      </c>
      <c r="D13515" s="2">
        <v>1.3572204125950001E-4</v>
      </c>
      <c r="E13515" s="2">
        <v>0</v>
      </c>
      <c r="F13515" s="2">
        <v>9.4698763234152108E-6</v>
      </c>
    </row>
    <row r="13516" spans="1:6" x14ac:dyDescent="0.25">
      <c r="A13516" s="1" t="str">
        <f t="shared" si="507"/>
        <v>24780</v>
      </c>
      <c r="B13516" s="1" t="str">
        <f>"27852"</f>
        <v>27852</v>
      </c>
      <c r="C13516" s="2">
        <v>4.4219493426685503E-3</v>
      </c>
      <c r="D13516" s="2">
        <v>6.7861020629750204E-4</v>
      </c>
      <c r="E13516" s="2">
        <v>0</v>
      </c>
      <c r="F13516" s="2">
        <v>3.9110589215704799E-3</v>
      </c>
    </row>
    <row r="13517" spans="1:6" x14ac:dyDescent="0.25">
      <c r="A13517" s="1" t="str">
        <f t="shared" si="507"/>
        <v>24780</v>
      </c>
      <c r="B13517" s="1" t="str">
        <f>"27835"</f>
        <v>27835</v>
      </c>
      <c r="C13517" s="2">
        <v>1.6213814256451301E-2</v>
      </c>
      <c r="D13517" s="2">
        <v>7.68186753528773E-2</v>
      </c>
      <c r="E13517" s="2">
        <v>1.67700821734026E-4</v>
      </c>
      <c r="F13517" s="2">
        <v>1.9536354855205499E-2</v>
      </c>
    </row>
    <row r="13518" spans="1:6" x14ac:dyDescent="0.25">
      <c r="A13518" s="1" t="str">
        <f t="shared" si="507"/>
        <v>24780</v>
      </c>
      <c r="B13518" s="1" t="str">
        <f>"27888"</f>
        <v>27888</v>
      </c>
      <c r="C13518" s="2">
        <v>8.995632241213E-4</v>
      </c>
      <c r="D13518" s="2">
        <v>2.7144408251900099E-4</v>
      </c>
      <c r="E13518" s="2">
        <v>0</v>
      </c>
      <c r="F13518" s="2">
        <v>8.0493948749029299E-4</v>
      </c>
    </row>
    <row r="13519" spans="1:6" x14ac:dyDescent="0.25">
      <c r="A13519" s="1" t="str">
        <f t="shared" si="507"/>
        <v>24780</v>
      </c>
      <c r="B13519" s="1" t="str">
        <f>"28530"</f>
        <v>28530</v>
      </c>
      <c r="C13519" s="2">
        <v>1.7297625369850501E-2</v>
      </c>
      <c r="D13519" s="2">
        <v>6.3789359391965197E-3</v>
      </c>
      <c r="E13519" s="2">
        <v>3.5217172564145499E-3</v>
      </c>
      <c r="F13519" s="2">
        <v>1.5757874202162899E-2</v>
      </c>
    </row>
    <row r="13520" spans="1:6" x14ac:dyDescent="0.25">
      <c r="A13520" s="1" t="str">
        <f t="shared" si="507"/>
        <v>24780</v>
      </c>
      <c r="B13520" s="1" t="str">
        <f>"27829"</f>
        <v>27829</v>
      </c>
      <c r="C13520" s="2">
        <v>5.3215125667898499E-3</v>
      </c>
      <c r="D13520" s="2">
        <v>2.1715526601520001E-3</v>
      </c>
      <c r="E13520" s="2">
        <v>0</v>
      </c>
      <c r="F13520" s="2">
        <v>4.8012272959715102E-3</v>
      </c>
    </row>
    <row r="13521" spans="1:6" x14ac:dyDescent="0.25">
      <c r="A13521" s="1" t="str">
        <f t="shared" si="507"/>
        <v>24780</v>
      </c>
      <c r="B13521" s="1" t="str">
        <f>"27812"</f>
        <v>27812</v>
      </c>
      <c r="C13521" s="2">
        <v>7.6733826828660296E-3</v>
      </c>
      <c r="D13521" s="2">
        <v>4.8859934853420096E-3</v>
      </c>
      <c r="E13521" s="2">
        <v>3.5217172564145499E-3</v>
      </c>
      <c r="F13521" s="2">
        <v>7.2444553874126396E-3</v>
      </c>
    </row>
    <row r="13522" spans="1:6" x14ac:dyDescent="0.25">
      <c r="A13522" s="1" t="str">
        <f t="shared" ref="A13522:A13545" si="508">"24820"</f>
        <v>24820</v>
      </c>
      <c r="B13522" s="1" t="str">
        <f>"45383"</f>
        <v>45383</v>
      </c>
      <c r="C13522" s="2">
        <v>3.0310903264917202E-4</v>
      </c>
      <c r="D13522" s="2">
        <v>0</v>
      </c>
      <c r="E13522" s="2">
        <v>0</v>
      </c>
      <c r="F13522" s="2">
        <v>2.7869570410478899E-4</v>
      </c>
    </row>
    <row r="13523" spans="1:6" x14ac:dyDescent="0.25">
      <c r="A13523" s="1" t="str">
        <f t="shared" si="508"/>
        <v>24820</v>
      </c>
      <c r="B13523" s="1" t="str">
        <f>"45308"</f>
        <v>45308</v>
      </c>
      <c r="C13523" s="2">
        <v>4.9969689096735E-2</v>
      </c>
      <c r="D13523" s="2">
        <v>2.98804780876494E-2</v>
      </c>
      <c r="E13523" s="2">
        <v>1.5473887814313299E-2</v>
      </c>
      <c r="F13523" s="2">
        <v>4.8055102122068698E-2</v>
      </c>
    </row>
    <row r="13524" spans="1:6" x14ac:dyDescent="0.25">
      <c r="A13524" s="1" t="str">
        <f t="shared" si="508"/>
        <v>24820</v>
      </c>
      <c r="B13524" s="1" t="str">
        <f>"45346"</f>
        <v>45346</v>
      </c>
      <c r="C13524" s="2">
        <v>4.15692387633151E-2</v>
      </c>
      <c r="D13524" s="2">
        <v>9.2961487383798093E-3</v>
      </c>
      <c r="E13524" s="2">
        <v>2.1276595744680799E-2</v>
      </c>
      <c r="F13524" s="2">
        <v>3.92164669347453E-2</v>
      </c>
    </row>
    <row r="13525" spans="1:6" x14ac:dyDescent="0.25">
      <c r="A13525" s="1" t="str">
        <f t="shared" si="508"/>
        <v>24820</v>
      </c>
      <c r="B13525" s="1" t="str">
        <f>"45328"</f>
        <v>45328</v>
      </c>
      <c r="C13525" s="2">
        <v>2.2949683900580198E-3</v>
      </c>
      <c r="D13525" s="2">
        <v>1.3280212483399701E-3</v>
      </c>
      <c r="E13525" s="2">
        <v>0</v>
      </c>
      <c r="F13525" s="2">
        <v>2.1897519608233399E-3</v>
      </c>
    </row>
    <row r="13526" spans="1:6" x14ac:dyDescent="0.25">
      <c r="A13526" s="1" t="str">
        <f t="shared" si="508"/>
        <v>24820</v>
      </c>
      <c r="B13526" s="1" t="str">
        <f>"45362"</f>
        <v>45362</v>
      </c>
      <c r="C13526" s="2">
        <v>1.8619554862734901E-2</v>
      </c>
      <c r="D13526" s="2">
        <v>5.3120849933598899E-3</v>
      </c>
      <c r="E13526" s="2">
        <v>0</v>
      </c>
      <c r="F13526" s="2">
        <v>1.7438388342556801E-2</v>
      </c>
    </row>
    <row r="13527" spans="1:6" x14ac:dyDescent="0.25">
      <c r="A13527" s="1" t="str">
        <f t="shared" si="508"/>
        <v>24820</v>
      </c>
      <c r="B13527" s="1" t="str">
        <f>"45388"</f>
        <v>45388</v>
      </c>
      <c r="C13527" s="2">
        <v>1.02624058196934E-2</v>
      </c>
      <c r="D13527" s="2">
        <v>4.6480743691899003E-3</v>
      </c>
      <c r="E13527" s="2">
        <v>3.8684719535783301E-3</v>
      </c>
      <c r="F13527" s="2">
        <v>9.7941633156825997E-3</v>
      </c>
    </row>
    <row r="13528" spans="1:6" x14ac:dyDescent="0.25">
      <c r="A13528" s="1" t="str">
        <f t="shared" si="508"/>
        <v>24820</v>
      </c>
      <c r="B13528" s="1" t="str">
        <f>"45352"</f>
        <v>45352</v>
      </c>
      <c r="C13528" s="2">
        <v>4.0703212955746004E-3</v>
      </c>
      <c r="D13528" s="2">
        <v>0</v>
      </c>
      <c r="E13528" s="2">
        <v>1.9342359767891601E-3</v>
      </c>
      <c r="F13528" s="2">
        <v>3.7822988414221402E-3</v>
      </c>
    </row>
    <row r="13529" spans="1:6" x14ac:dyDescent="0.25">
      <c r="A13529" s="1" t="str">
        <f t="shared" si="508"/>
        <v>24820</v>
      </c>
      <c r="B13529" s="1" t="str">
        <f>"45337"</f>
        <v>45337</v>
      </c>
      <c r="C13529" s="2">
        <v>4.9363471031436696E-3</v>
      </c>
      <c r="D13529" s="2">
        <v>0</v>
      </c>
      <c r="E13529" s="2">
        <v>0</v>
      </c>
      <c r="F13529" s="2">
        <v>4.5387586097065703E-3</v>
      </c>
    </row>
    <row r="13530" spans="1:6" x14ac:dyDescent="0.25">
      <c r="A13530" s="1" t="str">
        <f t="shared" si="508"/>
        <v>24820</v>
      </c>
      <c r="B13530" s="1" t="str">
        <f>"45382"</f>
        <v>45382</v>
      </c>
      <c r="C13530" s="2">
        <v>3.5940071014116202E-3</v>
      </c>
      <c r="D13530" s="2">
        <v>6.6401062416998602E-4</v>
      </c>
      <c r="E13530" s="2">
        <v>0</v>
      </c>
      <c r="F13530" s="2">
        <v>3.3443484492574698E-3</v>
      </c>
    </row>
    <row r="13531" spans="1:6" x14ac:dyDescent="0.25">
      <c r="A13531" s="1" t="str">
        <f t="shared" si="508"/>
        <v>24820</v>
      </c>
      <c r="B13531" s="1" t="str">
        <f>"45318"</f>
        <v>45318</v>
      </c>
      <c r="C13531" s="2">
        <v>1.7320516151381299E-4</v>
      </c>
      <c r="D13531" s="2">
        <v>0</v>
      </c>
      <c r="E13531" s="2">
        <v>0</v>
      </c>
      <c r="F13531" s="2">
        <v>1.5925468805987899E-4</v>
      </c>
    </row>
    <row r="13532" spans="1:6" x14ac:dyDescent="0.25">
      <c r="A13532" s="1" t="str">
        <f t="shared" si="508"/>
        <v>24820</v>
      </c>
      <c r="B13532" s="1" t="str">
        <f>"45351"</f>
        <v>45351</v>
      </c>
      <c r="C13532" s="2">
        <v>2.771282584221E-3</v>
      </c>
      <c r="D13532" s="2">
        <v>6.6401062416998602E-4</v>
      </c>
      <c r="E13532" s="2">
        <v>0</v>
      </c>
      <c r="F13532" s="2">
        <v>2.5878886809730401E-3</v>
      </c>
    </row>
    <row r="13533" spans="1:6" x14ac:dyDescent="0.25">
      <c r="A13533" s="1" t="str">
        <f t="shared" si="508"/>
        <v>24820</v>
      </c>
      <c r="B13533" s="1" t="str">
        <f>"45348"</f>
        <v>45348</v>
      </c>
      <c r="C13533" s="2">
        <v>1.49822464709448E-2</v>
      </c>
      <c r="D13533" s="2">
        <v>1.12881806108897E-2</v>
      </c>
      <c r="E13533" s="2">
        <v>0</v>
      </c>
      <c r="F13533" s="2">
        <v>1.4452362941434E-2</v>
      </c>
    </row>
    <row r="13534" spans="1:6" x14ac:dyDescent="0.25">
      <c r="A13534" s="1" t="str">
        <f t="shared" si="508"/>
        <v>24820</v>
      </c>
      <c r="B13534" s="1" t="str">
        <f>"45380"</f>
        <v>45380</v>
      </c>
      <c r="C13534" s="2">
        <v>9.7297999480384506E-2</v>
      </c>
      <c r="D13534" s="2">
        <v>0.144754316069057</v>
      </c>
      <c r="E13534" s="2">
        <v>0.100580270793036</v>
      </c>
      <c r="F13534" s="2">
        <v>0.100211012461679</v>
      </c>
    </row>
    <row r="13535" spans="1:6" x14ac:dyDescent="0.25">
      <c r="A13535" s="1" t="str">
        <f t="shared" si="508"/>
        <v>24820</v>
      </c>
      <c r="B13535" s="1" t="str">
        <f>"45883"</f>
        <v>45883</v>
      </c>
      <c r="C13535" s="2">
        <v>8.6602580756906495E-5</v>
      </c>
      <c r="D13535" s="2">
        <v>0</v>
      </c>
      <c r="E13535" s="2">
        <v>0</v>
      </c>
      <c r="F13535" s="2">
        <v>7.9627344029939805E-5</v>
      </c>
    </row>
    <row r="13536" spans="1:6" x14ac:dyDescent="0.25">
      <c r="A13536" s="1" t="str">
        <f t="shared" si="508"/>
        <v>24820</v>
      </c>
      <c r="B13536" s="1" t="str">
        <f>"45304"</f>
        <v>45304</v>
      </c>
      <c r="C13536" s="2">
        <v>0.13497012210963799</v>
      </c>
      <c r="D13536" s="2">
        <v>8.6321381142098197E-2</v>
      </c>
      <c r="E13536" s="2">
        <v>0.117988394584139</v>
      </c>
      <c r="F13536" s="2">
        <v>0.13170362702551999</v>
      </c>
    </row>
    <row r="13537" spans="1:6" x14ac:dyDescent="0.25">
      <c r="A13537" s="1" t="str">
        <f t="shared" si="508"/>
        <v>24820</v>
      </c>
      <c r="B13537" s="1" t="str">
        <f>"45390"</f>
        <v>45390</v>
      </c>
      <c r="C13537" s="2">
        <v>6.5211743309950596E-2</v>
      </c>
      <c r="D13537" s="2">
        <v>4.1168658698539098E-2</v>
      </c>
      <c r="E13537" s="2">
        <v>4.6421663442939999E-2</v>
      </c>
      <c r="F13537" s="2">
        <v>6.3383365847832093E-2</v>
      </c>
    </row>
    <row r="13538" spans="1:6" x14ac:dyDescent="0.25">
      <c r="A13538" s="1" t="str">
        <f t="shared" si="508"/>
        <v>24820</v>
      </c>
      <c r="B13538" s="1" t="str">
        <f>"45331"</f>
        <v>45331</v>
      </c>
      <c r="C13538" s="2">
        <v>0.47791634190698801</v>
      </c>
      <c r="D13538" s="2">
        <v>0.63944223107569698</v>
      </c>
      <c r="E13538" s="2">
        <v>0.680851063829787</v>
      </c>
      <c r="F13538" s="2">
        <v>0.49177847672890801</v>
      </c>
    </row>
    <row r="13539" spans="1:6" x14ac:dyDescent="0.25">
      <c r="A13539" s="1" t="str">
        <f t="shared" si="508"/>
        <v>24820</v>
      </c>
      <c r="B13539" s="1" t="str">
        <f>"45845"</f>
        <v>45845</v>
      </c>
      <c r="C13539" s="2">
        <v>1.29903871135359E-4</v>
      </c>
      <c r="D13539" s="2">
        <v>0</v>
      </c>
      <c r="E13539" s="2">
        <v>0</v>
      </c>
      <c r="F13539" s="2">
        <v>1.19441016044909E-4</v>
      </c>
    </row>
    <row r="13540" spans="1:6" x14ac:dyDescent="0.25">
      <c r="A13540" s="1" t="str">
        <f t="shared" si="508"/>
        <v>24820</v>
      </c>
      <c r="B13540" s="1" t="str">
        <f>"45347"</f>
        <v>45347</v>
      </c>
      <c r="C13540" s="2">
        <v>1.0868623884991701E-2</v>
      </c>
      <c r="D13540" s="2">
        <v>3.3200531208499302E-3</v>
      </c>
      <c r="E13540" s="2">
        <v>0</v>
      </c>
      <c r="F13540" s="2">
        <v>1.01923000358323E-2</v>
      </c>
    </row>
    <row r="13541" spans="1:6" x14ac:dyDescent="0.25">
      <c r="A13541" s="1" t="str">
        <f t="shared" si="508"/>
        <v>24820</v>
      </c>
      <c r="B13541" s="1" t="str">
        <f>"45846"</f>
        <v>45846</v>
      </c>
      <c r="C13541" s="2">
        <v>5.3260587165497499E-3</v>
      </c>
      <c r="D13541" s="2">
        <v>2.6560424966799402E-3</v>
      </c>
      <c r="E13541" s="2">
        <v>0</v>
      </c>
      <c r="F13541" s="2">
        <v>5.0563363459011799E-3</v>
      </c>
    </row>
    <row r="13542" spans="1:6" x14ac:dyDescent="0.25">
      <c r="A13542" s="1" t="str">
        <f t="shared" si="508"/>
        <v>24820</v>
      </c>
      <c r="B13542" s="1" t="str">
        <f>"45332"</f>
        <v>45332</v>
      </c>
      <c r="C13542" s="2">
        <v>9.3097774313674504E-3</v>
      </c>
      <c r="D13542" s="2">
        <v>3.9840637450199202E-3</v>
      </c>
      <c r="E13542" s="2">
        <v>0</v>
      </c>
      <c r="F13542" s="2">
        <v>8.7988215153083499E-3</v>
      </c>
    </row>
    <row r="13543" spans="1:6" x14ac:dyDescent="0.25">
      <c r="A13543" s="1" t="str">
        <f t="shared" si="508"/>
        <v>24820</v>
      </c>
      <c r="B13543" s="1" t="str">
        <f>"45358"</f>
        <v>45358</v>
      </c>
      <c r="C13543" s="2">
        <v>5.7157703299558302E-3</v>
      </c>
      <c r="D13543" s="2">
        <v>6.6401062416998602E-4</v>
      </c>
      <c r="E13543" s="2">
        <v>7.7369439071566697E-3</v>
      </c>
      <c r="F13543" s="2">
        <v>5.4544730660508797E-3</v>
      </c>
    </row>
    <row r="13544" spans="1:6" x14ac:dyDescent="0.25">
      <c r="A13544" s="1" t="str">
        <f t="shared" si="508"/>
        <v>24820</v>
      </c>
      <c r="B13544" s="1" t="str">
        <f>"45303"</f>
        <v>45303</v>
      </c>
      <c r="C13544" s="2">
        <v>3.95773794059062E-2</v>
      </c>
      <c r="D13544" s="2">
        <v>1.39442231075697E-2</v>
      </c>
      <c r="E13544" s="2">
        <v>3.8684719535783301E-3</v>
      </c>
      <c r="F13544" s="2">
        <v>3.7305410678026799E-2</v>
      </c>
    </row>
    <row r="13545" spans="1:6" x14ac:dyDescent="0.25">
      <c r="A13545" s="1" t="str">
        <f t="shared" si="508"/>
        <v>24820</v>
      </c>
      <c r="B13545" s="1" t="str">
        <f>"45350"</f>
        <v>45350</v>
      </c>
      <c r="C13545" s="2">
        <v>4.33012903784532E-5</v>
      </c>
      <c r="D13545" s="2">
        <v>6.6401062416998602E-4</v>
      </c>
      <c r="E13545" s="2">
        <v>0</v>
      </c>
      <c r="F13545" s="2">
        <v>7.9627344029939805E-5</v>
      </c>
    </row>
    <row r="13546" spans="1:6" x14ac:dyDescent="0.25">
      <c r="A13546" s="1" t="str">
        <f t="shared" ref="A13546:A13577" si="509">"24860"</f>
        <v>24860</v>
      </c>
      <c r="B13546" s="1" t="str">
        <f>"29601"</f>
        <v>29601</v>
      </c>
      <c r="C13546" s="2">
        <v>1.96460907686964E-2</v>
      </c>
      <c r="D13546" s="2">
        <v>6.0485080654466498E-2</v>
      </c>
      <c r="E13546" s="2">
        <v>8.6673104780299298E-2</v>
      </c>
      <c r="F13546" s="2">
        <v>2.4209980801620599E-2</v>
      </c>
    </row>
    <row r="13547" spans="1:6" x14ac:dyDescent="0.25">
      <c r="A13547" s="1" t="str">
        <f t="shared" si="509"/>
        <v>24860</v>
      </c>
      <c r="B13547" s="1" t="str">
        <f>"29662"</f>
        <v>29662</v>
      </c>
      <c r="C13547" s="2">
        <v>1.5902105936859E-2</v>
      </c>
      <c r="D13547" s="2">
        <v>2.35847968061292E-2</v>
      </c>
      <c r="E13547" s="2">
        <v>1.8227909222597701E-2</v>
      </c>
      <c r="F13547" s="2">
        <v>1.6593445853896001E-2</v>
      </c>
    </row>
    <row r="13548" spans="1:6" x14ac:dyDescent="0.25">
      <c r="A13548" s="1" t="str">
        <f t="shared" si="509"/>
        <v>24860</v>
      </c>
      <c r="B13548" s="1" t="str">
        <f>"29617"</f>
        <v>29617</v>
      </c>
      <c r="C13548" s="2">
        <v>2.7675780524725802E-2</v>
      </c>
      <c r="D13548" s="2">
        <v>1.1838552604250799E-2</v>
      </c>
      <c r="E13548" s="2">
        <v>2.4746499275712201E-2</v>
      </c>
      <c r="F13548" s="2">
        <v>2.6280971618592101E-2</v>
      </c>
    </row>
    <row r="13549" spans="1:6" x14ac:dyDescent="0.25">
      <c r="A13549" s="1" t="str">
        <f t="shared" si="509"/>
        <v>24860</v>
      </c>
      <c r="B13549" s="1" t="str">
        <f>"29609"</f>
        <v>29609</v>
      </c>
      <c r="C13549" s="2">
        <v>3.3289573417270797E-2</v>
      </c>
      <c r="D13549" s="2">
        <v>4.1954168878222099E-2</v>
      </c>
      <c r="E13549" s="2">
        <v>5.28730082085948E-2</v>
      </c>
      <c r="F13549" s="2">
        <v>3.4345076145719203E-2</v>
      </c>
    </row>
    <row r="13550" spans="1:6" x14ac:dyDescent="0.25">
      <c r="A13550" s="1" t="str">
        <f t="shared" si="509"/>
        <v>24860</v>
      </c>
      <c r="B13550" s="1" t="str">
        <f>"29692"</f>
        <v>29692</v>
      </c>
      <c r="C13550" s="2">
        <v>2.4246342843287799E-3</v>
      </c>
      <c r="D13550" s="2">
        <v>5.5385041423395502E-4</v>
      </c>
      <c r="E13550" s="2">
        <v>4.82858522452921E-4</v>
      </c>
      <c r="F13550" s="2">
        <v>2.2339218480697501E-3</v>
      </c>
    </row>
    <row r="13551" spans="1:6" x14ac:dyDescent="0.25">
      <c r="A13551" s="1" t="str">
        <f t="shared" si="509"/>
        <v>24860</v>
      </c>
      <c r="B13551" s="1" t="str">
        <f>"29322"</f>
        <v>29322</v>
      </c>
      <c r="C13551" s="2">
        <v>1.9003890336630899E-4</v>
      </c>
      <c r="D13551" s="2">
        <v>1.15385502965407E-4</v>
      </c>
      <c r="E13551" s="2">
        <v>0</v>
      </c>
      <c r="F13551" s="2">
        <v>1.8059825133780099E-4</v>
      </c>
    </row>
    <row r="13552" spans="1:6" x14ac:dyDescent="0.25">
      <c r="A13552" s="1" t="str">
        <f t="shared" si="509"/>
        <v>24860</v>
      </c>
      <c r="B13552" s="1" t="str">
        <f>"29178"</f>
        <v>29178</v>
      </c>
      <c r="C13552" s="2">
        <v>1.13586470977564E-4</v>
      </c>
      <c r="D13552" s="2">
        <v>4.6154201186162902E-5</v>
      </c>
      <c r="E13552" s="2">
        <v>0</v>
      </c>
      <c r="F13552" s="2">
        <v>1.0600332143740499E-4</v>
      </c>
    </row>
    <row r="13553" spans="1:6" x14ac:dyDescent="0.25">
      <c r="A13553" s="1" t="str">
        <f t="shared" si="509"/>
        <v>24860</v>
      </c>
      <c r="B13553" s="1" t="str">
        <f>"29603"</f>
        <v>29603</v>
      </c>
      <c r="C13553" s="2">
        <v>4.5871459433247097E-5</v>
      </c>
      <c r="D13553" s="2">
        <v>2.1923245563427399E-3</v>
      </c>
      <c r="E13553" s="2">
        <v>2.4142926122645999E-4</v>
      </c>
      <c r="F13553" s="2">
        <v>2.3163688758544E-4</v>
      </c>
    </row>
    <row r="13554" spans="1:6" x14ac:dyDescent="0.25">
      <c r="A13554" s="1" t="str">
        <f t="shared" si="509"/>
        <v>24860</v>
      </c>
      <c r="B13554" s="1" t="str">
        <f>"29616"</f>
        <v>29616</v>
      </c>
      <c r="C13554" s="2">
        <v>1.9549979139407698E-3</v>
      </c>
      <c r="D13554" s="2">
        <v>1.6061662012784701E-2</v>
      </c>
      <c r="E13554" s="2">
        <v>1.2071463061322999E-4</v>
      </c>
      <c r="F13554" s="2">
        <v>3.12513495793238E-3</v>
      </c>
    </row>
    <row r="13555" spans="1:6" x14ac:dyDescent="0.25">
      <c r="A13555" s="1" t="str">
        <f t="shared" si="509"/>
        <v>24860</v>
      </c>
      <c r="B13555" s="1" t="str">
        <f>"29355"</f>
        <v>29355</v>
      </c>
      <c r="C13555" s="2">
        <v>5.0677040897682596E-4</v>
      </c>
      <c r="D13555" s="2">
        <v>2.7692520711697702E-4</v>
      </c>
      <c r="E13555" s="2">
        <v>0</v>
      </c>
      <c r="F13555" s="2">
        <v>4.78977970939385E-4</v>
      </c>
    </row>
    <row r="13556" spans="1:6" x14ac:dyDescent="0.25">
      <c r="A13556" s="1" t="str">
        <f t="shared" si="509"/>
        <v>24860</v>
      </c>
      <c r="B13556" s="1" t="str">
        <f>"29680"</f>
        <v>29680</v>
      </c>
      <c r="C13556" s="2">
        <v>3.37089696178033E-2</v>
      </c>
      <c r="D13556" s="2">
        <v>1.5300117693212999E-2</v>
      </c>
      <c r="E13556" s="2">
        <v>6.76001931434089E-3</v>
      </c>
      <c r="F13556" s="2">
        <v>3.1704808232139399E-2</v>
      </c>
    </row>
    <row r="13557" spans="1:6" x14ac:dyDescent="0.25">
      <c r="A13557" s="1" t="str">
        <f t="shared" si="509"/>
        <v>24860</v>
      </c>
      <c r="B13557" s="1" t="str">
        <f>"29669"</f>
        <v>29669</v>
      </c>
      <c r="C13557" s="2">
        <v>1.4117487729384599E-2</v>
      </c>
      <c r="D13557" s="2">
        <v>7.2231324856344998E-3</v>
      </c>
      <c r="E13557" s="2">
        <v>6.5185900531144298E-3</v>
      </c>
      <c r="F13557" s="2">
        <v>1.34074571373606E-2</v>
      </c>
    </row>
    <row r="13558" spans="1:6" x14ac:dyDescent="0.25">
      <c r="A13558" s="1" t="str">
        <f t="shared" si="509"/>
        <v>24860</v>
      </c>
      <c r="B13558" s="1" t="str">
        <f>"29625"</f>
        <v>29625</v>
      </c>
      <c r="C13558" s="2">
        <v>3.1773630900762503E-2</v>
      </c>
      <c r="D13558" s="2">
        <v>2.3700182309094601E-2</v>
      </c>
      <c r="E13558" s="2">
        <v>2.5229357798165101E-2</v>
      </c>
      <c r="F13558" s="2">
        <v>3.0980452202317099E-2</v>
      </c>
    </row>
    <row r="13559" spans="1:6" x14ac:dyDescent="0.25">
      <c r="A13559" s="1" t="str">
        <f t="shared" si="509"/>
        <v>24860</v>
      </c>
      <c r="B13559" s="1" t="str">
        <f>"29684"</f>
        <v>29684</v>
      </c>
      <c r="C13559" s="2">
        <v>5.0961007075126501E-3</v>
      </c>
      <c r="D13559" s="2">
        <v>1.38462603558488E-3</v>
      </c>
      <c r="E13559" s="2">
        <v>2.4142926122645999E-4</v>
      </c>
      <c r="F13559" s="2">
        <v>4.7014436081960096E-3</v>
      </c>
    </row>
    <row r="13560" spans="1:6" x14ac:dyDescent="0.25">
      <c r="A13560" s="1" t="str">
        <f t="shared" si="509"/>
        <v>24860</v>
      </c>
      <c r="B13560" s="1" t="str">
        <f>"29689"</f>
        <v>29689</v>
      </c>
      <c r="C13560" s="2">
        <v>5.5286030393118402E-3</v>
      </c>
      <c r="D13560" s="2">
        <v>1.2923176332125599E-3</v>
      </c>
      <c r="E13560" s="2">
        <v>6.0357315306615105E-4</v>
      </c>
      <c r="F13560" s="2">
        <v>5.08815942899544E-3</v>
      </c>
    </row>
    <row r="13561" spans="1:6" x14ac:dyDescent="0.25">
      <c r="A13561" s="1" t="str">
        <f t="shared" si="509"/>
        <v>24860</v>
      </c>
      <c r="B13561" s="1" t="str">
        <f>"29370"</f>
        <v>29370</v>
      </c>
      <c r="C13561" s="2">
        <v>1.11402115766457E-3</v>
      </c>
      <c r="D13561" s="2">
        <v>1.6153970415156999E-4</v>
      </c>
      <c r="E13561" s="2">
        <v>0</v>
      </c>
      <c r="F13561" s="2">
        <v>1.0148836515395999E-3</v>
      </c>
    </row>
    <row r="13562" spans="1:6" x14ac:dyDescent="0.25">
      <c r="A13562" s="1" t="str">
        <f t="shared" si="509"/>
        <v>24860</v>
      </c>
      <c r="B13562" s="1" t="str">
        <f>"29681"</f>
        <v>29681</v>
      </c>
      <c r="C13562" s="2">
        <v>5.7736876939980399E-2</v>
      </c>
      <c r="D13562" s="2">
        <v>3.3992569173609002E-2</v>
      </c>
      <c r="E13562" s="2">
        <v>2.04007725736359E-2</v>
      </c>
      <c r="F13562" s="2">
        <v>5.51099490006242E-2</v>
      </c>
    </row>
    <row r="13563" spans="1:6" x14ac:dyDescent="0.25">
      <c r="A13563" s="1" t="str">
        <f t="shared" si="509"/>
        <v>24860</v>
      </c>
      <c r="B13563" s="1" t="str">
        <f>"29621"</f>
        <v>29621</v>
      </c>
      <c r="C13563" s="2">
        <v>4.3905539743250802E-2</v>
      </c>
      <c r="D13563" s="2">
        <v>4.85542196478434E-2</v>
      </c>
      <c r="E13563" s="2">
        <v>5.6494447126991698E-2</v>
      </c>
      <c r="F13563" s="2">
        <v>4.4505690807941603E-2</v>
      </c>
    </row>
    <row r="13564" spans="1:6" x14ac:dyDescent="0.25">
      <c r="A13564" s="1" t="str">
        <f t="shared" si="509"/>
        <v>24860</v>
      </c>
      <c r="B13564" s="1" t="str">
        <f>"29611"</f>
        <v>29611</v>
      </c>
      <c r="C13564" s="2">
        <v>3.2273848244106E-2</v>
      </c>
      <c r="D13564" s="2">
        <v>3.3738721067085101E-2</v>
      </c>
      <c r="E13564" s="2">
        <v>4.6112988894253901E-2</v>
      </c>
      <c r="F13564" s="2">
        <v>3.2623503684596898E-2</v>
      </c>
    </row>
    <row r="13565" spans="1:6" x14ac:dyDescent="0.25">
      <c r="A13565" s="1" t="str">
        <f t="shared" si="509"/>
        <v>24860</v>
      </c>
      <c r="B13565" s="1" t="str">
        <f>"29606"</f>
        <v>29606</v>
      </c>
      <c r="C13565" s="2">
        <v>3.3573539594714701E-3</v>
      </c>
      <c r="D13565" s="2">
        <v>1.5738582604481501E-2</v>
      </c>
      <c r="E13565" s="2">
        <v>1.2071463061322999E-4</v>
      </c>
      <c r="F13565" s="2">
        <v>4.3579143257599798E-3</v>
      </c>
    </row>
    <row r="13566" spans="1:6" x14ac:dyDescent="0.25">
      <c r="A13566" s="1" t="str">
        <f t="shared" si="509"/>
        <v>24860</v>
      </c>
      <c r="B13566" s="1" t="str">
        <f>"29690"</f>
        <v>29690</v>
      </c>
      <c r="C13566" s="2">
        <v>2.6210078178072999E-2</v>
      </c>
      <c r="D13566" s="2">
        <v>2.2777098285371399E-2</v>
      </c>
      <c r="E13566" s="2">
        <v>1.44857556735876E-2</v>
      </c>
      <c r="F13566" s="2">
        <v>2.5727398717752401E-2</v>
      </c>
    </row>
    <row r="13567" spans="1:6" x14ac:dyDescent="0.25">
      <c r="A13567" s="1" t="str">
        <f t="shared" si="509"/>
        <v>24860</v>
      </c>
      <c r="B13567" s="1" t="str">
        <f>"29634"</f>
        <v>29634</v>
      </c>
      <c r="C13567" s="2">
        <v>0</v>
      </c>
      <c r="D13567" s="2">
        <v>4.6154201186162902E-5</v>
      </c>
      <c r="E13567" s="2">
        <v>0</v>
      </c>
      <c r="F13567" s="2">
        <v>3.9260489421261097E-6</v>
      </c>
    </row>
    <row r="13568" spans="1:6" x14ac:dyDescent="0.25">
      <c r="A13568" s="1" t="str">
        <f t="shared" si="509"/>
        <v>24860</v>
      </c>
      <c r="B13568" s="1" t="str">
        <f>"29677"</f>
        <v>29677</v>
      </c>
      <c r="C13568" s="2">
        <v>0</v>
      </c>
      <c r="D13568" s="2">
        <v>2.30771005930814E-5</v>
      </c>
      <c r="E13568" s="2">
        <v>0</v>
      </c>
      <c r="F13568" s="2">
        <v>1.9630244710630502E-6</v>
      </c>
    </row>
    <row r="13569" spans="1:6" x14ac:dyDescent="0.25">
      <c r="A13569" s="1" t="str">
        <f t="shared" si="509"/>
        <v>24860</v>
      </c>
      <c r="B13569" s="1" t="str">
        <f>"29623"</f>
        <v>29623</v>
      </c>
      <c r="C13569" s="2">
        <v>1.21450149737549E-3</v>
      </c>
      <c r="D13569" s="2">
        <v>3.4384879883691401E-3</v>
      </c>
      <c r="E13569" s="2">
        <v>3.6214389183968998E-4</v>
      </c>
      <c r="F13569" s="2">
        <v>1.3898213255126399E-3</v>
      </c>
    </row>
    <row r="13570" spans="1:6" x14ac:dyDescent="0.25">
      <c r="A13570" s="1" t="str">
        <f t="shared" si="509"/>
        <v>24860</v>
      </c>
      <c r="B13570" s="1" t="str">
        <f>"29037"</f>
        <v>29037</v>
      </c>
      <c r="C13570" s="2">
        <v>3.9318393799926098E-5</v>
      </c>
      <c r="D13570" s="2">
        <v>0</v>
      </c>
      <c r="E13570" s="2">
        <v>0</v>
      </c>
      <c r="F13570" s="2">
        <v>3.5334440479135003E-5</v>
      </c>
    </row>
    <row r="13571" spans="1:6" x14ac:dyDescent="0.25">
      <c r="A13571" s="1" t="str">
        <f t="shared" si="509"/>
        <v>24860</v>
      </c>
      <c r="B13571" s="1" t="str">
        <f>"29614"</f>
        <v>29614</v>
      </c>
      <c r="C13571" s="2">
        <v>2.1843552111069998E-6</v>
      </c>
      <c r="D13571" s="2">
        <v>4.6154201186162902E-5</v>
      </c>
      <c r="E13571" s="2">
        <v>0</v>
      </c>
      <c r="F13571" s="2">
        <v>5.8890734131891603E-6</v>
      </c>
    </row>
    <row r="13572" spans="1:6" x14ac:dyDescent="0.25">
      <c r="A13572" s="1" t="str">
        <f t="shared" si="509"/>
        <v>24860</v>
      </c>
      <c r="B13572" s="1" t="str">
        <f>"29636"</f>
        <v>29636</v>
      </c>
      <c r="C13572" s="2">
        <v>6.9462495713202795E-4</v>
      </c>
      <c r="D13572" s="2">
        <v>8.3077562135093301E-4</v>
      </c>
      <c r="E13572" s="2">
        <v>1.2071463061322999E-4</v>
      </c>
      <c r="F13572" s="2">
        <v>6.9687368722738403E-4</v>
      </c>
    </row>
    <row r="13573" spans="1:6" x14ac:dyDescent="0.25">
      <c r="A13573" s="1" t="str">
        <f t="shared" si="509"/>
        <v>24860</v>
      </c>
      <c r="B13573" s="1" t="str">
        <f>"29351"</f>
        <v>29351</v>
      </c>
      <c r="C13573" s="2">
        <v>1.7671433657855699E-3</v>
      </c>
      <c r="D13573" s="2">
        <v>1.7307825444811101E-3</v>
      </c>
      <c r="E13573" s="2">
        <v>2.7764365041042902E-3</v>
      </c>
      <c r="F13573" s="2">
        <v>1.7804631952541899E-3</v>
      </c>
    </row>
    <row r="13574" spans="1:6" x14ac:dyDescent="0.25">
      <c r="A13574" s="1" t="str">
        <f t="shared" si="509"/>
        <v>24860</v>
      </c>
      <c r="B13574" s="1" t="str">
        <f>"29605"</f>
        <v>29605</v>
      </c>
      <c r="C13574" s="2">
        <v>3.6880653384330699E-2</v>
      </c>
      <c r="D13574" s="2">
        <v>3.6069508226986298E-2</v>
      </c>
      <c r="E13574" s="2">
        <v>3.7783679381941E-2</v>
      </c>
      <c r="F13574" s="2">
        <v>3.6826339077142903E-2</v>
      </c>
    </row>
    <row r="13575" spans="1:6" x14ac:dyDescent="0.25">
      <c r="A13575" s="1" t="str">
        <f t="shared" si="509"/>
        <v>24860</v>
      </c>
      <c r="B13575" s="1" t="str">
        <f>"29652"</f>
        <v>29652</v>
      </c>
      <c r="C13575" s="2">
        <v>3.2000803842717599E-3</v>
      </c>
      <c r="D13575" s="2">
        <v>1.1746244201878401E-2</v>
      </c>
      <c r="E13575" s="2">
        <v>1.2071463061322999E-4</v>
      </c>
      <c r="F13575" s="2">
        <v>3.87697333034953E-3</v>
      </c>
    </row>
    <row r="13576" spans="1:6" x14ac:dyDescent="0.25">
      <c r="A13576" s="1" t="str">
        <f t="shared" si="509"/>
        <v>24860</v>
      </c>
      <c r="B13576" s="1" t="str">
        <f>"29604"</f>
        <v>29604</v>
      </c>
      <c r="C13576" s="2">
        <v>2.0467408328072598E-3</v>
      </c>
      <c r="D13576" s="2">
        <v>1.15385502965407E-2</v>
      </c>
      <c r="E13576" s="2">
        <v>1.2071463061322999E-4</v>
      </c>
      <c r="F13576" s="2">
        <v>2.8228291893886699E-3</v>
      </c>
    </row>
    <row r="13577" spans="1:6" x14ac:dyDescent="0.25">
      <c r="A13577" s="1" t="str">
        <f t="shared" si="509"/>
        <v>24860</v>
      </c>
      <c r="B13577" s="1" t="str">
        <f>"29661"</f>
        <v>29661</v>
      </c>
      <c r="C13577" s="2">
        <v>7.0270707141312401E-3</v>
      </c>
      <c r="D13577" s="2">
        <v>1.96155355041192E-3</v>
      </c>
      <c r="E13577" s="2">
        <v>2.05214872042491E-3</v>
      </c>
      <c r="F13577" s="2">
        <v>6.5152782194582799E-3</v>
      </c>
    </row>
    <row r="13578" spans="1:6" x14ac:dyDescent="0.25">
      <c r="A13578" s="1" t="str">
        <f t="shared" ref="A13578:A13609" si="510">"24860"</f>
        <v>24860</v>
      </c>
      <c r="B13578" s="1" t="str">
        <f>"29640"</f>
        <v>29640</v>
      </c>
      <c r="C13578" s="2">
        <v>3.2990316753349097E-2</v>
      </c>
      <c r="D13578" s="2">
        <v>3.5031038700297598E-2</v>
      </c>
      <c r="E13578" s="2">
        <v>4.7682279092225902E-2</v>
      </c>
      <c r="F13578" s="2">
        <v>3.3402824399608899E-2</v>
      </c>
    </row>
    <row r="13579" spans="1:6" x14ac:dyDescent="0.25">
      <c r="A13579" s="1" t="str">
        <f t="shared" si="510"/>
        <v>24860</v>
      </c>
      <c r="B13579" s="1" t="str">
        <f>"29697"</f>
        <v>29697</v>
      </c>
      <c r="C13579" s="2">
        <v>1.2824349444409199E-2</v>
      </c>
      <c r="D13579" s="2">
        <v>9.8077677520596301E-3</v>
      </c>
      <c r="E13579" s="2">
        <v>6.1564461612747404E-3</v>
      </c>
      <c r="F13579" s="2">
        <v>1.2459316317837201E-2</v>
      </c>
    </row>
    <row r="13580" spans="1:6" x14ac:dyDescent="0.25">
      <c r="A13580" s="1" t="str">
        <f t="shared" si="510"/>
        <v>24860</v>
      </c>
      <c r="B13580" s="1" t="str">
        <f>"29682"</f>
        <v>29682</v>
      </c>
      <c r="C13580" s="2">
        <v>4.5194309317803999E-3</v>
      </c>
      <c r="D13580" s="2">
        <v>1.8461680474465101E-3</v>
      </c>
      <c r="E13580" s="2">
        <v>4.82858522452921E-4</v>
      </c>
      <c r="F13580" s="2">
        <v>4.2263916861987596E-3</v>
      </c>
    </row>
    <row r="13581" spans="1:6" x14ac:dyDescent="0.25">
      <c r="A13581" s="1" t="str">
        <f t="shared" si="510"/>
        <v>24860</v>
      </c>
      <c r="B13581" s="1" t="str">
        <f>"29687"</f>
        <v>29687</v>
      </c>
      <c r="C13581" s="2">
        <v>4.60898949543578E-2</v>
      </c>
      <c r="D13581" s="2">
        <v>3.0554081185239799E-2</v>
      </c>
      <c r="E13581" s="2">
        <v>3.4765813616610297E-2</v>
      </c>
      <c r="F13581" s="2">
        <v>4.4584211786784102E-2</v>
      </c>
    </row>
    <row r="13582" spans="1:6" x14ac:dyDescent="0.25">
      <c r="A13582" s="1" t="str">
        <f t="shared" si="510"/>
        <v>24860</v>
      </c>
      <c r="B13582" s="1" t="str">
        <f>"29612"</f>
        <v>29612</v>
      </c>
      <c r="C13582" s="2">
        <v>3.2983763687715798E-4</v>
      </c>
      <c r="D13582" s="2">
        <v>1.54616573973645E-3</v>
      </c>
      <c r="E13582" s="2">
        <v>2.4142926122645999E-4</v>
      </c>
      <c r="F13582" s="2">
        <v>4.3186538363387198E-4</v>
      </c>
    </row>
    <row r="13583" spans="1:6" x14ac:dyDescent="0.25">
      <c r="A13583" s="1" t="str">
        <f t="shared" si="510"/>
        <v>24860</v>
      </c>
      <c r="B13583" s="1" t="str">
        <f>"29384"</f>
        <v>29384</v>
      </c>
      <c r="C13583" s="2">
        <v>6.0200829618109099E-3</v>
      </c>
      <c r="D13583" s="2">
        <v>6.4615881660628105E-4</v>
      </c>
      <c r="E13583" s="2">
        <v>7.2428778367938105E-4</v>
      </c>
      <c r="F13583" s="2">
        <v>5.4768382742659202E-3</v>
      </c>
    </row>
    <row r="13584" spans="1:6" x14ac:dyDescent="0.25">
      <c r="A13584" s="1" t="str">
        <f t="shared" si="510"/>
        <v>24860</v>
      </c>
      <c r="B13584" s="1" t="str">
        <f>"29657"</f>
        <v>29657</v>
      </c>
      <c r="C13584" s="2">
        <v>1.73896518356229E-2</v>
      </c>
      <c r="D13584" s="2">
        <v>9.0923776336740997E-3</v>
      </c>
      <c r="E13584" s="2">
        <v>7.1221632061805804E-3</v>
      </c>
      <c r="F13584" s="2">
        <v>1.6516887899524501E-2</v>
      </c>
    </row>
    <row r="13585" spans="1:6" x14ac:dyDescent="0.25">
      <c r="A13585" s="1" t="str">
        <f t="shared" si="510"/>
        <v>24860</v>
      </c>
      <c r="B13585" s="1" t="str">
        <f>"29671"</f>
        <v>29671</v>
      </c>
      <c r="C13585" s="2">
        <v>2.27391377476239E-2</v>
      </c>
      <c r="D13585" s="2">
        <v>1.9938614912422398E-2</v>
      </c>
      <c r="E13585" s="2">
        <v>2.08836310960888E-2</v>
      </c>
      <c r="F13585" s="2">
        <v>2.2470741120258798E-2</v>
      </c>
    </row>
    <row r="13586" spans="1:6" x14ac:dyDescent="0.25">
      <c r="A13586" s="1" t="str">
        <f t="shared" si="510"/>
        <v>24860</v>
      </c>
      <c r="B13586" s="1" t="str">
        <f>"29627"</f>
        <v>29627</v>
      </c>
      <c r="C13586" s="2">
        <v>1.9650459479118601E-2</v>
      </c>
      <c r="D13586" s="2">
        <v>1.01770013615489E-2</v>
      </c>
      <c r="E13586" s="2">
        <v>9.2950265572187309E-3</v>
      </c>
      <c r="F13586" s="2">
        <v>1.8676214817693899E-2</v>
      </c>
    </row>
    <row r="13587" spans="1:6" x14ac:dyDescent="0.25">
      <c r="A13587" s="1" t="str">
        <f t="shared" si="510"/>
        <v>24860</v>
      </c>
      <c r="B13587" s="1" t="str">
        <f>"29633"</f>
        <v>29633</v>
      </c>
      <c r="C13587" s="2">
        <v>2.5360364000952301E-3</v>
      </c>
      <c r="D13587" s="2">
        <v>6.5308194678420596E-3</v>
      </c>
      <c r="E13587" s="2">
        <v>2.4142926122645999E-4</v>
      </c>
      <c r="F13587" s="2">
        <v>2.8385333851571699E-3</v>
      </c>
    </row>
    <row r="13588" spans="1:6" x14ac:dyDescent="0.25">
      <c r="A13588" s="1" t="str">
        <f t="shared" si="510"/>
        <v>24860</v>
      </c>
      <c r="B13588" s="1" t="str">
        <f>"29641"</f>
        <v>29641</v>
      </c>
      <c r="C13588" s="2">
        <v>4.34905122531405E-3</v>
      </c>
      <c r="D13588" s="2">
        <v>1.1146239586458301E-2</v>
      </c>
      <c r="E13588" s="2">
        <v>1.2071463061322999E-4</v>
      </c>
      <c r="F13588" s="2">
        <v>4.85848556588106E-3</v>
      </c>
    </row>
    <row r="13589" spans="1:6" x14ac:dyDescent="0.25">
      <c r="A13589" s="1" t="str">
        <f t="shared" si="510"/>
        <v>24860</v>
      </c>
      <c r="B13589" s="1" t="str">
        <f>"29645"</f>
        <v>29645</v>
      </c>
      <c r="C13589" s="2">
        <v>1.1319328703956501E-2</v>
      </c>
      <c r="D13589" s="2">
        <v>3.1154085800660001E-3</v>
      </c>
      <c r="E13589" s="2">
        <v>2.2935779816513702E-3</v>
      </c>
      <c r="F13589" s="2">
        <v>1.04746985775924E-2</v>
      </c>
    </row>
    <row r="13590" spans="1:6" x14ac:dyDescent="0.25">
      <c r="A13590" s="1" t="str">
        <f t="shared" si="510"/>
        <v>24860</v>
      </c>
      <c r="B13590" s="1" t="str">
        <f>"29651"</f>
        <v>29651</v>
      </c>
      <c r="C13590" s="2">
        <v>2.9578353913599999E-2</v>
      </c>
      <c r="D13590" s="2">
        <v>1.26462511250086E-2</v>
      </c>
      <c r="E13590" s="2">
        <v>1.24336069531627E-2</v>
      </c>
      <c r="F13590" s="2">
        <v>2.7859243293326799E-2</v>
      </c>
    </row>
    <row r="13591" spans="1:6" x14ac:dyDescent="0.25">
      <c r="A13591" s="1" t="str">
        <f t="shared" si="510"/>
        <v>24860</v>
      </c>
      <c r="B13591" s="1" t="str">
        <f>"29388"</f>
        <v>29388</v>
      </c>
      <c r="C13591" s="2">
        <v>2.9270359828833902E-4</v>
      </c>
      <c r="D13591" s="2">
        <v>1.6153970415156999E-4</v>
      </c>
      <c r="E13591" s="2">
        <v>0</v>
      </c>
      <c r="F13591" s="2">
        <v>2.7678645041988997E-4</v>
      </c>
    </row>
    <row r="13592" spans="1:6" x14ac:dyDescent="0.25">
      <c r="A13592" s="1" t="str">
        <f t="shared" si="510"/>
        <v>24860</v>
      </c>
      <c r="B13592" s="1" t="str">
        <f>"29332"</f>
        <v>29332</v>
      </c>
      <c r="C13592" s="2">
        <v>3.3376947625715098E-3</v>
      </c>
      <c r="D13592" s="2">
        <v>4.1538781067546602E-4</v>
      </c>
      <c r="E13592" s="2">
        <v>4.82858522452921E-4</v>
      </c>
      <c r="F13592" s="2">
        <v>3.0426879301477302E-3</v>
      </c>
    </row>
    <row r="13593" spans="1:6" x14ac:dyDescent="0.25">
      <c r="A13593" s="1" t="str">
        <f t="shared" si="510"/>
        <v>24860</v>
      </c>
      <c r="B13593" s="1" t="str">
        <f>"29673"</f>
        <v>29673</v>
      </c>
      <c r="C13593" s="2">
        <v>2.9691940384577498E-2</v>
      </c>
      <c r="D13593" s="2">
        <v>2.42771098239217E-2</v>
      </c>
      <c r="E13593" s="2">
        <v>1.5813616610333099E-2</v>
      </c>
      <c r="F13593" s="2">
        <v>2.9005649584427699E-2</v>
      </c>
    </row>
    <row r="13594" spans="1:6" x14ac:dyDescent="0.25">
      <c r="A13594" s="1" t="str">
        <f t="shared" si="510"/>
        <v>24860</v>
      </c>
      <c r="B13594" s="1" t="str">
        <f>"29670"</f>
        <v>29670</v>
      </c>
      <c r="C13594" s="2">
        <v>1.29947291508755E-2</v>
      </c>
      <c r="D13594" s="2">
        <v>1.1377010592389099E-2</v>
      </c>
      <c r="E13594" s="2">
        <v>1.6779333655238999E-2</v>
      </c>
      <c r="F13594" s="2">
        <v>1.29186640440659E-2</v>
      </c>
    </row>
    <row r="13595" spans="1:6" x14ac:dyDescent="0.25">
      <c r="A13595" s="1" t="str">
        <f t="shared" si="510"/>
        <v>24860</v>
      </c>
      <c r="B13595" s="1" t="str">
        <f>"29654"</f>
        <v>29654</v>
      </c>
      <c r="C13595" s="2">
        <v>9.0607054156718707E-3</v>
      </c>
      <c r="D13595" s="2">
        <v>6.4846652666558898E-3</v>
      </c>
      <c r="E13595" s="2">
        <v>5.0700144857556704E-3</v>
      </c>
      <c r="F13595" s="2">
        <v>8.7766824101229192E-3</v>
      </c>
    </row>
    <row r="13596" spans="1:6" x14ac:dyDescent="0.25">
      <c r="A13596" s="1" t="str">
        <f t="shared" si="510"/>
        <v>24860</v>
      </c>
      <c r="B13596" s="1" t="str">
        <f>"29624"</f>
        <v>29624</v>
      </c>
      <c r="C13596" s="2">
        <v>2.0891173239027401E-2</v>
      </c>
      <c r="D13596" s="2">
        <v>3.10617773982876E-2</v>
      </c>
      <c r="E13596" s="2">
        <v>2.0521487204249102E-2</v>
      </c>
      <c r="F13596" s="2">
        <v>2.17503111393786E-2</v>
      </c>
    </row>
    <row r="13597" spans="1:6" x14ac:dyDescent="0.25">
      <c r="A13597" s="1" t="str">
        <f t="shared" si="510"/>
        <v>24860</v>
      </c>
      <c r="B13597" s="1" t="str">
        <f>"29650"</f>
        <v>29650</v>
      </c>
      <c r="C13597" s="2">
        <v>3.5591883809777597E-2</v>
      </c>
      <c r="D13597" s="2">
        <v>3.3461795859968099E-2</v>
      </c>
      <c r="E13597" s="2">
        <v>3.4524384355383797E-2</v>
      </c>
      <c r="F13597" s="2">
        <v>3.5393331213266897E-2</v>
      </c>
    </row>
    <row r="13598" spans="1:6" x14ac:dyDescent="0.25">
      <c r="A13598" s="1" t="str">
        <f t="shared" si="510"/>
        <v>24860</v>
      </c>
      <c r="B13598" s="1" t="str">
        <f>"29608"</f>
        <v>29608</v>
      </c>
      <c r="C13598" s="2">
        <v>2.3875002457399599E-3</v>
      </c>
      <c r="D13598" s="2">
        <v>8.9539150301156094E-3</v>
      </c>
      <c r="E13598" s="2">
        <v>1.2071463061322999E-4</v>
      </c>
      <c r="F13598" s="2">
        <v>2.9092022661154401E-3</v>
      </c>
    </row>
    <row r="13599" spans="1:6" x14ac:dyDescent="0.25">
      <c r="A13599" s="1" t="str">
        <f t="shared" si="510"/>
        <v>24860</v>
      </c>
      <c r="B13599" s="1" t="str">
        <f>"29610"</f>
        <v>29610</v>
      </c>
      <c r="C13599" s="2">
        <v>1.62952898748582E-3</v>
      </c>
      <c r="D13599" s="2">
        <v>4.4769575150578004E-3</v>
      </c>
      <c r="E13599" s="2">
        <v>2.4142926122645999E-4</v>
      </c>
      <c r="F13599" s="2">
        <v>1.8491690517413899E-3</v>
      </c>
    </row>
    <row r="13600" spans="1:6" x14ac:dyDescent="0.25">
      <c r="A13600" s="1" t="str">
        <f t="shared" si="510"/>
        <v>24860</v>
      </c>
      <c r="B13600" s="1" t="str">
        <f>"29632"</f>
        <v>29632</v>
      </c>
      <c r="C13600" s="2">
        <v>0</v>
      </c>
      <c r="D13600" s="2">
        <v>4.6154201186162902E-5</v>
      </c>
      <c r="E13600" s="2">
        <v>0</v>
      </c>
      <c r="F13600" s="2">
        <v>3.9260489421261097E-6</v>
      </c>
    </row>
    <row r="13601" spans="1:6" x14ac:dyDescent="0.25">
      <c r="A13601" s="1" t="str">
        <f t="shared" si="510"/>
        <v>24860</v>
      </c>
      <c r="B13601" s="1" t="str">
        <f>"29656"</f>
        <v>29656</v>
      </c>
      <c r="C13601" s="2">
        <v>0</v>
      </c>
      <c r="D13601" s="2">
        <v>2.30771005930814E-5</v>
      </c>
      <c r="E13601" s="2">
        <v>0</v>
      </c>
      <c r="F13601" s="2">
        <v>1.9630244710630502E-6</v>
      </c>
    </row>
    <row r="13602" spans="1:6" x14ac:dyDescent="0.25">
      <c r="A13602" s="1" t="str">
        <f t="shared" si="510"/>
        <v>24860</v>
      </c>
      <c r="B13602" s="1" t="str">
        <f>"29325"</f>
        <v>29325</v>
      </c>
      <c r="C13602" s="2">
        <v>1.56137710489929E-2</v>
      </c>
      <c r="D13602" s="2">
        <v>1.37539519534765E-2</v>
      </c>
      <c r="E13602" s="2">
        <v>3.1506518590053101E-2</v>
      </c>
      <c r="F13602" s="2">
        <v>1.5714010890859699E-2</v>
      </c>
    </row>
    <row r="13603" spans="1:6" x14ac:dyDescent="0.25">
      <c r="A13603" s="1" t="str">
        <f t="shared" si="510"/>
        <v>24860</v>
      </c>
      <c r="B13603" s="1" t="str">
        <f>"29356"</f>
        <v>29356</v>
      </c>
      <c r="C13603" s="2">
        <v>5.2227933097568503E-3</v>
      </c>
      <c r="D13603" s="2">
        <v>1.59231994092262E-3</v>
      </c>
      <c r="E13603" s="2">
        <v>9.6571704490584201E-4</v>
      </c>
      <c r="F13603" s="2">
        <v>4.8447443945836199E-3</v>
      </c>
    </row>
    <row r="13604" spans="1:6" x14ac:dyDescent="0.25">
      <c r="A13604" s="1" t="str">
        <f t="shared" si="510"/>
        <v>24860</v>
      </c>
      <c r="B13604" s="1" t="str">
        <f>"29655"</f>
        <v>29655</v>
      </c>
      <c r="C13604" s="2">
        <v>5.22934637539018E-3</v>
      </c>
      <c r="D13604" s="2">
        <v>1.01539242609558E-3</v>
      </c>
      <c r="E13604" s="2">
        <v>2.05214872042491E-3</v>
      </c>
      <c r="F13604" s="2">
        <v>4.8192250764598002E-3</v>
      </c>
    </row>
    <row r="13605" spans="1:6" x14ac:dyDescent="0.25">
      <c r="A13605" s="1" t="str">
        <f t="shared" si="510"/>
        <v>24860</v>
      </c>
      <c r="B13605" s="1" t="str">
        <f>"29626"</f>
        <v>29626</v>
      </c>
      <c r="C13605" s="2">
        <v>1.45871240997726E-2</v>
      </c>
      <c r="D13605" s="2">
        <v>7.2000553850414201E-3</v>
      </c>
      <c r="E13605" s="2">
        <v>5.4321583775953598E-3</v>
      </c>
      <c r="F13605" s="2">
        <v>1.3809877153928601E-2</v>
      </c>
    </row>
    <row r="13606" spans="1:6" x14ac:dyDescent="0.25">
      <c r="A13606" s="1" t="str">
        <f t="shared" si="510"/>
        <v>24860</v>
      </c>
      <c r="B13606" s="1" t="str">
        <f>"29631"</f>
        <v>29631</v>
      </c>
      <c r="C13606" s="2">
        <v>1.5836575280525799E-2</v>
      </c>
      <c r="D13606" s="2">
        <v>1.63155101193086E-2</v>
      </c>
      <c r="E13606" s="2">
        <v>5.33558667310478E-2</v>
      </c>
      <c r="F13606" s="2">
        <v>1.64874425324586E-2</v>
      </c>
    </row>
    <row r="13607" spans="1:6" x14ac:dyDescent="0.25">
      <c r="A13607" s="1" t="str">
        <f t="shared" si="510"/>
        <v>24860</v>
      </c>
      <c r="B13607" s="1" t="str">
        <f>"29630"</f>
        <v>29630</v>
      </c>
      <c r="C13607" s="2">
        <v>1.75906125150447E-2</v>
      </c>
      <c r="D13607" s="2">
        <v>6.3231255625043198E-3</v>
      </c>
      <c r="E13607" s="2">
        <v>4.1163689039111502E-2</v>
      </c>
      <c r="F13607" s="2">
        <v>1.70154961151745E-2</v>
      </c>
    </row>
    <row r="13608" spans="1:6" x14ac:dyDescent="0.25">
      <c r="A13608" s="1" t="str">
        <f t="shared" si="510"/>
        <v>24860</v>
      </c>
      <c r="B13608" s="1" t="str">
        <f>"29622"</f>
        <v>29622</v>
      </c>
      <c r="C13608" s="2">
        <v>4.4954030244582204E-3</v>
      </c>
      <c r="D13608" s="2">
        <v>1.61078162139708E-2</v>
      </c>
      <c r="E13608" s="2">
        <v>2.4142926122645999E-4</v>
      </c>
      <c r="F13608" s="2">
        <v>5.4140214911919003E-3</v>
      </c>
    </row>
    <row r="13609" spans="1:6" x14ac:dyDescent="0.25">
      <c r="A13609" s="1" t="str">
        <f t="shared" si="510"/>
        <v>24860</v>
      </c>
      <c r="B13609" s="1" t="str">
        <f>"29644"</f>
        <v>29644</v>
      </c>
      <c r="C13609" s="2">
        <v>2.4611130163542601E-2</v>
      </c>
      <c r="D13609" s="2">
        <v>1.6684743728797899E-2</v>
      </c>
      <c r="E13609" s="2">
        <v>9.7778850796716495E-3</v>
      </c>
      <c r="F13609" s="2">
        <v>2.3695668390202099E-2</v>
      </c>
    </row>
    <row r="13610" spans="1:6" x14ac:dyDescent="0.25">
      <c r="A13610" s="1" t="str">
        <f t="shared" ref="A13610:A13622" si="511">"24860"</f>
        <v>24860</v>
      </c>
      <c r="B13610" s="1" t="str">
        <f>"29643"</f>
        <v>29643</v>
      </c>
      <c r="C13610" s="2">
        <v>1.1882892348422101E-3</v>
      </c>
      <c r="D13610" s="2">
        <v>3.2307940830313998E-4</v>
      </c>
      <c r="E13610" s="2">
        <v>1.2071463061322999E-4</v>
      </c>
      <c r="F13610" s="2">
        <v>1.09733067932424E-3</v>
      </c>
    </row>
    <row r="13611" spans="1:6" x14ac:dyDescent="0.25">
      <c r="A13611" s="1" t="str">
        <f t="shared" si="511"/>
        <v>24860</v>
      </c>
      <c r="B13611" s="1" t="str">
        <f>"29615"</f>
        <v>29615</v>
      </c>
      <c r="C13611" s="2">
        <v>4.28111777824862E-2</v>
      </c>
      <c r="D13611" s="2">
        <v>5.6746590358387299E-2</v>
      </c>
      <c r="E13611" s="2">
        <v>5.6011588604538802E-2</v>
      </c>
      <c r="F13611" s="2">
        <v>4.4211237137282103E-2</v>
      </c>
    </row>
    <row r="13612" spans="1:6" x14ac:dyDescent="0.25">
      <c r="A13612" s="1" t="str">
        <f t="shared" si="511"/>
        <v>24860</v>
      </c>
      <c r="B13612" s="1" t="str">
        <f>"29607"</f>
        <v>29607</v>
      </c>
      <c r="C13612" s="2">
        <v>4.8287356296731497E-2</v>
      </c>
      <c r="D13612" s="2">
        <v>0.105577735213347</v>
      </c>
      <c r="E13612" s="2">
        <v>9.4157411878319594E-2</v>
      </c>
      <c r="F13612" s="2">
        <v>5.3906614999862497E-2</v>
      </c>
    </row>
    <row r="13613" spans="1:6" x14ac:dyDescent="0.25">
      <c r="A13613" s="1" t="str">
        <f t="shared" si="511"/>
        <v>24860</v>
      </c>
      <c r="B13613" s="1" t="str">
        <f>"29683"</f>
        <v>29683</v>
      </c>
      <c r="C13613" s="2">
        <v>4.3031797658807998E-4</v>
      </c>
      <c r="D13613" s="2">
        <v>2.30771005930814E-5</v>
      </c>
      <c r="E13613" s="2">
        <v>0</v>
      </c>
      <c r="F13613" s="2">
        <v>3.88678845270485E-4</v>
      </c>
    </row>
    <row r="13614" spans="1:6" x14ac:dyDescent="0.25">
      <c r="A13614" s="1" t="str">
        <f t="shared" si="511"/>
        <v>24860</v>
      </c>
      <c r="B13614" s="1" t="str">
        <f>"29685"</f>
        <v>29685</v>
      </c>
      <c r="C13614" s="2">
        <v>3.0493598747053799E-3</v>
      </c>
      <c r="D13614" s="2">
        <v>7.3846721897860698E-4</v>
      </c>
      <c r="E13614" s="2">
        <v>2.4142926122645999E-4</v>
      </c>
      <c r="F13614" s="2">
        <v>2.8071249936201699E-3</v>
      </c>
    </row>
    <row r="13615" spans="1:6" x14ac:dyDescent="0.25">
      <c r="A13615" s="1" t="str">
        <f t="shared" si="511"/>
        <v>24860</v>
      </c>
      <c r="B13615" s="1" t="str">
        <f>"29360"</f>
        <v>29360</v>
      </c>
      <c r="C13615" s="2">
        <v>2.6188234625961902E-2</v>
      </c>
      <c r="D13615" s="2">
        <v>2.8592527634827902E-2</v>
      </c>
      <c r="E13615" s="2">
        <v>2.8005794302269401E-2</v>
      </c>
      <c r="F13615" s="2">
        <v>2.6422309380508699E-2</v>
      </c>
    </row>
    <row r="13616" spans="1:6" x14ac:dyDescent="0.25">
      <c r="A13616" s="1" t="str">
        <f t="shared" si="511"/>
        <v>24860</v>
      </c>
      <c r="B13616" s="1" t="str">
        <f>"29642"</f>
        <v>29642</v>
      </c>
      <c r="C13616" s="2">
        <v>3.3396606822614999E-2</v>
      </c>
      <c r="D13616" s="2">
        <v>1.32924099416149E-2</v>
      </c>
      <c r="E13616" s="2">
        <v>3.6817962337035201E-2</v>
      </c>
      <c r="F13616" s="2">
        <v>3.1742105697089601E-2</v>
      </c>
    </row>
    <row r="13617" spans="1:6" x14ac:dyDescent="0.25">
      <c r="A13617" s="1" t="str">
        <f t="shared" si="511"/>
        <v>24860</v>
      </c>
      <c r="B13617" s="1" t="str">
        <f>"29602"</f>
        <v>29602</v>
      </c>
      <c r="C13617" s="2">
        <v>2.9488795349944599E-3</v>
      </c>
      <c r="D13617" s="2">
        <v>1.37308748528834E-2</v>
      </c>
      <c r="E13617" s="2">
        <v>1.2071463061322999E-4</v>
      </c>
      <c r="F13617" s="2">
        <v>3.8200456206886999E-3</v>
      </c>
    </row>
    <row r="13618" spans="1:6" x14ac:dyDescent="0.25">
      <c r="A13618" s="1" t="str">
        <f t="shared" si="511"/>
        <v>24860</v>
      </c>
      <c r="B13618" s="1" t="str">
        <f>"29667"</f>
        <v>29667</v>
      </c>
      <c r="C13618" s="2">
        <v>2.1843552111070001E-4</v>
      </c>
      <c r="D13618" s="2">
        <v>1.15385502965407E-4</v>
      </c>
      <c r="E13618" s="2">
        <v>0</v>
      </c>
      <c r="F13618" s="2">
        <v>2.0611756946162E-4</v>
      </c>
    </row>
    <row r="13619" spans="1:6" x14ac:dyDescent="0.25">
      <c r="A13619" s="1" t="str">
        <f t="shared" si="511"/>
        <v>24860</v>
      </c>
      <c r="B13619" s="1" t="str">
        <f>"29688"</f>
        <v>29688</v>
      </c>
      <c r="C13619" s="2">
        <v>0</v>
      </c>
      <c r="D13619" s="2">
        <v>2.30771005930814E-5</v>
      </c>
      <c r="E13619" s="2">
        <v>1.2071463061322999E-4</v>
      </c>
      <c r="F13619" s="2">
        <v>3.9260489421261097E-6</v>
      </c>
    </row>
    <row r="13620" spans="1:6" x14ac:dyDescent="0.25">
      <c r="A13620" s="1" t="str">
        <f t="shared" si="511"/>
        <v>24860</v>
      </c>
      <c r="B13620" s="1" t="str">
        <f>"29613"</f>
        <v>29613</v>
      </c>
      <c r="C13620" s="2">
        <v>0</v>
      </c>
      <c r="D13620" s="2">
        <v>2.30771005930814E-5</v>
      </c>
      <c r="E13620" s="2">
        <v>0</v>
      </c>
      <c r="F13620" s="2">
        <v>1.9630244710630502E-6</v>
      </c>
    </row>
    <row r="13621" spans="1:6" x14ac:dyDescent="0.25">
      <c r="A13621" s="1" t="str">
        <f t="shared" si="511"/>
        <v>24860</v>
      </c>
      <c r="B13621" s="1" t="str">
        <f>"29635"</f>
        <v>29635</v>
      </c>
      <c r="C13621" s="2">
        <v>1.88509854718534E-3</v>
      </c>
      <c r="D13621" s="2">
        <v>3.69233609489303E-4</v>
      </c>
      <c r="E13621" s="2">
        <v>0</v>
      </c>
      <c r="F13621" s="2">
        <v>1.72549851006442E-3</v>
      </c>
    </row>
    <row r="13622" spans="1:6" x14ac:dyDescent="0.25">
      <c r="A13622" s="1" t="str">
        <f t="shared" si="511"/>
        <v>24860</v>
      </c>
      <c r="B13622" s="1" t="str">
        <f>"29335"</f>
        <v>29335</v>
      </c>
      <c r="C13622" s="2">
        <v>7.5141819262081102E-4</v>
      </c>
      <c r="D13622" s="2">
        <v>2.30771005930814E-4</v>
      </c>
      <c r="E13622" s="2">
        <v>2.4142926122645999E-4</v>
      </c>
      <c r="F13622" s="2">
        <v>6.9883671169844799E-4</v>
      </c>
    </row>
    <row r="13623" spans="1:6" x14ac:dyDescent="0.25">
      <c r="A13623" s="1" t="str">
        <f t="shared" ref="A13623:A13643" si="512">"24900"</f>
        <v>24900</v>
      </c>
      <c r="B13623" s="1" t="str">
        <f>"38924"</f>
        <v>38924</v>
      </c>
      <c r="C13623" s="2">
        <v>4.3153969099626998E-3</v>
      </c>
      <c r="D13623" s="2">
        <v>4.8496605237633301E-4</v>
      </c>
      <c r="E13623" s="2">
        <v>4.6296296296296198E-3</v>
      </c>
      <c r="F13623" s="2">
        <v>3.9503386004514597E-3</v>
      </c>
    </row>
    <row r="13624" spans="1:6" x14ac:dyDescent="0.25">
      <c r="A13624" s="1" t="str">
        <f t="shared" si="512"/>
        <v>24900</v>
      </c>
      <c r="B13624" s="1" t="str">
        <f>"38940"</f>
        <v>38940</v>
      </c>
      <c r="C13624" s="2">
        <v>2.0245071923281799E-3</v>
      </c>
      <c r="D13624" s="2">
        <v>0</v>
      </c>
      <c r="E13624" s="2">
        <v>0</v>
      </c>
      <c r="F13624" s="2">
        <v>1.7870579382994699E-3</v>
      </c>
    </row>
    <row r="13625" spans="1:6" x14ac:dyDescent="0.25">
      <c r="A13625" s="1" t="str">
        <f t="shared" si="512"/>
        <v>24900</v>
      </c>
      <c r="B13625" s="1" t="str">
        <f>"38967"</f>
        <v>38967</v>
      </c>
      <c r="C13625" s="2">
        <v>1.22535961640916E-2</v>
      </c>
      <c r="D13625" s="2">
        <v>4.8496605237633301E-4</v>
      </c>
      <c r="E13625" s="2">
        <v>0</v>
      </c>
      <c r="F13625" s="2">
        <v>1.08634311512415E-2</v>
      </c>
    </row>
    <row r="13626" spans="1:6" x14ac:dyDescent="0.25">
      <c r="A13626" s="1" t="str">
        <f t="shared" si="512"/>
        <v>24900</v>
      </c>
      <c r="B13626" s="1" t="str">
        <f>"38947"</f>
        <v>38947</v>
      </c>
      <c r="C13626" s="2">
        <v>9.5897709110282295E-4</v>
      </c>
      <c r="D13626" s="2">
        <v>3.8797284190106602E-3</v>
      </c>
      <c r="E13626" s="2">
        <v>0</v>
      </c>
      <c r="F13626" s="2">
        <v>1.2227238525206901E-3</v>
      </c>
    </row>
    <row r="13627" spans="1:6" x14ac:dyDescent="0.25">
      <c r="A13627" s="1" t="str">
        <f t="shared" si="512"/>
        <v>24900</v>
      </c>
      <c r="B13627" s="1" t="str">
        <f>"38736"</f>
        <v>38736</v>
      </c>
      <c r="C13627" s="2">
        <v>1.4917421417154999E-3</v>
      </c>
      <c r="D13627" s="2">
        <v>0</v>
      </c>
      <c r="E13627" s="2">
        <v>0</v>
      </c>
      <c r="F13627" s="2">
        <v>1.31677953348382E-3</v>
      </c>
    </row>
    <row r="13628" spans="1:6" x14ac:dyDescent="0.25">
      <c r="A13628" s="1" t="str">
        <f t="shared" si="512"/>
        <v>24900</v>
      </c>
      <c r="B13628" s="1" t="str">
        <f>"38737"</f>
        <v>38737</v>
      </c>
      <c r="C13628" s="2">
        <v>1.0655301012253501E-4</v>
      </c>
      <c r="D13628" s="2">
        <v>0</v>
      </c>
      <c r="E13628" s="2">
        <v>0</v>
      </c>
      <c r="F13628" s="2">
        <v>9.4055680963130102E-5</v>
      </c>
    </row>
    <row r="13629" spans="1:6" x14ac:dyDescent="0.25">
      <c r="A13629" s="1" t="str">
        <f t="shared" si="512"/>
        <v>24900</v>
      </c>
      <c r="B13629" s="1" t="str">
        <f>"38917"</f>
        <v>38917</v>
      </c>
      <c r="C13629" s="2">
        <v>8.6680873734683E-2</v>
      </c>
      <c r="D13629" s="2">
        <v>1.06692531522793E-2</v>
      </c>
      <c r="E13629" s="2">
        <v>4.1666666666666602E-2</v>
      </c>
      <c r="F13629" s="2">
        <v>7.8395410082768902E-2</v>
      </c>
    </row>
    <row r="13630" spans="1:6" x14ac:dyDescent="0.25">
      <c r="A13630" s="1" t="str">
        <f t="shared" si="512"/>
        <v>24900</v>
      </c>
      <c r="B13630" s="1" t="str">
        <f>"38950"</f>
        <v>38950</v>
      </c>
      <c r="C13630" s="2">
        <v>5.3276505061267903E-5</v>
      </c>
      <c r="D13630" s="2">
        <v>0</v>
      </c>
      <c r="E13630" s="2">
        <v>0</v>
      </c>
      <c r="F13630" s="2">
        <v>4.7027840481564997E-5</v>
      </c>
    </row>
    <row r="13631" spans="1:6" x14ac:dyDescent="0.25">
      <c r="A13631" s="1" t="str">
        <f t="shared" si="512"/>
        <v>24900</v>
      </c>
      <c r="B13631" s="1" t="str">
        <f>"38941"</f>
        <v>38941</v>
      </c>
      <c r="C13631" s="2">
        <v>0.102770378263185</v>
      </c>
      <c r="D13631" s="2">
        <v>6.6925315227934004E-2</v>
      </c>
      <c r="E13631" s="2">
        <v>5.7870370370370301E-2</v>
      </c>
      <c r="F13631" s="2">
        <v>9.8382242287434099E-2</v>
      </c>
    </row>
    <row r="13632" spans="1:6" x14ac:dyDescent="0.25">
      <c r="A13632" s="1" t="str">
        <f t="shared" si="512"/>
        <v>24900</v>
      </c>
      <c r="B13632" s="1" t="str">
        <f>"39192"</f>
        <v>39192</v>
      </c>
      <c r="C13632" s="2">
        <v>1.7581246670218399E-3</v>
      </c>
      <c r="D13632" s="2">
        <v>4.8496605237633301E-4</v>
      </c>
      <c r="E13632" s="2">
        <v>0</v>
      </c>
      <c r="F13632" s="2">
        <v>1.59894657637321E-3</v>
      </c>
    </row>
    <row r="13633" spans="1:6" x14ac:dyDescent="0.25">
      <c r="A13633" s="1" t="str">
        <f t="shared" si="512"/>
        <v>24900</v>
      </c>
      <c r="B13633" s="1" t="str">
        <f>"38761"</f>
        <v>38761</v>
      </c>
      <c r="C13633" s="2">
        <v>1.1188066062866201E-3</v>
      </c>
      <c r="D13633" s="2">
        <v>0</v>
      </c>
      <c r="E13633" s="2">
        <v>0</v>
      </c>
      <c r="F13633" s="2">
        <v>9.87584650112866E-4</v>
      </c>
    </row>
    <row r="13634" spans="1:6" x14ac:dyDescent="0.25">
      <c r="A13634" s="1" t="str">
        <f t="shared" si="512"/>
        <v>24900</v>
      </c>
      <c r="B13634" s="1" t="str">
        <f>"38946"</f>
        <v>38946</v>
      </c>
      <c r="C13634" s="2">
        <v>5.3276505061267903E-5</v>
      </c>
      <c r="D13634" s="2">
        <v>4.8496605237633301E-4</v>
      </c>
      <c r="E13634" s="2">
        <v>0</v>
      </c>
      <c r="F13634" s="2">
        <v>9.4055680963130102E-5</v>
      </c>
    </row>
    <row r="13635" spans="1:6" x14ac:dyDescent="0.25">
      <c r="A13635" s="1" t="str">
        <f t="shared" si="512"/>
        <v>24900</v>
      </c>
      <c r="B13635" s="1" t="str">
        <f>"38923"</f>
        <v>38923</v>
      </c>
      <c r="C13635" s="2">
        <v>3.55354288758657E-2</v>
      </c>
      <c r="D13635" s="2">
        <v>9.2143549951503294E-3</v>
      </c>
      <c r="E13635" s="2">
        <v>0</v>
      </c>
      <c r="F13635" s="2">
        <v>3.22610985703536E-2</v>
      </c>
    </row>
    <row r="13636" spans="1:6" x14ac:dyDescent="0.25">
      <c r="A13636" s="1" t="str">
        <f t="shared" si="512"/>
        <v>24900</v>
      </c>
      <c r="B13636" s="1" t="str">
        <f>"38954"</f>
        <v>38954</v>
      </c>
      <c r="C13636" s="2">
        <v>3.4256792754395297E-2</v>
      </c>
      <c r="D13636" s="2">
        <v>6.7895247332686696E-3</v>
      </c>
      <c r="E13636" s="2">
        <v>3.2407407407407399E-2</v>
      </c>
      <c r="F13636" s="2">
        <v>3.1555680963130099E-2</v>
      </c>
    </row>
    <row r="13637" spans="1:6" x14ac:dyDescent="0.25">
      <c r="A13637" s="1" t="str">
        <f t="shared" si="512"/>
        <v>24900</v>
      </c>
      <c r="B13637" s="1" t="str">
        <f>"38959"</f>
        <v>38959</v>
      </c>
      <c r="C13637" s="2">
        <v>0</v>
      </c>
      <c r="D13637" s="2">
        <v>4.8496605237633301E-4</v>
      </c>
      <c r="E13637" s="2">
        <v>0</v>
      </c>
      <c r="F13637" s="2">
        <v>4.7027840481564997E-5</v>
      </c>
    </row>
    <row r="13638" spans="1:6" x14ac:dyDescent="0.25">
      <c r="A13638" s="1" t="str">
        <f t="shared" si="512"/>
        <v>24900</v>
      </c>
      <c r="B13638" s="1" t="str">
        <f>"38952"</f>
        <v>38952</v>
      </c>
      <c r="C13638" s="2">
        <v>1.19872136387852E-2</v>
      </c>
      <c r="D13638" s="2">
        <v>6.3045586808923304E-3</v>
      </c>
      <c r="E13638" s="2">
        <v>0</v>
      </c>
      <c r="F13638" s="2">
        <v>1.11926260346124E-2</v>
      </c>
    </row>
    <row r="13639" spans="1:6" x14ac:dyDescent="0.25">
      <c r="A13639" s="1" t="str">
        <f t="shared" si="512"/>
        <v>24900</v>
      </c>
      <c r="B13639" s="1" t="str">
        <f>"39038"</f>
        <v>39038</v>
      </c>
      <c r="C13639" s="2">
        <v>1.8114011720831099E-3</v>
      </c>
      <c r="D13639" s="2">
        <v>0</v>
      </c>
      <c r="E13639" s="2">
        <v>0</v>
      </c>
      <c r="F13639" s="2">
        <v>1.59894657637321E-3</v>
      </c>
    </row>
    <row r="13640" spans="1:6" x14ac:dyDescent="0.25">
      <c r="A13640" s="1" t="str">
        <f t="shared" si="512"/>
        <v>24900</v>
      </c>
      <c r="B13640" s="1" t="str">
        <f>"38943"</f>
        <v>38943</v>
      </c>
      <c r="C13640" s="2">
        <v>2.20564730953649E-2</v>
      </c>
      <c r="D13640" s="2">
        <v>6.3045586808923304E-3</v>
      </c>
      <c r="E13640" s="2">
        <v>1.85185185185185E-2</v>
      </c>
      <c r="F13640" s="2">
        <v>2.04571106094808E-2</v>
      </c>
    </row>
    <row r="13641" spans="1:6" x14ac:dyDescent="0.25">
      <c r="A13641" s="1" t="str">
        <f t="shared" si="512"/>
        <v>24900</v>
      </c>
      <c r="B13641" s="1" t="str">
        <f>"38930"</f>
        <v>38930</v>
      </c>
      <c r="C13641" s="2">
        <v>0.62482685135854998</v>
      </c>
      <c r="D13641" s="2">
        <v>0.85935984481086303</v>
      </c>
      <c r="E13641" s="2">
        <v>0.82870370370370305</v>
      </c>
      <c r="F13641" s="2">
        <v>0.65171181339352802</v>
      </c>
    </row>
    <row r="13642" spans="1:6" x14ac:dyDescent="0.25">
      <c r="A13642" s="1" t="str">
        <f t="shared" si="512"/>
        <v>24900</v>
      </c>
      <c r="B13642" s="1" t="str">
        <f>"39176"</f>
        <v>39176</v>
      </c>
      <c r="C13642" s="2">
        <v>4.4272775705913599E-2</v>
      </c>
      <c r="D13642" s="2">
        <v>2.1823472356934999E-2</v>
      </c>
      <c r="E13642" s="2">
        <v>1.6203703703703699E-2</v>
      </c>
      <c r="F13642" s="2">
        <v>4.1525583145221902E-2</v>
      </c>
    </row>
    <row r="13643" spans="1:6" x14ac:dyDescent="0.25">
      <c r="A13643" s="1" t="str">
        <f t="shared" si="512"/>
        <v>24900</v>
      </c>
      <c r="B13643" s="1" t="str">
        <f>"38944"</f>
        <v>38944</v>
      </c>
      <c r="C13643" s="2">
        <v>1.1667554608417599E-2</v>
      </c>
      <c r="D13643" s="2">
        <v>6.3045586808923304E-3</v>
      </c>
      <c r="E13643" s="2">
        <v>0</v>
      </c>
      <c r="F13643" s="2">
        <v>1.0910458991723101E-2</v>
      </c>
    </row>
    <row r="13644" spans="1:6" x14ac:dyDescent="0.25">
      <c r="A13644" s="1" t="str">
        <f t="shared" ref="A13644:A13655" si="513">"24940"</f>
        <v>24940</v>
      </c>
      <c r="B13644" s="1" t="str">
        <f>"29638"</f>
        <v>29638</v>
      </c>
      <c r="C13644" s="2">
        <v>6.7060381940611501E-3</v>
      </c>
      <c r="D13644" s="2">
        <v>5.6369785794813901E-4</v>
      </c>
      <c r="E13644" s="2">
        <v>0</v>
      </c>
      <c r="F13644" s="2">
        <v>6.03790324568105E-3</v>
      </c>
    </row>
    <row r="13645" spans="1:6" x14ac:dyDescent="0.25">
      <c r="A13645" s="1" t="str">
        <f t="shared" si="513"/>
        <v>24940</v>
      </c>
      <c r="B13645" s="1" t="str">
        <f>"29666"</f>
        <v>29666</v>
      </c>
      <c r="C13645" s="2">
        <v>9.5788718401589507E-2</v>
      </c>
      <c r="D13645" s="2">
        <v>4.2277339346110401E-2</v>
      </c>
      <c r="E13645" s="2">
        <v>3.2786885245901599E-2</v>
      </c>
      <c r="F13645" s="2">
        <v>8.9878502599994997E-2</v>
      </c>
    </row>
    <row r="13646" spans="1:6" x14ac:dyDescent="0.25">
      <c r="A13646" s="1" t="str">
        <f t="shared" si="513"/>
        <v>24940</v>
      </c>
      <c r="B13646" s="1" t="str">
        <f>"29138"</f>
        <v>29138</v>
      </c>
      <c r="C13646" s="2">
        <v>2.5113147146484101E-3</v>
      </c>
      <c r="D13646" s="2">
        <v>8.4554678692220901E-4</v>
      </c>
      <c r="E13646" s="2">
        <v>0</v>
      </c>
      <c r="F13646" s="2">
        <v>2.3165832860980299E-3</v>
      </c>
    </row>
    <row r="13647" spans="1:6" x14ac:dyDescent="0.25">
      <c r="A13647" s="1" t="str">
        <f t="shared" si="513"/>
        <v>24940</v>
      </c>
      <c r="B13647" s="1" t="str">
        <f>"29647"</f>
        <v>29647</v>
      </c>
      <c r="C13647" s="2">
        <v>0</v>
      </c>
      <c r="D13647" s="2">
        <v>5.6369785794813901E-4</v>
      </c>
      <c r="E13647" s="2">
        <v>0</v>
      </c>
      <c r="F13647" s="2">
        <v>4.9289006087192201E-5</v>
      </c>
    </row>
    <row r="13648" spans="1:6" x14ac:dyDescent="0.25">
      <c r="A13648" s="1" t="str">
        <f t="shared" si="513"/>
        <v>24940</v>
      </c>
      <c r="B13648" s="1" t="str">
        <f>"29653"</f>
        <v>29653</v>
      </c>
      <c r="C13648" s="2">
        <v>6.2700077271221899E-2</v>
      </c>
      <c r="D13648" s="2">
        <v>2.0574971815107101E-2</v>
      </c>
      <c r="E13648" s="2">
        <v>3.7831021437578802E-3</v>
      </c>
      <c r="F13648" s="2">
        <v>5.7865293146363697E-2</v>
      </c>
    </row>
    <row r="13649" spans="1:6" x14ac:dyDescent="0.25">
      <c r="A13649" s="1" t="str">
        <f t="shared" si="513"/>
        <v>24940</v>
      </c>
      <c r="B13649" s="1" t="str">
        <f>"29692"</f>
        <v>29692</v>
      </c>
      <c r="C13649" s="2">
        <v>3.1018876255657302E-2</v>
      </c>
      <c r="D13649" s="2">
        <v>3.46674182638105E-2</v>
      </c>
      <c r="E13649" s="2">
        <v>1.26103404791929E-2</v>
      </c>
      <c r="F13649" s="2">
        <v>3.0978140325800301E-2</v>
      </c>
    </row>
    <row r="13650" spans="1:6" x14ac:dyDescent="0.25">
      <c r="A13650" s="1" t="str">
        <f t="shared" si="513"/>
        <v>24940</v>
      </c>
      <c r="B13650" s="1" t="str">
        <f>"29695"</f>
        <v>29695</v>
      </c>
      <c r="C13650" s="2">
        <v>0</v>
      </c>
      <c r="D13650" s="2">
        <v>2.8184892897406902E-4</v>
      </c>
      <c r="E13650" s="2">
        <v>0</v>
      </c>
      <c r="F13650" s="2">
        <v>2.4644503043596101E-5</v>
      </c>
    </row>
    <row r="13651" spans="1:6" x14ac:dyDescent="0.25">
      <c r="A13651" s="1" t="str">
        <f t="shared" si="513"/>
        <v>24940</v>
      </c>
      <c r="B13651" s="1" t="str">
        <f>"29648"</f>
        <v>29648</v>
      </c>
      <c r="C13651" s="2">
        <v>3.02185671707694E-2</v>
      </c>
      <c r="D13651" s="2">
        <v>0.124577226606538</v>
      </c>
      <c r="E13651" s="2">
        <v>2.5220680958385798E-3</v>
      </c>
      <c r="F13651" s="2">
        <v>3.7927890184094398E-2</v>
      </c>
    </row>
    <row r="13652" spans="1:6" x14ac:dyDescent="0.25">
      <c r="A13652" s="1" t="str">
        <f t="shared" si="513"/>
        <v>24940</v>
      </c>
      <c r="B13652" s="1" t="str">
        <f>"29646"</f>
        <v>29646</v>
      </c>
      <c r="C13652" s="2">
        <v>0.35125289767082402</v>
      </c>
      <c r="D13652" s="2">
        <v>0.33229988726042797</v>
      </c>
      <c r="E13652" s="2">
        <v>0.35308953341740201</v>
      </c>
      <c r="F13652" s="2">
        <v>0.34963156467949802</v>
      </c>
    </row>
    <row r="13653" spans="1:6" x14ac:dyDescent="0.25">
      <c r="A13653" s="1" t="str">
        <f t="shared" si="513"/>
        <v>24940</v>
      </c>
      <c r="B13653" s="1" t="str">
        <f>"29649"</f>
        <v>29649</v>
      </c>
      <c r="C13653" s="2">
        <v>0.38977812120543098</v>
      </c>
      <c r="D13653" s="2">
        <v>0.437429537767756</v>
      </c>
      <c r="E13653" s="2">
        <v>0.59268600252206805</v>
      </c>
      <c r="F13653" s="2">
        <v>0.39791014614190301</v>
      </c>
    </row>
    <row r="13654" spans="1:6" x14ac:dyDescent="0.25">
      <c r="A13654" s="1" t="str">
        <f t="shared" si="513"/>
        <v>24940</v>
      </c>
      <c r="B13654" s="1" t="str">
        <f>"29848"</f>
        <v>29848</v>
      </c>
      <c r="C13654" s="2">
        <v>9.1897560437134308E-3</v>
      </c>
      <c r="D13654" s="2">
        <v>2.5366403607666199E-3</v>
      </c>
      <c r="E13654" s="2">
        <v>2.5220680958385798E-3</v>
      </c>
      <c r="F13654" s="2">
        <v>8.4777090469970607E-3</v>
      </c>
    </row>
    <row r="13655" spans="1:6" x14ac:dyDescent="0.25">
      <c r="A13655" s="1" t="str">
        <f t="shared" si="513"/>
        <v>24940</v>
      </c>
      <c r="B13655" s="1" t="str">
        <f>"29819"</f>
        <v>29819</v>
      </c>
      <c r="C13655" s="2">
        <v>2.0835633072082999E-2</v>
      </c>
      <c r="D13655" s="2">
        <v>3.38218714768883E-3</v>
      </c>
      <c r="E13655" s="2">
        <v>0</v>
      </c>
      <c r="F13655" s="2">
        <v>1.8902333834438199E-2</v>
      </c>
    </row>
    <row r="13656" spans="1:6" x14ac:dyDescent="0.25">
      <c r="A13656" s="1" t="str">
        <f t="shared" ref="A13656:A13666" si="514">"24980"</f>
        <v>24980</v>
      </c>
      <c r="B13656" s="1" t="str">
        <f>"38920"</f>
        <v>38920</v>
      </c>
      <c r="C13656" s="2">
        <v>1.65521807498137E-4</v>
      </c>
      <c r="D13656" s="2">
        <v>0</v>
      </c>
      <c r="E13656" s="2">
        <v>0</v>
      </c>
      <c r="F13656" s="2">
        <v>1.46092037983929E-4</v>
      </c>
    </row>
    <row r="13657" spans="1:6" x14ac:dyDescent="0.25">
      <c r="A13657" s="1" t="str">
        <f t="shared" si="514"/>
        <v>24980</v>
      </c>
      <c r="B13657" s="1" t="str">
        <f>"38914"</f>
        <v>38914</v>
      </c>
      <c r="C13657" s="2">
        <v>1.7379789787304401E-3</v>
      </c>
      <c r="D13657" s="2">
        <v>0</v>
      </c>
      <c r="E13657" s="2">
        <v>0</v>
      </c>
      <c r="F13657" s="2">
        <v>1.53396639883126E-3</v>
      </c>
    </row>
    <row r="13658" spans="1:6" x14ac:dyDescent="0.25">
      <c r="A13658" s="1" t="str">
        <f t="shared" si="514"/>
        <v>24980</v>
      </c>
      <c r="B13658" s="1" t="str">
        <f>"38922"</f>
        <v>38922</v>
      </c>
      <c r="C13658" s="2">
        <v>3.09525780021517E-2</v>
      </c>
      <c r="D13658" s="2">
        <v>1.2390670553935799E-2</v>
      </c>
      <c r="E13658" s="2">
        <v>0</v>
      </c>
      <c r="F13658" s="2">
        <v>2.8560993425858199E-2</v>
      </c>
    </row>
    <row r="13659" spans="1:6" x14ac:dyDescent="0.25">
      <c r="A13659" s="1" t="str">
        <f t="shared" si="514"/>
        <v>24980</v>
      </c>
      <c r="B13659" s="1" t="str">
        <f>"39744"</f>
        <v>39744</v>
      </c>
      <c r="C13659" s="2">
        <v>1.65521807498137E-4</v>
      </c>
      <c r="D13659" s="2">
        <v>0</v>
      </c>
      <c r="E13659" s="2">
        <v>0</v>
      </c>
      <c r="F13659" s="2">
        <v>1.46092037983929E-4</v>
      </c>
    </row>
    <row r="13660" spans="1:6" x14ac:dyDescent="0.25">
      <c r="A13660" s="1" t="str">
        <f t="shared" si="514"/>
        <v>24980</v>
      </c>
      <c r="B13660" s="1" t="str">
        <f>"38925"</f>
        <v>38925</v>
      </c>
      <c r="C13660" s="2">
        <v>1.53107671935777E-2</v>
      </c>
      <c r="D13660" s="2">
        <v>3.6443148688046598E-3</v>
      </c>
      <c r="E13660" s="2">
        <v>1.7021276595744601E-2</v>
      </c>
      <c r="F13660" s="2">
        <v>1.4170927684441101E-2</v>
      </c>
    </row>
    <row r="13661" spans="1:6" x14ac:dyDescent="0.25">
      <c r="A13661" s="1" t="str">
        <f t="shared" si="514"/>
        <v>24980</v>
      </c>
      <c r="B13661" s="1" t="str">
        <f>"38929"</f>
        <v>38929</v>
      </c>
      <c r="C13661" s="2">
        <v>5.9836133410576801E-2</v>
      </c>
      <c r="D13661" s="2">
        <v>1.60349854227405E-2</v>
      </c>
      <c r="E13661" s="2">
        <v>1.27659574468085E-2</v>
      </c>
      <c r="F13661" s="2">
        <v>5.4638422205989703E-2</v>
      </c>
    </row>
    <row r="13662" spans="1:6" x14ac:dyDescent="0.25">
      <c r="A13662" s="1" t="str">
        <f t="shared" si="514"/>
        <v>24980</v>
      </c>
      <c r="B13662" s="1" t="str">
        <f>"38953"</f>
        <v>38953</v>
      </c>
      <c r="C13662" s="2">
        <v>1.1421004717371499E-2</v>
      </c>
      <c r="D13662" s="2">
        <v>2.91545189504373E-3</v>
      </c>
      <c r="E13662" s="2">
        <v>0</v>
      </c>
      <c r="F13662" s="2">
        <v>1.0372534696859E-2</v>
      </c>
    </row>
    <row r="13663" spans="1:6" x14ac:dyDescent="0.25">
      <c r="A13663" s="1" t="str">
        <f t="shared" si="514"/>
        <v>24980</v>
      </c>
      <c r="B13663" s="1" t="str">
        <f>"38961"</f>
        <v>38961</v>
      </c>
      <c r="C13663" s="2">
        <v>8.2760903749068895E-5</v>
      </c>
      <c r="D13663" s="2">
        <v>0</v>
      </c>
      <c r="E13663" s="2">
        <v>0</v>
      </c>
      <c r="F13663" s="2">
        <v>7.3046018991964893E-5</v>
      </c>
    </row>
    <row r="13664" spans="1:6" x14ac:dyDescent="0.25">
      <c r="A13664" s="1" t="str">
        <f t="shared" si="514"/>
        <v>24980</v>
      </c>
      <c r="B13664" s="1" t="str">
        <f>"38901"</f>
        <v>38901</v>
      </c>
      <c r="C13664" s="2">
        <v>0.79227013158983595</v>
      </c>
      <c r="D13664" s="2">
        <v>0.94825072886297301</v>
      </c>
      <c r="E13664" s="2">
        <v>0.95319148936170195</v>
      </c>
      <c r="F13664" s="2">
        <v>0.81066471877282598</v>
      </c>
    </row>
    <row r="13665" spans="1:6" x14ac:dyDescent="0.25">
      <c r="A13665" s="1" t="str">
        <f t="shared" si="514"/>
        <v>24980</v>
      </c>
      <c r="B13665" s="1" t="str">
        <f>"38960"</f>
        <v>38960</v>
      </c>
      <c r="C13665" s="2">
        <v>0</v>
      </c>
      <c r="D13665" s="2">
        <v>7.2886297376093196E-4</v>
      </c>
      <c r="E13665" s="2">
        <v>0</v>
      </c>
      <c r="F13665" s="2">
        <v>7.3046018991964893E-5</v>
      </c>
    </row>
    <row r="13666" spans="1:6" x14ac:dyDescent="0.25">
      <c r="A13666" s="1" t="str">
        <f t="shared" si="514"/>
        <v>24980</v>
      </c>
      <c r="B13666" s="1" t="str">
        <f>"38940"</f>
        <v>38940</v>
      </c>
      <c r="C13666" s="2">
        <v>8.8057601589009299E-2</v>
      </c>
      <c r="D13666" s="2">
        <v>1.60349854227405E-2</v>
      </c>
      <c r="E13666" s="2">
        <v>1.7021276595744601E-2</v>
      </c>
      <c r="F13666" s="2">
        <v>7.9620160701241699E-2</v>
      </c>
    </row>
    <row r="13667" spans="1:6" x14ac:dyDescent="0.25">
      <c r="A13667" s="1" t="str">
        <f>"25020"</f>
        <v>25020</v>
      </c>
      <c r="B13667" s="1" t="str">
        <f>"00785"</f>
        <v>00785</v>
      </c>
      <c r="C13667" s="2">
        <v>8.2565034102203699E-2</v>
      </c>
      <c r="D13667" s="2">
        <v>0.127918781725888</v>
      </c>
      <c r="E13667" s="2">
        <v>5.7142857142857099E-3</v>
      </c>
      <c r="F13667" s="2">
        <v>8.4547734704892505E-2</v>
      </c>
    </row>
    <row r="13668" spans="1:6" x14ac:dyDescent="0.25">
      <c r="A13668" s="1" t="str">
        <f>"25020"</f>
        <v>25020</v>
      </c>
      <c r="B13668" s="1" t="str">
        <f>"00714"</f>
        <v>00714</v>
      </c>
      <c r="C13668" s="2">
        <v>0.25376152448846601</v>
      </c>
      <c r="D13668" s="2">
        <v>0.14213197969543101</v>
      </c>
      <c r="E13668" s="2">
        <v>0.32285714285714201</v>
      </c>
      <c r="F13668" s="2">
        <v>0.24754738546528199</v>
      </c>
    </row>
    <row r="13669" spans="1:6" x14ac:dyDescent="0.25">
      <c r="A13669" s="1" t="str">
        <f>"25020"</f>
        <v>25020</v>
      </c>
      <c r="B13669" s="1" t="str">
        <f>"00784"</f>
        <v>00784</v>
      </c>
      <c r="C13669" s="2">
        <v>0.48661617027110299</v>
      </c>
      <c r="D13669" s="2">
        <v>0.56751269035532903</v>
      </c>
      <c r="E13669" s="2">
        <v>0.54</v>
      </c>
      <c r="F13669" s="2">
        <v>0.49226910499412602</v>
      </c>
    </row>
    <row r="13670" spans="1:6" x14ac:dyDescent="0.25">
      <c r="A13670" s="1" t="str">
        <f>"25020"</f>
        <v>25020</v>
      </c>
      <c r="B13670" s="1" t="str">
        <f>"00723"</f>
        <v>00723</v>
      </c>
      <c r="C13670" s="2">
        <v>0.177057271138225</v>
      </c>
      <c r="D13670" s="2">
        <v>0.16243654822334999</v>
      </c>
      <c r="E13670" s="2">
        <v>0.13142857142857101</v>
      </c>
      <c r="F13670" s="2">
        <v>0.17563577483569801</v>
      </c>
    </row>
    <row r="13671" spans="1:6" x14ac:dyDescent="0.25">
      <c r="A13671" s="1" t="str">
        <f t="shared" ref="A13671:A13714" si="515">"25060"</f>
        <v>25060</v>
      </c>
      <c r="B13671" s="1" t="str">
        <f>"39576"</f>
        <v>39576</v>
      </c>
      <c r="C13671" s="2">
        <v>1.6143656523090699E-2</v>
      </c>
      <c r="D13671" s="2">
        <v>2.0481927710843301E-2</v>
      </c>
      <c r="E13671" s="2">
        <v>1.1134517002708301E-2</v>
      </c>
      <c r="F13671" s="2">
        <v>1.6417436070488199E-2</v>
      </c>
    </row>
    <row r="13672" spans="1:6" x14ac:dyDescent="0.25">
      <c r="A13672" s="1" t="str">
        <f t="shared" si="515"/>
        <v>25060</v>
      </c>
      <c r="B13672" s="1" t="str">
        <f>"39534"</f>
        <v>39534</v>
      </c>
      <c r="C13672" s="2">
        <v>3.1117232565369E-2</v>
      </c>
      <c r="D13672" s="2">
        <v>5.7228915662650599E-3</v>
      </c>
      <c r="E13672" s="2">
        <v>4.2130604875112799E-3</v>
      </c>
      <c r="F13672" s="2">
        <v>2.87815233214701E-2</v>
      </c>
    </row>
    <row r="13673" spans="1:6" x14ac:dyDescent="0.25">
      <c r="A13673" s="1" t="str">
        <f t="shared" si="515"/>
        <v>25060</v>
      </c>
      <c r="B13673" s="1" t="str">
        <f>"39470"</f>
        <v>39470</v>
      </c>
      <c r="C13673" s="2">
        <v>2.8928189009015199E-4</v>
      </c>
      <c r="D13673" s="2">
        <v>7.5301204819277102E-4</v>
      </c>
      <c r="E13673" s="2">
        <v>0</v>
      </c>
      <c r="F13673" s="2">
        <v>3.2175663426865097E-4</v>
      </c>
    </row>
    <row r="13674" spans="1:6" x14ac:dyDescent="0.25">
      <c r="A13674" s="1" t="str">
        <f t="shared" si="515"/>
        <v>25060</v>
      </c>
      <c r="B13674" s="1" t="str">
        <f>"39529"</f>
        <v>39529</v>
      </c>
      <c r="C13674" s="2">
        <v>1.72705606023971E-5</v>
      </c>
      <c r="D13674" s="2">
        <v>5.0200803212851401E-5</v>
      </c>
      <c r="E13674" s="2">
        <v>0</v>
      </c>
      <c r="F13674" s="2">
        <v>1.96193069676006E-5</v>
      </c>
    </row>
    <row r="13675" spans="1:6" x14ac:dyDescent="0.25">
      <c r="A13675" s="1" t="str">
        <f t="shared" si="515"/>
        <v>25060</v>
      </c>
      <c r="B13675" s="1" t="str">
        <f>"39525"</f>
        <v>39525</v>
      </c>
      <c r="C13675" s="2">
        <v>2.08585195675451E-2</v>
      </c>
      <c r="D13675" s="2">
        <v>9.2871485943775093E-3</v>
      </c>
      <c r="E13675" s="2">
        <v>3.3102618116160002E-3</v>
      </c>
      <c r="F13675" s="2">
        <v>1.9725251225225698E-2</v>
      </c>
    </row>
    <row r="13676" spans="1:6" x14ac:dyDescent="0.25">
      <c r="A13676" s="1" t="str">
        <f t="shared" si="515"/>
        <v>25060</v>
      </c>
      <c r="B13676" s="1" t="str">
        <f>"39502"</f>
        <v>39502</v>
      </c>
      <c r="C13676" s="2">
        <v>6.1440019343027797E-3</v>
      </c>
      <c r="D13676" s="2">
        <v>1.74698795180722E-2</v>
      </c>
      <c r="E13676" s="2">
        <v>6.0186578393018296E-4</v>
      </c>
      <c r="F13676" s="2">
        <v>6.9570062507111896E-3</v>
      </c>
    </row>
    <row r="13677" spans="1:6" x14ac:dyDescent="0.25">
      <c r="A13677" s="1" t="str">
        <f t="shared" si="515"/>
        <v>25060</v>
      </c>
      <c r="B13677" s="1" t="str">
        <f>"39452"</f>
        <v>39452</v>
      </c>
      <c r="C13677" s="2">
        <v>5.1207212186107501E-3</v>
      </c>
      <c r="D13677" s="2">
        <v>4.5180722891566201E-4</v>
      </c>
      <c r="E13677" s="2">
        <v>0</v>
      </c>
      <c r="F13677" s="2">
        <v>4.6890143652565603E-3</v>
      </c>
    </row>
    <row r="13678" spans="1:6" x14ac:dyDescent="0.25">
      <c r="A13678" s="1" t="str">
        <f t="shared" si="515"/>
        <v>25060</v>
      </c>
      <c r="B13678" s="1" t="str">
        <f>"39466"</f>
        <v>39466</v>
      </c>
      <c r="C13678" s="2">
        <v>7.57314082415115E-3</v>
      </c>
      <c r="D13678" s="2">
        <v>2.1586345381526101E-3</v>
      </c>
      <c r="E13678" s="2">
        <v>3.0093289196509099E-4</v>
      </c>
      <c r="F13678" s="2">
        <v>7.0551027855492001E-3</v>
      </c>
    </row>
    <row r="13679" spans="1:6" x14ac:dyDescent="0.25">
      <c r="A13679" s="1" t="str">
        <f t="shared" si="515"/>
        <v>25060</v>
      </c>
      <c r="B13679" s="1" t="str">
        <f>"39553"</f>
        <v>39553</v>
      </c>
      <c r="C13679" s="2">
        <v>3.5629166522745302E-2</v>
      </c>
      <c r="D13679" s="2">
        <v>2.5953815261044101E-2</v>
      </c>
      <c r="E13679" s="2">
        <v>3.3102618116159999E-2</v>
      </c>
      <c r="F13679" s="2">
        <v>3.4839965313065199E-2</v>
      </c>
    </row>
    <row r="13680" spans="1:6" x14ac:dyDescent="0.25">
      <c r="A13680" s="1" t="str">
        <f t="shared" si="515"/>
        <v>25060</v>
      </c>
      <c r="B13680" s="1" t="str">
        <f>"39571"</f>
        <v>39571</v>
      </c>
      <c r="C13680" s="2">
        <v>3.4946979378950603E-2</v>
      </c>
      <c r="D13680" s="2">
        <v>2.08835341365461E-2</v>
      </c>
      <c r="E13680" s="2">
        <v>1.7454107733975301E-2</v>
      </c>
      <c r="F13680" s="2">
        <v>3.3619644419680503E-2</v>
      </c>
    </row>
    <row r="13681" spans="1:6" x14ac:dyDescent="0.25">
      <c r="A13681" s="1" t="str">
        <f t="shared" si="515"/>
        <v>25060</v>
      </c>
      <c r="B13681" s="1" t="str">
        <f>"39572"</f>
        <v>39572</v>
      </c>
      <c r="C13681" s="2">
        <v>2.7071603744257501E-3</v>
      </c>
      <c r="D13681" s="2">
        <v>9.03614457831325E-4</v>
      </c>
      <c r="E13681" s="2">
        <v>0</v>
      </c>
      <c r="F13681" s="2">
        <v>2.5308905988204798E-3</v>
      </c>
    </row>
    <row r="13682" spans="1:6" x14ac:dyDescent="0.25">
      <c r="A13682" s="1" t="str">
        <f t="shared" si="515"/>
        <v>25060</v>
      </c>
      <c r="B13682" s="1" t="str">
        <f>"39426"</f>
        <v>39426</v>
      </c>
      <c r="C13682" s="2">
        <v>8.4625746951745996E-4</v>
      </c>
      <c r="D13682" s="2">
        <v>5.0200803212851401E-5</v>
      </c>
      <c r="E13682" s="2">
        <v>0</v>
      </c>
      <c r="F13682" s="2">
        <v>7.7300069452346601E-4</v>
      </c>
    </row>
    <row r="13683" spans="1:6" x14ac:dyDescent="0.25">
      <c r="A13683" s="1" t="str">
        <f t="shared" si="515"/>
        <v>25060</v>
      </c>
      <c r="B13683" s="1" t="str">
        <f>"39556"</f>
        <v>39556</v>
      </c>
      <c r="C13683" s="2">
        <v>1.4464094504507599E-2</v>
      </c>
      <c r="D13683" s="2">
        <v>6.8273092369477897E-3</v>
      </c>
      <c r="E13683" s="2">
        <v>6.62052362323201E-3</v>
      </c>
      <c r="F13683" s="2">
        <v>1.37649057684686E-2</v>
      </c>
    </row>
    <row r="13684" spans="1:6" x14ac:dyDescent="0.25">
      <c r="A13684" s="1" t="str">
        <f t="shared" si="515"/>
        <v>25060</v>
      </c>
      <c r="B13684" s="1" t="str">
        <f>"39566"</f>
        <v>39566</v>
      </c>
      <c r="C13684" s="2">
        <v>5.2243445822251298E-3</v>
      </c>
      <c r="D13684" s="2">
        <v>2.0030120481927701E-2</v>
      </c>
      <c r="E13684" s="2">
        <v>6.0186578393018296E-4</v>
      </c>
      <c r="F13684" s="2">
        <v>6.3213407049609299E-3</v>
      </c>
    </row>
    <row r="13685" spans="1:6" x14ac:dyDescent="0.25">
      <c r="A13685" s="1" t="str">
        <f t="shared" si="515"/>
        <v>25060</v>
      </c>
      <c r="B13685" s="1" t="str">
        <f>"39560"</f>
        <v>39560</v>
      </c>
      <c r="C13685" s="2">
        <v>4.2675555248523303E-2</v>
      </c>
      <c r="D13685" s="2">
        <v>3.3433734939758999E-2</v>
      </c>
      <c r="E13685" s="2">
        <v>7.2825759855552202E-2</v>
      </c>
      <c r="F13685" s="2">
        <v>4.2346312158869297E-2</v>
      </c>
    </row>
    <row r="13686" spans="1:6" x14ac:dyDescent="0.25">
      <c r="A13686" s="1" t="str">
        <f t="shared" si="515"/>
        <v>25060</v>
      </c>
      <c r="B13686" s="1" t="str">
        <f>"39574"</f>
        <v>39574</v>
      </c>
      <c r="C13686" s="2">
        <v>3.1708749266001097E-2</v>
      </c>
      <c r="D13686" s="2">
        <v>1.1746987951807199E-2</v>
      </c>
      <c r="E13686" s="2">
        <v>9.6298525428829308E-3</v>
      </c>
      <c r="F13686" s="2">
        <v>2.9860585204688199E-2</v>
      </c>
    </row>
    <row r="13687" spans="1:6" x14ac:dyDescent="0.25">
      <c r="A13687" s="1" t="str">
        <f t="shared" si="515"/>
        <v>25060</v>
      </c>
      <c r="B13687" s="1" t="str">
        <f>"39581"</f>
        <v>39581</v>
      </c>
      <c r="C13687" s="2">
        <v>2.8638907118925E-2</v>
      </c>
      <c r="D13687" s="2">
        <v>2.5451807228915602E-2</v>
      </c>
      <c r="E13687" s="2">
        <v>4.6644598254589199E-2</v>
      </c>
      <c r="F13687" s="2">
        <v>2.86245688657293E-2</v>
      </c>
    </row>
    <row r="13688" spans="1:6" x14ac:dyDescent="0.25">
      <c r="A13688" s="1" t="str">
        <f t="shared" si="515"/>
        <v>25060</v>
      </c>
      <c r="B13688" s="1" t="str">
        <f>"39531"</f>
        <v>39531</v>
      </c>
      <c r="C13688" s="2">
        <v>4.7904217470899103E-2</v>
      </c>
      <c r="D13688" s="2">
        <v>5.5070281124497897E-2</v>
      </c>
      <c r="E13688" s="2">
        <v>7.7038820343063405E-2</v>
      </c>
      <c r="F13688" s="2">
        <v>4.8844226626538603E-2</v>
      </c>
    </row>
    <row r="13689" spans="1:6" x14ac:dyDescent="0.25">
      <c r="A13689" s="1" t="str">
        <f t="shared" si="515"/>
        <v>25060</v>
      </c>
      <c r="B13689" s="1" t="str">
        <f>"39567"</f>
        <v>39567</v>
      </c>
      <c r="C13689" s="2">
        <v>2.5819488100583699E-2</v>
      </c>
      <c r="D13689" s="2">
        <v>5.5120481927710803E-2</v>
      </c>
      <c r="E13689" s="2">
        <v>4.6042732470659001E-2</v>
      </c>
      <c r="F13689" s="2">
        <v>2.8373441736543999E-2</v>
      </c>
    </row>
    <row r="13690" spans="1:6" x14ac:dyDescent="0.25">
      <c r="A13690" s="1" t="str">
        <f t="shared" si="515"/>
        <v>25060</v>
      </c>
      <c r="B13690" s="1" t="str">
        <f>"39455"</f>
        <v>39455</v>
      </c>
      <c r="C13690" s="2">
        <v>1.3989154087941599E-3</v>
      </c>
      <c r="D13690" s="2">
        <v>4.0160642570281099E-4</v>
      </c>
      <c r="E13690" s="2">
        <v>0</v>
      </c>
      <c r="F13690" s="2">
        <v>1.30272198264868E-3</v>
      </c>
    </row>
    <row r="13691" spans="1:6" x14ac:dyDescent="0.25">
      <c r="A13691" s="1" t="str">
        <f t="shared" si="515"/>
        <v>25060</v>
      </c>
      <c r="B13691" s="1" t="str">
        <f>"39558"</f>
        <v>39558</v>
      </c>
      <c r="C13691" s="2">
        <v>0</v>
      </c>
      <c r="D13691" s="2">
        <v>5.0200803212851401E-5</v>
      </c>
      <c r="E13691" s="2">
        <v>0</v>
      </c>
      <c r="F13691" s="2">
        <v>3.9238613935201297E-6</v>
      </c>
    </row>
    <row r="13692" spans="1:6" x14ac:dyDescent="0.25">
      <c r="A13692" s="1" t="str">
        <f t="shared" si="515"/>
        <v>25060</v>
      </c>
      <c r="B13692" s="1" t="str">
        <f>"39522"</f>
        <v>39522</v>
      </c>
      <c r="C13692" s="2">
        <v>8.6352803011985705E-6</v>
      </c>
      <c r="D13692" s="2">
        <v>0</v>
      </c>
      <c r="E13692" s="2">
        <v>0</v>
      </c>
      <c r="F13692" s="2">
        <v>7.8477227870402697E-6</v>
      </c>
    </row>
    <row r="13693" spans="1:6" x14ac:dyDescent="0.25">
      <c r="A13693" s="1" t="str">
        <f t="shared" si="515"/>
        <v>25060</v>
      </c>
      <c r="B13693" s="1" t="str">
        <f>"39561"</f>
        <v>39561</v>
      </c>
      <c r="C13693" s="2">
        <v>4.1578874650271096E-3</v>
      </c>
      <c r="D13693" s="2">
        <v>1.4558232931726901E-3</v>
      </c>
      <c r="E13693" s="2">
        <v>0</v>
      </c>
      <c r="F13693" s="2">
        <v>3.8924705023719698E-3</v>
      </c>
    </row>
    <row r="13694" spans="1:6" x14ac:dyDescent="0.25">
      <c r="A13694" s="1" t="str">
        <f t="shared" si="515"/>
        <v>25060</v>
      </c>
      <c r="B13694" s="1" t="str">
        <f>"39506"</f>
        <v>39506</v>
      </c>
      <c r="C13694" s="2">
        <v>7.6853994680667302E-3</v>
      </c>
      <c r="D13694" s="2">
        <v>1.9879518072289101E-2</v>
      </c>
      <c r="E13694" s="2">
        <v>6.0186578393018296E-4</v>
      </c>
      <c r="F13694" s="2">
        <v>8.5461701150868503E-3</v>
      </c>
    </row>
    <row r="13695" spans="1:6" x14ac:dyDescent="0.25">
      <c r="A13695" s="1" t="str">
        <f t="shared" si="515"/>
        <v>25060</v>
      </c>
      <c r="B13695" s="1" t="str">
        <f>"39520"</f>
        <v>39520</v>
      </c>
      <c r="C13695" s="2">
        <v>4.8184864080687999E-2</v>
      </c>
      <c r="D13695" s="2">
        <v>4.3323293172690701E-2</v>
      </c>
      <c r="E13695" s="2">
        <v>3.4306349684020403E-2</v>
      </c>
      <c r="F13695" s="2">
        <v>4.7623905733153803E-2</v>
      </c>
    </row>
    <row r="13696" spans="1:6" x14ac:dyDescent="0.25">
      <c r="A13696" s="1" t="str">
        <f t="shared" si="515"/>
        <v>25060</v>
      </c>
      <c r="B13696" s="1" t="str">
        <f>"39540"</f>
        <v>39540</v>
      </c>
      <c r="C13696" s="2">
        <v>3.15403613001278E-2</v>
      </c>
      <c r="D13696" s="2">
        <v>5.5271084337349299E-2</v>
      </c>
      <c r="E13696" s="2">
        <v>4.6945531146554302E-2</v>
      </c>
      <c r="F13696" s="2">
        <v>3.3596101251319302E-2</v>
      </c>
    </row>
    <row r="13697" spans="1:6" x14ac:dyDescent="0.25">
      <c r="A13697" s="1" t="str">
        <f t="shared" si="515"/>
        <v>25060</v>
      </c>
      <c r="B13697" s="1" t="str">
        <f>"39563"</f>
        <v>39563</v>
      </c>
      <c r="C13697" s="2">
        <v>3.1082691444164201E-2</v>
      </c>
      <c r="D13697" s="2">
        <v>3.7851405622489898E-2</v>
      </c>
      <c r="E13697" s="2">
        <v>4.1528739091182598E-2</v>
      </c>
      <c r="F13697" s="2">
        <v>3.1747962534971398E-2</v>
      </c>
    </row>
    <row r="13698" spans="1:6" x14ac:dyDescent="0.25">
      <c r="A13698" s="1" t="str">
        <f t="shared" si="515"/>
        <v>25060</v>
      </c>
      <c r="B13698" s="1" t="str">
        <f>"39501"</f>
        <v>39501</v>
      </c>
      <c r="C13698" s="2">
        <v>5.0477531000656203E-2</v>
      </c>
      <c r="D13698" s="2">
        <v>8.43373493975903E-2</v>
      </c>
      <c r="E13698" s="2">
        <v>0.158591634065603</v>
      </c>
      <c r="F13698" s="2">
        <v>5.4533825647142799E-2</v>
      </c>
    </row>
    <row r="13699" spans="1:6" x14ac:dyDescent="0.25">
      <c r="A13699" s="1" t="str">
        <f t="shared" si="515"/>
        <v>25060</v>
      </c>
      <c r="B13699" s="1" t="str">
        <f>"39532"</f>
        <v>39532</v>
      </c>
      <c r="C13699" s="2">
        <v>6.9686712030672504E-2</v>
      </c>
      <c r="D13699" s="2">
        <v>4.0411646586345301E-2</v>
      </c>
      <c r="E13699" s="2">
        <v>5.6274450797472099E-2</v>
      </c>
      <c r="F13699" s="2">
        <v>6.7223593393786904E-2</v>
      </c>
    </row>
    <row r="13700" spans="1:6" x14ac:dyDescent="0.25">
      <c r="A13700" s="1" t="str">
        <f t="shared" si="515"/>
        <v>25060</v>
      </c>
      <c r="B13700" s="1" t="str">
        <f>"39565"</f>
        <v>39565</v>
      </c>
      <c r="C13700" s="2">
        <v>4.1907015301716602E-2</v>
      </c>
      <c r="D13700" s="2">
        <v>2.0582329317268999E-2</v>
      </c>
      <c r="E13700" s="2">
        <v>2.1065302437556399E-3</v>
      </c>
      <c r="F13700" s="2">
        <v>3.9721248886604298E-2</v>
      </c>
    </row>
    <row r="13701" spans="1:6" x14ac:dyDescent="0.25">
      <c r="A13701" s="1" t="str">
        <f t="shared" si="515"/>
        <v>25060</v>
      </c>
      <c r="B13701" s="1" t="str">
        <f>"39507"</f>
        <v>39507</v>
      </c>
      <c r="C13701" s="2">
        <v>4.2230838313011602E-2</v>
      </c>
      <c r="D13701" s="2">
        <v>4.8694779116465803E-2</v>
      </c>
      <c r="E13701" s="2">
        <v>0.105326512187782</v>
      </c>
      <c r="F13701" s="2">
        <v>4.3558785329466998E-2</v>
      </c>
    </row>
    <row r="13702" spans="1:6" x14ac:dyDescent="0.25">
      <c r="A13702" s="1" t="str">
        <f t="shared" si="515"/>
        <v>25060</v>
      </c>
      <c r="B13702" s="1" t="str">
        <f>"39595"</f>
        <v>39595</v>
      </c>
      <c r="C13702" s="2">
        <v>0</v>
      </c>
      <c r="D13702" s="2">
        <v>0</v>
      </c>
      <c r="E13702" s="2">
        <v>3.0093289196509099E-4</v>
      </c>
      <c r="F13702" s="2">
        <v>3.9238613935201297E-6</v>
      </c>
    </row>
    <row r="13703" spans="1:6" x14ac:dyDescent="0.25">
      <c r="A13703" s="1" t="str">
        <f t="shared" si="515"/>
        <v>25060</v>
      </c>
      <c r="B13703" s="1" t="str">
        <f>"39569"</f>
        <v>39569</v>
      </c>
      <c r="C13703" s="2">
        <v>1.7875030223480999E-3</v>
      </c>
      <c r="D13703" s="2">
        <v>3.3132530120481901E-3</v>
      </c>
      <c r="E13703" s="2">
        <v>6.0186578393018296E-4</v>
      </c>
      <c r="F13703" s="2">
        <v>1.8913011916767001E-3</v>
      </c>
    </row>
    <row r="13704" spans="1:6" x14ac:dyDescent="0.25">
      <c r="A13704" s="1" t="str">
        <f t="shared" si="515"/>
        <v>25060</v>
      </c>
      <c r="B13704" s="1" t="str">
        <f>"39533"</f>
        <v>39533</v>
      </c>
      <c r="C13704" s="2">
        <v>4.1406169044247102E-3</v>
      </c>
      <c r="D13704" s="2">
        <v>1.7218875502007999E-2</v>
      </c>
      <c r="E13704" s="2">
        <v>6.0186578393018296E-4</v>
      </c>
      <c r="F13704" s="2">
        <v>5.1167152571502499E-3</v>
      </c>
    </row>
    <row r="13705" spans="1:6" x14ac:dyDescent="0.25">
      <c r="A13705" s="1" t="str">
        <f t="shared" si="515"/>
        <v>25060</v>
      </c>
      <c r="B13705" s="1" t="str">
        <f>"39562"</f>
        <v>39562</v>
      </c>
      <c r="C13705" s="2">
        <v>3.9178266726537903E-2</v>
      </c>
      <c r="D13705" s="2">
        <v>2.0933734939758999E-2</v>
      </c>
      <c r="E13705" s="2">
        <v>1.41438459223593E-2</v>
      </c>
      <c r="F13705" s="2">
        <v>3.7425789971395E-2</v>
      </c>
    </row>
    <row r="13706" spans="1:6" x14ac:dyDescent="0.25">
      <c r="A13706" s="1" t="str">
        <f t="shared" si="515"/>
        <v>25060</v>
      </c>
      <c r="B13706" s="1" t="str">
        <f>"39573"</f>
        <v>39573</v>
      </c>
      <c r="C13706" s="2">
        <v>1.82852060377879E-2</v>
      </c>
      <c r="D13706" s="2">
        <v>5.5220883534136504E-3</v>
      </c>
      <c r="E13706" s="2">
        <v>4.2130604875112799E-3</v>
      </c>
      <c r="F13706" s="2">
        <v>1.71041118143542E-2</v>
      </c>
    </row>
    <row r="13707" spans="1:6" x14ac:dyDescent="0.25">
      <c r="A13707" s="1" t="str">
        <f t="shared" si="515"/>
        <v>25060</v>
      </c>
      <c r="B13707" s="1" t="str">
        <f>"39503"</f>
        <v>39503</v>
      </c>
      <c r="C13707" s="2">
        <v>0.103018893993299</v>
      </c>
      <c r="D13707" s="2">
        <v>0.10135542168674599</v>
      </c>
      <c r="E13707" s="2">
        <v>8.1552813722539794E-2</v>
      </c>
      <c r="F13707" s="2">
        <v>0.102608975440551</v>
      </c>
    </row>
    <row r="13708" spans="1:6" x14ac:dyDescent="0.25">
      <c r="A13708" s="1" t="str">
        <f t="shared" si="515"/>
        <v>25060</v>
      </c>
      <c r="B13708" s="1" t="str">
        <f>"39530"</f>
        <v>39530</v>
      </c>
      <c r="C13708" s="2">
        <v>2.4835066146247101E-2</v>
      </c>
      <c r="D13708" s="2">
        <v>4.6485943775100402E-2</v>
      </c>
      <c r="E13708" s="2">
        <v>4.8450195606379698E-2</v>
      </c>
      <c r="F13708" s="2">
        <v>2.6835288070284201E-2</v>
      </c>
    </row>
    <row r="13709" spans="1:6" x14ac:dyDescent="0.25">
      <c r="A13709" s="1" t="str">
        <f t="shared" si="515"/>
        <v>25060</v>
      </c>
      <c r="B13709" s="1" t="str">
        <f>"39535"</f>
        <v>39535</v>
      </c>
      <c r="C13709" s="2">
        <v>6.2260370971641702E-3</v>
      </c>
      <c r="D13709" s="2">
        <v>1.20983935742971E-2</v>
      </c>
      <c r="E13709" s="2">
        <v>6.0186578393018296E-4</v>
      </c>
      <c r="F13709" s="2">
        <v>6.6117064480814202E-3</v>
      </c>
    </row>
    <row r="13710" spans="1:6" x14ac:dyDescent="0.25">
      <c r="A13710" s="1" t="str">
        <f t="shared" si="515"/>
        <v>25060</v>
      </c>
      <c r="B13710" s="1" t="str">
        <f>"39505"</f>
        <v>39505</v>
      </c>
      <c r="C13710" s="2">
        <v>6.7398362750854804E-3</v>
      </c>
      <c r="D13710" s="2">
        <v>2.5150602409638501E-2</v>
      </c>
      <c r="E13710" s="2">
        <v>6.0186578393018296E-4</v>
      </c>
      <c r="F13710" s="2">
        <v>8.0988499162255503E-3</v>
      </c>
    </row>
    <row r="13711" spans="1:6" x14ac:dyDescent="0.25">
      <c r="A13711" s="1" t="str">
        <f t="shared" si="515"/>
        <v>25060</v>
      </c>
      <c r="B13711" s="1" t="str">
        <f>"39577"</f>
        <v>39577</v>
      </c>
      <c r="C13711" s="2">
        <v>1.8181582674173601E-2</v>
      </c>
      <c r="D13711" s="2">
        <v>2.9819277108433701E-2</v>
      </c>
      <c r="E13711" s="2">
        <v>2.16671682214866E-2</v>
      </c>
      <c r="F13711" s="2">
        <v>1.9136672016197599E-2</v>
      </c>
    </row>
    <row r="13712" spans="1:6" x14ac:dyDescent="0.25">
      <c r="A13712" s="1" t="str">
        <f t="shared" si="515"/>
        <v>25060</v>
      </c>
      <c r="B13712" s="1" t="str">
        <f>"39555"</f>
        <v>39555</v>
      </c>
      <c r="C13712" s="2">
        <v>0</v>
      </c>
      <c r="D13712" s="2">
        <v>1.00401606425702E-4</v>
      </c>
      <c r="E13712" s="2">
        <v>0</v>
      </c>
      <c r="F13712" s="2">
        <v>7.8477227870402697E-6</v>
      </c>
    </row>
    <row r="13713" spans="1:6" x14ac:dyDescent="0.25">
      <c r="A13713" s="1" t="str">
        <f t="shared" si="515"/>
        <v>25060</v>
      </c>
      <c r="B13713" s="1" t="str">
        <f>"39552"</f>
        <v>39552</v>
      </c>
      <c r="C13713" s="2">
        <v>7.1241062484888196E-3</v>
      </c>
      <c r="D13713" s="2">
        <v>3.51405622489959E-3</v>
      </c>
      <c r="E13713" s="2">
        <v>9.0279867589527498E-4</v>
      </c>
      <c r="F13713" s="2">
        <v>6.7608131810351904E-3</v>
      </c>
    </row>
    <row r="13714" spans="1:6" x14ac:dyDescent="0.25">
      <c r="A13714" s="1" t="str">
        <f t="shared" si="515"/>
        <v>25060</v>
      </c>
      <c r="B13714" s="1" t="str">
        <f>"39564"</f>
        <v>39564</v>
      </c>
      <c r="C13714" s="2">
        <v>8.4293288660149901E-2</v>
      </c>
      <c r="D13714" s="2">
        <v>7.0381526104417599E-2</v>
      </c>
      <c r="E13714" s="2">
        <v>5.1158591634065602E-2</v>
      </c>
      <c r="F13714" s="2">
        <v>8.2773856096307205E-2</v>
      </c>
    </row>
    <row r="13715" spans="1:6" x14ac:dyDescent="0.25">
      <c r="A13715" s="1" t="str">
        <f t="shared" ref="A13715:A13721" si="516">"25100"</f>
        <v>25100</v>
      </c>
      <c r="B13715" s="1" t="str">
        <f>"73942"</f>
        <v>73942</v>
      </c>
      <c r="C13715" s="2">
        <v>0.80991613947329699</v>
      </c>
      <c r="D13715" s="2">
        <v>0.90389972144846698</v>
      </c>
      <c r="E13715" s="2">
        <v>0.952380952380952</v>
      </c>
      <c r="F13715" s="2">
        <v>0.82181439541845602</v>
      </c>
    </row>
    <row r="13716" spans="1:6" x14ac:dyDescent="0.25">
      <c r="A13716" s="1" t="str">
        <f t="shared" si="516"/>
        <v>25100</v>
      </c>
      <c r="B13716" s="1" t="str">
        <f>"73944"</f>
        <v>73944</v>
      </c>
      <c r="C13716" s="2">
        <v>1.85375901132852E-2</v>
      </c>
      <c r="D13716" s="2">
        <v>1.1142061281337001E-2</v>
      </c>
      <c r="E13716" s="2">
        <v>5.9523809523809503E-3</v>
      </c>
      <c r="F13716" s="2">
        <v>1.75712612260835E-2</v>
      </c>
    </row>
    <row r="13717" spans="1:6" x14ac:dyDescent="0.25">
      <c r="A13717" s="1" t="str">
        <f t="shared" si="516"/>
        <v>25100</v>
      </c>
      <c r="B13717" s="1" t="str">
        <f>"73901"</f>
        <v>73901</v>
      </c>
      <c r="C13717" s="2">
        <v>0</v>
      </c>
      <c r="D13717" s="2">
        <v>0</v>
      </c>
      <c r="E13717" s="2">
        <v>5.9523809523809503E-3</v>
      </c>
      <c r="F13717" s="2">
        <v>1.3015749056358099E-4</v>
      </c>
    </row>
    <row r="13718" spans="1:6" x14ac:dyDescent="0.25">
      <c r="A13718" s="1" t="str">
        <f t="shared" si="516"/>
        <v>25100</v>
      </c>
      <c r="B13718" s="1" t="str">
        <f>"73951"</f>
        <v>73951</v>
      </c>
      <c r="C13718" s="2">
        <v>2.4716786817713599E-2</v>
      </c>
      <c r="D13718" s="2">
        <v>2.7855153203342601E-3</v>
      </c>
      <c r="E13718" s="2">
        <v>0</v>
      </c>
      <c r="F13718" s="2">
        <v>2.2126773395808898E-2</v>
      </c>
    </row>
    <row r="13719" spans="1:6" x14ac:dyDescent="0.25">
      <c r="A13719" s="1" t="str">
        <f t="shared" si="516"/>
        <v>25100</v>
      </c>
      <c r="B13719" s="1" t="str">
        <f>"73949"</f>
        <v>73949</v>
      </c>
      <c r="C13719" s="2">
        <v>3.7663675150801802E-2</v>
      </c>
      <c r="D13719" s="2">
        <v>2.3676880222841201E-2</v>
      </c>
      <c r="E13719" s="2">
        <v>0</v>
      </c>
      <c r="F13719" s="2">
        <v>3.5532994923857801E-2</v>
      </c>
    </row>
    <row r="13720" spans="1:6" x14ac:dyDescent="0.25">
      <c r="A13720" s="1" t="str">
        <f t="shared" si="516"/>
        <v>25100</v>
      </c>
      <c r="B13720" s="1" t="str">
        <f>"73939"</f>
        <v>73939</v>
      </c>
      <c r="C13720" s="2">
        <v>3.38384581432985E-2</v>
      </c>
      <c r="D13720" s="2">
        <v>1.53203342618384E-2</v>
      </c>
      <c r="E13720" s="2">
        <v>0</v>
      </c>
      <c r="F13720" s="2">
        <v>3.1367955225823203E-2</v>
      </c>
    </row>
    <row r="13721" spans="1:6" x14ac:dyDescent="0.25">
      <c r="A13721" s="1" t="str">
        <f t="shared" si="516"/>
        <v>25100</v>
      </c>
      <c r="B13721" s="1" t="str">
        <f>"73945"</f>
        <v>73945</v>
      </c>
      <c r="C13721" s="2">
        <v>7.5327350301603604E-2</v>
      </c>
      <c r="D13721" s="2">
        <v>4.3175487465181003E-2</v>
      </c>
      <c r="E13721" s="2">
        <v>3.5714285714285698E-2</v>
      </c>
      <c r="F13721" s="2">
        <v>7.1456462319406402E-2</v>
      </c>
    </row>
    <row r="13722" spans="1:6" x14ac:dyDescent="0.25">
      <c r="A13722" s="1" t="str">
        <f t="shared" ref="A13722:A13762" si="517">"25180"</f>
        <v>25180</v>
      </c>
      <c r="B13722" s="1" t="str">
        <f>"21783"</f>
        <v>21783</v>
      </c>
      <c r="C13722" s="2">
        <v>2.30108784293209E-2</v>
      </c>
      <c r="D13722" s="2">
        <v>8.0350620891161406E-3</v>
      </c>
      <c r="E13722" s="2">
        <v>2.80232808794998E-3</v>
      </c>
      <c r="F13722" s="2">
        <v>2.1365565448947299E-2</v>
      </c>
    </row>
    <row r="13723" spans="1:6" x14ac:dyDescent="0.25">
      <c r="A13723" s="1" t="str">
        <f t="shared" si="517"/>
        <v>25180</v>
      </c>
      <c r="B13723" s="1" t="str">
        <f>"21779"</f>
        <v>21779</v>
      </c>
      <c r="C13723" s="2">
        <v>3.0773491714237299E-3</v>
      </c>
      <c r="D13723" s="2">
        <v>1.0435145570280701E-3</v>
      </c>
      <c r="E13723" s="2">
        <v>0</v>
      </c>
      <c r="F13723" s="2">
        <v>2.84319436354053E-3</v>
      </c>
    </row>
    <row r="13724" spans="1:6" x14ac:dyDescent="0.25">
      <c r="A13724" s="1" t="str">
        <f t="shared" si="517"/>
        <v>25180</v>
      </c>
      <c r="B13724" s="1" t="str">
        <f>"25405"</f>
        <v>25405</v>
      </c>
      <c r="C13724" s="2">
        <v>4.3421396808788898E-2</v>
      </c>
      <c r="D13724" s="2">
        <v>2.6818324115621399E-2</v>
      </c>
      <c r="E13724" s="2">
        <v>1.9616296615649901E-2</v>
      </c>
      <c r="F13724" s="2">
        <v>4.1552245430085101E-2</v>
      </c>
    </row>
    <row r="13725" spans="1:6" x14ac:dyDescent="0.25">
      <c r="A13725" s="1" t="str">
        <f t="shared" si="517"/>
        <v>25180</v>
      </c>
      <c r="B13725" s="1" t="str">
        <f>"21746"</f>
        <v>21746</v>
      </c>
      <c r="C13725" s="2">
        <v>0</v>
      </c>
      <c r="D13725" s="2">
        <v>3.1305436710842097E-4</v>
      </c>
      <c r="E13725" s="2">
        <v>0</v>
      </c>
      <c r="F13725" s="2">
        <v>2.0803861196638E-5</v>
      </c>
    </row>
    <row r="13726" spans="1:6" x14ac:dyDescent="0.25">
      <c r="A13726" s="1" t="str">
        <f t="shared" si="517"/>
        <v>25180</v>
      </c>
      <c r="B13726" s="1" t="str">
        <f>"21767"</f>
        <v>21767</v>
      </c>
      <c r="C13726" s="2">
        <v>8.1780554230585709E-3</v>
      </c>
      <c r="D13726" s="2">
        <v>8.6611708233329792E-3</v>
      </c>
      <c r="E13726" s="2">
        <v>9.7003664582884196E-3</v>
      </c>
      <c r="F13726" s="2">
        <v>8.2591328950653194E-3</v>
      </c>
    </row>
    <row r="13727" spans="1:6" x14ac:dyDescent="0.25">
      <c r="A13727" s="1" t="str">
        <f t="shared" si="517"/>
        <v>25180</v>
      </c>
      <c r="B13727" s="1" t="str">
        <f>"21719"</f>
        <v>21719</v>
      </c>
      <c r="C13727" s="2">
        <v>5.7777230693480596E-3</v>
      </c>
      <c r="D13727" s="2">
        <v>1.8783262026505201E-3</v>
      </c>
      <c r="E13727" s="2">
        <v>1.8754041819357602E-2</v>
      </c>
      <c r="F13727" s="2">
        <v>5.9360350614407302E-3</v>
      </c>
    </row>
    <row r="13728" spans="1:6" x14ac:dyDescent="0.25">
      <c r="A13728" s="1" t="str">
        <f t="shared" si="517"/>
        <v>25180</v>
      </c>
      <c r="B13728" s="1" t="str">
        <f>"25421"</f>
        <v>25421</v>
      </c>
      <c r="C13728" s="2">
        <v>5.6930959671339099E-4</v>
      </c>
      <c r="D13728" s="2">
        <v>0</v>
      </c>
      <c r="E13728" s="2">
        <v>0</v>
      </c>
      <c r="F13728" s="2">
        <v>5.1316190951707303E-4</v>
      </c>
    </row>
    <row r="13729" spans="1:6" x14ac:dyDescent="0.25">
      <c r="A13729" s="1" t="str">
        <f t="shared" si="517"/>
        <v>25180</v>
      </c>
      <c r="B13729" s="1" t="str">
        <f>"25443"</f>
        <v>25443</v>
      </c>
      <c r="C13729" s="2">
        <v>8.7704451385576404E-4</v>
      </c>
      <c r="D13729" s="2">
        <v>2.0870291140561399E-4</v>
      </c>
      <c r="E13729" s="2">
        <v>0</v>
      </c>
      <c r="F13729" s="2">
        <v>8.0441596627000601E-4</v>
      </c>
    </row>
    <row r="13730" spans="1:6" x14ac:dyDescent="0.25">
      <c r="A13730" s="1" t="str">
        <f t="shared" si="517"/>
        <v>25180</v>
      </c>
      <c r="B13730" s="1" t="str">
        <f>"25402"</f>
        <v>25402</v>
      </c>
      <c r="C13730" s="2">
        <v>1.6517671677616901E-2</v>
      </c>
      <c r="D13730" s="2">
        <v>3.8296984242930099E-2</v>
      </c>
      <c r="E13730" s="2">
        <v>2.1556369907307601E-4</v>
      </c>
      <c r="F13730" s="2">
        <v>1.74405703031816E-2</v>
      </c>
    </row>
    <row r="13731" spans="1:6" x14ac:dyDescent="0.25">
      <c r="A13731" s="1" t="str">
        <f t="shared" si="517"/>
        <v>25180</v>
      </c>
      <c r="B13731" s="1" t="str">
        <f>"21782"</f>
        <v>21782</v>
      </c>
      <c r="C13731" s="2">
        <v>1.29864135034081E-2</v>
      </c>
      <c r="D13731" s="2">
        <v>2.9218407596785902E-3</v>
      </c>
      <c r="E13731" s="2">
        <v>6.4669109721922802E-4</v>
      </c>
      <c r="F13731" s="2">
        <v>1.1920612465673599E-2</v>
      </c>
    </row>
    <row r="13732" spans="1:6" x14ac:dyDescent="0.25">
      <c r="A13732" s="1" t="str">
        <f t="shared" si="517"/>
        <v>25180</v>
      </c>
      <c r="B13732" s="1" t="str">
        <f>"21722"</f>
        <v>21722</v>
      </c>
      <c r="C13732" s="2">
        <v>1.78640119401147E-2</v>
      </c>
      <c r="D13732" s="2">
        <v>4.8001669623291198E-3</v>
      </c>
      <c r="E13732" s="2">
        <v>2.1556369907307599E-3</v>
      </c>
      <c r="F13732" s="2">
        <v>1.6490527308535102E-2</v>
      </c>
    </row>
    <row r="13733" spans="1:6" x14ac:dyDescent="0.25">
      <c r="A13733" s="1" t="str">
        <f t="shared" si="517"/>
        <v>25180</v>
      </c>
      <c r="B13733" s="1" t="str">
        <f>"21750"</f>
        <v>21750</v>
      </c>
      <c r="C13733" s="2">
        <v>1.5463679586404201E-2</v>
      </c>
      <c r="D13733" s="2">
        <v>2.58791610142961E-2</v>
      </c>
      <c r="E13733" s="2">
        <v>1.8538478120284502E-2</v>
      </c>
      <c r="F13733" s="2">
        <v>1.6254750214973201E-2</v>
      </c>
    </row>
    <row r="13734" spans="1:6" x14ac:dyDescent="0.25">
      <c r="A13734" s="1" t="str">
        <f t="shared" si="517"/>
        <v>25180</v>
      </c>
      <c r="B13734" s="1" t="str">
        <f>"25427"</f>
        <v>25427</v>
      </c>
      <c r="C13734" s="2">
        <v>5.2738071425274202E-2</v>
      </c>
      <c r="D13734" s="2">
        <v>1.1374308671605901E-2</v>
      </c>
      <c r="E13734" s="2">
        <v>3.44901918516921E-3</v>
      </c>
      <c r="F13734" s="2">
        <v>4.8403650384177897E-2</v>
      </c>
    </row>
    <row r="13735" spans="1:6" x14ac:dyDescent="0.25">
      <c r="A13735" s="1" t="str">
        <f t="shared" si="517"/>
        <v>25180</v>
      </c>
      <c r="B13735" s="1" t="str">
        <f>"25420"</f>
        <v>25420</v>
      </c>
      <c r="C13735" s="2">
        <v>1.29787201304796E-2</v>
      </c>
      <c r="D13735" s="2">
        <v>7.3046018991964896E-4</v>
      </c>
      <c r="E13735" s="2">
        <v>1.0778184953653799E-3</v>
      </c>
      <c r="F13735" s="2">
        <v>1.1781920057696E-2</v>
      </c>
    </row>
    <row r="13736" spans="1:6" x14ac:dyDescent="0.25">
      <c r="A13736" s="1" t="str">
        <f t="shared" si="517"/>
        <v>25180</v>
      </c>
      <c r="B13736" s="1" t="str">
        <f>"25413"</f>
        <v>25413</v>
      </c>
      <c r="C13736" s="2">
        <v>2.8534720192026498E-2</v>
      </c>
      <c r="D13736" s="2">
        <v>7.8263591777105197E-3</v>
      </c>
      <c r="E13736" s="2">
        <v>7.5447294675576601E-3</v>
      </c>
      <c r="F13736" s="2">
        <v>2.6483315303320199E-2</v>
      </c>
    </row>
    <row r="13737" spans="1:6" x14ac:dyDescent="0.25">
      <c r="A13737" s="1" t="str">
        <f t="shared" si="517"/>
        <v>25180</v>
      </c>
      <c r="B13737" s="1" t="str">
        <f>"25411"</f>
        <v>25411</v>
      </c>
      <c r="C13737" s="2">
        <v>5.1122463110276802E-2</v>
      </c>
      <c r="D13737" s="2">
        <v>4.4140665762287298E-2</v>
      </c>
      <c r="E13737" s="2">
        <v>3.5783574046130598E-2</v>
      </c>
      <c r="F13737" s="2">
        <v>5.0165043965493303E-2</v>
      </c>
    </row>
    <row r="13738" spans="1:6" x14ac:dyDescent="0.25">
      <c r="A13738" s="1" t="str">
        <f t="shared" si="517"/>
        <v>25180</v>
      </c>
      <c r="B13738" s="1" t="str">
        <f>"21720"</f>
        <v>21720</v>
      </c>
      <c r="C13738" s="2">
        <v>2.3080118785677999E-5</v>
      </c>
      <c r="D13738" s="2">
        <v>1.04351455702807E-4</v>
      </c>
      <c r="E13738" s="2">
        <v>0</v>
      </c>
      <c r="F13738" s="2">
        <v>2.77384815955174E-5</v>
      </c>
    </row>
    <row r="13739" spans="1:6" x14ac:dyDescent="0.25">
      <c r="A13739" s="1" t="str">
        <f t="shared" si="517"/>
        <v>25180</v>
      </c>
      <c r="B13739" s="1" t="str">
        <f>"21721"</f>
        <v>21721</v>
      </c>
      <c r="C13739" s="2">
        <v>0</v>
      </c>
      <c r="D13739" s="2">
        <v>1.04351455702807E-4</v>
      </c>
      <c r="E13739" s="2">
        <v>0</v>
      </c>
      <c r="F13739" s="2">
        <v>6.9346203988793601E-6</v>
      </c>
    </row>
    <row r="13740" spans="1:6" x14ac:dyDescent="0.25">
      <c r="A13740" s="1" t="str">
        <f t="shared" si="517"/>
        <v>25180</v>
      </c>
      <c r="B13740" s="1" t="str">
        <f>"21780"</f>
        <v>21780</v>
      </c>
      <c r="C13740" s="2">
        <v>2.5388130664245803E-4</v>
      </c>
      <c r="D13740" s="2">
        <v>0</v>
      </c>
      <c r="E13740" s="2">
        <v>0</v>
      </c>
      <c r="F13740" s="2">
        <v>2.2884247316301901E-4</v>
      </c>
    </row>
    <row r="13741" spans="1:6" x14ac:dyDescent="0.25">
      <c r="A13741" s="1" t="str">
        <f t="shared" si="517"/>
        <v>25180</v>
      </c>
      <c r="B13741" s="1" t="str">
        <f>"21713"</f>
        <v>21713</v>
      </c>
      <c r="C13741" s="2">
        <v>3.10042929020941E-2</v>
      </c>
      <c r="D13741" s="2">
        <v>1.8574559115099601E-2</v>
      </c>
      <c r="E13741" s="2">
        <v>1.35805130416037E-2</v>
      </c>
      <c r="F13741" s="2">
        <v>2.9617763723613699E-2</v>
      </c>
    </row>
    <row r="13742" spans="1:6" x14ac:dyDescent="0.25">
      <c r="A13742" s="1" t="str">
        <f t="shared" si="517"/>
        <v>25180</v>
      </c>
      <c r="B13742" s="1" t="str">
        <f>"21756"</f>
        <v>21756</v>
      </c>
      <c r="C13742" s="2">
        <v>1.1347725069625E-2</v>
      </c>
      <c r="D13742" s="2">
        <v>1.14786601273087E-3</v>
      </c>
      <c r="E13742" s="2">
        <v>4.3112739814615201E-4</v>
      </c>
      <c r="F13742" s="2">
        <v>1.0318715153532399E-2</v>
      </c>
    </row>
    <row r="13743" spans="1:6" x14ac:dyDescent="0.25">
      <c r="A13743" s="1" t="str">
        <f t="shared" si="517"/>
        <v>25180</v>
      </c>
      <c r="B13743" s="1" t="str">
        <f>"21733"</f>
        <v>21733</v>
      </c>
      <c r="C13743" s="2">
        <v>3.63896539520856E-3</v>
      </c>
      <c r="D13743" s="2">
        <v>1.35656892413649E-3</v>
      </c>
      <c r="E13743" s="2">
        <v>0</v>
      </c>
      <c r="F13743" s="2">
        <v>3.3702255138553698E-3</v>
      </c>
    </row>
    <row r="13744" spans="1:6" x14ac:dyDescent="0.25">
      <c r="A13744" s="1" t="str">
        <f t="shared" si="517"/>
        <v>25180</v>
      </c>
      <c r="B13744" s="1" t="str">
        <f>"25401"</f>
        <v>25401</v>
      </c>
      <c r="C13744" s="2">
        <v>5.6277022972411501E-2</v>
      </c>
      <c r="D13744" s="2">
        <v>0.113847438171762</v>
      </c>
      <c r="E13744" s="2">
        <v>0.10303944815693</v>
      </c>
      <c r="F13744" s="2">
        <v>6.1607167623644203E-2</v>
      </c>
    </row>
    <row r="13745" spans="1:6" x14ac:dyDescent="0.25">
      <c r="A13745" s="1" t="str">
        <f t="shared" si="517"/>
        <v>25180</v>
      </c>
      <c r="B13745" s="1" t="str">
        <f>"25430"</f>
        <v>25430</v>
      </c>
      <c r="C13745" s="2">
        <v>5.2930405748488202E-3</v>
      </c>
      <c r="D13745" s="2">
        <v>1.9826776583533301E-3</v>
      </c>
      <c r="E13745" s="2">
        <v>2.1556369907307599E-3</v>
      </c>
      <c r="F13745" s="2">
        <v>4.9721228259965002E-3</v>
      </c>
    </row>
    <row r="13746" spans="1:6" x14ac:dyDescent="0.25">
      <c r="A13746" s="1" t="str">
        <f t="shared" si="517"/>
        <v>25180</v>
      </c>
      <c r="B13746" s="1" t="str">
        <f>"21755"</f>
        <v>21755</v>
      </c>
      <c r="C13746" s="2">
        <v>7.6933729285593297E-6</v>
      </c>
      <c r="D13746" s="2">
        <v>0</v>
      </c>
      <c r="E13746" s="2">
        <v>0</v>
      </c>
      <c r="F13746" s="2">
        <v>6.9346203988793601E-6</v>
      </c>
    </row>
    <row r="13747" spans="1:6" x14ac:dyDescent="0.25">
      <c r="A13747" s="1" t="str">
        <f t="shared" si="517"/>
        <v>25180</v>
      </c>
      <c r="B13747" s="1" t="str">
        <f>"21742"</f>
        <v>21742</v>
      </c>
      <c r="C13747" s="2">
        <v>0.118300995522456</v>
      </c>
      <c r="D13747" s="2">
        <v>0.12793488469164099</v>
      </c>
      <c r="E13747" s="2">
        <v>0.143134296184522</v>
      </c>
      <c r="F13747" s="2">
        <v>0.11974009042745</v>
      </c>
    </row>
    <row r="13748" spans="1:6" x14ac:dyDescent="0.25">
      <c r="A13748" s="1" t="str">
        <f t="shared" si="517"/>
        <v>25180</v>
      </c>
      <c r="B13748" s="1" t="str">
        <f>"21758"</f>
        <v>21758</v>
      </c>
      <c r="C13748" s="2">
        <v>5.8161899339908597E-3</v>
      </c>
      <c r="D13748" s="2">
        <v>1.8783262026505201E-3</v>
      </c>
      <c r="E13748" s="2">
        <v>4.3112739814615201E-4</v>
      </c>
      <c r="F13748" s="2">
        <v>5.3812654295303797E-3</v>
      </c>
    </row>
    <row r="13749" spans="1:6" x14ac:dyDescent="0.25">
      <c r="A13749" s="1" t="str">
        <f t="shared" si="517"/>
        <v>25180</v>
      </c>
      <c r="B13749" s="1" t="str">
        <f>"25422"</f>
        <v>25422</v>
      </c>
      <c r="C13749" s="2">
        <v>6.3008724284900897E-3</v>
      </c>
      <c r="D13749" s="2">
        <v>3.1305436710842097E-4</v>
      </c>
      <c r="E13749" s="2">
        <v>2.1556369907307601E-4</v>
      </c>
      <c r="F13749" s="2">
        <v>5.7071925882777102E-3</v>
      </c>
    </row>
    <row r="13750" spans="1:6" x14ac:dyDescent="0.25">
      <c r="A13750" s="1" t="str">
        <f t="shared" si="517"/>
        <v>25180</v>
      </c>
      <c r="B13750" s="1" t="str">
        <f>"21715"</f>
        <v>21715</v>
      </c>
      <c r="C13750" s="2">
        <v>2.9234817128525399E-4</v>
      </c>
      <c r="D13750" s="2">
        <v>1.04351455702807E-4</v>
      </c>
      <c r="E13750" s="2">
        <v>0</v>
      </c>
      <c r="F13750" s="2">
        <v>2.7045019555629499E-4</v>
      </c>
    </row>
    <row r="13751" spans="1:6" x14ac:dyDescent="0.25">
      <c r="A13751" s="1" t="str">
        <f t="shared" si="517"/>
        <v>25180</v>
      </c>
      <c r="B13751" s="1" t="str">
        <f>"21741"</f>
        <v>21741</v>
      </c>
      <c r="C13751" s="2">
        <v>0</v>
      </c>
      <c r="D13751" s="2">
        <v>1.04351455702807E-4</v>
      </c>
      <c r="E13751" s="2">
        <v>0</v>
      </c>
      <c r="F13751" s="2">
        <v>6.9346203988793601E-6</v>
      </c>
    </row>
    <row r="13752" spans="1:6" x14ac:dyDescent="0.25">
      <c r="A13752" s="1" t="str">
        <f t="shared" si="517"/>
        <v>25180</v>
      </c>
      <c r="B13752" s="1" t="str">
        <f>"21734"</f>
        <v>21734</v>
      </c>
      <c r="C13752" s="2">
        <v>8.3011493899155207E-3</v>
      </c>
      <c r="D13752" s="2">
        <v>9.4959824689554405E-3</v>
      </c>
      <c r="E13752" s="2">
        <v>1.29338219443845E-3</v>
      </c>
      <c r="F13752" s="2">
        <v>8.1551135890821306E-3</v>
      </c>
    </row>
    <row r="13753" spans="1:6" x14ac:dyDescent="0.25">
      <c r="A13753" s="1" t="str">
        <f t="shared" si="517"/>
        <v>25180</v>
      </c>
      <c r="B13753" s="1" t="str">
        <f>"21769"</f>
        <v>21769</v>
      </c>
      <c r="C13753" s="2">
        <v>1.23093966856949E-4</v>
      </c>
      <c r="D13753" s="2">
        <v>2.0870291140561399E-4</v>
      </c>
      <c r="E13753" s="2">
        <v>0</v>
      </c>
      <c r="F13753" s="2">
        <v>1.2482316717982801E-4</v>
      </c>
    </row>
    <row r="13754" spans="1:6" x14ac:dyDescent="0.25">
      <c r="A13754" s="1" t="str">
        <f t="shared" si="517"/>
        <v>25180</v>
      </c>
      <c r="B13754" s="1" t="str">
        <f>"21711"</f>
        <v>21711</v>
      </c>
      <c r="C13754" s="2">
        <v>3.6004985305657699E-3</v>
      </c>
      <c r="D13754" s="2">
        <v>9.3916310132526298E-4</v>
      </c>
      <c r="E13754" s="2">
        <v>0</v>
      </c>
      <c r="F13754" s="2">
        <v>3.3078139302654499E-3</v>
      </c>
    </row>
    <row r="13755" spans="1:6" x14ac:dyDescent="0.25">
      <c r="A13755" s="1" t="str">
        <f t="shared" si="517"/>
        <v>25180</v>
      </c>
      <c r="B13755" s="1" t="str">
        <f>"21781"</f>
        <v>21781</v>
      </c>
      <c r="C13755" s="2">
        <v>0</v>
      </c>
      <c r="D13755" s="2">
        <v>1.04351455702807E-4</v>
      </c>
      <c r="E13755" s="2">
        <v>0</v>
      </c>
      <c r="F13755" s="2">
        <v>6.9346203988793601E-6</v>
      </c>
    </row>
    <row r="13756" spans="1:6" x14ac:dyDescent="0.25">
      <c r="A13756" s="1" t="str">
        <f t="shared" si="517"/>
        <v>25180</v>
      </c>
      <c r="B13756" s="1" t="str">
        <f>"21740"</f>
        <v>21740</v>
      </c>
      <c r="C13756" s="2">
        <v>0.215999138342232</v>
      </c>
      <c r="D13756" s="2">
        <v>0.370238964833559</v>
      </c>
      <c r="E13756" s="2">
        <v>0.461521879715455</v>
      </c>
      <c r="F13756" s="2">
        <v>0.23414745776816101</v>
      </c>
    </row>
    <row r="13757" spans="1:6" x14ac:dyDescent="0.25">
      <c r="A13757" s="1" t="str">
        <f t="shared" si="517"/>
        <v>25180</v>
      </c>
      <c r="B13757" s="1" t="str">
        <f>"21795"</f>
        <v>21795</v>
      </c>
      <c r="C13757" s="2">
        <v>3.80975827422258E-2</v>
      </c>
      <c r="D13757" s="2">
        <v>4.3305854116664898E-2</v>
      </c>
      <c r="E13757" s="2">
        <v>3.5136882948911402E-2</v>
      </c>
      <c r="F13757" s="2">
        <v>3.8348450805802799E-2</v>
      </c>
    </row>
    <row r="13758" spans="1:6" x14ac:dyDescent="0.25">
      <c r="A13758" s="1" t="str">
        <f t="shared" si="517"/>
        <v>25180</v>
      </c>
      <c r="B13758" s="1" t="str">
        <f>"25404"</f>
        <v>25404</v>
      </c>
      <c r="C13758" s="2">
        <v>7.8026188241448802E-2</v>
      </c>
      <c r="D13758" s="2">
        <v>7.15850986121256E-2</v>
      </c>
      <c r="E13758" s="2">
        <v>8.6441043328303505E-2</v>
      </c>
      <c r="F13758" s="2">
        <v>7.7868852459016299E-2</v>
      </c>
    </row>
    <row r="13759" spans="1:6" x14ac:dyDescent="0.25">
      <c r="A13759" s="1" t="str">
        <f t="shared" si="517"/>
        <v>25180</v>
      </c>
      <c r="B13759" s="1" t="str">
        <f>"25419"</f>
        <v>25419</v>
      </c>
      <c r="C13759" s="2">
        <v>3.74436460432983E-2</v>
      </c>
      <c r="D13759" s="2">
        <v>1.0435145570280699E-2</v>
      </c>
      <c r="E13759" s="2">
        <v>1.3149385643457599E-2</v>
      </c>
      <c r="F13759" s="2">
        <v>3.4867271365565403E-2</v>
      </c>
    </row>
    <row r="13760" spans="1:6" x14ac:dyDescent="0.25">
      <c r="A13760" s="1" t="str">
        <f t="shared" si="517"/>
        <v>25180</v>
      </c>
      <c r="B13760" s="1" t="str">
        <f>"25434"</f>
        <v>25434</v>
      </c>
      <c r="C13760" s="2">
        <v>2.2156914034250799E-3</v>
      </c>
      <c r="D13760" s="2">
        <v>1.66962329124491E-3</v>
      </c>
      <c r="E13760" s="2">
        <v>2.1556369907307601E-4</v>
      </c>
      <c r="F13760" s="2">
        <v>2.1150592216581999E-3</v>
      </c>
    </row>
    <row r="13761" spans="1:6" x14ac:dyDescent="0.25">
      <c r="A13761" s="1" t="str">
        <f t="shared" si="517"/>
        <v>25180</v>
      </c>
      <c r="B13761" s="1" t="str">
        <f>"25403"</f>
        <v>25403</v>
      </c>
      <c r="C13761" s="2">
        <v>4.6652613438783803E-2</v>
      </c>
      <c r="D13761" s="2">
        <v>2.1600751330481002E-2</v>
      </c>
      <c r="E13761" s="2">
        <v>1.0993748652726801E-2</v>
      </c>
      <c r="F13761" s="2">
        <v>4.3840670161715299E-2</v>
      </c>
    </row>
    <row r="13762" spans="1:6" x14ac:dyDescent="0.25">
      <c r="A13762" s="1" t="str">
        <f t="shared" si="517"/>
        <v>25180</v>
      </c>
      <c r="B13762" s="1" t="str">
        <f>"25428"</f>
        <v>25428</v>
      </c>
      <c r="C13762" s="2">
        <v>3.7866781554368997E-2</v>
      </c>
      <c r="D13762" s="2">
        <v>2.0035479494938901E-2</v>
      </c>
      <c r="E13762" s="2">
        <v>7.9758568657038106E-3</v>
      </c>
      <c r="F13762" s="2">
        <v>3.5720229674627603E-2</v>
      </c>
    </row>
    <row r="13763" spans="1:6" x14ac:dyDescent="0.25">
      <c r="A13763" s="1" t="str">
        <f t="shared" ref="A13763:A13771" si="518">"25200"</f>
        <v>25200</v>
      </c>
      <c r="B13763" s="1" t="str">
        <f>"83333"</f>
        <v>83333</v>
      </c>
      <c r="C13763" s="2">
        <v>0.45657294642409602</v>
      </c>
      <c r="D13763" s="2">
        <v>0.463191832348199</v>
      </c>
      <c r="E13763" s="2">
        <v>0.79399141630901204</v>
      </c>
      <c r="F13763" s="2">
        <v>0.46069760058057702</v>
      </c>
    </row>
    <row r="13764" spans="1:6" x14ac:dyDescent="0.25">
      <c r="A13764" s="1" t="str">
        <f t="shared" si="518"/>
        <v>25200</v>
      </c>
      <c r="B13764" s="1" t="str">
        <f>"83322"</f>
        <v>83322</v>
      </c>
      <c r="C13764" s="2">
        <v>1.7541221871397699E-3</v>
      </c>
      <c r="D13764" s="2">
        <v>5.37345513164965E-4</v>
      </c>
      <c r="E13764" s="2">
        <v>4.29184549356223E-3</v>
      </c>
      <c r="F13764" s="2">
        <v>1.67823286614958E-3</v>
      </c>
    </row>
    <row r="13765" spans="1:6" x14ac:dyDescent="0.25">
      <c r="A13765" s="1" t="str">
        <f t="shared" si="518"/>
        <v>25200</v>
      </c>
      <c r="B13765" s="1" t="str">
        <f>"83348"</f>
        <v>83348</v>
      </c>
      <c r="C13765" s="2">
        <v>1.00235553550844E-4</v>
      </c>
      <c r="D13765" s="2">
        <v>0</v>
      </c>
      <c r="E13765" s="2">
        <v>4.29184549356223E-3</v>
      </c>
      <c r="F13765" s="2">
        <v>1.3607293509320899E-4</v>
      </c>
    </row>
    <row r="13766" spans="1:6" x14ac:dyDescent="0.25">
      <c r="A13766" s="1" t="str">
        <f t="shared" si="518"/>
        <v>25200</v>
      </c>
      <c r="B13766" s="1" t="str">
        <f>"83353"</f>
        <v>83353</v>
      </c>
      <c r="C13766" s="2">
        <v>0.115371122137022</v>
      </c>
      <c r="D13766" s="2">
        <v>9.0274046211714101E-2</v>
      </c>
      <c r="E13766" s="2">
        <v>8.58369098712446E-3</v>
      </c>
      <c r="F13766" s="2">
        <v>0.11212409851680499</v>
      </c>
    </row>
    <row r="13767" spans="1:6" x14ac:dyDescent="0.25">
      <c r="A13767" s="1" t="str">
        <f t="shared" si="518"/>
        <v>25200</v>
      </c>
      <c r="B13767" s="1" t="str">
        <f>"83313"</f>
        <v>83313</v>
      </c>
      <c r="C13767" s="2">
        <v>4.7411416829549399E-2</v>
      </c>
      <c r="D13767" s="2">
        <v>7.5228371843095096E-2</v>
      </c>
      <c r="E13767" s="2">
        <v>0.10729613733905501</v>
      </c>
      <c r="F13767" s="2">
        <v>5.03923436295187E-2</v>
      </c>
    </row>
    <row r="13768" spans="1:6" x14ac:dyDescent="0.25">
      <c r="A13768" s="1" t="str">
        <f t="shared" si="518"/>
        <v>25200</v>
      </c>
      <c r="B13768" s="1" t="str">
        <f>"83354"</f>
        <v>83354</v>
      </c>
      <c r="C13768" s="2">
        <v>1.36821530596902E-2</v>
      </c>
      <c r="D13768" s="2">
        <v>5.3734551316496496E-3</v>
      </c>
      <c r="E13768" s="2">
        <v>8.58369098712446E-3</v>
      </c>
      <c r="F13768" s="2">
        <v>1.2926928833854901E-2</v>
      </c>
    </row>
    <row r="13769" spans="1:6" x14ac:dyDescent="0.25">
      <c r="A13769" s="1" t="str">
        <f t="shared" si="518"/>
        <v>25200</v>
      </c>
      <c r="B13769" s="1" t="str">
        <f>"83327"</f>
        <v>83327</v>
      </c>
      <c r="C13769" s="2">
        <v>7.26707763243622E-3</v>
      </c>
      <c r="D13769" s="2">
        <v>1.61203653949489E-3</v>
      </c>
      <c r="E13769" s="2">
        <v>1.28755364806866E-2</v>
      </c>
      <c r="F13769" s="2">
        <v>6.8490043996915599E-3</v>
      </c>
    </row>
    <row r="13770" spans="1:6" x14ac:dyDescent="0.25">
      <c r="A13770" s="1" t="str">
        <f t="shared" si="518"/>
        <v>25200</v>
      </c>
      <c r="B13770" s="1" t="str">
        <f>"83340"</f>
        <v>83340</v>
      </c>
      <c r="C13770" s="2">
        <v>0.346464190848493</v>
      </c>
      <c r="D13770" s="2">
        <v>0.35787211176786599</v>
      </c>
      <c r="E13770" s="2">
        <v>2.57510729613733E-2</v>
      </c>
      <c r="F13770" s="2">
        <v>0.34403773756066502</v>
      </c>
    </row>
    <row r="13771" spans="1:6" x14ac:dyDescent="0.25">
      <c r="A13771" s="1" t="str">
        <f t="shared" si="518"/>
        <v>25200</v>
      </c>
      <c r="B13771" s="1" t="str">
        <f>"83320"</f>
        <v>83320</v>
      </c>
      <c r="C13771" s="2">
        <v>1.13767353280208E-2</v>
      </c>
      <c r="D13771" s="2">
        <v>5.9108006448146096E-3</v>
      </c>
      <c r="E13771" s="2">
        <v>3.4334763948497798E-2</v>
      </c>
      <c r="F13771" s="2">
        <v>1.11579806776432E-2</v>
      </c>
    </row>
    <row r="13772" spans="1:6" x14ac:dyDescent="0.25">
      <c r="A13772" s="1" t="str">
        <f t="shared" ref="A13772:A13792" si="519">"25220"</f>
        <v>25220</v>
      </c>
      <c r="B13772" s="1" t="str">
        <f>"70454"</f>
        <v>70454</v>
      </c>
      <c r="C13772" s="2">
        <v>0.25185508511567001</v>
      </c>
      <c r="D13772" s="2">
        <v>0.15733997700268301</v>
      </c>
      <c r="E13772" s="2">
        <v>8.0543933054393294E-2</v>
      </c>
      <c r="F13772" s="2">
        <v>0.240699207546656</v>
      </c>
    </row>
    <row r="13773" spans="1:6" x14ac:dyDescent="0.25">
      <c r="A13773" s="1" t="str">
        <f t="shared" si="519"/>
        <v>25220</v>
      </c>
      <c r="B13773" s="1" t="str">
        <f>"70456"</f>
        <v>70456</v>
      </c>
      <c r="C13773" s="2">
        <v>1.7414470416472198E-2</v>
      </c>
      <c r="D13773" s="2">
        <v>1.2265235722498999E-2</v>
      </c>
      <c r="E13773" s="2">
        <v>7.3221757322175698E-3</v>
      </c>
      <c r="F13773" s="2">
        <v>1.6786961899713099E-2</v>
      </c>
    </row>
    <row r="13774" spans="1:6" x14ac:dyDescent="0.25">
      <c r="A13774" s="1" t="str">
        <f t="shared" si="519"/>
        <v>25220</v>
      </c>
      <c r="B13774" s="1" t="str">
        <f>"70443"</f>
        <v>70443</v>
      </c>
      <c r="C13774" s="2">
        <v>4.3137313927060897E-2</v>
      </c>
      <c r="D13774" s="2">
        <v>1.0923725565350701E-2</v>
      </c>
      <c r="E13774" s="2">
        <v>2.9811715481171501E-2</v>
      </c>
      <c r="F13774" s="2">
        <v>4.05061914665144E-2</v>
      </c>
    </row>
    <row r="13775" spans="1:6" x14ac:dyDescent="0.25">
      <c r="A13775" s="1" t="str">
        <f t="shared" si="519"/>
        <v>25220</v>
      </c>
      <c r="B13775" s="1" t="str">
        <f>"70401"</f>
        <v>70401</v>
      </c>
      <c r="C13775" s="2">
        <v>0.156715182347717</v>
      </c>
      <c r="D13775" s="2">
        <v>0.23016481410502099</v>
      </c>
      <c r="E13775" s="2">
        <v>0.376046025104602</v>
      </c>
      <c r="F13775" s="2">
        <v>0.167624950726528</v>
      </c>
    </row>
    <row r="13776" spans="1:6" x14ac:dyDescent="0.25">
      <c r="A13776" s="1" t="str">
        <f t="shared" si="519"/>
        <v>25220</v>
      </c>
      <c r="B13776" s="1" t="str">
        <f>"70462"</f>
        <v>70462</v>
      </c>
      <c r="C13776" s="2">
        <v>9.1813543250199401E-4</v>
      </c>
      <c r="D13776" s="2">
        <v>1.91644308164047E-4</v>
      </c>
      <c r="E13776" s="2">
        <v>0</v>
      </c>
      <c r="F13776" s="2">
        <v>8.42746265410702E-4</v>
      </c>
    </row>
    <row r="13777" spans="1:6" x14ac:dyDescent="0.25">
      <c r="A13777" s="1" t="str">
        <f t="shared" si="519"/>
        <v>25220</v>
      </c>
      <c r="B13777" s="1" t="str">
        <f>"70436"</f>
        <v>70436</v>
      </c>
      <c r="C13777" s="2">
        <v>2.28781288098857E-3</v>
      </c>
      <c r="D13777" s="2">
        <v>7.6657723265619005E-4</v>
      </c>
      <c r="E13777" s="2">
        <v>5.2301255230125497E-4</v>
      </c>
      <c r="F13777" s="2">
        <v>2.1340510269271E-3</v>
      </c>
    </row>
    <row r="13778" spans="1:6" x14ac:dyDescent="0.25">
      <c r="A13778" s="1" t="str">
        <f t="shared" si="519"/>
        <v>25220</v>
      </c>
      <c r="B13778" s="1" t="str">
        <f>"70438"</f>
        <v>70438</v>
      </c>
      <c r="C13778" s="2">
        <v>1.6556540586101499E-4</v>
      </c>
      <c r="D13778" s="2">
        <v>0</v>
      </c>
      <c r="E13778" s="2">
        <v>0</v>
      </c>
      <c r="F13778" s="2">
        <v>1.49519498701898E-4</v>
      </c>
    </row>
    <row r="13779" spans="1:6" x14ac:dyDescent="0.25">
      <c r="A13779" s="1" t="str">
        <f t="shared" si="519"/>
        <v>25220</v>
      </c>
      <c r="B13779" s="1" t="str">
        <f>"70437"</f>
        <v>70437</v>
      </c>
      <c r="C13779" s="2">
        <v>8.5792983037071505E-3</v>
      </c>
      <c r="D13779" s="2">
        <v>5.7493292449214202E-4</v>
      </c>
      <c r="E13779" s="2">
        <v>0</v>
      </c>
      <c r="F13779" s="2">
        <v>7.7886066141989096E-3</v>
      </c>
    </row>
    <row r="13780" spans="1:6" x14ac:dyDescent="0.25">
      <c r="A13780" s="1" t="str">
        <f t="shared" si="519"/>
        <v>25220</v>
      </c>
      <c r="B13780" s="1" t="str">
        <f>"70404"</f>
        <v>70404</v>
      </c>
      <c r="C13780" s="2">
        <v>2.43230632610364E-2</v>
      </c>
      <c r="D13780" s="2">
        <v>9.6013798390187796E-2</v>
      </c>
      <c r="E13780" s="2">
        <v>1.0460251046025099E-3</v>
      </c>
      <c r="F13780" s="2">
        <v>2.8802892522665699E-2</v>
      </c>
    </row>
    <row r="13781" spans="1:6" x14ac:dyDescent="0.25">
      <c r="A13781" s="1" t="str">
        <f t="shared" si="519"/>
        <v>25220</v>
      </c>
      <c r="B13781" s="1" t="str">
        <f>"70422"</f>
        <v>70422</v>
      </c>
      <c r="C13781" s="2">
        <v>7.1644666536221105E-2</v>
      </c>
      <c r="D13781" s="2">
        <v>0.104637792257569</v>
      </c>
      <c r="E13781" s="2">
        <v>5.0732217573221702E-2</v>
      </c>
      <c r="F13781" s="2">
        <v>7.3441259226032701E-2</v>
      </c>
    </row>
    <row r="13782" spans="1:6" x14ac:dyDescent="0.25">
      <c r="A13782" s="1" t="str">
        <f t="shared" si="519"/>
        <v>25220</v>
      </c>
      <c r="B13782" s="1" t="str">
        <f>"70455"</f>
        <v>70455</v>
      </c>
      <c r="C13782" s="2">
        <v>1.25528680443715E-2</v>
      </c>
      <c r="D13782" s="2">
        <v>6.7075507857416597E-3</v>
      </c>
      <c r="E13782" s="2">
        <v>1.56903765690376E-3</v>
      </c>
      <c r="F13782" s="2">
        <v>1.1852818442550501E-2</v>
      </c>
    </row>
    <row r="13783" spans="1:6" x14ac:dyDescent="0.25">
      <c r="A13783" s="1" t="str">
        <f t="shared" si="519"/>
        <v>25220</v>
      </c>
      <c r="B13783" s="1" t="str">
        <f>"70421"</f>
        <v>70421</v>
      </c>
      <c r="C13783" s="2">
        <v>1.68575685967579E-3</v>
      </c>
      <c r="D13783" s="2">
        <v>0</v>
      </c>
      <c r="E13783" s="2">
        <v>5.2301255230125497E-4</v>
      </c>
      <c r="F13783" s="2">
        <v>1.5359730321194999E-3</v>
      </c>
    </row>
    <row r="13784" spans="1:6" x14ac:dyDescent="0.25">
      <c r="A13784" s="1" t="str">
        <f t="shared" si="519"/>
        <v>25220</v>
      </c>
      <c r="B13784" s="1" t="str">
        <f>"70451"</f>
        <v>70451</v>
      </c>
      <c r="C13784" s="2">
        <v>2.3329670825870299E-2</v>
      </c>
      <c r="D13784" s="2">
        <v>1.4181678804139499E-2</v>
      </c>
      <c r="E13784" s="2">
        <v>1.56903765690376E-3</v>
      </c>
      <c r="F13784" s="2">
        <v>2.21152931261808E-2</v>
      </c>
    </row>
    <row r="13785" spans="1:6" x14ac:dyDescent="0.25">
      <c r="A13785" s="1" t="str">
        <f t="shared" si="519"/>
        <v>25220</v>
      </c>
      <c r="B13785" s="1" t="str">
        <f>"70435"</f>
        <v>70435</v>
      </c>
      <c r="C13785" s="2">
        <v>2.2577100799229299E-4</v>
      </c>
      <c r="D13785" s="2">
        <v>0</v>
      </c>
      <c r="E13785" s="2">
        <v>0</v>
      </c>
      <c r="F13785" s="2">
        <v>2.0389022550258899E-4</v>
      </c>
    </row>
    <row r="13786" spans="1:6" x14ac:dyDescent="0.25">
      <c r="A13786" s="1" t="str">
        <f t="shared" si="519"/>
        <v>25220</v>
      </c>
      <c r="B13786" s="1" t="str">
        <f>"70446"</f>
        <v>70446</v>
      </c>
      <c r="C13786" s="2">
        <v>4.3498547539848498E-2</v>
      </c>
      <c r="D13786" s="2">
        <v>6.3242621694135602E-3</v>
      </c>
      <c r="E13786" s="2">
        <v>6.2761506276150601E-3</v>
      </c>
      <c r="F13786" s="2">
        <v>3.9894520790006598E-2</v>
      </c>
    </row>
    <row r="13787" spans="1:6" x14ac:dyDescent="0.25">
      <c r="A13787" s="1" t="str">
        <f t="shared" si="519"/>
        <v>25220</v>
      </c>
      <c r="B13787" s="1" t="str">
        <f>"70444"</f>
        <v>70444</v>
      </c>
      <c r="C13787" s="2">
        <v>7.2096208552205707E-2</v>
      </c>
      <c r="D13787" s="2">
        <v>6.6500574932924397E-2</v>
      </c>
      <c r="E13787" s="2">
        <v>1.67364016736401E-2</v>
      </c>
      <c r="F13787" s="2">
        <v>7.0260571708192304E-2</v>
      </c>
    </row>
    <row r="13788" spans="1:6" x14ac:dyDescent="0.25">
      <c r="A13788" s="1" t="str">
        <f t="shared" si="519"/>
        <v>25220</v>
      </c>
      <c r="B13788" s="1" t="str">
        <f>"70465"</f>
        <v>70465</v>
      </c>
      <c r="C13788" s="2">
        <v>0</v>
      </c>
      <c r="D13788" s="2">
        <v>0</v>
      </c>
      <c r="E13788" s="2">
        <v>5.2301255230125497E-4</v>
      </c>
      <c r="F13788" s="2">
        <v>1.35926817001726E-5</v>
      </c>
    </row>
    <row r="13789" spans="1:6" x14ac:dyDescent="0.25">
      <c r="A13789" s="1" t="str">
        <f t="shared" si="519"/>
        <v>25220</v>
      </c>
      <c r="B13789" s="1" t="str">
        <f>"70442"</f>
        <v>70442</v>
      </c>
      <c r="C13789" s="2">
        <v>2.5587380905793202E-3</v>
      </c>
      <c r="D13789" s="2">
        <v>5.7493292449214202E-4</v>
      </c>
      <c r="E13789" s="2">
        <v>5.2301255230125497E-4</v>
      </c>
      <c r="F13789" s="2">
        <v>2.3651266158300301E-3</v>
      </c>
    </row>
    <row r="13790" spans="1:6" x14ac:dyDescent="0.25">
      <c r="A13790" s="1" t="str">
        <f t="shared" si="519"/>
        <v>25220</v>
      </c>
      <c r="B13790" s="1" t="str">
        <f>"70403"</f>
        <v>70403</v>
      </c>
      <c r="C13790" s="2">
        <v>0.20265205677388201</v>
      </c>
      <c r="D13790" s="2">
        <v>0.26868532004599399</v>
      </c>
      <c r="E13790" s="2">
        <v>0.38493723849372302</v>
      </c>
      <c r="F13790" s="2">
        <v>0.21207301988609301</v>
      </c>
    </row>
    <row r="13791" spans="1:6" x14ac:dyDescent="0.25">
      <c r="A13791" s="1" t="str">
        <f t="shared" si="519"/>
        <v>25220</v>
      </c>
      <c r="B13791" s="1" t="str">
        <f>"70466"</f>
        <v>70466</v>
      </c>
      <c r="C13791" s="2">
        <v>6.4359788678336499E-2</v>
      </c>
      <c r="D13791" s="2">
        <v>2.41471828286699E-2</v>
      </c>
      <c r="E13791" s="2">
        <v>4.0794979079497903E-2</v>
      </c>
      <c r="F13791" s="2">
        <v>6.0895214016773301E-2</v>
      </c>
    </row>
    <row r="13792" spans="1:6" x14ac:dyDescent="0.25">
      <c r="A13792" s="1" t="str">
        <f t="shared" si="519"/>
        <v>25220</v>
      </c>
      <c r="B13792" s="1" t="str">
        <f>"70402"</f>
        <v>70402</v>
      </c>
      <c r="C13792" s="2">
        <v>0</v>
      </c>
      <c r="D13792" s="2">
        <v>0</v>
      </c>
      <c r="E13792" s="2">
        <v>5.2301255230125497E-4</v>
      </c>
      <c r="F13792" s="2">
        <v>1.35926817001726E-5</v>
      </c>
    </row>
    <row r="13793" spans="1:6" x14ac:dyDescent="0.25">
      <c r="A13793" s="1" t="str">
        <f t="shared" ref="A13793:A13805" si="520">"25260"</f>
        <v>25260</v>
      </c>
      <c r="B13793" s="1" t="str">
        <f>"93274"</f>
        <v>93274</v>
      </c>
      <c r="C13793" s="2">
        <v>2.7950806580418402E-4</v>
      </c>
      <c r="D13793" s="2">
        <v>0</v>
      </c>
      <c r="E13793" s="2">
        <v>0</v>
      </c>
      <c r="F13793" s="2">
        <v>2.51581368602645E-4</v>
      </c>
    </row>
    <row r="13794" spans="1:6" x14ac:dyDescent="0.25">
      <c r="A13794" s="1" t="str">
        <f t="shared" si="520"/>
        <v>25260</v>
      </c>
      <c r="B13794" s="1" t="str">
        <f>"93230"</f>
        <v>93230</v>
      </c>
      <c r="C13794" s="2">
        <v>0.47883724644625397</v>
      </c>
      <c r="D13794" s="2">
        <v>0.52205313386639096</v>
      </c>
      <c r="E13794" s="2">
        <v>0.54367201426024903</v>
      </c>
      <c r="F13794" s="2">
        <v>0.483808941920644</v>
      </c>
    </row>
    <row r="13795" spans="1:6" x14ac:dyDescent="0.25">
      <c r="A13795" s="1" t="str">
        <f t="shared" si="520"/>
        <v>25260</v>
      </c>
      <c r="B13795" s="1" t="str">
        <f>"93246"</f>
        <v>93246</v>
      </c>
      <c r="C13795" s="2">
        <v>0</v>
      </c>
      <c r="D13795" s="2">
        <v>2.2697962342017E-2</v>
      </c>
      <c r="E13795" s="2">
        <v>7.7243018419488997E-3</v>
      </c>
      <c r="F13795" s="2">
        <v>1.8149798734905099E-3</v>
      </c>
    </row>
    <row r="13796" spans="1:6" x14ac:dyDescent="0.25">
      <c r="A13796" s="1" t="str">
        <f t="shared" si="520"/>
        <v>25260</v>
      </c>
      <c r="B13796" s="1" t="str">
        <f>"93242"</f>
        <v>93242</v>
      </c>
      <c r="C13796" s="2">
        <v>2.3358888356492498E-3</v>
      </c>
      <c r="D13796" s="2">
        <v>7.7379417075057997E-4</v>
      </c>
      <c r="E13796" s="2">
        <v>0</v>
      </c>
      <c r="F13796" s="2">
        <v>2.1564117308798098E-3</v>
      </c>
    </row>
    <row r="13797" spans="1:6" x14ac:dyDescent="0.25">
      <c r="A13797" s="1" t="str">
        <f t="shared" si="520"/>
        <v>25260</v>
      </c>
      <c r="B13797" s="1" t="str">
        <f>"93245"</f>
        <v>93245</v>
      </c>
      <c r="C13797" s="2">
        <v>0.28763376457434903</v>
      </c>
      <c r="D13797" s="2">
        <v>0.202734072736652</v>
      </c>
      <c r="E13797" s="2">
        <v>0.31194295900178198</v>
      </c>
      <c r="F13797" s="2">
        <v>0.28245399654974102</v>
      </c>
    </row>
    <row r="13798" spans="1:6" x14ac:dyDescent="0.25">
      <c r="A13798" s="1" t="str">
        <f t="shared" si="520"/>
        <v>25260</v>
      </c>
      <c r="B13798" s="1" t="str">
        <f>"93631"</f>
        <v>93631</v>
      </c>
      <c r="C13798" s="2">
        <v>5.1309694936911001E-3</v>
      </c>
      <c r="D13798" s="2">
        <v>1.2896569512509601E-3</v>
      </c>
      <c r="E13798" s="2">
        <v>1.1883541295306E-3</v>
      </c>
      <c r="F13798" s="2">
        <v>4.7441058079355902E-3</v>
      </c>
    </row>
    <row r="13799" spans="1:6" x14ac:dyDescent="0.25">
      <c r="A13799" s="1" t="str">
        <f t="shared" si="520"/>
        <v>25260</v>
      </c>
      <c r="B13799" s="1" t="str">
        <f>"93204"</f>
        <v>93204</v>
      </c>
      <c r="C13799" s="2">
        <v>5.1289730075067798E-2</v>
      </c>
      <c r="D13799" s="2">
        <v>4.6685581635285002E-2</v>
      </c>
      <c r="E13799" s="2">
        <v>6.2982768865121802E-2</v>
      </c>
      <c r="F13799" s="2">
        <v>5.1322599194939603E-2</v>
      </c>
    </row>
    <row r="13800" spans="1:6" x14ac:dyDescent="0.25">
      <c r="A13800" s="1" t="str">
        <f t="shared" si="520"/>
        <v>25260</v>
      </c>
      <c r="B13800" s="1" t="str">
        <f>"93656"</f>
        <v>93656</v>
      </c>
      <c r="C13800" s="2">
        <v>2.4357131448650301E-3</v>
      </c>
      <c r="D13800" s="2">
        <v>1.03172556100077E-3</v>
      </c>
      <c r="E13800" s="2">
        <v>0</v>
      </c>
      <c r="F13800" s="2">
        <v>2.2642323174238001E-3</v>
      </c>
    </row>
    <row r="13801" spans="1:6" x14ac:dyDescent="0.25">
      <c r="A13801" s="1" t="str">
        <f t="shared" si="520"/>
        <v>25260</v>
      </c>
      <c r="B13801" s="1" t="str">
        <f>"93232"</f>
        <v>93232</v>
      </c>
      <c r="C13801" s="2">
        <v>2.65133365277112E-2</v>
      </c>
      <c r="D13801" s="2">
        <v>0.11013670363683201</v>
      </c>
      <c r="E13801" s="2">
        <v>1.1883541295306E-3</v>
      </c>
      <c r="F13801" s="2">
        <v>3.1573461759631903E-2</v>
      </c>
    </row>
    <row r="13802" spans="1:6" x14ac:dyDescent="0.25">
      <c r="A13802" s="1" t="str">
        <f t="shared" si="520"/>
        <v>25260</v>
      </c>
      <c r="B13802" s="1" t="str">
        <f>"93239"</f>
        <v>93239</v>
      </c>
      <c r="C13802" s="2">
        <v>2.8549752435713099E-3</v>
      </c>
      <c r="D13802" s="2">
        <v>1.2896569512509601E-3</v>
      </c>
      <c r="E13802" s="2">
        <v>2.3767082590612E-3</v>
      </c>
      <c r="F13802" s="2">
        <v>2.7314548591144301E-3</v>
      </c>
    </row>
    <row r="13803" spans="1:6" x14ac:dyDescent="0.25">
      <c r="A13803" s="1" t="str">
        <f t="shared" si="520"/>
        <v>25260</v>
      </c>
      <c r="B13803" s="1" t="str">
        <f>"93202"</f>
        <v>93202</v>
      </c>
      <c r="C13803" s="2">
        <v>4.3423574508864297E-2</v>
      </c>
      <c r="D13803" s="2">
        <v>1.80551973175135E-2</v>
      </c>
      <c r="E13803" s="2">
        <v>1.1883541295305999E-2</v>
      </c>
      <c r="F13803" s="2">
        <v>4.0702271420356498E-2</v>
      </c>
    </row>
    <row r="13804" spans="1:6" x14ac:dyDescent="0.25">
      <c r="A13804" s="1" t="str">
        <f t="shared" si="520"/>
        <v>25260</v>
      </c>
      <c r="B13804" s="1" t="str">
        <f>"93266"</f>
        <v>93266</v>
      </c>
      <c r="C13804" s="2">
        <v>5.4504072831815997E-3</v>
      </c>
      <c r="D13804" s="2">
        <v>1.03172556100077E-3</v>
      </c>
      <c r="E13804" s="2">
        <v>5.9417706476529999E-4</v>
      </c>
      <c r="F13804" s="2">
        <v>4.9956871765382401E-3</v>
      </c>
    </row>
    <row r="13805" spans="1:6" x14ac:dyDescent="0.25">
      <c r="A13805" s="1" t="str">
        <f t="shared" si="520"/>
        <v>25260</v>
      </c>
      <c r="B13805" s="1" t="str">
        <f>"93212"</f>
        <v>93212</v>
      </c>
      <c r="C13805" s="2">
        <v>9.3814885800990205E-2</v>
      </c>
      <c r="D13805" s="2">
        <v>7.2220789270054098E-2</v>
      </c>
      <c r="E13805" s="2">
        <v>5.6446821152703497E-2</v>
      </c>
      <c r="F13805" s="2">
        <v>9.1180276020701501E-2</v>
      </c>
    </row>
    <row r="13806" spans="1:6" x14ac:dyDescent="0.25">
      <c r="A13806" s="1" t="str">
        <f t="shared" ref="A13806:A13822" si="521">"25300"</f>
        <v>25300</v>
      </c>
      <c r="B13806" s="1" t="str">
        <f>"63461"</f>
        <v>63461</v>
      </c>
      <c r="C13806" s="2">
        <v>0.14052523171987599</v>
      </c>
      <c r="D13806" s="2">
        <v>0.14425051334702199</v>
      </c>
      <c r="E13806" s="2">
        <v>0.16049382716049301</v>
      </c>
      <c r="F13806" s="2">
        <v>0.14122996371652899</v>
      </c>
    </row>
    <row r="13807" spans="1:6" x14ac:dyDescent="0.25">
      <c r="A13807" s="1" t="str">
        <f t="shared" si="521"/>
        <v>25300</v>
      </c>
      <c r="B13807" s="1" t="str">
        <f>"63382"</f>
        <v>63382</v>
      </c>
      <c r="C13807" s="2">
        <v>6.1791967044284198E-3</v>
      </c>
      <c r="D13807" s="2">
        <v>1.02669404517453E-3</v>
      </c>
      <c r="E13807" s="2">
        <v>0</v>
      </c>
      <c r="F13807" s="2">
        <v>5.6032701051761304E-3</v>
      </c>
    </row>
    <row r="13808" spans="1:6" x14ac:dyDescent="0.25">
      <c r="A13808" s="1" t="str">
        <f t="shared" si="521"/>
        <v>25300</v>
      </c>
      <c r="B13808" s="1" t="str">
        <f>"63441"</f>
        <v>63441</v>
      </c>
      <c r="C13808" s="2">
        <v>1.9567456230689998E-3</v>
      </c>
      <c r="D13808" s="2">
        <v>0</v>
      </c>
      <c r="E13808" s="2">
        <v>0</v>
      </c>
      <c r="F13808" s="2">
        <v>1.7452808524319101E-3</v>
      </c>
    </row>
    <row r="13809" spans="1:6" x14ac:dyDescent="0.25">
      <c r="A13809" s="1" t="str">
        <f t="shared" si="521"/>
        <v>25300</v>
      </c>
      <c r="B13809" s="1" t="str">
        <f>"63443"</f>
        <v>63443</v>
      </c>
      <c r="C13809" s="2">
        <v>2.0082389289392301E-3</v>
      </c>
      <c r="D13809" s="2">
        <v>1.02669404517453E-3</v>
      </c>
      <c r="E13809" s="2">
        <v>0</v>
      </c>
      <c r="F13809" s="2">
        <v>1.88306618288706E-3</v>
      </c>
    </row>
    <row r="13810" spans="1:6" x14ac:dyDescent="0.25">
      <c r="A13810" s="1" t="str">
        <f t="shared" si="521"/>
        <v>25300</v>
      </c>
      <c r="B13810" s="1" t="str">
        <f>"63459"</f>
        <v>63459</v>
      </c>
      <c r="C13810" s="2">
        <v>9.7116374871266703E-2</v>
      </c>
      <c r="D13810" s="2">
        <v>2.9260780287474301E-2</v>
      </c>
      <c r="E13810" s="2">
        <v>2.71604938271604E-2</v>
      </c>
      <c r="F13810" s="2">
        <v>8.9744178569788197E-2</v>
      </c>
    </row>
    <row r="13811" spans="1:6" x14ac:dyDescent="0.25">
      <c r="A13811" s="1" t="str">
        <f t="shared" si="521"/>
        <v>25300</v>
      </c>
      <c r="B13811" s="1" t="str">
        <f>"63401"</f>
        <v>63401</v>
      </c>
      <c r="C13811" s="2">
        <v>0.55818743563336704</v>
      </c>
      <c r="D13811" s="2">
        <v>0.70020533880903402</v>
      </c>
      <c r="E13811" s="2">
        <v>0.67407407407407405</v>
      </c>
      <c r="F13811" s="2">
        <v>0.573049189362972</v>
      </c>
    </row>
    <row r="13812" spans="1:6" x14ac:dyDescent="0.25">
      <c r="A13812" s="1" t="str">
        <f t="shared" si="521"/>
        <v>25300</v>
      </c>
      <c r="B13812" s="1" t="str">
        <f>"63471"</f>
        <v>63471</v>
      </c>
      <c r="C13812" s="2">
        <v>1.53964984552008E-2</v>
      </c>
      <c r="D13812" s="2">
        <v>3.9527720739219702E-2</v>
      </c>
      <c r="E13812" s="2">
        <v>2.71604938271604E-2</v>
      </c>
      <c r="F13812" s="2">
        <v>1.77743076287144E-2</v>
      </c>
    </row>
    <row r="13813" spans="1:6" x14ac:dyDescent="0.25">
      <c r="A13813" s="1" t="str">
        <f t="shared" si="521"/>
        <v>25300</v>
      </c>
      <c r="B13813" s="1" t="str">
        <f>"63436"</f>
        <v>63436</v>
      </c>
      <c r="C13813" s="2">
        <v>3.4654994850669397E-2</v>
      </c>
      <c r="D13813" s="2">
        <v>1.28336755646817E-2</v>
      </c>
      <c r="E13813" s="2">
        <v>1.72839506172839E-2</v>
      </c>
      <c r="F13813" s="2">
        <v>3.2379552656960402E-2</v>
      </c>
    </row>
    <row r="13814" spans="1:6" x14ac:dyDescent="0.25">
      <c r="A13814" s="1" t="str">
        <f t="shared" si="521"/>
        <v>25300</v>
      </c>
      <c r="B13814" s="1" t="str">
        <f>"63467"</f>
        <v>63467</v>
      </c>
      <c r="C13814" s="2">
        <v>1.5447991761071E-3</v>
      </c>
      <c r="D13814" s="2">
        <v>5.1334702258726804E-4</v>
      </c>
      <c r="E13814" s="2">
        <v>2.4691358024691301E-3</v>
      </c>
      <c r="F13814" s="2">
        <v>1.4697101915216E-3</v>
      </c>
    </row>
    <row r="13815" spans="1:6" x14ac:dyDescent="0.25">
      <c r="A13815" s="1" t="str">
        <f t="shared" si="521"/>
        <v>25300</v>
      </c>
      <c r="B13815" s="1" t="str">
        <f>"63352"</f>
        <v>63352</v>
      </c>
      <c r="C13815" s="2">
        <v>1.1843460350154399E-3</v>
      </c>
      <c r="D13815" s="2">
        <v>0</v>
      </c>
      <c r="E13815" s="2">
        <v>0</v>
      </c>
      <c r="F13815" s="2">
        <v>1.0563542001561499E-3</v>
      </c>
    </row>
    <row r="13816" spans="1:6" x14ac:dyDescent="0.25">
      <c r="A13816" s="1" t="str">
        <f t="shared" si="521"/>
        <v>25300</v>
      </c>
      <c r="B13816" s="1" t="str">
        <f>"63462"</f>
        <v>63462</v>
      </c>
      <c r="C13816" s="2">
        <v>4.6343975283213101E-2</v>
      </c>
      <c r="D13816" s="2">
        <v>1.5400410677618E-2</v>
      </c>
      <c r="E13816" s="2">
        <v>2.2222222222222199E-2</v>
      </c>
      <c r="F13816" s="2">
        <v>4.3126808432462201E-2</v>
      </c>
    </row>
    <row r="13817" spans="1:6" x14ac:dyDescent="0.25">
      <c r="A13817" s="1" t="str">
        <f t="shared" si="521"/>
        <v>25300</v>
      </c>
      <c r="B13817" s="1" t="str">
        <f>"63463"</f>
        <v>63463</v>
      </c>
      <c r="C13817" s="2">
        <v>1.6323377960864999E-2</v>
      </c>
      <c r="D13817" s="2">
        <v>7.1868583162217597E-3</v>
      </c>
      <c r="E13817" s="2">
        <v>7.4074074074073999E-3</v>
      </c>
      <c r="F13817" s="2">
        <v>1.53401001240067E-2</v>
      </c>
    </row>
    <row r="13818" spans="1:6" x14ac:dyDescent="0.25">
      <c r="A13818" s="1" t="str">
        <f t="shared" si="521"/>
        <v>25300</v>
      </c>
      <c r="B13818" s="1" t="str">
        <f>"63439"</f>
        <v>63439</v>
      </c>
      <c r="C13818" s="2">
        <v>1.4933058702368599E-3</v>
      </c>
      <c r="D13818" s="2">
        <v>0</v>
      </c>
      <c r="E13818" s="2">
        <v>0</v>
      </c>
      <c r="F13818" s="2">
        <v>1.3319248610664501E-3</v>
      </c>
    </row>
    <row r="13819" spans="1:6" x14ac:dyDescent="0.25">
      <c r="A13819" s="1" t="str">
        <f t="shared" si="521"/>
        <v>25300</v>
      </c>
      <c r="B13819" s="1" t="str">
        <f>"63440"</f>
        <v>63440</v>
      </c>
      <c r="C13819" s="2">
        <v>4.4284243048403702E-3</v>
      </c>
      <c r="D13819" s="2">
        <v>1.02669404517453E-3</v>
      </c>
      <c r="E13819" s="2">
        <v>0</v>
      </c>
      <c r="F13819" s="2">
        <v>4.0417030266844201E-3</v>
      </c>
    </row>
    <row r="13820" spans="1:6" x14ac:dyDescent="0.25">
      <c r="A13820" s="1" t="str">
        <f t="shared" si="521"/>
        <v>25300</v>
      </c>
      <c r="B13820" s="1" t="str">
        <f>"63438"</f>
        <v>63438</v>
      </c>
      <c r="C13820" s="2">
        <v>2.62615859938208E-3</v>
      </c>
      <c r="D13820" s="2">
        <v>0</v>
      </c>
      <c r="E13820" s="2">
        <v>0</v>
      </c>
      <c r="F13820" s="2">
        <v>2.3423506177375599E-3</v>
      </c>
    </row>
    <row r="13821" spans="1:6" x14ac:dyDescent="0.25">
      <c r="A13821" s="1" t="str">
        <f t="shared" si="521"/>
        <v>25300</v>
      </c>
      <c r="B13821" s="1" t="str">
        <f>"63456"</f>
        <v>63456</v>
      </c>
      <c r="C13821" s="2">
        <v>5.45314109165808E-2</v>
      </c>
      <c r="D13821" s="2">
        <v>4.5174537987679599E-2</v>
      </c>
      <c r="E13821" s="2">
        <v>6.1728395061728301E-2</v>
      </c>
      <c r="F13821" s="2">
        <v>5.3828135764478903E-2</v>
      </c>
    </row>
    <row r="13822" spans="1:6" x14ac:dyDescent="0.25">
      <c r="A13822" s="1" t="str">
        <f t="shared" si="521"/>
        <v>25300</v>
      </c>
      <c r="B13822" s="1" t="str">
        <f>"63454"</f>
        <v>63454</v>
      </c>
      <c r="C13822" s="2">
        <v>1.5499485066941199E-2</v>
      </c>
      <c r="D13822" s="2">
        <v>2.5667351129363401E-3</v>
      </c>
      <c r="E13822" s="2">
        <v>0</v>
      </c>
      <c r="F13822" s="2">
        <v>1.40541037064253E-2</v>
      </c>
    </row>
    <row r="13823" spans="1:6" x14ac:dyDescent="0.25">
      <c r="A13823" s="1" t="str">
        <f t="shared" ref="A13823:A13854" si="522">"25420"</f>
        <v>25420</v>
      </c>
      <c r="B13823" s="1" t="str">
        <f>"17057"</f>
        <v>17057</v>
      </c>
      <c r="C13823" s="2">
        <v>4.0077716974741898E-2</v>
      </c>
      <c r="D13823" s="2">
        <v>3.4613019414916901E-2</v>
      </c>
      <c r="E13823" s="2">
        <v>3.5320270047752303E-2</v>
      </c>
      <c r="F13823" s="2">
        <v>3.95000903565755E-2</v>
      </c>
    </row>
    <row r="13824" spans="1:6" x14ac:dyDescent="0.25">
      <c r="A13824" s="1" t="str">
        <f t="shared" si="522"/>
        <v>25420</v>
      </c>
      <c r="B13824" s="1" t="str">
        <f>"17024"</f>
        <v>17024</v>
      </c>
      <c r="C13824" s="2">
        <v>2.8519990731003001E-3</v>
      </c>
      <c r="D13824" s="2">
        <v>1.22990424316963E-3</v>
      </c>
      <c r="E13824" s="2">
        <v>0</v>
      </c>
      <c r="F13824" s="2">
        <v>2.62509630108713E-3</v>
      </c>
    </row>
    <row r="13825" spans="1:6" x14ac:dyDescent="0.25">
      <c r="A13825" s="1" t="str">
        <f t="shared" si="522"/>
        <v>25420</v>
      </c>
      <c r="B13825" s="1" t="str">
        <f>"17025"</f>
        <v>17025</v>
      </c>
      <c r="C13825" s="2">
        <v>3.2797989340653401E-2</v>
      </c>
      <c r="D13825" s="2">
        <v>1.9107440920671102E-2</v>
      </c>
      <c r="E13825" s="2">
        <v>1.6877984521653198E-2</v>
      </c>
      <c r="F13825" s="2">
        <v>3.1196796621615099E-2</v>
      </c>
    </row>
    <row r="13826" spans="1:6" x14ac:dyDescent="0.25">
      <c r="A13826" s="1" t="str">
        <f t="shared" si="522"/>
        <v>25420</v>
      </c>
      <c r="B13826" s="1" t="str">
        <f>"17043"</f>
        <v>17043</v>
      </c>
      <c r="C13826" s="2">
        <v>1.12725263364289E-2</v>
      </c>
      <c r="D13826" s="2">
        <v>3.0835456382324499E-2</v>
      </c>
      <c r="E13826" s="2">
        <v>3.4167627202371098E-2</v>
      </c>
      <c r="F13826" s="2">
        <v>1.35661679617775E-2</v>
      </c>
    </row>
    <row r="13827" spans="1:6" x14ac:dyDescent="0.25">
      <c r="A13827" s="1" t="str">
        <f t="shared" si="522"/>
        <v>25420</v>
      </c>
      <c r="B13827" s="1" t="str">
        <f>"17033"</f>
        <v>17033</v>
      </c>
      <c r="C13827" s="2">
        <v>2.60137965455161E-2</v>
      </c>
      <c r="D13827" s="2">
        <v>3.1582183958534599E-2</v>
      </c>
      <c r="E13827" s="2">
        <v>2.80750864482134E-2</v>
      </c>
      <c r="F13827" s="2">
        <v>2.6495084285247699E-2</v>
      </c>
    </row>
    <row r="13828" spans="1:6" x14ac:dyDescent="0.25">
      <c r="A13828" s="1" t="str">
        <f t="shared" si="522"/>
        <v>25420</v>
      </c>
      <c r="B13828" s="1" t="str">
        <f>"17011"</f>
        <v>17011</v>
      </c>
      <c r="C13828" s="2">
        <v>5.1542753248605098E-2</v>
      </c>
      <c r="D13828" s="2">
        <v>7.7308266713520105E-2</v>
      </c>
      <c r="E13828" s="2">
        <v>7.7144739008727106E-2</v>
      </c>
      <c r="F13828" s="2">
        <v>5.4388317687378902E-2</v>
      </c>
    </row>
    <row r="13829" spans="1:6" x14ac:dyDescent="0.25">
      <c r="A13829" s="1" t="str">
        <f t="shared" si="522"/>
        <v>25420</v>
      </c>
      <c r="B13829" s="1" t="str">
        <f>"17103"</f>
        <v>17103</v>
      </c>
      <c r="C13829" s="2">
        <v>2.05878683089427E-2</v>
      </c>
      <c r="D13829" s="2">
        <v>1.9590617587630602E-2</v>
      </c>
      <c r="E13829" s="2">
        <v>3.581425983863E-2</v>
      </c>
      <c r="F13829" s="2">
        <v>2.11022234058405E-2</v>
      </c>
    </row>
    <row r="13830" spans="1:6" x14ac:dyDescent="0.25">
      <c r="A13830" s="1" t="str">
        <f t="shared" si="522"/>
        <v>25420</v>
      </c>
      <c r="B13830" s="1" t="str">
        <f>"17078"</f>
        <v>17078</v>
      </c>
      <c r="C13830" s="2">
        <v>2.5525391704247602E-3</v>
      </c>
      <c r="D13830" s="2">
        <v>3.9532636387595502E-4</v>
      </c>
      <c r="E13830" s="2">
        <v>0</v>
      </c>
      <c r="F13830" s="2">
        <v>2.2985444665315998E-3</v>
      </c>
    </row>
    <row r="13831" spans="1:6" x14ac:dyDescent="0.25">
      <c r="A13831" s="1" t="str">
        <f t="shared" si="522"/>
        <v>25420</v>
      </c>
      <c r="B13831" s="1" t="str">
        <f>"17074"</f>
        <v>17074</v>
      </c>
      <c r="C13831" s="2">
        <v>1.2160211047931401E-2</v>
      </c>
      <c r="D13831" s="2">
        <v>9.8831590968988803E-3</v>
      </c>
      <c r="E13831" s="2">
        <v>6.1748723859706804E-3</v>
      </c>
      <c r="F13831" s="2">
        <v>1.1765377262480999E-2</v>
      </c>
    </row>
    <row r="13832" spans="1:6" x14ac:dyDescent="0.25">
      <c r="A13832" s="1" t="str">
        <f t="shared" si="522"/>
        <v>25420</v>
      </c>
      <c r="B13832" s="1" t="str">
        <f>"17055"</f>
        <v>17055</v>
      </c>
      <c r="C13832" s="2">
        <v>7.4840020676993205E-2</v>
      </c>
      <c r="D13832" s="2">
        <v>7.4760607924097305E-2</v>
      </c>
      <c r="E13832" s="2">
        <v>6.7182611559361102E-2</v>
      </c>
      <c r="F13832" s="2">
        <v>7.4539419244999405E-2</v>
      </c>
    </row>
    <row r="13833" spans="1:6" x14ac:dyDescent="0.25">
      <c r="A13833" s="1" t="str">
        <f t="shared" si="522"/>
        <v>25420</v>
      </c>
      <c r="B13833" s="1" t="str">
        <f>"17097"</f>
        <v>17097</v>
      </c>
      <c r="C13833" s="2">
        <v>2.4954991889627601E-5</v>
      </c>
      <c r="D13833" s="2">
        <v>0</v>
      </c>
      <c r="E13833" s="2">
        <v>8.2331631812942495E-5</v>
      </c>
      <c r="F13833" s="2">
        <v>2.5363249285865998E-5</v>
      </c>
    </row>
    <row r="13834" spans="1:6" x14ac:dyDescent="0.25">
      <c r="A13834" s="1" t="str">
        <f t="shared" si="522"/>
        <v>25420</v>
      </c>
      <c r="B13834" s="1" t="str">
        <f>"17128"</f>
        <v>17128</v>
      </c>
      <c r="C13834" s="2">
        <v>0</v>
      </c>
      <c r="D13834" s="2">
        <v>2.1962575770886401E-4</v>
      </c>
      <c r="E13834" s="2">
        <v>1.6466326362588499E-4</v>
      </c>
      <c r="F13834" s="2">
        <v>2.2192843125132699E-5</v>
      </c>
    </row>
    <row r="13835" spans="1:6" x14ac:dyDescent="0.25">
      <c r="A13835" s="1" t="str">
        <f t="shared" si="522"/>
        <v>25420</v>
      </c>
      <c r="B13835" s="1" t="str">
        <f>"17127"</f>
        <v>17127</v>
      </c>
      <c r="C13835" s="2">
        <v>0</v>
      </c>
      <c r="D13835" s="2">
        <v>0</v>
      </c>
      <c r="E13835" s="2">
        <v>8.2331631812942495E-5</v>
      </c>
      <c r="F13835" s="2">
        <v>3.1704061607332498E-6</v>
      </c>
    </row>
    <row r="13836" spans="1:6" x14ac:dyDescent="0.25">
      <c r="A13836" s="1" t="str">
        <f t="shared" si="522"/>
        <v>25420</v>
      </c>
      <c r="B13836" s="1" t="str">
        <f>"17125"</f>
        <v>17125</v>
      </c>
      <c r="C13836" s="2">
        <v>0</v>
      </c>
      <c r="D13836" s="2">
        <v>0</v>
      </c>
      <c r="E13836" s="2">
        <v>8.2331631812942495E-5</v>
      </c>
      <c r="F13836" s="2">
        <v>3.1704061607332498E-6</v>
      </c>
    </row>
    <row r="13837" spans="1:6" x14ac:dyDescent="0.25">
      <c r="A13837" s="1" t="str">
        <f t="shared" si="522"/>
        <v>25420</v>
      </c>
      <c r="B13837" s="1" t="str">
        <f>"17107"</f>
        <v>17107</v>
      </c>
      <c r="C13837" s="2">
        <v>5.4544482273043203E-4</v>
      </c>
      <c r="D13837" s="2">
        <v>0</v>
      </c>
      <c r="E13837" s="2">
        <v>0</v>
      </c>
      <c r="F13837" s="2">
        <v>4.8507214259218699E-4</v>
      </c>
    </row>
    <row r="13838" spans="1:6" x14ac:dyDescent="0.25">
      <c r="A13838" s="1" t="str">
        <f t="shared" si="522"/>
        <v>25420</v>
      </c>
      <c r="B13838" s="1" t="str">
        <f>"17266"</f>
        <v>17266</v>
      </c>
      <c r="C13838" s="2">
        <v>7.7716974741983205E-4</v>
      </c>
      <c r="D13838" s="2">
        <v>2.6355090925063597E-4</v>
      </c>
      <c r="E13838" s="2">
        <v>2.4699489543882698E-4</v>
      </c>
      <c r="F13838" s="2">
        <v>7.1968219848644801E-4</v>
      </c>
    </row>
    <row r="13839" spans="1:6" x14ac:dyDescent="0.25">
      <c r="A13839" s="1" t="str">
        <f t="shared" si="522"/>
        <v>25420</v>
      </c>
      <c r="B13839" s="1" t="str">
        <f>"17120"</f>
        <v>17120</v>
      </c>
      <c r="C13839" s="2">
        <v>0</v>
      </c>
      <c r="D13839" s="2">
        <v>1.5373803039620401E-3</v>
      </c>
      <c r="E13839" s="2">
        <v>7.5745101267907103E-3</v>
      </c>
      <c r="F13839" s="2">
        <v>4.0264158241312199E-4</v>
      </c>
    </row>
    <row r="13840" spans="1:6" x14ac:dyDescent="0.25">
      <c r="A13840" s="1" t="str">
        <f t="shared" si="522"/>
        <v>25420</v>
      </c>
      <c r="B13840" s="1" t="str">
        <f>"17019"</f>
        <v>17019</v>
      </c>
      <c r="C13840" s="2">
        <v>1.56859949020516E-4</v>
      </c>
      <c r="D13840" s="2">
        <v>4.39251515417728E-5</v>
      </c>
      <c r="E13840" s="2">
        <v>0</v>
      </c>
      <c r="F13840" s="2">
        <v>1.4266827723299601E-4</v>
      </c>
    </row>
    <row r="13841" spans="1:6" x14ac:dyDescent="0.25">
      <c r="A13841" s="1" t="str">
        <f t="shared" si="522"/>
        <v>25420</v>
      </c>
      <c r="B13841" s="1" t="str">
        <f>"17069"</f>
        <v>17069</v>
      </c>
      <c r="C13841" s="2">
        <v>2.10334931641147E-4</v>
      </c>
      <c r="D13841" s="2">
        <v>0</v>
      </c>
      <c r="E13841" s="2">
        <v>2.4699489543882698E-4</v>
      </c>
      <c r="F13841" s="2">
        <v>1.9656518196546101E-4</v>
      </c>
    </row>
    <row r="13842" spans="1:6" x14ac:dyDescent="0.25">
      <c r="A13842" s="1" t="str">
        <f t="shared" si="522"/>
        <v>25420</v>
      </c>
      <c r="B13842" s="1" t="str">
        <f>"17080"</f>
        <v>17080</v>
      </c>
      <c r="C13842" s="2">
        <v>1.99639935117021E-4</v>
      </c>
      <c r="D13842" s="2">
        <v>0</v>
      </c>
      <c r="E13842" s="2">
        <v>8.2331631812942495E-5</v>
      </c>
      <c r="F13842" s="2">
        <v>1.8071315116179501E-4</v>
      </c>
    </row>
    <row r="13843" spans="1:6" x14ac:dyDescent="0.25">
      <c r="A13843" s="1" t="str">
        <f t="shared" si="522"/>
        <v>25420</v>
      </c>
      <c r="B13843" s="1" t="str">
        <f>"17129"</f>
        <v>17129</v>
      </c>
      <c r="C13843" s="2">
        <v>0</v>
      </c>
      <c r="D13843" s="2">
        <v>0</v>
      </c>
      <c r="E13843" s="2">
        <v>3.2932652725176998E-4</v>
      </c>
      <c r="F13843" s="2">
        <v>1.2681624642932999E-5</v>
      </c>
    </row>
    <row r="13844" spans="1:6" x14ac:dyDescent="0.25">
      <c r="A13844" s="1" t="str">
        <f t="shared" si="522"/>
        <v>25420</v>
      </c>
      <c r="B13844" s="1" t="str">
        <f>"17034"</f>
        <v>17034</v>
      </c>
      <c r="C13844" s="2">
        <v>5.02664836633928E-3</v>
      </c>
      <c r="D13844" s="2">
        <v>3.3383115171747302E-3</v>
      </c>
      <c r="E13844" s="2">
        <v>9.1388111312366207E-3</v>
      </c>
      <c r="F13844" s="2">
        <v>5.0631386386910003E-3</v>
      </c>
    </row>
    <row r="13845" spans="1:6" x14ac:dyDescent="0.25">
      <c r="A13845" s="1" t="str">
        <f t="shared" si="522"/>
        <v>25420</v>
      </c>
      <c r="B13845" s="1" t="str">
        <f>"17018"</f>
        <v>17018</v>
      </c>
      <c r="C13845" s="2">
        <v>6.9517477406819796E-3</v>
      </c>
      <c r="D13845" s="2">
        <v>2.5915839409645898E-3</v>
      </c>
      <c r="E13845" s="2">
        <v>2.8816071134529801E-3</v>
      </c>
      <c r="F13845" s="2">
        <v>6.4803101925387597E-3</v>
      </c>
    </row>
    <row r="13846" spans="1:6" x14ac:dyDescent="0.25">
      <c r="A13846" s="1" t="str">
        <f t="shared" si="522"/>
        <v>25420</v>
      </c>
      <c r="B13846" s="1" t="str">
        <f>"17007"</f>
        <v>17007</v>
      </c>
      <c r="C13846" s="2">
        <v>8.6201671984456607E-3</v>
      </c>
      <c r="D13846" s="2">
        <v>1.4934551524202701E-3</v>
      </c>
      <c r="E13846" s="2">
        <v>1.6466326362588499E-3</v>
      </c>
      <c r="F13846" s="2">
        <v>7.8372440293325903E-3</v>
      </c>
    </row>
    <row r="13847" spans="1:6" x14ac:dyDescent="0.25">
      <c r="A13847" s="1" t="str">
        <f t="shared" si="522"/>
        <v>25420</v>
      </c>
      <c r="B13847" s="1" t="str">
        <f>"17105"</f>
        <v>17105</v>
      </c>
      <c r="C13847" s="2">
        <v>4.56319851696048E-4</v>
      </c>
      <c r="D13847" s="2">
        <v>6.10559606430642E-3</v>
      </c>
      <c r="E13847" s="2">
        <v>8.2331631812942495E-5</v>
      </c>
      <c r="F13847" s="2">
        <v>8.4966885107651095E-4</v>
      </c>
    </row>
    <row r="13848" spans="1:6" x14ac:dyDescent="0.25">
      <c r="A13848" s="1" t="str">
        <f t="shared" si="522"/>
        <v>25420</v>
      </c>
      <c r="B13848" s="1" t="str">
        <f>"17048"</f>
        <v>17048</v>
      </c>
      <c r="C13848" s="2">
        <v>6.6843728275788302E-3</v>
      </c>
      <c r="D13848" s="2">
        <v>5.0074672757620996E-3</v>
      </c>
      <c r="E13848" s="2">
        <v>4.5282397497118298E-3</v>
      </c>
      <c r="F13848" s="2">
        <v>6.4803101925387597E-3</v>
      </c>
    </row>
    <row r="13849" spans="1:6" x14ac:dyDescent="0.25">
      <c r="A13849" s="1" t="str">
        <f t="shared" si="522"/>
        <v>25420</v>
      </c>
      <c r="B13849" s="1" t="str">
        <f>"17053"</f>
        <v>17053</v>
      </c>
      <c r="C13849" s="2">
        <v>8.7057271706386594E-3</v>
      </c>
      <c r="D13849" s="2">
        <v>3.1626109110076401E-3</v>
      </c>
      <c r="E13849" s="2">
        <v>6.1748723859706804E-3</v>
      </c>
      <c r="F13849" s="2">
        <v>8.2081815501383795E-3</v>
      </c>
    </row>
    <row r="13850" spans="1:6" x14ac:dyDescent="0.25">
      <c r="A13850" s="1" t="str">
        <f t="shared" si="522"/>
        <v>25420</v>
      </c>
      <c r="B13850" s="1" t="str">
        <f>"17045"</f>
        <v>17045</v>
      </c>
      <c r="C13850" s="2">
        <v>3.3510989108928501E-3</v>
      </c>
      <c r="D13850" s="2">
        <v>1.5813054555038201E-3</v>
      </c>
      <c r="E13850" s="2">
        <v>1.6466326362588499E-3</v>
      </c>
      <c r="F13850" s="2">
        <v>3.1577245360903099E-3</v>
      </c>
    </row>
    <row r="13851" spans="1:6" x14ac:dyDescent="0.25">
      <c r="A13851" s="1" t="str">
        <f t="shared" si="522"/>
        <v>25420</v>
      </c>
      <c r="B13851" s="1" t="str">
        <f>"17022"</f>
        <v>17022</v>
      </c>
      <c r="C13851" s="2">
        <v>5.1229033350564104E-3</v>
      </c>
      <c r="D13851" s="2">
        <v>2.10840727400509E-3</v>
      </c>
      <c r="E13851" s="2">
        <v>5.7632142269059702E-4</v>
      </c>
      <c r="F13851" s="2">
        <v>4.7302459918140104E-3</v>
      </c>
    </row>
    <row r="13852" spans="1:6" x14ac:dyDescent="0.25">
      <c r="A13852" s="1" t="str">
        <f t="shared" si="522"/>
        <v>25420</v>
      </c>
      <c r="B13852" s="1" t="str">
        <f>"17257"</f>
        <v>17257</v>
      </c>
      <c r="C13852" s="2">
        <v>4.4633785494019702E-2</v>
      </c>
      <c r="D13852" s="2">
        <v>1.7438285162083799E-2</v>
      </c>
      <c r="E13852" s="2">
        <v>2.4946484439321501E-2</v>
      </c>
      <c r="F13852" s="2">
        <v>4.19127694448935E-2</v>
      </c>
    </row>
    <row r="13853" spans="1:6" x14ac:dyDescent="0.25">
      <c r="A13853" s="1" t="str">
        <f t="shared" si="522"/>
        <v>25420</v>
      </c>
      <c r="B13853" s="1" t="str">
        <f>"17110"</f>
        <v>17110</v>
      </c>
      <c r="C13853" s="2">
        <v>4.8840484126842602E-2</v>
      </c>
      <c r="D13853" s="2">
        <v>6.1539137310023702E-2</v>
      </c>
      <c r="E13853" s="2">
        <v>5.1045611724024303E-2</v>
      </c>
      <c r="F13853" s="2">
        <v>4.9841955252887399E-2</v>
      </c>
    </row>
    <row r="13854" spans="1:6" x14ac:dyDescent="0.25">
      <c r="A13854" s="1" t="str">
        <f t="shared" si="522"/>
        <v>25420</v>
      </c>
      <c r="B13854" s="1" t="str">
        <f>"17101"</f>
        <v>17101</v>
      </c>
      <c r="C13854" s="2">
        <v>7.5649275413985397E-3</v>
      </c>
      <c r="D13854" s="2">
        <v>4.6604585785820898E-2</v>
      </c>
      <c r="E13854" s="2">
        <v>3.2273999670673403E-2</v>
      </c>
      <c r="F13854" s="2">
        <v>1.13342020246213E-2</v>
      </c>
    </row>
    <row r="13855" spans="1:6" x14ac:dyDescent="0.25">
      <c r="A13855" s="1" t="str">
        <f t="shared" ref="A13855:A13886" si="523">"25420"</f>
        <v>25420</v>
      </c>
      <c r="B13855" s="1" t="str">
        <f>"17098"</f>
        <v>17098</v>
      </c>
      <c r="C13855" s="2">
        <v>4.5097235343398503E-3</v>
      </c>
      <c r="D13855" s="2">
        <v>2.4158833347974998E-3</v>
      </c>
      <c r="E13855" s="2">
        <v>4.3635764860859502E-3</v>
      </c>
      <c r="F13855" s="2">
        <v>4.3529676586867502E-3</v>
      </c>
    </row>
    <row r="13856" spans="1:6" x14ac:dyDescent="0.25">
      <c r="A13856" s="1" t="str">
        <f t="shared" si="523"/>
        <v>25420</v>
      </c>
      <c r="B13856" s="1" t="str">
        <f>"17081"</f>
        <v>17081</v>
      </c>
      <c r="C13856" s="2">
        <v>0</v>
      </c>
      <c r="D13856" s="2">
        <v>4.39251515417728E-5</v>
      </c>
      <c r="E13856" s="2">
        <v>0</v>
      </c>
      <c r="F13856" s="2">
        <v>3.1704061607332498E-6</v>
      </c>
    </row>
    <row r="13857" spans="1:6" x14ac:dyDescent="0.25">
      <c r="A13857" s="1" t="str">
        <f t="shared" si="523"/>
        <v>25420</v>
      </c>
      <c r="B13857" s="1" t="str">
        <f>"17124"</f>
        <v>17124</v>
      </c>
      <c r="C13857" s="2">
        <v>0</v>
      </c>
      <c r="D13857" s="2">
        <v>0</v>
      </c>
      <c r="E13857" s="2">
        <v>8.2331631812942495E-5</v>
      </c>
      <c r="F13857" s="2">
        <v>3.1704061607332498E-6</v>
      </c>
    </row>
    <row r="13858" spans="1:6" x14ac:dyDescent="0.25">
      <c r="A13858" s="1" t="str">
        <f t="shared" si="523"/>
        <v>25420</v>
      </c>
      <c r="B13858" s="1" t="str">
        <f>"17089"</f>
        <v>17089</v>
      </c>
      <c r="C13858" s="2">
        <v>0</v>
      </c>
      <c r="D13858" s="2">
        <v>0</v>
      </c>
      <c r="E13858" s="2">
        <v>8.2331631812942495E-5</v>
      </c>
      <c r="F13858" s="2">
        <v>3.1704061607332498E-6</v>
      </c>
    </row>
    <row r="13859" spans="1:6" x14ac:dyDescent="0.25">
      <c r="A13859" s="1" t="str">
        <f t="shared" si="523"/>
        <v>25420</v>
      </c>
      <c r="B13859" s="1" t="str">
        <f>"17036"</f>
        <v>17036</v>
      </c>
      <c r="C13859" s="2">
        <v>3.9111602288729203E-2</v>
      </c>
      <c r="D13859" s="2">
        <v>2.69261178951067E-2</v>
      </c>
      <c r="E13859" s="2">
        <v>2.32175201712497E-2</v>
      </c>
      <c r="F13859" s="2">
        <v>3.7620039503260698E-2</v>
      </c>
    </row>
    <row r="13860" spans="1:6" x14ac:dyDescent="0.25">
      <c r="A13860" s="1" t="str">
        <f t="shared" si="523"/>
        <v>25420</v>
      </c>
      <c r="B13860" s="1" t="str">
        <f>"17126"</f>
        <v>17126</v>
      </c>
      <c r="C13860" s="2">
        <v>0</v>
      </c>
      <c r="D13860" s="2">
        <v>0</v>
      </c>
      <c r="E13860" s="2">
        <v>8.2331631812942495E-5</v>
      </c>
      <c r="F13860" s="2">
        <v>3.1704061607332498E-6</v>
      </c>
    </row>
    <row r="13861" spans="1:6" x14ac:dyDescent="0.25">
      <c r="A13861" s="1" t="str">
        <f t="shared" si="523"/>
        <v>25420</v>
      </c>
      <c r="B13861" s="1" t="str">
        <f>"17027"</f>
        <v>17027</v>
      </c>
      <c r="C13861" s="2">
        <v>9.2689969875759694E-5</v>
      </c>
      <c r="D13861" s="2">
        <v>4.39251515417728E-5</v>
      </c>
      <c r="E13861" s="2">
        <v>8.2331631812942495E-5</v>
      </c>
      <c r="F13861" s="2">
        <v>8.8771372500530998E-5</v>
      </c>
    </row>
    <row r="13862" spans="1:6" x14ac:dyDescent="0.25">
      <c r="A13862" s="1" t="str">
        <f t="shared" si="523"/>
        <v>25420</v>
      </c>
      <c r="B13862" s="1" t="str">
        <f>"17071"</f>
        <v>17071</v>
      </c>
      <c r="C13862" s="2">
        <v>0</v>
      </c>
      <c r="D13862" s="2">
        <v>4.39251515417728E-5</v>
      </c>
      <c r="E13862" s="2">
        <v>0</v>
      </c>
      <c r="F13862" s="2">
        <v>3.1704061607332498E-6</v>
      </c>
    </row>
    <row r="13863" spans="1:6" x14ac:dyDescent="0.25">
      <c r="A13863" s="1" t="str">
        <f t="shared" si="523"/>
        <v>25420</v>
      </c>
      <c r="B13863" s="1" t="str">
        <f>"17001"</f>
        <v>17001</v>
      </c>
      <c r="C13863" s="2">
        <v>3.21562895492058E-3</v>
      </c>
      <c r="D13863" s="2">
        <v>1.40121233418255E-2</v>
      </c>
      <c r="E13863" s="2">
        <v>8.2331631812942495E-5</v>
      </c>
      <c r="F13863" s="2">
        <v>3.8742363284160301E-3</v>
      </c>
    </row>
    <row r="13864" spans="1:6" x14ac:dyDescent="0.25">
      <c r="A13864" s="1" t="str">
        <f t="shared" si="523"/>
        <v>25420</v>
      </c>
      <c r="B13864" s="1" t="str">
        <f>"17030"</f>
        <v>17030</v>
      </c>
      <c r="C13864" s="2">
        <v>3.9214987255129099E-4</v>
      </c>
      <c r="D13864" s="2">
        <v>2.1962575770886401E-4</v>
      </c>
      <c r="E13864" s="2">
        <v>2.4699489543882698E-4</v>
      </c>
      <c r="F13864" s="2">
        <v>3.7410792696652301E-4</v>
      </c>
    </row>
    <row r="13865" spans="1:6" x14ac:dyDescent="0.25">
      <c r="A13865" s="1" t="str">
        <f t="shared" si="523"/>
        <v>25420</v>
      </c>
      <c r="B13865" s="1" t="str">
        <f>"17978"</f>
        <v>17978</v>
      </c>
      <c r="C13865" s="2">
        <v>3.2084989572378302E-4</v>
      </c>
      <c r="D13865" s="2">
        <v>1.7570060616709101E-4</v>
      </c>
      <c r="E13865" s="2">
        <v>0</v>
      </c>
      <c r="F13865" s="2">
        <v>2.98018179108925E-4</v>
      </c>
    </row>
    <row r="13866" spans="1:6" x14ac:dyDescent="0.25">
      <c r="A13866" s="1" t="str">
        <f t="shared" si="523"/>
        <v>25420</v>
      </c>
      <c r="B13866" s="1" t="str">
        <f>"17130"</f>
        <v>17130</v>
      </c>
      <c r="C13866" s="2">
        <v>0</v>
      </c>
      <c r="D13866" s="2">
        <v>4.39251515417728E-5</v>
      </c>
      <c r="E13866" s="2">
        <v>0</v>
      </c>
      <c r="F13866" s="2">
        <v>3.1704061607332498E-6</v>
      </c>
    </row>
    <row r="13867" spans="1:6" x14ac:dyDescent="0.25">
      <c r="A13867" s="1" t="str">
        <f t="shared" si="523"/>
        <v>25420</v>
      </c>
      <c r="B13867" s="1" t="str">
        <f>"17035"</f>
        <v>17035</v>
      </c>
      <c r="C13867" s="2">
        <v>2.1389993048252199E-5</v>
      </c>
      <c r="D13867" s="2">
        <v>0</v>
      </c>
      <c r="E13867" s="2">
        <v>0</v>
      </c>
      <c r="F13867" s="2">
        <v>1.9022436964399501E-5</v>
      </c>
    </row>
    <row r="13868" spans="1:6" x14ac:dyDescent="0.25">
      <c r="A13868" s="1" t="str">
        <f t="shared" si="523"/>
        <v>25420</v>
      </c>
      <c r="B13868" s="1" t="str">
        <f>"17108"</f>
        <v>17108</v>
      </c>
      <c r="C13868" s="2">
        <v>4.1924386374574399E-3</v>
      </c>
      <c r="D13868" s="2">
        <v>1.53298778880787E-2</v>
      </c>
      <c r="E13868" s="2">
        <v>8.2331631812942495E-5</v>
      </c>
      <c r="F13868" s="2">
        <v>4.8380398012789396E-3</v>
      </c>
    </row>
    <row r="13869" spans="1:6" x14ac:dyDescent="0.25">
      <c r="A13869" s="1" t="str">
        <f t="shared" si="523"/>
        <v>25420</v>
      </c>
      <c r="B13869" s="1" t="str">
        <f>"17015"</f>
        <v>17015</v>
      </c>
      <c r="C13869" s="2">
        <v>3.76749077556549E-2</v>
      </c>
      <c r="D13869" s="2">
        <v>2.2885003953263601E-2</v>
      </c>
      <c r="E13869" s="2">
        <v>9.9621274493660403E-3</v>
      </c>
      <c r="F13869" s="2">
        <v>3.5540253061819703E-2</v>
      </c>
    </row>
    <row r="13870" spans="1:6" x14ac:dyDescent="0.25">
      <c r="A13870" s="1" t="str">
        <f t="shared" si="523"/>
        <v>25420</v>
      </c>
      <c r="B13870" s="1" t="str">
        <f>"17324"</f>
        <v>17324</v>
      </c>
      <c r="C13870" s="2">
        <v>4.0177536942300404E-3</v>
      </c>
      <c r="D13870" s="2">
        <v>5.7102697004304597E-4</v>
      </c>
      <c r="E13870" s="2">
        <v>1.6466326362588499E-4</v>
      </c>
      <c r="F13870" s="2">
        <v>3.6206038355573698E-3</v>
      </c>
    </row>
    <row r="13871" spans="1:6" x14ac:dyDescent="0.25">
      <c r="A13871" s="1" t="str">
        <f t="shared" si="523"/>
        <v>25420</v>
      </c>
      <c r="B13871" s="1" t="str">
        <f>"17090"</f>
        <v>17090</v>
      </c>
      <c r="C13871" s="2">
        <v>8.1602823479082296E-3</v>
      </c>
      <c r="D13871" s="2">
        <v>2.5037336378810498E-3</v>
      </c>
      <c r="E13871" s="2">
        <v>3.1286020088918099E-3</v>
      </c>
      <c r="F13871" s="2">
        <v>7.5582482871880702E-3</v>
      </c>
    </row>
    <row r="13872" spans="1:6" x14ac:dyDescent="0.25">
      <c r="A13872" s="1" t="str">
        <f t="shared" si="523"/>
        <v>25420</v>
      </c>
      <c r="B13872" s="1" t="str">
        <f>"17102"</f>
        <v>17102</v>
      </c>
      <c r="C13872" s="2">
        <v>1.8915883852337698E-2</v>
      </c>
      <c r="D13872" s="2">
        <v>1.9590617587630602E-2</v>
      </c>
      <c r="E13872" s="2">
        <v>6.1254734068829197E-2</v>
      </c>
      <c r="F13872" s="2">
        <v>2.05949584201232E-2</v>
      </c>
    </row>
    <row r="13873" spans="1:6" x14ac:dyDescent="0.25">
      <c r="A13873" s="1" t="str">
        <f t="shared" si="523"/>
        <v>25420</v>
      </c>
      <c r="B13873" s="1" t="str">
        <f>"17106"</f>
        <v>17106</v>
      </c>
      <c r="C13873" s="2">
        <v>3.9607137127680402E-3</v>
      </c>
      <c r="D13873" s="2">
        <v>1.6076605464288799E-2</v>
      </c>
      <c r="E13873" s="2">
        <v>8.2331631812942495E-5</v>
      </c>
      <c r="F13873" s="2">
        <v>4.6858603055637401E-3</v>
      </c>
    </row>
    <row r="13874" spans="1:6" x14ac:dyDescent="0.25">
      <c r="A13874" s="1" t="str">
        <f t="shared" si="523"/>
        <v>25420</v>
      </c>
      <c r="B13874" s="1" t="str">
        <f>"17113"</f>
        <v>17113</v>
      </c>
      <c r="C13874" s="2">
        <v>1.84952139890554E-2</v>
      </c>
      <c r="D13874" s="2">
        <v>1.0981287885443201E-2</v>
      </c>
      <c r="E13874" s="2">
        <v>2.4370163016630898E-2</v>
      </c>
      <c r="F13874" s="2">
        <v>1.8179108925644401E-2</v>
      </c>
    </row>
    <row r="13875" spans="1:6" x14ac:dyDescent="0.25">
      <c r="A13875" s="1" t="str">
        <f t="shared" si="523"/>
        <v>25420</v>
      </c>
      <c r="B13875" s="1" t="str">
        <f>"17050"</f>
        <v>17050</v>
      </c>
      <c r="C13875" s="2">
        <v>6.6394538421775007E-2</v>
      </c>
      <c r="D13875" s="2">
        <v>5.7937274883598303E-2</v>
      </c>
      <c r="E13875" s="2">
        <v>3.581425983863E-2</v>
      </c>
      <c r="F13875" s="2">
        <v>6.4606536743422094E-2</v>
      </c>
    </row>
    <row r="13876" spans="1:6" x14ac:dyDescent="0.25">
      <c r="A13876" s="1" t="str">
        <f t="shared" si="523"/>
        <v>25420</v>
      </c>
      <c r="B13876" s="1" t="str">
        <f>"17062"</f>
        <v>17062</v>
      </c>
      <c r="C13876" s="2">
        <v>4.8804834138428902E-3</v>
      </c>
      <c r="D13876" s="2">
        <v>2.28410788017218E-3</v>
      </c>
      <c r="E13876" s="2">
        <v>7.4098468631648203E-4</v>
      </c>
      <c r="F13876" s="2">
        <v>4.5336808098485398E-3</v>
      </c>
    </row>
    <row r="13877" spans="1:6" x14ac:dyDescent="0.25">
      <c r="A13877" s="1" t="str">
        <f t="shared" si="523"/>
        <v>25420</v>
      </c>
      <c r="B13877" s="1" t="str">
        <f>"17112"</f>
        <v>17112</v>
      </c>
      <c r="C13877" s="2">
        <v>5.9096985793479599E-2</v>
      </c>
      <c r="D13877" s="2">
        <v>6.0616709127646398E-2</v>
      </c>
      <c r="E13877" s="2">
        <v>3.1615346616169902E-2</v>
      </c>
      <c r="F13877" s="2">
        <v>5.8148419394008499E-2</v>
      </c>
    </row>
    <row r="13878" spans="1:6" x14ac:dyDescent="0.25">
      <c r="A13878" s="1" t="str">
        <f t="shared" si="523"/>
        <v>25420</v>
      </c>
      <c r="B13878" s="1" t="str">
        <f>"17047"</f>
        <v>17047</v>
      </c>
      <c r="C13878" s="2">
        <v>3.5436088483271201E-3</v>
      </c>
      <c r="D13878" s="2">
        <v>2.6794342440481398E-3</v>
      </c>
      <c r="E13878" s="2">
        <v>8.2331631812942497E-4</v>
      </c>
      <c r="F13878" s="2">
        <v>3.37648256118091E-3</v>
      </c>
    </row>
    <row r="13879" spans="1:6" x14ac:dyDescent="0.25">
      <c r="A13879" s="1" t="str">
        <f t="shared" si="523"/>
        <v>25420</v>
      </c>
      <c r="B13879" s="1" t="str">
        <f>"17065"</f>
        <v>17065</v>
      </c>
      <c r="C13879" s="2">
        <v>6.7699327997718401E-3</v>
      </c>
      <c r="D13879" s="2">
        <v>4.6999912149696902E-3</v>
      </c>
      <c r="E13879" s="2">
        <v>7.8215050222295406E-3</v>
      </c>
      <c r="F13879" s="2">
        <v>6.6610233437005596E-3</v>
      </c>
    </row>
    <row r="13880" spans="1:6" x14ac:dyDescent="0.25">
      <c r="A13880" s="1" t="str">
        <f t="shared" si="523"/>
        <v>25420</v>
      </c>
      <c r="B13880" s="1" t="str">
        <f>"17005"</f>
        <v>17005</v>
      </c>
      <c r="C13880" s="2">
        <v>1.42599953655015E-5</v>
      </c>
      <c r="D13880" s="2">
        <v>0</v>
      </c>
      <c r="E13880" s="2">
        <v>8.2331631812942495E-5</v>
      </c>
      <c r="F13880" s="2">
        <v>1.5852030803666201E-5</v>
      </c>
    </row>
    <row r="13881" spans="1:6" x14ac:dyDescent="0.25">
      <c r="A13881" s="1" t="str">
        <f t="shared" si="523"/>
        <v>25420</v>
      </c>
      <c r="B13881" s="1" t="str">
        <f>"17307"</f>
        <v>17307</v>
      </c>
      <c r="C13881" s="2">
        <v>7.8429974510258206E-5</v>
      </c>
      <c r="D13881" s="2">
        <v>0</v>
      </c>
      <c r="E13881" s="2">
        <v>0</v>
      </c>
      <c r="F13881" s="2">
        <v>6.9748935536131498E-5</v>
      </c>
    </row>
    <row r="13882" spans="1:6" x14ac:dyDescent="0.25">
      <c r="A13882" s="1" t="str">
        <f t="shared" si="523"/>
        <v>25420</v>
      </c>
      <c r="B13882" s="1" t="str">
        <f>"17072"</f>
        <v>17072</v>
      </c>
      <c r="C13882" s="2">
        <v>2.5988841553626399E-3</v>
      </c>
      <c r="D13882" s="2">
        <v>4.1728893964684101E-3</v>
      </c>
      <c r="E13882" s="2">
        <v>8.2331631812942495E-5</v>
      </c>
      <c r="F13882" s="2">
        <v>2.61558508260493E-3</v>
      </c>
    </row>
    <row r="13883" spans="1:6" x14ac:dyDescent="0.25">
      <c r="A13883" s="1" t="str">
        <f t="shared" si="523"/>
        <v>25420</v>
      </c>
      <c r="B13883" s="1" t="str">
        <f>"17093"</f>
        <v>17093</v>
      </c>
      <c r="C13883" s="2">
        <v>2.3422042387836201E-3</v>
      </c>
      <c r="D13883" s="2">
        <v>1.05420363700254E-3</v>
      </c>
      <c r="E13883" s="2">
        <v>8.2331631812942495E-5</v>
      </c>
      <c r="F13883" s="2">
        <v>2.1622170016200701E-3</v>
      </c>
    </row>
    <row r="13884" spans="1:6" x14ac:dyDescent="0.25">
      <c r="A13884" s="1" t="str">
        <f t="shared" si="523"/>
        <v>25420</v>
      </c>
      <c r="B13884" s="1" t="str">
        <f>"17980"</f>
        <v>17980</v>
      </c>
      <c r="C13884" s="2">
        <v>4.0997486675816802E-4</v>
      </c>
      <c r="D13884" s="2">
        <v>4.39251515417728E-5</v>
      </c>
      <c r="E13884" s="2">
        <v>0</v>
      </c>
      <c r="F13884" s="2">
        <v>3.6776711464505697E-4</v>
      </c>
    </row>
    <row r="13885" spans="1:6" x14ac:dyDescent="0.25">
      <c r="A13885" s="1" t="str">
        <f t="shared" si="523"/>
        <v>25420</v>
      </c>
      <c r="B13885" s="1" t="str">
        <f>"17032"</f>
        <v>17032</v>
      </c>
      <c r="C13885" s="2">
        <v>1.26949608741377E-2</v>
      </c>
      <c r="D13885" s="2">
        <v>7.2476500043925102E-3</v>
      </c>
      <c r="E13885" s="2">
        <v>3.2932652725176999E-3</v>
      </c>
      <c r="F13885" s="2">
        <v>1.19397496013214E-2</v>
      </c>
    </row>
    <row r="13886" spans="1:6" x14ac:dyDescent="0.25">
      <c r="A13886" s="1" t="str">
        <f t="shared" si="523"/>
        <v>25420</v>
      </c>
      <c r="B13886" s="1" t="str">
        <f>"17037"</f>
        <v>17037</v>
      </c>
      <c r="C13886" s="2">
        <v>1.24774959448138E-3</v>
      </c>
      <c r="D13886" s="2">
        <v>4.3925151541772801E-4</v>
      </c>
      <c r="E13886" s="2">
        <v>0</v>
      </c>
      <c r="F13886" s="2">
        <v>1.14134621786397E-3</v>
      </c>
    </row>
    <row r="13887" spans="1:6" x14ac:dyDescent="0.25">
      <c r="A13887" s="1" t="str">
        <f t="shared" ref="A13887:A13907" si="524">"25420"</f>
        <v>25420</v>
      </c>
      <c r="B13887" s="1" t="str">
        <f>"17023"</f>
        <v>17023</v>
      </c>
      <c r="C13887" s="2">
        <v>4.8163134346981299E-3</v>
      </c>
      <c r="D13887" s="2">
        <v>4.3485900026354997E-3</v>
      </c>
      <c r="E13887" s="2">
        <v>2.7992754816400399E-3</v>
      </c>
      <c r="F13887" s="2">
        <v>4.7048827425281402E-3</v>
      </c>
    </row>
    <row r="13888" spans="1:6" x14ac:dyDescent="0.25">
      <c r="A13888" s="1" t="str">
        <f t="shared" si="524"/>
        <v>25420</v>
      </c>
      <c r="B13888" s="1" t="str">
        <f>"17111"</f>
        <v>17111</v>
      </c>
      <c r="C13888" s="2">
        <v>5.5239657047111403E-2</v>
      </c>
      <c r="D13888" s="2">
        <v>6.1670912764648998E-2</v>
      </c>
      <c r="E13888" s="2">
        <v>6.8746912563806994E-2</v>
      </c>
      <c r="F13888" s="2">
        <v>5.6223982854443397E-2</v>
      </c>
    </row>
    <row r="13889" spans="1:6" x14ac:dyDescent="0.25">
      <c r="A13889" s="1" t="str">
        <f t="shared" si="524"/>
        <v>25420</v>
      </c>
      <c r="B13889" s="1" t="str">
        <f>"17070"</f>
        <v>17070</v>
      </c>
      <c r="C13889" s="2">
        <v>1.6466729648312799E-2</v>
      </c>
      <c r="D13889" s="2">
        <v>1.9414916981463502E-2</v>
      </c>
      <c r="E13889" s="2">
        <v>2.55228058620121E-2</v>
      </c>
      <c r="F13889" s="2">
        <v>1.70282514892982E-2</v>
      </c>
    </row>
    <row r="13890" spans="1:6" x14ac:dyDescent="0.25">
      <c r="A13890" s="1" t="str">
        <f t="shared" si="524"/>
        <v>25420</v>
      </c>
      <c r="B13890" s="1" t="str">
        <f>"17240"</f>
        <v>17240</v>
      </c>
      <c r="C13890" s="2">
        <v>3.2691039375412202E-3</v>
      </c>
      <c r="D13890" s="2">
        <v>6.1495212158481903E-4</v>
      </c>
      <c r="E13890" s="2">
        <v>4.9398979087765505E-4</v>
      </c>
      <c r="F13890" s="2">
        <v>2.9706705726070498E-3</v>
      </c>
    </row>
    <row r="13891" spans="1:6" x14ac:dyDescent="0.25">
      <c r="A13891" s="1" t="str">
        <f t="shared" si="524"/>
        <v>25420</v>
      </c>
      <c r="B13891" s="1" t="str">
        <f>"17068"</f>
        <v>17068</v>
      </c>
      <c r="C13891" s="2">
        <v>6.5524678704479396E-3</v>
      </c>
      <c r="D13891" s="2">
        <v>3.8214881841342301E-3</v>
      </c>
      <c r="E13891" s="2">
        <v>1.3996377408200199E-3</v>
      </c>
      <c r="F13891" s="2">
        <v>6.1569287641439702E-3</v>
      </c>
    </row>
    <row r="13892" spans="1:6" x14ac:dyDescent="0.25">
      <c r="A13892" s="1" t="str">
        <f t="shared" si="524"/>
        <v>25420</v>
      </c>
      <c r="B13892" s="1" t="str">
        <f>"19405"</f>
        <v>19405</v>
      </c>
      <c r="C13892" s="2">
        <v>8.5559972193008997E-5</v>
      </c>
      <c r="D13892" s="2">
        <v>4.39251515417728E-5</v>
      </c>
      <c r="E13892" s="2">
        <v>0</v>
      </c>
      <c r="F13892" s="2">
        <v>7.9260154018331194E-5</v>
      </c>
    </row>
    <row r="13893" spans="1:6" x14ac:dyDescent="0.25">
      <c r="A13893" s="1" t="str">
        <f t="shared" si="524"/>
        <v>25420</v>
      </c>
      <c r="B13893" s="1" t="str">
        <f>"17121"</f>
        <v>17121</v>
      </c>
      <c r="C13893" s="2">
        <v>0</v>
      </c>
      <c r="D13893" s="2">
        <v>4.3925151541772801E-4</v>
      </c>
      <c r="E13893" s="2">
        <v>1.6466326362588499E-4</v>
      </c>
      <c r="F13893" s="2">
        <v>3.8044873928799001E-5</v>
      </c>
    </row>
    <row r="13894" spans="1:6" x14ac:dyDescent="0.25">
      <c r="A13894" s="1" t="str">
        <f t="shared" si="524"/>
        <v>25420</v>
      </c>
      <c r="B13894" s="1" t="str">
        <f>"17028"</f>
        <v>17028</v>
      </c>
      <c r="C13894" s="2">
        <v>4.0177536942300404E-3</v>
      </c>
      <c r="D13894" s="2">
        <v>3.55793727488359E-3</v>
      </c>
      <c r="E13894" s="2">
        <v>3.2932652725176998E-4</v>
      </c>
      <c r="F13894" s="2">
        <v>3.8425322668087002E-3</v>
      </c>
    </row>
    <row r="13895" spans="1:6" x14ac:dyDescent="0.25">
      <c r="A13895" s="1" t="str">
        <f t="shared" si="524"/>
        <v>25420</v>
      </c>
      <c r="B13895" s="1" t="str">
        <f>"17006"</f>
        <v>17006</v>
      </c>
      <c r="C13895" s="2">
        <v>2.10334931641147E-3</v>
      </c>
      <c r="D13895" s="2">
        <v>1.18597909162786E-3</v>
      </c>
      <c r="E13895" s="2">
        <v>0</v>
      </c>
      <c r="F13895" s="2">
        <v>1.9561406011724099E-3</v>
      </c>
    </row>
    <row r="13896" spans="1:6" x14ac:dyDescent="0.25">
      <c r="A13896" s="1" t="str">
        <f t="shared" si="524"/>
        <v>25420</v>
      </c>
      <c r="B13896" s="1" t="str">
        <f>"17104"</f>
        <v>17104</v>
      </c>
      <c r="C13896" s="2">
        <v>3.1774834673178702E-2</v>
      </c>
      <c r="D13896" s="2">
        <v>2.8639198805235799E-2</v>
      </c>
      <c r="E13896" s="2">
        <v>4.33064383336077E-2</v>
      </c>
      <c r="F13896" s="2">
        <v>3.19925685679592E-2</v>
      </c>
    </row>
    <row r="13897" spans="1:6" x14ac:dyDescent="0.25">
      <c r="A13897" s="1" t="str">
        <f t="shared" si="524"/>
        <v>25420</v>
      </c>
      <c r="B13897" s="1" t="str">
        <f>"17109"</f>
        <v>17109</v>
      </c>
      <c r="C13897" s="2">
        <v>4.0605336803265502E-2</v>
      </c>
      <c r="D13897" s="2">
        <v>4.0630765176139803E-2</v>
      </c>
      <c r="E13897" s="2">
        <v>0.103408529557055</v>
      </c>
      <c r="F13897" s="2">
        <v>4.3025582007310902E-2</v>
      </c>
    </row>
    <row r="13898" spans="1:6" x14ac:dyDescent="0.25">
      <c r="A13898" s="1" t="str">
        <f t="shared" si="524"/>
        <v>25420</v>
      </c>
      <c r="B13898" s="1" t="str">
        <f>"17061"</f>
        <v>17061</v>
      </c>
      <c r="C13898" s="2">
        <v>1.18785761394627E-2</v>
      </c>
      <c r="D13898" s="2">
        <v>9.8831590968988803E-3</v>
      </c>
      <c r="E13898" s="2">
        <v>6.5041989132224604E-3</v>
      </c>
      <c r="F13898" s="2">
        <v>1.15275968004261E-2</v>
      </c>
    </row>
    <row r="13899" spans="1:6" x14ac:dyDescent="0.25">
      <c r="A13899" s="1" t="str">
        <f t="shared" si="524"/>
        <v>25420</v>
      </c>
      <c r="B13899" s="1" t="str">
        <f>"17123"</f>
        <v>17123</v>
      </c>
      <c r="C13899" s="2">
        <v>0</v>
      </c>
      <c r="D13899" s="2">
        <v>0</v>
      </c>
      <c r="E13899" s="2">
        <v>8.2331631812942495E-5</v>
      </c>
      <c r="F13899" s="2">
        <v>3.1704061607332498E-6</v>
      </c>
    </row>
    <row r="13900" spans="1:6" x14ac:dyDescent="0.25">
      <c r="A13900" s="1" t="str">
        <f t="shared" si="524"/>
        <v>25420</v>
      </c>
      <c r="B13900" s="1" t="str">
        <f>"17177"</f>
        <v>17177</v>
      </c>
      <c r="C13900" s="2">
        <v>0</v>
      </c>
      <c r="D13900" s="2">
        <v>4.39251515417728E-5</v>
      </c>
      <c r="E13900" s="2">
        <v>0</v>
      </c>
      <c r="F13900" s="2">
        <v>3.1704061607332498E-6</v>
      </c>
    </row>
    <row r="13901" spans="1:6" x14ac:dyDescent="0.25">
      <c r="A13901" s="1" t="str">
        <f t="shared" si="524"/>
        <v>25420</v>
      </c>
      <c r="B13901" s="1" t="str">
        <f>"17021"</f>
        <v>17021</v>
      </c>
      <c r="C13901" s="2">
        <v>1.67554945544642E-4</v>
      </c>
      <c r="D13901" s="2">
        <v>0</v>
      </c>
      <c r="E13901" s="2">
        <v>0</v>
      </c>
      <c r="F13901" s="2">
        <v>1.4900908955446199E-4</v>
      </c>
    </row>
    <row r="13902" spans="1:6" x14ac:dyDescent="0.25">
      <c r="A13902" s="1" t="str">
        <f t="shared" si="524"/>
        <v>25420</v>
      </c>
      <c r="B13902" s="1" t="str">
        <f>"17122"</f>
        <v>17122</v>
      </c>
      <c r="C13902" s="2">
        <v>0</v>
      </c>
      <c r="D13902" s="2">
        <v>0</v>
      </c>
      <c r="E13902" s="2">
        <v>8.2331631812942495E-5</v>
      </c>
      <c r="F13902" s="2">
        <v>3.1704061607332498E-6</v>
      </c>
    </row>
    <row r="13903" spans="1:6" x14ac:dyDescent="0.25">
      <c r="A13903" s="1" t="str">
        <f t="shared" si="524"/>
        <v>25420</v>
      </c>
      <c r="B13903" s="1" t="str">
        <f>"17017"</f>
        <v>17017</v>
      </c>
      <c r="C13903" s="2">
        <v>4.6344984937879798E-4</v>
      </c>
      <c r="D13903" s="2">
        <v>1.3177545462531799E-4</v>
      </c>
      <c r="E13903" s="2">
        <v>1.6466326362588499E-4</v>
      </c>
      <c r="F13903" s="2">
        <v>4.28004831698988E-4</v>
      </c>
    </row>
    <row r="13904" spans="1:6" x14ac:dyDescent="0.25">
      <c r="A13904" s="1" t="str">
        <f t="shared" si="524"/>
        <v>25420</v>
      </c>
      <c r="B13904" s="1" t="str">
        <f>"17040"</f>
        <v>17040</v>
      </c>
      <c r="C13904" s="2">
        <v>3.7468137822855201E-3</v>
      </c>
      <c r="D13904" s="2">
        <v>7.9065272775191004E-4</v>
      </c>
      <c r="E13904" s="2">
        <v>3.2932652725176998E-4</v>
      </c>
      <c r="F13904" s="2">
        <v>3.4018458104667702E-3</v>
      </c>
    </row>
    <row r="13905" spans="1:6" x14ac:dyDescent="0.25">
      <c r="A13905" s="1" t="str">
        <f t="shared" si="524"/>
        <v>25420</v>
      </c>
      <c r="B13905" s="1" t="str">
        <f>"17013"</f>
        <v>17013</v>
      </c>
      <c r="C13905" s="2">
        <v>6.0473075346250502E-2</v>
      </c>
      <c r="D13905" s="2">
        <v>8.03830273214442E-2</v>
      </c>
      <c r="E13905" s="2">
        <v>7.8544376749547104E-2</v>
      </c>
      <c r="F13905" s="2">
        <v>6.2606010455999506E-2</v>
      </c>
    </row>
    <row r="13906" spans="1:6" x14ac:dyDescent="0.25">
      <c r="A13906" s="1" t="str">
        <f t="shared" si="524"/>
        <v>25420</v>
      </c>
      <c r="B13906" s="1" t="str">
        <f>"17020"</f>
        <v>17020</v>
      </c>
      <c r="C13906" s="2">
        <v>1.41673053956257E-2</v>
      </c>
      <c r="D13906" s="2">
        <v>8.9607309145216495E-3</v>
      </c>
      <c r="E13906" s="2">
        <v>7.4098468631648203E-3</v>
      </c>
      <c r="F13906" s="2">
        <v>1.35312934940095E-2</v>
      </c>
    </row>
    <row r="13907" spans="1:6" x14ac:dyDescent="0.25">
      <c r="A13907" s="1" t="str">
        <f t="shared" si="524"/>
        <v>25420</v>
      </c>
      <c r="B13907" s="1" t="str">
        <f>"17241"</f>
        <v>17241</v>
      </c>
      <c r="C13907" s="2">
        <v>1.8448869004117501E-2</v>
      </c>
      <c r="D13907" s="2">
        <v>1.00588597030659E-2</v>
      </c>
      <c r="E13907" s="2">
        <v>8.4801580767330798E-3</v>
      </c>
      <c r="F13907" s="2">
        <v>1.7459426727158001E-2</v>
      </c>
    </row>
    <row r="13908" spans="1:6" x14ac:dyDescent="0.25">
      <c r="A13908" s="1" t="str">
        <f t="shared" ref="A13908:A13928" si="525">"25460"</f>
        <v>25460</v>
      </c>
      <c r="B13908" s="1" t="str">
        <f>"72641"</f>
        <v>72641</v>
      </c>
      <c r="C13908" s="2">
        <v>4.1926126474569697E-2</v>
      </c>
      <c r="D13908" s="2">
        <v>1.40398550724637E-2</v>
      </c>
      <c r="E13908" s="2">
        <v>5.1948051948051896E-3</v>
      </c>
      <c r="F13908" s="2">
        <v>3.9264623172103399E-2</v>
      </c>
    </row>
    <row r="13909" spans="1:6" x14ac:dyDescent="0.25">
      <c r="A13909" s="1" t="str">
        <f t="shared" si="525"/>
        <v>25460</v>
      </c>
      <c r="B13909" s="1" t="str">
        <f>"72643"</f>
        <v>72643</v>
      </c>
      <c r="C13909" s="2">
        <v>2.7074066911622499E-4</v>
      </c>
      <c r="D13909" s="2">
        <v>0</v>
      </c>
      <c r="E13909" s="2">
        <v>0</v>
      </c>
      <c r="F13909" s="2">
        <v>2.4606299212598398E-4</v>
      </c>
    </row>
    <row r="13910" spans="1:6" x14ac:dyDescent="0.25">
      <c r="A13910" s="1" t="str">
        <f t="shared" si="525"/>
        <v>25460</v>
      </c>
      <c r="B13910" s="1" t="str">
        <f>"72628"</f>
        <v>72628</v>
      </c>
      <c r="C13910" s="2">
        <v>1.6631212531425198E-2</v>
      </c>
      <c r="D13910" s="2">
        <v>3.1702898550724601E-3</v>
      </c>
      <c r="E13910" s="2">
        <v>2.59740259740259E-3</v>
      </c>
      <c r="F13910" s="2">
        <v>1.5396512935883001E-2</v>
      </c>
    </row>
    <row r="13911" spans="1:6" x14ac:dyDescent="0.25">
      <c r="A13911" s="1" t="str">
        <f t="shared" si="525"/>
        <v>25460</v>
      </c>
      <c r="B13911" s="1" t="str">
        <f>"72611"</f>
        <v>72611</v>
      </c>
      <c r="C13911" s="2">
        <v>1.4619996132276099E-2</v>
      </c>
      <c r="D13911" s="2">
        <v>8.6050724637681108E-3</v>
      </c>
      <c r="E13911" s="2">
        <v>2.59740259740259E-3</v>
      </c>
      <c r="F13911" s="2">
        <v>1.39904386951631E-2</v>
      </c>
    </row>
    <row r="13912" spans="1:6" x14ac:dyDescent="0.25">
      <c r="A13912" s="1" t="str">
        <f t="shared" si="525"/>
        <v>25460</v>
      </c>
      <c r="B13912" s="1" t="str">
        <f>"72655"</f>
        <v>72655</v>
      </c>
      <c r="C13912" s="2">
        <v>1.9570682653258498E-2</v>
      </c>
      <c r="D13912" s="2">
        <v>0</v>
      </c>
      <c r="E13912" s="2">
        <v>2.59740259740259E-3</v>
      </c>
      <c r="F13912" s="2">
        <v>1.78219910011248E-2</v>
      </c>
    </row>
    <row r="13913" spans="1:6" x14ac:dyDescent="0.25">
      <c r="A13913" s="1" t="str">
        <f t="shared" si="525"/>
        <v>25460</v>
      </c>
      <c r="B13913" s="1" t="str">
        <f>"72683"</f>
        <v>72683</v>
      </c>
      <c r="C13913" s="2">
        <v>6.4204215818990497E-3</v>
      </c>
      <c r="D13913" s="2">
        <v>9.0579710144927505E-4</v>
      </c>
      <c r="E13913" s="2">
        <v>2.59740259740259E-3</v>
      </c>
      <c r="F13913" s="2">
        <v>5.94066366704161E-3</v>
      </c>
    </row>
    <row r="13914" spans="1:6" x14ac:dyDescent="0.25">
      <c r="A13914" s="1" t="str">
        <f t="shared" si="525"/>
        <v>25460</v>
      </c>
      <c r="B13914" s="1" t="str">
        <f>"72602"</f>
        <v>72602</v>
      </c>
      <c r="C13914" s="2">
        <v>7.7547863082575899E-2</v>
      </c>
      <c r="D13914" s="2">
        <v>0.20878623188405701</v>
      </c>
      <c r="E13914" s="2">
        <v>5.1948051948051896E-3</v>
      </c>
      <c r="F13914" s="2">
        <v>8.6754780652418401E-2</v>
      </c>
    </row>
    <row r="13915" spans="1:6" x14ac:dyDescent="0.25">
      <c r="A13915" s="1" t="str">
        <f t="shared" si="525"/>
        <v>25460</v>
      </c>
      <c r="B13915" s="1" t="str">
        <f>"72601"</f>
        <v>72601</v>
      </c>
      <c r="C13915" s="2">
        <v>0.575014503964416</v>
      </c>
      <c r="D13915" s="2">
        <v>0.69338768115941996</v>
      </c>
      <c r="E13915" s="2">
        <v>0.92467532467532398</v>
      </c>
      <c r="F13915" s="2">
        <v>0.58893419572553396</v>
      </c>
    </row>
    <row r="13916" spans="1:6" x14ac:dyDescent="0.25">
      <c r="A13916" s="1" t="str">
        <f t="shared" si="525"/>
        <v>25460</v>
      </c>
      <c r="B13916" s="1" t="str">
        <f>"72648"</f>
        <v>72648</v>
      </c>
      <c r="C13916" s="2">
        <v>1.46973506091665E-2</v>
      </c>
      <c r="D13916" s="2">
        <v>5.4347826086956503E-3</v>
      </c>
      <c r="E13916" s="2">
        <v>2.59740259740259E-3</v>
      </c>
      <c r="F13916" s="2">
        <v>1.3814679415073101E-2</v>
      </c>
    </row>
    <row r="13917" spans="1:6" x14ac:dyDescent="0.25">
      <c r="A13917" s="1" t="str">
        <f t="shared" si="525"/>
        <v>25460</v>
      </c>
      <c r="B13917" s="1" t="str">
        <f>"72662"</f>
        <v>72662</v>
      </c>
      <c r="C13917" s="2">
        <v>7.96751111970605E-2</v>
      </c>
      <c r="D13917" s="2">
        <v>2.0833333333333301E-2</v>
      </c>
      <c r="E13917" s="2">
        <v>7.7922077922077896E-3</v>
      </c>
      <c r="F13917" s="2">
        <v>7.4135264341957205E-2</v>
      </c>
    </row>
    <row r="13918" spans="1:6" x14ac:dyDescent="0.25">
      <c r="A13918" s="1" t="str">
        <f t="shared" si="525"/>
        <v>25460</v>
      </c>
      <c r="B13918" s="1" t="str">
        <f>"72644"</f>
        <v>72644</v>
      </c>
      <c r="C13918" s="2">
        <v>4.8694643202475303E-2</v>
      </c>
      <c r="D13918" s="2">
        <v>1.4492753623188401E-2</v>
      </c>
      <c r="E13918" s="2">
        <v>1.8181818181818101E-2</v>
      </c>
      <c r="F13918" s="2">
        <v>4.5627109111361003E-2</v>
      </c>
    </row>
    <row r="13919" spans="1:6" x14ac:dyDescent="0.25">
      <c r="A13919" s="1" t="str">
        <f t="shared" si="525"/>
        <v>25460</v>
      </c>
      <c r="B13919" s="1" t="str">
        <f>"72687"</f>
        <v>72687</v>
      </c>
      <c r="C13919" s="2">
        <v>1.16031715335525E-4</v>
      </c>
      <c r="D13919" s="2">
        <v>0</v>
      </c>
      <c r="E13919" s="2">
        <v>0</v>
      </c>
      <c r="F13919" s="2">
        <v>1.05455568053993E-4</v>
      </c>
    </row>
    <row r="13920" spans="1:6" x14ac:dyDescent="0.25">
      <c r="A13920" s="1" t="str">
        <f t="shared" si="525"/>
        <v>25460</v>
      </c>
      <c r="B13920" s="1" t="str">
        <f>"72682"</f>
        <v>72682</v>
      </c>
      <c r="C13920" s="2">
        <v>1.16031715335525E-4</v>
      </c>
      <c r="D13920" s="2">
        <v>0</v>
      </c>
      <c r="E13920" s="2">
        <v>2.59740259740259E-3</v>
      </c>
      <c r="F13920" s="2">
        <v>1.4060742407199099E-4</v>
      </c>
    </row>
    <row r="13921" spans="1:6" x14ac:dyDescent="0.25">
      <c r="A13921" s="1" t="str">
        <f t="shared" si="525"/>
        <v>25460</v>
      </c>
      <c r="B13921" s="1" t="str">
        <f>"72670"</f>
        <v>72670</v>
      </c>
      <c r="C13921" s="2">
        <v>4.5252368980854699E-3</v>
      </c>
      <c r="D13921" s="2">
        <v>3.6231884057971002E-3</v>
      </c>
      <c r="E13921" s="2">
        <v>2.59740259740259E-3</v>
      </c>
      <c r="F13921" s="2">
        <v>4.4291338582677104E-3</v>
      </c>
    </row>
    <row r="13922" spans="1:6" x14ac:dyDescent="0.25">
      <c r="A13922" s="1" t="str">
        <f t="shared" si="525"/>
        <v>25460</v>
      </c>
      <c r="B13922" s="1" t="str">
        <f>"72640"</f>
        <v>72640</v>
      </c>
      <c r="C13922" s="2">
        <v>1.4349255463159899E-2</v>
      </c>
      <c r="D13922" s="2">
        <v>0</v>
      </c>
      <c r="E13922" s="2">
        <v>2.59740259740259E-3</v>
      </c>
      <c r="F13922" s="2">
        <v>1.3076490438695101E-2</v>
      </c>
    </row>
    <row r="13923" spans="1:6" x14ac:dyDescent="0.25">
      <c r="A13923" s="1" t="str">
        <f t="shared" si="525"/>
        <v>25460</v>
      </c>
      <c r="B13923" s="1" t="str">
        <f>"72633"</f>
        <v>72633</v>
      </c>
      <c r="C13923" s="2">
        <v>1.9957455037710299E-2</v>
      </c>
      <c r="D13923" s="2">
        <v>2.7173913043478199E-3</v>
      </c>
      <c r="E13923" s="2">
        <v>0</v>
      </c>
      <c r="F13923" s="2">
        <v>1.8349268841394799E-2</v>
      </c>
    </row>
    <row r="13924" spans="1:6" x14ac:dyDescent="0.25">
      <c r="A13924" s="1" t="str">
        <f t="shared" si="525"/>
        <v>25460</v>
      </c>
      <c r="B13924" s="1" t="str">
        <f>"72624"</f>
        <v>72624</v>
      </c>
      <c r="C13924" s="2">
        <v>1.6553858054534899E-2</v>
      </c>
      <c r="D13924" s="2">
        <v>2.2644927536231798E-3</v>
      </c>
      <c r="E13924" s="2">
        <v>0</v>
      </c>
      <c r="F13924" s="2">
        <v>1.5220753655793E-2</v>
      </c>
    </row>
    <row r="13925" spans="1:6" x14ac:dyDescent="0.25">
      <c r="A13925" s="1" t="str">
        <f t="shared" si="525"/>
        <v>25460</v>
      </c>
      <c r="B13925" s="1" t="str">
        <f>"72615"</f>
        <v>72615</v>
      </c>
      <c r="C13925" s="2">
        <v>0</v>
      </c>
      <c r="D13925" s="2">
        <v>0</v>
      </c>
      <c r="E13925" s="2">
        <v>2.59740259740259E-3</v>
      </c>
      <c r="F13925" s="2">
        <v>3.5151856017997699E-5</v>
      </c>
    </row>
    <row r="13926" spans="1:6" x14ac:dyDescent="0.25">
      <c r="A13926" s="1" t="str">
        <f t="shared" si="525"/>
        <v>25460</v>
      </c>
      <c r="B13926" s="1" t="str">
        <f>"72638"</f>
        <v>72638</v>
      </c>
      <c r="C13926" s="2">
        <v>3.8677238445175002E-4</v>
      </c>
      <c r="D13926" s="2">
        <v>4.5289855072463698E-4</v>
      </c>
      <c r="E13926" s="2">
        <v>0</v>
      </c>
      <c r="F13926" s="2">
        <v>3.8667041619797499E-4</v>
      </c>
    </row>
    <row r="13927" spans="1:6" x14ac:dyDescent="0.25">
      <c r="A13927" s="1" t="str">
        <f t="shared" si="525"/>
        <v>25460</v>
      </c>
      <c r="B13927" s="1" t="str">
        <f>"72666"</f>
        <v>72666</v>
      </c>
      <c r="C13927" s="2">
        <v>1.1255076387545899E-2</v>
      </c>
      <c r="D13927" s="2">
        <v>9.0579710144927505E-4</v>
      </c>
      <c r="E13927" s="2">
        <v>5.1948051948051896E-3</v>
      </c>
      <c r="F13927" s="2">
        <v>1.03697975253093E-2</v>
      </c>
    </row>
    <row r="13928" spans="1:6" x14ac:dyDescent="0.25">
      <c r="A13928" s="1" t="str">
        <f t="shared" si="525"/>
        <v>25460</v>
      </c>
      <c r="B13928" s="1" t="str">
        <f>"72685"</f>
        <v>72685</v>
      </c>
      <c r="C13928" s="2">
        <v>3.7671630245600399E-2</v>
      </c>
      <c r="D13928" s="2">
        <v>2.0380434782608599E-2</v>
      </c>
      <c r="E13928" s="2">
        <v>1.0389610389610299E-2</v>
      </c>
      <c r="F13928" s="2">
        <v>3.5960348706411599E-2</v>
      </c>
    </row>
    <row r="13929" spans="1:6" x14ac:dyDescent="0.25">
      <c r="A13929" s="1" t="str">
        <f t="shared" ref="A13929:A13954" si="526">"25500"</f>
        <v>25500</v>
      </c>
      <c r="B13929" s="1" t="str">
        <f>"22807"</f>
        <v>22807</v>
      </c>
      <c r="C13929" s="2">
        <v>4.5892611289582302E-4</v>
      </c>
      <c r="D13929" s="2">
        <v>1.78117048346055E-2</v>
      </c>
      <c r="E13929" s="2">
        <v>3.74391613627854E-4</v>
      </c>
      <c r="F13929" s="2">
        <v>1.7332646273481001E-3</v>
      </c>
    </row>
    <row r="13930" spans="1:6" x14ac:dyDescent="0.25">
      <c r="A13930" s="1" t="str">
        <f t="shared" si="526"/>
        <v>25500</v>
      </c>
      <c r="B13930" s="1" t="str">
        <f>"24486"</f>
        <v>24486</v>
      </c>
      <c r="C13930" s="2">
        <v>1.6944964168461099E-3</v>
      </c>
      <c r="D13930" s="2">
        <v>2.12044105173876E-4</v>
      </c>
      <c r="E13930" s="2">
        <v>0</v>
      </c>
      <c r="F13930" s="2">
        <v>1.5146546743492399E-3</v>
      </c>
    </row>
    <row r="13931" spans="1:6" x14ac:dyDescent="0.25">
      <c r="A13931" s="1" t="str">
        <f t="shared" si="526"/>
        <v>25500</v>
      </c>
      <c r="B13931" s="1" t="str">
        <f>"22849"</f>
        <v>22849</v>
      </c>
      <c r="C13931" s="2">
        <v>1.3767783386874699E-3</v>
      </c>
      <c r="D13931" s="2">
        <v>0</v>
      </c>
      <c r="E13931" s="2">
        <v>0</v>
      </c>
      <c r="F13931" s="2">
        <v>1.2179697381365E-3</v>
      </c>
    </row>
    <row r="13932" spans="1:6" x14ac:dyDescent="0.25">
      <c r="A13932" s="1" t="str">
        <f t="shared" si="526"/>
        <v>25500</v>
      </c>
      <c r="B13932" s="1" t="str">
        <f>"22830"</f>
        <v>22830</v>
      </c>
      <c r="C13932" s="2">
        <v>1.3838387404243299E-2</v>
      </c>
      <c r="D13932" s="2">
        <v>4.8770144189991503E-3</v>
      </c>
      <c r="E13932" s="2">
        <v>0</v>
      </c>
      <c r="F13932" s="2">
        <v>1.260130229072E-2</v>
      </c>
    </row>
    <row r="13933" spans="1:6" x14ac:dyDescent="0.25">
      <c r="A13933" s="1" t="str">
        <f t="shared" si="526"/>
        <v>25500</v>
      </c>
      <c r="B13933" s="1" t="str">
        <f>"22846"</f>
        <v>22846</v>
      </c>
      <c r="C13933" s="2">
        <v>1.4968051682140699E-2</v>
      </c>
      <c r="D13933" s="2">
        <v>9.96607294317217E-3</v>
      </c>
      <c r="E13933" s="2">
        <v>4.1183077499063999E-3</v>
      </c>
      <c r="F13933" s="2">
        <v>1.4147186958354801E-2</v>
      </c>
    </row>
    <row r="13934" spans="1:6" x14ac:dyDescent="0.25">
      <c r="A13934" s="1" t="str">
        <f t="shared" si="526"/>
        <v>25500</v>
      </c>
      <c r="B13934" s="1" t="str">
        <f>"22832"</f>
        <v>22832</v>
      </c>
      <c r="C13934" s="2">
        <v>8.8961061884421204E-3</v>
      </c>
      <c r="D13934" s="2">
        <v>3.39270568278201E-3</v>
      </c>
      <c r="E13934" s="2">
        <v>1.1231748408835601E-3</v>
      </c>
      <c r="F13934" s="2">
        <v>8.1666432441716997E-3</v>
      </c>
    </row>
    <row r="13935" spans="1:6" x14ac:dyDescent="0.25">
      <c r="A13935" s="1" t="str">
        <f t="shared" si="526"/>
        <v>25500</v>
      </c>
      <c r="B13935" s="1" t="str">
        <f>"22844"</f>
        <v>22844</v>
      </c>
      <c r="C13935" s="2">
        <v>2.11812052105764E-3</v>
      </c>
      <c r="D13935" s="2">
        <v>8.4817642069550401E-4</v>
      </c>
      <c r="E13935" s="2">
        <v>0</v>
      </c>
      <c r="F13935" s="2">
        <v>1.9362595837041799E-3</v>
      </c>
    </row>
    <row r="13936" spans="1:6" x14ac:dyDescent="0.25">
      <c r="A13936" s="1" t="str">
        <f t="shared" si="526"/>
        <v>25500</v>
      </c>
      <c r="B13936" s="1" t="str">
        <f>"24471"</f>
        <v>24471</v>
      </c>
      <c r="C13936" s="2">
        <v>1.08200656617361E-2</v>
      </c>
      <c r="D13936" s="2">
        <v>1.2722646310432499E-3</v>
      </c>
      <c r="E13936" s="2">
        <v>1.1231748408835601E-3</v>
      </c>
      <c r="F13936" s="2">
        <v>9.71252791180649E-3</v>
      </c>
    </row>
    <row r="13937" spans="1:6" x14ac:dyDescent="0.25">
      <c r="A13937" s="1" t="str">
        <f t="shared" si="526"/>
        <v>25500</v>
      </c>
      <c r="B13937" s="1" t="str">
        <f>"22841"</f>
        <v>22841</v>
      </c>
      <c r="C13937" s="2">
        <v>1.9610265824125301E-2</v>
      </c>
      <c r="D13937" s="2">
        <v>1.5903307888040698E-2</v>
      </c>
      <c r="E13937" s="2">
        <v>1.4975664545114099E-3</v>
      </c>
      <c r="F13937" s="2">
        <v>1.8581846004903101E-2</v>
      </c>
    </row>
    <row r="13938" spans="1:6" x14ac:dyDescent="0.25">
      <c r="A13938" s="1" t="str">
        <f t="shared" si="526"/>
        <v>25500</v>
      </c>
      <c r="B13938" s="1" t="str">
        <f>"22831"</f>
        <v>22831</v>
      </c>
      <c r="C13938" s="2">
        <v>6.2308045327779098E-3</v>
      </c>
      <c r="D13938" s="2">
        <v>8.4817642069550401E-4</v>
      </c>
      <c r="E13938" s="2">
        <v>3.74391613627854E-4</v>
      </c>
      <c r="F13938" s="2">
        <v>5.5901687981136997E-3</v>
      </c>
    </row>
    <row r="13939" spans="1:6" x14ac:dyDescent="0.25">
      <c r="A13939" s="1" t="str">
        <f t="shared" si="526"/>
        <v>25500</v>
      </c>
      <c r="B13939" s="1" t="str">
        <f>"22821"</f>
        <v>22821</v>
      </c>
      <c r="C13939" s="2">
        <v>3.9344088678645799E-2</v>
      </c>
      <c r="D13939" s="2">
        <v>2.4385072094995699E-2</v>
      </c>
      <c r="E13939" s="2">
        <v>5.2414825907899599E-3</v>
      </c>
      <c r="F13939" s="2">
        <v>3.6820162083665099E-2</v>
      </c>
    </row>
    <row r="13940" spans="1:6" x14ac:dyDescent="0.25">
      <c r="A13940" s="1" t="str">
        <f t="shared" si="526"/>
        <v>25500</v>
      </c>
      <c r="B13940" s="1" t="str">
        <f>"24441"</f>
        <v>24441</v>
      </c>
      <c r="C13940" s="2">
        <v>3.2619056024287697E-2</v>
      </c>
      <c r="D13940" s="2">
        <v>1.10262934690415E-2</v>
      </c>
      <c r="E13940" s="2">
        <v>2.5458629726694101E-2</v>
      </c>
      <c r="F13940" s="2">
        <v>3.07303133929826E-2</v>
      </c>
    </row>
    <row r="13941" spans="1:6" x14ac:dyDescent="0.25">
      <c r="A13941" s="1" t="str">
        <f t="shared" si="526"/>
        <v>25500</v>
      </c>
      <c r="B13941" s="1" t="str">
        <f>"22834"</f>
        <v>22834</v>
      </c>
      <c r="C13941" s="2">
        <v>9.9022134359444992E-3</v>
      </c>
      <c r="D13941" s="2">
        <v>4.6649703138252696E-3</v>
      </c>
      <c r="E13941" s="2">
        <v>1.4975664545114099E-3</v>
      </c>
      <c r="F13941" s="2">
        <v>9.1660030293093404E-3</v>
      </c>
    </row>
    <row r="13942" spans="1:6" x14ac:dyDescent="0.25">
      <c r="A13942" s="1" t="str">
        <f t="shared" si="526"/>
        <v>25500</v>
      </c>
      <c r="B13942" s="1" t="str">
        <f>"22840"</f>
        <v>22840</v>
      </c>
      <c r="C13942" s="2">
        <v>3.89028135700921E-2</v>
      </c>
      <c r="D13942" s="2">
        <v>1.4843087362171299E-2</v>
      </c>
      <c r="E13942" s="2">
        <v>5.9902658180456701E-3</v>
      </c>
      <c r="F13942" s="2">
        <v>3.5758342311956397E-2</v>
      </c>
    </row>
    <row r="13943" spans="1:6" x14ac:dyDescent="0.25">
      <c r="A13943" s="1" t="str">
        <f t="shared" si="526"/>
        <v>25500</v>
      </c>
      <c r="B13943" s="1" t="str">
        <f>"22811"</f>
        <v>22811</v>
      </c>
      <c r="C13943" s="2">
        <v>4.7304691636954098E-3</v>
      </c>
      <c r="D13943" s="2">
        <v>1.696352841391E-3</v>
      </c>
      <c r="E13943" s="2">
        <v>3.74391613627854E-4</v>
      </c>
      <c r="F13943" s="2">
        <v>4.3253540700488704E-3</v>
      </c>
    </row>
    <row r="13944" spans="1:6" x14ac:dyDescent="0.25">
      <c r="A13944" s="1" t="str">
        <f t="shared" si="526"/>
        <v>25500</v>
      </c>
      <c r="B13944" s="1" t="str">
        <f>"22815"</f>
        <v>22815</v>
      </c>
      <c r="C13944" s="2">
        <v>6.7391534578317494E-2</v>
      </c>
      <c r="D13944" s="2">
        <v>2.24766751484308E-2</v>
      </c>
      <c r="E13944" s="2">
        <v>1.9093972295020498E-2</v>
      </c>
      <c r="F13944" s="2">
        <v>6.2069611655033399E-2</v>
      </c>
    </row>
    <row r="13945" spans="1:6" x14ac:dyDescent="0.25">
      <c r="A13945" s="1" t="str">
        <f t="shared" si="526"/>
        <v>25500</v>
      </c>
      <c r="B13945" s="1" t="str">
        <f>"22801"</f>
        <v>22801</v>
      </c>
      <c r="C13945" s="2">
        <v>0.32357821160023997</v>
      </c>
      <c r="D13945" s="2">
        <v>0.51145038167938905</v>
      </c>
      <c r="E13945" s="2">
        <v>0.55335080494196898</v>
      </c>
      <c r="F13945" s="2">
        <v>0.34699645539576202</v>
      </c>
    </row>
    <row r="13946" spans="1:6" x14ac:dyDescent="0.25">
      <c r="A13946" s="1" t="str">
        <f t="shared" si="526"/>
        <v>25500</v>
      </c>
      <c r="B13946" s="1" t="str">
        <f>"22812"</f>
        <v>22812</v>
      </c>
      <c r="C13946" s="2">
        <v>5.6589119920923497E-2</v>
      </c>
      <c r="D13946" s="2">
        <v>3.1594571670907498E-2</v>
      </c>
      <c r="E13946" s="2">
        <v>6.9262448521153097E-2</v>
      </c>
      <c r="F13946" s="2">
        <v>5.5277088115425997E-2</v>
      </c>
    </row>
    <row r="13947" spans="1:6" x14ac:dyDescent="0.25">
      <c r="A13947" s="1" t="str">
        <f t="shared" si="526"/>
        <v>25500</v>
      </c>
      <c r="B13947" s="1" t="str">
        <f>"22820"</f>
        <v>22820</v>
      </c>
      <c r="C13947" s="2">
        <v>2.3475835775055602E-3</v>
      </c>
      <c r="D13947" s="2">
        <v>8.4817642069550401E-4</v>
      </c>
      <c r="E13947" s="2">
        <v>3.74391613627854E-4</v>
      </c>
      <c r="F13947" s="2">
        <v>2.1548695367030399E-3</v>
      </c>
    </row>
    <row r="13948" spans="1:6" x14ac:dyDescent="0.25">
      <c r="A13948" s="1" t="str">
        <f t="shared" si="526"/>
        <v>25500</v>
      </c>
      <c r="B13948" s="1" t="str">
        <f>"22848"</f>
        <v>22848</v>
      </c>
      <c r="C13948" s="2">
        <v>0</v>
      </c>
      <c r="D13948" s="2">
        <v>0</v>
      </c>
      <c r="E13948" s="2">
        <v>3.74391613627854E-4</v>
      </c>
      <c r="F13948" s="2">
        <v>1.56149966427757E-5</v>
      </c>
    </row>
    <row r="13949" spans="1:6" x14ac:dyDescent="0.25">
      <c r="A13949" s="1" t="str">
        <f t="shared" si="526"/>
        <v>25500</v>
      </c>
      <c r="B13949" s="1" t="str">
        <f>"22850"</f>
        <v>22850</v>
      </c>
      <c r="C13949" s="2">
        <v>6.7956366717266204E-3</v>
      </c>
      <c r="D13949" s="2">
        <v>1.4843087362171299E-3</v>
      </c>
      <c r="E13949" s="2">
        <v>3.74391613627854E-4</v>
      </c>
      <c r="F13949" s="2">
        <v>6.1366936806108502E-3</v>
      </c>
    </row>
    <row r="13950" spans="1:6" x14ac:dyDescent="0.25">
      <c r="A13950" s="1" t="str">
        <f t="shared" si="526"/>
        <v>25500</v>
      </c>
      <c r="B13950" s="1" t="str">
        <f>"22827"</f>
        <v>22827</v>
      </c>
      <c r="C13950" s="2">
        <v>8.1706499099798699E-2</v>
      </c>
      <c r="D13950" s="2">
        <v>6.38252756573367E-2</v>
      </c>
      <c r="E13950" s="2">
        <v>2.92025458629726E-2</v>
      </c>
      <c r="F13950" s="2">
        <v>7.8199903187020803E-2</v>
      </c>
    </row>
    <row r="13951" spans="1:6" x14ac:dyDescent="0.25">
      <c r="A13951" s="1" t="str">
        <f t="shared" si="526"/>
        <v>25500</v>
      </c>
      <c r="B13951" s="1" t="str">
        <f>"22803"</f>
        <v>22803</v>
      </c>
      <c r="C13951" s="2">
        <v>1.49504006777985E-2</v>
      </c>
      <c r="D13951" s="2">
        <v>8.2697201017811695E-2</v>
      </c>
      <c r="E13951" s="2">
        <v>7.4878322725570898E-4</v>
      </c>
      <c r="F13951" s="2">
        <v>1.9346980840399101E-2</v>
      </c>
    </row>
    <row r="13952" spans="1:6" x14ac:dyDescent="0.25">
      <c r="A13952" s="1" t="str">
        <f t="shared" si="526"/>
        <v>25500</v>
      </c>
      <c r="B13952" s="1" t="str">
        <f>"22833"</f>
        <v>22833</v>
      </c>
      <c r="C13952" s="2">
        <v>0</v>
      </c>
      <c r="D13952" s="2">
        <v>0</v>
      </c>
      <c r="E13952" s="2">
        <v>3.74391613627854E-4</v>
      </c>
      <c r="F13952" s="2">
        <v>1.56149966427757E-5</v>
      </c>
    </row>
    <row r="13953" spans="1:6" x14ac:dyDescent="0.25">
      <c r="A13953" s="1" t="str">
        <f t="shared" si="526"/>
        <v>25500</v>
      </c>
      <c r="B13953" s="1" t="str">
        <f>"22853"</f>
        <v>22853</v>
      </c>
      <c r="C13953" s="2">
        <v>3.3166237158894302E-2</v>
      </c>
      <c r="D13953" s="2">
        <v>1.12383375742154E-2</v>
      </c>
      <c r="E13953" s="2">
        <v>2.3586671658554801E-2</v>
      </c>
      <c r="F13953" s="2">
        <v>3.1151918302337499E-2</v>
      </c>
    </row>
    <row r="13954" spans="1:6" x14ac:dyDescent="0.25">
      <c r="A13954" s="1" t="str">
        <f t="shared" si="526"/>
        <v>25500</v>
      </c>
      <c r="B13954" s="1" t="str">
        <f>"22802"</f>
        <v>22802</v>
      </c>
      <c r="C13954" s="2">
        <v>0.207964133159176</v>
      </c>
      <c r="D13954" s="2">
        <v>0.16263782866836299</v>
      </c>
      <c r="E13954" s="2">
        <v>0.25608386372145198</v>
      </c>
      <c r="F13954" s="2">
        <v>0.20663325057385101</v>
      </c>
    </row>
    <row r="13955" spans="1:6" x14ac:dyDescent="0.25">
      <c r="A13955" s="1" t="str">
        <f t="shared" ref="A13955:A13986" si="527">"25540"</f>
        <v>25540</v>
      </c>
      <c r="B13955" s="1" t="str">
        <f>"06095"</f>
        <v>06095</v>
      </c>
      <c r="C13955" s="2">
        <v>2.1181498479851599E-2</v>
      </c>
      <c r="D13955" s="2">
        <v>1.8034540730551701E-2</v>
      </c>
      <c r="E13955" s="2">
        <v>1.32945201368465E-2</v>
      </c>
      <c r="F13955" s="2">
        <v>2.0526160085961202E-2</v>
      </c>
    </row>
    <row r="13956" spans="1:6" x14ac:dyDescent="0.25">
      <c r="A13956" s="1" t="str">
        <f t="shared" si="527"/>
        <v>25540</v>
      </c>
      <c r="B13956" s="1" t="str">
        <f>"06083"</f>
        <v>06083</v>
      </c>
      <c r="C13956" s="2">
        <v>1.8139437218666599E-3</v>
      </c>
      <c r="D13956" s="2">
        <v>4.6232615008405904E-3</v>
      </c>
      <c r="E13956" s="2">
        <v>6.0020406938358998E-5</v>
      </c>
      <c r="F13956" s="2">
        <v>1.9497629474529599E-3</v>
      </c>
    </row>
    <row r="13957" spans="1:6" x14ac:dyDescent="0.25">
      <c r="A13957" s="1" t="str">
        <f t="shared" si="527"/>
        <v>25540</v>
      </c>
      <c r="B13957" s="1" t="str">
        <f>"06093"</f>
        <v>06093</v>
      </c>
      <c r="C13957" s="2">
        <v>2.67856670213385E-3</v>
      </c>
      <c r="D13957" s="2">
        <v>2.8656579550664799E-4</v>
      </c>
      <c r="E13957" s="2">
        <v>6.0020406938359003E-4</v>
      </c>
      <c r="F13957" s="2">
        <v>2.3804888815994098E-3</v>
      </c>
    </row>
    <row r="13958" spans="1:6" x14ac:dyDescent="0.25">
      <c r="A13958" s="1" t="str">
        <f t="shared" si="527"/>
        <v>25540</v>
      </c>
      <c r="B13958" s="1" t="str">
        <f>"06475"</f>
        <v>06475</v>
      </c>
      <c r="C13958" s="2">
        <v>1.1647706719885E-2</v>
      </c>
      <c r="D13958" s="2">
        <v>2.0842885526516801E-2</v>
      </c>
      <c r="E13958" s="2">
        <v>8.1627753436168196E-3</v>
      </c>
      <c r="F13958" s="2">
        <v>1.2207478076663E-2</v>
      </c>
    </row>
    <row r="13959" spans="1:6" x14ac:dyDescent="0.25">
      <c r="A13959" s="1" t="str">
        <f t="shared" si="527"/>
        <v>25540</v>
      </c>
      <c r="B13959" s="1" t="str">
        <f>"06479"</f>
        <v>06479</v>
      </c>
      <c r="C13959" s="2">
        <v>8.2527381198155697E-3</v>
      </c>
      <c r="D13959" s="2">
        <v>7.9856335014519293E-3</v>
      </c>
      <c r="E13959" s="2">
        <v>5.7619590660824603E-3</v>
      </c>
      <c r="F13959" s="2">
        <v>8.1040854584778603E-3</v>
      </c>
    </row>
    <row r="13960" spans="1:6" x14ac:dyDescent="0.25">
      <c r="A13960" s="1" t="str">
        <f t="shared" si="527"/>
        <v>25540</v>
      </c>
      <c r="B13960" s="1" t="str">
        <f>"06498"</f>
        <v>06498</v>
      </c>
      <c r="C13960" s="2">
        <v>8.3444940279255499E-3</v>
      </c>
      <c r="D13960" s="2">
        <v>9.91517652453003E-3</v>
      </c>
      <c r="E13960" s="2">
        <v>3.8112958405857899E-3</v>
      </c>
      <c r="F13960" s="2">
        <v>8.2389747189934807E-3</v>
      </c>
    </row>
    <row r="13961" spans="1:6" x14ac:dyDescent="0.25">
      <c r="A13961" s="1" t="str">
        <f t="shared" si="527"/>
        <v>25540</v>
      </c>
      <c r="B13961" s="1" t="str">
        <f>"06444"</f>
        <v>06444</v>
      </c>
      <c r="C13961" s="2">
        <v>9.2638176457198503E-4</v>
      </c>
      <c r="D13961" s="2">
        <v>1.27999388659636E-3</v>
      </c>
      <c r="E13961" s="2">
        <v>6.5722345597503101E-3</v>
      </c>
      <c r="F13961" s="2">
        <v>1.2431271622518501E-3</v>
      </c>
    </row>
    <row r="13962" spans="1:6" x14ac:dyDescent="0.25">
      <c r="A13962" s="1" t="str">
        <f t="shared" si="527"/>
        <v>25540</v>
      </c>
      <c r="B13962" s="1" t="str">
        <f>"06417"</f>
        <v>06417</v>
      </c>
      <c r="C13962" s="2">
        <v>3.61730022356679E-3</v>
      </c>
      <c r="D13962" s="2">
        <v>3.2859544551429001E-3</v>
      </c>
      <c r="E13962" s="2">
        <v>2.5208570914110702E-3</v>
      </c>
      <c r="F13962" s="2">
        <v>3.5347117585114302E-3</v>
      </c>
    </row>
    <row r="13963" spans="1:6" x14ac:dyDescent="0.25">
      <c r="A13963" s="1" t="str">
        <f t="shared" si="527"/>
        <v>25540</v>
      </c>
      <c r="B13963" s="1" t="str">
        <f>"06075"</f>
        <v>06075</v>
      </c>
      <c r="C13963" s="2">
        <v>0</v>
      </c>
      <c r="D13963" s="2">
        <v>3.8208772734219701E-5</v>
      </c>
      <c r="E13963" s="2">
        <v>9.0030610407538497E-5</v>
      </c>
      <c r="F13963" s="2">
        <v>7.6641625292962601E-6</v>
      </c>
    </row>
    <row r="13964" spans="1:6" x14ac:dyDescent="0.25">
      <c r="A13964" s="1" t="str">
        <f t="shared" si="527"/>
        <v>25540</v>
      </c>
      <c r="B13964" s="1" t="str">
        <f>"06481"</f>
        <v>06481</v>
      </c>
      <c r="C13964" s="2">
        <v>1.00049230573774E-3</v>
      </c>
      <c r="D13964" s="2">
        <v>5.1581843191196596E-4</v>
      </c>
      <c r="E13964" s="2">
        <v>1.2004081387671801E-3</v>
      </c>
      <c r="F13964" s="2">
        <v>9.7181580871476497E-4</v>
      </c>
    </row>
    <row r="13965" spans="1:6" x14ac:dyDescent="0.25">
      <c r="A13965" s="1" t="str">
        <f t="shared" si="527"/>
        <v>25540</v>
      </c>
      <c r="B13965" s="1" t="str">
        <f>"06034"</f>
        <v>06034</v>
      </c>
      <c r="C13965" s="2">
        <v>1.36751593817769E-3</v>
      </c>
      <c r="D13965" s="2">
        <v>4.8525141372459104E-3</v>
      </c>
      <c r="E13965" s="2">
        <v>6.0020406938358998E-5</v>
      </c>
      <c r="F13965" s="2">
        <v>1.58035031354088E-3</v>
      </c>
    </row>
    <row r="13966" spans="1:6" x14ac:dyDescent="0.25">
      <c r="A13966" s="1" t="str">
        <f t="shared" si="527"/>
        <v>25540</v>
      </c>
      <c r="B13966" s="1" t="str">
        <f>"06016"</f>
        <v>06016</v>
      </c>
      <c r="C13966" s="2">
        <v>5.1100982670485096E-3</v>
      </c>
      <c r="D13966" s="2">
        <v>1.18447195476081E-3</v>
      </c>
      <c r="E13966" s="2">
        <v>4.3214692995618498E-3</v>
      </c>
      <c r="F13966" s="2">
        <v>4.7548464331754001E-3</v>
      </c>
    </row>
    <row r="13967" spans="1:6" x14ac:dyDescent="0.25">
      <c r="A13967" s="1" t="str">
        <f t="shared" si="527"/>
        <v>25540</v>
      </c>
      <c r="B13967" s="1" t="str">
        <f>"06035"</f>
        <v>06035</v>
      </c>
      <c r="C13967" s="2">
        <v>6.7193557323621299E-3</v>
      </c>
      <c r="D13967" s="2">
        <v>5.2537062509552101E-3</v>
      </c>
      <c r="E13967" s="2">
        <v>1.1403877318288201E-3</v>
      </c>
      <c r="F13967" s="2">
        <v>6.3168027566459697E-3</v>
      </c>
    </row>
    <row r="13968" spans="1:6" x14ac:dyDescent="0.25">
      <c r="A13968" s="1" t="str">
        <f t="shared" si="527"/>
        <v>25540</v>
      </c>
      <c r="B13968" s="1" t="str">
        <f>"06106"</f>
        <v>06106</v>
      </c>
      <c r="C13968" s="2">
        <v>2.8133773055877501E-2</v>
      </c>
      <c r="D13968" s="2">
        <v>3.7788476234143303E-2</v>
      </c>
      <c r="E13968" s="2">
        <v>4.7025988836204298E-2</v>
      </c>
      <c r="F13968" s="2">
        <v>2.9873372706690899E-2</v>
      </c>
    </row>
    <row r="13969" spans="1:6" x14ac:dyDescent="0.25">
      <c r="A13969" s="1" t="str">
        <f t="shared" si="527"/>
        <v>25540</v>
      </c>
      <c r="B13969" s="1" t="str">
        <f>"06109"</f>
        <v>06109</v>
      </c>
      <c r="C13969" s="2">
        <v>2.07844777236065E-2</v>
      </c>
      <c r="D13969" s="2">
        <v>1.5474552957359E-2</v>
      </c>
      <c r="E13969" s="2">
        <v>1.3924734409699199E-2</v>
      </c>
      <c r="F13969" s="2">
        <v>2.00080626989808E-2</v>
      </c>
    </row>
    <row r="13970" spans="1:6" x14ac:dyDescent="0.25">
      <c r="A13970" s="1" t="str">
        <f t="shared" si="527"/>
        <v>25540</v>
      </c>
      <c r="B13970" s="1" t="str">
        <f>"06112"</f>
        <v>06112</v>
      </c>
      <c r="C13970" s="2">
        <v>1.5949647180887899E-2</v>
      </c>
      <c r="D13970" s="2">
        <v>7.24056243313464E-3</v>
      </c>
      <c r="E13970" s="2">
        <v>2.3918132164936001E-2</v>
      </c>
      <c r="F13970" s="2">
        <v>1.5657884047352199E-2</v>
      </c>
    </row>
    <row r="13971" spans="1:6" x14ac:dyDescent="0.25">
      <c r="A13971" s="1" t="str">
        <f t="shared" si="527"/>
        <v>25540</v>
      </c>
      <c r="B13971" s="1" t="str">
        <f>"06114"</f>
        <v>06114</v>
      </c>
      <c r="C13971" s="2">
        <v>1.82629547872762E-2</v>
      </c>
      <c r="D13971" s="2">
        <v>1.9257221458046699E-2</v>
      </c>
      <c r="E13971" s="2">
        <v>3.8353040033611403E-2</v>
      </c>
      <c r="F13971" s="2">
        <v>1.9368871544037498E-2</v>
      </c>
    </row>
    <row r="13972" spans="1:6" x14ac:dyDescent="0.25">
      <c r="A13972" s="1" t="str">
        <f t="shared" si="527"/>
        <v>25540</v>
      </c>
      <c r="B13972" s="1" t="str">
        <f>"06133"</f>
        <v>06133</v>
      </c>
      <c r="C13972" s="2">
        <v>1.69395522664591E-3</v>
      </c>
      <c r="D13972" s="2">
        <v>4.6041571144734804E-3</v>
      </c>
      <c r="E13972" s="2">
        <v>3.0010203469179499E-5</v>
      </c>
      <c r="F13972" s="2">
        <v>1.8424646720428201E-3</v>
      </c>
    </row>
    <row r="13973" spans="1:6" x14ac:dyDescent="0.25">
      <c r="A13973" s="1" t="str">
        <f t="shared" si="527"/>
        <v>25540</v>
      </c>
      <c r="B13973" s="1" t="str">
        <f>"06786"</f>
        <v>06786</v>
      </c>
      <c r="C13973" s="2">
        <v>3.52907338884565E-6</v>
      </c>
      <c r="D13973" s="2">
        <v>0</v>
      </c>
      <c r="E13973" s="2">
        <v>3.0010203469179499E-5</v>
      </c>
      <c r="F13973" s="2">
        <v>4.5984975175777496E-6</v>
      </c>
    </row>
    <row r="13974" spans="1:6" x14ac:dyDescent="0.25">
      <c r="A13974" s="1" t="str">
        <f t="shared" si="527"/>
        <v>25540</v>
      </c>
      <c r="B13974" s="1" t="str">
        <f>"06067"</f>
        <v>06067</v>
      </c>
      <c r="C13974" s="2">
        <v>1.7423035320731001E-2</v>
      </c>
      <c r="D13974" s="2">
        <v>2.44918233226348E-2</v>
      </c>
      <c r="E13974" s="2">
        <v>5.7499549846947898E-2</v>
      </c>
      <c r="F13974" s="2">
        <v>2.0037186516592101E-2</v>
      </c>
    </row>
    <row r="13975" spans="1:6" x14ac:dyDescent="0.25">
      <c r="A13975" s="1" t="str">
        <f t="shared" si="527"/>
        <v>25540</v>
      </c>
      <c r="B13975" s="1" t="str">
        <f>"06066"</f>
        <v>06066</v>
      </c>
      <c r="C13975" s="2">
        <v>2.9674213590108699E-2</v>
      </c>
      <c r="D13975" s="2">
        <v>2.5447042640990299E-2</v>
      </c>
      <c r="E13975" s="2">
        <v>2.3077846467799E-2</v>
      </c>
      <c r="F13975" s="2">
        <v>2.89981253458453E-2</v>
      </c>
    </row>
    <row r="13976" spans="1:6" x14ac:dyDescent="0.25">
      <c r="A13976" s="1" t="str">
        <f t="shared" si="527"/>
        <v>25540</v>
      </c>
      <c r="B13976" s="1" t="str">
        <f>"06238"</f>
        <v>06238</v>
      </c>
      <c r="C13976" s="2">
        <v>9.3167537465525304E-3</v>
      </c>
      <c r="D13976" s="2">
        <v>2.34983952315451E-3</v>
      </c>
      <c r="E13976" s="2">
        <v>2.5808774983494299E-3</v>
      </c>
      <c r="F13976" s="2">
        <v>8.4137176246614296E-3</v>
      </c>
    </row>
    <row r="13977" spans="1:6" x14ac:dyDescent="0.25">
      <c r="A13977" s="1" t="str">
        <f t="shared" si="527"/>
        <v>25540</v>
      </c>
      <c r="B13977" s="1" t="str">
        <f>"06070"</f>
        <v>06070</v>
      </c>
      <c r="C13977" s="2">
        <v>1.23993993517092E-2</v>
      </c>
      <c r="D13977" s="2">
        <v>1.33730704569769E-2</v>
      </c>
      <c r="E13977" s="2">
        <v>4.5615509273152803E-3</v>
      </c>
      <c r="F13977" s="2">
        <v>1.2077187313665E-2</v>
      </c>
    </row>
    <row r="13978" spans="1:6" x14ac:dyDescent="0.25">
      <c r="A13978" s="1" t="str">
        <f t="shared" si="527"/>
        <v>25540</v>
      </c>
      <c r="B13978" s="1" t="str">
        <f>"06088"</f>
        <v>06088</v>
      </c>
      <c r="C13978" s="2">
        <v>4.3019404610028502E-3</v>
      </c>
      <c r="D13978" s="2">
        <v>8.8071221152376498E-3</v>
      </c>
      <c r="E13978" s="2">
        <v>5.0717243862913302E-3</v>
      </c>
      <c r="F13978" s="2">
        <v>4.7027301279761796E-3</v>
      </c>
    </row>
    <row r="13979" spans="1:6" x14ac:dyDescent="0.25">
      <c r="A13979" s="1" t="str">
        <f t="shared" si="527"/>
        <v>25540</v>
      </c>
      <c r="B13979" s="1" t="str">
        <f>"06423"</f>
        <v>06423</v>
      </c>
      <c r="C13979" s="2">
        <v>4.4819232038339797E-3</v>
      </c>
      <c r="D13979" s="2">
        <v>2.7128228641296001E-3</v>
      </c>
      <c r="E13979" s="2">
        <v>6.0020406938359003E-4</v>
      </c>
      <c r="F13979" s="2">
        <v>4.1417134308316898E-3</v>
      </c>
    </row>
    <row r="13980" spans="1:6" x14ac:dyDescent="0.25">
      <c r="A13980" s="1" t="str">
        <f t="shared" si="527"/>
        <v>25540</v>
      </c>
      <c r="B13980" s="1" t="str">
        <f>"06160"</f>
        <v>06160</v>
      </c>
      <c r="C13980" s="2">
        <v>0</v>
      </c>
      <c r="D13980" s="2">
        <v>3.8208772734219701E-5</v>
      </c>
      <c r="E13980" s="2">
        <v>0</v>
      </c>
      <c r="F13980" s="2">
        <v>3.0656650117184999E-6</v>
      </c>
    </row>
    <row r="13981" spans="1:6" x14ac:dyDescent="0.25">
      <c r="A13981" s="1" t="str">
        <f t="shared" si="527"/>
        <v>25540</v>
      </c>
      <c r="B13981" s="1" t="str">
        <f>"06161"</f>
        <v>06161</v>
      </c>
      <c r="C13981" s="2">
        <v>0</v>
      </c>
      <c r="D13981" s="2">
        <v>1.91043863671098E-5</v>
      </c>
      <c r="E13981" s="2">
        <v>3.0010203469179499E-5</v>
      </c>
      <c r="F13981" s="2">
        <v>3.0656650117184999E-6</v>
      </c>
    </row>
    <row r="13982" spans="1:6" x14ac:dyDescent="0.25">
      <c r="A13982" s="1" t="str">
        <f t="shared" si="527"/>
        <v>25540</v>
      </c>
      <c r="B13982" s="1" t="str">
        <f>"06053"</f>
        <v>06053</v>
      </c>
      <c r="C13982" s="2">
        <v>2.5681067050629801E-2</v>
      </c>
      <c r="D13982" s="2">
        <v>9.72413266085893E-3</v>
      </c>
      <c r="E13982" s="2">
        <v>3.8232999219734699E-2</v>
      </c>
      <c r="F13982" s="2">
        <v>2.5041884648222601E-2</v>
      </c>
    </row>
    <row r="13983" spans="1:6" x14ac:dyDescent="0.25">
      <c r="A13983" s="1" t="str">
        <f t="shared" si="527"/>
        <v>25540</v>
      </c>
      <c r="B13983" s="1" t="str">
        <f>"06043"</f>
        <v>06043</v>
      </c>
      <c r="C13983" s="2">
        <v>3.63494559051102E-3</v>
      </c>
      <c r="D13983" s="2">
        <v>1.37551581843191E-3</v>
      </c>
      <c r="E13983" s="2">
        <v>2.0106836324350198E-3</v>
      </c>
      <c r="F13983" s="2">
        <v>3.3706986803844902E-3</v>
      </c>
    </row>
    <row r="13984" spans="1:6" x14ac:dyDescent="0.25">
      <c r="A13984" s="1" t="str">
        <f t="shared" si="527"/>
        <v>25540</v>
      </c>
      <c r="B13984" s="1" t="str">
        <f>"06033"</f>
        <v>06033</v>
      </c>
      <c r="C13984" s="2">
        <v>2.30572009860231E-2</v>
      </c>
      <c r="D13984" s="2">
        <v>3.6260125324774503E-2</v>
      </c>
      <c r="E13984" s="2">
        <v>2.0166856731288599E-2</v>
      </c>
      <c r="F13984" s="2">
        <v>2.3968901894121101E-2</v>
      </c>
    </row>
    <row r="13985" spans="1:6" x14ac:dyDescent="0.25">
      <c r="A13985" s="1" t="str">
        <f t="shared" si="527"/>
        <v>25540</v>
      </c>
      <c r="B13985" s="1" t="str">
        <f>"06029"</f>
        <v>06029</v>
      </c>
      <c r="C13985" s="2">
        <v>1.25934983880957E-2</v>
      </c>
      <c r="D13985" s="2">
        <v>4.2602781598655003E-3</v>
      </c>
      <c r="E13985" s="2">
        <v>1.50351119380589E-2</v>
      </c>
      <c r="F13985" s="2">
        <v>1.20495963285595E-2</v>
      </c>
    </row>
    <row r="13986" spans="1:6" x14ac:dyDescent="0.25">
      <c r="A13986" s="1" t="str">
        <f t="shared" si="527"/>
        <v>25540</v>
      </c>
      <c r="B13986" s="1" t="str">
        <f>"06137"</f>
        <v>06137</v>
      </c>
      <c r="C13986" s="2">
        <v>5.1171564138262002E-4</v>
      </c>
      <c r="D13986" s="2">
        <v>3.3241632278771202E-3</v>
      </c>
      <c r="E13986" s="2">
        <v>3.0010203469179499E-5</v>
      </c>
      <c r="F13986" s="2">
        <v>7.1276711522455201E-4</v>
      </c>
    </row>
    <row r="13987" spans="1:6" x14ac:dyDescent="0.25">
      <c r="A13987" s="1" t="str">
        <f t="shared" ref="A13987:A14018" si="528">"25540"</f>
        <v>25540</v>
      </c>
      <c r="B13987" s="1" t="str">
        <f>"06105"</f>
        <v>06105</v>
      </c>
      <c r="C13987" s="2">
        <v>2.0091014802698301E-2</v>
      </c>
      <c r="D13987" s="2">
        <v>1.47103775026746E-2</v>
      </c>
      <c r="E13987" s="2">
        <v>3.7302682912190098E-2</v>
      </c>
      <c r="F13987" s="2">
        <v>2.05384227460081E-2</v>
      </c>
    </row>
    <row r="13988" spans="1:6" x14ac:dyDescent="0.25">
      <c r="A13988" s="1" t="str">
        <f t="shared" si="528"/>
        <v>25540</v>
      </c>
      <c r="B13988" s="1" t="str">
        <f>"06076"</f>
        <v>06076</v>
      </c>
      <c r="C13988" s="2">
        <v>1.0121382479209301E-2</v>
      </c>
      <c r="D13988" s="2">
        <v>6.7056396148555703E-3</v>
      </c>
      <c r="E13988" s="2">
        <v>1.29644078986855E-2</v>
      </c>
      <c r="F13988" s="2">
        <v>9.9925351056964606E-3</v>
      </c>
    </row>
    <row r="13989" spans="1:6" x14ac:dyDescent="0.25">
      <c r="A13989" s="1" t="str">
        <f t="shared" si="528"/>
        <v>25540</v>
      </c>
      <c r="B13989" s="1" t="str">
        <f>"06078"</f>
        <v>06078</v>
      </c>
      <c r="C13989" s="2">
        <v>9.0926575863608302E-3</v>
      </c>
      <c r="D13989" s="2">
        <v>7.9283203423506001E-3</v>
      </c>
      <c r="E13989" s="2">
        <v>5.8819998799591799E-3</v>
      </c>
      <c r="F13989" s="2">
        <v>8.8352465637727192E-3</v>
      </c>
    </row>
    <row r="13990" spans="1:6" x14ac:dyDescent="0.25">
      <c r="A13990" s="1" t="str">
        <f t="shared" si="528"/>
        <v>25540</v>
      </c>
      <c r="B13990" s="1" t="str">
        <f>"06480"</f>
        <v>06480</v>
      </c>
      <c r="C13990" s="2">
        <v>7.9880576156521402E-3</v>
      </c>
      <c r="D13990" s="2">
        <v>9.8196545926944791E-3</v>
      </c>
      <c r="E13990" s="2">
        <v>4.6515815377228204E-3</v>
      </c>
      <c r="F13990" s="2">
        <v>7.9645977004446696E-3</v>
      </c>
    </row>
    <row r="13991" spans="1:6" x14ac:dyDescent="0.25">
      <c r="A13991" s="1" t="str">
        <f t="shared" si="528"/>
        <v>25540</v>
      </c>
      <c r="B13991" s="1" t="str">
        <f>"06442"</f>
        <v>06442</v>
      </c>
      <c r="C13991" s="2">
        <v>1.9745165610591401E-3</v>
      </c>
      <c r="D13991" s="2">
        <v>3.4387895460797702E-4</v>
      </c>
      <c r="E13991" s="2">
        <v>3.6012244163015399E-4</v>
      </c>
      <c r="F13991" s="2">
        <v>1.7612245492322799E-3</v>
      </c>
    </row>
    <row r="13992" spans="1:6" x14ac:dyDescent="0.25">
      <c r="A13992" s="1" t="str">
        <f t="shared" si="528"/>
        <v>25540</v>
      </c>
      <c r="B13992" s="1" t="str">
        <f>"06416"</f>
        <v>06416</v>
      </c>
      <c r="C13992" s="2">
        <v>1.05113450886767E-2</v>
      </c>
      <c r="D13992" s="2">
        <v>1.03545774109735E-2</v>
      </c>
      <c r="E13992" s="2">
        <v>1.1073765080127199E-2</v>
      </c>
      <c r="F13992" s="2">
        <v>1.0527493650241301E-2</v>
      </c>
    </row>
    <row r="13993" spans="1:6" x14ac:dyDescent="0.25">
      <c r="A13993" s="1" t="str">
        <f t="shared" si="528"/>
        <v>25540</v>
      </c>
      <c r="B13993" s="1" t="str">
        <f>"06419"</f>
        <v>06419</v>
      </c>
      <c r="C13993" s="2">
        <v>4.6636704833595303E-3</v>
      </c>
      <c r="D13993" s="2">
        <v>1.6047684548372301E-3</v>
      </c>
      <c r="E13993" s="2">
        <v>1.05035712142128E-3</v>
      </c>
      <c r="F13993" s="2">
        <v>4.2336833811832501E-3</v>
      </c>
    </row>
    <row r="13994" spans="1:6" x14ac:dyDescent="0.25">
      <c r="A13994" s="1" t="str">
        <f t="shared" si="528"/>
        <v>25540</v>
      </c>
      <c r="B13994" s="1" t="str">
        <f>"06441"</f>
        <v>06441</v>
      </c>
      <c r="C13994" s="2">
        <v>3.7531695490373501E-3</v>
      </c>
      <c r="D13994" s="2">
        <v>1.08895002292526E-3</v>
      </c>
      <c r="E13994" s="2">
        <v>5.4018366244523101E-4</v>
      </c>
      <c r="F13994" s="2">
        <v>3.37529717790207E-3</v>
      </c>
    </row>
    <row r="13995" spans="1:6" x14ac:dyDescent="0.25">
      <c r="A13995" s="1" t="str">
        <f t="shared" si="528"/>
        <v>25540</v>
      </c>
      <c r="B13995" s="1" t="str">
        <f>"06156"</f>
        <v>06156</v>
      </c>
      <c r="C13995" s="2">
        <v>0</v>
      </c>
      <c r="D13995" s="2">
        <v>7.6417545468439497E-5</v>
      </c>
      <c r="E13995" s="2">
        <v>3.0010203469179499E-5</v>
      </c>
      <c r="F13995" s="2">
        <v>7.6641625292962601E-6</v>
      </c>
    </row>
    <row r="13996" spans="1:6" x14ac:dyDescent="0.25">
      <c r="A13996" s="1" t="str">
        <f t="shared" si="528"/>
        <v>25540</v>
      </c>
      <c r="B13996" s="1" t="str">
        <f>"06152"</f>
        <v>06152</v>
      </c>
      <c r="C13996" s="2">
        <v>0</v>
      </c>
      <c r="D13996" s="2">
        <v>1.91043863671098E-5</v>
      </c>
      <c r="E13996" s="2">
        <v>3.0010203469179499E-5</v>
      </c>
      <c r="F13996" s="2">
        <v>3.0656650117184999E-6</v>
      </c>
    </row>
    <row r="13997" spans="1:6" x14ac:dyDescent="0.25">
      <c r="A13997" s="1" t="str">
        <f t="shared" si="528"/>
        <v>25540</v>
      </c>
      <c r="B13997" s="1" t="str">
        <f>"06791"</f>
        <v>06791</v>
      </c>
      <c r="C13997" s="2">
        <v>2.9997123805187999E-5</v>
      </c>
      <c r="D13997" s="2">
        <v>0</v>
      </c>
      <c r="E13997" s="2">
        <v>0</v>
      </c>
      <c r="F13997" s="2">
        <v>2.6058152599607199E-5</v>
      </c>
    </row>
    <row r="13998" spans="1:6" x14ac:dyDescent="0.25">
      <c r="A13998" s="1" t="str">
        <f t="shared" si="528"/>
        <v>25540</v>
      </c>
      <c r="B13998" s="1" t="str">
        <f>"06242"</f>
        <v>06242</v>
      </c>
      <c r="C13998" s="2">
        <v>3.8819807277302198E-5</v>
      </c>
      <c r="D13998" s="2">
        <v>0</v>
      </c>
      <c r="E13998" s="2">
        <v>0</v>
      </c>
      <c r="F13998" s="2">
        <v>3.3722315128903502E-5</v>
      </c>
    </row>
    <row r="13999" spans="1:6" x14ac:dyDescent="0.25">
      <c r="A13999" s="1" t="str">
        <f t="shared" si="528"/>
        <v>25540</v>
      </c>
      <c r="B13999" s="1" t="str">
        <f>"06084"</f>
        <v>06084</v>
      </c>
      <c r="C13999" s="2">
        <v>9.8002368008243898E-3</v>
      </c>
      <c r="D13999" s="2">
        <v>5.6357939782974101E-3</v>
      </c>
      <c r="E13999" s="2">
        <v>5.37182642098313E-3</v>
      </c>
      <c r="F13999" s="2">
        <v>9.2399143453195699E-3</v>
      </c>
    </row>
    <row r="14000" spans="1:6" x14ac:dyDescent="0.25">
      <c r="A14000" s="1" t="str">
        <f t="shared" si="528"/>
        <v>25540</v>
      </c>
      <c r="B14000" s="1" t="str">
        <f>"06001"</f>
        <v>06001</v>
      </c>
      <c r="C14000" s="2">
        <v>1.5407934415700099E-2</v>
      </c>
      <c r="D14000" s="2">
        <v>2.2753324163227801E-2</v>
      </c>
      <c r="E14000" s="2">
        <v>7.9527039193325703E-3</v>
      </c>
      <c r="F14000" s="2">
        <v>1.5616497569694E-2</v>
      </c>
    </row>
    <row r="14001" spans="1:6" x14ac:dyDescent="0.25">
      <c r="A14001" s="1" t="str">
        <f t="shared" si="528"/>
        <v>25540</v>
      </c>
      <c r="B14001" s="1" t="str">
        <f>"06011"</f>
        <v>06011</v>
      </c>
      <c r="C14001" s="2">
        <v>2.8056133441322901E-3</v>
      </c>
      <c r="D14001" s="2">
        <v>8.8453308879718699E-3</v>
      </c>
      <c r="E14001" s="2">
        <v>1.20040813876718E-4</v>
      </c>
      <c r="F14001" s="2">
        <v>3.1530364645524799E-3</v>
      </c>
    </row>
    <row r="14002" spans="1:6" x14ac:dyDescent="0.25">
      <c r="A14002" s="1" t="str">
        <f t="shared" si="528"/>
        <v>25540</v>
      </c>
      <c r="B14002" s="1" t="str">
        <f>"06111"</f>
        <v>06111</v>
      </c>
      <c r="C14002" s="2">
        <v>2.3164837724382801E-2</v>
      </c>
      <c r="D14002" s="2">
        <v>2.4167048754393999E-2</v>
      </c>
      <c r="E14002" s="2">
        <v>2.0797071004141399E-2</v>
      </c>
      <c r="F14002" s="2">
        <v>2.3124311183392601E-2</v>
      </c>
    </row>
    <row r="14003" spans="1:6" x14ac:dyDescent="0.25">
      <c r="A14003" s="1" t="str">
        <f t="shared" si="528"/>
        <v>25540</v>
      </c>
      <c r="B14003" s="1" t="str">
        <f>"06134"</f>
        <v>06134</v>
      </c>
      <c r="C14003" s="2">
        <v>1.7239523504510999E-3</v>
      </c>
      <c r="D14003" s="2">
        <v>2.48357022772428E-3</v>
      </c>
      <c r="E14003" s="2">
        <v>3.0010203469179499E-5</v>
      </c>
      <c r="F14003" s="2">
        <v>1.69837841649205E-3</v>
      </c>
    </row>
    <row r="14004" spans="1:6" x14ac:dyDescent="0.25">
      <c r="A14004" s="1" t="str">
        <f t="shared" si="528"/>
        <v>25540</v>
      </c>
      <c r="B14004" s="1" t="str">
        <f>"06020"</f>
        <v>06020</v>
      </c>
      <c r="C14004" s="2">
        <v>0</v>
      </c>
      <c r="D14004" s="2">
        <v>0</v>
      </c>
      <c r="E14004" s="2">
        <v>3.0010203469179499E-5</v>
      </c>
      <c r="F14004" s="2">
        <v>1.5328325058592499E-6</v>
      </c>
    </row>
    <row r="14005" spans="1:6" x14ac:dyDescent="0.25">
      <c r="A14005" s="1" t="str">
        <f t="shared" si="528"/>
        <v>25540</v>
      </c>
      <c r="B14005" s="1" t="str">
        <f>"06115"</f>
        <v>06115</v>
      </c>
      <c r="C14005" s="2">
        <v>0</v>
      </c>
      <c r="D14005" s="2">
        <v>0</v>
      </c>
      <c r="E14005" s="2">
        <v>2.7009183122261502E-4</v>
      </c>
      <c r="F14005" s="2">
        <v>1.37954925527332E-5</v>
      </c>
    </row>
    <row r="14006" spans="1:6" x14ac:dyDescent="0.25">
      <c r="A14006" s="1" t="str">
        <f t="shared" si="528"/>
        <v>25540</v>
      </c>
      <c r="B14006" s="1" t="str">
        <f>"06199"</f>
        <v>06199</v>
      </c>
      <c r="C14006" s="2">
        <v>0</v>
      </c>
      <c r="D14006" s="2">
        <v>1.91043863671098E-5</v>
      </c>
      <c r="E14006" s="2">
        <v>3.0010203469179499E-5</v>
      </c>
      <c r="F14006" s="2">
        <v>3.0656650117184999E-6</v>
      </c>
    </row>
    <row r="14007" spans="1:6" x14ac:dyDescent="0.25">
      <c r="A14007" s="1" t="str">
        <f t="shared" si="528"/>
        <v>25540</v>
      </c>
      <c r="B14007" s="1" t="str">
        <f>"06183"</f>
        <v>06183</v>
      </c>
      <c r="C14007" s="2">
        <v>0</v>
      </c>
      <c r="D14007" s="2">
        <v>3.8208772734219701E-5</v>
      </c>
      <c r="E14007" s="2">
        <v>0</v>
      </c>
      <c r="F14007" s="2">
        <v>3.0656650117184999E-6</v>
      </c>
    </row>
    <row r="14008" spans="1:6" x14ac:dyDescent="0.25">
      <c r="A14008" s="1" t="str">
        <f t="shared" si="528"/>
        <v>25540</v>
      </c>
      <c r="B14008" s="1" t="str">
        <f>"06456"</f>
        <v>06456</v>
      </c>
      <c r="C14008" s="2">
        <v>0</v>
      </c>
      <c r="D14008" s="2">
        <v>0</v>
      </c>
      <c r="E14008" s="2">
        <v>3.30112238160974E-3</v>
      </c>
      <c r="F14008" s="2">
        <v>1.6861157564451699E-4</v>
      </c>
    </row>
    <row r="14009" spans="1:6" x14ac:dyDescent="0.25">
      <c r="A14009" s="1" t="str">
        <f t="shared" si="528"/>
        <v>25540</v>
      </c>
      <c r="B14009" s="1" t="str">
        <f>"06127"</f>
        <v>06127</v>
      </c>
      <c r="C14009" s="2">
        <v>6.4405589346433196E-4</v>
      </c>
      <c r="D14009" s="2">
        <v>5.1772887054867701E-3</v>
      </c>
      <c r="E14009" s="2">
        <v>3.0010203469179499E-5</v>
      </c>
      <c r="F14009" s="2">
        <v>9.7641430623234297E-4</v>
      </c>
    </row>
    <row r="14010" spans="1:6" x14ac:dyDescent="0.25">
      <c r="A14010" s="1" t="str">
        <f t="shared" si="528"/>
        <v>25540</v>
      </c>
      <c r="B14010" s="1" t="str">
        <f>"06023"</f>
        <v>06023</v>
      </c>
      <c r="C14010" s="2">
        <v>1.40986481884384E-3</v>
      </c>
      <c r="D14010" s="2">
        <v>3.4769983188139902E-3</v>
      </c>
      <c r="E14010" s="2">
        <v>6.0020406938359003E-4</v>
      </c>
      <c r="F14010" s="2">
        <v>1.53436533836511E-3</v>
      </c>
    </row>
    <row r="14011" spans="1:6" x14ac:dyDescent="0.25">
      <c r="A14011" s="1" t="str">
        <f t="shared" si="528"/>
        <v>25540</v>
      </c>
      <c r="B14011" s="1" t="str">
        <f>"06126"</f>
        <v>06126</v>
      </c>
      <c r="C14011" s="2">
        <v>2.4174152713592701E-3</v>
      </c>
      <c r="D14011" s="2">
        <v>3.3814763869784502E-3</v>
      </c>
      <c r="E14011" s="2">
        <v>3.0010203469179499E-5</v>
      </c>
      <c r="F14011" s="2">
        <v>2.3728247190701198E-3</v>
      </c>
    </row>
    <row r="14012" spans="1:6" x14ac:dyDescent="0.25">
      <c r="A14012" s="1" t="str">
        <f t="shared" si="528"/>
        <v>25540</v>
      </c>
      <c r="B14012" s="1" t="str">
        <f>"06467"</f>
        <v>06467</v>
      </c>
      <c r="C14012" s="2">
        <v>0</v>
      </c>
      <c r="D14012" s="2">
        <v>0</v>
      </c>
      <c r="E14012" s="2">
        <v>5.6419182522057399E-3</v>
      </c>
      <c r="F14012" s="2">
        <v>2.8817251110153903E-4</v>
      </c>
    </row>
    <row r="14013" spans="1:6" x14ac:dyDescent="0.25">
      <c r="A14013" s="1" t="str">
        <f t="shared" si="528"/>
        <v>25540</v>
      </c>
      <c r="B14013" s="1" t="str">
        <f>"06045"</f>
        <v>06045</v>
      </c>
      <c r="C14013" s="2">
        <v>2.5479909867465599E-3</v>
      </c>
      <c r="D14013" s="2">
        <v>6.93489225126088E-3</v>
      </c>
      <c r="E14013" s="2">
        <v>6.0020406938358998E-5</v>
      </c>
      <c r="F14013" s="2">
        <v>2.7728940030993798E-3</v>
      </c>
    </row>
    <row r="14014" spans="1:6" x14ac:dyDescent="0.25">
      <c r="A14014" s="1" t="str">
        <f t="shared" si="528"/>
        <v>25540</v>
      </c>
      <c r="B14014" s="1" t="str">
        <f>"06144"</f>
        <v>06144</v>
      </c>
      <c r="C14014" s="2">
        <v>3.5114280219014198E-4</v>
      </c>
      <c r="D14014" s="2">
        <v>1.41372459116613E-3</v>
      </c>
      <c r="E14014" s="2">
        <v>3.0010203469179499E-5</v>
      </c>
      <c r="F14014" s="2">
        <v>4.1999610660543499E-4</v>
      </c>
    </row>
    <row r="14015" spans="1:6" x14ac:dyDescent="0.25">
      <c r="A14015" s="1" t="str">
        <f t="shared" si="528"/>
        <v>25540</v>
      </c>
      <c r="B14015" s="1" t="str">
        <f>"06268"</f>
        <v>06268</v>
      </c>
      <c r="C14015" s="2">
        <v>8.2562671932044102E-3</v>
      </c>
      <c r="D14015" s="2">
        <v>5.6357939782974101E-3</v>
      </c>
      <c r="E14015" s="2">
        <v>2.51185403037032E-2</v>
      </c>
      <c r="F14015" s="2">
        <v>8.9072896915481092E-3</v>
      </c>
    </row>
    <row r="14016" spans="1:6" x14ac:dyDescent="0.25">
      <c r="A14016" s="1" t="str">
        <f t="shared" si="528"/>
        <v>25540</v>
      </c>
      <c r="B14016" s="1" t="str">
        <f>"06279"</f>
        <v>06279</v>
      </c>
      <c r="C14016" s="2">
        <v>4.7007257539424096E-3</v>
      </c>
      <c r="D14016" s="2">
        <v>2.0441693412807499E-3</v>
      </c>
      <c r="E14016" s="2">
        <v>2.2807754636576401E-3</v>
      </c>
      <c r="F14016" s="2">
        <v>4.3639741441812898E-3</v>
      </c>
    </row>
    <row r="14017" spans="1:6" x14ac:dyDescent="0.25">
      <c r="A14017" s="1" t="str">
        <f t="shared" si="528"/>
        <v>25540</v>
      </c>
      <c r="B14017" s="1" t="str">
        <f>"06232"</f>
        <v>06232</v>
      </c>
      <c r="C14017" s="2">
        <v>2.3044849229162099E-3</v>
      </c>
      <c r="D14017" s="2">
        <v>5.1581843191196596E-4</v>
      </c>
      <c r="E14017" s="2">
        <v>6.9023467979112798E-4</v>
      </c>
      <c r="F14017" s="2">
        <v>2.0785208779451401E-3</v>
      </c>
    </row>
    <row r="14018" spans="1:6" x14ac:dyDescent="0.25">
      <c r="A14018" s="1" t="str">
        <f t="shared" si="528"/>
        <v>25540</v>
      </c>
      <c r="B14018" s="1" t="str">
        <f>"06237"</f>
        <v>06237</v>
      </c>
      <c r="C14018" s="2">
        <v>5.6359302019865099E-3</v>
      </c>
      <c r="D14018" s="2">
        <v>2.7701360232309301E-3</v>
      </c>
      <c r="E14018" s="2">
        <v>1.71058159774323E-3</v>
      </c>
      <c r="F14018" s="2">
        <v>5.2054991898980198E-3</v>
      </c>
    </row>
    <row r="14019" spans="1:6" x14ac:dyDescent="0.25">
      <c r="A14019" s="1" t="str">
        <f t="shared" ref="A14019:A14050" si="529">"25540"</f>
        <v>25540</v>
      </c>
      <c r="B14019" s="1" t="str">
        <f>"06269"</f>
        <v>06269</v>
      </c>
      <c r="C14019" s="2">
        <v>1.1753578921550401E-2</v>
      </c>
      <c r="D14019" s="2">
        <v>5.5593764328289701E-3</v>
      </c>
      <c r="E14019" s="2">
        <v>3.90132645099333E-3</v>
      </c>
      <c r="F14019" s="2">
        <v>1.08555198064952E-2</v>
      </c>
    </row>
    <row r="14020" spans="1:6" x14ac:dyDescent="0.25">
      <c r="A14020" s="1" t="str">
        <f t="shared" si="529"/>
        <v>25540</v>
      </c>
      <c r="B14020" s="1" t="str">
        <f>"06071"</f>
        <v>06071</v>
      </c>
      <c r="C14020" s="2">
        <v>6.3964455172827502E-3</v>
      </c>
      <c r="D14020" s="2">
        <v>2.48357022772428E-3</v>
      </c>
      <c r="E14020" s="2">
        <v>2.1607346497809201E-3</v>
      </c>
      <c r="F14020" s="2">
        <v>5.86614999992335E-3</v>
      </c>
    </row>
    <row r="14021" spans="1:6" x14ac:dyDescent="0.25">
      <c r="A14021" s="1" t="str">
        <f t="shared" si="529"/>
        <v>25540</v>
      </c>
      <c r="B14021" s="1" t="str">
        <f>"06074"</f>
        <v>06074</v>
      </c>
      <c r="C14021" s="2">
        <v>2.0184535247502699E-2</v>
      </c>
      <c r="D14021" s="2">
        <v>2.8007030414182999E-2</v>
      </c>
      <c r="E14021" s="2">
        <v>1.5815377228257599E-2</v>
      </c>
      <c r="F14021" s="2">
        <v>2.0589006218701401E-2</v>
      </c>
    </row>
    <row r="14022" spans="1:6" x14ac:dyDescent="0.25">
      <c r="A14022" s="1" t="str">
        <f t="shared" si="529"/>
        <v>25540</v>
      </c>
      <c r="B14022" s="1" t="str">
        <f>"06092"</f>
        <v>06092</v>
      </c>
      <c r="C14022" s="2">
        <v>3.2873318617097302E-3</v>
      </c>
      <c r="D14022" s="2">
        <v>2.21610881858474E-3</v>
      </c>
      <c r="E14022" s="2">
        <v>1.8006122081507699E-4</v>
      </c>
      <c r="F14022" s="2">
        <v>3.0426725241306102E-3</v>
      </c>
    </row>
    <row r="14023" spans="1:6" x14ac:dyDescent="0.25">
      <c r="A14023" s="1" t="str">
        <f t="shared" si="529"/>
        <v>25540</v>
      </c>
      <c r="B14023" s="1" t="str">
        <f>"06089"</f>
        <v>06089</v>
      </c>
      <c r="C14023" s="2">
        <v>2.9997123805187999E-3</v>
      </c>
      <c r="D14023" s="2">
        <v>2.46446584135717E-3</v>
      </c>
      <c r="E14023" s="2">
        <v>1.35045915611307E-3</v>
      </c>
      <c r="F14023" s="2">
        <v>2.8725281159802298E-3</v>
      </c>
    </row>
    <row r="14024" spans="1:6" x14ac:dyDescent="0.25">
      <c r="A14024" s="1" t="str">
        <f t="shared" si="529"/>
        <v>25540</v>
      </c>
      <c r="B14024" s="1" t="str">
        <f>"06413"</f>
        <v>06413</v>
      </c>
      <c r="C14024" s="2">
        <v>1.18982709304931E-2</v>
      </c>
      <c r="D14024" s="2">
        <v>1.35832187070151E-2</v>
      </c>
      <c r="E14024" s="2">
        <v>1.01434487725826E-2</v>
      </c>
      <c r="F14024" s="2">
        <v>1.1943830885655199E-2</v>
      </c>
    </row>
    <row r="14025" spans="1:6" x14ac:dyDescent="0.25">
      <c r="A14025" s="1" t="str">
        <f t="shared" si="529"/>
        <v>25540</v>
      </c>
      <c r="B14025" s="1" t="str">
        <f>"06447"</f>
        <v>06447</v>
      </c>
      <c r="C14025" s="2">
        <v>4.2101845528928596E-3</v>
      </c>
      <c r="D14025" s="2">
        <v>2.9229711141678101E-3</v>
      </c>
      <c r="E14025" s="2">
        <v>8.4028569713702603E-4</v>
      </c>
      <c r="F14025" s="2">
        <v>3.9347810425407002E-3</v>
      </c>
    </row>
    <row r="14026" spans="1:6" x14ac:dyDescent="0.25">
      <c r="A14026" s="1" t="str">
        <f t="shared" si="529"/>
        <v>25540</v>
      </c>
      <c r="B14026" s="1" t="str">
        <f>"06025"</f>
        <v>06025</v>
      </c>
      <c r="C14026" s="2">
        <v>0</v>
      </c>
      <c r="D14026" s="2">
        <v>1.91043863671098E-5</v>
      </c>
      <c r="E14026" s="2">
        <v>0</v>
      </c>
      <c r="F14026" s="2">
        <v>1.5328325058592499E-6</v>
      </c>
    </row>
    <row r="14027" spans="1:6" x14ac:dyDescent="0.25">
      <c r="A14027" s="1" t="str">
        <f t="shared" si="529"/>
        <v>25540</v>
      </c>
      <c r="B14027" s="1" t="str">
        <f>"06042"</f>
        <v>06042</v>
      </c>
      <c r="C14027" s="2">
        <v>1.9245801726069701E-2</v>
      </c>
      <c r="D14027" s="2">
        <v>2.0766467981048399E-2</v>
      </c>
      <c r="E14027" s="2">
        <v>3.14506932357001E-2</v>
      </c>
      <c r="F14027" s="2">
        <v>1.9991201541416301E-2</v>
      </c>
    </row>
    <row r="14028" spans="1:6" x14ac:dyDescent="0.25">
      <c r="A14028" s="1" t="str">
        <f t="shared" si="529"/>
        <v>25540</v>
      </c>
      <c r="B14028" s="1" t="str">
        <f>"06037"</f>
        <v>06037</v>
      </c>
      <c r="C14028" s="2">
        <v>1.47162360314863E-2</v>
      </c>
      <c r="D14028" s="2">
        <v>2.0881094299251099E-2</v>
      </c>
      <c r="E14028" s="2">
        <v>5.0417141828221499E-3</v>
      </c>
      <c r="F14028" s="2">
        <v>1.47167248887546E-2</v>
      </c>
    </row>
    <row r="14029" spans="1:6" x14ac:dyDescent="0.25">
      <c r="A14029" s="1" t="str">
        <f t="shared" si="529"/>
        <v>25540</v>
      </c>
      <c r="B14029" s="1" t="str">
        <f>"06022"</f>
        <v>06022</v>
      </c>
      <c r="C14029" s="2">
        <v>0</v>
      </c>
      <c r="D14029" s="2">
        <v>1.91043863671098E-5</v>
      </c>
      <c r="E14029" s="2">
        <v>0</v>
      </c>
      <c r="F14029" s="2">
        <v>1.5328325058592499E-6</v>
      </c>
    </row>
    <row r="14030" spans="1:6" x14ac:dyDescent="0.25">
      <c r="A14030" s="1" t="str">
        <f t="shared" si="529"/>
        <v>25540</v>
      </c>
      <c r="B14030" s="1" t="str">
        <f>"06002"</f>
        <v>06002</v>
      </c>
      <c r="C14030" s="2">
        <v>1.88134902359362E-2</v>
      </c>
      <c r="D14030" s="2">
        <v>2.7128228641296E-2</v>
      </c>
      <c r="E14030" s="2">
        <v>2.4698397455134701E-2</v>
      </c>
      <c r="F14030" s="2">
        <v>1.9781203488113599E-2</v>
      </c>
    </row>
    <row r="14031" spans="1:6" x14ac:dyDescent="0.25">
      <c r="A14031" s="1" t="str">
        <f t="shared" si="529"/>
        <v>25540</v>
      </c>
      <c r="B14031" s="1" t="str">
        <f>"06026"</f>
        <v>06026</v>
      </c>
      <c r="C14031" s="2">
        <v>4.8154206390798896E-3</v>
      </c>
      <c r="D14031" s="2">
        <v>7.04951856946354E-3</v>
      </c>
      <c r="E14031" s="2">
        <v>2.1307244463117398E-3</v>
      </c>
      <c r="F14031" s="2">
        <v>4.8575462110679703E-3</v>
      </c>
    </row>
    <row r="14032" spans="1:6" x14ac:dyDescent="0.25">
      <c r="A14032" s="1" t="str">
        <f t="shared" si="529"/>
        <v>25540</v>
      </c>
      <c r="B14032" s="1" t="str">
        <f>"06107"</f>
        <v>06107</v>
      </c>
      <c r="C14032" s="2">
        <v>1.4042183014216799E-2</v>
      </c>
      <c r="D14032" s="2">
        <v>1.6353354730246E-2</v>
      </c>
      <c r="E14032" s="2">
        <v>8.6429385991236996E-3</v>
      </c>
      <c r="F14032" s="2">
        <v>1.39518414683309E-2</v>
      </c>
    </row>
    <row r="14033" spans="1:6" x14ac:dyDescent="0.25">
      <c r="A14033" s="1" t="str">
        <f t="shared" si="529"/>
        <v>25540</v>
      </c>
      <c r="B14033" s="1" t="str">
        <f>"06226"</f>
        <v>06226</v>
      </c>
      <c r="C14033" s="2">
        <v>6.9169838421374798E-4</v>
      </c>
      <c r="D14033" s="2">
        <v>9.9342809108971409E-4</v>
      </c>
      <c r="E14033" s="2">
        <v>2.2207550567192799E-3</v>
      </c>
      <c r="F14033" s="2">
        <v>7.9400723803509197E-4</v>
      </c>
    </row>
    <row r="14034" spans="1:6" x14ac:dyDescent="0.25">
      <c r="A14034" s="1" t="str">
        <f t="shared" si="529"/>
        <v>25540</v>
      </c>
      <c r="B14034" s="1" t="str">
        <f>"06096"</f>
        <v>06096</v>
      </c>
      <c r="C14034" s="2">
        <v>1.12630377205009E-2</v>
      </c>
      <c r="D14034" s="2">
        <v>1.3869784502521699E-2</v>
      </c>
      <c r="E14034" s="2">
        <v>5.6419182522057399E-3</v>
      </c>
      <c r="F14034" s="2">
        <v>1.1185078795254899E-2</v>
      </c>
    </row>
    <row r="14035" spans="1:6" x14ac:dyDescent="0.25">
      <c r="A14035" s="1" t="str">
        <f t="shared" si="529"/>
        <v>25540</v>
      </c>
      <c r="B14035" s="1" t="str">
        <f>"06469"</f>
        <v>06469</v>
      </c>
      <c r="C14035" s="2">
        <v>2.4297670282202302E-3</v>
      </c>
      <c r="D14035" s="2">
        <v>7.0686229558306502E-4</v>
      </c>
      <c r="E14035" s="2">
        <v>1.71058159774323E-3</v>
      </c>
      <c r="F14035" s="2">
        <v>2.25479661611896E-3</v>
      </c>
    </row>
    <row r="14036" spans="1:6" x14ac:dyDescent="0.25">
      <c r="A14036" s="1" t="str">
        <f t="shared" si="529"/>
        <v>25540</v>
      </c>
      <c r="B14036" s="1" t="str">
        <f>"06424"</f>
        <v>06424</v>
      </c>
      <c r="C14036" s="2">
        <v>9.5708470305494193E-3</v>
      </c>
      <c r="D14036" s="2">
        <v>4.6041571144734804E-3</v>
      </c>
      <c r="E14036" s="2">
        <v>4.5315407238460999E-3</v>
      </c>
      <c r="F14036" s="2">
        <v>8.9149538540774093E-3</v>
      </c>
    </row>
    <row r="14037" spans="1:6" x14ac:dyDescent="0.25">
      <c r="A14037" s="1" t="str">
        <f t="shared" si="529"/>
        <v>25540</v>
      </c>
      <c r="B14037" s="1" t="str">
        <f>"06426"</f>
        <v>06426</v>
      </c>
      <c r="C14037" s="2">
        <v>4.5083912542503201E-3</v>
      </c>
      <c r="D14037" s="2">
        <v>9.95338529726425E-3</v>
      </c>
      <c r="E14037" s="2">
        <v>3.30112238160974E-3</v>
      </c>
      <c r="F14037" s="2">
        <v>4.8836043636675697E-3</v>
      </c>
    </row>
    <row r="14038" spans="1:6" x14ac:dyDescent="0.25">
      <c r="A14038" s="1" t="str">
        <f t="shared" si="529"/>
        <v>25540</v>
      </c>
      <c r="B14038" s="1" t="str">
        <f>"06235"</f>
        <v>06235</v>
      </c>
      <c r="C14038" s="2">
        <v>5.2936100832684797E-6</v>
      </c>
      <c r="D14038" s="2">
        <v>0</v>
      </c>
      <c r="E14038" s="2">
        <v>0</v>
      </c>
      <c r="F14038" s="2">
        <v>4.5984975175777496E-6</v>
      </c>
    </row>
    <row r="14039" spans="1:6" x14ac:dyDescent="0.25">
      <c r="A14039" s="1" t="str">
        <f t="shared" si="529"/>
        <v>25540</v>
      </c>
      <c r="B14039" s="1" t="str">
        <f>"06141"</f>
        <v>06141</v>
      </c>
      <c r="C14039" s="2">
        <v>4.2701788005032398E-4</v>
      </c>
      <c r="D14039" s="2">
        <v>2.50267461409139E-3</v>
      </c>
      <c r="E14039" s="2">
        <v>3.0010203469179499E-5</v>
      </c>
      <c r="F14039" s="2">
        <v>5.7327935719136004E-4</v>
      </c>
    </row>
    <row r="14040" spans="1:6" x14ac:dyDescent="0.25">
      <c r="A14040" s="1" t="str">
        <f t="shared" si="529"/>
        <v>25540</v>
      </c>
      <c r="B14040" s="1" t="str">
        <f>"06080"</f>
        <v>06080</v>
      </c>
      <c r="C14040" s="2">
        <v>0</v>
      </c>
      <c r="D14040" s="2">
        <v>3.8208772734219701E-5</v>
      </c>
      <c r="E14040" s="2">
        <v>3.0010203469179499E-5</v>
      </c>
      <c r="F14040" s="2">
        <v>4.5984975175777496E-6</v>
      </c>
    </row>
    <row r="14041" spans="1:6" x14ac:dyDescent="0.25">
      <c r="A14041" s="1" t="str">
        <f t="shared" si="529"/>
        <v>25540</v>
      </c>
      <c r="B14041" s="1" t="str">
        <f>"06153"</f>
        <v>06153</v>
      </c>
      <c r="C14041" s="2">
        <v>0</v>
      </c>
      <c r="D14041" s="2">
        <v>1.91043863671098E-5</v>
      </c>
      <c r="E14041" s="2">
        <v>3.0010203469179499E-5</v>
      </c>
      <c r="F14041" s="2">
        <v>3.0656650117184999E-6</v>
      </c>
    </row>
    <row r="14042" spans="1:6" x14ac:dyDescent="0.25">
      <c r="A14042" s="1" t="str">
        <f t="shared" si="529"/>
        <v>25540</v>
      </c>
      <c r="B14042" s="1" t="str">
        <f>"06146"</f>
        <v>06146</v>
      </c>
      <c r="C14042" s="2">
        <v>3.8819807277302201E-4</v>
      </c>
      <c r="D14042" s="2">
        <v>1.7193947730398799E-3</v>
      </c>
      <c r="E14042" s="2">
        <v>3.0010203469179499E-5</v>
      </c>
      <c r="F14042" s="2">
        <v>4.7671090932222698E-4</v>
      </c>
    </row>
    <row r="14043" spans="1:6" x14ac:dyDescent="0.25">
      <c r="A14043" s="1" t="str">
        <f t="shared" si="529"/>
        <v>25540</v>
      </c>
      <c r="B14043" s="1" t="str">
        <f>"06414"</f>
        <v>06414</v>
      </c>
      <c r="C14043" s="2">
        <v>0</v>
      </c>
      <c r="D14043" s="2">
        <v>0</v>
      </c>
      <c r="E14043" s="2">
        <v>4.1414080787467696E-3</v>
      </c>
      <c r="F14043" s="2">
        <v>2.1153088580857599E-4</v>
      </c>
    </row>
    <row r="14044" spans="1:6" x14ac:dyDescent="0.25">
      <c r="A14044" s="1" t="str">
        <f t="shared" si="529"/>
        <v>25540</v>
      </c>
      <c r="B14044" s="1" t="str">
        <f>"06027"</f>
        <v>06027</v>
      </c>
      <c r="C14044" s="2">
        <v>1.00049230573774E-3</v>
      </c>
      <c r="D14044" s="2">
        <v>9.5521931835549406E-5</v>
      </c>
      <c r="E14044" s="2">
        <v>3.0010203469179499E-5</v>
      </c>
      <c r="F14044" s="2">
        <v>8.7831302585735101E-4</v>
      </c>
    </row>
    <row r="14045" spans="1:6" x14ac:dyDescent="0.25">
      <c r="A14045" s="1" t="str">
        <f t="shared" si="529"/>
        <v>25540</v>
      </c>
      <c r="B14045" s="1" t="str">
        <f>"06120"</f>
        <v>06120</v>
      </c>
      <c r="C14045" s="2">
        <v>8.9991371415564202E-3</v>
      </c>
      <c r="D14045" s="2">
        <v>1.1481736206633E-2</v>
      </c>
      <c r="E14045" s="2">
        <v>1.6655662925394599E-2</v>
      </c>
      <c r="F14045" s="2">
        <v>9.5894001566554799E-3</v>
      </c>
    </row>
    <row r="14046" spans="1:6" x14ac:dyDescent="0.25">
      <c r="A14046" s="1" t="str">
        <f t="shared" si="529"/>
        <v>25540</v>
      </c>
      <c r="B14046" s="1" t="str">
        <f>"06117"</f>
        <v>06117</v>
      </c>
      <c r="C14046" s="2">
        <v>1.0825432620284001E-2</v>
      </c>
      <c r="D14046" s="2">
        <v>4.4131132508023804E-3</v>
      </c>
      <c r="E14046" s="2">
        <v>4.2014284856851302E-3</v>
      </c>
      <c r="F14046" s="2">
        <v>9.9726082831202902E-3</v>
      </c>
    </row>
    <row r="14047" spans="1:6" x14ac:dyDescent="0.25">
      <c r="A14047" s="1" t="str">
        <f t="shared" si="529"/>
        <v>25540</v>
      </c>
      <c r="B14047" s="1" t="str">
        <f>"06123"</f>
        <v>06123</v>
      </c>
      <c r="C14047" s="2">
        <v>2.4332961016090798E-3</v>
      </c>
      <c r="D14047" s="2">
        <v>1.8722298639767599E-3</v>
      </c>
      <c r="E14047" s="2">
        <v>3.0010203469179499E-5</v>
      </c>
      <c r="F14047" s="2">
        <v>2.2655264436599698E-3</v>
      </c>
    </row>
    <row r="14048" spans="1:6" x14ac:dyDescent="0.25">
      <c r="A14048" s="1" t="str">
        <f t="shared" si="529"/>
        <v>25540</v>
      </c>
      <c r="B14048" s="1" t="str">
        <f>"06129"</f>
        <v>06129</v>
      </c>
      <c r="C14048" s="2">
        <v>9.1932361779429304E-4</v>
      </c>
      <c r="D14048" s="2">
        <v>2.8465535686993701E-3</v>
      </c>
      <c r="E14048" s="2">
        <v>6.0020406938358998E-5</v>
      </c>
      <c r="F14048" s="2">
        <v>1.03006344393741E-3</v>
      </c>
    </row>
    <row r="14049" spans="1:6" x14ac:dyDescent="0.25">
      <c r="A14049" s="1" t="str">
        <f t="shared" si="529"/>
        <v>25540</v>
      </c>
      <c r="B14049" s="1" t="str">
        <f>"06250"</f>
        <v>06250</v>
      </c>
      <c r="C14049" s="2">
        <v>4.6654350200539497E-3</v>
      </c>
      <c r="D14049" s="2">
        <v>3.7635641143206398E-3</v>
      </c>
      <c r="E14049" s="2">
        <v>5.1917652001680498E-3</v>
      </c>
      <c r="F14049" s="2">
        <v>4.6199571726597798E-3</v>
      </c>
    </row>
    <row r="14050" spans="1:6" x14ac:dyDescent="0.25">
      <c r="A14050" s="1" t="str">
        <f t="shared" si="529"/>
        <v>25540</v>
      </c>
      <c r="B14050" s="1" t="str">
        <f>"06248"</f>
        <v>06248</v>
      </c>
      <c r="C14050" s="2">
        <v>3.7231724252321601E-3</v>
      </c>
      <c r="D14050" s="2">
        <v>1.6429772275714501E-3</v>
      </c>
      <c r="E14050" s="2">
        <v>1.170397935298E-3</v>
      </c>
      <c r="F14050" s="2">
        <v>3.4258806505954201E-3</v>
      </c>
    </row>
    <row r="14051" spans="1:6" x14ac:dyDescent="0.25">
      <c r="A14051" s="1" t="str">
        <f t="shared" ref="A14051:A14082" si="530">"25540"</f>
        <v>25540</v>
      </c>
      <c r="B14051" s="1" t="str">
        <f>"06085"</f>
        <v>06085</v>
      </c>
      <c r="C14051" s="2">
        <v>6.3664483934775598E-3</v>
      </c>
      <c r="D14051" s="2">
        <v>5.8077334556014002E-3</v>
      </c>
      <c r="E14051" s="2">
        <v>4.2314386891543097E-3</v>
      </c>
      <c r="F14051" s="2">
        <v>6.2125701462475398E-3</v>
      </c>
    </row>
    <row r="14052" spans="1:6" x14ac:dyDescent="0.25">
      <c r="A14052" s="1" t="str">
        <f t="shared" si="530"/>
        <v>25540</v>
      </c>
      <c r="B14052" s="1" t="str">
        <f>"06091"</f>
        <v>06091</v>
      </c>
      <c r="C14052" s="2">
        <v>1.7292459605343699E-4</v>
      </c>
      <c r="D14052" s="2">
        <v>7.6417545468439497E-5</v>
      </c>
      <c r="E14052" s="2">
        <v>0</v>
      </c>
      <c r="F14052" s="2">
        <v>1.5634891559764301E-4</v>
      </c>
    </row>
    <row r="14053" spans="1:6" x14ac:dyDescent="0.25">
      <c r="A14053" s="1" t="str">
        <f t="shared" si="530"/>
        <v>25540</v>
      </c>
      <c r="B14053" s="1" t="str">
        <f>"06103"</f>
        <v>06103</v>
      </c>
      <c r="C14053" s="2">
        <v>3.8802161910358002E-3</v>
      </c>
      <c r="D14053" s="2">
        <v>2.35939171633807E-2</v>
      </c>
      <c r="E14053" s="2">
        <v>6.1520917111818002E-3</v>
      </c>
      <c r="F14053" s="2">
        <v>5.5779774888218099E-3</v>
      </c>
    </row>
    <row r="14054" spans="1:6" x14ac:dyDescent="0.25">
      <c r="A14054" s="1" t="str">
        <f t="shared" si="530"/>
        <v>25540</v>
      </c>
      <c r="B14054" s="1" t="str">
        <f>"06415"</f>
        <v>06415</v>
      </c>
      <c r="C14054" s="2">
        <v>1.0057859158210101E-3</v>
      </c>
      <c r="D14054" s="2">
        <v>1.91043863671098E-5</v>
      </c>
      <c r="E14054" s="2">
        <v>6.0020406938358998E-5</v>
      </c>
      <c r="F14054" s="2">
        <v>8.7831302585735101E-4</v>
      </c>
    </row>
    <row r="14055" spans="1:6" x14ac:dyDescent="0.25">
      <c r="A14055" s="1" t="str">
        <f t="shared" si="530"/>
        <v>25540</v>
      </c>
      <c r="B14055" s="1" t="str">
        <f>"06412"</f>
        <v>06412</v>
      </c>
      <c r="C14055" s="2">
        <v>4.1272513282549902E-3</v>
      </c>
      <c r="D14055" s="2">
        <v>4.8907229099801296E-3</v>
      </c>
      <c r="E14055" s="2">
        <v>2.5208570914110702E-3</v>
      </c>
      <c r="F14055" s="2">
        <v>4.1064582831969298E-3</v>
      </c>
    </row>
    <row r="14056" spans="1:6" x14ac:dyDescent="0.25">
      <c r="A14056" s="1" t="str">
        <f t="shared" si="530"/>
        <v>25540</v>
      </c>
      <c r="B14056" s="1" t="str">
        <f>"06064"</f>
        <v>06064</v>
      </c>
      <c r="C14056" s="2">
        <v>0</v>
      </c>
      <c r="D14056" s="2">
        <v>1.91043863671098E-5</v>
      </c>
      <c r="E14056" s="2">
        <v>0</v>
      </c>
      <c r="F14056" s="2">
        <v>1.5328325058592499E-6</v>
      </c>
    </row>
    <row r="14057" spans="1:6" x14ac:dyDescent="0.25">
      <c r="A14057" s="1" t="str">
        <f t="shared" si="530"/>
        <v>25540</v>
      </c>
      <c r="B14057" s="1" t="str">
        <f>"06077"</f>
        <v>06077</v>
      </c>
      <c r="C14057" s="2">
        <v>0</v>
      </c>
      <c r="D14057" s="2">
        <v>0</v>
      </c>
      <c r="E14057" s="2">
        <v>3.9013264509933301E-4</v>
      </c>
      <c r="F14057" s="2">
        <v>1.9926822576170199E-5</v>
      </c>
    </row>
    <row r="14058" spans="1:6" x14ac:dyDescent="0.25">
      <c r="A14058" s="1" t="str">
        <f t="shared" si="530"/>
        <v>25540</v>
      </c>
      <c r="B14058" s="1" t="str">
        <f>"06131"</f>
        <v>06131</v>
      </c>
      <c r="C14058" s="2">
        <v>1.2016494889019399E-3</v>
      </c>
      <c r="D14058" s="2">
        <v>3.6871465688521998E-3</v>
      </c>
      <c r="E14058" s="2">
        <v>3.0010203469179499E-5</v>
      </c>
      <c r="F14058" s="2">
        <v>1.34122844262684E-3</v>
      </c>
    </row>
    <row r="14059" spans="1:6" x14ac:dyDescent="0.25">
      <c r="A14059" s="1" t="str">
        <f t="shared" si="530"/>
        <v>25540</v>
      </c>
      <c r="B14059" s="1" t="str">
        <f>"06147"</f>
        <v>06147</v>
      </c>
      <c r="C14059" s="2">
        <v>6.6170126040855995E-4</v>
      </c>
      <c r="D14059" s="2">
        <v>1.7767079321412099E-3</v>
      </c>
      <c r="E14059" s="2">
        <v>6.0020406938358998E-5</v>
      </c>
      <c r="F14059" s="2">
        <v>7.2043127775384803E-4</v>
      </c>
    </row>
    <row r="14060" spans="1:6" x14ac:dyDescent="0.25">
      <c r="A14060" s="1" t="str">
        <f t="shared" si="530"/>
        <v>25540</v>
      </c>
      <c r="B14060" s="1" t="str">
        <f>"06455"</f>
        <v>06455</v>
      </c>
      <c r="C14060" s="2">
        <v>2.23566799183372E-3</v>
      </c>
      <c r="D14060" s="2">
        <v>2.46446584135717E-3</v>
      </c>
      <c r="E14060" s="2">
        <v>3.6012244163015399E-4</v>
      </c>
      <c r="F14060" s="2">
        <v>2.1582281682498202E-3</v>
      </c>
    </row>
    <row r="14061" spans="1:6" x14ac:dyDescent="0.25">
      <c r="A14061" s="1" t="str">
        <f t="shared" si="530"/>
        <v>25540</v>
      </c>
      <c r="B14061" s="1" t="str">
        <f>"06019"</f>
        <v>06019</v>
      </c>
      <c r="C14061" s="2">
        <v>9.2602885723310005E-3</v>
      </c>
      <c r="D14061" s="2">
        <v>1.37169494115848E-2</v>
      </c>
      <c r="E14061" s="2">
        <v>3.54120400936318E-3</v>
      </c>
      <c r="F14061" s="2">
        <v>9.3257529656476899E-3</v>
      </c>
    </row>
    <row r="14062" spans="1:6" x14ac:dyDescent="0.25">
      <c r="A14062" s="1" t="str">
        <f t="shared" si="530"/>
        <v>25540</v>
      </c>
      <c r="B14062" s="1" t="str">
        <f>"06060"</f>
        <v>06060</v>
      </c>
      <c r="C14062" s="2">
        <v>1.5845539515917E-3</v>
      </c>
      <c r="D14062" s="2">
        <v>3.8208772734219701E-5</v>
      </c>
      <c r="E14062" s="2">
        <v>9.0030610407538497E-5</v>
      </c>
      <c r="F14062" s="2">
        <v>1.3841477527909E-3</v>
      </c>
    </row>
    <row r="14063" spans="1:6" x14ac:dyDescent="0.25">
      <c r="A14063" s="1" t="str">
        <f t="shared" si="530"/>
        <v>25540</v>
      </c>
      <c r="B14063" s="1" t="str">
        <f>"06052"</f>
        <v>06052</v>
      </c>
      <c r="C14063" s="2">
        <v>6.18117204056316E-3</v>
      </c>
      <c r="D14063" s="2">
        <v>5.2537062509552101E-3</v>
      </c>
      <c r="E14063" s="2">
        <v>8.3428365644318998E-3</v>
      </c>
      <c r="F14063" s="2">
        <v>6.2171686437651197E-3</v>
      </c>
    </row>
    <row r="14064" spans="1:6" x14ac:dyDescent="0.25">
      <c r="A14064" s="1" t="str">
        <f t="shared" si="530"/>
        <v>25540</v>
      </c>
      <c r="B14064" s="1" t="str">
        <f>"06013"</f>
        <v>06013</v>
      </c>
      <c r="C14064" s="2">
        <v>6.4352653245600498E-3</v>
      </c>
      <c r="D14064" s="2">
        <v>1.7576035457740999E-3</v>
      </c>
      <c r="E14064" s="2">
        <v>1.6205509873356901E-3</v>
      </c>
      <c r="F14064" s="2">
        <v>5.8140336947241399E-3</v>
      </c>
    </row>
    <row r="14065" spans="1:6" x14ac:dyDescent="0.25">
      <c r="A14065" s="1" t="str">
        <f t="shared" si="530"/>
        <v>25540</v>
      </c>
      <c r="B14065" s="1" t="str">
        <f>"06118"</f>
        <v>06118</v>
      </c>
      <c r="C14065" s="2">
        <v>2.0290407449168098E-2</v>
      </c>
      <c r="D14065" s="2">
        <v>6.2662387284120403E-3</v>
      </c>
      <c r="E14065" s="2">
        <v>9.8133365344217002E-3</v>
      </c>
      <c r="F14065" s="2">
        <v>1.86300462762133E-2</v>
      </c>
    </row>
    <row r="14066" spans="1:6" x14ac:dyDescent="0.25">
      <c r="A14066" s="1" t="str">
        <f t="shared" si="530"/>
        <v>25540</v>
      </c>
      <c r="B14066" s="1" t="str">
        <f>"06090"</f>
        <v>06090</v>
      </c>
      <c r="C14066" s="2">
        <v>7.8521882901815801E-4</v>
      </c>
      <c r="D14066" s="2">
        <v>0</v>
      </c>
      <c r="E14066" s="2">
        <v>3.0010203469179499E-5</v>
      </c>
      <c r="F14066" s="2">
        <v>6.83643297613226E-4</v>
      </c>
    </row>
    <row r="14067" spans="1:6" x14ac:dyDescent="0.25">
      <c r="A14067" s="1" t="str">
        <f t="shared" si="530"/>
        <v>25540</v>
      </c>
      <c r="B14067" s="1" t="str">
        <f>"06081"</f>
        <v>06081</v>
      </c>
      <c r="C14067" s="2">
        <v>1.4663299930653699E-3</v>
      </c>
      <c r="D14067" s="2">
        <v>1.14626318202659E-3</v>
      </c>
      <c r="E14067" s="2">
        <v>8.4028569713702603E-4</v>
      </c>
      <c r="F14067" s="2">
        <v>1.40867307288465E-3</v>
      </c>
    </row>
    <row r="14068" spans="1:6" x14ac:dyDescent="0.25">
      <c r="A14068" s="1" t="str">
        <f t="shared" si="530"/>
        <v>25540</v>
      </c>
      <c r="B14068" s="1" t="str">
        <f>"06082"</f>
        <v>06082</v>
      </c>
      <c r="C14068" s="2">
        <v>3.20263410037743E-2</v>
      </c>
      <c r="D14068" s="2">
        <v>2.29825767996331E-2</v>
      </c>
      <c r="E14068" s="2">
        <v>1.8426264930076201E-2</v>
      </c>
      <c r="F14068" s="2">
        <v>3.06060666444916E-2</v>
      </c>
    </row>
    <row r="14069" spans="1:6" x14ac:dyDescent="0.25">
      <c r="A14069" s="1" t="str">
        <f t="shared" si="530"/>
        <v>25540</v>
      </c>
      <c r="B14069" s="1" t="str">
        <f>"06101"</f>
        <v>06101</v>
      </c>
      <c r="C14069" s="2">
        <v>0</v>
      </c>
      <c r="D14069" s="2">
        <v>5.7313159101329603E-5</v>
      </c>
      <c r="E14069" s="2">
        <v>2.1007142428425599E-4</v>
      </c>
      <c r="F14069" s="2">
        <v>1.53283250585925E-5</v>
      </c>
    </row>
    <row r="14070" spans="1:6" x14ac:dyDescent="0.25">
      <c r="A14070" s="1" t="str">
        <f t="shared" si="530"/>
        <v>25540</v>
      </c>
      <c r="B14070" s="1" t="str">
        <f>"06073"</f>
        <v>06073</v>
      </c>
      <c r="C14070" s="2">
        <v>4.7024902906368298E-3</v>
      </c>
      <c r="D14070" s="2">
        <v>3.5343114779153202E-3</v>
      </c>
      <c r="E14070" s="2">
        <v>7.80265290198667E-4</v>
      </c>
      <c r="F14070" s="2">
        <v>4.4084262868511999E-3</v>
      </c>
    </row>
    <row r="14071" spans="1:6" x14ac:dyDescent="0.25">
      <c r="A14071" s="1" t="str">
        <f t="shared" si="530"/>
        <v>25540</v>
      </c>
      <c r="B14071" s="1" t="str">
        <f>"06422"</f>
        <v>06422</v>
      </c>
      <c r="C14071" s="2">
        <v>5.4488893123776899E-3</v>
      </c>
      <c r="D14071" s="2">
        <v>4.2220693871312803E-3</v>
      </c>
      <c r="E14071" s="2">
        <v>1.6805713942740501E-3</v>
      </c>
      <c r="F14071" s="2">
        <v>5.1579813822163799E-3</v>
      </c>
    </row>
    <row r="14072" spans="1:6" x14ac:dyDescent="0.25">
      <c r="A14072" s="1" t="str">
        <f t="shared" si="530"/>
        <v>25540</v>
      </c>
      <c r="B14072" s="1" t="str">
        <f>"06028"</f>
        <v>06028</v>
      </c>
      <c r="C14072" s="2">
        <v>0</v>
      </c>
      <c r="D14072" s="2">
        <v>1.91043863671098E-5</v>
      </c>
      <c r="E14072" s="2">
        <v>0</v>
      </c>
      <c r="F14072" s="2">
        <v>1.5328325058592499E-6</v>
      </c>
    </row>
    <row r="14073" spans="1:6" x14ac:dyDescent="0.25">
      <c r="A14073" s="1" t="str">
        <f t="shared" si="530"/>
        <v>25540</v>
      </c>
      <c r="B14073" s="1" t="str">
        <f>"06145"</f>
        <v>06145</v>
      </c>
      <c r="C14073" s="2">
        <v>8.8226834721141402E-5</v>
      </c>
      <c r="D14073" s="2">
        <v>5.1581843191196596E-4</v>
      </c>
      <c r="E14073" s="2">
        <v>3.0010203469179499E-5</v>
      </c>
      <c r="F14073" s="2">
        <v>1.19560935457021E-4</v>
      </c>
    </row>
    <row r="14074" spans="1:6" x14ac:dyDescent="0.25">
      <c r="A14074" s="1" t="str">
        <f t="shared" si="530"/>
        <v>25540</v>
      </c>
      <c r="B14074" s="1" t="str">
        <f>"06451"</f>
        <v>06451</v>
      </c>
      <c r="C14074" s="2">
        <v>1.16459421831906E-4</v>
      </c>
      <c r="D14074" s="2">
        <v>0</v>
      </c>
      <c r="E14074" s="2">
        <v>0</v>
      </c>
      <c r="F14074" s="2">
        <v>1.0116694538671E-4</v>
      </c>
    </row>
    <row r="14075" spans="1:6" x14ac:dyDescent="0.25">
      <c r="A14075" s="1" t="str">
        <f t="shared" si="530"/>
        <v>25540</v>
      </c>
      <c r="B14075" s="1" t="str">
        <f>"06138"</f>
        <v>06138</v>
      </c>
      <c r="C14075" s="2">
        <v>1.0251958194596601E-3</v>
      </c>
      <c r="D14075" s="2">
        <v>2.15879565948341E-3</v>
      </c>
      <c r="E14075" s="2">
        <v>6.0020406938358998E-5</v>
      </c>
      <c r="F14075" s="2">
        <v>1.06685142407803E-3</v>
      </c>
    </row>
    <row r="14076" spans="1:6" x14ac:dyDescent="0.25">
      <c r="A14076" s="1" t="str">
        <f t="shared" si="530"/>
        <v>25540</v>
      </c>
      <c r="B14076" s="1" t="str">
        <f>"06065"</f>
        <v>06065</v>
      </c>
      <c r="C14076" s="2">
        <v>2.96442164663035E-4</v>
      </c>
      <c r="D14076" s="2">
        <v>0</v>
      </c>
      <c r="E14076" s="2">
        <v>6.0020406938358998E-5</v>
      </c>
      <c r="F14076" s="2">
        <v>2.6058152599607202E-4</v>
      </c>
    </row>
    <row r="14077" spans="1:6" x14ac:dyDescent="0.25">
      <c r="A14077" s="1" t="str">
        <f t="shared" si="530"/>
        <v>25540</v>
      </c>
      <c r="B14077" s="1" t="str">
        <f>"06409"</f>
        <v>06409</v>
      </c>
      <c r="C14077" s="2">
        <v>4.9936388452165997E-4</v>
      </c>
      <c r="D14077" s="2">
        <v>2.48357022772428E-3</v>
      </c>
      <c r="E14077" s="2">
        <v>1.11037752835964E-3</v>
      </c>
      <c r="F14077" s="2">
        <v>6.8977462763666301E-4</v>
      </c>
    </row>
    <row r="14078" spans="1:6" x14ac:dyDescent="0.25">
      <c r="A14078" s="1" t="str">
        <f t="shared" si="530"/>
        <v>25540</v>
      </c>
      <c r="B14078" s="1" t="str">
        <f>"06062"</f>
        <v>06062</v>
      </c>
      <c r="C14078" s="2">
        <v>1.5402640805616799E-2</v>
      </c>
      <c r="D14078" s="2">
        <v>2.1740791685771001E-2</v>
      </c>
      <c r="E14078" s="2">
        <v>1.6925754756617201E-2</v>
      </c>
      <c r="F14078" s="2">
        <v>1.5988975868617802E-2</v>
      </c>
    </row>
    <row r="14079" spans="1:6" x14ac:dyDescent="0.25">
      <c r="A14079" s="1" t="str">
        <f t="shared" si="530"/>
        <v>25540</v>
      </c>
      <c r="B14079" s="1" t="str">
        <f>"06051"</f>
        <v>06051</v>
      </c>
      <c r="C14079" s="2">
        <v>2.39871118239839E-2</v>
      </c>
      <c r="D14079" s="2">
        <v>2.2027357481277699E-2</v>
      </c>
      <c r="E14079" s="2">
        <v>6.8933437368705303E-2</v>
      </c>
      <c r="F14079" s="2">
        <v>2.6125597229864999E-2</v>
      </c>
    </row>
    <row r="14080" spans="1:6" x14ac:dyDescent="0.25">
      <c r="A14080" s="1" t="str">
        <f t="shared" si="530"/>
        <v>25540</v>
      </c>
      <c r="B14080" s="1" t="str">
        <f>"06040"</f>
        <v>06040</v>
      </c>
      <c r="C14080" s="2">
        <v>2.7450897355135902E-2</v>
      </c>
      <c r="D14080" s="2">
        <v>2.1244077640226101E-2</v>
      </c>
      <c r="E14080" s="2">
        <v>3.91933257307484E-2</v>
      </c>
      <c r="F14080" s="2">
        <v>2.7552664292819998E-2</v>
      </c>
    </row>
    <row r="14081" spans="1:6" x14ac:dyDescent="0.25">
      <c r="A14081" s="1" t="str">
        <f t="shared" si="530"/>
        <v>25540</v>
      </c>
      <c r="B14081" s="1" t="str">
        <f>"06010"</f>
        <v>06010</v>
      </c>
      <c r="C14081" s="2">
        <v>4.8441825871989898E-2</v>
      </c>
      <c r="D14081" s="2">
        <v>3.1522237505731299E-2</v>
      </c>
      <c r="E14081" s="2">
        <v>5.1677570373927097E-2</v>
      </c>
      <c r="F14081" s="2">
        <v>4.7249561993111401E-2</v>
      </c>
    </row>
    <row r="14082" spans="1:6" x14ac:dyDescent="0.25">
      <c r="A14082" s="1" t="str">
        <f t="shared" si="530"/>
        <v>25540</v>
      </c>
      <c r="B14082" s="1" t="str">
        <f>"06032"</f>
        <v>06032</v>
      </c>
      <c r="C14082" s="2">
        <v>1.4853869893651299E-2</v>
      </c>
      <c r="D14082" s="2">
        <v>2.3479290845178E-2</v>
      </c>
      <c r="E14082" s="2">
        <v>1.8306224116199501E-2</v>
      </c>
      <c r="F14082" s="2">
        <v>1.5722263012598301E-2</v>
      </c>
    </row>
    <row r="14083" spans="1:6" x14ac:dyDescent="0.25">
      <c r="A14083" s="1" t="str">
        <f t="shared" ref="A14083:A14105" si="531">"25540"</f>
        <v>25540</v>
      </c>
      <c r="B14083" s="1" t="str">
        <f>"06119"</f>
        <v>06119</v>
      </c>
      <c r="C14083" s="2">
        <v>1.23535213976542E-2</v>
      </c>
      <c r="D14083" s="2">
        <v>7.33608436497019E-3</v>
      </c>
      <c r="E14083" s="2">
        <v>1.41047956305143E-2</v>
      </c>
      <c r="F14083" s="2">
        <v>1.2040399333524399E-2</v>
      </c>
    </row>
    <row r="14084" spans="1:6" x14ac:dyDescent="0.25">
      <c r="A14084" s="1" t="str">
        <f t="shared" si="531"/>
        <v>25540</v>
      </c>
      <c r="B14084" s="1" t="str">
        <f>"06108"</f>
        <v>06108</v>
      </c>
      <c r="C14084" s="2">
        <v>1.7364805609815001E-2</v>
      </c>
      <c r="D14084" s="2">
        <v>2.74147944368026E-2</v>
      </c>
      <c r="E14084" s="2">
        <v>2.5598703559210099E-2</v>
      </c>
      <c r="F14084" s="2">
        <v>1.8591725463566799E-2</v>
      </c>
    </row>
    <row r="14085" spans="1:6" x14ac:dyDescent="0.25">
      <c r="A14085" s="1" t="str">
        <f t="shared" si="531"/>
        <v>25540</v>
      </c>
      <c r="B14085" s="1" t="str">
        <f>"06110"</f>
        <v>06110</v>
      </c>
      <c r="C14085" s="2">
        <v>9.7014227459367094E-3</v>
      </c>
      <c r="D14085" s="2">
        <v>1.4060828366192799E-2</v>
      </c>
      <c r="E14085" s="2">
        <v>8.3728467679010793E-3</v>
      </c>
      <c r="F14085" s="2">
        <v>9.9833381106612992E-3</v>
      </c>
    </row>
    <row r="14086" spans="1:6" x14ac:dyDescent="0.25">
      <c r="A14086" s="1" t="str">
        <f t="shared" si="531"/>
        <v>25540</v>
      </c>
      <c r="B14086" s="1" t="str">
        <f>"06231"</f>
        <v>06231</v>
      </c>
      <c r="C14086" s="2">
        <v>2.7067992892446098E-3</v>
      </c>
      <c r="D14086" s="2">
        <v>3.8208772734219703E-4</v>
      </c>
      <c r="E14086" s="2">
        <v>8.10275493667847E-4</v>
      </c>
      <c r="F14086" s="2">
        <v>2.4234081917634698E-3</v>
      </c>
    </row>
    <row r="14087" spans="1:6" x14ac:dyDescent="0.25">
      <c r="A14087" s="1" t="str">
        <f t="shared" si="531"/>
        <v>25540</v>
      </c>
      <c r="B14087" s="1" t="str">
        <f>"06457"</f>
        <v>06457</v>
      </c>
      <c r="C14087" s="2">
        <v>4.0314369857478299E-2</v>
      </c>
      <c r="D14087" s="2">
        <v>3.6260125324774503E-2</v>
      </c>
      <c r="E14087" s="2">
        <v>3.08204789628473E-2</v>
      </c>
      <c r="F14087" s="2">
        <v>3.9504159341004597E-2</v>
      </c>
    </row>
    <row r="14088" spans="1:6" x14ac:dyDescent="0.25">
      <c r="A14088" s="1" t="str">
        <f t="shared" si="531"/>
        <v>25540</v>
      </c>
      <c r="B14088" s="1" t="str">
        <f>"06489"</f>
        <v>06489</v>
      </c>
      <c r="C14088" s="2">
        <v>2.53475696153839E-2</v>
      </c>
      <c r="D14088" s="2">
        <v>2.3937796117988599E-2</v>
      </c>
      <c r="E14088" s="2">
        <v>1.6265530280295301E-2</v>
      </c>
      <c r="F14088" s="2">
        <v>2.4770573294685499E-2</v>
      </c>
    </row>
    <row r="14089" spans="1:6" x14ac:dyDescent="0.25">
      <c r="A14089" s="1" t="str">
        <f t="shared" si="531"/>
        <v>25540</v>
      </c>
      <c r="B14089" s="1" t="str">
        <f>"06438"</f>
        <v>06438</v>
      </c>
      <c r="C14089" s="2">
        <v>1.9445194372539501E-3</v>
      </c>
      <c r="D14089" s="2">
        <v>8.2148861378572504E-4</v>
      </c>
      <c r="E14089" s="2">
        <v>6.9023467979112798E-4</v>
      </c>
      <c r="F14089" s="2">
        <v>1.7903483668436E-3</v>
      </c>
    </row>
    <row r="14090" spans="1:6" x14ac:dyDescent="0.25">
      <c r="A14090" s="1" t="str">
        <f t="shared" si="531"/>
        <v>25540</v>
      </c>
      <c r="B14090" s="1" t="str">
        <f>"06102"</f>
        <v>06102</v>
      </c>
      <c r="C14090" s="2">
        <v>1.7645366944228199E-6</v>
      </c>
      <c r="D14090" s="2">
        <v>1.91043863671098E-5</v>
      </c>
      <c r="E14090" s="2">
        <v>6.0020406938358998E-5</v>
      </c>
      <c r="F14090" s="2">
        <v>6.1313300234369998E-6</v>
      </c>
    </row>
    <row r="14091" spans="1:6" x14ac:dyDescent="0.25">
      <c r="A14091" s="1" t="str">
        <f t="shared" si="531"/>
        <v>25540</v>
      </c>
      <c r="B14091" s="1" t="str">
        <f>"06041"</f>
        <v>06041</v>
      </c>
      <c r="C14091" s="2">
        <v>0</v>
      </c>
      <c r="D14091" s="2">
        <v>1.91043863671098E-5</v>
      </c>
      <c r="E14091" s="2">
        <v>3.0010203469179499E-5</v>
      </c>
      <c r="F14091" s="2">
        <v>3.0656650117184999E-6</v>
      </c>
    </row>
    <row r="14092" spans="1:6" x14ac:dyDescent="0.25">
      <c r="A14092" s="1" t="str">
        <f t="shared" si="531"/>
        <v>25540</v>
      </c>
      <c r="B14092" s="1" t="str">
        <f>"06154"</f>
        <v>06154</v>
      </c>
      <c r="C14092" s="2">
        <v>0</v>
      </c>
      <c r="D14092" s="2">
        <v>1.91043863671098E-5</v>
      </c>
      <c r="E14092" s="2">
        <v>3.0010203469179499E-5</v>
      </c>
      <c r="F14092" s="2">
        <v>3.0656650117184999E-6</v>
      </c>
    </row>
    <row r="14093" spans="1:6" x14ac:dyDescent="0.25">
      <c r="A14093" s="1" t="str">
        <f t="shared" si="531"/>
        <v>25540</v>
      </c>
      <c r="B14093" s="1" t="str">
        <f>"06030"</f>
        <v>06030</v>
      </c>
      <c r="C14093" s="2">
        <v>0</v>
      </c>
      <c r="D14093" s="2">
        <v>3.8208772734219701E-5</v>
      </c>
      <c r="E14093" s="2">
        <v>0</v>
      </c>
      <c r="F14093" s="2">
        <v>3.0656650117184999E-6</v>
      </c>
    </row>
    <row r="14094" spans="1:6" x14ac:dyDescent="0.25">
      <c r="A14094" s="1" t="str">
        <f t="shared" si="531"/>
        <v>25540</v>
      </c>
      <c r="B14094" s="1" t="str">
        <f>"06143"</f>
        <v>06143</v>
      </c>
      <c r="C14094" s="2">
        <v>4.9054120104954598E-4</v>
      </c>
      <c r="D14094" s="2">
        <v>1.5283509093687901E-3</v>
      </c>
      <c r="E14094" s="2">
        <v>3.0010203469179499E-5</v>
      </c>
      <c r="F14094" s="2">
        <v>5.5028686960347103E-4</v>
      </c>
    </row>
    <row r="14095" spans="1:6" x14ac:dyDescent="0.25">
      <c r="A14095" s="1" t="str">
        <f t="shared" si="531"/>
        <v>25540</v>
      </c>
      <c r="B14095" s="1" t="str">
        <f>"06459"</f>
        <v>06459</v>
      </c>
      <c r="C14095" s="2">
        <v>7.0581467776913102E-6</v>
      </c>
      <c r="D14095" s="2">
        <v>3.8208772734219701E-5</v>
      </c>
      <c r="E14095" s="2">
        <v>5.4018366244523101E-4</v>
      </c>
      <c r="F14095" s="2">
        <v>3.6787980140621997E-5</v>
      </c>
    </row>
    <row r="14096" spans="1:6" x14ac:dyDescent="0.25">
      <c r="A14096" s="1" t="str">
        <f t="shared" si="531"/>
        <v>25540</v>
      </c>
      <c r="B14096" s="1" t="str">
        <f>"06072"</f>
        <v>06072</v>
      </c>
      <c r="C14096" s="2">
        <v>0</v>
      </c>
      <c r="D14096" s="2">
        <v>1.91043863671098E-5</v>
      </c>
      <c r="E14096" s="2">
        <v>3.8112958405857899E-3</v>
      </c>
      <c r="F14096" s="2">
        <v>1.9620256074998399E-4</v>
      </c>
    </row>
    <row r="14097" spans="1:6" x14ac:dyDescent="0.25">
      <c r="A14097" s="1" t="str">
        <f t="shared" si="531"/>
        <v>25540</v>
      </c>
      <c r="B14097" s="1" t="str">
        <f>"06142"</f>
        <v>06142</v>
      </c>
      <c r="C14097" s="2">
        <v>2.0821532994189299E-4</v>
      </c>
      <c r="D14097" s="2">
        <v>5.9223597738040598E-4</v>
      </c>
      <c r="E14097" s="2">
        <v>3.0010203469179499E-5</v>
      </c>
      <c r="F14097" s="2">
        <v>2.29924875878887E-4</v>
      </c>
    </row>
    <row r="14098" spans="1:6" x14ac:dyDescent="0.25">
      <c r="A14098" s="1" t="str">
        <f t="shared" si="531"/>
        <v>25540</v>
      </c>
      <c r="B14098" s="1" t="str">
        <f>"06128"</f>
        <v>06128</v>
      </c>
      <c r="C14098" s="2">
        <v>8.6285844357276303E-4</v>
      </c>
      <c r="D14098" s="2">
        <v>1.9104386367109799E-3</v>
      </c>
      <c r="E14098" s="2">
        <v>3.0010203469179499E-5</v>
      </c>
      <c r="F14098" s="2">
        <v>9.0437117845695804E-4</v>
      </c>
    </row>
    <row r="14099" spans="1:6" x14ac:dyDescent="0.25">
      <c r="A14099" s="1" t="str">
        <f t="shared" si="531"/>
        <v>25540</v>
      </c>
      <c r="B14099" s="1" t="str">
        <f>"06155"</f>
        <v>06155</v>
      </c>
      <c r="C14099" s="2">
        <v>0</v>
      </c>
      <c r="D14099" s="2">
        <v>3.8208772734219701E-5</v>
      </c>
      <c r="E14099" s="2">
        <v>3.0010203469179499E-5</v>
      </c>
      <c r="F14099" s="2">
        <v>4.5984975175777496E-6</v>
      </c>
    </row>
    <row r="14100" spans="1:6" x14ac:dyDescent="0.25">
      <c r="A14100" s="1" t="str">
        <f t="shared" si="531"/>
        <v>25540</v>
      </c>
      <c r="B14100" s="1" t="str">
        <f>"06251"</f>
        <v>06251</v>
      </c>
      <c r="C14100" s="2">
        <v>0</v>
      </c>
      <c r="D14100" s="2">
        <v>0</v>
      </c>
      <c r="E14100" s="2">
        <v>3.0010203469179499E-5</v>
      </c>
      <c r="F14100" s="2">
        <v>1.5328325058592499E-6</v>
      </c>
    </row>
    <row r="14101" spans="1:6" x14ac:dyDescent="0.25">
      <c r="A14101" s="1" t="str">
        <f t="shared" si="531"/>
        <v>25540</v>
      </c>
      <c r="B14101" s="1" t="str">
        <f>"06006"</f>
        <v>06006</v>
      </c>
      <c r="C14101" s="2">
        <v>0</v>
      </c>
      <c r="D14101" s="2">
        <v>5.7313159101329603E-5</v>
      </c>
      <c r="E14101" s="2">
        <v>0</v>
      </c>
      <c r="F14101" s="2">
        <v>4.5984975175777496E-6</v>
      </c>
    </row>
    <row r="14102" spans="1:6" x14ac:dyDescent="0.25">
      <c r="A14102" s="1" t="str">
        <f t="shared" si="531"/>
        <v>25540</v>
      </c>
      <c r="B14102" s="1" t="str">
        <f>"06420"</f>
        <v>06420</v>
      </c>
      <c r="C14102" s="2">
        <v>7.4110541165758805E-5</v>
      </c>
      <c r="D14102" s="2">
        <v>0</v>
      </c>
      <c r="E14102" s="2">
        <v>0</v>
      </c>
      <c r="F14102" s="2">
        <v>6.4378965246088501E-5</v>
      </c>
    </row>
    <row r="14103" spans="1:6" x14ac:dyDescent="0.25">
      <c r="A14103" s="1" t="str">
        <f t="shared" si="531"/>
        <v>25540</v>
      </c>
      <c r="B14103" s="1" t="str">
        <f>"06167"</f>
        <v>06167</v>
      </c>
      <c r="C14103" s="2">
        <v>0</v>
      </c>
      <c r="D14103" s="2">
        <v>1.91043863671098E-5</v>
      </c>
      <c r="E14103" s="2">
        <v>3.0010203469179499E-5</v>
      </c>
      <c r="F14103" s="2">
        <v>3.0656650117184999E-6</v>
      </c>
    </row>
    <row r="14104" spans="1:6" x14ac:dyDescent="0.25">
      <c r="A14104" s="1" t="str">
        <f t="shared" si="531"/>
        <v>25540</v>
      </c>
      <c r="B14104" s="1" t="str">
        <f>"06132"</f>
        <v>06132</v>
      </c>
      <c r="C14104" s="2">
        <v>1.0251958194596601E-3</v>
      </c>
      <c r="D14104" s="2">
        <v>6.6865352284884599E-4</v>
      </c>
      <c r="E14104" s="2">
        <v>3.0010203469179499E-5</v>
      </c>
      <c r="F14104" s="2">
        <v>9.4575765611515795E-4</v>
      </c>
    </row>
    <row r="14105" spans="1:6" x14ac:dyDescent="0.25">
      <c r="A14105" s="1" t="str">
        <f t="shared" si="531"/>
        <v>25540</v>
      </c>
      <c r="B14105" s="1" t="str">
        <f>"06050"</f>
        <v>06050</v>
      </c>
      <c r="C14105" s="2">
        <v>3.3896749899862502E-3</v>
      </c>
      <c r="D14105" s="2">
        <v>5.7504202965000702E-3</v>
      </c>
      <c r="E14105" s="2">
        <v>6.0020406938358998E-5</v>
      </c>
      <c r="F14105" s="2">
        <v>3.4090194930309699E-3</v>
      </c>
    </row>
    <row r="14106" spans="1:6" x14ac:dyDescent="0.25">
      <c r="A14106" s="1" t="str">
        <f t="shared" ref="A14106:A14120" si="532">"25580"</f>
        <v>25580</v>
      </c>
      <c r="B14106" s="1" t="str">
        <f>"68925"</f>
        <v>68925</v>
      </c>
      <c r="C14106" s="2">
        <v>1.29278585303771E-2</v>
      </c>
      <c r="D14106" s="2">
        <v>1.0845986984815599E-3</v>
      </c>
      <c r="E14106" s="2">
        <v>0</v>
      </c>
      <c r="F14106" s="2">
        <v>1.1206252514223299E-2</v>
      </c>
    </row>
    <row r="14107" spans="1:6" x14ac:dyDescent="0.25">
      <c r="A14107" s="1" t="str">
        <f t="shared" si="532"/>
        <v>25580</v>
      </c>
      <c r="B14107" s="1" t="str">
        <f>"68950"</f>
        <v>68950</v>
      </c>
      <c r="C14107" s="2">
        <v>5.6936164512023501E-3</v>
      </c>
      <c r="D14107" s="2">
        <v>5.4229934924077995E-4</v>
      </c>
      <c r="E14107" s="2">
        <v>1.5923566878980799E-3</v>
      </c>
      <c r="F14107" s="2">
        <v>4.9997126601919401E-3</v>
      </c>
    </row>
    <row r="14108" spans="1:6" x14ac:dyDescent="0.25">
      <c r="A14108" s="1" t="str">
        <f t="shared" si="532"/>
        <v>25580</v>
      </c>
      <c r="B14108" s="1" t="str">
        <f>"68928"</f>
        <v>68928</v>
      </c>
      <c r="C14108" s="2">
        <v>1.07173956728514E-3</v>
      </c>
      <c r="D14108" s="2">
        <v>0</v>
      </c>
      <c r="E14108" s="2">
        <v>0</v>
      </c>
      <c r="F14108" s="2">
        <v>9.1948738578242605E-4</v>
      </c>
    </row>
    <row r="14109" spans="1:6" x14ac:dyDescent="0.25">
      <c r="A14109" s="1" t="str">
        <f t="shared" si="532"/>
        <v>25580</v>
      </c>
      <c r="B14109" s="1" t="str">
        <f>"68883"</f>
        <v>68883</v>
      </c>
      <c r="C14109" s="2">
        <v>3.8180722084533401E-3</v>
      </c>
      <c r="D14109" s="2">
        <v>1.0845986984815599E-3</v>
      </c>
      <c r="E14109" s="2">
        <v>0</v>
      </c>
      <c r="F14109" s="2">
        <v>3.3906097350726899E-3</v>
      </c>
    </row>
    <row r="14110" spans="1:6" x14ac:dyDescent="0.25">
      <c r="A14110" s="1" t="str">
        <f t="shared" si="532"/>
        <v>25580</v>
      </c>
      <c r="B14110" s="1" t="str">
        <f>"68955"</f>
        <v>68955</v>
      </c>
      <c r="C14110" s="2">
        <v>5.45247504856319E-2</v>
      </c>
      <c r="D14110" s="2">
        <v>6.5075921908893698E-3</v>
      </c>
      <c r="E14110" s="2">
        <v>2.3885350318471301E-2</v>
      </c>
      <c r="F14110" s="2">
        <v>4.8330555715188697E-2</v>
      </c>
    </row>
    <row r="14111" spans="1:6" x14ac:dyDescent="0.25">
      <c r="A14111" s="1" t="str">
        <f t="shared" si="532"/>
        <v>25580</v>
      </c>
      <c r="B14111" s="1" t="str">
        <f>"68957"</f>
        <v>68957</v>
      </c>
      <c r="C14111" s="2">
        <v>2.0095116886596499E-4</v>
      </c>
      <c r="D14111" s="2">
        <v>0</v>
      </c>
      <c r="E14111" s="2">
        <v>0</v>
      </c>
      <c r="F14111" s="2">
        <v>1.7240388483420399E-4</v>
      </c>
    </row>
    <row r="14112" spans="1:6" x14ac:dyDescent="0.25">
      <c r="A14112" s="1" t="str">
        <f t="shared" si="532"/>
        <v>25580</v>
      </c>
      <c r="B14112" s="1" t="str">
        <f>"68973"</f>
        <v>68973</v>
      </c>
      <c r="C14112" s="2">
        <v>1.2793891084466401E-2</v>
      </c>
      <c r="D14112" s="2">
        <v>3.2537960954446801E-3</v>
      </c>
      <c r="E14112" s="2">
        <v>1.5923566878980799E-3</v>
      </c>
      <c r="F14112" s="2">
        <v>1.13786563990575E-2</v>
      </c>
    </row>
    <row r="14113" spans="1:6" x14ac:dyDescent="0.25">
      <c r="A14113" s="1" t="str">
        <f t="shared" si="532"/>
        <v>25580</v>
      </c>
      <c r="B14113" s="1" t="str">
        <f>"68980"</f>
        <v>68980</v>
      </c>
      <c r="C14113" s="2">
        <v>1.8085605197936899E-3</v>
      </c>
      <c r="D14113" s="2">
        <v>5.4229934924077995E-4</v>
      </c>
      <c r="E14113" s="2">
        <v>1.5923566878980799E-3</v>
      </c>
      <c r="F14113" s="2">
        <v>1.6665708867306399E-3</v>
      </c>
    </row>
    <row r="14114" spans="1:6" x14ac:dyDescent="0.25">
      <c r="A14114" s="1" t="str">
        <f t="shared" si="532"/>
        <v>25580</v>
      </c>
      <c r="B14114" s="1" t="str">
        <f>"68956"</f>
        <v>68956</v>
      </c>
      <c r="C14114" s="2">
        <v>3.1482349789001197E-2</v>
      </c>
      <c r="D14114" s="2">
        <v>1.6268980477223401E-3</v>
      </c>
      <c r="E14114" s="2">
        <v>3.1847133757961698E-3</v>
      </c>
      <c r="F14114" s="2">
        <v>2.7297281765415699E-2</v>
      </c>
    </row>
    <row r="14115" spans="1:6" x14ac:dyDescent="0.25">
      <c r="A14115" s="1" t="str">
        <f t="shared" si="532"/>
        <v>25580</v>
      </c>
      <c r="B14115" s="1" t="str">
        <f>"68930"</f>
        <v>68930</v>
      </c>
      <c r="C14115" s="2">
        <v>3.01426753298948E-3</v>
      </c>
      <c r="D14115" s="2">
        <v>5.4229934924077995E-4</v>
      </c>
      <c r="E14115" s="2">
        <v>0</v>
      </c>
      <c r="F14115" s="2">
        <v>2.64352623412447E-3</v>
      </c>
    </row>
    <row r="14116" spans="1:6" x14ac:dyDescent="0.25">
      <c r="A14116" s="1" t="str">
        <f t="shared" si="532"/>
        <v>25580</v>
      </c>
      <c r="B14116" s="1" t="str">
        <f>"68941"</f>
        <v>68941</v>
      </c>
      <c r="C14116" s="2">
        <v>8.9758188760131197E-3</v>
      </c>
      <c r="D14116" s="2">
        <v>1.0845986984815599E-3</v>
      </c>
      <c r="E14116" s="2">
        <v>0</v>
      </c>
      <c r="F14116" s="2">
        <v>7.8156427791506201E-3</v>
      </c>
    </row>
    <row r="14117" spans="1:6" x14ac:dyDescent="0.25">
      <c r="A14117" s="1" t="str">
        <f t="shared" si="532"/>
        <v>25580</v>
      </c>
      <c r="B14117" s="1" t="str">
        <f>"68901"</f>
        <v>68901</v>
      </c>
      <c r="C14117" s="2">
        <v>0.80507736620001302</v>
      </c>
      <c r="D14117" s="2">
        <v>0.79284164859002104</v>
      </c>
      <c r="E14117" s="2">
        <v>0.96337579617834301</v>
      </c>
      <c r="F14117" s="2">
        <v>0.80949370725820302</v>
      </c>
    </row>
    <row r="14118" spans="1:6" x14ac:dyDescent="0.25">
      <c r="A14118" s="1" t="str">
        <f t="shared" si="532"/>
        <v>25580</v>
      </c>
      <c r="B14118" s="1" t="str">
        <f>"68902"</f>
        <v>68902</v>
      </c>
      <c r="C14118" s="2">
        <v>5.8007904079308698E-2</v>
      </c>
      <c r="D14118" s="2">
        <v>0.19088937093275399</v>
      </c>
      <c r="E14118" s="2">
        <v>4.7770700636942604E-3</v>
      </c>
      <c r="F14118" s="2">
        <v>7.0168381127521398E-2</v>
      </c>
    </row>
    <row r="14119" spans="1:6" x14ac:dyDescent="0.25">
      <c r="A14119" s="1" t="str">
        <f t="shared" si="532"/>
        <v>25580</v>
      </c>
      <c r="B14119" s="1" t="str">
        <f>"68945"</f>
        <v>68945</v>
      </c>
      <c r="C14119" s="2">
        <v>2.0095116886596499E-4</v>
      </c>
      <c r="D14119" s="2">
        <v>0</v>
      </c>
      <c r="E14119" s="2">
        <v>0</v>
      </c>
      <c r="F14119" s="2">
        <v>1.7240388483420399E-4</v>
      </c>
    </row>
    <row r="14120" spans="1:6" x14ac:dyDescent="0.25">
      <c r="A14120" s="1" t="str">
        <f t="shared" si="532"/>
        <v>25580</v>
      </c>
      <c r="B14120" s="1" t="str">
        <f>"68932"</f>
        <v>68932</v>
      </c>
      <c r="C14120" s="2">
        <v>4.0190233773193101E-4</v>
      </c>
      <c r="D14120" s="2">
        <v>0</v>
      </c>
      <c r="E14120" s="2">
        <v>0</v>
      </c>
      <c r="F14120" s="2">
        <v>3.4480776966840901E-4</v>
      </c>
    </row>
    <row r="14121" spans="1:6" x14ac:dyDescent="0.25">
      <c r="A14121" s="1" t="str">
        <f t="shared" ref="A14121:A14144" si="533">"25620"</f>
        <v>25620</v>
      </c>
      <c r="B14121" s="1" t="str">
        <f>"39429"</f>
        <v>39429</v>
      </c>
      <c r="C14121" s="2">
        <v>8.7383208980305101E-4</v>
      </c>
      <c r="D14121" s="2">
        <v>0</v>
      </c>
      <c r="E14121" s="2">
        <v>0</v>
      </c>
      <c r="F14121" s="2">
        <v>7.7914294276295996E-4</v>
      </c>
    </row>
    <row r="14122" spans="1:6" x14ac:dyDescent="0.25">
      <c r="A14122" s="1" t="str">
        <f t="shared" si="533"/>
        <v>25620</v>
      </c>
      <c r="B14122" s="1" t="str">
        <f>"39402"</f>
        <v>39402</v>
      </c>
      <c r="C14122" s="2">
        <v>0.23348121261006899</v>
      </c>
      <c r="D14122" s="2">
        <v>0.27356979405034298</v>
      </c>
      <c r="E14122" s="2">
        <v>0.31451612903225801</v>
      </c>
      <c r="F14122" s="2">
        <v>0.23868744381180701</v>
      </c>
    </row>
    <row r="14123" spans="1:6" x14ac:dyDescent="0.25">
      <c r="A14123" s="1" t="str">
        <f t="shared" si="533"/>
        <v>25620</v>
      </c>
      <c r="B14123" s="1" t="str">
        <f>"39401"</f>
        <v>39401</v>
      </c>
      <c r="C14123" s="2">
        <v>0.26175752279805498</v>
      </c>
      <c r="D14123" s="2">
        <v>0.32402745995423299</v>
      </c>
      <c r="E14123" s="2">
        <v>0.51470588235294101</v>
      </c>
      <c r="F14123" s="2">
        <v>0.27252022774947499</v>
      </c>
    </row>
    <row r="14124" spans="1:6" x14ac:dyDescent="0.25">
      <c r="A14124" s="1" t="str">
        <f t="shared" si="533"/>
        <v>25620</v>
      </c>
      <c r="B14124" s="1" t="str">
        <f>"39462"</f>
        <v>39462</v>
      </c>
      <c r="C14124" s="2">
        <v>5.84795321637426E-3</v>
      </c>
      <c r="D14124" s="2">
        <v>1.94508009153318E-3</v>
      </c>
      <c r="E14124" s="2">
        <v>1.89753320683111E-3</v>
      </c>
      <c r="F14124" s="2">
        <v>5.4240335630806099E-3</v>
      </c>
    </row>
    <row r="14125" spans="1:6" x14ac:dyDescent="0.25">
      <c r="A14125" s="1" t="str">
        <f t="shared" si="533"/>
        <v>25620</v>
      </c>
      <c r="B14125" s="1" t="str">
        <f>"39425"</f>
        <v>39425</v>
      </c>
      <c r="C14125" s="2">
        <v>1.0497188053146899E-2</v>
      </c>
      <c r="D14125" s="2">
        <v>4.6910755148741401E-3</v>
      </c>
      <c r="E14125" s="2">
        <v>2.3719165085388902E-3</v>
      </c>
      <c r="F14125" s="2">
        <v>9.81919888123064E-3</v>
      </c>
    </row>
    <row r="14126" spans="1:6" x14ac:dyDescent="0.25">
      <c r="A14126" s="1" t="str">
        <f t="shared" si="533"/>
        <v>25620</v>
      </c>
      <c r="B14126" s="1" t="str">
        <f>"39406"</f>
        <v>39406</v>
      </c>
      <c r="C14126" s="2">
        <v>0</v>
      </c>
      <c r="D14126" s="2">
        <v>3.4324942791762002E-4</v>
      </c>
      <c r="E14126" s="2">
        <v>0</v>
      </c>
      <c r="F14126" s="2">
        <v>2.9967036260113801E-5</v>
      </c>
    </row>
    <row r="14127" spans="1:6" x14ac:dyDescent="0.25">
      <c r="A14127" s="1" t="str">
        <f t="shared" si="533"/>
        <v>25620</v>
      </c>
      <c r="B14127" s="1" t="str">
        <f>"39474"</f>
        <v>39474</v>
      </c>
      <c r="C14127" s="2">
        <v>1.00826779592659E-4</v>
      </c>
      <c r="D14127" s="2">
        <v>0</v>
      </c>
      <c r="E14127" s="2">
        <v>0</v>
      </c>
      <c r="F14127" s="2">
        <v>8.9901108780341606E-5</v>
      </c>
    </row>
    <row r="14128" spans="1:6" x14ac:dyDescent="0.25">
      <c r="A14128" s="1" t="str">
        <f t="shared" si="533"/>
        <v>25620</v>
      </c>
      <c r="B14128" s="1" t="str">
        <f>"39428"</f>
        <v>39428</v>
      </c>
      <c r="C14128" s="2">
        <v>4.7982344110595702E-2</v>
      </c>
      <c r="D14128" s="2">
        <v>3.4668192219679601E-2</v>
      </c>
      <c r="E14128" s="2">
        <v>6.6413662239089098E-3</v>
      </c>
      <c r="F14128" s="2">
        <v>4.5949455598841199E-2</v>
      </c>
    </row>
    <row r="14129" spans="1:6" x14ac:dyDescent="0.25">
      <c r="A14129" s="1" t="str">
        <f t="shared" si="533"/>
        <v>25620</v>
      </c>
      <c r="B14129" s="1" t="str">
        <f>"39456"</f>
        <v>39456</v>
      </c>
      <c r="C14129" s="2">
        <v>8.8503506531334702E-4</v>
      </c>
      <c r="D14129" s="2">
        <v>0</v>
      </c>
      <c r="E14129" s="2">
        <v>0</v>
      </c>
      <c r="F14129" s="2">
        <v>7.8913195484966504E-4</v>
      </c>
    </row>
    <row r="14130" spans="1:6" x14ac:dyDescent="0.25">
      <c r="A14130" s="1" t="str">
        <f t="shared" si="533"/>
        <v>25620</v>
      </c>
      <c r="B14130" s="1" t="str">
        <f>"39437"</f>
        <v>39437</v>
      </c>
      <c r="C14130" s="2">
        <v>1.56841657144137E-4</v>
      </c>
      <c r="D14130" s="2">
        <v>0</v>
      </c>
      <c r="E14130" s="2">
        <v>0</v>
      </c>
      <c r="F14130" s="2">
        <v>1.3984616921386401E-4</v>
      </c>
    </row>
    <row r="14131" spans="1:6" x14ac:dyDescent="0.25">
      <c r="A14131" s="1" t="str">
        <f t="shared" si="533"/>
        <v>25620</v>
      </c>
      <c r="B14131" s="1" t="str">
        <f>"39403"</f>
        <v>39403</v>
      </c>
      <c r="C14131" s="2">
        <v>1.10909457551925E-2</v>
      </c>
      <c r="D14131" s="2">
        <v>4.6796338672768799E-2</v>
      </c>
      <c r="E14131" s="2">
        <v>9.4876660341555903E-4</v>
      </c>
      <c r="F14131" s="2">
        <v>1.3994605933473099E-2</v>
      </c>
    </row>
    <row r="14132" spans="1:6" x14ac:dyDescent="0.25">
      <c r="A14132" s="1" t="str">
        <f t="shared" si="533"/>
        <v>25620</v>
      </c>
      <c r="B14132" s="1" t="str">
        <f>"39423"</f>
        <v>39423</v>
      </c>
      <c r="C14132" s="2">
        <v>1.14830498980529E-2</v>
      </c>
      <c r="D14132" s="2">
        <v>3.0892448512585798E-3</v>
      </c>
      <c r="E14132" s="2">
        <v>9.4876660341555903E-4</v>
      </c>
      <c r="F14132" s="2">
        <v>1.05284187393866E-2</v>
      </c>
    </row>
    <row r="14133" spans="1:6" x14ac:dyDescent="0.25">
      <c r="A14133" s="1" t="str">
        <f t="shared" si="533"/>
        <v>25620</v>
      </c>
      <c r="B14133" s="1" t="str">
        <f>"39465"</f>
        <v>39465</v>
      </c>
      <c r="C14133" s="2">
        <v>0.12529407810714499</v>
      </c>
      <c r="D14133" s="2">
        <v>0.10766590389015999</v>
      </c>
      <c r="E14133" s="2">
        <v>7.5901328273244695E-2</v>
      </c>
      <c r="F14133" s="2">
        <v>0.122715013485166</v>
      </c>
    </row>
    <row r="14134" spans="1:6" x14ac:dyDescent="0.25">
      <c r="A14134" s="1" t="str">
        <f t="shared" si="533"/>
        <v>25620</v>
      </c>
      <c r="B14134" s="1" t="str">
        <f>"39464"</f>
        <v>39464</v>
      </c>
      <c r="C14134" s="2">
        <v>1.38916896327664E-3</v>
      </c>
      <c r="D14134" s="2">
        <v>2.2883295194507999E-4</v>
      </c>
      <c r="E14134" s="2">
        <v>0</v>
      </c>
      <c r="F14134" s="2">
        <v>1.2586155229247799E-3</v>
      </c>
    </row>
    <row r="14135" spans="1:6" x14ac:dyDescent="0.25">
      <c r="A14135" s="1" t="str">
        <f t="shared" si="533"/>
        <v>25620</v>
      </c>
      <c r="B14135" s="1" t="str">
        <f>"39168"</f>
        <v>39168</v>
      </c>
      <c r="C14135" s="2">
        <v>4.4923931796285003E-3</v>
      </c>
      <c r="D14135" s="2">
        <v>2.2883295194507999E-4</v>
      </c>
      <c r="E14135" s="2">
        <v>0</v>
      </c>
      <c r="F14135" s="2">
        <v>4.0255718709419604E-3</v>
      </c>
    </row>
    <row r="14136" spans="1:6" x14ac:dyDescent="0.25">
      <c r="A14136" s="1" t="str">
        <f t="shared" si="533"/>
        <v>25620</v>
      </c>
      <c r="B14136" s="1" t="str">
        <f>"39404"</f>
        <v>39404</v>
      </c>
      <c r="C14136" s="2">
        <v>2.2506777800183699E-2</v>
      </c>
      <c r="D14136" s="2">
        <v>8.1350114416475897E-2</v>
      </c>
      <c r="E14136" s="2">
        <v>9.4876660341555903E-4</v>
      </c>
      <c r="F14136" s="2">
        <v>2.71900909000099E-2</v>
      </c>
    </row>
    <row r="14137" spans="1:6" x14ac:dyDescent="0.25">
      <c r="A14137" s="1" t="str">
        <f t="shared" si="533"/>
        <v>25620</v>
      </c>
      <c r="B14137" s="1" t="str">
        <f>"39455"</f>
        <v>39455</v>
      </c>
      <c r="C14137" s="2">
        <v>4.0353117788084501E-2</v>
      </c>
      <c r="D14137" s="2">
        <v>2.4027459954233402E-2</v>
      </c>
      <c r="E14137" s="2">
        <v>1.13851992409867E-2</v>
      </c>
      <c r="F14137" s="2">
        <v>3.83178503645989E-2</v>
      </c>
    </row>
    <row r="14138" spans="1:6" x14ac:dyDescent="0.25">
      <c r="A14138" s="1" t="str">
        <f t="shared" si="533"/>
        <v>25620</v>
      </c>
      <c r="B14138" s="1" t="str">
        <f>"39475"</f>
        <v>39475</v>
      </c>
      <c r="C14138" s="2">
        <v>8.2689162241491296E-2</v>
      </c>
      <c r="D14138" s="2">
        <v>4.4164759725400397E-2</v>
      </c>
      <c r="E14138" s="2">
        <v>5.45540796963946E-2</v>
      </c>
      <c r="F14138" s="2">
        <v>7.8733393267405805E-2</v>
      </c>
    </row>
    <row r="14139" spans="1:6" x14ac:dyDescent="0.25">
      <c r="A14139" s="1" t="str">
        <f t="shared" si="533"/>
        <v>25620</v>
      </c>
      <c r="B14139" s="1" t="str">
        <f>"39476"</f>
        <v>39476</v>
      </c>
      <c r="C14139" s="2">
        <v>2.66966906410342E-2</v>
      </c>
      <c r="D14139" s="2">
        <v>1.2128146453089199E-2</v>
      </c>
      <c r="E14139" s="2">
        <v>2.8462998102466702E-3</v>
      </c>
      <c r="F14139" s="2">
        <v>2.4922585156328E-2</v>
      </c>
    </row>
    <row r="14140" spans="1:6" x14ac:dyDescent="0.25">
      <c r="A14140" s="1" t="str">
        <f t="shared" si="533"/>
        <v>25620</v>
      </c>
      <c r="B14140" s="1" t="str">
        <f>"39479"</f>
        <v>39479</v>
      </c>
      <c r="C14140" s="2">
        <v>2.6506240057359201E-2</v>
      </c>
      <c r="D14140" s="2">
        <v>7.8947368421052599E-3</v>
      </c>
      <c r="E14140" s="2">
        <v>0</v>
      </c>
      <c r="F14140" s="2">
        <v>2.4323244431125698E-2</v>
      </c>
    </row>
    <row r="14141" spans="1:6" x14ac:dyDescent="0.25">
      <c r="A14141" s="1" t="str">
        <f t="shared" si="533"/>
        <v>25620</v>
      </c>
      <c r="B14141" s="1" t="str">
        <f>"39482"</f>
        <v>39482</v>
      </c>
      <c r="C14141" s="2">
        <v>5.8737200600479399E-2</v>
      </c>
      <c r="D14141" s="2">
        <v>2.3340961098398099E-2</v>
      </c>
      <c r="E14141" s="2">
        <v>8.0645161290322492E-3</v>
      </c>
      <c r="F14141" s="2">
        <v>5.4579962041753999E-2</v>
      </c>
    </row>
    <row r="14142" spans="1:6" x14ac:dyDescent="0.25">
      <c r="A14142" s="1" t="str">
        <f t="shared" si="533"/>
        <v>25620</v>
      </c>
      <c r="B14142" s="1" t="str">
        <f>"39407"</f>
        <v>39407</v>
      </c>
      <c r="C14142" s="2">
        <v>0</v>
      </c>
      <c r="D14142" s="2">
        <v>2.2883295194507999E-4</v>
      </c>
      <c r="E14142" s="2">
        <v>0</v>
      </c>
      <c r="F14142" s="2">
        <v>1.9978024173409199E-5</v>
      </c>
    </row>
    <row r="14143" spans="1:6" x14ac:dyDescent="0.25">
      <c r="A14143" s="1" t="str">
        <f t="shared" si="533"/>
        <v>25620</v>
      </c>
      <c r="B14143" s="1" t="str">
        <f>"39119"</f>
        <v>39119</v>
      </c>
      <c r="C14143" s="2">
        <v>1.83952857879052E-2</v>
      </c>
      <c r="D14143" s="2">
        <v>4.3478260869565201E-3</v>
      </c>
      <c r="E14143" s="2">
        <v>2.3719165085388902E-3</v>
      </c>
      <c r="F14143" s="2">
        <v>1.6831485366097201E-2</v>
      </c>
    </row>
    <row r="14144" spans="1:6" x14ac:dyDescent="0.25">
      <c r="A14144" s="1" t="str">
        <f t="shared" si="533"/>
        <v>25620</v>
      </c>
      <c r="B14144" s="1" t="str">
        <f>"39577"</f>
        <v>39577</v>
      </c>
      <c r="C14144" s="2">
        <v>8.7831328000716902E-3</v>
      </c>
      <c r="D14144" s="2">
        <v>5.2631578947368403E-3</v>
      </c>
      <c r="E14144" s="2">
        <v>1.89753320683111E-3</v>
      </c>
      <c r="F14144" s="2">
        <v>8.3308360803116491E-3</v>
      </c>
    </row>
    <row r="14145" spans="1:6" x14ac:dyDescent="0.25">
      <c r="A14145" s="1" t="str">
        <f t="shared" ref="A14145:A14157" si="534">"25700"</f>
        <v>25700</v>
      </c>
      <c r="B14145" s="1" t="str">
        <f>"67520"</f>
        <v>67520</v>
      </c>
      <c r="C14145" s="2">
        <v>7.1250445315283194E-5</v>
      </c>
      <c r="D14145" s="2">
        <v>0</v>
      </c>
      <c r="E14145" s="2">
        <v>0</v>
      </c>
      <c r="F14145" s="2">
        <v>5.8733701397862E-5</v>
      </c>
    </row>
    <row r="14146" spans="1:6" x14ac:dyDescent="0.25">
      <c r="A14146" s="1" t="str">
        <f t="shared" si="534"/>
        <v>25700</v>
      </c>
      <c r="B14146" s="1" t="str">
        <f>"67671"</f>
        <v>67671</v>
      </c>
      <c r="C14146" s="2">
        <v>5.4577841111506903E-2</v>
      </c>
      <c r="D14146" s="2">
        <v>7.7574047954866001E-3</v>
      </c>
      <c r="E14146" s="2">
        <v>1.27145581691036E-2</v>
      </c>
      <c r="F14146" s="2">
        <v>4.6810760014096002E-2</v>
      </c>
    </row>
    <row r="14147" spans="1:6" x14ac:dyDescent="0.25">
      <c r="A14147" s="1" t="str">
        <f t="shared" si="534"/>
        <v>25700</v>
      </c>
      <c r="B14147" s="1" t="str">
        <f>"67659"</f>
        <v>67659</v>
      </c>
      <c r="C14147" s="2">
        <v>2.13751335945849E-4</v>
      </c>
      <c r="D14147" s="2">
        <v>0</v>
      </c>
      <c r="E14147" s="2">
        <v>0</v>
      </c>
      <c r="F14147" s="2">
        <v>1.7620110419358601E-4</v>
      </c>
    </row>
    <row r="14148" spans="1:6" x14ac:dyDescent="0.25">
      <c r="A14148" s="1" t="str">
        <f t="shared" si="534"/>
        <v>25700</v>
      </c>
      <c r="B14148" s="1" t="str">
        <f>"67556"</f>
        <v>67556</v>
      </c>
      <c r="C14148" s="2">
        <v>7.8375489846811502E-4</v>
      </c>
      <c r="D14148" s="2">
        <v>0</v>
      </c>
      <c r="E14148" s="2">
        <v>0</v>
      </c>
      <c r="F14148" s="2">
        <v>6.4607071537648299E-4</v>
      </c>
    </row>
    <row r="14149" spans="1:6" x14ac:dyDescent="0.25">
      <c r="A14149" s="1" t="str">
        <f t="shared" si="534"/>
        <v>25700</v>
      </c>
      <c r="B14149" s="1" t="str">
        <f>"67667"</f>
        <v>67667</v>
      </c>
      <c r="C14149" s="2">
        <v>6.0562878517990701E-3</v>
      </c>
      <c r="D14149" s="2">
        <v>7.0521861777150905E-4</v>
      </c>
      <c r="E14149" s="2">
        <v>0</v>
      </c>
      <c r="F14149" s="2">
        <v>5.0510983202161396E-3</v>
      </c>
    </row>
    <row r="14150" spans="1:6" x14ac:dyDescent="0.25">
      <c r="A14150" s="1" t="str">
        <f t="shared" si="534"/>
        <v>25700</v>
      </c>
      <c r="B14150" s="1" t="str">
        <f>"67674"</f>
        <v>67674</v>
      </c>
      <c r="C14150" s="2">
        <v>2.2800142500890601E-3</v>
      </c>
      <c r="D14150" s="2">
        <v>7.0521861777150905E-4</v>
      </c>
      <c r="E14150" s="2">
        <v>0</v>
      </c>
      <c r="F14150" s="2">
        <v>1.9382121461294401E-3</v>
      </c>
    </row>
    <row r="14151" spans="1:6" x14ac:dyDescent="0.25">
      <c r="A14151" s="1" t="str">
        <f t="shared" si="534"/>
        <v>25700</v>
      </c>
      <c r="B14151" s="1" t="str">
        <f>"67637"</f>
        <v>67637</v>
      </c>
      <c r="C14151" s="2">
        <v>8.7638047737798305E-2</v>
      </c>
      <c r="D14151" s="2">
        <v>7.2637517630465401E-2</v>
      </c>
      <c r="E14151" s="2">
        <v>1.5893197711379502E-2</v>
      </c>
      <c r="F14151" s="2">
        <v>7.9760366498296695E-2</v>
      </c>
    </row>
    <row r="14152" spans="1:6" x14ac:dyDescent="0.25">
      <c r="A14152" s="1" t="str">
        <f t="shared" si="534"/>
        <v>25700</v>
      </c>
      <c r="B14152" s="1" t="str">
        <f>"67660"</f>
        <v>67660</v>
      </c>
      <c r="C14152" s="2">
        <v>2.1375133594584901E-3</v>
      </c>
      <c r="D14152" s="2">
        <v>7.0521861777150905E-4</v>
      </c>
      <c r="E14152" s="2">
        <v>0</v>
      </c>
      <c r="F14152" s="2">
        <v>1.8207447433337201E-3</v>
      </c>
    </row>
    <row r="14153" spans="1:6" x14ac:dyDescent="0.25">
      <c r="A14153" s="1" t="str">
        <f t="shared" si="534"/>
        <v>25700</v>
      </c>
      <c r="B14153" s="1" t="str">
        <f>"67640"</f>
        <v>67640</v>
      </c>
      <c r="C14153" s="2">
        <v>2.06626291414321E-3</v>
      </c>
      <c r="D14153" s="2">
        <v>0</v>
      </c>
      <c r="E14153" s="2">
        <v>0</v>
      </c>
      <c r="F14153" s="2">
        <v>1.7032773405379999E-3</v>
      </c>
    </row>
    <row r="14154" spans="1:6" x14ac:dyDescent="0.25">
      <c r="A14154" s="1" t="str">
        <f t="shared" si="534"/>
        <v>25700</v>
      </c>
      <c r="B14154" s="1" t="str">
        <f>"67651"</f>
        <v>67651</v>
      </c>
      <c r="C14154" s="2">
        <v>8.5500534378339795E-4</v>
      </c>
      <c r="D14154" s="2">
        <v>7.0521861777150905E-4</v>
      </c>
      <c r="E14154" s="2">
        <v>0</v>
      </c>
      <c r="F14154" s="2">
        <v>7.6353811817220696E-4</v>
      </c>
    </row>
    <row r="14155" spans="1:6" x14ac:dyDescent="0.25">
      <c r="A14155" s="1" t="str">
        <f t="shared" si="534"/>
        <v>25700</v>
      </c>
      <c r="B14155" s="1" t="str">
        <f>"67601"</f>
        <v>67601</v>
      </c>
      <c r="C14155" s="2">
        <v>0.83740648379052296</v>
      </c>
      <c r="D14155" s="2">
        <v>0.91678420310296105</v>
      </c>
      <c r="E14155" s="2">
        <v>0.97012078830260595</v>
      </c>
      <c r="F14155" s="2">
        <v>0.85627863267943105</v>
      </c>
    </row>
    <row r="14156" spans="1:6" x14ac:dyDescent="0.25">
      <c r="A14156" s="1" t="str">
        <f t="shared" si="534"/>
        <v>25700</v>
      </c>
      <c r="B14156" s="1" t="str">
        <f>"67627"</f>
        <v>67627</v>
      </c>
      <c r="C14156" s="2">
        <v>3.8475240470252901E-3</v>
      </c>
      <c r="D14156" s="2">
        <v>0</v>
      </c>
      <c r="E14156" s="2">
        <v>1.27145581691036E-3</v>
      </c>
      <c r="F14156" s="2">
        <v>3.2890872782802699E-3</v>
      </c>
    </row>
    <row r="14157" spans="1:6" x14ac:dyDescent="0.25">
      <c r="A14157" s="1" t="str">
        <f t="shared" si="534"/>
        <v>25700</v>
      </c>
      <c r="B14157" s="1" t="str">
        <f>"67663"</f>
        <v>67663</v>
      </c>
      <c r="C14157" s="2">
        <v>2.06626291414321E-3</v>
      </c>
      <c r="D14157" s="2">
        <v>0</v>
      </c>
      <c r="E14157" s="2">
        <v>0</v>
      </c>
      <c r="F14157" s="2">
        <v>1.7032773405379999E-3</v>
      </c>
    </row>
    <row r="14158" spans="1:6" x14ac:dyDescent="0.25">
      <c r="A14158" s="1" t="str">
        <f t="shared" ref="A14158:A14170" si="535">"25720"</f>
        <v>25720</v>
      </c>
      <c r="B14158" s="1" t="str">
        <f>"84032"</f>
        <v>84032</v>
      </c>
      <c r="C14158" s="2">
        <v>0.243007309073064</v>
      </c>
      <c r="D14158" s="2">
        <v>0.23612839014680201</v>
      </c>
      <c r="E14158" s="2">
        <v>0.28376327769347398</v>
      </c>
      <c r="F14158" s="2">
        <v>0.24359905574723001</v>
      </c>
    </row>
    <row r="14159" spans="1:6" x14ac:dyDescent="0.25">
      <c r="A14159" s="1" t="str">
        <f t="shared" si="535"/>
        <v>25720</v>
      </c>
      <c r="B14159" s="1" t="str">
        <f>"84061"</f>
        <v>84061</v>
      </c>
      <c r="C14159" s="2">
        <v>4.0806839019602702E-3</v>
      </c>
      <c r="D14159" s="2">
        <v>1.24409056979348E-3</v>
      </c>
      <c r="E14159" s="2">
        <v>2.2761760242792101E-3</v>
      </c>
      <c r="F14159" s="2">
        <v>3.7679317232613002E-3</v>
      </c>
    </row>
    <row r="14160" spans="1:6" x14ac:dyDescent="0.25">
      <c r="A14160" s="1" t="str">
        <f t="shared" si="535"/>
        <v>25720</v>
      </c>
      <c r="B14160" s="1" t="str">
        <f>"84024"</f>
        <v>84024</v>
      </c>
      <c r="C14160" s="2">
        <v>0</v>
      </c>
      <c r="D14160" s="2">
        <v>2.4881811395869598E-4</v>
      </c>
      <c r="E14160" s="2">
        <v>0</v>
      </c>
      <c r="F14160" s="2">
        <v>2.2698383875067999E-5</v>
      </c>
    </row>
    <row r="14161" spans="1:6" x14ac:dyDescent="0.25">
      <c r="A14161" s="1" t="str">
        <f t="shared" si="535"/>
        <v>25720</v>
      </c>
      <c r="B14161" s="1" t="str">
        <f>"84068"</f>
        <v>84068</v>
      </c>
      <c r="C14161" s="2">
        <v>7.3297347555463702E-2</v>
      </c>
      <c r="D14161" s="2">
        <v>0.120427967156008</v>
      </c>
      <c r="E14161" s="2">
        <v>1.5174506828528E-3</v>
      </c>
      <c r="F14161" s="2">
        <v>7.5449428000726307E-2</v>
      </c>
    </row>
    <row r="14162" spans="1:6" x14ac:dyDescent="0.25">
      <c r="A14162" s="1" t="str">
        <f t="shared" si="535"/>
        <v>25720</v>
      </c>
      <c r="B14162" s="1" t="str">
        <f>"84082"</f>
        <v>84082</v>
      </c>
      <c r="C14162" s="2">
        <v>5.6303107001730397E-3</v>
      </c>
      <c r="D14162" s="2">
        <v>3.4834535954217402E-3</v>
      </c>
      <c r="E14162" s="2">
        <v>7.5872534142640302E-4</v>
      </c>
      <c r="F14162" s="2">
        <v>5.2887234428908598E-3</v>
      </c>
    </row>
    <row r="14163" spans="1:6" x14ac:dyDescent="0.25">
      <c r="A14163" s="1" t="str">
        <f t="shared" si="535"/>
        <v>25720</v>
      </c>
      <c r="B14163" s="1" t="str">
        <f>"84049"</f>
        <v>84049</v>
      </c>
      <c r="C14163" s="2">
        <v>8.9026059557323206E-2</v>
      </c>
      <c r="D14163" s="2">
        <v>6.7429708882806597E-2</v>
      </c>
      <c r="E14163" s="2">
        <v>4.4006069802731397E-2</v>
      </c>
      <c r="F14163" s="2">
        <v>8.5709097512257096E-2</v>
      </c>
    </row>
    <row r="14164" spans="1:6" x14ac:dyDescent="0.25">
      <c r="A14164" s="1" t="str">
        <f t="shared" si="535"/>
        <v>25720</v>
      </c>
      <c r="B14164" s="1" t="str">
        <f>"84033"</f>
        <v>84033</v>
      </c>
      <c r="C14164" s="2">
        <v>1.03308453214184E-4</v>
      </c>
      <c r="D14164" s="2">
        <v>0</v>
      </c>
      <c r="E14164" s="2">
        <v>7.5872534142640302E-4</v>
      </c>
      <c r="F14164" s="2">
        <v>1.1349191937534001E-4</v>
      </c>
    </row>
    <row r="14165" spans="1:6" x14ac:dyDescent="0.25">
      <c r="A14165" s="1" t="str">
        <f t="shared" si="535"/>
        <v>25720</v>
      </c>
      <c r="B14165" s="1" t="str">
        <f>"84098"</f>
        <v>84098</v>
      </c>
      <c r="C14165" s="2">
        <v>0.27206281153955397</v>
      </c>
      <c r="D14165" s="2">
        <v>0.234386663349091</v>
      </c>
      <c r="E14165" s="2">
        <v>0.427162367223065</v>
      </c>
      <c r="F14165" s="2">
        <v>0.27326584347194399</v>
      </c>
    </row>
    <row r="14166" spans="1:6" x14ac:dyDescent="0.25">
      <c r="A14166" s="1" t="str">
        <f t="shared" si="535"/>
        <v>25720</v>
      </c>
      <c r="B14166" s="1" t="str">
        <f>"84017"</f>
        <v>84017</v>
      </c>
      <c r="C14166" s="2">
        <v>5.76977711201219E-2</v>
      </c>
      <c r="D14166" s="2">
        <v>1.4929086837521701E-2</v>
      </c>
      <c r="E14166" s="2">
        <v>1.8209408194233601E-2</v>
      </c>
      <c r="F14166" s="2">
        <v>5.2614853822407798E-2</v>
      </c>
    </row>
    <row r="14167" spans="1:6" x14ac:dyDescent="0.25">
      <c r="A14167" s="1" t="str">
        <f t="shared" si="535"/>
        <v>25720</v>
      </c>
      <c r="B14167" s="1" t="str">
        <f>"84036"</f>
        <v>84036</v>
      </c>
      <c r="C14167" s="2">
        <v>9.5353702316692004E-2</v>
      </c>
      <c r="D14167" s="2">
        <v>3.7820353321721803E-2</v>
      </c>
      <c r="E14167" s="2">
        <v>4.5523520485584203E-2</v>
      </c>
      <c r="F14167" s="2">
        <v>8.8614490648265806E-2</v>
      </c>
    </row>
    <row r="14168" spans="1:6" x14ac:dyDescent="0.25">
      <c r="A14168" s="1" t="str">
        <f t="shared" si="535"/>
        <v>25720</v>
      </c>
      <c r="B14168" s="1" t="str">
        <f>"84055"</f>
        <v>84055</v>
      </c>
      <c r="C14168" s="2">
        <v>3.4608331826751701E-3</v>
      </c>
      <c r="D14168" s="2">
        <v>0</v>
      </c>
      <c r="E14168" s="2">
        <v>7.5872534142640302E-4</v>
      </c>
      <c r="F14168" s="2">
        <v>3.06428182313419E-3</v>
      </c>
    </row>
    <row r="14169" spans="1:6" x14ac:dyDescent="0.25">
      <c r="A14169" s="1" t="str">
        <f t="shared" si="535"/>
        <v>25720</v>
      </c>
      <c r="B14169" s="1" t="str">
        <f>"84060"</f>
        <v>84060</v>
      </c>
      <c r="C14169" s="2">
        <v>0.15535008652082899</v>
      </c>
      <c r="D14169" s="2">
        <v>0.28290619557103702</v>
      </c>
      <c r="E14169" s="2">
        <v>0.17526555386949899</v>
      </c>
      <c r="F14169" s="2">
        <v>0.16758216814962701</v>
      </c>
    </row>
    <row r="14170" spans="1:6" x14ac:dyDescent="0.25">
      <c r="A14170" s="1" t="str">
        <f t="shared" si="535"/>
        <v>25720</v>
      </c>
      <c r="B14170" s="1" t="str">
        <f>"84604"</f>
        <v>84604</v>
      </c>
      <c r="C14170" s="2">
        <v>9.2977607892765803E-4</v>
      </c>
      <c r="D14170" s="2">
        <v>9.9527245583478394E-4</v>
      </c>
      <c r="E14170" s="2">
        <v>0</v>
      </c>
      <c r="F14170" s="2">
        <v>9.0793535500272298E-4</v>
      </c>
    </row>
    <row r="14171" spans="1:6" x14ac:dyDescent="0.25">
      <c r="A14171" s="1" t="str">
        <f t="shared" ref="A14171:A14194" si="536">"25740"</f>
        <v>25740</v>
      </c>
      <c r="B14171" s="1" t="str">
        <f>"59759"</f>
        <v>59759</v>
      </c>
      <c r="C14171" s="2">
        <v>3.35542281127496E-2</v>
      </c>
      <c r="D14171" s="2">
        <v>6.5080789946140001E-3</v>
      </c>
      <c r="E14171" s="2">
        <v>7.0654733867169103E-3</v>
      </c>
      <c r="F14171" s="2">
        <v>2.9978759987862799E-2</v>
      </c>
    </row>
    <row r="14172" spans="1:6" x14ac:dyDescent="0.25">
      <c r="A14172" s="1" t="str">
        <f t="shared" si="536"/>
        <v>25740</v>
      </c>
      <c r="B14172" s="1" t="str">
        <f>"59640"</f>
        <v>59640</v>
      </c>
      <c r="C14172" s="2">
        <v>1.6100429344782501E-3</v>
      </c>
      <c r="D14172" s="2">
        <v>2.2441651705565501E-4</v>
      </c>
      <c r="E14172" s="2">
        <v>9.4206311822892105E-4</v>
      </c>
      <c r="F14172" s="2">
        <v>1.45645797511884E-3</v>
      </c>
    </row>
    <row r="14173" spans="1:6" x14ac:dyDescent="0.25">
      <c r="A14173" s="1" t="str">
        <f t="shared" si="536"/>
        <v>25740</v>
      </c>
      <c r="B14173" s="1" t="str">
        <f>"59638"</f>
        <v>59638</v>
      </c>
      <c r="C14173" s="2">
        <v>8.5402277394063808E-3</v>
      </c>
      <c r="D14173" s="2">
        <v>0</v>
      </c>
      <c r="E14173" s="2">
        <v>4.7103155911445998E-4</v>
      </c>
      <c r="F14173" s="2">
        <v>7.4238899565085403E-3</v>
      </c>
    </row>
    <row r="14174" spans="1:6" x14ac:dyDescent="0.25">
      <c r="A14174" s="1" t="str">
        <f t="shared" si="536"/>
        <v>25740</v>
      </c>
      <c r="B14174" s="1" t="str">
        <f>"59623"</f>
        <v>59623</v>
      </c>
      <c r="C14174" s="2">
        <v>0</v>
      </c>
      <c r="D14174" s="2">
        <v>2.2441651705565501E-4</v>
      </c>
      <c r="E14174" s="2">
        <v>0</v>
      </c>
      <c r="F14174" s="2">
        <v>2.02285829877617E-5</v>
      </c>
    </row>
    <row r="14175" spans="1:6" x14ac:dyDescent="0.25">
      <c r="A14175" s="1" t="str">
        <f t="shared" si="536"/>
        <v>25740</v>
      </c>
      <c r="B14175" s="1" t="str">
        <f>"59752"</f>
        <v>59752</v>
      </c>
      <c r="C14175" s="2">
        <v>8.4002240059734897E-4</v>
      </c>
      <c r="D14175" s="2">
        <v>0</v>
      </c>
      <c r="E14175" s="2">
        <v>0</v>
      </c>
      <c r="F14175" s="2">
        <v>7.2822898755942099E-4</v>
      </c>
    </row>
    <row r="14176" spans="1:6" x14ac:dyDescent="0.25">
      <c r="A14176" s="1" t="str">
        <f t="shared" si="536"/>
        <v>25740</v>
      </c>
      <c r="B14176" s="1" t="str">
        <f>"59639"</f>
        <v>59639</v>
      </c>
      <c r="C14176" s="2">
        <v>1.38137016987119E-2</v>
      </c>
      <c r="D14176" s="2">
        <v>6.7324955116696505E-4</v>
      </c>
      <c r="E14176" s="2">
        <v>2.8261893546867602E-3</v>
      </c>
      <c r="F14176" s="2">
        <v>1.2157378375644699E-2</v>
      </c>
    </row>
    <row r="14177" spans="1:6" x14ac:dyDescent="0.25">
      <c r="A14177" s="1" t="str">
        <f t="shared" si="536"/>
        <v>25740</v>
      </c>
      <c r="B14177" s="1" t="str">
        <f>"59602"</f>
        <v>59602</v>
      </c>
      <c r="C14177" s="2">
        <v>0.30198805301474702</v>
      </c>
      <c r="D14177" s="2">
        <v>0.113554757630161</v>
      </c>
      <c r="E14177" s="2">
        <v>0.20631182289213301</v>
      </c>
      <c r="F14177" s="2">
        <v>0.28089410336805898</v>
      </c>
    </row>
    <row r="14178" spans="1:6" x14ac:dyDescent="0.25">
      <c r="A14178" s="1" t="str">
        <f t="shared" si="536"/>
        <v>25740</v>
      </c>
      <c r="B14178" s="1" t="str">
        <f>"59721"</f>
        <v>59721</v>
      </c>
      <c r="C14178" s="2">
        <v>1.93671831248833E-3</v>
      </c>
      <c r="D14178" s="2">
        <v>8.97666068222621E-4</v>
      </c>
      <c r="E14178" s="2">
        <v>4.7103155911445998E-4</v>
      </c>
      <c r="F14178" s="2">
        <v>1.7801153029230301E-3</v>
      </c>
    </row>
    <row r="14179" spans="1:6" x14ac:dyDescent="0.25">
      <c r="A14179" s="1" t="str">
        <f t="shared" si="536"/>
        <v>25740</v>
      </c>
      <c r="B14179" s="1" t="str">
        <f>"59620"</f>
        <v>59620</v>
      </c>
      <c r="C14179" s="2">
        <v>0</v>
      </c>
      <c r="D14179" s="2">
        <v>0</v>
      </c>
      <c r="E14179" s="2">
        <v>4.7103155911445998E-4</v>
      </c>
      <c r="F14179" s="2">
        <v>2.02285829877617E-5</v>
      </c>
    </row>
    <row r="14180" spans="1:6" x14ac:dyDescent="0.25">
      <c r="A14180" s="1" t="str">
        <f t="shared" si="536"/>
        <v>25740</v>
      </c>
      <c r="B14180" s="1" t="str">
        <f>"59631"</f>
        <v>59631</v>
      </c>
      <c r="C14180" s="2">
        <v>0</v>
      </c>
      <c r="D14180" s="2">
        <v>0</v>
      </c>
      <c r="E14180" s="2">
        <v>4.7103155911445998E-4</v>
      </c>
      <c r="F14180" s="2">
        <v>2.02285829877617E-5</v>
      </c>
    </row>
    <row r="14181" spans="1:6" x14ac:dyDescent="0.25">
      <c r="A14181" s="1" t="str">
        <f t="shared" si="536"/>
        <v>25740</v>
      </c>
      <c r="B14181" s="1" t="str">
        <f>"59626"</f>
        <v>59626</v>
      </c>
      <c r="C14181" s="2">
        <v>0</v>
      </c>
      <c r="D14181" s="2">
        <v>6.05924596050269E-3</v>
      </c>
      <c r="E14181" s="2">
        <v>2.3551577955723E-3</v>
      </c>
      <c r="F14181" s="2">
        <v>6.4731465560837398E-4</v>
      </c>
    </row>
    <row r="14182" spans="1:6" x14ac:dyDescent="0.25">
      <c r="A14182" s="1" t="str">
        <f t="shared" si="536"/>
        <v>25740</v>
      </c>
      <c r="B14182" s="1" t="str">
        <f>"59701"</f>
        <v>59701</v>
      </c>
      <c r="C14182" s="2">
        <v>1.3300354676124601E-3</v>
      </c>
      <c r="D14182" s="2">
        <v>2.2441651705565501E-4</v>
      </c>
      <c r="E14182" s="2">
        <v>4.7103155911445998E-4</v>
      </c>
      <c r="F14182" s="2">
        <v>1.19348639627794E-3</v>
      </c>
    </row>
    <row r="14183" spans="1:6" x14ac:dyDescent="0.25">
      <c r="A14183" s="1" t="str">
        <f t="shared" si="536"/>
        <v>25740</v>
      </c>
      <c r="B14183" s="1" t="str">
        <f>"59421"</f>
        <v>59421</v>
      </c>
      <c r="C14183" s="2">
        <v>4.1301101362702999E-3</v>
      </c>
      <c r="D14183" s="2">
        <v>2.2441651705565501E-4</v>
      </c>
      <c r="E14183" s="2">
        <v>0</v>
      </c>
      <c r="F14183" s="2">
        <v>3.6006877718215802E-3</v>
      </c>
    </row>
    <row r="14184" spans="1:6" x14ac:dyDescent="0.25">
      <c r="A14184" s="1" t="str">
        <f t="shared" si="536"/>
        <v>25740</v>
      </c>
      <c r="B14184" s="1" t="str">
        <f>"59601"</f>
        <v>59601</v>
      </c>
      <c r="C14184" s="2">
        <v>0.360066268433824</v>
      </c>
      <c r="D14184" s="2">
        <v>0.538824057450628</v>
      </c>
      <c r="E14184" s="2">
        <v>0.65002355157795499</v>
      </c>
      <c r="F14184" s="2">
        <v>0.38863153636087699</v>
      </c>
    </row>
    <row r="14185" spans="1:6" x14ac:dyDescent="0.25">
      <c r="A14185" s="1" t="str">
        <f t="shared" si="536"/>
        <v>25740</v>
      </c>
      <c r="B14185" s="1" t="str">
        <f>"59604"</f>
        <v>59604</v>
      </c>
      <c r="C14185" s="2">
        <v>4.21877916744446E-2</v>
      </c>
      <c r="D14185" s="2">
        <v>0.13981149012567301</v>
      </c>
      <c r="E14185" s="2">
        <v>9.4206311822892105E-4</v>
      </c>
      <c r="F14185" s="2">
        <v>4.9216142409224201E-2</v>
      </c>
    </row>
    <row r="14186" spans="1:6" x14ac:dyDescent="0.25">
      <c r="A14186" s="1" t="str">
        <f t="shared" si="536"/>
        <v>25740</v>
      </c>
      <c r="B14186" s="1" t="str">
        <f>"59625"</f>
        <v>59625</v>
      </c>
      <c r="C14186" s="2">
        <v>1.98338622363263E-3</v>
      </c>
      <c r="D14186" s="2">
        <v>2.2441651705565501E-4</v>
      </c>
      <c r="E14186" s="2">
        <v>3.7682524729156799E-3</v>
      </c>
      <c r="F14186" s="2">
        <v>1.9014868008495999E-3</v>
      </c>
    </row>
    <row r="14187" spans="1:6" x14ac:dyDescent="0.25">
      <c r="A14187" s="1" t="str">
        <f t="shared" si="536"/>
        <v>25740</v>
      </c>
      <c r="B14187" s="1" t="str">
        <f>"59632"</f>
        <v>59632</v>
      </c>
      <c r="C14187" s="2">
        <v>1.45837222325928E-2</v>
      </c>
      <c r="D14187" s="2">
        <v>6.9569120287253103E-3</v>
      </c>
      <c r="E14187" s="2">
        <v>8.0075365049458308E-3</v>
      </c>
      <c r="F14187" s="2">
        <v>1.3613836350763599E-2</v>
      </c>
    </row>
    <row r="14188" spans="1:6" x14ac:dyDescent="0.25">
      <c r="A14188" s="1" t="str">
        <f t="shared" si="536"/>
        <v>25740</v>
      </c>
      <c r="B14188" s="1" t="str">
        <f>"59635"</f>
        <v>59635</v>
      </c>
      <c r="C14188" s="2">
        <v>0.108572895277207</v>
      </c>
      <c r="D14188" s="2">
        <v>4.7576301615798899E-2</v>
      </c>
      <c r="E14188" s="2">
        <v>8.10174281676872E-2</v>
      </c>
      <c r="F14188" s="2">
        <v>0.101891372509355</v>
      </c>
    </row>
    <row r="14189" spans="1:6" x14ac:dyDescent="0.25">
      <c r="A14189" s="1" t="str">
        <f t="shared" si="536"/>
        <v>25740</v>
      </c>
      <c r="B14189" s="1" t="str">
        <f>"59634"</f>
        <v>59634</v>
      </c>
      <c r="C14189" s="2">
        <v>5.2431398170617802E-2</v>
      </c>
      <c r="D14189" s="2">
        <v>1.84021543985637E-2</v>
      </c>
      <c r="E14189" s="2">
        <v>2.7319830428638701E-2</v>
      </c>
      <c r="F14189" s="2">
        <v>4.8285627591787103E-2</v>
      </c>
    </row>
    <row r="14190" spans="1:6" x14ac:dyDescent="0.25">
      <c r="A14190" s="1" t="str">
        <f t="shared" si="536"/>
        <v>25740</v>
      </c>
      <c r="B14190" s="1" t="str">
        <f>"59624"</f>
        <v>59624</v>
      </c>
      <c r="C14190" s="2">
        <v>2.7440731752846701E-2</v>
      </c>
      <c r="D14190" s="2">
        <v>0.115125673249551</v>
      </c>
      <c r="E14190" s="2">
        <v>9.4206311822892105E-4</v>
      </c>
      <c r="F14190" s="2">
        <v>3.4206533832305E-2</v>
      </c>
    </row>
    <row r="14191" spans="1:6" x14ac:dyDescent="0.25">
      <c r="A14191" s="1" t="str">
        <f t="shared" si="536"/>
        <v>25740</v>
      </c>
      <c r="B14191" s="1" t="str">
        <f>"59648"</f>
        <v>59648</v>
      </c>
      <c r="C14191" s="2">
        <v>1.1223632630203401E-2</v>
      </c>
      <c r="D14191" s="2">
        <v>4.0394973070017898E-3</v>
      </c>
      <c r="E14191" s="2">
        <v>3.29722091380122E-3</v>
      </c>
      <c r="F14191" s="2">
        <v>1.02356629918074E-2</v>
      </c>
    </row>
    <row r="14192" spans="1:6" x14ac:dyDescent="0.25">
      <c r="A14192" s="1" t="str">
        <f t="shared" si="536"/>
        <v>25740</v>
      </c>
      <c r="B14192" s="1" t="str">
        <f>"59636"</f>
        <v>59636</v>
      </c>
      <c r="C14192" s="2">
        <v>2.6134030240806401E-3</v>
      </c>
      <c r="D14192" s="2">
        <v>0</v>
      </c>
      <c r="E14192" s="2">
        <v>9.4206311822892105E-4</v>
      </c>
      <c r="F14192" s="2">
        <v>2.30605846060483E-3</v>
      </c>
    </row>
    <row r="14193" spans="1:6" x14ac:dyDescent="0.25">
      <c r="A14193" s="1" t="str">
        <f t="shared" si="536"/>
        <v>25740</v>
      </c>
      <c r="B14193" s="1" t="str">
        <f>"59410"</f>
        <v>59410</v>
      </c>
      <c r="C14193" s="2">
        <v>9.6602576068695097E-3</v>
      </c>
      <c r="D14193" s="2">
        <v>2.2441651705565501E-4</v>
      </c>
      <c r="E14193" s="2">
        <v>1.8841262364578399E-3</v>
      </c>
      <c r="F14193" s="2">
        <v>8.4757762718721506E-3</v>
      </c>
    </row>
    <row r="14194" spans="1:6" x14ac:dyDescent="0.25">
      <c r="A14194" s="1" t="str">
        <f t="shared" si="536"/>
        <v>25740</v>
      </c>
      <c r="B14194" s="1" t="str">
        <f>"59633"</f>
        <v>59633</v>
      </c>
      <c r="C14194" s="2">
        <v>1.4933731566175001E-3</v>
      </c>
      <c r="D14194" s="2">
        <v>2.2441651705565501E-4</v>
      </c>
      <c r="E14194" s="2">
        <v>0</v>
      </c>
      <c r="F14194" s="2">
        <v>1.3148578942045099E-3</v>
      </c>
    </row>
    <row r="14195" spans="1:6" x14ac:dyDescent="0.25">
      <c r="A14195" s="1" t="str">
        <f t="shared" ref="A14195:A14208" si="537">"25760"</f>
        <v>25760</v>
      </c>
      <c r="B14195" s="1" t="str">
        <f>"72383"</f>
        <v>72383</v>
      </c>
      <c r="C14195" s="2">
        <v>0</v>
      </c>
      <c r="D14195" s="2">
        <v>0</v>
      </c>
      <c r="E14195" s="2">
        <v>9.4339622641509396E-3</v>
      </c>
      <c r="F14195" s="2">
        <v>9.2267946115519401E-5</v>
      </c>
    </row>
    <row r="14196" spans="1:6" x14ac:dyDescent="0.25">
      <c r="A14196" s="1" t="str">
        <f t="shared" si="537"/>
        <v>25760</v>
      </c>
      <c r="B14196" s="1" t="str">
        <f>"72390"</f>
        <v>72390</v>
      </c>
      <c r="C14196" s="2">
        <v>0.45492099555922699</v>
      </c>
      <c r="D14196" s="2">
        <v>0.42040038131553797</v>
      </c>
      <c r="E14196" s="2">
        <v>0.22641509433962201</v>
      </c>
      <c r="F14196" s="2">
        <v>0.44934489758257901</v>
      </c>
    </row>
    <row r="14197" spans="1:6" x14ac:dyDescent="0.25">
      <c r="A14197" s="1" t="str">
        <f t="shared" si="537"/>
        <v>25760</v>
      </c>
      <c r="B14197" s="1" t="str">
        <f>"72367"</f>
        <v>72367</v>
      </c>
      <c r="C14197" s="2">
        <v>4.1309511515026301E-4</v>
      </c>
      <c r="D14197" s="2">
        <v>0</v>
      </c>
      <c r="E14197" s="2">
        <v>9.4339622641509396E-3</v>
      </c>
      <c r="F14197" s="2">
        <v>4.6133973057759702E-4</v>
      </c>
    </row>
    <row r="14198" spans="1:6" x14ac:dyDescent="0.25">
      <c r="A14198" s="1" t="str">
        <f t="shared" si="537"/>
        <v>25760</v>
      </c>
      <c r="B14198" s="1" t="str">
        <f>"72374"</f>
        <v>72374</v>
      </c>
      <c r="C14198" s="2">
        <v>3.45967158938345E-2</v>
      </c>
      <c r="D14198" s="2">
        <v>2.0972354623450901E-2</v>
      </c>
      <c r="E14198" s="2">
        <v>9.4339622641509396E-3</v>
      </c>
      <c r="F14198" s="2">
        <v>3.3031924709355898E-2</v>
      </c>
    </row>
    <row r="14199" spans="1:6" x14ac:dyDescent="0.25">
      <c r="A14199" s="1" t="str">
        <f t="shared" si="537"/>
        <v>25760</v>
      </c>
      <c r="B14199" s="1" t="str">
        <f>"72333"</f>
        <v>72333</v>
      </c>
      <c r="C14199" s="2">
        <v>9.5011876484560505E-3</v>
      </c>
      <c r="D14199" s="2">
        <v>3.8131553860819801E-3</v>
      </c>
      <c r="E14199" s="2">
        <v>9.4339622641509396E-3</v>
      </c>
      <c r="F14199" s="2">
        <v>8.9499907732053796E-3</v>
      </c>
    </row>
    <row r="14200" spans="1:6" x14ac:dyDescent="0.25">
      <c r="A14200" s="1" t="str">
        <f t="shared" si="537"/>
        <v>25760</v>
      </c>
      <c r="B14200" s="1" t="str">
        <f>"72355"</f>
        <v>72355</v>
      </c>
      <c r="C14200" s="2">
        <v>0.110916038417845</v>
      </c>
      <c r="D14200" s="2">
        <v>3.6224976167778797E-2</v>
      </c>
      <c r="E14200" s="2">
        <v>2.83018867924528E-2</v>
      </c>
      <c r="F14200" s="2">
        <v>0.10287875991880401</v>
      </c>
    </row>
    <row r="14201" spans="1:6" x14ac:dyDescent="0.25">
      <c r="A14201" s="1" t="str">
        <f t="shared" si="537"/>
        <v>25760</v>
      </c>
      <c r="B14201" s="1" t="str">
        <f>"72312"</f>
        <v>72312</v>
      </c>
      <c r="C14201" s="2">
        <v>0</v>
      </c>
      <c r="D14201" s="2">
        <v>0</v>
      </c>
      <c r="E14201" s="2">
        <v>9.4339622641509396E-3</v>
      </c>
      <c r="F14201" s="2">
        <v>9.2267946115519401E-5</v>
      </c>
    </row>
    <row r="14202" spans="1:6" x14ac:dyDescent="0.25">
      <c r="A14202" s="1" t="str">
        <f t="shared" si="537"/>
        <v>25760</v>
      </c>
      <c r="B14202" s="1" t="str">
        <f>"72389"</f>
        <v>72389</v>
      </c>
      <c r="C14202" s="2">
        <v>0</v>
      </c>
      <c r="D14202" s="2">
        <v>0</v>
      </c>
      <c r="E14202" s="2">
        <v>9.4339622641509396E-3</v>
      </c>
      <c r="F14202" s="2">
        <v>9.2267946115519401E-5</v>
      </c>
    </row>
    <row r="14203" spans="1:6" x14ac:dyDescent="0.25">
      <c r="A14203" s="1" t="str">
        <f t="shared" si="537"/>
        <v>25760</v>
      </c>
      <c r="B14203" s="1" t="str">
        <f>"72353"</f>
        <v>72353</v>
      </c>
      <c r="C14203" s="2">
        <v>0</v>
      </c>
      <c r="D14203" s="2">
        <v>0</v>
      </c>
      <c r="E14203" s="2">
        <v>9.4339622641509396E-3</v>
      </c>
      <c r="F14203" s="2">
        <v>9.2267946115519401E-5</v>
      </c>
    </row>
    <row r="14204" spans="1:6" x14ac:dyDescent="0.25">
      <c r="A14204" s="1" t="str">
        <f t="shared" si="537"/>
        <v>25760</v>
      </c>
      <c r="B14204" s="1" t="str">
        <f>"72342"</f>
        <v>72342</v>
      </c>
      <c r="C14204" s="2">
        <v>0.306929670556645</v>
      </c>
      <c r="D14204" s="2">
        <v>0.48808388941849301</v>
      </c>
      <c r="E14204" s="2">
        <v>0.62264150943396201</v>
      </c>
      <c r="F14204" s="2">
        <v>0.32755120871009402</v>
      </c>
    </row>
    <row r="14205" spans="1:6" x14ac:dyDescent="0.25">
      <c r="A14205" s="1" t="str">
        <f t="shared" si="537"/>
        <v>25760</v>
      </c>
      <c r="B14205" s="1" t="str">
        <f>"72069"</f>
        <v>72069</v>
      </c>
      <c r="C14205" s="2">
        <v>3.6145822575648001E-3</v>
      </c>
      <c r="D14205" s="2">
        <v>9.5328884652049503E-4</v>
      </c>
      <c r="E14205" s="2">
        <v>0</v>
      </c>
      <c r="F14205" s="2">
        <v>3.3216460601586998E-3</v>
      </c>
    </row>
    <row r="14206" spans="1:6" x14ac:dyDescent="0.25">
      <c r="A14206" s="1" t="str">
        <f t="shared" si="537"/>
        <v>25760</v>
      </c>
      <c r="B14206" s="1" t="str">
        <f>"72366"</f>
        <v>72366</v>
      </c>
      <c r="C14206" s="2">
        <v>7.9004440772487805E-2</v>
      </c>
      <c r="D14206" s="2">
        <v>2.95519542421353E-2</v>
      </c>
      <c r="E14206" s="2">
        <v>3.7735849056603703E-2</v>
      </c>
      <c r="F14206" s="2">
        <v>7.38143568924155E-2</v>
      </c>
    </row>
    <row r="14207" spans="1:6" x14ac:dyDescent="0.25">
      <c r="A14207" s="1" t="str">
        <f t="shared" si="537"/>
        <v>25760</v>
      </c>
      <c r="B14207" s="1" t="str">
        <f>"72328"</f>
        <v>72328</v>
      </c>
      <c r="C14207" s="2">
        <v>1.0327377878756499E-4</v>
      </c>
      <c r="D14207" s="2">
        <v>0</v>
      </c>
      <c r="E14207" s="2">
        <v>9.4339622641509396E-3</v>
      </c>
      <c r="F14207" s="2">
        <v>1.8453589223103799E-4</v>
      </c>
    </row>
    <row r="14208" spans="1:6" x14ac:dyDescent="0.25">
      <c r="A14208" s="1" t="str">
        <f t="shared" si="537"/>
        <v>25760</v>
      </c>
      <c r="B14208" s="1" t="str">
        <f>"72369"</f>
        <v>72369</v>
      </c>
      <c r="C14208" s="2">
        <v>0</v>
      </c>
      <c r="D14208" s="2">
        <v>0</v>
      </c>
      <c r="E14208" s="2">
        <v>9.4339622641509396E-3</v>
      </c>
      <c r="F14208" s="2">
        <v>9.2267946115519401E-5</v>
      </c>
    </row>
    <row r="14209" spans="1:6" x14ac:dyDescent="0.25">
      <c r="A14209" s="1" t="str">
        <f t="shared" ref="A14209:A14217" si="538">"25780"</f>
        <v>25780</v>
      </c>
      <c r="B14209" s="1" t="str">
        <f>"27553"</f>
        <v>27553</v>
      </c>
      <c r="C14209" s="2">
        <v>2.12857081673733E-2</v>
      </c>
      <c r="D14209" s="2">
        <v>4.4150110375275903E-3</v>
      </c>
      <c r="E14209" s="2">
        <v>6.5645514223194703E-3</v>
      </c>
      <c r="F14209" s="2">
        <v>1.9561965402170901E-2</v>
      </c>
    </row>
    <row r="14210" spans="1:6" x14ac:dyDescent="0.25">
      <c r="A14210" s="1" t="str">
        <f t="shared" si="538"/>
        <v>25780</v>
      </c>
      <c r="B14210" s="1" t="str">
        <f>"27507"</f>
        <v>27507</v>
      </c>
      <c r="C14210" s="2">
        <v>4.32566705212214E-3</v>
      </c>
      <c r="D14210" s="2">
        <v>8.83002207505518E-4</v>
      </c>
      <c r="E14210" s="2">
        <v>0</v>
      </c>
      <c r="F14210" s="2">
        <v>3.9507498753404103E-3</v>
      </c>
    </row>
    <row r="14211" spans="1:6" x14ac:dyDescent="0.25">
      <c r="A14211" s="1" t="str">
        <f t="shared" si="538"/>
        <v>25780</v>
      </c>
      <c r="B14211" s="1" t="str">
        <f>"27584"</f>
        <v>27584</v>
      </c>
      <c r="C14211" s="2">
        <v>0</v>
      </c>
      <c r="D14211" s="2">
        <v>4.41501103752759E-4</v>
      </c>
      <c r="E14211" s="2">
        <v>0</v>
      </c>
      <c r="F14211" s="2">
        <v>3.8356794906217601E-5</v>
      </c>
    </row>
    <row r="14212" spans="1:6" x14ac:dyDescent="0.25">
      <c r="A14212" s="1" t="str">
        <f t="shared" si="538"/>
        <v>25780</v>
      </c>
      <c r="B14212" s="1" t="str">
        <f>"27563"</f>
        <v>27563</v>
      </c>
      <c r="C14212" s="2">
        <v>1.71313546618698E-3</v>
      </c>
      <c r="D14212" s="2">
        <v>0</v>
      </c>
      <c r="E14212" s="2">
        <v>0</v>
      </c>
      <c r="F14212" s="2">
        <v>1.5342717962487E-3</v>
      </c>
    </row>
    <row r="14213" spans="1:6" x14ac:dyDescent="0.25">
      <c r="A14213" s="1" t="str">
        <f t="shared" si="538"/>
        <v>25780</v>
      </c>
      <c r="B14213" s="1" t="str">
        <f>"27565"</f>
        <v>27565</v>
      </c>
      <c r="C14213" s="2">
        <v>1.5246905649064099E-2</v>
      </c>
      <c r="D14213" s="2">
        <v>8.83002207505518E-4</v>
      </c>
      <c r="E14213" s="2">
        <v>0</v>
      </c>
      <c r="F14213" s="2">
        <v>1.37317325764259E-2</v>
      </c>
    </row>
    <row r="14214" spans="1:6" x14ac:dyDescent="0.25">
      <c r="A14214" s="1" t="str">
        <f t="shared" si="538"/>
        <v>25780</v>
      </c>
      <c r="B14214" s="1" t="str">
        <f>"27536"</f>
        <v>27536</v>
      </c>
      <c r="C14214" s="2">
        <v>0.438819649663797</v>
      </c>
      <c r="D14214" s="2">
        <v>0.81059602649006601</v>
      </c>
      <c r="E14214" s="2">
        <v>0.586433260393873</v>
      </c>
      <c r="F14214" s="2">
        <v>0.47370641709178701</v>
      </c>
    </row>
    <row r="14215" spans="1:6" x14ac:dyDescent="0.25">
      <c r="A14215" s="1" t="str">
        <f t="shared" si="538"/>
        <v>25780</v>
      </c>
      <c r="B14215" s="1" t="str">
        <f>"27537"</f>
        <v>27537</v>
      </c>
      <c r="C14215" s="2">
        <v>0.451454023726926</v>
      </c>
      <c r="D14215" s="2">
        <v>0.15452538631346499</v>
      </c>
      <c r="E14215" s="2">
        <v>0.35010940919037098</v>
      </c>
      <c r="F14215" s="2">
        <v>0.42388094050861103</v>
      </c>
    </row>
    <row r="14216" spans="1:6" x14ac:dyDescent="0.25">
      <c r="A14216" s="1" t="str">
        <f t="shared" si="538"/>
        <v>25780</v>
      </c>
      <c r="B14216" s="1" t="str">
        <f>"27544"</f>
        <v>27544</v>
      </c>
      <c r="C14216" s="2">
        <v>6.7154910274529897E-2</v>
      </c>
      <c r="D14216" s="2">
        <v>2.82560706401766E-2</v>
      </c>
      <c r="E14216" s="2">
        <v>5.25164113785557E-2</v>
      </c>
      <c r="F14216" s="2">
        <v>6.3518852364696399E-2</v>
      </c>
    </row>
    <row r="14217" spans="1:6" x14ac:dyDescent="0.25">
      <c r="A14217" s="1" t="str">
        <f t="shared" si="538"/>
        <v>25780</v>
      </c>
      <c r="B14217" s="1" t="str">
        <f>"27556"</f>
        <v>27556</v>
      </c>
      <c r="C14217" s="2">
        <v>0</v>
      </c>
      <c r="D14217" s="2">
        <v>0</v>
      </c>
      <c r="E14217" s="2">
        <v>4.3763676148796402E-3</v>
      </c>
      <c r="F14217" s="2">
        <v>7.6713589812435202E-5</v>
      </c>
    </row>
    <row r="14218" spans="1:6" x14ac:dyDescent="0.25">
      <c r="A14218" s="1" t="str">
        <f t="shared" ref="A14218:A14224" si="539">"25820"</f>
        <v>25820</v>
      </c>
      <c r="B14218" s="1" t="str">
        <f>"79035"</f>
        <v>79035</v>
      </c>
      <c r="C14218" s="2">
        <v>3.20800718593609E-3</v>
      </c>
      <c r="D14218" s="2">
        <v>0</v>
      </c>
      <c r="E14218" s="2">
        <v>3.0030030030029999E-3</v>
      </c>
      <c r="F14218" s="2">
        <v>2.9141448105805801E-3</v>
      </c>
    </row>
    <row r="14219" spans="1:6" x14ac:dyDescent="0.25">
      <c r="A14219" s="1" t="str">
        <f t="shared" si="539"/>
        <v>25820</v>
      </c>
      <c r="B14219" s="1" t="str">
        <f>"79045"</f>
        <v>79045</v>
      </c>
      <c r="C14219" s="2">
        <v>0.98203515975875699</v>
      </c>
      <c r="D14219" s="2">
        <v>0.98994974874371799</v>
      </c>
      <c r="E14219" s="2">
        <v>0.99399399399399302</v>
      </c>
      <c r="F14219" s="2">
        <v>0.98318762609280397</v>
      </c>
    </row>
    <row r="14220" spans="1:6" x14ac:dyDescent="0.25">
      <c r="A14220" s="1" t="str">
        <f t="shared" si="539"/>
        <v>25820</v>
      </c>
      <c r="B14220" s="1" t="str">
        <f>"79001"</f>
        <v>79001</v>
      </c>
      <c r="C14220" s="2">
        <v>1.4115231618118799E-3</v>
      </c>
      <c r="D14220" s="2">
        <v>0</v>
      </c>
      <c r="E14220" s="2">
        <v>0</v>
      </c>
      <c r="F14220" s="2">
        <v>1.23290741986101E-3</v>
      </c>
    </row>
    <row r="14221" spans="1:6" x14ac:dyDescent="0.25">
      <c r="A14221" s="1" t="str">
        <f t="shared" si="539"/>
        <v>25820</v>
      </c>
      <c r="B14221" s="1" t="str">
        <f>"79015"</f>
        <v>79015</v>
      </c>
      <c r="C14221" s="2">
        <v>2.5664057487488699E-4</v>
      </c>
      <c r="D14221" s="2">
        <v>0</v>
      </c>
      <c r="E14221" s="2">
        <v>0</v>
      </c>
      <c r="F14221" s="2">
        <v>2.2416498542927499E-4</v>
      </c>
    </row>
    <row r="14222" spans="1:6" x14ac:dyDescent="0.25">
      <c r="A14222" s="1" t="str">
        <f t="shared" si="539"/>
        <v>25820</v>
      </c>
      <c r="B14222" s="1" t="str">
        <f>"79025"</f>
        <v>79025</v>
      </c>
      <c r="C14222" s="2">
        <v>0</v>
      </c>
      <c r="D14222" s="2">
        <v>0</v>
      </c>
      <c r="E14222" s="2">
        <v>3.0030030030029999E-3</v>
      </c>
      <c r="F14222" s="2">
        <v>1.12082492714637E-4</v>
      </c>
    </row>
    <row r="14223" spans="1:6" x14ac:dyDescent="0.25">
      <c r="A14223" s="1" t="str">
        <f t="shared" si="539"/>
        <v>25820</v>
      </c>
      <c r="B14223" s="1" t="str">
        <f>"79092"</f>
        <v>79092</v>
      </c>
      <c r="C14223" s="2">
        <v>4.6195303477479703E-3</v>
      </c>
      <c r="D14223" s="2">
        <v>1.25628140703517E-3</v>
      </c>
      <c r="E14223" s="2">
        <v>0</v>
      </c>
      <c r="F14223" s="2">
        <v>4.1470522304415999E-3</v>
      </c>
    </row>
    <row r="14224" spans="1:6" x14ac:dyDescent="0.25">
      <c r="A14224" s="1" t="str">
        <f t="shared" si="539"/>
        <v>25820</v>
      </c>
      <c r="B14224" s="1" t="str">
        <f>"79098"</f>
        <v>79098</v>
      </c>
      <c r="C14224" s="2">
        <v>8.4691389708712907E-3</v>
      </c>
      <c r="D14224" s="2">
        <v>8.7939698492462293E-3</v>
      </c>
      <c r="E14224" s="2">
        <v>0</v>
      </c>
      <c r="F14224" s="2">
        <v>8.1820219681685707E-3</v>
      </c>
    </row>
    <row r="14225" spans="1:6" x14ac:dyDescent="0.25">
      <c r="A14225" s="1" t="str">
        <f t="shared" ref="A14225:A14243" si="540">"25840"</f>
        <v>25840</v>
      </c>
      <c r="B14225" s="1" t="str">
        <f>"97844"</f>
        <v>97844</v>
      </c>
      <c r="C14225" s="2">
        <v>3.80794701986754E-2</v>
      </c>
      <c r="D14225" s="2">
        <v>1.03626943005181E-2</v>
      </c>
      <c r="E14225" s="2">
        <v>5.6777856635911901E-3</v>
      </c>
      <c r="F14225" s="2">
        <v>3.4887752448643401E-2</v>
      </c>
    </row>
    <row r="14226" spans="1:6" x14ac:dyDescent="0.25">
      <c r="A14226" s="1" t="str">
        <f t="shared" si="540"/>
        <v>25840</v>
      </c>
      <c r="B14226" s="1" t="str">
        <f>"97823"</f>
        <v>97823</v>
      </c>
      <c r="C14226" s="2">
        <v>7.30424620179197E-5</v>
      </c>
      <c r="D14226" s="2">
        <v>0</v>
      </c>
      <c r="E14226" s="2">
        <v>0</v>
      </c>
      <c r="F14226" s="2">
        <v>6.5008234376354301E-5</v>
      </c>
    </row>
    <row r="14227" spans="1:6" x14ac:dyDescent="0.25">
      <c r="A14227" s="1" t="str">
        <f t="shared" si="540"/>
        <v>25840</v>
      </c>
      <c r="B14227" s="1" t="str">
        <f>"97813"</f>
        <v>97813</v>
      </c>
      <c r="C14227" s="2">
        <v>1.4486754966887399E-2</v>
      </c>
      <c r="D14227" s="2">
        <v>1.90891737114807E-3</v>
      </c>
      <c r="E14227" s="2">
        <v>1.4194464158977899E-3</v>
      </c>
      <c r="F14227" s="2">
        <v>1.3088324521106001E-2</v>
      </c>
    </row>
    <row r="14228" spans="1:6" x14ac:dyDescent="0.25">
      <c r="A14228" s="1" t="str">
        <f t="shared" si="540"/>
        <v>25840</v>
      </c>
      <c r="B14228" s="1" t="str">
        <f>"97868"</f>
        <v>97868</v>
      </c>
      <c r="C14228" s="2">
        <v>7.0851188157382101E-3</v>
      </c>
      <c r="D14228" s="2">
        <v>5.4540496318516399E-4</v>
      </c>
      <c r="E14228" s="2">
        <v>0</v>
      </c>
      <c r="F14228" s="2">
        <v>6.3491375574239398E-3</v>
      </c>
    </row>
    <row r="14229" spans="1:6" x14ac:dyDescent="0.25">
      <c r="A14229" s="1" t="str">
        <f t="shared" si="540"/>
        <v>25840</v>
      </c>
      <c r="B14229" s="1" t="str">
        <f>"97839"</f>
        <v>97839</v>
      </c>
      <c r="C14229" s="2">
        <v>2.1912738605375901E-3</v>
      </c>
      <c r="D14229" s="2">
        <v>8.1810744477774696E-4</v>
      </c>
      <c r="E14229" s="2">
        <v>7.0972320794889898E-4</v>
      </c>
      <c r="F14229" s="2">
        <v>2.0369246771257598E-3</v>
      </c>
    </row>
    <row r="14230" spans="1:6" x14ac:dyDescent="0.25">
      <c r="A14230" s="1" t="str">
        <f t="shared" si="540"/>
        <v>25840</v>
      </c>
      <c r="B14230" s="1" t="str">
        <f>"97835"</f>
        <v>97835</v>
      </c>
      <c r="C14230" s="2">
        <v>3.9686404363069704E-3</v>
      </c>
      <c r="D14230" s="2">
        <v>2.7270248159258199E-4</v>
      </c>
      <c r="E14230" s="2">
        <v>0</v>
      </c>
      <c r="F14230" s="2">
        <v>3.5537834792407001E-3</v>
      </c>
    </row>
    <row r="14231" spans="1:6" x14ac:dyDescent="0.25">
      <c r="A14231" s="1" t="str">
        <f t="shared" si="540"/>
        <v>25840</v>
      </c>
      <c r="B14231" s="1" t="str">
        <f>"97818"</f>
        <v>97818</v>
      </c>
      <c r="C14231" s="2">
        <v>3.7543825477210697E-2</v>
      </c>
      <c r="D14231" s="2">
        <v>1.3907826561221699E-2</v>
      </c>
      <c r="E14231" s="2">
        <v>1.06458481192334E-2</v>
      </c>
      <c r="F14231" s="2">
        <v>3.4844413625725899E-2</v>
      </c>
    </row>
    <row r="14232" spans="1:6" x14ac:dyDescent="0.25">
      <c r="A14232" s="1" t="str">
        <f t="shared" si="540"/>
        <v>25840</v>
      </c>
      <c r="B14232" s="1" t="str">
        <f>"97838"</f>
        <v>97838</v>
      </c>
      <c r="C14232" s="2">
        <v>0.290416828983248</v>
      </c>
      <c r="D14232" s="2">
        <v>0.36923916007635599</v>
      </c>
      <c r="E14232" s="2">
        <v>0.45280340667139801</v>
      </c>
      <c r="F14232" s="2">
        <v>0.30163820750628401</v>
      </c>
    </row>
    <row r="14233" spans="1:6" x14ac:dyDescent="0.25">
      <c r="A14233" s="1" t="str">
        <f t="shared" si="540"/>
        <v>25840</v>
      </c>
      <c r="B14233" s="1" t="str">
        <f>"97862"</f>
        <v>97862</v>
      </c>
      <c r="C14233" s="2">
        <v>0.115650564861706</v>
      </c>
      <c r="D14233" s="2">
        <v>0.113444232342514</v>
      </c>
      <c r="E14233" s="2">
        <v>9.7941802696948105E-2</v>
      </c>
      <c r="F14233" s="2">
        <v>0.114934558377394</v>
      </c>
    </row>
    <row r="14234" spans="1:6" x14ac:dyDescent="0.25">
      <c r="A14234" s="1" t="str">
        <f t="shared" si="540"/>
        <v>25840</v>
      </c>
      <c r="B14234" s="1" t="str">
        <f>"97836"</f>
        <v>97836</v>
      </c>
      <c r="C14234" s="2">
        <v>2.9655239579275398E-2</v>
      </c>
      <c r="D14234" s="2">
        <v>1.09080992637032E-3</v>
      </c>
      <c r="E14234" s="2">
        <v>1.4904187366926801E-2</v>
      </c>
      <c r="F14234" s="2">
        <v>2.6935078443269402E-2</v>
      </c>
    </row>
    <row r="14235" spans="1:6" x14ac:dyDescent="0.25">
      <c r="A14235" s="1" t="str">
        <f t="shared" si="540"/>
        <v>25840</v>
      </c>
      <c r="B14235" s="1" t="str">
        <f>"97826"</f>
        <v>97826</v>
      </c>
      <c r="C14235" s="2">
        <v>2.04518893650175E-2</v>
      </c>
      <c r="D14235" s="2">
        <v>7.6356694845922998E-3</v>
      </c>
      <c r="E14235" s="2">
        <v>1.4194464158977899E-3</v>
      </c>
      <c r="F14235" s="2">
        <v>1.8852387969142698E-2</v>
      </c>
    </row>
    <row r="14236" spans="1:6" x14ac:dyDescent="0.25">
      <c r="A14236" s="1" t="str">
        <f t="shared" si="540"/>
        <v>25840</v>
      </c>
      <c r="B14236" s="1" t="str">
        <f>"97859"</f>
        <v>97859</v>
      </c>
      <c r="C14236" s="2">
        <v>5.8920919361121898E-3</v>
      </c>
      <c r="D14236" s="2">
        <v>0</v>
      </c>
      <c r="E14236" s="2">
        <v>0</v>
      </c>
      <c r="F14236" s="2">
        <v>5.24399757302591E-3</v>
      </c>
    </row>
    <row r="14237" spans="1:6" x14ac:dyDescent="0.25">
      <c r="A14237" s="1" t="str">
        <f t="shared" si="540"/>
        <v>25840</v>
      </c>
      <c r="B14237" s="1" t="str">
        <f>"97886"</f>
        <v>97886</v>
      </c>
      <c r="C14237" s="2">
        <v>1.47545773276197E-2</v>
      </c>
      <c r="D14237" s="2">
        <v>3.5451322607035702E-3</v>
      </c>
      <c r="E14237" s="2">
        <v>1.4194464158977899E-3</v>
      </c>
      <c r="F14237" s="2">
        <v>1.3456704515905299E-2</v>
      </c>
    </row>
    <row r="14238" spans="1:6" x14ac:dyDescent="0.25">
      <c r="A14238" s="1" t="str">
        <f t="shared" si="540"/>
        <v>25840</v>
      </c>
      <c r="B14238" s="1" t="str">
        <f>"97875"</f>
        <v>97875</v>
      </c>
      <c r="C14238" s="2">
        <v>4.3168095052590498E-2</v>
      </c>
      <c r="D14238" s="2">
        <v>1.66348513771475E-2</v>
      </c>
      <c r="E14238" s="2">
        <v>2.8388928317955898E-3</v>
      </c>
      <c r="F14238" s="2">
        <v>3.9828378261246397E-2</v>
      </c>
    </row>
    <row r="14239" spans="1:6" x14ac:dyDescent="0.25">
      <c r="A14239" s="1" t="str">
        <f t="shared" si="540"/>
        <v>25840</v>
      </c>
      <c r="B14239" s="1" t="str">
        <f>"97801"</f>
        <v>97801</v>
      </c>
      <c r="C14239" s="2">
        <v>0.263878067783404</v>
      </c>
      <c r="D14239" s="2">
        <v>0.40441778020179903</v>
      </c>
      <c r="E14239" s="2">
        <v>0.315117104329311</v>
      </c>
      <c r="F14239" s="2">
        <v>0.276610037271387</v>
      </c>
    </row>
    <row r="14240" spans="1:6" x14ac:dyDescent="0.25">
      <c r="A14240" s="1" t="str">
        <f t="shared" si="540"/>
        <v>25840</v>
      </c>
      <c r="B14240" s="1" t="str">
        <f>"97880"</f>
        <v>97880</v>
      </c>
      <c r="C14240" s="2">
        <v>9.7389949357226294E-5</v>
      </c>
      <c r="D14240" s="2">
        <v>2.7270248159258199E-4</v>
      </c>
      <c r="E14240" s="2">
        <v>7.0972320794889898E-4</v>
      </c>
      <c r="F14240" s="2">
        <v>1.3001646875270801E-4</v>
      </c>
    </row>
    <row r="14241" spans="1:6" x14ac:dyDescent="0.25">
      <c r="A14241" s="1" t="str">
        <f t="shared" si="540"/>
        <v>25840</v>
      </c>
      <c r="B14241" s="1" t="str">
        <f>"97843"</f>
        <v>97843</v>
      </c>
      <c r="C14241" s="2">
        <v>1.20276587456174E-2</v>
      </c>
      <c r="D14241" s="2">
        <v>1.63621488955549E-3</v>
      </c>
      <c r="E14241" s="2">
        <v>7.0972320794889898E-4</v>
      </c>
      <c r="F14241" s="2">
        <v>1.08563751408511E-2</v>
      </c>
    </row>
    <row r="14242" spans="1:6" x14ac:dyDescent="0.25">
      <c r="A14242" s="1" t="str">
        <f t="shared" si="540"/>
        <v>25840</v>
      </c>
      <c r="B14242" s="1" t="str">
        <f>"97882"</f>
        <v>97882</v>
      </c>
      <c r="C14242" s="2">
        <v>8.9963965718737798E-2</v>
      </c>
      <c r="D14242" s="2">
        <v>5.2358876465775799E-2</v>
      </c>
      <c r="E14242" s="2">
        <v>9.3683463449254697E-2</v>
      </c>
      <c r="F14242" s="2">
        <v>8.7089364652855994E-2</v>
      </c>
    </row>
    <row r="14243" spans="1:6" x14ac:dyDescent="0.25">
      <c r="A14243" s="1" t="str">
        <f t="shared" si="540"/>
        <v>25840</v>
      </c>
      <c r="B14243" s="1" t="str">
        <f>"97810"</f>
        <v>97810</v>
      </c>
      <c r="C14243" s="2">
        <v>1.06155044799376E-2</v>
      </c>
      <c r="D14243" s="2">
        <v>1.90891737114807E-3</v>
      </c>
      <c r="E14243" s="2">
        <v>0</v>
      </c>
      <c r="F14243" s="2">
        <v>9.59954927624165E-3</v>
      </c>
    </row>
    <row r="14244" spans="1:6" x14ac:dyDescent="0.25">
      <c r="A14244" s="1" t="str">
        <f t="shared" ref="A14244:A14287" si="541">"25860"</f>
        <v>25860</v>
      </c>
      <c r="B14244" s="1" t="str">
        <f>"28610"</f>
        <v>28610</v>
      </c>
      <c r="C14244" s="2">
        <v>2.3833416959357701E-2</v>
      </c>
      <c r="D14244" s="2">
        <v>9.0791975952395493E-3</v>
      </c>
      <c r="E14244" s="2">
        <v>3.9302382706951598E-3</v>
      </c>
      <c r="F14244" s="2">
        <v>2.2223668532406801E-2</v>
      </c>
    </row>
    <row r="14245" spans="1:6" x14ac:dyDescent="0.25">
      <c r="A14245" s="1" t="str">
        <f t="shared" si="541"/>
        <v>25860</v>
      </c>
      <c r="B14245" s="1" t="str">
        <f>"28682"</f>
        <v>28682</v>
      </c>
      <c r="C14245" s="2">
        <v>3.8579472598539301E-3</v>
      </c>
      <c r="D14245" s="2">
        <v>2.0244156800196299E-3</v>
      </c>
      <c r="E14245" s="2">
        <v>0</v>
      </c>
      <c r="F14245" s="2">
        <v>3.6296822901542899E-3</v>
      </c>
    </row>
    <row r="14246" spans="1:6" x14ac:dyDescent="0.25">
      <c r="A14246" s="1" t="str">
        <f t="shared" si="541"/>
        <v>25860</v>
      </c>
      <c r="B14246" s="1" t="str">
        <f>"28655"</f>
        <v>28655</v>
      </c>
      <c r="C14246" s="2">
        <v>0.144355243351731</v>
      </c>
      <c r="D14246" s="2">
        <v>0.119992638488436</v>
      </c>
      <c r="E14246" s="2">
        <v>0.244411692458855</v>
      </c>
      <c r="F14246" s="2">
        <v>0.144406284106497</v>
      </c>
    </row>
    <row r="14247" spans="1:6" x14ac:dyDescent="0.25">
      <c r="A14247" s="1" t="str">
        <f t="shared" si="541"/>
        <v>25860</v>
      </c>
      <c r="B14247" s="1" t="str">
        <f>"28619"</f>
        <v>28619</v>
      </c>
      <c r="C14247" s="2">
        <v>5.5750682945865997E-6</v>
      </c>
      <c r="D14247" s="2">
        <v>0</v>
      </c>
      <c r="E14247" s="2">
        <v>2.45639891918447E-4</v>
      </c>
      <c r="F14247" s="2">
        <v>1.0012916662494599E-5</v>
      </c>
    </row>
    <row r="14248" spans="1:6" x14ac:dyDescent="0.25">
      <c r="A14248" s="1" t="str">
        <f t="shared" si="541"/>
        <v>25860</v>
      </c>
      <c r="B14248" s="1" t="str">
        <f>"28645"</f>
        <v>28645</v>
      </c>
      <c r="C14248" s="2">
        <v>0.125935217706416</v>
      </c>
      <c r="D14248" s="2">
        <v>0.104717501993742</v>
      </c>
      <c r="E14248" s="2">
        <v>0.14148857774502499</v>
      </c>
      <c r="F14248" s="2">
        <v>0.124520631614783</v>
      </c>
    </row>
    <row r="14249" spans="1:6" x14ac:dyDescent="0.25">
      <c r="A14249" s="1" t="str">
        <f t="shared" si="541"/>
        <v>25860</v>
      </c>
      <c r="B14249" s="1" t="str">
        <f>"28637"</f>
        <v>28637</v>
      </c>
      <c r="C14249" s="2">
        <v>1.30846852873947E-2</v>
      </c>
      <c r="D14249" s="2">
        <v>1.7913011471688799E-2</v>
      </c>
      <c r="E14249" s="2">
        <v>6.6322770817980803E-3</v>
      </c>
      <c r="F14249" s="2">
        <v>1.33472179111053E-2</v>
      </c>
    </row>
    <row r="14250" spans="1:6" x14ac:dyDescent="0.25">
      <c r="A14250" s="1" t="str">
        <f t="shared" si="541"/>
        <v>25860</v>
      </c>
      <c r="B14250" s="1" t="str">
        <f>"28680"</f>
        <v>28680</v>
      </c>
      <c r="C14250" s="2">
        <v>1.31794614484027E-2</v>
      </c>
      <c r="D14250" s="2">
        <v>2.9936813692411499E-2</v>
      </c>
      <c r="E14250" s="2">
        <v>2.45639891918447E-4</v>
      </c>
      <c r="F14250" s="2">
        <v>1.4283425619048501E-2</v>
      </c>
    </row>
    <row r="14251" spans="1:6" x14ac:dyDescent="0.25">
      <c r="A14251" s="1" t="str">
        <f t="shared" si="541"/>
        <v>25860</v>
      </c>
      <c r="B14251" s="1" t="str">
        <f>"28658"</f>
        <v>28658</v>
      </c>
      <c r="C14251" s="2">
        <v>7.1093270892568394E-2</v>
      </c>
      <c r="D14251" s="2">
        <v>7.8400098153487502E-2</v>
      </c>
      <c r="E14251" s="2">
        <v>4.6671579464505002E-2</v>
      </c>
      <c r="F14251" s="2">
        <v>7.1191837470336694E-2</v>
      </c>
    </row>
    <row r="14252" spans="1:6" x14ac:dyDescent="0.25">
      <c r="A14252" s="1" t="str">
        <f t="shared" si="541"/>
        <v>25860</v>
      </c>
      <c r="B14252" s="1" t="str">
        <f>"28666"</f>
        <v>28666</v>
      </c>
      <c r="C14252" s="2">
        <v>0</v>
      </c>
      <c r="D14252" s="2">
        <v>0</v>
      </c>
      <c r="E14252" s="2">
        <v>2.45639891918447E-4</v>
      </c>
      <c r="F14252" s="2">
        <v>5.0064583312472997E-6</v>
      </c>
    </row>
    <row r="14253" spans="1:6" x14ac:dyDescent="0.25">
      <c r="A14253" s="1" t="str">
        <f t="shared" si="541"/>
        <v>25860</v>
      </c>
      <c r="B14253" s="1" t="str">
        <f>"28661"</f>
        <v>28661</v>
      </c>
      <c r="C14253" s="2">
        <v>0</v>
      </c>
      <c r="D14253" s="2">
        <v>0</v>
      </c>
      <c r="E14253" s="2">
        <v>2.45639891918447E-4</v>
      </c>
      <c r="F14253" s="2">
        <v>5.0064583312472997E-6</v>
      </c>
    </row>
    <row r="14254" spans="1:6" x14ac:dyDescent="0.25">
      <c r="A14254" s="1" t="str">
        <f t="shared" si="541"/>
        <v>25860</v>
      </c>
      <c r="B14254" s="1" t="str">
        <f>"28671"</f>
        <v>28671</v>
      </c>
      <c r="C14254" s="2">
        <v>0</v>
      </c>
      <c r="D14254" s="2">
        <v>0</v>
      </c>
      <c r="E14254" s="2">
        <v>2.45639891918447E-4</v>
      </c>
      <c r="F14254" s="2">
        <v>5.0064583312472997E-6</v>
      </c>
    </row>
    <row r="14255" spans="1:6" x14ac:dyDescent="0.25">
      <c r="A14255" s="1" t="str">
        <f t="shared" si="541"/>
        <v>25860</v>
      </c>
      <c r="B14255" s="1" t="str">
        <f>"28037"</f>
        <v>28037</v>
      </c>
      <c r="C14255" s="2">
        <v>5.2851647432681E-3</v>
      </c>
      <c r="D14255" s="2">
        <v>5.1530580945954203E-3</v>
      </c>
      <c r="E14255" s="2">
        <v>2.2107590272660198E-3</v>
      </c>
      <c r="F14255" s="2">
        <v>5.2117231228284398E-3</v>
      </c>
    </row>
    <row r="14256" spans="1:6" x14ac:dyDescent="0.25">
      <c r="A14256" s="1" t="str">
        <f t="shared" si="541"/>
        <v>25860</v>
      </c>
      <c r="B14256" s="1" t="str">
        <f>"28667"</f>
        <v>28667</v>
      </c>
      <c r="C14256" s="2">
        <v>1.6725204883759799E-5</v>
      </c>
      <c r="D14256" s="2">
        <v>6.1345929697564501E-5</v>
      </c>
      <c r="E14256" s="2">
        <v>4.9127978383689498E-4</v>
      </c>
      <c r="F14256" s="2">
        <v>3.0038749987483798E-5</v>
      </c>
    </row>
    <row r="14257" spans="1:6" x14ac:dyDescent="0.25">
      <c r="A14257" s="1" t="str">
        <f t="shared" si="541"/>
        <v>25860</v>
      </c>
      <c r="B14257" s="1" t="str">
        <f>"28090"</f>
        <v>28090</v>
      </c>
      <c r="C14257" s="2">
        <v>1.3380163907007799E-4</v>
      </c>
      <c r="D14257" s="2">
        <v>0</v>
      </c>
      <c r="E14257" s="2">
        <v>0</v>
      </c>
      <c r="F14257" s="2">
        <v>1.20154999949935E-4</v>
      </c>
    </row>
    <row r="14258" spans="1:6" x14ac:dyDescent="0.25">
      <c r="A14258" s="1" t="str">
        <f t="shared" si="541"/>
        <v>25860</v>
      </c>
      <c r="B14258" s="1" t="str">
        <f>"28636"</f>
        <v>28636</v>
      </c>
      <c r="C14258" s="2">
        <v>1.2254000111501301E-2</v>
      </c>
      <c r="D14258" s="2">
        <v>4.9076743758051603E-3</v>
      </c>
      <c r="E14258" s="2">
        <v>2.2107590272660198E-3</v>
      </c>
      <c r="F14258" s="2">
        <v>1.14497702035625E-2</v>
      </c>
    </row>
    <row r="14259" spans="1:6" x14ac:dyDescent="0.25">
      <c r="A14259" s="1" t="str">
        <f t="shared" si="541"/>
        <v>25860</v>
      </c>
      <c r="B14259" s="1" t="str">
        <f>"28601"</f>
        <v>28601</v>
      </c>
      <c r="C14259" s="2">
        <v>0.13762613592016501</v>
      </c>
      <c r="D14259" s="2">
        <v>0.13980737378074901</v>
      </c>
      <c r="E14259" s="2">
        <v>0.23409481699828</v>
      </c>
      <c r="F14259" s="2">
        <v>0.13977030369176199</v>
      </c>
    </row>
    <row r="14260" spans="1:6" x14ac:dyDescent="0.25">
      <c r="A14260" s="1" t="str">
        <f t="shared" si="541"/>
        <v>25860</v>
      </c>
      <c r="B14260" s="1" t="str">
        <f>"28602"</f>
        <v>28602</v>
      </c>
      <c r="C14260" s="2">
        <v>7.4237609410715194E-2</v>
      </c>
      <c r="D14260" s="2">
        <v>0.165265934605238</v>
      </c>
      <c r="E14260" s="2">
        <v>9.1378039793662394E-2</v>
      </c>
      <c r="F14260" s="2">
        <v>8.2015800382493398E-2</v>
      </c>
    </row>
    <row r="14261" spans="1:6" x14ac:dyDescent="0.25">
      <c r="A14261" s="1" t="str">
        <f t="shared" si="541"/>
        <v>25860</v>
      </c>
      <c r="B14261" s="1" t="str">
        <f>"28612"</f>
        <v>28612</v>
      </c>
      <c r="C14261" s="2">
        <v>3.05011986396833E-2</v>
      </c>
      <c r="D14261" s="2">
        <v>8.8338138764492893E-3</v>
      </c>
      <c r="E14261" s="2">
        <v>1.91599115696389E-2</v>
      </c>
      <c r="F14261" s="2">
        <v>2.85017672797909E-2</v>
      </c>
    </row>
    <row r="14262" spans="1:6" x14ac:dyDescent="0.25">
      <c r="A14262" s="1" t="str">
        <f t="shared" si="541"/>
        <v>25860</v>
      </c>
      <c r="B14262" s="1" t="str">
        <f>"28611"</f>
        <v>28611</v>
      </c>
      <c r="C14262" s="2">
        <v>2.0348999275241102E-3</v>
      </c>
      <c r="D14262" s="2">
        <v>7.3615115637077396E-4</v>
      </c>
      <c r="E14262" s="2">
        <v>2.45639891918447E-4</v>
      </c>
      <c r="F14262" s="2">
        <v>1.8924412492114799E-3</v>
      </c>
    </row>
    <row r="14263" spans="1:6" x14ac:dyDescent="0.25">
      <c r="A14263" s="1" t="str">
        <f t="shared" si="541"/>
        <v>25860</v>
      </c>
      <c r="B14263" s="1" t="str">
        <f>"28690"</f>
        <v>28690</v>
      </c>
      <c r="C14263" s="2">
        <v>2.4463399676646E-2</v>
      </c>
      <c r="D14263" s="2">
        <v>2.0060119011103598E-2</v>
      </c>
      <c r="E14263" s="2">
        <v>2.50552689756816E-2</v>
      </c>
      <c r="F14263" s="2">
        <v>2.4116109781618201E-2</v>
      </c>
    </row>
    <row r="14264" spans="1:6" x14ac:dyDescent="0.25">
      <c r="A14264" s="1" t="str">
        <f t="shared" si="541"/>
        <v>25860</v>
      </c>
      <c r="B14264" s="1" t="str">
        <f>"28605"</f>
        <v>28605</v>
      </c>
      <c r="C14264" s="2">
        <v>7.7493449294753795E-4</v>
      </c>
      <c r="D14264" s="2">
        <v>1.22691859395129E-4</v>
      </c>
      <c r="E14264" s="2">
        <v>7.3691967575534203E-4</v>
      </c>
      <c r="F14264" s="2">
        <v>7.2092999969961197E-4</v>
      </c>
    </row>
    <row r="14265" spans="1:6" x14ac:dyDescent="0.25">
      <c r="A14265" s="1" t="str">
        <f t="shared" si="541"/>
        <v>25860</v>
      </c>
      <c r="B14265" s="1" t="str">
        <f>"28633"</f>
        <v>28633</v>
      </c>
      <c r="C14265" s="2">
        <v>0</v>
      </c>
      <c r="D14265" s="2">
        <v>0</v>
      </c>
      <c r="E14265" s="2">
        <v>7.3691967575534203E-4</v>
      </c>
      <c r="F14265" s="2">
        <v>1.5019374993741899E-5</v>
      </c>
    </row>
    <row r="14266" spans="1:6" x14ac:dyDescent="0.25">
      <c r="A14266" s="1" t="str">
        <f t="shared" si="541"/>
        <v>25860</v>
      </c>
      <c r="B14266" s="1" t="str">
        <f>"28630"</f>
        <v>28630</v>
      </c>
      <c r="C14266" s="2">
        <v>5.1569381724926103E-2</v>
      </c>
      <c r="D14266" s="2">
        <v>3.5028525857309298E-2</v>
      </c>
      <c r="E14266" s="2">
        <v>5.2321296978629299E-2</v>
      </c>
      <c r="F14266" s="2">
        <v>5.0234802895735398E-2</v>
      </c>
    </row>
    <row r="14267" spans="1:6" x14ac:dyDescent="0.25">
      <c r="A14267" s="1" t="str">
        <f t="shared" si="541"/>
        <v>25860</v>
      </c>
      <c r="B14267" s="1" t="str">
        <f>"28625"</f>
        <v>28625</v>
      </c>
      <c r="C14267" s="2">
        <v>6.9130846852873899E-4</v>
      </c>
      <c r="D14267" s="2">
        <v>6.1345929697564501E-5</v>
      </c>
      <c r="E14267" s="2">
        <v>0</v>
      </c>
      <c r="F14267" s="2">
        <v>6.25807291405913E-4</v>
      </c>
    </row>
    <row r="14268" spans="1:6" x14ac:dyDescent="0.25">
      <c r="A14268" s="1" t="str">
        <f t="shared" si="541"/>
        <v>25860</v>
      </c>
      <c r="B14268" s="1" t="str">
        <f>"28609"</f>
        <v>28609</v>
      </c>
      <c r="C14268" s="2">
        <v>1.5883369571277201E-2</v>
      </c>
      <c r="D14268" s="2">
        <v>3.8034476412489998E-3</v>
      </c>
      <c r="E14268" s="2">
        <v>1.9651191353475799E-3</v>
      </c>
      <c r="F14268" s="2">
        <v>1.46138518689108E-2</v>
      </c>
    </row>
    <row r="14269" spans="1:6" x14ac:dyDescent="0.25">
      <c r="A14269" s="1" t="str">
        <f t="shared" si="541"/>
        <v>25860</v>
      </c>
      <c r="B14269" s="1" t="str">
        <f>"28657"</f>
        <v>28657</v>
      </c>
      <c r="C14269" s="2">
        <v>1.66694542008139E-3</v>
      </c>
      <c r="D14269" s="2">
        <v>6.1345929697564501E-5</v>
      </c>
      <c r="E14269" s="2">
        <v>0</v>
      </c>
      <c r="F14269" s="2">
        <v>1.5019374993741901E-3</v>
      </c>
    </row>
    <row r="14270" spans="1:6" x14ac:dyDescent="0.25">
      <c r="A14270" s="1" t="str">
        <f t="shared" si="541"/>
        <v>25860</v>
      </c>
      <c r="B14270" s="1" t="str">
        <f>"28647"</f>
        <v>28647</v>
      </c>
      <c r="C14270" s="2">
        <v>0</v>
      </c>
      <c r="D14270" s="2">
        <v>0</v>
      </c>
      <c r="E14270" s="2">
        <v>4.9127978383689498E-4</v>
      </c>
      <c r="F14270" s="2">
        <v>1.0012916662494599E-5</v>
      </c>
    </row>
    <row r="14271" spans="1:6" x14ac:dyDescent="0.25">
      <c r="A14271" s="1" t="str">
        <f t="shared" si="541"/>
        <v>25860</v>
      </c>
      <c r="B14271" s="1" t="str">
        <f>"28689"</f>
        <v>28689</v>
      </c>
      <c r="C14271" s="2">
        <v>7.2475887829625898E-5</v>
      </c>
      <c r="D14271" s="2">
        <v>6.1345929697564501E-5</v>
      </c>
      <c r="E14271" s="2">
        <v>0</v>
      </c>
      <c r="F14271" s="2">
        <v>7.0090416637462298E-5</v>
      </c>
    </row>
    <row r="14272" spans="1:6" x14ac:dyDescent="0.25">
      <c r="A14272" s="1" t="str">
        <f t="shared" si="541"/>
        <v>25860</v>
      </c>
      <c r="B14272" s="1" t="str">
        <f>"28641"</f>
        <v>28641</v>
      </c>
      <c r="C14272" s="2">
        <v>0</v>
      </c>
      <c r="D14272" s="2">
        <v>6.1345929697564501E-5</v>
      </c>
      <c r="E14272" s="2">
        <v>2.45639891918447E-4</v>
      </c>
      <c r="F14272" s="2">
        <v>1.0012916662494599E-5</v>
      </c>
    </row>
    <row r="14273" spans="1:6" x14ac:dyDescent="0.25">
      <c r="A14273" s="1" t="str">
        <f t="shared" si="541"/>
        <v>25860</v>
      </c>
      <c r="B14273" s="1" t="str">
        <f>"28638"</f>
        <v>28638</v>
      </c>
      <c r="C14273" s="2">
        <v>3.1705413391313997E-2</v>
      </c>
      <c r="D14273" s="2">
        <v>2.1593767253542701E-2</v>
      </c>
      <c r="E14273" s="2">
        <v>4.15131417342176E-2</v>
      </c>
      <c r="F14273" s="2">
        <v>3.1080093320383199E-2</v>
      </c>
    </row>
    <row r="14274" spans="1:6" x14ac:dyDescent="0.25">
      <c r="A14274" s="1" t="str">
        <f t="shared" si="541"/>
        <v>25860</v>
      </c>
      <c r="B14274" s="1" t="str">
        <f>"28603"</f>
        <v>28603</v>
      </c>
      <c r="C14274" s="2">
        <v>1.34470647265429E-2</v>
      </c>
      <c r="D14274" s="2">
        <v>7.8032022575302104E-2</v>
      </c>
      <c r="E14274" s="2">
        <v>9.8255956767378996E-4</v>
      </c>
      <c r="F14274" s="2">
        <v>1.8463818325640001E-2</v>
      </c>
    </row>
    <row r="14275" spans="1:6" x14ac:dyDescent="0.25">
      <c r="A14275" s="1" t="str">
        <f t="shared" si="541"/>
        <v>25860</v>
      </c>
      <c r="B14275" s="1" t="str">
        <f>"28678"</f>
        <v>28678</v>
      </c>
      <c r="C14275" s="2">
        <v>6.43362881195294E-3</v>
      </c>
      <c r="D14275" s="2">
        <v>1.9017238206244999E-3</v>
      </c>
      <c r="E14275" s="2">
        <v>7.3691967575534203E-4</v>
      </c>
      <c r="F14275" s="2">
        <v>5.9476724975218E-3</v>
      </c>
    </row>
    <row r="14276" spans="1:6" x14ac:dyDescent="0.25">
      <c r="A14276" s="1" t="str">
        <f t="shared" si="541"/>
        <v>25860</v>
      </c>
      <c r="B14276" s="1" t="str">
        <f>"28681"</f>
        <v>28681</v>
      </c>
      <c r="C14276" s="2">
        <v>7.2620839605285106E-2</v>
      </c>
      <c r="D14276" s="2">
        <v>6.05484326114962E-2</v>
      </c>
      <c r="E14276" s="2">
        <v>2.3090149840334001E-2</v>
      </c>
      <c r="F14276" s="2">
        <v>7.0626107678905703E-2</v>
      </c>
    </row>
    <row r="14277" spans="1:6" x14ac:dyDescent="0.25">
      <c r="A14277" s="1" t="str">
        <f t="shared" si="541"/>
        <v>25860</v>
      </c>
      <c r="B14277" s="1" t="str">
        <f>"28624"</f>
        <v>28624</v>
      </c>
      <c r="C14277" s="2">
        <v>5.5750682945865997E-5</v>
      </c>
      <c r="D14277" s="2">
        <v>0</v>
      </c>
      <c r="E14277" s="2">
        <v>0</v>
      </c>
      <c r="F14277" s="2">
        <v>5.0064583312472997E-5</v>
      </c>
    </row>
    <row r="14278" spans="1:6" x14ac:dyDescent="0.25">
      <c r="A14278" s="1" t="str">
        <f t="shared" si="541"/>
        <v>25860</v>
      </c>
      <c r="B14278" s="1" t="str">
        <f>"28018"</f>
        <v>28018</v>
      </c>
      <c r="C14278" s="2">
        <v>3.3450409767519598E-5</v>
      </c>
      <c r="D14278" s="2">
        <v>0</v>
      </c>
      <c r="E14278" s="2">
        <v>0</v>
      </c>
      <c r="F14278" s="2">
        <v>3.0038749987483798E-5</v>
      </c>
    </row>
    <row r="14279" spans="1:6" x14ac:dyDescent="0.25">
      <c r="A14279" s="1" t="str">
        <f t="shared" si="541"/>
        <v>25860</v>
      </c>
      <c r="B14279" s="1" t="str">
        <f>"28606"</f>
        <v>28606</v>
      </c>
      <c r="C14279" s="2">
        <v>9.8678708814182894E-4</v>
      </c>
      <c r="D14279" s="2">
        <v>6.1345929697564501E-5</v>
      </c>
      <c r="E14279" s="2">
        <v>0</v>
      </c>
      <c r="F14279" s="2">
        <v>8.9114958296202104E-4</v>
      </c>
    </row>
    <row r="14280" spans="1:6" x14ac:dyDescent="0.25">
      <c r="A14280" s="1" t="str">
        <f t="shared" si="541"/>
        <v>25860</v>
      </c>
      <c r="B14280" s="1" t="str">
        <f>"28613"</f>
        <v>28613</v>
      </c>
      <c r="C14280" s="2">
        <v>6.3884707587667899E-2</v>
      </c>
      <c r="D14280" s="2">
        <v>6.7725906386111201E-2</v>
      </c>
      <c r="E14280" s="2">
        <v>4.6917219356423401E-2</v>
      </c>
      <c r="F14280" s="2">
        <v>6.38523695567281E-2</v>
      </c>
    </row>
    <row r="14281" spans="1:6" x14ac:dyDescent="0.25">
      <c r="A14281" s="1" t="str">
        <f t="shared" si="541"/>
        <v>25860</v>
      </c>
      <c r="B14281" s="1" t="str">
        <f>"28673"</f>
        <v>28673</v>
      </c>
      <c r="C14281" s="2">
        <v>1.97524669677203E-2</v>
      </c>
      <c r="D14281" s="2">
        <v>4.4782528679222101E-3</v>
      </c>
      <c r="E14281" s="2">
        <v>1.4738393515106799E-3</v>
      </c>
      <c r="F14281" s="2">
        <v>1.8133392075777702E-2</v>
      </c>
    </row>
    <row r="14282" spans="1:6" x14ac:dyDescent="0.25">
      <c r="A14282" s="1" t="str">
        <f t="shared" si="541"/>
        <v>25860</v>
      </c>
      <c r="B14282" s="1" t="str">
        <f>"28761"</f>
        <v>28761</v>
      </c>
      <c r="C14282" s="2">
        <v>2.4697552545018598E-3</v>
      </c>
      <c r="D14282" s="2">
        <v>5.5211336727808101E-4</v>
      </c>
      <c r="E14282" s="2">
        <v>9.8255956767378996E-4</v>
      </c>
      <c r="F14282" s="2">
        <v>2.2829449990487698E-3</v>
      </c>
    </row>
    <row r="14283" spans="1:6" x14ac:dyDescent="0.25">
      <c r="A14283" s="1" t="str">
        <f t="shared" si="541"/>
        <v>25860</v>
      </c>
      <c r="B14283" s="1" t="str">
        <f>"28628"</f>
        <v>28628</v>
      </c>
      <c r="C14283" s="2">
        <v>0</v>
      </c>
      <c r="D14283" s="2">
        <v>0</v>
      </c>
      <c r="E14283" s="2">
        <v>2.45639891918447E-4</v>
      </c>
      <c r="F14283" s="2">
        <v>5.0064583312472997E-6</v>
      </c>
    </row>
    <row r="14284" spans="1:6" x14ac:dyDescent="0.25">
      <c r="A14284" s="1" t="str">
        <f t="shared" si="541"/>
        <v>25860</v>
      </c>
      <c r="B14284" s="1" t="str">
        <f>"28654"</f>
        <v>28654</v>
      </c>
      <c r="C14284" s="2">
        <v>5.2963148798572705E-4</v>
      </c>
      <c r="D14284" s="2">
        <v>6.1345929697564501E-5</v>
      </c>
      <c r="E14284" s="2">
        <v>2.45639891918447E-4</v>
      </c>
      <c r="F14284" s="2">
        <v>4.8562645813098802E-4</v>
      </c>
    </row>
    <row r="14285" spans="1:6" x14ac:dyDescent="0.25">
      <c r="A14285" s="1" t="str">
        <f t="shared" si="541"/>
        <v>25860</v>
      </c>
      <c r="B14285" s="1" t="str">
        <f>"28168"</f>
        <v>28168</v>
      </c>
      <c r="C14285" s="2">
        <v>9.2490383007191798E-3</v>
      </c>
      <c r="D14285" s="2">
        <v>2.51518311760014E-3</v>
      </c>
      <c r="E14285" s="2">
        <v>4.9127978383689498E-4</v>
      </c>
      <c r="F14285" s="2">
        <v>8.5209920797829092E-3</v>
      </c>
    </row>
    <row r="14286" spans="1:6" x14ac:dyDescent="0.25">
      <c r="A14286" s="1" t="str">
        <f t="shared" si="541"/>
        <v>25860</v>
      </c>
      <c r="B14286" s="1" t="str">
        <f>"28092"</f>
        <v>28092</v>
      </c>
      <c r="C14286" s="2">
        <v>8.7528572225009703E-4</v>
      </c>
      <c r="D14286" s="2">
        <v>6.1345929697564501E-5</v>
      </c>
      <c r="E14286" s="2">
        <v>0</v>
      </c>
      <c r="F14286" s="2">
        <v>7.91020416337074E-4</v>
      </c>
    </row>
    <row r="14287" spans="1:6" x14ac:dyDescent="0.25">
      <c r="A14287" s="1" t="str">
        <f t="shared" si="541"/>
        <v>25860</v>
      </c>
      <c r="B14287" s="1" t="str">
        <f>"28650"</f>
        <v>28650</v>
      </c>
      <c r="C14287" s="2">
        <v>2.5400011150136501E-2</v>
      </c>
      <c r="D14287" s="2">
        <v>1.63793632292497E-2</v>
      </c>
      <c r="E14287" s="2">
        <v>7.6148366494718702E-3</v>
      </c>
      <c r="F14287" s="2">
        <v>2.4301348739874402E-2</v>
      </c>
    </row>
    <row r="14288" spans="1:6" x14ac:dyDescent="0.25">
      <c r="A14288" s="1" t="str">
        <f t="shared" ref="A14288:A14310" si="542">"25880"</f>
        <v>25880</v>
      </c>
      <c r="B14288" s="1" t="str">
        <f>"49255"</f>
        <v>49255</v>
      </c>
      <c r="C14288" s="2">
        <v>2.0384339080459699E-2</v>
      </c>
      <c r="D14288" s="2">
        <v>4.1701417848206803E-3</v>
      </c>
      <c r="E14288" s="2">
        <v>1.0020040080160299E-2</v>
      </c>
      <c r="F14288" s="2">
        <v>1.9357530246141001E-2</v>
      </c>
    </row>
    <row r="14289" spans="1:6" x14ac:dyDescent="0.25">
      <c r="A14289" s="1" t="str">
        <f t="shared" si="542"/>
        <v>25880</v>
      </c>
      <c r="B14289" s="1" t="str">
        <f>"49282"</f>
        <v>49282</v>
      </c>
      <c r="C14289" s="2">
        <v>7.8125E-3</v>
      </c>
      <c r="D14289" s="2">
        <v>8.3402835696413599E-4</v>
      </c>
      <c r="E14289" s="2">
        <v>2.0040080160320601E-3</v>
      </c>
      <c r="F14289" s="2">
        <v>7.3425114726741701E-3</v>
      </c>
    </row>
    <row r="14290" spans="1:6" x14ac:dyDescent="0.25">
      <c r="A14290" s="1" t="str">
        <f t="shared" si="542"/>
        <v>25880</v>
      </c>
      <c r="B14290" s="1" t="str">
        <f>"49257"</f>
        <v>49257</v>
      </c>
      <c r="C14290" s="2">
        <v>0</v>
      </c>
      <c r="D14290" s="2">
        <v>0</v>
      </c>
      <c r="E14290" s="2">
        <v>2.0040080160320601E-3</v>
      </c>
      <c r="F14290" s="2">
        <v>4.1718815185648702E-5</v>
      </c>
    </row>
    <row r="14291" spans="1:6" x14ac:dyDescent="0.25">
      <c r="A14291" s="1" t="str">
        <f t="shared" si="542"/>
        <v>25880</v>
      </c>
      <c r="B14291" s="1" t="str">
        <f>"49220"</f>
        <v>49220</v>
      </c>
      <c r="C14291" s="2">
        <v>6.1961206896551701E-3</v>
      </c>
      <c r="D14291" s="2">
        <v>7.5062552126772299E-3</v>
      </c>
      <c r="E14291" s="2">
        <v>0</v>
      </c>
      <c r="F14291" s="2">
        <v>6.1326658322903597E-3</v>
      </c>
    </row>
    <row r="14292" spans="1:6" x14ac:dyDescent="0.25">
      <c r="A14292" s="1" t="str">
        <f t="shared" si="542"/>
        <v>25880</v>
      </c>
      <c r="B14292" s="1" t="str">
        <f>"49247"</f>
        <v>49247</v>
      </c>
      <c r="C14292" s="2">
        <v>2.8780531609195401E-2</v>
      </c>
      <c r="D14292" s="2">
        <v>1.8348623853211E-2</v>
      </c>
      <c r="E14292" s="2">
        <v>2.0040080160320599E-2</v>
      </c>
      <c r="F14292" s="2">
        <v>2.8076762619941499E-2</v>
      </c>
    </row>
    <row r="14293" spans="1:6" x14ac:dyDescent="0.25">
      <c r="A14293" s="1" t="str">
        <f t="shared" si="542"/>
        <v>25880</v>
      </c>
      <c r="B14293" s="1" t="str">
        <f>"49250"</f>
        <v>49250</v>
      </c>
      <c r="C14293" s="2">
        <v>0.11938757183908</v>
      </c>
      <c r="D14293" s="2">
        <v>0.192660550458715</v>
      </c>
      <c r="E14293" s="2">
        <v>0.190380761523046</v>
      </c>
      <c r="F14293" s="2">
        <v>0.124530663329161</v>
      </c>
    </row>
    <row r="14294" spans="1:6" x14ac:dyDescent="0.25">
      <c r="A14294" s="1" t="str">
        <f t="shared" si="542"/>
        <v>25880</v>
      </c>
      <c r="B14294" s="1" t="str">
        <f>"49258"</f>
        <v>49258</v>
      </c>
      <c r="C14294" s="2">
        <v>4.4899425287356301E-5</v>
      </c>
      <c r="D14294" s="2">
        <v>0</v>
      </c>
      <c r="E14294" s="2">
        <v>2.0040080160320601E-3</v>
      </c>
      <c r="F14294" s="2">
        <v>8.3437630371297405E-5</v>
      </c>
    </row>
    <row r="14295" spans="1:6" x14ac:dyDescent="0.25">
      <c r="A14295" s="1" t="str">
        <f t="shared" si="542"/>
        <v>25880</v>
      </c>
      <c r="B14295" s="1" t="str">
        <f>"49245"</f>
        <v>49245</v>
      </c>
      <c r="C14295" s="2">
        <v>3.1429597701149398E-4</v>
      </c>
      <c r="D14295" s="2">
        <v>0</v>
      </c>
      <c r="E14295" s="2">
        <v>0</v>
      </c>
      <c r="F14295" s="2">
        <v>2.9203170629954099E-4</v>
      </c>
    </row>
    <row r="14296" spans="1:6" x14ac:dyDescent="0.25">
      <c r="A14296" s="1" t="str">
        <f t="shared" si="542"/>
        <v>25880</v>
      </c>
      <c r="B14296" s="1" t="str">
        <f>"49242"</f>
        <v>49242</v>
      </c>
      <c r="C14296" s="2">
        <v>0.30598958333333298</v>
      </c>
      <c r="D14296" s="2">
        <v>0.56130108423686398</v>
      </c>
      <c r="E14296" s="2">
        <v>0.54108216432865697</v>
      </c>
      <c r="F14296" s="2">
        <v>0.32365456821026201</v>
      </c>
    </row>
    <row r="14297" spans="1:6" x14ac:dyDescent="0.25">
      <c r="A14297" s="1" t="str">
        <f t="shared" si="542"/>
        <v>25880</v>
      </c>
      <c r="B14297" s="1" t="str">
        <f>"49252"</f>
        <v>49252</v>
      </c>
      <c r="C14297" s="2">
        <v>4.9344468390804502E-2</v>
      </c>
      <c r="D14297" s="2">
        <v>2.5020850708924101E-2</v>
      </c>
      <c r="E14297" s="2">
        <v>0.10420841683366699</v>
      </c>
      <c r="F14297" s="2">
        <v>4.9269920734251099E-2</v>
      </c>
    </row>
    <row r="14298" spans="1:6" x14ac:dyDescent="0.25">
      <c r="A14298" s="1" t="str">
        <f t="shared" si="542"/>
        <v>25880</v>
      </c>
      <c r="B14298" s="1" t="str">
        <f>"49249"</f>
        <v>49249</v>
      </c>
      <c r="C14298" s="2">
        <v>7.5835129310344807E-2</v>
      </c>
      <c r="D14298" s="2">
        <v>9.1743119266054999E-3</v>
      </c>
      <c r="E14298" s="2">
        <v>1.8036072144288502E-2</v>
      </c>
      <c r="F14298" s="2">
        <v>7.1297455152273606E-2</v>
      </c>
    </row>
    <row r="14299" spans="1:6" x14ac:dyDescent="0.25">
      <c r="A14299" s="1" t="str">
        <f t="shared" si="542"/>
        <v>25880</v>
      </c>
      <c r="B14299" s="1" t="str">
        <f>"49271"</f>
        <v>49271</v>
      </c>
      <c r="C14299" s="2">
        <v>4.3103448275862002E-2</v>
      </c>
      <c r="D14299" s="2">
        <v>1.66805671392827E-2</v>
      </c>
      <c r="E14299" s="2">
        <v>4.0080160320641201E-3</v>
      </c>
      <c r="F14299" s="2">
        <v>4.0967876512307003E-2</v>
      </c>
    </row>
    <row r="14300" spans="1:6" x14ac:dyDescent="0.25">
      <c r="A14300" s="1" t="str">
        <f t="shared" si="542"/>
        <v>25880</v>
      </c>
      <c r="B14300" s="1" t="str">
        <f>"49227"</f>
        <v>49227</v>
      </c>
      <c r="C14300" s="2">
        <v>2.89601293103448E-2</v>
      </c>
      <c r="D14300" s="2">
        <v>2.7522935779816501E-2</v>
      </c>
      <c r="E14300" s="2">
        <v>1.40280561122244E-2</v>
      </c>
      <c r="F14300" s="2">
        <v>2.85773884021693E-2</v>
      </c>
    </row>
    <row r="14301" spans="1:6" x14ac:dyDescent="0.25">
      <c r="A14301" s="1" t="str">
        <f t="shared" si="542"/>
        <v>25880</v>
      </c>
      <c r="B14301" s="1" t="str">
        <f>"49274"</f>
        <v>49274</v>
      </c>
      <c r="C14301" s="2">
        <v>8.0639367816091906E-2</v>
      </c>
      <c r="D14301" s="2">
        <v>2.5854879065888198E-2</v>
      </c>
      <c r="E14301" s="2">
        <v>3.4068136272544999E-2</v>
      </c>
      <c r="F14301" s="2">
        <v>7.6929495202336204E-2</v>
      </c>
    </row>
    <row r="14302" spans="1:6" x14ac:dyDescent="0.25">
      <c r="A14302" s="1" t="str">
        <f t="shared" si="542"/>
        <v>25880</v>
      </c>
      <c r="B14302" s="1" t="str">
        <f>"49239"</f>
        <v>49239</v>
      </c>
      <c r="C14302" s="2">
        <v>0</v>
      </c>
      <c r="D14302" s="2">
        <v>8.3402835696413599E-4</v>
      </c>
      <c r="E14302" s="2">
        <v>0</v>
      </c>
      <c r="F14302" s="2">
        <v>4.1718815185648702E-5</v>
      </c>
    </row>
    <row r="14303" spans="1:6" x14ac:dyDescent="0.25">
      <c r="A14303" s="1" t="str">
        <f t="shared" si="542"/>
        <v>25880</v>
      </c>
      <c r="B14303" s="1" t="str">
        <f>"49281"</f>
        <v>49281</v>
      </c>
      <c r="C14303" s="2">
        <v>0</v>
      </c>
      <c r="D14303" s="2">
        <v>8.3402835696413599E-4</v>
      </c>
      <c r="E14303" s="2">
        <v>0</v>
      </c>
      <c r="F14303" s="2">
        <v>4.1718815185648702E-5</v>
      </c>
    </row>
    <row r="14304" spans="1:6" x14ac:dyDescent="0.25">
      <c r="A14304" s="1" t="str">
        <f t="shared" si="542"/>
        <v>25880</v>
      </c>
      <c r="B14304" s="1" t="str">
        <f>"49232"</f>
        <v>49232</v>
      </c>
      <c r="C14304" s="2">
        <v>6.3353089080459696E-2</v>
      </c>
      <c r="D14304" s="2">
        <v>1.5846538782318498E-2</v>
      </c>
      <c r="E14304" s="2">
        <v>1.40280561122244E-2</v>
      </c>
      <c r="F14304" s="2">
        <v>5.9949937421777198E-2</v>
      </c>
    </row>
    <row r="14305" spans="1:6" x14ac:dyDescent="0.25">
      <c r="A14305" s="1" t="str">
        <f t="shared" si="542"/>
        <v>25880</v>
      </c>
      <c r="B14305" s="1" t="str">
        <f>"49288"</f>
        <v>49288</v>
      </c>
      <c r="C14305" s="2">
        <v>2.6311063218390801E-2</v>
      </c>
      <c r="D14305" s="2">
        <v>2.4186822351959899E-2</v>
      </c>
      <c r="E14305" s="2">
        <v>1.40280561122244E-2</v>
      </c>
      <c r="F14305" s="2">
        <v>2.5949103045473501E-2</v>
      </c>
    </row>
    <row r="14306" spans="1:6" x14ac:dyDescent="0.25">
      <c r="A14306" s="1" t="str">
        <f t="shared" si="542"/>
        <v>25880</v>
      </c>
      <c r="B14306" s="1" t="str">
        <f>"49233"</f>
        <v>49233</v>
      </c>
      <c r="C14306" s="2">
        <v>3.6368534482758598E-2</v>
      </c>
      <c r="D14306" s="2">
        <v>9.1743119266054999E-3</v>
      </c>
      <c r="E14306" s="2">
        <v>4.0080160320641201E-3</v>
      </c>
      <c r="F14306" s="2">
        <v>3.43345848977889E-2</v>
      </c>
    </row>
    <row r="14307" spans="1:6" x14ac:dyDescent="0.25">
      <c r="A14307" s="1" t="str">
        <f t="shared" si="542"/>
        <v>25880</v>
      </c>
      <c r="B14307" s="1" t="str">
        <f>"49246"</f>
        <v>49246</v>
      </c>
      <c r="C14307" s="2">
        <v>3.2327586206896499E-3</v>
      </c>
      <c r="D14307" s="2">
        <v>2.5020850708924098E-3</v>
      </c>
      <c r="E14307" s="2">
        <v>0</v>
      </c>
      <c r="F14307" s="2">
        <v>3.1289111389236502E-3</v>
      </c>
    </row>
    <row r="14308" spans="1:6" x14ac:dyDescent="0.25">
      <c r="A14308" s="1" t="str">
        <f t="shared" si="542"/>
        <v>25880</v>
      </c>
      <c r="B14308" s="1" t="str">
        <f>"49082"</f>
        <v>49082</v>
      </c>
      <c r="C14308" s="2">
        <v>7.4533045977011403E-3</v>
      </c>
      <c r="D14308" s="2">
        <v>4.1701417848206803E-3</v>
      </c>
      <c r="E14308" s="2">
        <v>4.0080160320641201E-3</v>
      </c>
      <c r="F14308" s="2">
        <v>7.2173550271172199E-3</v>
      </c>
    </row>
    <row r="14309" spans="1:6" x14ac:dyDescent="0.25">
      <c r="A14309" s="1" t="str">
        <f t="shared" si="542"/>
        <v>25880</v>
      </c>
      <c r="B14309" s="1" t="str">
        <f>"49262"</f>
        <v>49262</v>
      </c>
      <c r="C14309" s="2">
        <v>2.57273706896551E-2</v>
      </c>
      <c r="D14309" s="2">
        <v>2.08507089241034E-2</v>
      </c>
      <c r="E14309" s="2">
        <v>6.0120240480961897E-3</v>
      </c>
      <c r="F14309" s="2">
        <v>2.5073007926574801E-2</v>
      </c>
    </row>
    <row r="14310" spans="1:6" x14ac:dyDescent="0.25">
      <c r="A14310" s="1" t="str">
        <f t="shared" si="542"/>
        <v>25880</v>
      </c>
      <c r="B14310" s="1" t="str">
        <f>"49266"</f>
        <v>49266</v>
      </c>
      <c r="C14310" s="2">
        <v>7.0761494252873494E-2</v>
      </c>
      <c r="D14310" s="2">
        <v>3.2527105921601303E-2</v>
      </c>
      <c r="E14310" s="2">
        <v>1.6032064128256501E-2</v>
      </c>
      <c r="F14310" s="2">
        <v>6.7709637046307794E-2</v>
      </c>
    </row>
    <row r="14311" spans="1:6" x14ac:dyDescent="0.25">
      <c r="A14311" s="1" t="str">
        <f t="shared" ref="A14311:A14342" si="543">"25900"</f>
        <v>25900</v>
      </c>
      <c r="B14311" s="1" t="str">
        <f>"96704"</f>
        <v>96704</v>
      </c>
      <c r="C14311" s="2">
        <v>2.3068103645952701E-2</v>
      </c>
      <c r="D14311" s="2">
        <v>4.7460365545794201E-3</v>
      </c>
      <c r="E14311" s="2">
        <v>4.41216771718278E-2</v>
      </c>
      <c r="F14311" s="2">
        <v>2.2029928948517401E-2</v>
      </c>
    </row>
    <row r="14312" spans="1:6" x14ac:dyDescent="0.25">
      <c r="A14312" s="1" t="str">
        <f t="shared" si="543"/>
        <v>25900</v>
      </c>
      <c r="B14312" s="1" t="str">
        <f>"96750"</f>
        <v>96750</v>
      </c>
      <c r="C14312" s="2">
        <v>3.1724375143315699E-2</v>
      </c>
      <c r="D14312" s="2">
        <v>3.7160456427345202E-2</v>
      </c>
      <c r="E14312" s="2">
        <v>1.9731433269388799E-2</v>
      </c>
      <c r="F14312" s="2">
        <v>3.1824316278331197E-2</v>
      </c>
    </row>
    <row r="14313" spans="1:6" x14ac:dyDescent="0.25">
      <c r="A14313" s="1" t="str">
        <f t="shared" si="543"/>
        <v>25900</v>
      </c>
      <c r="B14313" s="1" t="str">
        <f>"96727"</f>
        <v>96727</v>
      </c>
      <c r="C14313" s="2">
        <v>6.5810593900481502E-3</v>
      </c>
      <c r="D14313" s="2">
        <v>1.0299909118448899E-2</v>
      </c>
      <c r="E14313" s="2">
        <v>1.6168813373526901E-2</v>
      </c>
      <c r="F14313" s="2">
        <v>7.2936926924145502E-3</v>
      </c>
    </row>
    <row r="14314" spans="1:6" x14ac:dyDescent="0.25">
      <c r="A14314" s="1" t="str">
        <f t="shared" si="543"/>
        <v>25900</v>
      </c>
      <c r="B14314" s="1" t="str">
        <f>"96725"</f>
        <v>96725</v>
      </c>
      <c r="C14314" s="2">
        <v>2.3331804631965099E-2</v>
      </c>
      <c r="D14314" s="2">
        <v>1.04008886196102E-2</v>
      </c>
      <c r="E14314" s="2">
        <v>4.41216771718278E-2</v>
      </c>
      <c r="F14314" s="2">
        <v>2.2813876870559201E-2</v>
      </c>
    </row>
    <row r="14315" spans="1:6" x14ac:dyDescent="0.25">
      <c r="A14315" s="1" t="str">
        <f t="shared" si="543"/>
        <v>25900</v>
      </c>
      <c r="B14315" s="1" t="str">
        <f>"96773"</f>
        <v>96773</v>
      </c>
      <c r="C14315" s="2">
        <v>0</v>
      </c>
      <c r="D14315" s="2">
        <v>1.00979501161264E-4</v>
      </c>
      <c r="E14315" s="2">
        <v>0</v>
      </c>
      <c r="F14315" s="2">
        <v>9.9233914182510992E-6</v>
      </c>
    </row>
    <row r="14316" spans="1:6" x14ac:dyDescent="0.25">
      <c r="A14316" s="1" t="str">
        <f t="shared" si="543"/>
        <v>25900</v>
      </c>
      <c r="B14316" s="1" t="str">
        <f>"96718"</f>
        <v>96718</v>
      </c>
      <c r="C14316" s="2">
        <v>0</v>
      </c>
      <c r="D14316" s="2">
        <v>1.00979501161264E-4</v>
      </c>
      <c r="E14316" s="2">
        <v>0</v>
      </c>
      <c r="F14316" s="2">
        <v>9.9233914182510992E-6</v>
      </c>
    </row>
    <row r="14317" spans="1:6" x14ac:dyDescent="0.25">
      <c r="A14317" s="1" t="str">
        <f t="shared" si="543"/>
        <v>25900</v>
      </c>
      <c r="B14317" s="1" t="str">
        <f>"96737"</f>
        <v>96737</v>
      </c>
      <c r="C14317" s="2">
        <v>0</v>
      </c>
      <c r="D14317" s="2">
        <v>2.01959002322528E-4</v>
      </c>
      <c r="E14317" s="2">
        <v>0</v>
      </c>
      <c r="F14317" s="2">
        <v>1.9846782836502198E-5</v>
      </c>
    </row>
    <row r="14318" spans="1:6" x14ac:dyDescent="0.25">
      <c r="A14318" s="1" t="str">
        <f t="shared" si="543"/>
        <v>25900</v>
      </c>
      <c r="B14318" s="1" t="str">
        <f>"96740"</f>
        <v>96740</v>
      </c>
      <c r="C14318" s="2">
        <v>0.19249025452877699</v>
      </c>
      <c r="D14318" s="2">
        <v>0.28950822982934399</v>
      </c>
      <c r="E14318" s="2">
        <v>0.28528363935324702</v>
      </c>
      <c r="F14318" s="2">
        <v>0.20538443218354299</v>
      </c>
    </row>
    <row r="14319" spans="1:6" x14ac:dyDescent="0.25">
      <c r="A14319" s="1" t="str">
        <f t="shared" si="543"/>
        <v>25900</v>
      </c>
      <c r="B14319" s="1" t="str">
        <f>"96743"</f>
        <v>96743</v>
      </c>
      <c r="C14319" s="2">
        <v>0.100286631506535</v>
      </c>
      <c r="D14319" s="2">
        <v>9.2598202564879301E-2</v>
      </c>
      <c r="E14319" s="2">
        <v>6.3579062756919699E-2</v>
      </c>
      <c r="F14319" s="2">
        <v>9.8201881475012895E-2</v>
      </c>
    </row>
    <row r="14320" spans="1:6" x14ac:dyDescent="0.25">
      <c r="A14320" s="1" t="str">
        <f t="shared" si="543"/>
        <v>25900</v>
      </c>
      <c r="B14320" s="1" t="str">
        <f>"96755"</f>
        <v>96755</v>
      </c>
      <c r="C14320" s="2">
        <v>1.7014446227929299E-2</v>
      </c>
      <c r="D14320" s="2">
        <v>9.2901141068363093E-3</v>
      </c>
      <c r="E14320" s="2">
        <v>8.2214305289120303E-4</v>
      </c>
      <c r="F14320" s="2">
        <v>1.5669035049418401E-2</v>
      </c>
    </row>
    <row r="14321" spans="1:6" x14ac:dyDescent="0.25">
      <c r="A14321" s="1" t="str">
        <f t="shared" si="543"/>
        <v>25900</v>
      </c>
      <c r="B14321" s="1" t="str">
        <f>"96774"</f>
        <v>96774</v>
      </c>
      <c r="C14321" s="2">
        <v>0</v>
      </c>
      <c r="D14321" s="2">
        <v>1.00979501161264E-4</v>
      </c>
      <c r="E14321" s="2">
        <v>2.7404768429706701E-4</v>
      </c>
      <c r="F14321" s="2">
        <v>1.9846782836502198E-5</v>
      </c>
    </row>
    <row r="14322" spans="1:6" x14ac:dyDescent="0.25">
      <c r="A14322" s="1" t="str">
        <f t="shared" si="543"/>
        <v>25900</v>
      </c>
      <c r="B14322" s="1" t="str">
        <f>"96785"</f>
        <v>96785</v>
      </c>
      <c r="C14322" s="2">
        <v>1.14652602614079E-5</v>
      </c>
      <c r="D14322" s="2">
        <v>1.00979501161264E-4</v>
      </c>
      <c r="E14322" s="2">
        <v>0</v>
      </c>
      <c r="F14322" s="2">
        <v>1.9846782836502198E-5</v>
      </c>
    </row>
    <row r="14323" spans="1:6" x14ac:dyDescent="0.25">
      <c r="A14323" s="1" t="str">
        <f t="shared" si="543"/>
        <v>25900</v>
      </c>
      <c r="B14323" s="1" t="str">
        <f>"96776"</f>
        <v>96776</v>
      </c>
      <c r="C14323" s="2">
        <v>0</v>
      </c>
      <c r="D14323" s="2">
        <v>0</v>
      </c>
      <c r="E14323" s="2">
        <v>2.7404768429706701E-4</v>
      </c>
      <c r="F14323" s="2">
        <v>9.9233914182510992E-6</v>
      </c>
    </row>
    <row r="14324" spans="1:6" x14ac:dyDescent="0.25">
      <c r="A14324" s="1" t="str">
        <f t="shared" si="543"/>
        <v>25900</v>
      </c>
      <c r="B14324" s="1" t="str">
        <f>"96710"</f>
        <v>96710</v>
      </c>
      <c r="C14324" s="2">
        <v>0</v>
      </c>
      <c r="D14324" s="2">
        <v>1.00979501161264E-4</v>
      </c>
      <c r="E14324" s="2">
        <v>0</v>
      </c>
      <c r="F14324" s="2">
        <v>9.9233914182510992E-6</v>
      </c>
    </row>
    <row r="14325" spans="1:6" x14ac:dyDescent="0.25">
      <c r="A14325" s="1" t="str">
        <f t="shared" si="543"/>
        <v>25900</v>
      </c>
      <c r="B14325" s="1" t="str">
        <f>"96771"</f>
        <v>96771</v>
      </c>
      <c r="C14325" s="2">
        <v>2.04081632653061E-2</v>
      </c>
      <c r="D14325" s="2">
        <v>2.4235080278703401E-3</v>
      </c>
      <c r="E14325" s="2">
        <v>5.4809536859413499E-4</v>
      </c>
      <c r="F14325" s="2">
        <v>1.7921644901361399E-2</v>
      </c>
    </row>
    <row r="14326" spans="1:6" x14ac:dyDescent="0.25">
      <c r="A14326" s="1" t="str">
        <f t="shared" si="543"/>
        <v>25900</v>
      </c>
      <c r="B14326" s="1" t="str">
        <f>"96764"</f>
        <v>96764</v>
      </c>
      <c r="C14326" s="2">
        <v>0</v>
      </c>
      <c r="D14326" s="2">
        <v>1.00979501161264E-4</v>
      </c>
      <c r="E14326" s="2">
        <v>0</v>
      </c>
      <c r="F14326" s="2">
        <v>9.9233914182510992E-6</v>
      </c>
    </row>
    <row r="14327" spans="1:6" x14ac:dyDescent="0.25">
      <c r="A14327" s="1" t="str">
        <f t="shared" si="543"/>
        <v>25900</v>
      </c>
      <c r="B14327" s="1" t="str">
        <f>"96728"</f>
        <v>96728</v>
      </c>
      <c r="C14327" s="2">
        <v>0</v>
      </c>
      <c r="D14327" s="2">
        <v>1.00979501161264E-4</v>
      </c>
      <c r="E14327" s="2">
        <v>0</v>
      </c>
      <c r="F14327" s="2">
        <v>9.9233914182510992E-6</v>
      </c>
    </row>
    <row r="14328" spans="1:6" x14ac:dyDescent="0.25">
      <c r="A14328" s="1" t="str">
        <f t="shared" si="543"/>
        <v>25900</v>
      </c>
      <c r="B14328" s="1" t="str">
        <f>"96745"</f>
        <v>96745</v>
      </c>
      <c r="C14328" s="2">
        <v>4.1538637927080901E-2</v>
      </c>
      <c r="D14328" s="2">
        <v>7.4219933353529194E-2</v>
      </c>
      <c r="E14328" s="2">
        <v>5.4809536859413499E-4</v>
      </c>
      <c r="F14328" s="2">
        <v>4.3265986583574799E-2</v>
      </c>
    </row>
    <row r="14329" spans="1:6" x14ac:dyDescent="0.25">
      <c r="A14329" s="1" t="str">
        <f t="shared" si="543"/>
        <v>25900</v>
      </c>
      <c r="B14329" s="1" t="str">
        <f>"96783"</f>
        <v>96783</v>
      </c>
      <c r="C14329" s="2">
        <v>3.00389818848887E-3</v>
      </c>
      <c r="D14329" s="2">
        <v>4.0391800464505698E-4</v>
      </c>
      <c r="E14329" s="2">
        <v>2.19238147437654E-3</v>
      </c>
      <c r="F14329" s="2">
        <v>2.7190092486008002E-3</v>
      </c>
    </row>
    <row r="14330" spans="1:6" x14ac:dyDescent="0.25">
      <c r="A14330" s="1" t="str">
        <f t="shared" si="543"/>
        <v>25900</v>
      </c>
      <c r="B14330" s="1" t="str">
        <f>"96720"</f>
        <v>96720</v>
      </c>
      <c r="C14330" s="2">
        <v>0.26068562256363198</v>
      </c>
      <c r="D14330" s="2">
        <v>0.35595274159345602</v>
      </c>
      <c r="E14330" s="2">
        <v>0.44998629761578501</v>
      </c>
      <c r="F14330" s="2">
        <v>0.27690231413487798</v>
      </c>
    </row>
    <row r="14331" spans="1:6" x14ac:dyDescent="0.25">
      <c r="A14331" s="1" t="str">
        <f t="shared" si="543"/>
        <v>25900</v>
      </c>
      <c r="B14331" s="1" t="str">
        <f>"96738"</f>
        <v>96738</v>
      </c>
      <c r="C14331" s="2">
        <v>6.7553313460215494E-2</v>
      </c>
      <c r="D14331" s="2">
        <v>2.60527112996061E-2</v>
      </c>
      <c r="E14331" s="2">
        <v>2.82269114825979E-2</v>
      </c>
      <c r="F14331" s="2">
        <v>6.20509665383241E-2</v>
      </c>
    </row>
    <row r="14332" spans="1:6" x14ac:dyDescent="0.25">
      <c r="A14332" s="1" t="str">
        <f t="shared" si="543"/>
        <v>25900</v>
      </c>
      <c r="B14332" s="1" t="str">
        <f>"96780"</f>
        <v>96780</v>
      </c>
      <c r="C14332" s="2">
        <v>0</v>
      </c>
      <c r="D14332" s="2">
        <v>1.00979501161264E-4</v>
      </c>
      <c r="E14332" s="2">
        <v>0</v>
      </c>
      <c r="F14332" s="2">
        <v>9.9233914182510992E-6</v>
      </c>
    </row>
    <row r="14333" spans="1:6" x14ac:dyDescent="0.25">
      <c r="A14333" s="1" t="str">
        <f t="shared" si="543"/>
        <v>25900</v>
      </c>
      <c r="B14333" s="1" t="str">
        <f>"96726"</f>
        <v>96726</v>
      </c>
      <c r="C14333" s="2">
        <v>0</v>
      </c>
      <c r="D14333" s="2">
        <v>0</v>
      </c>
      <c r="E14333" s="2">
        <v>2.7404768429706701E-4</v>
      </c>
      <c r="F14333" s="2">
        <v>9.9233914182510992E-6</v>
      </c>
    </row>
    <row r="14334" spans="1:6" x14ac:dyDescent="0.25">
      <c r="A14334" s="1" t="str">
        <f t="shared" si="543"/>
        <v>25900</v>
      </c>
      <c r="B14334" s="1" t="str">
        <f>"96760"</f>
        <v>96760</v>
      </c>
      <c r="C14334" s="2">
        <v>1.5168539325842599E-2</v>
      </c>
      <c r="D14334" s="2">
        <v>4.4430980510956203E-3</v>
      </c>
      <c r="E14334" s="2">
        <v>1.3702384214853299E-3</v>
      </c>
      <c r="F14334" s="2">
        <v>1.3614893025840499E-2</v>
      </c>
    </row>
    <row r="14335" spans="1:6" x14ac:dyDescent="0.25">
      <c r="A14335" s="1" t="str">
        <f t="shared" si="543"/>
        <v>25900</v>
      </c>
      <c r="B14335" s="1" t="str">
        <f>"96772"</f>
        <v>96772</v>
      </c>
      <c r="C14335" s="2">
        <v>1.14652602614079E-5</v>
      </c>
      <c r="D14335" s="2">
        <v>1.00979501161264E-4</v>
      </c>
      <c r="E14335" s="2">
        <v>0</v>
      </c>
      <c r="F14335" s="2">
        <v>1.9846782836502198E-5</v>
      </c>
    </row>
    <row r="14336" spans="1:6" x14ac:dyDescent="0.25">
      <c r="A14336" s="1" t="str">
        <f t="shared" si="543"/>
        <v>25900</v>
      </c>
      <c r="B14336" s="1" t="str">
        <f>"96719"</f>
        <v>96719</v>
      </c>
      <c r="C14336" s="2">
        <v>0</v>
      </c>
      <c r="D14336" s="2">
        <v>0</v>
      </c>
      <c r="E14336" s="2">
        <v>5.4809536859413499E-4</v>
      </c>
      <c r="F14336" s="2">
        <v>1.9846782836502198E-5</v>
      </c>
    </row>
    <row r="14337" spans="1:6" x14ac:dyDescent="0.25">
      <c r="A14337" s="1" t="str">
        <f t="shared" si="543"/>
        <v>25900</v>
      </c>
      <c r="B14337" s="1" t="str">
        <f>"96777"</f>
        <v>96777</v>
      </c>
      <c r="C14337" s="2">
        <v>1.14652602614079E-5</v>
      </c>
      <c r="D14337" s="2">
        <v>0</v>
      </c>
      <c r="E14337" s="2">
        <v>2.7404768429706701E-4</v>
      </c>
      <c r="F14337" s="2">
        <v>1.9846782836502198E-5</v>
      </c>
    </row>
    <row r="14338" spans="1:6" x14ac:dyDescent="0.25">
      <c r="A14338" s="1" t="str">
        <f t="shared" si="543"/>
        <v>25900</v>
      </c>
      <c r="B14338" s="1" t="str">
        <f>"96739"</f>
        <v>96739</v>
      </c>
      <c r="C14338" s="2">
        <v>1.10525108919972E-2</v>
      </c>
      <c r="D14338" s="2">
        <v>7.7754215894173398E-3</v>
      </c>
      <c r="E14338" s="2">
        <v>5.4809536859413499E-4</v>
      </c>
      <c r="F14338" s="2">
        <v>1.0350097249235799E-2</v>
      </c>
    </row>
    <row r="14339" spans="1:6" x14ac:dyDescent="0.25">
      <c r="A14339" s="1" t="str">
        <f t="shared" si="543"/>
        <v>25900</v>
      </c>
      <c r="B14339" s="1" t="str">
        <f>"96749"</f>
        <v>96749</v>
      </c>
      <c r="C14339" s="2">
        <v>6.4503554230681007E-2</v>
      </c>
      <c r="D14339" s="2">
        <v>3.32222558820559E-2</v>
      </c>
      <c r="E14339" s="2">
        <v>2.0553576322279998E-2</v>
      </c>
      <c r="F14339" s="2">
        <v>5.9838050252054097E-2</v>
      </c>
    </row>
    <row r="14340" spans="1:6" x14ac:dyDescent="0.25">
      <c r="A14340" s="1" t="str">
        <f t="shared" si="543"/>
        <v>25900</v>
      </c>
      <c r="B14340" s="1" t="str">
        <f>"96781"</f>
        <v>96781</v>
      </c>
      <c r="C14340" s="2">
        <v>2.3847741343728502E-3</v>
      </c>
      <c r="D14340" s="2">
        <v>1.3127335150964301E-3</v>
      </c>
      <c r="E14340" s="2">
        <v>3.28857221156481E-3</v>
      </c>
      <c r="F14340" s="2">
        <v>2.3121502004524999E-3</v>
      </c>
    </row>
    <row r="14341" spans="1:6" x14ac:dyDescent="0.25">
      <c r="A14341" s="1" t="str">
        <f t="shared" si="543"/>
        <v>25900</v>
      </c>
      <c r="B14341" s="1" t="str">
        <f>"96778"</f>
        <v>96778</v>
      </c>
      <c r="C14341" s="2">
        <v>9.4244439348773204E-2</v>
      </c>
      <c r="D14341" s="2">
        <v>1.4137130162576899E-2</v>
      </c>
      <c r="E14341" s="2">
        <v>1.69909564264181E-2</v>
      </c>
      <c r="F14341" s="2">
        <v>8.3574802524510702E-2</v>
      </c>
    </row>
    <row r="14342" spans="1:6" x14ac:dyDescent="0.25">
      <c r="A14342" s="1" t="str">
        <f t="shared" si="543"/>
        <v>25900</v>
      </c>
      <c r="B14342" s="1" t="str">
        <f>"96721"</f>
        <v>96721</v>
      </c>
      <c r="C14342" s="2">
        <v>2.49254758083008E-2</v>
      </c>
      <c r="D14342" s="2">
        <v>2.4941936786832201E-2</v>
      </c>
      <c r="E14342" s="2">
        <v>2.7404768429706701E-4</v>
      </c>
      <c r="F14342" s="2">
        <v>2.4034454015004099E-2</v>
      </c>
    </row>
    <row r="14343" spans="1:6" x14ac:dyDescent="0.25">
      <c r="A14343" s="1" t="str">
        <f t="shared" ref="A14343:A14370" si="544">"25940"</f>
        <v>25940</v>
      </c>
      <c r="B14343" s="1" t="str">
        <f>"29928"</f>
        <v>29928</v>
      </c>
      <c r="C14343" s="2">
        <v>0.151785848221652</v>
      </c>
      <c r="D14343" s="2">
        <v>0.134654879899991</v>
      </c>
      <c r="E14343" s="2">
        <v>0.26662211827597698</v>
      </c>
      <c r="F14343" s="2">
        <v>0.15281524966444701</v>
      </c>
    </row>
    <row r="14344" spans="1:6" x14ac:dyDescent="0.25">
      <c r="A14344" s="1" t="str">
        <f t="shared" si="544"/>
        <v>25940</v>
      </c>
      <c r="B14344" s="1" t="str">
        <f>"29926"</f>
        <v>29926</v>
      </c>
      <c r="C14344" s="2">
        <v>0.10258314207281399</v>
      </c>
      <c r="D14344" s="2">
        <v>0.115635324582552</v>
      </c>
      <c r="E14344" s="2">
        <v>0.16304710992315399</v>
      </c>
      <c r="F14344" s="2">
        <v>0.104800770075516</v>
      </c>
    </row>
    <row r="14345" spans="1:6" x14ac:dyDescent="0.25">
      <c r="A14345" s="1" t="str">
        <f t="shared" si="544"/>
        <v>25940</v>
      </c>
      <c r="B14345" s="1" t="str">
        <f>"29931"</f>
        <v>29931</v>
      </c>
      <c r="C14345" s="2">
        <v>0</v>
      </c>
      <c r="D14345" s="2">
        <v>8.9293686936333595E-5</v>
      </c>
      <c r="E14345" s="2">
        <v>0</v>
      </c>
      <c r="F14345" s="2">
        <v>6.7788337694383E-6</v>
      </c>
    </row>
    <row r="14346" spans="1:6" x14ac:dyDescent="0.25">
      <c r="A14346" s="1" t="str">
        <f t="shared" si="544"/>
        <v>25940</v>
      </c>
      <c r="B14346" s="1" t="str">
        <f>"29935"</f>
        <v>29935</v>
      </c>
      <c r="C14346" s="2">
        <v>2.2801254068973702E-2</v>
      </c>
      <c r="D14346" s="2">
        <v>3.2056433610143702E-2</v>
      </c>
      <c r="E14346" s="2">
        <v>5.3123955897093199E-2</v>
      </c>
      <c r="F14346" s="2">
        <v>2.41190905516614E-2</v>
      </c>
    </row>
    <row r="14347" spans="1:6" x14ac:dyDescent="0.25">
      <c r="A14347" s="1" t="str">
        <f t="shared" si="544"/>
        <v>25940</v>
      </c>
      <c r="B14347" s="1" t="str">
        <f>"29909"</f>
        <v>29909</v>
      </c>
      <c r="C14347" s="2">
        <v>0.102688147848131</v>
      </c>
      <c r="D14347" s="2">
        <v>2.3662827038128401E-2</v>
      </c>
      <c r="E14347" s="2">
        <v>1.40327430671566E-2</v>
      </c>
      <c r="F14347" s="2">
        <v>9.4890115104597397E-2</v>
      </c>
    </row>
    <row r="14348" spans="1:6" x14ac:dyDescent="0.25">
      <c r="A14348" s="1" t="str">
        <f t="shared" si="544"/>
        <v>25940</v>
      </c>
      <c r="B14348" s="1" t="str">
        <f>"29944"</f>
        <v>29944</v>
      </c>
      <c r="C14348" s="2">
        <v>4.9502722649745695E-4</v>
      </c>
      <c r="D14348" s="2">
        <v>8.9293686936333595E-5</v>
      </c>
      <c r="E14348" s="2">
        <v>0</v>
      </c>
      <c r="F14348" s="2">
        <v>4.5418186255236602E-4</v>
      </c>
    </row>
    <row r="14349" spans="1:6" x14ac:dyDescent="0.25">
      <c r="A14349" s="1" t="str">
        <f t="shared" si="544"/>
        <v>25940</v>
      </c>
      <c r="B14349" s="1" t="str">
        <f>"29940"</f>
        <v>29940</v>
      </c>
      <c r="C14349" s="2">
        <v>1.2428183550095199E-2</v>
      </c>
      <c r="D14349" s="2">
        <v>2.7681042950263401E-3</v>
      </c>
      <c r="E14349" s="2">
        <v>2.3387905111927798E-3</v>
      </c>
      <c r="F14349" s="2">
        <v>1.1490123239197901E-2</v>
      </c>
    </row>
    <row r="14350" spans="1:6" x14ac:dyDescent="0.25">
      <c r="A14350" s="1" t="str">
        <f t="shared" si="544"/>
        <v>25940</v>
      </c>
      <c r="B14350" s="1" t="str">
        <f>"29945"</f>
        <v>29945</v>
      </c>
      <c r="C14350" s="2">
        <v>6.7053687952837396E-3</v>
      </c>
      <c r="D14350" s="2">
        <v>3.7503348513260098E-3</v>
      </c>
      <c r="E14350" s="2">
        <v>1.0023387905111899E-3</v>
      </c>
      <c r="F14350" s="2">
        <v>6.3653249095025604E-3</v>
      </c>
    </row>
    <row r="14351" spans="1:6" x14ac:dyDescent="0.25">
      <c r="A14351" s="1" t="str">
        <f t="shared" si="544"/>
        <v>25940</v>
      </c>
      <c r="B14351" s="1" t="str">
        <f>"29925"</f>
        <v>29925</v>
      </c>
      <c r="C14351" s="2">
        <v>1.12356179589877E-2</v>
      </c>
      <c r="D14351" s="2">
        <v>4.9557996249665101E-2</v>
      </c>
      <c r="E14351" s="2">
        <v>6.6822586034079496E-4</v>
      </c>
      <c r="F14351" s="2">
        <v>1.39305033961957E-2</v>
      </c>
    </row>
    <row r="14352" spans="1:6" x14ac:dyDescent="0.25">
      <c r="A14352" s="1" t="str">
        <f t="shared" si="544"/>
        <v>25940</v>
      </c>
      <c r="B14352" s="1" t="str">
        <f>"29938"</f>
        <v>29938</v>
      </c>
      <c r="C14352" s="2">
        <v>1.48958192700598E-2</v>
      </c>
      <c r="D14352" s="2">
        <v>4.92901151888561E-2</v>
      </c>
      <c r="E14352" s="2">
        <v>6.6822586034079496E-4</v>
      </c>
      <c r="F14352" s="2">
        <v>1.7218237774373198E-2</v>
      </c>
    </row>
    <row r="14353" spans="1:6" x14ac:dyDescent="0.25">
      <c r="A14353" s="1" t="str">
        <f t="shared" si="544"/>
        <v>25940</v>
      </c>
      <c r="B14353" s="1" t="str">
        <f>"29912"</f>
        <v>29912</v>
      </c>
      <c r="C14353" s="2">
        <v>2.10011550635284E-4</v>
      </c>
      <c r="D14353" s="2">
        <v>8.9293686936333598E-4</v>
      </c>
      <c r="E14353" s="2">
        <v>3.3411293017039699E-4</v>
      </c>
      <c r="F14353" s="2">
        <v>2.6437451700809302E-4</v>
      </c>
    </row>
    <row r="14354" spans="1:6" x14ac:dyDescent="0.25">
      <c r="A14354" s="1" t="str">
        <f t="shared" si="544"/>
        <v>25940</v>
      </c>
      <c r="B14354" s="1" t="str">
        <f>"29904"</f>
        <v>29904</v>
      </c>
      <c r="C14354" s="2">
        <v>1.50008250453774E-5</v>
      </c>
      <c r="D14354" s="2">
        <v>1.78587373872667E-4</v>
      </c>
      <c r="E14354" s="2">
        <v>3.3411293017039699E-4</v>
      </c>
      <c r="F14354" s="2">
        <v>3.3894168847191502E-5</v>
      </c>
    </row>
    <row r="14355" spans="1:6" x14ac:dyDescent="0.25">
      <c r="A14355" s="1" t="str">
        <f t="shared" si="544"/>
        <v>25940</v>
      </c>
      <c r="B14355" s="1" t="str">
        <f>"29934"</f>
        <v>29934</v>
      </c>
      <c r="C14355" s="2">
        <v>3.7802079114351199E-3</v>
      </c>
      <c r="D14355" s="2">
        <v>3.57174747745334E-4</v>
      </c>
      <c r="E14355" s="2">
        <v>0</v>
      </c>
      <c r="F14355" s="2">
        <v>3.4436475548746499E-3</v>
      </c>
    </row>
    <row r="14356" spans="1:6" x14ac:dyDescent="0.25">
      <c r="A14356" s="1" t="str">
        <f t="shared" si="544"/>
        <v>25940</v>
      </c>
      <c r="B14356" s="1" t="str">
        <f>"29910"</f>
        <v>29910</v>
      </c>
      <c r="C14356" s="2">
        <v>0.18655776067683699</v>
      </c>
      <c r="D14356" s="2">
        <v>0.21778730243771699</v>
      </c>
      <c r="E14356" s="2">
        <v>0.20046775810223799</v>
      </c>
      <c r="F14356" s="2">
        <v>0.189210808172561</v>
      </c>
    </row>
    <row r="14357" spans="1:6" x14ac:dyDescent="0.25">
      <c r="A14357" s="1" t="str">
        <f t="shared" si="544"/>
        <v>25940</v>
      </c>
      <c r="B14357" s="1" t="str">
        <f>"29920"</f>
        <v>29920</v>
      </c>
      <c r="C14357" s="2">
        <v>6.0363319982599001E-2</v>
      </c>
      <c r="D14357" s="2">
        <v>2.2680596481828699E-2</v>
      </c>
      <c r="E14357" s="2">
        <v>1.13598396257935E-2</v>
      </c>
      <c r="F14357" s="2">
        <v>5.6508358302037702E-2</v>
      </c>
    </row>
    <row r="14358" spans="1:6" x14ac:dyDescent="0.25">
      <c r="A14358" s="1" t="str">
        <f t="shared" si="544"/>
        <v>25940</v>
      </c>
      <c r="B14358" s="1" t="str">
        <f>"29906"</f>
        <v>29906</v>
      </c>
      <c r="C14358" s="2">
        <v>9.2930111156113507E-2</v>
      </c>
      <c r="D14358" s="2">
        <v>6.8666845254040501E-2</v>
      </c>
      <c r="E14358" s="2">
        <v>6.9829602405613006E-2</v>
      </c>
      <c r="F14358" s="2">
        <v>9.0619449829851206E-2</v>
      </c>
    </row>
    <row r="14359" spans="1:6" x14ac:dyDescent="0.25">
      <c r="A14359" s="1" t="str">
        <f t="shared" si="544"/>
        <v>25940</v>
      </c>
      <c r="B14359" s="1" t="str">
        <f>"29907"</f>
        <v>29907</v>
      </c>
      <c r="C14359" s="2">
        <v>4.88951892354079E-2</v>
      </c>
      <c r="D14359" s="2">
        <v>3.7146173765514698E-2</v>
      </c>
      <c r="E14359" s="2">
        <v>2.9736050785165301E-2</v>
      </c>
      <c r="F14359" s="2">
        <v>4.76145283965346E-2</v>
      </c>
    </row>
    <row r="14360" spans="1:6" x14ac:dyDescent="0.25">
      <c r="A14360" s="1" t="str">
        <f t="shared" si="544"/>
        <v>25940</v>
      </c>
      <c r="B14360" s="1" t="str">
        <f>"29916"</f>
        <v>29916</v>
      </c>
      <c r="C14360" s="2">
        <v>2.7151493332133198E-3</v>
      </c>
      <c r="D14360" s="2">
        <v>4.4646843468166799E-4</v>
      </c>
      <c r="E14360" s="2">
        <v>0</v>
      </c>
      <c r="F14360" s="2">
        <v>2.4878319933838498E-3</v>
      </c>
    </row>
    <row r="14361" spans="1:6" x14ac:dyDescent="0.25">
      <c r="A14361" s="1" t="str">
        <f t="shared" si="544"/>
        <v>25940</v>
      </c>
      <c r="B14361" s="1" t="str">
        <f>"29922"</f>
        <v>29922</v>
      </c>
      <c r="C14361" s="2">
        <v>1.47758126696968E-3</v>
      </c>
      <c r="D14361" s="2">
        <v>8.9293686936333595E-5</v>
      </c>
      <c r="E14361" s="2">
        <v>2.3387905111927798E-3</v>
      </c>
      <c r="F14361" s="2">
        <v>1.3896609227348499E-3</v>
      </c>
    </row>
    <row r="14362" spans="1:6" x14ac:dyDescent="0.25">
      <c r="A14362" s="1" t="str">
        <f t="shared" si="544"/>
        <v>25940</v>
      </c>
      <c r="B14362" s="1" t="str">
        <f>"29941"</f>
        <v>29941</v>
      </c>
      <c r="C14362" s="2">
        <v>2.5276390201461E-3</v>
      </c>
      <c r="D14362" s="2">
        <v>1.78587373872667E-4</v>
      </c>
      <c r="E14362" s="2">
        <v>0</v>
      </c>
      <c r="F14362" s="2">
        <v>2.2980246478395798E-3</v>
      </c>
    </row>
    <row r="14363" spans="1:6" x14ac:dyDescent="0.25">
      <c r="A14363" s="1" t="str">
        <f t="shared" si="544"/>
        <v>25940</v>
      </c>
      <c r="B14363" s="1" t="str">
        <f>"29943"</f>
        <v>29943</v>
      </c>
      <c r="C14363" s="2">
        <v>1.47758126696968E-3</v>
      </c>
      <c r="D14363" s="2">
        <v>8.9293686936333595E-5</v>
      </c>
      <c r="E14363" s="2">
        <v>0</v>
      </c>
      <c r="F14363" s="2">
        <v>1.3422090863487799E-3</v>
      </c>
    </row>
    <row r="14364" spans="1:6" x14ac:dyDescent="0.25">
      <c r="A14364" s="1" t="str">
        <f t="shared" si="544"/>
        <v>25940</v>
      </c>
      <c r="B14364" s="1" t="str">
        <f>"29905"</f>
        <v>29905</v>
      </c>
      <c r="C14364" s="2">
        <v>0</v>
      </c>
      <c r="D14364" s="2">
        <v>6.2505580855433504E-4</v>
      </c>
      <c r="E14364" s="2">
        <v>0</v>
      </c>
      <c r="F14364" s="2">
        <v>4.7451836386068101E-5</v>
      </c>
    </row>
    <row r="14365" spans="1:6" x14ac:dyDescent="0.25">
      <c r="A14365" s="1" t="str">
        <f t="shared" si="544"/>
        <v>25940</v>
      </c>
      <c r="B14365" s="1" t="str">
        <f>"29903"</f>
        <v>29903</v>
      </c>
      <c r="C14365" s="2">
        <v>9.63803009165504E-3</v>
      </c>
      <c r="D14365" s="2">
        <v>2.1876953299401699E-2</v>
      </c>
      <c r="E14365" s="2">
        <v>6.6822586034079496E-4</v>
      </c>
      <c r="F14365" s="2">
        <v>1.03851733347794E-2</v>
      </c>
    </row>
    <row r="14366" spans="1:6" x14ac:dyDescent="0.25">
      <c r="A14366" s="1" t="str">
        <f t="shared" si="544"/>
        <v>25940</v>
      </c>
      <c r="B14366" s="1" t="str">
        <f>"29927"</f>
        <v>29927</v>
      </c>
      <c r="C14366" s="2">
        <v>3.5319442569341303E-2</v>
      </c>
      <c r="D14366" s="2">
        <v>2.64309313331547E-2</v>
      </c>
      <c r="E14366" s="2">
        <v>3.1406615436017297E-2</v>
      </c>
      <c r="F14366" s="2">
        <v>3.45652733903659E-2</v>
      </c>
    </row>
    <row r="14367" spans="1:6" x14ac:dyDescent="0.25">
      <c r="A14367" s="1" t="str">
        <f t="shared" si="544"/>
        <v>25940</v>
      </c>
      <c r="B14367" s="1" t="str">
        <f>"29901"</f>
        <v>29901</v>
      </c>
      <c r="C14367" s="2">
        <v>1.0793093620149101E-2</v>
      </c>
      <c r="D14367" s="2">
        <v>4.2146620233949397E-2</v>
      </c>
      <c r="E14367" s="2">
        <v>6.6822586034079496E-4</v>
      </c>
      <c r="F14367" s="2">
        <v>1.2967909000935401E-2</v>
      </c>
    </row>
    <row r="14368" spans="1:6" x14ac:dyDescent="0.25">
      <c r="A14368" s="1" t="str">
        <f t="shared" si="544"/>
        <v>25940</v>
      </c>
      <c r="B14368" s="1" t="str">
        <f>"29915"</f>
        <v>29915</v>
      </c>
      <c r="C14368" s="2">
        <v>6.8178749831240698E-3</v>
      </c>
      <c r="D14368" s="2">
        <v>1.78587373872667E-4</v>
      </c>
      <c r="E14368" s="2">
        <v>0</v>
      </c>
      <c r="F14368" s="2">
        <v>6.1755175639582899E-3</v>
      </c>
    </row>
    <row r="14369" spans="1:6" x14ac:dyDescent="0.25">
      <c r="A14369" s="1" t="str">
        <f t="shared" si="544"/>
        <v>25940</v>
      </c>
      <c r="B14369" s="1" t="str">
        <f>"29936"</f>
        <v>29936</v>
      </c>
      <c r="C14369" s="2">
        <v>5.2907909935046397E-2</v>
      </c>
      <c r="D14369" s="2">
        <v>6.3309224037860504E-2</v>
      </c>
      <c r="E14369" s="2">
        <v>5.9472101570330699E-2</v>
      </c>
      <c r="F14369" s="2">
        <v>5.3830718963109501E-2</v>
      </c>
    </row>
    <row r="14370" spans="1:6" x14ac:dyDescent="0.25">
      <c r="A14370" s="1" t="str">
        <f t="shared" si="544"/>
        <v>25940</v>
      </c>
      <c r="B14370" s="1" t="str">
        <f>"29902"</f>
        <v>29902</v>
      </c>
      <c r="C14370" s="2">
        <v>5.7955687562815897E-2</v>
      </c>
      <c r="D14370" s="2">
        <v>8.5364764711134897E-2</v>
      </c>
      <c r="E14370" s="2">
        <v>9.1881055796859304E-2</v>
      </c>
      <c r="F14370" s="2">
        <v>6.07247929066283E-2</v>
      </c>
    </row>
    <row r="14371" spans="1:6" x14ac:dyDescent="0.25">
      <c r="A14371" s="1" t="str">
        <f t="shared" ref="A14371:A14381" si="545">"25980"</f>
        <v>25980</v>
      </c>
      <c r="B14371" s="1" t="str">
        <f>"31314"</f>
        <v>31314</v>
      </c>
      <c r="C14371" s="2">
        <v>1.9390178874400101E-4</v>
      </c>
      <c r="D14371" s="2">
        <v>4.9522944116310703E-2</v>
      </c>
      <c r="E14371" s="2">
        <v>6.6050198150594402E-3</v>
      </c>
      <c r="F14371" s="2">
        <v>2.8239165721655199E-3</v>
      </c>
    </row>
    <row r="14372" spans="1:6" x14ac:dyDescent="0.25">
      <c r="A14372" s="1" t="str">
        <f t="shared" si="545"/>
        <v>25980</v>
      </c>
      <c r="B14372" s="1" t="str">
        <f>"31315"</f>
        <v>31315</v>
      </c>
      <c r="C14372" s="2">
        <v>0.121770323331232</v>
      </c>
      <c r="D14372" s="2">
        <v>1.72648796001817E-2</v>
      </c>
      <c r="E14372" s="2">
        <v>0.43262879788639302</v>
      </c>
      <c r="F14372" s="2">
        <v>0.127120716874569</v>
      </c>
    </row>
    <row r="14373" spans="1:6" x14ac:dyDescent="0.25">
      <c r="A14373" s="1" t="str">
        <f t="shared" si="545"/>
        <v>25980</v>
      </c>
      <c r="B14373" s="1" t="str">
        <f>"31313"</f>
        <v>31313</v>
      </c>
      <c r="C14373" s="2">
        <v>0.462334577536477</v>
      </c>
      <c r="D14373" s="2">
        <v>0.58927760109041305</v>
      </c>
      <c r="E14373" s="2">
        <v>0.40488771466314299</v>
      </c>
      <c r="F14373" s="2">
        <v>0.46661330131412099</v>
      </c>
    </row>
    <row r="14374" spans="1:6" x14ac:dyDescent="0.25">
      <c r="A14374" s="1" t="str">
        <f t="shared" si="545"/>
        <v>25980</v>
      </c>
      <c r="B14374" s="1" t="str">
        <f>"30427"</f>
        <v>30427</v>
      </c>
      <c r="C14374" s="2">
        <v>2.0553589606864101E-2</v>
      </c>
      <c r="D14374" s="2">
        <v>4.0890504316219902E-3</v>
      </c>
      <c r="E14374" s="2">
        <v>1.45310435931307E-2</v>
      </c>
      <c r="F14374" s="2">
        <v>1.9545060369555001E-2</v>
      </c>
    </row>
    <row r="14375" spans="1:6" x14ac:dyDescent="0.25">
      <c r="A14375" s="1" t="str">
        <f t="shared" si="545"/>
        <v>25980</v>
      </c>
      <c r="B14375" s="1" t="str">
        <f>"31310"</f>
        <v>31310</v>
      </c>
      <c r="C14375" s="2">
        <v>4.5227592224538198E-2</v>
      </c>
      <c r="D14375" s="2">
        <v>0.15038618809631901</v>
      </c>
      <c r="E14375" s="2">
        <v>1.3210039630118799E-3</v>
      </c>
      <c r="F14375" s="2">
        <v>4.8896004269228202E-2</v>
      </c>
    </row>
    <row r="14376" spans="1:6" x14ac:dyDescent="0.25">
      <c r="A14376" s="1" t="str">
        <f t="shared" si="545"/>
        <v>25980</v>
      </c>
      <c r="B14376" s="1" t="str">
        <f>"31333"</f>
        <v>31333</v>
      </c>
      <c r="C14376" s="2">
        <v>0</v>
      </c>
      <c r="D14376" s="2">
        <v>4.54338936846887E-4</v>
      </c>
      <c r="E14376" s="2">
        <v>0</v>
      </c>
      <c r="F14376" s="2">
        <v>2.22355635603584E-5</v>
      </c>
    </row>
    <row r="14377" spans="1:6" x14ac:dyDescent="0.25">
      <c r="A14377" s="1" t="str">
        <f t="shared" si="545"/>
        <v>25980</v>
      </c>
      <c r="B14377" s="1" t="str">
        <f>"31320"</f>
        <v>31320</v>
      </c>
      <c r="C14377" s="2">
        <v>0.13587667846235801</v>
      </c>
      <c r="D14377" s="2">
        <v>0.11767378464334299</v>
      </c>
      <c r="E14377" s="2">
        <v>3.7648612945838801E-2</v>
      </c>
      <c r="F14377" s="2">
        <v>0.13167900740444199</v>
      </c>
    </row>
    <row r="14378" spans="1:6" x14ac:dyDescent="0.25">
      <c r="A14378" s="1" t="str">
        <f t="shared" si="545"/>
        <v>25980</v>
      </c>
      <c r="B14378" s="1" t="str">
        <f>"31316"</f>
        <v>31316</v>
      </c>
      <c r="C14378" s="2">
        <v>0.11275389015463599</v>
      </c>
      <c r="D14378" s="2">
        <v>2.7714675147660101E-2</v>
      </c>
      <c r="E14378" s="2">
        <v>6.3408190224570601E-2</v>
      </c>
      <c r="F14378" s="2">
        <v>0.106930825161763</v>
      </c>
    </row>
    <row r="14379" spans="1:6" x14ac:dyDescent="0.25">
      <c r="A14379" s="1" t="str">
        <f t="shared" si="545"/>
        <v>25980</v>
      </c>
      <c r="B14379" s="1" t="str">
        <f>"31323"</f>
        <v>31323</v>
      </c>
      <c r="C14379" s="2">
        <v>1.5318241310776E-2</v>
      </c>
      <c r="D14379" s="2">
        <v>1.36301681054066E-2</v>
      </c>
      <c r="E14379" s="2">
        <v>6.6050198150594398E-4</v>
      </c>
      <c r="F14379" s="2">
        <v>1.4742178640517601E-2</v>
      </c>
    </row>
    <row r="14380" spans="1:6" x14ac:dyDescent="0.25">
      <c r="A14380" s="1" t="str">
        <f t="shared" si="545"/>
        <v>25980</v>
      </c>
      <c r="B14380" s="1" t="str">
        <f>"31301"</f>
        <v>31301</v>
      </c>
      <c r="C14380" s="2">
        <v>7.3658441999127397E-2</v>
      </c>
      <c r="D14380" s="2">
        <v>1.9536574284416099E-2</v>
      </c>
      <c r="E14380" s="2">
        <v>3.5667107001321002E-2</v>
      </c>
      <c r="F14380" s="2">
        <v>6.9730727325284E-2</v>
      </c>
    </row>
    <row r="14381" spans="1:6" x14ac:dyDescent="0.25">
      <c r="A14381" s="1" t="str">
        <f t="shared" si="545"/>
        <v>25980</v>
      </c>
      <c r="B14381" s="1" t="str">
        <f>"31309"</f>
        <v>31309</v>
      </c>
      <c r="C14381" s="2">
        <v>1.2312763585244E-2</v>
      </c>
      <c r="D14381" s="2">
        <v>1.0449795547478401E-2</v>
      </c>
      <c r="E14381" s="2">
        <v>2.6420079260237699E-3</v>
      </c>
      <c r="F14381" s="2">
        <v>1.18960265047917E-2</v>
      </c>
    </row>
    <row r="14382" spans="1:6" x14ac:dyDescent="0.25">
      <c r="A14382" s="1" t="str">
        <f t="shared" ref="A14382:A14394" si="546">"26020"</f>
        <v>26020</v>
      </c>
      <c r="B14382" s="1" t="str">
        <f>"88241"</f>
        <v>88241</v>
      </c>
      <c r="C14382" s="2">
        <v>7.9529737206085693E-2</v>
      </c>
      <c r="D14382" s="2">
        <v>0.21294765840220301</v>
      </c>
      <c r="E14382" s="2">
        <v>1.8399264029438801E-3</v>
      </c>
      <c r="F14382" s="2">
        <v>9.1417189404524701E-2</v>
      </c>
    </row>
    <row r="14383" spans="1:6" x14ac:dyDescent="0.25">
      <c r="A14383" s="1" t="str">
        <f t="shared" si="546"/>
        <v>26020</v>
      </c>
      <c r="B14383" s="1" t="str">
        <f>"88252"</f>
        <v>88252</v>
      </c>
      <c r="C14383" s="2">
        <v>1.72890733056708E-3</v>
      </c>
      <c r="D14383" s="2">
        <v>1.3774104683195499E-3</v>
      </c>
      <c r="E14383" s="2">
        <v>0</v>
      </c>
      <c r="F14383" s="2">
        <v>1.6351042007313301E-3</v>
      </c>
    </row>
    <row r="14384" spans="1:6" x14ac:dyDescent="0.25">
      <c r="A14384" s="1" t="str">
        <f t="shared" si="546"/>
        <v>26020</v>
      </c>
      <c r="B14384" s="1" t="str">
        <f>"88213"</f>
        <v>88213</v>
      </c>
      <c r="C14384" s="2">
        <v>1.0373443983402401E-3</v>
      </c>
      <c r="D14384" s="2">
        <v>0</v>
      </c>
      <c r="E14384" s="2">
        <v>9.1996320147194101E-4</v>
      </c>
      <c r="F14384" s="2">
        <v>9.21604185866753E-4</v>
      </c>
    </row>
    <row r="14385" spans="1:6" x14ac:dyDescent="0.25">
      <c r="A14385" s="1" t="str">
        <f t="shared" si="546"/>
        <v>26020</v>
      </c>
      <c r="B14385" s="1" t="str">
        <f>"88231"</f>
        <v>88231</v>
      </c>
      <c r="C14385" s="2">
        <v>0</v>
      </c>
      <c r="D14385" s="2">
        <v>2.7548209366391101E-4</v>
      </c>
      <c r="E14385" s="2">
        <v>0.38638454461821498</v>
      </c>
      <c r="F14385" s="2">
        <v>1.25159794274162E-2</v>
      </c>
    </row>
    <row r="14386" spans="1:6" x14ac:dyDescent="0.25">
      <c r="A14386" s="1" t="str">
        <f t="shared" si="546"/>
        <v>26020</v>
      </c>
      <c r="B14386" s="1" t="str">
        <f>"88262"</f>
        <v>88262</v>
      </c>
      <c r="C14386" s="2">
        <v>6.9156293222683203E-4</v>
      </c>
      <c r="D14386" s="2">
        <v>0</v>
      </c>
      <c r="E14386" s="2">
        <v>0</v>
      </c>
      <c r="F14386" s="2">
        <v>5.9458334572048597E-4</v>
      </c>
    </row>
    <row r="14387" spans="1:6" x14ac:dyDescent="0.25">
      <c r="A14387" s="1" t="str">
        <f t="shared" si="546"/>
        <v>26020</v>
      </c>
      <c r="B14387" s="1" t="str">
        <f>"88265"</f>
        <v>88265</v>
      </c>
      <c r="C14387" s="2">
        <v>6.2240663900414901E-4</v>
      </c>
      <c r="D14387" s="2">
        <v>2.7548209366391101E-4</v>
      </c>
      <c r="E14387" s="2">
        <v>0</v>
      </c>
      <c r="F14387" s="2">
        <v>5.6485417843446203E-4</v>
      </c>
    </row>
    <row r="14388" spans="1:6" x14ac:dyDescent="0.25">
      <c r="A14388" s="1" t="str">
        <f t="shared" si="546"/>
        <v>26020</v>
      </c>
      <c r="B14388" s="1" t="str">
        <f>"88260"</f>
        <v>88260</v>
      </c>
      <c r="C14388" s="2">
        <v>0.207468879668049</v>
      </c>
      <c r="D14388" s="2">
        <v>0.169421487603305</v>
      </c>
      <c r="E14388" s="2">
        <v>7.9116835326586907E-2</v>
      </c>
      <c r="F14388" s="2">
        <v>0.199215149983648</v>
      </c>
    </row>
    <row r="14389" spans="1:6" x14ac:dyDescent="0.25">
      <c r="A14389" s="1" t="str">
        <f t="shared" si="546"/>
        <v>26020</v>
      </c>
      <c r="B14389" s="1" t="str">
        <f>"88267"</f>
        <v>88267</v>
      </c>
      <c r="C14389" s="2">
        <v>1.6251728907330501E-3</v>
      </c>
      <c r="D14389" s="2">
        <v>2.7548209366391101E-4</v>
      </c>
      <c r="E14389" s="2">
        <v>3.6798528058877601E-3</v>
      </c>
      <c r="F14389" s="2">
        <v>1.5459166988732601E-3</v>
      </c>
    </row>
    <row r="14390" spans="1:6" x14ac:dyDescent="0.25">
      <c r="A14390" s="1" t="str">
        <f t="shared" si="546"/>
        <v>26020</v>
      </c>
      <c r="B14390" s="1" t="str">
        <f>"88242"</f>
        <v>88242</v>
      </c>
      <c r="C14390" s="2">
        <v>0.107503457814661</v>
      </c>
      <c r="D14390" s="2">
        <v>1.3774104683195501E-2</v>
      </c>
      <c r="E14390" s="2">
        <v>6.9917203311867501E-2</v>
      </c>
      <c r="F14390" s="2">
        <v>9.6173856170288605E-2</v>
      </c>
    </row>
    <row r="14391" spans="1:6" x14ac:dyDescent="0.25">
      <c r="A14391" s="1" t="str">
        <f t="shared" si="546"/>
        <v>26020</v>
      </c>
      <c r="B14391" s="1" t="str">
        <f>"88264"</f>
        <v>88264</v>
      </c>
      <c r="C14391" s="2">
        <v>6.9156293222683195E-5</v>
      </c>
      <c r="D14391" s="2">
        <v>5.5096418732782299E-4</v>
      </c>
      <c r="E14391" s="2">
        <v>0</v>
      </c>
      <c r="F14391" s="2">
        <v>1.18916669144097E-4</v>
      </c>
    </row>
    <row r="14392" spans="1:6" x14ac:dyDescent="0.25">
      <c r="A14392" s="1" t="str">
        <f t="shared" si="546"/>
        <v>26020</v>
      </c>
      <c r="B14392" s="1" t="str">
        <f>"88240"</f>
        <v>88240</v>
      </c>
      <c r="C14392" s="2">
        <v>0.59806362378976397</v>
      </c>
      <c r="D14392" s="2">
        <v>0.59862258953168002</v>
      </c>
      <c r="E14392" s="2">
        <v>0.45630174793008199</v>
      </c>
      <c r="F14392" s="2">
        <v>0.59354282486547505</v>
      </c>
    </row>
    <row r="14393" spans="1:6" x14ac:dyDescent="0.25">
      <c r="A14393" s="1" t="str">
        <f t="shared" si="546"/>
        <v>26020</v>
      </c>
      <c r="B14393" s="1" t="str">
        <f>"88244"</f>
        <v>88244</v>
      </c>
      <c r="C14393" s="2">
        <v>0</v>
      </c>
      <c r="D14393" s="2">
        <v>2.7548209366391101E-4</v>
      </c>
      <c r="E14393" s="2">
        <v>0</v>
      </c>
      <c r="F14393" s="2">
        <v>2.97291672860243E-5</v>
      </c>
    </row>
    <row r="14394" spans="1:6" x14ac:dyDescent="0.25">
      <c r="A14394" s="1" t="str">
        <f t="shared" si="546"/>
        <v>26020</v>
      </c>
      <c r="B14394" s="1" t="str">
        <f>"88114"</f>
        <v>88114</v>
      </c>
      <c r="C14394" s="2">
        <v>1.6597510373443901E-3</v>
      </c>
      <c r="D14394" s="2">
        <v>2.2038567493112898E-3</v>
      </c>
      <c r="E14394" s="2">
        <v>1.8399264029438801E-3</v>
      </c>
      <c r="F14394" s="2">
        <v>1.72429170258941E-3</v>
      </c>
    </row>
    <row r="14395" spans="1:6" x14ac:dyDescent="0.25">
      <c r="A14395" s="1" t="str">
        <f t="shared" ref="A14395:A14421" si="547">"26090"</f>
        <v>26090</v>
      </c>
      <c r="B14395" s="1" t="str">
        <f>"49070"</f>
        <v>49070</v>
      </c>
      <c r="C14395" s="2">
        <v>2.03495559232422E-2</v>
      </c>
      <c r="D14395" s="2">
        <v>1.8812844631852E-2</v>
      </c>
      <c r="E14395" s="2">
        <v>8.9206066012488799E-3</v>
      </c>
      <c r="F14395" s="2">
        <v>2.0040503654134002E-2</v>
      </c>
    </row>
    <row r="14396" spans="1:6" x14ac:dyDescent="0.25">
      <c r="A14396" s="1" t="str">
        <f t="shared" si="547"/>
        <v>26090</v>
      </c>
      <c r="B14396" s="1" t="str">
        <f>"49333"</f>
        <v>49333</v>
      </c>
      <c r="C14396" s="2">
        <v>2.8527414845666598E-4</v>
      </c>
      <c r="D14396" s="2">
        <v>3.2435939020434602E-4</v>
      </c>
      <c r="E14396" s="2">
        <v>0</v>
      </c>
      <c r="F14396" s="2">
        <v>2.8176455049748998E-4</v>
      </c>
    </row>
    <row r="14397" spans="1:6" x14ac:dyDescent="0.25">
      <c r="A14397" s="1" t="str">
        <f t="shared" si="547"/>
        <v>26090</v>
      </c>
      <c r="B14397" s="1" t="str">
        <f>"49406"</f>
        <v>49406</v>
      </c>
      <c r="C14397" s="2">
        <v>1.18674045757973E-2</v>
      </c>
      <c r="D14397" s="2">
        <v>4.2166720726565E-3</v>
      </c>
      <c r="E14397" s="2">
        <v>1.7841213202497699E-3</v>
      </c>
      <c r="F14397" s="2">
        <v>1.12529717354935E-2</v>
      </c>
    </row>
    <row r="14398" spans="1:6" x14ac:dyDescent="0.25">
      <c r="A14398" s="1" t="str">
        <f t="shared" si="547"/>
        <v>26090</v>
      </c>
      <c r="B14398" s="1" t="str">
        <f>"49056"</f>
        <v>49056</v>
      </c>
      <c r="C14398" s="2">
        <v>1.56520416119891E-2</v>
      </c>
      <c r="D14398" s="2">
        <v>1.9461563412260701E-3</v>
      </c>
      <c r="E14398" s="2">
        <v>8.9206066012488799E-4</v>
      </c>
      <c r="F14398" s="2">
        <v>1.4616536057057299E-2</v>
      </c>
    </row>
    <row r="14399" spans="1:6" x14ac:dyDescent="0.25">
      <c r="A14399" s="1" t="str">
        <f t="shared" si="547"/>
        <v>26090</v>
      </c>
      <c r="B14399" s="1" t="str">
        <f>"49315"</f>
        <v>49315</v>
      </c>
      <c r="C14399" s="2">
        <v>3.3852532283524402E-3</v>
      </c>
      <c r="D14399" s="2">
        <v>3.2435939020434598E-3</v>
      </c>
      <c r="E14399" s="2">
        <v>1.7841213202497699E-3</v>
      </c>
      <c r="F14399" s="2">
        <v>3.3459540371577E-3</v>
      </c>
    </row>
    <row r="14400" spans="1:6" x14ac:dyDescent="0.25">
      <c r="A14400" s="1" t="str">
        <f t="shared" si="547"/>
        <v>26090</v>
      </c>
      <c r="B14400" s="1" t="str">
        <f>"49080"</f>
        <v>49080</v>
      </c>
      <c r="C14400" s="2">
        <v>9.2847226184363099E-2</v>
      </c>
      <c r="D14400" s="2">
        <v>0.13558222510541601</v>
      </c>
      <c r="E14400" s="2">
        <v>0.19892952720785001</v>
      </c>
      <c r="F14400" s="2">
        <v>9.7261600774852505E-2</v>
      </c>
    </row>
    <row r="14401" spans="1:6" x14ac:dyDescent="0.25">
      <c r="A14401" s="1" t="str">
        <f t="shared" si="547"/>
        <v>26090</v>
      </c>
      <c r="B14401" s="1" t="str">
        <f>"49416"</f>
        <v>49416</v>
      </c>
      <c r="C14401" s="2">
        <v>0</v>
      </c>
      <c r="D14401" s="2">
        <v>3.2435939020434602E-4</v>
      </c>
      <c r="E14401" s="2">
        <v>0</v>
      </c>
      <c r="F14401" s="2">
        <v>1.76102844060931E-5</v>
      </c>
    </row>
    <row r="14402" spans="1:6" x14ac:dyDescent="0.25">
      <c r="A14402" s="1" t="str">
        <f t="shared" si="547"/>
        <v>26090</v>
      </c>
      <c r="B14402" s="1" t="str">
        <f>"49055"</f>
        <v>49055</v>
      </c>
      <c r="C14402" s="2">
        <v>6.0858485004088901E-3</v>
      </c>
      <c r="D14402" s="2">
        <v>6.4871878040869205E-4</v>
      </c>
      <c r="E14402" s="2">
        <v>1.7841213202497699E-3</v>
      </c>
      <c r="F14402" s="2">
        <v>5.7057321475741801E-3</v>
      </c>
    </row>
    <row r="14403" spans="1:6" x14ac:dyDescent="0.25">
      <c r="A14403" s="1" t="str">
        <f t="shared" si="547"/>
        <v>26090</v>
      </c>
      <c r="B14403" s="1" t="str">
        <f>"49316"</f>
        <v>49316</v>
      </c>
      <c r="C14403" s="2">
        <v>1.9950172115402901E-2</v>
      </c>
      <c r="D14403" s="2">
        <v>2.9192345118391099E-3</v>
      </c>
      <c r="E14403" s="2">
        <v>1.07047279214986E-2</v>
      </c>
      <c r="F14403" s="2">
        <v>1.8843004314519601E-2</v>
      </c>
    </row>
    <row r="14404" spans="1:6" x14ac:dyDescent="0.25">
      <c r="A14404" s="1" t="str">
        <f t="shared" si="547"/>
        <v>26090</v>
      </c>
      <c r="B14404" s="1" t="str">
        <f>"49408"</f>
        <v>49408</v>
      </c>
      <c r="C14404" s="2">
        <v>9.3132500332819806E-2</v>
      </c>
      <c r="D14404" s="2">
        <v>3.8923126824521502E-2</v>
      </c>
      <c r="E14404" s="2">
        <v>4.8171275646743901E-2</v>
      </c>
      <c r="F14404" s="2">
        <v>8.9301752223298406E-2</v>
      </c>
    </row>
    <row r="14405" spans="1:6" x14ac:dyDescent="0.25">
      <c r="A14405" s="1" t="str">
        <f t="shared" si="547"/>
        <v>26090</v>
      </c>
      <c r="B14405" s="1" t="str">
        <f>"49090"</f>
        <v>49090</v>
      </c>
      <c r="C14405" s="2">
        <v>3.3186892603792199E-2</v>
      </c>
      <c r="D14405" s="2">
        <v>1.6217969510217301E-2</v>
      </c>
      <c r="E14405" s="2">
        <v>1.2488849241748401E-2</v>
      </c>
      <c r="F14405" s="2">
        <v>3.1857004490622502E-2</v>
      </c>
    </row>
    <row r="14406" spans="1:6" x14ac:dyDescent="0.25">
      <c r="A14406" s="1" t="str">
        <f t="shared" si="547"/>
        <v>26090</v>
      </c>
      <c r="B14406" s="1" t="str">
        <f>"49464"</f>
        <v>49464</v>
      </c>
      <c r="C14406" s="2">
        <v>2.5104125064186601E-3</v>
      </c>
      <c r="D14406" s="2">
        <v>0</v>
      </c>
      <c r="E14406" s="2">
        <v>0</v>
      </c>
      <c r="F14406" s="2">
        <v>2.3245575416042902E-3</v>
      </c>
    </row>
    <row r="14407" spans="1:6" x14ac:dyDescent="0.25">
      <c r="A14407" s="1" t="str">
        <f t="shared" si="547"/>
        <v>26090</v>
      </c>
      <c r="B14407" s="1" t="str">
        <f>"49426"</f>
        <v>49426</v>
      </c>
      <c r="C14407" s="2">
        <v>7.2269450942355604E-4</v>
      </c>
      <c r="D14407" s="2">
        <v>0</v>
      </c>
      <c r="E14407" s="2">
        <v>0</v>
      </c>
      <c r="F14407" s="2">
        <v>6.6919080743153999E-4</v>
      </c>
    </row>
    <row r="14408" spans="1:6" x14ac:dyDescent="0.25">
      <c r="A14408" s="1" t="str">
        <f t="shared" si="547"/>
        <v>26090</v>
      </c>
      <c r="B14408" s="1" t="str">
        <f>"49314"</f>
        <v>49314</v>
      </c>
      <c r="C14408" s="2">
        <v>0</v>
      </c>
      <c r="D14408" s="2">
        <v>3.2435939020434602E-4</v>
      </c>
      <c r="E14408" s="2">
        <v>0</v>
      </c>
      <c r="F14408" s="2">
        <v>1.76102844060931E-5</v>
      </c>
    </row>
    <row r="14409" spans="1:6" x14ac:dyDescent="0.25">
      <c r="A14409" s="1" t="str">
        <f t="shared" si="547"/>
        <v>26090</v>
      </c>
      <c r="B14409" s="1" t="str">
        <f>"49348"</f>
        <v>49348</v>
      </c>
      <c r="C14409" s="2">
        <v>8.6266902493295994E-2</v>
      </c>
      <c r="D14409" s="2">
        <v>0.121634771326629</v>
      </c>
      <c r="E14409" s="2">
        <v>0.105263157894736</v>
      </c>
      <c r="F14409" s="2">
        <v>8.8562120278242396E-2</v>
      </c>
    </row>
    <row r="14410" spans="1:6" x14ac:dyDescent="0.25">
      <c r="A14410" s="1" t="str">
        <f t="shared" si="547"/>
        <v>26090</v>
      </c>
      <c r="B14410" s="1" t="str">
        <f>"49450"</f>
        <v>49450</v>
      </c>
      <c r="C14410" s="2">
        <v>2.84323234628477E-2</v>
      </c>
      <c r="D14410" s="2">
        <v>5.1897502432695398E-3</v>
      </c>
      <c r="E14410" s="2">
        <v>1.7841213202497699E-3</v>
      </c>
      <c r="F14410" s="2">
        <v>2.66443603064189E-2</v>
      </c>
    </row>
    <row r="14411" spans="1:6" x14ac:dyDescent="0.25">
      <c r="A14411" s="1" t="str">
        <f t="shared" si="547"/>
        <v>26090</v>
      </c>
      <c r="B14411" s="1" t="str">
        <f>"49010"</f>
        <v>49010</v>
      </c>
      <c r="C14411" s="2">
        <v>0.156349251630817</v>
      </c>
      <c r="D14411" s="2">
        <v>0.186182289977294</v>
      </c>
      <c r="E14411" s="2">
        <v>0.17484388938447801</v>
      </c>
      <c r="F14411" s="2">
        <v>0.158334067095183</v>
      </c>
    </row>
    <row r="14412" spans="1:6" x14ac:dyDescent="0.25">
      <c r="A14412" s="1" t="str">
        <f t="shared" si="547"/>
        <v>26090</v>
      </c>
      <c r="B14412" s="1" t="str">
        <f>"49078"</f>
        <v>49078</v>
      </c>
      <c r="C14412" s="2">
        <v>7.2307487495483103E-2</v>
      </c>
      <c r="D14412" s="2">
        <v>6.4547518650664895E-2</v>
      </c>
      <c r="E14412" s="2">
        <v>0.109723461195361</v>
      </c>
      <c r="F14412" s="2">
        <v>7.2624812890728099E-2</v>
      </c>
    </row>
    <row r="14413" spans="1:6" x14ac:dyDescent="0.25">
      <c r="A14413" s="1" t="str">
        <f t="shared" si="547"/>
        <v>26090</v>
      </c>
      <c r="B14413" s="1" t="str">
        <f>"49323"</f>
        <v>49323</v>
      </c>
      <c r="C14413" s="2">
        <v>6.9530819117171599E-2</v>
      </c>
      <c r="D14413" s="2">
        <v>4.2491080116769303E-2</v>
      </c>
      <c r="E14413" s="2">
        <v>2.0517395182872399E-2</v>
      </c>
      <c r="F14413" s="2">
        <v>6.7095183587214904E-2</v>
      </c>
    </row>
    <row r="14414" spans="1:6" x14ac:dyDescent="0.25">
      <c r="A14414" s="1" t="str">
        <f t="shared" si="547"/>
        <v>26090</v>
      </c>
      <c r="B14414" s="1" t="str">
        <f>"49335"</f>
        <v>49335</v>
      </c>
      <c r="C14414" s="2">
        <v>0</v>
      </c>
      <c r="D14414" s="2">
        <v>9.7307817061303905E-4</v>
      </c>
      <c r="E14414" s="2">
        <v>0</v>
      </c>
      <c r="F14414" s="2">
        <v>5.2830853218279402E-5</v>
      </c>
    </row>
    <row r="14415" spans="1:6" x14ac:dyDescent="0.25">
      <c r="A14415" s="1" t="str">
        <f t="shared" si="547"/>
        <v>26090</v>
      </c>
      <c r="B14415" s="1" t="str">
        <f>"49311"</f>
        <v>49311</v>
      </c>
      <c r="C14415" s="2">
        <v>0</v>
      </c>
      <c r="D14415" s="2">
        <v>3.2435939020434602E-4</v>
      </c>
      <c r="E14415" s="2">
        <v>0</v>
      </c>
      <c r="F14415" s="2">
        <v>1.76102844060931E-5</v>
      </c>
    </row>
    <row r="14416" spans="1:6" x14ac:dyDescent="0.25">
      <c r="A14416" s="1" t="str">
        <f t="shared" si="547"/>
        <v>26090</v>
      </c>
      <c r="B14416" s="1" t="str">
        <f>"49419"</f>
        <v>49419</v>
      </c>
      <c r="C14416" s="2">
        <v>5.9070767007093801E-2</v>
      </c>
      <c r="D14416" s="2">
        <v>4.4761595848199803E-2</v>
      </c>
      <c r="E14416" s="2">
        <v>1.15967885816235E-2</v>
      </c>
      <c r="F14416" s="2">
        <v>5.7356696310645397E-2</v>
      </c>
    </row>
    <row r="14417" spans="1:6" x14ac:dyDescent="0.25">
      <c r="A14417" s="1" t="str">
        <f t="shared" si="547"/>
        <v>26090</v>
      </c>
      <c r="B14417" s="1" t="str">
        <f>"49344"</f>
        <v>49344</v>
      </c>
      <c r="C14417" s="2">
        <v>1.9094349670032901E-2</v>
      </c>
      <c r="D14417" s="2">
        <v>1.9785922802465099E-2</v>
      </c>
      <c r="E14417" s="2">
        <v>8.9206066012488799E-3</v>
      </c>
      <c r="F14417" s="2">
        <v>1.8931055736550101E-2</v>
      </c>
    </row>
    <row r="14418" spans="1:6" x14ac:dyDescent="0.25">
      <c r="A14418" s="1" t="str">
        <f t="shared" si="547"/>
        <v>26090</v>
      </c>
      <c r="B14418" s="1" t="str">
        <f>"49026"</f>
        <v>49026</v>
      </c>
      <c r="C14418" s="2">
        <v>2.2631749110895499E-3</v>
      </c>
      <c r="D14418" s="2">
        <v>3.2435939020434602E-4</v>
      </c>
      <c r="E14418" s="2">
        <v>0</v>
      </c>
      <c r="F14418" s="2">
        <v>2.1132341287311701E-3</v>
      </c>
    </row>
    <row r="14419" spans="1:6" x14ac:dyDescent="0.25">
      <c r="A14419" s="1" t="str">
        <f t="shared" si="547"/>
        <v>26090</v>
      </c>
      <c r="B14419" s="1" t="str">
        <f>"49328"</f>
        <v>49328</v>
      </c>
      <c r="C14419" s="2">
        <v>3.47083547288944E-2</v>
      </c>
      <c r="D14419" s="2">
        <v>2.1732079143691199E-2</v>
      </c>
      <c r="E14419" s="2">
        <v>1.4272970561998201E-2</v>
      </c>
      <c r="F14419" s="2">
        <v>3.3600422646825702E-2</v>
      </c>
    </row>
    <row r="14420" spans="1:6" x14ac:dyDescent="0.25">
      <c r="A14420" s="1" t="str">
        <f t="shared" si="547"/>
        <v>26090</v>
      </c>
      <c r="B14420" s="1" t="str">
        <f>"49453"</f>
        <v>49453</v>
      </c>
      <c r="C14420" s="2">
        <v>3.4080751602289801E-2</v>
      </c>
      <c r="D14420" s="2">
        <v>4.0869283165747602E-2</v>
      </c>
      <c r="E14420" s="2">
        <v>3.7466547725245297E-2</v>
      </c>
      <c r="F14420" s="2">
        <v>3.4516157435942503E-2</v>
      </c>
    </row>
    <row r="14421" spans="1:6" x14ac:dyDescent="0.25">
      <c r="A14421" s="1" t="str">
        <f t="shared" si="547"/>
        <v>26090</v>
      </c>
      <c r="B14421" s="1" t="str">
        <f>"49423"</f>
        <v>49423</v>
      </c>
      <c r="C14421" s="2">
        <v>0.13792054164051601</v>
      </c>
      <c r="D14421" s="2">
        <v>0.22770029192345101</v>
      </c>
      <c r="E14421" s="2">
        <v>0.23015165031222101</v>
      </c>
      <c r="F14421" s="2">
        <v>0.14461565554283701</v>
      </c>
    </row>
    <row r="14422" spans="1:6" x14ac:dyDescent="0.25">
      <c r="A14422" s="1" t="str">
        <f t="shared" ref="A14422:A14444" si="548">"26140"</f>
        <v>26140</v>
      </c>
      <c r="B14422" s="1" t="str">
        <f>"34429"</f>
        <v>34429</v>
      </c>
      <c r="C14422" s="2">
        <v>6.01592659215393E-2</v>
      </c>
      <c r="D14422" s="2">
        <v>0.144263303598892</v>
      </c>
      <c r="E14422" s="2">
        <v>0.14002642007926</v>
      </c>
      <c r="F14422" s="2">
        <v>6.5877058363853699E-2</v>
      </c>
    </row>
    <row r="14423" spans="1:6" x14ac:dyDescent="0.25">
      <c r="A14423" s="1" t="str">
        <f t="shared" si="548"/>
        <v>26140</v>
      </c>
      <c r="B14423" s="1" t="str">
        <f>"34464"</f>
        <v>34464</v>
      </c>
      <c r="C14423" s="2">
        <v>8.7111182973906992E-3</v>
      </c>
      <c r="D14423" s="2">
        <v>2.15318363580436E-2</v>
      </c>
      <c r="E14423" s="2">
        <v>2.6420079260237699E-3</v>
      </c>
      <c r="F14423" s="2">
        <v>9.4527035296997491E-3</v>
      </c>
    </row>
    <row r="14424" spans="1:6" x14ac:dyDescent="0.25">
      <c r="A14424" s="1" t="str">
        <f t="shared" si="548"/>
        <v>26140</v>
      </c>
      <c r="B14424" s="1" t="str">
        <f>"34442"</f>
        <v>34442</v>
      </c>
      <c r="C14424" s="2">
        <v>0.101542130686985</v>
      </c>
      <c r="D14424" s="2">
        <v>6.7671485696708694E-2</v>
      </c>
      <c r="E14424" s="2">
        <v>0.15323645970937899</v>
      </c>
      <c r="F14424" s="2">
        <v>9.9837119749936407E-2</v>
      </c>
    </row>
    <row r="14425" spans="1:6" x14ac:dyDescent="0.25">
      <c r="A14425" s="1" t="str">
        <f t="shared" si="548"/>
        <v>26140</v>
      </c>
      <c r="B14425" s="1" t="str">
        <f>"34452"</f>
        <v>34452</v>
      </c>
      <c r="C14425" s="2">
        <v>6.17660731248863E-2</v>
      </c>
      <c r="D14425" s="2">
        <v>3.5988926484158697E-2</v>
      </c>
      <c r="E14425" s="2">
        <v>5.1519154557463601E-2</v>
      </c>
      <c r="F14425" s="2">
        <v>6.0115051829813602E-2</v>
      </c>
    </row>
    <row r="14426" spans="1:6" x14ac:dyDescent="0.25">
      <c r="A14426" s="1" t="str">
        <f t="shared" si="548"/>
        <v>26140</v>
      </c>
      <c r="B14426" s="1" t="str">
        <f>"34441"</f>
        <v>34441</v>
      </c>
      <c r="C14426" s="2">
        <v>1.3895345311963099E-2</v>
      </c>
      <c r="D14426" s="2">
        <v>1.3688095970470601E-2</v>
      </c>
      <c r="E14426" s="2">
        <v>2.6420079260237699E-3</v>
      </c>
      <c r="F14426" s="2">
        <v>1.38024535602986E-2</v>
      </c>
    </row>
    <row r="14427" spans="1:6" x14ac:dyDescent="0.25">
      <c r="A14427" s="1" t="str">
        <f t="shared" si="548"/>
        <v>26140</v>
      </c>
      <c r="B14427" s="1" t="str">
        <f>"34601"</f>
        <v>34601</v>
      </c>
      <c r="C14427" s="2">
        <v>1.1116276249570499E-4</v>
      </c>
      <c r="D14427" s="2">
        <v>0</v>
      </c>
      <c r="E14427" s="2">
        <v>0</v>
      </c>
      <c r="F14427" s="2">
        <v>1.03565476919021E-4</v>
      </c>
    </row>
    <row r="14428" spans="1:6" x14ac:dyDescent="0.25">
      <c r="A14428" s="1" t="str">
        <f t="shared" si="548"/>
        <v>26140</v>
      </c>
      <c r="B14428" s="1" t="str">
        <f>"34445"</f>
        <v>34445</v>
      </c>
      <c r="C14428" s="2">
        <v>4.1433393293853699E-4</v>
      </c>
      <c r="D14428" s="2">
        <v>1.53798831128883E-4</v>
      </c>
      <c r="E14428" s="2">
        <v>0</v>
      </c>
      <c r="F14428" s="2">
        <v>3.9543182096353502E-4</v>
      </c>
    </row>
    <row r="14429" spans="1:6" x14ac:dyDescent="0.25">
      <c r="A14429" s="1" t="str">
        <f t="shared" si="548"/>
        <v>26140</v>
      </c>
      <c r="B14429" s="1" t="str">
        <f>"34448"</f>
        <v>34448</v>
      </c>
      <c r="C14429" s="2">
        <v>6.8961335570062801E-2</v>
      </c>
      <c r="D14429" s="2">
        <v>6.29037219317133E-2</v>
      </c>
      <c r="E14429" s="2">
        <v>8.7186261558784603E-2</v>
      </c>
      <c r="F14429" s="2">
        <v>6.8720401457448704E-2</v>
      </c>
    </row>
    <row r="14430" spans="1:6" x14ac:dyDescent="0.25">
      <c r="A14430" s="1" t="str">
        <f t="shared" si="548"/>
        <v>26140</v>
      </c>
      <c r="B14430" s="1" t="str">
        <f>"34428"</f>
        <v>34428</v>
      </c>
      <c r="C14430" s="2">
        <v>5.8037067728439397E-2</v>
      </c>
      <c r="D14430" s="2">
        <v>6.8748077514610803E-2</v>
      </c>
      <c r="E14430" s="2">
        <v>0.13738441215323599</v>
      </c>
      <c r="F14430" s="2">
        <v>5.9258282884392603E-2</v>
      </c>
    </row>
    <row r="14431" spans="1:6" x14ac:dyDescent="0.25">
      <c r="A14431" s="1" t="str">
        <f t="shared" si="548"/>
        <v>26140</v>
      </c>
      <c r="B14431" s="1" t="str">
        <f>"34434"</f>
        <v>34434</v>
      </c>
      <c r="C14431" s="2">
        <v>4.3545485781272097E-2</v>
      </c>
      <c r="D14431" s="2">
        <v>1.6456474930790499E-2</v>
      </c>
      <c r="E14431" s="2">
        <v>1.45310435931307E-2</v>
      </c>
      <c r="F14431" s="2">
        <v>4.16803969382279E-2</v>
      </c>
    </row>
    <row r="14432" spans="1:6" x14ac:dyDescent="0.25">
      <c r="A14432" s="1" t="str">
        <f t="shared" si="548"/>
        <v>26140</v>
      </c>
      <c r="B14432" s="1" t="str">
        <f>"34433"</f>
        <v>34433</v>
      </c>
      <c r="C14432" s="2">
        <v>3.8613901408735302E-2</v>
      </c>
      <c r="D14432" s="2">
        <v>1.03045216856351E-2</v>
      </c>
      <c r="E14432" s="2">
        <v>3.96301188903566E-3</v>
      </c>
      <c r="F14432" s="2">
        <v>3.6633933699264598E-2</v>
      </c>
    </row>
    <row r="14433" spans="1:6" x14ac:dyDescent="0.25">
      <c r="A14433" s="1" t="str">
        <f t="shared" si="548"/>
        <v>26140</v>
      </c>
      <c r="B14433" s="1" t="str">
        <f>"34447"</f>
        <v>34447</v>
      </c>
      <c r="C14433" s="2">
        <v>4.12717020029508E-2</v>
      </c>
      <c r="D14433" s="2">
        <v>2.81451860965856E-2</v>
      </c>
      <c r="E14433" s="2">
        <v>2.6420079260237699E-3</v>
      </c>
      <c r="F14433" s="2">
        <v>4.0192820087936502E-2</v>
      </c>
    </row>
    <row r="14434" spans="1:6" x14ac:dyDescent="0.25">
      <c r="A14434" s="1" t="str">
        <f t="shared" si="548"/>
        <v>26140</v>
      </c>
      <c r="B14434" s="1" t="str">
        <f>"34449"</f>
        <v>34449</v>
      </c>
      <c r="C14434" s="2">
        <v>3.54710269418113E-3</v>
      </c>
      <c r="D14434" s="2">
        <v>1.3841894801599501E-3</v>
      </c>
      <c r="E14434" s="2">
        <v>5.2840158520475501E-3</v>
      </c>
      <c r="F14434" s="2">
        <v>3.4270757816839701E-3</v>
      </c>
    </row>
    <row r="14435" spans="1:6" x14ac:dyDescent="0.25">
      <c r="A14435" s="1" t="str">
        <f t="shared" si="548"/>
        <v>26140</v>
      </c>
      <c r="B14435" s="1" t="str">
        <f>"34451"</f>
        <v>34451</v>
      </c>
      <c r="C14435" s="2">
        <v>1.7917416173171299E-2</v>
      </c>
      <c r="D14435" s="2">
        <v>5.7213165179944597E-2</v>
      </c>
      <c r="E14435" s="2">
        <v>2.6420079260237699E-3</v>
      </c>
      <c r="F14435" s="2">
        <v>2.0214098085921599E-2</v>
      </c>
    </row>
    <row r="14436" spans="1:6" x14ac:dyDescent="0.25">
      <c r="A14436" s="1" t="str">
        <f t="shared" si="548"/>
        <v>26140</v>
      </c>
      <c r="B14436" s="1" t="str">
        <f>"34487"</f>
        <v>34487</v>
      </c>
      <c r="C14436" s="2">
        <v>4.6991531418638897E-3</v>
      </c>
      <c r="D14436" s="2">
        <v>5.07536142725315E-3</v>
      </c>
      <c r="E14436" s="2">
        <v>2.6420079260237699E-3</v>
      </c>
      <c r="F14436" s="2">
        <v>4.7075216781373198E-3</v>
      </c>
    </row>
    <row r="14437" spans="1:6" x14ac:dyDescent="0.25">
      <c r="A14437" s="1" t="str">
        <f t="shared" si="548"/>
        <v>26140</v>
      </c>
      <c r="B14437" s="1" t="str">
        <f>"34446"</f>
        <v>34446</v>
      </c>
      <c r="C14437" s="2">
        <v>0.105928006952725</v>
      </c>
      <c r="D14437" s="2">
        <v>5.6290372193171297E-2</v>
      </c>
      <c r="E14437" s="2">
        <v>8.1902245706737098E-2</v>
      </c>
      <c r="F14437" s="2">
        <v>0.102718123016956</v>
      </c>
    </row>
    <row r="14438" spans="1:6" x14ac:dyDescent="0.25">
      <c r="A14438" s="1" t="str">
        <f t="shared" si="548"/>
        <v>26140</v>
      </c>
      <c r="B14438" s="1" t="str">
        <f>"34453"</f>
        <v>34453</v>
      </c>
      <c r="C14438" s="2">
        <v>5.9108272530670802E-2</v>
      </c>
      <c r="D14438" s="2">
        <v>7.5361427253152799E-2</v>
      </c>
      <c r="E14438" s="2">
        <v>0.10700132100396301</v>
      </c>
      <c r="F14438" s="2">
        <v>6.0444578347283201E-2</v>
      </c>
    </row>
    <row r="14439" spans="1:6" x14ac:dyDescent="0.25">
      <c r="A14439" s="1" t="str">
        <f t="shared" si="548"/>
        <v>26140</v>
      </c>
      <c r="B14439" s="1" t="str">
        <f>"34460"</f>
        <v>34460</v>
      </c>
      <c r="C14439" s="2">
        <v>1.4228833599450199E-2</v>
      </c>
      <c r="D14439" s="2">
        <v>2.9375576745616701E-2</v>
      </c>
      <c r="E14439" s="2">
        <v>2.6420079260237699E-3</v>
      </c>
      <c r="F14439" s="2">
        <v>1.5073484413395699E-2</v>
      </c>
    </row>
    <row r="14440" spans="1:6" x14ac:dyDescent="0.25">
      <c r="A14440" s="1" t="str">
        <f t="shared" si="548"/>
        <v>26140</v>
      </c>
      <c r="B14440" s="1" t="str">
        <f>"34450"</f>
        <v>34450</v>
      </c>
      <c r="C14440" s="2">
        <v>6.73848454837601E-2</v>
      </c>
      <c r="D14440" s="2">
        <v>9.6124269455552094E-2</v>
      </c>
      <c r="E14440" s="2">
        <v>0.143989431968295</v>
      </c>
      <c r="F14440" s="2">
        <v>6.9690150923144997E-2</v>
      </c>
    </row>
    <row r="14441" spans="1:6" x14ac:dyDescent="0.25">
      <c r="A14441" s="1" t="str">
        <f t="shared" si="548"/>
        <v>26140</v>
      </c>
      <c r="B14441" s="1" t="str">
        <f>"34461"</f>
        <v>34461</v>
      </c>
      <c r="C14441" s="2">
        <v>5.53388443114982E-2</v>
      </c>
      <c r="D14441" s="2">
        <v>8.2589972316210306E-2</v>
      </c>
      <c r="E14441" s="2">
        <v>1.98150594451783E-2</v>
      </c>
      <c r="F14441" s="2">
        <v>5.6753881351623597E-2</v>
      </c>
    </row>
    <row r="14442" spans="1:6" x14ac:dyDescent="0.25">
      <c r="A14442" s="1" t="str">
        <f t="shared" si="548"/>
        <v>26140</v>
      </c>
      <c r="B14442" s="1" t="str">
        <f>"34465"</f>
        <v>34465</v>
      </c>
      <c r="C14442" s="2">
        <v>9.34474604361622E-2</v>
      </c>
      <c r="D14442" s="2">
        <v>4.5063057520762798E-2</v>
      </c>
      <c r="E14442" s="2">
        <v>2.2457067371202101E-2</v>
      </c>
      <c r="F14442" s="2">
        <v>8.9979569355916805E-2</v>
      </c>
    </row>
    <row r="14443" spans="1:6" x14ac:dyDescent="0.25">
      <c r="A14443" s="1" t="str">
        <f t="shared" si="548"/>
        <v>26140</v>
      </c>
      <c r="B14443" s="1" t="str">
        <f>"34423"</f>
        <v>34423</v>
      </c>
      <c r="C14443" s="2">
        <v>2.2262869616185201E-2</v>
      </c>
      <c r="D14443" s="2">
        <v>3.7373115964318603E-2</v>
      </c>
      <c r="E14443" s="2">
        <v>2.6420079260237699E-3</v>
      </c>
      <c r="F14443" s="2">
        <v>2.3048026136160301E-2</v>
      </c>
    </row>
    <row r="14444" spans="1:6" x14ac:dyDescent="0.25">
      <c r="A14444" s="1" t="str">
        <f t="shared" si="548"/>
        <v>26140</v>
      </c>
      <c r="B14444" s="1" t="str">
        <f>"34436"</f>
        <v>34436</v>
      </c>
      <c r="C14444" s="2">
        <v>5.9108272530670802E-2</v>
      </c>
      <c r="D14444" s="2">
        <v>4.4294063365118402E-2</v>
      </c>
      <c r="E14444" s="2">
        <v>1.3210039630118801E-2</v>
      </c>
      <c r="F14444" s="2">
        <v>5.78742715110203E-2</v>
      </c>
    </row>
    <row r="14445" spans="1:6" x14ac:dyDescent="0.25">
      <c r="A14445" s="1" t="str">
        <f>"26220"</f>
        <v>26220</v>
      </c>
      <c r="B14445" s="1" t="str">
        <f>"97031"</f>
        <v>97031</v>
      </c>
      <c r="C14445" s="2">
        <v>0.85974275964651303</v>
      </c>
      <c r="D14445" s="2">
        <v>0.96497252747252704</v>
      </c>
      <c r="E14445" s="2">
        <v>0.92938496583143504</v>
      </c>
      <c r="F14445" s="2">
        <v>0.87353647553287295</v>
      </c>
    </row>
    <row r="14446" spans="1:6" x14ac:dyDescent="0.25">
      <c r="A14446" s="1" t="str">
        <f>"26220"</f>
        <v>26220</v>
      </c>
      <c r="B14446" s="1" t="str">
        <f>"97041"</f>
        <v>97041</v>
      </c>
      <c r="C14446" s="2">
        <v>0.12625776533379901</v>
      </c>
      <c r="D14446" s="2">
        <v>2.6098901098900999E-2</v>
      </c>
      <c r="E14446" s="2">
        <v>3.6446469248291501E-2</v>
      </c>
      <c r="F14446" s="2">
        <v>0.112353647553287</v>
      </c>
    </row>
    <row r="14447" spans="1:6" x14ac:dyDescent="0.25">
      <c r="A14447" s="1" t="str">
        <f>"26220"</f>
        <v>26220</v>
      </c>
      <c r="B14447" s="1" t="str">
        <f>"97044"</f>
        <v>97044</v>
      </c>
      <c r="C14447" s="2">
        <v>7.8747046985737997E-4</v>
      </c>
      <c r="D14447" s="2">
        <v>0</v>
      </c>
      <c r="E14447" s="2">
        <v>1.13895216400911E-2</v>
      </c>
      <c r="F14447" s="2">
        <v>1.0507355148604001E-3</v>
      </c>
    </row>
    <row r="14448" spans="1:6" x14ac:dyDescent="0.25">
      <c r="A14448" s="1" t="str">
        <f>"26220"</f>
        <v>26220</v>
      </c>
      <c r="B14448" s="1" t="str">
        <f>"97014"</f>
        <v>97014</v>
      </c>
      <c r="C14448" s="2">
        <v>1.32120045498293E-2</v>
      </c>
      <c r="D14448" s="2">
        <v>8.9285714285714194E-3</v>
      </c>
      <c r="E14448" s="2">
        <v>2.2779043280182199E-2</v>
      </c>
      <c r="F14448" s="2">
        <v>1.30591413989792E-2</v>
      </c>
    </row>
    <row r="14449" spans="1:6" x14ac:dyDescent="0.25">
      <c r="A14449" s="1" t="str">
        <f t="shared" ref="A14449:A14469" si="549">"26260"</f>
        <v>26260</v>
      </c>
      <c r="B14449" s="1" t="str">
        <f>"71722"</f>
        <v>71722</v>
      </c>
      <c r="C14449" s="2">
        <v>4.88423723437995E-3</v>
      </c>
      <c r="D14449" s="2">
        <v>1.42067876874506E-2</v>
      </c>
      <c r="E14449" s="2">
        <v>1.1695906432748499E-2</v>
      </c>
      <c r="F14449" s="2">
        <v>5.6385514154507904E-3</v>
      </c>
    </row>
    <row r="14450" spans="1:6" x14ac:dyDescent="0.25">
      <c r="A14450" s="1" t="str">
        <f t="shared" si="549"/>
        <v>26260</v>
      </c>
      <c r="B14450" s="1" t="str">
        <f>"71801"</f>
        <v>71801</v>
      </c>
      <c r="C14450" s="2">
        <v>0.496289248334919</v>
      </c>
      <c r="D14450" s="2">
        <v>0.60536700868192495</v>
      </c>
      <c r="E14450" s="2">
        <v>0.51461988304093498</v>
      </c>
      <c r="F14450" s="2">
        <v>0.504505028192757</v>
      </c>
    </row>
    <row r="14451" spans="1:6" x14ac:dyDescent="0.25">
      <c r="A14451" s="1" t="str">
        <f t="shared" si="549"/>
        <v>26260</v>
      </c>
      <c r="B14451" s="1" t="str">
        <f>"71864"</f>
        <v>71864</v>
      </c>
      <c r="C14451" s="2">
        <v>0</v>
      </c>
      <c r="D14451" s="2">
        <v>0</v>
      </c>
      <c r="E14451" s="2">
        <v>5.84795321637426E-3</v>
      </c>
      <c r="F14451" s="2">
        <v>5.8129396035575101E-5</v>
      </c>
    </row>
    <row r="14452" spans="1:6" x14ac:dyDescent="0.25">
      <c r="A14452" s="1" t="str">
        <f t="shared" si="549"/>
        <v>26260</v>
      </c>
      <c r="B14452" s="1" t="str">
        <f>"71764"</f>
        <v>71764</v>
      </c>
      <c r="C14452" s="2">
        <v>1.39549635267998E-3</v>
      </c>
      <c r="D14452" s="2">
        <v>0</v>
      </c>
      <c r="E14452" s="2">
        <v>0</v>
      </c>
      <c r="F14452" s="2">
        <v>1.2788467127826499E-3</v>
      </c>
    </row>
    <row r="14453" spans="1:6" x14ac:dyDescent="0.25">
      <c r="A14453" s="1" t="str">
        <f t="shared" si="549"/>
        <v>26260</v>
      </c>
      <c r="B14453" s="1" t="str">
        <f>"71862"</f>
        <v>71862</v>
      </c>
      <c r="C14453" s="2">
        <v>2.3660006343165198E-2</v>
      </c>
      <c r="D14453" s="2">
        <v>7.1033938437253304E-3</v>
      </c>
      <c r="E14453" s="2">
        <v>5.84795321637426E-3</v>
      </c>
      <c r="F14453" s="2">
        <v>2.22635586816252E-2</v>
      </c>
    </row>
    <row r="14454" spans="1:6" x14ac:dyDescent="0.25">
      <c r="A14454" s="1" t="str">
        <f t="shared" si="549"/>
        <v>26260</v>
      </c>
      <c r="B14454" s="1" t="str">
        <f>"71827"</f>
        <v>71827</v>
      </c>
      <c r="C14454" s="2">
        <v>8.8169996828417301E-3</v>
      </c>
      <c r="D14454" s="2">
        <v>3.9463299131807404E-3</v>
      </c>
      <c r="E14454" s="2">
        <v>0</v>
      </c>
      <c r="F14454" s="2">
        <v>8.3706330291228193E-3</v>
      </c>
    </row>
    <row r="14455" spans="1:6" x14ac:dyDescent="0.25">
      <c r="A14455" s="1" t="str">
        <f t="shared" si="549"/>
        <v>26260</v>
      </c>
      <c r="B14455" s="1" t="str">
        <f>"71847"</f>
        <v>71847</v>
      </c>
      <c r="C14455" s="2">
        <v>2.04249920710434E-2</v>
      </c>
      <c r="D14455" s="2">
        <v>1.57853196527229E-3</v>
      </c>
      <c r="E14455" s="2">
        <v>5.84795321637426E-3</v>
      </c>
      <c r="F14455" s="2">
        <v>1.8892053711561899E-2</v>
      </c>
    </row>
    <row r="14456" spans="1:6" x14ac:dyDescent="0.25">
      <c r="A14456" s="1" t="str">
        <f t="shared" si="549"/>
        <v>26260</v>
      </c>
      <c r="B14456" s="1" t="str">
        <f>"71752"</f>
        <v>71752</v>
      </c>
      <c r="C14456" s="2">
        <v>1.9029495718363401E-4</v>
      </c>
      <c r="D14456" s="2">
        <v>0</v>
      </c>
      <c r="E14456" s="2">
        <v>0</v>
      </c>
      <c r="F14456" s="2">
        <v>1.7438818810672501E-4</v>
      </c>
    </row>
    <row r="14457" spans="1:6" x14ac:dyDescent="0.25">
      <c r="A14457" s="1" t="str">
        <f t="shared" si="549"/>
        <v>26260</v>
      </c>
      <c r="B14457" s="1" t="str">
        <f>"71835"</f>
        <v>71835</v>
      </c>
      <c r="C14457" s="2">
        <v>4.4846178242943201E-2</v>
      </c>
      <c r="D14457" s="2">
        <v>1.0260457774269901E-2</v>
      </c>
      <c r="E14457" s="2">
        <v>5.84795321637426E-3</v>
      </c>
      <c r="F14457" s="2">
        <v>4.1911294541649699E-2</v>
      </c>
    </row>
    <row r="14458" spans="1:6" x14ac:dyDescent="0.25">
      <c r="A14458" s="1" t="str">
        <f t="shared" si="549"/>
        <v>26260</v>
      </c>
      <c r="B14458" s="1" t="str">
        <f>"71860"</f>
        <v>71860</v>
      </c>
      <c r="C14458" s="2">
        <v>6.3431652394544801E-4</v>
      </c>
      <c r="D14458" s="2">
        <v>0</v>
      </c>
      <c r="E14458" s="2">
        <v>0</v>
      </c>
      <c r="F14458" s="2">
        <v>5.8129396035575096E-4</v>
      </c>
    </row>
    <row r="14459" spans="1:6" x14ac:dyDescent="0.25">
      <c r="A14459" s="1" t="str">
        <f t="shared" si="549"/>
        <v>26260</v>
      </c>
      <c r="B14459" s="1" t="str">
        <f>"71828"</f>
        <v>71828</v>
      </c>
      <c r="C14459" s="2">
        <v>6.3431652394544796E-5</v>
      </c>
      <c r="D14459" s="2">
        <v>0</v>
      </c>
      <c r="E14459" s="2">
        <v>5.84795321637426E-3</v>
      </c>
      <c r="F14459" s="2">
        <v>1.1625879207115E-4</v>
      </c>
    </row>
    <row r="14460" spans="1:6" x14ac:dyDescent="0.25">
      <c r="A14460" s="1" t="str">
        <f t="shared" si="549"/>
        <v>26260</v>
      </c>
      <c r="B14460" s="1" t="str">
        <f>"71831"</f>
        <v>71831</v>
      </c>
      <c r="C14460" s="2">
        <v>3.2984459245163299E-3</v>
      </c>
      <c r="D14460" s="2">
        <v>2.3677979479084402E-3</v>
      </c>
      <c r="E14460" s="2">
        <v>5.84795321637426E-3</v>
      </c>
      <c r="F14460" s="2">
        <v>3.2552461779922102E-3</v>
      </c>
    </row>
    <row r="14461" spans="1:6" x14ac:dyDescent="0.25">
      <c r="A14461" s="1" t="str">
        <f t="shared" si="549"/>
        <v>26260</v>
      </c>
      <c r="B14461" s="1" t="str">
        <f>"71852"</f>
        <v>71852</v>
      </c>
      <c r="C14461" s="2">
        <v>2.6641294005708801E-2</v>
      </c>
      <c r="D14461" s="2">
        <v>6.3141278610891801E-3</v>
      </c>
      <c r="E14461" s="2">
        <v>0</v>
      </c>
      <c r="F14461" s="2">
        <v>2.4879381503226099E-2</v>
      </c>
    </row>
    <row r="14462" spans="1:6" x14ac:dyDescent="0.25">
      <c r="A14462" s="1" t="str">
        <f t="shared" si="549"/>
        <v>26260</v>
      </c>
      <c r="B14462" s="1" t="str">
        <f>"71858"</f>
        <v>71858</v>
      </c>
      <c r="C14462" s="2">
        <v>6.08309546463685E-2</v>
      </c>
      <c r="D14462" s="2">
        <v>2.1310181531176E-2</v>
      </c>
      <c r="E14462" s="2">
        <v>0</v>
      </c>
      <c r="F14462" s="2">
        <v>5.7315584491077098E-2</v>
      </c>
    </row>
    <row r="14463" spans="1:6" x14ac:dyDescent="0.25">
      <c r="A14463" s="1" t="str">
        <f t="shared" si="549"/>
        <v>26260</v>
      </c>
      <c r="B14463" s="1" t="str">
        <f>"71825"</f>
        <v>71825</v>
      </c>
      <c r="C14463" s="2">
        <v>1.6936251189343401E-2</v>
      </c>
      <c r="D14463" s="2">
        <v>1.57853196527229E-3</v>
      </c>
      <c r="E14463" s="2">
        <v>5.84795321637426E-3</v>
      </c>
      <c r="F14463" s="2">
        <v>1.5694936929605299E-2</v>
      </c>
    </row>
    <row r="14464" spans="1:6" x14ac:dyDescent="0.25">
      <c r="A14464" s="1" t="str">
        <f t="shared" si="549"/>
        <v>26260</v>
      </c>
      <c r="B14464" s="1" t="str">
        <f>"71822"</f>
        <v>71822</v>
      </c>
      <c r="C14464" s="2">
        <v>1.26863304789089E-4</v>
      </c>
      <c r="D14464" s="2">
        <v>1.57853196527229E-3</v>
      </c>
      <c r="E14464" s="2">
        <v>0</v>
      </c>
      <c r="F14464" s="2">
        <v>2.325175841423E-4</v>
      </c>
    </row>
    <row r="14465" spans="1:6" x14ac:dyDescent="0.25">
      <c r="A14465" s="1" t="str">
        <f t="shared" si="549"/>
        <v>26260</v>
      </c>
      <c r="B14465" s="1" t="str">
        <f>"71770"</f>
        <v>71770</v>
      </c>
      <c r="C14465" s="2">
        <v>9.7684744687599103E-3</v>
      </c>
      <c r="D14465" s="2">
        <v>1.57853196527229E-3</v>
      </c>
      <c r="E14465" s="2">
        <v>0</v>
      </c>
      <c r="F14465" s="2">
        <v>9.0681857815497202E-3</v>
      </c>
    </row>
    <row r="14466" spans="1:6" x14ac:dyDescent="0.25">
      <c r="A14466" s="1" t="str">
        <f t="shared" si="549"/>
        <v>26260</v>
      </c>
      <c r="B14466" s="1" t="str">
        <f>"71859"</f>
        <v>71859</v>
      </c>
      <c r="C14466" s="2">
        <v>1.1734855692990801E-2</v>
      </c>
      <c r="D14466" s="2">
        <v>3.9463299131807404E-3</v>
      </c>
      <c r="E14466" s="2">
        <v>0</v>
      </c>
      <c r="F14466" s="2">
        <v>1.1044585246759201E-2</v>
      </c>
    </row>
    <row r="14467" spans="1:6" x14ac:dyDescent="0.25">
      <c r="A14467" s="1" t="str">
        <f t="shared" si="549"/>
        <v>26260</v>
      </c>
      <c r="B14467" s="1" t="str">
        <f>"71857"</f>
        <v>71857</v>
      </c>
      <c r="C14467" s="2">
        <v>0.213257215350459</v>
      </c>
      <c r="D14467" s="2">
        <v>0.291239147592738</v>
      </c>
      <c r="E14467" s="2">
        <v>0.41520467836257302</v>
      </c>
      <c r="F14467" s="2">
        <v>0.22100796372725601</v>
      </c>
    </row>
    <row r="14468" spans="1:6" x14ac:dyDescent="0.25">
      <c r="A14468" s="1" t="str">
        <f t="shared" si="549"/>
        <v>26260</v>
      </c>
      <c r="B14468" s="1" t="str">
        <f>"71855"</f>
        <v>71855</v>
      </c>
      <c r="C14468" s="2">
        <v>2.1820488423723399E-2</v>
      </c>
      <c r="D14468" s="2">
        <v>8.6819258089976294E-3</v>
      </c>
      <c r="E14468" s="2">
        <v>1.1695906432748499E-2</v>
      </c>
      <c r="F14468" s="2">
        <v>2.0752194384700301E-2</v>
      </c>
    </row>
    <row r="14469" spans="1:6" x14ac:dyDescent="0.25">
      <c r="A14469" s="1" t="str">
        <f t="shared" si="549"/>
        <v>26260</v>
      </c>
      <c r="B14469" s="1" t="str">
        <f>"71838"</f>
        <v>71838</v>
      </c>
      <c r="C14469" s="2">
        <v>3.4379955597843299E-2</v>
      </c>
      <c r="D14469" s="2">
        <v>1.89423835832675E-2</v>
      </c>
      <c r="E14469" s="2">
        <v>5.84795321637426E-3</v>
      </c>
      <c r="F14469" s="2">
        <v>3.2959367552171097E-2</v>
      </c>
    </row>
    <row r="14470" spans="1:6" x14ac:dyDescent="0.25">
      <c r="A14470" s="1" t="str">
        <f t="shared" ref="A14470:A14483" si="550">"26300"</f>
        <v>26300</v>
      </c>
      <c r="B14470" s="1" t="str">
        <f>"71949"</f>
        <v>71949</v>
      </c>
      <c r="C14470" s="2">
        <v>1.7975476539012401E-2</v>
      </c>
      <c r="D14470" s="2">
        <v>4.4814340588988401E-3</v>
      </c>
      <c r="E14470" s="2">
        <v>1.3927576601671301E-3</v>
      </c>
      <c r="F14470" s="2">
        <v>1.6457207049076699E-2</v>
      </c>
    </row>
    <row r="14471" spans="1:6" x14ac:dyDescent="0.25">
      <c r="A14471" s="1" t="str">
        <f t="shared" si="550"/>
        <v>26300</v>
      </c>
      <c r="B14471" s="1" t="str">
        <f>"71933"</f>
        <v>71933</v>
      </c>
      <c r="C14471" s="2">
        <v>6.0128126426468899E-3</v>
      </c>
      <c r="D14471" s="2">
        <v>1.12035851472471E-3</v>
      </c>
      <c r="E14471" s="2">
        <v>6.9637883008356503E-4</v>
      </c>
      <c r="F14471" s="2">
        <v>5.4763743593343999E-3</v>
      </c>
    </row>
    <row r="14472" spans="1:6" x14ac:dyDescent="0.25">
      <c r="A14472" s="1" t="str">
        <f t="shared" si="550"/>
        <v>26300</v>
      </c>
      <c r="B14472" s="1" t="str">
        <f>"71909"</f>
        <v>71909</v>
      </c>
      <c r="C14472" s="2">
        <v>0.10461034770427</v>
      </c>
      <c r="D14472" s="2">
        <v>5.7298335467349498E-2</v>
      </c>
      <c r="E14472" s="2">
        <v>2.7158774373259E-2</v>
      </c>
      <c r="F14472" s="2">
        <v>9.8897704135364695E-2</v>
      </c>
    </row>
    <row r="14473" spans="1:6" x14ac:dyDescent="0.25">
      <c r="A14473" s="1" t="str">
        <f t="shared" si="550"/>
        <v>26300</v>
      </c>
      <c r="B14473" s="1" t="str">
        <f>"71913"</f>
        <v>71913</v>
      </c>
      <c r="C14473" s="2">
        <v>0.43994270513607497</v>
      </c>
      <c r="D14473" s="2">
        <v>0.40957106274007599</v>
      </c>
      <c r="E14473" s="2">
        <v>0.51323119777158699</v>
      </c>
      <c r="F14473" s="2">
        <v>0.43875588008144301</v>
      </c>
    </row>
    <row r="14474" spans="1:6" x14ac:dyDescent="0.25">
      <c r="A14474" s="1" t="str">
        <f t="shared" si="550"/>
        <v>26300</v>
      </c>
      <c r="B14474" s="1" t="str">
        <f>"71903"</f>
        <v>71903</v>
      </c>
      <c r="C14474" s="2">
        <v>2.8348365364939902E-2</v>
      </c>
      <c r="D14474" s="2">
        <v>5.9859154929577399E-2</v>
      </c>
      <c r="E14474" s="2">
        <v>1.3927576601671301E-3</v>
      </c>
      <c r="F14474" s="2">
        <v>3.0569402513515399E-2</v>
      </c>
    </row>
    <row r="14475" spans="1:6" x14ac:dyDescent="0.25">
      <c r="A14475" s="1" t="str">
        <f t="shared" si="550"/>
        <v>26300</v>
      </c>
      <c r="B14475" s="1" t="str">
        <f>"71964"</f>
        <v>71964</v>
      </c>
      <c r="C14475" s="2">
        <v>2.6365081613700301E-2</v>
      </c>
      <c r="D14475" s="2">
        <v>1.3604353393085701E-2</v>
      </c>
      <c r="E14475" s="2">
        <v>1.25348189415041E-2</v>
      </c>
      <c r="F14475" s="2">
        <v>2.49666502843502E-2</v>
      </c>
    </row>
    <row r="14476" spans="1:6" x14ac:dyDescent="0.25">
      <c r="A14476" s="1" t="str">
        <f t="shared" si="550"/>
        <v>26300</v>
      </c>
      <c r="B14476" s="1" t="str">
        <f>"71968"</f>
        <v>71968</v>
      </c>
      <c r="C14476" s="2">
        <v>3.7808314051407901E-2</v>
      </c>
      <c r="D14476" s="2">
        <v>1.2003841229193299E-2</v>
      </c>
      <c r="E14476" s="2">
        <v>8.3565459610027808E-3</v>
      </c>
      <c r="F14476" s="2">
        <v>3.4950502000982903E-2</v>
      </c>
    </row>
    <row r="14477" spans="1:6" x14ac:dyDescent="0.25">
      <c r="A14477" s="1" t="str">
        <f t="shared" si="550"/>
        <v>26300</v>
      </c>
      <c r="B14477" s="1" t="str">
        <f>"71910"</f>
        <v>71910</v>
      </c>
      <c r="C14477" s="2">
        <v>1.09080606318175E-2</v>
      </c>
      <c r="D14477" s="2">
        <v>2.25672215108834E-2</v>
      </c>
      <c r="E14477" s="2">
        <v>6.9637883008356503E-4</v>
      </c>
      <c r="F14477" s="2">
        <v>1.1725057923190301E-2</v>
      </c>
    </row>
    <row r="14478" spans="1:6" x14ac:dyDescent="0.25">
      <c r="A14478" s="1" t="str">
        <f t="shared" si="550"/>
        <v>26300</v>
      </c>
      <c r="B14478" s="1" t="str">
        <f>"71914"</f>
        <v>71914</v>
      </c>
      <c r="C14478" s="2">
        <v>2.4570682029245498E-2</v>
      </c>
      <c r="D14478" s="2">
        <v>3.4250960307298302E-2</v>
      </c>
      <c r="E14478" s="2">
        <v>1.3927576601671301E-3</v>
      </c>
      <c r="F14478" s="2">
        <v>2.4952608298813399E-2</v>
      </c>
    </row>
    <row r="14479" spans="1:6" x14ac:dyDescent="0.25">
      <c r="A14479" s="1" t="str">
        <f t="shared" si="550"/>
        <v>26300</v>
      </c>
      <c r="B14479" s="1" t="str">
        <f>"71902"</f>
        <v>71902</v>
      </c>
      <c r="C14479" s="2">
        <v>2.75613480033369E-2</v>
      </c>
      <c r="D14479" s="2">
        <v>5.26568501920614E-2</v>
      </c>
      <c r="E14479" s="2">
        <v>1.3927576601671301E-3</v>
      </c>
      <c r="F14479" s="2">
        <v>2.9235413887523602E-2</v>
      </c>
    </row>
    <row r="14480" spans="1:6" x14ac:dyDescent="0.25">
      <c r="A14480" s="1" t="str">
        <f t="shared" si="550"/>
        <v>26300</v>
      </c>
      <c r="B14480" s="1" t="str">
        <f>"71901"</f>
        <v>71901</v>
      </c>
      <c r="C14480" s="2">
        <v>0.258975933009082</v>
      </c>
      <c r="D14480" s="2">
        <v>0.331306017925736</v>
      </c>
      <c r="E14480" s="2">
        <v>0.42896935933147601</v>
      </c>
      <c r="F14480" s="2">
        <v>0.26874956118795101</v>
      </c>
    </row>
    <row r="14481" spans="1:6" x14ac:dyDescent="0.25">
      <c r="A14481" s="1" t="str">
        <f t="shared" si="550"/>
        <v>26300</v>
      </c>
      <c r="B14481" s="1" t="str">
        <f>"72087"</f>
        <v>72087</v>
      </c>
      <c r="C14481" s="2">
        <v>6.0757740315751296E-3</v>
      </c>
      <c r="D14481" s="2">
        <v>4.8015364916773301E-4</v>
      </c>
      <c r="E14481" s="2">
        <v>6.9637883008356503E-4</v>
      </c>
      <c r="F14481" s="2">
        <v>5.4763743593343999E-3</v>
      </c>
    </row>
    <row r="14482" spans="1:6" x14ac:dyDescent="0.25">
      <c r="A14482" s="1" t="str">
        <f t="shared" si="550"/>
        <v>26300</v>
      </c>
      <c r="B14482" s="1" t="str">
        <f>"72104"</f>
        <v>72104</v>
      </c>
      <c r="C14482" s="2">
        <v>5.0369111142591798E-4</v>
      </c>
      <c r="D14482" s="2">
        <v>0</v>
      </c>
      <c r="E14482" s="2">
        <v>0</v>
      </c>
      <c r="F14482" s="2">
        <v>4.4934353717615598E-4</v>
      </c>
    </row>
    <row r="14483" spans="1:6" x14ac:dyDescent="0.25">
      <c r="A14483" s="1" t="str">
        <f t="shared" si="550"/>
        <v>26300</v>
      </c>
      <c r="B14483" s="1" t="str">
        <f>"71956"</f>
        <v>71956</v>
      </c>
      <c r="C14483" s="2">
        <v>1.03414081314633E-2</v>
      </c>
      <c r="D14483" s="2">
        <v>8.00256081946222E-4</v>
      </c>
      <c r="E14483" s="2">
        <v>2.08913649025069E-3</v>
      </c>
      <c r="F14483" s="2">
        <v>9.3379203819420002E-3</v>
      </c>
    </row>
    <row r="14484" spans="1:6" x14ac:dyDescent="0.25">
      <c r="A14484" s="1" t="str">
        <f t="shared" ref="A14484:A14504" si="551">"26340"</f>
        <v>26340</v>
      </c>
      <c r="B14484" s="1" t="str">
        <f>"49805"</f>
        <v>49805</v>
      </c>
      <c r="C14484" s="2">
        <v>1.2100990986504599E-2</v>
      </c>
      <c r="D14484" s="2">
        <v>5.5803571428571404E-3</v>
      </c>
      <c r="E14484" s="2">
        <v>2.3612750885478101E-3</v>
      </c>
      <c r="F14484" s="2">
        <v>1.1223591549295701E-2</v>
      </c>
    </row>
    <row r="14485" spans="1:6" x14ac:dyDescent="0.25">
      <c r="A14485" s="1" t="str">
        <f t="shared" si="551"/>
        <v>26340</v>
      </c>
      <c r="B14485" s="1" t="str">
        <f>"49918"</f>
        <v>49918</v>
      </c>
      <c r="C14485" s="2">
        <v>5.0296299985060503E-3</v>
      </c>
      <c r="D14485" s="2">
        <v>1.5625E-2</v>
      </c>
      <c r="E14485" s="2">
        <v>7.0838252656434397E-3</v>
      </c>
      <c r="F14485" s="2">
        <v>5.9419014084506998E-3</v>
      </c>
    </row>
    <row r="14486" spans="1:6" x14ac:dyDescent="0.25">
      <c r="A14486" s="1" t="str">
        <f t="shared" si="551"/>
        <v>26340</v>
      </c>
      <c r="B14486" s="1" t="str">
        <f>"49921"</f>
        <v>49921</v>
      </c>
      <c r="C14486" s="2">
        <v>1.41427219759972E-2</v>
      </c>
      <c r="D14486" s="2">
        <v>2.2321428571428501E-3</v>
      </c>
      <c r="E14486" s="2">
        <v>1.5348288075560801E-2</v>
      </c>
      <c r="F14486" s="2">
        <v>1.3248239436619701E-2</v>
      </c>
    </row>
    <row r="14487" spans="1:6" x14ac:dyDescent="0.25">
      <c r="A14487" s="1" t="str">
        <f t="shared" si="551"/>
        <v>26340</v>
      </c>
      <c r="B14487" s="1" t="str">
        <f>"49917"</f>
        <v>49917</v>
      </c>
      <c r="C14487" s="2">
        <v>5.4280165330411797E-3</v>
      </c>
      <c r="D14487" s="2">
        <v>5.5803571428571404E-4</v>
      </c>
      <c r="E14487" s="2">
        <v>1.1806375442739E-3</v>
      </c>
      <c r="F14487" s="2">
        <v>4.8855633802816897E-3</v>
      </c>
    </row>
    <row r="14488" spans="1:6" x14ac:dyDescent="0.25">
      <c r="A14488" s="1" t="str">
        <f t="shared" si="551"/>
        <v>26340</v>
      </c>
      <c r="B14488" s="1" t="str">
        <f>"49965"</f>
        <v>49965</v>
      </c>
      <c r="C14488" s="2">
        <v>1.2798167421941099E-2</v>
      </c>
      <c r="D14488" s="2">
        <v>7.2544642857142799E-3</v>
      </c>
      <c r="E14488" s="2">
        <v>1.1806375442739E-3</v>
      </c>
      <c r="F14488" s="2">
        <v>1.19278169014084E-2</v>
      </c>
    </row>
    <row r="14489" spans="1:6" x14ac:dyDescent="0.25">
      <c r="A14489" s="1" t="str">
        <f t="shared" si="551"/>
        <v>26340</v>
      </c>
      <c r="B14489" s="1" t="str">
        <f>"49967"</f>
        <v>49967</v>
      </c>
      <c r="C14489" s="2">
        <v>7.5195458393506201E-3</v>
      </c>
      <c r="D14489" s="2">
        <v>1.6741071428571399E-3</v>
      </c>
      <c r="E14489" s="2">
        <v>0</v>
      </c>
      <c r="F14489" s="2">
        <v>6.7781690140844997E-3</v>
      </c>
    </row>
    <row r="14490" spans="1:6" x14ac:dyDescent="0.25">
      <c r="A14490" s="1" t="str">
        <f t="shared" si="551"/>
        <v>26340</v>
      </c>
      <c r="B14490" s="1" t="str">
        <f>"49955"</f>
        <v>49955</v>
      </c>
      <c r="C14490" s="2">
        <v>0</v>
      </c>
      <c r="D14490" s="2">
        <v>0</v>
      </c>
      <c r="E14490" s="2">
        <v>1.1806375442739E-3</v>
      </c>
      <c r="F14490" s="2">
        <v>4.4014084507042202E-5</v>
      </c>
    </row>
    <row r="14491" spans="1:6" x14ac:dyDescent="0.25">
      <c r="A14491" s="1" t="str">
        <f t="shared" si="551"/>
        <v>26340</v>
      </c>
      <c r="B14491" s="1" t="str">
        <f>"49945"</f>
        <v>49945</v>
      </c>
      <c r="C14491" s="2">
        <v>9.0184751755390605E-2</v>
      </c>
      <c r="D14491" s="2">
        <v>4.1294642857142801E-2</v>
      </c>
      <c r="E14491" s="2">
        <v>3.8961038961038898E-2</v>
      </c>
      <c r="F14491" s="2">
        <v>8.4419014084506999E-2</v>
      </c>
    </row>
    <row r="14492" spans="1:6" x14ac:dyDescent="0.25">
      <c r="A14492" s="1" t="str">
        <f t="shared" si="551"/>
        <v>26340</v>
      </c>
      <c r="B14492" s="1" t="str">
        <f>"49931"</f>
        <v>49931</v>
      </c>
      <c r="C14492" s="2">
        <v>0.21318659429311199</v>
      </c>
      <c r="D14492" s="2">
        <v>0.38616071428571402</v>
      </c>
      <c r="E14492" s="2">
        <v>0.45808736717827597</v>
      </c>
      <c r="F14492" s="2">
        <v>0.23595950704225299</v>
      </c>
    </row>
    <row r="14493" spans="1:6" x14ac:dyDescent="0.25">
      <c r="A14493" s="1" t="str">
        <f t="shared" si="551"/>
        <v>26340</v>
      </c>
      <c r="B14493" s="1" t="str">
        <f>"49913"</f>
        <v>49913</v>
      </c>
      <c r="C14493" s="2">
        <v>0.21492953538170401</v>
      </c>
      <c r="D14493" s="2">
        <v>0.24386160714285701</v>
      </c>
      <c r="E14493" s="2">
        <v>0.161747343565525</v>
      </c>
      <c r="F14493" s="2">
        <v>0.21522887323943601</v>
      </c>
    </row>
    <row r="14494" spans="1:6" x14ac:dyDescent="0.25">
      <c r="A14494" s="1" t="str">
        <f t="shared" si="551"/>
        <v>26340</v>
      </c>
      <c r="B14494" s="1" t="str">
        <f>"49952"</f>
        <v>49952</v>
      </c>
      <c r="C14494" s="2">
        <v>2.73890742492903E-3</v>
      </c>
      <c r="D14494" s="2">
        <v>5.5803571428571404E-4</v>
      </c>
      <c r="E14494" s="2">
        <v>1.1806375442739E-3</v>
      </c>
      <c r="F14494" s="2">
        <v>2.5088028169013999E-3</v>
      </c>
    </row>
    <row r="14495" spans="1:6" x14ac:dyDescent="0.25">
      <c r="A14495" s="1" t="str">
        <f t="shared" si="551"/>
        <v>26340</v>
      </c>
      <c r="B14495" s="1" t="str">
        <f>"49905"</f>
        <v>49905</v>
      </c>
      <c r="C14495" s="2">
        <v>4.1382401274836902E-2</v>
      </c>
      <c r="D14495" s="2">
        <v>1.171875E-2</v>
      </c>
      <c r="E14495" s="2">
        <v>3.5419126328217199E-3</v>
      </c>
      <c r="F14495" s="2">
        <v>3.7632042253521097E-2</v>
      </c>
    </row>
    <row r="14496" spans="1:6" x14ac:dyDescent="0.25">
      <c r="A14496" s="1" t="str">
        <f t="shared" si="551"/>
        <v>26340</v>
      </c>
      <c r="B14496" s="1" t="str">
        <f>"49950"</f>
        <v>49950</v>
      </c>
      <c r="C14496" s="2">
        <v>5.1690652855933397E-2</v>
      </c>
      <c r="D14496" s="2">
        <v>1.22767857142857E-2</v>
      </c>
      <c r="E14496" s="2">
        <v>1.1806375442739E-3</v>
      </c>
      <c r="F14496" s="2">
        <v>4.6698943661971803E-2</v>
      </c>
    </row>
    <row r="14497" spans="1:6" x14ac:dyDescent="0.25">
      <c r="A14497" s="1" t="str">
        <f t="shared" si="551"/>
        <v>26340</v>
      </c>
      <c r="B14497" s="1" t="str">
        <f>"49961"</f>
        <v>49961</v>
      </c>
      <c r="C14497" s="2">
        <v>2.9381006921965999E-3</v>
      </c>
      <c r="D14497" s="2">
        <v>0</v>
      </c>
      <c r="E14497" s="2">
        <v>1.1806375442739E-3</v>
      </c>
      <c r="F14497" s="2">
        <v>2.64084507042253E-3</v>
      </c>
    </row>
    <row r="14498" spans="1:6" x14ac:dyDescent="0.25">
      <c r="A14498" s="1" t="str">
        <f t="shared" si="551"/>
        <v>26340</v>
      </c>
      <c r="B14498" s="1" t="str">
        <f>"49934"</f>
        <v>49934</v>
      </c>
      <c r="C14498" s="2">
        <v>2.04173098949255E-2</v>
      </c>
      <c r="D14498" s="2">
        <v>1.3950892857142801E-2</v>
      </c>
      <c r="E14498" s="2">
        <v>1.1806375442739E-3</v>
      </c>
      <c r="F14498" s="2">
        <v>1.91901408450704E-2</v>
      </c>
    </row>
    <row r="14499" spans="1:6" x14ac:dyDescent="0.25">
      <c r="A14499" s="1" t="str">
        <f t="shared" si="551"/>
        <v>26340</v>
      </c>
      <c r="B14499" s="1" t="str">
        <f>"49963"</f>
        <v>49963</v>
      </c>
      <c r="C14499" s="2">
        <v>1.46407051441661E-2</v>
      </c>
      <c r="D14499" s="2">
        <v>2.2321428571428501E-3</v>
      </c>
      <c r="E14499" s="2">
        <v>8.2644628099173504E-3</v>
      </c>
      <c r="F14499" s="2">
        <v>1.34242957746478E-2</v>
      </c>
    </row>
    <row r="14500" spans="1:6" x14ac:dyDescent="0.25">
      <c r="A14500" s="1" t="str">
        <f t="shared" si="551"/>
        <v>26340</v>
      </c>
      <c r="B14500" s="1" t="str">
        <f>"49901"</f>
        <v>49901</v>
      </c>
      <c r="C14500" s="2">
        <v>9.0134953438573695E-3</v>
      </c>
      <c r="D14500" s="2">
        <v>3.90625E-3</v>
      </c>
      <c r="E14500" s="2">
        <v>1.1806375442739E-3</v>
      </c>
      <c r="F14500" s="2">
        <v>8.31866197183098E-3</v>
      </c>
    </row>
    <row r="14501" spans="1:6" x14ac:dyDescent="0.25">
      <c r="A14501" s="1" t="str">
        <f t="shared" si="551"/>
        <v>26340</v>
      </c>
      <c r="B14501" s="1" t="str">
        <f>"49958"</f>
        <v>49958</v>
      </c>
      <c r="C14501" s="2">
        <v>2.04173098949255E-2</v>
      </c>
      <c r="D14501" s="2">
        <v>4.4642857142857097E-3</v>
      </c>
      <c r="E14501" s="2">
        <v>0</v>
      </c>
      <c r="F14501" s="2">
        <v>1.8397887323943599E-2</v>
      </c>
    </row>
    <row r="14502" spans="1:6" x14ac:dyDescent="0.25">
      <c r="A14502" s="1" t="str">
        <f t="shared" si="551"/>
        <v>26340</v>
      </c>
      <c r="B14502" s="1" t="str">
        <f>"49916"</f>
        <v>49916</v>
      </c>
      <c r="C14502" s="2">
        <v>7.0215626711817095E-2</v>
      </c>
      <c r="D14502" s="2">
        <v>1.7857142857142801E-2</v>
      </c>
      <c r="E14502" s="2">
        <v>1.2987012987012899E-2</v>
      </c>
      <c r="F14502" s="2">
        <v>6.3952464788732302E-2</v>
      </c>
    </row>
    <row r="14503" spans="1:6" x14ac:dyDescent="0.25">
      <c r="A14503" s="1" t="str">
        <f t="shared" si="551"/>
        <v>26340</v>
      </c>
      <c r="B14503" s="1" t="str">
        <f>"49922"</f>
        <v>49922</v>
      </c>
      <c r="C14503" s="2">
        <v>1.7180419301827499E-2</v>
      </c>
      <c r="D14503" s="2">
        <v>1.0044642857142801E-2</v>
      </c>
      <c r="E14503" s="2">
        <v>5.9031877213695299E-3</v>
      </c>
      <c r="F14503" s="2">
        <v>1.61971830985915E-2</v>
      </c>
    </row>
    <row r="14504" spans="1:6" x14ac:dyDescent="0.25">
      <c r="A14504" s="1" t="str">
        <f t="shared" si="551"/>
        <v>26340</v>
      </c>
      <c r="B14504" s="1" t="str">
        <f>"49930"</f>
        <v>49930</v>
      </c>
      <c r="C14504" s="2">
        <v>0.17404511727503599</v>
      </c>
      <c r="D14504" s="2">
        <v>0.21875</v>
      </c>
      <c r="E14504" s="2">
        <v>0.27626918536009398</v>
      </c>
      <c r="F14504" s="2">
        <v>0.181382042253521</v>
      </c>
    </row>
    <row r="14505" spans="1:6" x14ac:dyDescent="0.25">
      <c r="A14505" s="1" t="str">
        <f t="shared" ref="A14505:A14528" si="552">"26380"</f>
        <v>26380</v>
      </c>
      <c r="B14505" s="1" t="str">
        <f>"70360"</f>
        <v>70360</v>
      </c>
      <c r="C14505" s="2">
        <v>0.139002670468449</v>
      </c>
      <c r="D14505" s="2">
        <v>0.28784489187173701</v>
      </c>
      <c r="E14505" s="2">
        <v>0.163655136809499</v>
      </c>
      <c r="F14505" s="2">
        <v>0.15098005270548401</v>
      </c>
    </row>
    <row r="14506" spans="1:6" x14ac:dyDescent="0.25">
      <c r="A14506" s="1" t="str">
        <f t="shared" si="552"/>
        <v>26380</v>
      </c>
      <c r="B14506" s="1" t="str">
        <f>"70301"</f>
        <v>70301</v>
      </c>
      <c r="C14506" s="2">
        <v>0.21795703843985001</v>
      </c>
      <c r="D14506" s="2">
        <v>0.17126522495650001</v>
      </c>
      <c r="E14506" s="2">
        <v>0.34279814145585902</v>
      </c>
      <c r="F14506" s="2">
        <v>0.216669552003385</v>
      </c>
    </row>
    <row r="14507" spans="1:6" x14ac:dyDescent="0.25">
      <c r="A14507" s="1" t="str">
        <f t="shared" si="552"/>
        <v>26380</v>
      </c>
      <c r="B14507" s="1" t="str">
        <f>"70361"</f>
        <v>70361</v>
      </c>
      <c r="C14507" s="2">
        <v>1.89273441074145E-2</v>
      </c>
      <c r="D14507" s="2">
        <v>8.5756897837434704E-2</v>
      </c>
      <c r="E14507" s="2">
        <v>1.0325245224574E-3</v>
      </c>
      <c r="F14507" s="2">
        <v>2.3765556773808798E-2</v>
      </c>
    </row>
    <row r="14508" spans="1:6" x14ac:dyDescent="0.25">
      <c r="A14508" s="1" t="str">
        <f t="shared" si="552"/>
        <v>26380</v>
      </c>
      <c r="B14508" s="1" t="str">
        <f>"70394"</f>
        <v>70394</v>
      </c>
      <c r="C14508" s="2">
        <v>6.0995201668244799E-2</v>
      </c>
      <c r="D14508" s="2">
        <v>2.9704200845140399E-2</v>
      </c>
      <c r="E14508" s="2">
        <v>4.1817243159525001E-2</v>
      </c>
      <c r="F14508" s="2">
        <v>5.8216477196222097E-2</v>
      </c>
    </row>
    <row r="14509" spans="1:6" x14ac:dyDescent="0.25">
      <c r="A14509" s="1" t="str">
        <f t="shared" si="552"/>
        <v>26380</v>
      </c>
      <c r="B14509" s="1" t="str">
        <f>"70356"</f>
        <v>70356</v>
      </c>
      <c r="C14509" s="2">
        <v>1.1128725090700099E-2</v>
      </c>
      <c r="D14509" s="2">
        <v>4.4742729306487599E-3</v>
      </c>
      <c r="E14509" s="2">
        <v>5.6788848735157401E-3</v>
      </c>
      <c r="F14509" s="2">
        <v>1.05122434454767E-2</v>
      </c>
    </row>
    <row r="14510" spans="1:6" x14ac:dyDescent="0.25">
      <c r="A14510" s="1" t="str">
        <f t="shared" si="552"/>
        <v>26380</v>
      </c>
      <c r="B14510" s="1" t="str">
        <f>"70374"</f>
        <v>70374</v>
      </c>
      <c r="C14510" s="2">
        <v>3.2237129086827403E-2</v>
      </c>
      <c r="D14510" s="2">
        <v>2.0382798906288802E-2</v>
      </c>
      <c r="E14510" s="2">
        <v>6.9179143004646296E-2</v>
      </c>
      <c r="F14510" s="2">
        <v>3.2008002000500101E-2</v>
      </c>
    </row>
    <row r="14511" spans="1:6" x14ac:dyDescent="0.25">
      <c r="A14511" s="1" t="str">
        <f t="shared" si="552"/>
        <v>26380</v>
      </c>
      <c r="B14511" s="1" t="str">
        <f>"70395"</f>
        <v>70395</v>
      </c>
      <c r="C14511" s="2">
        <v>2.1757402304475901E-2</v>
      </c>
      <c r="D14511" s="2">
        <v>8.9485458612975303E-3</v>
      </c>
      <c r="E14511" s="2">
        <v>6.7114093959731499E-3</v>
      </c>
      <c r="F14511" s="2">
        <v>2.0485890703445E-2</v>
      </c>
    </row>
    <row r="14512" spans="1:6" x14ac:dyDescent="0.25">
      <c r="A14512" s="1" t="str">
        <f t="shared" si="552"/>
        <v>26380</v>
      </c>
      <c r="B14512" s="1" t="str">
        <f>"70352"</f>
        <v>70352</v>
      </c>
      <c r="C14512" s="2">
        <v>1.03201370343969E-3</v>
      </c>
      <c r="D14512" s="2">
        <v>0</v>
      </c>
      <c r="E14512" s="2">
        <v>1.5487867836861101E-3</v>
      </c>
      <c r="F14512" s="2">
        <v>9.6177890626502705E-4</v>
      </c>
    </row>
    <row r="14513" spans="1:6" x14ac:dyDescent="0.25">
      <c r="A14513" s="1" t="str">
        <f t="shared" si="552"/>
        <v>26380</v>
      </c>
      <c r="B14513" s="1" t="str">
        <f>"70355"</f>
        <v>70355</v>
      </c>
      <c r="C14513" s="2">
        <v>4.4578736261982497E-3</v>
      </c>
      <c r="D14513" s="2">
        <v>2.4857071836937602E-4</v>
      </c>
      <c r="E14513" s="2">
        <v>3.0975735673722201E-3</v>
      </c>
      <c r="F14513" s="2">
        <v>4.1067959297516601E-3</v>
      </c>
    </row>
    <row r="14514" spans="1:6" x14ac:dyDescent="0.25">
      <c r="A14514" s="1" t="str">
        <f t="shared" si="552"/>
        <v>26380</v>
      </c>
      <c r="B14514" s="1" t="str">
        <f>"70377"</f>
        <v>70377</v>
      </c>
      <c r="C14514" s="2">
        <v>1.73846432105201E-2</v>
      </c>
      <c r="D14514" s="2">
        <v>4.5985582898334498E-3</v>
      </c>
      <c r="E14514" s="2">
        <v>5.16262261228704E-4</v>
      </c>
      <c r="F14514" s="2">
        <v>1.60809433127512E-2</v>
      </c>
    </row>
    <row r="14515" spans="1:6" x14ac:dyDescent="0.25">
      <c r="A14515" s="1" t="str">
        <f t="shared" si="552"/>
        <v>26380</v>
      </c>
      <c r="B14515" s="1" t="str">
        <f>"70354"</f>
        <v>70354</v>
      </c>
      <c r="C14515" s="2">
        <v>1.8863508208232699E-2</v>
      </c>
      <c r="D14515" s="2">
        <v>9.4456872980362896E-3</v>
      </c>
      <c r="E14515" s="2">
        <v>7.22767165720185E-3</v>
      </c>
      <c r="F14515" s="2">
        <v>1.7917941023717399E-2</v>
      </c>
    </row>
    <row r="14516" spans="1:6" x14ac:dyDescent="0.25">
      <c r="A14516" s="1" t="str">
        <f t="shared" si="552"/>
        <v>26380</v>
      </c>
      <c r="B14516" s="1" t="str">
        <f>"70363"</f>
        <v>70363</v>
      </c>
      <c r="C14516" s="2">
        <v>0.116191975827472</v>
      </c>
      <c r="D14516" s="2">
        <v>0.130375341784737</v>
      </c>
      <c r="E14516" s="2">
        <v>8.2601961796592599E-2</v>
      </c>
      <c r="F14516" s="2">
        <v>0.11666378132994699</v>
      </c>
    </row>
    <row r="14517" spans="1:6" x14ac:dyDescent="0.25">
      <c r="A14517" s="1" t="str">
        <f t="shared" si="552"/>
        <v>26380</v>
      </c>
      <c r="B14517" s="1" t="str">
        <f>"70030"</f>
        <v>70030</v>
      </c>
      <c r="C14517" s="2">
        <v>2.3832069027885602E-3</v>
      </c>
      <c r="D14517" s="2">
        <v>1.3671389510315601E-3</v>
      </c>
      <c r="E14517" s="2">
        <v>3.0975735673722201E-3</v>
      </c>
      <c r="F14517" s="2">
        <v>2.3178871640987101E-3</v>
      </c>
    </row>
    <row r="14518" spans="1:6" x14ac:dyDescent="0.25">
      <c r="A14518" s="1" t="str">
        <f t="shared" si="552"/>
        <v>26380</v>
      </c>
      <c r="B14518" s="1" t="str">
        <f>"70345"</f>
        <v>70345</v>
      </c>
      <c r="C14518" s="2">
        <v>4.0535795980466201E-2</v>
      </c>
      <c r="D14518" s="2">
        <v>3.2314193388018803E-2</v>
      </c>
      <c r="E14518" s="2">
        <v>2.5813113061435199E-2</v>
      </c>
      <c r="F14518" s="2">
        <v>3.9625290938119097E-2</v>
      </c>
    </row>
    <row r="14519" spans="1:6" x14ac:dyDescent="0.25">
      <c r="A14519" s="1" t="str">
        <f t="shared" si="552"/>
        <v>26380</v>
      </c>
      <c r="B14519" s="1" t="str">
        <f>"70375"</f>
        <v>70375</v>
      </c>
      <c r="C14519" s="2">
        <v>8.6178463895479303E-4</v>
      </c>
      <c r="D14519" s="2">
        <v>3.72856077554064E-4</v>
      </c>
      <c r="E14519" s="2">
        <v>5.16262261228704E-4</v>
      </c>
      <c r="F14519" s="2">
        <v>8.1751207032527301E-4</v>
      </c>
    </row>
    <row r="14520" spans="1:6" x14ac:dyDescent="0.25">
      <c r="A14520" s="1" t="str">
        <f t="shared" si="552"/>
        <v>26380</v>
      </c>
      <c r="B14520" s="1" t="str">
        <f>"70353"</f>
        <v>70353</v>
      </c>
      <c r="C14520" s="2">
        <v>7.6922258514113004E-3</v>
      </c>
      <c r="D14520" s="2">
        <v>6.4628386776037702E-3</v>
      </c>
      <c r="E14520" s="2">
        <v>5.16262261228704E-4</v>
      </c>
      <c r="F14520" s="2">
        <v>7.4634043126166104E-3</v>
      </c>
    </row>
    <row r="14521" spans="1:6" x14ac:dyDescent="0.25">
      <c r="A14521" s="1" t="str">
        <f t="shared" si="552"/>
        <v>26380</v>
      </c>
      <c r="B14521" s="1" t="str">
        <f>"70364"</f>
        <v>70364</v>
      </c>
      <c r="C14521" s="2">
        <v>0.14226894064325299</v>
      </c>
      <c r="D14521" s="2">
        <v>0.108128262490678</v>
      </c>
      <c r="E14521" s="2">
        <v>0.16881775942178601</v>
      </c>
      <c r="F14521" s="2">
        <v>0.14012156885375099</v>
      </c>
    </row>
    <row r="14522" spans="1:6" x14ac:dyDescent="0.25">
      <c r="A14522" s="1" t="str">
        <f t="shared" si="552"/>
        <v>26380</v>
      </c>
      <c r="B14522" s="1" t="str">
        <f>"70344"</f>
        <v>70344</v>
      </c>
      <c r="C14522" s="2">
        <v>2.88431871136598E-2</v>
      </c>
      <c r="D14522" s="2">
        <v>1.0191399453144401E-2</v>
      </c>
      <c r="E14522" s="2">
        <v>7.22767165720185E-3</v>
      </c>
      <c r="F14522" s="2">
        <v>2.6997133898859299E-2</v>
      </c>
    </row>
    <row r="14523" spans="1:6" x14ac:dyDescent="0.25">
      <c r="A14523" s="1" t="str">
        <f t="shared" si="552"/>
        <v>26380</v>
      </c>
      <c r="B14523" s="1" t="str">
        <f>"70357"</f>
        <v>70357</v>
      </c>
      <c r="C14523" s="2">
        <v>1.47141747614133E-2</v>
      </c>
      <c r="D14523" s="2">
        <v>3.61670395227442E-2</v>
      </c>
      <c r="E14523" s="2">
        <v>1.7036654620547199E-2</v>
      </c>
      <c r="F14523" s="2">
        <v>1.6417565929943999E-2</v>
      </c>
    </row>
    <row r="14524" spans="1:6" x14ac:dyDescent="0.25">
      <c r="A14524" s="1" t="str">
        <f t="shared" si="552"/>
        <v>26380</v>
      </c>
      <c r="B14524" s="1" t="str">
        <f>"70343"</f>
        <v>70343</v>
      </c>
      <c r="C14524" s="2">
        <v>2.9704971752614599E-2</v>
      </c>
      <c r="D14524" s="2">
        <v>1.8021377081779699E-2</v>
      </c>
      <c r="E14524" s="2">
        <v>4.6463603510583304E-3</v>
      </c>
      <c r="F14524" s="2">
        <v>2.8334006578567699E-2</v>
      </c>
    </row>
    <row r="14525" spans="1:6" x14ac:dyDescent="0.25">
      <c r="A14525" s="1" t="str">
        <f t="shared" si="552"/>
        <v>26380</v>
      </c>
      <c r="B14525" s="1" t="str">
        <f>"70359"</f>
        <v>70359</v>
      </c>
      <c r="C14525" s="2">
        <v>3.9386749795193098E-2</v>
      </c>
      <c r="D14525" s="2">
        <v>1.5535669898086E-2</v>
      </c>
      <c r="E14525" s="2">
        <v>3.3557046979865703E-2</v>
      </c>
      <c r="F14525" s="2">
        <v>3.7432435031834799E-2</v>
      </c>
    </row>
    <row r="14526" spans="1:6" x14ac:dyDescent="0.25">
      <c r="A14526" s="1" t="str">
        <f t="shared" si="552"/>
        <v>26380</v>
      </c>
      <c r="B14526" s="1" t="str">
        <f>"70373"</f>
        <v>70373</v>
      </c>
      <c r="C14526" s="2">
        <v>2.7108978519219899E-2</v>
      </c>
      <c r="D14526" s="2">
        <v>1.6654238130748102E-2</v>
      </c>
      <c r="E14526" s="2">
        <v>1.1874032008260101E-2</v>
      </c>
      <c r="F14526" s="2">
        <v>2.6016119414469002E-2</v>
      </c>
    </row>
    <row r="14527" spans="1:6" x14ac:dyDescent="0.25">
      <c r="A14527" s="1" t="str">
        <f t="shared" si="552"/>
        <v>26380</v>
      </c>
      <c r="B14527" s="1" t="str">
        <f>"70371"</f>
        <v>70371</v>
      </c>
      <c r="C14527" s="2">
        <v>0</v>
      </c>
      <c r="D14527" s="2">
        <v>0</v>
      </c>
      <c r="E14527" s="2">
        <v>5.16262261228704E-4</v>
      </c>
      <c r="F14527" s="2">
        <v>9.6177890626502697E-6</v>
      </c>
    </row>
    <row r="14528" spans="1:6" x14ac:dyDescent="0.25">
      <c r="A14528" s="1" t="str">
        <f t="shared" si="552"/>
        <v>26380</v>
      </c>
      <c r="B14528" s="1" t="str">
        <f>"70397"</f>
        <v>70397</v>
      </c>
      <c r="C14528" s="2">
        <v>6.5644582991988502E-3</v>
      </c>
      <c r="D14528" s="2">
        <v>1.73999502858563E-3</v>
      </c>
      <c r="E14528" s="2">
        <v>5.16262261228704E-4</v>
      </c>
      <c r="F14528" s="2">
        <v>6.0784426875949704E-3</v>
      </c>
    </row>
    <row r="14529" spans="1:6" x14ac:dyDescent="0.25">
      <c r="A14529" s="1" t="str">
        <f t="shared" ref="A14529:A14592" si="553">"26420"</f>
        <v>26420</v>
      </c>
      <c r="B14529" s="1" t="str">
        <f>"77346"</f>
        <v>77346</v>
      </c>
      <c r="C14529" s="2">
        <v>8.6788417661534598E-3</v>
      </c>
      <c r="D14529" s="2">
        <v>3.3345238373393201E-3</v>
      </c>
      <c r="E14529" s="2">
        <v>2.0250457660343098E-3</v>
      </c>
      <c r="F14529" s="2">
        <v>8.0703336748147309E-3</v>
      </c>
    </row>
    <row r="14530" spans="1:6" x14ac:dyDescent="0.25">
      <c r="A14530" s="1" t="str">
        <f t="shared" si="553"/>
        <v>26420</v>
      </c>
      <c r="B14530" s="1" t="str">
        <f>"77464"</f>
        <v>77464</v>
      </c>
      <c r="C14530" s="2">
        <v>0</v>
      </c>
      <c r="D14530" s="2">
        <v>3.3378616990383599E-6</v>
      </c>
      <c r="E14530" s="2">
        <v>0</v>
      </c>
      <c r="F14530" s="2">
        <v>3.0246359623771502E-7</v>
      </c>
    </row>
    <row r="14531" spans="1:6" x14ac:dyDescent="0.25">
      <c r="A14531" s="1" t="str">
        <f t="shared" si="553"/>
        <v>26420</v>
      </c>
      <c r="B14531" s="1" t="str">
        <f>"77623"</f>
        <v>77623</v>
      </c>
      <c r="C14531" s="2">
        <v>0</v>
      </c>
      <c r="D14531" s="2">
        <v>3.3378616990383599E-6</v>
      </c>
      <c r="E14531" s="2">
        <v>0</v>
      </c>
      <c r="F14531" s="2">
        <v>3.0246359623771502E-7</v>
      </c>
    </row>
    <row r="14532" spans="1:6" x14ac:dyDescent="0.25">
      <c r="A14532" s="1" t="str">
        <f t="shared" si="553"/>
        <v>26420</v>
      </c>
      <c r="B14532" s="1" t="str">
        <f>"77224"</f>
        <v>77224</v>
      </c>
      <c r="C14532" s="2">
        <v>1.36508897018299E-4</v>
      </c>
      <c r="D14532" s="2">
        <v>1.2350088286441901E-3</v>
      </c>
      <c r="E14532" s="2">
        <v>1.62003661282744E-5</v>
      </c>
      <c r="F14532" s="2">
        <v>2.3380435989175401E-4</v>
      </c>
    </row>
    <row r="14533" spans="1:6" x14ac:dyDescent="0.25">
      <c r="A14533" s="1" t="str">
        <f t="shared" si="553"/>
        <v>26420</v>
      </c>
      <c r="B14533" s="1" t="str">
        <f>"77371"</f>
        <v>77371</v>
      </c>
      <c r="C14533" s="2">
        <v>4.7540411896920098E-6</v>
      </c>
      <c r="D14533" s="2">
        <v>0</v>
      </c>
      <c r="E14533" s="2">
        <v>0</v>
      </c>
      <c r="F14533" s="2">
        <v>4.23449034732802E-6</v>
      </c>
    </row>
    <row r="14534" spans="1:6" x14ac:dyDescent="0.25">
      <c r="A14534" s="1" t="str">
        <f t="shared" si="553"/>
        <v>26420</v>
      </c>
      <c r="B14534" s="1" t="str">
        <f>"77284"</f>
        <v>77284</v>
      </c>
      <c r="C14534" s="2">
        <v>4.3737178945166499E-4</v>
      </c>
      <c r="D14534" s="2">
        <v>1.9626626790345499E-3</v>
      </c>
      <c r="E14534" s="2">
        <v>3.2400732256548903E-5</v>
      </c>
      <c r="F14534" s="2">
        <v>5.6802663373442996E-4</v>
      </c>
    </row>
    <row r="14535" spans="1:6" x14ac:dyDescent="0.25">
      <c r="A14535" s="1" t="str">
        <f t="shared" si="553"/>
        <v>26420</v>
      </c>
      <c r="B14535" s="1" t="str">
        <f>"77240"</f>
        <v>77240</v>
      </c>
      <c r="C14535" s="2">
        <v>1.188510297423E-4</v>
      </c>
      <c r="D14535" s="2">
        <v>8.4447900985670495E-4</v>
      </c>
      <c r="E14535" s="2">
        <v>1.62003661282744E-5</v>
      </c>
      <c r="F14535" s="2">
        <v>1.8268801212758E-4</v>
      </c>
    </row>
    <row r="14536" spans="1:6" x14ac:dyDescent="0.25">
      <c r="A14536" s="1" t="str">
        <f t="shared" si="553"/>
        <v>26420</v>
      </c>
      <c r="B14536" s="1" t="str">
        <f>"77501"</f>
        <v>77501</v>
      </c>
      <c r="C14536" s="2">
        <v>4.8830794505550802E-4</v>
      </c>
      <c r="D14536" s="2">
        <v>7.34329573788439E-4</v>
      </c>
      <c r="E14536" s="2">
        <v>4.8601098384823398E-5</v>
      </c>
      <c r="F14536" s="2">
        <v>5.0239203335084503E-4</v>
      </c>
    </row>
    <row r="14537" spans="1:6" x14ac:dyDescent="0.25">
      <c r="A14537" s="1" t="str">
        <f t="shared" si="553"/>
        <v>26420</v>
      </c>
      <c r="B14537" s="1" t="str">
        <f>"77387"</f>
        <v>77387</v>
      </c>
      <c r="C14537" s="2">
        <v>3.8134201828743798E-4</v>
      </c>
      <c r="D14537" s="2">
        <v>2.7904523803960698E-3</v>
      </c>
      <c r="E14537" s="2">
        <v>3.2400732256548903E-5</v>
      </c>
      <c r="F14537" s="2">
        <v>5.9313111222215995E-4</v>
      </c>
    </row>
    <row r="14538" spans="1:6" x14ac:dyDescent="0.25">
      <c r="A14538" s="1" t="str">
        <f t="shared" si="553"/>
        <v>26420</v>
      </c>
      <c r="B14538" s="1" t="str">
        <f>"77267"</f>
        <v>77267</v>
      </c>
      <c r="C14538" s="2">
        <v>5.1717176656435201E-4</v>
      </c>
      <c r="D14538" s="2">
        <v>1.2149816584499601E-3</v>
      </c>
      <c r="E14538" s="2">
        <v>3.2400732256548903E-5</v>
      </c>
      <c r="F14538" s="2">
        <v>5.7135373329304502E-4</v>
      </c>
    </row>
    <row r="14539" spans="1:6" x14ac:dyDescent="0.25">
      <c r="A14539" s="1" t="str">
        <f t="shared" si="553"/>
        <v>26420</v>
      </c>
      <c r="B14539" s="1" t="str">
        <f>"77227"</f>
        <v>77227</v>
      </c>
      <c r="C14539" s="2">
        <v>3.1682288785590303E-4</v>
      </c>
      <c r="D14539" s="2">
        <v>1.4886863177710999E-3</v>
      </c>
      <c r="E14539" s="2">
        <v>1.62003661282744E-5</v>
      </c>
      <c r="F14539" s="2">
        <v>4.1739976280804703E-4</v>
      </c>
    </row>
    <row r="14540" spans="1:6" x14ac:dyDescent="0.25">
      <c r="A14540" s="1" t="str">
        <f t="shared" si="553"/>
        <v>26420</v>
      </c>
      <c r="B14540" s="1" t="str">
        <f>"77282"</f>
        <v>77282</v>
      </c>
      <c r="C14540" s="2">
        <v>3.0120246680405801E-4</v>
      </c>
      <c r="D14540" s="2">
        <v>5.6409862713748297E-4</v>
      </c>
      <c r="E14540" s="2">
        <v>3.2400732256548903E-5</v>
      </c>
      <c r="F14540" s="2">
        <v>3.2000648481950302E-4</v>
      </c>
    </row>
    <row r="14541" spans="1:6" x14ac:dyDescent="0.25">
      <c r="A14541" s="1" t="str">
        <f t="shared" si="553"/>
        <v>26420</v>
      </c>
      <c r="B14541" s="1" t="str">
        <f>"77357"</f>
        <v>77357</v>
      </c>
      <c r="C14541" s="2">
        <v>3.98558438881537E-3</v>
      </c>
      <c r="D14541" s="2">
        <v>1.7089851899076401E-3</v>
      </c>
      <c r="E14541" s="2">
        <v>1.74963954185364E-3</v>
      </c>
      <c r="F14541" s="2">
        <v>3.7375426587094502E-3</v>
      </c>
    </row>
    <row r="14542" spans="1:6" x14ac:dyDescent="0.25">
      <c r="A14542" s="1" t="str">
        <f t="shared" si="553"/>
        <v>26420</v>
      </c>
      <c r="B14542" s="1" t="str">
        <f>"77092"</f>
        <v>77092</v>
      </c>
      <c r="C14542" s="2">
        <v>5.0549040821253801E-3</v>
      </c>
      <c r="D14542" s="2">
        <v>1.3177877987803399E-2</v>
      </c>
      <c r="E14542" s="2">
        <v>1.0044226999530099E-2</v>
      </c>
      <c r="F14542" s="2">
        <v>5.8841268012085196E-3</v>
      </c>
    </row>
    <row r="14543" spans="1:6" x14ac:dyDescent="0.25">
      <c r="A14543" s="1" t="str">
        <f t="shared" si="553"/>
        <v>26420</v>
      </c>
      <c r="B14543" s="1" t="str">
        <f>"77093"</f>
        <v>77093</v>
      </c>
      <c r="C14543" s="2">
        <v>4.9744249562713103E-3</v>
      </c>
      <c r="D14543" s="2">
        <v>5.1569963250142599E-3</v>
      </c>
      <c r="E14543" s="2">
        <v>7.3387658561083402E-3</v>
      </c>
      <c r="F14543" s="2">
        <v>5.0351114865692503E-3</v>
      </c>
    </row>
    <row r="14544" spans="1:6" x14ac:dyDescent="0.25">
      <c r="A14544" s="1" t="str">
        <f t="shared" si="553"/>
        <v>26420</v>
      </c>
      <c r="B14544" s="1" t="str">
        <f>"77598"</f>
        <v>77598</v>
      </c>
      <c r="C14544" s="2">
        <v>4.5985161279149403E-3</v>
      </c>
      <c r="D14544" s="2">
        <v>7.5035130994382301E-3</v>
      </c>
      <c r="E14544" s="2">
        <v>6.9337567029014802E-3</v>
      </c>
      <c r="F14544" s="2">
        <v>4.9053546037832697E-3</v>
      </c>
    </row>
    <row r="14545" spans="1:6" x14ac:dyDescent="0.25">
      <c r="A14545" s="1" t="str">
        <f t="shared" si="553"/>
        <v>26420</v>
      </c>
      <c r="B14545" s="1" t="str">
        <f>"77588"</f>
        <v>77588</v>
      </c>
      <c r="C14545" s="2">
        <v>5.4162112125419695E-4</v>
      </c>
      <c r="D14545" s="2">
        <v>2.12288004058839E-3</v>
      </c>
      <c r="E14545" s="2">
        <v>1.62003661282744E-5</v>
      </c>
      <c r="F14545" s="2">
        <v>6.7509874680258099E-4</v>
      </c>
    </row>
    <row r="14546" spans="1:6" x14ac:dyDescent="0.25">
      <c r="A14546" s="1" t="str">
        <f t="shared" si="553"/>
        <v>26420</v>
      </c>
      <c r="B14546" s="1" t="str">
        <f>"77469"</f>
        <v>77469</v>
      </c>
      <c r="C14546" s="2">
        <v>7.1619630522710203E-3</v>
      </c>
      <c r="D14546" s="2">
        <v>3.1709686140864398E-3</v>
      </c>
      <c r="E14546" s="2">
        <v>3.3210750562962699E-3</v>
      </c>
      <c r="F14546" s="2">
        <v>6.7286051619042204E-3</v>
      </c>
    </row>
    <row r="14547" spans="1:6" x14ac:dyDescent="0.25">
      <c r="A14547" s="1" t="str">
        <f t="shared" si="553"/>
        <v>26420</v>
      </c>
      <c r="B14547" s="1" t="str">
        <f>"77478"</f>
        <v>77478</v>
      </c>
      <c r="C14547" s="2">
        <v>3.3342807458275601E-3</v>
      </c>
      <c r="D14547" s="2">
        <v>8.4948580240526306E-3</v>
      </c>
      <c r="E14547" s="2">
        <v>5.2327182594326602E-3</v>
      </c>
      <c r="F14547" s="2">
        <v>3.8373556454678998E-3</v>
      </c>
    </row>
    <row r="14548" spans="1:6" x14ac:dyDescent="0.25">
      <c r="A14548" s="1" t="str">
        <f t="shared" si="553"/>
        <v>26420</v>
      </c>
      <c r="B14548" s="1" t="str">
        <f>"77479"</f>
        <v>77479</v>
      </c>
      <c r="C14548" s="2">
        <v>1.0634450566970301E-2</v>
      </c>
      <c r="D14548" s="2">
        <v>5.3806330588498296E-3</v>
      </c>
      <c r="E14548" s="2">
        <v>3.8070860401445E-3</v>
      </c>
      <c r="F14548" s="2">
        <v>1.0030902705627599E-2</v>
      </c>
    </row>
    <row r="14549" spans="1:6" x14ac:dyDescent="0.25">
      <c r="A14549" s="1" t="str">
        <f t="shared" si="553"/>
        <v>26420</v>
      </c>
      <c r="B14549" s="1" t="str">
        <f>"77444"</f>
        <v>77444</v>
      </c>
      <c r="C14549" s="2">
        <v>1.5382718992360499E-4</v>
      </c>
      <c r="D14549" s="2">
        <v>3.33786169903836E-5</v>
      </c>
      <c r="E14549" s="2">
        <v>3.2400732256548903E-5</v>
      </c>
      <c r="F14549" s="2">
        <v>1.40645572250537E-4</v>
      </c>
    </row>
    <row r="14550" spans="1:6" x14ac:dyDescent="0.25">
      <c r="A14550" s="1" t="str">
        <f t="shared" si="553"/>
        <v>26420</v>
      </c>
      <c r="B14550" s="1" t="str">
        <f>"77510"</f>
        <v>77510</v>
      </c>
      <c r="C14550" s="2">
        <v>2.4839865216140702E-3</v>
      </c>
      <c r="D14550" s="2">
        <v>1.4986999028682199E-3</v>
      </c>
      <c r="E14550" s="2">
        <v>1.4580329515447E-3</v>
      </c>
      <c r="F14550" s="2">
        <v>2.3755490848510201E-3</v>
      </c>
    </row>
    <row r="14551" spans="1:6" x14ac:dyDescent="0.25">
      <c r="A14551" s="1" t="str">
        <f t="shared" si="553"/>
        <v>26420</v>
      </c>
      <c r="B14551" s="1" t="str">
        <f>"77531"</f>
        <v>77531</v>
      </c>
      <c r="C14551" s="2">
        <v>3.1970927000678799E-3</v>
      </c>
      <c r="D14551" s="2">
        <v>2.9373182951537499E-3</v>
      </c>
      <c r="E14551" s="2">
        <v>3.5964812804769302E-3</v>
      </c>
      <c r="F14551" s="2">
        <v>3.1810096416320498E-3</v>
      </c>
    </row>
    <row r="14552" spans="1:6" x14ac:dyDescent="0.25">
      <c r="A14552" s="1" t="str">
        <f t="shared" si="553"/>
        <v>26420</v>
      </c>
      <c r="B14552" s="1" t="str">
        <f>"77504"</f>
        <v>77504</v>
      </c>
      <c r="C14552" s="2">
        <v>3.5105198442168602E-3</v>
      </c>
      <c r="D14552" s="2">
        <v>3.5715120179710398E-3</v>
      </c>
      <c r="E14552" s="2">
        <v>6.3019424238987803E-3</v>
      </c>
      <c r="F14552" s="2">
        <v>3.56816304481633E-3</v>
      </c>
    </row>
    <row r="14553" spans="1:6" x14ac:dyDescent="0.25">
      <c r="A14553" s="1" t="str">
        <f t="shared" si="553"/>
        <v>26420</v>
      </c>
      <c r="B14553" s="1" t="str">
        <f>"77541"</f>
        <v>77541</v>
      </c>
      <c r="C14553" s="2">
        <v>2.97976510282481E-3</v>
      </c>
      <c r="D14553" s="2">
        <v>2.7570737634056799E-3</v>
      </c>
      <c r="E14553" s="2">
        <v>2.4138545531129001E-3</v>
      </c>
      <c r="F14553" s="2">
        <v>2.9490200633177201E-3</v>
      </c>
    </row>
    <row r="14554" spans="1:6" x14ac:dyDescent="0.25">
      <c r="A14554" s="1" t="str">
        <f t="shared" si="553"/>
        <v>26420</v>
      </c>
      <c r="B14554" s="1" t="str">
        <f>"77546"</f>
        <v>77546</v>
      </c>
      <c r="C14554" s="2">
        <v>6.7660193360438098E-3</v>
      </c>
      <c r="D14554" s="2">
        <v>5.1670099101113797E-3</v>
      </c>
      <c r="E14554" s="2">
        <v>3.6774831111183099E-3</v>
      </c>
      <c r="F14554" s="2">
        <v>6.5634600383584303E-3</v>
      </c>
    </row>
    <row r="14555" spans="1:6" x14ac:dyDescent="0.25">
      <c r="A14555" s="1" t="str">
        <f t="shared" si="553"/>
        <v>26420</v>
      </c>
      <c r="B14555" s="1" t="str">
        <f>"77554"</f>
        <v>77554</v>
      </c>
      <c r="C14555" s="2">
        <v>2.58959415089937E-3</v>
      </c>
      <c r="D14555" s="2">
        <v>1.27172530733361E-3</v>
      </c>
      <c r="E14555" s="2">
        <v>2.1546486950604999E-3</v>
      </c>
      <c r="F14555" s="2">
        <v>2.4620536733749999E-3</v>
      </c>
    </row>
    <row r="14556" spans="1:6" x14ac:dyDescent="0.25">
      <c r="A14556" s="1" t="str">
        <f t="shared" si="553"/>
        <v>26420</v>
      </c>
      <c r="B14556" s="1" t="str">
        <f>"77547"</f>
        <v>77547</v>
      </c>
      <c r="C14556" s="2">
        <v>1.2550668740786901E-3</v>
      </c>
      <c r="D14556" s="2">
        <v>1.0881429138865E-3</v>
      </c>
      <c r="E14556" s="2">
        <v>1.6200366128274401E-3</v>
      </c>
      <c r="F14556" s="2">
        <v>1.24675494369186E-3</v>
      </c>
    </row>
    <row r="14557" spans="1:6" x14ac:dyDescent="0.25">
      <c r="A14557" s="1" t="str">
        <f t="shared" si="553"/>
        <v>26420</v>
      </c>
      <c r="B14557" s="1" t="str">
        <f>"77553"</f>
        <v>77553</v>
      </c>
      <c r="C14557" s="2">
        <v>5.6335388097850298E-4</v>
      </c>
      <c r="D14557" s="2">
        <v>9.3460127573074105E-4</v>
      </c>
      <c r="E14557" s="2">
        <v>3.2400732256548903E-5</v>
      </c>
      <c r="F14557" s="2">
        <v>5.8708184029740602E-4</v>
      </c>
    </row>
    <row r="14558" spans="1:6" x14ac:dyDescent="0.25">
      <c r="A14558" s="1" t="str">
        <f t="shared" si="553"/>
        <v>26420</v>
      </c>
      <c r="B14558" s="1" t="str">
        <f>"77381"</f>
        <v>77381</v>
      </c>
      <c r="C14558" s="2">
        <v>4.8290871256150098E-3</v>
      </c>
      <c r="D14558" s="2">
        <v>1.9893655726268599E-3</v>
      </c>
      <c r="E14558" s="2">
        <v>1.78204027411019E-3</v>
      </c>
      <c r="F14558" s="2">
        <v>4.5148741010403804E-3</v>
      </c>
    </row>
    <row r="14559" spans="1:6" x14ac:dyDescent="0.25">
      <c r="A14559" s="1" t="str">
        <f t="shared" si="553"/>
        <v>26420</v>
      </c>
      <c r="B14559" s="1" t="str">
        <f>"77401"</f>
        <v>77401</v>
      </c>
      <c r="C14559" s="2">
        <v>2.2401721234570101E-3</v>
      </c>
      <c r="D14559" s="2">
        <v>3.6115663583595001E-3</v>
      </c>
      <c r="E14559" s="2">
        <v>1.5228344160578E-3</v>
      </c>
      <c r="F14559" s="2">
        <v>2.3510495335557599E-3</v>
      </c>
    </row>
    <row r="14560" spans="1:6" x14ac:dyDescent="0.25">
      <c r="A14560" s="1" t="str">
        <f t="shared" si="553"/>
        <v>26420</v>
      </c>
      <c r="B14560" s="1" t="str">
        <f>"77378"</f>
        <v>77378</v>
      </c>
      <c r="C14560" s="2">
        <v>2.6177788236668299E-3</v>
      </c>
      <c r="D14560" s="2">
        <v>2.03943349811243E-3</v>
      </c>
      <c r="E14560" s="2">
        <v>1.19882709349231E-3</v>
      </c>
      <c r="F14560" s="2">
        <v>2.5388794268193801E-3</v>
      </c>
    </row>
    <row r="14561" spans="1:6" x14ac:dyDescent="0.25">
      <c r="A14561" s="1" t="str">
        <f t="shared" si="553"/>
        <v>26420</v>
      </c>
      <c r="B14561" s="1" t="str">
        <f>"77418"</f>
        <v>77418</v>
      </c>
      <c r="C14561" s="2">
        <v>2.12403768868025E-3</v>
      </c>
      <c r="D14561" s="2">
        <v>2.0895014235980101E-3</v>
      </c>
      <c r="E14561" s="2">
        <v>1.23122782574886E-3</v>
      </c>
      <c r="F14561" s="2">
        <v>2.10423923902578E-3</v>
      </c>
    </row>
    <row r="14562" spans="1:6" x14ac:dyDescent="0.25">
      <c r="A14562" s="1" t="str">
        <f t="shared" si="553"/>
        <v>26420</v>
      </c>
      <c r="B14562" s="1" t="str">
        <f>"77429"</f>
        <v>77429</v>
      </c>
      <c r="C14562" s="2">
        <v>1.1015113436516399E-2</v>
      </c>
      <c r="D14562" s="2">
        <v>6.7458184937565198E-3</v>
      </c>
      <c r="E14562" s="2">
        <v>4.9573120352519899E-3</v>
      </c>
      <c r="F14562" s="2">
        <v>1.0515146923204099E-2</v>
      </c>
    </row>
    <row r="14563" spans="1:6" x14ac:dyDescent="0.25">
      <c r="A14563" s="1" t="str">
        <f t="shared" si="553"/>
        <v>26420</v>
      </c>
      <c r="B14563" s="1" t="str">
        <f>"77039"</f>
        <v>77039</v>
      </c>
      <c r="C14563" s="2">
        <v>2.9115106543156602E-3</v>
      </c>
      <c r="D14563" s="2">
        <v>3.5214440924854701E-3</v>
      </c>
      <c r="E14563" s="2">
        <v>7.6141720802890096E-3</v>
      </c>
      <c r="F14563" s="2">
        <v>3.0545798584046902E-3</v>
      </c>
    </row>
    <row r="14564" spans="1:6" x14ac:dyDescent="0.25">
      <c r="A14564" s="1" t="str">
        <f t="shared" si="553"/>
        <v>26420</v>
      </c>
      <c r="B14564" s="1" t="str">
        <f>"77040"</f>
        <v>77040</v>
      </c>
      <c r="C14564" s="2">
        <v>6.2644679905313003E-3</v>
      </c>
      <c r="D14564" s="2">
        <v>8.8720363960439596E-3</v>
      </c>
      <c r="E14564" s="2">
        <v>6.3505435222836002E-3</v>
      </c>
      <c r="F14564" s="2">
        <v>6.5023623919184103E-3</v>
      </c>
    </row>
    <row r="14565" spans="1:6" x14ac:dyDescent="0.25">
      <c r="A14565" s="1" t="str">
        <f t="shared" si="553"/>
        <v>26420</v>
      </c>
      <c r="B14565" s="1" t="str">
        <f>"77042"</f>
        <v>77042</v>
      </c>
      <c r="C14565" s="2">
        <v>7.3989859630142303E-3</v>
      </c>
      <c r="D14565" s="2">
        <v>8.7652248216747303E-3</v>
      </c>
      <c r="E14565" s="2">
        <v>7.6141720802890096E-3</v>
      </c>
      <c r="F14565" s="2">
        <v>7.5268065923755501E-3</v>
      </c>
    </row>
    <row r="14566" spans="1:6" x14ac:dyDescent="0.25">
      <c r="A14566" s="1" t="str">
        <f t="shared" si="553"/>
        <v>26420</v>
      </c>
      <c r="B14566" s="1" t="str">
        <f>"77003"</f>
        <v>77003</v>
      </c>
      <c r="C14566" s="2">
        <v>2.36887080994939E-3</v>
      </c>
      <c r="D14566" s="2">
        <v>3.38125390112586E-3</v>
      </c>
      <c r="E14566" s="2">
        <v>5.8969332706919099E-3</v>
      </c>
      <c r="F14566" s="2">
        <v>2.52647841937364E-3</v>
      </c>
    </row>
    <row r="14567" spans="1:6" x14ac:dyDescent="0.25">
      <c r="A14567" s="1" t="str">
        <f t="shared" si="553"/>
        <v>26420</v>
      </c>
      <c r="B14567" s="1" t="str">
        <f>"77023"</f>
        <v>77023</v>
      </c>
      <c r="C14567" s="2">
        <v>3.8480567686849901E-3</v>
      </c>
      <c r="D14567" s="2">
        <v>3.5715120179710398E-3</v>
      </c>
      <c r="E14567" s="2">
        <v>1.4191520728368399E-2</v>
      </c>
      <c r="F14567" s="2">
        <v>4.0161116308443899E-3</v>
      </c>
    </row>
    <row r="14568" spans="1:6" x14ac:dyDescent="0.25">
      <c r="A14568" s="1" t="str">
        <f t="shared" si="553"/>
        <v>26420</v>
      </c>
      <c r="B14568" s="1" t="str">
        <f>"77010"</f>
        <v>77010</v>
      </c>
      <c r="C14568" s="2">
        <v>1.5993952859606701E-4</v>
      </c>
      <c r="D14568" s="2">
        <v>1.9559869556364799E-3</v>
      </c>
      <c r="E14568" s="2">
        <v>3.2400732256548898E-4</v>
      </c>
      <c r="F14568" s="2">
        <v>3.2575329314801901E-4</v>
      </c>
    </row>
    <row r="14569" spans="1:6" x14ac:dyDescent="0.25">
      <c r="A14569" s="1" t="str">
        <f t="shared" si="553"/>
        <v>26420</v>
      </c>
      <c r="B14569" s="1" t="str">
        <f>"78940"</f>
        <v>78940</v>
      </c>
      <c r="C14569" s="2">
        <v>3.3617862698536401E-5</v>
      </c>
      <c r="D14569" s="2">
        <v>2.0027170194230101E-5</v>
      </c>
      <c r="E14569" s="2">
        <v>0</v>
      </c>
      <c r="F14569" s="2">
        <v>3.1758677604960101E-5</v>
      </c>
    </row>
    <row r="14570" spans="1:6" x14ac:dyDescent="0.25">
      <c r="A14570" s="1" t="str">
        <f t="shared" si="553"/>
        <v>26420</v>
      </c>
      <c r="B14570" s="1" t="str">
        <f>"77245"</f>
        <v>77245</v>
      </c>
      <c r="C14570" s="2">
        <v>3.5621351485620799E-4</v>
      </c>
      <c r="D14570" s="2">
        <v>1.1148458074788101E-3</v>
      </c>
      <c r="E14570" s="2">
        <v>1.62003661282744E-5</v>
      </c>
      <c r="F14570" s="2">
        <v>4.1860961719299801E-4</v>
      </c>
    </row>
    <row r="14571" spans="1:6" x14ac:dyDescent="0.25">
      <c r="A14571" s="1" t="str">
        <f t="shared" si="553"/>
        <v>26420</v>
      </c>
      <c r="B14571" s="1" t="str">
        <f>"77426"</f>
        <v>77426</v>
      </c>
      <c r="C14571" s="2">
        <v>3.12408421036903E-5</v>
      </c>
      <c r="D14571" s="2">
        <v>0</v>
      </c>
      <c r="E14571" s="2">
        <v>0</v>
      </c>
      <c r="F14571" s="2">
        <v>2.78266508538698E-5</v>
      </c>
    </row>
    <row r="14572" spans="1:6" x14ac:dyDescent="0.25">
      <c r="A14572" s="1" t="str">
        <f t="shared" si="553"/>
        <v>26420</v>
      </c>
      <c r="B14572" s="1" t="str">
        <f>"78933"</f>
        <v>78933</v>
      </c>
      <c r="C14572" s="2">
        <v>1.3549017390622199E-4</v>
      </c>
      <c r="D14572" s="2">
        <v>2.6702893592306801E-5</v>
      </c>
      <c r="E14572" s="2">
        <v>6.48014645130979E-5</v>
      </c>
      <c r="F14572" s="2">
        <v>1.24312538053701E-4</v>
      </c>
    </row>
    <row r="14573" spans="1:6" x14ac:dyDescent="0.25">
      <c r="A14573" s="1" t="str">
        <f t="shared" si="553"/>
        <v>26420</v>
      </c>
      <c r="B14573" s="1" t="str">
        <f>"77327"</f>
        <v>77327</v>
      </c>
      <c r="C14573" s="2">
        <v>4.8596488189773098E-3</v>
      </c>
      <c r="D14573" s="2">
        <v>2.7771009335999098E-3</v>
      </c>
      <c r="E14573" s="2">
        <v>2.4138545531129001E-3</v>
      </c>
      <c r="F14573" s="2">
        <v>4.6252733136671496E-3</v>
      </c>
    </row>
    <row r="14574" spans="1:6" x14ac:dyDescent="0.25">
      <c r="A14574" s="1" t="str">
        <f t="shared" si="553"/>
        <v>26420</v>
      </c>
      <c r="B14574" s="1" t="str">
        <f>"77339"</f>
        <v>77339</v>
      </c>
      <c r="C14574" s="2">
        <v>6.2688824573502999E-3</v>
      </c>
      <c r="D14574" s="2">
        <v>6.0315160901623201E-3</v>
      </c>
      <c r="E14574" s="2">
        <v>4.39029922076238E-3</v>
      </c>
      <c r="F14574" s="2">
        <v>6.2122998031264396E-3</v>
      </c>
    </row>
    <row r="14575" spans="1:6" x14ac:dyDescent="0.25">
      <c r="A14575" s="1" t="str">
        <f t="shared" si="553"/>
        <v>26420</v>
      </c>
      <c r="B14575" s="1" t="str">
        <f>"77302"</f>
        <v>77302</v>
      </c>
      <c r="C14575" s="2">
        <v>2.5736341554768402E-3</v>
      </c>
      <c r="D14575" s="2">
        <v>7.61032467380746E-4</v>
      </c>
      <c r="E14575" s="2">
        <v>4.3740988546341102E-4</v>
      </c>
      <c r="F14575" s="2">
        <v>2.3694998129262599E-3</v>
      </c>
    </row>
    <row r="14576" spans="1:6" x14ac:dyDescent="0.25">
      <c r="A14576" s="1" t="str">
        <f t="shared" si="553"/>
        <v>26420</v>
      </c>
      <c r="B14576" s="1" t="str">
        <f>"77265"</f>
        <v>77265</v>
      </c>
      <c r="C14576" s="2">
        <v>1.8472845765660399E-4</v>
      </c>
      <c r="D14576" s="2">
        <v>7.5435674398266895E-4</v>
      </c>
      <c r="E14576" s="2">
        <v>3.2400732256548903E-5</v>
      </c>
      <c r="F14576" s="2">
        <v>2.33501896295516E-4</v>
      </c>
    </row>
    <row r="14577" spans="1:6" x14ac:dyDescent="0.25">
      <c r="A14577" s="1" t="str">
        <f t="shared" si="553"/>
        <v>26420</v>
      </c>
      <c r="B14577" s="1" t="str">
        <f>"77363"</f>
        <v>77363</v>
      </c>
      <c r="C14577" s="2">
        <v>3.3617862698536401E-5</v>
      </c>
      <c r="D14577" s="2">
        <v>3.0040755291345201E-5</v>
      </c>
      <c r="E14577" s="2">
        <v>3.2400732256548903E-5</v>
      </c>
      <c r="F14577" s="2">
        <v>3.3270995586148697E-5</v>
      </c>
    </row>
    <row r="14578" spans="1:6" x14ac:dyDescent="0.25">
      <c r="A14578" s="1" t="str">
        <f t="shared" si="553"/>
        <v>26420</v>
      </c>
      <c r="B14578" s="1" t="str">
        <f>"77279"</f>
        <v>77279</v>
      </c>
      <c r="C14578" s="2">
        <v>1.4975229747529799E-4</v>
      </c>
      <c r="D14578" s="2">
        <v>9.8133133951727801E-4</v>
      </c>
      <c r="E14578" s="2">
        <v>1.62003661282744E-5</v>
      </c>
      <c r="F14578" s="2">
        <v>2.2261320683095799E-4</v>
      </c>
    </row>
    <row r="14579" spans="1:6" x14ac:dyDescent="0.25">
      <c r="A14579" s="1" t="str">
        <f t="shared" si="553"/>
        <v>26420</v>
      </c>
      <c r="B14579" s="1" t="str">
        <f>"77336"</f>
        <v>77336</v>
      </c>
      <c r="C14579" s="2">
        <v>2.37532272299254E-3</v>
      </c>
      <c r="D14579" s="2">
        <v>1.4219290837903401E-3</v>
      </c>
      <c r="E14579" s="2">
        <v>6.3181427900270502E-4</v>
      </c>
      <c r="F14579" s="2">
        <v>2.25637842793336E-3</v>
      </c>
    </row>
    <row r="14580" spans="1:6" x14ac:dyDescent="0.25">
      <c r="A14580" s="1" t="str">
        <f t="shared" si="553"/>
        <v>26420</v>
      </c>
      <c r="B14580" s="1" t="str">
        <f>"77362"</f>
        <v>77362</v>
      </c>
      <c r="C14580" s="2">
        <v>1.25099198163038E-3</v>
      </c>
      <c r="D14580" s="2">
        <v>1.26504958393553E-3</v>
      </c>
      <c r="E14580" s="2">
        <v>3.5640805482203798E-4</v>
      </c>
      <c r="F14580" s="2">
        <v>1.23556379063106E-3</v>
      </c>
    </row>
    <row r="14581" spans="1:6" x14ac:dyDescent="0.25">
      <c r="A14581" s="1" t="str">
        <f t="shared" si="553"/>
        <v>26420</v>
      </c>
      <c r="B14581" s="1" t="str">
        <f>"77290"</f>
        <v>77290</v>
      </c>
      <c r="C14581" s="2">
        <v>1.8167228832037299E-4</v>
      </c>
      <c r="D14581" s="2">
        <v>5.7077435053555904E-4</v>
      </c>
      <c r="E14581" s="2">
        <v>1.62003661282744E-5</v>
      </c>
      <c r="F14581" s="2">
        <v>2.1384176254006499E-4</v>
      </c>
    </row>
    <row r="14582" spans="1:6" x14ac:dyDescent="0.25">
      <c r="A14582" s="1" t="str">
        <f t="shared" si="553"/>
        <v>26420</v>
      </c>
      <c r="B14582" s="1" t="str">
        <f>"77215"</f>
        <v>77215</v>
      </c>
      <c r="C14582" s="2">
        <v>5.8610536381488703E-4</v>
      </c>
      <c r="D14582" s="2">
        <v>8.9454693534228103E-4</v>
      </c>
      <c r="E14582" s="2">
        <v>1.62003661282744E-5</v>
      </c>
      <c r="F14582" s="2">
        <v>6.03414874494243E-4</v>
      </c>
    </row>
    <row r="14583" spans="1:6" x14ac:dyDescent="0.25">
      <c r="A14583" s="1" t="str">
        <f t="shared" si="553"/>
        <v>26420</v>
      </c>
      <c r="B14583" s="1" t="str">
        <f>"77347"</f>
        <v>77347</v>
      </c>
      <c r="C14583" s="2">
        <v>9.0632399537771298E-4</v>
      </c>
      <c r="D14583" s="2">
        <v>2.39992256160858E-3</v>
      </c>
      <c r="E14583" s="2">
        <v>3.2400732256548903E-5</v>
      </c>
      <c r="F14583" s="2">
        <v>1.0253515912458501E-3</v>
      </c>
    </row>
    <row r="14584" spans="1:6" x14ac:dyDescent="0.25">
      <c r="A14584" s="1" t="str">
        <f t="shared" si="553"/>
        <v>26420</v>
      </c>
      <c r="B14584" s="1" t="str">
        <f>"77074"</f>
        <v>77074</v>
      </c>
      <c r="C14584" s="2">
        <v>5.3072078395497496E-3</v>
      </c>
      <c r="D14584" s="2">
        <v>8.7451976514804994E-3</v>
      </c>
      <c r="E14584" s="2">
        <v>6.3505435222836002E-3</v>
      </c>
      <c r="F14584" s="2">
        <v>5.6382238974672597E-3</v>
      </c>
    </row>
    <row r="14585" spans="1:6" x14ac:dyDescent="0.25">
      <c r="A14585" s="1" t="str">
        <f t="shared" si="553"/>
        <v>26420</v>
      </c>
      <c r="B14585" s="1" t="str">
        <f>"77087"</f>
        <v>77087</v>
      </c>
      <c r="C14585" s="2">
        <v>4.08168393572128E-3</v>
      </c>
      <c r="D14585" s="2">
        <v>6.18171986661904E-3</v>
      </c>
      <c r="E14585" s="2">
        <v>6.6259497464642696E-3</v>
      </c>
      <c r="F14585" s="2">
        <v>4.3194826178708104E-3</v>
      </c>
    </row>
    <row r="14586" spans="1:6" x14ac:dyDescent="0.25">
      <c r="A14586" s="1" t="str">
        <f t="shared" si="553"/>
        <v>26420</v>
      </c>
      <c r="B14586" s="1" t="str">
        <f>"77067"</f>
        <v>77067</v>
      </c>
      <c r="C14586" s="2">
        <v>3.6945691531320799E-3</v>
      </c>
      <c r="D14586" s="2">
        <v>2.98071049724125E-3</v>
      </c>
      <c r="E14586" s="2">
        <v>3.2400732256548902E-3</v>
      </c>
      <c r="F14586" s="2">
        <v>3.62139663775417E-3</v>
      </c>
    </row>
    <row r="14587" spans="1:6" x14ac:dyDescent="0.25">
      <c r="A14587" s="1" t="str">
        <f t="shared" si="553"/>
        <v>26420</v>
      </c>
      <c r="B14587" s="1" t="str">
        <f>"77069"</f>
        <v>77069</v>
      </c>
      <c r="C14587" s="2">
        <v>3.08265613714458E-3</v>
      </c>
      <c r="D14587" s="2">
        <v>4.2691251130700597E-3</v>
      </c>
      <c r="E14587" s="2">
        <v>3.7746853078879498E-3</v>
      </c>
      <c r="F14587" s="2">
        <v>3.20308948415741E-3</v>
      </c>
    </row>
    <row r="14588" spans="1:6" x14ac:dyDescent="0.25">
      <c r="A14588" s="1" t="str">
        <f t="shared" si="553"/>
        <v>26420</v>
      </c>
      <c r="B14588" s="1" t="str">
        <f>"77086"</f>
        <v>77086</v>
      </c>
      <c r="C14588" s="2">
        <v>2.98961275957489E-3</v>
      </c>
      <c r="D14588" s="2">
        <v>4.1055698898171799E-3</v>
      </c>
      <c r="E14588" s="2">
        <v>4.2606962917361903E-3</v>
      </c>
      <c r="F14588" s="2">
        <v>3.11446765045975E-3</v>
      </c>
    </row>
    <row r="14589" spans="1:6" x14ac:dyDescent="0.25">
      <c r="A14589" s="1" t="str">
        <f t="shared" si="553"/>
        <v>26420</v>
      </c>
      <c r="B14589" s="1" t="str">
        <f>"77090"</f>
        <v>77090</v>
      </c>
      <c r="C14589" s="2">
        <v>6.1160739905387696E-3</v>
      </c>
      <c r="D14589" s="2">
        <v>6.8292650362324799E-3</v>
      </c>
      <c r="E14589" s="2">
        <v>6.5125471835663397E-3</v>
      </c>
      <c r="F14589" s="2">
        <v>6.1881027154274196E-3</v>
      </c>
    </row>
    <row r="14590" spans="1:6" x14ac:dyDescent="0.25">
      <c r="A14590" s="1" t="str">
        <f t="shared" si="553"/>
        <v>26420</v>
      </c>
      <c r="B14590" s="1" t="str">
        <f>"77094"</f>
        <v>77094</v>
      </c>
      <c r="C14590" s="2">
        <v>1.68327015552166E-3</v>
      </c>
      <c r="D14590" s="2">
        <v>2.8038038271922202E-3</v>
      </c>
      <c r="E14590" s="2">
        <v>1.05302379833784E-3</v>
      </c>
      <c r="F14590" s="2">
        <v>1.7730416011454901E-3</v>
      </c>
    </row>
    <row r="14591" spans="1:6" x14ac:dyDescent="0.25">
      <c r="A14591" s="1" t="str">
        <f t="shared" si="553"/>
        <v>26420</v>
      </c>
      <c r="B14591" s="1" t="str">
        <f>"77581"</f>
        <v>77581</v>
      </c>
      <c r="C14591" s="2">
        <v>6.2678637342382304E-3</v>
      </c>
      <c r="D14591" s="2">
        <v>6.2885314409882702E-3</v>
      </c>
      <c r="E14591" s="2">
        <v>6.0589369319746598E-3</v>
      </c>
      <c r="F14591" s="2">
        <v>6.2658358596605198E-3</v>
      </c>
    </row>
    <row r="14592" spans="1:6" x14ac:dyDescent="0.25">
      <c r="A14592" s="1" t="str">
        <f t="shared" si="553"/>
        <v>26420</v>
      </c>
      <c r="B14592" s="1" t="str">
        <f>"77587"</f>
        <v>77587</v>
      </c>
      <c r="C14592" s="2">
        <v>2.2625840319226999E-3</v>
      </c>
      <c r="D14592" s="2">
        <v>4.2991658683614103E-3</v>
      </c>
      <c r="E14592" s="2">
        <v>4.3416981223775601E-3</v>
      </c>
      <c r="F14592" s="2">
        <v>2.4859482974777798E-3</v>
      </c>
    </row>
    <row r="14593" spans="1:6" x14ac:dyDescent="0.25">
      <c r="A14593" s="1" t="str">
        <f t="shared" ref="A14593:A14656" si="554">"26420"</f>
        <v>26420</v>
      </c>
      <c r="B14593" s="1" t="str">
        <f>"77563"</f>
        <v>77563</v>
      </c>
      <c r="C14593" s="2">
        <v>2.1647866131633202E-3</v>
      </c>
      <c r="D14593" s="2">
        <v>1.0414128500999601E-3</v>
      </c>
      <c r="E14593" s="2">
        <v>1.34463038864678E-3</v>
      </c>
      <c r="F14593" s="2">
        <v>2.0476785465293299E-3</v>
      </c>
    </row>
    <row r="14594" spans="1:6" x14ac:dyDescent="0.25">
      <c r="A14594" s="1" t="str">
        <f t="shared" si="554"/>
        <v>26420</v>
      </c>
      <c r="B14594" s="1" t="str">
        <f>"77574"</f>
        <v>77574</v>
      </c>
      <c r="C14594" s="2">
        <v>6.94090013695034E-4</v>
      </c>
      <c r="D14594" s="2">
        <v>1.54542996665476E-3</v>
      </c>
      <c r="E14594" s="2">
        <v>3.2400732256548903E-5</v>
      </c>
      <c r="F14594" s="2">
        <v>7.5888116296042802E-4</v>
      </c>
    </row>
    <row r="14595" spans="1:6" x14ac:dyDescent="0.25">
      <c r="A14595" s="1" t="str">
        <f t="shared" si="554"/>
        <v>26420</v>
      </c>
      <c r="B14595" s="1" t="str">
        <f>"77447"</f>
        <v>77447</v>
      </c>
      <c r="C14595" s="2">
        <v>2.6765251897965998E-3</v>
      </c>
      <c r="D14595" s="2">
        <v>4.57287052768255E-4</v>
      </c>
      <c r="E14595" s="2">
        <v>3.2400732256548898E-4</v>
      </c>
      <c r="F14595" s="2">
        <v>2.4315048501549899E-3</v>
      </c>
    </row>
    <row r="14596" spans="1:6" x14ac:dyDescent="0.25">
      <c r="A14596" s="1" t="str">
        <f t="shared" si="554"/>
        <v>26420</v>
      </c>
      <c r="B14596" s="1" t="str">
        <f>"77461"</f>
        <v>77461</v>
      </c>
      <c r="C14596" s="2">
        <v>1.50295616468406E-3</v>
      </c>
      <c r="D14596" s="2">
        <v>4.4059774427306298E-4</v>
      </c>
      <c r="E14596" s="2">
        <v>7.1281610964407703E-4</v>
      </c>
      <c r="F14596" s="2">
        <v>1.39193746988596E-3</v>
      </c>
    </row>
    <row r="14597" spans="1:6" x14ac:dyDescent="0.25">
      <c r="A14597" s="1" t="str">
        <f t="shared" si="554"/>
        <v>26420</v>
      </c>
      <c r="B14597" s="1" t="str">
        <f>"77474"</f>
        <v>77474</v>
      </c>
      <c r="C14597" s="2">
        <v>2.4924758808813801E-3</v>
      </c>
      <c r="D14597" s="2">
        <v>2.7837766569979898E-3</v>
      </c>
      <c r="E14597" s="2">
        <v>2.7702626079349302E-3</v>
      </c>
      <c r="F14597" s="2">
        <v>2.52405871060373E-3</v>
      </c>
    </row>
    <row r="14598" spans="1:6" x14ac:dyDescent="0.25">
      <c r="A14598" s="1" t="str">
        <f t="shared" si="554"/>
        <v>26420</v>
      </c>
      <c r="B14598" s="1" t="str">
        <f>"77477"</f>
        <v>77477</v>
      </c>
      <c r="C14598" s="2">
        <v>4.7907152217267802E-3</v>
      </c>
      <c r="D14598" s="2">
        <v>9.1257138851708799E-3</v>
      </c>
      <c r="E14598" s="2">
        <v>8.84539990603787E-3</v>
      </c>
      <c r="F14598" s="2">
        <v>5.2592370113814001E-3</v>
      </c>
    </row>
    <row r="14599" spans="1:6" x14ac:dyDescent="0.25">
      <c r="A14599" s="1" t="str">
        <f t="shared" si="554"/>
        <v>26420</v>
      </c>
      <c r="B14599" s="1" t="str">
        <f>"77433"</f>
        <v>77433</v>
      </c>
      <c r="C14599" s="2">
        <v>1.19740714593514E-2</v>
      </c>
      <c r="D14599" s="2">
        <v>5.6476619947729003E-3</v>
      </c>
      <c r="E14599" s="2">
        <v>3.4344776191941899E-3</v>
      </c>
      <c r="F14599" s="2">
        <v>1.1241362017770901E-2</v>
      </c>
    </row>
    <row r="14600" spans="1:6" x14ac:dyDescent="0.25">
      <c r="A14600" s="1" t="str">
        <f t="shared" si="554"/>
        <v>26420</v>
      </c>
      <c r="B14600" s="1" t="str">
        <f>"77485"</f>
        <v>77485</v>
      </c>
      <c r="C14600" s="2">
        <v>4.8321432949512399E-4</v>
      </c>
      <c r="D14600" s="2">
        <v>1.6355522325287901E-4</v>
      </c>
      <c r="E14600" s="2">
        <v>1.7820402741101899E-4</v>
      </c>
      <c r="F14600" s="2">
        <v>4.4855351322053202E-4</v>
      </c>
    </row>
    <row r="14601" spans="1:6" x14ac:dyDescent="0.25">
      <c r="A14601" s="1" t="str">
        <f t="shared" si="554"/>
        <v>26420</v>
      </c>
      <c r="B14601" s="1" t="str">
        <f>"77480"</f>
        <v>77480</v>
      </c>
      <c r="C14601" s="2">
        <v>1.13078265440531E-3</v>
      </c>
      <c r="D14601" s="2">
        <v>6.1416655262305797E-4</v>
      </c>
      <c r="E14601" s="2">
        <v>5.0221134997650895E-4</v>
      </c>
      <c r="F14601" s="2">
        <v>1.0722334486627E-3</v>
      </c>
    </row>
    <row r="14602" spans="1:6" x14ac:dyDescent="0.25">
      <c r="A14602" s="1" t="str">
        <f t="shared" si="554"/>
        <v>26420</v>
      </c>
      <c r="B14602" s="1" t="str">
        <f>"77520"</f>
        <v>77520</v>
      </c>
      <c r="C14602" s="2">
        <v>5.28649380293752E-3</v>
      </c>
      <c r="D14602" s="2">
        <v>4.4527075065171704E-3</v>
      </c>
      <c r="E14602" s="2">
        <v>4.9411116691237197E-3</v>
      </c>
      <c r="F14602" s="2">
        <v>5.2044911004623697E-3</v>
      </c>
    </row>
    <row r="14603" spans="1:6" x14ac:dyDescent="0.25">
      <c r="A14603" s="1" t="str">
        <f t="shared" si="554"/>
        <v>26420</v>
      </c>
      <c r="B14603" s="1" t="str">
        <f>"77532"</f>
        <v>77532</v>
      </c>
      <c r="C14603" s="2">
        <v>5.1146691713672204E-3</v>
      </c>
      <c r="D14603" s="2">
        <v>2.8538717526777899E-3</v>
      </c>
      <c r="E14603" s="2">
        <v>1.99264503377776E-3</v>
      </c>
      <c r="F14603" s="2">
        <v>4.8515160836529597E-3</v>
      </c>
    </row>
    <row r="14604" spans="1:6" x14ac:dyDescent="0.25">
      <c r="A14604" s="1" t="str">
        <f t="shared" si="554"/>
        <v>26420</v>
      </c>
      <c r="B14604" s="1" t="str">
        <f>"77536"</f>
        <v>77536</v>
      </c>
      <c r="C14604" s="2">
        <v>4.5428259311214103E-3</v>
      </c>
      <c r="D14604" s="2">
        <v>3.7384051029229599E-3</v>
      </c>
      <c r="E14604" s="2">
        <v>1.70103844346882E-3</v>
      </c>
      <c r="F14604" s="2">
        <v>4.4168758958593596E-3</v>
      </c>
    </row>
    <row r="14605" spans="1:6" x14ac:dyDescent="0.25">
      <c r="A14605" s="1" t="str">
        <f t="shared" si="554"/>
        <v>26420</v>
      </c>
      <c r="B14605" s="1" t="str">
        <f>"77379"</f>
        <v>77379</v>
      </c>
      <c r="C14605" s="2">
        <v>1.0293178324424499E-2</v>
      </c>
      <c r="D14605" s="2">
        <v>8.0008544925949492E-3</v>
      </c>
      <c r="E14605" s="2">
        <v>6.1723394948725802E-3</v>
      </c>
      <c r="F14605" s="2">
        <v>1.0008520399505999E-2</v>
      </c>
    </row>
    <row r="14606" spans="1:6" x14ac:dyDescent="0.25">
      <c r="A14606" s="1" t="str">
        <f t="shared" si="554"/>
        <v>26420</v>
      </c>
      <c r="B14606" s="1" t="str">
        <f>"77386"</f>
        <v>77386</v>
      </c>
      <c r="C14606" s="2">
        <v>7.9161577295785903E-3</v>
      </c>
      <c r="D14606" s="2">
        <v>3.7250536561268099E-3</v>
      </c>
      <c r="E14606" s="2">
        <v>3.2562735917831698E-3</v>
      </c>
      <c r="F14606" s="2">
        <v>7.4493759117387004E-3</v>
      </c>
    </row>
    <row r="14607" spans="1:6" x14ac:dyDescent="0.25">
      <c r="A14607" s="1" t="str">
        <f t="shared" si="554"/>
        <v>26420</v>
      </c>
      <c r="B14607" s="1" t="str">
        <f>"77388"</f>
        <v>77388</v>
      </c>
      <c r="C14607" s="2">
        <v>6.5948738532149E-3</v>
      </c>
      <c r="D14607" s="2">
        <v>4.6029112829738998E-3</v>
      </c>
      <c r="E14607" s="2">
        <v>3.9204886030424196E-3</v>
      </c>
      <c r="F14607" s="2">
        <v>6.3644389920340097E-3</v>
      </c>
    </row>
    <row r="14608" spans="1:6" x14ac:dyDescent="0.25">
      <c r="A14608" s="1" t="str">
        <f t="shared" si="554"/>
        <v>26420</v>
      </c>
      <c r="B14608" s="1" t="str">
        <f>"77377"</f>
        <v>77377</v>
      </c>
      <c r="C14608" s="2">
        <v>5.3364112354292803E-3</v>
      </c>
      <c r="D14608" s="2">
        <v>5.00679254855754E-3</v>
      </c>
      <c r="E14608" s="2">
        <v>3.8718875046576001E-3</v>
      </c>
      <c r="F14608" s="2">
        <v>5.27919960873309E-3</v>
      </c>
    </row>
    <row r="14609" spans="1:6" x14ac:dyDescent="0.25">
      <c r="A14609" s="1" t="str">
        <f t="shared" si="554"/>
        <v>26420</v>
      </c>
      <c r="B14609" s="1" t="str">
        <f>"77422"</f>
        <v>77422</v>
      </c>
      <c r="C14609" s="2">
        <v>2.7553064437972098E-3</v>
      </c>
      <c r="D14609" s="2">
        <v>1.37186115830476E-3</v>
      </c>
      <c r="E14609" s="2">
        <v>1.70103844346882E-3</v>
      </c>
      <c r="F14609" s="2">
        <v>2.61026083553148E-3</v>
      </c>
    </row>
    <row r="14610" spans="1:6" x14ac:dyDescent="0.25">
      <c r="A14610" s="1" t="str">
        <f t="shared" si="554"/>
        <v>26420</v>
      </c>
      <c r="B14610" s="1" t="str">
        <f>"77410"</f>
        <v>77410</v>
      </c>
      <c r="C14610" s="2">
        <v>4.8423305260720102E-4</v>
      </c>
      <c r="D14610" s="2">
        <v>3.55482270947585E-3</v>
      </c>
      <c r="E14610" s="2">
        <v>3.2400732256548903E-5</v>
      </c>
      <c r="F14610" s="2">
        <v>7.5404174542062496E-4</v>
      </c>
    </row>
    <row r="14611" spans="1:6" x14ac:dyDescent="0.25">
      <c r="A14611" s="1" t="str">
        <f t="shared" si="554"/>
        <v>26420</v>
      </c>
      <c r="B14611" s="1" t="str">
        <f>"77036"</f>
        <v>77036</v>
      </c>
      <c r="C14611" s="2">
        <v>1.04106710566841E-2</v>
      </c>
      <c r="D14611" s="2">
        <v>2.1529207958797401E-2</v>
      </c>
      <c r="E14611" s="2">
        <v>1.5730555510554502E-2</v>
      </c>
      <c r="F14611" s="2">
        <v>1.15175112811359E-2</v>
      </c>
    </row>
    <row r="14612" spans="1:6" x14ac:dyDescent="0.25">
      <c r="A14612" s="1" t="str">
        <f t="shared" si="554"/>
        <v>26420</v>
      </c>
      <c r="B14612" s="1" t="str">
        <f>"77049"</f>
        <v>77049</v>
      </c>
      <c r="C14612" s="2">
        <v>4.2898430249556597E-3</v>
      </c>
      <c r="D14612" s="2">
        <v>2.1262179022874298E-3</v>
      </c>
      <c r="E14612" s="2">
        <v>1.74963954185364E-3</v>
      </c>
      <c r="F14612" s="2">
        <v>4.0463579904681602E-3</v>
      </c>
    </row>
    <row r="14613" spans="1:6" x14ac:dyDescent="0.25">
      <c r="A14613" s="1" t="str">
        <f t="shared" si="554"/>
        <v>26420</v>
      </c>
      <c r="B14613" s="1" t="str">
        <f>"77032"</f>
        <v>77032</v>
      </c>
      <c r="C14613" s="2">
        <v>1.62757995872813E-3</v>
      </c>
      <c r="D14613" s="2">
        <v>6.4253837706488397E-3</v>
      </c>
      <c r="E14613" s="2">
        <v>5.1517164287912904E-3</v>
      </c>
      <c r="F14613" s="2">
        <v>2.1281338631285599E-3</v>
      </c>
    </row>
    <row r="14614" spans="1:6" x14ac:dyDescent="0.25">
      <c r="A14614" s="1" t="str">
        <f t="shared" si="554"/>
        <v>26420</v>
      </c>
      <c r="B14614" s="1" t="str">
        <f>"77048"</f>
        <v>77048</v>
      </c>
      <c r="C14614" s="2">
        <v>2.9037004437897401E-3</v>
      </c>
      <c r="D14614" s="2">
        <v>7.6770819077882305E-4</v>
      </c>
      <c r="E14614" s="2">
        <v>9.0722050318337098E-4</v>
      </c>
      <c r="F14614" s="2">
        <v>2.67287079995269E-3</v>
      </c>
    </row>
    <row r="14615" spans="1:6" x14ac:dyDescent="0.25">
      <c r="A14615" s="1" t="str">
        <f t="shared" si="554"/>
        <v>26420</v>
      </c>
      <c r="B14615" s="1" t="str">
        <f>"77061"</f>
        <v>77061</v>
      </c>
      <c r="C14615" s="2">
        <v>3.32850798152579E-3</v>
      </c>
      <c r="D14615" s="2">
        <v>3.6149042200585399E-3</v>
      </c>
      <c r="E14615" s="2">
        <v>3.5964812804769302E-3</v>
      </c>
      <c r="F14615" s="2">
        <v>3.3594631634122998E-3</v>
      </c>
    </row>
    <row r="14616" spans="1:6" x14ac:dyDescent="0.25">
      <c r="A14616" s="1" t="str">
        <f t="shared" si="554"/>
        <v>26420</v>
      </c>
      <c r="B14616" s="1" t="str">
        <f>"77020"</f>
        <v>77020</v>
      </c>
      <c r="C14616" s="2">
        <v>3.4901453819753199E-3</v>
      </c>
      <c r="D14616" s="2">
        <v>4.1723271237979502E-3</v>
      </c>
      <c r="E14616" s="2">
        <v>8.13258379639379E-3</v>
      </c>
      <c r="F14616" s="2">
        <v>3.6386370627397198E-3</v>
      </c>
    </row>
    <row r="14617" spans="1:6" x14ac:dyDescent="0.25">
      <c r="A14617" s="1" t="str">
        <f t="shared" si="554"/>
        <v>26420</v>
      </c>
      <c r="B14617" s="1" t="str">
        <f>"77025"</f>
        <v>77025</v>
      </c>
      <c r="C14617" s="2">
        <v>5.3870078166624296E-3</v>
      </c>
      <c r="D14617" s="2">
        <v>3.0174269759306702E-3</v>
      </c>
      <c r="E14617" s="2">
        <v>5.62152704651125E-3</v>
      </c>
      <c r="F14617" s="2">
        <v>5.1766644496084998E-3</v>
      </c>
    </row>
    <row r="14618" spans="1:6" x14ac:dyDescent="0.25">
      <c r="A14618" s="1" t="str">
        <f t="shared" si="554"/>
        <v>26420</v>
      </c>
      <c r="B14618" s="1" t="str">
        <f>"77237"</f>
        <v>77237</v>
      </c>
      <c r="C14618" s="2">
        <v>9.0326782604148304E-5</v>
      </c>
      <c r="D14618" s="2">
        <v>3.1375899970960598E-4</v>
      </c>
      <c r="E14618" s="2">
        <v>1.62003661282744E-5</v>
      </c>
      <c r="F14618" s="2">
        <v>1.09189358241815E-4</v>
      </c>
    </row>
    <row r="14619" spans="1:6" x14ac:dyDescent="0.25">
      <c r="A14619" s="1" t="str">
        <f t="shared" si="554"/>
        <v>26420</v>
      </c>
      <c r="B14619" s="1" t="str">
        <f>"77354"</f>
        <v>77354</v>
      </c>
      <c r="C14619" s="2">
        <v>5.4773345992665803E-3</v>
      </c>
      <c r="D14619" s="2">
        <v>4.5628569425854399E-3</v>
      </c>
      <c r="E14619" s="2">
        <v>2.9646670014742298E-3</v>
      </c>
      <c r="F14619" s="2">
        <v>5.3475563814828096E-3</v>
      </c>
    </row>
    <row r="14620" spans="1:6" x14ac:dyDescent="0.25">
      <c r="A14620" s="1" t="str">
        <f t="shared" si="554"/>
        <v>26420</v>
      </c>
      <c r="B14620" s="1" t="str">
        <f>"77292"</f>
        <v>77292</v>
      </c>
      <c r="C14620" s="2">
        <v>4.3839051256374197E-4</v>
      </c>
      <c r="D14620" s="2">
        <v>1.4786727326739899E-3</v>
      </c>
      <c r="E14620" s="2">
        <v>1.62003661282744E-5</v>
      </c>
      <c r="F14620" s="2">
        <v>5.2477433947243604E-4</v>
      </c>
    </row>
    <row r="14621" spans="1:6" x14ac:dyDescent="0.25">
      <c r="A14621" s="1" t="str">
        <f t="shared" si="554"/>
        <v>26420</v>
      </c>
      <c r="B14621" s="1" t="str">
        <f>"77258"</f>
        <v>77258</v>
      </c>
      <c r="C14621" s="2">
        <v>2.5977439357959898E-4</v>
      </c>
      <c r="D14621" s="2">
        <v>9.2124982893458695E-4</v>
      </c>
      <c r="E14621" s="2">
        <v>1.62003661282744E-5</v>
      </c>
      <c r="F14621" s="2">
        <v>3.15167067279699E-4</v>
      </c>
    </row>
    <row r="14622" spans="1:6" x14ac:dyDescent="0.25">
      <c r="A14622" s="1" t="str">
        <f t="shared" si="554"/>
        <v>26420</v>
      </c>
      <c r="B14622" s="1" t="str">
        <f>"77221"</f>
        <v>77221</v>
      </c>
      <c r="C14622" s="2">
        <v>2.8422374826944403E-4</v>
      </c>
      <c r="D14622" s="2">
        <v>7.2765385039036195E-4</v>
      </c>
      <c r="E14622" s="2">
        <v>1.62003661282744E-5</v>
      </c>
      <c r="F14622" s="2">
        <v>3.1940155762702699E-4</v>
      </c>
    </row>
    <row r="14623" spans="1:6" x14ac:dyDescent="0.25">
      <c r="A14623" s="1" t="str">
        <f t="shared" si="554"/>
        <v>26420</v>
      </c>
      <c r="B14623" s="1" t="str">
        <f>"77275"</f>
        <v>77275</v>
      </c>
      <c r="C14623" s="2">
        <v>5.10719853521199E-4</v>
      </c>
      <c r="D14623" s="2">
        <v>1.0147099565076599E-3</v>
      </c>
      <c r="E14623" s="2">
        <v>3.2400732256548903E-5</v>
      </c>
      <c r="F14623" s="2">
        <v>5.4745910919026504E-4</v>
      </c>
    </row>
    <row r="14624" spans="1:6" x14ac:dyDescent="0.25">
      <c r="A14624" s="1" t="str">
        <f t="shared" si="554"/>
        <v>26420</v>
      </c>
      <c r="B14624" s="1" t="str">
        <f>"77072"</f>
        <v>77072</v>
      </c>
      <c r="C14624" s="2">
        <v>6.5592185442922097E-3</v>
      </c>
      <c r="D14624" s="2">
        <v>6.6022904406978803E-3</v>
      </c>
      <c r="E14624" s="2">
        <v>6.9985581674145798E-3</v>
      </c>
      <c r="F14624" s="2">
        <v>6.5713240918606102E-3</v>
      </c>
    </row>
    <row r="14625" spans="1:6" x14ac:dyDescent="0.25">
      <c r="A14625" s="1" t="str">
        <f t="shared" si="554"/>
        <v>26420</v>
      </c>
      <c r="B14625" s="1" t="str">
        <f>"77066"</f>
        <v>77066</v>
      </c>
      <c r="C14625" s="2">
        <v>3.6989836199510799E-3</v>
      </c>
      <c r="D14625" s="2">
        <v>3.7050264859325799E-3</v>
      </c>
      <c r="E14625" s="2">
        <v>3.27247395791144E-3</v>
      </c>
      <c r="F14625" s="2">
        <v>3.6915681920813201E-3</v>
      </c>
    </row>
    <row r="14626" spans="1:6" x14ac:dyDescent="0.25">
      <c r="A14626" s="1" t="str">
        <f t="shared" si="554"/>
        <v>26420</v>
      </c>
      <c r="B14626" s="1" t="str">
        <f>"77583"</f>
        <v>77583</v>
      </c>
      <c r="C14626" s="2">
        <v>4.30919876408512E-3</v>
      </c>
      <c r="D14626" s="2">
        <v>1.0881429138865E-3</v>
      </c>
      <c r="E14626" s="2">
        <v>7.2901647577235204E-4</v>
      </c>
      <c r="F14626" s="2">
        <v>3.9504770304607997E-3</v>
      </c>
    </row>
    <row r="14627" spans="1:6" x14ac:dyDescent="0.25">
      <c r="A14627" s="1" t="str">
        <f t="shared" si="554"/>
        <v>26420</v>
      </c>
      <c r="B14627" s="1" t="str">
        <f>"77590"</f>
        <v>77590</v>
      </c>
      <c r="C14627" s="2">
        <v>4.6776369562862496E-3</v>
      </c>
      <c r="D14627" s="2">
        <v>3.7517565497191098E-3</v>
      </c>
      <c r="E14627" s="2">
        <v>4.9087109368671699E-3</v>
      </c>
      <c r="F14627" s="2">
        <v>4.5980515900057497E-3</v>
      </c>
    </row>
    <row r="14628" spans="1:6" x14ac:dyDescent="0.25">
      <c r="A14628" s="1" t="str">
        <f t="shared" si="554"/>
        <v>26420</v>
      </c>
      <c r="B14628" s="1" t="str">
        <f>"77571"</f>
        <v>77571</v>
      </c>
      <c r="C14628" s="2">
        <v>4.9071892308742296E-3</v>
      </c>
      <c r="D14628" s="2">
        <v>4.6196005914690896E-3</v>
      </c>
      <c r="E14628" s="2">
        <v>2.7054611434218401E-3</v>
      </c>
      <c r="F14628" s="2">
        <v>4.8400224669959196E-3</v>
      </c>
    </row>
    <row r="14629" spans="1:6" x14ac:dyDescent="0.25">
      <c r="A14629" s="1" t="str">
        <f t="shared" si="554"/>
        <v>26420</v>
      </c>
      <c r="B14629" s="1" t="str">
        <f>"77577"</f>
        <v>77577</v>
      </c>
      <c r="C14629" s="2">
        <v>2.4585184438121501E-4</v>
      </c>
      <c r="D14629" s="2">
        <v>7.67708190778823E-5</v>
      </c>
      <c r="E14629" s="2">
        <v>8.1001830641372395E-5</v>
      </c>
      <c r="F14629" s="2">
        <v>2.2745262437076199E-4</v>
      </c>
    </row>
    <row r="14630" spans="1:6" x14ac:dyDescent="0.25">
      <c r="A14630" s="1" t="str">
        <f t="shared" si="554"/>
        <v>26420</v>
      </c>
      <c r="B14630" s="1" t="str">
        <f>"77489"</f>
        <v>77489</v>
      </c>
      <c r="C14630" s="2">
        <v>4.3781323613356496E-3</v>
      </c>
      <c r="D14630" s="2">
        <v>2.2830974021422301E-3</v>
      </c>
      <c r="E14630" s="2">
        <v>1.02062306608129E-3</v>
      </c>
      <c r="F14630" s="2">
        <v>4.1256034526824404E-3</v>
      </c>
    </row>
    <row r="14631" spans="1:6" x14ac:dyDescent="0.25">
      <c r="A14631" s="1" t="str">
        <f t="shared" si="554"/>
        <v>26420</v>
      </c>
      <c r="B14631" s="1" t="str">
        <f>"77491"</f>
        <v>77491</v>
      </c>
      <c r="C14631" s="2">
        <v>3.2463309838182602E-4</v>
      </c>
      <c r="D14631" s="2">
        <v>1.8191346259759E-3</v>
      </c>
      <c r="E14631" s="2">
        <v>3.2400732256548903E-5</v>
      </c>
      <c r="F14631" s="2">
        <v>4.5460278514528599E-4</v>
      </c>
    </row>
    <row r="14632" spans="1:6" x14ac:dyDescent="0.25">
      <c r="A14632" s="1" t="str">
        <f t="shared" si="554"/>
        <v>26420</v>
      </c>
      <c r="B14632" s="1" t="str">
        <f>"77523"</f>
        <v>77523</v>
      </c>
      <c r="C14632" s="2">
        <v>3.6507640593127699E-3</v>
      </c>
      <c r="D14632" s="2">
        <v>1.8959054450537801E-3</v>
      </c>
      <c r="E14632" s="2">
        <v>1.2960292902619501E-3</v>
      </c>
      <c r="F14632" s="2">
        <v>3.4477825335137201E-3</v>
      </c>
    </row>
    <row r="14633" spans="1:6" x14ac:dyDescent="0.25">
      <c r="A14633" s="1" t="str">
        <f t="shared" si="554"/>
        <v>26420</v>
      </c>
      <c r="B14633" s="1" t="str">
        <f>"77530"</f>
        <v>77530</v>
      </c>
      <c r="C14633" s="2">
        <v>4.2660728190071903E-3</v>
      </c>
      <c r="D14633" s="2">
        <v>3.7384051029229599E-3</v>
      </c>
      <c r="E14633" s="2">
        <v>6.1723394948725802E-3</v>
      </c>
      <c r="F14633" s="2">
        <v>4.2538480174872297E-3</v>
      </c>
    </row>
    <row r="14634" spans="1:6" x14ac:dyDescent="0.25">
      <c r="A14634" s="1" t="str">
        <f t="shared" si="554"/>
        <v>26420</v>
      </c>
      <c r="B14634" s="1" t="str">
        <f>"77503"</f>
        <v>77503</v>
      </c>
      <c r="C14634" s="2">
        <v>3.1380067595674199E-3</v>
      </c>
      <c r="D14634" s="2">
        <v>2.68364080602684E-3</v>
      </c>
      <c r="E14634" s="2">
        <v>3.3696761546810898E-3</v>
      </c>
      <c r="F14634" s="2">
        <v>3.1011592522253001E-3</v>
      </c>
    </row>
    <row r="14635" spans="1:6" x14ac:dyDescent="0.25">
      <c r="A14635" s="1" t="str">
        <f t="shared" si="554"/>
        <v>26420</v>
      </c>
      <c r="B14635" s="1" t="str">
        <f>"77496"</f>
        <v>77496</v>
      </c>
      <c r="C14635" s="2">
        <v>5.1445517159881397E-4</v>
      </c>
      <c r="D14635" s="2">
        <v>3.3512131458345099E-3</v>
      </c>
      <c r="E14635" s="2">
        <v>3.2400732256548903E-5</v>
      </c>
      <c r="F14635" s="2">
        <v>7.6251072611528096E-4</v>
      </c>
    </row>
    <row r="14636" spans="1:6" x14ac:dyDescent="0.25">
      <c r="A14636" s="1" t="str">
        <f t="shared" si="554"/>
        <v>26420</v>
      </c>
      <c r="B14636" s="1" t="str">
        <f>"77551"</f>
        <v>77551</v>
      </c>
      <c r="C14636" s="2">
        <v>4.0803256382385099E-3</v>
      </c>
      <c r="D14636" s="2">
        <v>2.5267613061720402E-3</v>
      </c>
      <c r="E14636" s="2">
        <v>6.8041537738752801E-3</v>
      </c>
      <c r="F14636" s="2">
        <v>3.9904022251641804E-3</v>
      </c>
    </row>
    <row r="14637" spans="1:6" x14ac:dyDescent="0.25">
      <c r="A14637" s="1" t="str">
        <f t="shared" si="554"/>
        <v>26420</v>
      </c>
      <c r="B14637" s="1" t="str">
        <f>"77507"</f>
        <v>77507</v>
      </c>
      <c r="C14637" s="2">
        <v>1.7929526772552699E-4</v>
      </c>
      <c r="D14637" s="2">
        <v>8.1443825456536001E-4</v>
      </c>
      <c r="E14637" s="2">
        <v>3.4020768869376399E-4</v>
      </c>
      <c r="F14637" s="2">
        <v>2.3985363181650799E-4</v>
      </c>
    </row>
    <row r="14638" spans="1:6" x14ac:dyDescent="0.25">
      <c r="A14638" s="1" t="str">
        <f t="shared" si="554"/>
        <v>26420</v>
      </c>
      <c r="B14638" s="1" t="str">
        <f>"77041"</f>
        <v>77041</v>
      </c>
      <c r="C14638" s="2">
        <v>4.3010489791885003E-3</v>
      </c>
      <c r="D14638" s="2">
        <v>1.0781293287893901E-2</v>
      </c>
      <c r="E14638" s="2">
        <v>8.9588024689357896E-3</v>
      </c>
      <c r="F14638" s="2">
        <v>4.9752236945141796E-3</v>
      </c>
    </row>
    <row r="14639" spans="1:6" x14ac:dyDescent="0.25">
      <c r="A14639" s="1" t="str">
        <f t="shared" si="554"/>
        <v>26420</v>
      </c>
      <c r="B14639" s="1" t="str">
        <f>"77044"</f>
        <v>77044</v>
      </c>
      <c r="C14639" s="2">
        <v>6.2152297067809203E-3</v>
      </c>
      <c r="D14639" s="2">
        <v>1.7490395302961E-3</v>
      </c>
      <c r="E14639" s="2">
        <v>2.2356505257018801E-3</v>
      </c>
      <c r="F14639" s="2">
        <v>5.7362221026482797E-3</v>
      </c>
    </row>
    <row r="14640" spans="1:6" x14ac:dyDescent="0.25">
      <c r="A14640" s="1" t="str">
        <f t="shared" si="554"/>
        <v>26420</v>
      </c>
      <c r="B14640" s="1" t="str">
        <f>"77028"</f>
        <v>77028</v>
      </c>
      <c r="C14640" s="2">
        <v>2.5026631120021502E-3</v>
      </c>
      <c r="D14640" s="2">
        <v>2.9907240823383698E-3</v>
      </c>
      <c r="E14640" s="2">
        <v>2.2356505257018801E-3</v>
      </c>
      <c r="F14640" s="2">
        <v>2.54190406278176E-3</v>
      </c>
    </row>
    <row r="14641" spans="1:6" x14ac:dyDescent="0.25">
      <c r="A14641" s="1" t="str">
        <f t="shared" si="554"/>
        <v>26420</v>
      </c>
      <c r="B14641" s="1" t="str">
        <f>"77029"</f>
        <v>77029</v>
      </c>
      <c r="C14641" s="2">
        <v>2.21130830194817E-3</v>
      </c>
      <c r="D14641" s="2">
        <v>4.6162627297700503E-3</v>
      </c>
      <c r="E14641" s="2">
        <v>5.3785215545871304E-3</v>
      </c>
      <c r="F14641" s="2">
        <v>2.4883680062476798E-3</v>
      </c>
    </row>
    <row r="14642" spans="1:6" x14ac:dyDescent="0.25">
      <c r="A14642" s="1" t="str">
        <f t="shared" si="554"/>
        <v>26420</v>
      </c>
      <c r="B14642" s="1" t="str">
        <f>"77033"</f>
        <v>77033</v>
      </c>
      <c r="C14642" s="2">
        <v>3.54617515313955E-3</v>
      </c>
      <c r="D14642" s="2">
        <v>1.7790802855874399E-3</v>
      </c>
      <c r="E14642" s="2">
        <v>4.9897127675085397E-3</v>
      </c>
      <c r="F14642" s="2">
        <v>3.41299921994638E-3</v>
      </c>
    </row>
    <row r="14643" spans="1:6" x14ac:dyDescent="0.25">
      <c r="A14643" s="1" t="str">
        <f t="shared" si="554"/>
        <v>26420</v>
      </c>
      <c r="B14643" s="1" t="str">
        <f>"77031"</f>
        <v>77031</v>
      </c>
      <c r="C14643" s="2">
        <v>2.2248912767758602E-3</v>
      </c>
      <c r="D14643" s="2">
        <v>1.7724045621893699E-3</v>
      </c>
      <c r="E14643" s="2">
        <v>1.7658399079819201E-3</v>
      </c>
      <c r="F14643" s="2">
        <v>2.1753181841416501E-3</v>
      </c>
    </row>
    <row r="14644" spans="1:6" x14ac:dyDescent="0.25">
      <c r="A14644" s="1" t="str">
        <f t="shared" si="554"/>
        <v>26420</v>
      </c>
      <c r="B14644" s="1" t="str">
        <f>"77064"</f>
        <v>77064</v>
      </c>
      <c r="C14644" s="2">
        <v>5.7771787685878704E-3</v>
      </c>
      <c r="D14644" s="2">
        <v>4.9901032400623503E-3</v>
      </c>
      <c r="E14644" s="2">
        <v>4.21209519335136E-3</v>
      </c>
      <c r="F14644" s="2">
        <v>5.6766367741894501E-3</v>
      </c>
    </row>
    <row r="14645" spans="1:6" x14ac:dyDescent="0.25">
      <c r="A14645" s="1" t="str">
        <f t="shared" si="554"/>
        <v>26420</v>
      </c>
      <c r="B14645" s="1" t="str">
        <f>"77050"</f>
        <v>77050</v>
      </c>
      <c r="C14645" s="2">
        <v>5.43998141849043E-4</v>
      </c>
      <c r="D14645" s="2">
        <v>3.3378616990383599E-4</v>
      </c>
      <c r="E14645" s="2">
        <v>5.6701281448960704E-4</v>
      </c>
      <c r="F14645" s="2">
        <v>5.2537926666491202E-4</v>
      </c>
    </row>
    <row r="14646" spans="1:6" x14ac:dyDescent="0.25">
      <c r="A14646" s="1" t="str">
        <f t="shared" si="554"/>
        <v>26420</v>
      </c>
      <c r="B14646" s="1" t="str">
        <f>"77004"</f>
        <v>77004</v>
      </c>
      <c r="C14646" s="2">
        <v>6.82442612780288E-3</v>
      </c>
      <c r="D14646" s="2">
        <v>5.8279065265209803E-3</v>
      </c>
      <c r="E14646" s="2">
        <v>2.8788050609943699E-2</v>
      </c>
      <c r="F14646" s="2">
        <v>7.1441901431348398E-3</v>
      </c>
    </row>
    <row r="14647" spans="1:6" x14ac:dyDescent="0.25">
      <c r="A14647" s="1" t="str">
        <f t="shared" si="554"/>
        <v>26420</v>
      </c>
      <c r="B14647" s="1" t="str">
        <f>"77009"</f>
        <v>77009</v>
      </c>
      <c r="C14647" s="2">
        <v>5.9680195649169402E-3</v>
      </c>
      <c r="D14647" s="2">
        <v>4.4727346767114004E-3</v>
      </c>
      <c r="E14647" s="2">
        <v>1.5957360636350299E-2</v>
      </c>
      <c r="F14647" s="2">
        <v>6.0190255651305404E-3</v>
      </c>
    </row>
    <row r="14648" spans="1:6" x14ac:dyDescent="0.25">
      <c r="A14648" s="1" t="str">
        <f t="shared" si="554"/>
        <v>26420</v>
      </c>
      <c r="B14648" s="1" t="str">
        <f>"77005"</f>
        <v>77005</v>
      </c>
      <c r="C14648" s="2">
        <v>3.80187465427084E-3</v>
      </c>
      <c r="D14648" s="2">
        <v>3.8919467410787299E-3</v>
      </c>
      <c r="E14648" s="2">
        <v>4.39029922076238E-3</v>
      </c>
      <c r="F14648" s="2">
        <v>3.8210226112710601E-3</v>
      </c>
    </row>
    <row r="14649" spans="1:6" x14ac:dyDescent="0.25">
      <c r="A14649" s="1" t="str">
        <f t="shared" si="554"/>
        <v>26420</v>
      </c>
      <c r="B14649" s="1" t="str">
        <f>"77021"</f>
        <v>77021</v>
      </c>
      <c r="C14649" s="2">
        <v>4.3757553407408004E-3</v>
      </c>
      <c r="D14649" s="2">
        <v>4.1823407088950604E-3</v>
      </c>
      <c r="E14649" s="2">
        <v>1.12592544591507E-2</v>
      </c>
      <c r="F14649" s="2">
        <v>4.4867449865902704E-3</v>
      </c>
    </row>
    <row r="14650" spans="1:6" x14ac:dyDescent="0.25">
      <c r="A14650" s="1" t="str">
        <f t="shared" si="554"/>
        <v>26420</v>
      </c>
      <c r="B14650" s="1" t="str">
        <f>"77223"</f>
        <v>77223</v>
      </c>
      <c r="C14650" s="2">
        <v>3.56553089226901E-4</v>
      </c>
      <c r="D14650" s="2">
        <v>6.17504414322096E-4</v>
      </c>
      <c r="E14650" s="2">
        <v>1.62003661282744E-5</v>
      </c>
      <c r="F14650" s="2">
        <v>3.7384500494981598E-4</v>
      </c>
    </row>
    <row r="14651" spans="1:6" x14ac:dyDescent="0.25">
      <c r="A14651" s="1" t="str">
        <f t="shared" si="554"/>
        <v>26420</v>
      </c>
      <c r="B14651" s="1" t="str">
        <f>"77263"</f>
        <v>77263</v>
      </c>
      <c r="C14651" s="2">
        <v>4.1258286039112801E-4</v>
      </c>
      <c r="D14651" s="2">
        <v>6.6089661640959503E-4</v>
      </c>
      <c r="E14651" s="2">
        <v>3.2400732256548903E-5</v>
      </c>
      <c r="F14651" s="2">
        <v>4.2798598867636699E-4</v>
      </c>
    </row>
    <row r="14652" spans="1:6" x14ac:dyDescent="0.25">
      <c r="A14652" s="1" t="str">
        <f t="shared" si="554"/>
        <v>26420</v>
      </c>
      <c r="B14652" s="1" t="str">
        <f>"77476"</f>
        <v>77476</v>
      </c>
      <c r="C14652" s="2">
        <v>0</v>
      </c>
      <c r="D14652" s="2">
        <v>3.3378616990383599E-6</v>
      </c>
      <c r="E14652" s="2">
        <v>0</v>
      </c>
      <c r="F14652" s="2">
        <v>3.0246359623771502E-7</v>
      </c>
    </row>
    <row r="14653" spans="1:6" x14ac:dyDescent="0.25">
      <c r="A14653" s="1" t="str">
        <f t="shared" si="554"/>
        <v>26420</v>
      </c>
      <c r="B14653" s="1" t="str">
        <f>"77463"</f>
        <v>77463</v>
      </c>
      <c r="C14653" s="2">
        <v>0</v>
      </c>
      <c r="D14653" s="2">
        <v>3.3378616990383599E-6</v>
      </c>
      <c r="E14653" s="2">
        <v>0</v>
      </c>
      <c r="F14653" s="2">
        <v>3.0246359623771502E-7</v>
      </c>
    </row>
    <row r="14654" spans="1:6" x14ac:dyDescent="0.25">
      <c r="A14654" s="1" t="str">
        <f t="shared" si="554"/>
        <v>26420</v>
      </c>
      <c r="B14654" s="1" t="str">
        <f>"77650"</f>
        <v>77650</v>
      </c>
      <c r="C14654" s="2">
        <v>1.0187231120768601E-6</v>
      </c>
      <c r="D14654" s="2">
        <v>6.6757233980767199E-6</v>
      </c>
      <c r="E14654" s="2">
        <v>0</v>
      </c>
      <c r="F14654" s="2">
        <v>1.5123179811885701E-6</v>
      </c>
    </row>
    <row r="14655" spans="1:6" x14ac:dyDescent="0.25">
      <c r="A14655" s="1" t="str">
        <f t="shared" si="554"/>
        <v>26420</v>
      </c>
      <c r="B14655" s="1" t="str">
        <f>"77516"</f>
        <v>77516</v>
      </c>
      <c r="C14655" s="2">
        <v>7.0903128600549397E-4</v>
      </c>
      <c r="D14655" s="2">
        <v>8.3446542475958997E-4</v>
      </c>
      <c r="E14655" s="2">
        <v>1.62003661282744E-5</v>
      </c>
      <c r="F14655" s="2">
        <v>7.0746235160001696E-4</v>
      </c>
    </row>
    <row r="14656" spans="1:6" x14ac:dyDescent="0.25">
      <c r="A14656" s="1" t="str">
        <f t="shared" si="554"/>
        <v>26420</v>
      </c>
      <c r="B14656" s="1" t="str">
        <f>"77413"</f>
        <v>77413</v>
      </c>
      <c r="C14656" s="2">
        <v>9.10059313455328E-5</v>
      </c>
      <c r="D14656" s="2">
        <v>8.4447900985670495E-4</v>
      </c>
      <c r="E14656" s="2">
        <v>1.62003661282744E-5</v>
      </c>
      <c r="F14656" s="2">
        <v>1.57885997236087E-4</v>
      </c>
    </row>
    <row r="14657" spans="1:6" x14ac:dyDescent="0.25">
      <c r="A14657" s="1" t="str">
        <f t="shared" ref="A14657:A14720" si="555">"26420"</f>
        <v>26420</v>
      </c>
      <c r="B14657" s="1" t="str">
        <f>"77580"</f>
        <v>77580</v>
      </c>
      <c r="C14657" s="2">
        <v>4.9204326313312299E-4</v>
      </c>
      <c r="D14657" s="2">
        <v>9.2124982893458695E-4</v>
      </c>
      <c r="E14657" s="2">
        <v>3.2400732256548903E-5</v>
      </c>
      <c r="F14657" s="2">
        <v>5.2235463070253495E-4</v>
      </c>
    </row>
    <row r="14658" spans="1:6" x14ac:dyDescent="0.25">
      <c r="A14658" s="1" t="str">
        <f t="shared" si="555"/>
        <v>26420</v>
      </c>
      <c r="B14658" s="1" t="str">
        <f>"77233"</f>
        <v>77233</v>
      </c>
      <c r="C14658" s="2">
        <v>4.1869519906358898E-4</v>
      </c>
      <c r="D14658" s="2">
        <v>7.2431598869132402E-4</v>
      </c>
      <c r="E14658" s="2">
        <v>3.2400732256548903E-5</v>
      </c>
      <c r="F14658" s="2">
        <v>4.3917714173716298E-4</v>
      </c>
    </row>
    <row r="14659" spans="1:6" x14ac:dyDescent="0.25">
      <c r="A14659" s="1" t="str">
        <f t="shared" si="555"/>
        <v>26420</v>
      </c>
      <c r="B14659" s="1" t="str">
        <f>"77868"</f>
        <v>77868</v>
      </c>
      <c r="C14659" s="2">
        <v>6.1123386724611599E-6</v>
      </c>
      <c r="D14659" s="2">
        <v>0</v>
      </c>
      <c r="E14659" s="2">
        <v>0</v>
      </c>
      <c r="F14659" s="2">
        <v>5.4443447322788803E-6</v>
      </c>
    </row>
    <row r="14660" spans="1:6" x14ac:dyDescent="0.25">
      <c r="A14660" s="1" t="str">
        <f t="shared" si="555"/>
        <v>26420</v>
      </c>
      <c r="B14660" s="1" t="str">
        <f>"77572"</f>
        <v>77572</v>
      </c>
      <c r="C14660" s="2">
        <v>7.5317595419549196E-4</v>
      </c>
      <c r="D14660" s="2">
        <v>9.1457410553651098E-4</v>
      </c>
      <c r="E14660" s="2">
        <v>1.62003661282744E-5</v>
      </c>
      <c r="F14660" s="2">
        <v>7.5404174542062496E-4</v>
      </c>
    </row>
    <row r="14661" spans="1:6" x14ac:dyDescent="0.25">
      <c r="A14661" s="1" t="str">
        <f t="shared" si="555"/>
        <v>26420</v>
      </c>
      <c r="B14661" s="1" t="str">
        <f>"77449"</f>
        <v>77449</v>
      </c>
      <c r="C14661" s="2">
        <v>1.35177765485185E-2</v>
      </c>
      <c r="D14661" s="2">
        <v>5.0969148144315701E-3</v>
      </c>
      <c r="E14661" s="2">
        <v>4.4389003191472104E-3</v>
      </c>
      <c r="F14661" s="2">
        <v>1.25852077758551E-2</v>
      </c>
    </row>
    <row r="14662" spans="1:6" x14ac:dyDescent="0.25">
      <c r="A14662" s="1" t="str">
        <f t="shared" si="555"/>
        <v>26420</v>
      </c>
      <c r="B14662" s="1" t="str">
        <f>"77471"</f>
        <v>77471</v>
      </c>
      <c r="C14662" s="2">
        <v>5.7330341003978703E-3</v>
      </c>
      <c r="D14662" s="2">
        <v>6.0081510582690499E-3</v>
      </c>
      <c r="E14662" s="2">
        <v>7.9381794028544998E-3</v>
      </c>
      <c r="F14662" s="2">
        <v>5.7991345306657198E-3</v>
      </c>
    </row>
    <row r="14663" spans="1:6" x14ac:dyDescent="0.25">
      <c r="A14663" s="1" t="str">
        <f t="shared" si="555"/>
        <v>26420</v>
      </c>
      <c r="B14663" s="1" t="str">
        <f>"77484"</f>
        <v>77484</v>
      </c>
      <c r="C14663" s="2">
        <v>1.6859867504871999E-3</v>
      </c>
      <c r="D14663" s="2">
        <v>1.0447507117990001E-3</v>
      </c>
      <c r="E14663" s="2">
        <v>1.49043368380125E-3</v>
      </c>
      <c r="F14663" s="2">
        <v>1.6242295117965301E-3</v>
      </c>
    </row>
    <row r="14664" spans="1:6" x14ac:dyDescent="0.25">
      <c r="A14664" s="1" t="str">
        <f t="shared" si="555"/>
        <v>26420</v>
      </c>
      <c r="B14664" s="1" t="str">
        <f>"77506"</f>
        <v>77506</v>
      </c>
      <c r="C14664" s="2">
        <v>4.2215885764465104E-3</v>
      </c>
      <c r="D14664" s="2">
        <v>3.2176986778729801E-3</v>
      </c>
      <c r="E14664" s="2">
        <v>6.5125471835663397E-3</v>
      </c>
      <c r="F14664" s="2">
        <v>4.1733927008880001E-3</v>
      </c>
    </row>
    <row r="14665" spans="1:6" x14ac:dyDescent="0.25">
      <c r="A14665" s="1" t="str">
        <f t="shared" si="555"/>
        <v>26420</v>
      </c>
      <c r="B14665" s="1" t="str">
        <f>"77534"</f>
        <v>77534</v>
      </c>
      <c r="C14665" s="2">
        <v>3.5044075055443998E-4</v>
      </c>
      <c r="D14665" s="2">
        <v>4.0054340388460297E-5</v>
      </c>
      <c r="E14665" s="2">
        <v>1.62003661282744E-4</v>
      </c>
      <c r="F14665" s="2">
        <v>3.1879663043455199E-4</v>
      </c>
    </row>
    <row r="14666" spans="1:6" x14ac:dyDescent="0.25">
      <c r="A14666" s="1" t="str">
        <f t="shared" si="555"/>
        <v>26420</v>
      </c>
      <c r="B14666" s="1" t="str">
        <f>"77502"</f>
        <v>77502</v>
      </c>
      <c r="C14666" s="2">
        <v>4.4236353270084199E-3</v>
      </c>
      <c r="D14666" s="2">
        <v>4.9800896549652297E-3</v>
      </c>
      <c r="E14666" s="2">
        <v>4.2606962917361903E-3</v>
      </c>
      <c r="F14666" s="2">
        <v>4.4710168795859097E-3</v>
      </c>
    </row>
    <row r="14667" spans="1:6" x14ac:dyDescent="0.25">
      <c r="A14667" s="1" t="str">
        <f t="shared" si="555"/>
        <v>26420</v>
      </c>
      <c r="B14667" s="1" t="str">
        <f>"77505"</f>
        <v>77505</v>
      </c>
      <c r="C14667" s="2">
        <v>3.1386859083088001E-3</v>
      </c>
      <c r="D14667" s="2">
        <v>3.56149843287393E-3</v>
      </c>
      <c r="E14667" s="2">
        <v>2.3652534547280702E-3</v>
      </c>
      <c r="F14667" s="2">
        <v>3.1625593622615499E-3</v>
      </c>
    </row>
    <row r="14668" spans="1:6" x14ac:dyDescent="0.25">
      <c r="A14668" s="1" t="str">
        <f t="shared" si="555"/>
        <v>26420</v>
      </c>
      <c r="B14668" s="1" t="str">
        <f>"77562"</f>
        <v>77562</v>
      </c>
      <c r="C14668" s="2">
        <v>1.87580882370419E-3</v>
      </c>
      <c r="D14668" s="2">
        <v>1.3084417860230299E-3</v>
      </c>
      <c r="E14668" s="2">
        <v>1.08542453059439E-3</v>
      </c>
      <c r="F14668" s="2">
        <v>1.8096396962902501E-3</v>
      </c>
    </row>
    <row r="14669" spans="1:6" x14ac:dyDescent="0.25">
      <c r="A14669" s="1" t="str">
        <f t="shared" si="555"/>
        <v>26420</v>
      </c>
      <c r="B14669" s="1" t="str">
        <f>"77522"</f>
        <v>77522</v>
      </c>
      <c r="C14669" s="2">
        <v>1.1161809564655401E-3</v>
      </c>
      <c r="D14669" s="2">
        <v>1.85918896636436E-3</v>
      </c>
      <c r="E14669" s="2">
        <v>4.8601098384823398E-5</v>
      </c>
      <c r="F14669" s="2">
        <v>1.16357745472649E-3</v>
      </c>
    </row>
    <row r="14670" spans="1:6" x14ac:dyDescent="0.25">
      <c r="A14670" s="1" t="str">
        <f t="shared" si="555"/>
        <v>26420</v>
      </c>
      <c r="B14670" s="1" t="str">
        <f>"77514"</f>
        <v>77514</v>
      </c>
      <c r="C14670" s="2">
        <v>3.4330968876990198E-4</v>
      </c>
      <c r="D14670" s="2">
        <v>2.20298872136531E-4</v>
      </c>
      <c r="E14670" s="2">
        <v>1.62003661282744E-5</v>
      </c>
      <c r="F14670" s="2">
        <v>3.26055756744257E-4</v>
      </c>
    </row>
    <row r="14671" spans="1:6" x14ac:dyDescent="0.25">
      <c r="A14671" s="1" t="str">
        <f t="shared" si="555"/>
        <v>26420</v>
      </c>
      <c r="B14671" s="1" t="str">
        <f>"77549"</f>
        <v>77549</v>
      </c>
      <c r="C14671" s="2">
        <v>4.2888243018435798E-4</v>
      </c>
      <c r="D14671" s="2">
        <v>2.04610922151051E-3</v>
      </c>
      <c r="E14671" s="2">
        <v>3.2400732256548903E-5</v>
      </c>
      <c r="F14671" s="2">
        <v>5.6802663373442996E-4</v>
      </c>
    </row>
    <row r="14672" spans="1:6" x14ac:dyDescent="0.25">
      <c r="A14672" s="1" t="str">
        <f t="shared" si="555"/>
        <v>26420</v>
      </c>
      <c r="B14672" s="1" t="str">
        <f>"77365"</f>
        <v>77365</v>
      </c>
      <c r="C14672" s="2">
        <v>6.1687080179960796E-3</v>
      </c>
      <c r="D14672" s="2">
        <v>3.6015527732623899E-3</v>
      </c>
      <c r="E14672" s="2">
        <v>3.8718875046576001E-3</v>
      </c>
      <c r="F14672" s="2">
        <v>5.8932007090956497E-3</v>
      </c>
    </row>
    <row r="14673" spans="1:6" x14ac:dyDescent="0.25">
      <c r="A14673" s="1" t="str">
        <f t="shared" si="555"/>
        <v>26420</v>
      </c>
      <c r="B14673" s="1" t="str">
        <f>"77391"</f>
        <v>77391</v>
      </c>
      <c r="C14673" s="2">
        <v>2.4517269563983099E-4</v>
      </c>
      <c r="D14673" s="2">
        <v>1.4853484560720699E-3</v>
      </c>
      <c r="E14673" s="2">
        <v>3.2400732256548903E-5</v>
      </c>
      <c r="F14673" s="2">
        <v>3.53579944001889E-4</v>
      </c>
    </row>
    <row r="14674" spans="1:6" x14ac:dyDescent="0.25">
      <c r="A14674" s="1" t="str">
        <f t="shared" si="555"/>
        <v>26420</v>
      </c>
      <c r="B14674" s="1" t="str">
        <f>"77027"</f>
        <v>77027</v>
      </c>
      <c r="C14674" s="2">
        <v>4.50479360160387E-3</v>
      </c>
      <c r="D14674" s="2">
        <v>1.12752968193515E-2</v>
      </c>
      <c r="E14674" s="2">
        <v>9.3314108898861093E-3</v>
      </c>
      <c r="F14674" s="2">
        <v>5.2084231272134596E-3</v>
      </c>
    </row>
    <row r="14675" spans="1:6" x14ac:dyDescent="0.25">
      <c r="A14675" s="1" t="str">
        <f t="shared" si="555"/>
        <v>26420</v>
      </c>
      <c r="B14675" s="1" t="str">
        <f>"77057"</f>
        <v>77057</v>
      </c>
      <c r="C14675" s="2">
        <v>8.6605047501360794E-3</v>
      </c>
      <c r="D14675" s="2">
        <v>1.32579866685803E-2</v>
      </c>
      <c r="E14675" s="2">
        <v>1.9262235326518301E-2</v>
      </c>
      <c r="F14675" s="2">
        <v>9.2750461786295507E-3</v>
      </c>
    </row>
    <row r="14676" spans="1:6" x14ac:dyDescent="0.25">
      <c r="A14676" s="1" t="str">
        <f t="shared" si="555"/>
        <v>26420</v>
      </c>
      <c r="B14676" s="1" t="str">
        <f>"77052"</f>
        <v>77052</v>
      </c>
      <c r="C14676" s="2">
        <v>5.9289685122873202E-4</v>
      </c>
      <c r="D14676" s="2">
        <v>8.1777611626439805E-4</v>
      </c>
      <c r="E14676" s="2">
        <v>1.62003661282744E-5</v>
      </c>
      <c r="F14676" s="2">
        <v>6.0250748370552904E-4</v>
      </c>
    </row>
    <row r="14677" spans="1:6" x14ac:dyDescent="0.25">
      <c r="A14677" s="1" t="str">
        <f t="shared" si="555"/>
        <v>26420</v>
      </c>
      <c r="B14677" s="1" t="str">
        <f>"77012"</f>
        <v>77012</v>
      </c>
      <c r="C14677" s="2">
        <v>2.3451006040009301E-3</v>
      </c>
      <c r="D14677" s="2">
        <v>1.8792161365585899E-3</v>
      </c>
      <c r="E14677" s="2">
        <v>4.0014904336837997E-3</v>
      </c>
      <c r="F14677" s="2">
        <v>2.3338091085702102E-3</v>
      </c>
    </row>
    <row r="14678" spans="1:6" x14ac:dyDescent="0.25">
      <c r="A14678" s="1" t="str">
        <f t="shared" si="555"/>
        <v>26420</v>
      </c>
      <c r="B14678" s="1" t="str">
        <f>"77013"</f>
        <v>77013</v>
      </c>
      <c r="C14678" s="2">
        <v>2.2225142561810101E-3</v>
      </c>
      <c r="D14678" s="2">
        <v>1.3318068179163001E-3</v>
      </c>
      <c r="E14678" s="2">
        <v>3.15907139501352E-3</v>
      </c>
      <c r="F14678" s="2">
        <v>2.1592876135410502E-3</v>
      </c>
    </row>
    <row r="14679" spans="1:6" x14ac:dyDescent="0.25">
      <c r="A14679" s="1" t="str">
        <f t="shared" si="555"/>
        <v>26420</v>
      </c>
      <c r="B14679" s="1" t="str">
        <f>"77014"</f>
        <v>77014</v>
      </c>
      <c r="C14679" s="2">
        <v>4.36488896087865E-3</v>
      </c>
      <c r="D14679" s="2">
        <v>3.6549585604469998E-3</v>
      </c>
      <c r="E14679" s="2">
        <v>2.6568600450370102E-3</v>
      </c>
      <c r="F14679" s="2">
        <v>4.2686687337028803E-3</v>
      </c>
    </row>
    <row r="14680" spans="1:6" x14ac:dyDescent="0.25">
      <c r="A14680" s="1" t="str">
        <f t="shared" si="555"/>
        <v>26420</v>
      </c>
      <c r="B14680" s="1" t="str">
        <f>"77019"</f>
        <v>77019</v>
      </c>
      <c r="C14680" s="2">
        <v>5.2783440180409003E-3</v>
      </c>
      <c r="D14680" s="2">
        <v>3.5915391881652702E-3</v>
      </c>
      <c r="E14680" s="2">
        <v>1.4855735739627699E-2</v>
      </c>
      <c r="F14680" s="2">
        <v>5.3043040872208201E-3</v>
      </c>
    </row>
    <row r="14681" spans="1:6" x14ac:dyDescent="0.25">
      <c r="A14681" s="1" t="str">
        <f t="shared" si="555"/>
        <v>26420</v>
      </c>
      <c r="B14681" s="1" t="str">
        <f>"77873"</f>
        <v>77873</v>
      </c>
      <c r="C14681" s="2">
        <v>7.5385510293687606E-5</v>
      </c>
      <c r="D14681" s="2">
        <v>3.0040755291345201E-5</v>
      </c>
      <c r="E14681" s="2">
        <v>0</v>
      </c>
      <c r="F14681" s="2">
        <v>6.9869090730912304E-5</v>
      </c>
    </row>
    <row r="14682" spans="1:6" x14ac:dyDescent="0.25">
      <c r="A14682" s="1" t="str">
        <f t="shared" si="555"/>
        <v>26420</v>
      </c>
      <c r="B14682" s="1" t="str">
        <f>"77328"</f>
        <v>77328</v>
      </c>
      <c r="C14682" s="2">
        <v>1.4825817024425199E-3</v>
      </c>
      <c r="D14682" s="2">
        <v>3.7384051029229601E-4</v>
      </c>
      <c r="E14682" s="2">
        <v>1.7820402741101899E-4</v>
      </c>
      <c r="F14682" s="2">
        <v>1.3577590835111E-3</v>
      </c>
    </row>
    <row r="14683" spans="1:6" x14ac:dyDescent="0.25">
      <c r="A14683" s="1" t="str">
        <f t="shared" si="555"/>
        <v>26420</v>
      </c>
      <c r="B14683" s="1" t="str">
        <f>"77243"</f>
        <v>77243</v>
      </c>
      <c r="C14683" s="2">
        <v>2.8829864071775097E-4</v>
      </c>
      <c r="D14683" s="2">
        <v>7.0095095679805603E-4</v>
      </c>
      <c r="E14683" s="2">
        <v>3.2400732256548903E-5</v>
      </c>
      <c r="F14683" s="2">
        <v>3.2091387560821601E-4</v>
      </c>
    </row>
    <row r="14684" spans="1:6" x14ac:dyDescent="0.25">
      <c r="A14684" s="1" t="str">
        <f t="shared" si="555"/>
        <v>26420</v>
      </c>
      <c r="B14684" s="1" t="str">
        <f>"77303"</f>
        <v>77303</v>
      </c>
      <c r="C14684" s="2">
        <v>2.73493198155567E-3</v>
      </c>
      <c r="D14684" s="2">
        <v>1.85585110466532E-3</v>
      </c>
      <c r="E14684" s="2">
        <v>1.40943185315988E-3</v>
      </c>
      <c r="F14684" s="2">
        <v>2.6305258964794101E-3</v>
      </c>
    </row>
    <row r="14685" spans="1:6" x14ac:dyDescent="0.25">
      <c r="A14685" s="1" t="str">
        <f t="shared" si="555"/>
        <v>26420</v>
      </c>
      <c r="B14685" s="1" t="str">
        <f>"77065"</f>
        <v>77065</v>
      </c>
      <c r="C14685" s="2">
        <v>5.1890359585488304E-3</v>
      </c>
      <c r="D14685" s="2">
        <v>5.3072001014709902E-3</v>
      </c>
      <c r="E14685" s="2">
        <v>4.6657054449430503E-3</v>
      </c>
      <c r="F14685" s="2">
        <v>5.1899728478429601E-3</v>
      </c>
    </row>
    <row r="14686" spans="1:6" x14ac:dyDescent="0.25">
      <c r="A14686" s="1" t="str">
        <f t="shared" si="555"/>
        <v>26420</v>
      </c>
      <c r="B14686" s="1" t="str">
        <f>"77205"</f>
        <v>77205</v>
      </c>
      <c r="C14686" s="2">
        <v>3.3346203201982502E-4</v>
      </c>
      <c r="D14686" s="2">
        <v>1.34182040301342E-3</v>
      </c>
      <c r="E14686" s="2">
        <v>3.2400732256548903E-5</v>
      </c>
      <c r="F14686" s="2">
        <v>4.1921454438547398E-4</v>
      </c>
    </row>
    <row r="14687" spans="1:6" x14ac:dyDescent="0.25">
      <c r="A14687" s="1" t="str">
        <f t="shared" si="555"/>
        <v>26420</v>
      </c>
      <c r="B14687" s="1" t="str">
        <f>"77355"</f>
        <v>77355</v>
      </c>
      <c r="C14687" s="2">
        <v>3.79983720804669E-3</v>
      </c>
      <c r="D14687" s="2">
        <v>1.3251310945182201E-3</v>
      </c>
      <c r="E14687" s="2">
        <v>1.11782526285094E-3</v>
      </c>
      <c r="F14687" s="2">
        <v>3.52551567774681E-3</v>
      </c>
    </row>
    <row r="14688" spans="1:6" x14ac:dyDescent="0.25">
      <c r="A14688" s="1" t="str">
        <f t="shared" si="555"/>
        <v>26420</v>
      </c>
      <c r="B14688" s="1" t="str">
        <f>"77238"</f>
        <v>77238</v>
      </c>
      <c r="C14688" s="2">
        <v>2.6826375284690599E-4</v>
      </c>
      <c r="D14688" s="2">
        <v>6.8092378660382499E-4</v>
      </c>
      <c r="E14688" s="2">
        <v>3.2400732256548903E-5</v>
      </c>
      <c r="F14688" s="2">
        <v>3.0125374185276398E-4</v>
      </c>
    </row>
    <row r="14689" spans="1:6" x14ac:dyDescent="0.25">
      <c r="A14689" s="1" t="str">
        <f t="shared" si="555"/>
        <v>26420</v>
      </c>
      <c r="B14689" s="1" t="str">
        <f>"77261"</f>
        <v>77261</v>
      </c>
      <c r="C14689" s="2">
        <v>1.6027910296675899E-4</v>
      </c>
      <c r="D14689" s="2">
        <v>2.77042521020184E-4</v>
      </c>
      <c r="E14689" s="2">
        <v>3.2400732256548903E-5</v>
      </c>
      <c r="F14689" s="2">
        <v>1.6847222310440699E-4</v>
      </c>
    </row>
    <row r="14690" spans="1:6" x14ac:dyDescent="0.25">
      <c r="A14690" s="1" t="str">
        <f t="shared" si="555"/>
        <v>26420</v>
      </c>
      <c r="B14690" s="1" t="str">
        <f>"77077"</f>
        <v>77077</v>
      </c>
      <c r="C14690" s="2">
        <v>1.04575323198396E-2</v>
      </c>
      <c r="D14690" s="2">
        <v>7.1764026529324704E-3</v>
      </c>
      <c r="E14690" s="2">
        <v>6.9013559706449304E-3</v>
      </c>
      <c r="F14690" s="2">
        <v>1.0093815133645E-2</v>
      </c>
    </row>
    <row r="14691" spans="1:6" x14ac:dyDescent="0.25">
      <c r="A14691" s="1" t="str">
        <f t="shared" si="555"/>
        <v>26420</v>
      </c>
      <c r="B14691" s="1" t="str">
        <f>"77091"</f>
        <v>77091</v>
      </c>
      <c r="C14691" s="2">
        <v>4.0225979952208304E-3</v>
      </c>
      <c r="D14691" s="2">
        <v>4.0020961771469899E-3</v>
      </c>
      <c r="E14691" s="2">
        <v>6.0427365658463801E-3</v>
      </c>
      <c r="F14691" s="2">
        <v>4.0584565343176702E-3</v>
      </c>
    </row>
    <row r="14692" spans="1:6" x14ac:dyDescent="0.25">
      <c r="A14692" s="1" t="str">
        <f t="shared" si="555"/>
        <v>26420</v>
      </c>
      <c r="B14692" s="1" t="str">
        <f>"77586"</f>
        <v>77586</v>
      </c>
      <c r="C14692" s="2">
        <v>3.9686056702807502E-3</v>
      </c>
      <c r="D14692" s="2">
        <v>2.8638853377749101E-3</v>
      </c>
      <c r="E14692" s="2">
        <v>1.9440439353929299E-3</v>
      </c>
      <c r="F14692" s="2">
        <v>3.8307014463506701E-3</v>
      </c>
    </row>
    <row r="14693" spans="1:6" x14ac:dyDescent="0.25">
      <c r="A14693" s="1" t="str">
        <f t="shared" si="555"/>
        <v>26420</v>
      </c>
      <c r="B14693" s="1" t="str">
        <f>"77591"</f>
        <v>77591</v>
      </c>
      <c r="C14693" s="2">
        <v>2.4052052676134601E-3</v>
      </c>
      <c r="D14693" s="2">
        <v>1.9593248173355102E-3</v>
      </c>
      <c r="E14693" s="2">
        <v>1.5714355144426199E-3</v>
      </c>
      <c r="F14693" s="2">
        <v>2.3492347519783298E-3</v>
      </c>
    </row>
    <row r="14694" spans="1:6" x14ac:dyDescent="0.25">
      <c r="A14694" s="1" t="str">
        <f t="shared" si="555"/>
        <v>26420</v>
      </c>
      <c r="B14694" s="1" t="str">
        <f>"77420"</f>
        <v>77420</v>
      </c>
      <c r="C14694" s="2">
        <v>3.0561693362305799E-6</v>
      </c>
      <c r="D14694" s="2">
        <v>0</v>
      </c>
      <c r="E14694" s="2">
        <v>0</v>
      </c>
      <c r="F14694" s="2">
        <v>2.7221723661394401E-6</v>
      </c>
    </row>
    <row r="14695" spans="1:6" x14ac:dyDescent="0.25">
      <c r="A14695" s="1" t="str">
        <f t="shared" si="555"/>
        <v>26420</v>
      </c>
      <c r="B14695" s="1" t="str">
        <f>"77206"</f>
        <v>77206</v>
      </c>
      <c r="C14695" s="2">
        <v>1.6095825170814299E-4</v>
      </c>
      <c r="D14695" s="2">
        <v>7.0762668019613199E-4</v>
      </c>
      <c r="E14695" s="2">
        <v>3.2400732256548903E-5</v>
      </c>
      <c r="F14695" s="2">
        <v>2.08094954211548E-4</v>
      </c>
    </row>
    <row r="14696" spans="1:6" x14ac:dyDescent="0.25">
      <c r="A14696" s="1" t="str">
        <f t="shared" si="555"/>
        <v>26420</v>
      </c>
      <c r="B14696" s="1" t="str">
        <f>"77234"</f>
        <v>77234</v>
      </c>
      <c r="C14696" s="2">
        <v>3.13766718519673E-4</v>
      </c>
      <c r="D14696" s="2">
        <v>6.3419372281728803E-4</v>
      </c>
      <c r="E14696" s="2">
        <v>3.2400732256548903E-5</v>
      </c>
      <c r="F14696" s="2">
        <v>3.3754937340129001E-4</v>
      </c>
    </row>
    <row r="14697" spans="1:6" x14ac:dyDescent="0.25">
      <c r="A14697" s="1" t="str">
        <f t="shared" si="555"/>
        <v>26420</v>
      </c>
      <c r="B14697" s="1" t="str">
        <f>"77353"</f>
        <v>77353</v>
      </c>
      <c r="C14697" s="2">
        <v>3.9017095192543698E-4</v>
      </c>
      <c r="D14697" s="2">
        <v>1.0380749884009301E-3</v>
      </c>
      <c r="E14697" s="2">
        <v>3.2400732256548903E-5</v>
      </c>
      <c r="F14697" s="2">
        <v>4.4220177769954E-4</v>
      </c>
    </row>
    <row r="14698" spans="1:6" x14ac:dyDescent="0.25">
      <c r="A14698" s="1" t="str">
        <f t="shared" si="555"/>
        <v>26420</v>
      </c>
      <c r="B14698" s="1" t="str">
        <f>"77450"</f>
        <v>77450</v>
      </c>
      <c r="C14698" s="2">
        <v>8.8676451162583696E-3</v>
      </c>
      <c r="D14698" s="2">
        <v>6.4153701855517303E-3</v>
      </c>
      <c r="E14698" s="2">
        <v>4.2930970239927401E-3</v>
      </c>
      <c r="F14698" s="2">
        <v>8.5600222371235903E-3</v>
      </c>
    </row>
    <row r="14699" spans="1:6" x14ac:dyDescent="0.25">
      <c r="A14699" s="1" t="str">
        <f t="shared" si="555"/>
        <v>26420</v>
      </c>
      <c r="B14699" s="1" t="str">
        <f>"77493"</f>
        <v>77493</v>
      </c>
      <c r="C14699" s="2">
        <v>6.4366321964722901E-3</v>
      </c>
      <c r="D14699" s="2">
        <v>2.2997867106374298E-3</v>
      </c>
      <c r="E14699" s="2">
        <v>3.0456688321156E-3</v>
      </c>
      <c r="F14699" s="2">
        <v>5.9984580405863797E-3</v>
      </c>
    </row>
    <row r="14700" spans="1:6" x14ac:dyDescent="0.25">
      <c r="A14700" s="1" t="str">
        <f t="shared" si="555"/>
        <v>26420</v>
      </c>
      <c r="B14700" s="1" t="str">
        <f>"77535"</f>
        <v>77535</v>
      </c>
      <c r="C14700" s="2">
        <v>5.2881916747909803E-3</v>
      </c>
      <c r="D14700" s="2">
        <v>2.2029887213653098E-3</v>
      </c>
      <c r="E14700" s="2">
        <v>2.04124613216258E-3</v>
      </c>
      <c r="F14700" s="2">
        <v>4.9480019708527901E-3</v>
      </c>
    </row>
    <row r="14701" spans="1:6" x14ac:dyDescent="0.25">
      <c r="A14701" s="1" t="str">
        <f t="shared" si="555"/>
        <v>26420</v>
      </c>
      <c r="B14701" s="1" t="str">
        <f>"77539"</f>
        <v>77539</v>
      </c>
      <c r="C14701" s="2">
        <v>6.8994720637258799E-3</v>
      </c>
      <c r="D14701" s="2">
        <v>4.8599266337998499E-3</v>
      </c>
      <c r="E14701" s="2">
        <v>5.7025288771526197E-3</v>
      </c>
      <c r="F14701" s="2">
        <v>6.6923095303556999E-3</v>
      </c>
    </row>
    <row r="14702" spans="1:6" x14ac:dyDescent="0.25">
      <c r="A14702" s="1" t="str">
        <f t="shared" si="555"/>
        <v>26420</v>
      </c>
      <c r="B14702" s="1" t="str">
        <f>"77373"</f>
        <v>77373</v>
      </c>
      <c r="C14702" s="2">
        <v>7.6900011986975204E-3</v>
      </c>
      <c r="D14702" s="2">
        <v>4.35590951724506E-3</v>
      </c>
      <c r="E14702" s="2">
        <v>3.0132680998590498E-3</v>
      </c>
      <c r="F14702" s="2">
        <v>7.30056382238974E-3</v>
      </c>
    </row>
    <row r="14703" spans="1:6" x14ac:dyDescent="0.25">
      <c r="A14703" s="1" t="str">
        <f t="shared" si="555"/>
        <v>26420</v>
      </c>
      <c r="B14703" s="1" t="str">
        <f>"77375"</f>
        <v>77375</v>
      </c>
      <c r="C14703" s="2">
        <v>8.31108272269372E-3</v>
      </c>
      <c r="D14703" s="2">
        <v>6.8392786213295996E-3</v>
      </c>
      <c r="E14703" s="2">
        <v>7.3387658561083402E-3</v>
      </c>
      <c r="F14703" s="2">
        <v>8.1595604357048504E-3</v>
      </c>
    </row>
    <row r="14704" spans="1:6" x14ac:dyDescent="0.25">
      <c r="A14704" s="1" t="str">
        <f t="shared" si="555"/>
        <v>26420</v>
      </c>
      <c r="B14704" s="1" t="str">
        <f>"77380"</f>
        <v>77380</v>
      </c>
      <c r="C14704" s="2">
        <v>4.8409722285892402E-3</v>
      </c>
      <c r="D14704" s="2">
        <v>1.0667805990126599E-2</v>
      </c>
      <c r="E14704" s="2">
        <v>6.7069515771056402E-3</v>
      </c>
      <c r="F14704" s="2">
        <v>5.4038146103830304E-3</v>
      </c>
    </row>
    <row r="14705" spans="1:6" x14ac:dyDescent="0.25">
      <c r="A14705" s="1" t="str">
        <f t="shared" si="555"/>
        <v>26420</v>
      </c>
      <c r="B14705" s="1" t="str">
        <f>"77385"</f>
        <v>77385</v>
      </c>
      <c r="C14705" s="2">
        <v>3.5889615238467701E-3</v>
      </c>
      <c r="D14705" s="2">
        <v>3.3445374224364299E-3</v>
      </c>
      <c r="E14705" s="2">
        <v>1.5228344160578E-3</v>
      </c>
      <c r="F14705" s="2">
        <v>3.5282378501129501E-3</v>
      </c>
    </row>
    <row r="14706" spans="1:6" x14ac:dyDescent="0.25">
      <c r="A14706" s="1" t="str">
        <f t="shared" si="555"/>
        <v>26420</v>
      </c>
      <c r="B14706" s="1" t="str">
        <f>"77389"</f>
        <v>77389</v>
      </c>
      <c r="C14706" s="2">
        <v>5.2331806267388297E-3</v>
      </c>
      <c r="D14706" s="2">
        <v>1.9893655726268599E-3</v>
      </c>
      <c r="E14706" s="2">
        <v>4.3254977562492899E-3</v>
      </c>
      <c r="F14706" s="2">
        <v>4.9222925651725797E-3</v>
      </c>
    </row>
    <row r="14707" spans="1:6" x14ac:dyDescent="0.25">
      <c r="A14707" s="1" t="str">
        <f t="shared" si="555"/>
        <v>26420</v>
      </c>
      <c r="B14707" s="1" t="str">
        <f>"77372"</f>
        <v>77372</v>
      </c>
      <c r="C14707" s="2">
        <v>2.0371066497830198E-3</v>
      </c>
      <c r="D14707" s="2">
        <v>5.2404428674902197E-4</v>
      </c>
      <c r="E14707" s="2">
        <v>5.1841171610478298E-4</v>
      </c>
      <c r="F14707" s="2">
        <v>1.8716447335189799E-3</v>
      </c>
    </row>
    <row r="14708" spans="1:6" x14ac:dyDescent="0.25">
      <c r="A14708" s="1" t="str">
        <f t="shared" si="555"/>
        <v>26420</v>
      </c>
      <c r="B14708" s="1" t="str">
        <f>"77384"</f>
        <v>77384</v>
      </c>
      <c r="C14708" s="2">
        <v>4.1703128464719696E-3</v>
      </c>
      <c r="D14708" s="2">
        <v>2.50339627427877E-3</v>
      </c>
      <c r="E14708" s="2">
        <v>1.70103844346882E-3</v>
      </c>
      <c r="F14708" s="2">
        <v>3.9731618001786302E-3</v>
      </c>
    </row>
    <row r="14709" spans="1:6" x14ac:dyDescent="0.25">
      <c r="A14709" s="1" t="str">
        <f t="shared" si="555"/>
        <v>26420</v>
      </c>
      <c r="B14709" s="1" t="str">
        <f>"77038"</f>
        <v>77038</v>
      </c>
      <c r="C14709" s="2">
        <v>3.1505710112830301E-3</v>
      </c>
      <c r="D14709" s="2">
        <v>1.9159326152480101E-3</v>
      </c>
      <c r="E14709" s="2">
        <v>2.0574464982908601E-3</v>
      </c>
      <c r="F14709" s="2">
        <v>3.0182842268561601E-3</v>
      </c>
    </row>
    <row r="14710" spans="1:6" x14ac:dyDescent="0.25">
      <c r="A14710" s="1" t="str">
        <f t="shared" si="555"/>
        <v>26420</v>
      </c>
      <c r="B14710" s="1" t="str">
        <f>"77047"</f>
        <v>77047</v>
      </c>
      <c r="C14710" s="2">
        <v>3.9088405810389099E-3</v>
      </c>
      <c r="D14710" s="2">
        <v>1.8792161365585899E-3</v>
      </c>
      <c r="E14710" s="2">
        <v>1.1826267273640301E-3</v>
      </c>
      <c r="F14710" s="2">
        <v>3.6740253034995298E-3</v>
      </c>
    </row>
    <row r="14711" spans="1:6" x14ac:dyDescent="0.25">
      <c r="A14711" s="1" t="str">
        <f t="shared" si="555"/>
        <v>26420</v>
      </c>
      <c r="B14711" s="1" t="str">
        <f>"77045"</f>
        <v>77045</v>
      </c>
      <c r="C14711" s="2">
        <v>3.59745088311408E-3</v>
      </c>
      <c r="D14711" s="2">
        <v>3.4747140286989298E-3</v>
      </c>
      <c r="E14711" s="2">
        <v>2.5272571160108201E-3</v>
      </c>
      <c r="F14711" s="2">
        <v>3.5663482632388999E-3</v>
      </c>
    </row>
    <row r="14712" spans="1:6" x14ac:dyDescent="0.25">
      <c r="A14712" s="1" t="str">
        <f t="shared" si="555"/>
        <v>26420</v>
      </c>
      <c r="B14712" s="1" t="str">
        <f>"77002"</f>
        <v>77002</v>
      </c>
      <c r="C14712" s="2">
        <v>3.2575369380511E-3</v>
      </c>
      <c r="D14712" s="2">
        <v>2.4366390402980002E-2</v>
      </c>
      <c r="E14712" s="2">
        <v>7.5331702496476399E-3</v>
      </c>
      <c r="F14712" s="2">
        <v>5.25016310349427E-3</v>
      </c>
    </row>
    <row r="14713" spans="1:6" x14ac:dyDescent="0.25">
      <c r="A14713" s="1" t="str">
        <f t="shared" si="555"/>
        <v>26420</v>
      </c>
      <c r="B14713" s="1" t="str">
        <f>"77007"</f>
        <v>77007</v>
      </c>
      <c r="C14713" s="2">
        <v>9.1814118347780492E-3</v>
      </c>
      <c r="D14713" s="2">
        <v>8.1477204073526401E-3</v>
      </c>
      <c r="E14713" s="2">
        <v>2.7751227177734199E-2</v>
      </c>
      <c r="F14713" s="2">
        <v>9.4344444938468299E-3</v>
      </c>
    </row>
    <row r="14714" spans="1:6" x14ac:dyDescent="0.25">
      <c r="A14714" s="1" t="str">
        <f t="shared" si="555"/>
        <v>26420</v>
      </c>
      <c r="B14714" s="1" t="str">
        <f>"77015"</f>
        <v>77015</v>
      </c>
      <c r="C14714" s="2">
        <v>6.5133760042487502E-3</v>
      </c>
      <c r="D14714" s="2">
        <v>6.3920051536584602E-3</v>
      </c>
      <c r="E14714" s="2">
        <v>1.12430540930225E-2</v>
      </c>
      <c r="F14714" s="2">
        <v>6.5906817620198198E-3</v>
      </c>
    </row>
    <row r="14715" spans="1:6" x14ac:dyDescent="0.25">
      <c r="A14715" s="1" t="str">
        <f t="shared" si="555"/>
        <v>26420</v>
      </c>
      <c r="B14715" s="1" t="str">
        <f>"77016"</f>
        <v>77016</v>
      </c>
      <c r="C14715" s="2">
        <v>3.8782788876766E-3</v>
      </c>
      <c r="D14715" s="2">
        <v>2.3431789127249299E-3</v>
      </c>
      <c r="E14715" s="2">
        <v>3.7746853078879498E-3</v>
      </c>
      <c r="F14715" s="2">
        <v>3.7372401951132101E-3</v>
      </c>
    </row>
    <row r="14716" spans="1:6" x14ac:dyDescent="0.25">
      <c r="A14716" s="1" t="str">
        <f t="shared" si="555"/>
        <v>26420</v>
      </c>
      <c r="B14716" s="1" t="str">
        <f>"77018"</f>
        <v>77018</v>
      </c>
      <c r="C14716" s="2">
        <v>4.3978276748358001E-3</v>
      </c>
      <c r="D14716" s="2">
        <v>5.7277706755498202E-3</v>
      </c>
      <c r="E14716" s="2">
        <v>6.4639460851815198E-3</v>
      </c>
      <c r="F14716" s="2">
        <v>4.5569165409174196E-3</v>
      </c>
    </row>
    <row r="14717" spans="1:6" x14ac:dyDescent="0.25">
      <c r="A14717" s="1" t="str">
        <f t="shared" si="555"/>
        <v>26420</v>
      </c>
      <c r="B14717" s="1" t="str">
        <f>"77665"</f>
        <v>77665</v>
      </c>
      <c r="C14717" s="2">
        <v>6.15308759694423E-4</v>
      </c>
      <c r="D14717" s="2">
        <v>5.0401711655479202E-4</v>
      </c>
      <c r="E14717" s="2">
        <v>3.5640805482203798E-4</v>
      </c>
      <c r="F14717" s="2">
        <v>6.0039023853186496E-4</v>
      </c>
    </row>
    <row r="14718" spans="1:6" x14ac:dyDescent="0.25">
      <c r="A14718" s="1" t="str">
        <f t="shared" si="555"/>
        <v>26420</v>
      </c>
      <c r="B14718" s="1" t="str">
        <f>"77833"</f>
        <v>77833</v>
      </c>
      <c r="C14718" s="2">
        <v>1.10361670474993E-4</v>
      </c>
      <c r="D14718" s="2">
        <v>2.33650318932685E-5</v>
      </c>
      <c r="E14718" s="2">
        <v>0</v>
      </c>
      <c r="F14718" s="2">
        <v>1.00417913950921E-4</v>
      </c>
    </row>
    <row r="14719" spans="1:6" x14ac:dyDescent="0.25">
      <c r="A14719" s="1" t="str">
        <f t="shared" si="555"/>
        <v>26420</v>
      </c>
      <c r="B14719" s="1" t="str">
        <f>"78944"</f>
        <v>78944</v>
      </c>
      <c r="C14719" s="2">
        <v>7.1650192216072506E-5</v>
      </c>
      <c r="D14719" s="2">
        <v>2.33650318932685E-5</v>
      </c>
      <c r="E14719" s="2">
        <v>0</v>
      </c>
      <c r="F14719" s="2">
        <v>6.5937063979821999E-5</v>
      </c>
    </row>
    <row r="14720" spans="1:6" x14ac:dyDescent="0.25">
      <c r="A14720" s="1" t="str">
        <f t="shared" si="555"/>
        <v>26420</v>
      </c>
      <c r="B14720" s="1" t="str">
        <f>"77473"</f>
        <v>77473</v>
      </c>
      <c r="C14720" s="2">
        <v>0</v>
      </c>
      <c r="D14720" s="2">
        <v>6.6757233980767199E-6</v>
      </c>
      <c r="E14720" s="2">
        <v>0</v>
      </c>
      <c r="F14720" s="2">
        <v>6.04927192475431E-7</v>
      </c>
    </row>
    <row r="14721" spans="1:6" x14ac:dyDescent="0.25">
      <c r="A14721" s="1" t="str">
        <f t="shared" ref="A14721:A14784" si="556">"26420"</f>
        <v>26420</v>
      </c>
      <c r="B14721" s="1" t="str">
        <f>"77582"</f>
        <v>77582</v>
      </c>
      <c r="C14721" s="2">
        <v>0</v>
      </c>
      <c r="D14721" s="2">
        <v>3.3378616990383599E-6</v>
      </c>
      <c r="E14721" s="2">
        <v>0</v>
      </c>
      <c r="F14721" s="2">
        <v>3.0246359623771502E-7</v>
      </c>
    </row>
    <row r="14722" spans="1:6" x14ac:dyDescent="0.25">
      <c r="A14722" s="1" t="str">
        <f t="shared" si="556"/>
        <v>26420</v>
      </c>
      <c r="B14722" s="1" t="str">
        <f>"77266"</f>
        <v>77266</v>
      </c>
      <c r="C14722" s="2">
        <v>2.6317013728652201E-4</v>
      </c>
      <c r="D14722" s="2">
        <v>1.27172530733361E-3</v>
      </c>
      <c r="E14722" s="2">
        <v>3.2400732256548903E-5</v>
      </c>
      <c r="F14722" s="2">
        <v>3.5025284444327399E-4</v>
      </c>
    </row>
    <row r="14723" spans="1:6" x14ac:dyDescent="0.25">
      <c r="A14723" s="1" t="str">
        <f t="shared" si="556"/>
        <v>26420</v>
      </c>
      <c r="B14723" s="1" t="str">
        <f>"77492"</f>
        <v>77492</v>
      </c>
      <c r="C14723" s="2">
        <v>2.32608443924216E-4</v>
      </c>
      <c r="D14723" s="2">
        <v>1.3885504667999499E-3</v>
      </c>
      <c r="E14723" s="2">
        <v>3.2400732256548903E-5</v>
      </c>
      <c r="F14723" s="2">
        <v>3.336173466502E-4</v>
      </c>
    </row>
    <row r="14724" spans="1:6" x14ac:dyDescent="0.25">
      <c r="A14724" s="1" t="str">
        <f t="shared" si="556"/>
        <v>26420</v>
      </c>
      <c r="B14724" s="1" t="str">
        <f>"77508"</f>
        <v>77508</v>
      </c>
      <c r="C14724" s="2">
        <v>4.1903477343428199E-4</v>
      </c>
      <c r="D14724" s="2">
        <v>1.15490014786727E-3</v>
      </c>
      <c r="E14724" s="2">
        <v>1.62003661282744E-5</v>
      </c>
      <c r="F14724" s="2">
        <v>4.7819494565182798E-4</v>
      </c>
    </row>
    <row r="14725" spans="1:6" x14ac:dyDescent="0.25">
      <c r="A14725" s="1" t="str">
        <f t="shared" si="556"/>
        <v>26420</v>
      </c>
      <c r="B14725" s="1" t="str">
        <f>"77251"</f>
        <v>77251</v>
      </c>
      <c r="C14725" s="2">
        <v>1.40583789466606E-4</v>
      </c>
      <c r="D14725" s="2">
        <v>1.3284689562172601E-3</v>
      </c>
      <c r="E14725" s="2">
        <v>4.8601098384823398E-5</v>
      </c>
      <c r="F14725" s="2">
        <v>2.4650783093373803E-4</v>
      </c>
    </row>
    <row r="14726" spans="1:6" x14ac:dyDescent="0.25">
      <c r="A14726" s="1" t="str">
        <f t="shared" si="556"/>
        <v>26420</v>
      </c>
      <c r="B14726" s="1" t="str">
        <f>"77277"</f>
        <v>77277</v>
      </c>
      <c r="C14726" s="2">
        <v>5.5452494734050404E-4</v>
      </c>
      <c r="D14726" s="2">
        <v>1.4920241794701399E-3</v>
      </c>
      <c r="E14726" s="2">
        <v>3.2400732256548903E-5</v>
      </c>
      <c r="F14726" s="2">
        <v>6.2972920736692397E-4</v>
      </c>
    </row>
    <row r="14727" spans="1:6" x14ac:dyDescent="0.25">
      <c r="A14727" s="1" t="str">
        <f t="shared" si="556"/>
        <v>26420</v>
      </c>
      <c r="B14727" s="1" t="str">
        <f>"77268"</f>
        <v>77268</v>
      </c>
      <c r="C14727" s="2">
        <v>4.0918711668420498E-4</v>
      </c>
      <c r="D14727" s="2">
        <v>1.63889009422783E-3</v>
      </c>
      <c r="E14727" s="2">
        <v>3.2400732256548903E-5</v>
      </c>
      <c r="F14727" s="2">
        <v>5.1358318641164097E-4</v>
      </c>
    </row>
    <row r="14728" spans="1:6" x14ac:dyDescent="0.25">
      <c r="A14728" s="1" t="str">
        <f t="shared" si="556"/>
        <v>26420</v>
      </c>
      <c r="B14728" s="1" t="str">
        <f>"77231"</f>
        <v>77231</v>
      </c>
      <c r="C14728" s="2">
        <v>4.7166880089158603E-4</v>
      </c>
      <c r="D14728" s="2">
        <v>9.0122265874035699E-4</v>
      </c>
      <c r="E14728" s="2">
        <v>3.2400732256548903E-5</v>
      </c>
      <c r="F14728" s="2">
        <v>5.0239203335084503E-4</v>
      </c>
    </row>
    <row r="14729" spans="1:6" x14ac:dyDescent="0.25">
      <c r="A14729" s="1" t="str">
        <f t="shared" si="556"/>
        <v>26420</v>
      </c>
      <c r="B14729" s="1" t="str">
        <f>"77566"</f>
        <v>77566</v>
      </c>
      <c r="C14729" s="2">
        <v>5.1384393773156803E-3</v>
      </c>
      <c r="D14729" s="2">
        <v>4.3158551768566001E-3</v>
      </c>
      <c r="E14729" s="2">
        <v>2.9970677337307801E-3</v>
      </c>
      <c r="F14729" s="2">
        <v>5.0239203335084503E-3</v>
      </c>
    </row>
    <row r="14730" spans="1:6" x14ac:dyDescent="0.25">
      <c r="A14730" s="1" t="str">
        <f t="shared" si="556"/>
        <v>26420</v>
      </c>
      <c r="B14730" s="1" t="str">
        <f>"77081"</f>
        <v>77081</v>
      </c>
      <c r="C14730" s="2">
        <v>7.5500965579723004E-3</v>
      </c>
      <c r="D14730" s="2">
        <v>9.1123624383747208E-3</v>
      </c>
      <c r="E14730" s="2">
        <v>1.0271032125326001E-2</v>
      </c>
      <c r="F14730" s="2">
        <v>7.7424631364930397E-3</v>
      </c>
    </row>
    <row r="14731" spans="1:6" x14ac:dyDescent="0.25">
      <c r="A14731" s="1" t="str">
        <f t="shared" si="556"/>
        <v>26420</v>
      </c>
      <c r="B14731" s="1" t="str">
        <f>"77082"</f>
        <v>77082</v>
      </c>
      <c r="C14731" s="2">
        <v>8.2985184709780998E-3</v>
      </c>
      <c r="D14731" s="2">
        <v>5.4740931864229103E-3</v>
      </c>
      <c r="E14731" s="2">
        <v>9.0722050318337091E-3</v>
      </c>
      <c r="F14731" s="2">
        <v>8.0570252765802697E-3</v>
      </c>
    </row>
    <row r="14732" spans="1:6" x14ac:dyDescent="0.25">
      <c r="A14732" s="1" t="str">
        <f t="shared" si="556"/>
        <v>26420</v>
      </c>
      <c r="B14732" s="1" t="str">
        <f>"77083"</f>
        <v>77083</v>
      </c>
      <c r="C14732" s="2">
        <v>7.6686080133439097E-3</v>
      </c>
      <c r="D14732" s="2">
        <v>3.8619059857873798E-3</v>
      </c>
      <c r="E14732" s="2">
        <v>2.80266334019148E-3</v>
      </c>
      <c r="F14732" s="2">
        <v>7.2328119768324903E-3</v>
      </c>
    </row>
    <row r="14733" spans="1:6" x14ac:dyDescent="0.25">
      <c r="A14733" s="1" t="str">
        <f t="shared" si="556"/>
        <v>26420</v>
      </c>
      <c r="B14733" s="1" t="str">
        <f>"77084"</f>
        <v>77084</v>
      </c>
      <c r="C14733" s="2">
        <v>1.31700523929296E-2</v>
      </c>
      <c r="D14733" s="2">
        <v>9.6631096187160502E-3</v>
      </c>
      <c r="E14733" s="2">
        <v>9.1370064963468105E-3</v>
      </c>
      <c r="F14733" s="2">
        <v>1.27769696958698E-2</v>
      </c>
    </row>
    <row r="14734" spans="1:6" x14ac:dyDescent="0.25">
      <c r="A14734" s="1" t="str">
        <f t="shared" si="556"/>
        <v>26420</v>
      </c>
      <c r="B14734" s="1" t="str">
        <f>"77088"</f>
        <v>77088</v>
      </c>
      <c r="C14734" s="2">
        <v>6.2203233223413097E-3</v>
      </c>
      <c r="D14734" s="2">
        <v>2.4700176572883801E-3</v>
      </c>
      <c r="E14734" s="2">
        <v>4.8439094723540703E-3</v>
      </c>
      <c r="F14734" s="2">
        <v>5.8547878323734603E-3</v>
      </c>
    </row>
    <row r="14735" spans="1:6" x14ac:dyDescent="0.25">
      <c r="A14735" s="1" t="str">
        <f t="shared" si="556"/>
        <v>26420</v>
      </c>
      <c r="B14735" s="1" t="str">
        <f>"77098"</f>
        <v>77098</v>
      </c>
      <c r="C14735" s="2">
        <v>3.7179997847098401E-3</v>
      </c>
      <c r="D14735" s="2">
        <v>8.3079377689064798E-3</v>
      </c>
      <c r="E14735" s="2">
        <v>1.5519950750886901E-2</v>
      </c>
      <c r="F14735" s="2">
        <v>4.3542659314381501E-3</v>
      </c>
    </row>
    <row r="14736" spans="1:6" x14ac:dyDescent="0.25">
      <c r="A14736" s="1" t="str">
        <f t="shared" si="556"/>
        <v>26420</v>
      </c>
      <c r="B14736" s="1" t="str">
        <f>"77565"</f>
        <v>77565</v>
      </c>
      <c r="C14736" s="2">
        <v>1.6958344072372799E-3</v>
      </c>
      <c r="D14736" s="2">
        <v>3.1542793055912501E-3</v>
      </c>
      <c r="E14736" s="2">
        <v>1.8630421047515599E-3</v>
      </c>
      <c r="F14736" s="2">
        <v>1.83111461162313E-3</v>
      </c>
    </row>
    <row r="14737" spans="1:6" x14ac:dyDescent="0.25">
      <c r="A14737" s="1" t="str">
        <f t="shared" si="556"/>
        <v>26420</v>
      </c>
      <c r="B14737" s="1" t="str">
        <f>"77445"</f>
        <v>77445</v>
      </c>
      <c r="C14737" s="2">
        <v>1.9763228374291E-3</v>
      </c>
      <c r="D14737" s="2">
        <v>1.3885504667999499E-3</v>
      </c>
      <c r="E14737" s="2">
        <v>1.49043368380125E-3</v>
      </c>
      <c r="F14737" s="2">
        <v>1.91398963699226E-3</v>
      </c>
    </row>
    <row r="14738" spans="1:6" x14ac:dyDescent="0.25">
      <c r="A14738" s="1" t="str">
        <f t="shared" si="556"/>
        <v>26420</v>
      </c>
      <c r="B14738" s="1" t="str">
        <f>"77494"</f>
        <v>77494</v>
      </c>
      <c r="C14738" s="2">
        <v>1.4732773646855501E-2</v>
      </c>
      <c r="D14738" s="2">
        <v>8.4881823006545502E-3</v>
      </c>
      <c r="E14738" s="2">
        <v>5.8807329045636398E-3</v>
      </c>
      <c r="F14738" s="2">
        <v>1.40016447970363E-2</v>
      </c>
    </row>
    <row r="14739" spans="1:6" x14ac:dyDescent="0.25">
      <c r="A14739" s="1" t="str">
        <f t="shared" si="556"/>
        <v>26420</v>
      </c>
      <c r="B14739" s="1" t="str">
        <f>"77486"</f>
        <v>77486</v>
      </c>
      <c r="C14739" s="2">
        <v>1.22314688323361E-3</v>
      </c>
      <c r="D14739" s="2">
        <v>8.7451976514804999E-4</v>
      </c>
      <c r="E14739" s="2">
        <v>5.9941354674615597E-4</v>
      </c>
      <c r="F14739" s="2">
        <v>1.17991048892332E-3</v>
      </c>
    </row>
    <row r="14740" spans="1:6" x14ac:dyDescent="0.25">
      <c r="A14740" s="1" t="str">
        <f t="shared" si="556"/>
        <v>26420</v>
      </c>
      <c r="B14740" s="1" t="str">
        <f>"77521"</f>
        <v>77521</v>
      </c>
      <c r="C14740" s="2">
        <v>8.4744179949967097E-3</v>
      </c>
      <c r="D14740" s="2">
        <v>5.2270914206940704E-3</v>
      </c>
      <c r="E14740" s="2">
        <v>5.9131336368201896E-3</v>
      </c>
      <c r="F14740" s="2">
        <v>8.13233871204346E-3</v>
      </c>
    </row>
    <row r="14741" spans="1:6" x14ac:dyDescent="0.25">
      <c r="A14741" s="1" t="str">
        <f t="shared" si="556"/>
        <v>26420</v>
      </c>
      <c r="B14741" s="1" t="str">
        <f>"77512"</f>
        <v>77512</v>
      </c>
      <c r="C14741" s="2">
        <v>8.0580998165279605E-4</v>
      </c>
      <c r="D14741" s="2">
        <v>1.34849612641149E-3</v>
      </c>
      <c r="E14741" s="2">
        <v>3.2400732256548903E-5</v>
      </c>
      <c r="F14741" s="2">
        <v>8.4054633394461205E-4</v>
      </c>
    </row>
    <row r="14742" spans="1:6" x14ac:dyDescent="0.25">
      <c r="A14742" s="1" t="str">
        <f t="shared" si="556"/>
        <v>26420</v>
      </c>
      <c r="B14742" s="1" t="str">
        <f>"77368"</f>
        <v>77368</v>
      </c>
      <c r="C14742" s="2">
        <v>0</v>
      </c>
      <c r="D14742" s="2">
        <v>3.3378616990383599E-6</v>
      </c>
      <c r="E14742" s="2">
        <v>0</v>
      </c>
      <c r="F14742" s="2">
        <v>3.0246359623771502E-7</v>
      </c>
    </row>
    <row r="14743" spans="1:6" x14ac:dyDescent="0.25">
      <c r="A14743" s="1" t="str">
        <f t="shared" si="556"/>
        <v>26420</v>
      </c>
      <c r="B14743" s="1" t="str">
        <f>"77369"</f>
        <v>77369</v>
      </c>
      <c r="C14743" s="2">
        <v>0</v>
      </c>
      <c r="D14743" s="2">
        <v>3.3378616990383599E-6</v>
      </c>
      <c r="E14743" s="2">
        <v>0</v>
      </c>
      <c r="F14743" s="2">
        <v>3.0246359623771502E-7</v>
      </c>
    </row>
    <row r="14744" spans="1:6" x14ac:dyDescent="0.25">
      <c r="A14744" s="1" t="str">
        <f t="shared" si="556"/>
        <v>26420</v>
      </c>
      <c r="B14744" s="1" t="str">
        <f>"77555"</f>
        <v>77555</v>
      </c>
      <c r="C14744" s="2">
        <v>0</v>
      </c>
      <c r="D14744" s="2">
        <v>3.3378616990383599E-6</v>
      </c>
      <c r="E14744" s="2">
        <v>0</v>
      </c>
      <c r="F14744" s="2">
        <v>3.0246359623771502E-7</v>
      </c>
    </row>
    <row r="14745" spans="1:6" x14ac:dyDescent="0.25">
      <c r="A14745" s="1" t="str">
        <f t="shared" si="556"/>
        <v>26420</v>
      </c>
      <c r="B14745" s="1" t="str">
        <f>"77315"</f>
        <v>77315</v>
      </c>
      <c r="C14745" s="2">
        <v>0</v>
      </c>
      <c r="D14745" s="2">
        <v>0</v>
      </c>
      <c r="E14745" s="2">
        <v>9.2342086931164599E-4</v>
      </c>
      <c r="F14745" s="2">
        <v>1.7240424985549801E-5</v>
      </c>
    </row>
    <row r="14746" spans="1:6" x14ac:dyDescent="0.25">
      <c r="A14746" s="1" t="str">
        <f t="shared" si="556"/>
        <v>26420</v>
      </c>
      <c r="B14746" s="1" t="str">
        <f>"77262"</f>
        <v>77262</v>
      </c>
      <c r="C14746" s="2">
        <v>1.57222933630528E-4</v>
      </c>
      <c r="D14746" s="2">
        <v>1.70230946650956E-4</v>
      </c>
      <c r="E14746" s="2">
        <v>3.2400732256548903E-5</v>
      </c>
      <c r="F14746" s="2">
        <v>1.5607121565866099E-4</v>
      </c>
    </row>
    <row r="14747" spans="1:6" x14ac:dyDescent="0.25">
      <c r="A14747" s="1" t="str">
        <f t="shared" si="556"/>
        <v>26420</v>
      </c>
      <c r="B14747" s="1" t="str">
        <f>"77256"</f>
        <v>77256</v>
      </c>
      <c r="C14747" s="2">
        <v>1.1375741418191599E-4</v>
      </c>
      <c r="D14747" s="2">
        <v>4.0054340388460301E-4</v>
      </c>
      <c r="E14747" s="2">
        <v>1.62003661282744E-5</v>
      </c>
      <c r="F14747" s="2">
        <v>1.37923399884398E-4</v>
      </c>
    </row>
    <row r="14748" spans="1:6" x14ac:dyDescent="0.25">
      <c r="A14748" s="1" t="str">
        <f t="shared" si="556"/>
        <v>26420</v>
      </c>
      <c r="B14748" s="1" t="str">
        <f>"77242"</f>
        <v>77242</v>
      </c>
      <c r="C14748" s="2">
        <v>6.0919642102196198E-4</v>
      </c>
      <c r="D14748" s="2">
        <v>1.5821464453441799E-3</v>
      </c>
      <c r="E14748" s="2">
        <v>1.62003661282744E-5</v>
      </c>
      <c r="F14748" s="2">
        <v>6.8628989986337704E-4</v>
      </c>
    </row>
    <row r="14749" spans="1:6" x14ac:dyDescent="0.25">
      <c r="A14749" s="1" t="str">
        <f t="shared" si="556"/>
        <v>26420</v>
      </c>
      <c r="B14749" s="1" t="str">
        <f>"77497"</f>
        <v>77497</v>
      </c>
      <c r="C14749" s="2">
        <v>5.6878707090958003E-4</v>
      </c>
      <c r="D14749" s="2">
        <v>1.7056473282086001E-3</v>
      </c>
      <c r="E14749" s="2">
        <v>3.2400732256548903E-5</v>
      </c>
      <c r="F14749" s="2">
        <v>6.6179034856812195E-4</v>
      </c>
    </row>
    <row r="14750" spans="1:6" x14ac:dyDescent="0.25">
      <c r="A14750" s="1" t="str">
        <f t="shared" si="556"/>
        <v>26420</v>
      </c>
      <c r="B14750" s="1" t="str">
        <f>"77270"</f>
        <v>77270</v>
      </c>
      <c r="C14750" s="2">
        <v>3.2531224712320999E-4</v>
      </c>
      <c r="D14750" s="2">
        <v>1.2984282009259199E-3</v>
      </c>
      <c r="E14750" s="2">
        <v>6.48014645130979E-5</v>
      </c>
      <c r="F14750" s="2">
        <v>4.0862831851715402E-4</v>
      </c>
    </row>
    <row r="14751" spans="1:6" x14ac:dyDescent="0.25">
      <c r="A14751" s="1" t="str">
        <f t="shared" si="556"/>
        <v>26420</v>
      </c>
      <c r="B14751" s="1" t="str">
        <f>"77225"</f>
        <v>77225</v>
      </c>
      <c r="C14751" s="2">
        <v>1.40583789466606E-4</v>
      </c>
      <c r="D14751" s="2">
        <v>4.8732780805959999E-4</v>
      </c>
      <c r="E14751" s="2">
        <v>1.62003661282744E-5</v>
      </c>
      <c r="F14751" s="2">
        <v>1.6968207748935799E-4</v>
      </c>
    </row>
    <row r="14752" spans="1:6" x14ac:dyDescent="0.25">
      <c r="A14752" s="1" t="str">
        <f t="shared" si="556"/>
        <v>26420</v>
      </c>
      <c r="B14752" s="1" t="str">
        <f>"77244"</f>
        <v>77244</v>
      </c>
      <c r="C14752" s="2">
        <v>2.9644842561436601E-4</v>
      </c>
      <c r="D14752" s="2">
        <v>7.5101888228363103E-4</v>
      </c>
      <c r="E14752" s="2">
        <v>3.2400732256548903E-5</v>
      </c>
      <c r="F14752" s="2">
        <v>3.3270995586148701E-4</v>
      </c>
    </row>
    <row r="14753" spans="1:6" x14ac:dyDescent="0.25">
      <c r="A14753" s="1" t="str">
        <f t="shared" si="556"/>
        <v>26420</v>
      </c>
      <c r="B14753" s="1" t="str">
        <f>"77269"</f>
        <v>77269</v>
      </c>
      <c r="C14753" s="2">
        <v>3.2972671394221001E-4</v>
      </c>
      <c r="D14753" s="2">
        <v>2.0227441896172398E-3</v>
      </c>
      <c r="E14753" s="2">
        <v>3.2400732256548903E-5</v>
      </c>
      <c r="F14753" s="2">
        <v>4.7759001845935298E-4</v>
      </c>
    </row>
    <row r="14754" spans="1:6" x14ac:dyDescent="0.25">
      <c r="A14754" s="1" t="str">
        <f t="shared" si="556"/>
        <v>26420</v>
      </c>
      <c r="B14754" s="1" t="str">
        <f>"77288"</f>
        <v>77288</v>
      </c>
      <c r="C14754" s="2">
        <v>1.41262938207991E-4</v>
      </c>
      <c r="D14754" s="2">
        <v>8.8119548854612704E-4</v>
      </c>
      <c r="E14754" s="2">
        <v>3.2400732256548903E-5</v>
      </c>
      <c r="F14754" s="2">
        <v>2.0628017263412199E-4</v>
      </c>
    </row>
    <row r="14755" spans="1:6" x14ac:dyDescent="0.25">
      <c r="A14755" s="1" t="str">
        <f t="shared" si="556"/>
        <v>26420</v>
      </c>
      <c r="B14755" s="1" t="str">
        <f>"77597"</f>
        <v>77597</v>
      </c>
      <c r="C14755" s="2">
        <v>8.3874869560994801E-5</v>
      </c>
      <c r="D14755" s="2">
        <v>6.3419372281728798E-5</v>
      </c>
      <c r="E14755" s="2">
        <v>3.2400732256548903E-5</v>
      </c>
      <c r="F14755" s="2">
        <v>8.1060243791707795E-5</v>
      </c>
    </row>
    <row r="14756" spans="1:6" x14ac:dyDescent="0.25">
      <c r="A14756" s="1" t="str">
        <f t="shared" si="556"/>
        <v>26420</v>
      </c>
      <c r="B14756" s="1" t="str">
        <f>"78931"</f>
        <v>78931</v>
      </c>
      <c r="C14756" s="2">
        <v>2.88638215088443E-5</v>
      </c>
      <c r="D14756" s="2">
        <v>6.6757233980767199E-6</v>
      </c>
      <c r="E14756" s="2">
        <v>0</v>
      </c>
      <c r="F14756" s="2">
        <v>2.63143328726812E-5</v>
      </c>
    </row>
    <row r="14757" spans="1:6" x14ac:dyDescent="0.25">
      <c r="A14757" s="1" t="str">
        <f t="shared" si="556"/>
        <v>26420</v>
      </c>
      <c r="B14757" s="1" t="str">
        <f>"77338"</f>
        <v>77338</v>
      </c>
      <c r="C14757" s="2">
        <v>5.5809047823277298E-3</v>
      </c>
      <c r="D14757" s="2">
        <v>8.6183589069170497E-3</v>
      </c>
      <c r="E14757" s="2">
        <v>1.07246423769177E-2</v>
      </c>
      <c r="F14757" s="2">
        <v>5.9521811103619999E-3</v>
      </c>
    </row>
    <row r="14758" spans="1:6" x14ac:dyDescent="0.25">
      <c r="A14758" s="1" t="str">
        <f t="shared" si="556"/>
        <v>26420</v>
      </c>
      <c r="B14758" s="1" t="str">
        <f>"77305"</f>
        <v>77305</v>
      </c>
      <c r="C14758" s="2">
        <v>6.0681940042711603E-4</v>
      </c>
      <c r="D14758" s="2">
        <v>2.7604116251047201E-3</v>
      </c>
      <c r="E14758" s="2">
        <v>3.2400732256548903E-5</v>
      </c>
      <c r="F14758" s="2">
        <v>7.9124476775786399E-4</v>
      </c>
    </row>
    <row r="14759" spans="1:6" x14ac:dyDescent="0.25">
      <c r="A14759" s="1" t="str">
        <f t="shared" si="556"/>
        <v>26420</v>
      </c>
      <c r="B14759" s="1" t="str">
        <f>"77304"</f>
        <v>77304</v>
      </c>
      <c r="C14759" s="2">
        <v>5.9048587319681699E-3</v>
      </c>
      <c r="D14759" s="2">
        <v>5.30386223977195E-3</v>
      </c>
      <c r="E14759" s="2">
        <v>4.68190581107133E-3</v>
      </c>
      <c r="F14759" s="2">
        <v>5.8275661087120699E-3</v>
      </c>
    </row>
    <row r="14760" spans="1:6" x14ac:dyDescent="0.25">
      <c r="A14760" s="1" t="str">
        <f t="shared" si="556"/>
        <v>26420</v>
      </c>
      <c r="B14760" s="1" t="str">
        <f>"77248"</f>
        <v>77248</v>
      </c>
      <c r="C14760" s="2">
        <v>1.0153273683699299E-4</v>
      </c>
      <c r="D14760" s="2">
        <v>5.4740931864229105E-4</v>
      </c>
      <c r="E14760" s="2">
        <v>3.2400732256548903E-5</v>
      </c>
      <c r="F14760" s="2">
        <v>1.40645572250537E-4</v>
      </c>
    </row>
    <row r="14761" spans="1:6" x14ac:dyDescent="0.25">
      <c r="A14761" s="1" t="str">
        <f t="shared" si="556"/>
        <v>26420</v>
      </c>
      <c r="B14761" s="1" t="str">
        <f>"77325"</f>
        <v>77325</v>
      </c>
      <c r="C14761" s="2">
        <v>3.1750203659728802E-4</v>
      </c>
      <c r="D14761" s="2">
        <v>1.9059190301509001E-3</v>
      </c>
      <c r="E14761" s="2">
        <v>3.2400732256548903E-5</v>
      </c>
      <c r="F14761" s="2">
        <v>4.5611510312647502E-4</v>
      </c>
    </row>
    <row r="14762" spans="1:6" x14ac:dyDescent="0.25">
      <c r="A14762" s="1" t="str">
        <f t="shared" si="556"/>
        <v>26420</v>
      </c>
      <c r="B14762" s="1" t="str">
        <f>"77289"</f>
        <v>77289</v>
      </c>
      <c r="C14762" s="2">
        <v>2.6758460410552203E-4</v>
      </c>
      <c r="D14762" s="2">
        <v>8.7451976514804999E-4</v>
      </c>
      <c r="E14762" s="2">
        <v>1.62003661282744E-5</v>
      </c>
      <c r="F14762" s="2">
        <v>3.17889239645839E-4</v>
      </c>
    </row>
    <row r="14763" spans="1:6" x14ac:dyDescent="0.25">
      <c r="A14763" s="1" t="str">
        <f t="shared" si="556"/>
        <v>26420</v>
      </c>
      <c r="B14763" s="1" t="str">
        <f>"77293"</f>
        <v>77293</v>
      </c>
      <c r="C14763" s="2">
        <v>3.66061171606285E-4</v>
      </c>
      <c r="D14763" s="2">
        <v>7.4768102058459299E-4</v>
      </c>
      <c r="E14763" s="2">
        <v>3.2400732256548903E-5</v>
      </c>
      <c r="F14763" s="2">
        <v>3.9441252949398101E-4</v>
      </c>
    </row>
    <row r="14764" spans="1:6" x14ac:dyDescent="0.25">
      <c r="A14764" s="1" t="str">
        <f t="shared" si="556"/>
        <v>26420</v>
      </c>
      <c r="B14764" s="1" t="str">
        <f>"77070"</f>
        <v>77070</v>
      </c>
      <c r="C14764" s="2">
        <v>7.4685987090061497E-3</v>
      </c>
      <c r="D14764" s="2">
        <v>1.12652832342544E-2</v>
      </c>
      <c r="E14764" s="2">
        <v>7.9705801351110505E-3</v>
      </c>
      <c r="F14764" s="2">
        <v>7.8220110623035601E-3</v>
      </c>
    </row>
    <row r="14765" spans="1:6" x14ac:dyDescent="0.25">
      <c r="A14765" s="1" t="str">
        <f t="shared" si="556"/>
        <v>26420</v>
      </c>
      <c r="B14765" s="1" t="str">
        <f>"77085"</f>
        <v>77085</v>
      </c>
      <c r="C14765" s="2">
        <v>1.9379509335408799E-3</v>
      </c>
      <c r="D14765" s="2">
        <v>9.9134492461439299E-4</v>
      </c>
      <c r="E14765" s="2">
        <v>1.02062306608129E-3</v>
      </c>
      <c r="F14765" s="2">
        <v>1.8350466383742199E-3</v>
      </c>
    </row>
    <row r="14766" spans="1:6" x14ac:dyDescent="0.25">
      <c r="A14766" s="1" t="str">
        <f t="shared" si="556"/>
        <v>26420</v>
      </c>
      <c r="B14766" s="1" t="str">
        <f>"77089"</f>
        <v>77089</v>
      </c>
      <c r="C14766" s="2">
        <v>6.65158277312051E-3</v>
      </c>
      <c r="D14766" s="2">
        <v>2.6736272209297199E-3</v>
      </c>
      <c r="E14766" s="2">
        <v>2.04124613216258E-3</v>
      </c>
      <c r="F14766" s="2">
        <v>6.20504067681674E-3</v>
      </c>
    </row>
    <row r="14767" spans="1:6" x14ac:dyDescent="0.25">
      <c r="A14767" s="1" t="str">
        <f t="shared" si="556"/>
        <v>26420</v>
      </c>
      <c r="B14767" s="1" t="str">
        <f>"77096"</f>
        <v>77096</v>
      </c>
      <c r="C14767" s="2">
        <v>5.4311524848524298E-3</v>
      </c>
      <c r="D14767" s="2">
        <v>2.8104795505903002E-3</v>
      </c>
      <c r="E14767" s="2">
        <v>2.80266334019148E-3</v>
      </c>
      <c r="F14767" s="2">
        <v>5.1446033084072999E-3</v>
      </c>
    </row>
    <row r="14768" spans="1:6" x14ac:dyDescent="0.25">
      <c r="A14768" s="1" t="str">
        <f t="shared" si="556"/>
        <v>26420</v>
      </c>
      <c r="B14768" s="1" t="str">
        <f>"77575"</f>
        <v>77575</v>
      </c>
      <c r="C14768" s="2">
        <v>2.16444703879263E-3</v>
      </c>
      <c r="D14768" s="2">
        <v>2.60686998694896E-3</v>
      </c>
      <c r="E14768" s="2">
        <v>2.1870494273170502E-3</v>
      </c>
      <c r="F14768" s="2">
        <v>2.2049596165729401E-3</v>
      </c>
    </row>
    <row r="14769" spans="1:6" x14ac:dyDescent="0.25">
      <c r="A14769" s="1" t="str">
        <f t="shared" si="556"/>
        <v>26420</v>
      </c>
      <c r="B14769" s="1" t="str">
        <f>"77441"</f>
        <v>77441</v>
      </c>
      <c r="C14769" s="2">
        <v>2.8215234460822101E-3</v>
      </c>
      <c r="D14769" s="2">
        <v>1.62553864743168E-3</v>
      </c>
      <c r="E14769" s="2">
        <v>5.3461208223305799E-4</v>
      </c>
      <c r="F14769" s="2">
        <v>2.67045109118279E-3</v>
      </c>
    </row>
    <row r="14770" spans="1:6" x14ac:dyDescent="0.25">
      <c r="A14770" s="1" t="str">
        <f t="shared" si="556"/>
        <v>26420</v>
      </c>
      <c r="B14770" s="1" t="str">
        <f>"77466"</f>
        <v>77466</v>
      </c>
      <c r="C14770" s="2">
        <v>0</v>
      </c>
      <c r="D14770" s="2">
        <v>3.3378616990383599E-6</v>
      </c>
      <c r="E14770" s="2">
        <v>0</v>
      </c>
      <c r="F14770" s="2">
        <v>3.0246359623771502E-7</v>
      </c>
    </row>
    <row r="14771" spans="1:6" x14ac:dyDescent="0.25">
      <c r="A14771" s="1" t="str">
        <f t="shared" si="556"/>
        <v>26420</v>
      </c>
      <c r="B14771" s="1" t="str">
        <f>"78954"</f>
        <v>78954</v>
      </c>
      <c r="C14771" s="2">
        <v>6.4519130431534502E-6</v>
      </c>
      <c r="D14771" s="2">
        <v>0</v>
      </c>
      <c r="E14771" s="2">
        <v>0</v>
      </c>
      <c r="F14771" s="2">
        <v>5.7468083285165998E-6</v>
      </c>
    </row>
    <row r="14772" spans="1:6" x14ac:dyDescent="0.25">
      <c r="A14772" s="1" t="str">
        <f t="shared" si="556"/>
        <v>26420</v>
      </c>
      <c r="B14772" s="1" t="str">
        <f>"77333"</f>
        <v>77333</v>
      </c>
      <c r="C14772" s="2">
        <v>0</v>
      </c>
      <c r="D14772" s="2">
        <v>3.3378616990383599E-6</v>
      </c>
      <c r="E14772" s="2">
        <v>0</v>
      </c>
      <c r="F14772" s="2">
        <v>3.0246359623771502E-7</v>
      </c>
    </row>
    <row r="14773" spans="1:6" x14ac:dyDescent="0.25">
      <c r="A14773" s="1" t="str">
        <f t="shared" si="556"/>
        <v>26420</v>
      </c>
      <c r="B14773" s="1" t="str">
        <f>"77431"</f>
        <v>77431</v>
      </c>
      <c r="C14773" s="2">
        <v>0</v>
      </c>
      <c r="D14773" s="2">
        <v>3.3378616990383599E-6</v>
      </c>
      <c r="E14773" s="2">
        <v>0</v>
      </c>
      <c r="F14773" s="2">
        <v>3.0246359623771502E-7</v>
      </c>
    </row>
    <row r="14774" spans="1:6" x14ac:dyDescent="0.25">
      <c r="A14774" s="1" t="str">
        <f t="shared" si="556"/>
        <v>26420</v>
      </c>
      <c r="B14774" s="1" t="str">
        <f>"77542"</f>
        <v>77542</v>
      </c>
      <c r="C14774" s="2">
        <v>4.6895220592604799E-4</v>
      </c>
      <c r="D14774" s="2">
        <v>5.4407145694325301E-4</v>
      </c>
      <c r="E14774" s="2">
        <v>3.2400732256548903E-5</v>
      </c>
      <c r="F14774" s="2">
        <v>4.6760871978350802E-4</v>
      </c>
    </row>
    <row r="14775" spans="1:6" x14ac:dyDescent="0.25">
      <c r="A14775" s="1" t="str">
        <f t="shared" si="556"/>
        <v>26420</v>
      </c>
      <c r="B14775" s="1" t="str">
        <f>"77208"</f>
        <v>77208</v>
      </c>
      <c r="C14775" s="2">
        <v>2.0781951486367899E-4</v>
      </c>
      <c r="D14775" s="2">
        <v>2.20298872136531E-4</v>
      </c>
      <c r="E14775" s="2">
        <v>3.2400732256548903E-5</v>
      </c>
      <c r="F14775" s="2">
        <v>2.0567524544164601E-4</v>
      </c>
    </row>
    <row r="14776" spans="1:6" x14ac:dyDescent="0.25">
      <c r="A14776" s="1" t="str">
        <f t="shared" si="556"/>
        <v>26420</v>
      </c>
      <c r="B14776" s="1" t="str">
        <f>"77235"</f>
        <v>77235</v>
      </c>
      <c r="C14776" s="2">
        <v>2.0204675056191001E-4</v>
      </c>
      <c r="D14776" s="2">
        <v>6.3085586111824999E-4</v>
      </c>
      <c r="E14776" s="2">
        <v>3.2400732256548903E-5</v>
      </c>
      <c r="F14776" s="2">
        <v>2.3773638664284399E-4</v>
      </c>
    </row>
    <row r="14777" spans="1:6" x14ac:dyDescent="0.25">
      <c r="A14777" s="1" t="str">
        <f t="shared" si="556"/>
        <v>26420</v>
      </c>
      <c r="B14777" s="1" t="str">
        <f>"77001"</f>
        <v>77001</v>
      </c>
      <c r="C14777" s="2">
        <v>1.42281661320068E-4</v>
      </c>
      <c r="D14777" s="2">
        <v>1.1348729776730401E-3</v>
      </c>
      <c r="E14777" s="2">
        <v>4.8601098384823398E-5</v>
      </c>
      <c r="F14777" s="2">
        <v>2.3047726033313901E-4</v>
      </c>
    </row>
    <row r="14778" spans="1:6" x14ac:dyDescent="0.25">
      <c r="A14778" s="1" t="str">
        <f t="shared" si="556"/>
        <v>26420</v>
      </c>
      <c r="B14778" s="1" t="str">
        <f>"77273"</f>
        <v>77273</v>
      </c>
      <c r="C14778" s="2">
        <v>1.1613443477676201E-4</v>
      </c>
      <c r="D14778" s="2">
        <v>5.2738214844806099E-4</v>
      </c>
      <c r="E14778" s="2">
        <v>3.2400732256548903E-5</v>
      </c>
      <c r="F14778" s="2">
        <v>1.51836725311333E-4</v>
      </c>
    </row>
    <row r="14779" spans="1:6" x14ac:dyDescent="0.25">
      <c r="A14779" s="1" t="str">
        <f t="shared" si="556"/>
        <v>26420</v>
      </c>
      <c r="B14779" s="1" t="str">
        <f>"77435"</f>
        <v>77435</v>
      </c>
      <c r="C14779" s="2">
        <v>7.1310617845380197E-5</v>
      </c>
      <c r="D14779" s="2">
        <v>2.0027170194230101E-5</v>
      </c>
      <c r="E14779" s="2">
        <v>3.2400732256548903E-5</v>
      </c>
      <c r="F14779" s="2">
        <v>6.5937063979821999E-5</v>
      </c>
    </row>
    <row r="14780" spans="1:6" x14ac:dyDescent="0.25">
      <c r="A14780" s="1" t="str">
        <f t="shared" si="556"/>
        <v>26420</v>
      </c>
      <c r="B14780" s="1" t="str">
        <f>"77393"</f>
        <v>77393</v>
      </c>
      <c r="C14780" s="2">
        <v>3.7828584895120698E-4</v>
      </c>
      <c r="D14780" s="2">
        <v>2.7771009335999098E-3</v>
      </c>
      <c r="E14780" s="2">
        <v>3.2400732256548903E-5</v>
      </c>
      <c r="F14780" s="2">
        <v>5.8919908547106999E-4</v>
      </c>
    </row>
    <row r="14781" spans="1:6" x14ac:dyDescent="0.25">
      <c r="A14781" s="1" t="str">
        <f t="shared" si="556"/>
        <v>26420</v>
      </c>
      <c r="B14781" s="1" t="str">
        <f>"77406"</f>
        <v>77406</v>
      </c>
      <c r="C14781" s="2">
        <v>7.4227561689626902E-3</v>
      </c>
      <c r="D14781" s="2">
        <v>3.98206900695276E-3</v>
      </c>
      <c r="E14781" s="2">
        <v>2.3166523563432498E-3</v>
      </c>
      <c r="F14781" s="2">
        <v>7.0156431147338104E-3</v>
      </c>
    </row>
    <row r="14782" spans="1:6" x14ac:dyDescent="0.25">
      <c r="A14782" s="1" t="str">
        <f t="shared" si="556"/>
        <v>26420</v>
      </c>
      <c r="B14782" s="1" t="str">
        <f>"77402"</f>
        <v>77402</v>
      </c>
      <c r="C14782" s="2">
        <v>6.4756832491019104E-4</v>
      </c>
      <c r="D14782" s="2">
        <v>2.3131381574335798E-3</v>
      </c>
      <c r="E14782" s="2">
        <v>3.2400732256548903E-5</v>
      </c>
      <c r="F14782" s="2">
        <v>7.8701027741053605E-4</v>
      </c>
    </row>
    <row r="14783" spans="1:6" x14ac:dyDescent="0.25">
      <c r="A14783" s="1" t="str">
        <f t="shared" si="556"/>
        <v>26420</v>
      </c>
      <c r="B14783" s="1" t="str">
        <f>"77430"</f>
        <v>77430</v>
      </c>
      <c r="C14783" s="2">
        <v>2.9101523568328901E-4</v>
      </c>
      <c r="D14783" s="2">
        <v>4.0054340388460297E-5</v>
      </c>
      <c r="E14783" s="2">
        <v>8.1001830641372395E-5</v>
      </c>
      <c r="F14783" s="2">
        <v>2.64353183111763E-4</v>
      </c>
    </row>
    <row r="14784" spans="1:6" x14ac:dyDescent="0.25">
      <c r="A14784" s="1" t="str">
        <f t="shared" si="556"/>
        <v>26420</v>
      </c>
      <c r="B14784" s="1" t="str">
        <f>"77407"</f>
        <v>77407</v>
      </c>
      <c r="C14784" s="2">
        <v>7.8604675327850499E-3</v>
      </c>
      <c r="D14784" s="2">
        <v>1.81245890257783E-3</v>
      </c>
      <c r="E14784" s="2">
        <v>1.4742333176729701E-3</v>
      </c>
      <c r="F14784" s="2">
        <v>7.1931892457253498E-3</v>
      </c>
    </row>
    <row r="14785" spans="1:6" x14ac:dyDescent="0.25">
      <c r="A14785" s="1" t="str">
        <f t="shared" ref="A14785:A14848" si="557">"26420"</f>
        <v>26420</v>
      </c>
      <c r="B14785" s="1" t="str">
        <f>"77383"</f>
        <v>77383</v>
      </c>
      <c r="C14785" s="2">
        <v>5.6369345534919605E-4</v>
      </c>
      <c r="D14785" s="2">
        <v>2.2964488489383901E-3</v>
      </c>
      <c r="E14785" s="2">
        <v>1.62003661282744E-5</v>
      </c>
      <c r="F14785" s="2">
        <v>7.1048698756239403E-4</v>
      </c>
    </row>
    <row r="14786" spans="1:6" x14ac:dyDescent="0.25">
      <c r="A14786" s="1" t="str">
        <f t="shared" si="557"/>
        <v>26420</v>
      </c>
      <c r="B14786" s="1" t="str">
        <f>"77046"</f>
        <v>77046</v>
      </c>
      <c r="C14786" s="2">
        <v>4.4823816931381801E-4</v>
      </c>
      <c r="D14786" s="2">
        <v>2.1929751362682001E-3</v>
      </c>
      <c r="E14786" s="2">
        <v>6.1561391287443001E-4</v>
      </c>
      <c r="F14786" s="2">
        <v>6.0946414641899704E-4</v>
      </c>
    </row>
    <row r="14787" spans="1:6" x14ac:dyDescent="0.25">
      <c r="A14787" s="1" t="str">
        <f t="shared" si="557"/>
        <v>26420</v>
      </c>
      <c r="B14787" s="1" t="str">
        <f>"77051"</f>
        <v>77051</v>
      </c>
      <c r="C14787" s="2">
        <v>2.6850145490639101E-3</v>
      </c>
      <c r="D14787" s="2">
        <v>2.1896372745691599E-3</v>
      </c>
      <c r="E14787" s="2">
        <v>7.6627731786738304E-3</v>
      </c>
      <c r="F14787" s="2">
        <v>2.7330610556039999E-3</v>
      </c>
    </row>
    <row r="14788" spans="1:6" x14ac:dyDescent="0.25">
      <c r="A14788" s="1" t="str">
        <f t="shared" si="557"/>
        <v>26420</v>
      </c>
      <c r="B14788" s="1" t="str">
        <f>"77055"</f>
        <v>77055</v>
      </c>
      <c r="C14788" s="2">
        <v>6.3354390340059899E-3</v>
      </c>
      <c r="D14788" s="2">
        <v>1.0704522468815999E-2</v>
      </c>
      <c r="E14788" s="2">
        <v>1.5536151117015199E-2</v>
      </c>
      <c r="F14788" s="2">
        <v>6.90312665693338E-3</v>
      </c>
    </row>
    <row r="14789" spans="1:6" x14ac:dyDescent="0.25">
      <c r="A14789" s="1" t="str">
        <f t="shared" si="557"/>
        <v>26420</v>
      </c>
      <c r="B14789" s="1" t="str">
        <f>"77030"</f>
        <v>77030</v>
      </c>
      <c r="C14789" s="2">
        <v>2.7444400639350598E-3</v>
      </c>
      <c r="D14789" s="2">
        <v>4.9734139315671501E-3</v>
      </c>
      <c r="E14789" s="2">
        <v>5.2003175271761104E-3</v>
      </c>
      <c r="F14789" s="2">
        <v>2.99227235757972E-3</v>
      </c>
    </row>
    <row r="14790" spans="1:6" x14ac:dyDescent="0.25">
      <c r="A14790" s="1" t="str">
        <f t="shared" si="557"/>
        <v>26420</v>
      </c>
      <c r="B14790" s="1" t="str">
        <f>"77034"</f>
        <v>77034</v>
      </c>
      <c r="C14790" s="2">
        <v>4.9285824162278499E-3</v>
      </c>
      <c r="D14790" s="2">
        <v>4.5862219744786997E-3</v>
      </c>
      <c r="E14790" s="2">
        <v>4.39029922076238E-3</v>
      </c>
      <c r="F14790" s="2">
        <v>4.8875092516052401E-3</v>
      </c>
    </row>
    <row r="14791" spans="1:6" x14ac:dyDescent="0.25">
      <c r="A14791" s="1" t="str">
        <f t="shared" si="557"/>
        <v>26420</v>
      </c>
      <c r="B14791" s="1" t="str">
        <f>"77037"</f>
        <v>77037</v>
      </c>
      <c r="C14791" s="2">
        <v>1.92708455367872E-3</v>
      </c>
      <c r="D14791" s="2">
        <v>5.0768876442373401E-3</v>
      </c>
      <c r="E14791" s="2">
        <v>3.9042882369141499E-3</v>
      </c>
      <c r="F14791" s="2">
        <v>2.2494217652198902E-3</v>
      </c>
    </row>
    <row r="14792" spans="1:6" x14ac:dyDescent="0.25">
      <c r="A14792" s="1" t="str">
        <f t="shared" si="557"/>
        <v>26420</v>
      </c>
      <c r="B14792" s="1" t="str">
        <f>"77056"</f>
        <v>77056</v>
      </c>
      <c r="C14792" s="2">
        <v>5.8461123658384096E-3</v>
      </c>
      <c r="D14792" s="2">
        <v>1.4019019135961101E-2</v>
      </c>
      <c r="E14792" s="2">
        <v>6.7231519432339104E-3</v>
      </c>
      <c r="F14792" s="2">
        <v>6.60308276946557E-3</v>
      </c>
    </row>
    <row r="14793" spans="1:6" x14ac:dyDescent="0.25">
      <c r="A14793" s="1" t="str">
        <f t="shared" si="557"/>
        <v>26420</v>
      </c>
      <c r="B14793" s="1" t="str">
        <f>"77043"</f>
        <v>77043</v>
      </c>
      <c r="C14793" s="2">
        <v>3.9017095192543701E-3</v>
      </c>
      <c r="D14793" s="2">
        <v>5.9981374731719302E-3</v>
      </c>
      <c r="E14793" s="2">
        <v>5.6863285110243401E-3</v>
      </c>
      <c r="F14793" s="2">
        <v>4.1249985254899601E-3</v>
      </c>
    </row>
    <row r="14794" spans="1:6" x14ac:dyDescent="0.25">
      <c r="A14794" s="1" t="str">
        <f t="shared" si="557"/>
        <v>26420</v>
      </c>
      <c r="B14794" s="1" t="str">
        <f>"77058"</f>
        <v>77058</v>
      </c>
      <c r="C14794" s="2">
        <v>3.5492313224757799E-3</v>
      </c>
      <c r="D14794" s="2">
        <v>6.4988167280276904E-3</v>
      </c>
      <c r="E14794" s="2">
        <v>4.8277091062258002E-3</v>
      </c>
      <c r="F14794" s="2">
        <v>3.8403802814302702E-3</v>
      </c>
    </row>
    <row r="14795" spans="1:6" x14ac:dyDescent="0.25">
      <c r="A14795" s="1" t="str">
        <f t="shared" si="557"/>
        <v>26420</v>
      </c>
      <c r="B14795" s="1" t="str">
        <f>"77060"</f>
        <v>77060</v>
      </c>
      <c r="C14795" s="2">
        <v>5.4247005718092798E-3</v>
      </c>
      <c r="D14795" s="2">
        <v>1.0898118447360199E-2</v>
      </c>
      <c r="E14795" s="2">
        <v>6.8365545061318299E-3</v>
      </c>
      <c r="F14795" s="2">
        <v>5.9470392292259597E-3</v>
      </c>
    </row>
    <row r="14796" spans="1:6" x14ac:dyDescent="0.25">
      <c r="A14796" s="1" t="str">
        <f t="shared" si="557"/>
        <v>26420</v>
      </c>
      <c r="B14796" s="1" t="str">
        <f>"77022"</f>
        <v>77022</v>
      </c>
      <c r="C14796" s="2">
        <v>3.7950831668569899E-3</v>
      </c>
      <c r="D14796" s="2">
        <v>5.3839709205488698E-3</v>
      </c>
      <c r="E14796" s="2">
        <v>6.0751372981029299E-3</v>
      </c>
      <c r="F14796" s="2">
        <v>3.9816307808732904E-3</v>
      </c>
    </row>
    <row r="14797" spans="1:6" x14ac:dyDescent="0.25">
      <c r="A14797" s="1" t="str">
        <f t="shared" si="557"/>
        <v>26420</v>
      </c>
      <c r="B14797" s="1" t="str">
        <f>"77316"</f>
        <v>77316</v>
      </c>
      <c r="C14797" s="2">
        <v>4.3024072766712704E-3</v>
      </c>
      <c r="D14797" s="2">
        <v>9.54628445924971E-4</v>
      </c>
      <c r="E14797" s="2">
        <v>6.8041537738752799E-4</v>
      </c>
      <c r="F14797" s="2">
        <v>3.9314218238978302E-3</v>
      </c>
    </row>
    <row r="14798" spans="1:6" x14ac:dyDescent="0.25">
      <c r="A14798" s="1" t="str">
        <f t="shared" si="557"/>
        <v>26420</v>
      </c>
      <c r="B14798" s="1" t="str">
        <f>"77204"</f>
        <v>77204</v>
      </c>
      <c r="C14798" s="2">
        <v>3.39574370692286E-7</v>
      </c>
      <c r="D14798" s="2">
        <v>3.0875220716104798E-3</v>
      </c>
      <c r="E14798" s="2">
        <v>3.07806956437215E-4</v>
      </c>
      <c r="F14798" s="2">
        <v>2.8582809844464102E-4</v>
      </c>
    </row>
    <row r="14799" spans="1:6" x14ac:dyDescent="0.25">
      <c r="A14799" s="1" t="str">
        <f t="shared" si="557"/>
        <v>26420</v>
      </c>
      <c r="B14799" s="1" t="str">
        <f>"77228"</f>
        <v>77228</v>
      </c>
      <c r="C14799" s="2">
        <v>3.1580416474382599E-4</v>
      </c>
      <c r="D14799" s="2">
        <v>4.5394919106921702E-4</v>
      </c>
      <c r="E14799" s="2">
        <v>3.2400732256548903E-5</v>
      </c>
      <c r="F14799" s="2">
        <v>3.2303112078187999E-4</v>
      </c>
    </row>
    <row r="14800" spans="1:6" x14ac:dyDescent="0.25">
      <c r="A14800" s="1" t="str">
        <f t="shared" si="557"/>
        <v>26420</v>
      </c>
      <c r="B14800" s="1" t="str">
        <f>"77356"</f>
        <v>77356</v>
      </c>
      <c r="C14800" s="2">
        <v>5.44167929034389E-3</v>
      </c>
      <c r="D14800" s="2">
        <v>3.38125390112586E-3</v>
      </c>
      <c r="E14800" s="2">
        <v>3.7260842095031299E-3</v>
      </c>
      <c r="F14800" s="2">
        <v>5.2229413798328701E-3</v>
      </c>
    </row>
    <row r="14801" spans="1:6" x14ac:dyDescent="0.25">
      <c r="A14801" s="1" t="str">
        <f t="shared" si="557"/>
        <v>26420</v>
      </c>
      <c r="B14801" s="1" t="str">
        <f>"77207"</f>
        <v>77207</v>
      </c>
      <c r="C14801" s="2">
        <v>5.0053262240042995E-4</v>
      </c>
      <c r="D14801" s="2">
        <v>1.06144002029419E-3</v>
      </c>
      <c r="E14801" s="2">
        <v>1.62003661282744E-5</v>
      </c>
      <c r="F14801" s="2">
        <v>5.42317228054224E-4</v>
      </c>
    </row>
    <row r="14802" spans="1:6" x14ac:dyDescent="0.25">
      <c r="A14802" s="1" t="str">
        <f t="shared" si="557"/>
        <v>26420</v>
      </c>
      <c r="B14802" s="1" t="str">
        <f>"77259"</f>
        <v>77259</v>
      </c>
      <c r="C14802" s="2">
        <v>4.2378881462397399E-4</v>
      </c>
      <c r="D14802" s="2">
        <v>8.3112756306055204E-4</v>
      </c>
      <c r="E14802" s="2">
        <v>3.2400732256548903E-5</v>
      </c>
      <c r="F14802" s="2">
        <v>4.5339293076033599E-4</v>
      </c>
    </row>
    <row r="14803" spans="1:6" x14ac:dyDescent="0.25">
      <c r="A14803" s="1" t="str">
        <f t="shared" si="557"/>
        <v>26420</v>
      </c>
      <c r="B14803" s="1" t="str">
        <f>"77561"</f>
        <v>77561</v>
      </c>
      <c r="C14803" s="2">
        <v>0</v>
      </c>
      <c r="D14803" s="2">
        <v>3.3378616990383599E-6</v>
      </c>
      <c r="E14803" s="2">
        <v>0</v>
      </c>
      <c r="F14803" s="2">
        <v>3.0246359623771502E-7</v>
      </c>
    </row>
    <row r="14804" spans="1:6" x14ac:dyDescent="0.25">
      <c r="A14804" s="1" t="str">
        <f t="shared" si="557"/>
        <v>26420</v>
      </c>
      <c r="B14804" s="1" t="str">
        <f>"77218"</f>
        <v>77218</v>
      </c>
      <c r="C14804" s="2">
        <v>2.8218630204529001E-4</v>
      </c>
      <c r="D14804" s="2">
        <v>9.5796630762400904E-4</v>
      </c>
      <c r="E14804" s="2">
        <v>3.2400732256548903E-5</v>
      </c>
      <c r="F14804" s="2">
        <v>3.3875922778624099E-4</v>
      </c>
    </row>
    <row r="14805" spans="1:6" x14ac:dyDescent="0.25">
      <c r="A14805" s="1" t="str">
        <f t="shared" si="557"/>
        <v>26420</v>
      </c>
      <c r="B14805" s="1" t="str">
        <f>"77487"</f>
        <v>77487</v>
      </c>
      <c r="C14805" s="2">
        <v>5.8644493818557901E-4</v>
      </c>
      <c r="D14805" s="2">
        <v>2.21300230646243E-3</v>
      </c>
      <c r="E14805" s="2">
        <v>3.2400732256548903E-5</v>
      </c>
      <c r="F14805" s="2">
        <v>7.2349292220061595E-4</v>
      </c>
    </row>
    <row r="14806" spans="1:6" x14ac:dyDescent="0.25">
      <c r="A14806" s="1" t="str">
        <f t="shared" si="557"/>
        <v>26420</v>
      </c>
      <c r="B14806" s="1" t="str">
        <f>"77230"</f>
        <v>77230</v>
      </c>
      <c r="C14806" s="2">
        <v>2.4245610067429201E-4</v>
      </c>
      <c r="D14806" s="2">
        <v>9.9802064801246993E-4</v>
      </c>
      <c r="E14806" s="2">
        <v>1.62003661282744E-5</v>
      </c>
      <c r="F14806" s="2">
        <v>3.0669808658504301E-4</v>
      </c>
    </row>
    <row r="14807" spans="1:6" x14ac:dyDescent="0.25">
      <c r="A14807" s="1" t="str">
        <f t="shared" si="557"/>
        <v>26420</v>
      </c>
      <c r="B14807" s="1" t="str">
        <f>"77287"</f>
        <v>77287</v>
      </c>
      <c r="C14807" s="2">
        <v>1.9966972996706401E-4</v>
      </c>
      <c r="D14807" s="2">
        <v>3.4046189330191201E-4</v>
      </c>
      <c r="E14807" s="2">
        <v>3.2400732256548903E-5</v>
      </c>
      <c r="F14807" s="2">
        <v>2.09304808596499E-4</v>
      </c>
    </row>
    <row r="14808" spans="1:6" x14ac:dyDescent="0.25">
      <c r="A14808" s="1" t="str">
        <f t="shared" si="557"/>
        <v>26420</v>
      </c>
      <c r="B14808" s="1" t="str">
        <f>"77272"</f>
        <v>77272</v>
      </c>
      <c r="C14808" s="2">
        <v>4.7574369333989297E-4</v>
      </c>
      <c r="D14808" s="2">
        <v>1.25503599883842E-3</v>
      </c>
      <c r="E14808" s="2">
        <v>3.2400732256548903E-5</v>
      </c>
      <c r="F14808" s="2">
        <v>5.3808273770689595E-4</v>
      </c>
    </row>
    <row r="14809" spans="1:6" x14ac:dyDescent="0.25">
      <c r="A14809" s="1" t="str">
        <f t="shared" si="557"/>
        <v>26420</v>
      </c>
      <c r="B14809" s="1" t="str">
        <f>"77219"</f>
        <v>77219</v>
      </c>
      <c r="C14809" s="2">
        <v>2.8014885582113599E-4</v>
      </c>
      <c r="D14809" s="2">
        <v>1.75571525369417E-3</v>
      </c>
      <c r="E14809" s="2">
        <v>3.2400732256548903E-5</v>
      </c>
      <c r="F14809" s="2">
        <v>4.0923324570962902E-4</v>
      </c>
    </row>
    <row r="14810" spans="1:6" x14ac:dyDescent="0.25">
      <c r="A14810" s="1" t="str">
        <f t="shared" si="557"/>
        <v>26420</v>
      </c>
      <c r="B14810" s="1" t="str">
        <f>"77241"</f>
        <v>77241</v>
      </c>
      <c r="C14810" s="2">
        <v>1.4499825628560599E-4</v>
      </c>
      <c r="D14810" s="2">
        <v>9.5129058422593297E-4</v>
      </c>
      <c r="E14810" s="2">
        <v>3.2400732256548903E-5</v>
      </c>
      <c r="F14810" s="2">
        <v>2.1595900771372901E-4</v>
      </c>
    </row>
    <row r="14811" spans="1:6" x14ac:dyDescent="0.25">
      <c r="A14811" s="1" t="str">
        <f t="shared" si="557"/>
        <v>26420</v>
      </c>
      <c r="B14811" s="1" t="str">
        <f>"77560"</f>
        <v>77560</v>
      </c>
      <c r="C14811" s="2">
        <v>1.31075707087222E-4</v>
      </c>
      <c r="D14811" s="2">
        <v>2.6702893592306801E-5</v>
      </c>
      <c r="E14811" s="2">
        <v>0</v>
      </c>
      <c r="F14811" s="2">
        <v>1.1917065691766E-4</v>
      </c>
    </row>
    <row r="14812" spans="1:6" x14ac:dyDescent="0.25">
      <c r="A14812" s="1" t="str">
        <f t="shared" si="557"/>
        <v>26420</v>
      </c>
      <c r="B14812" s="1" t="str">
        <f>"77835"</f>
        <v>77835</v>
      </c>
      <c r="C14812" s="2">
        <v>1.0526805491460801E-5</v>
      </c>
      <c r="D14812" s="2">
        <v>3.3378616990383599E-6</v>
      </c>
      <c r="E14812" s="2">
        <v>0</v>
      </c>
      <c r="F14812" s="2">
        <v>9.6788350796068994E-6</v>
      </c>
    </row>
    <row r="14813" spans="1:6" x14ac:dyDescent="0.25">
      <c r="A14813" s="1" t="str">
        <f t="shared" si="557"/>
        <v>26420</v>
      </c>
      <c r="B14813" s="1" t="str">
        <f>"77236"</f>
        <v>77236</v>
      </c>
      <c r="C14813" s="2">
        <v>2.16648448501679E-4</v>
      </c>
      <c r="D14813" s="2">
        <v>4.0388126558364099E-4</v>
      </c>
      <c r="E14813" s="2">
        <v>3.2400732256548903E-5</v>
      </c>
      <c r="F14813" s="2">
        <v>2.3017479673690099E-4</v>
      </c>
    </row>
    <row r="14814" spans="1:6" x14ac:dyDescent="0.25">
      <c r="A14814" s="1" t="str">
        <f t="shared" si="557"/>
        <v>26420</v>
      </c>
      <c r="B14814" s="1" t="str">
        <f>"77257"</f>
        <v>77257</v>
      </c>
      <c r="C14814" s="2">
        <v>4.8627049883135401E-4</v>
      </c>
      <c r="D14814" s="2">
        <v>1.2016302116538099E-3</v>
      </c>
      <c r="E14814" s="2">
        <v>1.62003661282744E-5</v>
      </c>
      <c r="F14814" s="2">
        <v>5.42317228054224E-4</v>
      </c>
    </row>
    <row r="14815" spans="1:6" x14ac:dyDescent="0.25">
      <c r="A14815" s="1" t="str">
        <f t="shared" si="557"/>
        <v>26420</v>
      </c>
      <c r="B14815" s="1" t="str">
        <f>"77076"</f>
        <v>77076</v>
      </c>
      <c r="C14815" s="2">
        <v>3.4996534643546998E-3</v>
      </c>
      <c r="D14815" s="2">
        <v>4.0922184430210303E-3</v>
      </c>
      <c r="E14815" s="2">
        <v>5.6377274126395201E-3</v>
      </c>
      <c r="F14815" s="2">
        <v>3.5932675233040601E-3</v>
      </c>
    </row>
    <row r="14816" spans="1:6" x14ac:dyDescent="0.25">
      <c r="A14816" s="1" t="str">
        <f t="shared" si="557"/>
        <v>26420</v>
      </c>
      <c r="B14816" s="1" t="str">
        <f>"77095"</f>
        <v>77095</v>
      </c>
      <c r="C14816" s="2">
        <v>8.6367345441876204E-3</v>
      </c>
      <c r="D14816" s="2">
        <v>3.9920825920498797E-3</v>
      </c>
      <c r="E14816" s="2">
        <v>2.9646670014742298E-3</v>
      </c>
      <c r="F14816" s="2">
        <v>8.1099564059218705E-3</v>
      </c>
    </row>
    <row r="14817" spans="1:6" x14ac:dyDescent="0.25">
      <c r="A14817" s="1" t="str">
        <f t="shared" si="557"/>
        <v>26420</v>
      </c>
      <c r="B14817" s="1" t="str">
        <f>"77578"</f>
        <v>77578</v>
      </c>
      <c r="C14817" s="2">
        <v>3.59303641629508E-3</v>
      </c>
      <c r="D14817" s="2">
        <v>1.4886863177710999E-3</v>
      </c>
      <c r="E14817" s="2">
        <v>6.96615743515803E-4</v>
      </c>
      <c r="F14817" s="2">
        <v>3.3482720103515098E-3</v>
      </c>
    </row>
    <row r="14818" spans="1:6" x14ac:dyDescent="0.25">
      <c r="A14818" s="1" t="str">
        <f t="shared" si="557"/>
        <v>26420</v>
      </c>
      <c r="B14818" s="1" t="str">
        <f>"77568"</f>
        <v>77568</v>
      </c>
      <c r="C14818" s="2">
        <v>3.4748645352941699E-3</v>
      </c>
      <c r="D14818" s="2">
        <v>2.8805746462700998E-3</v>
      </c>
      <c r="E14818" s="2">
        <v>2.9160659030893999E-3</v>
      </c>
      <c r="F14818" s="2">
        <v>3.41057951117648E-3</v>
      </c>
    </row>
    <row r="14819" spans="1:6" x14ac:dyDescent="0.25">
      <c r="A14819" s="1" t="str">
        <f t="shared" si="557"/>
        <v>26420</v>
      </c>
      <c r="B14819" s="1" t="str">
        <f>"77564"</f>
        <v>77564</v>
      </c>
      <c r="C14819" s="2">
        <v>1.9423654003598799E-4</v>
      </c>
      <c r="D14819" s="2">
        <v>1.0013585097115E-5</v>
      </c>
      <c r="E14819" s="2">
        <v>0</v>
      </c>
      <c r="F14819" s="2">
        <v>1.7391656783668599E-4</v>
      </c>
    </row>
    <row r="14820" spans="1:6" x14ac:dyDescent="0.25">
      <c r="A14820" s="1" t="str">
        <f t="shared" si="557"/>
        <v>26420</v>
      </c>
      <c r="B14820" s="1" t="str">
        <f>"77511"</f>
        <v>77511</v>
      </c>
      <c r="C14820" s="2">
        <v>7.0281707502182602E-3</v>
      </c>
      <c r="D14820" s="2">
        <v>4.3525716555460198E-3</v>
      </c>
      <c r="E14820" s="2">
        <v>7.4521684190062597E-3</v>
      </c>
      <c r="F14820" s="2">
        <v>6.7936348350953303E-3</v>
      </c>
    </row>
    <row r="14821" spans="1:6" x14ac:dyDescent="0.25">
      <c r="A14821" s="1" t="str">
        <f t="shared" si="557"/>
        <v>26420</v>
      </c>
      <c r="B14821" s="1" t="str">
        <f>"77515"</f>
        <v>77515</v>
      </c>
      <c r="C14821" s="2">
        <v>4.5788208144147899E-3</v>
      </c>
      <c r="D14821" s="2">
        <v>4.0922184430210303E-3</v>
      </c>
      <c r="E14821" s="2">
        <v>3.9528893352989702E-3</v>
      </c>
      <c r="F14821" s="2">
        <v>4.5230406181387996E-3</v>
      </c>
    </row>
    <row r="14822" spans="1:6" x14ac:dyDescent="0.25">
      <c r="A14822" s="1" t="str">
        <f t="shared" si="557"/>
        <v>26420</v>
      </c>
      <c r="B14822" s="1" t="str">
        <f>"77498"</f>
        <v>77498</v>
      </c>
      <c r="C14822" s="2">
        <v>5.8797302285369399E-3</v>
      </c>
      <c r="D14822" s="2">
        <v>2.5801670933566501E-3</v>
      </c>
      <c r="E14822" s="2">
        <v>2.39765418698462E-3</v>
      </c>
      <c r="F14822" s="2">
        <v>5.5157261409909796E-3</v>
      </c>
    </row>
    <row r="14823" spans="1:6" x14ac:dyDescent="0.25">
      <c r="A14823" s="1" t="str">
        <f t="shared" si="557"/>
        <v>26420</v>
      </c>
      <c r="B14823" s="1" t="str">
        <f>"77545"</f>
        <v>77545</v>
      </c>
      <c r="C14823" s="2">
        <v>3.1801139815332601E-3</v>
      </c>
      <c r="D14823" s="2">
        <v>1.6055114772374501E-3</v>
      </c>
      <c r="E14823" s="2">
        <v>3.4020768869376399E-4</v>
      </c>
      <c r="F14823" s="2">
        <v>2.9844083040775401E-3</v>
      </c>
    </row>
    <row r="14824" spans="1:6" x14ac:dyDescent="0.25">
      <c r="A14824" s="1" t="str">
        <f t="shared" si="557"/>
        <v>26420</v>
      </c>
      <c r="B14824" s="1" t="str">
        <f>"77550"</f>
        <v>77550</v>
      </c>
      <c r="C14824" s="2">
        <v>5.48310736356835E-3</v>
      </c>
      <c r="D14824" s="2">
        <v>6.1149626326382697E-3</v>
      </c>
      <c r="E14824" s="2">
        <v>2.0898472305474099E-2</v>
      </c>
      <c r="F14824" s="2">
        <v>5.8281710359045398E-3</v>
      </c>
    </row>
    <row r="14825" spans="1:6" x14ac:dyDescent="0.25">
      <c r="A14825" s="1" t="str">
        <f t="shared" si="557"/>
        <v>26420</v>
      </c>
      <c r="B14825" s="1" t="str">
        <f>"77552"</f>
        <v>77552</v>
      </c>
      <c r="C14825" s="2">
        <v>4.3669264071028E-4</v>
      </c>
      <c r="D14825" s="2">
        <v>1.0147099565076599E-3</v>
      </c>
      <c r="E14825" s="2">
        <v>3.2400732256548903E-5</v>
      </c>
      <c r="F14825" s="2">
        <v>4.8152204521044299E-4</v>
      </c>
    </row>
    <row r="14826" spans="1:6" x14ac:dyDescent="0.25">
      <c r="A14826" s="1" t="str">
        <f t="shared" si="557"/>
        <v>26420</v>
      </c>
      <c r="B14826" s="1" t="str">
        <f>"77382"</f>
        <v>77382</v>
      </c>
      <c r="C14826" s="2">
        <v>4.6827305718466303E-3</v>
      </c>
      <c r="D14826" s="2">
        <v>1.15823800956631E-3</v>
      </c>
      <c r="E14826" s="2">
        <v>9.2342086931164599E-4</v>
      </c>
      <c r="F14826" s="2">
        <v>4.2931682849981301E-3</v>
      </c>
    </row>
    <row r="14827" spans="1:6" x14ac:dyDescent="0.25">
      <c r="A14827" s="1" t="str">
        <f t="shared" si="557"/>
        <v>26420</v>
      </c>
      <c r="B14827" s="1" t="str">
        <f>"77423"</f>
        <v>77423</v>
      </c>
      <c r="C14827" s="2">
        <v>2.26937551933655E-3</v>
      </c>
      <c r="D14827" s="2">
        <v>1.6756065729172499E-3</v>
      </c>
      <c r="E14827" s="2">
        <v>8.1001830641372395E-4</v>
      </c>
      <c r="F14827" s="2">
        <v>2.1883241187798698E-3</v>
      </c>
    </row>
    <row r="14828" spans="1:6" x14ac:dyDescent="0.25">
      <c r="A14828" s="1" t="str">
        <f t="shared" si="557"/>
        <v>26420</v>
      </c>
      <c r="B14828" s="1" t="str">
        <f>"77411"</f>
        <v>77411</v>
      </c>
      <c r="C14828" s="2">
        <v>6.1870450340134598E-4</v>
      </c>
      <c r="D14828" s="2">
        <v>1.36852329660572E-3</v>
      </c>
      <c r="E14828" s="2">
        <v>1.62003661282744E-5</v>
      </c>
      <c r="F14828" s="2">
        <v>6.7540121039881898E-4</v>
      </c>
    </row>
    <row r="14829" spans="1:6" x14ac:dyDescent="0.25">
      <c r="A14829" s="1" t="str">
        <f t="shared" si="557"/>
        <v>26420</v>
      </c>
      <c r="B14829" s="1" t="str">
        <f>"77035"</f>
        <v>77035</v>
      </c>
      <c r="C14829" s="2">
        <v>5.3085661370325197E-3</v>
      </c>
      <c r="D14829" s="2">
        <v>3.0508055929210601E-3</v>
      </c>
      <c r="E14829" s="2">
        <v>6.0913376642312096E-3</v>
      </c>
      <c r="F14829" s="2">
        <v>5.1185914391308597E-3</v>
      </c>
    </row>
    <row r="14830" spans="1:6" x14ac:dyDescent="0.25">
      <c r="A14830" s="1" t="str">
        <f t="shared" si="557"/>
        <v>26420</v>
      </c>
      <c r="B14830" s="1" t="str">
        <f>"77053"</f>
        <v>77053</v>
      </c>
      <c r="C14830" s="2">
        <v>3.1729829197487199E-3</v>
      </c>
      <c r="D14830" s="2">
        <v>1.2049680733528399E-3</v>
      </c>
      <c r="E14830" s="2">
        <v>7.4521684190062597E-4</v>
      </c>
      <c r="F14830" s="2">
        <v>2.9493225269139598E-3</v>
      </c>
    </row>
    <row r="14831" spans="1:6" x14ac:dyDescent="0.25">
      <c r="A14831" s="1" t="str">
        <f t="shared" si="557"/>
        <v>26420</v>
      </c>
      <c r="B14831" s="1" t="str">
        <f>"77059"</f>
        <v>77059</v>
      </c>
      <c r="C14831" s="2">
        <v>2.2897499815780899E-3</v>
      </c>
      <c r="D14831" s="2">
        <v>3.20434723107682E-4</v>
      </c>
      <c r="E14831" s="2">
        <v>4.6981061771996001E-4</v>
      </c>
      <c r="F14831" s="2">
        <v>2.0773199789606298E-3</v>
      </c>
    </row>
    <row r="14832" spans="1:6" x14ac:dyDescent="0.25">
      <c r="A14832" s="1" t="str">
        <f t="shared" si="557"/>
        <v>26420</v>
      </c>
      <c r="B14832" s="1" t="str">
        <f>"77062"</f>
        <v>77062</v>
      </c>
      <c r="C14832" s="2">
        <v>3.44769858563878E-3</v>
      </c>
      <c r="D14832" s="2">
        <v>1.1014943606826499E-3</v>
      </c>
      <c r="E14832" s="2">
        <v>1.9116432031363901E-3</v>
      </c>
      <c r="F14832" s="2">
        <v>3.2064165837160201E-3</v>
      </c>
    </row>
    <row r="14833" spans="1:6" x14ac:dyDescent="0.25">
      <c r="A14833" s="1" t="str">
        <f t="shared" si="557"/>
        <v>26420</v>
      </c>
      <c r="B14833" s="1" t="str">
        <f>"77006"</f>
        <v>77006</v>
      </c>
      <c r="C14833" s="2">
        <v>5.8036655695018697E-3</v>
      </c>
      <c r="D14833" s="2">
        <v>5.0802255059363803E-3</v>
      </c>
      <c r="E14833" s="2">
        <v>2.7249015827757701E-2</v>
      </c>
      <c r="F14833" s="2">
        <v>6.1384986856444397E-3</v>
      </c>
    </row>
    <row r="14834" spans="1:6" x14ac:dyDescent="0.25">
      <c r="A14834" s="1" t="str">
        <f t="shared" si="557"/>
        <v>26420</v>
      </c>
      <c r="B14834" s="1" t="str">
        <f>"77026"</f>
        <v>77026</v>
      </c>
      <c r="C14834" s="2">
        <v>3.7295453133133799E-3</v>
      </c>
      <c r="D14834" s="2">
        <v>2.8471960292797199E-3</v>
      </c>
      <c r="E14834" s="2">
        <v>1.20692727655645E-2</v>
      </c>
      <c r="F14834" s="2">
        <v>3.8052945042666999E-3</v>
      </c>
    </row>
    <row r="14835" spans="1:6" x14ac:dyDescent="0.25">
      <c r="A14835" s="1" t="str">
        <f t="shared" si="557"/>
        <v>26420</v>
      </c>
      <c r="B14835" s="1" t="str">
        <f>"78950"</f>
        <v>78950</v>
      </c>
      <c r="C14835" s="2">
        <v>2.5468077801921499E-4</v>
      </c>
      <c r="D14835" s="2">
        <v>6.3419372281728798E-5</v>
      </c>
      <c r="E14835" s="2">
        <v>3.2400732256548903E-5</v>
      </c>
      <c r="F14835" s="2">
        <v>2.3319943269927801E-4</v>
      </c>
    </row>
    <row r="14836" spans="1:6" x14ac:dyDescent="0.25">
      <c r="A14836" s="1" t="str">
        <f t="shared" si="557"/>
        <v>26420</v>
      </c>
      <c r="B14836" s="1" t="str">
        <f>"77306"</f>
        <v>77306</v>
      </c>
      <c r="C14836" s="2">
        <v>2.0438981371968699E-3</v>
      </c>
      <c r="D14836" s="2">
        <v>8.5449259495382003E-4</v>
      </c>
      <c r="E14836" s="2">
        <v>5.1841171610478298E-4</v>
      </c>
      <c r="F14836" s="2">
        <v>1.90763790147127E-3</v>
      </c>
    </row>
    <row r="14837" spans="1:6" x14ac:dyDescent="0.25">
      <c r="A14837" s="1" t="str">
        <f t="shared" si="557"/>
        <v>26420</v>
      </c>
      <c r="B14837" s="1" t="str">
        <f>"77345"</f>
        <v>77345</v>
      </c>
      <c r="C14837" s="2">
        <v>3.3638237160777901E-3</v>
      </c>
      <c r="D14837" s="2">
        <v>4.7063849956440899E-4</v>
      </c>
      <c r="E14837" s="2">
        <v>8.5861940479854801E-4</v>
      </c>
      <c r="F14837" s="2">
        <v>3.0548823220009199E-3</v>
      </c>
    </row>
    <row r="14838" spans="1:6" x14ac:dyDescent="0.25">
      <c r="A14838" s="1" t="str">
        <f t="shared" si="557"/>
        <v>26420</v>
      </c>
      <c r="B14838" s="1" t="str">
        <f>"77099"</f>
        <v>77099</v>
      </c>
      <c r="C14838" s="2">
        <v>6.0152204024431603E-3</v>
      </c>
      <c r="D14838" s="2">
        <v>5.7611492925402101E-3</v>
      </c>
      <c r="E14838" s="2">
        <v>5.8807329045636398E-3</v>
      </c>
      <c r="F14838" s="2">
        <v>5.9896865962954801E-3</v>
      </c>
    </row>
    <row r="14839" spans="1:6" x14ac:dyDescent="0.25">
      <c r="A14839" s="1" t="str">
        <f t="shared" si="557"/>
        <v>26420</v>
      </c>
      <c r="B14839" s="1" t="str">
        <f>"77254"</f>
        <v>77254</v>
      </c>
      <c r="C14839" s="2">
        <v>2.8897778945913602E-4</v>
      </c>
      <c r="D14839" s="2">
        <v>1.08146719048842E-3</v>
      </c>
      <c r="E14839" s="2">
        <v>3.2400732256548903E-5</v>
      </c>
      <c r="F14839" s="2">
        <v>3.5599965277179101E-4</v>
      </c>
    </row>
    <row r="14840" spans="1:6" x14ac:dyDescent="0.25">
      <c r="A14840" s="1" t="str">
        <f t="shared" si="557"/>
        <v>26420</v>
      </c>
      <c r="B14840" s="1" t="str">
        <f>"77271"</f>
        <v>77271</v>
      </c>
      <c r="C14840" s="2">
        <v>3.0969182607136503E-4</v>
      </c>
      <c r="D14840" s="2">
        <v>1.0113720948086199E-3</v>
      </c>
      <c r="E14840" s="2">
        <v>3.2400732256548903E-5</v>
      </c>
      <c r="F14840" s="2">
        <v>3.680981966213E-4</v>
      </c>
    </row>
    <row r="14841" spans="1:6" x14ac:dyDescent="0.25">
      <c r="A14841" s="1" t="str">
        <f t="shared" si="557"/>
        <v>26420</v>
      </c>
      <c r="B14841" s="1" t="str">
        <f>"77452"</f>
        <v>77452</v>
      </c>
      <c r="C14841" s="2">
        <v>0</v>
      </c>
      <c r="D14841" s="2">
        <v>3.3378616990383599E-6</v>
      </c>
      <c r="E14841" s="2">
        <v>0</v>
      </c>
      <c r="F14841" s="2">
        <v>3.0246359623771502E-7</v>
      </c>
    </row>
    <row r="14842" spans="1:6" x14ac:dyDescent="0.25">
      <c r="A14842" s="1" t="str">
        <f t="shared" si="557"/>
        <v>26420</v>
      </c>
      <c r="B14842" s="1" t="str">
        <f>"77533"</f>
        <v>77533</v>
      </c>
      <c r="C14842" s="2">
        <v>3.39574370692286E-7</v>
      </c>
      <c r="D14842" s="2">
        <v>3.3378616990383599E-6</v>
      </c>
      <c r="E14842" s="2">
        <v>0</v>
      </c>
      <c r="F14842" s="2">
        <v>6.04927192475431E-7</v>
      </c>
    </row>
    <row r="14843" spans="1:6" x14ac:dyDescent="0.25">
      <c r="A14843" s="1" t="str">
        <f t="shared" si="557"/>
        <v>26420</v>
      </c>
      <c r="B14843" s="1" t="str">
        <f>"77446"</f>
        <v>77446</v>
      </c>
      <c r="C14843" s="2">
        <v>0</v>
      </c>
      <c r="D14843" s="2">
        <v>3.3378616990383599E-6</v>
      </c>
      <c r="E14843" s="2">
        <v>0</v>
      </c>
      <c r="F14843" s="2">
        <v>3.0246359623771502E-7</v>
      </c>
    </row>
    <row r="14844" spans="1:6" x14ac:dyDescent="0.25">
      <c r="A14844" s="1" t="str">
        <f t="shared" si="557"/>
        <v>26420</v>
      </c>
      <c r="B14844" s="1" t="str">
        <f>"77661"</f>
        <v>77661</v>
      </c>
      <c r="C14844" s="2">
        <v>0</v>
      </c>
      <c r="D14844" s="2">
        <v>3.3378616990383599E-6</v>
      </c>
      <c r="E14844" s="2">
        <v>0</v>
      </c>
      <c r="F14844" s="2">
        <v>3.0246359623771502E-7</v>
      </c>
    </row>
    <row r="14845" spans="1:6" x14ac:dyDescent="0.25">
      <c r="A14845" s="1" t="str">
        <f t="shared" si="557"/>
        <v>26420</v>
      </c>
      <c r="B14845" s="1" t="str">
        <f>"77201"</f>
        <v>77201</v>
      </c>
      <c r="C14845" s="2">
        <v>0</v>
      </c>
      <c r="D14845" s="2">
        <v>3.3378616990383599E-6</v>
      </c>
      <c r="E14845" s="2">
        <v>1.62003661282744E-5</v>
      </c>
      <c r="F14845" s="2">
        <v>6.04927192475431E-7</v>
      </c>
    </row>
    <row r="14846" spans="1:6" x14ac:dyDescent="0.25">
      <c r="A14846" s="1" t="str">
        <f t="shared" si="557"/>
        <v>26420</v>
      </c>
      <c r="B14846" s="1" t="str">
        <f>"77451"</f>
        <v>77451</v>
      </c>
      <c r="C14846" s="2">
        <v>0</v>
      </c>
      <c r="D14846" s="2">
        <v>3.3378616990383599E-6</v>
      </c>
      <c r="E14846" s="2">
        <v>0</v>
      </c>
      <c r="F14846" s="2">
        <v>3.0246359623771502E-7</v>
      </c>
    </row>
    <row r="14847" spans="1:6" x14ac:dyDescent="0.25">
      <c r="A14847" s="1" t="str">
        <f t="shared" si="557"/>
        <v>26420</v>
      </c>
      <c r="B14847" s="1" t="str">
        <f>"77222"</f>
        <v>77222</v>
      </c>
      <c r="C14847" s="2">
        <v>2.37362485113908E-4</v>
      </c>
      <c r="D14847" s="2">
        <v>2.8038038271922198E-4</v>
      </c>
      <c r="E14847" s="2">
        <v>3.2400732256548903E-5</v>
      </c>
      <c r="F14847" s="2">
        <v>2.37433923046606E-4</v>
      </c>
    </row>
    <row r="14848" spans="1:6" x14ac:dyDescent="0.25">
      <c r="A14848" s="1" t="str">
        <f t="shared" si="557"/>
        <v>26420</v>
      </c>
      <c r="B14848" s="1" t="str">
        <f>"77481"</f>
        <v>77481</v>
      </c>
      <c r="C14848" s="2">
        <v>3.39574370692286E-7</v>
      </c>
      <c r="D14848" s="2">
        <v>3.3378616990383599E-6</v>
      </c>
      <c r="E14848" s="2">
        <v>0</v>
      </c>
      <c r="F14848" s="2">
        <v>6.04927192475431E-7</v>
      </c>
    </row>
    <row r="14849" spans="1:6" x14ac:dyDescent="0.25">
      <c r="A14849" s="1" t="str">
        <f t="shared" ref="A14849:A14883" si="558">"26420"</f>
        <v>26420</v>
      </c>
      <c r="B14849" s="1" t="str">
        <f>"77210"</f>
        <v>77210</v>
      </c>
      <c r="C14849" s="2">
        <v>1.7080590845822E-4</v>
      </c>
      <c r="D14849" s="2">
        <v>2.21300230646243E-3</v>
      </c>
      <c r="E14849" s="2">
        <v>3.2400732256548903E-5</v>
      </c>
      <c r="F14849" s="2">
        <v>3.5327748040565199E-4</v>
      </c>
    </row>
    <row r="14850" spans="1:6" x14ac:dyDescent="0.25">
      <c r="A14850" s="1" t="str">
        <f t="shared" si="558"/>
        <v>26420</v>
      </c>
      <c r="B14850" s="1" t="str">
        <f>"77538"</f>
        <v>77538</v>
      </c>
      <c r="C14850" s="2">
        <v>5.9425514871150198E-5</v>
      </c>
      <c r="D14850" s="2">
        <v>2.0027170194230101E-5</v>
      </c>
      <c r="E14850" s="2">
        <v>1.05302379833784E-3</v>
      </c>
      <c r="F14850" s="2">
        <v>7.4406044674478003E-5</v>
      </c>
    </row>
    <row r="14851" spans="1:6" x14ac:dyDescent="0.25">
      <c r="A14851" s="1" t="str">
        <f t="shared" si="558"/>
        <v>26420</v>
      </c>
      <c r="B14851" s="1" t="str">
        <f>"77217"</f>
        <v>77217</v>
      </c>
      <c r="C14851" s="2">
        <v>9.20246544576097E-5</v>
      </c>
      <c r="D14851" s="2">
        <v>1.36852329660572E-4</v>
      </c>
      <c r="E14851" s="2">
        <v>3.2400732256548903E-5</v>
      </c>
      <c r="F14851" s="2">
        <v>9.4973569218642694E-5</v>
      </c>
    </row>
    <row r="14852" spans="1:6" x14ac:dyDescent="0.25">
      <c r="A14852" s="1" t="str">
        <f t="shared" si="558"/>
        <v>26420</v>
      </c>
      <c r="B14852" s="1" t="str">
        <f>"77249"</f>
        <v>77249</v>
      </c>
      <c r="C14852" s="2">
        <v>1.9797185811360301E-4</v>
      </c>
      <c r="D14852" s="2">
        <v>7.4434315888555398E-4</v>
      </c>
      <c r="E14852" s="2">
        <v>3.2400732256548903E-5</v>
      </c>
      <c r="F14852" s="2">
        <v>2.44390585760074E-4</v>
      </c>
    </row>
    <row r="14853" spans="1:6" x14ac:dyDescent="0.25">
      <c r="A14853" s="1" t="str">
        <f t="shared" si="558"/>
        <v>26420</v>
      </c>
      <c r="B14853" s="1" t="str">
        <f>"77291"</f>
        <v>77291</v>
      </c>
      <c r="C14853" s="2">
        <v>1.5586463614775901E-4</v>
      </c>
      <c r="D14853" s="2">
        <v>4.7063849956440899E-4</v>
      </c>
      <c r="E14853" s="2">
        <v>1.62003661282744E-5</v>
      </c>
      <c r="F14853" s="2">
        <v>1.8178062133886701E-4</v>
      </c>
    </row>
    <row r="14854" spans="1:6" x14ac:dyDescent="0.25">
      <c r="A14854" s="1" t="str">
        <f t="shared" si="558"/>
        <v>26420</v>
      </c>
      <c r="B14854" s="1" t="str">
        <f>"77417"</f>
        <v>77417</v>
      </c>
      <c r="C14854" s="2">
        <v>2.6996162470036803E-4</v>
      </c>
      <c r="D14854" s="2">
        <v>4.0054340388460297E-5</v>
      </c>
      <c r="E14854" s="2">
        <v>1.7820402741101899E-4</v>
      </c>
      <c r="F14854" s="2">
        <v>2.4741522172245102E-4</v>
      </c>
    </row>
    <row r="14855" spans="1:6" x14ac:dyDescent="0.25">
      <c r="A14855" s="1" t="str">
        <f t="shared" si="558"/>
        <v>26420</v>
      </c>
      <c r="B14855" s="1" t="str">
        <f>"77318"</f>
        <v>77318</v>
      </c>
      <c r="C14855" s="2">
        <v>2.84767067262551E-3</v>
      </c>
      <c r="D14855" s="2">
        <v>1.1081700840807299E-3</v>
      </c>
      <c r="E14855" s="2">
        <v>8.9102013705509705E-4</v>
      </c>
      <c r="F14855" s="2">
        <v>2.6535131297934799E-3</v>
      </c>
    </row>
    <row r="14856" spans="1:6" x14ac:dyDescent="0.25">
      <c r="A14856" s="1" t="str">
        <f t="shared" si="558"/>
        <v>26420</v>
      </c>
      <c r="B14856" s="1" t="str">
        <f>"77301"</f>
        <v>77301</v>
      </c>
      <c r="C14856" s="2">
        <v>4.4616676565259498E-3</v>
      </c>
      <c r="D14856" s="2">
        <v>7.8773536097305301E-3</v>
      </c>
      <c r="E14856" s="2">
        <v>6.0103358335898303E-3</v>
      </c>
      <c r="F14856" s="2">
        <v>4.8000972722925502E-3</v>
      </c>
    </row>
    <row r="14857" spans="1:6" x14ac:dyDescent="0.25">
      <c r="A14857" s="1" t="str">
        <f t="shared" si="558"/>
        <v>26420</v>
      </c>
      <c r="B14857" s="1" t="str">
        <f>"77226"</f>
        <v>77226</v>
      </c>
      <c r="C14857" s="2">
        <v>1.5892080548399E-4</v>
      </c>
      <c r="D14857" s="2">
        <v>3.6382692519518097E-4</v>
      </c>
      <c r="E14857" s="2">
        <v>3.2400732256548903E-5</v>
      </c>
      <c r="F14857" s="2">
        <v>1.75126422221637E-4</v>
      </c>
    </row>
    <row r="14858" spans="1:6" x14ac:dyDescent="0.25">
      <c r="A14858" s="1" t="str">
        <f t="shared" si="558"/>
        <v>26420</v>
      </c>
      <c r="B14858" s="1" t="str">
        <f>"77280"</f>
        <v>77280</v>
      </c>
      <c r="C14858" s="2">
        <v>4.1699732721012798E-4</v>
      </c>
      <c r="D14858" s="2">
        <v>9.0456052043939601E-4</v>
      </c>
      <c r="E14858" s="2">
        <v>3.2400732256548903E-5</v>
      </c>
      <c r="F14858" s="2">
        <v>4.5399785795281099E-4</v>
      </c>
    </row>
    <row r="14859" spans="1:6" x14ac:dyDescent="0.25">
      <c r="A14859" s="1" t="str">
        <f t="shared" si="558"/>
        <v>26420</v>
      </c>
      <c r="B14859" s="1" t="str">
        <f>"77252"</f>
        <v>77252</v>
      </c>
      <c r="C14859" s="2">
        <v>9.57599725352248E-5</v>
      </c>
      <c r="D14859" s="2">
        <v>1.0914807755855399E-3</v>
      </c>
      <c r="E14859" s="2">
        <v>4.8601098384823398E-5</v>
      </c>
      <c r="F14859" s="2">
        <v>1.8510772089748201E-4</v>
      </c>
    </row>
    <row r="14860" spans="1:6" x14ac:dyDescent="0.25">
      <c r="A14860" s="1" t="str">
        <f t="shared" si="558"/>
        <v>26420</v>
      </c>
      <c r="B14860" s="1" t="str">
        <f>"77358"</f>
        <v>77358</v>
      </c>
      <c r="C14860" s="2">
        <v>5.9765089241842399E-5</v>
      </c>
      <c r="D14860" s="2">
        <v>3.3378616990383599E-6</v>
      </c>
      <c r="E14860" s="2">
        <v>3.2400732256548903E-5</v>
      </c>
      <c r="F14860" s="2">
        <v>5.4140983726551098E-5</v>
      </c>
    </row>
    <row r="14861" spans="1:6" x14ac:dyDescent="0.25">
      <c r="A14861" s="1" t="str">
        <f t="shared" si="558"/>
        <v>26420</v>
      </c>
      <c r="B14861" s="1" t="str">
        <f>"77253"</f>
        <v>77253</v>
      </c>
      <c r="C14861" s="2">
        <v>1.2632166589753E-4</v>
      </c>
      <c r="D14861" s="2">
        <v>9.3460127573074105E-4</v>
      </c>
      <c r="E14861" s="2">
        <v>4.8601098384823398E-5</v>
      </c>
      <c r="F14861" s="2">
        <v>1.9811365553570301E-4</v>
      </c>
    </row>
    <row r="14862" spans="1:6" x14ac:dyDescent="0.25">
      <c r="A14862" s="1" t="str">
        <f t="shared" si="558"/>
        <v>26420</v>
      </c>
      <c r="B14862" s="1" t="str">
        <f>"77255"</f>
        <v>77255</v>
      </c>
      <c r="C14862" s="2">
        <v>2.6215141417444498E-4</v>
      </c>
      <c r="D14862" s="2">
        <v>1.5220649347614901E-3</v>
      </c>
      <c r="E14862" s="2">
        <v>3.2400732256548903E-5</v>
      </c>
      <c r="F14862" s="2">
        <v>3.7203022337239E-4</v>
      </c>
    </row>
    <row r="14863" spans="1:6" x14ac:dyDescent="0.25">
      <c r="A14863" s="1" t="str">
        <f t="shared" si="558"/>
        <v>26420</v>
      </c>
      <c r="B14863" s="1" t="str">
        <f>"77274"</f>
        <v>77274</v>
      </c>
      <c r="C14863" s="2">
        <v>5.4671473681458104E-4</v>
      </c>
      <c r="D14863" s="2">
        <v>8.7118190344901195E-4</v>
      </c>
      <c r="E14863" s="2">
        <v>3.2400732256548903E-5</v>
      </c>
      <c r="F14863" s="2">
        <v>5.6651431575324099E-4</v>
      </c>
    </row>
    <row r="14864" spans="1:6" x14ac:dyDescent="0.25">
      <c r="A14864" s="1" t="str">
        <f t="shared" si="558"/>
        <v>26420</v>
      </c>
      <c r="B14864" s="1" t="str">
        <f>"77220"</f>
        <v>77220</v>
      </c>
      <c r="C14864" s="2">
        <v>2.2683567962244699E-4</v>
      </c>
      <c r="D14864" s="2">
        <v>5.5074718034132898E-4</v>
      </c>
      <c r="E14864" s="2">
        <v>3.2400732256548903E-5</v>
      </c>
      <c r="F14864" s="2">
        <v>2.52557102858492E-4</v>
      </c>
    </row>
    <row r="14865" spans="1:6" x14ac:dyDescent="0.25">
      <c r="A14865" s="1" t="str">
        <f t="shared" si="558"/>
        <v>26420</v>
      </c>
      <c r="B14865" s="1" t="str">
        <f>"77073"</f>
        <v>77073</v>
      </c>
      <c r="C14865" s="2">
        <v>5.0810513086686796E-3</v>
      </c>
      <c r="D14865" s="2">
        <v>3.0474677312220199E-3</v>
      </c>
      <c r="E14865" s="2">
        <v>2.4138545531129001E-3</v>
      </c>
      <c r="F14865" s="2">
        <v>4.8469791297093903E-3</v>
      </c>
    </row>
    <row r="14866" spans="1:6" x14ac:dyDescent="0.25">
      <c r="A14866" s="1" t="str">
        <f t="shared" si="558"/>
        <v>26420</v>
      </c>
      <c r="B14866" s="1" t="str">
        <f>"77075"</f>
        <v>77075</v>
      </c>
      <c r="C14866" s="2">
        <v>4.3686242789562702E-3</v>
      </c>
      <c r="D14866" s="2">
        <v>3.8085001986027699E-3</v>
      </c>
      <c r="E14866" s="2">
        <v>2.8512644385763099E-3</v>
      </c>
      <c r="F14866" s="2">
        <v>4.2895387218432803E-3</v>
      </c>
    </row>
    <row r="14867" spans="1:6" x14ac:dyDescent="0.25">
      <c r="A14867" s="1" t="str">
        <f t="shared" si="558"/>
        <v>26420</v>
      </c>
      <c r="B14867" s="1" t="str">
        <f>"77078"</f>
        <v>77078</v>
      </c>
      <c r="C14867" s="2">
        <v>1.7426956703928099E-3</v>
      </c>
      <c r="D14867" s="2">
        <v>4.9734139315671497E-4</v>
      </c>
      <c r="E14867" s="2">
        <v>1.13402562897921E-3</v>
      </c>
      <c r="F14867" s="2">
        <v>1.6184827034680101E-3</v>
      </c>
    </row>
    <row r="14868" spans="1:6" x14ac:dyDescent="0.25">
      <c r="A14868" s="1" t="str">
        <f t="shared" si="558"/>
        <v>26420</v>
      </c>
      <c r="B14868" s="1" t="str">
        <f>"77080"</f>
        <v>77080</v>
      </c>
      <c r="C14868" s="2">
        <v>6.2335667227983102E-3</v>
      </c>
      <c r="D14868" s="2">
        <v>4.35590951724506E-3</v>
      </c>
      <c r="E14868" s="2">
        <v>8.3755892883179105E-3</v>
      </c>
      <c r="F14868" s="2">
        <v>6.1034129084808599E-3</v>
      </c>
    </row>
    <row r="14869" spans="1:6" x14ac:dyDescent="0.25">
      <c r="A14869" s="1" t="str">
        <f t="shared" si="558"/>
        <v>26420</v>
      </c>
      <c r="B14869" s="1" t="str">
        <f>"77068"</f>
        <v>77068</v>
      </c>
      <c r="C14869" s="2">
        <v>1.6754599449957401E-3</v>
      </c>
      <c r="D14869" s="2">
        <v>3.6349313902527699E-3</v>
      </c>
      <c r="E14869" s="2">
        <v>1.49043368380125E-3</v>
      </c>
      <c r="F14869" s="2">
        <v>1.8495648909936299E-3</v>
      </c>
    </row>
    <row r="14870" spans="1:6" x14ac:dyDescent="0.25">
      <c r="A14870" s="1" t="str">
        <f t="shared" si="558"/>
        <v>26420</v>
      </c>
      <c r="B14870" s="1" t="str">
        <f>"77071"</f>
        <v>77071</v>
      </c>
      <c r="C14870" s="2">
        <v>3.6069589654934698E-3</v>
      </c>
      <c r="D14870" s="2">
        <v>1.7490395302961E-3</v>
      </c>
      <c r="E14870" s="2">
        <v>1.78204027411019E-3</v>
      </c>
      <c r="F14870" s="2">
        <v>3.4045302392517198E-3</v>
      </c>
    </row>
    <row r="14871" spans="1:6" x14ac:dyDescent="0.25">
      <c r="A14871" s="1" t="str">
        <f t="shared" si="558"/>
        <v>26420</v>
      </c>
      <c r="B14871" s="1" t="str">
        <f>"77079"</f>
        <v>77079</v>
      </c>
      <c r="C14871" s="2">
        <v>5.4966903383960397E-3</v>
      </c>
      <c r="D14871" s="2">
        <v>7.62701398230265E-3</v>
      </c>
      <c r="E14871" s="2">
        <v>7.54937061577591E-3</v>
      </c>
      <c r="F14871" s="2">
        <v>5.7280555855498596E-3</v>
      </c>
    </row>
    <row r="14872" spans="1:6" x14ac:dyDescent="0.25">
      <c r="A14872" s="1" t="str">
        <f t="shared" si="558"/>
        <v>26420</v>
      </c>
      <c r="B14872" s="1" t="str">
        <f>"77573"</f>
        <v>77573</v>
      </c>
      <c r="C14872" s="2">
        <v>1.2077981216783201E-2</v>
      </c>
      <c r="D14872" s="2">
        <v>6.0949354624440398E-3</v>
      </c>
      <c r="E14872" s="2">
        <v>6.3505435222836002E-3</v>
      </c>
      <c r="F14872" s="2">
        <v>1.1428889447438299E-2</v>
      </c>
    </row>
    <row r="14873" spans="1:6" x14ac:dyDescent="0.25">
      <c r="A14873" s="1" t="str">
        <f t="shared" si="558"/>
        <v>26420</v>
      </c>
      <c r="B14873" s="1" t="str">
        <f>"77584"</f>
        <v>77584</v>
      </c>
      <c r="C14873" s="2">
        <v>1.1594087738546701E-2</v>
      </c>
      <c r="D14873" s="2">
        <v>7.8105963757497598E-3</v>
      </c>
      <c r="E14873" s="2">
        <v>5.6701281448960699E-3</v>
      </c>
      <c r="F14873" s="2">
        <v>1.11406416402237E-2</v>
      </c>
    </row>
    <row r="14874" spans="1:6" x14ac:dyDescent="0.25">
      <c r="A14874" s="1" t="str">
        <f t="shared" si="558"/>
        <v>26420</v>
      </c>
      <c r="B14874" s="1" t="str">
        <f>"77459"</f>
        <v>77459</v>
      </c>
      <c r="C14874" s="2">
        <v>9.6388185121005603E-3</v>
      </c>
      <c r="D14874" s="2">
        <v>5.7845143244334802E-3</v>
      </c>
      <c r="E14874" s="2">
        <v>3.09426993050042E-3</v>
      </c>
      <c r="F14874" s="2">
        <v>9.1673691383689204E-3</v>
      </c>
    </row>
    <row r="14875" spans="1:6" x14ac:dyDescent="0.25">
      <c r="A14875" s="1" t="str">
        <f t="shared" si="558"/>
        <v>26420</v>
      </c>
      <c r="B14875" s="1" t="str">
        <f>"77517"</f>
        <v>77517</v>
      </c>
      <c r="C14875" s="2">
        <v>8.0003721735102701E-4</v>
      </c>
      <c r="D14875" s="2">
        <v>2.5367748912691497E-4</v>
      </c>
      <c r="E14875" s="2">
        <v>4.8601098384823399E-4</v>
      </c>
      <c r="F14875" s="2">
        <v>7.4466537393725598E-4</v>
      </c>
    </row>
    <row r="14876" spans="1:6" x14ac:dyDescent="0.25">
      <c r="A14876" s="1" t="str">
        <f t="shared" si="558"/>
        <v>26420</v>
      </c>
      <c r="B14876" s="1" t="str">
        <f>"77518"</f>
        <v>77518</v>
      </c>
      <c r="C14876" s="2">
        <v>1.84253053537634E-3</v>
      </c>
      <c r="D14876" s="2">
        <v>1.0380749884009301E-3</v>
      </c>
      <c r="E14876" s="2">
        <v>1.81444100636674E-3</v>
      </c>
      <c r="F14876" s="2">
        <v>1.76910957439439E-3</v>
      </c>
    </row>
    <row r="14877" spans="1:6" x14ac:dyDescent="0.25">
      <c r="A14877" s="1" t="str">
        <f t="shared" si="558"/>
        <v>26420</v>
      </c>
      <c r="B14877" s="1" t="str">
        <f>"77396"</f>
        <v>77396</v>
      </c>
      <c r="C14877" s="2">
        <v>6.95244566555388E-3</v>
      </c>
      <c r="D14877" s="2">
        <v>3.5214440924854701E-3</v>
      </c>
      <c r="E14877" s="2">
        <v>3.3534757885528201E-3</v>
      </c>
      <c r="F14877" s="2">
        <v>6.5743487278229901E-3</v>
      </c>
    </row>
    <row r="14878" spans="1:6" x14ac:dyDescent="0.25">
      <c r="A14878" s="1" t="str">
        <f t="shared" si="558"/>
        <v>26420</v>
      </c>
      <c r="B14878" s="1" t="str">
        <f>"77054"</f>
        <v>77054</v>
      </c>
      <c r="C14878" s="2">
        <v>5.48208864045627E-3</v>
      </c>
      <c r="D14878" s="2">
        <v>5.7845143244334802E-3</v>
      </c>
      <c r="E14878" s="2">
        <v>5.44332301910023E-3</v>
      </c>
      <c r="F14878" s="2">
        <v>5.5087694782775098E-3</v>
      </c>
    </row>
    <row r="14879" spans="1:6" x14ac:dyDescent="0.25">
      <c r="A14879" s="1" t="str">
        <f t="shared" si="558"/>
        <v>26420</v>
      </c>
      <c r="B14879" s="1" t="str">
        <f>"77063"</f>
        <v>77063</v>
      </c>
      <c r="C14879" s="2">
        <v>7.1164600865982501E-3</v>
      </c>
      <c r="D14879" s="2">
        <v>9.0355916192968403E-3</v>
      </c>
      <c r="E14879" s="2">
        <v>8.7805984415247704E-3</v>
      </c>
      <c r="F14879" s="2">
        <v>7.32143381053014E-3</v>
      </c>
    </row>
    <row r="14880" spans="1:6" x14ac:dyDescent="0.25">
      <c r="A14880" s="1" t="str">
        <f t="shared" si="558"/>
        <v>26420</v>
      </c>
      <c r="B14880" s="1" t="str">
        <f>"77008"</f>
        <v>77008</v>
      </c>
      <c r="C14880" s="2">
        <v>7.0475264893477196E-3</v>
      </c>
      <c r="D14880" s="2">
        <v>8.4981958857516596E-3</v>
      </c>
      <c r="E14880" s="2">
        <v>2.04448620538824E-2</v>
      </c>
      <c r="F14880" s="2">
        <v>7.4291108507907704E-3</v>
      </c>
    </row>
    <row r="14881" spans="1:6" x14ac:dyDescent="0.25">
      <c r="A14881" s="1" t="str">
        <f t="shared" si="558"/>
        <v>26420</v>
      </c>
      <c r="B14881" s="1" t="str">
        <f>"77011"</f>
        <v>77011</v>
      </c>
      <c r="C14881" s="2">
        <v>2.37634144610462E-3</v>
      </c>
      <c r="D14881" s="2">
        <v>3.4112946564172002E-3</v>
      </c>
      <c r="E14881" s="2">
        <v>1.21178738639493E-2</v>
      </c>
      <c r="F14881" s="2">
        <v>2.65200081181229E-3</v>
      </c>
    </row>
    <row r="14882" spans="1:6" x14ac:dyDescent="0.25">
      <c r="A14882" s="1" t="str">
        <f t="shared" si="558"/>
        <v>26420</v>
      </c>
      <c r="B14882" s="1" t="str">
        <f>"77017"</f>
        <v>77017</v>
      </c>
      <c r="C14882" s="2">
        <v>3.8738644208575999E-3</v>
      </c>
      <c r="D14882" s="2">
        <v>4.0988941664191004E-3</v>
      </c>
      <c r="E14882" s="2">
        <v>6.6421501125925398E-3</v>
      </c>
      <c r="F14882" s="2">
        <v>3.9459400765172398E-3</v>
      </c>
    </row>
    <row r="14883" spans="1:6" x14ac:dyDescent="0.25">
      <c r="A14883" s="1" t="str">
        <f t="shared" si="558"/>
        <v>26420</v>
      </c>
      <c r="B14883" s="1" t="str">
        <f>"77024"</f>
        <v>77024</v>
      </c>
      <c r="C14883" s="2">
        <v>6.5677079035595196E-3</v>
      </c>
      <c r="D14883" s="2">
        <v>1.25503599883842E-2</v>
      </c>
      <c r="E14883" s="2">
        <v>9.6392178463233207E-3</v>
      </c>
      <c r="F14883" s="2">
        <v>7.1671773764489096E-3</v>
      </c>
    </row>
    <row r="14884" spans="1:6" x14ac:dyDescent="0.25">
      <c r="A14884" s="1" t="str">
        <f t="shared" ref="A14884:A14924" si="559">"26460"</f>
        <v>26460</v>
      </c>
      <c r="B14884" s="1" t="str">
        <f>"12165"</f>
        <v>12165</v>
      </c>
      <c r="C14884" s="2">
        <v>2.6101247059581701E-3</v>
      </c>
      <c r="D14884" s="2">
        <v>1.24018189334435E-3</v>
      </c>
      <c r="E14884" s="2">
        <v>2.0689655172413698E-3</v>
      </c>
      <c r="F14884" s="2">
        <v>2.4926938284338999E-3</v>
      </c>
    </row>
    <row r="14885" spans="1:6" x14ac:dyDescent="0.25">
      <c r="A14885" s="1" t="str">
        <f t="shared" si="559"/>
        <v>26460</v>
      </c>
      <c r="B14885" s="1" t="str">
        <f>"12526"</f>
        <v>12526</v>
      </c>
      <c r="C14885" s="2">
        <v>5.7390519769277802E-2</v>
      </c>
      <c r="D14885" s="2">
        <v>3.8032244729226901E-2</v>
      </c>
      <c r="E14885" s="2">
        <v>6.4137931034482704E-2</v>
      </c>
      <c r="F14885" s="2">
        <v>5.6329150191966E-2</v>
      </c>
    </row>
    <row r="14886" spans="1:6" x14ac:dyDescent="0.25">
      <c r="A14886" s="1" t="str">
        <f t="shared" si="559"/>
        <v>26460</v>
      </c>
      <c r="B14886" s="1" t="str">
        <f>"12115"</f>
        <v>12115</v>
      </c>
      <c r="C14886" s="2">
        <v>1.0633841394644399E-3</v>
      </c>
      <c r="D14886" s="2">
        <v>0</v>
      </c>
      <c r="E14886" s="2">
        <v>6.8965517241379305E-4</v>
      </c>
      <c r="F14886" s="2">
        <v>9.7415620881324805E-4</v>
      </c>
    </row>
    <row r="14887" spans="1:6" x14ac:dyDescent="0.25">
      <c r="A14887" s="1" t="str">
        <f t="shared" si="559"/>
        <v>26460</v>
      </c>
      <c r="B14887" s="1" t="str">
        <f>"12125"</f>
        <v>12125</v>
      </c>
      <c r="C14887" s="2">
        <v>1.6627461089807598E-2</v>
      </c>
      <c r="D14887" s="2">
        <v>1.0334849111202899E-2</v>
      </c>
      <c r="E14887" s="2">
        <v>0.02</v>
      </c>
      <c r="F14887" s="2">
        <v>1.6331442324222099E-2</v>
      </c>
    </row>
    <row r="14888" spans="1:6" x14ac:dyDescent="0.25">
      <c r="A14888" s="1" t="str">
        <f t="shared" si="559"/>
        <v>26460</v>
      </c>
      <c r="B14888" s="1" t="str">
        <f>"12075"</f>
        <v>12075</v>
      </c>
      <c r="C14888" s="2">
        <v>4.3212064576418602E-2</v>
      </c>
      <c r="D14888" s="2">
        <v>2.7697395618023899E-2</v>
      </c>
      <c r="E14888" s="2">
        <v>1.7931034482758599E-2</v>
      </c>
      <c r="F14888" s="2">
        <v>4.1086470689358702E-2</v>
      </c>
    </row>
    <row r="14889" spans="1:6" x14ac:dyDescent="0.25">
      <c r="A14889" s="1" t="str">
        <f t="shared" si="559"/>
        <v>26460</v>
      </c>
      <c r="B14889" s="1" t="str">
        <f>"12050"</f>
        <v>12050</v>
      </c>
      <c r="C14889" s="2">
        <v>3.2223761801952703E-5</v>
      </c>
      <c r="D14889" s="2">
        <v>0</v>
      </c>
      <c r="E14889" s="2">
        <v>6.8965517241379305E-4</v>
      </c>
      <c r="F14889" s="2">
        <v>5.7303306400779298E-5</v>
      </c>
    </row>
    <row r="14890" spans="1:6" x14ac:dyDescent="0.25">
      <c r="A14890" s="1" t="str">
        <f t="shared" si="559"/>
        <v>26460</v>
      </c>
      <c r="B14890" s="1" t="str">
        <f>"12541"</f>
        <v>12541</v>
      </c>
      <c r="C14890" s="2">
        <v>3.2223761801952703E-5</v>
      </c>
      <c r="D14890" s="2">
        <v>0</v>
      </c>
      <c r="E14890" s="2">
        <v>6.8965517241379305E-4</v>
      </c>
      <c r="F14890" s="2">
        <v>5.7303306400779298E-5</v>
      </c>
    </row>
    <row r="14891" spans="1:6" x14ac:dyDescent="0.25">
      <c r="A14891" s="1" t="str">
        <f t="shared" si="559"/>
        <v>26460</v>
      </c>
      <c r="B14891" s="1" t="str">
        <f>"12174"</f>
        <v>12174</v>
      </c>
      <c r="C14891" s="2">
        <v>3.4801662746108898E-3</v>
      </c>
      <c r="D14891" s="2">
        <v>0</v>
      </c>
      <c r="E14891" s="2">
        <v>1.37931034482758E-3</v>
      </c>
      <c r="F14891" s="2">
        <v>3.1516818520428598E-3</v>
      </c>
    </row>
    <row r="14892" spans="1:6" x14ac:dyDescent="0.25">
      <c r="A14892" s="1" t="str">
        <f t="shared" si="559"/>
        <v>26460</v>
      </c>
      <c r="B14892" s="1" t="str">
        <f>"12024"</f>
        <v>12024</v>
      </c>
      <c r="C14892" s="2">
        <v>1.96564946991911E-3</v>
      </c>
      <c r="D14892" s="2">
        <v>8.2678792889623797E-4</v>
      </c>
      <c r="E14892" s="2">
        <v>0</v>
      </c>
      <c r="F14892" s="2">
        <v>1.8050541516245399E-3</v>
      </c>
    </row>
    <row r="14893" spans="1:6" x14ac:dyDescent="0.25">
      <c r="A14893" s="1" t="str">
        <f t="shared" si="559"/>
        <v>26460</v>
      </c>
      <c r="B14893" s="1" t="str">
        <f>"12517"</f>
        <v>12517</v>
      </c>
      <c r="C14893" s="2">
        <v>5.7680533625495403E-3</v>
      </c>
      <c r="D14893" s="2">
        <v>1.6535758577924701E-3</v>
      </c>
      <c r="E14893" s="2">
        <v>6.8965517241379305E-4</v>
      </c>
      <c r="F14893" s="2">
        <v>5.27190418887169E-3</v>
      </c>
    </row>
    <row r="14894" spans="1:6" x14ac:dyDescent="0.25">
      <c r="A14894" s="1" t="str">
        <f t="shared" si="559"/>
        <v>26460</v>
      </c>
      <c r="B14894" s="1" t="str">
        <f>"12173"</f>
        <v>12173</v>
      </c>
      <c r="C14894" s="2">
        <v>2.5456771823542598E-2</v>
      </c>
      <c r="D14894" s="2">
        <v>8.2678792889623806E-3</v>
      </c>
      <c r="E14894" s="2">
        <v>1.9310344827586201E-2</v>
      </c>
      <c r="F14894" s="2">
        <v>2.4010085381926501E-2</v>
      </c>
    </row>
    <row r="14895" spans="1:6" x14ac:dyDescent="0.25">
      <c r="A14895" s="1" t="str">
        <f t="shared" si="559"/>
        <v>26460</v>
      </c>
      <c r="B14895" s="1" t="str">
        <f>"12534"</f>
        <v>12534</v>
      </c>
      <c r="C14895" s="2">
        <v>0.32359101601520901</v>
      </c>
      <c r="D14895" s="2">
        <v>0.60603555188094205</v>
      </c>
      <c r="E14895" s="2">
        <v>0.53103448275861997</v>
      </c>
      <c r="F14895" s="2">
        <v>0.35178499799438401</v>
      </c>
    </row>
    <row r="14896" spans="1:6" x14ac:dyDescent="0.25">
      <c r="A14896" s="1" t="str">
        <f t="shared" si="559"/>
        <v>26460</v>
      </c>
      <c r="B14896" s="1" t="str">
        <f>"12521"</f>
        <v>12521</v>
      </c>
      <c r="C14896" s="2">
        <v>3.0483678664647299E-2</v>
      </c>
      <c r="D14896" s="2">
        <v>8.6812732534105007E-3</v>
      </c>
      <c r="E14896" s="2">
        <v>1.4482758620689601E-2</v>
      </c>
      <c r="F14896" s="2">
        <v>2.8307833361984901E-2</v>
      </c>
    </row>
    <row r="14897" spans="1:6" x14ac:dyDescent="0.25">
      <c r="A14897" s="1" t="str">
        <f t="shared" si="559"/>
        <v>26460</v>
      </c>
      <c r="B14897" s="1" t="str">
        <f>"12502"</f>
        <v>12502</v>
      </c>
      <c r="C14897" s="2">
        <v>2.15899204073083E-2</v>
      </c>
      <c r="D14897" s="2">
        <v>1.0334849111202899E-2</v>
      </c>
      <c r="E14897" s="2">
        <v>1.0344827586206799E-2</v>
      </c>
      <c r="F14897" s="2">
        <v>2.0342673772276599E-2</v>
      </c>
    </row>
    <row r="14898" spans="1:6" x14ac:dyDescent="0.25">
      <c r="A14898" s="1" t="str">
        <f t="shared" si="559"/>
        <v>26460</v>
      </c>
      <c r="B14898" s="1" t="str">
        <f>"12017"</f>
        <v>12017</v>
      </c>
      <c r="C14898" s="2">
        <v>4.6724454612831496E-3</v>
      </c>
      <c r="D14898" s="2">
        <v>0</v>
      </c>
      <c r="E14898" s="2">
        <v>3.4482758620689598E-3</v>
      </c>
      <c r="F14898" s="2">
        <v>4.29774798005844E-3</v>
      </c>
    </row>
    <row r="14899" spans="1:6" x14ac:dyDescent="0.25">
      <c r="A14899" s="1" t="str">
        <f t="shared" si="559"/>
        <v>26460</v>
      </c>
      <c r="B14899" s="1" t="str">
        <f>"12195"</f>
        <v>12195</v>
      </c>
      <c r="C14899" s="2">
        <v>1.93342570811716E-4</v>
      </c>
      <c r="D14899" s="2">
        <v>0</v>
      </c>
      <c r="E14899" s="2">
        <v>6.8965517241379305E-4</v>
      </c>
      <c r="F14899" s="2">
        <v>2.00561572402727E-4</v>
      </c>
    </row>
    <row r="14900" spans="1:6" x14ac:dyDescent="0.25">
      <c r="A14900" s="1" t="str">
        <f t="shared" si="559"/>
        <v>26460</v>
      </c>
      <c r="B14900" s="1" t="str">
        <f>"12530"</f>
        <v>12530</v>
      </c>
      <c r="C14900" s="2">
        <v>1.2567267102761501E-3</v>
      </c>
      <c r="D14900" s="2">
        <v>4.1339396444811899E-4</v>
      </c>
      <c r="E14900" s="2">
        <v>6.8965517241379305E-4</v>
      </c>
      <c r="F14900" s="2">
        <v>1.17471778121597E-3</v>
      </c>
    </row>
    <row r="14901" spans="1:6" x14ac:dyDescent="0.25">
      <c r="A14901" s="1" t="str">
        <f t="shared" si="559"/>
        <v>26460</v>
      </c>
      <c r="B14901" s="1" t="str">
        <f>"12123"</f>
        <v>12123</v>
      </c>
      <c r="C14901" s="2">
        <v>9.3448909225663001E-4</v>
      </c>
      <c r="D14901" s="2">
        <v>4.1339396444811899E-4</v>
      </c>
      <c r="E14901" s="2">
        <v>0</v>
      </c>
      <c r="F14901" s="2">
        <v>8.5954959601168904E-4</v>
      </c>
    </row>
    <row r="14902" spans="1:6" x14ac:dyDescent="0.25">
      <c r="A14902" s="1" t="str">
        <f t="shared" si="559"/>
        <v>26460</v>
      </c>
      <c r="B14902" s="1" t="str">
        <f>"12156"</f>
        <v>12156</v>
      </c>
      <c r="C14902" s="2">
        <v>2.6101247059581701E-3</v>
      </c>
      <c r="D14902" s="2">
        <v>0</v>
      </c>
      <c r="E14902" s="2">
        <v>0</v>
      </c>
      <c r="F14902" s="2">
        <v>2.3207839092315601E-3</v>
      </c>
    </row>
    <row r="14903" spans="1:6" x14ac:dyDescent="0.25">
      <c r="A14903" s="1" t="str">
        <f t="shared" si="559"/>
        <v>26460</v>
      </c>
      <c r="B14903" s="1" t="str">
        <f>"12571"</f>
        <v>12571</v>
      </c>
      <c r="C14903" s="2">
        <v>1.09238552508619E-2</v>
      </c>
      <c r="D14903" s="2">
        <v>2.0669698222405899E-3</v>
      </c>
      <c r="E14903" s="2">
        <v>1.37931034482758E-3</v>
      </c>
      <c r="F14903" s="2">
        <v>9.9134720073348198E-3</v>
      </c>
    </row>
    <row r="14904" spans="1:6" x14ac:dyDescent="0.25">
      <c r="A14904" s="1" t="str">
        <f t="shared" si="559"/>
        <v>26460</v>
      </c>
      <c r="B14904" s="1" t="str">
        <f>"12516"</f>
        <v>12516</v>
      </c>
      <c r="C14904" s="2">
        <v>2.8066896529500798E-2</v>
      </c>
      <c r="D14904" s="2">
        <v>1.44687887556841E-2</v>
      </c>
      <c r="E14904" s="2">
        <v>7.5862068965517199E-3</v>
      </c>
      <c r="F14904" s="2">
        <v>2.6273565984757299E-2</v>
      </c>
    </row>
    <row r="14905" spans="1:6" x14ac:dyDescent="0.25">
      <c r="A14905" s="1" t="str">
        <f t="shared" si="559"/>
        <v>26460</v>
      </c>
      <c r="B14905" s="1" t="str">
        <f>"12106"</f>
        <v>12106</v>
      </c>
      <c r="C14905" s="2">
        <v>3.12892727096961E-2</v>
      </c>
      <c r="D14905" s="2">
        <v>1.57089706490285E-2</v>
      </c>
      <c r="E14905" s="2">
        <v>2.2068965517241301E-2</v>
      </c>
      <c r="F14905" s="2">
        <v>2.98263709816056E-2</v>
      </c>
    </row>
    <row r="14906" spans="1:6" x14ac:dyDescent="0.25">
      <c r="A14906" s="1" t="str">
        <f t="shared" si="559"/>
        <v>26460</v>
      </c>
      <c r="B14906" s="1" t="str">
        <f>"12184"</f>
        <v>12184</v>
      </c>
      <c r="C14906" s="2">
        <v>9.2643315180614097E-2</v>
      </c>
      <c r="D14906" s="2">
        <v>4.3819760231500603E-2</v>
      </c>
      <c r="E14906" s="2">
        <v>8.1379310344827496E-2</v>
      </c>
      <c r="F14906" s="2">
        <v>8.8791473268007501E-2</v>
      </c>
    </row>
    <row r="14907" spans="1:6" x14ac:dyDescent="0.25">
      <c r="A14907" s="1" t="str">
        <f t="shared" si="559"/>
        <v>26460</v>
      </c>
      <c r="B14907" s="1" t="str">
        <f>"12544"</f>
        <v>12544</v>
      </c>
      <c r="C14907" s="2">
        <v>3.2223761801952703E-5</v>
      </c>
      <c r="D14907" s="2">
        <v>0</v>
      </c>
      <c r="E14907" s="2">
        <v>6.8965517241379305E-4</v>
      </c>
      <c r="F14907" s="2">
        <v>5.7303306400779298E-5</v>
      </c>
    </row>
    <row r="14908" spans="1:6" x14ac:dyDescent="0.25">
      <c r="A14908" s="1" t="str">
        <f t="shared" si="559"/>
        <v>26460</v>
      </c>
      <c r="B14908" s="1" t="str">
        <f>"12565"</f>
        <v>12565</v>
      </c>
      <c r="C14908" s="2">
        <v>1.2567267102761501E-3</v>
      </c>
      <c r="D14908" s="2">
        <v>4.1339396444811899E-4</v>
      </c>
      <c r="E14908" s="2">
        <v>2.0689655172413698E-3</v>
      </c>
      <c r="F14908" s="2">
        <v>1.23202108761675E-3</v>
      </c>
    </row>
    <row r="14909" spans="1:6" x14ac:dyDescent="0.25">
      <c r="A14909" s="1" t="str">
        <f t="shared" si="559"/>
        <v>26460</v>
      </c>
      <c r="B14909" s="1" t="str">
        <f>"12567"</f>
        <v>12567</v>
      </c>
      <c r="C14909" s="2">
        <v>6.83143750201398E-3</v>
      </c>
      <c r="D14909" s="2">
        <v>2.0669698222405899E-3</v>
      </c>
      <c r="E14909" s="2">
        <v>1.37931034482758E-3</v>
      </c>
      <c r="F14909" s="2">
        <v>6.2747120508853298E-3</v>
      </c>
    </row>
    <row r="14910" spans="1:6" x14ac:dyDescent="0.25">
      <c r="A14910" s="1" t="str">
        <f t="shared" si="559"/>
        <v>26460</v>
      </c>
      <c r="B14910" s="1" t="str">
        <f>"12546"</f>
        <v>12546</v>
      </c>
      <c r="C14910" s="2">
        <v>2.90013856217574E-3</v>
      </c>
      <c r="D14910" s="2">
        <v>4.1339396444811899E-4</v>
      </c>
      <c r="E14910" s="2">
        <v>0</v>
      </c>
      <c r="F14910" s="2">
        <v>2.60730044123545E-3</v>
      </c>
    </row>
    <row r="14911" spans="1:6" x14ac:dyDescent="0.25">
      <c r="A14911" s="1" t="str">
        <f t="shared" si="559"/>
        <v>26460</v>
      </c>
      <c r="B14911" s="1" t="str">
        <f>"12130"</f>
        <v>12130</v>
      </c>
      <c r="C14911" s="2">
        <v>8.7648632101311498E-3</v>
      </c>
      <c r="D14911" s="2">
        <v>4.1339396444811899E-4</v>
      </c>
      <c r="E14911" s="2">
        <v>1.37931034482758E-3</v>
      </c>
      <c r="F14911" s="2">
        <v>7.8792046301071495E-3</v>
      </c>
    </row>
    <row r="14912" spans="1:6" x14ac:dyDescent="0.25">
      <c r="A14912" s="1" t="str">
        <f t="shared" si="559"/>
        <v>26460</v>
      </c>
      <c r="B14912" s="1" t="str">
        <f>"12132"</f>
        <v>12132</v>
      </c>
      <c r="C14912" s="2">
        <v>0</v>
      </c>
      <c r="D14912" s="2">
        <v>0</v>
      </c>
      <c r="E14912" s="2">
        <v>6.8965517241379305E-4</v>
      </c>
      <c r="F14912" s="2">
        <v>2.8651653200389601E-5</v>
      </c>
    </row>
    <row r="14913" spans="1:6" x14ac:dyDescent="0.25">
      <c r="A14913" s="1" t="str">
        <f t="shared" si="559"/>
        <v>26460</v>
      </c>
      <c r="B14913" s="1" t="str">
        <f>"12136"</f>
        <v>12136</v>
      </c>
      <c r="C14913" s="2">
        <v>1.31472948151967E-2</v>
      </c>
      <c r="D14913" s="2">
        <v>8.6812732534105007E-3</v>
      </c>
      <c r="E14913" s="2">
        <v>4.8275862068965503E-3</v>
      </c>
      <c r="F14913" s="2">
        <v>1.24921207953698E-2</v>
      </c>
    </row>
    <row r="14914" spans="1:6" x14ac:dyDescent="0.25">
      <c r="A14914" s="1" t="str">
        <f t="shared" si="559"/>
        <v>26460</v>
      </c>
      <c r="B14914" s="1" t="str">
        <f>"12172"</f>
        <v>12172</v>
      </c>
      <c r="C14914" s="2">
        <v>5.3169206973222001E-3</v>
      </c>
      <c r="D14914" s="2">
        <v>0</v>
      </c>
      <c r="E14914" s="2">
        <v>8.9655172413793099E-3</v>
      </c>
      <c r="F14914" s="2">
        <v>5.0999942696693503E-3</v>
      </c>
    </row>
    <row r="14915" spans="1:6" x14ac:dyDescent="0.25">
      <c r="A14915" s="1" t="str">
        <f t="shared" si="559"/>
        <v>26460</v>
      </c>
      <c r="B14915" s="1" t="str">
        <f>"12062"</f>
        <v>12062</v>
      </c>
      <c r="C14915" s="2">
        <v>3.5768375600167498E-3</v>
      </c>
      <c r="D14915" s="2">
        <v>8.2678792889623797E-4</v>
      </c>
      <c r="E14915" s="2">
        <v>2.75862068965517E-3</v>
      </c>
      <c r="F14915" s="2">
        <v>3.3522434244455902E-3</v>
      </c>
    </row>
    <row r="14916" spans="1:6" x14ac:dyDescent="0.25">
      <c r="A14916" s="1" t="str">
        <f t="shared" si="559"/>
        <v>26460</v>
      </c>
      <c r="B14916" s="1" t="str">
        <f>"12529"</f>
        <v>12529</v>
      </c>
      <c r="C14916" s="2">
        <v>6.9571101730416002E-2</v>
      </c>
      <c r="D14916" s="2">
        <v>3.9272426622571299E-2</v>
      </c>
      <c r="E14916" s="2">
        <v>2.34482758620689E-2</v>
      </c>
      <c r="F14916" s="2">
        <v>6.5554982522491506E-2</v>
      </c>
    </row>
    <row r="14917" spans="1:6" x14ac:dyDescent="0.25">
      <c r="A14917" s="1" t="str">
        <f t="shared" si="559"/>
        <v>26460</v>
      </c>
      <c r="B14917" s="1" t="str">
        <f>"12523"</f>
        <v>12523</v>
      </c>
      <c r="C14917" s="2">
        <v>3.15148390423097E-2</v>
      </c>
      <c r="D14917" s="2">
        <v>2.8937577511368301E-3</v>
      </c>
      <c r="E14917" s="2">
        <v>1.8620689655172398E-2</v>
      </c>
      <c r="F14917" s="2">
        <v>2.8995473038794298E-2</v>
      </c>
    </row>
    <row r="14918" spans="1:6" x14ac:dyDescent="0.25">
      <c r="A14918" s="1" t="str">
        <f t="shared" si="559"/>
        <v>26460</v>
      </c>
      <c r="B14918" s="1" t="str">
        <f>"12503"</f>
        <v>12503</v>
      </c>
      <c r="C14918" s="2">
        <v>1.40495601456514E-2</v>
      </c>
      <c r="D14918" s="2">
        <v>5.7875155022736602E-3</v>
      </c>
      <c r="E14918" s="2">
        <v>1.37931034482758E-3</v>
      </c>
      <c r="F14918" s="2">
        <v>1.29505472465761E-2</v>
      </c>
    </row>
    <row r="14919" spans="1:6" x14ac:dyDescent="0.25">
      <c r="A14919" s="1" t="str">
        <f t="shared" si="559"/>
        <v>26460</v>
      </c>
      <c r="B14919" s="1" t="str">
        <f>"12060"</f>
        <v>12060</v>
      </c>
      <c r="C14919" s="2">
        <v>2.25566332613669E-2</v>
      </c>
      <c r="D14919" s="2">
        <v>2.48036378668871E-3</v>
      </c>
      <c r="E14919" s="2">
        <v>2.0689655172413698E-3</v>
      </c>
      <c r="F14919" s="2">
        <v>2.0314022119076201E-2</v>
      </c>
    </row>
    <row r="14920" spans="1:6" x14ac:dyDescent="0.25">
      <c r="A14920" s="1" t="str">
        <f t="shared" si="559"/>
        <v>26460</v>
      </c>
      <c r="B14920" s="1" t="str">
        <f>"12513"</f>
        <v>12513</v>
      </c>
      <c r="C14920" s="2">
        <v>2.81313440531047E-2</v>
      </c>
      <c r="D14920" s="2">
        <v>4.34063662670525E-2</v>
      </c>
      <c r="E14920" s="2">
        <v>6.8965517241379301E-3</v>
      </c>
      <c r="F14920" s="2">
        <v>2.8307833361984901E-2</v>
      </c>
    </row>
    <row r="14921" spans="1:6" x14ac:dyDescent="0.25">
      <c r="A14921" s="1" t="str">
        <f t="shared" si="559"/>
        <v>26460</v>
      </c>
      <c r="B14921" s="1" t="str">
        <f>"12583"</f>
        <v>12583</v>
      </c>
      <c r="C14921" s="2">
        <v>9.6349047787838704E-3</v>
      </c>
      <c r="D14921" s="2">
        <v>3.3071517155849502E-3</v>
      </c>
      <c r="E14921" s="2">
        <v>8.2758620689655105E-3</v>
      </c>
      <c r="F14921" s="2">
        <v>9.1398773709242993E-3</v>
      </c>
    </row>
    <row r="14922" spans="1:6" x14ac:dyDescent="0.25">
      <c r="A14922" s="1" t="str">
        <f t="shared" si="559"/>
        <v>26460</v>
      </c>
      <c r="B14922" s="1" t="str">
        <f>"12029"</f>
        <v>12029</v>
      </c>
      <c r="C14922" s="2">
        <v>1.51129442851158E-2</v>
      </c>
      <c r="D14922" s="2">
        <v>8.2678792889623806E-3</v>
      </c>
      <c r="E14922" s="2">
        <v>4.8275862068965503E-3</v>
      </c>
      <c r="F14922" s="2">
        <v>1.4211219987393201E-2</v>
      </c>
    </row>
    <row r="14923" spans="1:6" x14ac:dyDescent="0.25">
      <c r="A14923" s="1" t="str">
        <f t="shared" si="559"/>
        <v>26460</v>
      </c>
      <c r="B14923" s="1" t="str">
        <f>"12168"</f>
        <v>12168</v>
      </c>
      <c r="C14923" s="2">
        <v>3.2223761801952703E-5</v>
      </c>
      <c r="D14923" s="2">
        <v>0</v>
      </c>
      <c r="E14923" s="2">
        <v>0</v>
      </c>
      <c r="F14923" s="2">
        <v>2.8651653200389601E-5</v>
      </c>
    </row>
    <row r="14924" spans="1:6" x14ac:dyDescent="0.25">
      <c r="A14924" s="1" t="str">
        <f t="shared" si="559"/>
        <v>26460</v>
      </c>
      <c r="B14924" s="1" t="str">
        <f>"12037"</f>
        <v>12037</v>
      </c>
      <c r="C14924" s="2">
        <v>6.1676280088937503E-2</v>
      </c>
      <c r="D14924" s="2">
        <v>9.1773460107482399E-2</v>
      </c>
      <c r="E14924" s="2">
        <v>0.11103448275862</v>
      </c>
      <c r="F14924" s="2">
        <v>6.5812847401295005E-2</v>
      </c>
    </row>
    <row r="14925" spans="1:6" x14ac:dyDescent="0.25">
      <c r="A14925" s="1" t="str">
        <f t="shared" ref="A14925:A14961" si="560">"26500"</f>
        <v>26500</v>
      </c>
      <c r="B14925" s="1" t="str">
        <f>"16657"</f>
        <v>16657</v>
      </c>
      <c r="C14925" s="2">
        <v>3.2355478861087097E-2</v>
      </c>
      <c r="D14925" s="2">
        <v>2.3677979479084399E-2</v>
      </c>
      <c r="E14925" s="2">
        <v>6.0362173038229303E-3</v>
      </c>
      <c r="F14925" s="2">
        <v>3.1169982272995798E-2</v>
      </c>
    </row>
    <row r="14926" spans="1:6" x14ac:dyDescent="0.25">
      <c r="A14926" s="1" t="str">
        <f t="shared" si="560"/>
        <v>26500</v>
      </c>
      <c r="B14926" s="1" t="str">
        <f>"17229"</f>
        <v>17229</v>
      </c>
      <c r="C14926" s="2">
        <v>4.0444348576358898E-3</v>
      </c>
      <c r="D14926" s="2">
        <v>1.57853196527229E-3</v>
      </c>
      <c r="E14926" s="2">
        <v>0</v>
      </c>
      <c r="F14926" s="2">
        <v>3.7916092180421499E-3</v>
      </c>
    </row>
    <row r="14927" spans="1:6" x14ac:dyDescent="0.25">
      <c r="A14927" s="1" t="str">
        <f t="shared" si="560"/>
        <v>26500</v>
      </c>
      <c r="B14927" s="1" t="str">
        <f>"16685"</f>
        <v>16685</v>
      </c>
      <c r="C14927" s="2">
        <v>9.3830888697152698E-3</v>
      </c>
      <c r="D14927" s="2">
        <v>7.8926598263614795E-4</v>
      </c>
      <c r="E14927" s="2">
        <v>2.01207243460764E-3</v>
      </c>
      <c r="F14927" s="2">
        <v>8.6665353555249094E-3</v>
      </c>
    </row>
    <row r="14928" spans="1:6" x14ac:dyDescent="0.25">
      <c r="A14928" s="1" t="str">
        <f t="shared" si="560"/>
        <v>26500</v>
      </c>
      <c r="B14928" s="1" t="str">
        <f>"16865"</f>
        <v>16865</v>
      </c>
      <c r="C14928" s="2">
        <v>2.5345125107851499E-3</v>
      </c>
      <c r="D14928" s="2">
        <v>0</v>
      </c>
      <c r="E14928" s="2">
        <v>0</v>
      </c>
      <c r="F14928" s="2">
        <v>2.3143588733504001E-3</v>
      </c>
    </row>
    <row r="14929" spans="1:6" x14ac:dyDescent="0.25">
      <c r="A14929" s="1" t="str">
        <f t="shared" si="560"/>
        <v>26500</v>
      </c>
      <c r="B14929" s="1" t="str">
        <f>"16693"</f>
        <v>16693</v>
      </c>
      <c r="C14929" s="2">
        <v>5.3925798101811897E-4</v>
      </c>
      <c r="D14929" s="2">
        <v>0</v>
      </c>
      <c r="E14929" s="2">
        <v>0</v>
      </c>
      <c r="F14929" s="2">
        <v>4.9241678156391501E-4</v>
      </c>
    </row>
    <row r="14930" spans="1:6" x14ac:dyDescent="0.25">
      <c r="A14930" s="1" t="str">
        <f t="shared" si="560"/>
        <v>26500</v>
      </c>
      <c r="B14930" s="1" t="str">
        <f>"16611"</f>
        <v>16611</v>
      </c>
      <c r="C14930" s="2">
        <v>5.37100949094046E-2</v>
      </c>
      <c r="D14930" s="2">
        <v>4.7355958958168902E-2</v>
      </c>
      <c r="E14930" s="2">
        <v>2.6156941649899301E-2</v>
      </c>
      <c r="F14930" s="2">
        <v>5.2639353949182503E-2</v>
      </c>
    </row>
    <row r="14931" spans="1:6" x14ac:dyDescent="0.25">
      <c r="A14931" s="1" t="str">
        <f t="shared" si="560"/>
        <v>26500</v>
      </c>
      <c r="B14931" s="1" t="str">
        <f>"16621"</f>
        <v>16621</v>
      </c>
      <c r="C14931" s="2">
        <v>8.6820534943917102E-3</v>
      </c>
      <c r="D14931" s="2">
        <v>2.3677979479084402E-3</v>
      </c>
      <c r="E14931" s="2">
        <v>4.0241448692152897E-2</v>
      </c>
      <c r="F14931" s="2">
        <v>9.0604687807760396E-3</v>
      </c>
    </row>
    <row r="14932" spans="1:6" x14ac:dyDescent="0.25">
      <c r="A14932" s="1" t="str">
        <f t="shared" si="560"/>
        <v>26500</v>
      </c>
      <c r="B14932" s="1" t="str">
        <f>"16654"</f>
        <v>16654</v>
      </c>
      <c r="C14932" s="2">
        <v>0</v>
      </c>
      <c r="D14932" s="2">
        <v>7.8926598263614795E-4</v>
      </c>
      <c r="E14932" s="2">
        <v>0</v>
      </c>
      <c r="F14932" s="2">
        <v>4.9241678156391501E-5</v>
      </c>
    </row>
    <row r="14933" spans="1:6" x14ac:dyDescent="0.25">
      <c r="A14933" s="1" t="str">
        <f t="shared" si="560"/>
        <v>26500</v>
      </c>
      <c r="B14933" s="1" t="str">
        <f>"17253"</f>
        <v>17253</v>
      </c>
      <c r="C14933" s="2">
        <v>3.7748058671268302E-4</v>
      </c>
      <c r="D14933" s="2">
        <v>1.57853196527229E-3</v>
      </c>
      <c r="E14933" s="2">
        <v>0</v>
      </c>
      <c r="F14933" s="2">
        <v>4.43175103407524E-4</v>
      </c>
    </row>
    <row r="14934" spans="1:6" x14ac:dyDescent="0.25">
      <c r="A14934" s="1" t="str">
        <f t="shared" si="560"/>
        <v>26500</v>
      </c>
      <c r="B14934" s="1" t="str">
        <f>"17021"</f>
        <v>17021</v>
      </c>
      <c r="C14934" s="2">
        <v>4.8533218291630699E-4</v>
      </c>
      <c r="D14934" s="2">
        <v>0</v>
      </c>
      <c r="E14934" s="2">
        <v>0</v>
      </c>
      <c r="F14934" s="2">
        <v>4.43175103407524E-4</v>
      </c>
    </row>
    <row r="14935" spans="1:6" x14ac:dyDescent="0.25">
      <c r="A14935" s="1" t="str">
        <f t="shared" si="560"/>
        <v>26500</v>
      </c>
      <c r="B14935" s="1" t="str">
        <f>"16634"</f>
        <v>16634</v>
      </c>
      <c r="C14935" s="2">
        <v>0</v>
      </c>
      <c r="D14935" s="2">
        <v>1.57853196527229E-3</v>
      </c>
      <c r="E14935" s="2">
        <v>4.0241448692152904E-3</v>
      </c>
      <c r="F14935" s="2">
        <v>1.96966712625566E-4</v>
      </c>
    </row>
    <row r="14936" spans="1:6" x14ac:dyDescent="0.25">
      <c r="A14936" s="1" t="str">
        <f t="shared" si="560"/>
        <v>26500</v>
      </c>
      <c r="B14936" s="1" t="str">
        <f>"16652"</f>
        <v>16652</v>
      </c>
      <c r="C14936" s="2">
        <v>0.37564710957722097</v>
      </c>
      <c r="D14936" s="2">
        <v>0.57774269928966004</v>
      </c>
      <c r="E14936" s="2">
        <v>0.62575452716297697</v>
      </c>
      <c r="F14936" s="2">
        <v>0.39437660035453997</v>
      </c>
    </row>
    <row r="14937" spans="1:6" x14ac:dyDescent="0.25">
      <c r="A14937" s="1" t="str">
        <f t="shared" si="560"/>
        <v>26500</v>
      </c>
      <c r="B14937" s="1" t="str">
        <f>"17066"</f>
        <v>17066</v>
      </c>
      <c r="C14937" s="2">
        <v>0.112650992234685</v>
      </c>
      <c r="D14937" s="2">
        <v>0.13733228097868899</v>
      </c>
      <c r="E14937" s="2">
        <v>0.19517102615694101</v>
      </c>
      <c r="F14937" s="2">
        <v>0.116210360449084</v>
      </c>
    </row>
    <row r="14938" spans="1:6" x14ac:dyDescent="0.25">
      <c r="A14938" s="1" t="str">
        <f t="shared" si="560"/>
        <v>26500</v>
      </c>
      <c r="B14938" s="1" t="str">
        <f>"17213"</f>
        <v>17213</v>
      </c>
      <c r="C14938" s="2">
        <v>1.48295944779982E-2</v>
      </c>
      <c r="D14938" s="2">
        <v>6.3141278610891801E-3</v>
      </c>
      <c r="E14938" s="2">
        <v>0</v>
      </c>
      <c r="F14938" s="2">
        <v>1.3935394918258801E-2</v>
      </c>
    </row>
    <row r="14939" spans="1:6" x14ac:dyDescent="0.25">
      <c r="A14939" s="1" t="str">
        <f t="shared" si="560"/>
        <v>26500</v>
      </c>
      <c r="B14939" s="1" t="str">
        <f>"17255"</f>
        <v>17255</v>
      </c>
      <c r="C14939" s="2">
        <v>2.3673425366695401E-2</v>
      </c>
      <c r="D14939" s="2">
        <v>1.8153117600631399E-2</v>
      </c>
      <c r="E14939" s="2">
        <v>4.0241448692152904E-3</v>
      </c>
      <c r="F14939" s="2">
        <v>2.2848138664565601E-2</v>
      </c>
    </row>
    <row r="14940" spans="1:6" x14ac:dyDescent="0.25">
      <c r="A14940" s="1" t="str">
        <f t="shared" si="560"/>
        <v>26500</v>
      </c>
      <c r="B14940" s="1" t="str">
        <f>"17260"</f>
        <v>17260</v>
      </c>
      <c r="C14940" s="2">
        <v>2.8095340811043999E-2</v>
      </c>
      <c r="D14940" s="2">
        <v>2.0520915548539801E-2</v>
      </c>
      <c r="E14940" s="2">
        <v>4.0241448692152904E-3</v>
      </c>
      <c r="F14940" s="2">
        <v>2.7033681307858898E-2</v>
      </c>
    </row>
    <row r="14941" spans="1:6" x14ac:dyDescent="0.25">
      <c r="A14941" s="1" t="str">
        <f t="shared" si="560"/>
        <v>26500</v>
      </c>
      <c r="B14941" s="1" t="str">
        <f>"17002"</f>
        <v>17002</v>
      </c>
      <c r="C14941" s="2">
        <v>2.8041415012942101E-3</v>
      </c>
      <c r="D14941" s="2">
        <v>2.3677979479084402E-3</v>
      </c>
      <c r="E14941" s="2">
        <v>0</v>
      </c>
      <c r="F14941" s="2">
        <v>2.70829229860153E-3</v>
      </c>
    </row>
    <row r="14942" spans="1:6" x14ac:dyDescent="0.25">
      <c r="A14942" s="1" t="str">
        <f t="shared" si="560"/>
        <v>26500</v>
      </c>
      <c r="B14942" s="1" t="str">
        <f>"16647"</f>
        <v>16647</v>
      </c>
      <c r="C14942" s="2">
        <v>2.21095772217428E-2</v>
      </c>
      <c r="D14942" s="2">
        <v>1.2628255722178299E-2</v>
      </c>
      <c r="E14942" s="2">
        <v>4.0241448692152904E-3</v>
      </c>
      <c r="F14942" s="2">
        <v>2.10754382509355E-2</v>
      </c>
    </row>
    <row r="14943" spans="1:6" x14ac:dyDescent="0.25">
      <c r="A14943" s="1" t="str">
        <f t="shared" si="560"/>
        <v>26500</v>
      </c>
      <c r="B14943" s="1" t="str">
        <f>"17264"</f>
        <v>17264</v>
      </c>
      <c r="C14943" s="2">
        <v>6.0127264883520201E-2</v>
      </c>
      <c r="D14943" s="2">
        <v>2.8413575374901301E-2</v>
      </c>
      <c r="E14943" s="2">
        <v>1.6096579476861099E-2</v>
      </c>
      <c r="F14943" s="2">
        <v>5.7071104983257799E-2</v>
      </c>
    </row>
    <row r="14944" spans="1:6" x14ac:dyDescent="0.25">
      <c r="A14944" s="1" t="str">
        <f t="shared" si="560"/>
        <v>26500</v>
      </c>
      <c r="B14944" s="1" t="str">
        <f>"17243"</f>
        <v>17243</v>
      </c>
      <c r="C14944" s="2">
        <v>3.1924072476272602E-2</v>
      </c>
      <c r="D14944" s="2">
        <v>3.7884767166535098E-2</v>
      </c>
      <c r="E14944" s="2">
        <v>1.6096579476861099E-2</v>
      </c>
      <c r="F14944" s="2">
        <v>3.19086074453417E-2</v>
      </c>
    </row>
    <row r="14945" spans="1:6" x14ac:dyDescent="0.25">
      <c r="A14945" s="1" t="str">
        <f t="shared" si="560"/>
        <v>26500</v>
      </c>
      <c r="B14945" s="1" t="str">
        <f>"16622"</f>
        <v>16622</v>
      </c>
      <c r="C14945" s="2">
        <v>3.6669542709232002E-3</v>
      </c>
      <c r="D14945" s="2">
        <v>2.3677979479084402E-3</v>
      </c>
      <c r="E14945" s="2">
        <v>2.01207243460764E-3</v>
      </c>
      <c r="F14945" s="2">
        <v>3.5454008272601898E-3</v>
      </c>
    </row>
    <row r="14946" spans="1:6" x14ac:dyDescent="0.25">
      <c r="A14946" s="1" t="str">
        <f t="shared" si="560"/>
        <v>26500</v>
      </c>
      <c r="B14946" s="1" t="str">
        <f>"16877"</f>
        <v>16877</v>
      </c>
      <c r="C14946" s="2">
        <v>2.3781276962899001E-2</v>
      </c>
      <c r="D14946" s="2">
        <v>3.9463299131807404E-3</v>
      </c>
      <c r="E14946" s="2">
        <v>1.4084507042253501E-2</v>
      </c>
      <c r="F14946" s="2">
        <v>2.2306480204845301E-2</v>
      </c>
    </row>
    <row r="14947" spans="1:6" x14ac:dyDescent="0.25">
      <c r="A14947" s="1" t="str">
        <f t="shared" si="560"/>
        <v>26500</v>
      </c>
      <c r="B14947" s="1" t="str">
        <f>"17215"</f>
        <v>17215</v>
      </c>
      <c r="C14947" s="2">
        <v>4.0444348576358898E-3</v>
      </c>
      <c r="D14947" s="2">
        <v>0</v>
      </c>
      <c r="E14947" s="2">
        <v>0</v>
      </c>
      <c r="F14947" s="2">
        <v>3.69312586172936E-3</v>
      </c>
    </row>
    <row r="14948" spans="1:6" x14ac:dyDescent="0.25">
      <c r="A14948" s="1" t="str">
        <f t="shared" si="560"/>
        <v>26500</v>
      </c>
      <c r="B14948" s="1" t="str">
        <f>"16689"</f>
        <v>16689</v>
      </c>
      <c r="C14948" s="2">
        <v>2.69628990509059E-4</v>
      </c>
      <c r="D14948" s="2">
        <v>0</v>
      </c>
      <c r="E14948" s="2">
        <v>0</v>
      </c>
      <c r="F14948" s="2">
        <v>2.4620839078195702E-4</v>
      </c>
    </row>
    <row r="14949" spans="1:6" x14ac:dyDescent="0.25">
      <c r="A14949" s="1" t="str">
        <f t="shared" si="560"/>
        <v>26500</v>
      </c>
      <c r="B14949" s="1" t="str">
        <f>"16660"</f>
        <v>16660</v>
      </c>
      <c r="C14949" s="2">
        <v>0</v>
      </c>
      <c r="D14949" s="2">
        <v>7.8926598263614795E-4</v>
      </c>
      <c r="E14949" s="2">
        <v>0</v>
      </c>
      <c r="F14949" s="2">
        <v>4.9241678156391501E-5</v>
      </c>
    </row>
    <row r="14950" spans="1:6" x14ac:dyDescent="0.25">
      <c r="A14950" s="1" t="str">
        <f t="shared" si="560"/>
        <v>26500</v>
      </c>
      <c r="B14950" s="1" t="str">
        <f>"16686"</f>
        <v>16686</v>
      </c>
      <c r="C14950" s="2">
        <v>2.8203192407247599E-2</v>
      </c>
      <c r="D14950" s="2">
        <v>5.5248618784530298E-3</v>
      </c>
      <c r="E14950" s="2">
        <v>2.01207243460764E-3</v>
      </c>
      <c r="F14950" s="2">
        <v>2.6147331101043898E-2</v>
      </c>
    </row>
    <row r="14951" spans="1:6" x14ac:dyDescent="0.25">
      <c r="A14951" s="1" t="str">
        <f t="shared" si="560"/>
        <v>26500</v>
      </c>
      <c r="B14951" s="1" t="str">
        <f>"17052"</f>
        <v>17052</v>
      </c>
      <c r="C14951" s="2">
        <v>3.06837791199309E-2</v>
      </c>
      <c r="D14951" s="2">
        <v>7.1033938437253304E-3</v>
      </c>
      <c r="E14951" s="2">
        <v>0</v>
      </c>
      <c r="F14951" s="2">
        <v>2.84616899743943E-2</v>
      </c>
    </row>
    <row r="14952" spans="1:6" x14ac:dyDescent="0.25">
      <c r="A14952" s="1" t="str">
        <f t="shared" si="560"/>
        <v>26500</v>
      </c>
      <c r="B14952" s="1" t="str">
        <f>"16694"</f>
        <v>16694</v>
      </c>
      <c r="C14952" s="2">
        <v>0</v>
      </c>
      <c r="D14952" s="2">
        <v>7.8926598263614795E-4</v>
      </c>
      <c r="E14952" s="2">
        <v>0</v>
      </c>
      <c r="F14952" s="2">
        <v>4.9241678156391501E-5</v>
      </c>
    </row>
    <row r="14953" spans="1:6" x14ac:dyDescent="0.25">
      <c r="A14953" s="1" t="str">
        <f t="shared" si="560"/>
        <v>26500</v>
      </c>
      <c r="B14953" s="1" t="str">
        <f>"16638"</f>
        <v>16638</v>
      </c>
      <c r="C14953" s="2">
        <v>2.3188093183779102E-3</v>
      </c>
      <c r="D14953" s="2">
        <v>0</v>
      </c>
      <c r="E14953" s="2">
        <v>0</v>
      </c>
      <c r="F14953" s="2">
        <v>2.1173921607248302E-3</v>
      </c>
    </row>
    <row r="14954" spans="1:6" x14ac:dyDescent="0.25">
      <c r="A14954" s="1" t="str">
        <f t="shared" si="560"/>
        <v>26500</v>
      </c>
      <c r="B14954" s="1" t="str">
        <f>"16683"</f>
        <v>16683</v>
      </c>
      <c r="C14954" s="2">
        <v>9.5987920621225103E-3</v>
      </c>
      <c r="D14954" s="2">
        <v>7.8926598263614808E-3</v>
      </c>
      <c r="E14954" s="2">
        <v>0</v>
      </c>
      <c r="F14954" s="2">
        <v>9.2574354934016109E-3</v>
      </c>
    </row>
    <row r="14955" spans="1:6" x14ac:dyDescent="0.25">
      <c r="A14955" s="1" t="str">
        <f t="shared" si="560"/>
        <v>26500</v>
      </c>
      <c r="B14955" s="1" t="str">
        <f>"16678"</f>
        <v>16678</v>
      </c>
      <c r="C14955" s="2">
        <v>1.4667817083692801E-2</v>
      </c>
      <c r="D14955" s="2">
        <v>7.8926598263614808E-3</v>
      </c>
      <c r="E14955" s="2">
        <v>0</v>
      </c>
      <c r="F14955" s="2">
        <v>1.38861532401024E-2</v>
      </c>
    </row>
    <row r="14956" spans="1:6" x14ac:dyDescent="0.25">
      <c r="A14956" s="1" t="str">
        <f t="shared" si="560"/>
        <v>26500</v>
      </c>
      <c r="B14956" s="1" t="str">
        <f>"17060"</f>
        <v>17060</v>
      </c>
      <c r="C14956" s="2">
        <v>2.3295944779982699E-2</v>
      </c>
      <c r="D14956" s="2">
        <v>4.7355958958168898E-3</v>
      </c>
      <c r="E14956" s="2">
        <v>1.20724346076458E-2</v>
      </c>
      <c r="F14956" s="2">
        <v>2.1863305101437799E-2</v>
      </c>
    </row>
    <row r="14957" spans="1:6" x14ac:dyDescent="0.25">
      <c r="A14957" s="1" t="str">
        <f t="shared" si="560"/>
        <v>26500</v>
      </c>
      <c r="B14957" s="1" t="str">
        <f>"17249"</f>
        <v>17249</v>
      </c>
      <c r="C14957" s="2">
        <v>1.0677308024158699E-2</v>
      </c>
      <c r="D14957" s="2">
        <v>7.8926598263614795E-4</v>
      </c>
      <c r="E14957" s="2">
        <v>0</v>
      </c>
      <c r="F14957" s="2">
        <v>9.79909395312192E-3</v>
      </c>
    </row>
    <row r="14958" spans="1:6" x14ac:dyDescent="0.25">
      <c r="A14958" s="1" t="str">
        <f t="shared" si="560"/>
        <v>26500</v>
      </c>
      <c r="B14958" s="1" t="str">
        <f>"16623"</f>
        <v>16623</v>
      </c>
      <c r="C14958" s="2">
        <v>6.9564279551337302E-3</v>
      </c>
      <c r="D14958" s="2">
        <v>5.5248618784530298E-3</v>
      </c>
      <c r="E14958" s="2">
        <v>4.0241448692152904E-3</v>
      </c>
      <c r="F14958" s="2">
        <v>6.7953515855820297E-3</v>
      </c>
    </row>
    <row r="14959" spans="1:6" x14ac:dyDescent="0.25">
      <c r="A14959" s="1" t="str">
        <f t="shared" si="560"/>
        <v>26500</v>
      </c>
      <c r="B14959" s="1" t="str">
        <f>"16669"</f>
        <v>16669</v>
      </c>
      <c r="C14959" s="2">
        <v>4.5783002588438301E-2</v>
      </c>
      <c r="D14959" s="2">
        <v>2.8413575374901301E-2</v>
      </c>
      <c r="E14959" s="2">
        <v>1.4084507042253501E-2</v>
      </c>
      <c r="F14959" s="2">
        <v>4.3923576915501202E-2</v>
      </c>
    </row>
    <row r="14960" spans="1:6" x14ac:dyDescent="0.25">
      <c r="A14960" s="1" t="str">
        <f t="shared" si="560"/>
        <v>26500</v>
      </c>
      <c r="B14960" s="1" t="str">
        <f>"16674"</f>
        <v>16674</v>
      </c>
      <c r="C14960" s="2">
        <v>6.2014667817083596E-3</v>
      </c>
      <c r="D14960" s="2">
        <v>1.57853196527229E-3</v>
      </c>
      <c r="E14960" s="2">
        <v>8.0482897384305807E-3</v>
      </c>
      <c r="F14960" s="2">
        <v>5.9582430569233699E-3</v>
      </c>
    </row>
    <row r="14961" spans="1:6" x14ac:dyDescent="0.25">
      <c r="A14961" s="1" t="str">
        <f t="shared" si="560"/>
        <v>26500</v>
      </c>
      <c r="B14961" s="1" t="str">
        <f>"17239"</f>
        <v>17239</v>
      </c>
      <c r="C14961" s="2">
        <v>5.8779119930974901E-3</v>
      </c>
      <c r="D14961" s="2">
        <v>1.57853196527229E-3</v>
      </c>
      <c r="E14961" s="2">
        <v>0</v>
      </c>
      <c r="F14961" s="2">
        <v>5.4658262753594601E-3</v>
      </c>
    </row>
    <row r="14962" spans="1:6" x14ac:dyDescent="0.25">
      <c r="A14962" s="1" t="str">
        <f t="shared" ref="A14962:A14973" si="561">"26540"</f>
        <v>26540</v>
      </c>
      <c r="B14962" s="1" t="str">
        <f>"46750"</f>
        <v>46750</v>
      </c>
      <c r="C14962" s="2">
        <v>0.737719298245614</v>
      </c>
      <c r="D14962" s="2">
        <v>0.79547169811320695</v>
      </c>
      <c r="E14962" s="2">
        <v>0.79646017699115002</v>
      </c>
      <c r="F14962" s="2">
        <v>0.74317953064575903</v>
      </c>
    </row>
    <row r="14963" spans="1:6" x14ac:dyDescent="0.25">
      <c r="A14963" s="1" t="str">
        <f t="shared" si="561"/>
        <v>26540</v>
      </c>
      <c r="B14963" s="1" t="str">
        <f>"46787"</f>
        <v>46787</v>
      </c>
      <c r="C14963" s="2">
        <v>5.2631578947368398E-4</v>
      </c>
      <c r="D14963" s="2">
        <v>0</v>
      </c>
      <c r="E14963" s="2">
        <v>0</v>
      </c>
      <c r="F14963" s="2">
        <v>4.7677067330613898E-4</v>
      </c>
    </row>
    <row r="14964" spans="1:6" x14ac:dyDescent="0.25">
      <c r="A14964" s="1" t="str">
        <f t="shared" si="561"/>
        <v>26540</v>
      </c>
      <c r="B14964" s="1" t="str">
        <f>"46766"</f>
        <v>46766</v>
      </c>
      <c r="C14964" s="2">
        <v>1.1695906432748501E-4</v>
      </c>
      <c r="D14964" s="2">
        <v>0</v>
      </c>
      <c r="E14964" s="2">
        <v>0</v>
      </c>
      <c r="F14964" s="2">
        <v>1.05949038512475E-4</v>
      </c>
    </row>
    <row r="14965" spans="1:6" x14ac:dyDescent="0.25">
      <c r="A14965" s="1" t="str">
        <f t="shared" si="561"/>
        <v>26540</v>
      </c>
      <c r="B14965" s="1" t="str">
        <f>"46792"</f>
        <v>46792</v>
      </c>
      <c r="C14965" s="2">
        <v>6.3099415204678294E-2</v>
      </c>
      <c r="D14965" s="2">
        <v>3.8490566037735797E-2</v>
      </c>
      <c r="E14965" s="2">
        <v>0.106194690265486</v>
      </c>
      <c r="F14965" s="2">
        <v>6.2403983683848002E-2</v>
      </c>
    </row>
    <row r="14966" spans="1:6" x14ac:dyDescent="0.25">
      <c r="A14966" s="1" t="str">
        <f t="shared" si="561"/>
        <v>26540</v>
      </c>
      <c r="B14966" s="1" t="str">
        <f>"46725"</f>
        <v>46725</v>
      </c>
      <c r="C14966" s="2">
        <v>1.75438596491228E-4</v>
      </c>
      <c r="D14966" s="2">
        <v>0</v>
      </c>
      <c r="E14966" s="2">
        <v>0</v>
      </c>
      <c r="F14966" s="2">
        <v>1.5892355776871299E-4</v>
      </c>
    </row>
    <row r="14967" spans="1:6" x14ac:dyDescent="0.25">
      <c r="A14967" s="1" t="str">
        <f t="shared" si="561"/>
        <v>26540</v>
      </c>
      <c r="B14967" s="1" t="str">
        <f>"46713"</f>
        <v>46713</v>
      </c>
      <c r="C14967" s="2">
        <v>0</v>
      </c>
      <c r="D14967" s="2">
        <v>0</v>
      </c>
      <c r="E14967" s="2">
        <v>2.21238938053097E-3</v>
      </c>
      <c r="F14967" s="2">
        <v>5.2974519256237703E-5</v>
      </c>
    </row>
    <row r="14968" spans="1:6" x14ac:dyDescent="0.25">
      <c r="A14968" s="1" t="str">
        <f t="shared" si="561"/>
        <v>26540</v>
      </c>
      <c r="B14968" s="1" t="str">
        <f>"46991"</f>
        <v>46991</v>
      </c>
      <c r="C14968" s="2">
        <v>1.69590643274853E-3</v>
      </c>
      <c r="D14968" s="2">
        <v>0</v>
      </c>
      <c r="E14968" s="2">
        <v>0</v>
      </c>
      <c r="F14968" s="2">
        <v>1.53626105843089E-3</v>
      </c>
    </row>
    <row r="14969" spans="1:6" x14ac:dyDescent="0.25">
      <c r="A14969" s="1" t="str">
        <f t="shared" si="561"/>
        <v>26540</v>
      </c>
      <c r="B14969" s="1" t="str">
        <f>"46952"</f>
        <v>46952</v>
      </c>
      <c r="C14969" s="2">
        <v>2.5146198830409299E-3</v>
      </c>
      <c r="D14969" s="2">
        <v>6.0377358490566E-3</v>
      </c>
      <c r="E14969" s="2">
        <v>0</v>
      </c>
      <c r="F14969" s="2">
        <v>2.7017004820681198E-3</v>
      </c>
    </row>
    <row r="14970" spans="1:6" x14ac:dyDescent="0.25">
      <c r="A14970" s="1" t="str">
        <f t="shared" si="561"/>
        <v>26540</v>
      </c>
      <c r="B14970" s="1" t="str">
        <f>"46702"</f>
        <v>46702</v>
      </c>
      <c r="C14970" s="2">
        <v>5.8771929824561399E-2</v>
      </c>
      <c r="D14970" s="2">
        <v>1.8113207547169798E-2</v>
      </c>
      <c r="E14970" s="2">
        <v>1.9911504424778698E-2</v>
      </c>
      <c r="F14970" s="2">
        <v>5.4987550987974698E-2</v>
      </c>
    </row>
    <row r="14971" spans="1:6" x14ac:dyDescent="0.25">
      <c r="A14971" s="1" t="str">
        <f t="shared" si="561"/>
        <v>26540</v>
      </c>
      <c r="B14971" s="1" t="str">
        <f>"46770"</f>
        <v>46770</v>
      </c>
      <c r="C14971" s="2">
        <v>2.87719298245614E-2</v>
      </c>
      <c r="D14971" s="2">
        <v>3.5471698113207502E-2</v>
      </c>
      <c r="E14971" s="2">
        <v>3.09734513274336E-2</v>
      </c>
      <c r="F14971" s="2">
        <v>2.9294909148699401E-2</v>
      </c>
    </row>
    <row r="14972" spans="1:6" x14ac:dyDescent="0.25">
      <c r="A14972" s="1" t="str">
        <f t="shared" si="561"/>
        <v>26540</v>
      </c>
      <c r="B14972" s="1" t="str">
        <f>"46940"</f>
        <v>46940</v>
      </c>
      <c r="C14972" s="2">
        <v>7.0175438596491203E-3</v>
      </c>
      <c r="D14972" s="2">
        <v>1.50943396226415E-3</v>
      </c>
      <c r="E14972" s="2">
        <v>0</v>
      </c>
      <c r="F14972" s="2">
        <v>6.4628913492609996E-3</v>
      </c>
    </row>
    <row r="14973" spans="1:6" x14ac:dyDescent="0.25">
      <c r="A14973" s="1" t="str">
        <f t="shared" si="561"/>
        <v>26540</v>
      </c>
      <c r="B14973" s="1" t="str">
        <f>"46783"</f>
        <v>46783</v>
      </c>
      <c r="C14973" s="2">
        <v>9.9590643274853799E-2</v>
      </c>
      <c r="D14973" s="2">
        <v>0.104905660377358</v>
      </c>
      <c r="E14973" s="2">
        <v>4.4247787610619399E-2</v>
      </c>
      <c r="F14973" s="2">
        <v>9.8638554855114594E-2</v>
      </c>
    </row>
    <row r="14974" spans="1:6" x14ac:dyDescent="0.25">
      <c r="A14974" s="1" t="str">
        <f t="shared" ref="A14974:A15005" si="562">"26580"</f>
        <v>26580</v>
      </c>
      <c r="B14974" s="1" t="str">
        <f>"41230"</f>
        <v>41230</v>
      </c>
      <c r="C14974" s="2">
        <v>1.56804532696358E-5</v>
      </c>
      <c r="D14974" s="2">
        <v>0</v>
      </c>
      <c r="E14974" s="2">
        <v>0</v>
      </c>
      <c r="F14974" s="2">
        <v>1.4236091338762001E-5</v>
      </c>
    </row>
    <row r="14975" spans="1:6" x14ac:dyDescent="0.25">
      <c r="A14975" s="1" t="str">
        <f t="shared" si="562"/>
        <v>26580</v>
      </c>
      <c r="B14975" s="1" t="str">
        <f>"25109"</f>
        <v>25109</v>
      </c>
      <c r="C14975" s="2">
        <v>0</v>
      </c>
      <c r="D14975" s="2">
        <v>0</v>
      </c>
      <c r="E14975" s="2">
        <v>1.7946877243359599E-4</v>
      </c>
      <c r="F14975" s="2">
        <v>4.7453637795873398E-6</v>
      </c>
    </row>
    <row r="14976" spans="1:6" x14ac:dyDescent="0.25">
      <c r="A14976" s="1" t="str">
        <f t="shared" si="562"/>
        <v>26580</v>
      </c>
      <c r="B14976" s="1" t="str">
        <f>"25709"</f>
        <v>25709</v>
      </c>
      <c r="C14976" s="2">
        <v>1.2544362615708599E-4</v>
      </c>
      <c r="D14976" s="2">
        <v>1.73422935183177E-3</v>
      </c>
      <c r="E14976" s="2">
        <v>3.5893754486719301E-4</v>
      </c>
      <c r="F14976" s="2">
        <v>2.3726818897936699E-4</v>
      </c>
    </row>
    <row r="14977" spans="1:6" x14ac:dyDescent="0.25">
      <c r="A14977" s="1" t="str">
        <f t="shared" si="562"/>
        <v>26580</v>
      </c>
      <c r="B14977" s="1" t="str">
        <f>"45629"</f>
        <v>45629</v>
      </c>
      <c r="C14977" s="2">
        <v>1.56804532696358E-5</v>
      </c>
      <c r="D14977" s="2">
        <v>0</v>
      </c>
      <c r="E14977" s="2">
        <v>0</v>
      </c>
      <c r="F14977" s="2">
        <v>1.4236091338762001E-5</v>
      </c>
    </row>
    <row r="14978" spans="1:6" x14ac:dyDescent="0.25">
      <c r="A14978" s="1" t="str">
        <f t="shared" si="562"/>
        <v>26580</v>
      </c>
      <c r="B14978" s="1" t="str">
        <f>"25557"</f>
        <v>25557</v>
      </c>
      <c r="C14978" s="2">
        <v>3.1360906539271599E-5</v>
      </c>
      <c r="D14978" s="2">
        <v>0</v>
      </c>
      <c r="E14978" s="2">
        <v>0</v>
      </c>
      <c r="F14978" s="2">
        <v>2.8472182677524001E-5</v>
      </c>
    </row>
    <row r="14979" spans="1:6" x14ac:dyDescent="0.25">
      <c r="A14979" s="1" t="str">
        <f t="shared" si="562"/>
        <v>26580</v>
      </c>
      <c r="B14979" s="1" t="str">
        <f>"25248"</f>
        <v>25248</v>
      </c>
      <c r="C14979" s="2">
        <v>4.18145420523622E-5</v>
      </c>
      <c r="D14979" s="2">
        <v>0</v>
      </c>
      <c r="E14979" s="2">
        <v>0</v>
      </c>
      <c r="F14979" s="2">
        <v>3.7962910236698698E-5</v>
      </c>
    </row>
    <row r="14980" spans="1:6" x14ac:dyDescent="0.25">
      <c r="A14980" s="1" t="str">
        <f t="shared" si="562"/>
        <v>26580</v>
      </c>
      <c r="B14980" s="1" t="str">
        <f>"41164"</f>
        <v>41164</v>
      </c>
      <c r="C14980" s="2">
        <v>2.8198681796561698E-2</v>
      </c>
      <c r="D14980" s="2">
        <v>3.6129778163161998E-3</v>
      </c>
      <c r="E14980" s="2">
        <v>7.17875089734386E-3</v>
      </c>
      <c r="F14980" s="2">
        <v>2.6028320331036501E-2</v>
      </c>
    </row>
    <row r="14981" spans="1:6" x14ac:dyDescent="0.25">
      <c r="A14981" s="1" t="str">
        <f t="shared" si="562"/>
        <v>26580</v>
      </c>
      <c r="B14981" s="1" t="str">
        <f>"41146"</f>
        <v>41146</v>
      </c>
      <c r="C14981" s="2">
        <v>8.3106402329069897E-4</v>
      </c>
      <c r="D14981" s="2">
        <v>0</v>
      </c>
      <c r="E14981" s="2">
        <v>1.7946877243359599E-4</v>
      </c>
      <c r="F14981" s="2">
        <v>7.5925820473397398E-4</v>
      </c>
    </row>
    <row r="14982" spans="1:6" x14ac:dyDescent="0.25">
      <c r="A14982" s="1" t="str">
        <f t="shared" si="562"/>
        <v>26580</v>
      </c>
      <c r="B14982" s="1" t="str">
        <f>"45696"</f>
        <v>45696</v>
      </c>
      <c r="C14982" s="2">
        <v>3.8260305977911402E-3</v>
      </c>
      <c r="D14982" s="2">
        <v>7.9485511958956505E-4</v>
      </c>
      <c r="E14982" s="2">
        <v>0</v>
      </c>
      <c r="F14982" s="2">
        <v>3.5258052882333902E-3</v>
      </c>
    </row>
    <row r="14983" spans="1:6" x14ac:dyDescent="0.25">
      <c r="A14983" s="1" t="str">
        <f t="shared" si="562"/>
        <v>26580</v>
      </c>
      <c r="B14983" s="1" t="str">
        <f>"45638"</f>
        <v>45638</v>
      </c>
      <c r="C14983" s="2">
        <v>5.8346966616314902E-2</v>
      </c>
      <c r="D14983" s="2">
        <v>6.8140761615723605E-2</v>
      </c>
      <c r="E14983" s="2">
        <v>4.8097631012203802E-2</v>
      </c>
      <c r="F14983" s="2">
        <v>5.8719131408613699E-2</v>
      </c>
    </row>
    <row r="14984" spans="1:6" x14ac:dyDescent="0.25">
      <c r="A14984" s="1" t="str">
        <f t="shared" si="562"/>
        <v>26580</v>
      </c>
      <c r="B14984" s="1" t="str">
        <f>"25512"</f>
        <v>25512</v>
      </c>
      <c r="C14984" s="2">
        <v>2.9688324857177202E-3</v>
      </c>
      <c r="D14984" s="2">
        <v>5.7807645061059296E-4</v>
      </c>
      <c r="E14984" s="2">
        <v>5.38406317300789E-4</v>
      </c>
      <c r="F14984" s="2">
        <v>2.7475656283810698E-3</v>
      </c>
    </row>
    <row r="14985" spans="1:6" x14ac:dyDescent="0.25">
      <c r="A14985" s="1" t="str">
        <f t="shared" si="562"/>
        <v>26580</v>
      </c>
      <c r="B14985" s="1" t="str">
        <f>"25535"</f>
        <v>25535</v>
      </c>
      <c r="C14985" s="2">
        <v>6.2774081256108802E-3</v>
      </c>
      <c r="D14985" s="2">
        <v>3.3239395910109101E-3</v>
      </c>
      <c r="E14985" s="2">
        <v>3.2304379038047299E-3</v>
      </c>
      <c r="F14985" s="2">
        <v>6.0028851811779801E-3</v>
      </c>
    </row>
    <row r="14986" spans="1:6" x14ac:dyDescent="0.25">
      <c r="A14986" s="1" t="str">
        <f t="shared" si="562"/>
        <v>26580</v>
      </c>
      <c r="B14986" s="1" t="str">
        <f>"25569"</f>
        <v>25569</v>
      </c>
      <c r="C14986" s="2">
        <v>0</v>
      </c>
      <c r="D14986" s="2">
        <v>0</v>
      </c>
      <c r="E14986" s="2">
        <v>1.7946877243359599E-4</v>
      </c>
      <c r="F14986" s="2">
        <v>4.7453637795873398E-6</v>
      </c>
    </row>
    <row r="14987" spans="1:6" x14ac:dyDescent="0.25">
      <c r="A14987" s="1" t="str">
        <f t="shared" si="562"/>
        <v>26580</v>
      </c>
      <c r="B14987" s="1" t="str">
        <f>"25724"</f>
        <v>25724</v>
      </c>
      <c r="C14987" s="2">
        <v>2.4566043455762798E-4</v>
      </c>
      <c r="D14987" s="2">
        <v>3.1071609220319298E-3</v>
      </c>
      <c r="E14987" s="2">
        <v>3.5893754486719301E-4</v>
      </c>
      <c r="F14987" s="2">
        <v>4.3657346772203498E-4</v>
      </c>
    </row>
    <row r="14988" spans="1:6" x14ac:dyDescent="0.25">
      <c r="A14988" s="1" t="str">
        <f t="shared" si="562"/>
        <v>26580</v>
      </c>
      <c r="B14988" s="1" t="str">
        <f>"25721"</f>
        <v>25721</v>
      </c>
      <c r="C14988" s="2">
        <v>1.14989990643996E-4</v>
      </c>
      <c r="D14988" s="2">
        <v>2.0232675771370699E-3</v>
      </c>
      <c r="E14988" s="2">
        <v>3.5893754486719301E-4</v>
      </c>
      <c r="F14988" s="2">
        <v>2.46758916538541E-4</v>
      </c>
    </row>
    <row r="14989" spans="1:6" x14ac:dyDescent="0.25">
      <c r="A14989" s="1" t="str">
        <f t="shared" si="562"/>
        <v>26580</v>
      </c>
      <c r="B14989" s="1" t="str">
        <f>"25727"</f>
        <v>25727</v>
      </c>
      <c r="C14989" s="2">
        <v>1.6725816820944899E-4</v>
      </c>
      <c r="D14989" s="2">
        <v>2.89038225305296E-3</v>
      </c>
      <c r="E14989" s="2">
        <v>3.5893754486719301E-4</v>
      </c>
      <c r="F14989" s="2">
        <v>3.5115691968946302E-4</v>
      </c>
    </row>
    <row r="14990" spans="1:6" x14ac:dyDescent="0.25">
      <c r="A14990" s="1" t="str">
        <f t="shared" si="562"/>
        <v>26580</v>
      </c>
      <c r="B14990" s="1" t="str">
        <f>"25776"</f>
        <v>25776</v>
      </c>
      <c r="C14990" s="2">
        <v>3.0315542987962598E-4</v>
      </c>
      <c r="D14990" s="2">
        <v>1.66196979550545E-3</v>
      </c>
      <c r="E14990" s="2">
        <v>3.5893754486719301E-4</v>
      </c>
      <c r="F14990" s="2">
        <v>3.93865193705749E-4</v>
      </c>
    </row>
    <row r="14991" spans="1:6" x14ac:dyDescent="0.25">
      <c r="A14991" s="1" t="str">
        <f t="shared" si="562"/>
        <v>26580</v>
      </c>
      <c r="B14991" s="1" t="str">
        <f>"25717"</f>
        <v>25717</v>
      </c>
      <c r="C14991" s="2">
        <v>1.9861907474871999E-4</v>
      </c>
      <c r="D14991" s="2">
        <v>2.6013440277476599E-3</v>
      </c>
      <c r="E14991" s="2">
        <v>3.5893754486719301E-4</v>
      </c>
      <c r="F14991" s="2">
        <v>3.6064764724863801E-4</v>
      </c>
    </row>
    <row r="14992" spans="1:6" x14ac:dyDescent="0.25">
      <c r="A14992" s="1" t="str">
        <f t="shared" si="562"/>
        <v>26580</v>
      </c>
      <c r="B14992" s="1" t="str">
        <f>"45645"</f>
        <v>45645</v>
      </c>
      <c r="C14992" s="2">
        <v>7.5841125647472E-3</v>
      </c>
      <c r="D14992" s="2">
        <v>7.2259556326324098E-4</v>
      </c>
      <c r="E14992" s="2">
        <v>8.9734386216798196E-4</v>
      </c>
      <c r="F14992" s="2">
        <v>6.95670330087504E-3</v>
      </c>
    </row>
    <row r="14993" spans="1:6" x14ac:dyDescent="0.25">
      <c r="A14993" s="1" t="str">
        <f t="shared" si="562"/>
        <v>26580</v>
      </c>
      <c r="B14993" s="1" t="str">
        <f>"45659"</f>
        <v>45659</v>
      </c>
      <c r="C14993" s="2">
        <v>6.9203067096659503E-3</v>
      </c>
      <c r="D14993" s="2">
        <v>1.01163378856853E-3</v>
      </c>
      <c r="E14993" s="2">
        <v>1.07681263460157E-3</v>
      </c>
      <c r="F14993" s="2">
        <v>6.37776891976538E-3</v>
      </c>
    </row>
    <row r="14994" spans="1:6" x14ac:dyDescent="0.25">
      <c r="A14994" s="1" t="str">
        <f t="shared" si="562"/>
        <v>26580</v>
      </c>
      <c r="B14994" s="1" t="str">
        <f>"41168"</f>
        <v>41168</v>
      </c>
      <c r="C14994" s="2">
        <v>8.2217843310457197E-3</v>
      </c>
      <c r="D14994" s="2">
        <v>1.5174506828528E-3</v>
      </c>
      <c r="E14994" s="2">
        <v>1.9741564967695599E-3</v>
      </c>
      <c r="F14994" s="2">
        <v>7.6163088662376801E-3</v>
      </c>
    </row>
    <row r="14995" spans="1:6" x14ac:dyDescent="0.25">
      <c r="A14995" s="1" t="str">
        <f t="shared" si="562"/>
        <v>26580</v>
      </c>
      <c r="B14995" s="1" t="str">
        <f>"41121"</f>
        <v>41121</v>
      </c>
      <c r="C14995" s="2">
        <v>4.19713465850586E-3</v>
      </c>
      <c r="D14995" s="2">
        <v>7.2259556326324098E-4</v>
      </c>
      <c r="E14995" s="2">
        <v>1.7946877243359599E-4</v>
      </c>
      <c r="F14995" s="2">
        <v>3.86272611658409E-3</v>
      </c>
    </row>
    <row r="14996" spans="1:6" x14ac:dyDescent="0.25">
      <c r="A14996" s="1" t="str">
        <f t="shared" si="562"/>
        <v>26580</v>
      </c>
      <c r="B14996" s="1" t="str">
        <f>"41180"</f>
        <v>41180</v>
      </c>
      <c r="C14996" s="2">
        <v>3.1360906539271599E-4</v>
      </c>
      <c r="D14996" s="2">
        <v>7.2259556326324106E-5</v>
      </c>
      <c r="E14996" s="2">
        <v>0</v>
      </c>
      <c r="F14996" s="2">
        <v>2.8946719055482698E-4</v>
      </c>
    </row>
    <row r="14997" spans="1:6" x14ac:dyDescent="0.25">
      <c r="A14997" s="1" t="str">
        <f t="shared" si="562"/>
        <v>26580</v>
      </c>
      <c r="B14997" s="1" t="str">
        <f>"25011"</f>
        <v>25011</v>
      </c>
      <c r="C14997" s="2">
        <v>3.65877242958169E-5</v>
      </c>
      <c r="D14997" s="2">
        <v>0</v>
      </c>
      <c r="E14997" s="2">
        <v>1.7946877243359599E-4</v>
      </c>
      <c r="F14997" s="2">
        <v>3.7962910236698698E-5</v>
      </c>
    </row>
    <row r="14998" spans="1:6" x14ac:dyDescent="0.25">
      <c r="A14998" s="1" t="str">
        <f t="shared" si="562"/>
        <v>26580</v>
      </c>
      <c r="B14998" s="1" t="str">
        <f>"25213"</f>
        <v>25213</v>
      </c>
      <c r="C14998" s="2">
        <v>1.4744852891214201E-2</v>
      </c>
      <c r="D14998" s="2">
        <v>1.0260856998338E-2</v>
      </c>
      <c r="E14998" s="2">
        <v>1.13065326633165E-2</v>
      </c>
      <c r="F14998" s="2">
        <v>1.43594707970313E-2</v>
      </c>
    </row>
    <row r="14999" spans="1:6" x14ac:dyDescent="0.25">
      <c r="A14999" s="1" t="str">
        <f t="shared" si="562"/>
        <v>26580</v>
      </c>
      <c r="B14999" s="1" t="str">
        <f>"25699"</f>
        <v>25699</v>
      </c>
      <c r="C14999" s="2">
        <v>4.3382587379325801E-4</v>
      </c>
      <c r="D14999" s="2">
        <v>7.2259556326324106E-5</v>
      </c>
      <c r="E14999" s="2">
        <v>0</v>
      </c>
      <c r="F14999" s="2">
        <v>3.9861055748533598E-4</v>
      </c>
    </row>
    <row r="15000" spans="1:6" x14ac:dyDescent="0.25">
      <c r="A15000" s="1" t="str">
        <f t="shared" si="562"/>
        <v>26580</v>
      </c>
      <c r="B15000" s="1" t="str">
        <f>"25510"</f>
        <v>25510</v>
      </c>
      <c r="C15000" s="2">
        <v>1.32552098305988E-2</v>
      </c>
      <c r="D15000" s="2">
        <v>2.6736035840739898E-3</v>
      </c>
      <c r="E15000" s="2">
        <v>1.0229720028715E-2</v>
      </c>
      <c r="F15000" s="2">
        <v>1.24803067403147E-2</v>
      </c>
    </row>
    <row r="15001" spans="1:6" x14ac:dyDescent="0.25">
      <c r="A15001" s="1" t="str">
        <f t="shared" si="562"/>
        <v>26580</v>
      </c>
      <c r="B15001" s="1" t="str">
        <f>"25511"</f>
        <v>25511</v>
      </c>
      <c r="C15001" s="2">
        <v>2.20049027550556E-3</v>
      </c>
      <c r="D15001" s="2">
        <v>5.7807645061059296E-4</v>
      </c>
      <c r="E15001" s="2">
        <v>1.7946877243359599E-4</v>
      </c>
      <c r="F15001" s="2">
        <v>2.04050642522255E-3</v>
      </c>
    </row>
    <row r="15002" spans="1:6" x14ac:dyDescent="0.25">
      <c r="A15002" s="1" t="str">
        <f t="shared" si="562"/>
        <v>26580</v>
      </c>
      <c r="B15002" s="1" t="str">
        <f>"25520"</f>
        <v>25520</v>
      </c>
      <c r="C15002" s="2">
        <v>1.1446730886834099E-3</v>
      </c>
      <c r="D15002" s="2">
        <v>7.2259556326324106E-5</v>
      </c>
      <c r="E15002" s="2">
        <v>0</v>
      </c>
      <c r="F15002" s="2">
        <v>1.0439800315092101E-3</v>
      </c>
    </row>
    <row r="15003" spans="1:6" x14ac:dyDescent="0.25">
      <c r="A15003" s="1" t="str">
        <f t="shared" si="562"/>
        <v>26580</v>
      </c>
      <c r="B15003" s="1" t="str">
        <f>"25726"</f>
        <v>25726</v>
      </c>
      <c r="C15003" s="2">
        <v>2.6656770558380899E-4</v>
      </c>
      <c r="D15003" s="2">
        <v>3.6852373726425302E-3</v>
      </c>
      <c r="E15003" s="2">
        <v>3.5893754486719301E-4</v>
      </c>
      <c r="F15003" s="2">
        <v>4.9351783307708297E-4</v>
      </c>
    </row>
    <row r="15004" spans="1:6" x14ac:dyDescent="0.25">
      <c r="A15004" s="1" t="str">
        <f t="shared" si="562"/>
        <v>26580</v>
      </c>
      <c r="B15004" s="1" t="str">
        <f>"25773"</f>
        <v>25773</v>
      </c>
      <c r="C15004" s="2">
        <v>3.3451633641889798E-4</v>
      </c>
      <c r="D15004" s="2">
        <v>1.22841245754751E-3</v>
      </c>
      <c r="E15004" s="2">
        <v>3.5893754486719301E-4</v>
      </c>
      <c r="F15004" s="2">
        <v>3.93865193705749E-4</v>
      </c>
    </row>
    <row r="15005" spans="1:6" x14ac:dyDescent="0.25">
      <c r="A15005" s="1" t="str">
        <f t="shared" si="562"/>
        <v>26580</v>
      </c>
      <c r="B15005" s="1" t="str">
        <f>"25714"</f>
        <v>25714</v>
      </c>
      <c r="C15005" s="2">
        <v>4.4950632706289398E-4</v>
      </c>
      <c r="D15005" s="2">
        <v>2.0232675771370699E-3</v>
      </c>
      <c r="E15005" s="2">
        <v>3.5893754486719301E-4</v>
      </c>
      <c r="F15005" s="2">
        <v>5.5046219843213101E-4</v>
      </c>
    </row>
    <row r="15006" spans="1:6" x14ac:dyDescent="0.25">
      <c r="A15006" s="1" t="str">
        <f t="shared" ref="A15006:A15037" si="563">"26580"</f>
        <v>26580</v>
      </c>
      <c r="B15006" s="1" t="str">
        <f>"41179"</f>
        <v>41179</v>
      </c>
      <c r="C15006" s="2">
        <v>6.7948630835088601E-5</v>
      </c>
      <c r="D15006" s="2">
        <v>0</v>
      </c>
      <c r="E15006" s="2">
        <v>0</v>
      </c>
      <c r="F15006" s="2">
        <v>6.1689729134635398E-5</v>
      </c>
    </row>
    <row r="15007" spans="1:6" x14ac:dyDescent="0.25">
      <c r="A15007" s="1" t="str">
        <f t="shared" si="563"/>
        <v>26580</v>
      </c>
      <c r="B15007" s="1" t="str">
        <f>"25712"</f>
        <v>25712</v>
      </c>
      <c r="C15007" s="2">
        <v>5.2790859341107299E-4</v>
      </c>
      <c r="D15007" s="2">
        <v>2.3123058024423701E-3</v>
      </c>
      <c r="E15007" s="2">
        <v>3.5893754486719301E-4</v>
      </c>
      <c r="F15007" s="2">
        <v>6.4062411024429103E-4</v>
      </c>
    </row>
    <row r="15008" spans="1:6" x14ac:dyDescent="0.25">
      <c r="A15008" s="1" t="str">
        <f t="shared" si="563"/>
        <v>26580</v>
      </c>
      <c r="B15008" s="1" t="str">
        <f>"25245"</f>
        <v>25245</v>
      </c>
      <c r="C15008" s="2">
        <v>2.1952634577490101E-4</v>
      </c>
      <c r="D15008" s="2">
        <v>7.2259556326324106E-5</v>
      </c>
      <c r="E15008" s="2">
        <v>0</v>
      </c>
      <c r="F15008" s="2">
        <v>2.0405064252225499E-4</v>
      </c>
    </row>
    <row r="15009" spans="1:6" x14ac:dyDescent="0.25">
      <c r="A15009" s="1" t="str">
        <f t="shared" si="563"/>
        <v>26580</v>
      </c>
      <c r="B15009" s="1" t="str">
        <f>"45656"</f>
        <v>45656</v>
      </c>
      <c r="C15009" s="2">
        <v>4.7041359808907499E-4</v>
      </c>
      <c r="D15009" s="2">
        <v>3.6129778163162E-4</v>
      </c>
      <c r="E15009" s="2">
        <v>0</v>
      </c>
      <c r="F15009" s="2">
        <v>4.5080955906079699E-4</v>
      </c>
    </row>
    <row r="15010" spans="1:6" x14ac:dyDescent="0.25">
      <c r="A15010" s="1" t="str">
        <f t="shared" si="563"/>
        <v>26580</v>
      </c>
      <c r="B15010" s="1" t="str">
        <f>"41132"</f>
        <v>41132</v>
      </c>
      <c r="C15010" s="2">
        <v>9.61734467204331E-4</v>
      </c>
      <c r="D15010" s="2">
        <v>0</v>
      </c>
      <c r="E15010" s="2">
        <v>1.7946877243359599E-4</v>
      </c>
      <c r="F15010" s="2">
        <v>8.7789229922365802E-4</v>
      </c>
    </row>
    <row r="15011" spans="1:6" x14ac:dyDescent="0.25">
      <c r="A15011" s="1" t="str">
        <f t="shared" si="563"/>
        <v>26580</v>
      </c>
      <c r="B15011" s="1" t="str">
        <f>"25070"</f>
        <v>25070</v>
      </c>
      <c r="C15011" s="2">
        <v>2.22662436428829E-3</v>
      </c>
      <c r="D15011" s="2">
        <v>7.2259556326324098E-4</v>
      </c>
      <c r="E15011" s="2">
        <v>1.7946877243359599E-4</v>
      </c>
      <c r="F15011" s="2">
        <v>2.0737239716796599E-3</v>
      </c>
    </row>
    <row r="15012" spans="1:6" x14ac:dyDescent="0.25">
      <c r="A15012" s="1" t="str">
        <f t="shared" si="563"/>
        <v>26580</v>
      </c>
      <c r="B15012" s="1" t="str">
        <f>"25713"</f>
        <v>25713</v>
      </c>
      <c r="C15012" s="2">
        <v>5.5926949995034505E-4</v>
      </c>
      <c r="D15012" s="2">
        <v>1.8787484644844201E-3</v>
      </c>
      <c r="E15012" s="2">
        <v>3.5893754486719301E-4</v>
      </c>
      <c r="F15012" s="2">
        <v>6.4062411024429103E-4</v>
      </c>
    </row>
    <row r="15013" spans="1:6" x14ac:dyDescent="0.25">
      <c r="A15013" s="1" t="str">
        <f t="shared" si="563"/>
        <v>26580</v>
      </c>
      <c r="B15013" s="1" t="str">
        <f>"25534"</f>
        <v>25534</v>
      </c>
      <c r="C15013" s="2">
        <v>7.5788857469906499E-4</v>
      </c>
      <c r="D15013" s="2">
        <v>2.8903822530529599E-4</v>
      </c>
      <c r="E15013" s="2">
        <v>0</v>
      </c>
      <c r="F15013" s="2">
        <v>7.07059203158514E-4</v>
      </c>
    </row>
    <row r="15014" spans="1:6" x14ac:dyDescent="0.25">
      <c r="A15014" s="1" t="str">
        <f t="shared" si="563"/>
        <v>26580</v>
      </c>
      <c r="B15014" s="1" t="str">
        <f>"45669"</f>
        <v>45669</v>
      </c>
      <c r="C15014" s="2">
        <v>3.4831513529617698E-2</v>
      </c>
      <c r="D15014" s="2">
        <v>2.3412096249729002E-2</v>
      </c>
      <c r="E15014" s="2">
        <v>4.0918880114860001E-2</v>
      </c>
      <c r="F15014" s="2">
        <v>3.42425450335022E-2</v>
      </c>
    </row>
    <row r="15015" spans="1:6" x14ac:dyDescent="0.25">
      <c r="A15015" s="1" t="str">
        <f t="shared" si="563"/>
        <v>26580</v>
      </c>
      <c r="B15015" s="1" t="str">
        <f>"45678"</f>
        <v>45678</v>
      </c>
      <c r="C15015" s="2">
        <v>3.0890492941182601E-3</v>
      </c>
      <c r="D15015" s="2">
        <v>1.01163378856853E-3</v>
      </c>
      <c r="E15015" s="2">
        <v>0</v>
      </c>
      <c r="F15015" s="2">
        <v>2.8709450866503399E-3</v>
      </c>
    </row>
    <row r="15016" spans="1:6" x14ac:dyDescent="0.25">
      <c r="A15016" s="1" t="str">
        <f t="shared" si="563"/>
        <v>26580</v>
      </c>
      <c r="B15016" s="1" t="str">
        <f>"25082"</f>
        <v>25082</v>
      </c>
      <c r="C15016" s="2">
        <v>4.4532487285765801E-3</v>
      </c>
      <c r="D15016" s="2">
        <v>1.3006720138738299E-3</v>
      </c>
      <c r="E15016" s="2">
        <v>1.7946877243359599E-4</v>
      </c>
      <c r="F15016" s="2">
        <v>4.1332118520205699E-3</v>
      </c>
    </row>
    <row r="15017" spans="1:6" x14ac:dyDescent="0.25">
      <c r="A15017" s="1" t="str">
        <f t="shared" si="563"/>
        <v>26580</v>
      </c>
      <c r="B15017" s="1" t="str">
        <f>"25711"</f>
        <v>25711</v>
      </c>
      <c r="C15017" s="2">
        <v>2.8224815885344502E-4</v>
      </c>
      <c r="D15017" s="2">
        <v>1.5897102391791301E-3</v>
      </c>
      <c r="E15017" s="2">
        <v>3.5893754486719301E-4</v>
      </c>
      <c r="F15017" s="2">
        <v>3.7013837480781201E-4</v>
      </c>
    </row>
    <row r="15018" spans="1:6" x14ac:dyDescent="0.25">
      <c r="A15018" s="1" t="str">
        <f t="shared" si="563"/>
        <v>26580</v>
      </c>
      <c r="B15018" s="1" t="str">
        <f>"25715"</f>
        <v>25715</v>
      </c>
      <c r="C15018" s="2">
        <v>2.0907271026181099E-4</v>
      </c>
      <c r="D15018" s="2">
        <v>1.22841245754751E-3</v>
      </c>
      <c r="E15018" s="2">
        <v>3.5893754486719301E-4</v>
      </c>
      <c r="F15018" s="2">
        <v>2.7997646299565302E-4</v>
      </c>
    </row>
    <row r="15019" spans="1:6" x14ac:dyDescent="0.25">
      <c r="A15019" s="1" t="str">
        <f t="shared" si="563"/>
        <v>26580</v>
      </c>
      <c r="B15019" s="1" t="str">
        <f>"25729"</f>
        <v>25729</v>
      </c>
      <c r="C15019" s="2">
        <v>8.0492993450797298E-4</v>
      </c>
      <c r="D15019" s="2">
        <v>1.3006720138738299E-3</v>
      </c>
      <c r="E15019" s="2">
        <v>3.5893754486719301E-4</v>
      </c>
      <c r="F15019" s="2">
        <v>8.2569329764819695E-4</v>
      </c>
    </row>
    <row r="15020" spans="1:6" x14ac:dyDescent="0.25">
      <c r="A15020" s="1" t="str">
        <f t="shared" si="563"/>
        <v>26580</v>
      </c>
      <c r="B15020" s="1" t="str">
        <f>"25722"</f>
        <v>25722</v>
      </c>
      <c r="C15020" s="2">
        <v>1.2544362615708599E-4</v>
      </c>
      <c r="D15020" s="2">
        <v>2.0955271334633999E-3</v>
      </c>
      <c r="E15020" s="2">
        <v>3.5893754486719301E-4</v>
      </c>
      <c r="F15020" s="2">
        <v>2.6099500787730301E-4</v>
      </c>
    </row>
    <row r="15021" spans="1:6" x14ac:dyDescent="0.25">
      <c r="A15021" s="1" t="str">
        <f t="shared" si="563"/>
        <v>26580</v>
      </c>
      <c r="B15021" s="1" t="str">
        <f>"25772"</f>
        <v>25772</v>
      </c>
      <c r="C15021" s="2">
        <v>2.8747497660999E-4</v>
      </c>
      <c r="D15021" s="2">
        <v>1.8787484644844201E-3</v>
      </c>
      <c r="E15021" s="2">
        <v>3.5893754486719301E-4</v>
      </c>
      <c r="F15021" s="2">
        <v>3.93865193705749E-4</v>
      </c>
    </row>
    <row r="15022" spans="1:6" x14ac:dyDescent="0.25">
      <c r="A15022" s="1" t="str">
        <f t="shared" si="563"/>
        <v>26580</v>
      </c>
      <c r="B15022" s="1" t="str">
        <f>"25777"</f>
        <v>25777</v>
      </c>
      <c r="C15022" s="2">
        <v>3.2406270090580699E-4</v>
      </c>
      <c r="D15022" s="2">
        <v>1.3729315702001501E-3</v>
      </c>
      <c r="E15022" s="2">
        <v>3.5893754486719301E-4</v>
      </c>
      <c r="F15022" s="2">
        <v>3.93865193705749E-4</v>
      </c>
    </row>
    <row r="15023" spans="1:6" x14ac:dyDescent="0.25">
      <c r="A15023" s="1" t="str">
        <f t="shared" si="563"/>
        <v>26580</v>
      </c>
      <c r="B15023" s="1" t="str">
        <f>"25716"</f>
        <v>25716</v>
      </c>
      <c r="C15023" s="2">
        <v>4.2859905603671302E-4</v>
      </c>
      <c r="D15023" s="2">
        <v>2.0232675771370699E-3</v>
      </c>
      <c r="E15023" s="2">
        <v>3.5893754486719301E-4</v>
      </c>
      <c r="F15023" s="2">
        <v>5.3148074331378203E-4</v>
      </c>
    </row>
    <row r="15024" spans="1:6" x14ac:dyDescent="0.25">
      <c r="A15024" s="1" t="str">
        <f t="shared" si="563"/>
        <v>26580</v>
      </c>
      <c r="B15024" s="1" t="str">
        <f>"25707"</f>
        <v>25707</v>
      </c>
      <c r="C15024" s="2">
        <v>2.8224815885344502E-4</v>
      </c>
      <c r="D15024" s="2">
        <v>1.01163378856853E-3</v>
      </c>
      <c r="E15024" s="2">
        <v>3.5893754486719301E-4</v>
      </c>
      <c r="F15024" s="2">
        <v>3.3217546457111398E-4</v>
      </c>
    </row>
    <row r="15025" spans="1:6" x14ac:dyDescent="0.25">
      <c r="A15025" s="1" t="str">
        <f t="shared" si="563"/>
        <v>26580</v>
      </c>
      <c r="B15025" s="1" t="str">
        <f>"25177"</f>
        <v>25177</v>
      </c>
      <c r="C15025" s="2">
        <v>6.3244494854197903E-4</v>
      </c>
      <c r="D15025" s="2">
        <v>2.5290844714213399E-3</v>
      </c>
      <c r="E15025" s="2">
        <v>0</v>
      </c>
      <c r="F15025" s="2">
        <v>7.40276749615625E-4</v>
      </c>
    </row>
    <row r="15026" spans="1:6" x14ac:dyDescent="0.25">
      <c r="A15026" s="1" t="str">
        <f t="shared" si="563"/>
        <v>26580</v>
      </c>
      <c r="B15026" s="1" t="str">
        <f>"41174"</f>
        <v>41174</v>
      </c>
      <c r="C15026" s="2">
        <v>1.94437620543484E-3</v>
      </c>
      <c r="D15026" s="2">
        <v>5.05816894284269E-4</v>
      </c>
      <c r="E15026" s="2">
        <v>7.1787508973438603E-4</v>
      </c>
      <c r="F15026" s="2">
        <v>1.81747432758195E-3</v>
      </c>
    </row>
    <row r="15027" spans="1:6" x14ac:dyDescent="0.25">
      <c r="A15027" s="1" t="str">
        <f t="shared" si="563"/>
        <v>26580</v>
      </c>
      <c r="B15027" s="1" t="str">
        <f>"41102"</f>
        <v>41102</v>
      </c>
      <c r="C15027" s="2">
        <v>4.9837707308659197E-2</v>
      </c>
      <c r="D15027" s="2">
        <v>5.1810101885974402E-2</v>
      </c>
      <c r="E15027" s="2">
        <v>4.5585068198133502E-2</v>
      </c>
      <c r="F15027" s="2">
        <v>4.98547918683446E-2</v>
      </c>
    </row>
    <row r="15028" spans="1:6" x14ac:dyDescent="0.25">
      <c r="A15028" s="1" t="str">
        <f t="shared" si="563"/>
        <v>26580</v>
      </c>
      <c r="B15028" s="1" t="str">
        <f>"41144"</f>
        <v>41144</v>
      </c>
      <c r="C15028" s="2">
        <v>2.63692955817709E-2</v>
      </c>
      <c r="D15028" s="2">
        <v>2.3339836693402699E-2</v>
      </c>
      <c r="E15028" s="2">
        <v>1.0229720028715E-2</v>
      </c>
      <c r="F15028" s="2">
        <v>2.5743598504261299E-2</v>
      </c>
    </row>
    <row r="15029" spans="1:6" x14ac:dyDescent="0.25">
      <c r="A15029" s="1" t="str">
        <f t="shared" si="563"/>
        <v>26580</v>
      </c>
      <c r="B15029" s="1" t="str">
        <f>"25168"</f>
        <v>25168</v>
      </c>
      <c r="C15029" s="2">
        <v>7.2809571348675696E-3</v>
      </c>
      <c r="D15029" s="2">
        <v>1.95100802081075E-3</v>
      </c>
      <c r="E15029" s="2">
        <v>3.5893754486719301E-4</v>
      </c>
      <c r="F15029" s="2">
        <v>6.7479072945732001E-3</v>
      </c>
    </row>
    <row r="15030" spans="1:6" x14ac:dyDescent="0.25">
      <c r="A15030" s="1" t="str">
        <f t="shared" si="563"/>
        <v>26580</v>
      </c>
      <c r="B15030" s="1" t="str">
        <f>"25703"</f>
        <v>25703</v>
      </c>
      <c r="C15030" s="2">
        <v>1.4389429283769101E-2</v>
      </c>
      <c r="D15030" s="2">
        <v>2.00881566587181E-2</v>
      </c>
      <c r="E15030" s="2">
        <v>4.8277099784637401E-2</v>
      </c>
      <c r="F15030" s="2">
        <v>1.5659700472638202E-2</v>
      </c>
    </row>
    <row r="15031" spans="1:6" x14ac:dyDescent="0.25">
      <c r="A15031" s="1" t="str">
        <f t="shared" si="563"/>
        <v>26580</v>
      </c>
      <c r="B15031" s="1" t="str">
        <f>"25570"</f>
        <v>25570</v>
      </c>
      <c r="C15031" s="2">
        <v>1.9699876124419102E-2</v>
      </c>
      <c r="D15031" s="2">
        <v>8.0208107522219806E-3</v>
      </c>
      <c r="E15031" s="2">
        <v>8.7939698492462293E-3</v>
      </c>
      <c r="F15031" s="2">
        <v>1.8644534289998599E-2</v>
      </c>
    </row>
    <row r="15032" spans="1:6" x14ac:dyDescent="0.25">
      <c r="A15032" s="1" t="str">
        <f t="shared" si="563"/>
        <v>26580</v>
      </c>
      <c r="B15032" s="1" t="str">
        <f>"25560"</f>
        <v>25560</v>
      </c>
      <c r="C15032" s="2">
        <v>2.2203521829804299E-2</v>
      </c>
      <c r="D15032" s="2">
        <v>1.27899414697593E-2</v>
      </c>
      <c r="E15032" s="2">
        <v>1.11270638908829E-2</v>
      </c>
      <c r="F15032" s="2">
        <v>2.1292447279008399E-2</v>
      </c>
    </row>
    <row r="15033" spans="1:6" x14ac:dyDescent="0.25">
      <c r="A15033" s="1" t="str">
        <f t="shared" si="563"/>
        <v>26580</v>
      </c>
      <c r="B15033" s="1" t="str">
        <f>"25312"</f>
        <v>25312</v>
      </c>
      <c r="C15033" s="2">
        <v>1.56804532696358E-5</v>
      </c>
      <c r="D15033" s="2">
        <v>0</v>
      </c>
      <c r="E15033" s="2">
        <v>0</v>
      </c>
      <c r="F15033" s="2">
        <v>1.4236091338762001E-5</v>
      </c>
    </row>
    <row r="15034" spans="1:6" x14ac:dyDescent="0.25">
      <c r="A15034" s="1" t="str">
        <f t="shared" si="563"/>
        <v>26580</v>
      </c>
      <c r="B15034" s="1" t="str">
        <f>"25755"</f>
        <v>25755</v>
      </c>
      <c r="C15034" s="2">
        <v>0</v>
      </c>
      <c r="D15034" s="2">
        <v>0</v>
      </c>
      <c r="E15034" s="2">
        <v>1.7946877243359599E-4</v>
      </c>
      <c r="F15034" s="2">
        <v>4.7453637795873398E-6</v>
      </c>
    </row>
    <row r="15035" spans="1:6" x14ac:dyDescent="0.25">
      <c r="A15035" s="1" t="str">
        <f t="shared" si="563"/>
        <v>26580</v>
      </c>
      <c r="B15035" s="1" t="str">
        <f>"45675"</f>
        <v>45675</v>
      </c>
      <c r="C15035" s="2">
        <v>0</v>
      </c>
      <c r="D15035" s="2">
        <v>7.2259556326324106E-5</v>
      </c>
      <c r="E15035" s="2">
        <v>0</v>
      </c>
      <c r="F15035" s="2">
        <v>4.7453637795873398E-6</v>
      </c>
    </row>
    <row r="15036" spans="1:6" x14ac:dyDescent="0.25">
      <c r="A15036" s="1" t="str">
        <f t="shared" si="563"/>
        <v>26580</v>
      </c>
      <c r="B15036" s="1" t="str">
        <f>"25706"</f>
        <v>25706</v>
      </c>
      <c r="C15036" s="2">
        <v>4.02464967253986E-4</v>
      </c>
      <c r="D15036" s="2">
        <v>1.8064889081580999E-3</v>
      </c>
      <c r="E15036" s="2">
        <v>3.5893754486719301E-4</v>
      </c>
      <c r="F15036" s="2">
        <v>4.9351783307708297E-4</v>
      </c>
    </row>
    <row r="15037" spans="1:6" x14ac:dyDescent="0.25">
      <c r="A15037" s="1" t="str">
        <f t="shared" si="563"/>
        <v>26580</v>
      </c>
      <c r="B15037" s="1" t="str">
        <f>"45688"</f>
        <v>45688</v>
      </c>
      <c r="C15037" s="2">
        <v>1.20216808400541E-3</v>
      </c>
      <c r="D15037" s="2">
        <v>1.44519112652648E-4</v>
      </c>
      <c r="E15037" s="2">
        <v>0</v>
      </c>
      <c r="F15037" s="2">
        <v>1.1009243968642601E-3</v>
      </c>
    </row>
    <row r="15038" spans="1:6" x14ac:dyDescent="0.25">
      <c r="A15038" s="1" t="str">
        <f t="shared" ref="A15038:A15069" si="564">"26580"</f>
        <v>26580</v>
      </c>
      <c r="B15038" s="1" t="str">
        <f>"25778"</f>
        <v>25778</v>
      </c>
      <c r="C15038" s="2">
        <v>3.6065042520162398E-4</v>
      </c>
      <c r="D15038" s="2">
        <v>2.2400462461160402E-3</v>
      </c>
      <c r="E15038" s="2">
        <v>3.5893754486719301E-4</v>
      </c>
      <c r="F15038" s="2">
        <v>4.8402710551790902E-4</v>
      </c>
    </row>
    <row r="15039" spans="1:6" x14ac:dyDescent="0.25">
      <c r="A15039" s="1" t="str">
        <f t="shared" si="564"/>
        <v>26580</v>
      </c>
      <c r="B15039" s="1" t="str">
        <f>"25545"</f>
        <v>25545</v>
      </c>
      <c r="C15039" s="2">
        <v>1.4823255157562399E-2</v>
      </c>
      <c r="D15039" s="2">
        <v>6.3588409567165204E-3</v>
      </c>
      <c r="E15039" s="2">
        <v>4.1277817659727198E-3</v>
      </c>
      <c r="F15039" s="2">
        <v>1.39845870584439E-2</v>
      </c>
    </row>
    <row r="15040" spans="1:6" x14ac:dyDescent="0.25">
      <c r="A15040" s="1" t="str">
        <f t="shared" si="564"/>
        <v>26580</v>
      </c>
      <c r="B15040" s="1" t="str">
        <f>"41101"</f>
        <v>41101</v>
      </c>
      <c r="C15040" s="2">
        <v>4.8818477846132899E-2</v>
      </c>
      <c r="D15040" s="2">
        <v>0.107883517595201</v>
      </c>
      <c r="E15040" s="2">
        <v>9.9605168700645993E-2</v>
      </c>
      <c r="F15040" s="2">
        <v>5.40402027219406E-2</v>
      </c>
    </row>
    <row r="15041" spans="1:6" x14ac:dyDescent="0.25">
      <c r="A15041" s="1" t="str">
        <f t="shared" si="564"/>
        <v>26580</v>
      </c>
      <c r="B15041" s="1" t="str">
        <f>"41139"</f>
        <v>41139</v>
      </c>
      <c r="C15041" s="2">
        <v>2.5627087460341501E-2</v>
      </c>
      <c r="D15041" s="2">
        <v>2.3339836693402699E-2</v>
      </c>
      <c r="E15041" s="2">
        <v>2.4407753050969101E-2</v>
      </c>
      <c r="F15041" s="2">
        <v>2.5444640586147298E-2</v>
      </c>
    </row>
    <row r="15042" spans="1:6" x14ac:dyDescent="0.25">
      <c r="A15042" s="1" t="str">
        <f t="shared" si="564"/>
        <v>26580</v>
      </c>
      <c r="B15042" s="1" t="str">
        <f>"45680"</f>
        <v>45680</v>
      </c>
      <c r="C15042" s="2">
        <v>3.3143251394253601E-2</v>
      </c>
      <c r="D15042" s="2">
        <v>2.1605607341570899E-2</v>
      </c>
      <c r="E15042" s="2">
        <v>6.6403445800430699E-2</v>
      </c>
      <c r="F15042" s="2">
        <v>3.3265000094907203E-2</v>
      </c>
    </row>
    <row r="15043" spans="1:6" x14ac:dyDescent="0.25">
      <c r="A15043" s="1" t="str">
        <f t="shared" si="564"/>
        <v>26580</v>
      </c>
      <c r="B15043" s="1" t="str">
        <f>"45619"</f>
        <v>45619</v>
      </c>
      <c r="C15043" s="2">
        <v>2.36461235306108E-2</v>
      </c>
      <c r="D15043" s="2">
        <v>1.6836476624033501E-2</v>
      </c>
      <c r="E15043" s="2">
        <v>2.63819095477386E-2</v>
      </c>
      <c r="F15043" s="2">
        <v>2.3271263975096299E-2</v>
      </c>
    </row>
    <row r="15044" spans="1:6" x14ac:dyDescent="0.25">
      <c r="A15044" s="1" t="str">
        <f t="shared" si="564"/>
        <v>26580</v>
      </c>
      <c r="B15044" s="1" t="str">
        <f>"25504"</f>
        <v>25504</v>
      </c>
      <c r="C15044" s="2">
        <v>3.4235656305371599E-2</v>
      </c>
      <c r="D15044" s="2">
        <v>5.8168942842690897E-2</v>
      </c>
      <c r="E15044" s="2">
        <v>2.81765972720746E-2</v>
      </c>
      <c r="F15044" s="2">
        <v>3.5647172712260103E-2</v>
      </c>
    </row>
    <row r="15045" spans="1:6" x14ac:dyDescent="0.25">
      <c r="A15045" s="1" t="str">
        <f t="shared" si="564"/>
        <v>26580</v>
      </c>
      <c r="B15045" s="1" t="str">
        <f>"25526"</f>
        <v>25526</v>
      </c>
      <c r="C15045" s="2">
        <v>5.3512160191510602E-2</v>
      </c>
      <c r="D15045" s="2">
        <v>6.5467158031649597E-2</v>
      </c>
      <c r="E15045" s="2">
        <v>3.7867910983488802E-2</v>
      </c>
      <c r="F15045" s="2">
        <v>5.3883605717214199E-2</v>
      </c>
    </row>
    <row r="15046" spans="1:6" x14ac:dyDescent="0.25">
      <c r="A15046" s="1" t="str">
        <f t="shared" si="564"/>
        <v>26580</v>
      </c>
      <c r="B15046" s="1" t="str">
        <f>"25537"</f>
        <v>25537</v>
      </c>
      <c r="C15046" s="2">
        <v>5.1275082191709204E-3</v>
      </c>
      <c r="D15046" s="2">
        <v>1.8064889081580999E-3</v>
      </c>
      <c r="E15046" s="2">
        <v>1.07681263460157E-3</v>
      </c>
      <c r="F15046" s="2">
        <v>4.8023081449423896E-3</v>
      </c>
    </row>
    <row r="15047" spans="1:6" x14ac:dyDescent="0.25">
      <c r="A15047" s="1" t="str">
        <f t="shared" si="564"/>
        <v>26580</v>
      </c>
      <c r="B15047" s="1" t="str">
        <f>"25559"</f>
        <v>25559</v>
      </c>
      <c r="C15047" s="2">
        <v>5.1275082191709204E-3</v>
      </c>
      <c r="D15047" s="2">
        <v>1.8787484644844201E-3</v>
      </c>
      <c r="E15047" s="2">
        <v>3.5893754486719301E-4</v>
      </c>
      <c r="F15047" s="2">
        <v>4.7880720536036198E-3</v>
      </c>
    </row>
    <row r="15048" spans="1:6" x14ac:dyDescent="0.25">
      <c r="A15048" s="1" t="str">
        <f t="shared" si="564"/>
        <v>26580</v>
      </c>
      <c r="B15048" s="1" t="str">
        <f>"41173"</f>
        <v>41173</v>
      </c>
      <c r="C15048" s="2">
        <v>0</v>
      </c>
      <c r="D15048" s="2">
        <v>0</v>
      </c>
      <c r="E15048" s="2">
        <v>1.7946877243359599E-4</v>
      </c>
      <c r="F15048" s="2">
        <v>4.7453637795873398E-6</v>
      </c>
    </row>
    <row r="15049" spans="1:6" x14ac:dyDescent="0.25">
      <c r="A15049" s="1" t="str">
        <f t="shared" si="564"/>
        <v>26580</v>
      </c>
      <c r="B15049" s="1" t="str">
        <f>"25562"</f>
        <v>25562</v>
      </c>
      <c r="C15049" s="2">
        <v>0</v>
      </c>
      <c r="D15049" s="2">
        <v>0</v>
      </c>
      <c r="E15049" s="2">
        <v>1.7946877243359599E-4</v>
      </c>
      <c r="F15049" s="2">
        <v>4.7453637795873398E-6</v>
      </c>
    </row>
    <row r="15050" spans="1:6" x14ac:dyDescent="0.25">
      <c r="A15050" s="1" t="str">
        <f t="shared" si="564"/>
        <v>26580</v>
      </c>
      <c r="B15050" s="1" t="str">
        <f>"25719"</f>
        <v>25719</v>
      </c>
      <c r="C15050" s="2">
        <v>1.56804532696358E-4</v>
      </c>
      <c r="D15050" s="2">
        <v>1.8064889081580999E-3</v>
      </c>
      <c r="E15050" s="2">
        <v>3.5893754486719301E-4</v>
      </c>
      <c r="F15050" s="2">
        <v>2.7048573543647799E-4</v>
      </c>
    </row>
    <row r="15051" spans="1:6" x14ac:dyDescent="0.25">
      <c r="A15051" s="1" t="str">
        <f t="shared" si="564"/>
        <v>26580</v>
      </c>
      <c r="B15051" s="1" t="str">
        <f>"25775"</f>
        <v>25775</v>
      </c>
      <c r="C15051" s="2">
        <v>5.01774504628347E-4</v>
      </c>
      <c r="D15051" s="2">
        <v>8.6711467591588901E-4</v>
      </c>
      <c r="E15051" s="2">
        <v>3.5893754486719301E-4</v>
      </c>
      <c r="F15051" s="2">
        <v>5.2199001575460699E-4</v>
      </c>
    </row>
    <row r="15052" spans="1:6" x14ac:dyDescent="0.25">
      <c r="A15052" s="1" t="str">
        <f t="shared" si="564"/>
        <v>26580</v>
      </c>
      <c r="B15052" s="1" t="str">
        <f>"25774"</f>
        <v>25774</v>
      </c>
      <c r="C15052" s="2">
        <v>5.01774504628347E-4</v>
      </c>
      <c r="D15052" s="2">
        <v>8.6711467591588901E-4</v>
      </c>
      <c r="E15052" s="2">
        <v>3.5893754486719301E-4</v>
      </c>
      <c r="F15052" s="2">
        <v>5.2199001575460699E-4</v>
      </c>
    </row>
    <row r="15053" spans="1:6" x14ac:dyDescent="0.25">
      <c r="A15053" s="1" t="str">
        <f t="shared" si="564"/>
        <v>26580</v>
      </c>
      <c r="B15053" s="1" t="str">
        <f>"25720"</f>
        <v>25720</v>
      </c>
      <c r="C15053" s="2">
        <v>3.5542360744507899E-4</v>
      </c>
      <c r="D15053" s="2">
        <v>1.22841245754751E-3</v>
      </c>
      <c r="E15053" s="2">
        <v>3.5893754486719301E-4</v>
      </c>
      <c r="F15053" s="2">
        <v>4.1284664882409799E-4</v>
      </c>
    </row>
    <row r="15054" spans="1:6" x14ac:dyDescent="0.25">
      <c r="A15054" s="1" t="str">
        <f t="shared" si="564"/>
        <v>26580</v>
      </c>
      <c r="B15054" s="1" t="str">
        <f>"25718"</f>
        <v>25718</v>
      </c>
      <c r="C15054" s="2">
        <v>2.2475316353144699E-4</v>
      </c>
      <c r="D15054" s="2">
        <v>2.3123058024423701E-3</v>
      </c>
      <c r="E15054" s="2">
        <v>1.7946877243359599E-4</v>
      </c>
      <c r="F15054" s="2">
        <v>3.6064764724863801E-4</v>
      </c>
    </row>
    <row r="15055" spans="1:6" x14ac:dyDescent="0.25">
      <c r="A15055" s="1" t="str">
        <f t="shared" si="564"/>
        <v>26580</v>
      </c>
      <c r="B15055" s="1" t="str">
        <f>"25507"</f>
        <v>25507</v>
      </c>
      <c r="C15055" s="2">
        <v>2.0384589250526601E-4</v>
      </c>
      <c r="D15055" s="2">
        <v>0</v>
      </c>
      <c r="E15055" s="2">
        <v>1.7946877243359599E-4</v>
      </c>
      <c r="F15055" s="2">
        <v>1.8981455118349301E-4</v>
      </c>
    </row>
    <row r="15056" spans="1:6" x14ac:dyDescent="0.25">
      <c r="A15056" s="1" t="str">
        <f t="shared" si="564"/>
        <v>26580</v>
      </c>
      <c r="B15056" s="1" t="str">
        <f>"45682"</f>
        <v>45682</v>
      </c>
      <c r="C15056" s="2">
        <v>2.6656770558380899E-4</v>
      </c>
      <c r="D15056" s="2">
        <v>0</v>
      </c>
      <c r="E15056" s="2">
        <v>0</v>
      </c>
      <c r="F15056" s="2">
        <v>2.4201355275895399E-4</v>
      </c>
    </row>
    <row r="15057" spans="1:6" x14ac:dyDescent="0.25">
      <c r="A15057" s="1" t="str">
        <f t="shared" si="564"/>
        <v>26580</v>
      </c>
      <c r="B15057" s="1" t="str">
        <f>"41169"</f>
        <v>41169</v>
      </c>
      <c r="C15057" s="2">
        <v>1.4619409265057099E-2</v>
      </c>
      <c r="D15057" s="2">
        <v>1.51022472722017E-2</v>
      </c>
      <c r="E15057" s="2">
        <v>1.8844221105527598E-2</v>
      </c>
      <c r="F15057" s="2">
        <v>1.47628267182962E-2</v>
      </c>
    </row>
    <row r="15058" spans="1:6" x14ac:dyDescent="0.25">
      <c r="A15058" s="1" t="str">
        <f t="shared" si="564"/>
        <v>26580</v>
      </c>
      <c r="B15058" s="1" t="str">
        <f>"25124"</f>
        <v>25124</v>
      </c>
      <c r="C15058" s="2">
        <v>2.8224815885344499E-3</v>
      </c>
      <c r="D15058" s="2">
        <v>5.05816894284269E-4</v>
      </c>
      <c r="E15058" s="2">
        <v>0</v>
      </c>
      <c r="F15058" s="2">
        <v>2.5957139874342701E-3</v>
      </c>
    </row>
    <row r="15059" spans="1:6" x14ac:dyDescent="0.25">
      <c r="A15059" s="1" t="str">
        <f t="shared" si="564"/>
        <v>26580</v>
      </c>
      <c r="B15059" s="1" t="str">
        <f>"25159"</f>
        <v>25159</v>
      </c>
      <c r="C15059" s="2">
        <v>1.25757235222479E-2</v>
      </c>
      <c r="D15059" s="2">
        <v>5.7807645061059296E-3</v>
      </c>
      <c r="E15059" s="2">
        <v>2.33309404163675E-3</v>
      </c>
      <c r="F15059" s="2">
        <v>1.18586640851887E-2</v>
      </c>
    </row>
    <row r="15060" spans="1:6" x14ac:dyDescent="0.25">
      <c r="A15060" s="1" t="str">
        <f t="shared" si="564"/>
        <v>26580</v>
      </c>
      <c r="B15060" s="1" t="str">
        <f>"25705"</f>
        <v>25705</v>
      </c>
      <c r="C15060" s="2">
        <v>5.5906042724008301E-2</v>
      </c>
      <c r="D15060" s="2">
        <v>3.1216128332972E-2</v>
      </c>
      <c r="E15060" s="2">
        <v>5.3661162957645302E-2</v>
      </c>
      <c r="F15060" s="2">
        <v>5.4225271909344501E-2</v>
      </c>
    </row>
    <row r="15061" spans="1:6" x14ac:dyDescent="0.25">
      <c r="A15061" s="1" t="str">
        <f t="shared" si="564"/>
        <v>26580</v>
      </c>
      <c r="B15061" s="1" t="str">
        <f>"25541"</f>
        <v>25541</v>
      </c>
      <c r="C15061" s="2">
        <v>2.46287652688413E-2</v>
      </c>
      <c r="D15061" s="2">
        <v>1.6908736180359801E-2</v>
      </c>
      <c r="E15061" s="2">
        <v>1.6690595836324401E-2</v>
      </c>
      <c r="F15061" s="2">
        <v>2.3911888085340598E-2</v>
      </c>
    </row>
    <row r="15062" spans="1:6" x14ac:dyDescent="0.25">
      <c r="A15062" s="1" t="str">
        <f t="shared" si="564"/>
        <v>26580</v>
      </c>
      <c r="B15062" s="1" t="str">
        <f>"25523"</f>
        <v>25523</v>
      </c>
      <c r="C15062" s="2">
        <v>4.8086723360216501E-4</v>
      </c>
      <c r="D15062" s="2">
        <v>7.2259556326324106E-5</v>
      </c>
      <c r="E15062" s="2">
        <v>0</v>
      </c>
      <c r="F15062" s="2">
        <v>4.4131883150162201E-4</v>
      </c>
    </row>
    <row r="15063" spans="1:6" x14ac:dyDescent="0.25">
      <c r="A15063" s="1" t="str">
        <f t="shared" si="564"/>
        <v>26580</v>
      </c>
      <c r="B15063" s="1" t="str">
        <f>"25671"</f>
        <v>25671</v>
      </c>
      <c r="C15063" s="2">
        <v>1.56804532696358E-5</v>
      </c>
      <c r="D15063" s="2">
        <v>0</v>
      </c>
      <c r="E15063" s="2">
        <v>0</v>
      </c>
      <c r="F15063" s="2">
        <v>1.4236091338762001E-5</v>
      </c>
    </row>
    <row r="15064" spans="1:6" x14ac:dyDescent="0.25">
      <c r="A15064" s="1" t="str">
        <f t="shared" si="564"/>
        <v>26580</v>
      </c>
      <c r="B15064" s="1" t="str">
        <f>"45658"</f>
        <v>45658</v>
      </c>
      <c r="C15064" s="2">
        <v>5.2268177565452801E-6</v>
      </c>
      <c r="D15064" s="2">
        <v>0</v>
      </c>
      <c r="E15064" s="2">
        <v>0</v>
      </c>
      <c r="F15064" s="2">
        <v>4.7453637795873398E-6</v>
      </c>
    </row>
    <row r="15065" spans="1:6" x14ac:dyDescent="0.25">
      <c r="A15065" s="1" t="str">
        <f t="shared" si="564"/>
        <v>26580</v>
      </c>
      <c r="B15065" s="1" t="str">
        <f>"41166"</f>
        <v>41166</v>
      </c>
      <c r="C15065" s="2">
        <v>2.6134088782726401E-5</v>
      </c>
      <c r="D15065" s="2">
        <v>0</v>
      </c>
      <c r="E15065" s="2">
        <v>0</v>
      </c>
      <c r="F15065" s="2">
        <v>2.3726818897936701E-5</v>
      </c>
    </row>
    <row r="15066" spans="1:6" x14ac:dyDescent="0.25">
      <c r="A15066" s="1" t="str">
        <f t="shared" si="564"/>
        <v>26580</v>
      </c>
      <c r="B15066" s="1" t="str">
        <f>"25725"</f>
        <v>25725</v>
      </c>
      <c r="C15066" s="2">
        <v>2.8224815885344502E-4</v>
      </c>
      <c r="D15066" s="2">
        <v>2.6013440277476599E-3</v>
      </c>
      <c r="E15066" s="2">
        <v>3.5893754486719301E-4</v>
      </c>
      <c r="F15066" s="2">
        <v>4.3657346772203498E-4</v>
      </c>
    </row>
    <row r="15067" spans="1:6" x14ac:dyDescent="0.25">
      <c r="A15067" s="1" t="str">
        <f t="shared" si="564"/>
        <v>26580</v>
      </c>
      <c r="B15067" s="1" t="str">
        <f>"25524"</f>
        <v>25524</v>
      </c>
      <c r="C15067" s="2">
        <v>1.56804532696358E-5</v>
      </c>
      <c r="D15067" s="2">
        <v>0</v>
      </c>
      <c r="E15067" s="2">
        <v>0</v>
      </c>
      <c r="F15067" s="2">
        <v>1.4236091338762001E-5</v>
      </c>
    </row>
    <row r="15068" spans="1:6" x14ac:dyDescent="0.25">
      <c r="A15068" s="1" t="str">
        <f t="shared" si="564"/>
        <v>26580</v>
      </c>
      <c r="B15068" s="1" t="str">
        <f>"41142"</f>
        <v>41142</v>
      </c>
      <c r="C15068" s="2">
        <v>0</v>
      </c>
      <c r="D15068" s="2">
        <v>0</v>
      </c>
      <c r="E15068" s="2">
        <v>1.7946877243359599E-4</v>
      </c>
      <c r="F15068" s="2">
        <v>4.7453637795873398E-6</v>
      </c>
    </row>
    <row r="15069" spans="1:6" x14ac:dyDescent="0.25">
      <c r="A15069" s="1" t="str">
        <f t="shared" si="564"/>
        <v>26580</v>
      </c>
      <c r="B15069" s="1" t="str">
        <f>"25728"</f>
        <v>25728</v>
      </c>
      <c r="C15069" s="2">
        <v>2.0907271026181099E-4</v>
      </c>
      <c r="D15069" s="2">
        <v>3.9020160416215E-3</v>
      </c>
      <c r="E15069" s="2">
        <v>3.5893754486719301E-4</v>
      </c>
      <c r="F15069" s="2">
        <v>4.5555492284038402E-4</v>
      </c>
    </row>
    <row r="15070" spans="1:6" x14ac:dyDescent="0.25">
      <c r="A15070" s="1" t="str">
        <f t="shared" ref="A15070:A15094" si="565">"26580"</f>
        <v>26580</v>
      </c>
      <c r="B15070" s="1" t="str">
        <f>"25506"</f>
        <v>25506</v>
      </c>
      <c r="C15070" s="2">
        <v>1.8764275745997499E-3</v>
      </c>
      <c r="D15070" s="2">
        <v>0</v>
      </c>
      <c r="E15070" s="2">
        <v>0</v>
      </c>
      <c r="F15070" s="2">
        <v>1.70358559687185E-3</v>
      </c>
    </row>
    <row r="15071" spans="1:6" x14ac:dyDescent="0.25">
      <c r="A15071" s="1" t="str">
        <f t="shared" si="565"/>
        <v>26580</v>
      </c>
      <c r="B15071" s="1" t="str">
        <f>"25779"</f>
        <v>25779</v>
      </c>
      <c r="C15071" s="2">
        <v>1.4112407942672199E-4</v>
      </c>
      <c r="D15071" s="2">
        <v>1.3729315702001501E-3</v>
      </c>
      <c r="E15071" s="2">
        <v>1.7946877243359599E-4</v>
      </c>
      <c r="F15071" s="2">
        <v>2.2303209764060501E-4</v>
      </c>
    </row>
    <row r="15072" spans="1:6" x14ac:dyDescent="0.25">
      <c r="A15072" s="1" t="str">
        <f t="shared" si="565"/>
        <v>26580</v>
      </c>
      <c r="B15072" s="1" t="str">
        <f>"40351"</f>
        <v>40351</v>
      </c>
      <c r="C15072" s="2">
        <v>2.5611407007071799E-4</v>
      </c>
      <c r="D15072" s="2">
        <v>0</v>
      </c>
      <c r="E15072" s="2">
        <v>1.25628140703517E-3</v>
      </c>
      <c r="F15072" s="2">
        <v>2.6574037165689101E-4</v>
      </c>
    </row>
    <row r="15073" spans="1:6" x14ac:dyDescent="0.25">
      <c r="A15073" s="1" t="str">
        <f t="shared" si="565"/>
        <v>26580</v>
      </c>
      <c r="B15073" s="1" t="str">
        <f>"41175"</f>
        <v>41175</v>
      </c>
      <c r="C15073" s="2">
        <v>1.9647607946853701E-2</v>
      </c>
      <c r="D15073" s="2">
        <v>1.0622154779969599E-2</v>
      </c>
      <c r="E15073" s="2">
        <v>1.6152189519023599E-2</v>
      </c>
      <c r="F15073" s="2">
        <v>1.8962473663230998E-2</v>
      </c>
    </row>
    <row r="15074" spans="1:6" x14ac:dyDescent="0.25">
      <c r="A15074" s="1" t="str">
        <f t="shared" si="565"/>
        <v>26580</v>
      </c>
      <c r="B15074" s="1" t="str">
        <f>"41105"</f>
        <v>41105</v>
      </c>
      <c r="C15074" s="2">
        <v>7.4377616675639297E-3</v>
      </c>
      <c r="D15074" s="2">
        <v>2.7458631404003099E-2</v>
      </c>
      <c r="E15074" s="2">
        <v>3.5893754486719301E-4</v>
      </c>
      <c r="F15074" s="2">
        <v>8.5653816221551507E-3</v>
      </c>
    </row>
    <row r="15075" spans="1:6" x14ac:dyDescent="0.25">
      <c r="A15075" s="1" t="str">
        <f t="shared" si="565"/>
        <v>26580</v>
      </c>
      <c r="B15075" s="1" t="str">
        <f>"41143"</f>
        <v>41143</v>
      </c>
      <c r="C15075" s="2">
        <v>3.38540986091437E-2</v>
      </c>
      <c r="D15075" s="2">
        <v>3.7574969289688502E-2</v>
      </c>
      <c r="E15075" s="2">
        <v>4.2175161521895099E-2</v>
      </c>
      <c r="F15075" s="2">
        <v>3.4318470853975602E-2</v>
      </c>
    </row>
    <row r="15076" spans="1:6" x14ac:dyDescent="0.25">
      <c r="A15076" s="1" t="str">
        <f t="shared" si="565"/>
        <v>26580</v>
      </c>
      <c r="B15076" s="1" t="str">
        <f>"25143"</f>
        <v>25143</v>
      </c>
      <c r="C15076" s="2">
        <v>5.79131407425217E-3</v>
      </c>
      <c r="D15076" s="2">
        <v>9.8995592167063998E-3</v>
      </c>
      <c r="E15076" s="2">
        <v>5.7430007178750804E-3</v>
      </c>
      <c r="F15076" s="2">
        <v>6.0598295465330299E-3</v>
      </c>
    </row>
    <row r="15077" spans="1:6" x14ac:dyDescent="0.25">
      <c r="A15077" s="1" t="str">
        <f t="shared" si="565"/>
        <v>26580</v>
      </c>
      <c r="B15077" s="1" t="str">
        <f>"25517"</f>
        <v>25517</v>
      </c>
      <c r="C15077" s="2">
        <v>4.29644419588022E-3</v>
      </c>
      <c r="D15077" s="2">
        <v>5.05816894284269E-4</v>
      </c>
      <c r="E15077" s="2">
        <v>3.5893754486719301E-4</v>
      </c>
      <c r="F15077" s="2">
        <v>3.9433973008370796E-3</v>
      </c>
    </row>
    <row r="15078" spans="1:6" x14ac:dyDescent="0.25">
      <c r="A15078" s="1" t="str">
        <f t="shared" si="565"/>
        <v>26580</v>
      </c>
      <c r="B15078" s="1" t="str">
        <f>"25514"</f>
        <v>25514</v>
      </c>
      <c r="C15078" s="2">
        <v>7.5945662002602898E-3</v>
      </c>
      <c r="D15078" s="2">
        <v>1.5174506828528E-3</v>
      </c>
      <c r="E15078" s="2">
        <v>3.58937544867193E-3</v>
      </c>
      <c r="F15078" s="2">
        <v>7.0895734867034901E-3</v>
      </c>
    </row>
    <row r="15079" spans="1:6" x14ac:dyDescent="0.25">
      <c r="A15079" s="1" t="str">
        <f t="shared" si="565"/>
        <v>26580</v>
      </c>
      <c r="B15079" s="1" t="str">
        <f>"25669"</f>
        <v>25669</v>
      </c>
      <c r="C15079" s="2">
        <v>1.3955603409975901E-3</v>
      </c>
      <c r="D15079" s="2">
        <v>3.6129778163162E-4</v>
      </c>
      <c r="E15079" s="2">
        <v>0</v>
      </c>
      <c r="F15079" s="2">
        <v>1.2907389480477499E-3</v>
      </c>
    </row>
    <row r="15080" spans="1:6" x14ac:dyDescent="0.25">
      <c r="A15080" s="1" t="str">
        <f t="shared" si="565"/>
        <v>26580</v>
      </c>
      <c r="B15080" s="1" t="str">
        <f>"25555"</f>
        <v>25555</v>
      </c>
      <c r="C15080" s="2">
        <v>4.7145896164038402E-3</v>
      </c>
      <c r="D15080" s="2">
        <v>1.3729315702001501E-3</v>
      </c>
      <c r="E15080" s="2">
        <v>0</v>
      </c>
      <c r="F15080" s="2">
        <v>4.3704800409999399E-3</v>
      </c>
    </row>
    <row r="15081" spans="1:6" x14ac:dyDescent="0.25">
      <c r="A15081" s="1" t="str">
        <f t="shared" si="565"/>
        <v>26580</v>
      </c>
      <c r="B15081" s="1" t="str">
        <f>"25708"</f>
        <v>25708</v>
      </c>
      <c r="C15081" s="2">
        <v>2.5088725231417301E-4</v>
      </c>
      <c r="D15081" s="2">
        <v>2.6013440277476599E-3</v>
      </c>
      <c r="E15081" s="2">
        <v>3.5893754486719301E-4</v>
      </c>
      <c r="F15081" s="2">
        <v>4.0810128504451101E-4</v>
      </c>
    </row>
    <row r="15082" spans="1:6" x14ac:dyDescent="0.25">
      <c r="A15082" s="1" t="str">
        <f t="shared" si="565"/>
        <v>26580</v>
      </c>
      <c r="B15082" s="1" t="str">
        <f>"25723"</f>
        <v>25723</v>
      </c>
      <c r="C15082" s="2">
        <v>7.8402266348179202E-5</v>
      </c>
      <c r="D15082" s="2">
        <v>1.0838933448948599E-3</v>
      </c>
      <c r="E15082" s="2">
        <v>3.5893754486719301E-4</v>
      </c>
      <c r="F15082" s="2">
        <v>1.5185164094679401E-4</v>
      </c>
    </row>
    <row r="15083" spans="1:6" x14ac:dyDescent="0.25">
      <c r="A15083" s="1" t="str">
        <f t="shared" si="565"/>
        <v>26580</v>
      </c>
      <c r="B15083" s="1" t="str">
        <f>"45623"</f>
        <v>45623</v>
      </c>
      <c r="C15083" s="2">
        <v>1.92346893440866E-3</v>
      </c>
      <c r="D15083" s="2">
        <v>2.8903822530529599E-4</v>
      </c>
      <c r="E15083" s="2">
        <v>0</v>
      </c>
      <c r="F15083" s="2">
        <v>1.76527532600649E-3</v>
      </c>
    </row>
    <row r="15084" spans="1:6" x14ac:dyDescent="0.25">
      <c r="A15084" s="1" t="str">
        <f t="shared" si="565"/>
        <v>26580</v>
      </c>
      <c r="B15084" s="1" t="str">
        <f>"25710"</f>
        <v>25710</v>
      </c>
      <c r="C15084" s="2">
        <v>2.0384589250526601E-4</v>
      </c>
      <c r="D15084" s="2">
        <v>2.8181226967266401E-3</v>
      </c>
      <c r="E15084" s="2">
        <v>3.5893754486719301E-4</v>
      </c>
      <c r="F15084" s="2">
        <v>3.7962910236698699E-4</v>
      </c>
    </row>
    <row r="15085" spans="1:6" x14ac:dyDescent="0.25">
      <c r="A15085" s="1" t="str">
        <f t="shared" si="565"/>
        <v>26580</v>
      </c>
      <c r="B15085" s="1" t="str">
        <f>"41129"</f>
        <v>41129</v>
      </c>
      <c r="C15085" s="2">
        <v>2.3625216259584601E-2</v>
      </c>
      <c r="D15085" s="2">
        <v>2.4785027819929101E-2</v>
      </c>
      <c r="E15085" s="2">
        <v>1.3998564249820499E-2</v>
      </c>
      <c r="F15085" s="2">
        <v>2.3446842434940999E-2</v>
      </c>
    </row>
    <row r="15086" spans="1:6" x14ac:dyDescent="0.25">
      <c r="A15086" s="1" t="str">
        <f t="shared" si="565"/>
        <v>26580</v>
      </c>
      <c r="B15086" s="1" t="str">
        <f>"41141"</f>
        <v>41141</v>
      </c>
      <c r="C15086" s="2">
        <v>1.65690122882485E-3</v>
      </c>
      <c r="D15086" s="2">
        <v>2.1677866897897201E-4</v>
      </c>
      <c r="E15086" s="2">
        <v>1.7946877243359599E-4</v>
      </c>
      <c r="F15086" s="2">
        <v>1.52326177324753E-3</v>
      </c>
    </row>
    <row r="15087" spans="1:6" x14ac:dyDescent="0.25">
      <c r="A15087" s="1" t="str">
        <f t="shared" si="565"/>
        <v>26580</v>
      </c>
      <c r="B15087" s="1" t="str">
        <f>"41183"</f>
        <v>41183</v>
      </c>
      <c r="C15087" s="2">
        <v>5.3993027425112703E-3</v>
      </c>
      <c r="D15087" s="2">
        <v>2.3845653587686901E-3</v>
      </c>
      <c r="E15087" s="2">
        <v>8.9734386216798196E-4</v>
      </c>
      <c r="F15087" s="2">
        <v>5.0822846079380396E-3</v>
      </c>
    </row>
    <row r="15088" spans="1:6" x14ac:dyDescent="0.25">
      <c r="A15088" s="1" t="str">
        <f t="shared" si="565"/>
        <v>26580</v>
      </c>
      <c r="B15088" s="1" t="str">
        <f>"25033"</f>
        <v>25033</v>
      </c>
      <c r="C15088" s="2">
        <v>5.5299731864249003E-3</v>
      </c>
      <c r="D15088" s="2">
        <v>3.6852373726425302E-3</v>
      </c>
      <c r="E15088" s="2">
        <v>1.4357501794687701E-3</v>
      </c>
      <c r="F15088" s="2">
        <v>5.30057134179906E-3</v>
      </c>
    </row>
    <row r="15089" spans="1:6" x14ac:dyDescent="0.25">
      <c r="A15089" s="1" t="str">
        <f t="shared" si="565"/>
        <v>26580</v>
      </c>
      <c r="B15089" s="1" t="str">
        <f>"25123"</f>
        <v>25123</v>
      </c>
      <c r="C15089" s="2">
        <v>1.29102398586668E-3</v>
      </c>
      <c r="D15089" s="2">
        <v>2.1677866897897201E-4</v>
      </c>
      <c r="E15089" s="2">
        <v>0</v>
      </c>
      <c r="F15089" s="2">
        <v>1.18634094489683E-3</v>
      </c>
    </row>
    <row r="15090" spans="1:6" x14ac:dyDescent="0.25">
      <c r="A15090" s="1" t="str">
        <f t="shared" si="565"/>
        <v>26580</v>
      </c>
      <c r="B15090" s="1" t="str">
        <f>"25701"</f>
        <v>25701</v>
      </c>
      <c r="C15090" s="2">
        <v>7.2224167759942698E-2</v>
      </c>
      <c r="D15090" s="2">
        <v>0.124358696437603</v>
      </c>
      <c r="E15090" s="2">
        <v>0.179289303661162</v>
      </c>
      <c r="F15090" s="2">
        <v>7.8478826186815398E-2</v>
      </c>
    </row>
    <row r="15091" spans="1:6" x14ac:dyDescent="0.25">
      <c r="A15091" s="1" t="str">
        <f t="shared" si="565"/>
        <v>26580</v>
      </c>
      <c r="B15091" s="1" t="str">
        <f>"25704"</f>
        <v>25704</v>
      </c>
      <c r="C15091" s="2">
        <v>4.3868681430684502E-2</v>
      </c>
      <c r="D15091" s="2">
        <v>3.8369824409278101E-2</v>
      </c>
      <c r="E15091" s="2">
        <v>5.2225412778176501E-2</v>
      </c>
      <c r="F15091" s="2">
        <v>4.37285272288973E-2</v>
      </c>
    </row>
    <row r="15092" spans="1:6" x14ac:dyDescent="0.25">
      <c r="A15092" s="1" t="str">
        <f t="shared" si="565"/>
        <v>26580</v>
      </c>
      <c r="B15092" s="1" t="str">
        <f>"25674"</f>
        <v>25674</v>
      </c>
      <c r="C15092" s="2">
        <v>3.5542360744507898E-3</v>
      </c>
      <c r="D15092" s="2">
        <v>2.1677866897897201E-4</v>
      </c>
      <c r="E15092" s="2">
        <v>3.5893754486719301E-4</v>
      </c>
      <c r="F15092" s="2">
        <v>3.25057418901733E-3</v>
      </c>
    </row>
    <row r="15093" spans="1:6" x14ac:dyDescent="0.25">
      <c r="A15093" s="1" t="str">
        <f t="shared" si="565"/>
        <v>26580</v>
      </c>
      <c r="B15093" s="1" t="str">
        <f>"25702"</f>
        <v>25702</v>
      </c>
      <c r="C15093" s="2">
        <v>2.27627913297547E-2</v>
      </c>
      <c r="D15093" s="2">
        <v>2.28340197991184E-2</v>
      </c>
      <c r="E15093" s="2">
        <v>2.15362526920315E-2</v>
      </c>
      <c r="F15093" s="2">
        <v>2.2735037868002898E-2</v>
      </c>
    </row>
    <row r="15094" spans="1:6" x14ac:dyDescent="0.25">
      <c r="A15094" s="1" t="str">
        <f t="shared" si="565"/>
        <v>26580</v>
      </c>
      <c r="B15094" s="1" t="str">
        <f>"25530"</f>
        <v>25530</v>
      </c>
      <c r="C15094" s="2">
        <v>1.5706587358418501E-2</v>
      </c>
      <c r="D15094" s="2">
        <v>1.4668689934243801E-2</v>
      </c>
      <c r="E15094" s="2">
        <v>1.6331658291457201E-2</v>
      </c>
      <c r="F15094" s="2">
        <v>1.5654955108858601E-2</v>
      </c>
    </row>
    <row r="15095" spans="1:6" x14ac:dyDescent="0.25">
      <c r="A15095" s="1" t="str">
        <f t="shared" ref="A15095:A15126" si="566">"26620"</f>
        <v>26620</v>
      </c>
      <c r="B15095" s="1" t="str">
        <f>"35807"</f>
        <v>35807</v>
      </c>
      <c r="C15095" s="2">
        <v>3.20822526233704E-3</v>
      </c>
      <c r="D15095" s="2">
        <v>1.17673478553783E-2</v>
      </c>
      <c r="E15095" s="2">
        <v>2.48292985723153E-4</v>
      </c>
      <c r="F15095" s="2">
        <v>3.8343673481650601E-3</v>
      </c>
    </row>
    <row r="15096" spans="1:6" x14ac:dyDescent="0.25">
      <c r="A15096" s="1" t="str">
        <f t="shared" si="566"/>
        <v>26620</v>
      </c>
      <c r="B15096" s="1" t="str">
        <f>"35749"</f>
        <v>35749</v>
      </c>
      <c r="C15096" s="2">
        <v>4.6190815236739E-2</v>
      </c>
      <c r="D15096" s="2">
        <v>1.50460363799685E-2</v>
      </c>
      <c r="E15096" s="2">
        <v>5.9590316573556699E-3</v>
      </c>
      <c r="F15096" s="2">
        <v>4.2369571422133399E-2</v>
      </c>
    </row>
    <row r="15097" spans="1:6" x14ac:dyDescent="0.25">
      <c r="A15097" s="1" t="str">
        <f t="shared" si="566"/>
        <v>26620</v>
      </c>
      <c r="B15097" s="1" t="str">
        <f>"35802"</f>
        <v>35802</v>
      </c>
      <c r="C15097" s="2">
        <v>5.2119886758548201E-2</v>
      </c>
      <c r="D15097" s="2">
        <v>4.6530428924320598E-2</v>
      </c>
      <c r="E15097" s="2">
        <v>0.119677219118559</v>
      </c>
      <c r="F15097" s="2">
        <v>5.3696164881551399E-2</v>
      </c>
    </row>
    <row r="15098" spans="1:6" x14ac:dyDescent="0.25">
      <c r="A15098" s="1" t="str">
        <f t="shared" si="566"/>
        <v>26620</v>
      </c>
      <c r="B15098" s="1" t="str">
        <f>"35613"</f>
        <v>35613</v>
      </c>
      <c r="C15098" s="2">
        <v>4.1609452609808598E-2</v>
      </c>
      <c r="D15098" s="2">
        <v>1.5360431169997701E-2</v>
      </c>
      <c r="E15098" s="2">
        <v>1.06765983860955E-2</v>
      </c>
      <c r="F15098" s="2">
        <v>3.8478871546816E-2</v>
      </c>
    </row>
    <row r="15099" spans="1:6" x14ac:dyDescent="0.25">
      <c r="A15099" s="1" t="str">
        <f t="shared" si="566"/>
        <v>26620</v>
      </c>
      <c r="B15099" s="1" t="str">
        <f>"35620"</f>
        <v>35620</v>
      </c>
      <c r="C15099" s="2">
        <v>1.87619725711573E-2</v>
      </c>
      <c r="D15099" s="2">
        <v>6.5124635077475797E-3</v>
      </c>
      <c r="E15099" s="2">
        <v>5.3382991930477899E-3</v>
      </c>
      <c r="F15099" s="2">
        <v>1.7331640853850801E-2</v>
      </c>
    </row>
    <row r="15100" spans="1:6" x14ac:dyDescent="0.25">
      <c r="A15100" s="1" t="str">
        <f t="shared" si="566"/>
        <v>26620</v>
      </c>
      <c r="B15100" s="1" t="str">
        <f>"35808"</f>
        <v>35808</v>
      </c>
      <c r="C15100" s="2">
        <v>5.3187882486565204E-3</v>
      </c>
      <c r="D15100" s="2">
        <v>6.5573770491803201E-3</v>
      </c>
      <c r="E15100" s="2">
        <v>7.0763500931098596E-3</v>
      </c>
      <c r="F15100" s="2">
        <v>5.4755216392014302E-3</v>
      </c>
    </row>
    <row r="15101" spans="1:6" x14ac:dyDescent="0.25">
      <c r="A15101" s="1" t="str">
        <f t="shared" si="566"/>
        <v>26620</v>
      </c>
      <c r="B15101" s="1" t="str">
        <f>"35804"</f>
        <v>35804</v>
      </c>
      <c r="C15101" s="2">
        <v>4.5389818440726201E-3</v>
      </c>
      <c r="D15101" s="2">
        <v>3.6290141477655503E-2</v>
      </c>
      <c r="E15101" s="2">
        <v>2.48292985723153E-4</v>
      </c>
      <c r="F15101" s="2">
        <v>7.0640989048956701E-3</v>
      </c>
    </row>
    <row r="15102" spans="1:6" x14ac:dyDescent="0.25">
      <c r="A15102" s="1" t="str">
        <f t="shared" si="566"/>
        <v>26620</v>
      </c>
      <c r="B15102" s="1" t="str">
        <f>"35614"</f>
        <v>35614</v>
      </c>
      <c r="C15102" s="2">
        <v>1.6172506738544399E-2</v>
      </c>
      <c r="D15102" s="2">
        <v>4.4015270604087098E-3</v>
      </c>
      <c r="E15102" s="2">
        <v>8.1936685288640492E-3</v>
      </c>
      <c r="F15102" s="2">
        <v>1.49468972044044E-2</v>
      </c>
    </row>
    <row r="15103" spans="1:6" x14ac:dyDescent="0.25">
      <c r="A15103" s="1" t="str">
        <f t="shared" si="566"/>
        <v>26620</v>
      </c>
      <c r="B15103" s="1" t="str">
        <f>"35801"</f>
        <v>35801</v>
      </c>
      <c r="C15103" s="2">
        <v>5.1200223770533397E-2</v>
      </c>
      <c r="D15103" s="2">
        <v>0.16002694812485899</v>
      </c>
      <c r="E15103" s="2">
        <v>0.119428926132836</v>
      </c>
      <c r="F15103" s="2">
        <v>6.2363863059381901E-2</v>
      </c>
    </row>
    <row r="15104" spans="1:6" x14ac:dyDescent="0.25">
      <c r="A15104" s="1" t="str">
        <f t="shared" si="566"/>
        <v>26620</v>
      </c>
      <c r="B15104" s="1" t="str">
        <f>"35741"</f>
        <v>35741</v>
      </c>
      <c r="C15104" s="2">
        <v>7.5988743664072902E-3</v>
      </c>
      <c r="D15104" s="2">
        <v>5.1650572647653197E-3</v>
      </c>
      <c r="E15104" s="2">
        <v>6.4556176288019804E-3</v>
      </c>
      <c r="F15104" s="2">
        <v>7.36078354789767E-3</v>
      </c>
    </row>
    <row r="15105" spans="1:6" x14ac:dyDescent="0.25">
      <c r="A15105" s="1" t="str">
        <f t="shared" si="566"/>
        <v>26620</v>
      </c>
      <c r="B15105" s="1" t="str">
        <f>"35897"</f>
        <v>35897</v>
      </c>
      <c r="C15105" s="2">
        <v>0</v>
      </c>
      <c r="D15105" s="2">
        <v>4.4913541432741897E-5</v>
      </c>
      <c r="E15105" s="2">
        <v>0</v>
      </c>
      <c r="F15105" s="2">
        <v>3.7555018101518699E-6</v>
      </c>
    </row>
    <row r="15106" spans="1:6" x14ac:dyDescent="0.25">
      <c r="A15106" s="1" t="str">
        <f t="shared" si="566"/>
        <v>26620</v>
      </c>
      <c r="B15106" s="1" t="str">
        <f>"35767"</f>
        <v>35767</v>
      </c>
      <c r="C15106" s="2">
        <v>0</v>
      </c>
      <c r="D15106" s="2">
        <v>4.4913541432741897E-5</v>
      </c>
      <c r="E15106" s="2">
        <v>0</v>
      </c>
      <c r="F15106" s="2">
        <v>3.7555018101518699E-6</v>
      </c>
    </row>
    <row r="15107" spans="1:6" x14ac:dyDescent="0.25">
      <c r="A15107" s="1" t="str">
        <f t="shared" si="566"/>
        <v>26620</v>
      </c>
      <c r="B15107" s="1" t="str">
        <f>"35899"</f>
        <v>35899</v>
      </c>
      <c r="C15107" s="2">
        <v>0</v>
      </c>
      <c r="D15107" s="2">
        <v>4.4913541432741897E-5</v>
      </c>
      <c r="E15107" s="2">
        <v>0</v>
      </c>
      <c r="F15107" s="2">
        <v>3.7555018101518699E-6</v>
      </c>
    </row>
    <row r="15108" spans="1:6" x14ac:dyDescent="0.25">
      <c r="A15108" s="1" t="str">
        <f t="shared" si="566"/>
        <v>26620</v>
      </c>
      <c r="B15108" s="1" t="str">
        <f>"35773"</f>
        <v>35773</v>
      </c>
      <c r="C15108" s="2">
        <v>2.5377612775263101E-2</v>
      </c>
      <c r="D15108" s="2">
        <v>9.4318437008758093E-3</v>
      </c>
      <c r="E15108" s="2">
        <v>6.0831781502172499E-3</v>
      </c>
      <c r="F15108" s="2">
        <v>2.3460619808018699E-2</v>
      </c>
    </row>
    <row r="15109" spans="1:6" x14ac:dyDescent="0.25">
      <c r="A15109" s="1" t="str">
        <f t="shared" si="566"/>
        <v>26620</v>
      </c>
      <c r="B15109" s="1" t="str">
        <f>"35671"</f>
        <v>35671</v>
      </c>
      <c r="C15109" s="2">
        <v>6.8402583532522999E-3</v>
      </c>
      <c r="D15109" s="2">
        <v>6.8268582977767701E-3</v>
      </c>
      <c r="E15109" s="2">
        <v>1.9863438857852201E-3</v>
      </c>
      <c r="F15109" s="2">
        <v>6.6923042256906299E-3</v>
      </c>
    </row>
    <row r="15110" spans="1:6" x14ac:dyDescent="0.25">
      <c r="A15110" s="1" t="str">
        <f t="shared" si="566"/>
        <v>26620</v>
      </c>
      <c r="B15110" s="1" t="str">
        <f>"35824"</f>
        <v>35824</v>
      </c>
      <c r="C15110" s="2">
        <v>2.1898150502636E-2</v>
      </c>
      <c r="D15110" s="2">
        <v>1.32944082640916E-2</v>
      </c>
      <c r="E15110" s="2">
        <v>3.0043451272501499E-2</v>
      </c>
      <c r="F15110" s="2">
        <v>2.14251378269164E-2</v>
      </c>
    </row>
    <row r="15111" spans="1:6" x14ac:dyDescent="0.25">
      <c r="A15111" s="1" t="str">
        <f t="shared" si="566"/>
        <v>26620</v>
      </c>
      <c r="B15111" s="1" t="str">
        <f>"35649"</f>
        <v>35649</v>
      </c>
      <c r="C15111" s="2">
        <v>0</v>
      </c>
      <c r="D15111" s="2">
        <v>4.4913541432741897E-5</v>
      </c>
      <c r="E15111" s="2">
        <v>0</v>
      </c>
      <c r="F15111" s="2">
        <v>3.7555018101518699E-6</v>
      </c>
    </row>
    <row r="15112" spans="1:6" x14ac:dyDescent="0.25">
      <c r="A15112" s="1" t="str">
        <f t="shared" si="566"/>
        <v>26620</v>
      </c>
      <c r="B15112" s="1" t="str">
        <f>"35809"</f>
        <v>35809</v>
      </c>
      <c r="C15112" s="2">
        <v>0</v>
      </c>
      <c r="D15112" s="2">
        <v>4.4913541432741897E-5</v>
      </c>
      <c r="E15112" s="2">
        <v>1.2414649286157599E-4</v>
      </c>
      <c r="F15112" s="2">
        <v>7.5110036203037398E-6</v>
      </c>
    </row>
    <row r="15113" spans="1:6" x14ac:dyDescent="0.25">
      <c r="A15113" s="1" t="str">
        <f t="shared" si="566"/>
        <v>26620</v>
      </c>
      <c r="B15113" s="1" t="str">
        <f>"35893"</f>
        <v>35893</v>
      </c>
      <c r="C15113" s="2">
        <v>0</v>
      </c>
      <c r="D15113" s="2">
        <v>4.4913541432741897E-5</v>
      </c>
      <c r="E15113" s="2">
        <v>0</v>
      </c>
      <c r="F15113" s="2">
        <v>3.7555018101518699E-6</v>
      </c>
    </row>
    <row r="15114" spans="1:6" x14ac:dyDescent="0.25">
      <c r="A15114" s="1" t="str">
        <f t="shared" si="566"/>
        <v>26620</v>
      </c>
      <c r="B15114" s="1" t="str">
        <f>"35812"</f>
        <v>35812</v>
      </c>
      <c r="C15114" s="2">
        <v>2.5852277543270699E-4</v>
      </c>
      <c r="D15114" s="2">
        <v>7.6353020435661301E-4</v>
      </c>
      <c r="E15114" s="2">
        <v>3.7243947858472899E-4</v>
      </c>
      <c r="F15114" s="2">
        <v>3.04195646622301E-4</v>
      </c>
    </row>
    <row r="15115" spans="1:6" x14ac:dyDescent="0.25">
      <c r="A15115" s="1" t="str">
        <f t="shared" si="566"/>
        <v>26620</v>
      </c>
      <c r="B15115" s="1" t="str">
        <f>"35760"</f>
        <v>35760</v>
      </c>
      <c r="C15115" s="2">
        <v>1.0251911373306799E-2</v>
      </c>
      <c r="D15115" s="2">
        <v>3.9523916460812896E-3</v>
      </c>
      <c r="E15115" s="2">
        <v>3.7243947858472898E-3</v>
      </c>
      <c r="F15115" s="2">
        <v>9.5277080923552998E-3</v>
      </c>
    </row>
    <row r="15116" spans="1:6" x14ac:dyDescent="0.25">
      <c r="A15116" s="1" t="str">
        <f t="shared" si="566"/>
        <v>26620</v>
      </c>
      <c r="B15116" s="1" t="str">
        <f>"35611"</f>
        <v>35611</v>
      </c>
      <c r="C15116" s="2">
        <v>5.7913339775212298E-2</v>
      </c>
      <c r="D15116" s="2">
        <v>6.5753424657534199E-2</v>
      </c>
      <c r="E15116" s="2">
        <v>4.94103041589075E-2</v>
      </c>
      <c r="F15116" s="2">
        <v>5.8311676606228102E-2</v>
      </c>
    </row>
    <row r="15117" spans="1:6" x14ac:dyDescent="0.25">
      <c r="A15117" s="1" t="str">
        <f t="shared" si="566"/>
        <v>26620</v>
      </c>
      <c r="B15117" s="1" t="str">
        <f>"35894"</f>
        <v>35894</v>
      </c>
      <c r="C15117" s="2">
        <v>0</v>
      </c>
      <c r="D15117" s="2">
        <v>4.4913541432741897E-5</v>
      </c>
      <c r="E15117" s="2">
        <v>0</v>
      </c>
      <c r="F15117" s="2">
        <v>3.7555018101518699E-6</v>
      </c>
    </row>
    <row r="15118" spans="1:6" x14ac:dyDescent="0.25">
      <c r="A15118" s="1" t="str">
        <f t="shared" si="566"/>
        <v>26620</v>
      </c>
      <c r="B15118" s="1" t="str">
        <f>"35898"</f>
        <v>35898</v>
      </c>
      <c r="C15118" s="2">
        <v>0</v>
      </c>
      <c r="D15118" s="2">
        <v>4.4913541432741897E-5</v>
      </c>
      <c r="E15118" s="2">
        <v>0</v>
      </c>
      <c r="F15118" s="2">
        <v>3.7555018101518699E-6</v>
      </c>
    </row>
    <row r="15119" spans="1:6" x14ac:dyDescent="0.25">
      <c r="A15119" s="1" t="str">
        <f t="shared" si="566"/>
        <v>26620</v>
      </c>
      <c r="B15119" s="1" t="str">
        <f>"35652"</f>
        <v>35652</v>
      </c>
      <c r="C15119" s="2">
        <v>2.2461814914645099E-4</v>
      </c>
      <c r="D15119" s="2">
        <v>0</v>
      </c>
      <c r="E15119" s="2">
        <v>0</v>
      </c>
      <c r="F15119" s="2">
        <v>1.99041595938049E-4</v>
      </c>
    </row>
    <row r="15120" spans="1:6" x14ac:dyDescent="0.25">
      <c r="A15120" s="1" t="str">
        <f t="shared" si="566"/>
        <v>26620</v>
      </c>
      <c r="B15120" s="1" t="str">
        <f>"35813"</f>
        <v>35813</v>
      </c>
      <c r="C15120" s="2">
        <v>2.6403227720422401E-3</v>
      </c>
      <c r="D15120" s="2">
        <v>6.4226364248820998E-3</v>
      </c>
      <c r="E15120" s="2">
        <v>2.48292985723153E-4</v>
      </c>
      <c r="F15120" s="2">
        <v>2.88422539019663E-3</v>
      </c>
    </row>
    <row r="15121" spans="1:6" x14ac:dyDescent="0.25">
      <c r="A15121" s="1" t="str">
        <f t="shared" si="566"/>
        <v>26620</v>
      </c>
      <c r="B15121" s="1" t="str">
        <f>"35739"</f>
        <v>35739</v>
      </c>
      <c r="C15121" s="2">
        <v>1.08452423333163E-2</v>
      </c>
      <c r="D15121" s="2">
        <v>8.3539187064900003E-3</v>
      </c>
      <c r="E15121" s="2">
        <v>5.9590316573556699E-3</v>
      </c>
      <c r="F15121" s="2">
        <v>1.04891165557541E-2</v>
      </c>
    </row>
    <row r="15122" spans="1:6" x14ac:dyDescent="0.25">
      <c r="A15122" s="1" t="str">
        <f t="shared" si="566"/>
        <v>26620</v>
      </c>
      <c r="B15122" s="1" t="str">
        <f>"35758"</f>
        <v>35758</v>
      </c>
      <c r="C15122" s="2">
        <v>9.0775398803166596E-2</v>
      </c>
      <c r="D15122" s="2">
        <v>0.116326072310801</v>
      </c>
      <c r="E15122" s="2">
        <v>8.2681564245809996E-2</v>
      </c>
      <c r="F15122" s="2">
        <v>9.2667007165497403E-2</v>
      </c>
    </row>
    <row r="15123" spans="1:6" x14ac:dyDescent="0.25">
      <c r="A15123" s="1" t="str">
        <f t="shared" si="566"/>
        <v>26620</v>
      </c>
      <c r="B15123" s="1" t="str">
        <f>"35761"</f>
        <v>35761</v>
      </c>
      <c r="C15123" s="2">
        <v>2.3271287867229401E-2</v>
      </c>
      <c r="D15123" s="2">
        <v>5.7040197619582303E-3</v>
      </c>
      <c r="E15123" s="2">
        <v>9.931719428926131E-4</v>
      </c>
      <c r="F15123" s="2">
        <v>2.1128453183914399E-2</v>
      </c>
    </row>
    <row r="15124" spans="1:6" x14ac:dyDescent="0.25">
      <c r="A15124" s="1" t="str">
        <f t="shared" si="566"/>
        <v>26620</v>
      </c>
      <c r="B15124" s="1" t="str">
        <f>"35763"</f>
        <v>35763</v>
      </c>
      <c r="C15124" s="2">
        <v>3.7206089270881003E-2</v>
      </c>
      <c r="D15124" s="2">
        <v>1.43723332584774E-2</v>
      </c>
      <c r="E15124" s="2">
        <v>6.3314711359404004E-3</v>
      </c>
      <c r="F15124" s="2">
        <v>3.4362841562889601E-2</v>
      </c>
    </row>
    <row r="15125" spans="1:6" x14ac:dyDescent="0.25">
      <c r="A15125" s="1" t="str">
        <f t="shared" si="566"/>
        <v>26620</v>
      </c>
      <c r="B15125" s="1" t="str">
        <f>"35803"</f>
        <v>35803</v>
      </c>
      <c r="C15125" s="2">
        <v>5.5925681059180499E-2</v>
      </c>
      <c r="D15125" s="2">
        <v>2.48371884123063E-2</v>
      </c>
      <c r="E15125" s="2">
        <v>3.1905648665425203E-2</v>
      </c>
      <c r="F15125" s="2">
        <v>5.2599558352987102E-2</v>
      </c>
    </row>
    <row r="15126" spans="1:6" x14ac:dyDescent="0.25">
      <c r="A15126" s="1" t="str">
        <f t="shared" si="566"/>
        <v>26620</v>
      </c>
      <c r="B15126" s="1" t="str">
        <f>"35805"</f>
        <v>35805</v>
      </c>
      <c r="C15126" s="2">
        <v>4.9352421637932402E-2</v>
      </c>
      <c r="D15126" s="2">
        <v>7.83292162587019E-2</v>
      </c>
      <c r="E15126" s="2">
        <v>0.16610800744878901</v>
      </c>
      <c r="F15126" s="2">
        <v>5.53072751581066E-2</v>
      </c>
    </row>
    <row r="15127" spans="1:6" x14ac:dyDescent="0.25">
      <c r="A15127" s="1" t="str">
        <f t="shared" ref="A15127:A15146" si="567">"26620"</f>
        <v>26620</v>
      </c>
      <c r="B15127" s="1" t="str">
        <f>"35810"</f>
        <v>35810</v>
      </c>
      <c r="C15127" s="2">
        <v>6.0210378206106203E-2</v>
      </c>
      <c r="D15127" s="2">
        <v>4.4644060184145497E-2</v>
      </c>
      <c r="E15127" s="2">
        <v>3.33954065797641E-2</v>
      </c>
      <c r="F15127" s="2">
        <v>5.80976130030494E-2</v>
      </c>
    </row>
    <row r="15128" spans="1:6" x14ac:dyDescent="0.25">
      <c r="A15128" s="1" t="str">
        <f t="shared" si="567"/>
        <v>26620</v>
      </c>
      <c r="B15128" s="1" t="str">
        <f>"35742"</f>
        <v>35742</v>
      </c>
      <c r="C15128" s="2">
        <v>1.26294732916306E-3</v>
      </c>
      <c r="D15128" s="2">
        <v>4.0871322703795098E-3</v>
      </c>
      <c r="E15128" s="2">
        <v>1.2414649286157599E-4</v>
      </c>
      <c r="F15128" s="2">
        <v>1.46464570595923E-3</v>
      </c>
    </row>
    <row r="15129" spans="1:6" x14ac:dyDescent="0.25">
      <c r="A15129" s="1" t="str">
        <f t="shared" si="567"/>
        <v>26620</v>
      </c>
      <c r="B15129" s="1" t="str">
        <f>"35612"</f>
        <v>35612</v>
      </c>
      <c r="C15129" s="2">
        <v>4.2974113817830402E-3</v>
      </c>
      <c r="D15129" s="2">
        <v>1.5674825960026902E-2</v>
      </c>
      <c r="E15129" s="2">
        <v>2.48292985723153E-4</v>
      </c>
      <c r="F15129" s="2">
        <v>5.1262599708573001E-3</v>
      </c>
    </row>
    <row r="15130" spans="1:6" x14ac:dyDescent="0.25">
      <c r="A15130" s="1" t="str">
        <f t="shared" si="567"/>
        <v>26620</v>
      </c>
      <c r="B15130" s="1" t="str">
        <f>"35756"</f>
        <v>35756</v>
      </c>
      <c r="C15130" s="2">
        <v>4.0397362220074902E-2</v>
      </c>
      <c r="D15130" s="2">
        <v>1.33393218055243E-2</v>
      </c>
      <c r="E15130" s="2">
        <v>3.5009310986964602E-2</v>
      </c>
      <c r="F15130" s="2">
        <v>3.79718788024455E-2</v>
      </c>
    </row>
    <row r="15131" spans="1:6" x14ac:dyDescent="0.25">
      <c r="A15131" s="1" t="str">
        <f t="shared" si="567"/>
        <v>26620</v>
      </c>
      <c r="B15131" s="1" t="str">
        <f>"35757"</f>
        <v>35757</v>
      </c>
      <c r="C15131" s="2">
        <v>2.9717404939904001E-2</v>
      </c>
      <c r="D15131" s="2">
        <v>7.6353020435661299E-3</v>
      </c>
      <c r="E15131" s="2">
        <v>5.0900062073246403E-3</v>
      </c>
      <c r="F15131" s="2">
        <v>2.7125989574726901E-2</v>
      </c>
    </row>
    <row r="15132" spans="1:6" x14ac:dyDescent="0.25">
      <c r="A15132" s="1" t="str">
        <f t="shared" si="567"/>
        <v>26620</v>
      </c>
      <c r="B15132" s="1" t="str">
        <f>"35811"</f>
        <v>35811</v>
      </c>
      <c r="C15132" s="2">
        <v>5.4395734798013101E-2</v>
      </c>
      <c r="D15132" s="2">
        <v>3.7233325847742998E-2</v>
      </c>
      <c r="E15132" s="2">
        <v>3.52576039726877E-2</v>
      </c>
      <c r="F15132" s="2">
        <v>5.2381739247998299E-2</v>
      </c>
    </row>
    <row r="15133" spans="1:6" x14ac:dyDescent="0.25">
      <c r="A15133" s="1" t="str">
        <f t="shared" si="567"/>
        <v>26620</v>
      </c>
      <c r="B15133" s="1" t="str">
        <f>"35750"</f>
        <v>35750</v>
      </c>
      <c r="C15133" s="2">
        <v>2.6322704232992499E-2</v>
      </c>
      <c r="D15133" s="2">
        <v>1.2890186391196899E-2</v>
      </c>
      <c r="E15133" s="2">
        <v>6.95220360024829E-3</v>
      </c>
      <c r="F15133" s="2">
        <v>2.4613558863735299E-2</v>
      </c>
    </row>
    <row r="15134" spans="1:6" x14ac:dyDescent="0.25">
      <c r="A15134" s="1" t="str">
        <f t="shared" si="567"/>
        <v>26620</v>
      </c>
      <c r="B15134" s="1" t="str">
        <f>"35816"</f>
        <v>35816</v>
      </c>
      <c r="C15134" s="2">
        <v>3.3001915611385102E-2</v>
      </c>
      <c r="D15134" s="2">
        <v>5.7354592409611403E-2</v>
      </c>
      <c r="E15134" s="2">
        <v>0.12588454376163799</v>
      </c>
      <c r="F15134" s="2">
        <v>3.7847947242710497E-2</v>
      </c>
    </row>
    <row r="15135" spans="1:6" x14ac:dyDescent="0.25">
      <c r="A15135" s="1" t="str">
        <f t="shared" si="567"/>
        <v>26620</v>
      </c>
      <c r="B15135" s="1" t="str">
        <f>"35806"</f>
        <v>35806</v>
      </c>
      <c r="C15135" s="2">
        <v>5.84770041872213E-2</v>
      </c>
      <c r="D15135" s="2">
        <v>8.3718841230631003E-2</v>
      </c>
      <c r="E15135" s="2">
        <v>8.3923029174425803E-2</v>
      </c>
      <c r="F15135" s="2">
        <v>6.13573885742612E-2</v>
      </c>
    </row>
    <row r="15136" spans="1:6" x14ac:dyDescent="0.25">
      <c r="A15136" s="1" t="str">
        <f t="shared" si="567"/>
        <v>26620</v>
      </c>
      <c r="B15136" s="1" t="str">
        <f>"35762"</f>
        <v>35762</v>
      </c>
      <c r="C15136" s="2">
        <v>5.2297886046551003E-3</v>
      </c>
      <c r="D15136" s="2">
        <v>4.9854030990343504E-3</v>
      </c>
      <c r="E15136" s="2">
        <v>1.2414649286157599E-4</v>
      </c>
      <c r="F15136" s="2">
        <v>5.0549054364644203E-3</v>
      </c>
    </row>
    <row r="15137" spans="1:6" x14ac:dyDescent="0.25">
      <c r="A15137" s="1" t="str">
        <f t="shared" si="567"/>
        <v>26620</v>
      </c>
      <c r="B15137" s="1" t="str">
        <f>"35814"</f>
        <v>35814</v>
      </c>
      <c r="C15137" s="2">
        <v>4.9712658292223903E-3</v>
      </c>
      <c r="D15137" s="2">
        <v>2.0839883224792199E-2</v>
      </c>
      <c r="E15137" s="2">
        <v>2.48292985723153E-4</v>
      </c>
      <c r="F15137" s="2">
        <v>6.1552674668389103E-3</v>
      </c>
    </row>
    <row r="15138" spans="1:6" x14ac:dyDescent="0.25">
      <c r="A15138" s="1" t="str">
        <f t="shared" si="567"/>
        <v>26620</v>
      </c>
      <c r="B15138" s="1" t="str">
        <f>"35647"</f>
        <v>35647</v>
      </c>
      <c r="C15138" s="2">
        <v>2.4496092491820502E-3</v>
      </c>
      <c r="D15138" s="2">
        <v>1.03301145295306E-3</v>
      </c>
      <c r="E15138" s="2">
        <v>4.9658597144630601E-4</v>
      </c>
      <c r="F15138" s="2">
        <v>2.2720785951418801E-3</v>
      </c>
    </row>
    <row r="15139" spans="1:6" x14ac:dyDescent="0.25">
      <c r="A15139" s="1" t="str">
        <f t="shared" si="567"/>
        <v>26620</v>
      </c>
      <c r="B15139" s="1" t="str">
        <f>"35748"</f>
        <v>35748</v>
      </c>
      <c r="C15139" s="2">
        <v>1.6833646951126401E-2</v>
      </c>
      <c r="D15139" s="2">
        <v>7.54547496070065E-3</v>
      </c>
      <c r="E15139" s="2">
        <v>9.931719428926131E-4</v>
      </c>
      <c r="F15139" s="2">
        <v>1.5577821508509899E-2</v>
      </c>
    </row>
    <row r="15140" spans="1:6" x14ac:dyDescent="0.25">
      <c r="A15140" s="1" t="str">
        <f t="shared" si="567"/>
        <v>26620</v>
      </c>
      <c r="B15140" s="1" t="str">
        <f>"35895"</f>
        <v>35895</v>
      </c>
      <c r="C15140" s="2">
        <v>0</v>
      </c>
      <c r="D15140" s="2">
        <v>4.4913541432741897E-5</v>
      </c>
      <c r="E15140" s="2">
        <v>0</v>
      </c>
      <c r="F15140" s="2">
        <v>3.7555018101518699E-6</v>
      </c>
    </row>
    <row r="15141" spans="1:6" x14ac:dyDescent="0.25">
      <c r="A15141" s="1" t="str">
        <f t="shared" si="567"/>
        <v>26620</v>
      </c>
      <c r="B15141" s="1" t="str">
        <f>"35615"</f>
        <v>35615</v>
      </c>
      <c r="C15141" s="2">
        <v>0</v>
      </c>
      <c r="D15141" s="2">
        <v>4.4913541432741897E-5</v>
      </c>
      <c r="E15141" s="2">
        <v>0</v>
      </c>
      <c r="F15141" s="2">
        <v>3.7555018101518699E-6</v>
      </c>
    </row>
    <row r="15142" spans="1:6" x14ac:dyDescent="0.25">
      <c r="A15142" s="1" t="str">
        <f t="shared" si="567"/>
        <v>26620</v>
      </c>
      <c r="B15142" s="1" t="str">
        <f>"35776"</f>
        <v>35776</v>
      </c>
      <c r="C15142" s="2">
        <v>1.7376120971706501E-4</v>
      </c>
      <c r="D15142" s="2">
        <v>4.4913541432741897E-5</v>
      </c>
      <c r="E15142" s="2">
        <v>0</v>
      </c>
      <c r="F15142" s="2">
        <v>1.5773107602637799E-4</v>
      </c>
    </row>
    <row r="15143" spans="1:6" x14ac:dyDescent="0.25">
      <c r="A15143" s="1" t="str">
        <f t="shared" si="567"/>
        <v>26620</v>
      </c>
      <c r="B15143" s="1" t="str">
        <f>"35815"</f>
        <v>35815</v>
      </c>
      <c r="C15143" s="2">
        <v>5.0009323772228697E-3</v>
      </c>
      <c r="D15143" s="2">
        <v>1.75611947002021E-2</v>
      </c>
      <c r="E15143" s="2">
        <v>2.48292985723153E-4</v>
      </c>
      <c r="F15143" s="2">
        <v>5.9074043473688904E-3</v>
      </c>
    </row>
    <row r="15144" spans="1:6" x14ac:dyDescent="0.25">
      <c r="A15144" s="1" t="str">
        <f t="shared" si="567"/>
        <v>26620</v>
      </c>
      <c r="B15144" s="1" t="str">
        <f>"35610"</f>
        <v>35610</v>
      </c>
      <c r="C15144" s="2">
        <v>1.0595195714455199E-3</v>
      </c>
      <c r="D15144" s="2">
        <v>3.1439479002919301E-4</v>
      </c>
      <c r="E15144" s="2">
        <v>0</v>
      </c>
      <c r="F15144" s="2">
        <v>9.6516396520903098E-4</v>
      </c>
    </row>
    <row r="15145" spans="1:6" x14ac:dyDescent="0.25">
      <c r="A15145" s="1" t="str">
        <f t="shared" si="567"/>
        <v>26620</v>
      </c>
      <c r="B15145" s="1" t="str">
        <f>"35759"</f>
        <v>35759</v>
      </c>
      <c r="C15145" s="2">
        <v>1.6698028445981401E-2</v>
      </c>
      <c r="D15145" s="2">
        <v>8.57848641365371E-3</v>
      </c>
      <c r="E15145" s="2">
        <v>2.7312228429546802E-3</v>
      </c>
      <c r="F15145" s="2">
        <v>1.55965990175607E-2</v>
      </c>
    </row>
    <row r="15146" spans="1:6" x14ac:dyDescent="0.25">
      <c r="A15146" s="1" t="str">
        <f t="shared" si="567"/>
        <v>26620</v>
      </c>
      <c r="B15146" s="1" t="str">
        <f>"35896"</f>
        <v>35896</v>
      </c>
      <c r="C15146" s="2">
        <v>0</v>
      </c>
      <c r="D15146" s="2">
        <v>4.4913541432741897E-5</v>
      </c>
      <c r="E15146" s="2">
        <v>0</v>
      </c>
      <c r="F15146" s="2">
        <v>3.7555018101518699E-6</v>
      </c>
    </row>
    <row r="15147" spans="1:6" x14ac:dyDescent="0.25">
      <c r="A15147" s="1" t="str">
        <f t="shared" ref="A15147:A15159" si="568">"26660"</f>
        <v>26660</v>
      </c>
      <c r="B15147" s="1" t="str">
        <f>"75852"</f>
        <v>75852</v>
      </c>
      <c r="C15147" s="2">
        <v>1.8616015590913E-3</v>
      </c>
      <c r="D15147" s="2">
        <v>0</v>
      </c>
      <c r="E15147" s="2">
        <v>4.5402951191827398E-3</v>
      </c>
      <c r="F15147" s="2">
        <v>1.8023271223727101E-3</v>
      </c>
    </row>
    <row r="15148" spans="1:6" x14ac:dyDescent="0.25">
      <c r="A15148" s="1" t="str">
        <f t="shared" si="568"/>
        <v>26660</v>
      </c>
      <c r="B15148" s="1" t="str">
        <f>"77342"</f>
        <v>77342</v>
      </c>
      <c r="C15148" s="2">
        <v>6.6959481078565405E-2</v>
      </c>
      <c r="D15148" s="2">
        <v>0.13730255164034</v>
      </c>
      <c r="E15148" s="2">
        <v>2.2701475595913699E-3</v>
      </c>
      <c r="F15148" s="2">
        <v>7.0052214476927499E-2</v>
      </c>
    </row>
    <row r="15149" spans="1:6" x14ac:dyDescent="0.25">
      <c r="A15149" s="1" t="str">
        <f t="shared" si="568"/>
        <v>26660</v>
      </c>
      <c r="B15149" s="1" t="str">
        <f>"77320"</f>
        <v>77320</v>
      </c>
      <c r="C15149" s="2">
        <v>0.32694377381541001</v>
      </c>
      <c r="D15149" s="2">
        <v>0.19562575941676699</v>
      </c>
      <c r="E15149" s="2">
        <v>0.251986379114642</v>
      </c>
      <c r="F15149" s="2">
        <v>0.31659996289326497</v>
      </c>
    </row>
    <row r="15150" spans="1:6" x14ac:dyDescent="0.25">
      <c r="A15150" s="1" t="str">
        <f t="shared" si="568"/>
        <v>26660</v>
      </c>
      <c r="B15150" s="1" t="str">
        <f>"75862"</f>
        <v>75862</v>
      </c>
      <c r="C15150" s="2">
        <v>6.3701678350155597E-3</v>
      </c>
      <c r="D15150" s="2">
        <v>4.0502227622519202E-4</v>
      </c>
      <c r="E15150" s="2">
        <v>3.4052213393870601E-3</v>
      </c>
      <c r="F15150" s="2">
        <v>5.9105727689575602E-3</v>
      </c>
    </row>
    <row r="15151" spans="1:6" x14ac:dyDescent="0.25">
      <c r="A15151" s="1" t="str">
        <f t="shared" si="568"/>
        <v>26660</v>
      </c>
      <c r="B15151" s="1" t="str">
        <f>"77358"</f>
        <v>77358</v>
      </c>
      <c r="C15151" s="2">
        <v>9.6454230780418204E-2</v>
      </c>
      <c r="D15151" s="2">
        <v>8.1814499797488796E-2</v>
      </c>
      <c r="E15151" s="2">
        <v>2.38365493757094E-2</v>
      </c>
      <c r="F15151" s="2">
        <v>9.3800524795250306E-2</v>
      </c>
    </row>
    <row r="15152" spans="1:6" x14ac:dyDescent="0.25">
      <c r="A15152" s="1" t="str">
        <f t="shared" si="568"/>
        <v>26660</v>
      </c>
      <c r="B15152" s="1" t="str">
        <f>"77340"</f>
        <v>77340</v>
      </c>
      <c r="C15152" s="2">
        <v>0.49009569795514701</v>
      </c>
      <c r="D15152" s="2">
        <v>0.58242203321182595</v>
      </c>
      <c r="E15152" s="2">
        <v>0.71396140749148596</v>
      </c>
      <c r="F15152" s="2">
        <v>0.50136499774709098</v>
      </c>
    </row>
    <row r="15153" spans="1:6" x14ac:dyDescent="0.25">
      <c r="A15153" s="1" t="str">
        <f t="shared" si="568"/>
        <v>26660</v>
      </c>
      <c r="B15153" s="1" t="str">
        <f>"77831"</f>
        <v>77831</v>
      </c>
      <c r="C15153" s="2">
        <v>6.8064807004275798E-3</v>
      </c>
      <c r="D15153" s="2">
        <v>4.0502227622519202E-4</v>
      </c>
      <c r="E15153" s="2">
        <v>0</v>
      </c>
      <c r="F15153" s="2">
        <v>6.2286304964351002E-3</v>
      </c>
    </row>
    <row r="15154" spans="1:6" x14ac:dyDescent="0.25">
      <c r="A15154" s="1" t="str">
        <f t="shared" si="568"/>
        <v>26660</v>
      </c>
      <c r="B15154" s="1" t="str">
        <f>"77341"</f>
        <v>77341</v>
      </c>
      <c r="C15154" s="2">
        <v>0</v>
      </c>
      <c r="D15154" s="2">
        <v>4.0502227622519202E-4</v>
      </c>
      <c r="E15154" s="2">
        <v>0</v>
      </c>
      <c r="F15154" s="2">
        <v>2.6504810623127999E-5</v>
      </c>
    </row>
    <row r="15155" spans="1:6" x14ac:dyDescent="0.25">
      <c r="A15155" s="1" t="str">
        <f t="shared" si="568"/>
        <v>26660</v>
      </c>
      <c r="B15155" s="1" t="str">
        <f>"77334"</f>
        <v>77334</v>
      </c>
      <c r="C15155" s="2">
        <v>0</v>
      </c>
      <c r="D15155" s="2">
        <v>4.0502227622519202E-4</v>
      </c>
      <c r="E15155" s="2">
        <v>0</v>
      </c>
      <c r="F15155" s="2">
        <v>2.6504810623127999E-5</v>
      </c>
    </row>
    <row r="15156" spans="1:6" x14ac:dyDescent="0.25">
      <c r="A15156" s="1" t="str">
        <f t="shared" si="568"/>
        <v>26660</v>
      </c>
      <c r="B15156" s="1" t="str">
        <f>"77318"</f>
        <v>77318</v>
      </c>
      <c r="C15156" s="2">
        <v>8.7262573082404901E-5</v>
      </c>
      <c r="D15156" s="2">
        <v>0</v>
      </c>
      <c r="E15156" s="2">
        <v>0</v>
      </c>
      <c r="F15156" s="2">
        <v>7.9514431869384206E-5</v>
      </c>
    </row>
    <row r="15157" spans="1:6" x14ac:dyDescent="0.25">
      <c r="A15157" s="1" t="str">
        <f t="shared" si="568"/>
        <v>26660</v>
      </c>
      <c r="B15157" s="1" t="str">
        <f>"77367"</f>
        <v>77367</v>
      </c>
      <c r="C15157" s="2">
        <v>0</v>
      </c>
      <c r="D15157" s="2">
        <v>4.0502227622519202E-4</v>
      </c>
      <c r="E15157" s="2">
        <v>0</v>
      </c>
      <c r="F15157" s="2">
        <v>2.6504810623127999E-5</v>
      </c>
    </row>
    <row r="15158" spans="1:6" x14ac:dyDescent="0.25">
      <c r="A15158" s="1" t="str">
        <f t="shared" si="568"/>
        <v>26660</v>
      </c>
      <c r="B15158" s="1" t="str">
        <f>"77873"</f>
        <v>77873</v>
      </c>
      <c r="C15158" s="2">
        <v>4.1595159835946301E-3</v>
      </c>
      <c r="D15158" s="2">
        <v>8.1004455245038405E-4</v>
      </c>
      <c r="E15158" s="2">
        <v>0</v>
      </c>
      <c r="F15158" s="2">
        <v>3.8431975403535701E-3</v>
      </c>
    </row>
    <row r="15159" spans="1:6" x14ac:dyDescent="0.25">
      <c r="A15159" s="1" t="str">
        <f t="shared" si="568"/>
        <v>26660</v>
      </c>
      <c r="B15159" s="1" t="str">
        <f>"77378"</f>
        <v>77378</v>
      </c>
      <c r="C15159" s="2">
        <v>2.6178771924721401E-4</v>
      </c>
      <c r="D15159" s="2">
        <v>0</v>
      </c>
      <c r="E15159" s="2">
        <v>0</v>
      </c>
      <c r="F15159" s="2">
        <v>2.3854329560815199E-4</v>
      </c>
    </row>
    <row r="15160" spans="1:6" x14ac:dyDescent="0.25">
      <c r="A15160" s="1" t="str">
        <f t="shared" ref="A15160:A15174" si="569">"26700"</f>
        <v>26700</v>
      </c>
      <c r="B15160" s="1" t="str">
        <f>"57324"</f>
        <v>57324</v>
      </c>
      <c r="C15160" s="2">
        <v>1.7162359824475799E-2</v>
      </c>
      <c r="D15160" s="2">
        <v>3.4393809114359399E-3</v>
      </c>
      <c r="E15160" s="2">
        <v>1.7766497461928901E-2</v>
      </c>
      <c r="F15160" s="2">
        <v>1.5831357941076801E-2</v>
      </c>
    </row>
    <row r="15161" spans="1:6" x14ac:dyDescent="0.25">
      <c r="A15161" s="1" t="str">
        <f t="shared" si="569"/>
        <v>26700</v>
      </c>
      <c r="B15161" s="1" t="str">
        <f>"57399"</f>
        <v>57399</v>
      </c>
      <c r="C15161" s="2">
        <v>0</v>
      </c>
      <c r="D15161" s="2">
        <v>8.5984522785898497E-4</v>
      </c>
      <c r="E15161" s="2">
        <v>0</v>
      </c>
      <c r="F15161" s="2">
        <v>8.4659668134100905E-5</v>
      </c>
    </row>
    <row r="15162" spans="1:6" x14ac:dyDescent="0.25">
      <c r="A15162" s="1" t="str">
        <f t="shared" si="569"/>
        <v>26700</v>
      </c>
      <c r="B15162" s="1" t="str">
        <f>"57382"</f>
        <v>57382</v>
      </c>
      <c r="C15162" s="2">
        <v>6.9624573378839497E-2</v>
      </c>
      <c r="D15162" s="2">
        <v>4.2992261392949198E-2</v>
      </c>
      <c r="E15162" s="2">
        <v>5.5837563451776602E-2</v>
      </c>
      <c r="F15162" s="2">
        <v>6.6542499153403295E-2</v>
      </c>
    </row>
    <row r="15163" spans="1:6" x14ac:dyDescent="0.25">
      <c r="A15163" s="1" t="str">
        <f t="shared" si="569"/>
        <v>26700</v>
      </c>
      <c r="B15163" s="1" t="str">
        <f>"57353"</f>
        <v>57353</v>
      </c>
      <c r="C15163" s="2">
        <v>1.11165285226718E-2</v>
      </c>
      <c r="D15163" s="2">
        <v>3.4393809114359399E-3</v>
      </c>
      <c r="E15163" s="2">
        <v>5.0761421319796898E-3</v>
      </c>
      <c r="F15163" s="2">
        <v>1.01591601760921E-2</v>
      </c>
    </row>
    <row r="15164" spans="1:6" x14ac:dyDescent="0.25">
      <c r="A15164" s="1" t="str">
        <f t="shared" si="569"/>
        <v>26700</v>
      </c>
      <c r="B15164" s="1" t="str">
        <f>"57386"</f>
        <v>57386</v>
      </c>
      <c r="C15164" s="2">
        <v>1.11165285226718E-2</v>
      </c>
      <c r="D15164" s="2">
        <v>9.45829750644883E-3</v>
      </c>
      <c r="E15164" s="2">
        <v>7.61421319796954E-3</v>
      </c>
      <c r="F15164" s="2">
        <v>1.08364375211649E-2</v>
      </c>
    </row>
    <row r="15165" spans="1:6" x14ac:dyDescent="0.25">
      <c r="A15165" s="1" t="str">
        <f t="shared" si="569"/>
        <v>26700</v>
      </c>
      <c r="B15165" s="1" t="str">
        <f>"57384"</f>
        <v>57384</v>
      </c>
      <c r="C15165" s="2">
        <v>3.99804973183812E-2</v>
      </c>
      <c r="D15165" s="2">
        <v>9.45829750644883E-3</v>
      </c>
      <c r="E15165" s="2">
        <v>2.5380710659898401E-2</v>
      </c>
      <c r="F15165" s="2">
        <v>3.64883169657974E-2</v>
      </c>
    </row>
    <row r="15166" spans="1:6" x14ac:dyDescent="0.25">
      <c r="A15166" s="1" t="str">
        <f t="shared" si="569"/>
        <v>26700</v>
      </c>
      <c r="B15166" s="1" t="str">
        <f>"57314"</f>
        <v>57314</v>
      </c>
      <c r="C15166" s="2">
        <v>9.7513408093612803E-5</v>
      </c>
      <c r="D15166" s="2">
        <v>0</v>
      </c>
      <c r="E15166" s="2">
        <v>0</v>
      </c>
      <c r="F15166" s="2">
        <v>8.4659668134100905E-5</v>
      </c>
    </row>
    <row r="15167" spans="1:6" x14ac:dyDescent="0.25">
      <c r="A15167" s="1" t="str">
        <f t="shared" si="569"/>
        <v>26700</v>
      </c>
      <c r="B15167" s="1" t="str">
        <f>"57350"</f>
        <v>57350</v>
      </c>
      <c r="C15167" s="2">
        <v>0.777376889322281</v>
      </c>
      <c r="D15167" s="2">
        <v>0.91057609630266501</v>
      </c>
      <c r="E15167" s="2">
        <v>0.85279187817258795</v>
      </c>
      <c r="F15167" s="2">
        <v>0.79300711141212299</v>
      </c>
    </row>
    <row r="15168" spans="1:6" x14ac:dyDescent="0.25">
      <c r="A15168" s="1" t="str">
        <f t="shared" si="569"/>
        <v>26700</v>
      </c>
      <c r="B15168" s="1" t="str">
        <f>"57322"</f>
        <v>57322</v>
      </c>
      <c r="C15168" s="2">
        <v>5.2657240370550902E-3</v>
      </c>
      <c r="D15168" s="2">
        <v>1.7196904557179699E-3</v>
      </c>
      <c r="E15168" s="2">
        <v>2.5380710659898401E-3</v>
      </c>
      <c r="F15168" s="2">
        <v>4.8256010836437496E-3</v>
      </c>
    </row>
    <row r="15169" spans="1:6" x14ac:dyDescent="0.25">
      <c r="A15169" s="1" t="str">
        <f t="shared" si="569"/>
        <v>26700</v>
      </c>
      <c r="B15169" s="1" t="str">
        <f>"57312"</f>
        <v>57312</v>
      </c>
      <c r="C15169" s="2">
        <v>2.08678693320331E-2</v>
      </c>
      <c r="D15169" s="2">
        <v>6.0189165950128897E-3</v>
      </c>
      <c r="E15169" s="2">
        <v>2.5380710659898401E-3</v>
      </c>
      <c r="F15169" s="2">
        <v>1.87944463257704E-2</v>
      </c>
    </row>
    <row r="15170" spans="1:6" x14ac:dyDescent="0.25">
      <c r="A15170" s="1" t="str">
        <f t="shared" si="569"/>
        <v>26700</v>
      </c>
      <c r="B15170" s="1" t="str">
        <f>"57379"</f>
        <v>57379</v>
      </c>
      <c r="C15170" s="2">
        <v>5.1682106289614796E-3</v>
      </c>
      <c r="D15170" s="2">
        <v>0</v>
      </c>
      <c r="E15170" s="2">
        <v>2.5380710659898401E-3</v>
      </c>
      <c r="F15170" s="2">
        <v>4.5716220792414398E-3</v>
      </c>
    </row>
    <row r="15171" spans="1:6" x14ac:dyDescent="0.25">
      <c r="A15171" s="1" t="str">
        <f t="shared" si="569"/>
        <v>26700</v>
      </c>
      <c r="B15171" s="1" t="str">
        <f>"57348"</f>
        <v>57348</v>
      </c>
      <c r="C15171" s="2">
        <v>1.7649926864943901E-2</v>
      </c>
      <c r="D15171" s="2">
        <v>3.4393809114359399E-3</v>
      </c>
      <c r="E15171" s="2">
        <v>7.61421319796954E-3</v>
      </c>
      <c r="F15171" s="2">
        <v>1.5916017609210902E-2</v>
      </c>
    </row>
    <row r="15172" spans="1:6" x14ac:dyDescent="0.25">
      <c r="A15172" s="1" t="str">
        <f t="shared" si="569"/>
        <v>26700</v>
      </c>
      <c r="B15172" s="1" t="str">
        <f>"57381"</f>
        <v>57381</v>
      </c>
      <c r="C15172" s="2">
        <v>1.6772306192101401E-2</v>
      </c>
      <c r="D15172" s="2">
        <v>6.8787618228718797E-3</v>
      </c>
      <c r="E15172" s="2">
        <v>1.7766497461928901E-2</v>
      </c>
      <c r="F15172" s="2">
        <v>1.5831357941076801E-2</v>
      </c>
    </row>
    <row r="15173" spans="1:6" x14ac:dyDescent="0.25">
      <c r="A15173" s="1" t="str">
        <f t="shared" si="569"/>
        <v>26700</v>
      </c>
      <c r="B15173" s="1" t="str">
        <f>"57355"</f>
        <v>57355</v>
      </c>
      <c r="C15173" s="2">
        <v>1.2676743052169601E-3</v>
      </c>
      <c r="D15173" s="2">
        <v>0</v>
      </c>
      <c r="E15173" s="2">
        <v>2.5380710659898401E-3</v>
      </c>
      <c r="F15173" s="2">
        <v>1.18523535387741E-3</v>
      </c>
    </row>
    <row r="15174" spans="1:6" x14ac:dyDescent="0.25">
      <c r="A15174" s="1" t="str">
        <f t="shared" si="569"/>
        <v>26700</v>
      </c>
      <c r="B15174" s="1" t="str">
        <f>"57385"</f>
        <v>57385</v>
      </c>
      <c r="C15174" s="2">
        <v>6.5333983422720598E-3</v>
      </c>
      <c r="D15174" s="2">
        <v>1.7196904557179699E-3</v>
      </c>
      <c r="E15174" s="2">
        <v>0</v>
      </c>
      <c r="F15174" s="2">
        <v>5.8415171012529601E-3</v>
      </c>
    </row>
    <row r="15175" spans="1:6" x14ac:dyDescent="0.25">
      <c r="A15175" s="1" t="str">
        <f t="shared" ref="A15175:A15197" si="570">"26740"</f>
        <v>26740</v>
      </c>
      <c r="B15175" s="1" t="str">
        <f>"67579"</f>
        <v>67579</v>
      </c>
      <c r="C15175" s="2">
        <v>3.2410622746965601E-3</v>
      </c>
      <c r="D15175" s="2">
        <v>1.1605415860735E-3</v>
      </c>
      <c r="E15175" s="2">
        <v>0</v>
      </c>
      <c r="F15175" s="2">
        <v>2.9047194501164702E-3</v>
      </c>
    </row>
    <row r="15176" spans="1:6" x14ac:dyDescent="0.25">
      <c r="A15176" s="1" t="str">
        <f t="shared" si="570"/>
        <v>26740</v>
      </c>
      <c r="B15176" s="1" t="str">
        <f>"67108"</f>
        <v>67108</v>
      </c>
      <c r="C15176" s="2">
        <v>6.0852597810629296E-3</v>
      </c>
      <c r="D15176" s="2">
        <v>3.4816247582204998E-3</v>
      </c>
      <c r="E15176" s="2">
        <v>0</v>
      </c>
      <c r="F15176" s="2">
        <v>5.5506025135889101E-3</v>
      </c>
    </row>
    <row r="15177" spans="1:6" x14ac:dyDescent="0.25">
      <c r="A15177" s="1" t="str">
        <f t="shared" si="570"/>
        <v>26740</v>
      </c>
      <c r="B15177" s="1" t="str">
        <f>"67581"</f>
        <v>67581</v>
      </c>
      <c r="C15177" s="2">
        <v>8.0695836227138908E-3</v>
      </c>
      <c r="D15177" s="2">
        <v>2.321083172147E-3</v>
      </c>
      <c r="E15177" s="2">
        <v>1.53925089789635E-3</v>
      </c>
      <c r="F15177" s="2">
        <v>7.2761784245491904E-3</v>
      </c>
    </row>
    <row r="15178" spans="1:6" x14ac:dyDescent="0.25">
      <c r="A15178" s="1" t="str">
        <f t="shared" si="570"/>
        <v>26740</v>
      </c>
      <c r="B15178" s="1" t="str">
        <f>"67505"</f>
        <v>67505</v>
      </c>
      <c r="C15178" s="2">
        <v>4.3125971491880799E-2</v>
      </c>
      <c r="D15178" s="2">
        <v>6.8858800773694301E-2</v>
      </c>
      <c r="E15178" s="2">
        <v>7.2857875833760896E-2</v>
      </c>
      <c r="F15178" s="2">
        <v>4.6705587989991602E-2</v>
      </c>
    </row>
    <row r="15179" spans="1:6" x14ac:dyDescent="0.25">
      <c r="A15179" s="1" t="str">
        <f t="shared" si="570"/>
        <v>26740</v>
      </c>
      <c r="B15179" s="1" t="str">
        <f>"67510"</f>
        <v>67510</v>
      </c>
      <c r="C15179" s="2">
        <v>4.7954492839898102E-3</v>
      </c>
      <c r="D15179" s="2">
        <v>0</v>
      </c>
      <c r="E15179" s="2">
        <v>1.02616726526423E-3</v>
      </c>
      <c r="F15179" s="2">
        <v>4.2276609818526897E-3</v>
      </c>
    </row>
    <row r="15180" spans="1:6" x14ac:dyDescent="0.25">
      <c r="A15180" s="1" t="str">
        <f t="shared" si="570"/>
        <v>26740</v>
      </c>
      <c r="B15180" s="1" t="str">
        <f>"67546"</f>
        <v>67546</v>
      </c>
      <c r="C15180" s="2">
        <v>4.9608096041273901E-4</v>
      </c>
      <c r="D15180" s="2">
        <v>0</v>
      </c>
      <c r="E15180" s="2">
        <v>0</v>
      </c>
      <c r="F15180" s="2">
        <v>4.3139397774007003E-4</v>
      </c>
    </row>
    <row r="15181" spans="1:6" x14ac:dyDescent="0.25">
      <c r="A15181" s="1" t="str">
        <f t="shared" si="570"/>
        <v>26740</v>
      </c>
      <c r="B15181" s="1" t="str">
        <f>"67501"</f>
        <v>67501</v>
      </c>
      <c r="C15181" s="2">
        <v>0.40801005390746398</v>
      </c>
      <c r="D15181" s="2">
        <v>0.68239845261121801</v>
      </c>
      <c r="E15181" s="2">
        <v>0.40123140071831698</v>
      </c>
      <c r="F15181" s="2">
        <v>0.42802910471369798</v>
      </c>
    </row>
    <row r="15182" spans="1:6" x14ac:dyDescent="0.25">
      <c r="A15182" s="1" t="str">
        <f t="shared" si="570"/>
        <v>26740</v>
      </c>
      <c r="B15182" s="1" t="str">
        <f>"67566"</f>
        <v>67566</v>
      </c>
      <c r="C15182" s="2">
        <v>8.8302410953467608E-3</v>
      </c>
      <c r="D15182" s="2">
        <v>3.8684719535783301E-3</v>
      </c>
      <c r="E15182" s="2">
        <v>4.6177526936890699E-3</v>
      </c>
      <c r="F15182" s="2">
        <v>8.2252451755773399E-3</v>
      </c>
    </row>
    <row r="15183" spans="1:6" x14ac:dyDescent="0.25">
      <c r="A15183" s="1" t="str">
        <f t="shared" si="570"/>
        <v>26740</v>
      </c>
      <c r="B15183" s="1" t="str">
        <f>"67068"</f>
        <v>67068</v>
      </c>
      <c r="C15183" s="2">
        <v>7.6065747263286696E-4</v>
      </c>
      <c r="D15183" s="2">
        <v>0</v>
      </c>
      <c r="E15183" s="2">
        <v>0</v>
      </c>
      <c r="F15183" s="2">
        <v>6.6147076586810802E-4</v>
      </c>
    </row>
    <row r="15184" spans="1:6" x14ac:dyDescent="0.25">
      <c r="A15184" s="1" t="str">
        <f t="shared" si="570"/>
        <v>26740</v>
      </c>
      <c r="B15184" s="1" t="str">
        <f>"67578"</f>
        <v>67578</v>
      </c>
      <c r="C15184" s="2">
        <v>6.6144128055031906E-5</v>
      </c>
      <c r="D15184" s="2">
        <v>0</v>
      </c>
      <c r="E15184" s="2">
        <v>0</v>
      </c>
      <c r="F15184" s="2">
        <v>5.7519197032009397E-5</v>
      </c>
    </row>
    <row r="15185" spans="1:6" x14ac:dyDescent="0.25">
      <c r="A15185" s="1" t="str">
        <f t="shared" si="570"/>
        <v>26740</v>
      </c>
      <c r="B15185" s="1" t="str">
        <f>"67025"</f>
        <v>67025</v>
      </c>
      <c r="C15185" s="2">
        <v>1.52131494526573E-3</v>
      </c>
      <c r="D15185" s="2">
        <v>3.86847195357833E-4</v>
      </c>
      <c r="E15185" s="2">
        <v>0</v>
      </c>
      <c r="F15185" s="2">
        <v>1.3517011302522199E-3</v>
      </c>
    </row>
    <row r="15186" spans="1:6" x14ac:dyDescent="0.25">
      <c r="A15186" s="1" t="str">
        <f t="shared" si="570"/>
        <v>26740</v>
      </c>
      <c r="B15186" s="1" t="str">
        <f>"67568"</f>
        <v>67568</v>
      </c>
      <c r="C15186" s="2">
        <v>4.8285213480173204E-3</v>
      </c>
      <c r="D15186" s="2">
        <v>1.54738878143133E-3</v>
      </c>
      <c r="E15186" s="2">
        <v>1.02616726526423E-3</v>
      </c>
      <c r="F15186" s="2">
        <v>4.3714589744327098E-3</v>
      </c>
    </row>
    <row r="15187" spans="1:6" x14ac:dyDescent="0.25">
      <c r="A15187" s="1" t="str">
        <f t="shared" si="570"/>
        <v>26740</v>
      </c>
      <c r="B15187" s="1" t="str">
        <f>"67502"</f>
        <v>67502</v>
      </c>
      <c r="C15187" s="2">
        <v>0.37586400767271799</v>
      </c>
      <c r="D15187" s="2">
        <v>0.183365570599613</v>
      </c>
      <c r="E15187" s="2">
        <v>0.47768086198050203</v>
      </c>
      <c r="F15187" s="2">
        <v>0.36726007304938002</v>
      </c>
    </row>
    <row r="15188" spans="1:6" x14ac:dyDescent="0.25">
      <c r="A15188" s="1" t="str">
        <f t="shared" si="570"/>
        <v>26740</v>
      </c>
      <c r="B15188" s="1" t="str">
        <f>"67543"</f>
        <v>67543</v>
      </c>
      <c r="C15188" s="2">
        <v>3.07900916096173E-2</v>
      </c>
      <c r="D15188" s="2">
        <v>1.5860735009671102E-2</v>
      </c>
      <c r="E15188" s="2">
        <v>1.07747562852744E-2</v>
      </c>
      <c r="F15188" s="2">
        <v>2.8558281326392598E-2</v>
      </c>
    </row>
    <row r="15189" spans="1:6" x14ac:dyDescent="0.25">
      <c r="A15189" s="1" t="str">
        <f t="shared" si="570"/>
        <v>26740</v>
      </c>
      <c r="B15189" s="1" t="str">
        <f>"67522"</f>
        <v>67522</v>
      </c>
      <c r="C15189" s="2">
        <v>2.7747461719085799E-2</v>
      </c>
      <c r="D15189" s="2">
        <v>1.1218568665377101E-2</v>
      </c>
      <c r="E15189" s="2">
        <v>1.59055926115956E-2</v>
      </c>
      <c r="F15189" s="2">
        <v>2.5854879065888198E-2</v>
      </c>
    </row>
    <row r="15190" spans="1:6" x14ac:dyDescent="0.25">
      <c r="A15190" s="1" t="str">
        <f t="shared" si="570"/>
        <v>26740</v>
      </c>
      <c r="B15190" s="1" t="str">
        <f>"67570"</f>
        <v>67570</v>
      </c>
      <c r="C15190" s="2">
        <v>1.9876310480537E-2</v>
      </c>
      <c r="D15190" s="2">
        <v>5.0290135396518299E-3</v>
      </c>
      <c r="E15190" s="2">
        <v>1.02616726526423E-3</v>
      </c>
      <c r="F15190" s="2">
        <v>1.7715912685858901E-2</v>
      </c>
    </row>
    <row r="15191" spans="1:6" x14ac:dyDescent="0.25">
      <c r="A15191" s="1" t="str">
        <f t="shared" si="570"/>
        <v>26740</v>
      </c>
      <c r="B15191" s="1" t="str">
        <f>"67512"</f>
        <v>67512</v>
      </c>
      <c r="C15191" s="2">
        <v>1.6536032013757899E-4</v>
      </c>
      <c r="D15191" s="2">
        <v>0</v>
      </c>
      <c r="E15191" s="2">
        <v>0</v>
      </c>
      <c r="F15191" s="2">
        <v>1.4379799258002301E-4</v>
      </c>
    </row>
    <row r="15192" spans="1:6" x14ac:dyDescent="0.25">
      <c r="A15192" s="1" t="str">
        <f t="shared" si="570"/>
        <v>26740</v>
      </c>
      <c r="B15192" s="1" t="str">
        <f>"67514"</f>
        <v>67514</v>
      </c>
      <c r="C15192" s="2">
        <v>1.35595462512815E-2</v>
      </c>
      <c r="D15192" s="2">
        <v>3.4816247582204998E-3</v>
      </c>
      <c r="E15192" s="2">
        <v>5.1308363263211903E-3</v>
      </c>
      <c r="F15192" s="2">
        <v>1.2337867763366E-2</v>
      </c>
    </row>
    <row r="15193" spans="1:6" x14ac:dyDescent="0.25">
      <c r="A15193" s="1" t="str">
        <f t="shared" si="570"/>
        <v>26740</v>
      </c>
      <c r="B15193" s="1" t="str">
        <f>"67035"</f>
        <v>67035</v>
      </c>
      <c r="C15193" s="2">
        <v>5.9529715249528696E-4</v>
      </c>
      <c r="D15193" s="2">
        <v>0</v>
      </c>
      <c r="E15193" s="2">
        <v>0</v>
      </c>
      <c r="F15193" s="2">
        <v>5.1767277328808401E-4</v>
      </c>
    </row>
    <row r="15194" spans="1:6" x14ac:dyDescent="0.25">
      <c r="A15194" s="1" t="str">
        <f t="shared" si="570"/>
        <v>26740</v>
      </c>
      <c r="B15194" s="1" t="str">
        <f>"67561"</f>
        <v>67561</v>
      </c>
      <c r="C15194" s="2">
        <v>2.38118860998114E-2</v>
      </c>
      <c r="D15194" s="2">
        <v>5.4158607350096701E-3</v>
      </c>
      <c r="E15194" s="2">
        <v>6.6700872242175403E-3</v>
      </c>
      <c r="F15194" s="2">
        <v>2.1483420091455499E-2</v>
      </c>
    </row>
    <row r="15195" spans="1:6" x14ac:dyDescent="0.25">
      <c r="A15195" s="1" t="str">
        <f t="shared" si="570"/>
        <v>26740</v>
      </c>
      <c r="B15195" s="1" t="str">
        <f>"67583"</f>
        <v>67583</v>
      </c>
      <c r="C15195" s="2">
        <v>1.2898104970731201E-2</v>
      </c>
      <c r="D15195" s="2">
        <v>8.8974854932301704E-3</v>
      </c>
      <c r="E15195" s="2">
        <v>0</v>
      </c>
      <c r="F15195" s="2">
        <v>1.18777141871099E-2</v>
      </c>
    </row>
    <row r="15196" spans="1:6" x14ac:dyDescent="0.25">
      <c r="A15196" s="1" t="str">
        <f t="shared" si="570"/>
        <v>26740</v>
      </c>
      <c r="B15196" s="1" t="str">
        <f>"67020"</f>
        <v>67020</v>
      </c>
      <c r="C15196" s="2">
        <v>4.8615934120448401E-3</v>
      </c>
      <c r="D15196" s="2">
        <v>2.7079303675048298E-3</v>
      </c>
      <c r="E15196" s="2">
        <v>0</v>
      </c>
      <c r="F15196" s="2">
        <v>4.4289781714647201E-3</v>
      </c>
    </row>
    <row r="15197" spans="1:6" x14ac:dyDescent="0.25">
      <c r="A15197" s="1" t="str">
        <f t="shared" si="570"/>
        <v>26740</v>
      </c>
      <c r="B15197" s="1" t="str">
        <f>"67585"</f>
        <v>67585</v>
      </c>
      <c r="C15197" s="2">
        <v>0</v>
      </c>
      <c r="D15197" s="2">
        <v>0</v>
      </c>
      <c r="E15197" s="2">
        <v>5.1308363263211901E-4</v>
      </c>
      <c r="F15197" s="2">
        <v>2.8759598516004699E-5</v>
      </c>
    </row>
    <row r="15198" spans="1:6" x14ac:dyDescent="0.25">
      <c r="A15198" s="1" t="str">
        <f t="shared" ref="A15198:A15213" si="571">"26780"</f>
        <v>26780</v>
      </c>
      <c r="B15198" s="1" t="str">
        <f>"55338"</f>
        <v>55338</v>
      </c>
      <c r="C15198" s="2">
        <v>3.1015445691954499E-4</v>
      </c>
      <c r="D15198" s="2">
        <v>0</v>
      </c>
      <c r="E15198" s="2">
        <v>0</v>
      </c>
      <c r="F15198" s="2">
        <v>2.7937643180421198E-4</v>
      </c>
    </row>
    <row r="15199" spans="1:6" x14ac:dyDescent="0.25">
      <c r="A15199" s="1" t="str">
        <f t="shared" si="571"/>
        <v>26780</v>
      </c>
      <c r="B15199" s="1" t="str">
        <f>"55396"</f>
        <v>55396</v>
      </c>
      <c r="C15199" s="2">
        <v>7.4437069660691002E-4</v>
      </c>
      <c r="D15199" s="2">
        <v>0</v>
      </c>
      <c r="E15199" s="2">
        <v>0</v>
      </c>
      <c r="F15199" s="2">
        <v>6.7050343633011096E-4</v>
      </c>
    </row>
    <row r="15200" spans="1:6" x14ac:dyDescent="0.25">
      <c r="A15200" s="1" t="str">
        <f t="shared" si="571"/>
        <v>26780</v>
      </c>
      <c r="B15200" s="1" t="str">
        <f>"55335"</f>
        <v>55335</v>
      </c>
      <c r="C15200" s="2">
        <v>6.2030891383909096E-5</v>
      </c>
      <c r="D15200" s="2">
        <v>0</v>
      </c>
      <c r="E15200" s="2">
        <v>0</v>
      </c>
      <c r="F15200" s="2">
        <v>5.5875286360842499E-5</v>
      </c>
    </row>
    <row r="15201" spans="1:6" x14ac:dyDescent="0.25">
      <c r="A15201" s="1" t="str">
        <f t="shared" si="571"/>
        <v>26780</v>
      </c>
      <c r="B15201" s="1" t="str">
        <f>"55355"</f>
        <v>55355</v>
      </c>
      <c r="C15201" s="2">
        <v>6.2030891383909096E-5</v>
      </c>
      <c r="D15201" s="2">
        <v>0</v>
      </c>
      <c r="E15201" s="2">
        <v>0</v>
      </c>
      <c r="F15201" s="2">
        <v>5.5875286360842499E-5</v>
      </c>
    </row>
    <row r="15202" spans="1:6" x14ac:dyDescent="0.25">
      <c r="A15202" s="1" t="str">
        <f t="shared" si="571"/>
        <v>26780</v>
      </c>
      <c r="B15202" s="1" t="str">
        <f>"55336"</f>
        <v>55336</v>
      </c>
      <c r="C15202" s="2">
        <v>0.221760436697475</v>
      </c>
      <c r="D15202" s="2">
        <v>0.25901639344262201</v>
      </c>
      <c r="E15202" s="2">
        <v>0.16726618705035901</v>
      </c>
      <c r="F15202" s="2">
        <v>0.222607140861596</v>
      </c>
    </row>
    <row r="15203" spans="1:6" x14ac:dyDescent="0.25">
      <c r="A15203" s="1" t="str">
        <f t="shared" si="571"/>
        <v>26780</v>
      </c>
      <c r="B15203" s="1" t="str">
        <f>"55350"</f>
        <v>55350</v>
      </c>
      <c r="C15203" s="2">
        <v>0.51770981949010597</v>
      </c>
      <c r="D15203" s="2">
        <v>0.621311475409836</v>
      </c>
      <c r="E15203" s="2">
        <v>0.66546762589927999</v>
      </c>
      <c r="F15203" s="2">
        <v>0.52936246298262202</v>
      </c>
    </row>
    <row r="15204" spans="1:6" x14ac:dyDescent="0.25">
      <c r="A15204" s="1" t="str">
        <f t="shared" si="571"/>
        <v>26780</v>
      </c>
      <c r="B15204" s="1" t="str">
        <f>"55381"</f>
        <v>55381</v>
      </c>
      <c r="C15204" s="2">
        <v>4.6771292103467497E-2</v>
      </c>
      <c r="D15204" s="2">
        <v>1.31147540983606E-2</v>
      </c>
      <c r="E15204" s="2">
        <v>1.79856115107913E-2</v>
      </c>
      <c r="F15204" s="2">
        <v>4.3582723361457201E-2</v>
      </c>
    </row>
    <row r="15205" spans="1:6" x14ac:dyDescent="0.25">
      <c r="A15205" s="1" t="str">
        <f t="shared" si="571"/>
        <v>26780</v>
      </c>
      <c r="B15205" s="1" t="str">
        <f>"55354"</f>
        <v>55354</v>
      </c>
      <c r="C15205" s="2">
        <v>6.2216984058060899E-2</v>
      </c>
      <c r="D15205" s="2">
        <v>2.3770491803278601E-2</v>
      </c>
      <c r="E15205" s="2">
        <v>3.4172661870503503E-2</v>
      </c>
      <c r="F15205" s="2">
        <v>5.8724925965245499E-2</v>
      </c>
    </row>
    <row r="15206" spans="1:6" x14ac:dyDescent="0.25">
      <c r="A15206" s="1" t="str">
        <f t="shared" si="571"/>
        <v>26780</v>
      </c>
      <c r="B15206" s="1" t="str">
        <f>"55385"</f>
        <v>55385</v>
      </c>
      <c r="C15206" s="2">
        <v>2.2393151789591201E-2</v>
      </c>
      <c r="D15206" s="2">
        <v>9.0163934426229497E-3</v>
      </c>
      <c r="E15206" s="2">
        <v>7.1942446043165402E-3</v>
      </c>
      <c r="F15206" s="2">
        <v>2.10091076716768E-2</v>
      </c>
    </row>
    <row r="15207" spans="1:6" x14ac:dyDescent="0.25">
      <c r="A15207" s="1" t="str">
        <f t="shared" si="571"/>
        <v>26780</v>
      </c>
      <c r="B15207" s="1" t="str">
        <f>"55339"</f>
        <v>55339</v>
      </c>
      <c r="C15207" s="2">
        <v>3.7218534830345501E-4</v>
      </c>
      <c r="D15207" s="2">
        <v>0</v>
      </c>
      <c r="E15207" s="2">
        <v>0</v>
      </c>
      <c r="F15207" s="2">
        <v>3.3525171816505499E-4</v>
      </c>
    </row>
    <row r="15208" spans="1:6" x14ac:dyDescent="0.25">
      <c r="A15208" s="1" t="str">
        <f t="shared" si="571"/>
        <v>26780</v>
      </c>
      <c r="B15208" s="1" t="str">
        <f>"55368"</f>
        <v>55368</v>
      </c>
      <c r="C15208" s="2">
        <v>7.4437069660691002E-4</v>
      </c>
      <c r="D15208" s="2">
        <v>0</v>
      </c>
      <c r="E15208" s="2">
        <v>0</v>
      </c>
      <c r="F15208" s="2">
        <v>6.7050343633011096E-4</v>
      </c>
    </row>
    <row r="15209" spans="1:6" x14ac:dyDescent="0.25">
      <c r="A15209" s="1" t="str">
        <f t="shared" si="571"/>
        <v>26780</v>
      </c>
      <c r="B15209" s="1" t="str">
        <f>"55370"</f>
        <v>55370</v>
      </c>
      <c r="C15209" s="2">
        <v>1.47633521493703E-2</v>
      </c>
      <c r="D15209" s="2">
        <v>3.27868852459016E-3</v>
      </c>
      <c r="E15209" s="2">
        <v>1.7985611510791301E-3</v>
      </c>
      <c r="F15209" s="2">
        <v>1.35776945856847E-2</v>
      </c>
    </row>
    <row r="15210" spans="1:6" x14ac:dyDescent="0.25">
      <c r="A15210" s="1" t="str">
        <f t="shared" si="571"/>
        <v>26780</v>
      </c>
      <c r="B15210" s="1" t="str">
        <f>"55397"</f>
        <v>55397</v>
      </c>
      <c r="C15210" s="2">
        <v>5.5827802245518197E-4</v>
      </c>
      <c r="D15210" s="2">
        <v>0</v>
      </c>
      <c r="E15210" s="2">
        <v>1.7985611510791301E-3</v>
      </c>
      <c r="F15210" s="2">
        <v>5.5875286360842504E-4</v>
      </c>
    </row>
    <row r="15211" spans="1:6" x14ac:dyDescent="0.25">
      <c r="A15211" s="1" t="str">
        <f t="shared" si="571"/>
        <v>26780</v>
      </c>
      <c r="B15211" s="1" t="str">
        <f>"55312"</f>
        <v>55312</v>
      </c>
      <c r="C15211" s="2">
        <v>2.9774827864276401E-2</v>
      </c>
      <c r="D15211" s="2">
        <v>2.4590163934426201E-3</v>
      </c>
      <c r="E15211" s="2">
        <v>1.2589928057553899E-2</v>
      </c>
      <c r="F15211" s="2">
        <v>2.7378890316812801E-2</v>
      </c>
    </row>
    <row r="15212" spans="1:6" x14ac:dyDescent="0.25">
      <c r="A15212" s="1" t="str">
        <f t="shared" si="571"/>
        <v>26780</v>
      </c>
      <c r="B15212" s="1" t="str">
        <f>"55367"</f>
        <v>55367</v>
      </c>
      <c r="C15212" s="2">
        <v>3.7218534830345501E-4</v>
      </c>
      <c r="D15212" s="2">
        <v>0</v>
      </c>
      <c r="E15212" s="2">
        <v>0</v>
      </c>
      <c r="F15212" s="2">
        <v>3.3525171816505499E-4</v>
      </c>
    </row>
    <row r="15213" spans="1:6" x14ac:dyDescent="0.25">
      <c r="A15213" s="1" t="str">
        <f t="shared" si="571"/>
        <v>26780</v>
      </c>
      <c r="B15213" s="1" t="str">
        <f>"55395"</f>
        <v>55395</v>
      </c>
      <c r="C15213" s="2">
        <v>8.1384529495688807E-2</v>
      </c>
      <c r="D15213" s="2">
        <v>6.8032786885245902E-2</v>
      </c>
      <c r="E15213" s="2">
        <v>9.1726618705035901E-2</v>
      </c>
      <c r="F15213" s="2">
        <v>8.0795664077778301E-2</v>
      </c>
    </row>
    <row r="15214" spans="1:6" x14ac:dyDescent="0.25">
      <c r="A15214" s="1" t="str">
        <f t="shared" ref="A15214:A15236" si="572">"26820"</f>
        <v>26820</v>
      </c>
      <c r="B15214" s="1" t="str">
        <f>"83404"</f>
        <v>83404</v>
      </c>
      <c r="C15214" s="2">
        <v>0.170102655467888</v>
      </c>
      <c r="D15214" s="2">
        <v>0.172017626691847</v>
      </c>
      <c r="E15214" s="2">
        <v>0.109176470588235</v>
      </c>
      <c r="F15214" s="2">
        <v>0.16836265464146899</v>
      </c>
    </row>
    <row r="15215" spans="1:6" x14ac:dyDescent="0.25">
      <c r="A15215" s="1" t="str">
        <f t="shared" si="572"/>
        <v>26820</v>
      </c>
      <c r="B15215" s="1" t="str">
        <f>"83274"</f>
        <v>83274</v>
      </c>
      <c r="C15215" s="2">
        <v>7.2961737507423405E-4</v>
      </c>
      <c r="D15215" s="2">
        <v>1.57381177211205E-4</v>
      </c>
      <c r="E15215" s="2">
        <v>0</v>
      </c>
      <c r="F15215" s="2">
        <v>6.5268341887441696E-4</v>
      </c>
    </row>
    <row r="15216" spans="1:6" x14ac:dyDescent="0.25">
      <c r="A15216" s="1" t="str">
        <f t="shared" si="572"/>
        <v>26820</v>
      </c>
      <c r="B15216" s="1" t="str">
        <f>"83442"</f>
        <v>83442</v>
      </c>
      <c r="C15216" s="2">
        <v>0.12744549079494299</v>
      </c>
      <c r="D15216" s="2">
        <v>6.9562480327352794E-2</v>
      </c>
      <c r="E15216" s="2">
        <v>9.8352941176470504E-2</v>
      </c>
      <c r="F15216" s="2">
        <v>0.12107277420120401</v>
      </c>
    </row>
    <row r="15217" spans="1:6" x14ac:dyDescent="0.25">
      <c r="A15217" s="1" t="str">
        <f t="shared" si="572"/>
        <v>26820</v>
      </c>
      <c r="B15217" s="1" t="str">
        <f>"83449"</f>
        <v>83449</v>
      </c>
      <c r="C15217" s="2">
        <v>5.2600322389072696E-4</v>
      </c>
      <c r="D15217" s="2">
        <v>3.1476235442241102E-4</v>
      </c>
      <c r="E15217" s="2">
        <v>4.7058823529411701E-4</v>
      </c>
      <c r="F15217" s="2">
        <v>5.0434627822114103E-4</v>
      </c>
    </row>
    <row r="15218" spans="1:6" x14ac:dyDescent="0.25">
      <c r="A15218" s="1" t="str">
        <f t="shared" si="572"/>
        <v>26820</v>
      </c>
      <c r="B15218" s="1" t="str">
        <f>"83435"</f>
        <v>83435</v>
      </c>
      <c r="C15218" s="2">
        <v>3.5293119538474501E-3</v>
      </c>
      <c r="D15218" s="2">
        <v>0</v>
      </c>
      <c r="E15218" s="2">
        <v>4.7058823529411701E-4</v>
      </c>
      <c r="F15218" s="2">
        <v>3.1002462396534799E-3</v>
      </c>
    </row>
    <row r="15219" spans="1:6" x14ac:dyDescent="0.25">
      <c r="A15219" s="1" t="str">
        <f t="shared" si="572"/>
        <v>26820</v>
      </c>
      <c r="B15219" s="1" t="str">
        <f>"83450"</f>
        <v>83450</v>
      </c>
      <c r="C15219" s="2">
        <v>6.4308136082124297E-3</v>
      </c>
      <c r="D15219" s="2">
        <v>2.5180988353792799E-3</v>
      </c>
      <c r="E15219" s="2">
        <v>3.76470588235294E-3</v>
      </c>
      <c r="F15219" s="2">
        <v>5.9779867683270498E-3</v>
      </c>
    </row>
    <row r="15220" spans="1:6" x14ac:dyDescent="0.25">
      <c r="A15220" s="1" t="str">
        <f t="shared" si="572"/>
        <v>26820</v>
      </c>
      <c r="B15220" s="1" t="str">
        <f>"83427"</f>
        <v>83427</v>
      </c>
      <c r="C15220" s="2">
        <v>1.01976754051073E-2</v>
      </c>
      <c r="D15220" s="2">
        <v>1.25904941768964E-3</v>
      </c>
      <c r="E15220" s="2">
        <v>2.3529411764705798E-3</v>
      </c>
      <c r="F15220" s="2">
        <v>9.1079004361111892E-3</v>
      </c>
    </row>
    <row r="15221" spans="1:6" x14ac:dyDescent="0.25">
      <c r="A15221" s="1" t="str">
        <f t="shared" si="572"/>
        <v>26820</v>
      </c>
      <c r="B15221" s="1" t="str">
        <f>"83428"</f>
        <v>83428</v>
      </c>
      <c r="C15221" s="2">
        <v>2.4264019682701198E-3</v>
      </c>
      <c r="D15221" s="2">
        <v>1.25904941768964E-3</v>
      </c>
      <c r="E15221" s="2">
        <v>9.4117647058823499E-4</v>
      </c>
      <c r="F15221" s="2">
        <v>2.2695582519951301E-3</v>
      </c>
    </row>
    <row r="15222" spans="1:6" x14ac:dyDescent="0.25">
      <c r="A15222" s="1" t="str">
        <f t="shared" si="572"/>
        <v>26820</v>
      </c>
      <c r="B15222" s="1" t="str">
        <f>"83244"</f>
        <v>83244</v>
      </c>
      <c r="C15222" s="2">
        <v>2.00220581997115E-3</v>
      </c>
      <c r="D15222" s="2">
        <v>4.7214353163361599E-4</v>
      </c>
      <c r="E15222" s="2">
        <v>4.7058823529411701E-4</v>
      </c>
      <c r="F15222" s="2">
        <v>1.8097131159699701E-3</v>
      </c>
    </row>
    <row r="15223" spans="1:6" x14ac:dyDescent="0.25">
      <c r="A15223" s="1" t="str">
        <f t="shared" si="572"/>
        <v>26820</v>
      </c>
      <c r="B15223" s="1" t="str">
        <f>"83403"</f>
        <v>83403</v>
      </c>
      <c r="C15223" s="2">
        <v>1.6323067786544399E-2</v>
      </c>
      <c r="D15223" s="2">
        <v>9.6002518098835296E-2</v>
      </c>
      <c r="E15223" s="2">
        <v>9.4117647058823499E-4</v>
      </c>
      <c r="F15223" s="2">
        <v>2.3348265938825701E-2</v>
      </c>
    </row>
    <row r="15224" spans="1:6" x14ac:dyDescent="0.25">
      <c r="A15224" s="1" t="str">
        <f t="shared" si="572"/>
        <v>26820</v>
      </c>
      <c r="B15224" s="1" t="str">
        <f>"83425"</f>
        <v>83425</v>
      </c>
      <c r="C15224" s="2">
        <v>3.7838296428268402E-3</v>
      </c>
      <c r="D15224" s="2">
        <v>4.7214353163361599E-4</v>
      </c>
      <c r="E15224" s="2">
        <v>9.4117647058823499E-4</v>
      </c>
      <c r="F15224" s="2">
        <v>3.3820868068947102E-3</v>
      </c>
    </row>
    <row r="15225" spans="1:6" x14ac:dyDescent="0.25">
      <c r="A15225" s="1" t="str">
        <f t="shared" si="572"/>
        <v>26820</v>
      </c>
      <c r="B15225" s="1" t="str">
        <f>"83402"</f>
        <v>83402</v>
      </c>
      <c r="C15225" s="2">
        <v>0.20005090353779501</v>
      </c>
      <c r="D15225" s="2">
        <v>0.284859930752282</v>
      </c>
      <c r="E15225" s="2">
        <v>0.36282352941176399</v>
      </c>
      <c r="F15225" s="2">
        <v>0.21317530483282399</v>
      </c>
    </row>
    <row r="15226" spans="1:6" x14ac:dyDescent="0.25">
      <c r="A15226" s="1" t="str">
        <f t="shared" si="572"/>
        <v>26820</v>
      </c>
      <c r="B15226" s="1" t="str">
        <f>"83405"</f>
        <v>83405</v>
      </c>
      <c r="C15226" s="2">
        <v>1.76974633070331E-2</v>
      </c>
      <c r="D15226" s="2">
        <v>6.23229461756373E-2</v>
      </c>
      <c r="E15226" s="2">
        <v>9.4117647058823499E-4</v>
      </c>
      <c r="F15226" s="2">
        <v>2.1375381968137101E-2</v>
      </c>
    </row>
    <row r="15227" spans="1:6" x14ac:dyDescent="0.25">
      <c r="A15227" s="1" t="str">
        <f t="shared" si="572"/>
        <v>26820</v>
      </c>
      <c r="B15227" s="1" t="str">
        <f>"83434"</f>
        <v>83434</v>
      </c>
      <c r="C15227" s="2">
        <v>8.9929583439382291E-3</v>
      </c>
      <c r="D15227" s="2">
        <v>1.41643059490084E-3</v>
      </c>
      <c r="E15227" s="2">
        <v>2.3529411764705798E-3</v>
      </c>
      <c r="F15227" s="2">
        <v>8.0695404515382495E-3</v>
      </c>
    </row>
    <row r="15228" spans="1:6" x14ac:dyDescent="0.25">
      <c r="A15228" s="1" t="str">
        <f t="shared" si="572"/>
        <v>26820</v>
      </c>
      <c r="B15228" s="1" t="str">
        <f>"83431"</f>
        <v>83431</v>
      </c>
      <c r="C15228" s="2">
        <v>4.9037074743361296E-3</v>
      </c>
      <c r="D15228" s="2">
        <v>6.2952470884482204E-4</v>
      </c>
      <c r="E15228" s="2">
        <v>4.7058823529411701E-4</v>
      </c>
      <c r="F15228" s="2">
        <v>4.3611119352063299E-3</v>
      </c>
    </row>
    <row r="15229" spans="1:6" x14ac:dyDescent="0.25">
      <c r="A15229" s="1" t="str">
        <f t="shared" si="572"/>
        <v>26820</v>
      </c>
      <c r="B15229" s="1" t="str">
        <f>"83213"</f>
        <v>83213</v>
      </c>
      <c r="C15229" s="2">
        <v>1.0503096631882499E-2</v>
      </c>
      <c r="D15229" s="2">
        <v>2.8328611898016899E-3</v>
      </c>
      <c r="E15229" s="2">
        <v>9.4117647058823504E-3</v>
      </c>
      <c r="F15229" s="2">
        <v>9.7457501409202799E-3</v>
      </c>
    </row>
    <row r="15230" spans="1:6" x14ac:dyDescent="0.25">
      <c r="A15230" s="1" t="str">
        <f t="shared" si="572"/>
        <v>26820</v>
      </c>
      <c r="B15230" s="1" t="str">
        <f>"83401"</f>
        <v>83401</v>
      </c>
      <c r="C15230" s="2">
        <v>0.28198863154322501</v>
      </c>
      <c r="D15230" s="2">
        <v>0.243468681145734</v>
      </c>
      <c r="E15230" s="2">
        <v>0.32047058823529401</v>
      </c>
      <c r="F15230" s="2">
        <v>0.27957100898922999</v>
      </c>
    </row>
    <row r="15231" spans="1:6" x14ac:dyDescent="0.25">
      <c r="A15231" s="1" t="str">
        <f t="shared" si="572"/>
        <v>26820</v>
      </c>
      <c r="B15231" s="1" t="str">
        <f>"83454"</f>
        <v>83454</v>
      </c>
      <c r="C15231" s="2">
        <v>1.2556205989649599E-3</v>
      </c>
      <c r="D15231" s="2">
        <v>0</v>
      </c>
      <c r="E15231" s="2">
        <v>4.7058823529411701E-4</v>
      </c>
      <c r="F15231" s="2">
        <v>1.1125285548995701E-3</v>
      </c>
    </row>
    <row r="15232" spans="1:6" x14ac:dyDescent="0.25">
      <c r="A15232" s="1" t="str">
        <f t="shared" si="572"/>
        <v>26820</v>
      </c>
      <c r="B15232" s="1" t="str">
        <f>"83285"</f>
        <v>83285</v>
      </c>
      <c r="C15232" s="2">
        <v>7.2961737507423405E-4</v>
      </c>
      <c r="D15232" s="2">
        <v>3.1476235442241102E-4</v>
      </c>
      <c r="E15232" s="2">
        <v>0</v>
      </c>
      <c r="F15232" s="2">
        <v>6.67517132939745E-4</v>
      </c>
    </row>
    <row r="15233" spans="1:6" x14ac:dyDescent="0.25">
      <c r="A15233" s="1" t="str">
        <f t="shared" si="572"/>
        <v>26820</v>
      </c>
      <c r="B15233" s="1" t="str">
        <f>"83443"</f>
        <v>83443</v>
      </c>
      <c r="C15233" s="2">
        <v>6.6344277593959403E-3</v>
      </c>
      <c r="D15233" s="2">
        <v>3.1476235442241102E-4</v>
      </c>
      <c r="E15233" s="2">
        <v>2.8235294117647E-3</v>
      </c>
      <c r="F15233" s="2">
        <v>5.9186519120657402E-3</v>
      </c>
    </row>
    <row r="15234" spans="1:6" x14ac:dyDescent="0.25">
      <c r="A15234" s="1" t="str">
        <f t="shared" si="572"/>
        <v>26820</v>
      </c>
      <c r="B15234" s="1" t="str">
        <f>"83444"</f>
        <v>83444</v>
      </c>
      <c r="C15234" s="2">
        <v>7.3301094426062603E-3</v>
      </c>
      <c r="D15234" s="2">
        <v>1.25904941768964E-3</v>
      </c>
      <c r="E15234" s="2">
        <v>7.0588235294117598E-3</v>
      </c>
      <c r="F15234" s="2">
        <v>6.7493398997240904E-3</v>
      </c>
    </row>
    <row r="15235" spans="1:6" x14ac:dyDescent="0.25">
      <c r="A15235" s="1" t="str">
        <f t="shared" si="572"/>
        <v>26820</v>
      </c>
      <c r="B15235" s="1" t="str">
        <f>"83255"</f>
        <v>83255</v>
      </c>
      <c r="C15235" s="2">
        <v>6.6853312971918199E-3</v>
      </c>
      <c r="D15235" s="2">
        <v>7.8690588605602701E-4</v>
      </c>
      <c r="E15235" s="2">
        <v>9.4117647058823499E-4</v>
      </c>
      <c r="F15235" s="2">
        <v>5.9483193401963898E-3</v>
      </c>
    </row>
    <row r="15236" spans="1:6" x14ac:dyDescent="0.25">
      <c r="A15236" s="1" t="str">
        <f t="shared" si="572"/>
        <v>26820</v>
      </c>
      <c r="B15236" s="1" t="str">
        <f>"83406"</f>
        <v>83406</v>
      </c>
      <c r="C15236" s="2">
        <v>0.109731059641978</v>
      </c>
      <c r="D15236" s="2">
        <v>5.7758892036512403E-2</v>
      </c>
      <c r="E15236" s="2">
        <v>7.4352941176470497E-2</v>
      </c>
      <c r="F15236" s="2">
        <v>0.10371732874477101</v>
      </c>
    </row>
    <row r="15237" spans="1:6" x14ac:dyDescent="0.25">
      <c r="A15237" s="1" t="str">
        <f t="shared" ref="A15237:A15268" si="573">"26860"</f>
        <v>26860</v>
      </c>
      <c r="B15237" s="1" t="str">
        <f>"15720"</f>
        <v>15720</v>
      </c>
      <c r="C15237" s="2">
        <v>0</v>
      </c>
      <c r="D15237" s="2">
        <v>3.2765399737876802E-4</v>
      </c>
      <c r="E15237" s="2">
        <v>0</v>
      </c>
      <c r="F15237" s="2">
        <v>2.4047710657945301E-5</v>
      </c>
    </row>
    <row r="15238" spans="1:6" x14ac:dyDescent="0.25">
      <c r="A15238" s="1" t="str">
        <f t="shared" si="573"/>
        <v>26860</v>
      </c>
      <c r="B15238" s="1" t="str">
        <f>"15758"</f>
        <v>15758</v>
      </c>
      <c r="C15238" s="2">
        <v>3.2152617758962501E-4</v>
      </c>
      <c r="D15238" s="2">
        <v>1.3106159895150699E-3</v>
      </c>
      <c r="E15238" s="2">
        <v>0</v>
      </c>
      <c r="F15238" s="2">
        <v>3.8476337052712498E-4</v>
      </c>
    </row>
    <row r="15239" spans="1:6" x14ac:dyDescent="0.25">
      <c r="A15239" s="1" t="str">
        <f t="shared" si="573"/>
        <v>26860</v>
      </c>
      <c r="B15239" s="1" t="str">
        <f>"15681"</f>
        <v>15681</v>
      </c>
      <c r="C15239" s="2">
        <v>3.6412839612025003E-2</v>
      </c>
      <c r="D15239" s="2">
        <v>4.0629095674967197E-2</v>
      </c>
      <c r="E15239" s="2">
        <v>2.4793388429752001E-2</v>
      </c>
      <c r="F15239" s="2">
        <v>3.63841862254713E-2</v>
      </c>
    </row>
    <row r="15240" spans="1:6" x14ac:dyDescent="0.25">
      <c r="A15240" s="1" t="str">
        <f t="shared" si="573"/>
        <v>26860</v>
      </c>
      <c r="B15240" s="1" t="str">
        <f>"15774"</f>
        <v>15774</v>
      </c>
      <c r="C15240" s="2">
        <v>2.0068592251219101E-2</v>
      </c>
      <c r="D15240" s="2">
        <v>8.8466579292267294E-3</v>
      </c>
      <c r="E15240" s="2">
        <v>8.2644628099173497E-4</v>
      </c>
      <c r="F15240" s="2">
        <v>1.8685071181223499E-2</v>
      </c>
    </row>
    <row r="15241" spans="1:6" x14ac:dyDescent="0.25">
      <c r="A15241" s="1" t="str">
        <f t="shared" si="573"/>
        <v>26860</v>
      </c>
      <c r="B15241" s="1" t="str">
        <f>"16256"</f>
        <v>16256</v>
      </c>
      <c r="C15241" s="2">
        <v>1.73892074379722E-2</v>
      </c>
      <c r="D15241" s="2">
        <v>1.37614678899082E-2</v>
      </c>
      <c r="E15241" s="2">
        <v>8.2644628099173497E-4</v>
      </c>
      <c r="F15241" s="2">
        <v>1.6641015775298099E-2</v>
      </c>
    </row>
    <row r="15242" spans="1:6" x14ac:dyDescent="0.25">
      <c r="A15242" s="1" t="str">
        <f t="shared" si="573"/>
        <v>26860</v>
      </c>
      <c r="B15242" s="1" t="str">
        <f>"15713"</f>
        <v>15713</v>
      </c>
      <c r="C15242" s="2">
        <v>2.7865602057767498E-3</v>
      </c>
      <c r="D15242" s="2">
        <v>9.8296199213630396E-4</v>
      </c>
      <c r="E15242" s="2">
        <v>0</v>
      </c>
      <c r="F15242" s="2">
        <v>2.5731050404001498E-3</v>
      </c>
    </row>
    <row r="15243" spans="1:6" x14ac:dyDescent="0.25">
      <c r="A15243" s="1" t="str">
        <f t="shared" si="573"/>
        <v>26860</v>
      </c>
      <c r="B15243" s="1" t="str">
        <f>"15714"</f>
        <v>15714</v>
      </c>
      <c r="C15243" s="2">
        <v>7.3683082364289099E-3</v>
      </c>
      <c r="D15243" s="2">
        <v>9.8296199213630396E-4</v>
      </c>
      <c r="E15243" s="2">
        <v>0</v>
      </c>
      <c r="F15243" s="2">
        <v>6.6852635629088102E-3</v>
      </c>
    </row>
    <row r="15244" spans="1:6" x14ac:dyDescent="0.25">
      <c r="A15244" s="1" t="str">
        <f t="shared" si="573"/>
        <v>26860</v>
      </c>
      <c r="B15244" s="1" t="str">
        <f>"15944"</f>
        <v>15944</v>
      </c>
      <c r="C15244" s="2">
        <v>1.61566904238786E-2</v>
      </c>
      <c r="D15244" s="2">
        <v>5.2424639580602797E-3</v>
      </c>
      <c r="E15244" s="2">
        <v>0</v>
      </c>
      <c r="F15244" s="2">
        <v>1.48855328972681E-2</v>
      </c>
    </row>
    <row r="15245" spans="1:6" x14ac:dyDescent="0.25">
      <c r="A15245" s="1" t="str">
        <f t="shared" si="573"/>
        <v>26860</v>
      </c>
      <c r="B15245" s="1" t="str">
        <f>"15961"</f>
        <v>15961</v>
      </c>
      <c r="C15245" s="2">
        <v>5.01044960077166E-3</v>
      </c>
      <c r="D15245" s="2">
        <v>6.5530799475753605E-4</v>
      </c>
      <c r="E15245" s="2">
        <v>0</v>
      </c>
      <c r="F15245" s="2">
        <v>4.5450173143516698E-3</v>
      </c>
    </row>
    <row r="15246" spans="1:6" x14ac:dyDescent="0.25">
      <c r="A15246" s="1" t="str">
        <f t="shared" si="573"/>
        <v>26860</v>
      </c>
      <c r="B15246" s="1" t="str">
        <f>"15729"</f>
        <v>15729</v>
      </c>
      <c r="C15246" s="2">
        <v>1.3664862547559E-2</v>
      </c>
      <c r="D15246" s="2">
        <v>6.8807339449541201E-3</v>
      </c>
      <c r="E15246" s="2">
        <v>0</v>
      </c>
      <c r="F15246" s="2">
        <v>1.2769334359368899E-2</v>
      </c>
    </row>
    <row r="15247" spans="1:6" x14ac:dyDescent="0.25">
      <c r="A15247" s="1" t="str">
        <f t="shared" si="573"/>
        <v>26860</v>
      </c>
      <c r="B15247" s="1" t="str">
        <f>"15772"</f>
        <v>15772</v>
      </c>
      <c r="C15247" s="2">
        <v>1.4736616472857801E-2</v>
      </c>
      <c r="D15247" s="2">
        <v>5.8977719528178199E-3</v>
      </c>
      <c r="E15247" s="2">
        <v>8.2644628099173497E-4</v>
      </c>
      <c r="F15247" s="2">
        <v>1.3683147364370899E-2</v>
      </c>
    </row>
    <row r="15248" spans="1:6" x14ac:dyDescent="0.25">
      <c r="A15248" s="1" t="str">
        <f t="shared" si="573"/>
        <v>26860</v>
      </c>
      <c r="B15248" s="1" t="str">
        <f>"15767"</f>
        <v>15767</v>
      </c>
      <c r="C15248" s="2">
        <v>8.0917421360055704E-3</v>
      </c>
      <c r="D15248" s="2">
        <v>4.9148099606815196E-3</v>
      </c>
      <c r="E15248" s="2">
        <v>0</v>
      </c>
      <c r="F15248" s="2">
        <v>7.6231242785686796E-3</v>
      </c>
    </row>
    <row r="15249" spans="1:6" x14ac:dyDescent="0.25">
      <c r="A15249" s="1" t="str">
        <f t="shared" si="573"/>
        <v>26860</v>
      </c>
      <c r="B15249" s="1" t="str">
        <f>"15763"</f>
        <v>15763</v>
      </c>
      <c r="C15249" s="2">
        <v>4.5549541825196902E-4</v>
      </c>
      <c r="D15249" s="2">
        <v>0</v>
      </c>
      <c r="E15249" s="2">
        <v>8.2644628099173497E-4</v>
      </c>
      <c r="F15249" s="2">
        <v>4.3285879184301601E-4</v>
      </c>
    </row>
    <row r="15250" spans="1:6" x14ac:dyDescent="0.25">
      <c r="A15250" s="1" t="str">
        <f t="shared" si="573"/>
        <v>26860</v>
      </c>
      <c r="B15250" s="1" t="str">
        <f>"15727"</f>
        <v>15727</v>
      </c>
      <c r="C15250" s="2">
        <v>0</v>
      </c>
      <c r="D15250" s="2">
        <v>3.2765399737876802E-4</v>
      </c>
      <c r="E15250" s="2">
        <v>8.2644628099173497E-4</v>
      </c>
      <c r="F15250" s="2">
        <v>4.8095421315890703E-5</v>
      </c>
    </row>
    <row r="15251" spans="1:6" x14ac:dyDescent="0.25">
      <c r="A15251" s="1" t="str">
        <f t="shared" si="573"/>
        <v>26860</v>
      </c>
      <c r="B15251" s="1" t="str">
        <f>"15618"</f>
        <v>15618</v>
      </c>
      <c r="C15251" s="2">
        <v>3.2152617758962501E-4</v>
      </c>
      <c r="D15251" s="2">
        <v>0</v>
      </c>
      <c r="E15251" s="2">
        <v>0</v>
      </c>
      <c r="F15251" s="2">
        <v>2.8857252789534399E-4</v>
      </c>
    </row>
    <row r="15252" spans="1:6" x14ac:dyDescent="0.25">
      <c r="A15252" s="1" t="str">
        <f t="shared" si="573"/>
        <v>26860</v>
      </c>
      <c r="B15252" s="1" t="str">
        <f>"15701"</f>
        <v>15701</v>
      </c>
      <c r="C15252" s="2">
        <v>0.42583462836932601</v>
      </c>
      <c r="D15252" s="2">
        <v>0.60058977719528095</v>
      </c>
      <c r="E15252" s="2">
        <v>0.52231404958677596</v>
      </c>
      <c r="F15252" s="2">
        <v>0.44146787225855999</v>
      </c>
    </row>
    <row r="15253" spans="1:6" x14ac:dyDescent="0.25">
      <c r="A15253" s="1" t="str">
        <f t="shared" si="573"/>
        <v>26860</v>
      </c>
      <c r="B15253" s="1" t="str">
        <f>"15954"</f>
        <v>15954</v>
      </c>
      <c r="C15253" s="2">
        <v>1.5433256524302E-2</v>
      </c>
      <c r="D15253" s="2">
        <v>6.2254259501965904E-3</v>
      </c>
      <c r="E15253" s="2">
        <v>0</v>
      </c>
      <c r="F15253" s="2">
        <v>1.43083878414774E-2</v>
      </c>
    </row>
    <row r="15254" spans="1:6" x14ac:dyDescent="0.25">
      <c r="A15254" s="1" t="str">
        <f t="shared" si="573"/>
        <v>26860</v>
      </c>
      <c r="B15254" s="1" t="str">
        <f>"15920"</f>
        <v>15920</v>
      </c>
      <c r="C15254" s="2">
        <v>8.4400621617276607E-3</v>
      </c>
      <c r="D15254" s="2">
        <v>4.2595019659239803E-3</v>
      </c>
      <c r="E15254" s="2">
        <v>4.9586776859504101E-3</v>
      </c>
      <c r="F15254" s="2">
        <v>8.0319353597537498E-3</v>
      </c>
    </row>
    <row r="15255" spans="1:6" x14ac:dyDescent="0.25">
      <c r="A15255" s="1" t="str">
        <f t="shared" si="573"/>
        <v>26860</v>
      </c>
      <c r="B15255" s="1" t="str">
        <f>"15712"</f>
        <v>15712</v>
      </c>
      <c r="C15255" s="2">
        <v>0</v>
      </c>
      <c r="D15255" s="2">
        <v>3.2765399737876802E-4</v>
      </c>
      <c r="E15255" s="2">
        <v>3.3057851239669399E-3</v>
      </c>
      <c r="F15255" s="2">
        <v>1.20238553289726E-4</v>
      </c>
    </row>
    <row r="15256" spans="1:6" x14ac:dyDescent="0.25">
      <c r="A15256" s="1" t="str">
        <f t="shared" si="573"/>
        <v>26860</v>
      </c>
      <c r="B15256" s="1" t="str">
        <f>"15716"</f>
        <v>15716</v>
      </c>
      <c r="C15256" s="2">
        <v>0</v>
      </c>
      <c r="D15256" s="2">
        <v>3.2765399737876802E-4</v>
      </c>
      <c r="E15256" s="2">
        <v>4.13223140495867E-3</v>
      </c>
      <c r="F15256" s="2">
        <v>1.4428626394767199E-4</v>
      </c>
    </row>
    <row r="15257" spans="1:6" x14ac:dyDescent="0.25">
      <c r="A15257" s="1" t="str">
        <f t="shared" si="573"/>
        <v>26860</v>
      </c>
      <c r="B15257" s="1" t="str">
        <f>"15949"</f>
        <v>15949</v>
      </c>
      <c r="C15257" s="2">
        <v>4.3673972455924104E-3</v>
      </c>
      <c r="D15257" s="2">
        <v>9.8296199213630396E-4</v>
      </c>
      <c r="E15257" s="2">
        <v>6.6115702479338798E-3</v>
      </c>
      <c r="F15257" s="2">
        <v>4.1843016544824904E-3</v>
      </c>
    </row>
    <row r="15258" spans="1:6" x14ac:dyDescent="0.25">
      <c r="A15258" s="1" t="str">
        <f t="shared" si="573"/>
        <v>26860</v>
      </c>
      <c r="B15258" s="1" t="str">
        <f>"15771"</f>
        <v>15771</v>
      </c>
      <c r="C15258" s="2">
        <v>1.1574942393226499E-2</v>
      </c>
      <c r="D15258" s="2">
        <v>4.5871559633027499E-3</v>
      </c>
      <c r="E15258" s="2">
        <v>1.6528925619834699E-3</v>
      </c>
      <c r="F15258" s="2">
        <v>1.07733743747595E-2</v>
      </c>
    </row>
    <row r="15259" spans="1:6" x14ac:dyDescent="0.25">
      <c r="A15259" s="1" t="str">
        <f t="shared" si="573"/>
        <v>26860</v>
      </c>
      <c r="B15259" s="1" t="str">
        <f>"15777"</f>
        <v>15777</v>
      </c>
      <c r="C15259" s="2">
        <v>1.82198167300787E-3</v>
      </c>
      <c r="D15259" s="2">
        <v>9.8296199213630396E-4</v>
      </c>
      <c r="E15259" s="2">
        <v>0</v>
      </c>
      <c r="F15259" s="2">
        <v>1.70738745671412E-3</v>
      </c>
    </row>
    <row r="15260" spans="1:6" x14ac:dyDescent="0.25">
      <c r="A15260" s="1" t="str">
        <f t="shared" si="573"/>
        <v>26860</v>
      </c>
      <c r="B15260" s="1" t="str">
        <f>"15746"</f>
        <v>15746</v>
      </c>
      <c r="C15260" s="2">
        <v>0</v>
      </c>
      <c r="D15260" s="2">
        <v>3.2765399737876802E-4</v>
      </c>
      <c r="E15260" s="2">
        <v>0</v>
      </c>
      <c r="F15260" s="2">
        <v>2.4047710657945301E-5</v>
      </c>
    </row>
    <row r="15261" spans="1:6" x14ac:dyDescent="0.25">
      <c r="A15261" s="1" t="str">
        <f t="shared" si="573"/>
        <v>26860</v>
      </c>
      <c r="B15261" s="1" t="str">
        <f>"15739"</f>
        <v>15739</v>
      </c>
      <c r="C15261" s="2">
        <v>0</v>
      </c>
      <c r="D15261" s="2">
        <v>3.2765399737876802E-4</v>
      </c>
      <c r="E15261" s="2">
        <v>0</v>
      </c>
      <c r="F15261" s="2">
        <v>2.4047710657945301E-5</v>
      </c>
    </row>
    <row r="15262" spans="1:6" x14ac:dyDescent="0.25">
      <c r="A15262" s="1" t="str">
        <f t="shared" si="573"/>
        <v>26860</v>
      </c>
      <c r="B15262" s="1" t="str">
        <f>"15734"</f>
        <v>15734</v>
      </c>
      <c r="C15262" s="2">
        <v>0</v>
      </c>
      <c r="D15262" s="2">
        <v>3.2765399737876802E-4</v>
      </c>
      <c r="E15262" s="2">
        <v>0</v>
      </c>
      <c r="F15262" s="2">
        <v>2.4047710657945301E-5</v>
      </c>
    </row>
    <row r="15263" spans="1:6" x14ac:dyDescent="0.25">
      <c r="A15263" s="1" t="str">
        <f t="shared" si="573"/>
        <v>26860</v>
      </c>
      <c r="B15263" s="1" t="str">
        <f>"15761"</f>
        <v>15761</v>
      </c>
      <c r="C15263" s="2">
        <v>9.6457853276887601E-4</v>
      </c>
      <c r="D15263" s="2">
        <v>3.2765399737876802E-4</v>
      </c>
      <c r="E15263" s="2">
        <v>0</v>
      </c>
      <c r="F15263" s="2">
        <v>8.8976529434397795E-4</v>
      </c>
    </row>
    <row r="15264" spans="1:6" x14ac:dyDescent="0.25">
      <c r="A15264" s="1" t="str">
        <f t="shared" si="573"/>
        <v>26860</v>
      </c>
      <c r="B15264" s="1" t="str">
        <f>"16246"</f>
        <v>16246</v>
      </c>
      <c r="C15264" s="2">
        <v>0</v>
      </c>
      <c r="D15264" s="2">
        <v>0</v>
      </c>
      <c r="E15264" s="2">
        <v>2.4793388429751998E-3</v>
      </c>
      <c r="F15264" s="2">
        <v>7.2143131973835997E-5</v>
      </c>
    </row>
    <row r="15265" spans="1:6" x14ac:dyDescent="0.25">
      <c r="A15265" s="1" t="str">
        <f t="shared" si="573"/>
        <v>26860</v>
      </c>
      <c r="B15265" s="1" t="str">
        <f>"15756"</f>
        <v>15756</v>
      </c>
      <c r="C15265" s="2">
        <v>0</v>
      </c>
      <c r="D15265" s="2">
        <v>3.2765399737876802E-4</v>
      </c>
      <c r="E15265" s="2">
        <v>0</v>
      </c>
      <c r="F15265" s="2">
        <v>2.4047710657945301E-5</v>
      </c>
    </row>
    <row r="15266" spans="1:6" x14ac:dyDescent="0.25">
      <c r="A15266" s="1" t="str">
        <f t="shared" si="573"/>
        <v>26860</v>
      </c>
      <c r="B15266" s="1" t="str">
        <f>"15957"</f>
        <v>15957</v>
      </c>
      <c r="C15266" s="2">
        <v>2.2774770912598399E-3</v>
      </c>
      <c r="D15266" s="2">
        <v>3.2765399737876802E-4</v>
      </c>
      <c r="E15266" s="2">
        <v>8.2644628099173497E-4</v>
      </c>
      <c r="F15266" s="2">
        <v>2.09215082724124E-3</v>
      </c>
    </row>
    <row r="15267" spans="1:6" x14ac:dyDescent="0.25">
      <c r="A15267" s="1" t="str">
        <f t="shared" si="573"/>
        <v>26860</v>
      </c>
      <c r="B15267" s="1" t="str">
        <f>"15765"</f>
        <v>15765</v>
      </c>
      <c r="C15267" s="2">
        <v>2.0577675365736001E-2</v>
      </c>
      <c r="D15267" s="2">
        <v>1.2778505897771899E-2</v>
      </c>
      <c r="E15267" s="2">
        <v>0</v>
      </c>
      <c r="F15267" s="2">
        <v>1.94065025009619E-2</v>
      </c>
    </row>
    <row r="15268" spans="1:6" x14ac:dyDescent="0.25">
      <c r="A15268" s="1" t="str">
        <f t="shared" si="573"/>
        <v>26860</v>
      </c>
      <c r="B15268" s="1" t="str">
        <f>"15759"</f>
        <v>15759</v>
      </c>
      <c r="C15268" s="2">
        <v>3.02234606934247E-2</v>
      </c>
      <c r="D15268" s="2">
        <v>7.5360419397116603E-3</v>
      </c>
      <c r="E15268" s="2">
        <v>8.2644628099173497E-4</v>
      </c>
      <c r="F15268" s="2">
        <v>2.7702962677953E-2</v>
      </c>
    </row>
    <row r="15269" spans="1:6" x14ac:dyDescent="0.25">
      <c r="A15269" s="1" t="str">
        <f t="shared" ref="A15269:A15290" si="574">"26860"</f>
        <v>26860</v>
      </c>
      <c r="B15269" s="1" t="str">
        <f>"15717"</f>
        <v>15717</v>
      </c>
      <c r="C15269" s="2">
        <v>0.109345694228605</v>
      </c>
      <c r="D15269" s="2">
        <v>0.12188728702490099</v>
      </c>
      <c r="E15269" s="2">
        <v>9.5041322314049506E-2</v>
      </c>
      <c r="F15269" s="2">
        <v>0.109849942285494</v>
      </c>
    </row>
    <row r="15270" spans="1:6" x14ac:dyDescent="0.25">
      <c r="A15270" s="1" t="str">
        <f t="shared" si="574"/>
        <v>26860</v>
      </c>
      <c r="B15270" s="1" t="str">
        <f>"15752"</f>
        <v>15752</v>
      </c>
      <c r="C15270" s="2">
        <v>0</v>
      </c>
      <c r="D15270" s="2">
        <v>3.2765399737876802E-4</v>
      </c>
      <c r="E15270" s="2">
        <v>0</v>
      </c>
      <c r="F15270" s="2">
        <v>2.4047710657945301E-5</v>
      </c>
    </row>
    <row r="15271" spans="1:6" x14ac:dyDescent="0.25">
      <c r="A15271" s="1" t="str">
        <f t="shared" si="574"/>
        <v>26860</v>
      </c>
      <c r="B15271" s="1" t="str">
        <f>"15742"</f>
        <v>15742</v>
      </c>
      <c r="C15271" s="2">
        <v>1.1548148545094001E-2</v>
      </c>
      <c r="D15271" s="2">
        <v>4.5871559633027499E-3</v>
      </c>
      <c r="E15271" s="2">
        <v>0</v>
      </c>
      <c r="F15271" s="2">
        <v>1.0701231242785599E-2</v>
      </c>
    </row>
    <row r="15272" spans="1:6" x14ac:dyDescent="0.25">
      <c r="A15272" s="1" t="str">
        <f t="shared" si="574"/>
        <v>26860</v>
      </c>
      <c r="B15272" s="1" t="str">
        <f>"15750"</f>
        <v>15750</v>
      </c>
      <c r="C15272" s="2">
        <v>3.3760248646910601E-3</v>
      </c>
      <c r="D15272" s="2">
        <v>9.8296199213630396E-4</v>
      </c>
      <c r="E15272" s="2">
        <v>4.13223140495867E-3</v>
      </c>
      <c r="F15272" s="2">
        <v>3.2223932281646699E-3</v>
      </c>
    </row>
    <row r="15273" spans="1:6" x14ac:dyDescent="0.25">
      <c r="A15273" s="1" t="str">
        <f t="shared" si="574"/>
        <v>26860</v>
      </c>
      <c r="B15273" s="1" t="str">
        <f>"15725"</f>
        <v>15725</v>
      </c>
      <c r="C15273" s="2">
        <v>1.7014093564117601E-2</v>
      </c>
      <c r="D15273" s="2">
        <v>9.5019659239842704E-3</v>
      </c>
      <c r="E15273" s="2">
        <v>0</v>
      </c>
      <c r="F15273" s="2">
        <v>1.5967679876875699E-2</v>
      </c>
    </row>
    <row r="15274" spans="1:6" x14ac:dyDescent="0.25">
      <c r="A15274" s="1" t="str">
        <f t="shared" si="574"/>
        <v>26860</v>
      </c>
      <c r="B15274" s="1" t="str">
        <f>"15728"</f>
        <v>15728</v>
      </c>
      <c r="C15274" s="2">
        <v>4.6353357269170899E-2</v>
      </c>
      <c r="D15274" s="2">
        <v>4.4888597640891197E-2</v>
      </c>
      <c r="E15274" s="2">
        <v>3.05785123966942E-2</v>
      </c>
      <c r="F15274" s="2">
        <v>4.5786841092727897E-2</v>
      </c>
    </row>
    <row r="15275" spans="1:6" x14ac:dyDescent="0.25">
      <c r="A15275" s="1" t="str">
        <f t="shared" si="574"/>
        <v>26860</v>
      </c>
      <c r="B15275" s="1" t="str">
        <f>"15745"</f>
        <v>15745</v>
      </c>
      <c r="C15275" s="2">
        <v>0</v>
      </c>
      <c r="D15275" s="2">
        <v>3.2765399737876802E-4</v>
      </c>
      <c r="E15275" s="2">
        <v>0</v>
      </c>
      <c r="F15275" s="2">
        <v>2.4047710657945301E-5</v>
      </c>
    </row>
    <row r="15276" spans="1:6" x14ac:dyDescent="0.25">
      <c r="A15276" s="1" t="str">
        <f t="shared" si="574"/>
        <v>26860</v>
      </c>
      <c r="B15276" s="1" t="str">
        <f>"15783"</f>
        <v>15783</v>
      </c>
      <c r="C15276" s="2">
        <v>1.3664862547559001E-3</v>
      </c>
      <c r="D15276" s="2">
        <v>1.3106159895150699E-3</v>
      </c>
      <c r="E15276" s="2">
        <v>0</v>
      </c>
      <c r="F15276" s="2">
        <v>1.3226240861869899E-3</v>
      </c>
    </row>
    <row r="15277" spans="1:6" x14ac:dyDescent="0.25">
      <c r="A15277" s="1" t="str">
        <f t="shared" si="574"/>
        <v>26860</v>
      </c>
      <c r="B15277" s="1" t="str">
        <f>"15747"</f>
        <v>15747</v>
      </c>
      <c r="C15277" s="2">
        <v>2.31230909383205E-2</v>
      </c>
      <c r="D15277" s="2">
        <v>1.2450851900393099E-2</v>
      </c>
      <c r="E15277" s="2">
        <v>2.4793388429751998E-3</v>
      </c>
      <c r="F15277" s="2">
        <v>2.1739130434782601E-2</v>
      </c>
    </row>
    <row r="15278" spans="1:6" x14ac:dyDescent="0.25">
      <c r="A15278" s="1" t="str">
        <f t="shared" si="574"/>
        <v>26860</v>
      </c>
      <c r="B15278" s="1" t="str">
        <f>"15723"</f>
        <v>15723</v>
      </c>
      <c r="C15278" s="2">
        <v>0</v>
      </c>
      <c r="D15278" s="2">
        <v>3.2765399737876802E-4</v>
      </c>
      <c r="E15278" s="2">
        <v>0</v>
      </c>
      <c r="F15278" s="2">
        <v>2.4047710657945301E-5</v>
      </c>
    </row>
    <row r="15279" spans="1:6" x14ac:dyDescent="0.25">
      <c r="A15279" s="1" t="str">
        <f t="shared" si="574"/>
        <v>26860</v>
      </c>
      <c r="B15279" s="1" t="str">
        <f>"16222"</f>
        <v>16222</v>
      </c>
      <c r="C15279" s="2">
        <v>1.8487755211403401E-3</v>
      </c>
      <c r="D15279" s="2">
        <v>0</v>
      </c>
      <c r="E15279" s="2">
        <v>0</v>
      </c>
      <c r="F15279" s="2">
        <v>1.6592920353982301E-3</v>
      </c>
    </row>
    <row r="15280" spans="1:6" x14ac:dyDescent="0.25">
      <c r="A15280" s="1" t="str">
        <f t="shared" si="574"/>
        <v>26860</v>
      </c>
      <c r="B15280" s="1" t="str">
        <f>"15754"</f>
        <v>15754</v>
      </c>
      <c r="C15280" s="2">
        <v>0</v>
      </c>
      <c r="D15280" s="2">
        <v>3.2765399737876802E-4</v>
      </c>
      <c r="E15280" s="2">
        <v>0</v>
      </c>
      <c r="F15280" s="2">
        <v>2.4047710657945301E-5</v>
      </c>
    </row>
    <row r="15281" spans="1:6" x14ac:dyDescent="0.25">
      <c r="A15281" s="1" t="str">
        <f t="shared" si="574"/>
        <v>26860</v>
      </c>
      <c r="B15281" s="1" t="str">
        <f>"16211"</f>
        <v>16211</v>
      </c>
      <c r="C15281" s="2">
        <v>0</v>
      </c>
      <c r="D15281" s="2">
        <v>0</v>
      </c>
      <c r="E15281" s="2">
        <v>8.2644628099173497E-4</v>
      </c>
      <c r="F15281" s="2">
        <v>2.4047710657945301E-5</v>
      </c>
    </row>
    <row r="15282" spans="1:6" x14ac:dyDescent="0.25">
      <c r="A15282" s="1" t="str">
        <f t="shared" si="574"/>
        <v>26860</v>
      </c>
      <c r="B15282" s="1" t="str">
        <f>"15741"</f>
        <v>15741</v>
      </c>
      <c r="C15282" s="2">
        <v>0</v>
      </c>
      <c r="D15282" s="2">
        <v>3.2765399737876802E-4</v>
      </c>
      <c r="E15282" s="2">
        <v>0</v>
      </c>
      <c r="F15282" s="2">
        <v>2.4047710657945301E-5</v>
      </c>
    </row>
    <row r="15283" spans="1:6" x14ac:dyDescent="0.25">
      <c r="A15283" s="1" t="str">
        <f t="shared" si="574"/>
        <v>26860</v>
      </c>
      <c r="B15283" s="1" t="str">
        <f>"15929"</f>
        <v>15929</v>
      </c>
      <c r="C15283" s="2">
        <v>2.6793848132468701E-5</v>
      </c>
      <c r="D15283" s="2">
        <v>6.5530799475753605E-4</v>
      </c>
      <c r="E15283" s="2">
        <v>8.2644628099173497E-4</v>
      </c>
      <c r="F15283" s="2">
        <v>9.6190842631781407E-5</v>
      </c>
    </row>
    <row r="15284" spans="1:6" x14ac:dyDescent="0.25">
      <c r="A15284" s="1" t="str">
        <f t="shared" si="574"/>
        <v>26860</v>
      </c>
      <c r="B15284" s="1" t="str">
        <f>"15705"</f>
        <v>15705</v>
      </c>
      <c r="C15284" s="2">
        <v>0</v>
      </c>
      <c r="D15284" s="2">
        <v>0</v>
      </c>
      <c r="E15284" s="2">
        <v>5.7851239669421399E-2</v>
      </c>
      <c r="F15284" s="2">
        <v>1.68333974605617E-3</v>
      </c>
    </row>
    <row r="15285" spans="1:6" x14ac:dyDescent="0.25">
      <c r="A15285" s="1" t="str">
        <f t="shared" si="574"/>
        <v>26860</v>
      </c>
      <c r="B15285" s="1" t="str">
        <f>"15710"</f>
        <v>15710</v>
      </c>
      <c r="C15285" s="2">
        <v>0</v>
      </c>
      <c r="D15285" s="2">
        <v>3.2765399737876802E-4</v>
      </c>
      <c r="E15285" s="2">
        <v>0</v>
      </c>
      <c r="F15285" s="2">
        <v>2.4047710657945301E-5</v>
      </c>
    </row>
    <row r="15286" spans="1:6" x14ac:dyDescent="0.25">
      <c r="A15286" s="1" t="str">
        <f t="shared" si="574"/>
        <v>26860</v>
      </c>
      <c r="B15286" s="1" t="str">
        <f>"15748"</f>
        <v>15748</v>
      </c>
      <c r="C15286" s="2">
        <v>8.7803440330100194E-2</v>
      </c>
      <c r="D15286" s="2">
        <v>5.8322411533420701E-2</v>
      </c>
      <c r="E15286" s="2">
        <v>3.8842975206611501E-2</v>
      </c>
      <c r="F15286" s="2">
        <v>8.4215082724124604E-2</v>
      </c>
    </row>
    <row r="15287" spans="1:6" x14ac:dyDescent="0.25">
      <c r="A15287" s="1" t="str">
        <f t="shared" si="574"/>
        <v>26860</v>
      </c>
      <c r="B15287" s="1" t="str">
        <f>"15724"</f>
        <v>15724</v>
      </c>
      <c r="C15287" s="2">
        <v>1.89164567815229E-2</v>
      </c>
      <c r="D15287" s="2">
        <v>7.2083879423328898E-3</v>
      </c>
      <c r="E15287" s="2">
        <v>2.4793388429751998E-3</v>
      </c>
      <c r="F15287" s="2">
        <v>1.7578876490958E-2</v>
      </c>
    </row>
    <row r="15288" spans="1:6" x14ac:dyDescent="0.25">
      <c r="A15288" s="1" t="str">
        <f t="shared" si="574"/>
        <v>26860</v>
      </c>
      <c r="B15288" s="1" t="str">
        <f>"15732"</f>
        <v>15732</v>
      </c>
      <c r="C15288" s="2">
        <v>1.47634103209903E-2</v>
      </c>
      <c r="D15288" s="2">
        <v>4.5871559633027499E-3</v>
      </c>
      <c r="E15288" s="2">
        <v>0.19008264462809901</v>
      </c>
      <c r="F15288" s="2">
        <v>1.9117929973066501E-2</v>
      </c>
    </row>
    <row r="15289" spans="1:6" x14ac:dyDescent="0.25">
      <c r="A15289" s="1" t="str">
        <f t="shared" si="574"/>
        <v>26860</v>
      </c>
      <c r="B15289" s="1" t="str">
        <f>"15731"</f>
        <v>15731</v>
      </c>
      <c r="C15289" s="2">
        <v>0</v>
      </c>
      <c r="D15289" s="2">
        <v>3.2765399737876802E-4</v>
      </c>
      <c r="E15289" s="2">
        <v>8.2644628099173497E-4</v>
      </c>
      <c r="F15289" s="2">
        <v>4.8095421315890703E-5</v>
      </c>
    </row>
    <row r="15290" spans="1:6" x14ac:dyDescent="0.25">
      <c r="A15290" s="1" t="str">
        <f t="shared" si="574"/>
        <v>26860</v>
      </c>
      <c r="B15290" s="1" t="str">
        <f>"15757"</f>
        <v>15757</v>
      </c>
      <c r="C15290" s="2">
        <v>2.1435078505974999E-4</v>
      </c>
      <c r="D15290" s="2">
        <v>0</v>
      </c>
      <c r="E15290" s="2">
        <v>0</v>
      </c>
      <c r="F15290" s="2">
        <v>1.92381685263562E-4</v>
      </c>
    </row>
    <row r="15291" spans="1:6" x14ac:dyDescent="0.25">
      <c r="A15291" s="1" t="str">
        <f t="shared" ref="A15291:A15322" si="575">"26900"</f>
        <v>26900</v>
      </c>
      <c r="B15291" s="1" t="str">
        <f>"46061"</f>
        <v>46061</v>
      </c>
      <c r="C15291" s="2">
        <v>9.6854953247069999E-4</v>
      </c>
      <c r="D15291" s="2">
        <v>4.9187998584846399E-3</v>
      </c>
      <c r="E15291" s="2">
        <v>4.2591251756889098E-5</v>
      </c>
      <c r="F15291" s="2">
        <v>1.2431862955498401E-3</v>
      </c>
    </row>
    <row r="15292" spans="1:6" x14ac:dyDescent="0.25">
      <c r="A15292" s="1" t="str">
        <f t="shared" si="575"/>
        <v>26900</v>
      </c>
      <c r="B15292" s="1" t="str">
        <f>"46130"</f>
        <v>46130</v>
      </c>
      <c r="C15292" s="2">
        <v>1.1029267354815699E-3</v>
      </c>
      <c r="D15292" s="2">
        <v>2.5107563082752202E-4</v>
      </c>
      <c r="E15292" s="2">
        <v>1.7036500702755601E-4</v>
      </c>
      <c r="F15292" s="2">
        <v>9.9545647169210294E-4</v>
      </c>
    </row>
    <row r="15293" spans="1:6" x14ac:dyDescent="0.25">
      <c r="A15293" s="1" t="str">
        <f t="shared" si="575"/>
        <v>26900</v>
      </c>
      <c r="B15293" s="1" t="str">
        <f>"47201"</f>
        <v>47201</v>
      </c>
      <c r="C15293" s="2">
        <v>5.3750881204350505E-4</v>
      </c>
      <c r="D15293" s="2">
        <v>6.8475172043869694E-5</v>
      </c>
      <c r="E15293" s="2">
        <v>6.6016440223178095E-4</v>
      </c>
      <c r="F15293" s="2">
        <v>5.0544143548997397E-4</v>
      </c>
    </row>
    <row r="15294" spans="1:6" x14ac:dyDescent="0.25">
      <c r="A15294" s="1" t="str">
        <f t="shared" si="575"/>
        <v>26900</v>
      </c>
      <c r="B15294" s="1" t="str">
        <f>"46240"</f>
        <v>46240</v>
      </c>
      <c r="C15294" s="2">
        <v>1.3147258808425599E-2</v>
      </c>
      <c r="D15294" s="2">
        <v>2.70819305433504E-2</v>
      </c>
      <c r="E15294" s="2">
        <v>3.7799735934239097E-2</v>
      </c>
      <c r="F15294" s="2">
        <v>1.53057103992987E-2</v>
      </c>
    </row>
    <row r="15295" spans="1:6" x14ac:dyDescent="0.25">
      <c r="A15295" s="1" t="str">
        <f t="shared" si="575"/>
        <v>26900</v>
      </c>
      <c r="B15295" s="1" t="str">
        <f>"46227"</f>
        <v>46227</v>
      </c>
      <c r="C15295" s="2">
        <v>2.72796058820002E-2</v>
      </c>
      <c r="D15295" s="2">
        <v>2.38635974572886E-2</v>
      </c>
      <c r="E15295" s="2">
        <v>5.0662293964819603E-2</v>
      </c>
      <c r="F15295" s="2">
        <v>2.8004359318951601E-2</v>
      </c>
    </row>
    <row r="15296" spans="1:6" x14ac:dyDescent="0.25">
      <c r="A15296" s="1" t="str">
        <f t="shared" si="575"/>
        <v>26900</v>
      </c>
      <c r="B15296" s="1" t="str">
        <f>"46290"</f>
        <v>46290</v>
      </c>
      <c r="C15296" s="2">
        <v>3.10101237717406E-4</v>
      </c>
      <c r="D15296" s="2">
        <v>3.26398320075779E-3</v>
      </c>
      <c r="E15296" s="2">
        <v>5.5368627283955798E-4</v>
      </c>
      <c r="F15296" s="2">
        <v>5.5535037436241295E-4</v>
      </c>
    </row>
    <row r="15297" spans="1:6" x14ac:dyDescent="0.25">
      <c r="A15297" s="1" t="str">
        <f t="shared" si="575"/>
        <v>26900</v>
      </c>
      <c r="B15297" s="1" t="str">
        <f>"46163"</f>
        <v>46163</v>
      </c>
      <c r="C15297" s="2">
        <v>5.6851893581524498E-3</v>
      </c>
      <c r="D15297" s="2">
        <v>1.6205790717049101E-3</v>
      </c>
      <c r="E15297" s="2">
        <v>1.38421568209889E-3</v>
      </c>
      <c r="F15297" s="2">
        <v>5.1787329844547201E-3</v>
      </c>
    </row>
    <row r="15298" spans="1:6" x14ac:dyDescent="0.25">
      <c r="A15298" s="1" t="str">
        <f t="shared" si="575"/>
        <v>26900</v>
      </c>
      <c r="B15298" s="1" t="str">
        <f>"46181"</f>
        <v>46181</v>
      </c>
      <c r="C15298" s="2">
        <v>2.2606380229598902E-3</v>
      </c>
      <c r="D15298" s="2">
        <v>1.02712758065804E-3</v>
      </c>
      <c r="E15298" s="2">
        <v>4.6850376932578E-4</v>
      </c>
      <c r="F15298" s="2">
        <v>2.0861936448679499E-3</v>
      </c>
    </row>
    <row r="15299" spans="1:6" x14ac:dyDescent="0.25">
      <c r="A15299" s="1" t="str">
        <f t="shared" si="575"/>
        <v>26900</v>
      </c>
      <c r="B15299" s="1" t="str">
        <f>"46184"</f>
        <v>46184</v>
      </c>
      <c r="C15299" s="2">
        <v>5.0143370138904598E-3</v>
      </c>
      <c r="D15299" s="2">
        <v>3.3552834301496101E-3</v>
      </c>
      <c r="E15299" s="2">
        <v>8.30529409259338E-4</v>
      </c>
      <c r="F15299" s="2">
        <v>4.7041443475404404E-3</v>
      </c>
    </row>
    <row r="15300" spans="1:6" x14ac:dyDescent="0.25">
      <c r="A15300" s="1" t="str">
        <f t="shared" si="575"/>
        <v>26900</v>
      </c>
      <c r="B15300" s="1" t="str">
        <f>"46205"</f>
        <v>46205</v>
      </c>
      <c r="C15300" s="2">
        <v>1.6816790121414901E-2</v>
      </c>
      <c r="D15300" s="2">
        <v>1.69932551955536E-2</v>
      </c>
      <c r="E15300" s="2">
        <v>2.65343498445419E-2</v>
      </c>
      <c r="F15300" s="2">
        <v>1.7244899533306001E-2</v>
      </c>
    </row>
    <row r="15301" spans="1:6" x14ac:dyDescent="0.25">
      <c r="A15301" s="1" t="str">
        <f t="shared" si="575"/>
        <v>26900</v>
      </c>
      <c r="B15301" s="1" t="str">
        <f>"46224"</f>
        <v>46224</v>
      </c>
      <c r="C15301" s="2">
        <v>1.8300107708496501E-2</v>
      </c>
      <c r="D15301" s="2">
        <v>1.04082261506682E-2</v>
      </c>
      <c r="E15301" s="2">
        <v>7.1127390434004803E-2</v>
      </c>
      <c r="F15301" s="2">
        <v>1.9923648397877601E-2</v>
      </c>
    </row>
    <row r="15302" spans="1:6" x14ac:dyDescent="0.25">
      <c r="A15302" s="1" t="str">
        <f t="shared" si="575"/>
        <v>26900</v>
      </c>
      <c r="B15302" s="1" t="str">
        <f>"46154"</f>
        <v>46154</v>
      </c>
      <c r="C15302" s="2">
        <v>7.1323284675003495E-5</v>
      </c>
      <c r="D15302" s="2">
        <v>1.4836287276171701E-4</v>
      </c>
      <c r="E15302" s="2">
        <v>2.1295625878444502E-5</v>
      </c>
      <c r="F15302" s="2">
        <v>7.5317125934771696E-5</v>
      </c>
    </row>
    <row r="15303" spans="1:6" x14ac:dyDescent="0.25">
      <c r="A15303" s="1" t="str">
        <f t="shared" si="575"/>
        <v>26900</v>
      </c>
      <c r="B15303" s="1" t="str">
        <f>"46052"</f>
        <v>46052</v>
      </c>
      <c r="C15303" s="2">
        <v>1.08432066121853E-2</v>
      </c>
      <c r="D15303" s="2">
        <v>1.12299282151946E-2</v>
      </c>
      <c r="E15303" s="2">
        <v>9.3274841347587203E-3</v>
      </c>
      <c r="F15303" s="2">
        <v>1.0809368724517999E-2</v>
      </c>
    </row>
    <row r="15304" spans="1:6" x14ac:dyDescent="0.25">
      <c r="A15304" s="1" t="str">
        <f t="shared" si="575"/>
        <v>26900</v>
      </c>
      <c r="B15304" s="1" t="str">
        <f>"46112"</f>
        <v>46112</v>
      </c>
      <c r="C15304" s="2">
        <v>1.8091306208433501E-2</v>
      </c>
      <c r="D15304" s="2">
        <v>1.6913367494835799E-2</v>
      </c>
      <c r="E15304" s="2">
        <v>1.0711699816857601E-2</v>
      </c>
      <c r="F15304" s="2">
        <v>1.7683190760131199E-2</v>
      </c>
    </row>
    <row r="15305" spans="1:6" x14ac:dyDescent="0.25">
      <c r="A15305" s="1" t="str">
        <f t="shared" si="575"/>
        <v>26900</v>
      </c>
      <c r="B15305" s="1" t="str">
        <f>"46033"</f>
        <v>46033</v>
      </c>
      <c r="C15305" s="2">
        <v>1.5036809016917001E-2</v>
      </c>
      <c r="D15305" s="2">
        <v>3.66342170434703E-3</v>
      </c>
      <c r="E15305" s="2">
        <v>6.5377571446824803E-3</v>
      </c>
      <c r="F15305" s="2">
        <v>1.3770329952532001E-2</v>
      </c>
    </row>
    <row r="15306" spans="1:6" x14ac:dyDescent="0.25">
      <c r="A15306" s="1" t="str">
        <f t="shared" si="575"/>
        <v>26900</v>
      </c>
      <c r="B15306" s="1" t="str">
        <f>"46051"</f>
        <v>46051</v>
      </c>
      <c r="C15306" s="2">
        <v>1.36031076278702E-3</v>
      </c>
      <c r="D15306" s="2">
        <v>3.4237586021934802E-4</v>
      </c>
      <c r="E15306" s="2">
        <v>3.6202563993355702E-4</v>
      </c>
      <c r="F15306" s="2">
        <v>1.2368342487842599E-3</v>
      </c>
    </row>
    <row r="15307" spans="1:6" x14ac:dyDescent="0.25">
      <c r="A15307" s="1" t="str">
        <f t="shared" si="575"/>
        <v>26900</v>
      </c>
      <c r="B15307" s="1" t="str">
        <f>"46048"</f>
        <v>46048</v>
      </c>
      <c r="C15307" s="2">
        <v>8.2900397549786698E-4</v>
      </c>
      <c r="D15307" s="2">
        <v>1.0271275806580401E-4</v>
      </c>
      <c r="E15307" s="2">
        <v>4.47208143447335E-4</v>
      </c>
      <c r="F15307" s="2">
        <v>7.5498612985216897E-4</v>
      </c>
    </row>
    <row r="15308" spans="1:6" x14ac:dyDescent="0.25">
      <c r="A15308" s="1" t="str">
        <f t="shared" si="575"/>
        <v>26900</v>
      </c>
      <c r="B15308" s="1" t="str">
        <f>"46117"</f>
        <v>46117</v>
      </c>
      <c r="C15308" s="2">
        <v>2.5531668572066401E-4</v>
      </c>
      <c r="D15308" s="2">
        <v>1.2553781541376101E-4</v>
      </c>
      <c r="E15308" s="2">
        <v>6.3886877635333701E-5</v>
      </c>
      <c r="F15308" s="2">
        <v>2.3684060083102899E-4</v>
      </c>
    </row>
    <row r="15309" spans="1:6" x14ac:dyDescent="0.25">
      <c r="A15309" s="1" t="str">
        <f t="shared" si="575"/>
        <v>26900</v>
      </c>
      <c r="B15309" s="1" t="str">
        <f>"46298"</f>
        <v>46298</v>
      </c>
      <c r="C15309" s="2">
        <v>0</v>
      </c>
      <c r="D15309" s="2">
        <v>1.14125286739782E-5</v>
      </c>
      <c r="E15309" s="2">
        <v>0</v>
      </c>
      <c r="F15309" s="2">
        <v>9.0743525222616496E-7</v>
      </c>
    </row>
    <row r="15310" spans="1:6" x14ac:dyDescent="0.25">
      <c r="A15310" s="1" t="str">
        <f t="shared" si="575"/>
        <v>26900</v>
      </c>
      <c r="B15310" s="1" t="str">
        <f>"47435"</f>
        <v>47435</v>
      </c>
      <c r="C15310" s="2">
        <v>0</v>
      </c>
      <c r="D15310" s="2">
        <v>0</v>
      </c>
      <c r="E15310" s="2">
        <v>2.1295625878444502E-5</v>
      </c>
      <c r="F15310" s="2">
        <v>9.0743525222616496E-7</v>
      </c>
    </row>
    <row r="15311" spans="1:6" x14ac:dyDescent="0.25">
      <c r="A15311" s="1" t="str">
        <f t="shared" si="575"/>
        <v>26900</v>
      </c>
      <c r="B15311" s="1" t="str">
        <f>"46115"</f>
        <v>46115</v>
      </c>
      <c r="C15311" s="2">
        <v>5.0649868827176398E-5</v>
      </c>
      <c r="D15311" s="2">
        <v>1.14125286739782E-5</v>
      </c>
      <c r="E15311" s="2">
        <v>0</v>
      </c>
      <c r="F15311" s="2">
        <v>4.5371762611308199E-5</v>
      </c>
    </row>
    <row r="15312" spans="1:6" x14ac:dyDescent="0.25">
      <c r="A15312" s="1" t="str">
        <f t="shared" si="575"/>
        <v>26900</v>
      </c>
      <c r="B15312" s="1" t="str">
        <f>"46242"</f>
        <v>46242</v>
      </c>
      <c r="C15312" s="2">
        <v>1.0078290225815701E-3</v>
      </c>
      <c r="D15312" s="2">
        <v>3.7090718190429398E-3</v>
      </c>
      <c r="E15312" s="2">
        <v>4.2591251756889098E-5</v>
      </c>
      <c r="F15312" s="2">
        <v>1.1814806983984601E-3</v>
      </c>
    </row>
    <row r="15313" spans="1:6" x14ac:dyDescent="0.25">
      <c r="A15313" s="1" t="str">
        <f t="shared" si="575"/>
        <v>26900</v>
      </c>
      <c r="B15313" s="1" t="str">
        <f>"46251"</f>
        <v>46251</v>
      </c>
      <c r="C15313" s="2">
        <v>2.9356250503914498E-4</v>
      </c>
      <c r="D15313" s="2">
        <v>8.1028953585245795E-4</v>
      </c>
      <c r="E15313" s="2">
        <v>4.2591251756889098E-5</v>
      </c>
      <c r="F15313" s="2">
        <v>3.2395438504474099E-4</v>
      </c>
    </row>
    <row r="15314" spans="1:6" x14ac:dyDescent="0.25">
      <c r="A15314" s="1" t="str">
        <f t="shared" si="575"/>
        <v>26900</v>
      </c>
      <c r="B15314" s="1" t="str">
        <f>"46072"</f>
        <v>46072</v>
      </c>
      <c r="C15314" s="2">
        <v>4.1346831695654197E-6</v>
      </c>
      <c r="D15314" s="2">
        <v>0</v>
      </c>
      <c r="E15314" s="2">
        <v>0</v>
      </c>
      <c r="F15314" s="2">
        <v>3.6297410089046598E-6</v>
      </c>
    </row>
    <row r="15315" spans="1:6" x14ac:dyDescent="0.25">
      <c r="A15315" s="1" t="str">
        <f t="shared" si="575"/>
        <v>26900</v>
      </c>
      <c r="B15315" s="1" t="str">
        <f>"47240"</f>
        <v>47240</v>
      </c>
      <c r="C15315" s="2">
        <v>1.6538732678261601E-5</v>
      </c>
      <c r="D15315" s="2">
        <v>0</v>
      </c>
      <c r="E15315" s="2">
        <v>0</v>
      </c>
      <c r="F15315" s="2">
        <v>1.45189640356186E-5</v>
      </c>
    </row>
    <row r="15316" spans="1:6" x14ac:dyDescent="0.25">
      <c r="A15316" s="1" t="str">
        <f t="shared" si="575"/>
        <v>26900</v>
      </c>
      <c r="B15316" s="1" t="str">
        <f>"46125"</f>
        <v>46125</v>
      </c>
      <c r="C15316" s="2">
        <v>0</v>
      </c>
      <c r="D15316" s="2">
        <v>0</v>
      </c>
      <c r="E15316" s="2">
        <v>4.2591251756889098E-5</v>
      </c>
      <c r="F15316" s="2">
        <v>1.8148705044523299E-6</v>
      </c>
    </row>
    <row r="15317" spans="1:6" x14ac:dyDescent="0.25">
      <c r="A15317" s="1" t="str">
        <f t="shared" si="575"/>
        <v>26900</v>
      </c>
      <c r="B15317" s="1" t="str">
        <f>"46144"</f>
        <v>46144</v>
      </c>
      <c r="C15317" s="2">
        <v>8.9929358938047903E-5</v>
      </c>
      <c r="D15317" s="2">
        <v>0</v>
      </c>
      <c r="E15317" s="2">
        <v>2.1295625878444502E-5</v>
      </c>
      <c r="F15317" s="2">
        <v>7.9854302195902496E-5</v>
      </c>
    </row>
    <row r="15318" spans="1:6" x14ac:dyDescent="0.25">
      <c r="A15318" s="1" t="str">
        <f t="shared" si="575"/>
        <v>26900</v>
      </c>
      <c r="B15318" s="1" t="str">
        <f>"47384"</f>
        <v>47384</v>
      </c>
      <c r="C15318" s="2">
        <v>3.80390851600019E-4</v>
      </c>
      <c r="D15318" s="2">
        <v>3.42375860219348E-5</v>
      </c>
      <c r="E15318" s="2">
        <v>2.5554751054133399E-4</v>
      </c>
      <c r="F15318" s="2">
        <v>3.4754770160262102E-4</v>
      </c>
    </row>
    <row r="15319" spans="1:6" x14ac:dyDescent="0.25">
      <c r="A15319" s="1" t="str">
        <f t="shared" si="575"/>
        <v>26900</v>
      </c>
      <c r="B15319" s="1" t="str">
        <f>"46180"</f>
        <v>46180</v>
      </c>
      <c r="C15319" s="2">
        <v>3.4834705703588599E-4</v>
      </c>
      <c r="D15319" s="2">
        <v>2.0542551613160899E-4</v>
      </c>
      <c r="E15319" s="2">
        <v>1.27773755270667E-4</v>
      </c>
      <c r="F15319" s="2">
        <v>3.2758412605364502E-4</v>
      </c>
    </row>
    <row r="15320" spans="1:6" x14ac:dyDescent="0.25">
      <c r="A15320" s="1" t="str">
        <f t="shared" si="575"/>
        <v>26900</v>
      </c>
      <c r="B15320" s="1" t="str">
        <f>"46202"</f>
        <v>46202</v>
      </c>
      <c r="C15320" s="2">
        <v>1.5643573772050699E-2</v>
      </c>
      <c r="D15320" s="2">
        <v>2.61346906634102E-2</v>
      </c>
      <c r="E15320" s="2">
        <v>2.3595553473316499E-2</v>
      </c>
      <c r="F15320" s="2">
        <v>1.68165900942552E-2</v>
      </c>
    </row>
    <row r="15321" spans="1:6" x14ac:dyDescent="0.25">
      <c r="A15321" s="1" t="str">
        <f t="shared" si="575"/>
        <v>26900</v>
      </c>
      <c r="B15321" s="1" t="str">
        <f>"46214"</f>
        <v>46214</v>
      </c>
      <c r="C15321" s="2">
        <v>1.26397264493615E-2</v>
      </c>
      <c r="D15321" s="2">
        <v>6.3225408853839699E-3</v>
      </c>
      <c r="E15321" s="2">
        <v>2.6108437326972999E-2</v>
      </c>
      <c r="F15321" s="2">
        <v>1.27113530131841E-2</v>
      </c>
    </row>
    <row r="15322" spans="1:6" x14ac:dyDescent="0.25">
      <c r="A15322" s="1" t="str">
        <f t="shared" si="575"/>
        <v>26900</v>
      </c>
      <c r="B15322" s="1" t="str">
        <f>"46161"</f>
        <v>46161</v>
      </c>
      <c r="C15322" s="2">
        <v>1.0367718047685299E-3</v>
      </c>
      <c r="D15322" s="2">
        <v>3.76613446241283E-4</v>
      </c>
      <c r="E15322" s="2">
        <v>3.40730014055113E-4</v>
      </c>
      <c r="F15322" s="2">
        <v>9.5462188534192597E-4</v>
      </c>
    </row>
    <row r="15323" spans="1:6" x14ac:dyDescent="0.25">
      <c r="A15323" s="1" t="str">
        <f t="shared" ref="A15323:A15354" si="576">"26900"</f>
        <v>26900</v>
      </c>
      <c r="B15323" s="1" t="str">
        <f>"46030"</f>
        <v>46030</v>
      </c>
      <c r="C15323" s="2">
        <v>9.4684244583048195E-4</v>
      </c>
      <c r="D15323" s="2">
        <v>3.76613446241283E-4</v>
      </c>
      <c r="E15323" s="2">
        <v>1.9166063290600101E-4</v>
      </c>
      <c r="F15323" s="2">
        <v>8.6932297163266599E-4</v>
      </c>
    </row>
    <row r="15324" spans="1:6" x14ac:dyDescent="0.25">
      <c r="A15324" s="1" t="str">
        <f t="shared" si="576"/>
        <v>26900</v>
      </c>
      <c r="B15324" s="1" t="str">
        <f>"46075"</f>
        <v>46075</v>
      </c>
      <c r="C15324" s="2">
        <v>3.5051776569990801E-3</v>
      </c>
      <c r="D15324" s="2">
        <v>3.1612704426919802E-3</v>
      </c>
      <c r="E15324" s="2">
        <v>9.1571191277311603E-4</v>
      </c>
      <c r="F15324" s="2">
        <v>3.3674922210113001E-3</v>
      </c>
    </row>
    <row r="15325" spans="1:6" x14ac:dyDescent="0.25">
      <c r="A15325" s="1" t="str">
        <f t="shared" si="576"/>
        <v>26900</v>
      </c>
      <c r="B15325" s="1" t="str">
        <f>"46034"</f>
        <v>46034</v>
      </c>
      <c r="C15325" s="2">
        <v>3.3511607089327699E-3</v>
      </c>
      <c r="D15325" s="2">
        <v>9.7006493728815397E-4</v>
      </c>
      <c r="E15325" s="2">
        <v>1.32032880446356E-3</v>
      </c>
      <c r="F15325" s="2">
        <v>3.0752980697944699E-3</v>
      </c>
    </row>
    <row r="15326" spans="1:6" x14ac:dyDescent="0.25">
      <c r="A15326" s="1" t="str">
        <f t="shared" si="576"/>
        <v>26900</v>
      </c>
      <c r="B15326" s="1" t="str">
        <f>"46140"</f>
        <v>46140</v>
      </c>
      <c r="C15326" s="2">
        <v>1.8939949928986798E-2</v>
      </c>
      <c r="D15326" s="2">
        <v>1.5794939684785899E-2</v>
      </c>
      <c r="E15326" s="2">
        <v>1.35653136845691E-2</v>
      </c>
      <c r="F15326" s="2">
        <v>1.84608627712891E-2</v>
      </c>
    </row>
    <row r="15327" spans="1:6" x14ac:dyDescent="0.25">
      <c r="A15327" s="1" t="str">
        <f t="shared" si="576"/>
        <v>26900</v>
      </c>
      <c r="B15327" s="1" t="str">
        <f>"46128"</f>
        <v>46128</v>
      </c>
      <c r="C15327" s="2">
        <v>1.0036943394120001E-3</v>
      </c>
      <c r="D15327" s="2">
        <v>2.9672574552343499E-4</v>
      </c>
      <c r="E15327" s="2">
        <v>1.4906938114911099E-4</v>
      </c>
      <c r="F15327" s="2">
        <v>9.1106499323506999E-4</v>
      </c>
    </row>
    <row r="15328" spans="1:6" x14ac:dyDescent="0.25">
      <c r="A15328" s="1" t="str">
        <f t="shared" si="576"/>
        <v>26900</v>
      </c>
      <c r="B15328" s="1" t="str">
        <f>"46056"</f>
        <v>46056</v>
      </c>
      <c r="C15328" s="2">
        <v>1.0863880028033101E-3</v>
      </c>
      <c r="D15328" s="2">
        <v>1.2553781541376101E-4</v>
      </c>
      <c r="E15328" s="2">
        <v>7.2405127986711502E-4</v>
      </c>
      <c r="F15328" s="2">
        <v>9.9454903643987689E-4</v>
      </c>
    </row>
    <row r="15329" spans="1:6" x14ac:dyDescent="0.25">
      <c r="A15329" s="1" t="str">
        <f t="shared" si="576"/>
        <v>26900</v>
      </c>
      <c r="B15329" s="1" t="str">
        <f>"46110"</f>
        <v>46110</v>
      </c>
      <c r="C15329" s="2">
        <v>2.0983517085544501E-4</v>
      </c>
      <c r="D15329" s="2">
        <v>1.0271275806580401E-4</v>
      </c>
      <c r="E15329" s="2">
        <v>2.1295625878444502E-5</v>
      </c>
      <c r="F15329" s="2">
        <v>1.93283708724173E-4</v>
      </c>
    </row>
    <row r="15330" spans="1:6" x14ac:dyDescent="0.25">
      <c r="A15330" s="1" t="str">
        <f t="shared" si="576"/>
        <v>26900</v>
      </c>
      <c r="B15330" s="1" t="str">
        <f>"46111"</f>
        <v>46111</v>
      </c>
      <c r="C15330" s="2">
        <v>1.9536377976196601E-4</v>
      </c>
      <c r="D15330" s="2">
        <v>1.1412528673978201E-4</v>
      </c>
      <c r="E15330" s="2">
        <v>1.4906938114911099E-4</v>
      </c>
      <c r="F15330" s="2">
        <v>1.8693166195859001E-4</v>
      </c>
    </row>
    <row r="15331" spans="1:6" x14ac:dyDescent="0.25">
      <c r="A15331" s="1" t="str">
        <f t="shared" si="576"/>
        <v>26900</v>
      </c>
      <c r="B15331" s="1" t="str">
        <f>"46235"</f>
        <v>46235</v>
      </c>
      <c r="C15331" s="2">
        <v>1.45974989301507E-2</v>
      </c>
      <c r="D15331" s="2">
        <v>2.14555539070791E-3</v>
      </c>
      <c r="E15331" s="2">
        <v>2.23604071723667E-2</v>
      </c>
      <c r="F15331" s="2">
        <v>1.39382054741939E-2</v>
      </c>
    </row>
    <row r="15332" spans="1:6" x14ac:dyDescent="0.25">
      <c r="A15332" s="1" t="str">
        <f t="shared" si="576"/>
        <v>26900</v>
      </c>
      <c r="B15332" s="1" t="str">
        <f>"46278"</f>
        <v>46278</v>
      </c>
      <c r="C15332" s="2">
        <v>3.9610264764436704E-3</v>
      </c>
      <c r="D15332" s="2">
        <v>1.06250641954737E-2</v>
      </c>
      <c r="E15332" s="2">
        <v>2.6832488606840098E-3</v>
      </c>
      <c r="F15332" s="2">
        <v>4.4364509481337197E-3</v>
      </c>
    </row>
    <row r="15333" spans="1:6" x14ac:dyDescent="0.25">
      <c r="A15333" s="1" t="str">
        <f t="shared" si="576"/>
        <v>26900</v>
      </c>
      <c r="B15333" s="1" t="str">
        <f>"46280"</f>
        <v>46280</v>
      </c>
      <c r="C15333" s="2">
        <v>4.2576899938599902E-3</v>
      </c>
      <c r="D15333" s="2">
        <v>3.9829725072184196E-3</v>
      </c>
      <c r="E15333" s="2">
        <v>4.4294901827164699E-3</v>
      </c>
      <c r="F15333" s="2">
        <v>4.2431672394095503E-3</v>
      </c>
    </row>
    <row r="15334" spans="1:6" x14ac:dyDescent="0.25">
      <c r="A15334" s="1" t="str">
        <f t="shared" si="576"/>
        <v>26900</v>
      </c>
      <c r="B15334" s="1" t="str">
        <f>"46244"</f>
        <v>46244</v>
      </c>
      <c r="C15334" s="2">
        <v>1.0677819285402699E-3</v>
      </c>
      <c r="D15334" s="2">
        <v>3.2525706720838098E-3</v>
      </c>
      <c r="E15334" s="2">
        <v>4.2591251756889098E-5</v>
      </c>
      <c r="F15334" s="2">
        <v>1.1978145329385301E-3</v>
      </c>
    </row>
    <row r="15335" spans="1:6" x14ac:dyDescent="0.25">
      <c r="A15335" s="1" t="str">
        <f t="shared" si="576"/>
        <v>26900</v>
      </c>
      <c r="B15335" s="1" t="str">
        <f>"46050"</f>
        <v>46050</v>
      </c>
      <c r="C15335" s="2">
        <v>1.41612898557615E-4</v>
      </c>
      <c r="D15335" s="2">
        <v>3.42375860219348E-5</v>
      </c>
      <c r="E15335" s="2">
        <v>0</v>
      </c>
      <c r="F15335" s="2">
        <v>1.27040935311663E-4</v>
      </c>
    </row>
    <row r="15336" spans="1:6" x14ac:dyDescent="0.25">
      <c r="A15336" s="1" t="str">
        <f t="shared" si="576"/>
        <v>26900</v>
      </c>
      <c r="B15336" s="1" t="str">
        <f>"47456"</f>
        <v>47456</v>
      </c>
      <c r="C15336" s="2">
        <v>2.5635035651305603E-4</v>
      </c>
      <c r="D15336" s="2">
        <v>4.5650114695913098E-5</v>
      </c>
      <c r="E15336" s="2">
        <v>4.2591251756889098E-5</v>
      </c>
      <c r="F15336" s="2">
        <v>2.30488554065446E-4</v>
      </c>
    </row>
    <row r="15337" spans="1:6" x14ac:dyDescent="0.25">
      <c r="A15337" s="1" t="str">
        <f t="shared" si="576"/>
        <v>26900</v>
      </c>
      <c r="B15337" s="1" t="str">
        <f>"46158"</f>
        <v>46158</v>
      </c>
      <c r="C15337" s="2">
        <v>1.1786948045638601E-2</v>
      </c>
      <c r="D15337" s="2">
        <v>9.9403124750350891E-3</v>
      </c>
      <c r="E15337" s="2">
        <v>3.25823075940201E-3</v>
      </c>
      <c r="F15337" s="2">
        <v>1.12766978794145E-2</v>
      </c>
    </row>
    <row r="15338" spans="1:6" x14ac:dyDescent="0.25">
      <c r="A15338" s="1" t="str">
        <f t="shared" si="576"/>
        <v>26900</v>
      </c>
      <c r="B15338" s="1" t="str">
        <f>"46168"</f>
        <v>46168</v>
      </c>
      <c r="C15338" s="2">
        <v>1.62958200420497E-2</v>
      </c>
      <c r="D15338" s="2">
        <v>2.1193065747577601E-2</v>
      </c>
      <c r="E15338" s="2">
        <v>1.63337450487669E-2</v>
      </c>
      <c r="F15338" s="2">
        <v>1.6686826853186901E-2</v>
      </c>
    </row>
    <row r="15339" spans="1:6" x14ac:dyDescent="0.25">
      <c r="A15339" s="1" t="str">
        <f t="shared" si="576"/>
        <v>26900</v>
      </c>
      <c r="B15339" s="1" t="str">
        <f>"46217"</f>
        <v>46217</v>
      </c>
      <c r="C15339" s="2">
        <v>1.44734584350637E-2</v>
      </c>
      <c r="D15339" s="2">
        <v>1.05337639660819E-2</v>
      </c>
      <c r="E15339" s="2">
        <v>1.1691298607266001E-2</v>
      </c>
      <c r="F15339" s="2">
        <v>1.40416530929476E-2</v>
      </c>
    </row>
    <row r="15340" spans="1:6" x14ac:dyDescent="0.25">
      <c r="A15340" s="1" t="str">
        <f t="shared" si="576"/>
        <v>26900</v>
      </c>
      <c r="B15340" s="1" t="str">
        <f>"46157"</f>
        <v>46157</v>
      </c>
      <c r="C15340" s="2">
        <v>1.7293312356707301E-3</v>
      </c>
      <c r="D15340" s="2">
        <v>8.3311459320041504E-4</v>
      </c>
      <c r="E15340" s="2">
        <v>1.06478129392222E-4</v>
      </c>
      <c r="F15340" s="2">
        <v>1.5889191266480101E-3</v>
      </c>
    </row>
    <row r="15341" spans="1:6" x14ac:dyDescent="0.25">
      <c r="A15341" s="1" t="str">
        <f t="shared" si="576"/>
        <v>26900</v>
      </c>
      <c r="B15341" s="1" t="str">
        <f>"46032"</f>
        <v>46032</v>
      </c>
      <c r="C15341" s="2">
        <v>2.3943950234953298E-2</v>
      </c>
      <c r="D15341" s="2">
        <v>4.2922520342832303E-2</v>
      </c>
      <c r="E15341" s="2">
        <v>3.2646194471655503E-2</v>
      </c>
      <c r="F15341" s="2">
        <v>2.5823792407852202E-2</v>
      </c>
    </row>
    <row r="15342" spans="1:6" x14ac:dyDescent="0.25">
      <c r="A15342" s="1" t="str">
        <f t="shared" si="576"/>
        <v>26900</v>
      </c>
      <c r="B15342" s="1" t="str">
        <f>"46001"</f>
        <v>46001</v>
      </c>
      <c r="C15342" s="2">
        <v>5.4670848209578803E-3</v>
      </c>
      <c r="D15342" s="2">
        <v>3.8346096344567E-3</v>
      </c>
      <c r="E15342" s="2">
        <v>3.1517526300097898E-3</v>
      </c>
      <c r="F15342" s="2">
        <v>5.2386237111016502E-3</v>
      </c>
    </row>
    <row r="15343" spans="1:6" x14ac:dyDescent="0.25">
      <c r="A15343" s="1" t="str">
        <f t="shared" si="576"/>
        <v>26900</v>
      </c>
      <c r="B15343" s="1" t="str">
        <f>"46012"</f>
        <v>46012</v>
      </c>
      <c r="C15343" s="2">
        <v>9.7702563296830896E-3</v>
      </c>
      <c r="D15343" s="2">
        <v>6.6877418029512702E-3</v>
      </c>
      <c r="E15343" s="2">
        <v>7.4534690574555897E-3</v>
      </c>
      <c r="F15343" s="2">
        <v>9.4264374001253991E-3</v>
      </c>
    </row>
    <row r="15344" spans="1:6" x14ac:dyDescent="0.25">
      <c r="A15344" s="1" t="str">
        <f t="shared" si="576"/>
        <v>26900</v>
      </c>
      <c r="B15344" s="1" t="str">
        <f>"46015"</f>
        <v>46015</v>
      </c>
      <c r="C15344" s="2">
        <v>8.6828346560873903E-4</v>
      </c>
      <c r="D15344" s="2">
        <v>2.9672574552343498E-3</v>
      </c>
      <c r="E15344" s="2">
        <v>4.2591251756889098E-5</v>
      </c>
      <c r="F15344" s="2">
        <v>9.9999364795323406E-4</v>
      </c>
    </row>
    <row r="15345" spans="1:6" x14ac:dyDescent="0.25">
      <c r="A15345" s="1" t="str">
        <f t="shared" si="576"/>
        <v>26900</v>
      </c>
      <c r="B15345" s="1" t="str">
        <f>"46040"</f>
        <v>46040</v>
      </c>
      <c r="C15345" s="2">
        <v>6.4614761232383603E-3</v>
      </c>
      <c r="D15345" s="2">
        <v>2.86454469716855E-3</v>
      </c>
      <c r="E15345" s="2">
        <v>2.2999275948720099E-3</v>
      </c>
      <c r="F15345" s="2">
        <v>5.9981470172149496E-3</v>
      </c>
    </row>
    <row r="15346" spans="1:6" x14ac:dyDescent="0.25">
      <c r="A15346" s="1" t="str">
        <f t="shared" si="576"/>
        <v>26900</v>
      </c>
      <c r="B15346" s="1" t="str">
        <f>"46055"</f>
        <v>46055</v>
      </c>
      <c r="C15346" s="2">
        <v>6.0976240043166003E-3</v>
      </c>
      <c r="D15346" s="2">
        <v>1.70046677242276E-3</v>
      </c>
      <c r="E15346" s="2">
        <v>1.46939818561267E-3</v>
      </c>
      <c r="F15346" s="2">
        <v>5.5507814378674501E-3</v>
      </c>
    </row>
    <row r="15347" spans="1:6" x14ac:dyDescent="0.25">
      <c r="A15347" s="1" t="str">
        <f t="shared" si="576"/>
        <v>26900</v>
      </c>
      <c r="B15347" s="1" t="str">
        <f>"46120"</f>
        <v>46120</v>
      </c>
      <c r="C15347" s="2">
        <v>2.8219212632283998E-3</v>
      </c>
      <c r="D15347" s="2">
        <v>1.74611688711867E-3</v>
      </c>
      <c r="E15347" s="2">
        <v>2.42770135014268E-3</v>
      </c>
      <c r="F15347" s="2">
        <v>2.7195834509218101E-3</v>
      </c>
    </row>
    <row r="15348" spans="1:6" x14ac:dyDescent="0.25">
      <c r="A15348" s="1" t="str">
        <f t="shared" si="576"/>
        <v>26900</v>
      </c>
      <c r="B15348" s="1" t="str">
        <f>"46135"</f>
        <v>46135</v>
      </c>
      <c r="C15348" s="2">
        <v>8.0646995222373504E-3</v>
      </c>
      <c r="D15348" s="2">
        <v>8.7305844355933908E-3</v>
      </c>
      <c r="E15348" s="2">
        <v>8.3691809702287102E-3</v>
      </c>
      <c r="F15348" s="2">
        <v>8.1306198599464408E-3</v>
      </c>
    </row>
    <row r="15349" spans="1:6" x14ac:dyDescent="0.25">
      <c r="A15349" s="1" t="str">
        <f t="shared" si="576"/>
        <v>26900</v>
      </c>
      <c r="B15349" s="1" t="str">
        <f>"47448"</f>
        <v>47448</v>
      </c>
      <c r="C15349" s="2">
        <v>4.7073367885502298E-3</v>
      </c>
      <c r="D15349" s="2">
        <v>3.0243200986042398E-3</v>
      </c>
      <c r="E15349" s="2">
        <v>1.8527194514246701E-3</v>
      </c>
      <c r="F15349" s="2">
        <v>4.4518773474215602E-3</v>
      </c>
    </row>
    <row r="15350" spans="1:6" x14ac:dyDescent="0.25">
      <c r="A15350" s="1" t="str">
        <f t="shared" si="576"/>
        <v>26900</v>
      </c>
      <c r="B15350" s="1" t="str">
        <f>"47272"</f>
        <v>47272</v>
      </c>
      <c r="C15350" s="2">
        <v>2.8942782186957899E-4</v>
      </c>
      <c r="D15350" s="2">
        <v>6.8475172043869694E-5</v>
      </c>
      <c r="E15350" s="2">
        <v>0</v>
      </c>
      <c r="F15350" s="2">
        <v>2.59526482136683E-4</v>
      </c>
    </row>
    <row r="15351" spans="1:6" x14ac:dyDescent="0.25">
      <c r="A15351" s="1" t="str">
        <f t="shared" si="576"/>
        <v>26900</v>
      </c>
      <c r="B15351" s="1" t="str">
        <f>"46239"</f>
        <v>46239</v>
      </c>
      <c r="C15351" s="2">
        <v>1.3366397016412601E-2</v>
      </c>
      <c r="D15351" s="2">
        <v>8.4909213334398506E-3</v>
      </c>
      <c r="E15351" s="2">
        <v>5.0044720814344697E-3</v>
      </c>
      <c r="F15351" s="2">
        <v>1.2622424358465899E-2</v>
      </c>
    </row>
    <row r="15352" spans="1:6" x14ac:dyDescent="0.25">
      <c r="A15352" s="1" t="str">
        <f t="shared" si="576"/>
        <v>26900</v>
      </c>
      <c r="B15352" s="1" t="str">
        <f>"46253"</f>
        <v>46253</v>
      </c>
      <c r="C15352" s="2">
        <v>1.88541552532183E-3</v>
      </c>
      <c r="D15352" s="2">
        <v>3.6862467616949799E-3</v>
      </c>
      <c r="E15352" s="2">
        <v>4.2591251756889098E-5</v>
      </c>
      <c r="F15352" s="2">
        <v>1.95007835703402E-3</v>
      </c>
    </row>
    <row r="15353" spans="1:6" x14ac:dyDescent="0.25">
      <c r="A15353" s="1" t="str">
        <f t="shared" si="576"/>
        <v>26900</v>
      </c>
      <c r="B15353" s="1" t="str">
        <f>"46249"</f>
        <v>46249</v>
      </c>
      <c r="C15353" s="2">
        <v>0</v>
      </c>
      <c r="D15353" s="2">
        <v>1.14125286739782E-5</v>
      </c>
      <c r="E15353" s="2">
        <v>0</v>
      </c>
      <c r="F15353" s="2">
        <v>9.0743525222616496E-7</v>
      </c>
    </row>
    <row r="15354" spans="1:6" x14ac:dyDescent="0.25">
      <c r="A15354" s="1" t="str">
        <f t="shared" si="576"/>
        <v>26900</v>
      </c>
      <c r="B15354" s="1" t="str">
        <f>"47274"</f>
        <v>47274</v>
      </c>
      <c r="C15354" s="2">
        <v>6.3053918335872699E-5</v>
      </c>
      <c r="D15354" s="2">
        <v>0</v>
      </c>
      <c r="E15354" s="2">
        <v>0</v>
      </c>
      <c r="F15354" s="2">
        <v>5.5353550385795997E-5</v>
      </c>
    </row>
    <row r="15355" spans="1:6" x14ac:dyDescent="0.25">
      <c r="A15355" s="1" t="str">
        <f t="shared" ref="A15355:A15386" si="577">"26900"</f>
        <v>26900</v>
      </c>
      <c r="B15355" s="1" t="str">
        <f>"47468"</f>
        <v>47468</v>
      </c>
      <c r="C15355" s="2">
        <v>2.87360480284796E-4</v>
      </c>
      <c r="D15355" s="2">
        <v>5.7062643369891403E-5</v>
      </c>
      <c r="E15355" s="2">
        <v>2.1295625878444502E-5</v>
      </c>
      <c r="F15355" s="2">
        <v>2.5771161163223101E-4</v>
      </c>
    </row>
    <row r="15356" spans="1:6" x14ac:dyDescent="0.25">
      <c r="A15356" s="1" t="str">
        <f t="shared" si="577"/>
        <v>26900</v>
      </c>
      <c r="B15356" s="1" t="str">
        <f>"47954"</f>
        <v>47954</v>
      </c>
      <c r="C15356" s="2">
        <v>9.3030371315222007E-6</v>
      </c>
      <c r="D15356" s="2">
        <v>0</v>
      </c>
      <c r="E15356" s="2">
        <v>0</v>
      </c>
      <c r="F15356" s="2">
        <v>8.1669172700354804E-6</v>
      </c>
    </row>
    <row r="15357" spans="1:6" x14ac:dyDescent="0.25">
      <c r="A15357" s="1" t="str">
        <f t="shared" si="577"/>
        <v>26900</v>
      </c>
      <c r="B15357" s="1" t="str">
        <f>"46182"</f>
        <v>46182</v>
      </c>
      <c r="C15357" s="2">
        <v>7.8352246063264697E-4</v>
      </c>
      <c r="D15357" s="2">
        <v>1.8260045878365201E-4</v>
      </c>
      <c r="E15357" s="2">
        <v>6.3886877635333701E-5</v>
      </c>
      <c r="F15357" s="2">
        <v>7.0507719097972999E-4</v>
      </c>
    </row>
    <row r="15358" spans="1:6" x14ac:dyDescent="0.25">
      <c r="A15358" s="1" t="str">
        <f t="shared" si="577"/>
        <v>26900</v>
      </c>
      <c r="B15358" s="1" t="str">
        <f>"46167"</f>
        <v>46167</v>
      </c>
      <c r="C15358" s="2">
        <v>2.9314903672218802E-3</v>
      </c>
      <c r="D15358" s="2">
        <v>6.7333919176471903E-4</v>
      </c>
      <c r="E15358" s="2">
        <v>4.0461689169044599E-4</v>
      </c>
      <c r="F15358" s="2">
        <v>2.64426632498704E-3</v>
      </c>
    </row>
    <row r="15359" spans="1:6" x14ac:dyDescent="0.25">
      <c r="A15359" s="1" t="str">
        <f t="shared" si="577"/>
        <v>26900</v>
      </c>
      <c r="B15359" s="1" t="str">
        <f>"46220"</f>
        <v>46220</v>
      </c>
      <c r="C15359" s="2">
        <v>1.9281061290475899E-2</v>
      </c>
      <c r="D15359" s="2">
        <v>3.4922337742373501E-2</v>
      </c>
      <c r="E15359" s="2">
        <v>2.8174113037182098E-2</v>
      </c>
      <c r="F15359" s="2">
        <v>2.0903678470281899E-2</v>
      </c>
    </row>
    <row r="15360" spans="1:6" x14ac:dyDescent="0.25">
      <c r="A15360" s="1" t="str">
        <f t="shared" si="577"/>
        <v>26900</v>
      </c>
      <c r="B15360" s="1" t="str">
        <f>"46018"</f>
        <v>46018</v>
      </c>
      <c r="C15360" s="2">
        <v>8.0316220568808305E-4</v>
      </c>
      <c r="D15360" s="2">
        <v>1.91730481722835E-3</v>
      </c>
      <c r="E15360" s="2">
        <v>4.2591251756889098E-5</v>
      </c>
      <c r="F15360" s="2">
        <v>8.5934118385817804E-4</v>
      </c>
    </row>
    <row r="15361" spans="1:6" x14ac:dyDescent="0.25">
      <c r="A15361" s="1" t="str">
        <f t="shared" si="577"/>
        <v>26900</v>
      </c>
      <c r="B15361" s="1" t="str">
        <f>"46074"</f>
        <v>46074</v>
      </c>
      <c r="C15361" s="2">
        <v>1.8572996797687799E-2</v>
      </c>
      <c r="D15361" s="2">
        <v>1.3101582917727001E-2</v>
      </c>
      <c r="E15361" s="2">
        <v>7.9006772009029298E-3</v>
      </c>
      <c r="F15361" s="2">
        <v>1.7683190760131199E-2</v>
      </c>
    </row>
    <row r="15362" spans="1:6" x14ac:dyDescent="0.25">
      <c r="A15362" s="1" t="str">
        <f t="shared" si="577"/>
        <v>26900</v>
      </c>
      <c r="B15362" s="1" t="str">
        <f>"46063"</f>
        <v>46063</v>
      </c>
      <c r="C15362" s="2">
        <v>0</v>
      </c>
      <c r="D15362" s="2">
        <v>0</v>
      </c>
      <c r="E15362" s="2">
        <v>2.1295625878444502E-5</v>
      </c>
      <c r="F15362" s="2">
        <v>9.0743525222616496E-7</v>
      </c>
    </row>
    <row r="15363" spans="1:6" x14ac:dyDescent="0.25">
      <c r="A15363" s="1" t="str">
        <f t="shared" si="577"/>
        <v>26900</v>
      </c>
      <c r="B15363" s="1" t="str">
        <f>"46041"</f>
        <v>46041</v>
      </c>
      <c r="C15363" s="2">
        <v>2.0673415847827099E-6</v>
      </c>
      <c r="D15363" s="2">
        <v>0</v>
      </c>
      <c r="E15363" s="2">
        <v>0</v>
      </c>
      <c r="F15363" s="2">
        <v>1.8148705044523299E-6</v>
      </c>
    </row>
    <row r="15364" spans="1:6" x14ac:dyDescent="0.25">
      <c r="A15364" s="1" t="str">
        <f t="shared" si="577"/>
        <v>26900</v>
      </c>
      <c r="B15364" s="1" t="str">
        <f>"46049"</f>
        <v>46049</v>
      </c>
      <c r="C15364" s="2">
        <v>3.1010123771740601E-6</v>
      </c>
      <c r="D15364" s="2">
        <v>0</v>
      </c>
      <c r="E15364" s="2">
        <v>0</v>
      </c>
      <c r="F15364" s="2">
        <v>2.7223057566784898E-6</v>
      </c>
    </row>
    <row r="15365" spans="1:6" x14ac:dyDescent="0.25">
      <c r="A15365" s="1" t="str">
        <f t="shared" si="577"/>
        <v>26900</v>
      </c>
      <c r="B15365" s="1" t="str">
        <f>"47933"</f>
        <v>47933</v>
      </c>
      <c r="C15365" s="2">
        <v>1.13703787163049E-5</v>
      </c>
      <c r="D15365" s="2">
        <v>0</v>
      </c>
      <c r="E15365" s="2">
        <v>0</v>
      </c>
      <c r="F15365" s="2">
        <v>9.9817877744878205E-6</v>
      </c>
    </row>
    <row r="15366" spans="1:6" x14ac:dyDescent="0.25">
      <c r="A15366" s="1" t="str">
        <f t="shared" si="577"/>
        <v>26900</v>
      </c>
      <c r="B15366" s="1" t="str">
        <f>"46282"</f>
        <v>46282</v>
      </c>
      <c r="C15366" s="2">
        <v>0</v>
      </c>
      <c r="D15366" s="2">
        <v>9.1300229391826299E-4</v>
      </c>
      <c r="E15366" s="2">
        <v>1.06478129392222E-4</v>
      </c>
      <c r="F15366" s="2">
        <v>7.7131996439223997E-5</v>
      </c>
    </row>
    <row r="15367" spans="1:6" x14ac:dyDescent="0.25">
      <c r="A15367" s="1" t="str">
        <f t="shared" si="577"/>
        <v>26900</v>
      </c>
      <c r="B15367" s="1" t="str">
        <f>"46285"</f>
        <v>46285</v>
      </c>
      <c r="C15367" s="2">
        <v>0</v>
      </c>
      <c r="D15367" s="2">
        <v>1.14125286739782E-5</v>
      </c>
      <c r="E15367" s="2">
        <v>0</v>
      </c>
      <c r="F15367" s="2">
        <v>9.0743525222616496E-7</v>
      </c>
    </row>
    <row r="15368" spans="1:6" x14ac:dyDescent="0.25">
      <c r="A15368" s="1" t="str">
        <f t="shared" si="577"/>
        <v>26900</v>
      </c>
      <c r="B15368" s="1" t="str">
        <f>"47235"</f>
        <v>47235</v>
      </c>
      <c r="C15368" s="2">
        <v>2.2637390353370601E-4</v>
      </c>
      <c r="D15368" s="2">
        <v>1.14125286739782E-5</v>
      </c>
      <c r="E15368" s="2">
        <v>1.27773755270667E-4</v>
      </c>
      <c r="F15368" s="2">
        <v>2.0508036700311299E-4</v>
      </c>
    </row>
    <row r="15369" spans="1:6" x14ac:dyDescent="0.25">
      <c r="A15369" s="1" t="str">
        <f t="shared" si="577"/>
        <v>26900</v>
      </c>
      <c r="B15369" s="1" t="str">
        <f>"46219"</f>
        <v>46219</v>
      </c>
      <c r="C15369" s="2">
        <v>1.8643286411570401E-2</v>
      </c>
      <c r="D15369" s="2">
        <v>2.12044782762516E-2</v>
      </c>
      <c r="E15369" s="2">
        <v>1.4587503726734501E-2</v>
      </c>
      <c r="F15369" s="2">
        <v>1.8674110055562201E-2</v>
      </c>
    </row>
    <row r="15370" spans="1:6" x14ac:dyDescent="0.25">
      <c r="A15370" s="1" t="str">
        <f t="shared" si="577"/>
        <v>26900</v>
      </c>
      <c r="B15370" s="1" t="str">
        <f>"46165"</f>
        <v>46165</v>
      </c>
      <c r="C15370" s="2">
        <v>6.9152576010981701E-4</v>
      </c>
      <c r="D15370" s="2">
        <v>1.2553781541376101E-4</v>
      </c>
      <c r="E15370" s="2">
        <v>1.06478129392222E-4</v>
      </c>
      <c r="F15370" s="2">
        <v>6.2159314777492298E-4</v>
      </c>
    </row>
    <row r="15371" spans="1:6" x14ac:dyDescent="0.25">
      <c r="A15371" s="1" t="str">
        <f t="shared" si="577"/>
        <v>26900</v>
      </c>
      <c r="B15371" s="1" t="str">
        <f>"46149"</f>
        <v>46149</v>
      </c>
      <c r="C15371" s="2">
        <v>8.3210498787504095E-4</v>
      </c>
      <c r="D15371" s="2">
        <v>2.7390068817547899E-4</v>
      </c>
      <c r="E15371" s="2">
        <v>4.2591251756889098E-5</v>
      </c>
      <c r="F15371" s="2">
        <v>7.5407869459994303E-4</v>
      </c>
    </row>
    <row r="15372" spans="1:6" x14ac:dyDescent="0.25">
      <c r="A15372" s="1" t="str">
        <f t="shared" si="577"/>
        <v>26900</v>
      </c>
      <c r="B15372" s="1" t="str">
        <f>"46011"</f>
        <v>46011</v>
      </c>
      <c r="C15372" s="2">
        <v>8.12878711136562E-3</v>
      </c>
      <c r="D15372" s="2">
        <v>3.5036463029113302E-3</v>
      </c>
      <c r="E15372" s="2">
        <v>1.8314238255462299E-3</v>
      </c>
      <c r="F15372" s="2">
        <v>7.4926928776314402E-3</v>
      </c>
    </row>
    <row r="15373" spans="1:6" x14ac:dyDescent="0.25">
      <c r="A15373" s="1" t="str">
        <f t="shared" si="577"/>
        <v>26900</v>
      </c>
      <c r="B15373" s="1" t="str">
        <f>"46031"</f>
        <v>46031</v>
      </c>
      <c r="C15373" s="2">
        <v>8.4347536659134604E-4</v>
      </c>
      <c r="D15373" s="2">
        <v>3.76613446241283E-4</v>
      </c>
      <c r="E15373" s="2">
        <v>1.7036500702755601E-4</v>
      </c>
      <c r="F15373" s="2">
        <v>7.7767201115782301E-4</v>
      </c>
    </row>
    <row r="15374" spans="1:6" x14ac:dyDescent="0.25">
      <c r="A15374" s="1" t="str">
        <f t="shared" si="577"/>
        <v>26900</v>
      </c>
      <c r="B15374" s="1" t="str">
        <f>"46038"</f>
        <v>46038</v>
      </c>
      <c r="C15374" s="2">
        <v>1.9277960278098701E-2</v>
      </c>
      <c r="D15374" s="2">
        <v>2.2037592869452002E-2</v>
      </c>
      <c r="E15374" s="2">
        <v>7.0914434175220397E-3</v>
      </c>
      <c r="F15374" s="2">
        <v>1.8978100865057999E-2</v>
      </c>
    </row>
    <row r="15375" spans="1:6" x14ac:dyDescent="0.25">
      <c r="A15375" s="1" t="str">
        <f t="shared" si="577"/>
        <v>26900</v>
      </c>
      <c r="B15375" s="1" t="str">
        <f>"46062"</f>
        <v>46062</v>
      </c>
      <c r="C15375" s="2">
        <v>1.7024557950685599E-2</v>
      </c>
      <c r="D15375" s="2">
        <v>5.5122513495315098E-3</v>
      </c>
      <c r="E15375" s="2">
        <v>4.4933770603517997E-3</v>
      </c>
      <c r="F15375" s="2">
        <v>1.5575218669209899E-2</v>
      </c>
    </row>
    <row r="15376" spans="1:6" x14ac:dyDescent="0.25">
      <c r="A15376" s="1" t="str">
        <f t="shared" si="577"/>
        <v>26900</v>
      </c>
      <c r="B15376" s="1" t="str">
        <f>"46036"</f>
        <v>46036</v>
      </c>
      <c r="C15376" s="2">
        <v>5.7864890958068101E-3</v>
      </c>
      <c r="D15376" s="2">
        <v>5.0557502025723802E-3</v>
      </c>
      <c r="E15376" s="2">
        <v>4.4933770603517997E-3</v>
      </c>
      <c r="F15376" s="2">
        <v>5.6732851969179803E-3</v>
      </c>
    </row>
    <row r="15377" spans="1:6" x14ac:dyDescent="0.25">
      <c r="A15377" s="1" t="str">
        <f t="shared" si="577"/>
        <v>26900</v>
      </c>
      <c r="B15377" s="1" t="str">
        <f>"46142"</f>
        <v>46142</v>
      </c>
      <c r="C15377" s="2">
        <v>1.49716877569964E-2</v>
      </c>
      <c r="D15377" s="2">
        <v>2.2562569188454999E-2</v>
      </c>
      <c r="E15377" s="2">
        <v>1.6546701307551401E-2</v>
      </c>
      <c r="F15377" s="2">
        <v>1.56423688778746E-2</v>
      </c>
    </row>
    <row r="15378" spans="1:6" x14ac:dyDescent="0.25">
      <c r="A15378" s="1" t="str">
        <f t="shared" si="577"/>
        <v>26900</v>
      </c>
      <c r="B15378" s="1" t="str">
        <f>"46122"</f>
        <v>46122</v>
      </c>
      <c r="C15378" s="2">
        <v>7.5499314676264603E-3</v>
      </c>
      <c r="D15378" s="2">
        <v>8.0001826004587797E-3</v>
      </c>
      <c r="E15378" s="2">
        <v>5.4942714766386897E-3</v>
      </c>
      <c r="F15378" s="2">
        <v>7.4981374891448004E-3</v>
      </c>
    </row>
    <row r="15379" spans="1:6" x14ac:dyDescent="0.25">
      <c r="A15379" s="1" t="str">
        <f t="shared" si="577"/>
        <v>26900</v>
      </c>
      <c r="B15379" s="1" t="str">
        <f>"46124"</f>
        <v>46124</v>
      </c>
      <c r="C15379" s="2">
        <v>2.6844430478403501E-3</v>
      </c>
      <c r="D15379" s="2">
        <v>2.37380596418748E-3</v>
      </c>
      <c r="E15379" s="2">
        <v>2.27863196899356E-3</v>
      </c>
      <c r="F15379" s="2">
        <v>2.6424514544825901E-3</v>
      </c>
    </row>
    <row r="15380" spans="1:6" x14ac:dyDescent="0.25">
      <c r="A15380" s="1" t="str">
        <f t="shared" si="577"/>
        <v>26900</v>
      </c>
      <c r="B15380" s="1" t="str">
        <f>"46113"</f>
        <v>46113</v>
      </c>
      <c r="C15380" s="2">
        <v>6.7860487520492504E-3</v>
      </c>
      <c r="D15380" s="2">
        <v>3.0699702133001601E-3</v>
      </c>
      <c r="E15380" s="2">
        <v>2.76843136419779E-3</v>
      </c>
      <c r="F15380" s="2">
        <v>6.3193790965030104E-3</v>
      </c>
    </row>
    <row r="15381" spans="1:6" x14ac:dyDescent="0.25">
      <c r="A15381" s="1" t="str">
        <f t="shared" si="577"/>
        <v>26900</v>
      </c>
      <c r="B15381" s="1" t="str">
        <f>"47234"</f>
        <v>47234</v>
      </c>
      <c r="C15381" s="2">
        <v>6.2537082939677E-4</v>
      </c>
      <c r="D15381" s="2">
        <v>1.1412528673978201E-4</v>
      </c>
      <c r="E15381" s="2">
        <v>2.1295625878444502E-5</v>
      </c>
      <c r="F15381" s="2">
        <v>5.5898011537131704E-4</v>
      </c>
    </row>
    <row r="15382" spans="1:6" x14ac:dyDescent="0.25">
      <c r="A15382" s="1" t="str">
        <f t="shared" si="577"/>
        <v>26900</v>
      </c>
      <c r="B15382" s="1" t="str">
        <f>"47872"</f>
        <v>47872</v>
      </c>
      <c r="C15382" s="2">
        <v>2.0673415847827099E-6</v>
      </c>
      <c r="D15382" s="2">
        <v>0</v>
      </c>
      <c r="E15382" s="2">
        <v>0</v>
      </c>
      <c r="F15382" s="2">
        <v>1.8148705044523299E-6</v>
      </c>
    </row>
    <row r="15383" spans="1:6" x14ac:dyDescent="0.25">
      <c r="A15383" s="1" t="str">
        <f t="shared" si="577"/>
        <v>26900</v>
      </c>
      <c r="B15383" s="1" t="str">
        <f>"47968"</f>
        <v>47968</v>
      </c>
      <c r="C15383" s="2">
        <v>3.9279490110871498E-5</v>
      </c>
      <c r="D15383" s="2">
        <v>0</v>
      </c>
      <c r="E15383" s="2">
        <v>0</v>
      </c>
      <c r="F15383" s="2">
        <v>3.4482539584594202E-5</v>
      </c>
    </row>
    <row r="15384" spans="1:6" x14ac:dyDescent="0.25">
      <c r="A15384" s="1" t="str">
        <f t="shared" si="577"/>
        <v>26900</v>
      </c>
      <c r="B15384" s="1" t="str">
        <f>"46206"</f>
        <v>46206</v>
      </c>
      <c r="C15384" s="2">
        <v>1.0760512948793999E-3</v>
      </c>
      <c r="D15384" s="2">
        <v>9.9973751184049796E-3</v>
      </c>
      <c r="E15384" s="2">
        <v>1.27773755270667E-4</v>
      </c>
      <c r="F15384" s="2">
        <v>1.74499799003091E-3</v>
      </c>
    </row>
    <row r="15385" spans="1:6" x14ac:dyDescent="0.25">
      <c r="A15385" s="1" t="str">
        <f t="shared" si="577"/>
        <v>26900</v>
      </c>
      <c r="B15385" s="1" t="str">
        <f>"47840"</f>
        <v>47840</v>
      </c>
      <c r="C15385" s="2">
        <v>2.8942782186957899E-5</v>
      </c>
      <c r="D15385" s="2">
        <v>0</v>
      </c>
      <c r="E15385" s="2">
        <v>0</v>
      </c>
      <c r="F15385" s="2">
        <v>2.5408187062332598E-5</v>
      </c>
    </row>
    <row r="15386" spans="1:6" x14ac:dyDescent="0.25">
      <c r="A15386" s="1" t="str">
        <f t="shared" si="577"/>
        <v>26900</v>
      </c>
      <c r="B15386" s="1" t="str">
        <f>"46231"</f>
        <v>46231</v>
      </c>
      <c r="C15386" s="2">
        <v>3.8607604095817101E-3</v>
      </c>
      <c r="D15386" s="2">
        <v>2.4536936649053299E-3</v>
      </c>
      <c r="E15386" s="2">
        <v>6.1757315047489205E-4</v>
      </c>
      <c r="F15386" s="2">
        <v>3.6106848686079098E-3</v>
      </c>
    </row>
    <row r="15387" spans="1:6" x14ac:dyDescent="0.25">
      <c r="A15387" s="1" t="str">
        <f t="shared" ref="A15387:A15418" si="578">"26900"</f>
        <v>26900</v>
      </c>
      <c r="B15387" s="1" t="str">
        <f>"46166"</f>
        <v>46166</v>
      </c>
      <c r="C15387" s="2">
        <v>7.6905106953916802E-4</v>
      </c>
      <c r="D15387" s="2">
        <v>2.2825057347956499E-4</v>
      </c>
      <c r="E15387" s="2">
        <v>1.06478129392222E-4</v>
      </c>
      <c r="F15387" s="2">
        <v>6.9781770896192095E-4</v>
      </c>
    </row>
    <row r="15388" spans="1:6" x14ac:dyDescent="0.25">
      <c r="A15388" s="1" t="str">
        <f t="shared" si="578"/>
        <v>26900</v>
      </c>
      <c r="B15388" s="1" t="str">
        <f>"46176"</f>
        <v>46176</v>
      </c>
      <c r="C15388" s="2">
        <v>1.46967313262203E-2</v>
      </c>
      <c r="D15388" s="2">
        <v>1.6582404163290401E-2</v>
      </c>
      <c r="E15388" s="2">
        <v>1.3054218663486499E-2</v>
      </c>
      <c r="F15388" s="2">
        <v>1.4776675647250799E-2</v>
      </c>
    </row>
    <row r="15389" spans="1:6" x14ac:dyDescent="0.25">
      <c r="A15389" s="1" t="str">
        <f t="shared" si="578"/>
        <v>26900</v>
      </c>
      <c r="B15389" s="1" t="str">
        <f>"46143"</f>
        <v>46143</v>
      </c>
      <c r="C15389" s="2">
        <v>2.59068910697045E-2</v>
      </c>
      <c r="D15389" s="2">
        <v>1.47449870467799E-2</v>
      </c>
      <c r="E15389" s="2">
        <v>2.7726904893734802E-2</v>
      </c>
      <c r="F15389" s="2">
        <v>2.5096936770818999E-2</v>
      </c>
    </row>
    <row r="15390" spans="1:6" x14ac:dyDescent="0.25">
      <c r="A15390" s="1" t="str">
        <f t="shared" si="578"/>
        <v>26900</v>
      </c>
      <c r="B15390" s="1" t="str">
        <f>"46172"</f>
        <v>46172</v>
      </c>
      <c r="C15390" s="2">
        <v>1.1360042008381E-3</v>
      </c>
      <c r="D15390" s="2">
        <v>1.9401298745763001E-4</v>
      </c>
      <c r="E15390" s="2">
        <v>1.06478129392222E-4</v>
      </c>
      <c r="F15390" s="2">
        <v>1.0172349177455301E-3</v>
      </c>
    </row>
    <row r="15391" spans="1:6" x14ac:dyDescent="0.25">
      <c r="A15391" s="1" t="str">
        <f t="shared" si="578"/>
        <v>26900</v>
      </c>
      <c r="B15391" s="1" t="str">
        <f>"46225"</f>
        <v>46225</v>
      </c>
      <c r="C15391" s="2">
        <v>3.9248479987099702E-3</v>
      </c>
      <c r="D15391" s="2">
        <v>9.2441482259224099E-3</v>
      </c>
      <c r="E15391" s="2">
        <v>5.8988883683291403E-3</v>
      </c>
      <c r="F15391" s="2">
        <v>4.4319137718725901E-3</v>
      </c>
    </row>
    <row r="15392" spans="1:6" x14ac:dyDescent="0.25">
      <c r="A15392" s="1" t="str">
        <f t="shared" si="578"/>
        <v>26900</v>
      </c>
      <c r="B15392" s="1" t="str">
        <f>"46216"</f>
        <v>46216</v>
      </c>
      <c r="C15392" s="2">
        <v>1.54327049304029E-3</v>
      </c>
      <c r="D15392" s="2">
        <v>6.1171153692523598E-3</v>
      </c>
      <c r="E15392" s="2">
        <v>3.2795263852804599E-3</v>
      </c>
      <c r="F15392" s="2">
        <v>1.98093115560971E-3</v>
      </c>
    </row>
    <row r="15393" spans="1:6" x14ac:dyDescent="0.25">
      <c r="A15393" s="1" t="str">
        <f t="shared" si="578"/>
        <v>26900</v>
      </c>
      <c r="B15393" s="1" t="str">
        <f>"46077"</f>
        <v>46077</v>
      </c>
      <c r="C15393" s="2">
        <v>1.4206771370626699E-2</v>
      </c>
      <c r="D15393" s="2">
        <v>1.5566689111306301E-2</v>
      </c>
      <c r="E15393" s="2">
        <v>5.6859321095446896E-3</v>
      </c>
      <c r="F15393" s="2">
        <v>1.39518170029772E-2</v>
      </c>
    </row>
    <row r="15394" spans="1:6" x14ac:dyDescent="0.25">
      <c r="A15394" s="1" t="str">
        <f t="shared" si="578"/>
        <v>26900</v>
      </c>
      <c r="B15394" s="1" t="str">
        <f>"46064"</f>
        <v>46064</v>
      </c>
      <c r="C15394" s="2">
        <v>6.3095265167568302E-3</v>
      </c>
      <c r="D15394" s="2">
        <v>4.2796982527418597E-3</v>
      </c>
      <c r="E15394" s="2">
        <v>1.70365007027556E-3</v>
      </c>
      <c r="F15394" s="2">
        <v>5.9518678193514101E-3</v>
      </c>
    </row>
    <row r="15395" spans="1:6" x14ac:dyDescent="0.25">
      <c r="A15395" s="1" t="str">
        <f t="shared" si="578"/>
        <v>26900</v>
      </c>
      <c r="B15395" s="1" t="str">
        <f>"46121"</f>
        <v>46121</v>
      </c>
      <c r="C15395" s="2">
        <v>2.4198233249881598E-3</v>
      </c>
      <c r="D15395" s="2">
        <v>3.53788388893327E-4</v>
      </c>
      <c r="E15395" s="2">
        <v>2.5554751054133399E-4</v>
      </c>
      <c r="F15395" s="2">
        <v>2.1633256413071699E-3</v>
      </c>
    </row>
    <row r="15396" spans="1:6" x14ac:dyDescent="0.25">
      <c r="A15396" s="1" t="str">
        <f t="shared" si="578"/>
        <v>26900</v>
      </c>
      <c r="B15396" s="1" t="str">
        <f>"46103"</f>
        <v>46103</v>
      </c>
      <c r="C15396" s="2">
        <v>1.32309861426093E-4</v>
      </c>
      <c r="D15396" s="2">
        <v>0</v>
      </c>
      <c r="E15396" s="2">
        <v>2.1295625878444502E-5</v>
      </c>
      <c r="F15396" s="2">
        <v>1.17059147537175E-4</v>
      </c>
    </row>
    <row r="15397" spans="1:6" x14ac:dyDescent="0.25">
      <c r="A15397" s="1" t="str">
        <f t="shared" si="578"/>
        <v>26900</v>
      </c>
      <c r="B15397" s="1" t="str">
        <f>"46126"</f>
        <v>46126</v>
      </c>
      <c r="C15397" s="2">
        <v>2.1086884164783601E-3</v>
      </c>
      <c r="D15397" s="2">
        <v>8.5593965054837201E-4</v>
      </c>
      <c r="E15397" s="2">
        <v>2.9813876229822301E-4</v>
      </c>
      <c r="F15397" s="2">
        <v>1.9319296519894999E-3</v>
      </c>
    </row>
    <row r="15398" spans="1:6" x14ac:dyDescent="0.25">
      <c r="A15398" s="1" t="str">
        <f t="shared" si="578"/>
        <v>26900</v>
      </c>
      <c r="B15398" s="1" t="str">
        <f>"46035"</f>
        <v>46035</v>
      </c>
      <c r="C15398" s="2">
        <v>4.75488564500023E-5</v>
      </c>
      <c r="D15398" s="2">
        <v>1.14125286739782E-5</v>
      </c>
      <c r="E15398" s="2">
        <v>0</v>
      </c>
      <c r="F15398" s="2">
        <v>4.26494568546297E-5</v>
      </c>
    </row>
    <row r="15399" spans="1:6" x14ac:dyDescent="0.25">
      <c r="A15399" s="1" t="str">
        <f t="shared" si="578"/>
        <v>26900</v>
      </c>
      <c r="B15399" s="1" t="str">
        <f>"46228"</f>
        <v>46228</v>
      </c>
      <c r="C15399" s="2">
        <v>6.8584057075166396E-3</v>
      </c>
      <c r="D15399" s="2">
        <v>1.23255309678965E-3</v>
      </c>
      <c r="E15399" s="2">
        <v>4.0461689169044596E-3</v>
      </c>
      <c r="F15399" s="2">
        <v>6.2912486036839996E-3</v>
      </c>
    </row>
    <row r="15400" spans="1:6" x14ac:dyDescent="0.25">
      <c r="A15400" s="1" t="str">
        <f t="shared" si="578"/>
        <v>26900</v>
      </c>
      <c r="B15400" s="1" t="str">
        <f>"46236"</f>
        <v>46236</v>
      </c>
      <c r="C15400" s="2">
        <v>1.1769375642167901E-2</v>
      </c>
      <c r="D15400" s="2">
        <v>9.2327356972484297E-3</v>
      </c>
      <c r="E15400" s="2">
        <v>3.3860045146726801E-3</v>
      </c>
      <c r="F15400" s="2">
        <v>1.1210455106002E-2</v>
      </c>
    </row>
    <row r="15401" spans="1:6" x14ac:dyDescent="0.25">
      <c r="A15401" s="1" t="str">
        <f t="shared" si="578"/>
        <v>26900</v>
      </c>
      <c r="B15401" s="1" t="str">
        <f>"46250"</f>
        <v>46250</v>
      </c>
      <c r="C15401" s="2">
        <v>1.2197315350218001E-2</v>
      </c>
      <c r="D15401" s="2">
        <v>2.9079123061296602E-2</v>
      </c>
      <c r="E15401" s="2">
        <v>3.0708292516717001E-2</v>
      </c>
      <c r="F15401" s="2">
        <v>1.43284026326511E-2</v>
      </c>
    </row>
    <row r="15402" spans="1:6" x14ac:dyDescent="0.25">
      <c r="A15402" s="1" t="str">
        <f t="shared" si="578"/>
        <v>26900</v>
      </c>
      <c r="B15402" s="1" t="str">
        <f>"46259"</f>
        <v>46259</v>
      </c>
      <c r="C15402" s="2">
        <v>5.16938763274917E-3</v>
      </c>
      <c r="D15402" s="2">
        <v>9.7006493728815397E-4</v>
      </c>
      <c r="E15402" s="2">
        <v>1.04348566804378E-3</v>
      </c>
      <c r="F15402" s="2">
        <v>4.6596800201813603E-3</v>
      </c>
    </row>
    <row r="15403" spans="1:6" x14ac:dyDescent="0.25">
      <c r="A15403" s="1" t="str">
        <f t="shared" si="578"/>
        <v>26900</v>
      </c>
      <c r="B15403" s="1" t="str">
        <f>"46237"</f>
        <v>46237</v>
      </c>
      <c r="C15403" s="2">
        <v>1.9095000547845499E-2</v>
      </c>
      <c r="D15403" s="2">
        <v>9.22132316857446E-3</v>
      </c>
      <c r="E15403" s="2">
        <v>2.3041867200477E-2</v>
      </c>
      <c r="F15403" s="2">
        <v>1.8478104041081401E-2</v>
      </c>
    </row>
    <row r="15404" spans="1:6" x14ac:dyDescent="0.25">
      <c r="A15404" s="1" t="str">
        <f t="shared" si="578"/>
        <v>26900</v>
      </c>
      <c r="B15404" s="1" t="str">
        <f>"46118"</f>
        <v>46118</v>
      </c>
      <c r="C15404" s="2">
        <v>2.0735436095370599E-3</v>
      </c>
      <c r="D15404" s="2">
        <v>1.3124407975074999E-3</v>
      </c>
      <c r="E15404" s="2">
        <v>3.1943438817666801E-4</v>
      </c>
      <c r="F15404" s="2">
        <v>1.9382816987550801E-3</v>
      </c>
    </row>
    <row r="15405" spans="1:6" x14ac:dyDescent="0.25">
      <c r="A15405" s="1" t="str">
        <f t="shared" si="578"/>
        <v>26900</v>
      </c>
      <c r="B15405" s="1" t="str">
        <f>"46070"</f>
        <v>46070</v>
      </c>
      <c r="C15405" s="2">
        <v>9.4270776266091596E-4</v>
      </c>
      <c r="D15405" s="2">
        <v>1.4836287276171701E-4</v>
      </c>
      <c r="E15405" s="2">
        <v>8.5182503513778196E-5</v>
      </c>
      <c r="F15405" s="2">
        <v>8.4300734931810699E-4</v>
      </c>
    </row>
    <row r="15406" spans="1:6" x14ac:dyDescent="0.25">
      <c r="A15406" s="1" t="str">
        <f t="shared" si="578"/>
        <v>26900</v>
      </c>
      <c r="B15406" s="1" t="str">
        <f>"46123"</f>
        <v>46123</v>
      </c>
      <c r="C15406" s="2">
        <v>1.6852968599148602E-2</v>
      </c>
      <c r="D15406" s="2">
        <v>1.2359768553918399E-2</v>
      </c>
      <c r="E15406" s="2">
        <v>1.49708249925465E-2</v>
      </c>
      <c r="F15406" s="2">
        <v>1.6415503712771298E-2</v>
      </c>
    </row>
    <row r="15407" spans="1:6" x14ac:dyDescent="0.25">
      <c r="A15407" s="1" t="str">
        <f t="shared" si="578"/>
        <v>26900</v>
      </c>
      <c r="B15407" s="1" t="str">
        <f>"46105"</f>
        <v>46105</v>
      </c>
      <c r="C15407" s="2">
        <v>7.4010828735221002E-4</v>
      </c>
      <c r="D15407" s="2">
        <v>4.3367608961117501E-4</v>
      </c>
      <c r="E15407" s="2">
        <v>2.9813876229822301E-4</v>
      </c>
      <c r="F15407" s="2">
        <v>6.9691027370969501E-4</v>
      </c>
    </row>
    <row r="15408" spans="1:6" x14ac:dyDescent="0.25">
      <c r="A15408" s="1" t="str">
        <f t="shared" si="578"/>
        <v>26900</v>
      </c>
      <c r="B15408" s="1" t="str">
        <f>"47401"</f>
        <v>47401</v>
      </c>
      <c r="C15408" s="2">
        <v>2.7909111394566599E-5</v>
      </c>
      <c r="D15408" s="2">
        <v>2.2825057347956502E-5</v>
      </c>
      <c r="E15408" s="2">
        <v>0</v>
      </c>
      <c r="F15408" s="2">
        <v>2.63156223145588E-5</v>
      </c>
    </row>
    <row r="15409" spans="1:6" x14ac:dyDescent="0.25">
      <c r="A15409" s="1" t="str">
        <f t="shared" si="578"/>
        <v>26900</v>
      </c>
      <c r="B15409" s="1" t="str">
        <f>"46254"</f>
        <v>46254</v>
      </c>
      <c r="C15409" s="2">
        <v>1.8287703658987801E-2</v>
      </c>
      <c r="D15409" s="2">
        <v>1.37406845234698E-2</v>
      </c>
      <c r="E15409" s="2">
        <v>3.5244260828825702E-2</v>
      </c>
      <c r="F15409" s="2">
        <v>1.8648701868499901E-2</v>
      </c>
    </row>
    <row r="15410" spans="1:6" x14ac:dyDescent="0.25">
      <c r="A15410" s="1" t="str">
        <f t="shared" si="578"/>
        <v>26900</v>
      </c>
      <c r="B15410" s="1" t="str">
        <f>"46229"</f>
        <v>46229</v>
      </c>
      <c r="C15410" s="2">
        <v>1.2744127199393E-2</v>
      </c>
      <c r="D15410" s="2">
        <v>1.06935393675176E-2</v>
      </c>
      <c r="E15410" s="2">
        <v>1.8420716384854499E-2</v>
      </c>
      <c r="F15410" s="2">
        <v>1.2822967549207901E-2</v>
      </c>
    </row>
    <row r="15411" spans="1:6" x14ac:dyDescent="0.25">
      <c r="A15411" s="1" t="str">
        <f t="shared" si="578"/>
        <v>26900</v>
      </c>
      <c r="B15411" s="1" t="str">
        <f>"46234"</f>
        <v>46234</v>
      </c>
      <c r="C15411" s="2">
        <v>1.24071505210734E-2</v>
      </c>
      <c r="D15411" s="2">
        <v>5.1128128459422698E-3</v>
      </c>
      <c r="E15411" s="2">
        <v>4.08876016866135E-3</v>
      </c>
      <c r="F15411" s="2">
        <v>1.1472703893895399E-2</v>
      </c>
    </row>
    <row r="15412" spans="1:6" x14ac:dyDescent="0.25">
      <c r="A15412" s="1" t="str">
        <f t="shared" si="578"/>
        <v>26900</v>
      </c>
      <c r="B15412" s="1" t="str">
        <f>"46283"</f>
        <v>46283</v>
      </c>
      <c r="C15412" s="2">
        <v>0</v>
      </c>
      <c r="D15412" s="2">
        <v>1.14125286739782E-5</v>
      </c>
      <c r="E15412" s="2">
        <v>0</v>
      </c>
      <c r="F15412" s="2">
        <v>9.0743525222616496E-7</v>
      </c>
    </row>
    <row r="15413" spans="1:6" x14ac:dyDescent="0.25">
      <c r="A15413" s="1" t="str">
        <f t="shared" si="578"/>
        <v>26900</v>
      </c>
      <c r="B15413" s="1" t="str">
        <f>"46170"</f>
        <v>46170</v>
      </c>
      <c r="C15413" s="2">
        <v>1.6538732678261601E-5</v>
      </c>
      <c r="D15413" s="2">
        <v>2.2825057347956502E-5</v>
      </c>
      <c r="E15413" s="2">
        <v>2.1295625878444502E-5</v>
      </c>
      <c r="F15413" s="2">
        <v>1.7241269792297101E-5</v>
      </c>
    </row>
    <row r="15414" spans="1:6" x14ac:dyDescent="0.25">
      <c r="A15414" s="1" t="str">
        <f t="shared" si="578"/>
        <v>26900</v>
      </c>
      <c r="B15414" s="1" t="str">
        <f>"47868"</f>
        <v>47868</v>
      </c>
      <c r="C15414" s="2">
        <v>5.78855643739159E-5</v>
      </c>
      <c r="D15414" s="2">
        <v>2.2825057347956502E-5</v>
      </c>
      <c r="E15414" s="2">
        <v>4.2591251756889098E-5</v>
      </c>
      <c r="F15414" s="2">
        <v>5.4446115133569901E-5</v>
      </c>
    </row>
    <row r="15415" spans="1:6" x14ac:dyDescent="0.25">
      <c r="A15415" s="1" t="str">
        <f t="shared" si="578"/>
        <v>26900</v>
      </c>
      <c r="B15415" s="1" t="str">
        <f>"46241"</f>
        <v>46241</v>
      </c>
      <c r="C15415" s="2">
        <v>1.3841885580912599E-2</v>
      </c>
      <c r="D15415" s="2">
        <v>2.2437031373041299E-2</v>
      </c>
      <c r="E15415" s="2">
        <v>1.43319562161931E-2</v>
      </c>
      <c r="F15415" s="2">
        <v>1.4546187093185401E-2</v>
      </c>
    </row>
    <row r="15416" spans="1:6" x14ac:dyDescent="0.25">
      <c r="A15416" s="1" t="str">
        <f t="shared" si="578"/>
        <v>26900</v>
      </c>
      <c r="B15416" s="1" t="str">
        <f>"46208"</f>
        <v>46208</v>
      </c>
      <c r="C15416" s="2">
        <v>1.3766427613068E-2</v>
      </c>
      <c r="D15416" s="2">
        <v>1.2268468324526599E-2</v>
      </c>
      <c r="E15416" s="2">
        <v>7.8154946973891509E-3</v>
      </c>
      <c r="F15416" s="2">
        <v>1.3393744322858199E-2</v>
      </c>
    </row>
    <row r="15417" spans="1:6" x14ac:dyDescent="0.25">
      <c r="A15417" s="1" t="str">
        <f t="shared" si="578"/>
        <v>26900</v>
      </c>
      <c r="B15417" s="1" t="str">
        <f>"46160"</f>
        <v>46160</v>
      </c>
      <c r="C15417" s="2">
        <v>3.0255544093294902E-3</v>
      </c>
      <c r="D15417" s="2">
        <v>1.0043025233100801E-3</v>
      </c>
      <c r="E15417" s="2">
        <v>4.8979939520422499E-4</v>
      </c>
      <c r="F15417" s="2">
        <v>2.75678829626309E-3</v>
      </c>
    </row>
    <row r="15418" spans="1:6" x14ac:dyDescent="0.25">
      <c r="A15418" s="1" t="str">
        <f t="shared" si="578"/>
        <v>26900</v>
      </c>
      <c r="B15418" s="1" t="str">
        <f>"46186"</f>
        <v>46186</v>
      </c>
      <c r="C15418" s="2">
        <v>6.4397690365981396E-4</v>
      </c>
      <c r="D15418" s="2">
        <v>1.3695034408773901E-4</v>
      </c>
      <c r="E15418" s="2">
        <v>2.3425188466289E-4</v>
      </c>
      <c r="F15418" s="2">
        <v>5.8620317293810197E-4</v>
      </c>
    </row>
    <row r="15419" spans="1:6" x14ac:dyDescent="0.25">
      <c r="A15419" s="1" t="str">
        <f t="shared" ref="A15419:A15450" si="579">"26900"</f>
        <v>26900</v>
      </c>
      <c r="B15419" s="1" t="str">
        <f>"46221"</f>
        <v>46221</v>
      </c>
      <c r="C15419" s="2">
        <v>1.19399313229125E-2</v>
      </c>
      <c r="D15419" s="2">
        <v>6.4480787007977301E-3</v>
      </c>
      <c r="E15419" s="2">
        <v>8.0284509561735998E-3</v>
      </c>
      <c r="F15419" s="2">
        <v>1.1336588606061401E-2</v>
      </c>
    </row>
    <row r="15420" spans="1:6" x14ac:dyDescent="0.25">
      <c r="A15420" s="1" t="str">
        <f t="shared" si="579"/>
        <v>26900</v>
      </c>
      <c r="B15420" s="1" t="str">
        <f>"46222"</f>
        <v>46222</v>
      </c>
      <c r="C15420" s="2">
        <v>1.7603413594424699E-2</v>
      </c>
      <c r="D15420" s="2">
        <v>1.7655181858644401E-2</v>
      </c>
      <c r="E15420" s="2">
        <v>1.8676263895395801E-2</v>
      </c>
      <c r="F15420" s="2">
        <v>1.76532453968078E-2</v>
      </c>
    </row>
    <row r="15421" spans="1:6" x14ac:dyDescent="0.25">
      <c r="A15421" s="1" t="str">
        <f t="shared" si="579"/>
        <v>26900</v>
      </c>
      <c r="B15421" s="1" t="str">
        <f>"46147"</f>
        <v>46147</v>
      </c>
      <c r="C15421" s="2">
        <v>1.2755497578109301E-3</v>
      </c>
      <c r="D15421" s="2">
        <v>3.88025974915261E-4</v>
      </c>
      <c r="E15421" s="2">
        <v>1.9166063290600101E-4</v>
      </c>
      <c r="F15421" s="2">
        <v>1.15879481709281E-3</v>
      </c>
    </row>
    <row r="15422" spans="1:6" x14ac:dyDescent="0.25">
      <c r="A15422" s="1" t="str">
        <f t="shared" si="579"/>
        <v>26900</v>
      </c>
      <c r="B15422" s="1" t="str">
        <f>"46171"</f>
        <v>46171</v>
      </c>
      <c r="C15422" s="2">
        <v>8.6208144085439E-4</v>
      </c>
      <c r="D15422" s="2">
        <v>1.3695034408773901E-4</v>
      </c>
      <c r="E15422" s="2">
        <v>1.27773755270667E-4</v>
      </c>
      <c r="F15422" s="2">
        <v>7.7313483489669299E-4</v>
      </c>
    </row>
    <row r="15423" spans="1:6" x14ac:dyDescent="0.25">
      <c r="A15423" s="1" t="str">
        <f t="shared" si="579"/>
        <v>26900</v>
      </c>
      <c r="B15423" s="1" t="str">
        <f>"46106"</f>
        <v>46106</v>
      </c>
      <c r="C15423" s="2">
        <v>3.3945748822132101E-3</v>
      </c>
      <c r="D15423" s="2">
        <v>1.3238533261814801E-3</v>
      </c>
      <c r="E15423" s="2">
        <v>8.9441628689467098E-4</v>
      </c>
      <c r="F15423" s="2">
        <v>3.1233921381624602E-3</v>
      </c>
    </row>
    <row r="15424" spans="1:6" x14ac:dyDescent="0.25">
      <c r="A15424" s="1" t="str">
        <f t="shared" si="579"/>
        <v>26900</v>
      </c>
      <c r="B15424" s="1" t="str">
        <f>"46037"</f>
        <v>46037</v>
      </c>
      <c r="C15424" s="2">
        <v>1.8908939805214998E-2</v>
      </c>
      <c r="D15424" s="2">
        <v>1.09560275270191E-2</v>
      </c>
      <c r="E15424" s="2">
        <v>7.6664253162400404E-3</v>
      </c>
      <c r="F15424" s="2">
        <v>1.7797527601911702E-2</v>
      </c>
    </row>
    <row r="15425" spans="1:6" x14ac:dyDescent="0.25">
      <c r="A15425" s="1" t="str">
        <f t="shared" si="579"/>
        <v>26900</v>
      </c>
      <c r="B15425" s="1" t="str">
        <f>"46107"</f>
        <v>46107</v>
      </c>
      <c r="C15425" s="2">
        <v>6.6516715490383699E-3</v>
      </c>
      <c r="D15425" s="2">
        <v>5.7062643369891397E-3</v>
      </c>
      <c r="E15425" s="2">
        <v>9.45525789002938E-3</v>
      </c>
      <c r="F15425" s="2">
        <v>6.6959647261768699E-3</v>
      </c>
    </row>
    <row r="15426" spans="1:6" x14ac:dyDescent="0.25">
      <c r="A15426" s="1" t="str">
        <f t="shared" si="579"/>
        <v>26900</v>
      </c>
      <c r="B15426" s="1" t="str">
        <f>"46131"</f>
        <v>46131</v>
      </c>
      <c r="C15426" s="2">
        <v>1.4530310328645201E-2</v>
      </c>
      <c r="D15426" s="2">
        <v>1.6662291864008302E-2</v>
      </c>
      <c r="E15426" s="2">
        <v>7.9432684526598192E-3</v>
      </c>
      <c r="F15426" s="2">
        <v>1.4419146157873699E-2</v>
      </c>
    </row>
    <row r="15427" spans="1:6" x14ac:dyDescent="0.25">
      <c r="A15427" s="1" t="str">
        <f t="shared" si="579"/>
        <v>26900</v>
      </c>
      <c r="B15427" s="1" t="str">
        <f>"46183"</f>
        <v>46183</v>
      </c>
      <c r="C15427" s="2">
        <v>6.0986576751089997E-5</v>
      </c>
      <c r="D15427" s="2">
        <v>0</v>
      </c>
      <c r="E15427" s="2">
        <v>4.2591251756889098E-5</v>
      </c>
      <c r="F15427" s="2">
        <v>5.5353550385795997E-5</v>
      </c>
    </row>
    <row r="15428" spans="1:6" x14ac:dyDescent="0.25">
      <c r="A15428" s="1" t="str">
        <f t="shared" si="579"/>
        <v>26900</v>
      </c>
      <c r="B15428" s="1" t="str">
        <f>"46102"</f>
        <v>46102</v>
      </c>
      <c r="C15428" s="2">
        <v>1.66420997575008E-4</v>
      </c>
      <c r="D15428" s="2">
        <v>0</v>
      </c>
      <c r="E15428" s="2">
        <v>6.3886877635333701E-5</v>
      </c>
      <c r="F15428" s="2">
        <v>1.48819381365091E-4</v>
      </c>
    </row>
    <row r="15429" spans="1:6" x14ac:dyDescent="0.25">
      <c r="A15429" s="1" t="str">
        <f t="shared" si="579"/>
        <v>26900</v>
      </c>
      <c r="B15429" s="1" t="str">
        <f>"47989"</f>
        <v>47989</v>
      </c>
      <c r="C15429" s="2">
        <v>5.1683539619567802E-6</v>
      </c>
      <c r="D15429" s="2">
        <v>0</v>
      </c>
      <c r="E15429" s="2">
        <v>0</v>
      </c>
      <c r="F15429" s="2">
        <v>4.5371762611308197E-6</v>
      </c>
    </row>
    <row r="15430" spans="1:6" x14ac:dyDescent="0.25">
      <c r="A15430" s="1" t="str">
        <f t="shared" si="579"/>
        <v>26900</v>
      </c>
      <c r="B15430" s="1" t="str">
        <f>"46162"</f>
        <v>46162</v>
      </c>
      <c r="C15430" s="2">
        <v>2.5635035651305603E-4</v>
      </c>
      <c r="D15430" s="2">
        <v>6.8475172043869694E-5</v>
      </c>
      <c r="E15430" s="2">
        <v>2.1295625878444502E-5</v>
      </c>
      <c r="F15430" s="2">
        <v>2.3139598931767199E-4</v>
      </c>
    </row>
    <row r="15431" spans="1:6" x14ac:dyDescent="0.25">
      <c r="A15431" s="1" t="str">
        <f t="shared" si="579"/>
        <v>26900</v>
      </c>
      <c r="B15431" s="1" t="str">
        <f>"46148"</f>
        <v>46148</v>
      </c>
      <c r="C15431" s="2">
        <v>5.1683539619567802E-6</v>
      </c>
      <c r="D15431" s="2">
        <v>0</v>
      </c>
      <c r="E15431" s="2">
        <v>0</v>
      </c>
      <c r="F15431" s="2">
        <v>4.5371762611308197E-6</v>
      </c>
    </row>
    <row r="15432" spans="1:6" x14ac:dyDescent="0.25">
      <c r="A15432" s="1" t="str">
        <f t="shared" si="579"/>
        <v>26900</v>
      </c>
      <c r="B15432" s="1" t="str">
        <f>"46201"</f>
        <v>46201</v>
      </c>
      <c r="C15432" s="2">
        <v>1.8843818545294402E-2</v>
      </c>
      <c r="D15432" s="2">
        <v>1.36037341793821E-2</v>
      </c>
      <c r="E15432" s="2">
        <v>1.0967247327398901E-2</v>
      </c>
      <c r="F15432" s="2">
        <v>1.8091536623633001E-2</v>
      </c>
    </row>
    <row r="15433" spans="1:6" x14ac:dyDescent="0.25">
      <c r="A15433" s="1" t="str">
        <f t="shared" si="579"/>
        <v>26900</v>
      </c>
      <c r="B15433" s="1" t="str">
        <f>"46203"</f>
        <v>46203</v>
      </c>
      <c r="C15433" s="2">
        <v>2.0026337931790102E-2</v>
      </c>
      <c r="D15433" s="2">
        <v>1.8556771623888701E-2</v>
      </c>
      <c r="E15433" s="2">
        <v>1.17125942331445E-2</v>
      </c>
      <c r="F15433" s="2">
        <v>1.95552296854738E-2</v>
      </c>
    </row>
    <row r="15434" spans="1:6" x14ac:dyDescent="0.25">
      <c r="A15434" s="1" t="str">
        <f t="shared" si="579"/>
        <v>26900</v>
      </c>
      <c r="B15434" s="1" t="str">
        <f>"46151"</f>
        <v>46151</v>
      </c>
      <c r="C15434" s="2">
        <v>1.6753736203079E-2</v>
      </c>
      <c r="D15434" s="2">
        <v>1.1355466030608399E-2</v>
      </c>
      <c r="E15434" s="2">
        <v>6.3460965117764804E-3</v>
      </c>
      <c r="F15434" s="2">
        <v>1.5881024349210099E-2</v>
      </c>
    </row>
    <row r="15435" spans="1:6" x14ac:dyDescent="0.25">
      <c r="A15435" s="1" t="str">
        <f t="shared" si="579"/>
        <v>26900</v>
      </c>
      <c r="B15435" s="1" t="str">
        <f>"46175"</f>
        <v>46175</v>
      </c>
      <c r="C15435" s="2">
        <v>2.5945136889023E-4</v>
      </c>
      <c r="D15435" s="2">
        <v>2.2825057347956502E-5</v>
      </c>
      <c r="E15435" s="2">
        <v>1.7036500702755601E-4</v>
      </c>
      <c r="F15435" s="2">
        <v>2.3684060083102899E-4</v>
      </c>
    </row>
    <row r="15436" spans="1:6" x14ac:dyDescent="0.25">
      <c r="A15436" s="1" t="str">
        <f t="shared" si="579"/>
        <v>26900</v>
      </c>
      <c r="B15436" s="1" t="str">
        <f>"46013"</f>
        <v>46013</v>
      </c>
      <c r="C15436" s="2">
        <v>9.8012664534548304E-3</v>
      </c>
      <c r="D15436" s="2">
        <v>9.1300229391826308E-3</v>
      </c>
      <c r="E15436" s="2">
        <v>7.8367903232675999E-3</v>
      </c>
      <c r="F15436" s="2">
        <v>9.66418543620866E-3</v>
      </c>
    </row>
    <row r="15437" spans="1:6" x14ac:dyDescent="0.25">
      <c r="A15437" s="1" t="str">
        <f t="shared" si="579"/>
        <v>26900</v>
      </c>
      <c r="B15437" s="1" t="str">
        <f>"46016"</f>
        <v>46016</v>
      </c>
      <c r="C15437" s="2">
        <v>1.1185351644466801E-2</v>
      </c>
      <c r="D15437" s="2">
        <v>1.7426931285164801E-2</v>
      </c>
      <c r="E15437" s="2">
        <v>1.25218280165254E-2</v>
      </c>
      <c r="F15437" s="2">
        <v>1.17385824227976E-2</v>
      </c>
    </row>
    <row r="15438" spans="1:6" x14ac:dyDescent="0.25">
      <c r="A15438" s="1" t="str">
        <f t="shared" si="579"/>
        <v>26900</v>
      </c>
      <c r="B15438" s="1" t="str">
        <f>"46017"</f>
        <v>46017</v>
      </c>
      <c r="C15438" s="2">
        <v>3.09377668162732E-3</v>
      </c>
      <c r="D15438" s="2">
        <v>1.91730481722835E-3</v>
      </c>
      <c r="E15438" s="2">
        <v>1.0221900421653299E-3</v>
      </c>
      <c r="F15438" s="2">
        <v>2.9119597243937598E-3</v>
      </c>
    </row>
    <row r="15439" spans="1:6" x14ac:dyDescent="0.25">
      <c r="A15439" s="1" t="str">
        <f t="shared" si="579"/>
        <v>26900</v>
      </c>
      <c r="B15439" s="1" t="str">
        <f>"46060"</f>
        <v>46060</v>
      </c>
      <c r="C15439" s="2">
        <v>1.9880590350062899E-2</v>
      </c>
      <c r="D15439" s="2">
        <v>2.2163130684865799E-2</v>
      </c>
      <c r="E15439" s="2">
        <v>1.6461518804037598E-2</v>
      </c>
      <c r="F15439" s="2">
        <v>1.9916388915859801E-2</v>
      </c>
    </row>
    <row r="15440" spans="1:6" x14ac:dyDescent="0.25">
      <c r="A15440" s="1" t="str">
        <f t="shared" si="579"/>
        <v>26900</v>
      </c>
      <c r="B15440" s="1" t="str">
        <f>"46069"</f>
        <v>46069</v>
      </c>
      <c r="C15440" s="2">
        <v>3.16509996630233E-3</v>
      </c>
      <c r="D15440" s="2">
        <v>1.8830672312064099E-3</v>
      </c>
      <c r="E15440" s="2">
        <v>9.3700753865156E-4</v>
      </c>
      <c r="F15440" s="2">
        <v>2.96822071003178E-3</v>
      </c>
    </row>
    <row r="15441" spans="1:6" x14ac:dyDescent="0.25">
      <c r="A15441" s="1" t="str">
        <f t="shared" si="579"/>
        <v>26900</v>
      </c>
      <c r="B15441" s="1" t="str">
        <f>"46071"</f>
        <v>46071</v>
      </c>
      <c r="C15441" s="2">
        <v>1.53500112670116E-3</v>
      </c>
      <c r="D15441" s="2">
        <v>1.01571505198406E-3</v>
      </c>
      <c r="E15441" s="2">
        <v>4.2591251756889098E-4</v>
      </c>
      <c r="F15441" s="2">
        <v>1.4464517920485E-3</v>
      </c>
    </row>
    <row r="15442" spans="1:6" x14ac:dyDescent="0.25">
      <c r="A15442" s="1" t="str">
        <f t="shared" si="579"/>
        <v>26900</v>
      </c>
      <c r="B15442" s="1" t="str">
        <f>"46082"</f>
        <v>46082</v>
      </c>
      <c r="C15442" s="2">
        <v>9.1893333443591498E-4</v>
      </c>
      <c r="D15442" s="2">
        <v>9.7120619015555205E-3</v>
      </c>
      <c r="E15442" s="2">
        <v>4.2591251756889098E-5</v>
      </c>
      <c r="F15442" s="2">
        <v>1.58075220937798E-3</v>
      </c>
    </row>
    <row r="15443" spans="1:6" x14ac:dyDescent="0.25">
      <c r="A15443" s="1" t="str">
        <f t="shared" si="579"/>
        <v>26900</v>
      </c>
      <c r="B15443" s="1" t="str">
        <f>"46044"</f>
        <v>46044</v>
      </c>
      <c r="C15443" s="2">
        <v>1.02230041367505E-3</v>
      </c>
      <c r="D15443" s="2">
        <v>1.3695034408773901E-4</v>
      </c>
      <c r="E15443" s="2">
        <v>4.8979939520422499E-4</v>
      </c>
      <c r="F15443" s="2">
        <v>9.2921369827959302E-4</v>
      </c>
    </row>
    <row r="15444" spans="1:6" x14ac:dyDescent="0.25">
      <c r="A15444" s="1" t="str">
        <f t="shared" si="579"/>
        <v>26900</v>
      </c>
      <c r="B15444" s="1" t="str">
        <f>"46268"</f>
        <v>46268</v>
      </c>
      <c r="C15444" s="2">
        <v>1.37106093902789E-2</v>
      </c>
      <c r="D15444" s="2">
        <v>3.0870890063111198E-2</v>
      </c>
      <c r="E15444" s="2">
        <v>3.1091613782529001E-2</v>
      </c>
      <c r="F15444" s="2">
        <v>1.5815689011049801E-2</v>
      </c>
    </row>
    <row r="15445" spans="1:6" x14ac:dyDescent="0.25">
      <c r="A15445" s="1" t="str">
        <f t="shared" si="579"/>
        <v>26900</v>
      </c>
      <c r="B15445" s="1" t="str">
        <f>"47356"</f>
        <v>47356</v>
      </c>
      <c r="C15445" s="2">
        <v>1.8295973025327E-4</v>
      </c>
      <c r="D15445" s="2">
        <v>1.14125286739782E-5</v>
      </c>
      <c r="E15445" s="2">
        <v>0</v>
      </c>
      <c r="F15445" s="2">
        <v>1.6152347489625701E-4</v>
      </c>
    </row>
    <row r="15446" spans="1:6" x14ac:dyDescent="0.25">
      <c r="A15446" s="1" t="str">
        <f t="shared" si="579"/>
        <v>26900</v>
      </c>
      <c r="B15446" s="1" t="str">
        <f>"46247"</f>
        <v>46247</v>
      </c>
      <c r="C15446" s="2">
        <v>5.0236400510219898E-4</v>
      </c>
      <c r="D15446" s="2">
        <v>2.0770802186640398E-3</v>
      </c>
      <c r="E15446" s="2">
        <v>4.2591251756889098E-5</v>
      </c>
      <c r="F15446" s="2">
        <v>6.0798161899152997E-4</v>
      </c>
    </row>
    <row r="15447" spans="1:6" x14ac:dyDescent="0.25">
      <c r="A15447" s="1" t="str">
        <f t="shared" si="579"/>
        <v>26900</v>
      </c>
      <c r="B15447" s="1" t="str">
        <f>"46150"</f>
        <v>46150</v>
      </c>
      <c r="C15447" s="2">
        <v>4.3414173280436903E-5</v>
      </c>
      <c r="D15447" s="2">
        <v>1.14125286739782E-5</v>
      </c>
      <c r="E15447" s="2">
        <v>0</v>
      </c>
      <c r="F15447" s="2">
        <v>3.9019715845725097E-5</v>
      </c>
    </row>
    <row r="15448" spans="1:6" x14ac:dyDescent="0.25">
      <c r="A15448" s="1" t="str">
        <f t="shared" si="579"/>
        <v>26900</v>
      </c>
      <c r="B15448" s="1" t="str">
        <f>"46213"</f>
        <v>46213</v>
      </c>
      <c r="C15448" s="2">
        <v>0</v>
      </c>
      <c r="D15448" s="2">
        <v>1.14125286739782E-5</v>
      </c>
      <c r="E15448" s="2">
        <v>0</v>
      </c>
      <c r="F15448" s="2">
        <v>9.0743525222616496E-7</v>
      </c>
    </row>
    <row r="15449" spans="1:6" x14ac:dyDescent="0.25">
      <c r="A15449" s="1" t="str">
        <f t="shared" si="579"/>
        <v>26900</v>
      </c>
      <c r="B15449" s="1" t="str">
        <f>"46928"</f>
        <v>46928</v>
      </c>
      <c r="C15449" s="2">
        <v>8.2693663391308394E-6</v>
      </c>
      <c r="D15449" s="2">
        <v>0</v>
      </c>
      <c r="E15449" s="2">
        <v>0</v>
      </c>
      <c r="F15449" s="2">
        <v>7.2594820178093197E-6</v>
      </c>
    </row>
    <row r="15450" spans="1:6" x14ac:dyDescent="0.25">
      <c r="A15450" s="1" t="str">
        <f t="shared" si="579"/>
        <v>26900</v>
      </c>
      <c r="B15450" s="1" t="str">
        <f>"47433"</f>
        <v>47433</v>
      </c>
      <c r="C15450" s="2">
        <v>1.6435365599022501E-4</v>
      </c>
      <c r="D15450" s="2">
        <v>2.2825057347956502E-5</v>
      </c>
      <c r="E15450" s="2">
        <v>0</v>
      </c>
      <c r="F15450" s="2">
        <v>1.4609707560841201E-4</v>
      </c>
    </row>
    <row r="15451" spans="1:6" x14ac:dyDescent="0.25">
      <c r="A15451" s="1" t="str">
        <f t="shared" ref="A15451:A15458" si="580">"26900"</f>
        <v>26900</v>
      </c>
      <c r="B15451" s="1" t="str">
        <f>"47834"</f>
        <v>47834</v>
      </c>
      <c r="C15451" s="2">
        <v>1.8606074263044401E-5</v>
      </c>
      <c r="D15451" s="2">
        <v>0</v>
      </c>
      <c r="E15451" s="2">
        <v>0</v>
      </c>
      <c r="F15451" s="2">
        <v>1.63338345400709E-5</v>
      </c>
    </row>
    <row r="15452" spans="1:6" x14ac:dyDescent="0.25">
      <c r="A15452" s="1" t="str">
        <f t="shared" si="580"/>
        <v>26900</v>
      </c>
      <c r="B15452" s="1" t="str">
        <f>"46230"</f>
        <v>46230</v>
      </c>
      <c r="C15452" s="2">
        <v>5.2820577491198204E-4</v>
      </c>
      <c r="D15452" s="2">
        <v>1.9401298745762999E-3</v>
      </c>
      <c r="E15452" s="2">
        <v>4.2591251756889098E-5</v>
      </c>
      <c r="F15452" s="2">
        <v>6.1977827727047099E-4</v>
      </c>
    </row>
    <row r="15453" spans="1:6" x14ac:dyDescent="0.25">
      <c r="A15453" s="1" t="str">
        <f t="shared" si="580"/>
        <v>26900</v>
      </c>
      <c r="B15453" s="1" t="str">
        <f>"46256"</f>
        <v>46256</v>
      </c>
      <c r="C15453" s="2">
        <v>1.08576780032788E-2</v>
      </c>
      <c r="D15453" s="2">
        <v>1.1446766260000201E-2</v>
      </c>
      <c r="E15453" s="2">
        <v>1.94642020528983E-2</v>
      </c>
      <c r="F15453" s="2">
        <v>1.12712532679012E-2</v>
      </c>
    </row>
    <row r="15454" spans="1:6" x14ac:dyDescent="0.25">
      <c r="A15454" s="1" t="str">
        <f t="shared" si="580"/>
        <v>26900</v>
      </c>
      <c r="B15454" s="1" t="str">
        <f>"46260"</f>
        <v>46260</v>
      </c>
      <c r="C15454" s="2">
        <v>1.6965638715519302E-2</v>
      </c>
      <c r="D15454" s="2">
        <v>1.22570557958526E-2</v>
      </c>
      <c r="E15454" s="2">
        <v>4.3549554921419098E-2</v>
      </c>
      <c r="F15454" s="2">
        <v>1.77240253464814E-2</v>
      </c>
    </row>
    <row r="15455" spans="1:6" x14ac:dyDescent="0.25">
      <c r="A15455" s="1" t="str">
        <f t="shared" si="580"/>
        <v>26900</v>
      </c>
      <c r="B15455" s="1" t="str">
        <f>"46204"</f>
        <v>46204</v>
      </c>
      <c r="C15455" s="2">
        <v>6.8015538139351199E-3</v>
      </c>
      <c r="D15455" s="2">
        <v>5.0888465357269201E-2</v>
      </c>
      <c r="E15455" s="2">
        <v>1.33736530516631E-2</v>
      </c>
      <c r="F15455" s="2">
        <v>1.05870470877226E-2</v>
      </c>
    </row>
    <row r="15456" spans="1:6" x14ac:dyDescent="0.25">
      <c r="A15456" s="1" t="str">
        <f t="shared" si="580"/>
        <v>26900</v>
      </c>
      <c r="B15456" s="1" t="str">
        <f>"46164"</f>
        <v>46164</v>
      </c>
      <c r="C15456" s="2">
        <v>2.6947797557642602E-3</v>
      </c>
      <c r="D15456" s="2">
        <v>4.2226356093719598E-4</v>
      </c>
      <c r="E15456" s="2">
        <v>1.7036500702755601E-4</v>
      </c>
      <c r="F15456" s="2">
        <v>2.4065182889037901E-3</v>
      </c>
    </row>
    <row r="15457" spans="1:6" x14ac:dyDescent="0.25">
      <c r="A15457" s="1" t="str">
        <f t="shared" si="580"/>
        <v>26900</v>
      </c>
      <c r="B15457" s="1" t="str">
        <f>"46226"</f>
        <v>46226</v>
      </c>
      <c r="C15457" s="2">
        <v>2.18910800412641E-2</v>
      </c>
      <c r="D15457" s="2">
        <v>1.8362758636431002E-2</v>
      </c>
      <c r="E15457" s="2">
        <v>3.5648877720516198E-2</v>
      </c>
      <c r="F15457" s="2">
        <v>2.2196773704704201E-2</v>
      </c>
    </row>
    <row r="15458" spans="1:6" x14ac:dyDescent="0.25">
      <c r="A15458" s="1" t="str">
        <f t="shared" si="580"/>
        <v>26900</v>
      </c>
      <c r="B15458" s="1" t="str">
        <f>"46218"</f>
        <v>46218</v>
      </c>
      <c r="C15458" s="2">
        <v>1.6965638715519302E-2</v>
      </c>
      <c r="D15458" s="2">
        <v>1.60574278442874E-2</v>
      </c>
      <c r="E15458" s="2">
        <v>9.26359725712338E-3</v>
      </c>
      <c r="F15458" s="2">
        <v>1.6565230529388599E-2</v>
      </c>
    </row>
    <row r="15459" spans="1:6" x14ac:dyDescent="0.25">
      <c r="A15459" s="1" t="str">
        <f t="shared" ref="A15459:A15475" si="581">"26940"</f>
        <v>26940</v>
      </c>
      <c r="B15459" s="1" t="str">
        <f>"38753"</f>
        <v>38753</v>
      </c>
      <c r="C15459" s="2">
        <v>4.5024154589371902E-2</v>
      </c>
      <c r="D15459" s="2">
        <v>1.42314990512333E-2</v>
      </c>
      <c r="E15459" s="2">
        <v>2.4390243902439001E-2</v>
      </c>
      <c r="F15459" s="2">
        <v>4.1926002766251698E-2</v>
      </c>
    </row>
    <row r="15460" spans="1:6" x14ac:dyDescent="0.25">
      <c r="A15460" s="1" t="str">
        <f t="shared" si="581"/>
        <v>26940</v>
      </c>
      <c r="B15460" s="1" t="str">
        <f>"38751"</f>
        <v>38751</v>
      </c>
      <c r="C15460" s="2">
        <v>0.47961352657004802</v>
      </c>
      <c r="D15460" s="2">
        <v>0.58349146110056904</v>
      </c>
      <c r="E15460" s="2">
        <v>0.292682926829268</v>
      </c>
      <c r="F15460" s="2">
        <v>0.48642807745504801</v>
      </c>
    </row>
    <row r="15461" spans="1:6" x14ac:dyDescent="0.25">
      <c r="A15461" s="1" t="str">
        <f t="shared" si="581"/>
        <v>26940</v>
      </c>
      <c r="B15461" s="1" t="str">
        <f>"38738"</f>
        <v>38738</v>
      </c>
      <c r="C15461" s="2">
        <v>8.3091787439613495E-3</v>
      </c>
      <c r="D15461" s="2">
        <v>3.7950664136622301E-3</v>
      </c>
      <c r="E15461" s="2">
        <v>1.21951219512195E-2</v>
      </c>
      <c r="F15461" s="2">
        <v>7.9529737206085697E-3</v>
      </c>
    </row>
    <row r="15462" spans="1:6" x14ac:dyDescent="0.25">
      <c r="A15462" s="1" t="str">
        <f t="shared" si="581"/>
        <v>26940</v>
      </c>
      <c r="B15462" s="1" t="str">
        <f>"38754"</f>
        <v>38754</v>
      </c>
      <c r="C15462" s="2">
        <v>3.18840579710144E-3</v>
      </c>
      <c r="D15462" s="2">
        <v>0</v>
      </c>
      <c r="E15462" s="2">
        <v>0</v>
      </c>
      <c r="F15462" s="2">
        <v>2.8526970954356802E-3</v>
      </c>
    </row>
    <row r="15463" spans="1:6" x14ac:dyDescent="0.25">
      <c r="A15463" s="1" t="str">
        <f t="shared" si="581"/>
        <v>26940</v>
      </c>
      <c r="B15463" s="1" t="str">
        <f>"38761"</f>
        <v>38761</v>
      </c>
      <c r="C15463" s="2">
        <v>4.4830917874396102E-2</v>
      </c>
      <c r="D15463" s="2">
        <v>7.5901328273244697E-3</v>
      </c>
      <c r="E15463" s="2">
        <v>6.0975609756097502E-3</v>
      </c>
      <c r="F15463" s="2">
        <v>4.0888658367911397E-2</v>
      </c>
    </row>
    <row r="15464" spans="1:6" x14ac:dyDescent="0.25">
      <c r="A15464" s="1" t="str">
        <f t="shared" si="581"/>
        <v>26940</v>
      </c>
      <c r="B15464" s="1" t="str">
        <f>"38768"</f>
        <v>38768</v>
      </c>
      <c r="C15464" s="2">
        <v>0</v>
      </c>
      <c r="D15464" s="2">
        <v>9.4876660341555903E-4</v>
      </c>
      <c r="E15464" s="2">
        <v>0</v>
      </c>
      <c r="F15464" s="2">
        <v>8.6445366528354003E-5</v>
      </c>
    </row>
    <row r="15465" spans="1:6" x14ac:dyDescent="0.25">
      <c r="A15465" s="1" t="str">
        <f t="shared" si="581"/>
        <v>26940</v>
      </c>
      <c r="B15465" s="1" t="str">
        <f>"38963"</f>
        <v>38963</v>
      </c>
      <c r="C15465" s="2">
        <v>2.12560386473429E-3</v>
      </c>
      <c r="D15465" s="2">
        <v>0</v>
      </c>
      <c r="E15465" s="2">
        <v>0</v>
      </c>
      <c r="F15465" s="2">
        <v>1.90179806362378E-3</v>
      </c>
    </row>
    <row r="15466" spans="1:6" x14ac:dyDescent="0.25">
      <c r="A15466" s="1" t="str">
        <f t="shared" si="581"/>
        <v>26940</v>
      </c>
      <c r="B15466" s="1" t="str">
        <f>"38737"</f>
        <v>38737</v>
      </c>
      <c r="C15466" s="2">
        <v>0.13748792270531399</v>
      </c>
      <c r="D15466" s="2">
        <v>0.180265654648956</v>
      </c>
      <c r="E15466" s="2">
        <v>0.15243902439024301</v>
      </c>
      <c r="F15466" s="2">
        <v>0.14159751037344301</v>
      </c>
    </row>
    <row r="15467" spans="1:6" x14ac:dyDescent="0.25">
      <c r="A15467" s="1" t="str">
        <f t="shared" si="581"/>
        <v>26940</v>
      </c>
      <c r="B15467" s="1" t="str">
        <f>"38762"</f>
        <v>38762</v>
      </c>
      <c r="C15467" s="2">
        <v>9.6618357487922703E-5</v>
      </c>
      <c r="D15467" s="2">
        <v>0</v>
      </c>
      <c r="E15467" s="2">
        <v>0</v>
      </c>
      <c r="F15467" s="2">
        <v>8.6445366528354003E-5</v>
      </c>
    </row>
    <row r="15468" spans="1:6" x14ac:dyDescent="0.25">
      <c r="A15468" s="1" t="str">
        <f t="shared" si="581"/>
        <v>26940</v>
      </c>
      <c r="B15468" s="1" t="str">
        <f>"38756"</f>
        <v>38756</v>
      </c>
      <c r="C15468" s="2">
        <v>9.6618357487922703E-5</v>
      </c>
      <c r="D15468" s="2">
        <v>0</v>
      </c>
      <c r="E15468" s="2">
        <v>0</v>
      </c>
      <c r="F15468" s="2">
        <v>8.6445366528354003E-5</v>
      </c>
    </row>
    <row r="15469" spans="1:6" x14ac:dyDescent="0.25">
      <c r="A15469" s="1" t="str">
        <f t="shared" si="581"/>
        <v>26940</v>
      </c>
      <c r="B15469" s="1" t="str">
        <f>"38778"</f>
        <v>38778</v>
      </c>
      <c r="C15469" s="2">
        <v>6.08695652173913E-2</v>
      </c>
      <c r="D15469" s="2">
        <v>3.8899430740037898E-2</v>
      </c>
      <c r="E15469" s="2">
        <v>9.7560975609756004E-2</v>
      </c>
      <c r="F15469" s="2">
        <v>5.9387966804979202E-2</v>
      </c>
    </row>
    <row r="15470" spans="1:6" x14ac:dyDescent="0.25">
      <c r="A15470" s="1" t="str">
        <f t="shared" si="581"/>
        <v>26940</v>
      </c>
      <c r="B15470" s="1" t="str">
        <f>"39038"</f>
        <v>39038</v>
      </c>
      <c r="C15470" s="2">
        <v>7.7294685990338097E-4</v>
      </c>
      <c r="D15470" s="2">
        <v>9.4876660341555903E-4</v>
      </c>
      <c r="E15470" s="2">
        <v>0</v>
      </c>
      <c r="F15470" s="2">
        <v>7.7800829875518602E-4</v>
      </c>
    </row>
    <row r="15471" spans="1:6" x14ac:dyDescent="0.25">
      <c r="A15471" s="1" t="str">
        <f t="shared" si="581"/>
        <v>26940</v>
      </c>
      <c r="B15471" s="1" t="str">
        <f>"38732"</f>
        <v>38732</v>
      </c>
      <c r="C15471" s="2">
        <v>1.9130434782608601E-2</v>
      </c>
      <c r="D15471" s="2">
        <v>2.8462998102466702E-3</v>
      </c>
      <c r="E15471" s="2">
        <v>6.0975609756097502E-3</v>
      </c>
      <c r="F15471" s="2">
        <v>1.74619640387275E-2</v>
      </c>
    </row>
    <row r="15472" spans="1:6" x14ac:dyDescent="0.25">
      <c r="A15472" s="1" t="str">
        <f t="shared" si="581"/>
        <v>26940</v>
      </c>
      <c r="B15472" s="1" t="str">
        <f>"38736"</f>
        <v>38736</v>
      </c>
      <c r="C15472" s="2">
        <v>2.6086956521739101E-2</v>
      </c>
      <c r="D15472" s="2">
        <v>1.13851992409867E-2</v>
      </c>
      <c r="E15472" s="2">
        <v>0</v>
      </c>
      <c r="F15472" s="2">
        <v>2.4377593360995799E-2</v>
      </c>
    </row>
    <row r="15473" spans="1:6" x14ac:dyDescent="0.25">
      <c r="A15473" s="1" t="str">
        <f t="shared" si="581"/>
        <v>26940</v>
      </c>
      <c r="B15473" s="1" t="str">
        <f>"38773"</f>
        <v>38773</v>
      </c>
      <c r="C15473" s="2">
        <v>2.2028985507246301E-2</v>
      </c>
      <c r="D15473" s="2">
        <v>9.4876660341555903E-3</v>
      </c>
      <c r="E15473" s="2">
        <v>0</v>
      </c>
      <c r="F15473" s="2">
        <v>2.0573997233748201E-2</v>
      </c>
    </row>
    <row r="15474" spans="1:6" x14ac:dyDescent="0.25">
      <c r="A15474" s="1" t="str">
        <f t="shared" si="581"/>
        <v>26940</v>
      </c>
      <c r="B15474" s="1" t="str">
        <f>"38759"</f>
        <v>38759</v>
      </c>
      <c r="C15474" s="2">
        <v>1.7487922705314001E-2</v>
      </c>
      <c r="D15474" s="2">
        <v>1.89753320683111E-3</v>
      </c>
      <c r="E15474" s="2">
        <v>0</v>
      </c>
      <c r="F15474" s="2">
        <v>1.5819502074688699E-2</v>
      </c>
    </row>
    <row r="15475" spans="1:6" x14ac:dyDescent="0.25">
      <c r="A15475" s="1" t="str">
        <f t="shared" si="581"/>
        <v>26940</v>
      </c>
      <c r="B15475" s="1" t="str">
        <f>"38771"</f>
        <v>38771</v>
      </c>
      <c r="C15475" s="2">
        <v>0.13285024154589301</v>
      </c>
      <c r="D15475" s="2">
        <v>0.14421252371916499</v>
      </c>
      <c r="E15475" s="2">
        <v>0.40853658536585302</v>
      </c>
      <c r="F15475" s="2">
        <v>0.137793914246196</v>
      </c>
    </row>
    <row r="15476" spans="1:6" x14ac:dyDescent="0.25">
      <c r="A15476" s="1" t="str">
        <f t="shared" ref="A15476:A15513" si="582">"26980"</f>
        <v>26980</v>
      </c>
      <c r="B15476" s="1" t="str">
        <f>"52201"</f>
        <v>52201</v>
      </c>
      <c r="C15476" s="2">
        <v>6.3645713594288802E-3</v>
      </c>
      <c r="D15476" s="2">
        <v>4.4862518089725002E-3</v>
      </c>
      <c r="E15476" s="2">
        <v>8.8339222614840902E-4</v>
      </c>
      <c r="F15476" s="2">
        <v>5.9628200631357403E-3</v>
      </c>
    </row>
    <row r="15477" spans="1:6" x14ac:dyDescent="0.25">
      <c r="A15477" s="1" t="str">
        <f t="shared" si="582"/>
        <v>26980</v>
      </c>
      <c r="B15477" s="1" t="str">
        <f>"52245"</f>
        <v>52245</v>
      </c>
      <c r="C15477" s="2">
        <v>0.123213745538145</v>
      </c>
      <c r="D15477" s="2">
        <v>4.9927641099855202E-2</v>
      </c>
      <c r="E15477" s="2">
        <v>0.106890459363957</v>
      </c>
      <c r="F15477" s="2">
        <v>0.11704558740686399</v>
      </c>
    </row>
    <row r="15478" spans="1:6" x14ac:dyDescent="0.25">
      <c r="A15478" s="1" t="str">
        <f t="shared" si="582"/>
        <v>26980</v>
      </c>
      <c r="B15478" s="1" t="str">
        <f>"52246"</f>
        <v>52246</v>
      </c>
      <c r="C15478" s="2">
        <v>0.13757638090628499</v>
      </c>
      <c r="D15478" s="2">
        <v>6.8306801736613604E-2</v>
      </c>
      <c r="E15478" s="2">
        <v>0.15503533568904501</v>
      </c>
      <c r="F15478" s="2">
        <v>0.133329081768225</v>
      </c>
    </row>
    <row r="15479" spans="1:6" x14ac:dyDescent="0.25">
      <c r="A15479" s="1" t="str">
        <f t="shared" si="582"/>
        <v>26980</v>
      </c>
      <c r="B15479" s="1" t="str">
        <f>"52327"</f>
        <v>52327</v>
      </c>
      <c r="C15479" s="2">
        <v>1.6867324097041499E-2</v>
      </c>
      <c r="D15479" s="2">
        <v>3.76266280752532E-3</v>
      </c>
      <c r="E15479" s="2">
        <v>3.9752650176678398E-3</v>
      </c>
      <c r="F15479" s="2">
        <v>1.5284376561121501E-2</v>
      </c>
    </row>
    <row r="15480" spans="1:6" x14ac:dyDescent="0.25">
      <c r="A15480" s="1" t="str">
        <f t="shared" si="582"/>
        <v>26980</v>
      </c>
      <c r="B15480" s="1" t="str">
        <f>"52340"</f>
        <v>52340</v>
      </c>
      <c r="C15480" s="2">
        <v>3.5900538447576902E-2</v>
      </c>
      <c r="D15480" s="2">
        <v>2.5180897250361701E-2</v>
      </c>
      <c r="E15480" s="2">
        <v>1.59010600706713E-2</v>
      </c>
      <c r="F15480" s="2">
        <v>3.4150696725231897E-2</v>
      </c>
    </row>
    <row r="15481" spans="1:6" x14ac:dyDescent="0.25">
      <c r="A15481" s="1" t="str">
        <f t="shared" si="582"/>
        <v>26980</v>
      </c>
      <c r="B15481" s="1" t="str">
        <f>"52242"</f>
        <v>52242</v>
      </c>
      <c r="C15481" s="2">
        <v>4.8399782200980001E-5</v>
      </c>
      <c r="D15481" s="2">
        <v>5.7018813314037603E-2</v>
      </c>
      <c r="E15481" s="2">
        <v>6.6254416961130703E-4</v>
      </c>
      <c r="F15481" s="2">
        <v>4.2621940201736704E-3</v>
      </c>
    </row>
    <row r="15482" spans="1:6" x14ac:dyDescent="0.25">
      <c r="A15482" s="1" t="str">
        <f t="shared" si="582"/>
        <v>26980</v>
      </c>
      <c r="B15482" s="1" t="str">
        <f>"52333"</f>
        <v>52333</v>
      </c>
      <c r="C15482" s="2">
        <v>3.6723334744993598E-2</v>
      </c>
      <c r="D15482" s="2">
        <v>1.4761215629522401E-2</v>
      </c>
      <c r="E15482" s="2">
        <v>1.36925795053003E-2</v>
      </c>
      <c r="F15482" s="2">
        <v>3.4001891946472698E-2</v>
      </c>
    </row>
    <row r="15483" spans="1:6" x14ac:dyDescent="0.25">
      <c r="A15483" s="1" t="str">
        <f t="shared" si="582"/>
        <v>26980</v>
      </c>
      <c r="B15483" s="1" t="str">
        <f>"52236"</f>
        <v>52236</v>
      </c>
      <c r="C15483" s="2">
        <v>0</v>
      </c>
      <c r="D15483" s="2">
        <v>1.44717800289435E-4</v>
      </c>
      <c r="E15483" s="2">
        <v>0</v>
      </c>
      <c r="F15483" s="2">
        <v>1.06289127685129E-5</v>
      </c>
    </row>
    <row r="15484" spans="1:6" x14ac:dyDescent="0.25">
      <c r="A15484" s="1" t="str">
        <f t="shared" si="582"/>
        <v>26980</v>
      </c>
      <c r="B15484" s="1" t="str">
        <f>"52325"</f>
        <v>52325</v>
      </c>
      <c r="C15484" s="2">
        <v>2.0569907435416499E-4</v>
      </c>
      <c r="D15484" s="2">
        <v>0</v>
      </c>
      <c r="E15484" s="2">
        <v>0</v>
      </c>
      <c r="F15484" s="2">
        <v>1.80691517064719E-4</v>
      </c>
    </row>
    <row r="15485" spans="1:6" x14ac:dyDescent="0.25">
      <c r="A15485" s="1" t="str">
        <f t="shared" si="582"/>
        <v>26980</v>
      </c>
      <c r="B15485" s="1" t="str">
        <f>"52766"</f>
        <v>52766</v>
      </c>
      <c r="C15485" s="2">
        <v>9.6799564401960097E-5</v>
      </c>
      <c r="D15485" s="2">
        <v>0</v>
      </c>
      <c r="E15485" s="2">
        <v>0</v>
      </c>
      <c r="F15485" s="2">
        <v>8.5031302148103202E-5</v>
      </c>
    </row>
    <row r="15486" spans="1:6" x14ac:dyDescent="0.25">
      <c r="A15486" s="1" t="str">
        <f t="shared" si="582"/>
        <v>26980</v>
      </c>
      <c r="B15486" s="1" t="str">
        <f>"52248"</f>
        <v>52248</v>
      </c>
      <c r="C15486" s="2">
        <v>2.27478976344606E-3</v>
      </c>
      <c r="D15486" s="2">
        <v>1.7366136034732201E-3</v>
      </c>
      <c r="E15486" s="2">
        <v>0</v>
      </c>
      <c r="F15486" s="2">
        <v>2.12578255370258E-3</v>
      </c>
    </row>
    <row r="15487" spans="1:6" x14ac:dyDescent="0.25">
      <c r="A15487" s="1" t="str">
        <f t="shared" si="582"/>
        <v>26980</v>
      </c>
      <c r="B15487" s="1" t="str">
        <f>"52338"</f>
        <v>52338</v>
      </c>
      <c r="C15487" s="2">
        <v>1.7496521265654302E-2</v>
      </c>
      <c r="D15487" s="2">
        <v>9.6960926193921798E-3</v>
      </c>
      <c r="E15487" s="2">
        <v>5.74204946996466E-3</v>
      </c>
      <c r="F15487" s="2">
        <v>1.6357896750741299E-2</v>
      </c>
    </row>
    <row r="15488" spans="1:6" x14ac:dyDescent="0.25">
      <c r="A15488" s="1" t="str">
        <f t="shared" si="582"/>
        <v>26980</v>
      </c>
      <c r="B15488" s="1" t="str">
        <f>"52203"</f>
        <v>52203</v>
      </c>
      <c r="C15488" s="2">
        <v>8.2279629741666095E-4</v>
      </c>
      <c r="D15488" s="2">
        <v>2.8943560057887097E-4</v>
      </c>
      <c r="E15488" s="2">
        <v>0</v>
      </c>
      <c r="F15488" s="2">
        <v>7.4402389379590297E-4</v>
      </c>
    </row>
    <row r="15489" spans="1:6" x14ac:dyDescent="0.25">
      <c r="A15489" s="1" t="str">
        <f t="shared" si="582"/>
        <v>26980</v>
      </c>
      <c r="B15489" s="1" t="str">
        <f>"52244"</f>
        <v>52244</v>
      </c>
      <c r="C15489" s="2">
        <v>2.03279085244116E-2</v>
      </c>
      <c r="D15489" s="2">
        <v>6.16497829232995E-2</v>
      </c>
      <c r="E15489" s="2">
        <v>4.4169611307420402E-4</v>
      </c>
      <c r="F15489" s="2">
        <v>2.24057481160252E-2</v>
      </c>
    </row>
    <row r="15490" spans="1:6" x14ac:dyDescent="0.25">
      <c r="A15490" s="1" t="str">
        <f t="shared" si="582"/>
        <v>26980</v>
      </c>
      <c r="B15490" s="1" t="str">
        <f>"52322"</f>
        <v>52322</v>
      </c>
      <c r="C15490" s="2">
        <v>1.36245386895758E-2</v>
      </c>
      <c r="D15490" s="2">
        <v>6.8017366136034702E-3</v>
      </c>
      <c r="E15490" s="2">
        <v>3.7544169611307401E-3</v>
      </c>
      <c r="F15490" s="2">
        <v>1.2648406194530301E-2</v>
      </c>
    </row>
    <row r="15491" spans="1:6" x14ac:dyDescent="0.25">
      <c r="A15491" s="1" t="str">
        <f t="shared" si="582"/>
        <v>26980</v>
      </c>
      <c r="B15491" s="1" t="str">
        <f>"52227"</f>
        <v>52227</v>
      </c>
      <c r="C15491" s="2">
        <v>9.6799564401960097E-5</v>
      </c>
      <c r="D15491" s="2">
        <v>0</v>
      </c>
      <c r="E15491" s="2">
        <v>0</v>
      </c>
      <c r="F15491" s="2">
        <v>8.5031302148103202E-5</v>
      </c>
    </row>
    <row r="15492" spans="1:6" x14ac:dyDescent="0.25">
      <c r="A15492" s="1" t="str">
        <f t="shared" si="582"/>
        <v>26980</v>
      </c>
      <c r="B15492" s="1" t="str">
        <f>"52243"</f>
        <v>52243</v>
      </c>
      <c r="C15492" s="2">
        <v>0</v>
      </c>
      <c r="D15492" s="2">
        <v>5.7887120115774195E-4</v>
      </c>
      <c r="E15492" s="2">
        <v>0</v>
      </c>
      <c r="F15492" s="2">
        <v>4.2515651074051601E-5</v>
      </c>
    </row>
    <row r="15493" spans="1:6" x14ac:dyDescent="0.25">
      <c r="A15493" s="1" t="str">
        <f t="shared" si="582"/>
        <v>26980</v>
      </c>
      <c r="B15493" s="1" t="str">
        <f>"52621"</f>
        <v>52621</v>
      </c>
      <c r="C15493" s="2">
        <v>2.8918869865085599E-3</v>
      </c>
      <c r="D15493" s="2">
        <v>1.15774240231548E-3</v>
      </c>
      <c r="E15493" s="2">
        <v>0</v>
      </c>
      <c r="F15493" s="2">
        <v>2.6253414538226802E-3</v>
      </c>
    </row>
    <row r="15494" spans="1:6" x14ac:dyDescent="0.25">
      <c r="A15494" s="1" t="str">
        <f t="shared" si="582"/>
        <v>26980</v>
      </c>
      <c r="B15494" s="1" t="str">
        <f>"52317"</f>
        <v>52317</v>
      </c>
      <c r="C15494" s="2">
        <v>0.120963155665799</v>
      </c>
      <c r="D15494" s="2">
        <v>0.108538350217076</v>
      </c>
      <c r="E15494" s="2">
        <v>9.5406360424028197E-2</v>
      </c>
      <c r="F15494" s="2">
        <v>0.118820615839205</v>
      </c>
    </row>
    <row r="15495" spans="1:6" x14ac:dyDescent="0.25">
      <c r="A15495" s="1" t="str">
        <f t="shared" si="582"/>
        <v>26980</v>
      </c>
      <c r="B15495" s="1" t="str">
        <f>"52353"</f>
        <v>52353</v>
      </c>
      <c r="C15495" s="2">
        <v>5.1013370439832999E-2</v>
      </c>
      <c r="D15495" s="2">
        <v>6.49782923299565E-2</v>
      </c>
      <c r="E15495" s="2">
        <v>3.4893992932862099E-2</v>
      </c>
      <c r="F15495" s="2">
        <v>5.12632462825377E-2</v>
      </c>
    </row>
    <row r="15496" spans="1:6" x14ac:dyDescent="0.25">
      <c r="A15496" s="1" t="str">
        <f t="shared" si="582"/>
        <v>26980</v>
      </c>
      <c r="B15496" s="1" t="str">
        <f>"52540"</f>
        <v>52540</v>
      </c>
      <c r="C15496" s="2">
        <v>5.6264746808639297E-3</v>
      </c>
      <c r="D15496" s="2">
        <v>3.1837916063675799E-3</v>
      </c>
      <c r="E15496" s="2">
        <v>1.10424028268551E-3</v>
      </c>
      <c r="F15496" s="2">
        <v>5.2294250821083499E-3</v>
      </c>
    </row>
    <row r="15497" spans="1:6" x14ac:dyDescent="0.25">
      <c r="A15497" s="1" t="str">
        <f t="shared" si="582"/>
        <v>26980</v>
      </c>
      <c r="B15497" s="1" t="str">
        <f>"52755"</f>
        <v>52755</v>
      </c>
      <c r="C15497" s="2">
        <v>1.14223485994313E-2</v>
      </c>
      <c r="D15497" s="2">
        <v>2.6049204052098398E-3</v>
      </c>
      <c r="E15497" s="2">
        <v>5.3003533568904502E-3</v>
      </c>
      <c r="F15497" s="2">
        <v>1.04801079897537E-2</v>
      </c>
    </row>
    <row r="15498" spans="1:6" x14ac:dyDescent="0.25">
      <c r="A15498" s="1" t="str">
        <f t="shared" si="582"/>
        <v>26980</v>
      </c>
      <c r="B15498" s="1" t="str">
        <f>"52358"</f>
        <v>52358</v>
      </c>
      <c r="C15498" s="2">
        <v>1.29469417387621E-3</v>
      </c>
      <c r="D15498" s="2">
        <v>0</v>
      </c>
      <c r="E15498" s="2">
        <v>0</v>
      </c>
      <c r="F15498" s="2">
        <v>1.1372936662308801E-3</v>
      </c>
    </row>
    <row r="15499" spans="1:6" x14ac:dyDescent="0.25">
      <c r="A15499" s="1" t="str">
        <f t="shared" si="582"/>
        <v>26980</v>
      </c>
      <c r="B15499" s="1" t="str">
        <f>"52776"</f>
        <v>52776</v>
      </c>
      <c r="C15499" s="2">
        <v>8.4699618851715095E-5</v>
      </c>
      <c r="D15499" s="2">
        <v>0</v>
      </c>
      <c r="E15499" s="2">
        <v>0</v>
      </c>
      <c r="F15499" s="2">
        <v>7.4402389379590295E-5</v>
      </c>
    </row>
    <row r="15500" spans="1:6" x14ac:dyDescent="0.25">
      <c r="A15500" s="1" t="str">
        <f t="shared" si="582"/>
        <v>26980</v>
      </c>
      <c r="B15500" s="1" t="str">
        <f>"52738"</f>
        <v>52738</v>
      </c>
      <c r="C15500" s="2">
        <v>8.4699618851715095E-5</v>
      </c>
      <c r="D15500" s="2">
        <v>0</v>
      </c>
      <c r="E15500" s="2">
        <v>0</v>
      </c>
      <c r="F15500" s="2">
        <v>7.4402389379590295E-5</v>
      </c>
    </row>
    <row r="15501" spans="1:6" x14ac:dyDescent="0.25">
      <c r="A15501" s="1" t="str">
        <f t="shared" si="582"/>
        <v>26980</v>
      </c>
      <c r="B15501" s="1" t="str">
        <f>"52253"</f>
        <v>52253</v>
      </c>
      <c r="C15501" s="2">
        <v>6.6549700526347599E-4</v>
      </c>
      <c r="D15501" s="2">
        <v>1.44717800289435E-4</v>
      </c>
      <c r="E15501" s="2">
        <v>0</v>
      </c>
      <c r="F15501" s="2">
        <v>5.9521911503672203E-4</v>
      </c>
    </row>
    <row r="15502" spans="1:6" x14ac:dyDescent="0.25">
      <c r="A15502" s="1" t="str">
        <f t="shared" si="582"/>
        <v>26980</v>
      </c>
      <c r="B15502" s="1" t="str">
        <f>"52240"</f>
        <v>52240</v>
      </c>
      <c r="C15502" s="2">
        <v>0.205759574081916</v>
      </c>
      <c r="D15502" s="2">
        <v>0.27322720694645403</v>
      </c>
      <c r="E15502" s="2">
        <v>0.29637809187279102</v>
      </c>
      <c r="F15502" s="2">
        <v>0.21507604987085799</v>
      </c>
    </row>
    <row r="15503" spans="1:6" x14ac:dyDescent="0.25">
      <c r="A15503" s="1" t="str">
        <f t="shared" si="582"/>
        <v>26980</v>
      </c>
      <c r="B15503" s="1" t="str">
        <f>"52228"</f>
        <v>52228</v>
      </c>
      <c r="C15503" s="2">
        <v>3.3879847540686E-4</v>
      </c>
      <c r="D15503" s="2">
        <v>0</v>
      </c>
      <c r="E15503" s="2">
        <v>0</v>
      </c>
      <c r="F15503" s="2">
        <v>2.9760955751836102E-4</v>
      </c>
    </row>
    <row r="15504" spans="1:6" x14ac:dyDescent="0.25">
      <c r="A15504" s="1" t="str">
        <f t="shared" si="582"/>
        <v>26980</v>
      </c>
      <c r="B15504" s="1" t="str">
        <f>"52641"</f>
        <v>52641</v>
      </c>
      <c r="C15504" s="2">
        <v>2.7829874765563501E-4</v>
      </c>
      <c r="D15504" s="2">
        <v>0</v>
      </c>
      <c r="E15504" s="2">
        <v>0</v>
      </c>
      <c r="F15504" s="2">
        <v>2.4446499367579601E-4</v>
      </c>
    </row>
    <row r="15505" spans="1:6" x14ac:dyDescent="0.25">
      <c r="A15505" s="1" t="str">
        <f t="shared" si="582"/>
        <v>26980</v>
      </c>
      <c r="B15505" s="1" t="str">
        <f>"52359"</f>
        <v>52359</v>
      </c>
      <c r="C15505" s="2">
        <v>1.5003932482303801E-3</v>
      </c>
      <c r="D15505" s="2">
        <v>1.5918958031837899E-3</v>
      </c>
      <c r="E15505" s="2">
        <v>2.2084805653710201E-4</v>
      </c>
      <c r="F15505" s="2">
        <v>1.44553213651775E-3</v>
      </c>
    </row>
    <row r="15506" spans="1:6" x14ac:dyDescent="0.25">
      <c r="A15506" s="1" t="str">
        <f t="shared" si="582"/>
        <v>26980</v>
      </c>
      <c r="B15506" s="1" t="str">
        <f>"52247"</f>
        <v>52247</v>
      </c>
      <c r="C15506" s="2">
        <v>2.9669066489200702E-2</v>
      </c>
      <c r="D15506" s="2">
        <v>3.1548480463096898E-2</v>
      </c>
      <c r="E15506" s="2">
        <v>1.72261484098939E-2</v>
      </c>
      <c r="F15506" s="2">
        <v>2.9208252287873399E-2</v>
      </c>
    </row>
    <row r="15507" spans="1:6" x14ac:dyDescent="0.25">
      <c r="A15507" s="1" t="str">
        <f t="shared" si="582"/>
        <v>26980</v>
      </c>
      <c r="B15507" s="1" t="str">
        <f>"52235"</f>
        <v>52235</v>
      </c>
      <c r="C15507" s="2">
        <v>6.12257244842398E-3</v>
      </c>
      <c r="D15507" s="2">
        <v>3.1837916063675799E-3</v>
      </c>
      <c r="E15507" s="2">
        <v>5.5212014134275603E-3</v>
      </c>
      <c r="F15507" s="2">
        <v>5.8777887609876298E-3</v>
      </c>
    </row>
    <row r="15508" spans="1:6" x14ac:dyDescent="0.25">
      <c r="A15508" s="1" t="str">
        <f t="shared" si="582"/>
        <v>26980</v>
      </c>
      <c r="B15508" s="1" t="str">
        <f>"52654"</f>
        <v>52654</v>
      </c>
      <c r="C15508" s="2">
        <v>1.22209450057474E-3</v>
      </c>
      <c r="D15508" s="2">
        <v>8.6830680173661298E-4</v>
      </c>
      <c r="E15508" s="2">
        <v>0</v>
      </c>
      <c r="F15508" s="2">
        <v>1.1372936662308801E-3</v>
      </c>
    </row>
    <row r="15509" spans="1:6" x14ac:dyDescent="0.25">
      <c r="A15509" s="1" t="str">
        <f t="shared" si="582"/>
        <v>26980</v>
      </c>
      <c r="B15509" s="1" t="str">
        <f>"52314"</f>
        <v>52314</v>
      </c>
      <c r="C15509" s="2">
        <v>1.2099945550245E-5</v>
      </c>
      <c r="D15509" s="2">
        <v>0</v>
      </c>
      <c r="E15509" s="2">
        <v>0</v>
      </c>
      <c r="F15509" s="2">
        <v>1.06289127685129E-5</v>
      </c>
    </row>
    <row r="15510" spans="1:6" x14ac:dyDescent="0.25">
      <c r="A15510" s="1" t="str">
        <f t="shared" si="582"/>
        <v>26980</v>
      </c>
      <c r="B15510" s="1" t="str">
        <f>"52585"</f>
        <v>52585</v>
      </c>
      <c r="C15510" s="2">
        <v>7.0179684191421096E-4</v>
      </c>
      <c r="D15510" s="2">
        <v>1.44717800289435E-4</v>
      </c>
      <c r="E15510" s="2">
        <v>2.2084805653710201E-4</v>
      </c>
      <c r="F15510" s="2">
        <v>6.3773476611077404E-4</v>
      </c>
    </row>
    <row r="15511" spans="1:6" x14ac:dyDescent="0.25">
      <c r="A15511" s="1" t="str">
        <f t="shared" si="582"/>
        <v>26980</v>
      </c>
      <c r="B15511" s="1" t="str">
        <f>"52404"</f>
        <v>52404</v>
      </c>
      <c r="C15511" s="2">
        <v>5.2029765866053602E-4</v>
      </c>
      <c r="D15511" s="2">
        <v>8.6830680173661298E-4</v>
      </c>
      <c r="E15511" s="2">
        <v>4.4169611307420402E-4</v>
      </c>
      <c r="F15511" s="2">
        <v>5.4207455119415805E-4</v>
      </c>
    </row>
    <row r="15512" spans="1:6" x14ac:dyDescent="0.25">
      <c r="A15512" s="1" t="str">
        <f t="shared" si="582"/>
        <v>26980</v>
      </c>
      <c r="B15512" s="1" t="str">
        <f>"52241"</f>
        <v>52241</v>
      </c>
      <c r="C15512" s="2">
        <v>0.135398390707241</v>
      </c>
      <c r="D15512" s="2">
        <v>0.200144717800289</v>
      </c>
      <c r="E15512" s="2">
        <v>0.22946113074204899</v>
      </c>
      <c r="F15512" s="2">
        <v>0.14468076060499699</v>
      </c>
    </row>
    <row r="15513" spans="1:6" x14ac:dyDescent="0.25">
      <c r="A15513" s="1" t="str">
        <f t="shared" si="582"/>
        <v>26980</v>
      </c>
      <c r="B15513" s="1" t="str">
        <f>"52356"</f>
        <v>52356</v>
      </c>
      <c r="C15513" s="2">
        <v>1.27896424466089E-2</v>
      </c>
      <c r="D15513" s="2">
        <v>3.4732272069464502E-3</v>
      </c>
      <c r="E15513" s="2">
        <v>6.8462897526501698E-3</v>
      </c>
      <c r="F15513" s="2">
        <v>1.18193509985863E-2</v>
      </c>
    </row>
    <row r="15514" spans="1:6" x14ac:dyDescent="0.25">
      <c r="A15514" s="1" t="str">
        <f t="shared" ref="A15514:A15531" si="583">"27020"</f>
        <v>27020</v>
      </c>
      <c r="B15514" s="1" t="str">
        <f>"49815"</f>
        <v>49815</v>
      </c>
      <c r="C15514" s="2">
        <v>1.5776017958471E-2</v>
      </c>
      <c r="D15514" s="2">
        <v>2.8388928317955898E-3</v>
      </c>
      <c r="E15514" s="2">
        <v>9.2592592592592501E-3</v>
      </c>
      <c r="F15514" s="2">
        <v>1.45989484282358E-2</v>
      </c>
    </row>
    <row r="15515" spans="1:6" x14ac:dyDescent="0.25">
      <c r="A15515" s="1" t="str">
        <f t="shared" si="583"/>
        <v>27020</v>
      </c>
      <c r="B15515" s="1" t="str">
        <f>"54121"</f>
        <v>54121</v>
      </c>
      <c r="C15515" s="2">
        <v>0.11816424518301399</v>
      </c>
      <c r="D15515" s="2">
        <v>6.1745919091554198E-2</v>
      </c>
      <c r="E15515" s="2">
        <v>6.0185185185185099E-2</v>
      </c>
      <c r="F15515" s="2">
        <v>0.112316813961293</v>
      </c>
    </row>
    <row r="15516" spans="1:6" x14ac:dyDescent="0.25">
      <c r="A15516" s="1" t="str">
        <f t="shared" si="583"/>
        <v>27020</v>
      </c>
      <c r="B15516" s="1" t="str">
        <f>"49831"</f>
        <v>49831</v>
      </c>
      <c r="C15516" s="2">
        <v>2.3445781629980601E-2</v>
      </c>
      <c r="D15516" s="2">
        <v>1.4194464158977899E-3</v>
      </c>
      <c r="E15516" s="2">
        <v>2.3148148148148099E-3</v>
      </c>
      <c r="F15516" s="2">
        <v>2.1199239288511001E-2</v>
      </c>
    </row>
    <row r="15517" spans="1:6" x14ac:dyDescent="0.25">
      <c r="A15517" s="1" t="str">
        <f t="shared" si="583"/>
        <v>27020</v>
      </c>
      <c r="B15517" s="1" t="str">
        <f>"49873"</f>
        <v>49873</v>
      </c>
      <c r="C15517" s="2">
        <v>4.3649061545176701E-4</v>
      </c>
      <c r="D15517" s="2">
        <v>0</v>
      </c>
      <c r="E15517" s="2">
        <v>2.3148148148148099E-3</v>
      </c>
      <c r="F15517" s="2">
        <v>4.4747734645933502E-4</v>
      </c>
    </row>
    <row r="15518" spans="1:6" x14ac:dyDescent="0.25">
      <c r="A15518" s="1" t="str">
        <f t="shared" si="583"/>
        <v>27020</v>
      </c>
      <c r="B15518" s="1" t="str">
        <f>"49920"</f>
        <v>49920</v>
      </c>
      <c r="C15518" s="2">
        <v>3.11779011036976E-4</v>
      </c>
      <c r="D15518" s="2">
        <v>0</v>
      </c>
      <c r="E15518" s="2">
        <v>0</v>
      </c>
      <c r="F15518" s="2">
        <v>2.7967334153708402E-4</v>
      </c>
    </row>
    <row r="15519" spans="1:6" x14ac:dyDescent="0.25">
      <c r="A15519" s="1" t="str">
        <f t="shared" si="583"/>
        <v>27020</v>
      </c>
      <c r="B15519" s="1" t="str">
        <f>"54103"</f>
        <v>54103</v>
      </c>
      <c r="C15519" s="2">
        <v>3.11779011036976E-4</v>
      </c>
      <c r="D15519" s="2">
        <v>0</v>
      </c>
      <c r="E15519" s="2">
        <v>0</v>
      </c>
      <c r="F15519" s="2">
        <v>2.7967334153708402E-4</v>
      </c>
    </row>
    <row r="15520" spans="1:6" x14ac:dyDescent="0.25">
      <c r="A15520" s="1" t="str">
        <f t="shared" si="583"/>
        <v>27020</v>
      </c>
      <c r="B15520" s="1" t="str">
        <f>"49881"</f>
        <v>49881</v>
      </c>
      <c r="C15520" s="2">
        <v>1.22217372326494E-2</v>
      </c>
      <c r="D15520" s="2">
        <v>4.96806245564229E-3</v>
      </c>
      <c r="E15520" s="2">
        <v>2.3148148148148099E-3</v>
      </c>
      <c r="F15520" s="2">
        <v>1.1410672334713001E-2</v>
      </c>
    </row>
    <row r="15521" spans="1:6" x14ac:dyDescent="0.25">
      <c r="A15521" s="1" t="str">
        <f t="shared" si="583"/>
        <v>27020</v>
      </c>
      <c r="B15521" s="1" t="str">
        <f>"49876"</f>
        <v>49876</v>
      </c>
      <c r="C15521" s="2">
        <v>2.5940013718276402E-2</v>
      </c>
      <c r="D15521" s="2">
        <v>7.8069552874378903E-3</v>
      </c>
      <c r="E15521" s="2">
        <v>2.3148148148148099E-3</v>
      </c>
      <c r="F15521" s="2">
        <v>2.3940038035574401E-2</v>
      </c>
    </row>
    <row r="15522" spans="1:6" x14ac:dyDescent="0.25">
      <c r="A15522" s="1" t="str">
        <f t="shared" si="583"/>
        <v>27020</v>
      </c>
      <c r="B15522" s="1" t="str">
        <f>"49834"</f>
        <v>49834</v>
      </c>
      <c r="C15522" s="2">
        <v>1.7147845607033699E-2</v>
      </c>
      <c r="D15522" s="2">
        <v>2.8388928317955898E-3</v>
      </c>
      <c r="E15522" s="2">
        <v>1.6203703703703699E-2</v>
      </c>
      <c r="F15522" s="2">
        <v>1.5997315135921199E-2</v>
      </c>
    </row>
    <row r="15523" spans="1:6" x14ac:dyDescent="0.25">
      <c r="A15523" s="1" t="str">
        <f t="shared" si="583"/>
        <v>27020</v>
      </c>
      <c r="B15523" s="1" t="str">
        <f>"49801"</f>
        <v>49801</v>
      </c>
      <c r="C15523" s="2">
        <v>0.361601297000685</v>
      </c>
      <c r="D15523" s="2">
        <v>0.59261887863733098</v>
      </c>
      <c r="E15523" s="2">
        <v>0.54398148148148096</v>
      </c>
      <c r="F15523" s="2">
        <v>0.38421523660364598</v>
      </c>
    </row>
    <row r="15524" spans="1:6" x14ac:dyDescent="0.25">
      <c r="A15524" s="1" t="str">
        <f t="shared" si="583"/>
        <v>27020</v>
      </c>
      <c r="B15524" s="1" t="str">
        <f>"54151"</f>
        <v>54151</v>
      </c>
      <c r="C15524" s="2">
        <v>3.2425017147845597E-2</v>
      </c>
      <c r="D15524" s="2">
        <v>2.0581973030518001E-2</v>
      </c>
      <c r="E15524" s="2">
        <v>4.6296296296296198E-3</v>
      </c>
      <c r="F15524" s="2">
        <v>3.08200022373867E-2</v>
      </c>
    </row>
    <row r="15525" spans="1:6" x14ac:dyDescent="0.25">
      <c r="A15525" s="1" t="str">
        <f t="shared" si="583"/>
        <v>27020</v>
      </c>
      <c r="B15525" s="1" t="str">
        <f>"49870"</f>
        <v>49870</v>
      </c>
      <c r="C15525" s="2">
        <v>0.106441354368023</v>
      </c>
      <c r="D15525" s="2">
        <v>0.106458481192334</v>
      </c>
      <c r="E15525" s="2">
        <v>0.11111111111111099</v>
      </c>
      <c r="F15525" s="2">
        <v>0.106555543125629</v>
      </c>
    </row>
    <row r="15526" spans="1:6" x14ac:dyDescent="0.25">
      <c r="A15526" s="1" t="str">
        <f t="shared" si="583"/>
        <v>27020</v>
      </c>
      <c r="B15526" s="1" t="str">
        <f>"54120"</f>
        <v>54120</v>
      </c>
      <c r="C15526" s="2">
        <v>5.3625989898360002E-3</v>
      </c>
      <c r="D15526" s="2">
        <v>0</v>
      </c>
      <c r="E15526" s="2">
        <v>2.3148148148148099E-3</v>
      </c>
      <c r="F15526" s="2">
        <v>4.8663161427452703E-3</v>
      </c>
    </row>
    <row r="15527" spans="1:6" x14ac:dyDescent="0.25">
      <c r="A15527" s="1" t="str">
        <f t="shared" si="583"/>
        <v>27020</v>
      </c>
      <c r="B15527" s="1" t="str">
        <f>"49852"</f>
        <v>49852</v>
      </c>
      <c r="C15527" s="2">
        <v>4.1154829456880896E-3</v>
      </c>
      <c r="D15527" s="2">
        <v>1.4194464158977899E-3</v>
      </c>
      <c r="E15527" s="2">
        <v>4.6296296296296198E-3</v>
      </c>
      <c r="F15527" s="2">
        <v>3.9154267815191797E-3</v>
      </c>
    </row>
    <row r="15528" spans="1:6" x14ac:dyDescent="0.25">
      <c r="A15528" s="1" t="str">
        <f t="shared" si="583"/>
        <v>27020</v>
      </c>
      <c r="B15528" s="1" t="str">
        <f>"49892"</f>
        <v>49892</v>
      </c>
      <c r="C15528" s="2">
        <v>5.9799214316892099E-2</v>
      </c>
      <c r="D15528" s="2">
        <v>7.8069552874378903E-3</v>
      </c>
      <c r="E15528" s="2">
        <v>9.2592592592592501E-3</v>
      </c>
      <c r="F15528" s="2">
        <v>5.4480366931424003E-2</v>
      </c>
    </row>
    <row r="15529" spans="1:6" x14ac:dyDescent="0.25">
      <c r="A15529" s="1" t="str">
        <f t="shared" si="583"/>
        <v>27020</v>
      </c>
      <c r="B15529" s="1" t="str">
        <f>"49877"</f>
        <v>49877</v>
      </c>
      <c r="C15529" s="2">
        <v>0</v>
      </c>
      <c r="D15529" s="2">
        <v>0</v>
      </c>
      <c r="E15529" s="2">
        <v>4.6296296296296198E-3</v>
      </c>
      <c r="F15529" s="2">
        <v>1.1186933661483299E-4</v>
      </c>
    </row>
    <row r="15530" spans="1:6" x14ac:dyDescent="0.25">
      <c r="A15530" s="1" t="str">
        <f t="shared" si="583"/>
        <v>27020</v>
      </c>
      <c r="B15530" s="1" t="str">
        <f>"54542"</f>
        <v>54542</v>
      </c>
      <c r="C15530" s="2">
        <v>1.4404190309908299E-2</v>
      </c>
      <c r="D15530" s="2">
        <v>4.96806245564229E-3</v>
      </c>
      <c r="E15530" s="2">
        <v>2.3148148148148099E-3</v>
      </c>
      <c r="F15530" s="2">
        <v>1.33683857254726E-2</v>
      </c>
    </row>
    <row r="15531" spans="1:6" x14ac:dyDescent="0.25">
      <c r="A15531" s="1" t="str">
        <f t="shared" si="583"/>
        <v>27020</v>
      </c>
      <c r="B15531" s="1" t="str">
        <f>"49802"</f>
        <v>49802</v>
      </c>
      <c r="C15531" s="2">
        <v>0.20209515495416799</v>
      </c>
      <c r="D15531" s="2">
        <v>0.184528034066713</v>
      </c>
      <c r="E15531" s="2">
        <v>0.22222222222222199</v>
      </c>
      <c r="F15531" s="2">
        <v>0.201197001901778</v>
      </c>
    </row>
    <row r="15532" spans="1:6" x14ac:dyDescent="0.25">
      <c r="A15532" s="1" t="str">
        <f t="shared" ref="A15532:A15552" si="584">"27060"</f>
        <v>27060</v>
      </c>
      <c r="B15532" s="1" t="str">
        <f>"13102"</f>
        <v>13102</v>
      </c>
      <c r="C15532" s="2">
        <v>5.83947920496572E-4</v>
      </c>
      <c r="D15532" s="2">
        <v>0</v>
      </c>
      <c r="E15532" s="2">
        <v>6.83760683760683E-4</v>
      </c>
      <c r="F15532" s="2">
        <v>5.4841149773071098E-4</v>
      </c>
    </row>
    <row r="15533" spans="1:6" x14ac:dyDescent="0.25">
      <c r="A15533" s="1" t="str">
        <f t="shared" si="584"/>
        <v>27060</v>
      </c>
      <c r="B15533" s="1" t="str">
        <f>"13736"</f>
        <v>13736</v>
      </c>
      <c r="C15533" s="2">
        <v>3.0711335077967801E-3</v>
      </c>
      <c r="D15533" s="2">
        <v>8.06885422270037E-4</v>
      </c>
      <c r="E15533" s="2">
        <v>0</v>
      </c>
      <c r="F15533" s="2">
        <v>2.7420574886535499E-3</v>
      </c>
    </row>
    <row r="15534" spans="1:6" x14ac:dyDescent="0.25">
      <c r="A15534" s="1" t="str">
        <f t="shared" si="584"/>
        <v>27060</v>
      </c>
      <c r="B15534" s="1" t="str">
        <f>"13062"</f>
        <v>13062</v>
      </c>
      <c r="C15534" s="2">
        <v>8.4348032960615896E-4</v>
      </c>
      <c r="D15534" s="2">
        <v>0</v>
      </c>
      <c r="E15534" s="2">
        <v>6.83760683760683E-4</v>
      </c>
      <c r="F15534" s="2">
        <v>7.7534039334341905E-4</v>
      </c>
    </row>
    <row r="15535" spans="1:6" x14ac:dyDescent="0.25">
      <c r="A15535" s="1" t="str">
        <f t="shared" si="584"/>
        <v>27060</v>
      </c>
      <c r="B15535" s="1" t="str">
        <f>"13864"</f>
        <v>13864</v>
      </c>
      <c r="C15535" s="2">
        <v>3.3090382161472401E-3</v>
      </c>
      <c r="D15535" s="2">
        <v>0</v>
      </c>
      <c r="E15535" s="2">
        <v>0</v>
      </c>
      <c r="F15535" s="2">
        <v>2.8933434190620199E-3</v>
      </c>
    </row>
    <row r="15536" spans="1:6" x14ac:dyDescent="0.25">
      <c r="A15536" s="1" t="str">
        <f t="shared" si="584"/>
        <v>27060</v>
      </c>
      <c r="B15536" s="1" t="str">
        <f>"14817"</f>
        <v>14817</v>
      </c>
      <c r="C15536" s="2">
        <v>2.59532409109587E-2</v>
      </c>
      <c r="D15536" s="2">
        <v>3.7654653039268398E-3</v>
      </c>
      <c r="E15536" s="2">
        <v>1.26495726495726E-2</v>
      </c>
      <c r="F15536" s="2">
        <v>2.3657337367624799E-2</v>
      </c>
    </row>
    <row r="15537" spans="1:6" x14ac:dyDescent="0.25">
      <c r="A15537" s="1" t="str">
        <f t="shared" si="584"/>
        <v>27060</v>
      </c>
      <c r="B15537" s="1" t="str">
        <f>"14867"</f>
        <v>14867</v>
      </c>
      <c r="C15537" s="2">
        <v>5.6491554382853498E-2</v>
      </c>
      <c r="D15537" s="2">
        <v>1.34480903711672E-2</v>
      </c>
      <c r="E15537" s="2">
        <v>2.6666666666666599E-2</v>
      </c>
      <c r="F15537" s="2">
        <v>5.1815431164901601E-2</v>
      </c>
    </row>
    <row r="15538" spans="1:6" x14ac:dyDescent="0.25">
      <c r="A15538" s="1" t="str">
        <f t="shared" si="584"/>
        <v>27060</v>
      </c>
      <c r="B15538" s="1" t="str">
        <f>"14881"</f>
        <v>14881</v>
      </c>
      <c r="C15538" s="2">
        <v>2.4655578865410799E-3</v>
      </c>
      <c r="D15538" s="2">
        <v>1.07584722969338E-3</v>
      </c>
      <c r="E15538" s="2">
        <v>1.02564102564102E-3</v>
      </c>
      <c r="F15538" s="2">
        <v>2.2881996974281299E-3</v>
      </c>
    </row>
    <row r="15539" spans="1:6" x14ac:dyDescent="0.25">
      <c r="A15539" s="1" t="str">
        <f t="shared" si="584"/>
        <v>27060</v>
      </c>
      <c r="B15539" s="1" t="str">
        <f>"13092"</f>
        <v>13092</v>
      </c>
      <c r="C15539" s="2">
        <v>2.6385794926141399E-3</v>
      </c>
      <c r="D15539" s="2">
        <v>2.68961807423345E-4</v>
      </c>
      <c r="E15539" s="2">
        <v>3.4188034188034101E-4</v>
      </c>
      <c r="F15539" s="2">
        <v>2.34493192133131E-3</v>
      </c>
    </row>
    <row r="15540" spans="1:6" x14ac:dyDescent="0.25">
      <c r="A15540" s="1" t="str">
        <f t="shared" si="584"/>
        <v>27060</v>
      </c>
      <c r="B15540" s="1" t="str">
        <f>"13081"</f>
        <v>13081</v>
      </c>
      <c r="C15540" s="2">
        <v>2.1627700759132201E-5</v>
      </c>
      <c r="D15540" s="2">
        <v>0</v>
      </c>
      <c r="E15540" s="2">
        <v>0</v>
      </c>
      <c r="F15540" s="2">
        <v>1.8910741301059E-5</v>
      </c>
    </row>
    <row r="15541" spans="1:6" x14ac:dyDescent="0.25">
      <c r="A15541" s="1" t="str">
        <f t="shared" si="584"/>
        <v>27060</v>
      </c>
      <c r="B15541" s="1" t="str">
        <f>"14886"</f>
        <v>14886</v>
      </c>
      <c r="C15541" s="2">
        <v>4.0573566624132099E-2</v>
      </c>
      <c r="D15541" s="2">
        <v>9.9515868746637894E-3</v>
      </c>
      <c r="E15541" s="2">
        <v>1.74358974358974E-2</v>
      </c>
      <c r="F15541" s="2">
        <v>3.7140695915279798E-2</v>
      </c>
    </row>
    <row r="15542" spans="1:6" x14ac:dyDescent="0.25">
      <c r="A15542" s="1" t="str">
        <f t="shared" si="584"/>
        <v>27060</v>
      </c>
      <c r="B15542" s="1" t="str">
        <f>"14882"</f>
        <v>14882</v>
      </c>
      <c r="C15542" s="2">
        <v>3.8562190453532798E-2</v>
      </c>
      <c r="D15542" s="2">
        <v>2.5282409897794501E-2</v>
      </c>
      <c r="E15542" s="2">
        <v>3.2478632478632398E-2</v>
      </c>
      <c r="F15542" s="2">
        <v>3.7291981845688299E-2</v>
      </c>
    </row>
    <row r="15543" spans="1:6" x14ac:dyDescent="0.25">
      <c r="A15543" s="1" t="str">
        <f t="shared" si="584"/>
        <v>27060</v>
      </c>
      <c r="B15543" s="1" t="str">
        <f>"13068"</f>
        <v>13068</v>
      </c>
      <c r="C15543" s="2">
        <v>5.1906481821917497E-2</v>
      </c>
      <c r="D15543" s="2">
        <v>1.5330823023130701E-2</v>
      </c>
      <c r="E15543" s="2">
        <v>2.8376068376068299E-2</v>
      </c>
      <c r="F15543" s="2">
        <v>4.8033282904689799E-2</v>
      </c>
    </row>
    <row r="15544" spans="1:6" x14ac:dyDescent="0.25">
      <c r="A15544" s="1" t="str">
        <f t="shared" si="584"/>
        <v>27060</v>
      </c>
      <c r="B15544" s="1" t="str">
        <f>"14852"</f>
        <v>14852</v>
      </c>
      <c r="C15544" s="2">
        <v>1.76914592209702E-2</v>
      </c>
      <c r="D15544" s="2">
        <v>4.8951048951048903E-2</v>
      </c>
      <c r="E15544" s="2">
        <v>6.83760683760683E-4</v>
      </c>
      <c r="F15544" s="2">
        <v>1.89485627836611E-2</v>
      </c>
    </row>
    <row r="15545" spans="1:6" x14ac:dyDescent="0.25">
      <c r="A15545" s="1" t="str">
        <f t="shared" si="584"/>
        <v>27060</v>
      </c>
      <c r="B15545" s="1" t="str">
        <f>"13073"</f>
        <v>13073</v>
      </c>
      <c r="C15545" s="2">
        <v>6.0600817527088603E-2</v>
      </c>
      <c r="D15545" s="2">
        <v>2.7434104357181199E-2</v>
      </c>
      <c r="E15545" s="2">
        <v>4.75213675213675E-2</v>
      </c>
      <c r="F15545" s="2">
        <v>5.75453857791225E-2</v>
      </c>
    </row>
    <row r="15546" spans="1:6" x14ac:dyDescent="0.25">
      <c r="A15546" s="1" t="str">
        <f t="shared" si="584"/>
        <v>27060</v>
      </c>
      <c r="B15546" s="1" t="str">
        <f>"13053"</f>
        <v>13053</v>
      </c>
      <c r="C15546" s="2">
        <v>3.3349914570582E-2</v>
      </c>
      <c r="D15546" s="2">
        <v>1.07584722969338E-2</v>
      </c>
      <c r="E15546" s="2">
        <v>2.6324786324786301E-2</v>
      </c>
      <c r="F15546" s="2">
        <v>3.1372919818456801E-2</v>
      </c>
    </row>
    <row r="15547" spans="1:6" x14ac:dyDescent="0.25">
      <c r="A15547" s="1" t="str">
        <f t="shared" si="584"/>
        <v>27060</v>
      </c>
      <c r="B15547" s="1" t="str">
        <f>"14851"</f>
        <v>14851</v>
      </c>
      <c r="C15547" s="2">
        <v>1.88593550619633E-2</v>
      </c>
      <c r="D15547" s="2">
        <v>0.103281334050564</v>
      </c>
      <c r="E15547" s="2">
        <v>3.4188034188034101E-4</v>
      </c>
      <c r="F15547" s="2">
        <v>2.3770801815431099E-2</v>
      </c>
    </row>
    <row r="15548" spans="1:6" x14ac:dyDescent="0.25">
      <c r="A15548" s="1" t="str">
        <f t="shared" si="584"/>
        <v>27060</v>
      </c>
      <c r="B15548" s="1" t="str">
        <f>"14853"</f>
        <v>14853</v>
      </c>
      <c r="C15548" s="2">
        <v>2.1627700759132201E-5</v>
      </c>
      <c r="D15548" s="2">
        <v>4.2227003765465301E-2</v>
      </c>
      <c r="E15548" s="2">
        <v>3.4188034188034101E-4</v>
      </c>
      <c r="F15548" s="2">
        <v>3.0068078668683798E-3</v>
      </c>
    </row>
    <row r="15549" spans="1:6" x14ac:dyDescent="0.25">
      <c r="A15549" s="1" t="str">
        <f t="shared" si="584"/>
        <v>27060</v>
      </c>
      <c r="B15549" s="1" t="str">
        <f>"14883"</f>
        <v>14883</v>
      </c>
      <c r="C15549" s="2">
        <v>9.3215390271860106E-3</v>
      </c>
      <c r="D15549" s="2">
        <v>1.34480903711672E-3</v>
      </c>
      <c r="E15549" s="2">
        <v>1.02564102564102E-3</v>
      </c>
      <c r="F15549" s="2">
        <v>8.3018154311648995E-3</v>
      </c>
    </row>
    <row r="15550" spans="1:6" x14ac:dyDescent="0.25">
      <c r="A15550" s="1" t="str">
        <f t="shared" si="584"/>
        <v>27060</v>
      </c>
      <c r="B15550" s="1" t="str">
        <f>"14854"</f>
        <v>14854</v>
      </c>
      <c r="C15550" s="2">
        <v>0</v>
      </c>
      <c r="D15550" s="2">
        <v>0</v>
      </c>
      <c r="E15550" s="2">
        <v>3.4188034188034101E-4</v>
      </c>
      <c r="F15550" s="2">
        <v>1.8910741301059E-5</v>
      </c>
    </row>
    <row r="15551" spans="1:6" x14ac:dyDescent="0.25">
      <c r="A15551" s="1" t="str">
        <f t="shared" si="584"/>
        <v>27060</v>
      </c>
      <c r="B15551" s="1" t="str">
        <f>"14850"</f>
        <v>14850</v>
      </c>
      <c r="C15551" s="2">
        <v>0.63103142504920295</v>
      </c>
      <c r="D15551" s="2">
        <v>0.695266272189349</v>
      </c>
      <c r="E15551" s="2">
        <v>0.80307692307692302</v>
      </c>
      <c r="F15551" s="2">
        <v>0.64506429652042296</v>
      </c>
    </row>
    <row r="15552" spans="1:6" x14ac:dyDescent="0.25">
      <c r="A15552" s="1" t="str">
        <f t="shared" si="584"/>
        <v>27060</v>
      </c>
      <c r="B15552" s="1" t="str">
        <f>"13045"</f>
        <v>13045</v>
      </c>
      <c r="C15552" s="2">
        <v>2.7034625948915299E-3</v>
      </c>
      <c r="D15552" s="2">
        <v>8.06885422270037E-4</v>
      </c>
      <c r="E15552" s="2">
        <v>0</v>
      </c>
      <c r="F15552" s="2">
        <v>2.4205748865355498E-3</v>
      </c>
    </row>
    <row r="15553" spans="1:6" x14ac:dyDescent="0.25">
      <c r="A15553" s="1" t="str">
        <f t="shared" ref="A15553:A15583" si="585">"27100"</f>
        <v>27100</v>
      </c>
      <c r="B15553" s="1" t="str">
        <f>"49261"</f>
        <v>49261</v>
      </c>
      <c r="C15553" s="2">
        <v>8.5995413577942496E-3</v>
      </c>
      <c r="D15553" s="2">
        <v>1.6248420292471501E-2</v>
      </c>
      <c r="E15553" s="2">
        <v>3.0418250950570301E-3</v>
      </c>
      <c r="F15553" s="2">
        <v>8.9331874526589108E-3</v>
      </c>
    </row>
    <row r="15554" spans="1:6" x14ac:dyDescent="0.25">
      <c r="A15554" s="1" t="str">
        <f t="shared" si="585"/>
        <v>27100</v>
      </c>
      <c r="B15554" s="1" t="str">
        <f>"49269"</f>
        <v>49269</v>
      </c>
      <c r="C15554" s="2">
        <v>3.4038184630152998E-2</v>
      </c>
      <c r="D15554" s="2">
        <v>7.9436721429860906E-3</v>
      </c>
      <c r="E15554" s="2">
        <v>7.2243346007604499E-3</v>
      </c>
      <c r="F15554" s="2">
        <v>3.14525146381638E-2</v>
      </c>
    </row>
    <row r="15555" spans="1:6" x14ac:dyDescent="0.25">
      <c r="A15555" s="1" t="str">
        <f t="shared" si="585"/>
        <v>27100</v>
      </c>
      <c r="B15555" s="1" t="str">
        <f>"49277"</f>
        <v>49277</v>
      </c>
      <c r="C15555" s="2">
        <v>1.8145698896058798E-2</v>
      </c>
      <c r="D15555" s="2">
        <v>4.1523740747427297E-3</v>
      </c>
      <c r="E15555" s="2">
        <v>1.9011406844106401E-3</v>
      </c>
      <c r="F15555" s="2">
        <v>1.6700131052144299E-2</v>
      </c>
    </row>
    <row r="15556" spans="1:6" x14ac:dyDescent="0.25">
      <c r="A15556" s="1" t="str">
        <f t="shared" si="585"/>
        <v>27100</v>
      </c>
      <c r="B15556" s="1" t="str">
        <f>"49240"</f>
        <v>49240</v>
      </c>
      <c r="C15556" s="2">
        <v>5.9050183990187098E-2</v>
      </c>
      <c r="D15556" s="2">
        <v>3.5746524643437402E-2</v>
      </c>
      <c r="E15556" s="2">
        <v>2.81368821292775E-2</v>
      </c>
      <c r="F15556" s="2">
        <v>5.6520745915140697E-2</v>
      </c>
    </row>
    <row r="15557" spans="1:6" x14ac:dyDescent="0.25">
      <c r="A15557" s="1" t="str">
        <f t="shared" si="585"/>
        <v>27100</v>
      </c>
      <c r="B15557" s="1" t="str">
        <f>"49201"</f>
        <v>49201</v>
      </c>
      <c r="C15557" s="2">
        <v>0.25319982934243501</v>
      </c>
      <c r="D15557" s="2">
        <v>0.252572666546307</v>
      </c>
      <c r="E15557" s="2">
        <v>0.352851711026615</v>
      </c>
      <c r="F15557" s="2">
        <v>0.25630913878301798</v>
      </c>
    </row>
    <row r="15558" spans="1:6" x14ac:dyDescent="0.25">
      <c r="A15558" s="1" t="str">
        <f t="shared" si="585"/>
        <v>27100</v>
      </c>
      <c r="B15558" s="1" t="str">
        <f>"49230"</f>
        <v>49230</v>
      </c>
      <c r="C15558" s="2">
        <v>6.2036691376459903E-2</v>
      </c>
      <c r="D15558" s="2">
        <v>3.6649214659685798E-2</v>
      </c>
      <c r="E15558" s="2">
        <v>1.52091254752851E-2</v>
      </c>
      <c r="F15558" s="2">
        <v>5.8865256753994601E-2</v>
      </c>
    </row>
    <row r="15559" spans="1:6" x14ac:dyDescent="0.25">
      <c r="A15559" s="1" t="str">
        <f t="shared" si="585"/>
        <v>27100</v>
      </c>
      <c r="B15559" s="1" t="str">
        <f>"49259"</f>
        <v>49259</v>
      </c>
      <c r="C15559" s="2">
        <v>1.7345741560450101E-2</v>
      </c>
      <c r="D15559" s="2">
        <v>4.5134500812421003E-3</v>
      </c>
      <c r="E15559" s="2">
        <v>2.6615969581749001E-3</v>
      </c>
      <c r="F15559" s="2">
        <v>1.6026835631755401E-2</v>
      </c>
    </row>
    <row r="15560" spans="1:6" x14ac:dyDescent="0.25">
      <c r="A15560" s="1" t="str">
        <f t="shared" si="585"/>
        <v>27100</v>
      </c>
      <c r="B15560" s="1" t="str">
        <f>"49245"</f>
        <v>49245</v>
      </c>
      <c r="C15560" s="2">
        <v>2.7998506746306802E-4</v>
      </c>
      <c r="D15560" s="2">
        <v>0</v>
      </c>
      <c r="E15560" s="2">
        <v>0</v>
      </c>
      <c r="F15560" s="2">
        <v>2.5248578264581002E-4</v>
      </c>
    </row>
    <row r="15561" spans="1:6" x14ac:dyDescent="0.25">
      <c r="A15561" s="1" t="str">
        <f t="shared" si="585"/>
        <v>27100</v>
      </c>
      <c r="B15561" s="1" t="str">
        <f>"49249"</f>
        <v>49249</v>
      </c>
      <c r="C15561" s="2">
        <v>2.2398805397045398E-3</v>
      </c>
      <c r="D15561" s="2">
        <v>0</v>
      </c>
      <c r="E15561" s="2">
        <v>0</v>
      </c>
      <c r="F15561" s="2">
        <v>2.0198862611664802E-3</v>
      </c>
    </row>
    <row r="15562" spans="1:6" x14ac:dyDescent="0.25">
      <c r="A15562" s="1" t="str">
        <f t="shared" si="585"/>
        <v>27100</v>
      </c>
      <c r="B15562" s="1" t="str">
        <f>"49246"</f>
        <v>49246</v>
      </c>
      <c r="C15562" s="2">
        <v>2.00655965015199E-2</v>
      </c>
      <c r="D15562" s="2">
        <v>7.5825961364867304E-3</v>
      </c>
      <c r="E15562" s="2">
        <v>4.1825095057034202E-3</v>
      </c>
      <c r="F15562" s="2">
        <v>1.8732040445817701E-2</v>
      </c>
    </row>
    <row r="15563" spans="1:6" x14ac:dyDescent="0.25">
      <c r="A15563" s="1" t="str">
        <f t="shared" si="585"/>
        <v>27100</v>
      </c>
      <c r="B15563" s="1" t="str">
        <f>"49263"</f>
        <v>49263</v>
      </c>
      <c r="C15563" s="2">
        <v>4.53309156844968E-4</v>
      </c>
      <c r="D15563" s="2">
        <v>0</v>
      </c>
      <c r="E15563" s="2">
        <v>7.6045627376425797E-4</v>
      </c>
      <c r="F15563" s="2">
        <v>4.3283277024996002E-4</v>
      </c>
    </row>
    <row r="15564" spans="1:6" x14ac:dyDescent="0.25">
      <c r="A15564" s="1" t="str">
        <f t="shared" si="585"/>
        <v>27100</v>
      </c>
      <c r="B15564" s="1" t="str">
        <f>"48827"</f>
        <v>48827</v>
      </c>
      <c r="C15564" s="2">
        <v>4.2664391232467603E-4</v>
      </c>
      <c r="D15564" s="2">
        <v>1.8053800324968399E-4</v>
      </c>
      <c r="E15564" s="2">
        <v>0</v>
      </c>
      <c r="F15564" s="2">
        <v>3.9676337272913001E-4</v>
      </c>
    </row>
    <row r="15565" spans="1:6" x14ac:dyDescent="0.25">
      <c r="A15565" s="1" t="str">
        <f t="shared" si="585"/>
        <v>27100</v>
      </c>
      <c r="B15565" s="1" t="str">
        <f>"49250"</f>
        <v>49250</v>
      </c>
      <c r="C15565" s="2">
        <v>1.0399445362913901E-3</v>
      </c>
      <c r="D15565" s="2">
        <v>3.6107600649936799E-4</v>
      </c>
      <c r="E15565" s="2">
        <v>0</v>
      </c>
      <c r="F15565" s="2">
        <v>9.6185060055546797E-4</v>
      </c>
    </row>
    <row r="15566" spans="1:6" x14ac:dyDescent="0.25">
      <c r="A15566" s="1" t="str">
        <f t="shared" si="585"/>
        <v>27100</v>
      </c>
      <c r="B15566" s="1" t="str">
        <f>"49233"</f>
        <v>49233</v>
      </c>
      <c r="C15566" s="2">
        <v>2.5331982294277602E-3</v>
      </c>
      <c r="D15566" s="2">
        <v>1.2637660227477799E-3</v>
      </c>
      <c r="E15566" s="2">
        <v>0</v>
      </c>
      <c r="F15566" s="2">
        <v>2.36855710386784E-3</v>
      </c>
    </row>
    <row r="15567" spans="1:6" x14ac:dyDescent="0.25">
      <c r="A15567" s="1" t="str">
        <f t="shared" si="585"/>
        <v>27100</v>
      </c>
      <c r="B15567" s="1" t="str">
        <f>"49272"</f>
        <v>49272</v>
      </c>
      <c r="C15567" s="2">
        <v>1.5799157378273102E-2</v>
      </c>
      <c r="D15567" s="2">
        <v>4.5134500812421003E-3</v>
      </c>
      <c r="E15567" s="2">
        <v>3.4220532319391601E-3</v>
      </c>
      <c r="F15567" s="2">
        <v>1.46561985259639E-2</v>
      </c>
    </row>
    <row r="15568" spans="1:6" x14ac:dyDescent="0.25">
      <c r="A15568" s="1" t="str">
        <f t="shared" si="585"/>
        <v>27100</v>
      </c>
      <c r="B15568" s="1" t="str">
        <f>"49284"</f>
        <v>49284</v>
      </c>
      <c r="C15568" s="2">
        <v>1.18260359447496E-2</v>
      </c>
      <c r="D15568" s="2">
        <v>8.3047481494854594E-3</v>
      </c>
      <c r="E15568" s="2">
        <v>4.9429657794676802E-3</v>
      </c>
      <c r="F15568" s="2">
        <v>1.1373883351568401E-2</v>
      </c>
    </row>
    <row r="15569" spans="1:6" x14ac:dyDescent="0.25">
      <c r="A15569" s="1" t="str">
        <f t="shared" si="585"/>
        <v>27100</v>
      </c>
      <c r="B15569" s="1" t="str">
        <f>"49224"</f>
        <v>49224</v>
      </c>
      <c r="C15569" s="2">
        <v>1.1426057276945199E-2</v>
      </c>
      <c r="D15569" s="2">
        <v>5.2356020942408302E-3</v>
      </c>
      <c r="E15569" s="2">
        <v>2.6615969581749001E-3</v>
      </c>
      <c r="F15569" s="2">
        <v>1.07366573287004E-2</v>
      </c>
    </row>
    <row r="15570" spans="1:6" x14ac:dyDescent="0.25">
      <c r="A15570" s="1" t="str">
        <f t="shared" si="585"/>
        <v>27100</v>
      </c>
      <c r="B15570" s="1" t="str">
        <f>"49234"</f>
        <v>49234</v>
      </c>
      <c r="C15570" s="2">
        <v>1.91856434323502E-2</v>
      </c>
      <c r="D15570" s="2">
        <v>8.66582415598483E-3</v>
      </c>
      <c r="E15570" s="2">
        <v>3.8022813688212902E-3</v>
      </c>
      <c r="F15570" s="2">
        <v>1.7998629362894199E-2</v>
      </c>
    </row>
    <row r="15571" spans="1:6" x14ac:dyDescent="0.25">
      <c r="A15571" s="1" t="str">
        <f t="shared" si="585"/>
        <v>27100</v>
      </c>
      <c r="B15571" s="1" t="str">
        <f>"49203"</f>
        <v>49203</v>
      </c>
      <c r="C15571" s="2">
        <v>0.22689456562316601</v>
      </c>
      <c r="D15571" s="2">
        <v>0.20202202563639601</v>
      </c>
      <c r="E15571" s="2">
        <v>0.30418250950570302</v>
      </c>
      <c r="F15571" s="2">
        <v>0.22768206028398599</v>
      </c>
    </row>
    <row r="15572" spans="1:6" x14ac:dyDescent="0.25">
      <c r="A15572" s="1" t="str">
        <f t="shared" si="585"/>
        <v>27100</v>
      </c>
      <c r="B15572" s="1" t="str">
        <f>"49241"</f>
        <v>49241</v>
      </c>
      <c r="C15572" s="2">
        <v>1.5279185110127399E-2</v>
      </c>
      <c r="D15572" s="2">
        <v>5.9577541072395697E-3</v>
      </c>
      <c r="E15572" s="2">
        <v>1.1406844106463801E-3</v>
      </c>
      <c r="F15572" s="2">
        <v>1.4211342623207E-2</v>
      </c>
    </row>
    <row r="15573" spans="1:6" x14ac:dyDescent="0.25">
      <c r="A15573" s="1" t="str">
        <f t="shared" si="585"/>
        <v>27100</v>
      </c>
      <c r="B15573" s="1" t="str">
        <f>"49237"</f>
        <v>49237</v>
      </c>
      <c r="C15573" s="2">
        <v>1.7625726627913101E-2</v>
      </c>
      <c r="D15573" s="2">
        <v>7.9436721429860906E-3</v>
      </c>
      <c r="E15573" s="2">
        <v>8.3650190114068403E-3</v>
      </c>
      <c r="F15573" s="2">
        <v>1.6688107919637301E-2</v>
      </c>
    </row>
    <row r="15574" spans="1:6" x14ac:dyDescent="0.25">
      <c r="A15574" s="1" t="str">
        <f t="shared" si="585"/>
        <v>27100</v>
      </c>
      <c r="B15574" s="1" t="str">
        <f>"49251"</f>
        <v>49251</v>
      </c>
      <c r="C15574" s="2">
        <v>1.7199082715588501E-3</v>
      </c>
      <c r="D15574" s="2">
        <v>0</v>
      </c>
      <c r="E15574" s="2">
        <v>0</v>
      </c>
      <c r="F15574" s="2">
        <v>1.5509840933956901E-3</v>
      </c>
    </row>
    <row r="15575" spans="1:6" x14ac:dyDescent="0.25">
      <c r="A15575" s="1" t="str">
        <f t="shared" si="585"/>
        <v>27100</v>
      </c>
      <c r="B15575" s="1" t="str">
        <f>"48158"</f>
        <v>48158</v>
      </c>
      <c r="C15575" s="2">
        <v>3.1998293424350701E-4</v>
      </c>
      <c r="D15575" s="2">
        <v>0</v>
      </c>
      <c r="E15575" s="2">
        <v>0</v>
      </c>
      <c r="F15575" s="2">
        <v>2.8855518016663998E-4</v>
      </c>
    </row>
    <row r="15576" spans="1:6" x14ac:dyDescent="0.25">
      <c r="A15576" s="1" t="str">
        <f t="shared" si="585"/>
        <v>27100</v>
      </c>
      <c r="B15576" s="1" t="str">
        <f>"49204"</f>
        <v>49204</v>
      </c>
      <c r="C15576" s="2">
        <v>2.1745506906298302E-2</v>
      </c>
      <c r="D15576" s="2">
        <v>9.9656977793825596E-2</v>
      </c>
      <c r="E15576" s="2">
        <v>7.6045627376425797E-4</v>
      </c>
      <c r="F15576" s="2">
        <v>2.6270544527671202E-2</v>
      </c>
    </row>
    <row r="15577" spans="1:6" x14ac:dyDescent="0.25">
      <c r="A15577" s="1" t="str">
        <f t="shared" si="585"/>
        <v>27100</v>
      </c>
      <c r="B15577" s="1" t="str">
        <f>"49283"</f>
        <v>49283</v>
      </c>
      <c r="C15577" s="2">
        <v>2.42387072689456E-2</v>
      </c>
      <c r="D15577" s="2">
        <v>2.3650478425708599E-2</v>
      </c>
      <c r="E15577" s="2">
        <v>2.2813688212927698E-2</v>
      </c>
      <c r="F15577" s="2">
        <v>2.4154473206449201E-2</v>
      </c>
    </row>
    <row r="15578" spans="1:6" x14ac:dyDescent="0.25">
      <c r="A15578" s="1" t="str">
        <f t="shared" si="585"/>
        <v>27100</v>
      </c>
      <c r="B15578" s="1" t="str">
        <f>"49252"</f>
        <v>49252</v>
      </c>
      <c r="C15578" s="2">
        <v>5.0663964588555199E-4</v>
      </c>
      <c r="D15578" s="2">
        <v>0</v>
      </c>
      <c r="E15578" s="2">
        <v>7.6045627376425797E-4</v>
      </c>
      <c r="F15578" s="2">
        <v>4.8092530027773399E-4</v>
      </c>
    </row>
    <row r="15579" spans="1:6" x14ac:dyDescent="0.25">
      <c r="A15579" s="1" t="str">
        <f t="shared" si="585"/>
        <v>27100</v>
      </c>
      <c r="B15579" s="1" t="str">
        <f>"49264"</f>
        <v>49264</v>
      </c>
      <c r="C15579" s="2">
        <v>2.7865180523705402E-3</v>
      </c>
      <c r="D15579" s="2">
        <v>0</v>
      </c>
      <c r="E15579" s="2">
        <v>0</v>
      </c>
      <c r="F15579" s="2">
        <v>2.5128346939511598E-3</v>
      </c>
    </row>
    <row r="15580" spans="1:6" x14ac:dyDescent="0.25">
      <c r="A15580" s="1" t="str">
        <f t="shared" si="585"/>
        <v>27100</v>
      </c>
      <c r="B15580" s="1" t="str">
        <f>"48118"</f>
        <v>48118</v>
      </c>
      <c r="C15580" s="2">
        <v>2.26654578422484E-4</v>
      </c>
      <c r="D15580" s="2">
        <v>1.8053800324968399E-4</v>
      </c>
      <c r="E15580" s="2">
        <v>0</v>
      </c>
      <c r="F15580" s="2">
        <v>2.1641638512498001E-4</v>
      </c>
    </row>
    <row r="15581" spans="1:6" x14ac:dyDescent="0.25">
      <c r="A15581" s="1" t="str">
        <f t="shared" si="585"/>
        <v>27100</v>
      </c>
      <c r="B15581" s="1" t="str">
        <f>"49202"</f>
        <v>49202</v>
      </c>
      <c r="C15581" s="2">
        <v>0.127499866673777</v>
      </c>
      <c r="D15581" s="2">
        <v>0.23307456219534201</v>
      </c>
      <c r="E15581" s="2">
        <v>0.20874524714828799</v>
      </c>
      <c r="F15581" s="2">
        <v>0.137099779976675</v>
      </c>
    </row>
    <row r="15582" spans="1:6" x14ac:dyDescent="0.25">
      <c r="A15582" s="1" t="str">
        <f t="shared" si="585"/>
        <v>27100</v>
      </c>
      <c r="B15582" s="1" t="str">
        <f>"49254"</f>
        <v>49254</v>
      </c>
      <c r="C15582" s="2">
        <v>2.0732227614527199E-2</v>
      </c>
      <c r="D15582" s="2">
        <v>3.21357645784437E-2</v>
      </c>
      <c r="E15582" s="2">
        <v>2.16730038022813E-2</v>
      </c>
      <c r="F15582" s="2">
        <v>2.15214071874286E-2</v>
      </c>
    </row>
    <row r="15583" spans="1:6" x14ac:dyDescent="0.25">
      <c r="A15583" s="1" t="str">
        <f t="shared" si="585"/>
        <v>27100</v>
      </c>
      <c r="B15583" s="1" t="str">
        <f>"49285"</f>
        <v>49285</v>
      </c>
      <c r="C15583" s="2">
        <v>2.7331875633299502E-3</v>
      </c>
      <c r="D15583" s="2">
        <v>1.44430402599747E-3</v>
      </c>
      <c r="E15583" s="2">
        <v>7.6045627376425797E-4</v>
      </c>
      <c r="F15583" s="2">
        <v>2.5849734889928202E-3</v>
      </c>
    </row>
    <row r="15584" spans="1:6" x14ac:dyDescent="0.25">
      <c r="A15584" s="1" t="str">
        <f t="shared" ref="A15584:A15615" si="586">"27140"</f>
        <v>27140</v>
      </c>
      <c r="B15584" s="1" t="str">
        <f>"39269"</f>
        <v>39269</v>
      </c>
      <c r="C15584" s="2">
        <v>0</v>
      </c>
      <c r="D15584" s="2">
        <v>1.9899366063052498E-3</v>
      </c>
      <c r="E15584" s="2">
        <v>2.13675213675213E-4</v>
      </c>
      <c r="F15584" s="2">
        <v>2.1197130326525301E-4</v>
      </c>
    </row>
    <row r="15585" spans="1:6" x14ac:dyDescent="0.25">
      <c r="A15585" s="1" t="str">
        <f t="shared" si="586"/>
        <v>27140</v>
      </c>
      <c r="B15585" s="1" t="str">
        <f>"39086"</f>
        <v>39086</v>
      </c>
      <c r="C15585" s="2">
        <v>5.2864510969386001E-4</v>
      </c>
      <c r="D15585" s="2">
        <v>5.6855331608721599E-5</v>
      </c>
      <c r="E15585" s="2">
        <v>0</v>
      </c>
      <c r="F15585" s="2">
        <v>4.7171078754802898E-4</v>
      </c>
    </row>
    <row r="15586" spans="1:6" x14ac:dyDescent="0.25">
      <c r="A15586" s="1" t="str">
        <f t="shared" si="586"/>
        <v>27140</v>
      </c>
      <c r="B15586" s="1" t="str">
        <f>"39206"</f>
        <v>39206</v>
      </c>
      <c r="C15586" s="2">
        <v>3.8736809287887898E-2</v>
      </c>
      <c r="D15586" s="2">
        <v>3.9855587457713802E-2</v>
      </c>
      <c r="E15586" s="2">
        <v>6.9017094017093994E-2</v>
      </c>
      <c r="F15586" s="2">
        <v>3.9277386841657401E-2</v>
      </c>
    </row>
    <row r="15587" spans="1:6" x14ac:dyDescent="0.25">
      <c r="A15587" s="1" t="str">
        <f t="shared" si="586"/>
        <v>27140</v>
      </c>
      <c r="B15587" s="1" t="str">
        <f>"39130"</f>
        <v>39130</v>
      </c>
      <c r="C15587" s="2">
        <v>3.4938019749638999E-3</v>
      </c>
      <c r="D15587" s="2">
        <v>2.4703641583989501E-2</v>
      </c>
      <c r="E15587" s="2">
        <v>4.2735042735042702E-4</v>
      </c>
      <c r="F15587" s="2">
        <v>5.6784425184579204E-3</v>
      </c>
    </row>
    <row r="15588" spans="1:6" x14ac:dyDescent="0.25">
      <c r="A15588" s="1" t="str">
        <f t="shared" si="586"/>
        <v>27140</v>
      </c>
      <c r="B15588" s="1" t="str">
        <f>"39191"</f>
        <v>39191</v>
      </c>
      <c r="C15588" s="2">
        <v>8.09572542986302E-3</v>
      </c>
      <c r="D15588" s="2">
        <v>1.19396196378315E-3</v>
      </c>
      <c r="E15588" s="2">
        <v>1.7094017094017001E-3</v>
      </c>
      <c r="F15588" s="2">
        <v>7.2816620938585003E-3</v>
      </c>
    </row>
    <row r="15589" spans="1:6" x14ac:dyDescent="0.25">
      <c r="A15589" s="1" t="str">
        <f t="shared" si="586"/>
        <v>27140</v>
      </c>
      <c r="B15589" s="1" t="str">
        <f>"39169"</f>
        <v>39169</v>
      </c>
      <c r="C15589" s="2">
        <v>3.41924945949426E-3</v>
      </c>
      <c r="D15589" s="2">
        <v>1.1655342979787901E-3</v>
      </c>
      <c r="E15589" s="2">
        <v>1.2393162393162301E-2</v>
      </c>
      <c r="F15589" s="2">
        <v>3.3079465354633902E-3</v>
      </c>
    </row>
    <row r="15590" spans="1:6" x14ac:dyDescent="0.25">
      <c r="A15590" s="1" t="str">
        <f t="shared" si="586"/>
        <v>27140</v>
      </c>
      <c r="B15590" s="1" t="str">
        <f>"39205"</f>
        <v>39205</v>
      </c>
      <c r="C15590" s="2">
        <v>1.7011528529892099E-3</v>
      </c>
      <c r="D15590" s="2">
        <v>7.6470421013730503E-3</v>
      </c>
      <c r="E15590" s="2">
        <v>2.13675213675213E-4</v>
      </c>
      <c r="F15590" s="2">
        <v>2.3048147340954299E-3</v>
      </c>
    </row>
    <row r="15591" spans="1:6" x14ac:dyDescent="0.25">
      <c r="A15591" s="1" t="str">
        <f t="shared" si="586"/>
        <v>27140</v>
      </c>
      <c r="B15591" s="1" t="str">
        <f>"39284"</f>
        <v>39284</v>
      </c>
      <c r="C15591" s="2">
        <v>3.9817820762197802E-3</v>
      </c>
      <c r="D15591" s="2">
        <v>9.2105637206129007E-3</v>
      </c>
      <c r="E15591" s="2">
        <v>4.2735042735042702E-4</v>
      </c>
      <c r="F15591" s="2">
        <v>4.4812524817062702E-3</v>
      </c>
    </row>
    <row r="15592" spans="1:6" x14ac:dyDescent="0.25">
      <c r="A15592" s="1" t="str">
        <f t="shared" si="586"/>
        <v>27140</v>
      </c>
      <c r="B15592" s="1" t="str">
        <f>"39041"</f>
        <v>39041</v>
      </c>
      <c r="C15592" s="2">
        <v>5.1305685645929699E-3</v>
      </c>
      <c r="D15592" s="2">
        <v>1.47823862182676E-3</v>
      </c>
      <c r="E15592" s="2">
        <v>2.13675213675213E-4</v>
      </c>
      <c r="F15592" s="2">
        <v>4.6782962284035497E-3</v>
      </c>
    </row>
    <row r="15593" spans="1:6" x14ac:dyDescent="0.25">
      <c r="A15593" s="1" t="str">
        <f t="shared" si="586"/>
        <v>27140</v>
      </c>
      <c r="B15593" s="1" t="str">
        <f>"39047"</f>
        <v>39047</v>
      </c>
      <c r="C15593" s="2">
        <v>6.0428202538851998E-2</v>
      </c>
      <c r="D15593" s="2">
        <v>2.8683514796600001E-2</v>
      </c>
      <c r="E15593" s="2">
        <v>2.26495726495726E-2</v>
      </c>
      <c r="F15593" s="2">
        <v>5.6566482858686699E-2</v>
      </c>
    </row>
    <row r="15594" spans="1:6" x14ac:dyDescent="0.25">
      <c r="A15594" s="1" t="str">
        <f t="shared" si="586"/>
        <v>27140</v>
      </c>
      <c r="B15594" s="1" t="str">
        <f>"39201"</f>
        <v>39201</v>
      </c>
      <c r="C15594" s="2">
        <v>1.45716280236128E-3</v>
      </c>
      <c r="D15594" s="2">
        <v>3.6159990903146901E-2</v>
      </c>
      <c r="E15594" s="2">
        <v>2.5641025641025599E-2</v>
      </c>
      <c r="F15594" s="2">
        <v>5.4396016133703099E-3</v>
      </c>
    </row>
    <row r="15595" spans="1:6" x14ac:dyDescent="0.25">
      <c r="A15595" s="1" t="str">
        <f t="shared" si="586"/>
        <v>27140</v>
      </c>
      <c r="B15595" s="1" t="str">
        <f>"39208"</f>
        <v>39208</v>
      </c>
      <c r="C15595" s="2">
        <v>4.5100883108433201E-2</v>
      </c>
      <c r="D15595" s="2">
        <v>4.2328794382693199E-2</v>
      </c>
      <c r="E15595" s="2">
        <v>4.1666666666666602E-2</v>
      </c>
      <c r="F15595" s="2">
        <v>4.4761771124731599E-2</v>
      </c>
    </row>
    <row r="15596" spans="1:6" x14ac:dyDescent="0.25">
      <c r="A15596" s="1" t="str">
        <f t="shared" si="586"/>
        <v>27140</v>
      </c>
      <c r="B15596" s="1" t="str">
        <f>"39212"</f>
        <v>39212</v>
      </c>
      <c r="C15596" s="2">
        <v>4.4897558066243203E-2</v>
      </c>
      <c r="D15596" s="2">
        <v>1.57489268556158E-2</v>
      </c>
      <c r="E15596" s="2">
        <v>2.2863247863247799E-2</v>
      </c>
      <c r="F15596" s="2">
        <v>4.1528462372108103E-2</v>
      </c>
    </row>
    <row r="15597" spans="1:6" x14ac:dyDescent="0.25">
      <c r="A15597" s="1" t="str">
        <f t="shared" si="586"/>
        <v>27140</v>
      </c>
      <c r="B15597" s="1" t="str">
        <f>"39213"</f>
        <v>39213</v>
      </c>
      <c r="C15597" s="2">
        <v>3.8126834161317999E-2</v>
      </c>
      <c r="D15597" s="2">
        <v>2.75464081644256E-2</v>
      </c>
      <c r="E15597" s="2">
        <v>4.9358974358974302E-2</v>
      </c>
      <c r="F15597" s="2">
        <v>3.7172601365572801E-2</v>
      </c>
    </row>
    <row r="15598" spans="1:6" x14ac:dyDescent="0.25">
      <c r="A15598" s="1" t="str">
        <f t="shared" si="586"/>
        <v>27140</v>
      </c>
      <c r="B15598" s="1" t="str">
        <f>"39215"</f>
        <v>39215</v>
      </c>
      <c r="C15598" s="2">
        <v>1.8875341416633299E-3</v>
      </c>
      <c r="D15598" s="2">
        <v>7.30591011172072E-3</v>
      </c>
      <c r="E15598" s="2">
        <v>2.13675213675213E-4</v>
      </c>
      <c r="F15598" s="2">
        <v>2.43319172058002E-3</v>
      </c>
    </row>
    <row r="15599" spans="1:6" x14ac:dyDescent="0.25">
      <c r="A15599" s="1" t="str">
        <f t="shared" si="586"/>
        <v>27140</v>
      </c>
      <c r="B15599" s="1" t="str">
        <f>"39272"</f>
        <v>39272</v>
      </c>
      <c r="C15599" s="2">
        <v>2.0451110493605401E-2</v>
      </c>
      <c r="D15599" s="2">
        <v>1.6260624840094301E-2</v>
      </c>
      <c r="E15599" s="2">
        <v>1.3675213675213601E-2</v>
      </c>
      <c r="F15599" s="2">
        <v>1.9916345972993001E-2</v>
      </c>
    </row>
    <row r="15600" spans="1:6" x14ac:dyDescent="0.25">
      <c r="A15600" s="1" t="str">
        <f t="shared" si="586"/>
        <v>27140</v>
      </c>
      <c r="B15600" s="1" t="str">
        <f>"39145"</f>
        <v>39145</v>
      </c>
      <c r="C15600" s="2">
        <v>8.0720041749408594E-3</v>
      </c>
      <c r="D15600" s="2">
        <v>2.6437729198055498E-3</v>
      </c>
      <c r="E15600" s="2">
        <v>1.2820512820512801E-3</v>
      </c>
      <c r="F15600" s="2">
        <v>7.4070535690294896E-3</v>
      </c>
    </row>
    <row r="15601" spans="1:6" x14ac:dyDescent="0.25">
      <c r="A15601" s="1" t="str">
        <f t="shared" si="586"/>
        <v>27140</v>
      </c>
      <c r="B15601" s="1" t="str">
        <f>"39046"</f>
        <v>39046</v>
      </c>
      <c r="C15601" s="2">
        <v>4.59684032884436E-2</v>
      </c>
      <c r="D15601" s="2">
        <v>3.5648292918668403E-2</v>
      </c>
      <c r="E15601" s="2">
        <v>2.0299145299145199E-2</v>
      </c>
      <c r="F15601" s="2">
        <v>4.4525915730957599E-2</v>
      </c>
    </row>
    <row r="15602" spans="1:6" x14ac:dyDescent="0.25">
      <c r="A15602" s="1" t="str">
        <f t="shared" si="586"/>
        <v>27140</v>
      </c>
      <c r="B15602" s="1" t="str">
        <f>"39078"</f>
        <v>39078</v>
      </c>
      <c r="C15602" s="2">
        <v>1.3351677770473099E-3</v>
      </c>
      <c r="D15602" s="2">
        <v>2.2742132643488599E-4</v>
      </c>
      <c r="E15602" s="2">
        <v>4.2735042735042702E-4</v>
      </c>
      <c r="F15602" s="2">
        <v>1.2061465706924199E-3</v>
      </c>
    </row>
    <row r="15603" spans="1:6" x14ac:dyDescent="0.25">
      <c r="A15603" s="1" t="str">
        <f t="shared" si="586"/>
        <v>27140</v>
      </c>
      <c r="B15603" s="1" t="str">
        <f>"39083"</f>
        <v>39083</v>
      </c>
      <c r="C15603" s="2">
        <v>1.6825147241217999E-2</v>
      </c>
      <c r="D15603" s="2">
        <v>1.3815845580919301E-2</v>
      </c>
      <c r="E15603" s="2">
        <v>1.17521367521367E-2</v>
      </c>
      <c r="F15603" s="2">
        <v>1.64382252926547E-2</v>
      </c>
    </row>
    <row r="15604" spans="1:6" x14ac:dyDescent="0.25">
      <c r="A15604" s="1" t="str">
        <f t="shared" si="586"/>
        <v>27140</v>
      </c>
      <c r="B15604" s="1" t="str">
        <f>"39095"</f>
        <v>39095</v>
      </c>
      <c r="C15604" s="2">
        <v>1.19893999878004E-2</v>
      </c>
      <c r="D15604" s="2">
        <v>8.2440230832646292E-3</v>
      </c>
      <c r="E15604" s="2">
        <v>1.4957264957264901E-2</v>
      </c>
      <c r="F15604" s="2">
        <v>1.1637523100393701E-2</v>
      </c>
    </row>
    <row r="15605" spans="1:6" x14ac:dyDescent="0.25">
      <c r="A15605" s="1" t="str">
        <f t="shared" si="586"/>
        <v>27140</v>
      </c>
      <c r="B15605" s="1" t="str">
        <f>"38954"</f>
        <v>38954</v>
      </c>
      <c r="C15605" s="2">
        <v>6.7775014063315398E-6</v>
      </c>
      <c r="D15605" s="2">
        <v>0</v>
      </c>
      <c r="E15605" s="2">
        <v>0</v>
      </c>
      <c r="F15605" s="2">
        <v>5.9710226271902403E-6</v>
      </c>
    </row>
    <row r="15606" spans="1:6" x14ac:dyDescent="0.25">
      <c r="A15606" s="1" t="str">
        <f t="shared" si="586"/>
        <v>27140</v>
      </c>
      <c r="B15606" s="1" t="str">
        <f>"39167"</f>
        <v>39167</v>
      </c>
      <c r="C15606" s="2">
        <v>0</v>
      </c>
      <c r="D15606" s="2">
        <v>2.8427665804360799E-5</v>
      </c>
      <c r="E15606" s="2">
        <v>0</v>
      </c>
      <c r="F15606" s="2">
        <v>2.9855113135951202E-6</v>
      </c>
    </row>
    <row r="15607" spans="1:6" x14ac:dyDescent="0.25">
      <c r="A15607" s="1" t="str">
        <f t="shared" si="586"/>
        <v>27140</v>
      </c>
      <c r="B15607" s="1" t="str">
        <f>"39298"</f>
        <v>39298</v>
      </c>
      <c r="C15607" s="2">
        <v>1.42327529532962E-4</v>
      </c>
      <c r="D15607" s="2">
        <v>2.7006282514142701E-3</v>
      </c>
      <c r="E15607" s="2">
        <v>4.2735042735042702E-4</v>
      </c>
      <c r="F15607" s="2">
        <v>4.1498607258972199E-4</v>
      </c>
    </row>
    <row r="15608" spans="1:6" x14ac:dyDescent="0.25">
      <c r="A15608" s="1" t="str">
        <f t="shared" si="586"/>
        <v>27140</v>
      </c>
      <c r="B15608" s="1" t="str">
        <f>"39062"</f>
        <v>39062</v>
      </c>
      <c r="C15608" s="2">
        <v>3.3887507031657699E-6</v>
      </c>
      <c r="D15608" s="2">
        <v>5.6855331608721599E-5</v>
      </c>
      <c r="E15608" s="2">
        <v>0</v>
      </c>
      <c r="F15608" s="2">
        <v>8.9565339407853592E-6</v>
      </c>
    </row>
    <row r="15609" spans="1:6" x14ac:dyDescent="0.25">
      <c r="A15609" s="1" t="str">
        <f t="shared" si="586"/>
        <v>27140</v>
      </c>
      <c r="B15609" s="1" t="str">
        <f>"39193"</f>
        <v>39193</v>
      </c>
      <c r="C15609" s="2">
        <v>0</v>
      </c>
      <c r="D15609" s="2">
        <v>2.8427665804360799E-5</v>
      </c>
      <c r="E15609" s="2">
        <v>0</v>
      </c>
      <c r="F15609" s="2">
        <v>2.9855113135951202E-6</v>
      </c>
    </row>
    <row r="15610" spans="1:6" x14ac:dyDescent="0.25">
      <c r="A15610" s="1" t="str">
        <f t="shared" si="586"/>
        <v>27140</v>
      </c>
      <c r="B15610" s="1" t="str">
        <f>"39654"</f>
        <v>39654</v>
      </c>
      <c r="C15610" s="2">
        <v>6.7775014063315398E-6</v>
      </c>
      <c r="D15610" s="2">
        <v>0</v>
      </c>
      <c r="E15610" s="2">
        <v>0</v>
      </c>
      <c r="F15610" s="2">
        <v>5.9710226271902403E-6</v>
      </c>
    </row>
    <row r="15611" spans="1:6" x14ac:dyDescent="0.25">
      <c r="A15611" s="1" t="str">
        <f t="shared" si="586"/>
        <v>27140</v>
      </c>
      <c r="B15611" s="1" t="str">
        <f>"39159"</f>
        <v>39159</v>
      </c>
      <c r="C15611" s="2">
        <v>1.3555002812663E-5</v>
      </c>
      <c r="D15611" s="2">
        <v>0</v>
      </c>
      <c r="E15611" s="2">
        <v>0</v>
      </c>
      <c r="F15611" s="2">
        <v>1.1942045254380399E-5</v>
      </c>
    </row>
    <row r="15612" spans="1:6" x14ac:dyDescent="0.25">
      <c r="A15612" s="1" t="str">
        <f t="shared" si="586"/>
        <v>27140</v>
      </c>
      <c r="B15612" s="1" t="str">
        <f>"39217"</f>
        <v>39217</v>
      </c>
      <c r="C15612" s="2">
        <v>0</v>
      </c>
      <c r="D15612" s="2">
        <v>2.8427665804360799E-5</v>
      </c>
      <c r="E15612" s="2">
        <v>0</v>
      </c>
      <c r="F15612" s="2">
        <v>2.9855113135951202E-6</v>
      </c>
    </row>
    <row r="15613" spans="1:6" x14ac:dyDescent="0.25">
      <c r="A15613" s="1" t="str">
        <f t="shared" si="586"/>
        <v>27140</v>
      </c>
      <c r="B15613" s="1" t="str">
        <f>"39088"</f>
        <v>39088</v>
      </c>
      <c r="C15613" s="2">
        <v>1.93158790080448E-4</v>
      </c>
      <c r="D15613" s="2">
        <v>2.8427665804360799E-5</v>
      </c>
      <c r="E15613" s="2">
        <v>0</v>
      </c>
      <c r="F15613" s="2">
        <v>1.73159656188517E-4</v>
      </c>
    </row>
    <row r="15614" spans="1:6" x14ac:dyDescent="0.25">
      <c r="A15614" s="1" t="str">
        <f t="shared" si="586"/>
        <v>27140</v>
      </c>
      <c r="B15614" s="1" t="str">
        <f>"39058"</f>
        <v>39058</v>
      </c>
      <c r="C15614" s="2">
        <v>0</v>
      </c>
      <c r="D15614" s="2">
        <v>2.8427665804360799E-5</v>
      </c>
      <c r="E15614" s="2">
        <v>0</v>
      </c>
      <c r="F15614" s="2">
        <v>2.9855113135951202E-6</v>
      </c>
    </row>
    <row r="15615" spans="1:6" x14ac:dyDescent="0.25">
      <c r="A15615" s="1" t="str">
        <f t="shared" si="586"/>
        <v>27140</v>
      </c>
      <c r="B15615" s="1" t="str">
        <f>"39060"</f>
        <v>39060</v>
      </c>
      <c r="C15615" s="2">
        <v>3.2769219299613002E-3</v>
      </c>
      <c r="D15615" s="2">
        <v>9.7506893708957498E-3</v>
      </c>
      <c r="E15615" s="2">
        <v>4.2735042735042702E-4</v>
      </c>
      <c r="F15615" s="2">
        <v>3.9169908434368E-3</v>
      </c>
    </row>
    <row r="15616" spans="1:6" x14ac:dyDescent="0.25">
      <c r="A15616" s="1" t="str">
        <f t="shared" ref="A15616:A15647" si="587">"27140"</f>
        <v>27140</v>
      </c>
      <c r="B15616" s="1" t="str">
        <f>"39119"</f>
        <v>39119</v>
      </c>
      <c r="C15616" s="2">
        <v>1.5486590713467501E-3</v>
      </c>
      <c r="D15616" s="2">
        <v>1.9899366063052501E-4</v>
      </c>
      <c r="E15616" s="2">
        <v>4.2735042735042702E-4</v>
      </c>
      <c r="F15616" s="2">
        <v>1.39124827213532E-3</v>
      </c>
    </row>
    <row r="15617" spans="1:6" x14ac:dyDescent="0.25">
      <c r="A15617" s="1" t="str">
        <f t="shared" si="587"/>
        <v>27140</v>
      </c>
      <c r="B15617" s="1" t="str">
        <f>"39210"</f>
        <v>39210</v>
      </c>
      <c r="C15617" s="2">
        <v>0</v>
      </c>
      <c r="D15617" s="2">
        <v>2.8427665804360799E-5</v>
      </c>
      <c r="E15617" s="2">
        <v>0</v>
      </c>
      <c r="F15617" s="2">
        <v>2.9855113135951202E-6</v>
      </c>
    </row>
    <row r="15618" spans="1:6" x14ac:dyDescent="0.25">
      <c r="A15618" s="1" t="str">
        <f t="shared" si="587"/>
        <v>27140</v>
      </c>
      <c r="B15618" s="1" t="str">
        <f>"39117"</f>
        <v>39117</v>
      </c>
      <c r="C15618" s="2">
        <v>9.8612645462123902E-4</v>
      </c>
      <c r="D15618" s="2">
        <v>8.5282997413082398E-5</v>
      </c>
      <c r="E15618" s="2">
        <v>0</v>
      </c>
      <c r="F15618" s="2">
        <v>8.7774032619696604E-4</v>
      </c>
    </row>
    <row r="15619" spans="1:6" x14ac:dyDescent="0.25">
      <c r="A15619" s="1" t="str">
        <f t="shared" si="587"/>
        <v>27140</v>
      </c>
      <c r="B15619" s="1" t="str">
        <f>"38924"</f>
        <v>38924</v>
      </c>
      <c r="C15619" s="2">
        <v>1.0030702081370601E-3</v>
      </c>
      <c r="D15619" s="2">
        <v>5.1169798447849404E-4</v>
      </c>
      <c r="E15619" s="2">
        <v>4.2735042735042702E-4</v>
      </c>
      <c r="F15619" s="2">
        <v>9.4342157509605797E-4</v>
      </c>
    </row>
    <row r="15620" spans="1:6" x14ac:dyDescent="0.25">
      <c r="A15620" s="1" t="str">
        <f t="shared" si="587"/>
        <v>27140</v>
      </c>
      <c r="B15620" s="1" t="str">
        <f>"39158"</f>
        <v>39158</v>
      </c>
      <c r="C15620" s="2">
        <v>4.5172046873199704E-3</v>
      </c>
      <c r="D15620" s="2">
        <v>1.87622594308781E-2</v>
      </c>
      <c r="E15620" s="2">
        <v>2.13675213675213E-4</v>
      </c>
      <c r="F15620" s="2">
        <v>5.9531095593086704E-3</v>
      </c>
    </row>
    <row r="15621" spans="1:6" x14ac:dyDescent="0.25">
      <c r="A15621" s="1" t="str">
        <f t="shared" si="587"/>
        <v>27140</v>
      </c>
      <c r="B15621" s="1" t="str">
        <f>"39202"</f>
        <v>39202</v>
      </c>
      <c r="C15621" s="2">
        <v>1.5981348316129702E-2</v>
      </c>
      <c r="D15621" s="2">
        <v>3.1611564374449203E-2</v>
      </c>
      <c r="E15621" s="2">
        <v>8.2692307692307607E-2</v>
      </c>
      <c r="F15621" s="2">
        <v>1.8554952813993601E-2</v>
      </c>
    </row>
    <row r="15622" spans="1:6" x14ac:dyDescent="0.25">
      <c r="A15622" s="1" t="str">
        <f t="shared" si="587"/>
        <v>27140</v>
      </c>
      <c r="B15622" s="1" t="str">
        <f>"39162"</f>
        <v>39162</v>
      </c>
      <c r="C15622" s="2">
        <v>4.0665008437989201E-4</v>
      </c>
      <c r="D15622" s="2">
        <v>3.41131989652329E-4</v>
      </c>
      <c r="E15622" s="2">
        <v>0</v>
      </c>
      <c r="F15622" s="2">
        <v>3.94087493394556E-4</v>
      </c>
    </row>
    <row r="15623" spans="1:6" x14ac:dyDescent="0.25">
      <c r="A15623" s="1" t="str">
        <f t="shared" si="587"/>
        <v>27140</v>
      </c>
      <c r="B15623" s="1" t="str">
        <f>"39173"</f>
        <v>39173</v>
      </c>
      <c r="C15623" s="2">
        <v>4.7442509844320697E-5</v>
      </c>
      <c r="D15623" s="2">
        <v>5.6855331608721599E-5</v>
      </c>
      <c r="E15623" s="2">
        <v>0</v>
      </c>
      <c r="F15623" s="2">
        <v>4.7768181017521902E-5</v>
      </c>
    </row>
    <row r="15624" spans="1:6" x14ac:dyDescent="0.25">
      <c r="A15624" s="1" t="str">
        <f t="shared" si="587"/>
        <v>27140</v>
      </c>
      <c r="B15624" s="1" t="str">
        <f>"39204"</f>
        <v>39204</v>
      </c>
      <c r="C15624" s="2">
        <v>2.95295736273865E-2</v>
      </c>
      <c r="D15624" s="2">
        <v>4.3465901014867601E-2</v>
      </c>
      <c r="E15624" s="2">
        <v>4.7435897435897399E-2</v>
      </c>
      <c r="F15624" s="2">
        <v>3.1243375896772899E-2</v>
      </c>
    </row>
    <row r="15625" spans="1:6" x14ac:dyDescent="0.25">
      <c r="A15625" s="1" t="str">
        <f t="shared" si="587"/>
        <v>27140</v>
      </c>
      <c r="B15625" s="1" t="str">
        <f>"39045"</f>
        <v>39045</v>
      </c>
      <c r="C15625" s="2">
        <v>2.0434166740089499E-3</v>
      </c>
      <c r="D15625" s="2">
        <v>3.1270432384796799E-4</v>
      </c>
      <c r="E15625" s="2">
        <v>0</v>
      </c>
      <c r="F15625" s="2">
        <v>1.8331039465473999E-3</v>
      </c>
    </row>
    <row r="15626" spans="1:6" x14ac:dyDescent="0.25">
      <c r="A15626" s="1" t="str">
        <f t="shared" si="587"/>
        <v>27140</v>
      </c>
      <c r="B15626" s="1" t="str">
        <f>"39039"</f>
        <v>39039</v>
      </c>
      <c r="C15626" s="2">
        <v>4.0427795888767597E-3</v>
      </c>
      <c r="D15626" s="2">
        <v>1.19396196378315E-3</v>
      </c>
      <c r="E15626" s="2">
        <v>4.2735042735042702E-4</v>
      </c>
      <c r="F15626" s="2">
        <v>3.6930774949171601E-3</v>
      </c>
    </row>
    <row r="15627" spans="1:6" x14ac:dyDescent="0.25">
      <c r="A15627" s="1" t="str">
        <f t="shared" si="587"/>
        <v>27140</v>
      </c>
      <c r="B15627" s="1" t="str">
        <f>"39094"</f>
        <v>39094</v>
      </c>
      <c r="C15627" s="2">
        <v>7.5908015750913202E-4</v>
      </c>
      <c r="D15627" s="2">
        <v>2.8427665804360799E-5</v>
      </c>
      <c r="E15627" s="2">
        <v>0</v>
      </c>
      <c r="F15627" s="2">
        <v>6.7174004555890202E-4</v>
      </c>
    </row>
    <row r="15628" spans="1:6" x14ac:dyDescent="0.25">
      <c r="A15628" s="1" t="str">
        <f t="shared" si="587"/>
        <v>27140</v>
      </c>
      <c r="B15628" s="1" t="str">
        <f>"39170"</f>
        <v>39170</v>
      </c>
      <c r="C15628" s="2">
        <v>1.36837753393833E-2</v>
      </c>
      <c r="D15628" s="2">
        <v>2.9280495778491599E-3</v>
      </c>
      <c r="E15628" s="2">
        <v>4.2735042735042702E-4</v>
      </c>
      <c r="F15628" s="2">
        <v>1.23689733722245E-2</v>
      </c>
    </row>
    <row r="15629" spans="1:6" x14ac:dyDescent="0.25">
      <c r="A15629" s="1" t="str">
        <f t="shared" si="587"/>
        <v>27140</v>
      </c>
      <c r="B15629" s="1" t="str">
        <f>"39211"</f>
        <v>39211</v>
      </c>
      <c r="C15629" s="2">
        <v>4.0702284695723998E-2</v>
      </c>
      <c r="D15629" s="2">
        <v>3.5932569576712002E-2</v>
      </c>
      <c r="E15629" s="2">
        <v>3.7820512820512797E-2</v>
      </c>
      <c r="F15629" s="2">
        <v>4.0161098190481498E-2</v>
      </c>
    </row>
    <row r="15630" spans="1:6" x14ac:dyDescent="0.25">
      <c r="A15630" s="1" t="str">
        <f t="shared" si="587"/>
        <v>27140</v>
      </c>
      <c r="B15630" s="1" t="str">
        <f>"39146"</f>
        <v>39146</v>
      </c>
      <c r="C15630" s="2">
        <v>3.6225745016842002E-3</v>
      </c>
      <c r="D15630" s="2">
        <v>5.6855331608721604E-4</v>
      </c>
      <c r="E15630" s="2">
        <v>3.63247863247863E-3</v>
      </c>
      <c r="F15630" s="2">
        <v>3.3019755128362001E-3</v>
      </c>
    </row>
    <row r="15631" spans="1:6" x14ac:dyDescent="0.25">
      <c r="A15631" s="1" t="str">
        <f t="shared" si="587"/>
        <v>27140</v>
      </c>
      <c r="B15631" s="1" t="str">
        <f>"39149"</f>
        <v>39149</v>
      </c>
      <c r="C15631" s="2">
        <v>2.7652205737832601E-3</v>
      </c>
      <c r="D15631" s="2">
        <v>5.9698098189157596E-4</v>
      </c>
      <c r="E15631" s="2">
        <v>0</v>
      </c>
      <c r="F15631" s="2">
        <v>2.4988729694791099E-3</v>
      </c>
    </row>
    <row r="15632" spans="1:6" x14ac:dyDescent="0.25">
      <c r="A15632" s="1" t="str">
        <f t="shared" si="587"/>
        <v>27140</v>
      </c>
      <c r="B15632" s="1" t="str">
        <f>"39154"</f>
        <v>39154</v>
      </c>
      <c r="C15632" s="2">
        <v>1.5906795800660099E-2</v>
      </c>
      <c r="D15632" s="2">
        <v>7.22062711430764E-3</v>
      </c>
      <c r="E15632" s="2">
        <v>4.2735042735042696E-3</v>
      </c>
      <c r="F15632" s="2">
        <v>1.48320202059405E-2</v>
      </c>
    </row>
    <row r="15633" spans="1:6" x14ac:dyDescent="0.25">
      <c r="A15633" s="1" t="str">
        <f t="shared" si="587"/>
        <v>27140</v>
      </c>
      <c r="B15633" s="1" t="str">
        <f>"39175"</f>
        <v>39175</v>
      </c>
      <c r="C15633" s="2">
        <v>7.55691406805966E-3</v>
      </c>
      <c r="D15633" s="2">
        <v>1.6488046166529199E-3</v>
      </c>
      <c r="E15633" s="2">
        <v>4.2735042735042702E-4</v>
      </c>
      <c r="F15633" s="2">
        <v>6.8368209081328297E-3</v>
      </c>
    </row>
    <row r="15634" spans="1:6" x14ac:dyDescent="0.25">
      <c r="A15634" s="1" t="str">
        <f t="shared" si="587"/>
        <v>27140</v>
      </c>
      <c r="B15634" s="1" t="str">
        <f>"39225"</f>
        <v>39225</v>
      </c>
      <c r="C15634" s="2">
        <v>3.0498756328491898E-3</v>
      </c>
      <c r="D15634" s="2">
        <v>1.52372288711373E-2</v>
      </c>
      <c r="E15634" s="2">
        <v>2.13675213675213E-4</v>
      </c>
      <c r="F15634" s="2">
        <v>4.2901797576361898E-3</v>
      </c>
    </row>
    <row r="15635" spans="1:6" x14ac:dyDescent="0.25">
      <c r="A15635" s="1" t="str">
        <f t="shared" si="587"/>
        <v>27140</v>
      </c>
      <c r="B15635" s="1" t="str">
        <f>"39144"</f>
        <v>39144</v>
      </c>
      <c r="C15635" s="2">
        <v>1.82992537970951E-4</v>
      </c>
      <c r="D15635" s="2">
        <v>2.8427665804360799E-5</v>
      </c>
      <c r="E15635" s="2">
        <v>0</v>
      </c>
      <c r="F15635" s="2">
        <v>1.6420312224773101E-4</v>
      </c>
    </row>
    <row r="15636" spans="1:6" x14ac:dyDescent="0.25">
      <c r="A15636" s="1" t="str">
        <f t="shared" si="587"/>
        <v>27140</v>
      </c>
      <c r="B15636" s="1" t="str">
        <f>"39056"</f>
        <v>39056</v>
      </c>
      <c r="C15636" s="2">
        <v>4.0068588314231997E-2</v>
      </c>
      <c r="D15636" s="2">
        <v>2.5329050231685399E-2</v>
      </c>
      <c r="E15636" s="2">
        <v>3.3974358974358902E-2</v>
      </c>
      <c r="F15636" s="2">
        <v>3.8435472651223601E-2</v>
      </c>
    </row>
    <row r="15637" spans="1:6" x14ac:dyDescent="0.25">
      <c r="A15637" s="1" t="str">
        <f t="shared" si="587"/>
        <v>27140</v>
      </c>
      <c r="B15637" s="1" t="str">
        <f>"39044"</f>
        <v>39044</v>
      </c>
      <c r="C15637" s="2">
        <v>6.3471300670294804E-3</v>
      </c>
      <c r="D15637" s="2">
        <v>7.1069164510901997E-4</v>
      </c>
      <c r="E15637" s="2">
        <v>0</v>
      </c>
      <c r="F15637" s="2">
        <v>5.6665004732035403E-3</v>
      </c>
    </row>
    <row r="15638" spans="1:6" x14ac:dyDescent="0.25">
      <c r="A15638" s="1" t="str">
        <f t="shared" si="587"/>
        <v>27140</v>
      </c>
      <c r="B15638" s="1" t="str">
        <f>"39066"</f>
        <v>39066</v>
      </c>
      <c r="C15638" s="2">
        <v>7.4993053061058502E-3</v>
      </c>
      <c r="D15638" s="2">
        <v>1.2792449611962299E-3</v>
      </c>
      <c r="E15638" s="2">
        <v>2.13675213675213E-3</v>
      </c>
      <c r="F15638" s="2">
        <v>6.7711396592337299E-3</v>
      </c>
    </row>
    <row r="15639" spans="1:6" x14ac:dyDescent="0.25">
      <c r="A15639" s="1" t="str">
        <f t="shared" si="587"/>
        <v>27140</v>
      </c>
      <c r="B15639" s="1" t="str">
        <f>"39110"</f>
        <v>39110</v>
      </c>
      <c r="C15639" s="2">
        <v>6.3301863135136596E-2</v>
      </c>
      <c r="D15639" s="2">
        <v>3.3885777638797999E-2</v>
      </c>
      <c r="E15639" s="2">
        <v>4.1452991452991403E-2</v>
      </c>
      <c r="F15639" s="2">
        <v>5.9907270018599697E-2</v>
      </c>
    </row>
    <row r="15640" spans="1:6" x14ac:dyDescent="0.25">
      <c r="A15640" s="1" t="str">
        <f t="shared" si="587"/>
        <v>27140</v>
      </c>
      <c r="B15640" s="1" t="str">
        <f>"39038"</f>
        <v>39038</v>
      </c>
      <c r="C15640" s="2">
        <v>4.5409259422421298E-4</v>
      </c>
      <c r="D15640" s="2">
        <v>1.7056599482616401E-4</v>
      </c>
      <c r="E15640" s="2">
        <v>0</v>
      </c>
      <c r="F15640" s="2">
        <v>4.1797158390331697E-4</v>
      </c>
    </row>
    <row r="15641" spans="1:6" x14ac:dyDescent="0.25">
      <c r="A15641" s="1" t="str">
        <f t="shared" si="587"/>
        <v>27140</v>
      </c>
      <c r="B15641" s="1" t="str">
        <f>"39079"</f>
        <v>39079</v>
      </c>
      <c r="C15641" s="2">
        <v>1.8638128867411699E-3</v>
      </c>
      <c r="D15641" s="2">
        <v>1.7056599482616401E-4</v>
      </c>
      <c r="E15641" s="2">
        <v>7.4786324786324703E-3</v>
      </c>
      <c r="F15641" s="2">
        <v>1.76443718633471E-3</v>
      </c>
    </row>
    <row r="15642" spans="1:6" x14ac:dyDescent="0.25">
      <c r="A15642" s="1" t="str">
        <f t="shared" si="587"/>
        <v>27140</v>
      </c>
      <c r="B15642" s="1" t="str">
        <f>"39097"</f>
        <v>39097</v>
      </c>
      <c r="C15642" s="2">
        <v>2.3721254922160301E-5</v>
      </c>
      <c r="D15642" s="2">
        <v>0</v>
      </c>
      <c r="E15642" s="2">
        <v>0</v>
      </c>
      <c r="F15642" s="2">
        <v>2.0898579195165799E-5</v>
      </c>
    </row>
    <row r="15643" spans="1:6" x14ac:dyDescent="0.25">
      <c r="A15643" s="1" t="str">
        <f t="shared" si="587"/>
        <v>27140</v>
      </c>
      <c r="B15643" s="1" t="str">
        <f>"39148"</f>
        <v>39148</v>
      </c>
      <c r="C15643" s="2">
        <v>0</v>
      </c>
      <c r="D15643" s="2">
        <v>2.8427665804360799E-5</v>
      </c>
      <c r="E15643" s="2">
        <v>0</v>
      </c>
      <c r="F15643" s="2">
        <v>2.9855113135951202E-6</v>
      </c>
    </row>
    <row r="15644" spans="1:6" x14ac:dyDescent="0.25">
      <c r="A15644" s="1" t="str">
        <f t="shared" si="587"/>
        <v>27140</v>
      </c>
      <c r="B15644" s="1" t="str">
        <f>"39151"</f>
        <v>39151</v>
      </c>
      <c r="C15644" s="2">
        <v>0</v>
      </c>
      <c r="D15644" s="2">
        <v>2.8427665804360799E-5</v>
      </c>
      <c r="E15644" s="2">
        <v>0</v>
      </c>
      <c r="F15644" s="2">
        <v>2.9855113135951202E-6</v>
      </c>
    </row>
    <row r="15645" spans="1:6" x14ac:dyDescent="0.25">
      <c r="A15645" s="1" t="str">
        <f t="shared" si="587"/>
        <v>27140</v>
      </c>
      <c r="B15645" s="1" t="str">
        <f>"39157"</f>
        <v>39157</v>
      </c>
      <c r="C15645" s="2">
        <v>4.3860600351074502E-2</v>
      </c>
      <c r="D15645" s="2">
        <v>7.9824885578645102E-2</v>
      </c>
      <c r="E15645" s="2">
        <v>0.11111111111111099</v>
      </c>
      <c r="F15645" s="2">
        <v>4.8577254583506202E-2</v>
      </c>
    </row>
    <row r="15646" spans="1:6" x14ac:dyDescent="0.25">
      <c r="A15646" s="1" t="str">
        <f t="shared" si="587"/>
        <v>27140</v>
      </c>
      <c r="B15646" s="1" t="str">
        <f>"39218"</f>
        <v>39218</v>
      </c>
      <c r="C15646" s="2">
        <v>1.2504490094681599E-2</v>
      </c>
      <c r="D15646" s="2">
        <v>1.85064104386388E-2</v>
      </c>
      <c r="E15646" s="2">
        <v>8.9743589743589702E-3</v>
      </c>
      <c r="F15646" s="2">
        <v>1.30854960874874E-2</v>
      </c>
    </row>
    <row r="15647" spans="1:6" x14ac:dyDescent="0.25">
      <c r="A15647" s="1" t="str">
        <f t="shared" si="587"/>
        <v>27140</v>
      </c>
      <c r="B15647" s="1" t="str">
        <f>"39174"</f>
        <v>39174</v>
      </c>
      <c r="C15647" s="2">
        <v>2.1450791951039298E-3</v>
      </c>
      <c r="D15647" s="2">
        <v>1.6488046166529199E-3</v>
      </c>
      <c r="E15647" s="2">
        <v>2.13675213675213E-4</v>
      </c>
      <c r="F15647" s="2">
        <v>2.0659738290078199E-3</v>
      </c>
    </row>
    <row r="15648" spans="1:6" x14ac:dyDescent="0.25">
      <c r="A15648" s="1" t="str">
        <f t="shared" ref="A15648:A15677" si="588">"27140"</f>
        <v>27140</v>
      </c>
      <c r="B15648" s="1" t="str">
        <f>"39194"</f>
        <v>39194</v>
      </c>
      <c r="C15648" s="2">
        <v>2.6876181826807701E-2</v>
      </c>
      <c r="D15648" s="2">
        <v>2.6380873866446799E-2</v>
      </c>
      <c r="E15648" s="2">
        <v>2.0299145299145199E-2</v>
      </c>
      <c r="F15648" s="2">
        <v>2.6732268301930699E-2</v>
      </c>
    </row>
    <row r="15649" spans="1:6" x14ac:dyDescent="0.25">
      <c r="A15649" s="1" t="str">
        <f t="shared" si="588"/>
        <v>27140</v>
      </c>
      <c r="B15649" s="1" t="str">
        <f>"39296"</f>
        <v>39296</v>
      </c>
      <c r="C15649" s="2">
        <v>2.9821006187858699E-3</v>
      </c>
      <c r="D15649" s="2">
        <v>1.1115217329505E-2</v>
      </c>
      <c r="E15649" s="2">
        <v>2.13675213675213E-4</v>
      </c>
      <c r="F15649" s="2">
        <v>3.79757039089299E-3</v>
      </c>
    </row>
    <row r="15650" spans="1:6" x14ac:dyDescent="0.25">
      <c r="A15650" s="1" t="str">
        <f t="shared" si="588"/>
        <v>27140</v>
      </c>
      <c r="B15650" s="1" t="str">
        <f>"39283"</f>
        <v>39283</v>
      </c>
      <c r="C15650" s="2">
        <v>1.9112553965854901E-3</v>
      </c>
      <c r="D15650" s="2">
        <v>4.71899252352389E-3</v>
      </c>
      <c r="E15650" s="2">
        <v>4.2735042735042702E-4</v>
      </c>
      <c r="F15650" s="2">
        <v>2.1853942815516199E-3</v>
      </c>
    </row>
    <row r="15651" spans="1:6" x14ac:dyDescent="0.25">
      <c r="A15651" s="1" t="str">
        <f t="shared" si="588"/>
        <v>27140</v>
      </c>
      <c r="B15651" s="1" t="str">
        <f>"39059"</f>
        <v>39059</v>
      </c>
      <c r="C15651" s="2">
        <v>2.0135956678211001E-2</v>
      </c>
      <c r="D15651" s="2">
        <v>1.15700599823748E-2</v>
      </c>
      <c r="E15651" s="2">
        <v>7.9059829059829004E-3</v>
      </c>
      <c r="F15651" s="2">
        <v>1.9065475248618399E-2</v>
      </c>
    </row>
    <row r="15652" spans="1:6" x14ac:dyDescent="0.25">
      <c r="A15652" s="1" t="str">
        <f t="shared" si="588"/>
        <v>27140</v>
      </c>
      <c r="B15652" s="1" t="str">
        <f>"39082"</f>
        <v>39082</v>
      </c>
      <c r="C15652" s="2">
        <v>2.2704629711210599E-3</v>
      </c>
      <c r="D15652" s="2">
        <v>1.4213832902180401E-4</v>
      </c>
      <c r="E15652" s="2">
        <v>0</v>
      </c>
      <c r="F15652" s="2">
        <v>2.0152201366767002E-3</v>
      </c>
    </row>
    <row r="15653" spans="1:6" x14ac:dyDescent="0.25">
      <c r="A15653" s="1" t="str">
        <f t="shared" si="588"/>
        <v>27140</v>
      </c>
      <c r="B15653" s="1" t="str">
        <f>"39114"</f>
        <v>39114</v>
      </c>
      <c r="C15653" s="2">
        <v>1.6411719655431801E-2</v>
      </c>
      <c r="D15653" s="2">
        <v>1.0774085339852701E-2</v>
      </c>
      <c r="E15653" s="2">
        <v>1.1538461538461499E-2</v>
      </c>
      <c r="F15653" s="2">
        <v>1.5751557690527801E-2</v>
      </c>
    </row>
    <row r="15654" spans="1:6" x14ac:dyDescent="0.25">
      <c r="A15654" s="1" t="str">
        <f t="shared" si="588"/>
        <v>27140</v>
      </c>
      <c r="B15654" s="1" t="str">
        <f>"39040"</f>
        <v>39040</v>
      </c>
      <c r="C15654" s="2">
        <v>5.0526272984201598E-3</v>
      </c>
      <c r="D15654" s="2">
        <v>9.0968530573954504E-4</v>
      </c>
      <c r="E15654" s="2">
        <v>4.2735042735042702E-4</v>
      </c>
      <c r="F15654" s="2">
        <v>4.5529047532325596E-3</v>
      </c>
    </row>
    <row r="15655" spans="1:6" x14ac:dyDescent="0.25">
      <c r="A15655" s="1" t="str">
        <f t="shared" si="588"/>
        <v>27140</v>
      </c>
      <c r="B15655" s="1" t="str">
        <f>"39232"</f>
        <v>39232</v>
      </c>
      <c r="C15655" s="2">
        <v>1.8624573864598998E-2</v>
      </c>
      <c r="D15655" s="2">
        <v>5.91295448730704E-2</v>
      </c>
      <c r="E15655" s="2">
        <v>6.0470085470085401E-2</v>
      </c>
      <c r="F15655" s="2">
        <v>2.3463133413544002E-2</v>
      </c>
    </row>
    <row r="15656" spans="1:6" x14ac:dyDescent="0.25">
      <c r="A15656" s="1" t="str">
        <f t="shared" si="588"/>
        <v>27140</v>
      </c>
      <c r="B15656" s="1" t="str">
        <f>"39236"</f>
        <v>39236</v>
      </c>
      <c r="C15656" s="2">
        <v>5.2186760828752798E-3</v>
      </c>
      <c r="D15656" s="2">
        <v>2.4248798931119701E-2</v>
      </c>
      <c r="E15656" s="2">
        <v>4.2735042735042702E-4</v>
      </c>
      <c r="F15656" s="2">
        <v>7.1502995960603102E-3</v>
      </c>
    </row>
    <row r="15657" spans="1:6" x14ac:dyDescent="0.25">
      <c r="A15657" s="1" t="str">
        <f t="shared" si="588"/>
        <v>27140</v>
      </c>
      <c r="B15657" s="1" t="str">
        <f>"39063"</f>
        <v>39063</v>
      </c>
      <c r="C15657" s="2">
        <v>6.1675262797617003E-3</v>
      </c>
      <c r="D15657" s="2">
        <v>5.1169798447849397E-3</v>
      </c>
      <c r="E15657" s="2">
        <v>1.0683760683760601E-2</v>
      </c>
      <c r="F15657" s="2">
        <v>6.1202981928700001E-3</v>
      </c>
    </row>
    <row r="15658" spans="1:6" x14ac:dyDescent="0.25">
      <c r="A15658" s="1" t="str">
        <f t="shared" si="588"/>
        <v>27140</v>
      </c>
      <c r="B15658" s="1" t="str">
        <f>"39163"</f>
        <v>39163</v>
      </c>
      <c r="C15658" s="2">
        <v>0</v>
      </c>
      <c r="D15658" s="2">
        <v>2.8427665804360799E-5</v>
      </c>
      <c r="E15658" s="2">
        <v>0</v>
      </c>
      <c r="F15658" s="2">
        <v>2.9855113135951202E-6</v>
      </c>
    </row>
    <row r="15659" spans="1:6" x14ac:dyDescent="0.25">
      <c r="A15659" s="1" t="str">
        <f t="shared" si="588"/>
        <v>27140</v>
      </c>
      <c r="B15659" s="1" t="str">
        <f>"39166"</f>
        <v>39166</v>
      </c>
      <c r="C15659" s="2">
        <v>6.7775014063315398E-6</v>
      </c>
      <c r="D15659" s="2">
        <v>0</v>
      </c>
      <c r="E15659" s="2">
        <v>0</v>
      </c>
      <c r="F15659" s="2">
        <v>5.9710226271902403E-6</v>
      </c>
    </row>
    <row r="15660" spans="1:6" x14ac:dyDescent="0.25">
      <c r="A15660" s="1" t="str">
        <f t="shared" si="588"/>
        <v>27140</v>
      </c>
      <c r="B15660" s="1" t="str">
        <f>"39161"</f>
        <v>39161</v>
      </c>
      <c r="C15660" s="2">
        <v>0</v>
      </c>
      <c r="D15660" s="2">
        <v>2.8427665804360799E-5</v>
      </c>
      <c r="E15660" s="2">
        <v>0</v>
      </c>
      <c r="F15660" s="2">
        <v>2.9855113135951202E-6</v>
      </c>
    </row>
    <row r="15661" spans="1:6" x14ac:dyDescent="0.25">
      <c r="A15661" s="1" t="str">
        <f t="shared" si="588"/>
        <v>27140</v>
      </c>
      <c r="B15661" s="1" t="str">
        <f>"39668"</f>
        <v>39668</v>
      </c>
      <c r="C15661" s="2">
        <v>7.4552515469646893E-5</v>
      </c>
      <c r="D15661" s="2">
        <v>0</v>
      </c>
      <c r="E15661" s="2">
        <v>0</v>
      </c>
      <c r="F15661" s="2">
        <v>6.5681248899092699E-5</v>
      </c>
    </row>
    <row r="15662" spans="1:6" x14ac:dyDescent="0.25">
      <c r="A15662" s="1" t="str">
        <f t="shared" si="588"/>
        <v>27140</v>
      </c>
      <c r="B15662" s="1" t="str">
        <f>"39207"</f>
        <v>39207</v>
      </c>
      <c r="C15662" s="2">
        <v>2.83977308925291E-3</v>
      </c>
      <c r="D15662" s="2">
        <v>9.1252807231998103E-3</v>
      </c>
      <c r="E15662" s="2">
        <v>2.13675213675213E-4</v>
      </c>
      <c r="F15662" s="2">
        <v>3.4631931237703402E-3</v>
      </c>
    </row>
    <row r="15663" spans="1:6" x14ac:dyDescent="0.25">
      <c r="A15663" s="1" t="str">
        <f t="shared" si="588"/>
        <v>27140</v>
      </c>
      <c r="B15663" s="1" t="str">
        <f>"39051"</f>
        <v>39051</v>
      </c>
      <c r="C15663" s="2">
        <v>2.7110005625326098E-4</v>
      </c>
      <c r="D15663" s="2">
        <v>2.8427665804360799E-5</v>
      </c>
      <c r="E15663" s="2">
        <v>0</v>
      </c>
      <c r="F15663" s="2">
        <v>2.4182641640120399E-4</v>
      </c>
    </row>
    <row r="15664" spans="1:6" x14ac:dyDescent="0.25">
      <c r="A15664" s="1" t="str">
        <f t="shared" si="588"/>
        <v>27140</v>
      </c>
      <c r="B15664" s="1" t="str">
        <f>"39203"</f>
        <v>39203</v>
      </c>
      <c r="C15664" s="2">
        <v>1.07423397290354E-2</v>
      </c>
      <c r="D15664" s="2">
        <v>1.1655342979787899E-2</v>
      </c>
      <c r="E15664" s="2">
        <v>3.4401709401709397E-2</v>
      </c>
      <c r="F15664" s="2">
        <v>1.1168797824159299E-2</v>
      </c>
    </row>
    <row r="15665" spans="1:6" x14ac:dyDescent="0.25">
      <c r="A15665" s="1" t="str">
        <f t="shared" si="588"/>
        <v>27140</v>
      </c>
      <c r="B15665" s="1" t="str">
        <f>"39288"</f>
        <v>39288</v>
      </c>
      <c r="C15665" s="2">
        <v>5.1305685645929699E-3</v>
      </c>
      <c r="D15665" s="2">
        <v>1.00633936947437E-2</v>
      </c>
      <c r="E15665" s="2">
        <v>2.13675213675213E-4</v>
      </c>
      <c r="F15665" s="2">
        <v>5.5799206451092797E-3</v>
      </c>
    </row>
    <row r="15666" spans="1:6" x14ac:dyDescent="0.25">
      <c r="A15666" s="1" t="str">
        <f t="shared" si="588"/>
        <v>27140</v>
      </c>
      <c r="B15666" s="1" t="str">
        <f>"39209"</f>
        <v>39209</v>
      </c>
      <c r="C15666" s="2">
        <v>4.7652612387917001E-2</v>
      </c>
      <c r="D15666" s="2">
        <v>3.98271597919094E-2</v>
      </c>
      <c r="E15666" s="2">
        <v>4.4871794871794803E-2</v>
      </c>
      <c r="F15666" s="2">
        <v>4.67919188179763E-2</v>
      </c>
    </row>
    <row r="15667" spans="1:6" x14ac:dyDescent="0.25">
      <c r="A15667" s="1" t="str">
        <f t="shared" si="588"/>
        <v>27140</v>
      </c>
      <c r="B15667" s="1" t="str">
        <f>"39140"</f>
        <v>39140</v>
      </c>
      <c r="C15667" s="2">
        <v>8.4718767579144202E-4</v>
      </c>
      <c r="D15667" s="2">
        <v>2.2742132643488599E-4</v>
      </c>
      <c r="E15667" s="2">
        <v>0</v>
      </c>
      <c r="F15667" s="2">
        <v>7.7026191890754105E-4</v>
      </c>
    </row>
    <row r="15668" spans="1:6" x14ac:dyDescent="0.25">
      <c r="A15668" s="1" t="str">
        <f t="shared" si="588"/>
        <v>27140</v>
      </c>
      <c r="B15668" s="1" t="str">
        <f>"39111"</f>
        <v>39111</v>
      </c>
      <c r="C15668" s="2">
        <v>1.55001457162802E-2</v>
      </c>
      <c r="D15668" s="2">
        <v>1.60900588452682E-2</v>
      </c>
      <c r="E15668" s="2">
        <v>2.0299145299145199E-2</v>
      </c>
      <c r="F15668" s="2">
        <v>1.5629151726670398E-2</v>
      </c>
    </row>
    <row r="15669" spans="1:6" x14ac:dyDescent="0.25">
      <c r="A15669" s="1" t="str">
        <f t="shared" si="588"/>
        <v>27140</v>
      </c>
      <c r="B15669" s="1" t="str">
        <f>"39071"</f>
        <v>39071</v>
      </c>
      <c r="C15669" s="2">
        <v>7.37731028079188E-3</v>
      </c>
      <c r="D15669" s="2">
        <v>3.3828922307189298E-3</v>
      </c>
      <c r="E15669" s="2">
        <v>1.2820512820512801E-3</v>
      </c>
      <c r="F15669" s="2">
        <v>6.8726470438959701E-3</v>
      </c>
    </row>
    <row r="15670" spans="1:6" x14ac:dyDescent="0.25">
      <c r="A15670" s="1" t="str">
        <f t="shared" si="588"/>
        <v>27140</v>
      </c>
      <c r="B15670" s="1" t="str">
        <f>"39077"</f>
        <v>39077</v>
      </c>
      <c r="C15670" s="2">
        <v>0</v>
      </c>
      <c r="D15670" s="2">
        <v>2.8427665804360799E-5</v>
      </c>
      <c r="E15670" s="2">
        <v>0</v>
      </c>
      <c r="F15670" s="2">
        <v>2.9855113135951202E-6</v>
      </c>
    </row>
    <row r="15671" spans="1:6" x14ac:dyDescent="0.25">
      <c r="A15671" s="1" t="str">
        <f t="shared" si="588"/>
        <v>27140</v>
      </c>
      <c r="B15671" s="1" t="str">
        <f>"39216"</f>
        <v>39216</v>
      </c>
      <c r="C15671" s="2">
        <v>8.2007767016611596E-3</v>
      </c>
      <c r="D15671" s="2">
        <v>2.77169741592517E-2</v>
      </c>
      <c r="E15671" s="2">
        <v>4.72222222222222E-2</v>
      </c>
      <c r="F15671" s="2">
        <v>1.0795608909959901E-2</v>
      </c>
    </row>
    <row r="15672" spans="1:6" x14ac:dyDescent="0.25">
      <c r="A15672" s="1" t="str">
        <f t="shared" si="588"/>
        <v>27140</v>
      </c>
      <c r="B15672" s="1" t="str">
        <f>"39192"</f>
        <v>39192</v>
      </c>
      <c r="C15672" s="2">
        <v>1.5486590713467501E-3</v>
      </c>
      <c r="D15672" s="2">
        <v>4.26414987065412E-4</v>
      </c>
      <c r="E15672" s="2">
        <v>0</v>
      </c>
      <c r="F15672" s="2">
        <v>1.40916134001689E-3</v>
      </c>
    </row>
    <row r="15673" spans="1:6" x14ac:dyDescent="0.25">
      <c r="A15673" s="1" t="str">
        <f t="shared" si="588"/>
        <v>27140</v>
      </c>
      <c r="B15673" s="1" t="str">
        <f>"39286"</f>
        <v>39286</v>
      </c>
      <c r="C15673" s="2">
        <v>5.58127240811402E-3</v>
      </c>
      <c r="D15673" s="2">
        <v>1.3559996588680101E-2</v>
      </c>
      <c r="E15673" s="2">
        <v>2.13675213675213E-4</v>
      </c>
      <c r="F15673" s="2">
        <v>6.3442115413896299E-3</v>
      </c>
    </row>
    <row r="15674" spans="1:6" x14ac:dyDescent="0.25">
      <c r="A15674" s="1" t="str">
        <f t="shared" si="588"/>
        <v>27140</v>
      </c>
      <c r="B15674" s="1" t="str">
        <f>"39179"</f>
        <v>39179</v>
      </c>
      <c r="C15674" s="2">
        <v>2.0501941754152899E-3</v>
      </c>
      <c r="D15674" s="2">
        <v>3.1270432384796799E-4</v>
      </c>
      <c r="E15674" s="2">
        <v>6.4102564102564103E-4</v>
      </c>
      <c r="F15674" s="2">
        <v>1.8480315031153801E-3</v>
      </c>
    </row>
    <row r="15675" spans="1:6" x14ac:dyDescent="0.25">
      <c r="A15675" s="1" t="str">
        <f t="shared" si="588"/>
        <v>27140</v>
      </c>
      <c r="B15675" s="1" t="str">
        <f>"39042"</f>
        <v>39042</v>
      </c>
      <c r="C15675" s="2">
        <v>5.5761892820592698E-2</v>
      </c>
      <c r="D15675" s="2">
        <v>2.70631378457514E-2</v>
      </c>
      <c r="E15675" s="2">
        <v>3.6111111111111101E-2</v>
      </c>
      <c r="F15675" s="2">
        <v>5.24733468477478E-2</v>
      </c>
    </row>
    <row r="15676" spans="1:6" x14ac:dyDescent="0.25">
      <c r="A15676" s="1" t="str">
        <f t="shared" si="588"/>
        <v>27140</v>
      </c>
      <c r="B15676" s="1" t="str">
        <f>"39043"</f>
        <v>39043</v>
      </c>
      <c r="C15676" s="2">
        <v>3.93095081567229E-3</v>
      </c>
      <c r="D15676" s="2">
        <v>1.3645279586093099E-2</v>
      </c>
      <c r="E15676" s="2">
        <v>4.2735042735042702E-4</v>
      </c>
      <c r="F15676" s="2">
        <v>4.90220957692319E-3</v>
      </c>
    </row>
    <row r="15677" spans="1:6" x14ac:dyDescent="0.25">
      <c r="A15677" s="1" t="str">
        <f t="shared" si="588"/>
        <v>27140</v>
      </c>
      <c r="B15677" s="1" t="str">
        <f>"39073"</f>
        <v>39073</v>
      </c>
      <c r="C15677" s="2">
        <v>3.51582885453448E-2</v>
      </c>
      <c r="D15677" s="2">
        <v>1.5777354521420199E-2</v>
      </c>
      <c r="E15677" s="2">
        <v>7.6923076923076901E-3</v>
      </c>
      <c r="F15677" s="2">
        <v>3.2739117064884103E-2</v>
      </c>
    </row>
    <row r="15678" spans="1:6" x14ac:dyDescent="0.25">
      <c r="A15678" s="1" t="str">
        <f t="shared" ref="A15678:A15689" si="589">"27160"</f>
        <v>27160</v>
      </c>
      <c r="B15678" s="1" t="str">
        <f>"45672"</f>
        <v>45672</v>
      </c>
      <c r="C15678" s="2">
        <v>2.8444772811230101E-2</v>
      </c>
      <c r="D15678" s="2">
        <v>8.9847259658580401E-3</v>
      </c>
      <c r="E15678" s="2">
        <v>0</v>
      </c>
      <c r="F15678" s="2">
        <v>2.6833428084138699E-2</v>
      </c>
    </row>
    <row r="15679" spans="1:6" x14ac:dyDescent="0.25">
      <c r="A15679" s="1" t="str">
        <f t="shared" si="589"/>
        <v>27160</v>
      </c>
      <c r="B15679" s="1" t="str">
        <f>"45692"</f>
        <v>45692</v>
      </c>
      <c r="C15679" s="2">
        <v>0.26776259081393899</v>
      </c>
      <c r="D15679" s="2">
        <v>0.22551662174303599</v>
      </c>
      <c r="E15679" s="2">
        <v>0.31063829787233999</v>
      </c>
      <c r="F15679" s="2">
        <v>0.265662308129619</v>
      </c>
    </row>
    <row r="15680" spans="1:6" x14ac:dyDescent="0.25">
      <c r="A15680" s="1" t="str">
        <f t="shared" si="589"/>
        <v>27160</v>
      </c>
      <c r="B15680" s="1" t="str">
        <f>"45613"</f>
        <v>45613</v>
      </c>
      <c r="C15680" s="2">
        <v>1.3545129910109499E-2</v>
      </c>
      <c r="D15680" s="2">
        <v>3.5938903863432098E-3</v>
      </c>
      <c r="E15680" s="2">
        <v>0</v>
      </c>
      <c r="F15680" s="2">
        <v>1.273450824332E-2</v>
      </c>
    </row>
    <row r="15681" spans="1:6" x14ac:dyDescent="0.25">
      <c r="A15681" s="1" t="str">
        <f t="shared" si="589"/>
        <v>27160</v>
      </c>
      <c r="B15681" s="1" t="str">
        <f>"45686"</f>
        <v>45686</v>
      </c>
      <c r="C15681" s="2">
        <v>6.7725649550547898E-4</v>
      </c>
      <c r="D15681" s="2">
        <v>8.9847259658580396E-4</v>
      </c>
      <c r="E15681" s="2">
        <v>0</v>
      </c>
      <c r="F15681" s="2">
        <v>6.8220579874928901E-4</v>
      </c>
    </row>
    <row r="15682" spans="1:6" x14ac:dyDescent="0.25">
      <c r="A15682" s="1" t="str">
        <f t="shared" si="589"/>
        <v>27160</v>
      </c>
      <c r="B15682" s="1" t="str">
        <f>"45621"</f>
        <v>45621</v>
      </c>
      <c r="C15682" s="2">
        <v>3.6325575668021098E-3</v>
      </c>
      <c r="D15682" s="2">
        <v>8.9847259658580396E-4</v>
      </c>
      <c r="E15682" s="2">
        <v>0</v>
      </c>
      <c r="F15682" s="2">
        <v>3.4110289937464401E-3</v>
      </c>
    </row>
    <row r="15683" spans="1:6" x14ac:dyDescent="0.25">
      <c r="A15683" s="1" t="str">
        <f t="shared" si="589"/>
        <v>27160</v>
      </c>
      <c r="B15683" s="1" t="str">
        <f>"45682"</f>
        <v>45682</v>
      </c>
      <c r="C15683" s="2">
        <v>1.23137544637359E-4</v>
      </c>
      <c r="D15683" s="2">
        <v>0</v>
      </c>
      <c r="E15683" s="2">
        <v>0</v>
      </c>
      <c r="F15683" s="2">
        <v>1.1370096645821399E-4</v>
      </c>
    </row>
    <row r="15684" spans="1:6" x14ac:dyDescent="0.25">
      <c r="A15684" s="1" t="str">
        <f t="shared" si="589"/>
        <v>27160</v>
      </c>
      <c r="B15684" s="1" t="str">
        <f>"45653"</f>
        <v>45653</v>
      </c>
      <c r="C15684" s="2">
        <v>6.1568772318679906E-5</v>
      </c>
      <c r="D15684" s="2">
        <v>0</v>
      </c>
      <c r="E15684" s="2">
        <v>0</v>
      </c>
      <c r="F15684" s="2">
        <v>5.6850483229107397E-5</v>
      </c>
    </row>
    <row r="15685" spans="1:6" x14ac:dyDescent="0.25">
      <c r="A15685" s="1" t="str">
        <f t="shared" si="589"/>
        <v>27160</v>
      </c>
      <c r="B15685" s="1" t="str">
        <f>"45634"</f>
        <v>45634</v>
      </c>
      <c r="C15685" s="2">
        <v>1.84706316956039E-4</v>
      </c>
      <c r="D15685" s="2">
        <v>0</v>
      </c>
      <c r="E15685" s="2">
        <v>0</v>
      </c>
      <c r="F15685" s="2">
        <v>1.7055144968732201E-4</v>
      </c>
    </row>
    <row r="15686" spans="1:6" x14ac:dyDescent="0.25">
      <c r="A15686" s="1" t="str">
        <f t="shared" si="589"/>
        <v>27160</v>
      </c>
      <c r="B15686" s="1" t="str">
        <f>"45656"</f>
        <v>45656</v>
      </c>
      <c r="C15686" s="2">
        <v>0.19843615318310501</v>
      </c>
      <c r="D15686" s="2">
        <v>0.14645103324348599</v>
      </c>
      <c r="E15686" s="2">
        <v>0.10638297872340401</v>
      </c>
      <c r="F15686" s="2">
        <v>0.193916998294485</v>
      </c>
    </row>
    <row r="15687" spans="1:6" x14ac:dyDescent="0.25">
      <c r="A15687" s="1" t="str">
        <f t="shared" si="589"/>
        <v>27160</v>
      </c>
      <c r="B15687" s="1" t="str">
        <f>"45640"</f>
        <v>45640</v>
      </c>
      <c r="C15687" s="2">
        <v>0.467430119443418</v>
      </c>
      <c r="D15687" s="2">
        <v>0.60916442048517505</v>
      </c>
      <c r="E15687" s="2">
        <v>0.54893617021276497</v>
      </c>
      <c r="F15687" s="2">
        <v>0.47748720864127298</v>
      </c>
    </row>
    <row r="15688" spans="1:6" x14ac:dyDescent="0.25">
      <c r="A15688" s="1" t="str">
        <f t="shared" si="589"/>
        <v>27160</v>
      </c>
      <c r="B15688" s="1" t="str">
        <f>"45685"</f>
        <v>45685</v>
      </c>
      <c r="C15688" s="2">
        <v>1.2683167097647999E-2</v>
      </c>
      <c r="D15688" s="2">
        <v>3.5938903863432098E-3</v>
      </c>
      <c r="E15688" s="2">
        <v>3.40425531914893E-2</v>
      </c>
      <c r="F15688" s="2">
        <v>1.23934053439454E-2</v>
      </c>
    </row>
    <row r="15689" spans="1:6" x14ac:dyDescent="0.25">
      <c r="A15689" s="1" t="str">
        <f t="shared" si="589"/>
        <v>27160</v>
      </c>
      <c r="B15689" s="1" t="str">
        <f>"45601"</f>
        <v>45601</v>
      </c>
      <c r="C15689" s="2">
        <v>7.0188400443295098E-3</v>
      </c>
      <c r="D15689" s="2">
        <v>8.9847259658580396E-4</v>
      </c>
      <c r="E15689" s="2">
        <v>0</v>
      </c>
      <c r="F15689" s="2">
        <v>6.5378055713473503E-3</v>
      </c>
    </row>
    <row r="15690" spans="1:6" x14ac:dyDescent="0.25">
      <c r="A15690" s="1" t="str">
        <f t="shared" ref="A15690:A15736" si="590">"27180"</f>
        <v>27180</v>
      </c>
      <c r="B15690" s="1" t="str">
        <f>"38340"</f>
        <v>38340</v>
      </c>
      <c r="C15690" s="2">
        <v>5.8094418045944E-2</v>
      </c>
      <c r="D15690" s="2">
        <v>5.4280972371375497E-2</v>
      </c>
      <c r="E15690" s="2">
        <v>8.6761824797089195E-3</v>
      </c>
      <c r="F15690" s="2">
        <v>5.60957297913557E-2</v>
      </c>
    </row>
    <row r="15691" spans="1:6" x14ac:dyDescent="0.25">
      <c r="A15691" s="1" t="str">
        <f t="shared" si="590"/>
        <v>27180</v>
      </c>
      <c r="B15691" s="1" t="str">
        <f>"38355"</f>
        <v>38355</v>
      </c>
      <c r="C15691" s="2">
        <v>3.6004719839270297E-2</v>
      </c>
      <c r="D15691" s="2">
        <v>1.7768231963292001E-2</v>
      </c>
      <c r="E15691" s="2">
        <v>1.39938427092079E-3</v>
      </c>
      <c r="F15691" s="2">
        <v>3.3127253515252003E-2</v>
      </c>
    </row>
    <row r="15692" spans="1:6" x14ac:dyDescent="0.25">
      <c r="A15692" s="1" t="str">
        <f t="shared" si="590"/>
        <v>27180</v>
      </c>
      <c r="B15692" s="1" t="str">
        <f>"38305"</f>
        <v>38305</v>
      </c>
      <c r="C15692" s="2">
        <v>0.24437924546353201</v>
      </c>
      <c r="D15692" s="2">
        <v>0.277067265449575</v>
      </c>
      <c r="E15692" s="2">
        <v>0.45452001119507401</v>
      </c>
      <c r="F15692" s="2">
        <v>0.25444214780279301</v>
      </c>
    </row>
    <row r="15693" spans="1:6" x14ac:dyDescent="0.25">
      <c r="A15693" s="1" t="str">
        <f t="shared" si="590"/>
        <v>27180</v>
      </c>
      <c r="B15693" s="1" t="str">
        <f>"38337"</f>
        <v>38337</v>
      </c>
      <c r="C15693" s="2">
        <v>1.2033464085637401E-2</v>
      </c>
      <c r="D15693" s="2">
        <v>1.8549253148491601E-3</v>
      </c>
      <c r="E15693" s="2">
        <v>0</v>
      </c>
      <c r="F15693" s="2">
        <v>1.0668569892572701E-2</v>
      </c>
    </row>
    <row r="15694" spans="1:6" x14ac:dyDescent="0.25">
      <c r="A15694" s="1" t="str">
        <f t="shared" si="590"/>
        <v>27180</v>
      </c>
      <c r="B15694" s="1" t="str">
        <f>"38336"</f>
        <v>38336</v>
      </c>
      <c r="C15694" s="2">
        <v>0</v>
      </c>
      <c r="D15694" s="2">
        <v>0</v>
      </c>
      <c r="E15694" s="2">
        <v>2.79876854184158E-4</v>
      </c>
      <c r="F15694" s="2">
        <v>9.2689573349893804E-6</v>
      </c>
    </row>
    <row r="15695" spans="1:6" x14ac:dyDescent="0.25">
      <c r="A15695" s="1" t="str">
        <f t="shared" si="590"/>
        <v>27180</v>
      </c>
      <c r="B15695" s="1" t="str">
        <f>"38303"</f>
        <v>38303</v>
      </c>
      <c r="C15695" s="2">
        <v>5.1663105526676602E-3</v>
      </c>
      <c r="D15695" s="2">
        <v>1.5229913111393101E-2</v>
      </c>
      <c r="E15695" s="2">
        <v>2.79876854184158E-4</v>
      </c>
      <c r="F15695" s="2">
        <v>5.9599395663981697E-3</v>
      </c>
    </row>
    <row r="15696" spans="1:6" x14ac:dyDescent="0.25">
      <c r="A15696" s="1" t="str">
        <f t="shared" si="590"/>
        <v>27180</v>
      </c>
      <c r="B15696" s="1" t="str">
        <f>"38346"</f>
        <v>38346</v>
      </c>
      <c r="C15696" s="2">
        <v>0</v>
      </c>
      <c r="D15696" s="2">
        <v>9.7627648149955994E-5</v>
      </c>
      <c r="E15696" s="2">
        <v>0</v>
      </c>
      <c r="F15696" s="2">
        <v>9.2689573349893804E-6</v>
      </c>
    </row>
    <row r="15697" spans="1:6" x14ac:dyDescent="0.25">
      <c r="A15697" s="1" t="str">
        <f t="shared" si="590"/>
        <v>27180</v>
      </c>
      <c r="B15697" s="1" t="str">
        <f>"38356"</f>
        <v>38356</v>
      </c>
      <c r="C15697" s="2">
        <v>9.4290482720498295E-3</v>
      </c>
      <c r="D15697" s="2">
        <v>3.80747827784828E-3</v>
      </c>
      <c r="E15697" s="2">
        <v>0</v>
      </c>
      <c r="F15697" s="2">
        <v>8.5830544922001692E-3</v>
      </c>
    </row>
    <row r="15698" spans="1:6" x14ac:dyDescent="0.25">
      <c r="A15698" s="1" t="str">
        <f t="shared" si="590"/>
        <v>27180</v>
      </c>
      <c r="B15698" s="1" t="str">
        <f>"38391"</f>
        <v>38391</v>
      </c>
      <c r="C15698" s="2">
        <v>6.54824547416313E-3</v>
      </c>
      <c r="D15698" s="2">
        <v>3.1240847407985901E-3</v>
      </c>
      <c r="E15698" s="2">
        <v>0</v>
      </c>
      <c r="F15698" s="2">
        <v>6.00628435307312E-3</v>
      </c>
    </row>
    <row r="15699" spans="1:6" x14ac:dyDescent="0.25">
      <c r="A15699" s="1" t="str">
        <f t="shared" si="590"/>
        <v>27180</v>
      </c>
      <c r="B15699" s="1" t="str">
        <f>"38001"</f>
        <v>38001</v>
      </c>
      <c r="C15699" s="2">
        <v>2.58209224947114E-2</v>
      </c>
      <c r="D15699" s="2">
        <v>2.5383188518988499E-2</v>
      </c>
      <c r="E15699" s="2">
        <v>2.5188916876574301E-2</v>
      </c>
      <c r="F15699" s="2">
        <v>2.57584324339355E-2</v>
      </c>
    </row>
    <row r="15700" spans="1:6" x14ac:dyDescent="0.25">
      <c r="A15700" s="1" t="str">
        <f t="shared" si="590"/>
        <v>27180</v>
      </c>
      <c r="B15700" s="1" t="str">
        <f>"38301"</f>
        <v>38301</v>
      </c>
      <c r="C15700" s="2">
        <v>0.190930254807538</v>
      </c>
      <c r="D15700" s="2">
        <v>0.22796055843014701</v>
      </c>
      <c r="E15700" s="2">
        <v>0.37587461516932502</v>
      </c>
      <c r="F15700" s="2">
        <v>0.200570967771835</v>
      </c>
    </row>
    <row r="15701" spans="1:6" x14ac:dyDescent="0.25">
      <c r="A15701" s="1" t="str">
        <f t="shared" si="590"/>
        <v>27180</v>
      </c>
      <c r="B15701" s="1" t="str">
        <f>"38308"</f>
        <v>38308</v>
      </c>
      <c r="C15701" s="2">
        <v>1.12255636699939E-2</v>
      </c>
      <c r="D15701" s="2">
        <v>3.3193400370984998E-2</v>
      </c>
      <c r="E15701" s="2">
        <v>5.5975370836831699E-4</v>
      </c>
      <c r="F15701" s="2">
        <v>1.29580023543151E-2</v>
      </c>
    </row>
    <row r="15702" spans="1:6" x14ac:dyDescent="0.25">
      <c r="A15702" s="1" t="str">
        <f t="shared" si="590"/>
        <v>27180</v>
      </c>
      <c r="B15702" s="1" t="str">
        <f>"38338"</f>
        <v>38338</v>
      </c>
      <c r="C15702" s="2">
        <v>0</v>
      </c>
      <c r="D15702" s="2">
        <v>9.7627648149955994E-5</v>
      </c>
      <c r="E15702" s="2">
        <v>0</v>
      </c>
      <c r="F15702" s="2">
        <v>9.2689573349893804E-6</v>
      </c>
    </row>
    <row r="15703" spans="1:6" x14ac:dyDescent="0.25">
      <c r="A15703" s="1" t="str">
        <f t="shared" si="590"/>
        <v>27180</v>
      </c>
      <c r="B15703" s="1" t="str">
        <f>"38389"</f>
        <v>38389</v>
      </c>
      <c r="C15703" s="2">
        <v>0</v>
      </c>
      <c r="D15703" s="2">
        <v>1.9525529629991199E-4</v>
      </c>
      <c r="E15703" s="2">
        <v>0</v>
      </c>
      <c r="F15703" s="2">
        <v>1.85379146699787E-5</v>
      </c>
    </row>
    <row r="15704" spans="1:6" x14ac:dyDescent="0.25">
      <c r="A15704" s="1" t="str">
        <f t="shared" si="590"/>
        <v>27180</v>
      </c>
      <c r="B15704" s="1" t="str">
        <f>"38050"</f>
        <v>38050</v>
      </c>
      <c r="C15704" s="2">
        <v>0</v>
      </c>
      <c r="D15704" s="2">
        <v>9.7627648149955994E-5</v>
      </c>
      <c r="E15704" s="2">
        <v>0</v>
      </c>
      <c r="F15704" s="2">
        <v>9.2689573349893804E-6</v>
      </c>
    </row>
    <row r="15705" spans="1:6" x14ac:dyDescent="0.25">
      <c r="A15705" s="1" t="str">
        <f t="shared" si="590"/>
        <v>27180</v>
      </c>
      <c r="B15705" s="1" t="str">
        <f>"38021"</f>
        <v>38021</v>
      </c>
      <c r="C15705" s="2">
        <v>0</v>
      </c>
      <c r="D15705" s="2">
        <v>9.7627648149955994E-5</v>
      </c>
      <c r="E15705" s="2">
        <v>0</v>
      </c>
      <c r="F15705" s="2">
        <v>9.2689573349893804E-6</v>
      </c>
    </row>
    <row r="15706" spans="1:6" x14ac:dyDescent="0.25">
      <c r="A15706" s="1" t="str">
        <f t="shared" si="590"/>
        <v>27180</v>
      </c>
      <c r="B15706" s="1" t="str">
        <f>"38343"</f>
        <v>38343</v>
      </c>
      <c r="C15706" s="2">
        <v>9.6395275908622194E-2</v>
      </c>
      <c r="D15706" s="2">
        <v>8.6986234501610804E-2</v>
      </c>
      <c r="E15706" s="2">
        <v>3.2465715085362397E-2</v>
      </c>
      <c r="F15706" s="2">
        <v>9.3384745150018003E-2</v>
      </c>
    </row>
    <row r="15707" spans="1:6" x14ac:dyDescent="0.25">
      <c r="A15707" s="1" t="str">
        <f t="shared" si="590"/>
        <v>27180</v>
      </c>
      <c r="B15707" s="1" t="str">
        <f>"38330"</f>
        <v>38330</v>
      </c>
      <c r="C15707" s="2">
        <v>2.0633351404789901E-2</v>
      </c>
      <c r="D15707" s="2">
        <v>1.4937030166943199E-2</v>
      </c>
      <c r="E15707" s="2">
        <v>5.0377833753148596E-3</v>
      </c>
      <c r="F15707" s="2">
        <v>1.9576037891497498E-2</v>
      </c>
    </row>
    <row r="15708" spans="1:6" x14ac:dyDescent="0.25">
      <c r="A15708" s="1" t="str">
        <f t="shared" si="590"/>
        <v>27180</v>
      </c>
      <c r="B15708" s="1" t="str">
        <f>"38347"</f>
        <v>38347</v>
      </c>
      <c r="C15708" s="2">
        <v>2.08353265087008E-3</v>
      </c>
      <c r="D15708" s="2">
        <v>1.17153177779947E-3</v>
      </c>
      <c r="E15708" s="2">
        <v>0</v>
      </c>
      <c r="F15708" s="2">
        <v>1.9279431256777899E-3</v>
      </c>
    </row>
    <row r="15709" spans="1:6" x14ac:dyDescent="0.25">
      <c r="A15709" s="1" t="str">
        <f t="shared" si="590"/>
        <v>27180</v>
      </c>
      <c r="B15709" s="1" t="str">
        <f>"38059"</f>
        <v>38059</v>
      </c>
      <c r="C15709" s="2">
        <v>1.70084298030211E-3</v>
      </c>
      <c r="D15709" s="2">
        <v>2.9288294444986798E-4</v>
      </c>
      <c r="E15709" s="2">
        <v>0</v>
      </c>
      <c r="F15709" s="2">
        <v>1.5108400456032699E-3</v>
      </c>
    </row>
    <row r="15710" spans="1:6" x14ac:dyDescent="0.25">
      <c r="A15710" s="1" t="str">
        <f t="shared" si="590"/>
        <v>27180</v>
      </c>
      <c r="B15710" s="1" t="str">
        <f>"38259"</f>
        <v>38259</v>
      </c>
      <c r="C15710" s="2">
        <v>1.1693295489577E-4</v>
      </c>
      <c r="D15710" s="2">
        <v>9.7627648149955994E-5</v>
      </c>
      <c r="E15710" s="2">
        <v>0</v>
      </c>
      <c r="F15710" s="2">
        <v>1.11227488019872E-4</v>
      </c>
    </row>
    <row r="15711" spans="1:6" x14ac:dyDescent="0.25">
      <c r="A15711" s="1" t="str">
        <f t="shared" si="590"/>
        <v>27180</v>
      </c>
      <c r="B15711" s="1" t="str">
        <f>"38371"</f>
        <v>38371</v>
      </c>
      <c r="C15711" s="2">
        <v>1.06302686268882E-5</v>
      </c>
      <c r="D15711" s="2">
        <v>0</v>
      </c>
      <c r="E15711" s="2">
        <v>0</v>
      </c>
      <c r="F15711" s="2">
        <v>9.2689573349893804E-6</v>
      </c>
    </row>
    <row r="15712" spans="1:6" x14ac:dyDescent="0.25">
      <c r="A15712" s="1" t="str">
        <f t="shared" si="590"/>
        <v>27180</v>
      </c>
      <c r="B15712" s="1" t="str">
        <f>"38044"</f>
        <v>38044</v>
      </c>
      <c r="C15712" s="2">
        <v>3.8268967056797498E-4</v>
      </c>
      <c r="D15712" s="2">
        <v>9.7627648149955994E-5</v>
      </c>
      <c r="E15712" s="2">
        <v>0</v>
      </c>
      <c r="F15712" s="2">
        <v>3.4295142139460701E-4</v>
      </c>
    </row>
    <row r="15713" spans="1:6" x14ac:dyDescent="0.25">
      <c r="A15713" s="1" t="str">
        <f t="shared" si="590"/>
        <v>27180</v>
      </c>
      <c r="B15713" s="1" t="str">
        <f>"38334"</f>
        <v>38334</v>
      </c>
      <c r="C15713" s="2">
        <v>3.9544599292024099E-3</v>
      </c>
      <c r="D15713" s="2">
        <v>1.36678707409938E-3</v>
      </c>
      <c r="E15713" s="2">
        <v>0</v>
      </c>
      <c r="F15713" s="2">
        <v>3.5778175313058999E-3</v>
      </c>
    </row>
    <row r="15714" spans="1:6" x14ac:dyDescent="0.25">
      <c r="A15714" s="1" t="str">
        <f t="shared" si="590"/>
        <v>27180</v>
      </c>
      <c r="B15714" s="1" t="str">
        <f>"38302"</f>
        <v>38302</v>
      </c>
      <c r="C15714" s="2">
        <v>1.5817839716809601E-2</v>
      </c>
      <c r="D15714" s="2">
        <v>5.7697940056624E-2</v>
      </c>
      <c r="E15714" s="2">
        <v>5.5975370836831699E-4</v>
      </c>
      <c r="F15714" s="2">
        <v>1.92887002141129E-2</v>
      </c>
    </row>
    <row r="15715" spans="1:6" x14ac:dyDescent="0.25">
      <c r="A15715" s="1" t="str">
        <f t="shared" si="590"/>
        <v>27180</v>
      </c>
      <c r="B15715" s="1" t="str">
        <f>"38316"</f>
        <v>38316</v>
      </c>
      <c r="C15715" s="2">
        <v>1.3691785991432E-2</v>
      </c>
      <c r="D15715" s="2">
        <v>7.9078395001464397E-3</v>
      </c>
      <c r="E15715" s="2">
        <v>0</v>
      </c>
      <c r="F15715" s="2">
        <v>1.2689202591600401E-2</v>
      </c>
    </row>
    <row r="15716" spans="1:6" x14ac:dyDescent="0.25">
      <c r="A15716" s="1" t="str">
        <f t="shared" si="590"/>
        <v>27180</v>
      </c>
      <c r="B15716" s="1" t="str">
        <f>"38382"</f>
        <v>38382</v>
      </c>
      <c r="C15716" s="2">
        <v>5.1131592095332197E-2</v>
      </c>
      <c r="D15716" s="2">
        <v>4.7739919945328502E-2</v>
      </c>
      <c r="E15716" s="2">
        <v>3.1626084522809898E-2</v>
      </c>
      <c r="F15716" s="2">
        <v>5.0163597096962498E-2</v>
      </c>
    </row>
    <row r="15717" spans="1:6" x14ac:dyDescent="0.25">
      <c r="A15717" s="1" t="str">
        <f t="shared" si="590"/>
        <v>27180</v>
      </c>
      <c r="B15717" s="1" t="str">
        <f>"38315"</f>
        <v>38315</v>
      </c>
      <c r="C15717" s="2">
        <v>1.5094981450181201E-3</v>
      </c>
      <c r="D15717" s="2">
        <v>5.8576588889973596E-4</v>
      </c>
      <c r="E15717" s="2">
        <v>0</v>
      </c>
      <c r="F15717" s="2">
        <v>1.37180568557842E-3</v>
      </c>
    </row>
    <row r="15718" spans="1:6" x14ac:dyDescent="0.25">
      <c r="A15718" s="1" t="str">
        <f t="shared" si="590"/>
        <v>27180</v>
      </c>
      <c r="B15718" s="1" t="str">
        <f>"38313"</f>
        <v>38313</v>
      </c>
      <c r="C15718" s="2">
        <v>1.3351617395371501E-2</v>
      </c>
      <c r="D15718" s="2">
        <v>1.46441472224934E-3</v>
      </c>
      <c r="E15718" s="2">
        <v>5.5975370836831699E-4</v>
      </c>
      <c r="F15718" s="2">
        <v>1.17993826874414E-2</v>
      </c>
    </row>
    <row r="15719" spans="1:6" x14ac:dyDescent="0.25">
      <c r="A15719" s="1" t="str">
        <f t="shared" si="590"/>
        <v>27180</v>
      </c>
      <c r="B15719" s="1" t="str">
        <f>"38034"</f>
        <v>38034</v>
      </c>
      <c r="C15719" s="2">
        <v>1.9262046751921402E-2</v>
      </c>
      <c r="D15719" s="2">
        <v>8.0054671482963895E-3</v>
      </c>
      <c r="E15719" s="2">
        <v>1.6792611251049501E-3</v>
      </c>
      <c r="F15719" s="2">
        <v>1.7611018936479799E-2</v>
      </c>
    </row>
    <row r="15720" spans="1:6" x14ac:dyDescent="0.25">
      <c r="A15720" s="1" t="str">
        <f t="shared" si="590"/>
        <v>27180</v>
      </c>
      <c r="B15720" s="1" t="str">
        <f>"38233"</f>
        <v>38233</v>
      </c>
      <c r="C15720" s="2">
        <v>7.7813566348821604E-3</v>
      </c>
      <c r="D15720" s="2">
        <v>3.9051059259982402E-3</v>
      </c>
      <c r="E15720" s="2">
        <v>3.6383991043940599E-3</v>
      </c>
      <c r="F15720" s="2">
        <v>7.27613150796666E-3</v>
      </c>
    </row>
    <row r="15721" spans="1:6" x14ac:dyDescent="0.25">
      <c r="A15721" s="1" t="str">
        <f t="shared" si="590"/>
        <v>27180</v>
      </c>
      <c r="B15721" s="1" t="str">
        <f>"38358"</f>
        <v>38358</v>
      </c>
      <c r="C15721" s="2">
        <v>7.0638135025671997E-2</v>
      </c>
      <c r="D15721" s="2">
        <v>7.4880406131016305E-2</v>
      </c>
      <c r="E15721" s="2">
        <v>4.2541281835992102E-2</v>
      </c>
      <c r="F15721" s="2">
        <v>7.0110393281859695E-2</v>
      </c>
    </row>
    <row r="15722" spans="1:6" x14ac:dyDescent="0.25">
      <c r="A15722" s="1" t="str">
        <f t="shared" si="590"/>
        <v>27180</v>
      </c>
      <c r="B15722" s="1" t="str">
        <f>"38392"</f>
        <v>38392</v>
      </c>
      <c r="C15722" s="2">
        <v>3.7524848252915299E-3</v>
      </c>
      <c r="D15722" s="2">
        <v>8.7864883334960405E-4</v>
      </c>
      <c r="E15722" s="2">
        <v>5.5975370836831699E-4</v>
      </c>
      <c r="F15722" s="2">
        <v>3.3739004699361299E-3</v>
      </c>
    </row>
    <row r="15723" spans="1:6" x14ac:dyDescent="0.25">
      <c r="A15723" s="1" t="str">
        <f t="shared" si="590"/>
        <v>27180</v>
      </c>
      <c r="B15723" s="1" t="str">
        <f>"38040"</f>
        <v>38040</v>
      </c>
      <c r="C15723" s="2">
        <v>5.4320672683398699E-3</v>
      </c>
      <c r="D15723" s="2">
        <v>2.2454359074489802E-3</v>
      </c>
      <c r="E15723" s="2">
        <v>0</v>
      </c>
      <c r="F15723" s="2">
        <v>4.9496232168843302E-3</v>
      </c>
    </row>
    <row r="15724" spans="1:6" x14ac:dyDescent="0.25">
      <c r="A15724" s="1" t="str">
        <f t="shared" si="590"/>
        <v>27180</v>
      </c>
      <c r="B15724" s="1" t="str">
        <f>"38368"</f>
        <v>38368</v>
      </c>
      <c r="C15724" s="2">
        <v>2.4130709783036202E-3</v>
      </c>
      <c r="D15724" s="2">
        <v>9.7627648149956005E-4</v>
      </c>
      <c r="E15724" s="2">
        <v>0</v>
      </c>
      <c r="F15724" s="2">
        <v>2.19674288839248E-3</v>
      </c>
    </row>
    <row r="15725" spans="1:6" x14ac:dyDescent="0.25">
      <c r="A15725" s="1" t="str">
        <f t="shared" si="590"/>
        <v>27180</v>
      </c>
      <c r="B15725" s="1" t="str">
        <f>"38359"</f>
        <v>38359</v>
      </c>
      <c r="C15725" s="2">
        <v>1.06302686268882E-4</v>
      </c>
      <c r="D15725" s="2">
        <v>9.7627648149955994E-5</v>
      </c>
      <c r="E15725" s="2">
        <v>0</v>
      </c>
      <c r="F15725" s="2">
        <v>1.01958530684883E-4</v>
      </c>
    </row>
    <row r="15726" spans="1:6" x14ac:dyDescent="0.25">
      <c r="A15726" s="1" t="str">
        <f t="shared" si="590"/>
        <v>27180</v>
      </c>
      <c r="B15726" s="1" t="str">
        <f>"38351"</f>
        <v>38351</v>
      </c>
      <c r="C15726" s="2">
        <v>3.7205940194108702E-4</v>
      </c>
      <c r="D15726" s="2">
        <v>9.7627648149955994E-5</v>
      </c>
      <c r="E15726" s="2">
        <v>0</v>
      </c>
      <c r="F15726" s="2">
        <v>3.3368246405961698E-4</v>
      </c>
    </row>
    <row r="15727" spans="1:6" x14ac:dyDescent="0.25">
      <c r="A15727" s="1" t="str">
        <f t="shared" si="590"/>
        <v>27180</v>
      </c>
      <c r="B15727" s="1" t="str">
        <f>"38331"</f>
        <v>38331</v>
      </c>
      <c r="C15727" s="2">
        <v>0</v>
      </c>
      <c r="D15727" s="2">
        <v>9.7627648149955994E-5</v>
      </c>
      <c r="E15727" s="2">
        <v>0</v>
      </c>
      <c r="F15727" s="2">
        <v>9.2689573349893804E-6</v>
      </c>
    </row>
    <row r="15728" spans="1:6" x14ac:dyDescent="0.25">
      <c r="A15728" s="1" t="str">
        <f t="shared" si="590"/>
        <v>27180</v>
      </c>
      <c r="B15728" s="1" t="str">
        <f>"38348"</f>
        <v>38348</v>
      </c>
      <c r="C15728" s="2">
        <v>5.3151343134441E-5</v>
      </c>
      <c r="D15728" s="2">
        <v>0</v>
      </c>
      <c r="E15728" s="2">
        <v>0</v>
      </c>
      <c r="F15728" s="2">
        <v>4.63447866749469E-5</v>
      </c>
    </row>
    <row r="15729" spans="1:6" x14ac:dyDescent="0.25">
      <c r="A15729" s="1" t="str">
        <f t="shared" si="590"/>
        <v>27180</v>
      </c>
      <c r="B15729" s="1" t="str">
        <f>"38332"</f>
        <v>38332</v>
      </c>
      <c r="C15729" s="2">
        <v>6.6120270859244597E-3</v>
      </c>
      <c r="D15729" s="2">
        <v>3.0264570926486298E-3</v>
      </c>
      <c r="E15729" s="2">
        <v>2.79876854184158E-4</v>
      </c>
      <c r="F15729" s="2">
        <v>6.0618980970830504E-3</v>
      </c>
    </row>
    <row r="15730" spans="1:6" x14ac:dyDescent="0.25">
      <c r="A15730" s="1" t="str">
        <f t="shared" si="590"/>
        <v>27180</v>
      </c>
      <c r="B15730" s="1" t="str">
        <f>"38006"</f>
        <v>38006</v>
      </c>
      <c r="C15730" s="2">
        <v>3.1614418896365501E-2</v>
      </c>
      <c r="D15730" s="2">
        <v>1.2886849555794199E-2</v>
      </c>
      <c r="E15730" s="2">
        <v>1.00755667506297E-2</v>
      </c>
      <c r="F15730" s="2">
        <v>2.91230639465366E-2</v>
      </c>
    </row>
    <row r="15731" spans="1:6" x14ac:dyDescent="0.25">
      <c r="A15731" s="1" t="str">
        <f t="shared" si="590"/>
        <v>27180</v>
      </c>
      <c r="B15731" s="1" t="str">
        <f>"38369"</f>
        <v>38369</v>
      </c>
      <c r="C15731" s="2">
        <v>9.5034601524380501E-3</v>
      </c>
      <c r="D15731" s="2">
        <v>6.1505418334472303E-3</v>
      </c>
      <c r="E15731" s="2">
        <v>2.2390148334732701E-3</v>
      </c>
      <c r="F15731" s="2">
        <v>8.9445438282647494E-3</v>
      </c>
    </row>
    <row r="15732" spans="1:6" x14ac:dyDescent="0.25">
      <c r="A15732" s="1" t="str">
        <f t="shared" si="590"/>
        <v>27180</v>
      </c>
      <c r="B15732" s="1" t="str">
        <f>"38352"</f>
        <v>38352</v>
      </c>
      <c r="C15732" s="2">
        <v>2.4874828586918299E-3</v>
      </c>
      <c r="D15732" s="2">
        <v>3.9051059259982398E-4</v>
      </c>
      <c r="E15732" s="2">
        <v>0</v>
      </c>
      <c r="F15732" s="2">
        <v>2.2060118457274702E-3</v>
      </c>
    </row>
    <row r="15733" spans="1:6" x14ac:dyDescent="0.25">
      <c r="A15733" s="1" t="str">
        <f t="shared" si="590"/>
        <v>27180</v>
      </c>
      <c r="B15733" s="1" t="str">
        <f>"38362"</f>
        <v>38362</v>
      </c>
      <c r="C15733" s="2">
        <v>5.8041266702809503E-3</v>
      </c>
      <c r="D15733" s="2">
        <v>1.36678707409938E-3</v>
      </c>
      <c r="E15733" s="2">
        <v>5.5975370836831699E-4</v>
      </c>
      <c r="F15733" s="2">
        <v>5.2091540222640297E-3</v>
      </c>
    </row>
    <row r="15734" spans="1:6" x14ac:dyDescent="0.25">
      <c r="A15734" s="1" t="str">
        <f t="shared" si="590"/>
        <v>27180</v>
      </c>
      <c r="B15734" s="1" t="str">
        <f>"38220"</f>
        <v>38220</v>
      </c>
      <c r="C15734" s="2">
        <v>8.6105175877794395E-4</v>
      </c>
      <c r="D15734" s="2">
        <v>0</v>
      </c>
      <c r="E15734" s="2">
        <v>5.5975370836831699E-4</v>
      </c>
      <c r="F15734" s="2">
        <v>7.6932345880411897E-4</v>
      </c>
    </row>
    <row r="15735" spans="1:6" x14ac:dyDescent="0.25">
      <c r="A15735" s="1" t="str">
        <f t="shared" si="590"/>
        <v>27180</v>
      </c>
      <c r="B15735" s="1" t="str">
        <f>"38378"</f>
        <v>38378</v>
      </c>
      <c r="C15735" s="2">
        <v>0</v>
      </c>
      <c r="D15735" s="2">
        <v>9.7627648149955994E-5</v>
      </c>
      <c r="E15735" s="2">
        <v>0</v>
      </c>
      <c r="F15735" s="2">
        <v>9.2689573349893804E-6</v>
      </c>
    </row>
    <row r="15736" spans="1:6" x14ac:dyDescent="0.25">
      <c r="A15736" s="1" t="str">
        <f t="shared" si="590"/>
        <v>27180</v>
      </c>
      <c r="B15736" s="1" t="str">
        <f>"38366"</f>
        <v>38366</v>
      </c>
      <c r="C15736" s="2">
        <v>1.28945158444153E-2</v>
      </c>
      <c r="D15736" s="2">
        <v>4.2956165185980598E-3</v>
      </c>
      <c r="E15736" s="2">
        <v>8.3963056255247602E-4</v>
      </c>
      <c r="F15736" s="2">
        <v>1.16788862420866E-2</v>
      </c>
    </row>
    <row r="15737" spans="1:6" x14ac:dyDescent="0.25">
      <c r="A15737" s="1" t="str">
        <f t="shared" ref="A15737:A15750" si="591">"27220"</f>
        <v>27220</v>
      </c>
      <c r="B15737" s="1" t="str">
        <f>"83011"</f>
        <v>83011</v>
      </c>
      <c r="C15737" s="2">
        <v>1.2573871495033301E-4</v>
      </c>
      <c r="D15737" s="2">
        <v>0</v>
      </c>
      <c r="E15737" s="2">
        <v>1.3458950201884199E-3</v>
      </c>
      <c r="F15737" s="2">
        <v>1.49147992095156E-4</v>
      </c>
    </row>
    <row r="15738" spans="1:6" x14ac:dyDescent="0.25">
      <c r="A15738" s="1" t="str">
        <f t="shared" si="591"/>
        <v>27220</v>
      </c>
      <c r="B15738" s="1" t="str">
        <f>"83452"</f>
        <v>83452</v>
      </c>
      <c r="C15738" s="2">
        <v>2.4058007460497001E-2</v>
      </c>
      <c r="D15738" s="2">
        <v>2.2552999548939999E-3</v>
      </c>
      <c r="E15738" s="2">
        <v>5.3835800807537004E-3</v>
      </c>
      <c r="F15738" s="2">
        <v>2.1738319847869E-2</v>
      </c>
    </row>
    <row r="15739" spans="1:6" x14ac:dyDescent="0.25">
      <c r="A15739" s="1" t="str">
        <f t="shared" si="591"/>
        <v>27220</v>
      </c>
      <c r="B15739" s="1" t="str">
        <f>"83002"</f>
        <v>83002</v>
      </c>
      <c r="C15739" s="2">
        <v>0.28375036673791798</v>
      </c>
      <c r="D15739" s="2">
        <v>0.34686513306269701</v>
      </c>
      <c r="E15739" s="2">
        <v>4.0376850605652699E-3</v>
      </c>
      <c r="F15739" s="2">
        <v>0.281218539095417</v>
      </c>
    </row>
    <row r="15740" spans="1:6" x14ac:dyDescent="0.25">
      <c r="A15740" s="1" t="str">
        <f t="shared" si="591"/>
        <v>27220</v>
      </c>
      <c r="B15740" s="1" t="str">
        <f>"83422"</f>
        <v>83422</v>
      </c>
      <c r="C15740" s="2">
        <v>6.07737122259943E-2</v>
      </c>
      <c r="D15740" s="2">
        <v>0.100586377988272</v>
      </c>
      <c r="E15740" s="2">
        <v>9.1520861372812901E-2</v>
      </c>
      <c r="F15740" s="2">
        <v>6.4916663559416804E-2</v>
      </c>
    </row>
    <row r="15741" spans="1:6" x14ac:dyDescent="0.25">
      <c r="A15741" s="1" t="str">
        <f t="shared" si="591"/>
        <v>27220</v>
      </c>
      <c r="B15741" s="1" t="str">
        <f>"83414"</f>
        <v>83414</v>
      </c>
      <c r="C15741" s="2">
        <v>1.01010101010101E-2</v>
      </c>
      <c r="D15741" s="2">
        <v>3.1574199368516001E-3</v>
      </c>
      <c r="E15741" s="2">
        <v>0</v>
      </c>
      <c r="F15741" s="2">
        <v>9.24717550989969E-3</v>
      </c>
    </row>
    <row r="15742" spans="1:6" x14ac:dyDescent="0.25">
      <c r="A15742" s="1" t="str">
        <f t="shared" si="591"/>
        <v>27220</v>
      </c>
      <c r="B15742" s="1" t="str">
        <f>"83455"</f>
        <v>83455</v>
      </c>
      <c r="C15742" s="2">
        <v>9.1286307053941904E-2</v>
      </c>
      <c r="D15742" s="2">
        <v>3.0672079386558401E-2</v>
      </c>
      <c r="E15742" s="2">
        <v>9.9596231493943393E-2</v>
      </c>
      <c r="F15742" s="2">
        <v>8.6505835415190704E-2</v>
      </c>
    </row>
    <row r="15743" spans="1:6" x14ac:dyDescent="0.25">
      <c r="A15743" s="1" t="str">
        <f t="shared" si="591"/>
        <v>27220</v>
      </c>
      <c r="B15743" s="1" t="str">
        <f>"83001"</f>
        <v>83001</v>
      </c>
      <c r="C15743" s="2">
        <v>0.427846934071</v>
      </c>
      <c r="D15743" s="2">
        <v>0.426702751465944</v>
      </c>
      <c r="E15743" s="2">
        <v>0.67563930013458895</v>
      </c>
      <c r="F15743" s="2">
        <v>0.43461724896528497</v>
      </c>
    </row>
    <row r="15744" spans="1:6" x14ac:dyDescent="0.25">
      <c r="A15744" s="1" t="str">
        <f t="shared" si="591"/>
        <v>27220</v>
      </c>
      <c r="B15744" s="1" t="str">
        <f>"83436"</f>
        <v>83436</v>
      </c>
      <c r="C15744" s="2">
        <v>3.7721614485099902E-4</v>
      </c>
      <c r="D15744" s="2">
        <v>0</v>
      </c>
      <c r="E15744" s="2">
        <v>0</v>
      </c>
      <c r="F15744" s="2">
        <v>3.3558298221410097E-4</v>
      </c>
    </row>
    <row r="15745" spans="1:6" x14ac:dyDescent="0.25">
      <c r="A15745" s="1" t="str">
        <f t="shared" si="591"/>
        <v>27220</v>
      </c>
      <c r="B15745" s="1" t="str">
        <f>"82190"</f>
        <v>82190</v>
      </c>
      <c r="C15745" s="2">
        <v>5.4486776478477705E-4</v>
      </c>
      <c r="D15745" s="2">
        <v>0</v>
      </c>
      <c r="E15745" s="2">
        <v>0</v>
      </c>
      <c r="F15745" s="2">
        <v>4.84730974309258E-4</v>
      </c>
    </row>
    <row r="15746" spans="1:6" x14ac:dyDescent="0.25">
      <c r="A15746" s="1" t="str">
        <f t="shared" si="591"/>
        <v>27220</v>
      </c>
      <c r="B15746" s="1" t="str">
        <f>"83424"</f>
        <v>83424</v>
      </c>
      <c r="C15746" s="2">
        <v>3.73024854352655E-3</v>
      </c>
      <c r="D15746" s="2">
        <v>0</v>
      </c>
      <c r="E15746" s="2">
        <v>1.3458950201884199E-3</v>
      </c>
      <c r="F15746" s="2">
        <v>3.3558298221410101E-3</v>
      </c>
    </row>
    <row r="15747" spans="1:6" x14ac:dyDescent="0.25">
      <c r="A15747" s="1" t="str">
        <f t="shared" si="591"/>
        <v>27220</v>
      </c>
      <c r="B15747" s="1" t="str">
        <f>"83014"</f>
        <v>83014</v>
      </c>
      <c r="C15747" s="2">
        <v>9.0448048954272997E-2</v>
      </c>
      <c r="D15747" s="2">
        <v>8.7054578258908402E-2</v>
      </c>
      <c r="E15747" s="2">
        <v>0.11036339165545</v>
      </c>
      <c r="F15747" s="2">
        <v>9.0719266191878797E-2</v>
      </c>
    </row>
    <row r="15748" spans="1:6" x14ac:dyDescent="0.25">
      <c r="A15748" s="1" t="str">
        <f t="shared" si="591"/>
        <v>27220</v>
      </c>
      <c r="B15748" s="1" t="str">
        <f>"83013"</f>
        <v>83013</v>
      </c>
      <c r="C15748" s="2">
        <v>6.78989060731799E-3</v>
      </c>
      <c r="D15748" s="2">
        <v>0</v>
      </c>
      <c r="E15748" s="2">
        <v>6.7294751009421196E-3</v>
      </c>
      <c r="F15748" s="2">
        <v>6.22692866997278E-3</v>
      </c>
    </row>
    <row r="15749" spans="1:6" x14ac:dyDescent="0.25">
      <c r="A15749" s="1" t="str">
        <f t="shared" si="591"/>
        <v>27220</v>
      </c>
      <c r="B15749" s="1" t="str">
        <f>"83025"</f>
        <v>83025</v>
      </c>
      <c r="C15749" s="2">
        <v>0</v>
      </c>
      <c r="D15749" s="2">
        <v>0</v>
      </c>
      <c r="E15749" s="2">
        <v>2.6917900403768502E-3</v>
      </c>
      <c r="F15749" s="2">
        <v>7.4573996047578203E-5</v>
      </c>
    </row>
    <row r="15750" spans="1:6" x14ac:dyDescent="0.25">
      <c r="A15750" s="1" t="str">
        <f t="shared" si="591"/>
        <v>27220</v>
      </c>
      <c r="B15750" s="1" t="str">
        <f>"83012"</f>
        <v>83012</v>
      </c>
      <c r="C15750" s="2">
        <v>1.67651619933777E-4</v>
      </c>
      <c r="D15750" s="2">
        <v>2.7063599458728E-3</v>
      </c>
      <c r="E15750" s="2">
        <v>1.3458950201884199E-3</v>
      </c>
      <c r="F15750" s="2">
        <v>4.1015697826168E-4</v>
      </c>
    </row>
    <row r="15751" spans="1:6" x14ac:dyDescent="0.25">
      <c r="A15751" s="1" t="str">
        <f t="shared" ref="A15751:A15782" si="592">"27260"</f>
        <v>27260</v>
      </c>
      <c r="B15751" s="1" t="str">
        <f>"32245"</f>
        <v>32245</v>
      </c>
      <c r="C15751" s="2">
        <v>2.5580216630895201E-3</v>
      </c>
      <c r="D15751" s="2">
        <v>5.7781632995690798E-3</v>
      </c>
      <c r="E15751" s="2">
        <v>9.7541943035505202E-5</v>
      </c>
      <c r="F15751" s="2">
        <v>2.7597120202909999E-3</v>
      </c>
    </row>
    <row r="15752" spans="1:6" x14ac:dyDescent="0.25">
      <c r="A15752" s="1" t="str">
        <f t="shared" si="592"/>
        <v>27260</v>
      </c>
      <c r="B15752" s="1" t="str">
        <f>"32009"</f>
        <v>32009</v>
      </c>
      <c r="C15752" s="2">
        <v>1.59563484365907E-3</v>
      </c>
      <c r="D15752" s="2">
        <v>2.2385136269516999E-4</v>
      </c>
      <c r="E15752" s="2">
        <v>0</v>
      </c>
      <c r="F15752" s="2">
        <v>1.44887686791203E-3</v>
      </c>
    </row>
    <row r="15753" spans="1:6" x14ac:dyDescent="0.25">
      <c r="A15753" s="1" t="str">
        <f t="shared" si="592"/>
        <v>27260</v>
      </c>
      <c r="B15753" s="1" t="str">
        <f>"32081"</f>
        <v>32081</v>
      </c>
      <c r="C15753" s="2">
        <v>1.3862625226048199E-2</v>
      </c>
      <c r="D15753" s="2">
        <v>3.49767754211203E-3</v>
      </c>
      <c r="E15753" s="2">
        <v>5.4623488099882897E-3</v>
      </c>
      <c r="F15753" s="2">
        <v>1.28378795445745E-2</v>
      </c>
    </row>
    <row r="15754" spans="1:6" x14ac:dyDescent="0.25">
      <c r="A15754" s="1" t="str">
        <f t="shared" si="592"/>
        <v>27260</v>
      </c>
      <c r="B15754" s="1" t="str">
        <f>"32087"</f>
        <v>32087</v>
      </c>
      <c r="C15754" s="2">
        <v>2.0874658189986902E-3</v>
      </c>
      <c r="D15754" s="2">
        <v>6.9953550842240698E-4</v>
      </c>
      <c r="E15754" s="2">
        <v>9.7541943035505202E-5</v>
      </c>
      <c r="F15754" s="2">
        <v>1.9303394367224599E-3</v>
      </c>
    </row>
    <row r="15755" spans="1:6" x14ac:dyDescent="0.25">
      <c r="A15755" s="1" t="str">
        <f t="shared" si="592"/>
        <v>27260</v>
      </c>
      <c r="B15755" s="1" t="str">
        <f>"32257"</f>
        <v>32257</v>
      </c>
      <c r="C15755" s="2">
        <v>2.3317543848671199E-2</v>
      </c>
      <c r="D15755" s="2">
        <v>2.6176618725166401E-2</v>
      </c>
      <c r="E15755" s="2">
        <v>2.8531018337885201E-2</v>
      </c>
      <c r="F15755" s="2">
        <v>2.3666859326513499E-2</v>
      </c>
    </row>
    <row r="15756" spans="1:6" x14ac:dyDescent="0.25">
      <c r="A15756" s="1" t="str">
        <f t="shared" si="592"/>
        <v>27260</v>
      </c>
      <c r="B15756" s="1" t="str">
        <f>"32246"</f>
        <v>32246</v>
      </c>
      <c r="C15756" s="2">
        <v>3.3583420415365599E-2</v>
      </c>
      <c r="D15756" s="2">
        <v>2.3910123677877801E-2</v>
      </c>
      <c r="E15756" s="2">
        <v>2.28735856418259E-2</v>
      </c>
      <c r="F15756" s="2">
        <v>3.2561010510249302E-2</v>
      </c>
    </row>
    <row r="15757" spans="1:6" x14ac:dyDescent="0.25">
      <c r="A15757" s="1" t="str">
        <f t="shared" si="592"/>
        <v>27260</v>
      </c>
      <c r="B15757" s="1" t="str">
        <f>"32254"</f>
        <v>32254</v>
      </c>
      <c r="C15757" s="2">
        <v>8.3098159701146899E-3</v>
      </c>
      <c r="D15757" s="2">
        <v>2.1769545022105301E-2</v>
      </c>
      <c r="E15757" s="2">
        <v>5.9988294966835699E-3</v>
      </c>
      <c r="F15757" s="2">
        <v>9.3363335895896293E-3</v>
      </c>
    </row>
    <row r="15758" spans="1:6" x14ac:dyDescent="0.25">
      <c r="A15758" s="1" t="str">
        <f t="shared" si="592"/>
        <v>27260</v>
      </c>
      <c r="B15758" s="1" t="str">
        <f>"32006"</f>
        <v>32006</v>
      </c>
      <c r="C15758" s="2">
        <v>1.8509364186445199E-3</v>
      </c>
      <c r="D15758" s="2">
        <v>3.7355196149756499E-3</v>
      </c>
      <c r="E15758" s="2">
        <v>9.7541943035505202E-5</v>
      </c>
      <c r="F15758" s="2">
        <v>1.9617635670877102E-3</v>
      </c>
    </row>
    <row r="15759" spans="1:6" x14ac:dyDescent="0.25">
      <c r="A15759" s="1" t="str">
        <f t="shared" si="592"/>
        <v>27260</v>
      </c>
      <c r="B15759" s="1" t="str">
        <f>"32082"</f>
        <v>32082</v>
      </c>
      <c r="C15759" s="2">
        <v>2.0812084274549301E-2</v>
      </c>
      <c r="D15759" s="2">
        <v>1.6858805752979999E-2</v>
      </c>
      <c r="E15759" s="2">
        <v>2.9067499024580501E-2</v>
      </c>
      <c r="F15759" s="2">
        <v>2.06849338129254E-2</v>
      </c>
    </row>
    <row r="15760" spans="1:6" x14ac:dyDescent="0.25">
      <c r="A15760" s="1" t="str">
        <f t="shared" si="592"/>
        <v>27260</v>
      </c>
      <c r="B15760" s="1" t="str">
        <f>"32202"</f>
        <v>32202</v>
      </c>
      <c r="C15760" s="2">
        <v>3.6843521409665098E-3</v>
      </c>
      <c r="D15760" s="2">
        <v>3.2500419721304998E-2</v>
      </c>
      <c r="E15760" s="2">
        <v>1.6094420600858299E-2</v>
      </c>
      <c r="F15760" s="2">
        <v>6.2814592019393104E-3</v>
      </c>
    </row>
    <row r="15761" spans="1:6" x14ac:dyDescent="0.25">
      <c r="A15761" s="1" t="str">
        <f t="shared" si="592"/>
        <v>27260</v>
      </c>
      <c r="B15761" s="1" t="str">
        <f>"32091"</f>
        <v>32091</v>
      </c>
      <c r="C15761" s="2">
        <v>4.4302332129828303E-4</v>
      </c>
      <c r="D15761" s="2">
        <v>5.5962840673792595E-4</v>
      </c>
      <c r="E15761" s="2">
        <v>4.3893874365977302E-4</v>
      </c>
      <c r="F15761" s="2">
        <v>4.5228301918555299E-4</v>
      </c>
    </row>
    <row r="15762" spans="1:6" x14ac:dyDescent="0.25">
      <c r="A15762" s="1" t="str">
        <f t="shared" si="592"/>
        <v>27260</v>
      </c>
      <c r="B15762" s="1" t="str">
        <f>"32220"</f>
        <v>32220</v>
      </c>
      <c r="C15762" s="2">
        <v>7.5664378547158802E-3</v>
      </c>
      <c r="D15762" s="2">
        <v>5.9320611114220103E-3</v>
      </c>
      <c r="E15762" s="2">
        <v>1.8045259461568399E-3</v>
      </c>
      <c r="F15762" s="2">
        <v>7.3027434388099203E-3</v>
      </c>
    </row>
    <row r="15763" spans="1:6" x14ac:dyDescent="0.25">
      <c r="A15763" s="1" t="str">
        <f t="shared" si="592"/>
        <v>27260</v>
      </c>
      <c r="B15763" s="1" t="str">
        <f>"32207"</f>
        <v>32207</v>
      </c>
      <c r="C15763" s="2">
        <v>2.4186069794945201E-2</v>
      </c>
      <c r="D15763" s="2">
        <v>4.8379875762493703E-2</v>
      </c>
      <c r="E15763" s="2">
        <v>5.4038236441669898E-2</v>
      </c>
      <c r="F15763" s="2">
        <v>2.6813761524519201E-2</v>
      </c>
    </row>
    <row r="15764" spans="1:6" x14ac:dyDescent="0.25">
      <c r="A15764" s="1" t="str">
        <f t="shared" si="592"/>
        <v>27260</v>
      </c>
      <c r="B15764" s="1" t="str">
        <f>"32223"</f>
        <v>32223</v>
      </c>
      <c r="C15764" s="2">
        <v>1.44358022914567E-2</v>
      </c>
      <c r="D15764" s="2">
        <v>1.23258156584028E-2</v>
      </c>
      <c r="E15764" s="2">
        <v>5.8037456106125604E-3</v>
      </c>
      <c r="F15764" s="2">
        <v>1.4067909790300001E-2</v>
      </c>
    </row>
    <row r="15765" spans="1:6" x14ac:dyDescent="0.25">
      <c r="A15765" s="1" t="str">
        <f t="shared" si="592"/>
        <v>27260</v>
      </c>
      <c r="B15765" s="1" t="str">
        <f>"32145"</f>
        <v>32145</v>
      </c>
      <c r="C15765" s="2">
        <v>3.9546714556569903E-3</v>
      </c>
      <c r="D15765" s="2">
        <v>2.6302535116682498E-3</v>
      </c>
      <c r="E15765" s="2">
        <v>1.2192742879438101E-3</v>
      </c>
      <c r="F15765" s="2">
        <v>3.7854854186423598E-3</v>
      </c>
    </row>
    <row r="15766" spans="1:6" x14ac:dyDescent="0.25">
      <c r="A15766" s="1" t="str">
        <f t="shared" si="592"/>
        <v>27260</v>
      </c>
      <c r="B15766" s="1" t="str">
        <f>"32035"</f>
        <v>32035</v>
      </c>
      <c r="C15766" s="2">
        <v>3.3477044759121699E-3</v>
      </c>
      <c r="D15766" s="2">
        <v>7.6669091723095802E-3</v>
      </c>
      <c r="E15766" s="2">
        <v>1.9508388607101E-4</v>
      </c>
      <c r="F15766" s="2">
        <v>3.6216310245949898E-3</v>
      </c>
    </row>
    <row r="15767" spans="1:6" x14ac:dyDescent="0.25">
      <c r="A15767" s="1" t="str">
        <f t="shared" si="592"/>
        <v>27260</v>
      </c>
      <c r="B15767" s="1" t="str">
        <f>"32099"</f>
        <v>32099</v>
      </c>
      <c r="C15767" s="2">
        <v>0</v>
      </c>
      <c r="D15767" s="2">
        <v>2.79814203368963E-5</v>
      </c>
      <c r="E15767" s="2">
        <v>0</v>
      </c>
      <c r="F15767" s="2">
        <v>2.2445807403749498E-6</v>
      </c>
    </row>
    <row r="15768" spans="1:6" x14ac:dyDescent="0.25">
      <c r="A15768" s="1" t="str">
        <f t="shared" si="592"/>
        <v>27260</v>
      </c>
      <c r="B15768" s="1" t="str">
        <f>"32214"</f>
        <v>32214</v>
      </c>
      <c r="C15768" s="2">
        <v>0</v>
      </c>
      <c r="D15768" s="2">
        <v>8.3944261010688898E-4</v>
      </c>
      <c r="E15768" s="2">
        <v>4.1113928989465399E-2</v>
      </c>
      <c r="F15768" s="2">
        <v>1.0134282042792899E-3</v>
      </c>
    </row>
    <row r="15769" spans="1:6" x14ac:dyDescent="0.25">
      <c r="A15769" s="1" t="str">
        <f t="shared" si="592"/>
        <v>27260</v>
      </c>
      <c r="B15769" s="1" t="str">
        <f>"32247"</f>
        <v>32247</v>
      </c>
      <c r="C15769" s="2">
        <v>2.25891834729774E-3</v>
      </c>
      <c r="D15769" s="2">
        <v>4.9527113996306396E-3</v>
      </c>
      <c r="E15769" s="2">
        <v>9.7541943035505202E-5</v>
      </c>
      <c r="F15769" s="2">
        <v>2.4252694899751402E-3</v>
      </c>
    </row>
    <row r="15770" spans="1:6" x14ac:dyDescent="0.25">
      <c r="A15770" s="1" t="str">
        <f t="shared" si="592"/>
        <v>27260</v>
      </c>
      <c r="B15770" s="1" t="str">
        <f>"32085"</f>
        <v>32085</v>
      </c>
      <c r="C15770" s="2">
        <v>3.3226749097371201E-3</v>
      </c>
      <c r="D15770" s="2">
        <v>8.8141474061223298E-3</v>
      </c>
      <c r="E15770" s="2">
        <v>9.7541943035505202E-5</v>
      </c>
      <c r="F15770" s="2">
        <v>3.6889684468062399E-3</v>
      </c>
    </row>
    <row r="15771" spans="1:6" x14ac:dyDescent="0.25">
      <c r="A15771" s="1" t="str">
        <f t="shared" si="592"/>
        <v>27260</v>
      </c>
      <c r="B15771" s="1" t="str">
        <f>"32255"</f>
        <v>32255</v>
      </c>
      <c r="C15771" s="2">
        <v>7.7591655142637199E-4</v>
      </c>
      <c r="D15771" s="2">
        <v>5.1905534724942604E-3</v>
      </c>
      <c r="E15771" s="2">
        <v>9.7541943035505202E-5</v>
      </c>
      <c r="F15771" s="2">
        <v>1.1144343375961601E-3</v>
      </c>
    </row>
    <row r="15772" spans="1:6" x14ac:dyDescent="0.25">
      <c r="A15772" s="1" t="str">
        <f t="shared" si="592"/>
        <v>27260</v>
      </c>
      <c r="B15772" s="1" t="str">
        <f>"32203"</f>
        <v>32203</v>
      </c>
      <c r="C15772" s="2">
        <v>1.95480911827095E-3</v>
      </c>
      <c r="D15772" s="2">
        <v>8.3524539705635403E-3</v>
      </c>
      <c r="E15772" s="2">
        <v>1.9508388607101E-4</v>
      </c>
      <c r="F15772" s="2">
        <v>2.4275140707155098E-3</v>
      </c>
    </row>
    <row r="15773" spans="1:6" x14ac:dyDescent="0.25">
      <c r="A15773" s="1" t="str">
        <f t="shared" si="592"/>
        <v>27260</v>
      </c>
      <c r="B15773" s="1" t="str">
        <f>"32011"</f>
        <v>32011</v>
      </c>
      <c r="C15773" s="2">
        <v>8.0657776999080097E-3</v>
      </c>
      <c r="D15773" s="2">
        <v>4.0013431081761704E-3</v>
      </c>
      <c r="E15773" s="2">
        <v>3.6090518923136898E-3</v>
      </c>
      <c r="F15773" s="2">
        <v>7.6371859691257904E-3</v>
      </c>
    </row>
    <row r="15774" spans="1:6" x14ac:dyDescent="0.25">
      <c r="A15774" s="1" t="str">
        <f t="shared" si="592"/>
        <v>27260</v>
      </c>
      <c r="B15774" s="1" t="str">
        <f>"32004"</f>
        <v>32004</v>
      </c>
      <c r="C15774" s="2">
        <v>2.1763207789200901E-3</v>
      </c>
      <c r="D15774" s="2">
        <v>8.2964911298897496E-3</v>
      </c>
      <c r="E15774" s="2">
        <v>9.7541943035505202E-5</v>
      </c>
      <c r="F15774" s="2">
        <v>2.6194257240175702E-3</v>
      </c>
    </row>
    <row r="15775" spans="1:6" x14ac:dyDescent="0.25">
      <c r="A15775" s="1" t="str">
        <f t="shared" si="592"/>
        <v>27260</v>
      </c>
      <c r="B15775" s="1" t="str">
        <f>"32046"</f>
        <v>32046</v>
      </c>
      <c r="C15775" s="2">
        <v>6.2611459786873196E-3</v>
      </c>
      <c r="D15775" s="2">
        <v>4.3371201522189196E-3</v>
      </c>
      <c r="E15775" s="2">
        <v>5.60866172454155E-3</v>
      </c>
      <c r="F15775" s="2">
        <v>6.0917921293776297E-3</v>
      </c>
    </row>
    <row r="15776" spans="1:6" x14ac:dyDescent="0.25">
      <c r="A15776" s="1" t="str">
        <f t="shared" si="592"/>
        <v>27260</v>
      </c>
      <c r="B15776" s="1" t="str">
        <f>"32084"</f>
        <v>32084</v>
      </c>
      <c r="C15776" s="2">
        <v>2.37080050810019E-2</v>
      </c>
      <c r="D15776" s="2">
        <v>3.9565728356371302E-2</v>
      </c>
      <c r="E15776" s="2">
        <v>4.66738197424892E-2</v>
      </c>
      <c r="F15776" s="2">
        <v>2.5508537823991199E-2</v>
      </c>
    </row>
    <row r="15777" spans="1:6" x14ac:dyDescent="0.25">
      <c r="A15777" s="1" t="str">
        <f t="shared" si="592"/>
        <v>27260</v>
      </c>
      <c r="B15777" s="1" t="str">
        <f>"32095"</f>
        <v>32095</v>
      </c>
      <c r="C15777" s="2">
        <v>1.1141911382820901E-2</v>
      </c>
      <c r="D15777" s="2">
        <v>8.8141474061223298E-3</v>
      </c>
      <c r="E15777" s="2">
        <v>7.7058134998049099E-3</v>
      </c>
      <c r="F15777" s="2">
        <v>1.08761159774868E-2</v>
      </c>
    </row>
    <row r="15778" spans="1:6" x14ac:dyDescent="0.25">
      <c r="A15778" s="1" t="str">
        <f t="shared" si="592"/>
        <v>27260</v>
      </c>
      <c r="B15778" s="1" t="str">
        <f>"32097"</f>
        <v>32097</v>
      </c>
      <c r="C15778" s="2">
        <v>1.27300373566275E-2</v>
      </c>
      <c r="D15778" s="2">
        <v>7.6109463316357904E-3</v>
      </c>
      <c r="E15778" s="2">
        <v>6.1451424112368303E-3</v>
      </c>
      <c r="F15778" s="2">
        <v>1.21678721935726E-2</v>
      </c>
    </row>
    <row r="15779" spans="1:6" x14ac:dyDescent="0.25">
      <c r="A15779" s="1" t="str">
        <f t="shared" si="592"/>
        <v>27260</v>
      </c>
      <c r="B15779" s="1" t="str">
        <f>"32241"</f>
        <v>32241</v>
      </c>
      <c r="C15779" s="2">
        <v>2.7444919310936002E-3</v>
      </c>
      <c r="D15779" s="2">
        <v>8.0306676366892309E-3</v>
      </c>
      <c r="E15779" s="2">
        <v>9.7541943035505202E-5</v>
      </c>
      <c r="F15779" s="2">
        <v>3.1076220350491198E-3</v>
      </c>
    </row>
    <row r="15780" spans="1:6" x14ac:dyDescent="0.25">
      <c r="A15780" s="1" t="str">
        <f t="shared" si="592"/>
        <v>27260</v>
      </c>
      <c r="B15780" s="1" t="str">
        <f>"32003"</f>
        <v>32003</v>
      </c>
      <c r="C15780" s="2">
        <v>1.43819887241804E-2</v>
      </c>
      <c r="D15780" s="2">
        <v>1.41026358497957E-2</v>
      </c>
      <c r="E15780" s="2">
        <v>1.7752633632461899E-2</v>
      </c>
      <c r="F15780" s="2">
        <v>1.44371433220917E-2</v>
      </c>
    </row>
    <row r="15781" spans="1:6" x14ac:dyDescent="0.25">
      <c r="A15781" s="1" t="str">
        <f t="shared" si="592"/>
        <v>27260</v>
      </c>
      <c r="B15781" s="1" t="str">
        <f>"32034"</f>
        <v>32034</v>
      </c>
      <c r="C15781" s="2">
        <v>2.88565868432085E-2</v>
      </c>
      <c r="D15781" s="2">
        <v>2.4931445520174601E-2</v>
      </c>
      <c r="E15781" s="2">
        <v>4.0089738587592599E-2</v>
      </c>
      <c r="F15781" s="2">
        <v>2.8800215479751E-2</v>
      </c>
    </row>
    <row r="15782" spans="1:6" x14ac:dyDescent="0.25">
      <c r="A15782" s="1" t="str">
        <f t="shared" si="592"/>
        <v>27260</v>
      </c>
      <c r="B15782" s="1" t="str">
        <f>"32065"</f>
        <v>32065</v>
      </c>
      <c r="C15782" s="2">
        <v>1.9862212238206299E-2</v>
      </c>
      <c r="D15782" s="2">
        <v>1.44384128938384E-2</v>
      </c>
      <c r="E15782" s="2">
        <v>3.0042918454935601E-2</v>
      </c>
      <c r="F15782" s="2">
        <v>1.9661404995314401E-2</v>
      </c>
    </row>
    <row r="15783" spans="1:6" x14ac:dyDescent="0.25">
      <c r="A15783" s="1" t="str">
        <f t="shared" ref="A15783:A15814" si="593">"27260"</f>
        <v>27260</v>
      </c>
      <c r="B15783" s="1" t="str">
        <f>"32068"</f>
        <v>32068</v>
      </c>
      <c r="C15783" s="2">
        <v>2.9444781648322E-2</v>
      </c>
      <c r="D15783" s="2">
        <v>1.2479713470255701E-2</v>
      </c>
      <c r="E15783" s="2">
        <v>8.1447522434646806E-3</v>
      </c>
      <c r="F15783" s="2">
        <v>2.75937533317995E-2</v>
      </c>
    </row>
    <row r="15784" spans="1:6" x14ac:dyDescent="0.25">
      <c r="A15784" s="1" t="str">
        <f t="shared" si="593"/>
        <v>27260</v>
      </c>
      <c r="B15784" s="1" t="str">
        <f>"32073"</f>
        <v>32073</v>
      </c>
      <c r="C15784" s="2">
        <v>2.2602949734373701E-2</v>
      </c>
      <c r="D15784" s="2">
        <v>3.34657787229279E-2</v>
      </c>
      <c r="E15784" s="2">
        <v>2.8872415138509501E-2</v>
      </c>
      <c r="F15784" s="2">
        <v>2.3618600840595399E-2</v>
      </c>
    </row>
    <row r="15785" spans="1:6" x14ac:dyDescent="0.25">
      <c r="A15785" s="1" t="str">
        <f t="shared" si="593"/>
        <v>27260</v>
      </c>
      <c r="B15785" s="1" t="str">
        <f>"32040"</f>
        <v>32040</v>
      </c>
      <c r="C15785" s="2">
        <v>3.86081058250057E-3</v>
      </c>
      <c r="D15785" s="2">
        <v>1.0772846829705E-3</v>
      </c>
      <c r="E15785" s="2">
        <v>6.8279360124853599E-4</v>
      </c>
      <c r="F15785" s="2">
        <v>3.5643942157154301E-3</v>
      </c>
    </row>
    <row r="15786" spans="1:6" x14ac:dyDescent="0.25">
      <c r="A15786" s="1" t="str">
        <f t="shared" si="593"/>
        <v>27260</v>
      </c>
      <c r="B15786" s="1" t="str">
        <f>"32043"</f>
        <v>32043</v>
      </c>
      <c r="C15786" s="2">
        <v>1.7413069187978199E-2</v>
      </c>
      <c r="D15786" s="2">
        <v>1.55296882869774E-2</v>
      </c>
      <c r="E15786" s="2">
        <v>1.14611783066718E-2</v>
      </c>
      <c r="F15786" s="2">
        <v>1.7125028758690701E-2</v>
      </c>
    </row>
    <row r="15787" spans="1:6" x14ac:dyDescent="0.25">
      <c r="A15787" s="1" t="str">
        <f t="shared" si="593"/>
        <v>27260</v>
      </c>
      <c r="B15787" s="1" t="str">
        <f>"32260"</f>
        <v>32260</v>
      </c>
      <c r="C15787" s="2">
        <v>5.2562088967592904E-4</v>
      </c>
      <c r="D15787" s="2">
        <v>5.5263305165370097E-3</v>
      </c>
      <c r="E15787" s="2">
        <v>9.7541943035505202E-5</v>
      </c>
      <c r="F15787" s="2">
        <v>9.1691123244317004E-4</v>
      </c>
    </row>
    <row r="15788" spans="1:6" x14ac:dyDescent="0.25">
      <c r="A15788" s="1" t="str">
        <f t="shared" si="593"/>
        <v>27260</v>
      </c>
      <c r="B15788" s="1" t="str">
        <f>"32216"</f>
        <v>32216</v>
      </c>
      <c r="C15788" s="2">
        <v>2.7302250783738199E-2</v>
      </c>
      <c r="D15788" s="2">
        <v>4.7820247355755699E-2</v>
      </c>
      <c r="E15788" s="2">
        <v>3.8431525555988999E-2</v>
      </c>
      <c r="F15788" s="2">
        <v>2.9204240013018499E-2</v>
      </c>
    </row>
    <row r="15789" spans="1:6" x14ac:dyDescent="0.25">
      <c r="A15789" s="1" t="str">
        <f t="shared" si="593"/>
        <v>27260</v>
      </c>
      <c r="B15789" s="1" t="str">
        <f>"32224"</f>
        <v>32224</v>
      </c>
      <c r="C15789" s="2">
        <v>2.51346903529794E-2</v>
      </c>
      <c r="D15789" s="2">
        <v>1.26336112821086E-2</v>
      </c>
      <c r="E15789" s="2">
        <v>2.04350370659383E-2</v>
      </c>
      <c r="F15789" s="2">
        <v>2.4023747664233101E-2</v>
      </c>
    </row>
    <row r="15790" spans="1:6" x14ac:dyDescent="0.25">
      <c r="A15790" s="1" t="str">
        <f t="shared" si="593"/>
        <v>27260</v>
      </c>
      <c r="B15790" s="1" t="str">
        <f>"32227"</f>
        <v>32227</v>
      </c>
      <c r="C15790" s="2">
        <v>8.4474785840774405E-4</v>
      </c>
      <c r="D15790" s="2">
        <v>9.7934971179137003E-5</v>
      </c>
      <c r="E15790" s="2">
        <v>3.9016777214202102E-4</v>
      </c>
      <c r="F15790" s="2">
        <v>7.7438035542935996E-4</v>
      </c>
    </row>
    <row r="15791" spans="1:6" x14ac:dyDescent="0.25">
      <c r="A15791" s="1" t="str">
        <f t="shared" si="593"/>
        <v>27260</v>
      </c>
      <c r="B15791" s="1" t="str">
        <f>"32244"</f>
        <v>32244</v>
      </c>
      <c r="C15791" s="2">
        <v>3.4872443073380402E-2</v>
      </c>
      <c r="D15791" s="2">
        <v>1.2479713470255701E-2</v>
      </c>
      <c r="E15791" s="2">
        <v>1.6435817401482599E-2</v>
      </c>
      <c r="F15791" s="2">
        <v>3.2651916030234499E-2</v>
      </c>
    </row>
    <row r="15792" spans="1:6" x14ac:dyDescent="0.25">
      <c r="A15792" s="1" t="str">
        <f t="shared" si="593"/>
        <v>27260</v>
      </c>
      <c r="B15792" s="1" t="str">
        <f>"32233"</f>
        <v>32233</v>
      </c>
      <c r="C15792" s="2">
        <v>1.6806102208233399E-2</v>
      </c>
      <c r="D15792" s="2">
        <v>1.45223571548491E-2</v>
      </c>
      <c r="E15792" s="2">
        <v>2.20444791260241E-2</v>
      </c>
      <c r="F15792" s="2">
        <v>1.6743450032826901E-2</v>
      </c>
    </row>
    <row r="15793" spans="1:6" x14ac:dyDescent="0.25">
      <c r="A15793" s="1" t="str">
        <f t="shared" si="593"/>
        <v>27260</v>
      </c>
      <c r="B15793" s="1" t="str">
        <f>"32238"</f>
        <v>32238</v>
      </c>
      <c r="C15793" s="2">
        <v>1.6844898035804699E-3</v>
      </c>
      <c r="D15793" s="2">
        <v>3.1059376573954801E-3</v>
      </c>
      <c r="E15793" s="2">
        <v>9.7541943035505202E-5</v>
      </c>
      <c r="F15793" s="2">
        <v>1.7619958811943401E-3</v>
      </c>
    </row>
    <row r="15794" spans="1:6" x14ac:dyDescent="0.25">
      <c r="A15794" s="1" t="str">
        <f t="shared" si="593"/>
        <v>27260</v>
      </c>
      <c r="B15794" s="1" t="str">
        <f>"32050"</f>
        <v>32050</v>
      </c>
      <c r="C15794" s="2">
        <v>2.2789420002377798E-3</v>
      </c>
      <c r="D15794" s="2">
        <v>3.0080026862163499E-3</v>
      </c>
      <c r="E15794" s="2">
        <v>9.7541943035505202E-5</v>
      </c>
      <c r="F15794" s="2">
        <v>2.2872277744420801E-3</v>
      </c>
    </row>
    <row r="15795" spans="1:6" x14ac:dyDescent="0.25">
      <c r="A15795" s="1" t="str">
        <f t="shared" si="593"/>
        <v>27260</v>
      </c>
      <c r="B15795" s="1" t="str">
        <f>"32058"</f>
        <v>32058</v>
      </c>
      <c r="C15795" s="2">
        <v>3.6292870953814099E-5</v>
      </c>
      <c r="D15795" s="2">
        <v>2.79814203368963E-5</v>
      </c>
      <c r="E15795" s="2">
        <v>0</v>
      </c>
      <c r="F15795" s="2">
        <v>3.4791001475811802E-5</v>
      </c>
    </row>
    <row r="15796" spans="1:6" x14ac:dyDescent="0.25">
      <c r="A15796" s="1" t="str">
        <f t="shared" si="593"/>
        <v>27260</v>
      </c>
      <c r="B15796" s="1" t="str">
        <f>"32259"</f>
        <v>32259</v>
      </c>
      <c r="C15796" s="2">
        <v>3.1026650230584801E-2</v>
      </c>
      <c r="D15796" s="2">
        <v>1.11086238737478E-2</v>
      </c>
      <c r="E15796" s="2">
        <v>1.42411236831837E-2</v>
      </c>
      <c r="F15796" s="2">
        <v>2.9042630199711501E-2</v>
      </c>
    </row>
    <row r="15797" spans="1:6" x14ac:dyDescent="0.25">
      <c r="A15797" s="1" t="str">
        <f t="shared" si="593"/>
        <v>27260</v>
      </c>
      <c r="B15797" s="1" t="str">
        <f>"32211"</f>
        <v>32211</v>
      </c>
      <c r="C15797" s="2">
        <v>1.9451727352935599E-2</v>
      </c>
      <c r="D15797" s="2">
        <v>2.4105993620236101E-2</v>
      </c>
      <c r="E15797" s="2">
        <v>2.4044088958252E-2</v>
      </c>
      <c r="F15797" s="2">
        <v>1.9930754684159401E-2</v>
      </c>
    </row>
    <row r="15798" spans="1:6" x14ac:dyDescent="0.25">
      <c r="A15798" s="1" t="str">
        <f t="shared" si="593"/>
        <v>27260</v>
      </c>
      <c r="B15798" s="1" t="str">
        <f>"32219"</f>
        <v>32219</v>
      </c>
      <c r="C15798" s="2">
        <v>8.81165877192433E-3</v>
      </c>
      <c r="D15798" s="2">
        <v>6.8694386927080396E-3</v>
      </c>
      <c r="E15798" s="2">
        <v>2.5848614904408801E-3</v>
      </c>
      <c r="F15798" s="2">
        <v>8.5125724578720193E-3</v>
      </c>
    </row>
    <row r="15799" spans="1:6" x14ac:dyDescent="0.25">
      <c r="A15799" s="1" t="str">
        <f t="shared" si="593"/>
        <v>27260</v>
      </c>
      <c r="B15799" s="1" t="str">
        <f>"32208"</f>
        <v>32208</v>
      </c>
      <c r="C15799" s="2">
        <v>2.01963569466432E-2</v>
      </c>
      <c r="D15799" s="2">
        <v>1.7390452739381002E-2</v>
      </c>
      <c r="E15799" s="2">
        <v>9.2177136168552394E-3</v>
      </c>
      <c r="F15799" s="2">
        <v>1.9718641804193901E-2</v>
      </c>
    </row>
    <row r="15800" spans="1:6" x14ac:dyDescent="0.25">
      <c r="A15800" s="1" t="str">
        <f t="shared" si="593"/>
        <v>27260</v>
      </c>
      <c r="B15800" s="1" t="str">
        <f>"32221"</f>
        <v>32221</v>
      </c>
      <c r="C15800" s="2">
        <v>1.6126549486581002E-2</v>
      </c>
      <c r="D15800" s="2">
        <v>7.5409927807935503E-3</v>
      </c>
      <c r="E15800" s="2">
        <v>2.82871634802965E-3</v>
      </c>
      <c r="F15800" s="2">
        <v>1.5131841061237701E-2</v>
      </c>
    </row>
    <row r="15801" spans="1:6" x14ac:dyDescent="0.25">
      <c r="A15801" s="1" t="str">
        <f t="shared" si="593"/>
        <v>27260</v>
      </c>
      <c r="B15801" s="1" t="str">
        <f>"32236"</f>
        <v>32236</v>
      </c>
      <c r="C15801" s="2">
        <v>2.4291193972880401E-3</v>
      </c>
      <c r="D15801" s="2">
        <v>7.0093457943925198E-3</v>
      </c>
      <c r="E15801" s="2">
        <v>9.7541943035505202E-5</v>
      </c>
      <c r="F15801" s="2">
        <v>2.7428776647381902E-3</v>
      </c>
    </row>
    <row r="15802" spans="1:6" x14ac:dyDescent="0.25">
      <c r="A15802" s="1" t="str">
        <f t="shared" si="593"/>
        <v>27260</v>
      </c>
      <c r="B15802" s="1" t="str">
        <f>"32092"</f>
        <v>32092</v>
      </c>
      <c r="C15802" s="2">
        <v>2.4651619725801099E-2</v>
      </c>
      <c r="D15802" s="2">
        <v>1.0409088365325401E-2</v>
      </c>
      <c r="E15802" s="2">
        <v>1.5411626999609801E-2</v>
      </c>
      <c r="F15802" s="2">
        <v>2.3296503504351598E-2</v>
      </c>
    </row>
    <row r="15803" spans="1:6" x14ac:dyDescent="0.25">
      <c r="A15803" s="1" t="str">
        <f t="shared" si="593"/>
        <v>27260</v>
      </c>
      <c r="B15803" s="1" t="str">
        <f>"32205"</f>
        <v>32205</v>
      </c>
      <c r="C15803" s="2">
        <v>1.9515552746681999E-2</v>
      </c>
      <c r="D15803" s="2">
        <v>1.9027365829089399E-2</v>
      </c>
      <c r="E15803" s="2">
        <v>3.5017557549746302E-2</v>
      </c>
      <c r="F15803" s="2">
        <v>1.9833115421953099E-2</v>
      </c>
    </row>
    <row r="15804" spans="1:6" x14ac:dyDescent="0.25">
      <c r="A15804" s="1" t="str">
        <f t="shared" si="593"/>
        <v>27260</v>
      </c>
      <c r="B15804" s="1" t="str">
        <f>"32666"</f>
        <v>32666</v>
      </c>
      <c r="C15804" s="2">
        <v>8.8604664259656703E-4</v>
      </c>
      <c r="D15804" s="2">
        <v>2.5183278303206601E-4</v>
      </c>
      <c r="E15804" s="2">
        <v>0</v>
      </c>
      <c r="F15804" s="2">
        <v>8.1478280875610896E-4</v>
      </c>
    </row>
    <row r="15805" spans="1:6" x14ac:dyDescent="0.25">
      <c r="A15805" s="1" t="str">
        <f t="shared" si="593"/>
        <v>27260</v>
      </c>
      <c r="B15805" s="1" t="str">
        <f>"32079"</f>
        <v>32079</v>
      </c>
      <c r="C15805" s="2">
        <v>0</v>
      </c>
      <c r="D15805" s="2">
        <v>1.3990710168448099E-5</v>
      </c>
      <c r="E15805" s="2">
        <v>0</v>
      </c>
      <c r="F15805" s="2">
        <v>1.12229037018747E-6</v>
      </c>
    </row>
    <row r="15806" spans="1:6" x14ac:dyDescent="0.25">
      <c r="A15806" s="1" t="str">
        <f t="shared" si="593"/>
        <v>27260</v>
      </c>
      <c r="B15806" s="1" t="str">
        <f>"32160"</f>
        <v>32160</v>
      </c>
      <c r="C15806" s="2">
        <v>0</v>
      </c>
      <c r="D15806" s="2">
        <v>0</v>
      </c>
      <c r="E15806" s="2">
        <v>4.8770971517752601E-5</v>
      </c>
      <c r="F15806" s="2">
        <v>1.12229037018747E-6</v>
      </c>
    </row>
    <row r="15807" spans="1:6" x14ac:dyDescent="0.25">
      <c r="A15807" s="1" t="str">
        <f t="shared" si="593"/>
        <v>27260</v>
      </c>
      <c r="B15807" s="1" t="str">
        <f>"32063"</f>
        <v>32063</v>
      </c>
      <c r="C15807" s="2">
        <v>7.2460594076753102E-3</v>
      </c>
      <c r="D15807" s="2">
        <v>9.0799708993228399E-3</v>
      </c>
      <c r="E15807" s="2">
        <v>4.1455325790089696E-3</v>
      </c>
      <c r="F15807" s="2">
        <v>7.3218223751031104E-3</v>
      </c>
    </row>
    <row r="15808" spans="1:6" x14ac:dyDescent="0.25">
      <c r="A15808" s="1" t="str">
        <f t="shared" si="593"/>
        <v>27260</v>
      </c>
      <c r="B15808" s="1" t="str">
        <f>"32086"</f>
        <v>32086</v>
      </c>
      <c r="C15808" s="2">
        <v>2.00048807654041E-2</v>
      </c>
      <c r="D15808" s="2">
        <v>2.2007387094968901E-2</v>
      </c>
      <c r="E15808" s="2">
        <v>2.28248146703082E-2</v>
      </c>
      <c r="F15808" s="2">
        <v>2.0230406212999399E-2</v>
      </c>
    </row>
    <row r="15809" spans="1:6" x14ac:dyDescent="0.25">
      <c r="A15809" s="1" t="str">
        <f t="shared" si="593"/>
        <v>27260</v>
      </c>
      <c r="B15809" s="1" t="str">
        <f>"32204"</f>
        <v>32204</v>
      </c>
      <c r="C15809" s="2">
        <v>6.7329533010869001E-3</v>
      </c>
      <c r="D15809" s="2">
        <v>1.9027365829089399E-2</v>
      </c>
      <c r="E15809" s="2">
        <v>2.27760436987904E-2</v>
      </c>
      <c r="F15809" s="2">
        <v>8.0883466979411508E-3</v>
      </c>
    </row>
    <row r="15810" spans="1:6" x14ac:dyDescent="0.25">
      <c r="A15810" s="1" t="str">
        <f t="shared" si="593"/>
        <v>27260</v>
      </c>
      <c r="B15810" s="1" t="str">
        <f>"32041"</f>
        <v>32041</v>
      </c>
      <c r="C15810" s="2">
        <v>2.5367465318407302E-3</v>
      </c>
      <c r="D15810" s="2">
        <v>2.92405842520566E-3</v>
      </c>
      <c r="E15810" s="2">
        <v>9.7541943035505202E-5</v>
      </c>
      <c r="F15810" s="2">
        <v>2.5116858484795701E-3</v>
      </c>
    </row>
    <row r="15811" spans="1:6" x14ac:dyDescent="0.25">
      <c r="A15811" s="1" t="str">
        <f t="shared" si="593"/>
        <v>27260</v>
      </c>
      <c r="B15811" s="1" t="str">
        <f>"32067"</f>
        <v>32067</v>
      </c>
      <c r="C15811" s="2">
        <v>2.3502762638366501E-3</v>
      </c>
      <c r="D15811" s="2">
        <v>5.5962840673792601E-3</v>
      </c>
      <c r="E15811" s="2">
        <v>9.7541943035505202E-5</v>
      </c>
      <c r="F15811" s="2">
        <v>2.5588220440274502E-3</v>
      </c>
    </row>
    <row r="15812" spans="1:6" x14ac:dyDescent="0.25">
      <c r="A15812" s="1" t="str">
        <f t="shared" si="593"/>
        <v>27260</v>
      </c>
      <c r="B15812" s="1" t="str">
        <f>"32258"</f>
        <v>32258</v>
      </c>
      <c r="C15812" s="2">
        <v>2.0974776454687E-2</v>
      </c>
      <c r="D15812" s="2">
        <v>1.0730874699199699E-2</v>
      </c>
      <c r="E15812" s="2">
        <v>8.7300039016777204E-3</v>
      </c>
      <c r="F15812" s="2">
        <v>1.9871273294539402E-2</v>
      </c>
    </row>
    <row r="15813" spans="1:6" x14ac:dyDescent="0.25">
      <c r="A15813" s="1" t="str">
        <f t="shared" si="593"/>
        <v>27260</v>
      </c>
      <c r="B15813" s="1" t="str">
        <f>"32218"</f>
        <v>32218</v>
      </c>
      <c r="C15813" s="2">
        <v>3.8238919723923799E-2</v>
      </c>
      <c r="D15813" s="2">
        <v>2.8275225250433699E-2</v>
      </c>
      <c r="E15813" s="2">
        <v>1.46312914553257E-2</v>
      </c>
      <c r="F15813" s="2">
        <v>3.6896418210283499E-2</v>
      </c>
    </row>
    <row r="15814" spans="1:6" x14ac:dyDescent="0.25">
      <c r="A15814" s="1" t="str">
        <f t="shared" si="593"/>
        <v>27260</v>
      </c>
      <c r="B15814" s="1" t="str">
        <f>"32222"</f>
        <v>32222</v>
      </c>
      <c r="C15814" s="2">
        <v>1.0947932244964299E-2</v>
      </c>
      <c r="D15814" s="2">
        <v>5.7781632995690798E-3</v>
      </c>
      <c r="E15814" s="2">
        <v>2.97502926258291E-3</v>
      </c>
      <c r="F15814" s="2">
        <v>1.03497617938689E-2</v>
      </c>
    </row>
    <row r="15815" spans="1:6" x14ac:dyDescent="0.25">
      <c r="A15815" s="1" t="str">
        <f t="shared" ref="A15815:A15836" si="594">"27260"</f>
        <v>27260</v>
      </c>
      <c r="B15815" s="1" t="str">
        <f>"32131"</f>
        <v>32131</v>
      </c>
      <c r="C15815" s="2">
        <v>1.50177397050265E-5</v>
      </c>
      <c r="D15815" s="2">
        <v>2.79814203368963E-5</v>
      </c>
      <c r="E15815" s="2">
        <v>0</v>
      </c>
      <c r="F15815" s="2">
        <v>1.57120651826247E-5</v>
      </c>
    </row>
    <row r="15816" spans="1:6" x14ac:dyDescent="0.25">
      <c r="A15816" s="1" t="str">
        <f t="shared" si="594"/>
        <v>27260</v>
      </c>
      <c r="B15816" s="1" t="str">
        <f>"32228"</f>
        <v>32228</v>
      </c>
      <c r="C15816" s="2">
        <v>2.5029566175044201E-6</v>
      </c>
      <c r="D15816" s="2">
        <v>0</v>
      </c>
      <c r="E15816" s="2">
        <v>3.41396800624268E-4</v>
      </c>
      <c r="F15816" s="2">
        <v>1.0100613331687301E-5</v>
      </c>
    </row>
    <row r="15817" spans="1:6" x14ac:dyDescent="0.25">
      <c r="A15817" s="1" t="str">
        <f t="shared" si="594"/>
        <v>27260</v>
      </c>
      <c r="B15817" s="1" t="str">
        <f>"32229"</f>
        <v>32229</v>
      </c>
      <c r="C15817" s="2">
        <v>1.4642296212400799E-4</v>
      </c>
      <c r="D15817" s="2">
        <v>1.8187923218982501E-4</v>
      </c>
      <c r="E15817" s="2">
        <v>9.7541943035505202E-5</v>
      </c>
      <c r="F15817" s="2">
        <v>1.4814232886474699E-4</v>
      </c>
    </row>
    <row r="15818" spans="1:6" x14ac:dyDescent="0.25">
      <c r="A15818" s="1" t="str">
        <f t="shared" si="594"/>
        <v>27260</v>
      </c>
      <c r="B15818" s="1" t="str">
        <f>"32212"</f>
        <v>32212</v>
      </c>
      <c r="C15818" s="2">
        <v>3.8670679740443302E-4</v>
      </c>
      <c r="D15818" s="2">
        <v>8.39442610106889E-5</v>
      </c>
      <c r="E15818" s="2">
        <v>2.43854857588763E-4</v>
      </c>
      <c r="F15818" s="2">
        <v>3.5913291845999303E-4</v>
      </c>
    </row>
    <row r="15819" spans="1:6" x14ac:dyDescent="0.25">
      <c r="A15819" s="1" t="str">
        <f t="shared" si="594"/>
        <v>27260</v>
      </c>
      <c r="B15819" s="1" t="str">
        <f>"32239"</f>
        <v>32239</v>
      </c>
      <c r="C15819" s="2">
        <v>1.7933684164419201E-3</v>
      </c>
      <c r="D15819" s="2">
        <v>4.22519447087134E-3</v>
      </c>
      <c r="E15819" s="2">
        <v>1.46312914553257E-4</v>
      </c>
      <c r="F15819" s="2">
        <v>1.9505406633858299E-3</v>
      </c>
    </row>
    <row r="15820" spans="1:6" x14ac:dyDescent="0.25">
      <c r="A15820" s="1" t="str">
        <f t="shared" si="594"/>
        <v>27260</v>
      </c>
      <c r="B15820" s="1" t="str">
        <f>"32080"</f>
        <v>32080</v>
      </c>
      <c r="C15820" s="2">
        <v>2.1165001157617401E-2</v>
      </c>
      <c r="D15820" s="2">
        <v>1.4354468632827799E-2</v>
      </c>
      <c r="E15820" s="2">
        <v>2.7701911822083401E-2</v>
      </c>
      <c r="F15820" s="2">
        <v>2.07691055906894E-2</v>
      </c>
    </row>
    <row r="15821" spans="1:6" x14ac:dyDescent="0.25">
      <c r="A15821" s="1" t="str">
        <f t="shared" si="594"/>
        <v>27260</v>
      </c>
      <c r="B15821" s="1" t="str">
        <f>"32266"</f>
        <v>32266</v>
      </c>
      <c r="C15821" s="2">
        <v>4.4765379104066598E-3</v>
      </c>
      <c r="D15821" s="2">
        <v>4.1832223403659901E-3</v>
      </c>
      <c r="E15821" s="2">
        <v>8.8275458447132204E-3</v>
      </c>
      <c r="F15821" s="2">
        <v>4.5531320318505999E-3</v>
      </c>
    </row>
    <row r="15822" spans="1:6" x14ac:dyDescent="0.25">
      <c r="A15822" s="1" t="str">
        <f t="shared" si="594"/>
        <v>27260</v>
      </c>
      <c r="B15822" s="1" t="str">
        <f>"32210"</f>
        <v>32210</v>
      </c>
      <c r="C15822" s="2">
        <v>3.8754528787129698E-2</v>
      </c>
      <c r="D15822" s="2">
        <v>3.3060048128042897E-2</v>
      </c>
      <c r="E15822" s="2">
        <v>3.6383144752243399E-2</v>
      </c>
      <c r="F15822" s="2">
        <v>3.8243166654508498E-2</v>
      </c>
    </row>
    <row r="15823" spans="1:6" x14ac:dyDescent="0.25">
      <c r="A15823" s="1" t="str">
        <f t="shared" si="594"/>
        <v>27260</v>
      </c>
      <c r="B15823" s="1" t="str">
        <f>"32217"</f>
        <v>32217</v>
      </c>
      <c r="C15823" s="2">
        <v>1.2528549348918399E-2</v>
      </c>
      <c r="D15823" s="2">
        <v>2.0412446135765799E-2</v>
      </c>
      <c r="E15823" s="2">
        <v>3.0140460397971101E-2</v>
      </c>
      <c r="F15823" s="2">
        <v>1.35662459948262E-2</v>
      </c>
    </row>
    <row r="15824" spans="1:6" x14ac:dyDescent="0.25">
      <c r="A15824" s="1" t="str">
        <f t="shared" si="594"/>
        <v>27260</v>
      </c>
      <c r="B15824" s="1" t="str">
        <f>"32234"</f>
        <v>32234</v>
      </c>
      <c r="C15824" s="2">
        <v>4.9020405353824197E-3</v>
      </c>
      <c r="D15824" s="2">
        <v>2.0986065252672202E-3</v>
      </c>
      <c r="E15824" s="2">
        <v>9.2664845883730005E-4</v>
      </c>
      <c r="F15824" s="2">
        <v>4.5856784525860296E-3</v>
      </c>
    </row>
    <row r="15825" spans="1:6" x14ac:dyDescent="0.25">
      <c r="A15825" s="1" t="str">
        <f t="shared" si="594"/>
        <v>27260</v>
      </c>
      <c r="B15825" s="1" t="str">
        <f>"32240"</f>
        <v>32240</v>
      </c>
      <c r="C15825" s="2">
        <v>1.5205461451339301E-3</v>
      </c>
      <c r="D15825" s="2">
        <v>4.4630365437349504E-3</v>
      </c>
      <c r="E15825" s="2">
        <v>9.7541943035505202E-5</v>
      </c>
      <c r="F15825" s="2">
        <v>1.7238380086079599E-3</v>
      </c>
    </row>
    <row r="15826" spans="1:6" x14ac:dyDescent="0.25">
      <c r="A15826" s="1" t="str">
        <f t="shared" si="594"/>
        <v>27260</v>
      </c>
      <c r="B15826" s="1" t="str">
        <f>"32250"</f>
        <v>32250</v>
      </c>
      <c r="C15826" s="2">
        <v>2.0516735393683701E-2</v>
      </c>
      <c r="D15826" s="2">
        <v>2.7379819799653E-2</v>
      </c>
      <c r="E15826" s="2">
        <v>4.7941865001950801E-2</v>
      </c>
      <c r="F15826" s="2">
        <v>2.1698362017204698E-2</v>
      </c>
    </row>
    <row r="15827" spans="1:6" x14ac:dyDescent="0.25">
      <c r="A15827" s="1" t="str">
        <f t="shared" si="594"/>
        <v>27260</v>
      </c>
      <c r="B15827" s="1" t="str">
        <f>"32256"</f>
        <v>32256</v>
      </c>
      <c r="C15827" s="2">
        <v>4.1233707316767898E-2</v>
      </c>
      <c r="D15827" s="2">
        <v>5.65644412110358E-2</v>
      </c>
      <c r="E15827" s="2">
        <v>4.7356613343737801E-2</v>
      </c>
      <c r="F15827" s="2">
        <v>4.2604387033057002E-2</v>
      </c>
    </row>
    <row r="15828" spans="1:6" x14ac:dyDescent="0.25">
      <c r="A15828" s="1" t="str">
        <f t="shared" si="594"/>
        <v>27260</v>
      </c>
      <c r="B15828" s="1" t="str">
        <f>"32140"</f>
        <v>32140</v>
      </c>
      <c r="C15828" s="2">
        <v>3.1286957718805301E-5</v>
      </c>
      <c r="D15828" s="2">
        <v>0</v>
      </c>
      <c r="E15828" s="2">
        <v>0</v>
      </c>
      <c r="F15828" s="2">
        <v>2.8057259254686901E-5</v>
      </c>
    </row>
    <row r="15829" spans="1:6" x14ac:dyDescent="0.25">
      <c r="A15829" s="1" t="str">
        <f t="shared" si="594"/>
        <v>27260</v>
      </c>
      <c r="B15829" s="1" t="str">
        <f>"32033"</f>
        <v>32033</v>
      </c>
      <c r="C15829" s="2">
        <v>3.0373378553416202E-3</v>
      </c>
      <c r="D15829" s="2">
        <v>1.1472382338127401E-3</v>
      </c>
      <c r="E15829" s="2">
        <v>8.7787748731954702E-4</v>
      </c>
      <c r="F15829" s="2">
        <v>2.8360277654637502E-3</v>
      </c>
    </row>
    <row r="15830" spans="1:6" x14ac:dyDescent="0.25">
      <c r="A15830" s="1" t="str">
        <f t="shared" si="594"/>
        <v>27260</v>
      </c>
      <c r="B15830" s="1" t="str">
        <f>"32206"</f>
        <v>32206</v>
      </c>
      <c r="C15830" s="2">
        <v>1.41079149745637E-2</v>
      </c>
      <c r="D15830" s="2">
        <v>2.1923442833958199E-2</v>
      </c>
      <c r="E15830" s="2">
        <v>2.19469371829886E-2</v>
      </c>
      <c r="F15830" s="2">
        <v>1.49152390197915E-2</v>
      </c>
    </row>
    <row r="15831" spans="1:6" x14ac:dyDescent="0.25">
      <c r="A15831" s="1" t="str">
        <f t="shared" si="594"/>
        <v>27260</v>
      </c>
      <c r="B15831" s="1" t="str">
        <f>"32656"</f>
        <v>32656</v>
      </c>
      <c r="C15831" s="2">
        <v>8.3811502337135697E-3</v>
      </c>
      <c r="D15831" s="2">
        <v>4.22519447087134E-3</v>
      </c>
      <c r="E15831" s="2">
        <v>3.3164260632071699E-3</v>
      </c>
      <c r="F15831" s="2">
        <v>7.9312260461149101E-3</v>
      </c>
    </row>
    <row r="15832" spans="1:6" x14ac:dyDescent="0.25">
      <c r="A15832" s="1" t="str">
        <f t="shared" si="594"/>
        <v>27260</v>
      </c>
      <c r="B15832" s="1" t="str">
        <f>"32277"</f>
        <v>32277</v>
      </c>
      <c r="C15832" s="2">
        <v>1.7126480655274001E-2</v>
      </c>
      <c r="D15832" s="2">
        <v>6.3797638368123504E-3</v>
      </c>
      <c r="E15832" s="2">
        <v>1.6191962543893799E-2</v>
      </c>
      <c r="F15832" s="2">
        <v>1.6242908527723299E-2</v>
      </c>
    </row>
    <row r="15833" spans="1:6" x14ac:dyDescent="0.25">
      <c r="A15833" s="1" t="str">
        <f t="shared" si="594"/>
        <v>27260</v>
      </c>
      <c r="B15833" s="1" t="str">
        <f>"32209"</f>
        <v>32209</v>
      </c>
      <c r="C15833" s="2">
        <v>2.3929516741650999E-2</v>
      </c>
      <c r="D15833" s="2">
        <v>1.5641613968324999E-2</v>
      </c>
      <c r="E15833" s="2">
        <v>4.09188451033944E-2</v>
      </c>
      <c r="F15833" s="2">
        <v>2.3655636422811599E-2</v>
      </c>
    </row>
    <row r="15834" spans="1:6" x14ac:dyDescent="0.25">
      <c r="A15834" s="1" t="str">
        <f t="shared" si="594"/>
        <v>27260</v>
      </c>
      <c r="B15834" s="1" t="str">
        <f>"32225"</f>
        <v>32225</v>
      </c>
      <c r="C15834" s="2">
        <v>3.2351965759553403E-2</v>
      </c>
      <c r="D15834" s="2">
        <v>2.38821422575409E-2</v>
      </c>
      <c r="E15834" s="2">
        <v>1.6143191572376099E-2</v>
      </c>
      <c r="F15834" s="2">
        <v>3.1299556134158503E-2</v>
      </c>
    </row>
    <row r="15835" spans="1:6" x14ac:dyDescent="0.25">
      <c r="A15835" s="1" t="str">
        <f t="shared" si="594"/>
        <v>27260</v>
      </c>
      <c r="B15835" s="1" t="str">
        <f>"32226"</f>
        <v>32226</v>
      </c>
      <c r="C15835" s="2">
        <v>1.3323238074976001E-2</v>
      </c>
      <c r="D15835" s="2">
        <v>1.0059320611114199E-2</v>
      </c>
      <c r="E15835" s="2">
        <v>2.1459227467811098E-3</v>
      </c>
      <c r="F15835" s="2">
        <v>1.28042108334689E-2</v>
      </c>
    </row>
    <row r="15836" spans="1:6" x14ac:dyDescent="0.25">
      <c r="A15836" s="1" t="str">
        <f t="shared" si="594"/>
        <v>27260</v>
      </c>
      <c r="B15836" s="1" t="str">
        <f>"32235"</f>
        <v>32235</v>
      </c>
      <c r="C15836" s="2">
        <v>1.4980195355763901E-3</v>
      </c>
      <c r="D15836" s="2">
        <v>5.8341261402428696E-3</v>
      </c>
      <c r="E15836" s="2">
        <v>4.8770971517752601E-5</v>
      </c>
      <c r="F15836" s="2">
        <v>1.8124989478527701E-3</v>
      </c>
    </row>
    <row r="15837" spans="1:6" x14ac:dyDescent="0.25">
      <c r="A15837" s="1" t="str">
        <f t="shared" ref="A15837:A15858" si="595">"27300"</f>
        <v>27300</v>
      </c>
      <c r="B15837" s="1" t="str">
        <f>"62650"</f>
        <v>62650</v>
      </c>
      <c r="C15837" s="2">
        <v>0.62859232939701104</v>
      </c>
      <c r="D15837" s="2">
        <v>0.64802259887005598</v>
      </c>
      <c r="E15837" s="2">
        <v>0.9425</v>
      </c>
      <c r="F15837" s="2">
        <v>0.64174497880965498</v>
      </c>
    </row>
    <row r="15838" spans="1:6" x14ac:dyDescent="0.25">
      <c r="A15838" s="1" t="str">
        <f t="shared" si="595"/>
        <v>27300</v>
      </c>
      <c r="B15838" s="1" t="str">
        <f>"62611"</f>
        <v>62611</v>
      </c>
      <c r="C15838" s="2">
        <v>3.60539241300031E-3</v>
      </c>
      <c r="D15838" s="2">
        <v>5.6497175141242896E-4</v>
      </c>
      <c r="E15838" s="2">
        <v>0</v>
      </c>
      <c r="F15838" s="2">
        <v>3.22461765247834E-3</v>
      </c>
    </row>
    <row r="15839" spans="1:6" x14ac:dyDescent="0.25">
      <c r="A15839" s="1" t="str">
        <f t="shared" si="595"/>
        <v>27300</v>
      </c>
      <c r="B15839" s="1" t="str">
        <f>"62601"</f>
        <v>62601</v>
      </c>
      <c r="C15839" s="2">
        <v>9.8756400877834608E-3</v>
      </c>
      <c r="D15839" s="2">
        <v>6.21468926553672E-3</v>
      </c>
      <c r="E15839" s="2">
        <v>6.2500000000000003E-3</v>
      </c>
      <c r="F15839" s="2">
        <v>9.4435231251151601E-3</v>
      </c>
    </row>
    <row r="15840" spans="1:6" x14ac:dyDescent="0.25">
      <c r="A15840" s="1" t="str">
        <f t="shared" si="595"/>
        <v>27300</v>
      </c>
      <c r="B15840" s="1" t="str">
        <f>"62668"</f>
        <v>62668</v>
      </c>
      <c r="C15840" s="2">
        <v>3.5270143170655202E-2</v>
      </c>
      <c r="D15840" s="2">
        <v>1.29943502824858E-2</v>
      </c>
      <c r="E15840" s="2">
        <v>7.4999999999999997E-3</v>
      </c>
      <c r="F15840" s="2">
        <v>3.2430440390639297E-2</v>
      </c>
    </row>
    <row r="15841" spans="1:6" x14ac:dyDescent="0.25">
      <c r="A15841" s="1" t="str">
        <f t="shared" si="595"/>
        <v>27300</v>
      </c>
      <c r="B15841" s="1" t="str">
        <f>"62695"</f>
        <v>62695</v>
      </c>
      <c r="C15841" s="2">
        <v>9.9801442156965195E-3</v>
      </c>
      <c r="D15841" s="2">
        <v>5.6497175141242896E-4</v>
      </c>
      <c r="E15841" s="2">
        <v>0</v>
      </c>
      <c r="F15841" s="2">
        <v>8.8446655610834694E-3</v>
      </c>
    </row>
    <row r="15842" spans="1:6" x14ac:dyDescent="0.25">
      <c r="A15842" s="1" t="str">
        <f t="shared" si="595"/>
        <v>27300</v>
      </c>
      <c r="B15842" s="1" t="str">
        <f>"62612"</f>
        <v>62612</v>
      </c>
      <c r="C15842" s="2">
        <v>8.6738426167833598E-3</v>
      </c>
      <c r="D15842" s="2">
        <v>5.6497175141242903E-3</v>
      </c>
      <c r="E15842" s="2">
        <v>0</v>
      </c>
      <c r="F15842" s="2">
        <v>8.1076100976598398E-3</v>
      </c>
    </row>
    <row r="15843" spans="1:6" x14ac:dyDescent="0.25">
      <c r="A15843" s="1" t="str">
        <f t="shared" si="595"/>
        <v>27300</v>
      </c>
      <c r="B15843" s="1" t="str">
        <f>"62667"</f>
        <v>62667</v>
      </c>
      <c r="C15843" s="2">
        <v>5.2252063956526203E-4</v>
      </c>
      <c r="D15843" s="2">
        <v>0</v>
      </c>
      <c r="E15843" s="2">
        <v>0</v>
      </c>
      <c r="F15843" s="2">
        <v>4.60659664639764E-4</v>
      </c>
    </row>
    <row r="15844" spans="1:6" x14ac:dyDescent="0.25">
      <c r="A15844" s="1" t="str">
        <f t="shared" si="595"/>
        <v>27300</v>
      </c>
      <c r="B15844" s="1" t="str">
        <f>"62363"</f>
        <v>62363</v>
      </c>
      <c r="C15844" s="2">
        <v>2.6126031978263101E-4</v>
      </c>
      <c r="D15844" s="2">
        <v>0</v>
      </c>
      <c r="E15844" s="2">
        <v>0</v>
      </c>
      <c r="F15844" s="2">
        <v>2.30329832319882E-4</v>
      </c>
    </row>
    <row r="15845" spans="1:6" x14ac:dyDescent="0.25">
      <c r="A15845" s="1" t="str">
        <f t="shared" si="595"/>
        <v>27300</v>
      </c>
      <c r="B15845" s="1" t="str">
        <f>"62660"</f>
        <v>62660</v>
      </c>
      <c r="C15845" s="2">
        <v>0</v>
      </c>
      <c r="D15845" s="2">
        <v>5.6497175141242896E-4</v>
      </c>
      <c r="E15845" s="2">
        <v>0</v>
      </c>
      <c r="F15845" s="2">
        <v>4.6065966463976401E-5</v>
      </c>
    </row>
    <row r="15846" spans="1:6" x14ac:dyDescent="0.25">
      <c r="A15846" s="1" t="str">
        <f t="shared" si="595"/>
        <v>27300</v>
      </c>
      <c r="B15846" s="1" t="str">
        <f>"62694"</f>
        <v>62694</v>
      </c>
      <c r="C15846" s="2">
        <v>8.4178075033963795E-2</v>
      </c>
      <c r="D15846" s="2">
        <v>7.9096045197740106E-2</v>
      </c>
      <c r="E15846" s="2">
        <v>1.4999999999999999E-2</v>
      </c>
      <c r="F15846" s="2">
        <v>8.1214298875990396E-2</v>
      </c>
    </row>
    <row r="15847" spans="1:6" x14ac:dyDescent="0.25">
      <c r="A15847" s="1" t="str">
        <f t="shared" si="595"/>
        <v>27300</v>
      </c>
      <c r="B15847" s="1" t="str">
        <f>"62665"</f>
        <v>62665</v>
      </c>
      <c r="C15847" s="2">
        <v>4.0704357822133899E-2</v>
      </c>
      <c r="D15847" s="2">
        <v>1.24293785310734E-2</v>
      </c>
      <c r="E15847" s="2">
        <v>1.25E-3</v>
      </c>
      <c r="F15847" s="2">
        <v>3.6944905104108999E-2</v>
      </c>
    </row>
    <row r="15848" spans="1:6" x14ac:dyDescent="0.25">
      <c r="A15848" s="1" t="str">
        <f t="shared" si="595"/>
        <v>27300</v>
      </c>
      <c r="B15848" s="1" t="str">
        <f>"62651"</f>
        <v>62651</v>
      </c>
      <c r="C15848" s="2">
        <v>3.6524192705611802E-2</v>
      </c>
      <c r="D15848" s="2">
        <v>0.148022598870056</v>
      </c>
      <c r="E15848" s="2">
        <v>1.25E-3</v>
      </c>
      <c r="F15848" s="2">
        <v>4.4315459738345303E-2</v>
      </c>
    </row>
    <row r="15849" spans="1:6" x14ac:dyDescent="0.25">
      <c r="A15849" s="1" t="str">
        <f t="shared" si="595"/>
        <v>27300</v>
      </c>
      <c r="B15849" s="1" t="str">
        <f>"62670"</f>
        <v>62670</v>
      </c>
      <c r="C15849" s="2">
        <v>9.4053715121747298E-4</v>
      </c>
      <c r="D15849" s="2">
        <v>0</v>
      </c>
      <c r="E15849" s="2">
        <v>0</v>
      </c>
      <c r="F15849" s="2">
        <v>8.2918739635157504E-4</v>
      </c>
    </row>
    <row r="15850" spans="1:6" x14ac:dyDescent="0.25">
      <c r="A15850" s="1" t="str">
        <f t="shared" si="595"/>
        <v>27300</v>
      </c>
      <c r="B15850" s="1" t="str">
        <f>"62677"</f>
        <v>62677</v>
      </c>
      <c r="C15850" s="2">
        <v>5.2252063956526199E-5</v>
      </c>
      <c r="D15850" s="2">
        <v>0</v>
      </c>
      <c r="E15850" s="2">
        <v>0</v>
      </c>
      <c r="F15850" s="2">
        <v>4.6065966463976401E-5</v>
      </c>
    </row>
    <row r="15851" spans="1:6" x14ac:dyDescent="0.25">
      <c r="A15851" s="1" t="str">
        <f t="shared" si="595"/>
        <v>27300</v>
      </c>
      <c r="B15851" s="1" t="str">
        <f>"62692"</f>
        <v>62692</v>
      </c>
      <c r="C15851" s="2">
        <v>4.5981816281743103E-2</v>
      </c>
      <c r="D15851" s="2">
        <v>4.9717514124293698E-2</v>
      </c>
      <c r="E15851" s="2">
        <v>2.1250000000000002E-2</v>
      </c>
      <c r="F15851" s="2">
        <v>4.53749769670167E-2</v>
      </c>
    </row>
    <row r="15852" spans="1:6" x14ac:dyDescent="0.25">
      <c r="A15852" s="1" t="str">
        <f t="shared" si="595"/>
        <v>27300</v>
      </c>
      <c r="B15852" s="1" t="str">
        <f>"62621"</f>
        <v>62621</v>
      </c>
      <c r="C15852" s="2">
        <v>2.8163862472567601E-2</v>
      </c>
      <c r="D15852" s="2">
        <v>2.8248587570621399E-3</v>
      </c>
      <c r="E15852" s="2">
        <v>2.5000000000000001E-3</v>
      </c>
      <c r="F15852" s="2">
        <v>2.5152017689331101E-2</v>
      </c>
    </row>
    <row r="15853" spans="1:6" x14ac:dyDescent="0.25">
      <c r="A15853" s="1" t="str">
        <f t="shared" si="595"/>
        <v>27300</v>
      </c>
      <c r="B15853" s="1" t="str">
        <f>"62628"</f>
        <v>62628</v>
      </c>
      <c r="C15853" s="2">
        <v>2.0587313198871301E-2</v>
      </c>
      <c r="D15853" s="2">
        <v>1.5819209039548001E-2</v>
      </c>
      <c r="E15853" s="2">
        <v>0</v>
      </c>
      <c r="F15853" s="2">
        <v>1.9439837847798E-2</v>
      </c>
    </row>
    <row r="15854" spans="1:6" x14ac:dyDescent="0.25">
      <c r="A15854" s="1" t="str">
        <f t="shared" si="595"/>
        <v>27300</v>
      </c>
      <c r="B15854" s="1" t="str">
        <f>"62610"</f>
        <v>62610</v>
      </c>
      <c r="C15854" s="2">
        <v>0</v>
      </c>
      <c r="D15854" s="2">
        <v>5.6497175141242896E-4</v>
      </c>
      <c r="E15854" s="2">
        <v>0</v>
      </c>
      <c r="F15854" s="2">
        <v>4.6065966463976401E-5</v>
      </c>
    </row>
    <row r="15855" spans="1:6" x14ac:dyDescent="0.25">
      <c r="A15855" s="1" t="str">
        <f t="shared" si="595"/>
        <v>27300</v>
      </c>
      <c r="B15855" s="1" t="str">
        <f>"62638"</f>
        <v>62638</v>
      </c>
      <c r="C15855" s="2">
        <v>3.39115895077855E-2</v>
      </c>
      <c r="D15855" s="2">
        <v>1.1864406779661E-2</v>
      </c>
      <c r="E15855" s="2">
        <v>2.5000000000000001E-3</v>
      </c>
      <c r="F15855" s="2">
        <v>3.09563294637921E-2</v>
      </c>
    </row>
    <row r="15856" spans="1:6" x14ac:dyDescent="0.25">
      <c r="A15856" s="1" t="str">
        <f t="shared" si="595"/>
        <v>27300</v>
      </c>
      <c r="B15856" s="1" t="str">
        <f>"62631"</f>
        <v>62631</v>
      </c>
      <c r="C15856" s="2">
        <v>7.5242972097397803E-3</v>
      </c>
      <c r="D15856" s="2">
        <v>2.8248587570621399E-3</v>
      </c>
      <c r="E15856" s="2">
        <v>0</v>
      </c>
      <c r="F15856" s="2">
        <v>6.8638290031324796E-3</v>
      </c>
    </row>
    <row r="15857" spans="1:6" x14ac:dyDescent="0.25">
      <c r="A15857" s="1" t="str">
        <f t="shared" si="595"/>
        <v>27300</v>
      </c>
      <c r="B15857" s="1" t="str">
        <f>"62663"</f>
        <v>62663</v>
      </c>
      <c r="C15857" s="2">
        <v>0</v>
      </c>
      <c r="D15857" s="2">
        <v>5.6497175141242896E-4</v>
      </c>
      <c r="E15857" s="2">
        <v>0</v>
      </c>
      <c r="F15857" s="2">
        <v>4.6065966463976401E-5</v>
      </c>
    </row>
    <row r="15858" spans="1:6" x14ac:dyDescent="0.25">
      <c r="A15858" s="1" t="str">
        <f t="shared" si="595"/>
        <v>27300</v>
      </c>
      <c r="B15858" s="1" t="str">
        <f>"62082"</f>
        <v>62082</v>
      </c>
      <c r="C15858" s="2">
        <v>4.6504336921308299E-3</v>
      </c>
      <c r="D15858" s="2">
        <v>1.6949152542372801E-3</v>
      </c>
      <c r="E15858" s="2">
        <v>0</v>
      </c>
      <c r="F15858" s="2">
        <v>4.2380689146858299E-3</v>
      </c>
    </row>
    <row r="15859" spans="1:6" x14ac:dyDescent="0.25">
      <c r="A15859" s="1" t="str">
        <f t="shared" ref="A15859:A15876" si="596">"27340"</f>
        <v>27340</v>
      </c>
      <c r="B15859" s="1" t="str">
        <f>"28546"</f>
        <v>28546</v>
      </c>
      <c r="C15859" s="2">
        <v>0.243496009589943</v>
      </c>
      <c r="D15859" s="2">
        <v>0.30192608016657901</v>
      </c>
      <c r="E15859" s="2">
        <v>0.31507622811970598</v>
      </c>
      <c r="F15859" s="2">
        <v>0.24812495630723699</v>
      </c>
    </row>
    <row r="15860" spans="1:6" x14ac:dyDescent="0.25">
      <c r="A15860" s="1" t="str">
        <f t="shared" si="596"/>
        <v>27340</v>
      </c>
      <c r="B15860" s="1" t="str">
        <f>"28445"</f>
        <v>28445</v>
      </c>
      <c r="C15860" s="2">
        <v>4.9018866701944899E-2</v>
      </c>
      <c r="D15860" s="2">
        <v>2.0128405344438601E-2</v>
      </c>
      <c r="E15860" s="2">
        <v>2.0892151326933901E-2</v>
      </c>
      <c r="F15860" s="2">
        <v>4.6858615214069498E-2</v>
      </c>
    </row>
    <row r="15861" spans="1:6" x14ac:dyDescent="0.25">
      <c r="A15861" s="1" t="str">
        <f t="shared" si="596"/>
        <v>27340</v>
      </c>
      <c r="B15861" s="1" t="str">
        <f>"28584"</f>
        <v>28584</v>
      </c>
      <c r="C15861" s="2">
        <v>5.1275959264338998E-2</v>
      </c>
      <c r="D15861" s="2">
        <v>0.10810341835849301</v>
      </c>
      <c r="E15861" s="2">
        <v>4.9124788255222998E-2</v>
      </c>
      <c r="F15861" s="2">
        <v>5.45085937421977E-2</v>
      </c>
    </row>
    <row r="15862" spans="1:6" x14ac:dyDescent="0.25">
      <c r="A15862" s="1" t="str">
        <f t="shared" si="596"/>
        <v>27340</v>
      </c>
      <c r="B15862" s="1" t="str">
        <f>"28555"</f>
        <v>28555</v>
      </c>
      <c r="C15862" s="2">
        <v>1.7635560547317901E-2</v>
      </c>
      <c r="D15862" s="2">
        <v>2.0822488287350299E-3</v>
      </c>
      <c r="E15862" s="2">
        <v>1.18577075098814E-2</v>
      </c>
      <c r="F15862" s="2">
        <v>1.6638203952821801E-2</v>
      </c>
    </row>
    <row r="15863" spans="1:6" x14ac:dyDescent="0.25">
      <c r="A15863" s="1" t="str">
        <f t="shared" si="596"/>
        <v>27340</v>
      </c>
      <c r="B15863" s="1" t="str">
        <f>"28541"</f>
        <v>28541</v>
      </c>
      <c r="C15863" s="2">
        <v>1.1998228884305099E-2</v>
      </c>
      <c r="D15863" s="2">
        <v>6.0905778240499697E-2</v>
      </c>
      <c r="E15863" s="2">
        <v>5.6465273856578201E-4</v>
      </c>
      <c r="F15863" s="2">
        <v>1.4610859773696401E-2</v>
      </c>
    </row>
    <row r="15864" spans="1:6" x14ac:dyDescent="0.25">
      <c r="A15864" s="1" t="str">
        <f t="shared" si="596"/>
        <v>27340</v>
      </c>
      <c r="B15864" s="1" t="str">
        <f>"28539"</f>
        <v>28539</v>
      </c>
      <c r="C15864" s="2">
        <v>9.3707139540157802E-2</v>
      </c>
      <c r="D15864" s="2">
        <v>3.4530626409855901E-2</v>
      </c>
      <c r="E15864" s="2">
        <v>8.0180688876341E-2</v>
      </c>
      <c r="F15864" s="2">
        <v>9.0062018755430295E-2</v>
      </c>
    </row>
    <row r="15865" spans="1:6" x14ac:dyDescent="0.25">
      <c r="A15865" s="1" t="str">
        <f t="shared" si="596"/>
        <v>27340</v>
      </c>
      <c r="B15865" s="1" t="str">
        <f>"28460"</f>
        <v>28460</v>
      </c>
      <c r="C15865" s="2">
        <v>8.2130090607687001E-2</v>
      </c>
      <c r="D15865" s="2">
        <v>4.80652437966336E-2</v>
      </c>
      <c r="E15865" s="2">
        <v>0.105025409373235</v>
      </c>
      <c r="F15865" s="2">
        <v>8.0574447473809305E-2</v>
      </c>
    </row>
    <row r="15866" spans="1:6" x14ac:dyDescent="0.25">
      <c r="A15866" s="1" t="str">
        <f t="shared" si="596"/>
        <v>27340</v>
      </c>
      <c r="B15866" s="1" t="str">
        <f>"28454"</f>
        <v>28454</v>
      </c>
      <c r="C15866" s="2">
        <v>1.21170232296942E-2</v>
      </c>
      <c r="D15866" s="2">
        <v>1.5616866215512699E-3</v>
      </c>
      <c r="E15866" s="2">
        <v>1.6939582156973399E-3</v>
      </c>
      <c r="F15866" s="2">
        <v>1.1325164035114001E-2</v>
      </c>
    </row>
    <row r="15867" spans="1:6" x14ac:dyDescent="0.25">
      <c r="A15867" s="1" t="str">
        <f t="shared" si="596"/>
        <v>27340</v>
      </c>
      <c r="B15867" s="1" t="str">
        <f>"28542"</f>
        <v>28542</v>
      </c>
      <c r="C15867" s="2">
        <v>0</v>
      </c>
      <c r="D15867" s="2">
        <v>1.5269824744056901E-2</v>
      </c>
      <c r="E15867" s="2">
        <v>0</v>
      </c>
      <c r="F15867" s="2">
        <v>8.7884870819226796E-4</v>
      </c>
    </row>
    <row r="15868" spans="1:6" x14ac:dyDescent="0.25">
      <c r="A15868" s="1" t="str">
        <f t="shared" si="596"/>
        <v>27340</v>
      </c>
      <c r="B15868" s="1" t="str">
        <f>"28518"</f>
        <v>28518</v>
      </c>
      <c r="C15868" s="2">
        <v>8.7367841290754492E-3</v>
      </c>
      <c r="D15868" s="2">
        <v>6.9408294291167696E-4</v>
      </c>
      <c r="E15868" s="2">
        <v>2.82326369282891E-3</v>
      </c>
      <c r="F15868" s="2">
        <v>8.1692982193326703E-3</v>
      </c>
    </row>
    <row r="15869" spans="1:6" x14ac:dyDescent="0.25">
      <c r="A15869" s="1" t="str">
        <f t="shared" si="596"/>
        <v>27340</v>
      </c>
      <c r="B15869" s="1" t="str">
        <f>"28547"</f>
        <v>28547</v>
      </c>
      <c r="C15869" s="2">
        <v>2.4828018186334299E-2</v>
      </c>
      <c r="D15869" s="2">
        <v>1.21464515009543E-2</v>
      </c>
      <c r="E15869" s="2">
        <v>2.2586109542631198E-3</v>
      </c>
      <c r="F15869" s="2">
        <v>2.36989543697755E-2</v>
      </c>
    </row>
    <row r="15870" spans="1:6" x14ac:dyDescent="0.25">
      <c r="A15870" s="1" t="str">
        <f t="shared" si="596"/>
        <v>27340</v>
      </c>
      <c r="B15870" s="1" t="str">
        <f>"28540"</f>
        <v>28540</v>
      </c>
      <c r="C15870" s="2">
        <v>0.25847489659492201</v>
      </c>
      <c r="D15870" s="2">
        <v>0.317369425646364</v>
      </c>
      <c r="E15870" s="2">
        <v>0.29361942405420599</v>
      </c>
      <c r="F15870" s="2">
        <v>0.26248614315246999</v>
      </c>
    </row>
    <row r="15871" spans="1:6" x14ac:dyDescent="0.25">
      <c r="A15871" s="1" t="str">
        <f t="shared" si="596"/>
        <v>27340</v>
      </c>
      <c r="B15871" s="1" t="str">
        <f>"28574"</f>
        <v>28574</v>
      </c>
      <c r="C15871" s="2">
        <v>8.4678769290581699E-2</v>
      </c>
      <c r="D15871" s="2">
        <v>3.5571750824223397E-2</v>
      </c>
      <c r="E15871" s="2">
        <v>6.2111801242236003E-2</v>
      </c>
      <c r="F15871" s="2">
        <v>8.1453296182001506E-2</v>
      </c>
    </row>
    <row r="15872" spans="1:6" x14ac:dyDescent="0.25">
      <c r="A15872" s="1" t="str">
        <f t="shared" si="596"/>
        <v>27340</v>
      </c>
      <c r="B15872" s="1" t="str">
        <f>"28582"</f>
        <v>28582</v>
      </c>
      <c r="C15872" s="2">
        <v>4.9785630204002198E-3</v>
      </c>
      <c r="D15872" s="2">
        <v>1.73520735727919E-4</v>
      </c>
      <c r="E15872" s="2">
        <v>4.51722190852625E-3</v>
      </c>
      <c r="F15872" s="2">
        <v>4.6938510551177903E-3</v>
      </c>
    </row>
    <row r="15873" spans="1:6" x14ac:dyDescent="0.25">
      <c r="A15873" s="1" t="str">
        <f t="shared" si="596"/>
        <v>27340</v>
      </c>
      <c r="B15873" s="1" t="str">
        <f>"28521"</f>
        <v>28521</v>
      </c>
      <c r="C15873" s="2">
        <v>1.02595116472455E-3</v>
      </c>
      <c r="D15873" s="2">
        <v>3.4704147145583799E-4</v>
      </c>
      <c r="E15873" s="2">
        <v>0</v>
      </c>
      <c r="F15873" s="2">
        <v>9.6873096243920397E-4</v>
      </c>
    </row>
    <row r="15874" spans="1:6" x14ac:dyDescent="0.25">
      <c r="A15874" s="1" t="str">
        <f t="shared" si="596"/>
        <v>27340</v>
      </c>
      <c r="B15874" s="1" t="str">
        <f>"28543"</f>
        <v>28543</v>
      </c>
      <c r="C15874" s="2">
        <v>2.1231789366826102E-2</v>
      </c>
      <c r="D15874" s="2">
        <v>4.68505986465382E-3</v>
      </c>
      <c r="E15874" s="2">
        <v>0</v>
      </c>
      <c r="F15874" s="2">
        <v>1.9903925857127101E-2</v>
      </c>
    </row>
    <row r="15875" spans="1:6" x14ac:dyDescent="0.25">
      <c r="A15875" s="1" t="str">
        <f t="shared" si="596"/>
        <v>27340</v>
      </c>
      <c r="B15875" s="1" t="str">
        <f>"28544"</f>
        <v>28544</v>
      </c>
      <c r="C15875" s="2">
        <v>3.4666349881745599E-2</v>
      </c>
      <c r="D15875" s="2">
        <v>1.8913760194343199E-2</v>
      </c>
      <c r="E15875" s="2">
        <v>4.9689440993788803E-2</v>
      </c>
      <c r="F15875" s="2">
        <v>3.4025426691034699E-2</v>
      </c>
    </row>
    <row r="15876" spans="1:6" x14ac:dyDescent="0.25">
      <c r="A15876" s="1" t="str">
        <f t="shared" si="596"/>
        <v>27340</v>
      </c>
      <c r="B15876" s="1" t="str">
        <f>"28545"</f>
        <v>28545</v>
      </c>
      <c r="C15876" s="2">
        <v>0</v>
      </c>
      <c r="D15876" s="2">
        <v>1.7525594308519798E-2</v>
      </c>
      <c r="E15876" s="2">
        <v>5.6465273856578201E-4</v>
      </c>
      <c r="F15876" s="2">
        <v>1.01866554813194E-3</v>
      </c>
    </row>
    <row r="15877" spans="1:6" x14ac:dyDescent="0.25">
      <c r="A15877" s="1" t="str">
        <f t="shared" ref="A15877:A15888" si="597">"27380"</f>
        <v>27380</v>
      </c>
      <c r="B15877" s="1" t="str">
        <f>"75766"</f>
        <v>75766</v>
      </c>
      <c r="C15877" s="2">
        <v>0.54933826024659704</v>
      </c>
      <c r="D15877" s="2">
        <v>0.69909208819714597</v>
      </c>
      <c r="E15877" s="2">
        <v>7.1877454831107607E-2</v>
      </c>
      <c r="F15877" s="2">
        <v>0.51716815315756803</v>
      </c>
    </row>
    <row r="15878" spans="1:6" x14ac:dyDescent="0.25">
      <c r="A15878" s="1" t="str">
        <f t="shared" si="597"/>
        <v>27380</v>
      </c>
      <c r="B15878" s="1" t="str">
        <f>"75757"</f>
        <v>75757</v>
      </c>
      <c r="C15878" s="2">
        <v>0.13076429998868799</v>
      </c>
      <c r="D15878" s="2">
        <v>4.1504539559014203E-2</v>
      </c>
      <c r="E15878" s="2">
        <v>7.4626865671641703E-3</v>
      </c>
      <c r="F15878" s="2">
        <v>0.116011630566173</v>
      </c>
    </row>
    <row r="15879" spans="1:6" x14ac:dyDescent="0.25">
      <c r="A15879" s="1" t="str">
        <f t="shared" si="597"/>
        <v>27380</v>
      </c>
      <c r="B15879" s="1" t="str">
        <f>"75969"</f>
        <v>75969</v>
      </c>
      <c r="C15879" s="2">
        <v>9.8035519022661205E-4</v>
      </c>
      <c r="D15879" s="2">
        <v>0</v>
      </c>
      <c r="E15879" s="2">
        <v>0</v>
      </c>
      <c r="F15879" s="2">
        <v>8.4942337221078701E-4</v>
      </c>
    </row>
    <row r="15880" spans="1:6" x14ac:dyDescent="0.25">
      <c r="A15880" s="1" t="str">
        <f t="shared" si="597"/>
        <v>27380</v>
      </c>
      <c r="B15880" s="1" t="str">
        <f>"75789"</f>
        <v>75789</v>
      </c>
      <c r="C15880" s="2">
        <v>7.5788997398288094E-2</v>
      </c>
      <c r="D15880" s="2">
        <v>1.29701686121919E-2</v>
      </c>
      <c r="E15880" s="2">
        <v>7.8554595443833405E-4</v>
      </c>
      <c r="F15880" s="2">
        <v>6.6385703551243E-2</v>
      </c>
    </row>
    <row r="15881" spans="1:6" x14ac:dyDescent="0.25">
      <c r="A15881" s="1" t="str">
        <f t="shared" si="597"/>
        <v>27380</v>
      </c>
      <c r="B15881" s="1" t="str">
        <f>"75772"</f>
        <v>75772</v>
      </c>
      <c r="C15881" s="2">
        <v>0</v>
      </c>
      <c r="D15881" s="2">
        <v>6.4850843060959703E-4</v>
      </c>
      <c r="E15881" s="2">
        <v>0</v>
      </c>
      <c r="F15881" s="2">
        <v>3.2670129700414902E-5</v>
      </c>
    </row>
    <row r="15882" spans="1:6" x14ac:dyDescent="0.25">
      <c r="A15882" s="1" t="str">
        <f t="shared" si="597"/>
        <v>27380</v>
      </c>
      <c r="B15882" s="1" t="str">
        <f>"75759"</f>
        <v>75759</v>
      </c>
      <c r="C15882" s="2">
        <v>1.1311790656460899E-4</v>
      </c>
      <c r="D15882" s="2">
        <v>6.4850843060959703E-4</v>
      </c>
      <c r="E15882" s="2">
        <v>0</v>
      </c>
      <c r="F15882" s="2">
        <v>1.3068051880165901E-4</v>
      </c>
    </row>
    <row r="15883" spans="1:6" x14ac:dyDescent="0.25">
      <c r="A15883" s="1" t="str">
        <f t="shared" si="597"/>
        <v>27380</v>
      </c>
      <c r="B15883" s="1" t="str">
        <f>"75925"</f>
        <v>75925</v>
      </c>
      <c r="C15883" s="2">
        <v>8.1256362882244207E-2</v>
      </c>
      <c r="D15883" s="2">
        <v>4.2801556420233401E-2</v>
      </c>
      <c r="E15883" s="2">
        <v>4.7132757266300004E-3</v>
      </c>
      <c r="F15883" s="2">
        <v>7.2952399621026398E-2</v>
      </c>
    </row>
    <row r="15884" spans="1:6" x14ac:dyDescent="0.25">
      <c r="A15884" s="1" t="str">
        <f t="shared" si="597"/>
        <v>27380</v>
      </c>
      <c r="B15884" s="1" t="str">
        <f>"75784"</f>
        <v>75784</v>
      </c>
      <c r="C15884" s="2">
        <v>4.03453866747106E-3</v>
      </c>
      <c r="D15884" s="2">
        <v>0</v>
      </c>
      <c r="E15884" s="2">
        <v>3.9277297721916702E-4</v>
      </c>
      <c r="F15884" s="2">
        <v>3.5283740076448101E-3</v>
      </c>
    </row>
    <row r="15885" spans="1:6" x14ac:dyDescent="0.25">
      <c r="A15885" s="1" t="str">
        <f t="shared" si="597"/>
        <v>27380</v>
      </c>
      <c r="B15885" s="1" t="str">
        <f>"75976"</f>
        <v>75976</v>
      </c>
      <c r="C15885" s="2">
        <v>1.6967685984691299E-3</v>
      </c>
      <c r="D15885" s="2">
        <v>1.2970168612191899E-3</v>
      </c>
      <c r="E15885" s="2">
        <v>0</v>
      </c>
      <c r="F15885" s="2">
        <v>1.5354960959194999E-3</v>
      </c>
    </row>
    <row r="15886" spans="1:6" x14ac:dyDescent="0.25">
      <c r="A15886" s="1" t="str">
        <f t="shared" si="597"/>
        <v>27380</v>
      </c>
      <c r="B15886" s="1" t="str">
        <f>"75764"</f>
        <v>75764</v>
      </c>
      <c r="C15886" s="2">
        <v>0</v>
      </c>
      <c r="D15886" s="2">
        <v>6.4850843060959703E-4</v>
      </c>
      <c r="E15886" s="2">
        <v>0</v>
      </c>
      <c r="F15886" s="2">
        <v>3.2670129700414902E-5</v>
      </c>
    </row>
    <row r="15887" spans="1:6" x14ac:dyDescent="0.25">
      <c r="A15887" s="1" t="str">
        <f t="shared" si="597"/>
        <v>27380</v>
      </c>
      <c r="B15887" s="1" t="str">
        <f>"75780"</f>
        <v>75780</v>
      </c>
      <c r="C15887" s="2">
        <v>0</v>
      </c>
      <c r="D15887" s="2">
        <v>0</v>
      </c>
      <c r="E15887" s="2">
        <v>3.9277297721916702E-4</v>
      </c>
      <c r="F15887" s="2">
        <v>3.2670129700414902E-5</v>
      </c>
    </row>
    <row r="15888" spans="1:6" x14ac:dyDescent="0.25">
      <c r="A15888" s="1" t="str">
        <f t="shared" si="597"/>
        <v>27380</v>
      </c>
      <c r="B15888" s="1" t="str">
        <f>"75785"</f>
        <v>75785</v>
      </c>
      <c r="C15888" s="2">
        <v>0.15602729912145</v>
      </c>
      <c r="D15888" s="2">
        <v>0.20038910505836499</v>
      </c>
      <c r="E15888" s="2">
        <v>0.91437549096622095</v>
      </c>
      <c r="F15888" s="2">
        <v>0.221340128720311</v>
      </c>
    </row>
    <row r="15889" spans="1:6" x14ac:dyDescent="0.25">
      <c r="A15889" s="1" t="str">
        <f t="shared" ref="A15889:A15909" si="598">"27420"</f>
        <v>27420</v>
      </c>
      <c r="B15889" s="1" t="str">
        <f>"58466"</f>
        <v>58466</v>
      </c>
      <c r="C15889" s="2">
        <v>1.6973606042603701E-4</v>
      </c>
      <c r="D15889" s="2">
        <v>0</v>
      </c>
      <c r="E15889" s="2">
        <v>0</v>
      </c>
      <c r="F15889" s="2">
        <v>1.2818047811318301E-4</v>
      </c>
    </row>
    <row r="15890" spans="1:6" x14ac:dyDescent="0.25">
      <c r="A15890" s="1" t="str">
        <f t="shared" si="598"/>
        <v>27420</v>
      </c>
      <c r="B15890" s="1" t="str">
        <f>"58405"</f>
        <v>58405</v>
      </c>
      <c r="C15890" s="2">
        <v>0</v>
      </c>
      <c r="D15890" s="2">
        <v>0.58168877385959195</v>
      </c>
      <c r="E15890" s="2">
        <v>0</v>
      </c>
      <c r="F15890" s="2">
        <v>0.11523424982375099</v>
      </c>
    </row>
    <row r="15891" spans="1:6" x14ac:dyDescent="0.25">
      <c r="A15891" s="1" t="str">
        <f t="shared" si="598"/>
        <v>27420</v>
      </c>
      <c r="B15891" s="1" t="str">
        <f>"58497"</f>
        <v>58497</v>
      </c>
      <c r="C15891" s="2">
        <v>1.27302045319528E-2</v>
      </c>
      <c r="D15891" s="2">
        <v>3.2351989647363299E-4</v>
      </c>
      <c r="E15891" s="2">
        <v>4.1152263374485496E-3</v>
      </c>
      <c r="F15891" s="2">
        <v>9.8698968147151091E-3</v>
      </c>
    </row>
    <row r="15892" spans="1:6" x14ac:dyDescent="0.25">
      <c r="A15892" s="1" t="str">
        <f t="shared" si="598"/>
        <v>27420</v>
      </c>
      <c r="B15892" s="1" t="str">
        <f>"58483"</f>
        <v>58483</v>
      </c>
      <c r="C15892" s="2">
        <v>1.2220996350674701E-2</v>
      </c>
      <c r="D15892" s="2">
        <v>4.2057586541572297E-3</v>
      </c>
      <c r="E15892" s="2">
        <v>9.6021947873799699E-3</v>
      </c>
      <c r="F15892" s="2">
        <v>1.0510799205281E-2</v>
      </c>
    </row>
    <row r="15893" spans="1:6" x14ac:dyDescent="0.25">
      <c r="A15893" s="1" t="str">
        <f t="shared" si="598"/>
        <v>27420</v>
      </c>
      <c r="B15893" s="1" t="str">
        <f>"58455"</f>
        <v>58455</v>
      </c>
      <c r="C15893" s="2">
        <v>1.0608503776627301E-2</v>
      </c>
      <c r="D15893" s="2">
        <v>3.2351989647363299E-4</v>
      </c>
      <c r="E15893" s="2">
        <v>6.8587105624142598E-3</v>
      </c>
      <c r="F15893" s="2">
        <v>8.3958213164135095E-3</v>
      </c>
    </row>
    <row r="15894" spans="1:6" x14ac:dyDescent="0.25">
      <c r="A15894" s="1" t="str">
        <f t="shared" si="598"/>
        <v>27420</v>
      </c>
      <c r="B15894" s="1" t="str">
        <f>"58472"</f>
        <v>58472</v>
      </c>
      <c r="C15894" s="2">
        <v>9.5900874140711096E-3</v>
      </c>
      <c r="D15894" s="2">
        <v>6.4703979294726598E-4</v>
      </c>
      <c r="E15894" s="2">
        <v>5.4869684499314099E-3</v>
      </c>
      <c r="F15894" s="2">
        <v>7.6267384477344104E-3</v>
      </c>
    </row>
    <row r="15895" spans="1:6" x14ac:dyDescent="0.25">
      <c r="A15895" s="1" t="str">
        <f t="shared" si="598"/>
        <v>27420</v>
      </c>
      <c r="B15895" s="1" t="str">
        <f>"58492"</f>
        <v>58492</v>
      </c>
      <c r="C15895" s="2">
        <v>1.86709666468641E-3</v>
      </c>
      <c r="D15895" s="2">
        <v>3.2351989647363299E-4</v>
      </c>
      <c r="E15895" s="2">
        <v>0</v>
      </c>
      <c r="F15895" s="2">
        <v>1.4740754983016001E-3</v>
      </c>
    </row>
    <row r="15896" spans="1:6" x14ac:dyDescent="0.25">
      <c r="A15896" s="1" t="str">
        <f t="shared" si="598"/>
        <v>27420</v>
      </c>
      <c r="B15896" s="1" t="str">
        <f>"58426"</f>
        <v>58426</v>
      </c>
      <c r="C15896" s="2">
        <v>9.1657472630060199E-3</v>
      </c>
      <c r="D15896" s="2">
        <v>3.2351989647363302E-3</v>
      </c>
      <c r="E15896" s="2">
        <v>1.3717421124828501E-3</v>
      </c>
      <c r="F15896" s="2">
        <v>7.6267384477344104E-3</v>
      </c>
    </row>
    <row r="15897" spans="1:6" x14ac:dyDescent="0.25">
      <c r="A15897" s="1" t="str">
        <f t="shared" si="598"/>
        <v>27420</v>
      </c>
      <c r="B15897" s="1" t="str">
        <f>"58424"</f>
        <v>58424</v>
      </c>
      <c r="C15897" s="2">
        <v>1.30696766528048E-2</v>
      </c>
      <c r="D15897" s="2">
        <v>2.58815917178906E-3</v>
      </c>
      <c r="E15897" s="2">
        <v>1.3717421124828501E-3</v>
      </c>
      <c r="F15897" s="2">
        <v>1.04467089662244E-2</v>
      </c>
    </row>
    <row r="15898" spans="1:6" x14ac:dyDescent="0.25">
      <c r="A15898" s="1" t="str">
        <f t="shared" si="598"/>
        <v>27420</v>
      </c>
      <c r="B15898" s="1" t="str">
        <f>"58442"</f>
        <v>58442</v>
      </c>
      <c r="C15898" s="2">
        <v>2.7157769668165999E-3</v>
      </c>
      <c r="D15898" s="2">
        <v>3.2351989647363299E-4</v>
      </c>
      <c r="E15898" s="2">
        <v>0</v>
      </c>
      <c r="F15898" s="2">
        <v>2.11497788886752E-3</v>
      </c>
    </row>
    <row r="15899" spans="1:6" x14ac:dyDescent="0.25">
      <c r="A15899" s="1" t="str">
        <f t="shared" si="598"/>
        <v>27420</v>
      </c>
      <c r="B15899" s="1" t="str">
        <f>"58486"</f>
        <v>58486</v>
      </c>
      <c r="C15899" s="2">
        <v>1.1881524229822599E-3</v>
      </c>
      <c r="D15899" s="2">
        <v>3.2351989647363299E-4</v>
      </c>
      <c r="E15899" s="2">
        <v>0</v>
      </c>
      <c r="F15899" s="2">
        <v>9.6135358584887502E-4</v>
      </c>
    </row>
    <row r="15900" spans="1:6" x14ac:dyDescent="0.25">
      <c r="A15900" s="1" t="str">
        <f t="shared" si="598"/>
        <v>27420</v>
      </c>
      <c r="B15900" s="1" t="str">
        <f>"58454"</f>
        <v>58454</v>
      </c>
      <c r="C15900" s="2">
        <v>2.9703810574556498E-3</v>
      </c>
      <c r="D15900" s="2">
        <v>6.4703979294726598E-4</v>
      </c>
      <c r="E15900" s="2">
        <v>0</v>
      </c>
      <c r="F15900" s="2">
        <v>2.37133884509389E-3</v>
      </c>
    </row>
    <row r="15901" spans="1:6" x14ac:dyDescent="0.25">
      <c r="A15901" s="1" t="str">
        <f t="shared" si="598"/>
        <v>27420</v>
      </c>
      <c r="B15901" s="1" t="str">
        <f>"58421"</f>
        <v>58421</v>
      </c>
      <c r="C15901" s="2">
        <v>2.0368327251124498E-3</v>
      </c>
      <c r="D15901" s="2">
        <v>3.2351989647363299E-4</v>
      </c>
      <c r="E15901" s="2">
        <v>0</v>
      </c>
      <c r="F15901" s="2">
        <v>1.6022559764147901E-3</v>
      </c>
    </row>
    <row r="15902" spans="1:6" x14ac:dyDescent="0.25">
      <c r="A15902" s="1" t="str">
        <f t="shared" si="598"/>
        <v>27420</v>
      </c>
      <c r="B15902" s="1" t="str">
        <f>"58476"</f>
        <v>58476</v>
      </c>
      <c r="C15902" s="2">
        <v>1.4003224985148E-2</v>
      </c>
      <c r="D15902" s="2">
        <v>3.5587188612099599E-3</v>
      </c>
      <c r="E15902" s="2">
        <v>2.7434842249657002E-3</v>
      </c>
      <c r="F15902" s="2">
        <v>1.14080625520733E-2</v>
      </c>
    </row>
    <row r="15903" spans="1:6" x14ac:dyDescent="0.25">
      <c r="A15903" s="1" t="str">
        <f t="shared" si="598"/>
        <v>27420</v>
      </c>
      <c r="B15903" s="1" t="str">
        <f>"58420"</f>
        <v>58420</v>
      </c>
      <c r="C15903" s="2">
        <v>1.1287448018331399E-2</v>
      </c>
      <c r="D15903" s="2">
        <v>0</v>
      </c>
      <c r="E15903" s="2">
        <v>2.7434842249657002E-3</v>
      </c>
      <c r="F15903" s="2">
        <v>8.6521822726398703E-3</v>
      </c>
    </row>
    <row r="15904" spans="1:6" x14ac:dyDescent="0.25">
      <c r="A15904" s="1" t="str">
        <f t="shared" si="598"/>
        <v>27420</v>
      </c>
      <c r="B15904" s="1" t="str">
        <f>"58467"</f>
        <v>58467</v>
      </c>
      <c r="C15904" s="2">
        <v>2.7072901637952899E-2</v>
      </c>
      <c r="D15904" s="2">
        <v>2.2646392753154299E-3</v>
      </c>
      <c r="E15904" s="2">
        <v>6.8587105624142598E-3</v>
      </c>
      <c r="F15904" s="2">
        <v>2.1213869127731801E-2</v>
      </c>
    </row>
    <row r="15905" spans="1:6" x14ac:dyDescent="0.25">
      <c r="A15905" s="1" t="str">
        <f t="shared" si="598"/>
        <v>27420</v>
      </c>
      <c r="B15905" s="1" t="str">
        <f>"58401"</f>
        <v>58401</v>
      </c>
      <c r="C15905" s="2">
        <v>0.75846558601374803</v>
      </c>
      <c r="D15905" s="2">
        <v>0.28663862827563802</v>
      </c>
      <c r="E15905" s="2">
        <v>0.93964334705075403</v>
      </c>
      <c r="F15905" s="2">
        <v>0.67346023200666505</v>
      </c>
    </row>
    <row r="15906" spans="1:6" x14ac:dyDescent="0.25">
      <c r="A15906" s="1" t="str">
        <f t="shared" si="598"/>
        <v>27420</v>
      </c>
      <c r="B15906" s="1" t="str">
        <f>"58481"</f>
        <v>58481</v>
      </c>
      <c r="C15906" s="2">
        <v>3.7341933293728201E-3</v>
      </c>
      <c r="D15906" s="2">
        <v>0</v>
      </c>
      <c r="E15906" s="2">
        <v>8.2304526748971096E-3</v>
      </c>
      <c r="F15906" s="2">
        <v>3.2045119528295802E-3</v>
      </c>
    </row>
    <row r="15907" spans="1:6" x14ac:dyDescent="0.25">
      <c r="A15907" s="1" t="str">
        <f t="shared" si="598"/>
        <v>27420</v>
      </c>
      <c r="B15907" s="1" t="str">
        <f>"58475"</f>
        <v>58475</v>
      </c>
      <c r="C15907" s="2">
        <v>5.0920818127811202E-4</v>
      </c>
      <c r="D15907" s="2">
        <v>0</v>
      </c>
      <c r="E15907" s="2">
        <v>1.3717421124828501E-3</v>
      </c>
      <c r="F15907" s="2">
        <v>4.4863167339614099E-4</v>
      </c>
    </row>
    <row r="15908" spans="1:6" x14ac:dyDescent="0.25">
      <c r="A15908" s="1" t="str">
        <f t="shared" si="598"/>
        <v>27420</v>
      </c>
      <c r="B15908" s="1" t="str">
        <f>"58402"</f>
        <v>58402</v>
      </c>
      <c r="C15908" s="2">
        <v>9.4542985657302805E-2</v>
      </c>
      <c r="D15908" s="2">
        <v>0.111290844386929</v>
      </c>
      <c r="E15908" s="2">
        <v>2.7434842249657002E-3</v>
      </c>
      <c r="F15908" s="2">
        <v>9.3571749022623801E-2</v>
      </c>
    </row>
    <row r="15909" spans="1:6" x14ac:dyDescent="0.25">
      <c r="A15909" s="1" t="str">
        <f t="shared" si="598"/>
        <v>27420</v>
      </c>
      <c r="B15909" s="1" t="str">
        <f>"58496"</f>
        <v>58496</v>
      </c>
      <c r="C15909" s="2">
        <v>1.2051260290248601E-2</v>
      </c>
      <c r="D15909" s="2">
        <v>1.29407958589453E-3</v>
      </c>
      <c r="E15909" s="2">
        <v>6.8587105624142598E-3</v>
      </c>
      <c r="F15909" s="2">
        <v>9.6776260975453398E-3</v>
      </c>
    </row>
    <row r="15910" spans="1:6" x14ac:dyDescent="0.25">
      <c r="A15910" s="1" t="str">
        <f t="shared" ref="A15910:A15948" si="599">"27460"</f>
        <v>27460</v>
      </c>
      <c r="B15910" s="1" t="str">
        <f>"14135"</f>
        <v>14135</v>
      </c>
      <c r="C15910" s="2">
        <v>1.0670378102528399E-3</v>
      </c>
      <c r="D15910" s="2">
        <v>0</v>
      </c>
      <c r="E15910" s="2">
        <v>2.8034763106251698E-4</v>
      </c>
      <c r="F15910" s="2">
        <v>9.5604905897456898E-4</v>
      </c>
    </row>
    <row r="15911" spans="1:6" x14ac:dyDescent="0.25">
      <c r="A15911" s="1" t="str">
        <f t="shared" si="599"/>
        <v>27460</v>
      </c>
      <c r="B15911" s="1" t="str">
        <f>"14716"</f>
        <v>14716</v>
      </c>
      <c r="C15911" s="2">
        <v>1.4953993659630399E-2</v>
      </c>
      <c r="D15911" s="2">
        <v>5.8162855996790998E-3</v>
      </c>
      <c r="E15911" s="2">
        <v>1.17746005046257E-2</v>
      </c>
      <c r="F15911" s="2">
        <v>1.41768417602228E-2</v>
      </c>
    </row>
    <row r="15912" spans="1:6" x14ac:dyDescent="0.25">
      <c r="A15912" s="1" t="str">
        <f t="shared" si="599"/>
        <v>27460</v>
      </c>
      <c r="B15912" s="1" t="str">
        <f>"14752"</f>
        <v>14752</v>
      </c>
      <c r="C15912" s="2">
        <v>2.0258254078713298E-3</v>
      </c>
      <c r="D15912" s="2">
        <v>0</v>
      </c>
      <c r="E15912" s="2">
        <v>2.8034763106251698E-4</v>
      </c>
      <c r="F15912" s="2">
        <v>1.8028353683520401E-3</v>
      </c>
    </row>
    <row r="15913" spans="1:6" x14ac:dyDescent="0.25">
      <c r="A15913" s="1" t="str">
        <f t="shared" si="599"/>
        <v>27460</v>
      </c>
      <c r="B15913" s="1" t="str">
        <f>"14738"</f>
        <v>14738</v>
      </c>
      <c r="C15913" s="2">
        <v>2.1247970308513098E-2</v>
      </c>
      <c r="D15913" s="2">
        <v>8.2230244685118307E-3</v>
      </c>
      <c r="E15913" s="2">
        <v>4.4855620970002796E-3</v>
      </c>
      <c r="F15913" s="2">
        <v>1.95443743341801E-2</v>
      </c>
    </row>
    <row r="15914" spans="1:6" x14ac:dyDescent="0.25">
      <c r="A15914" s="1" t="str">
        <f t="shared" si="599"/>
        <v>27460</v>
      </c>
      <c r="B15914" s="1" t="str">
        <f>"14733"</f>
        <v>14733</v>
      </c>
      <c r="C15914" s="2">
        <v>2.8145055284929998E-2</v>
      </c>
      <c r="D15914" s="2">
        <v>5.17448856799037E-2</v>
      </c>
      <c r="E15914" s="2">
        <v>2.88758059994393E-2</v>
      </c>
      <c r="F15914" s="2">
        <v>2.97877571089076E-2</v>
      </c>
    </row>
    <row r="15915" spans="1:6" x14ac:dyDescent="0.25">
      <c r="A15915" s="1" t="str">
        <f t="shared" si="599"/>
        <v>27460</v>
      </c>
      <c r="B15915" s="1" t="str">
        <f>"14782"</f>
        <v>14782</v>
      </c>
      <c r="C15915" s="2">
        <v>1.47684218665429E-2</v>
      </c>
      <c r="D15915" s="2">
        <v>2.60730044123545E-3</v>
      </c>
      <c r="E15915" s="2">
        <v>5.0462573591253104E-3</v>
      </c>
      <c r="F15915" s="2">
        <v>1.34666338878417E-2</v>
      </c>
    </row>
    <row r="15916" spans="1:6" x14ac:dyDescent="0.25">
      <c r="A15916" s="1" t="str">
        <f t="shared" si="599"/>
        <v>27460</v>
      </c>
      <c r="B15916" s="1" t="str">
        <f>"14081"</f>
        <v>14081</v>
      </c>
      <c r="C15916" s="2">
        <v>8.4280522693883798E-3</v>
      </c>
      <c r="D15916" s="2">
        <v>1.1231448054552701E-2</v>
      </c>
      <c r="E15916" s="2">
        <v>2.52312867956265E-3</v>
      </c>
      <c r="F15916" s="2">
        <v>8.3312846567783795E-3</v>
      </c>
    </row>
    <row r="15917" spans="1:6" x14ac:dyDescent="0.25">
      <c r="A15917" s="1" t="str">
        <f t="shared" si="599"/>
        <v>27460</v>
      </c>
      <c r="B15917" s="1" t="str">
        <f>"14775"</f>
        <v>14775</v>
      </c>
      <c r="C15917" s="2">
        <v>1.65932111652362E-2</v>
      </c>
      <c r="D15917" s="2">
        <v>5.0140393100681904E-3</v>
      </c>
      <c r="E15917" s="2">
        <v>3.6445192038127199E-3</v>
      </c>
      <c r="F15917" s="2">
        <v>1.5173864350296299E-2</v>
      </c>
    </row>
    <row r="15918" spans="1:6" x14ac:dyDescent="0.25">
      <c r="A15918" s="1" t="str">
        <f t="shared" si="599"/>
        <v>27460</v>
      </c>
      <c r="B15918" s="1" t="str">
        <f>"14712"</f>
        <v>14712</v>
      </c>
      <c r="C15918" s="2">
        <v>2.8129590968839401E-2</v>
      </c>
      <c r="D15918" s="2">
        <v>6.6185318892900101E-3</v>
      </c>
      <c r="E15918" s="2">
        <v>3.05578917858144E-2</v>
      </c>
      <c r="F15918" s="2">
        <v>2.6783031494987501E-2</v>
      </c>
    </row>
    <row r="15919" spans="1:6" x14ac:dyDescent="0.25">
      <c r="A15919" s="1" t="str">
        <f t="shared" si="599"/>
        <v>27460</v>
      </c>
      <c r="B15919" s="1" t="str">
        <f>"14063"</f>
        <v>14063</v>
      </c>
      <c r="C15919" s="2">
        <v>9.6853011675558598E-2</v>
      </c>
      <c r="D15919" s="2">
        <v>0.110108303249097</v>
      </c>
      <c r="E15919" s="2">
        <v>9.6159237454443505E-2</v>
      </c>
      <c r="F15919" s="2">
        <v>9.7721871670900504E-2</v>
      </c>
    </row>
    <row r="15920" spans="1:6" x14ac:dyDescent="0.25">
      <c r="A15920" s="1" t="str">
        <f t="shared" si="599"/>
        <v>27460</v>
      </c>
      <c r="B15920" s="1" t="str">
        <f>"14701"</f>
        <v>14701</v>
      </c>
      <c r="C15920" s="2">
        <v>0.29642001082502101</v>
      </c>
      <c r="D15920" s="2">
        <v>0.36542318491776898</v>
      </c>
      <c r="E15920" s="2">
        <v>0.436220913933277</v>
      </c>
      <c r="F15920" s="2">
        <v>0.30792974405200901</v>
      </c>
    </row>
    <row r="15921" spans="1:6" x14ac:dyDescent="0.25">
      <c r="A15921" s="1" t="str">
        <f t="shared" si="599"/>
        <v>27460</v>
      </c>
      <c r="B15921" s="1" t="str">
        <f>"14757"</f>
        <v>14757</v>
      </c>
      <c r="C15921" s="2">
        <v>3.1160596922601001E-2</v>
      </c>
      <c r="D15921" s="2">
        <v>2.6875250701965499E-2</v>
      </c>
      <c r="E15921" s="2">
        <v>2.5231286795626501E-2</v>
      </c>
      <c r="F15921" s="2">
        <v>3.05799120434865E-2</v>
      </c>
    </row>
    <row r="15922" spans="1:6" x14ac:dyDescent="0.25">
      <c r="A15922" s="1" t="str">
        <f t="shared" si="599"/>
        <v>27460</v>
      </c>
      <c r="B15922" s="1" t="str">
        <f>"14718"</f>
        <v>14718</v>
      </c>
      <c r="C15922" s="2">
        <v>2.03665042913477E-2</v>
      </c>
      <c r="D15922" s="2">
        <v>1.544324107501E-2</v>
      </c>
      <c r="E15922" s="2">
        <v>8.4104289318755198E-4</v>
      </c>
      <c r="F15922" s="2">
        <v>1.9080007648392398E-2</v>
      </c>
    </row>
    <row r="15923" spans="1:6" x14ac:dyDescent="0.25">
      <c r="A15923" s="1" t="str">
        <f t="shared" si="599"/>
        <v>27460</v>
      </c>
      <c r="B15923" s="1" t="str">
        <f>"14736"</f>
        <v>14736</v>
      </c>
      <c r="C15923" s="2">
        <v>1.71653908605891E-3</v>
      </c>
      <c r="D15923" s="2">
        <v>2.0056157240272701E-3</v>
      </c>
      <c r="E15923" s="2">
        <v>2.8034763106251698E-4</v>
      </c>
      <c r="F15923" s="2">
        <v>1.66625693135567E-3</v>
      </c>
    </row>
    <row r="15924" spans="1:6" x14ac:dyDescent="0.25">
      <c r="A15924" s="1" t="str">
        <f t="shared" si="599"/>
        <v>27460</v>
      </c>
      <c r="B15924" s="1" t="str">
        <f>"14723"</f>
        <v>14723</v>
      </c>
      <c r="C15924" s="2">
        <v>8.4435165854790002E-3</v>
      </c>
      <c r="D15924" s="2">
        <v>1.6044925792218199E-3</v>
      </c>
      <c r="E15924" s="2">
        <v>4.2052144659377603E-3</v>
      </c>
      <c r="F15924" s="2">
        <v>7.7713130650932799E-3</v>
      </c>
    </row>
    <row r="15925" spans="1:6" x14ac:dyDescent="0.25">
      <c r="A15925" s="1" t="str">
        <f t="shared" si="599"/>
        <v>27460</v>
      </c>
      <c r="B15925" s="1" t="str">
        <f>"14702"</f>
        <v>14702</v>
      </c>
      <c r="C15925" s="2">
        <v>1.0407484728987801E-2</v>
      </c>
      <c r="D15925" s="2">
        <v>4.3722422783794603E-2</v>
      </c>
      <c r="E15925" s="2">
        <v>5.6069526212503495E-4</v>
      </c>
      <c r="F15925" s="2">
        <v>1.21964544237755E-2</v>
      </c>
    </row>
    <row r="15926" spans="1:6" x14ac:dyDescent="0.25">
      <c r="A15926" s="1" t="str">
        <f t="shared" si="599"/>
        <v>27460</v>
      </c>
      <c r="B15926" s="1" t="str">
        <f>"14728"</f>
        <v>14728</v>
      </c>
      <c r="C15926" s="2">
        <v>8.5517667981133503E-3</v>
      </c>
      <c r="D15926" s="2">
        <v>2.20617729643E-3</v>
      </c>
      <c r="E15926" s="2">
        <v>2.2427810485001398E-3</v>
      </c>
      <c r="F15926" s="2">
        <v>7.8122865961921901E-3</v>
      </c>
    </row>
    <row r="15927" spans="1:6" x14ac:dyDescent="0.25">
      <c r="A15927" s="1" t="str">
        <f t="shared" si="599"/>
        <v>27460</v>
      </c>
      <c r="B15927" s="1" t="str">
        <f>"14742"</f>
        <v>14742</v>
      </c>
      <c r="C15927" s="2">
        <v>1.22168097115905E-3</v>
      </c>
      <c r="D15927" s="2">
        <v>0</v>
      </c>
      <c r="E15927" s="2">
        <v>2.8034763106251698E-4</v>
      </c>
      <c r="F15927" s="2">
        <v>1.09262749597093E-3</v>
      </c>
    </row>
    <row r="15928" spans="1:6" x14ac:dyDescent="0.25">
      <c r="A15928" s="1" t="str">
        <f t="shared" si="599"/>
        <v>27460</v>
      </c>
      <c r="B15928" s="1" t="str">
        <f>"14787"</f>
        <v>14787</v>
      </c>
      <c r="C15928" s="2">
        <v>3.9557720559808197E-2</v>
      </c>
      <c r="D15928" s="2">
        <v>4.5326915363016397E-2</v>
      </c>
      <c r="E15928" s="2">
        <v>3.3922063358564597E-2</v>
      </c>
      <c r="F15928" s="2">
        <v>3.96760359474446E-2</v>
      </c>
    </row>
    <row r="15929" spans="1:6" x14ac:dyDescent="0.25">
      <c r="A15929" s="1" t="str">
        <f t="shared" si="599"/>
        <v>27460</v>
      </c>
      <c r="B15929" s="1" t="str">
        <f>"14781"</f>
        <v>14781</v>
      </c>
      <c r="C15929" s="2">
        <v>1.17992731771437E-2</v>
      </c>
      <c r="D15929" s="2">
        <v>5.2146008824709104E-3</v>
      </c>
      <c r="E15929" s="2">
        <v>2.1586767591813799E-2</v>
      </c>
      <c r="F15929" s="2">
        <v>1.18276926438853E-2</v>
      </c>
    </row>
    <row r="15930" spans="1:6" x14ac:dyDescent="0.25">
      <c r="A15930" s="1" t="str">
        <f t="shared" si="599"/>
        <v>27460</v>
      </c>
      <c r="B15930" s="1" t="str">
        <f>"14726"</f>
        <v>14726</v>
      </c>
      <c r="C15930" s="2">
        <v>1.6082888734245699E-3</v>
      </c>
      <c r="D15930" s="2">
        <v>8.0224628961090996E-4</v>
      </c>
      <c r="E15930" s="2">
        <v>5.6069526212503495E-4</v>
      </c>
      <c r="F15930" s="2">
        <v>1.50236280696003E-3</v>
      </c>
    </row>
    <row r="15931" spans="1:6" x14ac:dyDescent="0.25">
      <c r="A15931" s="1" t="str">
        <f t="shared" si="599"/>
        <v>27460</v>
      </c>
      <c r="B15931" s="1" t="str">
        <f>"14750"</f>
        <v>14750</v>
      </c>
      <c r="C15931" s="2">
        <v>3.9294827186267603E-2</v>
      </c>
      <c r="D15931" s="2">
        <v>7.7015643802647402E-2</v>
      </c>
      <c r="E15931" s="2">
        <v>3.9809363610877398E-2</v>
      </c>
      <c r="F15931" s="2">
        <v>4.1888606626785702E-2</v>
      </c>
    </row>
    <row r="15932" spans="1:6" x14ac:dyDescent="0.25">
      <c r="A15932" s="1" t="str">
        <f t="shared" si="599"/>
        <v>27460</v>
      </c>
      <c r="B15932" s="1" t="str">
        <f>"14732"</f>
        <v>14732</v>
      </c>
      <c r="C15932" s="2">
        <v>3.5567927008427999E-4</v>
      </c>
      <c r="D15932" s="2">
        <v>0</v>
      </c>
      <c r="E15932" s="2">
        <v>2.8034763106251698E-4</v>
      </c>
      <c r="F15932" s="2">
        <v>3.2778824879127998E-4</v>
      </c>
    </row>
    <row r="15933" spans="1:6" x14ac:dyDescent="0.25">
      <c r="A15933" s="1" t="str">
        <f t="shared" si="599"/>
        <v>27460</v>
      </c>
      <c r="B15933" s="1" t="str">
        <f>"14136"</f>
        <v>14136</v>
      </c>
      <c r="C15933" s="2">
        <v>3.9836078249439397E-2</v>
      </c>
      <c r="D15933" s="2">
        <v>3.10870437224227E-2</v>
      </c>
      <c r="E15933" s="2">
        <v>2.24278104850014E-2</v>
      </c>
      <c r="F15933" s="2">
        <v>3.8392198639678701E-2</v>
      </c>
    </row>
    <row r="15934" spans="1:6" x14ac:dyDescent="0.25">
      <c r="A15934" s="1" t="str">
        <f t="shared" si="599"/>
        <v>27460</v>
      </c>
      <c r="B15934" s="1" t="str">
        <f>"14767"</f>
        <v>14767</v>
      </c>
      <c r="C15934" s="2">
        <v>1.15363798036031E-2</v>
      </c>
      <c r="D15934" s="2">
        <v>2.8078620136381799E-3</v>
      </c>
      <c r="E15934" s="2">
        <v>7.2890384076254502E-3</v>
      </c>
      <c r="F15934" s="2">
        <v>1.07350651479144E-2</v>
      </c>
    </row>
    <row r="15935" spans="1:6" x14ac:dyDescent="0.25">
      <c r="A15935" s="1" t="str">
        <f t="shared" si="599"/>
        <v>27460</v>
      </c>
      <c r="B15935" s="1" t="str">
        <f>"14062"</f>
        <v>14062</v>
      </c>
      <c r="C15935" s="2">
        <v>2.30263666589345E-2</v>
      </c>
      <c r="D15935" s="2">
        <v>2.0056157240272701E-3</v>
      </c>
      <c r="E15935" s="2">
        <v>4.7659097280627902E-3</v>
      </c>
      <c r="F15935" s="2">
        <v>2.07052910486492E-2</v>
      </c>
    </row>
    <row r="15936" spans="1:6" x14ac:dyDescent="0.25">
      <c r="A15936" s="1" t="str">
        <f t="shared" si="599"/>
        <v>27460</v>
      </c>
      <c r="B15936" s="1" t="str">
        <f>"14720"</f>
        <v>14720</v>
      </c>
      <c r="C15936" s="2">
        <v>0</v>
      </c>
      <c r="D15936" s="2">
        <v>0</v>
      </c>
      <c r="E15936" s="2">
        <v>8.7188113260442901E-2</v>
      </c>
      <c r="F15936" s="2">
        <v>4.2475893905870102E-3</v>
      </c>
    </row>
    <row r="15937" spans="1:6" x14ac:dyDescent="0.25">
      <c r="A15937" s="1" t="str">
        <f t="shared" si="599"/>
        <v>27460</v>
      </c>
      <c r="B15937" s="1" t="str">
        <f>"14138"</f>
        <v>14138</v>
      </c>
      <c r="C15937" s="2">
        <v>3.52586406866156E-3</v>
      </c>
      <c r="D15937" s="2">
        <v>1.8050541516245399E-3</v>
      </c>
      <c r="E15937" s="2">
        <v>0</v>
      </c>
      <c r="F15937" s="2">
        <v>3.23690895681389E-3</v>
      </c>
    </row>
    <row r="15938" spans="1:6" x14ac:dyDescent="0.25">
      <c r="A15938" s="1" t="str">
        <f t="shared" si="599"/>
        <v>27460</v>
      </c>
      <c r="B15938" s="1" t="str">
        <f>"14740"</f>
        <v>14740</v>
      </c>
      <c r="C15938" s="2">
        <v>8.1806232119384491E-3</v>
      </c>
      <c r="D15938" s="2">
        <v>1.20336943441636E-3</v>
      </c>
      <c r="E15938" s="2">
        <v>2.2427810485001398E-3</v>
      </c>
      <c r="F15938" s="2">
        <v>7.4162091289027201E-3</v>
      </c>
    </row>
    <row r="15939" spans="1:6" x14ac:dyDescent="0.25">
      <c r="A15939" s="1" t="str">
        <f t="shared" si="599"/>
        <v>27460</v>
      </c>
      <c r="B15939" s="1" t="str">
        <f>"14785"</f>
        <v>14785</v>
      </c>
      <c r="C15939" s="2">
        <v>6.3403695971545602E-4</v>
      </c>
      <c r="D15939" s="2">
        <v>0</v>
      </c>
      <c r="E15939" s="2">
        <v>2.8034763106251698E-4</v>
      </c>
      <c r="F15939" s="2">
        <v>5.7362943538474104E-4</v>
      </c>
    </row>
    <row r="15940" spans="1:6" x14ac:dyDescent="0.25">
      <c r="A15940" s="1" t="str">
        <f t="shared" si="599"/>
        <v>27460</v>
      </c>
      <c r="B15940" s="1" t="str">
        <f>"14784"</f>
        <v>14784</v>
      </c>
      <c r="C15940" s="2">
        <v>6.7888347637825698E-3</v>
      </c>
      <c r="D15940" s="2">
        <v>8.0224628961090996E-4</v>
      </c>
      <c r="E15940" s="2">
        <v>1.96243341743762E-3</v>
      </c>
      <c r="F15940" s="2">
        <v>6.1460296648365104E-3</v>
      </c>
    </row>
    <row r="15941" spans="1:6" x14ac:dyDescent="0.25">
      <c r="A15941" s="1" t="str">
        <f t="shared" si="599"/>
        <v>27460</v>
      </c>
      <c r="B15941" s="1" t="str">
        <f>"14758"</f>
        <v>14758</v>
      </c>
      <c r="C15941" s="2">
        <v>0</v>
      </c>
      <c r="D15941" s="2">
        <v>0</v>
      </c>
      <c r="E15941" s="2">
        <v>2.8034763106251698E-4</v>
      </c>
      <c r="F15941" s="2">
        <v>1.36578436996367E-5</v>
      </c>
    </row>
    <row r="15942" spans="1:6" x14ac:dyDescent="0.25">
      <c r="A15942" s="1" t="str">
        <f t="shared" si="599"/>
        <v>27460</v>
      </c>
      <c r="B15942" s="1" t="str">
        <f>"14769"</f>
        <v>14769</v>
      </c>
      <c r="C15942" s="2">
        <v>6.2166550684295899E-3</v>
      </c>
      <c r="D15942" s="2">
        <v>1.8050541516245399E-3</v>
      </c>
      <c r="E15942" s="2">
        <v>1.06532099803756E-2</v>
      </c>
      <c r="F15942" s="2">
        <v>6.1323718211368696E-3</v>
      </c>
    </row>
    <row r="15943" spans="1:6" x14ac:dyDescent="0.25">
      <c r="A15943" s="1" t="str">
        <f t="shared" si="599"/>
        <v>27460</v>
      </c>
      <c r="B15943" s="1" t="str">
        <f>"14747"</f>
        <v>14747</v>
      </c>
      <c r="C15943" s="2">
        <v>1.4072527642464999E-2</v>
      </c>
      <c r="D15943" s="2">
        <v>4.2117930204572801E-3</v>
      </c>
      <c r="E15943" s="2">
        <v>2.8034763106251702E-3</v>
      </c>
      <c r="F15943" s="2">
        <v>1.28520309213581E-2</v>
      </c>
    </row>
    <row r="15944" spans="1:6" x14ac:dyDescent="0.25">
      <c r="A15944" s="1" t="str">
        <f t="shared" si="599"/>
        <v>27460</v>
      </c>
      <c r="B15944" s="1" t="str">
        <f>"14710"</f>
        <v>14710</v>
      </c>
      <c r="C15944" s="2">
        <v>3.5536998376246798E-2</v>
      </c>
      <c r="D15944" s="2">
        <v>1.02286401925391E-2</v>
      </c>
      <c r="E15944" s="2">
        <v>4.7659097280627902E-3</v>
      </c>
      <c r="F15944" s="2">
        <v>3.2314458193340397E-2</v>
      </c>
    </row>
    <row r="15945" spans="1:6" x14ac:dyDescent="0.25">
      <c r="A15945" s="1" t="str">
        <f t="shared" si="599"/>
        <v>27460</v>
      </c>
      <c r="B15945" s="1" t="str">
        <f>"14724"</f>
        <v>14724</v>
      </c>
      <c r="C15945" s="2">
        <v>1.5155029768808399E-2</v>
      </c>
      <c r="D15945" s="2">
        <v>6.6185318892900101E-3</v>
      </c>
      <c r="E15945" s="2">
        <v>5.0462573591253104E-3</v>
      </c>
      <c r="F15945" s="2">
        <v>1.4081236854325401E-2</v>
      </c>
    </row>
    <row r="15946" spans="1:6" x14ac:dyDescent="0.25">
      <c r="A15946" s="1" t="str">
        <f t="shared" si="599"/>
        <v>27460</v>
      </c>
      <c r="B15946" s="1" t="str">
        <f>"14722"</f>
        <v>14722</v>
      </c>
      <c r="C15946" s="2">
        <v>1.0840485579525201E-2</v>
      </c>
      <c r="D15946" s="2">
        <v>2.00561572402727E-4</v>
      </c>
      <c r="E15946" s="2">
        <v>1.12139052425007E-2</v>
      </c>
      <c r="F15946" s="2">
        <v>1.0134120025130399E-2</v>
      </c>
    </row>
    <row r="15947" spans="1:6" x14ac:dyDescent="0.25">
      <c r="A15947" s="1" t="str">
        <f t="shared" si="599"/>
        <v>27460</v>
      </c>
      <c r="B15947" s="1" t="str">
        <f>"14166"</f>
        <v>14166</v>
      </c>
      <c r="C15947" s="2">
        <v>1.79386066651202E-3</v>
      </c>
      <c r="D15947" s="2">
        <v>2.00561572402727E-4</v>
      </c>
      <c r="E15947" s="2">
        <v>0</v>
      </c>
      <c r="F15947" s="2">
        <v>1.5979677128574901E-3</v>
      </c>
    </row>
    <row r="15948" spans="1:6" x14ac:dyDescent="0.25">
      <c r="A15948" s="1" t="str">
        <f t="shared" si="599"/>
        <v>27460</v>
      </c>
      <c r="B15948" s="1" t="str">
        <f>"14048"</f>
        <v>14048</v>
      </c>
      <c r="C15948" s="2">
        <v>0.119740199489677</v>
      </c>
      <c r="D15948" s="2">
        <v>0.15002005615724001</v>
      </c>
      <c r="E15948" s="2">
        <v>8.9430894308942993E-2</v>
      </c>
      <c r="F15948" s="2">
        <v>0.12032560299379901</v>
      </c>
    </row>
    <row r="15949" spans="1:6" x14ac:dyDescent="0.25">
      <c r="A15949" s="1" t="str">
        <f t="shared" ref="A15949:A15970" si="600">"27500"</f>
        <v>27500</v>
      </c>
      <c r="B15949" s="1" t="str">
        <f>"53537"</f>
        <v>53537</v>
      </c>
      <c r="C15949" s="2">
        <v>3.1685161009573498E-3</v>
      </c>
      <c r="D15949" s="2">
        <v>0</v>
      </c>
      <c r="E15949" s="2">
        <v>1.2931034482758601E-3</v>
      </c>
      <c r="F15949" s="2">
        <v>2.8851561162864599E-3</v>
      </c>
    </row>
    <row r="15950" spans="1:6" x14ac:dyDescent="0.25">
      <c r="A15950" s="1" t="str">
        <f t="shared" si="600"/>
        <v>27500</v>
      </c>
      <c r="B15950" s="1" t="str">
        <f>"53511"</f>
        <v>53511</v>
      </c>
      <c r="C15950" s="2">
        <v>0.28119560487380302</v>
      </c>
      <c r="D15950" s="2">
        <v>0.23157186132615201</v>
      </c>
      <c r="E15950" s="2">
        <v>0.22672413793103399</v>
      </c>
      <c r="F15950" s="2">
        <v>0.27604586909215301</v>
      </c>
    </row>
    <row r="15951" spans="1:6" x14ac:dyDescent="0.25">
      <c r="A15951" s="1" t="str">
        <f t="shared" si="600"/>
        <v>27500</v>
      </c>
      <c r="B15951" s="1" t="str">
        <f>"53521"</f>
        <v>53521</v>
      </c>
      <c r="C15951" s="2">
        <v>1.76784160139251E-3</v>
      </c>
      <c r="D15951" s="2">
        <v>0</v>
      </c>
      <c r="E15951" s="2">
        <v>1.7241379310344799E-3</v>
      </c>
      <c r="F15951" s="2">
        <v>1.63818186263722E-3</v>
      </c>
    </row>
    <row r="15952" spans="1:6" x14ac:dyDescent="0.25">
      <c r="A15952" s="1" t="str">
        <f t="shared" si="600"/>
        <v>27500</v>
      </c>
      <c r="B15952" s="1" t="str">
        <f>"53585"</f>
        <v>53585</v>
      </c>
      <c r="C15952" s="2">
        <v>1.6318537859007801E-4</v>
      </c>
      <c r="D15952" s="2">
        <v>0</v>
      </c>
      <c r="E15952" s="2">
        <v>0</v>
      </c>
      <c r="F15952" s="2">
        <v>1.4670285337049801E-4</v>
      </c>
    </row>
    <row r="15953" spans="1:6" x14ac:dyDescent="0.25">
      <c r="A15953" s="1" t="str">
        <f t="shared" si="600"/>
        <v>27500</v>
      </c>
      <c r="B15953" s="1" t="str">
        <f>"53545"</f>
        <v>53545</v>
      </c>
      <c r="C15953" s="2">
        <v>0.14459584421235799</v>
      </c>
      <c r="D15953" s="2">
        <v>0.227196230225513</v>
      </c>
      <c r="E15953" s="2">
        <v>0.25301724137930998</v>
      </c>
      <c r="F15953" s="2">
        <v>0.153671238905596</v>
      </c>
    </row>
    <row r="15954" spans="1:6" x14ac:dyDescent="0.25">
      <c r="A15954" s="1" t="str">
        <f t="shared" si="600"/>
        <v>27500</v>
      </c>
      <c r="B15954" s="1" t="str">
        <f>"53534"</f>
        <v>53534</v>
      </c>
      <c r="C15954" s="2">
        <v>6.9000217580504702E-2</v>
      </c>
      <c r="D15954" s="2">
        <v>4.3251430494782903E-2</v>
      </c>
      <c r="E15954" s="2">
        <v>6.1206896551724101E-2</v>
      </c>
      <c r="F15954" s="2">
        <v>6.6908726374727903E-2</v>
      </c>
    </row>
    <row r="15955" spans="1:6" x14ac:dyDescent="0.25">
      <c r="A15955" s="1" t="str">
        <f t="shared" si="600"/>
        <v>27500</v>
      </c>
      <c r="B15955" s="1" t="str">
        <f>"53501"</f>
        <v>53501</v>
      </c>
      <c r="C15955" s="2">
        <v>9.3831592689294998E-4</v>
      </c>
      <c r="D15955" s="2">
        <v>0</v>
      </c>
      <c r="E15955" s="2">
        <v>4.3103448275861998E-4</v>
      </c>
      <c r="F15955" s="2">
        <v>8.5576664466123801E-4</v>
      </c>
    </row>
    <row r="15956" spans="1:6" x14ac:dyDescent="0.25">
      <c r="A15956" s="1" t="str">
        <f t="shared" si="600"/>
        <v>27500</v>
      </c>
      <c r="B15956" s="1" t="str">
        <f>"53512"</f>
        <v>53512</v>
      </c>
      <c r="C15956" s="2">
        <v>9.1111836379460399E-3</v>
      </c>
      <c r="D15956" s="2">
        <v>3.8202625378660302E-2</v>
      </c>
      <c r="E15956" s="2">
        <v>8.6206896551724104E-4</v>
      </c>
      <c r="F15956" s="2">
        <v>1.09904887650064E-2</v>
      </c>
    </row>
    <row r="15957" spans="1:6" x14ac:dyDescent="0.25">
      <c r="A15957" s="1" t="str">
        <f t="shared" si="600"/>
        <v>27500</v>
      </c>
      <c r="B15957" s="1" t="str">
        <f>"53563"</f>
        <v>53563</v>
      </c>
      <c r="C15957" s="2">
        <v>6.8429068755439498E-2</v>
      </c>
      <c r="D15957" s="2">
        <v>5.3180747223157097E-2</v>
      </c>
      <c r="E15957" s="2">
        <v>4.6120689655172402E-2</v>
      </c>
      <c r="F15957" s="2">
        <v>6.6688672094672205E-2</v>
      </c>
    </row>
    <row r="15958" spans="1:6" x14ac:dyDescent="0.25">
      <c r="A15958" s="1" t="str">
        <f t="shared" si="600"/>
        <v>27500</v>
      </c>
      <c r="B15958" s="1" t="str">
        <f>"53505"</f>
        <v>53505</v>
      </c>
      <c r="C15958" s="2">
        <v>2.2030026109660498E-3</v>
      </c>
      <c r="D15958" s="2">
        <v>2.3561090541905001E-3</v>
      </c>
      <c r="E15958" s="2">
        <v>1.7241379310344799E-3</v>
      </c>
      <c r="F15958" s="2">
        <v>2.2005428005574699E-3</v>
      </c>
    </row>
    <row r="15959" spans="1:6" x14ac:dyDescent="0.25">
      <c r="A15959" s="1" t="str">
        <f t="shared" si="600"/>
        <v>27500</v>
      </c>
      <c r="B15959" s="1" t="str">
        <f>"53538"</f>
        <v>53538</v>
      </c>
      <c r="C15959" s="2">
        <v>6.6634029590948601E-4</v>
      </c>
      <c r="D15959" s="2">
        <v>0</v>
      </c>
      <c r="E15959" s="2">
        <v>0</v>
      </c>
      <c r="F15959" s="2">
        <v>5.9903665126286704E-4</v>
      </c>
    </row>
    <row r="15960" spans="1:6" x14ac:dyDescent="0.25">
      <c r="A15960" s="1" t="str">
        <f t="shared" si="600"/>
        <v>27500</v>
      </c>
      <c r="B15960" s="1" t="str">
        <f>"53190"</f>
        <v>53190</v>
      </c>
      <c r="C15960" s="2">
        <v>6.5818102697998201E-3</v>
      </c>
      <c r="D15960" s="2">
        <v>1.5146415348367499E-3</v>
      </c>
      <c r="E15960" s="2">
        <v>3.4482758620689598E-3</v>
      </c>
      <c r="F15960" s="2">
        <v>6.1248441282182901E-3</v>
      </c>
    </row>
    <row r="15961" spans="1:6" x14ac:dyDescent="0.25">
      <c r="A15961" s="1" t="str">
        <f t="shared" si="600"/>
        <v>27500</v>
      </c>
      <c r="B15961" s="1" t="str">
        <f>"53547"</f>
        <v>53547</v>
      </c>
      <c r="C15961" s="2">
        <v>1.9840622280243601E-2</v>
      </c>
      <c r="D15961" s="2">
        <v>9.3402894648266496E-2</v>
      </c>
      <c r="E15961" s="2">
        <v>8.6206896551724104E-4</v>
      </c>
      <c r="F15961" s="2">
        <v>2.4646079366243599E-2</v>
      </c>
    </row>
    <row r="15962" spans="1:6" x14ac:dyDescent="0.25">
      <c r="A15962" s="1" t="str">
        <f t="shared" si="600"/>
        <v>27500</v>
      </c>
      <c r="B15962" s="1" t="str">
        <f>"53589"</f>
        <v>53589</v>
      </c>
      <c r="C15962" s="2">
        <v>3.3996953872932902E-4</v>
      </c>
      <c r="D15962" s="2">
        <v>0</v>
      </c>
      <c r="E15962" s="2">
        <v>0</v>
      </c>
      <c r="F15962" s="2">
        <v>3.0563094452186999E-4</v>
      </c>
    </row>
    <row r="15963" spans="1:6" x14ac:dyDescent="0.25">
      <c r="A15963" s="1" t="str">
        <f t="shared" si="600"/>
        <v>27500</v>
      </c>
      <c r="B15963" s="1" t="str">
        <f>"53546"</f>
        <v>53546</v>
      </c>
      <c r="C15963" s="2">
        <v>0.18369234116623101</v>
      </c>
      <c r="D15963" s="2">
        <v>0.137832379670144</v>
      </c>
      <c r="E15963" s="2">
        <v>0.191379310344827</v>
      </c>
      <c r="F15963" s="2">
        <v>0.180578987261302</v>
      </c>
    </row>
    <row r="15964" spans="1:6" x14ac:dyDescent="0.25">
      <c r="A15964" s="1" t="str">
        <f t="shared" si="600"/>
        <v>27500</v>
      </c>
      <c r="B15964" s="1" t="str">
        <f>"53536"</f>
        <v>53536</v>
      </c>
      <c r="C15964" s="2">
        <v>5.2137728459529999E-2</v>
      </c>
      <c r="D15964" s="2">
        <v>4.4261191518007399E-2</v>
      </c>
      <c r="E15964" s="2">
        <v>4.0517241379310301E-2</v>
      </c>
      <c r="F15964" s="2">
        <v>5.1235971539646402E-2</v>
      </c>
    </row>
    <row r="15965" spans="1:6" x14ac:dyDescent="0.25">
      <c r="A15965" s="1" t="str">
        <f t="shared" si="600"/>
        <v>27500</v>
      </c>
      <c r="B15965" s="1" t="str">
        <f>"53576"</f>
        <v>53576</v>
      </c>
      <c r="C15965" s="2">
        <v>1.35171888598781E-2</v>
      </c>
      <c r="D15965" s="2">
        <v>6.7317401548300203E-3</v>
      </c>
      <c r="E15965" s="2">
        <v>6.8965517241379301E-3</v>
      </c>
      <c r="F15965" s="2">
        <v>1.28364996699185E-2</v>
      </c>
    </row>
    <row r="15966" spans="1:6" x14ac:dyDescent="0.25">
      <c r="A15966" s="1" t="str">
        <f t="shared" si="600"/>
        <v>27500</v>
      </c>
      <c r="B15966" s="1" t="str">
        <f>"53548"</f>
        <v>53548</v>
      </c>
      <c r="C15966" s="2">
        <v>0.112135552654482</v>
      </c>
      <c r="D15966" s="2">
        <v>0.10013463480309601</v>
      </c>
      <c r="E15966" s="2">
        <v>0.13448275862068901</v>
      </c>
      <c r="F15966" s="2">
        <v>0.11189760140834699</v>
      </c>
    </row>
    <row r="15967" spans="1:6" x14ac:dyDescent="0.25">
      <c r="A15967" s="1" t="str">
        <f t="shared" si="600"/>
        <v>27500</v>
      </c>
      <c r="B15967" s="1" t="str">
        <f>"53114"</f>
        <v>53114</v>
      </c>
      <c r="C15967" s="2">
        <v>9.7911227154046901E-4</v>
      </c>
      <c r="D15967" s="2">
        <v>1.6829350387075E-4</v>
      </c>
      <c r="E15967" s="2">
        <v>0</v>
      </c>
      <c r="F15967" s="2">
        <v>8.9244235800386301E-4</v>
      </c>
    </row>
    <row r="15968" spans="1:6" x14ac:dyDescent="0.25">
      <c r="A15968" s="1" t="str">
        <f t="shared" si="600"/>
        <v>27500</v>
      </c>
      <c r="B15968" s="1" t="str">
        <f>"53502"</f>
        <v>53502</v>
      </c>
      <c r="C15968" s="2">
        <v>5.43951261966927E-5</v>
      </c>
      <c r="D15968" s="2">
        <v>1.6829350387075E-4</v>
      </c>
      <c r="E15968" s="2">
        <v>0</v>
      </c>
      <c r="F15968" s="2">
        <v>6.1126188904374101E-5</v>
      </c>
    </row>
    <row r="15969" spans="1:6" x14ac:dyDescent="0.25">
      <c r="A15969" s="1" t="str">
        <f t="shared" si="600"/>
        <v>27500</v>
      </c>
      <c r="B15969" s="1" t="str">
        <f>"53520"</f>
        <v>53520</v>
      </c>
      <c r="C15969" s="2">
        <v>7.3569408181026899E-3</v>
      </c>
      <c r="D15969" s="2">
        <v>3.5341635812857599E-3</v>
      </c>
      <c r="E15969" s="2">
        <v>0</v>
      </c>
      <c r="F15969" s="2">
        <v>6.87058363285165E-3</v>
      </c>
    </row>
    <row r="15970" spans="1:6" x14ac:dyDescent="0.25">
      <c r="A15970" s="1" t="str">
        <f t="shared" si="600"/>
        <v>27500</v>
      </c>
      <c r="B15970" s="1" t="str">
        <f>"53525"</f>
        <v>53525</v>
      </c>
      <c r="C15970" s="2">
        <v>2.2125217580504699E-2</v>
      </c>
      <c r="D15970" s="2">
        <v>1.6492763379333499E-2</v>
      </c>
      <c r="E15970" s="2">
        <v>2.93103448275862E-2</v>
      </c>
      <c r="F15970" s="2">
        <v>2.19198513411085E-2</v>
      </c>
    </row>
    <row r="15971" spans="1:6" x14ac:dyDescent="0.25">
      <c r="A15971" s="1" t="str">
        <f t="shared" ref="A15971:A15993" si="601">"27530"</f>
        <v>27530</v>
      </c>
      <c r="B15971" s="1" t="str">
        <f>"35580"</f>
        <v>35580</v>
      </c>
      <c r="C15971" s="2">
        <v>5.7265131444874599E-2</v>
      </c>
      <c r="D15971" s="2">
        <v>1.9020891799189199E-2</v>
      </c>
      <c r="E15971" s="2">
        <v>9.0909090909090905E-3</v>
      </c>
      <c r="F15971" s="2">
        <v>5.2791855100788501E-2</v>
      </c>
    </row>
    <row r="15972" spans="1:6" x14ac:dyDescent="0.25">
      <c r="A15972" s="1" t="str">
        <f t="shared" si="601"/>
        <v>27530</v>
      </c>
      <c r="B15972" s="1" t="str">
        <f>"35584"</f>
        <v>35584</v>
      </c>
      <c r="C15972" s="2">
        <v>0</v>
      </c>
      <c r="D15972" s="2">
        <v>6.2363579669473003E-4</v>
      </c>
      <c r="E15972" s="2">
        <v>0</v>
      </c>
      <c r="F15972" s="2">
        <v>4.5451446492284601E-5</v>
      </c>
    </row>
    <row r="15973" spans="1:6" x14ac:dyDescent="0.25">
      <c r="A15973" s="1" t="str">
        <f t="shared" si="601"/>
        <v>27530</v>
      </c>
      <c r="B15973" s="1" t="str">
        <f>"35579"</f>
        <v>35579</v>
      </c>
      <c r="C15973" s="2">
        <v>4.1878948441002602E-2</v>
      </c>
      <c r="D15973" s="2">
        <v>8.7309011537262202E-3</v>
      </c>
      <c r="E15973" s="2">
        <v>1.23376623376623E-2</v>
      </c>
      <c r="F15973" s="2">
        <v>3.8429198009226603E-2</v>
      </c>
    </row>
    <row r="15974" spans="1:6" x14ac:dyDescent="0.25">
      <c r="A15974" s="1" t="str">
        <f t="shared" si="601"/>
        <v>27530</v>
      </c>
      <c r="B15974" s="1" t="str">
        <f>"35578"</f>
        <v>35578</v>
      </c>
      <c r="C15974" s="2">
        <v>7.0587935602200905E-2</v>
      </c>
      <c r="D15974" s="2">
        <v>1.30963517305893E-2</v>
      </c>
      <c r="E15974" s="2">
        <v>3.89610389610389E-3</v>
      </c>
      <c r="F15974" s="2">
        <v>6.4063813830875102E-2</v>
      </c>
    </row>
    <row r="15975" spans="1:6" x14ac:dyDescent="0.25">
      <c r="A15975" s="1" t="str">
        <f t="shared" si="601"/>
        <v>27530</v>
      </c>
      <c r="B15975" s="1" t="str">
        <f>"35006"</f>
        <v>35006</v>
      </c>
      <c r="C15975" s="2">
        <v>2.3945384145098799E-3</v>
      </c>
      <c r="D15975" s="2">
        <v>3.1181789834736502E-4</v>
      </c>
      <c r="E15975" s="2">
        <v>2.59740259740259E-3</v>
      </c>
      <c r="F15975" s="2">
        <v>2.2498466013680801E-3</v>
      </c>
    </row>
    <row r="15976" spans="1:6" x14ac:dyDescent="0.25">
      <c r="A15976" s="1" t="str">
        <f t="shared" si="601"/>
        <v>27530</v>
      </c>
      <c r="B15976" s="1" t="str">
        <f>"35033"</f>
        <v>35033</v>
      </c>
      <c r="C15976" s="2">
        <v>4.3305481964540397E-3</v>
      </c>
      <c r="D15976" s="2">
        <v>3.1181789834736502E-4</v>
      </c>
      <c r="E15976" s="2">
        <v>0</v>
      </c>
      <c r="F15976" s="2">
        <v>3.8860986750903301E-3</v>
      </c>
    </row>
    <row r="15977" spans="1:6" x14ac:dyDescent="0.25">
      <c r="A15977" s="1" t="str">
        <f t="shared" si="601"/>
        <v>27530</v>
      </c>
      <c r="B15977" s="1" t="str">
        <f>"35560"</f>
        <v>35560</v>
      </c>
      <c r="C15977" s="2">
        <v>0</v>
      </c>
      <c r="D15977" s="2">
        <v>3.1181789834736502E-4</v>
      </c>
      <c r="E15977" s="2">
        <v>0</v>
      </c>
      <c r="F15977" s="2">
        <v>2.27257232461423E-5</v>
      </c>
    </row>
    <row r="15978" spans="1:6" x14ac:dyDescent="0.25">
      <c r="A15978" s="1" t="str">
        <f t="shared" si="601"/>
        <v>27530</v>
      </c>
      <c r="B15978" s="1" t="str">
        <f>"35148"</f>
        <v>35148</v>
      </c>
      <c r="C15978" s="2">
        <v>3.6249235785612302E-2</v>
      </c>
      <c r="D15978" s="2">
        <v>5.33208606173994E-2</v>
      </c>
      <c r="E15978" s="2">
        <v>1.8831168831168799E-2</v>
      </c>
      <c r="F15978" s="2">
        <v>3.6883848828488899E-2</v>
      </c>
    </row>
    <row r="15979" spans="1:6" x14ac:dyDescent="0.25">
      <c r="A15979" s="1" t="str">
        <f t="shared" si="601"/>
        <v>27530</v>
      </c>
      <c r="B15979" s="1" t="str">
        <f>"35501"</f>
        <v>35501</v>
      </c>
      <c r="C15979" s="2">
        <v>0.151798451192174</v>
      </c>
      <c r="D15979" s="2">
        <v>0.47365138758964698</v>
      </c>
      <c r="E15979" s="2">
        <v>0.46428571428571402</v>
      </c>
      <c r="F15979" s="2">
        <v>0.186191850555643</v>
      </c>
    </row>
    <row r="15980" spans="1:6" x14ac:dyDescent="0.25">
      <c r="A15980" s="1" t="str">
        <f t="shared" si="601"/>
        <v>27530</v>
      </c>
      <c r="B15980" s="1" t="str">
        <f>"35541"</f>
        <v>35541</v>
      </c>
      <c r="C15980" s="2">
        <v>1.7831669044222499E-4</v>
      </c>
      <c r="D15980" s="2">
        <v>0</v>
      </c>
      <c r="E15980" s="2">
        <v>0</v>
      </c>
      <c r="F15980" s="2">
        <v>1.5908006272299599E-4</v>
      </c>
    </row>
    <row r="15981" spans="1:6" x14ac:dyDescent="0.25">
      <c r="A15981" s="1" t="str">
        <f t="shared" si="601"/>
        <v>27530</v>
      </c>
      <c r="B15981" s="1" t="str">
        <f>"35554"</f>
        <v>35554</v>
      </c>
      <c r="C15981" s="2">
        <v>6.49582229468106E-3</v>
      </c>
      <c r="D15981" s="2">
        <v>2.4945431867789201E-3</v>
      </c>
      <c r="E15981" s="2">
        <v>2.59740259740259E-3</v>
      </c>
      <c r="F15981" s="2">
        <v>6.0677681067199899E-3</v>
      </c>
    </row>
    <row r="15982" spans="1:6" x14ac:dyDescent="0.25">
      <c r="A15982" s="1" t="str">
        <f t="shared" si="601"/>
        <v>27530</v>
      </c>
      <c r="B15982" s="1" t="str">
        <f>"35038"</f>
        <v>35038</v>
      </c>
      <c r="C15982" s="2">
        <v>0</v>
      </c>
      <c r="D15982" s="2">
        <v>3.1181789834736502E-4</v>
      </c>
      <c r="E15982" s="2">
        <v>6.4935064935064902E-4</v>
      </c>
      <c r="F15982" s="2">
        <v>4.5451446492284601E-5</v>
      </c>
    </row>
    <row r="15983" spans="1:6" x14ac:dyDescent="0.25">
      <c r="A15983" s="1" t="str">
        <f t="shared" si="601"/>
        <v>27530</v>
      </c>
      <c r="B15983" s="1" t="str">
        <f>"35503"</f>
        <v>35503</v>
      </c>
      <c r="C15983" s="2">
        <v>0.123981047483187</v>
      </c>
      <c r="D15983" s="2">
        <v>0.100093545369504</v>
      </c>
      <c r="E15983" s="2">
        <v>0.11688311688311601</v>
      </c>
      <c r="F15983" s="2">
        <v>0.121991682385291</v>
      </c>
    </row>
    <row r="15984" spans="1:6" x14ac:dyDescent="0.25">
      <c r="A15984" s="1" t="str">
        <f t="shared" si="601"/>
        <v>27530</v>
      </c>
      <c r="B15984" s="1" t="str">
        <f>"35573"</f>
        <v>35573</v>
      </c>
      <c r="C15984" s="2">
        <v>0</v>
      </c>
      <c r="D15984" s="2">
        <v>3.1181789834736502E-4</v>
      </c>
      <c r="E15984" s="2">
        <v>0</v>
      </c>
      <c r="F15984" s="2">
        <v>2.27257232461423E-5</v>
      </c>
    </row>
    <row r="15985" spans="1:6" x14ac:dyDescent="0.25">
      <c r="A15985" s="1" t="str">
        <f t="shared" si="601"/>
        <v>27530</v>
      </c>
      <c r="B15985" s="1" t="str">
        <f>"35063"</f>
        <v>35063</v>
      </c>
      <c r="C15985" s="2">
        <v>4.4426329733034398E-2</v>
      </c>
      <c r="D15985" s="2">
        <v>4.67726847521047E-3</v>
      </c>
      <c r="E15985" s="2">
        <v>9.0909090909090905E-3</v>
      </c>
      <c r="F15985" s="2">
        <v>4.0292707315410299E-2</v>
      </c>
    </row>
    <row r="15986" spans="1:6" x14ac:dyDescent="0.25">
      <c r="A15986" s="1" t="str">
        <f t="shared" si="601"/>
        <v>27530</v>
      </c>
      <c r="B15986" s="1" t="str">
        <f>"35587"</f>
        <v>35587</v>
      </c>
      <c r="C15986" s="2">
        <v>1.6175871204401799E-2</v>
      </c>
      <c r="D15986" s="2">
        <v>8.1072653570314901E-3</v>
      </c>
      <c r="E15986" s="2">
        <v>0</v>
      </c>
      <c r="F15986" s="2">
        <v>1.50217030657E-2</v>
      </c>
    </row>
    <row r="15987" spans="1:6" x14ac:dyDescent="0.25">
      <c r="A15987" s="1" t="str">
        <f t="shared" si="601"/>
        <v>27530</v>
      </c>
      <c r="B15987" s="1" t="str">
        <f>"35550"</f>
        <v>35550</v>
      </c>
      <c r="C15987" s="2">
        <v>8.54646423476665E-2</v>
      </c>
      <c r="D15987" s="2">
        <v>5.3632678515746803E-2</v>
      </c>
      <c r="E15987" s="2">
        <v>8.3116883116883103E-2</v>
      </c>
      <c r="F15987" s="2">
        <v>8.3062518464650098E-2</v>
      </c>
    </row>
    <row r="15988" spans="1:6" x14ac:dyDescent="0.25">
      <c r="A15988" s="1" t="str">
        <f t="shared" si="601"/>
        <v>27530</v>
      </c>
      <c r="B15988" s="1" t="str">
        <f>"35504"</f>
        <v>35504</v>
      </c>
      <c r="C15988" s="2">
        <v>0.19021296107601299</v>
      </c>
      <c r="D15988" s="2">
        <v>7.7642656688493905E-2</v>
      </c>
      <c r="E15988" s="2">
        <v>0.222727272727272</v>
      </c>
      <c r="F15988" s="2">
        <v>0.18314660364065999</v>
      </c>
    </row>
    <row r="15989" spans="1:6" x14ac:dyDescent="0.25">
      <c r="A15989" s="1" t="str">
        <f t="shared" si="601"/>
        <v>27530</v>
      </c>
      <c r="B15989" s="1" t="str">
        <f>"35062"</f>
        <v>35062</v>
      </c>
      <c r="C15989" s="2">
        <v>3.8771143264723799E-2</v>
      </c>
      <c r="D15989" s="2">
        <v>2.77517929529154E-2</v>
      </c>
      <c r="E15989" s="2">
        <v>2.1428571428571401E-2</v>
      </c>
      <c r="F15989" s="2">
        <v>3.7361089016657897E-2</v>
      </c>
    </row>
    <row r="15990" spans="1:6" x14ac:dyDescent="0.25">
      <c r="A15990" s="1" t="str">
        <f t="shared" si="601"/>
        <v>27530</v>
      </c>
      <c r="B15990" s="1" t="str">
        <f>"35546"</f>
        <v>35546</v>
      </c>
      <c r="C15990" s="2">
        <v>2.0124312207051099E-3</v>
      </c>
      <c r="D15990" s="2">
        <v>3.1181789834736502E-4</v>
      </c>
      <c r="E15990" s="2">
        <v>0</v>
      </c>
      <c r="F15990" s="2">
        <v>1.81805785969138E-3</v>
      </c>
    </row>
    <row r="15991" spans="1:6" x14ac:dyDescent="0.25">
      <c r="A15991" s="1" t="str">
        <f t="shared" si="601"/>
        <v>27530</v>
      </c>
      <c r="B15991" s="1" t="str">
        <f>"35502"</f>
        <v>35502</v>
      </c>
      <c r="C15991" s="2">
        <v>4.2082738944365101E-2</v>
      </c>
      <c r="D15991" s="2">
        <v>0.12815715622076701</v>
      </c>
      <c r="E15991" s="2">
        <v>1.29870129870129E-3</v>
      </c>
      <c r="F15991" s="2">
        <v>4.6928618503283802E-2</v>
      </c>
    </row>
    <row r="15992" spans="1:6" x14ac:dyDescent="0.25">
      <c r="A15992" s="1" t="str">
        <f t="shared" si="601"/>
        <v>27530</v>
      </c>
      <c r="B15992" s="1" t="str">
        <f>"35549"</f>
        <v>35549</v>
      </c>
      <c r="C15992" s="2">
        <v>4.6693499082942701E-2</v>
      </c>
      <c r="D15992" s="2">
        <v>1.3719987527284001E-2</v>
      </c>
      <c r="E15992" s="2">
        <v>1.8181818181818101E-2</v>
      </c>
      <c r="F15992" s="2">
        <v>4.3292502783901003E-2</v>
      </c>
    </row>
    <row r="15993" spans="1:6" x14ac:dyDescent="0.25">
      <c r="A15993" s="1" t="str">
        <f t="shared" si="601"/>
        <v>27530</v>
      </c>
      <c r="B15993" s="1" t="str">
        <f>"35130"</f>
        <v>35130</v>
      </c>
      <c r="C15993" s="2">
        <v>3.9000407581006702E-2</v>
      </c>
      <c r="D15993" s="2">
        <v>1.3408169628936701E-2</v>
      </c>
      <c r="E15993" s="2">
        <v>1.2987012987012899E-2</v>
      </c>
      <c r="F15993" s="2">
        <v>3.6224802854350799E-2</v>
      </c>
    </row>
    <row r="15994" spans="1:6" x14ac:dyDescent="0.25">
      <c r="A15994" s="1" t="str">
        <f t="shared" ref="A15994:A16016" si="602">"27540"</f>
        <v>27540</v>
      </c>
      <c r="B15994" s="1" t="str">
        <f>"47513"</f>
        <v>47513</v>
      </c>
      <c r="C15994" s="2">
        <v>2.6707120650260301E-2</v>
      </c>
      <c r="D15994" s="2">
        <v>6.7170445004198099E-3</v>
      </c>
      <c r="E15994" s="2">
        <v>3.3500837520937998E-3</v>
      </c>
      <c r="F15994" s="2">
        <v>2.4632699824774201E-2</v>
      </c>
    </row>
    <row r="15995" spans="1:6" x14ac:dyDescent="0.25">
      <c r="A15995" s="1" t="str">
        <f t="shared" si="602"/>
        <v>27540</v>
      </c>
      <c r="B15995" s="1" t="str">
        <f>"47590"</f>
        <v>47590</v>
      </c>
      <c r="C15995" s="2">
        <v>1.3259916844589201E-2</v>
      </c>
      <c r="D15995" s="2">
        <v>2.0990764063811901E-3</v>
      </c>
      <c r="E15995" s="2">
        <v>1.6750418760468999E-3</v>
      </c>
      <c r="F15995" s="2">
        <v>1.21310149615851E-2</v>
      </c>
    </row>
    <row r="15996" spans="1:6" x14ac:dyDescent="0.25">
      <c r="A15996" s="1" t="str">
        <f t="shared" si="602"/>
        <v>27540</v>
      </c>
      <c r="B15996" s="1" t="str">
        <f>"47527"</f>
        <v>47527</v>
      </c>
      <c r="C15996" s="2">
        <v>3.3824025171367497E-2</v>
      </c>
      <c r="D15996" s="2">
        <v>1.09151973131821E-2</v>
      </c>
      <c r="E15996" s="2">
        <v>1.00502512562814E-2</v>
      </c>
      <c r="F15996" s="2">
        <v>3.1506941636339103E-2</v>
      </c>
    </row>
    <row r="15997" spans="1:6" x14ac:dyDescent="0.25">
      <c r="A15997" s="1" t="str">
        <f t="shared" si="602"/>
        <v>27540</v>
      </c>
      <c r="B15997" s="1" t="str">
        <f>"47575"</f>
        <v>47575</v>
      </c>
      <c r="C15997" s="2">
        <v>1.80170056560662E-2</v>
      </c>
      <c r="D15997" s="2">
        <v>6.7170445004198099E-3</v>
      </c>
      <c r="E15997" s="2">
        <v>1.6750418760468999E-3</v>
      </c>
      <c r="F15997" s="2">
        <v>1.6781237363525998E-2</v>
      </c>
    </row>
    <row r="15998" spans="1:6" x14ac:dyDescent="0.25">
      <c r="A15998" s="1" t="str">
        <f t="shared" si="602"/>
        <v>27540</v>
      </c>
      <c r="B15998" s="1" t="str">
        <f>"47619"</f>
        <v>47619</v>
      </c>
      <c r="C15998" s="2">
        <v>5.6186088324530802E-4</v>
      </c>
      <c r="D15998" s="2">
        <v>0</v>
      </c>
      <c r="E15998" s="2">
        <v>0</v>
      </c>
      <c r="F15998" s="2">
        <v>5.0545895673271299E-4</v>
      </c>
    </row>
    <row r="15999" spans="1:6" x14ac:dyDescent="0.25">
      <c r="A15999" s="1" t="str">
        <f t="shared" si="602"/>
        <v>27540</v>
      </c>
      <c r="B15999" s="1" t="str">
        <f>"47547"</f>
        <v>47547</v>
      </c>
      <c r="C15999" s="2">
        <v>1.7043113458440999E-2</v>
      </c>
      <c r="D15999" s="2">
        <v>0.109151973131821</v>
      </c>
      <c r="E15999" s="2">
        <v>3.3500837520937998E-3</v>
      </c>
      <c r="F15999" s="2">
        <v>2.4160938131823601E-2</v>
      </c>
    </row>
    <row r="16000" spans="1:6" x14ac:dyDescent="0.25">
      <c r="A16000" s="1" t="str">
        <f t="shared" si="602"/>
        <v>27540</v>
      </c>
      <c r="B16000" s="1" t="str">
        <f>"47541"</f>
        <v>47541</v>
      </c>
      <c r="C16000" s="2">
        <v>2.0002247443532899E-2</v>
      </c>
      <c r="D16000" s="2">
        <v>7.1368597816960496E-3</v>
      </c>
      <c r="E16000" s="2">
        <v>8.3752093802344999E-3</v>
      </c>
      <c r="F16000" s="2">
        <v>1.87356786628925E-2</v>
      </c>
    </row>
    <row r="16001" spans="1:6" x14ac:dyDescent="0.25">
      <c r="A16001" s="1" t="str">
        <f t="shared" si="602"/>
        <v>27540</v>
      </c>
      <c r="B16001" s="1" t="str">
        <f>"47567"</f>
        <v>47567</v>
      </c>
      <c r="C16001" s="2">
        <v>0.11525639584972</v>
      </c>
      <c r="D16001" s="2">
        <v>0.105793450881612</v>
      </c>
      <c r="E16001" s="2">
        <v>8.0402010050251202E-2</v>
      </c>
      <c r="F16001" s="2">
        <v>0.11379565979242399</v>
      </c>
    </row>
    <row r="16002" spans="1:6" x14ac:dyDescent="0.25">
      <c r="A16002" s="1" t="str">
        <f t="shared" si="602"/>
        <v>27540</v>
      </c>
      <c r="B16002" s="1" t="str">
        <f>"47542"</f>
        <v>47542</v>
      </c>
      <c r="C16002" s="2">
        <v>0.169756901524515</v>
      </c>
      <c r="D16002" s="2">
        <v>0.20528967254408001</v>
      </c>
      <c r="E16002" s="2">
        <v>0.24288107202680001</v>
      </c>
      <c r="F16002" s="2">
        <v>0.17408006469874601</v>
      </c>
    </row>
    <row r="16003" spans="1:6" x14ac:dyDescent="0.25">
      <c r="A16003" s="1" t="str">
        <f t="shared" si="602"/>
        <v>27540</v>
      </c>
      <c r="B16003" s="1" t="str">
        <f>"47580"</f>
        <v>47580</v>
      </c>
      <c r="C16003" s="2">
        <v>4.30760010488069E-3</v>
      </c>
      <c r="D16003" s="2">
        <v>2.0990764063811901E-3</v>
      </c>
      <c r="E16003" s="2">
        <v>1.6750418760468999E-3</v>
      </c>
      <c r="F16003" s="2">
        <v>4.0773689176438798E-3</v>
      </c>
    </row>
    <row r="16004" spans="1:6" x14ac:dyDescent="0.25">
      <c r="A16004" s="1" t="str">
        <f t="shared" si="602"/>
        <v>27540</v>
      </c>
      <c r="B16004" s="1" t="str">
        <f>"47666"</f>
        <v>47666</v>
      </c>
      <c r="C16004" s="2">
        <v>3.74573922163538E-5</v>
      </c>
      <c r="D16004" s="2">
        <v>0</v>
      </c>
      <c r="E16004" s="2">
        <v>0</v>
      </c>
      <c r="F16004" s="2">
        <v>3.3697263782180797E-5</v>
      </c>
    </row>
    <row r="16005" spans="1:6" x14ac:dyDescent="0.25">
      <c r="A16005" s="1" t="str">
        <f t="shared" si="602"/>
        <v>27540</v>
      </c>
      <c r="B16005" s="1" t="str">
        <f>"47640"</f>
        <v>47640</v>
      </c>
      <c r="C16005" s="2">
        <v>4.5698018503951702E-3</v>
      </c>
      <c r="D16005" s="2">
        <v>2.5188916876574298E-3</v>
      </c>
      <c r="E16005" s="2">
        <v>0</v>
      </c>
      <c r="F16005" s="2">
        <v>4.3132497641191498E-3</v>
      </c>
    </row>
    <row r="16006" spans="1:6" x14ac:dyDescent="0.25">
      <c r="A16006" s="1" t="str">
        <f t="shared" si="602"/>
        <v>27540</v>
      </c>
      <c r="B16006" s="1" t="str">
        <f>"47585"</f>
        <v>47585</v>
      </c>
      <c r="C16006" s="2">
        <v>8.1282541109487898E-3</v>
      </c>
      <c r="D16006" s="2">
        <v>0</v>
      </c>
      <c r="E16006" s="2">
        <v>5.0251256281407001E-3</v>
      </c>
      <c r="F16006" s="2">
        <v>7.4133980320797901E-3</v>
      </c>
    </row>
    <row r="16007" spans="1:6" x14ac:dyDescent="0.25">
      <c r="A16007" s="1" t="str">
        <f t="shared" si="602"/>
        <v>27540</v>
      </c>
      <c r="B16007" s="1" t="str">
        <f>"47432"</f>
        <v>47432</v>
      </c>
      <c r="C16007" s="2">
        <v>8.1657115031651406E-3</v>
      </c>
      <c r="D16007" s="2">
        <v>1.2594458438287099E-3</v>
      </c>
      <c r="E16007" s="2">
        <v>0</v>
      </c>
      <c r="F16007" s="2">
        <v>7.4470952958619703E-3</v>
      </c>
    </row>
    <row r="16008" spans="1:6" x14ac:dyDescent="0.25">
      <c r="A16008" s="1" t="str">
        <f t="shared" si="602"/>
        <v>27540</v>
      </c>
      <c r="B16008" s="1" t="str">
        <f>"47584"</f>
        <v>47584</v>
      </c>
      <c r="C16008" s="2">
        <v>2.3598157096302902E-3</v>
      </c>
      <c r="D16008" s="2">
        <v>8.3963056255247602E-4</v>
      </c>
      <c r="E16008" s="2">
        <v>1.6750418760468999E-3</v>
      </c>
      <c r="F16008" s="2">
        <v>2.2240194096239301E-3</v>
      </c>
    </row>
    <row r="16009" spans="1:6" x14ac:dyDescent="0.25">
      <c r="A16009" s="1" t="str">
        <f t="shared" si="602"/>
        <v>27540</v>
      </c>
      <c r="B16009" s="1" t="str">
        <f>"47546"</f>
        <v>47546</v>
      </c>
      <c r="C16009" s="2">
        <v>0.369816833352062</v>
      </c>
      <c r="D16009" s="2">
        <v>0.45172124265323199</v>
      </c>
      <c r="E16009" s="2">
        <v>0.54773869346733595</v>
      </c>
      <c r="F16009" s="2">
        <v>0.37997034640787097</v>
      </c>
    </row>
    <row r="16010" spans="1:6" x14ac:dyDescent="0.25">
      <c r="A16010" s="1" t="str">
        <f t="shared" si="602"/>
        <v>27540</v>
      </c>
      <c r="B16010" s="1" t="str">
        <f>"47598"</f>
        <v>47598</v>
      </c>
      <c r="C16010" s="2">
        <v>6.5962467692999197E-2</v>
      </c>
      <c r="D16010" s="2">
        <v>1.84718723761544E-2</v>
      </c>
      <c r="E16010" s="2">
        <v>1.1725293132328301E-2</v>
      </c>
      <c r="F16010" s="2">
        <v>6.1059441973311701E-2</v>
      </c>
    </row>
    <row r="16011" spans="1:6" x14ac:dyDescent="0.25">
      <c r="A16011" s="1" t="str">
        <f t="shared" si="602"/>
        <v>27540</v>
      </c>
      <c r="B16011" s="1" t="str">
        <f>"47564"</f>
        <v>47564</v>
      </c>
      <c r="C16011" s="2">
        <v>2.74937258868037E-2</v>
      </c>
      <c r="D16011" s="2">
        <v>6.2972292191435702E-3</v>
      </c>
      <c r="E16011" s="2">
        <v>1.84254606365159E-2</v>
      </c>
      <c r="F16011" s="2">
        <v>2.5609920474457398E-2</v>
      </c>
    </row>
    <row r="16012" spans="1:6" x14ac:dyDescent="0.25">
      <c r="A16012" s="1" t="str">
        <f t="shared" si="602"/>
        <v>27540</v>
      </c>
      <c r="B16012" s="1" t="str">
        <f>"47532"</f>
        <v>47532</v>
      </c>
      <c r="C16012" s="2">
        <v>7.0944300857774201E-2</v>
      </c>
      <c r="D16012" s="2">
        <v>5.4995801847187199E-2</v>
      </c>
      <c r="E16012" s="2">
        <v>5.3601340033500797E-2</v>
      </c>
      <c r="F16012" s="2">
        <v>6.9315271599945993E-2</v>
      </c>
    </row>
    <row r="16013" spans="1:6" x14ac:dyDescent="0.25">
      <c r="A16013" s="1" t="str">
        <f t="shared" si="602"/>
        <v>27540</v>
      </c>
      <c r="B16013" s="1" t="str">
        <f>"47545"</f>
        <v>47545</v>
      </c>
      <c r="C16013" s="2">
        <v>3.74573922163538E-5</v>
      </c>
      <c r="D16013" s="2">
        <v>0</v>
      </c>
      <c r="E16013" s="2">
        <v>1.6750418760468999E-3</v>
      </c>
      <c r="F16013" s="2">
        <v>6.7394527564361702E-5</v>
      </c>
    </row>
    <row r="16014" spans="1:6" x14ac:dyDescent="0.25">
      <c r="A16014" s="1" t="str">
        <f t="shared" si="602"/>
        <v>27540</v>
      </c>
      <c r="B16014" s="1" t="str">
        <f>"47660"</f>
        <v>47660</v>
      </c>
      <c r="C16014" s="2">
        <v>7.7536801887852502E-3</v>
      </c>
      <c r="D16014" s="2">
        <v>2.5188916876574298E-3</v>
      </c>
      <c r="E16014" s="2">
        <v>1.6750418760468999E-3</v>
      </c>
      <c r="F16014" s="2">
        <v>7.2112144493867002E-3</v>
      </c>
    </row>
    <row r="16015" spans="1:6" x14ac:dyDescent="0.25">
      <c r="A16015" s="1" t="str">
        <f t="shared" si="602"/>
        <v>27540</v>
      </c>
      <c r="B16015" s="1" t="str">
        <f>"47521"</f>
        <v>47521</v>
      </c>
      <c r="C16015" s="2">
        <v>1.49454994943252E-2</v>
      </c>
      <c r="D16015" s="2">
        <v>3.3585222502099002E-3</v>
      </c>
      <c r="E16015" s="2">
        <v>5.0251256281407001E-3</v>
      </c>
      <c r="F16015" s="2">
        <v>1.38158781506941E-2</v>
      </c>
    </row>
    <row r="16016" spans="1:6" x14ac:dyDescent="0.25">
      <c r="A16016" s="1" t="str">
        <f t="shared" si="602"/>
        <v>27540</v>
      </c>
      <c r="B16016" s="1" t="str">
        <f>"47523"</f>
        <v>47523</v>
      </c>
      <c r="C16016" s="2">
        <v>1.0488069820579001E-3</v>
      </c>
      <c r="D16016" s="2">
        <v>2.0990764063811901E-3</v>
      </c>
      <c r="E16016" s="2">
        <v>0</v>
      </c>
      <c r="F16016" s="2">
        <v>1.1120097048119601E-3</v>
      </c>
    </row>
    <row r="16017" spans="1:6" x14ac:dyDescent="0.25">
      <c r="A16017" s="1" t="str">
        <f>"27580"</f>
        <v>27580</v>
      </c>
      <c r="B16017" s="1" t="str">
        <f>"00664"</f>
        <v>00664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tr">
        <f t="shared" ref="A16018:A16034" si="603">"27600"</f>
        <v>27600</v>
      </c>
      <c r="B16018" s="1" t="str">
        <f>"30622"</f>
        <v>30622</v>
      </c>
      <c r="C16018" s="2">
        <v>1.10587637881908E-2</v>
      </c>
      <c r="D16018" s="2">
        <v>3.61141206211628E-4</v>
      </c>
      <c r="E16018" s="2">
        <v>0</v>
      </c>
      <c r="F16018" s="2">
        <v>1.02157525344424E-2</v>
      </c>
    </row>
    <row r="16019" spans="1:6" x14ac:dyDescent="0.25">
      <c r="A16019" s="1" t="str">
        <f t="shared" si="603"/>
        <v>27600</v>
      </c>
      <c r="B16019" s="1" t="str">
        <f>"30529"</f>
        <v>30529</v>
      </c>
      <c r="C16019" s="2">
        <v>0.16884362569469899</v>
      </c>
      <c r="D16019" s="2">
        <v>0.32863849765258202</v>
      </c>
      <c r="E16019" s="2">
        <v>0.16535433070866101</v>
      </c>
      <c r="F16019" s="2">
        <v>0.18032232908759999</v>
      </c>
    </row>
    <row r="16020" spans="1:6" x14ac:dyDescent="0.25">
      <c r="A16020" s="1" t="str">
        <f t="shared" si="603"/>
        <v>27600</v>
      </c>
      <c r="B16020" s="1" t="str">
        <f>"30646"</f>
        <v>30646</v>
      </c>
      <c r="C16020" s="2">
        <v>2.5390018901458501E-4</v>
      </c>
      <c r="D16020" s="2">
        <v>0</v>
      </c>
      <c r="E16020" s="2">
        <v>0</v>
      </c>
      <c r="F16020" s="2">
        <v>2.3394853132310801E-4</v>
      </c>
    </row>
    <row r="16021" spans="1:6" x14ac:dyDescent="0.25">
      <c r="A16021" s="1" t="str">
        <f t="shared" si="603"/>
        <v>27600</v>
      </c>
      <c r="B16021" s="1" t="str">
        <f>"30548"</f>
        <v>30548</v>
      </c>
      <c r="C16021" s="2">
        <v>0.12881202922673199</v>
      </c>
      <c r="D16021" s="2">
        <v>0.162874684001444</v>
      </c>
      <c r="E16021" s="2">
        <v>0.15354330708661401</v>
      </c>
      <c r="F16021" s="2">
        <v>0.13142708604107001</v>
      </c>
    </row>
    <row r="16022" spans="1:6" x14ac:dyDescent="0.25">
      <c r="A16022" s="1" t="str">
        <f t="shared" si="603"/>
        <v>27600</v>
      </c>
      <c r="B16022" s="1" t="str">
        <f>"30558"</f>
        <v>30558</v>
      </c>
      <c r="C16022" s="2">
        <v>3.85364064659914E-2</v>
      </c>
      <c r="D16022" s="2">
        <v>1.58902130733116E-2</v>
      </c>
      <c r="E16022" s="2">
        <v>7.8740157480314907E-3</v>
      </c>
      <c r="F16022" s="2">
        <v>3.6703925136469903E-2</v>
      </c>
    </row>
    <row r="16023" spans="1:6" x14ac:dyDescent="0.25">
      <c r="A16023" s="1" t="str">
        <f t="shared" si="603"/>
        <v>27600</v>
      </c>
      <c r="B16023" s="1" t="str">
        <f>"30567"</f>
        <v>30567</v>
      </c>
      <c r="C16023" s="2">
        <v>5.6450475357575997E-2</v>
      </c>
      <c r="D16023" s="2">
        <v>4.22535211267605E-2</v>
      </c>
      <c r="E16023" s="2">
        <v>6.2992125984251898E-2</v>
      </c>
      <c r="F16023" s="2">
        <v>5.5471796204834903E-2</v>
      </c>
    </row>
    <row r="16024" spans="1:6" x14ac:dyDescent="0.25">
      <c r="A16024" s="1" t="str">
        <f t="shared" si="603"/>
        <v>27600</v>
      </c>
      <c r="B16024" s="1" t="str">
        <f>"30599"</f>
        <v>30599</v>
      </c>
      <c r="C16024" s="2">
        <v>0</v>
      </c>
      <c r="D16024" s="2">
        <v>7.2228241242325698E-4</v>
      </c>
      <c r="E16024" s="2">
        <v>0</v>
      </c>
      <c r="F16024" s="2">
        <v>5.1988562516246403E-5</v>
      </c>
    </row>
    <row r="16025" spans="1:6" x14ac:dyDescent="0.25">
      <c r="A16025" s="1" t="str">
        <f t="shared" si="603"/>
        <v>27600</v>
      </c>
      <c r="B16025" s="1" t="str">
        <f>"30543"</f>
        <v>30543</v>
      </c>
      <c r="C16025" s="2">
        <v>4.4291477416988703E-3</v>
      </c>
      <c r="D16025" s="2">
        <v>0</v>
      </c>
      <c r="E16025" s="2">
        <v>0</v>
      </c>
      <c r="F16025" s="2">
        <v>4.0811021575253396E-3</v>
      </c>
    </row>
    <row r="16026" spans="1:6" x14ac:dyDescent="0.25">
      <c r="A16026" s="1" t="str">
        <f t="shared" si="603"/>
        <v>27600</v>
      </c>
      <c r="B16026" s="1" t="str">
        <f>"30565"</f>
        <v>30565</v>
      </c>
      <c r="C16026" s="2">
        <v>5.1344260445171597E-2</v>
      </c>
      <c r="D16026" s="2">
        <v>1.2639942217407E-2</v>
      </c>
      <c r="E16026" s="2">
        <v>2.7559055118110201E-2</v>
      </c>
      <c r="F16026" s="2">
        <v>4.8401351702625398E-2</v>
      </c>
    </row>
    <row r="16027" spans="1:6" x14ac:dyDescent="0.25">
      <c r="A16027" s="1" t="str">
        <f t="shared" si="603"/>
        <v>27600</v>
      </c>
      <c r="B16027" s="1" t="str">
        <f>"30575"</f>
        <v>30575</v>
      </c>
      <c r="C16027" s="2">
        <v>1.48954777555223E-2</v>
      </c>
      <c r="D16027" s="2">
        <v>7.9451065366558295E-3</v>
      </c>
      <c r="E16027" s="2">
        <v>0</v>
      </c>
      <c r="F16027" s="2">
        <v>1.42968546919677E-2</v>
      </c>
    </row>
    <row r="16028" spans="1:6" x14ac:dyDescent="0.25">
      <c r="A16028" s="1" t="str">
        <f t="shared" si="603"/>
        <v>27600</v>
      </c>
      <c r="B16028" s="1" t="str">
        <f>"30530"</f>
        <v>30530</v>
      </c>
      <c r="C16028" s="2">
        <v>2.55592856941349E-2</v>
      </c>
      <c r="D16028" s="2">
        <v>1.37233658360418E-2</v>
      </c>
      <c r="E16028" s="2">
        <v>0</v>
      </c>
      <c r="F16028" s="2">
        <v>2.45386015076683E-2</v>
      </c>
    </row>
    <row r="16029" spans="1:6" x14ac:dyDescent="0.25">
      <c r="A16029" s="1" t="str">
        <f t="shared" si="603"/>
        <v>27600</v>
      </c>
      <c r="B16029" s="1" t="str">
        <f>"30680"</f>
        <v>30680</v>
      </c>
      <c r="C16029" s="2">
        <v>1.32592320929838E-3</v>
      </c>
      <c r="D16029" s="2">
        <v>7.2228241242325698E-4</v>
      </c>
      <c r="E16029" s="2">
        <v>0</v>
      </c>
      <c r="F16029" s="2">
        <v>1.2737197816480299E-3</v>
      </c>
    </row>
    <row r="16030" spans="1:6" x14ac:dyDescent="0.25">
      <c r="A16030" s="1" t="str">
        <f t="shared" si="603"/>
        <v>27600</v>
      </c>
      <c r="B16030" s="1" t="str">
        <f>"30607"</f>
        <v>30607</v>
      </c>
      <c r="C16030" s="2">
        <v>4.30783987361412E-2</v>
      </c>
      <c r="D16030" s="2">
        <v>1.6612495485734902E-2</v>
      </c>
      <c r="E16030" s="2">
        <v>9.0551181102362197E-2</v>
      </c>
      <c r="F16030" s="2">
        <v>4.1486872887964599E-2</v>
      </c>
    </row>
    <row r="16031" spans="1:6" x14ac:dyDescent="0.25">
      <c r="A16031" s="1" t="str">
        <f t="shared" si="603"/>
        <v>27600</v>
      </c>
      <c r="B16031" s="1" t="str">
        <f>"30517"</f>
        <v>30517</v>
      </c>
      <c r="C16031" s="2">
        <v>0.10000846333963299</v>
      </c>
      <c r="D16031" s="2">
        <v>0.161430119176598</v>
      </c>
      <c r="E16031" s="2">
        <v>0.145669291338582</v>
      </c>
      <c r="F16031" s="2">
        <v>0.104730959188978</v>
      </c>
    </row>
    <row r="16032" spans="1:6" x14ac:dyDescent="0.25">
      <c r="A16032" s="1" t="str">
        <f t="shared" si="603"/>
        <v>27600</v>
      </c>
      <c r="B16032" s="1" t="str">
        <f>"30549"</f>
        <v>30549</v>
      </c>
      <c r="C16032" s="2">
        <v>0.35227240669167997</v>
      </c>
      <c r="D16032" s="2">
        <v>0.23510292524376999</v>
      </c>
      <c r="E16032" s="2">
        <v>0.33858267716535401</v>
      </c>
      <c r="F16032" s="2">
        <v>0.34374837535742098</v>
      </c>
    </row>
    <row r="16033" spans="1:6" x14ac:dyDescent="0.25">
      <c r="A16033" s="1" t="str">
        <f t="shared" si="603"/>
        <v>27600</v>
      </c>
      <c r="B16033" s="1" t="str">
        <f>"30601"</f>
        <v>30601</v>
      </c>
      <c r="C16033" s="2">
        <v>7.6170056704375497E-4</v>
      </c>
      <c r="D16033" s="2">
        <v>0</v>
      </c>
      <c r="E16033" s="2">
        <v>0</v>
      </c>
      <c r="F16033" s="2">
        <v>7.0184559396932597E-4</v>
      </c>
    </row>
    <row r="16034" spans="1:6" x14ac:dyDescent="0.25">
      <c r="A16034" s="1" t="str">
        <f t="shared" si="603"/>
        <v>27600</v>
      </c>
      <c r="B16034" s="1" t="str">
        <f>"30666"</f>
        <v>30666</v>
      </c>
      <c r="C16034" s="2">
        <v>2.36973509746946E-3</v>
      </c>
      <c r="D16034" s="2">
        <v>1.0834236186348799E-3</v>
      </c>
      <c r="E16034" s="2">
        <v>7.8740157480314907E-3</v>
      </c>
      <c r="F16034" s="2">
        <v>2.3134910319729599E-3</v>
      </c>
    </row>
    <row r="16035" spans="1:6" x14ac:dyDescent="0.25">
      <c r="A16035" s="1" t="str">
        <f t="shared" ref="A16035:A16066" si="604">"27620"</f>
        <v>27620</v>
      </c>
      <c r="B16035" s="1" t="str">
        <f>"65048"</f>
        <v>65048</v>
      </c>
      <c r="C16035" s="2">
        <v>1.20632279534109E-3</v>
      </c>
      <c r="D16035" s="2">
        <v>0</v>
      </c>
      <c r="E16035" s="2">
        <v>3.0147723846849498E-4</v>
      </c>
      <c r="F16035" s="2">
        <v>1.0715111960743701E-3</v>
      </c>
    </row>
    <row r="16036" spans="1:6" x14ac:dyDescent="0.25">
      <c r="A16036" s="1" t="str">
        <f t="shared" si="604"/>
        <v>27620</v>
      </c>
      <c r="B16036" s="1" t="str">
        <f>"63384"</f>
        <v>63384</v>
      </c>
      <c r="C16036" s="2">
        <v>1.52523571824736E-4</v>
      </c>
      <c r="D16036" s="2">
        <v>0</v>
      </c>
      <c r="E16036" s="2">
        <v>0</v>
      </c>
      <c r="F16036" s="2">
        <v>1.3393889950929599E-4</v>
      </c>
    </row>
    <row r="16037" spans="1:6" x14ac:dyDescent="0.25">
      <c r="A16037" s="1" t="str">
        <f t="shared" si="604"/>
        <v>27620</v>
      </c>
      <c r="B16037" s="1" t="str">
        <f>"65231"</f>
        <v>65231</v>
      </c>
      <c r="C16037" s="2">
        <v>2.0549084858568999E-2</v>
      </c>
      <c r="D16037" s="2">
        <v>5.3811659192825097E-3</v>
      </c>
      <c r="E16037" s="2">
        <v>8.7428399155863694E-3</v>
      </c>
      <c r="F16037" s="2">
        <v>1.88366797764438E-2</v>
      </c>
    </row>
    <row r="16038" spans="1:6" x14ac:dyDescent="0.25">
      <c r="A16038" s="1" t="str">
        <f t="shared" si="604"/>
        <v>27620</v>
      </c>
      <c r="B16038" s="1" t="str">
        <f>"65077"</f>
        <v>65077</v>
      </c>
      <c r="C16038" s="2">
        <v>5.1442041042706601E-3</v>
      </c>
      <c r="D16038" s="2">
        <v>1.79372197309417E-3</v>
      </c>
      <c r="E16038" s="2">
        <v>1.50738619234247E-3</v>
      </c>
      <c r="F16038" s="2">
        <v>4.7243902736006397E-3</v>
      </c>
    </row>
    <row r="16039" spans="1:6" x14ac:dyDescent="0.25">
      <c r="A16039" s="1" t="str">
        <f t="shared" si="604"/>
        <v>27620</v>
      </c>
      <c r="B16039" s="1" t="str">
        <f>"65040"</f>
        <v>65040</v>
      </c>
      <c r="C16039" s="2">
        <v>7.1270105379922302E-3</v>
      </c>
      <c r="D16039" s="2">
        <v>5.9790732436472297E-4</v>
      </c>
      <c r="E16039" s="2">
        <v>9.0443171540548596E-4</v>
      </c>
      <c r="F16039" s="2">
        <v>6.3438333313039497E-3</v>
      </c>
    </row>
    <row r="16040" spans="1:6" x14ac:dyDescent="0.25">
      <c r="A16040" s="1" t="str">
        <f t="shared" si="604"/>
        <v>27620</v>
      </c>
      <c r="B16040" s="1" t="str">
        <f>"65014"</f>
        <v>65014</v>
      </c>
      <c r="C16040" s="2">
        <v>4.0210759844703202E-3</v>
      </c>
      <c r="D16040" s="2">
        <v>5.9790732436472297E-4</v>
      </c>
      <c r="E16040" s="2">
        <v>0</v>
      </c>
      <c r="F16040" s="2">
        <v>3.57982149597574E-3</v>
      </c>
    </row>
    <row r="16041" spans="1:6" x14ac:dyDescent="0.25">
      <c r="A16041" s="1" t="str">
        <f t="shared" si="604"/>
        <v>27620</v>
      </c>
      <c r="B16041" s="1" t="str">
        <f>"65023"</f>
        <v>65023</v>
      </c>
      <c r="C16041" s="2">
        <v>1.2201885745978899E-2</v>
      </c>
      <c r="D16041" s="2">
        <v>4.1853512705530603E-3</v>
      </c>
      <c r="E16041" s="2">
        <v>3.3162496231534501E-3</v>
      </c>
      <c r="F16041" s="2">
        <v>1.1189986240822101E-2</v>
      </c>
    </row>
    <row r="16042" spans="1:6" x14ac:dyDescent="0.25">
      <c r="A16042" s="1" t="str">
        <f t="shared" si="604"/>
        <v>27620</v>
      </c>
      <c r="B16042" s="1" t="str">
        <f>"65043"</f>
        <v>65043</v>
      </c>
      <c r="C16042" s="2">
        <v>7.2795341098169694E-2</v>
      </c>
      <c r="D16042" s="2">
        <v>3.5575485799700997E-2</v>
      </c>
      <c r="E16042" s="2">
        <v>6.2405788362978498E-2</v>
      </c>
      <c r="F16042" s="2">
        <v>6.93438211550403E-2</v>
      </c>
    </row>
    <row r="16043" spans="1:6" x14ac:dyDescent="0.25">
      <c r="A16043" s="1" t="str">
        <f t="shared" si="604"/>
        <v>27620</v>
      </c>
      <c r="B16043" s="1" t="str">
        <f>"65046"</f>
        <v>65046</v>
      </c>
      <c r="C16043" s="2">
        <v>8.1530782029950004E-3</v>
      </c>
      <c r="D16043" s="2">
        <v>4.1853512705530603E-3</v>
      </c>
      <c r="E16043" s="2">
        <v>4.5221585770274303E-3</v>
      </c>
      <c r="F16043" s="2">
        <v>7.6832223263969199E-3</v>
      </c>
    </row>
    <row r="16044" spans="1:6" x14ac:dyDescent="0.25">
      <c r="A16044" s="1" t="str">
        <f t="shared" si="604"/>
        <v>27620</v>
      </c>
      <c r="B16044" s="1" t="str">
        <f>"65081"</f>
        <v>65081</v>
      </c>
      <c r="C16044" s="2">
        <v>1.6320022185246801E-2</v>
      </c>
      <c r="D16044" s="2">
        <v>1.4947683109117999E-2</v>
      </c>
      <c r="E16044" s="2">
        <v>8.7428399155863694E-3</v>
      </c>
      <c r="F16044" s="2">
        <v>1.5902200250831E-2</v>
      </c>
    </row>
    <row r="16045" spans="1:6" x14ac:dyDescent="0.25">
      <c r="A16045" s="1" t="str">
        <f t="shared" si="604"/>
        <v>27620</v>
      </c>
      <c r="B16045" s="1" t="str">
        <f>"65067"</f>
        <v>65067</v>
      </c>
      <c r="C16045" s="2">
        <v>3.1613976705490801E-3</v>
      </c>
      <c r="D16045" s="2">
        <v>7.4738415545590403E-4</v>
      </c>
      <c r="E16045" s="2">
        <v>3.0147723846849498E-4</v>
      </c>
      <c r="F16045" s="2">
        <v>2.8492456804704901E-3</v>
      </c>
    </row>
    <row r="16046" spans="1:6" x14ac:dyDescent="0.25">
      <c r="A16046" s="1" t="str">
        <f t="shared" si="604"/>
        <v>27620</v>
      </c>
      <c r="B16046" s="1" t="str">
        <f>"65032"</f>
        <v>65032</v>
      </c>
      <c r="C16046" s="2">
        <v>5.4908485856905104E-3</v>
      </c>
      <c r="D16046" s="2">
        <v>5.5306427503736899E-3</v>
      </c>
      <c r="E16046" s="2">
        <v>3.3162496231534501E-3</v>
      </c>
      <c r="F16046" s="2">
        <v>5.4062610347388801E-3</v>
      </c>
    </row>
    <row r="16047" spans="1:6" x14ac:dyDescent="0.25">
      <c r="A16047" s="1" t="str">
        <f t="shared" si="604"/>
        <v>27620</v>
      </c>
      <c r="B16047" s="1" t="str">
        <f>"65104"</f>
        <v>65104</v>
      </c>
      <c r="C16047" s="2">
        <v>0</v>
      </c>
      <c r="D16047" s="2">
        <v>0</v>
      </c>
      <c r="E16047" s="2">
        <v>3.0147723846849498E-4</v>
      </c>
      <c r="F16047" s="2">
        <v>1.2176263591754199E-5</v>
      </c>
    </row>
    <row r="16048" spans="1:6" x14ac:dyDescent="0.25">
      <c r="A16048" s="1" t="str">
        <f t="shared" si="604"/>
        <v>27620</v>
      </c>
      <c r="B16048" s="1" t="str">
        <f>"65582"</f>
        <v>65582</v>
      </c>
      <c r="C16048" s="2">
        <v>1.3865779256794201E-4</v>
      </c>
      <c r="D16048" s="2">
        <v>0</v>
      </c>
      <c r="E16048" s="2">
        <v>0</v>
      </c>
      <c r="F16048" s="2">
        <v>1.21762635917542E-4</v>
      </c>
    </row>
    <row r="16049" spans="1:6" x14ac:dyDescent="0.25">
      <c r="A16049" s="1" t="str">
        <f t="shared" si="604"/>
        <v>27620</v>
      </c>
      <c r="B16049" s="1" t="str">
        <f>"65064"</f>
        <v>65064</v>
      </c>
      <c r="C16049" s="2">
        <v>2.7731558513588401E-5</v>
      </c>
      <c r="D16049" s="2">
        <v>0</v>
      </c>
      <c r="E16049" s="2">
        <v>0</v>
      </c>
      <c r="F16049" s="2">
        <v>2.4352527183508399E-5</v>
      </c>
    </row>
    <row r="16050" spans="1:6" x14ac:dyDescent="0.25">
      <c r="A16050" s="1" t="str">
        <f t="shared" si="604"/>
        <v>27620</v>
      </c>
      <c r="B16050" s="1" t="str">
        <f>"65042"</f>
        <v>65042</v>
      </c>
      <c r="C16050" s="2">
        <v>0</v>
      </c>
      <c r="D16050" s="2">
        <v>0</v>
      </c>
      <c r="E16050" s="2">
        <v>3.0147723846849498E-4</v>
      </c>
      <c r="F16050" s="2">
        <v>1.2176263591754199E-5</v>
      </c>
    </row>
    <row r="16051" spans="1:6" x14ac:dyDescent="0.25">
      <c r="A16051" s="1" t="str">
        <f t="shared" si="604"/>
        <v>27620</v>
      </c>
      <c r="B16051" s="1" t="str">
        <f>"65068"</f>
        <v>65068</v>
      </c>
      <c r="C16051" s="2">
        <v>1.1092623405435299E-4</v>
      </c>
      <c r="D16051" s="2">
        <v>0</v>
      </c>
      <c r="E16051" s="2">
        <v>0</v>
      </c>
      <c r="F16051" s="2">
        <v>9.7410108734033798E-5</v>
      </c>
    </row>
    <row r="16052" spans="1:6" x14ac:dyDescent="0.25">
      <c r="A16052" s="1" t="str">
        <f t="shared" si="604"/>
        <v>27620</v>
      </c>
      <c r="B16052" s="1" t="str">
        <f>"63388"</f>
        <v>63388</v>
      </c>
      <c r="C16052" s="2">
        <v>6.8080976150859604E-3</v>
      </c>
      <c r="D16052" s="2">
        <v>3.1390134529147898E-3</v>
      </c>
      <c r="E16052" s="2">
        <v>3.0147723846849498E-4</v>
      </c>
      <c r="F16052" s="2">
        <v>6.24642322256992E-3</v>
      </c>
    </row>
    <row r="16053" spans="1:6" x14ac:dyDescent="0.25">
      <c r="A16053" s="1" t="str">
        <f t="shared" si="604"/>
        <v>27620</v>
      </c>
      <c r="B16053" s="1" t="str">
        <f>"65101"</f>
        <v>65101</v>
      </c>
      <c r="C16053" s="2">
        <v>0.17795341098169701</v>
      </c>
      <c r="D16053" s="2">
        <v>0.217339312406576</v>
      </c>
      <c r="E16053" s="2">
        <v>0.28338860416038503</v>
      </c>
      <c r="F16053" s="2">
        <v>0.18542014197523299</v>
      </c>
    </row>
    <row r="16054" spans="1:6" x14ac:dyDescent="0.25">
      <c r="A16054" s="1" t="str">
        <f t="shared" si="604"/>
        <v>27620</v>
      </c>
      <c r="B16054" s="1" t="str">
        <f>"65080"</f>
        <v>65080</v>
      </c>
      <c r="C16054" s="2">
        <v>6.3921242373821399E-3</v>
      </c>
      <c r="D16054" s="2">
        <v>5.9790732436472297E-4</v>
      </c>
      <c r="E16054" s="2">
        <v>3.0147723846849498E-4</v>
      </c>
      <c r="F16054" s="2">
        <v>5.6741388337574698E-3</v>
      </c>
    </row>
    <row r="16055" spans="1:6" x14ac:dyDescent="0.25">
      <c r="A16055" s="1" t="str">
        <f t="shared" si="604"/>
        <v>27620</v>
      </c>
      <c r="B16055" s="1" t="str">
        <f>"65103"</f>
        <v>65103</v>
      </c>
      <c r="C16055" s="2">
        <v>0</v>
      </c>
      <c r="D16055" s="2">
        <v>0</v>
      </c>
      <c r="E16055" s="2">
        <v>3.0147723846849498E-4</v>
      </c>
      <c r="F16055" s="2">
        <v>1.2176263591754199E-5</v>
      </c>
    </row>
    <row r="16056" spans="1:6" x14ac:dyDescent="0.25">
      <c r="A16056" s="1" t="str">
        <f t="shared" si="604"/>
        <v>27620</v>
      </c>
      <c r="B16056" s="1" t="str">
        <f>"65084"</f>
        <v>65084</v>
      </c>
      <c r="C16056" s="2">
        <v>1.52523571824736E-4</v>
      </c>
      <c r="D16056" s="2">
        <v>0</v>
      </c>
      <c r="E16056" s="2">
        <v>0</v>
      </c>
      <c r="F16056" s="2">
        <v>1.3393889950929599E-4</v>
      </c>
    </row>
    <row r="16057" spans="1:6" x14ac:dyDescent="0.25">
      <c r="A16057" s="1" t="str">
        <f t="shared" si="604"/>
        <v>27620</v>
      </c>
      <c r="B16057" s="1" t="str">
        <f>"65035"</f>
        <v>65035</v>
      </c>
      <c r="C16057" s="2">
        <v>9.77537437603993E-3</v>
      </c>
      <c r="D16057" s="2">
        <v>2.2421524663677099E-3</v>
      </c>
      <c r="E16057" s="2">
        <v>2.7132951462164601E-3</v>
      </c>
      <c r="F16057" s="2">
        <v>8.8764961583888292E-3</v>
      </c>
    </row>
    <row r="16058" spans="1:6" x14ac:dyDescent="0.25">
      <c r="A16058" s="1" t="str">
        <f t="shared" si="604"/>
        <v>27620</v>
      </c>
      <c r="B16058" s="1" t="str">
        <f>"65050"</f>
        <v>65050</v>
      </c>
      <c r="C16058" s="2">
        <v>2.91181364392678E-3</v>
      </c>
      <c r="D16058" s="2">
        <v>2.5411061285500699E-3</v>
      </c>
      <c r="E16058" s="2">
        <v>3.0147723846849498E-4</v>
      </c>
      <c r="F16058" s="2">
        <v>2.7761880989199601E-3</v>
      </c>
    </row>
    <row r="16059" spans="1:6" x14ac:dyDescent="0.25">
      <c r="A16059" s="1" t="str">
        <f t="shared" si="604"/>
        <v>27620</v>
      </c>
      <c r="B16059" s="1" t="str">
        <f>"65025"</f>
        <v>65025</v>
      </c>
      <c r="C16059" s="2">
        <v>3.92401552967276E-3</v>
      </c>
      <c r="D16059" s="2">
        <v>1.1958146487294401E-3</v>
      </c>
      <c r="E16059" s="2">
        <v>2.11034066927946E-3</v>
      </c>
      <c r="F16059" s="2">
        <v>3.6285265503427601E-3</v>
      </c>
    </row>
    <row r="16060" spans="1:6" x14ac:dyDescent="0.25">
      <c r="A16060" s="1" t="str">
        <f t="shared" si="604"/>
        <v>27620</v>
      </c>
      <c r="B16060" s="1" t="str">
        <f>"63361"</f>
        <v>63361</v>
      </c>
      <c r="C16060" s="2">
        <v>2.3571824736550099E-3</v>
      </c>
      <c r="D16060" s="2">
        <v>2.98953662182361E-4</v>
      </c>
      <c r="E16060" s="2">
        <v>0</v>
      </c>
      <c r="F16060" s="2">
        <v>2.0943173377817202E-3</v>
      </c>
    </row>
    <row r="16061" spans="1:6" x14ac:dyDescent="0.25">
      <c r="A16061" s="1" t="str">
        <f t="shared" si="604"/>
        <v>27620</v>
      </c>
      <c r="B16061" s="1" t="str">
        <f>"65069"</f>
        <v>65069</v>
      </c>
      <c r="C16061" s="2">
        <v>4.2983915696062099E-4</v>
      </c>
      <c r="D16061" s="2">
        <v>1.4947683109118001E-4</v>
      </c>
      <c r="E16061" s="2">
        <v>0</v>
      </c>
      <c r="F16061" s="2">
        <v>3.8964043493613498E-4</v>
      </c>
    </row>
    <row r="16062" spans="1:6" x14ac:dyDescent="0.25">
      <c r="A16062" s="1" t="str">
        <f t="shared" si="604"/>
        <v>27620</v>
      </c>
      <c r="B16062" s="1" t="str">
        <f>"65039"</f>
        <v>65039</v>
      </c>
      <c r="C16062" s="2">
        <v>7.4875207986688805E-4</v>
      </c>
      <c r="D16062" s="2">
        <v>2.98953662182361E-4</v>
      </c>
      <c r="E16062" s="2">
        <v>0</v>
      </c>
      <c r="F16062" s="2">
        <v>6.8187076113823697E-4</v>
      </c>
    </row>
    <row r="16063" spans="1:6" x14ac:dyDescent="0.25">
      <c r="A16063" s="1" t="str">
        <f t="shared" si="604"/>
        <v>27620</v>
      </c>
      <c r="B16063" s="1" t="str">
        <f>"65201"</f>
        <v>65201</v>
      </c>
      <c r="C16063" s="2">
        <v>3.3277870216306098E-4</v>
      </c>
      <c r="D16063" s="2">
        <v>5.0822122571001398E-3</v>
      </c>
      <c r="E16063" s="2">
        <v>1.2059089538739799E-3</v>
      </c>
      <c r="F16063" s="2">
        <v>7.54928342688762E-4</v>
      </c>
    </row>
    <row r="16064" spans="1:6" x14ac:dyDescent="0.25">
      <c r="A16064" s="1" t="str">
        <f t="shared" si="604"/>
        <v>27620</v>
      </c>
      <c r="B16064" s="1" t="str">
        <f>"65059"</f>
        <v>65059</v>
      </c>
      <c r="C16064" s="2">
        <v>6.2118691070438097E-3</v>
      </c>
      <c r="D16064" s="2">
        <v>1.79372197309417E-3</v>
      </c>
      <c r="E16064" s="2">
        <v>2.11034066927946E-3</v>
      </c>
      <c r="F16064" s="2">
        <v>5.6863150973492198E-3</v>
      </c>
    </row>
    <row r="16065" spans="1:6" x14ac:dyDescent="0.25">
      <c r="A16065" s="1" t="str">
        <f t="shared" si="604"/>
        <v>27620</v>
      </c>
      <c r="B16065" s="1" t="str">
        <f>"65110"</f>
        <v>65110</v>
      </c>
      <c r="C16065" s="2">
        <v>1.79839156960621E-2</v>
      </c>
      <c r="D16065" s="2">
        <v>5.7847533632286903E-2</v>
      </c>
      <c r="E16065" s="2">
        <v>3.0147723846849498E-4</v>
      </c>
      <c r="F16065" s="2">
        <v>2.0517004152105799E-2</v>
      </c>
    </row>
    <row r="16066" spans="1:6" x14ac:dyDescent="0.25">
      <c r="A16066" s="1" t="str">
        <f t="shared" si="604"/>
        <v>27620</v>
      </c>
      <c r="B16066" s="1" t="str">
        <f>"65058"</f>
        <v>65058</v>
      </c>
      <c r="C16066" s="2">
        <v>2.1769273433166901E-3</v>
      </c>
      <c r="D16066" s="2">
        <v>2.98953662182361E-4</v>
      </c>
      <c r="E16066" s="2">
        <v>2.11034066927946E-3</v>
      </c>
      <c r="F16066" s="2">
        <v>2.0212597562312001E-3</v>
      </c>
    </row>
    <row r="16067" spans="1:6" x14ac:dyDescent="0.25">
      <c r="A16067" s="1" t="str">
        <f t="shared" ref="A16067:A16095" si="605">"27620"</f>
        <v>27620</v>
      </c>
      <c r="B16067" s="1" t="str">
        <f>"65001"</f>
        <v>65001</v>
      </c>
      <c r="C16067" s="2">
        <v>1.55296727676095E-3</v>
      </c>
      <c r="D16067" s="2">
        <v>4.4843049327354201E-4</v>
      </c>
      <c r="E16067" s="2">
        <v>1.50738619234247E-3</v>
      </c>
      <c r="F16067" s="2">
        <v>1.4611516310105001E-3</v>
      </c>
    </row>
    <row r="16068" spans="1:6" x14ac:dyDescent="0.25">
      <c r="A16068" s="1" t="str">
        <f t="shared" si="605"/>
        <v>27620</v>
      </c>
      <c r="B16068" s="1" t="str">
        <f>"65053"</f>
        <v>65053</v>
      </c>
      <c r="C16068" s="2">
        <v>8.4719911259012702E-3</v>
      </c>
      <c r="D16068" s="2">
        <v>2.5411061285500699E-3</v>
      </c>
      <c r="E16068" s="2">
        <v>9.0443171540548596E-4</v>
      </c>
      <c r="F16068" s="2">
        <v>7.6832223263969199E-3</v>
      </c>
    </row>
    <row r="16069" spans="1:6" x14ac:dyDescent="0.25">
      <c r="A16069" s="1" t="str">
        <f t="shared" si="605"/>
        <v>27620</v>
      </c>
      <c r="B16069" s="1" t="str">
        <f>"65024"</f>
        <v>65024</v>
      </c>
      <c r="C16069" s="2">
        <v>8.6106489184692107E-3</v>
      </c>
      <c r="D16069" s="2">
        <v>4.3348281016442397E-3</v>
      </c>
      <c r="E16069" s="2">
        <v>1.50738619234247E-3</v>
      </c>
      <c r="F16069" s="2">
        <v>7.9754526525990192E-3</v>
      </c>
    </row>
    <row r="16070" spans="1:6" x14ac:dyDescent="0.25">
      <c r="A16070" s="1" t="str">
        <f t="shared" si="605"/>
        <v>27620</v>
      </c>
      <c r="B16070" s="1" t="str">
        <f>"65016"</f>
        <v>65016</v>
      </c>
      <c r="C16070" s="2">
        <v>7.9866888519134708E-3</v>
      </c>
      <c r="D16070" s="2">
        <v>8.9686098654708499E-4</v>
      </c>
      <c r="E16070" s="2">
        <v>1.50738619234247E-3</v>
      </c>
      <c r="F16070" s="2">
        <v>7.1474667283597301E-3</v>
      </c>
    </row>
    <row r="16071" spans="1:6" x14ac:dyDescent="0.25">
      <c r="A16071" s="1" t="str">
        <f t="shared" si="605"/>
        <v>27620</v>
      </c>
      <c r="B16071" s="1" t="str">
        <f>"65262"</f>
        <v>65262</v>
      </c>
      <c r="C16071" s="2">
        <v>5.62950637825845E-3</v>
      </c>
      <c r="D16071" s="2">
        <v>8.2212257100149396E-3</v>
      </c>
      <c r="E16071" s="2">
        <v>2.7132951462164601E-3</v>
      </c>
      <c r="F16071" s="2">
        <v>5.7228438881244898E-3</v>
      </c>
    </row>
    <row r="16072" spans="1:6" x14ac:dyDescent="0.25">
      <c r="A16072" s="1" t="str">
        <f t="shared" si="605"/>
        <v>27620</v>
      </c>
      <c r="B16072" s="1" t="str">
        <f>"65074"</f>
        <v>65074</v>
      </c>
      <c r="C16072" s="2">
        <v>1.9148641153632798E-2</v>
      </c>
      <c r="D16072" s="2">
        <v>4.1853512705530603E-3</v>
      </c>
      <c r="E16072" s="2">
        <v>4.5221585770274303E-3</v>
      </c>
      <c r="F16072" s="2">
        <v>1.7338999354658002E-2</v>
      </c>
    </row>
    <row r="16073" spans="1:6" x14ac:dyDescent="0.25">
      <c r="A16073" s="1" t="str">
        <f t="shared" si="605"/>
        <v>27620</v>
      </c>
      <c r="B16073" s="1" t="str">
        <f>"65264"</f>
        <v>65264</v>
      </c>
      <c r="C16073" s="2">
        <v>9.1514143094841905E-4</v>
      </c>
      <c r="D16073" s="2">
        <v>1.4947683109118001E-4</v>
      </c>
      <c r="E16073" s="2">
        <v>0</v>
      </c>
      <c r="F16073" s="2">
        <v>8.1580966064753301E-4</v>
      </c>
    </row>
    <row r="16074" spans="1:6" x14ac:dyDescent="0.25">
      <c r="A16074" s="1" t="str">
        <f t="shared" si="605"/>
        <v>27620</v>
      </c>
      <c r="B16074" s="1" t="str">
        <f>"65251"</f>
        <v>65251</v>
      </c>
      <c r="C16074" s="2">
        <v>0.14148641153632799</v>
      </c>
      <c r="D16074" s="2">
        <v>0.139461883408071</v>
      </c>
      <c r="E16074" s="2">
        <v>5.9391015978293597E-2</v>
      </c>
      <c r="F16074" s="2">
        <v>0.138005771548942</v>
      </c>
    </row>
    <row r="16075" spans="1:6" x14ac:dyDescent="0.25">
      <c r="A16075" s="1" t="str">
        <f t="shared" si="605"/>
        <v>27620</v>
      </c>
      <c r="B16075" s="1" t="str">
        <f>"65076"</f>
        <v>65076</v>
      </c>
      <c r="C16075" s="2">
        <v>3.4941763727121401E-3</v>
      </c>
      <c r="D16075" s="2">
        <v>7.4738415545590403E-4</v>
      </c>
      <c r="E16075" s="2">
        <v>3.0147723846849498E-4</v>
      </c>
      <c r="F16075" s="2">
        <v>3.1414760066725898E-3</v>
      </c>
    </row>
    <row r="16076" spans="1:6" x14ac:dyDescent="0.25">
      <c r="A16076" s="1" t="str">
        <f t="shared" si="605"/>
        <v>27620</v>
      </c>
      <c r="B16076" s="1" t="str">
        <f>"65061"</f>
        <v>65061</v>
      </c>
      <c r="C16076" s="2">
        <v>1.7609539656128601E-3</v>
      </c>
      <c r="D16076" s="2">
        <v>1.4947683109118001E-4</v>
      </c>
      <c r="E16076" s="2">
        <v>0</v>
      </c>
      <c r="F16076" s="2">
        <v>1.5585617397445399E-3</v>
      </c>
    </row>
    <row r="16077" spans="1:6" x14ac:dyDescent="0.25">
      <c r="A16077" s="1" t="str">
        <f t="shared" si="605"/>
        <v>27620</v>
      </c>
      <c r="B16077" s="1" t="str">
        <f>"65063"</f>
        <v>65063</v>
      </c>
      <c r="C16077" s="2">
        <v>2.1880199667221201E-2</v>
      </c>
      <c r="D16077" s="2">
        <v>8.8191330343796708E-3</v>
      </c>
      <c r="E16077" s="2">
        <v>6.3310220078383996E-3</v>
      </c>
      <c r="F16077" s="2">
        <v>2.0188245035128501E-2</v>
      </c>
    </row>
    <row r="16078" spans="1:6" x14ac:dyDescent="0.25">
      <c r="A16078" s="1" t="str">
        <f t="shared" si="605"/>
        <v>27620</v>
      </c>
      <c r="B16078" s="1" t="str">
        <f>"65011"</f>
        <v>65011</v>
      </c>
      <c r="C16078" s="2">
        <v>7.4875207986688805E-4</v>
      </c>
      <c r="D16078" s="2">
        <v>0</v>
      </c>
      <c r="E16078" s="2">
        <v>0</v>
      </c>
      <c r="F16078" s="2">
        <v>6.5751823395472804E-4</v>
      </c>
    </row>
    <row r="16079" spans="1:6" x14ac:dyDescent="0.25">
      <c r="A16079" s="1" t="str">
        <f t="shared" si="605"/>
        <v>27620</v>
      </c>
      <c r="B16079" s="1" t="str">
        <f>"65054"</f>
        <v>65054</v>
      </c>
      <c r="C16079" s="2">
        <v>5.1580698835274504E-3</v>
      </c>
      <c r="D16079" s="2">
        <v>4.4843049327354199E-3</v>
      </c>
      <c r="E16079" s="2">
        <v>9.0443171540548596E-4</v>
      </c>
      <c r="F16079" s="2">
        <v>4.9313867546604603E-3</v>
      </c>
    </row>
    <row r="16080" spans="1:6" x14ac:dyDescent="0.25">
      <c r="A16080" s="1" t="str">
        <f t="shared" si="605"/>
        <v>27620</v>
      </c>
      <c r="B16080" s="1" t="str">
        <f>"65026"</f>
        <v>65026</v>
      </c>
      <c r="C16080" s="2">
        <v>1.3865779256794201E-5</v>
      </c>
      <c r="D16080" s="2">
        <v>0</v>
      </c>
      <c r="E16080" s="2">
        <v>0</v>
      </c>
      <c r="F16080" s="2">
        <v>1.2176263591754199E-5</v>
      </c>
    </row>
    <row r="16081" spans="1:6" x14ac:dyDescent="0.25">
      <c r="A16081" s="1" t="str">
        <f t="shared" si="605"/>
        <v>27620</v>
      </c>
      <c r="B16081" s="1" t="str">
        <f>"65265"</f>
        <v>65265</v>
      </c>
      <c r="C16081" s="2">
        <v>1.1092623405435299E-4</v>
      </c>
      <c r="D16081" s="2">
        <v>0</v>
      </c>
      <c r="E16081" s="2">
        <v>0</v>
      </c>
      <c r="F16081" s="2">
        <v>9.7410108734033798E-5</v>
      </c>
    </row>
    <row r="16082" spans="1:6" x14ac:dyDescent="0.25">
      <c r="A16082" s="1" t="str">
        <f t="shared" si="605"/>
        <v>27620</v>
      </c>
      <c r="B16082" s="1" t="str">
        <f>"65055"</f>
        <v>65055</v>
      </c>
      <c r="C16082" s="2">
        <v>0</v>
      </c>
      <c r="D16082" s="2">
        <v>0</v>
      </c>
      <c r="E16082" s="2">
        <v>3.0147723846849498E-4</v>
      </c>
      <c r="F16082" s="2">
        <v>1.2176263591754199E-5</v>
      </c>
    </row>
    <row r="16083" spans="1:6" x14ac:dyDescent="0.25">
      <c r="A16083" s="1" t="str">
        <f t="shared" si="605"/>
        <v>27620</v>
      </c>
      <c r="B16083" s="1" t="str">
        <f>"65240"</f>
        <v>65240</v>
      </c>
      <c r="C16083" s="2">
        <v>5.8236272878535705E-4</v>
      </c>
      <c r="D16083" s="2">
        <v>0</v>
      </c>
      <c r="E16083" s="2">
        <v>0</v>
      </c>
      <c r="F16083" s="2">
        <v>5.1140307085367699E-4</v>
      </c>
    </row>
    <row r="16084" spans="1:6" x14ac:dyDescent="0.25">
      <c r="A16084" s="1" t="str">
        <f t="shared" si="605"/>
        <v>27620</v>
      </c>
      <c r="B16084" s="1" t="str">
        <f>"65202"</f>
        <v>65202</v>
      </c>
      <c r="C16084" s="2">
        <v>3.2307265668330499E-3</v>
      </c>
      <c r="D16084" s="2">
        <v>8.3707025411061207E-3</v>
      </c>
      <c r="E16084" s="2">
        <v>1.50738619234247E-3</v>
      </c>
      <c r="F16084" s="2">
        <v>3.57982149597574E-3</v>
      </c>
    </row>
    <row r="16085" spans="1:6" x14ac:dyDescent="0.25">
      <c r="A16085" s="1" t="str">
        <f t="shared" si="605"/>
        <v>27620</v>
      </c>
      <c r="B16085" s="1" t="str">
        <f>"65034"</f>
        <v>65034</v>
      </c>
      <c r="C16085" s="2">
        <v>1.70549084858569E-3</v>
      </c>
      <c r="D16085" s="2">
        <v>1.3452914798206201E-3</v>
      </c>
      <c r="E16085" s="2">
        <v>3.0147723846849498E-4</v>
      </c>
      <c r="F16085" s="2">
        <v>1.6194430577033099E-3</v>
      </c>
    </row>
    <row r="16086" spans="1:6" x14ac:dyDescent="0.25">
      <c r="A16086" s="1" t="str">
        <f t="shared" si="605"/>
        <v>27620</v>
      </c>
      <c r="B16086" s="1" t="str">
        <f>"65018"</f>
        <v>65018</v>
      </c>
      <c r="C16086" s="2">
        <v>5.1067665002773099E-2</v>
      </c>
      <c r="D16086" s="2">
        <v>4.8729446935724903E-2</v>
      </c>
      <c r="E16086" s="2">
        <v>5.2155562255049699E-2</v>
      </c>
      <c r="F16086" s="2">
        <v>5.0921134340716198E-2</v>
      </c>
    </row>
    <row r="16087" spans="1:6" x14ac:dyDescent="0.25">
      <c r="A16087" s="1" t="str">
        <f t="shared" si="605"/>
        <v>27620</v>
      </c>
      <c r="B16087" s="1" t="str">
        <f>"65051"</f>
        <v>65051</v>
      </c>
      <c r="C16087" s="2">
        <v>3.08790904048807E-2</v>
      </c>
      <c r="D16087" s="2">
        <v>1.10612855007473E-2</v>
      </c>
      <c r="E16087" s="2">
        <v>3.1655110039191997E-2</v>
      </c>
      <c r="F16087" s="2">
        <v>2.9296090201760602E-2</v>
      </c>
    </row>
    <row r="16088" spans="1:6" x14ac:dyDescent="0.25">
      <c r="A16088" s="1" t="str">
        <f t="shared" si="605"/>
        <v>27620</v>
      </c>
      <c r="B16088" s="1" t="str">
        <f>"65287"</f>
        <v>65287</v>
      </c>
      <c r="C16088" s="2">
        <v>5.8236272878535705E-4</v>
      </c>
      <c r="D16088" s="2">
        <v>0</v>
      </c>
      <c r="E16088" s="2">
        <v>0</v>
      </c>
      <c r="F16088" s="2">
        <v>5.1140307085367699E-4</v>
      </c>
    </row>
    <row r="16089" spans="1:6" x14ac:dyDescent="0.25">
      <c r="A16089" s="1" t="str">
        <f t="shared" si="605"/>
        <v>27620</v>
      </c>
      <c r="B16089" s="1" t="str">
        <f>"65109"</f>
        <v>65109</v>
      </c>
      <c r="C16089" s="2">
        <v>0.26005268996117498</v>
      </c>
      <c r="D16089" s="2">
        <v>0.28669656203288402</v>
      </c>
      <c r="E16089" s="2">
        <v>0.43834790473319202</v>
      </c>
      <c r="F16089" s="2">
        <v>0.26942418449474498</v>
      </c>
    </row>
    <row r="16090" spans="1:6" x14ac:dyDescent="0.25">
      <c r="A16090" s="1" t="str">
        <f t="shared" si="605"/>
        <v>27620</v>
      </c>
      <c r="B16090" s="1" t="str">
        <f>"65085"</f>
        <v>65085</v>
      </c>
      <c r="C16090" s="2">
        <v>7.0992789794786402E-3</v>
      </c>
      <c r="D16090" s="2">
        <v>3.4379671150971498E-3</v>
      </c>
      <c r="E16090" s="2">
        <v>5.7280675309014104E-3</v>
      </c>
      <c r="F16090" s="2">
        <v>6.7456500298318399E-3</v>
      </c>
    </row>
    <row r="16091" spans="1:6" x14ac:dyDescent="0.25">
      <c r="A16091" s="1" t="str">
        <f t="shared" si="605"/>
        <v>27620</v>
      </c>
      <c r="B16091" s="1" t="str">
        <f>"65013"</f>
        <v>65013</v>
      </c>
      <c r="C16091" s="2">
        <v>4.9916805324459199E-3</v>
      </c>
      <c r="D16091" s="2">
        <v>1.1958146487294401E-3</v>
      </c>
      <c r="E16091" s="2">
        <v>0</v>
      </c>
      <c r="F16091" s="2">
        <v>4.4808650017655501E-3</v>
      </c>
    </row>
    <row r="16092" spans="1:6" x14ac:dyDescent="0.25">
      <c r="A16092" s="1" t="str">
        <f t="shared" si="605"/>
        <v>27620</v>
      </c>
      <c r="B16092" s="1" t="str">
        <f>"65105"</f>
        <v>65105</v>
      </c>
      <c r="C16092" s="2">
        <v>0</v>
      </c>
      <c r="D16092" s="2">
        <v>0</v>
      </c>
      <c r="E16092" s="2">
        <v>3.0147723846849498E-4</v>
      </c>
      <c r="F16092" s="2">
        <v>1.2176263591754199E-5</v>
      </c>
    </row>
    <row r="16093" spans="1:6" x14ac:dyDescent="0.25">
      <c r="A16093" s="1" t="str">
        <f t="shared" si="605"/>
        <v>27620</v>
      </c>
      <c r="B16093" s="1" t="str">
        <f>"65111"</f>
        <v>65111</v>
      </c>
      <c r="C16093" s="2">
        <v>0</v>
      </c>
      <c r="D16093" s="2">
        <v>2.98953662182361E-4</v>
      </c>
      <c r="E16093" s="2">
        <v>0</v>
      </c>
      <c r="F16093" s="2">
        <v>2.4352527183508399E-5</v>
      </c>
    </row>
    <row r="16094" spans="1:6" x14ac:dyDescent="0.25">
      <c r="A16094" s="1" t="str">
        <f t="shared" si="605"/>
        <v>27620</v>
      </c>
      <c r="B16094" s="1" t="str">
        <f>"65062"</f>
        <v>65062</v>
      </c>
      <c r="C16094" s="2">
        <v>8.3194675540765298E-5</v>
      </c>
      <c r="D16094" s="2">
        <v>0</v>
      </c>
      <c r="E16094" s="2">
        <v>0</v>
      </c>
      <c r="F16094" s="2">
        <v>7.3057581550525403E-5</v>
      </c>
    </row>
    <row r="16095" spans="1:6" x14ac:dyDescent="0.25">
      <c r="A16095" s="1" t="str">
        <f t="shared" si="605"/>
        <v>27620</v>
      </c>
      <c r="B16095" s="1" t="str">
        <f>"65102"</f>
        <v>65102</v>
      </c>
      <c r="C16095" s="2">
        <v>1.79977814753189E-2</v>
      </c>
      <c r="D16095" s="2">
        <v>9.80568011958146E-2</v>
      </c>
      <c r="E16095" s="2">
        <v>3.0147723846849498E-4</v>
      </c>
      <c r="F16095" s="2">
        <v>2.38045953218795E-2</v>
      </c>
    </row>
    <row r="16096" spans="1:6" x14ac:dyDescent="0.25">
      <c r="A16096" s="1" t="str">
        <f t="shared" ref="A16096:A16106" si="606">"27660"</f>
        <v>27660</v>
      </c>
      <c r="B16096" s="1" t="str">
        <f>"70532"</f>
        <v>70532</v>
      </c>
      <c r="C16096" s="2">
        <v>3.8295732145423103E-2</v>
      </c>
      <c r="D16096" s="2">
        <v>2.2637795275590501E-2</v>
      </c>
      <c r="E16096" s="2">
        <v>7.78210116731517E-3</v>
      </c>
      <c r="F16096" s="2">
        <v>3.6732275689553E-2</v>
      </c>
    </row>
    <row r="16097" spans="1:6" x14ac:dyDescent="0.25">
      <c r="A16097" s="1" t="str">
        <f t="shared" si="606"/>
        <v>27660</v>
      </c>
      <c r="B16097" s="1" t="str">
        <f>"70591"</f>
        <v>70591</v>
      </c>
      <c r="C16097" s="2">
        <v>0.175599942520477</v>
      </c>
      <c r="D16097" s="2">
        <v>0.12992125984251901</v>
      </c>
      <c r="E16097" s="2">
        <v>8.9494163424124501E-2</v>
      </c>
      <c r="F16097" s="2">
        <v>0.171088144295964</v>
      </c>
    </row>
    <row r="16098" spans="1:6" x14ac:dyDescent="0.25">
      <c r="A16098" s="1" t="str">
        <f t="shared" si="606"/>
        <v>27660</v>
      </c>
      <c r="B16098" s="1" t="str">
        <f>"70657"</f>
        <v>70657</v>
      </c>
      <c r="C16098" s="2">
        <v>1.0418163529242699E-2</v>
      </c>
      <c r="D16098" s="2">
        <v>3.9370078740157402E-3</v>
      </c>
      <c r="E16098" s="2">
        <v>0</v>
      </c>
      <c r="F16098" s="2">
        <v>9.8084392074254401E-3</v>
      </c>
    </row>
    <row r="16099" spans="1:6" x14ac:dyDescent="0.25">
      <c r="A16099" s="1" t="str">
        <f t="shared" si="606"/>
        <v>27660</v>
      </c>
      <c r="B16099" s="1" t="str">
        <f>"70648"</f>
        <v>70648</v>
      </c>
      <c r="C16099" s="2">
        <v>1.6597212243138301E-2</v>
      </c>
      <c r="D16099" s="2">
        <v>9.8425196850393699E-4</v>
      </c>
      <c r="E16099" s="2">
        <v>7.78210116731517E-3</v>
      </c>
      <c r="F16099" s="2">
        <v>1.54038575472319E-2</v>
      </c>
    </row>
    <row r="16100" spans="1:6" x14ac:dyDescent="0.25">
      <c r="A16100" s="1" t="str">
        <f t="shared" si="606"/>
        <v>27660</v>
      </c>
      <c r="B16100" s="1" t="str">
        <f>"70581"</f>
        <v>70581</v>
      </c>
      <c r="C16100" s="2">
        <v>2.0908176462135299E-2</v>
      </c>
      <c r="D16100" s="2">
        <v>1.08267716535433E-2</v>
      </c>
      <c r="E16100" s="2">
        <v>3.8910505836575798E-3</v>
      </c>
      <c r="F16100" s="2">
        <v>1.99460206701336E-2</v>
      </c>
    </row>
    <row r="16101" spans="1:6" x14ac:dyDescent="0.25">
      <c r="A16101" s="1" t="str">
        <f t="shared" si="606"/>
        <v>27660</v>
      </c>
      <c r="B16101" s="1" t="str">
        <f>"70611"</f>
        <v>70611</v>
      </c>
      <c r="C16101" s="2">
        <v>1.00589165109929E-3</v>
      </c>
      <c r="D16101" s="2">
        <v>1.9685039370078701E-3</v>
      </c>
      <c r="E16101" s="2">
        <v>0</v>
      </c>
      <c r="F16101" s="2">
        <v>1.0532552169047399E-3</v>
      </c>
    </row>
    <row r="16102" spans="1:6" x14ac:dyDescent="0.25">
      <c r="A16102" s="1" t="str">
        <f t="shared" si="606"/>
        <v>27660</v>
      </c>
      <c r="B16102" s="1" t="str">
        <f>"70640"</f>
        <v>70640</v>
      </c>
      <c r="C16102" s="2">
        <v>1.4369880729989899E-4</v>
      </c>
      <c r="D16102" s="2">
        <v>0</v>
      </c>
      <c r="E16102" s="2">
        <v>3.8910505836575798E-3</v>
      </c>
      <c r="F16102" s="2">
        <v>1.97485353169639E-4</v>
      </c>
    </row>
    <row r="16103" spans="1:6" x14ac:dyDescent="0.25">
      <c r="A16103" s="1" t="str">
        <f t="shared" si="606"/>
        <v>27660</v>
      </c>
      <c r="B16103" s="1" t="str">
        <f>"70650"</f>
        <v>70650</v>
      </c>
      <c r="C16103" s="2">
        <v>2.1554821094984901E-4</v>
      </c>
      <c r="D16103" s="2">
        <v>0</v>
      </c>
      <c r="E16103" s="2">
        <v>3.8910505836575798E-3</v>
      </c>
      <c r="F16103" s="2">
        <v>2.6331380422618602E-4</v>
      </c>
    </row>
    <row r="16104" spans="1:6" x14ac:dyDescent="0.25">
      <c r="A16104" s="1" t="str">
        <f t="shared" si="606"/>
        <v>27660</v>
      </c>
      <c r="B16104" s="1" t="str">
        <f>"70546"</f>
        <v>70546</v>
      </c>
      <c r="C16104" s="2">
        <v>0.501077741054749</v>
      </c>
      <c r="D16104" s="2">
        <v>0.70570866141732203</v>
      </c>
      <c r="E16104" s="2">
        <v>0.70428015564202295</v>
      </c>
      <c r="F16104" s="2">
        <v>0.51820156671713502</v>
      </c>
    </row>
    <row r="16105" spans="1:6" x14ac:dyDescent="0.25">
      <c r="A16105" s="1" t="str">
        <f t="shared" si="606"/>
        <v>27660</v>
      </c>
      <c r="B16105" s="1" t="str">
        <f>"70549"</f>
        <v>70549</v>
      </c>
      <c r="C16105" s="2">
        <v>0.13543612588015499</v>
      </c>
      <c r="D16105" s="2">
        <v>0.10925196850393699</v>
      </c>
      <c r="E16105" s="2">
        <v>0.155642023346303</v>
      </c>
      <c r="F16105" s="2">
        <v>0.134026726351128</v>
      </c>
    </row>
    <row r="16106" spans="1:6" x14ac:dyDescent="0.25">
      <c r="A16106" s="1" t="str">
        <f t="shared" si="606"/>
        <v>27660</v>
      </c>
      <c r="B16106" s="1" t="str">
        <f>"70647"</f>
        <v>70647</v>
      </c>
      <c r="C16106" s="2">
        <v>0.100301767495329</v>
      </c>
      <c r="D16106" s="2">
        <v>1.4763779527558999E-2</v>
      </c>
      <c r="E16106" s="2">
        <v>2.3346303501945501E-2</v>
      </c>
      <c r="F16106" s="2">
        <v>9.3278915147126495E-2</v>
      </c>
    </row>
    <row r="16107" spans="1:6" x14ac:dyDescent="0.25">
      <c r="A16107" s="1" t="str">
        <f t="shared" ref="A16107:A16114" si="607">"27700"</f>
        <v>27700</v>
      </c>
      <c r="B16107" s="1" t="str">
        <f>"31560"</f>
        <v>31560</v>
      </c>
      <c r="C16107" s="2">
        <v>9.2773685547371004E-2</v>
      </c>
      <c r="D16107" s="2">
        <v>4.2062415196743502E-2</v>
      </c>
      <c r="E16107" s="2">
        <v>1.7777777777777701E-2</v>
      </c>
      <c r="F16107" s="2">
        <v>8.7522210122083999E-2</v>
      </c>
    </row>
    <row r="16108" spans="1:6" x14ac:dyDescent="0.25">
      <c r="A16108" s="1" t="str">
        <f t="shared" si="607"/>
        <v>27700</v>
      </c>
      <c r="B16108" s="1" t="str">
        <f>"31555"</f>
        <v>31555</v>
      </c>
      <c r="C16108" s="2">
        <v>8.3947167894335706E-2</v>
      </c>
      <c r="D16108" s="2">
        <v>2.7815468113975499E-2</v>
      </c>
      <c r="E16108" s="2">
        <v>0</v>
      </c>
      <c r="F16108" s="2">
        <v>7.8122313291683301E-2</v>
      </c>
    </row>
    <row r="16109" spans="1:6" x14ac:dyDescent="0.25">
      <c r="A16109" s="1" t="str">
        <f t="shared" si="607"/>
        <v>27700</v>
      </c>
      <c r="B16109" s="1" t="str">
        <f>"31543"</f>
        <v>31543</v>
      </c>
      <c r="C16109" s="2">
        <v>2.08915417830835E-2</v>
      </c>
      <c r="D16109" s="2">
        <v>5.4274084124830303E-3</v>
      </c>
      <c r="E16109" s="2">
        <v>8.8888888888888802E-3</v>
      </c>
      <c r="F16109" s="2">
        <v>1.9430274545767099E-2</v>
      </c>
    </row>
    <row r="16110" spans="1:6" x14ac:dyDescent="0.25">
      <c r="A16110" s="1" t="str">
        <f t="shared" si="607"/>
        <v>27700</v>
      </c>
      <c r="B16110" s="1" t="str">
        <f>"31545"</f>
        <v>31545</v>
      </c>
      <c r="C16110" s="2">
        <v>0.50933451866903701</v>
      </c>
      <c r="D16110" s="2">
        <v>0.58005427408412402</v>
      </c>
      <c r="E16110" s="2">
        <v>0.72</v>
      </c>
      <c r="F16110" s="2">
        <v>0.51802602166561496</v>
      </c>
    </row>
    <row r="16111" spans="1:6" x14ac:dyDescent="0.25">
      <c r="A16111" s="1" t="str">
        <f t="shared" si="607"/>
        <v>27700</v>
      </c>
      <c r="B16111" s="1" t="str">
        <f>"31598"</f>
        <v>31598</v>
      </c>
      <c r="C16111" s="2">
        <v>8.1534163068326101E-2</v>
      </c>
      <c r="D16111" s="2">
        <v>0.164179104477611</v>
      </c>
      <c r="E16111" s="2">
        <v>8.8888888888888802E-3</v>
      </c>
      <c r="F16111" s="2">
        <v>8.7579526566171795E-2</v>
      </c>
    </row>
    <row r="16112" spans="1:6" x14ac:dyDescent="0.25">
      <c r="A16112" s="1" t="str">
        <f t="shared" si="607"/>
        <v>27700</v>
      </c>
      <c r="B16112" s="1" t="str">
        <f>"31546"</f>
        <v>31546</v>
      </c>
      <c r="C16112" s="2">
        <v>0.20770891541782999</v>
      </c>
      <c r="D16112" s="2">
        <v>0.17774762550881901</v>
      </c>
      <c r="E16112" s="2">
        <v>0.24444444444444399</v>
      </c>
      <c r="F16112" s="2">
        <v>0.20565140138705701</v>
      </c>
    </row>
    <row r="16113" spans="1:6" x14ac:dyDescent="0.25">
      <c r="A16113" s="1" t="str">
        <f t="shared" si="607"/>
        <v>27700</v>
      </c>
      <c r="B16113" s="1" t="str">
        <f>"31518"</f>
        <v>31518</v>
      </c>
      <c r="C16113" s="2">
        <v>3.8100076200152399E-3</v>
      </c>
      <c r="D16113" s="2">
        <v>6.78426051560379E-4</v>
      </c>
      <c r="E16113" s="2">
        <v>0</v>
      </c>
      <c r="F16113" s="2">
        <v>3.4963030893563301E-3</v>
      </c>
    </row>
    <row r="16114" spans="1:6" x14ac:dyDescent="0.25">
      <c r="A16114" s="1" t="str">
        <f t="shared" si="607"/>
        <v>27700</v>
      </c>
      <c r="B16114" s="1" t="str">
        <f>"31599"</f>
        <v>31599</v>
      </c>
      <c r="C16114" s="2">
        <v>0</v>
      </c>
      <c r="D16114" s="2">
        <v>2.0352781546811301E-3</v>
      </c>
      <c r="E16114" s="2">
        <v>0</v>
      </c>
      <c r="F16114" s="2">
        <v>1.7194933226342599E-4</v>
      </c>
    </row>
    <row r="16115" spans="1:6" x14ac:dyDescent="0.25">
      <c r="A16115" s="1" t="str">
        <f t="shared" ref="A16115:A16139" si="608">"27740"</f>
        <v>27740</v>
      </c>
      <c r="B16115" s="1" t="str">
        <f>"37684"</f>
        <v>37684</v>
      </c>
      <c r="C16115" s="2">
        <v>9.4840259600559307E-3</v>
      </c>
      <c r="D16115" s="2">
        <v>5.19804553487888E-3</v>
      </c>
      <c r="E16115" s="2">
        <v>1.9716088328075701E-4</v>
      </c>
      <c r="F16115" s="2">
        <v>8.7843671532788804E-3</v>
      </c>
    </row>
    <row r="16116" spans="1:6" x14ac:dyDescent="0.25">
      <c r="A16116" s="1" t="str">
        <f t="shared" si="608"/>
        <v>27740</v>
      </c>
      <c r="B16116" s="1" t="str">
        <f>"37658"</f>
        <v>37658</v>
      </c>
      <c r="C16116" s="2">
        <v>2.1800709957330799E-2</v>
      </c>
      <c r="D16116" s="2">
        <v>1.23713483730117E-2</v>
      </c>
      <c r="E16116" s="2">
        <v>1.30126182965299E-2</v>
      </c>
      <c r="F16116" s="2">
        <v>2.0729205446466E-2</v>
      </c>
    </row>
    <row r="16117" spans="1:6" x14ac:dyDescent="0.25">
      <c r="A16117" s="1" t="str">
        <f t="shared" si="608"/>
        <v>27740</v>
      </c>
      <c r="B16117" s="1" t="str">
        <f>"37614"</f>
        <v>37614</v>
      </c>
      <c r="C16117" s="2">
        <v>0</v>
      </c>
      <c r="D16117" s="2">
        <v>6.2376546418546597E-4</v>
      </c>
      <c r="E16117" s="2">
        <v>0</v>
      </c>
      <c r="F16117" s="2">
        <v>4.75258818031319E-5</v>
      </c>
    </row>
    <row r="16118" spans="1:6" x14ac:dyDescent="0.25">
      <c r="A16118" s="1" t="str">
        <f t="shared" si="608"/>
        <v>27740</v>
      </c>
      <c r="B16118" s="1" t="str">
        <f>"37605"</f>
        <v>37605</v>
      </c>
      <c r="C16118" s="2">
        <v>9.9591236688300003E-3</v>
      </c>
      <c r="D16118" s="2">
        <v>3.6490279654849703E-2</v>
      </c>
      <c r="E16118" s="2">
        <v>3.9432176656151402E-4</v>
      </c>
      <c r="F16118" s="2">
        <v>1.15963151599641E-2</v>
      </c>
    </row>
    <row r="16119" spans="1:6" x14ac:dyDescent="0.25">
      <c r="A16119" s="1" t="str">
        <f t="shared" si="608"/>
        <v>27740</v>
      </c>
      <c r="B16119" s="1" t="str">
        <f>"37694"</f>
        <v>37694</v>
      </c>
      <c r="C16119" s="2">
        <v>7.3864247552798499E-3</v>
      </c>
      <c r="D16119" s="2">
        <v>2.0792182139515499E-3</v>
      </c>
      <c r="E16119" s="2">
        <v>1.77444794952681E-3</v>
      </c>
      <c r="F16119" s="2">
        <v>6.7565961963452501E-3</v>
      </c>
    </row>
    <row r="16120" spans="1:6" x14ac:dyDescent="0.25">
      <c r="A16120" s="1" t="str">
        <f t="shared" si="608"/>
        <v>27740</v>
      </c>
      <c r="B16120" s="1" t="str">
        <f>"37640"</f>
        <v>37640</v>
      </c>
      <c r="C16120" s="2">
        <v>7.68224030979956E-3</v>
      </c>
      <c r="D16120" s="2">
        <v>1.6633745711612401E-3</v>
      </c>
      <c r="E16120" s="2">
        <v>5.9148264984227098E-4</v>
      </c>
      <c r="F16120" s="2">
        <v>6.93877874325726E-3</v>
      </c>
    </row>
    <row r="16121" spans="1:6" x14ac:dyDescent="0.25">
      <c r="A16121" s="1" t="str">
        <f t="shared" si="608"/>
        <v>27740</v>
      </c>
      <c r="B16121" s="1" t="str">
        <f>"37604"</f>
        <v>37604</v>
      </c>
      <c r="C16121" s="2">
        <v>0.175911649754383</v>
      </c>
      <c r="D16121" s="2">
        <v>0.23848632914024301</v>
      </c>
      <c r="E16121" s="2">
        <v>0.31585173501577202</v>
      </c>
      <c r="F16121" s="2">
        <v>0.18630145666827699</v>
      </c>
    </row>
    <row r="16122" spans="1:6" x14ac:dyDescent="0.25">
      <c r="A16122" s="1" t="str">
        <f t="shared" si="608"/>
        <v>27740</v>
      </c>
      <c r="B16122" s="1" t="str">
        <f>"37650"</f>
        <v>37650</v>
      </c>
      <c r="C16122" s="2">
        <v>5.76929972390548E-2</v>
      </c>
      <c r="D16122" s="2">
        <v>5.2292338080881497E-2</v>
      </c>
      <c r="E16122" s="2">
        <v>3.3123028391167098E-2</v>
      </c>
      <c r="F16122" s="2">
        <v>5.6294406995809801E-2</v>
      </c>
    </row>
    <row r="16123" spans="1:6" x14ac:dyDescent="0.25">
      <c r="A16123" s="1" t="str">
        <f t="shared" si="608"/>
        <v>27740</v>
      </c>
      <c r="B16123" s="1" t="str">
        <f>"37682"</f>
        <v>37682</v>
      </c>
      <c r="C16123" s="2">
        <v>1.20029402273297E-2</v>
      </c>
      <c r="D16123" s="2">
        <v>6.5495373739473898E-3</v>
      </c>
      <c r="E16123" s="2">
        <v>3.9432176656151402E-4</v>
      </c>
      <c r="F16123" s="2">
        <v>1.11210563419328E-2</v>
      </c>
    </row>
    <row r="16124" spans="1:6" x14ac:dyDescent="0.25">
      <c r="A16124" s="1" t="str">
        <f t="shared" si="608"/>
        <v>27740</v>
      </c>
      <c r="B16124" s="1" t="str">
        <f>"37601"</f>
        <v>37601</v>
      </c>
      <c r="C16124" s="2">
        <v>0.17672738355623999</v>
      </c>
      <c r="D16124" s="2">
        <v>0.216030772429566</v>
      </c>
      <c r="E16124" s="2">
        <v>0.30914826498422698</v>
      </c>
      <c r="F16124" s="2">
        <v>0.18504202080049401</v>
      </c>
    </row>
    <row r="16125" spans="1:6" x14ac:dyDescent="0.25">
      <c r="A16125" s="1" t="str">
        <f t="shared" si="608"/>
        <v>27740</v>
      </c>
      <c r="B16125" s="1" t="str">
        <f>"37643"</f>
        <v>37643</v>
      </c>
      <c r="C16125" s="2">
        <v>0.15452328875183699</v>
      </c>
      <c r="D16125" s="2">
        <v>0.14596111861939901</v>
      </c>
      <c r="E16125" s="2">
        <v>0.156545741324921</v>
      </c>
      <c r="F16125" s="2">
        <v>0.153952173120945</v>
      </c>
    </row>
    <row r="16126" spans="1:6" x14ac:dyDescent="0.25">
      <c r="A16126" s="1" t="str">
        <f t="shared" si="608"/>
        <v>27740</v>
      </c>
      <c r="B16126" s="1" t="str">
        <f>"37602"</f>
        <v>37602</v>
      </c>
      <c r="C16126" s="2">
        <v>1.3706120692746199E-2</v>
      </c>
      <c r="D16126" s="2">
        <v>5.74903836157604E-2</v>
      </c>
      <c r="E16126" s="2">
        <v>3.9432176656151402E-4</v>
      </c>
      <c r="F16126" s="2">
        <v>1.6507322946287799E-2</v>
      </c>
    </row>
    <row r="16127" spans="1:6" x14ac:dyDescent="0.25">
      <c r="A16127" s="1" t="str">
        <f t="shared" si="608"/>
        <v>27740</v>
      </c>
      <c r="B16127" s="1" t="str">
        <f>"37663"</f>
        <v>37663</v>
      </c>
      <c r="C16127" s="2">
        <v>3.63942773136362E-3</v>
      </c>
      <c r="D16127" s="2">
        <v>1.45545274976608E-3</v>
      </c>
      <c r="E16127" s="2">
        <v>1.38012618296529E-3</v>
      </c>
      <c r="F16127" s="2">
        <v>3.3822585883228899E-3</v>
      </c>
    </row>
    <row r="16128" spans="1:6" x14ac:dyDescent="0.25">
      <c r="A16128" s="1" t="str">
        <f t="shared" si="608"/>
        <v>27740</v>
      </c>
      <c r="B16128" s="1" t="str">
        <f>"37683"</f>
        <v>37683</v>
      </c>
      <c r="C16128" s="2">
        <v>1.7928215425436501E-5</v>
      </c>
      <c r="D16128" s="2">
        <v>0</v>
      </c>
      <c r="E16128" s="2">
        <v>0</v>
      </c>
      <c r="F16128" s="2">
        <v>1.5841960601043899E-5</v>
      </c>
    </row>
    <row r="16129" spans="1:6" x14ac:dyDescent="0.25">
      <c r="A16129" s="1" t="str">
        <f t="shared" si="608"/>
        <v>27740</v>
      </c>
      <c r="B16129" s="1" t="str">
        <f>"37657"</f>
        <v>37657</v>
      </c>
      <c r="C16129" s="2">
        <v>7.7091326329377097E-3</v>
      </c>
      <c r="D16129" s="2">
        <v>3.2227882316249001E-3</v>
      </c>
      <c r="E16129" s="2">
        <v>1.18296529968454E-3</v>
      </c>
      <c r="F16129" s="2">
        <v>7.10511932956822E-3</v>
      </c>
    </row>
    <row r="16130" spans="1:6" x14ac:dyDescent="0.25">
      <c r="A16130" s="1" t="str">
        <f t="shared" si="608"/>
        <v>27740</v>
      </c>
      <c r="B16130" s="1" t="str">
        <f>"37690"</f>
        <v>37690</v>
      </c>
      <c r="C16130" s="2">
        <v>1.7928215425436499E-2</v>
      </c>
      <c r="D16130" s="2">
        <v>4.2623973386006798E-3</v>
      </c>
      <c r="E16130" s="2">
        <v>1.97160883280757E-3</v>
      </c>
      <c r="F16130" s="2">
        <v>1.6245930596370601E-2</v>
      </c>
    </row>
    <row r="16131" spans="1:6" x14ac:dyDescent="0.25">
      <c r="A16131" s="1" t="str">
        <f t="shared" si="608"/>
        <v>27740</v>
      </c>
      <c r="B16131" s="1" t="str">
        <f>"37687"</f>
        <v>37687</v>
      </c>
      <c r="C16131" s="2">
        <v>2.6103481659435601E-2</v>
      </c>
      <c r="D16131" s="2">
        <v>1.6425823890217201E-2</v>
      </c>
      <c r="E16131" s="2">
        <v>7.2949526813880098E-3</v>
      </c>
      <c r="F16131" s="2">
        <v>2.4610485793721801E-2</v>
      </c>
    </row>
    <row r="16132" spans="1:6" x14ac:dyDescent="0.25">
      <c r="A16132" s="1" t="str">
        <f t="shared" si="608"/>
        <v>27740</v>
      </c>
      <c r="B16132" s="1" t="str">
        <f>"37659"</f>
        <v>37659</v>
      </c>
      <c r="C16132" s="2">
        <v>0.128195704399584</v>
      </c>
      <c r="D16132" s="2">
        <v>7.1213223827840705E-2</v>
      </c>
      <c r="E16132" s="2">
        <v>4.6529968454258601E-2</v>
      </c>
      <c r="F16132" s="2">
        <v>0.120573162134545</v>
      </c>
    </row>
    <row r="16133" spans="1:6" x14ac:dyDescent="0.25">
      <c r="A16133" s="1" t="str">
        <f t="shared" si="608"/>
        <v>27740</v>
      </c>
      <c r="B16133" s="1" t="str">
        <f>"37641"</f>
        <v>37641</v>
      </c>
      <c r="C16133" s="2">
        <v>8.3186919574025596E-3</v>
      </c>
      <c r="D16133" s="2">
        <v>2.70298367813702E-3</v>
      </c>
      <c r="E16133" s="2">
        <v>5.9148264984227098E-4</v>
      </c>
      <c r="F16133" s="2">
        <v>7.5803781475995398E-3</v>
      </c>
    </row>
    <row r="16134" spans="1:6" x14ac:dyDescent="0.25">
      <c r="A16134" s="1" t="str">
        <f t="shared" si="608"/>
        <v>27740</v>
      </c>
      <c r="B16134" s="1" t="str">
        <f>"37681"</f>
        <v>37681</v>
      </c>
      <c r="C16134" s="2">
        <v>2.0196134676754199E-2</v>
      </c>
      <c r="D16134" s="2">
        <v>6.8614201060401203E-3</v>
      </c>
      <c r="E16134" s="2">
        <v>2.1687697160883198E-3</v>
      </c>
      <c r="F16134" s="2">
        <v>1.8455884100216199E-2</v>
      </c>
    </row>
    <row r="16135" spans="1:6" x14ac:dyDescent="0.25">
      <c r="A16135" s="1" t="str">
        <f t="shared" si="608"/>
        <v>27740</v>
      </c>
      <c r="B16135" s="1" t="str">
        <f>"37692"</f>
        <v>37692</v>
      </c>
      <c r="C16135" s="2">
        <v>2.0617447739252E-2</v>
      </c>
      <c r="D16135" s="2">
        <v>1.1123817444640799E-2</v>
      </c>
      <c r="E16135" s="2">
        <v>1.6758675078864301E-2</v>
      </c>
      <c r="F16135" s="2">
        <v>1.97390829089008E-2</v>
      </c>
    </row>
    <row r="16136" spans="1:6" x14ac:dyDescent="0.25">
      <c r="A16136" s="1" t="str">
        <f t="shared" si="608"/>
        <v>27740</v>
      </c>
      <c r="B16136" s="1" t="str">
        <f>"37656"</f>
        <v>37656</v>
      </c>
      <c r="C16136" s="2">
        <v>1.1599555380257399E-2</v>
      </c>
      <c r="D16136" s="2">
        <v>3.1188273209273301E-3</v>
      </c>
      <c r="E16136" s="2">
        <v>1.18296529968454E-3</v>
      </c>
      <c r="F16136" s="2">
        <v>1.05349037996942E-2</v>
      </c>
    </row>
    <row r="16137" spans="1:6" x14ac:dyDescent="0.25">
      <c r="A16137" s="1" t="str">
        <f t="shared" si="608"/>
        <v>27740</v>
      </c>
      <c r="B16137" s="1" t="str">
        <f>"37615"</f>
        <v>37615</v>
      </c>
      <c r="C16137" s="2">
        <v>0.108358134031338</v>
      </c>
      <c r="D16137" s="2">
        <v>0.104376754340368</v>
      </c>
      <c r="E16137" s="2">
        <v>8.9511041009463693E-2</v>
      </c>
      <c r="F16137" s="2">
        <v>0.10729759915087</v>
      </c>
    </row>
    <row r="16138" spans="1:6" x14ac:dyDescent="0.25">
      <c r="A16138" s="1" t="str">
        <f t="shared" si="608"/>
        <v>27740</v>
      </c>
      <c r="B16138" s="1" t="str">
        <f>"37688"</f>
        <v>37688</v>
      </c>
      <c r="C16138" s="2">
        <v>3.5856430850873103E-5</v>
      </c>
      <c r="D16138" s="2">
        <v>0</v>
      </c>
      <c r="E16138" s="2">
        <v>0</v>
      </c>
      <c r="F16138" s="2">
        <v>3.16839212020879E-5</v>
      </c>
    </row>
    <row r="16139" spans="1:6" x14ac:dyDescent="0.25">
      <c r="A16139" s="1" t="str">
        <f t="shared" si="608"/>
        <v>27740</v>
      </c>
      <c r="B16139" s="1" t="str">
        <f>"37686"</f>
        <v>37686</v>
      </c>
      <c r="C16139" s="2">
        <v>4.0338484707232202E-4</v>
      </c>
      <c r="D16139" s="2">
        <v>0</v>
      </c>
      <c r="E16139" s="2">
        <v>0</v>
      </c>
      <c r="F16139" s="2">
        <v>3.5644411352348898E-4</v>
      </c>
    </row>
    <row r="16140" spans="1:6" x14ac:dyDescent="0.25">
      <c r="A16140" s="1" t="str">
        <f t="shared" ref="A16140:A16171" si="609">"27780"</f>
        <v>27780</v>
      </c>
      <c r="B16140" s="1" t="str">
        <f>"16644"</f>
        <v>16644</v>
      </c>
      <c r="C16140" s="2">
        <v>0</v>
      </c>
      <c r="D16140" s="2">
        <v>1.9087612139721301E-4</v>
      </c>
      <c r="E16140" s="2">
        <v>4.4523597506678501E-4</v>
      </c>
      <c r="F16140" s="2">
        <v>2.8166237131550399E-5</v>
      </c>
    </row>
    <row r="16141" spans="1:6" x14ac:dyDescent="0.25">
      <c r="A16141" s="1" t="str">
        <f t="shared" si="609"/>
        <v>27780</v>
      </c>
      <c r="B16141" s="1" t="str">
        <f>"15951"</f>
        <v>15951</v>
      </c>
      <c r="C16141" s="2">
        <v>0</v>
      </c>
      <c r="D16141" s="2">
        <v>1.9087612139721301E-4</v>
      </c>
      <c r="E16141" s="2">
        <v>4.4523597506678503E-3</v>
      </c>
      <c r="F16141" s="2">
        <v>1.5491430422352699E-4</v>
      </c>
    </row>
    <row r="16142" spans="1:6" x14ac:dyDescent="0.25">
      <c r="A16142" s="1" t="str">
        <f t="shared" si="609"/>
        <v>27780</v>
      </c>
      <c r="B16142" s="1" t="str">
        <f>"15773"</f>
        <v>15773</v>
      </c>
      <c r="C16142" s="2">
        <v>5.8247536286640798E-4</v>
      </c>
      <c r="D16142" s="2">
        <v>1.9087612139721301E-4</v>
      </c>
      <c r="E16142" s="2">
        <v>1.3357079252003499E-3</v>
      </c>
      <c r="F16142" s="2">
        <v>5.7740786119678299E-4</v>
      </c>
    </row>
    <row r="16143" spans="1:6" x14ac:dyDescent="0.25">
      <c r="A16143" s="1" t="str">
        <f t="shared" si="609"/>
        <v>27780</v>
      </c>
      <c r="B16143" s="1" t="str">
        <f>"16627"</f>
        <v>16627</v>
      </c>
      <c r="C16143" s="2">
        <v>8.0287144611315697E-4</v>
      </c>
      <c r="D16143" s="2">
        <v>0</v>
      </c>
      <c r="E16143" s="2">
        <v>0</v>
      </c>
      <c r="F16143" s="2">
        <v>7.1823904685453497E-4</v>
      </c>
    </row>
    <row r="16144" spans="1:6" x14ac:dyDescent="0.25">
      <c r="A16144" s="1" t="str">
        <f t="shared" si="609"/>
        <v>27780</v>
      </c>
      <c r="B16144" s="1" t="str">
        <f>"16640"</f>
        <v>16640</v>
      </c>
      <c r="C16144" s="2">
        <v>3.6837631056956602E-3</v>
      </c>
      <c r="D16144" s="2">
        <v>1.9087612139721301E-3</v>
      </c>
      <c r="E16144" s="2">
        <v>4.0071237756010604E-3</v>
      </c>
      <c r="F16144" s="2">
        <v>3.5630289971411199E-3</v>
      </c>
    </row>
    <row r="16145" spans="1:6" x14ac:dyDescent="0.25">
      <c r="A16145" s="1" t="str">
        <f t="shared" si="609"/>
        <v>27780</v>
      </c>
      <c r="B16145" s="1" t="str">
        <f>"15957"</f>
        <v>15957</v>
      </c>
      <c r="C16145" s="2">
        <v>1.10198041623374E-3</v>
      </c>
      <c r="D16145" s="2">
        <v>5.7262836419163902E-4</v>
      </c>
      <c r="E16145" s="2">
        <v>0</v>
      </c>
      <c r="F16145" s="2">
        <v>1.0280676553015801E-3</v>
      </c>
    </row>
    <row r="16146" spans="1:6" x14ac:dyDescent="0.25">
      <c r="A16146" s="1" t="str">
        <f t="shared" si="609"/>
        <v>27780</v>
      </c>
      <c r="B16146" s="1" t="str">
        <f>"15902"</f>
        <v>15902</v>
      </c>
      <c r="C16146" s="2">
        <v>0.10785239759453399</v>
      </c>
      <c r="D16146" s="2">
        <v>6.4707005153655198E-2</v>
      </c>
      <c r="E16146" s="2">
        <v>5.4764024933214597E-2</v>
      </c>
      <c r="F16146" s="2">
        <v>0.102989846071514</v>
      </c>
    </row>
    <row r="16147" spans="1:6" x14ac:dyDescent="0.25">
      <c r="A16147" s="1" t="str">
        <f t="shared" si="609"/>
        <v>27780</v>
      </c>
      <c r="B16147" s="1" t="str">
        <f>"15946"</f>
        <v>15946</v>
      </c>
      <c r="C16147" s="2">
        <v>4.9557633575768999E-2</v>
      </c>
      <c r="D16147" s="2">
        <v>3.4548577972895497E-2</v>
      </c>
      <c r="E16147" s="2">
        <v>2.9385574354407799E-2</v>
      </c>
      <c r="F16147" s="2">
        <v>4.78121875308068E-2</v>
      </c>
    </row>
    <row r="16148" spans="1:6" x14ac:dyDescent="0.25">
      <c r="A16148" s="1" t="str">
        <f t="shared" si="609"/>
        <v>27780</v>
      </c>
      <c r="B16148" s="1" t="str">
        <f>"15906"</f>
        <v>15906</v>
      </c>
      <c r="C16148" s="2">
        <v>9.5998236831334002E-2</v>
      </c>
      <c r="D16148" s="2">
        <v>6.4516129032257993E-2</v>
      </c>
      <c r="E16148" s="2">
        <v>8.7711487088156695E-2</v>
      </c>
      <c r="F16148" s="2">
        <v>9.3413325446786905E-2</v>
      </c>
    </row>
    <row r="16149" spans="1:6" x14ac:dyDescent="0.25">
      <c r="A16149" s="1" t="str">
        <f t="shared" si="609"/>
        <v>27780</v>
      </c>
      <c r="B16149" s="1" t="str">
        <f>"15963"</f>
        <v>15963</v>
      </c>
      <c r="C16149" s="2">
        <v>2.0150499039702702E-2</v>
      </c>
      <c r="D16149" s="2">
        <v>5.3445313991219599E-3</v>
      </c>
      <c r="E16149" s="2">
        <v>1.78094390026714E-3</v>
      </c>
      <c r="F16149" s="2">
        <v>1.8477051558297E-2</v>
      </c>
    </row>
    <row r="16150" spans="1:6" x14ac:dyDescent="0.25">
      <c r="A16150" s="1" t="str">
        <f t="shared" si="609"/>
        <v>27780</v>
      </c>
      <c r="B16150" s="1" t="str">
        <f>"15934"</f>
        <v>15934</v>
      </c>
      <c r="C16150" s="2">
        <v>0</v>
      </c>
      <c r="D16150" s="2">
        <v>1.9087612139721301E-4</v>
      </c>
      <c r="E16150" s="2">
        <v>0</v>
      </c>
      <c r="F16150" s="2">
        <v>1.40831185657752E-5</v>
      </c>
    </row>
    <row r="16151" spans="1:6" x14ac:dyDescent="0.25">
      <c r="A16151" s="1" t="str">
        <f t="shared" si="609"/>
        <v>27780</v>
      </c>
      <c r="B16151" s="1" t="str">
        <f>"15775"</f>
        <v>15775</v>
      </c>
      <c r="C16151" s="2">
        <v>0</v>
      </c>
      <c r="D16151" s="2">
        <v>1.9087612139721301E-4</v>
      </c>
      <c r="E16151" s="2">
        <v>0</v>
      </c>
      <c r="F16151" s="2">
        <v>1.40831185657752E-5</v>
      </c>
    </row>
    <row r="16152" spans="1:6" x14ac:dyDescent="0.25">
      <c r="A16152" s="1" t="str">
        <f t="shared" si="609"/>
        <v>27780</v>
      </c>
      <c r="B16152" s="1" t="str">
        <f>"15930"</f>
        <v>15930</v>
      </c>
      <c r="C16152" s="2">
        <v>0</v>
      </c>
      <c r="D16152" s="2">
        <v>1.9087612139721301E-4</v>
      </c>
      <c r="E16152" s="2">
        <v>0</v>
      </c>
      <c r="F16152" s="2">
        <v>1.40831185657752E-5</v>
      </c>
    </row>
    <row r="16153" spans="1:6" x14ac:dyDescent="0.25">
      <c r="A16153" s="1" t="str">
        <f t="shared" si="609"/>
        <v>27780</v>
      </c>
      <c r="B16153" s="1" t="str">
        <f>"15737"</f>
        <v>15737</v>
      </c>
      <c r="C16153" s="2">
        <v>0</v>
      </c>
      <c r="D16153" s="2">
        <v>1.9087612139721301E-4</v>
      </c>
      <c r="E16153" s="2">
        <v>2.2261798753339199E-3</v>
      </c>
      <c r="F16153" s="2">
        <v>8.4498711394651198E-5</v>
      </c>
    </row>
    <row r="16154" spans="1:6" x14ac:dyDescent="0.25">
      <c r="A16154" s="1" t="str">
        <f t="shared" si="609"/>
        <v>27780</v>
      </c>
      <c r="B16154" s="1" t="str">
        <f>"15927"</f>
        <v>15927</v>
      </c>
      <c r="C16154" s="2">
        <v>2.17247567771795E-3</v>
      </c>
      <c r="D16154" s="2">
        <v>1.14525672838327E-3</v>
      </c>
      <c r="E16154" s="2">
        <v>2.2261798753339199E-3</v>
      </c>
      <c r="F16154" s="2">
        <v>2.0983846663005E-3</v>
      </c>
    </row>
    <row r="16155" spans="1:6" x14ac:dyDescent="0.25">
      <c r="A16155" s="1" t="str">
        <f t="shared" si="609"/>
        <v>27780</v>
      </c>
      <c r="B16155" s="1" t="str">
        <f>"15904"</f>
        <v>15904</v>
      </c>
      <c r="C16155" s="2">
        <v>0.117959132269135</v>
      </c>
      <c r="D16155" s="2">
        <v>0.21492651269326199</v>
      </c>
      <c r="E16155" s="2">
        <v>0.177649154051647</v>
      </c>
      <c r="F16155" s="2">
        <v>0.12700156322615999</v>
      </c>
    </row>
    <row r="16156" spans="1:6" x14ac:dyDescent="0.25">
      <c r="A16156" s="1" t="str">
        <f t="shared" si="609"/>
        <v>27780</v>
      </c>
      <c r="B16156" s="1" t="str">
        <f>"15905"</f>
        <v>15905</v>
      </c>
      <c r="C16156" s="2">
        <v>0.142832404521268</v>
      </c>
      <c r="D16156" s="2">
        <v>9.2765794999045595E-2</v>
      </c>
      <c r="E16156" s="2">
        <v>6.4559216384683801E-2</v>
      </c>
      <c r="F16156" s="2">
        <v>0.136662582562282</v>
      </c>
    </row>
    <row r="16157" spans="1:6" x14ac:dyDescent="0.25">
      <c r="A16157" s="1" t="str">
        <f t="shared" si="609"/>
        <v>27780</v>
      </c>
      <c r="B16157" s="1" t="str">
        <f>"15714"</f>
        <v>15714</v>
      </c>
      <c r="C16157" s="2">
        <v>3.3342778879758103E-2</v>
      </c>
      <c r="D16157" s="2">
        <v>3.2258064516128997E-2</v>
      </c>
      <c r="E16157" s="2">
        <v>3.6509349955476403E-2</v>
      </c>
      <c r="F16157" s="2">
        <v>3.3362907882321401E-2</v>
      </c>
    </row>
    <row r="16158" spans="1:6" x14ac:dyDescent="0.25">
      <c r="A16158" s="1" t="str">
        <f t="shared" si="609"/>
        <v>27780</v>
      </c>
      <c r="B16158" s="1" t="str">
        <f>"15722"</f>
        <v>15722</v>
      </c>
      <c r="C16158" s="2">
        <v>9.8076257044803303E-3</v>
      </c>
      <c r="D16158" s="2">
        <v>6.1080358847108197E-3</v>
      </c>
      <c r="E16158" s="2">
        <v>2.2261798753339199E-3</v>
      </c>
      <c r="F16158" s="2">
        <v>9.2948582534116298E-3</v>
      </c>
    </row>
    <row r="16159" spans="1:6" x14ac:dyDescent="0.25">
      <c r="A16159" s="1" t="str">
        <f t="shared" si="609"/>
        <v>27780</v>
      </c>
      <c r="B16159" s="1" t="str">
        <f>"16646"</f>
        <v>16646</v>
      </c>
      <c r="C16159" s="2">
        <v>9.2408929189886895E-3</v>
      </c>
      <c r="D16159" s="2">
        <v>3.0540179423554099E-3</v>
      </c>
      <c r="E16159" s="2">
        <v>1.4247551202137099E-2</v>
      </c>
      <c r="F16159" s="2">
        <v>8.9427802892672499E-3</v>
      </c>
    </row>
    <row r="16160" spans="1:6" x14ac:dyDescent="0.25">
      <c r="A16160" s="1" t="str">
        <f t="shared" si="609"/>
        <v>27780</v>
      </c>
      <c r="B16160" s="1" t="str">
        <f>"15901"</f>
        <v>15901</v>
      </c>
      <c r="C16160" s="2">
        <v>4.6912880576808001E-2</v>
      </c>
      <c r="D16160" s="2">
        <v>0.13017751479289899</v>
      </c>
      <c r="E16160" s="2">
        <v>7.3463935886019502E-2</v>
      </c>
      <c r="F16160" s="2">
        <v>5.3896094751221701E-2</v>
      </c>
    </row>
    <row r="16161" spans="1:6" x14ac:dyDescent="0.25">
      <c r="A16161" s="1" t="str">
        <f t="shared" si="609"/>
        <v>27780</v>
      </c>
      <c r="B16161" s="1" t="str">
        <f>"15956"</f>
        <v>15956</v>
      </c>
      <c r="C16161" s="2">
        <v>2.0843172444192499E-2</v>
      </c>
      <c r="D16161" s="2">
        <v>1.1070815041038301E-2</v>
      </c>
      <c r="E16161" s="2">
        <v>2.2261798753339199E-2</v>
      </c>
      <c r="F16161" s="2">
        <v>2.016702578619E-2</v>
      </c>
    </row>
    <row r="16162" spans="1:6" x14ac:dyDescent="0.25">
      <c r="A16162" s="1" t="str">
        <f t="shared" si="609"/>
        <v>27780</v>
      </c>
      <c r="B16162" s="1" t="str">
        <f>"15909"</f>
        <v>15909</v>
      </c>
      <c r="C16162" s="2">
        <v>4.3638424482856299E-2</v>
      </c>
      <c r="D16162" s="2">
        <v>3.2067188394731799E-2</v>
      </c>
      <c r="E16162" s="2">
        <v>1.7364203027604601E-2</v>
      </c>
      <c r="F16162" s="2">
        <v>4.19536102074443E-2</v>
      </c>
    </row>
    <row r="16163" spans="1:6" x14ac:dyDescent="0.25">
      <c r="A16163" s="1" t="str">
        <f t="shared" si="609"/>
        <v>27780</v>
      </c>
      <c r="B16163" s="1" t="str">
        <f>"16635"</f>
        <v>16635</v>
      </c>
      <c r="C16163" s="2">
        <v>3.14851547495355E-5</v>
      </c>
      <c r="D16163" s="2">
        <v>1.04981866768467E-2</v>
      </c>
      <c r="E16163" s="2">
        <v>2.6714158504007098E-3</v>
      </c>
      <c r="F16163" s="2">
        <v>8.8723646964383696E-4</v>
      </c>
    </row>
    <row r="16164" spans="1:6" x14ac:dyDescent="0.25">
      <c r="A16164" s="1" t="str">
        <f t="shared" si="609"/>
        <v>27780</v>
      </c>
      <c r="B16164" s="1" t="str">
        <f>"16629"</f>
        <v>16629</v>
      </c>
      <c r="C16164" s="2">
        <v>4.7227732124303299E-4</v>
      </c>
      <c r="D16164" s="2">
        <v>3.8175224279442602E-4</v>
      </c>
      <c r="E16164" s="2">
        <v>4.4523597506678501E-4</v>
      </c>
      <c r="F16164" s="2">
        <v>4.6474291267058101E-4</v>
      </c>
    </row>
    <row r="16165" spans="1:6" x14ac:dyDescent="0.25">
      <c r="A16165" s="1" t="str">
        <f t="shared" si="609"/>
        <v>27780</v>
      </c>
      <c r="B16165" s="1" t="str">
        <f>"15960"</f>
        <v>15960</v>
      </c>
      <c r="C16165" s="2">
        <v>0</v>
      </c>
      <c r="D16165" s="2">
        <v>1.9087612139721301E-4</v>
      </c>
      <c r="E16165" s="2">
        <v>4.4523597506678501E-4</v>
      </c>
      <c r="F16165" s="2">
        <v>2.8166237131550399E-5</v>
      </c>
    </row>
    <row r="16166" spans="1:6" x14ac:dyDescent="0.25">
      <c r="A16166" s="1" t="str">
        <f t="shared" si="609"/>
        <v>27780</v>
      </c>
      <c r="B16166" s="1" t="str">
        <f>"15962"</f>
        <v>15962</v>
      </c>
      <c r="C16166" s="2">
        <v>0</v>
      </c>
      <c r="D16166" s="2">
        <v>1.9087612139721301E-4</v>
      </c>
      <c r="E16166" s="2">
        <v>4.4523597506678501E-4</v>
      </c>
      <c r="F16166" s="2">
        <v>2.8166237131550399E-5</v>
      </c>
    </row>
    <row r="16167" spans="1:6" x14ac:dyDescent="0.25">
      <c r="A16167" s="1" t="str">
        <f t="shared" si="609"/>
        <v>27780</v>
      </c>
      <c r="B16167" s="1" t="str">
        <f>"15959"</f>
        <v>15959</v>
      </c>
      <c r="C16167" s="2">
        <v>0</v>
      </c>
      <c r="D16167" s="2">
        <v>1.9087612139721301E-4</v>
      </c>
      <c r="E16167" s="2">
        <v>0</v>
      </c>
      <c r="F16167" s="2">
        <v>1.40831185657752E-5</v>
      </c>
    </row>
    <row r="16168" spans="1:6" x14ac:dyDescent="0.25">
      <c r="A16168" s="1" t="str">
        <f t="shared" si="609"/>
        <v>27780</v>
      </c>
      <c r="B16168" s="1" t="str">
        <f>"16675"</f>
        <v>16675</v>
      </c>
      <c r="C16168" s="2">
        <v>5.98217940241176E-4</v>
      </c>
      <c r="D16168" s="2">
        <v>1.9087612139721301E-4</v>
      </c>
      <c r="E16168" s="2">
        <v>0</v>
      </c>
      <c r="F16168" s="2">
        <v>5.4924162406523298E-4</v>
      </c>
    </row>
    <row r="16169" spans="1:6" x14ac:dyDescent="0.25">
      <c r="A16169" s="1" t="str">
        <f t="shared" si="609"/>
        <v>27780</v>
      </c>
      <c r="B16169" s="1" t="str">
        <f>"16619"</f>
        <v>16619</v>
      </c>
      <c r="C16169" s="2">
        <v>0</v>
      </c>
      <c r="D16169" s="2">
        <v>1.9087612139721301E-4</v>
      </c>
      <c r="E16169" s="2">
        <v>1.3357079252003499E-3</v>
      </c>
      <c r="F16169" s="2">
        <v>5.6332474263100799E-5</v>
      </c>
    </row>
    <row r="16170" spans="1:6" x14ac:dyDescent="0.25">
      <c r="A16170" s="1" t="str">
        <f t="shared" si="609"/>
        <v>27780</v>
      </c>
      <c r="B16170" s="1" t="str">
        <f>"15952"</f>
        <v>15952</v>
      </c>
      <c r="C16170" s="2">
        <v>9.2723780737382303E-3</v>
      </c>
      <c r="D16170" s="2">
        <v>3.6266463065470502E-3</v>
      </c>
      <c r="E16170" s="2">
        <v>9.3499554764024904E-3</v>
      </c>
      <c r="F16170" s="2">
        <v>8.8582815778725996E-3</v>
      </c>
    </row>
    <row r="16171" spans="1:6" x14ac:dyDescent="0.25">
      <c r="A16171" s="1" t="str">
        <f t="shared" si="609"/>
        <v>27780</v>
      </c>
      <c r="B16171" s="1" t="str">
        <f>"15762"</f>
        <v>15762</v>
      </c>
      <c r="C16171" s="2">
        <v>3.8726740341928699E-3</v>
      </c>
      <c r="D16171" s="2">
        <v>5.7262836419163902E-4</v>
      </c>
      <c r="E16171" s="2">
        <v>2.6714158504007098E-3</v>
      </c>
      <c r="F16171" s="2">
        <v>3.59119523427267E-3</v>
      </c>
    </row>
    <row r="16172" spans="1:6" x14ac:dyDescent="0.25">
      <c r="A16172" s="1" t="str">
        <f t="shared" ref="A16172:A16197" si="610">"27780"</f>
        <v>27780</v>
      </c>
      <c r="B16172" s="1" t="str">
        <f>"16630"</f>
        <v>16630</v>
      </c>
      <c r="C16172" s="2">
        <v>3.4208620635370397E-2</v>
      </c>
      <c r="D16172" s="2">
        <v>3.8366100400839799E-2</v>
      </c>
      <c r="E16172" s="2">
        <v>4.4523597506678503E-2</v>
      </c>
      <c r="F16172" s="2">
        <v>3.4841635331727801E-2</v>
      </c>
    </row>
    <row r="16173" spans="1:6" x14ac:dyDescent="0.25">
      <c r="A16173" s="1" t="str">
        <f t="shared" si="610"/>
        <v>27780</v>
      </c>
      <c r="B16173" s="1" t="str">
        <f>"16668"</f>
        <v>16668</v>
      </c>
      <c r="C16173" s="2">
        <v>2.7281886590472499E-2</v>
      </c>
      <c r="D16173" s="2">
        <v>2.5386524145829301E-2</v>
      </c>
      <c r="E16173" s="2">
        <v>3.2502226179875297E-2</v>
      </c>
      <c r="F16173" s="2">
        <v>2.7307166899038102E-2</v>
      </c>
    </row>
    <row r="16174" spans="1:6" x14ac:dyDescent="0.25">
      <c r="A16174" s="1" t="str">
        <f t="shared" si="610"/>
        <v>27780</v>
      </c>
      <c r="B16174" s="1" t="str">
        <f>"16613"</f>
        <v>16613</v>
      </c>
      <c r="C16174" s="2">
        <v>9.1464374547400897E-3</v>
      </c>
      <c r="D16174" s="2">
        <v>2.8631418209581899E-3</v>
      </c>
      <c r="E16174" s="2">
        <v>8.9047195013357001E-4</v>
      </c>
      <c r="F16174" s="2">
        <v>8.4217049023335693E-3</v>
      </c>
    </row>
    <row r="16175" spans="1:6" x14ac:dyDescent="0.25">
      <c r="A16175" s="1" t="str">
        <f t="shared" si="610"/>
        <v>27780</v>
      </c>
      <c r="B16175" s="1" t="str">
        <f>"16641"</f>
        <v>16641</v>
      </c>
      <c r="C16175" s="2">
        <v>1.9080003778218502E-2</v>
      </c>
      <c r="D16175" s="2">
        <v>1.1070815041038301E-2</v>
      </c>
      <c r="E16175" s="2">
        <v>1.4247551202137099E-2</v>
      </c>
      <c r="F16175" s="2">
        <v>1.8336220372639302E-2</v>
      </c>
    </row>
    <row r="16176" spans="1:6" x14ac:dyDescent="0.25">
      <c r="A16176" s="1" t="str">
        <f t="shared" si="610"/>
        <v>27780</v>
      </c>
      <c r="B16176" s="1" t="str">
        <f>"15738"</f>
        <v>15738</v>
      </c>
      <c r="C16176" s="2">
        <v>0</v>
      </c>
      <c r="D16176" s="2">
        <v>1.9087612139721301E-4</v>
      </c>
      <c r="E16176" s="2">
        <v>0</v>
      </c>
      <c r="F16176" s="2">
        <v>1.40831185657752E-5</v>
      </c>
    </row>
    <row r="16177" spans="1:6" x14ac:dyDescent="0.25">
      <c r="A16177" s="1" t="str">
        <f t="shared" si="610"/>
        <v>27780</v>
      </c>
      <c r="B16177" s="1" t="str">
        <f>"15948"</f>
        <v>15948</v>
      </c>
      <c r="C16177" s="2">
        <v>0</v>
      </c>
      <c r="D16177" s="2">
        <v>1.9087612139721301E-4</v>
      </c>
      <c r="E16177" s="2">
        <v>8.9047195013357001E-4</v>
      </c>
      <c r="F16177" s="2">
        <v>4.2249355697325599E-5</v>
      </c>
    </row>
    <row r="16178" spans="1:6" x14ac:dyDescent="0.25">
      <c r="A16178" s="1" t="str">
        <f t="shared" si="610"/>
        <v>27780</v>
      </c>
      <c r="B16178" s="1" t="str">
        <f>"16601"</f>
        <v>16601</v>
      </c>
      <c r="C16178" s="2">
        <v>4.7227732124303301E-5</v>
      </c>
      <c r="D16178" s="2">
        <v>0</v>
      </c>
      <c r="E16178" s="2">
        <v>0</v>
      </c>
      <c r="F16178" s="2">
        <v>4.2249355697325599E-5</v>
      </c>
    </row>
    <row r="16179" spans="1:6" x14ac:dyDescent="0.25">
      <c r="A16179" s="1" t="str">
        <f t="shared" si="610"/>
        <v>27780</v>
      </c>
      <c r="B16179" s="1" t="str">
        <f>"15922"</f>
        <v>15922</v>
      </c>
      <c r="C16179" s="2">
        <v>0</v>
      </c>
      <c r="D16179" s="2">
        <v>1.9087612139721301E-4</v>
      </c>
      <c r="E16179" s="2">
        <v>2.2261798753339199E-3</v>
      </c>
      <c r="F16179" s="2">
        <v>8.4498711394651198E-5</v>
      </c>
    </row>
    <row r="16180" spans="1:6" x14ac:dyDescent="0.25">
      <c r="A16180" s="1" t="str">
        <f t="shared" si="610"/>
        <v>27780</v>
      </c>
      <c r="B16180" s="1" t="str">
        <f>"15925"</f>
        <v>15925</v>
      </c>
      <c r="C16180" s="2">
        <v>0</v>
      </c>
      <c r="D16180" s="2">
        <v>1.9087612139721301E-4</v>
      </c>
      <c r="E16180" s="2">
        <v>0</v>
      </c>
      <c r="F16180" s="2">
        <v>1.40831185657752E-5</v>
      </c>
    </row>
    <row r="16181" spans="1:6" x14ac:dyDescent="0.25">
      <c r="A16181" s="1" t="str">
        <f t="shared" si="610"/>
        <v>27780</v>
      </c>
      <c r="B16181" s="1" t="str">
        <f>"15961"</f>
        <v>15961</v>
      </c>
      <c r="C16181" s="2">
        <v>1.8733667075973601E-3</v>
      </c>
      <c r="D16181" s="2">
        <v>1.33613284978049E-3</v>
      </c>
      <c r="E16181" s="2">
        <v>4.4523597506678501E-4</v>
      </c>
      <c r="F16181" s="2">
        <v>1.7885560578534501E-3</v>
      </c>
    </row>
    <row r="16182" spans="1:6" x14ac:dyDescent="0.25">
      <c r="A16182" s="1" t="str">
        <f t="shared" si="610"/>
        <v>27780</v>
      </c>
      <c r="B16182" s="1" t="str">
        <f>"15760"</f>
        <v>15760</v>
      </c>
      <c r="C16182" s="2">
        <v>8.9732691036176399E-4</v>
      </c>
      <c r="D16182" s="2">
        <v>7.6350448558885203E-4</v>
      </c>
      <c r="E16182" s="2">
        <v>0</v>
      </c>
      <c r="F16182" s="2">
        <v>8.5907023251228696E-4</v>
      </c>
    </row>
    <row r="16183" spans="1:6" x14ac:dyDescent="0.25">
      <c r="A16183" s="1" t="str">
        <f t="shared" si="610"/>
        <v>27780</v>
      </c>
      <c r="B16183" s="1" t="str">
        <f>"15942"</f>
        <v>15942</v>
      </c>
      <c r="C16183" s="2">
        <v>1.43572305657882E-2</v>
      </c>
      <c r="D16183" s="2">
        <v>3.2448940637526198E-3</v>
      </c>
      <c r="E16183" s="2">
        <v>2.1816562778272399E-2</v>
      </c>
      <c r="F16183" s="2">
        <v>1.37732899573281E-2</v>
      </c>
    </row>
    <row r="16184" spans="1:6" x14ac:dyDescent="0.25">
      <c r="A16184" s="1" t="str">
        <f t="shared" si="610"/>
        <v>27780</v>
      </c>
      <c r="B16184" s="1" t="str">
        <f>"15943"</f>
        <v>15943</v>
      </c>
      <c r="C16184" s="2">
        <v>2.8934857214823199E-2</v>
      </c>
      <c r="D16184" s="2">
        <v>1.9469364382515699E-2</v>
      </c>
      <c r="E16184" s="2">
        <v>1.0240427426536001E-2</v>
      </c>
      <c r="F16184" s="2">
        <v>2.76451617446167E-2</v>
      </c>
    </row>
    <row r="16185" spans="1:6" x14ac:dyDescent="0.25">
      <c r="A16185" s="1" t="str">
        <f t="shared" si="610"/>
        <v>27780</v>
      </c>
      <c r="B16185" s="1" t="str">
        <f>"15955"</f>
        <v>15955</v>
      </c>
      <c r="C16185" s="2">
        <v>1.3459903655426399E-2</v>
      </c>
      <c r="D16185" s="2">
        <v>3.8175224279442602E-3</v>
      </c>
      <c r="E16185" s="2">
        <v>3.5618878005342801E-3</v>
      </c>
      <c r="F16185" s="2">
        <v>1.2435393693579501E-2</v>
      </c>
    </row>
    <row r="16186" spans="1:6" x14ac:dyDescent="0.25">
      <c r="A16186" s="1" t="str">
        <f t="shared" si="610"/>
        <v>27780</v>
      </c>
      <c r="B16186" s="1" t="str">
        <f>"16624"</f>
        <v>16624</v>
      </c>
      <c r="C16186" s="2">
        <v>0</v>
      </c>
      <c r="D16186" s="2">
        <v>1.9087612139721301E-4</v>
      </c>
      <c r="E16186" s="2">
        <v>4.4523597506678501E-4</v>
      </c>
      <c r="F16186" s="2">
        <v>2.8166237131550399E-5</v>
      </c>
    </row>
    <row r="16187" spans="1:6" x14ac:dyDescent="0.25">
      <c r="A16187" s="1" t="str">
        <f t="shared" si="610"/>
        <v>27780</v>
      </c>
      <c r="B16187" s="1" t="str">
        <f>"15724"</f>
        <v>15724</v>
      </c>
      <c r="C16187" s="2">
        <v>1.19643588048235E-3</v>
      </c>
      <c r="D16187" s="2">
        <v>5.7262836419163902E-4</v>
      </c>
      <c r="E16187" s="2">
        <v>0</v>
      </c>
      <c r="F16187" s="2">
        <v>1.1125663666962399E-3</v>
      </c>
    </row>
    <row r="16188" spans="1:6" x14ac:dyDescent="0.25">
      <c r="A16188" s="1" t="str">
        <f t="shared" si="610"/>
        <v>27780</v>
      </c>
      <c r="B16188" s="1" t="str">
        <f>"15921"</f>
        <v>15921</v>
      </c>
      <c r="C16188" s="2">
        <v>0</v>
      </c>
      <c r="D16188" s="2">
        <v>1.9087612139721301E-4</v>
      </c>
      <c r="E16188" s="2">
        <v>0.113980409617097</v>
      </c>
      <c r="F16188" s="2">
        <v>3.6193614714042201E-3</v>
      </c>
    </row>
    <row r="16189" spans="1:6" x14ac:dyDescent="0.25">
      <c r="A16189" s="1" t="str">
        <f t="shared" si="610"/>
        <v>27780</v>
      </c>
      <c r="B16189" s="1" t="str">
        <f>"15907"</f>
        <v>15907</v>
      </c>
      <c r="C16189" s="2">
        <v>1.19801013821982E-2</v>
      </c>
      <c r="D16189" s="2">
        <v>4.3138003435770102E-2</v>
      </c>
      <c r="E16189" s="2">
        <v>4.4523597506678501E-4</v>
      </c>
      <c r="F16189" s="2">
        <v>1.3914121142985901E-2</v>
      </c>
    </row>
    <row r="16190" spans="1:6" x14ac:dyDescent="0.25">
      <c r="A16190" s="1" t="str">
        <f t="shared" si="610"/>
        <v>27780</v>
      </c>
      <c r="B16190" s="1" t="str">
        <f>"16639"</f>
        <v>16639</v>
      </c>
      <c r="C16190" s="2">
        <v>7.3832687887660899E-3</v>
      </c>
      <c r="D16190" s="2">
        <v>4.1992746707386897E-3</v>
      </c>
      <c r="E16190" s="2">
        <v>1.78094390026714E-3</v>
      </c>
      <c r="F16190" s="2">
        <v>6.9711436900587202E-3</v>
      </c>
    </row>
    <row r="16191" spans="1:6" x14ac:dyDescent="0.25">
      <c r="A16191" s="1" t="str">
        <f t="shared" si="610"/>
        <v>27780</v>
      </c>
      <c r="B16191" s="1" t="str">
        <f>"16636"</f>
        <v>16636</v>
      </c>
      <c r="C16191" s="2">
        <v>5.5413872359182598E-3</v>
      </c>
      <c r="D16191" s="2">
        <v>1.33613284978049E-3</v>
      </c>
      <c r="E16191" s="2">
        <v>0</v>
      </c>
      <c r="F16191" s="2">
        <v>5.0558395651132898E-3</v>
      </c>
    </row>
    <row r="16192" spans="1:6" x14ac:dyDescent="0.25">
      <c r="A16192" s="1" t="str">
        <f t="shared" si="610"/>
        <v>27780</v>
      </c>
      <c r="B16192" s="1" t="str">
        <f>"15931"</f>
        <v>15931</v>
      </c>
      <c r="C16192" s="2">
        <v>6.20414974339598E-2</v>
      </c>
      <c r="D16192" s="2">
        <v>0.111089902653178</v>
      </c>
      <c r="E16192" s="2">
        <v>8.2813891362421996E-2</v>
      </c>
      <c r="F16192" s="2">
        <v>6.6317405326235396E-2</v>
      </c>
    </row>
    <row r="16193" spans="1:6" x14ac:dyDescent="0.25">
      <c r="A16193" s="1" t="str">
        <f t="shared" si="610"/>
        <v>27780</v>
      </c>
      <c r="B16193" s="1" t="str">
        <f>"15958"</f>
        <v>15958</v>
      </c>
      <c r="C16193" s="2">
        <v>1.12087150908346E-2</v>
      </c>
      <c r="D16193" s="2">
        <v>2.29051345676655E-3</v>
      </c>
      <c r="E16193" s="2">
        <v>4.0071237756010604E-3</v>
      </c>
      <c r="F16193" s="2">
        <v>1.03229259087132E-2</v>
      </c>
    </row>
    <row r="16194" spans="1:6" x14ac:dyDescent="0.25">
      <c r="A16194" s="1" t="str">
        <f t="shared" si="610"/>
        <v>27780</v>
      </c>
      <c r="B16194" s="1" t="str">
        <f>"15938"</f>
        <v>15938</v>
      </c>
      <c r="C16194" s="2">
        <v>1.8623469034350301E-2</v>
      </c>
      <c r="D16194" s="2">
        <v>1.24069478908188E-2</v>
      </c>
      <c r="E16194" s="2">
        <v>8.0142475512021295E-3</v>
      </c>
      <c r="F16194" s="2">
        <v>1.78292281042714E-2</v>
      </c>
    </row>
    <row r="16195" spans="1:6" x14ac:dyDescent="0.25">
      <c r="A16195" s="1" t="str">
        <f t="shared" si="610"/>
        <v>27780</v>
      </c>
      <c r="B16195" s="1" t="str">
        <f>"15940"</f>
        <v>15940</v>
      </c>
      <c r="C16195" s="2">
        <v>1.02799030257233E-2</v>
      </c>
      <c r="D16195" s="2">
        <v>4.0083985493414697E-3</v>
      </c>
      <c r="E16195" s="2">
        <v>4.2297417631344598E-2</v>
      </c>
      <c r="F16195" s="2">
        <v>1.0829918177081101E-2</v>
      </c>
    </row>
    <row r="16196" spans="1:6" x14ac:dyDescent="0.25">
      <c r="A16196" s="1" t="str">
        <f t="shared" si="610"/>
        <v>27780</v>
      </c>
      <c r="B16196" s="1" t="str">
        <f>"15915"</f>
        <v>15915</v>
      </c>
      <c r="C16196" s="2">
        <v>0</v>
      </c>
      <c r="D16196" s="2">
        <v>0</v>
      </c>
      <c r="E16196" s="2">
        <v>4.4523597506678501E-4</v>
      </c>
      <c r="F16196" s="2">
        <v>1.40831185657752E-5</v>
      </c>
    </row>
    <row r="16197" spans="1:6" x14ac:dyDescent="0.25">
      <c r="A16197" s="1" t="str">
        <f t="shared" si="610"/>
        <v>27780</v>
      </c>
      <c r="B16197" s="1" t="str">
        <f>"15945"</f>
        <v>15945</v>
      </c>
      <c r="C16197" s="2">
        <v>1.7316835112244501E-3</v>
      </c>
      <c r="D16197" s="2">
        <v>9.5438060698606602E-4</v>
      </c>
      <c r="E16197" s="2">
        <v>4.4523597506678501E-4</v>
      </c>
      <c r="F16197" s="2">
        <v>1.6336417536299201E-3</v>
      </c>
    </row>
    <row r="16198" spans="1:6" x14ac:dyDescent="0.25">
      <c r="A16198" s="1" t="str">
        <f t="shared" ref="A16198:A16224" si="611">"27860"</f>
        <v>27860</v>
      </c>
      <c r="B16198" s="1" t="str">
        <f>"72421"</f>
        <v>72421</v>
      </c>
      <c r="C16198" s="2">
        <v>5.2895746370810997E-3</v>
      </c>
      <c r="D16198" s="2">
        <v>1.0193679918450501E-3</v>
      </c>
      <c r="E16198" s="2">
        <v>5.2328623757195102E-4</v>
      </c>
      <c r="F16198" s="2">
        <v>4.7239922885608703E-3</v>
      </c>
    </row>
    <row r="16199" spans="1:6" x14ac:dyDescent="0.25">
      <c r="A16199" s="1" t="str">
        <f t="shared" si="611"/>
        <v>27860</v>
      </c>
      <c r="B16199" s="1" t="str">
        <f>"72411"</f>
        <v>72411</v>
      </c>
      <c r="C16199" s="2">
        <v>1.5851824311763799E-2</v>
      </c>
      <c r="D16199" s="2">
        <v>3.7862239697102002E-3</v>
      </c>
      <c r="E16199" s="2">
        <v>7.8492935635792703E-3</v>
      </c>
      <c r="F16199" s="2">
        <v>1.44074406557666E-2</v>
      </c>
    </row>
    <row r="16200" spans="1:6" x14ac:dyDescent="0.25">
      <c r="A16200" s="1" t="str">
        <f t="shared" si="611"/>
        <v>27860</v>
      </c>
      <c r="B16200" s="1" t="str">
        <f>"72417"</f>
        <v>72417</v>
      </c>
      <c r="C16200" s="2">
        <v>4.3296773866459297E-2</v>
      </c>
      <c r="D16200" s="2">
        <v>1.8494247852046002E-2</v>
      </c>
      <c r="E16200" s="2">
        <v>4.8665620094191502E-2</v>
      </c>
      <c r="F16200" s="2">
        <v>4.0941266500860898E-2</v>
      </c>
    </row>
    <row r="16201" spans="1:6" x14ac:dyDescent="0.25">
      <c r="A16201" s="1" t="str">
        <f t="shared" si="611"/>
        <v>27860</v>
      </c>
      <c r="B16201" s="1" t="str">
        <f>"72438"</f>
        <v>72438</v>
      </c>
      <c r="C16201" s="2">
        <v>6.9288357865918495E-4</v>
      </c>
      <c r="D16201" s="2">
        <v>2.91247997670016E-4</v>
      </c>
      <c r="E16201" s="2">
        <v>0</v>
      </c>
      <c r="F16201" s="2">
        <v>6.3280893585083303E-4</v>
      </c>
    </row>
    <row r="16202" spans="1:6" x14ac:dyDescent="0.25">
      <c r="A16202" s="1" t="str">
        <f t="shared" si="611"/>
        <v>27860</v>
      </c>
      <c r="B16202" s="1" t="str">
        <f>"72401"</f>
        <v>72401</v>
      </c>
      <c r="C16202" s="2">
        <v>0.33829618238047698</v>
      </c>
      <c r="D16202" s="2">
        <v>0.50822775593417702</v>
      </c>
      <c r="E16202" s="2">
        <v>0.57456828885400302</v>
      </c>
      <c r="F16202" s="2">
        <v>0.36211387617547902</v>
      </c>
    </row>
    <row r="16203" spans="1:6" x14ac:dyDescent="0.25">
      <c r="A16203" s="1" t="str">
        <f t="shared" si="611"/>
        <v>27860</v>
      </c>
      <c r="B16203" s="1" t="str">
        <f>"72404"</f>
        <v>72404</v>
      </c>
      <c r="C16203" s="2">
        <v>0.219711692832879</v>
      </c>
      <c r="D16203" s="2">
        <v>0.10776175913790501</v>
      </c>
      <c r="E16203" s="2">
        <v>0.25222396650967999</v>
      </c>
      <c r="F16203" s="2">
        <v>0.209312592897823</v>
      </c>
    </row>
    <row r="16204" spans="1:6" x14ac:dyDescent="0.25">
      <c r="A16204" s="1" t="str">
        <f t="shared" si="611"/>
        <v>27860</v>
      </c>
      <c r="B16204" s="1" t="str">
        <f>"72416"</f>
        <v>72416</v>
      </c>
      <c r="C16204" s="2">
        <v>4.14040187247562E-2</v>
      </c>
      <c r="D16204" s="2">
        <v>1.22324159021406E-2</v>
      </c>
      <c r="E16204" s="2">
        <v>2.9304029304029301E-2</v>
      </c>
      <c r="F16204" s="2">
        <v>3.8115701019852503E-2</v>
      </c>
    </row>
    <row r="16205" spans="1:6" x14ac:dyDescent="0.25">
      <c r="A16205" s="1" t="str">
        <f t="shared" si="611"/>
        <v>27860</v>
      </c>
      <c r="B16205" s="1" t="str">
        <f>"72427"</f>
        <v>72427</v>
      </c>
      <c r="C16205" s="2">
        <v>0</v>
      </c>
      <c r="D16205" s="2">
        <v>0</v>
      </c>
      <c r="E16205" s="2">
        <v>5.2328623757195102E-4</v>
      </c>
      <c r="F16205" s="2">
        <v>1.4716486880251899E-5</v>
      </c>
    </row>
    <row r="16206" spans="1:6" x14ac:dyDescent="0.25">
      <c r="A16206" s="1" t="str">
        <f t="shared" si="611"/>
        <v>27860</v>
      </c>
      <c r="B16206" s="1" t="str">
        <f>"72475"</f>
        <v>72475</v>
      </c>
      <c r="C16206" s="2">
        <v>0</v>
      </c>
      <c r="D16206" s="2">
        <v>0</v>
      </c>
      <c r="E16206" s="2">
        <v>5.2328623757195102E-4</v>
      </c>
      <c r="F16206" s="2">
        <v>1.4716486880251899E-5</v>
      </c>
    </row>
    <row r="16207" spans="1:6" x14ac:dyDescent="0.25">
      <c r="A16207" s="1" t="str">
        <f t="shared" si="611"/>
        <v>27860</v>
      </c>
      <c r="B16207" s="1" t="str">
        <f>"72377"</f>
        <v>72377</v>
      </c>
      <c r="C16207" s="2">
        <v>3.3799198958984602E-5</v>
      </c>
      <c r="D16207" s="2">
        <v>0</v>
      </c>
      <c r="E16207" s="2">
        <v>5.2328623757195102E-4</v>
      </c>
      <c r="F16207" s="2">
        <v>4.4149460640755798E-5</v>
      </c>
    </row>
    <row r="16208" spans="1:6" x14ac:dyDescent="0.25">
      <c r="A16208" s="1" t="str">
        <f t="shared" si="611"/>
        <v>27860</v>
      </c>
      <c r="B16208" s="1" t="str">
        <f>"72450"</f>
        <v>72450</v>
      </c>
      <c r="C16208" s="2">
        <v>9.8017676981055507E-4</v>
      </c>
      <c r="D16208" s="2">
        <v>4.3687199650502398E-4</v>
      </c>
      <c r="E16208" s="2">
        <v>0</v>
      </c>
      <c r="F16208" s="2">
        <v>8.97705699695368E-4</v>
      </c>
    </row>
    <row r="16209" spans="1:6" x14ac:dyDescent="0.25">
      <c r="A16209" s="1" t="str">
        <f t="shared" si="611"/>
        <v>27860</v>
      </c>
      <c r="B16209" s="1" t="str">
        <f>"72414"</f>
        <v>72414</v>
      </c>
      <c r="C16209" s="2">
        <v>1.9772531391006E-3</v>
      </c>
      <c r="D16209" s="2">
        <v>1.45623998835008E-4</v>
      </c>
      <c r="E16209" s="2">
        <v>5.2328623757195102E-4</v>
      </c>
      <c r="F16209" s="2">
        <v>1.7512619387499799E-3</v>
      </c>
    </row>
    <row r="16210" spans="1:6" x14ac:dyDescent="0.25">
      <c r="A16210" s="1" t="str">
        <f t="shared" si="611"/>
        <v>27860</v>
      </c>
      <c r="B16210" s="1" t="str">
        <f>"72419"</f>
        <v>72419</v>
      </c>
      <c r="C16210" s="2">
        <v>9.4975749074746908E-3</v>
      </c>
      <c r="D16210" s="2">
        <v>2.9124799767001599E-3</v>
      </c>
      <c r="E16210" s="2">
        <v>1.56985871271585E-3</v>
      </c>
      <c r="F16210" s="2">
        <v>8.6091448249473804E-3</v>
      </c>
    </row>
    <row r="16211" spans="1:6" x14ac:dyDescent="0.25">
      <c r="A16211" s="1" t="str">
        <f t="shared" si="611"/>
        <v>27860</v>
      </c>
      <c r="B16211" s="1" t="str">
        <f>"72324"</f>
        <v>72324</v>
      </c>
      <c r="C16211" s="2">
        <v>7.2668277761817003E-4</v>
      </c>
      <c r="D16211" s="2">
        <v>4.3687199650502398E-4</v>
      </c>
      <c r="E16211" s="2">
        <v>0</v>
      </c>
      <c r="F16211" s="2">
        <v>6.7695839649158898E-4</v>
      </c>
    </row>
    <row r="16212" spans="1:6" x14ac:dyDescent="0.25">
      <c r="A16212" s="1" t="str">
        <f t="shared" si="611"/>
        <v>27860</v>
      </c>
      <c r="B16212" s="1" t="str">
        <f>"72354"</f>
        <v>72354</v>
      </c>
      <c r="C16212" s="2">
        <v>1.22015108241934E-2</v>
      </c>
      <c r="D16212" s="2">
        <v>4.0774719673802202E-3</v>
      </c>
      <c r="E16212" s="2">
        <v>1.0465724751439001E-3</v>
      </c>
      <c r="F16212" s="2">
        <v>1.1066798133949399E-2</v>
      </c>
    </row>
    <row r="16213" spans="1:6" x14ac:dyDescent="0.25">
      <c r="A16213" s="1" t="str">
        <f t="shared" si="611"/>
        <v>27860</v>
      </c>
      <c r="B16213" s="1" t="str">
        <f>"72472"</f>
        <v>72472</v>
      </c>
      <c r="C16213" s="2">
        <v>7.7670559207746695E-2</v>
      </c>
      <c r="D16213" s="2">
        <v>6.3200815494393395E-2</v>
      </c>
      <c r="E16213" s="2">
        <v>2.5641025641025599E-2</v>
      </c>
      <c r="F16213" s="2">
        <v>7.4745036864799594E-2</v>
      </c>
    </row>
    <row r="16214" spans="1:6" x14ac:dyDescent="0.25">
      <c r="A16214" s="1" t="str">
        <f t="shared" si="611"/>
        <v>27860</v>
      </c>
      <c r="B16214" s="1" t="str">
        <f>"72467"</f>
        <v>72467</v>
      </c>
      <c r="C16214" s="2">
        <v>3.7381914048636999E-2</v>
      </c>
      <c r="D16214" s="2">
        <v>2.0241735838066099E-2</v>
      </c>
      <c r="E16214" s="2">
        <v>1.0465724751439001E-3</v>
      </c>
      <c r="F16214" s="2">
        <v>3.4627893629232798E-2</v>
      </c>
    </row>
    <row r="16215" spans="1:6" x14ac:dyDescent="0.25">
      <c r="A16215" s="1" t="str">
        <f t="shared" si="611"/>
        <v>27860</v>
      </c>
      <c r="B16215" s="1" t="str">
        <f>"72479"</f>
        <v>72479</v>
      </c>
      <c r="C16215" s="2">
        <v>1.2032514829398501E-2</v>
      </c>
      <c r="D16215" s="2">
        <v>1.2960535896315699E-2</v>
      </c>
      <c r="E16215" s="2">
        <v>0</v>
      </c>
      <c r="F16215" s="2">
        <v>1.17879059910818E-2</v>
      </c>
    </row>
    <row r="16216" spans="1:6" x14ac:dyDescent="0.25">
      <c r="A16216" s="1" t="str">
        <f t="shared" si="611"/>
        <v>27860</v>
      </c>
      <c r="B16216" s="1" t="str">
        <f>"72365"</f>
        <v>72365</v>
      </c>
      <c r="C16216" s="2">
        <v>2.65999695807209E-2</v>
      </c>
      <c r="D16216" s="2">
        <v>2.6212319790301399E-2</v>
      </c>
      <c r="E16216" s="2">
        <v>1.9361590790162201E-2</v>
      </c>
      <c r="F16216" s="2">
        <v>2.6357228002531201E-2</v>
      </c>
    </row>
    <row r="16217" spans="1:6" x14ac:dyDescent="0.25">
      <c r="A16217" s="1" t="str">
        <f t="shared" si="611"/>
        <v>27860</v>
      </c>
      <c r="B16217" s="1" t="str">
        <f>"72403"</f>
        <v>72403</v>
      </c>
      <c r="C16217" s="2">
        <v>4.09308299393304E-2</v>
      </c>
      <c r="D16217" s="2">
        <v>0.14533275083733699</v>
      </c>
      <c r="E16217" s="2">
        <v>1.56985871271585E-3</v>
      </c>
      <c r="F16217" s="2">
        <v>5.0374534591102402E-2</v>
      </c>
    </row>
    <row r="16218" spans="1:6" x14ac:dyDescent="0.25">
      <c r="A16218" s="1" t="str">
        <f t="shared" si="611"/>
        <v>27860</v>
      </c>
      <c r="B16218" s="1" t="str">
        <f>"72429"</f>
        <v>72429</v>
      </c>
      <c r="C16218" s="2">
        <v>2.6194379193213101E-3</v>
      </c>
      <c r="D16218" s="2">
        <v>2.91247997670016E-4</v>
      </c>
      <c r="E16218" s="2">
        <v>1.56985871271585E-3</v>
      </c>
      <c r="F16218" s="2">
        <v>2.35463790084031E-3</v>
      </c>
    </row>
    <row r="16219" spans="1:6" x14ac:dyDescent="0.25">
      <c r="A16219" s="1" t="str">
        <f t="shared" si="611"/>
        <v>27860</v>
      </c>
      <c r="B16219" s="1" t="str">
        <f>"72447"</f>
        <v>72447</v>
      </c>
      <c r="C16219" s="2">
        <v>9.9707636929004702E-3</v>
      </c>
      <c r="D16219" s="2">
        <v>3.20372797437017E-3</v>
      </c>
      <c r="E16219" s="2">
        <v>4.1862899005756099E-3</v>
      </c>
      <c r="F16219" s="2">
        <v>9.1242218657561994E-3</v>
      </c>
    </row>
    <row r="16220" spans="1:6" x14ac:dyDescent="0.25">
      <c r="A16220" s="1" t="str">
        <f t="shared" si="611"/>
        <v>27860</v>
      </c>
      <c r="B16220" s="1" t="str">
        <f>"72432"</f>
        <v>72432</v>
      </c>
      <c r="C16220" s="2">
        <v>5.2659151978098097E-2</v>
      </c>
      <c r="D16220" s="2">
        <v>3.56778797145769E-2</v>
      </c>
      <c r="E16220" s="2">
        <v>1.51753008895866E-2</v>
      </c>
      <c r="F16220" s="2">
        <v>4.9888890524054E-2</v>
      </c>
    </row>
    <row r="16221" spans="1:6" x14ac:dyDescent="0.25">
      <c r="A16221" s="1" t="str">
        <f t="shared" si="611"/>
        <v>27860</v>
      </c>
      <c r="B16221" s="1" t="str">
        <f>"72437"</f>
        <v>72437</v>
      </c>
      <c r="C16221" s="2">
        <v>2.5450796816115399E-2</v>
      </c>
      <c r="D16221" s="2">
        <v>1.0921799912625599E-2</v>
      </c>
      <c r="E16221" s="2">
        <v>9.9424385138670805E-3</v>
      </c>
      <c r="F16221" s="2">
        <v>2.35463790084031E-2</v>
      </c>
    </row>
    <row r="16222" spans="1:6" x14ac:dyDescent="0.25">
      <c r="A16222" s="1" t="str">
        <f t="shared" si="611"/>
        <v>27860</v>
      </c>
      <c r="B16222" s="1" t="str">
        <f>"72476"</f>
        <v>72476</v>
      </c>
      <c r="C16222" s="2">
        <v>7.60481976577155E-4</v>
      </c>
      <c r="D16222" s="2">
        <v>0</v>
      </c>
      <c r="E16222" s="2">
        <v>0</v>
      </c>
      <c r="F16222" s="2">
        <v>6.6224190961133703E-4</v>
      </c>
    </row>
    <row r="16223" spans="1:6" x14ac:dyDescent="0.25">
      <c r="A16223" s="1" t="str">
        <f t="shared" si="611"/>
        <v>27860</v>
      </c>
      <c r="B16223" s="1" t="str">
        <f>"72386"</f>
        <v>72386</v>
      </c>
      <c r="C16223" s="2">
        <v>9.1764825173643299E-3</v>
      </c>
      <c r="D16223" s="2">
        <v>1.8931119848551001E-3</v>
      </c>
      <c r="E16223" s="2">
        <v>3.13971742543171E-3</v>
      </c>
      <c r="F16223" s="2">
        <v>8.2706656267015899E-3</v>
      </c>
    </row>
    <row r="16224" spans="1:6" x14ac:dyDescent="0.25">
      <c r="A16224" s="1" t="str">
        <f t="shared" si="611"/>
        <v>27860</v>
      </c>
      <c r="B16224" s="1" t="str">
        <f>"72402"</f>
        <v>72402</v>
      </c>
      <c r="C16224" s="2">
        <v>1.47871495445557E-2</v>
      </c>
      <c r="D16224" s="2">
        <v>2.0241735838066099E-2</v>
      </c>
      <c r="E16224" s="2">
        <v>5.2328623757195102E-4</v>
      </c>
      <c r="F16224" s="2">
        <v>1.4937234183455699E-2</v>
      </c>
    </row>
    <row r="16225" spans="1:6" x14ac:dyDescent="0.25">
      <c r="A16225" s="1" t="str">
        <f t="shared" ref="A16225:A16258" si="612">"27900"</f>
        <v>27900</v>
      </c>
      <c r="B16225" s="1" t="str">
        <f>"64804"</f>
        <v>64804</v>
      </c>
      <c r="C16225" s="2">
        <v>0.21156448301604999</v>
      </c>
      <c r="D16225" s="2">
        <v>0.19792707292707201</v>
      </c>
      <c r="E16225" s="2">
        <v>0.27233115468409502</v>
      </c>
      <c r="F16225" s="2">
        <v>0.21158916837567401</v>
      </c>
    </row>
    <row r="16226" spans="1:6" x14ac:dyDescent="0.25">
      <c r="A16226" s="1" t="str">
        <f t="shared" si="612"/>
        <v>27900</v>
      </c>
      <c r="B16226" s="1" t="str">
        <f>"64862"</f>
        <v>64862</v>
      </c>
      <c r="C16226" s="2">
        <v>1.64007092198581E-2</v>
      </c>
      <c r="D16226" s="2">
        <v>6.3686313686313603E-3</v>
      </c>
      <c r="E16226" s="2">
        <v>6.5359477124183E-3</v>
      </c>
      <c r="F16226" s="2">
        <v>1.5370610639099299E-2</v>
      </c>
    </row>
    <row r="16227" spans="1:6" x14ac:dyDescent="0.25">
      <c r="A16227" s="1" t="str">
        <f t="shared" si="612"/>
        <v>27900</v>
      </c>
      <c r="B16227" s="1" t="str">
        <f>"64803"</f>
        <v>64803</v>
      </c>
      <c r="C16227" s="2">
        <v>1.93052444942142E-2</v>
      </c>
      <c r="D16227" s="2">
        <v>4.83266733266733E-2</v>
      </c>
      <c r="E16227" s="2">
        <v>1.0893246187363801E-3</v>
      </c>
      <c r="F16227" s="2">
        <v>2.1387017117984301E-2</v>
      </c>
    </row>
    <row r="16228" spans="1:6" x14ac:dyDescent="0.25">
      <c r="A16228" s="1" t="str">
        <f t="shared" si="612"/>
        <v>27900</v>
      </c>
      <c r="B16228" s="1" t="str">
        <f>"65734"</f>
        <v>65734</v>
      </c>
      <c r="C16228" s="2">
        <v>5.8324001493094402E-4</v>
      </c>
      <c r="D16228" s="2">
        <v>3.7462537462537397E-4</v>
      </c>
      <c r="E16228" s="2">
        <v>5.4466230936819101E-4</v>
      </c>
      <c r="F16228" s="2">
        <v>5.6501904323442E-4</v>
      </c>
    </row>
    <row r="16229" spans="1:6" x14ac:dyDescent="0.25">
      <c r="A16229" s="1" t="str">
        <f t="shared" si="612"/>
        <v>27900</v>
      </c>
      <c r="B16229" s="1" t="str">
        <f>"64867"</f>
        <v>64867</v>
      </c>
      <c r="C16229" s="2">
        <v>3.41778648749533E-3</v>
      </c>
      <c r="D16229" s="2">
        <v>9.99000999000999E-4</v>
      </c>
      <c r="E16229" s="2">
        <v>5.4466230936819101E-4</v>
      </c>
      <c r="F16229" s="2">
        <v>3.1599213158665699E-3</v>
      </c>
    </row>
    <row r="16230" spans="1:6" x14ac:dyDescent="0.25">
      <c r="A16230" s="1" t="str">
        <f t="shared" si="612"/>
        <v>27900</v>
      </c>
      <c r="B16230" s="1" t="str">
        <f>"64836"</f>
        <v>64836</v>
      </c>
      <c r="C16230" s="2">
        <v>0.128242814483016</v>
      </c>
      <c r="D16230" s="2">
        <v>0.142482517482517</v>
      </c>
      <c r="E16230" s="2">
        <v>9.0413943355119805E-2</v>
      </c>
      <c r="F16230" s="2">
        <v>0.12870924538567699</v>
      </c>
    </row>
    <row r="16231" spans="1:6" x14ac:dyDescent="0.25">
      <c r="A16231" s="1" t="str">
        <f t="shared" si="612"/>
        <v>27900</v>
      </c>
      <c r="B16231" s="1" t="str">
        <f>"64802"</f>
        <v>64802</v>
      </c>
      <c r="C16231" s="2">
        <v>1.27379619260918E-2</v>
      </c>
      <c r="D16231" s="2">
        <v>4.6703296703296697E-2</v>
      </c>
      <c r="E16231" s="2">
        <v>1.0893246187363801E-3</v>
      </c>
      <c r="F16231" s="2">
        <v>1.53601473234838E-2</v>
      </c>
    </row>
    <row r="16232" spans="1:6" x14ac:dyDescent="0.25">
      <c r="A16232" s="1" t="str">
        <f t="shared" si="612"/>
        <v>27900</v>
      </c>
      <c r="B16232" s="1" t="str">
        <f>"64864"</f>
        <v>64864</v>
      </c>
      <c r="C16232" s="2">
        <v>0</v>
      </c>
      <c r="D16232" s="2">
        <v>0</v>
      </c>
      <c r="E16232" s="2">
        <v>5.4466230936819101E-4</v>
      </c>
      <c r="F16232" s="2">
        <v>1.0463315615452199E-5</v>
      </c>
    </row>
    <row r="16233" spans="1:6" x14ac:dyDescent="0.25">
      <c r="A16233" s="1" t="str">
        <f t="shared" si="612"/>
        <v>27900</v>
      </c>
      <c r="B16233" s="1" t="str">
        <f>"64748"</f>
        <v>64748</v>
      </c>
      <c r="C16233" s="2">
        <v>7.6987681970884601E-4</v>
      </c>
      <c r="D16233" s="2">
        <v>3.7462537462537397E-4</v>
      </c>
      <c r="E16233" s="2">
        <v>0</v>
      </c>
      <c r="F16233" s="2">
        <v>7.2196877746620299E-4</v>
      </c>
    </row>
    <row r="16234" spans="1:6" x14ac:dyDescent="0.25">
      <c r="A16234" s="1" t="str">
        <f t="shared" si="612"/>
        <v>27900</v>
      </c>
      <c r="B16234" s="1" t="str">
        <f>"64755"</f>
        <v>64755</v>
      </c>
      <c r="C16234" s="2">
        <v>1.21430571108622E-2</v>
      </c>
      <c r="D16234" s="2">
        <v>1.9980019980019902E-3</v>
      </c>
      <c r="E16234" s="2">
        <v>1.1437908496731999E-2</v>
      </c>
      <c r="F16234" s="2">
        <v>1.1279454233457401E-2</v>
      </c>
    </row>
    <row r="16235" spans="1:6" x14ac:dyDescent="0.25">
      <c r="A16235" s="1" t="str">
        <f t="shared" si="612"/>
        <v>27900</v>
      </c>
      <c r="B16235" s="1" t="str">
        <f>"64855"</f>
        <v>64855</v>
      </c>
      <c r="C16235" s="2">
        <v>1.44060283687943E-2</v>
      </c>
      <c r="D16235" s="2">
        <v>2.1228771228771199E-3</v>
      </c>
      <c r="E16235" s="2">
        <v>1.63398692810457E-3</v>
      </c>
      <c r="F16235" s="2">
        <v>1.3131461097392501E-2</v>
      </c>
    </row>
    <row r="16236" spans="1:6" x14ac:dyDescent="0.25">
      <c r="A16236" s="1" t="str">
        <f t="shared" si="612"/>
        <v>27900</v>
      </c>
      <c r="B16236" s="1" t="str">
        <f>"64840"</f>
        <v>64840</v>
      </c>
      <c r="C16236" s="2">
        <v>1.50825867861142E-2</v>
      </c>
      <c r="D16236" s="2">
        <v>7.3676323676323601E-3</v>
      </c>
      <c r="E16236" s="2">
        <v>1.2527233115468399E-2</v>
      </c>
      <c r="F16236" s="2">
        <v>1.4387058971246799E-2</v>
      </c>
    </row>
    <row r="16237" spans="1:6" x14ac:dyDescent="0.25">
      <c r="A16237" s="1" t="str">
        <f t="shared" si="612"/>
        <v>27900</v>
      </c>
      <c r="B16237" s="1" t="str">
        <f>"65723"</f>
        <v>65723</v>
      </c>
      <c r="C16237" s="2">
        <v>3.62775289287047E-3</v>
      </c>
      <c r="D16237" s="2">
        <v>6.2437562437562405E-4</v>
      </c>
      <c r="E16237" s="2">
        <v>0</v>
      </c>
      <c r="F16237" s="2">
        <v>3.3064077344829002E-3</v>
      </c>
    </row>
    <row r="16238" spans="1:6" x14ac:dyDescent="0.25">
      <c r="A16238" s="1" t="str">
        <f t="shared" si="612"/>
        <v>27900</v>
      </c>
      <c r="B16238" s="1" t="str">
        <f>"64842"</f>
        <v>64842</v>
      </c>
      <c r="C16238" s="2">
        <v>4.5609369167599802E-3</v>
      </c>
      <c r="D16238" s="2">
        <v>1.37362637362637E-3</v>
      </c>
      <c r="E16238" s="2">
        <v>5.4466230936819101E-4</v>
      </c>
      <c r="F16238" s="2">
        <v>4.2167161930272397E-3</v>
      </c>
    </row>
    <row r="16239" spans="1:6" x14ac:dyDescent="0.25">
      <c r="A16239" s="1" t="str">
        <f t="shared" si="612"/>
        <v>27900</v>
      </c>
      <c r="B16239" s="1" t="str">
        <f>"64865"</f>
        <v>64865</v>
      </c>
      <c r="C16239" s="2">
        <v>2.8112168719671499E-2</v>
      </c>
      <c r="D16239" s="2">
        <v>7.4925074925074903E-3</v>
      </c>
      <c r="E16239" s="2">
        <v>1.1437908496731999E-2</v>
      </c>
      <c r="F16239" s="2">
        <v>2.6064119198091401E-2</v>
      </c>
    </row>
    <row r="16240" spans="1:6" x14ac:dyDescent="0.25">
      <c r="A16240" s="1" t="str">
        <f t="shared" si="612"/>
        <v>27900</v>
      </c>
      <c r="B16240" s="1" t="str">
        <f>"64801"</f>
        <v>64801</v>
      </c>
      <c r="C16240" s="2">
        <v>0.19670352743561001</v>
      </c>
      <c r="D16240" s="2">
        <v>0.28958541458541398</v>
      </c>
      <c r="E16240" s="2">
        <v>0.33769063180827802</v>
      </c>
      <c r="F16240" s="2">
        <v>0.20719457581718401</v>
      </c>
    </row>
    <row r="16241" spans="1:6" x14ac:dyDescent="0.25">
      <c r="A16241" s="1" t="str">
        <f t="shared" si="612"/>
        <v>27900</v>
      </c>
      <c r="B16241" s="1" t="str">
        <f>"64843"</f>
        <v>64843</v>
      </c>
      <c r="C16241" s="2">
        <v>2.46127286300858E-3</v>
      </c>
      <c r="D16241" s="2">
        <v>8.7412587412587402E-4</v>
      </c>
      <c r="E16241" s="2">
        <v>5.4466230936819101E-4</v>
      </c>
      <c r="F16241" s="2">
        <v>2.2914661197840302E-3</v>
      </c>
    </row>
    <row r="16242" spans="1:6" x14ac:dyDescent="0.25">
      <c r="A16242" s="1" t="str">
        <f t="shared" si="612"/>
        <v>27900</v>
      </c>
      <c r="B16242" s="1" t="str">
        <f>"64858"</f>
        <v>64858</v>
      </c>
      <c r="C16242" s="2">
        <v>1.16648002986188E-5</v>
      </c>
      <c r="D16242" s="2">
        <v>0</v>
      </c>
      <c r="E16242" s="2">
        <v>5.4466230936819101E-4</v>
      </c>
      <c r="F16242" s="2">
        <v>2.0926631230904399E-5</v>
      </c>
    </row>
    <row r="16243" spans="1:6" x14ac:dyDescent="0.25">
      <c r="A16243" s="1" t="str">
        <f t="shared" si="612"/>
        <v>27900</v>
      </c>
      <c r="B16243" s="1" t="str">
        <f>"64857"</f>
        <v>64857</v>
      </c>
      <c r="C16243" s="2">
        <v>0</v>
      </c>
      <c r="D16243" s="2">
        <v>0</v>
      </c>
      <c r="E16243" s="2">
        <v>1.0893246187363801E-3</v>
      </c>
      <c r="F16243" s="2">
        <v>2.0926631230904399E-5</v>
      </c>
    </row>
    <row r="16244" spans="1:6" x14ac:dyDescent="0.25">
      <c r="A16244" s="1" t="str">
        <f t="shared" si="612"/>
        <v>27900</v>
      </c>
      <c r="B16244" s="1" t="str">
        <f>"64870"</f>
        <v>64870</v>
      </c>
      <c r="C16244" s="2">
        <v>8.7194382232176099E-2</v>
      </c>
      <c r="D16244" s="2">
        <v>7.4675324675324603E-2</v>
      </c>
      <c r="E16244" s="2">
        <v>0.11111111111111099</v>
      </c>
      <c r="F16244" s="2">
        <v>8.6604863349098005E-2</v>
      </c>
    </row>
    <row r="16245" spans="1:6" x14ac:dyDescent="0.25">
      <c r="A16245" s="1" t="str">
        <f t="shared" si="612"/>
        <v>27900</v>
      </c>
      <c r="B16245" s="1" t="str">
        <f>"64861"</f>
        <v>64861</v>
      </c>
      <c r="C16245" s="2">
        <v>2.9162000746547201E-4</v>
      </c>
      <c r="D16245" s="2">
        <v>1.2487512487512401E-4</v>
      </c>
      <c r="E16245" s="2">
        <v>0</v>
      </c>
      <c r="F16245" s="2">
        <v>2.7204620600175701E-4</v>
      </c>
    </row>
    <row r="16246" spans="1:6" x14ac:dyDescent="0.25">
      <c r="A16246" s="1" t="str">
        <f t="shared" si="612"/>
        <v>27900</v>
      </c>
      <c r="B16246" s="1" t="str">
        <f>"64835"</f>
        <v>64835</v>
      </c>
      <c r="C16246" s="2">
        <v>1.00667226577081E-2</v>
      </c>
      <c r="D16246" s="2">
        <v>4.6203796203796201E-3</v>
      </c>
      <c r="E16246" s="2">
        <v>8.1699346405228693E-3</v>
      </c>
      <c r="F16246" s="2">
        <v>9.5739337881387797E-3</v>
      </c>
    </row>
    <row r="16247" spans="1:6" x14ac:dyDescent="0.25">
      <c r="A16247" s="1" t="str">
        <f t="shared" si="612"/>
        <v>27900</v>
      </c>
      <c r="B16247" s="1" t="str">
        <f>"64832"</f>
        <v>64832</v>
      </c>
      <c r="C16247" s="2">
        <v>3.6510824934677102E-3</v>
      </c>
      <c r="D16247" s="2">
        <v>1.87312687312687E-3</v>
      </c>
      <c r="E16247" s="2">
        <v>5.4466230936819101E-4</v>
      </c>
      <c r="F16247" s="2">
        <v>3.44243083748378E-3</v>
      </c>
    </row>
    <row r="16248" spans="1:6" x14ac:dyDescent="0.25">
      <c r="A16248" s="1" t="str">
        <f t="shared" si="612"/>
        <v>27900</v>
      </c>
      <c r="B16248" s="1" t="str">
        <f>"64866"</f>
        <v>64866</v>
      </c>
      <c r="C16248" s="2">
        <v>7.2321761851437101E-3</v>
      </c>
      <c r="D16248" s="2">
        <v>1.49850149850149E-3</v>
      </c>
      <c r="E16248" s="2">
        <v>3.26797385620915E-3</v>
      </c>
      <c r="F16248" s="2">
        <v>6.6755953626585103E-3</v>
      </c>
    </row>
    <row r="16249" spans="1:6" x14ac:dyDescent="0.25">
      <c r="A16249" s="1" t="str">
        <f t="shared" si="612"/>
        <v>27900</v>
      </c>
      <c r="B16249" s="1" t="str">
        <f>"64841"</f>
        <v>64841</v>
      </c>
      <c r="C16249" s="2">
        <v>4.9458753266144002E-3</v>
      </c>
      <c r="D16249" s="2">
        <v>3.7462537462537397E-4</v>
      </c>
      <c r="E16249" s="2">
        <v>5.9912854030501001E-3</v>
      </c>
      <c r="F16249" s="2">
        <v>4.5829322395680699E-3</v>
      </c>
    </row>
    <row r="16250" spans="1:6" x14ac:dyDescent="0.25">
      <c r="A16250" s="1" t="str">
        <f t="shared" si="612"/>
        <v>27900</v>
      </c>
      <c r="B16250" s="1" t="str">
        <f>"64849"</f>
        <v>64849</v>
      </c>
      <c r="C16250" s="2">
        <v>0</v>
      </c>
      <c r="D16250" s="2">
        <v>0</v>
      </c>
      <c r="E16250" s="2">
        <v>5.4466230936819101E-4</v>
      </c>
      <c r="F16250" s="2">
        <v>1.0463315615452199E-5</v>
      </c>
    </row>
    <row r="16251" spans="1:6" x14ac:dyDescent="0.25">
      <c r="A16251" s="1" t="str">
        <f t="shared" si="612"/>
        <v>27900</v>
      </c>
      <c r="B16251" s="1" t="str">
        <f>"64834"</f>
        <v>64834</v>
      </c>
      <c r="C16251" s="2">
        <v>5.2281634938409802E-2</v>
      </c>
      <c r="D16251" s="2">
        <v>1.9105894105894101E-2</v>
      </c>
      <c r="E16251" s="2">
        <v>1.30718954248366E-2</v>
      </c>
      <c r="F16251" s="2">
        <v>4.8748587452391898E-2</v>
      </c>
    </row>
    <row r="16252" spans="1:6" x14ac:dyDescent="0.25">
      <c r="A16252" s="1" t="str">
        <f t="shared" si="612"/>
        <v>27900</v>
      </c>
      <c r="B16252" s="1" t="str">
        <f>"64844"</f>
        <v>64844</v>
      </c>
      <c r="C16252" s="2">
        <v>2.40761478163493E-2</v>
      </c>
      <c r="D16252" s="2">
        <v>1.04895104895104E-2</v>
      </c>
      <c r="E16252" s="2">
        <v>4.3572984749455299E-3</v>
      </c>
      <c r="F16252" s="2">
        <v>2.2558908466914902E-2</v>
      </c>
    </row>
    <row r="16253" spans="1:6" x14ac:dyDescent="0.25">
      <c r="A16253" s="1" t="str">
        <f t="shared" si="612"/>
        <v>27900</v>
      </c>
      <c r="B16253" s="1" t="str">
        <f>"64859"</f>
        <v>64859</v>
      </c>
      <c r="C16253" s="2">
        <v>6.9172265770809996E-3</v>
      </c>
      <c r="D16253" s="2">
        <v>1.2487512487512401E-3</v>
      </c>
      <c r="E16253" s="2">
        <v>5.4466230936819101E-4</v>
      </c>
      <c r="F16253" s="2">
        <v>6.3198426317331398E-3</v>
      </c>
    </row>
    <row r="16254" spans="1:6" x14ac:dyDescent="0.25">
      <c r="A16254" s="1" t="str">
        <f t="shared" si="612"/>
        <v>27900</v>
      </c>
      <c r="B16254" s="1" t="str">
        <f>"64833"</f>
        <v>64833</v>
      </c>
      <c r="C16254" s="2">
        <v>0</v>
      </c>
      <c r="D16254" s="2">
        <v>0</v>
      </c>
      <c r="E16254" s="2">
        <v>1.0893246187363801E-3</v>
      </c>
      <c r="F16254" s="2">
        <v>2.0926631230904399E-5</v>
      </c>
    </row>
    <row r="16255" spans="1:6" x14ac:dyDescent="0.25">
      <c r="A16255" s="1" t="str">
        <f t="shared" si="612"/>
        <v>27900</v>
      </c>
      <c r="B16255" s="1" t="str">
        <f>"64830"</f>
        <v>64830</v>
      </c>
      <c r="C16255" s="2">
        <v>0</v>
      </c>
      <c r="D16255" s="2">
        <v>0</v>
      </c>
      <c r="E16255" s="2">
        <v>5.4466230936819101E-4</v>
      </c>
      <c r="F16255" s="2">
        <v>1.0463315615452199E-5</v>
      </c>
    </row>
    <row r="16256" spans="1:6" x14ac:dyDescent="0.25">
      <c r="A16256" s="1" t="str">
        <f t="shared" si="612"/>
        <v>27900</v>
      </c>
      <c r="B16256" s="1" t="str">
        <f>"64873"</f>
        <v>64873</v>
      </c>
      <c r="C16256" s="2">
        <v>2.5779208659947699E-3</v>
      </c>
      <c r="D16256" s="2">
        <v>6.2437562437562405E-4</v>
      </c>
      <c r="E16256" s="2">
        <v>0</v>
      </c>
      <c r="F16256" s="2">
        <v>2.3647093290922001E-3</v>
      </c>
    </row>
    <row r="16257" spans="1:6" x14ac:dyDescent="0.25">
      <c r="A16257" s="1" t="str">
        <f t="shared" si="612"/>
        <v>27900</v>
      </c>
      <c r="B16257" s="1" t="str">
        <f>"64848"</f>
        <v>64848</v>
      </c>
      <c r="C16257" s="2">
        <v>6.7655841731989496E-4</v>
      </c>
      <c r="D16257" s="2">
        <v>4.9950049950049896E-4</v>
      </c>
      <c r="E16257" s="2">
        <v>5.4466230936819101E-4</v>
      </c>
      <c r="F16257" s="2">
        <v>6.5918888377349005E-4</v>
      </c>
    </row>
    <row r="16258" spans="1:6" x14ac:dyDescent="0.25">
      <c r="A16258" s="1" t="str">
        <f t="shared" si="612"/>
        <v>27900</v>
      </c>
      <c r="B16258" s="1" t="str">
        <f>"64850"</f>
        <v>64850</v>
      </c>
      <c r="C16258" s="2">
        <v>0.12995754012691299</v>
      </c>
      <c r="D16258" s="2">
        <v>0.129870129870129</v>
      </c>
      <c r="E16258" s="2">
        <v>9.9673202614378995E-2</v>
      </c>
      <c r="F16258" s="2">
        <v>0.12936843426945099</v>
      </c>
    </row>
    <row r="16259" spans="1:6" x14ac:dyDescent="0.25">
      <c r="A16259" s="1" t="str">
        <f>"27940"</f>
        <v>27940</v>
      </c>
      <c r="B16259" s="1" t="str">
        <f>"99801"</f>
        <v>99801</v>
      </c>
      <c r="C16259" s="2">
        <v>0.92881196648132103</v>
      </c>
      <c r="D16259" s="2">
        <v>0.985252410663641</v>
      </c>
      <c r="E16259" s="2">
        <v>0.85130890052356001</v>
      </c>
      <c r="F16259" s="2">
        <v>0.93045780331891204</v>
      </c>
    </row>
    <row r="16260" spans="1:6" x14ac:dyDescent="0.25">
      <c r="A16260" s="1" t="str">
        <f>"27940"</f>
        <v>27940</v>
      </c>
      <c r="B16260" s="1" t="str">
        <f>"99824"</f>
        <v>99824</v>
      </c>
      <c r="C16260" s="2">
        <v>7.1188033518678001E-2</v>
      </c>
      <c r="D16260" s="2">
        <v>1.36131593874078E-2</v>
      </c>
      <c r="E16260" s="2">
        <v>0.14869109947643899</v>
      </c>
      <c r="F16260" s="2">
        <v>6.9413056111577401E-2</v>
      </c>
    </row>
    <row r="16261" spans="1:6" x14ac:dyDescent="0.25">
      <c r="A16261" s="1" t="str">
        <f>"27940"</f>
        <v>27940</v>
      </c>
      <c r="B16261" s="1" t="str">
        <f>"99811"</f>
        <v>99811</v>
      </c>
      <c r="C16261" s="2">
        <v>0</v>
      </c>
      <c r="D16261" s="2">
        <v>1.13442994895065E-3</v>
      </c>
      <c r="E16261" s="2">
        <v>0</v>
      </c>
      <c r="F16261" s="2">
        <v>1.2914056950991099E-4</v>
      </c>
    </row>
    <row r="16262" spans="1:6" x14ac:dyDescent="0.25">
      <c r="A16262" s="1" t="str">
        <f t="shared" ref="A16262:A16279" si="613">"27980"</f>
        <v>27980</v>
      </c>
      <c r="B16262" s="1" t="str">
        <f>"96708"</f>
        <v>96708</v>
      </c>
      <c r="C16262" s="2">
        <v>6.09591071359529E-2</v>
      </c>
      <c r="D16262" s="2">
        <v>2.5869120654396699E-2</v>
      </c>
      <c r="E16262" s="2">
        <v>3.6940081442699203E-2</v>
      </c>
      <c r="F16262" s="2">
        <v>5.62707161026747E-2</v>
      </c>
    </row>
    <row r="16263" spans="1:6" x14ac:dyDescent="0.25">
      <c r="A16263" s="1" t="str">
        <f t="shared" si="613"/>
        <v>27980</v>
      </c>
      <c r="B16263" s="1" t="str">
        <f>"96733"</f>
        <v>96733</v>
      </c>
      <c r="C16263" s="2">
        <v>3.0775972059335199E-2</v>
      </c>
      <c r="D16263" s="2">
        <v>4.4478527607361901E-2</v>
      </c>
      <c r="E16263" s="2">
        <v>2.9086678301337899E-4</v>
      </c>
      <c r="F16263" s="2">
        <v>3.10975542610476E-2</v>
      </c>
    </row>
    <row r="16264" spans="1:6" x14ac:dyDescent="0.25">
      <c r="A16264" s="1" t="str">
        <f t="shared" si="613"/>
        <v>27980</v>
      </c>
      <c r="B16264" s="1" t="str">
        <f>"96788"</f>
        <v>96788</v>
      </c>
      <c r="C16264" s="2">
        <v>1.242380111608E-2</v>
      </c>
      <c r="D16264" s="2">
        <v>1.2678936605316901E-2</v>
      </c>
      <c r="E16264" s="2">
        <v>2.9086678301337899E-4</v>
      </c>
      <c r="F16264" s="2">
        <v>1.1991939302507399E-2</v>
      </c>
    </row>
    <row r="16265" spans="1:6" x14ac:dyDescent="0.25">
      <c r="A16265" s="1" t="str">
        <f t="shared" si="613"/>
        <v>27980</v>
      </c>
      <c r="B16265" s="1" t="str">
        <f>"96757"</f>
        <v>96757</v>
      </c>
      <c r="C16265" s="2">
        <v>0</v>
      </c>
      <c r="D16265" s="2">
        <v>1.0224948875255599E-4</v>
      </c>
      <c r="E16265" s="2">
        <v>0</v>
      </c>
      <c r="F16265" s="2">
        <v>1.10118818204843E-5</v>
      </c>
    </row>
    <row r="16266" spans="1:6" x14ac:dyDescent="0.25">
      <c r="A16266" s="1" t="str">
        <f t="shared" si="613"/>
        <v>27980</v>
      </c>
      <c r="B16266" s="1" t="str">
        <f>"96770"</f>
        <v>96770</v>
      </c>
      <c r="C16266" s="2">
        <v>0</v>
      </c>
      <c r="D16266" s="2">
        <v>1.0224948875255599E-4</v>
      </c>
      <c r="E16266" s="2">
        <v>0</v>
      </c>
      <c r="F16266" s="2">
        <v>1.10118818204843E-5</v>
      </c>
    </row>
    <row r="16267" spans="1:6" x14ac:dyDescent="0.25">
      <c r="A16267" s="1" t="str">
        <f t="shared" si="613"/>
        <v>27980</v>
      </c>
      <c r="B16267" s="1" t="str">
        <f>"96729"</f>
        <v>96729</v>
      </c>
      <c r="C16267" s="2">
        <v>2.5775520987717898E-5</v>
      </c>
      <c r="D16267" s="2">
        <v>0</v>
      </c>
      <c r="E16267" s="2">
        <v>2.9086678301337899E-4</v>
      </c>
      <c r="F16267" s="2">
        <v>3.30356454614529E-5</v>
      </c>
    </row>
    <row r="16268" spans="1:6" x14ac:dyDescent="0.25">
      <c r="A16268" s="1" t="str">
        <f t="shared" si="613"/>
        <v>27980</v>
      </c>
      <c r="B16268" s="1" t="str">
        <f>"96732"</f>
        <v>96732</v>
      </c>
      <c r="C16268" s="2">
        <v>9.0149884654543502E-2</v>
      </c>
      <c r="D16268" s="2">
        <v>0.216564417177914</v>
      </c>
      <c r="E16268" s="2">
        <v>0.109656777196044</v>
      </c>
      <c r="F16268" s="2">
        <v>0.10450275847639599</v>
      </c>
    </row>
    <row r="16269" spans="1:6" x14ac:dyDescent="0.25">
      <c r="A16269" s="1" t="str">
        <f t="shared" si="613"/>
        <v>27980</v>
      </c>
      <c r="B16269" s="1" t="str">
        <f>"96790"</f>
        <v>96790</v>
      </c>
      <c r="C16269" s="2">
        <v>5.9928086296444201E-2</v>
      </c>
      <c r="D16269" s="2">
        <v>1.5848670756646199E-2</v>
      </c>
      <c r="E16269" s="2">
        <v>1.7452006980802699E-2</v>
      </c>
      <c r="F16269" s="2">
        <v>5.3572805056656098E-2</v>
      </c>
    </row>
    <row r="16270" spans="1:6" x14ac:dyDescent="0.25">
      <c r="A16270" s="1" t="str">
        <f t="shared" si="613"/>
        <v>27980</v>
      </c>
      <c r="B16270" s="1" t="str">
        <f>"96767"</f>
        <v>96767</v>
      </c>
      <c r="C16270" s="2">
        <v>1.5349322748186E-2</v>
      </c>
      <c r="D16270" s="2">
        <v>1.07361963190184E-2</v>
      </c>
      <c r="E16270" s="2">
        <v>5.8173356602675896E-4</v>
      </c>
      <c r="F16270" s="2">
        <v>1.42934226029886E-2</v>
      </c>
    </row>
    <row r="16271" spans="1:6" x14ac:dyDescent="0.25">
      <c r="A16271" s="1" t="str">
        <f t="shared" si="613"/>
        <v>27980</v>
      </c>
      <c r="B16271" s="1" t="str">
        <f>"96713"</f>
        <v>96713</v>
      </c>
      <c r="C16271" s="2">
        <v>1.9589395950665601E-3</v>
      </c>
      <c r="D16271" s="2">
        <v>4.0899795501022398E-4</v>
      </c>
      <c r="E16271" s="2">
        <v>2.9086678301337899E-4</v>
      </c>
      <c r="F16271" s="2">
        <v>1.7288654458160299E-3</v>
      </c>
    </row>
    <row r="16272" spans="1:6" x14ac:dyDescent="0.25">
      <c r="A16272" s="1" t="str">
        <f t="shared" si="613"/>
        <v>27980</v>
      </c>
      <c r="B16272" s="1" t="str">
        <f>"96753"</f>
        <v>96753</v>
      </c>
      <c r="C16272" s="2">
        <v>0.24141352957096601</v>
      </c>
      <c r="D16272" s="2">
        <v>0.13691206543967199</v>
      </c>
      <c r="E16272" s="2">
        <v>0.243164630599185</v>
      </c>
      <c r="F16272" s="2">
        <v>0.23022541322086501</v>
      </c>
    </row>
    <row r="16273" spans="1:6" x14ac:dyDescent="0.25">
      <c r="A16273" s="1" t="str">
        <f t="shared" si="613"/>
        <v>27980</v>
      </c>
      <c r="B16273" s="1" t="str">
        <f>"96768"</f>
        <v>96768</v>
      </c>
      <c r="C16273" s="2">
        <v>9.7843877669377299E-2</v>
      </c>
      <c r="D16273" s="2">
        <v>5.5316973415132899E-2</v>
      </c>
      <c r="E16273" s="2">
        <v>7.06806282722513E-2</v>
      </c>
      <c r="F16273" s="2">
        <v>9.2235522128376504E-2</v>
      </c>
    </row>
    <row r="16274" spans="1:6" x14ac:dyDescent="0.25">
      <c r="A16274" s="1" t="str">
        <f t="shared" si="613"/>
        <v>27980</v>
      </c>
      <c r="B16274" s="1" t="str">
        <f>"96748"</f>
        <v>96748</v>
      </c>
      <c r="C16274" s="2">
        <v>8.4672586444653492E-3</v>
      </c>
      <c r="D16274" s="2">
        <v>7.1574642126789303E-4</v>
      </c>
      <c r="E16274" s="2">
        <v>5.8173356602675896E-4</v>
      </c>
      <c r="F16274" s="2">
        <v>7.3339132924425399E-3</v>
      </c>
    </row>
    <row r="16275" spans="1:6" x14ac:dyDescent="0.25">
      <c r="A16275" s="1" t="str">
        <f t="shared" si="613"/>
        <v>27980</v>
      </c>
      <c r="B16275" s="1" t="str">
        <f>"96763"</f>
        <v>96763</v>
      </c>
      <c r="C16275" s="2">
        <v>0</v>
      </c>
      <c r="D16275" s="2">
        <v>1.0224948875255599E-4</v>
      </c>
      <c r="E16275" s="2">
        <v>0</v>
      </c>
      <c r="F16275" s="2">
        <v>1.10118818204843E-5</v>
      </c>
    </row>
    <row r="16276" spans="1:6" x14ac:dyDescent="0.25">
      <c r="A16276" s="1" t="str">
        <f t="shared" si="613"/>
        <v>27980</v>
      </c>
      <c r="B16276" s="1" t="str">
        <f>"96761"</f>
        <v>96761</v>
      </c>
      <c r="C16276" s="2">
        <v>0.159408709548541</v>
      </c>
      <c r="D16276" s="2">
        <v>0.19907975460122601</v>
      </c>
      <c r="E16276" s="2">
        <v>0.20535194880744601</v>
      </c>
      <c r="F16276" s="2">
        <v>0.16542048870731499</v>
      </c>
    </row>
    <row r="16277" spans="1:6" x14ac:dyDescent="0.25">
      <c r="A16277" s="1" t="str">
        <f t="shared" si="613"/>
        <v>27980</v>
      </c>
      <c r="B16277" s="1" t="str">
        <f>"96793"</f>
        <v>96793</v>
      </c>
      <c r="C16277" s="2">
        <v>0.17202582707202899</v>
      </c>
      <c r="D16277" s="2">
        <v>0.24795501022494801</v>
      </c>
      <c r="E16277" s="2">
        <v>0.29435718440954001</v>
      </c>
      <c r="F16277" s="2">
        <v>0.184834436356829</v>
      </c>
    </row>
    <row r="16278" spans="1:6" x14ac:dyDescent="0.25">
      <c r="A16278" s="1" t="str">
        <f t="shared" si="613"/>
        <v>27980</v>
      </c>
      <c r="B16278" s="1" t="str">
        <f>"96779"</f>
        <v>96779</v>
      </c>
      <c r="C16278" s="2">
        <v>3.42427796321833E-2</v>
      </c>
      <c r="D16278" s="2">
        <v>2.1063394683026499E-2</v>
      </c>
      <c r="E16278" s="2">
        <v>1.9197207678882999E-2</v>
      </c>
      <c r="F16278" s="2">
        <v>3.2253801852198498E-2</v>
      </c>
    </row>
    <row r="16279" spans="1:6" x14ac:dyDescent="0.25">
      <c r="A16279" s="1" t="str">
        <f t="shared" si="613"/>
        <v>27980</v>
      </c>
      <c r="B16279" s="1" t="str">
        <f>"96784"</f>
        <v>96784</v>
      </c>
      <c r="C16279" s="2">
        <v>1.5027128735839499E-2</v>
      </c>
      <c r="D16279" s="2">
        <v>1.20654396728016E-2</v>
      </c>
      <c r="E16279" s="2">
        <v>8.7260034904013898E-4</v>
      </c>
      <c r="F16279" s="2">
        <v>1.4172291902963201E-2</v>
      </c>
    </row>
    <row r="16280" spans="1:6" x14ac:dyDescent="0.25">
      <c r="A16280" s="1" t="str">
        <f t="shared" ref="A16280:A16311" si="614">"28020"</f>
        <v>28020</v>
      </c>
      <c r="B16280" s="1" t="str">
        <f>"49006"</f>
        <v>49006</v>
      </c>
      <c r="C16280" s="2">
        <v>9.7518886679920397E-2</v>
      </c>
      <c r="D16280" s="2">
        <v>4.4687557945484797E-2</v>
      </c>
      <c r="E16280" s="2">
        <v>0.13547355801252101</v>
      </c>
      <c r="F16280" s="2">
        <v>9.5540914865699794E-2</v>
      </c>
    </row>
    <row r="16281" spans="1:6" x14ac:dyDescent="0.25">
      <c r="A16281" s="1" t="str">
        <f t="shared" si="614"/>
        <v>28020</v>
      </c>
      <c r="B16281" s="1" t="str">
        <f>"49048"</f>
        <v>49048</v>
      </c>
      <c r="C16281" s="2">
        <v>9.0425447316103302E-2</v>
      </c>
      <c r="D16281" s="2">
        <v>8.5944743185610906E-2</v>
      </c>
      <c r="E16281" s="2">
        <v>0.116557879312641</v>
      </c>
      <c r="F16281" s="2">
        <v>9.1451858125698504E-2</v>
      </c>
    </row>
    <row r="16282" spans="1:6" x14ac:dyDescent="0.25">
      <c r="A16282" s="1" t="str">
        <f t="shared" si="614"/>
        <v>28020</v>
      </c>
      <c r="B16282" s="1" t="str">
        <f>"49060"</f>
        <v>49060</v>
      </c>
      <c r="C16282" s="2">
        <v>3.07753479125248E-3</v>
      </c>
      <c r="D16282" s="2">
        <v>1.11255330984609E-3</v>
      </c>
      <c r="E16282" s="2">
        <v>2.6641800985746601E-4</v>
      </c>
      <c r="F16282" s="2">
        <v>2.7838909214609499E-3</v>
      </c>
    </row>
    <row r="16283" spans="1:6" x14ac:dyDescent="0.25">
      <c r="A16283" s="1" t="str">
        <f t="shared" si="614"/>
        <v>28020</v>
      </c>
      <c r="B16283" s="1" t="str">
        <f>"49041"</f>
        <v>49041</v>
      </c>
      <c r="C16283" s="2">
        <v>3.9840954274353796E-3</v>
      </c>
      <c r="D16283" s="2">
        <v>7.4170220656406402E-3</v>
      </c>
      <c r="E16283" s="2">
        <v>1.33209004928733E-4</v>
      </c>
      <c r="F16283" s="2">
        <v>4.0404601403747397E-3</v>
      </c>
    </row>
    <row r="16284" spans="1:6" x14ac:dyDescent="0.25">
      <c r="A16284" s="1" t="str">
        <f t="shared" si="614"/>
        <v>28020</v>
      </c>
      <c r="B16284" s="1" t="str">
        <f>"49005"</f>
        <v>49005</v>
      </c>
      <c r="C16284" s="2">
        <v>6.3300198807157001E-3</v>
      </c>
      <c r="D16284" s="2">
        <v>1.71518635267939E-2</v>
      </c>
      <c r="E16284" s="2">
        <v>2.6641800985746601E-4</v>
      </c>
      <c r="F16284" s="2">
        <v>6.8243510618357E-3</v>
      </c>
    </row>
    <row r="16285" spans="1:6" x14ac:dyDescent="0.25">
      <c r="A16285" s="1" t="str">
        <f t="shared" si="614"/>
        <v>28020</v>
      </c>
      <c r="B16285" s="1" t="str">
        <f>"49003"</f>
        <v>49003</v>
      </c>
      <c r="C16285" s="2">
        <v>6.3459244532803102E-3</v>
      </c>
      <c r="D16285" s="2">
        <v>2.05822362321527E-2</v>
      </c>
      <c r="E16285" s="2">
        <v>2.6641800985746601E-4</v>
      </c>
      <c r="F16285" s="2">
        <v>7.0951035454690599E-3</v>
      </c>
    </row>
    <row r="16286" spans="1:6" x14ac:dyDescent="0.25">
      <c r="A16286" s="1" t="str">
        <f t="shared" si="614"/>
        <v>28020</v>
      </c>
      <c r="B16286" s="1" t="str">
        <f>"49015"</f>
        <v>49015</v>
      </c>
      <c r="C16286" s="2">
        <v>3.9761431411530802E-5</v>
      </c>
      <c r="D16286" s="2">
        <v>0</v>
      </c>
      <c r="E16286" s="2">
        <v>0</v>
      </c>
      <c r="F16286" s="2">
        <v>3.4711856876071698E-5</v>
      </c>
    </row>
    <row r="16287" spans="1:6" x14ac:dyDescent="0.25">
      <c r="A16287" s="1" t="str">
        <f t="shared" si="614"/>
        <v>28020</v>
      </c>
      <c r="B16287" s="1" t="str">
        <f>"49072"</f>
        <v>49072</v>
      </c>
      <c r="C16287" s="2">
        <v>1.11332007952286E-4</v>
      </c>
      <c r="D16287" s="2">
        <v>0</v>
      </c>
      <c r="E16287" s="2">
        <v>0</v>
      </c>
      <c r="F16287" s="2">
        <v>9.7193199253000807E-5</v>
      </c>
    </row>
    <row r="16288" spans="1:6" x14ac:dyDescent="0.25">
      <c r="A16288" s="1" t="str">
        <f t="shared" si="614"/>
        <v>28020</v>
      </c>
      <c r="B16288" s="1" t="str">
        <f>"49004"</f>
        <v>49004</v>
      </c>
      <c r="C16288" s="2">
        <v>6.2568588469184797E-2</v>
      </c>
      <c r="D16288" s="2">
        <v>2.8462822176895899E-2</v>
      </c>
      <c r="E16288" s="2">
        <v>3.1037698148394799E-2</v>
      </c>
      <c r="F16288" s="2">
        <v>5.8371458522802198E-2</v>
      </c>
    </row>
    <row r="16289" spans="1:6" x14ac:dyDescent="0.25">
      <c r="A16289" s="1" t="str">
        <f t="shared" si="614"/>
        <v>28020</v>
      </c>
      <c r="B16289" s="1" t="str">
        <f>"49083"</f>
        <v>49083</v>
      </c>
      <c r="C16289" s="2">
        <v>3.1125248508946299E-2</v>
      </c>
      <c r="D16289" s="2">
        <v>3.4118301501946897E-2</v>
      </c>
      <c r="E16289" s="2">
        <v>1.4786199547089301E-2</v>
      </c>
      <c r="F16289" s="2">
        <v>3.0497837451316599E-2</v>
      </c>
    </row>
    <row r="16290" spans="1:6" x14ac:dyDescent="0.25">
      <c r="A16290" s="1" t="str">
        <f t="shared" si="614"/>
        <v>28020</v>
      </c>
      <c r="B16290" s="1" t="str">
        <f>"49037"</f>
        <v>49037</v>
      </c>
      <c r="C16290" s="2">
        <v>0</v>
      </c>
      <c r="D16290" s="2">
        <v>1.8542555164101601E-4</v>
      </c>
      <c r="E16290" s="2">
        <v>0</v>
      </c>
      <c r="F16290" s="2">
        <v>1.38847427504286E-5</v>
      </c>
    </row>
    <row r="16291" spans="1:6" x14ac:dyDescent="0.25">
      <c r="A16291" s="1" t="str">
        <f t="shared" si="614"/>
        <v>28020</v>
      </c>
      <c r="B16291" s="1" t="str">
        <f>"49080"</f>
        <v>49080</v>
      </c>
      <c r="C16291" s="2">
        <v>4.80318091451292E-3</v>
      </c>
      <c r="D16291" s="2">
        <v>3.7085110328203202E-4</v>
      </c>
      <c r="E16291" s="2">
        <v>2.6641800985746601E-4</v>
      </c>
      <c r="F16291" s="2">
        <v>4.2348465388807504E-3</v>
      </c>
    </row>
    <row r="16292" spans="1:6" x14ac:dyDescent="0.25">
      <c r="A16292" s="1" t="str">
        <f t="shared" si="614"/>
        <v>28020</v>
      </c>
      <c r="B16292" s="1" t="str">
        <f>"49007"</f>
        <v>49007</v>
      </c>
      <c r="C16292" s="2">
        <v>4.5542743538767298E-2</v>
      </c>
      <c r="D16292" s="2">
        <v>0.13480437604301801</v>
      </c>
      <c r="E16292" s="2">
        <v>0.120420940455574</v>
      </c>
      <c r="F16292" s="2">
        <v>5.6129072568607899E-2</v>
      </c>
    </row>
    <row r="16293" spans="1:6" x14ac:dyDescent="0.25">
      <c r="A16293" s="1" t="str">
        <f t="shared" si="614"/>
        <v>28020</v>
      </c>
      <c r="B16293" s="1" t="str">
        <f>"49009"</f>
        <v>49009</v>
      </c>
      <c r="C16293" s="2">
        <v>0.16700596421471101</v>
      </c>
      <c r="D16293" s="2">
        <v>9.9666234007046106E-2</v>
      </c>
      <c r="E16293" s="2">
        <v>0.16304782203276899</v>
      </c>
      <c r="F16293" s="2">
        <v>0.161757253042494</v>
      </c>
    </row>
    <row r="16294" spans="1:6" x14ac:dyDescent="0.25">
      <c r="A16294" s="1" t="str">
        <f t="shared" si="614"/>
        <v>28020</v>
      </c>
      <c r="B16294" s="1" t="str">
        <f>"49012"</f>
        <v>49012</v>
      </c>
      <c r="C16294" s="2">
        <v>1.2453280318091399E-2</v>
      </c>
      <c r="D16294" s="2">
        <v>4.8210643426664099E-3</v>
      </c>
      <c r="E16294" s="2">
        <v>1.8649260690022599E-3</v>
      </c>
      <c r="F16294" s="2">
        <v>1.13299500843498E-2</v>
      </c>
    </row>
    <row r="16295" spans="1:6" x14ac:dyDescent="0.25">
      <c r="A16295" s="1" t="str">
        <f t="shared" si="614"/>
        <v>28020</v>
      </c>
      <c r="B16295" s="1" t="str">
        <f>"49019"</f>
        <v>49019</v>
      </c>
      <c r="C16295" s="2">
        <v>9.8449304174950195E-3</v>
      </c>
      <c r="D16295" s="2">
        <v>2.4939736695716599E-2</v>
      </c>
      <c r="E16295" s="2">
        <v>2.6641800985746601E-4</v>
      </c>
      <c r="F16295" s="2">
        <v>1.0476038405198399E-2</v>
      </c>
    </row>
    <row r="16296" spans="1:6" x14ac:dyDescent="0.25">
      <c r="A16296" s="1" t="str">
        <f t="shared" si="614"/>
        <v>28020</v>
      </c>
      <c r="B16296" s="1" t="str">
        <f>"49074"</f>
        <v>49074</v>
      </c>
      <c r="C16296" s="2">
        <v>0</v>
      </c>
      <c r="D16296" s="2">
        <v>9.2712775820508005E-5</v>
      </c>
      <c r="E16296" s="2">
        <v>0</v>
      </c>
      <c r="F16296" s="2">
        <v>6.9423713752143398E-6</v>
      </c>
    </row>
    <row r="16297" spans="1:6" x14ac:dyDescent="0.25">
      <c r="A16297" s="1" t="str">
        <f t="shared" si="614"/>
        <v>28020</v>
      </c>
      <c r="B16297" s="1" t="str">
        <f>"49001"</f>
        <v>49001</v>
      </c>
      <c r="C16297" s="2">
        <v>8.0485089463220597E-2</v>
      </c>
      <c r="D16297" s="2">
        <v>0.103931021694789</v>
      </c>
      <c r="E16297" s="2">
        <v>0.13414146796323401</v>
      </c>
      <c r="F16297" s="2">
        <v>8.5037106975000498E-2</v>
      </c>
    </row>
    <row r="16298" spans="1:6" x14ac:dyDescent="0.25">
      <c r="A16298" s="1" t="str">
        <f t="shared" si="614"/>
        <v>28020</v>
      </c>
      <c r="B16298" s="1" t="str">
        <f>"49081"</f>
        <v>49081</v>
      </c>
      <c r="C16298" s="2">
        <v>9.1212723658051602E-3</v>
      </c>
      <c r="D16298" s="2">
        <v>3.9588355275356903E-2</v>
      </c>
      <c r="E16298" s="2">
        <v>2.6641800985746601E-4</v>
      </c>
      <c r="F16298" s="2">
        <v>1.0941177287337799E-2</v>
      </c>
    </row>
    <row r="16299" spans="1:6" x14ac:dyDescent="0.25">
      <c r="A16299" s="1" t="str">
        <f t="shared" si="614"/>
        <v>28020</v>
      </c>
      <c r="B16299" s="1" t="str">
        <f>"49097"</f>
        <v>49097</v>
      </c>
      <c r="C16299" s="2">
        <v>3.89502982107355E-2</v>
      </c>
      <c r="D16299" s="2">
        <v>2.1694789541998799E-2</v>
      </c>
      <c r="E16299" s="2">
        <v>1.7317170640735301E-2</v>
      </c>
      <c r="F16299" s="2">
        <v>3.6530758176377798E-2</v>
      </c>
    </row>
    <row r="16300" spans="1:6" x14ac:dyDescent="0.25">
      <c r="A16300" s="1" t="str">
        <f t="shared" si="614"/>
        <v>28020</v>
      </c>
      <c r="B16300" s="1" t="str">
        <f>"49008"</f>
        <v>49008</v>
      </c>
      <c r="C16300" s="2">
        <v>6.3864811133200694E-2</v>
      </c>
      <c r="D16300" s="2">
        <v>6.4342666419432495E-2</v>
      </c>
      <c r="E16300" s="2">
        <v>8.7651525243106404E-2</v>
      </c>
      <c r="F16300" s="2">
        <v>6.5140270613636198E-2</v>
      </c>
    </row>
    <row r="16301" spans="1:6" x14ac:dyDescent="0.25">
      <c r="A16301" s="1" t="str">
        <f t="shared" si="614"/>
        <v>28020</v>
      </c>
      <c r="B16301" s="1" t="str">
        <f>"49053"</f>
        <v>49053</v>
      </c>
      <c r="C16301" s="2">
        <v>2.7920477137176901E-2</v>
      </c>
      <c r="D16301" s="2">
        <v>2.03968106805117E-2</v>
      </c>
      <c r="E16301" s="2">
        <v>1.4120154522445701E-2</v>
      </c>
      <c r="F16301" s="2">
        <v>2.6637878966697399E-2</v>
      </c>
    </row>
    <row r="16302" spans="1:6" x14ac:dyDescent="0.25">
      <c r="A16302" s="1" t="str">
        <f t="shared" si="614"/>
        <v>28020</v>
      </c>
      <c r="B16302" s="1" t="str">
        <f>"49078"</f>
        <v>49078</v>
      </c>
      <c r="C16302" s="2">
        <v>1.48707753479125E-3</v>
      </c>
      <c r="D16302" s="2">
        <v>0</v>
      </c>
      <c r="E16302" s="2">
        <v>0</v>
      </c>
      <c r="F16302" s="2">
        <v>1.29822344716508E-3</v>
      </c>
    </row>
    <row r="16303" spans="1:6" x14ac:dyDescent="0.25">
      <c r="A16303" s="1" t="str">
        <f t="shared" si="614"/>
        <v>28020</v>
      </c>
      <c r="B16303" s="1" t="str">
        <f>"49065"</f>
        <v>49065</v>
      </c>
      <c r="C16303" s="2">
        <v>2.14711729622266E-4</v>
      </c>
      <c r="D16303" s="2">
        <v>0</v>
      </c>
      <c r="E16303" s="2">
        <v>0</v>
      </c>
      <c r="F16303" s="2">
        <v>1.87444027130787E-4</v>
      </c>
    </row>
    <row r="16304" spans="1:6" x14ac:dyDescent="0.25">
      <c r="A16304" s="1" t="str">
        <f t="shared" si="614"/>
        <v>28020</v>
      </c>
      <c r="B16304" s="1" t="str">
        <f>"49052"</f>
        <v>49052</v>
      </c>
      <c r="C16304" s="2">
        <v>2.3379721669980098E-3</v>
      </c>
      <c r="D16304" s="2">
        <v>1.2052660856666001E-3</v>
      </c>
      <c r="E16304" s="2">
        <v>0</v>
      </c>
      <c r="F16304" s="2">
        <v>2.1313080121908002E-3</v>
      </c>
    </row>
    <row r="16305" spans="1:6" x14ac:dyDescent="0.25">
      <c r="A16305" s="1" t="str">
        <f t="shared" si="614"/>
        <v>28020</v>
      </c>
      <c r="B16305" s="1" t="str">
        <f>"49024"</f>
        <v>49024</v>
      </c>
      <c r="C16305" s="2">
        <v>0.10500198807157</v>
      </c>
      <c r="D16305" s="2">
        <v>9.1692935286482397E-2</v>
      </c>
      <c r="E16305" s="2">
        <v>8.9250033302251203E-2</v>
      </c>
      <c r="F16305" s="2">
        <v>0.10318446574980999</v>
      </c>
    </row>
    <row r="16306" spans="1:6" x14ac:dyDescent="0.25">
      <c r="A16306" s="1" t="str">
        <f t="shared" si="614"/>
        <v>28020</v>
      </c>
      <c r="B16306" s="1" t="str">
        <f>"49077"</f>
        <v>49077</v>
      </c>
      <c r="C16306" s="2">
        <v>2.5924453280318002E-3</v>
      </c>
      <c r="D16306" s="2">
        <v>1.2608937511588999E-2</v>
      </c>
      <c r="E16306" s="2">
        <v>2.6641800985746601E-4</v>
      </c>
      <c r="F16306" s="2">
        <v>3.2212603180994501E-3</v>
      </c>
    </row>
    <row r="16307" spans="1:6" x14ac:dyDescent="0.25">
      <c r="A16307" s="1" t="str">
        <f t="shared" si="614"/>
        <v>28020</v>
      </c>
      <c r="B16307" s="1" t="str">
        <f>"49087"</f>
        <v>49087</v>
      </c>
      <c r="C16307" s="2">
        <v>2.4063618290258399E-2</v>
      </c>
      <c r="D16307" s="2">
        <v>2.13239384387168E-2</v>
      </c>
      <c r="E16307" s="2">
        <v>5.9944052217929897E-3</v>
      </c>
      <c r="F16307" s="2">
        <v>2.2916767909582501E-2</v>
      </c>
    </row>
    <row r="16308" spans="1:6" x14ac:dyDescent="0.25">
      <c r="A16308" s="1" t="str">
        <f t="shared" si="614"/>
        <v>28020</v>
      </c>
      <c r="B16308" s="1" t="str">
        <f>"49088"</f>
        <v>49088</v>
      </c>
      <c r="C16308" s="2">
        <v>1.25566600397614E-2</v>
      </c>
      <c r="D16308" s="2">
        <v>1.11255330984609E-3</v>
      </c>
      <c r="E16308" s="2">
        <v>0</v>
      </c>
      <c r="F16308" s="2">
        <v>1.1045312857966E-2</v>
      </c>
    </row>
    <row r="16309" spans="1:6" x14ac:dyDescent="0.25">
      <c r="A16309" s="1" t="str">
        <f t="shared" si="614"/>
        <v>28020</v>
      </c>
      <c r="B16309" s="1" t="str">
        <f>"49034"</f>
        <v>49034</v>
      </c>
      <c r="C16309" s="2">
        <v>7.5149105367793203E-3</v>
      </c>
      <c r="D16309" s="2">
        <v>1.2979788614871099E-3</v>
      </c>
      <c r="E16309" s="2">
        <v>7.99254029572399E-4</v>
      </c>
      <c r="F16309" s="2">
        <v>6.6993883770818403E-3</v>
      </c>
    </row>
    <row r="16310" spans="1:6" x14ac:dyDescent="0.25">
      <c r="A16310" s="1" t="str">
        <f t="shared" si="614"/>
        <v>28020</v>
      </c>
      <c r="B16310" s="1" t="str">
        <f>"49071"</f>
        <v>49071</v>
      </c>
      <c r="C16310" s="2">
        <v>6.8787276341948297E-3</v>
      </c>
      <c r="D16310" s="2">
        <v>2.7813832746152397E-4</v>
      </c>
      <c r="E16310" s="2">
        <v>2.6641800985746601E-4</v>
      </c>
      <c r="F16310" s="2">
        <v>6.0398630964364798E-3</v>
      </c>
    </row>
    <row r="16311" spans="1:6" x14ac:dyDescent="0.25">
      <c r="A16311" s="1" t="str">
        <f t="shared" si="614"/>
        <v>28020</v>
      </c>
      <c r="B16311" s="1" t="str">
        <f>"49002"</f>
        <v>49002</v>
      </c>
      <c r="C16311" s="2">
        <v>7.5833001988071497E-2</v>
      </c>
      <c r="D16311" s="2">
        <v>0.116169108103096</v>
      </c>
      <c r="E16311" s="2">
        <v>6.5272412415079195E-2</v>
      </c>
      <c r="F16311" s="2">
        <v>7.8303006741042597E-2</v>
      </c>
    </row>
    <row r="16312" spans="1:6" x14ac:dyDescent="0.25">
      <c r="A16312" s="1" t="str">
        <f t="shared" ref="A16312:A16331" si="615">"28060"</f>
        <v>28060</v>
      </c>
      <c r="B16312" s="1" t="str">
        <f>"59937"</f>
        <v>59937</v>
      </c>
      <c r="C16312" s="2">
        <v>0.18303478191019301</v>
      </c>
      <c r="D16312" s="2">
        <v>0.17788391952525601</v>
      </c>
      <c r="E16312" s="2">
        <v>0.22073876279483701</v>
      </c>
      <c r="F16312" s="2">
        <v>0.18372291704597901</v>
      </c>
    </row>
    <row r="16313" spans="1:6" x14ac:dyDescent="0.25">
      <c r="A16313" s="1" t="str">
        <f t="shared" si="615"/>
        <v>28060</v>
      </c>
      <c r="B16313" s="1" t="str">
        <f>"59925"</f>
        <v>59925</v>
      </c>
      <c r="C16313" s="2">
        <v>1.2739979114788301E-2</v>
      </c>
      <c r="D16313" s="2">
        <v>2.31581994499927E-3</v>
      </c>
      <c r="E16313" s="2">
        <v>4.0053404539385799E-3</v>
      </c>
      <c r="F16313" s="2">
        <v>1.1456422178961E-2</v>
      </c>
    </row>
    <row r="16314" spans="1:6" x14ac:dyDescent="0.25">
      <c r="A16314" s="1" t="str">
        <f t="shared" si="615"/>
        <v>28060</v>
      </c>
      <c r="B16314" s="1" t="str">
        <f>"59928"</f>
        <v>59928</v>
      </c>
      <c r="C16314" s="2">
        <v>3.5183548879428E-3</v>
      </c>
      <c r="D16314" s="2">
        <v>4.34216239687364E-4</v>
      </c>
      <c r="E16314" s="2">
        <v>8.9007565643079605E-4</v>
      </c>
      <c r="F16314" s="2">
        <v>3.1372109634318799E-3</v>
      </c>
    </row>
    <row r="16315" spans="1:6" x14ac:dyDescent="0.25">
      <c r="A16315" s="1" t="str">
        <f t="shared" si="615"/>
        <v>28060</v>
      </c>
      <c r="B16315" s="1" t="str">
        <f>"59920"</f>
        <v>59920</v>
      </c>
      <c r="C16315" s="2">
        <v>1.68206281629046E-2</v>
      </c>
      <c r="D16315" s="2">
        <v>1.5921262121870001E-3</v>
      </c>
      <c r="E16315" s="2">
        <v>3.1152647975077798E-3</v>
      </c>
      <c r="F16315" s="2">
        <v>1.4915757482388201E-2</v>
      </c>
    </row>
    <row r="16316" spans="1:6" x14ac:dyDescent="0.25">
      <c r="A16316" s="1" t="str">
        <f t="shared" si="615"/>
        <v>28060</v>
      </c>
      <c r="B16316" s="1" t="str">
        <f>"59911"</f>
        <v>59911</v>
      </c>
      <c r="C16316" s="2">
        <v>8.8730018475379493E-2</v>
      </c>
      <c r="D16316" s="2">
        <v>9.4369662758720496E-2</v>
      </c>
      <c r="E16316" s="2">
        <v>7.0315976858032897E-2</v>
      </c>
      <c r="F16316" s="2">
        <v>8.8696236747384402E-2</v>
      </c>
    </row>
    <row r="16317" spans="1:6" x14ac:dyDescent="0.25">
      <c r="A16317" s="1" t="str">
        <f t="shared" si="615"/>
        <v>28060</v>
      </c>
      <c r="B16317" s="1" t="str">
        <f>"59926"</f>
        <v>59926</v>
      </c>
      <c r="C16317" s="2">
        <v>1.1727849626475999E-3</v>
      </c>
      <c r="D16317" s="2">
        <v>1.30264871906209E-3</v>
      </c>
      <c r="E16317" s="2">
        <v>4.4503782821539803E-4</v>
      </c>
      <c r="F16317" s="2">
        <v>1.1624487052002001E-3</v>
      </c>
    </row>
    <row r="16318" spans="1:6" x14ac:dyDescent="0.25">
      <c r="A16318" s="1" t="str">
        <f t="shared" si="615"/>
        <v>28060</v>
      </c>
      <c r="B16318" s="1" t="str">
        <f>"59932"</f>
        <v>59932</v>
      </c>
      <c r="C16318" s="2">
        <v>1.2932765683990601E-2</v>
      </c>
      <c r="D16318" s="2">
        <v>8.6843247937472799E-4</v>
      </c>
      <c r="E16318" s="2">
        <v>6.6755674232309697E-3</v>
      </c>
      <c r="F16318" s="2">
        <v>1.1568465427655E-2</v>
      </c>
    </row>
    <row r="16319" spans="1:6" x14ac:dyDescent="0.25">
      <c r="A16319" s="1" t="str">
        <f t="shared" si="615"/>
        <v>28060</v>
      </c>
      <c r="B16319" s="1" t="str">
        <f>"59927"</f>
        <v>59927</v>
      </c>
      <c r="C16319" s="2">
        <v>4.8196642300586298E-5</v>
      </c>
      <c r="D16319" s="2">
        <v>0</v>
      </c>
      <c r="E16319" s="2">
        <v>4.4503782821539803E-4</v>
      </c>
      <c r="F16319" s="2">
        <v>5.60216243469979E-5</v>
      </c>
    </row>
    <row r="16320" spans="1:6" x14ac:dyDescent="0.25">
      <c r="A16320" s="1" t="str">
        <f t="shared" si="615"/>
        <v>28060</v>
      </c>
      <c r="B16320" s="1" t="str">
        <f>"59916"</f>
        <v>59916</v>
      </c>
      <c r="C16320" s="2">
        <v>2.7150775162663602E-3</v>
      </c>
      <c r="D16320" s="2">
        <v>1.4473874656245401E-3</v>
      </c>
      <c r="E16320" s="2">
        <v>0</v>
      </c>
      <c r="F16320" s="2">
        <v>2.50696768952815E-3</v>
      </c>
    </row>
    <row r="16321" spans="1:6" x14ac:dyDescent="0.25">
      <c r="A16321" s="1" t="str">
        <f t="shared" si="615"/>
        <v>28060</v>
      </c>
      <c r="B16321" s="1" t="str">
        <f>"59936"</f>
        <v>59936</v>
      </c>
      <c r="C16321" s="2">
        <v>1.97606233432404E-3</v>
      </c>
      <c r="D16321" s="2">
        <v>1.44738746562454E-4</v>
      </c>
      <c r="E16321" s="2">
        <v>8.9007565643079605E-4</v>
      </c>
      <c r="F16321" s="2">
        <v>1.7646811669304299E-3</v>
      </c>
    </row>
    <row r="16322" spans="1:6" x14ac:dyDescent="0.25">
      <c r="A16322" s="1" t="str">
        <f t="shared" si="615"/>
        <v>28060</v>
      </c>
      <c r="B16322" s="1" t="str">
        <f>"59917"</f>
        <v>59917</v>
      </c>
      <c r="C16322" s="2">
        <v>1.60655474335287E-5</v>
      </c>
      <c r="D16322" s="2">
        <v>0</v>
      </c>
      <c r="E16322" s="2">
        <v>0</v>
      </c>
      <c r="F16322" s="2">
        <v>1.4005406086749401E-5</v>
      </c>
    </row>
    <row r="16323" spans="1:6" x14ac:dyDescent="0.25">
      <c r="A16323" s="1" t="str">
        <f t="shared" si="615"/>
        <v>28060</v>
      </c>
      <c r="B16323" s="1" t="str">
        <f>"59903"</f>
        <v>59903</v>
      </c>
      <c r="C16323" s="2">
        <v>4.1866816611775999E-2</v>
      </c>
      <c r="D16323" s="2">
        <v>9.7553915183094503E-2</v>
      </c>
      <c r="E16323" s="2">
        <v>1.7801513128615899E-3</v>
      </c>
      <c r="F16323" s="2">
        <v>4.59937535888853E-2</v>
      </c>
    </row>
    <row r="16324" spans="1:6" x14ac:dyDescent="0.25">
      <c r="A16324" s="1" t="str">
        <f t="shared" si="615"/>
        <v>28060</v>
      </c>
      <c r="B16324" s="1" t="str">
        <f>"59845"</f>
        <v>59845</v>
      </c>
      <c r="C16324" s="2">
        <v>1.92786569202345E-4</v>
      </c>
      <c r="D16324" s="2">
        <v>0</v>
      </c>
      <c r="E16324" s="2">
        <v>0</v>
      </c>
      <c r="F16324" s="2">
        <v>1.6806487304099301E-4</v>
      </c>
    </row>
    <row r="16325" spans="1:6" x14ac:dyDescent="0.25">
      <c r="A16325" s="1" t="str">
        <f t="shared" si="615"/>
        <v>28060</v>
      </c>
      <c r="B16325" s="1" t="str">
        <f>"59919"</f>
        <v>59919</v>
      </c>
      <c r="C16325" s="2">
        <v>3.4540926982086898E-3</v>
      </c>
      <c r="D16325" s="2">
        <v>0</v>
      </c>
      <c r="E16325" s="2">
        <v>3.5603026257231799E-3</v>
      </c>
      <c r="F16325" s="2">
        <v>3.1232055573451301E-3</v>
      </c>
    </row>
    <row r="16326" spans="1:6" x14ac:dyDescent="0.25">
      <c r="A16326" s="1" t="str">
        <f t="shared" si="615"/>
        <v>28060</v>
      </c>
      <c r="B16326" s="1" t="str">
        <f>"59912"</f>
        <v>59912</v>
      </c>
      <c r="C16326" s="2">
        <v>0.151530243393043</v>
      </c>
      <c r="D16326" s="2">
        <v>9.6830221450282195E-2</v>
      </c>
      <c r="E16326" s="2">
        <v>0.11081441922563399</v>
      </c>
      <c r="F16326" s="2">
        <v>0.14495595299785699</v>
      </c>
    </row>
    <row r="16327" spans="1:6" x14ac:dyDescent="0.25">
      <c r="A16327" s="1" t="str">
        <f t="shared" si="615"/>
        <v>28060</v>
      </c>
      <c r="B16327" s="1" t="str">
        <f>"59901"</f>
        <v>59901</v>
      </c>
      <c r="C16327" s="2">
        <v>0.42433930436179601</v>
      </c>
      <c r="D16327" s="2">
        <v>0.43407150094080099</v>
      </c>
      <c r="E16327" s="2">
        <v>0.56430796617712498</v>
      </c>
      <c r="F16327" s="2">
        <v>0.42968585874147402</v>
      </c>
    </row>
    <row r="16328" spans="1:6" x14ac:dyDescent="0.25">
      <c r="A16328" s="1" t="str">
        <f t="shared" si="615"/>
        <v>28060</v>
      </c>
      <c r="B16328" s="1" t="str">
        <f>"59904"</f>
        <v>59904</v>
      </c>
      <c r="C16328" s="2">
        <v>3.5649449755000402E-2</v>
      </c>
      <c r="D16328" s="2">
        <v>8.4527427992473494E-2</v>
      </c>
      <c r="E16328" s="2">
        <v>8.9007565643079605E-4</v>
      </c>
      <c r="F16328" s="2">
        <v>3.9285164073332303E-2</v>
      </c>
    </row>
    <row r="16329" spans="1:6" x14ac:dyDescent="0.25">
      <c r="A16329" s="1" t="str">
        <f t="shared" si="615"/>
        <v>28060</v>
      </c>
      <c r="B16329" s="1" t="str">
        <f>"59913"</f>
        <v>59913</v>
      </c>
      <c r="C16329" s="2">
        <v>3.2131094867057502E-5</v>
      </c>
      <c r="D16329" s="2">
        <v>0</v>
      </c>
      <c r="E16329" s="2">
        <v>4.4503782821539803E-4</v>
      </c>
      <c r="F16329" s="2">
        <v>4.2016218260248402E-5</v>
      </c>
    </row>
    <row r="16330" spans="1:6" x14ac:dyDescent="0.25">
      <c r="A16330" s="1" t="str">
        <f t="shared" si="615"/>
        <v>28060</v>
      </c>
      <c r="B16330" s="1" t="str">
        <f>"59922"</f>
        <v>59922</v>
      </c>
      <c r="C16330" s="2">
        <v>1.9230460277933899E-2</v>
      </c>
      <c r="D16330" s="2">
        <v>6.65798234187291E-3</v>
      </c>
      <c r="E16330" s="2">
        <v>1.0235870048954101E-2</v>
      </c>
      <c r="F16330" s="2">
        <v>1.7730844105824799E-2</v>
      </c>
    </row>
    <row r="16331" spans="1:6" x14ac:dyDescent="0.25">
      <c r="A16331" s="1" t="str">
        <f t="shared" si="615"/>
        <v>28060</v>
      </c>
      <c r="B16331" s="1" t="str">
        <f>"59921"</f>
        <v>59921</v>
      </c>
      <c r="C16331" s="2">
        <v>0</v>
      </c>
      <c r="D16331" s="2">
        <v>0</v>
      </c>
      <c r="E16331" s="2">
        <v>4.4503782821539803E-4</v>
      </c>
      <c r="F16331" s="2">
        <v>1.4005406086749401E-5</v>
      </c>
    </row>
    <row r="16332" spans="1:6" x14ac:dyDescent="0.25">
      <c r="A16332" s="1" t="str">
        <f t="shared" ref="A16332:A16353" si="616">"28100"</f>
        <v>28100</v>
      </c>
      <c r="B16332" s="1" t="str">
        <f>"60919"</f>
        <v>60919</v>
      </c>
      <c r="C16332" s="2">
        <v>8.1477457903313404E-4</v>
      </c>
      <c r="D16332" s="2">
        <v>4.3830813061582202E-4</v>
      </c>
      <c r="E16332" s="2">
        <v>3.5919540229884997E-4</v>
      </c>
      <c r="F16332" s="2">
        <v>7.6407165294167497E-4</v>
      </c>
    </row>
    <row r="16333" spans="1:6" x14ac:dyDescent="0.25">
      <c r="A16333" s="1" t="str">
        <f t="shared" si="616"/>
        <v>28100</v>
      </c>
      <c r="B16333" s="1" t="str">
        <f>"60910"</f>
        <v>60910</v>
      </c>
      <c r="C16333" s="2">
        <v>4.6946535268099603E-3</v>
      </c>
      <c r="D16333" s="2">
        <v>4.3830813061582202E-4</v>
      </c>
      <c r="E16333" s="2">
        <v>0</v>
      </c>
      <c r="F16333" s="2">
        <v>4.1429662959504201E-3</v>
      </c>
    </row>
    <row r="16334" spans="1:6" x14ac:dyDescent="0.25">
      <c r="A16334" s="1" t="str">
        <f t="shared" si="616"/>
        <v>28100</v>
      </c>
      <c r="B16334" s="1" t="str">
        <f>"60950"</f>
        <v>60950</v>
      </c>
      <c r="C16334" s="2">
        <v>0.109742376037867</v>
      </c>
      <c r="D16334" s="2">
        <v>8.4155161078238006E-2</v>
      </c>
      <c r="E16334" s="2">
        <v>8.0818965517241298E-2</v>
      </c>
      <c r="F16334" s="2">
        <v>0.10639273282961199</v>
      </c>
    </row>
    <row r="16335" spans="1:6" x14ac:dyDescent="0.25">
      <c r="A16335" s="1" t="str">
        <f t="shared" si="616"/>
        <v>28100</v>
      </c>
      <c r="B16335" s="1" t="str">
        <f>"60944"</f>
        <v>60944</v>
      </c>
      <c r="C16335" s="2">
        <v>0</v>
      </c>
      <c r="D16335" s="2">
        <v>2.1915406530791101E-4</v>
      </c>
      <c r="E16335" s="2">
        <v>0</v>
      </c>
      <c r="F16335" s="2">
        <v>1.69793700653705E-5</v>
      </c>
    </row>
    <row r="16336" spans="1:6" x14ac:dyDescent="0.25">
      <c r="A16336" s="1" t="str">
        <f t="shared" si="616"/>
        <v>28100</v>
      </c>
      <c r="B16336" s="1" t="str">
        <f>"60901"</f>
        <v>60901</v>
      </c>
      <c r="C16336" s="2">
        <v>0.32348490727089302</v>
      </c>
      <c r="D16336" s="2">
        <v>0.40324348016655698</v>
      </c>
      <c r="E16336" s="2">
        <v>0.33800287356321801</v>
      </c>
      <c r="F16336" s="2">
        <v>0.330350623991849</v>
      </c>
    </row>
    <row r="16337" spans="1:6" x14ac:dyDescent="0.25">
      <c r="A16337" s="1" t="str">
        <f t="shared" si="616"/>
        <v>28100</v>
      </c>
      <c r="B16337" s="1" t="str">
        <f>"60917"</f>
        <v>60917</v>
      </c>
      <c r="C16337" s="2">
        <v>4.1902692635989698E-3</v>
      </c>
      <c r="D16337" s="2">
        <v>4.3830813061582202E-4</v>
      </c>
      <c r="E16337" s="2">
        <v>0</v>
      </c>
      <c r="F16337" s="2">
        <v>3.70150267425078E-3</v>
      </c>
    </row>
    <row r="16338" spans="1:6" x14ac:dyDescent="0.25">
      <c r="A16338" s="1" t="str">
        <f t="shared" si="616"/>
        <v>28100</v>
      </c>
      <c r="B16338" s="1" t="str">
        <f>"60913"</f>
        <v>60913</v>
      </c>
      <c r="C16338" s="2">
        <v>1.17754326065026E-2</v>
      </c>
      <c r="D16338" s="2">
        <v>2.6298487836949299E-3</v>
      </c>
      <c r="E16338" s="2">
        <v>1.4367816091953999E-3</v>
      </c>
      <c r="F16338" s="2">
        <v>1.05781475507258E-2</v>
      </c>
    </row>
    <row r="16339" spans="1:6" x14ac:dyDescent="0.25">
      <c r="A16339" s="1" t="str">
        <f t="shared" si="616"/>
        <v>28100</v>
      </c>
      <c r="B16339" s="1" t="str">
        <f>"60915"</f>
        <v>60915</v>
      </c>
      <c r="C16339" s="2">
        <v>9.3854271746721493E-2</v>
      </c>
      <c r="D16339" s="2">
        <v>0.14332675871137401</v>
      </c>
      <c r="E16339" s="2">
        <v>0.105244252873563</v>
      </c>
      <c r="F16339" s="2">
        <v>9.8225655828168695E-2</v>
      </c>
    </row>
    <row r="16340" spans="1:6" x14ac:dyDescent="0.25">
      <c r="A16340" s="1" t="str">
        <f t="shared" si="616"/>
        <v>28100</v>
      </c>
      <c r="B16340" s="1" t="str">
        <f>"60401"</f>
        <v>60401</v>
      </c>
      <c r="C16340" s="2">
        <v>7.3717700007759699E-4</v>
      </c>
      <c r="D16340" s="2">
        <v>2.1915406530791101E-4</v>
      </c>
      <c r="E16340" s="2">
        <v>1.4367816091953999E-3</v>
      </c>
      <c r="F16340" s="2">
        <v>7.3011291281093404E-4</v>
      </c>
    </row>
    <row r="16341" spans="1:6" x14ac:dyDescent="0.25">
      <c r="A16341" s="1" t="str">
        <f t="shared" si="616"/>
        <v>28100</v>
      </c>
      <c r="B16341" s="1" t="str">
        <f>"60468"</f>
        <v>60468</v>
      </c>
      <c r="C16341" s="2">
        <v>4.6558547373321902E-4</v>
      </c>
      <c r="D16341" s="2">
        <v>1.5340784571553801E-3</v>
      </c>
      <c r="E16341" s="2">
        <v>0</v>
      </c>
      <c r="F16341" s="2">
        <v>5.2636047202648704E-4</v>
      </c>
    </row>
    <row r="16342" spans="1:6" x14ac:dyDescent="0.25">
      <c r="A16342" s="1" t="str">
        <f t="shared" si="616"/>
        <v>28100</v>
      </c>
      <c r="B16342" s="1" t="str">
        <f>"60914"</f>
        <v>60914</v>
      </c>
      <c r="C16342" s="2">
        <v>0.25159075036858802</v>
      </c>
      <c r="D16342" s="2">
        <v>0.259478413324567</v>
      </c>
      <c r="E16342" s="2">
        <v>0.325071839080459</v>
      </c>
      <c r="F16342" s="2">
        <v>0.25567535444435002</v>
      </c>
    </row>
    <row r="16343" spans="1:6" x14ac:dyDescent="0.25">
      <c r="A16343" s="1" t="str">
        <f t="shared" si="616"/>
        <v>28100</v>
      </c>
      <c r="B16343" s="1" t="str">
        <f>"60954"</f>
        <v>60954</v>
      </c>
      <c r="C16343" s="2">
        <v>5.2999146426631401E-2</v>
      </c>
      <c r="D16343" s="2">
        <v>5.5665132588209501E-2</v>
      </c>
      <c r="E16343" s="2">
        <v>3.4123563218390801E-2</v>
      </c>
      <c r="F16343" s="2">
        <v>5.2313439171406698E-2</v>
      </c>
    </row>
    <row r="16344" spans="1:6" x14ac:dyDescent="0.25">
      <c r="A16344" s="1" t="str">
        <f t="shared" si="616"/>
        <v>28100</v>
      </c>
      <c r="B16344" s="1" t="str">
        <f>"60935"</f>
        <v>60935</v>
      </c>
      <c r="C16344" s="2">
        <v>1.15620392643749E-2</v>
      </c>
      <c r="D16344" s="2">
        <v>1.3149243918474599E-3</v>
      </c>
      <c r="E16344" s="2">
        <v>1.07758620689655E-3</v>
      </c>
      <c r="F16344" s="2">
        <v>1.0272518889549101E-2</v>
      </c>
    </row>
    <row r="16345" spans="1:6" x14ac:dyDescent="0.25">
      <c r="A16345" s="1" t="str">
        <f t="shared" si="616"/>
        <v>28100</v>
      </c>
      <c r="B16345" s="1" t="str">
        <f>"60424"</f>
        <v>60424</v>
      </c>
      <c r="C16345" s="2">
        <v>9.6996973694420696E-5</v>
      </c>
      <c r="D16345" s="2">
        <v>0</v>
      </c>
      <c r="E16345" s="2">
        <v>0</v>
      </c>
      <c r="F16345" s="2">
        <v>8.4896850326852803E-5</v>
      </c>
    </row>
    <row r="16346" spans="1:6" x14ac:dyDescent="0.25">
      <c r="A16346" s="1" t="str">
        <f t="shared" si="616"/>
        <v>28100</v>
      </c>
      <c r="B16346" s="1" t="str">
        <f>"60481"</f>
        <v>60481</v>
      </c>
      <c r="C16346" s="2">
        <v>6.2078063164429202E-4</v>
      </c>
      <c r="D16346" s="2">
        <v>0</v>
      </c>
      <c r="E16346" s="2">
        <v>0</v>
      </c>
      <c r="F16346" s="2">
        <v>5.4333984209185805E-4</v>
      </c>
    </row>
    <row r="16347" spans="1:6" x14ac:dyDescent="0.25">
      <c r="A16347" s="1" t="str">
        <f t="shared" si="616"/>
        <v>28100</v>
      </c>
      <c r="B16347" s="1" t="str">
        <f>"60940"</f>
        <v>60940</v>
      </c>
      <c r="C16347" s="2">
        <v>2.6344378055404599E-2</v>
      </c>
      <c r="D16347" s="2">
        <v>1.42450142450142E-2</v>
      </c>
      <c r="E16347" s="2">
        <v>1.2571839080459699E-2</v>
      </c>
      <c r="F16347" s="2">
        <v>2.4755921555310201E-2</v>
      </c>
    </row>
    <row r="16348" spans="1:6" x14ac:dyDescent="0.25">
      <c r="A16348" s="1" t="str">
        <f t="shared" si="616"/>
        <v>28100</v>
      </c>
      <c r="B16348" s="1" t="str">
        <f>"60961"</f>
        <v>60961</v>
      </c>
      <c r="C16348" s="2">
        <v>8.2059439745479894E-3</v>
      </c>
      <c r="D16348" s="2">
        <v>8.7661626123164502E-4</v>
      </c>
      <c r="E16348" s="2">
        <v>1.4367816091953999E-3</v>
      </c>
      <c r="F16348" s="2">
        <v>7.3181084981747101E-3</v>
      </c>
    </row>
    <row r="16349" spans="1:6" x14ac:dyDescent="0.25">
      <c r="A16349" s="1" t="str">
        <f t="shared" si="616"/>
        <v>28100</v>
      </c>
      <c r="B16349" s="1" t="str">
        <f>"60958"</f>
        <v>60958</v>
      </c>
      <c r="C16349" s="2">
        <v>2.7062155660743301E-2</v>
      </c>
      <c r="D16349" s="2">
        <v>7.0129300898531602E-3</v>
      </c>
      <c r="E16349" s="2">
        <v>3.9511494252873498E-3</v>
      </c>
      <c r="F16349" s="2">
        <v>2.4416334154002801E-2</v>
      </c>
    </row>
    <row r="16350" spans="1:6" x14ac:dyDescent="0.25">
      <c r="A16350" s="1" t="str">
        <f t="shared" si="616"/>
        <v>28100</v>
      </c>
      <c r="B16350" s="1" t="str">
        <f>"60964"</f>
        <v>60964</v>
      </c>
      <c r="C16350" s="2">
        <v>4.1262512609606498E-2</v>
      </c>
      <c r="D16350" s="2">
        <v>1.35875520490905E-2</v>
      </c>
      <c r="E16350" s="2">
        <v>5.45977011494252E-2</v>
      </c>
      <c r="F16350" s="2">
        <v>3.9748705323032499E-2</v>
      </c>
    </row>
    <row r="16351" spans="1:6" x14ac:dyDescent="0.25">
      <c r="A16351" s="1" t="str">
        <f t="shared" si="616"/>
        <v>28100</v>
      </c>
      <c r="B16351" s="1" t="str">
        <f>"60922"</f>
        <v>60922</v>
      </c>
      <c r="C16351" s="2">
        <v>1.21440211065414E-2</v>
      </c>
      <c r="D16351" s="2">
        <v>4.3830813061582199E-3</v>
      </c>
      <c r="E16351" s="2">
        <v>2.6221264367816001E-2</v>
      </c>
      <c r="F16351" s="2">
        <v>1.2208167077001401E-2</v>
      </c>
    </row>
    <row r="16352" spans="1:6" x14ac:dyDescent="0.25">
      <c r="A16352" s="1" t="str">
        <f t="shared" si="616"/>
        <v>28100</v>
      </c>
      <c r="B16352" s="1" t="str">
        <f>"60941"</f>
        <v>60941</v>
      </c>
      <c r="C16352" s="2">
        <v>1.7750446186078898E-2</v>
      </c>
      <c r="D16352" s="2">
        <v>6.5746219592373398E-3</v>
      </c>
      <c r="E16352" s="2">
        <v>1.36494252873563E-2</v>
      </c>
      <c r="F16352" s="2">
        <v>1.6690720774259201E-2</v>
      </c>
    </row>
    <row r="16353" spans="1:6" x14ac:dyDescent="0.25">
      <c r="A16353" s="1" t="str">
        <f t="shared" si="616"/>
        <v>28100</v>
      </c>
      <c r="B16353" s="1" t="str">
        <f>"60969"</f>
        <v>60969</v>
      </c>
      <c r="C16353" s="2">
        <v>6.0138123690540795E-4</v>
      </c>
      <c r="D16353" s="2">
        <v>2.1915406530791101E-4</v>
      </c>
      <c r="E16353" s="2">
        <v>0</v>
      </c>
      <c r="F16353" s="2">
        <v>5.4333984209185805E-4</v>
      </c>
    </row>
    <row r="16354" spans="1:6" x14ac:dyDescent="0.25">
      <c r="A16354" s="1" t="str">
        <f t="shared" ref="A16354:A16417" si="617">"28140"</f>
        <v>28140</v>
      </c>
      <c r="B16354" s="1" t="str">
        <f>"64116"</f>
        <v>64116</v>
      </c>
      <c r="C16354" s="2">
        <v>9.6820578367151303E-3</v>
      </c>
      <c r="D16354" s="2">
        <v>2.0573997233748201E-2</v>
      </c>
      <c r="E16354" s="2">
        <v>1.4269747615210601E-2</v>
      </c>
      <c r="F16354" s="2">
        <v>1.06774547717039E-2</v>
      </c>
    </row>
    <row r="16355" spans="1:6" x14ac:dyDescent="0.25">
      <c r="A16355" s="1" t="str">
        <f t="shared" si="617"/>
        <v>28140</v>
      </c>
      <c r="B16355" s="1" t="str">
        <f>"64157"</f>
        <v>64157</v>
      </c>
      <c r="C16355" s="2">
        <v>8.0344304201949105E-3</v>
      </c>
      <c r="D16355" s="2">
        <v>1.79806362378976E-3</v>
      </c>
      <c r="E16355" s="2">
        <v>1.4555662412600999E-3</v>
      </c>
      <c r="F16355" s="2">
        <v>7.3295445972345096E-3</v>
      </c>
    </row>
    <row r="16356" spans="1:6" x14ac:dyDescent="0.25">
      <c r="A16356" s="1" t="str">
        <f t="shared" si="617"/>
        <v>28140</v>
      </c>
      <c r="B16356" s="1" t="str">
        <f>"64150"</f>
        <v>64150</v>
      </c>
      <c r="C16356" s="2">
        <v>1.9182377376577701E-3</v>
      </c>
      <c r="D16356" s="2">
        <v>5.0599354541263197E-3</v>
      </c>
      <c r="E16356" s="2">
        <v>5.3803966418007401E-3</v>
      </c>
      <c r="F16356" s="2">
        <v>2.2783895593486299E-3</v>
      </c>
    </row>
    <row r="16357" spans="1:6" x14ac:dyDescent="0.25">
      <c r="A16357" s="1" t="str">
        <f t="shared" si="617"/>
        <v>28140</v>
      </c>
      <c r="B16357" s="1" t="str">
        <f>"64152"</f>
        <v>64152</v>
      </c>
      <c r="C16357" s="2">
        <v>1.2159490333919099E-2</v>
      </c>
      <c r="D16357" s="2">
        <v>8.6445366528353999E-3</v>
      </c>
      <c r="E16357" s="2">
        <v>7.2258466976840904E-3</v>
      </c>
      <c r="F16357" s="2">
        <v>1.17203483175686E-2</v>
      </c>
    </row>
    <row r="16358" spans="1:6" x14ac:dyDescent="0.25">
      <c r="A16358" s="1" t="str">
        <f t="shared" si="617"/>
        <v>28140</v>
      </c>
      <c r="B16358" s="1" t="str">
        <f>"64155"</f>
        <v>64155</v>
      </c>
      <c r="C16358" s="2">
        <v>1.10470921872503E-2</v>
      </c>
      <c r="D16358" s="2">
        <v>4.0456431535269696E-3</v>
      </c>
      <c r="E16358" s="2">
        <v>5.9262339822732796E-3</v>
      </c>
      <c r="F16358" s="2">
        <v>1.03330780093247E-2</v>
      </c>
    </row>
    <row r="16359" spans="1:6" x14ac:dyDescent="0.25">
      <c r="A16359" s="1" t="str">
        <f t="shared" si="617"/>
        <v>28140</v>
      </c>
      <c r="B16359" s="1" t="str">
        <f>"64167"</f>
        <v>64167</v>
      </c>
      <c r="C16359" s="2">
        <v>1.1583320019172299E-4</v>
      </c>
      <c r="D16359" s="2">
        <v>2.30520977408944E-5</v>
      </c>
      <c r="E16359" s="2">
        <v>2.5992254308216098E-5</v>
      </c>
      <c r="F16359" s="2">
        <v>1.0562070804927401E-4</v>
      </c>
    </row>
    <row r="16360" spans="1:6" x14ac:dyDescent="0.25">
      <c r="A16360" s="1" t="str">
        <f t="shared" si="617"/>
        <v>28140</v>
      </c>
      <c r="B16360" s="1" t="str">
        <f>"64439"</f>
        <v>64439</v>
      </c>
      <c r="C16360" s="2">
        <v>5.4122064227512298E-4</v>
      </c>
      <c r="D16360" s="2">
        <v>2.42047026279391E-4</v>
      </c>
      <c r="E16360" s="2">
        <v>3.3789930600680899E-4</v>
      </c>
      <c r="F16360" s="2">
        <v>5.1123972971749501E-4</v>
      </c>
    </row>
    <row r="16361" spans="1:6" x14ac:dyDescent="0.25">
      <c r="A16361" s="1" t="str">
        <f t="shared" si="617"/>
        <v>28140</v>
      </c>
      <c r="B16361" s="1" t="str">
        <f>"64444"</f>
        <v>64444</v>
      </c>
      <c r="C16361" s="2">
        <v>5.5020770091068804E-4</v>
      </c>
      <c r="D16361" s="2">
        <v>1.26786537574919E-4</v>
      </c>
      <c r="E16361" s="2">
        <v>7.7976762924648397E-5</v>
      </c>
      <c r="F16361" s="2">
        <v>5.0147647099025097E-4</v>
      </c>
    </row>
    <row r="16362" spans="1:6" x14ac:dyDescent="0.25">
      <c r="A16362" s="1" t="str">
        <f t="shared" si="617"/>
        <v>28140</v>
      </c>
      <c r="B16362" s="1" t="str">
        <f>"64742"</f>
        <v>64742</v>
      </c>
      <c r="C16362" s="2">
        <v>1.24520690206103E-3</v>
      </c>
      <c r="D16362" s="2">
        <v>3.5730751498386302E-4</v>
      </c>
      <c r="E16362" s="2">
        <v>1.5595352584929601E-4</v>
      </c>
      <c r="F16362" s="2">
        <v>1.13963856416191E-3</v>
      </c>
    </row>
    <row r="16363" spans="1:6" x14ac:dyDescent="0.25">
      <c r="A16363" s="1" t="str">
        <f t="shared" si="617"/>
        <v>28140</v>
      </c>
      <c r="B16363" s="1" t="str">
        <f>"64188"</f>
        <v>64188</v>
      </c>
      <c r="C16363" s="2">
        <v>1.3081163125099799E-3</v>
      </c>
      <c r="D16363" s="2">
        <v>3.0428769017980602E-3</v>
      </c>
      <c r="E16363" s="2">
        <v>5.1984508616432299E-5</v>
      </c>
      <c r="F16363" s="2">
        <v>1.39880870492148E-3</v>
      </c>
    </row>
    <row r="16364" spans="1:6" x14ac:dyDescent="0.25">
      <c r="A16364" s="1" t="str">
        <f t="shared" si="617"/>
        <v>28140</v>
      </c>
      <c r="B16364" s="1" t="str">
        <f>"64190"</f>
        <v>64190</v>
      </c>
      <c r="C16364" s="2">
        <v>5.4221920434574197E-4</v>
      </c>
      <c r="D16364" s="2">
        <v>3.2849239280774499E-3</v>
      </c>
      <c r="E16364" s="2">
        <v>5.1984508616432299E-5</v>
      </c>
      <c r="F16364" s="2">
        <v>7.3668224941930704E-4</v>
      </c>
    </row>
    <row r="16365" spans="1:6" x14ac:dyDescent="0.25">
      <c r="A16365" s="1" t="str">
        <f t="shared" si="617"/>
        <v>28140</v>
      </c>
      <c r="B16365" s="1" t="str">
        <f>"64056"</f>
        <v>64056</v>
      </c>
      <c r="C16365" s="2">
        <v>6.9889359322575402E-3</v>
      </c>
      <c r="D16365" s="2">
        <v>3.0774550484094E-3</v>
      </c>
      <c r="E16365" s="2">
        <v>1.3775894783354501E-3</v>
      </c>
      <c r="F16365" s="2">
        <v>6.4961173295179702E-3</v>
      </c>
    </row>
    <row r="16366" spans="1:6" x14ac:dyDescent="0.25">
      <c r="A16366" s="1" t="str">
        <f t="shared" si="617"/>
        <v>28140</v>
      </c>
      <c r="B16366" s="1" t="str">
        <f>"64079"</f>
        <v>64079</v>
      </c>
      <c r="C16366" s="2">
        <v>7.14271449113276E-3</v>
      </c>
      <c r="D16366" s="2">
        <v>6.7081604426002701E-3</v>
      </c>
      <c r="E16366" s="2">
        <v>2.8591479739037699E-3</v>
      </c>
      <c r="F16366" s="2">
        <v>6.9629786104752596E-3</v>
      </c>
    </row>
    <row r="16367" spans="1:6" x14ac:dyDescent="0.25">
      <c r="A16367" s="1" t="str">
        <f t="shared" si="617"/>
        <v>28140</v>
      </c>
      <c r="B16367" s="1" t="str">
        <f>"66223"</f>
        <v>66223</v>
      </c>
      <c r="C16367" s="2">
        <v>1.02632209618149E-2</v>
      </c>
      <c r="D16367" s="2">
        <v>8.9326878745965808E-3</v>
      </c>
      <c r="E16367" s="2">
        <v>1.7180880097730802E-2</v>
      </c>
      <c r="F16367" s="2">
        <v>1.03969829755394E-2</v>
      </c>
    </row>
    <row r="16368" spans="1:6" x14ac:dyDescent="0.25">
      <c r="A16368" s="1" t="str">
        <f t="shared" si="617"/>
        <v>28140</v>
      </c>
      <c r="B16368" s="1" t="str">
        <f>"66221"</f>
        <v>66221</v>
      </c>
      <c r="C16368" s="2">
        <v>8.4877776002556301E-3</v>
      </c>
      <c r="D16368" s="2">
        <v>2.6279391424619599E-3</v>
      </c>
      <c r="E16368" s="2">
        <v>4.7825747927117699E-3</v>
      </c>
      <c r="F16368" s="2">
        <v>7.9100147070179094E-3</v>
      </c>
    </row>
    <row r="16369" spans="1:6" x14ac:dyDescent="0.25">
      <c r="A16369" s="1" t="str">
        <f t="shared" si="617"/>
        <v>28140</v>
      </c>
      <c r="B16369" s="1" t="str">
        <f>"66225"</f>
        <v>66225</v>
      </c>
      <c r="C16369" s="2">
        <v>7.7887841508228104E-4</v>
      </c>
      <c r="D16369" s="2">
        <v>6.1088059013370199E-3</v>
      </c>
      <c r="E16369" s="2">
        <v>5.1984508616432299E-5</v>
      </c>
      <c r="F16369" s="2">
        <v>1.1644904954676201E-3</v>
      </c>
    </row>
    <row r="16370" spans="1:6" x14ac:dyDescent="0.25">
      <c r="A16370" s="1" t="str">
        <f t="shared" si="617"/>
        <v>28140</v>
      </c>
      <c r="B16370" s="1" t="str">
        <f>"66104"</f>
        <v>66104</v>
      </c>
      <c r="C16370" s="2">
        <v>1.1445518453427001E-2</v>
      </c>
      <c r="D16370" s="2">
        <v>4.4029506685108301E-3</v>
      </c>
      <c r="E16370" s="2">
        <v>3.1450627712941502E-3</v>
      </c>
      <c r="F16370" s="2">
        <v>1.06197627883156E-2</v>
      </c>
    </row>
    <row r="16371" spans="1:6" x14ac:dyDescent="0.25">
      <c r="A16371" s="1" t="str">
        <f t="shared" si="617"/>
        <v>28140</v>
      </c>
      <c r="B16371" s="1" t="str">
        <f>"64745"</f>
        <v>64745</v>
      </c>
      <c r="C16371" s="2">
        <v>4.5933855248442198E-5</v>
      </c>
      <c r="D16371" s="2">
        <v>1.15260488704472E-5</v>
      </c>
      <c r="E16371" s="2">
        <v>5.1984508616432299E-5</v>
      </c>
      <c r="F16371" s="2">
        <v>4.34908797849952E-5</v>
      </c>
    </row>
    <row r="16372" spans="1:6" x14ac:dyDescent="0.25">
      <c r="A16372" s="1" t="str">
        <f t="shared" si="617"/>
        <v>28140</v>
      </c>
      <c r="B16372" s="1" t="str">
        <f>"64092"</f>
        <v>64092</v>
      </c>
      <c r="C16372" s="2">
        <v>3.29525483304042E-5</v>
      </c>
      <c r="D16372" s="2">
        <v>0</v>
      </c>
      <c r="E16372" s="2">
        <v>2.5992254308216098E-5</v>
      </c>
      <c r="F16372" s="2">
        <v>3.0177345156935499E-5</v>
      </c>
    </row>
    <row r="16373" spans="1:6" x14ac:dyDescent="0.25">
      <c r="A16373" s="1" t="str">
        <f t="shared" si="617"/>
        <v>28140</v>
      </c>
      <c r="B16373" s="1" t="str">
        <f>"64022"</f>
        <v>64022</v>
      </c>
      <c r="C16373" s="2">
        <v>8.68749001437929E-5</v>
      </c>
      <c r="D16373" s="2">
        <v>4.6104195481788801E-5</v>
      </c>
      <c r="E16373" s="2">
        <v>2.5992254308216098E-5</v>
      </c>
      <c r="F16373" s="2">
        <v>8.1656345718766595E-5</v>
      </c>
    </row>
    <row r="16374" spans="1:6" x14ac:dyDescent="0.25">
      <c r="A16374" s="1" t="str">
        <f t="shared" si="617"/>
        <v>28140</v>
      </c>
      <c r="B16374" s="1" t="str">
        <f>"66097"</f>
        <v>66097</v>
      </c>
      <c r="C16374" s="2">
        <v>1.7974117271129501E-5</v>
      </c>
      <c r="D16374" s="2">
        <v>0</v>
      </c>
      <c r="E16374" s="2">
        <v>0</v>
      </c>
      <c r="F16374" s="2">
        <v>1.5976241553671699E-5</v>
      </c>
    </row>
    <row r="16375" spans="1:6" x14ac:dyDescent="0.25">
      <c r="A16375" s="1" t="str">
        <f t="shared" si="617"/>
        <v>28140</v>
      </c>
      <c r="B16375" s="1" t="str">
        <f>"64013"</f>
        <v>64013</v>
      </c>
      <c r="C16375" s="2">
        <v>7.8986259785908202E-4</v>
      </c>
      <c r="D16375" s="2">
        <v>4.7141539880129002E-3</v>
      </c>
      <c r="E16375" s="2">
        <v>5.1984508616432299E-5</v>
      </c>
      <c r="F16375" s="2">
        <v>1.0668579081951901E-3</v>
      </c>
    </row>
    <row r="16376" spans="1:6" x14ac:dyDescent="0.25">
      <c r="A16376" s="1" t="str">
        <f t="shared" si="617"/>
        <v>28140</v>
      </c>
      <c r="B16376" s="1" t="str">
        <f>"64084"</f>
        <v>64084</v>
      </c>
      <c r="C16376" s="2">
        <v>6.9100495286786995E-4</v>
      </c>
      <c r="D16376" s="2">
        <v>8.0682342093130405E-5</v>
      </c>
      <c r="E16376" s="2">
        <v>5.1984508616432299E-5</v>
      </c>
      <c r="F16376" s="2">
        <v>6.2218585161799296E-4</v>
      </c>
    </row>
    <row r="16377" spans="1:6" x14ac:dyDescent="0.25">
      <c r="A16377" s="1" t="str">
        <f t="shared" si="617"/>
        <v>28140</v>
      </c>
      <c r="B16377" s="1" t="str">
        <f>"66738"</f>
        <v>66738</v>
      </c>
      <c r="C16377" s="2">
        <v>1.1982744847419701E-5</v>
      </c>
      <c r="D16377" s="2">
        <v>0</v>
      </c>
      <c r="E16377" s="2">
        <v>0</v>
      </c>
      <c r="F16377" s="2">
        <v>1.06508277024478E-5</v>
      </c>
    </row>
    <row r="16378" spans="1:6" x14ac:dyDescent="0.25">
      <c r="A16378" s="1" t="str">
        <f t="shared" si="617"/>
        <v>28140</v>
      </c>
      <c r="B16378" s="1" t="str">
        <f>"66207"</f>
        <v>66207</v>
      </c>
      <c r="C16378" s="2">
        <v>7.0358683495766001E-3</v>
      </c>
      <c r="D16378" s="2">
        <v>9.2784693407099994E-3</v>
      </c>
      <c r="E16378" s="2">
        <v>4.6006290125542504E-3</v>
      </c>
      <c r="F16378" s="2">
        <v>7.1254037329375897E-3</v>
      </c>
    </row>
    <row r="16379" spans="1:6" x14ac:dyDescent="0.25">
      <c r="A16379" s="1" t="str">
        <f t="shared" si="617"/>
        <v>28140</v>
      </c>
      <c r="B16379" s="1" t="str">
        <f>"66064"</f>
        <v>66064</v>
      </c>
      <c r="C16379" s="2">
        <v>2.5583160249240998E-3</v>
      </c>
      <c r="D16379" s="2">
        <v>1.79806362378976E-3</v>
      </c>
      <c r="E16379" s="2">
        <v>7.7976762924648402E-4</v>
      </c>
      <c r="F16379" s="2">
        <v>2.43903954386055E-3</v>
      </c>
    </row>
    <row r="16380" spans="1:6" x14ac:dyDescent="0.25">
      <c r="A16380" s="1" t="str">
        <f t="shared" si="617"/>
        <v>28140</v>
      </c>
      <c r="B16380" s="1" t="str">
        <f>"66072"</f>
        <v>66072</v>
      </c>
      <c r="C16380" s="2">
        <v>5.32233583639559E-4</v>
      </c>
      <c r="D16380" s="2">
        <v>1.26786537574919E-4</v>
      </c>
      <c r="E16380" s="2">
        <v>5.1984508616432299E-5</v>
      </c>
      <c r="F16380" s="2">
        <v>4.8461266046137601E-4</v>
      </c>
    </row>
    <row r="16381" spans="1:6" x14ac:dyDescent="0.25">
      <c r="A16381" s="1" t="str">
        <f t="shared" si="617"/>
        <v>28140</v>
      </c>
      <c r="B16381" s="1" t="str">
        <f>"66085"</f>
        <v>66085</v>
      </c>
      <c r="C16381" s="2">
        <v>4.3826889279437601E-3</v>
      </c>
      <c r="D16381" s="2">
        <v>4.6911018902720102E-3</v>
      </c>
      <c r="E16381" s="2">
        <v>2.1573571075819398E-3</v>
      </c>
      <c r="F16381" s="2">
        <v>4.3304490300202399E-3</v>
      </c>
    </row>
    <row r="16382" spans="1:6" x14ac:dyDescent="0.25">
      <c r="A16382" s="1" t="str">
        <f t="shared" si="617"/>
        <v>28140</v>
      </c>
      <c r="B16382" s="1" t="str">
        <f>"66208"</f>
        <v>66208</v>
      </c>
      <c r="C16382" s="2">
        <v>1.01214251477871E-2</v>
      </c>
      <c r="D16382" s="2">
        <v>8.4946980175195901E-3</v>
      </c>
      <c r="E16382" s="2">
        <v>2.8331557195955602E-3</v>
      </c>
      <c r="F16382" s="2">
        <v>9.7472824856901594E-3</v>
      </c>
    </row>
    <row r="16383" spans="1:6" x14ac:dyDescent="0.25">
      <c r="A16383" s="1" t="str">
        <f t="shared" si="617"/>
        <v>28140</v>
      </c>
      <c r="B16383" s="1" t="str">
        <f>"66209"</f>
        <v>66209</v>
      </c>
      <c r="C16383" s="2">
        <v>8.5876338073174602E-3</v>
      </c>
      <c r="D16383" s="2">
        <v>5.1867219917012403E-3</v>
      </c>
      <c r="E16383" s="2">
        <v>8.7074051932524103E-3</v>
      </c>
      <c r="F16383" s="2">
        <v>8.3298348322894001E-3</v>
      </c>
    </row>
    <row r="16384" spans="1:6" x14ac:dyDescent="0.25">
      <c r="A16384" s="1" t="str">
        <f t="shared" si="617"/>
        <v>28140</v>
      </c>
      <c r="B16384" s="1" t="str">
        <f>"66210"</f>
        <v>66210</v>
      </c>
      <c r="C16384" s="2">
        <v>9.0978990254034098E-3</v>
      </c>
      <c r="D16384" s="2">
        <v>1.6735822959889301E-2</v>
      </c>
      <c r="E16384" s="2">
        <v>1.2762196865334099E-2</v>
      </c>
      <c r="F16384" s="2">
        <v>9.8111874519048493E-3</v>
      </c>
    </row>
    <row r="16385" spans="1:6" x14ac:dyDescent="0.25">
      <c r="A16385" s="1" t="str">
        <f t="shared" si="617"/>
        <v>28140</v>
      </c>
      <c r="B16385" s="1" t="str">
        <f>"66214"</f>
        <v>66214</v>
      </c>
      <c r="C16385" s="2">
        <v>5.6997922990893101E-3</v>
      </c>
      <c r="D16385" s="2">
        <v>1.40502535730751E-2</v>
      </c>
      <c r="E16385" s="2">
        <v>8.0575988355470005E-3</v>
      </c>
      <c r="F16385" s="2">
        <v>6.4233366735512399E-3</v>
      </c>
    </row>
    <row r="16386" spans="1:6" x14ac:dyDescent="0.25">
      <c r="A16386" s="1" t="str">
        <f t="shared" si="617"/>
        <v>28140</v>
      </c>
      <c r="B16386" s="1" t="str">
        <f>"66218"</f>
        <v>66218</v>
      </c>
      <c r="C16386" s="2">
        <v>3.2533152260744501E-3</v>
      </c>
      <c r="D16386" s="2">
        <v>1.5329644997694701E-3</v>
      </c>
      <c r="E16386" s="2">
        <v>1.8194578015751301E-4</v>
      </c>
      <c r="F16386" s="2">
        <v>3.0159593777431401E-3</v>
      </c>
    </row>
    <row r="16387" spans="1:6" x14ac:dyDescent="0.25">
      <c r="A16387" s="1" t="str">
        <f t="shared" si="617"/>
        <v>28140</v>
      </c>
      <c r="B16387" s="1" t="str">
        <f>"66053"</f>
        <v>66053</v>
      </c>
      <c r="C16387" s="2">
        <v>3.46101613676306E-3</v>
      </c>
      <c r="D16387" s="2">
        <v>3.10050714615029E-3</v>
      </c>
      <c r="E16387" s="2">
        <v>8.5774439217113304E-4</v>
      </c>
      <c r="F16387" s="2">
        <v>3.34435989856861E-3</v>
      </c>
    </row>
    <row r="16388" spans="1:6" x14ac:dyDescent="0.25">
      <c r="A16388" s="1" t="str">
        <f t="shared" si="617"/>
        <v>28140</v>
      </c>
      <c r="B16388" s="1" t="str">
        <f>"66044"</f>
        <v>66044</v>
      </c>
      <c r="C16388" s="2">
        <v>2.9857005911487398E-4</v>
      </c>
      <c r="D16388" s="2">
        <v>5.7630244352235998E-5</v>
      </c>
      <c r="E16388" s="2">
        <v>2.5992254308216098E-5</v>
      </c>
      <c r="F16388" s="2">
        <v>2.70708537437215E-4</v>
      </c>
    </row>
    <row r="16389" spans="1:6" x14ac:dyDescent="0.25">
      <c r="A16389" s="1" t="str">
        <f t="shared" si="617"/>
        <v>28140</v>
      </c>
      <c r="B16389" s="1" t="str">
        <f>"66021"</f>
        <v>66021</v>
      </c>
      <c r="C16389" s="2">
        <v>9.7759226713532493E-4</v>
      </c>
      <c r="D16389" s="2">
        <v>6.6851083448593801E-4</v>
      </c>
      <c r="E16389" s="2">
        <v>2.33930288773945E-4</v>
      </c>
      <c r="F16389" s="2">
        <v>9.2839714806336796E-4</v>
      </c>
    </row>
    <row r="16390" spans="1:6" x14ac:dyDescent="0.25">
      <c r="A16390" s="1" t="str">
        <f t="shared" si="617"/>
        <v>28140</v>
      </c>
      <c r="B16390" s="1" t="str">
        <f>"64108"</f>
        <v>64108</v>
      </c>
      <c r="C16390" s="2">
        <v>6.6833759386483397E-3</v>
      </c>
      <c r="D16390" s="2">
        <v>2.47925311203319E-2</v>
      </c>
      <c r="E16390" s="2">
        <v>1.57513061107789E-2</v>
      </c>
      <c r="F16390" s="2">
        <v>8.3875268156776601E-3</v>
      </c>
    </row>
    <row r="16391" spans="1:6" x14ac:dyDescent="0.25">
      <c r="A16391" s="1" t="str">
        <f t="shared" si="617"/>
        <v>28140</v>
      </c>
      <c r="B16391" s="1" t="str">
        <f>"64113"</f>
        <v>64113</v>
      </c>
      <c r="C16391" s="2">
        <v>5.48510145390637E-3</v>
      </c>
      <c r="D16391" s="2">
        <v>5.0714615029967703E-3</v>
      </c>
      <c r="E16391" s="2">
        <v>1.3775894783354501E-3</v>
      </c>
      <c r="F16391" s="2">
        <v>5.3129878855710496E-3</v>
      </c>
    </row>
    <row r="16392" spans="1:6" x14ac:dyDescent="0.25">
      <c r="A16392" s="1" t="str">
        <f t="shared" si="617"/>
        <v>28140</v>
      </c>
      <c r="B16392" s="1" t="str">
        <f>"64086"</f>
        <v>64086</v>
      </c>
      <c r="C16392" s="2">
        <v>1.01014539063748E-2</v>
      </c>
      <c r="D16392" s="2">
        <v>8.8174273858921091E-3</v>
      </c>
      <c r="E16392" s="2">
        <v>9.5391573311153204E-3</v>
      </c>
      <c r="F16392" s="2">
        <v>9.9833758330944208E-3</v>
      </c>
    </row>
    <row r="16393" spans="1:6" x14ac:dyDescent="0.25">
      <c r="A16393" s="1" t="str">
        <f t="shared" si="617"/>
        <v>28140</v>
      </c>
      <c r="B16393" s="1" t="str">
        <f>"64109"</f>
        <v>64109</v>
      </c>
      <c r="C16393" s="2">
        <v>6.3508547691324404E-3</v>
      </c>
      <c r="D16393" s="2">
        <v>4.9216228676809502E-3</v>
      </c>
      <c r="E16393" s="2">
        <v>1.65830582486419E-2</v>
      </c>
      <c r="F16393" s="2">
        <v>6.5901996408895902E-3</v>
      </c>
    </row>
    <row r="16394" spans="1:6" x14ac:dyDescent="0.25">
      <c r="A16394" s="1" t="str">
        <f t="shared" si="617"/>
        <v>28140</v>
      </c>
      <c r="B16394" s="1" t="str">
        <f>"64011"</f>
        <v>64011</v>
      </c>
      <c r="C16394" s="2">
        <v>1.3830084678063501E-3</v>
      </c>
      <c r="D16394" s="2">
        <v>6.5698478561549095E-4</v>
      </c>
      <c r="E16394" s="2">
        <v>3.8988381462324201E-4</v>
      </c>
      <c r="F16394" s="2">
        <v>1.2931879968721999E-3</v>
      </c>
    </row>
    <row r="16395" spans="1:6" x14ac:dyDescent="0.25">
      <c r="A16395" s="1" t="str">
        <f t="shared" si="617"/>
        <v>28140</v>
      </c>
      <c r="B16395" s="1" t="str">
        <f>"66227"</f>
        <v>66227</v>
      </c>
      <c r="C16395" s="2">
        <v>3.72463652340629E-3</v>
      </c>
      <c r="D16395" s="2">
        <v>2.7431996311664299E-3</v>
      </c>
      <c r="E16395" s="2">
        <v>1.40358173264367E-3</v>
      </c>
      <c r="F16395" s="2">
        <v>3.56980241827042E-3</v>
      </c>
    </row>
    <row r="16396" spans="1:6" x14ac:dyDescent="0.25">
      <c r="A16396" s="1" t="str">
        <f t="shared" si="617"/>
        <v>28140</v>
      </c>
      <c r="B16396" s="1" t="str">
        <f>"66101"</f>
        <v>66101</v>
      </c>
      <c r="C16396" s="2">
        <v>5.8915162166480201E-3</v>
      </c>
      <c r="D16396" s="2">
        <v>9.1286307053941897E-3</v>
      </c>
      <c r="E16396" s="2">
        <v>5.2244431159514399E-3</v>
      </c>
      <c r="F16396" s="2">
        <v>6.1180129460810702E-3</v>
      </c>
    </row>
    <row r="16397" spans="1:6" x14ac:dyDescent="0.25">
      <c r="A16397" s="1" t="str">
        <f t="shared" si="617"/>
        <v>28140</v>
      </c>
      <c r="B16397" s="1" t="str">
        <f>"66212"</f>
        <v>66212</v>
      </c>
      <c r="C16397" s="2">
        <v>1.5513660329125999E-2</v>
      </c>
      <c r="D16397" s="2">
        <v>1.4834024896265501E-2</v>
      </c>
      <c r="E16397" s="2">
        <v>2.15475788215111E-2</v>
      </c>
      <c r="F16397" s="2">
        <v>1.5667367550300699E-2</v>
      </c>
    </row>
    <row r="16398" spans="1:6" x14ac:dyDescent="0.25">
      <c r="A16398" s="1" t="str">
        <f t="shared" si="617"/>
        <v>28140</v>
      </c>
      <c r="B16398" s="1" t="str">
        <f>"66213"</f>
        <v>66213</v>
      </c>
      <c r="C16398" s="2">
        <v>1.3073174628534899E-2</v>
      </c>
      <c r="D16398" s="2">
        <v>9.7971415398801203E-3</v>
      </c>
      <c r="E16398" s="2">
        <v>1.53614222961557E-2</v>
      </c>
      <c r="F16398" s="2">
        <v>1.28990399166395E-2</v>
      </c>
    </row>
    <row r="16399" spans="1:6" x14ac:dyDescent="0.25">
      <c r="A16399" s="1" t="str">
        <f t="shared" si="617"/>
        <v>28140</v>
      </c>
      <c r="B16399" s="1" t="str">
        <f>"66201"</f>
        <v>66201</v>
      </c>
      <c r="C16399" s="2">
        <v>1.18729030196517E-3</v>
      </c>
      <c r="D16399" s="2">
        <v>4.5412632549561996E-3</v>
      </c>
      <c r="E16399" s="2">
        <v>5.1984508616432299E-5</v>
      </c>
      <c r="F16399" s="2">
        <v>1.4067968256983099E-3</v>
      </c>
    </row>
    <row r="16400" spans="1:6" x14ac:dyDescent="0.25">
      <c r="A16400" s="1" t="str">
        <f t="shared" si="617"/>
        <v>28140</v>
      </c>
      <c r="B16400" s="1" t="str">
        <f>"66092"</f>
        <v>66092</v>
      </c>
      <c r="C16400" s="2">
        <v>1.72751238216967E-4</v>
      </c>
      <c r="D16400" s="2">
        <v>1.15260488704472E-5</v>
      </c>
      <c r="E16400" s="2">
        <v>0</v>
      </c>
      <c r="F16400" s="2">
        <v>1.54437001685493E-4</v>
      </c>
    </row>
    <row r="16401" spans="1:6" x14ac:dyDescent="0.25">
      <c r="A16401" s="1" t="str">
        <f t="shared" si="617"/>
        <v>28140</v>
      </c>
      <c r="B16401" s="1" t="str">
        <f>"66010"</f>
        <v>66010</v>
      </c>
      <c r="C16401" s="2">
        <v>2.5263620386643202E-4</v>
      </c>
      <c r="D16401" s="2">
        <v>5.7630244352235998E-5</v>
      </c>
      <c r="E16401" s="2">
        <v>5.1984508616432299E-5</v>
      </c>
      <c r="F16401" s="2">
        <v>2.30767933553036E-4</v>
      </c>
    </row>
    <row r="16402" spans="1:6" x14ac:dyDescent="0.25">
      <c r="A16402" s="1" t="str">
        <f t="shared" si="617"/>
        <v>28140</v>
      </c>
      <c r="B16402" s="1" t="str">
        <f>"66040"</f>
        <v>66040</v>
      </c>
      <c r="C16402" s="2">
        <v>2.6791420354689201E-3</v>
      </c>
      <c r="D16402" s="2">
        <v>9.4513600737667096E-4</v>
      </c>
      <c r="E16402" s="2">
        <v>8.3175213786291602E-4</v>
      </c>
      <c r="F16402" s="2">
        <v>2.4825304236455398E-3</v>
      </c>
    </row>
    <row r="16403" spans="1:6" x14ac:dyDescent="0.25">
      <c r="A16403" s="1" t="str">
        <f t="shared" si="617"/>
        <v>28140</v>
      </c>
      <c r="B16403" s="1" t="str">
        <f>"66031"</f>
        <v>66031</v>
      </c>
      <c r="C16403" s="2">
        <v>0</v>
      </c>
      <c r="D16403" s="2">
        <v>8.5292761641309295E-4</v>
      </c>
      <c r="E16403" s="2">
        <v>1.8194578015751301E-4</v>
      </c>
      <c r="F16403" s="2">
        <v>7.1893086991522802E-5</v>
      </c>
    </row>
    <row r="16404" spans="1:6" x14ac:dyDescent="0.25">
      <c r="A16404" s="1" t="str">
        <f t="shared" si="617"/>
        <v>28140</v>
      </c>
      <c r="B16404" s="1" t="str">
        <f>"65321"</f>
        <v>65321</v>
      </c>
      <c r="C16404" s="2">
        <v>2.3965489694839402E-5</v>
      </c>
      <c r="D16404" s="2">
        <v>0</v>
      </c>
      <c r="E16404" s="2">
        <v>0</v>
      </c>
      <c r="F16404" s="2">
        <v>2.1301655404895599E-5</v>
      </c>
    </row>
    <row r="16405" spans="1:6" x14ac:dyDescent="0.25">
      <c r="A16405" s="1" t="str">
        <f t="shared" si="617"/>
        <v>28140</v>
      </c>
      <c r="B16405" s="1" t="str">
        <f>"64141"</f>
        <v>64141</v>
      </c>
      <c r="C16405" s="2">
        <v>1.91324492730468E-3</v>
      </c>
      <c r="D16405" s="2">
        <v>7.2498847395112897E-3</v>
      </c>
      <c r="E16405" s="2">
        <v>5.1984508616432299E-5</v>
      </c>
      <c r="F16405" s="2">
        <v>2.26063817984455E-3</v>
      </c>
    </row>
    <row r="16406" spans="1:6" x14ac:dyDescent="0.25">
      <c r="A16406" s="1" t="str">
        <f t="shared" si="617"/>
        <v>28140</v>
      </c>
      <c r="B16406" s="1" t="str">
        <f>"64148"</f>
        <v>64148</v>
      </c>
      <c r="C16406" s="2">
        <v>2.2747243968685E-3</v>
      </c>
      <c r="D16406" s="2">
        <v>2.93914246196403E-3</v>
      </c>
      <c r="E16406" s="2">
        <v>5.1984508616432299E-5</v>
      </c>
      <c r="F16406" s="2">
        <v>2.2499873521420999E-3</v>
      </c>
    </row>
    <row r="16407" spans="1:6" x14ac:dyDescent="0.25">
      <c r="A16407" s="1" t="str">
        <f t="shared" si="617"/>
        <v>28140</v>
      </c>
      <c r="B16407" s="1" t="str">
        <f>"64088"</f>
        <v>64088</v>
      </c>
      <c r="C16407" s="2">
        <v>5.32233583639559E-4</v>
      </c>
      <c r="D16407" s="2">
        <v>1.7289073305670801E-4</v>
      </c>
      <c r="E16407" s="2">
        <v>2.5992254308216098E-5</v>
      </c>
      <c r="F16407" s="2">
        <v>4.8727536738698798E-4</v>
      </c>
    </row>
    <row r="16408" spans="1:6" x14ac:dyDescent="0.25">
      <c r="A16408" s="1" t="str">
        <f t="shared" si="617"/>
        <v>28140</v>
      </c>
      <c r="B16408" s="1" t="str">
        <f>"64154"</f>
        <v>64154</v>
      </c>
      <c r="C16408" s="2">
        <v>6.2949352931778203E-3</v>
      </c>
      <c r="D16408" s="2">
        <v>3.48086675887505E-3</v>
      </c>
      <c r="E16408" s="2">
        <v>2.46146648298806E-2</v>
      </c>
      <c r="F16408" s="2">
        <v>6.7038084697156998E-3</v>
      </c>
    </row>
    <row r="16409" spans="1:6" x14ac:dyDescent="0.25">
      <c r="A16409" s="1" t="str">
        <f t="shared" si="617"/>
        <v>28140</v>
      </c>
      <c r="B16409" s="1" t="str">
        <f>"64146"</f>
        <v>64146</v>
      </c>
      <c r="C16409" s="2">
        <v>7.3993449432816698E-4</v>
      </c>
      <c r="D16409" s="2">
        <v>3.4578146611341597E-5</v>
      </c>
      <c r="E16409" s="2">
        <v>1.8194578015751301E-4</v>
      </c>
      <c r="F16409" s="2">
        <v>6.6656430037819305E-4</v>
      </c>
    </row>
    <row r="16410" spans="1:6" x14ac:dyDescent="0.25">
      <c r="A16410" s="1" t="str">
        <f t="shared" si="617"/>
        <v>28140</v>
      </c>
      <c r="B16410" s="1" t="str">
        <f>"64625"</f>
        <v>64625</v>
      </c>
      <c r="C16410" s="2">
        <v>3.10552803962294E-4</v>
      </c>
      <c r="D16410" s="2">
        <v>2.42047026279391E-4</v>
      </c>
      <c r="E16410" s="2">
        <v>2.33930288773945E-4</v>
      </c>
      <c r="F16410" s="2">
        <v>3.0266102054455902E-4</v>
      </c>
    </row>
    <row r="16411" spans="1:6" x14ac:dyDescent="0.25">
      <c r="A16411" s="1" t="str">
        <f t="shared" si="617"/>
        <v>28140</v>
      </c>
      <c r="B16411" s="1" t="str">
        <f>"64171"</f>
        <v>64171</v>
      </c>
      <c r="C16411" s="2">
        <v>1.2132529158012399E-3</v>
      </c>
      <c r="D16411" s="2">
        <v>3.1927155371138699E-3</v>
      </c>
      <c r="E16411" s="2">
        <v>5.1984508616432299E-5</v>
      </c>
      <c r="F16411" s="2">
        <v>1.3260280489547499E-3</v>
      </c>
    </row>
    <row r="16412" spans="1:6" x14ac:dyDescent="0.25">
      <c r="A16412" s="1" t="str">
        <f t="shared" si="617"/>
        <v>28140</v>
      </c>
      <c r="B16412" s="1" t="str">
        <f>"64161"</f>
        <v>64161</v>
      </c>
      <c r="C16412" s="2">
        <v>1.8373542099376801E-4</v>
      </c>
      <c r="D16412" s="2">
        <v>2.5587828492392799E-3</v>
      </c>
      <c r="E16412" s="2">
        <v>8.5774439217113304E-4</v>
      </c>
      <c r="F16412" s="2">
        <v>3.8964278011454902E-4</v>
      </c>
    </row>
    <row r="16413" spans="1:6" x14ac:dyDescent="0.25">
      <c r="A16413" s="1" t="str">
        <f t="shared" si="617"/>
        <v>28140</v>
      </c>
      <c r="B16413" s="1" t="str">
        <f>"64649"</f>
        <v>64649</v>
      </c>
      <c r="C16413" s="2">
        <v>2.8858443840869101E-4</v>
      </c>
      <c r="D16413" s="2">
        <v>1.15260488704472E-4</v>
      </c>
      <c r="E16413" s="2">
        <v>2.07938034465729E-4</v>
      </c>
      <c r="F16413" s="2">
        <v>2.7248367538762301E-4</v>
      </c>
    </row>
    <row r="16414" spans="1:6" x14ac:dyDescent="0.25">
      <c r="A16414" s="1" t="str">
        <f t="shared" si="617"/>
        <v>28140</v>
      </c>
      <c r="B16414" s="1" t="str">
        <f>"64014"</f>
        <v>64014</v>
      </c>
      <c r="C16414" s="2">
        <v>1.08373941524205E-2</v>
      </c>
      <c r="D16414" s="2">
        <v>9.6818810511756503E-3</v>
      </c>
      <c r="E16414" s="2">
        <v>7.2778312063005203E-3</v>
      </c>
      <c r="F16414" s="2">
        <v>1.0626863340117299E-2</v>
      </c>
    </row>
    <row r="16415" spans="1:6" x14ac:dyDescent="0.25">
      <c r="A16415" s="1" t="str">
        <f t="shared" si="617"/>
        <v>28140</v>
      </c>
      <c r="B16415" s="1" t="str">
        <f>"64037"</f>
        <v>64037</v>
      </c>
      <c r="C16415" s="2">
        <v>2.9058156254992799E-3</v>
      </c>
      <c r="D16415" s="2">
        <v>3.4232365145228198E-3</v>
      </c>
      <c r="E16415" s="2">
        <v>2.3912873963558802E-3</v>
      </c>
      <c r="F16415" s="2">
        <v>2.9280900491979399E-3</v>
      </c>
    </row>
    <row r="16416" spans="1:6" x14ac:dyDescent="0.25">
      <c r="A16416" s="1" t="str">
        <f t="shared" si="617"/>
        <v>28140</v>
      </c>
      <c r="B16416" s="1" t="str">
        <f>"64071"</f>
        <v>64071</v>
      </c>
      <c r="C16416" s="2">
        <v>3.5548809714011799E-4</v>
      </c>
      <c r="D16416" s="2">
        <v>2.07468879668049E-4</v>
      </c>
      <c r="E16416" s="2">
        <v>2.5992254308216098E-5</v>
      </c>
      <c r="F16416" s="2">
        <v>3.32838365701494E-4</v>
      </c>
    </row>
    <row r="16417" spans="1:6" x14ac:dyDescent="0.25">
      <c r="A16417" s="1" t="str">
        <f t="shared" si="617"/>
        <v>28140</v>
      </c>
      <c r="B16417" s="1" t="str">
        <f>"64144"</f>
        <v>64144</v>
      </c>
      <c r="C16417" s="2">
        <v>0</v>
      </c>
      <c r="D16417" s="2">
        <v>0</v>
      </c>
      <c r="E16417" s="2">
        <v>5.1984508616432299E-5</v>
      </c>
      <c r="F16417" s="2">
        <v>1.77513795040797E-6</v>
      </c>
    </row>
    <row r="16418" spans="1:6" x14ac:dyDescent="0.25">
      <c r="A16418" s="1" t="str">
        <f t="shared" ref="A16418:A16481" si="618">"28140"</f>
        <v>28140</v>
      </c>
      <c r="B16418" s="1" t="str">
        <f>"64073"</f>
        <v>64073</v>
      </c>
      <c r="C16418" s="2">
        <v>0</v>
      </c>
      <c r="D16418" s="2">
        <v>0</v>
      </c>
      <c r="E16418" s="2">
        <v>2.5992254308216098E-5</v>
      </c>
      <c r="F16418" s="2">
        <v>8.87568975203985E-7</v>
      </c>
    </row>
    <row r="16419" spans="1:6" x14ac:dyDescent="0.25">
      <c r="A16419" s="1" t="str">
        <f t="shared" si="618"/>
        <v>28140</v>
      </c>
      <c r="B16419" s="1" t="str">
        <f>"64121"</f>
        <v>64121</v>
      </c>
      <c r="C16419" s="2">
        <v>0</v>
      </c>
      <c r="D16419" s="2">
        <v>1.15260488704472E-5</v>
      </c>
      <c r="E16419" s="2">
        <v>5.1984508616432299E-5</v>
      </c>
      <c r="F16419" s="2">
        <v>2.6627069256119499E-6</v>
      </c>
    </row>
    <row r="16420" spans="1:6" x14ac:dyDescent="0.25">
      <c r="A16420" s="1" t="str">
        <f t="shared" si="618"/>
        <v>28140</v>
      </c>
      <c r="B16420" s="1" t="str">
        <f>"64199"</f>
        <v>64199</v>
      </c>
      <c r="C16420" s="2">
        <v>0</v>
      </c>
      <c r="D16420" s="2">
        <v>1.15260488704472E-5</v>
      </c>
      <c r="E16420" s="2">
        <v>0</v>
      </c>
      <c r="F16420" s="2">
        <v>8.87568975203985E-7</v>
      </c>
    </row>
    <row r="16421" spans="1:6" x14ac:dyDescent="0.25">
      <c r="A16421" s="1" t="str">
        <f t="shared" si="618"/>
        <v>28140</v>
      </c>
      <c r="B16421" s="1" t="str">
        <f>"64440"</f>
        <v>64440</v>
      </c>
      <c r="C16421" s="2">
        <v>1.3979868988656299E-5</v>
      </c>
      <c r="D16421" s="2">
        <v>0</v>
      </c>
      <c r="E16421" s="2">
        <v>0</v>
      </c>
      <c r="F16421" s="2">
        <v>1.2425965652855699E-5</v>
      </c>
    </row>
    <row r="16422" spans="1:6" x14ac:dyDescent="0.25">
      <c r="A16422" s="1" t="str">
        <f t="shared" si="618"/>
        <v>28140</v>
      </c>
      <c r="B16422" s="1" t="str">
        <f>"64051"</f>
        <v>64051</v>
      </c>
      <c r="C16422" s="2">
        <v>5.2524364914522997E-4</v>
      </c>
      <c r="D16422" s="2">
        <v>2.4665744582757E-3</v>
      </c>
      <c r="E16422" s="2">
        <v>2.5992254308216098E-5</v>
      </c>
      <c r="F16422" s="2">
        <v>6.5768861062615296E-4</v>
      </c>
    </row>
    <row r="16423" spans="1:6" x14ac:dyDescent="0.25">
      <c r="A16423" s="1" t="str">
        <f t="shared" si="618"/>
        <v>28140</v>
      </c>
      <c r="B16423" s="1" t="str">
        <f>"64072"</f>
        <v>64072</v>
      </c>
      <c r="C16423" s="2">
        <v>1.16831762262342E-4</v>
      </c>
      <c r="D16423" s="2">
        <v>1.4983863531581299E-4</v>
      </c>
      <c r="E16423" s="2">
        <v>2.5992254308216098E-5</v>
      </c>
      <c r="F16423" s="2">
        <v>1.16271535751722E-4</v>
      </c>
    </row>
    <row r="16424" spans="1:6" x14ac:dyDescent="0.25">
      <c r="A16424" s="1" t="str">
        <f t="shared" si="618"/>
        <v>28140</v>
      </c>
      <c r="B16424" s="1" t="str">
        <f>"66002"</f>
        <v>66002</v>
      </c>
      <c r="C16424" s="2">
        <v>2.4964051765457701E-5</v>
      </c>
      <c r="D16424" s="2">
        <v>0</v>
      </c>
      <c r="E16424" s="2">
        <v>0</v>
      </c>
      <c r="F16424" s="2">
        <v>2.2189224380099601E-5</v>
      </c>
    </row>
    <row r="16425" spans="1:6" x14ac:dyDescent="0.25">
      <c r="A16425" s="1" t="str">
        <f t="shared" si="618"/>
        <v>28140</v>
      </c>
      <c r="B16425" s="1" t="str">
        <f>"64493"</f>
        <v>64493</v>
      </c>
      <c r="C16425" s="2">
        <v>2.4764339351334E-4</v>
      </c>
      <c r="D16425" s="2">
        <v>1.15260488704472E-5</v>
      </c>
      <c r="E16425" s="2">
        <v>2.5992254308216098E-5</v>
      </c>
      <c r="F16425" s="2">
        <v>2.21892243800996E-4</v>
      </c>
    </row>
    <row r="16426" spans="1:6" x14ac:dyDescent="0.25">
      <c r="A16426" s="1" t="str">
        <f t="shared" si="618"/>
        <v>28140</v>
      </c>
      <c r="B16426" s="1" t="str">
        <f>"64021"</f>
        <v>64021</v>
      </c>
      <c r="C16426" s="2">
        <v>3.2053842466847702E-4</v>
      </c>
      <c r="D16426" s="2">
        <v>4.6104195481788801E-5</v>
      </c>
      <c r="E16426" s="2">
        <v>5.1984508616432299E-5</v>
      </c>
      <c r="F16426" s="2">
        <v>2.9023505489170301E-4</v>
      </c>
    </row>
    <row r="16427" spans="1:6" x14ac:dyDescent="0.25">
      <c r="A16427" s="1" t="str">
        <f t="shared" si="618"/>
        <v>28140</v>
      </c>
      <c r="B16427" s="1" t="str">
        <f>"64668"</f>
        <v>64668</v>
      </c>
      <c r="C16427" s="2">
        <v>1.10840389838632E-4</v>
      </c>
      <c r="D16427" s="2">
        <v>2.30520977408944E-5</v>
      </c>
      <c r="E16427" s="2">
        <v>0</v>
      </c>
      <c r="F16427" s="2">
        <v>1.0029529419805E-4</v>
      </c>
    </row>
    <row r="16428" spans="1:6" x14ac:dyDescent="0.25">
      <c r="A16428" s="1" t="str">
        <f t="shared" si="618"/>
        <v>28140</v>
      </c>
      <c r="B16428" s="1" t="str">
        <f>"64724"</f>
        <v>64724</v>
      </c>
      <c r="C16428" s="2">
        <v>9.5861958779357701E-5</v>
      </c>
      <c r="D16428" s="2">
        <v>5.7630244352235998E-5</v>
      </c>
      <c r="E16428" s="2">
        <v>0</v>
      </c>
      <c r="F16428" s="2">
        <v>8.9644466495602493E-5</v>
      </c>
    </row>
    <row r="16429" spans="1:6" x14ac:dyDescent="0.25">
      <c r="A16429" s="1" t="str">
        <f t="shared" si="618"/>
        <v>28140</v>
      </c>
      <c r="B16429" s="1" t="str">
        <f>"66224"</f>
        <v>66224</v>
      </c>
      <c r="C16429" s="2">
        <v>5.0627096980348204E-3</v>
      </c>
      <c r="D16429" s="2">
        <v>3.2042415859843201E-3</v>
      </c>
      <c r="E16429" s="2">
        <v>2.5472409222051799E-3</v>
      </c>
      <c r="F16429" s="2">
        <v>4.8337006389608996E-3</v>
      </c>
    </row>
    <row r="16430" spans="1:6" x14ac:dyDescent="0.25">
      <c r="A16430" s="1" t="str">
        <f t="shared" si="618"/>
        <v>28140</v>
      </c>
      <c r="B16430" s="1" t="str">
        <f>"66103"</f>
        <v>66103</v>
      </c>
      <c r="C16430" s="2">
        <v>7.6889279437609799E-3</v>
      </c>
      <c r="D16430" s="2">
        <v>7.1346242508068198E-3</v>
      </c>
      <c r="E16430" s="2">
        <v>1.1332622878382201E-2</v>
      </c>
      <c r="F16430" s="2">
        <v>7.7706663779108899E-3</v>
      </c>
    </row>
    <row r="16431" spans="1:6" x14ac:dyDescent="0.25">
      <c r="A16431" s="1" t="str">
        <f t="shared" si="618"/>
        <v>28140</v>
      </c>
      <c r="B16431" s="1" t="str">
        <f>"66204"</f>
        <v>66204</v>
      </c>
      <c r="C16431" s="2">
        <v>1.01074452787985E-2</v>
      </c>
      <c r="D16431" s="2">
        <v>1.18142000922083E-2</v>
      </c>
      <c r="E16431" s="2">
        <v>1.5777298365087199E-2</v>
      </c>
      <c r="F16431" s="2">
        <v>1.04324857345476E-2</v>
      </c>
    </row>
    <row r="16432" spans="1:6" x14ac:dyDescent="0.25">
      <c r="A16432" s="1" t="str">
        <f t="shared" si="618"/>
        <v>28140</v>
      </c>
      <c r="B16432" s="1" t="str">
        <f>"66205"</f>
        <v>66205</v>
      </c>
      <c r="C16432" s="2">
        <v>6.3828087553922299E-3</v>
      </c>
      <c r="D16432" s="2">
        <v>5.4518211157215304E-3</v>
      </c>
      <c r="E16432" s="2">
        <v>1.7934655472669099E-3</v>
      </c>
      <c r="F16432" s="2">
        <v>6.1544032740644301E-3</v>
      </c>
    </row>
    <row r="16433" spans="1:6" x14ac:dyDescent="0.25">
      <c r="A16433" s="1" t="str">
        <f t="shared" si="618"/>
        <v>28140</v>
      </c>
      <c r="B16433" s="1" t="str">
        <f>"66206"</f>
        <v>66206</v>
      </c>
      <c r="C16433" s="2">
        <v>4.7451669595782002E-3</v>
      </c>
      <c r="D16433" s="2">
        <v>4.4375288151221699E-3</v>
      </c>
      <c r="E16433" s="2">
        <v>1.09167468094507E-3</v>
      </c>
      <c r="F16433" s="2">
        <v>4.59671972258144E-3</v>
      </c>
    </row>
    <row r="16434" spans="1:6" x14ac:dyDescent="0.25">
      <c r="A16434" s="1" t="str">
        <f t="shared" si="618"/>
        <v>28140</v>
      </c>
      <c r="B16434" s="1" t="str">
        <f>"66086"</f>
        <v>66086</v>
      </c>
      <c r="C16434" s="2">
        <v>4.2428902380571903E-3</v>
      </c>
      <c r="D16434" s="2">
        <v>2.1092669432918299E-3</v>
      </c>
      <c r="E16434" s="2">
        <v>1.3256049697190199E-3</v>
      </c>
      <c r="F16434" s="2">
        <v>3.9789717158394602E-3</v>
      </c>
    </row>
    <row r="16435" spans="1:6" x14ac:dyDescent="0.25">
      <c r="A16435" s="1" t="str">
        <f t="shared" si="618"/>
        <v>28140</v>
      </c>
      <c r="B16435" s="1" t="str">
        <f>"66220"</f>
        <v>66220</v>
      </c>
      <c r="C16435" s="2">
        <v>3.03463013260904E-3</v>
      </c>
      <c r="D16435" s="2">
        <v>7.3766712770862103E-4</v>
      </c>
      <c r="E16435" s="2">
        <v>5.4583734047253902E-4</v>
      </c>
      <c r="F16435" s="2">
        <v>2.7727654785372501E-3</v>
      </c>
    </row>
    <row r="16436" spans="1:6" x14ac:dyDescent="0.25">
      <c r="A16436" s="1" t="str">
        <f t="shared" si="618"/>
        <v>28140</v>
      </c>
      <c r="B16436" s="1" t="str">
        <f>"66043"</f>
        <v>66043</v>
      </c>
      <c r="C16436" s="2">
        <v>3.5019571816584101E-3</v>
      </c>
      <c r="D16436" s="2">
        <v>2.5472568003688302E-3</v>
      </c>
      <c r="E16436" s="2">
        <v>2.2873183791230199E-3</v>
      </c>
      <c r="F16436" s="2">
        <v>3.3869632093783998E-3</v>
      </c>
    </row>
    <row r="16437" spans="1:6" x14ac:dyDescent="0.25">
      <c r="A16437" s="1" t="str">
        <f t="shared" si="618"/>
        <v>28140</v>
      </c>
      <c r="B16437" s="1" t="str">
        <f>"66048"</f>
        <v>66048</v>
      </c>
      <c r="C16437" s="2">
        <v>1.5361878894392E-2</v>
      </c>
      <c r="D16437" s="2">
        <v>1.21484555094513E-2</v>
      </c>
      <c r="E16437" s="2">
        <v>1.25282665765601E-2</v>
      </c>
      <c r="F16437" s="2">
        <v>1.5017667060451399E-2</v>
      </c>
    </row>
    <row r="16438" spans="1:6" x14ac:dyDescent="0.25">
      <c r="A16438" s="1" t="str">
        <f t="shared" si="618"/>
        <v>28140</v>
      </c>
      <c r="B16438" s="1" t="str">
        <f>"64097"</f>
        <v>64097</v>
      </c>
      <c r="C16438" s="2">
        <v>3.1654417638600398E-4</v>
      </c>
      <c r="D16438" s="2">
        <v>4.6104195481788801E-5</v>
      </c>
      <c r="E16438" s="2">
        <v>7.7976762924648397E-5</v>
      </c>
      <c r="F16438" s="2">
        <v>2.8757234796609099E-4</v>
      </c>
    </row>
    <row r="16439" spans="1:6" x14ac:dyDescent="0.25">
      <c r="A16439" s="1" t="str">
        <f t="shared" si="618"/>
        <v>28140</v>
      </c>
      <c r="B16439" s="1" t="str">
        <f>"64145"</f>
        <v>64145</v>
      </c>
      <c r="C16439" s="2">
        <v>2.5303562869467902E-3</v>
      </c>
      <c r="D16439" s="2">
        <v>3.1350852927616401E-3</v>
      </c>
      <c r="E16439" s="2">
        <v>7.5377537493826797E-4</v>
      </c>
      <c r="F16439" s="2">
        <v>2.5162580447032901E-3</v>
      </c>
    </row>
    <row r="16440" spans="1:6" x14ac:dyDescent="0.25">
      <c r="A16440" s="1" t="str">
        <f t="shared" si="618"/>
        <v>28140</v>
      </c>
      <c r="B16440" s="1" t="str">
        <f>"64165"</f>
        <v>64165</v>
      </c>
      <c r="C16440" s="2">
        <v>9.1867710496884396E-5</v>
      </c>
      <c r="D16440" s="2">
        <v>1.03734439834024E-4</v>
      </c>
      <c r="E16440" s="2">
        <v>7.7976762924648397E-5</v>
      </c>
      <c r="F16440" s="2">
        <v>9.2307173421214396E-5</v>
      </c>
    </row>
    <row r="16441" spans="1:6" x14ac:dyDescent="0.25">
      <c r="A16441" s="1" t="str">
        <f t="shared" si="618"/>
        <v>28140</v>
      </c>
      <c r="B16441" s="1" t="str">
        <f>"64650"</f>
        <v>64650</v>
      </c>
      <c r="C16441" s="2">
        <v>3.19539862597859E-4</v>
      </c>
      <c r="D16441" s="2">
        <v>1.9594283079760199E-4</v>
      </c>
      <c r="E16441" s="2">
        <v>5.1984508616432299E-5</v>
      </c>
      <c r="F16441" s="2">
        <v>3.0088588259415101E-4</v>
      </c>
    </row>
    <row r="16442" spans="1:6" x14ac:dyDescent="0.25">
      <c r="A16442" s="1" t="str">
        <f t="shared" si="618"/>
        <v>28140</v>
      </c>
      <c r="B16442" s="1" t="str">
        <f>"64158"</f>
        <v>64158</v>
      </c>
      <c r="C16442" s="2">
        <v>2.94975235660648E-3</v>
      </c>
      <c r="D16442" s="2">
        <v>1.4753342554172399E-3</v>
      </c>
      <c r="E16442" s="2">
        <v>5.0424973357939299E-3</v>
      </c>
      <c r="F16442" s="2">
        <v>2.9076759627682499E-3</v>
      </c>
    </row>
    <row r="16443" spans="1:6" x14ac:dyDescent="0.25">
      <c r="A16443" s="1" t="str">
        <f t="shared" si="618"/>
        <v>28140</v>
      </c>
      <c r="B16443" s="1" t="str">
        <f>"64637"</f>
        <v>64637</v>
      </c>
      <c r="C16443" s="2">
        <v>3.2952548330404202E-4</v>
      </c>
      <c r="D16443" s="2">
        <v>2.3052097740894399E-4</v>
      </c>
      <c r="E16443" s="2">
        <v>5.1984508616432299E-5</v>
      </c>
      <c r="F16443" s="2">
        <v>3.1242427927180198E-4</v>
      </c>
    </row>
    <row r="16444" spans="1:6" x14ac:dyDescent="0.25">
      <c r="A16444" s="1" t="str">
        <f t="shared" si="618"/>
        <v>28140</v>
      </c>
      <c r="B16444" s="1" t="str">
        <f>"64752"</f>
        <v>64752</v>
      </c>
      <c r="C16444" s="2">
        <v>2.7660169356127099E-4</v>
      </c>
      <c r="D16444" s="2">
        <v>2.30520977408944E-5</v>
      </c>
      <c r="E16444" s="2">
        <v>2.5992254308216098E-5</v>
      </c>
      <c r="F16444" s="2">
        <v>2.48519313057115E-4</v>
      </c>
    </row>
    <row r="16445" spans="1:6" x14ac:dyDescent="0.25">
      <c r="A16445" s="1" t="str">
        <f t="shared" si="618"/>
        <v>28140</v>
      </c>
      <c r="B16445" s="1" t="str">
        <f>"64490"</f>
        <v>64490</v>
      </c>
      <c r="C16445" s="2">
        <v>2.7460456942003501E-4</v>
      </c>
      <c r="D16445" s="2">
        <v>2.30520977408944E-5</v>
      </c>
      <c r="E16445" s="2">
        <v>0</v>
      </c>
      <c r="F16445" s="2">
        <v>2.4585660613150298E-4</v>
      </c>
    </row>
    <row r="16446" spans="1:6" x14ac:dyDescent="0.25">
      <c r="A16446" s="1" t="str">
        <f t="shared" si="618"/>
        <v>28140</v>
      </c>
      <c r="B16446" s="1" t="str">
        <f>"64050"</f>
        <v>64050</v>
      </c>
      <c r="C16446" s="2">
        <v>1.05877536347659E-2</v>
      </c>
      <c r="D16446" s="2">
        <v>1.03158137390502E-2</v>
      </c>
      <c r="E16446" s="2">
        <v>1.5517375822005E-2</v>
      </c>
      <c r="F16446" s="2">
        <v>1.07351467550922E-2</v>
      </c>
    </row>
    <row r="16447" spans="1:6" x14ac:dyDescent="0.25">
      <c r="A16447" s="1" t="str">
        <f t="shared" si="618"/>
        <v>28140</v>
      </c>
      <c r="B16447" s="1" t="str">
        <f>"64012"</f>
        <v>64012</v>
      </c>
      <c r="C16447" s="2">
        <v>1.34536267774404E-2</v>
      </c>
      <c r="D16447" s="2">
        <v>1.24481327800829E-2</v>
      </c>
      <c r="E16447" s="2">
        <v>6.2381410339718696E-3</v>
      </c>
      <c r="F16447" s="2">
        <v>1.31298078501925E-2</v>
      </c>
    </row>
    <row r="16448" spans="1:6" x14ac:dyDescent="0.25">
      <c r="A16448" s="1" t="str">
        <f t="shared" si="618"/>
        <v>28140</v>
      </c>
      <c r="B16448" s="1" t="str">
        <f>"64028"</f>
        <v>64028</v>
      </c>
      <c r="C16448" s="2">
        <v>1.1383607605048701E-4</v>
      </c>
      <c r="D16448" s="2">
        <v>0</v>
      </c>
      <c r="E16448" s="2">
        <v>2.5992254308216098E-5</v>
      </c>
      <c r="F16448" s="2">
        <v>1.02070432148458E-4</v>
      </c>
    </row>
    <row r="16449" spans="1:6" x14ac:dyDescent="0.25">
      <c r="A16449" s="1" t="str">
        <f t="shared" si="618"/>
        <v>28140</v>
      </c>
      <c r="B16449" s="1" t="str">
        <f>"64083"</f>
        <v>64083</v>
      </c>
      <c r="C16449" s="2">
        <v>1.0448953506949899E-2</v>
      </c>
      <c r="D16449" s="2">
        <v>4.3914246196403803E-3</v>
      </c>
      <c r="E16449" s="2">
        <v>2.9371247368284201E-3</v>
      </c>
      <c r="F16449" s="2">
        <v>9.7259808302852697E-3</v>
      </c>
    </row>
    <row r="16450" spans="1:6" x14ac:dyDescent="0.25">
      <c r="A16450" s="1" t="str">
        <f t="shared" si="618"/>
        <v>28140</v>
      </c>
      <c r="B16450" s="1" t="str">
        <f>"64076"</f>
        <v>64076</v>
      </c>
      <c r="C16450" s="2">
        <v>4.1400383447835103E-3</v>
      </c>
      <c r="D16450" s="2">
        <v>3.8612263715998101E-3</v>
      </c>
      <c r="E16450" s="2">
        <v>4.8345593013281998E-3</v>
      </c>
      <c r="F16450" s="2">
        <v>4.1422844072769999E-3</v>
      </c>
    </row>
    <row r="16451" spans="1:6" x14ac:dyDescent="0.25">
      <c r="A16451" s="1" t="str">
        <f t="shared" si="618"/>
        <v>28140</v>
      </c>
      <c r="B16451" s="1" t="str">
        <f>"64001"</f>
        <v>64001</v>
      </c>
      <c r="C16451" s="2">
        <v>2.4364914523086699E-4</v>
      </c>
      <c r="D16451" s="2">
        <v>4.6104195481788801E-5</v>
      </c>
      <c r="E16451" s="2">
        <v>5.1984508616432299E-5</v>
      </c>
      <c r="F16451" s="2">
        <v>2.21892243800996E-4</v>
      </c>
    </row>
    <row r="16452" spans="1:6" x14ac:dyDescent="0.25">
      <c r="A16452" s="1" t="str">
        <f t="shared" si="618"/>
        <v>28140</v>
      </c>
      <c r="B16452" s="1" t="str">
        <f>"64060"</f>
        <v>64060</v>
      </c>
      <c r="C16452" s="2">
        <v>7.1566943601214204E-3</v>
      </c>
      <c r="D16452" s="2">
        <v>7.7224527431996298E-3</v>
      </c>
      <c r="E16452" s="2">
        <v>2.1313648532737201E-3</v>
      </c>
      <c r="F16452" s="2">
        <v>7.02865871464036E-3</v>
      </c>
    </row>
    <row r="16453" spans="1:6" x14ac:dyDescent="0.25">
      <c r="A16453" s="1" t="str">
        <f t="shared" si="618"/>
        <v>28140</v>
      </c>
      <c r="B16453" s="1" t="str">
        <f>"64018"</f>
        <v>64018</v>
      </c>
      <c r="C16453" s="2">
        <v>3.6846940405815598E-4</v>
      </c>
      <c r="D16453" s="2">
        <v>1.8441678192715499E-4</v>
      </c>
      <c r="E16453" s="2">
        <v>2.5992254308216098E-5</v>
      </c>
      <c r="F16453" s="2">
        <v>3.4260162442873799E-4</v>
      </c>
    </row>
    <row r="16454" spans="1:6" x14ac:dyDescent="0.25">
      <c r="A16454" s="1" t="str">
        <f t="shared" si="618"/>
        <v>28140</v>
      </c>
      <c r="B16454" s="1" t="str">
        <f>"66215"</f>
        <v>66215</v>
      </c>
      <c r="C16454" s="2">
        <v>1.19637721680779E-2</v>
      </c>
      <c r="D16454" s="2">
        <v>2.0977408944213901E-2</v>
      </c>
      <c r="E16454" s="2">
        <v>1.3697918020429901E-2</v>
      </c>
      <c r="F16454" s="2">
        <v>1.27170882767227E-2</v>
      </c>
    </row>
    <row r="16455" spans="1:6" x14ac:dyDescent="0.25">
      <c r="A16455" s="1" t="str">
        <f t="shared" si="618"/>
        <v>28140</v>
      </c>
      <c r="B16455" s="1" t="str">
        <f>"64779"</f>
        <v>64779</v>
      </c>
      <c r="C16455" s="2">
        <v>1.44392075411407E-3</v>
      </c>
      <c r="D16455" s="2">
        <v>1.25633932687874E-3</v>
      </c>
      <c r="E16455" s="2">
        <v>3.1190705169859299E-4</v>
      </c>
      <c r="F16455" s="2">
        <v>1.3908205841446401E-3</v>
      </c>
    </row>
    <row r="16456" spans="1:6" x14ac:dyDescent="0.25">
      <c r="A16456" s="1" t="str">
        <f t="shared" si="618"/>
        <v>28140</v>
      </c>
      <c r="B16456" s="1" t="str">
        <f>"64106"</f>
        <v>64106</v>
      </c>
      <c r="C16456" s="2">
        <v>6.0592746445119004E-3</v>
      </c>
      <c r="D16456" s="2">
        <v>1.4107883817427299E-2</v>
      </c>
      <c r="E16456" s="2">
        <v>1.29181503911834E-2</v>
      </c>
      <c r="F16456" s="2">
        <v>6.9132747478638399E-3</v>
      </c>
    </row>
    <row r="16457" spans="1:6" x14ac:dyDescent="0.25">
      <c r="A16457" s="1" t="str">
        <f t="shared" si="618"/>
        <v>28140</v>
      </c>
      <c r="B16457" s="1" t="str">
        <f>"64105"</f>
        <v>64105</v>
      </c>
      <c r="C16457" s="2">
        <v>5.1675587154497498E-3</v>
      </c>
      <c r="D16457" s="2">
        <v>1.0177501152604801E-2</v>
      </c>
      <c r="E16457" s="2">
        <v>8.0056143269305706E-3</v>
      </c>
      <c r="F16457" s="2">
        <v>5.6502640961485703E-3</v>
      </c>
    </row>
    <row r="16458" spans="1:6" x14ac:dyDescent="0.25">
      <c r="A16458" s="1" t="str">
        <f t="shared" si="618"/>
        <v>28140</v>
      </c>
      <c r="B16458" s="1" t="str">
        <f>"64098"</f>
        <v>64098</v>
      </c>
      <c r="C16458" s="2">
        <v>1.41496245406614E-3</v>
      </c>
      <c r="D16458" s="2">
        <v>1.5099124020285801E-3</v>
      </c>
      <c r="E16458" s="2">
        <v>8.0575988355469997E-4</v>
      </c>
      <c r="F16458" s="2">
        <v>1.4014714118470899E-3</v>
      </c>
    </row>
    <row r="16459" spans="1:6" x14ac:dyDescent="0.25">
      <c r="A16459" s="1" t="str">
        <f t="shared" si="618"/>
        <v>28140</v>
      </c>
      <c r="B16459" s="1" t="str">
        <f>"64151"</f>
        <v>64151</v>
      </c>
      <c r="C16459" s="2">
        <v>1.29403658731426E-2</v>
      </c>
      <c r="D16459" s="2">
        <v>5.5094513600737601E-3</v>
      </c>
      <c r="E16459" s="2">
        <v>1.3412003223039501E-2</v>
      </c>
      <c r="F16459" s="2">
        <v>1.2384249911021199E-2</v>
      </c>
    </row>
    <row r="16460" spans="1:6" x14ac:dyDescent="0.25">
      <c r="A16460" s="1" t="str">
        <f t="shared" si="618"/>
        <v>28140</v>
      </c>
      <c r="B16460" s="1" t="str">
        <f>"64701"</f>
        <v>64701</v>
      </c>
      <c r="C16460" s="2">
        <v>6.2789583000479304E-3</v>
      </c>
      <c r="D16460" s="2">
        <v>8.8059013370216602E-3</v>
      </c>
      <c r="E16460" s="2">
        <v>6.3940945598211698E-3</v>
      </c>
      <c r="F16460" s="2">
        <v>6.4774783810386798E-3</v>
      </c>
    </row>
    <row r="16461" spans="1:6" x14ac:dyDescent="0.25">
      <c r="A16461" s="1" t="str">
        <f t="shared" si="618"/>
        <v>28140</v>
      </c>
      <c r="B16461" s="1" t="str">
        <f>"64725"</f>
        <v>64725</v>
      </c>
      <c r="C16461" s="2">
        <v>1.22423709857804E-3</v>
      </c>
      <c r="D16461" s="2">
        <v>7.0308898109727898E-4</v>
      </c>
      <c r="E16461" s="2">
        <v>3.3789930600680899E-4</v>
      </c>
      <c r="F16461" s="2">
        <v>1.15383966776518E-3</v>
      </c>
    </row>
    <row r="16462" spans="1:6" x14ac:dyDescent="0.25">
      <c r="A16462" s="1" t="str">
        <f t="shared" si="618"/>
        <v>28140</v>
      </c>
      <c r="B16462" s="1" t="str">
        <f>"64739"</f>
        <v>64739</v>
      </c>
      <c r="C16462" s="2">
        <v>4.2538744208339902E-4</v>
      </c>
      <c r="D16462" s="2">
        <v>1.4983863531581299E-4</v>
      </c>
      <c r="E16462" s="2">
        <v>1.2996127154108001E-4</v>
      </c>
      <c r="F16462" s="2">
        <v>3.94080624990569E-4</v>
      </c>
    </row>
    <row r="16463" spans="1:6" x14ac:dyDescent="0.25">
      <c r="A16463" s="1" t="str">
        <f t="shared" si="618"/>
        <v>28140</v>
      </c>
      <c r="B16463" s="1" t="str">
        <f>"64492"</f>
        <v>64492</v>
      </c>
      <c r="C16463" s="2">
        <v>7.4492730468125803E-4</v>
      </c>
      <c r="D16463" s="2">
        <v>1.3831258644536601E-4</v>
      </c>
      <c r="E16463" s="2">
        <v>2.8591479739037699E-4</v>
      </c>
      <c r="F16463" s="2">
        <v>6.82540541931864E-4</v>
      </c>
    </row>
    <row r="16464" spans="1:6" x14ac:dyDescent="0.25">
      <c r="A16464" s="1" t="str">
        <f t="shared" si="618"/>
        <v>28140</v>
      </c>
      <c r="B16464" s="1" t="str">
        <f>"64029"</f>
        <v>64029</v>
      </c>
      <c r="C16464" s="2">
        <v>8.3419875379453501E-3</v>
      </c>
      <c r="D16464" s="2">
        <v>7.1346242508068198E-3</v>
      </c>
      <c r="E16464" s="2">
        <v>1.6115197671093999E-3</v>
      </c>
      <c r="F16464" s="2">
        <v>8.0191856909679997E-3</v>
      </c>
    </row>
    <row r="16465" spans="1:6" x14ac:dyDescent="0.25">
      <c r="A16465" s="1" t="str">
        <f t="shared" si="618"/>
        <v>28140</v>
      </c>
      <c r="B16465" s="1" t="str">
        <f>"64067"</f>
        <v>64067</v>
      </c>
      <c r="C16465" s="2">
        <v>2.66815785269212E-3</v>
      </c>
      <c r="D16465" s="2">
        <v>3.3771323190410298E-3</v>
      </c>
      <c r="E16465" s="2">
        <v>1.1696514438697199E-3</v>
      </c>
      <c r="F16465" s="2">
        <v>2.6715826153639898E-3</v>
      </c>
    </row>
    <row r="16466" spans="1:6" x14ac:dyDescent="0.25">
      <c r="A16466" s="1" t="str">
        <f t="shared" si="618"/>
        <v>28140</v>
      </c>
      <c r="B16466" s="1" t="str">
        <f>"64068"</f>
        <v>64068</v>
      </c>
      <c r="C16466" s="2">
        <v>1.5116232625019901E-2</v>
      </c>
      <c r="D16466" s="2">
        <v>1.6332411249423601E-2</v>
      </c>
      <c r="E16466" s="2">
        <v>1.21123905076287E-2</v>
      </c>
      <c r="F16466" s="2">
        <v>1.5107311526947E-2</v>
      </c>
    </row>
    <row r="16467" spans="1:6" x14ac:dyDescent="0.25">
      <c r="A16467" s="1" t="str">
        <f t="shared" si="618"/>
        <v>28140</v>
      </c>
      <c r="B16467" s="1" t="str">
        <f>"64048"</f>
        <v>64048</v>
      </c>
      <c r="C16467" s="2">
        <v>1.6895670234861699E-3</v>
      </c>
      <c r="D16467" s="2">
        <v>3.6883356385430997E-4</v>
      </c>
      <c r="E16467" s="2">
        <v>3.3789930600680899E-4</v>
      </c>
      <c r="F16467" s="2">
        <v>1.5417073099293201E-3</v>
      </c>
    </row>
    <row r="16468" spans="1:6" x14ac:dyDescent="0.25">
      <c r="A16468" s="1" t="str">
        <f t="shared" si="618"/>
        <v>28140</v>
      </c>
      <c r="B16468" s="1" t="str">
        <f>"64077"</f>
        <v>64077</v>
      </c>
      <c r="C16468" s="2">
        <v>7.7987697715289905E-4</v>
      </c>
      <c r="D16468" s="2">
        <v>5.0714615029967699E-4</v>
      </c>
      <c r="E16468" s="2">
        <v>1.2996127154108001E-4</v>
      </c>
      <c r="F16468" s="2">
        <v>7.3668224941930704E-4</v>
      </c>
    </row>
    <row r="16469" spans="1:6" x14ac:dyDescent="0.25">
      <c r="A16469" s="1" t="str">
        <f t="shared" si="618"/>
        <v>28140</v>
      </c>
      <c r="B16469" s="1" t="str">
        <f>"64999"</f>
        <v>64999</v>
      </c>
      <c r="C16469" s="2">
        <v>0</v>
      </c>
      <c r="D16469" s="2">
        <v>0</v>
      </c>
      <c r="E16469" s="2">
        <v>5.1984508616432299E-5</v>
      </c>
      <c r="F16469" s="2">
        <v>1.77513795040797E-6</v>
      </c>
    </row>
    <row r="16470" spans="1:6" x14ac:dyDescent="0.25">
      <c r="A16470" s="1" t="str">
        <f t="shared" si="618"/>
        <v>28140</v>
      </c>
      <c r="B16470" s="1" t="str">
        <f>"66250"</f>
        <v>66250</v>
      </c>
      <c r="C16470" s="2">
        <v>0</v>
      </c>
      <c r="D16470" s="2">
        <v>1.15260488704472E-5</v>
      </c>
      <c r="E16470" s="2">
        <v>5.1984508616432299E-5</v>
      </c>
      <c r="F16470" s="2">
        <v>2.6627069256119499E-6</v>
      </c>
    </row>
    <row r="16471" spans="1:6" x14ac:dyDescent="0.25">
      <c r="A16471" s="1" t="str">
        <f t="shared" si="618"/>
        <v>28140</v>
      </c>
      <c r="B16471" s="1" t="str">
        <f>"64743"</f>
        <v>64743</v>
      </c>
      <c r="C16471" s="2">
        <v>0</v>
      </c>
      <c r="D16471" s="2">
        <v>0</v>
      </c>
      <c r="E16471" s="2">
        <v>2.5992254308216098E-5</v>
      </c>
      <c r="F16471" s="2">
        <v>8.87568975203985E-7</v>
      </c>
    </row>
    <row r="16472" spans="1:6" x14ac:dyDescent="0.25">
      <c r="A16472" s="1" t="str">
        <f t="shared" si="618"/>
        <v>28140</v>
      </c>
      <c r="B16472" s="1" t="str">
        <f>"64162"</f>
        <v>64162</v>
      </c>
      <c r="C16472" s="2">
        <v>0</v>
      </c>
      <c r="D16472" s="2">
        <v>1.15260488704472E-5</v>
      </c>
      <c r="E16472" s="2">
        <v>0</v>
      </c>
      <c r="F16472" s="2">
        <v>8.87568975203985E-7</v>
      </c>
    </row>
    <row r="16473" spans="1:6" x14ac:dyDescent="0.25">
      <c r="A16473" s="1" t="str">
        <f t="shared" si="618"/>
        <v>28140</v>
      </c>
      <c r="B16473" s="1" t="str">
        <f>"64017"</f>
        <v>64017</v>
      </c>
      <c r="C16473" s="2">
        <v>2.1369228311231801E-4</v>
      </c>
      <c r="D16473" s="2">
        <v>3.4578146611341597E-5</v>
      </c>
      <c r="E16473" s="2">
        <v>2.5992254308216098E-5</v>
      </c>
      <c r="F16473" s="2">
        <v>1.9349003659446801E-4</v>
      </c>
    </row>
    <row r="16474" spans="1:6" x14ac:dyDescent="0.25">
      <c r="A16474" s="1" t="str">
        <f t="shared" si="618"/>
        <v>28140</v>
      </c>
      <c r="B16474" s="1" t="str">
        <f>"64198"</f>
        <v>64198</v>
      </c>
      <c r="C16474" s="2">
        <v>0</v>
      </c>
      <c r="D16474" s="2">
        <v>0</v>
      </c>
      <c r="E16474" s="2">
        <v>5.1984508616432299E-5</v>
      </c>
      <c r="F16474" s="2">
        <v>1.77513795040797E-6</v>
      </c>
    </row>
    <row r="16475" spans="1:6" x14ac:dyDescent="0.25">
      <c r="A16475" s="1" t="str">
        <f t="shared" si="618"/>
        <v>28140</v>
      </c>
      <c r="B16475" s="1" t="str">
        <f>"64647"</f>
        <v>64647</v>
      </c>
      <c r="C16475" s="2">
        <v>1.9971241412366099E-6</v>
      </c>
      <c r="D16475" s="2">
        <v>0</v>
      </c>
      <c r="E16475" s="2">
        <v>0</v>
      </c>
      <c r="F16475" s="2">
        <v>1.77513795040797E-6</v>
      </c>
    </row>
    <row r="16476" spans="1:6" x14ac:dyDescent="0.25">
      <c r="A16476" s="1" t="str">
        <f t="shared" si="618"/>
        <v>28140</v>
      </c>
      <c r="B16476" s="1" t="str">
        <f>"66036"</f>
        <v>66036</v>
      </c>
      <c r="C16476" s="2">
        <v>0</v>
      </c>
      <c r="D16476" s="2">
        <v>0</v>
      </c>
      <c r="E16476" s="2">
        <v>2.5992254308216098E-5</v>
      </c>
      <c r="F16476" s="2">
        <v>8.87568975203985E-7</v>
      </c>
    </row>
    <row r="16477" spans="1:6" x14ac:dyDescent="0.25">
      <c r="A16477" s="1" t="str">
        <f t="shared" si="618"/>
        <v>28140</v>
      </c>
      <c r="B16477" s="1" t="str">
        <f>"66276"</f>
        <v>66276</v>
      </c>
      <c r="C16477" s="2">
        <v>0</v>
      </c>
      <c r="D16477" s="2">
        <v>0</v>
      </c>
      <c r="E16477" s="2">
        <v>2.5992254308216098E-5</v>
      </c>
      <c r="F16477" s="2">
        <v>8.87568975203985E-7</v>
      </c>
    </row>
    <row r="16478" spans="1:6" x14ac:dyDescent="0.25">
      <c r="A16478" s="1" t="str">
        <f t="shared" si="618"/>
        <v>28140</v>
      </c>
      <c r="B16478" s="1" t="str">
        <f>"64474"</f>
        <v>64474</v>
      </c>
      <c r="C16478" s="2">
        <v>5.0926665601533701E-5</v>
      </c>
      <c r="D16478" s="2">
        <v>1.15260488704472E-5</v>
      </c>
      <c r="E16478" s="2">
        <v>0</v>
      </c>
      <c r="F16478" s="2">
        <v>4.6153586710607198E-5</v>
      </c>
    </row>
    <row r="16479" spans="1:6" x14ac:dyDescent="0.25">
      <c r="A16479" s="1" t="str">
        <f t="shared" si="618"/>
        <v>28140</v>
      </c>
      <c r="B16479" s="1" t="str">
        <f>"64166"</f>
        <v>64166</v>
      </c>
      <c r="C16479" s="2">
        <v>1.10840389838632E-4</v>
      </c>
      <c r="D16479" s="2">
        <v>0</v>
      </c>
      <c r="E16479" s="2">
        <v>2.5992254308216098E-5</v>
      </c>
      <c r="F16479" s="2">
        <v>9.94077252228463E-5</v>
      </c>
    </row>
    <row r="16480" spans="1:6" x14ac:dyDescent="0.25">
      <c r="A16480" s="1" t="str">
        <f t="shared" si="618"/>
        <v>28140</v>
      </c>
      <c r="B16480" s="1" t="str">
        <f>"66282"</f>
        <v>66282</v>
      </c>
      <c r="C16480" s="2">
        <v>7.8087553922351804E-4</v>
      </c>
      <c r="D16480" s="2">
        <v>2.98524665744582E-3</v>
      </c>
      <c r="E16480" s="2">
        <v>5.1984508616432299E-5</v>
      </c>
      <c r="F16480" s="2">
        <v>9.2573444113775599E-4</v>
      </c>
    </row>
    <row r="16481" spans="1:6" x14ac:dyDescent="0.25">
      <c r="A16481" s="1" t="str">
        <f t="shared" si="618"/>
        <v>28140</v>
      </c>
      <c r="B16481" s="1" t="str">
        <f>"66767"</f>
        <v>66767</v>
      </c>
      <c r="C16481" s="2">
        <v>2.3965489694839401E-4</v>
      </c>
      <c r="D16481" s="2">
        <v>1.15260488704472E-4</v>
      </c>
      <c r="E16481" s="2">
        <v>7.7976762924648397E-5</v>
      </c>
      <c r="F16481" s="2">
        <v>2.24554950726608E-4</v>
      </c>
    </row>
    <row r="16482" spans="1:6" x14ac:dyDescent="0.25">
      <c r="A16482" s="1" t="str">
        <f t="shared" ref="A16482:A16545" si="619">"28140"</f>
        <v>28140</v>
      </c>
      <c r="B16482" s="1" t="str">
        <f>"66106"</f>
        <v>66106</v>
      </c>
      <c r="C16482" s="2">
        <v>9.9406854130052701E-3</v>
      </c>
      <c r="D16482" s="2">
        <v>8.8289534347625598E-3</v>
      </c>
      <c r="E16482" s="2">
        <v>3.1970472799105801E-3</v>
      </c>
      <c r="F16482" s="2">
        <v>9.6247979671120094E-3</v>
      </c>
    </row>
    <row r="16483" spans="1:6" x14ac:dyDescent="0.25">
      <c r="A16483" s="1" t="str">
        <f t="shared" si="619"/>
        <v>28140</v>
      </c>
      <c r="B16483" s="1" t="str">
        <f>"66105"</f>
        <v>66105</v>
      </c>
      <c r="C16483" s="2">
        <v>1.0434973637961299E-3</v>
      </c>
      <c r="D16483" s="2">
        <v>5.8437067773167298E-3</v>
      </c>
      <c r="E16483" s="2">
        <v>7.5377537493826797E-4</v>
      </c>
      <c r="F16483" s="2">
        <v>1.4032465497975E-3</v>
      </c>
    </row>
    <row r="16484" spans="1:6" x14ac:dyDescent="0.25">
      <c r="A16484" s="1" t="str">
        <f t="shared" si="619"/>
        <v>28140</v>
      </c>
      <c r="B16484" s="1" t="str">
        <f>"66115"</f>
        <v>66115</v>
      </c>
      <c r="C16484" s="2">
        <v>4.9928103530915402E-6</v>
      </c>
      <c r="D16484" s="2">
        <v>1.9363762102351299E-3</v>
      </c>
      <c r="E16484" s="2">
        <v>2.33930288773945E-4</v>
      </c>
      <c r="F16484" s="2">
        <v>1.6153755348712501E-4</v>
      </c>
    </row>
    <row r="16485" spans="1:6" x14ac:dyDescent="0.25">
      <c r="A16485" s="1" t="str">
        <f t="shared" si="619"/>
        <v>28140</v>
      </c>
      <c r="B16485" s="1" t="str">
        <f>"66283"</f>
        <v>66283</v>
      </c>
      <c r="C16485" s="2">
        <v>3.4150822815146102E-4</v>
      </c>
      <c r="D16485" s="2">
        <v>4.7602581834946898E-3</v>
      </c>
      <c r="E16485" s="2">
        <v>5.1984508616432299E-5</v>
      </c>
      <c r="F16485" s="2">
        <v>6.7188971422941699E-4</v>
      </c>
    </row>
    <row r="16486" spans="1:6" x14ac:dyDescent="0.25">
      <c r="A16486" s="1" t="str">
        <f t="shared" si="619"/>
        <v>28140</v>
      </c>
      <c r="B16486" s="1" t="str">
        <f>"66063"</f>
        <v>66063</v>
      </c>
      <c r="C16486" s="2">
        <v>9.5462533951110398E-4</v>
      </c>
      <c r="D16486" s="2">
        <v>5.5209774089442099E-3</v>
      </c>
      <c r="E16486" s="2">
        <v>2.5992254308216098E-5</v>
      </c>
      <c r="F16486" s="2">
        <v>1.2745490483929199E-3</v>
      </c>
    </row>
    <row r="16487" spans="1:6" x14ac:dyDescent="0.25">
      <c r="A16487" s="1" t="str">
        <f t="shared" si="619"/>
        <v>28140</v>
      </c>
      <c r="B16487" s="1" t="str">
        <f>"66118"</f>
        <v>66118</v>
      </c>
      <c r="C16487" s="2">
        <v>0</v>
      </c>
      <c r="D16487" s="2">
        <v>7.9529737206085699E-4</v>
      </c>
      <c r="E16487" s="2">
        <v>5.1984508616432299E-5</v>
      </c>
      <c r="F16487" s="2">
        <v>6.3017397239482895E-5</v>
      </c>
    </row>
    <row r="16488" spans="1:6" x14ac:dyDescent="0.25">
      <c r="A16488" s="1" t="str">
        <f t="shared" si="619"/>
        <v>28140</v>
      </c>
      <c r="B16488" s="1" t="str">
        <f>"64125"</f>
        <v>64125</v>
      </c>
      <c r="C16488" s="2">
        <v>9.1168717047451601E-4</v>
      </c>
      <c r="D16488" s="2">
        <v>1.15260488704472E-3</v>
      </c>
      <c r="E16488" s="2">
        <v>6.2381410339718696E-4</v>
      </c>
      <c r="F16488" s="2">
        <v>9.2040902728653302E-4</v>
      </c>
    </row>
    <row r="16489" spans="1:6" x14ac:dyDescent="0.25">
      <c r="A16489" s="1" t="str">
        <f t="shared" si="619"/>
        <v>28140</v>
      </c>
      <c r="B16489" s="1" t="str">
        <f>"64111"</f>
        <v>64111</v>
      </c>
      <c r="C16489" s="2">
        <v>1.2672751238216901E-2</v>
      </c>
      <c r="D16489" s="2">
        <v>2.1058091286307E-2</v>
      </c>
      <c r="E16489" s="2">
        <v>5.65591453746783E-2</v>
      </c>
      <c r="F16489" s="2">
        <v>1.48170764720553E-2</v>
      </c>
    </row>
    <row r="16490" spans="1:6" x14ac:dyDescent="0.25">
      <c r="A16490" s="1" t="str">
        <f t="shared" si="619"/>
        <v>28140</v>
      </c>
      <c r="B16490" s="1" t="str">
        <f>"64112"</f>
        <v>64112</v>
      </c>
      <c r="C16490" s="2">
        <v>6.8870826010544797E-3</v>
      </c>
      <c r="D16490" s="2">
        <v>9.6703550023051997E-3</v>
      </c>
      <c r="E16490" s="2">
        <v>1.66350427572583E-2</v>
      </c>
      <c r="F16490" s="2">
        <v>7.4342777363085796E-3</v>
      </c>
    </row>
    <row r="16491" spans="1:6" x14ac:dyDescent="0.25">
      <c r="A16491" s="1" t="str">
        <f t="shared" si="619"/>
        <v>28140</v>
      </c>
      <c r="B16491" s="1" t="str">
        <f>"64119"</f>
        <v>64119</v>
      </c>
      <c r="C16491" s="2">
        <v>1.4006830164563E-2</v>
      </c>
      <c r="D16491" s="2">
        <v>8.7597971415398802E-3</v>
      </c>
      <c r="E16491" s="2">
        <v>9.6171340940399697E-3</v>
      </c>
      <c r="F16491" s="2">
        <v>1.34528829571668E-2</v>
      </c>
    </row>
    <row r="16492" spans="1:6" x14ac:dyDescent="0.25">
      <c r="A16492" s="1" t="str">
        <f t="shared" si="619"/>
        <v>28140</v>
      </c>
      <c r="B16492" s="1" t="str">
        <f>"64124"</f>
        <v>64124</v>
      </c>
      <c r="C16492" s="2">
        <v>5.6258987058635497E-3</v>
      </c>
      <c r="D16492" s="2">
        <v>3.8151221761180201E-3</v>
      </c>
      <c r="E16492" s="2">
        <v>1.7648740675278701E-2</v>
      </c>
      <c r="F16492" s="2">
        <v>5.8970082712552696E-3</v>
      </c>
    </row>
    <row r="16493" spans="1:6" x14ac:dyDescent="0.25">
      <c r="A16493" s="1" t="str">
        <f t="shared" si="619"/>
        <v>28140</v>
      </c>
      <c r="B16493" s="1" t="str">
        <f>"64128"</f>
        <v>64128</v>
      </c>
      <c r="C16493" s="2">
        <v>6.7692522767215197E-3</v>
      </c>
      <c r="D16493" s="2">
        <v>3.3656062701705801E-3</v>
      </c>
      <c r="E16493" s="2">
        <v>9.4611805681906695E-3</v>
      </c>
      <c r="F16493" s="2">
        <v>6.5990753306416298E-3</v>
      </c>
    </row>
    <row r="16494" spans="1:6" x14ac:dyDescent="0.25">
      <c r="A16494" s="1" t="str">
        <f t="shared" si="619"/>
        <v>28140</v>
      </c>
      <c r="B16494" s="1" t="str">
        <f>"64134"</f>
        <v>64134</v>
      </c>
      <c r="C16494" s="2">
        <v>1.0005591947595399E-2</v>
      </c>
      <c r="D16494" s="2">
        <v>6.6159520516366902E-3</v>
      </c>
      <c r="E16494" s="2">
        <v>1.6609050502950098E-2</v>
      </c>
      <c r="F16494" s="2">
        <v>9.9700622984663593E-3</v>
      </c>
    </row>
    <row r="16495" spans="1:6" x14ac:dyDescent="0.25">
      <c r="A16495" s="1" t="str">
        <f t="shared" si="619"/>
        <v>28140</v>
      </c>
      <c r="B16495" s="1" t="str">
        <f>"64138"</f>
        <v>64138</v>
      </c>
      <c r="C16495" s="2">
        <v>1.1741092826330001E-2</v>
      </c>
      <c r="D16495" s="2">
        <v>6.7888427846934003E-3</v>
      </c>
      <c r="E16495" s="2">
        <v>1.4477685649676299E-2</v>
      </c>
      <c r="F16495" s="2">
        <v>1.14531900560322E-2</v>
      </c>
    </row>
    <row r="16496" spans="1:6" x14ac:dyDescent="0.25">
      <c r="A16496" s="1" t="str">
        <f t="shared" si="619"/>
        <v>28140</v>
      </c>
      <c r="B16496" s="1" t="str">
        <f>"64644"</f>
        <v>64644</v>
      </c>
      <c r="C16496" s="2">
        <v>1.33407892634606E-3</v>
      </c>
      <c r="D16496" s="2">
        <v>1.4522821576763399E-3</v>
      </c>
      <c r="E16496" s="2">
        <v>9.0972890078756504E-4</v>
      </c>
      <c r="F16496" s="2">
        <v>1.32869075588036E-3</v>
      </c>
    </row>
    <row r="16497" spans="1:6" x14ac:dyDescent="0.25">
      <c r="A16497" s="1" t="str">
        <f t="shared" si="619"/>
        <v>28140</v>
      </c>
      <c r="B16497" s="1" t="str">
        <f>"64720"</f>
        <v>64720</v>
      </c>
      <c r="C16497" s="2">
        <v>1.72551525802843E-3</v>
      </c>
      <c r="D16497" s="2">
        <v>5.8782849239280696E-4</v>
      </c>
      <c r="E16497" s="2">
        <v>3.3789930600680899E-4</v>
      </c>
      <c r="F16497" s="2">
        <v>1.5905236035655399E-3</v>
      </c>
    </row>
    <row r="16498" spans="1:6" x14ac:dyDescent="0.25">
      <c r="A16498" s="1" t="str">
        <f t="shared" si="619"/>
        <v>28140</v>
      </c>
      <c r="B16498" s="1" t="str">
        <f>"64722"</f>
        <v>64722</v>
      </c>
      <c r="C16498" s="2">
        <v>2.0670234861799001E-4</v>
      </c>
      <c r="D16498" s="2">
        <v>5.7630244352235998E-5</v>
      </c>
      <c r="E16498" s="2">
        <v>2.5992254308216098E-5</v>
      </c>
      <c r="F16498" s="2">
        <v>1.8905219171844799E-4</v>
      </c>
    </row>
    <row r="16499" spans="1:6" x14ac:dyDescent="0.25">
      <c r="A16499" s="1" t="str">
        <f t="shared" si="619"/>
        <v>28140</v>
      </c>
      <c r="B16499" s="1" t="str">
        <f>"64030"</f>
        <v>64030</v>
      </c>
      <c r="C16499" s="2">
        <v>1.2363196996325199E-2</v>
      </c>
      <c r="D16499" s="2">
        <v>1.4799446749654201E-2</v>
      </c>
      <c r="E16499" s="2">
        <v>2.0611857666415399E-2</v>
      </c>
      <c r="F16499" s="2">
        <v>1.2832472243499199E-2</v>
      </c>
    </row>
    <row r="16500" spans="1:6" x14ac:dyDescent="0.25">
      <c r="A16500" s="1" t="str">
        <f t="shared" si="619"/>
        <v>28140</v>
      </c>
      <c r="B16500" s="1" t="str">
        <f>"64058"</f>
        <v>64058</v>
      </c>
      <c r="C16500" s="2">
        <v>2.5353490972998801E-3</v>
      </c>
      <c r="D16500" s="2">
        <v>1.0027662517289001E-3</v>
      </c>
      <c r="E16500" s="2">
        <v>3.6389156031502602E-4</v>
      </c>
      <c r="F16500" s="2">
        <v>2.3431820945385199E-3</v>
      </c>
    </row>
    <row r="16501" spans="1:6" x14ac:dyDescent="0.25">
      <c r="A16501" s="1" t="str">
        <f t="shared" si="619"/>
        <v>28140</v>
      </c>
      <c r="B16501" s="1" t="str">
        <f>"64054"</f>
        <v>64054</v>
      </c>
      <c r="C16501" s="2">
        <v>1.9042578686691101E-3</v>
      </c>
      <c r="D16501" s="2">
        <v>1.25633932687874E-3</v>
      </c>
      <c r="E16501" s="2">
        <v>8.3175213786291602E-4</v>
      </c>
      <c r="F16501" s="2">
        <v>1.81774126121776E-3</v>
      </c>
    </row>
    <row r="16502" spans="1:6" x14ac:dyDescent="0.25">
      <c r="A16502" s="1" t="str">
        <f t="shared" si="619"/>
        <v>28140</v>
      </c>
      <c r="B16502" s="1" t="str">
        <f>"64064"</f>
        <v>64064</v>
      </c>
      <c r="C16502" s="2">
        <v>8.2171672791180594E-3</v>
      </c>
      <c r="D16502" s="2">
        <v>8.7713231904103205E-3</v>
      </c>
      <c r="E16502" s="2">
        <v>4.3666987237803096E-3</v>
      </c>
      <c r="F16502" s="2">
        <v>8.1283566749180899E-3</v>
      </c>
    </row>
    <row r="16503" spans="1:6" x14ac:dyDescent="0.25">
      <c r="A16503" s="1" t="str">
        <f t="shared" si="619"/>
        <v>28140</v>
      </c>
      <c r="B16503" s="1" t="str">
        <f>"64069"</f>
        <v>64069</v>
      </c>
      <c r="C16503" s="2">
        <v>7.74884166799808E-4</v>
      </c>
      <c r="D16503" s="2">
        <v>4.0917473490087496E-3</v>
      </c>
      <c r="E16503" s="2">
        <v>5.1984508616432299E-5</v>
      </c>
      <c r="F16503" s="2">
        <v>1.0056156489061099E-3</v>
      </c>
    </row>
    <row r="16504" spans="1:6" x14ac:dyDescent="0.25">
      <c r="A16504" s="1" t="str">
        <f t="shared" si="619"/>
        <v>28140</v>
      </c>
      <c r="B16504" s="1" t="str">
        <f>"64082"</f>
        <v>64082</v>
      </c>
      <c r="C16504" s="2">
        <v>6.7173270490493604E-3</v>
      </c>
      <c r="D16504" s="2">
        <v>2.39741816505301E-3</v>
      </c>
      <c r="E16504" s="2">
        <v>1.0136979180204199E-3</v>
      </c>
      <c r="F16504" s="2">
        <v>6.18990603307259E-3</v>
      </c>
    </row>
    <row r="16505" spans="1:6" x14ac:dyDescent="0.25">
      <c r="A16505" s="1" t="str">
        <f t="shared" si="619"/>
        <v>28140</v>
      </c>
      <c r="B16505" s="1" t="str">
        <f>"66286"</f>
        <v>66286</v>
      </c>
      <c r="C16505" s="2">
        <v>4.55344304201949E-4</v>
      </c>
      <c r="D16505" s="2">
        <v>3.2388197325956599E-3</v>
      </c>
      <c r="E16505" s="2">
        <v>5.1984508616432299E-5</v>
      </c>
      <c r="F16505" s="2">
        <v>6.5591347267574495E-4</v>
      </c>
    </row>
    <row r="16506" spans="1:6" x14ac:dyDescent="0.25">
      <c r="A16506" s="1" t="str">
        <f t="shared" si="619"/>
        <v>28140</v>
      </c>
      <c r="B16506" s="1" t="str">
        <f>"66071"</f>
        <v>66071</v>
      </c>
      <c r="C16506" s="2">
        <v>5.8056398785748496E-3</v>
      </c>
      <c r="D16506" s="2">
        <v>6.7657906869525103E-3</v>
      </c>
      <c r="E16506" s="2">
        <v>2.62521768512983E-3</v>
      </c>
      <c r="F16506" s="2">
        <v>5.7709734767763098E-3</v>
      </c>
    </row>
    <row r="16507" spans="1:6" x14ac:dyDescent="0.25">
      <c r="A16507" s="1" t="str">
        <f t="shared" si="619"/>
        <v>28140</v>
      </c>
      <c r="B16507" s="1" t="str">
        <f>"66062"</f>
        <v>66062</v>
      </c>
      <c r="C16507" s="2">
        <v>2.94785508867231E-2</v>
      </c>
      <c r="D16507" s="2">
        <v>2.6890272014753299E-2</v>
      </c>
      <c r="E16507" s="2">
        <v>2.3237075351545199E-2</v>
      </c>
      <c r="F16507" s="2">
        <v>2.90661087999801E-2</v>
      </c>
    </row>
    <row r="16508" spans="1:6" x14ac:dyDescent="0.25">
      <c r="A16508" s="1" t="str">
        <f t="shared" si="619"/>
        <v>28140</v>
      </c>
      <c r="B16508" s="1" t="str">
        <f>"66027"</f>
        <v>66027</v>
      </c>
      <c r="C16508" s="2">
        <v>2.1159530276401899E-3</v>
      </c>
      <c r="D16508" s="2">
        <v>2.0631627478100499E-3</v>
      </c>
      <c r="E16508" s="2">
        <v>1.8194578015751301E-3</v>
      </c>
      <c r="F16508" s="2">
        <v>2.1017633332830301E-3</v>
      </c>
    </row>
    <row r="16509" spans="1:6" x14ac:dyDescent="0.25">
      <c r="A16509" s="1" t="str">
        <f t="shared" si="619"/>
        <v>28140</v>
      </c>
      <c r="B16509" s="1" t="str">
        <f>"66052"</f>
        <v>66052</v>
      </c>
      <c r="C16509" s="2">
        <v>8.7773606007349398E-4</v>
      </c>
      <c r="D16509" s="2">
        <v>1.3831258644536601E-4</v>
      </c>
      <c r="E16509" s="2">
        <v>7.7976762924648397E-5</v>
      </c>
      <c r="F16509" s="2">
        <v>7.9348666383236303E-4</v>
      </c>
    </row>
    <row r="16510" spans="1:6" x14ac:dyDescent="0.25">
      <c r="A16510" s="1" t="str">
        <f t="shared" si="619"/>
        <v>28140</v>
      </c>
      <c r="B16510" s="1" t="str">
        <f>"64156"</f>
        <v>64156</v>
      </c>
      <c r="C16510" s="2">
        <v>3.00766895670234E-3</v>
      </c>
      <c r="D16510" s="2">
        <v>2.6509912402028501E-4</v>
      </c>
      <c r="E16510" s="2">
        <v>3.1710550256023699E-3</v>
      </c>
      <c r="F16510" s="2">
        <v>2.8020552547189802E-3</v>
      </c>
    </row>
    <row r="16511" spans="1:6" x14ac:dyDescent="0.25">
      <c r="A16511" s="1" t="str">
        <f t="shared" si="619"/>
        <v>28140</v>
      </c>
      <c r="B16511" s="1" t="str">
        <f>"64147"</f>
        <v>64147</v>
      </c>
      <c r="C16511" s="2">
        <v>3.2752835916280502E-4</v>
      </c>
      <c r="D16511" s="2">
        <v>9.5666205624711802E-4</v>
      </c>
      <c r="E16511" s="2">
        <v>1.09167468094507E-3</v>
      </c>
      <c r="F16511" s="2">
        <v>4.0206874576740502E-4</v>
      </c>
    </row>
    <row r="16512" spans="1:6" x14ac:dyDescent="0.25">
      <c r="A16512" s="1" t="str">
        <f t="shared" si="619"/>
        <v>28140</v>
      </c>
      <c r="B16512" s="1" t="str">
        <f>"64139"</f>
        <v>64139</v>
      </c>
      <c r="C16512" s="2">
        <v>9.0369867390956995E-4</v>
      </c>
      <c r="D16512" s="2">
        <v>2.6509912402028501E-4</v>
      </c>
      <c r="E16512" s="2">
        <v>6.7579861201361895E-4</v>
      </c>
      <c r="F16512" s="2">
        <v>8.4674080234460201E-4</v>
      </c>
    </row>
    <row r="16513" spans="1:6" x14ac:dyDescent="0.25">
      <c r="A16513" s="1" t="str">
        <f t="shared" si="619"/>
        <v>28140</v>
      </c>
      <c r="B16513" s="1" t="str">
        <f>"64730"</f>
        <v>64730</v>
      </c>
      <c r="C16513" s="2">
        <v>3.3162246365234E-3</v>
      </c>
      <c r="D16513" s="2">
        <v>4.2646380820654597E-3</v>
      </c>
      <c r="E16513" s="2">
        <v>1.53354300418475E-3</v>
      </c>
      <c r="F16513" s="2">
        <v>3.3283836570149401E-3</v>
      </c>
    </row>
    <row r="16514" spans="1:6" x14ac:dyDescent="0.25">
      <c r="A16514" s="1" t="str">
        <f t="shared" si="619"/>
        <v>28140</v>
      </c>
      <c r="B16514" s="1" t="str">
        <f>"64747"</f>
        <v>64747</v>
      </c>
      <c r="C16514" s="2">
        <v>1.54777120945837E-3</v>
      </c>
      <c r="D16514" s="2">
        <v>6.1088059013370195E-4</v>
      </c>
      <c r="E16514" s="2">
        <v>5.1984508616432297E-4</v>
      </c>
      <c r="F16514" s="2">
        <v>1.44052444675606E-3</v>
      </c>
    </row>
    <row r="16515" spans="1:6" x14ac:dyDescent="0.25">
      <c r="A16515" s="1" t="str">
        <f t="shared" si="619"/>
        <v>28140</v>
      </c>
      <c r="B16515" s="1" t="str">
        <f>"64015"</f>
        <v>64015</v>
      </c>
      <c r="C16515" s="2">
        <v>1.32359402460456E-2</v>
      </c>
      <c r="D16515" s="2">
        <v>1.24711848778238E-2</v>
      </c>
      <c r="E16515" s="2">
        <v>8.6554206846359699E-3</v>
      </c>
      <c r="F16515" s="2">
        <v>1.3020636866242399E-2</v>
      </c>
    </row>
    <row r="16516" spans="1:6" x14ac:dyDescent="0.25">
      <c r="A16516" s="1" t="str">
        <f t="shared" si="619"/>
        <v>28140</v>
      </c>
      <c r="B16516" s="1" t="str">
        <f>"64024"</f>
        <v>64024</v>
      </c>
      <c r="C16516" s="2">
        <v>7.1896469084518199E-3</v>
      </c>
      <c r="D16516" s="2">
        <v>6.0281235592438897E-3</v>
      </c>
      <c r="E16516" s="2">
        <v>2.00140358173264E-2</v>
      </c>
      <c r="F16516" s="2">
        <v>7.5381233064074401E-3</v>
      </c>
    </row>
    <row r="16517" spans="1:6" x14ac:dyDescent="0.25">
      <c r="A16517" s="1" t="str">
        <f t="shared" si="619"/>
        <v>28140</v>
      </c>
      <c r="B16517" s="1" t="str">
        <f>"64057"</f>
        <v>64057</v>
      </c>
      <c r="C16517" s="2">
        <v>6.9829445598338299E-3</v>
      </c>
      <c r="D16517" s="2">
        <v>9.0940525587828395E-3</v>
      </c>
      <c r="E16517" s="2">
        <v>1.00070179086632E-2</v>
      </c>
      <c r="F16517" s="2">
        <v>7.2487758204909398E-3</v>
      </c>
    </row>
    <row r="16518" spans="1:6" x14ac:dyDescent="0.25">
      <c r="A16518" s="1" t="str">
        <f t="shared" si="619"/>
        <v>28140</v>
      </c>
      <c r="B16518" s="1" t="str">
        <f>"64020"</f>
        <v>64020</v>
      </c>
      <c r="C16518" s="2">
        <v>1.57573094743569E-3</v>
      </c>
      <c r="D16518" s="2">
        <v>8.9903181189488195E-4</v>
      </c>
      <c r="E16518" s="2">
        <v>1.5075507498765301E-3</v>
      </c>
      <c r="F16518" s="2">
        <v>1.52129322349963E-3</v>
      </c>
    </row>
    <row r="16519" spans="1:6" x14ac:dyDescent="0.25">
      <c r="A16519" s="1" t="str">
        <f t="shared" si="619"/>
        <v>28140</v>
      </c>
      <c r="B16519" s="1" t="str">
        <f>"64034"</f>
        <v>64034</v>
      </c>
      <c r="C16519" s="2">
        <v>3.2912605847579398E-3</v>
      </c>
      <c r="D16519" s="2">
        <v>8.2987551867219904E-4</v>
      </c>
      <c r="E16519" s="2">
        <v>8.3175213786291602E-4</v>
      </c>
      <c r="F16519" s="2">
        <v>3.0177345156935501E-3</v>
      </c>
    </row>
    <row r="16520" spans="1:6" x14ac:dyDescent="0.25">
      <c r="A16520" s="1" t="str">
        <f t="shared" si="619"/>
        <v>28140</v>
      </c>
      <c r="B16520" s="1" t="str">
        <f>"64074"</f>
        <v>64074</v>
      </c>
      <c r="C16520" s="2">
        <v>2.8159450391436301E-4</v>
      </c>
      <c r="D16520" s="2">
        <v>1.15260488704472E-5</v>
      </c>
      <c r="E16520" s="2">
        <v>5.1984508616432299E-5</v>
      </c>
      <c r="F16520" s="2">
        <v>2.5295715793313499E-4</v>
      </c>
    </row>
    <row r="16521" spans="1:6" x14ac:dyDescent="0.25">
      <c r="A16521" s="1" t="str">
        <f t="shared" si="619"/>
        <v>28140</v>
      </c>
      <c r="B16521" s="1" t="str">
        <f>"64078"</f>
        <v>64078</v>
      </c>
      <c r="C16521" s="2">
        <v>4.1410369068541298E-3</v>
      </c>
      <c r="D16521" s="2">
        <v>1.9940064545873599E-3</v>
      </c>
      <c r="E16521" s="2">
        <v>2.9631169911366398E-3</v>
      </c>
      <c r="F16521" s="2">
        <v>3.9354808360544703E-3</v>
      </c>
    </row>
    <row r="16522" spans="1:6" x14ac:dyDescent="0.25">
      <c r="A16522" s="1" t="str">
        <f t="shared" si="619"/>
        <v>28140</v>
      </c>
      <c r="B16522" s="1" t="str">
        <f>"66083"</f>
        <v>66083</v>
      </c>
      <c r="C16522" s="2">
        <v>4.6812589870586299E-3</v>
      </c>
      <c r="D16522" s="2">
        <v>2.2014753342554099E-3</v>
      </c>
      <c r="E16522" s="2">
        <v>1.4815584955683199E-3</v>
      </c>
      <c r="F16522" s="2">
        <v>4.38104046160687E-3</v>
      </c>
    </row>
    <row r="16523" spans="1:6" x14ac:dyDescent="0.25">
      <c r="A16523" s="1" t="str">
        <f t="shared" si="619"/>
        <v>28140</v>
      </c>
      <c r="B16523" s="1" t="str">
        <f>"66109"</f>
        <v>66109</v>
      </c>
      <c r="C16523" s="2">
        <v>1.0599736379613299E-2</v>
      </c>
      <c r="D16523" s="2">
        <v>2.89303826648224E-3</v>
      </c>
      <c r="E16523" s="2">
        <v>2.3133106334312301E-3</v>
      </c>
      <c r="F16523" s="2">
        <v>9.7233181233596592E-3</v>
      </c>
    </row>
    <row r="16524" spans="1:6" x14ac:dyDescent="0.25">
      <c r="A16524" s="1" t="str">
        <f t="shared" si="619"/>
        <v>28140</v>
      </c>
      <c r="B16524" s="1" t="str">
        <f>"66202"</f>
        <v>66202</v>
      </c>
      <c r="C16524" s="2">
        <v>9.1218645150982491E-3</v>
      </c>
      <c r="D16524" s="2">
        <v>1.3842784693407099E-2</v>
      </c>
      <c r="E16524" s="2">
        <v>1.5803290619395401E-2</v>
      </c>
      <c r="F16524" s="2">
        <v>9.7135548646324101E-3</v>
      </c>
    </row>
    <row r="16525" spans="1:6" x14ac:dyDescent="0.25">
      <c r="A16525" s="1" t="str">
        <f t="shared" si="619"/>
        <v>28140</v>
      </c>
      <c r="B16525" s="1" t="str">
        <f>"66061"</f>
        <v>66061</v>
      </c>
      <c r="C16525" s="2">
        <v>2.53435053522926E-2</v>
      </c>
      <c r="D16525" s="2">
        <v>2.00437989857076E-2</v>
      </c>
      <c r="E16525" s="2">
        <v>1.46596314298339E-2</v>
      </c>
      <c r="F16525" s="2">
        <v>2.4570571940571901E-2</v>
      </c>
    </row>
    <row r="16526" spans="1:6" x14ac:dyDescent="0.25">
      <c r="A16526" s="1" t="str">
        <f t="shared" si="619"/>
        <v>28140</v>
      </c>
      <c r="B16526" s="1" t="str">
        <f>"66075"</f>
        <v>66075</v>
      </c>
      <c r="C16526" s="2">
        <v>1.2122543537306199E-3</v>
      </c>
      <c r="D16526" s="2">
        <v>9.1055786076532901E-4</v>
      </c>
      <c r="E16526" s="2">
        <v>1.8194578015751301E-4</v>
      </c>
      <c r="F16526" s="2">
        <v>1.15383966776518E-3</v>
      </c>
    </row>
    <row r="16527" spans="1:6" x14ac:dyDescent="0.25">
      <c r="A16527" s="1" t="str">
        <f t="shared" si="619"/>
        <v>28140</v>
      </c>
      <c r="B16527" s="1" t="str">
        <f>"66211"</f>
        <v>66211</v>
      </c>
      <c r="C16527" s="2">
        <v>2.6152340629493499E-3</v>
      </c>
      <c r="D16527" s="2">
        <v>1.49262332872291E-2</v>
      </c>
      <c r="E16527" s="2">
        <v>8.0056143269305706E-3</v>
      </c>
      <c r="F16527" s="2">
        <v>3.7473162133112199E-3</v>
      </c>
    </row>
    <row r="16528" spans="1:6" x14ac:dyDescent="0.25">
      <c r="A16528" s="1" t="str">
        <f t="shared" si="619"/>
        <v>28140</v>
      </c>
      <c r="B16528" s="1" t="str">
        <f>"66013"</f>
        <v>66013</v>
      </c>
      <c r="C16528" s="2">
        <v>1.0155376258188199E-3</v>
      </c>
      <c r="D16528" s="2">
        <v>8.7597971415398804E-4</v>
      </c>
      <c r="E16528" s="2">
        <v>1.2996127154108001E-4</v>
      </c>
      <c r="F16528" s="2">
        <v>9.7455073477397596E-4</v>
      </c>
    </row>
    <row r="16529" spans="1:6" x14ac:dyDescent="0.25">
      <c r="A16529" s="1" t="str">
        <f t="shared" si="619"/>
        <v>28140</v>
      </c>
      <c r="B16529" s="1" t="str">
        <f>"66014"</f>
        <v>66014</v>
      </c>
      <c r="C16529" s="2">
        <v>3.0655855567982102E-4</v>
      </c>
      <c r="D16529" s="2">
        <v>6.9156293222683195E-5</v>
      </c>
      <c r="E16529" s="2">
        <v>5.1984508616432299E-5</v>
      </c>
      <c r="F16529" s="2">
        <v>2.7958422718925502E-4</v>
      </c>
    </row>
    <row r="16530" spans="1:6" x14ac:dyDescent="0.25">
      <c r="A16530" s="1" t="str">
        <f t="shared" si="619"/>
        <v>28140</v>
      </c>
      <c r="B16530" s="1" t="str">
        <f>"66051"</f>
        <v>66051</v>
      </c>
      <c r="C16530" s="2">
        <v>5.1026521808595596E-4</v>
      </c>
      <c r="D16530" s="2">
        <v>3.5154449054863898E-3</v>
      </c>
      <c r="E16530" s="2">
        <v>2.5992254308216098E-5</v>
      </c>
      <c r="F16530" s="2">
        <v>7.2514385274165597E-4</v>
      </c>
    </row>
    <row r="16531" spans="1:6" x14ac:dyDescent="0.25">
      <c r="A16531" s="1" t="str">
        <f t="shared" si="619"/>
        <v>28140</v>
      </c>
      <c r="B16531" s="1" t="str">
        <f>"66026"</f>
        <v>66026</v>
      </c>
      <c r="C16531" s="2">
        <v>3.0256430739734701E-4</v>
      </c>
      <c r="D16531" s="2">
        <v>5.7630244352235998E-5</v>
      </c>
      <c r="E16531" s="2">
        <v>2.5992254308216098E-5</v>
      </c>
      <c r="F16531" s="2">
        <v>2.7425881333803097E-4</v>
      </c>
    </row>
    <row r="16532" spans="1:6" x14ac:dyDescent="0.25">
      <c r="A16532" s="1" t="str">
        <f t="shared" si="619"/>
        <v>28140</v>
      </c>
      <c r="B16532" s="1" t="str">
        <f>"66020"</f>
        <v>66020</v>
      </c>
      <c r="C16532" s="2">
        <v>6.8501358044416002E-4</v>
      </c>
      <c r="D16532" s="2">
        <v>2.8815122176118E-4</v>
      </c>
      <c r="E16532" s="2">
        <v>1.03969017232864E-4</v>
      </c>
      <c r="F16532" s="2">
        <v>6.3461181727084896E-4</v>
      </c>
    </row>
    <row r="16533" spans="1:6" x14ac:dyDescent="0.25">
      <c r="A16533" s="1" t="str">
        <f t="shared" si="619"/>
        <v>28140</v>
      </c>
      <c r="B16533" s="1" t="str">
        <f>"64149"</f>
        <v>64149</v>
      </c>
      <c r="C16533" s="2">
        <v>1.60768493369547E-4</v>
      </c>
      <c r="D16533" s="2">
        <v>1.03734439834024E-4</v>
      </c>
      <c r="E16533" s="2">
        <v>2.8591479739037699E-4</v>
      </c>
      <c r="F16533" s="2">
        <v>1.60649984511921E-4</v>
      </c>
    </row>
    <row r="16534" spans="1:6" x14ac:dyDescent="0.25">
      <c r="A16534" s="1" t="str">
        <f t="shared" si="619"/>
        <v>28140</v>
      </c>
      <c r="B16534" s="1" t="str">
        <f>"66754"</f>
        <v>66754</v>
      </c>
      <c r="C16534" s="2">
        <v>1.1982744847419701E-5</v>
      </c>
      <c r="D16534" s="2">
        <v>0</v>
      </c>
      <c r="E16534" s="2">
        <v>0</v>
      </c>
      <c r="F16534" s="2">
        <v>1.06508277024478E-5</v>
      </c>
    </row>
    <row r="16535" spans="1:6" x14ac:dyDescent="0.25">
      <c r="A16535" s="1" t="str">
        <f t="shared" si="619"/>
        <v>28140</v>
      </c>
      <c r="B16535" s="1" t="str">
        <f>"64040"</f>
        <v>64040</v>
      </c>
      <c r="C16535" s="2">
        <v>6.9899344943281598E-6</v>
      </c>
      <c r="D16535" s="2">
        <v>0</v>
      </c>
      <c r="E16535" s="2">
        <v>0</v>
      </c>
      <c r="F16535" s="2">
        <v>6.2129828264278904E-6</v>
      </c>
    </row>
    <row r="16536" spans="1:6" x14ac:dyDescent="0.25">
      <c r="A16536" s="1" t="str">
        <f t="shared" si="619"/>
        <v>28140</v>
      </c>
      <c r="B16536" s="1" t="str">
        <f>"64168"</f>
        <v>64168</v>
      </c>
      <c r="C16536" s="2">
        <v>8.3180220482505099E-4</v>
      </c>
      <c r="D16536" s="2">
        <v>1.29091747349008E-3</v>
      </c>
      <c r="E16536" s="2">
        <v>5.1984508616432299E-5</v>
      </c>
      <c r="F16536" s="2">
        <v>8.4052781951817401E-4</v>
      </c>
    </row>
    <row r="16537" spans="1:6" x14ac:dyDescent="0.25">
      <c r="A16537" s="1" t="str">
        <f t="shared" si="619"/>
        <v>28140</v>
      </c>
      <c r="B16537" s="1" t="str">
        <f>"64484"</f>
        <v>64484</v>
      </c>
      <c r="C16537" s="2">
        <v>1.12837513979868E-4</v>
      </c>
      <c r="D16537" s="2">
        <v>4.6104195481788801E-5</v>
      </c>
      <c r="E16537" s="2">
        <v>0</v>
      </c>
      <c r="F16537" s="2">
        <v>1.03845570098866E-4</v>
      </c>
    </row>
    <row r="16538" spans="1:6" x14ac:dyDescent="0.25">
      <c r="A16538" s="1" t="str">
        <f t="shared" si="619"/>
        <v>28140</v>
      </c>
      <c r="B16538" s="1" t="str">
        <f>"64101"</f>
        <v>64101</v>
      </c>
      <c r="C16538" s="2">
        <v>3.8943920754114002E-5</v>
      </c>
      <c r="D16538" s="2">
        <v>2.2130013831258601E-3</v>
      </c>
      <c r="E16538" s="2">
        <v>2.33930288773945E-4</v>
      </c>
      <c r="F16538" s="2">
        <v>2.13016554048956E-4</v>
      </c>
    </row>
    <row r="16539" spans="1:6" x14ac:dyDescent="0.25">
      <c r="A16539" s="1" t="str">
        <f t="shared" si="619"/>
        <v>28140</v>
      </c>
      <c r="B16539" s="1" t="str">
        <f>"64036"</f>
        <v>64036</v>
      </c>
      <c r="C16539" s="2">
        <v>1.6675986579325699E-4</v>
      </c>
      <c r="D16539" s="2">
        <v>2.5357307514983801E-4</v>
      </c>
      <c r="E16539" s="2">
        <v>1.2996127154108001E-4</v>
      </c>
      <c r="F16539" s="2">
        <v>1.72188381189573E-4</v>
      </c>
    </row>
    <row r="16540" spans="1:6" x14ac:dyDescent="0.25">
      <c r="A16540" s="1" t="str">
        <f t="shared" si="619"/>
        <v>28140</v>
      </c>
      <c r="B16540" s="1" t="str">
        <f>"66054"</f>
        <v>66054</v>
      </c>
      <c r="C16540" s="2">
        <v>2.8259306598498103E-4</v>
      </c>
      <c r="D16540" s="2">
        <v>2.30520977408944E-5</v>
      </c>
      <c r="E16540" s="2">
        <v>2.5992254308216098E-5</v>
      </c>
      <c r="F16540" s="2">
        <v>2.53844726908339E-4</v>
      </c>
    </row>
    <row r="16541" spans="1:6" x14ac:dyDescent="0.25">
      <c r="A16541" s="1" t="str">
        <f t="shared" si="619"/>
        <v>28140</v>
      </c>
      <c r="B16541" s="1" t="str">
        <f>"64126"</f>
        <v>64126</v>
      </c>
      <c r="C16541" s="2">
        <v>2.8928343185812399E-3</v>
      </c>
      <c r="D16541" s="2">
        <v>3.0428769017980602E-3</v>
      </c>
      <c r="E16541" s="2">
        <v>1.42957398695188E-3</v>
      </c>
      <c r="F16541" s="2">
        <v>2.85442182425601E-3</v>
      </c>
    </row>
    <row r="16542" spans="1:6" x14ac:dyDescent="0.25">
      <c r="A16542" s="1" t="str">
        <f t="shared" si="619"/>
        <v>28140</v>
      </c>
      <c r="B16542" s="1" t="str">
        <f>"64127"</f>
        <v>64127</v>
      </c>
      <c r="C16542" s="2">
        <v>9.1518213772168004E-3</v>
      </c>
      <c r="D16542" s="2">
        <v>9.90087597971415E-3</v>
      </c>
      <c r="E16542" s="2">
        <v>1.0240948197437099E-2</v>
      </c>
      <c r="F16542" s="2">
        <v>9.2466935836751207E-3</v>
      </c>
    </row>
    <row r="16543" spans="1:6" x14ac:dyDescent="0.25">
      <c r="A16543" s="1" t="str">
        <f t="shared" si="619"/>
        <v>28140</v>
      </c>
      <c r="B16543" s="1" t="str">
        <f>"64096"</f>
        <v>64096</v>
      </c>
      <c r="C16543" s="2">
        <v>5.2124940086275705E-4</v>
      </c>
      <c r="D16543" s="2">
        <v>3.3425541724296901E-4</v>
      </c>
      <c r="E16543" s="2">
        <v>1.5595352584929601E-4</v>
      </c>
      <c r="F16543" s="2">
        <v>4.9437591918861901E-4</v>
      </c>
    </row>
    <row r="16544" spans="1:6" x14ac:dyDescent="0.25">
      <c r="A16544" s="1" t="str">
        <f t="shared" si="619"/>
        <v>28140</v>
      </c>
      <c r="B16544" s="1" t="str">
        <f>"64132"</f>
        <v>64132</v>
      </c>
      <c r="C16544" s="2">
        <v>7.0498482185652597E-3</v>
      </c>
      <c r="D16544" s="2">
        <v>5.7399723374827096E-3</v>
      </c>
      <c r="E16544" s="2">
        <v>1.1436591895615101E-2</v>
      </c>
      <c r="F16544" s="2">
        <v>7.0987766636814702E-3</v>
      </c>
    </row>
    <row r="16545" spans="1:6" x14ac:dyDescent="0.25">
      <c r="A16545" s="1" t="str">
        <f t="shared" si="619"/>
        <v>28140</v>
      </c>
      <c r="B16545" s="1" t="str">
        <f>"64085"</f>
        <v>64085</v>
      </c>
      <c r="C16545" s="2">
        <v>4.12106566544176E-3</v>
      </c>
      <c r="D16545" s="2">
        <v>4.0917473490087496E-3</v>
      </c>
      <c r="E16545" s="2">
        <v>4.2367374522392304E-3</v>
      </c>
      <c r="F16545" s="2">
        <v>4.1227578898225103E-3</v>
      </c>
    </row>
    <row r="16546" spans="1:6" x14ac:dyDescent="0.25">
      <c r="A16546" s="1" t="str">
        <f t="shared" ref="A16546:A16614" si="620">"28140"</f>
        <v>28140</v>
      </c>
      <c r="B16546" s="1" t="str">
        <f>"64110"</f>
        <v>64110</v>
      </c>
      <c r="C16546" s="2">
        <v>8.0294376098418198E-3</v>
      </c>
      <c r="D16546" s="2">
        <v>7.2844628861226304E-3</v>
      </c>
      <c r="E16546" s="2">
        <v>1.97021287656278E-2</v>
      </c>
      <c r="F16546" s="2">
        <v>8.3706630051487794E-3</v>
      </c>
    </row>
    <row r="16547" spans="1:6" x14ac:dyDescent="0.25">
      <c r="A16547" s="1" t="str">
        <f t="shared" si="620"/>
        <v>28140</v>
      </c>
      <c r="B16547" s="1" t="str">
        <f>"64137"</f>
        <v>64137</v>
      </c>
      <c r="C16547" s="2">
        <v>4.7231985940246E-3</v>
      </c>
      <c r="D16547" s="2">
        <v>2.28215767634854E-3</v>
      </c>
      <c r="E16547" s="2">
        <v>1.5413406804772101E-2</v>
      </c>
      <c r="F16547" s="2">
        <v>4.9002683121012001E-3</v>
      </c>
    </row>
    <row r="16548" spans="1:6" x14ac:dyDescent="0.25">
      <c r="A16548" s="1" t="str">
        <f t="shared" si="620"/>
        <v>28140</v>
      </c>
      <c r="B16548" s="1" t="str">
        <f>"66042"</f>
        <v>66042</v>
      </c>
      <c r="C16548" s="2">
        <v>1.2482025882728801E-4</v>
      </c>
      <c r="D16548" s="2">
        <v>1.15260488704472E-5</v>
      </c>
      <c r="E16548" s="2">
        <v>0</v>
      </c>
      <c r="F16548" s="2">
        <v>1.11833690875702E-4</v>
      </c>
    </row>
    <row r="16549" spans="1:6" x14ac:dyDescent="0.25">
      <c r="A16549" s="1" t="str">
        <f t="shared" si="620"/>
        <v>28140</v>
      </c>
      <c r="B16549" s="1" t="str">
        <f>"64788"</f>
        <v>64788</v>
      </c>
      <c r="C16549" s="2">
        <v>8.4877776002556301E-5</v>
      </c>
      <c r="D16549" s="2">
        <v>0</v>
      </c>
      <c r="E16549" s="2">
        <v>0</v>
      </c>
      <c r="F16549" s="2">
        <v>7.5443362892338699E-5</v>
      </c>
    </row>
    <row r="16550" spans="1:6" x14ac:dyDescent="0.25">
      <c r="A16550" s="1" t="str">
        <f t="shared" si="620"/>
        <v>28140</v>
      </c>
      <c r="B16550" s="1" t="str">
        <f>"64090"</f>
        <v>64090</v>
      </c>
      <c r="C16550" s="2">
        <v>7.2895031155136602E-5</v>
      </c>
      <c r="D16550" s="2">
        <v>1.03734439834024E-4</v>
      </c>
      <c r="E16550" s="2">
        <v>2.5992254308216098E-5</v>
      </c>
      <c r="F16550" s="2">
        <v>7.3668224941930696E-5</v>
      </c>
    </row>
    <row r="16551" spans="1:6" x14ac:dyDescent="0.25">
      <c r="A16551" s="1" t="str">
        <f t="shared" si="620"/>
        <v>28140</v>
      </c>
      <c r="B16551" s="1" t="str">
        <f>"64164"</f>
        <v>64164</v>
      </c>
      <c r="C16551" s="2">
        <v>1.10840389838632E-4</v>
      </c>
      <c r="D16551" s="2">
        <v>4.6104195481788801E-5</v>
      </c>
      <c r="E16551" s="2">
        <v>2.5992254308216098E-5</v>
      </c>
      <c r="F16551" s="2">
        <v>1.0295800112366199E-4</v>
      </c>
    </row>
    <row r="16552" spans="1:6" x14ac:dyDescent="0.25">
      <c r="A16552" s="1" t="str">
        <f t="shared" si="620"/>
        <v>28140</v>
      </c>
      <c r="B16552" s="1" t="str">
        <f>"66111"</f>
        <v>66111</v>
      </c>
      <c r="C16552" s="2">
        <v>4.0461735101453896E-3</v>
      </c>
      <c r="D16552" s="2">
        <v>6.6735822959889304E-3</v>
      </c>
      <c r="E16552" s="2">
        <v>1.9754113274244199E-3</v>
      </c>
      <c r="F16552" s="2">
        <v>4.1777871662851502E-3</v>
      </c>
    </row>
    <row r="16553" spans="1:6" x14ac:dyDescent="0.25">
      <c r="A16553" s="1" t="str">
        <f t="shared" si="620"/>
        <v>28140</v>
      </c>
      <c r="B16553" s="1" t="str">
        <f>"66112"</f>
        <v>66112</v>
      </c>
      <c r="C16553" s="2">
        <v>6.3079166000958604E-3</v>
      </c>
      <c r="D16553" s="2">
        <v>7.10004610419548E-3</v>
      </c>
      <c r="E16553" s="2">
        <v>4.5746367582460397E-3</v>
      </c>
      <c r="F16553" s="2">
        <v>6.3097278447251303E-3</v>
      </c>
    </row>
    <row r="16554" spans="1:6" x14ac:dyDescent="0.25">
      <c r="A16554" s="1" t="str">
        <f t="shared" si="620"/>
        <v>28140</v>
      </c>
      <c r="B16554" s="1" t="str">
        <f>"66117"</f>
        <v>66117</v>
      </c>
      <c r="C16554" s="2">
        <v>8.1183096341268495E-4</v>
      </c>
      <c r="D16554" s="2">
        <v>1.94790225910557E-3</v>
      </c>
      <c r="E16554" s="2">
        <v>5.1984508616432299E-5</v>
      </c>
      <c r="F16554" s="2">
        <v>8.7336787160072096E-4</v>
      </c>
    </row>
    <row r="16555" spans="1:6" x14ac:dyDescent="0.25">
      <c r="A16555" s="1" t="str">
        <f t="shared" si="620"/>
        <v>28140</v>
      </c>
      <c r="B16555" s="1" t="str">
        <f>"66219"</f>
        <v>66219</v>
      </c>
      <c r="C16555" s="2">
        <v>6.6154737178463E-3</v>
      </c>
      <c r="D16555" s="2">
        <v>7.4112494236975501E-3</v>
      </c>
      <c r="E16555" s="2">
        <v>1.0188963688820701E-2</v>
      </c>
      <c r="F16555" s="2">
        <v>6.7987783500625199E-3</v>
      </c>
    </row>
    <row r="16556" spans="1:6" x14ac:dyDescent="0.25">
      <c r="A16556" s="1" t="str">
        <f t="shared" si="620"/>
        <v>28140</v>
      </c>
      <c r="B16556" s="1" t="str">
        <f>"66217"</f>
        <v>66217</v>
      </c>
      <c r="C16556" s="2">
        <v>2.6741492251158299E-3</v>
      </c>
      <c r="D16556" s="2">
        <v>1.84416781927155E-3</v>
      </c>
      <c r="E16556" s="2">
        <v>2.1573571075819398E-3</v>
      </c>
      <c r="F16556" s="2">
        <v>2.5925889765708401E-3</v>
      </c>
    </row>
    <row r="16557" spans="1:6" x14ac:dyDescent="0.25">
      <c r="A16557" s="1" t="str">
        <f t="shared" si="620"/>
        <v>28140</v>
      </c>
      <c r="B16557" s="1" t="str">
        <f>"66018"</f>
        <v>66018</v>
      </c>
      <c r="C16557" s="2">
        <v>2.60924269052564E-3</v>
      </c>
      <c r="D16557" s="2">
        <v>9.5666205624711802E-4</v>
      </c>
      <c r="E16557" s="2">
        <v>1.09167468094507E-3</v>
      </c>
      <c r="F16557" s="2">
        <v>2.43016385410851E-3</v>
      </c>
    </row>
    <row r="16558" spans="1:6" x14ac:dyDescent="0.25">
      <c r="A16558" s="1" t="str">
        <f t="shared" si="620"/>
        <v>28140</v>
      </c>
      <c r="B16558" s="1" t="str">
        <f>"64118"</f>
        <v>64118</v>
      </c>
      <c r="C16558" s="2">
        <v>1.9764539063748199E-2</v>
      </c>
      <c r="D16558" s="2">
        <v>1.17335177501152E-2</v>
      </c>
      <c r="E16558" s="2">
        <v>2.44847035583396E-2</v>
      </c>
      <c r="F16558" s="2">
        <v>1.9307287917612201E-2</v>
      </c>
    </row>
    <row r="16559" spans="1:6" x14ac:dyDescent="0.25">
      <c r="A16559" s="1" t="str">
        <f t="shared" si="620"/>
        <v>28140</v>
      </c>
      <c r="B16559" s="1" t="str">
        <f>"64130"</f>
        <v>64130</v>
      </c>
      <c r="C16559" s="2">
        <v>1.16162725675027E-2</v>
      </c>
      <c r="D16559" s="2">
        <v>7.9875518672199095E-3</v>
      </c>
      <c r="E16559" s="2">
        <v>5.2244431159514399E-3</v>
      </c>
      <c r="F16559" s="2">
        <v>1.1118576552380299E-2</v>
      </c>
    </row>
    <row r="16560" spans="1:6" x14ac:dyDescent="0.25">
      <c r="A16560" s="1" t="str">
        <f t="shared" si="620"/>
        <v>28140</v>
      </c>
      <c r="B16560" s="1" t="str">
        <f>"64131"</f>
        <v>64131</v>
      </c>
      <c r="C16560" s="2">
        <v>1.1282752835916199E-2</v>
      </c>
      <c r="D16560" s="2">
        <v>9.90087597971415E-3</v>
      </c>
      <c r="E16560" s="2">
        <v>3.02289917604553E-2</v>
      </c>
      <c r="F16560" s="2">
        <v>1.18233063186922E-2</v>
      </c>
    </row>
    <row r="16561" spans="1:6" x14ac:dyDescent="0.25">
      <c r="A16561" s="1" t="str">
        <f t="shared" si="620"/>
        <v>28140</v>
      </c>
      <c r="B16561" s="1" t="str">
        <f>"64114"</f>
        <v>64114</v>
      </c>
      <c r="C16561" s="2">
        <v>1.3563468605208399E-2</v>
      </c>
      <c r="D16561" s="2">
        <v>1.52720147533425E-2</v>
      </c>
      <c r="E16561" s="2">
        <v>1.45296701582928E-2</v>
      </c>
      <c r="F16561" s="2">
        <v>1.3728029339480001E-2</v>
      </c>
    </row>
    <row r="16562" spans="1:6" x14ac:dyDescent="0.25">
      <c r="A16562" s="1" t="str">
        <f t="shared" si="620"/>
        <v>28140</v>
      </c>
      <c r="B16562" s="1" t="str">
        <f>"64133"</f>
        <v>64133</v>
      </c>
      <c r="C16562" s="2">
        <v>1.6818780955424099E-2</v>
      </c>
      <c r="D16562" s="2">
        <v>1.6136468418625999E-2</v>
      </c>
      <c r="E16562" s="2">
        <v>1.61931744340186E-2</v>
      </c>
      <c r="F16562" s="2">
        <v>1.67448762861983E-2</v>
      </c>
    </row>
    <row r="16563" spans="1:6" x14ac:dyDescent="0.25">
      <c r="A16563" s="1" t="str">
        <f t="shared" si="620"/>
        <v>28140</v>
      </c>
      <c r="B16563" s="1" t="str">
        <f>"64089"</f>
        <v>64089</v>
      </c>
      <c r="C16563" s="2">
        <v>6.3818101933216104E-3</v>
      </c>
      <c r="D16563" s="2">
        <v>5.3250345781466098E-3</v>
      </c>
      <c r="E16563" s="2">
        <v>1.6635042757258301E-3</v>
      </c>
      <c r="F16563" s="2">
        <v>6.1393146014859599E-3</v>
      </c>
    </row>
    <row r="16564" spans="1:6" x14ac:dyDescent="0.25">
      <c r="A16564" s="1" t="str">
        <f t="shared" si="620"/>
        <v>28140</v>
      </c>
      <c r="B16564" s="1" t="str">
        <f>"64120"</f>
        <v>64120</v>
      </c>
      <c r="C16564" s="2">
        <v>7.3594024604569405E-4</v>
      </c>
      <c r="D16564" s="2">
        <v>7.0885200553250302E-3</v>
      </c>
      <c r="E16564" s="2">
        <v>4.4186832323967401E-4</v>
      </c>
      <c r="F16564" s="2">
        <v>1.21508192705425E-3</v>
      </c>
    </row>
    <row r="16565" spans="1:6" x14ac:dyDescent="0.25">
      <c r="A16565" s="1" t="str">
        <f t="shared" si="620"/>
        <v>28140</v>
      </c>
      <c r="B16565" s="1" t="str">
        <f>"64153"</f>
        <v>64153</v>
      </c>
      <c r="C16565" s="2">
        <v>2.7829924908132201E-3</v>
      </c>
      <c r="D16565" s="2">
        <v>8.7828492392807694E-3</v>
      </c>
      <c r="E16565" s="2">
        <v>5.4843656590336E-3</v>
      </c>
      <c r="F16565" s="2">
        <v>3.3372593467669801E-3</v>
      </c>
    </row>
    <row r="16566" spans="1:6" x14ac:dyDescent="0.25">
      <c r="A16566" s="1" t="str">
        <f t="shared" si="620"/>
        <v>28140</v>
      </c>
      <c r="B16566" s="1" t="str">
        <f>"64136"</f>
        <v>64136</v>
      </c>
      <c r="C16566" s="2">
        <v>1.0594743569260199E-3</v>
      </c>
      <c r="D16566" s="2">
        <v>7.2614107883817397E-4</v>
      </c>
      <c r="E16566" s="2">
        <v>1.6375120214176099E-3</v>
      </c>
      <c r="F16566" s="2">
        <v>1.0535443735671299E-3</v>
      </c>
    </row>
    <row r="16567" spans="1:6" x14ac:dyDescent="0.25">
      <c r="A16567" s="1" t="str">
        <f t="shared" si="620"/>
        <v>28140</v>
      </c>
      <c r="B16567" s="1" t="str">
        <f>"64465"</f>
        <v>64465</v>
      </c>
      <c r="C16567" s="2">
        <v>2.0430579964850599E-3</v>
      </c>
      <c r="D16567" s="2">
        <v>7.3766712770862103E-4</v>
      </c>
      <c r="E16567" s="2">
        <v>8.3175213786291602E-4</v>
      </c>
      <c r="F16567" s="2">
        <v>1.9011727448869299E-3</v>
      </c>
    </row>
    <row r="16568" spans="1:6" x14ac:dyDescent="0.25">
      <c r="A16568" s="1" t="str">
        <f t="shared" si="620"/>
        <v>28140</v>
      </c>
      <c r="B16568" s="1" t="str">
        <f>"64734"</f>
        <v>64734</v>
      </c>
      <c r="C16568" s="2">
        <v>8.3979070138999804E-4</v>
      </c>
      <c r="D16568" s="2">
        <v>4.7256800368833499E-4</v>
      </c>
      <c r="E16568" s="2">
        <v>1.2996127154108001E-4</v>
      </c>
      <c r="F16568" s="2">
        <v>7.8727368100593503E-4</v>
      </c>
    </row>
    <row r="16569" spans="1:6" x14ac:dyDescent="0.25">
      <c r="A16569" s="1" t="str">
        <f t="shared" si="620"/>
        <v>28140</v>
      </c>
      <c r="B16569" s="1" t="str">
        <f>"64723"</f>
        <v>64723</v>
      </c>
      <c r="C16569" s="2">
        <v>5.7617031474676401E-4</v>
      </c>
      <c r="D16569" s="2">
        <v>1.6136468418626E-4</v>
      </c>
      <c r="E16569" s="2">
        <v>2.5992254308216098E-5</v>
      </c>
      <c r="F16569" s="2">
        <v>5.2544083332075903E-4</v>
      </c>
    </row>
    <row r="16570" spans="1:6" x14ac:dyDescent="0.25">
      <c r="A16570" s="1" t="str">
        <f t="shared" si="620"/>
        <v>28140</v>
      </c>
      <c r="B16570" s="1" t="str">
        <f>"64163"</f>
        <v>64163</v>
      </c>
      <c r="C16570" s="2">
        <v>8.0284390477712E-4</v>
      </c>
      <c r="D16570" s="2">
        <v>3.4578146611341601E-4</v>
      </c>
      <c r="E16570" s="2">
        <v>7.2778312063005203E-4</v>
      </c>
      <c r="F16570" s="2">
        <v>7.6508445662583498E-4</v>
      </c>
    </row>
    <row r="16571" spans="1:6" x14ac:dyDescent="0.25">
      <c r="A16571" s="1" t="str">
        <f t="shared" si="620"/>
        <v>28140</v>
      </c>
      <c r="B16571" s="1" t="str">
        <f>"64055"</f>
        <v>64055</v>
      </c>
      <c r="C16571" s="2">
        <v>1.7407932577088898E-2</v>
      </c>
      <c r="D16571" s="2">
        <v>2.1196403872752401E-2</v>
      </c>
      <c r="E16571" s="2">
        <v>2.3367036623086299E-2</v>
      </c>
      <c r="F16571" s="2">
        <v>1.79031537988395E-2</v>
      </c>
    </row>
    <row r="16572" spans="1:6" x14ac:dyDescent="0.25">
      <c r="A16572" s="1" t="str">
        <f t="shared" si="620"/>
        <v>28140</v>
      </c>
      <c r="B16572" s="1" t="str">
        <f>"64117"</f>
        <v>64117</v>
      </c>
      <c r="C16572" s="2">
        <v>6.6624061351653599E-3</v>
      </c>
      <c r="D16572" s="2">
        <v>2.9045643153526898E-3</v>
      </c>
      <c r="E16572" s="2">
        <v>6.0302029995061403E-3</v>
      </c>
      <c r="F16572" s="2">
        <v>6.3514435865597201E-3</v>
      </c>
    </row>
    <row r="16573" spans="1:6" x14ac:dyDescent="0.25">
      <c r="A16573" s="1" t="str">
        <f t="shared" si="620"/>
        <v>28140</v>
      </c>
      <c r="B16573" s="1" t="str">
        <f>"64123"</f>
        <v>64123</v>
      </c>
      <c r="C16573" s="2">
        <v>4.1570138999840198E-3</v>
      </c>
      <c r="D16573" s="2">
        <v>2.0977408944213901E-3</v>
      </c>
      <c r="E16573" s="2">
        <v>7.2518389519923001E-3</v>
      </c>
      <c r="F16573" s="2">
        <v>4.1041189413432199E-3</v>
      </c>
    </row>
    <row r="16574" spans="1:6" x14ac:dyDescent="0.25">
      <c r="A16574" s="1" t="str">
        <f t="shared" si="620"/>
        <v>28140</v>
      </c>
      <c r="B16574" s="1" t="str">
        <f>"64129"</f>
        <v>64129</v>
      </c>
      <c r="C16574" s="2">
        <v>4.6363236938808099E-3</v>
      </c>
      <c r="D16574" s="2">
        <v>4.0802213001383102E-3</v>
      </c>
      <c r="E16574" s="2">
        <v>3.1970472799105801E-3</v>
      </c>
      <c r="F16574" s="2">
        <v>4.5443531530444002E-3</v>
      </c>
    </row>
    <row r="16575" spans="1:6" x14ac:dyDescent="0.25">
      <c r="A16575" s="1" t="str">
        <f t="shared" si="620"/>
        <v>28140</v>
      </c>
      <c r="B16575" s="1" t="str">
        <f>"64102"</f>
        <v>64102</v>
      </c>
      <c r="C16575" s="2">
        <v>5.9913724237098504E-6</v>
      </c>
      <c r="D16575" s="2">
        <v>3.5615491009681798E-3</v>
      </c>
      <c r="E16575" s="2">
        <v>3.1190705169859299E-4</v>
      </c>
      <c r="F16575" s="2">
        <v>2.9023505489170301E-4</v>
      </c>
    </row>
    <row r="16576" spans="1:6" x14ac:dyDescent="0.25">
      <c r="A16576" s="1" t="str">
        <f t="shared" si="620"/>
        <v>28140</v>
      </c>
      <c r="B16576" s="1" t="str">
        <f>"64454"</f>
        <v>64454</v>
      </c>
      <c r="C16576" s="2">
        <v>9.26665601533791E-4</v>
      </c>
      <c r="D16576" s="2">
        <v>3.3425541724296901E-4</v>
      </c>
      <c r="E16576" s="2">
        <v>1.2996127154108001E-4</v>
      </c>
      <c r="F16576" s="2">
        <v>8.5384135414623397E-4</v>
      </c>
    </row>
    <row r="16577" spans="1:6" x14ac:dyDescent="0.25">
      <c r="A16577" s="1" t="str">
        <f t="shared" si="620"/>
        <v>28140</v>
      </c>
      <c r="B16577" s="1" t="str">
        <f>"64624"</f>
        <v>64624</v>
      </c>
      <c r="C16577" s="2">
        <v>7.0498482185652595E-4</v>
      </c>
      <c r="D16577" s="2">
        <v>2.8815122176118E-4</v>
      </c>
      <c r="E16577" s="2">
        <v>1.2996127154108001E-4</v>
      </c>
      <c r="F16577" s="2">
        <v>6.5325076575013298E-4</v>
      </c>
    </row>
    <row r="16578" spans="1:6" x14ac:dyDescent="0.25">
      <c r="A16578" s="1" t="str">
        <f t="shared" si="620"/>
        <v>28140</v>
      </c>
      <c r="B16578" s="1" t="str">
        <f>"64477"</f>
        <v>64477</v>
      </c>
      <c r="C16578" s="2">
        <v>1.58272088193002E-3</v>
      </c>
      <c r="D16578" s="2">
        <v>1.75195942830797E-3</v>
      </c>
      <c r="E16578" s="2">
        <v>1.0136979180204199E-3</v>
      </c>
      <c r="F16578" s="2">
        <v>1.5763224999622699E-3</v>
      </c>
    </row>
    <row r="16579" spans="1:6" x14ac:dyDescent="0.25">
      <c r="A16579" s="1" t="str">
        <f t="shared" si="620"/>
        <v>28140</v>
      </c>
      <c r="B16579" s="1" t="str">
        <f>"64429"</f>
        <v>64429</v>
      </c>
      <c r="C16579" s="2">
        <v>3.1404777120945799E-3</v>
      </c>
      <c r="D16579" s="2">
        <v>2.7086214845550901E-3</v>
      </c>
      <c r="E16579" s="2">
        <v>9.3572115509578098E-4</v>
      </c>
      <c r="F16579" s="2">
        <v>3.0319356192968099E-3</v>
      </c>
    </row>
    <row r="16580" spans="1:6" x14ac:dyDescent="0.25">
      <c r="A16580" s="1" t="str">
        <f t="shared" si="620"/>
        <v>28140</v>
      </c>
      <c r="B16580" s="1" t="str">
        <f>"64746"</f>
        <v>64746</v>
      </c>
      <c r="C16580" s="2">
        <v>6.7103371145550402E-4</v>
      </c>
      <c r="D16580" s="2">
        <v>3.5730751498386302E-4</v>
      </c>
      <c r="E16580" s="2">
        <v>1.8194578015751301E-4</v>
      </c>
      <c r="F16580" s="2">
        <v>6.3017397239482898E-4</v>
      </c>
    </row>
    <row r="16581" spans="1:6" x14ac:dyDescent="0.25">
      <c r="A16581" s="1" t="str">
        <f t="shared" si="620"/>
        <v>28140</v>
      </c>
      <c r="B16581" s="1" t="str">
        <f>"64671"</f>
        <v>64671</v>
      </c>
      <c r="C16581" s="2">
        <v>1.0834398466208601E-3</v>
      </c>
      <c r="D16581" s="2">
        <v>2.5357307514983801E-4</v>
      </c>
      <c r="E16581" s="2">
        <v>1.03969017232864E-4</v>
      </c>
      <c r="F16581" s="2">
        <v>9.8608913145162703E-4</v>
      </c>
    </row>
    <row r="16582" spans="1:6" x14ac:dyDescent="0.25">
      <c r="A16582" s="1" t="str">
        <f t="shared" si="620"/>
        <v>28140</v>
      </c>
      <c r="B16582" s="1" t="str">
        <f>"64035"</f>
        <v>64035</v>
      </c>
      <c r="C16582" s="2">
        <v>4.4535868349576598E-4</v>
      </c>
      <c r="D16582" s="2">
        <v>8.0682342093130405E-5</v>
      </c>
      <c r="E16582" s="2">
        <v>2.5992254308216098E-5</v>
      </c>
      <c r="F16582" s="2">
        <v>4.0295631474260898E-4</v>
      </c>
    </row>
    <row r="16583" spans="1:6" x14ac:dyDescent="0.25">
      <c r="A16583" s="1" t="str">
        <f t="shared" si="620"/>
        <v>28140</v>
      </c>
      <c r="B16583" s="1" t="str">
        <f>"64052"</f>
        <v>64052</v>
      </c>
      <c r="C16583" s="2">
        <v>1.09921712733663E-2</v>
      </c>
      <c r="D16583" s="2">
        <v>5.4172429691101802E-3</v>
      </c>
      <c r="E16583" s="2">
        <v>5.61432693057468E-3</v>
      </c>
      <c r="F16583" s="2">
        <v>1.0379231596035401E-2</v>
      </c>
    </row>
    <row r="16584" spans="1:6" x14ac:dyDescent="0.25">
      <c r="A16584" s="1" t="str">
        <f t="shared" si="620"/>
        <v>28140</v>
      </c>
      <c r="B16584" s="1" t="str">
        <f>"64063"</f>
        <v>64063</v>
      </c>
      <c r="C16584" s="2">
        <v>9.4913324812270303E-3</v>
      </c>
      <c r="D16584" s="2">
        <v>1.76002766251728E-2</v>
      </c>
      <c r="E16584" s="2">
        <v>1.5699321602162499E-2</v>
      </c>
      <c r="F16584" s="2">
        <v>1.0327752595473499E-2</v>
      </c>
    </row>
    <row r="16585" spans="1:6" x14ac:dyDescent="0.25">
      <c r="A16585" s="1" t="str">
        <f t="shared" si="620"/>
        <v>28140</v>
      </c>
      <c r="B16585" s="1" t="str">
        <f>"64016"</f>
        <v>64016</v>
      </c>
      <c r="C16585" s="2">
        <v>1.8802923789742699E-3</v>
      </c>
      <c r="D16585" s="2">
        <v>5.5325034578146599E-4</v>
      </c>
      <c r="E16585" s="2">
        <v>1.11766693525329E-3</v>
      </c>
      <c r="F16585" s="2">
        <v>1.75206115705266E-3</v>
      </c>
    </row>
    <row r="16586" spans="1:6" x14ac:dyDescent="0.25">
      <c r="A16586" s="1" t="str">
        <f t="shared" si="620"/>
        <v>28140</v>
      </c>
      <c r="B16586" s="1" t="str">
        <f>"64070"</f>
        <v>64070</v>
      </c>
      <c r="C16586" s="2">
        <v>1.46089630931458E-3</v>
      </c>
      <c r="D16586" s="2">
        <v>7.2614107883817397E-4</v>
      </c>
      <c r="E16586" s="2">
        <v>2.8591479739037699E-4</v>
      </c>
      <c r="F16586" s="2">
        <v>1.3641935148885199E-3</v>
      </c>
    </row>
    <row r="16587" spans="1:6" x14ac:dyDescent="0.25">
      <c r="A16587" s="1" t="str">
        <f t="shared" si="620"/>
        <v>28140</v>
      </c>
      <c r="B16587" s="1" t="str">
        <f>"64053"</f>
        <v>64053</v>
      </c>
      <c r="C16587" s="2">
        <v>2.7410528838472501E-3</v>
      </c>
      <c r="D16587" s="2">
        <v>1.3946519133241099E-3</v>
      </c>
      <c r="E16587" s="2">
        <v>2.3912873963558802E-3</v>
      </c>
      <c r="F16587" s="2">
        <v>2.6254290286533799E-3</v>
      </c>
    </row>
    <row r="16588" spans="1:6" x14ac:dyDescent="0.25">
      <c r="A16588" s="1" t="str">
        <f t="shared" si="620"/>
        <v>28140</v>
      </c>
      <c r="B16588" s="1" t="str">
        <f>"64080"</f>
        <v>64080</v>
      </c>
      <c r="C16588" s="2">
        <v>5.6508627576290103E-3</v>
      </c>
      <c r="D16588" s="2">
        <v>3.2964499769479001E-3</v>
      </c>
      <c r="E16588" s="2">
        <v>1.3256049697190199E-3</v>
      </c>
      <c r="F16588" s="2">
        <v>5.32186357532309E-3</v>
      </c>
    </row>
    <row r="16589" spans="1:6" x14ac:dyDescent="0.25">
      <c r="A16589" s="1" t="str">
        <f t="shared" si="620"/>
        <v>28140</v>
      </c>
      <c r="B16589" s="1" t="str">
        <f>"64081"</f>
        <v>64081</v>
      </c>
      <c r="C16589" s="2">
        <v>1.0987178463013199E-2</v>
      </c>
      <c r="D16589" s="2">
        <v>7.3305670816044199E-3</v>
      </c>
      <c r="E16589" s="2">
        <v>9.0712967535674302E-3</v>
      </c>
      <c r="F16589" s="2">
        <v>1.06401768747453E-2</v>
      </c>
    </row>
    <row r="16590" spans="1:6" x14ac:dyDescent="0.25">
      <c r="A16590" s="1" t="str">
        <f t="shared" si="620"/>
        <v>28140</v>
      </c>
      <c r="B16590" s="1" t="str">
        <f>"65351"</f>
        <v>65351</v>
      </c>
      <c r="C16590" s="2">
        <v>3.9942482824732299E-6</v>
      </c>
      <c r="D16590" s="2">
        <v>0</v>
      </c>
      <c r="E16590" s="2">
        <v>0</v>
      </c>
      <c r="F16590" s="2">
        <v>3.55027590081594E-6</v>
      </c>
    </row>
    <row r="16591" spans="1:6" x14ac:dyDescent="0.25">
      <c r="A16591" s="1" t="str">
        <f t="shared" si="620"/>
        <v>28140</v>
      </c>
      <c r="B16591" s="1" t="str">
        <f>"64002"</f>
        <v>64002</v>
      </c>
      <c r="C16591" s="2">
        <v>0</v>
      </c>
      <c r="D16591" s="2">
        <v>1.15260488704472E-5</v>
      </c>
      <c r="E16591" s="2">
        <v>0</v>
      </c>
      <c r="F16591" s="2">
        <v>8.87568975203985E-7</v>
      </c>
    </row>
    <row r="16592" spans="1:6" x14ac:dyDescent="0.25">
      <c r="A16592" s="1" t="str">
        <f t="shared" si="620"/>
        <v>28140</v>
      </c>
      <c r="B16592" s="1" t="str">
        <f>"64065"</f>
        <v>64065</v>
      </c>
      <c r="C16592" s="2">
        <v>0</v>
      </c>
      <c r="D16592" s="2">
        <v>0</v>
      </c>
      <c r="E16592" s="2">
        <v>5.1984508616432299E-5</v>
      </c>
      <c r="F16592" s="2">
        <v>1.77513795040797E-6</v>
      </c>
    </row>
    <row r="16593" spans="1:6" x14ac:dyDescent="0.25">
      <c r="A16593" s="1" t="str">
        <f t="shared" si="620"/>
        <v>28140</v>
      </c>
      <c r="B16593" s="1" t="str">
        <f>"64170"</f>
        <v>64170</v>
      </c>
      <c r="C16593" s="2">
        <v>0</v>
      </c>
      <c r="D16593" s="2">
        <v>0</v>
      </c>
      <c r="E16593" s="2">
        <v>5.1984508616432299E-5</v>
      </c>
      <c r="F16593" s="2">
        <v>1.77513795040797E-6</v>
      </c>
    </row>
    <row r="16594" spans="1:6" x14ac:dyDescent="0.25">
      <c r="A16594" s="1" t="str">
        <f t="shared" si="620"/>
        <v>28140</v>
      </c>
      <c r="B16594" s="1" t="str">
        <f>"64197"</f>
        <v>64197</v>
      </c>
      <c r="C16594" s="2">
        <v>0</v>
      </c>
      <c r="D16594" s="2">
        <v>0</v>
      </c>
      <c r="E16594" s="2">
        <v>5.1984508616432299E-5</v>
      </c>
      <c r="F16594" s="2">
        <v>1.77513795040797E-6</v>
      </c>
    </row>
    <row r="16595" spans="1:6" x14ac:dyDescent="0.25">
      <c r="A16595" s="1" t="str">
        <f t="shared" si="620"/>
        <v>28140</v>
      </c>
      <c r="B16595" s="1" t="str">
        <f>"66079"</f>
        <v>66079</v>
      </c>
      <c r="C16595" s="2">
        <v>8.9870586355647794E-6</v>
      </c>
      <c r="D16595" s="2">
        <v>0</v>
      </c>
      <c r="E16595" s="2">
        <v>0</v>
      </c>
      <c r="F16595" s="2">
        <v>7.9881207768358595E-6</v>
      </c>
    </row>
    <row r="16596" spans="1:6" x14ac:dyDescent="0.25">
      <c r="A16596" s="1" t="str">
        <f t="shared" si="620"/>
        <v>28140</v>
      </c>
      <c r="B16596" s="1" t="str">
        <f>"64066"</f>
        <v>64066</v>
      </c>
      <c r="C16596" s="2">
        <v>4.29381690365873E-5</v>
      </c>
      <c r="D16596" s="2">
        <v>0</v>
      </c>
      <c r="E16596" s="2">
        <v>2.5992254308216098E-5</v>
      </c>
      <c r="F16596" s="2">
        <v>3.9053034908975301E-5</v>
      </c>
    </row>
    <row r="16597" spans="1:6" x14ac:dyDescent="0.25">
      <c r="A16597" s="1" t="str">
        <f t="shared" si="620"/>
        <v>28140</v>
      </c>
      <c r="B16597" s="1" t="str">
        <f>"66119"</f>
        <v>66119</v>
      </c>
      <c r="C16597" s="2">
        <v>4.9928103530915402E-6</v>
      </c>
      <c r="D16597" s="2">
        <v>1.7289073305670801E-4</v>
      </c>
      <c r="E16597" s="2">
        <v>5.1984508616432299E-5</v>
      </c>
      <c r="F16597" s="2">
        <v>1.95265174544876E-5</v>
      </c>
    </row>
    <row r="16598" spans="1:6" x14ac:dyDescent="0.25">
      <c r="A16598" s="1" t="str">
        <f t="shared" si="620"/>
        <v>28140</v>
      </c>
      <c r="B16598" s="1" t="str">
        <f>"66251"</f>
        <v>66251</v>
      </c>
      <c r="C16598" s="2">
        <v>0</v>
      </c>
      <c r="D16598" s="2">
        <v>1.6136468418626E-4</v>
      </c>
      <c r="E16598" s="2">
        <v>0</v>
      </c>
      <c r="F16598" s="2">
        <v>1.2425965652855699E-5</v>
      </c>
    </row>
    <row r="16599" spans="1:6" x14ac:dyDescent="0.25">
      <c r="A16599" s="1" t="str">
        <f t="shared" si="620"/>
        <v>28140</v>
      </c>
      <c r="B16599" s="1" t="str">
        <f>"66033"</f>
        <v>66033</v>
      </c>
      <c r="C16599" s="2">
        <v>2.9956862118549201E-6</v>
      </c>
      <c r="D16599" s="2">
        <v>0</v>
      </c>
      <c r="E16599" s="2">
        <v>0</v>
      </c>
      <c r="F16599" s="2">
        <v>2.6627069256119499E-6</v>
      </c>
    </row>
    <row r="16600" spans="1:6" x14ac:dyDescent="0.25">
      <c r="A16600" s="1" t="str">
        <f t="shared" si="620"/>
        <v>28140</v>
      </c>
      <c r="B16600" s="1" t="str">
        <f>"64780"</f>
        <v>64780</v>
      </c>
      <c r="C16600" s="2">
        <v>2.1668796932417301E-4</v>
      </c>
      <c r="D16600" s="2">
        <v>1.26786537574919E-4</v>
      </c>
      <c r="E16600" s="2">
        <v>5.1984508616432299E-5</v>
      </c>
      <c r="F16600" s="2">
        <v>2.04140864296916E-4</v>
      </c>
    </row>
    <row r="16601" spans="1:6" x14ac:dyDescent="0.25">
      <c r="A16601" s="1" t="str">
        <f t="shared" si="620"/>
        <v>28140</v>
      </c>
      <c r="B16601" s="1" t="str">
        <f>"66025"</f>
        <v>66025</v>
      </c>
      <c r="C16601" s="2">
        <v>7.6889279437609799E-5</v>
      </c>
      <c r="D16601" s="2">
        <v>2.30520977408944E-5</v>
      </c>
      <c r="E16601" s="2">
        <v>0</v>
      </c>
      <c r="F16601" s="2">
        <v>7.0117949041114799E-5</v>
      </c>
    </row>
    <row r="16602" spans="1:6" x14ac:dyDescent="0.25">
      <c r="A16602" s="1" t="str">
        <f t="shared" si="620"/>
        <v>28140</v>
      </c>
      <c r="B16602" s="1" t="str">
        <f>"64062"</f>
        <v>64062</v>
      </c>
      <c r="C16602" s="2">
        <v>2.5423390317942099E-3</v>
      </c>
      <c r="D16602" s="2">
        <v>7.2614107883817397E-4</v>
      </c>
      <c r="E16602" s="2">
        <v>9.6171340940399703E-4</v>
      </c>
      <c r="F16602" s="2">
        <v>2.3485075083897401E-3</v>
      </c>
    </row>
    <row r="16603" spans="1:6" x14ac:dyDescent="0.25">
      <c r="A16603" s="1" t="str">
        <f t="shared" si="620"/>
        <v>28140</v>
      </c>
      <c r="B16603" s="1" t="str">
        <f>"64061"</f>
        <v>64061</v>
      </c>
      <c r="C16603" s="2">
        <v>8.0883527720082996E-5</v>
      </c>
      <c r="D16603" s="2">
        <v>0</v>
      </c>
      <c r="E16603" s="2">
        <v>0</v>
      </c>
      <c r="F16603" s="2">
        <v>7.1893086991522802E-5</v>
      </c>
    </row>
    <row r="16604" spans="1:6" x14ac:dyDescent="0.25">
      <c r="A16604" s="1" t="str">
        <f t="shared" si="620"/>
        <v>28140</v>
      </c>
      <c r="B16604" s="1" t="str">
        <f>"64075"</f>
        <v>64075</v>
      </c>
      <c r="C16604" s="2">
        <v>4.9019412046652803E-3</v>
      </c>
      <c r="D16604" s="2">
        <v>2.86998616874135E-3</v>
      </c>
      <c r="E16604" s="2">
        <v>8.2135523613963007E-3</v>
      </c>
      <c r="F16604" s="2">
        <v>4.8585525702666103E-3</v>
      </c>
    </row>
    <row r="16605" spans="1:6" x14ac:dyDescent="0.25">
      <c r="A16605" s="1" t="str">
        <f t="shared" si="620"/>
        <v>28140</v>
      </c>
      <c r="B16605" s="1" t="str">
        <f>"66226"</f>
        <v>66226</v>
      </c>
      <c r="C16605" s="2">
        <v>5.1495845981786199E-3</v>
      </c>
      <c r="D16605" s="2">
        <v>2.7893038266482198E-3</v>
      </c>
      <c r="E16605" s="2">
        <v>2.05338809034907E-3</v>
      </c>
      <c r="F16605" s="2">
        <v>4.8621028461674296E-3</v>
      </c>
    </row>
    <row r="16606" spans="1:6" x14ac:dyDescent="0.25">
      <c r="A16606" s="1" t="str">
        <f t="shared" si="620"/>
        <v>28140</v>
      </c>
      <c r="B16606" s="1" t="str">
        <f>"66285"</f>
        <v>66285</v>
      </c>
      <c r="C16606" s="2">
        <v>8.49776322096181E-4</v>
      </c>
      <c r="D16606" s="2">
        <v>5.8782849239280696E-3</v>
      </c>
      <c r="E16606" s="2">
        <v>5.1984508616432299E-5</v>
      </c>
      <c r="F16606" s="2">
        <v>1.20975651320303E-3</v>
      </c>
    </row>
    <row r="16607" spans="1:6" x14ac:dyDescent="0.25">
      <c r="A16607" s="1" t="str">
        <f t="shared" si="620"/>
        <v>28140</v>
      </c>
      <c r="B16607" s="1" t="str">
        <f>"66203"</f>
        <v>66203</v>
      </c>
      <c r="C16607" s="2">
        <v>9.3894791500239595E-3</v>
      </c>
      <c r="D16607" s="2">
        <v>1.2425080682342E-2</v>
      </c>
      <c r="E16607" s="2">
        <v>1.1046708080991801E-2</v>
      </c>
      <c r="F16607" s="2">
        <v>9.6798272435746607E-3</v>
      </c>
    </row>
    <row r="16608" spans="1:6" x14ac:dyDescent="0.25">
      <c r="A16608" s="1" t="str">
        <f t="shared" si="620"/>
        <v>28140</v>
      </c>
      <c r="B16608" s="1" t="str">
        <f>"66102"</f>
        <v>66102</v>
      </c>
      <c r="C16608" s="2">
        <v>1.1998721840549601E-2</v>
      </c>
      <c r="D16608" s="2">
        <v>1.1745043798985701E-2</v>
      </c>
      <c r="E16608" s="2">
        <v>1.3230057442882E-2</v>
      </c>
      <c r="F16608" s="2">
        <v>1.2021234200162699E-2</v>
      </c>
    </row>
    <row r="16609" spans="1:6" x14ac:dyDescent="0.25">
      <c r="A16609" s="1" t="str">
        <f t="shared" si="620"/>
        <v>28140</v>
      </c>
      <c r="B16609" s="1" t="str">
        <f>"66056"</f>
        <v>66056</v>
      </c>
      <c r="C16609" s="2">
        <v>1.2212414123661901E-3</v>
      </c>
      <c r="D16609" s="2">
        <v>4.2646380820654599E-4</v>
      </c>
      <c r="E16609" s="2">
        <v>2.33930288773945E-4</v>
      </c>
      <c r="F16609" s="2">
        <v>1.12632502953385E-3</v>
      </c>
    </row>
    <row r="16610" spans="1:6" x14ac:dyDescent="0.25">
      <c r="A16610" s="1" t="str">
        <f t="shared" si="620"/>
        <v>28140</v>
      </c>
      <c r="B16610" s="1" t="str">
        <f>"66160"</f>
        <v>66160</v>
      </c>
      <c r="C16610" s="2">
        <v>0</v>
      </c>
      <c r="D16610" s="2">
        <v>9.2208390963577602E-5</v>
      </c>
      <c r="E16610" s="2">
        <v>2.5992254308216098E-5</v>
      </c>
      <c r="F16610" s="2">
        <v>7.9881207768358595E-6</v>
      </c>
    </row>
    <row r="16611" spans="1:6" x14ac:dyDescent="0.25">
      <c r="A16611" s="1" t="str">
        <f t="shared" si="620"/>
        <v>28140</v>
      </c>
      <c r="B16611" s="1" t="str">
        <f>"66216"</f>
        <v>66216</v>
      </c>
      <c r="C16611" s="2">
        <v>9.7429701230228403E-3</v>
      </c>
      <c r="D16611" s="2">
        <v>5.7860765329644896E-3</v>
      </c>
      <c r="E16611" s="2">
        <v>8.23954461570452E-3</v>
      </c>
      <c r="F16611" s="2">
        <v>9.3869294817573497E-3</v>
      </c>
    </row>
    <row r="16612" spans="1:6" x14ac:dyDescent="0.25">
      <c r="A16612" s="1" t="str">
        <f t="shared" si="620"/>
        <v>28140</v>
      </c>
      <c r="B16612" s="1" t="str">
        <f>"66007"</f>
        <v>66007</v>
      </c>
      <c r="C16612" s="2">
        <v>3.9543057996485002E-3</v>
      </c>
      <c r="D16612" s="2">
        <v>1.76348547717842E-3</v>
      </c>
      <c r="E16612" s="2">
        <v>7.5377537493826797E-4</v>
      </c>
      <c r="F16612" s="2">
        <v>3.6763106952949001E-3</v>
      </c>
    </row>
    <row r="16613" spans="1:6" x14ac:dyDescent="0.25">
      <c r="A16613" s="1" t="str">
        <f t="shared" si="620"/>
        <v>28140</v>
      </c>
      <c r="B16613" s="1" t="str">
        <f>"66012"</f>
        <v>66012</v>
      </c>
      <c r="C16613" s="2">
        <v>4.9498721840549598E-3</v>
      </c>
      <c r="D16613" s="2">
        <v>5.2328261871830298E-3</v>
      </c>
      <c r="E16613" s="2">
        <v>2.5732331765133901E-3</v>
      </c>
      <c r="F16613" s="2">
        <v>4.8905050533739596E-3</v>
      </c>
    </row>
    <row r="16614" spans="1:6" x14ac:dyDescent="0.25">
      <c r="A16614" s="1" t="str">
        <f t="shared" si="620"/>
        <v>28140</v>
      </c>
      <c r="B16614" s="1" t="str">
        <f>"66030"</f>
        <v>66030</v>
      </c>
      <c r="C16614" s="2">
        <v>9.6431139159610102E-3</v>
      </c>
      <c r="D16614" s="2">
        <v>5.83218072844628E-3</v>
      </c>
      <c r="E16614" s="2">
        <v>3.5349465859173899E-3</v>
      </c>
      <c r="F16614" s="2">
        <v>9.1410728756258393E-3</v>
      </c>
    </row>
    <row r="16615" spans="1:6" x14ac:dyDescent="0.25">
      <c r="A16615" s="1" t="str">
        <f t="shared" ref="A16615:A16631" si="621">"28180"</f>
        <v>28180</v>
      </c>
      <c r="B16615" s="1" t="str">
        <f>"96769"</f>
        <v>96769</v>
      </c>
      <c r="C16615" s="2">
        <v>0</v>
      </c>
      <c r="D16615" s="2">
        <v>2.3207240659085601E-4</v>
      </c>
      <c r="E16615" s="2">
        <v>0</v>
      </c>
      <c r="F16615" s="2">
        <v>2.8470561439471499E-5</v>
      </c>
    </row>
    <row r="16616" spans="1:6" x14ac:dyDescent="0.25">
      <c r="A16616" s="1" t="str">
        <f t="shared" si="621"/>
        <v>28180</v>
      </c>
      <c r="B16616" s="1" t="str">
        <f>"96716"</f>
        <v>96716</v>
      </c>
      <c r="C16616" s="2">
        <v>0</v>
      </c>
      <c r="D16616" s="2">
        <v>2.3207240659085601E-4</v>
      </c>
      <c r="E16616" s="2">
        <v>0</v>
      </c>
      <c r="F16616" s="2">
        <v>2.8470561439471499E-5</v>
      </c>
    </row>
    <row r="16617" spans="1:6" x14ac:dyDescent="0.25">
      <c r="A16617" s="1" t="str">
        <f t="shared" si="621"/>
        <v>28180</v>
      </c>
      <c r="B16617" s="1" t="str">
        <f>"96746"</f>
        <v>96746</v>
      </c>
      <c r="C16617" s="2">
        <v>0.32594969464858697</v>
      </c>
      <c r="D16617" s="2">
        <v>0.22394987236017599</v>
      </c>
      <c r="E16617" s="2">
        <v>0.46233624454148398</v>
      </c>
      <c r="F16617" s="2">
        <v>0.32055005124701003</v>
      </c>
    </row>
    <row r="16618" spans="1:6" x14ac:dyDescent="0.25">
      <c r="A16618" s="1" t="str">
        <f t="shared" si="621"/>
        <v>28180</v>
      </c>
      <c r="B16618" s="1" t="str">
        <f>"96796"</f>
        <v>96796</v>
      </c>
      <c r="C16618" s="2">
        <v>0</v>
      </c>
      <c r="D16618" s="2">
        <v>2.3207240659085601E-4</v>
      </c>
      <c r="E16618" s="2">
        <v>0</v>
      </c>
      <c r="F16618" s="2">
        <v>2.8470561439471499E-5</v>
      </c>
    </row>
    <row r="16619" spans="1:6" x14ac:dyDescent="0.25">
      <c r="A16619" s="1" t="str">
        <f t="shared" si="621"/>
        <v>28180</v>
      </c>
      <c r="B16619" s="1" t="str">
        <f>"96714"</f>
        <v>96714</v>
      </c>
      <c r="C16619" s="2">
        <v>4.4301832108477303E-2</v>
      </c>
      <c r="D16619" s="2">
        <v>4.7574843351125502E-2</v>
      </c>
      <c r="E16619" s="2">
        <v>5.4585152838427901E-4</v>
      </c>
      <c r="F16619" s="2">
        <v>4.2421136544812603E-2</v>
      </c>
    </row>
    <row r="16620" spans="1:6" x14ac:dyDescent="0.25">
      <c r="A16620" s="1" t="str">
        <f t="shared" si="621"/>
        <v>28180</v>
      </c>
      <c r="B16620" s="1" t="str">
        <f>"96754"</f>
        <v>96754</v>
      </c>
      <c r="C16620" s="2">
        <v>7.5941068902459996E-2</v>
      </c>
      <c r="D16620" s="2">
        <v>5.7553956834532301E-2</v>
      </c>
      <c r="E16620" s="2">
        <v>4.3122270742357999E-2</v>
      </c>
      <c r="F16620" s="2">
        <v>7.1973579318984099E-2</v>
      </c>
    </row>
    <row r="16621" spans="1:6" x14ac:dyDescent="0.25">
      <c r="A16621" s="1" t="str">
        <f t="shared" si="621"/>
        <v>28180</v>
      </c>
      <c r="B16621" s="1" t="str">
        <f>"96752"</f>
        <v>96752</v>
      </c>
      <c r="C16621" s="2">
        <v>6.9005969016319897E-5</v>
      </c>
      <c r="D16621" s="2">
        <v>0</v>
      </c>
      <c r="E16621" s="2">
        <v>5.4585152838427901E-4</v>
      </c>
      <c r="F16621" s="2">
        <v>8.5411684318414705E-5</v>
      </c>
    </row>
    <row r="16622" spans="1:6" x14ac:dyDescent="0.25">
      <c r="A16622" s="1" t="str">
        <f t="shared" si="621"/>
        <v>28180</v>
      </c>
      <c r="B16622" s="1" t="str">
        <f>"96705"</f>
        <v>96705</v>
      </c>
      <c r="C16622" s="2">
        <v>0</v>
      </c>
      <c r="D16622" s="2">
        <v>6.9621721977256902E-4</v>
      </c>
      <c r="E16622" s="2">
        <v>5.4585152838427901E-4</v>
      </c>
      <c r="F16622" s="2">
        <v>1.13882245757886E-4</v>
      </c>
    </row>
    <row r="16623" spans="1:6" x14ac:dyDescent="0.25">
      <c r="A16623" s="1" t="str">
        <f t="shared" si="621"/>
        <v>28180</v>
      </c>
      <c r="B16623" s="1" t="str">
        <f>"96756"</f>
        <v>96756</v>
      </c>
      <c r="C16623" s="2">
        <v>0.13249146051133401</v>
      </c>
      <c r="D16623" s="2">
        <v>8.0761197493618E-2</v>
      </c>
      <c r="E16623" s="2">
        <v>6.4956331877729201E-2</v>
      </c>
      <c r="F16623" s="2">
        <v>0.122622708119804</v>
      </c>
    </row>
    <row r="16624" spans="1:6" x14ac:dyDescent="0.25">
      <c r="A16624" s="1" t="str">
        <f t="shared" si="621"/>
        <v>28180</v>
      </c>
      <c r="B16624" s="1" t="str">
        <f>"96722"</f>
        <v>96722</v>
      </c>
      <c r="C16624" s="2">
        <v>7.0248076458613598E-2</v>
      </c>
      <c r="D16624" s="2">
        <v>2.7616616384311898E-2</v>
      </c>
      <c r="E16624" s="2">
        <v>2.2925764192139701E-2</v>
      </c>
      <c r="F16624" s="2">
        <v>6.2549823482519001E-2</v>
      </c>
    </row>
    <row r="16625" spans="1:6" x14ac:dyDescent="0.25">
      <c r="A16625" s="1" t="str">
        <f t="shared" si="621"/>
        <v>28180</v>
      </c>
      <c r="B16625" s="1" t="str">
        <f>"96766"</f>
        <v>96766</v>
      </c>
      <c r="C16625" s="2">
        <v>0.25131973915743699</v>
      </c>
      <c r="D16625" s="2">
        <v>0.524483638895335</v>
      </c>
      <c r="E16625" s="2">
        <v>0.33133187772925698</v>
      </c>
      <c r="F16625" s="2">
        <v>0.28900466917207601</v>
      </c>
    </row>
    <row r="16626" spans="1:6" x14ac:dyDescent="0.25">
      <c r="A16626" s="1" t="str">
        <f t="shared" si="621"/>
        <v>28180</v>
      </c>
      <c r="B16626" s="1" t="str">
        <f>"96751"</f>
        <v>96751</v>
      </c>
      <c r="C16626" s="2">
        <v>0</v>
      </c>
      <c r="D16626" s="2">
        <v>2.3207240659085601E-4</v>
      </c>
      <c r="E16626" s="2">
        <v>0</v>
      </c>
      <c r="F16626" s="2">
        <v>2.8470561439471499E-5</v>
      </c>
    </row>
    <row r="16627" spans="1:6" x14ac:dyDescent="0.25">
      <c r="A16627" s="1" t="str">
        <f t="shared" si="621"/>
        <v>28180</v>
      </c>
      <c r="B16627" s="1" t="str">
        <f>"96765"</f>
        <v>96765</v>
      </c>
      <c r="C16627" s="2">
        <v>0</v>
      </c>
      <c r="D16627" s="2">
        <v>2.3207240659085601E-4</v>
      </c>
      <c r="E16627" s="2">
        <v>0</v>
      </c>
      <c r="F16627" s="2">
        <v>2.8470561439471499E-5</v>
      </c>
    </row>
    <row r="16628" spans="1:6" x14ac:dyDescent="0.25">
      <c r="A16628" s="1" t="str">
        <f t="shared" si="621"/>
        <v>28180</v>
      </c>
      <c r="B16628" s="1" t="str">
        <f>"96715"</f>
        <v>96715</v>
      </c>
      <c r="C16628" s="2">
        <v>1.08339371355622E-2</v>
      </c>
      <c r="D16628" s="2">
        <v>1.39243443954513E-3</v>
      </c>
      <c r="E16628" s="2">
        <v>1.09170305676855E-3</v>
      </c>
      <c r="F16628" s="2">
        <v>9.1675207835098492E-3</v>
      </c>
    </row>
    <row r="16629" spans="1:6" x14ac:dyDescent="0.25">
      <c r="A16629" s="1" t="str">
        <f t="shared" si="621"/>
        <v>28180</v>
      </c>
      <c r="B16629" s="1" t="str">
        <f>"96703"</f>
        <v>96703</v>
      </c>
      <c r="C16629" s="2">
        <v>0</v>
      </c>
      <c r="D16629" s="2">
        <v>2.3207240659085601E-4</v>
      </c>
      <c r="E16629" s="2">
        <v>0</v>
      </c>
      <c r="F16629" s="2">
        <v>2.8470561439471499E-5</v>
      </c>
    </row>
    <row r="16630" spans="1:6" x14ac:dyDescent="0.25">
      <c r="A16630" s="1" t="str">
        <f t="shared" si="621"/>
        <v>28180</v>
      </c>
      <c r="B16630" s="1" t="str">
        <f>"96747"</f>
        <v>96747</v>
      </c>
      <c r="C16630" s="2">
        <v>0</v>
      </c>
      <c r="D16630" s="2">
        <v>2.3207240659085601E-4</v>
      </c>
      <c r="E16630" s="2">
        <v>0</v>
      </c>
      <c r="F16630" s="2">
        <v>2.8470561439471499E-5</v>
      </c>
    </row>
    <row r="16631" spans="1:6" x14ac:dyDescent="0.25">
      <c r="A16631" s="1" t="str">
        <f t="shared" si="621"/>
        <v>28180</v>
      </c>
      <c r="B16631" s="1" t="str">
        <f>"96741"</f>
        <v>96741</v>
      </c>
      <c r="C16631" s="2">
        <v>8.8845185108511804E-2</v>
      </c>
      <c r="D16631" s="2">
        <v>3.4346716175446698E-2</v>
      </c>
      <c r="E16631" s="2">
        <v>7.2598253275109104E-2</v>
      </c>
      <c r="F16631" s="2">
        <v>8.1311923471130795E-2</v>
      </c>
    </row>
    <row r="16632" spans="1:6" x14ac:dyDescent="0.25">
      <c r="A16632" s="1" t="str">
        <f t="shared" ref="A16632:A16656" si="622">"28260"</f>
        <v>28260</v>
      </c>
      <c r="B16632" s="1" t="str">
        <f>"68956"</f>
        <v>68956</v>
      </c>
      <c r="C16632" s="2">
        <v>1.2060521891674499E-3</v>
      </c>
      <c r="D16632" s="2">
        <v>3.37952010814464E-4</v>
      </c>
      <c r="E16632" s="2">
        <v>0</v>
      </c>
      <c r="F16632" s="2">
        <v>1.0705626751472E-3</v>
      </c>
    </row>
    <row r="16633" spans="1:6" x14ac:dyDescent="0.25">
      <c r="A16633" s="1" t="str">
        <f t="shared" si="622"/>
        <v>28260</v>
      </c>
      <c r="B16633" s="1" t="str">
        <f>"68849"</f>
        <v>68849</v>
      </c>
      <c r="C16633" s="2">
        <v>0</v>
      </c>
      <c r="D16633" s="2">
        <v>1.01385603244339E-3</v>
      </c>
      <c r="E16633" s="2">
        <v>1.7385257301808E-2</v>
      </c>
      <c r="F16633" s="2">
        <v>8.8163985012122497E-4</v>
      </c>
    </row>
    <row r="16634" spans="1:6" x14ac:dyDescent="0.25">
      <c r="A16634" s="1" t="str">
        <f t="shared" si="622"/>
        <v>28260</v>
      </c>
      <c r="B16634" s="1" t="str">
        <f>"68866"</f>
        <v>68866</v>
      </c>
      <c r="C16634" s="2">
        <v>1.5824866603318399E-2</v>
      </c>
      <c r="D16634" s="2">
        <v>2.7036160865157098E-3</v>
      </c>
      <c r="E16634" s="2">
        <v>6.9541029207232199E-4</v>
      </c>
      <c r="F16634" s="2">
        <v>1.3917314776913599E-2</v>
      </c>
    </row>
    <row r="16635" spans="1:6" x14ac:dyDescent="0.25">
      <c r="A16635" s="1" t="str">
        <f t="shared" si="622"/>
        <v>28260</v>
      </c>
      <c r="B16635" s="1" t="str">
        <f>"68981"</f>
        <v>68981</v>
      </c>
      <c r="C16635" s="2">
        <v>1.1329581170967001E-3</v>
      </c>
      <c r="D16635" s="2">
        <v>0</v>
      </c>
      <c r="E16635" s="2">
        <v>0</v>
      </c>
      <c r="F16635" s="2">
        <v>9.7610126263421304E-4</v>
      </c>
    </row>
    <row r="16636" spans="1:6" x14ac:dyDescent="0.25">
      <c r="A16636" s="1" t="str">
        <f t="shared" si="622"/>
        <v>28260</v>
      </c>
      <c r="B16636" s="1" t="str">
        <f>"68932"</f>
        <v>68932</v>
      </c>
      <c r="C16636" s="2">
        <v>3.3988743512901099E-3</v>
      </c>
      <c r="D16636" s="2">
        <v>0</v>
      </c>
      <c r="E16636" s="2">
        <v>0</v>
      </c>
      <c r="F16636" s="2">
        <v>2.92830378790264E-3</v>
      </c>
    </row>
    <row r="16637" spans="1:6" x14ac:dyDescent="0.25">
      <c r="A16637" s="1" t="str">
        <f t="shared" si="622"/>
        <v>28260</v>
      </c>
      <c r="B16637" s="1" t="str">
        <f>"68855"</f>
        <v>68855</v>
      </c>
      <c r="C16637" s="2">
        <v>7.3094072070755005E-5</v>
      </c>
      <c r="D16637" s="2">
        <v>0</v>
      </c>
      <c r="E16637" s="2">
        <v>0</v>
      </c>
      <c r="F16637" s="2">
        <v>6.2974275008658895E-5</v>
      </c>
    </row>
    <row r="16638" spans="1:6" x14ac:dyDescent="0.25">
      <c r="A16638" s="1" t="str">
        <f t="shared" si="622"/>
        <v>28260</v>
      </c>
      <c r="B16638" s="1" t="str">
        <f>"68947"</f>
        <v>68947</v>
      </c>
      <c r="C16638" s="2">
        <v>1.8638988378042499E-3</v>
      </c>
      <c r="D16638" s="2">
        <v>1.01385603244339E-3</v>
      </c>
      <c r="E16638" s="2">
        <v>0</v>
      </c>
      <c r="F16638" s="2">
        <v>1.7003054252337901E-3</v>
      </c>
    </row>
    <row r="16639" spans="1:6" x14ac:dyDescent="0.25">
      <c r="A16639" s="1" t="str">
        <f t="shared" si="622"/>
        <v>28260</v>
      </c>
      <c r="B16639" s="1" t="str">
        <f>"68844"</f>
        <v>68844</v>
      </c>
      <c r="C16639" s="2">
        <v>1.49842847745047E-3</v>
      </c>
      <c r="D16639" s="2">
        <v>3.37952010814464E-4</v>
      </c>
      <c r="E16639" s="2">
        <v>6.9541029207232199E-4</v>
      </c>
      <c r="F16639" s="2">
        <v>1.3539469126861599E-3</v>
      </c>
    </row>
    <row r="16640" spans="1:6" x14ac:dyDescent="0.25">
      <c r="A16640" s="1" t="str">
        <f t="shared" si="622"/>
        <v>28260</v>
      </c>
      <c r="B16640" s="1" t="str">
        <f>"68848"</f>
        <v>68848</v>
      </c>
      <c r="C16640" s="2">
        <v>3.9982457422702997E-2</v>
      </c>
      <c r="D16640" s="2">
        <v>0.205812774586008</v>
      </c>
      <c r="E16640" s="2">
        <v>1.3908205841446401E-3</v>
      </c>
      <c r="F16640" s="2">
        <v>5.3685569444881703E-2</v>
      </c>
    </row>
    <row r="16641" spans="1:6" x14ac:dyDescent="0.25">
      <c r="A16641" s="1" t="str">
        <f t="shared" si="622"/>
        <v>28260</v>
      </c>
      <c r="B16641" s="1" t="str">
        <f>"68982"</f>
        <v>68982</v>
      </c>
      <c r="C16641" s="2">
        <v>7.8210657115707904E-3</v>
      </c>
      <c r="D16641" s="2">
        <v>4.0554241297735697E-3</v>
      </c>
      <c r="E16641" s="2">
        <v>4.8678720445062499E-3</v>
      </c>
      <c r="F16641" s="2">
        <v>7.3365030385087598E-3</v>
      </c>
    </row>
    <row r="16642" spans="1:6" x14ac:dyDescent="0.25">
      <c r="A16642" s="1" t="str">
        <f t="shared" si="622"/>
        <v>28260</v>
      </c>
      <c r="B16642" s="1" t="str">
        <f>"68845"</f>
        <v>68845</v>
      </c>
      <c r="C16642" s="2">
        <v>0.34668518383159103</v>
      </c>
      <c r="D16642" s="2">
        <v>0.177424805677593</v>
      </c>
      <c r="E16642" s="2">
        <v>0.52642559109874798</v>
      </c>
      <c r="F16642" s="2">
        <v>0.33905349664661899</v>
      </c>
    </row>
    <row r="16643" spans="1:6" x14ac:dyDescent="0.25">
      <c r="A16643" s="1" t="str">
        <f t="shared" si="622"/>
        <v>28260</v>
      </c>
      <c r="B16643" s="1" t="str">
        <f>"68847"</f>
        <v>68847</v>
      </c>
      <c r="C16643" s="2">
        <v>0.31978656530955302</v>
      </c>
      <c r="D16643" s="2">
        <v>0.47009124704291899</v>
      </c>
      <c r="E16643" s="2">
        <v>0.35118219749652202</v>
      </c>
      <c r="F16643" s="2">
        <v>0.33521206587109098</v>
      </c>
    </row>
    <row r="16644" spans="1:6" x14ac:dyDescent="0.25">
      <c r="A16644" s="1" t="str">
        <f t="shared" si="622"/>
        <v>28260</v>
      </c>
      <c r="B16644" s="1" t="str">
        <f>"68876"</f>
        <v>68876</v>
      </c>
      <c r="C16644" s="2">
        <v>2.6021489657188802E-2</v>
      </c>
      <c r="D16644" s="2">
        <v>8.4488002703616005E-3</v>
      </c>
      <c r="E16644" s="2">
        <v>9.0403337969401903E-3</v>
      </c>
      <c r="F16644" s="2">
        <v>2.3615353128247099E-2</v>
      </c>
    </row>
    <row r="16645" spans="1:6" x14ac:dyDescent="0.25">
      <c r="A16645" s="1" t="str">
        <f t="shared" si="622"/>
        <v>28260</v>
      </c>
      <c r="B16645" s="1" t="str">
        <f>"68858"</f>
        <v>68858</v>
      </c>
      <c r="C16645" s="2">
        <v>4.7145676485637004E-3</v>
      </c>
      <c r="D16645" s="2">
        <v>0</v>
      </c>
      <c r="E16645" s="2">
        <v>0</v>
      </c>
      <c r="F16645" s="2">
        <v>4.0618407380585003E-3</v>
      </c>
    </row>
    <row r="16646" spans="1:6" x14ac:dyDescent="0.25">
      <c r="A16646" s="1" t="str">
        <f t="shared" si="622"/>
        <v>28260</v>
      </c>
      <c r="B16646" s="1" t="str">
        <f>"68972"</f>
        <v>68972</v>
      </c>
      <c r="C16646" s="2">
        <v>2.19282216212265E-4</v>
      </c>
      <c r="D16646" s="2">
        <v>3.37952010814464E-4</v>
      </c>
      <c r="E16646" s="2">
        <v>0</v>
      </c>
      <c r="F16646" s="2">
        <v>2.20409962530306E-4</v>
      </c>
    </row>
    <row r="16647" spans="1:6" x14ac:dyDescent="0.25">
      <c r="A16647" s="1" t="str">
        <f t="shared" si="622"/>
        <v>28260</v>
      </c>
      <c r="B16647" s="1" t="str">
        <f>"68869"</f>
        <v>68869</v>
      </c>
      <c r="C16647" s="2">
        <v>3.8959140413712401E-2</v>
      </c>
      <c r="D16647" s="2">
        <v>3.4809057113889798E-2</v>
      </c>
      <c r="E16647" s="2">
        <v>1.5994436717663402E-2</v>
      </c>
      <c r="F16647" s="2">
        <v>3.7532667905160702E-2</v>
      </c>
    </row>
    <row r="16648" spans="1:6" x14ac:dyDescent="0.25">
      <c r="A16648" s="1" t="str">
        <f t="shared" si="622"/>
        <v>28260</v>
      </c>
      <c r="B16648" s="1" t="str">
        <f>"68840"</f>
        <v>68840</v>
      </c>
      <c r="C16648" s="2">
        <v>5.0434909728820899E-2</v>
      </c>
      <c r="D16648" s="2">
        <v>8.1108482595471394E-3</v>
      </c>
      <c r="E16648" s="2">
        <v>1.9471488178025E-2</v>
      </c>
      <c r="F16648" s="2">
        <v>4.50895809061998E-2</v>
      </c>
    </row>
    <row r="16649" spans="1:6" x14ac:dyDescent="0.25">
      <c r="A16649" s="1" t="str">
        <f t="shared" si="622"/>
        <v>28260</v>
      </c>
      <c r="B16649" s="1" t="str">
        <f>"68945"</f>
        <v>68945</v>
      </c>
      <c r="C16649" s="2">
        <v>3.2892332431839698E-3</v>
      </c>
      <c r="D16649" s="2">
        <v>1.68976005407232E-3</v>
      </c>
      <c r="E16649" s="2">
        <v>6.9541029207232199E-4</v>
      </c>
      <c r="F16649" s="2">
        <v>3.02276520041563E-3</v>
      </c>
    </row>
    <row r="16650" spans="1:6" x14ac:dyDescent="0.25">
      <c r="A16650" s="1" t="str">
        <f t="shared" si="622"/>
        <v>28260</v>
      </c>
      <c r="B16650" s="1" t="str">
        <f>"68924"</f>
        <v>68924</v>
      </c>
      <c r="C16650" s="2">
        <v>2.0320152035669899E-2</v>
      </c>
      <c r="D16650" s="2">
        <v>1.0814464346062799E-2</v>
      </c>
      <c r="E16650" s="2">
        <v>5.5632823365785802E-3</v>
      </c>
      <c r="F16650" s="2">
        <v>1.8766333952580299E-2</v>
      </c>
    </row>
    <row r="16651" spans="1:6" x14ac:dyDescent="0.25">
      <c r="A16651" s="1" t="str">
        <f t="shared" si="622"/>
        <v>28260</v>
      </c>
      <c r="B16651" s="1" t="str">
        <f>"68959"</f>
        <v>68959</v>
      </c>
      <c r="C16651" s="2">
        <v>6.6917622980776206E-2</v>
      </c>
      <c r="D16651" s="2">
        <v>6.0831361946603497E-2</v>
      </c>
      <c r="E16651" s="2">
        <v>3.1293463143254499E-2</v>
      </c>
      <c r="F16651" s="2">
        <v>6.4737554708901399E-2</v>
      </c>
    </row>
    <row r="16652" spans="1:6" x14ac:dyDescent="0.25">
      <c r="A16652" s="1" t="str">
        <f t="shared" si="622"/>
        <v>28260</v>
      </c>
      <c r="B16652" s="1" t="str">
        <f>"68836"</f>
        <v>68836</v>
      </c>
      <c r="C16652" s="2">
        <v>2.6131130765294899E-2</v>
      </c>
      <c r="D16652" s="2">
        <v>7.0969922271037498E-3</v>
      </c>
      <c r="E16652" s="2">
        <v>1.25173852573018E-2</v>
      </c>
      <c r="F16652" s="2">
        <v>2.3741301678264399E-2</v>
      </c>
    </row>
    <row r="16653" spans="1:6" x14ac:dyDescent="0.25">
      <c r="A16653" s="1" t="str">
        <f t="shared" si="622"/>
        <v>28260</v>
      </c>
      <c r="B16653" s="1" t="str">
        <f>"68812"</f>
        <v>68812</v>
      </c>
      <c r="C16653" s="2">
        <v>1.3376215188948101E-2</v>
      </c>
      <c r="D16653" s="2">
        <v>1.68976005407232E-3</v>
      </c>
      <c r="E16653" s="2">
        <v>1.3908205841446401E-3</v>
      </c>
      <c r="F16653" s="2">
        <v>1.1744702289114801E-2</v>
      </c>
    </row>
    <row r="16654" spans="1:6" x14ac:dyDescent="0.25">
      <c r="A16654" s="1" t="str">
        <f t="shared" si="622"/>
        <v>28260</v>
      </c>
      <c r="B16654" s="1" t="str">
        <f>"68939"</f>
        <v>68939</v>
      </c>
      <c r="C16654" s="2">
        <v>7.6748775674292805E-4</v>
      </c>
      <c r="D16654" s="2">
        <v>3.37952010814464E-4</v>
      </c>
      <c r="E16654" s="2">
        <v>0</v>
      </c>
      <c r="F16654" s="2">
        <v>6.9271702509524796E-4</v>
      </c>
    </row>
    <row r="16655" spans="1:6" x14ac:dyDescent="0.25">
      <c r="A16655" s="1" t="str">
        <f t="shared" si="622"/>
        <v>28260</v>
      </c>
      <c r="B16655" s="1" t="str">
        <f>"68861"</f>
        <v>68861</v>
      </c>
      <c r="C16655" s="2">
        <v>2.3024632702287801E-3</v>
      </c>
      <c r="D16655" s="2">
        <v>1.68976005407232E-3</v>
      </c>
      <c r="E16655" s="2">
        <v>6.9541029207232199E-4</v>
      </c>
      <c r="F16655" s="2">
        <v>2.1726124877987302E-3</v>
      </c>
    </row>
    <row r="16656" spans="1:6" x14ac:dyDescent="0.25">
      <c r="A16656" s="1" t="str">
        <f t="shared" si="622"/>
        <v>28260</v>
      </c>
      <c r="B16656" s="1" t="str">
        <f>"68870"</f>
        <v>68870</v>
      </c>
      <c r="C16656" s="2">
        <v>7.2728601710401204E-3</v>
      </c>
      <c r="D16656" s="2">
        <v>1.3518080432578499E-3</v>
      </c>
      <c r="E16656" s="2">
        <v>6.9541029207232199E-4</v>
      </c>
      <c r="F16656" s="2">
        <v>6.4233760508832097E-3</v>
      </c>
    </row>
    <row r="16657" spans="1:6" x14ac:dyDescent="0.25">
      <c r="A16657" s="1" t="str">
        <f t="shared" ref="A16657:A16685" si="623">"28300"</f>
        <v>28300</v>
      </c>
      <c r="B16657" s="1" t="str">
        <f>"03431"</f>
        <v>03431</v>
      </c>
      <c r="C16657" s="2">
        <v>0.33833000854944401</v>
      </c>
      <c r="D16657" s="2">
        <v>0.45840867992766698</v>
      </c>
      <c r="E16657" s="2">
        <v>0.54838709677419295</v>
      </c>
      <c r="F16657" s="2">
        <v>0.35748599875544401</v>
      </c>
    </row>
    <row r="16658" spans="1:6" x14ac:dyDescent="0.25">
      <c r="A16658" s="1" t="str">
        <f t="shared" si="623"/>
        <v>28300</v>
      </c>
      <c r="B16658" s="1" t="str">
        <f>"03467"</f>
        <v>03467</v>
      </c>
      <c r="C16658" s="2">
        <v>1.8979766315189502E-2</v>
      </c>
      <c r="D16658" s="2">
        <v>1.0548523206751001E-2</v>
      </c>
      <c r="E16658" s="2">
        <v>2.8296547821165799E-3</v>
      </c>
      <c r="F16658" s="2">
        <v>1.75731176104542E-2</v>
      </c>
    </row>
    <row r="16659" spans="1:6" x14ac:dyDescent="0.25">
      <c r="A16659" s="1" t="str">
        <f t="shared" si="623"/>
        <v>28300</v>
      </c>
      <c r="B16659" s="1" t="str">
        <f>"03466"</f>
        <v>03466</v>
      </c>
      <c r="C16659" s="2">
        <v>1.3365631233969701E-2</v>
      </c>
      <c r="D16659" s="2">
        <v>6.3291139240506302E-3</v>
      </c>
      <c r="E16659" s="2">
        <v>1.6977928692699399E-3</v>
      </c>
      <c r="F16659" s="2">
        <v>1.2271313005600399E-2</v>
      </c>
    </row>
    <row r="16660" spans="1:6" x14ac:dyDescent="0.25">
      <c r="A16660" s="1" t="str">
        <f t="shared" si="623"/>
        <v>28300</v>
      </c>
      <c r="B16660" s="1" t="str">
        <f>"03465"</f>
        <v>03465</v>
      </c>
      <c r="C16660" s="2">
        <v>2.0034197777144401E-2</v>
      </c>
      <c r="D16660" s="2">
        <v>3.6166365280289299E-3</v>
      </c>
      <c r="E16660" s="2">
        <v>1.7543859649122799E-2</v>
      </c>
      <c r="F16660" s="2">
        <v>1.8568761667703701E-2</v>
      </c>
    </row>
    <row r="16661" spans="1:6" x14ac:dyDescent="0.25">
      <c r="A16661" s="1" t="str">
        <f t="shared" si="623"/>
        <v>28300</v>
      </c>
      <c r="B16661" s="1" t="str">
        <f>"03448"</f>
        <v>03448</v>
      </c>
      <c r="C16661" s="2">
        <v>7.8369905956112793E-3</v>
      </c>
      <c r="D16661" s="2">
        <v>1.50693188667872E-3</v>
      </c>
      <c r="E16661" s="2">
        <v>1.1318619128466299E-3</v>
      </c>
      <c r="F16661" s="2">
        <v>7.0192906036092E-3</v>
      </c>
    </row>
    <row r="16662" spans="1:6" x14ac:dyDescent="0.25">
      <c r="A16662" s="1" t="str">
        <f t="shared" si="623"/>
        <v>28300</v>
      </c>
      <c r="B16662" s="1" t="str">
        <f>"03602"</f>
        <v>03602</v>
      </c>
      <c r="C16662" s="2">
        <v>2.5391849529780498E-2</v>
      </c>
      <c r="D16662" s="2">
        <v>6.63050030138637E-3</v>
      </c>
      <c r="E16662" s="2">
        <v>9.62082625919637E-3</v>
      </c>
      <c r="F16662" s="2">
        <v>2.3148724331051598E-2</v>
      </c>
    </row>
    <row r="16663" spans="1:6" x14ac:dyDescent="0.25">
      <c r="A16663" s="1" t="str">
        <f t="shared" si="623"/>
        <v>28300</v>
      </c>
      <c r="B16663" s="1" t="str">
        <f>"03447"</f>
        <v>03447</v>
      </c>
      <c r="C16663" s="2">
        <v>2.9068110572812701E-2</v>
      </c>
      <c r="D16663" s="2">
        <v>9.0415913200723296E-3</v>
      </c>
      <c r="E16663" s="2">
        <v>1.01867572156196E-2</v>
      </c>
      <c r="F16663" s="2">
        <v>2.6583696328562501E-2</v>
      </c>
    </row>
    <row r="16664" spans="1:6" x14ac:dyDescent="0.25">
      <c r="A16664" s="1" t="str">
        <f t="shared" si="623"/>
        <v>28300</v>
      </c>
      <c r="B16664" s="1" t="str">
        <f>"03462"</f>
        <v>03462</v>
      </c>
      <c r="C16664" s="2">
        <v>1.8210316329438501E-2</v>
      </c>
      <c r="D16664" s="2">
        <v>6.0277275467148796E-4</v>
      </c>
      <c r="E16664" s="2">
        <v>6.2252405206564701E-3</v>
      </c>
      <c r="F16664" s="2">
        <v>1.6228998133167302E-2</v>
      </c>
    </row>
    <row r="16665" spans="1:6" x14ac:dyDescent="0.25">
      <c r="A16665" s="1" t="str">
        <f t="shared" si="623"/>
        <v>28300</v>
      </c>
      <c r="B16665" s="1" t="str">
        <f>"03456"</f>
        <v>03456</v>
      </c>
      <c r="C16665" s="2">
        <v>7.4380165289256103E-3</v>
      </c>
      <c r="D16665" s="2">
        <v>1.2055455093429701E-3</v>
      </c>
      <c r="E16665" s="2">
        <v>5.6593095642331595E-4</v>
      </c>
      <c r="F16665" s="2">
        <v>6.6210329807093902E-3</v>
      </c>
    </row>
    <row r="16666" spans="1:6" x14ac:dyDescent="0.25">
      <c r="A16666" s="1" t="str">
        <f t="shared" si="623"/>
        <v>28300</v>
      </c>
      <c r="B16666" s="1" t="str">
        <f>"03609"</f>
        <v>03609</v>
      </c>
      <c r="C16666" s="2">
        <v>1.1199772014819E-2</v>
      </c>
      <c r="D16666" s="2">
        <v>1.2959614225437E-2</v>
      </c>
      <c r="E16666" s="2">
        <v>3.2823995472552298E-2</v>
      </c>
      <c r="F16666" s="2">
        <v>1.2296204107031699E-2</v>
      </c>
    </row>
    <row r="16667" spans="1:6" x14ac:dyDescent="0.25">
      <c r="A16667" s="1" t="str">
        <f t="shared" si="623"/>
        <v>28300</v>
      </c>
      <c r="B16667" s="1" t="str">
        <f>"03608"</f>
        <v>03608</v>
      </c>
      <c r="C16667" s="2">
        <v>2.7301225420347599E-2</v>
      </c>
      <c r="D16667" s="2">
        <v>9.9457504520795593E-3</v>
      </c>
      <c r="E16667" s="2">
        <v>7.9230333899264205E-3</v>
      </c>
      <c r="F16667" s="2">
        <v>2.5015556938394499E-2</v>
      </c>
    </row>
    <row r="16668" spans="1:6" x14ac:dyDescent="0.25">
      <c r="A16668" s="1" t="str">
        <f t="shared" si="623"/>
        <v>28300</v>
      </c>
      <c r="B16668" s="1" t="str">
        <f>"03441"</f>
        <v>03441</v>
      </c>
      <c r="C16668" s="2">
        <v>4.0182388144770504E-3</v>
      </c>
      <c r="D16668" s="2">
        <v>3.0138637733574398E-4</v>
      </c>
      <c r="E16668" s="2">
        <v>5.0933786078098398E-3</v>
      </c>
      <c r="F16668" s="2">
        <v>3.75855631611698E-3</v>
      </c>
    </row>
    <row r="16669" spans="1:6" x14ac:dyDescent="0.25">
      <c r="A16669" s="1" t="str">
        <f t="shared" si="623"/>
        <v>28300</v>
      </c>
      <c r="B16669" s="1" t="str">
        <f>"03446"</f>
        <v>03446</v>
      </c>
      <c r="C16669" s="2">
        <v>8.7888287261327996E-2</v>
      </c>
      <c r="D16669" s="2">
        <v>0.33001808318263998</v>
      </c>
      <c r="E16669" s="2">
        <v>5.4895302773061601E-2</v>
      </c>
      <c r="F16669" s="2">
        <v>0.10643434971997499</v>
      </c>
    </row>
    <row r="16670" spans="1:6" x14ac:dyDescent="0.25">
      <c r="A16670" s="1" t="str">
        <f t="shared" si="623"/>
        <v>28300</v>
      </c>
      <c r="B16670" s="1" t="str">
        <f>"03452"</f>
        <v>03452</v>
      </c>
      <c r="C16670" s="2">
        <v>7.30692504987175E-2</v>
      </c>
      <c r="D16670" s="2">
        <v>6.0277275467148797E-2</v>
      </c>
      <c r="E16670" s="2">
        <v>0.11997736276174301</v>
      </c>
      <c r="F16670" s="2">
        <v>7.4075917859365195E-2</v>
      </c>
    </row>
    <row r="16671" spans="1:6" x14ac:dyDescent="0.25">
      <c r="A16671" s="1" t="str">
        <f t="shared" si="623"/>
        <v>28300</v>
      </c>
      <c r="B16671" s="1" t="str">
        <f>"03604"</f>
        <v>03604</v>
      </c>
      <c r="C16671" s="2">
        <v>0</v>
      </c>
      <c r="D16671" s="2">
        <v>0</v>
      </c>
      <c r="E16671" s="2">
        <v>5.6593095642331595E-4</v>
      </c>
      <c r="F16671" s="2">
        <v>2.4891101431238299E-5</v>
      </c>
    </row>
    <row r="16672" spans="1:6" x14ac:dyDescent="0.25">
      <c r="A16672" s="1" t="str">
        <f t="shared" si="623"/>
        <v>28300</v>
      </c>
      <c r="B16672" s="1" t="str">
        <f>"03435"</f>
        <v>03435</v>
      </c>
      <c r="C16672" s="2">
        <v>0</v>
      </c>
      <c r="D16672" s="2">
        <v>3.0138637733574398E-4</v>
      </c>
      <c r="E16672" s="2">
        <v>0</v>
      </c>
      <c r="F16672" s="2">
        <v>2.4891101431238299E-5</v>
      </c>
    </row>
    <row r="16673" spans="1:6" x14ac:dyDescent="0.25">
      <c r="A16673" s="1" t="str">
        <f t="shared" si="623"/>
        <v>28300</v>
      </c>
      <c r="B16673" s="1" t="str">
        <f>"03280"</f>
        <v>03280</v>
      </c>
      <c r="C16673" s="2">
        <v>7.4095183813052104E-4</v>
      </c>
      <c r="D16673" s="2">
        <v>0</v>
      </c>
      <c r="E16673" s="2">
        <v>0</v>
      </c>
      <c r="F16673" s="2">
        <v>6.4716863721219603E-4</v>
      </c>
    </row>
    <row r="16674" spans="1:6" x14ac:dyDescent="0.25">
      <c r="A16674" s="1" t="str">
        <f t="shared" si="623"/>
        <v>28300</v>
      </c>
      <c r="B16674" s="1" t="str">
        <f>"03461"</f>
        <v>03461</v>
      </c>
      <c r="C16674" s="2">
        <v>0.111028783129096</v>
      </c>
      <c r="D16674" s="2">
        <v>2.5617842073538202E-2</v>
      </c>
      <c r="E16674" s="2">
        <v>3.9615166949632102E-2</v>
      </c>
      <c r="F16674" s="2">
        <v>0.100833851897946</v>
      </c>
    </row>
    <row r="16675" spans="1:6" x14ac:dyDescent="0.25">
      <c r="A16675" s="1" t="str">
        <f t="shared" si="623"/>
        <v>28300</v>
      </c>
      <c r="B16675" s="1" t="str">
        <f>"03464"</f>
        <v>03464</v>
      </c>
      <c r="C16675" s="2">
        <v>1.43915645483043E-2</v>
      </c>
      <c r="D16675" s="2">
        <v>3.01386377335744E-3</v>
      </c>
      <c r="E16675" s="2">
        <v>5.6593095642331595E-4</v>
      </c>
      <c r="F16675" s="2">
        <v>1.28438083385189E-2</v>
      </c>
    </row>
    <row r="16676" spans="1:6" x14ac:dyDescent="0.25">
      <c r="A16676" s="1" t="str">
        <f t="shared" si="623"/>
        <v>28300</v>
      </c>
      <c r="B16676" s="1" t="str">
        <f>"03470"</f>
        <v>03470</v>
      </c>
      <c r="C16676" s="2">
        <v>6.4434311769734895E-2</v>
      </c>
      <c r="D16676" s="2">
        <v>3.1645569620253097E-2</v>
      </c>
      <c r="E16676" s="2">
        <v>5.43293718166383E-2</v>
      </c>
      <c r="F16676" s="2">
        <v>6.1281891723708702E-2</v>
      </c>
    </row>
    <row r="16677" spans="1:6" x14ac:dyDescent="0.25">
      <c r="A16677" s="1" t="str">
        <f t="shared" si="623"/>
        <v>28300</v>
      </c>
      <c r="B16677" s="1" t="str">
        <f>"03451"</f>
        <v>03451</v>
      </c>
      <c r="C16677" s="2">
        <v>4.9928754630948903E-2</v>
      </c>
      <c r="D16677" s="2">
        <v>1.32610006027727E-2</v>
      </c>
      <c r="E16677" s="2">
        <v>3.7917374080362103E-2</v>
      </c>
      <c r="F16677" s="2">
        <v>4.6372121966396999E-2</v>
      </c>
    </row>
    <row r="16678" spans="1:6" x14ac:dyDescent="0.25">
      <c r="A16678" s="1" t="str">
        <f t="shared" si="623"/>
        <v>28300</v>
      </c>
      <c r="B16678" s="1" t="str">
        <f>"03443"</f>
        <v>03443</v>
      </c>
      <c r="C16678" s="2">
        <v>6.4975776574522602E-3</v>
      </c>
      <c r="D16678" s="2">
        <v>6.0277275467148796E-4</v>
      </c>
      <c r="E16678" s="2">
        <v>5.6593095642331597E-3</v>
      </c>
      <c r="F16678" s="2">
        <v>5.9738643434971896E-3</v>
      </c>
    </row>
    <row r="16679" spans="1:6" x14ac:dyDescent="0.25">
      <c r="A16679" s="1" t="str">
        <f t="shared" si="623"/>
        <v>28300</v>
      </c>
      <c r="B16679" s="1" t="str">
        <f>"03444"</f>
        <v>03444</v>
      </c>
      <c r="C16679" s="2">
        <v>1.2938159019663701E-2</v>
      </c>
      <c r="D16679" s="2">
        <v>7.2332730560578599E-3</v>
      </c>
      <c r="E16679" s="2">
        <v>1.41482739105829E-2</v>
      </c>
      <c r="F16679" s="2">
        <v>1.2520224019912801E-2</v>
      </c>
    </row>
    <row r="16680" spans="1:6" x14ac:dyDescent="0.25">
      <c r="A16680" s="1" t="str">
        <f t="shared" si="623"/>
        <v>28300</v>
      </c>
      <c r="B16680" s="1" t="str">
        <f>"03445"</f>
        <v>03445</v>
      </c>
      <c r="C16680" s="2">
        <v>8.3784554003989709E-3</v>
      </c>
      <c r="D16680" s="2">
        <v>6.0277275467148796E-4</v>
      </c>
      <c r="E16680" s="2">
        <v>2.8296547821165799E-3</v>
      </c>
      <c r="F16680" s="2">
        <v>7.4922215308027302E-3</v>
      </c>
    </row>
    <row r="16681" spans="1:6" x14ac:dyDescent="0.25">
      <c r="A16681" s="1" t="str">
        <f t="shared" si="623"/>
        <v>28300</v>
      </c>
      <c r="B16681" s="1" t="str">
        <f>"03469"</f>
        <v>03469</v>
      </c>
      <c r="C16681" s="2">
        <v>0</v>
      </c>
      <c r="D16681" s="2">
        <v>0</v>
      </c>
      <c r="E16681" s="2">
        <v>5.6593095642331595E-4</v>
      </c>
      <c r="F16681" s="2">
        <v>2.4891101431238299E-5</v>
      </c>
    </row>
    <row r="16682" spans="1:6" x14ac:dyDescent="0.25">
      <c r="A16682" s="1" t="str">
        <f t="shared" si="623"/>
        <v>28300</v>
      </c>
      <c r="B16682" s="1" t="str">
        <f>"03455"</f>
        <v>03455</v>
      </c>
      <c r="C16682" s="2">
        <v>2.3567968082074599E-2</v>
      </c>
      <c r="D16682" s="2">
        <v>3.9180229053646697E-3</v>
      </c>
      <c r="E16682" s="2">
        <v>2.20713073005093E-2</v>
      </c>
      <c r="F16682" s="2">
        <v>2.1879278158058402E-2</v>
      </c>
    </row>
    <row r="16683" spans="1:6" x14ac:dyDescent="0.25">
      <c r="A16683" s="1" t="str">
        <f t="shared" si="623"/>
        <v>28300</v>
      </c>
      <c r="B16683" s="1" t="str">
        <f>"03457"</f>
        <v>03457</v>
      </c>
      <c r="C16683" s="2">
        <v>1.2567683100598401E-2</v>
      </c>
      <c r="D16683" s="2">
        <v>3.0138637733574398E-4</v>
      </c>
      <c r="E16683" s="2">
        <v>0</v>
      </c>
      <c r="F16683" s="2">
        <v>1.10018668326073E-2</v>
      </c>
    </row>
    <row r="16684" spans="1:6" x14ac:dyDescent="0.25">
      <c r="A16684" s="1" t="str">
        <f t="shared" si="623"/>
        <v>28300</v>
      </c>
      <c r="B16684" s="1" t="str">
        <f>"03450"</f>
        <v>03450</v>
      </c>
      <c r="C16684" s="2">
        <v>1.32801367911085E-2</v>
      </c>
      <c r="D16684" s="2">
        <v>2.1097046413502099E-3</v>
      </c>
      <c r="E16684" s="2">
        <v>2.8296547821165799E-3</v>
      </c>
      <c r="F16684" s="2">
        <v>1.1897946484131901E-2</v>
      </c>
    </row>
    <row r="16685" spans="1:6" x14ac:dyDescent="0.25">
      <c r="A16685" s="1" t="str">
        <f t="shared" si="623"/>
        <v>28300</v>
      </c>
      <c r="B16685" s="1" t="str">
        <f>"03458"</f>
        <v>03458</v>
      </c>
      <c r="C16685" s="2">
        <v>1.13992590481618E-4</v>
      </c>
      <c r="D16685" s="2">
        <v>0</v>
      </c>
      <c r="E16685" s="2">
        <v>0</v>
      </c>
      <c r="F16685" s="2">
        <v>9.9564405724953306E-5</v>
      </c>
    </row>
    <row r="16686" spans="1:6" x14ac:dyDescent="0.25">
      <c r="A16686" s="1" t="str">
        <f t="shared" ref="A16686:A16704" si="624">"28340"</f>
        <v>28340</v>
      </c>
      <c r="B16686" s="1" t="str">
        <f>"46760"</f>
        <v>46760</v>
      </c>
      <c r="C16686" s="2">
        <v>2.9603028244200701E-2</v>
      </c>
      <c r="D16686" s="2">
        <v>8.8365243004418208E-3</v>
      </c>
      <c r="E16686" s="2">
        <v>2.4590163934426201E-2</v>
      </c>
      <c r="F16686" s="2">
        <v>2.8238018884731798E-2</v>
      </c>
    </row>
    <row r="16687" spans="1:6" x14ac:dyDescent="0.25">
      <c r="A16687" s="1" t="str">
        <f t="shared" si="624"/>
        <v>28340</v>
      </c>
      <c r="B16687" s="1" t="str">
        <f>"46784"</f>
        <v>46784</v>
      </c>
      <c r="C16687" s="2">
        <v>6.5369309909734996E-2</v>
      </c>
      <c r="D16687" s="2">
        <v>1.3254786450662699E-2</v>
      </c>
      <c r="E16687" s="2">
        <v>9.8360655737704902E-2</v>
      </c>
      <c r="F16687" s="2">
        <v>6.2934259754142102E-2</v>
      </c>
    </row>
    <row r="16688" spans="1:6" x14ac:dyDescent="0.25">
      <c r="A16688" s="1" t="str">
        <f t="shared" si="624"/>
        <v>28340</v>
      </c>
      <c r="B16688" s="1" t="str">
        <f>"46730"</f>
        <v>46730</v>
      </c>
      <c r="C16688" s="2">
        <v>2.42647772493448E-4</v>
      </c>
      <c r="D16688" s="2">
        <v>0</v>
      </c>
      <c r="E16688" s="2">
        <v>0</v>
      </c>
      <c r="F16688" s="2">
        <v>2.22697309816497E-4</v>
      </c>
    </row>
    <row r="16689" spans="1:6" x14ac:dyDescent="0.25">
      <c r="A16689" s="1" t="str">
        <f t="shared" si="624"/>
        <v>28340</v>
      </c>
      <c r="B16689" s="1" t="str">
        <f>"46748"</f>
        <v>46748</v>
      </c>
      <c r="C16689" s="2">
        <v>1.5529457439580701E-3</v>
      </c>
      <c r="D16689" s="2">
        <v>0</v>
      </c>
      <c r="E16689" s="2">
        <v>0</v>
      </c>
      <c r="F16689" s="2">
        <v>1.42526278282558E-3</v>
      </c>
    </row>
    <row r="16690" spans="1:6" x14ac:dyDescent="0.25">
      <c r="A16690" s="1" t="str">
        <f t="shared" si="624"/>
        <v>28340</v>
      </c>
      <c r="B16690" s="1" t="str">
        <f>"46571"</f>
        <v>46571</v>
      </c>
      <c r="C16690" s="2">
        <v>6.3088420848296598E-4</v>
      </c>
      <c r="D16690" s="2">
        <v>0</v>
      </c>
      <c r="E16690" s="2">
        <v>0</v>
      </c>
      <c r="F16690" s="2">
        <v>5.7901300552289298E-4</v>
      </c>
    </row>
    <row r="16691" spans="1:6" x14ac:dyDescent="0.25">
      <c r="A16691" s="1" t="str">
        <f t="shared" si="624"/>
        <v>28340</v>
      </c>
      <c r="B16691" s="1" t="str">
        <f>"46710"</f>
        <v>46710</v>
      </c>
      <c r="C16691" s="2">
        <v>9.5069397262933106E-2</v>
      </c>
      <c r="D16691" s="2">
        <v>4.6391752577319499E-2</v>
      </c>
      <c r="E16691" s="2">
        <v>3.8934426229508101E-2</v>
      </c>
      <c r="F16691" s="2">
        <v>9.0905041867094194E-2</v>
      </c>
    </row>
    <row r="16692" spans="1:6" x14ac:dyDescent="0.25">
      <c r="A16692" s="1" t="str">
        <f t="shared" si="624"/>
        <v>28340</v>
      </c>
      <c r="B16692" s="1" t="str">
        <f>"46701"</f>
        <v>46701</v>
      </c>
      <c r="C16692" s="2">
        <v>0.16378724643307699</v>
      </c>
      <c r="D16692" s="2">
        <v>0.153166421207658</v>
      </c>
      <c r="E16692" s="2">
        <v>0.14139344262295001</v>
      </c>
      <c r="F16692" s="2">
        <v>0.162658115089969</v>
      </c>
    </row>
    <row r="16693" spans="1:6" x14ac:dyDescent="0.25">
      <c r="A16693" s="1" t="str">
        <f t="shared" si="624"/>
        <v>28340</v>
      </c>
      <c r="B16693" s="1" t="str">
        <f>"46732"</f>
        <v>46732</v>
      </c>
      <c r="C16693" s="2">
        <v>4.2463360186353397E-2</v>
      </c>
      <c r="D16693" s="2">
        <v>8.8365243004418208E-3</v>
      </c>
      <c r="E16693" s="2">
        <v>2.0491803278688499E-2</v>
      </c>
      <c r="F16693" s="2">
        <v>3.9951897381079599E-2</v>
      </c>
    </row>
    <row r="16694" spans="1:6" x14ac:dyDescent="0.25">
      <c r="A16694" s="1" t="str">
        <f t="shared" si="624"/>
        <v>28340</v>
      </c>
      <c r="B16694" s="1" t="str">
        <f>"46543"</f>
        <v>46543</v>
      </c>
      <c r="C16694" s="2">
        <v>2.91177326992138E-4</v>
      </c>
      <c r="D16694" s="2">
        <v>0</v>
      </c>
      <c r="E16694" s="2">
        <v>0</v>
      </c>
      <c r="F16694" s="2">
        <v>2.6723677177979601E-4</v>
      </c>
    </row>
    <row r="16695" spans="1:6" x14ac:dyDescent="0.25">
      <c r="A16695" s="1" t="str">
        <f t="shared" si="624"/>
        <v>28340</v>
      </c>
      <c r="B16695" s="1" t="str">
        <f>"46795"</f>
        <v>46795</v>
      </c>
      <c r="C16695" s="2">
        <v>1.7567698728525601E-2</v>
      </c>
      <c r="D16695" s="2">
        <v>5.8910162002945498E-3</v>
      </c>
      <c r="E16695" s="2">
        <v>8.1967213114753999E-3</v>
      </c>
      <c r="F16695" s="2">
        <v>1.6657758774274001E-2</v>
      </c>
    </row>
    <row r="16696" spans="1:6" x14ac:dyDescent="0.25">
      <c r="A16696" s="1" t="str">
        <f t="shared" si="624"/>
        <v>28340</v>
      </c>
      <c r="B16696" s="1" t="str">
        <f>"46723"</f>
        <v>46723</v>
      </c>
      <c r="C16696" s="2">
        <v>1.9751528680966701E-2</v>
      </c>
      <c r="D16696" s="2">
        <v>6.62739322533136E-3</v>
      </c>
      <c r="E16696" s="2">
        <v>2.04918032786885E-3</v>
      </c>
      <c r="F16696" s="2">
        <v>1.85729556386958E-2</v>
      </c>
    </row>
    <row r="16697" spans="1:6" x14ac:dyDescent="0.25">
      <c r="A16697" s="1" t="str">
        <f t="shared" si="624"/>
        <v>28340</v>
      </c>
      <c r="B16697" s="1" t="str">
        <f>"46725"</f>
        <v>46725</v>
      </c>
      <c r="C16697" s="2">
        <v>2.0285353780452198E-2</v>
      </c>
      <c r="D16697" s="2">
        <v>4.4182621502209104E-3</v>
      </c>
      <c r="E16697" s="2">
        <v>4.0983606557376999E-3</v>
      </c>
      <c r="F16697" s="2">
        <v>1.8973810796365499E-2</v>
      </c>
    </row>
    <row r="16698" spans="1:6" x14ac:dyDescent="0.25">
      <c r="A16698" s="1" t="str">
        <f t="shared" si="624"/>
        <v>28340</v>
      </c>
      <c r="B16698" s="1" t="str">
        <f>"46767"</f>
        <v>46767</v>
      </c>
      <c r="C16698" s="2">
        <v>0.143501892652625</v>
      </c>
      <c r="D16698" s="2">
        <v>0.21281296023564</v>
      </c>
      <c r="E16698" s="2">
        <v>0.223360655737704</v>
      </c>
      <c r="F16698" s="2">
        <v>0.149429894886869</v>
      </c>
    </row>
    <row r="16699" spans="1:6" x14ac:dyDescent="0.25">
      <c r="A16699" s="1" t="str">
        <f t="shared" si="624"/>
        <v>28340</v>
      </c>
      <c r="B16699" s="1" t="str">
        <f>"46764"</f>
        <v>46764</v>
      </c>
      <c r="C16699" s="2">
        <v>1.9411821799475799E-3</v>
      </c>
      <c r="D16699" s="2">
        <v>1.4727540500736301E-3</v>
      </c>
      <c r="E16699" s="2">
        <v>0</v>
      </c>
      <c r="F16699" s="2">
        <v>1.8706574024585699E-3</v>
      </c>
    </row>
    <row r="16700" spans="1:6" x14ac:dyDescent="0.25">
      <c r="A16700" s="1" t="str">
        <f t="shared" si="624"/>
        <v>28340</v>
      </c>
      <c r="B16700" s="1" t="str">
        <f>"46562"</f>
        <v>46562</v>
      </c>
      <c r="C16700" s="2">
        <v>2.2808890614384098E-3</v>
      </c>
      <c r="D16700" s="2">
        <v>1.4727540500736301E-3</v>
      </c>
      <c r="E16700" s="2">
        <v>4.0983606557376999E-3</v>
      </c>
      <c r="F16700" s="2">
        <v>2.27151256012827E-3</v>
      </c>
    </row>
    <row r="16701" spans="1:6" x14ac:dyDescent="0.25">
      <c r="A16701" s="1" t="str">
        <f t="shared" si="624"/>
        <v>28340</v>
      </c>
      <c r="B16701" s="1" t="str">
        <f>"46763"</f>
        <v>46763</v>
      </c>
      <c r="C16701" s="2">
        <v>3.1010385324662701E-2</v>
      </c>
      <c r="D16701" s="2">
        <v>8.8365243004418208E-3</v>
      </c>
      <c r="E16701" s="2">
        <v>1.8442622950819599E-2</v>
      </c>
      <c r="F16701" s="2">
        <v>2.9396044895777601E-2</v>
      </c>
    </row>
    <row r="16702" spans="1:6" x14ac:dyDescent="0.25">
      <c r="A16702" s="1" t="str">
        <f t="shared" si="624"/>
        <v>28340</v>
      </c>
      <c r="B16702" s="1" t="str">
        <f>"46794"</f>
        <v>46794</v>
      </c>
      <c r="C16702" s="2">
        <v>3.0622148888673199E-2</v>
      </c>
      <c r="D16702" s="2">
        <v>8.8365243004418208E-3</v>
      </c>
      <c r="E16702" s="2">
        <v>6.1475409836065503E-3</v>
      </c>
      <c r="F16702" s="2">
        <v>2.8772492428291399E-2</v>
      </c>
    </row>
    <row r="16703" spans="1:6" x14ac:dyDescent="0.25">
      <c r="A16703" s="1" t="str">
        <f t="shared" si="624"/>
        <v>28340</v>
      </c>
      <c r="B16703" s="1" t="str">
        <f>"46796"</f>
        <v>46796</v>
      </c>
      <c r="C16703" s="2">
        <v>3.8823643598951698E-4</v>
      </c>
      <c r="D16703" s="2">
        <v>0</v>
      </c>
      <c r="E16703" s="2">
        <v>4.0983606557376999E-3</v>
      </c>
      <c r="F16703" s="2">
        <v>4.45394619632994E-4</v>
      </c>
    </row>
    <row r="16704" spans="1:6" x14ac:dyDescent="0.25">
      <c r="A16704" s="1" t="str">
        <f t="shared" si="624"/>
        <v>28340</v>
      </c>
      <c r="B16704" s="1" t="str">
        <f>"46755"</f>
        <v>46755</v>
      </c>
      <c r="C16704" s="2">
        <v>0.33364068717849099</v>
      </c>
      <c r="D16704" s="2">
        <v>0.519145802650957</v>
      </c>
      <c r="E16704" s="2">
        <v>0.40573770491803202</v>
      </c>
      <c r="F16704" s="2">
        <v>0.34642793515054299</v>
      </c>
    </row>
    <row r="16705" spans="1:6" x14ac:dyDescent="0.25">
      <c r="A16705" s="1" t="str">
        <f t="shared" ref="A16705:A16719" si="625">"28380"</f>
        <v>28380</v>
      </c>
      <c r="B16705" s="1" t="str">
        <f>"63875"</f>
        <v>63875</v>
      </c>
      <c r="C16705" s="2">
        <v>0</v>
      </c>
      <c r="D16705" s="2">
        <v>0</v>
      </c>
      <c r="E16705" s="2">
        <v>2.17391304347826E-3</v>
      </c>
      <c r="F16705" s="2">
        <v>5.8455602969544603E-5</v>
      </c>
    </row>
    <row r="16706" spans="1:6" x14ac:dyDescent="0.25">
      <c r="A16706" s="1" t="str">
        <f t="shared" si="625"/>
        <v>28380</v>
      </c>
      <c r="B16706" s="1" t="str">
        <f>"63849"</f>
        <v>63849</v>
      </c>
      <c r="C16706" s="2">
        <v>5.21988777241289E-3</v>
      </c>
      <c r="D16706" s="2">
        <v>0</v>
      </c>
      <c r="E16706" s="2">
        <v>0</v>
      </c>
      <c r="F16706" s="2">
        <v>4.6764482375635701E-3</v>
      </c>
    </row>
    <row r="16707" spans="1:6" x14ac:dyDescent="0.25">
      <c r="A16707" s="1" t="str">
        <f t="shared" si="625"/>
        <v>28380</v>
      </c>
      <c r="B16707" s="1" t="str">
        <f>"63837"</f>
        <v>63837</v>
      </c>
      <c r="C16707" s="2">
        <v>4.39123058854234E-2</v>
      </c>
      <c r="D16707" s="2">
        <v>1.43830431491294E-2</v>
      </c>
      <c r="E16707" s="2">
        <v>1.0869565217391301E-2</v>
      </c>
      <c r="F16707" s="2">
        <v>4.0743555269772601E-2</v>
      </c>
    </row>
    <row r="16708" spans="1:6" x14ac:dyDescent="0.25">
      <c r="A16708" s="1" t="str">
        <f t="shared" si="625"/>
        <v>28380</v>
      </c>
      <c r="B16708" s="1" t="str">
        <f>"63877"</f>
        <v>63877</v>
      </c>
      <c r="C16708" s="2">
        <v>7.8298316586193303E-4</v>
      </c>
      <c r="D16708" s="2">
        <v>7.5700227100681302E-4</v>
      </c>
      <c r="E16708" s="2">
        <v>0</v>
      </c>
      <c r="F16708" s="2">
        <v>7.5992283860407996E-4</v>
      </c>
    </row>
    <row r="16709" spans="1:6" x14ac:dyDescent="0.25">
      <c r="A16709" s="1" t="str">
        <f t="shared" si="625"/>
        <v>28380</v>
      </c>
      <c r="B16709" s="1" t="str">
        <f>"63852"</f>
        <v>63852</v>
      </c>
      <c r="C16709" s="2">
        <v>3.9605898473182799E-2</v>
      </c>
      <c r="D16709" s="2">
        <v>6.8130204390613102E-3</v>
      </c>
      <c r="E16709" s="2">
        <v>2.17391304347826E-3</v>
      </c>
      <c r="F16709" s="2">
        <v>3.6067107032209E-2</v>
      </c>
    </row>
    <row r="16710" spans="1:6" x14ac:dyDescent="0.25">
      <c r="A16710" s="1" t="str">
        <f t="shared" si="625"/>
        <v>28380</v>
      </c>
      <c r="B16710" s="1" t="str">
        <f>"63829"</f>
        <v>63829</v>
      </c>
      <c r="C16710" s="2">
        <v>3.9149158293096599E-2</v>
      </c>
      <c r="D16710" s="2">
        <v>2.3467070401211199E-2</v>
      </c>
      <c r="E16710" s="2">
        <v>8.6956521739130401E-3</v>
      </c>
      <c r="F16710" s="2">
        <v>3.7119307885660799E-2</v>
      </c>
    </row>
    <row r="16711" spans="1:6" x14ac:dyDescent="0.25">
      <c r="A16711" s="1" t="str">
        <f t="shared" si="625"/>
        <v>28380</v>
      </c>
      <c r="B16711" s="1" t="str">
        <f>"63847"</f>
        <v>63847</v>
      </c>
      <c r="C16711" s="2">
        <v>1.8922093174996699E-3</v>
      </c>
      <c r="D16711" s="2">
        <v>0</v>
      </c>
      <c r="E16711" s="2">
        <v>4.3478260869565201E-3</v>
      </c>
      <c r="F16711" s="2">
        <v>1.81212369205588E-3</v>
      </c>
    </row>
    <row r="16712" spans="1:6" x14ac:dyDescent="0.25">
      <c r="A16712" s="1" t="str">
        <f t="shared" si="625"/>
        <v>28380</v>
      </c>
      <c r="B16712" s="1" t="str">
        <f>"63855"</f>
        <v>63855</v>
      </c>
      <c r="C16712" s="2">
        <v>3.5429988255252502E-2</v>
      </c>
      <c r="D16712" s="2">
        <v>2.95230885692657E-2</v>
      </c>
      <c r="E16712" s="2">
        <v>6.5217391304347797E-3</v>
      </c>
      <c r="F16712" s="2">
        <v>3.4196527737183603E-2</v>
      </c>
    </row>
    <row r="16713" spans="1:6" x14ac:dyDescent="0.25">
      <c r="A16713" s="1" t="str">
        <f t="shared" si="625"/>
        <v>28380</v>
      </c>
      <c r="B16713" s="1" t="str">
        <f>"63822"</f>
        <v>63822</v>
      </c>
      <c r="C16713" s="2">
        <v>1.4354691374135399E-3</v>
      </c>
      <c r="D16713" s="2">
        <v>0</v>
      </c>
      <c r="E16713" s="2">
        <v>0</v>
      </c>
      <c r="F16713" s="2">
        <v>1.2860232653299801E-3</v>
      </c>
    </row>
    <row r="16714" spans="1:6" x14ac:dyDescent="0.25">
      <c r="A16714" s="1" t="str">
        <f t="shared" si="625"/>
        <v>28380</v>
      </c>
      <c r="B16714" s="1" t="str">
        <f>"63857"</f>
        <v>63857</v>
      </c>
      <c r="C16714" s="2">
        <v>0.40277959023880899</v>
      </c>
      <c r="D16714" s="2">
        <v>0.49129447388342101</v>
      </c>
      <c r="E16714" s="2">
        <v>0.81086956521739095</v>
      </c>
      <c r="F16714" s="2">
        <v>0.42058806336587301</v>
      </c>
    </row>
    <row r="16715" spans="1:6" x14ac:dyDescent="0.25">
      <c r="A16715" s="1" t="str">
        <f t="shared" si="625"/>
        <v>28380</v>
      </c>
      <c r="B16715" s="1" t="str">
        <f>"63863"</f>
        <v>63863</v>
      </c>
      <c r="C16715" s="2">
        <v>0.20886075949367</v>
      </c>
      <c r="D16715" s="2">
        <v>0.273277819833459</v>
      </c>
      <c r="E16715" s="2">
        <v>0.13043478260869501</v>
      </c>
      <c r="F16715" s="2">
        <v>0.21172619395569001</v>
      </c>
    </row>
    <row r="16716" spans="1:6" x14ac:dyDescent="0.25">
      <c r="A16716" s="1" t="str">
        <f t="shared" si="625"/>
        <v>28380</v>
      </c>
      <c r="B16716" s="1" t="str">
        <f>"63933"</f>
        <v>63933</v>
      </c>
      <c r="C16716" s="2">
        <v>0.11509852538170399</v>
      </c>
      <c r="D16716" s="2">
        <v>0.10976532929598699</v>
      </c>
      <c r="E16716" s="2">
        <v>6.5217391304347797E-3</v>
      </c>
      <c r="F16716" s="2">
        <v>0.111767112877769</v>
      </c>
    </row>
    <row r="16717" spans="1:6" x14ac:dyDescent="0.25">
      <c r="A16717" s="1" t="str">
        <f t="shared" si="625"/>
        <v>28380</v>
      </c>
      <c r="B16717" s="1" t="str">
        <f>"63821"</f>
        <v>63821</v>
      </c>
      <c r="C16717" s="2">
        <v>3.1188829440167001E-2</v>
      </c>
      <c r="D16717" s="2">
        <v>2.1953065859197499E-2</v>
      </c>
      <c r="E16717" s="2">
        <v>2.17391304347826E-3</v>
      </c>
      <c r="F16717" s="2">
        <v>2.9695446308528599E-2</v>
      </c>
    </row>
    <row r="16718" spans="1:6" x14ac:dyDescent="0.25">
      <c r="A16718" s="1" t="str">
        <f t="shared" si="625"/>
        <v>28380</v>
      </c>
      <c r="B16718" s="1" t="str">
        <f>"63880"</f>
        <v>63880</v>
      </c>
      <c r="C16718" s="2">
        <v>0</v>
      </c>
      <c r="D16718" s="2">
        <v>0</v>
      </c>
      <c r="E16718" s="2">
        <v>2.17391304347826E-3</v>
      </c>
      <c r="F16718" s="2">
        <v>5.8455602969544603E-5</v>
      </c>
    </row>
    <row r="16719" spans="1:6" x14ac:dyDescent="0.25">
      <c r="A16719" s="1" t="str">
        <f t="shared" si="625"/>
        <v>28380</v>
      </c>
      <c r="B16719" s="1" t="str">
        <f>"63876"</f>
        <v>63876</v>
      </c>
      <c r="C16719" s="2">
        <v>7.4644395145504305E-2</v>
      </c>
      <c r="D16719" s="2">
        <v>2.8766086298258799E-2</v>
      </c>
      <c r="E16719" s="2">
        <v>1.30434782608695E-2</v>
      </c>
      <c r="F16719" s="2">
        <v>6.9445256327819005E-2</v>
      </c>
    </row>
    <row r="16720" spans="1:6" x14ac:dyDescent="0.25">
      <c r="A16720" s="1" t="str">
        <f t="shared" ref="A16720:A16739" si="626">"28420"</f>
        <v>28420</v>
      </c>
      <c r="B16720" s="1" t="str">
        <f>"99338"</f>
        <v>99338</v>
      </c>
      <c r="C16720" s="2">
        <v>6.0363321799307902E-2</v>
      </c>
      <c r="D16720" s="2">
        <v>2.2287508864350099E-2</v>
      </c>
      <c r="E16720" s="2">
        <v>2.2280092592592501E-2</v>
      </c>
      <c r="F16720" s="2">
        <v>5.6427280554112003E-2</v>
      </c>
    </row>
    <row r="16721" spans="1:6" x14ac:dyDescent="0.25">
      <c r="A16721" s="1" t="str">
        <f t="shared" si="626"/>
        <v>28420</v>
      </c>
      <c r="B16721" s="1" t="str">
        <f>"99302"</f>
        <v>99302</v>
      </c>
      <c r="C16721" s="2">
        <v>1.8088235294117599E-2</v>
      </c>
      <c r="D16721" s="2">
        <v>6.76729814608448E-2</v>
      </c>
      <c r="E16721" s="2">
        <v>5.7870370370370302E-4</v>
      </c>
      <c r="F16721" s="2">
        <v>2.1415219465278801E-2</v>
      </c>
    </row>
    <row r="16722" spans="1:6" x14ac:dyDescent="0.25">
      <c r="A16722" s="1" t="str">
        <f t="shared" si="626"/>
        <v>28420</v>
      </c>
      <c r="B16722" s="1" t="str">
        <f>"99371"</f>
        <v>99371</v>
      </c>
      <c r="C16722" s="2">
        <v>1.7301038062283701E-5</v>
      </c>
      <c r="D16722" s="2">
        <v>0</v>
      </c>
      <c r="E16722" s="2">
        <v>0</v>
      </c>
      <c r="F16722" s="2">
        <v>1.55126544478658E-5</v>
      </c>
    </row>
    <row r="16723" spans="1:6" x14ac:dyDescent="0.25">
      <c r="A16723" s="1" t="str">
        <f t="shared" si="626"/>
        <v>28420</v>
      </c>
      <c r="B16723" s="1" t="str">
        <f>"99344"</f>
        <v>99344</v>
      </c>
      <c r="C16723" s="2">
        <v>2.1193771626297499E-3</v>
      </c>
      <c r="D16723" s="2">
        <v>4.0522743389727399E-4</v>
      </c>
      <c r="E16723" s="2">
        <v>5.7870370370370302E-4</v>
      </c>
      <c r="F16723" s="2">
        <v>1.9468381332071599E-3</v>
      </c>
    </row>
    <row r="16724" spans="1:6" x14ac:dyDescent="0.25">
      <c r="A16724" s="1" t="str">
        <f t="shared" si="626"/>
        <v>28420</v>
      </c>
      <c r="B16724" s="1" t="str">
        <f>"99350"</f>
        <v>99350</v>
      </c>
      <c r="C16724" s="2">
        <v>4.14619377162629E-2</v>
      </c>
      <c r="D16724" s="2">
        <v>3.9509674804984199E-2</v>
      </c>
      <c r="E16724" s="2">
        <v>4.2245370370370301E-2</v>
      </c>
      <c r="F16724" s="2">
        <v>4.1333467776338499E-2</v>
      </c>
    </row>
    <row r="16725" spans="1:6" x14ac:dyDescent="0.25">
      <c r="A16725" s="1" t="str">
        <f t="shared" si="626"/>
        <v>28420</v>
      </c>
      <c r="B16725" s="1" t="str">
        <f>"99354"</f>
        <v>99354</v>
      </c>
      <c r="C16725" s="2">
        <v>9.1271626297577804E-2</v>
      </c>
      <c r="D16725" s="2">
        <v>8.2666396515043997E-2</v>
      </c>
      <c r="E16725" s="2">
        <v>8.4780092592592504E-2</v>
      </c>
      <c r="F16725" s="2">
        <v>9.04387754310578E-2</v>
      </c>
    </row>
    <row r="16726" spans="1:6" x14ac:dyDescent="0.25">
      <c r="A16726" s="1" t="str">
        <f t="shared" si="626"/>
        <v>28420</v>
      </c>
      <c r="B16726" s="1" t="str">
        <f>"99330"</f>
        <v>99330</v>
      </c>
      <c r="C16726" s="2">
        <v>3.4256055363321701E-3</v>
      </c>
      <c r="D16726" s="2">
        <v>1.82352345253773E-3</v>
      </c>
      <c r="E16726" s="2">
        <v>5.7870370370370302E-4</v>
      </c>
      <c r="F16726" s="2">
        <v>3.22663212515609E-3</v>
      </c>
    </row>
    <row r="16727" spans="1:6" x14ac:dyDescent="0.25">
      <c r="A16727" s="1" t="str">
        <f t="shared" si="626"/>
        <v>28420</v>
      </c>
      <c r="B16727" s="1" t="str">
        <f>"99301"</f>
        <v>99301</v>
      </c>
      <c r="C16727" s="2">
        <v>0.23617647058823499</v>
      </c>
      <c r="D16727" s="2">
        <v>0.19825752203424099</v>
      </c>
      <c r="E16727" s="2">
        <v>0.23668981481481399</v>
      </c>
      <c r="F16727" s="2">
        <v>0.23328705391422999</v>
      </c>
    </row>
    <row r="16728" spans="1:6" x14ac:dyDescent="0.25">
      <c r="A16728" s="1" t="str">
        <f t="shared" si="626"/>
        <v>28420</v>
      </c>
      <c r="B16728" s="1" t="str">
        <f>"98944"</f>
        <v>98944</v>
      </c>
      <c r="C16728" s="2">
        <v>1.03806228373702E-4</v>
      </c>
      <c r="D16728" s="2">
        <v>3.0392057542295598E-4</v>
      </c>
      <c r="E16728" s="2">
        <v>0</v>
      </c>
      <c r="F16728" s="2">
        <v>1.16344908358993E-4</v>
      </c>
    </row>
    <row r="16729" spans="1:6" x14ac:dyDescent="0.25">
      <c r="A16729" s="1" t="str">
        <f t="shared" si="626"/>
        <v>28420</v>
      </c>
      <c r="B16729" s="1" t="str">
        <f>"99336"</f>
        <v>99336</v>
      </c>
      <c r="C16729" s="2">
        <v>0.187543252595155</v>
      </c>
      <c r="D16729" s="2">
        <v>0.34059365819065901</v>
      </c>
      <c r="E16729" s="2">
        <v>0.37471064814814797</v>
      </c>
      <c r="F16729" s="2">
        <v>0.204278390096721</v>
      </c>
    </row>
    <row r="16730" spans="1:6" x14ac:dyDescent="0.25">
      <c r="A16730" s="1" t="str">
        <f t="shared" si="626"/>
        <v>28420</v>
      </c>
      <c r="B16730" s="1" t="str">
        <f>"99320"</f>
        <v>99320</v>
      </c>
      <c r="C16730" s="2">
        <v>3.06487889273356E-2</v>
      </c>
      <c r="D16730" s="2">
        <v>5.7744909330361598E-3</v>
      </c>
      <c r="E16730" s="2">
        <v>1.24421296296296E-2</v>
      </c>
      <c r="F16730" s="2">
        <v>2.8256300076787599E-2</v>
      </c>
    </row>
    <row r="16731" spans="1:6" x14ac:dyDescent="0.25">
      <c r="A16731" s="1" t="str">
        <f t="shared" si="626"/>
        <v>28420</v>
      </c>
      <c r="B16731" s="1" t="str">
        <f>"99352"</f>
        <v>99352</v>
      </c>
      <c r="C16731" s="2">
        <v>0.149204152249134</v>
      </c>
      <c r="D16731" s="2">
        <v>0.179617060074967</v>
      </c>
      <c r="E16731" s="2">
        <v>8.9120370370370294E-2</v>
      </c>
      <c r="F16731" s="2">
        <v>0.14992204891139899</v>
      </c>
    </row>
    <row r="16732" spans="1:6" x14ac:dyDescent="0.25">
      <c r="A16732" s="1" t="str">
        <f t="shared" si="626"/>
        <v>28420</v>
      </c>
      <c r="B16732" s="1" t="str">
        <f>"99353"</f>
        <v>99353</v>
      </c>
      <c r="C16732" s="2">
        <v>6.4333910034601996E-2</v>
      </c>
      <c r="D16732" s="2">
        <v>3.4950866173639898E-2</v>
      </c>
      <c r="E16732" s="2">
        <v>2.1122685185185099E-2</v>
      </c>
      <c r="F16732" s="2">
        <v>6.0925950343993097E-2</v>
      </c>
    </row>
    <row r="16733" spans="1:6" x14ac:dyDescent="0.25">
      <c r="A16733" s="1" t="str">
        <f t="shared" si="626"/>
        <v>28420</v>
      </c>
      <c r="B16733" s="1" t="str">
        <f>"99343"</f>
        <v>99343</v>
      </c>
      <c r="C16733" s="2">
        <v>6.4273356401383999E-3</v>
      </c>
      <c r="D16733" s="2">
        <v>4.3561949143956996E-3</v>
      </c>
      <c r="E16733" s="2">
        <v>2.8067129629629602E-2</v>
      </c>
      <c r="F16733" s="2">
        <v>6.84883693873277E-3</v>
      </c>
    </row>
    <row r="16734" spans="1:6" x14ac:dyDescent="0.25">
      <c r="A16734" s="1" t="str">
        <f t="shared" si="626"/>
        <v>28420</v>
      </c>
      <c r="B16734" s="1" t="str">
        <f>"99335"</f>
        <v>99335</v>
      </c>
      <c r="C16734" s="2">
        <v>0</v>
      </c>
      <c r="D16734" s="2">
        <v>0</v>
      </c>
      <c r="E16734" s="2">
        <v>2.8935185185185102E-4</v>
      </c>
      <c r="F16734" s="2">
        <v>7.7563272239329203E-6</v>
      </c>
    </row>
    <row r="16735" spans="1:6" x14ac:dyDescent="0.25">
      <c r="A16735" s="1" t="str">
        <f t="shared" si="626"/>
        <v>28420</v>
      </c>
      <c r="B16735" s="1" t="str">
        <f>"98930"</f>
        <v>98930</v>
      </c>
      <c r="C16735" s="2">
        <v>2.1020761245674701E-3</v>
      </c>
      <c r="D16735" s="2">
        <v>4.0522743389727399E-4</v>
      </c>
      <c r="E16735" s="2">
        <v>5.7870370370370302E-4</v>
      </c>
      <c r="F16735" s="2">
        <v>1.93132547875929E-3</v>
      </c>
    </row>
    <row r="16736" spans="1:6" x14ac:dyDescent="0.25">
      <c r="A16736" s="1" t="str">
        <f t="shared" si="626"/>
        <v>28420</v>
      </c>
      <c r="B16736" s="1" t="str">
        <f>"99337"</f>
        <v>99337</v>
      </c>
      <c r="C16736" s="2">
        <v>0.105224913494809</v>
      </c>
      <c r="D16736" s="2">
        <v>1.9248303110120501E-2</v>
      </c>
      <c r="E16736" s="2">
        <v>4.8321759259259203E-2</v>
      </c>
      <c r="F16736" s="2">
        <v>9.7116973170864096E-2</v>
      </c>
    </row>
    <row r="16737" spans="1:6" x14ac:dyDescent="0.25">
      <c r="A16737" s="1" t="str">
        <f t="shared" si="626"/>
        <v>28420</v>
      </c>
      <c r="B16737" s="1" t="str">
        <f>"99345"</f>
        <v>99345</v>
      </c>
      <c r="C16737" s="2">
        <v>0</v>
      </c>
      <c r="D16737" s="2">
        <v>0</v>
      </c>
      <c r="E16737" s="2">
        <v>5.7870370370370302E-4</v>
      </c>
      <c r="F16737" s="2">
        <v>1.55126544478658E-5</v>
      </c>
    </row>
    <row r="16738" spans="1:6" x14ac:dyDescent="0.25">
      <c r="A16738" s="1" t="str">
        <f t="shared" si="626"/>
        <v>28420</v>
      </c>
      <c r="B16738" s="1" t="str">
        <f>"99346"</f>
        <v>99346</v>
      </c>
      <c r="C16738" s="2">
        <v>0</v>
      </c>
      <c r="D16738" s="2">
        <v>0</v>
      </c>
      <c r="E16738" s="2">
        <v>2.1122685185185099E-2</v>
      </c>
      <c r="F16738" s="2">
        <v>5.6621188734710297E-4</v>
      </c>
    </row>
    <row r="16739" spans="1:6" x14ac:dyDescent="0.25">
      <c r="A16739" s="1" t="str">
        <f t="shared" si="626"/>
        <v>28420</v>
      </c>
      <c r="B16739" s="1" t="str">
        <f>"99326"</f>
        <v>99326</v>
      </c>
      <c r="C16739" s="2">
        <v>1.4878892733564001E-3</v>
      </c>
      <c r="D16739" s="2">
        <v>2.1274440279606898E-3</v>
      </c>
      <c r="E16739" s="2">
        <v>1.5914351851851801E-2</v>
      </c>
      <c r="F16739" s="2">
        <v>1.92356915153536E-3</v>
      </c>
    </row>
    <row r="16740" spans="1:6" x14ac:dyDescent="0.25">
      <c r="A16740" s="1" t="str">
        <f t="shared" ref="A16740:A16752" si="627">"28500"</f>
        <v>28500</v>
      </c>
      <c r="B16740" s="1" t="str">
        <f>"78624"</f>
        <v>78624</v>
      </c>
      <c r="C16740" s="2">
        <v>3.5982872152855199E-4</v>
      </c>
      <c r="D16740" s="2">
        <v>0</v>
      </c>
      <c r="E16740" s="2">
        <v>0</v>
      </c>
      <c r="F16740" s="2">
        <v>3.1489120508864098E-4</v>
      </c>
    </row>
    <row r="16741" spans="1:6" x14ac:dyDescent="0.25">
      <c r="A16741" s="1" t="str">
        <f t="shared" si="627"/>
        <v>28500</v>
      </c>
      <c r="B16741" s="1" t="str">
        <f>"78028"</f>
        <v>78028</v>
      </c>
      <c r="C16741" s="2">
        <v>0.68421431398654198</v>
      </c>
      <c r="D16741" s="2">
        <v>0.72790237467018404</v>
      </c>
      <c r="E16741" s="2">
        <v>0.87580299785867199</v>
      </c>
      <c r="F16741" s="2">
        <v>0.69402021601536601</v>
      </c>
    </row>
    <row r="16742" spans="1:6" x14ac:dyDescent="0.25">
      <c r="A16742" s="1" t="str">
        <f t="shared" si="627"/>
        <v>28500</v>
      </c>
      <c r="B16742" s="1" t="str">
        <f>"76849"</f>
        <v>76849</v>
      </c>
      <c r="C16742" s="2">
        <v>1.83512647979561E-3</v>
      </c>
      <c r="D16742" s="2">
        <v>0</v>
      </c>
      <c r="E16742" s="2">
        <v>1.0706638115631599E-3</v>
      </c>
      <c r="F16742" s="2">
        <v>1.63743426646093E-3</v>
      </c>
    </row>
    <row r="16743" spans="1:6" x14ac:dyDescent="0.25">
      <c r="A16743" s="1" t="str">
        <f t="shared" si="627"/>
        <v>28500</v>
      </c>
      <c r="B16743" s="1" t="str">
        <f>"78003"</f>
        <v>78003</v>
      </c>
      <c r="C16743" s="2">
        <v>7.1965744305710401E-5</v>
      </c>
      <c r="D16743" s="2">
        <v>0</v>
      </c>
      <c r="E16743" s="2">
        <v>0</v>
      </c>
      <c r="F16743" s="2">
        <v>6.2978241017728296E-5</v>
      </c>
    </row>
    <row r="16744" spans="1:6" x14ac:dyDescent="0.25">
      <c r="A16744" s="1" t="str">
        <f t="shared" si="627"/>
        <v>28500</v>
      </c>
      <c r="B16744" s="1" t="str">
        <f>"78631"</f>
        <v>78631</v>
      </c>
      <c r="C16744" s="2">
        <v>6.0451225216796804E-3</v>
      </c>
      <c r="D16744" s="2">
        <v>0</v>
      </c>
      <c r="E16744" s="2">
        <v>1.0706638115631599E-3</v>
      </c>
      <c r="F16744" s="2">
        <v>5.3216613659980401E-3</v>
      </c>
    </row>
    <row r="16745" spans="1:6" x14ac:dyDescent="0.25">
      <c r="A16745" s="1" t="str">
        <f t="shared" si="627"/>
        <v>28500</v>
      </c>
      <c r="B16745" s="1" t="str">
        <f>"78058"</f>
        <v>78058</v>
      </c>
      <c r="C16745" s="2">
        <v>1.7667590227051898E-2</v>
      </c>
      <c r="D16745" s="2">
        <v>2.3087071240105502E-3</v>
      </c>
      <c r="E16745" s="2">
        <v>2.1413276231263302E-3</v>
      </c>
      <c r="F16745" s="2">
        <v>1.5744560254432001E-2</v>
      </c>
    </row>
    <row r="16746" spans="1:6" x14ac:dyDescent="0.25">
      <c r="A16746" s="1" t="str">
        <f t="shared" si="627"/>
        <v>28500</v>
      </c>
      <c r="B16746" s="1" t="str">
        <f>"78055"</f>
        <v>78055</v>
      </c>
      <c r="C16746" s="2">
        <v>1.4393148861141999E-4</v>
      </c>
      <c r="D16746" s="2">
        <v>3.2981530343007898E-4</v>
      </c>
      <c r="E16746" s="2">
        <v>0</v>
      </c>
      <c r="F16746" s="2">
        <v>1.5744560254432E-4</v>
      </c>
    </row>
    <row r="16747" spans="1:6" x14ac:dyDescent="0.25">
      <c r="A16747" s="1" t="str">
        <f t="shared" si="627"/>
        <v>28500</v>
      </c>
      <c r="B16747" s="1" t="str">
        <f>"78013"</f>
        <v>78013</v>
      </c>
      <c r="C16747" s="2">
        <v>2.3496815515814399E-2</v>
      </c>
      <c r="D16747" s="2">
        <v>9.8944591029023711E-4</v>
      </c>
      <c r="E16747" s="2">
        <v>7.49464668094218E-3</v>
      </c>
      <c r="F16747" s="2">
        <v>2.08772868973769E-2</v>
      </c>
    </row>
    <row r="16748" spans="1:6" x14ac:dyDescent="0.25">
      <c r="A16748" s="1" t="str">
        <f t="shared" si="627"/>
        <v>28500</v>
      </c>
      <c r="B16748" s="1" t="str">
        <f>"78063"</f>
        <v>78063</v>
      </c>
      <c r="C16748" s="2">
        <v>4.31794465834262E-4</v>
      </c>
      <c r="D16748" s="2">
        <v>0</v>
      </c>
      <c r="E16748" s="2">
        <v>0</v>
      </c>
      <c r="F16748" s="2">
        <v>3.7786944610637002E-4</v>
      </c>
    </row>
    <row r="16749" spans="1:6" x14ac:dyDescent="0.25">
      <c r="A16749" s="1" t="str">
        <f t="shared" si="627"/>
        <v>28500</v>
      </c>
      <c r="B16749" s="1" t="str">
        <f>"78024"</f>
        <v>78024</v>
      </c>
      <c r="C16749" s="2">
        <v>1.6120326724479099E-2</v>
      </c>
      <c r="D16749" s="2">
        <v>3.9577836411609398E-3</v>
      </c>
      <c r="E16749" s="2">
        <v>3.2119914346895001E-3</v>
      </c>
      <c r="F16749" s="2">
        <v>1.45794627956041E-2</v>
      </c>
    </row>
    <row r="16750" spans="1:6" x14ac:dyDescent="0.25">
      <c r="A16750" s="1" t="str">
        <f t="shared" si="627"/>
        <v>28500</v>
      </c>
      <c r="B16750" s="1" t="str">
        <f>"78025"</f>
        <v>78025</v>
      </c>
      <c r="C16750" s="2">
        <v>0.11680040300816801</v>
      </c>
      <c r="D16750" s="2">
        <v>8.3773087071240093E-2</v>
      </c>
      <c r="E16750" s="2">
        <v>8.1370449678800805E-2</v>
      </c>
      <c r="F16750" s="2">
        <v>0.112605094939698</v>
      </c>
    </row>
    <row r="16751" spans="1:6" x14ac:dyDescent="0.25">
      <c r="A16751" s="1" t="str">
        <f t="shared" si="627"/>
        <v>28500</v>
      </c>
      <c r="B16751" s="1" t="str">
        <f>"78010"</f>
        <v>78010</v>
      </c>
      <c r="C16751" s="2">
        <v>4.1416285847936302E-2</v>
      </c>
      <c r="D16751" s="2">
        <v>7.9155672823218899E-3</v>
      </c>
      <c r="E16751" s="2">
        <v>2.6766595289079199E-2</v>
      </c>
      <c r="F16751" s="2">
        <v>3.7786944610637002E-2</v>
      </c>
    </row>
    <row r="16752" spans="1:6" x14ac:dyDescent="0.25">
      <c r="A16752" s="1" t="str">
        <f t="shared" si="627"/>
        <v>28500</v>
      </c>
      <c r="B16752" s="1" t="str">
        <f>"78029"</f>
        <v>78029</v>
      </c>
      <c r="C16752" s="2">
        <v>9.1396495268252304E-2</v>
      </c>
      <c r="D16752" s="2">
        <v>0.172823218997361</v>
      </c>
      <c r="E16752" s="2">
        <v>1.0706638115631599E-3</v>
      </c>
      <c r="F16752" s="2">
        <v>9.6514154359668702E-2</v>
      </c>
    </row>
    <row r="16753" spans="1:6" x14ac:dyDescent="0.25">
      <c r="A16753" s="1" t="str">
        <f>"28540"</f>
        <v>28540</v>
      </c>
      <c r="B16753" s="1" t="str">
        <f>"99901"</f>
        <v>99901</v>
      </c>
      <c r="C16753" s="2">
        <v>1</v>
      </c>
      <c r="D16753" s="2">
        <v>1</v>
      </c>
      <c r="E16753" s="2">
        <v>0.99753086419753001</v>
      </c>
      <c r="F16753" s="2">
        <v>0.99990451637544098</v>
      </c>
    </row>
    <row r="16754" spans="1:6" x14ac:dyDescent="0.25">
      <c r="A16754" s="1" t="str">
        <f>"28540"</f>
        <v>28540</v>
      </c>
      <c r="B16754" s="1" t="str">
        <f>"99928"</f>
        <v>99928</v>
      </c>
      <c r="C16754" s="2">
        <v>0</v>
      </c>
      <c r="D16754" s="2">
        <v>0</v>
      </c>
      <c r="E16754" s="2">
        <v>2.4691358024691301E-3</v>
      </c>
      <c r="F16754" s="2">
        <v>9.5483624558388196E-5</v>
      </c>
    </row>
    <row r="16755" spans="1:6" x14ac:dyDescent="0.25">
      <c r="A16755" s="1" t="str">
        <f t="shared" ref="A16755:A16767" si="628">"28580"</f>
        <v>28580</v>
      </c>
      <c r="B16755" s="1" t="str">
        <f>"33052"</f>
        <v>33052</v>
      </c>
      <c r="C16755" s="2">
        <v>8.9410885074301307E-3</v>
      </c>
      <c r="D16755" s="2">
        <v>1.03874227961819E-2</v>
      </c>
      <c r="E16755" s="2">
        <v>6.4040986231187901E-4</v>
      </c>
      <c r="F16755" s="2">
        <v>8.7312781247901108E-3</v>
      </c>
    </row>
    <row r="16756" spans="1:6" x14ac:dyDescent="0.25">
      <c r="A16756" s="1" t="str">
        <f t="shared" si="628"/>
        <v>28580</v>
      </c>
      <c r="B16756" s="1" t="str">
        <f>"33043"</f>
        <v>33043</v>
      </c>
      <c r="C16756" s="2">
        <v>4.6683697311442701E-2</v>
      </c>
      <c r="D16756" s="2">
        <v>3.7057832678270598E-2</v>
      </c>
      <c r="E16756" s="2">
        <v>1.44092219020172E-2</v>
      </c>
      <c r="F16756" s="2">
        <v>4.4408623816240098E-2</v>
      </c>
    </row>
    <row r="16757" spans="1:6" x14ac:dyDescent="0.25">
      <c r="A16757" s="1" t="str">
        <f t="shared" si="628"/>
        <v>28580</v>
      </c>
      <c r="B16757" s="1" t="str">
        <f>"33050"</f>
        <v>33050</v>
      </c>
      <c r="C16757" s="2">
        <v>0.13866475591139901</v>
      </c>
      <c r="D16757" s="2">
        <v>0.155530600786075</v>
      </c>
      <c r="E16757" s="2">
        <v>0.12552033301312801</v>
      </c>
      <c r="F16757" s="2">
        <v>0.13972731546779499</v>
      </c>
    </row>
    <row r="16758" spans="1:6" x14ac:dyDescent="0.25">
      <c r="A16758" s="1" t="str">
        <f t="shared" si="628"/>
        <v>28580</v>
      </c>
      <c r="B16758" s="1" t="str">
        <f>"33045"</f>
        <v>33045</v>
      </c>
      <c r="C16758" s="2">
        <v>2.0436773731268801E-2</v>
      </c>
      <c r="D16758" s="2">
        <v>2.4985962942167299E-2</v>
      </c>
      <c r="E16758" s="2">
        <v>6.4040986231187901E-4</v>
      </c>
      <c r="F16758" s="2">
        <v>2.0041641480287399E-2</v>
      </c>
    </row>
    <row r="16759" spans="1:6" x14ac:dyDescent="0.25">
      <c r="A16759" s="1" t="str">
        <f t="shared" si="628"/>
        <v>28580</v>
      </c>
      <c r="B16759" s="1" t="str">
        <f>"33040"</f>
        <v>33040</v>
      </c>
      <c r="C16759" s="2">
        <v>0.28940153898875298</v>
      </c>
      <c r="D16759" s="2">
        <v>0.36384053902301999</v>
      </c>
      <c r="E16759" s="2">
        <v>0.65609990393852002</v>
      </c>
      <c r="F16759" s="2">
        <v>0.31190812008865598</v>
      </c>
    </row>
    <row r="16760" spans="1:6" x14ac:dyDescent="0.25">
      <c r="A16760" s="1" t="str">
        <f t="shared" si="628"/>
        <v>28580</v>
      </c>
      <c r="B16760" s="1" t="str">
        <f>"33041"</f>
        <v>33041</v>
      </c>
      <c r="C16760" s="2">
        <v>3.5250319324589503E-2</v>
      </c>
      <c r="D16760" s="2">
        <v>4.8147108366086398E-2</v>
      </c>
      <c r="E16760" s="2">
        <v>6.4040986231187901E-4</v>
      </c>
      <c r="F16760" s="2">
        <v>3.5032574383773198E-2</v>
      </c>
    </row>
    <row r="16761" spans="1:6" x14ac:dyDescent="0.25">
      <c r="A16761" s="1" t="str">
        <f t="shared" si="628"/>
        <v>28580</v>
      </c>
      <c r="B16761" s="1" t="str">
        <f>"33051"</f>
        <v>33051</v>
      </c>
      <c r="C16761" s="2">
        <v>2.19477242281691E-2</v>
      </c>
      <c r="D16761" s="2">
        <v>7.5800112296462597E-3</v>
      </c>
      <c r="E16761" s="2">
        <v>9.6061479346781905E-4</v>
      </c>
      <c r="F16761" s="2">
        <v>1.96923903552958E-2</v>
      </c>
    </row>
    <row r="16762" spans="1:6" x14ac:dyDescent="0.25">
      <c r="A16762" s="1" t="str">
        <f t="shared" si="628"/>
        <v>28580</v>
      </c>
      <c r="B16762" s="1" t="str">
        <f>"33001"</f>
        <v>33001</v>
      </c>
      <c r="C16762" s="2">
        <v>3.1153618492787901E-5</v>
      </c>
      <c r="D16762" s="2">
        <v>0</v>
      </c>
      <c r="E16762" s="2">
        <v>9.6061479346781905E-4</v>
      </c>
      <c r="F16762" s="2">
        <v>6.7163677883000798E-5</v>
      </c>
    </row>
    <row r="16763" spans="1:6" x14ac:dyDescent="0.25">
      <c r="A16763" s="1" t="str">
        <f t="shared" si="628"/>
        <v>28580</v>
      </c>
      <c r="B16763" s="1" t="str">
        <f>"33042"</f>
        <v>33042</v>
      </c>
      <c r="C16763" s="2">
        <v>6.5983363967724806E-2</v>
      </c>
      <c r="D16763" s="2">
        <v>2.04941044357102E-2</v>
      </c>
      <c r="E16763" s="2">
        <v>1.1847582452769701E-2</v>
      </c>
      <c r="F16763" s="2">
        <v>5.9359258512996102E-2</v>
      </c>
    </row>
    <row r="16764" spans="1:6" x14ac:dyDescent="0.25">
      <c r="A16764" s="1" t="str">
        <f t="shared" si="628"/>
        <v>28580</v>
      </c>
      <c r="B16764" s="1" t="str">
        <f>"33070"</f>
        <v>33070</v>
      </c>
      <c r="C16764" s="2">
        <v>8.9068195270880696E-2</v>
      </c>
      <c r="D16764" s="2">
        <v>9.6996069623806802E-2</v>
      </c>
      <c r="E16764" s="2">
        <v>5.4755043227665702E-2</v>
      </c>
      <c r="F16764" s="2">
        <v>8.8387400094029095E-2</v>
      </c>
    </row>
    <row r="16765" spans="1:6" x14ac:dyDescent="0.25">
      <c r="A16765" s="1" t="str">
        <f t="shared" si="628"/>
        <v>28580</v>
      </c>
      <c r="B16765" s="1" t="str">
        <f>"33034"</f>
        <v>33034</v>
      </c>
      <c r="C16765" s="2">
        <v>0</v>
      </c>
      <c r="D16765" s="2">
        <v>2.80741156653565E-4</v>
      </c>
      <c r="E16765" s="2">
        <v>0</v>
      </c>
      <c r="F16765" s="2">
        <v>2.6865471153200301E-5</v>
      </c>
    </row>
    <row r="16766" spans="1:6" x14ac:dyDescent="0.25">
      <c r="A16766" s="1" t="str">
        <f t="shared" si="628"/>
        <v>28580</v>
      </c>
      <c r="B16766" s="1" t="str">
        <f>"33037"</f>
        <v>33037</v>
      </c>
      <c r="C16766" s="2">
        <v>0.21193806660643599</v>
      </c>
      <c r="D16766" s="2">
        <v>0.15272318921953901</v>
      </c>
      <c r="E16766" s="2">
        <v>8.5494716618635905E-2</v>
      </c>
      <c r="F16766" s="2">
        <v>0.20096715696151499</v>
      </c>
    </row>
    <row r="16767" spans="1:6" x14ac:dyDescent="0.25">
      <c r="A16767" s="1" t="str">
        <f t="shared" si="628"/>
        <v>28580</v>
      </c>
      <c r="B16767" s="1" t="str">
        <f>"33036"</f>
        <v>33036</v>
      </c>
      <c r="C16767" s="2">
        <v>7.1653322533412195E-2</v>
      </c>
      <c r="D16767" s="2">
        <v>8.1976417742841104E-2</v>
      </c>
      <c r="E16767" s="2">
        <v>4.8030739673390901E-2</v>
      </c>
      <c r="F16767" s="2">
        <v>7.1650211565585306E-2</v>
      </c>
    </row>
    <row r="16768" spans="1:6" x14ac:dyDescent="0.25">
      <c r="A16768" s="1" t="str">
        <f t="shared" ref="A16768:A16779" si="629">"28620"</f>
        <v>28620</v>
      </c>
      <c r="B16768" s="1" t="str">
        <f>"27978"</f>
        <v>27978</v>
      </c>
      <c r="C16768" s="2">
        <v>5.0724637681159399E-3</v>
      </c>
      <c r="D16768" s="2">
        <v>2.8436018957345901E-3</v>
      </c>
      <c r="E16768" s="2">
        <v>7.2939460247994101E-4</v>
      </c>
      <c r="F16768" s="2">
        <v>4.6555299088455E-3</v>
      </c>
    </row>
    <row r="16769" spans="1:6" x14ac:dyDescent="0.25">
      <c r="A16769" s="1" t="str">
        <f t="shared" si="629"/>
        <v>28620</v>
      </c>
      <c r="B16769" s="1" t="str">
        <f>"27943"</f>
        <v>27943</v>
      </c>
      <c r="C16769" s="2">
        <v>0</v>
      </c>
      <c r="D16769" s="2">
        <v>4.73933649289099E-4</v>
      </c>
      <c r="E16769" s="2">
        <v>0</v>
      </c>
      <c r="F16769" s="2">
        <v>3.9122100074331901E-5</v>
      </c>
    </row>
    <row r="16770" spans="1:6" x14ac:dyDescent="0.25">
      <c r="A16770" s="1" t="str">
        <f t="shared" si="629"/>
        <v>28620</v>
      </c>
      <c r="B16770" s="1" t="str">
        <f>"27959"</f>
        <v>27959</v>
      </c>
      <c r="C16770" s="2">
        <v>0.16521739130434701</v>
      </c>
      <c r="D16770" s="2">
        <v>0.27488151658767701</v>
      </c>
      <c r="E16770" s="2">
        <v>2.2611232676878101E-2</v>
      </c>
      <c r="F16770" s="2">
        <v>0.16662102421657901</v>
      </c>
    </row>
    <row r="16771" spans="1:6" x14ac:dyDescent="0.25">
      <c r="A16771" s="1" t="str">
        <f t="shared" si="629"/>
        <v>28620</v>
      </c>
      <c r="B16771" s="1" t="str">
        <f>"27920"</f>
        <v>27920</v>
      </c>
      <c r="C16771" s="2">
        <v>0</v>
      </c>
      <c r="D16771" s="2">
        <v>4.73933649289099E-4</v>
      </c>
      <c r="E16771" s="2">
        <v>0.53172866520787698</v>
      </c>
      <c r="F16771" s="2">
        <v>2.85591330542623E-2</v>
      </c>
    </row>
    <row r="16772" spans="1:6" x14ac:dyDescent="0.25">
      <c r="A16772" s="1" t="str">
        <f t="shared" si="629"/>
        <v>28620</v>
      </c>
      <c r="B16772" s="1" t="str">
        <f>"27954"</f>
        <v>27954</v>
      </c>
      <c r="C16772" s="2">
        <v>0.137998188405797</v>
      </c>
      <c r="D16772" s="2">
        <v>8.7203791469194297E-2</v>
      </c>
      <c r="E16772" s="2">
        <v>2.6987600291757799E-2</v>
      </c>
      <c r="F16772" s="2">
        <v>0.12785102304291601</v>
      </c>
    </row>
    <row r="16773" spans="1:6" x14ac:dyDescent="0.25">
      <c r="A16773" s="1" t="str">
        <f t="shared" si="629"/>
        <v>28620</v>
      </c>
      <c r="B16773" s="1" t="str">
        <f>"27948"</f>
        <v>27948</v>
      </c>
      <c r="C16773" s="2">
        <v>0.32672101449275298</v>
      </c>
      <c r="D16773" s="2">
        <v>0.179146919431279</v>
      </c>
      <c r="E16773" s="2">
        <v>9.7009482129832195E-2</v>
      </c>
      <c r="F16773" s="2">
        <v>0.30221822307421398</v>
      </c>
    </row>
    <row r="16774" spans="1:6" x14ac:dyDescent="0.25">
      <c r="A16774" s="1" t="str">
        <f t="shared" si="629"/>
        <v>28620</v>
      </c>
      <c r="B16774" s="1" t="str">
        <f>"27953"</f>
        <v>27953</v>
      </c>
      <c r="C16774" s="2">
        <v>1.2907608695652099E-2</v>
      </c>
      <c r="D16774" s="2">
        <v>7.10900473933649E-3</v>
      </c>
      <c r="E16774" s="2">
        <v>0</v>
      </c>
      <c r="F16774" s="2">
        <v>1.17366300222995E-2</v>
      </c>
    </row>
    <row r="16775" spans="1:6" x14ac:dyDescent="0.25">
      <c r="A16775" s="1" t="str">
        <f t="shared" si="629"/>
        <v>28620</v>
      </c>
      <c r="B16775" s="1" t="str">
        <f>"27936"</f>
        <v>27936</v>
      </c>
      <c r="C16775" s="2">
        <v>0</v>
      </c>
      <c r="D16775" s="2">
        <v>4.73933649289099E-4</v>
      </c>
      <c r="E16775" s="2">
        <v>7.2939460247994101E-4</v>
      </c>
      <c r="F16775" s="2">
        <v>7.8244200148663896E-5</v>
      </c>
    </row>
    <row r="16776" spans="1:6" x14ac:dyDescent="0.25">
      <c r="A16776" s="1" t="str">
        <f t="shared" si="629"/>
        <v>28620</v>
      </c>
      <c r="B16776" s="1" t="str">
        <f>"27981"</f>
        <v>27981</v>
      </c>
      <c r="C16776" s="2">
        <v>1.92481884057971E-2</v>
      </c>
      <c r="D16776" s="2">
        <v>1.32701421800947E-2</v>
      </c>
      <c r="E16776" s="2">
        <v>5.1057622173595902E-3</v>
      </c>
      <c r="F16776" s="2">
        <v>1.7996166034192702E-2</v>
      </c>
    </row>
    <row r="16777" spans="1:6" x14ac:dyDescent="0.25">
      <c r="A16777" s="1" t="str">
        <f t="shared" si="629"/>
        <v>28620</v>
      </c>
      <c r="B16777" s="1" t="str">
        <f>"27949"</f>
        <v>27949</v>
      </c>
      <c r="C16777" s="2">
        <v>0.332789855072463</v>
      </c>
      <c r="D16777" s="2">
        <v>0.43364928909952599</v>
      </c>
      <c r="E16777" s="2">
        <v>7.0021881838074299E-2</v>
      </c>
      <c r="F16777" s="2">
        <v>0.32702163452134098</v>
      </c>
    </row>
    <row r="16778" spans="1:6" x14ac:dyDescent="0.25">
      <c r="A16778" s="1" t="str">
        <f t="shared" si="629"/>
        <v>28620</v>
      </c>
      <c r="B16778" s="1" t="str">
        <f>"27968"</f>
        <v>27968</v>
      </c>
      <c r="C16778" s="2">
        <v>0</v>
      </c>
      <c r="D16778" s="2">
        <v>0</v>
      </c>
      <c r="E16778" s="2">
        <v>1.4587892049598801E-3</v>
      </c>
      <c r="F16778" s="2">
        <v>7.8244200148663896E-5</v>
      </c>
    </row>
    <row r="16779" spans="1:6" x14ac:dyDescent="0.25">
      <c r="A16779" s="1" t="str">
        <f t="shared" si="629"/>
        <v>28620</v>
      </c>
      <c r="B16779" s="1" t="str">
        <f>"27915"</f>
        <v>27915</v>
      </c>
      <c r="C16779" s="2">
        <v>4.5289855072463701E-5</v>
      </c>
      <c r="D16779" s="2">
        <v>4.73933649289099E-4</v>
      </c>
      <c r="E16779" s="2">
        <v>0.24361779722829999</v>
      </c>
      <c r="F16779" s="2">
        <v>1.31450256249755E-2</v>
      </c>
    </row>
    <row r="16780" spans="1:6" x14ac:dyDescent="0.25">
      <c r="A16780" s="1" t="str">
        <f t="shared" ref="A16780:A16811" si="630">"28660"</f>
        <v>28660</v>
      </c>
      <c r="B16780" s="1" t="str">
        <f>"76544"</f>
        <v>76544</v>
      </c>
      <c r="C16780" s="2">
        <v>3.9106573681309403E-2</v>
      </c>
      <c r="D16780" s="2">
        <v>3.2384823848238403E-2</v>
      </c>
      <c r="E16780" s="2">
        <v>9.4590163934426194E-2</v>
      </c>
      <c r="F16780" s="2">
        <v>4.1558606931386403E-2</v>
      </c>
    </row>
    <row r="16781" spans="1:6" x14ac:dyDescent="0.25">
      <c r="A16781" s="1" t="str">
        <f t="shared" si="630"/>
        <v>28660</v>
      </c>
      <c r="B16781" s="1" t="str">
        <f>"76504"</f>
        <v>76504</v>
      </c>
      <c r="C16781" s="2">
        <v>5.8714980707934898E-2</v>
      </c>
      <c r="D16781" s="2">
        <v>9.8102981029810202E-2</v>
      </c>
      <c r="E16781" s="2">
        <v>2.7786885245901598E-2</v>
      </c>
      <c r="F16781" s="2">
        <v>5.9581060718605999E-2</v>
      </c>
    </row>
    <row r="16782" spans="1:6" x14ac:dyDescent="0.25">
      <c r="A16782" s="1" t="str">
        <f t="shared" si="630"/>
        <v>28660</v>
      </c>
      <c r="B16782" s="1" t="str">
        <f>"76579"</f>
        <v>76579</v>
      </c>
      <c r="C16782" s="2">
        <v>9.4806719869628703E-3</v>
      </c>
      <c r="D16782" s="2">
        <v>3.8617886178861699E-3</v>
      </c>
      <c r="E16782" s="2">
        <v>9.2622950819672093E-3</v>
      </c>
      <c r="F16782" s="2">
        <v>9.1173411999405703E-3</v>
      </c>
    </row>
    <row r="16783" spans="1:6" x14ac:dyDescent="0.25">
      <c r="A16783" s="1" t="str">
        <f t="shared" si="630"/>
        <v>28660</v>
      </c>
      <c r="B16783" s="1" t="str">
        <f>"76566"</f>
        <v>76566</v>
      </c>
      <c r="C16783" s="2">
        <v>1.1503343159105599E-3</v>
      </c>
      <c r="D16783" s="2">
        <v>2.0325203252032501E-4</v>
      </c>
      <c r="E16783" s="2">
        <v>0</v>
      </c>
      <c r="F16783" s="2">
        <v>1.03143105753517E-3</v>
      </c>
    </row>
    <row r="16784" spans="1:6" x14ac:dyDescent="0.25">
      <c r="A16784" s="1" t="str">
        <f t="shared" si="630"/>
        <v>28660</v>
      </c>
      <c r="B16784" s="1" t="str">
        <f>"76511"</f>
        <v>76511</v>
      </c>
      <c r="C16784" s="2">
        <v>1.8597071440553999E-3</v>
      </c>
      <c r="D16784" s="2">
        <v>9.4850948509484997E-4</v>
      </c>
      <c r="E16784" s="2">
        <v>4.9180327868852405E-4</v>
      </c>
      <c r="F16784" s="2">
        <v>1.7317854793183201E-3</v>
      </c>
    </row>
    <row r="16785" spans="1:6" x14ac:dyDescent="0.25">
      <c r="A16785" s="1" t="str">
        <f t="shared" si="630"/>
        <v>28660</v>
      </c>
      <c r="B16785" s="1" t="str">
        <f>"76657"</f>
        <v>76657</v>
      </c>
      <c r="C16785" s="2">
        <v>3.1154887722577702E-4</v>
      </c>
      <c r="D16785" s="2">
        <v>6.7750677506775E-5</v>
      </c>
      <c r="E16785" s="2">
        <v>8.1967213114754003E-5</v>
      </c>
      <c r="F16785" s="2">
        <v>2.8438634096648901E-4</v>
      </c>
    </row>
    <row r="16786" spans="1:6" x14ac:dyDescent="0.25">
      <c r="A16786" s="1" t="str">
        <f t="shared" si="630"/>
        <v>28660</v>
      </c>
      <c r="B16786" s="1" t="str">
        <f>"76557"</f>
        <v>76557</v>
      </c>
      <c r="C16786" s="2">
        <v>4.5629927864452198E-3</v>
      </c>
      <c r="D16786" s="2">
        <v>4.7425474254742499E-4</v>
      </c>
      <c r="E16786" s="2">
        <v>1.14754098360655E-3</v>
      </c>
      <c r="F16786" s="2">
        <v>4.1299688023939303E-3</v>
      </c>
    </row>
    <row r="16787" spans="1:6" x14ac:dyDescent="0.25">
      <c r="A16787" s="1" t="str">
        <f t="shared" si="630"/>
        <v>28660</v>
      </c>
      <c r="B16787" s="1" t="str">
        <f>"76539"</f>
        <v>76539</v>
      </c>
      <c r="C16787" s="2">
        <v>1.7662424808876701E-2</v>
      </c>
      <c r="D16787" s="2">
        <v>3.1842818428184198E-3</v>
      </c>
      <c r="E16787" s="2">
        <v>2.29508196721311E-3</v>
      </c>
      <c r="F16787" s="2">
        <v>1.59595916721492E-2</v>
      </c>
    </row>
    <row r="16788" spans="1:6" x14ac:dyDescent="0.25">
      <c r="A16788" s="1" t="str">
        <f t="shared" si="630"/>
        <v>28660</v>
      </c>
      <c r="B16788" s="1" t="str">
        <f>"76569"</f>
        <v>76569</v>
      </c>
      <c r="C16788" s="2">
        <v>5.3490545689841096E-3</v>
      </c>
      <c r="D16788" s="2">
        <v>1.76151761517615E-3</v>
      </c>
      <c r="E16788" s="2">
        <v>2.7049180327868801E-3</v>
      </c>
      <c r="F16788" s="2">
        <v>4.9873723975466296E-3</v>
      </c>
    </row>
    <row r="16789" spans="1:6" x14ac:dyDescent="0.25">
      <c r="A16789" s="1" t="str">
        <f t="shared" si="630"/>
        <v>28660</v>
      </c>
      <c r="B16789" s="1" t="str">
        <f>"76853"</f>
        <v>76853</v>
      </c>
      <c r="C16789" s="2">
        <v>5.5982936707647301E-3</v>
      </c>
      <c r="D16789" s="2">
        <v>1.0162601626016201E-3</v>
      </c>
      <c r="E16789" s="2">
        <v>4.2622950819672101E-3</v>
      </c>
      <c r="F16789" s="2">
        <v>5.2420467327405004E-3</v>
      </c>
    </row>
    <row r="16790" spans="1:6" x14ac:dyDescent="0.25">
      <c r="A16790" s="1" t="str">
        <f t="shared" si="630"/>
        <v>28660</v>
      </c>
      <c r="B16790" s="1" t="str">
        <f>"76638"</f>
        <v>76638</v>
      </c>
      <c r="C16790" s="2">
        <v>4.7930596496273299E-6</v>
      </c>
      <c r="D16790" s="2">
        <v>0</v>
      </c>
      <c r="E16790" s="2">
        <v>0</v>
      </c>
      <c r="F16790" s="2">
        <v>4.2445722532311799E-6</v>
      </c>
    </row>
    <row r="16791" spans="1:6" x14ac:dyDescent="0.25">
      <c r="A16791" s="1" t="str">
        <f t="shared" si="630"/>
        <v>28660</v>
      </c>
      <c r="B16791" s="1" t="str">
        <f>"76543"</f>
        <v>76543</v>
      </c>
      <c r="C16791" s="2">
        <v>6.9494571859946702E-2</v>
      </c>
      <c r="D16791" s="2">
        <v>7.3170731707316999E-2</v>
      </c>
      <c r="E16791" s="2">
        <v>9.3442622950819607E-2</v>
      </c>
      <c r="F16791" s="2">
        <v>7.0965003501772095E-2</v>
      </c>
    </row>
    <row r="16792" spans="1:6" x14ac:dyDescent="0.25">
      <c r="A16792" s="1" t="str">
        <f t="shared" si="630"/>
        <v>28660</v>
      </c>
      <c r="B16792" s="1" t="str">
        <f>"76571"</f>
        <v>76571</v>
      </c>
      <c r="C16792" s="2">
        <v>1.9066791286217501E-2</v>
      </c>
      <c r="D16792" s="2">
        <v>1.52439024390243E-2</v>
      </c>
      <c r="E16792" s="2">
        <v>1.6721311475409801E-2</v>
      </c>
      <c r="F16792" s="2">
        <v>1.87058299199898E-2</v>
      </c>
    </row>
    <row r="16793" spans="1:6" x14ac:dyDescent="0.25">
      <c r="A16793" s="1" t="str">
        <f t="shared" si="630"/>
        <v>28660</v>
      </c>
      <c r="B16793" s="1" t="str">
        <f>"76525"</f>
        <v>76525</v>
      </c>
      <c r="C16793" s="2">
        <v>1.72550147386584E-3</v>
      </c>
      <c r="D16793" s="2">
        <v>4.0650406504065003E-4</v>
      </c>
      <c r="E16793" s="2">
        <v>2.4590163934426202E-4</v>
      </c>
      <c r="F16793" s="2">
        <v>1.5662471614423001E-3</v>
      </c>
    </row>
    <row r="16794" spans="1:6" x14ac:dyDescent="0.25">
      <c r="A16794" s="1" t="str">
        <f t="shared" si="630"/>
        <v>28660</v>
      </c>
      <c r="B16794" s="1" t="str">
        <f>"76547"</f>
        <v>76547</v>
      </c>
      <c r="C16794" s="2">
        <v>6.40832075155175E-3</v>
      </c>
      <c r="D16794" s="2">
        <v>2.0731707317073099E-2</v>
      </c>
      <c r="E16794" s="2">
        <v>8.1967213114754003E-5</v>
      </c>
      <c r="F16794" s="2">
        <v>6.9780767843120603E-3</v>
      </c>
    </row>
    <row r="16795" spans="1:6" x14ac:dyDescent="0.25">
      <c r="A16795" s="1" t="str">
        <f t="shared" si="630"/>
        <v>28660</v>
      </c>
      <c r="B16795" s="1" t="str">
        <f>"76550"</f>
        <v>76550</v>
      </c>
      <c r="C16795" s="2">
        <v>2.6438517027344399E-2</v>
      </c>
      <c r="D16795" s="2">
        <v>3.9701897018970103E-2</v>
      </c>
      <c r="E16795" s="2">
        <v>1.48360655737704E-2</v>
      </c>
      <c r="F16795" s="2">
        <v>2.6668647467051498E-2</v>
      </c>
    </row>
    <row r="16796" spans="1:6" x14ac:dyDescent="0.25">
      <c r="A16796" s="1" t="str">
        <f t="shared" si="630"/>
        <v>28660</v>
      </c>
      <c r="B16796" s="1" t="str">
        <f>"76570"</f>
        <v>76570</v>
      </c>
      <c r="C16796" s="2">
        <v>1.9172238598509299E-5</v>
      </c>
      <c r="D16796" s="2">
        <v>0</v>
      </c>
      <c r="E16796" s="2">
        <v>0</v>
      </c>
      <c r="F16796" s="2">
        <v>1.6978289012924699E-5</v>
      </c>
    </row>
    <row r="16797" spans="1:6" x14ac:dyDescent="0.25">
      <c r="A16797" s="1" t="str">
        <f t="shared" si="630"/>
        <v>28660</v>
      </c>
      <c r="B16797" s="1" t="str">
        <f>"76634"</f>
        <v>76634</v>
      </c>
      <c r="C16797" s="2">
        <v>8.6275073693292106E-5</v>
      </c>
      <c r="D16797" s="2">
        <v>0</v>
      </c>
      <c r="E16797" s="2">
        <v>0</v>
      </c>
      <c r="F16797" s="2">
        <v>7.6402300558161195E-5</v>
      </c>
    </row>
    <row r="16798" spans="1:6" x14ac:dyDescent="0.25">
      <c r="A16798" s="1" t="str">
        <f t="shared" si="630"/>
        <v>28660</v>
      </c>
      <c r="B16798" s="1" t="str">
        <f>"76513"</f>
        <v>76513</v>
      </c>
      <c r="C16798" s="2">
        <v>9.3306492199295404E-2</v>
      </c>
      <c r="D16798" s="2">
        <v>0.103116531165311</v>
      </c>
      <c r="E16798" s="2">
        <v>4.2540983606557302E-2</v>
      </c>
      <c r="F16798" s="2">
        <v>9.1292260022496199E-2</v>
      </c>
    </row>
    <row r="16799" spans="1:6" x14ac:dyDescent="0.25">
      <c r="A16799" s="1" t="str">
        <f t="shared" si="630"/>
        <v>28660</v>
      </c>
      <c r="B16799" s="1" t="str">
        <f>"76559"</f>
        <v>76559</v>
      </c>
      <c r="C16799" s="2">
        <v>1.5189206029669E-2</v>
      </c>
      <c r="D16799" s="2">
        <v>6.5040650406504004E-3</v>
      </c>
      <c r="E16799" s="2">
        <v>2.1311475409835998E-2</v>
      </c>
      <c r="F16799" s="2">
        <v>1.4962117192639899E-2</v>
      </c>
    </row>
    <row r="16800" spans="1:6" x14ac:dyDescent="0.25">
      <c r="A16800" s="1" t="str">
        <f t="shared" si="630"/>
        <v>28660</v>
      </c>
      <c r="B16800" s="1" t="str">
        <f>"76689"</f>
        <v>76689</v>
      </c>
      <c r="C16800" s="2">
        <v>4.7451290531310602E-4</v>
      </c>
      <c r="D16800" s="2">
        <v>0</v>
      </c>
      <c r="E16800" s="2">
        <v>0</v>
      </c>
      <c r="F16800" s="2">
        <v>4.2021265306988598E-4</v>
      </c>
    </row>
    <row r="16801" spans="1:6" x14ac:dyDescent="0.25">
      <c r="A16801" s="1" t="str">
        <f t="shared" si="630"/>
        <v>28660</v>
      </c>
      <c r="B16801" s="1" t="str">
        <f>"76549"</f>
        <v>76549</v>
      </c>
      <c r="C16801" s="2">
        <v>0.106568888249814</v>
      </c>
      <c r="D16801" s="2">
        <v>4.5392953929539202E-2</v>
      </c>
      <c r="E16801" s="2">
        <v>0.19434426229508101</v>
      </c>
      <c r="F16801" s="2">
        <v>0.107281563700418</v>
      </c>
    </row>
    <row r="16802" spans="1:6" x14ac:dyDescent="0.25">
      <c r="A16802" s="1" t="str">
        <f t="shared" si="630"/>
        <v>28660</v>
      </c>
      <c r="B16802" s="1" t="str">
        <f>"76519"</f>
        <v>76519</v>
      </c>
      <c r="C16802" s="2">
        <v>7.1416588779447303E-4</v>
      </c>
      <c r="D16802" s="2">
        <v>4.7425474254742499E-4</v>
      </c>
      <c r="E16802" s="2">
        <v>8.1967213114754001E-4</v>
      </c>
      <c r="F16802" s="2">
        <v>7.0459899403637499E-4</v>
      </c>
    </row>
    <row r="16803" spans="1:6" x14ac:dyDescent="0.25">
      <c r="A16803" s="1" t="str">
        <f t="shared" si="630"/>
        <v>28660</v>
      </c>
      <c r="B16803" s="1" t="str">
        <f>"76501"</f>
        <v>76501</v>
      </c>
      <c r="C16803" s="2">
        <v>3.77213794425671E-2</v>
      </c>
      <c r="D16803" s="2">
        <v>5.14227642276422E-2</v>
      </c>
      <c r="E16803" s="2">
        <v>2.4016393442622901E-2</v>
      </c>
      <c r="F16803" s="2">
        <v>3.7870073643328499E-2</v>
      </c>
    </row>
    <row r="16804" spans="1:6" x14ac:dyDescent="0.25">
      <c r="A16804" s="1" t="str">
        <f t="shared" si="630"/>
        <v>28660</v>
      </c>
      <c r="B16804" s="1" t="str">
        <f>"76824"</f>
        <v>76824</v>
      </c>
      <c r="C16804" s="2">
        <v>4.7930596496273299E-6</v>
      </c>
      <c r="D16804" s="2">
        <v>0</v>
      </c>
      <c r="E16804" s="2">
        <v>0</v>
      </c>
      <c r="F16804" s="2">
        <v>4.2445722532311799E-6</v>
      </c>
    </row>
    <row r="16805" spans="1:6" x14ac:dyDescent="0.25">
      <c r="A16805" s="1" t="str">
        <f t="shared" si="630"/>
        <v>28660</v>
      </c>
      <c r="B16805" s="1" t="str">
        <f>"76558"</f>
        <v>76558</v>
      </c>
      <c r="C16805" s="2">
        <v>0</v>
      </c>
      <c r="D16805" s="2">
        <v>6.7750677506775E-5</v>
      </c>
      <c r="E16805" s="2">
        <v>0</v>
      </c>
      <c r="F16805" s="2">
        <v>4.2445722532311799E-6</v>
      </c>
    </row>
    <row r="16806" spans="1:6" x14ac:dyDescent="0.25">
      <c r="A16806" s="1" t="str">
        <f t="shared" si="630"/>
        <v>28660</v>
      </c>
      <c r="B16806" s="1" t="str">
        <f>"76526"</f>
        <v>76526</v>
      </c>
      <c r="C16806" s="2">
        <v>0</v>
      </c>
      <c r="D16806" s="2">
        <v>6.7750677506775E-5</v>
      </c>
      <c r="E16806" s="2">
        <v>0</v>
      </c>
      <c r="F16806" s="2">
        <v>4.2445722532311799E-6</v>
      </c>
    </row>
    <row r="16807" spans="1:6" x14ac:dyDescent="0.25">
      <c r="A16807" s="1" t="str">
        <f t="shared" si="630"/>
        <v>28660</v>
      </c>
      <c r="B16807" s="1" t="str">
        <f>"76598"</f>
        <v>76598</v>
      </c>
      <c r="C16807" s="2">
        <v>0</v>
      </c>
      <c r="D16807" s="2">
        <v>1.3550135501355E-4</v>
      </c>
      <c r="E16807" s="2">
        <v>0</v>
      </c>
      <c r="F16807" s="2">
        <v>8.4891445064623598E-6</v>
      </c>
    </row>
    <row r="16808" spans="1:6" x14ac:dyDescent="0.25">
      <c r="A16808" s="1" t="str">
        <f t="shared" si="630"/>
        <v>28660</v>
      </c>
      <c r="B16808" s="1" t="str">
        <f>"76508"</f>
        <v>76508</v>
      </c>
      <c r="C16808" s="2">
        <v>0</v>
      </c>
      <c r="D16808" s="2">
        <v>6.7750677506775E-5</v>
      </c>
      <c r="E16808" s="2">
        <v>0</v>
      </c>
      <c r="F16808" s="2">
        <v>4.2445722532311799E-6</v>
      </c>
    </row>
    <row r="16809" spans="1:6" x14ac:dyDescent="0.25">
      <c r="A16809" s="1" t="str">
        <f t="shared" si="630"/>
        <v>28660</v>
      </c>
      <c r="B16809" s="1" t="str">
        <f>"76596"</f>
        <v>76596</v>
      </c>
      <c r="C16809" s="2">
        <v>0</v>
      </c>
      <c r="D16809" s="2">
        <v>2.0325203252032501E-4</v>
      </c>
      <c r="E16809" s="2">
        <v>0</v>
      </c>
      <c r="F16809" s="2">
        <v>1.27337167596935E-5</v>
      </c>
    </row>
    <row r="16810" spans="1:6" x14ac:dyDescent="0.25">
      <c r="A16810" s="1" t="str">
        <f t="shared" si="630"/>
        <v>28660</v>
      </c>
      <c r="B16810" s="1" t="str">
        <f>"76503"</f>
        <v>76503</v>
      </c>
      <c r="C16810" s="2">
        <v>4.9991612145613099E-3</v>
      </c>
      <c r="D16810" s="2">
        <v>2.90650406504065E-2</v>
      </c>
      <c r="E16810" s="2">
        <v>8.1967213114754003E-5</v>
      </c>
      <c r="F16810" s="2">
        <v>6.25225492900952E-3</v>
      </c>
    </row>
    <row r="16811" spans="1:6" x14ac:dyDescent="0.25">
      <c r="A16811" s="1" t="str">
        <f t="shared" si="630"/>
        <v>28660</v>
      </c>
      <c r="B16811" s="1" t="str">
        <f>"76561"</f>
        <v>76561</v>
      </c>
      <c r="C16811" s="2">
        <v>2.2767033335729801E-3</v>
      </c>
      <c r="D16811" s="2">
        <v>4.0650406504065003E-4</v>
      </c>
      <c r="E16811" s="2">
        <v>9.0163934426229497E-4</v>
      </c>
      <c r="F16811" s="2">
        <v>2.0883295485897399E-3</v>
      </c>
    </row>
    <row r="16812" spans="1:6" x14ac:dyDescent="0.25">
      <c r="A16812" s="1" t="str">
        <f t="shared" ref="A16812:A16828" si="631">"28660"</f>
        <v>28660</v>
      </c>
      <c r="B16812" s="1" t="str">
        <f>"76542"</f>
        <v>76542</v>
      </c>
      <c r="C16812" s="2">
        <v>9.8415893785798098E-2</v>
      </c>
      <c r="D16812" s="2">
        <v>6.6260162601625996E-2</v>
      </c>
      <c r="E16812" s="2">
        <v>0.121639344262295</v>
      </c>
      <c r="F16812" s="2">
        <v>9.7603938963050904E-2</v>
      </c>
    </row>
    <row r="16813" spans="1:6" x14ac:dyDescent="0.25">
      <c r="A16813" s="1" t="str">
        <f t="shared" si="631"/>
        <v>28660</v>
      </c>
      <c r="B16813" s="1" t="str">
        <f>"76548"</f>
        <v>76548</v>
      </c>
      <c r="C16813" s="2">
        <v>6.8468857094926505E-2</v>
      </c>
      <c r="D16813" s="2">
        <v>7.8861788617886106E-2</v>
      </c>
      <c r="E16813" s="2">
        <v>0.11155737704918001</v>
      </c>
      <c r="F16813" s="2">
        <v>7.1351259576816095E-2</v>
      </c>
    </row>
    <row r="16814" spans="1:6" x14ac:dyDescent="0.25">
      <c r="A16814" s="1" t="str">
        <f t="shared" si="631"/>
        <v>28660</v>
      </c>
      <c r="B16814" s="1" t="str">
        <f>"76534"</f>
        <v>76534</v>
      </c>
      <c r="C16814" s="2">
        <v>4.6636470390873999E-3</v>
      </c>
      <c r="D16814" s="2">
        <v>1.6260162601626001E-3</v>
      </c>
      <c r="E16814" s="2">
        <v>2.04918032786885E-3</v>
      </c>
      <c r="F16814" s="2">
        <v>4.3379528428022602E-3</v>
      </c>
    </row>
    <row r="16815" spans="1:6" x14ac:dyDescent="0.25">
      <c r="A16815" s="1" t="str">
        <f t="shared" si="631"/>
        <v>28660</v>
      </c>
      <c r="B16815" s="1" t="str">
        <f>"76554"</f>
        <v>76554</v>
      </c>
      <c r="C16815" s="2">
        <v>6.3939415726028698E-3</v>
      </c>
      <c r="D16815" s="2">
        <v>5.4200542005420002E-3</v>
      </c>
      <c r="E16815" s="2">
        <v>1.63934426229508E-3</v>
      </c>
      <c r="F16815" s="2">
        <v>6.0867166111335099E-3</v>
      </c>
    </row>
    <row r="16816" spans="1:6" x14ac:dyDescent="0.25">
      <c r="A16816" s="1" t="str">
        <f t="shared" si="631"/>
        <v>28660</v>
      </c>
      <c r="B16816" s="1" t="str">
        <f>"76538"</f>
        <v>76538</v>
      </c>
      <c r="C16816" s="2">
        <v>1.22702327030459E-3</v>
      </c>
      <c r="D16816" s="2">
        <v>1.3550135501355E-4</v>
      </c>
      <c r="E16816" s="2">
        <v>0</v>
      </c>
      <c r="F16816" s="2">
        <v>1.09509964133364E-3</v>
      </c>
    </row>
    <row r="16817" spans="1:6" x14ac:dyDescent="0.25">
      <c r="A16817" s="1" t="str">
        <f t="shared" si="631"/>
        <v>28660</v>
      </c>
      <c r="B16817" s="1" t="str">
        <f>"76537"</f>
        <v>76537</v>
      </c>
      <c r="C16817" s="2">
        <v>1.9651544563471999E-4</v>
      </c>
      <c r="D16817" s="2">
        <v>0</v>
      </c>
      <c r="E16817" s="2">
        <v>2.4590163934426202E-4</v>
      </c>
      <c r="F16817" s="2">
        <v>1.8676117914217101E-4</v>
      </c>
    </row>
    <row r="16818" spans="1:6" x14ac:dyDescent="0.25">
      <c r="A16818" s="1" t="str">
        <f t="shared" si="631"/>
        <v>28660</v>
      </c>
      <c r="B16818" s="1" t="str">
        <f>"76527"</f>
        <v>76527</v>
      </c>
      <c r="C16818" s="2">
        <v>5.4640880005751597E-4</v>
      </c>
      <c r="D16818" s="2">
        <v>1.3550135501355E-4</v>
      </c>
      <c r="E16818" s="2">
        <v>5.7377049180327804E-4</v>
      </c>
      <c r="F16818" s="2">
        <v>5.2208238714743498E-4</v>
      </c>
    </row>
    <row r="16819" spans="1:6" x14ac:dyDescent="0.25">
      <c r="A16819" s="1" t="str">
        <f t="shared" si="631"/>
        <v>28660</v>
      </c>
      <c r="B16819" s="1" t="str">
        <f>"76533"</f>
        <v>76533</v>
      </c>
      <c r="C16819" s="2">
        <v>4.7930596496273299E-6</v>
      </c>
      <c r="D16819" s="2">
        <v>1.3550135501355E-4</v>
      </c>
      <c r="E16819" s="2">
        <v>0</v>
      </c>
      <c r="F16819" s="2">
        <v>1.27337167596935E-5</v>
      </c>
    </row>
    <row r="16820" spans="1:6" x14ac:dyDescent="0.25">
      <c r="A16820" s="1" t="str">
        <f t="shared" si="631"/>
        <v>28660</v>
      </c>
      <c r="B16820" s="1" t="str">
        <f>"76564"</f>
        <v>76564</v>
      </c>
      <c r="C16820" s="2">
        <v>0</v>
      </c>
      <c r="D16820" s="2">
        <v>6.7750677506775E-5</v>
      </c>
      <c r="E16820" s="2">
        <v>0</v>
      </c>
      <c r="F16820" s="2">
        <v>4.2445722532311799E-6</v>
      </c>
    </row>
    <row r="16821" spans="1:6" x14ac:dyDescent="0.25">
      <c r="A16821" s="1" t="str">
        <f t="shared" si="631"/>
        <v>28660</v>
      </c>
      <c r="B16821" s="1" t="str">
        <f>"76541"</f>
        <v>76541</v>
      </c>
      <c r="C16821" s="2">
        <v>5.2301866896733502E-2</v>
      </c>
      <c r="D16821" s="2">
        <v>9.65447154471544E-2</v>
      </c>
      <c r="E16821" s="2">
        <v>6.2540983606557299E-2</v>
      </c>
      <c r="F16821" s="2">
        <v>5.5603896517328402E-2</v>
      </c>
    </row>
    <row r="16822" spans="1:6" x14ac:dyDescent="0.25">
      <c r="A16822" s="1" t="str">
        <f t="shared" si="631"/>
        <v>28660</v>
      </c>
      <c r="B16822" s="1" t="str">
        <f>"76522"</f>
        <v>76522</v>
      </c>
      <c r="C16822" s="2">
        <v>9.1518680949984402E-2</v>
      </c>
      <c r="D16822" s="2">
        <v>7.7642276422764195E-2</v>
      </c>
      <c r="E16822" s="2">
        <v>8.5737704918032703E-2</v>
      </c>
      <c r="F16822" s="2">
        <v>9.0349964982278902E-2</v>
      </c>
    </row>
    <row r="16823" spans="1:6" x14ac:dyDescent="0.25">
      <c r="A16823" s="1" t="str">
        <f t="shared" si="631"/>
        <v>28660</v>
      </c>
      <c r="B16823" s="1" t="str">
        <f>"76528"</f>
        <v>76528</v>
      </c>
      <c r="C16823" s="2">
        <v>4.2083063723727998E-2</v>
      </c>
      <c r="D16823" s="2">
        <v>0.05</v>
      </c>
      <c r="E16823" s="2">
        <v>2.4180327868852401E-2</v>
      </c>
      <c r="F16823" s="2">
        <v>4.1651987520957501E-2</v>
      </c>
    </row>
    <row r="16824" spans="1:6" x14ac:dyDescent="0.25">
      <c r="A16824" s="1" t="str">
        <f t="shared" si="631"/>
        <v>28660</v>
      </c>
      <c r="B16824" s="1" t="str">
        <f>"76502"</f>
        <v>76502</v>
      </c>
      <c r="C16824" s="2">
        <v>9.8037242073477596E-2</v>
      </c>
      <c r="D16824" s="2">
        <v>7.9268292682926803E-2</v>
      </c>
      <c r="E16824" s="2">
        <v>3.7786885245901597E-2</v>
      </c>
      <c r="F16824" s="2">
        <v>9.3741378212610596E-2</v>
      </c>
    </row>
    <row r="16825" spans="1:6" x14ac:dyDescent="0.25">
      <c r="A16825" s="1" t="str">
        <f t="shared" si="631"/>
        <v>28660</v>
      </c>
      <c r="B16825" s="1" t="str">
        <f>"76656"</f>
        <v>76656</v>
      </c>
      <c r="C16825" s="2">
        <v>9.58611929925467E-6</v>
      </c>
      <c r="D16825" s="2">
        <v>0</v>
      </c>
      <c r="E16825" s="2">
        <v>0</v>
      </c>
      <c r="F16825" s="2">
        <v>8.4891445064623598E-6</v>
      </c>
    </row>
    <row r="16826" spans="1:6" x14ac:dyDescent="0.25">
      <c r="A16826" s="1" t="str">
        <f t="shared" si="631"/>
        <v>28660</v>
      </c>
      <c r="B16826" s="1" t="str">
        <f>"76540"</f>
        <v>76540</v>
      </c>
      <c r="C16826" s="2">
        <v>7.8366525271407004E-3</v>
      </c>
      <c r="D16826" s="2">
        <v>1.55149051490514E-2</v>
      </c>
      <c r="E16826" s="2">
        <v>8.1967213114754003E-5</v>
      </c>
      <c r="F16826" s="2">
        <v>7.9161272522761499E-3</v>
      </c>
    </row>
    <row r="16827" spans="1:6" x14ac:dyDescent="0.25">
      <c r="A16827" s="1" t="str">
        <f t="shared" si="631"/>
        <v>28660</v>
      </c>
      <c r="B16827" s="1" t="str">
        <f>"76599"</f>
        <v>76599</v>
      </c>
      <c r="C16827" s="2">
        <v>0</v>
      </c>
      <c r="D16827" s="2">
        <v>1.3550135501355E-4</v>
      </c>
      <c r="E16827" s="2">
        <v>0</v>
      </c>
      <c r="F16827" s="2">
        <v>8.4891445064623598E-6</v>
      </c>
    </row>
    <row r="16828" spans="1:6" x14ac:dyDescent="0.25">
      <c r="A16828" s="1" t="str">
        <f t="shared" si="631"/>
        <v>28660</v>
      </c>
      <c r="B16828" s="1" t="str">
        <f>"76597"</f>
        <v>76597</v>
      </c>
      <c r="C16828" s="2">
        <v>0</v>
      </c>
      <c r="D16828" s="2">
        <v>6.7750677506775E-5</v>
      </c>
      <c r="E16828" s="2">
        <v>0</v>
      </c>
      <c r="F16828" s="2">
        <v>4.2445722532311799E-6</v>
      </c>
    </row>
    <row r="16829" spans="1:6" x14ac:dyDescent="0.25">
      <c r="A16829" s="1" t="str">
        <f t="shared" ref="A16829:A16860" si="632">"28700"</f>
        <v>28700</v>
      </c>
      <c r="B16829" s="1" t="str">
        <f>"37869"</f>
        <v>37869</v>
      </c>
      <c r="C16829" s="2">
        <v>7.7321717368464499E-4</v>
      </c>
      <c r="D16829" s="2">
        <v>2.0619973881366401E-4</v>
      </c>
      <c r="E16829" s="2">
        <v>0</v>
      </c>
      <c r="F16829" s="2">
        <v>7.0743012807652898E-4</v>
      </c>
    </row>
    <row r="16830" spans="1:6" x14ac:dyDescent="0.25">
      <c r="A16830" s="1" t="str">
        <f t="shared" si="632"/>
        <v>28700</v>
      </c>
      <c r="B16830" s="1" t="str">
        <f>"37686"</f>
        <v>37686</v>
      </c>
      <c r="C16830" s="2">
        <v>2.5321386832878798E-2</v>
      </c>
      <c r="D16830" s="2">
        <v>1.50525809333974E-2</v>
      </c>
      <c r="E16830" s="2">
        <v>1.7991554984394999E-2</v>
      </c>
      <c r="F16830" s="2">
        <v>2.43218701496161E-2</v>
      </c>
    </row>
    <row r="16831" spans="1:6" x14ac:dyDescent="0.25">
      <c r="A16831" s="1" t="str">
        <f t="shared" si="632"/>
        <v>28700</v>
      </c>
      <c r="B16831" s="1" t="str">
        <f>"37642"</f>
        <v>37642</v>
      </c>
      <c r="C16831" s="2">
        <v>4.4356695116336699E-2</v>
      </c>
      <c r="D16831" s="2">
        <v>1.18908516049213E-2</v>
      </c>
      <c r="E16831" s="2">
        <v>3.3780062419680498E-2</v>
      </c>
      <c r="F16831" s="2">
        <v>4.1558880359838998E-2</v>
      </c>
    </row>
    <row r="16832" spans="1:6" x14ac:dyDescent="0.25">
      <c r="A16832" s="1" t="str">
        <f t="shared" si="632"/>
        <v>28700</v>
      </c>
      <c r="B16832" s="1" t="str">
        <f>"37665"</f>
        <v>37665</v>
      </c>
      <c r="C16832" s="2">
        <v>1.66389252871527E-2</v>
      </c>
      <c r="D16832" s="2">
        <v>9.5539212316997704E-3</v>
      </c>
      <c r="E16832" s="2">
        <v>2.4233523040205599E-2</v>
      </c>
      <c r="F16832" s="2">
        <v>1.6313127580272199E-2</v>
      </c>
    </row>
    <row r="16833" spans="1:6" x14ac:dyDescent="0.25">
      <c r="A16833" s="1" t="str">
        <f t="shared" si="632"/>
        <v>28700</v>
      </c>
      <c r="B16833" s="1" t="str">
        <f>"37711"</f>
        <v>37711</v>
      </c>
      <c r="C16833" s="2">
        <v>9.9809942038223999E-3</v>
      </c>
      <c r="D16833" s="2">
        <v>5.4299264554264802E-3</v>
      </c>
      <c r="E16833" s="2">
        <v>3.4881586194235301E-3</v>
      </c>
      <c r="F16833" s="2">
        <v>9.4447201427530596E-3</v>
      </c>
    </row>
    <row r="16834" spans="1:6" x14ac:dyDescent="0.25">
      <c r="A16834" s="1" t="str">
        <f t="shared" si="632"/>
        <v>28700</v>
      </c>
      <c r="B16834" s="1" t="str">
        <f>"24245"</f>
        <v>24245</v>
      </c>
      <c r="C16834" s="2">
        <v>3.1873074335092202E-3</v>
      </c>
      <c r="D16834" s="2">
        <v>6.8733246271221297E-4</v>
      </c>
      <c r="E16834" s="2">
        <v>1.8358729575913299E-3</v>
      </c>
      <c r="F16834" s="2">
        <v>2.9564244158422101E-3</v>
      </c>
    </row>
    <row r="16835" spans="1:6" x14ac:dyDescent="0.25">
      <c r="A16835" s="1" t="str">
        <f t="shared" si="632"/>
        <v>28700</v>
      </c>
      <c r="B16835" s="1" t="str">
        <f>"24210"</f>
        <v>24210</v>
      </c>
      <c r="C16835" s="2">
        <v>4.7715172763867698E-2</v>
      </c>
      <c r="D16835" s="2">
        <v>7.6500103099869404E-2</v>
      </c>
      <c r="E16835" s="2">
        <v>8.6286029006792705E-2</v>
      </c>
      <c r="F16835" s="2">
        <v>5.1035276478476103E-2</v>
      </c>
    </row>
    <row r="16836" spans="1:6" x14ac:dyDescent="0.25">
      <c r="A16836" s="1" t="str">
        <f t="shared" si="632"/>
        <v>28700</v>
      </c>
      <c r="B16836" s="1" t="str">
        <f>"24224"</f>
        <v>24224</v>
      </c>
      <c r="C16836" s="2">
        <v>5.9024211731652299E-6</v>
      </c>
      <c r="D16836" s="2">
        <v>0</v>
      </c>
      <c r="E16836" s="2">
        <v>0</v>
      </c>
      <c r="F16836" s="2">
        <v>5.2793293140039402E-6</v>
      </c>
    </row>
    <row r="16837" spans="1:6" x14ac:dyDescent="0.25">
      <c r="A16837" s="1" t="str">
        <f t="shared" si="632"/>
        <v>28700</v>
      </c>
      <c r="B16837" s="1" t="str">
        <f>"24327"</f>
        <v>24327</v>
      </c>
      <c r="C16837" s="2">
        <v>5.9024211731652299E-6</v>
      </c>
      <c r="D16837" s="2">
        <v>0</v>
      </c>
      <c r="E16837" s="2">
        <v>1.8358729575913301E-4</v>
      </c>
      <c r="F16837" s="2">
        <v>1.0558658628007801E-5</v>
      </c>
    </row>
    <row r="16838" spans="1:6" x14ac:dyDescent="0.25">
      <c r="A16838" s="1" t="str">
        <f t="shared" si="632"/>
        <v>28700</v>
      </c>
      <c r="B16838" s="1" t="str">
        <f>"37694"</f>
        <v>37694</v>
      </c>
      <c r="C16838" s="2">
        <v>5.3121790558486996E-4</v>
      </c>
      <c r="D16838" s="2">
        <v>6.8733246271221305E-5</v>
      </c>
      <c r="E16838" s="2">
        <v>3.6717459151826601E-4</v>
      </c>
      <c r="F16838" s="2">
        <v>4.9097762620236695E-4</v>
      </c>
    </row>
    <row r="16839" spans="1:6" x14ac:dyDescent="0.25">
      <c r="A16839" s="1" t="str">
        <f t="shared" si="632"/>
        <v>28700</v>
      </c>
      <c r="B16839" s="1" t="str">
        <f>"37617"</f>
        <v>37617</v>
      </c>
      <c r="C16839" s="2">
        <v>4.4102891005890599E-2</v>
      </c>
      <c r="D16839" s="2">
        <v>4.8800604852567098E-2</v>
      </c>
      <c r="E16839" s="2">
        <v>2.79052689553882E-2</v>
      </c>
      <c r="F16839" s="2">
        <v>4.39979305029089E-2</v>
      </c>
    </row>
    <row r="16840" spans="1:6" x14ac:dyDescent="0.25">
      <c r="A16840" s="1" t="str">
        <f t="shared" si="632"/>
        <v>28700</v>
      </c>
      <c r="B16840" s="1" t="str">
        <f>"37645"</f>
        <v>37645</v>
      </c>
      <c r="C16840" s="2">
        <v>1.41776156579428E-2</v>
      </c>
      <c r="D16840" s="2">
        <v>4.5363942539006098E-3</v>
      </c>
      <c r="E16840" s="2">
        <v>5.3240315770148698E-3</v>
      </c>
      <c r="F16840" s="2">
        <v>1.31824852970678E-2</v>
      </c>
    </row>
    <row r="16841" spans="1:6" x14ac:dyDescent="0.25">
      <c r="A16841" s="1" t="str">
        <f t="shared" si="632"/>
        <v>28700</v>
      </c>
      <c r="B16841" s="1" t="str">
        <f>"24258"</f>
        <v>24258</v>
      </c>
      <c r="C16841" s="2">
        <v>4.0549633459645096E-3</v>
      </c>
      <c r="D16841" s="2">
        <v>8.2479895525465604E-4</v>
      </c>
      <c r="E16841" s="2">
        <v>3.6717459151826601E-4</v>
      </c>
      <c r="F16841" s="2">
        <v>3.7008098491167602E-3</v>
      </c>
    </row>
    <row r="16842" spans="1:6" x14ac:dyDescent="0.25">
      <c r="A16842" s="1" t="str">
        <f t="shared" si="632"/>
        <v>28700</v>
      </c>
      <c r="B16842" s="1" t="str">
        <f>"37745"</f>
        <v>37745</v>
      </c>
      <c r="C16842" s="2">
        <v>5.3712032675803597E-4</v>
      </c>
      <c r="D16842" s="2">
        <v>3.43666231356106E-4</v>
      </c>
      <c r="E16842" s="2">
        <v>0</v>
      </c>
      <c r="F16842" s="2">
        <v>5.0681561414437899E-4</v>
      </c>
    </row>
    <row r="16843" spans="1:6" x14ac:dyDescent="0.25">
      <c r="A16843" s="1" t="str">
        <f t="shared" si="632"/>
        <v>28700</v>
      </c>
      <c r="B16843" s="1" t="str">
        <f>"37731"</f>
        <v>37731</v>
      </c>
      <c r="C16843" s="2">
        <v>2.3786757327855798E-3</v>
      </c>
      <c r="D16843" s="2">
        <v>9.6226544779709901E-4</v>
      </c>
      <c r="E16843" s="2">
        <v>0</v>
      </c>
      <c r="F16843" s="2">
        <v>2.2014803239396399E-3</v>
      </c>
    </row>
    <row r="16844" spans="1:6" x14ac:dyDescent="0.25">
      <c r="A16844" s="1" t="str">
        <f t="shared" si="632"/>
        <v>28700</v>
      </c>
      <c r="B16844" s="1" t="str">
        <f>"37857"</f>
        <v>37857</v>
      </c>
      <c r="C16844" s="2">
        <v>6.6691456835593896E-2</v>
      </c>
      <c r="D16844" s="2">
        <v>5.5673929479689299E-2</v>
      </c>
      <c r="E16844" s="2">
        <v>6.2603267853864497E-2</v>
      </c>
      <c r="F16844" s="2">
        <v>6.5727649959349099E-2</v>
      </c>
    </row>
    <row r="16845" spans="1:6" x14ac:dyDescent="0.25">
      <c r="A16845" s="1" t="str">
        <f t="shared" si="632"/>
        <v>28700</v>
      </c>
      <c r="B16845" s="1" t="str">
        <f>"24340"</f>
        <v>24340</v>
      </c>
      <c r="C16845" s="2">
        <v>1.9371746290328201E-2</v>
      </c>
      <c r="D16845" s="2">
        <v>1.0584919925768E-2</v>
      </c>
      <c r="E16845" s="2">
        <v>6.6091426473288001E-3</v>
      </c>
      <c r="F16845" s="2">
        <v>1.8329831378221698E-2</v>
      </c>
    </row>
    <row r="16846" spans="1:6" x14ac:dyDescent="0.25">
      <c r="A16846" s="1" t="str">
        <f t="shared" si="632"/>
        <v>28700</v>
      </c>
      <c r="B16846" s="1" t="str">
        <f>"24201"</f>
        <v>24201</v>
      </c>
      <c r="C16846" s="2">
        <v>5.15517465264251E-2</v>
      </c>
      <c r="D16846" s="2">
        <v>7.0932710151900405E-2</v>
      </c>
      <c r="E16846" s="2">
        <v>7.9309711767945601E-2</v>
      </c>
      <c r="F16846" s="2">
        <v>5.3838600344212201E-2</v>
      </c>
    </row>
    <row r="16847" spans="1:6" x14ac:dyDescent="0.25">
      <c r="A16847" s="1" t="str">
        <f t="shared" si="632"/>
        <v>28700</v>
      </c>
      <c r="B16847" s="1" t="str">
        <f>"37663"</f>
        <v>37663</v>
      </c>
      <c r="C16847" s="2">
        <v>4.3707428787288498E-2</v>
      </c>
      <c r="D16847" s="2">
        <v>4.1102481270190297E-2</v>
      </c>
      <c r="E16847" s="2">
        <v>3.7635395630622299E-2</v>
      </c>
      <c r="F16847" s="2">
        <v>4.3332735009344397E-2</v>
      </c>
    </row>
    <row r="16848" spans="1:6" x14ac:dyDescent="0.25">
      <c r="A16848" s="1" t="str">
        <f t="shared" si="632"/>
        <v>28700</v>
      </c>
      <c r="B16848" s="1" t="str">
        <f>"37811"</f>
        <v>37811</v>
      </c>
      <c r="C16848" s="2">
        <v>1.1769427819291399E-2</v>
      </c>
      <c r="D16848" s="2">
        <v>2.7493298508488502E-3</v>
      </c>
      <c r="E16848" s="2">
        <v>6.7927299430879298E-3</v>
      </c>
      <c r="F16848" s="2">
        <v>1.0933491009302101E-2</v>
      </c>
    </row>
    <row r="16849" spans="1:6" x14ac:dyDescent="0.25">
      <c r="A16849" s="1" t="str">
        <f t="shared" si="632"/>
        <v>28700</v>
      </c>
      <c r="B16849" s="1" t="str">
        <f>"24271"</f>
        <v>24271</v>
      </c>
      <c r="C16849" s="2">
        <v>7.08880782897144E-3</v>
      </c>
      <c r="D16849" s="2">
        <v>2.0619973881366399E-3</v>
      </c>
      <c r="E16849" s="2">
        <v>7.34349183036533E-4</v>
      </c>
      <c r="F16849" s="2">
        <v>6.5199717027948703E-3</v>
      </c>
    </row>
    <row r="16850" spans="1:6" x14ac:dyDescent="0.25">
      <c r="A16850" s="1" t="str">
        <f t="shared" si="632"/>
        <v>28700</v>
      </c>
      <c r="B16850" s="1" t="str">
        <f>"24236"</f>
        <v>24236</v>
      </c>
      <c r="C16850" s="2">
        <v>1.38234703875529E-2</v>
      </c>
      <c r="D16850" s="2">
        <v>8.0417898137328993E-3</v>
      </c>
      <c r="E16850" s="2">
        <v>3.4881586194235301E-3</v>
      </c>
      <c r="F16850" s="2">
        <v>1.30821780401017E-2</v>
      </c>
    </row>
    <row r="16851" spans="1:6" x14ac:dyDescent="0.25">
      <c r="A16851" s="1" t="str">
        <f t="shared" si="632"/>
        <v>28700</v>
      </c>
      <c r="B16851" s="1" t="str">
        <f>"24270"</f>
        <v>24270</v>
      </c>
      <c r="C16851" s="2">
        <v>1.3693617121743301E-3</v>
      </c>
      <c r="D16851" s="2">
        <v>5.4986597016977098E-4</v>
      </c>
      <c r="E16851" s="2">
        <v>0</v>
      </c>
      <c r="F16851" s="2">
        <v>1.2670390353609401E-3</v>
      </c>
    </row>
    <row r="16852" spans="1:6" x14ac:dyDescent="0.25">
      <c r="A16852" s="1" t="str">
        <f t="shared" si="632"/>
        <v>28700</v>
      </c>
      <c r="B16852" s="1" t="str">
        <f>"24203"</f>
        <v>24203</v>
      </c>
      <c r="C16852" s="2">
        <v>6.7818819279668501E-3</v>
      </c>
      <c r="D16852" s="2">
        <v>1.62897793662794E-2</v>
      </c>
      <c r="E16852" s="2">
        <v>1.8358729575913301E-4</v>
      </c>
      <c r="F16852" s="2">
        <v>7.3224297585234698E-3</v>
      </c>
    </row>
    <row r="16853" spans="1:6" x14ac:dyDescent="0.25">
      <c r="A16853" s="1" t="str">
        <f t="shared" si="632"/>
        <v>28700</v>
      </c>
      <c r="B16853" s="1" t="str">
        <f>"24292"</f>
        <v>24292</v>
      </c>
      <c r="C16853" s="2">
        <v>2.3609684692660899E-5</v>
      </c>
      <c r="D16853" s="2">
        <v>0</v>
      </c>
      <c r="E16853" s="2">
        <v>0</v>
      </c>
      <c r="F16853" s="2">
        <v>2.11173172560157E-5</v>
      </c>
    </row>
    <row r="16854" spans="1:6" x14ac:dyDescent="0.25">
      <c r="A16854" s="1" t="str">
        <f t="shared" si="632"/>
        <v>28700</v>
      </c>
      <c r="B16854" s="1" t="str">
        <f>"37891"</f>
        <v>37891</v>
      </c>
      <c r="C16854" s="2">
        <v>2.8036500572534801E-3</v>
      </c>
      <c r="D16854" s="2">
        <v>1.3746649254244199E-4</v>
      </c>
      <c r="E16854" s="2">
        <v>7.34349183036533E-4</v>
      </c>
      <c r="F16854" s="2">
        <v>2.5393574000358902E-3</v>
      </c>
    </row>
    <row r="16855" spans="1:6" x14ac:dyDescent="0.25">
      <c r="A16855" s="1" t="str">
        <f t="shared" si="632"/>
        <v>28700</v>
      </c>
      <c r="B16855" s="1" t="str">
        <f>"24212"</f>
        <v>24212</v>
      </c>
      <c r="C16855" s="2">
        <v>7.1596368830494196E-3</v>
      </c>
      <c r="D16855" s="2">
        <v>2.94865626503539E-2</v>
      </c>
      <c r="E16855" s="2">
        <v>3.6717459151826601E-4</v>
      </c>
      <c r="F16855" s="2">
        <v>8.6792173922224901E-3</v>
      </c>
    </row>
    <row r="16856" spans="1:6" x14ac:dyDescent="0.25">
      <c r="A16856" s="1" t="str">
        <f t="shared" si="632"/>
        <v>28700</v>
      </c>
      <c r="B16856" s="1" t="str">
        <f>"37656"</f>
        <v>37656</v>
      </c>
      <c r="C16856" s="2">
        <v>8.6765591245528901E-4</v>
      </c>
      <c r="D16856" s="2">
        <v>0</v>
      </c>
      <c r="E16856" s="2">
        <v>0</v>
      </c>
      <c r="F16856" s="2">
        <v>7.7606140915858005E-4</v>
      </c>
    </row>
    <row r="16857" spans="1:6" x14ac:dyDescent="0.25">
      <c r="A16857" s="1" t="str">
        <f t="shared" si="632"/>
        <v>28700</v>
      </c>
      <c r="B16857" s="1" t="str">
        <f>"24250"</f>
        <v>24250</v>
      </c>
      <c r="C16857" s="2">
        <v>5.3889105310998501E-3</v>
      </c>
      <c r="D16857" s="2">
        <v>9.6226544779709901E-4</v>
      </c>
      <c r="E16857" s="2">
        <v>3.6717459151826601E-4</v>
      </c>
      <c r="F16857" s="2">
        <v>4.9044969327096599E-3</v>
      </c>
    </row>
    <row r="16858" spans="1:6" x14ac:dyDescent="0.25">
      <c r="A16858" s="1" t="str">
        <f t="shared" si="632"/>
        <v>28700</v>
      </c>
      <c r="B16858" s="1" t="str">
        <f>"24319"</f>
        <v>24319</v>
      </c>
      <c r="C16858" s="2">
        <v>1.89467719658603E-3</v>
      </c>
      <c r="D16858" s="2">
        <v>1.3746649254244199E-4</v>
      </c>
      <c r="E16858" s="2">
        <v>0</v>
      </c>
      <c r="F16858" s="2">
        <v>1.70522336842327E-3</v>
      </c>
    </row>
    <row r="16859" spans="1:6" x14ac:dyDescent="0.25">
      <c r="A16859" s="1" t="str">
        <f t="shared" si="632"/>
        <v>28700</v>
      </c>
      <c r="B16859" s="1" t="str">
        <f>"24209"</f>
        <v>24209</v>
      </c>
      <c r="C16859" s="2">
        <v>6.0086647542821996E-3</v>
      </c>
      <c r="D16859" s="2">
        <v>8.7978555227163305E-3</v>
      </c>
      <c r="E16859" s="2">
        <v>1.8358729575913301E-4</v>
      </c>
      <c r="F16859" s="2">
        <v>6.0553907231625202E-3</v>
      </c>
    </row>
    <row r="16860" spans="1:6" x14ac:dyDescent="0.25">
      <c r="A16860" s="1" t="str">
        <f t="shared" si="632"/>
        <v>28700</v>
      </c>
      <c r="B16860" s="1" t="str">
        <f>"37620"</f>
        <v>37620</v>
      </c>
      <c r="C16860" s="2">
        <v>0.11669086659347599</v>
      </c>
      <c r="D16860" s="2">
        <v>0.125919307168877</v>
      </c>
      <c r="E16860" s="2">
        <v>0.16798237561960699</v>
      </c>
      <c r="F16860" s="2">
        <v>0.118874658163426</v>
      </c>
    </row>
    <row r="16861" spans="1:6" x14ac:dyDescent="0.25">
      <c r="A16861" s="1" t="str">
        <f t="shared" ref="A16861:A16881" si="633">"28700"</f>
        <v>28700</v>
      </c>
      <c r="B16861" s="1" t="str">
        <f>"37625"</f>
        <v>37625</v>
      </c>
      <c r="C16861" s="2">
        <v>4.9580337854587897E-3</v>
      </c>
      <c r="D16861" s="2">
        <v>1.07223864183105E-2</v>
      </c>
      <c r="E16861" s="2">
        <v>3.6717459151826601E-4</v>
      </c>
      <c r="F16861" s="2">
        <v>5.26877065537594E-3</v>
      </c>
    </row>
    <row r="16862" spans="1:6" x14ac:dyDescent="0.25">
      <c r="A16862" s="1" t="str">
        <f t="shared" si="633"/>
        <v>28700</v>
      </c>
      <c r="B16862" s="1" t="str">
        <f>"24361"</f>
        <v>24361</v>
      </c>
      <c r="C16862" s="2">
        <v>1.5175124836207801E-2</v>
      </c>
      <c r="D16862" s="2">
        <v>5.9110591793250303E-3</v>
      </c>
      <c r="E16862" s="2">
        <v>3.3045713236644E-3</v>
      </c>
      <c r="F16862" s="2">
        <v>1.41222059149605E-2</v>
      </c>
    </row>
    <row r="16863" spans="1:6" x14ac:dyDescent="0.25">
      <c r="A16863" s="1" t="str">
        <f t="shared" si="633"/>
        <v>28700</v>
      </c>
      <c r="B16863" s="1" t="str">
        <f>"24290"</f>
        <v>24290</v>
      </c>
      <c r="C16863" s="2">
        <v>5.8906163308188996E-3</v>
      </c>
      <c r="D16863" s="2">
        <v>9.3477214928860998E-3</v>
      </c>
      <c r="E16863" s="2">
        <v>1.15659996328254E-2</v>
      </c>
      <c r="F16863" s="2">
        <v>6.31935718886272E-3</v>
      </c>
    </row>
    <row r="16864" spans="1:6" x14ac:dyDescent="0.25">
      <c r="A16864" s="1" t="str">
        <f t="shared" si="633"/>
        <v>28700</v>
      </c>
      <c r="B16864" s="1" t="str">
        <f>"24221"</f>
        <v>24221</v>
      </c>
      <c r="C16864" s="2">
        <v>1.3457520274816699E-3</v>
      </c>
      <c r="D16864" s="2">
        <v>4.8113272389854902E-4</v>
      </c>
      <c r="E16864" s="2">
        <v>0</v>
      </c>
      <c r="F16864" s="2">
        <v>1.2406423887909199E-3</v>
      </c>
    </row>
    <row r="16865" spans="1:6" x14ac:dyDescent="0.25">
      <c r="A16865" s="1" t="str">
        <f t="shared" si="633"/>
        <v>28700</v>
      </c>
      <c r="B16865" s="1" t="str">
        <f>"37615"</f>
        <v>37615</v>
      </c>
      <c r="C16865" s="2">
        <v>7.0829054077982702E-5</v>
      </c>
      <c r="D16865" s="2">
        <v>0</v>
      </c>
      <c r="E16865" s="2">
        <v>0</v>
      </c>
      <c r="F16865" s="2">
        <v>6.3351951768047306E-5</v>
      </c>
    </row>
    <row r="16866" spans="1:6" x14ac:dyDescent="0.25">
      <c r="A16866" s="1" t="str">
        <f t="shared" si="633"/>
        <v>28700</v>
      </c>
      <c r="B16866" s="1" t="str">
        <f>"37621"</f>
        <v>37621</v>
      </c>
      <c r="C16866" s="2">
        <v>5.3948129522730197E-3</v>
      </c>
      <c r="D16866" s="2">
        <v>1.9588975187298002E-2</v>
      </c>
      <c r="E16866" s="2">
        <v>3.6717459151826601E-4</v>
      </c>
      <c r="F16866" s="2">
        <v>6.3404745061187403E-3</v>
      </c>
    </row>
    <row r="16867" spans="1:6" x14ac:dyDescent="0.25">
      <c r="A16867" s="1" t="str">
        <f t="shared" si="633"/>
        <v>28700</v>
      </c>
      <c r="B16867" s="1" t="str">
        <f>"37659"</f>
        <v>37659</v>
      </c>
      <c r="C16867" s="2">
        <v>3.06925901004592E-4</v>
      </c>
      <c r="D16867" s="2">
        <v>0</v>
      </c>
      <c r="E16867" s="2">
        <v>0</v>
      </c>
      <c r="F16867" s="2">
        <v>2.7452512432820498E-4</v>
      </c>
    </row>
    <row r="16868" spans="1:6" x14ac:dyDescent="0.25">
      <c r="A16868" s="1" t="str">
        <f t="shared" si="633"/>
        <v>28700</v>
      </c>
      <c r="B16868" s="1" t="str">
        <f>"37881"</f>
        <v>37881</v>
      </c>
      <c r="C16868" s="2">
        <v>5.2531548441170502E-4</v>
      </c>
      <c r="D16868" s="2">
        <v>0</v>
      </c>
      <c r="E16868" s="2">
        <v>0</v>
      </c>
      <c r="F16868" s="2">
        <v>4.6986030894635098E-4</v>
      </c>
    </row>
    <row r="16869" spans="1:6" x14ac:dyDescent="0.25">
      <c r="A16869" s="1" t="str">
        <f t="shared" si="633"/>
        <v>28700</v>
      </c>
      <c r="B16869" s="1" t="str">
        <f>"24230"</f>
        <v>24230</v>
      </c>
      <c r="C16869" s="2">
        <v>4.8399853619954898E-4</v>
      </c>
      <c r="D16869" s="2">
        <v>1.3746649254244199E-4</v>
      </c>
      <c r="E16869" s="2">
        <v>0</v>
      </c>
      <c r="F16869" s="2">
        <v>4.4346366237633098E-4</v>
      </c>
    </row>
    <row r="16870" spans="1:6" x14ac:dyDescent="0.25">
      <c r="A16870" s="1" t="str">
        <f t="shared" si="633"/>
        <v>28700</v>
      </c>
      <c r="B16870" s="1" t="str">
        <f>"37618"</f>
        <v>37618</v>
      </c>
      <c r="C16870" s="2">
        <v>3.6825205699377798E-2</v>
      </c>
      <c r="D16870" s="2">
        <v>1.5258780672211101E-2</v>
      </c>
      <c r="E16870" s="2">
        <v>2.0378189829263801E-2</v>
      </c>
      <c r="F16870" s="2">
        <v>3.4695752251633898E-2</v>
      </c>
    </row>
    <row r="16871" spans="1:6" x14ac:dyDescent="0.25">
      <c r="A16871" s="1" t="str">
        <f t="shared" si="633"/>
        <v>28700</v>
      </c>
      <c r="B16871" s="1" t="str">
        <f>"37662"</f>
        <v>37662</v>
      </c>
      <c r="C16871" s="2">
        <v>8.2633896424313194E-3</v>
      </c>
      <c r="D16871" s="2">
        <v>2.0207574403739E-2</v>
      </c>
      <c r="E16871" s="2">
        <v>3.6717459151826601E-4</v>
      </c>
      <c r="F16871" s="2">
        <v>8.95374251655069E-3</v>
      </c>
    </row>
    <row r="16872" spans="1:6" x14ac:dyDescent="0.25">
      <c r="A16872" s="1" t="str">
        <f t="shared" si="633"/>
        <v>28700</v>
      </c>
      <c r="B16872" s="1" t="str">
        <f>"37660"</f>
        <v>37660</v>
      </c>
      <c r="C16872" s="2">
        <v>0.12631771552690901</v>
      </c>
      <c r="D16872" s="2">
        <v>0.20345040896281499</v>
      </c>
      <c r="E16872" s="2">
        <v>0.23040205617771201</v>
      </c>
      <c r="F16872" s="2">
        <v>0.13523529970752499</v>
      </c>
    </row>
    <row r="16873" spans="1:6" x14ac:dyDescent="0.25">
      <c r="A16873" s="1" t="str">
        <f t="shared" si="633"/>
        <v>28700</v>
      </c>
      <c r="B16873" s="1" t="str">
        <f>"37873"</f>
        <v>37873</v>
      </c>
      <c r="C16873" s="2">
        <v>1.29263023692318E-2</v>
      </c>
      <c r="D16873" s="2">
        <v>7.2857241047494603E-3</v>
      </c>
      <c r="E16873" s="2">
        <v>8.0778410134018704E-3</v>
      </c>
      <c r="F16873" s="2">
        <v>1.23536305947692E-2</v>
      </c>
    </row>
    <row r="16874" spans="1:6" x14ac:dyDescent="0.25">
      <c r="A16874" s="1" t="str">
        <f t="shared" si="633"/>
        <v>28700</v>
      </c>
      <c r="B16874" s="1" t="str">
        <f>"24251"</f>
        <v>24251</v>
      </c>
      <c r="C16874" s="2">
        <v>3.5213844719103701E-2</v>
      </c>
      <c r="D16874" s="2">
        <v>2.55687676128943E-2</v>
      </c>
      <c r="E16874" s="2">
        <v>1.3769047181935E-2</v>
      </c>
      <c r="F16874" s="2">
        <v>3.3856338890707299E-2</v>
      </c>
    </row>
    <row r="16875" spans="1:6" x14ac:dyDescent="0.25">
      <c r="A16875" s="1" t="str">
        <f t="shared" si="633"/>
        <v>28700</v>
      </c>
      <c r="B16875" s="1" t="str">
        <f>"24211"</f>
        <v>24211</v>
      </c>
      <c r="C16875" s="2">
        <v>2.7735477092703398E-2</v>
      </c>
      <c r="D16875" s="2">
        <v>1.51213141796687E-2</v>
      </c>
      <c r="E16875" s="2">
        <v>1.7624380392876799E-2</v>
      </c>
      <c r="F16875" s="2">
        <v>2.6475836509729799E-2</v>
      </c>
    </row>
    <row r="16876" spans="1:6" x14ac:dyDescent="0.25">
      <c r="A16876" s="1" t="str">
        <f t="shared" si="633"/>
        <v>28700</v>
      </c>
      <c r="B16876" s="1" t="str">
        <f>"24202"</f>
        <v>24202</v>
      </c>
      <c r="C16876" s="2">
        <v>3.6990473492226499E-2</v>
      </c>
      <c r="D16876" s="2">
        <v>3.5672554814763897E-2</v>
      </c>
      <c r="E16876" s="2">
        <v>1.4503396364971499E-2</v>
      </c>
      <c r="F16876" s="2">
        <v>3.6242595740637103E-2</v>
      </c>
    </row>
    <row r="16877" spans="1:6" x14ac:dyDescent="0.25">
      <c r="A16877" s="1" t="str">
        <f t="shared" si="633"/>
        <v>28700</v>
      </c>
      <c r="B16877" s="1" t="str">
        <f>"24370"</f>
        <v>24370</v>
      </c>
      <c r="C16877" s="2">
        <v>2.5439435256342101E-3</v>
      </c>
      <c r="D16877" s="2">
        <v>9.6226544779709901E-4</v>
      </c>
      <c r="E16877" s="2">
        <v>3.6717459151826601E-4</v>
      </c>
      <c r="F16877" s="2">
        <v>2.3598602033597601E-3</v>
      </c>
    </row>
    <row r="16878" spans="1:6" x14ac:dyDescent="0.25">
      <c r="A16878" s="1" t="str">
        <f t="shared" si="633"/>
        <v>28700</v>
      </c>
      <c r="B16878" s="1" t="str">
        <f>"24244"</f>
        <v>24244</v>
      </c>
      <c r="C16878" s="2">
        <v>1.2359669936607901E-2</v>
      </c>
      <c r="D16878" s="2">
        <v>4.81132723898549E-3</v>
      </c>
      <c r="E16878" s="2">
        <v>5.5076188727740004E-3</v>
      </c>
      <c r="F16878" s="2">
        <v>1.1582848514924599E-2</v>
      </c>
    </row>
    <row r="16879" spans="1:6" x14ac:dyDescent="0.25">
      <c r="A16879" s="1" t="str">
        <f t="shared" si="633"/>
        <v>28700</v>
      </c>
      <c r="B16879" s="1" t="str">
        <f>"37669"</f>
        <v>37669</v>
      </c>
      <c r="C16879" s="2">
        <v>0</v>
      </c>
      <c r="D16879" s="2">
        <v>0</v>
      </c>
      <c r="E16879" s="2">
        <v>1.8358729575913301E-4</v>
      </c>
      <c r="F16879" s="2">
        <v>5.2793293140039402E-6</v>
      </c>
    </row>
    <row r="16880" spans="1:6" x14ac:dyDescent="0.25">
      <c r="A16880" s="1" t="str">
        <f t="shared" si="633"/>
        <v>28700</v>
      </c>
      <c r="B16880" s="1" t="str">
        <f>"37699"</f>
        <v>37699</v>
      </c>
      <c r="C16880" s="2">
        <v>0</v>
      </c>
      <c r="D16880" s="2">
        <v>6.8733246271221305E-5</v>
      </c>
      <c r="E16880" s="2">
        <v>0</v>
      </c>
      <c r="F16880" s="2">
        <v>5.2793293140039402E-6</v>
      </c>
    </row>
    <row r="16881" spans="1:6" x14ac:dyDescent="0.25">
      <c r="A16881" s="1" t="str">
        <f t="shared" si="633"/>
        <v>28700</v>
      </c>
      <c r="B16881" s="1" t="str">
        <f>"37664"</f>
        <v>37664</v>
      </c>
      <c r="C16881" s="2">
        <v>8.9911581730825904E-2</v>
      </c>
      <c r="D16881" s="2">
        <v>7.7118702316310295E-2</v>
      </c>
      <c r="E16881" s="2">
        <v>0.104461171286946</v>
      </c>
      <c r="F16881" s="2">
        <v>8.9347369310202804E-2</v>
      </c>
    </row>
    <row r="16882" spans="1:6" x14ac:dyDescent="0.25">
      <c r="A16882" s="1" t="str">
        <f t="shared" ref="A16882:A16913" si="634">"28740"</f>
        <v>28740</v>
      </c>
      <c r="B16882" s="1" t="str">
        <f>"12477"</f>
        <v>12477</v>
      </c>
      <c r="C16882" s="2">
        <v>0.106089288531314</v>
      </c>
      <c r="D16882" s="2">
        <v>8.0119465004544796E-2</v>
      </c>
      <c r="E16882" s="2">
        <v>0.119488296135002</v>
      </c>
      <c r="F16882" s="2">
        <v>0.104583454020635</v>
      </c>
    </row>
    <row r="16883" spans="1:6" x14ac:dyDescent="0.25">
      <c r="A16883" s="1" t="str">
        <f t="shared" si="634"/>
        <v>28740</v>
      </c>
      <c r="B16883" s="1" t="str">
        <f>"12402"</f>
        <v>12402</v>
      </c>
      <c r="C16883" s="2">
        <v>2.3640502107137199E-2</v>
      </c>
      <c r="D16883" s="2">
        <v>9.0118166471886696E-2</v>
      </c>
      <c r="E16883" s="2">
        <v>8.1654872074033704E-4</v>
      </c>
      <c r="F16883" s="2">
        <v>2.7916221372139699E-2</v>
      </c>
    </row>
    <row r="16884" spans="1:6" x14ac:dyDescent="0.25">
      <c r="A16884" s="1" t="str">
        <f t="shared" si="634"/>
        <v>28740</v>
      </c>
      <c r="B16884" s="1" t="str">
        <f>"12458"</f>
        <v>12458</v>
      </c>
      <c r="C16884" s="2">
        <v>9.3976066526942001E-3</v>
      </c>
      <c r="D16884" s="2">
        <v>3.2463316452408702E-3</v>
      </c>
      <c r="E16884" s="2">
        <v>2.7218290691344502E-3</v>
      </c>
      <c r="F16884" s="2">
        <v>8.6794978076527394E-3</v>
      </c>
    </row>
    <row r="16885" spans="1:6" x14ac:dyDescent="0.25">
      <c r="A16885" s="1" t="str">
        <f t="shared" si="634"/>
        <v>28740</v>
      </c>
      <c r="B16885" s="1" t="str">
        <f>"12409"</f>
        <v>12409</v>
      </c>
      <c r="C16885" s="2">
        <v>4.5523178509453898E-3</v>
      </c>
      <c r="D16885" s="2">
        <v>1.16867939228671E-3</v>
      </c>
      <c r="E16885" s="2">
        <v>8.1654872074033704E-4</v>
      </c>
      <c r="F16885" s="2">
        <v>4.1549724832952101E-3</v>
      </c>
    </row>
    <row r="16886" spans="1:6" x14ac:dyDescent="0.25">
      <c r="A16886" s="1" t="str">
        <f t="shared" si="634"/>
        <v>28740</v>
      </c>
      <c r="B16886" s="1" t="str">
        <f>"12481"</f>
        <v>12481</v>
      </c>
      <c r="C16886" s="2">
        <v>6.95242602483492E-3</v>
      </c>
      <c r="D16886" s="2">
        <v>2.5970653161927E-3</v>
      </c>
      <c r="E16886" s="2">
        <v>2.4496461622210098E-3</v>
      </c>
      <c r="F16886" s="2">
        <v>6.4521928466555398E-3</v>
      </c>
    </row>
    <row r="16887" spans="1:6" x14ac:dyDescent="0.25">
      <c r="A16887" s="1" t="str">
        <f t="shared" si="634"/>
        <v>28740</v>
      </c>
      <c r="B16887" s="1" t="str">
        <f>"12486"</f>
        <v>12486</v>
      </c>
      <c r="C16887" s="2">
        <v>6.3890203502129598E-3</v>
      </c>
      <c r="D16887" s="2">
        <v>3.8955979742890501E-4</v>
      </c>
      <c r="E16887" s="2">
        <v>1.9052803483941201E-3</v>
      </c>
      <c r="F16887" s="2">
        <v>5.7630267376474397E-3</v>
      </c>
    </row>
    <row r="16888" spans="1:6" x14ac:dyDescent="0.25">
      <c r="A16888" s="1" t="str">
        <f t="shared" si="634"/>
        <v>28740</v>
      </c>
      <c r="B16888" s="1" t="str">
        <f>"12480"</f>
        <v>12480</v>
      </c>
      <c r="C16888" s="2">
        <v>3.36916593423928E-3</v>
      </c>
      <c r="D16888" s="2">
        <v>1.29853265809635E-3</v>
      </c>
      <c r="E16888" s="2">
        <v>8.1654872074033704E-4</v>
      </c>
      <c r="F16888" s="2">
        <v>3.1162293624714E-3</v>
      </c>
    </row>
    <row r="16889" spans="1:6" x14ac:dyDescent="0.25">
      <c r="A16889" s="1" t="str">
        <f t="shared" si="634"/>
        <v>28740</v>
      </c>
      <c r="B16889" s="1" t="str">
        <f>"12740"</f>
        <v>12740</v>
      </c>
      <c r="C16889" s="2">
        <v>2.3099632659500098E-3</v>
      </c>
      <c r="D16889" s="2">
        <v>3.8955979742890501E-4</v>
      </c>
      <c r="E16889" s="2">
        <v>0</v>
      </c>
      <c r="F16889" s="2">
        <v>2.0774862416475998E-3</v>
      </c>
    </row>
    <row r="16890" spans="1:6" x14ac:dyDescent="0.25">
      <c r="A16890" s="1" t="str">
        <f t="shared" si="634"/>
        <v>28740</v>
      </c>
      <c r="B16890" s="1" t="str">
        <f>"12463"</f>
        <v>12463</v>
      </c>
      <c r="C16890" s="2">
        <v>1.8028981587902499E-4</v>
      </c>
      <c r="D16890" s="2">
        <v>0</v>
      </c>
      <c r="E16890" s="2">
        <v>0</v>
      </c>
      <c r="F16890" s="2">
        <v>1.59806633972892E-4</v>
      </c>
    </row>
    <row r="16891" spans="1:6" x14ac:dyDescent="0.25">
      <c r="A16891" s="1" t="str">
        <f t="shared" si="634"/>
        <v>28740</v>
      </c>
      <c r="B16891" s="1" t="str">
        <f>"12758"</f>
        <v>12758</v>
      </c>
      <c r="C16891" s="2">
        <v>5.1833322065219796E-4</v>
      </c>
      <c r="D16891" s="2">
        <v>5.1941306323853998E-4</v>
      </c>
      <c r="E16891" s="2">
        <v>0</v>
      </c>
      <c r="F16891" s="2">
        <v>4.9939573116528904E-4</v>
      </c>
    </row>
    <row r="16892" spans="1:6" x14ac:dyDescent="0.25">
      <c r="A16892" s="1" t="str">
        <f t="shared" si="634"/>
        <v>28740</v>
      </c>
      <c r="B16892" s="1" t="str">
        <f>"12410"</f>
        <v>12410</v>
      </c>
      <c r="C16892" s="2">
        <v>2.7381515786627001E-3</v>
      </c>
      <c r="D16892" s="2">
        <v>1.03882612647708E-3</v>
      </c>
      <c r="E16892" s="2">
        <v>2.7218290691344499E-4</v>
      </c>
      <c r="F16892" s="2">
        <v>2.5169544850730599E-3</v>
      </c>
    </row>
    <row r="16893" spans="1:6" x14ac:dyDescent="0.25">
      <c r="A16893" s="1" t="str">
        <f t="shared" si="634"/>
        <v>28740</v>
      </c>
      <c r="B16893" s="1" t="str">
        <f>"12412"</f>
        <v>12412</v>
      </c>
      <c r="C16893" s="2">
        <v>2.8959051675568402E-3</v>
      </c>
      <c r="D16893" s="2">
        <v>1.16867939228671E-3</v>
      </c>
      <c r="E16893" s="2">
        <v>1.3609145345672201E-3</v>
      </c>
      <c r="F16893" s="2">
        <v>2.70672486291587E-3</v>
      </c>
    </row>
    <row r="16894" spans="1:6" x14ac:dyDescent="0.25">
      <c r="A16894" s="1" t="str">
        <f t="shared" si="634"/>
        <v>28740</v>
      </c>
      <c r="B16894" s="1" t="str">
        <f>"12448"</f>
        <v>12448</v>
      </c>
      <c r="C16894" s="2">
        <v>5.5213756112951499E-4</v>
      </c>
      <c r="D16894" s="2">
        <v>6.4926632904817501E-4</v>
      </c>
      <c r="E16894" s="2">
        <v>8.1654872074033704E-4</v>
      </c>
      <c r="F16894" s="2">
        <v>5.6931113352843004E-4</v>
      </c>
    </row>
    <row r="16895" spans="1:6" x14ac:dyDescent="0.25">
      <c r="A16895" s="1" t="str">
        <f t="shared" si="634"/>
        <v>28740</v>
      </c>
      <c r="B16895" s="1" t="str">
        <f>"12588"</f>
        <v>12588</v>
      </c>
      <c r="C16895" s="2">
        <v>0</v>
      </c>
      <c r="D16895" s="2">
        <v>0</v>
      </c>
      <c r="E16895" s="2">
        <v>2.7218290691344499E-4</v>
      </c>
      <c r="F16895" s="2">
        <v>9.9879146233057907E-6</v>
      </c>
    </row>
    <row r="16896" spans="1:6" x14ac:dyDescent="0.25">
      <c r="A16896" s="1" t="str">
        <f t="shared" si="634"/>
        <v>28740</v>
      </c>
      <c r="B16896" s="1" t="str">
        <f>"12483"</f>
        <v>12483</v>
      </c>
      <c r="C16896" s="2">
        <v>7.8876794447073605E-5</v>
      </c>
      <c r="D16896" s="2">
        <v>0</v>
      </c>
      <c r="E16896" s="2">
        <v>2.7218290691344499E-4</v>
      </c>
      <c r="F16896" s="2">
        <v>7.9903316986446298E-5</v>
      </c>
    </row>
    <row r="16897" spans="1:6" x14ac:dyDescent="0.25">
      <c r="A16897" s="1" t="str">
        <f t="shared" si="634"/>
        <v>28740</v>
      </c>
      <c r="B16897" s="1" t="str">
        <f>"12466"</f>
        <v>12466</v>
      </c>
      <c r="C16897" s="2">
        <v>2.5792711784193002E-2</v>
      </c>
      <c r="D16897" s="2">
        <v>1.064796779639E-2</v>
      </c>
      <c r="E16897" s="2">
        <v>5.7158410451823597E-3</v>
      </c>
      <c r="F16897" s="2">
        <v>2.3891091778947399E-2</v>
      </c>
    </row>
    <row r="16898" spans="1:6" x14ac:dyDescent="0.25">
      <c r="A16898" s="1" t="str">
        <f t="shared" si="634"/>
        <v>28740</v>
      </c>
      <c r="B16898" s="1" t="str">
        <f>"12472"</f>
        <v>12472</v>
      </c>
      <c r="C16898" s="2">
        <v>1.19554684154778E-2</v>
      </c>
      <c r="D16898" s="2">
        <v>1.29853265809635E-2</v>
      </c>
      <c r="E16898" s="2">
        <v>5.1714752313554704E-3</v>
      </c>
      <c r="F16898" s="2">
        <v>1.1785739255500799E-2</v>
      </c>
    </row>
    <row r="16899" spans="1:6" x14ac:dyDescent="0.25">
      <c r="A16899" s="1" t="str">
        <f t="shared" si="634"/>
        <v>28740</v>
      </c>
      <c r="B16899" s="1" t="str">
        <f>"12411"</f>
        <v>12411</v>
      </c>
      <c r="C16899" s="2">
        <v>1.9268474072070801E-3</v>
      </c>
      <c r="D16899" s="2">
        <v>0</v>
      </c>
      <c r="E16899" s="2">
        <v>1.9052803483941201E-3</v>
      </c>
      <c r="F16899" s="2">
        <v>1.77784880294843E-3</v>
      </c>
    </row>
    <row r="16900" spans="1:6" x14ac:dyDescent="0.25">
      <c r="A16900" s="1" t="str">
        <f t="shared" si="634"/>
        <v>28740</v>
      </c>
      <c r="B16900" s="1" t="str">
        <f>"12491"</f>
        <v>12491</v>
      </c>
      <c r="C16900" s="2">
        <v>1.02201789376422E-2</v>
      </c>
      <c r="D16900" s="2">
        <v>5.7135436956239401E-3</v>
      </c>
      <c r="E16900" s="2">
        <v>3.5383777898747898E-3</v>
      </c>
      <c r="F16900" s="2">
        <v>9.6283496968667896E-3</v>
      </c>
    </row>
    <row r="16901" spans="1:6" x14ac:dyDescent="0.25">
      <c r="A16901" s="1" t="str">
        <f t="shared" si="634"/>
        <v>28740</v>
      </c>
      <c r="B16901" s="1" t="str">
        <f>"12515"</f>
        <v>12515</v>
      </c>
      <c r="C16901" s="2">
        <v>1.10540193360827E-2</v>
      </c>
      <c r="D16901" s="2">
        <v>7.53148941695883E-3</v>
      </c>
      <c r="E16901" s="2">
        <v>8.7098530212302606E-3</v>
      </c>
      <c r="F16901" s="2">
        <v>1.0697056561560499E-2</v>
      </c>
    </row>
    <row r="16902" spans="1:6" x14ac:dyDescent="0.25">
      <c r="A16902" s="1" t="str">
        <f t="shared" si="634"/>
        <v>28740</v>
      </c>
      <c r="B16902" s="1" t="str">
        <f>"12525"</f>
        <v>12525</v>
      </c>
      <c r="C16902" s="2">
        <v>2.0755865053072801E-2</v>
      </c>
      <c r="D16902" s="2">
        <v>2.49318270354499E-2</v>
      </c>
      <c r="E16902" s="2">
        <v>1.3881328252585701E-2</v>
      </c>
      <c r="F16902" s="2">
        <v>2.0824801989592499E-2</v>
      </c>
    </row>
    <row r="16903" spans="1:6" x14ac:dyDescent="0.25">
      <c r="A16903" s="1" t="str">
        <f t="shared" si="634"/>
        <v>28740</v>
      </c>
      <c r="B16903" s="1" t="str">
        <f>"12493"</f>
        <v>12493</v>
      </c>
      <c r="C16903" s="2">
        <v>2.25362269848781E-5</v>
      </c>
      <c r="D16903" s="2">
        <v>1.29853265809635E-4</v>
      </c>
      <c r="E16903" s="2">
        <v>2.7218290691344499E-4</v>
      </c>
      <c r="F16903" s="2">
        <v>3.9951658493223102E-5</v>
      </c>
    </row>
    <row r="16904" spans="1:6" x14ac:dyDescent="0.25">
      <c r="A16904" s="1" t="str">
        <f t="shared" si="634"/>
        <v>28740</v>
      </c>
      <c r="B16904" s="1" t="str">
        <f>"13731"</f>
        <v>13731</v>
      </c>
      <c r="C16904" s="2">
        <v>1.1268113492438999E-5</v>
      </c>
      <c r="D16904" s="2">
        <v>0</v>
      </c>
      <c r="E16904" s="2">
        <v>0</v>
      </c>
      <c r="F16904" s="2">
        <v>9.9879146233057907E-6</v>
      </c>
    </row>
    <row r="16905" spans="1:6" x14ac:dyDescent="0.25">
      <c r="A16905" s="1" t="str">
        <f t="shared" si="634"/>
        <v>28740</v>
      </c>
      <c r="B16905" s="1" t="str">
        <f>"12455"</f>
        <v>12455</v>
      </c>
      <c r="C16905" s="2">
        <v>1.35217361909269E-4</v>
      </c>
      <c r="D16905" s="2">
        <v>0</v>
      </c>
      <c r="E16905" s="2">
        <v>0</v>
      </c>
      <c r="F16905" s="2">
        <v>1.19854975479669E-4</v>
      </c>
    </row>
    <row r="16906" spans="1:6" x14ac:dyDescent="0.25">
      <c r="A16906" s="1" t="str">
        <f t="shared" si="634"/>
        <v>28740</v>
      </c>
      <c r="B16906" s="1" t="str">
        <f>"12432"</f>
        <v>12432</v>
      </c>
      <c r="C16906" s="2">
        <v>2.4339125143668398E-3</v>
      </c>
      <c r="D16906" s="2">
        <v>6.4926632904817501E-4</v>
      </c>
      <c r="E16906" s="2">
        <v>2.9940119760479E-3</v>
      </c>
      <c r="F16906" s="2">
        <v>2.31719619260694E-3</v>
      </c>
    </row>
    <row r="16907" spans="1:6" x14ac:dyDescent="0.25">
      <c r="A16907" s="1" t="str">
        <f t="shared" si="634"/>
        <v>28740</v>
      </c>
      <c r="B16907" s="1" t="str">
        <f>"12489"</f>
        <v>12489</v>
      </c>
      <c r="C16907" s="2">
        <v>2.5916661032609898E-4</v>
      </c>
      <c r="D16907" s="2">
        <v>2.5970653161926999E-4</v>
      </c>
      <c r="E16907" s="2">
        <v>2.7218290691344499E-4</v>
      </c>
      <c r="F16907" s="2">
        <v>2.5968578020594998E-4</v>
      </c>
    </row>
    <row r="16908" spans="1:6" x14ac:dyDescent="0.25">
      <c r="A16908" s="1" t="str">
        <f t="shared" si="634"/>
        <v>28740</v>
      </c>
      <c r="B16908" s="1" t="str">
        <f>"12566"</f>
        <v>12566</v>
      </c>
      <c r="C16908" s="2">
        <v>2.3809523809523801E-2</v>
      </c>
      <c r="D16908" s="2">
        <v>2.9866251136216001E-3</v>
      </c>
      <c r="E16908" s="2">
        <v>1.14316820903647E-2</v>
      </c>
      <c r="F16908" s="2">
        <v>2.175367804956E-2</v>
      </c>
    </row>
    <row r="16909" spans="1:6" x14ac:dyDescent="0.25">
      <c r="A16909" s="1" t="str">
        <f t="shared" si="634"/>
        <v>28740</v>
      </c>
      <c r="B16909" s="1" t="str">
        <f>"12401"</f>
        <v>12401</v>
      </c>
      <c r="C16909" s="2">
        <v>0.194994703986658</v>
      </c>
      <c r="D16909" s="2">
        <v>0.32878846902999598</v>
      </c>
      <c r="E16909" s="2">
        <v>0.32798040283070201</v>
      </c>
      <c r="F16909" s="2">
        <v>0.21016569950360001</v>
      </c>
    </row>
    <row r="16910" spans="1:6" x14ac:dyDescent="0.25">
      <c r="A16910" s="1" t="str">
        <f t="shared" si="634"/>
        <v>28740</v>
      </c>
      <c r="B16910" s="1" t="str">
        <f>"12443"</f>
        <v>12443</v>
      </c>
      <c r="C16910" s="2">
        <v>2.5049016293692099E-2</v>
      </c>
      <c r="D16910" s="2">
        <v>1.29853265809635E-2</v>
      </c>
      <c r="E16910" s="2">
        <v>2.7218290691344499E-4</v>
      </c>
      <c r="F16910" s="2">
        <v>2.32119135845626E-2</v>
      </c>
    </row>
    <row r="16911" spans="1:6" x14ac:dyDescent="0.25">
      <c r="A16911" s="1" t="str">
        <f t="shared" si="634"/>
        <v>28740</v>
      </c>
      <c r="B16911" s="1" t="str">
        <f>"12404"</f>
        <v>12404</v>
      </c>
      <c r="C16911" s="2">
        <v>2.0406553534807199E-2</v>
      </c>
      <c r="D16911" s="2">
        <v>7.9210492143877397E-3</v>
      </c>
      <c r="E16911" s="2">
        <v>1.0342950462710899E-2</v>
      </c>
      <c r="F16911" s="2">
        <v>1.9076916930513999E-2</v>
      </c>
    </row>
    <row r="16912" spans="1:6" x14ac:dyDescent="0.25">
      <c r="A16912" s="1" t="str">
        <f t="shared" si="634"/>
        <v>28740</v>
      </c>
      <c r="B16912" s="1" t="str">
        <f>"12446"</f>
        <v>12446</v>
      </c>
      <c r="C16912" s="2">
        <v>2.7798435985847199E-2</v>
      </c>
      <c r="D16912" s="2">
        <v>8.9598753408648198E-3</v>
      </c>
      <c r="E16912" s="2">
        <v>1.7147523135546999E-2</v>
      </c>
      <c r="F16912" s="2">
        <v>2.59585901059717E-2</v>
      </c>
    </row>
    <row r="16913" spans="1:6" x14ac:dyDescent="0.25">
      <c r="A16913" s="1" t="str">
        <f t="shared" si="634"/>
        <v>28740</v>
      </c>
      <c r="B16913" s="1" t="str">
        <f>"12725"</f>
        <v>12725</v>
      </c>
      <c r="C16913" s="2">
        <v>1.02539832781195E-3</v>
      </c>
      <c r="D16913" s="2">
        <v>6.4926632904817501E-4</v>
      </c>
      <c r="E16913" s="2">
        <v>5.4436581382689097E-4</v>
      </c>
      <c r="F16913" s="2">
        <v>9.7881563308396791E-4</v>
      </c>
    </row>
    <row r="16914" spans="1:6" x14ac:dyDescent="0.25">
      <c r="A16914" s="1" t="str">
        <f t="shared" ref="A16914:A16949" si="635">"28740"</f>
        <v>28740</v>
      </c>
      <c r="B16914" s="1" t="str">
        <f>"12589"</f>
        <v>12589</v>
      </c>
      <c r="C16914" s="2">
        <v>4.31568746760417E-2</v>
      </c>
      <c r="D16914" s="2">
        <v>1.2336060251915301E-2</v>
      </c>
      <c r="E16914" s="2">
        <v>3.94665215024496E-2</v>
      </c>
      <c r="F16914" s="2">
        <v>4.0650812516854602E-2</v>
      </c>
    </row>
    <row r="16915" spans="1:6" x14ac:dyDescent="0.25">
      <c r="A16915" s="1" t="str">
        <f t="shared" si="635"/>
        <v>28740</v>
      </c>
      <c r="B16915" s="1" t="str">
        <f>"12568"</f>
        <v>12568</v>
      </c>
      <c r="C16915" s="2">
        <v>0</v>
      </c>
      <c r="D16915" s="2">
        <v>0</v>
      </c>
      <c r="E16915" s="2">
        <v>2.7218290691344499E-4</v>
      </c>
      <c r="F16915" s="2">
        <v>9.9879146233057907E-6</v>
      </c>
    </row>
    <row r="16916" spans="1:6" x14ac:dyDescent="0.25">
      <c r="A16916" s="1" t="str">
        <f t="shared" si="635"/>
        <v>28740</v>
      </c>
      <c r="B16916" s="1" t="str">
        <f>"12456"</f>
        <v>12456</v>
      </c>
      <c r="C16916" s="2">
        <v>2.33249949293489E-3</v>
      </c>
      <c r="D16916" s="2">
        <v>0</v>
      </c>
      <c r="E16916" s="2">
        <v>2.7218290691344499E-4</v>
      </c>
      <c r="F16916" s="2">
        <v>2.0774862416475998E-3</v>
      </c>
    </row>
    <row r="16917" spans="1:6" x14ac:dyDescent="0.25">
      <c r="A16917" s="1" t="str">
        <f t="shared" si="635"/>
        <v>28740</v>
      </c>
      <c r="B16917" s="1" t="str">
        <f>"12420"</f>
        <v>12420</v>
      </c>
      <c r="C16917" s="2">
        <v>1.1268113492438999E-5</v>
      </c>
      <c r="D16917" s="2">
        <v>0</v>
      </c>
      <c r="E16917" s="2">
        <v>2.7218290691344499E-4</v>
      </c>
      <c r="F16917" s="2">
        <v>1.99758292466115E-5</v>
      </c>
    </row>
    <row r="16918" spans="1:6" x14ac:dyDescent="0.25">
      <c r="A16918" s="1" t="str">
        <f t="shared" si="635"/>
        <v>28740</v>
      </c>
      <c r="B16918" s="1" t="str">
        <f>"12471"</f>
        <v>12471</v>
      </c>
      <c r="C16918" s="2">
        <v>2.25362269848781E-5</v>
      </c>
      <c r="D16918" s="2">
        <v>3.8955979742890501E-4</v>
      </c>
      <c r="E16918" s="2">
        <v>2.7218290691344499E-4</v>
      </c>
      <c r="F16918" s="2">
        <v>5.9927487739834703E-5</v>
      </c>
    </row>
    <row r="16919" spans="1:6" x14ac:dyDescent="0.25">
      <c r="A16919" s="1" t="str">
        <f t="shared" si="635"/>
        <v>28740</v>
      </c>
      <c r="B16919" s="1" t="str">
        <f>"12417"</f>
        <v>12417</v>
      </c>
      <c r="C16919" s="2">
        <v>0</v>
      </c>
      <c r="D16919" s="2">
        <v>0</v>
      </c>
      <c r="E16919" s="2">
        <v>2.7218290691344499E-4</v>
      </c>
      <c r="F16919" s="2">
        <v>9.9879146233057907E-6</v>
      </c>
    </row>
    <row r="16920" spans="1:6" x14ac:dyDescent="0.25">
      <c r="A16920" s="1" t="str">
        <f t="shared" si="635"/>
        <v>28740</v>
      </c>
      <c r="B16920" s="1" t="str">
        <f>"12416"</f>
        <v>12416</v>
      </c>
      <c r="C16920" s="2">
        <v>1.39724607306244E-3</v>
      </c>
      <c r="D16920" s="2">
        <v>0</v>
      </c>
      <c r="E16920" s="2">
        <v>1.9052803483941201E-3</v>
      </c>
      <c r="F16920" s="2">
        <v>1.3084168156530501E-3</v>
      </c>
    </row>
    <row r="16921" spans="1:6" x14ac:dyDescent="0.25">
      <c r="A16921" s="1" t="str">
        <f t="shared" si="635"/>
        <v>28740</v>
      </c>
      <c r="B16921" s="1" t="str">
        <f>"12453"</f>
        <v>12453</v>
      </c>
      <c r="C16921" s="2">
        <v>1.8028981587902501E-3</v>
      </c>
      <c r="D16921" s="2">
        <v>1.5582391897156201E-3</v>
      </c>
      <c r="E16921" s="2">
        <v>2.7218290691344499E-4</v>
      </c>
      <c r="F16921" s="2">
        <v>1.7279092298319E-3</v>
      </c>
    </row>
    <row r="16922" spans="1:6" x14ac:dyDescent="0.25">
      <c r="A16922" s="1" t="str">
        <f t="shared" si="635"/>
        <v>28740</v>
      </c>
      <c r="B16922" s="1" t="str">
        <f>"12763"</f>
        <v>12763</v>
      </c>
      <c r="C16922" s="2">
        <v>9.01449079395127E-5</v>
      </c>
      <c r="D16922" s="2">
        <v>0</v>
      </c>
      <c r="E16922" s="2">
        <v>5.4436581382689097E-4</v>
      </c>
      <c r="F16922" s="2">
        <v>9.98791462330579E-5</v>
      </c>
    </row>
    <row r="16923" spans="1:6" x14ac:dyDescent="0.25">
      <c r="A16923" s="1" t="str">
        <f t="shared" si="635"/>
        <v>28740</v>
      </c>
      <c r="B16923" s="1" t="str">
        <f>"12449"</f>
        <v>12449</v>
      </c>
      <c r="C16923" s="2">
        <v>2.26714443467874E-2</v>
      </c>
      <c r="D16923" s="2">
        <v>2.57109466303077E-2</v>
      </c>
      <c r="E16923" s="2">
        <v>1.5786608600979801E-2</v>
      </c>
      <c r="F16923" s="2">
        <v>2.2652590365657501E-2</v>
      </c>
    </row>
    <row r="16924" spans="1:6" x14ac:dyDescent="0.25">
      <c r="A16924" s="1" t="str">
        <f t="shared" si="635"/>
        <v>28740</v>
      </c>
      <c r="B16924" s="1" t="str">
        <f>"12440"</f>
        <v>12440</v>
      </c>
      <c r="C16924" s="2">
        <v>1.0817388952741499E-2</v>
      </c>
      <c r="D16924" s="2">
        <v>3.8955979742890498E-3</v>
      </c>
      <c r="E16924" s="2">
        <v>7.07675557974959E-3</v>
      </c>
      <c r="F16924" s="2">
        <v>1.01477212572786E-2</v>
      </c>
    </row>
    <row r="16925" spans="1:6" x14ac:dyDescent="0.25">
      <c r="A16925" s="1" t="str">
        <f t="shared" si="635"/>
        <v>28740</v>
      </c>
      <c r="B16925" s="1" t="str">
        <f>"12494"</f>
        <v>12494</v>
      </c>
      <c r="C16925" s="2">
        <v>4.5523178509453898E-3</v>
      </c>
      <c r="D16925" s="2">
        <v>6.4926632904817501E-4</v>
      </c>
      <c r="E16925" s="2">
        <v>2.7218290691344499E-4</v>
      </c>
      <c r="F16925" s="2">
        <v>4.0950449955553699E-3</v>
      </c>
    </row>
    <row r="16926" spans="1:6" x14ac:dyDescent="0.25">
      <c r="A16926" s="1" t="str">
        <f t="shared" si="635"/>
        <v>28740</v>
      </c>
      <c r="B16926" s="1" t="str">
        <f>"12484"</f>
        <v>12484</v>
      </c>
      <c r="C16926" s="2">
        <v>1.45584026322313E-2</v>
      </c>
      <c r="D16926" s="2">
        <v>7.53148941695883E-3</v>
      </c>
      <c r="E16926" s="2">
        <v>4.0827436037016796E-3</v>
      </c>
      <c r="F16926" s="2">
        <v>1.36335034608124E-2</v>
      </c>
    </row>
    <row r="16927" spans="1:6" x14ac:dyDescent="0.25">
      <c r="A16927" s="1" t="str">
        <f t="shared" si="635"/>
        <v>28740</v>
      </c>
      <c r="B16927" s="1" t="str">
        <f>"12490"</f>
        <v>12490</v>
      </c>
      <c r="C16927" s="2">
        <v>4.5072453969756302E-5</v>
      </c>
      <c r="D16927" s="2">
        <v>0</v>
      </c>
      <c r="E16927" s="2">
        <v>2.7218290691344499E-4</v>
      </c>
      <c r="F16927" s="2">
        <v>4.9939573116528902E-5</v>
      </c>
    </row>
    <row r="16928" spans="1:6" x14ac:dyDescent="0.25">
      <c r="A16928" s="1" t="str">
        <f t="shared" si="635"/>
        <v>28740</v>
      </c>
      <c r="B16928" s="1" t="str">
        <f>"12475"</f>
        <v>12475</v>
      </c>
      <c r="C16928" s="2">
        <v>3.3804340477317201E-5</v>
      </c>
      <c r="D16928" s="2">
        <v>0</v>
      </c>
      <c r="E16928" s="2">
        <v>2.7218290691344499E-4</v>
      </c>
      <c r="F16928" s="2">
        <v>3.9951658493223102E-5</v>
      </c>
    </row>
    <row r="16929" spans="1:6" x14ac:dyDescent="0.25">
      <c r="A16929" s="1" t="str">
        <f t="shared" si="635"/>
        <v>28740</v>
      </c>
      <c r="B16929" s="1" t="str">
        <f>"12433"</f>
        <v>12433</v>
      </c>
      <c r="C16929" s="2">
        <v>2.08460099610123E-3</v>
      </c>
      <c r="D16929" s="2">
        <v>3.8955979742890501E-4</v>
      </c>
      <c r="E16929" s="2">
        <v>2.7218290691344499E-4</v>
      </c>
      <c r="F16929" s="2">
        <v>1.8877158638047899E-3</v>
      </c>
    </row>
    <row r="16930" spans="1:6" x14ac:dyDescent="0.25">
      <c r="A16930" s="1" t="str">
        <f t="shared" si="635"/>
        <v>28740</v>
      </c>
      <c r="B16930" s="1" t="str">
        <f>"12441"</f>
        <v>12441</v>
      </c>
      <c r="C16930" s="2">
        <v>3.3804340477317201E-5</v>
      </c>
      <c r="D16930" s="2">
        <v>5.1941306323853998E-4</v>
      </c>
      <c r="E16930" s="2">
        <v>2.7218290691344499E-4</v>
      </c>
      <c r="F16930" s="2">
        <v>7.9903316986446298E-5</v>
      </c>
    </row>
    <row r="16931" spans="1:6" x14ac:dyDescent="0.25">
      <c r="A16931" s="1" t="str">
        <f t="shared" si="635"/>
        <v>28740</v>
      </c>
      <c r="B16931" s="1" t="str">
        <f>"12547"</f>
        <v>12547</v>
      </c>
      <c r="C16931" s="2">
        <v>1.8592387262524501E-2</v>
      </c>
      <c r="D16931" s="2">
        <v>1.83093104791585E-2</v>
      </c>
      <c r="E16931" s="2">
        <v>1.17038649972781E-2</v>
      </c>
      <c r="F16931" s="2">
        <v>1.8317835419142801E-2</v>
      </c>
    </row>
    <row r="16932" spans="1:6" x14ac:dyDescent="0.25">
      <c r="A16932" s="1" t="str">
        <f t="shared" si="635"/>
        <v>28740</v>
      </c>
      <c r="B16932" s="1" t="str">
        <f>"12406"</f>
        <v>12406</v>
      </c>
      <c r="C16932" s="2">
        <v>1.00286210082707E-3</v>
      </c>
      <c r="D16932" s="2">
        <v>1.29853265809635E-4</v>
      </c>
      <c r="E16932" s="2">
        <v>0</v>
      </c>
      <c r="F16932" s="2">
        <v>8.9891231609752096E-4</v>
      </c>
    </row>
    <row r="16933" spans="1:6" x14ac:dyDescent="0.25">
      <c r="A16933" s="1" t="str">
        <f t="shared" si="635"/>
        <v>28740</v>
      </c>
      <c r="B16933" s="1" t="str">
        <f>"12457"</f>
        <v>12457</v>
      </c>
      <c r="C16933" s="2">
        <v>4.1128614247402601E-3</v>
      </c>
      <c r="D16933" s="2">
        <v>2.46721205038306E-3</v>
      </c>
      <c r="E16933" s="2">
        <v>2.7218290691344502E-3</v>
      </c>
      <c r="F16933" s="2">
        <v>3.9352383615824799E-3</v>
      </c>
    </row>
    <row r="16934" spans="1:6" x14ac:dyDescent="0.25">
      <c r="A16934" s="1" t="str">
        <f t="shared" si="635"/>
        <v>28740</v>
      </c>
      <c r="B16934" s="1" t="str">
        <f>"12461"</f>
        <v>12461</v>
      </c>
      <c r="C16934" s="2">
        <v>1.09864106551281E-2</v>
      </c>
      <c r="D16934" s="2">
        <v>1.16867939228671E-3</v>
      </c>
      <c r="E16934" s="2">
        <v>1.63309744148067E-3</v>
      </c>
      <c r="F16934" s="2">
        <v>9.8880354770727406E-3</v>
      </c>
    </row>
    <row r="16935" spans="1:6" x14ac:dyDescent="0.25">
      <c r="A16935" s="1" t="str">
        <f t="shared" si="635"/>
        <v>28740</v>
      </c>
      <c r="B16935" s="1" t="str">
        <f>"12428"</f>
        <v>12428</v>
      </c>
      <c r="C16935" s="2">
        <v>3.79284700155499E-2</v>
      </c>
      <c r="D16935" s="2">
        <v>4.1163485261654302E-2</v>
      </c>
      <c r="E16935" s="2">
        <v>6.5868263473053801E-2</v>
      </c>
      <c r="F16935" s="2">
        <v>3.9202564896475202E-2</v>
      </c>
    </row>
    <row r="16936" spans="1:6" x14ac:dyDescent="0.25">
      <c r="A16936" s="1" t="str">
        <f t="shared" si="635"/>
        <v>28740</v>
      </c>
      <c r="B16936" s="1" t="str">
        <f>"12498"</f>
        <v>12498</v>
      </c>
      <c r="C16936" s="2">
        <v>3.5674847317062101E-2</v>
      </c>
      <c r="D16936" s="2">
        <v>3.3242436047266503E-2</v>
      </c>
      <c r="E16936" s="2">
        <v>3.89221556886227E-2</v>
      </c>
      <c r="F16936" s="2">
        <v>3.5606915632085102E-2</v>
      </c>
    </row>
    <row r="16937" spans="1:6" x14ac:dyDescent="0.25">
      <c r="A16937" s="1" t="str">
        <f t="shared" si="635"/>
        <v>28740</v>
      </c>
      <c r="B16937" s="1" t="str">
        <f>"12429"</f>
        <v>12429</v>
      </c>
      <c r="C16937" s="2">
        <v>0</v>
      </c>
      <c r="D16937" s="2">
        <v>1.29853265809635E-4</v>
      </c>
      <c r="E16937" s="2">
        <v>2.7218290691344499E-4</v>
      </c>
      <c r="F16937" s="2">
        <v>1.99758292466115E-5</v>
      </c>
    </row>
    <row r="16938" spans="1:6" x14ac:dyDescent="0.25">
      <c r="A16938" s="1" t="str">
        <f t="shared" si="635"/>
        <v>28740</v>
      </c>
      <c r="B16938" s="1" t="str">
        <f>"12548"</f>
        <v>12548</v>
      </c>
      <c r="C16938" s="2">
        <v>1.3194960899646099E-2</v>
      </c>
      <c r="D16938" s="2">
        <v>1.0907674328009299E-2</v>
      </c>
      <c r="E16938" s="2">
        <v>6.5323897659226998E-3</v>
      </c>
      <c r="F16938" s="2">
        <v>1.2774542803208101E-2</v>
      </c>
    </row>
    <row r="16939" spans="1:6" x14ac:dyDescent="0.25">
      <c r="A16939" s="1" t="str">
        <f t="shared" si="635"/>
        <v>28740</v>
      </c>
      <c r="B16939" s="1" t="str">
        <f>"12419"</f>
        <v>12419</v>
      </c>
      <c r="C16939" s="2">
        <v>2.45644874135172E-3</v>
      </c>
      <c r="D16939" s="2">
        <v>5.1941306323853998E-4</v>
      </c>
      <c r="E16939" s="2">
        <v>1.9052803483941201E-3</v>
      </c>
      <c r="F16939" s="2">
        <v>2.2872324487370199E-3</v>
      </c>
    </row>
    <row r="16940" spans="1:6" x14ac:dyDescent="0.25">
      <c r="A16940" s="1" t="str">
        <f t="shared" si="635"/>
        <v>28740</v>
      </c>
      <c r="B16940" s="1" t="str">
        <f>"12586"</f>
        <v>12586</v>
      </c>
      <c r="C16940" s="2">
        <v>7.8876794447073605E-5</v>
      </c>
      <c r="D16940" s="2">
        <v>0</v>
      </c>
      <c r="E16940" s="2">
        <v>0</v>
      </c>
      <c r="F16940" s="2">
        <v>6.9915402363140497E-5</v>
      </c>
    </row>
    <row r="16941" spans="1:6" x14ac:dyDescent="0.25">
      <c r="A16941" s="1" t="str">
        <f t="shared" si="635"/>
        <v>28740</v>
      </c>
      <c r="B16941" s="1" t="str">
        <f>"12789"</f>
        <v>12789</v>
      </c>
      <c r="C16941" s="2">
        <v>2.3663038334122101E-4</v>
      </c>
      <c r="D16941" s="2">
        <v>3.8955979742890501E-4</v>
      </c>
      <c r="E16941" s="2">
        <v>0</v>
      </c>
      <c r="F16941" s="2">
        <v>2.39709950959339E-4</v>
      </c>
    </row>
    <row r="16942" spans="1:6" x14ac:dyDescent="0.25">
      <c r="A16942" s="1" t="str">
        <f t="shared" si="635"/>
        <v>28740</v>
      </c>
      <c r="B16942" s="1" t="str">
        <f>"12495"</f>
        <v>12495</v>
      </c>
      <c r="C16942" s="2">
        <v>1.27329682464561E-3</v>
      </c>
      <c r="D16942" s="2">
        <v>1.29853265809635E-4</v>
      </c>
      <c r="E16942" s="2">
        <v>2.7218290691344499E-4</v>
      </c>
      <c r="F16942" s="2">
        <v>1.1486101816801601E-3</v>
      </c>
    </row>
    <row r="16943" spans="1:6" x14ac:dyDescent="0.25">
      <c r="A16943" s="1" t="str">
        <f t="shared" si="635"/>
        <v>28740</v>
      </c>
      <c r="B16943" s="1" t="str">
        <f>"12464"</f>
        <v>12464</v>
      </c>
      <c r="C16943" s="2">
        <v>4.8002163477790499E-3</v>
      </c>
      <c r="D16943" s="2">
        <v>2.7269185820023301E-3</v>
      </c>
      <c r="E16943" s="2">
        <v>6.2602068590092499E-3</v>
      </c>
      <c r="F16943" s="2">
        <v>4.6943198729537203E-3</v>
      </c>
    </row>
    <row r="16944" spans="1:6" x14ac:dyDescent="0.25">
      <c r="A16944" s="1" t="str">
        <f t="shared" si="635"/>
        <v>28740</v>
      </c>
      <c r="B16944" s="1" t="str">
        <f>"12561"</f>
        <v>12561</v>
      </c>
      <c r="C16944" s="2">
        <v>8.5254546683794105E-2</v>
      </c>
      <c r="D16944" s="2">
        <v>0.119854564342293</v>
      </c>
      <c r="E16944" s="2">
        <v>0.120849210669569</v>
      </c>
      <c r="F16944" s="2">
        <v>8.9222041329990703E-2</v>
      </c>
    </row>
    <row r="16945" spans="1:6" x14ac:dyDescent="0.25">
      <c r="A16945" s="1" t="str">
        <f t="shared" si="635"/>
        <v>28740</v>
      </c>
      <c r="B16945" s="1" t="str">
        <f>"12528"</f>
        <v>12528</v>
      </c>
      <c r="C16945" s="2">
        <v>8.1367047528902697E-2</v>
      </c>
      <c r="D16945" s="2">
        <v>7.6873133359303902E-2</v>
      </c>
      <c r="E16945" s="2">
        <v>9.7985846488840497E-2</v>
      </c>
      <c r="F16945" s="2">
        <v>8.1631226216278302E-2</v>
      </c>
    </row>
    <row r="16946" spans="1:6" x14ac:dyDescent="0.25">
      <c r="A16946" s="1" t="str">
        <f t="shared" si="635"/>
        <v>28740</v>
      </c>
      <c r="B16946" s="1" t="str">
        <f>"12487"</f>
        <v>12487</v>
      </c>
      <c r="C16946" s="2">
        <v>1.37245622337908E-2</v>
      </c>
      <c r="D16946" s="2">
        <v>4.9344241007661296E-3</v>
      </c>
      <c r="E16946" s="2">
        <v>5.9880239520958001E-3</v>
      </c>
      <c r="F16946" s="2">
        <v>1.27645548885848E-2</v>
      </c>
    </row>
    <row r="16947" spans="1:6" x14ac:dyDescent="0.25">
      <c r="A16947" s="1" t="str">
        <f t="shared" si="635"/>
        <v>28740</v>
      </c>
      <c r="B16947" s="1" t="str">
        <f>"12435"</f>
        <v>12435</v>
      </c>
      <c r="C16947" s="2">
        <v>1.66768079688098E-3</v>
      </c>
      <c r="D16947" s="2">
        <v>2.5970653161926999E-4</v>
      </c>
      <c r="E16947" s="2">
        <v>2.7218290691344499E-4</v>
      </c>
      <c r="F16947" s="2">
        <v>1.5081751081191699E-3</v>
      </c>
    </row>
    <row r="16948" spans="1:6" x14ac:dyDescent="0.25">
      <c r="A16948" s="1" t="str">
        <f t="shared" si="635"/>
        <v>28740</v>
      </c>
      <c r="B16948" s="1" t="str">
        <f>"12465"</f>
        <v>12465</v>
      </c>
      <c r="C16948" s="2">
        <v>6.76086809546345E-4</v>
      </c>
      <c r="D16948" s="2">
        <v>1.29853265809635E-4</v>
      </c>
      <c r="E16948" s="2">
        <v>8.1654872074033704E-4</v>
      </c>
      <c r="F16948" s="2">
        <v>6.3922653589157104E-4</v>
      </c>
    </row>
    <row r="16949" spans="1:6" x14ac:dyDescent="0.25">
      <c r="A16949" s="1" t="str">
        <f t="shared" si="635"/>
        <v>28740</v>
      </c>
      <c r="B16949" s="1" t="str">
        <f>"12542"</f>
        <v>12542</v>
      </c>
      <c r="C16949" s="2">
        <v>3.6046695062312603E-2</v>
      </c>
      <c r="D16949" s="2">
        <v>2.58407998961173E-2</v>
      </c>
      <c r="E16949" s="2">
        <v>2.39520958083832E-2</v>
      </c>
      <c r="F16949" s="2">
        <v>3.4817870376844001E-2</v>
      </c>
    </row>
    <row r="16950" spans="1:6" x14ac:dyDescent="0.25">
      <c r="A16950" s="1" t="str">
        <f>"28780"</f>
        <v>28780</v>
      </c>
      <c r="B16950" s="1" t="str">
        <f>"78385"</f>
        <v>78385</v>
      </c>
      <c r="C16950" s="2">
        <v>0</v>
      </c>
      <c r="D16950" s="2">
        <v>6.8965517241379305E-4</v>
      </c>
      <c r="E16950" s="2">
        <v>0</v>
      </c>
      <c r="F16950" s="2">
        <v>5.8993569700902599E-5</v>
      </c>
    </row>
    <row r="16951" spans="1:6" x14ac:dyDescent="0.25">
      <c r="A16951" s="1" t="str">
        <f>"28780"</f>
        <v>28780</v>
      </c>
      <c r="B16951" s="1" t="str">
        <f>"78338"</f>
        <v>78338</v>
      </c>
      <c r="C16951" s="2">
        <v>0</v>
      </c>
      <c r="D16951" s="2">
        <v>6.8965517241379305E-4</v>
      </c>
      <c r="E16951" s="2">
        <v>0</v>
      </c>
      <c r="F16951" s="2">
        <v>5.8993569700902599E-5</v>
      </c>
    </row>
    <row r="16952" spans="1:6" x14ac:dyDescent="0.25">
      <c r="A16952" s="1" t="str">
        <f>"28780"</f>
        <v>28780</v>
      </c>
      <c r="B16952" s="1" t="str">
        <f>"78363"</f>
        <v>78363</v>
      </c>
      <c r="C16952" s="2">
        <v>0.93768446471693001</v>
      </c>
      <c r="D16952" s="2">
        <v>0.98482758620689603</v>
      </c>
      <c r="E16952" s="2">
        <v>0.94940978077571603</v>
      </c>
      <c r="F16952" s="2">
        <v>0.94212730812341405</v>
      </c>
    </row>
    <row r="16953" spans="1:6" x14ac:dyDescent="0.25">
      <c r="A16953" s="1" t="str">
        <f>"28780"</f>
        <v>28780</v>
      </c>
      <c r="B16953" s="1" t="str">
        <f>"78379"</f>
        <v>78379</v>
      </c>
      <c r="C16953" s="2">
        <v>6.23155352830694E-2</v>
      </c>
      <c r="D16953" s="2">
        <v>1.3793103448275799E-2</v>
      </c>
      <c r="E16953" s="2">
        <v>5.0590219224283299E-2</v>
      </c>
      <c r="F16953" s="2">
        <v>5.7754704737183603E-2</v>
      </c>
    </row>
    <row r="16954" spans="1:6" x14ac:dyDescent="0.25">
      <c r="A16954" s="1" t="str">
        <f t="shared" ref="A16954:A16963" si="636">"28820"</f>
        <v>28820</v>
      </c>
      <c r="B16954" s="1" t="str">
        <f>"28572"</f>
        <v>28572</v>
      </c>
      <c r="C16954" s="2">
        <v>4.2603784801347397E-2</v>
      </c>
      <c r="D16954" s="2">
        <v>4.0363636363636303E-2</v>
      </c>
      <c r="E16954" s="2">
        <v>7.6419213973799097E-3</v>
      </c>
      <c r="F16954" s="2">
        <v>4.1478862866401497E-2</v>
      </c>
    </row>
    <row r="16955" spans="1:6" x14ac:dyDescent="0.25">
      <c r="A16955" s="1" t="str">
        <f t="shared" si="636"/>
        <v>28820</v>
      </c>
      <c r="B16955" s="1" t="str">
        <f>"28530"</f>
        <v>28530</v>
      </c>
      <c r="C16955" s="2">
        <v>4.0027741999405501E-2</v>
      </c>
      <c r="D16955" s="2">
        <v>7.2727272727272701E-3</v>
      </c>
      <c r="E16955" s="2">
        <v>0</v>
      </c>
      <c r="F16955" s="2">
        <v>3.6294005008101302E-2</v>
      </c>
    </row>
    <row r="16956" spans="1:6" x14ac:dyDescent="0.25">
      <c r="A16956" s="1" t="str">
        <f t="shared" si="636"/>
        <v>28820</v>
      </c>
      <c r="B16956" s="1" t="str">
        <f>"28538"</f>
        <v>28538</v>
      </c>
      <c r="C16956" s="2">
        <v>4.2273522903662599E-3</v>
      </c>
      <c r="D16956" s="2">
        <v>2.54545454545454E-3</v>
      </c>
      <c r="E16956" s="2">
        <v>1.09170305676855E-3</v>
      </c>
      <c r="F16956" s="2">
        <v>4.00648107232287E-3</v>
      </c>
    </row>
    <row r="16957" spans="1:6" x14ac:dyDescent="0.25">
      <c r="A16957" s="1" t="str">
        <f t="shared" si="636"/>
        <v>28820</v>
      </c>
      <c r="B16957" s="1" t="str">
        <f>"28551"</f>
        <v>28551</v>
      </c>
      <c r="C16957" s="2">
        <v>0.153241520525776</v>
      </c>
      <c r="D16957" s="2">
        <v>0.102545454545454</v>
      </c>
      <c r="E16957" s="2">
        <v>4.1484716157205198E-2</v>
      </c>
      <c r="F16957" s="2">
        <v>0.14611872146118701</v>
      </c>
    </row>
    <row r="16958" spans="1:6" x14ac:dyDescent="0.25">
      <c r="A16958" s="1" t="str">
        <f t="shared" si="636"/>
        <v>28820</v>
      </c>
      <c r="B16958" s="1" t="str">
        <f>"28578"</f>
        <v>28578</v>
      </c>
      <c r="C16958" s="2">
        <v>1.5951649658178899E-2</v>
      </c>
      <c r="D16958" s="2">
        <v>1.0909090909090901E-3</v>
      </c>
      <c r="E16958" s="2">
        <v>0</v>
      </c>
      <c r="F16958" s="2">
        <v>1.4317277949624301E-2</v>
      </c>
    </row>
    <row r="16959" spans="1:6" x14ac:dyDescent="0.25">
      <c r="A16959" s="1" t="str">
        <f t="shared" si="636"/>
        <v>28820</v>
      </c>
      <c r="B16959" s="1" t="str">
        <f>"28526"</f>
        <v>28526</v>
      </c>
      <c r="C16959" s="2">
        <v>1.58525710888734E-3</v>
      </c>
      <c r="D16959" s="2">
        <v>3.6363636363636302E-4</v>
      </c>
      <c r="E16959" s="2">
        <v>0</v>
      </c>
      <c r="F16959" s="2">
        <v>1.44351156282221E-3</v>
      </c>
    </row>
    <row r="16960" spans="1:6" x14ac:dyDescent="0.25">
      <c r="A16960" s="1" t="str">
        <f t="shared" si="636"/>
        <v>28820</v>
      </c>
      <c r="B16960" s="1" t="str">
        <f>"28580"</f>
        <v>28580</v>
      </c>
      <c r="C16960" s="2">
        <v>8.5868093398064598E-4</v>
      </c>
      <c r="D16960" s="2">
        <v>0</v>
      </c>
      <c r="E16960" s="2">
        <v>0</v>
      </c>
      <c r="F16960" s="2">
        <v>7.6594491088525498E-4</v>
      </c>
    </row>
    <row r="16961" spans="1:6" x14ac:dyDescent="0.25">
      <c r="A16961" s="1" t="str">
        <f t="shared" si="636"/>
        <v>28820</v>
      </c>
      <c r="B16961" s="1" t="str">
        <f>"28501"</f>
        <v>28501</v>
      </c>
      <c r="C16961" s="2">
        <v>0.36071204465140799</v>
      </c>
      <c r="D16961" s="2">
        <v>0.47309090909090901</v>
      </c>
      <c r="E16961" s="2">
        <v>0.77292576419213899</v>
      </c>
      <c r="F16961" s="2">
        <v>0.38093975548681602</v>
      </c>
    </row>
    <row r="16962" spans="1:6" x14ac:dyDescent="0.25">
      <c r="A16962" s="1" t="str">
        <f t="shared" si="636"/>
        <v>28820</v>
      </c>
      <c r="B16962" s="1" t="str">
        <f>"28525"</f>
        <v>28525</v>
      </c>
      <c r="C16962" s="2">
        <v>4.7359556128009503E-2</v>
      </c>
      <c r="D16962" s="2">
        <v>1.52727272727272E-2</v>
      </c>
      <c r="E16962" s="2">
        <v>2.18340611353711E-3</v>
      </c>
      <c r="F16962" s="2">
        <v>4.35410222418618E-2</v>
      </c>
    </row>
    <row r="16963" spans="1:6" x14ac:dyDescent="0.25">
      <c r="A16963" s="1" t="str">
        <f t="shared" si="636"/>
        <v>28820</v>
      </c>
      <c r="B16963" s="1" t="str">
        <f>"28504"</f>
        <v>28504</v>
      </c>
      <c r="C16963" s="2">
        <v>0.333432411902638</v>
      </c>
      <c r="D16963" s="2">
        <v>0.35745454545454503</v>
      </c>
      <c r="E16963" s="2">
        <v>0.17467248908296901</v>
      </c>
      <c r="F16963" s="2">
        <v>0.33109441743997597</v>
      </c>
    </row>
    <row r="16964" spans="1:6" x14ac:dyDescent="0.25">
      <c r="A16964" s="1" t="str">
        <f t="shared" ref="A16964:A16977" si="637">"28860"</f>
        <v>28860</v>
      </c>
      <c r="B16964" s="1" t="str">
        <f>"63557"</f>
        <v>63557</v>
      </c>
      <c r="C16964" s="2">
        <v>2.682223563334E-4</v>
      </c>
      <c r="D16964" s="2">
        <v>0</v>
      </c>
      <c r="E16964" s="2">
        <v>0</v>
      </c>
      <c r="F16964" s="2">
        <v>2.3630885567436601E-4</v>
      </c>
    </row>
    <row r="16965" spans="1:6" x14ac:dyDescent="0.25">
      <c r="A16965" s="1" t="str">
        <f t="shared" si="637"/>
        <v>28860</v>
      </c>
      <c r="B16965" s="1" t="str">
        <f>"63549"</f>
        <v>63549</v>
      </c>
      <c r="C16965" s="2">
        <v>9.5889492389190593E-3</v>
      </c>
      <c r="D16965" s="2">
        <v>5.80431177446102E-3</v>
      </c>
      <c r="E16965" s="2">
        <v>0</v>
      </c>
      <c r="F16965" s="2">
        <v>8.8615820877887292E-3</v>
      </c>
    </row>
    <row r="16966" spans="1:6" x14ac:dyDescent="0.25">
      <c r="A16966" s="1" t="str">
        <f t="shared" si="637"/>
        <v>28860</v>
      </c>
      <c r="B16966" s="1" t="str">
        <f>"63561"</f>
        <v>63561</v>
      </c>
      <c r="C16966" s="2">
        <v>3.8087574599342797E-2</v>
      </c>
      <c r="D16966" s="2">
        <v>1.24378109452736E-2</v>
      </c>
      <c r="E16966" s="2">
        <v>6.1881188118811797E-3</v>
      </c>
      <c r="F16966" s="2">
        <v>3.4737401784131802E-2</v>
      </c>
    </row>
    <row r="16967" spans="1:6" x14ac:dyDescent="0.25">
      <c r="A16967" s="1" t="str">
        <f t="shared" si="637"/>
        <v>28860</v>
      </c>
      <c r="B16967" s="1" t="str">
        <f>"63559"</f>
        <v>63559</v>
      </c>
      <c r="C16967" s="2">
        <v>4.43237443840944E-2</v>
      </c>
      <c r="D16967" s="2">
        <v>9.1210613598673301E-3</v>
      </c>
      <c r="E16967" s="2">
        <v>4.9504950495049497E-3</v>
      </c>
      <c r="F16967" s="2">
        <v>3.9936196608967897E-2</v>
      </c>
    </row>
    <row r="16968" spans="1:6" x14ac:dyDescent="0.25">
      <c r="A16968" s="1" t="str">
        <f t="shared" si="637"/>
        <v>28860</v>
      </c>
      <c r="B16968" s="1" t="str">
        <f>"63533"</f>
        <v>63533</v>
      </c>
      <c r="C16968" s="2">
        <v>2.6956346811506701E-2</v>
      </c>
      <c r="D16968" s="2">
        <v>1.0779436152570401E-2</v>
      </c>
      <c r="E16968" s="2">
        <v>6.1881188118811797E-3</v>
      </c>
      <c r="F16968" s="2">
        <v>2.4812429845808399E-2</v>
      </c>
    </row>
    <row r="16969" spans="1:6" x14ac:dyDescent="0.25">
      <c r="A16969" s="1" t="str">
        <f t="shared" si="637"/>
        <v>28860</v>
      </c>
      <c r="B16969" s="1" t="str">
        <f>"63536"</f>
        <v>63536</v>
      </c>
      <c r="C16969" s="2">
        <v>4.5530744987594698E-2</v>
      </c>
      <c r="D16969" s="2">
        <v>1.9071310116086201E-2</v>
      </c>
      <c r="E16969" s="2">
        <v>1.23762376237623E-3</v>
      </c>
      <c r="F16969" s="2">
        <v>4.1531281384769803E-2</v>
      </c>
    </row>
    <row r="16970" spans="1:6" x14ac:dyDescent="0.25">
      <c r="A16970" s="1" t="str">
        <f t="shared" si="637"/>
        <v>28860</v>
      </c>
      <c r="B16970" s="1" t="str">
        <f>"63541"</f>
        <v>63541</v>
      </c>
      <c r="C16970" s="2">
        <v>1.2606450747669799E-2</v>
      </c>
      <c r="D16970" s="2">
        <v>2.4875621890547198E-3</v>
      </c>
      <c r="E16970" s="2">
        <v>3.7128712871287101E-3</v>
      </c>
      <c r="F16970" s="2">
        <v>1.14609795002067E-2</v>
      </c>
    </row>
    <row r="16971" spans="1:6" x14ac:dyDescent="0.25">
      <c r="A16971" s="1" t="str">
        <f t="shared" si="637"/>
        <v>28860</v>
      </c>
      <c r="B16971" s="1" t="str">
        <f>"63546"</f>
        <v>63546</v>
      </c>
      <c r="C16971" s="2">
        <v>5.3309193321263298E-2</v>
      </c>
      <c r="D16971" s="2">
        <v>1.40961857379767E-2</v>
      </c>
      <c r="E16971" s="2">
        <v>6.1881188118811797E-3</v>
      </c>
      <c r="F16971" s="2">
        <v>4.8266083771489297E-2</v>
      </c>
    </row>
    <row r="16972" spans="1:6" x14ac:dyDescent="0.25">
      <c r="A16972" s="1" t="str">
        <f t="shared" si="637"/>
        <v>28860</v>
      </c>
      <c r="B16972" s="1" t="str">
        <f>"63501"</f>
        <v>63501</v>
      </c>
      <c r="C16972" s="2">
        <v>0.69322067994367298</v>
      </c>
      <c r="D16972" s="2">
        <v>0.89303482587064598</v>
      </c>
      <c r="E16972" s="2">
        <v>0.95420792079207895</v>
      </c>
      <c r="F16972" s="2">
        <v>0.71991492881195696</v>
      </c>
    </row>
    <row r="16973" spans="1:6" x14ac:dyDescent="0.25">
      <c r="A16973" s="1" t="str">
        <f t="shared" si="637"/>
        <v>28860</v>
      </c>
      <c r="B16973" s="1" t="str">
        <f>"63540"</f>
        <v>63540</v>
      </c>
      <c r="C16973" s="2">
        <v>4.5597800576677996E-3</v>
      </c>
      <c r="D16973" s="2">
        <v>1.6583747927031501E-3</v>
      </c>
      <c r="E16973" s="2">
        <v>1.23762376237623E-3</v>
      </c>
      <c r="F16973" s="2">
        <v>4.1944821882199997E-3</v>
      </c>
    </row>
    <row r="16974" spans="1:6" x14ac:dyDescent="0.25">
      <c r="A16974" s="1" t="str">
        <f t="shared" si="637"/>
        <v>28860</v>
      </c>
      <c r="B16974" s="1" t="str">
        <f>"63548"</f>
        <v>63548</v>
      </c>
      <c r="C16974" s="2">
        <v>5.12304700596794E-2</v>
      </c>
      <c r="D16974" s="2">
        <v>3.15091210613598E-2</v>
      </c>
      <c r="E16974" s="2">
        <v>1.36138613861386E-2</v>
      </c>
      <c r="F16974" s="2">
        <v>4.80297749158149E-2</v>
      </c>
    </row>
    <row r="16975" spans="1:6" x14ac:dyDescent="0.25">
      <c r="A16975" s="1" t="str">
        <f t="shared" si="637"/>
        <v>28860</v>
      </c>
      <c r="B16975" s="1" t="str">
        <f>"63535"</f>
        <v>63535</v>
      </c>
      <c r="C16975" s="2">
        <v>5.1632803594179504E-3</v>
      </c>
      <c r="D16975" s="2">
        <v>0</v>
      </c>
      <c r="E16975" s="2">
        <v>1.23762376237623E-3</v>
      </c>
      <c r="F16975" s="2">
        <v>4.6080226856501398E-3</v>
      </c>
    </row>
    <row r="16976" spans="1:6" x14ac:dyDescent="0.25">
      <c r="A16976" s="1" t="str">
        <f t="shared" si="637"/>
        <v>28860</v>
      </c>
      <c r="B16976" s="1" t="str">
        <f>"63544"</f>
        <v>63544</v>
      </c>
      <c r="C16976" s="2">
        <v>1.4215784885670201E-2</v>
      </c>
      <c r="D16976" s="2">
        <v>0</v>
      </c>
      <c r="E16976" s="2">
        <v>1.23762376237623E-3</v>
      </c>
      <c r="F16976" s="2">
        <v>1.2583446564659999E-2</v>
      </c>
    </row>
    <row r="16977" spans="1:6" x14ac:dyDescent="0.25">
      <c r="A16977" s="1" t="str">
        <f t="shared" si="637"/>
        <v>28860</v>
      </c>
      <c r="B16977" s="1" t="str">
        <f>"63547"</f>
        <v>63547</v>
      </c>
      <c r="C16977" s="2">
        <v>9.3877824716690102E-4</v>
      </c>
      <c r="D16977" s="2">
        <v>0</v>
      </c>
      <c r="E16977" s="2">
        <v>0</v>
      </c>
      <c r="F16977" s="2">
        <v>8.2708099486028205E-4</v>
      </c>
    </row>
    <row r="16978" spans="1:6" x14ac:dyDescent="0.25">
      <c r="A16978" s="1" t="str">
        <f t="shared" ref="A16978:A16996" si="638">"28900"</f>
        <v>28900</v>
      </c>
      <c r="B16978" s="1" t="str">
        <f>"97633"</f>
        <v>97633</v>
      </c>
      <c r="C16978" s="2">
        <v>1.18316900430495E-2</v>
      </c>
      <c r="D16978" s="2">
        <v>3.33555703802535E-4</v>
      </c>
      <c r="E16978" s="2">
        <v>7.4074074074073999E-3</v>
      </c>
      <c r="F16978" s="2">
        <v>1.08641233603684E-2</v>
      </c>
    </row>
    <row r="16979" spans="1:6" x14ac:dyDescent="0.25">
      <c r="A16979" s="1" t="str">
        <f t="shared" si="638"/>
        <v>28900</v>
      </c>
      <c r="B16979" s="1" t="str">
        <f>"97731"</f>
        <v>97731</v>
      </c>
      <c r="C16979" s="2">
        <v>1.6942091376197701E-3</v>
      </c>
      <c r="D16979" s="2">
        <v>2.66844563042028E-3</v>
      </c>
      <c r="E16979" s="2">
        <v>2.11640211640211E-3</v>
      </c>
      <c r="F16979" s="2">
        <v>1.7773105036547499E-3</v>
      </c>
    </row>
    <row r="16980" spans="1:6" x14ac:dyDescent="0.25">
      <c r="A16980" s="1" t="str">
        <f t="shared" si="638"/>
        <v>28900</v>
      </c>
      <c r="B16980" s="1" t="str">
        <f>"97601"</f>
        <v>97601</v>
      </c>
      <c r="C16980" s="2">
        <v>0.36258852937092001</v>
      </c>
      <c r="D16980" s="2">
        <v>0.55136757838559003</v>
      </c>
      <c r="E16980" s="2">
        <v>0.491005291005291</v>
      </c>
      <c r="F16980" s="2">
        <v>0.37979373185140602</v>
      </c>
    </row>
    <row r="16981" spans="1:6" x14ac:dyDescent="0.25">
      <c r="A16981" s="1" t="str">
        <f t="shared" si="638"/>
        <v>28900</v>
      </c>
      <c r="B16981" s="1" t="str">
        <f>"97625"</f>
        <v>97625</v>
      </c>
      <c r="C16981" s="2">
        <v>3.7494792389945802E-3</v>
      </c>
      <c r="D16981" s="2">
        <v>3.0020013342228098E-3</v>
      </c>
      <c r="E16981" s="2">
        <v>2.11640211640211E-3</v>
      </c>
      <c r="F16981" s="2">
        <v>3.6547511765294802E-3</v>
      </c>
    </row>
    <row r="16982" spans="1:6" x14ac:dyDescent="0.25">
      <c r="A16982" s="1" t="str">
        <f t="shared" si="638"/>
        <v>28900</v>
      </c>
      <c r="B16982" s="1" t="str">
        <f>"97604"</f>
        <v>97604</v>
      </c>
      <c r="C16982" s="2">
        <v>0</v>
      </c>
      <c r="D16982" s="2">
        <v>0</v>
      </c>
      <c r="E16982" s="2">
        <v>1.05820105820105E-3</v>
      </c>
      <c r="F16982" s="2">
        <v>2.5032542304996401E-5</v>
      </c>
    </row>
    <row r="16983" spans="1:6" x14ac:dyDescent="0.25">
      <c r="A16983" s="1" t="str">
        <f t="shared" si="638"/>
        <v>28900</v>
      </c>
      <c r="B16983" s="1" t="str">
        <f>"97602"</f>
        <v>97602</v>
      </c>
      <c r="C16983" s="2">
        <v>2.4635467296208802E-2</v>
      </c>
      <c r="D16983" s="2">
        <v>1.9679786524349499E-2</v>
      </c>
      <c r="E16983" s="2">
        <v>2.11640211640211E-3</v>
      </c>
      <c r="F16983" s="2">
        <v>2.3730850105136599E-2</v>
      </c>
    </row>
    <row r="16984" spans="1:6" x14ac:dyDescent="0.25">
      <c r="A16984" s="1" t="str">
        <f t="shared" si="638"/>
        <v>28900</v>
      </c>
      <c r="B16984" s="1" t="str">
        <f>"97622"</f>
        <v>97622</v>
      </c>
      <c r="C16984" s="2">
        <v>1.8608526593528599E-3</v>
      </c>
      <c r="D16984" s="2">
        <v>0</v>
      </c>
      <c r="E16984" s="2">
        <v>3.1746031746031698E-3</v>
      </c>
      <c r="F16984" s="2">
        <v>1.75227796134975E-3</v>
      </c>
    </row>
    <row r="16985" spans="1:6" x14ac:dyDescent="0.25">
      <c r="A16985" s="1" t="str">
        <f t="shared" si="638"/>
        <v>28900</v>
      </c>
      <c r="B16985" s="1" t="str">
        <f>"97733"</f>
        <v>97733</v>
      </c>
      <c r="C16985" s="2">
        <v>2.97180947090681E-2</v>
      </c>
      <c r="D16985" s="2">
        <v>2.66844563042028E-3</v>
      </c>
      <c r="E16985" s="2">
        <v>2.11640211640211E-3</v>
      </c>
      <c r="F16985" s="2">
        <v>2.70351456893962E-2</v>
      </c>
    </row>
    <row r="16986" spans="1:6" x14ac:dyDescent="0.25">
      <c r="A16986" s="1" t="str">
        <f t="shared" si="638"/>
        <v>28900</v>
      </c>
      <c r="B16986" s="1" t="str">
        <f>"97739"</f>
        <v>97739</v>
      </c>
      <c r="C16986" s="2">
        <v>2.52187196222746E-2</v>
      </c>
      <c r="D16986" s="2">
        <v>1.66777851901267E-3</v>
      </c>
      <c r="E16986" s="2">
        <v>2.11640211640211E-3</v>
      </c>
      <c r="F16986" s="2">
        <v>2.2904776209071699E-2</v>
      </c>
    </row>
    <row r="16987" spans="1:6" x14ac:dyDescent="0.25">
      <c r="A16987" s="1" t="str">
        <f t="shared" si="638"/>
        <v>28900</v>
      </c>
      <c r="B16987" s="1" t="str">
        <f>"97603"</f>
        <v>97603</v>
      </c>
      <c r="C16987" s="2">
        <v>0.39208443271767801</v>
      </c>
      <c r="D16987" s="2">
        <v>0.398599066044029</v>
      </c>
      <c r="E16987" s="2">
        <v>0.46560846560846503</v>
      </c>
      <c r="F16987" s="2">
        <v>0.39431260638830401</v>
      </c>
    </row>
    <row r="16988" spans="1:6" x14ac:dyDescent="0.25">
      <c r="A16988" s="1" t="str">
        <f t="shared" si="638"/>
        <v>28900</v>
      </c>
      <c r="B16988" s="1" t="str">
        <f>"97634"</f>
        <v>97634</v>
      </c>
      <c r="C16988" s="2">
        <v>3.08290515206221E-3</v>
      </c>
      <c r="D16988" s="2">
        <v>0</v>
      </c>
      <c r="E16988" s="2">
        <v>1.05820105820105E-3</v>
      </c>
      <c r="F16988" s="2">
        <v>2.8036447381596E-3</v>
      </c>
    </row>
    <row r="16989" spans="1:6" x14ac:dyDescent="0.25">
      <c r="A16989" s="1" t="str">
        <f t="shared" si="638"/>
        <v>28900</v>
      </c>
      <c r="B16989" s="1" t="str">
        <f>"97737"</f>
        <v>97737</v>
      </c>
      <c r="C16989" s="2">
        <v>9.3598111373420292E-3</v>
      </c>
      <c r="D16989" s="2">
        <v>3.33555703802535E-4</v>
      </c>
      <c r="E16989" s="2">
        <v>1.05820105820105E-3</v>
      </c>
      <c r="F16989" s="2">
        <v>8.4860318413938103E-3</v>
      </c>
    </row>
    <row r="16990" spans="1:6" x14ac:dyDescent="0.25">
      <c r="A16990" s="1" t="str">
        <f t="shared" si="638"/>
        <v>28900</v>
      </c>
      <c r="B16990" s="1" t="str">
        <f>"97623"</f>
        <v>97623</v>
      </c>
      <c r="C16990" s="2">
        <v>3.5856131092903698E-2</v>
      </c>
      <c r="D16990" s="2">
        <v>6.6711140760506999E-4</v>
      </c>
      <c r="E16990" s="2">
        <v>1.05820105820105E-3</v>
      </c>
      <c r="F16990" s="2">
        <v>3.2392109742665397E-2</v>
      </c>
    </row>
    <row r="16991" spans="1:6" x14ac:dyDescent="0.25">
      <c r="A16991" s="1" t="str">
        <f t="shared" si="638"/>
        <v>28900</v>
      </c>
      <c r="B16991" s="1" t="str">
        <f>"97632"</f>
        <v>97632</v>
      </c>
      <c r="C16991" s="2">
        <v>1.54978475211776E-2</v>
      </c>
      <c r="D16991" s="2">
        <v>6.6711140760506999E-4</v>
      </c>
      <c r="E16991" s="2">
        <v>1.05820105820105E-3</v>
      </c>
      <c r="F16991" s="2">
        <v>1.4043256233102999E-2</v>
      </c>
    </row>
    <row r="16992" spans="1:6" x14ac:dyDescent="0.25">
      <c r="A16992" s="1" t="str">
        <f t="shared" si="638"/>
        <v>28900</v>
      </c>
      <c r="B16992" s="1" t="str">
        <f>"97624"</f>
        <v>97624</v>
      </c>
      <c r="C16992" s="2">
        <v>6.1102624635467201E-2</v>
      </c>
      <c r="D16992" s="2">
        <v>1.6010673782521599E-2</v>
      </c>
      <c r="E16992" s="2">
        <v>1.48148148148148E-2</v>
      </c>
      <c r="F16992" s="2">
        <v>5.6623610693902003E-2</v>
      </c>
    </row>
    <row r="16993" spans="1:6" x14ac:dyDescent="0.25">
      <c r="A16993" s="1" t="str">
        <f t="shared" si="638"/>
        <v>28900</v>
      </c>
      <c r="B16993" s="1" t="str">
        <f>"97621"</f>
        <v>97621</v>
      </c>
      <c r="C16993" s="2">
        <v>2.9718094709068098E-3</v>
      </c>
      <c r="D16993" s="2">
        <v>0</v>
      </c>
      <c r="E16993" s="2">
        <v>1.05820105820105E-3</v>
      </c>
      <c r="F16993" s="2">
        <v>2.70351456893962E-3</v>
      </c>
    </row>
    <row r="16994" spans="1:6" x14ac:dyDescent="0.25">
      <c r="A16994" s="1" t="str">
        <f t="shared" si="638"/>
        <v>28900</v>
      </c>
      <c r="B16994" s="1" t="str">
        <f>"97627"</f>
        <v>97627</v>
      </c>
      <c r="C16994" s="2">
        <v>1.0887376753228701E-2</v>
      </c>
      <c r="D16994" s="2">
        <v>2.0013342228152099E-3</v>
      </c>
      <c r="E16994" s="2">
        <v>0</v>
      </c>
      <c r="F16994" s="2">
        <v>9.9629518373886006E-3</v>
      </c>
    </row>
    <row r="16995" spans="1:6" x14ac:dyDescent="0.25">
      <c r="A16995" s="1" t="str">
        <f t="shared" si="638"/>
        <v>28900</v>
      </c>
      <c r="B16995" s="1" t="str">
        <f>"97639"</f>
        <v>97639</v>
      </c>
      <c r="C16995" s="2">
        <v>4.2216358839050096E-3</v>
      </c>
      <c r="D16995" s="2">
        <v>3.33555703802535E-4</v>
      </c>
      <c r="E16995" s="2">
        <v>0</v>
      </c>
      <c r="F16995" s="2">
        <v>3.8299789726644602E-3</v>
      </c>
    </row>
    <row r="16996" spans="1:6" x14ac:dyDescent="0.25">
      <c r="A16996" s="1" t="str">
        <f t="shared" si="638"/>
        <v>28900</v>
      </c>
      <c r="B16996" s="1" t="str">
        <f>"97626"</f>
        <v>97626</v>
      </c>
      <c r="C16996" s="2">
        <v>3.63838355783918E-3</v>
      </c>
      <c r="D16996" s="2">
        <v>0</v>
      </c>
      <c r="E16996" s="2">
        <v>1.05820105820105E-3</v>
      </c>
      <c r="F16996" s="2">
        <v>3.3042955842595301E-3</v>
      </c>
    </row>
    <row r="16997" spans="1:6" x14ac:dyDescent="0.25">
      <c r="A16997" s="1" t="str">
        <f t="shared" ref="A16997:A17028" si="639">"28940"</f>
        <v>28940</v>
      </c>
      <c r="B16997" s="1" t="str">
        <f>"37754"</f>
        <v>37754</v>
      </c>
      <c r="C16997" s="2">
        <v>5.05083252655655E-3</v>
      </c>
      <c r="D16997" s="2">
        <v>1.4358923575867101E-3</v>
      </c>
      <c r="E16997" s="2">
        <v>7.5427422058330497E-4</v>
      </c>
      <c r="F16997" s="2">
        <v>4.6559296045862704E-3</v>
      </c>
    </row>
    <row r="16998" spans="1:6" x14ac:dyDescent="0.25">
      <c r="A16998" s="1" t="str">
        <f t="shared" si="639"/>
        <v>28940</v>
      </c>
      <c r="B16998" s="1" t="str">
        <f>"37831"</f>
        <v>37831</v>
      </c>
      <c r="C16998" s="2">
        <v>3.5259685234084498E-3</v>
      </c>
      <c r="D16998" s="2">
        <v>9.2342732651696999E-3</v>
      </c>
      <c r="E16998" s="2">
        <v>1.6761649346295601E-4</v>
      </c>
      <c r="F16998" s="2">
        <v>3.9072977593088499E-3</v>
      </c>
    </row>
    <row r="16999" spans="1:6" x14ac:dyDescent="0.25">
      <c r="A16999" s="1" t="str">
        <f t="shared" si="639"/>
        <v>28940</v>
      </c>
      <c r="B16999" s="1" t="str">
        <f>"37721"</f>
        <v>37721</v>
      </c>
      <c r="C16999" s="2">
        <v>1.35225476408207E-2</v>
      </c>
      <c r="D16999" s="2">
        <v>2.9212982447453699E-3</v>
      </c>
      <c r="E16999" s="2">
        <v>1.7599731813610401E-3</v>
      </c>
      <c r="F16999" s="2">
        <v>1.23844524778913E-2</v>
      </c>
    </row>
    <row r="17000" spans="1:6" x14ac:dyDescent="0.25">
      <c r="A17000" s="1" t="str">
        <f t="shared" si="639"/>
        <v>28940</v>
      </c>
      <c r="B17000" s="1" t="str">
        <f>"37774"</f>
        <v>37774</v>
      </c>
      <c r="C17000" s="2">
        <v>2.5102123406662399E-2</v>
      </c>
      <c r="D17000" s="2">
        <v>1.85428168246973E-2</v>
      </c>
      <c r="E17000" s="2">
        <v>7.6265504525645303E-3</v>
      </c>
      <c r="F17000" s="2">
        <v>2.4154386302038901E-2</v>
      </c>
    </row>
    <row r="17001" spans="1:6" x14ac:dyDescent="0.25">
      <c r="A17001" s="1" t="str">
        <f t="shared" si="639"/>
        <v>28940</v>
      </c>
      <c r="B17001" s="1" t="str">
        <f>"37819"</f>
        <v>37819</v>
      </c>
      <c r="C17001" s="2">
        <v>8.4068748560658002E-4</v>
      </c>
      <c r="D17001" s="2">
        <v>5.4464882529151005E-4</v>
      </c>
      <c r="E17001" s="2">
        <v>0</v>
      </c>
      <c r="F17001" s="2">
        <v>7.9667239149842396E-4</v>
      </c>
    </row>
    <row r="17002" spans="1:6" x14ac:dyDescent="0.25">
      <c r="A17002" s="1" t="str">
        <f t="shared" si="639"/>
        <v>28940</v>
      </c>
      <c r="B17002" s="1" t="str">
        <f>"37714"</f>
        <v>37714</v>
      </c>
      <c r="C17002" s="2">
        <v>5.0240020748882602E-3</v>
      </c>
      <c r="D17002" s="2">
        <v>2.7727576560295101E-3</v>
      </c>
      <c r="E17002" s="2">
        <v>9.2189071404626198E-4</v>
      </c>
      <c r="F17002" s="2">
        <v>4.7440039393247899E-3</v>
      </c>
    </row>
    <row r="17003" spans="1:6" x14ac:dyDescent="0.25">
      <c r="A17003" s="1" t="str">
        <f t="shared" si="639"/>
        <v>28940</v>
      </c>
      <c r="B17003" s="1" t="str">
        <f>"37938"</f>
        <v>37938</v>
      </c>
      <c r="C17003" s="2">
        <v>2.0493993332632701E-2</v>
      </c>
      <c r="D17003" s="2">
        <v>1.19575173916272E-2</v>
      </c>
      <c r="E17003" s="2">
        <v>2.7656721421387802E-3</v>
      </c>
      <c r="F17003" s="2">
        <v>1.93803570213259E-2</v>
      </c>
    </row>
    <row r="17004" spans="1:6" x14ac:dyDescent="0.25">
      <c r="A17004" s="1" t="str">
        <f t="shared" si="639"/>
        <v>28940</v>
      </c>
      <c r="B17004" s="1" t="str">
        <f>"37939"</f>
        <v>37939</v>
      </c>
      <c r="C17004" s="2">
        <v>1.6433651646830701E-3</v>
      </c>
      <c r="D17004" s="2">
        <v>1.13633550367637E-2</v>
      </c>
      <c r="E17004" s="2">
        <v>1.6761649346295601E-4</v>
      </c>
      <c r="F17004" s="2">
        <v>2.3940205533470199E-3</v>
      </c>
    </row>
    <row r="17005" spans="1:6" x14ac:dyDescent="0.25">
      <c r="A17005" s="1" t="str">
        <f t="shared" si="639"/>
        <v>28940</v>
      </c>
      <c r="B17005" s="1" t="str">
        <f>"37846"</f>
        <v>37846</v>
      </c>
      <c r="C17005" s="2">
        <v>3.59528052355154E-3</v>
      </c>
      <c r="D17005" s="2">
        <v>5.4464882529151005E-4</v>
      </c>
      <c r="E17005" s="2">
        <v>7.5427422058330497E-4</v>
      </c>
      <c r="F17005" s="2">
        <v>3.2807689690098401E-3</v>
      </c>
    </row>
    <row r="17006" spans="1:6" x14ac:dyDescent="0.25">
      <c r="A17006" s="1" t="str">
        <f t="shared" si="639"/>
        <v>28940</v>
      </c>
      <c r="B17006" s="1" t="str">
        <f>"37919"</f>
        <v>37919</v>
      </c>
      <c r="C17006" s="2">
        <v>3.6489414268881297E-2</v>
      </c>
      <c r="D17006" s="2">
        <v>7.1819374644121498E-2</v>
      </c>
      <c r="E17006" s="2">
        <v>6.8806570566543698E-2</v>
      </c>
      <c r="F17006" s="2">
        <v>4.0117859473395502E-2</v>
      </c>
    </row>
    <row r="17007" spans="1:6" x14ac:dyDescent="0.25">
      <c r="A17007" s="1" t="str">
        <f t="shared" si="639"/>
        <v>28940</v>
      </c>
      <c r="B17007" s="1" t="str">
        <f>"37930"</f>
        <v>37930</v>
      </c>
      <c r="C17007" s="2">
        <v>2.76130065086204E-3</v>
      </c>
      <c r="D17007" s="2">
        <v>1.7602059762830101E-2</v>
      </c>
      <c r="E17007" s="2">
        <v>1.6761649346295601E-4</v>
      </c>
      <c r="F17007" s="2">
        <v>3.89929100160535E-3</v>
      </c>
    </row>
    <row r="17008" spans="1:6" x14ac:dyDescent="0.25">
      <c r="A17008" s="1" t="str">
        <f t="shared" si="639"/>
        <v>28940</v>
      </c>
      <c r="B17008" s="1" t="str">
        <f>"37997"</f>
        <v>37997</v>
      </c>
      <c r="C17008" s="2">
        <v>0</v>
      </c>
      <c r="D17008" s="2">
        <v>0</v>
      </c>
      <c r="E17008" s="2">
        <v>8.3808246731478301E-5</v>
      </c>
      <c r="F17008" s="2">
        <v>2.00168942587543E-6</v>
      </c>
    </row>
    <row r="17009" spans="1:6" x14ac:dyDescent="0.25">
      <c r="A17009" s="1" t="str">
        <f t="shared" si="639"/>
        <v>28940</v>
      </c>
      <c r="B17009" s="1" t="str">
        <f>"37996"</f>
        <v>37996</v>
      </c>
      <c r="C17009" s="2">
        <v>4.47174194471585E-6</v>
      </c>
      <c r="D17009" s="2">
        <v>2.4756764785977699E-5</v>
      </c>
      <c r="E17009" s="2">
        <v>4.19041233657391E-4</v>
      </c>
      <c r="F17009" s="2">
        <v>1.6013515407003501E-5</v>
      </c>
    </row>
    <row r="17010" spans="1:6" x14ac:dyDescent="0.25">
      <c r="A17010" s="1" t="str">
        <f t="shared" si="639"/>
        <v>28940</v>
      </c>
      <c r="B17010" s="1" t="str">
        <f>"37829"</f>
        <v>37829</v>
      </c>
      <c r="C17010" s="2">
        <v>1.71044129385381E-3</v>
      </c>
      <c r="D17010" s="2">
        <v>1.98054118287822E-4</v>
      </c>
      <c r="E17010" s="2">
        <v>1.6761649346295601E-4</v>
      </c>
      <c r="F17010" s="2">
        <v>1.55130930505346E-3</v>
      </c>
    </row>
    <row r="17011" spans="1:6" x14ac:dyDescent="0.25">
      <c r="A17011" s="1" t="str">
        <f t="shared" si="639"/>
        <v>28940</v>
      </c>
      <c r="B17011" s="1" t="str">
        <f>"37882"</f>
        <v>37882</v>
      </c>
      <c r="C17011" s="2">
        <v>4.1296536859450903E-3</v>
      </c>
      <c r="D17011" s="2">
        <v>3.7135147178966599E-3</v>
      </c>
      <c r="E17011" s="2">
        <v>1.0056989607777401E-3</v>
      </c>
      <c r="F17011" s="2">
        <v>4.02139405658375E-3</v>
      </c>
    </row>
    <row r="17012" spans="1:6" x14ac:dyDescent="0.25">
      <c r="A17012" s="1" t="str">
        <f t="shared" si="639"/>
        <v>28940</v>
      </c>
      <c r="B17012" s="1" t="str">
        <f>"37912"</f>
        <v>37912</v>
      </c>
      <c r="C17012" s="2">
        <v>2.7952858896418801E-2</v>
      </c>
      <c r="D17012" s="2">
        <v>3.1119253335974002E-2</v>
      </c>
      <c r="E17012" s="2">
        <v>4.9698290311766598E-2</v>
      </c>
      <c r="F17012" s="2">
        <v>2.8728246640164198E-2</v>
      </c>
    </row>
    <row r="17013" spans="1:6" x14ac:dyDescent="0.25">
      <c r="A17013" s="1" t="str">
        <f t="shared" si="639"/>
        <v>28940</v>
      </c>
      <c r="B17013" s="1" t="str">
        <f>"37929"</f>
        <v>37929</v>
      </c>
      <c r="C17013" s="2">
        <v>0</v>
      </c>
      <c r="D17013" s="2">
        <v>3.8868120713984999E-3</v>
      </c>
      <c r="E17013" s="2">
        <v>4.19041233657391E-4</v>
      </c>
      <c r="F17013" s="2">
        <v>3.2427368699182099E-4</v>
      </c>
    </row>
    <row r="17014" spans="1:6" x14ac:dyDescent="0.25">
      <c r="A17014" s="1" t="str">
        <f t="shared" si="639"/>
        <v>28940</v>
      </c>
      <c r="B17014" s="1" t="str">
        <f>"37998"</f>
        <v>37998</v>
      </c>
      <c r="C17014" s="2">
        <v>0</v>
      </c>
      <c r="D17014" s="2">
        <v>0</v>
      </c>
      <c r="E17014" s="2">
        <v>8.3808246731478301E-5</v>
      </c>
      <c r="F17014" s="2">
        <v>2.00168942587543E-6</v>
      </c>
    </row>
    <row r="17015" spans="1:6" x14ac:dyDescent="0.25">
      <c r="A17015" s="1" t="str">
        <f t="shared" si="639"/>
        <v>28940</v>
      </c>
      <c r="B17015" s="1" t="str">
        <f>"37995"</f>
        <v>37995</v>
      </c>
      <c r="C17015" s="2">
        <v>0</v>
      </c>
      <c r="D17015" s="2">
        <v>0</v>
      </c>
      <c r="E17015" s="2">
        <v>8.3808246731478301E-5</v>
      </c>
      <c r="F17015" s="2">
        <v>2.00168942587543E-6</v>
      </c>
    </row>
    <row r="17016" spans="1:6" x14ac:dyDescent="0.25">
      <c r="A17016" s="1" t="str">
        <f t="shared" si="639"/>
        <v>28940</v>
      </c>
      <c r="B17016" s="1" t="str">
        <f>"37717"</f>
        <v>37717</v>
      </c>
      <c r="C17016" s="2">
        <v>2.09948284304409E-3</v>
      </c>
      <c r="D17016" s="2">
        <v>4.3819473671180597E-3</v>
      </c>
      <c r="E17016" s="2">
        <v>8.3808246731478301E-5</v>
      </c>
      <c r="F17016" s="2">
        <v>2.2358870887028599E-3</v>
      </c>
    </row>
    <row r="17017" spans="1:6" x14ac:dyDescent="0.25">
      <c r="A17017" s="1" t="str">
        <f t="shared" si="639"/>
        <v>28940</v>
      </c>
      <c r="B17017" s="1" t="str">
        <f>"37757"</f>
        <v>37757</v>
      </c>
      <c r="C17017" s="2">
        <v>1.0168741182283799E-2</v>
      </c>
      <c r="D17017" s="2">
        <v>7.6745970836531001E-3</v>
      </c>
      <c r="E17017" s="2">
        <v>1.7013074086490099E-2</v>
      </c>
      <c r="F17017" s="2">
        <v>1.01305501843555E-2</v>
      </c>
    </row>
    <row r="17018" spans="1:6" x14ac:dyDescent="0.25">
      <c r="A17018" s="1" t="str">
        <f t="shared" si="639"/>
        <v>28940</v>
      </c>
      <c r="B17018" s="1" t="str">
        <f>"37763"</f>
        <v>37763</v>
      </c>
      <c r="C17018" s="2">
        <v>1.9812052686063501E-2</v>
      </c>
      <c r="D17018" s="2">
        <v>1.7676330057188099E-2</v>
      </c>
      <c r="E17018" s="2">
        <v>1.7013074086490099E-2</v>
      </c>
      <c r="F17018" s="2">
        <v>1.957251920621E-2</v>
      </c>
    </row>
    <row r="17019" spans="1:6" x14ac:dyDescent="0.25">
      <c r="A17019" s="1" t="str">
        <f t="shared" si="639"/>
        <v>28940</v>
      </c>
      <c r="B17019" s="1" t="str">
        <f>"37766"</f>
        <v>37766</v>
      </c>
      <c r="C17019" s="2">
        <v>2.40870379852119E-2</v>
      </c>
      <c r="D17019" s="2">
        <v>2.3469413017106901E-2</v>
      </c>
      <c r="E17019" s="2">
        <v>3.4528997653368997E-2</v>
      </c>
      <c r="F17019" s="2">
        <v>2.4286497804146601E-2</v>
      </c>
    </row>
    <row r="17020" spans="1:6" x14ac:dyDescent="0.25">
      <c r="A17020" s="1" t="str">
        <f t="shared" si="639"/>
        <v>28940</v>
      </c>
      <c r="B17020" s="1" t="str">
        <f>"37771"</f>
        <v>37771</v>
      </c>
      <c r="C17020" s="2">
        <v>1.9033969587683001E-2</v>
      </c>
      <c r="D17020" s="2">
        <v>2.40388186071844E-2</v>
      </c>
      <c r="E17020" s="2">
        <v>1.6929265839758598E-2</v>
      </c>
      <c r="F17020" s="2">
        <v>1.9388363779029499E-2</v>
      </c>
    </row>
    <row r="17021" spans="1:6" x14ac:dyDescent="0.25">
      <c r="A17021" s="1" t="str">
        <f t="shared" si="639"/>
        <v>28940</v>
      </c>
      <c r="B17021" s="1" t="str">
        <f>"37804"</f>
        <v>37804</v>
      </c>
      <c r="C17021" s="2">
        <v>2.5719223795033198E-2</v>
      </c>
      <c r="D17021" s="2">
        <v>2.97081177431733E-2</v>
      </c>
      <c r="E17021" s="2">
        <v>1.6761649346295599E-3</v>
      </c>
      <c r="F17021" s="2">
        <v>2.5467494565413199E-2</v>
      </c>
    </row>
    <row r="17022" spans="1:6" x14ac:dyDescent="0.25">
      <c r="A17022" s="1" t="str">
        <f t="shared" si="639"/>
        <v>28940</v>
      </c>
      <c r="B17022" s="1" t="str">
        <f>"37737"</f>
        <v>37737</v>
      </c>
      <c r="C17022" s="2">
        <v>6.67631072346077E-3</v>
      </c>
      <c r="D17022" s="2">
        <v>1.90627088852028E-3</v>
      </c>
      <c r="E17022" s="2">
        <v>8.3808246731478298E-4</v>
      </c>
      <c r="F17022" s="2">
        <v>6.1511916057152196E-3</v>
      </c>
    </row>
    <row r="17023" spans="1:6" x14ac:dyDescent="0.25">
      <c r="A17023" s="1" t="str">
        <f t="shared" si="639"/>
        <v>28940</v>
      </c>
      <c r="B17023" s="1" t="str">
        <f>"37940"</f>
        <v>37940</v>
      </c>
      <c r="C17023" s="2">
        <v>2.3968536823676901E-3</v>
      </c>
      <c r="D17023" s="2">
        <v>5.0503800163394603E-3</v>
      </c>
      <c r="E17023" s="2">
        <v>1.6761649346295601E-4</v>
      </c>
      <c r="F17023" s="2">
        <v>2.5581590862688102E-3</v>
      </c>
    </row>
    <row r="17024" spans="1:6" x14ac:dyDescent="0.25">
      <c r="A17024" s="1" t="str">
        <f t="shared" si="639"/>
        <v>28940</v>
      </c>
      <c r="B17024" s="1" t="str">
        <f>"37933"</f>
        <v>37933</v>
      </c>
      <c r="C17024" s="2">
        <v>2.08159587526523E-3</v>
      </c>
      <c r="D17024" s="2">
        <v>1.5943356522169602E-2</v>
      </c>
      <c r="E17024" s="2">
        <v>1.6761649346295601E-4</v>
      </c>
      <c r="F17024" s="2">
        <v>3.1566642246055598E-3</v>
      </c>
    </row>
    <row r="17025" spans="1:6" x14ac:dyDescent="0.25">
      <c r="A17025" s="1" t="str">
        <f t="shared" si="639"/>
        <v>28940</v>
      </c>
      <c r="B17025" s="1" t="str">
        <f>"37870"</f>
        <v>37870</v>
      </c>
      <c r="C17025" s="2">
        <v>1.3504660673041801E-3</v>
      </c>
      <c r="D17025" s="2">
        <v>4.4562176614759902E-4</v>
      </c>
      <c r="E17025" s="2">
        <v>3.3523298692591299E-4</v>
      </c>
      <c r="F17025" s="2">
        <v>1.2530575805980201E-3</v>
      </c>
    </row>
    <row r="17026" spans="1:6" x14ac:dyDescent="0.25">
      <c r="A17026" s="1" t="str">
        <f t="shared" si="639"/>
        <v>28940</v>
      </c>
      <c r="B17026" s="1" t="str">
        <f>"37917"</f>
        <v>37917</v>
      </c>
      <c r="C17026" s="2">
        <v>3.1219466387033701E-2</v>
      </c>
      <c r="D17026" s="2">
        <v>4.0526823954645602E-2</v>
      </c>
      <c r="E17026" s="2">
        <v>7.9366409654709993E-2</v>
      </c>
      <c r="F17026" s="2">
        <v>3.3121954929960798E-2</v>
      </c>
    </row>
    <row r="17027" spans="1:6" x14ac:dyDescent="0.25">
      <c r="A17027" s="1" t="str">
        <f t="shared" si="639"/>
        <v>28940</v>
      </c>
      <c r="B17027" s="1" t="str">
        <f>"37854"</f>
        <v>37854</v>
      </c>
      <c r="C17027" s="2">
        <v>1.32967246726125E-2</v>
      </c>
      <c r="D17027" s="2">
        <v>1.04968682692545E-2</v>
      </c>
      <c r="E17027" s="2">
        <v>9.7217566208514898E-3</v>
      </c>
      <c r="F17027" s="2">
        <v>1.2984959305653901E-2</v>
      </c>
    </row>
    <row r="17028" spans="1:6" x14ac:dyDescent="0.25">
      <c r="A17028" s="1" t="str">
        <f t="shared" si="639"/>
        <v>28940</v>
      </c>
      <c r="B17028" s="1" t="str">
        <f>"37849"</f>
        <v>37849</v>
      </c>
      <c r="C17028" s="2">
        <v>3.0624724708386501E-2</v>
      </c>
      <c r="D17028" s="2">
        <v>1.9359790062634601E-2</v>
      </c>
      <c r="E17028" s="2">
        <v>1.4498826684545701E-2</v>
      </c>
      <c r="F17028" s="2">
        <v>2.9328753467926901E-2</v>
      </c>
    </row>
    <row r="17029" spans="1:6" x14ac:dyDescent="0.25">
      <c r="A17029" s="1" t="str">
        <f t="shared" ref="A17029:A17060" si="640">"28940"</f>
        <v>28940</v>
      </c>
      <c r="B17029" s="1" t="str">
        <f>"37921"</f>
        <v>37921</v>
      </c>
      <c r="C17029" s="2">
        <v>2.9019369350233502E-2</v>
      </c>
      <c r="D17029" s="2">
        <v>3.2183794221770999E-2</v>
      </c>
      <c r="E17029" s="2">
        <v>2.6064364733489699E-2</v>
      </c>
      <c r="F17029" s="2">
        <v>2.9204648723522599E-2</v>
      </c>
    </row>
    <row r="17030" spans="1:6" x14ac:dyDescent="0.25">
      <c r="A17030" s="1" t="str">
        <f t="shared" si="640"/>
        <v>28940</v>
      </c>
      <c r="B17030" s="1" t="str">
        <f>"37880"</f>
        <v>37880</v>
      </c>
      <c r="C17030" s="2">
        <v>2.061473036514E-3</v>
      </c>
      <c r="D17030" s="2">
        <v>3.2183794221771E-4</v>
      </c>
      <c r="E17030" s="2">
        <v>0</v>
      </c>
      <c r="F17030" s="2">
        <v>1.87157961319353E-3</v>
      </c>
    </row>
    <row r="17031" spans="1:6" x14ac:dyDescent="0.25">
      <c r="A17031" s="1" t="str">
        <f t="shared" si="640"/>
        <v>28940</v>
      </c>
      <c r="B17031" s="1" t="str">
        <f>"37847"</f>
        <v>37847</v>
      </c>
      <c r="C17031" s="2">
        <v>1.59864774523591E-3</v>
      </c>
      <c r="D17031" s="2">
        <v>9.1600029708117697E-4</v>
      </c>
      <c r="E17031" s="2">
        <v>1.6761649346295601E-4</v>
      </c>
      <c r="F17031" s="2">
        <v>1.5092738271100801E-3</v>
      </c>
    </row>
    <row r="17032" spans="1:6" x14ac:dyDescent="0.25">
      <c r="A17032" s="1" t="str">
        <f t="shared" si="640"/>
        <v>28940</v>
      </c>
      <c r="B17032" s="1" t="str">
        <f>"37769"</f>
        <v>37769</v>
      </c>
      <c r="C17032" s="2">
        <v>6.0390874963387603E-3</v>
      </c>
      <c r="D17032" s="2">
        <v>3.2678929517490599E-3</v>
      </c>
      <c r="E17032" s="2">
        <v>1.84378142809252E-3</v>
      </c>
      <c r="F17032" s="2">
        <v>5.7148233108743696E-3</v>
      </c>
    </row>
    <row r="17033" spans="1:6" x14ac:dyDescent="0.25">
      <c r="A17033" s="1" t="str">
        <f t="shared" si="640"/>
        <v>28940</v>
      </c>
      <c r="B17033" s="1" t="str">
        <f>"37779"</f>
        <v>37779</v>
      </c>
      <c r="C17033" s="2">
        <v>3.9753785888523904E-3</v>
      </c>
      <c r="D17033" s="2">
        <v>8.9124353229519903E-4</v>
      </c>
      <c r="E17033" s="2">
        <v>2.7656721421387802E-3</v>
      </c>
      <c r="F17033" s="2">
        <v>3.6971203695919299E-3</v>
      </c>
    </row>
    <row r="17034" spans="1:6" x14ac:dyDescent="0.25">
      <c r="A17034" s="1" t="str">
        <f t="shared" si="640"/>
        <v>28940</v>
      </c>
      <c r="B17034" s="1" t="str">
        <f>"37756"</f>
        <v>37756</v>
      </c>
      <c r="C17034" s="2">
        <v>2.4594580695937101E-5</v>
      </c>
      <c r="D17034" s="2">
        <v>0</v>
      </c>
      <c r="E17034" s="2">
        <v>0</v>
      </c>
      <c r="F17034" s="2">
        <v>2.2018583684629799E-5</v>
      </c>
    </row>
    <row r="17035" spans="1:6" x14ac:dyDescent="0.25">
      <c r="A17035" s="1" t="str">
        <f t="shared" si="640"/>
        <v>28940</v>
      </c>
      <c r="B17035" s="1" t="str">
        <f>"37719"</f>
        <v>37719</v>
      </c>
      <c r="C17035" s="2">
        <v>0</v>
      </c>
      <c r="D17035" s="2">
        <v>2.4756764785977699E-5</v>
      </c>
      <c r="E17035" s="2">
        <v>0</v>
      </c>
      <c r="F17035" s="2">
        <v>2.00168942587543E-6</v>
      </c>
    </row>
    <row r="17036" spans="1:6" x14ac:dyDescent="0.25">
      <c r="A17036" s="1" t="str">
        <f t="shared" si="640"/>
        <v>28940</v>
      </c>
      <c r="B17036" s="1" t="str">
        <f>"37852"</f>
        <v>37852</v>
      </c>
      <c r="C17036" s="2">
        <v>3.0855019418539302E-4</v>
      </c>
      <c r="D17036" s="2">
        <v>0</v>
      </c>
      <c r="E17036" s="2">
        <v>0</v>
      </c>
      <c r="F17036" s="2">
        <v>2.7623314077081002E-4</v>
      </c>
    </row>
    <row r="17037" spans="1:6" x14ac:dyDescent="0.25">
      <c r="A17037" s="1" t="str">
        <f t="shared" si="640"/>
        <v>28940</v>
      </c>
      <c r="B17037" s="1" t="str">
        <f>"37770"</f>
        <v>37770</v>
      </c>
      <c r="C17037" s="2">
        <v>3.17940852269297E-3</v>
      </c>
      <c r="D17037" s="2">
        <v>7.1794617879335503E-4</v>
      </c>
      <c r="E17037" s="2">
        <v>3.3523298692591299E-4</v>
      </c>
      <c r="F17037" s="2">
        <v>2.9124581146487598E-3</v>
      </c>
    </row>
    <row r="17038" spans="1:6" x14ac:dyDescent="0.25">
      <c r="A17038" s="1" t="str">
        <f t="shared" si="640"/>
        <v>28940</v>
      </c>
      <c r="B17038" s="1" t="str">
        <f>"37729"</f>
        <v>37729</v>
      </c>
      <c r="C17038" s="2">
        <v>1.8893109716424401E-3</v>
      </c>
      <c r="D17038" s="2">
        <v>8.6648676750922097E-4</v>
      </c>
      <c r="E17038" s="2">
        <v>8.3808246731478301E-5</v>
      </c>
      <c r="F17038" s="2">
        <v>1.76348838419626E-3</v>
      </c>
    </row>
    <row r="17039" spans="1:6" x14ac:dyDescent="0.25">
      <c r="A17039" s="1" t="str">
        <f t="shared" si="640"/>
        <v>28940</v>
      </c>
      <c r="B17039" s="1" t="str">
        <f>"37934"</f>
        <v>37934</v>
      </c>
      <c r="C17039" s="2">
        <v>2.48338188899794E-2</v>
      </c>
      <c r="D17039" s="2">
        <v>2.8940658034808001E-2</v>
      </c>
      <c r="E17039" s="2">
        <v>1.3995977204156801E-2</v>
      </c>
      <c r="F17039" s="2">
        <v>2.4907021526167999E-2</v>
      </c>
    </row>
    <row r="17040" spans="1:6" x14ac:dyDescent="0.25">
      <c r="A17040" s="1" t="str">
        <f t="shared" si="640"/>
        <v>28940</v>
      </c>
      <c r="B17040" s="1" t="str">
        <f>"37878"</f>
        <v>37878</v>
      </c>
      <c r="C17040" s="2">
        <v>1.13358658298546E-3</v>
      </c>
      <c r="D17040" s="2">
        <v>9.9027059143911E-5</v>
      </c>
      <c r="E17040" s="2">
        <v>0</v>
      </c>
      <c r="F17040" s="2">
        <v>1.0228632966223399E-3</v>
      </c>
    </row>
    <row r="17041" spans="1:6" x14ac:dyDescent="0.25">
      <c r="A17041" s="1" t="str">
        <f t="shared" si="640"/>
        <v>28940</v>
      </c>
      <c r="B17041" s="1" t="str">
        <f>"37922"</f>
        <v>37922</v>
      </c>
      <c r="C17041" s="2">
        <v>3.7090863560445601E-2</v>
      </c>
      <c r="D17041" s="2">
        <v>4.1789418958730402E-2</v>
      </c>
      <c r="E17041" s="2">
        <v>3.5786121354341199E-2</v>
      </c>
      <c r="F17041" s="2">
        <v>3.7439599021574198E-2</v>
      </c>
    </row>
    <row r="17042" spans="1:6" x14ac:dyDescent="0.25">
      <c r="A17042" s="1" t="str">
        <f t="shared" si="640"/>
        <v>28940</v>
      </c>
      <c r="B17042" s="1" t="str">
        <f>"37871"</f>
        <v>37871</v>
      </c>
      <c r="C17042" s="2">
        <v>4.0424547180231297E-3</v>
      </c>
      <c r="D17042" s="2">
        <v>1.3121085336568201E-3</v>
      </c>
      <c r="E17042" s="2">
        <v>7.5427422058330497E-4</v>
      </c>
      <c r="F17042" s="2">
        <v>3.7431592263870699E-3</v>
      </c>
    </row>
    <row r="17043" spans="1:6" x14ac:dyDescent="0.25">
      <c r="A17043" s="1" t="str">
        <f t="shared" si="640"/>
        <v>28940</v>
      </c>
      <c r="B17043" s="1" t="str">
        <f>"37901"</f>
        <v>37901</v>
      </c>
      <c r="C17043" s="2">
        <v>1.19395509923913E-3</v>
      </c>
      <c r="D17043" s="2">
        <v>4.1343797192582802E-3</v>
      </c>
      <c r="E17043" s="2">
        <v>1.6761649346295601E-4</v>
      </c>
      <c r="F17043" s="2">
        <v>1.4071876663904301E-3</v>
      </c>
    </row>
    <row r="17044" spans="1:6" x14ac:dyDescent="0.25">
      <c r="A17044" s="1" t="str">
        <f t="shared" si="640"/>
        <v>28940</v>
      </c>
      <c r="B17044" s="1" t="str">
        <f>"37772"</f>
        <v>37772</v>
      </c>
      <c r="C17044" s="2">
        <v>1.44414906104598E-2</v>
      </c>
      <c r="D17044" s="2">
        <v>7.7241106132250603E-3</v>
      </c>
      <c r="E17044" s="2">
        <v>8.1293999329533993E-3</v>
      </c>
      <c r="F17044" s="2">
        <v>1.37476029769125E-2</v>
      </c>
    </row>
    <row r="17045" spans="1:6" x14ac:dyDescent="0.25">
      <c r="A17045" s="1" t="str">
        <f t="shared" si="640"/>
        <v>28940</v>
      </c>
      <c r="B17045" s="1" t="str">
        <f>"37888"</f>
        <v>37888</v>
      </c>
      <c r="C17045" s="2">
        <v>3.28673032936615E-4</v>
      </c>
      <c r="D17045" s="2">
        <v>0</v>
      </c>
      <c r="E17045" s="2">
        <v>0</v>
      </c>
      <c r="F17045" s="2">
        <v>2.94248345603689E-4</v>
      </c>
    </row>
    <row r="17046" spans="1:6" x14ac:dyDescent="0.25">
      <c r="A17046" s="1" t="str">
        <f t="shared" si="640"/>
        <v>28940</v>
      </c>
      <c r="B17046" s="1" t="str">
        <f>"37762"</f>
        <v>37762</v>
      </c>
      <c r="C17046" s="2">
        <v>3.7182534270312302E-3</v>
      </c>
      <c r="D17046" s="2">
        <v>3.9610823657564402E-3</v>
      </c>
      <c r="E17046" s="2">
        <v>7.0398927254441803E-3</v>
      </c>
      <c r="F17046" s="2">
        <v>3.81722173514446E-3</v>
      </c>
    </row>
    <row r="17047" spans="1:6" x14ac:dyDescent="0.25">
      <c r="A17047" s="1" t="str">
        <f t="shared" si="640"/>
        <v>28940</v>
      </c>
      <c r="B17047" s="1" t="str">
        <f>"37803"</f>
        <v>37803</v>
      </c>
      <c r="C17047" s="2">
        <v>3.39472289733104E-2</v>
      </c>
      <c r="D17047" s="2">
        <v>5.0998935459114197E-3</v>
      </c>
      <c r="E17047" s="2">
        <v>4.19041233657391E-4</v>
      </c>
      <c r="F17047" s="2">
        <v>3.08140070219265E-2</v>
      </c>
    </row>
    <row r="17048" spans="1:6" x14ac:dyDescent="0.25">
      <c r="A17048" s="1" t="str">
        <f t="shared" si="640"/>
        <v>28940</v>
      </c>
      <c r="B17048" s="1" t="str">
        <f>"37726"</f>
        <v>37726</v>
      </c>
      <c r="C17048" s="2">
        <v>2.1128980688782401E-3</v>
      </c>
      <c r="D17048" s="2">
        <v>5.4464882529151005E-4</v>
      </c>
      <c r="E17048" s="2">
        <v>1.6761649346295601E-4</v>
      </c>
      <c r="F17048" s="2">
        <v>1.9396370536733001E-3</v>
      </c>
    </row>
    <row r="17049" spans="1:6" x14ac:dyDescent="0.25">
      <c r="A17049" s="1" t="str">
        <f t="shared" si="640"/>
        <v>28940</v>
      </c>
      <c r="B17049" s="1" t="str">
        <f>"37840"</f>
        <v>37840</v>
      </c>
      <c r="C17049" s="2">
        <v>1.21609022186547E-2</v>
      </c>
      <c r="D17049" s="2">
        <v>9.35805708909959E-3</v>
      </c>
      <c r="E17049" s="2">
        <v>2.6818638954073E-3</v>
      </c>
      <c r="F17049" s="2">
        <v>1.1707881451945399E-2</v>
      </c>
    </row>
    <row r="17050" spans="1:6" x14ac:dyDescent="0.25">
      <c r="A17050" s="1" t="str">
        <f t="shared" si="640"/>
        <v>28940</v>
      </c>
      <c r="B17050" s="1" t="str">
        <f>"37830"</f>
        <v>37830</v>
      </c>
      <c r="C17050" s="2">
        <v>3.5950569364543099E-2</v>
      </c>
      <c r="D17050" s="2">
        <v>4.7830069566509002E-2</v>
      </c>
      <c r="E17050" s="2">
        <v>3.4528997653368997E-2</v>
      </c>
      <c r="F17050" s="2">
        <v>3.6877124292903199E-2</v>
      </c>
    </row>
    <row r="17051" spans="1:6" x14ac:dyDescent="0.25">
      <c r="A17051" s="1" t="str">
        <f t="shared" si="640"/>
        <v>28940</v>
      </c>
      <c r="B17051" s="1" t="str">
        <f>"37701"</f>
        <v>37701</v>
      </c>
      <c r="C17051" s="2">
        <v>9.6120093101667199E-3</v>
      </c>
      <c r="D17051" s="2">
        <v>2.6440224791424199E-2</v>
      </c>
      <c r="E17051" s="2">
        <v>1.16493462956754E-2</v>
      </c>
      <c r="F17051" s="2">
        <v>1.10213019788701E-2</v>
      </c>
    </row>
    <row r="17052" spans="1:6" x14ac:dyDescent="0.25">
      <c r="A17052" s="1" t="str">
        <f t="shared" si="640"/>
        <v>28940</v>
      </c>
      <c r="B17052" s="1" t="str">
        <f>"37902"</f>
        <v>37902</v>
      </c>
      <c r="C17052" s="2">
        <v>4.2705135572036401E-3</v>
      </c>
      <c r="D17052" s="2">
        <v>2.2553412720025701E-2</v>
      </c>
      <c r="E17052" s="2">
        <v>2.6064364733489699E-2</v>
      </c>
      <c r="F17052" s="2">
        <v>6.2692912818418699E-3</v>
      </c>
    </row>
    <row r="17053" spans="1:6" x14ac:dyDescent="0.25">
      <c r="A17053" s="1" t="str">
        <f t="shared" si="640"/>
        <v>28940</v>
      </c>
      <c r="B17053" s="1" t="str">
        <f>"37916"</f>
        <v>37916</v>
      </c>
      <c r="C17053" s="2">
        <v>1.0041296536859401E-2</v>
      </c>
      <c r="D17053" s="2">
        <v>8.2192459089446106E-3</v>
      </c>
      <c r="E17053" s="2">
        <v>4.5005028494803798E-2</v>
      </c>
      <c r="F17053" s="2">
        <v>1.0729055322692299E-2</v>
      </c>
    </row>
    <row r="17054" spans="1:6" x14ac:dyDescent="0.25">
      <c r="A17054" s="1" t="str">
        <f t="shared" si="640"/>
        <v>28940</v>
      </c>
      <c r="B17054" s="1" t="str">
        <f>"37866"</f>
        <v>37866</v>
      </c>
      <c r="C17054" s="2">
        <v>2.6047896827969801E-3</v>
      </c>
      <c r="D17054" s="2">
        <v>2.9708117743173303E-4</v>
      </c>
      <c r="E17054" s="2">
        <v>0</v>
      </c>
      <c r="F17054" s="2">
        <v>2.3559884542553901E-3</v>
      </c>
    </row>
    <row r="17055" spans="1:6" x14ac:dyDescent="0.25">
      <c r="A17055" s="1" t="str">
        <f t="shared" si="640"/>
        <v>28940</v>
      </c>
      <c r="B17055" s="1" t="str">
        <f>"37924"</f>
        <v>37924</v>
      </c>
      <c r="C17055" s="2">
        <v>1.4911023514655E-2</v>
      </c>
      <c r="D17055" s="2">
        <v>1.9904438887926101E-2</v>
      </c>
      <c r="E17055" s="2">
        <v>7.7941669460274803E-3</v>
      </c>
      <c r="F17055" s="2">
        <v>1.51447821961735E-2</v>
      </c>
    </row>
    <row r="17056" spans="1:6" x14ac:dyDescent="0.25">
      <c r="A17056" s="1" t="str">
        <f t="shared" si="640"/>
        <v>28940</v>
      </c>
      <c r="B17056" s="1" t="str">
        <f>"37865"</f>
        <v>37865</v>
      </c>
      <c r="C17056" s="2">
        <v>4.8093584615418999E-3</v>
      </c>
      <c r="D17056" s="2">
        <v>1.23783823929888E-3</v>
      </c>
      <c r="E17056" s="2">
        <v>4.19041233657391E-4</v>
      </c>
      <c r="F17056" s="2">
        <v>4.4157268734812101E-3</v>
      </c>
    </row>
    <row r="17057" spans="1:6" x14ac:dyDescent="0.25">
      <c r="A17057" s="1" t="str">
        <f t="shared" si="640"/>
        <v>28940</v>
      </c>
      <c r="B17057" s="1" t="str">
        <f>"37733"</f>
        <v>37733</v>
      </c>
      <c r="C17057" s="2">
        <v>9.1670709866674999E-5</v>
      </c>
      <c r="D17057" s="2">
        <v>0</v>
      </c>
      <c r="E17057" s="2">
        <v>1.6761649346295601E-4</v>
      </c>
      <c r="F17057" s="2">
        <v>8.6072645312643801E-5</v>
      </c>
    </row>
    <row r="17058" spans="1:6" x14ac:dyDescent="0.25">
      <c r="A17058" s="1" t="str">
        <f t="shared" si="640"/>
        <v>28940</v>
      </c>
      <c r="B17058" s="1" t="str">
        <f>"37828"</f>
        <v>37828</v>
      </c>
      <c r="C17058" s="2">
        <v>1.5740531645399799E-3</v>
      </c>
      <c r="D17058" s="2">
        <v>8.9124353229519903E-4</v>
      </c>
      <c r="E17058" s="2">
        <v>1.6761649346295601E-4</v>
      </c>
      <c r="F17058" s="2">
        <v>1.4852535539995699E-3</v>
      </c>
    </row>
    <row r="17059" spans="1:6" x14ac:dyDescent="0.25">
      <c r="A17059" s="1" t="str">
        <f t="shared" si="640"/>
        <v>28940</v>
      </c>
      <c r="B17059" s="1" t="str">
        <f>"37742"</f>
        <v>37742</v>
      </c>
      <c r="C17059" s="2">
        <v>6.3275148517729302E-3</v>
      </c>
      <c r="D17059" s="2">
        <v>1.2130814745129101E-3</v>
      </c>
      <c r="E17059" s="2">
        <v>8.3808246731478298E-4</v>
      </c>
      <c r="F17059" s="2">
        <v>5.7828807513541402E-3</v>
      </c>
    </row>
    <row r="17060" spans="1:6" x14ac:dyDescent="0.25">
      <c r="A17060" s="1" t="str">
        <f t="shared" si="640"/>
        <v>28940</v>
      </c>
      <c r="B17060" s="1" t="str">
        <f>"37764"</f>
        <v>37764</v>
      </c>
      <c r="C17060" s="2">
        <v>5.76854710868345E-4</v>
      </c>
      <c r="D17060" s="2">
        <v>9.9027059143911E-5</v>
      </c>
      <c r="E17060" s="2">
        <v>0</v>
      </c>
      <c r="F17060" s="2">
        <v>5.2444262957936397E-4</v>
      </c>
    </row>
    <row r="17061" spans="1:6" x14ac:dyDescent="0.25">
      <c r="A17061" s="1" t="str">
        <f t="shared" ref="A17061:A17091" si="641">"28940"</f>
        <v>28940</v>
      </c>
      <c r="B17061" s="1" t="str">
        <f>"37801"</f>
        <v>37801</v>
      </c>
      <c r="C17061" s="2">
        <v>3.0148484191274201E-2</v>
      </c>
      <c r="D17061" s="2">
        <v>2.9757631272745201E-2</v>
      </c>
      <c r="E17061" s="2">
        <v>1.5923566878980799E-3</v>
      </c>
      <c r="F17061" s="2">
        <v>2.9434843007498299E-2</v>
      </c>
    </row>
    <row r="17062" spans="1:6" x14ac:dyDescent="0.25">
      <c r="A17062" s="1" t="str">
        <f t="shared" si="641"/>
        <v>28940</v>
      </c>
      <c r="B17062" s="1" t="str">
        <f>"37807"</f>
        <v>37807</v>
      </c>
      <c r="C17062" s="2">
        <v>1.13023277652693E-2</v>
      </c>
      <c r="D17062" s="2">
        <v>8.7886514990220994E-3</v>
      </c>
      <c r="E17062" s="2">
        <v>1.0140797854508801E-2</v>
      </c>
      <c r="F17062" s="2">
        <v>1.1071344214517E-2</v>
      </c>
    </row>
    <row r="17063" spans="1:6" x14ac:dyDescent="0.25">
      <c r="A17063" s="1" t="str">
        <f t="shared" si="641"/>
        <v>28940</v>
      </c>
      <c r="B17063" s="1" t="str">
        <f>"37802"</f>
        <v>37802</v>
      </c>
      <c r="C17063" s="2">
        <v>4.8563117519614101E-3</v>
      </c>
      <c r="D17063" s="2">
        <v>1.30220582774243E-2</v>
      </c>
      <c r="E17063" s="2">
        <v>8.3808246731478301E-5</v>
      </c>
      <c r="F17063" s="2">
        <v>5.4025597604377999E-3</v>
      </c>
    </row>
    <row r="17064" spans="1:6" x14ac:dyDescent="0.25">
      <c r="A17064" s="1" t="str">
        <f t="shared" si="641"/>
        <v>28940</v>
      </c>
      <c r="B17064" s="1" t="str">
        <f>"37886"</f>
        <v>37886</v>
      </c>
      <c r="C17064" s="2">
        <v>4.6796779451451402E-3</v>
      </c>
      <c r="D17064" s="2">
        <v>1.3121085336568201E-3</v>
      </c>
      <c r="E17064" s="2">
        <v>1.6761649346295601E-4</v>
      </c>
      <c r="F17064" s="2">
        <v>4.2996288867804397E-3</v>
      </c>
    </row>
    <row r="17065" spans="1:6" x14ac:dyDescent="0.25">
      <c r="A17065" s="1" t="str">
        <f t="shared" si="641"/>
        <v>28940</v>
      </c>
      <c r="B17065" s="1" t="str">
        <f>"37923"</f>
        <v>37923</v>
      </c>
      <c r="C17065" s="2">
        <v>3.3462044972308702E-2</v>
      </c>
      <c r="D17065" s="2">
        <v>3.4312875993365098E-2</v>
      </c>
      <c r="E17065" s="2">
        <v>8.0791149849145094E-2</v>
      </c>
      <c r="F17065" s="2">
        <v>3.4661254098459E-2</v>
      </c>
    </row>
    <row r="17066" spans="1:6" x14ac:dyDescent="0.25">
      <c r="A17066" s="1" t="str">
        <f t="shared" si="641"/>
        <v>28940</v>
      </c>
      <c r="B17066" s="1" t="str">
        <f>"37748"</f>
        <v>37748</v>
      </c>
      <c r="C17066" s="2">
        <v>2.3051829725010201E-2</v>
      </c>
      <c r="D17066" s="2">
        <v>2.31970886044611E-2</v>
      </c>
      <c r="E17066" s="2">
        <v>1.9108280254777E-2</v>
      </c>
      <c r="F17066" s="2">
        <v>2.29693861619206E-2</v>
      </c>
    </row>
    <row r="17067" spans="1:6" x14ac:dyDescent="0.25">
      <c r="A17067" s="1" t="str">
        <f t="shared" si="641"/>
        <v>28940</v>
      </c>
      <c r="B17067" s="1" t="str">
        <f>"37777"</f>
        <v>37777</v>
      </c>
      <c r="C17067" s="2">
        <v>1.5765126226095699E-2</v>
      </c>
      <c r="D17067" s="2">
        <v>1.19575173916272E-2</v>
      </c>
      <c r="E17067" s="2">
        <v>3.7294669795507801E-2</v>
      </c>
      <c r="F17067" s="2">
        <v>1.59714799290601E-2</v>
      </c>
    </row>
    <row r="17068" spans="1:6" x14ac:dyDescent="0.25">
      <c r="A17068" s="1" t="str">
        <f t="shared" si="641"/>
        <v>28940</v>
      </c>
      <c r="B17068" s="1" t="str">
        <f>"37716"</f>
        <v>37716</v>
      </c>
      <c r="C17068" s="2">
        <v>2.8341900445609001E-2</v>
      </c>
      <c r="D17068" s="2">
        <v>2.14641150694427E-2</v>
      </c>
      <c r="E17068" s="2">
        <v>1.34093194770365E-2</v>
      </c>
      <c r="F17068" s="2">
        <v>2.7429150202771101E-2</v>
      </c>
    </row>
    <row r="17069" spans="1:6" x14ac:dyDescent="0.25">
      <c r="A17069" s="1" t="str">
        <f t="shared" si="641"/>
        <v>28940</v>
      </c>
      <c r="B17069" s="1" t="str">
        <f>"37806"</f>
        <v>37806</v>
      </c>
      <c r="C17069" s="2">
        <v>3.3985238779840402E-3</v>
      </c>
      <c r="D17069" s="2">
        <v>9.4075706186715503E-4</v>
      </c>
      <c r="E17069" s="2">
        <v>3.3523298692591299E-4</v>
      </c>
      <c r="F17069" s="2">
        <v>3.1266388832174299E-3</v>
      </c>
    </row>
    <row r="17070" spans="1:6" x14ac:dyDescent="0.25">
      <c r="A17070" s="1" t="str">
        <f t="shared" si="641"/>
        <v>28940</v>
      </c>
      <c r="B17070" s="1" t="str">
        <f>"37932"</f>
        <v>37932</v>
      </c>
      <c r="C17070" s="2">
        <v>2.3228463531826501E-2</v>
      </c>
      <c r="D17070" s="2">
        <v>2.5449954199985102E-2</v>
      </c>
      <c r="E17070" s="2">
        <v>2.97519275896748E-2</v>
      </c>
      <c r="F17070" s="2">
        <v>2.35638879214056E-2</v>
      </c>
    </row>
    <row r="17071" spans="1:6" x14ac:dyDescent="0.25">
      <c r="A17071" s="1" t="str">
        <f t="shared" si="641"/>
        <v>28940</v>
      </c>
      <c r="B17071" s="1" t="str">
        <f>"37950"</f>
        <v>37950</v>
      </c>
      <c r="C17071" s="2">
        <v>3.2241259421401298E-3</v>
      </c>
      <c r="D17071" s="2">
        <v>1.772584358676E-2</v>
      </c>
      <c r="E17071" s="2">
        <v>1.6761649346295601E-4</v>
      </c>
      <c r="F17071" s="2">
        <v>4.3236491598909396E-3</v>
      </c>
    </row>
    <row r="17072" spans="1:6" x14ac:dyDescent="0.25">
      <c r="A17072" s="1" t="str">
        <f t="shared" si="641"/>
        <v>28940</v>
      </c>
      <c r="B17072" s="1" t="str">
        <f>"37914"</f>
        <v>37914</v>
      </c>
      <c r="C17072" s="2">
        <v>2.6217823021869001E-2</v>
      </c>
      <c r="D17072" s="2">
        <v>2.6365954497066298E-2</v>
      </c>
      <c r="E17072" s="2">
        <v>2.71538719409989E-2</v>
      </c>
      <c r="F17072" s="2">
        <v>2.6252156820356299E-2</v>
      </c>
    </row>
    <row r="17073" spans="1:6" x14ac:dyDescent="0.25">
      <c r="A17073" s="1" t="str">
        <f t="shared" si="641"/>
        <v>28940</v>
      </c>
      <c r="B17073" s="1" t="str">
        <f>"37915"</f>
        <v>37915</v>
      </c>
      <c r="C17073" s="2">
        <v>9.0485698251325294E-3</v>
      </c>
      <c r="D17073" s="2">
        <v>5.9168667838486802E-3</v>
      </c>
      <c r="E17073" s="2">
        <v>2.43881997988602E-2</v>
      </c>
      <c r="F17073" s="2">
        <v>9.1617325022318799E-3</v>
      </c>
    </row>
    <row r="17074" spans="1:6" x14ac:dyDescent="0.25">
      <c r="A17074" s="1" t="str">
        <f t="shared" si="641"/>
        <v>28940</v>
      </c>
      <c r="B17074" s="1" t="str">
        <f>"37845"</f>
        <v>37845</v>
      </c>
      <c r="C17074" s="2">
        <v>0</v>
      </c>
      <c r="D17074" s="2">
        <v>2.4756764785977699E-5</v>
      </c>
      <c r="E17074" s="2">
        <v>0</v>
      </c>
      <c r="F17074" s="2">
        <v>2.00168942587543E-6</v>
      </c>
    </row>
    <row r="17075" spans="1:6" x14ac:dyDescent="0.25">
      <c r="A17075" s="1" t="str">
        <f t="shared" si="641"/>
        <v>28940</v>
      </c>
      <c r="B17075" s="1" t="str">
        <f>"37825"</f>
        <v>37825</v>
      </c>
      <c r="C17075" s="2">
        <v>2.77248000572382E-4</v>
      </c>
      <c r="D17075" s="2">
        <v>1.23783823929888E-4</v>
      </c>
      <c r="E17075" s="2">
        <v>0</v>
      </c>
      <c r="F17075" s="2">
        <v>2.5821793593793098E-4</v>
      </c>
    </row>
    <row r="17076" spans="1:6" x14ac:dyDescent="0.25">
      <c r="A17076" s="1" t="str">
        <f t="shared" si="641"/>
        <v>28940</v>
      </c>
      <c r="B17076" s="1" t="str">
        <f>"37709"</f>
        <v>37709</v>
      </c>
      <c r="C17076" s="2">
        <v>1.38624000286191E-4</v>
      </c>
      <c r="D17076" s="2">
        <v>1.23783823929888E-4</v>
      </c>
      <c r="E17076" s="2">
        <v>0</v>
      </c>
      <c r="F17076" s="2">
        <v>1.34113191533654E-4</v>
      </c>
    </row>
    <row r="17077" spans="1:6" x14ac:dyDescent="0.25">
      <c r="A17077" s="1" t="str">
        <f t="shared" si="641"/>
        <v>28940</v>
      </c>
      <c r="B17077" s="1" t="str">
        <f>"37705"</f>
        <v>37705</v>
      </c>
      <c r="C17077" s="2">
        <v>5.6366307213143304E-3</v>
      </c>
      <c r="D17077" s="2">
        <v>1.9310276533062601E-3</v>
      </c>
      <c r="E17077" s="2">
        <v>7.5427422058330497E-4</v>
      </c>
      <c r="F17077" s="2">
        <v>5.2204060226831396E-3</v>
      </c>
    </row>
    <row r="17078" spans="1:6" x14ac:dyDescent="0.25">
      <c r="A17078" s="1" t="str">
        <f t="shared" si="641"/>
        <v>28940</v>
      </c>
      <c r="B17078" s="1" t="str">
        <f>"37931"</f>
        <v>37931</v>
      </c>
      <c r="C17078" s="2">
        <v>3.06291964503312E-2</v>
      </c>
      <c r="D17078" s="2">
        <v>1.14623820959077E-2</v>
      </c>
      <c r="E17078" s="2">
        <v>2.1371102916526899E-2</v>
      </c>
      <c r="F17078" s="2">
        <v>2.88583564528462E-2</v>
      </c>
    </row>
    <row r="17079" spans="1:6" x14ac:dyDescent="0.25">
      <c r="A17079" s="1" t="str">
        <f t="shared" si="641"/>
        <v>28940</v>
      </c>
      <c r="B17079" s="1" t="str">
        <f>"37885"</f>
        <v>37885</v>
      </c>
      <c r="C17079" s="2">
        <v>6.9759174337567299E-4</v>
      </c>
      <c r="D17079" s="2">
        <v>0</v>
      </c>
      <c r="E17079" s="2">
        <v>8.3808246731478298E-4</v>
      </c>
      <c r="F17079" s="2">
        <v>6.4454399513189098E-4</v>
      </c>
    </row>
    <row r="17080" spans="1:6" x14ac:dyDescent="0.25">
      <c r="A17080" s="1" t="str">
        <f t="shared" si="641"/>
        <v>28940</v>
      </c>
      <c r="B17080" s="1" t="str">
        <f>"37909"</f>
        <v>37909</v>
      </c>
      <c r="C17080" s="2">
        <v>1.84682942316764E-2</v>
      </c>
      <c r="D17080" s="2">
        <v>1.5101626519446401E-2</v>
      </c>
      <c r="E17080" s="2">
        <v>3.3858531679517197E-2</v>
      </c>
      <c r="F17080" s="2">
        <v>1.8563667735568799E-2</v>
      </c>
    </row>
    <row r="17081" spans="1:6" x14ac:dyDescent="0.25">
      <c r="A17081" s="1" t="str">
        <f t="shared" si="641"/>
        <v>28940</v>
      </c>
      <c r="B17081" s="1" t="str">
        <f>"37918"</f>
        <v>37918</v>
      </c>
      <c r="C17081" s="2">
        <v>4.7474248356075797E-2</v>
      </c>
      <c r="D17081" s="2">
        <v>3.4114821875077299E-2</v>
      </c>
      <c r="E17081" s="2">
        <v>6.6627556151525297E-2</v>
      </c>
      <c r="F17081" s="2">
        <v>4.6851542702040498E-2</v>
      </c>
    </row>
    <row r="17082" spans="1:6" x14ac:dyDescent="0.25">
      <c r="A17082" s="1" t="str">
        <f t="shared" si="641"/>
        <v>28940</v>
      </c>
      <c r="B17082" s="1" t="str">
        <f>"37920"</f>
        <v>37920</v>
      </c>
      <c r="C17082" s="2">
        <v>4.8782232874905199E-2</v>
      </c>
      <c r="D17082" s="2">
        <v>3.7506498650756302E-2</v>
      </c>
      <c r="E17082" s="2">
        <v>7.09855849815621E-2</v>
      </c>
      <c r="F17082" s="2">
        <v>4.8400850317668102E-2</v>
      </c>
    </row>
    <row r="17083" spans="1:6" x14ac:dyDescent="0.25">
      <c r="A17083" s="1" t="str">
        <f t="shared" si="641"/>
        <v>28940</v>
      </c>
      <c r="B17083" s="1" t="str">
        <f>"37853"</f>
        <v>37853</v>
      </c>
      <c r="C17083" s="2">
        <v>4.00891665343776E-3</v>
      </c>
      <c r="D17083" s="2">
        <v>1.3121085336568201E-3</v>
      </c>
      <c r="E17083" s="2">
        <v>1.6761649346295599E-3</v>
      </c>
      <c r="F17083" s="2">
        <v>3.7351524686835601E-3</v>
      </c>
    </row>
    <row r="17084" spans="1:6" x14ac:dyDescent="0.25">
      <c r="A17084" s="1" t="str">
        <f t="shared" si="641"/>
        <v>28940</v>
      </c>
      <c r="B17084" s="1" t="str">
        <f>"37872"</f>
        <v>37872</v>
      </c>
      <c r="C17084" s="2">
        <v>2.5511287794603901E-3</v>
      </c>
      <c r="D17084" s="2">
        <v>9.9027059143911005E-4</v>
      </c>
      <c r="E17084" s="2">
        <v>6.7046597385182695E-4</v>
      </c>
      <c r="F17084" s="2">
        <v>2.38000872736589E-3</v>
      </c>
    </row>
    <row r="17085" spans="1:6" x14ac:dyDescent="0.25">
      <c r="A17085" s="1" t="str">
        <f t="shared" si="641"/>
        <v>28940</v>
      </c>
      <c r="B17085" s="1" t="str">
        <f>"37887"</f>
        <v>37887</v>
      </c>
      <c r="C17085" s="2">
        <v>4.8518400100166998E-3</v>
      </c>
      <c r="D17085" s="2">
        <v>3.1936226573911299E-3</v>
      </c>
      <c r="E17085" s="2">
        <v>2.7656721421387802E-3</v>
      </c>
      <c r="F17085" s="2">
        <v>4.66793974114152E-3</v>
      </c>
    </row>
    <row r="17086" spans="1:6" x14ac:dyDescent="0.25">
      <c r="A17086" s="1" t="str">
        <f t="shared" si="641"/>
        <v>28940</v>
      </c>
      <c r="B17086" s="1" t="str">
        <f>"37715"</f>
        <v>37715</v>
      </c>
      <c r="C17086" s="2">
        <v>1.8110554876099201E-4</v>
      </c>
      <c r="D17086" s="2">
        <v>2.4756764785977699E-5</v>
      </c>
      <c r="E17086" s="2">
        <v>0</v>
      </c>
      <c r="F17086" s="2">
        <v>1.64138532921785E-4</v>
      </c>
    </row>
    <row r="17087" spans="1:6" x14ac:dyDescent="0.25">
      <c r="A17087" s="1" t="str">
        <f t="shared" si="641"/>
        <v>28940</v>
      </c>
      <c r="B17087" s="1" t="str">
        <f>"37874"</f>
        <v>37874</v>
      </c>
      <c r="C17087" s="2">
        <v>4.6506116225044801E-4</v>
      </c>
      <c r="D17087" s="2">
        <v>1.48540588715866E-4</v>
      </c>
      <c r="E17087" s="2">
        <v>0</v>
      </c>
      <c r="F17087" s="2">
        <v>4.28361537137343E-4</v>
      </c>
    </row>
    <row r="17088" spans="1:6" x14ac:dyDescent="0.25">
      <c r="A17088" s="1" t="str">
        <f t="shared" si="641"/>
        <v>28940</v>
      </c>
      <c r="B17088" s="1" t="str">
        <f>"37710"</f>
        <v>37710</v>
      </c>
      <c r="C17088" s="2">
        <v>1.1134637442342401E-3</v>
      </c>
      <c r="D17088" s="2">
        <v>3.71351471789666E-4</v>
      </c>
      <c r="E17088" s="2">
        <v>5.0284948038887005E-4</v>
      </c>
      <c r="F17088" s="2">
        <v>1.03887681202935E-3</v>
      </c>
    </row>
    <row r="17089" spans="1:6" x14ac:dyDescent="0.25">
      <c r="A17089" s="1" t="str">
        <f t="shared" si="641"/>
        <v>28940</v>
      </c>
      <c r="B17089" s="1" t="str">
        <f>"37848"</f>
        <v>37848</v>
      </c>
      <c r="C17089" s="2">
        <v>1.6098271000977E-4</v>
      </c>
      <c r="D17089" s="2">
        <v>7.4270294357933297E-5</v>
      </c>
      <c r="E17089" s="2">
        <v>0</v>
      </c>
      <c r="F17089" s="2">
        <v>1.5012670694065699E-4</v>
      </c>
    </row>
    <row r="17090" spans="1:6" x14ac:dyDescent="0.25">
      <c r="A17090" s="1" t="str">
        <f t="shared" si="641"/>
        <v>28940</v>
      </c>
      <c r="B17090" s="1" t="str">
        <f>"37928"</f>
        <v>37928</v>
      </c>
      <c r="C17090" s="2">
        <v>1.5270998741204599E-3</v>
      </c>
      <c r="D17090" s="2">
        <v>8.0707053202287507E-3</v>
      </c>
      <c r="E17090" s="2">
        <v>1.6761649346295601E-4</v>
      </c>
      <c r="F17090" s="2">
        <v>2.0237080095600601E-3</v>
      </c>
    </row>
    <row r="17091" spans="1:6" x14ac:dyDescent="0.25">
      <c r="A17091" s="1" t="str">
        <f t="shared" si="641"/>
        <v>28940</v>
      </c>
      <c r="B17091" s="1" t="str">
        <f>"37927"</f>
        <v>37927</v>
      </c>
      <c r="C17091" s="2">
        <v>2.0279349719286299E-3</v>
      </c>
      <c r="D17091" s="2">
        <v>6.0158938429925903E-3</v>
      </c>
      <c r="E17091" s="2">
        <v>1.6761649346295601E-4</v>
      </c>
      <c r="F17091" s="2">
        <v>2.3059462186084999E-3</v>
      </c>
    </row>
    <row r="17092" spans="1:6" x14ac:dyDescent="0.25">
      <c r="A17092" s="1" t="str">
        <f t="shared" ref="A17092:A17108" si="642">"29020"</f>
        <v>29020</v>
      </c>
      <c r="B17092" s="1" t="str">
        <f>"46937"</f>
        <v>46937</v>
      </c>
      <c r="C17092" s="2">
        <v>4.5429765582409501E-5</v>
      </c>
      <c r="D17092" s="2">
        <v>0</v>
      </c>
      <c r="E17092" s="2">
        <v>7.9428117553613899E-4</v>
      </c>
      <c r="F17092" s="2">
        <v>6.1389866579356604E-5</v>
      </c>
    </row>
    <row r="17093" spans="1:6" x14ac:dyDescent="0.25">
      <c r="A17093" s="1" t="str">
        <f t="shared" si="642"/>
        <v>29020</v>
      </c>
      <c r="B17093" s="1" t="str">
        <f>"46995"</f>
        <v>46995</v>
      </c>
      <c r="C17093" s="2">
        <v>2.4986371070325202E-4</v>
      </c>
      <c r="D17093" s="2">
        <v>0</v>
      </c>
      <c r="E17093" s="2">
        <v>7.9428117553613899E-4</v>
      </c>
      <c r="F17093" s="2">
        <v>2.4555946631742598E-4</v>
      </c>
    </row>
    <row r="17094" spans="1:6" x14ac:dyDescent="0.25">
      <c r="A17094" s="1" t="str">
        <f t="shared" si="642"/>
        <v>29020</v>
      </c>
      <c r="B17094" s="1" t="str">
        <f>"46039"</f>
        <v>46039</v>
      </c>
      <c r="C17094" s="2">
        <v>2.27148827912047E-5</v>
      </c>
      <c r="D17094" s="2">
        <v>0</v>
      </c>
      <c r="E17094" s="2">
        <v>0</v>
      </c>
      <c r="F17094" s="2">
        <v>2.0463288859785501E-5</v>
      </c>
    </row>
    <row r="17095" spans="1:6" x14ac:dyDescent="0.25">
      <c r="A17095" s="1" t="str">
        <f t="shared" si="642"/>
        <v>29020</v>
      </c>
      <c r="B17095" s="1" t="str">
        <f>"46965"</f>
        <v>46965</v>
      </c>
      <c r="C17095" s="2">
        <v>0</v>
      </c>
      <c r="D17095" s="2">
        <v>0</v>
      </c>
      <c r="E17095" s="2">
        <v>7.9428117553613899E-4</v>
      </c>
      <c r="F17095" s="2">
        <v>2.0463288859785501E-5</v>
      </c>
    </row>
    <row r="17096" spans="1:6" x14ac:dyDescent="0.25">
      <c r="A17096" s="1" t="str">
        <f t="shared" si="642"/>
        <v>29020</v>
      </c>
      <c r="B17096" s="1" t="str">
        <f>"46936"</f>
        <v>46936</v>
      </c>
      <c r="C17096" s="2">
        <v>5.9217699436670899E-2</v>
      </c>
      <c r="D17096" s="2">
        <v>2.87308228730822E-2</v>
      </c>
      <c r="E17096" s="2">
        <v>2.5416997617156399E-2</v>
      </c>
      <c r="F17096" s="2">
        <v>5.6110338053531897E-2</v>
      </c>
    </row>
    <row r="17097" spans="1:6" x14ac:dyDescent="0.25">
      <c r="A17097" s="1" t="str">
        <f t="shared" si="642"/>
        <v>29020</v>
      </c>
      <c r="B17097" s="1" t="str">
        <f>"46929"</f>
        <v>46929</v>
      </c>
      <c r="C17097" s="2">
        <v>1.86262038887879E-3</v>
      </c>
      <c r="D17097" s="2">
        <v>0</v>
      </c>
      <c r="E17097" s="2">
        <v>0</v>
      </c>
      <c r="F17097" s="2">
        <v>1.67798968650241E-3</v>
      </c>
    </row>
    <row r="17098" spans="1:6" x14ac:dyDescent="0.25">
      <c r="A17098" s="1" t="str">
        <f t="shared" si="642"/>
        <v>29020</v>
      </c>
      <c r="B17098" s="1" t="str">
        <f>"46901"</f>
        <v>46901</v>
      </c>
      <c r="C17098" s="2">
        <v>0.43737506814464799</v>
      </c>
      <c r="D17098" s="2">
        <v>0.42928870292887</v>
      </c>
      <c r="E17098" s="2">
        <v>0.44320889594916602</v>
      </c>
      <c r="F17098" s="2">
        <v>0.43693214373414002</v>
      </c>
    </row>
    <row r="17099" spans="1:6" x14ac:dyDescent="0.25">
      <c r="A17099" s="1" t="str">
        <f t="shared" si="642"/>
        <v>29020</v>
      </c>
      <c r="B17099" s="1" t="str">
        <f>"46903"</f>
        <v>46903</v>
      </c>
      <c r="C17099" s="2">
        <v>1.51281119389423E-2</v>
      </c>
      <c r="D17099" s="2">
        <v>6.2203626220362601E-2</v>
      </c>
      <c r="E17099" s="2">
        <v>1.58856235107227E-3</v>
      </c>
      <c r="F17099" s="2">
        <v>1.82327903740689E-2</v>
      </c>
    </row>
    <row r="17100" spans="1:6" x14ac:dyDescent="0.25">
      <c r="A17100" s="1" t="str">
        <f t="shared" si="642"/>
        <v>29020</v>
      </c>
      <c r="B17100" s="1" t="str">
        <f>"46979"</f>
        <v>46979</v>
      </c>
      <c r="C17100" s="2">
        <v>4.5497910230783201E-2</v>
      </c>
      <c r="D17100" s="2">
        <v>1.03207810320781E-2</v>
      </c>
      <c r="E17100" s="2">
        <v>1.11199364575059E-2</v>
      </c>
      <c r="F17100" s="2">
        <v>4.20315953179995E-2</v>
      </c>
    </row>
    <row r="17101" spans="1:6" x14ac:dyDescent="0.25">
      <c r="A17101" s="1" t="str">
        <f t="shared" si="642"/>
        <v>29020</v>
      </c>
      <c r="B17101" s="1" t="str">
        <f>"46902"</f>
        <v>46902</v>
      </c>
      <c r="C17101" s="2">
        <v>0.40693712520443298</v>
      </c>
      <c r="D17101" s="2">
        <v>0.39665271966527099</v>
      </c>
      <c r="E17101" s="2">
        <v>0.51469420174741798</v>
      </c>
      <c r="F17101" s="2">
        <v>0.40895882786281401</v>
      </c>
    </row>
    <row r="17102" spans="1:6" x14ac:dyDescent="0.25">
      <c r="A17102" s="1" t="str">
        <f t="shared" si="642"/>
        <v>29020</v>
      </c>
      <c r="B17102" s="1" t="str">
        <f>"46932"</f>
        <v>46932</v>
      </c>
      <c r="C17102" s="2">
        <v>7.7230601490096301E-4</v>
      </c>
      <c r="D17102" s="2">
        <v>0</v>
      </c>
      <c r="E17102" s="2">
        <v>0</v>
      </c>
      <c r="F17102" s="2">
        <v>6.9575182123270802E-4</v>
      </c>
    </row>
    <row r="17103" spans="1:6" x14ac:dyDescent="0.25">
      <c r="A17103" s="1" t="str">
        <f t="shared" si="642"/>
        <v>29020</v>
      </c>
      <c r="B17103" s="1" t="str">
        <f>"46904"</f>
        <v>46904</v>
      </c>
      <c r="C17103" s="2">
        <v>2.9960930401599101E-2</v>
      </c>
      <c r="D17103" s="2">
        <v>7.2803347280334704E-2</v>
      </c>
      <c r="E17103" s="2">
        <v>1.58856235107227E-3</v>
      </c>
      <c r="F17103" s="2">
        <v>3.2372922976180697E-2</v>
      </c>
    </row>
    <row r="17104" spans="1:6" x14ac:dyDescent="0.25">
      <c r="A17104" s="1" t="str">
        <f t="shared" si="642"/>
        <v>29020</v>
      </c>
      <c r="B17104" s="1" t="str">
        <f>"46041"</f>
        <v>46041</v>
      </c>
      <c r="C17104" s="2">
        <v>4.5429765582409501E-5</v>
      </c>
      <c r="D17104" s="2">
        <v>0</v>
      </c>
      <c r="E17104" s="2">
        <v>0</v>
      </c>
      <c r="F17104" s="2">
        <v>4.0926577719571002E-5</v>
      </c>
    </row>
    <row r="17105" spans="1:6" x14ac:dyDescent="0.25">
      <c r="A17105" s="1" t="str">
        <f t="shared" si="642"/>
        <v>29020</v>
      </c>
      <c r="B17105" s="1" t="str">
        <f>"46919"</f>
        <v>46919</v>
      </c>
      <c r="C17105" s="2">
        <v>1.3174632018898699E-3</v>
      </c>
      <c r="D17105" s="2">
        <v>0</v>
      </c>
      <c r="E17105" s="2">
        <v>0</v>
      </c>
      <c r="F17105" s="2">
        <v>1.18687075386756E-3</v>
      </c>
    </row>
    <row r="17106" spans="1:6" x14ac:dyDescent="0.25">
      <c r="A17106" s="1" t="str">
        <f t="shared" si="642"/>
        <v>29020</v>
      </c>
      <c r="B17106" s="1" t="str">
        <f>"46068"</f>
        <v>46068</v>
      </c>
      <c r="C17106" s="2">
        <v>7.9502089769216704E-4</v>
      </c>
      <c r="D17106" s="2">
        <v>0</v>
      </c>
      <c r="E17106" s="2">
        <v>0</v>
      </c>
      <c r="F17106" s="2">
        <v>7.1621511009249401E-4</v>
      </c>
    </row>
    <row r="17107" spans="1:6" x14ac:dyDescent="0.25">
      <c r="A17107" s="1" t="str">
        <f t="shared" si="642"/>
        <v>29020</v>
      </c>
      <c r="B17107" s="1" t="str">
        <f>"46076"</f>
        <v>46076</v>
      </c>
      <c r="C17107" s="2">
        <v>6.8144648373614299E-4</v>
      </c>
      <c r="D17107" s="2">
        <v>0</v>
      </c>
      <c r="E17107" s="2">
        <v>0</v>
      </c>
      <c r="F17107" s="2">
        <v>6.1389866579356599E-4</v>
      </c>
    </row>
    <row r="17108" spans="1:6" x14ac:dyDescent="0.25">
      <c r="A17108" s="1" t="str">
        <f t="shared" si="642"/>
        <v>29020</v>
      </c>
      <c r="B17108" s="1" t="str">
        <f>"46928"</f>
        <v>46928</v>
      </c>
      <c r="C17108" s="2">
        <v>9.0859531164819097E-5</v>
      </c>
      <c r="D17108" s="2">
        <v>0</v>
      </c>
      <c r="E17108" s="2">
        <v>0</v>
      </c>
      <c r="F17108" s="2">
        <v>8.1853155439142098E-5</v>
      </c>
    </row>
    <row r="17109" spans="1:6" x14ac:dyDescent="0.25">
      <c r="A17109" s="1" t="str">
        <f t="shared" ref="A17109:A17128" si="643">"29060"</f>
        <v>29060</v>
      </c>
      <c r="B17109" s="1" t="str">
        <f>"03217"</f>
        <v>03217</v>
      </c>
      <c r="C17109" s="2">
        <v>2.4555695386598697E-4</v>
      </c>
      <c r="D17109" s="2">
        <v>0</v>
      </c>
      <c r="E17109" s="2">
        <v>0</v>
      </c>
      <c r="F17109" s="2">
        <v>2.1980437410704399E-4</v>
      </c>
    </row>
    <row r="17110" spans="1:6" x14ac:dyDescent="0.25">
      <c r="A17110" s="1" t="str">
        <f t="shared" si="643"/>
        <v>29060</v>
      </c>
      <c r="B17110" s="1" t="str">
        <f>"03289"</f>
        <v>03289</v>
      </c>
      <c r="C17110" s="2">
        <v>0</v>
      </c>
      <c r="D17110" s="2">
        <v>0</v>
      </c>
      <c r="E17110" s="2">
        <v>6.6050198150594398E-4</v>
      </c>
      <c r="F17110" s="2">
        <v>2.7475546763380499E-5</v>
      </c>
    </row>
    <row r="17111" spans="1:6" x14ac:dyDescent="0.25">
      <c r="A17111" s="1" t="str">
        <f t="shared" si="643"/>
        <v>29060</v>
      </c>
      <c r="B17111" s="1" t="str">
        <f>"03276"</f>
        <v>03276</v>
      </c>
      <c r="C17111" s="2">
        <v>5.3285858988919202E-2</v>
      </c>
      <c r="D17111" s="2">
        <v>0.14893617021276501</v>
      </c>
      <c r="E17111" s="2">
        <v>0.11690885072655199</v>
      </c>
      <c r="F17111" s="2">
        <v>6.1984833498186599E-2</v>
      </c>
    </row>
    <row r="17112" spans="1:6" x14ac:dyDescent="0.25">
      <c r="A17112" s="1" t="str">
        <f t="shared" si="643"/>
        <v>29060</v>
      </c>
      <c r="B17112" s="1" t="str">
        <f>"03246"</f>
        <v>03246</v>
      </c>
      <c r="C17112" s="2">
        <v>0.31842597992571903</v>
      </c>
      <c r="D17112" s="2">
        <v>0.410768562744246</v>
      </c>
      <c r="E17112" s="2">
        <v>0.55151915455746303</v>
      </c>
      <c r="F17112" s="2">
        <v>0.333965270908891</v>
      </c>
    </row>
    <row r="17113" spans="1:6" x14ac:dyDescent="0.25">
      <c r="A17113" s="1" t="str">
        <f t="shared" si="643"/>
        <v>29060</v>
      </c>
      <c r="B17113" s="1" t="str">
        <f>"03225"</f>
        <v>03225</v>
      </c>
      <c r="C17113" s="2">
        <v>5.33472482273857E-2</v>
      </c>
      <c r="D17113" s="2">
        <v>9.5527572731220096E-3</v>
      </c>
      <c r="E17113" s="2">
        <v>4.6235138705416103E-3</v>
      </c>
      <c r="F17113" s="2">
        <v>4.8549291130893499E-2</v>
      </c>
    </row>
    <row r="17114" spans="1:6" x14ac:dyDescent="0.25">
      <c r="A17114" s="1" t="str">
        <f t="shared" si="643"/>
        <v>29060</v>
      </c>
      <c r="B17114" s="1" t="str">
        <f>"03252"</f>
        <v>03252</v>
      </c>
      <c r="C17114" s="2">
        <v>0</v>
      </c>
      <c r="D17114" s="2">
        <v>0</v>
      </c>
      <c r="E17114" s="2">
        <v>6.6050198150594398E-4</v>
      </c>
      <c r="F17114" s="2">
        <v>2.7475546763380499E-5</v>
      </c>
    </row>
    <row r="17115" spans="1:6" x14ac:dyDescent="0.25">
      <c r="A17115" s="1" t="str">
        <f t="shared" si="643"/>
        <v>29060</v>
      </c>
      <c r="B17115" s="1" t="str">
        <f>"03253"</f>
        <v>03253</v>
      </c>
      <c r="C17115" s="2">
        <v>0.108167838177967</v>
      </c>
      <c r="D17115" s="2">
        <v>0.113764654798089</v>
      </c>
      <c r="E17115" s="2">
        <v>7.3976221928665695E-2</v>
      </c>
      <c r="F17115" s="2">
        <v>0.107099681283657</v>
      </c>
    </row>
    <row r="17116" spans="1:6" x14ac:dyDescent="0.25">
      <c r="A17116" s="1" t="str">
        <f t="shared" si="643"/>
        <v>29060</v>
      </c>
      <c r="B17116" s="1" t="str">
        <f>"03226"</f>
        <v>03226</v>
      </c>
      <c r="C17116" s="2">
        <v>1.5193836520457899E-2</v>
      </c>
      <c r="D17116" s="2">
        <v>6.5132435953104599E-3</v>
      </c>
      <c r="E17116" s="2">
        <v>3.3025099075297201E-3</v>
      </c>
      <c r="F17116" s="2">
        <v>1.4149906583140999E-2</v>
      </c>
    </row>
    <row r="17117" spans="1:6" x14ac:dyDescent="0.25">
      <c r="A17117" s="1" t="str">
        <f t="shared" si="643"/>
        <v>29060</v>
      </c>
      <c r="B17117" s="1" t="str">
        <f>"03299"</f>
        <v>03299</v>
      </c>
      <c r="C17117" s="2">
        <v>0</v>
      </c>
      <c r="D17117" s="2">
        <v>4.34216239687364E-4</v>
      </c>
      <c r="E17117" s="2">
        <v>0</v>
      </c>
      <c r="F17117" s="2">
        <v>2.7475546763380499E-5</v>
      </c>
    </row>
    <row r="17118" spans="1:6" x14ac:dyDescent="0.25">
      <c r="A17118" s="1" t="str">
        <f t="shared" si="643"/>
        <v>29060</v>
      </c>
      <c r="B17118" s="1" t="str">
        <f>"03254"</f>
        <v>03254</v>
      </c>
      <c r="C17118" s="2">
        <v>1.5347309616624199E-4</v>
      </c>
      <c r="D17118" s="2">
        <v>0</v>
      </c>
      <c r="E17118" s="2">
        <v>0</v>
      </c>
      <c r="F17118" s="2">
        <v>1.3737773381690199E-4</v>
      </c>
    </row>
    <row r="17119" spans="1:6" x14ac:dyDescent="0.25">
      <c r="A17119" s="1" t="str">
        <f t="shared" si="643"/>
        <v>29060</v>
      </c>
      <c r="B17119" s="1" t="str">
        <f>"03220"</f>
        <v>03220</v>
      </c>
      <c r="C17119" s="2">
        <v>9.96347340311243E-2</v>
      </c>
      <c r="D17119" s="2">
        <v>9.0316977854971697E-2</v>
      </c>
      <c r="E17119" s="2">
        <v>0.100396301188903</v>
      </c>
      <c r="F17119" s="2">
        <v>9.9076821628750394E-2</v>
      </c>
    </row>
    <row r="17120" spans="1:6" x14ac:dyDescent="0.25">
      <c r="A17120" s="1" t="str">
        <f t="shared" si="643"/>
        <v>29060</v>
      </c>
      <c r="B17120" s="1" t="str">
        <f>"03809"</f>
        <v>03809</v>
      </c>
      <c r="C17120" s="2">
        <v>4.1990239111083801E-2</v>
      </c>
      <c r="D17120" s="2">
        <v>1.6934433347807198E-2</v>
      </c>
      <c r="E17120" s="2">
        <v>1.51915455746367E-2</v>
      </c>
      <c r="F17120" s="2">
        <v>3.9290031871634198E-2</v>
      </c>
    </row>
    <row r="17121" spans="1:6" x14ac:dyDescent="0.25">
      <c r="A17121" s="1" t="str">
        <f t="shared" si="643"/>
        <v>29060</v>
      </c>
      <c r="B17121" s="1" t="str">
        <f>"03245"</f>
        <v>03245</v>
      </c>
      <c r="C17121" s="2">
        <v>3.0694619233248399E-5</v>
      </c>
      <c r="D17121" s="2">
        <v>0</v>
      </c>
      <c r="E17121" s="2">
        <v>0</v>
      </c>
      <c r="F17121" s="2">
        <v>2.7475546763380499E-5</v>
      </c>
    </row>
    <row r="17122" spans="1:6" x14ac:dyDescent="0.25">
      <c r="A17122" s="1" t="str">
        <f t="shared" si="643"/>
        <v>29060</v>
      </c>
      <c r="B17122" s="1" t="str">
        <f>"03237"</f>
        <v>03237</v>
      </c>
      <c r="C17122" s="2">
        <v>3.1492679333312797E-2</v>
      </c>
      <c r="D17122" s="2">
        <v>4.7763786365609996E-3</v>
      </c>
      <c r="E17122" s="2">
        <v>7.2655217965653801E-3</v>
      </c>
      <c r="F17122" s="2">
        <v>2.8794373008022799E-2</v>
      </c>
    </row>
    <row r="17123" spans="1:6" x14ac:dyDescent="0.25">
      <c r="A17123" s="1" t="str">
        <f t="shared" si="643"/>
        <v>29060</v>
      </c>
      <c r="B17123" s="1" t="str">
        <f>"03249"</f>
        <v>03249</v>
      </c>
      <c r="C17123" s="2">
        <v>0.140090242180545</v>
      </c>
      <c r="D17123" s="2">
        <v>0.15631784628745099</v>
      </c>
      <c r="E17123" s="2">
        <v>0.102377807133421</v>
      </c>
      <c r="F17123" s="2">
        <v>0.13954830201120999</v>
      </c>
    </row>
    <row r="17124" spans="1:6" x14ac:dyDescent="0.25">
      <c r="A17124" s="1" t="str">
        <f t="shared" si="643"/>
        <v>29060</v>
      </c>
      <c r="B17124" s="1" t="str">
        <f>"03218"</f>
        <v>03218</v>
      </c>
      <c r="C17124" s="2">
        <v>1.41195248472942E-2</v>
      </c>
      <c r="D17124" s="2">
        <v>4.7763786365609996E-3</v>
      </c>
      <c r="E17124" s="2">
        <v>3.3025099075297201E-3</v>
      </c>
      <c r="F17124" s="2">
        <v>1.30783602593691E-2</v>
      </c>
    </row>
    <row r="17125" spans="1:6" x14ac:dyDescent="0.25">
      <c r="A17125" s="1" t="str">
        <f t="shared" si="643"/>
        <v>29060</v>
      </c>
      <c r="B17125" s="1" t="str">
        <f>"03269"</f>
        <v>03269</v>
      </c>
      <c r="C17125" s="2">
        <v>4.2573436876515498E-2</v>
      </c>
      <c r="D17125" s="2">
        <v>1.12896222318714E-2</v>
      </c>
      <c r="E17125" s="2">
        <v>5.2840158520475501E-3</v>
      </c>
      <c r="F17125" s="2">
        <v>3.9042751950763802E-2</v>
      </c>
    </row>
    <row r="17126" spans="1:6" x14ac:dyDescent="0.25">
      <c r="A17126" s="1" t="str">
        <f t="shared" si="643"/>
        <v>29060</v>
      </c>
      <c r="B17126" s="1" t="str">
        <f>"03810"</f>
        <v>03810</v>
      </c>
      <c r="C17126" s="2">
        <v>3.4869087448970097E-2</v>
      </c>
      <c r="D17126" s="2">
        <v>3.4737299174989098E-3</v>
      </c>
      <c r="E17126" s="2">
        <v>3.3025099075297201E-3</v>
      </c>
      <c r="F17126" s="2">
        <v>3.1569403231124199E-2</v>
      </c>
    </row>
    <row r="17127" spans="1:6" x14ac:dyDescent="0.25">
      <c r="A17127" s="1" t="str">
        <f t="shared" si="643"/>
        <v>29060</v>
      </c>
      <c r="B17127" s="1" t="str">
        <f>"03837"</f>
        <v>03837</v>
      </c>
      <c r="C17127" s="2">
        <v>1.8171214586083E-2</v>
      </c>
      <c r="D17127" s="2">
        <v>4.7763786365609996E-3</v>
      </c>
      <c r="E17127" s="2">
        <v>1.98150594451783E-3</v>
      </c>
      <c r="F17127" s="2">
        <v>1.66501813386086E-2</v>
      </c>
    </row>
    <row r="17128" spans="1:6" x14ac:dyDescent="0.25">
      <c r="A17128" s="1" t="str">
        <f t="shared" si="643"/>
        <v>29060</v>
      </c>
      <c r="B17128" s="1" t="str">
        <f>"03256"</f>
        <v>03256</v>
      </c>
      <c r="C17128" s="2">
        <v>2.8208355075355199E-2</v>
      </c>
      <c r="D17128" s="2">
        <v>1.7368649587494501E-2</v>
      </c>
      <c r="E17128" s="2">
        <v>9.2470277410832205E-3</v>
      </c>
      <c r="F17128" s="2">
        <v>2.67337070007693E-2</v>
      </c>
    </row>
    <row r="17129" spans="1:6" x14ac:dyDescent="0.25">
      <c r="A17129" s="1" t="str">
        <f t="shared" ref="A17129:A17152" si="644">"29100"</f>
        <v>29100</v>
      </c>
      <c r="B17129" s="1" t="str">
        <f>"54636"</f>
        <v>54636</v>
      </c>
      <c r="C17129" s="2">
        <v>0.10467289719626099</v>
      </c>
      <c r="D17129" s="2">
        <v>5.3794602427096501E-2</v>
      </c>
      <c r="E17129" s="2">
        <v>7.1239105721864301E-2</v>
      </c>
      <c r="F17129" s="2">
        <v>9.9609026682214094E-2</v>
      </c>
    </row>
    <row r="17130" spans="1:6" x14ac:dyDescent="0.25">
      <c r="A17130" s="1" t="str">
        <f t="shared" si="644"/>
        <v>29100</v>
      </c>
      <c r="B17130" s="1" t="str">
        <f>"54619"</f>
        <v>54619</v>
      </c>
      <c r="C17130" s="2">
        <v>2.6260909863288698E-4</v>
      </c>
      <c r="D17130" s="2">
        <v>0</v>
      </c>
      <c r="E17130" s="2">
        <v>0</v>
      </c>
      <c r="F17130" s="2">
        <v>2.3321215446875601E-4</v>
      </c>
    </row>
    <row r="17131" spans="1:6" x14ac:dyDescent="0.25">
      <c r="A17131" s="1" t="str">
        <f t="shared" si="644"/>
        <v>29100</v>
      </c>
      <c r="B17131" s="1" t="str">
        <f>"55931"</f>
        <v>55931</v>
      </c>
      <c r="C17131" s="2">
        <v>3.0895188074457399E-3</v>
      </c>
      <c r="D17131" s="2">
        <v>4.3470385799673902E-3</v>
      </c>
      <c r="E17131" s="2">
        <v>3.4103827207275401E-3</v>
      </c>
      <c r="F17131" s="2">
        <v>3.1963783524247202E-3</v>
      </c>
    </row>
    <row r="17132" spans="1:6" x14ac:dyDescent="0.25">
      <c r="A17132" s="1" t="str">
        <f t="shared" si="644"/>
        <v>29100</v>
      </c>
      <c r="B17132" s="1" t="str">
        <f>"54650"</f>
        <v>54650</v>
      </c>
      <c r="C17132" s="2">
        <v>0.17041785741870699</v>
      </c>
      <c r="D17132" s="2">
        <v>0.16301394674877701</v>
      </c>
      <c r="E17132" s="2">
        <v>0.15990905646077999</v>
      </c>
      <c r="F17132" s="2">
        <v>0.16947664448864799</v>
      </c>
    </row>
    <row r="17133" spans="1:6" x14ac:dyDescent="0.25">
      <c r="A17133" s="1" t="str">
        <f t="shared" si="644"/>
        <v>29100</v>
      </c>
      <c r="B17133" s="1" t="str">
        <f>"54614"</f>
        <v>54614</v>
      </c>
      <c r="C17133" s="2">
        <v>1.90159882598285E-2</v>
      </c>
      <c r="D17133" s="2">
        <v>1.8293787357362701E-2</v>
      </c>
      <c r="E17133" s="2">
        <v>1.17468738158393E-2</v>
      </c>
      <c r="F17133" s="2">
        <v>1.86981274435832E-2</v>
      </c>
    </row>
    <row r="17134" spans="1:6" x14ac:dyDescent="0.25">
      <c r="A17134" s="1" t="str">
        <f t="shared" si="644"/>
        <v>29100</v>
      </c>
      <c r="B17134" s="1" t="str">
        <f>"55974"</f>
        <v>55974</v>
      </c>
      <c r="C17134" s="2">
        <v>1.72704101336216E-2</v>
      </c>
      <c r="D17134" s="2">
        <v>8.8752037674334292E-3</v>
      </c>
      <c r="E17134" s="2">
        <v>1.4020462296324299E-2</v>
      </c>
      <c r="F17134" s="2">
        <v>1.6516907881198899E-2</v>
      </c>
    </row>
    <row r="17135" spans="1:6" x14ac:dyDescent="0.25">
      <c r="A17135" s="1" t="str">
        <f t="shared" si="644"/>
        <v>29100</v>
      </c>
      <c r="B17135" s="1" t="str">
        <f>"55941"</f>
        <v>55941</v>
      </c>
      <c r="C17135" s="2">
        <v>7.9555109291727794E-3</v>
      </c>
      <c r="D17135" s="2">
        <v>5.4337982249592399E-4</v>
      </c>
      <c r="E17135" s="2">
        <v>5.3050397877984004E-3</v>
      </c>
      <c r="F17135" s="2">
        <v>7.2981685986693101E-3</v>
      </c>
    </row>
    <row r="17136" spans="1:6" x14ac:dyDescent="0.25">
      <c r="A17136" s="1" t="str">
        <f t="shared" si="644"/>
        <v>29100</v>
      </c>
      <c r="B17136" s="1" t="str">
        <f>"54642"</f>
        <v>54642</v>
      </c>
      <c r="C17136" s="2">
        <v>1.2975978991272099E-3</v>
      </c>
      <c r="D17136" s="2">
        <v>1.8112660749864101E-4</v>
      </c>
      <c r="E17136" s="2">
        <v>0</v>
      </c>
      <c r="F17136" s="2">
        <v>1.1660607723437801E-3</v>
      </c>
    </row>
    <row r="17137" spans="1:6" x14ac:dyDescent="0.25">
      <c r="A17137" s="1" t="str">
        <f t="shared" si="644"/>
        <v>29100</v>
      </c>
      <c r="B17137" s="1" t="str">
        <f>"54669"</f>
        <v>54669</v>
      </c>
      <c r="C17137" s="2">
        <v>5.4190159882598198E-2</v>
      </c>
      <c r="D17137" s="2">
        <v>5.2707842782104601E-2</v>
      </c>
      <c r="E17137" s="2">
        <v>4.0166729821902197E-2</v>
      </c>
      <c r="F17137" s="2">
        <v>5.3570203717676103E-2</v>
      </c>
    </row>
    <row r="17138" spans="1:6" x14ac:dyDescent="0.25">
      <c r="A17138" s="1" t="str">
        <f t="shared" si="644"/>
        <v>29100</v>
      </c>
      <c r="B17138" s="1" t="str">
        <f>"54644"</f>
        <v>54644</v>
      </c>
      <c r="C17138" s="2">
        <v>1.16320383100332E-2</v>
      </c>
      <c r="D17138" s="2">
        <v>4.1659119724687501E-3</v>
      </c>
      <c r="E17138" s="2">
        <v>3.7893141341417201E-3</v>
      </c>
      <c r="F17138" s="2">
        <v>1.0782632553673E-2</v>
      </c>
    </row>
    <row r="17139" spans="1:6" x14ac:dyDescent="0.25">
      <c r="A17139" s="1" t="str">
        <f t="shared" si="644"/>
        <v>29100</v>
      </c>
      <c r="B17139" s="1" t="str">
        <f>"55919"</f>
        <v>55919</v>
      </c>
      <c r="C17139" s="2">
        <v>7.0904456630879699E-3</v>
      </c>
      <c r="D17139" s="2">
        <v>1.08675964499184E-3</v>
      </c>
      <c r="E17139" s="2">
        <v>3.4103827207275401E-3</v>
      </c>
      <c r="F17139" s="2">
        <v>6.5025036010700303E-3</v>
      </c>
    </row>
    <row r="17140" spans="1:6" x14ac:dyDescent="0.25">
      <c r="A17140" s="1" t="str">
        <f t="shared" si="644"/>
        <v>29100</v>
      </c>
      <c r="B17140" s="1" t="str">
        <f>"54603"</f>
        <v>54603</v>
      </c>
      <c r="C17140" s="2">
        <v>0.110048659921217</v>
      </c>
      <c r="D17140" s="2">
        <v>0.142908893316428</v>
      </c>
      <c r="E17140" s="2">
        <v>0.124289503599848</v>
      </c>
      <c r="F17140" s="2">
        <v>0.113053021469236</v>
      </c>
    </row>
    <row r="17141" spans="1:6" x14ac:dyDescent="0.25">
      <c r="A17141" s="1" t="str">
        <f t="shared" si="644"/>
        <v>29100</v>
      </c>
      <c r="B17141" s="1" t="str">
        <f>"55921"</f>
        <v>55921</v>
      </c>
      <c r="C17141" s="2">
        <v>3.5235961998918597E-2</v>
      </c>
      <c r="D17141" s="2">
        <v>4.0210106864698399E-2</v>
      </c>
      <c r="E17141" s="2">
        <v>3.9787798408488E-2</v>
      </c>
      <c r="F17141" s="2">
        <v>3.5777488167912701E-2</v>
      </c>
    </row>
    <row r="17142" spans="1:6" x14ac:dyDescent="0.25">
      <c r="A17142" s="1" t="str">
        <f t="shared" si="644"/>
        <v>29100</v>
      </c>
      <c r="B17142" s="1" t="str">
        <f>"54667"</f>
        <v>54667</v>
      </c>
      <c r="C17142" s="2">
        <v>6.1790376148914794E-5</v>
      </c>
      <c r="D17142" s="2">
        <v>0</v>
      </c>
      <c r="E17142" s="2">
        <v>0</v>
      </c>
      <c r="F17142" s="2">
        <v>5.4873448110295603E-5</v>
      </c>
    </row>
    <row r="17143" spans="1:6" x14ac:dyDescent="0.25">
      <c r="A17143" s="1" t="str">
        <f t="shared" si="644"/>
        <v>29100</v>
      </c>
      <c r="B17143" s="1" t="str">
        <f>"55954"</f>
        <v>55954</v>
      </c>
      <c r="C17143" s="2">
        <v>5.4066579130300399E-4</v>
      </c>
      <c r="D17143" s="2">
        <v>1.8112660749864101E-4</v>
      </c>
      <c r="E17143" s="2">
        <v>3.7893141341417198E-4</v>
      </c>
      <c r="F17143" s="2">
        <v>5.0757939502023405E-4</v>
      </c>
    </row>
    <row r="17144" spans="1:6" x14ac:dyDescent="0.25">
      <c r="A17144" s="1" t="str">
        <f t="shared" si="644"/>
        <v>29100</v>
      </c>
      <c r="B17144" s="1" t="str">
        <f>"55947"</f>
        <v>55947</v>
      </c>
      <c r="C17144" s="2">
        <v>4.9046111068201101E-2</v>
      </c>
      <c r="D17144" s="2">
        <v>3.4414055424741803E-2</v>
      </c>
      <c r="E17144" s="2">
        <v>7.8817733990147701E-2</v>
      </c>
      <c r="F17144" s="2">
        <v>4.9015707524521501E-2</v>
      </c>
    </row>
    <row r="17145" spans="1:6" x14ac:dyDescent="0.25">
      <c r="A17145" s="1" t="str">
        <f t="shared" si="644"/>
        <v>29100</v>
      </c>
      <c r="B17145" s="1" t="str">
        <f>"54623"</f>
        <v>54623</v>
      </c>
      <c r="C17145" s="2">
        <v>4.3716691125357202E-3</v>
      </c>
      <c r="D17145" s="2">
        <v>1.8112660749864101E-4</v>
      </c>
      <c r="E17145" s="2">
        <v>0</v>
      </c>
      <c r="F17145" s="2">
        <v>3.8960148158309802E-3</v>
      </c>
    </row>
    <row r="17146" spans="1:6" x14ac:dyDescent="0.25">
      <c r="A17146" s="1" t="str">
        <f t="shared" si="644"/>
        <v>29100</v>
      </c>
      <c r="B17146" s="1" t="str">
        <f>"54658"</f>
        <v>54658</v>
      </c>
      <c r="C17146" s="2">
        <v>2.67243376844056E-3</v>
      </c>
      <c r="D17146" s="2">
        <v>7.2450642999456597E-4</v>
      </c>
      <c r="E17146" s="2">
        <v>1.5157256536566801E-3</v>
      </c>
      <c r="F17146" s="2">
        <v>2.4830235269908702E-3</v>
      </c>
    </row>
    <row r="17147" spans="1:6" x14ac:dyDescent="0.25">
      <c r="A17147" s="1" t="str">
        <f t="shared" si="644"/>
        <v>29100</v>
      </c>
      <c r="B17147" s="1" t="str">
        <f>"55943"</f>
        <v>55943</v>
      </c>
      <c r="C17147" s="2">
        <v>2.1209546613114999E-2</v>
      </c>
      <c r="D17147" s="2">
        <v>6.5205578699510901E-3</v>
      </c>
      <c r="E17147" s="2">
        <v>1.02311481621826E-2</v>
      </c>
      <c r="F17147" s="2">
        <v>1.9699567871596099E-2</v>
      </c>
    </row>
    <row r="17148" spans="1:6" x14ac:dyDescent="0.25">
      <c r="A17148" s="1" t="str">
        <f t="shared" si="644"/>
        <v>29100</v>
      </c>
      <c r="B17148" s="1" t="str">
        <f>"55971"</f>
        <v>55971</v>
      </c>
      <c r="C17148" s="2">
        <v>1.0658839885687799E-3</v>
      </c>
      <c r="D17148" s="2">
        <v>5.4337982249592399E-4</v>
      </c>
      <c r="E17148" s="2">
        <v>3.7893141341417198E-4</v>
      </c>
      <c r="F17148" s="2">
        <v>1.00144042801289E-3</v>
      </c>
    </row>
    <row r="17149" spans="1:6" x14ac:dyDescent="0.25">
      <c r="A17149" s="1" t="str">
        <f t="shared" si="644"/>
        <v>29100</v>
      </c>
      <c r="B17149" s="1" t="str">
        <f>"54656"</f>
        <v>54656</v>
      </c>
      <c r="C17149" s="2">
        <v>2.00818722483973E-4</v>
      </c>
      <c r="D17149" s="2">
        <v>1.8112660749864101E-4</v>
      </c>
      <c r="E17149" s="2">
        <v>0</v>
      </c>
      <c r="F17149" s="2">
        <v>1.9205706838603401E-4</v>
      </c>
    </row>
    <row r="17150" spans="1:6" x14ac:dyDescent="0.25">
      <c r="A17150" s="1" t="str">
        <f t="shared" si="644"/>
        <v>29100</v>
      </c>
      <c r="B17150" s="1" t="str">
        <f>"54601"</f>
        <v>54601</v>
      </c>
      <c r="C17150" s="2">
        <v>0.35134007878272899</v>
      </c>
      <c r="D17150" s="2">
        <v>0.33508422387248599</v>
      </c>
      <c r="E17150" s="2">
        <v>0.42857142857142799</v>
      </c>
      <c r="F17150" s="2">
        <v>0.352904863159338</v>
      </c>
    </row>
    <row r="17151" spans="1:6" x14ac:dyDescent="0.25">
      <c r="A17151" s="1" t="str">
        <f t="shared" si="644"/>
        <v>29100</v>
      </c>
      <c r="B17151" s="1" t="str">
        <f>"54653"</f>
        <v>54653</v>
      </c>
      <c r="C17151" s="2">
        <v>6.2562755850776204E-3</v>
      </c>
      <c r="D17151" s="2">
        <v>9.0563303749320698E-4</v>
      </c>
      <c r="E17151" s="2">
        <v>2.2735884804850298E-3</v>
      </c>
      <c r="F17151" s="2">
        <v>5.7068386034707401E-3</v>
      </c>
    </row>
    <row r="17152" spans="1:6" x14ac:dyDescent="0.25">
      <c r="A17152" s="1" t="str">
        <f t="shared" si="644"/>
        <v>29100</v>
      </c>
      <c r="B17152" s="1" t="str">
        <f>"54602"</f>
        <v>54602</v>
      </c>
      <c r="C17152" s="2">
        <v>2.10550706727427E-2</v>
      </c>
      <c r="D17152" s="2">
        <v>0.13113566382901601</v>
      </c>
      <c r="E17152" s="2">
        <v>7.5786282682834395E-4</v>
      </c>
      <c r="F17152" s="2">
        <v>2.8657658275601801E-2</v>
      </c>
    </row>
    <row r="17153" spans="1:6" x14ac:dyDescent="0.25">
      <c r="A17153" s="1" t="str">
        <f t="shared" ref="A17153:A17184" si="645">"29180"</f>
        <v>29180</v>
      </c>
      <c r="B17153" s="1" t="str">
        <f>"70339"</f>
        <v>70339</v>
      </c>
      <c r="C17153" s="2">
        <v>6.0477259272824805E-4</v>
      </c>
      <c r="D17153" s="2">
        <v>2.0720235381873901E-4</v>
      </c>
      <c r="E17153" s="2">
        <v>3.4831069313827898E-4</v>
      </c>
      <c r="F17153" s="2">
        <v>5.6296094789021797E-4</v>
      </c>
    </row>
    <row r="17154" spans="1:6" x14ac:dyDescent="0.25">
      <c r="A17154" s="1" t="str">
        <f t="shared" si="645"/>
        <v>29180</v>
      </c>
      <c r="B17154" s="1" t="str">
        <f>"70515"</f>
        <v>70515</v>
      </c>
      <c r="C17154" s="2">
        <v>1.9761583311683601E-3</v>
      </c>
      <c r="D17154" s="2">
        <v>9.1169035680245297E-4</v>
      </c>
      <c r="E17154" s="2">
        <v>3.4831069313827898E-4</v>
      </c>
      <c r="F17154" s="2">
        <v>1.8437915608753401E-3</v>
      </c>
    </row>
    <row r="17155" spans="1:6" x14ac:dyDescent="0.25">
      <c r="A17155" s="1" t="str">
        <f t="shared" si="645"/>
        <v>29180</v>
      </c>
      <c r="B17155" s="1" t="str">
        <f>"70521"</f>
        <v>70521</v>
      </c>
      <c r="C17155" s="2">
        <v>4.2589619206214598E-6</v>
      </c>
      <c r="D17155" s="2">
        <v>0</v>
      </c>
      <c r="E17155" s="2">
        <v>0</v>
      </c>
      <c r="F17155" s="2">
        <v>3.77826139523636E-6</v>
      </c>
    </row>
    <row r="17156" spans="1:6" x14ac:dyDescent="0.25">
      <c r="A17156" s="1" t="str">
        <f t="shared" si="645"/>
        <v>29180</v>
      </c>
      <c r="B17156" s="1" t="str">
        <f>"70569"</f>
        <v>70569</v>
      </c>
      <c r="C17156" s="2">
        <v>2.6064846954203299E-3</v>
      </c>
      <c r="D17156" s="2">
        <v>1.4918569474949199E-3</v>
      </c>
      <c r="E17156" s="2">
        <v>3.4831069313827898E-4</v>
      </c>
      <c r="F17156" s="2">
        <v>2.4558699069036302E-3</v>
      </c>
    </row>
    <row r="17157" spans="1:6" x14ac:dyDescent="0.25">
      <c r="A17157" s="1" t="str">
        <f t="shared" si="645"/>
        <v>29180</v>
      </c>
      <c r="B17157" s="1" t="str">
        <f>"70508"</f>
        <v>70508</v>
      </c>
      <c r="C17157" s="2">
        <v>8.4872593154144596E-2</v>
      </c>
      <c r="D17157" s="2">
        <v>0.11976296050723099</v>
      </c>
      <c r="E17157" s="2">
        <v>0.16736328805294301</v>
      </c>
      <c r="F17157" s="2">
        <v>8.9843277717325504E-2</v>
      </c>
    </row>
    <row r="17158" spans="1:6" x14ac:dyDescent="0.25">
      <c r="A17158" s="1" t="str">
        <f t="shared" si="645"/>
        <v>29180</v>
      </c>
      <c r="B17158" s="1" t="str">
        <f>"70507"</f>
        <v>70507</v>
      </c>
      <c r="C17158" s="2">
        <v>3.4859603320286703E-2</v>
      </c>
      <c r="D17158" s="2">
        <v>2.2833699390825E-2</v>
      </c>
      <c r="E17158" s="2">
        <v>3.7617554858934102E-2</v>
      </c>
      <c r="F17158" s="2">
        <v>3.3822996010155898E-2</v>
      </c>
    </row>
    <row r="17159" spans="1:6" x14ac:dyDescent="0.25">
      <c r="A17159" s="1" t="str">
        <f t="shared" si="645"/>
        <v>29180</v>
      </c>
      <c r="B17159" s="1" t="str">
        <f>"70582"</f>
        <v>70582</v>
      </c>
      <c r="C17159" s="2">
        <v>3.7615151682928803E-2</v>
      </c>
      <c r="D17159" s="2">
        <v>1.8358128548340302E-2</v>
      </c>
      <c r="E17159" s="2">
        <v>1.7589690003483101E-2</v>
      </c>
      <c r="F17159" s="2">
        <v>3.54249788417361E-2</v>
      </c>
    </row>
    <row r="17160" spans="1:6" x14ac:dyDescent="0.25">
      <c r="A17160" s="1" t="str">
        <f t="shared" si="645"/>
        <v>29180</v>
      </c>
      <c r="B17160" s="1" t="str">
        <f>"70552"</f>
        <v>70552</v>
      </c>
      <c r="C17160" s="2">
        <v>1.31601923347203E-3</v>
      </c>
      <c r="D17160" s="2">
        <v>5.3872611992872201E-4</v>
      </c>
      <c r="E17160" s="2">
        <v>3.4831069313827898E-4</v>
      </c>
      <c r="F17160" s="2">
        <v>1.2241566920565799E-3</v>
      </c>
    </row>
    <row r="17161" spans="1:6" x14ac:dyDescent="0.25">
      <c r="A17161" s="1" t="str">
        <f t="shared" si="645"/>
        <v>29180</v>
      </c>
      <c r="B17161" s="1" t="str">
        <f>"70533"</f>
        <v>70533</v>
      </c>
      <c r="C17161" s="2">
        <v>1.42291917767963E-2</v>
      </c>
      <c r="D17161" s="2">
        <v>6.2575110853259203E-3</v>
      </c>
      <c r="E17161" s="2">
        <v>1.74155346569139E-3</v>
      </c>
      <c r="F17161" s="2">
        <v>1.32314714061177E-2</v>
      </c>
    </row>
    <row r="17162" spans="1:6" x14ac:dyDescent="0.25">
      <c r="A17162" s="1" t="str">
        <f t="shared" si="645"/>
        <v>29180</v>
      </c>
      <c r="B17162" s="1" t="str">
        <f>"70509"</f>
        <v>70509</v>
      </c>
      <c r="C17162" s="2">
        <v>7.7555696574516898E-3</v>
      </c>
      <c r="D17162" s="2">
        <v>2.1797687621731301E-2</v>
      </c>
      <c r="E17162" s="2">
        <v>3.4831069313827898E-4</v>
      </c>
      <c r="F17162" s="2">
        <v>8.8751360174102196E-3</v>
      </c>
    </row>
    <row r="17163" spans="1:6" x14ac:dyDescent="0.25">
      <c r="A17163" s="1" t="str">
        <f t="shared" si="645"/>
        <v>29180</v>
      </c>
      <c r="B17163" s="1" t="str">
        <f>"70516"</f>
        <v>70516</v>
      </c>
      <c r="C17163" s="2">
        <v>2.5766719619759802E-3</v>
      </c>
      <c r="D17163" s="2">
        <v>4.55845178401226E-4</v>
      </c>
      <c r="E17163" s="2">
        <v>8.7077673284569805E-4</v>
      </c>
      <c r="F17163" s="2">
        <v>2.3463003264417798E-3</v>
      </c>
    </row>
    <row r="17164" spans="1:6" x14ac:dyDescent="0.25">
      <c r="A17164" s="1" t="str">
        <f t="shared" si="645"/>
        <v>29180</v>
      </c>
      <c r="B17164" s="1" t="str">
        <f>"70575"</f>
        <v>70575</v>
      </c>
      <c r="C17164" s="2">
        <v>0</v>
      </c>
      <c r="D17164" s="2">
        <v>0</v>
      </c>
      <c r="E17164" s="2">
        <v>1.74155346569139E-4</v>
      </c>
      <c r="F17164" s="2">
        <v>3.77826139523636E-6</v>
      </c>
    </row>
    <row r="17165" spans="1:6" x14ac:dyDescent="0.25">
      <c r="A17165" s="1" t="str">
        <f t="shared" si="645"/>
        <v>29180</v>
      </c>
      <c r="B17165" s="1" t="str">
        <f>"70556"</f>
        <v>70556</v>
      </c>
      <c r="C17165" s="2">
        <v>1.7035847682485798E-5</v>
      </c>
      <c r="D17165" s="2">
        <v>4.1440470763747798E-5</v>
      </c>
      <c r="E17165" s="2">
        <v>1.74155346569139E-4</v>
      </c>
      <c r="F17165" s="2">
        <v>2.2669568371418201E-5</v>
      </c>
    </row>
    <row r="17166" spans="1:6" x14ac:dyDescent="0.25">
      <c r="A17166" s="1" t="str">
        <f t="shared" si="645"/>
        <v>29180</v>
      </c>
      <c r="B17166" s="1" t="str">
        <f>"70504"</f>
        <v>70504</v>
      </c>
      <c r="C17166" s="2">
        <v>0</v>
      </c>
      <c r="D17166" s="2">
        <v>0</v>
      </c>
      <c r="E17166" s="2">
        <v>3.4831069313827898E-4</v>
      </c>
      <c r="F17166" s="2">
        <v>7.5565227904727302E-6</v>
      </c>
    </row>
    <row r="17167" spans="1:6" x14ac:dyDescent="0.25">
      <c r="A17167" s="1" t="str">
        <f t="shared" si="645"/>
        <v>29180</v>
      </c>
      <c r="B17167" s="1" t="str">
        <f>"70531"</f>
        <v>70531</v>
      </c>
      <c r="C17167" s="2">
        <v>2.3253932086593201E-3</v>
      </c>
      <c r="D17167" s="2">
        <v>6.6304753221996596E-4</v>
      </c>
      <c r="E17167" s="2">
        <v>6.9662138627655796E-4</v>
      </c>
      <c r="F17167" s="2">
        <v>2.1384959497037798E-3</v>
      </c>
    </row>
    <row r="17168" spans="1:6" x14ac:dyDescent="0.25">
      <c r="A17168" s="1" t="str">
        <f t="shared" si="645"/>
        <v>29180</v>
      </c>
      <c r="B17168" s="1" t="str">
        <f>"70380"</f>
        <v>70380</v>
      </c>
      <c r="C17168" s="2">
        <v>2.5553771523728801E-3</v>
      </c>
      <c r="D17168" s="2">
        <v>7.0448800298371296E-4</v>
      </c>
      <c r="E17168" s="2">
        <v>4.0055729710902098E-3</v>
      </c>
      <c r="F17168" s="2">
        <v>2.4180872929512702E-3</v>
      </c>
    </row>
    <row r="17169" spans="1:6" x14ac:dyDescent="0.25">
      <c r="A17169" s="1" t="str">
        <f t="shared" si="645"/>
        <v>29180</v>
      </c>
      <c r="B17169" s="1" t="str">
        <f>"70537"</f>
        <v>70537</v>
      </c>
      <c r="C17169" s="2">
        <v>1.0732584039966E-3</v>
      </c>
      <c r="D17169" s="2">
        <v>3.7296423687372998E-4</v>
      </c>
      <c r="E17169" s="2">
        <v>1.74155346569139E-4</v>
      </c>
      <c r="F17169" s="2">
        <v>9.8990448555192809E-4</v>
      </c>
    </row>
    <row r="17170" spans="1:6" x14ac:dyDescent="0.25">
      <c r="A17170" s="1" t="str">
        <f t="shared" si="645"/>
        <v>29180</v>
      </c>
      <c r="B17170" s="1" t="str">
        <f>"70505"</f>
        <v>70505</v>
      </c>
      <c r="C17170" s="2">
        <v>4.59967887427118E-3</v>
      </c>
      <c r="D17170" s="2">
        <v>4.2725125357424003E-2</v>
      </c>
      <c r="E17170" s="2">
        <v>3.4831069313827898E-4</v>
      </c>
      <c r="F17170" s="2">
        <v>7.9834663281344396E-3</v>
      </c>
    </row>
    <row r="17171" spans="1:6" x14ac:dyDescent="0.25">
      <c r="A17171" s="1" t="str">
        <f t="shared" si="645"/>
        <v>29180</v>
      </c>
      <c r="B17171" s="1" t="str">
        <f>"70534"</f>
        <v>70534</v>
      </c>
      <c r="C17171" s="2">
        <v>8.8586407948926498E-4</v>
      </c>
      <c r="D17171" s="2">
        <v>1.2432141229124299E-4</v>
      </c>
      <c r="E17171" s="2">
        <v>1.74155346569139E-4</v>
      </c>
      <c r="F17171" s="2">
        <v>8.0099141579011005E-4</v>
      </c>
    </row>
    <row r="17172" spans="1:6" x14ac:dyDescent="0.25">
      <c r="A17172" s="1" t="str">
        <f t="shared" si="645"/>
        <v>29180</v>
      </c>
      <c r="B17172" s="1" t="str">
        <f>"70518"</f>
        <v>70518</v>
      </c>
      <c r="C17172" s="2">
        <v>3.6260801792171102E-2</v>
      </c>
      <c r="D17172" s="2">
        <v>6.4357051096100404E-2</v>
      </c>
      <c r="E17172" s="2">
        <v>3.8140020898641498E-2</v>
      </c>
      <c r="F17172" s="2">
        <v>3.8863196711401198E-2</v>
      </c>
    </row>
    <row r="17173" spans="1:6" x14ac:dyDescent="0.25">
      <c r="A17173" s="1" t="str">
        <f t="shared" si="645"/>
        <v>29180</v>
      </c>
      <c r="B17173" s="1" t="str">
        <f>"70563"</f>
        <v>70563</v>
      </c>
      <c r="C17173" s="2">
        <v>3.48681212441279E-2</v>
      </c>
      <c r="D17173" s="2">
        <v>1.44212838257842E-2</v>
      </c>
      <c r="E17173" s="2">
        <v>1.67189132706374E-2</v>
      </c>
      <c r="F17173" s="2">
        <v>3.2610174102284999E-2</v>
      </c>
    </row>
    <row r="17174" spans="1:6" x14ac:dyDescent="0.25">
      <c r="A17174" s="1" t="str">
        <f t="shared" si="645"/>
        <v>29180</v>
      </c>
      <c r="B17174" s="1" t="str">
        <f>"70578"</f>
        <v>70578</v>
      </c>
      <c r="C17174" s="2">
        <v>3.2998436960975097E-2</v>
      </c>
      <c r="D17174" s="2">
        <v>1.77779619576478E-2</v>
      </c>
      <c r="E17174" s="2">
        <v>1.8808777429466999E-2</v>
      </c>
      <c r="F17174" s="2">
        <v>3.13028956595333E-2</v>
      </c>
    </row>
    <row r="17175" spans="1:6" x14ac:dyDescent="0.25">
      <c r="A17175" s="1" t="str">
        <f t="shared" si="645"/>
        <v>29180</v>
      </c>
      <c r="B17175" s="1" t="str">
        <f>"70510"</f>
        <v>70510</v>
      </c>
      <c r="C17175" s="2">
        <v>4.92974842311934E-2</v>
      </c>
      <c r="D17175" s="2">
        <v>4.5211553603248897E-2</v>
      </c>
      <c r="E17175" s="2">
        <v>2.6123301985370901E-2</v>
      </c>
      <c r="F17175" s="2">
        <v>4.8422198041349201E-2</v>
      </c>
    </row>
    <row r="17176" spans="1:6" x14ac:dyDescent="0.25">
      <c r="A17176" s="1" t="str">
        <f t="shared" si="645"/>
        <v>29180</v>
      </c>
      <c r="B17176" s="1" t="str">
        <f>"70517"</f>
        <v>70517</v>
      </c>
      <c r="C17176" s="2">
        <v>4.9961882290810403E-2</v>
      </c>
      <c r="D17176" s="2">
        <v>2.4035473042973699E-2</v>
      </c>
      <c r="E17176" s="2">
        <v>2.0027864855451001E-2</v>
      </c>
      <c r="F17176" s="2">
        <v>4.6948676097207098E-2</v>
      </c>
    </row>
    <row r="17177" spans="1:6" x14ac:dyDescent="0.25">
      <c r="A17177" s="1" t="str">
        <f t="shared" si="645"/>
        <v>29180</v>
      </c>
      <c r="B17177" s="1" t="str">
        <f>"70525"</f>
        <v>70525</v>
      </c>
      <c r="C17177" s="2">
        <v>1.9263284766970801E-2</v>
      </c>
      <c r="D17177" s="2">
        <v>1.0525879573991899E-2</v>
      </c>
      <c r="E17177" s="2">
        <v>1.3235806339254599E-2</v>
      </c>
      <c r="F17177" s="2">
        <v>1.8335902551082001E-2</v>
      </c>
    </row>
    <row r="17178" spans="1:6" x14ac:dyDescent="0.25">
      <c r="A17178" s="1" t="str">
        <f t="shared" si="645"/>
        <v>29180</v>
      </c>
      <c r="B17178" s="1" t="str">
        <f>"70501"</f>
        <v>70501</v>
      </c>
      <c r="C17178" s="2">
        <v>5.8773674504576198E-2</v>
      </c>
      <c r="D17178" s="2">
        <v>7.2893788073432497E-2</v>
      </c>
      <c r="E17178" s="2">
        <v>8.4117032392894406E-2</v>
      </c>
      <c r="F17178" s="2">
        <v>6.0610869302381798E-2</v>
      </c>
    </row>
    <row r="17179" spans="1:6" x14ac:dyDescent="0.25">
      <c r="A17179" s="1" t="str">
        <f t="shared" si="645"/>
        <v>29180</v>
      </c>
      <c r="B17179" s="1" t="str">
        <f>"70583"</f>
        <v>70583</v>
      </c>
      <c r="C17179" s="2">
        <v>2.7785467570134399E-2</v>
      </c>
      <c r="D17179" s="2">
        <v>3.36496622601632E-2</v>
      </c>
      <c r="E17179" s="2">
        <v>1.34099616858237E-2</v>
      </c>
      <c r="F17179" s="2">
        <v>2.8008251722887099E-2</v>
      </c>
    </row>
    <row r="17180" spans="1:6" x14ac:dyDescent="0.25">
      <c r="A17180" s="1" t="str">
        <f t="shared" si="645"/>
        <v>29180</v>
      </c>
      <c r="B17180" s="1" t="str">
        <f>"70519"</f>
        <v>70519</v>
      </c>
      <c r="C17180" s="2">
        <v>4.2589619206214598E-6</v>
      </c>
      <c r="D17180" s="2">
        <v>0</v>
      </c>
      <c r="E17180" s="2">
        <v>1.74155346569139E-4</v>
      </c>
      <c r="F17180" s="2">
        <v>7.5565227904727302E-6</v>
      </c>
    </row>
    <row r="17181" spans="1:6" x14ac:dyDescent="0.25">
      <c r="A17181" s="1" t="str">
        <f t="shared" si="645"/>
        <v>29180</v>
      </c>
      <c r="B17181" s="1" t="str">
        <f>"70596"</f>
        <v>70596</v>
      </c>
      <c r="C17181" s="2">
        <v>7.5042909041350197E-3</v>
      </c>
      <c r="D17181" s="2">
        <v>2.1300401972566399E-2</v>
      </c>
      <c r="E17181" s="2">
        <v>3.4831069313827898E-4</v>
      </c>
      <c r="F17181" s="2">
        <v>8.6068794583484404E-3</v>
      </c>
    </row>
    <row r="17182" spans="1:6" x14ac:dyDescent="0.25">
      <c r="A17182" s="1" t="str">
        <f t="shared" si="645"/>
        <v>29180</v>
      </c>
      <c r="B17182" s="1" t="str">
        <f>"70528"</f>
        <v>70528</v>
      </c>
      <c r="C17182" s="2">
        <v>4.7913321606991499E-3</v>
      </c>
      <c r="D17182" s="2">
        <v>4.8485350793585E-3</v>
      </c>
      <c r="E17182" s="2">
        <v>4.8763497039359099E-3</v>
      </c>
      <c r="F17182" s="2">
        <v>4.79839197195018E-3</v>
      </c>
    </row>
    <row r="17183" spans="1:6" x14ac:dyDescent="0.25">
      <c r="A17183" s="1" t="str">
        <f t="shared" si="645"/>
        <v>29180</v>
      </c>
      <c r="B17183" s="1" t="str">
        <f>"70529"</f>
        <v>70529</v>
      </c>
      <c r="C17183" s="2">
        <v>2.45401385866208E-2</v>
      </c>
      <c r="D17183" s="2">
        <v>8.5781774480958098E-3</v>
      </c>
      <c r="E17183" s="2">
        <v>4.9982584465342997E-2</v>
      </c>
      <c r="F17183" s="2">
        <v>2.3636803288598698E-2</v>
      </c>
    </row>
    <row r="17184" spans="1:6" x14ac:dyDescent="0.25">
      <c r="A17184" s="1" t="str">
        <f t="shared" si="645"/>
        <v>29180</v>
      </c>
      <c r="B17184" s="1" t="str">
        <f>"70544"</f>
        <v>70544</v>
      </c>
      <c r="C17184" s="2">
        <v>1.6043509554981E-2</v>
      </c>
      <c r="D17184" s="2">
        <v>8.2880941527495693E-3</v>
      </c>
      <c r="E17184" s="2">
        <v>2.0898641588296699E-2</v>
      </c>
      <c r="F17184" s="2">
        <v>1.5441754322331001E-2</v>
      </c>
    </row>
    <row r="17185" spans="1:6" x14ac:dyDescent="0.25">
      <c r="A17185" s="1" t="str">
        <f t="shared" ref="A17185:A17203" si="646">"29180"</f>
        <v>29180</v>
      </c>
      <c r="B17185" s="1" t="str">
        <f>"70548"</f>
        <v>70548</v>
      </c>
      <c r="C17185" s="2">
        <v>2.07624393630296E-2</v>
      </c>
      <c r="D17185" s="2">
        <v>1.2059176992250601E-2</v>
      </c>
      <c r="E17185" s="2">
        <v>5.7471264367815996E-3</v>
      </c>
      <c r="F17185" s="2">
        <v>1.96431809938338E-2</v>
      </c>
    </row>
    <row r="17186" spans="1:6" x14ac:dyDescent="0.25">
      <c r="A17186" s="1" t="str">
        <f t="shared" si="646"/>
        <v>29180</v>
      </c>
      <c r="B17186" s="1" t="str">
        <f>"70555"</f>
        <v>70555</v>
      </c>
      <c r="C17186" s="2">
        <v>1.7585253770246001E-2</v>
      </c>
      <c r="D17186" s="2">
        <v>9.9871534540632301E-3</v>
      </c>
      <c r="E17186" s="2">
        <v>3.1347962382445101E-3</v>
      </c>
      <c r="F17186" s="2">
        <v>1.6579011002297101E-2</v>
      </c>
    </row>
    <row r="17187" spans="1:6" x14ac:dyDescent="0.25">
      <c r="A17187" s="1" t="str">
        <f t="shared" si="646"/>
        <v>29180</v>
      </c>
      <c r="B17187" s="1" t="str">
        <f>"70502"</f>
        <v>70502</v>
      </c>
      <c r="C17187" s="2">
        <v>5.9156981077432098E-3</v>
      </c>
      <c r="D17187" s="2">
        <v>2.2253532800132599E-2</v>
      </c>
      <c r="E17187" s="2">
        <v>3.4831069313827898E-4</v>
      </c>
      <c r="F17187" s="2">
        <v>7.2844879700157102E-3</v>
      </c>
    </row>
    <row r="17188" spans="1:6" x14ac:dyDescent="0.25">
      <c r="A17188" s="1" t="str">
        <f t="shared" si="646"/>
        <v>29180</v>
      </c>
      <c r="B17188" s="1" t="str">
        <f>"70503"</f>
        <v>70503</v>
      </c>
      <c r="C17188" s="2">
        <v>5.5553899292586403E-2</v>
      </c>
      <c r="D17188" s="2">
        <v>9.6556296879532502E-2</v>
      </c>
      <c r="E17188" s="2">
        <v>7.2796934865900303E-2</v>
      </c>
      <c r="F17188" s="2">
        <v>5.9666303953572697E-2</v>
      </c>
    </row>
    <row r="17189" spans="1:6" x14ac:dyDescent="0.25">
      <c r="A17189" s="1" t="str">
        <f t="shared" si="646"/>
        <v>29180</v>
      </c>
      <c r="B17189" s="1" t="str">
        <f>"70592"</f>
        <v>70592</v>
      </c>
      <c r="C17189" s="2">
        <v>5.3339239093863199E-2</v>
      </c>
      <c r="D17189" s="2">
        <v>2.6148937051924899E-2</v>
      </c>
      <c r="E17189" s="2">
        <v>4.3712991988853998E-2</v>
      </c>
      <c r="F17189" s="2">
        <v>5.0651372264538697E-2</v>
      </c>
    </row>
    <row r="17190" spans="1:6" x14ac:dyDescent="0.25">
      <c r="A17190" s="1" t="str">
        <f t="shared" si="646"/>
        <v>29180</v>
      </c>
      <c r="B17190" s="1" t="str">
        <f>"70558"</f>
        <v>70558</v>
      </c>
      <c r="C17190" s="2">
        <v>1.7930229685816301E-3</v>
      </c>
      <c r="D17190" s="2">
        <v>2.4864282458248702E-3</v>
      </c>
      <c r="E17190" s="2">
        <v>1.74155346569139E-4</v>
      </c>
      <c r="F17190" s="2">
        <v>1.82112199250392E-3</v>
      </c>
    </row>
    <row r="17191" spans="1:6" x14ac:dyDescent="0.25">
      <c r="A17191" s="1" t="str">
        <f t="shared" si="646"/>
        <v>29180</v>
      </c>
      <c r="B17191" s="1" t="str">
        <f>"70546"</f>
        <v>70546</v>
      </c>
      <c r="C17191" s="2">
        <v>1.6908078824867201E-3</v>
      </c>
      <c r="D17191" s="2">
        <v>5.3872611992872201E-4</v>
      </c>
      <c r="E17191" s="2">
        <v>5.2246603970741896E-4</v>
      </c>
      <c r="F17191" s="2">
        <v>1.56042195623261E-3</v>
      </c>
    </row>
    <row r="17192" spans="1:6" x14ac:dyDescent="0.25">
      <c r="A17192" s="1" t="str">
        <f t="shared" si="646"/>
        <v>29180</v>
      </c>
      <c r="B17192" s="1" t="str">
        <f>"70598"</f>
        <v>70598</v>
      </c>
      <c r="C17192" s="2">
        <v>3.3560619934497101E-3</v>
      </c>
      <c r="D17192" s="2">
        <v>2.3206663627698802E-2</v>
      </c>
      <c r="E17192" s="2">
        <v>3.4831069313827898E-4</v>
      </c>
      <c r="F17192" s="2">
        <v>5.1006528835690901E-3</v>
      </c>
    </row>
    <row r="17193" spans="1:6" x14ac:dyDescent="0.25">
      <c r="A17193" s="1" t="str">
        <f t="shared" si="646"/>
        <v>29180</v>
      </c>
      <c r="B17193" s="1" t="str">
        <f>"70542"</f>
        <v>70542</v>
      </c>
      <c r="C17193" s="2">
        <v>6.3160405282816296E-3</v>
      </c>
      <c r="D17193" s="2">
        <v>5.2214993162322297E-3</v>
      </c>
      <c r="E17193" s="2">
        <v>3.4831069313827898E-4</v>
      </c>
      <c r="F17193" s="2">
        <v>6.0867791077257802E-3</v>
      </c>
    </row>
    <row r="17194" spans="1:6" x14ac:dyDescent="0.25">
      <c r="A17194" s="1" t="str">
        <f t="shared" si="646"/>
        <v>29180</v>
      </c>
      <c r="B17194" s="1" t="str">
        <f>"70559"</f>
        <v>70559</v>
      </c>
      <c r="C17194" s="2">
        <v>3.7095558328612901E-3</v>
      </c>
      <c r="D17194" s="2">
        <v>4.1440470763747802E-4</v>
      </c>
      <c r="E17194" s="2">
        <v>8.7077673284569805E-4</v>
      </c>
      <c r="F17194" s="2">
        <v>3.3475395961794201E-3</v>
      </c>
    </row>
    <row r="17195" spans="1:6" x14ac:dyDescent="0.25">
      <c r="A17195" s="1" t="str">
        <f t="shared" si="646"/>
        <v>29180</v>
      </c>
      <c r="B17195" s="1" t="str">
        <f>"70560"</f>
        <v>70560</v>
      </c>
      <c r="C17195" s="2">
        <v>7.7747349860944795E-2</v>
      </c>
      <c r="D17195" s="2">
        <v>8.9635738261986606E-2</v>
      </c>
      <c r="E17195" s="2">
        <v>0.134622082897944</v>
      </c>
      <c r="F17195" s="2">
        <v>8.0065137226453795E-2</v>
      </c>
    </row>
    <row r="17196" spans="1:6" x14ac:dyDescent="0.25">
      <c r="A17196" s="1" t="str">
        <f t="shared" si="646"/>
        <v>29180</v>
      </c>
      <c r="B17196" s="1" t="str">
        <f>"70562"</f>
        <v>70562</v>
      </c>
      <c r="C17196" s="2">
        <v>9.1312143578124207E-3</v>
      </c>
      <c r="D17196" s="2">
        <v>2.0595913969582599E-2</v>
      </c>
      <c r="E17196" s="2">
        <v>3.4831069313827898E-4</v>
      </c>
      <c r="F17196" s="2">
        <v>9.9859448676097202E-3</v>
      </c>
    </row>
    <row r="17197" spans="1:6" x14ac:dyDescent="0.25">
      <c r="A17197" s="1" t="str">
        <f t="shared" si="646"/>
        <v>29180</v>
      </c>
      <c r="B17197" s="1" t="str">
        <f>"70506"</f>
        <v>70506</v>
      </c>
      <c r="C17197" s="2">
        <v>8.7057440619423401E-2</v>
      </c>
      <c r="D17197" s="2">
        <v>7.17748953628113E-2</v>
      </c>
      <c r="E17197" s="2">
        <v>0.15917798676419301</v>
      </c>
      <c r="F17197" s="2">
        <v>8.7228720831821996E-2</v>
      </c>
    </row>
    <row r="17198" spans="1:6" x14ac:dyDescent="0.25">
      <c r="A17198" s="1" t="str">
        <f t="shared" si="646"/>
        <v>29180</v>
      </c>
      <c r="B17198" s="1" t="str">
        <f>"70520"</f>
        <v>70520</v>
      </c>
      <c r="C17198" s="2">
        <v>3.5438822141491202E-2</v>
      </c>
      <c r="D17198" s="2">
        <v>1.3136629232108E-2</v>
      </c>
      <c r="E17198" s="2">
        <v>1.30616509926854E-2</v>
      </c>
      <c r="F17198" s="2">
        <v>3.29199915366944E-2</v>
      </c>
    </row>
    <row r="17199" spans="1:6" x14ac:dyDescent="0.25">
      <c r="A17199" s="1" t="str">
        <f t="shared" si="646"/>
        <v>29180</v>
      </c>
      <c r="B17199" s="1" t="str">
        <f>"70526"</f>
        <v>70526</v>
      </c>
      <c r="C17199" s="2">
        <v>3.8624525658115999E-2</v>
      </c>
      <c r="D17199" s="2">
        <v>3.8788280634868E-2</v>
      </c>
      <c r="E17199" s="2">
        <v>1.86346220828979E-2</v>
      </c>
      <c r="F17199" s="2">
        <v>3.8205779228630103E-2</v>
      </c>
    </row>
    <row r="17200" spans="1:6" x14ac:dyDescent="0.25">
      <c r="A17200" s="1" t="str">
        <f t="shared" si="646"/>
        <v>29180</v>
      </c>
      <c r="B17200" s="1" t="str">
        <f>"70543"</f>
        <v>70543</v>
      </c>
      <c r="C17200" s="2">
        <v>5.5792401160141203E-3</v>
      </c>
      <c r="D17200" s="2">
        <v>9.1169035680245297E-4</v>
      </c>
      <c r="E17200" s="2">
        <v>1.91570881226053E-3</v>
      </c>
      <c r="F17200" s="2">
        <v>5.07420505380244E-3</v>
      </c>
    </row>
    <row r="17201" spans="1:6" x14ac:dyDescent="0.25">
      <c r="A17201" s="1" t="str">
        <f t="shared" si="646"/>
        <v>29180</v>
      </c>
      <c r="B17201" s="1" t="str">
        <f>"70512"</f>
        <v>70512</v>
      </c>
      <c r="C17201" s="2">
        <v>6.9761796259779603E-3</v>
      </c>
      <c r="D17201" s="2">
        <v>5.8016659069247E-4</v>
      </c>
      <c r="E17201" s="2">
        <v>3.4831069313827898E-4</v>
      </c>
      <c r="F17201" s="2">
        <v>6.2492443477209503E-3</v>
      </c>
    </row>
    <row r="17202" spans="1:6" x14ac:dyDescent="0.25">
      <c r="A17202" s="1" t="str">
        <f t="shared" si="646"/>
        <v>29180</v>
      </c>
      <c r="B17202" s="1" t="str">
        <f>"70535"</f>
        <v>70535</v>
      </c>
      <c r="C17202" s="2">
        <v>7.45744232300818E-3</v>
      </c>
      <c r="D17202" s="2">
        <v>2.52786871658862E-3</v>
      </c>
      <c r="E17202" s="2">
        <v>4.0055729710902098E-3</v>
      </c>
      <c r="F17202" s="2">
        <v>6.9331096602587303E-3</v>
      </c>
    </row>
    <row r="17203" spans="1:6" x14ac:dyDescent="0.25">
      <c r="A17203" s="1" t="str">
        <f t="shared" si="646"/>
        <v>29180</v>
      </c>
      <c r="B17203" s="1" t="str">
        <f>"70513"</f>
        <v>70513</v>
      </c>
      <c r="C17203" s="2">
        <v>0</v>
      </c>
      <c r="D17203" s="2">
        <v>4.1440470763747798E-5</v>
      </c>
      <c r="E17203" s="2">
        <v>0</v>
      </c>
      <c r="F17203" s="2">
        <v>3.77826139523636E-6</v>
      </c>
    </row>
    <row r="17204" spans="1:6" x14ac:dyDescent="0.25">
      <c r="A17204" s="1" t="str">
        <f t="shared" ref="A17204:A17235" si="647">"29200"</f>
        <v>29200</v>
      </c>
      <c r="B17204" s="1" t="str">
        <f>"47981"</f>
        <v>47981</v>
      </c>
      <c r="C17204" s="2">
        <v>3.1252170289603402E-3</v>
      </c>
      <c r="D17204" s="2">
        <v>1.44413811211763E-3</v>
      </c>
      <c r="E17204" s="2">
        <v>1.87195806813927E-4</v>
      </c>
      <c r="F17204" s="2">
        <v>2.8746747309937402E-3</v>
      </c>
    </row>
    <row r="17205" spans="1:6" x14ac:dyDescent="0.25">
      <c r="A17205" s="1" t="str">
        <f t="shared" si="647"/>
        <v>29200</v>
      </c>
      <c r="B17205" s="1" t="str">
        <f>"47924"</f>
        <v>47924</v>
      </c>
      <c r="C17205" s="2">
        <v>7.6394194041252798E-4</v>
      </c>
      <c r="D17205" s="2">
        <v>0</v>
      </c>
      <c r="E17205" s="2">
        <v>1.87195806813927E-4</v>
      </c>
      <c r="F17205" s="2">
        <v>6.8570222941135097E-4</v>
      </c>
    </row>
    <row r="17206" spans="1:6" x14ac:dyDescent="0.25">
      <c r="A17206" s="1" t="str">
        <f t="shared" si="647"/>
        <v>29200</v>
      </c>
      <c r="B17206" s="1" t="str">
        <f>"46979"</f>
        <v>46979</v>
      </c>
      <c r="C17206" s="2">
        <v>8.9291915113152596E-5</v>
      </c>
      <c r="D17206" s="2">
        <v>0</v>
      </c>
      <c r="E17206" s="2">
        <v>0</v>
      </c>
      <c r="F17206" s="2">
        <v>7.9119488009001996E-5</v>
      </c>
    </row>
    <row r="17207" spans="1:6" x14ac:dyDescent="0.25">
      <c r="A17207" s="1" t="str">
        <f t="shared" si="647"/>
        <v>29200</v>
      </c>
      <c r="B17207" s="1" t="str">
        <f>"46916"</f>
        <v>46916</v>
      </c>
      <c r="C17207" s="2">
        <v>0</v>
      </c>
      <c r="D17207" s="2">
        <v>0</v>
      </c>
      <c r="E17207" s="2">
        <v>1.87195806813927E-4</v>
      </c>
      <c r="F17207" s="2">
        <v>8.7910542232224402E-6</v>
      </c>
    </row>
    <row r="17208" spans="1:6" x14ac:dyDescent="0.25">
      <c r="A17208" s="1" t="str">
        <f t="shared" si="647"/>
        <v>29200</v>
      </c>
      <c r="B17208" s="1" t="str">
        <f>"47926"</f>
        <v>47926</v>
      </c>
      <c r="C17208" s="2">
        <v>1.24016548768267E-3</v>
      </c>
      <c r="D17208" s="2">
        <v>2.62570565839569E-4</v>
      </c>
      <c r="E17208" s="2">
        <v>1.87195806813927E-4</v>
      </c>
      <c r="F17208" s="2">
        <v>1.12525494057247E-3</v>
      </c>
    </row>
    <row r="17209" spans="1:6" x14ac:dyDescent="0.25">
      <c r="A17209" s="1" t="str">
        <f t="shared" si="647"/>
        <v>29200</v>
      </c>
      <c r="B17209" s="1" t="str">
        <f>"47995"</f>
        <v>47995</v>
      </c>
      <c r="C17209" s="2">
        <v>1.9842647802922799E-5</v>
      </c>
      <c r="D17209" s="2">
        <v>0</v>
      </c>
      <c r="E17209" s="2">
        <v>0</v>
      </c>
      <c r="F17209" s="2">
        <v>1.7582108446444799E-5</v>
      </c>
    </row>
    <row r="17210" spans="1:6" x14ac:dyDescent="0.25">
      <c r="A17210" s="1" t="str">
        <f t="shared" si="647"/>
        <v>29200</v>
      </c>
      <c r="B17210" s="1" t="str">
        <f>"47909"</f>
        <v>47909</v>
      </c>
      <c r="C17210" s="2">
        <v>0.180191084698342</v>
      </c>
      <c r="D17210" s="2">
        <v>8.2709728239464306E-2</v>
      </c>
      <c r="E17210" s="2">
        <v>0.13272182703107399</v>
      </c>
      <c r="F17210" s="2">
        <v>0.17143434840706001</v>
      </c>
    </row>
    <row r="17211" spans="1:6" x14ac:dyDescent="0.25">
      <c r="A17211" s="1" t="str">
        <f t="shared" si="647"/>
        <v>29200</v>
      </c>
      <c r="B17211" s="1" t="str">
        <f>"47986"</f>
        <v>47986</v>
      </c>
      <c r="C17211" s="2">
        <v>2.5795442143799601E-4</v>
      </c>
      <c r="D17211" s="2">
        <v>0</v>
      </c>
      <c r="E17211" s="2">
        <v>1.87195806813927E-4</v>
      </c>
      <c r="F17211" s="2">
        <v>2.3735846402700599E-4</v>
      </c>
    </row>
    <row r="17212" spans="1:6" x14ac:dyDescent="0.25">
      <c r="A17212" s="1" t="str">
        <f t="shared" si="647"/>
        <v>29200</v>
      </c>
      <c r="B17212" s="1" t="str">
        <f>"46913"</f>
        <v>46913</v>
      </c>
      <c r="C17212" s="2">
        <v>5.6948399194388403E-3</v>
      </c>
      <c r="D17212" s="2">
        <v>1.44413811211763E-3</v>
      </c>
      <c r="E17212" s="2">
        <v>3.74391613627854E-4</v>
      </c>
      <c r="F17212" s="2">
        <v>5.1603488290315703E-3</v>
      </c>
    </row>
    <row r="17213" spans="1:6" x14ac:dyDescent="0.25">
      <c r="A17213" s="1" t="str">
        <f t="shared" si="647"/>
        <v>29200</v>
      </c>
      <c r="B17213" s="1" t="str">
        <f>"47993"</f>
        <v>47993</v>
      </c>
      <c r="C17213" s="2">
        <v>1.75210580099808E-2</v>
      </c>
      <c r="D17213" s="2">
        <v>1.9298936589208299E-2</v>
      </c>
      <c r="E17213" s="2">
        <v>7.4878322725570896E-3</v>
      </c>
      <c r="F17213" s="2">
        <v>1.7168928897953399E-2</v>
      </c>
    </row>
    <row r="17214" spans="1:6" x14ac:dyDescent="0.25">
      <c r="A17214" s="1" t="str">
        <f t="shared" si="647"/>
        <v>29200</v>
      </c>
      <c r="B17214" s="1" t="str">
        <f>"47904"</f>
        <v>47904</v>
      </c>
      <c r="C17214" s="2">
        <v>7.5372297679402303E-2</v>
      </c>
      <c r="D17214" s="2">
        <v>0.119732178022843</v>
      </c>
      <c r="E17214" s="2">
        <v>8.9105204043429406E-2</v>
      </c>
      <c r="F17214" s="2">
        <v>7.8987622195653695E-2</v>
      </c>
    </row>
    <row r="17215" spans="1:6" x14ac:dyDescent="0.25">
      <c r="A17215" s="1" t="str">
        <f t="shared" si="647"/>
        <v>29200</v>
      </c>
      <c r="B17215" s="1" t="str">
        <f>"47905"</f>
        <v>47905</v>
      </c>
      <c r="C17215" s="2">
        <v>0.18961634240472999</v>
      </c>
      <c r="D17215" s="2">
        <v>0.26125771301037098</v>
      </c>
      <c r="E17215" s="2">
        <v>0.23792587046050101</v>
      </c>
      <c r="F17215" s="2">
        <v>0.196682256136155</v>
      </c>
    </row>
    <row r="17216" spans="1:6" x14ac:dyDescent="0.25">
      <c r="A17216" s="1" t="str">
        <f t="shared" si="647"/>
        <v>29200</v>
      </c>
      <c r="B17216" s="1" t="str">
        <f>"47960"</f>
        <v>47960</v>
      </c>
      <c r="C17216" s="2">
        <v>1.5794747651126501E-2</v>
      </c>
      <c r="D17216" s="2">
        <v>1.9692792437967701E-3</v>
      </c>
      <c r="E17216" s="2">
        <v>3.9311119430924697E-3</v>
      </c>
      <c r="F17216" s="2">
        <v>1.43118362754061E-2</v>
      </c>
    </row>
    <row r="17217" spans="1:6" x14ac:dyDescent="0.25">
      <c r="A17217" s="1" t="str">
        <f t="shared" si="647"/>
        <v>29200</v>
      </c>
      <c r="B17217" s="1" t="str">
        <f>"47930"</f>
        <v>47930</v>
      </c>
      <c r="C17217" s="2">
        <v>2.9367118748325699E-3</v>
      </c>
      <c r="D17217" s="2">
        <v>1.18156754627806E-3</v>
      </c>
      <c r="E17217" s="2">
        <v>2.0591538749531999E-3</v>
      </c>
      <c r="F17217" s="2">
        <v>2.7779731345382898E-3</v>
      </c>
    </row>
    <row r="17218" spans="1:6" x14ac:dyDescent="0.25">
      <c r="A17218" s="1" t="str">
        <f t="shared" si="647"/>
        <v>29200</v>
      </c>
      <c r="B17218" s="1" t="str">
        <f>"46923"</f>
        <v>46923</v>
      </c>
      <c r="C17218" s="2">
        <v>3.6272360183742899E-2</v>
      </c>
      <c r="D17218" s="2">
        <v>4.1880005251411299E-2</v>
      </c>
      <c r="E17218" s="2">
        <v>1.7222014226881299E-2</v>
      </c>
      <c r="F17218" s="2">
        <v>3.57532175258456E-2</v>
      </c>
    </row>
    <row r="17219" spans="1:6" x14ac:dyDescent="0.25">
      <c r="A17219" s="1" t="str">
        <f t="shared" si="647"/>
        <v>29200</v>
      </c>
      <c r="B17219" s="1" t="str">
        <f>"47967"</f>
        <v>47967</v>
      </c>
      <c r="C17219" s="2">
        <v>1.6866250632484301E-4</v>
      </c>
      <c r="D17219" s="2">
        <v>0</v>
      </c>
      <c r="E17219" s="2">
        <v>0</v>
      </c>
      <c r="F17219" s="2">
        <v>1.49447921794781E-4</v>
      </c>
    </row>
    <row r="17220" spans="1:6" x14ac:dyDescent="0.25">
      <c r="A17220" s="1" t="str">
        <f t="shared" si="647"/>
        <v>29200</v>
      </c>
      <c r="B17220" s="1" t="str">
        <f>"46947"</f>
        <v>46947</v>
      </c>
      <c r="C17220" s="2">
        <v>8.6315517942714198E-4</v>
      </c>
      <c r="D17220" s="2">
        <v>9.1899698043849205E-4</v>
      </c>
      <c r="E17220" s="2">
        <v>3.74391613627854E-4</v>
      </c>
      <c r="F17220" s="2">
        <v>8.4394120542935502E-4</v>
      </c>
    </row>
    <row r="17221" spans="1:6" x14ac:dyDescent="0.25">
      <c r="A17221" s="1" t="str">
        <f t="shared" si="647"/>
        <v>29200</v>
      </c>
      <c r="B17221" s="1" t="str">
        <f>"47907"</f>
        <v>47907</v>
      </c>
      <c r="C17221" s="2">
        <v>9.9213239014614097E-6</v>
      </c>
      <c r="D17221" s="2">
        <v>1.9824077720887401E-2</v>
      </c>
      <c r="E17221" s="2">
        <v>5.6158742044178198E-4</v>
      </c>
      <c r="F17221" s="2">
        <v>1.36261340459947E-3</v>
      </c>
    </row>
    <row r="17222" spans="1:6" x14ac:dyDescent="0.25">
      <c r="A17222" s="1" t="str">
        <f t="shared" si="647"/>
        <v>29200</v>
      </c>
      <c r="B17222" s="1" t="str">
        <f>"46058"</f>
        <v>46058</v>
      </c>
      <c r="C17222" s="2">
        <v>9.9213239014614104E-5</v>
      </c>
      <c r="D17222" s="2">
        <v>0</v>
      </c>
      <c r="E17222" s="2">
        <v>0</v>
      </c>
      <c r="F17222" s="2">
        <v>8.7910542232224402E-5</v>
      </c>
    </row>
    <row r="17223" spans="1:6" x14ac:dyDescent="0.25">
      <c r="A17223" s="1" t="str">
        <f t="shared" si="647"/>
        <v>29200</v>
      </c>
      <c r="B17223" s="1" t="str">
        <f>"47997"</f>
        <v>47997</v>
      </c>
      <c r="C17223" s="2">
        <v>5.1590884287599299E-4</v>
      </c>
      <c r="D17223" s="2">
        <v>6.56426414598923E-4</v>
      </c>
      <c r="E17223" s="2">
        <v>5.6158742044178198E-4</v>
      </c>
      <c r="F17223" s="2">
        <v>5.2746325339334595E-4</v>
      </c>
    </row>
    <row r="17224" spans="1:6" x14ac:dyDescent="0.25">
      <c r="A17224" s="1" t="str">
        <f t="shared" si="647"/>
        <v>29200</v>
      </c>
      <c r="B17224" s="1" t="str">
        <f>"47971"</f>
        <v>47971</v>
      </c>
      <c r="C17224" s="2">
        <v>6.7861855485995999E-3</v>
      </c>
      <c r="D17224" s="2">
        <v>3.6759879217539699E-3</v>
      </c>
      <c r="E17224" s="2">
        <v>4.6798951703481799E-3</v>
      </c>
      <c r="F17224" s="2">
        <v>6.47900696251494E-3</v>
      </c>
    </row>
    <row r="17225" spans="1:6" x14ac:dyDescent="0.25">
      <c r="A17225" s="1" t="str">
        <f t="shared" si="647"/>
        <v>29200</v>
      </c>
      <c r="B17225" s="1" t="str">
        <f>"47992"</f>
        <v>47992</v>
      </c>
      <c r="C17225" s="2">
        <v>5.8138958062563797E-3</v>
      </c>
      <c r="D17225" s="2">
        <v>6.56426414598923E-4</v>
      </c>
      <c r="E17225" s="2">
        <v>7.4878322725570898E-4</v>
      </c>
      <c r="F17225" s="2">
        <v>5.2306772628173499E-3</v>
      </c>
    </row>
    <row r="17226" spans="1:6" x14ac:dyDescent="0.25">
      <c r="A17226" s="1" t="str">
        <f t="shared" si="647"/>
        <v>29200</v>
      </c>
      <c r="B17226" s="1" t="str">
        <f>"47991"</f>
        <v>47991</v>
      </c>
      <c r="C17226" s="2">
        <v>3.71057513914656E-3</v>
      </c>
      <c r="D17226" s="2">
        <v>2.36313509255612E-3</v>
      </c>
      <c r="E17226" s="2">
        <v>2.62074129539498E-3</v>
      </c>
      <c r="F17226" s="2">
        <v>3.56916801462831E-3</v>
      </c>
    </row>
    <row r="17227" spans="1:6" x14ac:dyDescent="0.25">
      <c r="A17227" s="1" t="str">
        <f t="shared" si="647"/>
        <v>29200</v>
      </c>
      <c r="B17227" s="1" t="str">
        <f>"47923"</f>
        <v>47923</v>
      </c>
      <c r="C17227" s="2">
        <v>2.4208030319565802E-3</v>
      </c>
      <c r="D17227" s="2">
        <v>3.9385584875935401E-4</v>
      </c>
      <c r="E17227" s="2">
        <v>3.74391613627854E-4</v>
      </c>
      <c r="F17227" s="2">
        <v>2.1889725015823802E-3</v>
      </c>
    </row>
    <row r="17228" spans="1:6" x14ac:dyDescent="0.25">
      <c r="A17228" s="1" t="str">
        <f t="shared" si="647"/>
        <v>29200</v>
      </c>
      <c r="B17228" s="1" t="str">
        <f>"47975"</f>
        <v>47975</v>
      </c>
      <c r="C17228" s="2">
        <v>2.3513537646463502E-3</v>
      </c>
      <c r="D17228" s="2">
        <v>6.56426414598923E-4</v>
      </c>
      <c r="E17228" s="2">
        <v>9.3597903406963598E-4</v>
      </c>
      <c r="F17228" s="2">
        <v>2.1713903931359401E-3</v>
      </c>
    </row>
    <row r="17229" spans="1:6" x14ac:dyDescent="0.25">
      <c r="A17229" s="1" t="str">
        <f t="shared" si="647"/>
        <v>29200</v>
      </c>
      <c r="B17229" s="1" t="str">
        <f>"46915"</f>
        <v>46915</v>
      </c>
      <c r="C17229" s="2">
        <v>3.5815979284275598E-3</v>
      </c>
      <c r="D17229" s="2">
        <v>1.3128528291978399E-3</v>
      </c>
      <c r="E17229" s="2">
        <v>1.31037064769749E-3</v>
      </c>
      <c r="F17229" s="2">
        <v>3.3230184963780802E-3</v>
      </c>
    </row>
    <row r="17230" spans="1:6" x14ac:dyDescent="0.25">
      <c r="A17230" s="1" t="str">
        <f t="shared" si="647"/>
        <v>29200</v>
      </c>
      <c r="B17230" s="1" t="str">
        <f>"47906"</f>
        <v>47906</v>
      </c>
      <c r="C17230" s="2">
        <v>0.29832428839304298</v>
      </c>
      <c r="D17230" s="2">
        <v>0.137193120651175</v>
      </c>
      <c r="E17230" s="2">
        <v>0.34238113066267301</v>
      </c>
      <c r="F17230" s="2">
        <v>0.28960369927561702</v>
      </c>
    </row>
    <row r="17231" spans="1:6" x14ac:dyDescent="0.25">
      <c r="A17231" s="1" t="str">
        <f t="shared" si="647"/>
        <v>29200</v>
      </c>
      <c r="B17231" s="1" t="str">
        <f>"47918"</f>
        <v>47918</v>
      </c>
      <c r="C17231" s="2">
        <v>5.9527943408768397E-3</v>
      </c>
      <c r="D17231" s="2">
        <v>2.8882762242352601E-3</v>
      </c>
      <c r="E17231" s="2">
        <v>0</v>
      </c>
      <c r="F17231" s="2">
        <v>5.4680357268443603E-3</v>
      </c>
    </row>
    <row r="17232" spans="1:6" x14ac:dyDescent="0.25">
      <c r="A17232" s="1" t="str">
        <f t="shared" si="647"/>
        <v>29200</v>
      </c>
      <c r="B17232" s="1" t="str">
        <f>"47903"</f>
        <v>47903</v>
      </c>
      <c r="C17232" s="2">
        <v>1.7580585953389599E-2</v>
      </c>
      <c r="D17232" s="2">
        <v>5.2382827884994002E-2</v>
      </c>
      <c r="E17232" s="2">
        <v>3.74391613627854E-4</v>
      </c>
      <c r="F17232" s="2">
        <v>1.9102960827062299E-2</v>
      </c>
    </row>
    <row r="17233" spans="1:6" x14ac:dyDescent="0.25">
      <c r="A17233" s="1" t="str">
        <f t="shared" si="647"/>
        <v>29200</v>
      </c>
      <c r="B17233" s="1" t="str">
        <f>"47962"</f>
        <v>47962</v>
      </c>
      <c r="C17233" s="2">
        <v>0</v>
      </c>
      <c r="D17233" s="2">
        <v>0</v>
      </c>
      <c r="E17233" s="2">
        <v>1.87195806813927E-4</v>
      </c>
      <c r="F17233" s="2">
        <v>8.7910542232224402E-6</v>
      </c>
    </row>
    <row r="17234" spans="1:6" x14ac:dyDescent="0.25">
      <c r="A17234" s="1" t="str">
        <f t="shared" si="647"/>
        <v>29200</v>
      </c>
      <c r="B17234" s="1" t="str">
        <f>"46977"</f>
        <v>46977</v>
      </c>
      <c r="C17234" s="2">
        <v>3.3732501264968699E-4</v>
      </c>
      <c r="D17234" s="2">
        <v>2.62570565839569E-4</v>
      </c>
      <c r="E17234" s="2">
        <v>1.87195806813927E-4</v>
      </c>
      <c r="F17234" s="2">
        <v>3.2526900625923E-4</v>
      </c>
    </row>
    <row r="17235" spans="1:6" x14ac:dyDescent="0.25">
      <c r="A17235" s="1" t="str">
        <f t="shared" si="647"/>
        <v>29200</v>
      </c>
      <c r="B17235" s="1" t="str">
        <f>"47932"</f>
        <v>47932</v>
      </c>
      <c r="C17235" s="2">
        <v>2.6192295099858099E-3</v>
      </c>
      <c r="D17235" s="2">
        <v>1.9692792437967701E-3</v>
      </c>
      <c r="E17235" s="2">
        <v>1.87195806813927E-4</v>
      </c>
      <c r="F17235" s="2">
        <v>2.46149518250228E-3</v>
      </c>
    </row>
    <row r="17236" spans="1:6" x14ac:dyDescent="0.25">
      <c r="A17236" s="1" t="str">
        <f t="shared" ref="A17236:A17256" si="648">"29200"</f>
        <v>29200</v>
      </c>
      <c r="B17236" s="1" t="str">
        <f>"47941"</f>
        <v>47941</v>
      </c>
      <c r="C17236" s="2">
        <v>4.23640530592402E-3</v>
      </c>
      <c r="D17236" s="2">
        <v>1.9692792437967701E-3</v>
      </c>
      <c r="E17236" s="2">
        <v>1.5724447772369799E-2</v>
      </c>
      <c r="F17236" s="2">
        <v>4.6240945214150002E-3</v>
      </c>
    </row>
    <row r="17237" spans="1:6" x14ac:dyDescent="0.25">
      <c r="A17237" s="1" t="str">
        <f t="shared" si="648"/>
        <v>29200</v>
      </c>
      <c r="B17237" s="1" t="str">
        <f>"47996"</f>
        <v>47996</v>
      </c>
      <c r="C17237" s="2">
        <v>7.1830385046580602E-3</v>
      </c>
      <c r="D17237" s="2">
        <v>4.1486149402651898E-2</v>
      </c>
      <c r="E17237" s="2">
        <v>3.74391613627854E-4</v>
      </c>
      <c r="F17237" s="2">
        <v>9.1602785005977898E-3</v>
      </c>
    </row>
    <row r="17238" spans="1:6" x14ac:dyDescent="0.25">
      <c r="A17238" s="1" t="str">
        <f t="shared" si="648"/>
        <v>29200</v>
      </c>
      <c r="B17238" s="1" t="str">
        <f>"46041"</f>
        <v>46041</v>
      </c>
      <c r="C17238" s="2">
        <v>7.34177968708144E-4</v>
      </c>
      <c r="D17238" s="2">
        <v>6.56426414598923E-4</v>
      </c>
      <c r="E17238" s="2">
        <v>1.87195806813927E-4</v>
      </c>
      <c r="F17238" s="2">
        <v>7.03284337857795E-4</v>
      </c>
    </row>
    <row r="17239" spans="1:6" x14ac:dyDescent="0.25">
      <c r="A17239" s="1" t="str">
        <f t="shared" si="648"/>
        <v>29200</v>
      </c>
      <c r="B17239" s="1" t="str">
        <f>"46920"</f>
        <v>46920</v>
      </c>
      <c r="C17239" s="2">
        <v>4.37530384054448E-3</v>
      </c>
      <c r="D17239" s="2">
        <v>3.9385584875935401E-4</v>
      </c>
      <c r="E17239" s="2">
        <v>1.87195806813927E-4</v>
      </c>
      <c r="F17239" s="2">
        <v>3.9120191293339802E-3</v>
      </c>
    </row>
    <row r="17240" spans="1:6" x14ac:dyDescent="0.25">
      <c r="A17240" s="1" t="str">
        <f t="shared" si="648"/>
        <v>29200</v>
      </c>
      <c r="B17240" s="1" t="str">
        <f>"47901"</f>
        <v>47901</v>
      </c>
      <c r="C17240" s="2">
        <v>2.5835127439405501E-2</v>
      </c>
      <c r="D17240" s="2">
        <v>9.5969541814362597E-2</v>
      </c>
      <c r="E17240" s="2">
        <v>0.110445526020217</v>
      </c>
      <c r="F17240" s="2">
        <v>3.4504887826148099E-2</v>
      </c>
    </row>
    <row r="17241" spans="1:6" x14ac:dyDescent="0.25">
      <c r="A17241" s="1" t="str">
        <f t="shared" si="648"/>
        <v>29200</v>
      </c>
      <c r="B17241" s="1" t="str">
        <f>"47920"</f>
        <v>47920</v>
      </c>
      <c r="C17241" s="2">
        <v>9.7427400712350992E-3</v>
      </c>
      <c r="D17241" s="2">
        <v>3.5447026388341798E-3</v>
      </c>
      <c r="E17241" s="2">
        <v>3.3695245226506901E-3</v>
      </c>
      <c r="F17241" s="2">
        <v>9.0284126872494496E-3</v>
      </c>
    </row>
    <row r="17242" spans="1:6" x14ac:dyDescent="0.25">
      <c r="A17242" s="1" t="str">
        <f t="shared" si="648"/>
        <v>29200</v>
      </c>
      <c r="B17242" s="1" t="str">
        <f>"47902"</f>
        <v>47902</v>
      </c>
      <c r="C17242" s="2">
        <v>7.9172164733661999E-3</v>
      </c>
      <c r="D17242" s="2">
        <v>3.8991729027176E-2</v>
      </c>
      <c r="E17242" s="2">
        <v>3.74391613627854E-4</v>
      </c>
      <c r="F17242" s="2">
        <v>9.6437864828750192E-3</v>
      </c>
    </row>
    <row r="17243" spans="1:6" x14ac:dyDescent="0.25">
      <c r="A17243" s="1" t="str">
        <f t="shared" si="648"/>
        <v>29200</v>
      </c>
      <c r="B17243" s="1" t="str">
        <f>"47942"</f>
        <v>47942</v>
      </c>
      <c r="C17243" s="2">
        <v>2.9367118748325699E-3</v>
      </c>
      <c r="D17243" s="2">
        <v>2.36313509255612E-3</v>
      </c>
      <c r="E17243" s="2">
        <v>9.3597903406963598E-4</v>
      </c>
      <c r="F17243" s="2">
        <v>2.8043462972079602E-3</v>
      </c>
    </row>
    <row r="17244" spans="1:6" x14ac:dyDescent="0.25">
      <c r="A17244" s="1" t="str">
        <f t="shared" si="648"/>
        <v>29200</v>
      </c>
      <c r="B17244" s="1" t="str">
        <f>"46065"</f>
        <v>46065</v>
      </c>
      <c r="C17244" s="2">
        <v>3.5220699850188001E-3</v>
      </c>
      <c r="D17244" s="2">
        <v>1.0502822633582699E-3</v>
      </c>
      <c r="E17244" s="2">
        <v>5.6158742044178198E-4</v>
      </c>
      <c r="F17244" s="2">
        <v>3.21752584569941E-3</v>
      </c>
    </row>
    <row r="17245" spans="1:6" x14ac:dyDescent="0.25">
      <c r="A17245" s="1" t="str">
        <f t="shared" si="648"/>
        <v>29200</v>
      </c>
      <c r="B17245" s="1" t="str">
        <f>"47944"</f>
        <v>47944</v>
      </c>
      <c r="C17245" s="2">
        <v>1.6588453563243399E-2</v>
      </c>
      <c r="D17245" s="2">
        <v>2.5600630169357999E-2</v>
      </c>
      <c r="E17245" s="2">
        <v>7.4878322725570896E-3</v>
      </c>
      <c r="F17245" s="2">
        <v>1.6764540403685201E-2</v>
      </c>
    </row>
    <row r="17246" spans="1:6" x14ac:dyDescent="0.25">
      <c r="A17246" s="1" t="str">
        <f t="shared" si="648"/>
        <v>29200</v>
      </c>
      <c r="B17246" s="1" t="str">
        <f>"47982"</f>
        <v>47982</v>
      </c>
      <c r="C17246" s="2">
        <v>0</v>
      </c>
      <c r="D17246" s="2">
        <v>0</v>
      </c>
      <c r="E17246" s="2">
        <v>1.87195806813927E-4</v>
      </c>
      <c r="F17246" s="2">
        <v>8.7910542232224402E-6</v>
      </c>
    </row>
    <row r="17247" spans="1:6" x14ac:dyDescent="0.25">
      <c r="A17247" s="1" t="str">
        <f t="shared" si="648"/>
        <v>29200</v>
      </c>
      <c r="B17247" s="1" t="str">
        <f>"47977"</f>
        <v>47977</v>
      </c>
      <c r="C17247" s="2">
        <v>1.06158165745637E-3</v>
      </c>
      <c r="D17247" s="2">
        <v>2.62570565839569E-4</v>
      </c>
      <c r="E17247" s="2">
        <v>1.87195806813927E-4</v>
      </c>
      <c r="F17247" s="2">
        <v>9.6701596455446895E-4</v>
      </c>
    </row>
    <row r="17248" spans="1:6" x14ac:dyDescent="0.25">
      <c r="A17248" s="1" t="str">
        <f t="shared" si="648"/>
        <v>29200</v>
      </c>
      <c r="B17248" s="1" t="str">
        <f>"47955"</f>
        <v>47955</v>
      </c>
      <c r="C17248" s="2">
        <v>1.28977210718998E-4</v>
      </c>
      <c r="D17248" s="2">
        <v>0</v>
      </c>
      <c r="E17248" s="2">
        <v>0</v>
      </c>
      <c r="F17248" s="2">
        <v>1.14283704901891E-4</v>
      </c>
    </row>
    <row r="17249" spans="1:6" x14ac:dyDescent="0.25">
      <c r="A17249" s="1" t="str">
        <f t="shared" si="648"/>
        <v>29200</v>
      </c>
      <c r="B17249" s="1" t="str">
        <f>"47950"</f>
        <v>47950</v>
      </c>
      <c r="C17249" s="2">
        <v>1.9842647802922799E-4</v>
      </c>
      <c r="D17249" s="2">
        <v>0</v>
      </c>
      <c r="E17249" s="2">
        <v>0</v>
      </c>
      <c r="F17249" s="2">
        <v>1.7582108446444799E-4</v>
      </c>
    </row>
    <row r="17250" spans="1:6" x14ac:dyDescent="0.25">
      <c r="A17250" s="1" t="str">
        <f t="shared" si="648"/>
        <v>29200</v>
      </c>
      <c r="B17250" s="1" t="str">
        <f>"47921"</f>
        <v>47921</v>
      </c>
      <c r="C17250" s="2">
        <v>4.8812913595190103E-3</v>
      </c>
      <c r="D17250" s="2">
        <v>3.6759879217539699E-3</v>
      </c>
      <c r="E17250" s="2">
        <v>2.2463496817671201E-3</v>
      </c>
      <c r="F17250" s="2">
        <v>4.6768408467543401E-3</v>
      </c>
    </row>
    <row r="17251" spans="1:6" x14ac:dyDescent="0.25">
      <c r="A17251" s="1" t="str">
        <f t="shared" si="648"/>
        <v>29200</v>
      </c>
      <c r="B17251" s="1" t="str">
        <f>"47948"</f>
        <v>47948</v>
      </c>
      <c r="C17251" s="2">
        <v>2.0834780193068901E-4</v>
      </c>
      <c r="D17251" s="2">
        <v>5.2514113167913799E-4</v>
      </c>
      <c r="E17251" s="2">
        <v>0</v>
      </c>
      <c r="F17251" s="2">
        <v>2.1977635558056101E-4</v>
      </c>
    </row>
    <row r="17252" spans="1:6" x14ac:dyDescent="0.25">
      <c r="A17252" s="1" t="str">
        <f t="shared" si="648"/>
        <v>29200</v>
      </c>
      <c r="B17252" s="1" t="str">
        <f>"47983"</f>
        <v>47983</v>
      </c>
      <c r="C17252" s="2">
        <v>2.9763971704384199E-5</v>
      </c>
      <c r="D17252" s="2">
        <v>0</v>
      </c>
      <c r="E17252" s="2">
        <v>1.87195806813927E-4</v>
      </c>
      <c r="F17252" s="2">
        <v>3.51642168928897E-5</v>
      </c>
    </row>
    <row r="17253" spans="1:6" x14ac:dyDescent="0.25">
      <c r="A17253" s="1" t="str">
        <f t="shared" si="648"/>
        <v>29200</v>
      </c>
      <c r="B17253" s="1" t="str">
        <f>"47970"</f>
        <v>47970</v>
      </c>
      <c r="C17253" s="2">
        <v>6.5877590705703702E-3</v>
      </c>
      <c r="D17253" s="2">
        <v>1.7067086779572001E-3</v>
      </c>
      <c r="E17253" s="2">
        <v>1.31037064769749E-3</v>
      </c>
      <c r="F17253" s="2">
        <v>6.0130810886841503E-3</v>
      </c>
    </row>
    <row r="17254" spans="1:6" x14ac:dyDescent="0.25">
      <c r="A17254" s="1" t="str">
        <f t="shared" si="648"/>
        <v>29200</v>
      </c>
      <c r="B17254" s="1" t="str">
        <f>"46917"</f>
        <v>46917</v>
      </c>
      <c r="C17254" s="2">
        <v>7.6592620519281996E-3</v>
      </c>
      <c r="D17254" s="2">
        <v>3.4134173559144001E-3</v>
      </c>
      <c r="E17254" s="2">
        <v>9.3597903406963598E-4</v>
      </c>
      <c r="F17254" s="2">
        <v>7.0592165412476197E-3</v>
      </c>
    </row>
    <row r="17255" spans="1:6" x14ac:dyDescent="0.25">
      <c r="A17255" s="1" t="str">
        <f t="shared" si="648"/>
        <v>29200</v>
      </c>
      <c r="B17255" s="1" t="str">
        <f>"47917"</f>
        <v>47917</v>
      </c>
      <c r="C17255" s="2">
        <v>2.0636353715039698E-3</v>
      </c>
      <c r="D17255" s="2">
        <v>9.1899698043849205E-4</v>
      </c>
      <c r="E17255" s="2">
        <v>5.6158742044178198E-4</v>
      </c>
      <c r="F17255" s="2">
        <v>1.91644982066249E-3</v>
      </c>
    </row>
    <row r="17256" spans="1:6" x14ac:dyDescent="0.25">
      <c r="A17256" s="1" t="str">
        <f t="shared" si="648"/>
        <v>29200</v>
      </c>
      <c r="B17256" s="1" t="str">
        <f>"46929"</f>
        <v>46929</v>
      </c>
      <c r="C17256" s="2">
        <v>1.40783586161737E-2</v>
      </c>
      <c r="D17256" s="2">
        <v>2.1136930550085298E-2</v>
      </c>
      <c r="E17256" s="2">
        <v>7.4878322725570896E-3</v>
      </c>
      <c r="F17256" s="2">
        <v>1.42415078416203E-2</v>
      </c>
    </row>
    <row r="17257" spans="1:6" x14ac:dyDescent="0.25">
      <c r="A17257" s="1" t="str">
        <f t="shared" ref="A17257:A17265" si="649">"29260"</f>
        <v>29260</v>
      </c>
      <c r="B17257" s="1" t="str">
        <f>"97886"</f>
        <v>97886</v>
      </c>
      <c r="C17257" s="2">
        <v>2.5529742149604199E-4</v>
      </c>
      <c r="D17257" s="2">
        <v>0</v>
      </c>
      <c r="E17257" s="2">
        <v>0</v>
      </c>
      <c r="F17257" s="2">
        <v>2.2663745561683101E-4</v>
      </c>
    </row>
    <row r="17258" spans="1:6" x14ac:dyDescent="0.25">
      <c r="A17258" s="1" t="str">
        <f t="shared" si="649"/>
        <v>29260</v>
      </c>
      <c r="B17258" s="1" t="str">
        <f>"97883"</f>
        <v>97883</v>
      </c>
      <c r="C17258" s="2">
        <v>8.2375968002723093E-2</v>
      </c>
      <c r="D17258" s="2">
        <v>6.9790628115652996E-3</v>
      </c>
      <c r="E17258" s="2">
        <v>1.0351966873706001E-2</v>
      </c>
      <c r="F17258" s="2">
        <v>7.4034902168164898E-2</v>
      </c>
    </row>
    <row r="17259" spans="1:6" x14ac:dyDescent="0.25">
      <c r="A17259" s="1" t="str">
        <f t="shared" si="649"/>
        <v>29260</v>
      </c>
      <c r="B17259" s="1" t="str">
        <f>"97841"</f>
        <v>97841</v>
      </c>
      <c r="C17259" s="2">
        <v>8.1695174878733696E-3</v>
      </c>
      <c r="D17259" s="2">
        <v>1.9940179461615101E-3</v>
      </c>
      <c r="E17259" s="2">
        <v>2.0703933747412001E-3</v>
      </c>
      <c r="F17259" s="2">
        <v>7.4790360353554396E-3</v>
      </c>
    </row>
    <row r="17260" spans="1:6" x14ac:dyDescent="0.25">
      <c r="A17260" s="1" t="str">
        <f t="shared" si="649"/>
        <v>29260</v>
      </c>
      <c r="B17260" s="1" t="str">
        <f>"97814"</f>
        <v>97814</v>
      </c>
      <c r="C17260" s="2">
        <v>2.2976767934643799E-3</v>
      </c>
      <c r="D17260" s="2">
        <v>0</v>
      </c>
      <c r="E17260" s="2">
        <v>0</v>
      </c>
      <c r="F17260" s="2">
        <v>2.0397371005514801E-3</v>
      </c>
    </row>
    <row r="17261" spans="1:6" x14ac:dyDescent="0.25">
      <c r="A17261" s="1" t="str">
        <f t="shared" si="649"/>
        <v>29260</v>
      </c>
      <c r="B17261" s="1" t="str">
        <f>"97850"</f>
        <v>97850</v>
      </c>
      <c r="C17261" s="2">
        <v>0.68726065866734698</v>
      </c>
      <c r="D17261" s="2">
        <v>0.94616151545363902</v>
      </c>
      <c r="E17261" s="2">
        <v>0.91511387163560998</v>
      </c>
      <c r="F17261" s="2">
        <v>0.71519226410818104</v>
      </c>
    </row>
    <row r="17262" spans="1:6" x14ac:dyDescent="0.25">
      <c r="A17262" s="1" t="str">
        <f t="shared" si="649"/>
        <v>29260</v>
      </c>
      <c r="B17262" s="1" t="str">
        <f>"97876"</f>
        <v>97876</v>
      </c>
      <c r="C17262" s="2">
        <v>3.1486681984511898E-2</v>
      </c>
      <c r="D17262" s="2">
        <v>1.9940179461615101E-3</v>
      </c>
      <c r="E17262" s="2">
        <v>0</v>
      </c>
      <c r="F17262" s="2">
        <v>2.8103044496487099E-2</v>
      </c>
    </row>
    <row r="17263" spans="1:6" x14ac:dyDescent="0.25">
      <c r="A17263" s="1" t="str">
        <f t="shared" si="649"/>
        <v>29260</v>
      </c>
      <c r="B17263" s="1" t="str">
        <f>"97827"</f>
        <v>97827</v>
      </c>
      <c r="C17263" s="2">
        <v>9.7778912432984394E-2</v>
      </c>
      <c r="D17263" s="2">
        <v>2.39282153539381E-2</v>
      </c>
      <c r="E17263" s="2">
        <v>5.1759834368530003E-2</v>
      </c>
      <c r="F17263" s="2">
        <v>9.0503890609654705E-2</v>
      </c>
    </row>
    <row r="17264" spans="1:6" x14ac:dyDescent="0.25">
      <c r="A17264" s="1" t="str">
        <f t="shared" si="649"/>
        <v>29260</v>
      </c>
      <c r="B17264" s="1" t="str">
        <f>"97867"</f>
        <v>97867</v>
      </c>
      <c r="C17264" s="2">
        <v>2.7231724959577899E-2</v>
      </c>
      <c r="D17264" s="2">
        <v>2.9910269192422699E-3</v>
      </c>
      <c r="E17264" s="2">
        <v>2.0703933747412001E-3</v>
      </c>
      <c r="F17264" s="2">
        <v>2.44768452066178E-2</v>
      </c>
    </row>
    <row r="17265" spans="1:6" x14ac:dyDescent="0.25">
      <c r="A17265" s="1" t="str">
        <f t="shared" si="649"/>
        <v>29260</v>
      </c>
      <c r="B17265" s="1" t="str">
        <f>"97824"</f>
        <v>97824</v>
      </c>
      <c r="C17265" s="2">
        <v>6.3143562250021198E-2</v>
      </c>
      <c r="D17265" s="2">
        <v>1.5952143569292102E-2</v>
      </c>
      <c r="E17265" s="2">
        <v>1.8633540372670801E-2</v>
      </c>
      <c r="F17265" s="2">
        <v>5.7943642819369902E-2</v>
      </c>
    </row>
    <row r="17266" spans="1:6" x14ac:dyDescent="0.25">
      <c r="A17266" s="1" t="str">
        <f t="shared" ref="A17266:A17283" si="650">"29300"</f>
        <v>29300</v>
      </c>
      <c r="B17266" s="1" t="str">
        <f>"30261"</f>
        <v>30261</v>
      </c>
      <c r="C17266" s="2">
        <v>3.4397307393571699E-3</v>
      </c>
      <c r="D17266" s="2">
        <v>3.9292730844793701E-4</v>
      </c>
      <c r="E17266" s="2">
        <v>6.5189048239895598E-4</v>
      </c>
      <c r="F17266" s="2">
        <v>3.1137764011993801E-3</v>
      </c>
    </row>
    <row r="17267" spans="1:6" x14ac:dyDescent="0.25">
      <c r="A17267" s="1" t="str">
        <f t="shared" si="650"/>
        <v>29300</v>
      </c>
      <c r="B17267" s="1" t="str">
        <f>"36855"</f>
        <v>36855</v>
      </c>
      <c r="C17267" s="2">
        <v>1.8104819321670299E-2</v>
      </c>
      <c r="D17267" s="2">
        <v>5.5009823182711097E-3</v>
      </c>
      <c r="E17267" s="2">
        <v>7.8226857887874791E-3</v>
      </c>
      <c r="F17267" s="2">
        <v>1.6788032554614599E-2</v>
      </c>
    </row>
    <row r="17268" spans="1:6" x14ac:dyDescent="0.25">
      <c r="A17268" s="1" t="str">
        <f t="shared" si="650"/>
        <v>29300</v>
      </c>
      <c r="B17268" s="1" t="str">
        <f>"36274"</f>
        <v>36274</v>
      </c>
      <c r="C17268" s="2">
        <v>6.3616525502089702E-3</v>
      </c>
      <c r="D17268" s="2">
        <v>4.1257367387033299E-3</v>
      </c>
      <c r="E17268" s="2">
        <v>1.9556714471968698E-3</v>
      </c>
      <c r="F17268" s="2">
        <v>6.0628027282612204E-3</v>
      </c>
    </row>
    <row r="17269" spans="1:6" x14ac:dyDescent="0.25">
      <c r="A17269" s="1" t="str">
        <f t="shared" si="650"/>
        <v>29300</v>
      </c>
      <c r="B17269" s="1" t="str">
        <f>"36801"</f>
        <v>36801</v>
      </c>
      <c r="C17269" s="2">
        <v>2.5890446425269002E-3</v>
      </c>
      <c r="D17269" s="2">
        <v>1.9646365422396799E-4</v>
      </c>
      <c r="E17269" s="2">
        <v>6.5189048239895598E-4</v>
      </c>
      <c r="F17269" s="2">
        <v>2.3394510527529702E-3</v>
      </c>
    </row>
    <row r="17270" spans="1:6" x14ac:dyDescent="0.25">
      <c r="A17270" s="1" t="str">
        <f t="shared" si="650"/>
        <v>29300</v>
      </c>
      <c r="B17270" s="1" t="str">
        <f>"36852"</f>
        <v>36852</v>
      </c>
      <c r="C17270" s="2">
        <v>5.7328845655952899E-3</v>
      </c>
      <c r="D17270" s="2">
        <v>4.1257367387033299E-3</v>
      </c>
      <c r="E17270" s="2">
        <v>1.9556714471968698E-3</v>
      </c>
      <c r="F17270" s="2">
        <v>5.50265247619361E-3</v>
      </c>
    </row>
    <row r="17271" spans="1:6" x14ac:dyDescent="0.25">
      <c r="A17271" s="1" t="str">
        <f t="shared" si="650"/>
        <v>29300</v>
      </c>
      <c r="B17271" s="1" t="str">
        <f>"36850"</f>
        <v>36850</v>
      </c>
      <c r="C17271" s="2">
        <v>3.3657580352849702E-3</v>
      </c>
      <c r="D17271" s="2">
        <v>1.57170923379174E-3</v>
      </c>
      <c r="E17271" s="2">
        <v>1.30378096479791E-3</v>
      </c>
      <c r="F17271" s="2">
        <v>3.1632014234406398E-3</v>
      </c>
    </row>
    <row r="17272" spans="1:6" x14ac:dyDescent="0.25">
      <c r="A17272" s="1" t="str">
        <f t="shared" si="650"/>
        <v>29300</v>
      </c>
      <c r="B17272" s="1" t="str">
        <f>"36276"</f>
        <v>36276</v>
      </c>
      <c r="C17272" s="2">
        <v>3.6431556755557098E-3</v>
      </c>
      <c r="D17272" s="2">
        <v>1.3752455795677701E-3</v>
      </c>
      <c r="E17272" s="2">
        <v>0</v>
      </c>
      <c r="F17272" s="2">
        <v>3.3609015124056799E-3</v>
      </c>
    </row>
    <row r="17273" spans="1:6" x14ac:dyDescent="0.25">
      <c r="A17273" s="1" t="str">
        <f t="shared" si="650"/>
        <v>29300</v>
      </c>
      <c r="B17273" s="1" t="str">
        <f>"31822"</f>
        <v>31822</v>
      </c>
      <c r="C17273" s="2">
        <v>1.4554129526204799E-2</v>
      </c>
      <c r="D17273" s="2">
        <v>3.5363457760314299E-3</v>
      </c>
      <c r="E17273" s="2">
        <v>1.30378096479791E-3</v>
      </c>
      <c r="F17273" s="2">
        <v>1.32953309828989E-2</v>
      </c>
    </row>
    <row r="17274" spans="1:6" x14ac:dyDescent="0.25">
      <c r="A17274" s="1" t="str">
        <f t="shared" si="650"/>
        <v>29300</v>
      </c>
      <c r="B17274" s="1" t="str">
        <f>"30220"</f>
        <v>30220</v>
      </c>
      <c r="C17274" s="2">
        <v>1.8493176018049298E-5</v>
      </c>
      <c r="D17274" s="2">
        <v>0</v>
      </c>
      <c r="E17274" s="2">
        <v>0</v>
      </c>
      <c r="F17274" s="2">
        <v>1.6475007413753301E-5</v>
      </c>
    </row>
    <row r="17275" spans="1:6" x14ac:dyDescent="0.25">
      <c r="A17275" s="1" t="str">
        <f t="shared" si="650"/>
        <v>29300</v>
      </c>
      <c r="B17275" s="1" t="str">
        <f>"30240"</f>
        <v>30240</v>
      </c>
      <c r="C17275" s="2">
        <v>0.24479417095091899</v>
      </c>
      <c r="D17275" s="2">
        <v>0.288605108055009</v>
      </c>
      <c r="E17275" s="2">
        <v>0.34615384615384598</v>
      </c>
      <c r="F17275" s="2">
        <v>0.25102968796335901</v>
      </c>
    </row>
    <row r="17276" spans="1:6" x14ac:dyDescent="0.25">
      <c r="A17276" s="1" t="str">
        <f t="shared" si="650"/>
        <v>29300</v>
      </c>
      <c r="B17276" s="1" t="str">
        <f>"36863"</f>
        <v>36863</v>
      </c>
      <c r="C17276" s="2">
        <v>0.13113511114398699</v>
      </c>
      <c r="D17276" s="2">
        <v>0.106876227897838</v>
      </c>
      <c r="E17276" s="2">
        <v>0.10039113428943899</v>
      </c>
      <c r="F17276" s="2">
        <v>0.12832383274572401</v>
      </c>
    </row>
    <row r="17277" spans="1:6" x14ac:dyDescent="0.25">
      <c r="A17277" s="1" t="str">
        <f t="shared" si="650"/>
        <v>29300</v>
      </c>
      <c r="B17277" s="1" t="str">
        <f>"36879"</f>
        <v>36879</v>
      </c>
      <c r="C17277" s="2">
        <v>6.50959795835336E-3</v>
      </c>
      <c r="D17277" s="2">
        <v>2.3575638506876202E-3</v>
      </c>
      <c r="E17277" s="2">
        <v>1.9556714471968698E-3</v>
      </c>
      <c r="F17277" s="2">
        <v>6.04632772084747E-3</v>
      </c>
    </row>
    <row r="17278" spans="1:6" x14ac:dyDescent="0.25">
      <c r="A17278" s="1" t="str">
        <f t="shared" si="650"/>
        <v>29300</v>
      </c>
      <c r="B17278" s="1" t="str">
        <f>"31833"</f>
        <v>31833</v>
      </c>
      <c r="C17278" s="2">
        <v>4.1461700632466597E-2</v>
      </c>
      <c r="D17278" s="2">
        <v>6.2868369351669895E-2</v>
      </c>
      <c r="E17278" s="2">
        <v>0.108865710560625</v>
      </c>
      <c r="F17278" s="2">
        <v>4.4960295232132803E-2</v>
      </c>
    </row>
    <row r="17279" spans="1:6" x14ac:dyDescent="0.25">
      <c r="A17279" s="1" t="str">
        <f t="shared" si="650"/>
        <v>29300</v>
      </c>
      <c r="B17279" s="1" t="str">
        <f>"30241"</f>
        <v>30241</v>
      </c>
      <c r="C17279" s="2">
        <v>0.26356474460923901</v>
      </c>
      <c r="D17279" s="2">
        <v>0.31355599214145302</v>
      </c>
      <c r="E17279" s="2">
        <v>0.161668839634941</v>
      </c>
      <c r="F17279" s="2">
        <v>0.26518171933177298</v>
      </c>
    </row>
    <row r="17280" spans="1:6" x14ac:dyDescent="0.25">
      <c r="A17280" s="1" t="str">
        <f t="shared" si="650"/>
        <v>29300</v>
      </c>
      <c r="B17280" s="1" t="str">
        <f>"36862"</f>
        <v>36862</v>
      </c>
      <c r="C17280" s="2">
        <v>6.4411732070865799E-2</v>
      </c>
      <c r="D17280" s="2">
        <v>5.4027504911591299E-2</v>
      </c>
      <c r="E17280" s="2">
        <v>7.1056062581486307E-2</v>
      </c>
      <c r="F17280" s="2">
        <v>6.37088536689841E-2</v>
      </c>
    </row>
    <row r="17281" spans="1:6" x14ac:dyDescent="0.25">
      <c r="A17281" s="1" t="str">
        <f t="shared" si="650"/>
        <v>29300</v>
      </c>
      <c r="B17281" s="1" t="str">
        <f>"36854"</f>
        <v>36854</v>
      </c>
      <c r="C17281" s="2">
        <v>0.12114879609424101</v>
      </c>
      <c r="D17281" s="2">
        <v>0.102750491159135</v>
      </c>
      <c r="E17281" s="2">
        <v>5.4758800521512302E-2</v>
      </c>
      <c r="F17281" s="2">
        <v>0.11792810306764601</v>
      </c>
    </row>
    <row r="17282" spans="1:6" x14ac:dyDescent="0.25">
      <c r="A17282" s="1" t="str">
        <f t="shared" si="650"/>
        <v>29300</v>
      </c>
      <c r="B17282" s="1" t="str">
        <f>"30217"</f>
        <v>30217</v>
      </c>
      <c r="C17282" s="2">
        <v>5.9178163257757798E-4</v>
      </c>
      <c r="D17282" s="2">
        <v>1.9646365422396799E-4</v>
      </c>
      <c r="E17282" s="2">
        <v>0</v>
      </c>
      <c r="F17282" s="2">
        <v>5.4367524465385997E-4</v>
      </c>
    </row>
    <row r="17283" spans="1:6" x14ac:dyDescent="0.25">
      <c r="A17283" s="1" t="str">
        <f t="shared" si="650"/>
        <v>29300</v>
      </c>
      <c r="B17283" s="1" t="str">
        <f>"30230"</f>
        <v>30230</v>
      </c>
      <c r="C17283" s="2">
        <v>6.8572696674926895E-2</v>
      </c>
      <c r="D17283" s="2">
        <v>4.7937131630648298E-2</v>
      </c>
      <c r="E17283" s="2">
        <v>0.13950456323337601</v>
      </c>
      <c r="F17283" s="2">
        <v>6.8634880885696303E-2</v>
      </c>
    </row>
    <row r="17284" spans="1:6" x14ac:dyDescent="0.25">
      <c r="A17284" s="1" t="str">
        <f t="shared" ref="A17284:A17309" si="651">"29340"</f>
        <v>29340</v>
      </c>
      <c r="B17284" s="1" t="str">
        <f>"70542"</f>
        <v>70542</v>
      </c>
      <c r="C17284" s="2">
        <v>9.5437530113783703E-4</v>
      </c>
      <c r="D17284" s="2">
        <v>7.1979434447300703E-4</v>
      </c>
      <c r="E17284" s="2">
        <v>0</v>
      </c>
      <c r="F17284" s="2">
        <v>9.1599493704616597E-4</v>
      </c>
    </row>
    <row r="17285" spans="1:6" x14ac:dyDescent="0.25">
      <c r="A17285" s="1" t="str">
        <f t="shared" si="651"/>
        <v>29340</v>
      </c>
      <c r="B17285" s="1" t="str">
        <f>"70630"</f>
        <v>70630</v>
      </c>
      <c r="C17285" s="2">
        <v>4.7348133871983897E-3</v>
      </c>
      <c r="D17285" s="2">
        <v>1.7480719794344399E-3</v>
      </c>
      <c r="E17285" s="2">
        <v>4.1000410004100001E-4</v>
      </c>
      <c r="F17285" s="2">
        <v>4.4051029245220103E-3</v>
      </c>
    </row>
    <row r="17286" spans="1:6" x14ac:dyDescent="0.25">
      <c r="A17286" s="1" t="str">
        <f t="shared" si="651"/>
        <v>29340</v>
      </c>
      <c r="B17286" s="1" t="str">
        <f>"70549"</f>
        <v>70549</v>
      </c>
      <c r="C17286" s="2">
        <v>3.3356806641710799E-4</v>
      </c>
      <c r="D17286" s="2">
        <v>2.05655526992287E-4</v>
      </c>
      <c r="E17286" s="2">
        <v>0</v>
      </c>
      <c r="F17286" s="2">
        <v>3.1643461461594802E-4</v>
      </c>
    </row>
    <row r="17287" spans="1:6" x14ac:dyDescent="0.25">
      <c r="A17287" s="1" t="str">
        <f t="shared" si="651"/>
        <v>29340</v>
      </c>
      <c r="B17287" s="1" t="str">
        <f>"70668"</f>
        <v>70668</v>
      </c>
      <c r="C17287" s="2">
        <v>2.7695415292242599E-2</v>
      </c>
      <c r="D17287" s="2">
        <v>1.6658097686375301E-2</v>
      </c>
      <c r="E17287" s="2">
        <v>1.6810168101681001E-2</v>
      </c>
      <c r="F17287" s="2">
        <v>2.65805076277396E-2</v>
      </c>
    </row>
    <row r="17288" spans="1:6" x14ac:dyDescent="0.25">
      <c r="A17288" s="1" t="str">
        <f t="shared" si="651"/>
        <v>29340</v>
      </c>
      <c r="B17288" s="1" t="str">
        <f>"70616"</f>
        <v>70616</v>
      </c>
      <c r="C17288" s="2">
        <v>9.83099217968199E-3</v>
      </c>
      <c r="D17288" s="2">
        <v>1.67609254498714E-2</v>
      </c>
      <c r="E17288" s="2">
        <v>8.2000820008200001E-4</v>
      </c>
      <c r="F17288" s="2">
        <v>1.0209179934714501E-2</v>
      </c>
    </row>
    <row r="17289" spans="1:6" x14ac:dyDescent="0.25">
      <c r="A17289" s="1" t="str">
        <f t="shared" si="651"/>
        <v>29340</v>
      </c>
      <c r="B17289" s="1" t="str">
        <f>"70657"</f>
        <v>70657</v>
      </c>
      <c r="C17289" s="2">
        <v>5.3741521811645195E-4</v>
      </c>
      <c r="D17289" s="2">
        <v>0</v>
      </c>
      <c r="E17289" s="2">
        <v>0</v>
      </c>
      <c r="F17289" s="2">
        <v>4.8297914862434203E-4</v>
      </c>
    </row>
    <row r="17290" spans="1:6" x14ac:dyDescent="0.25">
      <c r="A17290" s="1" t="str">
        <f t="shared" si="651"/>
        <v>29340</v>
      </c>
      <c r="B17290" s="1" t="str">
        <f>"70631"</f>
        <v>70631</v>
      </c>
      <c r="C17290" s="2">
        <v>7.7647233238204603E-3</v>
      </c>
      <c r="D17290" s="2">
        <v>8.3290488431876607E-3</v>
      </c>
      <c r="E17290" s="2">
        <v>8.6100861008609995E-3</v>
      </c>
      <c r="F17290" s="2">
        <v>7.8275930983945103E-3</v>
      </c>
    </row>
    <row r="17291" spans="1:6" x14ac:dyDescent="0.25">
      <c r="A17291" s="1" t="str">
        <f t="shared" si="651"/>
        <v>29340</v>
      </c>
      <c r="B17291" s="1" t="str">
        <f>"70612"</f>
        <v>70612</v>
      </c>
      <c r="C17291" s="2">
        <v>1.10448093102553E-2</v>
      </c>
      <c r="D17291" s="2">
        <v>1.7686375321336701E-2</v>
      </c>
      <c r="E17291" s="2">
        <v>8.2000820008200001E-4</v>
      </c>
      <c r="F17291" s="2">
        <v>1.1374991672773199E-2</v>
      </c>
    </row>
    <row r="17292" spans="1:6" x14ac:dyDescent="0.25">
      <c r="A17292" s="1" t="str">
        <f t="shared" si="651"/>
        <v>29340</v>
      </c>
      <c r="B17292" s="1" t="str">
        <f>"70663"</f>
        <v>70663</v>
      </c>
      <c r="C17292" s="2">
        <v>0.124495015010562</v>
      </c>
      <c r="D17292" s="2">
        <v>0.111053984575835</v>
      </c>
      <c r="E17292" s="2">
        <v>0.16482164821648199</v>
      </c>
      <c r="F17292" s="2">
        <v>0.12422556791686</v>
      </c>
    </row>
    <row r="17293" spans="1:6" x14ac:dyDescent="0.25">
      <c r="A17293" s="1" t="str">
        <f t="shared" si="651"/>
        <v>29340</v>
      </c>
      <c r="B17293" s="1" t="str">
        <f>"70611"</f>
        <v>70611</v>
      </c>
      <c r="C17293" s="2">
        <v>8.3206701011823106E-2</v>
      </c>
      <c r="D17293" s="2">
        <v>3.5372750642673499E-2</v>
      </c>
      <c r="E17293" s="2">
        <v>7.5030750307503002E-2</v>
      </c>
      <c r="F17293" s="2">
        <v>7.9166944240890005E-2</v>
      </c>
    </row>
    <row r="17294" spans="1:6" x14ac:dyDescent="0.25">
      <c r="A17294" s="1" t="str">
        <f t="shared" si="651"/>
        <v>29340</v>
      </c>
      <c r="B17294" s="1" t="str">
        <f>"70669"</f>
        <v>70669</v>
      </c>
      <c r="C17294" s="2">
        <v>4.8867721730106298E-2</v>
      </c>
      <c r="D17294" s="2">
        <v>4.7609254498714601E-2</v>
      </c>
      <c r="E17294" s="2">
        <v>3.6900369003690002E-2</v>
      </c>
      <c r="F17294" s="2">
        <v>4.8522749983345499E-2</v>
      </c>
    </row>
    <row r="17295" spans="1:6" x14ac:dyDescent="0.25">
      <c r="A17295" s="1" t="str">
        <f t="shared" si="651"/>
        <v>29340</v>
      </c>
      <c r="B17295" s="1" t="str">
        <f>"70629"</f>
        <v>70629</v>
      </c>
      <c r="C17295" s="2">
        <v>0</v>
      </c>
      <c r="D17295" s="2">
        <v>9.7686375321336706E-3</v>
      </c>
      <c r="E17295" s="2">
        <v>1.230012300123E-3</v>
      </c>
      <c r="F17295" s="2">
        <v>8.1606821664112895E-4</v>
      </c>
    </row>
    <row r="17296" spans="1:6" x14ac:dyDescent="0.25">
      <c r="A17296" s="1" t="str">
        <f t="shared" si="651"/>
        <v>29340</v>
      </c>
      <c r="B17296" s="1" t="str">
        <f>"70661"</f>
        <v>70661</v>
      </c>
      <c r="C17296" s="2">
        <v>8.0704940513694808E-3</v>
      </c>
      <c r="D17296" s="2">
        <v>2.8791773778920299E-3</v>
      </c>
      <c r="E17296" s="2">
        <v>1.640016400164E-3</v>
      </c>
      <c r="F17296" s="2">
        <v>7.5194857104789797E-3</v>
      </c>
    </row>
    <row r="17297" spans="1:6" x14ac:dyDescent="0.25">
      <c r="A17297" s="1" t="str">
        <f t="shared" si="651"/>
        <v>29340</v>
      </c>
      <c r="B17297" s="1" t="str">
        <f>"70633"</f>
        <v>70633</v>
      </c>
      <c r="C17297" s="2">
        <v>2.7695415292242599E-2</v>
      </c>
      <c r="D17297" s="2">
        <v>1.9640102827763399E-2</v>
      </c>
      <c r="E17297" s="2">
        <v>1.0250102501025E-2</v>
      </c>
      <c r="F17297" s="2">
        <v>2.66887615748451E-2</v>
      </c>
    </row>
    <row r="17298" spans="1:6" x14ac:dyDescent="0.25">
      <c r="A17298" s="1" t="str">
        <f t="shared" si="651"/>
        <v>29340</v>
      </c>
      <c r="B17298" s="1" t="str">
        <f>"70607"</f>
        <v>70607</v>
      </c>
      <c r="C17298" s="2">
        <v>0.132519180163818</v>
      </c>
      <c r="D17298" s="2">
        <v>6.5809768637532101E-2</v>
      </c>
      <c r="E17298" s="2">
        <v>0.11070110701107</v>
      </c>
      <c r="F17298" s="2">
        <v>0.126673772566784</v>
      </c>
    </row>
    <row r="17299" spans="1:6" x14ac:dyDescent="0.25">
      <c r="A17299" s="1" t="str">
        <f t="shared" si="651"/>
        <v>29340</v>
      </c>
      <c r="B17299" s="1" t="str">
        <f>"70643"</f>
        <v>70643</v>
      </c>
      <c r="C17299" s="2">
        <v>1.7975612468033001E-3</v>
      </c>
      <c r="D17299" s="2">
        <v>3.0848329048843099E-3</v>
      </c>
      <c r="E17299" s="2">
        <v>2.0500205002049999E-3</v>
      </c>
      <c r="F17299" s="2">
        <v>1.9069349143961E-3</v>
      </c>
    </row>
    <row r="17300" spans="1:6" x14ac:dyDescent="0.25">
      <c r="A17300" s="1" t="str">
        <f t="shared" si="651"/>
        <v>29340</v>
      </c>
      <c r="B17300" s="1" t="str">
        <f>"70615"</f>
        <v>70615</v>
      </c>
      <c r="C17300" s="2">
        <v>5.9773544346021203E-2</v>
      </c>
      <c r="D17300" s="2">
        <v>4.6478149100257E-2</v>
      </c>
      <c r="E17300" s="2">
        <v>3.2800328003279998E-2</v>
      </c>
      <c r="F17300" s="2">
        <v>5.8149024049030697E-2</v>
      </c>
    </row>
    <row r="17301" spans="1:6" x14ac:dyDescent="0.25">
      <c r="A17301" s="1" t="str">
        <f t="shared" si="651"/>
        <v>29340</v>
      </c>
      <c r="B17301" s="1" t="str">
        <f>"70606"</f>
        <v>70606</v>
      </c>
      <c r="C17301" s="2">
        <v>1.9652718579741199E-2</v>
      </c>
      <c r="D17301" s="2">
        <v>5.2956298200514097E-2</v>
      </c>
      <c r="E17301" s="2">
        <v>1.640016400164E-3</v>
      </c>
      <c r="F17301" s="2">
        <v>2.1983878489107898E-2</v>
      </c>
    </row>
    <row r="17302" spans="1:6" x14ac:dyDescent="0.25">
      <c r="A17302" s="1" t="str">
        <f t="shared" si="651"/>
        <v>29340</v>
      </c>
      <c r="B17302" s="1" t="str">
        <f>"70646"</f>
        <v>70646</v>
      </c>
      <c r="C17302" s="2">
        <v>1.8531559245394899E-5</v>
      </c>
      <c r="D17302" s="2">
        <v>0</v>
      </c>
      <c r="E17302" s="2">
        <v>4.1000410004100001E-4</v>
      </c>
      <c r="F17302" s="2">
        <v>2.4981680101259001E-5</v>
      </c>
    </row>
    <row r="17303" spans="1:6" x14ac:dyDescent="0.25">
      <c r="A17303" s="1" t="str">
        <f t="shared" si="651"/>
        <v>29340</v>
      </c>
      <c r="B17303" s="1" t="str">
        <f>"70601"</f>
        <v>70601</v>
      </c>
      <c r="C17303" s="2">
        <v>0.158843260071902</v>
      </c>
      <c r="D17303" s="2">
        <v>0.30334190231362401</v>
      </c>
      <c r="E17303" s="2">
        <v>0.32882328823288198</v>
      </c>
      <c r="F17303" s="2">
        <v>0.17399740190526899</v>
      </c>
    </row>
    <row r="17304" spans="1:6" x14ac:dyDescent="0.25">
      <c r="A17304" s="1" t="str">
        <f t="shared" si="651"/>
        <v>29340</v>
      </c>
      <c r="B17304" s="1" t="str">
        <f>"70645"</f>
        <v>70645</v>
      </c>
      <c r="C17304" s="2">
        <v>7.1253845298543403E-3</v>
      </c>
      <c r="D17304" s="2">
        <v>3.0848329048843099E-3</v>
      </c>
      <c r="E17304" s="2">
        <v>1.2710127101271E-2</v>
      </c>
      <c r="F17304" s="2">
        <v>6.9115981613483398E-3</v>
      </c>
    </row>
    <row r="17305" spans="1:6" x14ac:dyDescent="0.25">
      <c r="A17305" s="1" t="str">
        <f t="shared" si="651"/>
        <v>29340</v>
      </c>
      <c r="B17305" s="1" t="str">
        <f>"70647"</f>
        <v>70647</v>
      </c>
      <c r="C17305" s="2">
        <v>2.63240799080834E-2</v>
      </c>
      <c r="D17305" s="2">
        <v>1.1208226221079601E-2</v>
      </c>
      <c r="E17305" s="2">
        <v>1.0660106601066E-2</v>
      </c>
      <c r="F17305" s="2">
        <v>2.4781826660449001E-2</v>
      </c>
    </row>
    <row r="17306" spans="1:6" x14ac:dyDescent="0.25">
      <c r="A17306" s="1" t="str">
        <f t="shared" si="651"/>
        <v>29340</v>
      </c>
      <c r="B17306" s="1" t="str">
        <f>"70665"</f>
        <v>70665</v>
      </c>
      <c r="C17306" s="2">
        <v>5.4269671250138901E-2</v>
      </c>
      <c r="D17306" s="2">
        <v>6.1593830334190199E-2</v>
      </c>
      <c r="E17306" s="2">
        <v>1.7630176301763001E-2</v>
      </c>
      <c r="F17306" s="2">
        <v>5.4118646326027503E-2</v>
      </c>
    </row>
    <row r="17307" spans="1:6" x14ac:dyDescent="0.25">
      <c r="A17307" s="1" t="str">
        <f t="shared" si="651"/>
        <v>29340</v>
      </c>
      <c r="B17307" s="1" t="str">
        <f>"70602"</f>
        <v>70602</v>
      </c>
      <c r="C17307" s="2">
        <v>1.36114302657425E-2</v>
      </c>
      <c r="D17307" s="2">
        <v>5.6349614395886802E-2</v>
      </c>
      <c r="E17307" s="2">
        <v>8.2000820008200001E-4</v>
      </c>
      <c r="F17307" s="2">
        <v>1.68126707081473E-2</v>
      </c>
    </row>
    <row r="17308" spans="1:6" x14ac:dyDescent="0.25">
      <c r="A17308" s="1" t="str">
        <f t="shared" si="651"/>
        <v>29340</v>
      </c>
      <c r="B17308" s="1" t="str">
        <f>"70605"</f>
        <v>70605</v>
      </c>
      <c r="C17308" s="2">
        <v>0.16892442830139701</v>
      </c>
      <c r="D17308" s="2">
        <v>0.10683804627249301</v>
      </c>
      <c r="E17308" s="2">
        <v>0.16236162361623599</v>
      </c>
      <c r="F17308" s="2">
        <v>0.163763240290453</v>
      </c>
    </row>
    <row r="17309" spans="1:6" x14ac:dyDescent="0.25">
      <c r="A17309" s="1" t="str">
        <f t="shared" si="651"/>
        <v>29340</v>
      </c>
      <c r="B17309" s="1" t="str">
        <f>"70632"</f>
        <v>70632</v>
      </c>
      <c r="C17309" s="2">
        <v>1.9087506022756699E-3</v>
      </c>
      <c r="D17309" s="2">
        <v>8.2262210796915105E-4</v>
      </c>
      <c r="E17309" s="2">
        <v>2.0500205002049999E-3</v>
      </c>
      <c r="F17309" s="2">
        <v>1.82366264739191E-3</v>
      </c>
    </row>
    <row r="17310" spans="1:6" x14ac:dyDescent="0.25">
      <c r="A17310" s="1" t="str">
        <f t="shared" ref="A17310:A17319" si="652">"29380"</f>
        <v>29380</v>
      </c>
      <c r="B17310" s="1" t="str">
        <f>"32038"</f>
        <v>32038</v>
      </c>
      <c r="C17310" s="2">
        <v>0.14307142032998699</v>
      </c>
      <c r="D17310" s="2">
        <v>2.6885043263288E-2</v>
      </c>
      <c r="E17310" s="2">
        <v>5.5197792088316402E-3</v>
      </c>
      <c r="F17310" s="2">
        <v>0.12959400887384201</v>
      </c>
    </row>
    <row r="17311" spans="1:6" x14ac:dyDescent="0.25">
      <c r="A17311" s="1" t="str">
        <f t="shared" si="652"/>
        <v>29380</v>
      </c>
      <c r="B17311" s="1" t="str">
        <f>"32025"</f>
        <v>32025</v>
      </c>
      <c r="C17311" s="2">
        <v>0.26228798892350202</v>
      </c>
      <c r="D17311" s="2">
        <v>0.32911001236093901</v>
      </c>
      <c r="E17311" s="2">
        <v>0.50505979760809505</v>
      </c>
      <c r="F17311" s="2">
        <v>0.27460183119181297</v>
      </c>
    </row>
    <row r="17312" spans="1:6" x14ac:dyDescent="0.25">
      <c r="A17312" s="1" t="str">
        <f t="shared" si="652"/>
        <v>29380</v>
      </c>
      <c r="B17312" s="1" t="str">
        <f>"32055"</f>
        <v>32055</v>
      </c>
      <c r="C17312" s="2">
        <v>0.240654205607476</v>
      </c>
      <c r="D17312" s="2">
        <v>0.40296662546353501</v>
      </c>
      <c r="E17312" s="2">
        <v>0.43606255749770001</v>
      </c>
      <c r="F17312" s="2">
        <v>0.25957272191018399</v>
      </c>
    </row>
    <row r="17313" spans="1:6" x14ac:dyDescent="0.25">
      <c r="A17313" s="1" t="str">
        <f t="shared" si="652"/>
        <v>29380</v>
      </c>
      <c r="B17313" s="1" t="str">
        <f>"32061"</f>
        <v>32061</v>
      </c>
      <c r="C17313" s="2">
        <v>4.5286719741548399E-3</v>
      </c>
      <c r="D17313" s="2">
        <v>9.2707045735475801E-4</v>
      </c>
      <c r="E17313" s="2">
        <v>9.1996320147194101E-4</v>
      </c>
      <c r="F17313" s="2">
        <v>4.12915801082301E-3</v>
      </c>
    </row>
    <row r="17314" spans="1:6" x14ac:dyDescent="0.25">
      <c r="A17314" s="1" t="str">
        <f t="shared" si="652"/>
        <v>29380</v>
      </c>
      <c r="B17314" s="1" t="str">
        <f>"32087"</f>
        <v>32087</v>
      </c>
      <c r="C17314" s="2">
        <v>0</v>
      </c>
      <c r="D17314" s="2">
        <v>3.0902348578491898E-4</v>
      </c>
      <c r="E17314" s="2">
        <v>0</v>
      </c>
      <c r="F17314" s="2">
        <v>2.5646944166602501E-5</v>
      </c>
    </row>
    <row r="17315" spans="1:6" x14ac:dyDescent="0.25">
      <c r="A17315" s="1" t="str">
        <f t="shared" si="652"/>
        <v>29380</v>
      </c>
      <c r="B17315" s="1" t="str">
        <f>"32094"</f>
        <v>32094</v>
      </c>
      <c r="C17315" s="2">
        <v>2.9421945309795702E-3</v>
      </c>
      <c r="D17315" s="2">
        <v>6.1804697156983904E-4</v>
      </c>
      <c r="E17315" s="2">
        <v>0</v>
      </c>
      <c r="F17315" s="2">
        <v>2.6672821933266598E-3</v>
      </c>
    </row>
    <row r="17316" spans="1:6" x14ac:dyDescent="0.25">
      <c r="A17316" s="1" t="str">
        <f t="shared" si="652"/>
        <v>29380</v>
      </c>
      <c r="B17316" s="1" t="str">
        <f>"32056"</f>
        <v>32056</v>
      </c>
      <c r="C17316" s="2">
        <v>6.4382139148494194E-2</v>
      </c>
      <c r="D17316" s="2">
        <v>0.146477132262051</v>
      </c>
      <c r="E17316" s="2">
        <v>1.8399264029438801E-3</v>
      </c>
      <c r="F17316" s="2">
        <v>6.9451924803159704E-2</v>
      </c>
    </row>
    <row r="17317" spans="1:6" x14ac:dyDescent="0.25">
      <c r="A17317" s="1" t="str">
        <f t="shared" si="652"/>
        <v>29380</v>
      </c>
      <c r="B17317" s="1" t="str">
        <f>"32096"</f>
        <v>32096</v>
      </c>
      <c r="C17317" s="2">
        <v>1.4566747432791001E-2</v>
      </c>
      <c r="D17317" s="2">
        <v>6.4894932014833099E-3</v>
      </c>
      <c r="E17317" s="2">
        <v>0</v>
      </c>
      <c r="F17317" s="2">
        <v>1.34902926316329E-2</v>
      </c>
    </row>
    <row r="17318" spans="1:6" x14ac:dyDescent="0.25">
      <c r="A17318" s="1" t="str">
        <f t="shared" si="652"/>
        <v>29380</v>
      </c>
      <c r="B17318" s="1" t="str">
        <f>"32643"</f>
        <v>32643</v>
      </c>
      <c r="C17318" s="2">
        <v>1.9614630206530499E-2</v>
      </c>
      <c r="D17318" s="2">
        <v>1.85414091470951E-3</v>
      </c>
      <c r="E17318" s="2">
        <v>7.3597056117755202E-3</v>
      </c>
      <c r="F17318" s="2">
        <v>1.7798979251622101E-2</v>
      </c>
    </row>
    <row r="17319" spans="1:6" x14ac:dyDescent="0.25">
      <c r="A17319" s="1" t="str">
        <f t="shared" si="652"/>
        <v>29380</v>
      </c>
      <c r="B17319" s="1" t="str">
        <f>"32024"</f>
        <v>32024</v>
      </c>
      <c r="C17319" s="2">
        <v>0.24795200184608199</v>
      </c>
      <c r="D17319" s="2">
        <v>8.4363411619282999E-2</v>
      </c>
      <c r="E17319" s="2">
        <v>4.3238270469181203E-2</v>
      </c>
      <c r="F17319" s="2">
        <v>0.22866815418942801</v>
      </c>
    </row>
    <row r="17320" spans="1:6" x14ac:dyDescent="0.25">
      <c r="A17320" s="1" t="str">
        <f t="shared" ref="A17320:A17353" si="653">"29404"</f>
        <v>29404</v>
      </c>
      <c r="B17320" s="1" t="str">
        <f>"60045"</f>
        <v>60045</v>
      </c>
      <c r="C17320" s="2">
        <v>2.2611232676878101E-2</v>
      </c>
      <c r="D17320" s="2">
        <v>5.4945054945054897E-3</v>
      </c>
      <c r="E17320" s="2">
        <v>0</v>
      </c>
      <c r="F17320" s="2">
        <v>1.94057004244996E-2</v>
      </c>
    </row>
    <row r="17321" spans="1:6" x14ac:dyDescent="0.25">
      <c r="A17321" s="1" t="str">
        <f t="shared" si="653"/>
        <v>29404</v>
      </c>
      <c r="B17321" s="1" t="str">
        <f>"53140"</f>
        <v>53140</v>
      </c>
      <c r="C17321" s="2">
        <v>0.102844638949671</v>
      </c>
      <c r="D17321" s="2">
        <v>5.4945054945054897E-3</v>
      </c>
      <c r="E17321" s="2">
        <v>9.375E-2</v>
      </c>
      <c r="F17321" s="2">
        <v>9.1570648878107896E-2</v>
      </c>
    </row>
    <row r="17322" spans="1:6" x14ac:dyDescent="0.25">
      <c r="A17322" s="1" t="str">
        <f t="shared" si="653"/>
        <v>29404</v>
      </c>
      <c r="B17322" s="1" t="str">
        <f>"60031"</f>
        <v>60031</v>
      </c>
      <c r="C17322" s="2">
        <v>0</v>
      </c>
      <c r="D17322" s="2">
        <v>1.6483516483516401E-2</v>
      </c>
      <c r="E17322" s="2">
        <v>1.04166666666666E-2</v>
      </c>
      <c r="F17322" s="2">
        <v>2.42571255306246E-3</v>
      </c>
    </row>
    <row r="17323" spans="1:6" x14ac:dyDescent="0.25">
      <c r="A17323" s="1" t="str">
        <f t="shared" si="653"/>
        <v>29404</v>
      </c>
      <c r="B17323" s="1" t="str">
        <f>"60002"</f>
        <v>60002</v>
      </c>
      <c r="C17323" s="2">
        <v>2.1881838074398201E-3</v>
      </c>
      <c r="D17323" s="2">
        <v>8.7912087912087905E-2</v>
      </c>
      <c r="E17323" s="2">
        <v>2.0833333333333301E-2</v>
      </c>
      <c r="F17323" s="2">
        <v>1.27349909035779E-2</v>
      </c>
    </row>
    <row r="17324" spans="1:6" x14ac:dyDescent="0.25">
      <c r="A17324" s="1" t="str">
        <f t="shared" si="653"/>
        <v>29404</v>
      </c>
      <c r="B17324" s="1" t="str">
        <f>"60061"</f>
        <v>60061</v>
      </c>
      <c r="C17324" s="2">
        <v>1.0211524434719101E-2</v>
      </c>
      <c r="D17324" s="2">
        <v>2.7472527472527399E-2</v>
      </c>
      <c r="E17324" s="2">
        <v>2.0833333333333301E-2</v>
      </c>
      <c r="F17324" s="2">
        <v>1.27349909035779E-2</v>
      </c>
    </row>
    <row r="17325" spans="1:6" x14ac:dyDescent="0.25">
      <c r="A17325" s="1" t="str">
        <f t="shared" si="653"/>
        <v>29404</v>
      </c>
      <c r="B17325" s="1" t="str">
        <f>"53144"</f>
        <v>53144</v>
      </c>
      <c r="C17325" s="2">
        <v>5.9810357403355198E-2</v>
      </c>
      <c r="D17325" s="2">
        <v>8.2417582417582402E-2</v>
      </c>
      <c r="E17325" s="2">
        <v>9.375E-2</v>
      </c>
      <c r="F17325" s="2">
        <v>6.4281382656155198E-2</v>
      </c>
    </row>
    <row r="17326" spans="1:6" x14ac:dyDescent="0.25">
      <c r="A17326" s="1" t="str">
        <f t="shared" si="653"/>
        <v>29404</v>
      </c>
      <c r="B17326" s="1" t="str">
        <f>"60073"</f>
        <v>60073</v>
      </c>
      <c r="C17326" s="2">
        <v>2.1881838074398201E-3</v>
      </c>
      <c r="D17326" s="2">
        <v>5.4945054945054897E-3</v>
      </c>
      <c r="E17326" s="2">
        <v>1.04166666666666E-2</v>
      </c>
      <c r="F17326" s="2">
        <v>3.0321406913280699E-3</v>
      </c>
    </row>
    <row r="17327" spans="1:6" x14ac:dyDescent="0.25">
      <c r="A17327" s="1" t="str">
        <f t="shared" si="653"/>
        <v>29404</v>
      </c>
      <c r="B17327" s="1" t="str">
        <f>"60087"</f>
        <v>60087</v>
      </c>
      <c r="C17327" s="2">
        <v>0</v>
      </c>
      <c r="D17327" s="2">
        <v>0</v>
      </c>
      <c r="E17327" s="2">
        <v>1.04166666666666E-2</v>
      </c>
      <c r="F17327" s="2">
        <v>6.06428138265615E-4</v>
      </c>
    </row>
    <row r="17328" spans="1:6" x14ac:dyDescent="0.25">
      <c r="A17328" s="1" t="str">
        <f t="shared" si="653"/>
        <v>29404</v>
      </c>
      <c r="B17328" s="1" t="str">
        <f>"53104"</f>
        <v>53104</v>
      </c>
      <c r="C17328" s="2">
        <v>2.9175784099197601E-3</v>
      </c>
      <c r="D17328" s="2">
        <v>2.19780219780219E-2</v>
      </c>
      <c r="E17328" s="2">
        <v>1.04166666666666E-2</v>
      </c>
      <c r="F17328" s="2">
        <v>5.4578532443905299E-3</v>
      </c>
    </row>
    <row r="17329" spans="1:6" x14ac:dyDescent="0.25">
      <c r="A17329" s="1" t="str">
        <f t="shared" si="653"/>
        <v>29404</v>
      </c>
      <c r="B17329" s="1" t="str">
        <f>"60020"</f>
        <v>60020</v>
      </c>
      <c r="C17329" s="2">
        <v>1.4587892049598801E-3</v>
      </c>
      <c r="D17329" s="2">
        <v>1.09890109890109E-2</v>
      </c>
      <c r="E17329" s="2">
        <v>3.125E-2</v>
      </c>
      <c r="F17329" s="2">
        <v>4.2449969678592997E-3</v>
      </c>
    </row>
    <row r="17330" spans="1:6" x14ac:dyDescent="0.25">
      <c r="A17330" s="1" t="str">
        <f t="shared" si="653"/>
        <v>29404</v>
      </c>
      <c r="B17330" s="1" t="str">
        <f>"60037"</f>
        <v>60037</v>
      </c>
      <c r="C17330" s="2">
        <v>0</v>
      </c>
      <c r="D17330" s="2">
        <v>0</v>
      </c>
      <c r="E17330" s="2">
        <v>1.04166666666666E-2</v>
      </c>
      <c r="F17330" s="2">
        <v>6.06428138265615E-4</v>
      </c>
    </row>
    <row r="17331" spans="1:6" x14ac:dyDescent="0.25">
      <c r="A17331" s="1" t="str">
        <f t="shared" si="653"/>
        <v>29404</v>
      </c>
      <c r="B17331" s="1" t="str">
        <f>"60096"</f>
        <v>60096</v>
      </c>
      <c r="C17331" s="2">
        <v>1.4587892049598801E-3</v>
      </c>
      <c r="D17331" s="2">
        <v>0</v>
      </c>
      <c r="E17331" s="2">
        <v>0</v>
      </c>
      <c r="F17331" s="2">
        <v>1.21285627653123E-3</v>
      </c>
    </row>
    <row r="17332" spans="1:6" x14ac:dyDescent="0.25">
      <c r="A17332" s="1" t="str">
        <f t="shared" si="653"/>
        <v>29404</v>
      </c>
      <c r="B17332" s="1" t="str">
        <f>"60069"</f>
        <v>60069</v>
      </c>
      <c r="C17332" s="2">
        <v>4.30342815463165E-2</v>
      </c>
      <c r="D17332" s="2">
        <v>1.09890109890109E-2</v>
      </c>
      <c r="E17332" s="2">
        <v>1.04166666666666E-2</v>
      </c>
      <c r="F17332" s="2">
        <v>3.7598544572468098E-2</v>
      </c>
    </row>
    <row r="17333" spans="1:6" x14ac:dyDescent="0.25">
      <c r="A17333" s="1" t="str">
        <f t="shared" si="653"/>
        <v>29404</v>
      </c>
      <c r="B17333" s="1" t="str">
        <f>"53168"</f>
        <v>53168</v>
      </c>
      <c r="C17333" s="2">
        <v>2.1881838074398201E-3</v>
      </c>
      <c r="D17333" s="2">
        <v>0</v>
      </c>
      <c r="E17333" s="2">
        <v>0</v>
      </c>
      <c r="F17333" s="2">
        <v>1.8192844147968399E-3</v>
      </c>
    </row>
    <row r="17334" spans="1:6" x14ac:dyDescent="0.25">
      <c r="A17334" s="1" t="str">
        <f t="shared" si="653"/>
        <v>29404</v>
      </c>
      <c r="B17334" s="1" t="str">
        <f>"60051"</f>
        <v>60051</v>
      </c>
      <c r="C17334" s="2">
        <v>0</v>
      </c>
      <c r="D17334" s="2">
        <v>4.94505494505494E-2</v>
      </c>
      <c r="E17334" s="2">
        <v>0</v>
      </c>
      <c r="F17334" s="2">
        <v>5.4578532443905299E-3</v>
      </c>
    </row>
    <row r="17335" spans="1:6" x14ac:dyDescent="0.25">
      <c r="A17335" s="1" t="str">
        <f t="shared" si="653"/>
        <v>29404</v>
      </c>
      <c r="B17335" s="1" t="str">
        <f>"60046"</f>
        <v>60046</v>
      </c>
      <c r="C17335" s="2">
        <v>0</v>
      </c>
      <c r="D17335" s="2">
        <v>7.1428571428571397E-2</v>
      </c>
      <c r="E17335" s="2">
        <v>2.0833333333333301E-2</v>
      </c>
      <c r="F17335" s="2">
        <v>9.09642207398423E-3</v>
      </c>
    </row>
    <row r="17336" spans="1:6" x14ac:dyDescent="0.25">
      <c r="A17336" s="1" t="str">
        <f t="shared" si="653"/>
        <v>29404</v>
      </c>
      <c r="B17336" s="1" t="str">
        <f>"60089"</f>
        <v>60089</v>
      </c>
      <c r="C17336" s="2">
        <v>0.13712618526622899</v>
      </c>
      <c r="D17336" s="2">
        <v>0</v>
      </c>
      <c r="E17336" s="2">
        <v>0</v>
      </c>
      <c r="F17336" s="2">
        <v>0.11400848999393499</v>
      </c>
    </row>
    <row r="17337" spans="1:6" x14ac:dyDescent="0.25">
      <c r="A17337" s="1" t="str">
        <f t="shared" si="653"/>
        <v>29404</v>
      </c>
      <c r="B17337" s="1" t="str">
        <f>"53158"</f>
        <v>53158</v>
      </c>
      <c r="C17337" s="2">
        <v>0.30561633843909503</v>
      </c>
      <c r="D17337" s="2">
        <v>3.2967032967032898E-2</v>
      </c>
      <c r="E17337" s="2">
        <v>0.23958333333333301</v>
      </c>
      <c r="F17337" s="2">
        <v>0.27167980594299501</v>
      </c>
    </row>
    <row r="17338" spans="1:6" x14ac:dyDescent="0.25">
      <c r="A17338" s="1" t="str">
        <f t="shared" si="653"/>
        <v>29404</v>
      </c>
      <c r="B17338" s="1" t="str">
        <f>"60047"</f>
        <v>60047</v>
      </c>
      <c r="C17338" s="2">
        <v>3.5010940919037101E-2</v>
      </c>
      <c r="D17338" s="2">
        <v>2.19780219780219E-2</v>
      </c>
      <c r="E17338" s="2">
        <v>3.125E-2</v>
      </c>
      <c r="F17338" s="2">
        <v>3.3353547604608798E-2</v>
      </c>
    </row>
    <row r="17339" spans="1:6" x14ac:dyDescent="0.25">
      <c r="A17339" s="1" t="str">
        <f t="shared" si="653"/>
        <v>29404</v>
      </c>
      <c r="B17339" s="1" t="str">
        <f>"53142"</f>
        <v>53142</v>
      </c>
      <c r="C17339" s="2">
        <v>5.1787016776075799E-2</v>
      </c>
      <c r="D17339" s="2">
        <v>0.104395604395604</v>
      </c>
      <c r="E17339" s="2">
        <v>0.125</v>
      </c>
      <c r="F17339" s="2">
        <v>6.1855670103092703E-2</v>
      </c>
    </row>
    <row r="17340" spans="1:6" x14ac:dyDescent="0.25">
      <c r="A17340" s="1" t="str">
        <f t="shared" si="653"/>
        <v>29404</v>
      </c>
      <c r="B17340" s="1" t="str">
        <f>"60060"</f>
        <v>60060</v>
      </c>
      <c r="C17340" s="2">
        <v>4.5222465353756298E-2</v>
      </c>
      <c r="D17340" s="2">
        <v>0.20329670329670299</v>
      </c>
      <c r="E17340" s="2">
        <v>3.125E-2</v>
      </c>
      <c r="F17340" s="2">
        <v>6.1855670103092703E-2</v>
      </c>
    </row>
    <row r="17341" spans="1:6" x14ac:dyDescent="0.25">
      <c r="A17341" s="1" t="str">
        <f t="shared" si="653"/>
        <v>29404</v>
      </c>
      <c r="B17341" s="1" t="str">
        <f>"53170"</f>
        <v>53170</v>
      </c>
      <c r="C17341" s="2">
        <v>4.3763676148796402E-3</v>
      </c>
      <c r="D17341" s="2">
        <v>2.19780219780219E-2</v>
      </c>
      <c r="E17341" s="2">
        <v>2.0833333333333301E-2</v>
      </c>
      <c r="F17341" s="2">
        <v>7.2771376591873804E-3</v>
      </c>
    </row>
    <row r="17342" spans="1:6" x14ac:dyDescent="0.25">
      <c r="A17342" s="1" t="str">
        <f t="shared" si="653"/>
        <v>29404</v>
      </c>
      <c r="B17342" s="1" t="str">
        <f>"60064"</f>
        <v>60064</v>
      </c>
      <c r="C17342" s="2">
        <v>0.141502552881108</v>
      </c>
      <c r="D17342" s="2">
        <v>5.4945054945054897E-3</v>
      </c>
      <c r="E17342" s="2">
        <v>3.125E-2</v>
      </c>
      <c r="F17342" s="2">
        <v>0.120072771376591</v>
      </c>
    </row>
    <row r="17343" spans="1:6" x14ac:dyDescent="0.25">
      <c r="A17343" s="1" t="str">
        <f t="shared" si="653"/>
        <v>29404</v>
      </c>
      <c r="B17343" s="1" t="str">
        <f>"60088"</f>
        <v>60088</v>
      </c>
      <c r="C17343" s="2">
        <v>0</v>
      </c>
      <c r="D17343" s="2">
        <v>0</v>
      </c>
      <c r="E17343" s="2">
        <v>1.04166666666666E-2</v>
      </c>
      <c r="F17343" s="2">
        <v>6.06428138265615E-4</v>
      </c>
    </row>
    <row r="17344" spans="1:6" x14ac:dyDescent="0.25">
      <c r="A17344" s="1" t="str">
        <f t="shared" si="653"/>
        <v>29404</v>
      </c>
      <c r="B17344" s="1" t="str">
        <f>"53143"</f>
        <v>53143</v>
      </c>
      <c r="C17344" s="2">
        <v>2.9175784099197601E-3</v>
      </c>
      <c r="D17344" s="2">
        <v>0</v>
      </c>
      <c r="E17344" s="2">
        <v>2.0833333333333301E-2</v>
      </c>
      <c r="F17344" s="2">
        <v>3.6385688295936902E-3</v>
      </c>
    </row>
    <row r="17345" spans="1:6" x14ac:dyDescent="0.25">
      <c r="A17345" s="1" t="str">
        <f t="shared" si="653"/>
        <v>29404</v>
      </c>
      <c r="B17345" s="1" t="str">
        <f>"60035"</f>
        <v>60035</v>
      </c>
      <c r="C17345" s="2">
        <v>7.2939460247994101E-4</v>
      </c>
      <c r="D17345" s="2">
        <v>0</v>
      </c>
      <c r="E17345" s="2">
        <v>0</v>
      </c>
      <c r="F17345" s="2">
        <v>6.06428138265615E-4</v>
      </c>
    </row>
    <row r="17346" spans="1:6" x14ac:dyDescent="0.25">
      <c r="A17346" s="1" t="str">
        <f t="shared" si="653"/>
        <v>29404</v>
      </c>
      <c r="B17346" s="1" t="str">
        <f>"60015"</f>
        <v>60015</v>
      </c>
      <c r="C17346" s="2">
        <v>0</v>
      </c>
      <c r="D17346" s="2">
        <v>3.8461538461538401E-2</v>
      </c>
      <c r="E17346" s="2">
        <v>3.125E-2</v>
      </c>
      <c r="F17346" s="2">
        <v>6.0642813826561502E-3</v>
      </c>
    </row>
    <row r="17347" spans="1:6" x14ac:dyDescent="0.25">
      <c r="A17347" s="1" t="str">
        <f t="shared" si="653"/>
        <v>29404</v>
      </c>
      <c r="B17347" s="1" t="str">
        <f>"60010"</f>
        <v>60010</v>
      </c>
      <c r="C17347" s="2">
        <v>1.1670313639679001E-2</v>
      </c>
      <c r="D17347" s="2">
        <v>2.19780219780219E-2</v>
      </c>
      <c r="E17347" s="2">
        <v>0</v>
      </c>
      <c r="F17347" s="2">
        <v>1.21285627653123E-2</v>
      </c>
    </row>
    <row r="17348" spans="1:6" x14ac:dyDescent="0.25">
      <c r="A17348" s="1" t="str">
        <f t="shared" si="653"/>
        <v>29404</v>
      </c>
      <c r="B17348" s="1" t="str">
        <f>"60083"</f>
        <v>60083</v>
      </c>
      <c r="C17348" s="2">
        <v>0</v>
      </c>
      <c r="D17348" s="2">
        <v>5.4945054945054897E-3</v>
      </c>
      <c r="E17348" s="2">
        <v>1.04166666666666E-2</v>
      </c>
      <c r="F17348" s="2">
        <v>1.21285627653123E-3</v>
      </c>
    </row>
    <row r="17349" spans="1:6" x14ac:dyDescent="0.25">
      <c r="A17349" s="1" t="str">
        <f t="shared" si="653"/>
        <v>29404</v>
      </c>
      <c r="B17349" s="1" t="str">
        <f>"60044"</f>
        <v>60044</v>
      </c>
      <c r="C17349" s="2">
        <v>7.2939460247994101E-4</v>
      </c>
      <c r="D17349" s="2">
        <v>0</v>
      </c>
      <c r="E17349" s="2">
        <v>0</v>
      </c>
      <c r="F17349" s="2">
        <v>6.06428138265615E-4</v>
      </c>
    </row>
    <row r="17350" spans="1:6" x14ac:dyDescent="0.25">
      <c r="A17350" s="1" t="str">
        <f t="shared" si="653"/>
        <v>29404</v>
      </c>
      <c r="B17350" s="1" t="str">
        <f>"60048"</f>
        <v>60048</v>
      </c>
      <c r="C17350" s="2">
        <v>0</v>
      </c>
      <c r="D17350" s="2">
        <v>0.14285714285714199</v>
      </c>
      <c r="E17350" s="2">
        <v>0.10416666666666601</v>
      </c>
      <c r="F17350" s="2">
        <v>2.1831412977562099E-2</v>
      </c>
    </row>
    <row r="17351" spans="1:6" x14ac:dyDescent="0.25">
      <c r="A17351" s="1" t="str">
        <f t="shared" si="653"/>
        <v>29404</v>
      </c>
      <c r="B17351" s="1" t="str">
        <f>"60030"</f>
        <v>60030</v>
      </c>
      <c r="C17351" s="2">
        <v>0</v>
      </c>
      <c r="D17351" s="2">
        <v>5.4945054945054897E-3</v>
      </c>
      <c r="E17351" s="2">
        <v>0</v>
      </c>
      <c r="F17351" s="2">
        <v>6.06428138265615E-4</v>
      </c>
    </row>
    <row r="17352" spans="1:6" x14ac:dyDescent="0.25">
      <c r="A17352" s="1" t="str">
        <f t="shared" si="653"/>
        <v>29404</v>
      </c>
      <c r="B17352" s="1" t="str">
        <f>"60084"</f>
        <v>60084</v>
      </c>
      <c r="C17352" s="2">
        <v>1.4587892049598801E-3</v>
      </c>
      <c r="D17352" s="2">
        <v>0</v>
      </c>
      <c r="E17352" s="2">
        <v>0</v>
      </c>
      <c r="F17352" s="2">
        <v>1.21285627653123E-3</v>
      </c>
    </row>
    <row r="17353" spans="1:6" x14ac:dyDescent="0.25">
      <c r="A17353" s="1" t="str">
        <f t="shared" si="653"/>
        <v>29404</v>
      </c>
      <c r="B17353" s="1" t="str">
        <f>"53181"</f>
        <v>53181</v>
      </c>
      <c r="C17353" s="2">
        <v>1.09409190371991E-2</v>
      </c>
      <c r="D17353" s="2">
        <v>0</v>
      </c>
      <c r="E17353" s="2">
        <v>0</v>
      </c>
      <c r="F17353" s="2">
        <v>9.09642207398423E-3</v>
      </c>
    </row>
    <row r="17354" spans="1:6" x14ac:dyDescent="0.25">
      <c r="A17354" s="1" t="str">
        <f t="shared" ref="A17354:A17384" si="654">"29420"</f>
        <v>29420</v>
      </c>
      <c r="B17354" s="1" t="str">
        <f>"86433"</f>
        <v>86433</v>
      </c>
      <c r="C17354" s="2">
        <v>3.0669780829027698E-4</v>
      </c>
      <c r="D17354" s="2">
        <v>5.4662730950038197E-4</v>
      </c>
      <c r="E17354" s="2">
        <v>0</v>
      </c>
      <c r="F17354" s="2">
        <v>3.0931241256651899E-4</v>
      </c>
    </row>
    <row r="17355" spans="1:6" x14ac:dyDescent="0.25">
      <c r="A17355" s="1" t="str">
        <f t="shared" si="654"/>
        <v>29420</v>
      </c>
      <c r="B17355" s="1" t="str">
        <f>"86440"</f>
        <v>86440</v>
      </c>
      <c r="C17355" s="2">
        <v>3.5458985066175903E-2</v>
      </c>
      <c r="D17355" s="2">
        <v>2.0006559527714001E-2</v>
      </c>
      <c r="E17355" s="2">
        <v>1.6994783779236002E-2</v>
      </c>
      <c r="F17355" s="2">
        <v>3.3693963487075602E-2</v>
      </c>
    </row>
    <row r="17356" spans="1:6" x14ac:dyDescent="0.25">
      <c r="A17356" s="1" t="str">
        <f t="shared" si="654"/>
        <v>29420</v>
      </c>
      <c r="B17356" s="1" t="str">
        <f>"86438"</f>
        <v>86438</v>
      </c>
      <c r="C17356" s="2">
        <v>1.5728092732834699E-5</v>
      </c>
      <c r="D17356" s="2">
        <v>1.09325461900076E-4</v>
      </c>
      <c r="E17356" s="2">
        <v>0</v>
      </c>
      <c r="F17356" s="2">
        <v>2.1089482674989899E-5</v>
      </c>
    </row>
    <row r="17357" spans="1:6" x14ac:dyDescent="0.25">
      <c r="A17357" s="1" t="str">
        <f t="shared" si="654"/>
        <v>29420</v>
      </c>
      <c r="B17357" s="1" t="str">
        <f>"86411"</f>
        <v>86411</v>
      </c>
      <c r="C17357" s="2">
        <v>8.4145296120665899E-4</v>
      </c>
      <c r="D17357" s="2">
        <v>2.1865092380015299E-4</v>
      </c>
      <c r="E17357" s="2">
        <v>1.6826518593303E-4</v>
      </c>
      <c r="F17357" s="2">
        <v>7.7328103141629904E-4</v>
      </c>
    </row>
    <row r="17358" spans="1:6" x14ac:dyDescent="0.25">
      <c r="A17358" s="1" t="str">
        <f t="shared" si="654"/>
        <v>29420</v>
      </c>
      <c r="B17358" s="1" t="str">
        <f>"86426"</f>
        <v>86426</v>
      </c>
      <c r="C17358" s="2">
        <v>6.13316976116891E-2</v>
      </c>
      <c r="D17358" s="2">
        <v>6.7344484530447099E-2</v>
      </c>
      <c r="E17358" s="2">
        <v>3.5503954231869403E-2</v>
      </c>
      <c r="F17358" s="2">
        <v>6.0639292518154503E-2</v>
      </c>
    </row>
    <row r="17359" spans="1:6" x14ac:dyDescent="0.25">
      <c r="A17359" s="1" t="str">
        <f t="shared" si="654"/>
        <v>29420</v>
      </c>
      <c r="B17359" s="1" t="str">
        <f>"86404"</f>
        <v>86404</v>
      </c>
      <c r="C17359" s="2">
        <v>8.90210048678447E-2</v>
      </c>
      <c r="D17359" s="2">
        <v>4.0450420903028299E-2</v>
      </c>
      <c r="E17359" s="2">
        <v>0.121655729429581</v>
      </c>
      <c r="F17359" s="2">
        <v>8.7261249481550202E-2</v>
      </c>
    </row>
    <row r="17360" spans="1:6" x14ac:dyDescent="0.25">
      <c r="A17360" s="1" t="str">
        <f t="shared" si="654"/>
        <v>29420</v>
      </c>
      <c r="B17360" s="1" t="str">
        <f>"86432"</f>
        <v>86432</v>
      </c>
      <c r="C17360" s="2">
        <v>1.4084507042253501E-2</v>
      </c>
      <c r="D17360" s="2">
        <v>1.09325461900076E-3</v>
      </c>
      <c r="E17360" s="2">
        <v>0</v>
      </c>
      <c r="F17360" s="2">
        <v>1.26607194325523E-2</v>
      </c>
    </row>
    <row r="17361" spans="1:6" x14ac:dyDescent="0.25">
      <c r="A17361" s="1" t="str">
        <f t="shared" si="654"/>
        <v>29420</v>
      </c>
      <c r="B17361" s="1" t="str">
        <f>"86431"</f>
        <v>86431</v>
      </c>
      <c r="C17361" s="2">
        <v>0</v>
      </c>
      <c r="D17361" s="2">
        <v>0</v>
      </c>
      <c r="E17361" s="2">
        <v>1.6826518593303E-4</v>
      </c>
      <c r="F17361" s="2">
        <v>7.0298275583299899E-6</v>
      </c>
    </row>
    <row r="17362" spans="1:6" x14ac:dyDescent="0.25">
      <c r="A17362" s="1" t="str">
        <f t="shared" si="654"/>
        <v>29420</v>
      </c>
      <c r="B17362" s="1" t="str">
        <f>"86443"</f>
        <v>86443</v>
      </c>
      <c r="C17362" s="2">
        <v>6.2912370931338999E-5</v>
      </c>
      <c r="D17362" s="2">
        <v>1.09325461900076E-4</v>
      </c>
      <c r="E17362" s="2">
        <v>1.6826518593303E-4</v>
      </c>
      <c r="F17362" s="2">
        <v>7.0298275583299897E-5</v>
      </c>
    </row>
    <row r="17363" spans="1:6" x14ac:dyDescent="0.25">
      <c r="A17363" s="1" t="str">
        <f t="shared" si="654"/>
        <v>29420</v>
      </c>
      <c r="B17363" s="1" t="str">
        <f>"86021"</f>
        <v>86021</v>
      </c>
      <c r="C17363" s="2">
        <v>0</v>
      </c>
      <c r="D17363" s="2">
        <v>5.4662730950038197E-4</v>
      </c>
      <c r="E17363" s="2">
        <v>0</v>
      </c>
      <c r="F17363" s="2">
        <v>3.5149137791649901E-5</v>
      </c>
    </row>
    <row r="17364" spans="1:6" x14ac:dyDescent="0.25">
      <c r="A17364" s="1" t="str">
        <f t="shared" si="654"/>
        <v>29420</v>
      </c>
      <c r="B17364" s="1" t="str">
        <f>"86437"</f>
        <v>86437</v>
      </c>
      <c r="C17364" s="2">
        <v>3.3028994738952902E-4</v>
      </c>
      <c r="D17364" s="2">
        <v>0</v>
      </c>
      <c r="E17364" s="2">
        <v>1.6826518593303E-4</v>
      </c>
      <c r="F17364" s="2">
        <v>3.0228258500818899E-4</v>
      </c>
    </row>
    <row r="17365" spans="1:6" x14ac:dyDescent="0.25">
      <c r="A17365" s="1" t="str">
        <f t="shared" si="654"/>
        <v>29420</v>
      </c>
      <c r="B17365" s="1" t="str">
        <f>"86427"</f>
        <v>86427</v>
      </c>
      <c r="C17365" s="2">
        <v>2.68635823876817E-2</v>
      </c>
      <c r="D17365" s="2">
        <v>2.4598228927517202E-2</v>
      </c>
      <c r="E17365" s="2">
        <v>3.3653037186606E-4</v>
      </c>
      <c r="F17365" s="2">
        <v>2.5609661794996099E-2</v>
      </c>
    </row>
    <row r="17366" spans="1:6" x14ac:dyDescent="0.25">
      <c r="A17366" s="1" t="str">
        <f t="shared" si="654"/>
        <v>29420</v>
      </c>
      <c r="B17366" s="1" t="str">
        <f>"86413"</f>
        <v>86413</v>
      </c>
      <c r="C17366" s="2">
        <v>4.4274581042929799E-2</v>
      </c>
      <c r="D17366" s="2">
        <v>1.8366677599212799E-2</v>
      </c>
      <c r="E17366" s="2">
        <v>1.09372370856469E-2</v>
      </c>
      <c r="F17366" s="2">
        <v>4.1215878974488702E-2</v>
      </c>
    </row>
    <row r="17367" spans="1:6" x14ac:dyDescent="0.25">
      <c r="A17367" s="1" t="str">
        <f t="shared" si="654"/>
        <v>29420</v>
      </c>
      <c r="B17367" s="1" t="str">
        <f>"86429"</f>
        <v>86429</v>
      </c>
      <c r="C17367" s="2">
        <v>4.0979545615400903E-2</v>
      </c>
      <c r="D17367" s="2">
        <v>2.0881163222914601E-2</v>
      </c>
      <c r="E17367" s="2">
        <v>6.6633013629480001E-2</v>
      </c>
      <c r="F17367" s="2">
        <v>4.0758940183197298E-2</v>
      </c>
    </row>
    <row r="17368" spans="1:6" x14ac:dyDescent="0.25">
      <c r="A17368" s="1" t="str">
        <f t="shared" si="654"/>
        <v>29420</v>
      </c>
      <c r="B17368" s="1" t="str">
        <f>"86444"</f>
        <v>86444</v>
      </c>
      <c r="C17368" s="2">
        <v>1.8873711279401701E-3</v>
      </c>
      <c r="D17368" s="2">
        <v>6.5595277140045904E-4</v>
      </c>
      <c r="E17368" s="2">
        <v>0</v>
      </c>
      <c r="F17368" s="2">
        <v>1.72933757934917E-3</v>
      </c>
    </row>
    <row r="17369" spans="1:6" x14ac:dyDescent="0.25">
      <c r="A17369" s="1" t="str">
        <f t="shared" si="654"/>
        <v>29420</v>
      </c>
      <c r="B17369" s="1" t="str">
        <f>"86401"</f>
        <v>86401</v>
      </c>
      <c r="C17369" s="2">
        <v>0.101524838590448</v>
      </c>
      <c r="D17369" s="2">
        <v>0.11511971138078</v>
      </c>
      <c r="E17369" s="2">
        <v>7.2354029951203006E-2</v>
      </c>
      <c r="F17369" s="2">
        <v>0.101180308047043</v>
      </c>
    </row>
    <row r="17370" spans="1:6" x14ac:dyDescent="0.25">
      <c r="A17370" s="1" t="str">
        <f t="shared" si="654"/>
        <v>29420</v>
      </c>
      <c r="B17370" s="1" t="str">
        <f>"85360"</f>
        <v>85360</v>
      </c>
      <c r="C17370" s="2">
        <v>7.8640463664173698E-6</v>
      </c>
      <c r="D17370" s="2">
        <v>0</v>
      </c>
      <c r="E17370" s="2">
        <v>1.6826518593303E-4</v>
      </c>
      <c r="F17370" s="2">
        <v>1.40596551166599E-5</v>
      </c>
    </row>
    <row r="17371" spans="1:6" x14ac:dyDescent="0.25">
      <c r="A17371" s="1" t="str">
        <f t="shared" si="654"/>
        <v>29420</v>
      </c>
      <c r="B17371" s="1" t="str">
        <f>"86445"</f>
        <v>86445</v>
      </c>
      <c r="C17371" s="2">
        <v>3.2478511493303701E-3</v>
      </c>
      <c r="D17371" s="2">
        <v>6.5595277140045904E-4</v>
      </c>
      <c r="E17371" s="2">
        <v>3.3653037186606E-4</v>
      </c>
      <c r="F17371" s="2">
        <v>2.9595574020569201E-3</v>
      </c>
    </row>
    <row r="17372" spans="1:6" x14ac:dyDescent="0.25">
      <c r="A17372" s="1" t="str">
        <f t="shared" si="654"/>
        <v>29420</v>
      </c>
      <c r="B17372" s="1" t="str">
        <f>"86442"</f>
        <v>86442</v>
      </c>
      <c r="C17372" s="2">
        <v>0.15710791830828599</v>
      </c>
      <c r="D17372" s="2">
        <v>0.16267628730731301</v>
      </c>
      <c r="E17372" s="2">
        <v>0.164226821470637</v>
      </c>
      <c r="F17372" s="2">
        <v>0.157763390064041</v>
      </c>
    </row>
    <row r="17373" spans="1:6" x14ac:dyDescent="0.25">
      <c r="A17373" s="1" t="str">
        <f t="shared" si="654"/>
        <v>29420</v>
      </c>
      <c r="B17373" s="1" t="str">
        <f>"86409"</f>
        <v>86409</v>
      </c>
      <c r="C17373" s="2">
        <v>0.11034043456720199</v>
      </c>
      <c r="D17373" s="2">
        <v>9.8830217557669103E-2</v>
      </c>
      <c r="E17373" s="2">
        <v>9.4733299680296104E-2</v>
      </c>
      <c r="F17373" s="2">
        <v>0.108948267498998</v>
      </c>
    </row>
    <row r="17374" spans="1:6" x14ac:dyDescent="0.25">
      <c r="A17374" s="1" t="str">
        <f t="shared" si="654"/>
        <v>29420</v>
      </c>
      <c r="B17374" s="1" t="str">
        <f>"86441"</f>
        <v>86441</v>
      </c>
      <c r="C17374" s="2">
        <v>1.1882574059656601E-2</v>
      </c>
      <c r="D17374" s="2">
        <v>9.72996610910681E-3</v>
      </c>
      <c r="E17374" s="2">
        <v>5.0479555779909104E-4</v>
      </c>
      <c r="F17374" s="2">
        <v>1.1268813576002901E-2</v>
      </c>
    </row>
    <row r="17375" spans="1:6" x14ac:dyDescent="0.25">
      <c r="A17375" s="1" t="str">
        <f t="shared" si="654"/>
        <v>29420</v>
      </c>
      <c r="B17375" s="1" t="str">
        <f>"86439"</f>
        <v>86439</v>
      </c>
      <c r="C17375" s="2">
        <v>1.66167299722399E-2</v>
      </c>
      <c r="D17375" s="2">
        <v>1.8803979446813099E-2</v>
      </c>
      <c r="E17375" s="2">
        <v>3.3653037186606E-4</v>
      </c>
      <c r="F17375" s="2">
        <v>1.6077215625900601E-2</v>
      </c>
    </row>
    <row r="17376" spans="1:6" x14ac:dyDescent="0.25">
      <c r="A17376" s="1" t="str">
        <f t="shared" si="654"/>
        <v>29420</v>
      </c>
      <c r="B17376" s="1" t="str">
        <f>"86403"</f>
        <v>86403</v>
      </c>
      <c r="C17376" s="2">
        <v>9.2874387587389196E-2</v>
      </c>
      <c r="D17376" s="2">
        <v>0.239532087023067</v>
      </c>
      <c r="E17376" s="2">
        <v>0.250210331482416</v>
      </c>
      <c r="F17376" s="2">
        <v>0.108877969223414</v>
      </c>
    </row>
    <row r="17377" spans="1:6" x14ac:dyDescent="0.25">
      <c r="A17377" s="1" t="str">
        <f t="shared" si="654"/>
        <v>29420</v>
      </c>
      <c r="B17377" s="1" t="str">
        <f>"86406"</f>
        <v>86406</v>
      </c>
      <c r="C17377" s="2">
        <v>0.110073056990744</v>
      </c>
      <c r="D17377" s="2">
        <v>2.4598228927517202E-2</v>
      </c>
      <c r="E17377" s="2">
        <v>0.16220763923944101</v>
      </c>
      <c r="F17377" s="2">
        <v>0.10675496130079901</v>
      </c>
    </row>
    <row r="17378" spans="1:6" x14ac:dyDescent="0.25">
      <c r="A17378" s="1" t="str">
        <f t="shared" si="654"/>
        <v>29420</v>
      </c>
      <c r="B17378" s="1" t="str">
        <f>"86436"</f>
        <v>86436</v>
      </c>
      <c r="C17378" s="2">
        <v>9.4368556397008506E-5</v>
      </c>
      <c r="D17378" s="2">
        <v>6.5595277140045904E-4</v>
      </c>
      <c r="E17378" s="2">
        <v>0</v>
      </c>
      <c r="F17378" s="2">
        <v>1.2653689604993901E-4</v>
      </c>
    </row>
    <row r="17379" spans="1:6" x14ac:dyDescent="0.25">
      <c r="A17379" s="1" t="str">
        <f t="shared" si="654"/>
        <v>29420</v>
      </c>
      <c r="B17379" s="1" t="str">
        <f>"86412"</f>
        <v>86412</v>
      </c>
      <c r="C17379" s="2">
        <v>3.52309277215498E-3</v>
      </c>
      <c r="D17379" s="2">
        <v>1.8585328523013E-3</v>
      </c>
      <c r="E17379" s="2">
        <v>3.3653037186606E-4</v>
      </c>
      <c r="F17379" s="2">
        <v>3.2829294697401001E-3</v>
      </c>
    </row>
    <row r="17380" spans="1:6" x14ac:dyDescent="0.25">
      <c r="A17380" s="1" t="str">
        <f t="shared" si="654"/>
        <v>29420</v>
      </c>
      <c r="B17380" s="1" t="str">
        <f>"86446"</f>
        <v>86446</v>
      </c>
      <c r="C17380" s="2">
        <v>1.73087660524846E-2</v>
      </c>
      <c r="D17380" s="2">
        <v>1.0823220728107499E-2</v>
      </c>
      <c r="E17380" s="2">
        <v>3.3653037186606E-4</v>
      </c>
      <c r="F17380" s="2">
        <v>1.61826630392756E-2</v>
      </c>
    </row>
    <row r="17381" spans="1:6" x14ac:dyDescent="0.25">
      <c r="A17381" s="1" t="str">
        <f t="shared" si="654"/>
        <v>29420</v>
      </c>
      <c r="B17381" s="1" t="str">
        <f>"86405"</f>
        <v>86405</v>
      </c>
      <c r="C17381" s="2">
        <v>2.0650985758212E-2</v>
      </c>
      <c r="D17381" s="2">
        <v>7.4887941401552402E-2</v>
      </c>
      <c r="E17381" s="2">
        <v>3.3653037186606E-4</v>
      </c>
      <c r="F17381" s="2">
        <v>2.32898187007472E-2</v>
      </c>
    </row>
    <row r="17382" spans="1:6" x14ac:dyDescent="0.25">
      <c r="A17382" s="1" t="str">
        <f t="shared" si="654"/>
        <v>29420</v>
      </c>
      <c r="B17382" s="1" t="str">
        <f>"86402"</f>
        <v>86402</v>
      </c>
      <c r="C17382" s="2">
        <v>1.73009020061182E-2</v>
      </c>
      <c r="D17382" s="2">
        <v>3.2906964031923003E-2</v>
      </c>
      <c r="E17382" s="2">
        <v>6.7306074373212098E-4</v>
      </c>
      <c r="F17382" s="2">
        <v>1.7609718033616599E-2</v>
      </c>
    </row>
    <row r="17383" spans="1:6" x14ac:dyDescent="0.25">
      <c r="A17383" s="1" t="str">
        <f t="shared" si="654"/>
        <v>29420</v>
      </c>
      <c r="B17383" s="1" t="str">
        <f>"86434"</f>
        <v>86434</v>
      </c>
      <c r="C17383" s="2">
        <v>6.6057989477905901E-4</v>
      </c>
      <c r="D17383" s="2">
        <v>1.09325461900076E-3</v>
      </c>
      <c r="E17383" s="2">
        <v>1.6826518593303E-4</v>
      </c>
      <c r="F17383" s="2">
        <v>6.6783361804134895E-4</v>
      </c>
    </row>
    <row r="17384" spans="1:6" x14ac:dyDescent="0.25">
      <c r="A17384" s="1" t="str">
        <f t="shared" si="654"/>
        <v>29420</v>
      </c>
      <c r="B17384" s="1" t="str">
        <f>"86430"</f>
        <v>86430</v>
      </c>
      <c r="C17384" s="2">
        <v>2.13272937457239E-2</v>
      </c>
      <c r="D17384" s="2">
        <v>1.2900404504209E-2</v>
      </c>
      <c r="E17384" s="2">
        <v>3.3653037186606E-4</v>
      </c>
      <c r="F17384" s="2">
        <v>1.9908471645190499E-2</v>
      </c>
    </row>
    <row r="17385" spans="1:6" x14ac:dyDescent="0.25">
      <c r="A17385" s="1" t="str">
        <f t="shared" ref="A17385:A17416" si="655">"29460"</f>
        <v>29460</v>
      </c>
      <c r="B17385" s="1" t="str">
        <f>"33812"</f>
        <v>33812</v>
      </c>
      <c r="C17385" s="2">
        <v>1.5831810778858899E-2</v>
      </c>
      <c r="D17385" s="2">
        <v>5.2571860816944E-3</v>
      </c>
      <c r="E17385" s="2">
        <v>1.1237897648685999E-2</v>
      </c>
      <c r="F17385" s="2">
        <v>1.5056909499090099E-2</v>
      </c>
    </row>
    <row r="17386" spans="1:6" x14ac:dyDescent="0.25">
      <c r="A17386" s="1" t="str">
        <f t="shared" si="655"/>
        <v>29460</v>
      </c>
      <c r="B17386" s="1" t="str">
        <f>"33823"</f>
        <v>33823</v>
      </c>
      <c r="C17386" s="2">
        <v>4.2683884622061997E-2</v>
      </c>
      <c r="D17386" s="2">
        <v>3.4909228441754897E-2</v>
      </c>
      <c r="E17386" s="2">
        <v>8.2641770401106499E-2</v>
      </c>
      <c r="F17386" s="2">
        <v>4.2748563025656702E-2</v>
      </c>
    </row>
    <row r="17387" spans="1:6" x14ac:dyDescent="0.25">
      <c r="A17387" s="1" t="str">
        <f t="shared" si="655"/>
        <v>29460</v>
      </c>
      <c r="B17387" s="1" t="str">
        <f>"33847"</f>
        <v>33847</v>
      </c>
      <c r="C17387" s="2">
        <v>0</v>
      </c>
      <c r="D17387" s="2">
        <v>0</v>
      </c>
      <c r="E17387" s="2">
        <v>3.4578146611341601E-4</v>
      </c>
      <c r="F17387" s="2">
        <v>5.0619968058800098E-6</v>
      </c>
    </row>
    <row r="17388" spans="1:6" x14ac:dyDescent="0.25">
      <c r="A17388" s="1" t="str">
        <f t="shared" si="655"/>
        <v>29460</v>
      </c>
      <c r="B17388" s="1" t="str">
        <f>"33860"</f>
        <v>33860</v>
      </c>
      <c r="C17388" s="2">
        <v>2.9442483265679501E-2</v>
      </c>
      <c r="D17388" s="2">
        <v>2.68154311649016E-2</v>
      </c>
      <c r="E17388" s="2">
        <v>9.6818810511756503E-3</v>
      </c>
      <c r="F17388" s="2">
        <v>2.8977400715260102E-2</v>
      </c>
    </row>
    <row r="17389" spans="1:6" x14ac:dyDescent="0.25">
      <c r="A17389" s="1" t="str">
        <f t="shared" si="655"/>
        <v>29460</v>
      </c>
      <c r="B17389" s="1" t="str">
        <f>"33846"</f>
        <v>33846</v>
      </c>
      <c r="C17389" s="2">
        <v>3.1718736651813102E-3</v>
      </c>
      <c r="D17389" s="2">
        <v>7.7912254160362997E-3</v>
      </c>
      <c r="E17389" s="2">
        <v>6.9156293222683203E-4</v>
      </c>
      <c r="F17389" s="2">
        <v>3.4446888264013501E-3</v>
      </c>
    </row>
    <row r="17390" spans="1:6" x14ac:dyDescent="0.25">
      <c r="A17390" s="1" t="str">
        <f t="shared" si="655"/>
        <v>29460</v>
      </c>
      <c r="B17390" s="1" t="str">
        <f>"33837"</f>
        <v>33837</v>
      </c>
      <c r="C17390" s="2">
        <v>4.7619441298291099E-2</v>
      </c>
      <c r="D17390" s="2">
        <v>1.9894099848714E-2</v>
      </c>
      <c r="E17390" s="2">
        <v>1.6770401106500601E-2</v>
      </c>
      <c r="F17390" s="2">
        <v>4.5312464407834901E-2</v>
      </c>
    </row>
    <row r="17391" spans="1:6" x14ac:dyDescent="0.25">
      <c r="A17391" s="1" t="str">
        <f t="shared" si="655"/>
        <v>29460</v>
      </c>
      <c r="B17391" s="1" t="str">
        <f>"33838"</f>
        <v>33838</v>
      </c>
      <c r="C17391" s="2">
        <v>9.9951223141725703E-3</v>
      </c>
      <c r="D17391" s="2">
        <v>1.4296520423600601E-2</v>
      </c>
      <c r="E17391" s="2">
        <v>2.5933609958506201E-3</v>
      </c>
      <c r="F17391" s="2">
        <v>1.01746135798188E-2</v>
      </c>
    </row>
    <row r="17392" spans="1:6" x14ac:dyDescent="0.25">
      <c r="A17392" s="1" t="str">
        <f t="shared" si="655"/>
        <v>29460</v>
      </c>
      <c r="B17392" s="1" t="str">
        <f>"33863"</f>
        <v>33863</v>
      </c>
      <c r="C17392" s="2">
        <v>0</v>
      </c>
      <c r="D17392" s="2">
        <v>0</v>
      </c>
      <c r="E17392" s="2">
        <v>1.7289073305670801E-4</v>
      </c>
      <c r="F17392" s="2">
        <v>2.5309984029399998E-6</v>
      </c>
    </row>
    <row r="17393" spans="1:6" x14ac:dyDescent="0.25">
      <c r="A17393" s="1" t="str">
        <f t="shared" si="655"/>
        <v>29460</v>
      </c>
      <c r="B17393" s="1" t="str">
        <f>"33858"</f>
        <v>33858</v>
      </c>
      <c r="C17393" s="2">
        <v>2.37821631020979E-3</v>
      </c>
      <c r="D17393" s="2">
        <v>3.21482602118003E-3</v>
      </c>
      <c r="E17393" s="2">
        <v>5.1867219917012405E-4</v>
      </c>
      <c r="F17393" s="2">
        <v>2.4069794811959399E-3</v>
      </c>
    </row>
    <row r="17394" spans="1:6" x14ac:dyDescent="0.25">
      <c r="A17394" s="1" t="str">
        <f t="shared" si="655"/>
        <v>29460</v>
      </c>
      <c r="B17394" s="1" t="str">
        <f>"33820"</f>
        <v>33820</v>
      </c>
      <c r="C17394" s="2">
        <v>3.5824811161908803E-5</v>
      </c>
      <c r="D17394" s="2">
        <v>0</v>
      </c>
      <c r="E17394" s="2">
        <v>1.7289073305670801E-4</v>
      </c>
      <c r="F17394" s="2">
        <v>3.5433977641160102E-5</v>
      </c>
    </row>
    <row r="17395" spans="1:6" x14ac:dyDescent="0.25">
      <c r="A17395" s="1" t="str">
        <f t="shared" si="655"/>
        <v>29460</v>
      </c>
      <c r="B17395" s="1" t="str">
        <f>"33867"</f>
        <v>33867</v>
      </c>
      <c r="C17395" s="2">
        <v>1.6341625399239901E-3</v>
      </c>
      <c r="D17395" s="2">
        <v>0</v>
      </c>
      <c r="E17395" s="2">
        <v>1.7289073305670801E-4</v>
      </c>
      <c r="F17395" s="2">
        <v>1.50341305134636E-3</v>
      </c>
    </row>
    <row r="17396" spans="1:6" x14ac:dyDescent="0.25">
      <c r="A17396" s="1" t="str">
        <f t="shared" si="655"/>
        <v>29460</v>
      </c>
      <c r="B17396" s="1" t="str">
        <f>"33547"</f>
        <v>33547</v>
      </c>
      <c r="C17396" s="2">
        <v>1.7912405580954401E-4</v>
      </c>
      <c r="D17396" s="2">
        <v>3.7821482602118E-5</v>
      </c>
      <c r="E17396" s="2">
        <v>1.7289073305670801E-4</v>
      </c>
      <c r="F17396" s="2">
        <v>1.6957689299698E-4</v>
      </c>
    </row>
    <row r="17397" spans="1:6" x14ac:dyDescent="0.25">
      <c r="A17397" s="1" t="str">
        <f t="shared" si="655"/>
        <v>29460</v>
      </c>
      <c r="B17397" s="1" t="str">
        <f>"33849"</f>
        <v>33849</v>
      </c>
      <c r="C17397" s="2">
        <v>8.4601669436200095E-4</v>
      </c>
      <c r="D17397" s="2">
        <v>1.51285930408472E-4</v>
      </c>
      <c r="E17397" s="2">
        <v>3.4578146611341601E-4</v>
      </c>
      <c r="F17397" s="2">
        <v>7.9220250012022203E-4</v>
      </c>
    </row>
    <row r="17398" spans="1:6" x14ac:dyDescent="0.25">
      <c r="A17398" s="1" t="str">
        <f t="shared" si="655"/>
        <v>29460</v>
      </c>
      <c r="B17398" s="1" t="str">
        <f>"33883"</f>
        <v>33883</v>
      </c>
      <c r="C17398" s="2">
        <v>3.6293289461718399E-3</v>
      </c>
      <c r="D17398" s="2">
        <v>1.55446293494704E-2</v>
      </c>
      <c r="E17398" s="2">
        <v>3.4578146611341601E-4</v>
      </c>
      <c r="F17398" s="2">
        <v>4.3786272370862104E-3</v>
      </c>
    </row>
    <row r="17399" spans="1:6" x14ac:dyDescent="0.25">
      <c r="A17399" s="1" t="str">
        <f t="shared" si="655"/>
        <v>29460</v>
      </c>
      <c r="B17399" s="1" t="str">
        <f>"33897"</f>
        <v>33897</v>
      </c>
      <c r="C17399" s="2">
        <v>3.6320847008765998E-2</v>
      </c>
      <c r="D17399" s="2">
        <v>9.2284417549167892E-3</v>
      </c>
      <c r="E17399" s="2">
        <v>1.6078838174273798E-2</v>
      </c>
      <c r="F17399" s="2">
        <v>3.4211505412539998E-2</v>
      </c>
    </row>
    <row r="17400" spans="1:6" x14ac:dyDescent="0.25">
      <c r="A17400" s="1" t="str">
        <f t="shared" si="655"/>
        <v>29460</v>
      </c>
      <c r="B17400" s="1" t="str">
        <f>"33898"</f>
        <v>33898</v>
      </c>
      <c r="C17400" s="2">
        <v>2.8265776006745999E-2</v>
      </c>
      <c r="D17400" s="2">
        <v>9.8335854765506797E-3</v>
      </c>
      <c r="E17400" s="2">
        <v>5.7053941908713603E-3</v>
      </c>
      <c r="F17400" s="2">
        <v>2.6702033151017001E-2</v>
      </c>
    </row>
    <row r="17401" spans="1:6" x14ac:dyDescent="0.25">
      <c r="A17401" s="1" t="str">
        <f t="shared" si="655"/>
        <v>29460</v>
      </c>
      <c r="B17401" s="1" t="str">
        <f>"33806"</f>
        <v>33806</v>
      </c>
      <c r="C17401" s="2">
        <v>1.9703646139049799E-3</v>
      </c>
      <c r="D17401" s="2">
        <v>9.9848714069591497E-3</v>
      </c>
      <c r="E17401" s="2">
        <v>3.4578146611341601E-4</v>
      </c>
      <c r="F17401" s="2">
        <v>2.4829094332841401E-3</v>
      </c>
    </row>
    <row r="17402" spans="1:6" x14ac:dyDescent="0.25">
      <c r="A17402" s="1" t="str">
        <f t="shared" si="655"/>
        <v>29460</v>
      </c>
      <c r="B17402" s="1" t="str">
        <f>"33844"</f>
        <v>33844</v>
      </c>
      <c r="C17402" s="2">
        <v>5.7801954932387503E-2</v>
      </c>
      <c r="D17402" s="2">
        <v>4.0468986384266201E-2</v>
      </c>
      <c r="E17402" s="2">
        <v>6.9674965421853294E-2</v>
      </c>
      <c r="F17402" s="2">
        <v>5.6815852149197203E-2</v>
      </c>
    </row>
    <row r="17403" spans="1:6" x14ac:dyDescent="0.25">
      <c r="A17403" s="1" t="str">
        <f t="shared" si="655"/>
        <v>29460</v>
      </c>
      <c r="B17403" s="1" t="str">
        <f>"33803"</f>
        <v>33803</v>
      </c>
      <c r="C17403" s="2">
        <v>4.2493737547433401E-2</v>
      </c>
      <c r="D17403" s="2">
        <v>6.2556732223903094E-2</v>
      </c>
      <c r="E17403" s="2">
        <v>7.6071922544951501E-2</v>
      </c>
      <c r="F17403" s="2">
        <v>4.4327906029091202E-2</v>
      </c>
    </row>
    <row r="17404" spans="1:6" x14ac:dyDescent="0.25">
      <c r="A17404" s="1" t="str">
        <f t="shared" si="655"/>
        <v>29460</v>
      </c>
      <c r="B17404" s="1" t="str">
        <f>"33809"</f>
        <v>33809</v>
      </c>
      <c r="C17404" s="2">
        <v>3.8051460963356702E-2</v>
      </c>
      <c r="D17404" s="2">
        <v>3.7329803328290397E-2</v>
      </c>
      <c r="E17404" s="2">
        <v>3.47510373443983E-2</v>
      </c>
      <c r="F17404" s="2">
        <v>3.7954852050488298E-2</v>
      </c>
    </row>
    <row r="17405" spans="1:6" x14ac:dyDescent="0.25">
      <c r="A17405" s="1" t="str">
        <f t="shared" si="655"/>
        <v>29460</v>
      </c>
      <c r="B17405" s="1" t="str">
        <f>"33810"</f>
        <v>33810</v>
      </c>
      <c r="C17405" s="2">
        <v>6.0419921901911602E-2</v>
      </c>
      <c r="D17405" s="2">
        <v>1.23298033282904E-2</v>
      </c>
      <c r="E17405" s="2">
        <v>3.1293222683264101E-2</v>
      </c>
      <c r="F17405" s="2">
        <v>5.6775356174750199E-2</v>
      </c>
    </row>
    <row r="17406" spans="1:6" x14ac:dyDescent="0.25">
      <c r="A17406" s="1" t="str">
        <f t="shared" si="655"/>
        <v>29460</v>
      </c>
      <c r="B17406" s="1" t="str">
        <f>"33802"</f>
        <v>33802</v>
      </c>
      <c r="C17406" s="2">
        <v>7.8979929838485195E-3</v>
      </c>
      <c r="D17406" s="2">
        <v>1.76626323751891E-2</v>
      </c>
      <c r="E17406" s="2">
        <v>3.4578146611341601E-4</v>
      </c>
      <c r="F17406" s="2">
        <v>8.4408796738049199E-3</v>
      </c>
    </row>
    <row r="17407" spans="1:6" x14ac:dyDescent="0.25">
      <c r="A17407" s="1" t="str">
        <f t="shared" si="655"/>
        <v>29460</v>
      </c>
      <c r="B17407" s="1" t="str">
        <f>"33811"</f>
        <v>33811</v>
      </c>
      <c r="C17407" s="2">
        <v>2.8601978080727002E-2</v>
      </c>
      <c r="D17407" s="2">
        <v>3.2753403933434101E-2</v>
      </c>
      <c r="E17407" s="2">
        <v>2.6625172890733E-2</v>
      </c>
      <c r="F17407" s="2">
        <v>2.8850850795113101E-2</v>
      </c>
    </row>
    <row r="17408" spans="1:6" x14ac:dyDescent="0.25">
      <c r="A17408" s="1" t="str">
        <f t="shared" si="655"/>
        <v>29460</v>
      </c>
      <c r="B17408" s="1" t="str">
        <f>"33830"</f>
        <v>33830</v>
      </c>
      <c r="C17408" s="2">
        <v>3.4962259939318202E-2</v>
      </c>
      <c r="D17408" s="2">
        <v>5.35173978819969E-2</v>
      </c>
      <c r="E17408" s="2">
        <v>3.9419087136929397E-2</v>
      </c>
      <c r="F17408" s="2">
        <v>3.62692071141303E-2</v>
      </c>
    </row>
    <row r="17409" spans="1:6" x14ac:dyDescent="0.25">
      <c r="A17409" s="1" t="str">
        <f t="shared" si="655"/>
        <v>29460</v>
      </c>
      <c r="B17409" s="1" t="str">
        <f>"34759"</f>
        <v>34759</v>
      </c>
      <c r="C17409" s="2">
        <v>4.2810649338480999E-2</v>
      </c>
      <c r="D17409" s="2">
        <v>3.0257186081694399E-3</v>
      </c>
      <c r="E17409" s="2">
        <v>1.3831258644536599E-3</v>
      </c>
      <c r="F17409" s="2">
        <v>3.95417880491317E-2</v>
      </c>
    </row>
    <row r="17410" spans="1:6" x14ac:dyDescent="0.25">
      <c r="A17410" s="1" t="str">
        <f t="shared" si="655"/>
        <v>29460</v>
      </c>
      <c r="B17410" s="1" t="str">
        <f>"33882"</f>
        <v>33882</v>
      </c>
      <c r="C17410" s="2">
        <v>2.1026408397335698E-3</v>
      </c>
      <c r="D17410" s="2">
        <v>1.16111951588502E-2</v>
      </c>
      <c r="E17410" s="2">
        <v>3.4578146611341601E-4</v>
      </c>
      <c r="F17410" s="2">
        <v>2.7132302879516799E-3</v>
      </c>
    </row>
    <row r="17411" spans="1:6" x14ac:dyDescent="0.25">
      <c r="A17411" s="1" t="str">
        <f t="shared" si="655"/>
        <v>29460</v>
      </c>
      <c r="B17411" s="1" t="str">
        <f>"34714"</f>
        <v>34714</v>
      </c>
      <c r="C17411" s="2">
        <v>0</v>
      </c>
      <c r="D17411" s="2">
        <v>1.66414523449319E-3</v>
      </c>
      <c r="E17411" s="2">
        <v>1.5560165975103701E-3</v>
      </c>
      <c r="F17411" s="2">
        <v>1.3414291535581999E-4</v>
      </c>
    </row>
    <row r="17412" spans="1:6" x14ac:dyDescent="0.25">
      <c r="A17412" s="1" t="str">
        <f t="shared" si="655"/>
        <v>29460</v>
      </c>
      <c r="B17412" s="1" t="str">
        <f>"33854"</f>
        <v>33854</v>
      </c>
      <c r="C17412" s="2">
        <v>8.9562027904772099E-4</v>
      </c>
      <c r="D17412" s="2">
        <v>0</v>
      </c>
      <c r="E17412" s="2">
        <v>1.7289073305670801E-4</v>
      </c>
      <c r="F17412" s="2">
        <v>8.2510547935844196E-4</v>
      </c>
    </row>
    <row r="17413" spans="1:6" x14ac:dyDescent="0.25">
      <c r="A17413" s="1" t="str">
        <f t="shared" si="655"/>
        <v>29460</v>
      </c>
      <c r="B17413" s="1" t="str">
        <f>"33807"</f>
        <v>33807</v>
      </c>
      <c r="C17413" s="2">
        <v>3.3868225321527601E-3</v>
      </c>
      <c r="D17413" s="2">
        <v>2.4130105900151199E-2</v>
      </c>
      <c r="E17413" s="2">
        <v>3.4578146611341601E-4</v>
      </c>
      <c r="F17413" s="2">
        <v>4.73043601509487E-3</v>
      </c>
    </row>
    <row r="17414" spans="1:6" x14ac:dyDescent="0.25">
      <c r="A17414" s="1" t="str">
        <f t="shared" si="655"/>
        <v>29460</v>
      </c>
      <c r="B17414" s="1" t="str">
        <f>"33880"</f>
        <v>33880</v>
      </c>
      <c r="C17414" s="2">
        <v>5.19845567506345E-2</v>
      </c>
      <c r="D17414" s="2">
        <v>8.0105900151285894E-2</v>
      </c>
      <c r="E17414" s="2">
        <v>6.1203319502074603E-2</v>
      </c>
      <c r="F17414" s="2">
        <v>5.4001381925128003E-2</v>
      </c>
    </row>
    <row r="17415" spans="1:6" x14ac:dyDescent="0.25">
      <c r="A17415" s="1" t="str">
        <f t="shared" si="655"/>
        <v>29460</v>
      </c>
      <c r="B17415" s="1" t="str">
        <f>"33845"</f>
        <v>33845</v>
      </c>
      <c r="C17415" s="2">
        <v>8.3030889254485599E-3</v>
      </c>
      <c r="D17415" s="2">
        <v>7.5642965204235999E-3</v>
      </c>
      <c r="E17415" s="2">
        <v>3.4578146611341601E-4</v>
      </c>
      <c r="F17415" s="2">
        <v>8.1371598654521194E-3</v>
      </c>
    </row>
    <row r="17416" spans="1:6" x14ac:dyDescent="0.25">
      <c r="A17416" s="1" t="str">
        <f t="shared" si="655"/>
        <v>29460</v>
      </c>
      <c r="B17416" s="1" t="str">
        <f>"33801"</f>
        <v>33801</v>
      </c>
      <c r="C17416" s="2">
        <v>4.4513705746024097E-2</v>
      </c>
      <c r="D17416" s="2">
        <v>9.4137670196671699E-2</v>
      </c>
      <c r="E17416" s="2">
        <v>0.15992392807745501</v>
      </c>
      <c r="F17416" s="2">
        <v>4.9524045750327102E-2</v>
      </c>
    </row>
    <row r="17417" spans="1:6" x14ac:dyDescent="0.25">
      <c r="A17417" s="1" t="str">
        <f t="shared" ref="A17417:A17442" si="656">"29460"</f>
        <v>29460</v>
      </c>
      <c r="B17417" s="1" t="str">
        <f>"33827"</f>
        <v>33827</v>
      </c>
      <c r="C17417" s="2">
        <v>3.9820655483814001E-3</v>
      </c>
      <c r="D17417" s="2">
        <v>1.2102874432677699E-3</v>
      </c>
      <c r="E17417" s="2">
        <v>2.7662517289073298E-3</v>
      </c>
      <c r="F17417" s="2">
        <v>3.7787806155894299E-3</v>
      </c>
    </row>
    <row r="17418" spans="1:6" x14ac:dyDescent="0.25">
      <c r="A17418" s="1" t="str">
        <f t="shared" si="656"/>
        <v>29460</v>
      </c>
      <c r="B17418" s="1" t="str">
        <f>"33843"</f>
        <v>33843</v>
      </c>
      <c r="C17418" s="2">
        <v>1.93068174615641E-2</v>
      </c>
      <c r="D17418" s="2">
        <v>1.1081694402420499E-2</v>
      </c>
      <c r="E17418" s="2">
        <v>1.36583679114799E-2</v>
      </c>
      <c r="F17418" s="2">
        <v>1.8673706216891298E-2</v>
      </c>
    </row>
    <row r="17419" spans="1:6" x14ac:dyDescent="0.25">
      <c r="A17419" s="1" t="str">
        <f t="shared" si="656"/>
        <v>29460</v>
      </c>
      <c r="B17419" s="1" t="str">
        <f>"33859"</f>
        <v>33859</v>
      </c>
      <c r="C17419" s="2">
        <v>1.9761516987849798E-2</v>
      </c>
      <c r="D17419" s="2">
        <v>2.93494704992435E-2</v>
      </c>
      <c r="E17419" s="2">
        <v>6.2240663900414899E-3</v>
      </c>
      <c r="F17419" s="2">
        <v>2.020496025067E-2</v>
      </c>
    </row>
    <row r="17420" spans="1:6" x14ac:dyDescent="0.25">
      <c r="A17420" s="1" t="str">
        <f t="shared" si="656"/>
        <v>29460</v>
      </c>
      <c r="B17420" s="1" t="str">
        <f>"33884"</f>
        <v>33884</v>
      </c>
      <c r="C17420" s="2">
        <v>4.5097925743433701E-2</v>
      </c>
      <c r="D17420" s="2">
        <v>2.7080181543116401E-2</v>
      </c>
      <c r="E17420" s="2">
        <v>1.6078838174273798E-2</v>
      </c>
      <c r="F17420" s="2">
        <v>4.3467366572091597E-2</v>
      </c>
    </row>
    <row r="17421" spans="1:6" x14ac:dyDescent="0.25">
      <c r="A17421" s="1" t="str">
        <f t="shared" si="656"/>
        <v>29460</v>
      </c>
      <c r="B17421" s="1" t="str">
        <f>"33813"</f>
        <v>33813</v>
      </c>
      <c r="C17421" s="2">
        <v>4.1992190191166699E-2</v>
      </c>
      <c r="D17421" s="2">
        <v>5.0869894099848698E-2</v>
      </c>
      <c r="E17421" s="2">
        <v>4.3568464730290399E-2</v>
      </c>
      <c r="F17421" s="2">
        <v>4.2609358113494998E-2</v>
      </c>
    </row>
    <row r="17422" spans="1:6" x14ac:dyDescent="0.25">
      <c r="A17422" s="1" t="str">
        <f t="shared" si="656"/>
        <v>29460</v>
      </c>
      <c r="B17422" s="1" t="str">
        <f>"33815"</f>
        <v>33815</v>
      </c>
      <c r="C17422" s="2">
        <v>2.33329750852217E-2</v>
      </c>
      <c r="D17422" s="2">
        <v>3.4152798789712502E-2</v>
      </c>
      <c r="E17422" s="2">
        <v>3.6825726141078798E-2</v>
      </c>
      <c r="F17422" s="2">
        <v>2.4254557695374001E-2</v>
      </c>
    </row>
    <row r="17423" spans="1:6" x14ac:dyDescent="0.25">
      <c r="A17423" s="1" t="str">
        <f t="shared" si="656"/>
        <v>29460</v>
      </c>
      <c r="B17423" s="1" t="str">
        <f>"33839"</f>
        <v>33839</v>
      </c>
      <c r="C17423" s="2">
        <v>9.6010493913915706E-3</v>
      </c>
      <c r="D17423" s="2">
        <v>1.1195158850226899E-2</v>
      </c>
      <c r="E17423" s="2">
        <v>4.3222683264176999E-3</v>
      </c>
      <c r="F17423" s="2">
        <v>9.6304489231867196E-3</v>
      </c>
    </row>
    <row r="17424" spans="1:6" x14ac:dyDescent="0.25">
      <c r="A17424" s="1" t="str">
        <f t="shared" si="656"/>
        <v>29460</v>
      </c>
      <c r="B17424" s="1" t="str">
        <f>"33804"</f>
        <v>33804</v>
      </c>
      <c r="C17424" s="2">
        <v>5.46466157954348E-3</v>
      </c>
      <c r="D17424" s="2">
        <v>1.9553706505295001E-2</v>
      </c>
      <c r="E17424" s="2">
        <v>3.4578146611341601E-4</v>
      </c>
      <c r="F17424" s="2">
        <v>6.3325580041558903E-3</v>
      </c>
    </row>
    <row r="17425" spans="1:6" x14ac:dyDescent="0.25">
      <c r="A17425" s="1" t="str">
        <f t="shared" si="656"/>
        <v>29460</v>
      </c>
      <c r="B17425" s="1" t="str">
        <f>"33840"</f>
        <v>33840</v>
      </c>
      <c r="C17425" s="2">
        <v>5.7044122388577902E-3</v>
      </c>
      <c r="D17425" s="2">
        <v>7.2995461422087696E-3</v>
      </c>
      <c r="E17425" s="2">
        <v>1.3831258644536599E-3</v>
      </c>
      <c r="F17425" s="2">
        <v>5.7478973730767501E-3</v>
      </c>
    </row>
    <row r="17426" spans="1:6" x14ac:dyDescent="0.25">
      <c r="A17426" s="1" t="str">
        <f t="shared" si="656"/>
        <v>29460</v>
      </c>
      <c r="B17426" s="1" t="str">
        <f>"33851"</f>
        <v>33851</v>
      </c>
      <c r="C17426" s="2">
        <v>5.5115094095244297E-6</v>
      </c>
      <c r="D17426" s="2">
        <v>0</v>
      </c>
      <c r="E17426" s="2">
        <v>1.7289073305670801E-4</v>
      </c>
      <c r="F17426" s="2">
        <v>7.5929952088200198E-6</v>
      </c>
    </row>
    <row r="17427" spans="1:6" x14ac:dyDescent="0.25">
      <c r="A17427" s="1" t="str">
        <f t="shared" si="656"/>
        <v>29460</v>
      </c>
      <c r="B17427" s="1" t="str">
        <f>"33835"</f>
        <v>33835</v>
      </c>
      <c r="C17427" s="2">
        <v>8.26726411428665E-6</v>
      </c>
      <c r="D17427" s="2">
        <v>0</v>
      </c>
      <c r="E17427" s="2">
        <v>1.7289073305670801E-4</v>
      </c>
      <c r="F17427" s="2">
        <v>1.0123993611759999E-5</v>
      </c>
    </row>
    <row r="17428" spans="1:6" x14ac:dyDescent="0.25">
      <c r="A17428" s="1" t="str">
        <f t="shared" si="656"/>
        <v>29460</v>
      </c>
      <c r="B17428" s="1" t="str">
        <f>"33877"</f>
        <v>33877</v>
      </c>
      <c r="C17428" s="2">
        <v>2.7557547047622102E-6</v>
      </c>
      <c r="D17428" s="2">
        <v>0</v>
      </c>
      <c r="E17428" s="2">
        <v>1.7289073305670801E-4</v>
      </c>
      <c r="F17428" s="2">
        <v>5.0619968058800098E-6</v>
      </c>
    </row>
    <row r="17429" spans="1:6" x14ac:dyDescent="0.25">
      <c r="A17429" s="1" t="str">
        <f t="shared" si="656"/>
        <v>29460</v>
      </c>
      <c r="B17429" s="1" t="str">
        <f>"33834"</f>
        <v>33834</v>
      </c>
      <c r="C17429" s="2">
        <v>2.81086979885746E-4</v>
      </c>
      <c r="D17429" s="2">
        <v>3.02571860816944E-4</v>
      </c>
      <c r="E17429" s="2">
        <v>0</v>
      </c>
      <c r="F17429" s="2">
        <v>2.7840982432339998E-4</v>
      </c>
    </row>
    <row r="17430" spans="1:6" x14ac:dyDescent="0.25">
      <c r="A17430" s="1" t="str">
        <f t="shared" si="656"/>
        <v>29460</v>
      </c>
      <c r="B17430" s="1" t="str">
        <f>"33855"</f>
        <v>33855</v>
      </c>
      <c r="C17430" s="2">
        <v>0</v>
      </c>
      <c r="D17430" s="2">
        <v>0</v>
      </c>
      <c r="E17430" s="2">
        <v>3.4578146611341601E-4</v>
      </c>
      <c r="F17430" s="2">
        <v>5.0619968058800098E-6</v>
      </c>
    </row>
    <row r="17431" spans="1:6" x14ac:dyDescent="0.25">
      <c r="A17431" s="1" t="str">
        <f t="shared" si="656"/>
        <v>29460</v>
      </c>
      <c r="B17431" s="1" t="str">
        <f>"33831"</f>
        <v>33831</v>
      </c>
      <c r="C17431" s="2">
        <v>3.8801026243051998E-3</v>
      </c>
      <c r="D17431" s="2">
        <v>1.11573373676248E-2</v>
      </c>
      <c r="E17431" s="2">
        <v>3.4578146611341601E-4</v>
      </c>
      <c r="F17431" s="2">
        <v>4.3153522770127102E-3</v>
      </c>
    </row>
    <row r="17432" spans="1:6" x14ac:dyDescent="0.25">
      <c r="A17432" s="1" t="str">
        <f t="shared" si="656"/>
        <v>29460</v>
      </c>
      <c r="B17432" s="1" t="str">
        <f>"33825"</f>
        <v>33825</v>
      </c>
      <c r="C17432" s="2">
        <v>1.6534528228573299E-4</v>
      </c>
      <c r="D17432" s="2">
        <v>3.02571860816944E-4</v>
      </c>
      <c r="E17432" s="2">
        <v>0</v>
      </c>
      <c r="F17432" s="2">
        <v>1.7210789139992001E-4</v>
      </c>
    </row>
    <row r="17433" spans="1:6" x14ac:dyDescent="0.25">
      <c r="A17433" s="1" t="str">
        <f t="shared" si="656"/>
        <v>29460</v>
      </c>
      <c r="B17433" s="1" t="str">
        <f>"33853"</f>
        <v>33853</v>
      </c>
      <c r="C17433" s="2">
        <v>1.6548307002097098E-2</v>
      </c>
      <c r="D17433" s="2">
        <v>3.9826021180030202E-2</v>
      </c>
      <c r="E17433" s="2">
        <v>5.67081604426002E-2</v>
      </c>
      <c r="F17433" s="2">
        <v>1.86939542041148E-2</v>
      </c>
    </row>
    <row r="17434" spans="1:6" x14ac:dyDescent="0.25">
      <c r="A17434" s="1" t="str">
        <f t="shared" si="656"/>
        <v>29460</v>
      </c>
      <c r="B17434" s="1" t="str">
        <f>"33850"</f>
        <v>33850</v>
      </c>
      <c r="C17434" s="2">
        <v>1.13619766477346E-2</v>
      </c>
      <c r="D17434" s="2">
        <v>9.8335854765506797E-3</v>
      </c>
      <c r="E17434" s="2">
        <v>7.2614107883817404E-3</v>
      </c>
      <c r="F17434" s="2">
        <v>1.1199667933009499E-2</v>
      </c>
    </row>
    <row r="17435" spans="1:6" x14ac:dyDescent="0.25">
      <c r="A17435" s="1" t="str">
        <f t="shared" si="656"/>
        <v>29460</v>
      </c>
      <c r="B17435" s="1" t="str">
        <f>"33868"</f>
        <v>33868</v>
      </c>
      <c r="C17435" s="2">
        <v>1.5142872102668299E-2</v>
      </c>
      <c r="D17435" s="2">
        <v>5.2193645990922799E-3</v>
      </c>
      <c r="E17435" s="2">
        <v>2.0746887966804901E-3</v>
      </c>
      <c r="F17435" s="2">
        <v>1.4287485984596299E-2</v>
      </c>
    </row>
    <row r="17436" spans="1:6" x14ac:dyDescent="0.25">
      <c r="A17436" s="1" t="str">
        <f t="shared" si="656"/>
        <v>29460</v>
      </c>
      <c r="B17436" s="1" t="str">
        <f>"33856"</f>
        <v>33856</v>
      </c>
      <c r="C17436" s="2">
        <v>9.3971235432391601E-4</v>
      </c>
      <c r="D17436" s="2">
        <v>3.7821482602118E-5</v>
      </c>
      <c r="E17436" s="2">
        <v>1.7289073305670801E-4</v>
      </c>
      <c r="F17436" s="2">
        <v>8.6813245220842205E-4</v>
      </c>
    </row>
    <row r="17437" spans="1:6" x14ac:dyDescent="0.25">
      <c r="A17437" s="1" t="str">
        <f t="shared" si="656"/>
        <v>29460</v>
      </c>
      <c r="B17437" s="1" t="str">
        <f>"33836"</f>
        <v>33836</v>
      </c>
      <c r="C17437" s="2">
        <v>6.9224558183626902E-3</v>
      </c>
      <c r="D17437" s="2">
        <v>7.75340393343419E-3</v>
      </c>
      <c r="E17437" s="2">
        <v>1.7289073305670801E-4</v>
      </c>
      <c r="F17437" s="2">
        <v>6.8792536591909398E-3</v>
      </c>
    </row>
    <row r="17438" spans="1:6" x14ac:dyDescent="0.25">
      <c r="A17438" s="1" t="str">
        <f t="shared" si="656"/>
        <v>29460</v>
      </c>
      <c r="B17438" s="1" t="str">
        <f>"33805"</f>
        <v>33805</v>
      </c>
      <c r="C17438" s="2">
        <v>3.2484836459737002E-2</v>
      </c>
      <c r="D17438" s="2">
        <v>2.8403933434190599E-2</v>
      </c>
      <c r="E17438" s="2">
        <v>6.3105117565698393E-2</v>
      </c>
      <c r="F17438" s="2">
        <v>3.2660003391537802E-2</v>
      </c>
    </row>
    <row r="17439" spans="1:6" x14ac:dyDescent="0.25">
      <c r="A17439" s="1" t="str">
        <f t="shared" si="656"/>
        <v>29460</v>
      </c>
      <c r="B17439" s="1" t="str">
        <f>"33896"</f>
        <v>33896</v>
      </c>
      <c r="C17439" s="2">
        <v>2.04807689657928E-2</v>
      </c>
      <c r="D17439" s="2">
        <v>4.1981845688350899E-3</v>
      </c>
      <c r="E17439" s="2">
        <v>1.5905947441217101E-2</v>
      </c>
      <c r="F17439" s="2">
        <v>1.9324172806446899E-2</v>
      </c>
    </row>
    <row r="17440" spans="1:6" x14ac:dyDescent="0.25">
      <c r="A17440" s="1" t="str">
        <f t="shared" si="656"/>
        <v>29460</v>
      </c>
      <c r="B17440" s="1" t="str">
        <f>"33881"</f>
        <v>33881</v>
      </c>
      <c r="C17440" s="2">
        <v>5.3318342027739399E-2</v>
      </c>
      <c r="D17440" s="2">
        <v>4.89788199697428E-2</v>
      </c>
      <c r="E17440" s="2">
        <v>6.5871369294605797E-2</v>
      </c>
      <c r="F17440" s="2">
        <v>5.3211710423410698E-2</v>
      </c>
    </row>
    <row r="17441" spans="1:6" x14ac:dyDescent="0.25">
      <c r="A17441" s="1" t="str">
        <f t="shared" si="656"/>
        <v>29460</v>
      </c>
      <c r="B17441" s="1" t="str">
        <f>"33885"</f>
        <v>33885</v>
      </c>
      <c r="C17441" s="2">
        <v>4.7509211110100596E-3</v>
      </c>
      <c r="D17441" s="2">
        <v>6.7700453857791202E-3</v>
      </c>
      <c r="E17441" s="2">
        <v>3.4578146611341601E-4</v>
      </c>
      <c r="F17441" s="2">
        <v>4.82155195760071E-3</v>
      </c>
    </row>
    <row r="17442" spans="1:6" x14ac:dyDescent="0.25">
      <c r="A17442" s="1" t="str">
        <f t="shared" si="656"/>
        <v>29460</v>
      </c>
      <c r="B17442" s="1" t="str">
        <f>"33841"</f>
        <v>33841</v>
      </c>
      <c r="C17442" s="2">
        <v>1.1232456176610801E-2</v>
      </c>
      <c r="D17442" s="2">
        <v>9.6066565809379695E-3</v>
      </c>
      <c r="E17442" s="2">
        <v>1.05463347164591E-2</v>
      </c>
      <c r="F17442" s="2">
        <v>1.1113613987309499E-2</v>
      </c>
    </row>
    <row r="17443" spans="1:6" x14ac:dyDescent="0.25">
      <c r="A17443" s="1" t="str">
        <f>"29500"</f>
        <v>29500</v>
      </c>
      <c r="B17443" s="1" t="str">
        <f>"79377"</f>
        <v>79377</v>
      </c>
      <c r="C17443" s="2">
        <v>2.8005974607916298E-3</v>
      </c>
      <c r="D17443" s="2">
        <v>0</v>
      </c>
      <c r="E17443" s="2">
        <v>1.01010101010101E-2</v>
      </c>
      <c r="F17443" s="2">
        <v>2.88924558587479E-3</v>
      </c>
    </row>
    <row r="17444" spans="1:6" x14ac:dyDescent="0.25">
      <c r="A17444" s="1" t="str">
        <f>"29500"</f>
        <v>29500</v>
      </c>
      <c r="B17444" s="1" t="str">
        <f>"79331"</f>
        <v>79331</v>
      </c>
      <c r="C17444" s="2">
        <v>0.96004480955937199</v>
      </c>
      <c r="D17444" s="2">
        <v>0.98613518197573602</v>
      </c>
      <c r="E17444" s="2">
        <v>0.93602693602693599</v>
      </c>
      <c r="F17444" s="2">
        <v>0.96131621187800897</v>
      </c>
    </row>
    <row r="17445" spans="1:6" x14ac:dyDescent="0.25">
      <c r="A17445" s="1" t="str">
        <f>"29500"</f>
        <v>29500</v>
      </c>
      <c r="B17445" s="1" t="str">
        <f>"79713"</f>
        <v>79713</v>
      </c>
      <c r="C17445" s="2">
        <v>3.1926811053024598E-2</v>
      </c>
      <c r="D17445" s="2">
        <v>1.38648180242634E-2</v>
      </c>
      <c r="E17445" s="2">
        <v>3.36700336700336E-2</v>
      </c>
      <c r="F17445" s="2">
        <v>3.0337078651685299E-2</v>
      </c>
    </row>
    <row r="17446" spans="1:6" x14ac:dyDescent="0.25">
      <c r="A17446" s="1" t="str">
        <f>"29500"</f>
        <v>29500</v>
      </c>
      <c r="B17446" s="1" t="str">
        <f>"79351"</f>
        <v>79351</v>
      </c>
      <c r="C17446" s="2">
        <v>5.2277819268110497E-3</v>
      </c>
      <c r="D17446" s="2">
        <v>0</v>
      </c>
      <c r="E17446" s="2">
        <v>2.02020202020202E-2</v>
      </c>
      <c r="F17446" s="2">
        <v>5.4574638844301698E-3</v>
      </c>
    </row>
    <row r="17447" spans="1:6" x14ac:dyDescent="0.25">
      <c r="A17447" s="1" t="str">
        <f t="shared" ref="A17447:A17478" si="657">"29540"</f>
        <v>29540</v>
      </c>
      <c r="B17447" s="1" t="str">
        <f>"17603"</f>
        <v>17603</v>
      </c>
      <c r="C17447" s="2">
        <v>0.122600097547998</v>
      </c>
      <c r="D17447" s="2">
        <v>0.12961353496726299</v>
      </c>
      <c r="E17447" s="2">
        <v>0.26290655653071698</v>
      </c>
      <c r="F17447" s="2">
        <v>0.12742229690624499</v>
      </c>
    </row>
    <row r="17448" spans="1:6" x14ac:dyDescent="0.25">
      <c r="A17448" s="1" t="str">
        <f t="shared" si="657"/>
        <v>29540</v>
      </c>
      <c r="B17448" s="1" t="str">
        <f>"17566"</f>
        <v>17566</v>
      </c>
      <c r="C17448" s="2">
        <v>1.9704695605906E-2</v>
      </c>
      <c r="D17448" s="2">
        <v>2.01633930123413E-2</v>
      </c>
      <c r="E17448" s="2">
        <v>1.32937532266391E-2</v>
      </c>
      <c r="F17448" s="2">
        <v>1.9538032306605401E-2</v>
      </c>
    </row>
    <row r="17449" spans="1:6" x14ac:dyDescent="0.25">
      <c r="A17449" s="1" t="str">
        <f t="shared" si="657"/>
        <v>29540</v>
      </c>
      <c r="B17449" s="1" t="str">
        <f>"17557"</f>
        <v>17557</v>
      </c>
      <c r="C17449" s="2">
        <v>2.6187203476255898E-2</v>
      </c>
      <c r="D17449" s="2">
        <v>3.3547714236050699E-2</v>
      </c>
      <c r="E17449" s="2">
        <v>2.1295818275684001E-2</v>
      </c>
      <c r="F17449" s="2">
        <v>2.65429856667877E-2</v>
      </c>
    </row>
    <row r="17450" spans="1:6" x14ac:dyDescent="0.25">
      <c r="A17450" s="1" t="str">
        <f t="shared" si="657"/>
        <v>29540</v>
      </c>
      <c r="B17450" s="1" t="str">
        <f>"17562"</f>
        <v>17562</v>
      </c>
      <c r="C17450" s="2">
        <v>6.6066598678668001E-3</v>
      </c>
      <c r="D17450" s="2">
        <v>6.7790717886320098E-3</v>
      </c>
      <c r="E17450" s="2">
        <v>5.16262261228704E-3</v>
      </c>
      <c r="F17450" s="2">
        <v>6.5738793072480303E-3</v>
      </c>
    </row>
    <row r="17451" spans="1:6" x14ac:dyDescent="0.25">
      <c r="A17451" s="1" t="str">
        <f t="shared" si="657"/>
        <v>29540</v>
      </c>
      <c r="B17451" s="1" t="str">
        <f>"17519"</f>
        <v>17519</v>
      </c>
      <c r="C17451" s="2">
        <v>9.6882898062342002E-3</v>
      </c>
      <c r="D17451" s="2">
        <v>6.2576047279680096E-3</v>
      </c>
      <c r="E17451" s="2">
        <v>2.1941146102219902E-3</v>
      </c>
      <c r="F17451" s="2">
        <v>9.2201950210946803E-3</v>
      </c>
    </row>
    <row r="17452" spans="1:6" x14ac:dyDescent="0.25">
      <c r="A17452" s="1" t="str">
        <f t="shared" si="657"/>
        <v>29540</v>
      </c>
      <c r="B17452" s="1" t="str">
        <f>"17601"</f>
        <v>17601</v>
      </c>
      <c r="C17452" s="2">
        <v>9.9046690019066103E-2</v>
      </c>
      <c r="D17452" s="2">
        <v>0.15922127585607501</v>
      </c>
      <c r="E17452" s="2">
        <v>9.7702632937532202E-2</v>
      </c>
      <c r="F17452" s="2">
        <v>0.103150432870194</v>
      </c>
    </row>
    <row r="17453" spans="1:6" x14ac:dyDescent="0.25">
      <c r="A17453" s="1" t="str">
        <f t="shared" si="657"/>
        <v>29540</v>
      </c>
      <c r="B17453" s="1" t="str">
        <f>"17501"</f>
        <v>17501</v>
      </c>
      <c r="C17453" s="2">
        <v>8.9123398217532002E-3</v>
      </c>
      <c r="D17453" s="2">
        <v>7.64818355640535E-3</v>
      </c>
      <c r="E17453" s="2">
        <v>1.08415074858027E-2</v>
      </c>
      <c r="F17453" s="2">
        <v>8.8849152021457899E-3</v>
      </c>
    </row>
    <row r="17454" spans="1:6" x14ac:dyDescent="0.25">
      <c r="A17454" s="1" t="str">
        <f t="shared" si="657"/>
        <v>29540</v>
      </c>
      <c r="B17454" s="1" t="str">
        <f>"17545"</f>
        <v>17545</v>
      </c>
      <c r="C17454" s="2">
        <v>4.08637431827251E-2</v>
      </c>
      <c r="D17454" s="2">
        <v>4.4034996233849003E-2</v>
      </c>
      <c r="E17454" s="2">
        <v>2.5684047496128001E-2</v>
      </c>
      <c r="F17454" s="2">
        <v>4.0612763783393201E-2</v>
      </c>
    </row>
    <row r="17455" spans="1:6" x14ac:dyDescent="0.25">
      <c r="A17455" s="1" t="str">
        <f t="shared" si="657"/>
        <v>29540</v>
      </c>
      <c r="B17455" s="1" t="str">
        <f>"17540"</f>
        <v>17540</v>
      </c>
      <c r="C17455" s="2">
        <v>1.7341373653172499E-2</v>
      </c>
      <c r="D17455" s="2">
        <v>2.3813662436989302E-2</v>
      </c>
      <c r="E17455" s="2">
        <v>9.0345895715023203E-3</v>
      </c>
      <c r="F17455" s="2">
        <v>1.7530344819328001E-2</v>
      </c>
    </row>
    <row r="17456" spans="1:6" x14ac:dyDescent="0.25">
      <c r="A17456" s="1" t="str">
        <f t="shared" si="657"/>
        <v>29540</v>
      </c>
      <c r="B17456" s="1" t="str">
        <f>"17543"</f>
        <v>17543</v>
      </c>
      <c r="C17456" s="2">
        <v>8.3399104332017901E-2</v>
      </c>
      <c r="D17456" s="2">
        <v>6.4951619444927194E-2</v>
      </c>
      <c r="E17456" s="2">
        <v>4.87867836861125E-2</v>
      </c>
      <c r="F17456" s="2">
        <v>8.1057887657312006E-2</v>
      </c>
    </row>
    <row r="17457" spans="1:6" x14ac:dyDescent="0.25">
      <c r="A17457" s="1" t="str">
        <f t="shared" si="657"/>
        <v>29540</v>
      </c>
      <c r="B17457" s="1" t="str">
        <f>"17527"</f>
        <v>17527</v>
      </c>
      <c r="C17457" s="2">
        <v>8.9877178202456397E-3</v>
      </c>
      <c r="D17457" s="2">
        <v>1.26310910249724E-2</v>
      </c>
      <c r="E17457" s="2">
        <v>8.2601961796592606E-3</v>
      </c>
      <c r="F17457" s="2">
        <v>9.2162035946786302E-3</v>
      </c>
    </row>
    <row r="17458" spans="1:6" x14ac:dyDescent="0.25">
      <c r="A17458" s="1" t="str">
        <f t="shared" si="657"/>
        <v>29540</v>
      </c>
      <c r="B17458" s="1" t="str">
        <f>"17550"</f>
        <v>17550</v>
      </c>
      <c r="C17458" s="2">
        <v>1.4188799716224E-3</v>
      </c>
      <c r="D17458" s="2">
        <v>6.9528941421866802E-4</v>
      </c>
      <c r="E17458" s="2">
        <v>1.29065565307176E-4</v>
      </c>
      <c r="F17458" s="2">
        <v>1.3291449965474099E-3</v>
      </c>
    </row>
    <row r="17459" spans="1:6" x14ac:dyDescent="0.25">
      <c r="A17459" s="1" t="str">
        <f t="shared" si="657"/>
        <v>29540</v>
      </c>
      <c r="B17459" s="1" t="str">
        <f>"17579"</f>
        <v>17579</v>
      </c>
      <c r="C17459" s="2">
        <v>1.08189597836208E-2</v>
      </c>
      <c r="D17459" s="2">
        <v>7.4164204183324598E-3</v>
      </c>
      <c r="E17459" s="2">
        <v>6.9695405265874999E-3</v>
      </c>
      <c r="F17459" s="2">
        <v>1.04655200629048E-2</v>
      </c>
    </row>
    <row r="17460" spans="1:6" x14ac:dyDescent="0.25">
      <c r="A17460" s="1" t="str">
        <f t="shared" si="657"/>
        <v>29540</v>
      </c>
      <c r="B17460" s="1" t="str">
        <f>"17528"</f>
        <v>17528</v>
      </c>
      <c r="C17460" s="2">
        <v>0</v>
      </c>
      <c r="D17460" s="2">
        <v>0</v>
      </c>
      <c r="E17460" s="2">
        <v>1.29065565307176E-4</v>
      </c>
      <c r="F17460" s="2">
        <v>3.9914264160583001E-6</v>
      </c>
    </row>
    <row r="17461" spans="1:6" x14ac:dyDescent="0.25">
      <c r="A17461" s="1" t="str">
        <f t="shared" si="657"/>
        <v>29540</v>
      </c>
      <c r="B17461" s="1" t="str">
        <f>"17507"</f>
        <v>17507</v>
      </c>
      <c r="C17461" s="2">
        <v>1.6405799671884001E-4</v>
      </c>
      <c r="D17461" s="2">
        <v>5.7940784518222301E-5</v>
      </c>
      <c r="E17461" s="2">
        <v>6.4532782653588E-4</v>
      </c>
      <c r="F17461" s="2">
        <v>1.71631335890507E-4</v>
      </c>
    </row>
    <row r="17462" spans="1:6" x14ac:dyDescent="0.25">
      <c r="A17462" s="1" t="str">
        <f t="shared" si="657"/>
        <v>29540</v>
      </c>
      <c r="B17462" s="1" t="str">
        <f>"17567"</f>
        <v>17567</v>
      </c>
      <c r="C17462" s="2">
        <v>1.94652596106948E-3</v>
      </c>
      <c r="D17462" s="2">
        <v>2.3755721652471101E-3</v>
      </c>
      <c r="E17462" s="2">
        <v>2.58131130614352E-4</v>
      </c>
      <c r="F17462" s="2">
        <v>1.9238675325401E-3</v>
      </c>
    </row>
    <row r="17463" spans="1:6" x14ac:dyDescent="0.25">
      <c r="A17463" s="1" t="str">
        <f t="shared" si="657"/>
        <v>29540</v>
      </c>
      <c r="B17463" s="1" t="str">
        <f>"17605"</f>
        <v>17605</v>
      </c>
      <c r="C17463" s="2">
        <v>1.8755819624883599E-3</v>
      </c>
      <c r="D17463" s="2">
        <v>1.21675647488266E-2</v>
      </c>
      <c r="E17463" s="2">
        <v>2.58131130614352E-4</v>
      </c>
      <c r="F17463" s="2">
        <v>2.5345557741970198E-3</v>
      </c>
    </row>
    <row r="17464" spans="1:6" x14ac:dyDescent="0.25">
      <c r="A17464" s="1" t="str">
        <f t="shared" si="657"/>
        <v>29540</v>
      </c>
      <c r="B17464" s="1" t="str">
        <f>"17580"</f>
        <v>17580</v>
      </c>
      <c r="C17464" s="2">
        <v>0</v>
      </c>
      <c r="D17464" s="2">
        <v>0</v>
      </c>
      <c r="E17464" s="2">
        <v>1.29065565307176E-4</v>
      </c>
      <c r="F17464" s="2">
        <v>3.9914264160583001E-6</v>
      </c>
    </row>
    <row r="17465" spans="1:6" x14ac:dyDescent="0.25">
      <c r="A17465" s="1" t="str">
        <f t="shared" si="657"/>
        <v>29540</v>
      </c>
      <c r="B17465" s="1" t="str">
        <f>"17568"</f>
        <v>17568</v>
      </c>
      <c r="C17465" s="2">
        <v>4.4339999113200002E-6</v>
      </c>
      <c r="D17465" s="2">
        <v>0</v>
      </c>
      <c r="E17465" s="2">
        <v>1.29065565307176E-4</v>
      </c>
      <c r="F17465" s="2">
        <v>7.9828528321166104E-6</v>
      </c>
    </row>
    <row r="17466" spans="1:6" x14ac:dyDescent="0.25">
      <c r="A17466" s="1" t="str">
        <f t="shared" si="657"/>
        <v>29540</v>
      </c>
      <c r="B17466" s="1" t="str">
        <f>"17534"</f>
        <v>17534</v>
      </c>
      <c r="C17466" s="2">
        <v>2.5717199485655997E-4</v>
      </c>
      <c r="D17466" s="2">
        <v>6.9528941421866802E-4</v>
      </c>
      <c r="E17466" s="2">
        <v>1.29065565307176E-4</v>
      </c>
      <c r="F17466" s="2">
        <v>2.8339127554013902E-4</v>
      </c>
    </row>
    <row r="17467" spans="1:6" x14ac:dyDescent="0.25">
      <c r="A17467" s="1" t="str">
        <f t="shared" si="657"/>
        <v>29540</v>
      </c>
      <c r="B17467" s="1" t="str">
        <f>"19363"</f>
        <v>19363</v>
      </c>
      <c r="C17467" s="2">
        <v>5.5424998891499995E-4</v>
      </c>
      <c r="D17467" s="2">
        <v>2.3176313807288899E-4</v>
      </c>
      <c r="E17467" s="2">
        <v>0</v>
      </c>
      <c r="F17467" s="2">
        <v>5.1489400767152098E-4</v>
      </c>
    </row>
    <row r="17468" spans="1:6" x14ac:dyDescent="0.25">
      <c r="A17468" s="1" t="str">
        <f t="shared" si="657"/>
        <v>29540</v>
      </c>
      <c r="B17468" s="1" t="str">
        <f>"17602"</f>
        <v>17602</v>
      </c>
      <c r="C17468" s="2">
        <v>8.9801800203963902E-2</v>
      </c>
      <c r="D17468" s="2">
        <v>0.104583116055391</v>
      </c>
      <c r="E17468" s="2">
        <v>0.18430562725864699</v>
      </c>
      <c r="F17468" s="2">
        <v>9.3742640807545297E-2</v>
      </c>
    </row>
    <row r="17469" spans="1:6" x14ac:dyDescent="0.25">
      <c r="A17469" s="1" t="str">
        <f t="shared" si="657"/>
        <v>29540</v>
      </c>
      <c r="B17469" s="1" t="str">
        <f>"17502"</f>
        <v>17502</v>
      </c>
      <c r="C17469" s="2">
        <v>4.7000399059991997E-3</v>
      </c>
      <c r="D17469" s="2">
        <v>1.33263804391911E-3</v>
      </c>
      <c r="E17469" s="2">
        <v>2.1941146102219902E-3</v>
      </c>
      <c r="F17469" s="2">
        <v>4.39056905766413E-3</v>
      </c>
    </row>
    <row r="17470" spans="1:6" x14ac:dyDescent="0.25">
      <c r="A17470" s="1" t="str">
        <f t="shared" si="657"/>
        <v>29540</v>
      </c>
      <c r="B17470" s="1" t="str">
        <f>"17520"</f>
        <v>17520</v>
      </c>
      <c r="C17470" s="2">
        <v>8.5664878286702394E-3</v>
      </c>
      <c r="D17470" s="2">
        <v>8.5172953241786798E-3</v>
      </c>
      <c r="E17470" s="2">
        <v>1.41972121837893E-3</v>
      </c>
      <c r="F17470" s="2">
        <v>8.3420812095618604E-3</v>
      </c>
    </row>
    <row r="17471" spans="1:6" x14ac:dyDescent="0.25">
      <c r="A17471" s="1" t="str">
        <f t="shared" si="657"/>
        <v>29540</v>
      </c>
      <c r="B17471" s="1" t="str">
        <f>"17547"</f>
        <v>17547</v>
      </c>
      <c r="C17471" s="2">
        <v>1.47652197046956E-2</v>
      </c>
      <c r="D17471" s="2">
        <v>6.5473086505591204E-3</v>
      </c>
      <c r="E17471" s="2">
        <v>1.38100154878678E-2</v>
      </c>
      <c r="F17471" s="2">
        <v>1.4169563777006899E-2</v>
      </c>
    </row>
    <row r="17472" spans="1:6" x14ac:dyDescent="0.25">
      <c r="A17472" s="1" t="str">
        <f t="shared" si="657"/>
        <v>29540</v>
      </c>
      <c r="B17472" s="1" t="str">
        <f>"17572"</f>
        <v>17572</v>
      </c>
      <c r="C17472" s="2">
        <v>5.9504278809914398E-3</v>
      </c>
      <c r="D17472" s="2">
        <v>8.2855321861057905E-3</v>
      </c>
      <c r="E17472" s="2">
        <v>3.3557046979865702E-3</v>
      </c>
      <c r="F17472" s="2">
        <v>6.0310453146641E-3</v>
      </c>
    </row>
    <row r="17473" spans="1:6" x14ac:dyDescent="0.25">
      <c r="A17473" s="1" t="str">
        <f t="shared" si="657"/>
        <v>29540</v>
      </c>
      <c r="B17473" s="1" t="str">
        <f>"17582"</f>
        <v>17582</v>
      </c>
      <c r="C17473" s="2">
        <v>3.4496519310069601E-3</v>
      </c>
      <c r="D17473" s="2">
        <v>8.6911176777333503E-4</v>
      </c>
      <c r="E17473" s="2">
        <v>1.6778523489932801E-3</v>
      </c>
      <c r="F17473" s="2">
        <v>3.21708969134299E-3</v>
      </c>
    </row>
    <row r="17474" spans="1:6" x14ac:dyDescent="0.25">
      <c r="A17474" s="1" t="str">
        <f t="shared" si="657"/>
        <v>29540</v>
      </c>
      <c r="B17474" s="1" t="str">
        <f>"19551"</f>
        <v>19551</v>
      </c>
      <c r="C17474" s="2">
        <v>1.4188799716224001E-4</v>
      </c>
      <c r="D17474" s="2">
        <v>0</v>
      </c>
      <c r="E17474" s="2">
        <v>0</v>
      </c>
      <c r="F17474" s="2">
        <v>1.2772564531386501E-4</v>
      </c>
    </row>
    <row r="17475" spans="1:6" x14ac:dyDescent="0.25">
      <c r="A17475" s="1" t="str">
        <f t="shared" si="657"/>
        <v>29540</v>
      </c>
      <c r="B17475" s="1" t="str">
        <f>"17585"</f>
        <v>17585</v>
      </c>
      <c r="C17475" s="2">
        <v>0</v>
      </c>
      <c r="D17475" s="2">
        <v>0</v>
      </c>
      <c r="E17475" s="2">
        <v>1.29065565307176E-4</v>
      </c>
      <c r="F17475" s="2">
        <v>3.9914264160583001E-6</v>
      </c>
    </row>
    <row r="17476" spans="1:6" x14ac:dyDescent="0.25">
      <c r="A17476" s="1" t="str">
        <f t="shared" si="657"/>
        <v>29540</v>
      </c>
      <c r="B17476" s="1" t="str">
        <f>"17584"</f>
        <v>17584</v>
      </c>
      <c r="C17476" s="2">
        <v>1.8387797632244001E-2</v>
      </c>
      <c r="D17476" s="2">
        <v>2.0800741642041799E-2</v>
      </c>
      <c r="E17476" s="2">
        <v>9.9380485286525502E-3</v>
      </c>
      <c r="F17476" s="2">
        <v>1.8292707264795201E-2</v>
      </c>
    </row>
    <row r="17477" spans="1:6" x14ac:dyDescent="0.25">
      <c r="A17477" s="1" t="str">
        <f t="shared" si="657"/>
        <v>29540</v>
      </c>
      <c r="B17477" s="1" t="str">
        <f>"17509"</f>
        <v>17509</v>
      </c>
      <c r="C17477" s="2">
        <v>7.0101538597969202E-3</v>
      </c>
      <c r="D17477" s="2">
        <v>4.98290746856712E-3</v>
      </c>
      <c r="E17477" s="2">
        <v>3.48477026329375E-3</v>
      </c>
      <c r="F17477" s="2">
        <v>6.7614763488027703E-3</v>
      </c>
    </row>
    <row r="17478" spans="1:6" x14ac:dyDescent="0.25">
      <c r="A17478" s="1" t="str">
        <f t="shared" si="657"/>
        <v>29540</v>
      </c>
      <c r="B17478" s="1" t="str">
        <f>"17522"</f>
        <v>17522</v>
      </c>
      <c r="C17478" s="2">
        <v>6.3242140735157104E-2</v>
      </c>
      <c r="D17478" s="2">
        <v>7.9262993220928196E-2</v>
      </c>
      <c r="E17478" s="2">
        <v>6.7888487351574503E-2</v>
      </c>
      <c r="F17478" s="2">
        <v>6.4489476604253998E-2</v>
      </c>
    </row>
    <row r="17479" spans="1:6" x14ac:dyDescent="0.25">
      <c r="A17479" s="1" t="str">
        <f t="shared" ref="A17479:A17510" si="658">"29540"</f>
        <v>29540</v>
      </c>
      <c r="B17479" s="1" t="str">
        <f>"17529"</f>
        <v>17529</v>
      </c>
      <c r="C17479" s="2">
        <v>6.8638318627233597E-3</v>
      </c>
      <c r="D17479" s="2">
        <v>5.0987890376035603E-3</v>
      </c>
      <c r="E17479" s="2">
        <v>3.6138358286009198E-3</v>
      </c>
      <c r="F17479" s="2">
        <v>6.64173355632102E-3</v>
      </c>
    </row>
    <row r="17480" spans="1:6" x14ac:dyDescent="0.25">
      <c r="A17480" s="1" t="str">
        <f t="shared" si="658"/>
        <v>29540</v>
      </c>
      <c r="B17480" s="1" t="str">
        <f>"17563"</f>
        <v>17563</v>
      </c>
      <c r="C17480" s="2">
        <v>6.2962798740743998E-3</v>
      </c>
      <c r="D17480" s="2">
        <v>3.0129207949475601E-3</v>
      </c>
      <c r="E17480" s="2">
        <v>1.16159008776458E-3</v>
      </c>
      <c r="F17480" s="2">
        <v>5.9113025221823497E-3</v>
      </c>
    </row>
    <row r="17481" spans="1:6" x14ac:dyDescent="0.25">
      <c r="A17481" s="1" t="str">
        <f t="shared" si="658"/>
        <v>29540</v>
      </c>
      <c r="B17481" s="1" t="str">
        <f>"17564"</f>
        <v>17564</v>
      </c>
      <c r="C17481" s="2">
        <v>0</v>
      </c>
      <c r="D17481" s="2">
        <v>0</v>
      </c>
      <c r="E17481" s="2">
        <v>1.29065565307176E-4</v>
      </c>
      <c r="F17481" s="2">
        <v>3.9914264160583001E-6</v>
      </c>
    </row>
    <row r="17482" spans="1:6" x14ac:dyDescent="0.25">
      <c r="A17482" s="1" t="str">
        <f t="shared" si="658"/>
        <v>29540</v>
      </c>
      <c r="B17482" s="1" t="str">
        <f>"17314"</f>
        <v>17314</v>
      </c>
      <c r="C17482" s="2">
        <v>0</v>
      </c>
      <c r="D17482" s="2">
        <v>5.7940784518222301E-5</v>
      </c>
      <c r="E17482" s="2">
        <v>0</v>
      </c>
      <c r="F17482" s="2">
        <v>3.9914264160583001E-6</v>
      </c>
    </row>
    <row r="17483" spans="1:6" x14ac:dyDescent="0.25">
      <c r="A17483" s="1" t="str">
        <f t="shared" si="658"/>
        <v>29540</v>
      </c>
      <c r="B17483" s="1" t="str">
        <f>"17537"</f>
        <v>17537</v>
      </c>
      <c r="C17483" s="2">
        <v>0</v>
      </c>
      <c r="D17483" s="2">
        <v>0</v>
      </c>
      <c r="E17483" s="2">
        <v>1.29065565307176E-4</v>
      </c>
      <c r="F17483" s="2">
        <v>3.9914264160583001E-6</v>
      </c>
    </row>
    <row r="17484" spans="1:6" x14ac:dyDescent="0.25">
      <c r="A17484" s="1" t="str">
        <f t="shared" si="658"/>
        <v>29540</v>
      </c>
      <c r="B17484" s="1" t="str">
        <f>"17506"</f>
        <v>17506</v>
      </c>
      <c r="C17484" s="2">
        <v>3.1037999379240002E-5</v>
      </c>
      <c r="D17484" s="2">
        <v>0</v>
      </c>
      <c r="E17484" s="2">
        <v>1.29065565307176E-4</v>
      </c>
      <c r="F17484" s="2">
        <v>3.1931411328466401E-5</v>
      </c>
    </row>
    <row r="17485" spans="1:6" x14ac:dyDescent="0.25">
      <c r="A17485" s="1" t="str">
        <f t="shared" si="658"/>
        <v>29540</v>
      </c>
      <c r="B17485" s="1" t="str">
        <f>"17073"</f>
        <v>17073</v>
      </c>
      <c r="C17485" s="2">
        <v>4.9217399015651997E-4</v>
      </c>
      <c r="D17485" s="2">
        <v>1.1588156903644401E-4</v>
      </c>
      <c r="E17485" s="2">
        <v>0</v>
      </c>
      <c r="F17485" s="2">
        <v>4.5103118501458803E-4</v>
      </c>
    </row>
    <row r="17486" spans="1:6" x14ac:dyDescent="0.25">
      <c r="A17486" s="1" t="str">
        <f t="shared" si="658"/>
        <v>29540</v>
      </c>
      <c r="B17486" s="1" t="str">
        <f>"19362"</f>
        <v>19362</v>
      </c>
      <c r="C17486" s="2">
        <v>3.6713519265729601E-3</v>
      </c>
      <c r="D17486" s="2">
        <v>4.6352627614577901E-4</v>
      </c>
      <c r="E17486" s="2">
        <v>0</v>
      </c>
      <c r="F17486" s="2">
        <v>3.3368324838247399E-3</v>
      </c>
    </row>
    <row r="17487" spans="1:6" x14ac:dyDescent="0.25">
      <c r="A17487" s="1" t="str">
        <f t="shared" si="658"/>
        <v>29540</v>
      </c>
      <c r="B17487" s="1" t="str">
        <f>"19543"</f>
        <v>19543</v>
      </c>
      <c r="C17487" s="2">
        <v>1.5252959694940799E-3</v>
      </c>
      <c r="D17487" s="2">
        <v>2.7811576568746699E-3</v>
      </c>
      <c r="E17487" s="2">
        <v>6.4532782653588E-4</v>
      </c>
      <c r="F17487" s="2">
        <v>1.58459628717514E-3</v>
      </c>
    </row>
    <row r="17488" spans="1:6" x14ac:dyDescent="0.25">
      <c r="A17488" s="1" t="str">
        <f t="shared" si="658"/>
        <v>29540</v>
      </c>
      <c r="B17488" s="1" t="str">
        <f>"19540"</f>
        <v>19540</v>
      </c>
      <c r="C17488" s="2">
        <v>1.2858599742827999E-3</v>
      </c>
      <c r="D17488" s="2">
        <v>8.1117098325511302E-4</v>
      </c>
      <c r="E17488" s="2">
        <v>2.58131130614352E-4</v>
      </c>
      <c r="F17488" s="2">
        <v>1.2213764833138401E-3</v>
      </c>
    </row>
    <row r="17489" spans="1:6" x14ac:dyDescent="0.25">
      <c r="A17489" s="1" t="str">
        <f t="shared" si="658"/>
        <v>29540</v>
      </c>
      <c r="B17489" s="1" t="str">
        <f>"17512"</f>
        <v>17512</v>
      </c>
      <c r="C17489" s="2">
        <v>3.4283687314326197E-2</v>
      </c>
      <c r="D17489" s="2">
        <v>2.74059910771191E-2</v>
      </c>
      <c r="E17489" s="2">
        <v>4.87867836861125E-2</v>
      </c>
      <c r="F17489" s="2">
        <v>3.4258412929028398E-2</v>
      </c>
    </row>
    <row r="17490" spans="1:6" x14ac:dyDescent="0.25">
      <c r="A17490" s="1" t="str">
        <f t="shared" si="658"/>
        <v>29540</v>
      </c>
      <c r="B17490" s="1" t="str">
        <f>"17560"</f>
        <v>17560</v>
      </c>
      <c r="C17490" s="2">
        <v>8.9611138207777198E-3</v>
      </c>
      <c r="D17490" s="2">
        <v>1.33263804391911E-3</v>
      </c>
      <c r="E17490" s="2">
        <v>9.0345895715023201E-4</v>
      </c>
      <c r="F17490" s="2">
        <v>8.1864155793355802E-3</v>
      </c>
    </row>
    <row r="17491" spans="1:6" x14ac:dyDescent="0.25">
      <c r="A17491" s="1" t="str">
        <f t="shared" si="658"/>
        <v>29540</v>
      </c>
      <c r="B17491" s="1" t="str">
        <f>"17518"</f>
        <v>17518</v>
      </c>
      <c r="C17491" s="2">
        <v>1.94652596106948E-3</v>
      </c>
      <c r="D17491" s="2">
        <v>4.0558549162755602E-4</v>
      </c>
      <c r="E17491" s="2">
        <v>0</v>
      </c>
      <c r="F17491" s="2">
        <v>1.7801761815620001E-3</v>
      </c>
    </row>
    <row r="17492" spans="1:6" x14ac:dyDescent="0.25">
      <c r="A17492" s="1" t="str">
        <f t="shared" si="658"/>
        <v>29540</v>
      </c>
      <c r="B17492" s="1" t="str">
        <f>"17551"</f>
        <v>17551</v>
      </c>
      <c r="C17492" s="2">
        <v>2.5508801489823901E-2</v>
      </c>
      <c r="D17492" s="2">
        <v>8.2275914015875699E-3</v>
      </c>
      <c r="E17492" s="2">
        <v>1.14868353123386E-2</v>
      </c>
      <c r="F17492" s="2">
        <v>2.3884695673692901E-2</v>
      </c>
    </row>
    <row r="17493" spans="1:6" x14ac:dyDescent="0.25">
      <c r="A17493" s="1" t="str">
        <f t="shared" si="658"/>
        <v>29540</v>
      </c>
      <c r="B17493" s="1" t="str">
        <f>"17521"</f>
        <v>17521</v>
      </c>
      <c r="C17493" s="2">
        <v>0</v>
      </c>
      <c r="D17493" s="2">
        <v>0</v>
      </c>
      <c r="E17493" s="2">
        <v>1.29065565307176E-4</v>
      </c>
      <c r="F17493" s="2">
        <v>3.9914264160583001E-6</v>
      </c>
    </row>
    <row r="17494" spans="1:6" x14ac:dyDescent="0.25">
      <c r="A17494" s="1" t="str">
        <f t="shared" si="658"/>
        <v>29540</v>
      </c>
      <c r="B17494" s="1" t="str">
        <f>"17576"</f>
        <v>17576</v>
      </c>
      <c r="C17494" s="2">
        <v>2.3056799538863999E-4</v>
      </c>
      <c r="D17494" s="2">
        <v>2.8970392259111103E-4</v>
      </c>
      <c r="E17494" s="2">
        <v>1.29065565307176E-4</v>
      </c>
      <c r="F17494" s="2">
        <v>2.3150273213138101E-4</v>
      </c>
    </row>
    <row r="17495" spans="1:6" x14ac:dyDescent="0.25">
      <c r="A17495" s="1" t="str">
        <f t="shared" si="658"/>
        <v>29540</v>
      </c>
      <c r="B17495" s="1" t="str">
        <f>"17022"</f>
        <v>17022</v>
      </c>
      <c r="C17495" s="2">
        <v>6.1331086773378202E-2</v>
      </c>
      <c r="D17495" s="2">
        <v>3.2157135407613398E-2</v>
      </c>
      <c r="E17495" s="2">
        <v>5.1368094992256003E-2</v>
      </c>
      <c r="F17495" s="2">
        <v>5.9013239561422001E-2</v>
      </c>
    </row>
    <row r="17496" spans="1:6" x14ac:dyDescent="0.25">
      <c r="A17496" s="1" t="str">
        <f t="shared" si="658"/>
        <v>29540</v>
      </c>
      <c r="B17496" s="1" t="str">
        <f>"17608"</f>
        <v>17608</v>
      </c>
      <c r="C17496" s="2">
        <v>7.7550658448986799E-3</v>
      </c>
      <c r="D17496" s="2">
        <v>1.6860768294802701E-2</v>
      </c>
      <c r="E17496" s="2">
        <v>1.29065565307176E-4</v>
      </c>
      <c r="F17496" s="2">
        <v>8.1465013151749994E-3</v>
      </c>
    </row>
    <row r="17497" spans="1:6" x14ac:dyDescent="0.25">
      <c r="A17497" s="1" t="str">
        <f t="shared" si="658"/>
        <v>29540</v>
      </c>
      <c r="B17497" s="1" t="str">
        <f>"17569"</f>
        <v>17569</v>
      </c>
      <c r="C17497" s="2">
        <v>8.6329978273400401E-3</v>
      </c>
      <c r="D17497" s="2">
        <v>3.9399733472391197E-3</v>
      </c>
      <c r="E17497" s="2">
        <v>1.9359834796076399E-3</v>
      </c>
      <c r="F17497" s="2">
        <v>8.1025956245983598E-3</v>
      </c>
    </row>
    <row r="17498" spans="1:6" x14ac:dyDescent="0.25">
      <c r="A17498" s="1" t="str">
        <f t="shared" si="658"/>
        <v>29540</v>
      </c>
      <c r="B17498" s="1" t="str">
        <f>"17575"</f>
        <v>17575</v>
      </c>
      <c r="C17498" s="2">
        <v>0</v>
      </c>
      <c r="D17498" s="2">
        <v>0</v>
      </c>
      <c r="E17498" s="2">
        <v>1.29065565307176E-4</v>
      </c>
      <c r="F17498" s="2">
        <v>3.9914264160583001E-6</v>
      </c>
    </row>
    <row r="17499" spans="1:6" x14ac:dyDescent="0.25">
      <c r="A17499" s="1" t="str">
        <f t="shared" si="658"/>
        <v>29540</v>
      </c>
      <c r="B17499" s="1" t="str">
        <f>"17503"</f>
        <v>17503</v>
      </c>
      <c r="C17499" s="2">
        <v>0</v>
      </c>
      <c r="D17499" s="2">
        <v>0</v>
      </c>
      <c r="E17499" s="2">
        <v>1.29065565307176E-4</v>
      </c>
      <c r="F17499" s="2">
        <v>3.9914264160583001E-6</v>
      </c>
    </row>
    <row r="17500" spans="1:6" x14ac:dyDescent="0.25">
      <c r="A17500" s="1" t="str">
        <f t="shared" si="658"/>
        <v>29540</v>
      </c>
      <c r="B17500" s="1" t="str">
        <f>"17604"</f>
        <v>17604</v>
      </c>
      <c r="C17500" s="2">
        <v>5.3119318937613598E-3</v>
      </c>
      <c r="D17500" s="2">
        <v>3.05347934411031E-2</v>
      </c>
      <c r="E17500" s="2">
        <v>3.87196695921528E-4</v>
      </c>
      <c r="F17500" s="2">
        <v>6.8971848469487496E-3</v>
      </c>
    </row>
    <row r="17501" spans="1:6" x14ac:dyDescent="0.25">
      <c r="A17501" s="1" t="str">
        <f t="shared" si="658"/>
        <v>29540</v>
      </c>
      <c r="B17501" s="1" t="str">
        <f>"17508"</f>
        <v>17508</v>
      </c>
      <c r="C17501" s="2">
        <v>5.0990998980180004E-3</v>
      </c>
      <c r="D17501" s="2">
        <v>5.7940784518222301E-3</v>
      </c>
      <c r="E17501" s="2">
        <v>3.87196695921528E-4</v>
      </c>
      <c r="F17501" s="2">
        <v>5.00125729932105E-3</v>
      </c>
    </row>
    <row r="17502" spans="1:6" x14ac:dyDescent="0.25">
      <c r="A17502" s="1" t="str">
        <f t="shared" si="658"/>
        <v>29540</v>
      </c>
      <c r="B17502" s="1" t="str">
        <f>"17532"</f>
        <v>17532</v>
      </c>
      <c r="C17502" s="2">
        <v>5.7641998847160003E-3</v>
      </c>
      <c r="D17502" s="2">
        <v>1.4485196129555499E-3</v>
      </c>
      <c r="E17502" s="2">
        <v>1.29065565307176E-4</v>
      </c>
      <c r="F17502" s="2">
        <v>5.2926314276933104E-3</v>
      </c>
    </row>
    <row r="17503" spans="1:6" x14ac:dyDescent="0.25">
      <c r="A17503" s="1" t="str">
        <f t="shared" si="658"/>
        <v>29540</v>
      </c>
      <c r="B17503" s="1" t="str">
        <f>"19344"</f>
        <v>19344</v>
      </c>
      <c r="C17503" s="2">
        <v>6.6066598678667999E-4</v>
      </c>
      <c r="D17503" s="2">
        <v>5.7940784518222301E-5</v>
      </c>
      <c r="E17503" s="2">
        <v>1.29065565307176E-4</v>
      </c>
      <c r="F17503" s="2">
        <v>6.0270538882480399E-4</v>
      </c>
    </row>
    <row r="17504" spans="1:6" x14ac:dyDescent="0.25">
      <c r="A17504" s="1" t="str">
        <f t="shared" si="658"/>
        <v>29540</v>
      </c>
      <c r="B17504" s="1" t="str">
        <f>"17516"</f>
        <v>17516</v>
      </c>
      <c r="C17504" s="2">
        <v>8.0521438389571202E-3</v>
      </c>
      <c r="D17504" s="2">
        <v>1.7382235355466701E-3</v>
      </c>
      <c r="E17504" s="2">
        <v>1.41972121837893E-3</v>
      </c>
      <c r="F17504" s="2">
        <v>7.4120788546202703E-3</v>
      </c>
    </row>
    <row r="17505" spans="1:6" x14ac:dyDescent="0.25">
      <c r="A17505" s="1" t="str">
        <f t="shared" si="658"/>
        <v>29540</v>
      </c>
      <c r="B17505" s="1" t="str">
        <f>"17505"</f>
        <v>17505</v>
      </c>
      <c r="C17505" s="2">
        <v>2.5717199485655999E-3</v>
      </c>
      <c r="D17505" s="2">
        <v>4.6352627614577903E-3</v>
      </c>
      <c r="E17505" s="2">
        <v>6.4532782653588E-4</v>
      </c>
      <c r="F17505" s="2">
        <v>2.6542985666787701E-3</v>
      </c>
    </row>
    <row r="17506" spans="1:6" x14ac:dyDescent="0.25">
      <c r="A17506" s="1" t="str">
        <f t="shared" si="658"/>
        <v>29540</v>
      </c>
      <c r="B17506" s="1" t="str">
        <f>"17581"</f>
        <v>17581</v>
      </c>
      <c r="C17506" s="2">
        <v>4.2566399148671999E-4</v>
      </c>
      <c r="D17506" s="2">
        <v>2.8970392259111103E-4</v>
      </c>
      <c r="E17506" s="2">
        <v>0</v>
      </c>
      <c r="F17506" s="2">
        <v>4.0313406802188801E-4</v>
      </c>
    </row>
    <row r="17507" spans="1:6" x14ac:dyDescent="0.25">
      <c r="A17507" s="1" t="str">
        <f t="shared" si="658"/>
        <v>29540</v>
      </c>
      <c r="B17507" s="1" t="str">
        <f>"17538"</f>
        <v>17538</v>
      </c>
      <c r="C17507" s="2">
        <v>1.18166097636678E-2</v>
      </c>
      <c r="D17507" s="2">
        <v>9.38640709195202E-3</v>
      </c>
      <c r="E17507" s="2">
        <v>6.4532782653587998E-3</v>
      </c>
      <c r="F17507" s="2">
        <v>1.14833337989997E-2</v>
      </c>
    </row>
    <row r="17508" spans="1:6" x14ac:dyDescent="0.25">
      <c r="A17508" s="1" t="str">
        <f t="shared" si="658"/>
        <v>29540</v>
      </c>
      <c r="B17508" s="1" t="str">
        <f>"17578"</f>
        <v>17578</v>
      </c>
      <c r="C17508" s="2">
        <v>1.06105617877887E-2</v>
      </c>
      <c r="D17508" s="2">
        <v>5.9679008053768997E-3</v>
      </c>
      <c r="E17508" s="2">
        <v>2.4522457408363398E-3</v>
      </c>
      <c r="F17508" s="2">
        <v>1.0038437436386599E-2</v>
      </c>
    </row>
    <row r="17509" spans="1:6" x14ac:dyDescent="0.25">
      <c r="A17509" s="1" t="str">
        <f t="shared" si="658"/>
        <v>29540</v>
      </c>
      <c r="B17509" s="1" t="str">
        <f>"19501"</f>
        <v>19501</v>
      </c>
      <c r="C17509" s="2">
        <v>4.7000399059992E-4</v>
      </c>
      <c r="D17509" s="2">
        <v>0</v>
      </c>
      <c r="E17509" s="2">
        <v>1.29065565307176E-4</v>
      </c>
      <c r="F17509" s="2">
        <v>4.2708262651823802E-4</v>
      </c>
    </row>
    <row r="17510" spans="1:6" x14ac:dyDescent="0.25">
      <c r="A17510" s="1" t="str">
        <f t="shared" si="658"/>
        <v>29540</v>
      </c>
      <c r="B17510" s="1" t="str">
        <f>"17570"</f>
        <v>17570</v>
      </c>
      <c r="C17510" s="2">
        <v>0</v>
      </c>
      <c r="D17510" s="2">
        <v>0</v>
      </c>
      <c r="E17510" s="2">
        <v>1.29065565307176E-4</v>
      </c>
      <c r="F17510" s="2">
        <v>3.9914264160583001E-6</v>
      </c>
    </row>
    <row r="17511" spans="1:6" x14ac:dyDescent="0.25">
      <c r="A17511" s="1" t="str">
        <f t="shared" ref="A17511:A17521" si="659">"29540"</f>
        <v>29540</v>
      </c>
      <c r="B17511" s="1" t="str">
        <f>"17504"</f>
        <v>17504</v>
      </c>
      <c r="C17511" s="2">
        <v>1.330199973396E-5</v>
      </c>
      <c r="D17511" s="2">
        <v>0</v>
      </c>
      <c r="E17511" s="2">
        <v>1.29065565307176E-4</v>
      </c>
      <c r="F17511" s="2">
        <v>1.5965705664233201E-5</v>
      </c>
    </row>
    <row r="17512" spans="1:6" x14ac:dyDescent="0.25">
      <c r="A17512" s="1" t="str">
        <f t="shared" si="659"/>
        <v>29540</v>
      </c>
      <c r="B17512" s="1" t="str">
        <f>"17517"</f>
        <v>17517</v>
      </c>
      <c r="C17512" s="2">
        <v>2.6901077461978399E-2</v>
      </c>
      <c r="D17512" s="2">
        <v>1.6860768294802701E-2</v>
      </c>
      <c r="E17512" s="2">
        <v>1.05833763551884E-2</v>
      </c>
      <c r="F17512" s="2">
        <v>2.5704786119415401E-2</v>
      </c>
    </row>
    <row r="17513" spans="1:6" x14ac:dyDescent="0.25">
      <c r="A17513" s="1" t="str">
        <f t="shared" si="659"/>
        <v>29540</v>
      </c>
      <c r="B17513" s="1" t="str">
        <f>"17552"</f>
        <v>17552</v>
      </c>
      <c r="C17513" s="2">
        <v>3.9795149204096998E-2</v>
      </c>
      <c r="D17513" s="2">
        <v>3.3953299727678299E-2</v>
      </c>
      <c r="E17513" s="2">
        <v>2.8652555498193E-2</v>
      </c>
      <c r="F17513" s="2">
        <v>3.9048124628298403E-2</v>
      </c>
    </row>
    <row r="17514" spans="1:6" x14ac:dyDescent="0.25">
      <c r="A17514" s="1" t="str">
        <f t="shared" si="659"/>
        <v>29540</v>
      </c>
      <c r="B17514" s="1" t="str">
        <f>"17555"</f>
        <v>17555</v>
      </c>
      <c r="C17514" s="2">
        <v>9.9720658005586806E-3</v>
      </c>
      <c r="D17514" s="2">
        <v>4.5193811924213404E-3</v>
      </c>
      <c r="E17514" s="2">
        <v>7.7439339184305601E-4</v>
      </c>
      <c r="F17514" s="2">
        <v>9.31199782866402E-3</v>
      </c>
    </row>
    <row r="17515" spans="1:6" x14ac:dyDescent="0.25">
      <c r="A17515" s="1" t="str">
        <f t="shared" si="659"/>
        <v>29540</v>
      </c>
      <c r="B17515" s="1" t="str">
        <f>"17554"</f>
        <v>17554</v>
      </c>
      <c r="C17515" s="2">
        <v>1.47829557043408E-2</v>
      </c>
      <c r="D17515" s="2">
        <v>9.38640709195202E-3</v>
      </c>
      <c r="E17515" s="2">
        <v>2.11667527103768E-2</v>
      </c>
      <c r="F17515" s="2">
        <v>1.46086206827734E-2</v>
      </c>
    </row>
    <row r="17516" spans="1:6" x14ac:dyDescent="0.25">
      <c r="A17516" s="1" t="str">
        <f t="shared" si="659"/>
        <v>29540</v>
      </c>
      <c r="B17516" s="1" t="str">
        <f>"17565"</f>
        <v>17565</v>
      </c>
      <c r="C17516" s="2">
        <v>4.6113599077728003E-3</v>
      </c>
      <c r="D17516" s="2">
        <v>6.9528941421866802E-4</v>
      </c>
      <c r="E17516" s="2">
        <v>1.29065565307176E-4</v>
      </c>
      <c r="F17516" s="2">
        <v>4.20297201610939E-3</v>
      </c>
    </row>
    <row r="17517" spans="1:6" x14ac:dyDescent="0.25">
      <c r="A17517" s="1" t="str">
        <f t="shared" si="659"/>
        <v>29540</v>
      </c>
      <c r="B17517" s="1" t="str">
        <f>"17533"</f>
        <v>17533</v>
      </c>
      <c r="C17517" s="2">
        <v>0</v>
      </c>
      <c r="D17517" s="2">
        <v>0</v>
      </c>
      <c r="E17517" s="2">
        <v>1.29065565307176E-4</v>
      </c>
      <c r="F17517" s="2">
        <v>3.9914264160583001E-6</v>
      </c>
    </row>
    <row r="17518" spans="1:6" x14ac:dyDescent="0.25">
      <c r="A17518" s="1" t="str">
        <f t="shared" si="659"/>
        <v>29540</v>
      </c>
      <c r="B17518" s="1" t="str">
        <f>"19310"</f>
        <v>19310</v>
      </c>
      <c r="C17518" s="2">
        <v>1.6405799671884001E-4</v>
      </c>
      <c r="D17518" s="2">
        <v>5.7940784518222301E-5</v>
      </c>
      <c r="E17518" s="2">
        <v>0</v>
      </c>
      <c r="F17518" s="2">
        <v>1.5167420381021499E-4</v>
      </c>
    </row>
    <row r="17519" spans="1:6" x14ac:dyDescent="0.25">
      <c r="A17519" s="1" t="str">
        <f t="shared" si="659"/>
        <v>29540</v>
      </c>
      <c r="B17519" s="1" t="str">
        <f>"17699"</f>
        <v>17699</v>
      </c>
      <c r="C17519" s="2">
        <v>0</v>
      </c>
      <c r="D17519" s="2">
        <v>5.7940784518222301E-5</v>
      </c>
      <c r="E17519" s="2">
        <v>0</v>
      </c>
      <c r="F17519" s="2">
        <v>3.9914264160583001E-6</v>
      </c>
    </row>
    <row r="17520" spans="1:6" x14ac:dyDescent="0.25">
      <c r="A17520" s="1" t="str">
        <f t="shared" si="659"/>
        <v>29540</v>
      </c>
      <c r="B17520" s="1" t="str">
        <f>"17535"</f>
        <v>17535</v>
      </c>
      <c r="C17520" s="2">
        <v>3.6314459273710802E-3</v>
      </c>
      <c r="D17520" s="2">
        <v>2.2596905962106702E-3</v>
      </c>
      <c r="E17520" s="2">
        <v>2.1941146102219902E-3</v>
      </c>
      <c r="F17520" s="2">
        <v>3.4924981140510101E-3</v>
      </c>
    </row>
    <row r="17521" spans="1:6" x14ac:dyDescent="0.25">
      <c r="A17521" s="1" t="str">
        <f t="shared" si="659"/>
        <v>29540</v>
      </c>
      <c r="B17521" s="1" t="str">
        <f>"17536"</f>
        <v>17536</v>
      </c>
      <c r="C17521" s="2">
        <v>4.1369219172615601E-3</v>
      </c>
      <c r="D17521" s="2">
        <v>1.9120458891013299E-3</v>
      </c>
      <c r="E17521" s="2">
        <v>6.4532782653588E-4</v>
      </c>
      <c r="F17521" s="2">
        <v>3.8756750499926102E-3</v>
      </c>
    </row>
    <row r="17522" spans="1:6" x14ac:dyDescent="0.25">
      <c r="A17522" s="1" t="str">
        <f t="shared" ref="A17522:A17553" si="660">"29620"</f>
        <v>29620</v>
      </c>
      <c r="B17522" s="1" t="str">
        <f>"48864"</f>
        <v>48864</v>
      </c>
      <c r="C17522" s="2">
        <v>3.94698190652365E-2</v>
      </c>
      <c r="D17522" s="2">
        <v>6.6120787580461901E-2</v>
      </c>
      <c r="E17522" s="2">
        <v>5.1885065885797901E-2</v>
      </c>
      <c r="F17522" s="2">
        <v>4.1930485614677597E-2</v>
      </c>
    </row>
    <row r="17523" spans="1:6" x14ac:dyDescent="0.25">
      <c r="A17523" s="1" t="str">
        <f t="shared" si="660"/>
        <v>29620</v>
      </c>
      <c r="B17523" s="1" t="str">
        <f>"48861"</f>
        <v>48861</v>
      </c>
      <c r="C17523" s="2">
        <v>2.6874250736362401E-3</v>
      </c>
      <c r="D17523" s="2">
        <v>9.4661113214691405E-4</v>
      </c>
      <c r="E17523" s="2">
        <v>2.7452415812591498E-4</v>
      </c>
      <c r="F17523" s="2">
        <v>2.46504912490756E-3</v>
      </c>
    </row>
    <row r="17524" spans="1:6" x14ac:dyDescent="0.25">
      <c r="A17524" s="1" t="str">
        <f t="shared" si="660"/>
        <v>29620</v>
      </c>
      <c r="B17524" s="1" t="str">
        <f>"48917"</f>
        <v>48917</v>
      </c>
      <c r="C17524" s="2">
        <v>6.3481981946219707E-2</v>
      </c>
      <c r="D17524" s="2">
        <v>8.8460810299129097E-2</v>
      </c>
      <c r="E17524" s="2">
        <v>0.112829428989751</v>
      </c>
      <c r="F17524" s="2">
        <v>6.7239497129978495E-2</v>
      </c>
    </row>
    <row r="17525" spans="1:6" x14ac:dyDescent="0.25">
      <c r="A17525" s="1" t="str">
        <f t="shared" si="660"/>
        <v>29620</v>
      </c>
      <c r="B17525" s="1" t="str">
        <f>"48848"</f>
        <v>48848</v>
      </c>
      <c r="C17525" s="2">
        <v>1.3262462586438199E-2</v>
      </c>
      <c r="D17525" s="2">
        <v>2.98182506626277E-3</v>
      </c>
      <c r="E17525" s="2">
        <v>1.55563689604685E-3</v>
      </c>
      <c r="F17525" s="2">
        <v>1.2047047223298199E-2</v>
      </c>
    </row>
    <row r="17526" spans="1:6" x14ac:dyDescent="0.25">
      <c r="A17526" s="1" t="str">
        <f t="shared" si="660"/>
        <v>29620</v>
      </c>
      <c r="B17526" s="1" t="str">
        <f>"48906"</f>
        <v>48906</v>
      </c>
      <c r="C17526" s="2">
        <v>4.80918091094579E-2</v>
      </c>
      <c r="D17526" s="2">
        <v>6.0157137447936299E-2</v>
      </c>
      <c r="E17526" s="2">
        <v>5.1610541727672002E-2</v>
      </c>
      <c r="F17526" s="2">
        <v>4.91249075606578E-2</v>
      </c>
    </row>
    <row r="17527" spans="1:6" x14ac:dyDescent="0.25">
      <c r="A17527" s="1" t="str">
        <f t="shared" si="660"/>
        <v>29620</v>
      </c>
      <c r="B17527" s="1" t="str">
        <f>"48840"</f>
        <v>48840</v>
      </c>
      <c r="C17527" s="2">
        <v>2.61319339139547E-2</v>
      </c>
      <c r="D17527" s="2">
        <v>1.8506247633472101E-2</v>
      </c>
      <c r="E17527" s="2">
        <v>2.90080527086383E-2</v>
      </c>
      <c r="F17527" s="2">
        <v>2.5675247385287099E-2</v>
      </c>
    </row>
    <row r="17528" spans="1:6" x14ac:dyDescent="0.25">
      <c r="A17528" s="1" t="str">
        <f t="shared" si="660"/>
        <v>29620</v>
      </c>
      <c r="B17528" s="1" t="str">
        <f>"48890"</f>
        <v>48890</v>
      </c>
      <c r="C17528" s="2">
        <v>2.2071024238430499E-3</v>
      </c>
      <c r="D17528" s="2">
        <v>1.41991669822037E-3</v>
      </c>
      <c r="E17528" s="2">
        <v>5.4904831625182996E-4</v>
      </c>
      <c r="F17528" s="2">
        <v>2.0847272599218199E-3</v>
      </c>
    </row>
    <row r="17529" spans="1:6" x14ac:dyDescent="0.25">
      <c r="A17529" s="1" t="str">
        <f t="shared" si="660"/>
        <v>29620</v>
      </c>
      <c r="B17529" s="1" t="str">
        <f>"48933"</f>
        <v>48933</v>
      </c>
      <c r="C17529" s="2">
        <v>8.0821232642885998E-3</v>
      </c>
      <c r="D17529" s="2">
        <v>4.2360848163574397E-2</v>
      </c>
      <c r="E17529" s="2">
        <v>3.7792825768667597E-2</v>
      </c>
      <c r="F17529" s="2">
        <v>1.17758918195584E-2</v>
      </c>
    </row>
    <row r="17530" spans="1:6" x14ac:dyDescent="0.25">
      <c r="A17530" s="1" t="str">
        <f t="shared" si="660"/>
        <v>29620</v>
      </c>
      <c r="B17530" s="1" t="str">
        <f>"49285"</f>
        <v>49285</v>
      </c>
      <c r="C17530" s="2">
        <v>8.5227498273220195E-3</v>
      </c>
      <c r="D17530" s="2">
        <v>3.2184778492995001E-3</v>
      </c>
      <c r="E17530" s="2">
        <v>3.8433382137628099E-3</v>
      </c>
      <c r="F17530" s="2">
        <v>7.9480226784519395E-3</v>
      </c>
    </row>
    <row r="17531" spans="1:6" x14ac:dyDescent="0.25">
      <c r="A17531" s="1" t="str">
        <f t="shared" si="660"/>
        <v>29620</v>
      </c>
      <c r="B17531" s="1" t="str">
        <f>"48820"</f>
        <v>48820</v>
      </c>
      <c r="C17531" s="2">
        <v>3.1018522194082101E-2</v>
      </c>
      <c r="D17531" s="2">
        <v>2.5937145020825399E-2</v>
      </c>
      <c r="E17531" s="2">
        <v>1.50988286969253E-2</v>
      </c>
      <c r="F17531" s="2">
        <v>3.0027819840123898E-2</v>
      </c>
    </row>
    <row r="17532" spans="1:6" x14ac:dyDescent="0.25">
      <c r="A17532" s="1" t="str">
        <f t="shared" si="660"/>
        <v>29620</v>
      </c>
      <c r="B17532" s="1" t="str">
        <f>"48826"</f>
        <v>48826</v>
      </c>
      <c r="C17532" s="2">
        <v>4.7873480632279197E-3</v>
      </c>
      <c r="D17532" s="2">
        <v>2.0920106020446801E-2</v>
      </c>
      <c r="E17532" s="2">
        <v>1.8301610541727599E-4</v>
      </c>
      <c r="F17532" s="2">
        <v>5.8104729372820997E-3</v>
      </c>
    </row>
    <row r="17533" spans="1:6" x14ac:dyDescent="0.25">
      <c r="A17533" s="1" t="str">
        <f t="shared" si="660"/>
        <v>29620</v>
      </c>
      <c r="B17533" s="1" t="str">
        <f>"48833"</f>
        <v>48833</v>
      </c>
      <c r="C17533" s="2">
        <v>0</v>
      </c>
      <c r="D17533" s="2">
        <v>4.73305566073457E-5</v>
      </c>
      <c r="E17533" s="2">
        <v>0</v>
      </c>
      <c r="F17533" s="2">
        <v>3.5214987498679399E-6</v>
      </c>
    </row>
    <row r="17534" spans="1:6" x14ac:dyDescent="0.25">
      <c r="A17534" s="1" t="str">
        <f t="shared" si="660"/>
        <v>29620</v>
      </c>
      <c r="B17534" s="1" t="str">
        <f>"48909"</f>
        <v>48909</v>
      </c>
      <c r="C17534" s="2">
        <v>3.0407202457981598E-3</v>
      </c>
      <c r="D17534" s="2">
        <v>1.9168875425975E-2</v>
      </c>
      <c r="E17534" s="2">
        <v>1.8301610541727599E-4</v>
      </c>
      <c r="F17534" s="2">
        <v>4.1307180335950896E-3</v>
      </c>
    </row>
    <row r="17535" spans="1:6" x14ac:dyDescent="0.25">
      <c r="A17535" s="1" t="str">
        <f t="shared" si="660"/>
        <v>29620</v>
      </c>
      <c r="B17535" s="1" t="str">
        <f>"48908"</f>
        <v>48908</v>
      </c>
      <c r="C17535" s="2">
        <v>2.55245837865303E-3</v>
      </c>
      <c r="D17535" s="2">
        <v>1.1501325255585001E-2</v>
      </c>
      <c r="E17535" s="2">
        <v>1.8301610541727599E-4</v>
      </c>
      <c r="F17535" s="2">
        <v>3.1270908898827299E-3</v>
      </c>
    </row>
    <row r="17536" spans="1:6" x14ac:dyDescent="0.25">
      <c r="A17536" s="1" t="str">
        <f t="shared" si="660"/>
        <v>29620</v>
      </c>
      <c r="B17536" s="1" t="str">
        <f>"48951"</f>
        <v>48951</v>
      </c>
      <c r="C17536" s="2">
        <v>0</v>
      </c>
      <c r="D17536" s="2">
        <v>4.73305566073457E-5</v>
      </c>
      <c r="E17536" s="2">
        <v>0</v>
      </c>
      <c r="F17536" s="2">
        <v>3.5214987498679399E-6</v>
      </c>
    </row>
    <row r="17537" spans="1:6" x14ac:dyDescent="0.25">
      <c r="A17537" s="1" t="str">
        <f t="shared" si="660"/>
        <v>29620</v>
      </c>
      <c r="B17537" s="1" t="str">
        <f>"48853"</f>
        <v>48853</v>
      </c>
      <c r="C17537" s="2">
        <v>4.4062656303341601E-4</v>
      </c>
      <c r="D17537" s="2">
        <v>4.73305566073457E-5</v>
      </c>
      <c r="E17537" s="2">
        <v>0</v>
      </c>
      <c r="F17537" s="2">
        <v>3.9440785998520902E-4</v>
      </c>
    </row>
    <row r="17538" spans="1:6" x14ac:dyDescent="0.25">
      <c r="A17538" s="1" t="str">
        <f t="shared" si="660"/>
        <v>29620</v>
      </c>
      <c r="B17538" s="1" t="str">
        <f>"48849"</f>
        <v>48849</v>
      </c>
      <c r="C17538" s="2">
        <v>3.2550791143009101E-4</v>
      </c>
      <c r="D17538" s="2">
        <v>7.5728890571753098E-4</v>
      </c>
      <c r="E17538" s="2">
        <v>0</v>
      </c>
      <c r="F17538" s="2">
        <v>3.4510687748705798E-4</v>
      </c>
    </row>
    <row r="17539" spans="1:6" x14ac:dyDescent="0.25">
      <c r="A17539" s="1" t="str">
        <f t="shared" si="660"/>
        <v>29620</v>
      </c>
      <c r="B17539" s="1" t="str">
        <f>"48867"</f>
        <v>48867</v>
      </c>
      <c r="C17539" s="2">
        <v>5.4026374080043099E-2</v>
      </c>
      <c r="D17539" s="2">
        <v>6.1435062476334699E-2</v>
      </c>
      <c r="E17539" s="2">
        <v>4.3374816983894497E-2</v>
      </c>
      <c r="F17539" s="2">
        <v>5.4167693770468699E-2</v>
      </c>
    </row>
    <row r="17540" spans="1:6" x14ac:dyDescent="0.25">
      <c r="A17540" s="1" t="str">
        <f t="shared" si="660"/>
        <v>29620</v>
      </c>
      <c r="B17540" s="1" t="str">
        <f>"49021"</f>
        <v>49021</v>
      </c>
      <c r="C17540" s="2">
        <v>5.9583826226410602E-3</v>
      </c>
      <c r="D17540" s="2">
        <v>3.2658084059068501E-3</v>
      </c>
      <c r="E17540" s="2">
        <v>2.3792093704245901E-3</v>
      </c>
      <c r="F17540" s="2">
        <v>5.6203120047892303E-3</v>
      </c>
    </row>
    <row r="17541" spans="1:6" x14ac:dyDescent="0.25">
      <c r="A17541" s="1" t="str">
        <f t="shared" si="660"/>
        <v>29620</v>
      </c>
      <c r="B17541" s="1" t="str">
        <f>"48866"</f>
        <v>48866</v>
      </c>
      <c r="C17541" s="2">
        <v>7.86776439578586E-3</v>
      </c>
      <c r="D17541" s="2">
        <v>3.8337750851950001E-3</v>
      </c>
      <c r="E17541" s="2">
        <v>2.1961932650073198E-3</v>
      </c>
      <c r="F17541" s="2">
        <v>7.3493678909743896E-3</v>
      </c>
    </row>
    <row r="17542" spans="1:6" x14ac:dyDescent="0.25">
      <c r="A17542" s="1" t="str">
        <f t="shared" si="660"/>
        <v>29620</v>
      </c>
      <c r="B17542" s="1" t="str">
        <f>"48879"</f>
        <v>48879</v>
      </c>
      <c r="C17542" s="2">
        <v>2.9863366069372801E-2</v>
      </c>
      <c r="D17542" s="2">
        <v>2.8445664521014699E-2</v>
      </c>
      <c r="E17542" s="2">
        <v>2.6262811127379201E-2</v>
      </c>
      <c r="F17542" s="2">
        <v>2.9619325985139201E-2</v>
      </c>
    </row>
    <row r="17543" spans="1:6" x14ac:dyDescent="0.25">
      <c r="A17543" s="1" t="str">
        <f t="shared" si="660"/>
        <v>29620</v>
      </c>
      <c r="B17543" s="1" t="str">
        <f>"48895"</f>
        <v>48895</v>
      </c>
      <c r="C17543" s="2">
        <v>1.93478726867105E-2</v>
      </c>
      <c r="D17543" s="2">
        <v>1.87429004165088E-2</v>
      </c>
      <c r="E17543" s="2">
        <v>1.14385065885797E-2</v>
      </c>
      <c r="F17543" s="2">
        <v>1.89984857555375E-2</v>
      </c>
    </row>
    <row r="17544" spans="1:6" x14ac:dyDescent="0.25">
      <c r="A17544" s="1" t="str">
        <f t="shared" si="660"/>
        <v>29620</v>
      </c>
      <c r="B17544" s="1" t="str">
        <f>"48842"</f>
        <v>48842</v>
      </c>
      <c r="C17544" s="2">
        <v>4.1343474360297498E-2</v>
      </c>
      <c r="D17544" s="2">
        <v>3.0386217341915898E-2</v>
      </c>
      <c r="E17544" s="2">
        <v>4.46559297218155E-2</v>
      </c>
      <c r="F17544" s="2">
        <v>4.06557030672254E-2</v>
      </c>
    </row>
    <row r="17545" spans="1:6" x14ac:dyDescent="0.25">
      <c r="A17545" s="1" t="str">
        <f t="shared" si="660"/>
        <v>29620</v>
      </c>
      <c r="B17545" s="1" t="str">
        <f>"48823"</f>
        <v>48823</v>
      </c>
      <c r="C17545" s="2">
        <v>0.108215502115801</v>
      </c>
      <c r="D17545" s="2">
        <v>9.4093146535403197E-2</v>
      </c>
      <c r="E17545" s="2">
        <v>0.15757686676427499</v>
      </c>
      <c r="F17545" s="2">
        <v>0.10906433778216</v>
      </c>
    </row>
    <row r="17546" spans="1:6" x14ac:dyDescent="0.25">
      <c r="A17546" s="1" t="str">
        <f t="shared" si="660"/>
        <v>29620</v>
      </c>
      <c r="B17546" s="1" t="str">
        <f>"48835"</f>
        <v>48835</v>
      </c>
      <c r="C17546" s="2">
        <v>3.9616694586247598E-3</v>
      </c>
      <c r="D17546" s="2">
        <v>1.9878833775085099E-3</v>
      </c>
      <c r="E17546" s="2">
        <v>7.3206442166910603E-4</v>
      </c>
      <c r="F17546" s="2">
        <v>3.6905306898616002E-3</v>
      </c>
    </row>
    <row r="17547" spans="1:6" x14ac:dyDescent="0.25">
      <c r="A17547" s="1" t="str">
        <f t="shared" si="660"/>
        <v>29620</v>
      </c>
      <c r="B17547" s="1" t="str">
        <f>"48821"</f>
        <v>48821</v>
      </c>
      <c r="C17547" s="2">
        <v>1.0841001294092399E-2</v>
      </c>
      <c r="D17547" s="2">
        <v>2.88716395304808E-3</v>
      </c>
      <c r="E17547" s="2">
        <v>7.3206442166910603E-4</v>
      </c>
      <c r="F17547" s="2">
        <v>9.8601964996302398E-3</v>
      </c>
    </row>
    <row r="17548" spans="1:6" x14ac:dyDescent="0.25">
      <c r="A17548" s="1" t="str">
        <f t="shared" si="660"/>
        <v>29620</v>
      </c>
      <c r="B17548" s="1" t="str">
        <f>"48822"</f>
        <v>48822</v>
      </c>
      <c r="C17548" s="2">
        <v>6.6689425756408897E-3</v>
      </c>
      <c r="D17548" s="2">
        <v>1.0886028019689499E-3</v>
      </c>
      <c r="E17548" s="2">
        <v>9.1508052708638295E-5</v>
      </c>
      <c r="F17548" s="2">
        <v>6.0006338697749699E-3</v>
      </c>
    </row>
    <row r="17549" spans="1:6" x14ac:dyDescent="0.25">
      <c r="A17549" s="1" t="str">
        <f t="shared" si="660"/>
        <v>29620</v>
      </c>
      <c r="B17549" s="1" t="str">
        <f>"49096"</f>
        <v>49096</v>
      </c>
      <c r="C17549" s="2">
        <v>5.4066070166802899E-3</v>
      </c>
      <c r="D17549" s="2">
        <v>1.32525558500567E-3</v>
      </c>
      <c r="E17549" s="2">
        <v>7.3206442166910603E-4</v>
      </c>
      <c r="F17549" s="2">
        <v>4.9230552523153804E-3</v>
      </c>
    </row>
    <row r="17550" spans="1:6" x14ac:dyDescent="0.25">
      <c r="A17550" s="1" t="str">
        <f t="shared" si="660"/>
        <v>29620</v>
      </c>
      <c r="B17550" s="1" t="str">
        <f>"48901"</f>
        <v>48901</v>
      </c>
      <c r="C17550" s="2">
        <v>4.2514508919710599E-3</v>
      </c>
      <c r="D17550" s="2">
        <v>1.7464975388110499E-2</v>
      </c>
      <c r="E17550" s="2">
        <v>1.8301610541727599E-4</v>
      </c>
      <c r="F17550" s="2">
        <v>5.0780011973095701E-3</v>
      </c>
    </row>
    <row r="17551" spans="1:6" x14ac:dyDescent="0.25">
      <c r="A17551" s="1" t="str">
        <f t="shared" si="660"/>
        <v>29620</v>
      </c>
      <c r="B17551" s="1" t="str">
        <f>"49251"</f>
        <v>49251</v>
      </c>
      <c r="C17551" s="2">
        <v>9.7533285168748002E-3</v>
      </c>
      <c r="D17551" s="2">
        <v>3.6444528587656101E-3</v>
      </c>
      <c r="E17551" s="2">
        <v>4.0263543191800802E-3</v>
      </c>
      <c r="F17551" s="2">
        <v>9.0784237771595507E-3</v>
      </c>
    </row>
    <row r="17552" spans="1:6" x14ac:dyDescent="0.25">
      <c r="A17552" s="1" t="str">
        <f t="shared" si="660"/>
        <v>29620</v>
      </c>
      <c r="B17552" s="1" t="str">
        <f>"48807"</f>
        <v>48807</v>
      </c>
      <c r="C17552" s="2">
        <v>2.3817652055860301E-5</v>
      </c>
      <c r="D17552" s="2">
        <v>0</v>
      </c>
      <c r="E17552" s="2">
        <v>0</v>
      </c>
      <c r="F17552" s="2">
        <v>2.1128992499207601E-5</v>
      </c>
    </row>
    <row r="17553" spans="1:6" x14ac:dyDescent="0.25">
      <c r="A17553" s="1" t="str">
        <f t="shared" si="660"/>
        <v>29620</v>
      </c>
      <c r="B17553" s="1" t="str">
        <f>"48805"</f>
        <v>48805</v>
      </c>
      <c r="C17553" s="2">
        <v>3.2947752010606701E-3</v>
      </c>
      <c r="D17553" s="2">
        <v>1.0318061340401301E-2</v>
      </c>
      <c r="E17553" s="2">
        <v>1.8301610541727599E-4</v>
      </c>
      <c r="F17553" s="2">
        <v>3.6975736873613402E-3</v>
      </c>
    </row>
    <row r="17554" spans="1:6" x14ac:dyDescent="0.25">
      <c r="A17554" s="1" t="str">
        <f t="shared" ref="A17554:A17585" si="661">"29620"</f>
        <v>29620</v>
      </c>
      <c r="B17554" s="1" t="str">
        <f>"48436"</f>
        <v>48436</v>
      </c>
      <c r="C17554" s="2">
        <v>2.8581182467032299E-4</v>
      </c>
      <c r="D17554" s="2">
        <v>4.73305566073457E-5</v>
      </c>
      <c r="E17554" s="2">
        <v>0</v>
      </c>
      <c r="F17554" s="2">
        <v>2.5706940874035901E-4</v>
      </c>
    </row>
    <row r="17555" spans="1:6" x14ac:dyDescent="0.25">
      <c r="A17555" s="1" t="str">
        <f t="shared" si="661"/>
        <v>29620</v>
      </c>
      <c r="B17555" s="1" t="str">
        <f>"48894"</f>
        <v>48894</v>
      </c>
      <c r="C17555" s="2">
        <v>3.3662281572282601E-3</v>
      </c>
      <c r="D17555" s="2">
        <v>1.41991669822037E-3</v>
      </c>
      <c r="E17555" s="2">
        <v>6.40556368960468E-4</v>
      </c>
      <c r="F17555" s="2">
        <v>3.1165263936331301E-3</v>
      </c>
    </row>
    <row r="17556" spans="1:6" x14ac:dyDescent="0.25">
      <c r="A17556" s="1" t="str">
        <f t="shared" si="661"/>
        <v>29620</v>
      </c>
      <c r="B17556" s="1" t="str">
        <f>"48808"</f>
        <v>48808</v>
      </c>
      <c r="C17556" s="2">
        <v>1.0273347253427699E-2</v>
      </c>
      <c r="D17556" s="2">
        <v>2.0825444907232099E-3</v>
      </c>
      <c r="E17556" s="2">
        <v>8.0527086383601707E-3</v>
      </c>
      <c r="F17556" s="2">
        <v>9.5784765996407995E-3</v>
      </c>
    </row>
    <row r="17557" spans="1:6" x14ac:dyDescent="0.25">
      <c r="A17557" s="1" t="str">
        <f t="shared" si="661"/>
        <v>29620</v>
      </c>
      <c r="B17557" s="1" t="str">
        <f>"48854"</f>
        <v>48854</v>
      </c>
      <c r="C17557" s="2">
        <v>3.3983819875036701E-2</v>
      </c>
      <c r="D17557" s="2">
        <v>3.3841347974252103E-2</v>
      </c>
      <c r="E17557" s="2">
        <v>2.5530746705710101E-2</v>
      </c>
      <c r="F17557" s="2">
        <v>3.3647920554988199E-2</v>
      </c>
    </row>
    <row r="17558" spans="1:6" x14ac:dyDescent="0.25">
      <c r="A17558" s="1" t="str">
        <f t="shared" si="661"/>
        <v>29620</v>
      </c>
      <c r="B17558" s="1" t="str">
        <f>"48910"</f>
        <v>48910</v>
      </c>
      <c r="C17558" s="2">
        <v>6.8400327095754901E-2</v>
      </c>
      <c r="D17558" s="2">
        <v>6.2712987504733003E-2</v>
      </c>
      <c r="E17558" s="2">
        <v>7.9886530014641202E-2</v>
      </c>
      <c r="F17558" s="2">
        <v>6.8419199211184195E-2</v>
      </c>
    </row>
    <row r="17559" spans="1:6" x14ac:dyDescent="0.25">
      <c r="A17559" s="1" t="str">
        <f t="shared" si="661"/>
        <v>29620</v>
      </c>
      <c r="B17559" s="1" t="str">
        <f>"48911"</f>
        <v>48911</v>
      </c>
      <c r="C17559" s="2">
        <v>7.2651777987725902E-2</v>
      </c>
      <c r="D17559" s="2">
        <v>5.1022340022718597E-2</v>
      </c>
      <c r="E17559" s="2">
        <v>9.1782576866764207E-2</v>
      </c>
      <c r="F17559" s="2">
        <v>7.1778709018558207E-2</v>
      </c>
    </row>
    <row r="17560" spans="1:6" x14ac:dyDescent="0.25">
      <c r="A17560" s="1" t="str">
        <f t="shared" si="661"/>
        <v>29620</v>
      </c>
      <c r="B17560" s="1" t="str">
        <f>"48912"</f>
        <v>48912</v>
      </c>
      <c r="C17560" s="2">
        <v>3.7576315726795602E-2</v>
      </c>
      <c r="D17560" s="2">
        <v>5.7175312381673601E-2</v>
      </c>
      <c r="E17560" s="2">
        <v>5.6185944363103903E-2</v>
      </c>
      <c r="F17560" s="2">
        <v>3.9750677888509299E-2</v>
      </c>
    </row>
    <row r="17561" spans="1:6" x14ac:dyDescent="0.25">
      <c r="A17561" s="1" t="str">
        <f t="shared" si="661"/>
        <v>29620</v>
      </c>
      <c r="B17561" s="1" t="str">
        <f>"48872"</f>
        <v>48872</v>
      </c>
      <c r="C17561" s="2">
        <v>1.23732702430194E-2</v>
      </c>
      <c r="D17561" s="2">
        <v>2.55585005679666E-3</v>
      </c>
      <c r="E17561" s="2">
        <v>3.2942898975109802E-3</v>
      </c>
      <c r="F17561" s="2">
        <v>1.1293446490826401E-2</v>
      </c>
    </row>
    <row r="17562" spans="1:6" x14ac:dyDescent="0.25">
      <c r="A17562" s="1" t="str">
        <f t="shared" si="661"/>
        <v>29620</v>
      </c>
      <c r="B17562" s="1" t="str">
        <f>"48841"</f>
        <v>48841</v>
      </c>
      <c r="C17562" s="2">
        <v>1.1075208205975E-3</v>
      </c>
      <c r="D17562" s="2">
        <v>2.8398333964407401E-4</v>
      </c>
      <c r="E17562" s="2">
        <v>1.8301610541727599E-4</v>
      </c>
      <c r="F17562" s="2">
        <v>1.01067014121209E-3</v>
      </c>
    </row>
    <row r="17563" spans="1:6" x14ac:dyDescent="0.25">
      <c r="A17563" s="1" t="str">
        <f t="shared" si="661"/>
        <v>29620</v>
      </c>
      <c r="B17563" s="1" t="str">
        <f>"48460"</f>
        <v>48460</v>
      </c>
      <c r="C17563" s="2">
        <v>2.4333701183737299E-3</v>
      </c>
      <c r="D17563" s="2">
        <v>1.46724725482771E-3</v>
      </c>
      <c r="E17563" s="2">
        <v>2.1046852122986802E-3</v>
      </c>
      <c r="F17563" s="2">
        <v>2.3488396661619101E-3</v>
      </c>
    </row>
    <row r="17564" spans="1:6" x14ac:dyDescent="0.25">
      <c r="A17564" s="1" t="str">
        <f t="shared" si="661"/>
        <v>29620</v>
      </c>
      <c r="B17564" s="1" t="str">
        <f>"48449"</f>
        <v>48449</v>
      </c>
      <c r="C17564" s="2">
        <v>3.0685075065300001E-3</v>
      </c>
      <c r="D17564" s="2">
        <v>8.5195001893222197E-4</v>
      </c>
      <c r="E17564" s="2">
        <v>5.4904831625182996E-4</v>
      </c>
      <c r="F17564" s="2">
        <v>2.8066345036447502E-3</v>
      </c>
    </row>
    <row r="17565" spans="1:6" x14ac:dyDescent="0.25">
      <c r="A17565" s="1" t="str">
        <f t="shared" si="661"/>
        <v>29620</v>
      </c>
      <c r="B17565" s="1" t="str">
        <f>"49076"</f>
        <v>49076</v>
      </c>
      <c r="C17565" s="2">
        <v>5.2716403216970797E-3</v>
      </c>
      <c r="D17565" s="2">
        <v>2.65051117001135E-3</v>
      </c>
      <c r="E17565" s="2">
        <v>4.1178623718887203E-3</v>
      </c>
      <c r="F17565" s="2">
        <v>5.0322217135612898E-3</v>
      </c>
    </row>
    <row r="17566" spans="1:6" x14ac:dyDescent="0.25">
      <c r="A17566" s="1" t="str">
        <f t="shared" si="661"/>
        <v>29620</v>
      </c>
      <c r="B17566" s="1" t="str">
        <f>"48956"</f>
        <v>48956</v>
      </c>
      <c r="C17566" s="2">
        <v>0</v>
      </c>
      <c r="D17566" s="2">
        <v>0</v>
      </c>
      <c r="E17566" s="2">
        <v>9.1508052708638295E-5</v>
      </c>
      <c r="F17566" s="2">
        <v>3.5214987498679399E-6</v>
      </c>
    </row>
    <row r="17567" spans="1:6" x14ac:dyDescent="0.25">
      <c r="A17567" s="1" t="str">
        <f t="shared" si="661"/>
        <v>29620</v>
      </c>
      <c r="B17567" s="1" t="str">
        <f>"48924"</f>
        <v>48924</v>
      </c>
      <c r="C17567" s="2">
        <v>0</v>
      </c>
      <c r="D17567" s="2">
        <v>0</v>
      </c>
      <c r="E17567" s="2">
        <v>9.1508052708638295E-5</v>
      </c>
      <c r="F17567" s="2">
        <v>3.5214987498679399E-6</v>
      </c>
    </row>
    <row r="17568" spans="1:6" x14ac:dyDescent="0.25">
      <c r="A17568" s="1" t="str">
        <f t="shared" si="661"/>
        <v>29620</v>
      </c>
      <c r="B17568" s="1" t="str">
        <f>"49284"</f>
        <v>49284</v>
      </c>
      <c r="C17568" s="2">
        <v>5.51775605960764E-4</v>
      </c>
      <c r="D17568" s="2">
        <v>9.46611132146914E-5</v>
      </c>
      <c r="E17568" s="2">
        <v>0</v>
      </c>
      <c r="F17568" s="2">
        <v>4.9653132373137995E-4</v>
      </c>
    </row>
    <row r="17569" spans="1:6" x14ac:dyDescent="0.25">
      <c r="A17569" s="1" t="str">
        <f t="shared" si="661"/>
        <v>29620</v>
      </c>
      <c r="B17569" s="1" t="str">
        <f>"48825"</f>
        <v>48825</v>
      </c>
      <c r="C17569" s="2">
        <v>3.9696086759767199E-6</v>
      </c>
      <c r="D17569" s="2">
        <v>4.0704278682317302E-3</v>
      </c>
      <c r="E17569" s="2">
        <v>2.4707174231332302E-3</v>
      </c>
      <c r="F17569" s="2">
        <v>4.01450857484945E-4</v>
      </c>
    </row>
    <row r="17570" spans="1:6" x14ac:dyDescent="0.25">
      <c r="A17570" s="1" t="str">
        <f t="shared" si="661"/>
        <v>29620</v>
      </c>
      <c r="B17570" s="1" t="str">
        <f>"48875"</f>
        <v>48875</v>
      </c>
      <c r="C17570" s="2">
        <v>6.7086386624006596E-4</v>
      </c>
      <c r="D17570" s="2">
        <v>4.73305566073457E-5</v>
      </c>
      <c r="E17570" s="2">
        <v>0</v>
      </c>
      <c r="F17570" s="2">
        <v>5.9865478747754997E-4</v>
      </c>
    </row>
    <row r="17571" spans="1:6" x14ac:dyDescent="0.25">
      <c r="A17571" s="1" t="str">
        <f t="shared" si="661"/>
        <v>29620</v>
      </c>
      <c r="B17571" s="1" t="str">
        <f>"48476"</f>
        <v>48476</v>
      </c>
      <c r="C17571" s="2">
        <v>1.2504267329326601E-3</v>
      </c>
      <c r="D17571" s="2">
        <v>4.73305566073457E-5</v>
      </c>
      <c r="E17571" s="2">
        <v>0</v>
      </c>
      <c r="F17571" s="2">
        <v>1.1127936049582701E-3</v>
      </c>
    </row>
    <row r="17572" spans="1:6" x14ac:dyDescent="0.25">
      <c r="A17572" s="1" t="str">
        <f t="shared" si="661"/>
        <v>29620</v>
      </c>
      <c r="B17572" s="1" t="str">
        <f>"48845"</f>
        <v>48845</v>
      </c>
      <c r="C17572" s="2">
        <v>3.4535595480997402E-4</v>
      </c>
      <c r="D17572" s="2">
        <v>0</v>
      </c>
      <c r="E17572" s="2">
        <v>0</v>
      </c>
      <c r="F17572" s="2">
        <v>3.0637039123851103E-4</v>
      </c>
    </row>
    <row r="17573" spans="1:6" x14ac:dyDescent="0.25">
      <c r="A17573" s="1" t="str">
        <f t="shared" si="661"/>
        <v>29620</v>
      </c>
      <c r="B17573" s="1" t="str">
        <f>"48857"</f>
        <v>48857</v>
      </c>
      <c r="C17573" s="2">
        <v>4.2712989353509501E-3</v>
      </c>
      <c r="D17573" s="2">
        <v>2.0825444907232099E-3</v>
      </c>
      <c r="E17573" s="2">
        <v>5.4904831625182996E-4</v>
      </c>
      <c r="F17573" s="2">
        <v>3.9652075923513001E-3</v>
      </c>
    </row>
    <row r="17574" spans="1:6" x14ac:dyDescent="0.25">
      <c r="A17574" s="1" t="str">
        <f t="shared" si="661"/>
        <v>29620</v>
      </c>
      <c r="B17574" s="1" t="str">
        <f>"48876"</f>
        <v>48876</v>
      </c>
      <c r="C17574" s="2">
        <v>7.1651436601379804E-3</v>
      </c>
      <c r="D17574" s="2">
        <v>2.6978417266187E-3</v>
      </c>
      <c r="E17574" s="2">
        <v>2.1961932650073198E-3</v>
      </c>
      <c r="F17574" s="2">
        <v>6.6415466422509398E-3</v>
      </c>
    </row>
    <row r="17575" spans="1:6" x14ac:dyDescent="0.25">
      <c r="A17575" s="1" t="str">
        <f t="shared" si="661"/>
        <v>29620</v>
      </c>
      <c r="B17575" s="1" t="str">
        <f>"48817"</f>
        <v>48817</v>
      </c>
      <c r="C17575" s="2">
        <v>1.0741761077192999E-2</v>
      </c>
      <c r="D17575" s="2">
        <v>8.8508140855736404E-3</v>
      </c>
      <c r="E17575" s="2">
        <v>1.11639824304538E-2</v>
      </c>
      <c r="F17575" s="2">
        <v>1.06173187308518E-2</v>
      </c>
    </row>
    <row r="17576" spans="1:6" x14ac:dyDescent="0.25">
      <c r="A17576" s="1" t="str">
        <f t="shared" si="661"/>
        <v>29620</v>
      </c>
      <c r="B17576" s="1" t="str">
        <f>"48819"</f>
        <v>48819</v>
      </c>
      <c r="C17576" s="2">
        <v>4.3070254134347404E-3</v>
      </c>
      <c r="D17576" s="2">
        <v>9.9394168875425906E-4</v>
      </c>
      <c r="E17576" s="2">
        <v>0</v>
      </c>
      <c r="F17576" s="2">
        <v>3.89477761735394E-3</v>
      </c>
    </row>
    <row r="17577" spans="1:6" x14ac:dyDescent="0.25">
      <c r="A17577" s="1" t="str">
        <f t="shared" si="661"/>
        <v>29620</v>
      </c>
      <c r="B17577" s="1" t="str">
        <f>"48824"</f>
        <v>48824</v>
      </c>
      <c r="C17577" s="2">
        <v>1.19088260279301E-5</v>
      </c>
      <c r="D17577" s="2">
        <v>2.5463839454751901E-2</v>
      </c>
      <c r="E17577" s="2">
        <v>8.4187408491947207E-3</v>
      </c>
      <c r="F17577" s="2">
        <v>2.2291087086663999E-3</v>
      </c>
    </row>
    <row r="17578" spans="1:6" x14ac:dyDescent="0.25">
      <c r="A17578" s="1" t="str">
        <f t="shared" si="661"/>
        <v>29620</v>
      </c>
      <c r="B17578" s="1" t="str">
        <f>"48831"</f>
        <v>48831</v>
      </c>
      <c r="C17578" s="2">
        <v>5.0453726271664102E-3</v>
      </c>
      <c r="D17578" s="2">
        <v>1.41991669822037E-3</v>
      </c>
      <c r="E17578" s="2">
        <v>1.00658857979502E-3</v>
      </c>
      <c r="F17578" s="2">
        <v>4.6202063598267404E-3</v>
      </c>
    </row>
    <row r="17579" spans="1:6" x14ac:dyDescent="0.25">
      <c r="A17579" s="1" t="str">
        <f t="shared" si="661"/>
        <v>29620</v>
      </c>
      <c r="B17579" s="1" t="str">
        <f>"48429"</f>
        <v>48429</v>
      </c>
      <c r="C17579" s="2">
        <v>1.66683868304262E-2</v>
      </c>
      <c r="D17579" s="2">
        <v>1.0886028019689501E-2</v>
      </c>
      <c r="E17579" s="2">
        <v>9.8828696925329397E-3</v>
      </c>
      <c r="F17579" s="2">
        <v>1.59770398281508E-2</v>
      </c>
    </row>
    <row r="17580" spans="1:6" x14ac:dyDescent="0.25">
      <c r="A17580" s="1" t="str">
        <f t="shared" si="661"/>
        <v>29620</v>
      </c>
      <c r="B17580" s="1" t="str">
        <f>"48414"</f>
        <v>48414</v>
      </c>
      <c r="C17580" s="2">
        <v>4.1879371531554398E-3</v>
      </c>
      <c r="D17580" s="2">
        <v>5.2063612268080203E-4</v>
      </c>
      <c r="E17580" s="2">
        <v>6.40556368960468E-4</v>
      </c>
      <c r="F17580" s="2">
        <v>3.7785681586083E-3</v>
      </c>
    </row>
    <row r="17581" spans="1:6" x14ac:dyDescent="0.25">
      <c r="A17581" s="1" t="str">
        <f t="shared" si="661"/>
        <v>29620</v>
      </c>
      <c r="B17581" s="1" t="str">
        <f>"48915"</f>
        <v>48915</v>
      </c>
      <c r="C17581" s="2">
        <v>1.71050437847836E-2</v>
      </c>
      <c r="D17581" s="2">
        <v>7.0522529344945002E-3</v>
      </c>
      <c r="E17581" s="2">
        <v>1.1987554904831599E-2</v>
      </c>
      <c r="F17581" s="2">
        <v>1.61601577631439E-2</v>
      </c>
    </row>
    <row r="17582" spans="1:6" x14ac:dyDescent="0.25">
      <c r="A17582" s="1" t="str">
        <f t="shared" si="661"/>
        <v>29620</v>
      </c>
      <c r="B17582" s="1" t="str">
        <f>"48827"</f>
        <v>48827</v>
      </c>
      <c r="C17582" s="2">
        <v>2.6687679128591501E-2</v>
      </c>
      <c r="D17582" s="2">
        <v>1.40571753123816E-2</v>
      </c>
      <c r="E17582" s="2">
        <v>1.4915812591507999E-2</v>
      </c>
      <c r="F17582" s="2">
        <v>2.5294925520301399E-2</v>
      </c>
    </row>
    <row r="17583" spans="1:6" x14ac:dyDescent="0.25">
      <c r="A17583" s="1" t="str">
        <f t="shared" si="661"/>
        <v>29620</v>
      </c>
      <c r="B17583" s="1" t="str">
        <f>"48649"</f>
        <v>48649</v>
      </c>
      <c r="C17583" s="2">
        <v>1.07179434251371E-4</v>
      </c>
      <c r="D17583" s="2">
        <v>0</v>
      </c>
      <c r="E17583" s="2">
        <v>0</v>
      </c>
      <c r="F17583" s="2">
        <v>9.5080466246434396E-5</v>
      </c>
    </row>
    <row r="17584" spans="1:6" x14ac:dyDescent="0.25">
      <c r="A17584" s="1" t="str">
        <f t="shared" si="661"/>
        <v>29620</v>
      </c>
      <c r="B17584" s="1" t="str">
        <f>"48873"</f>
        <v>48873</v>
      </c>
      <c r="C17584" s="2">
        <v>5.2001873655294995E-4</v>
      </c>
      <c r="D17584" s="2">
        <v>4.73305566073457E-5</v>
      </c>
      <c r="E17584" s="2">
        <v>1.8301610541727599E-4</v>
      </c>
      <c r="F17584" s="2">
        <v>4.71880832482304E-4</v>
      </c>
    </row>
    <row r="17585" spans="1:6" x14ac:dyDescent="0.25">
      <c r="A17585" s="1" t="str">
        <f t="shared" si="661"/>
        <v>29620</v>
      </c>
      <c r="B17585" s="1" t="str">
        <f>"49264"</f>
        <v>49264</v>
      </c>
      <c r="C17585" s="2">
        <v>2.3460387275022398E-3</v>
      </c>
      <c r="D17585" s="2">
        <v>2.8398333964407401E-4</v>
      </c>
      <c r="E17585" s="2">
        <v>9.1508052708638295E-5</v>
      </c>
      <c r="F17585" s="2">
        <v>2.10585625242103E-3</v>
      </c>
    </row>
    <row r="17586" spans="1:6" x14ac:dyDescent="0.25">
      <c r="A17586" s="1" t="str">
        <f t="shared" ref="A17586:A17596" si="662">"29620"</f>
        <v>29620</v>
      </c>
      <c r="B17586" s="1" t="str">
        <f>"48836"</f>
        <v>48836</v>
      </c>
      <c r="C17586" s="2">
        <v>4.7635304111720602E-5</v>
      </c>
      <c r="D17586" s="2">
        <v>0</v>
      </c>
      <c r="E17586" s="2">
        <v>0</v>
      </c>
      <c r="F17586" s="2">
        <v>4.2257984998415303E-5</v>
      </c>
    </row>
    <row r="17587" spans="1:6" x14ac:dyDescent="0.25">
      <c r="A17587" s="1" t="str">
        <f t="shared" si="662"/>
        <v>29620</v>
      </c>
      <c r="B17587" s="1" t="str">
        <f>"48616"</f>
        <v>48616</v>
      </c>
      <c r="C17587" s="2">
        <v>1.4290591233516101E-4</v>
      </c>
      <c r="D17587" s="2">
        <v>0</v>
      </c>
      <c r="E17587" s="2">
        <v>0</v>
      </c>
      <c r="F17587" s="2">
        <v>1.2677395499524499E-4</v>
      </c>
    </row>
    <row r="17588" spans="1:6" x14ac:dyDescent="0.25">
      <c r="A17588" s="1" t="str">
        <f t="shared" si="662"/>
        <v>29620</v>
      </c>
      <c r="B17588" s="1" t="str">
        <f>"48433"</f>
        <v>48433</v>
      </c>
      <c r="C17588" s="2">
        <v>1.38936303659185E-4</v>
      </c>
      <c r="D17588" s="2">
        <v>4.73305566073457E-5</v>
      </c>
      <c r="E17588" s="2">
        <v>0</v>
      </c>
      <c r="F17588" s="2">
        <v>1.2677395499524499E-4</v>
      </c>
    </row>
    <row r="17589" spans="1:6" x14ac:dyDescent="0.25">
      <c r="A17589" s="1" t="str">
        <f t="shared" si="662"/>
        <v>29620</v>
      </c>
      <c r="B17589" s="1" t="str">
        <f>"48871"</f>
        <v>48871</v>
      </c>
      <c r="C17589" s="2">
        <v>1.5878434703906798E-5</v>
      </c>
      <c r="D17589" s="2">
        <v>0</v>
      </c>
      <c r="E17589" s="2">
        <v>0</v>
      </c>
      <c r="F17589" s="2">
        <v>1.40859949994717E-5</v>
      </c>
    </row>
    <row r="17590" spans="1:6" x14ac:dyDescent="0.25">
      <c r="A17590" s="1" t="str">
        <f t="shared" si="662"/>
        <v>29620</v>
      </c>
      <c r="B17590" s="1" t="str">
        <f>"48882"</f>
        <v>48882</v>
      </c>
      <c r="C17590" s="2">
        <v>0</v>
      </c>
      <c r="D17590" s="2">
        <v>4.73305566073457E-5</v>
      </c>
      <c r="E17590" s="2">
        <v>0</v>
      </c>
      <c r="F17590" s="2">
        <v>3.5214987498679399E-6</v>
      </c>
    </row>
    <row r="17591" spans="1:6" x14ac:dyDescent="0.25">
      <c r="A17591" s="1" t="str">
        <f t="shared" si="662"/>
        <v>29620</v>
      </c>
      <c r="B17591" s="1" t="str">
        <f>"49073"</f>
        <v>49073</v>
      </c>
      <c r="C17591" s="2">
        <v>7.9392173519534401E-4</v>
      </c>
      <c r="D17591" s="2">
        <v>9.46611132146914E-5</v>
      </c>
      <c r="E17591" s="2">
        <v>0</v>
      </c>
      <c r="F17591" s="2">
        <v>7.1134274747332402E-4</v>
      </c>
    </row>
    <row r="17592" spans="1:6" x14ac:dyDescent="0.25">
      <c r="A17592" s="1" t="str">
        <f t="shared" si="662"/>
        <v>29620</v>
      </c>
      <c r="B17592" s="1" t="str">
        <f>"48897"</f>
        <v>48897</v>
      </c>
      <c r="C17592" s="2">
        <v>9.5270608223441299E-5</v>
      </c>
      <c r="D17592" s="2">
        <v>0</v>
      </c>
      <c r="E17592" s="2">
        <v>0</v>
      </c>
      <c r="F17592" s="2">
        <v>8.4515969996830606E-5</v>
      </c>
    </row>
    <row r="17593" spans="1:6" x14ac:dyDescent="0.25">
      <c r="A17593" s="1" t="str">
        <f t="shared" si="662"/>
        <v>29620</v>
      </c>
      <c r="B17593" s="1" t="str">
        <f>"48813"</f>
        <v>48813</v>
      </c>
      <c r="C17593" s="2">
        <v>3.64529164714942E-2</v>
      </c>
      <c r="D17593" s="2">
        <v>3.2894736842105199E-2</v>
      </c>
      <c r="E17593" s="2">
        <v>3.2485358711566603E-2</v>
      </c>
      <c r="F17593" s="2">
        <v>3.6035496707398598E-2</v>
      </c>
    </row>
    <row r="17594" spans="1:6" x14ac:dyDescent="0.25">
      <c r="A17594" s="1" t="str">
        <f t="shared" si="662"/>
        <v>29620</v>
      </c>
      <c r="B17594" s="1" t="str">
        <f>"48418"</f>
        <v>48418</v>
      </c>
      <c r="C17594" s="2">
        <v>4.0053351540605096E-3</v>
      </c>
      <c r="D17594" s="2">
        <v>1.9878833775085099E-3</v>
      </c>
      <c r="E17594" s="2">
        <v>1.00658857979502E-3</v>
      </c>
      <c r="F17594" s="2">
        <v>3.7398316723597498E-3</v>
      </c>
    </row>
    <row r="17595" spans="1:6" x14ac:dyDescent="0.25">
      <c r="A17595" s="1" t="str">
        <f t="shared" si="662"/>
        <v>29620</v>
      </c>
      <c r="B17595" s="1" t="str">
        <f>"48892"</f>
        <v>48892</v>
      </c>
      <c r="C17595" s="2">
        <v>6.8316965313559297E-3</v>
      </c>
      <c r="D17595" s="2">
        <v>2.5085195001893199E-3</v>
      </c>
      <c r="E17595" s="2">
        <v>1.0980966325036599E-3</v>
      </c>
      <c r="F17595" s="2">
        <v>6.2893967672641403E-3</v>
      </c>
    </row>
    <row r="17596" spans="1:6" x14ac:dyDescent="0.25">
      <c r="A17596" s="1" t="str">
        <f t="shared" si="662"/>
        <v>29620</v>
      </c>
      <c r="B17596" s="1" t="str">
        <f>"48837"</f>
        <v>48837</v>
      </c>
      <c r="C17596" s="2">
        <v>3.3769461006533899E-2</v>
      </c>
      <c r="D17596" s="2">
        <v>2.6173797803862101E-2</v>
      </c>
      <c r="E17596" s="2">
        <v>2.9831625183016099E-2</v>
      </c>
      <c r="F17596" s="2">
        <v>3.30527872662605E-2</v>
      </c>
    </row>
    <row r="17597" spans="1:6" x14ac:dyDescent="0.25">
      <c r="A17597" s="1" t="str">
        <f t="shared" ref="A17597:A17609" si="663">"29660"</f>
        <v>29660</v>
      </c>
      <c r="B17597" s="1" t="str">
        <f>"82072"</f>
        <v>82072</v>
      </c>
      <c r="C17597" s="2">
        <v>0.43749670758046599</v>
      </c>
      <c r="D17597" s="2">
        <v>0.25935828877005301</v>
      </c>
      <c r="E17597" s="2">
        <v>0.472652218782249</v>
      </c>
      <c r="F17597" s="2">
        <v>0.42864790114645102</v>
      </c>
    </row>
    <row r="17598" spans="1:6" x14ac:dyDescent="0.25">
      <c r="A17598" s="1" t="str">
        <f t="shared" si="663"/>
        <v>29660</v>
      </c>
      <c r="B17598" s="1" t="str">
        <f>"82051"</f>
        <v>82051</v>
      </c>
      <c r="C17598" s="2">
        <v>3.3187588895327298E-3</v>
      </c>
      <c r="D17598" s="2">
        <v>0</v>
      </c>
      <c r="E17598" s="2">
        <v>9.8039215686274508E-3</v>
      </c>
      <c r="F17598" s="2">
        <v>3.6579381719230898E-3</v>
      </c>
    </row>
    <row r="17599" spans="1:6" x14ac:dyDescent="0.25">
      <c r="A17599" s="1" t="str">
        <f t="shared" si="663"/>
        <v>29660</v>
      </c>
      <c r="B17599" s="1" t="str">
        <f>"82052"</f>
        <v>82052</v>
      </c>
      <c r="C17599" s="2">
        <v>3.0553653268714101E-3</v>
      </c>
      <c r="D17599" s="2">
        <v>1.3368983957219201E-3</v>
      </c>
      <c r="E17599" s="2">
        <v>5.1599587203302304E-4</v>
      </c>
      <c r="F17599" s="2">
        <v>2.721149127894E-3</v>
      </c>
    </row>
    <row r="17600" spans="1:6" x14ac:dyDescent="0.25">
      <c r="A17600" s="1" t="str">
        <f t="shared" si="663"/>
        <v>29660</v>
      </c>
      <c r="B17600" s="1" t="str">
        <f>"82073"</f>
        <v>82073</v>
      </c>
      <c r="C17600" s="2">
        <v>0</v>
      </c>
      <c r="D17600" s="2">
        <v>0</v>
      </c>
      <c r="E17600" s="2">
        <v>5.1599587203302304E-4</v>
      </c>
      <c r="F17600" s="2">
        <v>4.4609002096622998E-5</v>
      </c>
    </row>
    <row r="17601" spans="1:6" x14ac:dyDescent="0.25">
      <c r="A17601" s="1" t="str">
        <f t="shared" si="663"/>
        <v>29660</v>
      </c>
      <c r="B17601" s="1" t="str">
        <f>"82329"</f>
        <v>82329</v>
      </c>
      <c r="C17601" s="2">
        <v>1.73839751356476E-3</v>
      </c>
      <c r="D17601" s="2">
        <v>0</v>
      </c>
      <c r="E17601" s="2">
        <v>1.03199174406604E-3</v>
      </c>
      <c r="F17601" s="2">
        <v>1.5613150733818E-3</v>
      </c>
    </row>
    <row r="17602" spans="1:6" x14ac:dyDescent="0.25">
      <c r="A17602" s="1" t="str">
        <f t="shared" si="663"/>
        <v>29660</v>
      </c>
      <c r="B17602" s="1" t="str">
        <f>"82070"</f>
        <v>82070</v>
      </c>
      <c r="C17602" s="2">
        <v>0.53310857082652796</v>
      </c>
      <c r="D17602" s="2">
        <v>0.73128342245989297</v>
      </c>
      <c r="E17602" s="2">
        <v>0.50928792569659398</v>
      </c>
      <c r="F17602" s="2">
        <v>0.54427443458089797</v>
      </c>
    </row>
    <row r="17603" spans="1:6" x14ac:dyDescent="0.25">
      <c r="A17603" s="1" t="str">
        <f t="shared" si="663"/>
        <v>29660</v>
      </c>
      <c r="B17603" s="1" t="str">
        <f>"82201"</f>
        <v>82201</v>
      </c>
      <c r="C17603" s="2">
        <v>2.7392930516778099E-3</v>
      </c>
      <c r="D17603" s="2">
        <v>6.6844919786096199E-4</v>
      </c>
      <c r="E17603" s="2">
        <v>0</v>
      </c>
      <c r="F17603" s="2">
        <v>2.3642771111210201E-3</v>
      </c>
    </row>
    <row r="17604" spans="1:6" x14ac:dyDescent="0.25">
      <c r="A17604" s="1" t="str">
        <f t="shared" si="663"/>
        <v>29660</v>
      </c>
      <c r="B17604" s="1" t="str">
        <f>"82071"</f>
        <v>82071</v>
      </c>
      <c r="C17604" s="2">
        <v>0</v>
      </c>
      <c r="D17604" s="2">
        <v>6.6844919786096199E-4</v>
      </c>
      <c r="E17604" s="2">
        <v>0</v>
      </c>
      <c r="F17604" s="2">
        <v>4.4609002096622998E-5</v>
      </c>
    </row>
    <row r="17605" spans="1:6" x14ac:dyDescent="0.25">
      <c r="A17605" s="1" t="str">
        <f t="shared" si="663"/>
        <v>29660</v>
      </c>
      <c r="B17605" s="1" t="str">
        <f>"82058"</f>
        <v>82058</v>
      </c>
      <c r="C17605" s="2">
        <v>2.1071485012906198E-3</v>
      </c>
      <c r="D17605" s="2">
        <v>6.6844919786096199E-4</v>
      </c>
      <c r="E17605" s="2">
        <v>2.06398348813209E-3</v>
      </c>
      <c r="F17605" s="2">
        <v>2.0074050943480301E-3</v>
      </c>
    </row>
    <row r="17606" spans="1:6" x14ac:dyDescent="0.25">
      <c r="A17606" s="1" t="str">
        <f t="shared" si="663"/>
        <v>29660</v>
      </c>
      <c r="B17606" s="1" t="str">
        <f>"82063"</f>
        <v>82063</v>
      </c>
      <c r="C17606" s="2">
        <v>6.0053732286782903E-3</v>
      </c>
      <c r="D17606" s="2">
        <v>4.0106951871657697E-3</v>
      </c>
      <c r="E17606" s="2">
        <v>1.54798761609907E-3</v>
      </c>
      <c r="F17606" s="2">
        <v>5.4869072578846399E-3</v>
      </c>
    </row>
    <row r="17607" spans="1:6" x14ac:dyDescent="0.25">
      <c r="A17607" s="1" t="str">
        <f t="shared" si="663"/>
        <v>29660</v>
      </c>
      <c r="B17607" s="1" t="str">
        <f>"82055"</f>
        <v>82055</v>
      </c>
      <c r="C17607" s="2">
        <v>5.2678712532265699E-5</v>
      </c>
      <c r="D17607" s="2">
        <v>0</v>
      </c>
      <c r="E17607" s="2">
        <v>5.1599587203302304E-4</v>
      </c>
      <c r="F17607" s="2">
        <v>8.9218004193246104E-5</v>
      </c>
    </row>
    <row r="17608" spans="1:6" x14ac:dyDescent="0.25">
      <c r="A17608" s="1" t="str">
        <f t="shared" si="663"/>
        <v>29660</v>
      </c>
      <c r="B17608" s="1" t="str">
        <f>"82083"</f>
        <v>82083</v>
      </c>
      <c r="C17608" s="2">
        <v>6.8482326291945403E-3</v>
      </c>
      <c r="D17608" s="2">
        <v>1.3368983957219201E-3</v>
      </c>
      <c r="E17608" s="2">
        <v>1.03199174406604E-3</v>
      </c>
      <c r="F17608" s="2">
        <v>5.97760628094749E-3</v>
      </c>
    </row>
    <row r="17609" spans="1:6" x14ac:dyDescent="0.25">
      <c r="A17609" s="1" t="str">
        <f t="shared" si="663"/>
        <v>29660</v>
      </c>
      <c r="B17609" s="1" t="str">
        <f>"82084"</f>
        <v>82084</v>
      </c>
      <c r="C17609" s="2">
        <v>3.5294737396618001E-3</v>
      </c>
      <c r="D17609" s="2">
        <v>6.6844919786096199E-4</v>
      </c>
      <c r="E17609" s="2">
        <v>1.03199174406604E-3</v>
      </c>
      <c r="F17609" s="2">
        <v>3.1226301467636099E-3</v>
      </c>
    </row>
    <row r="17610" spans="1:6" x14ac:dyDescent="0.25">
      <c r="A17610" s="1" t="str">
        <f t="shared" ref="A17610:A17619" si="664">"29700"</f>
        <v>29700</v>
      </c>
      <c r="B17610" s="1" t="str">
        <f>"78344"</f>
        <v>78344</v>
      </c>
      <c r="C17610" s="2">
        <v>4.30015050526768E-4</v>
      </c>
      <c r="D17610" s="2">
        <v>2.64410364886303E-4</v>
      </c>
      <c r="E17610" s="2">
        <v>0</v>
      </c>
      <c r="F17610" s="2">
        <v>3.96134464619664E-4</v>
      </c>
    </row>
    <row r="17611" spans="1:6" x14ac:dyDescent="0.25">
      <c r="A17611" s="1" t="str">
        <f t="shared" si="664"/>
        <v>29700</v>
      </c>
      <c r="B17611" s="1" t="str">
        <f>"78045"</f>
        <v>78045</v>
      </c>
      <c r="C17611" s="2">
        <v>0.24453880885831</v>
      </c>
      <c r="D17611" s="2">
        <v>0.24087784241142199</v>
      </c>
      <c r="E17611" s="2">
        <v>0.14272053550083599</v>
      </c>
      <c r="F17611" s="2">
        <v>0.24023252171830201</v>
      </c>
    </row>
    <row r="17612" spans="1:6" x14ac:dyDescent="0.25">
      <c r="A17612" s="1" t="str">
        <f t="shared" si="664"/>
        <v>29700</v>
      </c>
      <c r="B17612" s="1" t="str">
        <f>"78042"</f>
        <v>78042</v>
      </c>
      <c r="C17612" s="2">
        <v>2.27155450440765E-2</v>
      </c>
      <c r="D17612" s="2">
        <v>2.5383395029085098E-2</v>
      </c>
      <c r="E17612" s="2">
        <v>2.3906287353573901E-4</v>
      </c>
      <c r="F17612" s="2">
        <v>2.21282554422426E-2</v>
      </c>
    </row>
    <row r="17613" spans="1:6" x14ac:dyDescent="0.25">
      <c r="A17613" s="1" t="str">
        <f t="shared" si="664"/>
        <v>29700</v>
      </c>
      <c r="B17613" s="1" t="str">
        <f>"78044"</f>
        <v>78044</v>
      </c>
      <c r="C17613" s="2">
        <v>2.1726510427864901E-2</v>
      </c>
      <c r="D17613" s="2">
        <v>3.4285210646923997E-2</v>
      </c>
      <c r="E17613" s="2">
        <v>2.3906287353573901E-4</v>
      </c>
      <c r="F17613" s="2">
        <v>2.2211167306930499E-2</v>
      </c>
    </row>
    <row r="17614" spans="1:6" x14ac:dyDescent="0.25">
      <c r="A17614" s="1" t="str">
        <f t="shared" si="664"/>
        <v>29700</v>
      </c>
      <c r="B17614" s="1" t="str">
        <f>"78046"</f>
        <v>78046</v>
      </c>
      <c r="C17614" s="2">
        <v>0.212556439475381</v>
      </c>
      <c r="D17614" s="2">
        <v>4.21293848052176E-2</v>
      </c>
      <c r="E17614" s="2">
        <v>0.10184078412622501</v>
      </c>
      <c r="F17614" s="2">
        <v>0.19047619047618999</v>
      </c>
    </row>
    <row r="17615" spans="1:6" x14ac:dyDescent="0.25">
      <c r="A17615" s="1" t="str">
        <f t="shared" si="664"/>
        <v>29700</v>
      </c>
      <c r="B17615" s="1" t="str">
        <f>"78040"</f>
        <v>78040</v>
      </c>
      <c r="C17615" s="2">
        <v>0.154085142980004</v>
      </c>
      <c r="D17615" s="2">
        <v>0.228979375991538</v>
      </c>
      <c r="E17615" s="2">
        <v>0.25364570882142001</v>
      </c>
      <c r="F17615" s="2">
        <v>0.16575002994039501</v>
      </c>
    </row>
    <row r="17616" spans="1:6" x14ac:dyDescent="0.25">
      <c r="A17616" s="1" t="str">
        <f t="shared" si="664"/>
        <v>29700</v>
      </c>
      <c r="B17616" s="1" t="str">
        <f>"78371"</f>
        <v>78371</v>
      </c>
      <c r="C17616" s="2">
        <v>3.0101053536873702E-4</v>
      </c>
      <c r="D17616" s="2">
        <v>8.8136788295434501E-5</v>
      </c>
      <c r="E17616" s="2">
        <v>0</v>
      </c>
      <c r="F17616" s="2">
        <v>2.6716045288302899E-4</v>
      </c>
    </row>
    <row r="17617" spans="1:6" x14ac:dyDescent="0.25">
      <c r="A17617" s="1" t="str">
        <f t="shared" si="664"/>
        <v>29700</v>
      </c>
      <c r="B17617" s="1" t="str">
        <f>"78369"</f>
        <v>78369</v>
      </c>
      <c r="C17617" s="2">
        <v>1.8275639647387601E-4</v>
      </c>
      <c r="D17617" s="2">
        <v>8.8136788295434501E-5</v>
      </c>
      <c r="E17617" s="2">
        <v>2.3906287353573901E-4</v>
      </c>
      <c r="F17617" s="2">
        <v>1.7503615878543301E-4</v>
      </c>
    </row>
    <row r="17618" spans="1:6" x14ac:dyDescent="0.25">
      <c r="A17618" s="1" t="str">
        <f t="shared" si="664"/>
        <v>29700</v>
      </c>
      <c r="B17618" s="1" t="str">
        <f>"78043"</f>
        <v>78043</v>
      </c>
      <c r="C17618" s="2">
        <v>0.15571920017200599</v>
      </c>
      <c r="D17618" s="2">
        <v>0.10364886303543</v>
      </c>
      <c r="E17618" s="2">
        <v>0.205594071240736</v>
      </c>
      <c r="F17618" s="2">
        <v>0.15219854627863899</v>
      </c>
    </row>
    <row r="17619" spans="1:6" x14ac:dyDescent="0.25">
      <c r="A17619" s="1" t="str">
        <f t="shared" si="664"/>
        <v>29700</v>
      </c>
      <c r="B17619" s="1" t="str">
        <f>"78041"</f>
        <v>78041</v>
      </c>
      <c r="C17619" s="2">
        <v>0.18774457105998699</v>
      </c>
      <c r="D17619" s="2">
        <v>0.324255244138903</v>
      </c>
      <c r="E17619" s="2">
        <v>0.29548171169017401</v>
      </c>
      <c r="F17619" s="2">
        <v>0.20616495776101099</v>
      </c>
    </row>
    <row r="17620" spans="1:6" x14ac:dyDescent="0.25">
      <c r="A17620" s="1" t="str">
        <f t="shared" ref="A17620:A17648" si="665">"29740"</f>
        <v>29740</v>
      </c>
      <c r="B17620" s="1" t="str">
        <f>"88024"</f>
        <v>88024</v>
      </c>
      <c r="C17620" s="2">
        <v>2.3972535169583401E-3</v>
      </c>
      <c r="D17620" s="2">
        <v>5.1826898160145095E-4</v>
      </c>
      <c r="E17620" s="2">
        <v>0</v>
      </c>
      <c r="F17620" s="2">
        <v>2.1752723493822001E-3</v>
      </c>
    </row>
    <row r="17621" spans="1:6" x14ac:dyDescent="0.25">
      <c r="A17621" s="1" t="str">
        <f t="shared" si="665"/>
        <v>29740</v>
      </c>
      <c r="B17621" s="1" t="str">
        <f>"88004"</f>
        <v>88004</v>
      </c>
      <c r="C17621" s="2">
        <v>1.8595978927845602E-2</v>
      </c>
      <c r="D17621" s="2">
        <v>7.5796838559212196E-2</v>
      </c>
      <c r="E17621" s="2">
        <v>4.4792833146696498E-4</v>
      </c>
      <c r="F17621" s="2">
        <v>2.17703370351125E-2</v>
      </c>
    </row>
    <row r="17622" spans="1:6" x14ac:dyDescent="0.25">
      <c r="A17622" s="1" t="str">
        <f t="shared" si="665"/>
        <v>29740</v>
      </c>
      <c r="B17622" s="1" t="str">
        <f>"88081"</f>
        <v>88081</v>
      </c>
      <c r="C17622" s="2">
        <v>3.03849416964268E-2</v>
      </c>
      <c r="D17622" s="2">
        <v>8.5514381964239394E-3</v>
      </c>
      <c r="E17622" s="2">
        <v>2.7099664053751301E-2</v>
      </c>
      <c r="F17622" s="2">
        <v>2.8771719698103899E-2</v>
      </c>
    </row>
    <row r="17623" spans="1:6" x14ac:dyDescent="0.25">
      <c r="A17623" s="1" t="str">
        <f t="shared" si="665"/>
        <v>29740</v>
      </c>
      <c r="B17623" s="1" t="str">
        <f>"88021"</f>
        <v>88021</v>
      </c>
      <c r="C17623" s="2">
        <v>4.13550894777341E-2</v>
      </c>
      <c r="D17623" s="2">
        <v>2.4229074889867801E-2</v>
      </c>
      <c r="E17623" s="2">
        <v>3.3370660694288901E-2</v>
      </c>
      <c r="F17623" s="2">
        <v>3.9877057481792003E-2</v>
      </c>
    </row>
    <row r="17624" spans="1:6" x14ac:dyDescent="0.25">
      <c r="A17624" s="1" t="str">
        <f t="shared" si="665"/>
        <v>29740</v>
      </c>
      <c r="B17624" s="1" t="str">
        <f>"88047"</f>
        <v>88047</v>
      </c>
      <c r="C17624" s="2">
        <v>6.2841583963064501E-3</v>
      </c>
      <c r="D17624" s="2">
        <v>1.68437419020471E-3</v>
      </c>
      <c r="E17624" s="2">
        <v>3.8073908174691999E-3</v>
      </c>
      <c r="F17624" s="2">
        <v>5.8741160203964801E-3</v>
      </c>
    </row>
    <row r="17625" spans="1:6" x14ac:dyDescent="0.25">
      <c r="A17625" s="1" t="str">
        <f t="shared" si="665"/>
        <v>29740</v>
      </c>
      <c r="B17625" s="1" t="str">
        <f>"88005"</f>
        <v>88005</v>
      </c>
      <c r="C17625" s="2">
        <v>0.120760412761675</v>
      </c>
      <c r="D17625" s="2">
        <v>0.19331433013734101</v>
      </c>
      <c r="E17625" s="2">
        <v>0.20559910414333701</v>
      </c>
      <c r="F17625" s="2">
        <v>0.12902799672388099</v>
      </c>
    </row>
    <row r="17626" spans="1:6" x14ac:dyDescent="0.25">
      <c r="A17626" s="1" t="str">
        <f t="shared" si="665"/>
        <v>29740</v>
      </c>
      <c r="B17626" s="1" t="str">
        <f>"88008"</f>
        <v>88008</v>
      </c>
      <c r="C17626" s="2">
        <v>4.4521831777913599E-2</v>
      </c>
      <c r="D17626" s="2">
        <v>4.62555066079295E-2</v>
      </c>
      <c r="E17626" s="2">
        <v>1.6349384098544199E-2</v>
      </c>
      <c r="F17626" s="2">
        <v>4.3531867299579897E-2</v>
      </c>
    </row>
    <row r="17627" spans="1:6" x14ac:dyDescent="0.25">
      <c r="A17627" s="1" t="str">
        <f t="shared" si="665"/>
        <v>29740</v>
      </c>
      <c r="B17627" s="1" t="str">
        <f>"88011"</f>
        <v>88011</v>
      </c>
      <c r="C17627" s="2">
        <v>0.15856401554761901</v>
      </c>
      <c r="D17627" s="2">
        <v>0.139155221559989</v>
      </c>
      <c r="E17627" s="2">
        <v>0.14781634938409799</v>
      </c>
      <c r="F17627" s="2">
        <v>0.15682216488035999</v>
      </c>
    </row>
    <row r="17628" spans="1:6" x14ac:dyDescent="0.25">
      <c r="A17628" s="1" t="str">
        <f t="shared" si="665"/>
        <v>29740</v>
      </c>
      <c r="B17628" s="1" t="str">
        <f>"88012"</f>
        <v>88012</v>
      </c>
      <c r="C17628" s="2">
        <v>0.12368052404159099</v>
      </c>
      <c r="D17628" s="2">
        <v>1.8268981601451101E-2</v>
      </c>
      <c r="E17628" s="2">
        <v>5.7782754759238497E-2</v>
      </c>
      <c r="F17628" s="2">
        <v>0.113924385067239</v>
      </c>
    </row>
    <row r="17629" spans="1:6" x14ac:dyDescent="0.25">
      <c r="A17629" s="1" t="str">
        <f t="shared" si="665"/>
        <v>29740</v>
      </c>
      <c r="B17629" s="1" t="str">
        <f>"88046"</f>
        <v>88046</v>
      </c>
      <c r="C17629" s="2">
        <v>1.55377542765818E-2</v>
      </c>
      <c r="D17629" s="2">
        <v>1.2697590049235499E-2</v>
      </c>
      <c r="E17629" s="2">
        <v>3.2474804031354901E-2</v>
      </c>
      <c r="F17629" s="2">
        <v>1.60107090331046E-2</v>
      </c>
    </row>
    <row r="17630" spans="1:6" x14ac:dyDescent="0.25">
      <c r="A17630" s="1" t="str">
        <f t="shared" si="665"/>
        <v>29740</v>
      </c>
      <c r="B17630" s="1" t="str">
        <f>"88054"</f>
        <v>88054</v>
      </c>
      <c r="C17630" s="2">
        <v>0</v>
      </c>
      <c r="D17630" s="2">
        <v>1.2956724540036201E-4</v>
      </c>
      <c r="E17630" s="2">
        <v>0</v>
      </c>
      <c r="F17630" s="2">
        <v>8.8067706452720808E-6</v>
      </c>
    </row>
    <row r="17631" spans="1:6" x14ac:dyDescent="0.25">
      <c r="A17631" s="1" t="str">
        <f t="shared" si="665"/>
        <v>29740</v>
      </c>
      <c r="B17631" s="1" t="str">
        <f>"87940"</f>
        <v>87940</v>
      </c>
      <c r="C17631" s="2">
        <v>2.6636150188426002E-4</v>
      </c>
      <c r="D17631" s="2">
        <v>1.2956724540036201E-4</v>
      </c>
      <c r="E17631" s="2">
        <v>0</v>
      </c>
      <c r="F17631" s="2">
        <v>2.4658957806761799E-4</v>
      </c>
    </row>
    <row r="17632" spans="1:6" x14ac:dyDescent="0.25">
      <c r="A17632" s="1" t="str">
        <f t="shared" si="665"/>
        <v>29740</v>
      </c>
      <c r="B17632" s="1" t="str">
        <f>"88001"</f>
        <v>88001</v>
      </c>
      <c r="C17632" s="2">
        <v>0.16661405204901</v>
      </c>
      <c r="D17632" s="2">
        <v>0.23931070225446999</v>
      </c>
      <c r="E17632" s="2">
        <v>0.333034714445688</v>
      </c>
      <c r="F17632" s="2">
        <v>0.17809932275933699</v>
      </c>
    </row>
    <row r="17633" spans="1:6" x14ac:dyDescent="0.25">
      <c r="A17633" s="1" t="str">
        <f t="shared" si="665"/>
        <v>29740</v>
      </c>
      <c r="B17633" s="1" t="str">
        <f>"88003"</f>
        <v>88003</v>
      </c>
      <c r="C17633" s="2">
        <v>4.7392616853777401E-2</v>
      </c>
      <c r="D17633" s="2">
        <v>2.7986525006478299E-2</v>
      </c>
      <c r="E17633" s="2">
        <v>2.23964165733482E-4</v>
      </c>
      <c r="F17633" s="2">
        <v>4.4218795409911103E-2</v>
      </c>
    </row>
    <row r="17634" spans="1:6" x14ac:dyDescent="0.25">
      <c r="A17634" s="1" t="str">
        <f t="shared" si="665"/>
        <v>29740</v>
      </c>
      <c r="B17634" s="1" t="str">
        <f>"88007"</f>
        <v>88007</v>
      </c>
      <c r="C17634" s="2">
        <v>9.8800386717439695E-2</v>
      </c>
      <c r="D17634" s="2">
        <v>4.9753822233739302E-2</v>
      </c>
      <c r="E17634" s="2">
        <v>6.1366181410974198E-2</v>
      </c>
      <c r="F17634" s="2">
        <v>9.3994663096988895E-2</v>
      </c>
    </row>
    <row r="17635" spans="1:6" x14ac:dyDescent="0.25">
      <c r="A17635" s="1" t="str">
        <f t="shared" si="665"/>
        <v>29740</v>
      </c>
      <c r="B17635" s="1" t="str">
        <f>"87941"</f>
        <v>87941</v>
      </c>
      <c r="C17635" s="2">
        <v>3.0582246512637299E-4</v>
      </c>
      <c r="D17635" s="2">
        <v>2.5913449080072499E-4</v>
      </c>
      <c r="E17635" s="2">
        <v>0</v>
      </c>
      <c r="F17635" s="2">
        <v>2.9062343129397802E-4</v>
      </c>
    </row>
    <row r="17636" spans="1:6" x14ac:dyDescent="0.25">
      <c r="A17636" s="1" t="str">
        <f t="shared" si="665"/>
        <v>29740</v>
      </c>
      <c r="B17636" s="1" t="str">
        <f>"87936"</f>
        <v>87936</v>
      </c>
      <c r="C17636" s="2">
        <v>3.2555294674743002E-4</v>
      </c>
      <c r="D17636" s="2">
        <v>2.5913449080072499E-4</v>
      </c>
      <c r="E17636" s="2">
        <v>0</v>
      </c>
      <c r="F17636" s="2">
        <v>3.0823697258452201E-4</v>
      </c>
    </row>
    <row r="17637" spans="1:6" x14ac:dyDescent="0.25">
      <c r="A17637" s="1" t="str">
        <f t="shared" si="665"/>
        <v>29740</v>
      </c>
      <c r="B17637" s="1" t="str">
        <f>"88027"</f>
        <v>88027</v>
      </c>
      <c r="C17637" s="2">
        <v>0</v>
      </c>
      <c r="D17637" s="2">
        <v>1.2956724540036201E-4</v>
      </c>
      <c r="E17637" s="2">
        <v>1.83650615901455E-2</v>
      </c>
      <c r="F17637" s="2">
        <v>7.3096196355758303E-4</v>
      </c>
    </row>
    <row r="17638" spans="1:6" x14ac:dyDescent="0.25">
      <c r="A17638" s="1" t="str">
        <f t="shared" si="665"/>
        <v>29740</v>
      </c>
      <c r="B17638" s="1" t="str">
        <f>"88032"</f>
        <v>88032</v>
      </c>
      <c r="C17638" s="2">
        <v>8.1092279462541602E-3</v>
      </c>
      <c r="D17638" s="2">
        <v>7.1261984970199498E-3</v>
      </c>
      <c r="E17638" s="2">
        <v>2.23964165733482E-4</v>
      </c>
      <c r="F17638" s="2">
        <v>7.7323446265488904E-3</v>
      </c>
    </row>
    <row r="17639" spans="1:6" x14ac:dyDescent="0.25">
      <c r="A17639" s="1" t="str">
        <f t="shared" si="665"/>
        <v>29740</v>
      </c>
      <c r="B17639" s="1" t="str">
        <f>"88072"</f>
        <v>88072</v>
      </c>
      <c r="C17639" s="2">
        <v>3.80798295286387E-3</v>
      </c>
      <c r="D17639" s="2">
        <v>2.2026431718061598E-3</v>
      </c>
      <c r="E17639" s="2">
        <v>8.9585666293392997E-4</v>
      </c>
      <c r="F17639" s="2">
        <v>3.5843556526257299E-3</v>
      </c>
    </row>
    <row r="17640" spans="1:6" x14ac:dyDescent="0.25">
      <c r="A17640" s="1" t="str">
        <f t="shared" si="665"/>
        <v>29740</v>
      </c>
      <c r="B17640" s="1" t="str">
        <f>"88063"</f>
        <v>88063</v>
      </c>
      <c r="C17640" s="2">
        <v>6.9638734881518394E-2</v>
      </c>
      <c r="D17640" s="2">
        <v>0.10080331692148201</v>
      </c>
      <c r="E17640" s="2">
        <v>2.0828667413213799E-2</v>
      </c>
      <c r="F17640" s="2">
        <v>6.98376912170076E-2</v>
      </c>
    </row>
    <row r="17641" spans="1:6" x14ac:dyDescent="0.25">
      <c r="A17641" s="1" t="str">
        <f t="shared" si="665"/>
        <v>29740</v>
      </c>
      <c r="B17641" s="1" t="str">
        <f>"88058"</f>
        <v>88058</v>
      </c>
      <c r="C17641" s="2">
        <v>0</v>
      </c>
      <c r="D17641" s="2">
        <v>1.2956724540036201E-4</v>
      </c>
      <c r="E17641" s="2">
        <v>0</v>
      </c>
      <c r="F17641" s="2">
        <v>8.8067706452720808E-6</v>
      </c>
    </row>
    <row r="17642" spans="1:6" x14ac:dyDescent="0.25">
      <c r="A17642" s="1" t="str">
        <f t="shared" si="665"/>
        <v>29740</v>
      </c>
      <c r="B17642" s="1" t="str">
        <f>"88033"</f>
        <v>88033</v>
      </c>
      <c r="C17642" s="2">
        <v>1.5083953199297499E-2</v>
      </c>
      <c r="D17642" s="2">
        <v>1.7102876392847799E-2</v>
      </c>
      <c r="E17642" s="2">
        <v>2.23964165733482E-4</v>
      </c>
      <c r="F17642" s="2">
        <v>1.4636852812442201E-2</v>
      </c>
    </row>
    <row r="17643" spans="1:6" x14ac:dyDescent="0.25">
      <c r="A17643" s="1" t="str">
        <f t="shared" si="665"/>
        <v>29740</v>
      </c>
      <c r="B17643" s="1" t="str">
        <f>"87937"</f>
        <v>87937</v>
      </c>
      <c r="C17643" s="2">
        <v>1.0358502851054499E-3</v>
      </c>
      <c r="D17643" s="2">
        <v>2.5913449080072499E-4</v>
      </c>
      <c r="E17643" s="2">
        <v>0</v>
      </c>
      <c r="F17643" s="2">
        <v>9.4232445904411297E-4</v>
      </c>
    </row>
    <row r="17644" spans="1:6" x14ac:dyDescent="0.25">
      <c r="A17644" s="1" t="str">
        <f t="shared" si="665"/>
        <v>29740</v>
      </c>
      <c r="B17644" s="1" t="str">
        <f>"88048"</f>
        <v>88048</v>
      </c>
      <c r="C17644" s="2">
        <v>4.4294931239271503E-3</v>
      </c>
      <c r="D17644" s="2">
        <v>1.1661052086032601E-3</v>
      </c>
      <c r="E17644" s="2">
        <v>1.34378499440089E-3</v>
      </c>
      <c r="F17644" s="2">
        <v>4.0863415794062403E-3</v>
      </c>
    </row>
    <row r="17645" spans="1:6" x14ac:dyDescent="0.25">
      <c r="A17645" s="1" t="str">
        <f t="shared" si="665"/>
        <v>29740</v>
      </c>
      <c r="B17645" s="1" t="str">
        <f>"88013"</f>
        <v>88013</v>
      </c>
      <c r="C17645" s="2">
        <v>7.30027819979085E-3</v>
      </c>
      <c r="D17645" s="2">
        <v>2.9541331951282699E-2</v>
      </c>
      <c r="E17645" s="2">
        <v>4.4792833146696498E-4</v>
      </c>
      <c r="F17645" s="2">
        <v>8.5425675259139192E-3</v>
      </c>
    </row>
    <row r="17646" spans="1:6" x14ac:dyDescent="0.25">
      <c r="A17646" s="1" t="str">
        <f t="shared" si="665"/>
        <v>29740</v>
      </c>
      <c r="B17646" s="1" t="str">
        <f>"88002"</f>
        <v>88002</v>
      </c>
      <c r="C17646" s="2">
        <v>5.6330525028115896E-3</v>
      </c>
      <c r="D17646" s="2">
        <v>1.5548069448043499E-3</v>
      </c>
      <c r="E17646" s="2">
        <v>9.8544232922732292E-3</v>
      </c>
      <c r="F17646" s="2">
        <v>5.5218451945855899E-3</v>
      </c>
    </row>
    <row r="17647" spans="1:6" x14ac:dyDescent="0.25">
      <c r="A17647" s="1" t="str">
        <f t="shared" si="665"/>
        <v>29740</v>
      </c>
      <c r="B17647" s="1" t="str">
        <f>"88052"</f>
        <v>88052</v>
      </c>
      <c r="C17647" s="2">
        <v>0</v>
      </c>
      <c r="D17647" s="2">
        <v>1.2956724540036201E-4</v>
      </c>
      <c r="E17647" s="2">
        <v>2.32922732362821E-2</v>
      </c>
      <c r="F17647" s="2">
        <v>9.2471091775356805E-4</v>
      </c>
    </row>
    <row r="17648" spans="1:6" x14ac:dyDescent="0.25">
      <c r="A17648" s="1" t="str">
        <f t="shared" si="665"/>
        <v>29740</v>
      </c>
      <c r="B17648" s="1" t="str">
        <f>"88044"</f>
        <v>88044</v>
      </c>
      <c r="C17648" s="2">
        <v>9.1746739537912105E-3</v>
      </c>
      <c r="D17648" s="2">
        <v>1.5548069448043499E-3</v>
      </c>
      <c r="E17648" s="2">
        <v>5.1511758118700998E-3</v>
      </c>
      <c r="F17648" s="2">
        <v>8.4985336726875593E-3</v>
      </c>
    </row>
    <row r="17649" spans="1:6" x14ac:dyDescent="0.25">
      <c r="A17649" s="1" t="str">
        <f t="shared" ref="A17649:A17678" si="666">"29780"</f>
        <v>29780</v>
      </c>
      <c r="B17649" s="1" t="str">
        <f>"87560"</f>
        <v>87560</v>
      </c>
      <c r="C17649" s="2">
        <v>2.3663112010586101E-2</v>
      </c>
      <c r="D17649" s="2">
        <v>1.10987791342952E-2</v>
      </c>
      <c r="E17649" s="2">
        <v>6.0606060606060597E-3</v>
      </c>
      <c r="F17649" s="2">
        <v>2.22565470757565E-2</v>
      </c>
    </row>
    <row r="17650" spans="1:6" x14ac:dyDescent="0.25">
      <c r="A17650" s="1" t="str">
        <f t="shared" si="666"/>
        <v>29780</v>
      </c>
      <c r="B17650" s="1" t="str">
        <f>"87735"</f>
        <v>87735</v>
      </c>
      <c r="C17650" s="2">
        <v>3.8919592122674501E-4</v>
      </c>
      <c r="D17650" s="2">
        <v>1.10987791342952E-3</v>
      </c>
      <c r="E17650" s="2">
        <v>2.0202020202020202E-3</v>
      </c>
      <c r="F17650" s="2">
        <v>4.9146949378642095E-4</v>
      </c>
    </row>
    <row r="17651" spans="1:6" x14ac:dyDescent="0.25">
      <c r="A17651" s="1" t="str">
        <f t="shared" si="666"/>
        <v>29780</v>
      </c>
      <c r="B17651" s="1" t="str">
        <f>"87701"</f>
        <v>87701</v>
      </c>
      <c r="C17651" s="2">
        <v>0.77597882774188498</v>
      </c>
      <c r="D17651" s="2">
        <v>0.95005549389567101</v>
      </c>
      <c r="E17651" s="2">
        <v>0.91515151515151505</v>
      </c>
      <c r="F17651" s="2">
        <v>0.79182756441760804</v>
      </c>
    </row>
    <row r="17652" spans="1:6" x14ac:dyDescent="0.25">
      <c r="A17652" s="1" t="str">
        <f t="shared" si="666"/>
        <v>29780</v>
      </c>
      <c r="B17652" s="1" t="str">
        <f>"87711"</f>
        <v>87711</v>
      </c>
      <c r="C17652" s="2">
        <v>2.3351755273604699E-4</v>
      </c>
      <c r="D17652" s="2">
        <v>0</v>
      </c>
      <c r="E17652" s="2">
        <v>0</v>
      </c>
      <c r="F17652" s="2">
        <v>2.1062978305132299E-4</v>
      </c>
    </row>
    <row r="17653" spans="1:6" x14ac:dyDescent="0.25">
      <c r="A17653" s="1" t="str">
        <f t="shared" si="666"/>
        <v>29780</v>
      </c>
      <c r="B17653" s="1" t="str">
        <f>"87562"</f>
        <v>87562</v>
      </c>
      <c r="C17653" s="2">
        <v>0</v>
      </c>
      <c r="D17653" s="2">
        <v>0</v>
      </c>
      <c r="E17653" s="2">
        <v>2.0202020202020202E-3</v>
      </c>
      <c r="F17653" s="2">
        <v>7.0209927683774395E-5</v>
      </c>
    </row>
    <row r="17654" spans="1:6" x14ac:dyDescent="0.25">
      <c r="A17654" s="1" t="str">
        <f t="shared" si="666"/>
        <v>29780</v>
      </c>
      <c r="B17654" s="1" t="str">
        <f>"87746"</f>
        <v>87746</v>
      </c>
      <c r="C17654" s="2">
        <v>3.1135673698139599E-4</v>
      </c>
      <c r="D17654" s="2">
        <v>1.10987791342952E-3</v>
      </c>
      <c r="E17654" s="2">
        <v>0</v>
      </c>
      <c r="F17654" s="2">
        <v>3.51049638418872E-4</v>
      </c>
    </row>
    <row r="17655" spans="1:6" x14ac:dyDescent="0.25">
      <c r="A17655" s="1" t="str">
        <f t="shared" si="666"/>
        <v>29780</v>
      </c>
      <c r="B17655" s="1" t="str">
        <f>"88439"</f>
        <v>88439</v>
      </c>
      <c r="C17655" s="2">
        <v>5.4487428971744295E-4</v>
      </c>
      <c r="D17655" s="2">
        <v>0</v>
      </c>
      <c r="E17655" s="2">
        <v>2.0202020202020202E-3</v>
      </c>
      <c r="F17655" s="2">
        <v>5.6167942147019505E-4</v>
      </c>
    </row>
    <row r="17656" spans="1:6" x14ac:dyDescent="0.25">
      <c r="A17656" s="1" t="str">
        <f t="shared" si="666"/>
        <v>29780</v>
      </c>
      <c r="B17656" s="1" t="str">
        <f>"87535"</f>
        <v>87535</v>
      </c>
      <c r="C17656" s="2">
        <v>7.5504008717988602E-3</v>
      </c>
      <c r="D17656" s="2">
        <v>0</v>
      </c>
      <c r="E17656" s="2">
        <v>0</v>
      </c>
      <c r="F17656" s="2">
        <v>6.8103629853261197E-3</v>
      </c>
    </row>
    <row r="17657" spans="1:6" x14ac:dyDescent="0.25">
      <c r="A17657" s="1" t="str">
        <f t="shared" si="666"/>
        <v>29780</v>
      </c>
      <c r="B17657" s="1" t="str">
        <f>"87734"</f>
        <v>87734</v>
      </c>
      <c r="C17657" s="2">
        <v>1.2999143768973299E-2</v>
      </c>
      <c r="D17657" s="2">
        <v>1.10987791342952E-3</v>
      </c>
      <c r="E17657" s="2">
        <v>2.0202020202020202E-3</v>
      </c>
      <c r="F17657" s="2">
        <v>1.1865477778557801E-2</v>
      </c>
    </row>
    <row r="17658" spans="1:6" x14ac:dyDescent="0.25">
      <c r="A17658" s="1" t="str">
        <f t="shared" si="666"/>
        <v>29780</v>
      </c>
      <c r="B17658" s="1" t="str">
        <f>"87552"</f>
        <v>87552</v>
      </c>
      <c r="C17658" s="2">
        <v>6.25827041332606E-2</v>
      </c>
      <c r="D17658" s="2">
        <v>8.8790233074361805E-3</v>
      </c>
      <c r="E17658" s="2">
        <v>1.6161616161616099E-2</v>
      </c>
      <c r="F17658" s="2">
        <v>5.7572140700695003E-2</v>
      </c>
    </row>
    <row r="17659" spans="1:6" x14ac:dyDescent="0.25">
      <c r="A17659" s="1" t="str">
        <f t="shared" si="666"/>
        <v>29780</v>
      </c>
      <c r="B17659" s="1" t="str">
        <f>"87745"</f>
        <v>87745</v>
      </c>
      <c r="C17659" s="2">
        <v>3.86082353856931E-2</v>
      </c>
      <c r="D17659" s="2">
        <v>1.10987791342952E-3</v>
      </c>
      <c r="E17659" s="2">
        <v>2.0202020202020202E-3</v>
      </c>
      <c r="F17659" s="2">
        <v>3.4964543986519603E-2</v>
      </c>
    </row>
    <row r="17660" spans="1:6" x14ac:dyDescent="0.25">
      <c r="A17660" s="1" t="str">
        <f t="shared" si="666"/>
        <v>29780</v>
      </c>
      <c r="B17660" s="1" t="str">
        <f>"87750"</f>
        <v>87750</v>
      </c>
      <c r="C17660" s="2">
        <v>1.71246205339768E-3</v>
      </c>
      <c r="D17660" s="2">
        <v>2.2197558268590399E-3</v>
      </c>
      <c r="E17660" s="2">
        <v>2.0202020202020202E-3</v>
      </c>
      <c r="F17660" s="2">
        <v>1.75524819209436E-3</v>
      </c>
    </row>
    <row r="17661" spans="1:6" x14ac:dyDescent="0.25">
      <c r="A17661" s="1" t="str">
        <f t="shared" si="666"/>
        <v>29780</v>
      </c>
      <c r="B17661" s="1" t="str">
        <f>"87583"</f>
        <v>87583</v>
      </c>
      <c r="C17661" s="2">
        <v>0</v>
      </c>
      <c r="D17661" s="2">
        <v>0</v>
      </c>
      <c r="E17661" s="2">
        <v>8.0808080808080808E-3</v>
      </c>
      <c r="F17661" s="2">
        <v>2.8083971073509698E-4</v>
      </c>
    </row>
    <row r="17662" spans="1:6" x14ac:dyDescent="0.25">
      <c r="A17662" s="1" t="str">
        <f t="shared" si="666"/>
        <v>29780</v>
      </c>
      <c r="B17662" s="1" t="str">
        <f>"87538"</f>
        <v>87538</v>
      </c>
      <c r="C17662" s="2">
        <v>0</v>
      </c>
      <c r="D17662" s="2">
        <v>0</v>
      </c>
      <c r="E17662" s="2">
        <v>6.0606060606060597E-3</v>
      </c>
      <c r="F17662" s="2">
        <v>2.1062978305132299E-4</v>
      </c>
    </row>
    <row r="17663" spans="1:6" x14ac:dyDescent="0.25">
      <c r="A17663" s="1" t="str">
        <f t="shared" si="666"/>
        <v>29780</v>
      </c>
      <c r="B17663" s="1" t="str">
        <f>"87752"</f>
        <v>87752</v>
      </c>
      <c r="C17663" s="2">
        <v>3.8919592122674501E-3</v>
      </c>
      <c r="D17663" s="2">
        <v>4.4395116537180902E-3</v>
      </c>
      <c r="E17663" s="2">
        <v>2.0202020202020202E-3</v>
      </c>
      <c r="F17663" s="2">
        <v>3.8615460226075898E-3</v>
      </c>
    </row>
    <row r="17664" spans="1:6" x14ac:dyDescent="0.25">
      <c r="A17664" s="1" t="str">
        <f t="shared" si="666"/>
        <v>29780</v>
      </c>
      <c r="B17664" s="1" t="str">
        <f>"87723"</f>
        <v>87723</v>
      </c>
      <c r="C17664" s="2">
        <v>4.1254767650035001E-3</v>
      </c>
      <c r="D17664" s="2">
        <v>1.10987791342952E-3</v>
      </c>
      <c r="E17664" s="2">
        <v>2.0202020202020202E-3</v>
      </c>
      <c r="F17664" s="2">
        <v>3.8615460226075898E-3</v>
      </c>
    </row>
    <row r="17665" spans="1:6" x14ac:dyDescent="0.25">
      <c r="A17665" s="1" t="str">
        <f t="shared" si="666"/>
        <v>29780</v>
      </c>
      <c r="B17665" s="1" t="str">
        <f>"87732"</f>
        <v>87732</v>
      </c>
      <c r="C17665" s="2">
        <v>1.06639682416128E-2</v>
      </c>
      <c r="D17665" s="2">
        <v>3.3296337402885599E-3</v>
      </c>
      <c r="E17665" s="2">
        <v>2.0202020202020202E-3</v>
      </c>
      <c r="F17665" s="2">
        <v>9.8995998034121999E-3</v>
      </c>
    </row>
    <row r="17666" spans="1:6" x14ac:dyDescent="0.25">
      <c r="A17666" s="1" t="str">
        <f t="shared" si="666"/>
        <v>29780</v>
      </c>
      <c r="B17666" s="1" t="str">
        <f>"87573"</f>
        <v>87573</v>
      </c>
      <c r="C17666" s="2">
        <v>2.8800498170779101E-3</v>
      </c>
      <c r="D17666" s="2">
        <v>0</v>
      </c>
      <c r="E17666" s="2">
        <v>2.0202020202020202E-3</v>
      </c>
      <c r="F17666" s="2">
        <v>2.66797725198343E-3</v>
      </c>
    </row>
    <row r="17667" spans="1:6" x14ac:dyDescent="0.25">
      <c r="A17667" s="1" t="str">
        <f t="shared" si="666"/>
        <v>29780</v>
      </c>
      <c r="B17667" s="1" t="str">
        <f>"87712"</f>
        <v>87712</v>
      </c>
      <c r="C17667" s="2">
        <v>0</v>
      </c>
      <c r="D17667" s="2">
        <v>0</v>
      </c>
      <c r="E17667" s="2">
        <v>2.0202020202020202E-3</v>
      </c>
      <c r="F17667" s="2">
        <v>7.0209927683774395E-5</v>
      </c>
    </row>
    <row r="17668" spans="1:6" x14ac:dyDescent="0.25">
      <c r="A17668" s="1" t="str">
        <f t="shared" si="666"/>
        <v>29780</v>
      </c>
      <c r="B17668" s="1" t="str">
        <f>"88421"</f>
        <v>88421</v>
      </c>
      <c r="C17668" s="2">
        <v>7.78391842453491E-4</v>
      </c>
      <c r="D17668" s="2">
        <v>0</v>
      </c>
      <c r="E17668" s="2">
        <v>1.01010101010101E-2</v>
      </c>
      <c r="F17668" s="2">
        <v>1.0531489152566099E-3</v>
      </c>
    </row>
    <row r="17669" spans="1:6" x14ac:dyDescent="0.25">
      <c r="A17669" s="1" t="str">
        <f t="shared" si="666"/>
        <v>29780</v>
      </c>
      <c r="B17669" s="1" t="str">
        <f>"87713"</f>
        <v>87713</v>
      </c>
      <c r="C17669" s="2">
        <v>6.2271347396279197E-4</v>
      </c>
      <c r="D17669" s="2">
        <v>1.10987791342952E-3</v>
      </c>
      <c r="E17669" s="2">
        <v>0</v>
      </c>
      <c r="F17669" s="2">
        <v>6.3188934915397001E-4</v>
      </c>
    </row>
    <row r="17670" spans="1:6" x14ac:dyDescent="0.25">
      <c r="A17670" s="1" t="str">
        <f t="shared" si="666"/>
        <v>29780</v>
      </c>
      <c r="B17670" s="1" t="str">
        <f>"87742"</f>
        <v>87742</v>
      </c>
      <c r="C17670" s="2">
        <v>1.1753716821047699E-2</v>
      </c>
      <c r="D17670" s="2">
        <v>1.10987791342952E-3</v>
      </c>
      <c r="E17670" s="2">
        <v>0</v>
      </c>
      <c r="F17670" s="2">
        <v>1.0671909007933701E-2</v>
      </c>
    </row>
    <row r="17671" spans="1:6" x14ac:dyDescent="0.25">
      <c r="A17671" s="1" t="str">
        <f t="shared" si="666"/>
        <v>29780</v>
      </c>
      <c r="B17671" s="1" t="str">
        <f>"87722"</f>
        <v>87722</v>
      </c>
      <c r="C17671" s="2">
        <v>1.7980851560675599E-2</v>
      </c>
      <c r="D17671" s="2">
        <v>0</v>
      </c>
      <c r="E17671" s="2">
        <v>4.0404040404040404E-3</v>
      </c>
      <c r="F17671" s="2">
        <v>1.6358913150319399E-2</v>
      </c>
    </row>
    <row r="17672" spans="1:6" x14ac:dyDescent="0.25">
      <c r="A17672" s="1" t="str">
        <f t="shared" si="666"/>
        <v>29780</v>
      </c>
      <c r="B17672" s="1" t="str">
        <f>"87715"</f>
        <v>87715</v>
      </c>
      <c r="C17672" s="2">
        <v>2.4130147116058201E-3</v>
      </c>
      <c r="D17672" s="2">
        <v>2.2197558268590399E-3</v>
      </c>
      <c r="E17672" s="2">
        <v>0</v>
      </c>
      <c r="F17672" s="2">
        <v>2.3169276135645502E-3</v>
      </c>
    </row>
    <row r="17673" spans="1:6" x14ac:dyDescent="0.25">
      <c r="A17673" s="1" t="str">
        <f t="shared" si="666"/>
        <v>29780</v>
      </c>
      <c r="B17673" s="1" t="str">
        <f>"87731"</f>
        <v>87731</v>
      </c>
      <c r="C17673" s="2">
        <v>7.2390441348174602E-3</v>
      </c>
      <c r="D17673" s="2">
        <v>4.4395116537180902E-3</v>
      </c>
      <c r="E17673" s="2">
        <v>0</v>
      </c>
      <c r="F17673" s="2">
        <v>6.8103629853261197E-3</v>
      </c>
    </row>
    <row r="17674" spans="1:6" x14ac:dyDescent="0.25">
      <c r="A17674" s="1" t="str">
        <f t="shared" si="666"/>
        <v>29780</v>
      </c>
      <c r="B17674" s="1" t="str">
        <f>"87753"</f>
        <v>87753</v>
      </c>
      <c r="C17674" s="2">
        <v>1.5567836849069799E-4</v>
      </c>
      <c r="D17674" s="2">
        <v>1.10987791342952E-3</v>
      </c>
      <c r="E17674" s="2">
        <v>0</v>
      </c>
      <c r="F17674" s="2">
        <v>2.1062978305132299E-4</v>
      </c>
    </row>
    <row r="17675" spans="1:6" x14ac:dyDescent="0.25">
      <c r="A17675" s="1" t="str">
        <f t="shared" si="666"/>
        <v>29780</v>
      </c>
      <c r="B17675" s="1" t="str">
        <f>"87569"</f>
        <v>87569</v>
      </c>
      <c r="C17675" s="2">
        <v>0</v>
      </c>
      <c r="D17675" s="2">
        <v>1.10987791342952E-3</v>
      </c>
      <c r="E17675" s="2">
        <v>4.0404040404040404E-3</v>
      </c>
      <c r="F17675" s="2">
        <v>2.1062978305132299E-4</v>
      </c>
    </row>
    <row r="17676" spans="1:6" x14ac:dyDescent="0.25">
      <c r="A17676" s="1" t="str">
        <f t="shared" si="666"/>
        <v>29780</v>
      </c>
      <c r="B17676" s="1" t="str">
        <f>"88416"</f>
        <v>88416</v>
      </c>
      <c r="C17676" s="2">
        <v>0</v>
      </c>
      <c r="D17676" s="2">
        <v>0</v>
      </c>
      <c r="E17676" s="2">
        <v>4.0404040404040404E-3</v>
      </c>
      <c r="F17676" s="2">
        <v>1.40419855367548E-4</v>
      </c>
    </row>
    <row r="17677" spans="1:6" x14ac:dyDescent="0.25">
      <c r="A17677" s="1" t="str">
        <f t="shared" si="666"/>
        <v>29780</v>
      </c>
      <c r="B17677" s="1" t="str">
        <f>"87565"</f>
        <v>87565</v>
      </c>
      <c r="C17677" s="2">
        <v>1.28434654004826E-2</v>
      </c>
      <c r="D17677" s="2">
        <v>2.2197558268590399E-3</v>
      </c>
      <c r="E17677" s="2">
        <v>2.0202020202020202E-3</v>
      </c>
      <c r="F17677" s="2">
        <v>1.17952678508741E-2</v>
      </c>
    </row>
    <row r="17678" spans="1:6" x14ac:dyDescent="0.25">
      <c r="A17678" s="1" t="str">
        <f t="shared" si="666"/>
        <v>29780</v>
      </c>
      <c r="B17678" s="1" t="str">
        <f>"87736"</f>
        <v>87736</v>
      </c>
      <c r="C17678" s="2">
        <v>7.7839184245349105E-5</v>
      </c>
      <c r="D17678" s="2">
        <v>1.10987791342952E-3</v>
      </c>
      <c r="E17678" s="2">
        <v>2.0202020202020202E-3</v>
      </c>
      <c r="F17678" s="2">
        <v>2.1062978305132299E-4</v>
      </c>
    </row>
    <row r="17679" spans="1:6" x14ac:dyDescent="0.25">
      <c r="A17679" s="1" t="str">
        <f t="shared" ref="A17679:A17710" si="667">"29820"</f>
        <v>29820</v>
      </c>
      <c r="B17679" s="1" t="str">
        <f>"89129"</f>
        <v>89129</v>
      </c>
      <c r="C17679" s="2">
        <v>2.24811536339996E-2</v>
      </c>
      <c r="D17679" s="2">
        <v>6.6773204336370998E-3</v>
      </c>
      <c r="E17679" s="2">
        <v>1.4648302547330599E-2</v>
      </c>
      <c r="F17679" s="2">
        <v>2.0528228789927199E-2</v>
      </c>
    </row>
    <row r="17680" spans="1:6" x14ac:dyDescent="0.25">
      <c r="A17680" s="1" t="str">
        <f t="shared" si="667"/>
        <v>29820</v>
      </c>
      <c r="B17680" s="1" t="str">
        <f>"89134"</f>
        <v>89134</v>
      </c>
      <c r="C17680" s="2">
        <v>1.3439100627774399E-2</v>
      </c>
      <c r="D17680" s="2">
        <v>1.31732388891288E-2</v>
      </c>
      <c r="E17680" s="2">
        <v>5.0439909714864797E-3</v>
      </c>
      <c r="F17680" s="2">
        <v>1.3083302879136701E-2</v>
      </c>
    </row>
    <row r="17681" spans="1:6" x14ac:dyDescent="0.25">
      <c r="A17681" s="1" t="str">
        <f t="shared" si="667"/>
        <v>29820</v>
      </c>
      <c r="B17681" s="1" t="str">
        <f>"89139"</f>
        <v>89139</v>
      </c>
      <c r="C17681" s="2">
        <v>1.6405137768905401E-2</v>
      </c>
      <c r="D17681" s="2">
        <v>1.4278927136872101E-2</v>
      </c>
      <c r="E17681" s="2">
        <v>5.2512782716845497E-3</v>
      </c>
      <c r="F17681" s="2">
        <v>1.5747670028929898E-2</v>
      </c>
    </row>
    <row r="17682" spans="1:6" x14ac:dyDescent="0.25">
      <c r="A17682" s="1" t="str">
        <f t="shared" si="667"/>
        <v>29820</v>
      </c>
      <c r="B17682" s="1" t="str">
        <f>"89138"</f>
        <v>89138</v>
      </c>
      <c r="C17682" s="2">
        <v>9.2395786819363807E-3</v>
      </c>
      <c r="D17682" s="2">
        <v>9.5020083790437501E-5</v>
      </c>
      <c r="E17682" s="2">
        <v>1.15159611221152E-3</v>
      </c>
      <c r="F17682" s="2">
        <v>7.9705983484524099E-3</v>
      </c>
    </row>
    <row r="17683" spans="1:6" x14ac:dyDescent="0.25">
      <c r="A17683" s="1" t="str">
        <f t="shared" si="667"/>
        <v>29820</v>
      </c>
      <c r="B17683" s="1" t="str">
        <f>"89115"</f>
        <v>89115</v>
      </c>
      <c r="C17683" s="2">
        <v>2.3004386540936599E-2</v>
      </c>
      <c r="D17683" s="2">
        <v>2.01269813847017E-2</v>
      </c>
      <c r="E17683" s="2">
        <v>4.1319268506149497E-2</v>
      </c>
      <c r="F17683" s="2">
        <v>2.34203273211048E-2</v>
      </c>
    </row>
    <row r="17684" spans="1:6" x14ac:dyDescent="0.25">
      <c r="A17684" s="1" t="str">
        <f t="shared" si="667"/>
        <v>29820</v>
      </c>
      <c r="B17684" s="1" t="str">
        <f>"89166"</f>
        <v>89166</v>
      </c>
      <c r="C17684" s="2">
        <v>1.0765149326258799E-2</v>
      </c>
      <c r="D17684" s="2">
        <v>3.02336630242301E-4</v>
      </c>
      <c r="E17684" s="2">
        <v>3.9154267815191802E-4</v>
      </c>
      <c r="F17684" s="2">
        <v>9.2694773339766206E-3</v>
      </c>
    </row>
    <row r="17685" spans="1:6" x14ac:dyDescent="0.25">
      <c r="A17685" s="1" t="str">
        <f t="shared" si="667"/>
        <v>29820</v>
      </c>
      <c r="B17685" s="1" t="str">
        <f>"89173"</f>
        <v>89173</v>
      </c>
      <c r="C17685" s="2">
        <v>1.2996769194399899E-3</v>
      </c>
      <c r="D17685" s="2">
        <v>1.7794670237118301E-3</v>
      </c>
      <c r="E17685" s="2">
        <v>4.6063844488461002E-5</v>
      </c>
      <c r="F17685" s="2">
        <v>1.3006792335983799E-3</v>
      </c>
    </row>
    <row r="17686" spans="1:6" x14ac:dyDescent="0.25">
      <c r="A17686" s="1" t="str">
        <f t="shared" si="667"/>
        <v>29820</v>
      </c>
      <c r="B17686" s="1" t="str">
        <f>"89191"</f>
        <v>89191</v>
      </c>
      <c r="C17686" s="2">
        <v>1.73360300491187E-3</v>
      </c>
      <c r="D17686" s="2">
        <v>7.6879885975899404E-4</v>
      </c>
      <c r="E17686" s="2">
        <v>7.1398958957114499E-4</v>
      </c>
      <c r="F17686" s="2">
        <v>1.59321954565339E-3</v>
      </c>
    </row>
    <row r="17687" spans="1:6" x14ac:dyDescent="0.25">
      <c r="A17687" s="1" t="str">
        <f t="shared" si="667"/>
        <v>29820</v>
      </c>
      <c r="B17687" s="1" t="str">
        <f>"89053"</f>
        <v>89053</v>
      </c>
      <c r="C17687" s="2">
        <v>9.0987891045677804E-4</v>
      </c>
      <c r="D17687" s="2">
        <v>3.5243812896816802E-3</v>
      </c>
      <c r="E17687" s="2">
        <v>4.6063844488461002E-5</v>
      </c>
      <c r="F17687" s="2">
        <v>1.1485582713297801E-3</v>
      </c>
    </row>
    <row r="17688" spans="1:6" x14ac:dyDescent="0.25">
      <c r="A17688" s="1" t="str">
        <f t="shared" si="667"/>
        <v>29820</v>
      </c>
      <c r="B17688" s="1" t="str">
        <f>"89015"</f>
        <v>89015</v>
      </c>
      <c r="C17688" s="2">
        <v>1.7738436079955799E-2</v>
      </c>
      <c r="D17688" s="2">
        <v>1.3449660951064601E-2</v>
      </c>
      <c r="E17688" s="2">
        <v>1.30821318347229E-2</v>
      </c>
      <c r="F17688" s="2">
        <v>1.7109557697050599E-2</v>
      </c>
    </row>
    <row r="17689" spans="1:6" x14ac:dyDescent="0.25">
      <c r="A17689" s="1" t="str">
        <f t="shared" si="667"/>
        <v>29820</v>
      </c>
      <c r="B17689" s="1" t="str">
        <f>"89027"</f>
        <v>89027</v>
      </c>
      <c r="C17689" s="2">
        <v>1.06064983845971E-2</v>
      </c>
      <c r="D17689" s="2">
        <v>1.55660173627607E-2</v>
      </c>
      <c r="E17689" s="2">
        <v>1.6698143627067102E-2</v>
      </c>
      <c r="F17689" s="2">
        <v>1.1361365596179099E-2</v>
      </c>
    </row>
    <row r="17690" spans="1:6" x14ac:dyDescent="0.25">
      <c r="A17690" s="1" t="str">
        <f t="shared" si="667"/>
        <v>29820</v>
      </c>
      <c r="B17690" s="1" t="str">
        <f>"89028"</f>
        <v>89028</v>
      </c>
      <c r="C17690" s="2">
        <v>4.0198576344198898E-3</v>
      </c>
      <c r="D17690" s="2">
        <v>7.4288429145251097E-4</v>
      </c>
      <c r="E17690" s="2">
        <v>4.6063844488461002E-5</v>
      </c>
      <c r="F17690" s="2">
        <v>3.5230854811793E-3</v>
      </c>
    </row>
    <row r="17691" spans="1:6" x14ac:dyDescent="0.25">
      <c r="A17691" s="1" t="str">
        <f t="shared" si="667"/>
        <v>29820</v>
      </c>
      <c r="B17691" s="1" t="str">
        <f>"89133"</f>
        <v>89133</v>
      </c>
      <c r="C17691" s="2">
        <v>2.4322975493157499E-3</v>
      </c>
      <c r="D17691" s="2">
        <v>4.6818986740379204E-3</v>
      </c>
      <c r="E17691" s="2">
        <v>4.6063844488461002E-5</v>
      </c>
      <c r="F17691" s="2">
        <v>2.5734546220469098E-3</v>
      </c>
    </row>
    <row r="17692" spans="1:6" x14ac:dyDescent="0.25">
      <c r="A17692" s="1" t="str">
        <f t="shared" si="667"/>
        <v>29820</v>
      </c>
      <c r="B17692" s="1" t="str">
        <f>"89005"</f>
        <v>89005</v>
      </c>
      <c r="C17692" s="2">
        <v>7.6331065640513696E-3</v>
      </c>
      <c r="D17692" s="2">
        <v>9.5797520839631996E-3</v>
      </c>
      <c r="E17692" s="2">
        <v>9.0976092864710392E-3</v>
      </c>
      <c r="F17692" s="2">
        <v>7.8931876812624695E-3</v>
      </c>
    </row>
    <row r="17693" spans="1:6" x14ac:dyDescent="0.25">
      <c r="A17693" s="1" t="str">
        <f t="shared" si="667"/>
        <v>29820</v>
      </c>
      <c r="B17693" s="1" t="str">
        <f>"89031"</f>
        <v>89031</v>
      </c>
      <c r="C17693" s="2">
        <v>2.5743479288697399E-2</v>
      </c>
      <c r="D17693" s="2">
        <v>1.54278063317928E-2</v>
      </c>
      <c r="E17693" s="2">
        <v>6.6792574508268403E-3</v>
      </c>
      <c r="F17693" s="2">
        <v>2.39234966578394E-2</v>
      </c>
    </row>
    <row r="17694" spans="1:6" x14ac:dyDescent="0.25">
      <c r="A17694" s="1" t="str">
        <f t="shared" si="667"/>
        <v>29820</v>
      </c>
      <c r="B17694" s="1" t="str">
        <f>"89032"</f>
        <v>89032</v>
      </c>
      <c r="C17694" s="2">
        <v>1.6727692994667798E-2</v>
      </c>
      <c r="D17694" s="2">
        <v>1.2629032954692599E-2</v>
      </c>
      <c r="E17694" s="2">
        <v>1.2690589156571E-2</v>
      </c>
      <c r="F17694" s="2">
        <v>1.61428244812135E-2</v>
      </c>
    </row>
    <row r="17695" spans="1:6" x14ac:dyDescent="0.25">
      <c r="A17695" s="1" t="str">
        <f t="shared" si="667"/>
        <v>29820</v>
      </c>
      <c r="B17695" s="1" t="str">
        <f>"89102"</f>
        <v>89102</v>
      </c>
      <c r="C17695" s="2">
        <v>1.8623098946704799E-2</v>
      </c>
      <c r="D17695" s="2">
        <v>5.8489180667732003E-2</v>
      </c>
      <c r="E17695" s="2">
        <v>4.0190704316182199E-2</v>
      </c>
      <c r="F17695" s="2">
        <v>2.3620154857339301E-2</v>
      </c>
    </row>
    <row r="17696" spans="1:6" x14ac:dyDescent="0.25">
      <c r="A17696" s="1" t="str">
        <f t="shared" si="667"/>
        <v>29820</v>
      </c>
      <c r="B17696" s="1" t="str">
        <f>"89081"</f>
        <v>89081</v>
      </c>
      <c r="C17696" s="2">
        <v>1.3832050642221099E-2</v>
      </c>
      <c r="D17696" s="2">
        <v>8.3013000475100403E-3</v>
      </c>
      <c r="E17696" s="2">
        <v>7.2780874291768303E-3</v>
      </c>
      <c r="F17696" s="2">
        <v>1.2999591343687099E-2</v>
      </c>
    </row>
    <row r="17697" spans="1:6" x14ac:dyDescent="0.25">
      <c r="A17697" s="1" t="str">
        <f t="shared" si="667"/>
        <v>29820</v>
      </c>
      <c r="B17697" s="1" t="str">
        <f>"89016"</f>
        <v>89016</v>
      </c>
      <c r="C17697" s="2">
        <v>5.9993170654829096E-4</v>
      </c>
      <c r="D17697" s="2">
        <v>1.8399343497602901E-3</v>
      </c>
      <c r="E17697" s="2">
        <v>4.6063844488461002E-5</v>
      </c>
      <c r="F17697" s="2">
        <v>7.07497493154556E-4</v>
      </c>
    </row>
    <row r="17698" spans="1:6" x14ac:dyDescent="0.25">
      <c r="A17698" s="1" t="str">
        <f t="shared" si="667"/>
        <v>29820</v>
      </c>
      <c r="B17698" s="1" t="str">
        <f>"89024"</f>
        <v>89024</v>
      </c>
      <c r="C17698" s="2">
        <v>2.87042630873893E-3</v>
      </c>
      <c r="D17698" s="2">
        <v>1.5116831512114999E-3</v>
      </c>
      <c r="E17698" s="2">
        <v>4.6063844488461002E-5</v>
      </c>
      <c r="F17698" s="2">
        <v>2.6184608239015299E-3</v>
      </c>
    </row>
    <row r="17699" spans="1:6" x14ac:dyDescent="0.25">
      <c r="A17699" s="1" t="str">
        <f t="shared" si="667"/>
        <v>29820</v>
      </c>
      <c r="B17699" s="1" t="str">
        <f>"89087"</f>
        <v>89087</v>
      </c>
      <c r="C17699" s="2">
        <v>0</v>
      </c>
      <c r="D17699" s="2">
        <v>0</v>
      </c>
      <c r="E17699" s="2">
        <v>2.3031922244230501E-5</v>
      </c>
      <c r="F17699" s="2">
        <v>9.0012403709231105E-7</v>
      </c>
    </row>
    <row r="17700" spans="1:6" x14ac:dyDescent="0.25">
      <c r="A17700" s="1" t="str">
        <f t="shared" si="667"/>
        <v>29820</v>
      </c>
      <c r="B17700" s="1" t="str">
        <f>"89007"</f>
        <v>89007</v>
      </c>
      <c r="C17700" s="2">
        <v>0</v>
      </c>
      <c r="D17700" s="2">
        <v>0</v>
      </c>
      <c r="E17700" s="2">
        <v>2.76383066930766E-4</v>
      </c>
      <c r="F17700" s="2">
        <v>1.08014884451077E-5</v>
      </c>
    </row>
    <row r="17701" spans="1:6" x14ac:dyDescent="0.25">
      <c r="A17701" s="1" t="str">
        <f t="shared" si="667"/>
        <v>29820</v>
      </c>
      <c r="B17701" s="1" t="str">
        <f>"89199"</f>
        <v>89199</v>
      </c>
      <c r="C17701" s="2">
        <v>0</v>
      </c>
      <c r="D17701" s="2">
        <v>4.0599490346823302E-4</v>
      </c>
      <c r="E17701" s="2">
        <v>4.6063844488461002E-5</v>
      </c>
      <c r="F17701" s="2">
        <v>4.4106077817523198E-5</v>
      </c>
    </row>
    <row r="17702" spans="1:6" x14ac:dyDescent="0.25">
      <c r="A17702" s="1" t="str">
        <f t="shared" si="667"/>
        <v>29820</v>
      </c>
      <c r="B17702" s="1" t="str">
        <f>"89116"</f>
        <v>89116</v>
      </c>
      <c r="C17702" s="2">
        <v>1.5654960468598101E-3</v>
      </c>
      <c r="D17702" s="2">
        <v>1.5721504772599601E-3</v>
      </c>
      <c r="E17702" s="2">
        <v>4.6063844488461002E-5</v>
      </c>
      <c r="F17702" s="2">
        <v>1.50680763809252E-3</v>
      </c>
    </row>
    <row r="17703" spans="1:6" x14ac:dyDescent="0.25">
      <c r="A17703" s="1" t="str">
        <f t="shared" si="667"/>
        <v>29820</v>
      </c>
      <c r="B17703" s="1" t="str">
        <f>"89006"</f>
        <v>89006</v>
      </c>
      <c r="C17703" s="2">
        <v>1.5140132909563699E-3</v>
      </c>
      <c r="D17703" s="2">
        <v>2.4446076102448899E-3</v>
      </c>
      <c r="E17703" s="2">
        <v>4.6063844488461002E-5</v>
      </c>
      <c r="F17703" s="2">
        <v>1.5536140880213201E-3</v>
      </c>
    </row>
    <row r="17704" spans="1:6" x14ac:dyDescent="0.25">
      <c r="A17704" s="1" t="str">
        <f t="shared" si="667"/>
        <v>29820</v>
      </c>
      <c r="B17704" s="1" t="str">
        <f>"89127"</f>
        <v>89127</v>
      </c>
      <c r="C17704" s="2">
        <v>1.4226051325155599E-3</v>
      </c>
      <c r="D17704" s="2">
        <v>1.1920701420982101E-3</v>
      </c>
      <c r="E17704" s="2">
        <v>4.6063844488461002E-5</v>
      </c>
      <c r="F17704" s="2">
        <v>1.34478531141591E-3</v>
      </c>
    </row>
    <row r="17705" spans="1:6" x14ac:dyDescent="0.25">
      <c r="A17705" s="1" t="str">
        <f t="shared" si="667"/>
        <v>29820</v>
      </c>
      <c r="B17705" s="1" t="str">
        <f>"89137"</f>
        <v>89137</v>
      </c>
      <c r="C17705" s="2">
        <v>1.02335110714191E-3</v>
      </c>
      <c r="D17705" s="2">
        <v>4.0167580875048502E-3</v>
      </c>
      <c r="E17705" s="2">
        <v>4.6063844488461002E-5</v>
      </c>
      <c r="F17705" s="2">
        <v>1.29707873745002E-3</v>
      </c>
    </row>
    <row r="17706" spans="1:6" x14ac:dyDescent="0.25">
      <c r="A17706" s="1" t="str">
        <f t="shared" si="667"/>
        <v>29820</v>
      </c>
      <c r="B17706" s="1" t="str">
        <f>"89120"</f>
        <v>89120</v>
      </c>
      <c r="C17706" s="2">
        <v>1.07714533371857E-2</v>
      </c>
      <c r="D17706" s="2">
        <v>3.3645747851250303E-2</v>
      </c>
      <c r="E17706" s="2">
        <v>2.1189368464692E-2</v>
      </c>
      <c r="F17706" s="2">
        <v>1.3562168866869799E-2</v>
      </c>
    </row>
    <row r="17707" spans="1:6" x14ac:dyDescent="0.25">
      <c r="A17707" s="1" t="str">
        <f t="shared" si="667"/>
        <v>29820</v>
      </c>
      <c r="B17707" s="1" t="str">
        <f>"89117"</f>
        <v>89117</v>
      </c>
      <c r="C17707" s="2">
        <v>2.7064169577893898E-2</v>
      </c>
      <c r="D17707" s="2">
        <v>3.5209260139074799E-2</v>
      </c>
      <c r="E17707" s="2">
        <v>2.41374545119535E-2</v>
      </c>
      <c r="F17707" s="2">
        <v>2.7798530637521801E-2</v>
      </c>
    </row>
    <row r="17708" spans="1:6" x14ac:dyDescent="0.25">
      <c r="A17708" s="1" t="str">
        <f t="shared" si="667"/>
        <v>29820</v>
      </c>
      <c r="B17708" s="1" t="str">
        <f>"89121"</f>
        <v>89121</v>
      </c>
      <c r="C17708" s="2">
        <v>2.8095926032938399E-2</v>
      </c>
      <c r="D17708" s="2">
        <v>2.4610201701723299E-2</v>
      </c>
      <c r="E17708" s="2">
        <v>2.5956976369247702E-2</v>
      </c>
      <c r="F17708" s="2">
        <v>2.7649110047364499E-2</v>
      </c>
    </row>
    <row r="17709" spans="1:6" x14ac:dyDescent="0.25">
      <c r="A17709" s="1" t="str">
        <f t="shared" si="667"/>
        <v>29820</v>
      </c>
      <c r="B17709" s="1" t="str">
        <f>"89018"</f>
        <v>89018</v>
      </c>
      <c r="C17709" s="2">
        <v>0</v>
      </c>
      <c r="D17709" s="2">
        <v>0</v>
      </c>
      <c r="E17709" s="2">
        <v>6.6101616840941501E-3</v>
      </c>
      <c r="F17709" s="2">
        <v>2.5833559864549299E-4</v>
      </c>
    </row>
    <row r="17710" spans="1:6" x14ac:dyDescent="0.25">
      <c r="A17710" s="1" t="str">
        <f t="shared" si="667"/>
        <v>29820</v>
      </c>
      <c r="B17710" s="1" t="str">
        <f>"89158"</f>
        <v>89158</v>
      </c>
      <c r="C17710" s="2">
        <v>9.4455097055501499E-4</v>
      </c>
      <c r="D17710" s="2">
        <v>7.9471342806547701E-4</v>
      </c>
      <c r="E17710" s="2">
        <v>6.7944170620479897E-3</v>
      </c>
      <c r="F17710" s="2">
        <v>1.1575595117007101E-3</v>
      </c>
    </row>
    <row r="17711" spans="1:6" x14ac:dyDescent="0.25">
      <c r="A17711" s="1" t="str">
        <f t="shared" ref="A17711:A17742" si="668">"29820"</f>
        <v>29820</v>
      </c>
      <c r="B17711" s="1" t="str">
        <f>"89111"</f>
        <v>89111</v>
      </c>
      <c r="C17711" s="2">
        <v>4.8435817288749902E-4</v>
      </c>
      <c r="D17711" s="2">
        <v>8.4654256467844304E-4</v>
      </c>
      <c r="E17711" s="2">
        <v>6.9095766732691499E-5</v>
      </c>
      <c r="F17711" s="2">
        <v>5.0586970884587798E-4</v>
      </c>
    </row>
    <row r="17712" spans="1:6" x14ac:dyDescent="0.25">
      <c r="A17712" s="1" t="str">
        <f t="shared" si="668"/>
        <v>29820</v>
      </c>
      <c r="B17712" s="1" t="str">
        <f>"89179"</f>
        <v>89179</v>
      </c>
      <c r="C17712" s="2">
        <v>4.2478526962780004E-3</v>
      </c>
      <c r="D17712" s="2">
        <v>3.45527577419772E-5</v>
      </c>
      <c r="E17712" s="2">
        <v>4.6063844488461002E-5</v>
      </c>
      <c r="F17712" s="2">
        <v>3.6446022261867601E-3</v>
      </c>
    </row>
    <row r="17713" spans="1:6" x14ac:dyDescent="0.25">
      <c r="A17713" s="1" t="str">
        <f t="shared" si="668"/>
        <v>29820</v>
      </c>
      <c r="B17713" s="1" t="str">
        <f>"89036"</f>
        <v>89036</v>
      </c>
      <c r="C17713" s="2">
        <v>1.7955924456935701E-3</v>
      </c>
      <c r="D17713" s="2">
        <v>1.6239796138729299E-3</v>
      </c>
      <c r="E17713" s="2">
        <v>4.6063844488461002E-5</v>
      </c>
      <c r="F17713" s="2">
        <v>1.70933554643829E-3</v>
      </c>
    </row>
    <row r="17714" spans="1:6" x14ac:dyDescent="0.25">
      <c r="A17714" s="1" t="str">
        <f t="shared" si="668"/>
        <v>29820</v>
      </c>
      <c r="B17714" s="1" t="str">
        <f>"89011"</f>
        <v>89011</v>
      </c>
      <c r="C17714" s="2">
        <v>1.6200257413779499E-2</v>
      </c>
      <c r="D17714" s="2">
        <v>1.04954001641255E-2</v>
      </c>
      <c r="E17714" s="2">
        <v>2.2916762633009301E-2</v>
      </c>
      <c r="F17714" s="2">
        <v>1.5868286649900299E-2</v>
      </c>
    </row>
    <row r="17715" spans="1:6" x14ac:dyDescent="0.25">
      <c r="A17715" s="1" t="str">
        <f t="shared" si="668"/>
        <v>29820</v>
      </c>
      <c r="B17715" s="1" t="str">
        <f>"89012"</f>
        <v>89012</v>
      </c>
      <c r="C17715" s="2">
        <v>1.70071708124294E-2</v>
      </c>
      <c r="D17715" s="2">
        <v>1.1894786852675599E-2</v>
      </c>
      <c r="E17715" s="2">
        <v>5.8961720945230004E-3</v>
      </c>
      <c r="F17715" s="2">
        <v>1.6040210340984899E-2</v>
      </c>
    </row>
    <row r="17716" spans="1:6" x14ac:dyDescent="0.25">
      <c r="A17716" s="1" t="str">
        <f t="shared" si="668"/>
        <v>29820</v>
      </c>
      <c r="B17716" s="1" t="str">
        <f>"89074"</f>
        <v>89074</v>
      </c>
      <c r="C17716" s="2">
        <v>2.4181135247300999E-2</v>
      </c>
      <c r="D17716" s="2">
        <v>2.21224031443009E-2</v>
      </c>
      <c r="E17716" s="2">
        <v>1.1285641899672899E-2</v>
      </c>
      <c r="F17716" s="2">
        <v>2.3462633150848101E-2</v>
      </c>
    </row>
    <row r="17717" spans="1:6" x14ac:dyDescent="0.25">
      <c r="A17717" s="1" t="str">
        <f t="shared" si="668"/>
        <v>29820</v>
      </c>
      <c r="B17717" s="1" t="str">
        <f>"89110"</f>
        <v>89110</v>
      </c>
      <c r="C17717" s="2">
        <v>2.4670746762627701E-2</v>
      </c>
      <c r="D17717" s="2">
        <v>8.94052606573662E-3</v>
      </c>
      <c r="E17717" s="2">
        <v>2.6555806347597698E-2</v>
      </c>
      <c r="F17717" s="2">
        <v>2.3105283908122502E-2</v>
      </c>
    </row>
    <row r="17718" spans="1:6" x14ac:dyDescent="0.25">
      <c r="A17718" s="1" t="str">
        <f t="shared" si="668"/>
        <v>29820</v>
      </c>
      <c r="B17718" s="1" t="str">
        <f>"89143"</f>
        <v>89143</v>
      </c>
      <c r="C17718" s="2">
        <v>4.5493945522838896E-3</v>
      </c>
      <c r="D17718" s="2">
        <v>2.9369844080680599E-4</v>
      </c>
      <c r="E17718" s="2">
        <v>2.99414989174996E-4</v>
      </c>
      <c r="F17718" s="2">
        <v>3.9398429103530402E-3</v>
      </c>
    </row>
    <row r="17719" spans="1:6" x14ac:dyDescent="0.25">
      <c r="A17719" s="1" t="str">
        <f t="shared" si="668"/>
        <v>29820</v>
      </c>
      <c r="B17719" s="1" t="str">
        <f>"89146"</f>
        <v>89146</v>
      </c>
      <c r="C17719" s="2">
        <v>8.3969425547004203E-3</v>
      </c>
      <c r="D17719" s="2">
        <v>2.3202176823737701E-2</v>
      </c>
      <c r="E17719" s="2">
        <v>1.9577133907595901E-2</v>
      </c>
      <c r="F17719" s="2">
        <v>1.0376629899600099E-2</v>
      </c>
    </row>
    <row r="17720" spans="1:6" x14ac:dyDescent="0.25">
      <c r="A17720" s="1" t="str">
        <f t="shared" si="668"/>
        <v>29820</v>
      </c>
      <c r="B17720" s="1" t="str">
        <f>"89142"</f>
        <v>89142</v>
      </c>
      <c r="C17720" s="2">
        <v>1.18704525754511E-2</v>
      </c>
      <c r="D17720" s="2">
        <v>7.26471731525072E-3</v>
      </c>
      <c r="E17720" s="2">
        <v>2.67170298033073E-3</v>
      </c>
      <c r="F17720" s="2">
        <v>1.1031020074566199E-2</v>
      </c>
    </row>
    <row r="17721" spans="1:6" x14ac:dyDescent="0.25">
      <c r="A17721" s="1" t="str">
        <f t="shared" si="668"/>
        <v>29820</v>
      </c>
      <c r="B17721" s="1" t="str">
        <f>"89162"</f>
        <v>89162</v>
      </c>
      <c r="C17721" s="2">
        <v>1.41945312705208E-3</v>
      </c>
      <c r="D17721" s="2">
        <v>1.2611756575821699E-3</v>
      </c>
      <c r="E17721" s="2">
        <v>4.6063844488461002E-5</v>
      </c>
      <c r="F17721" s="2">
        <v>1.34928593160137E-3</v>
      </c>
    </row>
    <row r="17722" spans="1:6" x14ac:dyDescent="0.25">
      <c r="A17722" s="1" t="str">
        <f t="shared" si="668"/>
        <v>29820</v>
      </c>
      <c r="B17722" s="1" t="str">
        <f>"89183"</f>
        <v>89183</v>
      </c>
      <c r="C17722" s="2">
        <v>1.61571800057786E-2</v>
      </c>
      <c r="D17722" s="2">
        <v>1.02448926704962E-2</v>
      </c>
      <c r="E17722" s="2">
        <v>9.8576627205306504E-3</v>
      </c>
      <c r="F17722" s="2">
        <v>1.5294907638272501E-2</v>
      </c>
    </row>
    <row r="17723" spans="1:6" x14ac:dyDescent="0.25">
      <c r="A17723" s="1" t="str">
        <f t="shared" si="668"/>
        <v>29820</v>
      </c>
      <c r="B17723" s="1" t="str">
        <f>"89136"</f>
        <v>89136</v>
      </c>
      <c r="C17723" s="2">
        <v>2.2862546295080201E-3</v>
      </c>
      <c r="D17723" s="2">
        <v>3.0751954390359701E-3</v>
      </c>
      <c r="E17723" s="2">
        <v>4.6063844488461002E-5</v>
      </c>
      <c r="F17723" s="2">
        <v>2.28091430999191E-3</v>
      </c>
    </row>
    <row r="17724" spans="1:6" x14ac:dyDescent="0.25">
      <c r="A17724" s="1" t="str">
        <f t="shared" si="668"/>
        <v>29820</v>
      </c>
      <c r="B17724" s="1" t="str">
        <f>"89161"</f>
        <v>89161</v>
      </c>
      <c r="C17724" s="2">
        <v>3.8874734049539002E-4</v>
      </c>
      <c r="D17724" s="2">
        <v>9.5020083790437501E-5</v>
      </c>
      <c r="E17724" s="2">
        <v>2.3031922244230501E-5</v>
      </c>
      <c r="F17724" s="2">
        <v>3.4384738216926199E-4</v>
      </c>
    </row>
    <row r="17725" spans="1:6" x14ac:dyDescent="0.25">
      <c r="A17725" s="1" t="str">
        <f t="shared" si="668"/>
        <v>29820</v>
      </c>
      <c r="B17725" s="1" t="str">
        <f>"89002"</f>
        <v>89002</v>
      </c>
      <c r="C17725" s="2">
        <v>1.45874812849675E-2</v>
      </c>
      <c r="D17725" s="2">
        <v>2.5396276940353301E-3</v>
      </c>
      <c r="E17725" s="2">
        <v>1.35888341240959E-2</v>
      </c>
      <c r="F17725" s="2">
        <v>1.32930317797792E-2</v>
      </c>
    </row>
    <row r="17726" spans="1:6" x14ac:dyDescent="0.25">
      <c r="A17726" s="1" t="str">
        <f t="shared" si="668"/>
        <v>29820</v>
      </c>
      <c r="B17726" s="1" t="str">
        <f>"89122"</f>
        <v>89122</v>
      </c>
      <c r="C17726" s="2">
        <v>2.1873867248036499E-2</v>
      </c>
      <c r="D17726" s="2">
        <v>7.0833153371053399E-3</v>
      </c>
      <c r="E17726" s="2">
        <v>2.1903358054263199E-2</v>
      </c>
      <c r="F17726" s="2">
        <v>2.0333801997915301E-2</v>
      </c>
    </row>
    <row r="17727" spans="1:6" x14ac:dyDescent="0.25">
      <c r="A17727" s="1" t="str">
        <f t="shared" si="668"/>
        <v>29820</v>
      </c>
      <c r="B17727" s="1" t="str">
        <f>"89135"</f>
        <v>89135</v>
      </c>
      <c r="C17727" s="2">
        <v>1.60174410968979E-2</v>
      </c>
      <c r="D17727" s="2">
        <v>1.14456010020299E-2</v>
      </c>
      <c r="E17727" s="2">
        <v>1.1469897277626699E-2</v>
      </c>
      <c r="F17727" s="2">
        <v>1.5363317065091499E-2</v>
      </c>
    </row>
    <row r="17728" spans="1:6" x14ac:dyDescent="0.25">
      <c r="A17728" s="1" t="str">
        <f t="shared" si="668"/>
        <v>29820</v>
      </c>
      <c r="B17728" s="1" t="str">
        <f>"89141"</f>
        <v>89141</v>
      </c>
      <c r="C17728" s="2">
        <v>1.5194767670930601E-2</v>
      </c>
      <c r="D17728" s="2">
        <v>5.2347427979095498E-3</v>
      </c>
      <c r="E17728" s="2">
        <v>1.4510111013865199E-3</v>
      </c>
      <c r="F17728" s="2">
        <v>1.36197768052437E-2</v>
      </c>
    </row>
    <row r="17729" spans="1:6" x14ac:dyDescent="0.25">
      <c r="A17729" s="1" t="str">
        <f t="shared" si="668"/>
        <v>29820</v>
      </c>
      <c r="B17729" s="1" t="str">
        <f>"89157"</f>
        <v>89157</v>
      </c>
      <c r="C17729" s="2">
        <v>1.40264243124688E-3</v>
      </c>
      <c r="D17729" s="2">
        <v>1.4944067723405099E-3</v>
      </c>
      <c r="E17729" s="2">
        <v>4.6063844488461002E-5</v>
      </c>
      <c r="F17729" s="2">
        <v>1.3591872960093899E-3</v>
      </c>
    </row>
    <row r="17730" spans="1:6" x14ac:dyDescent="0.25">
      <c r="A17730" s="1" t="str">
        <f t="shared" si="668"/>
        <v>29820</v>
      </c>
      <c r="B17730" s="1" t="str">
        <f>"89170"</f>
        <v>89170</v>
      </c>
      <c r="C17730" s="2">
        <v>2.1086916550655298E-3</v>
      </c>
      <c r="D17730" s="2">
        <v>1.90040167580875E-3</v>
      </c>
      <c r="E17730" s="2">
        <v>4.6063844488461002E-5</v>
      </c>
      <c r="F17730" s="2">
        <v>2.0063764786787601E-3</v>
      </c>
    </row>
    <row r="17731" spans="1:6" x14ac:dyDescent="0.25">
      <c r="A17731" s="1" t="str">
        <f t="shared" si="668"/>
        <v>29820</v>
      </c>
      <c r="B17731" s="1" t="str">
        <f>"89154"</f>
        <v>89154</v>
      </c>
      <c r="C17731" s="2">
        <v>0</v>
      </c>
      <c r="D17731" s="2">
        <v>8.6381894354943204E-6</v>
      </c>
      <c r="E17731" s="2">
        <v>0</v>
      </c>
      <c r="F17731" s="2">
        <v>9.0012403709231105E-7</v>
      </c>
    </row>
    <row r="17732" spans="1:6" x14ac:dyDescent="0.25">
      <c r="A17732" s="1" t="str">
        <f t="shared" si="668"/>
        <v>29820</v>
      </c>
      <c r="B17732" s="1" t="str">
        <f>"89153"</f>
        <v>89153</v>
      </c>
      <c r="C17732" s="2">
        <v>0</v>
      </c>
      <c r="D17732" s="2">
        <v>0</v>
      </c>
      <c r="E17732" s="2">
        <v>2.3031922244230501E-5</v>
      </c>
      <c r="F17732" s="2">
        <v>9.0012403709231105E-7</v>
      </c>
    </row>
    <row r="17733" spans="1:6" x14ac:dyDescent="0.25">
      <c r="A17733" s="1" t="str">
        <f t="shared" si="668"/>
        <v>29820</v>
      </c>
      <c r="B17733" s="1" t="str">
        <f>"89140"</f>
        <v>89140</v>
      </c>
      <c r="C17733" s="2">
        <v>7.5227863728297097E-4</v>
      </c>
      <c r="D17733" s="2">
        <v>3.2479592277458598E-3</v>
      </c>
      <c r="E17733" s="2">
        <v>4.6063844488461002E-5</v>
      </c>
      <c r="F17733" s="2">
        <v>9.847356965789881E-4</v>
      </c>
    </row>
    <row r="17734" spans="1:6" x14ac:dyDescent="0.25">
      <c r="A17734" s="1" t="str">
        <f t="shared" si="668"/>
        <v>29820</v>
      </c>
      <c r="B17734" s="1" t="str">
        <f>"89101"</f>
        <v>89101</v>
      </c>
      <c r="C17734" s="2">
        <v>1.8076751333035601E-2</v>
      </c>
      <c r="D17734" s="2">
        <v>2.3530428022286502E-2</v>
      </c>
      <c r="E17734" s="2">
        <v>5.7027039476714697E-2</v>
      </c>
      <c r="F17734" s="2">
        <v>2.01672790510532E-2</v>
      </c>
    </row>
    <row r="17735" spans="1:6" x14ac:dyDescent="0.25">
      <c r="A17735" s="1" t="str">
        <f t="shared" si="668"/>
        <v>29820</v>
      </c>
      <c r="B17735" s="1" t="str">
        <f>"89103"</f>
        <v>89103</v>
      </c>
      <c r="C17735" s="2">
        <v>2.4610858658821601E-2</v>
      </c>
      <c r="D17735" s="2">
        <v>4.4011575173843499E-2</v>
      </c>
      <c r="E17735" s="2">
        <v>4.1365332350637898E-2</v>
      </c>
      <c r="F17735" s="2">
        <v>2.7287260184453401E-2</v>
      </c>
    </row>
    <row r="17736" spans="1:6" x14ac:dyDescent="0.25">
      <c r="A17736" s="1" t="str">
        <f t="shared" si="668"/>
        <v>29820</v>
      </c>
      <c r="B17736" s="1" t="str">
        <f>"89109"</f>
        <v>89109</v>
      </c>
      <c r="C17736" s="2">
        <v>9.0903837566651702E-3</v>
      </c>
      <c r="D17736" s="2">
        <v>3.2911501749233303E-2</v>
      </c>
      <c r="E17736" s="2">
        <v>1.39343129577594E-2</v>
      </c>
      <c r="F17736" s="2">
        <v>1.1761920792685201E-2</v>
      </c>
    </row>
    <row r="17737" spans="1:6" x14ac:dyDescent="0.25">
      <c r="A17737" s="1" t="str">
        <f t="shared" si="668"/>
        <v>29820</v>
      </c>
      <c r="B17737" s="1" t="str">
        <f>"89114"</f>
        <v>89114</v>
      </c>
      <c r="C17737" s="2">
        <v>1.2009140815844E-3</v>
      </c>
      <c r="D17737" s="2">
        <v>1.25253746814667E-3</v>
      </c>
      <c r="E17737" s="2">
        <v>4.6063844488461002E-5</v>
      </c>
      <c r="F17737" s="2">
        <v>1.1611600078490799E-3</v>
      </c>
    </row>
    <row r="17738" spans="1:6" x14ac:dyDescent="0.25">
      <c r="A17738" s="1" t="str">
        <f t="shared" si="668"/>
        <v>29820</v>
      </c>
      <c r="B17738" s="1" t="str">
        <f>"89112"</f>
        <v>89112</v>
      </c>
      <c r="C17738" s="2">
        <v>2.0624622416012101E-3</v>
      </c>
      <c r="D17738" s="2">
        <v>2.1509091694380802E-3</v>
      </c>
      <c r="E17738" s="2">
        <v>4.6063844488461002E-5</v>
      </c>
      <c r="F17738" s="2">
        <v>1.9928746181223701E-3</v>
      </c>
    </row>
    <row r="17739" spans="1:6" x14ac:dyDescent="0.25">
      <c r="A17739" s="1" t="str">
        <f t="shared" si="668"/>
        <v>29820</v>
      </c>
      <c r="B17739" s="1" t="str">
        <f>"89037"</f>
        <v>89037</v>
      </c>
      <c r="C17739" s="2">
        <v>0</v>
      </c>
      <c r="D17739" s="2">
        <v>0</v>
      </c>
      <c r="E17739" s="2">
        <v>2.3031922244230501E-5</v>
      </c>
      <c r="F17739" s="2">
        <v>9.0012403709231105E-7</v>
      </c>
    </row>
    <row r="17740" spans="1:6" x14ac:dyDescent="0.25">
      <c r="A17740" s="1" t="str">
        <f t="shared" si="668"/>
        <v>29820</v>
      </c>
      <c r="B17740" s="1" t="str">
        <f>"89151"</f>
        <v>89151</v>
      </c>
      <c r="C17740" s="2">
        <v>0</v>
      </c>
      <c r="D17740" s="2">
        <v>0</v>
      </c>
      <c r="E17740" s="2">
        <v>2.3031922244230501E-5</v>
      </c>
      <c r="F17740" s="2">
        <v>9.0012403709231105E-7</v>
      </c>
    </row>
    <row r="17741" spans="1:6" x14ac:dyDescent="0.25">
      <c r="A17741" s="1" t="str">
        <f t="shared" si="668"/>
        <v>29820</v>
      </c>
      <c r="B17741" s="1" t="str">
        <f>"89039"</f>
        <v>89039</v>
      </c>
      <c r="C17741" s="2">
        <v>6.5141446245173401E-5</v>
      </c>
      <c r="D17741" s="2">
        <v>4.3190947177471599E-5</v>
      </c>
      <c r="E17741" s="2">
        <v>0</v>
      </c>
      <c r="F17741" s="2">
        <v>6.0308310485184803E-5</v>
      </c>
    </row>
    <row r="17742" spans="1:6" x14ac:dyDescent="0.25">
      <c r="A17742" s="1" t="str">
        <f t="shared" si="668"/>
        <v>29820</v>
      </c>
      <c r="B17742" s="1" t="str">
        <f>"89046"</f>
        <v>89046</v>
      </c>
      <c r="C17742" s="2">
        <v>7.3546794147776501E-5</v>
      </c>
      <c r="D17742" s="2">
        <v>1.72763788709886E-5</v>
      </c>
      <c r="E17742" s="2">
        <v>6.9095766732691499E-5</v>
      </c>
      <c r="F17742" s="2">
        <v>6.7509302781923306E-5</v>
      </c>
    </row>
    <row r="17743" spans="1:6" x14ac:dyDescent="0.25">
      <c r="A17743" s="1" t="str">
        <f t="shared" ref="A17743:A17774" si="669">"29820"</f>
        <v>29820</v>
      </c>
      <c r="B17743" s="1" t="str">
        <f>"89119"</f>
        <v>89119</v>
      </c>
      <c r="C17743" s="2">
        <v>2.3972052218223801E-2</v>
      </c>
      <c r="D17743" s="2">
        <v>6.8215781972098599E-2</v>
      </c>
      <c r="E17743" s="2">
        <v>6.8358745220876094E-2</v>
      </c>
      <c r="F17743" s="2">
        <v>3.0317077693306101E-2</v>
      </c>
    </row>
    <row r="17744" spans="1:6" x14ac:dyDescent="0.25">
      <c r="A17744" s="1" t="str">
        <f t="shared" si="669"/>
        <v>29820</v>
      </c>
      <c r="B17744" s="1" t="str">
        <f>"89123"</f>
        <v>89123</v>
      </c>
      <c r="C17744" s="2">
        <v>2.6354968348611799E-2</v>
      </c>
      <c r="D17744" s="2">
        <v>2.2580227184382101E-2</v>
      </c>
      <c r="E17744" s="2">
        <v>1.12626099774287E-2</v>
      </c>
      <c r="F17744" s="2">
        <v>2.5371796233520899E-2</v>
      </c>
    </row>
    <row r="17745" spans="1:6" x14ac:dyDescent="0.25">
      <c r="A17745" s="1" t="str">
        <f t="shared" si="669"/>
        <v>29820</v>
      </c>
      <c r="B17745" s="1" t="str">
        <f>"89106"</f>
        <v>89106</v>
      </c>
      <c r="C17745" s="2">
        <v>1.09994483990438E-2</v>
      </c>
      <c r="D17745" s="2">
        <v>1.7682373774456799E-2</v>
      </c>
      <c r="E17745" s="2">
        <v>1.8540697406605501E-2</v>
      </c>
      <c r="F17745" s="2">
        <v>1.19905522981066E-2</v>
      </c>
    </row>
    <row r="17746" spans="1:6" x14ac:dyDescent="0.25">
      <c r="A17746" s="1" t="str">
        <f t="shared" si="669"/>
        <v>29820</v>
      </c>
      <c r="B17746" s="1" t="str">
        <f>"89033"</f>
        <v>89033</v>
      </c>
      <c r="C17746" s="2">
        <v>2.14546505213942E-3</v>
      </c>
      <c r="D17746" s="2">
        <v>2.47052217855137E-3</v>
      </c>
      <c r="E17746" s="2">
        <v>4.6063844488461002E-5</v>
      </c>
      <c r="F17746" s="2">
        <v>2.0972890064250801E-3</v>
      </c>
    </row>
    <row r="17747" spans="1:6" x14ac:dyDescent="0.25">
      <c r="A17747" s="1" t="str">
        <f t="shared" si="669"/>
        <v>29820</v>
      </c>
      <c r="B17747" s="1" t="str">
        <f>"89118"</f>
        <v>89118</v>
      </c>
      <c r="C17747" s="2">
        <v>1.0244017756297401E-2</v>
      </c>
      <c r="D17747" s="2">
        <v>4.0953656113678502E-2</v>
      </c>
      <c r="E17747" s="2">
        <v>2.7799530148786201E-2</v>
      </c>
      <c r="F17747" s="2">
        <v>1.4130147134275101E-2</v>
      </c>
    </row>
    <row r="17748" spans="1:6" x14ac:dyDescent="0.25">
      <c r="A17748" s="1" t="str">
        <f t="shared" si="669"/>
        <v>29820</v>
      </c>
      <c r="B17748" s="1" t="str">
        <f>"89147"</f>
        <v>89147</v>
      </c>
      <c r="C17748" s="2">
        <v>2.4063460376664601E-2</v>
      </c>
      <c r="D17748" s="2">
        <v>3.3023798211894703E-2</v>
      </c>
      <c r="E17748" s="2">
        <v>1.4832557925284399E-2</v>
      </c>
      <c r="F17748" s="2">
        <v>2.4636394895216501E-2</v>
      </c>
    </row>
    <row r="17749" spans="1:6" x14ac:dyDescent="0.25">
      <c r="A17749" s="1" t="str">
        <f t="shared" si="669"/>
        <v>29820</v>
      </c>
      <c r="B17749" s="1" t="str">
        <f>"89156"</f>
        <v>89156</v>
      </c>
      <c r="C17749" s="2">
        <v>1.0445746105959899E-2</v>
      </c>
      <c r="D17749" s="2">
        <v>2.43596942080939E-3</v>
      </c>
      <c r="E17749" s="2">
        <v>1.29209083790133E-2</v>
      </c>
      <c r="F17749" s="2">
        <v>9.7078377400405692E-3</v>
      </c>
    </row>
    <row r="17750" spans="1:6" x14ac:dyDescent="0.25">
      <c r="A17750" s="1" t="str">
        <f t="shared" si="669"/>
        <v>29820</v>
      </c>
      <c r="B17750" s="1" t="str">
        <f>"89155"</f>
        <v>89155</v>
      </c>
      <c r="C17750" s="2">
        <v>0</v>
      </c>
      <c r="D17750" s="2">
        <v>8.6381894354943204E-6</v>
      </c>
      <c r="E17750" s="2">
        <v>0</v>
      </c>
      <c r="F17750" s="2">
        <v>9.0012403709231105E-7</v>
      </c>
    </row>
    <row r="17751" spans="1:6" x14ac:dyDescent="0.25">
      <c r="A17751" s="1" t="str">
        <f t="shared" si="669"/>
        <v>29820</v>
      </c>
      <c r="B17751" s="1" t="str">
        <f>"89152"</f>
        <v>89152</v>
      </c>
      <c r="C17751" s="2">
        <v>0</v>
      </c>
      <c r="D17751" s="2">
        <v>0</v>
      </c>
      <c r="E17751" s="2">
        <v>2.3031922244230501E-5</v>
      </c>
      <c r="F17751" s="2">
        <v>9.0012403709231105E-7</v>
      </c>
    </row>
    <row r="17752" spans="1:6" x14ac:dyDescent="0.25">
      <c r="A17752" s="1" t="str">
        <f t="shared" si="669"/>
        <v>29820</v>
      </c>
      <c r="B17752" s="1" t="str">
        <f>"89180"</f>
        <v>89180</v>
      </c>
      <c r="C17752" s="2">
        <v>1.2523968374878499E-3</v>
      </c>
      <c r="D17752" s="2">
        <v>3.8267179199239802E-3</v>
      </c>
      <c r="E17752" s="2">
        <v>4.6063844488461002E-5</v>
      </c>
      <c r="F17752" s="2">
        <v>1.4735030487201099E-3</v>
      </c>
    </row>
    <row r="17753" spans="1:6" x14ac:dyDescent="0.25">
      <c r="A17753" s="1" t="str">
        <f t="shared" si="669"/>
        <v>29820</v>
      </c>
      <c r="B17753" s="1" t="str">
        <f>"89025"</f>
        <v>89025</v>
      </c>
      <c r="C17753" s="2">
        <v>0</v>
      </c>
      <c r="D17753" s="2">
        <v>0</v>
      </c>
      <c r="E17753" s="2">
        <v>1.38191533465383E-4</v>
      </c>
      <c r="F17753" s="2">
        <v>5.4007442225538599E-6</v>
      </c>
    </row>
    <row r="17754" spans="1:6" x14ac:dyDescent="0.25">
      <c r="A17754" s="1" t="str">
        <f t="shared" si="669"/>
        <v>29820</v>
      </c>
      <c r="B17754" s="1" t="str">
        <f>"89004"</f>
        <v>89004</v>
      </c>
      <c r="C17754" s="2">
        <v>0</v>
      </c>
      <c r="D17754" s="2">
        <v>0</v>
      </c>
      <c r="E17754" s="2">
        <v>2.09590492422497E-3</v>
      </c>
      <c r="F17754" s="2">
        <v>8.19112873754003E-5</v>
      </c>
    </row>
    <row r="17755" spans="1:6" x14ac:dyDescent="0.25">
      <c r="A17755" s="1" t="str">
        <f t="shared" si="669"/>
        <v>29820</v>
      </c>
      <c r="B17755" s="1" t="str">
        <f>"89009"</f>
        <v>89009</v>
      </c>
      <c r="C17755" s="2">
        <v>2.39027080980273E-3</v>
      </c>
      <c r="D17755" s="2">
        <v>2.6864769144387302E-3</v>
      </c>
      <c r="E17755" s="2">
        <v>4.6063844488461002E-5</v>
      </c>
      <c r="F17755" s="2">
        <v>2.3295210079949001E-3</v>
      </c>
    </row>
    <row r="17756" spans="1:6" x14ac:dyDescent="0.25">
      <c r="A17756" s="1" t="str">
        <f t="shared" si="669"/>
        <v>29820</v>
      </c>
      <c r="B17756" s="1" t="str">
        <f>"89054"</f>
        <v>89054</v>
      </c>
      <c r="C17756" s="2">
        <v>4.5178744976491202E-5</v>
      </c>
      <c r="D17756" s="2">
        <v>1.72763788709886E-5</v>
      </c>
      <c r="E17756" s="2">
        <v>2.3031922244230501E-5</v>
      </c>
      <c r="F17756" s="2">
        <v>4.1405705706246303E-5</v>
      </c>
    </row>
    <row r="17757" spans="1:6" x14ac:dyDescent="0.25">
      <c r="A17757" s="1" t="str">
        <f t="shared" si="669"/>
        <v>29820</v>
      </c>
      <c r="B17757" s="1" t="str">
        <f>"89014"</f>
        <v>89014</v>
      </c>
      <c r="C17757" s="2">
        <v>1.88542460140264E-2</v>
      </c>
      <c r="D17757" s="2">
        <v>1.77169265321988E-2</v>
      </c>
      <c r="E17757" s="2">
        <v>1.1423833433138301E-2</v>
      </c>
      <c r="F17757" s="2">
        <v>1.8445341768095602E-2</v>
      </c>
    </row>
    <row r="17758" spans="1:6" x14ac:dyDescent="0.25">
      <c r="A17758" s="1" t="str">
        <f t="shared" si="669"/>
        <v>29820</v>
      </c>
      <c r="B17758" s="1" t="str">
        <f>"89052"</f>
        <v>89052</v>
      </c>
      <c r="C17758" s="2">
        <v>2.8475217357043399E-2</v>
      </c>
      <c r="D17758" s="2">
        <v>3.1840366259231999E-2</v>
      </c>
      <c r="E17758" s="2">
        <v>1.3059099912478601E-2</v>
      </c>
      <c r="F17758" s="2">
        <v>2.8223389183029399E-2</v>
      </c>
    </row>
    <row r="17759" spans="1:6" x14ac:dyDescent="0.25">
      <c r="A17759" s="1" t="str">
        <f t="shared" si="669"/>
        <v>29820</v>
      </c>
      <c r="B17759" s="1" t="str">
        <f>"89084"</f>
        <v>89084</v>
      </c>
      <c r="C17759" s="2">
        <v>1.3778466549342E-2</v>
      </c>
      <c r="D17759" s="2">
        <v>4.4659439381505598E-3</v>
      </c>
      <c r="E17759" s="2">
        <v>9.1436731309594999E-3</v>
      </c>
      <c r="F17759" s="2">
        <v>1.26269399923309E-2</v>
      </c>
    </row>
    <row r="17760" spans="1:6" x14ac:dyDescent="0.25">
      <c r="A17760" s="1" t="str">
        <f t="shared" si="669"/>
        <v>29820</v>
      </c>
      <c r="B17760" s="1" t="str">
        <f>"89044"</f>
        <v>89044</v>
      </c>
      <c r="C17760" s="2">
        <v>1.2981009167082501E-2</v>
      </c>
      <c r="D17760" s="2">
        <v>2.78149699822917E-3</v>
      </c>
      <c r="E17760" s="2">
        <v>6.6792574508268401E-4</v>
      </c>
      <c r="F17760" s="2">
        <v>1.1436976015294901E-2</v>
      </c>
    </row>
    <row r="17761" spans="1:6" x14ac:dyDescent="0.25">
      <c r="A17761" s="1" t="str">
        <f t="shared" si="669"/>
        <v>29820</v>
      </c>
      <c r="B17761" s="1" t="str">
        <f>"89040"</f>
        <v>89040</v>
      </c>
      <c r="C17761" s="2">
        <v>2.10133697565075E-5</v>
      </c>
      <c r="D17761" s="2">
        <v>3.45527577419772E-5</v>
      </c>
      <c r="E17761" s="2">
        <v>2.3722879911557402E-3</v>
      </c>
      <c r="F17761" s="2">
        <v>1.1431575271072299E-4</v>
      </c>
    </row>
    <row r="17762" spans="1:6" x14ac:dyDescent="0.25">
      <c r="A17762" s="1" t="str">
        <f t="shared" si="669"/>
        <v>29820</v>
      </c>
      <c r="B17762" s="1" t="str">
        <f>"89108"</f>
        <v>89108</v>
      </c>
      <c r="C17762" s="2">
        <v>2.9771742271019901E-2</v>
      </c>
      <c r="D17762" s="2">
        <v>7.5065866194445599E-3</v>
      </c>
      <c r="E17762" s="2">
        <v>4.42212907089225E-2</v>
      </c>
      <c r="F17762" s="2">
        <v>2.8016360654498099E-2</v>
      </c>
    </row>
    <row r="17763" spans="1:6" x14ac:dyDescent="0.25">
      <c r="A17763" s="1" t="str">
        <f t="shared" si="669"/>
        <v>29820</v>
      </c>
      <c r="B17763" s="1" t="str">
        <f>"89113"</f>
        <v>89113</v>
      </c>
      <c r="C17763" s="2">
        <v>1.56654671534763E-2</v>
      </c>
      <c r="D17763" s="2">
        <v>1.31559625102578E-2</v>
      </c>
      <c r="E17763" s="2">
        <v>9.0976092864710392E-3</v>
      </c>
      <c r="F17763" s="2">
        <v>1.51472872961894E-2</v>
      </c>
    </row>
    <row r="17764" spans="1:6" x14ac:dyDescent="0.25">
      <c r="A17764" s="1" t="str">
        <f t="shared" si="669"/>
        <v>29820</v>
      </c>
      <c r="B17764" s="1" t="str">
        <f>"89034"</f>
        <v>89034</v>
      </c>
      <c r="C17764" s="2">
        <v>1.92587533818391E-3</v>
      </c>
      <c r="D17764" s="2">
        <v>5.1829136612965902E-5</v>
      </c>
      <c r="E17764" s="2">
        <v>2.3031922244230501E-5</v>
      </c>
      <c r="F17764" s="2">
        <v>1.6562282282498501E-3</v>
      </c>
    </row>
    <row r="17765" spans="1:6" x14ac:dyDescent="0.25">
      <c r="A17765" s="1" t="str">
        <f t="shared" si="669"/>
        <v>29820</v>
      </c>
      <c r="B17765" s="1" t="str">
        <f>"89195"</f>
        <v>89195</v>
      </c>
      <c r="C17765" s="2">
        <v>0</v>
      </c>
      <c r="D17765" s="2">
        <v>0</v>
      </c>
      <c r="E17765" s="2">
        <v>2.3031922244230501E-5</v>
      </c>
      <c r="F17765" s="2">
        <v>9.0012403709231105E-7</v>
      </c>
    </row>
    <row r="17766" spans="1:6" x14ac:dyDescent="0.25">
      <c r="A17766" s="1" t="str">
        <f t="shared" si="669"/>
        <v>29820</v>
      </c>
      <c r="B17766" s="1" t="str">
        <f>"89150"</f>
        <v>89150</v>
      </c>
      <c r="C17766" s="2">
        <v>0</v>
      </c>
      <c r="D17766" s="2">
        <v>0</v>
      </c>
      <c r="E17766" s="2">
        <v>2.3031922244230501E-5</v>
      </c>
      <c r="F17766" s="2">
        <v>9.0012403709231105E-7</v>
      </c>
    </row>
    <row r="17767" spans="1:6" x14ac:dyDescent="0.25">
      <c r="A17767" s="1" t="str">
        <f t="shared" si="669"/>
        <v>29820</v>
      </c>
      <c r="B17767" s="1" t="str">
        <f>"89165"</f>
        <v>89165</v>
      </c>
      <c r="C17767" s="2">
        <v>0</v>
      </c>
      <c r="D17767" s="2">
        <v>2.8506025137131202E-4</v>
      </c>
      <c r="E17767" s="2">
        <v>2.3031922244230501E-5</v>
      </c>
      <c r="F17767" s="2">
        <v>3.0604217261138503E-5</v>
      </c>
    </row>
    <row r="17768" spans="1:6" x14ac:dyDescent="0.25">
      <c r="A17768" s="1" t="str">
        <f t="shared" si="669"/>
        <v>29820</v>
      </c>
      <c r="B17768" s="1" t="str">
        <f>"89021"</f>
        <v>89021</v>
      </c>
      <c r="C17768" s="2">
        <v>0</v>
      </c>
      <c r="D17768" s="2">
        <v>0</v>
      </c>
      <c r="E17768" s="2">
        <v>1.31512276014556E-2</v>
      </c>
      <c r="F17768" s="2">
        <v>5.1397082517970895E-4</v>
      </c>
    </row>
    <row r="17769" spans="1:6" x14ac:dyDescent="0.25">
      <c r="A17769" s="1" t="str">
        <f t="shared" si="669"/>
        <v>29820</v>
      </c>
      <c r="B17769" s="1" t="str">
        <f>"89105"</f>
        <v>89105</v>
      </c>
      <c r="C17769" s="2">
        <v>1.47198655144335E-3</v>
      </c>
      <c r="D17769" s="2">
        <v>3.0320044918585001E-3</v>
      </c>
      <c r="E17769" s="2">
        <v>4.6063844488461002E-5</v>
      </c>
      <c r="F17769" s="2">
        <v>1.5788175610599101E-3</v>
      </c>
    </row>
    <row r="17770" spans="1:6" x14ac:dyDescent="0.25">
      <c r="A17770" s="1" t="str">
        <f t="shared" si="669"/>
        <v>29820</v>
      </c>
      <c r="B17770" s="1" t="str">
        <f>"89126"</f>
        <v>89126</v>
      </c>
      <c r="C17770" s="2">
        <v>2.07086758950382E-3</v>
      </c>
      <c r="D17770" s="2">
        <v>3.1356627650844298E-3</v>
      </c>
      <c r="E17770" s="2">
        <v>4.6063844488461002E-5</v>
      </c>
      <c r="F17770" s="2">
        <v>2.10268975064763E-3</v>
      </c>
    </row>
    <row r="17771" spans="1:6" x14ac:dyDescent="0.25">
      <c r="A17771" s="1" t="str">
        <f t="shared" si="669"/>
        <v>29820</v>
      </c>
      <c r="B17771" s="1" t="str">
        <f>"89148"</f>
        <v>89148</v>
      </c>
      <c r="C17771" s="2">
        <v>2.6156392004412801E-2</v>
      </c>
      <c r="D17771" s="2">
        <v>1.47885803135662E-2</v>
      </c>
      <c r="E17771" s="2">
        <v>9.6273434980883501E-3</v>
      </c>
      <c r="F17771" s="2">
        <v>2.43258521024197E-2</v>
      </c>
    </row>
    <row r="17772" spans="1:6" x14ac:dyDescent="0.25">
      <c r="A17772" s="1" t="str">
        <f t="shared" si="669"/>
        <v>29820</v>
      </c>
      <c r="B17772" s="1" t="str">
        <f>"89149"</f>
        <v>89149</v>
      </c>
      <c r="C17772" s="2">
        <v>1.70071708124294E-2</v>
      </c>
      <c r="D17772" s="2">
        <v>8.9837170129140904E-3</v>
      </c>
      <c r="E17772" s="2">
        <v>1.43719194803998E-2</v>
      </c>
      <c r="F17772" s="2">
        <v>1.60681141861348E-2</v>
      </c>
    </row>
    <row r="17773" spans="1:6" x14ac:dyDescent="0.25">
      <c r="A17773" s="1" t="str">
        <f t="shared" si="669"/>
        <v>29820</v>
      </c>
      <c r="B17773" s="1" t="str">
        <f>"89132"</f>
        <v>89132</v>
      </c>
      <c r="C17773" s="2">
        <v>5.4214493971789502E-4</v>
      </c>
      <c r="D17773" s="2">
        <v>8.4654256467844304E-4</v>
      </c>
      <c r="E17773" s="2">
        <v>4.6063844488461002E-5</v>
      </c>
      <c r="F17773" s="2">
        <v>5.5447640684886301E-4</v>
      </c>
    </row>
    <row r="17774" spans="1:6" x14ac:dyDescent="0.25">
      <c r="A17774" s="1" t="str">
        <f t="shared" si="669"/>
        <v>29820</v>
      </c>
      <c r="B17774" s="1" t="str">
        <f>"89030"</f>
        <v>89030</v>
      </c>
      <c r="C17774" s="2">
        <v>1.7562974442488999E-2</v>
      </c>
      <c r="D17774" s="2">
        <v>1.7665097395585801E-2</v>
      </c>
      <c r="E17774" s="2">
        <v>5.90999124786954E-2</v>
      </c>
      <c r="F17774" s="2">
        <v>1.9196945339067701E-2</v>
      </c>
    </row>
    <row r="17775" spans="1:6" x14ac:dyDescent="0.25">
      <c r="A17775" s="1" t="str">
        <f t="shared" ref="A17775:A17792" si="670">"29820"</f>
        <v>29820</v>
      </c>
      <c r="B17775" s="1" t="str">
        <f>"89104"</f>
        <v>89104</v>
      </c>
      <c r="C17775" s="2">
        <v>1.74389955609256E-2</v>
      </c>
      <c r="D17775" s="2">
        <v>2.5534487971321199E-2</v>
      </c>
      <c r="E17775" s="2">
        <v>1.82182504951863E-2</v>
      </c>
      <c r="F17775" s="2">
        <v>1.8313023534643001E-2</v>
      </c>
    </row>
    <row r="17776" spans="1:6" x14ac:dyDescent="0.25">
      <c r="A17776" s="1" t="str">
        <f t="shared" si="670"/>
        <v>29820</v>
      </c>
      <c r="B17776" s="1" t="str">
        <f>"89029"</f>
        <v>89029</v>
      </c>
      <c r="C17776" s="2">
        <v>5.5843030127918801E-3</v>
      </c>
      <c r="D17776" s="2">
        <v>2.20273830605105E-3</v>
      </c>
      <c r="E17776" s="2">
        <v>4.8597355935326297E-3</v>
      </c>
      <c r="F17776" s="2">
        <v>5.2036170584306499E-3</v>
      </c>
    </row>
    <row r="17777" spans="1:6" x14ac:dyDescent="0.25">
      <c r="A17777" s="1" t="str">
        <f t="shared" si="670"/>
        <v>29820</v>
      </c>
      <c r="B17777" s="1" t="str">
        <f>"89160"</f>
        <v>89160</v>
      </c>
      <c r="C17777" s="2">
        <v>1.0338577920201699E-3</v>
      </c>
      <c r="D17777" s="2">
        <v>9.1564808016239704E-4</v>
      </c>
      <c r="E17777" s="2">
        <v>4.6063844488461002E-5</v>
      </c>
      <c r="F17777" s="2">
        <v>9.8293544850480306E-4</v>
      </c>
    </row>
    <row r="17778" spans="1:6" x14ac:dyDescent="0.25">
      <c r="A17778" s="1" t="str">
        <f t="shared" si="670"/>
        <v>29820</v>
      </c>
      <c r="B17778" s="1" t="str">
        <f>"89077"</f>
        <v>89077</v>
      </c>
      <c r="C17778" s="2">
        <v>7.5332930577079601E-4</v>
      </c>
      <c r="D17778" s="2">
        <v>1.9608690018572102E-3</v>
      </c>
      <c r="E17778" s="2">
        <v>4.6063844488461002E-5</v>
      </c>
      <c r="F17778" s="2">
        <v>8.5151733908932605E-4</v>
      </c>
    </row>
    <row r="17779" spans="1:6" x14ac:dyDescent="0.25">
      <c r="A17779" s="1" t="str">
        <f t="shared" si="670"/>
        <v>29820</v>
      </c>
      <c r="B17779" s="1" t="str">
        <f>"89193"</f>
        <v>89193</v>
      </c>
      <c r="C17779" s="2">
        <v>1.4120984476372999E-3</v>
      </c>
      <c r="D17779" s="2">
        <v>1.0374465512028599E-2</v>
      </c>
      <c r="E17779" s="2">
        <v>4.6063844488461002E-5</v>
      </c>
      <c r="F17779" s="2">
        <v>2.2926159224741101E-3</v>
      </c>
    </row>
    <row r="17780" spans="1:6" x14ac:dyDescent="0.25">
      <c r="A17780" s="1" t="str">
        <f t="shared" si="670"/>
        <v>29820</v>
      </c>
      <c r="B17780" s="1" t="str">
        <f>"89085"</f>
        <v>89085</v>
      </c>
      <c r="C17780" s="2">
        <v>1.44046649680859E-3</v>
      </c>
      <c r="D17780" s="2">
        <v>8.6381894354943204E-6</v>
      </c>
      <c r="E17780" s="2">
        <v>2.3031922244230501E-5</v>
      </c>
      <c r="F17780" s="2">
        <v>1.23587030292774E-3</v>
      </c>
    </row>
    <row r="17781" spans="1:6" x14ac:dyDescent="0.25">
      <c r="A17781" s="1" t="str">
        <f t="shared" si="670"/>
        <v>29820</v>
      </c>
      <c r="B17781" s="1" t="str">
        <f>"89128"</f>
        <v>89128</v>
      </c>
      <c r="C17781" s="2">
        <v>1.7685902655564599E-2</v>
      </c>
      <c r="D17781" s="2">
        <v>1.7120891461149701E-2</v>
      </c>
      <c r="E17781" s="2">
        <v>3.5146713344695699E-2</v>
      </c>
      <c r="F17781" s="2">
        <v>1.8309423038494699E-2</v>
      </c>
    </row>
    <row r="17782" spans="1:6" x14ac:dyDescent="0.25">
      <c r="A17782" s="1" t="str">
        <f t="shared" si="670"/>
        <v>29820</v>
      </c>
      <c r="B17782" s="1" t="str">
        <f>"89145"</f>
        <v>89145</v>
      </c>
      <c r="C17782" s="2">
        <v>1.12978382495862E-2</v>
      </c>
      <c r="D17782" s="2">
        <v>5.4766121021033896E-3</v>
      </c>
      <c r="E17782" s="2">
        <v>9.4891519646229609E-3</v>
      </c>
      <c r="F17782" s="2">
        <v>1.06205635136521E-2</v>
      </c>
    </row>
    <row r="17783" spans="1:6" x14ac:dyDescent="0.25">
      <c r="A17783" s="1" t="str">
        <f t="shared" si="670"/>
        <v>29820</v>
      </c>
      <c r="B17783" s="1" t="str">
        <f>"89130"</f>
        <v>89130</v>
      </c>
      <c r="C17783" s="2">
        <v>1.37395918152924E-2</v>
      </c>
      <c r="D17783" s="2">
        <v>1.9850559322765901E-2</v>
      </c>
      <c r="E17783" s="2">
        <v>1.0249205398682499E-2</v>
      </c>
      <c r="F17783" s="2">
        <v>1.4239962266800301E-2</v>
      </c>
    </row>
    <row r="17784" spans="1:6" x14ac:dyDescent="0.25">
      <c r="A17784" s="1" t="str">
        <f t="shared" si="670"/>
        <v>29820</v>
      </c>
      <c r="B17784" s="1" t="str">
        <f>"89131"</f>
        <v>89131</v>
      </c>
      <c r="C17784" s="2">
        <v>1.8663024349242201E-2</v>
      </c>
      <c r="D17784" s="2">
        <v>1.0780460415496899E-2</v>
      </c>
      <c r="E17784" s="2">
        <v>2.67170298033073E-3</v>
      </c>
      <c r="F17784" s="2">
        <v>1.72166724574646E-2</v>
      </c>
    </row>
    <row r="17785" spans="1:6" x14ac:dyDescent="0.25">
      <c r="A17785" s="1" t="str">
        <f t="shared" si="670"/>
        <v>29820</v>
      </c>
      <c r="B17785" s="1" t="str">
        <f>"89144"</f>
        <v>89144</v>
      </c>
      <c r="C17785" s="2">
        <v>8.8991620918809494E-3</v>
      </c>
      <c r="D17785" s="2">
        <v>3.2479592277458598E-3</v>
      </c>
      <c r="E17785" s="2">
        <v>1.13086738219171E-2</v>
      </c>
      <c r="F17785" s="2">
        <v>8.4044581343309093E-3</v>
      </c>
    </row>
    <row r="17786" spans="1:6" x14ac:dyDescent="0.25">
      <c r="A17786" s="1" t="str">
        <f t="shared" si="670"/>
        <v>29820</v>
      </c>
      <c r="B17786" s="1" t="str">
        <f>"89125"</f>
        <v>89125</v>
      </c>
      <c r="C17786" s="2">
        <v>2.1433637151637699E-3</v>
      </c>
      <c r="D17786" s="2">
        <v>1.3648339308081001E-3</v>
      </c>
      <c r="E17786" s="2">
        <v>2.3031922244230501E-5</v>
      </c>
      <c r="F17786" s="2">
        <v>1.97937275756599E-3</v>
      </c>
    </row>
    <row r="17787" spans="1:6" x14ac:dyDescent="0.25">
      <c r="A17787" s="1" t="str">
        <f t="shared" si="670"/>
        <v>29820</v>
      </c>
      <c r="B17787" s="1" t="str">
        <f>"89086"</f>
        <v>89086</v>
      </c>
      <c r="C17787" s="2">
        <v>2.83890625410417E-3</v>
      </c>
      <c r="D17787" s="2">
        <v>8.9837170129140897E-4</v>
      </c>
      <c r="E17787" s="2">
        <v>6.9095766732691505E-4</v>
      </c>
      <c r="F17787" s="2">
        <v>2.5527517691937901E-3</v>
      </c>
    </row>
    <row r="17788" spans="1:6" x14ac:dyDescent="0.25">
      <c r="A17788" s="1" t="str">
        <f t="shared" si="670"/>
        <v>29820</v>
      </c>
      <c r="B17788" s="1" t="str">
        <f>"89107"</f>
        <v>89107</v>
      </c>
      <c r="C17788" s="2">
        <v>1.40957684326652E-2</v>
      </c>
      <c r="D17788" s="2">
        <v>7.8434760074288408E-3</v>
      </c>
      <c r="E17788" s="2">
        <v>1.27136210788152E-2</v>
      </c>
      <c r="F17788" s="2">
        <v>1.3390245175785199E-2</v>
      </c>
    </row>
    <row r="17789" spans="1:6" x14ac:dyDescent="0.25">
      <c r="A17789" s="1" t="str">
        <f t="shared" si="670"/>
        <v>29820</v>
      </c>
      <c r="B17789" s="1" t="str">
        <f>"89019"</f>
        <v>89019</v>
      </c>
      <c r="C17789" s="2">
        <v>1.92692600667174E-3</v>
      </c>
      <c r="D17789" s="2">
        <v>1.12296462661426E-3</v>
      </c>
      <c r="E17789" s="2">
        <v>1.8425537795384401E-4</v>
      </c>
      <c r="F17789" s="2">
        <v>1.77504460114603E-3</v>
      </c>
    </row>
    <row r="17790" spans="1:6" x14ac:dyDescent="0.25">
      <c r="A17790" s="1" t="str">
        <f t="shared" si="670"/>
        <v>29820</v>
      </c>
      <c r="B17790" s="1" t="str">
        <f>"89169"</f>
        <v>89169</v>
      </c>
      <c r="C17790" s="2">
        <v>1.2536576396732399E-2</v>
      </c>
      <c r="D17790" s="2">
        <v>2.4290588692609999E-2</v>
      </c>
      <c r="E17790" s="2">
        <v>1.69514947717536E-2</v>
      </c>
      <c r="F17790" s="2">
        <v>1.39339200941889E-2</v>
      </c>
    </row>
    <row r="17791" spans="1:6" x14ac:dyDescent="0.25">
      <c r="A17791" s="1" t="str">
        <f t="shared" si="670"/>
        <v>29820</v>
      </c>
      <c r="B17791" s="1" t="str">
        <f>"89178"</f>
        <v>89178</v>
      </c>
      <c r="C17791" s="2">
        <v>1.6077329200703899E-2</v>
      </c>
      <c r="D17791" s="2">
        <v>1.2870902258886501E-3</v>
      </c>
      <c r="E17791" s="2">
        <v>1.4164632180201701E-2</v>
      </c>
      <c r="F17791" s="2">
        <v>1.4461392779925E-2</v>
      </c>
    </row>
    <row r="17792" spans="1:6" x14ac:dyDescent="0.25">
      <c r="A17792" s="1" t="str">
        <f t="shared" si="670"/>
        <v>29820</v>
      </c>
      <c r="B17792" s="1" t="str">
        <f>"89124"</f>
        <v>89124</v>
      </c>
      <c r="C17792" s="2">
        <v>9.5610832392109405E-4</v>
      </c>
      <c r="D17792" s="2">
        <v>4.2327128233922098E-4</v>
      </c>
      <c r="E17792" s="2">
        <v>3.9154267815191802E-4</v>
      </c>
      <c r="F17792" s="2">
        <v>8.7852106020209499E-4</v>
      </c>
    </row>
    <row r="17793" spans="1:6" x14ac:dyDescent="0.25">
      <c r="A17793" s="1" t="str">
        <f t="shared" ref="A17793:A17818" si="671">"29860"</f>
        <v>29860</v>
      </c>
      <c r="B17793" s="1" t="str">
        <f>"39168"</f>
        <v>39168</v>
      </c>
      <c r="C17793" s="2">
        <v>1.7590489537524699E-2</v>
      </c>
      <c r="D17793" s="2">
        <v>3.5347043701799401E-3</v>
      </c>
      <c r="E17793" s="2">
        <v>0</v>
      </c>
      <c r="F17793" s="2">
        <v>1.6422222222222199E-2</v>
      </c>
    </row>
    <row r="17794" spans="1:6" x14ac:dyDescent="0.25">
      <c r="A17794" s="1" t="str">
        <f t="shared" si="671"/>
        <v>29860</v>
      </c>
      <c r="B17794" s="1" t="str">
        <f>"39347"</f>
        <v>39347</v>
      </c>
      <c r="C17794" s="2">
        <v>1.51500507417967E-2</v>
      </c>
      <c r="D17794" s="2">
        <v>2.5706940874035901E-3</v>
      </c>
      <c r="E17794" s="2">
        <v>0</v>
      </c>
      <c r="F17794" s="2">
        <v>1.41111111111111E-2</v>
      </c>
    </row>
    <row r="17795" spans="1:6" x14ac:dyDescent="0.25">
      <c r="A17795" s="1" t="str">
        <f t="shared" si="671"/>
        <v>29860</v>
      </c>
      <c r="B17795" s="1" t="str">
        <f>"39401"</f>
        <v>39401</v>
      </c>
      <c r="C17795" s="2">
        <v>4.15599478084376E-3</v>
      </c>
      <c r="D17795" s="2">
        <v>3.2133676092544898E-4</v>
      </c>
      <c r="E17795" s="2">
        <v>3.9840637450199202E-3</v>
      </c>
      <c r="F17795" s="2">
        <v>3.8888888888888801E-3</v>
      </c>
    </row>
    <row r="17796" spans="1:6" x14ac:dyDescent="0.25">
      <c r="A17796" s="1" t="str">
        <f t="shared" si="671"/>
        <v>29860</v>
      </c>
      <c r="B17796" s="1" t="str">
        <f>"39332"</f>
        <v>39332</v>
      </c>
      <c r="C17796" s="2">
        <v>1.1839752573333899E-3</v>
      </c>
      <c r="D17796" s="2">
        <v>0</v>
      </c>
      <c r="E17796" s="2">
        <v>0</v>
      </c>
      <c r="F17796" s="2">
        <v>1.0888888888888799E-3</v>
      </c>
    </row>
    <row r="17797" spans="1:6" x14ac:dyDescent="0.25">
      <c r="A17797" s="1" t="str">
        <f t="shared" si="671"/>
        <v>29860</v>
      </c>
      <c r="B17797" s="1" t="str">
        <f>"39330"</f>
        <v>39330</v>
      </c>
      <c r="C17797" s="2">
        <v>9.6651041414971199E-4</v>
      </c>
      <c r="D17797" s="2">
        <v>3.2133676092544898E-4</v>
      </c>
      <c r="E17797" s="2">
        <v>0</v>
      </c>
      <c r="F17797" s="2">
        <v>9.1111111111111102E-4</v>
      </c>
    </row>
    <row r="17798" spans="1:6" x14ac:dyDescent="0.25">
      <c r="A17798" s="1" t="str">
        <f t="shared" si="671"/>
        <v>29860</v>
      </c>
      <c r="B17798" s="1" t="str">
        <f>"39356"</f>
        <v>39356</v>
      </c>
      <c r="C17798" s="2">
        <v>1.0583289034939301E-2</v>
      </c>
      <c r="D17798" s="2">
        <v>2.8920308483290401E-3</v>
      </c>
      <c r="E17798" s="2">
        <v>0</v>
      </c>
      <c r="F17798" s="2">
        <v>9.9333333333333305E-3</v>
      </c>
    </row>
    <row r="17799" spans="1:6" x14ac:dyDescent="0.25">
      <c r="A17799" s="1" t="str">
        <f t="shared" si="671"/>
        <v>29860</v>
      </c>
      <c r="B17799" s="1" t="str">
        <f>"39437"</f>
        <v>39437</v>
      </c>
      <c r="C17799" s="2">
        <v>0.15237036679070201</v>
      </c>
      <c r="D17799" s="2">
        <v>0.13464010282776301</v>
      </c>
      <c r="E17799" s="2">
        <v>0.143426294820717</v>
      </c>
      <c r="F17799" s="2">
        <v>0.15104444444444401</v>
      </c>
    </row>
    <row r="17800" spans="1:6" x14ac:dyDescent="0.25">
      <c r="A17800" s="1" t="str">
        <f t="shared" si="671"/>
        <v>29860</v>
      </c>
      <c r="B17800" s="1" t="str">
        <f>"39477"</f>
        <v>39477</v>
      </c>
      <c r="C17800" s="2">
        <v>0</v>
      </c>
      <c r="D17800" s="2">
        <v>3.2133676092544898E-4</v>
      </c>
      <c r="E17800" s="2">
        <v>0</v>
      </c>
      <c r="F17800" s="2">
        <v>2.22222222222222E-5</v>
      </c>
    </row>
    <row r="17801" spans="1:6" x14ac:dyDescent="0.25">
      <c r="A17801" s="1" t="str">
        <f t="shared" si="671"/>
        <v>29860</v>
      </c>
      <c r="B17801" s="1" t="str">
        <f>"39336"</f>
        <v>39336</v>
      </c>
      <c r="C17801" s="2">
        <v>1.20813801768714E-4</v>
      </c>
      <c r="D17801" s="2">
        <v>0</v>
      </c>
      <c r="E17801" s="2">
        <v>0</v>
      </c>
      <c r="F17801" s="2">
        <v>1.1111111111111099E-4</v>
      </c>
    </row>
    <row r="17802" spans="1:6" x14ac:dyDescent="0.25">
      <c r="A17802" s="1" t="str">
        <f t="shared" si="671"/>
        <v>29860</v>
      </c>
      <c r="B17802" s="1" t="str">
        <f>"39345"</f>
        <v>39345</v>
      </c>
      <c r="C17802" s="2">
        <v>8.4569661238099796E-4</v>
      </c>
      <c r="D17802" s="2">
        <v>1.6066838046272401E-3</v>
      </c>
      <c r="E17802" s="2">
        <v>0</v>
      </c>
      <c r="F17802" s="2">
        <v>8.8888888888888796E-4</v>
      </c>
    </row>
    <row r="17803" spans="1:6" x14ac:dyDescent="0.25">
      <c r="A17803" s="1" t="str">
        <f t="shared" si="671"/>
        <v>29860</v>
      </c>
      <c r="B17803" s="1" t="str">
        <f>"39440"</f>
        <v>39440</v>
      </c>
      <c r="C17803" s="2">
        <v>0.23527279756439301</v>
      </c>
      <c r="D17803" s="2">
        <v>0.61118251928020495</v>
      </c>
      <c r="E17803" s="2">
        <v>0.63346613545816699</v>
      </c>
      <c r="F17803" s="2">
        <v>0.26571111111111101</v>
      </c>
    </row>
    <row r="17804" spans="1:6" x14ac:dyDescent="0.25">
      <c r="A17804" s="1" t="str">
        <f t="shared" si="671"/>
        <v>29860</v>
      </c>
      <c r="B17804" s="1" t="str">
        <f>"39422"</f>
        <v>39422</v>
      </c>
      <c r="C17804" s="2">
        <v>4.74073358140433E-2</v>
      </c>
      <c r="D17804" s="2">
        <v>2.4100257069408701E-2</v>
      </c>
      <c r="E17804" s="2">
        <v>1.9920318725099601E-2</v>
      </c>
      <c r="F17804" s="2">
        <v>4.5488888888888801E-2</v>
      </c>
    </row>
    <row r="17805" spans="1:6" x14ac:dyDescent="0.25">
      <c r="A17805" s="1" t="str">
        <f t="shared" si="671"/>
        <v>29860</v>
      </c>
      <c r="B17805" s="1" t="str">
        <f>"39443"</f>
        <v>39443</v>
      </c>
      <c r="C17805" s="2">
        <v>0.27661528052964701</v>
      </c>
      <c r="D17805" s="2">
        <v>0.13592544987146499</v>
      </c>
      <c r="E17805" s="2">
        <v>0.151394422310756</v>
      </c>
      <c r="F17805" s="2">
        <v>0.265488888888888</v>
      </c>
    </row>
    <row r="17806" spans="1:6" x14ac:dyDescent="0.25">
      <c r="A17806" s="1" t="str">
        <f t="shared" si="671"/>
        <v>29860</v>
      </c>
      <c r="B17806" s="1" t="str">
        <f>"39439"</f>
        <v>39439</v>
      </c>
      <c r="C17806" s="2">
        <v>4.66099647223698E-2</v>
      </c>
      <c r="D17806" s="2">
        <v>2.9241645244215901E-2</v>
      </c>
      <c r="E17806" s="2">
        <v>1.9920318725099601E-2</v>
      </c>
      <c r="F17806" s="2">
        <v>4.5111111111111102E-2</v>
      </c>
    </row>
    <row r="17807" spans="1:6" x14ac:dyDescent="0.25">
      <c r="A17807" s="1" t="str">
        <f t="shared" si="671"/>
        <v>29860</v>
      </c>
      <c r="B17807" s="1" t="str">
        <f>"39464"</f>
        <v>39464</v>
      </c>
      <c r="C17807" s="2">
        <v>2.76421978446817E-2</v>
      </c>
      <c r="D17807" s="2">
        <v>3.8560411311053902E-3</v>
      </c>
      <c r="E17807" s="2">
        <v>0</v>
      </c>
      <c r="F17807" s="2">
        <v>2.5688888888888799E-2</v>
      </c>
    </row>
    <row r="17808" spans="1:6" x14ac:dyDescent="0.25">
      <c r="A17808" s="1" t="str">
        <f t="shared" si="671"/>
        <v>29860</v>
      </c>
      <c r="B17808" s="1" t="str">
        <f>"39480"</f>
        <v>39480</v>
      </c>
      <c r="C17808" s="2">
        <v>3.4383607983376002E-2</v>
      </c>
      <c r="D17808" s="2">
        <v>1.02827763496143E-2</v>
      </c>
      <c r="E17808" s="2">
        <v>1.5936254980079601E-2</v>
      </c>
      <c r="F17808" s="2">
        <v>3.2511111111111102E-2</v>
      </c>
    </row>
    <row r="17809" spans="1:6" x14ac:dyDescent="0.25">
      <c r="A17809" s="1" t="str">
        <f t="shared" si="671"/>
        <v>29860</v>
      </c>
      <c r="B17809" s="1" t="str">
        <f>"39479"</f>
        <v>39479</v>
      </c>
      <c r="C17809" s="2">
        <v>1.0824916638476701E-2</v>
      </c>
      <c r="D17809" s="2">
        <v>3.2133676092544901E-3</v>
      </c>
      <c r="E17809" s="2">
        <v>0</v>
      </c>
      <c r="F17809" s="2">
        <v>1.0177777777777701E-2</v>
      </c>
    </row>
    <row r="17810" spans="1:6" x14ac:dyDescent="0.25">
      <c r="A17810" s="1" t="str">
        <f t="shared" si="671"/>
        <v>29860</v>
      </c>
      <c r="B17810" s="1" t="str">
        <f>"39436"</f>
        <v>39436</v>
      </c>
      <c r="C17810" s="2">
        <v>0</v>
      </c>
      <c r="D17810" s="2">
        <v>3.2133676092544898E-4</v>
      </c>
      <c r="E17810" s="2">
        <v>0</v>
      </c>
      <c r="F17810" s="2">
        <v>2.22222222222222E-5</v>
      </c>
    </row>
    <row r="17811" spans="1:6" x14ac:dyDescent="0.25">
      <c r="A17811" s="1" t="str">
        <f t="shared" si="671"/>
        <v>29860</v>
      </c>
      <c r="B17811" s="1" t="str">
        <f>"39459"</f>
        <v>39459</v>
      </c>
      <c r="C17811" s="2">
        <v>4.4242014207702997E-2</v>
      </c>
      <c r="D17811" s="2">
        <v>1.9922879177377801E-2</v>
      </c>
      <c r="E17811" s="2">
        <v>9.9601593625498006E-3</v>
      </c>
      <c r="F17811" s="2">
        <v>4.2177777777777703E-2</v>
      </c>
    </row>
    <row r="17812" spans="1:6" x14ac:dyDescent="0.25">
      <c r="A17812" s="1" t="str">
        <f t="shared" si="671"/>
        <v>29860</v>
      </c>
      <c r="B17812" s="1" t="str">
        <f>"39366"</f>
        <v>39366</v>
      </c>
      <c r="C17812" s="2">
        <v>9.6892669018508598E-3</v>
      </c>
      <c r="D17812" s="2">
        <v>3.2133676092544901E-3</v>
      </c>
      <c r="E17812" s="2">
        <v>1.9920318725099601E-3</v>
      </c>
      <c r="F17812" s="2">
        <v>9.1555555555555505E-3</v>
      </c>
    </row>
    <row r="17813" spans="1:6" x14ac:dyDescent="0.25">
      <c r="A17813" s="1" t="str">
        <f t="shared" si="671"/>
        <v>29860</v>
      </c>
      <c r="B17813" s="1" t="str">
        <f>"39338"</f>
        <v>39338</v>
      </c>
      <c r="C17813" s="2">
        <v>3.2039820229062897E-2</v>
      </c>
      <c r="D17813" s="2">
        <v>5.7840616966580898E-3</v>
      </c>
      <c r="E17813" s="2">
        <v>0</v>
      </c>
      <c r="F17813" s="2">
        <v>2.98666666666666E-2</v>
      </c>
    </row>
    <row r="17814" spans="1:6" x14ac:dyDescent="0.25">
      <c r="A17814" s="1" t="str">
        <f t="shared" si="671"/>
        <v>29860</v>
      </c>
      <c r="B17814" s="1" t="str">
        <f>"39460"</f>
        <v>39460</v>
      </c>
      <c r="C17814" s="2">
        <v>0</v>
      </c>
      <c r="D17814" s="2">
        <v>3.2133676092544898E-4</v>
      </c>
      <c r="E17814" s="2">
        <v>0</v>
      </c>
      <c r="F17814" s="2">
        <v>2.22222222222222E-5</v>
      </c>
    </row>
    <row r="17815" spans="1:6" x14ac:dyDescent="0.25">
      <c r="A17815" s="1" t="str">
        <f t="shared" si="671"/>
        <v>29860</v>
      </c>
      <c r="B17815" s="1" t="str">
        <f>"39465"</f>
        <v>39465</v>
      </c>
      <c r="C17815" s="2">
        <v>4.1076692601362702E-4</v>
      </c>
      <c r="D17815" s="2">
        <v>9.6401028277634895E-4</v>
      </c>
      <c r="E17815" s="2">
        <v>0</v>
      </c>
      <c r="F17815" s="2">
        <v>4.4444444444444398E-4</v>
      </c>
    </row>
    <row r="17816" spans="1:6" x14ac:dyDescent="0.25">
      <c r="A17816" s="1" t="str">
        <f t="shared" si="671"/>
        <v>29860</v>
      </c>
      <c r="B17816" s="1" t="str">
        <f>"39476"</f>
        <v>39476</v>
      </c>
      <c r="C17816" s="2">
        <v>1.8605325472381899E-3</v>
      </c>
      <c r="D17816" s="2">
        <v>3.2133676092544898E-4</v>
      </c>
      <c r="E17816" s="2">
        <v>0</v>
      </c>
      <c r="F17816" s="2">
        <v>1.73333333333333E-3</v>
      </c>
    </row>
    <row r="17817" spans="1:6" x14ac:dyDescent="0.25">
      <c r="A17817" s="1" t="str">
        <f t="shared" si="671"/>
        <v>29860</v>
      </c>
      <c r="B17817" s="1" t="str">
        <f>"39348"</f>
        <v>39348</v>
      </c>
      <c r="C17817" s="2">
        <v>7.8770598753201502E-3</v>
      </c>
      <c r="D17817" s="2">
        <v>1.6066838046272401E-3</v>
      </c>
      <c r="E17817" s="2">
        <v>0</v>
      </c>
      <c r="F17817" s="2">
        <v>7.3555555555555501E-3</v>
      </c>
    </row>
    <row r="17818" spans="1:6" x14ac:dyDescent="0.25">
      <c r="A17818" s="1" t="str">
        <f t="shared" si="671"/>
        <v>29860</v>
      </c>
      <c r="B17818" s="1" t="str">
        <f>"39481"</f>
        <v>39481</v>
      </c>
      <c r="C17818" s="2">
        <v>2.2157251244382101E-2</v>
      </c>
      <c r="D17818" s="2">
        <v>3.5347043701799401E-3</v>
      </c>
      <c r="E17818" s="2">
        <v>0</v>
      </c>
      <c r="F17818" s="2">
        <v>2.0622222222222202E-2</v>
      </c>
    </row>
    <row r="17819" spans="1:6" x14ac:dyDescent="0.25">
      <c r="A17819" s="1" t="str">
        <f t="shared" ref="A17819:A17826" si="672">"29900"</f>
        <v>29900</v>
      </c>
      <c r="B17819" s="1" t="str">
        <f>"28351"</f>
        <v>28351</v>
      </c>
      <c r="C17819" s="2">
        <v>0.173100804492198</v>
      </c>
      <c r="D17819" s="2">
        <v>5.8368076235854598E-2</v>
      </c>
      <c r="E17819" s="2">
        <v>1.9960079840319299E-3</v>
      </c>
      <c r="F17819" s="2">
        <v>0.15965412298922699</v>
      </c>
    </row>
    <row r="17820" spans="1:6" x14ac:dyDescent="0.25">
      <c r="A17820" s="1" t="str">
        <f t="shared" si="672"/>
        <v>29900</v>
      </c>
      <c r="B17820" s="1" t="str">
        <f>"28364"</f>
        <v>28364</v>
      </c>
      <c r="C17820" s="2">
        <v>1.17704227633497E-2</v>
      </c>
      <c r="D17820" s="2">
        <v>2.1441334127456801E-2</v>
      </c>
      <c r="E17820" s="2">
        <v>0</v>
      </c>
      <c r="F17820" s="2">
        <v>1.22699386503067E-2</v>
      </c>
    </row>
    <row r="17821" spans="1:6" x14ac:dyDescent="0.25">
      <c r="A17821" s="1" t="str">
        <f t="shared" si="672"/>
        <v>29900</v>
      </c>
      <c r="B17821" s="1" t="str">
        <f>"28352"</f>
        <v>28352</v>
      </c>
      <c r="C17821" s="2">
        <v>0.61362777387830003</v>
      </c>
      <c r="D17821" s="2">
        <v>0.68910065515187602</v>
      </c>
      <c r="E17821" s="2">
        <v>0.92215568862275399</v>
      </c>
      <c r="F17821" s="2">
        <v>0.62721607651804201</v>
      </c>
    </row>
    <row r="17822" spans="1:6" x14ac:dyDescent="0.25">
      <c r="A17822" s="1" t="str">
        <f t="shared" si="672"/>
        <v>29900</v>
      </c>
      <c r="B17822" s="1" t="str">
        <f>"28343"</f>
        <v>28343</v>
      </c>
      <c r="C17822" s="2">
        <v>4.0224609902273001E-2</v>
      </c>
      <c r="D17822" s="2">
        <v>4.76474091721262E-3</v>
      </c>
      <c r="E17822" s="2">
        <v>6.1876247504989997E-2</v>
      </c>
      <c r="F17822" s="2">
        <v>3.7872566542679002E-2</v>
      </c>
    </row>
    <row r="17823" spans="1:6" x14ac:dyDescent="0.25">
      <c r="A17823" s="1" t="str">
        <f t="shared" si="672"/>
        <v>29900</v>
      </c>
      <c r="B17823" s="1" t="str">
        <f>"28396"</f>
        <v>28396</v>
      </c>
      <c r="C17823" s="2">
        <v>5.9608012526321398E-2</v>
      </c>
      <c r="D17823" s="2">
        <v>2.0845741512805199E-2</v>
      </c>
      <c r="E17823" s="2">
        <v>1.19760479041916E-2</v>
      </c>
      <c r="F17823" s="2">
        <v>5.5311337616540203E-2</v>
      </c>
    </row>
    <row r="17824" spans="1:6" x14ac:dyDescent="0.25">
      <c r="A17824" s="1" t="str">
        <f t="shared" si="672"/>
        <v>29900</v>
      </c>
      <c r="B17824" s="1" t="str">
        <f>"28353"</f>
        <v>28353</v>
      </c>
      <c r="C17824" s="2">
        <v>7.5751849252200201E-2</v>
      </c>
      <c r="D17824" s="2">
        <v>0.19773674806432401</v>
      </c>
      <c r="E17824" s="2">
        <v>1.9960079840319299E-3</v>
      </c>
      <c r="F17824" s="2">
        <v>8.3860683058789395E-2</v>
      </c>
    </row>
    <row r="17825" spans="1:6" x14ac:dyDescent="0.25">
      <c r="A17825" s="1" t="str">
        <f t="shared" si="672"/>
        <v>29900</v>
      </c>
      <c r="B17825" s="1" t="str">
        <f>"28345"</f>
        <v>28345</v>
      </c>
      <c r="C17825" s="2">
        <v>5.4532692619188999E-3</v>
      </c>
      <c r="D17825" s="2">
        <v>5.9559261465157805E-4</v>
      </c>
      <c r="E17825" s="2">
        <v>0</v>
      </c>
      <c r="F17825" s="2">
        <v>4.9272981981546699E-3</v>
      </c>
    </row>
    <row r="17826" spans="1:6" x14ac:dyDescent="0.25">
      <c r="A17826" s="1" t="str">
        <f t="shared" si="672"/>
        <v>29900</v>
      </c>
      <c r="B17826" s="1" t="str">
        <f>"28363"</f>
        <v>28363</v>
      </c>
      <c r="C17826" s="2">
        <v>2.0463257923438199E-2</v>
      </c>
      <c r="D17826" s="2">
        <v>7.1471113758189301E-3</v>
      </c>
      <c r="E17826" s="2">
        <v>0</v>
      </c>
      <c r="F17826" s="2">
        <v>1.8887976426259601E-2</v>
      </c>
    </row>
    <row r="17827" spans="1:6" x14ac:dyDescent="0.25">
      <c r="A17827" s="1" t="str">
        <f t="shared" ref="A17827:A17839" si="673">"29940"</f>
        <v>29940</v>
      </c>
      <c r="B17827" s="1" t="str">
        <f>"66409"</f>
        <v>66409</v>
      </c>
      <c r="C17827" s="2">
        <v>1.44143502865074E-3</v>
      </c>
      <c r="D17827" s="2">
        <v>2.3310023310023299E-4</v>
      </c>
      <c r="E17827" s="2">
        <v>0</v>
      </c>
      <c r="F17827" s="2">
        <v>1.3167614092558599E-3</v>
      </c>
    </row>
    <row r="17828" spans="1:6" x14ac:dyDescent="0.25">
      <c r="A17828" s="1" t="str">
        <f t="shared" si="673"/>
        <v>29940</v>
      </c>
      <c r="B17828" s="1" t="str">
        <f>"66046"</f>
        <v>66046</v>
      </c>
      <c r="C17828" s="2">
        <v>0.18683489340498899</v>
      </c>
      <c r="D17828" s="2">
        <v>0.22983682983682899</v>
      </c>
      <c r="E17828" s="2">
        <v>0.216201117318435</v>
      </c>
      <c r="F17828" s="2">
        <v>0.19064135915470301</v>
      </c>
    </row>
    <row r="17829" spans="1:6" x14ac:dyDescent="0.25">
      <c r="A17829" s="1" t="str">
        <f t="shared" si="673"/>
        <v>29940</v>
      </c>
      <c r="B17829" s="1" t="str">
        <f>"66025"</f>
        <v>66025</v>
      </c>
      <c r="C17829" s="2">
        <v>5.9543723529202397E-2</v>
      </c>
      <c r="D17829" s="2">
        <v>3.2867132867132803E-2</v>
      </c>
      <c r="E17829" s="2">
        <v>1.8994413407821199E-2</v>
      </c>
      <c r="F17829" s="2">
        <v>5.6540450268169701E-2</v>
      </c>
    </row>
    <row r="17830" spans="1:6" x14ac:dyDescent="0.25">
      <c r="A17830" s="1" t="str">
        <f t="shared" si="673"/>
        <v>29940</v>
      </c>
      <c r="B17830" s="1" t="str">
        <f>"66045"</f>
        <v>66045</v>
      </c>
      <c r="C17830" s="2">
        <v>0</v>
      </c>
      <c r="D17830" s="2">
        <v>2.0512820512820499E-2</v>
      </c>
      <c r="E17830" s="2">
        <v>1.67597765363128E-2</v>
      </c>
      <c r="F17830" s="2">
        <v>1.8948517840511199E-3</v>
      </c>
    </row>
    <row r="17831" spans="1:6" x14ac:dyDescent="0.25">
      <c r="A17831" s="1" t="str">
        <f t="shared" si="673"/>
        <v>29940</v>
      </c>
      <c r="B17831" s="1" t="str">
        <f>"66092"</f>
        <v>66092</v>
      </c>
      <c r="C17831" s="2">
        <v>2.1354593017048002E-3</v>
      </c>
      <c r="D17831" s="2">
        <v>2.3310023310023299E-4</v>
      </c>
      <c r="E17831" s="2">
        <v>0</v>
      </c>
      <c r="F17831" s="2">
        <v>1.9430259819507301E-3</v>
      </c>
    </row>
    <row r="17832" spans="1:6" x14ac:dyDescent="0.25">
      <c r="A17832" s="1" t="str">
        <f t="shared" si="673"/>
        <v>29940</v>
      </c>
      <c r="B17832" s="1" t="str">
        <f>"66542"</f>
        <v>66542</v>
      </c>
      <c r="C17832" s="2">
        <v>1.7795494180873399E-5</v>
      </c>
      <c r="D17832" s="2">
        <v>0</v>
      </c>
      <c r="E17832" s="2">
        <v>0</v>
      </c>
      <c r="F17832" s="2">
        <v>1.6058065966534899E-5</v>
      </c>
    </row>
    <row r="17833" spans="1:6" x14ac:dyDescent="0.25">
      <c r="A17833" s="1" t="str">
        <f t="shared" si="673"/>
        <v>29940</v>
      </c>
      <c r="B17833" s="1" t="str">
        <f>"66050"</f>
        <v>66050</v>
      </c>
      <c r="C17833" s="2">
        <v>1.21899135138982E-2</v>
      </c>
      <c r="D17833" s="2">
        <v>3.9627039627039597E-3</v>
      </c>
      <c r="E17833" s="2">
        <v>2.2346368715083702E-3</v>
      </c>
      <c r="F17833" s="2">
        <v>1.13369945723737E-2</v>
      </c>
    </row>
    <row r="17834" spans="1:6" x14ac:dyDescent="0.25">
      <c r="A17834" s="1" t="str">
        <f t="shared" si="673"/>
        <v>29940</v>
      </c>
      <c r="B17834" s="1" t="str">
        <f>"66049"</f>
        <v>66049</v>
      </c>
      <c r="C17834" s="2">
        <v>0.27743175427981598</v>
      </c>
      <c r="D17834" s="2">
        <v>0.16946386946386899</v>
      </c>
      <c r="E17834" s="2">
        <v>0.172625698324022</v>
      </c>
      <c r="F17834" s="2">
        <v>0.26698140475961002</v>
      </c>
    </row>
    <row r="17835" spans="1:6" x14ac:dyDescent="0.25">
      <c r="A17835" s="1" t="str">
        <f t="shared" si="673"/>
        <v>29940</v>
      </c>
      <c r="B17835" s="1" t="str">
        <f>"66044"</f>
        <v>66044</v>
      </c>
      <c r="C17835" s="2">
        <v>0.24346015588852901</v>
      </c>
      <c r="D17835" s="2">
        <v>0.43822843822843799</v>
      </c>
      <c r="E17835" s="2">
        <v>0.45251396648044601</v>
      </c>
      <c r="F17835" s="2">
        <v>0.26288659793814401</v>
      </c>
    </row>
    <row r="17836" spans="1:6" x14ac:dyDescent="0.25">
      <c r="A17836" s="1" t="str">
        <f t="shared" si="673"/>
        <v>29940</v>
      </c>
      <c r="B17836" s="1" t="str">
        <f>"66021"</f>
        <v>66021</v>
      </c>
      <c r="C17836" s="2">
        <v>1.2812755810228801E-3</v>
      </c>
      <c r="D17836" s="2">
        <v>0</v>
      </c>
      <c r="E17836" s="2">
        <v>0</v>
      </c>
      <c r="F17836" s="2">
        <v>1.15618074959051E-3</v>
      </c>
    </row>
    <row r="17837" spans="1:6" x14ac:dyDescent="0.25">
      <c r="A17837" s="1" t="str">
        <f t="shared" si="673"/>
        <v>29940</v>
      </c>
      <c r="B17837" s="1" t="str">
        <f>"66524"</f>
        <v>66524</v>
      </c>
      <c r="C17837" s="2">
        <v>3.7370537779834101E-4</v>
      </c>
      <c r="D17837" s="2">
        <v>0</v>
      </c>
      <c r="E17837" s="2">
        <v>0</v>
      </c>
      <c r="F17837" s="2">
        <v>3.3721938529723399E-4</v>
      </c>
    </row>
    <row r="17838" spans="1:6" x14ac:dyDescent="0.25">
      <c r="A17838" s="1" t="str">
        <f t="shared" si="673"/>
        <v>29940</v>
      </c>
      <c r="B17838" s="1" t="str">
        <f>"66047"</f>
        <v>66047</v>
      </c>
      <c r="C17838" s="2">
        <v>0.16245506637719301</v>
      </c>
      <c r="D17838" s="2">
        <v>7.7855477855477806E-2</v>
      </c>
      <c r="E17838" s="2">
        <v>0.101117318435754</v>
      </c>
      <c r="F17838" s="2">
        <v>0.15486398818126301</v>
      </c>
    </row>
    <row r="17839" spans="1:6" x14ac:dyDescent="0.25">
      <c r="A17839" s="1" t="str">
        <f t="shared" si="673"/>
        <v>29940</v>
      </c>
      <c r="B17839" s="1" t="str">
        <f>"66006"</f>
        <v>66006</v>
      </c>
      <c r="C17839" s="2">
        <v>5.2834822223013098E-2</v>
      </c>
      <c r="D17839" s="2">
        <v>2.6806526806526801E-2</v>
      </c>
      <c r="E17839" s="2">
        <v>1.95530726256983E-2</v>
      </c>
      <c r="F17839" s="2">
        <v>5.0085107749622597E-2</v>
      </c>
    </row>
    <row r="17840" spans="1:6" x14ac:dyDescent="0.25">
      <c r="A17840" s="1" t="str">
        <f t="shared" ref="A17840:A17850" si="674">"29980"</f>
        <v>29980</v>
      </c>
      <c r="B17840" s="1" t="str">
        <f>"38463"</f>
        <v>38463</v>
      </c>
      <c r="C17840" s="2">
        <v>2.4672138881026501E-2</v>
      </c>
      <c r="D17840" s="2">
        <v>1.03412616339193E-2</v>
      </c>
      <c r="E17840" s="2">
        <v>0</v>
      </c>
      <c r="F17840" s="2">
        <v>2.3205128205128201E-2</v>
      </c>
    </row>
    <row r="17841" spans="1:6" x14ac:dyDescent="0.25">
      <c r="A17841" s="1" t="str">
        <f t="shared" si="674"/>
        <v>29980</v>
      </c>
      <c r="B17841" s="1" t="str">
        <f>"38464"</f>
        <v>38464</v>
      </c>
      <c r="C17841" s="2">
        <v>0.51967166713840895</v>
      </c>
      <c r="D17841" s="2">
        <v>0.70062047569803498</v>
      </c>
      <c r="E17841" s="2">
        <v>0.88805970149253699</v>
      </c>
      <c r="F17841" s="2">
        <v>0.53884615384615298</v>
      </c>
    </row>
    <row r="17842" spans="1:6" x14ac:dyDescent="0.25">
      <c r="A17842" s="1" t="str">
        <f t="shared" si="674"/>
        <v>29980</v>
      </c>
      <c r="B17842" s="1" t="str">
        <f>"38469"</f>
        <v>38469</v>
      </c>
      <c r="C17842" s="2">
        <v>9.8169638645155197E-2</v>
      </c>
      <c r="D17842" s="2">
        <v>8.4281282316442593E-2</v>
      </c>
      <c r="E17842" s="2">
        <v>5.9701492537313397E-2</v>
      </c>
      <c r="F17842" s="2">
        <v>9.6581196581196502E-2</v>
      </c>
    </row>
    <row r="17843" spans="1:6" x14ac:dyDescent="0.25">
      <c r="A17843" s="1" t="str">
        <f t="shared" si="674"/>
        <v>29980</v>
      </c>
      <c r="B17843" s="1" t="str">
        <f>"38486"</f>
        <v>38486</v>
      </c>
      <c r="C17843" s="2">
        <v>2.2549297103500301E-2</v>
      </c>
      <c r="D17843" s="2">
        <v>2.5853154084798302E-3</v>
      </c>
      <c r="E17843" s="2">
        <v>0</v>
      </c>
      <c r="F17843" s="2">
        <v>2.0641025641025601E-2</v>
      </c>
    </row>
    <row r="17844" spans="1:6" x14ac:dyDescent="0.25">
      <c r="A17844" s="1" t="str">
        <f t="shared" si="674"/>
        <v>29980</v>
      </c>
      <c r="B17844" s="1" t="str">
        <f>"38473"</f>
        <v>38473</v>
      </c>
      <c r="C17844" s="2">
        <v>7.0761392584205998E-4</v>
      </c>
      <c r="D17844" s="2">
        <v>5.1706308169596597E-4</v>
      </c>
      <c r="E17844" s="2">
        <v>0</v>
      </c>
      <c r="F17844" s="2">
        <v>6.83760683760683E-4</v>
      </c>
    </row>
    <row r="17845" spans="1:6" x14ac:dyDescent="0.25">
      <c r="A17845" s="1" t="str">
        <f t="shared" si="674"/>
        <v>29980</v>
      </c>
      <c r="B17845" s="1" t="str">
        <f>"38481"</f>
        <v>38481</v>
      </c>
      <c r="C17845" s="2">
        <v>2.4341919048966799E-2</v>
      </c>
      <c r="D17845" s="2">
        <v>1.4994829369183E-2</v>
      </c>
      <c r="E17845" s="2">
        <v>3.7313432835820799E-3</v>
      </c>
      <c r="F17845" s="2">
        <v>2.33333333333333E-2</v>
      </c>
    </row>
    <row r="17846" spans="1:6" x14ac:dyDescent="0.25">
      <c r="A17846" s="1" t="str">
        <f t="shared" si="674"/>
        <v>29980</v>
      </c>
      <c r="B17846" s="1" t="str">
        <f>"38456"</f>
        <v>38456</v>
      </c>
      <c r="C17846" s="2">
        <v>7.6469478252665299E-2</v>
      </c>
      <c r="D17846" s="2">
        <v>6.9286452947259505E-2</v>
      </c>
      <c r="E17846" s="2">
        <v>1.11940298507462E-2</v>
      </c>
      <c r="F17846" s="2">
        <v>7.5128205128205103E-2</v>
      </c>
    </row>
    <row r="17847" spans="1:6" x14ac:dyDescent="0.25">
      <c r="A17847" s="1" t="str">
        <f t="shared" si="674"/>
        <v>29980</v>
      </c>
      <c r="B17847" s="1" t="str">
        <f>"38474"</f>
        <v>38474</v>
      </c>
      <c r="C17847" s="2">
        <v>6.4156995943013403E-3</v>
      </c>
      <c r="D17847" s="2">
        <v>3.1023784901757999E-3</v>
      </c>
      <c r="E17847" s="2">
        <v>0</v>
      </c>
      <c r="F17847" s="2">
        <v>6.0683760683760603E-3</v>
      </c>
    </row>
    <row r="17848" spans="1:6" x14ac:dyDescent="0.25">
      <c r="A17848" s="1" t="str">
        <f t="shared" si="674"/>
        <v>29980</v>
      </c>
      <c r="B17848" s="1" t="str">
        <f>"38483"</f>
        <v>38483</v>
      </c>
      <c r="C17848" s="2">
        <v>9.1282196433625798E-2</v>
      </c>
      <c r="D17848" s="2">
        <v>4.0847983453981301E-2</v>
      </c>
      <c r="E17848" s="2">
        <v>2.9850746268656699E-2</v>
      </c>
      <c r="F17848" s="2">
        <v>8.6410256410256403E-2</v>
      </c>
    </row>
    <row r="17849" spans="1:6" x14ac:dyDescent="0.25">
      <c r="A17849" s="1" t="str">
        <f t="shared" si="674"/>
        <v>29980</v>
      </c>
      <c r="B17849" s="1" t="str">
        <f>"38457"</f>
        <v>38457</v>
      </c>
      <c r="C17849" s="2">
        <v>2.09453722049249E-2</v>
      </c>
      <c r="D17849" s="2">
        <v>1.4994829369183E-2</v>
      </c>
      <c r="E17849" s="2">
        <v>0</v>
      </c>
      <c r="F17849" s="2">
        <v>2.0213675213675199E-2</v>
      </c>
    </row>
    <row r="17850" spans="1:6" x14ac:dyDescent="0.25">
      <c r="A17850" s="1" t="str">
        <f t="shared" si="674"/>
        <v>29980</v>
      </c>
      <c r="B17850" s="1" t="str">
        <f>"38468"</f>
        <v>38468</v>
      </c>
      <c r="C17850" s="2">
        <v>0.11477497877158201</v>
      </c>
      <c r="D17850" s="2">
        <v>5.84281282316442E-2</v>
      </c>
      <c r="E17850" s="2">
        <v>7.4626865671641703E-3</v>
      </c>
      <c r="F17850" s="2">
        <v>0.10888888888888799</v>
      </c>
    </row>
    <row r="17851" spans="1:6" x14ac:dyDescent="0.25">
      <c r="A17851" s="1" t="str">
        <f t="shared" ref="A17851:A17873" si="675">"30020"</f>
        <v>30020</v>
      </c>
      <c r="B17851" s="1" t="str">
        <f>"73502"</f>
        <v>73502</v>
      </c>
      <c r="C17851" s="2">
        <v>3.72301663130961E-2</v>
      </c>
      <c r="D17851" s="2">
        <v>9.2463923035809706E-2</v>
      </c>
      <c r="E17851" s="2">
        <v>0</v>
      </c>
      <c r="F17851" s="2">
        <v>3.9874913330786299E-2</v>
      </c>
    </row>
    <row r="17852" spans="1:6" x14ac:dyDescent="0.25">
      <c r="A17852" s="1" t="str">
        <f t="shared" si="675"/>
        <v>30020</v>
      </c>
      <c r="B17852" s="1" t="str">
        <f>"73541"</f>
        <v>73541</v>
      </c>
      <c r="C17852" s="2">
        <v>2.0857961814383499E-2</v>
      </c>
      <c r="D17852" s="2">
        <v>3.5631569570639498E-3</v>
      </c>
      <c r="E17852" s="2">
        <v>1.51194436044753E-3</v>
      </c>
      <c r="F17852" s="2">
        <v>1.8579049397914198E-2</v>
      </c>
    </row>
    <row r="17853" spans="1:6" x14ac:dyDescent="0.25">
      <c r="A17853" s="1" t="str">
        <f t="shared" si="675"/>
        <v>30020</v>
      </c>
      <c r="B17853" s="1" t="str">
        <f>"73528"</f>
        <v>73528</v>
      </c>
      <c r="C17853" s="2">
        <v>4.3076225486226903E-3</v>
      </c>
      <c r="D17853" s="2">
        <v>2.85052556565116E-3</v>
      </c>
      <c r="E17853" s="2">
        <v>3.0238887208950701E-4</v>
      </c>
      <c r="F17853" s="2">
        <v>4.00447142392211E-3</v>
      </c>
    </row>
    <row r="17854" spans="1:6" x14ac:dyDescent="0.25">
      <c r="A17854" s="1" t="str">
        <f t="shared" si="675"/>
        <v>30020</v>
      </c>
      <c r="B17854" s="1" t="str">
        <f>"73538"</f>
        <v>73538</v>
      </c>
      <c r="C17854" s="2">
        <v>4.3400106880860198E-2</v>
      </c>
      <c r="D17854" s="2">
        <v>1.9419205415998501E-2</v>
      </c>
      <c r="E17854" s="2">
        <v>1.39098881161173E-2</v>
      </c>
      <c r="F17854" s="2">
        <v>4.0115464617735699E-2</v>
      </c>
    </row>
    <row r="17855" spans="1:6" x14ac:dyDescent="0.25">
      <c r="A17855" s="1" t="str">
        <f t="shared" si="675"/>
        <v>30020</v>
      </c>
      <c r="B17855" s="1" t="str">
        <f>"73505"</f>
        <v>73505</v>
      </c>
      <c r="C17855" s="2">
        <v>0.37693316707421698</v>
      </c>
      <c r="D17855" s="2">
        <v>0.26581150899697098</v>
      </c>
      <c r="E17855" s="2">
        <v>0.24100393105533699</v>
      </c>
      <c r="F17855" s="2">
        <v>0.36174668534476601</v>
      </c>
    </row>
    <row r="17856" spans="1:6" x14ac:dyDescent="0.25">
      <c r="A17856" s="1" t="str">
        <f t="shared" si="675"/>
        <v>30020</v>
      </c>
      <c r="B17856" s="1" t="str">
        <f>"73527"</f>
        <v>73527</v>
      </c>
      <c r="C17856" s="2">
        <v>3.1416495279428601E-2</v>
      </c>
      <c r="D17856" s="2">
        <v>7.30447176198111E-3</v>
      </c>
      <c r="E17856" s="2">
        <v>9.6764439068642207E-3</v>
      </c>
      <c r="F17856" s="2">
        <v>2.84841023899477E-2</v>
      </c>
    </row>
    <row r="17857" spans="1:6" x14ac:dyDescent="0.25">
      <c r="A17857" s="1" t="str">
        <f t="shared" si="675"/>
        <v>30020</v>
      </c>
      <c r="B17857" s="1" t="str">
        <f>"73082"</f>
        <v>73082</v>
      </c>
      <c r="C17857" s="2">
        <v>3.2388139463328502E-4</v>
      </c>
      <c r="D17857" s="2">
        <v>0</v>
      </c>
      <c r="E17857" s="2">
        <v>0</v>
      </c>
      <c r="F17857" s="2">
        <v>2.8300151405810003E-4</v>
      </c>
    </row>
    <row r="17858" spans="1:6" x14ac:dyDescent="0.25">
      <c r="A17858" s="1" t="str">
        <f t="shared" si="675"/>
        <v>30020</v>
      </c>
      <c r="B17858" s="1" t="str">
        <f>"73568"</f>
        <v>73568</v>
      </c>
      <c r="C17858" s="2">
        <v>9.6840536995352298E-3</v>
      </c>
      <c r="D17858" s="2">
        <v>2.4942098699447701E-3</v>
      </c>
      <c r="E17858" s="2">
        <v>9.0716661626852096E-4</v>
      </c>
      <c r="F17858" s="2">
        <v>8.7022965572865797E-3</v>
      </c>
    </row>
    <row r="17859" spans="1:6" x14ac:dyDescent="0.25">
      <c r="A17859" s="1" t="str">
        <f t="shared" si="675"/>
        <v>30020</v>
      </c>
      <c r="B17859" s="1" t="str">
        <f>"73503"</f>
        <v>73503</v>
      </c>
      <c r="C17859" s="2">
        <v>4.0371815841039001E-2</v>
      </c>
      <c r="D17859" s="2">
        <v>9.0682344557277694E-2</v>
      </c>
      <c r="E17859" s="2">
        <v>0.33655881463562098</v>
      </c>
      <c r="F17859" s="2">
        <v>5.8227561517454098E-2</v>
      </c>
    </row>
    <row r="17860" spans="1:6" x14ac:dyDescent="0.25">
      <c r="A17860" s="1" t="str">
        <f t="shared" si="675"/>
        <v>30020</v>
      </c>
      <c r="B17860" s="1" t="str">
        <f>"73572"</f>
        <v>73572</v>
      </c>
      <c r="C17860" s="2">
        <v>3.5238295736101398E-2</v>
      </c>
      <c r="D17860" s="2">
        <v>3.09994655264564E-2</v>
      </c>
      <c r="E17860" s="2">
        <v>5.1406108255216201E-3</v>
      </c>
      <c r="F17860" s="2">
        <v>3.3493229188776098E-2</v>
      </c>
    </row>
    <row r="17861" spans="1:6" x14ac:dyDescent="0.25">
      <c r="A17861" s="1" t="str">
        <f t="shared" si="675"/>
        <v>30020</v>
      </c>
      <c r="B17861" s="1" t="str">
        <f>"73540"</f>
        <v>73540</v>
      </c>
      <c r="C17861" s="2">
        <v>3.8541885961360899E-3</v>
      </c>
      <c r="D17861" s="2">
        <v>1.9597363263851699E-3</v>
      </c>
      <c r="E17861" s="2">
        <v>3.0238887208950701E-4</v>
      </c>
      <c r="F17861" s="2">
        <v>3.5375189257262499E-3</v>
      </c>
    </row>
    <row r="17862" spans="1:6" x14ac:dyDescent="0.25">
      <c r="A17862" s="1" t="str">
        <f t="shared" si="675"/>
        <v>30020</v>
      </c>
      <c r="B17862" s="1" t="str">
        <f>"73017"</f>
        <v>73017</v>
      </c>
      <c r="C17862" s="2">
        <v>5.8298651033991298E-4</v>
      </c>
      <c r="D17862" s="2">
        <v>0</v>
      </c>
      <c r="E17862" s="2">
        <v>0</v>
      </c>
      <c r="F17862" s="2">
        <v>5.0940272530458001E-4</v>
      </c>
    </row>
    <row r="17863" spans="1:6" x14ac:dyDescent="0.25">
      <c r="A17863" s="1" t="str">
        <f t="shared" si="675"/>
        <v>30020</v>
      </c>
      <c r="B17863" s="1" t="str">
        <f>"73557"</f>
        <v>73557</v>
      </c>
      <c r="C17863" s="2">
        <v>4.8582209194992699E-5</v>
      </c>
      <c r="D17863" s="2">
        <v>0</v>
      </c>
      <c r="E17863" s="2">
        <v>6.0477774417901401E-4</v>
      </c>
      <c r="F17863" s="2">
        <v>7.0750378514525006E-5</v>
      </c>
    </row>
    <row r="17864" spans="1:6" x14ac:dyDescent="0.25">
      <c r="A17864" s="1" t="str">
        <f t="shared" si="675"/>
        <v>30020</v>
      </c>
      <c r="B17864" s="1" t="str">
        <f>"73531"</f>
        <v>73531</v>
      </c>
      <c r="C17864" s="2">
        <v>6.1699405677640802E-3</v>
      </c>
      <c r="D17864" s="2">
        <v>5.1665775877427402E-3</v>
      </c>
      <c r="E17864" s="2">
        <v>3.0238887208950701E-4</v>
      </c>
      <c r="F17864" s="2">
        <v>5.8156811138939503E-3</v>
      </c>
    </row>
    <row r="17865" spans="1:6" x14ac:dyDescent="0.25">
      <c r="A17865" s="1" t="str">
        <f t="shared" si="675"/>
        <v>30020</v>
      </c>
      <c r="B17865" s="1" t="str">
        <f>"73507"</f>
        <v>73507</v>
      </c>
      <c r="C17865" s="2">
        <v>0.182021343783906</v>
      </c>
      <c r="D17865" s="2">
        <v>9.2642080883662895E-2</v>
      </c>
      <c r="E17865" s="2">
        <v>0.19141215603265699</v>
      </c>
      <c r="F17865" s="2">
        <v>0.17536188818610099</v>
      </c>
    </row>
    <row r="17866" spans="1:6" x14ac:dyDescent="0.25">
      <c r="A17866" s="1" t="str">
        <f t="shared" si="675"/>
        <v>30020</v>
      </c>
      <c r="B17866" s="1" t="str">
        <f>"73562"</f>
        <v>73562</v>
      </c>
      <c r="C17866" s="2">
        <v>4.9715794076209199E-3</v>
      </c>
      <c r="D17866" s="2">
        <v>8.9078923926598898E-4</v>
      </c>
      <c r="E17866" s="2">
        <v>3.0238887208950701E-4</v>
      </c>
      <c r="F17866" s="2">
        <v>4.4289736950092603E-3</v>
      </c>
    </row>
    <row r="17867" spans="1:6" x14ac:dyDescent="0.25">
      <c r="A17867" s="1" t="str">
        <f t="shared" si="675"/>
        <v>30020</v>
      </c>
      <c r="B17867" s="1" t="str">
        <f>"73006"</f>
        <v>73006</v>
      </c>
      <c r="C17867" s="2">
        <v>8.0808407961004605E-3</v>
      </c>
      <c r="D17867" s="2">
        <v>8.9078923926598898E-4</v>
      </c>
      <c r="E17867" s="2">
        <v>0</v>
      </c>
      <c r="F17867" s="2">
        <v>7.1316381542641197E-3</v>
      </c>
    </row>
    <row r="17868" spans="1:6" x14ac:dyDescent="0.25">
      <c r="A17868" s="1" t="str">
        <f t="shared" si="675"/>
        <v>30020</v>
      </c>
      <c r="B17868" s="1" t="str">
        <f>"73543"</f>
        <v>73543</v>
      </c>
      <c r="C17868" s="2">
        <v>1.24046574144548E-2</v>
      </c>
      <c r="D17868" s="2">
        <v>2.1378941742383698E-3</v>
      </c>
      <c r="E17868" s="2">
        <v>9.0716661626852096E-4</v>
      </c>
      <c r="F17868" s="2">
        <v>1.10512091239688E-2</v>
      </c>
    </row>
    <row r="17869" spans="1:6" x14ac:dyDescent="0.25">
      <c r="A17869" s="1" t="str">
        <f t="shared" si="675"/>
        <v>30020</v>
      </c>
      <c r="B17869" s="1" t="str">
        <f>"73055"</f>
        <v>73055</v>
      </c>
      <c r="C17869" s="2">
        <v>4.8582209194992701E-4</v>
      </c>
      <c r="D17869" s="2">
        <v>0</v>
      </c>
      <c r="E17869" s="2">
        <v>0</v>
      </c>
      <c r="F17869" s="2">
        <v>4.2450227108715001E-4</v>
      </c>
    </row>
    <row r="17870" spans="1:6" x14ac:dyDescent="0.25">
      <c r="A17870" s="1" t="str">
        <f t="shared" si="675"/>
        <v>30020</v>
      </c>
      <c r="B17870" s="1" t="str">
        <f>"73552"</f>
        <v>73552</v>
      </c>
      <c r="C17870" s="2">
        <v>1.01860698612168E-2</v>
      </c>
      <c r="D17870" s="2">
        <v>1.2471049349723801E-3</v>
      </c>
      <c r="E17870" s="2">
        <v>0</v>
      </c>
      <c r="F17870" s="2">
        <v>8.9994481470475791E-3</v>
      </c>
    </row>
    <row r="17871" spans="1:6" x14ac:dyDescent="0.25">
      <c r="A17871" s="1" t="str">
        <f t="shared" si="675"/>
        <v>30020</v>
      </c>
      <c r="B17871" s="1" t="str">
        <f>"73506"</f>
        <v>73506</v>
      </c>
      <c r="C17871" s="2">
        <v>1.8930867516315501E-2</v>
      </c>
      <c r="D17871" s="2">
        <v>3.7769463744877899E-2</v>
      </c>
      <c r="E17871" s="2">
        <v>3.0238887208950701E-4</v>
      </c>
      <c r="F17871" s="2">
        <v>1.9555404621414699E-2</v>
      </c>
    </row>
    <row r="17872" spans="1:6" x14ac:dyDescent="0.25">
      <c r="A17872" s="1" t="str">
        <f t="shared" si="675"/>
        <v>30020</v>
      </c>
      <c r="B17872" s="1" t="str">
        <f>"73501"</f>
        <v>73501</v>
      </c>
      <c r="C17872" s="2">
        <v>0.15248336059334999</v>
      </c>
      <c r="D17872" s="2">
        <v>0.34170675218243302</v>
      </c>
      <c r="E17872" s="2">
        <v>0.19655276685817899</v>
      </c>
      <c r="F17872" s="2">
        <v>0.169574507223613</v>
      </c>
    </row>
    <row r="17873" spans="1:6" x14ac:dyDescent="0.25">
      <c r="A17873" s="1" t="str">
        <f t="shared" si="675"/>
        <v>30020</v>
      </c>
      <c r="B17873" s="1" t="str">
        <f>"73567"</f>
        <v>73567</v>
      </c>
      <c r="C17873" s="2">
        <v>1.61940697316642E-5</v>
      </c>
      <c r="D17873" s="2">
        <v>0</v>
      </c>
      <c r="E17873" s="2">
        <v>3.0238887208950701E-4</v>
      </c>
      <c r="F17873" s="2">
        <v>2.8300151405809998E-5</v>
      </c>
    </row>
    <row r="17874" spans="1:6" x14ac:dyDescent="0.25">
      <c r="A17874" s="1" t="str">
        <f t="shared" ref="A17874:A17887" si="676">"30060"</f>
        <v>30060</v>
      </c>
      <c r="B17874" s="1" t="str">
        <f>"65552"</f>
        <v>65552</v>
      </c>
      <c r="C17874" s="2">
        <v>1.87012987012987E-3</v>
      </c>
      <c r="D17874" s="2">
        <v>0</v>
      </c>
      <c r="E17874" s="2">
        <v>0</v>
      </c>
      <c r="F17874" s="2">
        <v>1.6827934371055899E-3</v>
      </c>
    </row>
    <row r="17875" spans="1:6" x14ac:dyDescent="0.25">
      <c r="A17875" s="1" t="str">
        <f t="shared" si="676"/>
        <v>30060</v>
      </c>
      <c r="B17875" s="1" t="str">
        <f>"65534"</f>
        <v>65534</v>
      </c>
      <c r="C17875" s="2">
        <v>1.0389610389610301E-3</v>
      </c>
      <c r="D17875" s="2">
        <v>5.86166471277842E-4</v>
      </c>
      <c r="E17875" s="2">
        <v>0</v>
      </c>
      <c r="F17875" s="2">
        <v>9.816295049782629E-4</v>
      </c>
    </row>
    <row r="17876" spans="1:6" x14ac:dyDescent="0.25">
      <c r="A17876" s="1" t="str">
        <f t="shared" si="676"/>
        <v>30060</v>
      </c>
      <c r="B17876" s="1" t="str">
        <f>"65632"</f>
        <v>65632</v>
      </c>
      <c r="C17876" s="2">
        <v>4.3792207792207702E-2</v>
      </c>
      <c r="D17876" s="2">
        <v>1.5240328253223899E-2</v>
      </c>
      <c r="E17876" s="2">
        <v>2.0594965675057201E-2</v>
      </c>
      <c r="F17876" s="2">
        <v>4.1041462160519702E-2</v>
      </c>
    </row>
    <row r="17877" spans="1:6" x14ac:dyDescent="0.25">
      <c r="A17877" s="1" t="str">
        <f t="shared" si="676"/>
        <v>30060</v>
      </c>
      <c r="B17877" s="1" t="str">
        <f>"65020"</f>
        <v>65020</v>
      </c>
      <c r="C17877" s="2">
        <v>1.55844155844155E-4</v>
      </c>
      <c r="D17877" s="2">
        <v>0</v>
      </c>
      <c r="E17877" s="2">
        <v>0</v>
      </c>
      <c r="F17877" s="2">
        <v>1.4023278642546599E-4</v>
      </c>
    </row>
    <row r="17878" spans="1:6" x14ac:dyDescent="0.25">
      <c r="A17878" s="1" t="str">
        <f t="shared" si="676"/>
        <v>30060</v>
      </c>
      <c r="B17878" s="1" t="str">
        <f>"65543"</f>
        <v>65543</v>
      </c>
      <c r="C17878" s="2">
        <v>9.0909090909090905E-3</v>
      </c>
      <c r="D17878" s="2">
        <v>2.9308323563892102E-3</v>
      </c>
      <c r="E17878" s="2">
        <v>4.5766590389016001E-3</v>
      </c>
      <c r="F17878" s="2">
        <v>8.5074557098116198E-3</v>
      </c>
    </row>
    <row r="17879" spans="1:6" x14ac:dyDescent="0.25">
      <c r="A17879" s="1" t="str">
        <f t="shared" si="676"/>
        <v>30060</v>
      </c>
      <c r="B17879" s="1" t="str">
        <f>"65590"</f>
        <v>65590</v>
      </c>
      <c r="C17879" s="2">
        <v>3.1168831168831103E-4</v>
      </c>
      <c r="D17879" s="2">
        <v>0</v>
      </c>
      <c r="E17879" s="2">
        <v>0</v>
      </c>
      <c r="F17879" s="2">
        <v>2.8046557285093198E-4</v>
      </c>
    </row>
    <row r="17880" spans="1:6" x14ac:dyDescent="0.25">
      <c r="A17880" s="1" t="str">
        <f t="shared" si="676"/>
        <v>30060</v>
      </c>
      <c r="B17880" s="1" t="str">
        <f>"65567"</f>
        <v>65567</v>
      </c>
      <c r="C17880" s="2">
        <v>5.6623376623376603E-3</v>
      </c>
      <c r="D17880" s="2">
        <v>1.1723329425556801E-3</v>
      </c>
      <c r="E17880" s="2">
        <v>0</v>
      </c>
      <c r="F17880" s="2">
        <v>5.18861309774225E-3</v>
      </c>
    </row>
    <row r="17881" spans="1:6" x14ac:dyDescent="0.25">
      <c r="A17881" s="1" t="str">
        <f t="shared" si="676"/>
        <v>30060</v>
      </c>
      <c r="B17881" s="1" t="str">
        <f>"65536"</f>
        <v>65536</v>
      </c>
      <c r="C17881" s="2">
        <v>0.81485714285714195</v>
      </c>
      <c r="D17881" s="2">
        <v>0.94900351699882701</v>
      </c>
      <c r="E17881" s="2">
        <v>0.935926773455377</v>
      </c>
      <c r="F17881" s="2">
        <v>0.82802785958023595</v>
      </c>
    </row>
    <row r="17882" spans="1:6" x14ac:dyDescent="0.25">
      <c r="A17882" s="1" t="str">
        <f t="shared" si="676"/>
        <v>30060</v>
      </c>
      <c r="B17882" s="1" t="str">
        <f>"65662"</f>
        <v>65662</v>
      </c>
      <c r="C17882" s="2">
        <v>1.02857142857142E-2</v>
      </c>
      <c r="D17882" s="2">
        <v>1.1723329425556801E-3</v>
      </c>
      <c r="E17882" s="2">
        <v>0</v>
      </c>
      <c r="F17882" s="2">
        <v>9.3488524283644094E-3</v>
      </c>
    </row>
    <row r="17883" spans="1:6" x14ac:dyDescent="0.25">
      <c r="A17883" s="1" t="str">
        <f t="shared" si="676"/>
        <v>30060</v>
      </c>
      <c r="B17883" s="1" t="str">
        <f>"65556"</f>
        <v>65556</v>
      </c>
      <c r="C17883" s="2">
        <v>2.0415584415584401E-2</v>
      </c>
      <c r="D17883" s="2">
        <v>9.9648300117233194E-3</v>
      </c>
      <c r="E17883" s="2">
        <v>3.20366132723112E-2</v>
      </c>
      <c r="F17883" s="2">
        <v>1.9819567148132499E-2</v>
      </c>
    </row>
    <row r="17884" spans="1:6" x14ac:dyDescent="0.25">
      <c r="A17884" s="1" t="str">
        <f t="shared" si="676"/>
        <v>30060</v>
      </c>
      <c r="B17884" s="1" t="str">
        <f>"65463"</f>
        <v>65463</v>
      </c>
      <c r="C17884" s="2">
        <v>2.73246753246753E-2</v>
      </c>
      <c r="D17884" s="2">
        <v>1.7584994138335199E-3</v>
      </c>
      <c r="E17884" s="2">
        <v>2.2883295194508001E-3</v>
      </c>
      <c r="F17884" s="2">
        <v>2.4774458935165701E-2</v>
      </c>
    </row>
    <row r="17885" spans="1:6" x14ac:dyDescent="0.25">
      <c r="A17885" s="1" t="str">
        <f t="shared" si="676"/>
        <v>30060</v>
      </c>
      <c r="B17885" s="1" t="str">
        <f>"65470"</f>
        <v>65470</v>
      </c>
      <c r="C17885" s="2">
        <v>2.8207792207792199E-2</v>
      </c>
      <c r="D17885" s="2">
        <v>7.6201641266119497E-3</v>
      </c>
      <c r="E17885" s="2">
        <v>2.2883295194508001E-3</v>
      </c>
      <c r="F17885" s="2">
        <v>2.60365540129949E-2</v>
      </c>
    </row>
    <row r="17886" spans="1:6" x14ac:dyDescent="0.25">
      <c r="A17886" s="1" t="str">
        <f t="shared" si="676"/>
        <v>30060</v>
      </c>
      <c r="B17886" s="1" t="str">
        <f>"65722"</f>
        <v>65722</v>
      </c>
      <c r="C17886" s="2">
        <v>3.6883116883116802E-2</v>
      </c>
      <c r="D17886" s="2">
        <v>1.0550996483001099E-2</v>
      </c>
      <c r="E17886" s="2">
        <v>2.2883295194508001E-3</v>
      </c>
      <c r="F17886" s="2">
        <v>3.4076567101388303E-2</v>
      </c>
    </row>
    <row r="17887" spans="1:6" x14ac:dyDescent="0.25">
      <c r="A17887" s="1" t="str">
        <f t="shared" si="676"/>
        <v>30060</v>
      </c>
      <c r="B17887" s="1" t="str">
        <f>"65713"</f>
        <v>65713</v>
      </c>
      <c r="C17887" s="2">
        <v>1.0389610389610299E-4</v>
      </c>
      <c r="D17887" s="2">
        <v>0</v>
      </c>
      <c r="E17887" s="2">
        <v>0</v>
      </c>
      <c r="F17887" s="2">
        <v>9.3488524283644097E-5</v>
      </c>
    </row>
    <row r="17888" spans="1:6" x14ac:dyDescent="0.25">
      <c r="A17888" s="1" t="str">
        <f t="shared" ref="A17888:A17919" si="677">"30100"</f>
        <v>30100</v>
      </c>
      <c r="B17888" s="1" t="str">
        <f>"05074"</f>
        <v>05074</v>
      </c>
      <c r="C17888" s="2">
        <v>8.8200532731217608E-6</v>
      </c>
      <c r="D17888" s="2">
        <v>5.8251296091338E-5</v>
      </c>
      <c r="E17888" s="2">
        <v>0</v>
      </c>
      <c r="F17888" s="2">
        <v>1.46900041866511E-5</v>
      </c>
    </row>
    <row r="17889" spans="1:6" x14ac:dyDescent="0.25">
      <c r="A17889" s="1" t="str">
        <f t="shared" si="677"/>
        <v>30100</v>
      </c>
      <c r="B17889" s="1" t="str">
        <f>"03243"</f>
        <v>03243</v>
      </c>
      <c r="C17889" s="2">
        <v>1.76401065462435E-4</v>
      </c>
      <c r="D17889" s="2">
        <v>5.8251296091338E-5</v>
      </c>
      <c r="E17889" s="2">
        <v>0</v>
      </c>
      <c r="F17889" s="2">
        <v>1.54245043959837E-4</v>
      </c>
    </row>
    <row r="17890" spans="1:6" x14ac:dyDescent="0.25">
      <c r="A17890" s="1" t="str">
        <f t="shared" si="677"/>
        <v>30100</v>
      </c>
      <c r="B17890" s="1" t="str">
        <f>"05758"</f>
        <v>05758</v>
      </c>
      <c r="C17890" s="2">
        <v>2.6460159819365299E-5</v>
      </c>
      <c r="D17890" s="2">
        <v>0</v>
      </c>
      <c r="E17890" s="2">
        <v>0</v>
      </c>
      <c r="F17890" s="2">
        <v>2.20350062799767E-5</v>
      </c>
    </row>
    <row r="17891" spans="1:6" x14ac:dyDescent="0.25">
      <c r="A17891" s="1" t="str">
        <f t="shared" si="677"/>
        <v>30100</v>
      </c>
      <c r="B17891" s="1" t="str">
        <f>"05047"</f>
        <v>05047</v>
      </c>
      <c r="C17891" s="2">
        <v>2.6460159819365299E-5</v>
      </c>
      <c r="D17891" s="2">
        <v>5.8251296091338E-5</v>
      </c>
      <c r="E17891" s="2">
        <v>0</v>
      </c>
      <c r="F17891" s="2">
        <v>2.9380008373302299E-5</v>
      </c>
    </row>
    <row r="17892" spans="1:6" x14ac:dyDescent="0.25">
      <c r="A17892" s="1" t="str">
        <f t="shared" si="677"/>
        <v>30100</v>
      </c>
      <c r="B17892" s="1" t="str">
        <f>"03598"</f>
        <v>03598</v>
      </c>
      <c r="C17892" s="2">
        <v>8.8200532731217608E-6</v>
      </c>
      <c r="D17892" s="2">
        <v>0</v>
      </c>
      <c r="E17892" s="2">
        <v>0</v>
      </c>
      <c r="F17892" s="2">
        <v>7.34500209332559E-6</v>
      </c>
    </row>
    <row r="17893" spans="1:6" x14ac:dyDescent="0.25">
      <c r="A17893" s="1" t="str">
        <f t="shared" si="677"/>
        <v>30100</v>
      </c>
      <c r="B17893" s="1" t="str">
        <f>"03785"</f>
        <v>03785</v>
      </c>
      <c r="C17893" s="2">
        <v>1.10779869110409E-2</v>
      </c>
      <c r="D17893" s="2">
        <v>8.2134327488786602E-3</v>
      </c>
      <c r="E17893" s="2">
        <v>2.2134951802927499E-2</v>
      </c>
      <c r="F17893" s="2">
        <v>1.1171748183948201E-2</v>
      </c>
    </row>
    <row r="17894" spans="1:6" x14ac:dyDescent="0.25">
      <c r="A17894" s="1" t="str">
        <f t="shared" si="677"/>
        <v>30100</v>
      </c>
      <c r="B17894" s="1" t="str">
        <f>"03222"</f>
        <v>03222</v>
      </c>
      <c r="C17894" s="2">
        <v>3.4521688510998599E-2</v>
      </c>
      <c r="D17894" s="2">
        <v>1.3106541620551001E-2</v>
      </c>
      <c r="E17894" s="2">
        <v>3.71295965726526E-2</v>
      </c>
      <c r="F17894" s="2">
        <v>3.1928724099686299E-2</v>
      </c>
    </row>
    <row r="17895" spans="1:6" x14ac:dyDescent="0.25">
      <c r="A17895" s="1" t="str">
        <f t="shared" si="677"/>
        <v>30100</v>
      </c>
      <c r="B17895" s="1" t="str">
        <f>"03774"</f>
        <v>03774</v>
      </c>
      <c r="C17895" s="2">
        <v>6.7561608072112698E-3</v>
      </c>
      <c r="D17895" s="2">
        <v>2.6213083241102102E-3</v>
      </c>
      <c r="E17895" s="2">
        <v>3.5701535166012101E-3</v>
      </c>
      <c r="F17895" s="2">
        <v>6.1036967395535699E-3</v>
      </c>
    </row>
    <row r="17896" spans="1:6" x14ac:dyDescent="0.25">
      <c r="A17896" s="1" t="str">
        <f t="shared" si="677"/>
        <v>30100</v>
      </c>
      <c r="B17896" s="1" t="str">
        <f>"03777"</f>
        <v>03777</v>
      </c>
      <c r="C17896" s="2">
        <v>5.2655718040536901E-3</v>
      </c>
      <c r="D17896" s="2">
        <v>1.33977981010077E-3</v>
      </c>
      <c r="E17896" s="2">
        <v>3.0346304891110299E-3</v>
      </c>
      <c r="F17896" s="2">
        <v>4.6787663334484E-3</v>
      </c>
    </row>
    <row r="17897" spans="1:6" x14ac:dyDescent="0.25">
      <c r="A17897" s="1" t="str">
        <f t="shared" si="677"/>
        <v>30100</v>
      </c>
      <c r="B17897" s="1" t="str">
        <f>"03780"</f>
        <v>03780</v>
      </c>
      <c r="C17897" s="2">
        <v>1.7904708144437099E-3</v>
      </c>
      <c r="D17897" s="2">
        <v>1.16502592182676E-4</v>
      </c>
      <c r="E17897" s="2">
        <v>1.7850767583006E-4</v>
      </c>
      <c r="F17897" s="2">
        <v>1.51307043122507E-3</v>
      </c>
    </row>
    <row r="17898" spans="1:6" x14ac:dyDescent="0.25">
      <c r="A17898" s="1" t="str">
        <f t="shared" si="677"/>
        <v>30100</v>
      </c>
      <c r="B17898" s="1" t="str">
        <f>"03279"</f>
        <v>03279</v>
      </c>
      <c r="C17898" s="2">
        <v>3.89846354671982E-3</v>
      </c>
      <c r="D17898" s="2">
        <v>6.9901555309605603E-4</v>
      </c>
      <c r="E17898" s="2">
        <v>1.42806140664048E-3</v>
      </c>
      <c r="F17898" s="2">
        <v>3.39339096711642E-3</v>
      </c>
    </row>
    <row r="17899" spans="1:6" x14ac:dyDescent="0.25">
      <c r="A17899" s="1" t="str">
        <f t="shared" si="677"/>
        <v>30100</v>
      </c>
      <c r="B17899" s="1" t="str">
        <f>"03574"</f>
        <v>03574</v>
      </c>
      <c r="C17899" s="2">
        <v>1.03106422762793E-2</v>
      </c>
      <c r="D17899" s="2">
        <v>1.5727849944661199E-3</v>
      </c>
      <c r="E17899" s="2">
        <v>1.23170296322741E-2</v>
      </c>
      <c r="F17899" s="2">
        <v>9.29142764805687E-3</v>
      </c>
    </row>
    <row r="17900" spans="1:6" x14ac:dyDescent="0.25">
      <c r="A17900" s="1" t="str">
        <f t="shared" si="677"/>
        <v>30100</v>
      </c>
      <c r="B17900" s="1" t="str">
        <f>"05142"</f>
        <v>05142</v>
      </c>
      <c r="C17900" s="2">
        <v>2.83123710067208E-3</v>
      </c>
      <c r="D17900" s="2">
        <v>2.33005184365352E-4</v>
      </c>
      <c r="E17900" s="2">
        <v>1.24955373081042E-3</v>
      </c>
      <c r="F17900" s="2">
        <v>2.4385406949840901E-3</v>
      </c>
    </row>
    <row r="17901" spans="1:6" x14ac:dyDescent="0.25">
      <c r="A17901" s="1" t="str">
        <f t="shared" si="677"/>
        <v>30100</v>
      </c>
      <c r="B17901" s="1" t="str">
        <f>"05060"</f>
        <v>05060</v>
      </c>
      <c r="C17901" s="2">
        <v>2.0065621196351999E-2</v>
      </c>
      <c r="D17901" s="2">
        <v>1.40385623580124E-2</v>
      </c>
      <c r="E17901" s="2">
        <v>3.1417350946090598E-2</v>
      </c>
      <c r="F17901" s="2">
        <v>1.97727456352325E-2</v>
      </c>
    </row>
    <row r="17902" spans="1:6" x14ac:dyDescent="0.25">
      <c r="A17902" s="1" t="str">
        <f t="shared" si="677"/>
        <v>30100</v>
      </c>
      <c r="B17902" s="1" t="str">
        <f>"05065"</f>
        <v>05065</v>
      </c>
      <c r="C17902" s="2">
        <v>4.1013247720016197E-3</v>
      </c>
      <c r="D17902" s="2">
        <v>9.9027203355274603E-4</v>
      </c>
      <c r="E17902" s="2">
        <v>2.1420921099607202E-3</v>
      </c>
      <c r="F17902" s="2">
        <v>3.62843103410284E-3</v>
      </c>
    </row>
    <row r="17903" spans="1:6" x14ac:dyDescent="0.25">
      <c r="A17903" s="1" t="str">
        <f t="shared" si="677"/>
        <v>30100</v>
      </c>
      <c r="B17903" s="1" t="str">
        <f>"05083"</f>
        <v>05083</v>
      </c>
      <c r="C17903" s="2">
        <v>9.7902591331651607E-4</v>
      </c>
      <c r="D17903" s="2">
        <v>5.2426166482204197E-4</v>
      </c>
      <c r="E17903" s="2">
        <v>3.5701535166012102E-4</v>
      </c>
      <c r="F17903" s="2">
        <v>8.96090255385722E-4</v>
      </c>
    </row>
    <row r="17904" spans="1:6" x14ac:dyDescent="0.25">
      <c r="A17904" s="1" t="str">
        <f t="shared" si="677"/>
        <v>30100</v>
      </c>
      <c r="B17904" s="1" t="str">
        <f>"05040"</f>
        <v>05040</v>
      </c>
      <c r="C17904" s="2">
        <v>2.17855315846107E-3</v>
      </c>
      <c r="D17904" s="2">
        <v>3.4950777654802802E-4</v>
      </c>
      <c r="E17904" s="2">
        <v>5.3552302749018199E-4</v>
      </c>
      <c r="F17904" s="2">
        <v>1.88032053589135E-3</v>
      </c>
    </row>
    <row r="17905" spans="1:6" x14ac:dyDescent="0.25">
      <c r="A17905" s="1" t="str">
        <f t="shared" si="677"/>
        <v>30100</v>
      </c>
      <c r="B17905" s="1" t="str">
        <f>"05663"</f>
        <v>05663</v>
      </c>
      <c r="C17905" s="2">
        <v>1.1466069255058301E-4</v>
      </c>
      <c r="D17905" s="2">
        <v>5.8251296091338E-5</v>
      </c>
      <c r="E17905" s="2">
        <v>0</v>
      </c>
      <c r="F17905" s="2">
        <v>1.02830029306558E-4</v>
      </c>
    </row>
    <row r="17906" spans="1:6" x14ac:dyDescent="0.25">
      <c r="A17906" s="1" t="str">
        <f t="shared" si="677"/>
        <v>30100</v>
      </c>
      <c r="B17906" s="1" t="str">
        <f>"05654"</f>
        <v>05654</v>
      </c>
      <c r="C17906" s="2">
        <v>1.12014676568646E-3</v>
      </c>
      <c r="D17906" s="2">
        <v>1.16502592182676E-4</v>
      </c>
      <c r="E17906" s="2">
        <v>0</v>
      </c>
      <c r="F17906" s="2">
        <v>9.47505270039001E-4</v>
      </c>
    </row>
    <row r="17907" spans="1:6" x14ac:dyDescent="0.25">
      <c r="A17907" s="1" t="str">
        <f t="shared" si="677"/>
        <v>30100</v>
      </c>
      <c r="B17907" s="1" t="str">
        <f>"05069"</f>
        <v>05069</v>
      </c>
      <c r="C17907" s="2">
        <v>7.4970452821534995E-4</v>
      </c>
      <c r="D17907" s="2">
        <v>1.7475388827401401E-4</v>
      </c>
      <c r="E17907" s="2">
        <v>0</v>
      </c>
      <c r="F17907" s="2">
        <v>6.4636018421265198E-4</v>
      </c>
    </row>
    <row r="17908" spans="1:6" x14ac:dyDescent="0.25">
      <c r="A17908" s="1" t="str">
        <f t="shared" si="677"/>
        <v>30100</v>
      </c>
      <c r="B17908" s="1" t="str">
        <f>"03779"</f>
        <v>03779</v>
      </c>
      <c r="C17908" s="2">
        <v>3.2104993914163198E-3</v>
      </c>
      <c r="D17908" s="2">
        <v>2.9125648045668999E-4</v>
      </c>
      <c r="E17908" s="2">
        <v>1.24955373081042E-3</v>
      </c>
      <c r="F17908" s="2">
        <v>2.7617207870904198E-3</v>
      </c>
    </row>
    <row r="17909" spans="1:6" x14ac:dyDescent="0.25">
      <c r="A17909" s="1" t="str">
        <f t="shared" si="677"/>
        <v>30100</v>
      </c>
      <c r="B17909" s="1" t="str">
        <f>"03282"</f>
        <v>03282</v>
      </c>
      <c r="C17909" s="2">
        <v>3.4310007232443598E-3</v>
      </c>
      <c r="D17909" s="2">
        <v>6.9901555309605603E-4</v>
      </c>
      <c r="E17909" s="2">
        <v>5.3552302749018199E-4</v>
      </c>
      <c r="F17909" s="2">
        <v>2.9673808457035401E-3</v>
      </c>
    </row>
    <row r="17910" spans="1:6" x14ac:dyDescent="0.25">
      <c r="A17910" s="1" t="str">
        <f t="shared" si="677"/>
        <v>30100</v>
      </c>
      <c r="B17910" s="1" t="str">
        <f>"05049"</f>
        <v>05049</v>
      </c>
      <c r="C17910" s="2">
        <v>1.7640106546243501E-5</v>
      </c>
      <c r="D17910" s="2">
        <v>5.8251296091338E-5</v>
      </c>
      <c r="E17910" s="2">
        <v>0</v>
      </c>
      <c r="F17910" s="2">
        <v>2.20350062799767E-5</v>
      </c>
    </row>
    <row r="17911" spans="1:6" x14ac:dyDescent="0.25">
      <c r="A17911" s="1" t="str">
        <f t="shared" si="677"/>
        <v>30100</v>
      </c>
      <c r="B17911" s="1" t="str">
        <f>"05052"</f>
        <v>05052</v>
      </c>
      <c r="C17911" s="2">
        <v>4.3218261038296599E-4</v>
      </c>
      <c r="D17911" s="2">
        <v>1.7475388827401401E-4</v>
      </c>
      <c r="E17911" s="2">
        <v>5.3552302749018199E-4</v>
      </c>
      <c r="F17911" s="2">
        <v>4.03975115132907E-4</v>
      </c>
    </row>
    <row r="17912" spans="1:6" x14ac:dyDescent="0.25">
      <c r="A17912" s="1" t="str">
        <f t="shared" si="677"/>
        <v>30100</v>
      </c>
      <c r="B17912" s="1" t="str">
        <f>"03765"</f>
        <v>03765</v>
      </c>
      <c r="C17912" s="2">
        <v>1.8963114537211799E-3</v>
      </c>
      <c r="D17912" s="2">
        <v>1.7475388827401401E-4</v>
      </c>
      <c r="E17912" s="2">
        <v>7.1403070332024204E-4</v>
      </c>
      <c r="F17912" s="2">
        <v>1.63059046471828E-3</v>
      </c>
    </row>
    <row r="17913" spans="1:6" x14ac:dyDescent="0.25">
      <c r="A17913" s="1" t="str">
        <f t="shared" si="677"/>
        <v>30100</v>
      </c>
      <c r="B17913" s="1" t="str">
        <f>"05081"</f>
        <v>05081</v>
      </c>
      <c r="C17913" s="2">
        <v>2.9106175801301799E-3</v>
      </c>
      <c r="D17913" s="2">
        <v>5.8251296091337999E-4</v>
      </c>
      <c r="E17913" s="2">
        <v>7.1403070332024204E-4</v>
      </c>
      <c r="F17913" s="2">
        <v>2.5266807201040002E-3</v>
      </c>
    </row>
    <row r="17914" spans="1:6" x14ac:dyDescent="0.25">
      <c r="A17914" s="1" t="str">
        <f t="shared" si="677"/>
        <v>30100</v>
      </c>
      <c r="B17914" s="1" t="str">
        <f>"05762"</f>
        <v>05762</v>
      </c>
      <c r="C17914" s="2">
        <v>6.1740372911852306E-5</v>
      </c>
      <c r="D17914" s="2">
        <v>0</v>
      </c>
      <c r="E17914" s="2">
        <v>0</v>
      </c>
      <c r="F17914" s="2">
        <v>5.14150146532791E-5</v>
      </c>
    </row>
    <row r="17915" spans="1:6" x14ac:dyDescent="0.25">
      <c r="A17915" s="1" t="str">
        <f t="shared" si="677"/>
        <v>30100</v>
      </c>
      <c r="B17915" s="1" t="str">
        <f>"03215"</f>
        <v>03215</v>
      </c>
      <c r="C17915" s="2">
        <v>4.8598493534900899E-3</v>
      </c>
      <c r="D17915" s="2">
        <v>5.8251296091338E-5</v>
      </c>
      <c r="E17915" s="2">
        <v>3.5701535166012102E-4</v>
      </c>
      <c r="F17915" s="2">
        <v>4.0691311597023799E-3</v>
      </c>
    </row>
    <row r="17916" spans="1:6" x14ac:dyDescent="0.25">
      <c r="A17916" s="1" t="str">
        <f t="shared" si="677"/>
        <v>30100</v>
      </c>
      <c r="B17916" s="1" t="str">
        <f>"05086"</f>
        <v>05086</v>
      </c>
      <c r="C17916" s="2">
        <v>3.18403923159695E-3</v>
      </c>
      <c r="D17916" s="2">
        <v>2.33005184365352E-4</v>
      </c>
      <c r="E17916" s="2">
        <v>0</v>
      </c>
      <c r="F17916" s="2">
        <v>2.6809257640638402E-3</v>
      </c>
    </row>
    <row r="17917" spans="1:6" x14ac:dyDescent="0.25">
      <c r="A17917" s="1" t="str">
        <f t="shared" si="677"/>
        <v>30100</v>
      </c>
      <c r="B17917" s="1" t="str">
        <f>"05649"</f>
        <v>05649</v>
      </c>
      <c r="C17917" s="2">
        <v>9.9666601986275901E-4</v>
      </c>
      <c r="D17917" s="2">
        <v>1.16502592182676E-4</v>
      </c>
      <c r="E17917" s="2">
        <v>0</v>
      </c>
      <c r="F17917" s="2">
        <v>8.4467524073244301E-4</v>
      </c>
    </row>
    <row r="17918" spans="1:6" x14ac:dyDescent="0.25">
      <c r="A17918" s="1" t="str">
        <f t="shared" si="677"/>
        <v>30100</v>
      </c>
      <c r="B17918" s="1" t="str">
        <f>"05143"</f>
        <v>05143</v>
      </c>
      <c r="C17918" s="2">
        <v>1.6484679567464501E-2</v>
      </c>
      <c r="D17918" s="2">
        <v>2.5630570280188699E-3</v>
      </c>
      <c r="E17918" s="2">
        <v>6.4262763298821796E-3</v>
      </c>
      <c r="F17918" s="2">
        <v>1.4315409079891501E-2</v>
      </c>
    </row>
    <row r="17919" spans="1:6" x14ac:dyDescent="0.25">
      <c r="A17919" s="1" t="str">
        <f t="shared" si="677"/>
        <v>30100</v>
      </c>
      <c r="B17919" s="1" t="str">
        <f>"05036"</f>
        <v>05036</v>
      </c>
      <c r="C17919" s="2">
        <v>3.82790312053484E-3</v>
      </c>
      <c r="D17919" s="2">
        <v>2.33005184365352E-4</v>
      </c>
      <c r="E17919" s="2">
        <v>0</v>
      </c>
      <c r="F17919" s="2">
        <v>3.2171109168766098E-3</v>
      </c>
    </row>
    <row r="17920" spans="1:6" x14ac:dyDescent="0.25">
      <c r="A17920" s="1" t="str">
        <f t="shared" ref="A17920:A17951" si="678">"30100"</f>
        <v>30100</v>
      </c>
      <c r="B17920" s="1" t="str">
        <f>"05056"</f>
        <v>05056</v>
      </c>
      <c r="C17920" s="2">
        <v>1.88749140044805E-3</v>
      </c>
      <c r="D17920" s="2">
        <v>1.04852332964408E-3</v>
      </c>
      <c r="E17920" s="2">
        <v>3.5701535166012102E-4</v>
      </c>
      <c r="F17920" s="2">
        <v>1.7187304898381799E-3</v>
      </c>
    </row>
    <row r="17921" spans="1:6" x14ac:dyDescent="0.25">
      <c r="A17921" s="1" t="str">
        <f t="shared" si="678"/>
        <v>30100</v>
      </c>
      <c r="B17921" s="1" t="str">
        <f>"05048"</f>
        <v>05048</v>
      </c>
      <c r="C17921" s="2">
        <v>9.0140944451304397E-3</v>
      </c>
      <c r="D17921" s="2">
        <v>2.1552979553794999E-3</v>
      </c>
      <c r="E17921" s="2">
        <v>1.6065690824705399E-3</v>
      </c>
      <c r="F17921" s="2">
        <v>7.8444622356717304E-3</v>
      </c>
    </row>
    <row r="17922" spans="1:6" x14ac:dyDescent="0.25">
      <c r="A17922" s="1" t="str">
        <f t="shared" si="678"/>
        <v>30100</v>
      </c>
      <c r="B17922" s="1" t="str">
        <f>"05068"</f>
        <v>05068</v>
      </c>
      <c r="C17922" s="2">
        <v>1.1968812291626199E-2</v>
      </c>
      <c r="D17922" s="2">
        <v>2.1552979553794999E-3</v>
      </c>
      <c r="E17922" s="2">
        <v>7.8543377365226704E-3</v>
      </c>
      <c r="F17922" s="2">
        <v>1.05621130102022E-2</v>
      </c>
    </row>
    <row r="17923" spans="1:6" x14ac:dyDescent="0.25">
      <c r="A17923" s="1" t="str">
        <f t="shared" si="678"/>
        <v>30100</v>
      </c>
      <c r="B17923" s="1" t="str">
        <f>"05679"</f>
        <v>05679</v>
      </c>
      <c r="C17923" s="2">
        <v>1.25244756478329E-2</v>
      </c>
      <c r="D17923" s="2">
        <v>1.92229277101415E-3</v>
      </c>
      <c r="E17923" s="2">
        <v>6.2477686540521197E-3</v>
      </c>
      <c r="F17923" s="2">
        <v>1.09293631148684E-2</v>
      </c>
    </row>
    <row r="17924" spans="1:6" x14ac:dyDescent="0.25">
      <c r="A17924" s="1" t="str">
        <f t="shared" si="678"/>
        <v>30100</v>
      </c>
      <c r="B17924" s="1" t="str">
        <f>"05153"</f>
        <v>05153</v>
      </c>
      <c r="C17924" s="2">
        <v>3.4574608830637301E-3</v>
      </c>
      <c r="D17924" s="2">
        <v>5.8251296091337999E-4</v>
      </c>
      <c r="E17924" s="2">
        <v>2.8561228132809699E-3</v>
      </c>
      <c r="F17924" s="2">
        <v>3.0702108750100899E-3</v>
      </c>
    </row>
    <row r="17925" spans="1:6" x14ac:dyDescent="0.25">
      <c r="A17925" s="1" t="str">
        <f t="shared" si="678"/>
        <v>30100</v>
      </c>
      <c r="B17925" s="1" t="str">
        <f>"03740"</f>
        <v>03740</v>
      </c>
      <c r="C17925" s="2">
        <v>4.0043041859972803E-3</v>
      </c>
      <c r="D17925" s="2">
        <v>5.2426166482204197E-4</v>
      </c>
      <c r="E17925" s="2">
        <v>5.3552302749018199E-4</v>
      </c>
      <c r="F17925" s="2">
        <v>3.4227709754897201E-3</v>
      </c>
    </row>
    <row r="17926" spans="1:6" x14ac:dyDescent="0.25">
      <c r="A17926" s="1" t="str">
        <f t="shared" si="678"/>
        <v>30100</v>
      </c>
      <c r="B17926" s="1" t="str">
        <f>"03781"</f>
        <v>03781</v>
      </c>
      <c r="C17926" s="2">
        <v>6.6679602744800504E-3</v>
      </c>
      <c r="D17926" s="2">
        <v>4.66010368730704E-4</v>
      </c>
      <c r="E17926" s="2">
        <v>5.3552302749018199E-4</v>
      </c>
      <c r="F17926" s="2">
        <v>5.6336166055807298E-3</v>
      </c>
    </row>
    <row r="17927" spans="1:6" x14ac:dyDescent="0.25">
      <c r="A17927" s="1" t="str">
        <f t="shared" si="678"/>
        <v>30100</v>
      </c>
      <c r="B17927" s="1" t="str">
        <f>"03768"</f>
        <v>03768</v>
      </c>
      <c r="C17927" s="2">
        <v>6.0505565453615297E-3</v>
      </c>
      <c r="D17927" s="2">
        <v>1.04852332964408E-3</v>
      </c>
      <c r="E17927" s="2">
        <v>2.3205997857907801E-3</v>
      </c>
      <c r="F17927" s="2">
        <v>5.2663665009144503E-3</v>
      </c>
    </row>
    <row r="17928" spans="1:6" x14ac:dyDescent="0.25">
      <c r="A17928" s="1" t="str">
        <f t="shared" si="678"/>
        <v>30100</v>
      </c>
      <c r="B17928" s="1" t="str">
        <f>"03280"</f>
        <v>03280</v>
      </c>
      <c r="C17928" s="2">
        <v>5.3096720704193003E-3</v>
      </c>
      <c r="D17928" s="2">
        <v>4.66010368730704E-4</v>
      </c>
      <c r="E17928" s="2">
        <v>1.7850767583006E-4</v>
      </c>
      <c r="F17928" s="2">
        <v>4.4877962790219302E-3</v>
      </c>
    </row>
    <row r="17929" spans="1:6" x14ac:dyDescent="0.25">
      <c r="A17929" s="1" t="str">
        <f t="shared" si="678"/>
        <v>30100</v>
      </c>
      <c r="B17929" s="1" t="str">
        <f>"03244"</f>
        <v>03244</v>
      </c>
      <c r="C17929" s="2">
        <v>1.76401065462435E-4</v>
      </c>
      <c r="D17929" s="2">
        <v>0</v>
      </c>
      <c r="E17929" s="2">
        <v>0</v>
      </c>
      <c r="F17929" s="2">
        <v>1.4690004186651101E-4</v>
      </c>
    </row>
    <row r="17930" spans="1:6" x14ac:dyDescent="0.25">
      <c r="A17930" s="1" t="str">
        <f t="shared" si="678"/>
        <v>30100</v>
      </c>
      <c r="B17930" s="1" t="str">
        <f>"03746"</f>
        <v>03746</v>
      </c>
      <c r="C17930" s="2">
        <v>0</v>
      </c>
      <c r="D17930" s="2">
        <v>0</v>
      </c>
      <c r="E17930" s="2">
        <v>1.7850767583006E-4</v>
      </c>
      <c r="F17930" s="2">
        <v>7.34500209332559E-6</v>
      </c>
    </row>
    <row r="17931" spans="1:6" x14ac:dyDescent="0.25">
      <c r="A17931" s="1" t="str">
        <f t="shared" si="678"/>
        <v>30100</v>
      </c>
      <c r="B17931" s="1" t="str">
        <f>"03751"</f>
        <v>03751</v>
      </c>
      <c r="C17931" s="2">
        <v>5.2920319638730599E-5</v>
      </c>
      <c r="D17931" s="2">
        <v>0</v>
      </c>
      <c r="E17931" s="2">
        <v>1.7850767583006E-4</v>
      </c>
      <c r="F17931" s="2">
        <v>5.14150146532791E-5</v>
      </c>
    </row>
    <row r="17932" spans="1:6" x14ac:dyDescent="0.25">
      <c r="A17932" s="1" t="str">
        <f t="shared" si="678"/>
        <v>30100</v>
      </c>
      <c r="B17932" s="1" t="str">
        <f>"03749"</f>
        <v>03749</v>
      </c>
      <c r="C17932" s="2">
        <v>0</v>
      </c>
      <c r="D17932" s="2">
        <v>0</v>
      </c>
      <c r="E17932" s="2">
        <v>1.7850767583006E-4</v>
      </c>
      <c r="F17932" s="2">
        <v>7.34500209332559E-6</v>
      </c>
    </row>
    <row r="17933" spans="1:6" x14ac:dyDescent="0.25">
      <c r="A17933" s="1" t="str">
        <f t="shared" si="678"/>
        <v>30100</v>
      </c>
      <c r="B17933" s="1" t="str">
        <f>"05084"</f>
        <v>05084</v>
      </c>
      <c r="C17933" s="2">
        <v>3.0870186455926103E-4</v>
      </c>
      <c r="D17933" s="2">
        <v>0</v>
      </c>
      <c r="E17933" s="2">
        <v>3.5701535166012102E-4</v>
      </c>
      <c r="F17933" s="2">
        <v>2.71765077453047E-4</v>
      </c>
    </row>
    <row r="17934" spans="1:6" x14ac:dyDescent="0.25">
      <c r="A17934" s="1" t="str">
        <f t="shared" si="678"/>
        <v>30100</v>
      </c>
      <c r="B17934" s="1" t="str">
        <f>"05037"</f>
        <v>05037</v>
      </c>
      <c r="C17934" s="2">
        <v>2.97235795304203E-3</v>
      </c>
      <c r="D17934" s="2">
        <v>2.33005184365352E-4</v>
      </c>
      <c r="E17934" s="2">
        <v>0</v>
      </c>
      <c r="F17934" s="2">
        <v>2.5046457138240201E-3</v>
      </c>
    </row>
    <row r="17935" spans="1:6" x14ac:dyDescent="0.25">
      <c r="A17935" s="1" t="str">
        <f t="shared" si="678"/>
        <v>30100</v>
      </c>
      <c r="B17935" s="1" t="str">
        <f>"05071"</f>
        <v>05071</v>
      </c>
      <c r="C17935" s="2">
        <v>9.7020586004339395E-4</v>
      </c>
      <c r="D17935" s="2">
        <v>0</v>
      </c>
      <c r="E17935" s="2">
        <v>1.7850767583006E-4</v>
      </c>
      <c r="F17935" s="2">
        <v>8.1529523235914099E-4</v>
      </c>
    </row>
    <row r="17936" spans="1:6" x14ac:dyDescent="0.25">
      <c r="A17936" s="1" t="str">
        <f t="shared" si="678"/>
        <v>30100</v>
      </c>
      <c r="B17936" s="1" t="str">
        <f>"05669"</f>
        <v>05669</v>
      </c>
      <c r="C17936" s="2">
        <v>3.4398207765174902E-4</v>
      </c>
      <c r="D17936" s="2">
        <v>0</v>
      </c>
      <c r="E17936" s="2">
        <v>0</v>
      </c>
      <c r="F17936" s="2">
        <v>2.8645508163969801E-4</v>
      </c>
    </row>
    <row r="17937" spans="1:6" x14ac:dyDescent="0.25">
      <c r="A17937" s="1" t="str">
        <f t="shared" si="678"/>
        <v>30100</v>
      </c>
      <c r="B17937" s="1" t="str">
        <f>"03241"</f>
        <v>03241</v>
      </c>
      <c r="C17937" s="2">
        <v>4.1630651449134698E-3</v>
      </c>
      <c r="D17937" s="2">
        <v>1.1067746257354199E-3</v>
      </c>
      <c r="E17937" s="2">
        <v>1.0710460549803601E-3</v>
      </c>
      <c r="F17937" s="2">
        <v>3.6504660403828201E-3</v>
      </c>
    </row>
    <row r="17938" spans="1:6" x14ac:dyDescent="0.25">
      <c r="A17938" s="1" t="str">
        <f t="shared" si="678"/>
        <v>30100</v>
      </c>
      <c r="B17938" s="1" t="str">
        <f>"05161"</f>
        <v>05161</v>
      </c>
      <c r="C17938" s="2">
        <v>2.96353789976891E-3</v>
      </c>
      <c r="D17938" s="2">
        <v>2.33005184365352E-4</v>
      </c>
      <c r="E17938" s="2">
        <v>8.9253837915030296E-4</v>
      </c>
      <c r="F17938" s="2">
        <v>2.5340257221973298E-3</v>
      </c>
    </row>
    <row r="17939" spans="1:6" x14ac:dyDescent="0.25">
      <c r="A17939" s="1" t="str">
        <f t="shared" si="678"/>
        <v>30100</v>
      </c>
      <c r="B17939" s="1" t="str">
        <f>"03750"</f>
        <v>03750</v>
      </c>
      <c r="C17939" s="2">
        <v>3.0605584857732499E-3</v>
      </c>
      <c r="D17939" s="2">
        <v>0</v>
      </c>
      <c r="E17939" s="2">
        <v>1.7850767583006E-4</v>
      </c>
      <c r="F17939" s="2">
        <v>2.5560607284772999E-3</v>
      </c>
    </row>
    <row r="17940" spans="1:6" x14ac:dyDescent="0.25">
      <c r="A17940" s="1" t="str">
        <f t="shared" si="678"/>
        <v>30100</v>
      </c>
      <c r="B17940" s="1" t="str">
        <f>"05058"</f>
        <v>05058</v>
      </c>
      <c r="C17940" s="2">
        <v>7.3206442166910603E-4</v>
      </c>
      <c r="D17940" s="2">
        <v>1.16502592182676E-4</v>
      </c>
      <c r="E17940" s="2">
        <v>3.5701535166012102E-4</v>
      </c>
      <c r="F17940" s="2">
        <v>6.3901518211932596E-4</v>
      </c>
    </row>
    <row r="17941" spans="1:6" x14ac:dyDescent="0.25">
      <c r="A17941" s="1" t="str">
        <f t="shared" si="678"/>
        <v>30100</v>
      </c>
      <c r="B17941" s="1" t="str">
        <f>"05085"</f>
        <v>05085</v>
      </c>
      <c r="C17941" s="2">
        <v>0</v>
      </c>
      <c r="D17941" s="2">
        <v>0</v>
      </c>
      <c r="E17941" s="2">
        <v>1.7850767583006E-4</v>
      </c>
      <c r="F17941" s="2">
        <v>7.34500209332559E-6</v>
      </c>
    </row>
    <row r="17942" spans="1:6" x14ac:dyDescent="0.25">
      <c r="A17942" s="1" t="str">
        <f t="shared" si="678"/>
        <v>30100</v>
      </c>
      <c r="B17942" s="1" t="str">
        <f>"03773"</f>
        <v>03773</v>
      </c>
      <c r="C17942" s="2">
        <v>3.9310977438303703E-2</v>
      </c>
      <c r="D17942" s="2">
        <v>3.2212966738509902E-2</v>
      </c>
      <c r="E17942" s="2">
        <v>4.6947518743305897E-2</v>
      </c>
      <c r="F17942" s="2">
        <v>3.8730196038105798E-2</v>
      </c>
    </row>
    <row r="17943" spans="1:6" x14ac:dyDescent="0.25">
      <c r="A17943" s="1" t="str">
        <f t="shared" si="678"/>
        <v>30100</v>
      </c>
      <c r="B17943" s="1" t="str">
        <f>"03605"</f>
        <v>03605</v>
      </c>
      <c r="C17943" s="2">
        <v>4.0307643458166401E-3</v>
      </c>
      <c r="D17943" s="2">
        <v>2.9125648045668999E-4</v>
      </c>
      <c r="E17943" s="2">
        <v>1.7850767583006E-4</v>
      </c>
      <c r="F17943" s="2">
        <v>3.40073596920975E-3</v>
      </c>
    </row>
    <row r="17944" spans="1:6" x14ac:dyDescent="0.25">
      <c r="A17944" s="1" t="str">
        <f t="shared" si="678"/>
        <v>30100</v>
      </c>
      <c r="B17944" s="1" t="str">
        <f>"03784"</f>
        <v>03784</v>
      </c>
      <c r="C17944" s="2">
        <v>2.1106387482580299E-2</v>
      </c>
      <c r="D17944" s="2">
        <v>2.8484883788664199E-2</v>
      </c>
      <c r="E17944" s="2">
        <v>4.03427347375937E-2</v>
      </c>
      <c r="F17944" s="2">
        <v>2.2828266506055898E-2</v>
      </c>
    </row>
    <row r="17945" spans="1:6" x14ac:dyDescent="0.25">
      <c r="A17945" s="1" t="str">
        <f t="shared" si="678"/>
        <v>30100</v>
      </c>
      <c r="B17945" s="1" t="str">
        <f>"03264"</f>
        <v>03264</v>
      </c>
      <c r="C17945" s="2">
        <v>2.7342165146677401E-2</v>
      </c>
      <c r="D17945" s="2">
        <v>3.51837828391681E-2</v>
      </c>
      <c r="E17945" s="2">
        <v>5.6586933238129203E-2</v>
      </c>
      <c r="F17945" s="2">
        <v>2.95342534172622E-2</v>
      </c>
    </row>
    <row r="17946" spans="1:6" x14ac:dyDescent="0.25">
      <c r="A17946" s="1" t="str">
        <f t="shared" si="678"/>
        <v>30100</v>
      </c>
      <c r="B17946" s="1" t="str">
        <f>"05091"</f>
        <v>05091</v>
      </c>
      <c r="C17946" s="2">
        <v>1.6246538129090202E-2</v>
      </c>
      <c r="D17946" s="2">
        <v>1.88734199335935E-2</v>
      </c>
      <c r="E17946" s="2">
        <v>3.48089967868618E-2</v>
      </c>
      <c r="F17946" s="2">
        <v>1.7341549942341699E-2</v>
      </c>
    </row>
    <row r="17947" spans="1:6" x14ac:dyDescent="0.25">
      <c r="A17947" s="1" t="str">
        <f t="shared" si="678"/>
        <v>30100</v>
      </c>
      <c r="B17947" s="1" t="str">
        <f>"05033"</f>
        <v>05033</v>
      </c>
      <c r="C17947" s="2">
        <v>1.0734004833389099E-2</v>
      </c>
      <c r="D17947" s="2">
        <v>4.8348575755810504E-3</v>
      </c>
      <c r="E17947" s="2">
        <v>9.4609068189932099E-3</v>
      </c>
      <c r="F17947" s="2">
        <v>9.9377878322695293E-3</v>
      </c>
    </row>
    <row r="17948" spans="1:6" x14ac:dyDescent="0.25">
      <c r="A17948" s="1" t="str">
        <f t="shared" si="678"/>
        <v>30100</v>
      </c>
      <c r="B17948" s="1" t="str">
        <f>"05059"</f>
        <v>05059</v>
      </c>
      <c r="C17948" s="2">
        <v>3.5897616821605602E-3</v>
      </c>
      <c r="D17948" s="2">
        <v>0</v>
      </c>
      <c r="E17948" s="2">
        <v>1.7850767583006E-4</v>
      </c>
      <c r="F17948" s="2">
        <v>2.9967608540768399E-3</v>
      </c>
    </row>
    <row r="17949" spans="1:6" x14ac:dyDescent="0.25">
      <c r="A17949" s="1" t="str">
        <f t="shared" si="678"/>
        <v>30100</v>
      </c>
      <c r="B17949" s="1" t="str">
        <f>"05035"</f>
        <v>05035</v>
      </c>
      <c r="C17949" s="2">
        <v>2.24911358464605E-3</v>
      </c>
      <c r="D17949" s="2">
        <v>3.4950777654802802E-4</v>
      </c>
      <c r="E17949" s="2">
        <v>8.9253837915030296E-4</v>
      </c>
      <c r="F17949" s="2">
        <v>1.9537705568246E-3</v>
      </c>
    </row>
    <row r="17950" spans="1:6" x14ac:dyDescent="0.25">
      <c r="A17950" s="1" t="str">
        <f t="shared" si="678"/>
        <v>30100</v>
      </c>
      <c r="B17950" s="1" t="str">
        <f>"05009"</f>
        <v>05009</v>
      </c>
      <c r="C17950" s="2">
        <v>0</v>
      </c>
      <c r="D17950" s="2">
        <v>1.16502592182676E-4</v>
      </c>
      <c r="E17950" s="2">
        <v>0</v>
      </c>
      <c r="F17950" s="2">
        <v>1.46900041866511E-5</v>
      </c>
    </row>
    <row r="17951" spans="1:6" x14ac:dyDescent="0.25">
      <c r="A17951" s="1" t="str">
        <f t="shared" si="678"/>
        <v>30100</v>
      </c>
      <c r="B17951" s="1" t="str">
        <f>"05073"</f>
        <v>05073</v>
      </c>
      <c r="C17951" s="2">
        <v>7.9380479458095895E-5</v>
      </c>
      <c r="D17951" s="2">
        <v>2.9125648045668999E-4</v>
      </c>
      <c r="E17951" s="2">
        <v>0</v>
      </c>
      <c r="F17951" s="2">
        <v>1.02830029306558E-4</v>
      </c>
    </row>
    <row r="17952" spans="1:6" x14ac:dyDescent="0.25">
      <c r="A17952" s="1" t="str">
        <f t="shared" ref="A17952:A17983" si="679">"30100"</f>
        <v>30100</v>
      </c>
      <c r="B17952" s="1" t="str">
        <f>"05038"</f>
        <v>05038</v>
      </c>
      <c r="C17952" s="2">
        <v>5.3008520171461803E-3</v>
      </c>
      <c r="D17952" s="2">
        <v>7.5726684918739405E-4</v>
      </c>
      <c r="E17952" s="2">
        <v>7.1403070332024204E-4</v>
      </c>
      <c r="F17952" s="2">
        <v>4.5392112936752096E-3</v>
      </c>
    </row>
    <row r="17953" spans="1:6" x14ac:dyDescent="0.25">
      <c r="A17953" s="1" t="str">
        <f t="shared" si="679"/>
        <v>30100</v>
      </c>
      <c r="B17953" s="1" t="str">
        <f>"05039"</f>
        <v>05039</v>
      </c>
      <c r="C17953" s="2">
        <v>4.1630651449134698E-3</v>
      </c>
      <c r="D17953" s="2">
        <v>2.33005184365352E-4</v>
      </c>
      <c r="E17953" s="2">
        <v>0</v>
      </c>
      <c r="F17953" s="2">
        <v>3.4962209964229801E-3</v>
      </c>
    </row>
    <row r="17954" spans="1:6" x14ac:dyDescent="0.25">
      <c r="A17954" s="1" t="str">
        <f t="shared" si="679"/>
        <v>30100</v>
      </c>
      <c r="B17954" s="1" t="str">
        <f>"05641"</f>
        <v>05641</v>
      </c>
      <c r="C17954" s="2">
        <v>2.2843937977385302E-3</v>
      </c>
      <c r="D17954" s="2">
        <v>0</v>
      </c>
      <c r="E17954" s="2">
        <v>3.5701535166012102E-4</v>
      </c>
      <c r="F17954" s="2">
        <v>1.9170455463579799E-3</v>
      </c>
    </row>
    <row r="17955" spans="1:6" x14ac:dyDescent="0.25">
      <c r="A17955" s="1" t="str">
        <f t="shared" si="679"/>
        <v>30100</v>
      </c>
      <c r="B17955" s="1" t="str">
        <f>"05149"</f>
        <v>05149</v>
      </c>
      <c r="C17955" s="2">
        <v>1.6696360846019501E-2</v>
      </c>
      <c r="D17955" s="2">
        <v>1.36890545814644E-2</v>
      </c>
      <c r="E17955" s="2">
        <v>1.7493752231345899E-2</v>
      </c>
      <c r="F17955" s="2">
        <v>1.6349974659742701E-2</v>
      </c>
    </row>
    <row r="17956" spans="1:6" x14ac:dyDescent="0.25">
      <c r="A17956" s="1" t="str">
        <f t="shared" si="679"/>
        <v>30100</v>
      </c>
      <c r="B17956" s="1" t="str">
        <f>"03586"</f>
        <v>03586</v>
      </c>
      <c r="C17956" s="2">
        <v>3.1663991250507101E-3</v>
      </c>
      <c r="D17956" s="2">
        <v>2.33005184365352E-4</v>
      </c>
      <c r="E17956" s="2">
        <v>1.0710460549803601E-3</v>
      </c>
      <c r="F17956" s="2">
        <v>2.71030577243714E-3</v>
      </c>
    </row>
    <row r="17957" spans="1:6" x14ac:dyDescent="0.25">
      <c r="A17957" s="1" t="str">
        <f t="shared" si="679"/>
        <v>30100</v>
      </c>
      <c r="B17957" s="1" t="str">
        <f>"03266"</f>
        <v>03266</v>
      </c>
      <c r="C17957" s="2">
        <v>1.3979784437897999E-2</v>
      </c>
      <c r="D17957" s="2">
        <v>6.1163860895904901E-3</v>
      </c>
      <c r="E17957" s="2">
        <v>2.3205997857907801E-3</v>
      </c>
      <c r="F17957" s="2">
        <v>1.25085385649334E-2</v>
      </c>
    </row>
    <row r="17958" spans="1:6" x14ac:dyDescent="0.25">
      <c r="A17958" s="1" t="str">
        <f t="shared" si="679"/>
        <v>30100</v>
      </c>
      <c r="B17958" s="1" t="str">
        <f>"03223"</f>
        <v>03223</v>
      </c>
      <c r="C17958" s="2">
        <v>2.5675175078057399E-2</v>
      </c>
      <c r="D17958" s="2">
        <v>3.01159200792217E-2</v>
      </c>
      <c r="E17958" s="2">
        <v>6.9617993573723603E-3</v>
      </c>
      <c r="F17958" s="2">
        <v>2.54651222575598E-2</v>
      </c>
    </row>
    <row r="17959" spans="1:6" x14ac:dyDescent="0.25">
      <c r="A17959" s="1" t="str">
        <f t="shared" si="679"/>
        <v>30100</v>
      </c>
      <c r="B17959" s="1" t="str">
        <f>"03580"</f>
        <v>03580</v>
      </c>
      <c r="C17959" s="2">
        <v>5.4331528162430099E-3</v>
      </c>
      <c r="D17959" s="2">
        <v>2.0387953631968302E-3</v>
      </c>
      <c r="E17959" s="2">
        <v>3.3916458407711502E-3</v>
      </c>
      <c r="F17959" s="2">
        <v>4.9211514025281396E-3</v>
      </c>
    </row>
    <row r="17960" spans="1:6" x14ac:dyDescent="0.25">
      <c r="A17960" s="1" t="str">
        <f t="shared" si="679"/>
        <v>30100</v>
      </c>
      <c r="B17960" s="1" t="str">
        <f>"05079"</f>
        <v>05079</v>
      </c>
      <c r="C17960" s="2">
        <v>3.1575790717775901E-3</v>
      </c>
      <c r="D17960" s="2">
        <v>6.4076425700471801E-4</v>
      </c>
      <c r="E17960" s="2">
        <v>1.0710460549803601E-3</v>
      </c>
      <c r="F17960" s="2">
        <v>2.7543757849970902E-3</v>
      </c>
    </row>
    <row r="17961" spans="1:6" x14ac:dyDescent="0.25">
      <c r="A17961" s="1" t="str">
        <f t="shared" si="679"/>
        <v>30100</v>
      </c>
      <c r="B17961" s="1" t="str">
        <f>"05089"</f>
        <v>05089</v>
      </c>
      <c r="C17961" s="2">
        <v>2.4607948632009699E-2</v>
      </c>
      <c r="D17961" s="2">
        <v>2.6853847498106799E-2</v>
      </c>
      <c r="E17961" s="2">
        <v>3.2666904676901101E-2</v>
      </c>
      <c r="F17961" s="2">
        <v>2.5222737188480001E-2</v>
      </c>
    </row>
    <row r="17962" spans="1:6" x14ac:dyDescent="0.25">
      <c r="A17962" s="1" t="str">
        <f t="shared" si="679"/>
        <v>30100</v>
      </c>
      <c r="B17962" s="1" t="str">
        <f>"05031"</f>
        <v>05031</v>
      </c>
      <c r="C17962" s="2">
        <v>0</v>
      </c>
      <c r="D17962" s="2">
        <v>5.8251296091338E-5</v>
      </c>
      <c r="E17962" s="2">
        <v>3.5701535166012102E-4</v>
      </c>
      <c r="F17962" s="2">
        <v>2.20350062799767E-5</v>
      </c>
    </row>
    <row r="17963" spans="1:6" x14ac:dyDescent="0.25">
      <c r="A17963" s="1" t="str">
        <f t="shared" si="679"/>
        <v>30100</v>
      </c>
      <c r="B17963" s="1" t="str">
        <f>"05148"</f>
        <v>05148</v>
      </c>
      <c r="C17963" s="2">
        <v>1.0584063927746099E-4</v>
      </c>
      <c r="D17963" s="2">
        <v>0</v>
      </c>
      <c r="E17963" s="2">
        <v>0</v>
      </c>
      <c r="F17963" s="2">
        <v>8.8140025119907097E-5</v>
      </c>
    </row>
    <row r="17964" spans="1:6" x14ac:dyDescent="0.25">
      <c r="A17964" s="1" t="str">
        <f t="shared" si="679"/>
        <v>30100</v>
      </c>
      <c r="B17964" s="1" t="str">
        <f>"05746"</f>
        <v>05746</v>
      </c>
      <c r="C17964" s="2">
        <v>8.8200532731217608E-6</v>
      </c>
      <c r="D17964" s="2">
        <v>0</v>
      </c>
      <c r="E17964" s="2">
        <v>1.7850767583006E-4</v>
      </c>
      <c r="F17964" s="2">
        <v>1.46900041866511E-5</v>
      </c>
    </row>
    <row r="17965" spans="1:6" x14ac:dyDescent="0.25">
      <c r="A17965" s="1" t="str">
        <f t="shared" si="679"/>
        <v>30100</v>
      </c>
      <c r="B17965" s="1" t="str">
        <f>"03753"</f>
        <v>03753</v>
      </c>
      <c r="C17965" s="2">
        <v>8.5113514085625001E-3</v>
      </c>
      <c r="D17965" s="2">
        <v>1.45628240228345E-3</v>
      </c>
      <c r="E17965" s="2">
        <v>5.3552302749018199E-4</v>
      </c>
      <c r="F17965" s="2">
        <v>7.2935870786723098E-3</v>
      </c>
    </row>
    <row r="17966" spans="1:6" x14ac:dyDescent="0.25">
      <c r="A17966" s="1" t="str">
        <f t="shared" si="679"/>
        <v>30100</v>
      </c>
      <c r="B17966" s="1" t="str">
        <f>"03585"</f>
        <v>03585</v>
      </c>
      <c r="C17966" s="2">
        <v>1.2409814955282299E-2</v>
      </c>
      <c r="D17966" s="2">
        <v>3.6115803576629501E-3</v>
      </c>
      <c r="E17966" s="2">
        <v>1.3388075687254501E-2</v>
      </c>
      <c r="F17966" s="2">
        <v>1.13406832320947E-2</v>
      </c>
    </row>
    <row r="17967" spans="1:6" x14ac:dyDescent="0.25">
      <c r="A17967" s="1" t="str">
        <f t="shared" si="679"/>
        <v>30100</v>
      </c>
      <c r="B17967" s="1" t="str">
        <f>"03748"</f>
        <v>03748</v>
      </c>
      <c r="C17967" s="2">
        <v>1.95275979466915E-2</v>
      </c>
      <c r="D17967" s="2">
        <v>3.9028368381196399E-3</v>
      </c>
      <c r="E17967" s="2">
        <v>3.2309889325240898E-2</v>
      </c>
      <c r="F17967" s="2">
        <v>1.8083395153767601E-2</v>
      </c>
    </row>
    <row r="17968" spans="1:6" x14ac:dyDescent="0.25">
      <c r="A17968" s="1" t="str">
        <f t="shared" si="679"/>
        <v>30100</v>
      </c>
      <c r="B17968" s="1" t="str">
        <f>"03561"</f>
        <v>03561</v>
      </c>
      <c r="C17968" s="2">
        <v>2.8726913510557599E-2</v>
      </c>
      <c r="D17968" s="2">
        <v>3.33779926603366E-2</v>
      </c>
      <c r="E17968" s="2">
        <v>6.9796501249553694E-2</v>
      </c>
      <c r="F17968" s="2">
        <v>3.1003253835927301E-2</v>
      </c>
    </row>
    <row r="17969" spans="1:6" x14ac:dyDescent="0.25">
      <c r="A17969" s="1" t="str">
        <f t="shared" si="679"/>
        <v>30100</v>
      </c>
      <c r="B17969" s="1" t="str">
        <f>"05055"</f>
        <v>05055</v>
      </c>
      <c r="C17969" s="2">
        <v>1.31242392704051E-2</v>
      </c>
      <c r="D17969" s="2">
        <v>3.66983165375429E-3</v>
      </c>
      <c r="E17969" s="2">
        <v>6.2477686540521197E-3</v>
      </c>
      <c r="F17969" s="2">
        <v>1.16491733200143E-2</v>
      </c>
    </row>
    <row r="17970" spans="1:6" x14ac:dyDescent="0.25">
      <c r="A17970" s="1" t="str">
        <f t="shared" si="679"/>
        <v>30100</v>
      </c>
      <c r="B17970" s="1" t="str">
        <f>"05043"</f>
        <v>05043</v>
      </c>
      <c r="C17970" s="2">
        <v>2.8488772072183298E-3</v>
      </c>
      <c r="D17970" s="2">
        <v>1.2815285140094299E-3</v>
      </c>
      <c r="E17970" s="2">
        <v>1.6065690824705399E-3</v>
      </c>
      <c r="F17970" s="2">
        <v>2.6001307410372602E-3</v>
      </c>
    </row>
    <row r="17971" spans="1:6" x14ac:dyDescent="0.25">
      <c r="A17971" s="1" t="str">
        <f t="shared" si="679"/>
        <v>30100</v>
      </c>
      <c r="B17971" s="1" t="str">
        <f>"05075"</f>
        <v>05075</v>
      </c>
      <c r="C17971" s="2">
        <v>5.1861913245956001E-3</v>
      </c>
      <c r="D17971" s="2">
        <v>7.5726684918739405E-4</v>
      </c>
      <c r="E17971" s="2">
        <v>1.0710460549803601E-3</v>
      </c>
      <c r="F17971" s="2">
        <v>4.45841627064863E-3</v>
      </c>
    </row>
    <row r="17972" spans="1:6" x14ac:dyDescent="0.25">
      <c r="A17972" s="1" t="str">
        <f t="shared" si="679"/>
        <v>30100</v>
      </c>
      <c r="B17972" s="1" t="str">
        <f>"05088"</f>
        <v>05088</v>
      </c>
      <c r="C17972" s="2">
        <v>1.74548854275079E-2</v>
      </c>
      <c r="D17972" s="2">
        <v>4.1940933185763297E-3</v>
      </c>
      <c r="E17972" s="2">
        <v>3.5701535166012102E-4</v>
      </c>
      <c r="F17972" s="2">
        <v>1.5079289297597401E-2</v>
      </c>
    </row>
    <row r="17973" spans="1:6" x14ac:dyDescent="0.25">
      <c r="A17973" s="1" t="str">
        <f t="shared" si="679"/>
        <v>30100</v>
      </c>
      <c r="B17973" s="1" t="str">
        <f>"05051"</f>
        <v>05051</v>
      </c>
      <c r="C17973" s="2">
        <v>3.4927410961562199E-3</v>
      </c>
      <c r="D17973" s="2">
        <v>5.2426166482204197E-4</v>
      </c>
      <c r="E17973" s="2">
        <v>1.42806140664048E-3</v>
      </c>
      <c r="F17973" s="2">
        <v>3.0334858645434701E-3</v>
      </c>
    </row>
    <row r="17974" spans="1:6" x14ac:dyDescent="0.25">
      <c r="A17974" s="1" t="str">
        <f t="shared" si="679"/>
        <v>30100</v>
      </c>
      <c r="B17974" s="1" t="str">
        <f>"05077"</f>
        <v>05077</v>
      </c>
      <c r="C17974" s="2">
        <v>4.9656899927675502E-3</v>
      </c>
      <c r="D17974" s="2">
        <v>4.66010368730704E-4</v>
      </c>
      <c r="E17974" s="2">
        <v>0</v>
      </c>
      <c r="F17974" s="2">
        <v>4.1939961952889102E-3</v>
      </c>
    </row>
    <row r="17975" spans="1:6" x14ac:dyDescent="0.25">
      <c r="A17975" s="1" t="str">
        <f t="shared" si="679"/>
        <v>30100</v>
      </c>
      <c r="B17975" s="1" t="str">
        <f>"05053"</f>
        <v>05053</v>
      </c>
      <c r="C17975" s="2">
        <v>8.37905060946568E-4</v>
      </c>
      <c r="D17975" s="2">
        <v>1.16502592182676E-4</v>
      </c>
      <c r="E17975" s="2">
        <v>5.3552302749018199E-4</v>
      </c>
      <c r="F17975" s="2">
        <v>7.3450020933255901E-4</v>
      </c>
    </row>
    <row r="17976" spans="1:6" x14ac:dyDescent="0.25">
      <c r="A17976" s="1" t="str">
        <f t="shared" si="679"/>
        <v>30100</v>
      </c>
      <c r="B17976" s="1" t="str">
        <f>"05767"</f>
        <v>05767</v>
      </c>
      <c r="C17976" s="2">
        <v>6.2622378239164502E-3</v>
      </c>
      <c r="D17976" s="2">
        <v>1.8640414749228099E-3</v>
      </c>
      <c r="E17976" s="2">
        <v>5.17672259907176E-3</v>
      </c>
      <c r="F17976" s="2">
        <v>5.66299661395403E-3</v>
      </c>
    </row>
    <row r="17977" spans="1:6" x14ac:dyDescent="0.25">
      <c r="A17977" s="1" t="str">
        <f t="shared" si="679"/>
        <v>30100</v>
      </c>
      <c r="B17977" s="1" t="str">
        <f>"03262"</f>
        <v>03262</v>
      </c>
      <c r="C17977" s="2">
        <v>3.0693785390463698E-3</v>
      </c>
      <c r="D17977" s="2">
        <v>5.8251296091337999E-4</v>
      </c>
      <c r="E17977" s="2">
        <v>1.0710460549803601E-3</v>
      </c>
      <c r="F17977" s="2">
        <v>2.6735807619705102E-3</v>
      </c>
    </row>
    <row r="17978" spans="1:6" x14ac:dyDescent="0.25">
      <c r="A17978" s="1" t="str">
        <f t="shared" si="679"/>
        <v>30100</v>
      </c>
      <c r="B17978" s="1" t="str">
        <f>"05072"</f>
        <v>05072</v>
      </c>
      <c r="C17978" s="2">
        <v>1.73755049480498E-3</v>
      </c>
      <c r="D17978" s="2">
        <v>0</v>
      </c>
      <c r="E17978" s="2">
        <v>1.7850767583006E-4</v>
      </c>
      <c r="F17978" s="2">
        <v>1.4543104144784599E-3</v>
      </c>
    </row>
    <row r="17979" spans="1:6" x14ac:dyDescent="0.25">
      <c r="A17979" s="1" t="str">
        <f t="shared" si="679"/>
        <v>30100</v>
      </c>
      <c r="B17979" s="1" t="str">
        <f>"05067"</f>
        <v>05067</v>
      </c>
      <c r="C17979" s="2">
        <v>4.0572245056360098E-4</v>
      </c>
      <c r="D17979" s="2">
        <v>1.16502592182676E-4</v>
      </c>
      <c r="E17979" s="2">
        <v>3.5701535166012102E-4</v>
      </c>
      <c r="F17979" s="2">
        <v>3.6725010466627902E-4</v>
      </c>
    </row>
    <row r="17980" spans="1:6" x14ac:dyDescent="0.25">
      <c r="A17980" s="1" t="str">
        <f t="shared" si="679"/>
        <v>30100</v>
      </c>
      <c r="B17980" s="1" t="str">
        <f>"05061"</f>
        <v>05061</v>
      </c>
      <c r="C17980" s="2">
        <v>5.4860731358817401E-3</v>
      </c>
      <c r="D17980" s="2">
        <v>5.8251296091337999E-4</v>
      </c>
      <c r="E17980" s="2">
        <v>1.0710460549803601E-3</v>
      </c>
      <c r="F17980" s="2">
        <v>4.6861113355417296E-3</v>
      </c>
    </row>
    <row r="17981" spans="1:6" x14ac:dyDescent="0.25">
      <c r="A17981" s="1" t="str">
        <f t="shared" si="679"/>
        <v>30100</v>
      </c>
      <c r="B17981" s="1" t="str">
        <f>"05076"</f>
        <v>05076</v>
      </c>
      <c r="C17981" s="2">
        <v>2.24029353137292E-3</v>
      </c>
      <c r="D17981" s="2">
        <v>5.8251296091338E-5</v>
      </c>
      <c r="E17981" s="2">
        <v>3.5701535166012102E-4</v>
      </c>
      <c r="F17981" s="2">
        <v>1.88766553798467E-3</v>
      </c>
    </row>
    <row r="17982" spans="1:6" x14ac:dyDescent="0.25">
      <c r="A17982" s="1" t="str">
        <f t="shared" si="679"/>
        <v>30100</v>
      </c>
      <c r="B17982" s="1" t="str">
        <f>"05151"</f>
        <v>05151</v>
      </c>
      <c r="C17982" s="2">
        <v>6.1828573444583602E-3</v>
      </c>
      <c r="D17982" s="2">
        <v>1.3980311061921099E-3</v>
      </c>
      <c r="E17982" s="2">
        <v>0</v>
      </c>
      <c r="F17982" s="2">
        <v>5.3251265176610498E-3</v>
      </c>
    </row>
    <row r="17983" spans="1:6" x14ac:dyDescent="0.25">
      <c r="A17983" s="1" t="str">
        <f t="shared" si="679"/>
        <v>30100</v>
      </c>
      <c r="B17983" s="1" t="str">
        <f>"05772"</f>
        <v>05772</v>
      </c>
      <c r="C17983" s="2">
        <v>2.5225352361128201E-3</v>
      </c>
      <c r="D17983" s="2">
        <v>2.9125648045668999E-4</v>
      </c>
      <c r="E17983" s="2">
        <v>1.7850767583006E-4</v>
      </c>
      <c r="F17983" s="2">
        <v>2.1447406112510702E-3</v>
      </c>
    </row>
    <row r="17984" spans="1:6" x14ac:dyDescent="0.25">
      <c r="A17984" s="1" t="str">
        <f t="shared" ref="A17984:A18020" si="680">"30100"</f>
        <v>30100</v>
      </c>
      <c r="B17984" s="1" t="str">
        <f>"03603"</f>
        <v>03603</v>
      </c>
      <c r="C17984" s="2">
        <v>3.2343135352537501E-2</v>
      </c>
      <c r="D17984" s="2">
        <v>2.8659637676938299E-2</v>
      </c>
      <c r="E17984" s="2">
        <v>1.14244912531238E-2</v>
      </c>
      <c r="F17984" s="2">
        <v>3.1017943840113901E-2</v>
      </c>
    </row>
    <row r="17985" spans="1:6" x14ac:dyDescent="0.25">
      <c r="A17985" s="1" t="str">
        <f t="shared" si="680"/>
        <v>30100</v>
      </c>
      <c r="B17985" s="1" t="str">
        <f>"03782"</f>
        <v>03782</v>
      </c>
      <c r="C17985" s="2">
        <v>1.9342376827956E-2</v>
      </c>
      <c r="D17985" s="2">
        <v>7.7474223801479499E-3</v>
      </c>
      <c r="E17985" s="2">
        <v>7.1403070332024202E-3</v>
      </c>
      <c r="F17985" s="2">
        <v>1.73782749528083E-2</v>
      </c>
    </row>
    <row r="17986" spans="1:6" x14ac:dyDescent="0.25">
      <c r="A17986" s="1" t="str">
        <f t="shared" si="680"/>
        <v>30100</v>
      </c>
      <c r="B17986" s="1" t="str">
        <f>"03754"</f>
        <v>03754</v>
      </c>
      <c r="C17986" s="2">
        <v>8.8200532731217608E-6</v>
      </c>
      <c r="D17986" s="2">
        <v>0</v>
      </c>
      <c r="E17986" s="2">
        <v>1.7850767583006E-4</v>
      </c>
      <c r="F17986" s="2">
        <v>1.46900041866511E-5</v>
      </c>
    </row>
    <row r="17987" spans="1:6" x14ac:dyDescent="0.25">
      <c r="A17987" s="1" t="str">
        <f t="shared" si="680"/>
        <v>30100</v>
      </c>
      <c r="B17987" s="1" t="str">
        <f>"03238"</f>
        <v>03238</v>
      </c>
      <c r="C17987" s="2">
        <v>0</v>
      </c>
      <c r="D17987" s="2">
        <v>0</v>
      </c>
      <c r="E17987" s="2">
        <v>5.3552302749018199E-4</v>
      </c>
      <c r="F17987" s="2">
        <v>2.20350062799767E-5</v>
      </c>
    </row>
    <row r="17988" spans="1:6" x14ac:dyDescent="0.25">
      <c r="A17988" s="1" t="str">
        <f t="shared" si="680"/>
        <v>30100</v>
      </c>
      <c r="B17988" s="1" t="str">
        <f>"05046"</f>
        <v>05046</v>
      </c>
      <c r="C17988" s="2">
        <v>2.6460159819365299E-5</v>
      </c>
      <c r="D17988" s="2">
        <v>0</v>
      </c>
      <c r="E17988" s="2">
        <v>0</v>
      </c>
      <c r="F17988" s="2">
        <v>2.20350062799767E-5</v>
      </c>
    </row>
    <row r="17989" spans="1:6" x14ac:dyDescent="0.25">
      <c r="A17989" s="1" t="str">
        <f t="shared" si="680"/>
        <v>30100</v>
      </c>
      <c r="B17989" s="1" t="str">
        <f>"03769"</f>
        <v>03769</v>
      </c>
      <c r="C17989" s="2">
        <v>0</v>
      </c>
      <c r="D17989" s="2">
        <v>0</v>
      </c>
      <c r="E17989" s="2">
        <v>3.5701535166012102E-4</v>
      </c>
      <c r="F17989" s="2">
        <v>1.46900041866511E-5</v>
      </c>
    </row>
    <row r="17990" spans="1:6" x14ac:dyDescent="0.25">
      <c r="A17990" s="1" t="str">
        <f t="shared" si="680"/>
        <v>30100</v>
      </c>
      <c r="B17990" s="1" t="str">
        <f>"03756"</f>
        <v>03756</v>
      </c>
      <c r="C17990" s="2">
        <v>0</v>
      </c>
      <c r="D17990" s="2">
        <v>5.8251296091338E-5</v>
      </c>
      <c r="E17990" s="2">
        <v>0</v>
      </c>
      <c r="F17990" s="2">
        <v>7.34500209332559E-6</v>
      </c>
    </row>
    <row r="17991" spans="1:6" x14ac:dyDescent="0.25">
      <c r="A17991" s="1" t="str">
        <f t="shared" si="680"/>
        <v>30100</v>
      </c>
      <c r="B17991" s="1" t="str">
        <f>"05041"</f>
        <v>05041</v>
      </c>
      <c r="C17991" s="2">
        <v>7.67344634761593E-4</v>
      </c>
      <c r="D17991" s="2">
        <v>1.16502592182676E-4</v>
      </c>
      <c r="E17991" s="2">
        <v>5.3552302749018199E-4</v>
      </c>
      <c r="F17991" s="2">
        <v>6.75740192585954E-4</v>
      </c>
    </row>
    <row r="17992" spans="1:6" x14ac:dyDescent="0.25">
      <c r="A17992" s="1" t="str">
        <f t="shared" si="680"/>
        <v>30100</v>
      </c>
      <c r="B17992" s="1" t="str">
        <f>"03251"</f>
        <v>03251</v>
      </c>
      <c r="C17992" s="2">
        <v>3.6074017887068001E-3</v>
      </c>
      <c r="D17992" s="2">
        <v>2.0970466592881601E-3</v>
      </c>
      <c r="E17992" s="2">
        <v>4.1056765440913899E-3</v>
      </c>
      <c r="F17992" s="2">
        <v>3.4374609796763698E-3</v>
      </c>
    </row>
    <row r="17993" spans="1:6" x14ac:dyDescent="0.25">
      <c r="A17993" s="1" t="str">
        <f t="shared" si="680"/>
        <v>30100</v>
      </c>
      <c r="B17993" s="1" t="str">
        <f>"03607"</f>
        <v>03607</v>
      </c>
      <c r="C17993" s="2">
        <v>7.4970452821534995E-4</v>
      </c>
      <c r="D17993" s="2">
        <v>0</v>
      </c>
      <c r="E17993" s="2">
        <v>7.1403070332024204E-4</v>
      </c>
      <c r="F17993" s="2">
        <v>6.53705186305978E-4</v>
      </c>
    </row>
    <row r="17994" spans="1:6" x14ac:dyDescent="0.25">
      <c r="A17994" s="1" t="str">
        <f t="shared" si="680"/>
        <v>30100</v>
      </c>
      <c r="B17994" s="1" t="str">
        <f>"03601"</f>
        <v>03601</v>
      </c>
      <c r="C17994" s="2">
        <v>5.3802324966042698E-4</v>
      </c>
      <c r="D17994" s="2">
        <v>0</v>
      </c>
      <c r="E17994" s="2">
        <v>1.7850767583006E-4</v>
      </c>
      <c r="F17994" s="2">
        <v>4.5539012978618599E-4</v>
      </c>
    </row>
    <row r="17995" spans="1:6" x14ac:dyDescent="0.25">
      <c r="A17995" s="1" t="str">
        <f t="shared" si="680"/>
        <v>30100</v>
      </c>
      <c r="B17995" s="1" t="str">
        <f>"03602"</f>
        <v>03602</v>
      </c>
      <c r="C17995" s="2">
        <v>2.2843937977385302E-3</v>
      </c>
      <c r="D17995" s="2">
        <v>6.9901555309605603E-4</v>
      </c>
      <c r="E17995" s="2">
        <v>0</v>
      </c>
      <c r="F17995" s="2">
        <v>1.9904955672912302E-3</v>
      </c>
    </row>
    <row r="17996" spans="1:6" x14ac:dyDescent="0.25">
      <c r="A17996" s="1" t="str">
        <f t="shared" si="680"/>
        <v>30100</v>
      </c>
      <c r="B17996" s="1" t="str">
        <f>"05070"</f>
        <v>05070</v>
      </c>
      <c r="C17996" s="2">
        <v>7.8498474130783702E-4</v>
      </c>
      <c r="D17996" s="2">
        <v>1.7475388827401401E-4</v>
      </c>
      <c r="E17996" s="2">
        <v>0</v>
      </c>
      <c r="F17996" s="2">
        <v>6.75740192585954E-4</v>
      </c>
    </row>
    <row r="17997" spans="1:6" x14ac:dyDescent="0.25">
      <c r="A17997" s="1" t="str">
        <f t="shared" si="680"/>
        <v>30100</v>
      </c>
      <c r="B17997" s="1" t="str">
        <f>"05030"</f>
        <v>05030</v>
      </c>
      <c r="C17997" s="2">
        <v>4.5158672758383398E-3</v>
      </c>
      <c r="D17997" s="2">
        <v>2.1378225665521E-2</v>
      </c>
      <c r="E17997" s="2">
        <v>1.7850767583006E-4</v>
      </c>
      <c r="F17997" s="2">
        <v>6.4636018421265198E-3</v>
      </c>
    </row>
    <row r="17998" spans="1:6" x14ac:dyDescent="0.25">
      <c r="A17998" s="1" t="str">
        <f t="shared" si="680"/>
        <v>30100</v>
      </c>
      <c r="B17998" s="1" t="str">
        <f>"03771"</f>
        <v>03771</v>
      </c>
      <c r="C17998" s="2">
        <v>3.1575790717775901E-3</v>
      </c>
      <c r="D17998" s="2">
        <v>5.8251296091337999E-4</v>
      </c>
      <c r="E17998" s="2">
        <v>8.9253837915030296E-4</v>
      </c>
      <c r="F17998" s="2">
        <v>2.7396857808104401E-3</v>
      </c>
    </row>
    <row r="17999" spans="1:6" x14ac:dyDescent="0.25">
      <c r="A17999" s="1" t="str">
        <f t="shared" si="680"/>
        <v>30100</v>
      </c>
      <c r="B17999" s="1" t="str">
        <f>"03240"</f>
        <v>03240</v>
      </c>
      <c r="C17999" s="2">
        <v>5.6271939882516801E-3</v>
      </c>
      <c r="D17999" s="2">
        <v>2.33005184365352E-4</v>
      </c>
      <c r="E17999" s="2">
        <v>8.9253837915030296E-4</v>
      </c>
      <c r="F17999" s="2">
        <v>4.7522163543816604E-3</v>
      </c>
    </row>
    <row r="18000" spans="1:6" x14ac:dyDescent="0.25">
      <c r="A18000" s="1" t="str">
        <f t="shared" si="680"/>
        <v>30100</v>
      </c>
      <c r="B18000" s="1" t="str">
        <f>"03755"</f>
        <v>03755</v>
      </c>
      <c r="C18000" s="2">
        <v>3.1743371729965199E-2</v>
      </c>
      <c r="D18000" s="2">
        <v>0.36622589852624199</v>
      </c>
      <c r="E18000" s="2">
        <v>5.0339164584077098E-2</v>
      </c>
      <c r="F18000" s="2">
        <v>7.46839812849346E-2</v>
      </c>
    </row>
    <row r="18001" spans="1:6" x14ac:dyDescent="0.25">
      <c r="A18001" s="1" t="str">
        <f t="shared" si="680"/>
        <v>30100</v>
      </c>
      <c r="B18001" s="1" t="str">
        <f>"03285"</f>
        <v>03285</v>
      </c>
      <c r="C18001" s="2">
        <v>8.2467498103688495E-3</v>
      </c>
      <c r="D18001" s="2">
        <v>8.1551814527873196E-4</v>
      </c>
      <c r="E18001" s="2">
        <v>5.7122456265619398E-3</v>
      </c>
      <c r="F18001" s="2">
        <v>7.2054470535524101E-3</v>
      </c>
    </row>
    <row r="18002" spans="1:6" x14ac:dyDescent="0.25">
      <c r="A18002" s="1" t="str">
        <f t="shared" si="680"/>
        <v>30100</v>
      </c>
      <c r="B18002" s="1" t="str">
        <f>"03217"</f>
        <v>03217</v>
      </c>
      <c r="C18002" s="2">
        <v>1.5576214080333E-2</v>
      </c>
      <c r="D18002" s="2">
        <v>2.8543135084755599E-2</v>
      </c>
      <c r="E18002" s="2">
        <v>8.7468761156729701E-3</v>
      </c>
      <c r="F18002" s="2">
        <v>1.6930229825115502E-2</v>
      </c>
    </row>
    <row r="18003" spans="1:6" x14ac:dyDescent="0.25">
      <c r="A18003" s="1" t="str">
        <f t="shared" si="680"/>
        <v>30100</v>
      </c>
      <c r="B18003" s="1" t="str">
        <f>"05045"</f>
        <v>05045</v>
      </c>
      <c r="C18003" s="2">
        <v>6.8090811268499999E-3</v>
      </c>
      <c r="D18003" s="2">
        <v>2.2718005475621801E-3</v>
      </c>
      <c r="E18003" s="2">
        <v>3.3916458407711502E-3</v>
      </c>
      <c r="F18003" s="2">
        <v>6.0963517374602403E-3</v>
      </c>
    </row>
    <row r="18004" spans="1:6" x14ac:dyDescent="0.25">
      <c r="A18004" s="1" t="str">
        <f t="shared" si="680"/>
        <v>30100</v>
      </c>
      <c r="B18004" s="1" t="str">
        <f>"05156"</f>
        <v>05156</v>
      </c>
      <c r="C18004" s="2">
        <v>4.4417788283441201E-2</v>
      </c>
      <c r="D18004" s="2">
        <v>2.9824663598765001E-2</v>
      </c>
      <c r="E18004" s="2">
        <v>5.6586933238129203E-2</v>
      </c>
      <c r="F18004" s="2">
        <v>4.3078437277354602E-2</v>
      </c>
    </row>
    <row r="18005" spans="1:6" x14ac:dyDescent="0.25">
      <c r="A18005" s="1" t="str">
        <f t="shared" si="680"/>
        <v>30100</v>
      </c>
      <c r="B18005" s="1" t="str">
        <f>"05150"</f>
        <v>05150</v>
      </c>
      <c r="C18005" s="2">
        <v>3.04291837922701E-3</v>
      </c>
      <c r="D18005" s="2">
        <v>2.0970466592881601E-3</v>
      </c>
      <c r="E18005" s="2">
        <v>4.4626918957515098E-3</v>
      </c>
      <c r="F18005" s="2">
        <v>2.9820708498901902E-3</v>
      </c>
    </row>
    <row r="18006" spans="1:6" x14ac:dyDescent="0.25">
      <c r="A18006" s="1" t="str">
        <f t="shared" si="680"/>
        <v>30100</v>
      </c>
      <c r="B18006" s="1" t="str">
        <f>"03284"</f>
        <v>03284</v>
      </c>
      <c r="C18006" s="2">
        <v>9.2610559367778498E-4</v>
      </c>
      <c r="D18006" s="2">
        <v>0</v>
      </c>
      <c r="E18006" s="2">
        <v>1.7850767583006E-4</v>
      </c>
      <c r="F18006" s="2">
        <v>7.7857022189251296E-4</v>
      </c>
    </row>
    <row r="18007" spans="1:6" x14ac:dyDescent="0.25">
      <c r="A18007" s="1" t="str">
        <f t="shared" si="680"/>
        <v>30100</v>
      </c>
      <c r="B18007" s="1" t="str">
        <f>"05034"</f>
        <v>05034</v>
      </c>
      <c r="C18007" s="2">
        <v>3.9690239729047897E-4</v>
      </c>
      <c r="D18007" s="2">
        <v>1.7475388827401401E-4</v>
      </c>
      <c r="E18007" s="2">
        <v>3.5701535166012102E-4</v>
      </c>
      <c r="F18007" s="2">
        <v>3.6725010466627902E-4</v>
      </c>
    </row>
    <row r="18008" spans="1:6" x14ac:dyDescent="0.25">
      <c r="A18008" s="1" t="str">
        <f t="shared" si="680"/>
        <v>30100</v>
      </c>
      <c r="B18008" s="1" t="str">
        <f>"03257"</f>
        <v>03257</v>
      </c>
      <c r="C18008" s="2">
        <v>1.8522111873555701E-4</v>
      </c>
      <c r="D18008" s="2">
        <v>0</v>
      </c>
      <c r="E18008" s="2">
        <v>0</v>
      </c>
      <c r="F18008" s="2">
        <v>1.54245043959837E-4</v>
      </c>
    </row>
    <row r="18009" spans="1:6" x14ac:dyDescent="0.25">
      <c r="A18009" s="1" t="str">
        <f t="shared" si="680"/>
        <v>30100</v>
      </c>
      <c r="B18009" s="1" t="str">
        <f>"03741"</f>
        <v>03741</v>
      </c>
      <c r="C18009" s="2">
        <v>1.6034856850535299E-2</v>
      </c>
      <c r="D18009" s="2">
        <v>1.2815285140094299E-3</v>
      </c>
      <c r="E18009" s="2">
        <v>6.6047840057122404E-3</v>
      </c>
      <c r="F18009" s="2">
        <v>1.3786568929172099E-2</v>
      </c>
    </row>
    <row r="18010" spans="1:6" x14ac:dyDescent="0.25">
      <c r="A18010" s="1" t="str">
        <f t="shared" si="680"/>
        <v>30100</v>
      </c>
      <c r="B18010" s="1" t="str">
        <f>"03743"</f>
        <v>03743</v>
      </c>
      <c r="C18010" s="2">
        <v>6.70412249289985E-2</v>
      </c>
      <c r="D18010" s="2">
        <v>5.4057202772761603E-2</v>
      </c>
      <c r="E18010" s="2">
        <v>0.12031417350946</v>
      </c>
      <c r="F18010" s="2">
        <v>6.7596054264875402E-2</v>
      </c>
    </row>
    <row r="18011" spans="1:6" x14ac:dyDescent="0.25">
      <c r="A18011" s="1" t="str">
        <f t="shared" si="680"/>
        <v>30100</v>
      </c>
      <c r="B18011" s="1" t="str">
        <f>"03745"</f>
        <v>03745</v>
      </c>
      <c r="C18011" s="2">
        <v>6.1828573444583602E-3</v>
      </c>
      <c r="D18011" s="2">
        <v>3.4950777654802802E-4</v>
      </c>
      <c r="E18011" s="2">
        <v>1.7850767583006E-4</v>
      </c>
      <c r="F18011" s="2">
        <v>5.2002614820745204E-3</v>
      </c>
    </row>
    <row r="18012" spans="1:6" x14ac:dyDescent="0.25">
      <c r="A18012" s="1" t="str">
        <f t="shared" si="680"/>
        <v>30100</v>
      </c>
      <c r="B18012" s="1" t="str">
        <f>"03766"</f>
        <v>03766</v>
      </c>
      <c r="C18012" s="2">
        <v>5.44814690680731E-2</v>
      </c>
      <c r="D18012" s="2">
        <v>4.9513601677637298E-2</v>
      </c>
      <c r="E18012" s="2">
        <v>9.5680114244912504E-2</v>
      </c>
      <c r="F18012" s="2">
        <v>5.5550250831821399E-2</v>
      </c>
    </row>
    <row r="18013" spans="1:6" x14ac:dyDescent="0.25">
      <c r="A18013" s="1" t="str">
        <f t="shared" si="680"/>
        <v>30100</v>
      </c>
      <c r="B18013" s="1" t="str">
        <f>"03770"</f>
        <v>03770</v>
      </c>
      <c r="C18013" s="2">
        <v>1.1818871385983101E-3</v>
      </c>
      <c r="D18013" s="2">
        <v>2.9125648045668999E-4</v>
      </c>
      <c r="E18013" s="2">
        <v>1.7850767583006E-4</v>
      </c>
      <c r="F18013" s="2">
        <v>1.0283002930655801E-3</v>
      </c>
    </row>
    <row r="18014" spans="1:6" x14ac:dyDescent="0.25">
      <c r="A18014" s="1" t="str">
        <f t="shared" si="680"/>
        <v>30100</v>
      </c>
      <c r="B18014" s="1" t="str">
        <f>"03752"</f>
        <v>03752</v>
      </c>
      <c r="C18014" s="2">
        <v>2.7165764081215002E-3</v>
      </c>
      <c r="D18014" s="2">
        <v>1.7475388827401401E-4</v>
      </c>
      <c r="E18014" s="2">
        <v>1.7850767583006E-4</v>
      </c>
      <c r="F18014" s="2">
        <v>2.2916406531175802E-3</v>
      </c>
    </row>
    <row r="18015" spans="1:6" x14ac:dyDescent="0.25">
      <c r="A18015" s="1" t="str">
        <f t="shared" si="680"/>
        <v>30100</v>
      </c>
      <c r="B18015" s="1" t="str">
        <f>"03245"</f>
        <v>03245</v>
      </c>
      <c r="C18015" s="2">
        <v>1.06281641941117E-2</v>
      </c>
      <c r="D18015" s="2">
        <v>5.18436535212908E-3</v>
      </c>
      <c r="E18015" s="2">
        <v>4.4626918957515098E-3</v>
      </c>
      <c r="F18015" s="2">
        <v>9.6880577610964601E-3</v>
      </c>
    </row>
    <row r="18016" spans="1:6" x14ac:dyDescent="0.25">
      <c r="A18016" s="1" t="str">
        <f t="shared" si="680"/>
        <v>30100</v>
      </c>
      <c r="B18016" s="1" t="str">
        <f>"05062"</f>
        <v>05062</v>
      </c>
      <c r="C18016" s="2">
        <v>2.4255146501084802E-3</v>
      </c>
      <c r="D18016" s="2">
        <v>6.9901555309605603E-4</v>
      </c>
      <c r="E18016" s="2">
        <v>7.1403070332024204E-4</v>
      </c>
      <c r="F18016" s="2">
        <v>2.1373956091577401E-3</v>
      </c>
    </row>
    <row r="18017" spans="1:6" x14ac:dyDescent="0.25">
      <c r="A18017" s="1" t="str">
        <f t="shared" si="680"/>
        <v>30100</v>
      </c>
      <c r="B18017" s="1" t="str">
        <f>"05001"</f>
        <v>05001</v>
      </c>
      <c r="C18017" s="2">
        <v>4.2406816137169401E-2</v>
      </c>
      <c r="D18017" s="2">
        <v>7.2697617521989805E-2</v>
      </c>
      <c r="E18017" s="2">
        <v>6.22991788646911E-2</v>
      </c>
      <c r="F18017" s="2">
        <v>4.7044738407750399E-2</v>
      </c>
    </row>
    <row r="18018" spans="1:6" x14ac:dyDescent="0.25">
      <c r="A18018" s="1" t="str">
        <f t="shared" si="680"/>
        <v>30100</v>
      </c>
      <c r="B18018" s="1" t="str">
        <f>"05032"</f>
        <v>05032</v>
      </c>
      <c r="C18018" s="2">
        <v>1.0275362063186799E-2</v>
      </c>
      <c r="D18018" s="2">
        <v>2.6213083241102102E-3</v>
      </c>
      <c r="E18018" s="2">
        <v>7.6758300606926001E-3</v>
      </c>
      <c r="F18018" s="2">
        <v>9.2032876229369703E-3</v>
      </c>
    </row>
    <row r="18019" spans="1:6" x14ac:dyDescent="0.25">
      <c r="A18019" s="1" t="str">
        <f t="shared" si="680"/>
        <v>30100</v>
      </c>
      <c r="B18019" s="1" t="str">
        <f>"05675"</f>
        <v>05675</v>
      </c>
      <c r="C18019" s="2">
        <v>3.3075199774206601E-3</v>
      </c>
      <c r="D18019" s="2">
        <v>2.33005184365352E-4</v>
      </c>
      <c r="E18019" s="2">
        <v>7.1403070332024204E-4</v>
      </c>
      <c r="F18019" s="2">
        <v>2.8131358017437001E-3</v>
      </c>
    </row>
    <row r="18020" spans="1:6" x14ac:dyDescent="0.25">
      <c r="A18020" s="1" t="str">
        <f t="shared" si="680"/>
        <v>30100</v>
      </c>
      <c r="B18020" s="1" t="str">
        <f>"05054"</f>
        <v>05054</v>
      </c>
      <c r="C18020" s="2">
        <v>8.8200532731217608E-6</v>
      </c>
      <c r="D18020" s="2">
        <v>0</v>
      </c>
      <c r="E18020" s="2">
        <v>1.7850767583006E-4</v>
      </c>
      <c r="F18020" s="2">
        <v>1.46900041866511E-5</v>
      </c>
    </row>
    <row r="18021" spans="1:6" x14ac:dyDescent="0.25">
      <c r="A18021" s="1" t="str">
        <f t="shared" ref="A18021:A18044" si="681">"30140"</f>
        <v>30140</v>
      </c>
      <c r="B18021" s="1" t="str">
        <f>"17963"</f>
        <v>17963</v>
      </c>
      <c r="C18021" s="2">
        <v>5.8203453404902E-4</v>
      </c>
      <c r="D18021" s="2">
        <v>2.6191723415400702E-4</v>
      </c>
      <c r="E18021" s="2">
        <v>1.04275286757038E-3</v>
      </c>
      <c r="F18021" s="2">
        <v>5.7702550748653597E-4</v>
      </c>
    </row>
    <row r="18022" spans="1:6" x14ac:dyDescent="0.25">
      <c r="A18022" s="1" t="str">
        <f t="shared" si="681"/>
        <v>30140</v>
      </c>
      <c r="B18022" s="1" t="str">
        <f>"17042"</f>
        <v>17042</v>
      </c>
      <c r="C18022" s="2">
        <v>0.29793701092931502</v>
      </c>
      <c r="D18022" s="2">
        <v>0.43661602933472998</v>
      </c>
      <c r="E18022" s="2">
        <v>0.35766423357664201</v>
      </c>
      <c r="F18022" s="2">
        <v>0.30746582233532499</v>
      </c>
    </row>
    <row r="18023" spans="1:6" x14ac:dyDescent="0.25">
      <c r="A18023" s="1" t="str">
        <f t="shared" si="681"/>
        <v>30140</v>
      </c>
      <c r="B18023" s="1" t="str">
        <f>"19567"</f>
        <v>19567</v>
      </c>
      <c r="C18023" s="2">
        <v>6.4670503783224395E-5</v>
      </c>
      <c r="D18023" s="2">
        <v>2.6191723415400702E-4</v>
      </c>
      <c r="E18023" s="2">
        <v>0</v>
      </c>
      <c r="F18023" s="2">
        <v>7.3977629164940497E-5</v>
      </c>
    </row>
    <row r="18024" spans="1:6" x14ac:dyDescent="0.25">
      <c r="A18024" s="1" t="str">
        <f t="shared" si="681"/>
        <v>30140</v>
      </c>
      <c r="B18024" s="1" t="str">
        <f>"17041"</f>
        <v>17041</v>
      </c>
      <c r="C18024" s="2">
        <v>3.2335251891612198E-5</v>
      </c>
      <c r="D18024" s="2">
        <v>2.6191723415400702E-4</v>
      </c>
      <c r="E18024" s="2">
        <v>5.2137643378519195E-4</v>
      </c>
      <c r="F18024" s="2">
        <v>5.91821033319524E-5</v>
      </c>
    </row>
    <row r="18025" spans="1:6" x14ac:dyDescent="0.25">
      <c r="A18025" s="1" t="str">
        <f t="shared" si="681"/>
        <v>30140</v>
      </c>
      <c r="B18025" s="1" t="str">
        <f>"17033"</f>
        <v>17033</v>
      </c>
      <c r="C18025" s="2">
        <v>1.40658345728513E-3</v>
      </c>
      <c r="D18025" s="2">
        <v>1.57150340492404E-3</v>
      </c>
      <c r="E18025" s="2">
        <v>0</v>
      </c>
      <c r="F18025" s="2">
        <v>1.37598390246789E-3</v>
      </c>
    </row>
    <row r="18026" spans="1:6" x14ac:dyDescent="0.25">
      <c r="A18026" s="1" t="str">
        <f t="shared" si="681"/>
        <v>30140</v>
      </c>
      <c r="B18026" s="1" t="str">
        <f>"17016"</f>
        <v>17016</v>
      </c>
      <c r="C18026" s="2">
        <v>5.1898079286037601E-3</v>
      </c>
      <c r="D18026" s="2">
        <v>7.3336825563121997E-3</v>
      </c>
      <c r="E18026" s="2">
        <v>1.04275286757038E-3</v>
      </c>
      <c r="F18026" s="2">
        <v>5.1932295673788199E-3</v>
      </c>
    </row>
    <row r="18027" spans="1:6" x14ac:dyDescent="0.25">
      <c r="A18027" s="1" t="str">
        <f t="shared" si="681"/>
        <v>30140</v>
      </c>
      <c r="B18027" s="1" t="str">
        <f>"17545"</f>
        <v>17545</v>
      </c>
      <c r="C18027" s="2">
        <v>4.1874151199637801E-3</v>
      </c>
      <c r="D18027" s="2">
        <v>3.6668412781560998E-3</v>
      </c>
      <c r="E18027" s="2">
        <v>0</v>
      </c>
      <c r="F18027" s="2">
        <v>4.0391785524057497E-3</v>
      </c>
    </row>
    <row r="18028" spans="1:6" x14ac:dyDescent="0.25">
      <c r="A18028" s="1" t="str">
        <f t="shared" si="681"/>
        <v>30140</v>
      </c>
      <c r="B18028" s="1" t="str">
        <f>"17083"</f>
        <v>17083</v>
      </c>
      <c r="C18028" s="2">
        <v>1.6167625945806099E-5</v>
      </c>
      <c r="D18028" s="2">
        <v>2.6191723415400702E-4</v>
      </c>
      <c r="E18028" s="2">
        <v>0</v>
      </c>
      <c r="F18028" s="2">
        <v>2.95910516659762E-5</v>
      </c>
    </row>
    <row r="18029" spans="1:6" x14ac:dyDescent="0.25">
      <c r="A18029" s="1" t="str">
        <f t="shared" si="681"/>
        <v>30140</v>
      </c>
      <c r="B18029" s="1" t="str">
        <f>"17088"</f>
        <v>17088</v>
      </c>
      <c r="C18029" s="2">
        <v>1.5359244648515799E-3</v>
      </c>
      <c r="D18029" s="2">
        <v>7.8575170246202204E-4</v>
      </c>
      <c r="E18029" s="2">
        <v>5.2137643378519195E-4</v>
      </c>
      <c r="F18029" s="2">
        <v>1.46475705746582E-3</v>
      </c>
    </row>
    <row r="18030" spans="1:6" x14ac:dyDescent="0.25">
      <c r="A18030" s="1" t="str">
        <f t="shared" si="681"/>
        <v>30140</v>
      </c>
      <c r="B18030" s="1" t="str">
        <f>"17003"</f>
        <v>17003</v>
      </c>
      <c r="C18030" s="2">
        <v>9.5890189484576005E-2</v>
      </c>
      <c r="D18030" s="2">
        <v>7.3336825563122002E-2</v>
      </c>
      <c r="E18030" s="2">
        <v>9.8540145985401395E-2</v>
      </c>
      <c r="F18030" s="2">
        <v>9.4691365331123795E-2</v>
      </c>
    </row>
    <row r="18031" spans="1:6" x14ac:dyDescent="0.25">
      <c r="A18031" s="1" t="str">
        <f t="shared" si="681"/>
        <v>30140</v>
      </c>
      <c r="B18031" s="1" t="str">
        <f>"17087"</f>
        <v>17087</v>
      </c>
      <c r="C18031" s="2">
        <v>9.7167431934294703E-3</v>
      </c>
      <c r="D18031" s="2">
        <v>8.1194342587742208E-3</v>
      </c>
      <c r="E18031" s="2">
        <v>4.6923879040667296E-3</v>
      </c>
      <c r="F18031" s="2">
        <v>9.4839320589453699E-3</v>
      </c>
    </row>
    <row r="18032" spans="1:6" x14ac:dyDescent="0.25">
      <c r="A18032" s="1" t="str">
        <f t="shared" si="681"/>
        <v>30140</v>
      </c>
      <c r="B18032" s="1" t="str">
        <f>"17010"</f>
        <v>17010</v>
      </c>
      <c r="C18032" s="2">
        <v>4.85028778374183E-5</v>
      </c>
      <c r="D18032" s="2">
        <v>0</v>
      </c>
      <c r="E18032" s="2">
        <v>5.2137643378519195E-4</v>
      </c>
      <c r="F18032" s="2">
        <v>5.91821033319524E-5</v>
      </c>
    </row>
    <row r="18033" spans="1:6" x14ac:dyDescent="0.25">
      <c r="A18033" s="1" t="str">
        <f t="shared" si="681"/>
        <v>30140</v>
      </c>
      <c r="B18033" s="1" t="str">
        <f>"17046"</f>
        <v>17046</v>
      </c>
      <c r="C18033" s="2">
        <v>0.21506176033111199</v>
      </c>
      <c r="D18033" s="2">
        <v>0.159245678365636</v>
      </c>
      <c r="E18033" s="2">
        <v>0.31647549530761199</v>
      </c>
      <c r="F18033" s="2">
        <v>0.21478664851748799</v>
      </c>
    </row>
    <row r="18034" spans="1:6" x14ac:dyDescent="0.25">
      <c r="A18034" s="1" t="str">
        <f t="shared" si="681"/>
        <v>30140</v>
      </c>
      <c r="B18034" s="1" t="str">
        <f>"17064"</f>
        <v>17064</v>
      </c>
      <c r="C18034" s="2">
        <v>4.8987906615792498E-3</v>
      </c>
      <c r="D18034" s="2">
        <v>7.8575170246202204E-4</v>
      </c>
      <c r="E18034" s="2">
        <v>0</v>
      </c>
      <c r="F18034" s="2">
        <v>4.5274309048943502E-3</v>
      </c>
    </row>
    <row r="18035" spans="1:6" x14ac:dyDescent="0.25">
      <c r="A18035" s="1" t="str">
        <f t="shared" si="681"/>
        <v>30140</v>
      </c>
      <c r="B18035" s="1" t="str">
        <f>"17038"</f>
        <v>17038</v>
      </c>
      <c r="C18035" s="2">
        <v>5.0863351225505997E-2</v>
      </c>
      <c r="D18035" s="2">
        <v>3.6406495547406999E-2</v>
      </c>
      <c r="E18035" s="2">
        <v>2.7111574556830002E-2</v>
      </c>
      <c r="F18035" s="2">
        <v>4.93726697046813E-2</v>
      </c>
    </row>
    <row r="18036" spans="1:6" x14ac:dyDescent="0.25">
      <c r="A18036" s="1" t="str">
        <f t="shared" si="681"/>
        <v>30140</v>
      </c>
      <c r="B18036" s="1" t="str">
        <f>"17085"</f>
        <v>17085</v>
      </c>
      <c r="C18036" s="2">
        <v>0</v>
      </c>
      <c r="D18036" s="2">
        <v>0</v>
      </c>
      <c r="E18036" s="2">
        <v>5.2137643378519195E-4</v>
      </c>
      <c r="F18036" s="2">
        <v>1.47955258329881E-5</v>
      </c>
    </row>
    <row r="18037" spans="1:6" x14ac:dyDescent="0.25">
      <c r="A18037" s="1" t="str">
        <f t="shared" si="681"/>
        <v>30140</v>
      </c>
      <c r="B18037" s="1" t="str">
        <f>"17078"</f>
        <v>17078</v>
      </c>
      <c r="C18037" s="2">
        <v>0.155484058720817</v>
      </c>
      <c r="D18037" s="2">
        <v>0.14641173389209</v>
      </c>
      <c r="E18037" s="2">
        <v>0.120437956204379</v>
      </c>
      <c r="F18037" s="2">
        <v>0.153977037343907</v>
      </c>
    </row>
    <row r="18038" spans="1:6" x14ac:dyDescent="0.25">
      <c r="A18038" s="1" t="str">
        <f t="shared" si="681"/>
        <v>30140</v>
      </c>
      <c r="B18038" s="1" t="str">
        <f>"17073"</f>
        <v>17073</v>
      </c>
      <c r="C18038" s="2">
        <v>3.5019077798616002E-2</v>
      </c>
      <c r="D18038" s="2">
        <v>1.2833944473546299E-2</v>
      </c>
      <c r="E18038" s="2">
        <v>4.6923879040667296E-3</v>
      </c>
      <c r="F18038" s="2">
        <v>3.2905249452565503E-2</v>
      </c>
    </row>
    <row r="18039" spans="1:6" x14ac:dyDescent="0.25">
      <c r="A18039" s="1" t="str">
        <f t="shared" si="681"/>
        <v>30140</v>
      </c>
      <c r="B18039" s="1" t="str">
        <f>"17067"</f>
        <v>17067</v>
      </c>
      <c r="C18039" s="2">
        <v>9.0781219685701298E-2</v>
      </c>
      <c r="D18039" s="2">
        <v>9.3242535358826595E-2</v>
      </c>
      <c r="E18039" s="2">
        <v>5.5265901981230402E-2</v>
      </c>
      <c r="F18039" s="2">
        <v>8.9912410487068703E-2</v>
      </c>
    </row>
    <row r="18040" spans="1:6" x14ac:dyDescent="0.25">
      <c r="A18040" s="1" t="str">
        <f t="shared" si="681"/>
        <v>30140</v>
      </c>
      <c r="B18040" s="1" t="str">
        <f>"17039"</f>
        <v>17039</v>
      </c>
      <c r="C18040" s="2">
        <v>3.3952014486192801E-4</v>
      </c>
      <c r="D18040" s="2">
        <v>0</v>
      </c>
      <c r="E18040" s="2">
        <v>5.2137643378519195E-4</v>
      </c>
      <c r="F18040" s="2">
        <v>3.2550156832573799E-4</v>
      </c>
    </row>
    <row r="18041" spans="1:6" x14ac:dyDescent="0.25">
      <c r="A18041" s="1" t="str">
        <f t="shared" si="681"/>
        <v>30140</v>
      </c>
      <c r="B18041" s="1" t="str">
        <f>"17028"</f>
        <v>17028</v>
      </c>
      <c r="C18041" s="2">
        <v>6.8550734010217901E-3</v>
      </c>
      <c r="D18041" s="2">
        <v>6.8098480880041902E-3</v>
      </c>
      <c r="E18041" s="2">
        <v>8.3420229405630798E-3</v>
      </c>
      <c r="F18041" s="2">
        <v>6.8947150381724496E-3</v>
      </c>
    </row>
    <row r="18042" spans="1:6" x14ac:dyDescent="0.25">
      <c r="A18042" s="1" t="str">
        <f t="shared" si="681"/>
        <v>30140</v>
      </c>
      <c r="B18042" s="1" t="str">
        <f>"17077"</f>
        <v>17077</v>
      </c>
      <c r="C18042" s="2">
        <v>6.9520791566966302E-4</v>
      </c>
      <c r="D18042" s="2">
        <v>2.6191723415400702E-4</v>
      </c>
      <c r="E18042" s="2">
        <v>0</v>
      </c>
      <c r="F18042" s="2">
        <v>6.5100313665147598E-4</v>
      </c>
    </row>
    <row r="18043" spans="1:6" x14ac:dyDescent="0.25">
      <c r="A18043" s="1" t="str">
        <f t="shared" si="681"/>
        <v>30140</v>
      </c>
      <c r="B18043" s="1" t="str">
        <f>"19551"</f>
        <v>19551</v>
      </c>
      <c r="C18043" s="2">
        <v>1.9562827394425399E-3</v>
      </c>
      <c r="D18043" s="2">
        <v>5.2383446830801404E-4</v>
      </c>
      <c r="E18043" s="2">
        <v>0</v>
      </c>
      <c r="F18043" s="2">
        <v>1.8198496774575301E-3</v>
      </c>
    </row>
    <row r="18044" spans="1:6" x14ac:dyDescent="0.25">
      <c r="A18044" s="1" t="str">
        <f t="shared" si="681"/>
        <v>30140</v>
      </c>
      <c r="B18044" s="1" t="str">
        <f>"17026"</f>
        <v>17026</v>
      </c>
      <c r="C18044" s="2">
        <v>2.1438272004138899E-2</v>
      </c>
      <c r="D18044" s="2">
        <v>1.10005238344683E-2</v>
      </c>
      <c r="E18044" s="2">
        <v>2.08550573514077E-3</v>
      </c>
      <c r="F18044" s="2">
        <v>2.0299461442859601E-2</v>
      </c>
    </row>
    <row r="18045" spans="1:6" x14ac:dyDescent="0.25">
      <c r="A18045" s="1" t="str">
        <f t="shared" ref="A18045:A18054" si="682">"30220"</f>
        <v>30220</v>
      </c>
      <c r="B18045" s="1" t="str">
        <f>"79380"</f>
        <v>79380</v>
      </c>
      <c r="C18045" s="2">
        <v>0</v>
      </c>
      <c r="D18045" s="2">
        <v>0</v>
      </c>
      <c r="E18045" s="2">
        <v>2.04918032786885E-3</v>
      </c>
      <c r="F18045" s="2">
        <v>9.4741828517290303E-5</v>
      </c>
    </row>
    <row r="18046" spans="1:6" x14ac:dyDescent="0.25">
      <c r="A18046" s="1" t="str">
        <f t="shared" si="682"/>
        <v>30220</v>
      </c>
      <c r="B18046" s="1" t="str">
        <f>"79339"</f>
        <v>79339</v>
      </c>
      <c r="C18046" s="2">
        <v>9.35785737334624E-3</v>
      </c>
      <c r="D18046" s="2">
        <v>0</v>
      </c>
      <c r="E18046" s="2">
        <v>1.63934426229508E-2</v>
      </c>
      <c r="F18046" s="2">
        <v>9.0004737091425799E-3</v>
      </c>
    </row>
    <row r="18047" spans="1:6" x14ac:dyDescent="0.25">
      <c r="A18047" s="1" t="str">
        <f t="shared" si="682"/>
        <v>30220</v>
      </c>
      <c r="B18047" s="1" t="str">
        <f>"79367"</f>
        <v>79367</v>
      </c>
      <c r="C18047" s="2">
        <v>5.3780789501989799E-4</v>
      </c>
      <c r="D18047" s="2">
        <v>0</v>
      </c>
      <c r="E18047" s="2">
        <v>0</v>
      </c>
      <c r="F18047" s="2">
        <v>4.73709142586451E-4</v>
      </c>
    </row>
    <row r="18048" spans="1:6" x14ac:dyDescent="0.25">
      <c r="A18048" s="1" t="str">
        <f t="shared" si="682"/>
        <v>30220</v>
      </c>
      <c r="B18048" s="1" t="str">
        <f>"79313"</f>
        <v>79313</v>
      </c>
      <c r="C18048" s="2">
        <v>7.1636011616650494E-2</v>
      </c>
      <c r="D18048" s="2">
        <v>1.94805194805194E-2</v>
      </c>
      <c r="E18048" s="2">
        <v>0.186475409836065</v>
      </c>
      <c r="F18048" s="2">
        <v>7.31406916153481E-2</v>
      </c>
    </row>
    <row r="18049" spans="1:6" x14ac:dyDescent="0.25">
      <c r="A18049" s="1" t="str">
        <f t="shared" si="682"/>
        <v>30220</v>
      </c>
      <c r="B18049" s="1" t="str">
        <f>"79407"</f>
        <v>79407</v>
      </c>
      <c r="C18049" s="2">
        <v>4.54985479186834E-2</v>
      </c>
      <c r="D18049" s="2">
        <v>7.7922077922077896E-3</v>
      </c>
      <c r="E18049" s="2">
        <v>4.50819672131147E-2</v>
      </c>
      <c r="F18049" s="2">
        <v>4.2728564661297902E-2</v>
      </c>
    </row>
    <row r="18050" spans="1:6" x14ac:dyDescent="0.25">
      <c r="A18050" s="1" t="str">
        <f t="shared" si="682"/>
        <v>30220</v>
      </c>
      <c r="B18050" s="1" t="str">
        <f>"79372"</f>
        <v>79372</v>
      </c>
      <c r="C18050" s="2">
        <v>2.1512315800795898E-3</v>
      </c>
      <c r="D18050" s="2">
        <v>1.29870129870129E-3</v>
      </c>
      <c r="E18050" s="2">
        <v>4.0983606557376999E-3</v>
      </c>
      <c r="F18050" s="2">
        <v>2.17906205589767E-3</v>
      </c>
    </row>
    <row r="18051" spans="1:6" x14ac:dyDescent="0.25">
      <c r="A18051" s="1" t="str">
        <f t="shared" si="682"/>
        <v>30220</v>
      </c>
      <c r="B18051" s="1" t="str">
        <f>"79358"</f>
        <v>79358</v>
      </c>
      <c r="C18051" s="2">
        <v>4.62514789717113E-2</v>
      </c>
      <c r="D18051" s="2">
        <v>9.0909090909090905E-3</v>
      </c>
      <c r="E18051" s="2">
        <v>5.3278688524590098E-2</v>
      </c>
      <c r="F18051" s="2">
        <v>4.3865466603505397E-2</v>
      </c>
    </row>
    <row r="18052" spans="1:6" x14ac:dyDescent="0.25">
      <c r="A18052" s="1" t="str">
        <f t="shared" si="682"/>
        <v>30220</v>
      </c>
      <c r="B18052" s="1" t="str">
        <f>"79363"</f>
        <v>79363</v>
      </c>
      <c r="C18052" s="2">
        <v>2.1512315800795898E-3</v>
      </c>
      <c r="D18052" s="2">
        <v>1.29870129870129E-3</v>
      </c>
      <c r="E18052" s="2">
        <v>0</v>
      </c>
      <c r="F18052" s="2">
        <v>1.9895783988630898E-3</v>
      </c>
    </row>
    <row r="18053" spans="1:6" x14ac:dyDescent="0.25">
      <c r="A18053" s="1" t="str">
        <f t="shared" si="682"/>
        <v>30220</v>
      </c>
      <c r="B18053" s="1" t="str">
        <f>"79353"</f>
        <v>79353</v>
      </c>
      <c r="C18053" s="2">
        <v>1.3983005270517301E-3</v>
      </c>
      <c r="D18053" s="2">
        <v>2.59740259740259E-3</v>
      </c>
      <c r="E18053" s="2">
        <v>1.8442622950819599E-2</v>
      </c>
      <c r="F18053" s="2">
        <v>2.2738038844149601E-3</v>
      </c>
    </row>
    <row r="18054" spans="1:6" x14ac:dyDescent="0.25">
      <c r="A18054" s="1" t="str">
        <f t="shared" si="682"/>
        <v>30220</v>
      </c>
      <c r="B18054" s="1" t="str">
        <f>"79336"</f>
        <v>79336</v>
      </c>
      <c r="C18054" s="2">
        <v>0.82101753253737697</v>
      </c>
      <c r="D18054" s="2">
        <v>0.95844155844155798</v>
      </c>
      <c r="E18054" s="2">
        <v>0.67418032786885196</v>
      </c>
      <c r="F18054" s="2">
        <v>0.82425390810042598</v>
      </c>
    </row>
    <row r="18055" spans="1:6" x14ac:dyDescent="0.25">
      <c r="A18055" s="1" t="str">
        <f t="shared" ref="A18055:A18069" si="683">"30260"</f>
        <v>30260</v>
      </c>
      <c r="B18055" s="1" t="str">
        <f>"17855"</f>
        <v>17855</v>
      </c>
      <c r="C18055" s="2">
        <v>2.2584389205919299E-2</v>
      </c>
      <c r="D18055" s="2">
        <v>4.3931905546402998E-3</v>
      </c>
      <c r="E18055" s="2">
        <v>0</v>
      </c>
      <c r="F18055" s="2">
        <v>2.0616319444444399E-2</v>
      </c>
    </row>
    <row r="18056" spans="1:6" x14ac:dyDescent="0.25">
      <c r="A18056" s="1" t="str">
        <f t="shared" si="683"/>
        <v>30260</v>
      </c>
      <c r="B18056" s="1" t="str">
        <f>"17887"</f>
        <v>17887</v>
      </c>
      <c r="C18056" s="2">
        <v>1.93442305832285E-4</v>
      </c>
      <c r="D18056" s="2">
        <v>5.4914881933003801E-4</v>
      </c>
      <c r="E18056" s="2">
        <v>0</v>
      </c>
      <c r="F18056" s="2">
        <v>2.1701388888888801E-4</v>
      </c>
    </row>
    <row r="18057" spans="1:6" x14ac:dyDescent="0.25">
      <c r="A18057" s="1" t="str">
        <f t="shared" si="683"/>
        <v>30260</v>
      </c>
      <c r="B18057" s="1" t="str">
        <f>"17870"</f>
        <v>17870</v>
      </c>
      <c r="C18057" s="2">
        <v>3.2401586226907799E-3</v>
      </c>
      <c r="D18057" s="2">
        <v>5.4914881933003801E-4</v>
      </c>
      <c r="E18057" s="2">
        <v>0</v>
      </c>
      <c r="F18057" s="2">
        <v>2.9513888888888801E-3</v>
      </c>
    </row>
    <row r="18058" spans="1:6" x14ac:dyDescent="0.25">
      <c r="A18058" s="1" t="str">
        <f t="shared" si="683"/>
        <v>30260</v>
      </c>
      <c r="B18058" s="1" t="str">
        <f>"17880"</f>
        <v>17880</v>
      </c>
      <c r="C18058" s="2">
        <v>0</v>
      </c>
      <c r="D18058" s="2">
        <v>1.09829763866007E-3</v>
      </c>
      <c r="E18058" s="2">
        <v>0</v>
      </c>
      <c r="F18058" s="2">
        <v>8.6805555555555505E-5</v>
      </c>
    </row>
    <row r="18059" spans="1:6" x14ac:dyDescent="0.25">
      <c r="A18059" s="1" t="str">
        <f t="shared" si="683"/>
        <v>30260</v>
      </c>
      <c r="B18059" s="1" t="str">
        <f>"17889"</f>
        <v>17889</v>
      </c>
      <c r="C18059" s="2">
        <v>3.3562240061901498E-2</v>
      </c>
      <c r="D18059" s="2">
        <v>2.41625480505216E-2</v>
      </c>
      <c r="E18059" s="2">
        <v>2.58780036968576E-2</v>
      </c>
      <c r="F18059" s="2">
        <v>3.2638888888888801E-2</v>
      </c>
    </row>
    <row r="18060" spans="1:6" x14ac:dyDescent="0.25">
      <c r="A18060" s="1" t="str">
        <f t="shared" si="683"/>
        <v>30260</v>
      </c>
      <c r="B18060" s="1" t="str">
        <f>"17886"</f>
        <v>17886</v>
      </c>
      <c r="C18060" s="2">
        <v>1.8231937324692901E-2</v>
      </c>
      <c r="D18060" s="2">
        <v>7.6880834706205296E-3</v>
      </c>
      <c r="E18060" s="2">
        <v>1.47874306839186E-2</v>
      </c>
      <c r="F18060" s="2">
        <v>1.73177083333333E-2</v>
      </c>
    </row>
    <row r="18061" spans="1:6" x14ac:dyDescent="0.25">
      <c r="A18061" s="1" t="str">
        <f t="shared" si="683"/>
        <v>30260</v>
      </c>
      <c r="B18061" s="1" t="str">
        <f>"17829"</f>
        <v>17829</v>
      </c>
      <c r="C18061" s="2">
        <v>3.38524035206499E-4</v>
      </c>
      <c r="D18061" s="2">
        <v>1.09829763866007E-3</v>
      </c>
      <c r="E18061" s="2">
        <v>0</v>
      </c>
      <c r="F18061" s="2">
        <v>3.9062500000000002E-4</v>
      </c>
    </row>
    <row r="18062" spans="1:6" x14ac:dyDescent="0.25">
      <c r="A18062" s="1" t="str">
        <f t="shared" si="683"/>
        <v>30260</v>
      </c>
      <c r="B18062" s="1" t="str">
        <f>"17837"</f>
        <v>17837</v>
      </c>
      <c r="C18062" s="2">
        <v>0.565722023406519</v>
      </c>
      <c r="D18062" s="2">
        <v>0.70785282811641903</v>
      </c>
      <c r="E18062" s="2">
        <v>0.66173752310536005</v>
      </c>
      <c r="F18062" s="2">
        <v>0.57921006944444398</v>
      </c>
    </row>
    <row r="18063" spans="1:6" x14ac:dyDescent="0.25">
      <c r="A18063" s="1" t="str">
        <f t="shared" si="683"/>
        <v>30260</v>
      </c>
      <c r="B18063" s="1" t="str">
        <f>"17845"</f>
        <v>17845</v>
      </c>
      <c r="C18063" s="2">
        <v>5.10204081632653E-2</v>
      </c>
      <c r="D18063" s="2">
        <v>2.2515101592531499E-2</v>
      </c>
      <c r="E18063" s="2">
        <v>5.5452865064695E-3</v>
      </c>
      <c r="F18063" s="2">
        <v>4.7699652777777699E-2</v>
      </c>
    </row>
    <row r="18064" spans="1:6" x14ac:dyDescent="0.25">
      <c r="A18064" s="1" t="str">
        <f t="shared" si="683"/>
        <v>30260</v>
      </c>
      <c r="B18064" s="1" t="str">
        <f>"17885"</f>
        <v>17885</v>
      </c>
      <c r="C18064" s="2">
        <v>9.6721152916142704E-5</v>
      </c>
      <c r="D18064" s="2">
        <v>5.4914881933003801E-4</v>
      </c>
      <c r="E18064" s="2">
        <v>0</v>
      </c>
      <c r="F18064" s="2">
        <v>1.3020833333333301E-4</v>
      </c>
    </row>
    <row r="18065" spans="1:6" x14ac:dyDescent="0.25">
      <c r="A18065" s="1" t="str">
        <f t="shared" si="683"/>
        <v>30260</v>
      </c>
      <c r="B18065" s="1" t="str">
        <f>"17810"</f>
        <v>17810</v>
      </c>
      <c r="C18065" s="2">
        <v>1.6829480607408801E-2</v>
      </c>
      <c r="D18065" s="2">
        <v>1.70236133992311E-2</v>
      </c>
      <c r="E18065" s="2">
        <v>3.6968576709796599E-3</v>
      </c>
      <c r="F18065" s="2">
        <v>1.6536458333333299E-2</v>
      </c>
    </row>
    <row r="18066" spans="1:6" x14ac:dyDescent="0.25">
      <c r="A18066" s="1" t="str">
        <f t="shared" si="683"/>
        <v>30260</v>
      </c>
      <c r="B18066" s="1" t="str">
        <f>"17844"</f>
        <v>17844</v>
      </c>
      <c r="C18066" s="2">
        <v>0.21365702679175899</v>
      </c>
      <c r="D18066" s="2">
        <v>0.179571663920922</v>
      </c>
      <c r="E18066" s="2">
        <v>0.23659889094269801</v>
      </c>
      <c r="F18066" s="2">
        <v>0.21150173611111101</v>
      </c>
    </row>
    <row r="18067" spans="1:6" x14ac:dyDescent="0.25">
      <c r="A18067" s="1" t="str">
        <f t="shared" si="683"/>
        <v>30260</v>
      </c>
      <c r="B18067" s="1" t="str">
        <f>"17856"</f>
        <v>17856</v>
      </c>
      <c r="C18067" s="2">
        <v>7.4378566592513698E-2</v>
      </c>
      <c r="D18067" s="2">
        <v>3.1850631521142203E-2</v>
      </c>
      <c r="E18067" s="2">
        <v>5.1756007393715303E-2</v>
      </c>
      <c r="F18067" s="2">
        <v>7.0486111111111097E-2</v>
      </c>
    </row>
    <row r="18068" spans="1:6" x14ac:dyDescent="0.25">
      <c r="A18068" s="1" t="str">
        <f t="shared" si="683"/>
        <v>30260</v>
      </c>
      <c r="B18068" s="1" t="str">
        <f>"17835"</f>
        <v>17835</v>
      </c>
      <c r="C18068" s="2">
        <v>9.6721152916142704E-5</v>
      </c>
      <c r="D18068" s="2">
        <v>1.09829763866007E-3</v>
      </c>
      <c r="E18068" s="2">
        <v>0</v>
      </c>
      <c r="F18068" s="2">
        <v>1.7361111111111101E-4</v>
      </c>
    </row>
    <row r="18069" spans="1:6" x14ac:dyDescent="0.25">
      <c r="A18069" s="1" t="str">
        <f t="shared" si="683"/>
        <v>30260</v>
      </c>
      <c r="B18069" s="1" t="str">
        <f>"17841"</f>
        <v>17841</v>
      </c>
      <c r="C18069" s="2">
        <v>4.8360576458071298E-5</v>
      </c>
      <c r="D18069" s="2">
        <v>0</v>
      </c>
      <c r="E18069" s="2">
        <v>0</v>
      </c>
      <c r="F18069" s="2">
        <v>4.3402777777777698E-5</v>
      </c>
    </row>
    <row r="18070" spans="1:6" x14ac:dyDescent="0.25">
      <c r="A18070" s="1" t="str">
        <f t="shared" ref="A18070:A18081" si="684">"30280"</f>
        <v>30280</v>
      </c>
      <c r="B18070" s="1" t="str">
        <f>"37180"</f>
        <v>37180</v>
      </c>
      <c r="C18070" s="2">
        <v>3.2490740139060298E-4</v>
      </c>
      <c r="D18070" s="2">
        <v>0</v>
      </c>
      <c r="E18070" s="2">
        <v>0</v>
      </c>
      <c r="F18070" s="2">
        <v>3.0073379044869399E-4</v>
      </c>
    </row>
    <row r="18071" spans="1:6" x14ac:dyDescent="0.25">
      <c r="A18071" s="1" t="str">
        <f t="shared" si="684"/>
        <v>30280</v>
      </c>
      <c r="B18071" s="1" t="str">
        <f>"37047"</f>
        <v>37047</v>
      </c>
      <c r="C18071" s="2">
        <v>6.2252258106439598E-2</v>
      </c>
      <c r="D18071" s="2">
        <v>3.0245746691871401E-2</v>
      </c>
      <c r="E18071" s="2">
        <v>1.1173184357541799E-2</v>
      </c>
      <c r="F18071" s="2">
        <v>5.9665584025021E-2</v>
      </c>
    </row>
    <row r="18072" spans="1:6" x14ac:dyDescent="0.25">
      <c r="A18072" s="1" t="str">
        <f t="shared" si="684"/>
        <v>30280</v>
      </c>
      <c r="B18072" s="1" t="str">
        <f>"38451"</f>
        <v>38451</v>
      </c>
      <c r="C18072" s="2">
        <v>1.3776073818961501E-2</v>
      </c>
      <c r="D18072" s="2">
        <v>4.7258979206049097E-3</v>
      </c>
      <c r="E18072" s="2">
        <v>0</v>
      </c>
      <c r="F18072" s="2">
        <v>1.3051846505473299E-2</v>
      </c>
    </row>
    <row r="18073" spans="1:6" x14ac:dyDescent="0.25">
      <c r="A18073" s="1" t="str">
        <f t="shared" si="684"/>
        <v>30280</v>
      </c>
      <c r="B18073" s="1" t="str">
        <f>"37060"</f>
        <v>37060</v>
      </c>
      <c r="C18073" s="2">
        <v>9.0974072389369003E-4</v>
      </c>
      <c r="D18073" s="2">
        <v>0</v>
      </c>
      <c r="E18073" s="2">
        <v>0</v>
      </c>
      <c r="F18073" s="2">
        <v>8.4205461325634497E-4</v>
      </c>
    </row>
    <row r="18074" spans="1:6" x14ac:dyDescent="0.25">
      <c r="A18074" s="1" t="str">
        <f t="shared" si="684"/>
        <v>30280</v>
      </c>
      <c r="B18074" s="1" t="str">
        <f>"38401"</f>
        <v>38401</v>
      </c>
      <c r="C18074" s="2">
        <v>1.2931314575345999E-2</v>
      </c>
      <c r="D18074" s="2">
        <v>9.4517958412098204E-4</v>
      </c>
      <c r="E18074" s="2">
        <v>0</v>
      </c>
      <c r="F18074" s="2">
        <v>1.2029351617947701E-2</v>
      </c>
    </row>
    <row r="18075" spans="1:6" x14ac:dyDescent="0.25">
      <c r="A18075" s="1" t="str">
        <f t="shared" si="684"/>
        <v>30280</v>
      </c>
      <c r="B18075" s="1" t="str">
        <f>"38472"</f>
        <v>38472</v>
      </c>
      <c r="C18075" s="2">
        <v>3.05412957307167E-3</v>
      </c>
      <c r="D18075" s="2">
        <v>9.4517958412098204E-4</v>
      </c>
      <c r="E18075" s="2">
        <v>0</v>
      </c>
      <c r="F18075" s="2">
        <v>2.88704438830747E-3</v>
      </c>
    </row>
    <row r="18076" spans="1:6" x14ac:dyDescent="0.25">
      <c r="A18076" s="1" t="str">
        <f t="shared" si="684"/>
        <v>30280</v>
      </c>
      <c r="B18076" s="1" t="str">
        <f>"37019"</f>
        <v>37019</v>
      </c>
      <c r="C18076" s="2">
        <v>2.7552147637923099E-2</v>
      </c>
      <c r="D18076" s="2">
        <v>1.6068052930056701E-2</v>
      </c>
      <c r="E18076" s="2">
        <v>1.1173184357541799E-2</v>
      </c>
      <c r="F18076" s="2">
        <v>2.66450138337543E-2</v>
      </c>
    </row>
    <row r="18077" spans="1:6" x14ac:dyDescent="0.25">
      <c r="A18077" s="1" t="str">
        <f t="shared" si="684"/>
        <v>30280</v>
      </c>
      <c r="B18077" s="1" t="str">
        <f>"37046"</f>
        <v>37046</v>
      </c>
      <c r="C18077" s="2">
        <v>1.4945740463967699E-3</v>
      </c>
      <c r="D18077" s="2">
        <v>0</v>
      </c>
      <c r="E18077" s="2">
        <v>0</v>
      </c>
      <c r="F18077" s="2">
        <v>1.3833754360639901E-3</v>
      </c>
    </row>
    <row r="18078" spans="1:6" x14ac:dyDescent="0.25">
      <c r="A18078" s="1" t="str">
        <f t="shared" si="684"/>
        <v>30280</v>
      </c>
      <c r="B18078" s="1" t="str">
        <f>"37144"</f>
        <v>37144</v>
      </c>
      <c r="C18078" s="2">
        <v>2.9176684644876199E-2</v>
      </c>
      <c r="D18078" s="2">
        <v>1.1342155009451699E-2</v>
      </c>
      <c r="E18078" s="2">
        <v>0</v>
      </c>
      <c r="F18078" s="2">
        <v>2.77276554793696E-2</v>
      </c>
    </row>
    <row r="18079" spans="1:6" x14ac:dyDescent="0.25">
      <c r="A18079" s="1" t="str">
        <f t="shared" si="684"/>
        <v>30280</v>
      </c>
      <c r="B18079" s="1" t="str">
        <f>"37091"</f>
        <v>37091</v>
      </c>
      <c r="C18079" s="2">
        <v>0.65553317304568104</v>
      </c>
      <c r="D18079" s="2">
        <v>0.81285444234404503</v>
      </c>
      <c r="E18079" s="2">
        <v>0.95530726256983201</v>
      </c>
      <c r="F18079" s="2">
        <v>0.668771803199807</v>
      </c>
    </row>
    <row r="18080" spans="1:6" x14ac:dyDescent="0.25">
      <c r="A18080" s="1" t="str">
        <f t="shared" si="684"/>
        <v>30280</v>
      </c>
      <c r="B18080" s="1" t="str">
        <f>"37174"</f>
        <v>37174</v>
      </c>
      <c r="C18080" s="2">
        <v>1.8194814477873801E-3</v>
      </c>
      <c r="D18080" s="2">
        <v>0</v>
      </c>
      <c r="E18080" s="2">
        <v>0</v>
      </c>
      <c r="F18080" s="2">
        <v>1.6841092265126899E-3</v>
      </c>
    </row>
    <row r="18081" spans="1:6" x14ac:dyDescent="0.25">
      <c r="A18081" s="1" t="str">
        <f t="shared" si="684"/>
        <v>30280</v>
      </c>
      <c r="B18081" s="1" t="str">
        <f>"37034"</f>
        <v>37034</v>
      </c>
      <c r="C18081" s="2">
        <v>0.19117551497823099</v>
      </c>
      <c r="D18081" s="2">
        <v>0.122873345935727</v>
      </c>
      <c r="E18081" s="2">
        <v>2.2346368715083699E-2</v>
      </c>
      <c r="F18081" s="2">
        <v>0.18501142788403699</v>
      </c>
    </row>
    <row r="18082" spans="1:6" x14ac:dyDescent="0.25">
      <c r="A18082" s="1" t="str">
        <f t="shared" ref="A18082:A18094" si="685">"30300"</f>
        <v>30300</v>
      </c>
      <c r="B18082" s="1" t="str">
        <f>"83540"</f>
        <v>83540</v>
      </c>
      <c r="C18082" s="2">
        <v>1.3707268503153E-2</v>
      </c>
      <c r="D18082" s="2">
        <v>3.15568022440392E-3</v>
      </c>
      <c r="E18082" s="2">
        <v>0.101851851851851</v>
      </c>
      <c r="F18082" s="2">
        <v>1.7228464419475599E-2</v>
      </c>
    </row>
    <row r="18083" spans="1:6" x14ac:dyDescent="0.25">
      <c r="A18083" s="1" t="str">
        <f t="shared" si="685"/>
        <v>30300</v>
      </c>
      <c r="B18083" s="1" t="str">
        <f>"83541"</f>
        <v>83541</v>
      </c>
      <c r="C18083" s="2">
        <v>1.0023232658479901E-2</v>
      </c>
      <c r="D18083" s="2">
        <v>2.4544179523141598E-3</v>
      </c>
      <c r="E18083" s="2">
        <v>5.2083333333333296E-3</v>
      </c>
      <c r="F18083" s="2">
        <v>9.1616248919619697E-3</v>
      </c>
    </row>
    <row r="18084" spans="1:6" x14ac:dyDescent="0.25">
      <c r="A18084" s="1" t="str">
        <f t="shared" si="685"/>
        <v>30300</v>
      </c>
      <c r="B18084" s="1" t="str">
        <f>"83548"</f>
        <v>83548</v>
      </c>
      <c r="C18084" s="2">
        <v>8.29737802854298E-4</v>
      </c>
      <c r="D18084" s="2">
        <v>7.0126227208976101E-4</v>
      </c>
      <c r="E18084" s="2">
        <v>0</v>
      </c>
      <c r="F18084" s="2">
        <v>7.7787381158167599E-4</v>
      </c>
    </row>
    <row r="18085" spans="1:6" x14ac:dyDescent="0.25">
      <c r="A18085" s="1" t="str">
        <f t="shared" si="685"/>
        <v>30300</v>
      </c>
      <c r="B18085" s="1" t="str">
        <f>"99402"</f>
        <v>99402</v>
      </c>
      <c r="C18085" s="2">
        <v>3.6541652837703199E-2</v>
      </c>
      <c r="D18085" s="2">
        <v>1.9985974754558201E-2</v>
      </c>
      <c r="E18085" s="2">
        <v>4.3981481481481399E-2</v>
      </c>
      <c r="F18085" s="2">
        <v>3.5551714203399497E-2</v>
      </c>
    </row>
    <row r="18086" spans="1:6" x14ac:dyDescent="0.25">
      <c r="A18086" s="1" t="str">
        <f t="shared" si="685"/>
        <v>30300</v>
      </c>
      <c r="B18086" s="1" t="str">
        <f>"83501"</f>
        <v>83501</v>
      </c>
      <c r="C18086" s="2">
        <v>0.581015599070693</v>
      </c>
      <c r="D18086" s="2">
        <v>0.69354838709677402</v>
      </c>
      <c r="E18086" s="2">
        <v>0.57581018518518501</v>
      </c>
      <c r="F18086" s="2">
        <v>0.59000288101411602</v>
      </c>
    </row>
    <row r="18087" spans="1:6" x14ac:dyDescent="0.25">
      <c r="A18087" s="1" t="str">
        <f t="shared" si="685"/>
        <v>30300</v>
      </c>
      <c r="B18087" s="1" t="str">
        <f>"99401"</f>
        <v>99401</v>
      </c>
      <c r="C18087" s="2">
        <v>1.16163292399601E-3</v>
      </c>
      <c r="D18087" s="2">
        <v>0</v>
      </c>
      <c r="E18087" s="2">
        <v>3.6458333333333301E-2</v>
      </c>
      <c r="F18087" s="2">
        <v>2.8233938346297802E-3</v>
      </c>
    </row>
    <row r="18088" spans="1:6" x14ac:dyDescent="0.25">
      <c r="A18088" s="1" t="str">
        <f t="shared" si="685"/>
        <v>30300</v>
      </c>
      <c r="B18088" s="1" t="str">
        <f>"83535"</f>
        <v>83535</v>
      </c>
      <c r="C18088" s="2">
        <v>6.8038499834052399E-3</v>
      </c>
      <c r="D18088" s="2">
        <v>1.7531556802244E-3</v>
      </c>
      <c r="E18088" s="2">
        <v>0</v>
      </c>
      <c r="F18088" s="2">
        <v>6.0501296456352601E-3</v>
      </c>
    </row>
    <row r="18089" spans="1:6" x14ac:dyDescent="0.25">
      <c r="A18089" s="1" t="str">
        <f t="shared" si="685"/>
        <v>30300</v>
      </c>
      <c r="B18089" s="1" t="str">
        <f>"83832"</f>
        <v>83832</v>
      </c>
      <c r="C18089" s="2">
        <v>2.7215399933620899E-3</v>
      </c>
      <c r="D18089" s="2">
        <v>3.5063113604488002E-4</v>
      </c>
      <c r="E18089" s="2">
        <v>0</v>
      </c>
      <c r="F18089" s="2">
        <v>2.3912417170844102E-3</v>
      </c>
    </row>
    <row r="18090" spans="1:6" x14ac:dyDescent="0.25">
      <c r="A18090" s="1" t="str">
        <f t="shared" si="685"/>
        <v>30300</v>
      </c>
      <c r="B18090" s="1" t="str">
        <f>"83555"</f>
        <v>83555</v>
      </c>
      <c r="C18090" s="2">
        <v>6.9697975439761005E-4</v>
      </c>
      <c r="D18090" s="2">
        <v>0</v>
      </c>
      <c r="E18090" s="2">
        <v>0</v>
      </c>
      <c r="F18090" s="2">
        <v>6.0501296456352599E-4</v>
      </c>
    </row>
    <row r="18091" spans="1:6" x14ac:dyDescent="0.25">
      <c r="A18091" s="1" t="str">
        <f t="shared" si="685"/>
        <v>30300</v>
      </c>
      <c r="B18091" s="1" t="str">
        <f>"83524"</f>
        <v>83524</v>
      </c>
      <c r="C18091" s="2">
        <v>1.35413209425821E-2</v>
      </c>
      <c r="D18091" s="2">
        <v>4.2075736325385598E-3</v>
      </c>
      <c r="E18091" s="2">
        <v>2.8356481481481399E-2</v>
      </c>
      <c r="F18091" s="2">
        <v>1.3511956208585399E-2</v>
      </c>
    </row>
    <row r="18092" spans="1:6" x14ac:dyDescent="0.25">
      <c r="A18092" s="1" t="str">
        <f t="shared" si="685"/>
        <v>30300</v>
      </c>
      <c r="B18092" s="1" t="str">
        <f>"99403"</f>
        <v>99403</v>
      </c>
      <c r="C18092" s="2">
        <v>0.32439429140391601</v>
      </c>
      <c r="D18092" s="2">
        <v>0.266129032258064</v>
      </c>
      <c r="E18092" s="2">
        <v>0.20486111111111099</v>
      </c>
      <c r="F18092" s="2">
        <v>0.31365600691443302</v>
      </c>
    </row>
    <row r="18093" spans="1:6" x14ac:dyDescent="0.25">
      <c r="A18093" s="1" t="str">
        <f t="shared" si="685"/>
        <v>30300</v>
      </c>
      <c r="B18093" s="1" t="str">
        <f>"83545"</f>
        <v>83545</v>
      </c>
      <c r="C18093" s="2">
        <v>4.0491204779289696E-3</v>
      </c>
      <c r="D18093" s="2">
        <v>5.2594670406732099E-3</v>
      </c>
      <c r="E18093" s="2">
        <v>3.4722222222222199E-3</v>
      </c>
      <c r="F18093" s="2">
        <v>4.1198501872659098E-3</v>
      </c>
    </row>
    <row r="18094" spans="1:6" x14ac:dyDescent="0.25">
      <c r="A18094" s="1" t="str">
        <f t="shared" si="685"/>
        <v>30300</v>
      </c>
      <c r="B18094" s="1" t="str">
        <f>"83537"</f>
        <v>83537</v>
      </c>
      <c r="C18094" s="2">
        <v>4.5137736475273802E-3</v>
      </c>
      <c r="D18094" s="2">
        <v>2.4544179523141598E-3</v>
      </c>
      <c r="E18094" s="2">
        <v>0</v>
      </c>
      <c r="F18094" s="2">
        <v>4.1198501872659098E-3</v>
      </c>
    </row>
    <row r="18095" spans="1:6" x14ac:dyDescent="0.25">
      <c r="A18095" s="1" t="str">
        <f t="shared" ref="A18095:A18123" si="686">"30340"</f>
        <v>30340</v>
      </c>
      <c r="B18095" s="1" t="str">
        <f>"04223"</f>
        <v>04223</v>
      </c>
      <c r="C18095" s="2">
        <v>0</v>
      </c>
      <c r="D18095" s="2">
        <v>0</v>
      </c>
      <c r="E18095" s="2">
        <v>2.32558139534883E-4</v>
      </c>
      <c r="F18095" s="2">
        <v>1.5675455371978499E-5</v>
      </c>
    </row>
    <row r="18096" spans="1:6" x14ac:dyDescent="0.25">
      <c r="A18096" s="1" t="str">
        <f t="shared" si="686"/>
        <v>30340</v>
      </c>
      <c r="B18096" s="1" t="str">
        <f>"04260"</f>
        <v>04260</v>
      </c>
      <c r="C18096" s="2">
        <v>9.0683207283675195E-5</v>
      </c>
      <c r="D18096" s="2">
        <v>0</v>
      </c>
      <c r="E18096" s="2">
        <v>0</v>
      </c>
      <c r="F18096" s="2">
        <v>7.8377276859892703E-5</v>
      </c>
    </row>
    <row r="18097" spans="1:6" x14ac:dyDescent="0.25">
      <c r="A18097" s="1" t="str">
        <f t="shared" si="686"/>
        <v>30340</v>
      </c>
      <c r="B18097" s="1" t="str">
        <f>"04252"</f>
        <v>04252</v>
      </c>
      <c r="C18097" s="2">
        <v>4.1315269238442399E-2</v>
      </c>
      <c r="D18097" s="2">
        <v>2.86894652283681E-2</v>
      </c>
      <c r="E18097" s="2">
        <v>2.8837209302325501E-2</v>
      </c>
      <c r="F18097" s="2">
        <v>3.9611875724989802E-2</v>
      </c>
    </row>
    <row r="18098" spans="1:6" x14ac:dyDescent="0.25">
      <c r="A18098" s="1" t="str">
        <f t="shared" si="686"/>
        <v>30340</v>
      </c>
      <c r="B18098" s="1" t="str">
        <f>"04211"</f>
        <v>04211</v>
      </c>
      <c r="C18098" s="2">
        <v>1.09726680813247E-2</v>
      </c>
      <c r="D18098" s="2">
        <v>3.1443653890291398E-2</v>
      </c>
      <c r="E18098" s="2">
        <v>2.32558139534883E-4</v>
      </c>
      <c r="F18098" s="2">
        <v>1.1646863341379999E-2</v>
      </c>
    </row>
    <row r="18099" spans="1:6" x14ac:dyDescent="0.25">
      <c r="A18099" s="1" t="str">
        <f t="shared" si="686"/>
        <v>30340</v>
      </c>
      <c r="B18099" s="1" t="str">
        <f>"04280"</f>
        <v>04280</v>
      </c>
      <c r="C18099" s="2">
        <v>5.1000235776338901E-2</v>
      </c>
      <c r="D18099" s="2">
        <v>1.4229974753270499E-2</v>
      </c>
      <c r="E18099" s="2">
        <v>3.4883720930232501E-3</v>
      </c>
      <c r="F18099" s="2">
        <v>4.5286390569646E-2</v>
      </c>
    </row>
    <row r="18100" spans="1:6" x14ac:dyDescent="0.25">
      <c r="A18100" s="1" t="str">
        <f t="shared" si="686"/>
        <v>30340</v>
      </c>
      <c r="B18100" s="1" t="str">
        <f>"04230"</f>
        <v>04230</v>
      </c>
      <c r="C18100" s="2">
        <v>0</v>
      </c>
      <c r="D18100" s="2">
        <v>0</v>
      </c>
      <c r="E18100" s="2">
        <v>2.32558139534883E-4</v>
      </c>
      <c r="F18100" s="2">
        <v>1.5675455371978499E-5</v>
      </c>
    </row>
    <row r="18101" spans="1:6" x14ac:dyDescent="0.25">
      <c r="A18101" s="1" t="str">
        <f t="shared" si="686"/>
        <v>30340</v>
      </c>
      <c r="B18101" s="1" t="str">
        <f>"04212"</f>
        <v>04212</v>
      </c>
      <c r="C18101" s="2">
        <v>1.9297386509966E-2</v>
      </c>
      <c r="D18101" s="2">
        <v>3.8558641266926701E-2</v>
      </c>
      <c r="E18101" s="2">
        <v>2.32558139534883E-4</v>
      </c>
      <c r="F18101" s="2">
        <v>1.9327836473649499E-2</v>
      </c>
    </row>
    <row r="18102" spans="1:6" x14ac:dyDescent="0.25">
      <c r="A18102" s="1" t="str">
        <f t="shared" si="686"/>
        <v>30340</v>
      </c>
      <c r="B18102" s="1" t="str">
        <f>"04222"</f>
        <v>04222</v>
      </c>
      <c r="C18102" s="2">
        <v>3.0560240854598499E-2</v>
      </c>
      <c r="D18102" s="2">
        <v>3.9017672710580601E-3</v>
      </c>
      <c r="E18102" s="2">
        <v>2.0930232558139502E-3</v>
      </c>
      <c r="F18102" s="2">
        <v>2.68207041414553E-2</v>
      </c>
    </row>
    <row r="18103" spans="1:6" x14ac:dyDescent="0.25">
      <c r="A18103" s="1" t="str">
        <f t="shared" si="686"/>
        <v>30340</v>
      </c>
      <c r="B18103" s="1" t="str">
        <f>"04253"</f>
        <v>04253</v>
      </c>
      <c r="C18103" s="2">
        <v>1.8698877341893801E-2</v>
      </c>
      <c r="D18103" s="2">
        <v>6.8854716548083497E-3</v>
      </c>
      <c r="E18103" s="2">
        <v>3.02325581395348E-3</v>
      </c>
      <c r="F18103" s="2">
        <v>1.6835439069504899E-2</v>
      </c>
    </row>
    <row r="18104" spans="1:6" x14ac:dyDescent="0.25">
      <c r="A18104" s="1" t="str">
        <f t="shared" si="686"/>
        <v>30340</v>
      </c>
      <c r="B18104" s="1" t="str">
        <f>"04241"</f>
        <v>04241</v>
      </c>
      <c r="C18104" s="2">
        <v>1.2097139851642199E-2</v>
      </c>
      <c r="D18104" s="2">
        <v>3.5574936883176402E-2</v>
      </c>
      <c r="E18104" s="2">
        <v>2.32558139534883E-4</v>
      </c>
      <c r="F18104" s="2">
        <v>1.2900899771138299E-2</v>
      </c>
    </row>
    <row r="18105" spans="1:6" x14ac:dyDescent="0.25">
      <c r="A18105" s="1" t="str">
        <f t="shared" si="686"/>
        <v>30340</v>
      </c>
      <c r="B18105" s="1" t="str">
        <f>"04263"</f>
        <v>04263</v>
      </c>
      <c r="C18105" s="2">
        <v>1.79371384007109E-2</v>
      </c>
      <c r="D18105" s="2">
        <v>5.5083773238466796E-3</v>
      </c>
      <c r="E18105" s="2">
        <v>3.02325581395348E-3</v>
      </c>
      <c r="F18105" s="2">
        <v>1.6083017211649901E-2</v>
      </c>
    </row>
    <row r="18106" spans="1:6" x14ac:dyDescent="0.25">
      <c r="A18106" s="1" t="str">
        <f t="shared" si="686"/>
        <v>30340</v>
      </c>
      <c r="B18106" s="1" t="str">
        <f>"04238"</f>
        <v>04238</v>
      </c>
      <c r="C18106" s="2">
        <v>5.4409924370205102E-5</v>
      </c>
      <c r="D18106" s="2">
        <v>0</v>
      </c>
      <c r="E18106" s="2">
        <v>0</v>
      </c>
      <c r="F18106" s="2">
        <v>4.7026366115935603E-5</v>
      </c>
    </row>
    <row r="18107" spans="1:6" x14ac:dyDescent="0.25">
      <c r="A18107" s="1" t="str">
        <f t="shared" si="686"/>
        <v>30340</v>
      </c>
      <c r="B18107" s="1" t="str">
        <f>"04239"</f>
        <v>04239</v>
      </c>
      <c r="C18107" s="2">
        <v>7.2546565826940105E-5</v>
      </c>
      <c r="D18107" s="2">
        <v>0</v>
      </c>
      <c r="E18107" s="2">
        <v>0</v>
      </c>
      <c r="F18107" s="2">
        <v>6.2701821487914201E-5</v>
      </c>
    </row>
    <row r="18108" spans="1:6" x14ac:dyDescent="0.25">
      <c r="A18108" s="1" t="str">
        <f t="shared" si="686"/>
        <v>30340</v>
      </c>
      <c r="B18108" s="1" t="str">
        <f>"04254"</f>
        <v>04254</v>
      </c>
      <c r="C18108" s="2">
        <v>2.9109309538059701E-2</v>
      </c>
      <c r="D18108" s="2">
        <v>2.3640119348175299E-2</v>
      </c>
      <c r="E18108" s="2">
        <v>2.3720930232558099E-2</v>
      </c>
      <c r="F18108" s="2">
        <v>2.83725742232811E-2</v>
      </c>
    </row>
    <row r="18109" spans="1:6" x14ac:dyDescent="0.25">
      <c r="A18109" s="1" t="str">
        <f t="shared" si="686"/>
        <v>30340</v>
      </c>
      <c r="B18109" s="1" t="str">
        <f>"04270"</f>
        <v>04270</v>
      </c>
      <c r="C18109" s="2">
        <v>2.5391298039429002E-4</v>
      </c>
      <c r="D18109" s="2">
        <v>0</v>
      </c>
      <c r="E18109" s="2">
        <v>0</v>
      </c>
      <c r="F18109" s="2">
        <v>2.1945637520769901E-4</v>
      </c>
    </row>
    <row r="18110" spans="1:6" x14ac:dyDescent="0.25">
      <c r="A18110" s="1" t="str">
        <f t="shared" si="686"/>
        <v>30340</v>
      </c>
      <c r="B18110" s="1" t="str">
        <f>"04236"</f>
        <v>04236</v>
      </c>
      <c r="C18110" s="2">
        <v>3.1285706512867897E-2</v>
      </c>
      <c r="D18110" s="2">
        <v>7.5740188202891804E-3</v>
      </c>
      <c r="E18110" s="2">
        <v>5.5813953488371999E-3</v>
      </c>
      <c r="F18110" s="2">
        <v>2.79336614728657E-2</v>
      </c>
    </row>
    <row r="18111" spans="1:6" x14ac:dyDescent="0.25">
      <c r="A18111" s="1" t="str">
        <f t="shared" si="686"/>
        <v>30340</v>
      </c>
      <c r="B18111" s="1" t="str">
        <f>"04282"</f>
        <v>04282</v>
      </c>
      <c r="C18111" s="2">
        <v>4.1895641765057903E-2</v>
      </c>
      <c r="D18111" s="2">
        <v>3.1214138168464502E-2</v>
      </c>
      <c r="E18111" s="2">
        <v>1.13953488372093E-2</v>
      </c>
      <c r="F18111" s="2">
        <v>3.9110261153086398E-2</v>
      </c>
    </row>
    <row r="18112" spans="1:6" x14ac:dyDescent="0.25">
      <c r="A18112" s="1" t="str">
        <f t="shared" si="686"/>
        <v>30340</v>
      </c>
      <c r="B18112" s="1" t="str">
        <f>"04240"</f>
        <v>04240</v>
      </c>
      <c r="C18112" s="2">
        <v>0.33177358216805403</v>
      </c>
      <c r="D18112" s="2">
        <v>0.38306173972917101</v>
      </c>
      <c r="E18112" s="2">
        <v>0.60860465116278994</v>
      </c>
      <c r="F18112" s="2">
        <v>0.35393610684390298</v>
      </c>
    </row>
    <row r="18113" spans="1:6" x14ac:dyDescent="0.25">
      <c r="A18113" s="1" t="str">
        <f t="shared" si="686"/>
        <v>30340</v>
      </c>
      <c r="B18113" s="1" t="str">
        <f>"04258"</f>
        <v>04258</v>
      </c>
      <c r="C18113" s="2">
        <v>1.9388069717249701E-2</v>
      </c>
      <c r="D18113" s="2">
        <v>3.2132201055772298E-3</v>
      </c>
      <c r="E18113" s="2">
        <v>2.32558139534883E-4</v>
      </c>
      <c r="F18113" s="2">
        <v>1.69921936232247E-2</v>
      </c>
    </row>
    <row r="18114" spans="1:6" x14ac:dyDescent="0.25">
      <c r="A18114" s="1" t="str">
        <f t="shared" si="686"/>
        <v>30340</v>
      </c>
      <c r="B18114" s="1" t="str">
        <f>"04250"</f>
        <v>04250</v>
      </c>
      <c r="C18114" s="2">
        <v>3.6853655440085599E-2</v>
      </c>
      <c r="D18114" s="2">
        <v>1.69841634151939E-2</v>
      </c>
      <c r="E18114" s="2">
        <v>1.46511627906976E-2</v>
      </c>
      <c r="F18114" s="2">
        <v>3.4000062701821397E-2</v>
      </c>
    </row>
    <row r="18115" spans="1:6" x14ac:dyDescent="0.25">
      <c r="A18115" s="1" t="str">
        <f t="shared" si="686"/>
        <v>30340</v>
      </c>
      <c r="B18115" s="1" t="str">
        <f>"04243"</f>
        <v>04243</v>
      </c>
      <c r="C18115" s="2">
        <v>3.21744019442479E-2</v>
      </c>
      <c r="D18115" s="2">
        <v>5.8296993344044E-2</v>
      </c>
      <c r="E18115" s="2">
        <v>2.32558139534883E-4</v>
      </c>
      <c r="F18115" s="2">
        <v>3.1805498949744403E-2</v>
      </c>
    </row>
    <row r="18116" spans="1:6" x14ac:dyDescent="0.25">
      <c r="A18116" s="1" t="str">
        <f t="shared" si="686"/>
        <v>30340</v>
      </c>
      <c r="B18116" s="1" t="str">
        <f>"04266"</f>
        <v>04266</v>
      </c>
      <c r="C18116" s="2">
        <v>0</v>
      </c>
      <c r="D18116" s="2">
        <v>0</v>
      </c>
      <c r="E18116" s="2">
        <v>2.32558139534883E-4</v>
      </c>
      <c r="F18116" s="2">
        <v>1.5675455371978499E-5</v>
      </c>
    </row>
    <row r="18117" spans="1:6" x14ac:dyDescent="0.25">
      <c r="A18117" s="1" t="str">
        <f t="shared" si="686"/>
        <v>30340</v>
      </c>
      <c r="B18117" s="1" t="str">
        <f>"04228"</f>
        <v>04228</v>
      </c>
      <c r="C18117" s="2">
        <v>0</v>
      </c>
      <c r="D18117" s="2">
        <v>0</v>
      </c>
      <c r="E18117" s="2">
        <v>2.32558139534883E-4</v>
      </c>
      <c r="F18117" s="2">
        <v>1.5675455371978499E-5</v>
      </c>
    </row>
    <row r="18118" spans="1:6" x14ac:dyDescent="0.25">
      <c r="A18118" s="1" t="str">
        <f t="shared" si="686"/>
        <v>30340</v>
      </c>
      <c r="B18118" s="1" t="str">
        <f>"04220"</f>
        <v>04220</v>
      </c>
      <c r="C18118" s="2">
        <v>7.2546565826940105E-5</v>
      </c>
      <c r="D18118" s="2">
        <v>0</v>
      </c>
      <c r="E18118" s="2">
        <v>0</v>
      </c>
      <c r="F18118" s="2">
        <v>6.2701821487914201E-5</v>
      </c>
    </row>
    <row r="18119" spans="1:6" x14ac:dyDescent="0.25">
      <c r="A18119" s="1" t="str">
        <f t="shared" si="686"/>
        <v>30340</v>
      </c>
      <c r="B18119" s="1" t="str">
        <f>"04288"</f>
        <v>04288</v>
      </c>
      <c r="C18119" s="2">
        <v>0</v>
      </c>
      <c r="D18119" s="2">
        <v>0</v>
      </c>
      <c r="E18119" s="2">
        <v>2.32558139534883E-4</v>
      </c>
      <c r="F18119" s="2">
        <v>1.5675455371978499E-5</v>
      </c>
    </row>
    <row r="18120" spans="1:6" x14ac:dyDescent="0.25">
      <c r="A18120" s="1" t="str">
        <f t="shared" si="686"/>
        <v>30340</v>
      </c>
      <c r="B18120" s="1" t="str">
        <f>"04291"</f>
        <v>04291</v>
      </c>
      <c r="C18120" s="2">
        <v>0</v>
      </c>
      <c r="D18120" s="2">
        <v>0</v>
      </c>
      <c r="E18120" s="2">
        <v>2.32558139534883E-4</v>
      </c>
      <c r="F18120" s="2">
        <v>1.5675455371978499E-5</v>
      </c>
    </row>
    <row r="18121" spans="1:6" x14ac:dyDescent="0.25">
      <c r="A18121" s="1" t="str">
        <f t="shared" si="686"/>
        <v>30340</v>
      </c>
      <c r="B18121" s="1" t="str">
        <f>"04274"</f>
        <v>04274</v>
      </c>
      <c r="C18121" s="2">
        <v>4.6085205941563699E-2</v>
      </c>
      <c r="D18121" s="2">
        <v>1.6066100527886099E-2</v>
      </c>
      <c r="E18121" s="2">
        <v>3.9534883720930203E-3</v>
      </c>
      <c r="F18121" s="2">
        <v>4.1195096717559603E-2</v>
      </c>
    </row>
    <row r="18122" spans="1:6" x14ac:dyDescent="0.25">
      <c r="A18122" s="1" t="str">
        <f t="shared" si="686"/>
        <v>30340</v>
      </c>
      <c r="B18122" s="1" t="str">
        <f>"04256"</f>
        <v>04256</v>
      </c>
      <c r="C18122" s="2">
        <v>2.54819812467127E-2</v>
      </c>
      <c r="D18122" s="2">
        <v>1.5836584806059199E-2</v>
      </c>
      <c r="E18122" s="2">
        <v>1.8139534883720901E-2</v>
      </c>
      <c r="F18122" s="2">
        <v>2.43283067373107E-2</v>
      </c>
    </row>
    <row r="18123" spans="1:6" x14ac:dyDescent="0.25">
      <c r="A18123" s="1" t="str">
        <f t="shared" si="686"/>
        <v>30340</v>
      </c>
      <c r="B18123" s="1" t="str">
        <f>"04210"</f>
        <v>04210</v>
      </c>
      <c r="C18123" s="2">
        <v>0.20352939042748</v>
      </c>
      <c r="D18123" s="2">
        <v>0.27932063346339198</v>
      </c>
      <c r="E18123" s="2">
        <v>0.27093023255813897</v>
      </c>
      <c r="F18123" s="2">
        <v>0.213248894880396</v>
      </c>
    </row>
    <row r="18124" spans="1:6" x14ac:dyDescent="0.25">
      <c r="A18124" s="1" t="str">
        <f t="shared" ref="A18124:A18138" si="687">"30380"</f>
        <v>30380</v>
      </c>
      <c r="B18124" s="1" t="str">
        <f>"17063"</f>
        <v>17063</v>
      </c>
      <c r="C18124" s="2">
        <v>6.6817612486751998E-2</v>
      </c>
      <c r="D18124" s="2">
        <v>3.7946428571428499E-2</v>
      </c>
      <c r="E18124" s="2">
        <v>2.7463651050080699E-2</v>
      </c>
      <c r="F18124" s="2">
        <v>6.4037674398133806E-2</v>
      </c>
    </row>
    <row r="18125" spans="1:6" x14ac:dyDescent="0.25">
      <c r="A18125" s="1" t="str">
        <f t="shared" si="687"/>
        <v>30380</v>
      </c>
      <c r="B18125" s="1" t="str">
        <f>"17009"</f>
        <v>17009</v>
      </c>
      <c r="C18125" s="2">
        <v>4.5283746025628603E-2</v>
      </c>
      <c r="D18125" s="2">
        <v>9.7470238095237999E-2</v>
      </c>
      <c r="E18125" s="2">
        <v>6.3004846526655806E-2</v>
      </c>
      <c r="F18125" s="2">
        <v>4.88534835614629E-2</v>
      </c>
    </row>
    <row r="18126" spans="1:6" x14ac:dyDescent="0.25">
      <c r="A18126" s="1" t="str">
        <f t="shared" si="687"/>
        <v>30380</v>
      </c>
      <c r="B18126" s="1" t="str">
        <f>"17002"</f>
        <v>17002</v>
      </c>
      <c r="C18126" s="2">
        <v>7.3706522786395603E-3</v>
      </c>
      <c r="D18126" s="2">
        <v>5.9523809523809503E-3</v>
      </c>
      <c r="E18126" s="2">
        <v>0</v>
      </c>
      <c r="F18126" s="2">
        <v>7.0859557237797598E-3</v>
      </c>
    </row>
    <row r="18127" spans="1:6" x14ac:dyDescent="0.25">
      <c r="A18127" s="1" t="str">
        <f t="shared" si="687"/>
        <v>30380</v>
      </c>
      <c r="B18127" s="1" t="str">
        <f>"17004"</f>
        <v>17004</v>
      </c>
      <c r="C18127" s="2">
        <v>8.9555833895365602E-2</v>
      </c>
      <c r="D18127" s="2">
        <v>9.5982142857142794E-2</v>
      </c>
      <c r="E18127" s="2">
        <v>3.5541195476575103E-2</v>
      </c>
      <c r="F18127" s="2">
        <v>8.8464416178865302E-2</v>
      </c>
    </row>
    <row r="18128" spans="1:6" x14ac:dyDescent="0.25">
      <c r="A18128" s="1" t="str">
        <f t="shared" si="687"/>
        <v>30380</v>
      </c>
      <c r="B18128" s="1" t="str">
        <f>"17841"</f>
        <v>17841</v>
      </c>
      <c r="C18128" s="2">
        <v>4.9763946430291903E-2</v>
      </c>
      <c r="D18128" s="2">
        <v>1.33928571428571E-2</v>
      </c>
      <c r="E18128" s="2">
        <v>3.2310177705977298E-3</v>
      </c>
      <c r="F18128" s="2">
        <v>4.6344791162360802E-2</v>
      </c>
    </row>
    <row r="18129" spans="1:6" x14ac:dyDescent="0.25">
      <c r="A18129" s="1" t="str">
        <f t="shared" si="687"/>
        <v>30380</v>
      </c>
      <c r="B18129" s="1" t="str">
        <f>"17075"</f>
        <v>17075</v>
      </c>
      <c r="C18129" s="2">
        <v>0</v>
      </c>
      <c r="D18129" s="2">
        <v>7.4404761904761901E-4</v>
      </c>
      <c r="E18129" s="2">
        <v>0</v>
      </c>
      <c r="F18129" s="2">
        <v>4.4012147352669303E-5</v>
      </c>
    </row>
    <row r="18130" spans="1:6" x14ac:dyDescent="0.25">
      <c r="A18130" s="1" t="str">
        <f t="shared" si="687"/>
        <v>30380</v>
      </c>
      <c r="B18130" s="1" t="str">
        <f>"17054"</f>
        <v>17054</v>
      </c>
      <c r="C18130" s="2">
        <v>0</v>
      </c>
      <c r="D18130" s="2">
        <v>7.4404761904761901E-4</v>
      </c>
      <c r="E18130" s="2">
        <v>0</v>
      </c>
      <c r="F18130" s="2">
        <v>4.4012147352669303E-5</v>
      </c>
    </row>
    <row r="18131" spans="1:6" x14ac:dyDescent="0.25">
      <c r="A18131" s="1" t="str">
        <f t="shared" si="687"/>
        <v>30380</v>
      </c>
      <c r="B18131" s="1" t="str">
        <f>"17099"</f>
        <v>17099</v>
      </c>
      <c r="C18131" s="2">
        <v>2.4424318335099698E-2</v>
      </c>
      <c r="D18131" s="2">
        <v>2.5297619047618999E-2</v>
      </c>
      <c r="E18131" s="2">
        <v>1.6155088852988601E-2</v>
      </c>
      <c r="F18131" s="2">
        <v>2.42506931913208E-2</v>
      </c>
    </row>
    <row r="18132" spans="1:6" x14ac:dyDescent="0.25">
      <c r="A18132" s="1" t="str">
        <f t="shared" si="687"/>
        <v>30380</v>
      </c>
      <c r="B18132" s="1" t="str">
        <f>"17044"</f>
        <v>17044</v>
      </c>
      <c r="C18132" s="2">
        <v>0.51141728490220595</v>
      </c>
      <c r="D18132" s="2">
        <v>0.61532738095238004</v>
      </c>
      <c r="E18132" s="2">
        <v>0.78998384491114704</v>
      </c>
      <c r="F18132" s="2">
        <v>0.52515294221205</v>
      </c>
    </row>
    <row r="18133" spans="1:6" x14ac:dyDescent="0.25">
      <c r="A18133" s="1" t="str">
        <f t="shared" si="687"/>
        <v>30380</v>
      </c>
      <c r="B18133" s="1" t="str">
        <f>"17059"</f>
        <v>17059</v>
      </c>
      <c r="C18133" s="2">
        <v>9.6348395799209901E-5</v>
      </c>
      <c r="D18133" s="2">
        <v>0</v>
      </c>
      <c r="E18133" s="2">
        <v>0</v>
      </c>
      <c r="F18133" s="2">
        <v>8.8024294705338606E-5</v>
      </c>
    </row>
    <row r="18134" spans="1:6" x14ac:dyDescent="0.25">
      <c r="A18134" s="1" t="str">
        <f t="shared" si="687"/>
        <v>30380</v>
      </c>
      <c r="B18134" s="1" t="str">
        <f>"17060"</f>
        <v>17060</v>
      </c>
      <c r="C18134" s="2">
        <v>9.6348395799209901E-5</v>
      </c>
      <c r="D18134" s="2">
        <v>0</v>
      </c>
      <c r="E18134" s="2">
        <v>0</v>
      </c>
      <c r="F18134" s="2">
        <v>8.8024294705338606E-5</v>
      </c>
    </row>
    <row r="18135" spans="1:6" x14ac:dyDescent="0.25">
      <c r="A18135" s="1" t="str">
        <f t="shared" si="687"/>
        <v>30380</v>
      </c>
      <c r="B18135" s="1" t="str">
        <f>"17066"</f>
        <v>17066</v>
      </c>
      <c r="C18135" s="2">
        <v>2.7555641198574E-2</v>
      </c>
      <c r="D18135" s="2">
        <v>1.86011904761904E-2</v>
      </c>
      <c r="E18135" s="2">
        <v>9.6930533117932094E-3</v>
      </c>
      <c r="F18135" s="2">
        <v>2.6539324853659601E-2</v>
      </c>
    </row>
    <row r="18136" spans="1:6" x14ac:dyDescent="0.25">
      <c r="A18136" s="1" t="str">
        <f t="shared" si="687"/>
        <v>30380</v>
      </c>
      <c r="B18136" s="1" t="str">
        <f>"17051"</f>
        <v>17051</v>
      </c>
      <c r="C18136" s="2">
        <v>8.8158782156276996E-2</v>
      </c>
      <c r="D18136" s="2">
        <v>2.9761904761904701E-2</v>
      </c>
      <c r="E18136" s="2">
        <v>9.6930533117932094E-3</v>
      </c>
      <c r="F18136" s="2">
        <v>8.2566788433607596E-2</v>
      </c>
    </row>
    <row r="18137" spans="1:6" x14ac:dyDescent="0.25">
      <c r="A18137" s="1" t="str">
        <f t="shared" si="687"/>
        <v>30380</v>
      </c>
      <c r="B18137" s="1" t="str">
        <f>"17084"</f>
        <v>17084</v>
      </c>
      <c r="C18137" s="2">
        <v>8.1703439637729997E-2</v>
      </c>
      <c r="D18137" s="2">
        <v>5.8035714285714197E-2</v>
      </c>
      <c r="E18137" s="2">
        <v>4.5234248788368299E-2</v>
      </c>
      <c r="F18137" s="2">
        <v>7.9309889529510097E-2</v>
      </c>
    </row>
    <row r="18138" spans="1:6" x14ac:dyDescent="0.25">
      <c r="A18138" s="1" t="str">
        <f t="shared" si="687"/>
        <v>30380</v>
      </c>
      <c r="B18138" s="1" t="str">
        <f>"17029"</f>
        <v>17029</v>
      </c>
      <c r="C18138" s="2">
        <v>7.7560458618363996E-3</v>
      </c>
      <c r="D18138" s="2">
        <v>7.4404761904761901E-4</v>
      </c>
      <c r="E18138" s="2">
        <v>0</v>
      </c>
      <c r="F18138" s="2">
        <v>7.1299678711324302E-3</v>
      </c>
    </row>
    <row r="18139" spans="1:6" x14ac:dyDescent="0.25">
      <c r="A18139" s="1" t="str">
        <f t="shared" ref="A18139:A18157" si="688">"30420"</f>
        <v>30420</v>
      </c>
      <c r="B18139" s="1" t="str">
        <f>"68937"</f>
        <v>68937</v>
      </c>
      <c r="C18139" s="2">
        <v>0.105704985437724</v>
      </c>
      <c r="D18139" s="2">
        <v>3.7753222836095703E-2</v>
      </c>
      <c r="E18139" s="2">
        <v>3.4912718204488699E-2</v>
      </c>
      <c r="F18139" s="2">
        <v>9.7940885950915504E-2</v>
      </c>
    </row>
    <row r="18140" spans="1:6" x14ac:dyDescent="0.25">
      <c r="A18140" s="1" t="str">
        <f t="shared" si="688"/>
        <v>30420</v>
      </c>
      <c r="B18140" s="1" t="str">
        <f>"68858"</f>
        <v>68858</v>
      </c>
      <c r="C18140" s="2">
        <v>8.5660442007880699E-5</v>
      </c>
      <c r="D18140" s="2">
        <v>0</v>
      </c>
      <c r="E18140" s="2">
        <v>0</v>
      </c>
      <c r="F18140" s="2">
        <v>7.5982068231897202E-5</v>
      </c>
    </row>
    <row r="18141" spans="1:6" x14ac:dyDescent="0.25">
      <c r="A18141" s="1" t="str">
        <f t="shared" si="688"/>
        <v>30420</v>
      </c>
      <c r="B18141" s="1" t="str">
        <f>"68936"</f>
        <v>68936</v>
      </c>
      <c r="C18141" s="2">
        <v>1.1135857461024401E-3</v>
      </c>
      <c r="D18141" s="2">
        <v>2.7624309392265101E-3</v>
      </c>
      <c r="E18141" s="2">
        <v>0</v>
      </c>
      <c r="F18141" s="2">
        <v>1.21571309171035E-3</v>
      </c>
    </row>
    <row r="18142" spans="1:6" x14ac:dyDescent="0.25">
      <c r="A18142" s="1" t="str">
        <f t="shared" si="688"/>
        <v>30420</v>
      </c>
      <c r="B18142" s="1" t="str">
        <f>"69028"</f>
        <v>69028</v>
      </c>
      <c r="C18142" s="2">
        <v>7.8807606647250204E-3</v>
      </c>
      <c r="D18142" s="2">
        <v>1.8416206261510099E-3</v>
      </c>
      <c r="E18142" s="2">
        <v>0</v>
      </c>
      <c r="F18142" s="2">
        <v>7.1423144137983396E-3</v>
      </c>
    </row>
    <row r="18143" spans="1:6" x14ac:dyDescent="0.25">
      <c r="A18143" s="1" t="str">
        <f t="shared" si="688"/>
        <v>30420</v>
      </c>
      <c r="B18143" s="1" t="str">
        <f>"69138"</f>
        <v>69138</v>
      </c>
      <c r="C18143" s="2">
        <v>0.170121637827651</v>
      </c>
      <c r="D18143" s="2">
        <v>0.19060773480662899</v>
      </c>
      <c r="E18143" s="2">
        <v>0.28179551122194502</v>
      </c>
      <c r="F18143" s="2">
        <v>0.17521464934275499</v>
      </c>
    </row>
    <row r="18144" spans="1:6" x14ac:dyDescent="0.25">
      <c r="A18144" s="1" t="str">
        <f t="shared" si="688"/>
        <v>30420</v>
      </c>
      <c r="B18144" s="1" t="str">
        <f>"68948"</f>
        <v>68948</v>
      </c>
      <c r="C18144" s="2">
        <v>1.54188795614185E-3</v>
      </c>
      <c r="D18144" s="2">
        <v>0</v>
      </c>
      <c r="E18144" s="2">
        <v>0</v>
      </c>
      <c r="F18144" s="2">
        <v>1.36767722817415E-3</v>
      </c>
    </row>
    <row r="18145" spans="1:6" x14ac:dyDescent="0.25">
      <c r="A18145" s="1" t="str">
        <f t="shared" si="688"/>
        <v>30420</v>
      </c>
      <c r="B18145" s="1" t="str">
        <f>"68976"</f>
        <v>68976</v>
      </c>
      <c r="C18145" s="2">
        <v>8.1377419907486693E-3</v>
      </c>
      <c r="D18145" s="2">
        <v>2.7624309392265101E-3</v>
      </c>
      <c r="E18145" s="2">
        <v>0</v>
      </c>
      <c r="F18145" s="2">
        <v>7.4462426867259301E-3</v>
      </c>
    </row>
    <row r="18146" spans="1:6" x14ac:dyDescent="0.25">
      <c r="A18146" s="1" t="str">
        <f t="shared" si="688"/>
        <v>30420</v>
      </c>
      <c r="B18146" s="1" t="str">
        <f>"68967"</f>
        <v>68967</v>
      </c>
      <c r="C18146" s="2">
        <v>8.5660442007880699E-5</v>
      </c>
      <c r="D18146" s="2">
        <v>0</v>
      </c>
      <c r="E18146" s="2">
        <v>0</v>
      </c>
      <c r="F18146" s="2">
        <v>7.5982068231897202E-5</v>
      </c>
    </row>
    <row r="18147" spans="1:6" x14ac:dyDescent="0.25">
      <c r="A18147" s="1" t="str">
        <f t="shared" si="688"/>
        <v>30420</v>
      </c>
      <c r="B18147" s="1" t="str">
        <f>"68836"</f>
        <v>68836</v>
      </c>
      <c r="C18147" s="2">
        <v>1.79886928216549E-3</v>
      </c>
      <c r="D18147" s="2">
        <v>0</v>
      </c>
      <c r="E18147" s="2">
        <v>0</v>
      </c>
      <c r="F18147" s="2">
        <v>1.59562343286984E-3</v>
      </c>
    </row>
    <row r="18148" spans="1:6" x14ac:dyDescent="0.25">
      <c r="A18148" s="1" t="str">
        <f t="shared" si="688"/>
        <v>30420</v>
      </c>
      <c r="B18148" s="1" t="str">
        <f>"69130"</f>
        <v>69130</v>
      </c>
      <c r="C18148" s="2">
        <v>0.22168922391639501</v>
      </c>
      <c r="D18148" s="2">
        <v>0.27900552486187802</v>
      </c>
      <c r="E18148" s="2">
        <v>9.7256857855361506E-2</v>
      </c>
      <c r="F18148" s="2">
        <v>0.22262745991945901</v>
      </c>
    </row>
    <row r="18149" spans="1:6" x14ac:dyDescent="0.25">
      <c r="A18149" s="1" t="str">
        <f t="shared" si="688"/>
        <v>30420</v>
      </c>
      <c r="B18149" s="1" t="str">
        <f>"69171"</f>
        <v>69171</v>
      </c>
      <c r="C18149" s="2">
        <v>8.5660442007880699E-4</v>
      </c>
      <c r="D18149" s="2">
        <v>4.60405156537753E-3</v>
      </c>
      <c r="E18149" s="2">
        <v>2.4937655860349101E-3</v>
      </c>
      <c r="F18149" s="2">
        <v>1.21571309171035E-3</v>
      </c>
    </row>
    <row r="18150" spans="1:6" x14ac:dyDescent="0.25">
      <c r="A18150" s="1" t="str">
        <f t="shared" si="688"/>
        <v>30420</v>
      </c>
      <c r="B18150" s="1" t="str">
        <f>"68927"</f>
        <v>68927</v>
      </c>
      <c r="C18150" s="2">
        <v>4.4543429844097898E-3</v>
      </c>
      <c r="D18150" s="2">
        <v>1.8416206261510099E-3</v>
      </c>
      <c r="E18150" s="2">
        <v>0</v>
      </c>
      <c r="F18150" s="2">
        <v>4.10303168452245E-3</v>
      </c>
    </row>
    <row r="18151" spans="1:6" x14ac:dyDescent="0.25">
      <c r="A18151" s="1" t="str">
        <f t="shared" si="688"/>
        <v>30420</v>
      </c>
      <c r="B18151" s="1" t="str">
        <f>"68922"</f>
        <v>68922</v>
      </c>
      <c r="C18151" s="2">
        <v>4.6256638684255601E-3</v>
      </c>
      <c r="D18151" s="2">
        <v>0</v>
      </c>
      <c r="E18151" s="2">
        <v>2.4937655860349101E-3</v>
      </c>
      <c r="F18151" s="2">
        <v>4.1790137527543403E-3</v>
      </c>
    </row>
    <row r="18152" spans="1:6" x14ac:dyDescent="0.25">
      <c r="A18152" s="1" t="str">
        <f t="shared" si="688"/>
        <v>30420</v>
      </c>
      <c r="B18152" s="1" t="str">
        <f>"68850"</f>
        <v>68850</v>
      </c>
      <c r="C18152" s="2">
        <v>0.394295014562275</v>
      </c>
      <c r="D18152" s="2">
        <v>0.46777163904235702</v>
      </c>
      <c r="E18152" s="2">
        <v>0.55860349127181996</v>
      </c>
      <c r="F18152" s="2">
        <v>0.40536433401717098</v>
      </c>
    </row>
    <row r="18153" spans="1:6" x14ac:dyDescent="0.25">
      <c r="A18153" s="1" t="str">
        <f t="shared" si="688"/>
        <v>30420</v>
      </c>
      <c r="B18153" s="1" t="str">
        <f>"69029"</f>
        <v>69029</v>
      </c>
      <c r="C18153" s="2">
        <v>8.6517046427959498E-3</v>
      </c>
      <c r="D18153" s="2">
        <v>4.60405156537753E-3</v>
      </c>
      <c r="E18153" s="2">
        <v>1.24688279301745E-2</v>
      </c>
      <c r="F18153" s="2">
        <v>8.4340095737405908E-3</v>
      </c>
    </row>
    <row r="18154" spans="1:6" x14ac:dyDescent="0.25">
      <c r="A18154" s="1" t="str">
        <f t="shared" si="688"/>
        <v>30420</v>
      </c>
      <c r="B18154" s="1" t="str">
        <f>"69022"</f>
        <v>69022</v>
      </c>
      <c r="C18154" s="2">
        <v>5.99623094055165E-4</v>
      </c>
      <c r="D18154" s="2">
        <v>0</v>
      </c>
      <c r="E18154" s="2">
        <v>0</v>
      </c>
      <c r="F18154" s="2">
        <v>5.3187447762328001E-4</v>
      </c>
    </row>
    <row r="18155" spans="1:6" x14ac:dyDescent="0.25">
      <c r="A18155" s="1" t="str">
        <f t="shared" si="688"/>
        <v>30420</v>
      </c>
      <c r="B18155" s="1" t="str">
        <f>"68878"</f>
        <v>68878</v>
      </c>
      <c r="C18155" s="2">
        <v>1.7217748843583999E-2</v>
      </c>
      <c r="D18155" s="2">
        <v>2.7624309392265101E-3</v>
      </c>
      <c r="E18155" s="2">
        <v>0</v>
      </c>
      <c r="F18155" s="2">
        <v>1.5500341919306999E-2</v>
      </c>
    </row>
    <row r="18156" spans="1:6" x14ac:dyDescent="0.25">
      <c r="A18156" s="1" t="str">
        <f t="shared" si="688"/>
        <v>30420</v>
      </c>
      <c r="B18156" s="1" t="str">
        <f>"68863"</f>
        <v>68863</v>
      </c>
      <c r="C18156" s="2">
        <v>4.2230597909885197E-2</v>
      </c>
      <c r="D18156" s="2">
        <v>3.6832412523020198E-3</v>
      </c>
      <c r="E18156" s="2">
        <v>7.4812967581047302E-3</v>
      </c>
      <c r="F18156" s="2">
        <v>3.7991034115948598E-2</v>
      </c>
    </row>
    <row r="18157" spans="1:6" x14ac:dyDescent="0.25">
      <c r="A18157" s="1" t="str">
        <f t="shared" si="688"/>
        <v>30420</v>
      </c>
      <c r="B18157" s="1" t="str">
        <f>"68834"</f>
        <v>68834</v>
      </c>
      <c r="C18157" s="2">
        <v>8.90868596881959E-3</v>
      </c>
      <c r="D18157" s="2">
        <v>0</v>
      </c>
      <c r="E18157" s="2">
        <v>2.4937655860349101E-3</v>
      </c>
      <c r="F18157" s="2">
        <v>7.9781171643492094E-3</v>
      </c>
    </row>
    <row r="18158" spans="1:6" x14ac:dyDescent="0.25">
      <c r="A18158" s="1" t="str">
        <f t="shared" ref="A18158:A18189" si="689">"30460"</f>
        <v>30460</v>
      </c>
      <c r="B18158" s="1" t="str">
        <f>"40356"</f>
        <v>40356</v>
      </c>
      <c r="C18158" s="2">
        <v>7.4645979861460501E-2</v>
      </c>
      <c r="D18158" s="2">
        <v>7.7603871474037495E-2</v>
      </c>
      <c r="E18158" s="2">
        <v>5.1898222940226099E-2</v>
      </c>
      <c r="F18158" s="2">
        <v>7.4078081717451505E-2</v>
      </c>
    </row>
    <row r="18159" spans="1:6" x14ac:dyDescent="0.25">
      <c r="A18159" s="1" t="str">
        <f t="shared" si="689"/>
        <v>30460</v>
      </c>
      <c r="B18159" s="1" t="str">
        <f>"40578"</f>
        <v>40578</v>
      </c>
      <c r="C18159" s="2">
        <v>1.59569897752519E-4</v>
      </c>
      <c r="D18159" s="2">
        <v>1.5695165017221E-3</v>
      </c>
      <c r="E18159" s="2">
        <v>2.01938610662358E-4</v>
      </c>
      <c r="F18159" s="2">
        <v>2.7772968605724801E-4</v>
      </c>
    </row>
    <row r="18160" spans="1:6" x14ac:dyDescent="0.25">
      <c r="A18160" s="1" t="str">
        <f t="shared" si="689"/>
        <v>30460</v>
      </c>
      <c r="B18160" s="1" t="str">
        <f>"40588"</f>
        <v>40588</v>
      </c>
      <c r="C18160" s="2">
        <v>4.7666392533765303E-3</v>
      </c>
      <c r="D18160" s="2">
        <v>2.3411954484021402E-2</v>
      </c>
      <c r="E18160" s="2">
        <v>2.01938610662358E-4</v>
      </c>
      <c r="F18160" s="2">
        <v>6.1461218836564996E-3</v>
      </c>
    </row>
    <row r="18161" spans="1:6" x14ac:dyDescent="0.25">
      <c r="A18161" s="1" t="str">
        <f t="shared" si="689"/>
        <v>30460</v>
      </c>
      <c r="B18161" s="1" t="str">
        <f>"40583"</f>
        <v>40583</v>
      </c>
      <c r="C18161" s="2">
        <v>2.3689992512489402E-3</v>
      </c>
      <c r="D18161" s="2">
        <v>7.7603871474037503E-3</v>
      </c>
      <c r="E18161" s="2">
        <v>2.01938610662358E-4</v>
      </c>
      <c r="F18161" s="2">
        <v>2.7376211911357301E-3</v>
      </c>
    </row>
    <row r="18162" spans="1:6" x14ac:dyDescent="0.25">
      <c r="A18162" s="1" t="str">
        <f t="shared" si="689"/>
        <v>30460</v>
      </c>
      <c r="B18162" s="1" t="str">
        <f>"40576"</f>
        <v>40576</v>
      </c>
      <c r="C18162" s="2">
        <v>2.9868211630599699E-4</v>
      </c>
      <c r="D18162" s="2">
        <v>1.5259188211187099E-3</v>
      </c>
      <c r="E18162" s="2">
        <v>2.01938610662358E-4</v>
      </c>
      <c r="F18162" s="2">
        <v>3.9675669436749699E-4</v>
      </c>
    </row>
    <row r="18163" spans="1:6" x14ac:dyDescent="0.25">
      <c r="A18163" s="1" t="str">
        <f t="shared" si="689"/>
        <v>30460</v>
      </c>
      <c r="B18163" s="1" t="str">
        <f>"40339"</f>
        <v>40339</v>
      </c>
      <c r="C18163" s="2">
        <v>8.1830716796163705E-6</v>
      </c>
      <c r="D18163" s="2">
        <v>0</v>
      </c>
      <c r="E18163" s="2">
        <v>1.00969305331179E-4</v>
      </c>
      <c r="F18163" s="2">
        <v>1.0820637119113501E-5</v>
      </c>
    </row>
    <row r="18164" spans="1:6" x14ac:dyDescent="0.25">
      <c r="A18164" s="1" t="str">
        <f t="shared" si="689"/>
        <v>30460</v>
      </c>
      <c r="B18164" s="1" t="str">
        <f>"41010"</f>
        <v>41010</v>
      </c>
      <c r="C18164" s="2">
        <v>1.92302184470984E-4</v>
      </c>
      <c r="D18164" s="2">
        <v>0</v>
      </c>
      <c r="E18164" s="2">
        <v>0</v>
      </c>
      <c r="F18164" s="2">
        <v>1.6952331486611201E-4</v>
      </c>
    </row>
    <row r="18165" spans="1:6" x14ac:dyDescent="0.25">
      <c r="A18165" s="1" t="str">
        <f t="shared" si="689"/>
        <v>30460</v>
      </c>
      <c r="B18165" s="1" t="str">
        <f>"40591"</f>
        <v>40591</v>
      </c>
      <c r="C18165" s="2">
        <v>2.1357817083798702E-3</v>
      </c>
      <c r="D18165" s="2">
        <v>1.54335789336007E-2</v>
      </c>
      <c r="E18165" s="2">
        <v>2.01938610662358E-4</v>
      </c>
      <c r="F18165" s="2">
        <v>3.16683979686057E-3</v>
      </c>
    </row>
    <row r="18166" spans="1:6" x14ac:dyDescent="0.25">
      <c r="A18166" s="1" t="str">
        <f t="shared" si="689"/>
        <v>30460</v>
      </c>
      <c r="B18166" s="1" t="str">
        <f>"40391"</f>
        <v>40391</v>
      </c>
      <c r="C18166" s="2">
        <v>6.7350771459082498E-2</v>
      </c>
      <c r="D18166" s="2">
        <v>5.4540698434843202E-2</v>
      </c>
      <c r="E18166" s="2">
        <v>4.8465266558965998E-2</v>
      </c>
      <c r="F18166" s="2">
        <v>6.5616343490304693E-2</v>
      </c>
    </row>
    <row r="18167" spans="1:6" x14ac:dyDescent="0.25">
      <c r="A18167" s="1" t="str">
        <f t="shared" si="689"/>
        <v>30460</v>
      </c>
      <c r="B18167" s="1" t="str">
        <f>"40379"</f>
        <v>40379</v>
      </c>
      <c r="C18167" s="2">
        <v>6.4687181627367399E-3</v>
      </c>
      <c r="D18167" s="2">
        <v>1.35152809870514E-3</v>
      </c>
      <c r="E18167" s="2">
        <v>1.41357027463651E-3</v>
      </c>
      <c r="F18167" s="2">
        <v>5.8647853185595502E-3</v>
      </c>
    </row>
    <row r="18168" spans="1:6" x14ac:dyDescent="0.25">
      <c r="A18168" s="1" t="str">
        <f t="shared" si="689"/>
        <v>30460</v>
      </c>
      <c r="B18168" s="1" t="str">
        <f>"40511"</f>
        <v>40511</v>
      </c>
      <c r="C18168" s="2">
        <v>6.2150429406686303E-2</v>
      </c>
      <c r="D18168" s="2">
        <v>6.0295592274490897E-2</v>
      </c>
      <c r="E18168" s="2">
        <v>5.3917609046849703E-2</v>
      </c>
      <c r="F18168" s="2">
        <v>6.1702879732225303E-2</v>
      </c>
    </row>
    <row r="18169" spans="1:6" x14ac:dyDescent="0.25">
      <c r="A18169" s="1" t="str">
        <f t="shared" si="689"/>
        <v>30460</v>
      </c>
      <c r="B18169" s="1" t="str">
        <f>"40374"</f>
        <v>40374</v>
      </c>
      <c r="C18169" s="2">
        <v>8.1830716796163705E-5</v>
      </c>
      <c r="D18169" s="2">
        <v>4.3597680603391797E-5</v>
      </c>
      <c r="E18169" s="2">
        <v>0</v>
      </c>
      <c r="F18169" s="2">
        <v>7.5744459833794995E-5</v>
      </c>
    </row>
    <row r="18170" spans="1:6" x14ac:dyDescent="0.25">
      <c r="A18170" s="1" t="str">
        <f t="shared" si="689"/>
        <v>30460</v>
      </c>
      <c r="B18170" s="1" t="str">
        <f>"40581"</f>
        <v>40581</v>
      </c>
      <c r="C18170" s="2">
        <v>2.2094293534964199E-4</v>
      </c>
      <c r="D18170" s="2">
        <v>1.0463443344814001E-3</v>
      </c>
      <c r="E18170" s="2">
        <v>2.01938610662358E-4</v>
      </c>
      <c r="F18170" s="2">
        <v>2.8855032317636099E-4</v>
      </c>
    </row>
    <row r="18171" spans="1:6" x14ac:dyDescent="0.25">
      <c r="A18171" s="1" t="str">
        <f t="shared" si="689"/>
        <v>30460</v>
      </c>
      <c r="B18171" s="1" t="str">
        <f>"40340"</f>
        <v>40340</v>
      </c>
      <c r="C18171" s="2">
        <v>3.8501352252595E-3</v>
      </c>
      <c r="D18171" s="2">
        <v>9.9402711775733506E-3</v>
      </c>
      <c r="E18171" s="2">
        <v>2.01938610662358E-4</v>
      </c>
      <c r="F18171" s="2">
        <v>4.2236553554939899E-3</v>
      </c>
    </row>
    <row r="18172" spans="1:6" x14ac:dyDescent="0.25">
      <c r="A18172" s="1" t="str">
        <f t="shared" si="689"/>
        <v>30460</v>
      </c>
      <c r="B18172" s="1" t="str">
        <f>"40555"</f>
        <v>40555</v>
      </c>
      <c r="C18172" s="2">
        <v>3.0113703780988198E-3</v>
      </c>
      <c r="D18172" s="2">
        <v>1.6479923268082099E-2</v>
      </c>
      <c r="E18172" s="2">
        <v>2.01938610662358E-4</v>
      </c>
      <c r="F18172" s="2">
        <v>4.0252770083102404E-3</v>
      </c>
    </row>
    <row r="18173" spans="1:6" x14ac:dyDescent="0.25">
      <c r="A18173" s="1" t="str">
        <f t="shared" si="689"/>
        <v>30460</v>
      </c>
      <c r="B18173" s="1" t="str">
        <f>"40510"</f>
        <v>40510</v>
      </c>
      <c r="C18173" s="2">
        <v>1.5220513324086401E-3</v>
      </c>
      <c r="D18173" s="2">
        <v>9.4606966909360404E-3</v>
      </c>
      <c r="E18173" s="2">
        <v>2.9281098546041998E-3</v>
      </c>
      <c r="F18173" s="2">
        <v>2.22905124653739E-3</v>
      </c>
    </row>
    <row r="18174" spans="1:6" x14ac:dyDescent="0.25">
      <c r="A18174" s="1" t="str">
        <f t="shared" si="689"/>
        <v>30460</v>
      </c>
      <c r="B18174" s="1" t="str">
        <f>"40347"</f>
        <v>40347</v>
      </c>
      <c r="C18174" s="2">
        <v>4.9630329736873296E-3</v>
      </c>
      <c r="D18174" s="2">
        <v>3.4878144482713498E-3</v>
      </c>
      <c r="E18174" s="2">
        <v>1.3126009693053299E-3</v>
      </c>
      <c r="F18174" s="2">
        <v>4.7105840258541004E-3</v>
      </c>
    </row>
    <row r="18175" spans="1:6" x14ac:dyDescent="0.25">
      <c r="A18175" s="1" t="str">
        <f t="shared" si="689"/>
        <v>30460</v>
      </c>
      <c r="B18175" s="1" t="str">
        <f>"40361"</f>
        <v>40361</v>
      </c>
      <c r="C18175" s="2">
        <v>3.4823061532607398E-2</v>
      </c>
      <c r="D18175" s="2">
        <v>2.9864411213323401E-2</v>
      </c>
      <c r="E18175" s="2">
        <v>2.24151857835218E-2</v>
      </c>
      <c r="F18175" s="2">
        <v>3.3969586795937201E-2</v>
      </c>
    </row>
    <row r="18176" spans="1:6" x14ac:dyDescent="0.25">
      <c r="A18176" s="1" t="str">
        <f t="shared" si="689"/>
        <v>30460</v>
      </c>
      <c r="B18176" s="1" t="str">
        <f>"40502"</f>
        <v>40502</v>
      </c>
      <c r="C18176" s="2">
        <v>5.7514719300183703E-2</v>
      </c>
      <c r="D18176" s="2">
        <v>3.2305881327113303E-2</v>
      </c>
      <c r="E18176" s="2">
        <v>0.103089660743134</v>
      </c>
      <c r="F18176" s="2">
        <v>5.7057219529085802E-2</v>
      </c>
    </row>
    <row r="18177" spans="1:6" x14ac:dyDescent="0.25">
      <c r="A18177" s="1" t="str">
        <f t="shared" si="689"/>
        <v>30460</v>
      </c>
      <c r="B18177" s="1" t="str">
        <f>"40514"</f>
        <v>40514</v>
      </c>
      <c r="C18177" s="2">
        <v>2.7466480092632299E-2</v>
      </c>
      <c r="D18177" s="2">
        <v>3.8365958930984801E-3</v>
      </c>
      <c r="E18177" s="2">
        <v>4.8465266558966004E-3</v>
      </c>
      <c r="F18177" s="2">
        <v>2.4703514542936199E-2</v>
      </c>
    </row>
    <row r="18178" spans="1:6" x14ac:dyDescent="0.25">
      <c r="A18178" s="1" t="str">
        <f t="shared" si="689"/>
        <v>30460</v>
      </c>
      <c r="B18178" s="1" t="str">
        <f>"40390"</f>
        <v>40390</v>
      </c>
      <c r="C18178" s="2">
        <v>1.1317188132909399E-2</v>
      </c>
      <c r="D18178" s="2">
        <v>4.7085495051663196E-3</v>
      </c>
      <c r="E18178" s="2">
        <v>9.5920840064620295E-3</v>
      </c>
      <c r="F18178" s="2">
        <v>1.0708823868882699E-2</v>
      </c>
    </row>
    <row r="18179" spans="1:6" x14ac:dyDescent="0.25">
      <c r="A18179" s="1" t="str">
        <f t="shared" si="689"/>
        <v>30460</v>
      </c>
      <c r="B18179" s="1" t="str">
        <f>"40522"</f>
        <v>40522</v>
      </c>
      <c r="C18179" s="2">
        <v>2.1644224592585301E-3</v>
      </c>
      <c r="D18179" s="2">
        <v>1.3471683306448001E-2</v>
      </c>
      <c r="E18179" s="2">
        <v>2.01938610662358E-4</v>
      </c>
      <c r="F18179" s="2">
        <v>3.0297783933517998E-3</v>
      </c>
    </row>
    <row r="18180" spans="1:6" x14ac:dyDescent="0.25">
      <c r="A18180" s="1" t="str">
        <f t="shared" si="689"/>
        <v>30460</v>
      </c>
      <c r="B18180" s="1" t="str">
        <f>"40509"</f>
        <v>40509</v>
      </c>
      <c r="C18180" s="2">
        <v>8.3630992565679296E-2</v>
      </c>
      <c r="D18180" s="2">
        <v>8.4361511967563294E-2</v>
      </c>
      <c r="E18180" s="2">
        <v>6.7447495961227705E-2</v>
      </c>
      <c r="F18180" s="2">
        <v>8.3113313711911302E-2</v>
      </c>
    </row>
    <row r="18181" spans="1:6" x14ac:dyDescent="0.25">
      <c r="A18181" s="1" t="str">
        <f t="shared" si="689"/>
        <v>30460</v>
      </c>
      <c r="B18181" s="1" t="str">
        <f>"40507"</f>
        <v>40507</v>
      </c>
      <c r="C18181" s="2">
        <v>6.6855695622465797E-3</v>
      </c>
      <c r="D18181" s="2">
        <v>4.7565069538300503E-2</v>
      </c>
      <c r="E18181" s="2">
        <v>4.0690630048465203E-2</v>
      </c>
      <c r="F18181" s="2">
        <v>1.12823176361957E-2</v>
      </c>
    </row>
    <row r="18182" spans="1:6" x14ac:dyDescent="0.25">
      <c r="A18182" s="1" t="str">
        <f t="shared" si="689"/>
        <v>30460</v>
      </c>
      <c r="B18182" s="1" t="str">
        <f>"40353"</f>
        <v>40353</v>
      </c>
      <c r="C18182" s="2">
        <v>5.44174266694489E-4</v>
      </c>
      <c r="D18182" s="2">
        <v>0</v>
      </c>
      <c r="E18182" s="2">
        <v>1.00969305331179E-4</v>
      </c>
      <c r="F18182" s="2">
        <v>4.83321791320406E-4</v>
      </c>
    </row>
    <row r="18183" spans="1:6" x14ac:dyDescent="0.25">
      <c r="A18183" s="1" t="str">
        <f t="shared" si="689"/>
        <v>30460</v>
      </c>
      <c r="B18183" s="1" t="str">
        <f>"40312"</f>
        <v>40312</v>
      </c>
      <c r="C18183" s="2">
        <v>4.0915358398081802E-6</v>
      </c>
      <c r="D18183" s="2">
        <v>0</v>
      </c>
      <c r="E18183" s="2">
        <v>0</v>
      </c>
      <c r="F18183" s="2">
        <v>3.6068790397045201E-6</v>
      </c>
    </row>
    <row r="18184" spans="1:6" x14ac:dyDescent="0.25">
      <c r="A18184" s="1" t="str">
        <f t="shared" si="689"/>
        <v>30460</v>
      </c>
      <c r="B18184" s="1" t="str">
        <f>"40574"</f>
        <v>40574</v>
      </c>
      <c r="C18184" s="2">
        <v>3.10956723825422E-4</v>
      </c>
      <c r="D18184" s="2">
        <v>1.00274665387801E-3</v>
      </c>
      <c r="E18184" s="2">
        <v>2.01938610662358E-4</v>
      </c>
      <c r="F18184" s="2">
        <v>3.6429478301015599E-4</v>
      </c>
    </row>
    <row r="18185" spans="1:6" x14ac:dyDescent="0.25">
      <c r="A18185" s="1" t="str">
        <f t="shared" si="689"/>
        <v>30460</v>
      </c>
      <c r="B18185" s="1" t="str">
        <f>"40533"</f>
        <v>40533</v>
      </c>
      <c r="C18185" s="2">
        <v>2.4876537906033699E-3</v>
      </c>
      <c r="D18185" s="2">
        <v>7.0628242577494803E-3</v>
      </c>
      <c r="E18185" s="2">
        <v>2.01938610662358E-4</v>
      </c>
      <c r="F18185" s="2">
        <v>2.7845106186518902E-3</v>
      </c>
    </row>
    <row r="18186" spans="1:6" x14ac:dyDescent="0.25">
      <c r="A18186" s="1" t="str">
        <f t="shared" si="689"/>
        <v>30460</v>
      </c>
      <c r="B18186" s="1" t="str">
        <f>"40508"</f>
        <v>40508</v>
      </c>
      <c r="C18186" s="2">
        <v>4.8456058950848299E-2</v>
      </c>
      <c r="D18186" s="2">
        <v>4.7608667218903902E-2</v>
      </c>
      <c r="E18186" s="2">
        <v>0.13640953150242299</v>
      </c>
      <c r="F18186" s="2">
        <v>5.1527873961218801E-2</v>
      </c>
    </row>
    <row r="18187" spans="1:6" x14ac:dyDescent="0.25">
      <c r="A18187" s="1" t="str">
        <f t="shared" si="689"/>
        <v>30460</v>
      </c>
      <c r="B18187" s="1" t="str">
        <f>"40370"</f>
        <v>40370</v>
      </c>
      <c r="C18187" s="2">
        <v>4.1447258057256903E-3</v>
      </c>
      <c r="D18187" s="2">
        <v>3.4878144482713503E-4</v>
      </c>
      <c r="E18187" s="2">
        <v>4.0387722132471699E-4</v>
      </c>
      <c r="F18187" s="2">
        <v>3.69705101569713E-3</v>
      </c>
    </row>
    <row r="18188" spans="1:6" x14ac:dyDescent="0.25">
      <c r="A18188" s="1" t="str">
        <f t="shared" si="689"/>
        <v>30460</v>
      </c>
      <c r="B18188" s="1" t="str">
        <f>"40516"</f>
        <v>40516</v>
      </c>
      <c r="C18188" s="2">
        <v>4.9998567962456003E-3</v>
      </c>
      <c r="D18188" s="2">
        <v>2.2234817107729802E-3</v>
      </c>
      <c r="E18188" s="2">
        <v>1.6155088852988599E-3</v>
      </c>
      <c r="F18188" s="2">
        <v>4.6492670821791302E-3</v>
      </c>
    </row>
    <row r="18189" spans="1:6" x14ac:dyDescent="0.25">
      <c r="A18189" s="1" t="str">
        <f t="shared" si="689"/>
        <v>30460</v>
      </c>
      <c r="B18189" s="1" t="str">
        <f>"40506"</f>
        <v>40506</v>
      </c>
      <c r="C18189" s="2">
        <v>0</v>
      </c>
      <c r="D18189" s="2">
        <v>1.74390722413567E-4</v>
      </c>
      <c r="E18189" s="2">
        <v>1.00969305331179E-4</v>
      </c>
      <c r="F18189" s="2">
        <v>1.8034395198522599E-5</v>
      </c>
    </row>
    <row r="18190" spans="1:6" x14ac:dyDescent="0.25">
      <c r="A18190" s="1" t="str">
        <f t="shared" ref="A18190:A18214" si="690">"30460"</f>
        <v>30460</v>
      </c>
      <c r="B18190" s="1" t="str">
        <f>"40580"</f>
        <v>40580</v>
      </c>
      <c r="C18190" s="2">
        <v>1.18654539354437E-4</v>
      </c>
      <c r="D18190" s="2">
        <v>1.22073505689497E-3</v>
      </c>
      <c r="E18190" s="2">
        <v>2.01938610662358E-4</v>
      </c>
      <c r="F18190" s="2">
        <v>2.12805863342566E-4</v>
      </c>
    </row>
    <row r="18191" spans="1:6" x14ac:dyDescent="0.25">
      <c r="A18191" s="1" t="str">
        <f t="shared" si="690"/>
        <v>30460</v>
      </c>
      <c r="B18191" s="1" t="str">
        <f>"40579"</f>
        <v>40579</v>
      </c>
      <c r="C18191" s="2">
        <v>2.0866832783021701E-4</v>
      </c>
      <c r="D18191" s="2">
        <v>1.1771373762915799E-3</v>
      </c>
      <c r="E18191" s="2">
        <v>2.01938610662358E-4</v>
      </c>
      <c r="F18191" s="2">
        <v>2.8855032317636099E-4</v>
      </c>
    </row>
    <row r="18192" spans="1:6" x14ac:dyDescent="0.25">
      <c r="A18192" s="1" t="str">
        <f t="shared" si="690"/>
        <v>30460</v>
      </c>
      <c r="B18192" s="1" t="str">
        <f>"40575"</f>
        <v>40575</v>
      </c>
      <c r="C18192" s="2">
        <v>3.6414668974292801E-4</v>
      </c>
      <c r="D18192" s="2">
        <v>1.35152809870514E-3</v>
      </c>
      <c r="E18192" s="2">
        <v>2.01938610662358E-4</v>
      </c>
      <c r="F18192" s="2">
        <v>4.4003924284395098E-4</v>
      </c>
    </row>
    <row r="18193" spans="1:6" x14ac:dyDescent="0.25">
      <c r="A18193" s="1" t="str">
        <f t="shared" si="690"/>
        <v>30460</v>
      </c>
      <c r="B18193" s="1" t="str">
        <f>"40512"</f>
        <v>40512</v>
      </c>
      <c r="C18193" s="2">
        <v>3.0277365214580502E-4</v>
      </c>
      <c r="D18193" s="2">
        <v>1.1335396956881801E-3</v>
      </c>
      <c r="E18193" s="2">
        <v>2.01938610662358E-4</v>
      </c>
      <c r="F18193" s="2">
        <v>3.6790166204986102E-4</v>
      </c>
    </row>
    <row r="18194" spans="1:6" x14ac:dyDescent="0.25">
      <c r="A18194" s="1" t="str">
        <f t="shared" si="690"/>
        <v>30460</v>
      </c>
      <c r="B18194" s="1" t="str">
        <f>"40383"</f>
        <v>40383</v>
      </c>
      <c r="C18194" s="2">
        <v>4.9720343525349098E-2</v>
      </c>
      <c r="D18194" s="2">
        <v>4.3205301477961297E-2</v>
      </c>
      <c r="E18194" s="2">
        <v>4.6344911147011301E-2</v>
      </c>
      <c r="F18194" s="2">
        <v>4.9060768698060898E-2</v>
      </c>
    </row>
    <row r="18195" spans="1:6" x14ac:dyDescent="0.25">
      <c r="A18195" s="1" t="str">
        <f t="shared" si="690"/>
        <v>30460</v>
      </c>
      <c r="B18195" s="1" t="str">
        <f>"40392"</f>
        <v>40392</v>
      </c>
      <c r="C18195" s="2">
        <v>4.8566530418523201E-3</v>
      </c>
      <c r="D18195" s="2">
        <v>1.42564415573091E-2</v>
      </c>
      <c r="E18195" s="2">
        <v>2.01938610662358E-4</v>
      </c>
      <c r="F18195" s="2">
        <v>5.4680286241920503E-3</v>
      </c>
    </row>
    <row r="18196" spans="1:6" x14ac:dyDescent="0.25">
      <c r="A18196" s="1" t="str">
        <f t="shared" si="690"/>
        <v>30460</v>
      </c>
      <c r="B18196" s="1" t="str">
        <f>"40505"</f>
        <v>40505</v>
      </c>
      <c r="C18196" s="2">
        <v>5.0235877041164903E-2</v>
      </c>
      <c r="D18196" s="2">
        <v>6.65736582813794E-2</v>
      </c>
      <c r="E18196" s="2">
        <v>6.7750403877221296E-2</v>
      </c>
      <c r="F18196" s="2">
        <v>5.2213180978762597E-2</v>
      </c>
    </row>
    <row r="18197" spans="1:6" x14ac:dyDescent="0.25">
      <c r="A18197" s="1" t="str">
        <f t="shared" si="690"/>
        <v>30460</v>
      </c>
      <c r="B18197" s="1" t="str">
        <f>"40503"</f>
        <v>40503</v>
      </c>
      <c r="C18197" s="2">
        <v>5.5252099980769701E-2</v>
      </c>
      <c r="D18197" s="2">
        <v>9.6045690369272296E-2</v>
      </c>
      <c r="E18197" s="2">
        <v>6.2701938610662297E-2</v>
      </c>
      <c r="F18197" s="2">
        <v>5.8893120960295399E-2</v>
      </c>
    </row>
    <row r="18198" spans="1:6" x14ac:dyDescent="0.25">
      <c r="A18198" s="1" t="str">
        <f t="shared" si="690"/>
        <v>30460</v>
      </c>
      <c r="B18198" s="1" t="str">
        <f>"40513"</f>
        <v>40513</v>
      </c>
      <c r="C18198" s="2">
        <v>1.92915914846956E-2</v>
      </c>
      <c r="D18198" s="2">
        <v>1.92701748266992E-2</v>
      </c>
      <c r="E18198" s="2">
        <v>9.8949919224555708E-3</v>
      </c>
      <c r="F18198" s="2">
        <v>1.8954149353647198E-2</v>
      </c>
    </row>
    <row r="18199" spans="1:6" x14ac:dyDescent="0.25">
      <c r="A18199" s="1" t="str">
        <f t="shared" si="690"/>
        <v>30460</v>
      </c>
      <c r="B18199" s="1" t="str">
        <f>"40536"</f>
        <v>40536</v>
      </c>
      <c r="C18199" s="2">
        <v>0</v>
      </c>
      <c r="D18199" s="2">
        <v>4.3597680603391797E-5</v>
      </c>
      <c r="E18199" s="2">
        <v>0</v>
      </c>
      <c r="F18199" s="2">
        <v>3.6068790397045201E-6</v>
      </c>
    </row>
    <row r="18200" spans="1:6" x14ac:dyDescent="0.25">
      <c r="A18200" s="1" t="str">
        <f t="shared" si="690"/>
        <v>30460</v>
      </c>
      <c r="B18200" s="1" t="str">
        <f>"40524"</f>
        <v>40524</v>
      </c>
      <c r="C18200" s="2">
        <v>2.7045051901132102E-3</v>
      </c>
      <c r="D18200" s="2">
        <v>7.9347778698173194E-3</v>
      </c>
      <c r="E18200" s="2">
        <v>2.01938610662358E-4</v>
      </c>
      <c r="F18200" s="2">
        <v>3.0478127885503201E-3</v>
      </c>
    </row>
    <row r="18201" spans="1:6" x14ac:dyDescent="0.25">
      <c r="A18201" s="1" t="str">
        <f t="shared" si="690"/>
        <v>30460</v>
      </c>
      <c r="B18201" s="1" t="str">
        <f>"40582"</f>
        <v>40582</v>
      </c>
      <c r="C18201" s="2">
        <v>1.8411911279136799E-4</v>
      </c>
      <c r="D18201" s="2">
        <v>1.1771373762915799E-3</v>
      </c>
      <c r="E18201" s="2">
        <v>2.01938610662358E-4</v>
      </c>
      <c r="F18201" s="2">
        <v>2.66909048938134E-4</v>
      </c>
    </row>
    <row r="18202" spans="1:6" x14ac:dyDescent="0.25">
      <c r="A18202" s="1" t="str">
        <f t="shared" si="690"/>
        <v>30460</v>
      </c>
      <c r="B18202" s="1" t="str">
        <f>"40311"</f>
        <v>40311</v>
      </c>
      <c r="C18202" s="2">
        <v>9.9424320907338893E-4</v>
      </c>
      <c r="D18202" s="2">
        <v>1.74390722413567E-4</v>
      </c>
      <c r="E18202" s="2">
        <v>1.00969305331179E-4</v>
      </c>
      <c r="F18202" s="2">
        <v>8.9450600184672198E-4</v>
      </c>
    </row>
    <row r="18203" spans="1:6" x14ac:dyDescent="0.25">
      <c r="A18203" s="1" t="str">
        <f t="shared" si="690"/>
        <v>30460</v>
      </c>
      <c r="B18203" s="1" t="str">
        <f>"40357"</f>
        <v>40357</v>
      </c>
      <c r="C18203" s="2">
        <v>0</v>
      </c>
      <c r="D18203" s="2">
        <v>2.0490909883594099E-3</v>
      </c>
      <c r="E18203" s="2">
        <v>1.00969305331179E-4</v>
      </c>
      <c r="F18203" s="2">
        <v>1.7313019390581701E-4</v>
      </c>
    </row>
    <row r="18204" spans="1:6" x14ac:dyDescent="0.25">
      <c r="A18204" s="1" t="str">
        <f t="shared" si="690"/>
        <v>30460</v>
      </c>
      <c r="B18204" s="1" t="str">
        <f>"40544"</f>
        <v>40544</v>
      </c>
      <c r="C18204" s="2">
        <v>2.5940337224383899E-3</v>
      </c>
      <c r="D18204" s="2">
        <v>5.3625147142171998E-3</v>
      </c>
      <c r="E18204" s="2">
        <v>2.01938610662358E-4</v>
      </c>
      <c r="F18204" s="2">
        <v>2.7376211911357301E-3</v>
      </c>
    </row>
    <row r="18205" spans="1:6" x14ac:dyDescent="0.25">
      <c r="A18205" s="1" t="str">
        <f t="shared" si="690"/>
        <v>30460</v>
      </c>
      <c r="B18205" s="1" t="str">
        <f>"40504"</f>
        <v>40504</v>
      </c>
      <c r="C18205" s="2">
        <v>5.46751934273568E-2</v>
      </c>
      <c r="D18205" s="2">
        <v>5.2709595849500801E-2</v>
      </c>
      <c r="E18205" s="2">
        <v>7.64337641357027E-2</v>
      </c>
      <c r="F18205" s="2">
        <v>5.52898487996306E-2</v>
      </c>
    </row>
    <row r="18206" spans="1:6" x14ac:dyDescent="0.25">
      <c r="A18206" s="1" t="str">
        <f t="shared" si="690"/>
        <v>30460</v>
      </c>
      <c r="B18206" s="1" t="str">
        <f>"41031"</f>
        <v>41031</v>
      </c>
      <c r="C18206" s="2">
        <v>7.73300273723747E-4</v>
      </c>
      <c r="D18206" s="2">
        <v>2.1798840301695901E-4</v>
      </c>
      <c r="E18206" s="2">
        <v>0</v>
      </c>
      <c r="F18206" s="2">
        <v>6.9973453370267703E-4</v>
      </c>
    </row>
    <row r="18207" spans="1:6" x14ac:dyDescent="0.25">
      <c r="A18207" s="1" t="str">
        <f t="shared" si="690"/>
        <v>30460</v>
      </c>
      <c r="B18207" s="1" t="str">
        <f>"40348"</f>
        <v>40348</v>
      </c>
      <c r="C18207" s="2">
        <v>1.5015936532096E-3</v>
      </c>
      <c r="D18207" s="2">
        <v>4.3597680603391797E-5</v>
      </c>
      <c r="E18207" s="2">
        <v>3.0290791599353698E-4</v>
      </c>
      <c r="F18207" s="2">
        <v>1.3381521237303699E-3</v>
      </c>
    </row>
    <row r="18208" spans="1:6" x14ac:dyDescent="0.25">
      <c r="A18208" s="1" t="str">
        <f t="shared" si="690"/>
        <v>30460</v>
      </c>
      <c r="B18208" s="1" t="str">
        <f>"40515"</f>
        <v>40515</v>
      </c>
      <c r="C18208" s="2">
        <v>6.5493214187809595E-2</v>
      </c>
      <c r="D18208" s="2">
        <v>9.5042943715394294E-3</v>
      </c>
      <c r="E18208" s="2">
        <v>2.3929725363489401E-2</v>
      </c>
      <c r="F18208" s="2">
        <v>5.9376442751615799E-2</v>
      </c>
    </row>
    <row r="18209" spans="1:6" x14ac:dyDescent="0.25">
      <c r="A18209" s="1" t="str">
        <f t="shared" si="690"/>
        <v>30460</v>
      </c>
      <c r="B18209" s="1" t="str">
        <f>"40517"</f>
        <v>40517</v>
      </c>
      <c r="C18209" s="2">
        <v>7.5934813651000105E-2</v>
      </c>
      <c r="D18209" s="2">
        <v>3.3177834939181201E-2</v>
      </c>
      <c r="E18209" s="2">
        <v>8.2289983844911097E-2</v>
      </c>
      <c r="F18209" s="2">
        <v>7.2624509464450607E-2</v>
      </c>
    </row>
    <row r="18210" spans="1:6" x14ac:dyDescent="0.25">
      <c r="A18210" s="1" t="str">
        <f t="shared" si="690"/>
        <v>30460</v>
      </c>
      <c r="B18210" s="1" t="str">
        <f>"40523"</f>
        <v>40523</v>
      </c>
      <c r="C18210" s="2">
        <v>1.8657403429525299E-3</v>
      </c>
      <c r="D18210" s="2">
        <v>1.15097876792954E-2</v>
      </c>
      <c r="E18210" s="2">
        <v>2.01938610662358E-4</v>
      </c>
      <c r="F18210" s="2">
        <v>2.60416666666666E-3</v>
      </c>
    </row>
    <row r="18211" spans="1:6" x14ac:dyDescent="0.25">
      <c r="A18211" s="1" t="str">
        <f t="shared" si="690"/>
        <v>30460</v>
      </c>
      <c r="B18211" s="1" t="str">
        <f>"40526"</f>
        <v>40526</v>
      </c>
      <c r="C18211" s="2">
        <v>0</v>
      </c>
      <c r="D18211" s="2">
        <v>8.7195361206783702E-5</v>
      </c>
      <c r="E18211" s="2">
        <v>2.01938610662358E-4</v>
      </c>
      <c r="F18211" s="2">
        <v>1.4427516158818001E-5</v>
      </c>
    </row>
    <row r="18212" spans="1:6" x14ac:dyDescent="0.25">
      <c r="A18212" s="1" t="str">
        <f t="shared" si="690"/>
        <v>30460</v>
      </c>
      <c r="B18212" s="1" t="str">
        <f>"40577"</f>
        <v>40577</v>
      </c>
      <c r="C18212" s="2">
        <v>1.3502068271367001E-4</v>
      </c>
      <c r="D18212" s="2">
        <v>8.7195361206783702E-4</v>
      </c>
      <c r="E18212" s="2">
        <v>2.01938610662358E-4</v>
      </c>
      <c r="F18212" s="2">
        <v>1.9837834718374801E-4</v>
      </c>
    </row>
    <row r="18213" spans="1:6" x14ac:dyDescent="0.25">
      <c r="A18213" s="1" t="str">
        <f t="shared" si="690"/>
        <v>30460</v>
      </c>
      <c r="B18213" s="1" t="str">
        <f>"40601"</f>
        <v>40601</v>
      </c>
      <c r="C18213" s="2">
        <v>1.3092914687386199E-3</v>
      </c>
      <c r="D18213" s="2">
        <v>6.5396520905087801E-4</v>
      </c>
      <c r="E18213" s="2">
        <v>8.0775444264943397E-4</v>
      </c>
      <c r="F18213" s="2">
        <v>1.2371595106186501E-3</v>
      </c>
    </row>
    <row r="18214" spans="1:6" x14ac:dyDescent="0.25">
      <c r="A18214" s="1" t="str">
        <f t="shared" si="690"/>
        <v>30460</v>
      </c>
      <c r="B18214" s="1" t="str">
        <f>"40324"</f>
        <v>40324</v>
      </c>
      <c r="C18214" s="2">
        <v>9.2738751345092393E-2</v>
      </c>
      <c r="D18214" s="2">
        <v>7.1761782273183E-2</v>
      </c>
      <c r="E18214" s="2">
        <v>7.8150242326332706E-2</v>
      </c>
      <c r="F18214" s="2">
        <v>9.0482167590027696E-2</v>
      </c>
    </row>
    <row r="18215" spans="1:6" x14ac:dyDescent="0.25">
      <c r="A18215" s="1" t="str">
        <f t="shared" ref="A18215:A18222" si="691">"30580"</f>
        <v>30580</v>
      </c>
      <c r="B18215" s="1" t="str">
        <f>"67859"</f>
        <v>67859</v>
      </c>
      <c r="C18215" s="2">
        <v>3.2571428571428501E-2</v>
      </c>
      <c r="D18215" s="2">
        <v>1.6528925619834701E-2</v>
      </c>
      <c r="E18215" s="2">
        <v>6.6225165562913899E-3</v>
      </c>
      <c r="F18215" s="2">
        <v>2.9731830547998401E-2</v>
      </c>
    </row>
    <row r="18216" spans="1:6" x14ac:dyDescent="0.25">
      <c r="A18216" s="1" t="str">
        <f t="shared" si="691"/>
        <v>30580</v>
      </c>
      <c r="B18216" s="1" t="str">
        <f>"67951"</f>
        <v>67951</v>
      </c>
      <c r="C18216" s="2">
        <v>9.1428571428571405E-4</v>
      </c>
      <c r="D18216" s="2">
        <v>0</v>
      </c>
      <c r="E18216" s="2">
        <v>0</v>
      </c>
      <c r="F18216" s="2">
        <v>7.7730275942479497E-4</v>
      </c>
    </row>
    <row r="18217" spans="1:6" x14ac:dyDescent="0.25">
      <c r="A18217" s="1" t="str">
        <f t="shared" si="691"/>
        <v>30580</v>
      </c>
      <c r="B18217" s="1" t="str">
        <f>"67954"</f>
        <v>67954</v>
      </c>
      <c r="C18217" s="2">
        <v>2.7428571428571402E-3</v>
      </c>
      <c r="D18217" s="2">
        <v>9.1827364554637205E-4</v>
      </c>
      <c r="E18217" s="2">
        <v>0</v>
      </c>
      <c r="F18217" s="2">
        <v>2.42907112320248E-3</v>
      </c>
    </row>
    <row r="18218" spans="1:6" x14ac:dyDescent="0.25">
      <c r="A18218" s="1" t="str">
        <f t="shared" si="691"/>
        <v>30580</v>
      </c>
      <c r="B18218" s="1" t="str">
        <f>"67901"</f>
        <v>67901</v>
      </c>
      <c r="C18218" s="2">
        <v>0.95577142857142805</v>
      </c>
      <c r="D18218" s="2">
        <v>0.98163452708907195</v>
      </c>
      <c r="E18218" s="2">
        <v>0.99337748344370802</v>
      </c>
      <c r="F18218" s="2">
        <v>0.96016323357947897</v>
      </c>
    </row>
    <row r="18219" spans="1:6" x14ac:dyDescent="0.25">
      <c r="A18219" s="1" t="str">
        <f t="shared" si="691"/>
        <v>30580</v>
      </c>
      <c r="B18219" s="1" t="str">
        <f>"67877"</f>
        <v>67877</v>
      </c>
      <c r="C18219" s="2">
        <v>3.4285714285714198E-4</v>
      </c>
      <c r="D18219" s="2">
        <v>0</v>
      </c>
      <c r="E18219" s="2">
        <v>0</v>
      </c>
      <c r="F18219" s="2">
        <v>2.9148853478429802E-4</v>
      </c>
    </row>
    <row r="18220" spans="1:6" x14ac:dyDescent="0.25">
      <c r="A18220" s="1" t="str">
        <f t="shared" si="691"/>
        <v>30580</v>
      </c>
      <c r="B18220" s="1" t="str">
        <f>"67870"</f>
        <v>67870</v>
      </c>
      <c r="C18220" s="2">
        <v>1.7142857142857101E-3</v>
      </c>
      <c r="D18220" s="2">
        <v>0</v>
      </c>
      <c r="E18220" s="2">
        <v>0</v>
      </c>
      <c r="F18220" s="2">
        <v>1.45744267392149E-3</v>
      </c>
    </row>
    <row r="18221" spans="1:6" x14ac:dyDescent="0.25">
      <c r="A18221" s="1" t="str">
        <f t="shared" si="691"/>
        <v>30580</v>
      </c>
      <c r="B18221" s="1" t="str">
        <f>"67869"</f>
        <v>67869</v>
      </c>
      <c r="C18221" s="2">
        <v>5.0285714285714196E-3</v>
      </c>
      <c r="D18221" s="2">
        <v>9.1827364554637205E-4</v>
      </c>
      <c r="E18221" s="2">
        <v>0</v>
      </c>
      <c r="F18221" s="2">
        <v>4.3723280217644704E-3</v>
      </c>
    </row>
    <row r="18222" spans="1:6" x14ac:dyDescent="0.25">
      <c r="A18222" s="1" t="str">
        <f t="shared" si="691"/>
        <v>30580</v>
      </c>
      <c r="B18222" s="1" t="str">
        <f>"67952"</f>
        <v>67952</v>
      </c>
      <c r="C18222" s="2">
        <v>9.1428571428571405E-4</v>
      </c>
      <c r="D18222" s="2">
        <v>0</v>
      </c>
      <c r="E18222" s="2">
        <v>0</v>
      </c>
      <c r="F18222" s="2">
        <v>7.7730275942479497E-4</v>
      </c>
    </row>
    <row r="18223" spans="1:6" x14ac:dyDescent="0.25">
      <c r="A18223" s="1" t="str">
        <f t="shared" ref="A18223:A18245" si="692">"30620"</f>
        <v>30620</v>
      </c>
      <c r="B18223" s="1" t="str">
        <f>"45887"</f>
        <v>45887</v>
      </c>
      <c r="C18223" s="2">
        <v>3.3193898149882398E-2</v>
      </c>
      <c r="D18223" s="2">
        <v>2.6576576576576499E-2</v>
      </c>
      <c r="E18223" s="2">
        <v>1.39275766016713E-2</v>
      </c>
      <c r="F18223" s="2">
        <v>3.2136035752035101E-2</v>
      </c>
    </row>
    <row r="18224" spans="1:6" x14ac:dyDescent="0.25">
      <c r="A18224" s="1" t="str">
        <f t="shared" si="692"/>
        <v>30620</v>
      </c>
      <c r="B18224" s="1" t="str">
        <f>"45807"</f>
        <v>45807</v>
      </c>
      <c r="C18224" s="2">
        <v>0.11027866225468699</v>
      </c>
      <c r="D18224" s="2">
        <v>6.7342342342342307E-2</v>
      </c>
      <c r="E18224" s="2">
        <v>5.4317548746518098E-2</v>
      </c>
      <c r="F18224" s="2">
        <v>0.105253398112262</v>
      </c>
    </row>
    <row r="18225" spans="1:6" x14ac:dyDescent="0.25">
      <c r="A18225" s="1" t="str">
        <f t="shared" si="692"/>
        <v>30620</v>
      </c>
      <c r="B18225" s="1" t="str">
        <f>"45844"</f>
        <v>45844</v>
      </c>
      <c r="C18225" s="2">
        <v>9.7812740629747491E-4</v>
      </c>
      <c r="D18225" s="2">
        <v>0</v>
      </c>
      <c r="E18225" s="2">
        <v>0</v>
      </c>
      <c r="F18225" s="2">
        <v>8.7154857492536197E-4</v>
      </c>
    </row>
    <row r="18226" spans="1:6" x14ac:dyDescent="0.25">
      <c r="A18226" s="1" t="str">
        <f t="shared" si="692"/>
        <v>30620</v>
      </c>
      <c r="B18226" s="1" t="str">
        <f>"45830"</f>
        <v>45830</v>
      </c>
      <c r="C18226" s="2">
        <v>1.0717779026451E-2</v>
      </c>
      <c r="D18226" s="2">
        <v>1.8018018018018001E-3</v>
      </c>
      <c r="E18226" s="2">
        <v>1.3927576601671301E-3</v>
      </c>
      <c r="F18226" s="2">
        <v>9.7353830177832907E-3</v>
      </c>
    </row>
    <row r="18227" spans="1:6" x14ac:dyDescent="0.25">
      <c r="A18227" s="1" t="str">
        <f t="shared" si="692"/>
        <v>30620</v>
      </c>
      <c r="B18227" s="1" t="str">
        <f>"45802"</f>
        <v>45802</v>
      </c>
      <c r="C18227" s="2">
        <v>2.4786164700006202E-2</v>
      </c>
      <c r="D18227" s="2">
        <v>8.7162162162162105E-2</v>
      </c>
      <c r="E18227" s="2">
        <v>1.3927576601671301E-3</v>
      </c>
      <c r="F18227" s="2">
        <v>2.9298866986852499E-2</v>
      </c>
    </row>
    <row r="18228" spans="1:6" x14ac:dyDescent="0.25">
      <c r="A18228" s="1" t="str">
        <f t="shared" si="692"/>
        <v>30620</v>
      </c>
      <c r="B18228" s="1" t="str">
        <f>"45806"</f>
        <v>45806</v>
      </c>
      <c r="C18228" s="2">
        <v>7.8708039374830896E-2</v>
      </c>
      <c r="D18228" s="2">
        <v>3.55855855855855E-2</v>
      </c>
      <c r="E18228" s="2">
        <v>3.3426183844011102E-2</v>
      </c>
      <c r="F18228" s="2">
        <v>7.3951823761751898E-2</v>
      </c>
    </row>
    <row r="18229" spans="1:6" x14ac:dyDescent="0.25">
      <c r="A18229" s="1" t="str">
        <f t="shared" si="692"/>
        <v>30620</v>
      </c>
      <c r="B18229" s="1" t="str">
        <f>"45817"</f>
        <v>45817</v>
      </c>
      <c r="C18229" s="2">
        <v>4.1185407171546798E-2</v>
      </c>
      <c r="D18229" s="2">
        <v>3.8513513513513502E-2</v>
      </c>
      <c r="E18229" s="2">
        <v>4.38718662952646E-2</v>
      </c>
      <c r="F18229" s="2">
        <v>4.1036957368294102E-2</v>
      </c>
    </row>
    <row r="18230" spans="1:6" x14ac:dyDescent="0.25">
      <c r="A18230" s="1" t="str">
        <f t="shared" si="692"/>
        <v>30620</v>
      </c>
      <c r="B18230" s="1" t="str">
        <f>"45894"</f>
        <v>45894</v>
      </c>
      <c r="C18230" s="2">
        <v>6.2433664231753696E-5</v>
      </c>
      <c r="D18230" s="2">
        <v>0</v>
      </c>
      <c r="E18230" s="2">
        <v>0</v>
      </c>
      <c r="F18230" s="2">
        <v>5.56307601016188E-5</v>
      </c>
    </row>
    <row r="18231" spans="1:6" x14ac:dyDescent="0.25">
      <c r="A18231" s="1" t="str">
        <f t="shared" si="692"/>
        <v>30620</v>
      </c>
      <c r="B18231" s="1" t="str">
        <f>"45801"</f>
        <v>45801</v>
      </c>
      <c r="C18231" s="2">
        <v>0.20859087219828901</v>
      </c>
      <c r="D18231" s="2">
        <v>0.28738738738738701</v>
      </c>
      <c r="E18231" s="2">
        <v>0.316155988857938</v>
      </c>
      <c r="F18231" s="2">
        <v>0.217942774491442</v>
      </c>
    </row>
    <row r="18232" spans="1:6" x14ac:dyDescent="0.25">
      <c r="A18232" s="1" t="str">
        <f t="shared" si="692"/>
        <v>30620</v>
      </c>
      <c r="B18232" s="1" t="str">
        <f>"45896"</f>
        <v>45896</v>
      </c>
      <c r="C18232" s="2">
        <v>1.4359742773303299E-3</v>
      </c>
      <c r="D18232" s="2">
        <v>4.5045045045045002E-4</v>
      </c>
      <c r="E18232" s="2">
        <v>0</v>
      </c>
      <c r="F18232" s="2">
        <v>1.3165946557383099E-3</v>
      </c>
    </row>
    <row r="18233" spans="1:6" x14ac:dyDescent="0.25">
      <c r="A18233" s="1" t="str">
        <f t="shared" si="692"/>
        <v>30620</v>
      </c>
      <c r="B18233" s="1" t="str">
        <f>"45810"</f>
        <v>45810</v>
      </c>
      <c r="C18233" s="2">
        <v>2.0394996982372798E-3</v>
      </c>
      <c r="D18233" s="2">
        <v>6.7567567567567495E-4</v>
      </c>
      <c r="E18233" s="2">
        <v>0</v>
      </c>
      <c r="F18233" s="2">
        <v>1.8729022567544999E-3</v>
      </c>
    </row>
    <row r="18234" spans="1:6" x14ac:dyDescent="0.25">
      <c r="A18234" s="1" t="str">
        <f t="shared" si="692"/>
        <v>30620</v>
      </c>
      <c r="B18234" s="1" t="str">
        <f>"45854"</f>
        <v>45854</v>
      </c>
      <c r="C18234" s="2">
        <v>1.41516305591975E-3</v>
      </c>
      <c r="D18234" s="2">
        <v>2.2522522522522501E-4</v>
      </c>
      <c r="E18234" s="2">
        <v>0</v>
      </c>
      <c r="F18234" s="2">
        <v>1.2795074823372301E-3</v>
      </c>
    </row>
    <row r="18235" spans="1:6" x14ac:dyDescent="0.25">
      <c r="A18235" s="1" t="str">
        <f t="shared" si="692"/>
        <v>30620</v>
      </c>
      <c r="B18235" s="1" t="str">
        <f>"45833"</f>
        <v>45833</v>
      </c>
      <c r="C18235" s="2">
        <v>5.4920813302532699E-2</v>
      </c>
      <c r="D18235" s="2">
        <v>6.2612612612612598E-2</v>
      </c>
      <c r="E18235" s="2">
        <v>6.3370473537604402E-2</v>
      </c>
      <c r="F18235" s="2">
        <v>5.5779108795223097E-2</v>
      </c>
    </row>
    <row r="18236" spans="1:6" x14ac:dyDescent="0.25">
      <c r="A18236" s="1" t="str">
        <f t="shared" si="692"/>
        <v>30620</v>
      </c>
      <c r="B18236" s="1" t="str">
        <f>"45808"</f>
        <v>45808</v>
      </c>
      <c r="C18236" s="2">
        <v>3.2881729828723601E-3</v>
      </c>
      <c r="D18236" s="2">
        <v>5.1801801801801802E-3</v>
      </c>
      <c r="E18236" s="2">
        <v>1.3927576601671301E-3</v>
      </c>
      <c r="F18236" s="2">
        <v>3.39347636619875E-3</v>
      </c>
    </row>
    <row r="18237" spans="1:6" x14ac:dyDescent="0.25">
      <c r="A18237" s="1" t="str">
        <f t="shared" si="692"/>
        <v>30620</v>
      </c>
      <c r="B18237" s="1" t="str">
        <f>"43310"</f>
        <v>43310</v>
      </c>
      <c r="C18237" s="2">
        <v>6.2433664231753696E-5</v>
      </c>
      <c r="D18237" s="2">
        <v>0</v>
      </c>
      <c r="E18237" s="2">
        <v>0</v>
      </c>
      <c r="F18237" s="2">
        <v>5.56307601016188E-5</v>
      </c>
    </row>
    <row r="18238" spans="1:6" x14ac:dyDescent="0.25">
      <c r="A18238" s="1" t="str">
        <f t="shared" si="692"/>
        <v>30620</v>
      </c>
      <c r="B18238" s="1" t="str">
        <f>"45877"</f>
        <v>45877</v>
      </c>
      <c r="C18238" s="2">
        <v>7.49203970781045E-4</v>
      </c>
      <c r="D18238" s="2">
        <v>0</v>
      </c>
      <c r="E18238" s="2">
        <v>0</v>
      </c>
      <c r="F18238" s="2">
        <v>6.6756912121942601E-4</v>
      </c>
    </row>
    <row r="18239" spans="1:6" x14ac:dyDescent="0.25">
      <c r="A18239" s="1" t="str">
        <f t="shared" si="692"/>
        <v>30620</v>
      </c>
      <c r="B18239" s="1" t="str">
        <f>"45850"</f>
        <v>45850</v>
      </c>
      <c r="C18239" s="2">
        <v>2.7907847911593901E-2</v>
      </c>
      <c r="D18239" s="2">
        <v>5.6306306306306304E-3</v>
      </c>
      <c r="E18239" s="2">
        <v>6.2674094707520804E-3</v>
      </c>
      <c r="F18239" s="2">
        <v>2.5497431713241901E-2</v>
      </c>
    </row>
    <row r="18240" spans="1:6" x14ac:dyDescent="0.25">
      <c r="A18240" s="1" t="str">
        <f t="shared" si="692"/>
        <v>30620</v>
      </c>
      <c r="B18240" s="1" t="str">
        <f>"45804"</f>
        <v>45804</v>
      </c>
      <c r="C18240" s="2">
        <v>0.166905995712888</v>
      </c>
      <c r="D18240" s="2">
        <v>0.176801801801801</v>
      </c>
      <c r="E18240" s="2">
        <v>0.20752089136490201</v>
      </c>
      <c r="F18240" s="2">
        <v>0.168802269735012</v>
      </c>
    </row>
    <row r="18241" spans="1:6" x14ac:dyDescent="0.25">
      <c r="A18241" s="1" t="str">
        <f t="shared" si="692"/>
        <v>30620</v>
      </c>
      <c r="B18241" s="1" t="str">
        <f>"45805"</f>
        <v>45805</v>
      </c>
      <c r="C18241" s="2">
        <v>0.22790368566731101</v>
      </c>
      <c r="D18241" s="2">
        <v>0.20202702702702699</v>
      </c>
      <c r="E18241" s="2">
        <v>0.255571030640668</v>
      </c>
      <c r="F18241" s="2">
        <v>0.22650991154709099</v>
      </c>
    </row>
    <row r="18242" spans="1:6" x14ac:dyDescent="0.25">
      <c r="A18242" s="1" t="str">
        <f t="shared" si="692"/>
        <v>30620</v>
      </c>
      <c r="B18242" s="1" t="str">
        <f>"45820"</f>
        <v>45820</v>
      </c>
      <c r="C18242" s="2">
        <v>2.5805914549124802E-3</v>
      </c>
      <c r="D18242" s="2">
        <v>0</v>
      </c>
      <c r="E18242" s="2">
        <v>6.9637883008356503E-4</v>
      </c>
      <c r="F18242" s="2">
        <v>2.3179483375674499E-3</v>
      </c>
    </row>
    <row r="18243" spans="1:6" x14ac:dyDescent="0.25">
      <c r="A18243" s="1" t="str">
        <f t="shared" si="692"/>
        <v>30620</v>
      </c>
      <c r="B18243" s="1" t="str">
        <f>"45809"</f>
        <v>45809</v>
      </c>
      <c r="C18243" s="2">
        <v>1.7065201556679299E-3</v>
      </c>
      <c r="D18243" s="2">
        <v>2.0270270270270202E-3</v>
      </c>
      <c r="E18243" s="2">
        <v>6.9637883008356503E-4</v>
      </c>
      <c r="F18243" s="2">
        <v>1.70600997644964E-3</v>
      </c>
    </row>
    <row r="18244" spans="1:6" x14ac:dyDescent="0.25">
      <c r="A18244" s="1" t="str">
        <f t="shared" si="692"/>
        <v>30620</v>
      </c>
      <c r="B18244" s="1" t="str">
        <f>"45895"</f>
        <v>45895</v>
      </c>
      <c r="C18244" s="2">
        <v>2.2892343551643001E-4</v>
      </c>
      <c r="D18244" s="2">
        <v>0</v>
      </c>
      <c r="E18244" s="2">
        <v>0</v>
      </c>
      <c r="F18244" s="2">
        <v>2.0397945370593501E-4</v>
      </c>
    </row>
    <row r="18245" spans="1:6" x14ac:dyDescent="0.25">
      <c r="A18245" s="1" t="str">
        <f t="shared" si="692"/>
        <v>30620</v>
      </c>
      <c r="B18245" s="1" t="str">
        <f>"45812"</f>
        <v>45812</v>
      </c>
      <c r="C18245" s="2">
        <v>3.5379076397993702E-4</v>
      </c>
      <c r="D18245" s="2">
        <v>0</v>
      </c>
      <c r="E18245" s="2">
        <v>0</v>
      </c>
      <c r="F18245" s="2">
        <v>3.1524097390917298E-4</v>
      </c>
    </row>
    <row r="18246" spans="1:6" x14ac:dyDescent="0.25">
      <c r="A18246" s="1" t="str">
        <f t="shared" ref="A18246:A18265" si="693">"30660"</f>
        <v>30660</v>
      </c>
      <c r="B18246" s="1" t="str">
        <f>"61751"</f>
        <v>61751</v>
      </c>
      <c r="C18246" s="2">
        <v>3.5109620035889801E-3</v>
      </c>
      <c r="D18246" s="2">
        <v>9.1827364554637205E-4</v>
      </c>
      <c r="E18246" s="2">
        <v>0</v>
      </c>
      <c r="F18246" s="2">
        <v>3.2161085087044601E-3</v>
      </c>
    </row>
    <row r="18247" spans="1:6" x14ac:dyDescent="0.25">
      <c r="A18247" s="1" t="str">
        <f t="shared" si="693"/>
        <v>30660</v>
      </c>
      <c r="B18247" s="1" t="str">
        <f>"62666"</f>
        <v>62666</v>
      </c>
      <c r="C18247" s="2">
        <v>2.2314114067254399E-2</v>
      </c>
      <c r="D18247" s="2">
        <v>1.10192837465564E-2</v>
      </c>
      <c r="E18247" s="2">
        <v>0</v>
      </c>
      <c r="F18247" s="2">
        <v>2.0834789904215799E-2</v>
      </c>
    </row>
    <row r="18248" spans="1:6" x14ac:dyDescent="0.25">
      <c r="A18248" s="1" t="str">
        <f t="shared" si="693"/>
        <v>30660</v>
      </c>
      <c r="B18248" s="1" t="str">
        <f>"61754"</f>
        <v>61754</v>
      </c>
      <c r="C18248" s="2">
        <v>1.40438480143559E-3</v>
      </c>
      <c r="D18248" s="2">
        <v>0</v>
      </c>
      <c r="E18248" s="2">
        <v>0</v>
      </c>
      <c r="F18248" s="2">
        <v>1.25847724253653E-3</v>
      </c>
    </row>
    <row r="18249" spans="1:6" x14ac:dyDescent="0.25">
      <c r="A18249" s="1" t="str">
        <f t="shared" si="693"/>
        <v>30660</v>
      </c>
      <c r="B18249" s="1" t="str">
        <f>"62613"</f>
        <v>62613</v>
      </c>
      <c r="C18249" s="2">
        <v>9.3625653429039502E-4</v>
      </c>
      <c r="D18249" s="2">
        <v>1.83654729109274E-3</v>
      </c>
      <c r="E18249" s="2">
        <v>0</v>
      </c>
      <c r="F18249" s="2">
        <v>9.7881563308396791E-4</v>
      </c>
    </row>
    <row r="18250" spans="1:6" x14ac:dyDescent="0.25">
      <c r="A18250" s="1" t="str">
        <f t="shared" si="693"/>
        <v>30660</v>
      </c>
      <c r="B18250" s="1" t="str">
        <f>"62512"</f>
        <v>62512</v>
      </c>
      <c r="C18250" s="2">
        <v>1.45119762815011E-2</v>
      </c>
      <c r="D18250" s="2">
        <v>2.7548209366391099E-3</v>
      </c>
      <c r="E18250" s="2">
        <v>0</v>
      </c>
      <c r="F18250" s="2">
        <v>1.32140110466335E-2</v>
      </c>
    </row>
    <row r="18251" spans="1:6" x14ac:dyDescent="0.25">
      <c r="A18251" s="1" t="str">
        <f t="shared" si="693"/>
        <v>30660</v>
      </c>
      <c r="B18251" s="1" t="str">
        <f>"61723"</f>
        <v>61723</v>
      </c>
      <c r="C18251" s="2">
        <v>9.1206990715456002E-2</v>
      </c>
      <c r="D18251" s="2">
        <v>3.2139577594123003E-2</v>
      </c>
      <c r="E18251" s="2">
        <v>0.118387909319899</v>
      </c>
      <c r="F18251" s="2">
        <v>8.7464168356288799E-2</v>
      </c>
    </row>
    <row r="18252" spans="1:6" x14ac:dyDescent="0.25">
      <c r="A18252" s="1" t="str">
        <f t="shared" si="693"/>
        <v>30660</v>
      </c>
      <c r="B18252" s="1" t="str">
        <f>"62518"</f>
        <v>62518</v>
      </c>
      <c r="C18252" s="2">
        <v>1.5058125926503799E-2</v>
      </c>
      <c r="D18252" s="2">
        <v>1.3774104683195501E-2</v>
      </c>
      <c r="E18252" s="2">
        <v>0</v>
      </c>
      <c r="F18252" s="2">
        <v>1.4542403691533199E-2</v>
      </c>
    </row>
    <row r="18253" spans="1:6" x14ac:dyDescent="0.25">
      <c r="A18253" s="1" t="str">
        <f t="shared" si="693"/>
        <v>30660</v>
      </c>
      <c r="B18253" s="1" t="str">
        <f>"62634"</f>
        <v>62634</v>
      </c>
      <c r="C18253" s="2">
        <v>3.0194273230865199E-2</v>
      </c>
      <c r="D18253" s="2">
        <v>1.4692378328741901E-2</v>
      </c>
      <c r="E18253" s="2">
        <v>1.25944584382871E-2</v>
      </c>
      <c r="F18253" s="2">
        <v>2.8525484164161299E-2</v>
      </c>
    </row>
    <row r="18254" spans="1:6" x14ac:dyDescent="0.25">
      <c r="A18254" s="1" t="str">
        <f t="shared" si="693"/>
        <v>30660</v>
      </c>
      <c r="B18254" s="1" t="str">
        <f>"62519"</f>
        <v>62519</v>
      </c>
      <c r="C18254" s="2">
        <v>0</v>
      </c>
      <c r="D18254" s="2">
        <v>9.1827364554637205E-4</v>
      </c>
      <c r="E18254" s="2">
        <v>0</v>
      </c>
      <c r="F18254" s="2">
        <v>6.9915402363140497E-5</v>
      </c>
    </row>
    <row r="18255" spans="1:6" x14ac:dyDescent="0.25">
      <c r="A18255" s="1" t="str">
        <f t="shared" si="693"/>
        <v>30660</v>
      </c>
      <c r="B18255" s="1" t="str">
        <f>"61749"</f>
        <v>61749</v>
      </c>
      <c r="C18255" s="2">
        <v>7.02192400717796E-4</v>
      </c>
      <c r="D18255" s="2">
        <v>0</v>
      </c>
      <c r="E18255" s="2">
        <v>0</v>
      </c>
      <c r="F18255" s="2">
        <v>6.2923862126826498E-4</v>
      </c>
    </row>
    <row r="18256" spans="1:6" x14ac:dyDescent="0.25">
      <c r="A18256" s="1" t="str">
        <f t="shared" si="693"/>
        <v>30660</v>
      </c>
      <c r="B18256" s="1" t="str">
        <f>"61721"</f>
        <v>61721</v>
      </c>
      <c r="C18256" s="2">
        <v>9.3625653429039502E-4</v>
      </c>
      <c r="D18256" s="2">
        <v>0</v>
      </c>
      <c r="E18256" s="2">
        <v>0</v>
      </c>
      <c r="F18256" s="2">
        <v>8.38984828357687E-4</v>
      </c>
    </row>
    <row r="18257" spans="1:6" x14ac:dyDescent="0.25">
      <c r="A18257" s="1" t="str">
        <f t="shared" si="693"/>
        <v>30660</v>
      </c>
      <c r="B18257" s="1" t="str">
        <f>"62682"</f>
        <v>62682</v>
      </c>
      <c r="C18257" s="2">
        <v>1.24053990793477E-2</v>
      </c>
      <c r="D18257" s="2">
        <v>5.5096418732782301E-3</v>
      </c>
      <c r="E18257" s="2">
        <v>2.5188916876574298E-3</v>
      </c>
      <c r="F18257" s="2">
        <v>1.16059567922813E-2</v>
      </c>
    </row>
    <row r="18258" spans="1:6" x14ac:dyDescent="0.25">
      <c r="A18258" s="1" t="str">
        <f t="shared" si="693"/>
        <v>30660</v>
      </c>
      <c r="B18258" s="1" t="str">
        <f>"62548"</f>
        <v>62548</v>
      </c>
      <c r="C18258" s="2">
        <v>8.3560895685417802E-2</v>
      </c>
      <c r="D18258" s="2">
        <v>9.4582185491276394E-2</v>
      </c>
      <c r="E18258" s="2">
        <v>0.19395465994962199</v>
      </c>
      <c r="F18258" s="2">
        <v>8.7464168356288799E-2</v>
      </c>
    </row>
    <row r="18259" spans="1:6" x14ac:dyDescent="0.25">
      <c r="A18259" s="1" t="str">
        <f t="shared" si="693"/>
        <v>30660</v>
      </c>
      <c r="B18259" s="1" t="str">
        <f>"62543"</f>
        <v>62543</v>
      </c>
      <c r="C18259" s="2">
        <v>1.2249356323632599E-2</v>
      </c>
      <c r="D18259" s="2">
        <v>4.5913682277318596E-3</v>
      </c>
      <c r="E18259" s="2">
        <v>1.00755667506297E-2</v>
      </c>
      <c r="F18259" s="2">
        <v>1.16059567922813E-2</v>
      </c>
    </row>
    <row r="18260" spans="1:6" x14ac:dyDescent="0.25">
      <c r="A18260" s="1" t="str">
        <f t="shared" si="693"/>
        <v>30660</v>
      </c>
      <c r="B18260" s="1" t="str">
        <f>"62541"</f>
        <v>62541</v>
      </c>
      <c r="C18260" s="2">
        <v>3.1208551143013102E-4</v>
      </c>
      <c r="D18260" s="2">
        <v>9.1827364554637205E-4</v>
      </c>
      <c r="E18260" s="2">
        <v>0</v>
      </c>
      <c r="F18260" s="2">
        <v>3.4957701181570201E-4</v>
      </c>
    </row>
    <row r="18261" spans="1:6" x14ac:dyDescent="0.25">
      <c r="A18261" s="1" t="str">
        <f t="shared" si="693"/>
        <v>30660</v>
      </c>
      <c r="B18261" s="1" t="str">
        <f>"62693"</f>
        <v>62693</v>
      </c>
      <c r="C18261" s="2">
        <v>1.95053444643832E-3</v>
      </c>
      <c r="D18261" s="2">
        <v>0</v>
      </c>
      <c r="E18261" s="2">
        <v>0</v>
      </c>
      <c r="F18261" s="2">
        <v>1.7478850590785099E-3</v>
      </c>
    </row>
    <row r="18262" spans="1:6" x14ac:dyDescent="0.25">
      <c r="A18262" s="1" t="str">
        <f t="shared" si="693"/>
        <v>30660</v>
      </c>
      <c r="B18262" s="1" t="str">
        <f>"62635"</f>
        <v>62635</v>
      </c>
      <c r="C18262" s="2">
        <v>2.7853631895139199E-2</v>
      </c>
      <c r="D18262" s="2">
        <v>3.6730945821854899E-3</v>
      </c>
      <c r="E18262" s="2">
        <v>2.5188916876574298E-3</v>
      </c>
      <c r="F18262" s="2">
        <v>2.5309375655456798E-2</v>
      </c>
    </row>
    <row r="18263" spans="1:6" x14ac:dyDescent="0.25">
      <c r="A18263" s="1" t="str">
        <f t="shared" si="693"/>
        <v>30660</v>
      </c>
      <c r="B18263" s="1" t="str">
        <f>"62643"</f>
        <v>62643</v>
      </c>
      <c r="C18263" s="2">
        <v>1.9583365842240699E-2</v>
      </c>
      <c r="D18263" s="2">
        <v>6.4279155188245998E-3</v>
      </c>
      <c r="E18263" s="2">
        <v>5.0377833753148596E-3</v>
      </c>
      <c r="F18263" s="2">
        <v>1.8178004614416501E-2</v>
      </c>
    </row>
    <row r="18264" spans="1:6" x14ac:dyDescent="0.25">
      <c r="A18264" s="1" t="str">
        <f t="shared" si="693"/>
        <v>30660</v>
      </c>
      <c r="B18264" s="1" t="str">
        <f>"62656"</f>
        <v>62656</v>
      </c>
      <c r="C18264" s="2">
        <v>0.64047749083248795</v>
      </c>
      <c r="D18264" s="2">
        <v>0.79338842975206603</v>
      </c>
      <c r="E18264" s="2">
        <v>0.65491183879093096</v>
      </c>
      <c r="F18264" s="2">
        <v>0.65252045025519101</v>
      </c>
    </row>
    <row r="18265" spans="1:6" x14ac:dyDescent="0.25">
      <c r="A18265" s="1" t="str">
        <f t="shared" si="693"/>
        <v>30660</v>
      </c>
      <c r="B18265" s="1" t="str">
        <f>"62671"</f>
        <v>62671</v>
      </c>
      <c r="C18265" s="2">
        <v>2.08317078879613E-2</v>
      </c>
      <c r="D18265" s="2">
        <v>1.28558310376492E-2</v>
      </c>
      <c r="E18265" s="2">
        <v>0</v>
      </c>
      <c r="F18265" s="2">
        <v>1.9646228064042499E-2</v>
      </c>
    </row>
    <row r="18266" spans="1:6" x14ac:dyDescent="0.25">
      <c r="A18266" s="1" t="str">
        <f t="shared" ref="A18266:A18297" si="694">"30700"</f>
        <v>30700</v>
      </c>
      <c r="B18266" s="1" t="str">
        <f>"68523"</f>
        <v>68523</v>
      </c>
      <c r="C18266" s="2">
        <v>4.4733006138250996E-3</v>
      </c>
      <c r="D18266" s="2">
        <v>6.7259547119049299E-4</v>
      </c>
      <c r="E18266" s="2">
        <v>1.0879025239338499E-4</v>
      </c>
      <c r="F18266" s="2">
        <v>3.9447617166394498E-3</v>
      </c>
    </row>
    <row r="18267" spans="1:6" x14ac:dyDescent="0.25">
      <c r="A18267" s="1" t="str">
        <f t="shared" si="694"/>
        <v>30700</v>
      </c>
      <c r="B18267" s="1" t="str">
        <f>"68508"</f>
        <v>68508</v>
      </c>
      <c r="C18267" s="2">
        <v>4.0995225804725997E-2</v>
      </c>
      <c r="D18267" s="2">
        <v>0.122038711606008</v>
      </c>
      <c r="E18267" s="2">
        <v>0.12021322889469099</v>
      </c>
      <c r="F18267" s="2">
        <v>5.15259081956927E-2</v>
      </c>
    </row>
    <row r="18268" spans="1:6" x14ac:dyDescent="0.25">
      <c r="A18268" s="1" t="str">
        <f t="shared" si="694"/>
        <v>30700</v>
      </c>
      <c r="B18268" s="1" t="str">
        <f>"68405"</f>
        <v>68405</v>
      </c>
      <c r="C18268" s="2">
        <v>8.7928106235874593E-3</v>
      </c>
      <c r="D18268" s="2">
        <v>5.7544279201853302E-3</v>
      </c>
      <c r="E18268" s="2">
        <v>6.3098346388163603E-3</v>
      </c>
      <c r="F18268" s="2">
        <v>8.4240125023964801E-3</v>
      </c>
    </row>
    <row r="18269" spans="1:6" x14ac:dyDescent="0.25">
      <c r="A18269" s="1" t="str">
        <f t="shared" si="694"/>
        <v>30700</v>
      </c>
      <c r="B18269" s="1" t="str">
        <f>"68501"</f>
        <v>68501</v>
      </c>
      <c r="C18269" s="2">
        <v>1.1587787688727799E-2</v>
      </c>
      <c r="D18269" s="2">
        <v>4.4690232419101701E-2</v>
      </c>
      <c r="E18269" s="2">
        <v>1.0879025239338499E-4</v>
      </c>
      <c r="F18269" s="2">
        <v>1.35481359693714E-2</v>
      </c>
    </row>
    <row r="18270" spans="1:6" x14ac:dyDescent="0.25">
      <c r="A18270" s="1" t="str">
        <f t="shared" si="694"/>
        <v>30700</v>
      </c>
      <c r="B18270" s="1" t="str">
        <f>"68428"</f>
        <v>68428</v>
      </c>
      <c r="C18270" s="2">
        <v>4.3730023937841797E-3</v>
      </c>
      <c r="D18270" s="2">
        <v>1.3451909423809799E-3</v>
      </c>
      <c r="E18270" s="2">
        <v>7.6153176675369805E-4</v>
      </c>
      <c r="F18270" s="2">
        <v>3.9447617166394498E-3</v>
      </c>
    </row>
    <row r="18271" spans="1:6" x14ac:dyDescent="0.25">
      <c r="A18271" s="1" t="str">
        <f t="shared" si="694"/>
        <v>30700</v>
      </c>
      <c r="B18271" s="1" t="str">
        <f>"68462"</f>
        <v>68462</v>
      </c>
      <c r="C18271" s="2">
        <v>1.17081455527769E-2</v>
      </c>
      <c r="D18271" s="2">
        <v>6.1280920708467199E-3</v>
      </c>
      <c r="E18271" s="2">
        <v>4.7867711053089599E-3</v>
      </c>
      <c r="F18271" s="2">
        <v>1.09047389427573E-2</v>
      </c>
    </row>
    <row r="18272" spans="1:6" x14ac:dyDescent="0.25">
      <c r="A18272" s="1" t="str">
        <f t="shared" si="694"/>
        <v>30700</v>
      </c>
      <c r="B18272" s="1" t="str">
        <f>"68460"</f>
        <v>68460</v>
      </c>
      <c r="C18272" s="2">
        <v>2.67461920109124E-5</v>
      </c>
      <c r="D18272" s="2">
        <v>0</v>
      </c>
      <c r="E18272" s="2">
        <v>0</v>
      </c>
      <c r="F18272" s="2">
        <v>2.3238655179024701E-5</v>
      </c>
    </row>
    <row r="18273" spans="1:6" x14ac:dyDescent="0.25">
      <c r="A18273" s="1" t="str">
        <f t="shared" si="694"/>
        <v>30700</v>
      </c>
      <c r="B18273" s="1" t="str">
        <f>"68438"</f>
        <v>68438</v>
      </c>
      <c r="C18273" s="2">
        <v>4.61371812188239E-4</v>
      </c>
      <c r="D18273" s="2">
        <v>0</v>
      </c>
      <c r="E18273" s="2">
        <v>1.0879025239338499E-4</v>
      </c>
      <c r="F18273" s="2">
        <v>4.06676465632933E-4</v>
      </c>
    </row>
    <row r="18274" spans="1:6" x14ac:dyDescent="0.25">
      <c r="A18274" s="1" t="str">
        <f t="shared" si="694"/>
        <v>30700</v>
      </c>
      <c r="B18274" s="1" t="str">
        <f>"68529"</f>
        <v>68529</v>
      </c>
      <c r="C18274" s="2">
        <v>2.0260240448266098E-3</v>
      </c>
      <c r="D18274" s="2">
        <v>7.3238173529631499E-3</v>
      </c>
      <c r="E18274" s="2">
        <v>2.1758050478677099E-4</v>
      </c>
      <c r="F18274" s="2">
        <v>2.3412945092867398E-3</v>
      </c>
    </row>
    <row r="18275" spans="1:6" x14ac:dyDescent="0.25">
      <c r="A18275" s="1" t="str">
        <f t="shared" si="694"/>
        <v>30700</v>
      </c>
      <c r="B18275" s="1" t="str">
        <f>"68419"</f>
        <v>68419</v>
      </c>
      <c r="C18275" s="2">
        <v>7.8901266432191699E-4</v>
      </c>
      <c r="D18275" s="2">
        <v>4.4839698079366199E-4</v>
      </c>
      <c r="E18275" s="2">
        <v>1.0879025239338499E-4</v>
      </c>
      <c r="F18275" s="2">
        <v>7.2620797434452399E-4</v>
      </c>
    </row>
    <row r="18276" spans="1:6" x14ac:dyDescent="0.25">
      <c r="A18276" s="1" t="str">
        <f t="shared" si="694"/>
        <v>30700</v>
      </c>
      <c r="B18276" s="1" t="str">
        <f>"68364"</f>
        <v>68364</v>
      </c>
      <c r="C18276" s="2">
        <v>6.3522206025917001E-4</v>
      </c>
      <c r="D18276" s="2">
        <v>0</v>
      </c>
      <c r="E18276" s="2">
        <v>1.0879025239338499E-4</v>
      </c>
      <c r="F18276" s="2">
        <v>5.57727724296594E-4</v>
      </c>
    </row>
    <row r="18277" spans="1:6" x14ac:dyDescent="0.25">
      <c r="A18277" s="1" t="str">
        <f t="shared" si="694"/>
        <v>30700</v>
      </c>
      <c r="B18277" s="1" t="str">
        <f>"68430"</f>
        <v>68430</v>
      </c>
      <c r="C18277" s="2">
        <v>5.2021343461224698E-3</v>
      </c>
      <c r="D18277" s="2">
        <v>2.5409162244974201E-3</v>
      </c>
      <c r="E18277" s="2">
        <v>1.19669277632724E-3</v>
      </c>
      <c r="F18277" s="2">
        <v>4.7813533030843496E-3</v>
      </c>
    </row>
    <row r="18278" spans="1:6" x14ac:dyDescent="0.25">
      <c r="A18278" s="1" t="str">
        <f t="shared" si="694"/>
        <v>30700</v>
      </c>
      <c r="B18278" s="1" t="str">
        <f>"68317"</f>
        <v>68317</v>
      </c>
      <c r="C18278" s="2">
        <v>5.1620150581060996E-3</v>
      </c>
      <c r="D18278" s="2">
        <v>8.2206113145504803E-4</v>
      </c>
      <c r="E18278" s="2">
        <v>8.7032201914708396E-4</v>
      </c>
      <c r="F18278" s="2">
        <v>4.5954440616521501E-3</v>
      </c>
    </row>
    <row r="18279" spans="1:6" x14ac:dyDescent="0.25">
      <c r="A18279" s="1" t="str">
        <f t="shared" si="694"/>
        <v>30700</v>
      </c>
      <c r="B18279" s="1" t="str">
        <f>"68368"</f>
        <v>68368</v>
      </c>
      <c r="C18279" s="2">
        <v>1.63820426066838E-3</v>
      </c>
      <c r="D18279" s="2">
        <v>2.24198490396831E-4</v>
      </c>
      <c r="E18279" s="2">
        <v>3.2637075718015601E-4</v>
      </c>
      <c r="F18279" s="2">
        <v>1.4582256124838001E-3</v>
      </c>
    </row>
    <row r="18280" spans="1:6" x14ac:dyDescent="0.25">
      <c r="A18280" s="1" t="str">
        <f t="shared" si="694"/>
        <v>30700</v>
      </c>
      <c r="B18280" s="1" t="str">
        <f>"68507"</f>
        <v>68507</v>
      </c>
      <c r="C18280" s="2">
        <v>4.7989355015579598E-2</v>
      </c>
      <c r="D18280" s="2">
        <v>4.0430461101561899E-2</v>
      </c>
      <c r="E18280" s="2">
        <v>3.6444734551784097E-2</v>
      </c>
      <c r="F18280" s="2">
        <v>4.6785222539171598E-2</v>
      </c>
    </row>
    <row r="18281" spans="1:6" x14ac:dyDescent="0.25">
      <c r="A18281" s="1" t="str">
        <f t="shared" si="694"/>
        <v>30700</v>
      </c>
      <c r="B18281" s="1" t="str">
        <f>"68510"</f>
        <v>68510</v>
      </c>
      <c r="C18281" s="2">
        <v>6.5702020674806405E-2</v>
      </c>
      <c r="D18281" s="2">
        <v>8.7811075405425598E-2</v>
      </c>
      <c r="E18281" s="2">
        <v>8.4530026109660497E-2</v>
      </c>
      <c r="F18281" s="2">
        <v>6.8426220174638397E-2</v>
      </c>
    </row>
    <row r="18282" spans="1:6" x14ac:dyDescent="0.25">
      <c r="A18282" s="1" t="str">
        <f t="shared" si="694"/>
        <v>30700</v>
      </c>
      <c r="B18282" s="1" t="str">
        <f>"68527"</f>
        <v>68527</v>
      </c>
      <c r="C18282" s="2">
        <v>5.1954477981197402E-3</v>
      </c>
      <c r="D18282" s="2">
        <v>5.9786264105821595E-4</v>
      </c>
      <c r="E18282" s="2">
        <v>1.0879025239338499E-4</v>
      </c>
      <c r="F18282" s="2">
        <v>4.5663957426783702E-3</v>
      </c>
    </row>
    <row r="18283" spans="1:6" x14ac:dyDescent="0.25">
      <c r="A18283" s="1" t="str">
        <f t="shared" si="694"/>
        <v>30700</v>
      </c>
      <c r="B18283" s="1" t="str">
        <f>"68372"</f>
        <v>68372</v>
      </c>
      <c r="C18283" s="2">
        <v>9.7891062759939505E-3</v>
      </c>
      <c r="D18283" s="2">
        <v>3.28824452582019E-3</v>
      </c>
      <c r="E18283" s="2">
        <v>2.3933855526544799E-3</v>
      </c>
      <c r="F18283" s="2">
        <v>8.8887856059769801E-3</v>
      </c>
    </row>
    <row r="18284" spans="1:6" x14ac:dyDescent="0.25">
      <c r="A18284" s="1" t="str">
        <f t="shared" si="694"/>
        <v>30700</v>
      </c>
      <c r="B18284" s="1" t="str">
        <f>"68301"</f>
        <v>68301</v>
      </c>
      <c r="C18284" s="2">
        <v>6.6865480027281099E-4</v>
      </c>
      <c r="D18284" s="2">
        <v>7.4732830132277103E-5</v>
      </c>
      <c r="E18284" s="2">
        <v>0</v>
      </c>
      <c r="F18284" s="2">
        <v>5.8677604327037503E-4</v>
      </c>
    </row>
    <row r="18285" spans="1:6" x14ac:dyDescent="0.25">
      <c r="A18285" s="1" t="str">
        <f t="shared" si="694"/>
        <v>30700</v>
      </c>
      <c r="B18285" s="1" t="str">
        <f>"68669"</f>
        <v>68669</v>
      </c>
      <c r="C18285" s="2">
        <v>4.0119288016368601E-5</v>
      </c>
      <c r="D18285" s="2">
        <v>7.4732830132277103E-5</v>
      </c>
      <c r="E18285" s="2">
        <v>0</v>
      </c>
      <c r="F18285" s="2">
        <v>4.0667646563293298E-5</v>
      </c>
    </row>
    <row r="18286" spans="1:6" x14ac:dyDescent="0.25">
      <c r="A18286" s="1" t="str">
        <f t="shared" si="694"/>
        <v>30700</v>
      </c>
      <c r="B18286" s="1" t="str">
        <f>"68583"</f>
        <v>68583</v>
      </c>
      <c r="C18286" s="2">
        <v>0</v>
      </c>
      <c r="D18286" s="2">
        <v>4.1850384874075096E-3</v>
      </c>
      <c r="E18286" s="2">
        <v>0</v>
      </c>
      <c r="F18286" s="2">
        <v>3.2534117250634698E-4</v>
      </c>
    </row>
    <row r="18287" spans="1:6" x14ac:dyDescent="0.25">
      <c r="A18287" s="1" t="str">
        <f t="shared" si="694"/>
        <v>30700</v>
      </c>
      <c r="B18287" s="1" t="str">
        <f>"68359"</f>
        <v>68359</v>
      </c>
      <c r="C18287" s="2">
        <v>2.9420811212003598E-4</v>
      </c>
      <c r="D18287" s="2">
        <v>7.4732830132277103E-5</v>
      </c>
      <c r="E18287" s="2">
        <v>0</v>
      </c>
      <c r="F18287" s="2">
        <v>2.61434870764028E-4</v>
      </c>
    </row>
    <row r="18288" spans="1:6" x14ac:dyDescent="0.25">
      <c r="A18288" s="1" t="str">
        <f t="shared" si="694"/>
        <v>30700</v>
      </c>
      <c r="B18288" s="1" t="str">
        <f>"68505"</f>
        <v>68505</v>
      </c>
      <c r="C18288" s="2">
        <v>5.49366783904141E-2</v>
      </c>
      <c r="D18288" s="2">
        <v>5.7021149390927402E-2</v>
      </c>
      <c r="E18288" s="2">
        <v>2.52393385552654E-2</v>
      </c>
      <c r="F18288" s="2">
        <v>5.3512813213499301E-2</v>
      </c>
    </row>
    <row r="18289" spans="1:6" x14ac:dyDescent="0.25">
      <c r="A18289" s="1" t="str">
        <f t="shared" si="694"/>
        <v>30700</v>
      </c>
      <c r="B18289" s="1" t="str">
        <f>"68314"</f>
        <v>68314</v>
      </c>
      <c r="C18289" s="2">
        <v>9.962956524064879E-4</v>
      </c>
      <c r="D18289" s="2">
        <v>5.9786264105821595E-4</v>
      </c>
      <c r="E18289" s="2">
        <v>1.0879025239338499E-4</v>
      </c>
      <c r="F18289" s="2">
        <v>9.1792687957147903E-4</v>
      </c>
    </row>
    <row r="18290" spans="1:6" x14ac:dyDescent="0.25">
      <c r="A18290" s="1" t="str">
        <f t="shared" si="694"/>
        <v>30700</v>
      </c>
      <c r="B18290" s="1" t="str">
        <f>"68404"</f>
        <v>68404</v>
      </c>
      <c r="C18290" s="2">
        <v>3.4502587694077002E-3</v>
      </c>
      <c r="D18290" s="2">
        <v>9.71526791719602E-4</v>
      </c>
      <c r="E18290" s="2">
        <v>7.6153176675369805E-4</v>
      </c>
      <c r="F18290" s="2">
        <v>3.1139797939893198E-3</v>
      </c>
    </row>
    <row r="18291" spans="1:6" x14ac:dyDescent="0.25">
      <c r="A18291" s="1" t="str">
        <f t="shared" si="694"/>
        <v>30700</v>
      </c>
      <c r="B18291" s="1" t="str">
        <f>"68517"</f>
        <v>68517</v>
      </c>
      <c r="C18291" s="2">
        <v>1.3172499565374299E-3</v>
      </c>
      <c r="D18291" s="2">
        <v>2.0177864135714802E-3</v>
      </c>
      <c r="E18291" s="2">
        <v>6.52741514360313E-4</v>
      </c>
      <c r="F18291" s="2">
        <v>1.3362226727939199E-3</v>
      </c>
    </row>
    <row r="18292" spans="1:6" x14ac:dyDescent="0.25">
      <c r="A18292" s="1" t="str">
        <f t="shared" si="694"/>
        <v>30700</v>
      </c>
      <c r="B18292" s="1" t="str">
        <f>"68358"</f>
        <v>68358</v>
      </c>
      <c r="C18292" s="2">
        <v>3.9517498696123102E-3</v>
      </c>
      <c r="D18292" s="2">
        <v>7.47328301322771E-4</v>
      </c>
      <c r="E18292" s="2">
        <v>1.19669277632724E-3</v>
      </c>
      <c r="F18292" s="2">
        <v>3.5555142423907898E-3</v>
      </c>
    </row>
    <row r="18293" spans="1:6" x14ac:dyDescent="0.25">
      <c r="A18293" s="1" t="str">
        <f t="shared" si="694"/>
        <v>30700</v>
      </c>
      <c r="B18293" s="1" t="str">
        <f>"68339"</f>
        <v>68339</v>
      </c>
      <c r="C18293" s="2">
        <v>4.0319884456450497E-3</v>
      </c>
      <c r="D18293" s="2">
        <v>7.4732830132277103E-5</v>
      </c>
      <c r="E18293" s="2">
        <v>6.52741514360313E-4</v>
      </c>
      <c r="F18293" s="2">
        <v>3.54389491480128E-3</v>
      </c>
    </row>
    <row r="18294" spans="1:6" x14ac:dyDescent="0.25">
      <c r="A18294" s="1" t="str">
        <f t="shared" si="694"/>
        <v>30700</v>
      </c>
      <c r="B18294" s="1" t="str">
        <f>"68502"</f>
        <v>68502</v>
      </c>
      <c r="C18294" s="2">
        <v>8.1208125493132902E-2</v>
      </c>
      <c r="D18294" s="2">
        <v>7.0622524475001794E-2</v>
      </c>
      <c r="E18294" s="2">
        <v>0.170256744995648</v>
      </c>
      <c r="F18294" s="2">
        <v>8.5140622912152006E-2</v>
      </c>
    </row>
    <row r="18295" spans="1:6" x14ac:dyDescent="0.25">
      <c r="A18295" s="1" t="str">
        <f t="shared" si="694"/>
        <v>30700</v>
      </c>
      <c r="B18295" s="1" t="str">
        <f>"68336"</f>
        <v>68336</v>
      </c>
      <c r="C18295" s="2">
        <v>1.63820426066838E-3</v>
      </c>
      <c r="D18295" s="2">
        <v>2.24198490396831E-4</v>
      </c>
      <c r="E18295" s="2">
        <v>1.0879025239338499E-4</v>
      </c>
      <c r="F18295" s="2">
        <v>1.44660628489429E-3</v>
      </c>
    </row>
    <row r="18296" spans="1:6" x14ac:dyDescent="0.25">
      <c r="A18296" s="1" t="str">
        <f t="shared" si="694"/>
        <v>30700</v>
      </c>
      <c r="B18296" s="1" t="str">
        <f>"68331"</f>
        <v>68331</v>
      </c>
      <c r="C18296" s="2">
        <v>6.6865480027281101E-6</v>
      </c>
      <c r="D18296" s="2">
        <v>0</v>
      </c>
      <c r="E18296" s="2">
        <v>0</v>
      </c>
      <c r="F18296" s="2">
        <v>5.8096637947561897E-6</v>
      </c>
    </row>
    <row r="18297" spans="1:6" x14ac:dyDescent="0.25">
      <c r="A18297" s="1" t="str">
        <f t="shared" si="694"/>
        <v>30700</v>
      </c>
      <c r="B18297" s="1" t="str">
        <f>"68465"</f>
        <v>68465</v>
      </c>
      <c r="C18297" s="2">
        <v>4.68058360190967E-5</v>
      </c>
      <c r="D18297" s="2">
        <v>0</v>
      </c>
      <c r="E18297" s="2">
        <v>0</v>
      </c>
      <c r="F18297" s="2">
        <v>4.0667646563293298E-5</v>
      </c>
    </row>
    <row r="18298" spans="1:6" x14ac:dyDescent="0.25">
      <c r="A18298" s="1" t="str">
        <f t="shared" ref="A18298:A18330" si="695">"30700"</f>
        <v>30700</v>
      </c>
      <c r="B18298" s="1" t="str">
        <f>"68017"</f>
        <v>68017</v>
      </c>
      <c r="C18298" s="2">
        <v>8.1575885633282895E-4</v>
      </c>
      <c r="D18298" s="2">
        <v>1.4946566026455399E-4</v>
      </c>
      <c r="E18298" s="2">
        <v>1.0879025239338499E-4</v>
      </c>
      <c r="F18298" s="2">
        <v>7.2620797434452399E-4</v>
      </c>
    </row>
    <row r="18299" spans="1:6" x14ac:dyDescent="0.25">
      <c r="A18299" s="1" t="str">
        <f t="shared" si="695"/>
        <v>30700</v>
      </c>
      <c r="B18299" s="1" t="str">
        <f>"68360"</f>
        <v>68360</v>
      </c>
      <c r="C18299" s="2">
        <v>1.7652486727202201E-3</v>
      </c>
      <c r="D18299" s="2">
        <v>3.7366415066138501E-4</v>
      </c>
      <c r="E18299" s="2">
        <v>2.1758050478677099E-4</v>
      </c>
      <c r="F18299" s="2">
        <v>1.5744188883789201E-3</v>
      </c>
    </row>
    <row r="18300" spans="1:6" x14ac:dyDescent="0.25">
      <c r="A18300" s="1" t="str">
        <f t="shared" si="695"/>
        <v>30700</v>
      </c>
      <c r="B18300" s="1" t="str">
        <f>"68343"</f>
        <v>68343</v>
      </c>
      <c r="C18300" s="2">
        <v>3.3432740013640502E-5</v>
      </c>
      <c r="D18300" s="2">
        <v>2.24198490396831E-4</v>
      </c>
      <c r="E18300" s="2">
        <v>0</v>
      </c>
      <c r="F18300" s="2">
        <v>4.6477310358049497E-5</v>
      </c>
    </row>
    <row r="18301" spans="1:6" x14ac:dyDescent="0.25">
      <c r="A18301" s="1" t="str">
        <f t="shared" si="695"/>
        <v>30700</v>
      </c>
      <c r="B18301" s="1" t="str">
        <f>"68366"</f>
        <v>68366</v>
      </c>
      <c r="C18301" s="2">
        <v>3.0758120812549299E-4</v>
      </c>
      <c r="D18301" s="2">
        <v>0</v>
      </c>
      <c r="E18301" s="2">
        <v>0</v>
      </c>
      <c r="F18301" s="2">
        <v>2.6724453455878502E-4</v>
      </c>
    </row>
    <row r="18302" spans="1:6" x14ac:dyDescent="0.25">
      <c r="A18302" s="1" t="str">
        <f t="shared" si="695"/>
        <v>30700</v>
      </c>
      <c r="B18302" s="1" t="str">
        <f>"68542"</f>
        <v>68542</v>
      </c>
      <c r="C18302" s="2">
        <v>4.4465544218141896E-3</v>
      </c>
      <c r="D18302" s="2">
        <v>2.63806890366938E-2</v>
      </c>
      <c r="E18302" s="2">
        <v>2.1758050478677099E-4</v>
      </c>
      <c r="F18302" s="2">
        <v>5.9258570706513204E-3</v>
      </c>
    </row>
    <row r="18303" spans="1:6" x14ac:dyDescent="0.25">
      <c r="A18303" s="1" t="str">
        <f t="shared" si="695"/>
        <v>30700</v>
      </c>
      <c r="B18303" s="1" t="str">
        <f>"68333"</f>
        <v>68333</v>
      </c>
      <c r="C18303" s="2">
        <v>2.3670379929657502E-3</v>
      </c>
      <c r="D18303" s="2">
        <v>3.7366415066138501E-4</v>
      </c>
      <c r="E18303" s="2">
        <v>1.19669277632724E-3</v>
      </c>
      <c r="F18303" s="2">
        <v>2.14957560405979E-3</v>
      </c>
    </row>
    <row r="18304" spans="1:6" x14ac:dyDescent="0.25">
      <c r="A18304" s="1" t="str">
        <f t="shared" si="695"/>
        <v>30700</v>
      </c>
      <c r="B18304" s="1" t="str">
        <f>"68065"</f>
        <v>68065</v>
      </c>
      <c r="C18304" s="2">
        <v>9.5617636439011898E-4</v>
      </c>
      <c r="D18304" s="2">
        <v>0</v>
      </c>
      <c r="E18304" s="2">
        <v>0</v>
      </c>
      <c r="F18304" s="2">
        <v>8.3078192265013603E-4</v>
      </c>
    </row>
    <row r="18305" spans="1:6" x14ac:dyDescent="0.25">
      <c r="A18305" s="1" t="str">
        <f t="shared" si="695"/>
        <v>30700</v>
      </c>
      <c r="B18305" s="1" t="str">
        <f>"68514"</f>
        <v>68514</v>
      </c>
      <c r="C18305" s="2">
        <v>9.0268398036829505E-4</v>
      </c>
      <c r="D18305" s="2">
        <v>1.3451909423809799E-3</v>
      </c>
      <c r="E18305" s="2">
        <v>3.2637075718015601E-4</v>
      </c>
      <c r="F18305" s="2">
        <v>9.0630755198196596E-4</v>
      </c>
    </row>
    <row r="18306" spans="1:6" x14ac:dyDescent="0.25">
      <c r="A18306" s="1" t="str">
        <f t="shared" si="695"/>
        <v>30700</v>
      </c>
      <c r="B18306" s="1" t="str">
        <f>"68456"</f>
        <v>68456</v>
      </c>
      <c r="C18306" s="2">
        <v>3.2429757813231298E-3</v>
      </c>
      <c r="D18306" s="2">
        <v>2.4661833943651402E-3</v>
      </c>
      <c r="E18306" s="2">
        <v>3.2637075718015601E-4</v>
      </c>
      <c r="F18306" s="2">
        <v>3.02683483706797E-3</v>
      </c>
    </row>
    <row r="18307" spans="1:6" x14ac:dyDescent="0.25">
      <c r="A18307" s="1" t="str">
        <f t="shared" si="695"/>
        <v>30700</v>
      </c>
      <c r="B18307" s="1" t="str">
        <f>"68516"</f>
        <v>68516</v>
      </c>
      <c r="C18307" s="2">
        <v>0.133282961338379</v>
      </c>
      <c r="D18307" s="2">
        <v>9.0576190120319797E-2</v>
      </c>
      <c r="E18307" s="2">
        <v>8.51827676240208E-2</v>
      </c>
      <c r="F18307" s="2">
        <v>0.12739430769141299</v>
      </c>
    </row>
    <row r="18308" spans="1:6" x14ac:dyDescent="0.25">
      <c r="A18308" s="1" t="str">
        <f t="shared" si="695"/>
        <v>30700</v>
      </c>
      <c r="B18308" s="1" t="str">
        <f>"68504"</f>
        <v>68504</v>
      </c>
      <c r="C18308" s="2">
        <v>5.8982039932064599E-2</v>
      </c>
      <c r="D18308" s="2">
        <v>8.5270159180928104E-2</v>
      </c>
      <c r="E18308" s="2">
        <v>0.116079199303742</v>
      </c>
      <c r="F18308" s="2">
        <v>6.4074781992366103E-2</v>
      </c>
    </row>
    <row r="18309" spans="1:6" x14ac:dyDescent="0.25">
      <c r="A18309" s="1" t="str">
        <f t="shared" si="695"/>
        <v>30700</v>
      </c>
      <c r="B18309" s="1" t="str">
        <f>"68503"</f>
        <v>68503</v>
      </c>
      <c r="C18309" s="2">
        <v>4.4077724433983702E-2</v>
      </c>
      <c r="D18309" s="2">
        <v>2.89216052611912E-2</v>
      </c>
      <c r="E18309" s="2">
        <v>6.8320278503046103E-2</v>
      </c>
      <c r="F18309" s="2">
        <v>4.4194112486710298E-2</v>
      </c>
    </row>
    <row r="18310" spans="1:6" x14ac:dyDescent="0.25">
      <c r="A18310" s="1" t="str">
        <f t="shared" si="695"/>
        <v>30700</v>
      </c>
      <c r="B18310" s="1" t="str">
        <f>"68528"</f>
        <v>68528</v>
      </c>
      <c r="C18310" s="2">
        <v>2.01666287762279E-2</v>
      </c>
      <c r="D18310" s="2">
        <v>1.9281070174127401E-2</v>
      </c>
      <c r="E18310" s="2">
        <v>1.54482158398607E-2</v>
      </c>
      <c r="F18310" s="2">
        <v>1.98458115228871E-2</v>
      </c>
    </row>
    <row r="18311" spans="1:6" x14ac:dyDescent="0.25">
      <c r="A18311" s="1" t="str">
        <f t="shared" si="695"/>
        <v>30700</v>
      </c>
      <c r="B18311" s="1" t="str">
        <f>"68313"</f>
        <v>68313</v>
      </c>
      <c r="C18311" s="2">
        <v>2.8350963531567101E-3</v>
      </c>
      <c r="D18311" s="2">
        <v>5.2312981092593903E-4</v>
      </c>
      <c r="E18311" s="2">
        <v>3.2637075718015601E-4</v>
      </c>
      <c r="F18311" s="2">
        <v>2.5213940869241798E-3</v>
      </c>
    </row>
    <row r="18312" spans="1:6" x14ac:dyDescent="0.25">
      <c r="A18312" s="1" t="str">
        <f t="shared" si="695"/>
        <v>30700</v>
      </c>
      <c r="B18312" s="1" t="str">
        <f>"68434"</f>
        <v>68434</v>
      </c>
      <c r="C18312" s="2">
        <v>2.5890313866563201E-2</v>
      </c>
      <c r="D18312" s="2">
        <v>3.3256109408863303E-2</v>
      </c>
      <c r="E18312" s="2">
        <v>2.45865970409051E-2</v>
      </c>
      <c r="F18312" s="2">
        <v>2.63933026195774E-2</v>
      </c>
    </row>
    <row r="18313" spans="1:6" x14ac:dyDescent="0.25">
      <c r="A18313" s="1" t="str">
        <f t="shared" si="695"/>
        <v>30700</v>
      </c>
      <c r="B18313" s="1" t="str">
        <f>"68439"</f>
        <v>68439</v>
      </c>
      <c r="C18313" s="2">
        <v>1.3974885325701699E-3</v>
      </c>
      <c r="D18313" s="2">
        <v>3.7366415066138501E-4</v>
      </c>
      <c r="E18313" s="2">
        <v>2.1758050478677099E-4</v>
      </c>
      <c r="F18313" s="2">
        <v>1.25488737966733E-3</v>
      </c>
    </row>
    <row r="18314" spans="1:6" x14ac:dyDescent="0.25">
      <c r="A18314" s="1" t="str">
        <f t="shared" si="695"/>
        <v>30700</v>
      </c>
      <c r="B18314" s="1" t="str">
        <f>"68506"</f>
        <v>68506</v>
      </c>
      <c r="C18314" s="2">
        <v>9.1077470345159603E-2</v>
      </c>
      <c r="D18314" s="2">
        <v>9.5134892758388698E-2</v>
      </c>
      <c r="E18314" s="2">
        <v>7.5282854656222795E-2</v>
      </c>
      <c r="F18314" s="2">
        <v>9.0549419905069997E-2</v>
      </c>
    </row>
    <row r="18315" spans="1:6" x14ac:dyDescent="0.25">
      <c r="A18315" s="1" t="str">
        <f t="shared" si="695"/>
        <v>30700</v>
      </c>
      <c r="B18315" s="1" t="str">
        <f>"68520"</f>
        <v>68520</v>
      </c>
      <c r="C18315" s="2">
        <v>7.35520280300092E-3</v>
      </c>
      <c r="D18315" s="2">
        <v>1.64412226291009E-3</v>
      </c>
      <c r="E18315" s="2">
        <v>1.7406440382941599E-3</v>
      </c>
      <c r="F18315" s="2">
        <v>6.6113973984325497E-3</v>
      </c>
    </row>
    <row r="18316" spans="1:6" x14ac:dyDescent="0.25">
      <c r="A18316" s="1" t="str">
        <f t="shared" si="695"/>
        <v>30700</v>
      </c>
      <c r="B18316" s="1" t="str">
        <f>"68524"</f>
        <v>68524</v>
      </c>
      <c r="C18316" s="2">
        <v>1.4242347245810799E-2</v>
      </c>
      <c r="D18316" s="2">
        <v>9.6405350870637403E-3</v>
      </c>
      <c r="E18316" s="2">
        <v>2.71975630983463E-3</v>
      </c>
      <c r="F18316" s="2">
        <v>1.3269272107223101E-2</v>
      </c>
    </row>
    <row r="18317" spans="1:6" x14ac:dyDescent="0.25">
      <c r="A18317" s="1" t="str">
        <f t="shared" si="695"/>
        <v>30700</v>
      </c>
      <c r="B18317" s="1" t="str">
        <f>"68532"</f>
        <v>68532</v>
      </c>
      <c r="C18317" s="2">
        <v>1.62483116466293E-3</v>
      </c>
      <c r="D18317" s="2">
        <v>0</v>
      </c>
      <c r="E18317" s="2">
        <v>1.0879025239338499E-4</v>
      </c>
      <c r="F18317" s="2">
        <v>1.4175579659205101E-3</v>
      </c>
    </row>
    <row r="18318" spans="1:6" x14ac:dyDescent="0.25">
      <c r="A18318" s="1" t="str">
        <f t="shared" si="695"/>
        <v>30700</v>
      </c>
      <c r="B18318" s="1" t="str">
        <f>"68461"</f>
        <v>68461</v>
      </c>
      <c r="C18318" s="2">
        <v>2.5475747890394101E-3</v>
      </c>
      <c r="D18318" s="2">
        <v>8.9679396158732496E-4</v>
      </c>
      <c r="E18318" s="2">
        <v>2.1758050478677099E-4</v>
      </c>
      <c r="F18318" s="2">
        <v>2.2948171989286901E-3</v>
      </c>
    </row>
    <row r="18319" spans="1:6" x14ac:dyDescent="0.25">
      <c r="A18319" s="1" t="str">
        <f t="shared" si="695"/>
        <v>30700</v>
      </c>
      <c r="B18319" s="1" t="str">
        <f>"68423"</f>
        <v>68423</v>
      </c>
      <c r="C18319" s="2">
        <v>2.9955735052221901E-3</v>
      </c>
      <c r="D18319" s="2">
        <v>2.9893132052910798E-4</v>
      </c>
      <c r="E18319" s="2">
        <v>1.63185378590078E-3</v>
      </c>
      <c r="F18319" s="2">
        <v>2.7131129921511401E-3</v>
      </c>
    </row>
    <row r="18320" spans="1:6" x14ac:dyDescent="0.25">
      <c r="A18320" s="1" t="str">
        <f t="shared" si="695"/>
        <v>30700</v>
      </c>
      <c r="B18320" s="1" t="str">
        <f>"68347"</f>
        <v>68347</v>
      </c>
      <c r="C18320" s="2">
        <v>2.67461920109124E-5</v>
      </c>
      <c r="D18320" s="2">
        <v>0</v>
      </c>
      <c r="E18320" s="2">
        <v>0</v>
      </c>
      <c r="F18320" s="2">
        <v>2.3238655179024701E-5</v>
      </c>
    </row>
    <row r="18321" spans="1:6" x14ac:dyDescent="0.25">
      <c r="A18321" s="1" t="str">
        <f t="shared" si="695"/>
        <v>30700</v>
      </c>
      <c r="B18321" s="1" t="str">
        <f>"68531"</f>
        <v>68531</v>
      </c>
      <c r="C18321" s="2">
        <v>3.0758120812549299E-4</v>
      </c>
      <c r="D18321" s="2">
        <v>7.4732830132277103E-5</v>
      </c>
      <c r="E18321" s="2">
        <v>1.0879025239338499E-4</v>
      </c>
      <c r="F18321" s="2">
        <v>2.78863862148297E-4</v>
      </c>
    </row>
    <row r="18322" spans="1:6" x14ac:dyDescent="0.25">
      <c r="A18322" s="1" t="str">
        <f t="shared" si="695"/>
        <v>30700</v>
      </c>
      <c r="B18322" s="1" t="str">
        <f>"68003"</f>
        <v>68003</v>
      </c>
      <c r="C18322" s="2">
        <v>2.67461920109124E-5</v>
      </c>
      <c r="D18322" s="2">
        <v>0</v>
      </c>
      <c r="E18322" s="2">
        <v>0</v>
      </c>
      <c r="F18322" s="2">
        <v>2.3238655179024701E-5</v>
      </c>
    </row>
    <row r="18323" spans="1:6" x14ac:dyDescent="0.25">
      <c r="A18323" s="1" t="str">
        <f t="shared" si="695"/>
        <v>30700</v>
      </c>
      <c r="B18323" s="1" t="str">
        <f>"68330"</f>
        <v>68330</v>
      </c>
      <c r="C18323" s="2">
        <v>5.0149110020460803E-4</v>
      </c>
      <c r="D18323" s="2">
        <v>0</v>
      </c>
      <c r="E18323" s="2">
        <v>1.0879025239338499E-4</v>
      </c>
      <c r="F18323" s="2">
        <v>4.41534448401471E-4</v>
      </c>
    </row>
    <row r="18324" spans="1:6" x14ac:dyDescent="0.25">
      <c r="A18324" s="1" t="str">
        <f t="shared" si="695"/>
        <v>30700</v>
      </c>
      <c r="B18324" s="1" t="str">
        <f>"68588"</f>
        <v>68588</v>
      </c>
      <c r="C18324" s="2">
        <v>0</v>
      </c>
      <c r="D18324" s="2">
        <v>7.24908452283087E-3</v>
      </c>
      <c r="E18324" s="2">
        <v>3.2637075718015601E-4</v>
      </c>
      <c r="F18324" s="2">
        <v>5.8096637947561904E-4</v>
      </c>
    </row>
    <row r="18325" spans="1:6" x14ac:dyDescent="0.25">
      <c r="A18325" s="1" t="str">
        <f t="shared" si="695"/>
        <v>30700</v>
      </c>
      <c r="B18325" s="1" t="str">
        <f>"68402"</f>
        <v>68402</v>
      </c>
      <c r="C18325" s="2">
        <v>3.5906762774649899E-3</v>
      </c>
      <c r="D18325" s="2">
        <v>1.04625962185187E-3</v>
      </c>
      <c r="E18325" s="2">
        <v>5.4395126196692698E-4</v>
      </c>
      <c r="F18325" s="2">
        <v>3.2301730698844401E-3</v>
      </c>
    </row>
    <row r="18326" spans="1:6" x14ac:dyDescent="0.25">
      <c r="A18326" s="1" t="str">
        <f t="shared" si="695"/>
        <v>30700</v>
      </c>
      <c r="B18326" s="1" t="str">
        <f>"68526"</f>
        <v>68526</v>
      </c>
      <c r="C18326" s="2">
        <v>2.08486566725062E-2</v>
      </c>
      <c r="D18326" s="2">
        <v>1.0387863388386501E-2</v>
      </c>
      <c r="E18326" s="2">
        <v>8.0504786771105306E-3</v>
      </c>
      <c r="F18326" s="2">
        <v>1.9351990100332801E-2</v>
      </c>
    </row>
    <row r="18327" spans="1:6" x14ac:dyDescent="0.25">
      <c r="A18327" s="1" t="str">
        <f t="shared" si="695"/>
        <v>30700</v>
      </c>
      <c r="B18327" s="1" t="str">
        <f>"68367"</f>
        <v>68367</v>
      </c>
      <c r="C18327" s="2">
        <v>1.9390989207911501E-4</v>
      </c>
      <c r="D18327" s="2">
        <v>0</v>
      </c>
      <c r="E18327" s="2">
        <v>0</v>
      </c>
      <c r="F18327" s="2">
        <v>1.6848025004792899E-4</v>
      </c>
    </row>
    <row r="18328" spans="1:6" x14ac:dyDescent="0.25">
      <c r="A18328" s="1" t="str">
        <f t="shared" si="695"/>
        <v>30700</v>
      </c>
      <c r="B18328" s="1" t="str">
        <f>"68512"</f>
        <v>68512</v>
      </c>
      <c r="C18328" s="2">
        <v>3.8895649731869403E-2</v>
      </c>
      <c r="D18328" s="2">
        <v>3.87116060085195E-2</v>
      </c>
      <c r="E18328" s="2">
        <v>3.74238468233246E-2</v>
      </c>
      <c r="F18328" s="2">
        <v>3.88027444851766E-2</v>
      </c>
    </row>
    <row r="18329" spans="1:6" x14ac:dyDescent="0.25">
      <c r="A18329" s="1" t="str">
        <f t="shared" si="695"/>
        <v>30700</v>
      </c>
      <c r="B18329" s="1" t="str">
        <f>"68521"</f>
        <v>68521</v>
      </c>
      <c r="C18329" s="2">
        <v>0.10306645091405101</v>
      </c>
      <c r="D18329" s="2">
        <v>6.1579852028996303E-2</v>
      </c>
      <c r="E18329" s="2">
        <v>7.8872932985204494E-2</v>
      </c>
      <c r="F18329" s="2">
        <v>9.8549326950449295E-2</v>
      </c>
    </row>
    <row r="18330" spans="1:6" x14ac:dyDescent="0.25">
      <c r="A18330" s="1" t="str">
        <f t="shared" si="695"/>
        <v>30700</v>
      </c>
      <c r="B18330" s="1" t="str">
        <f>"68522"</f>
        <v>68522</v>
      </c>
      <c r="C18330" s="2">
        <v>3.20954304130949E-2</v>
      </c>
      <c r="D18330" s="2">
        <v>2.30177116807413E-2</v>
      </c>
      <c r="E18330" s="2">
        <v>2.2628372497824099E-2</v>
      </c>
      <c r="F18330" s="2">
        <v>3.08841727329239E-2</v>
      </c>
    </row>
    <row r="18331" spans="1:6" x14ac:dyDescent="0.25">
      <c r="A18331" s="1" t="str">
        <f t="shared" ref="A18331:A18362" si="696">"30780"</f>
        <v>30780</v>
      </c>
      <c r="B18331" s="1" t="str">
        <f>"72086"</f>
        <v>72086</v>
      </c>
      <c r="C18331" s="2">
        <v>1.2794052716425801E-2</v>
      </c>
      <c r="D18331" s="2">
        <v>1.04537958184816E-2</v>
      </c>
      <c r="E18331" s="2">
        <v>5.44388609715242E-3</v>
      </c>
      <c r="F18331" s="2">
        <v>1.2470240425130201E-2</v>
      </c>
    </row>
    <row r="18332" spans="1:6" x14ac:dyDescent="0.25">
      <c r="A18332" s="1" t="str">
        <f t="shared" si="696"/>
        <v>30780</v>
      </c>
      <c r="B18332" s="1" t="str">
        <f>"72087"</f>
        <v>72087</v>
      </c>
      <c r="C18332" s="2">
        <v>1.08328455985788E-3</v>
      </c>
      <c r="D18332" s="2">
        <v>9.5759961696015295E-4</v>
      </c>
      <c r="E18332" s="2">
        <v>2.79173646007816E-4</v>
      </c>
      <c r="F18332" s="2">
        <v>1.0591415427547799E-3</v>
      </c>
    </row>
    <row r="18333" spans="1:6" x14ac:dyDescent="0.25">
      <c r="A18333" s="1" t="str">
        <f t="shared" si="696"/>
        <v>30780</v>
      </c>
      <c r="B18333" s="1" t="str">
        <f>"72204"</f>
        <v>72204</v>
      </c>
      <c r="C18333" s="2">
        <v>4.2345644785345297E-2</v>
      </c>
      <c r="D18333" s="2">
        <v>3.9394584242166297E-2</v>
      </c>
      <c r="E18333" s="2">
        <v>4.5505304299274102E-2</v>
      </c>
      <c r="F18333" s="2">
        <v>4.2142320993566802E-2</v>
      </c>
    </row>
    <row r="18334" spans="1:6" x14ac:dyDescent="0.25">
      <c r="A18334" s="1" t="str">
        <f t="shared" si="696"/>
        <v>30780</v>
      </c>
      <c r="B18334" s="1" t="str">
        <f>"72205"</f>
        <v>72205</v>
      </c>
      <c r="C18334" s="2">
        <v>3.2768074423189401E-2</v>
      </c>
      <c r="D18334" s="2">
        <v>4.85449805820077E-2</v>
      </c>
      <c r="E18334" s="2">
        <v>8.2216638749302004E-2</v>
      </c>
      <c r="F18334" s="2">
        <v>3.4949368429292998E-2</v>
      </c>
    </row>
    <row r="18335" spans="1:6" x14ac:dyDescent="0.25">
      <c r="A18335" s="1" t="str">
        <f t="shared" si="696"/>
        <v>30780</v>
      </c>
      <c r="B18335" s="1" t="str">
        <f>"72201"</f>
        <v>72201</v>
      </c>
      <c r="C18335" s="2">
        <v>2.21277557013625E-3</v>
      </c>
      <c r="D18335" s="2">
        <v>6.3334574666170096E-2</v>
      </c>
      <c r="E18335" s="2">
        <v>3.9363484087102101E-2</v>
      </c>
      <c r="F18335" s="2">
        <v>8.1162476917621806E-3</v>
      </c>
    </row>
    <row r="18336" spans="1:6" x14ac:dyDescent="0.25">
      <c r="A18336" s="1" t="str">
        <f t="shared" si="696"/>
        <v>30780</v>
      </c>
      <c r="B18336" s="1" t="str">
        <f>"72078"</f>
        <v>72078</v>
      </c>
      <c r="C18336" s="2">
        <v>3.5912680076805301E-3</v>
      </c>
      <c r="D18336" s="2">
        <v>6.1711975315209798E-3</v>
      </c>
      <c r="E18336" s="2">
        <v>1.39586823003908E-4</v>
      </c>
      <c r="F18336" s="2">
        <v>3.7576499951647801E-3</v>
      </c>
    </row>
    <row r="18337" spans="1:6" x14ac:dyDescent="0.25">
      <c r="A18337" s="1" t="str">
        <f t="shared" si="696"/>
        <v>30780</v>
      </c>
      <c r="B18337" s="1" t="str">
        <f>"72132"</f>
        <v>72132</v>
      </c>
      <c r="C18337" s="2">
        <v>7.9321073221821697E-4</v>
      </c>
      <c r="D18337" s="2">
        <v>1.8619992552002901E-4</v>
      </c>
      <c r="E18337" s="2">
        <v>0</v>
      </c>
      <c r="F18337" s="2">
        <v>7.2758419024023999E-4</v>
      </c>
    </row>
    <row r="18338" spans="1:6" x14ac:dyDescent="0.25">
      <c r="A18338" s="1" t="str">
        <f t="shared" si="696"/>
        <v>30780</v>
      </c>
      <c r="B18338" s="1" t="str">
        <f>"72015"</f>
        <v>72015</v>
      </c>
      <c r="C18338" s="2">
        <v>3.3024776925525398E-2</v>
      </c>
      <c r="D18338" s="2">
        <v>3.23987870404851E-2</v>
      </c>
      <c r="E18338" s="2">
        <v>2.2473478503629199E-2</v>
      </c>
      <c r="F18338" s="2">
        <v>3.2796548119563201E-2</v>
      </c>
    </row>
    <row r="18339" spans="1:6" x14ac:dyDescent="0.25">
      <c r="A18339" s="1" t="str">
        <f t="shared" si="696"/>
        <v>30780</v>
      </c>
      <c r="B18339" s="1" t="str">
        <f>"72160"</f>
        <v>72160</v>
      </c>
      <c r="C18339" s="2">
        <v>1.7969175163519401E-5</v>
      </c>
      <c r="D18339" s="2">
        <v>0</v>
      </c>
      <c r="E18339" s="2">
        <v>0</v>
      </c>
      <c r="F18339" s="2">
        <v>1.6117371302790101E-5</v>
      </c>
    </row>
    <row r="18340" spans="1:6" x14ac:dyDescent="0.25">
      <c r="A18340" s="1" t="str">
        <f t="shared" si="696"/>
        <v>30780</v>
      </c>
      <c r="B18340" s="1" t="str">
        <f>"72117"</f>
        <v>72117</v>
      </c>
      <c r="C18340" s="2">
        <v>2.0515663986692498E-2</v>
      </c>
      <c r="D18340" s="2">
        <v>3.0190987923604799E-2</v>
      </c>
      <c r="E18340" s="2">
        <v>1.5773310999441601E-2</v>
      </c>
      <c r="F18340" s="2">
        <v>2.12749301196829E-2</v>
      </c>
    </row>
    <row r="18341" spans="1:6" x14ac:dyDescent="0.25">
      <c r="A18341" s="1" t="str">
        <f t="shared" si="696"/>
        <v>30780</v>
      </c>
      <c r="B18341" s="1" t="str">
        <f>"72034"</f>
        <v>72034</v>
      </c>
      <c r="C18341" s="2">
        <v>6.05484192259906E-2</v>
      </c>
      <c r="D18341" s="2">
        <v>3.6867585252965802E-2</v>
      </c>
      <c r="E18341" s="2">
        <v>7.9285315466219905E-2</v>
      </c>
      <c r="F18341" s="2">
        <v>5.8807682920651798E-2</v>
      </c>
    </row>
    <row r="18342" spans="1:6" x14ac:dyDescent="0.25">
      <c r="A18342" s="1" t="str">
        <f t="shared" si="696"/>
        <v>30780</v>
      </c>
      <c r="B18342" s="1" t="str">
        <f>"72190"</f>
        <v>72190</v>
      </c>
      <c r="C18342" s="2">
        <v>2.5079834478226402E-3</v>
      </c>
      <c r="D18342" s="2">
        <v>6.0913975634409702E-3</v>
      </c>
      <c r="E18342" s="2">
        <v>2.79173646007816E-4</v>
      </c>
      <c r="F18342" s="2">
        <v>2.7813977905386399E-3</v>
      </c>
    </row>
    <row r="18343" spans="1:6" x14ac:dyDescent="0.25">
      <c r="A18343" s="1" t="str">
        <f t="shared" si="696"/>
        <v>30780</v>
      </c>
      <c r="B18343" s="1" t="str">
        <f>"72173"</f>
        <v>72173</v>
      </c>
      <c r="C18343" s="2">
        <v>1.0945794699606701E-2</v>
      </c>
      <c r="D18343" s="2">
        <v>3.6973985210405902E-3</v>
      </c>
      <c r="E18343" s="2">
        <v>8.3752093802344995E-4</v>
      </c>
      <c r="F18343" s="2">
        <v>1.01516414391431E-2</v>
      </c>
    </row>
    <row r="18344" spans="1:6" x14ac:dyDescent="0.25">
      <c r="A18344" s="1" t="str">
        <f t="shared" si="696"/>
        <v>30780</v>
      </c>
      <c r="B18344" s="1" t="str">
        <f>"72039"</f>
        <v>72039</v>
      </c>
      <c r="C18344" s="2">
        <v>1.83028884165562E-3</v>
      </c>
      <c r="D18344" s="2">
        <v>1.2501994999202001E-3</v>
      </c>
      <c r="E18344" s="2">
        <v>1.39586823003908E-4</v>
      </c>
      <c r="F18344" s="2">
        <v>1.75218850877475E-3</v>
      </c>
    </row>
    <row r="18345" spans="1:6" x14ac:dyDescent="0.25">
      <c r="A18345" s="1" t="str">
        <f t="shared" si="696"/>
        <v>30780</v>
      </c>
      <c r="B18345" s="1" t="str">
        <f>"72032"</f>
        <v>72032</v>
      </c>
      <c r="C18345" s="2">
        <v>4.1041596073478501E-2</v>
      </c>
      <c r="D18345" s="2">
        <v>5.6711177315529E-2</v>
      </c>
      <c r="E18345" s="2">
        <v>3.9782244556113899E-2</v>
      </c>
      <c r="F18345" s="2">
        <v>4.2377174118264603E-2</v>
      </c>
    </row>
    <row r="18346" spans="1:6" x14ac:dyDescent="0.25">
      <c r="A18346" s="1" t="str">
        <f t="shared" si="696"/>
        <v>30780</v>
      </c>
      <c r="B18346" s="1" t="str">
        <f>"72023"</f>
        <v>72023</v>
      </c>
      <c r="C18346" s="2">
        <v>4.43017178531456E-2</v>
      </c>
      <c r="D18346" s="2">
        <v>3.7585784965686E-2</v>
      </c>
      <c r="E18346" s="2">
        <v>3.8805136795086501E-2</v>
      </c>
      <c r="F18346" s="2">
        <v>4.3629724116652897E-2</v>
      </c>
    </row>
    <row r="18347" spans="1:6" x14ac:dyDescent="0.25">
      <c r="A18347" s="1" t="str">
        <f t="shared" si="696"/>
        <v>30780</v>
      </c>
      <c r="B18347" s="1" t="str">
        <f>"72210"</f>
        <v>72210</v>
      </c>
      <c r="C18347" s="2">
        <v>2.06594173880006E-2</v>
      </c>
      <c r="D18347" s="2">
        <v>1.1437995424801801E-2</v>
      </c>
      <c r="E18347" s="2">
        <v>2.94528196538246E-2</v>
      </c>
      <c r="F18347" s="2">
        <v>2.0006262749991899E-2</v>
      </c>
    </row>
    <row r="18348" spans="1:6" x14ac:dyDescent="0.25">
      <c r="A18348" s="1" t="str">
        <f t="shared" si="696"/>
        <v>30780</v>
      </c>
      <c r="B18348" s="1" t="str">
        <f>"72206"</f>
        <v>72206</v>
      </c>
      <c r="C18348" s="2">
        <v>3.29914056002217E-2</v>
      </c>
      <c r="D18348" s="2">
        <v>2.6839389264244201E-2</v>
      </c>
      <c r="E18348" s="2">
        <v>2.01005025125628E-2</v>
      </c>
      <c r="F18348" s="2">
        <v>3.2246255013653698E-2</v>
      </c>
    </row>
    <row r="18349" spans="1:6" x14ac:dyDescent="0.25">
      <c r="A18349" s="1" t="str">
        <f t="shared" si="696"/>
        <v>30780</v>
      </c>
      <c r="B18349" s="1" t="str">
        <f>"72227"</f>
        <v>72227</v>
      </c>
      <c r="C18349" s="2">
        <v>1.5094107137356301E-2</v>
      </c>
      <c r="D18349" s="2">
        <v>1.19433952226419E-2</v>
      </c>
      <c r="E18349" s="2">
        <v>2.5683975432719101E-2</v>
      </c>
      <c r="F18349" s="2">
        <v>1.49960627564388E-2</v>
      </c>
    </row>
    <row r="18350" spans="1:6" x14ac:dyDescent="0.25">
      <c r="A18350" s="1" t="str">
        <f t="shared" si="696"/>
        <v>30780</v>
      </c>
      <c r="B18350" s="1" t="str">
        <f>"72219"</f>
        <v>72219</v>
      </c>
      <c r="C18350" s="2">
        <v>4.7541303432625803E-3</v>
      </c>
      <c r="D18350" s="2">
        <v>7.3681970527211703E-3</v>
      </c>
      <c r="E18350" s="2">
        <v>1.39586823003908E-4</v>
      </c>
      <c r="F18350" s="2">
        <v>4.9042858392775697E-3</v>
      </c>
    </row>
    <row r="18351" spans="1:6" x14ac:dyDescent="0.25">
      <c r="A18351" s="1" t="str">
        <f t="shared" si="696"/>
        <v>30780</v>
      </c>
      <c r="B18351" s="1" t="str">
        <f>"72106"</f>
        <v>72106</v>
      </c>
      <c r="C18351" s="2">
        <v>7.0849890644733996E-3</v>
      </c>
      <c r="D18351" s="2">
        <v>3.4313986274405401E-3</v>
      </c>
      <c r="E18351" s="2">
        <v>1.6750418760468999E-3</v>
      </c>
      <c r="F18351" s="2">
        <v>6.6794991641991701E-3</v>
      </c>
    </row>
    <row r="18352" spans="1:6" x14ac:dyDescent="0.25">
      <c r="A18352" s="1" t="str">
        <f t="shared" si="696"/>
        <v>30780</v>
      </c>
      <c r="B18352" s="1" t="str">
        <f>"72114"</f>
        <v>72114</v>
      </c>
      <c r="C18352" s="2">
        <v>1.96326073786567E-2</v>
      </c>
      <c r="D18352" s="2">
        <v>3.4978986008405502E-2</v>
      </c>
      <c r="E18352" s="2">
        <v>4.0201005025125601E-2</v>
      </c>
      <c r="F18352" s="2">
        <v>2.1300257417444499E-2</v>
      </c>
    </row>
    <row r="18353" spans="1:6" x14ac:dyDescent="0.25">
      <c r="A18353" s="1" t="str">
        <f t="shared" si="696"/>
        <v>30780</v>
      </c>
      <c r="B18353" s="1" t="str">
        <f>"72150"</f>
        <v>72150</v>
      </c>
      <c r="C18353" s="2">
        <v>1.51531487128936E-2</v>
      </c>
      <c r="D18353" s="2">
        <v>1.3033994786401999E-2</v>
      </c>
      <c r="E18353" s="2">
        <v>8.3752093802344999E-3</v>
      </c>
      <c r="F18353" s="2">
        <v>1.48579138595578E-2</v>
      </c>
    </row>
    <row r="18354" spans="1:6" x14ac:dyDescent="0.25">
      <c r="A18354" s="1" t="str">
        <f t="shared" si="696"/>
        <v>30780</v>
      </c>
      <c r="B18354" s="1" t="str">
        <f>"72111"</f>
        <v>72111</v>
      </c>
      <c r="C18354" s="2">
        <v>1.1936666358623601E-3</v>
      </c>
      <c r="D18354" s="2">
        <v>2.1279991488003399E-4</v>
      </c>
      <c r="E18354" s="2">
        <v>1.39586823003908E-4</v>
      </c>
      <c r="F18354" s="2">
        <v>1.0913762853603599E-3</v>
      </c>
    </row>
    <row r="18355" spans="1:6" x14ac:dyDescent="0.25">
      <c r="A18355" s="1" t="str">
        <f t="shared" si="696"/>
        <v>30780</v>
      </c>
      <c r="B18355" s="1" t="str">
        <f>"72202"</f>
        <v>72202</v>
      </c>
      <c r="C18355" s="2">
        <v>1.86032303442893E-2</v>
      </c>
      <c r="D18355" s="2">
        <v>2.79299888280044E-2</v>
      </c>
      <c r="E18355" s="2">
        <v>5.6393076493578997E-2</v>
      </c>
      <c r="F18355" s="2">
        <v>2.0033892529368099E-2</v>
      </c>
    </row>
    <row r="18356" spans="1:6" x14ac:dyDescent="0.25">
      <c r="A18356" s="1" t="str">
        <f t="shared" si="696"/>
        <v>30780</v>
      </c>
      <c r="B18356" s="1" t="str">
        <f>"72057"</f>
        <v>72057</v>
      </c>
      <c r="C18356" s="2">
        <v>1.4914415385721099E-3</v>
      </c>
      <c r="D18356" s="2">
        <v>2.92599882960046E-4</v>
      </c>
      <c r="E18356" s="2">
        <v>1.39586823003908E-4</v>
      </c>
      <c r="F18356" s="2">
        <v>1.36537159750779E-3</v>
      </c>
    </row>
    <row r="18357" spans="1:6" x14ac:dyDescent="0.25">
      <c r="A18357" s="1" t="str">
        <f t="shared" si="696"/>
        <v>30780</v>
      </c>
      <c r="B18357" s="1" t="str">
        <f>"72002"</f>
        <v>72002</v>
      </c>
      <c r="C18357" s="2">
        <v>2.4902709751614599E-2</v>
      </c>
      <c r="D18357" s="2">
        <v>8.4055966377613398E-3</v>
      </c>
      <c r="E18357" s="2">
        <v>2.65214963707426E-3</v>
      </c>
      <c r="F18357" s="2">
        <v>2.3107705484971701E-2</v>
      </c>
    </row>
    <row r="18358" spans="1:6" x14ac:dyDescent="0.25">
      <c r="A18358" s="1" t="str">
        <f t="shared" si="696"/>
        <v>30780</v>
      </c>
      <c r="B18358" s="1" t="str">
        <f>"71602"</f>
        <v>71602</v>
      </c>
      <c r="C18358" s="2">
        <v>2.8237275256959201E-4</v>
      </c>
      <c r="D18358" s="2">
        <v>7.9799968080012705E-5</v>
      </c>
      <c r="E18358" s="2">
        <v>2.79173646007816E-4</v>
      </c>
      <c r="F18358" s="2">
        <v>2.6478538568869498E-4</v>
      </c>
    </row>
    <row r="18359" spans="1:6" x14ac:dyDescent="0.25">
      <c r="A18359" s="1" t="str">
        <f t="shared" si="696"/>
        <v>30780</v>
      </c>
      <c r="B18359" s="1" t="str">
        <f>"72113"</f>
        <v>72113</v>
      </c>
      <c r="C18359" s="2">
        <v>3.3471439279590003E-2</v>
      </c>
      <c r="D18359" s="2">
        <v>3.11485875405649E-2</v>
      </c>
      <c r="E18359" s="2">
        <v>6.9374651032942394E-2</v>
      </c>
      <c r="F18359" s="2">
        <v>3.3862597107162003E-2</v>
      </c>
    </row>
    <row r="18360" spans="1:6" x14ac:dyDescent="0.25">
      <c r="A18360" s="1" t="str">
        <f t="shared" si="696"/>
        <v>30780</v>
      </c>
      <c r="B18360" s="1" t="str">
        <f>"72118"</f>
        <v>72118</v>
      </c>
      <c r="C18360" s="2">
        <v>2.8429802133711098E-2</v>
      </c>
      <c r="D18360" s="2">
        <v>2.13597914560834E-2</v>
      </c>
      <c r="E18360" s="2">
        <v>2.8754885538805099E-2</v>
      </c>
      <c r="F18360" s="2">
        <v>2.7823187831845099E-2</v>
      </c>
    </row>
    <row r="18361" spans="1:6" x14ac:dyDescent="0.25">
      <c r="A18361" s="1" t="str">
        <f t="shared" si="696"/>
        <v>30780</v>
      </c>
      <c r="B18361" s="1" t="str">
        <f>"72120"</f>
        <v>72120</v>
      </c>
      <c r="C18361" s="2">
        <v>4.1580671328384097E-2</v>
      </c>
      <c r="D18361" s="2">
        <v>2.4844390062243898E-2</v>
      </c>
      <c r="E18361" s="2">
        <v>4.75991066443327E-2</v>
      </c>
      <c r="F18361" s="2">
        <v>4.0231261253378801E-2</v>
      </c>
    </row>
    <row r="18362" spans="1:6" x14ac:dyDescent="0.25">
      <c r="A18362" s="1" t="str">
        <f t="shared" si="696"/>
        <v>30780</v>
      </c>
      <c r="B18362" s="1" t="str">
        <f>"72142"</f>
        <v>72142</v>
      </c>
      <c r="C18362" s="2">
        <v>3.3910400558584599E-3</v>
      </c>
      <c r="D18362" s="2">
        <v>2.1279991488003399E-3</v>
      </c>
      <c r="E18362" s="2">
        <v>2.79173646007816E-4</v>
      </c>
      <c r="F18362" s="2">
        <v>3.2303817054020801E-3</v>
      </c>
    </row>
    <row r="18363" spans="1:6" x14ac:dyDescent="0.25">
      <c r="A18363" s="1" t="str">
        <f t="shared" ref="A18363:A18394" si="697">"30780"</f>
        <v>30780</v>
      </c>
      <c r="B18363" s="1" t="str">
        <f>"72046"</f>
        <v>72046</v>
      </c>
      <c r="C18363" s="2">
        <v>5.4061546991960004E-3</v>
      </c>
      <c r="D18363" s="2">
        <v>6.3041974783210001E-3</v>
      </c>
      <c r="E18363" s="2">
        <v>9.7710776102735903E-4</v>
      </c>
      <c r="F18363" s="2">
        <v>5.4108317945081204E-3</v>
      </c>
    </row>
    <row r="18364" spans="1:6" x14ac:dyDescent="0.25">
      <c r="A18364" s="1" t="str">
        <f t="shared" si="697"/>
        <v>30780</v>
      </c>
      <c r="B18364" s="1" t="str">
        <f>"72025"</f>
        <v>72025</v>
      </c>
      <c r="C18364" s="2">
        <v>1.0422121594841299E-3</v>
      </c>
      <c r="D18364" s="2">
        <v>1.8619992552002901E-4</v>
      </c>
      <c r="E18364" s="2">
        <v>4.1876046901172497E-4</v>
      </c>
      <c r="F18364" s="2">
        <v>9.5783235170867102E-4</v>
      </c>
    </row>
    <row r="18365" spans="1:6" x14ac:dyDescent="0.25">
      <c r="A18365" s="1" t="str">
        <f t="shared" si="697"/>
        <v>30780</v>
      </c>
      <c r="B18365" s="1" t="str">
        <f>"72853"</f>
        <v>72853</v>
      </c>
      <c r="C18365" s="2">
        <v>1.5915555144831501E-4</v>
      </c>
      <c r="D18365" s="2">
        <v>0</v>
      </c>
      <c r="E18365" s="2">
        <v>0</v>
      </c>
      <c r="F18365" s="2">
        <v>1.4275386011042699E-4</v>
      </c>
    </row>
    <row r="18366" spans="1:6" x14ac:dyDescent="0.25">
      <c r="A18366" s="1" t="str">
        <f t="shared" si="697"/>
        <v>30780</v>
      </c>
      <c r="B18366" s="1" t="str">
        <f>"72209"</f>
        <v>72209</v>
      </c>
      <c r="C18366" s="2">
        <v>3.7537606916592199E-2</v>
      </c>
      <c r="D18366" s="2">
        <v>3.9793584082566301E-2</v>
      </c>
      <c r="E18366" s="2">
        <v>4.7738693467336599E-2</v>
      </c>
      <c r="F18366" s="2">
        <v>3.7901149859318299E-2</v>
      </c>
    </row>
    <row r="18367" spans="1:6" x14ac:dyDescent="0.25">
      <c r="A18367" s="1" t="str">
        <f t="shared" si="697"/>
        <v>30780</v>
      </c>
      <c r="B18367" s="1" t="str">
        <f>"72222"</f>
        <v>72222</v>
      </c>
      <c r="C18367" s="2">
        <v>3.9788887862078799E-4</v>
      </c>
      <c r="D18367" s="2">
        <v>1.6491993403202601E-3</v>
      </c>
      <c r="E18367" s="2">
        <v>1.39586823003908E-4</v>
      </c>
      <c r="F18367" s="2">
        <v>5.0194099200117802E-4</v>
      </c>
    </row>
    <row r="18368" spans="1:6" x14ac:dyDescent="0.25">
      <c r="A18368" s="1" t="str">
        <f t="shared" si="697"/>
        <v>30780</v>
      </c>
      <c r="B18368" s="1" t="str">
        <f>"72037"</f>
        <v>72037</v>
      </c>
      <c r="C18368" s="2">
        <v>0</v>
      </c>
      <c r="D18368" s="2">
        <v>0</v>
      </c>
      <c r="E18368" s="2">
        <v>1.39586823003908E-4</v>
      </c>
      <c r="F18368" s="2">
        <v>2.3024816146843001E-6</v>
      </c>
    </row>
    <row r="18369" spans="1:6" x14ac:dyDescent="0.25">
      <c r="A18369" s="1" t="str">
        <f t="shared" si="697"/>
        <v>30780</v>
      </c>
      <c r="B18369" s="1" t="str">
        <f>"72083"</f>
        <v>72083</v>
      </c>
      <c r="C18369" s="2">
        <v>0</v>
      </c>
      <c r="D18369" s="2">
        <v>0</v>
      </c>
      <c r="E18369" s="2">
        <v>1.39586823003908E-4</v>
      </c>
      <c r="F18369" s="2">
        <v>2.3024816146843001E-6</v>
      </c>
    </row>
    <row r="18370" spans="1:6" x14ac:dyDescent="0.25">
      <c r="A18370" s="1" t="str">
        <f t="shared" si="697"/>
        <v>30780</v>
      </c>
      <c r="B18370" s="1" t="str">
        <f>"72089"</f>
        <v>72089</v>
      </c>
      <c r="C18370" s="2">
        <v>0</v>
      </c>
      <c r="D18370" s="2">
        <v>0</v>
      </c>
      <c r="E18370" s="2">
        <v>1.39586823003908E-4</v>
      </c>
      <c r="F18370" s="2">
        <v>2.3024816146843001E-6</v>
      </c>
    </row>
    <row r="18371" spans="1:6" x14ac:dyDescent="0.25">
      <c r="A18371" s="1" t="str">
        <f t="shared" si="697"/>
        <v>30780</v>
      </c>
      <c r="B18371" s="1" t="str">
        <f>"72164"</f>
        <v>72164</v>
      </c>
      <c r="C18371" s="2">
        <v>0</v>
      </c>
      <c r="D18371" s="2">
        <v>0</v>
      </c>
      <c r="E18371" s="2">
        <v>1.39586823003908E-4</v>
      </c>
      <c r="F18371" s="2">
        <v>2.3024816146843001E-6</v>
      </c>
    </row>
    <row r="18372" spans="1:6" x14ac:dyDescent="0.25">
      <c r="A18372" s="1" t="str">
        <f t="shared" si="697"/>
        <v>30780</v>
      </c>
      <c r="B18372" s="1" t="str">
        <f>"72199"</f>
        <v>72199</v>
      </c>
      <c r="C18372" s="2">
        <v>0</v>
      </c>
      <c r="D18372" s="2">
        <v>0</v>
      </c>
      <c r="E18372" s="2">
        <v>5.5834729201563297E-4</v>
      </c>
      <c r="F18372" s="2">
        <v>9.2099264587372208E-6</v>
      </c>
    </row>
    <row r="18373" spans="1:6" x14ac:dyDescent="0.25">
      <c r="A18373" s="1" t="str">
        <f t="shared" si="697"/>
        <v>30780</v>
      </c>
      <c r="B18373" s="1" t="str">
        <f>"72119"</f>
        <v>72119</v>
      </c>
      <c r="C18373" s="2">
        <v>4.9030177946174597E-4</v>
      </c>
      <c r="D18373" s="2">
        <v>1.5693993722402501E-3</v>
      </c>
      <c r="E18373" s="2">
        <v>2.79173646007816E-4</v>
      </c>
      <c r="F18373" s="2">
        <v>5.80225366900445E-4</v>
      </c>
    </row>
    <row r="18374" spans="1:6" x14ac:dyDescent="0.25">
      <c r="A18374" s="1" t="str">
        <f t="shared" si="697"/>
        <v>30780</v>
      </c>
      <c r="B18374" s="1" t="str">
        <f>"72104"</f>
        <v>72104</v>
      </c>
      <c r="C18374" s="2">
        <v>2.7467167749951199E-4</v>
      </c>
      <c r="D18374" s="2">
        <v>7.9799968080012705E-5</v>
      </c>
      <c r="E18374" s="2">
        <v>2.79173646007816E-4</v>
      </c>
      <c r="F18374" s="2">
        <v>2.5787794084464199E-4</v>
      </c>
    </row>
    <row r="18375" spans="1:6" x14ac:dyDescent="0.25">
      <c r="A18375" s="1" t="str">
        <f t="shared" si="697"/>
        <v>30780</v>
      </c>
      <c r="B18375" s="1" t="str">
        <f>"72001"</f>
        <v>72001</v>
      </c>
      <c r="C18375" s="2">
        <v>4.2355912885438799E-4</v>
      </c>
      <c r="D18375" s="2">
        <v>2.6599989360004201E-5</v>
      </c>
      <c r="E18375" s="2">
        <v>1.39586823003908E-4</v>
      </c>
      <c r="F18375" s="2">
        <v>3.84514429652279E-4</v>
      </c>
    </row>
    <row r="18376" spans="1:6" x14ac:dyDescent="0.25">
      <c r="A18376" s="1" t="str">
        <f t="shared" si="697"/>
        <v>30780</v>
      </c>
      <c r="B18376" s="1" t="str">
        <f>"72217"</f>
        <v>72217</v>
      </c>
      <c r="C18376" s="2">
        <v>7.2133403156413901E-4</v>
      </c>
      <c r="D18376" s="2">
        <v>5.5061977975208801E-3</v>
      </c>
      <c r="E18376" s="2">
        <v>2.79173646007816E-4</v>
      </c>
      <c r="F18376" s="2">
        <v>1.12821599119531E-3</v>
      </c>
    </row>
    <row r="18377" spans="1:6" x14ac:dyDescent="0.25">
      <c r="A18377" s="1" t="str">
        <f t="shared" si="697"/>
        <v>30780</v>
      </c>
      <c r="B18377" s="1" t="str">
        <f>"72135"</f>
        <v>72135</v>
      </c>
      <c r="C18377" s="2">
        <v>3.4218443561387802E-3</v>
      </c>
      <c r="D18377" s="2">
        <v>7.4479970208011896E-4</v>
      </c>
      <c r="E18377" s="2">
        <v>1.39586823003908E-4</v>
      </c>
      <c r="F18377" s="2">
        <v>3.1359799592000199E-3</v>
      </c>
    </row>
    <row r="18378" spans="1:6" x14ac:dyDescent="0.25">
      <c r="A18378" s="1" t="str">
        <f t="shared" si="697"/>
        <v>30780</v>
      </c>
      <c r="B18378" s="1" t="str">
        <f>"72033"</f>
        <v>72033</v>
      </c>
      <c r="C18378" s="2">
        <v>3.5887009826571698E-3</v>
      </c>
      <c r="D18378" s="2">
        <v>1.6279193488322598E-2</v>
      </c>
      <c r="E18378" s="2">
        <v>2.79173646007816E-4</v>
      </c>
      <c r="F18378" s="2">
        <v>4.6325930087448199E-3</v>
      </c>
    </row>
    <row r="18379" spans="1:6" x14ac:dyDescent="0.25">
      <c r="A18379" s="1" t="str">
        <f t="shared" si="697"/>
        <v>30780</v>
      </c>
      <c r="B18379" s="1" t="str">
        <f>"72115"</f>
        <v>72115</v>
      </c>
      <c r="C18379" s="2">
        <v>3.2626888046904598E-3</v>
      </c>
      <c r="D18379" s="2">
        <v>6.0381975847209604E-3</v>
      </c>
      <c r="E18379" s="2">
        <v>2.79173646007816E-4</v>
      </c>
      <c r="F18379" s="2">
        <v>3.45372242202646E-3</v>
      </c>
    </row>
    <row r="18380" spans="1:6" x14ac:dyDescent="0.25">
      <c r="A18380" s="1" t="str">
        <f t="shared" si="697"/>
        <v>30780</v>
      </c>
      <c r="B18380" s="1" t="str">
        <f>"72176"</f>
        <v>72176</v>
      </c>
      <c r="C18380" s="2">
        <v>1.0268100093439699E-2</v>
      </c>
      <c r="D18380" s="2">
        <v>1.1437995424801799E-3</v>
      </c>
      <c r="E18380" s="2">
        <v>1.39586823003908E-3</v>
      </c>
      <c r="F18380" s="2">
        <v>9.3319579843154903E-3</v>
      </c>
    </row>
    <row r="18381" spans="1:6" x14ac:dyDescent="0.25">
      <c r="A18381" s="1" t="str">
        <f t="shared" si="697"/>
        <v>30780</v>
      </c>
      <c r="B18381" s="1" t="str">
        <f>"72016"</f>
        <v>72016</v>
      </c>
      <c r="C18381" s="2">
        <v>3.9095791105771601E-3</v>
      </c>
      <c r="D18381" s="2">
        <v>9.0439963824014396E-4</v>
      </c>
      <c r="E18381" s="2">
        <v>5.5834729201563297E-4</v>
      </c>
      <c r="F18381" s="2">
        <v>3.5941738005222002E-3</v>
      </c>
    </row>
    <row r="18382" spans="1:6" x14ac:dyDescent="0.25">
      <c r="A18382" s="1" t="str">
        <f t="shared" si="697"/>
        <v>30780</v>
      </c>
      <c r="B18382" s="1" t="str">
        <f>"72223"</f>
        <v>72223</v>
      </c>
      <c r="C18382" s="2">
        <v>3.3355923153538899E-2</v>
      </c>
      <c r="D18382" s="2">
        <v>3.1680587327764999E-2</v>
      </c>
      <c r="E18382" s="2">
        <v>2.69402568397543E-2</v>
      </c>
      <c r="F18382" s="2">
        <v>3.3105080655930902E-2</v>
      </c>
    </row>
    <row r="18383" spans="1:6" x14ac:dyDescent="0.25">
      <c r="A18383" s="1" t="str">
        <f t="shared" si="697"/>
        <v>30780</v>
      </c>
      <c r="B18383" s="1" t="str">
        <f>"72221"</f>
        <v>72221</v>
      </c>
      <c r="C18383" s="2">
        <v>4.38704576492211E-3</v>
      </c>
      <c r="D18383" s="2">
        <v>1.4656594137362301E-2</v>
      </c>
      <c r="E18383" s="2">
        <v>2.79173646007816E-4</v>
      </c>
      <c r="F18383" s="2">
        <v>5.2082134124158998E-3</v>
      </c>
    </row>
    <row r="18384" spans="1:6" x14ac:dyDescent="0.25">
      <c r="A18384" s="1" t="str">
        <f t="shared" si="697"/>
        <v>30780</v>
      </c>
      <c r="B18384" s="1" t="str">
        <f>"72260"</f>
        <v>72260</v>
      </c>
      <c r="C18384" s="2">
        <v>2.0869913439916202E-3</v>
      </c>
      <c r="D18384" s="2">
        <v>3.1121987551204901E-3</v>
      </c>
      <c r="E18384" s="2">
        <v>2.79173646007816E-4</v>
      </c>
      <c r="F18384" s="2">
        <v>2.14591286488577E-3</v>
      </c>
    </row>
    <row r="18385" spans="1:6" x14ac:dyDescent="0.25">
      <c r="A18385" s="1" t="str">
        <f t="shared" si="697"/>
        <v>30780</v>
      </c>
      <c r="B18385" s="1" t="str">
        <f>"72024"</f>
        <v>72024</v>
      </c>
      <c r="C18385" s="2">
        <v>3.4013081559518999E-3</v>
      </c>
      <c r="D18385" s="2">
        <v>1.2767994892802E-3</v>
      </c>
      <c r="E18385" s="2">
        <v>4.3271915131211603E-3</v>
      </c>
      <c r="F18385" s="2">
        <v>3.2326841870167601E-3</v>
      </c>
    </row>
    <row r="18386" spans="1:6" x14ac:dyDescent="0.25">
      <c r="A18386" s="1" t="str">
        <f t="shared" si="697"/>
        <v>30780</v>
      </c>
      <c r="B18386" s="1" t="str">
        <f>"72011"</f>
        <v>72011</v>
      </c>
      <c r="C18386" s="2">
        <v>5.2444321227243301E-3</v>
      </c>
      <c r="D18386" s="2">
        <v>8.2459967016013103E-4</v>
      </c>
      <c r="E18386" s="2">
        <v>4.1876046901172497E-4</v>
      </c>
      <c r="F18386" s="2">
        <v>4.7822543136992997E-3</v>
      </c>
    </row>
    <row r="18387" spans="1:6" x14ac:dyDescent="0.25">
      <c r="A18387" s="1" t="str">
        <f t="shared" si="697"/>
        <v>30780</v>
      </c>
      <c r="B18387" s="1" t="str">
        <f>"72215"</f>
        <v>72215</v>
      </c>
      <c r="C18387" s="2">
        <v>2.4977153477292002E-3</v>
      </c>
      <c r="D18387" s="2">
        <v>1.04271958291216E-2</v>
      </c>
      <c r="E18387" s="2">
        <v>2.79173646007816E-4</v>
      </c>
      <c r="F18387" s="2">
        <v>3.14749236727344E-3</v>
      </c>
    </row>
    <row r="18388" spans="1:6" x14ac:dyDescent="0.25">
      <c r="A18388" s="1" t="str">
        <f t="shared" si="697"/>
        <v>30780</v>
      </c>
      <c r="B18388" s="1" t="str">
        <f>"72064"</f>
        <v>72064</v>
      </c>
      <c r="C18388" s="2">
        <v>2.5670250233599199E-6</v>
      </c>
      <c r="D18388" s="2">
        <v>0</v>
      </c>
      <c r="E18388" s="2">
        <v>0</v>
      </c>
      <c r="F18388" s="2">
        <v>2.3024816146843001E-6</v>
      </c>
    </row>
    <row r="18389" spans="1:6" x14ac:dyDescent="0.25">
      <c r="A18389" s="1" t="str">
        <f t="shared" si="697"/>
        <v>30780</v>
      </c>
      <c r="B18389" s="1" t="str">
        <f>"72099"</f>
        <v>72099</v>
      </c>
      <c r="C18389" s="2">
        <v>0</v>
      </c>
      <c r="D18389" s="2">
        <v>0</v>
      </c>
      <c r="E18389" s="2">
        <v>2.79173646007816E-4</v>
      </c>
      <c r="F18389" s="2">
        <v>4.6049632293686104E-6</v>
      </c>
    </row>
    <row r="18390" spans="1:6" x14ac:dyDescent="0.25">
      <c r="A18390" s="1" t="str">
        <f t="shared" si="697"/>
        <v>30780</v>
      </c>
      <c r="B18390" s="1" t="str">
        <f>"72053"</f>
        <v>72053</v>
      </c>
      <c r="C18390" s="2">
        <v>0</v>
      </c>
      <c r="D18390" s="2">
        <v>0</v>
      </c>
      <c r="E18390" s="2">
        <v>1.39586823003908E-4</v>
      </c>
      <c r="F18390" s="2">
        <v>2.3024816146843001E-6</v>
      </c>
    </row>
    <row r="18391" spans="1:6" x14ac:dyDescent="0.25">
      <c r="A18391" s="1" t="str">
        <f t="shared" si="697"/>
        <v>30780</v>
      </c>
      <c r="B18391" s="1" t="str">
        <f>"72035"</f>
        <v>72035</v>
      </c>
      <c r="C18391" s="2">
        <v>0</v>
      </c>
      <c r="D18391" s="2">
        <v>2.6599989360004201E-5</v>
      </c>
      <c r="E18391" s="2">
        <v>0</v>
      </c>
      <c r="F18391" s="2">
        <v>2.3024816146843001E-6</v>
      </c>
    </row>
    <row r="18392" spans="1:6" x14ac:dyDescent="0.25">
      <c r="A18392" s="1" t="str">
        <f t="shared" si="697"/>
        <v>30780</v>
      </c>
      <c r="B18392" s="1" t="str">
        <f>"71603"</f>
        <v>71603</v>
      </c>
      <c r="C18392" s="2">
        <v>1.54021501401595E-4</v>
      </c>
      <c r="D18392" s="2">
        <v>2.6599989360004201E-5</v>
      </c>
      <c r="E18392" s="2">
        <v>0</v>
      </c>
      <c r="F18392" s="2">
        <v>1.4045137849574201E-4</v>
      </c>
    </row>
    <row r="18393" spans="1:6" x14ac:dyDescent="0.25">
      <c r="A18393" s="1" t="str">
        <f t="shared" si="697"/>
        <v>30780</v>
      </c>
      <c r="B18393" s="1" t="str">
        <f>"72072"</f>
        <v>72072</v>
      </c>
      <c r="C18393" s="2">
        <v>4.9543582950846595E-4</v>
      </c>
      <c r="D18393" s="2">
        <v>2.1279991488003399E-4</v>
      </c>
      <c r="E18393" s="2">
        <v>1.39586823003908E-4</v>
      </c>
      <c r="F18393" s="2">
        <v>4.65101286166229E-4</v>
      </c>
    </row>
    <row r="18394" spans="1:6" x14ac:dyDescent="0.25">
      <c r="A18394" s="1" t="str">
        <f t="shared" si="697"/>
        <v>30780</v>
      </c>
      <c r="B18394" s="1" t="str">
        <f>"72180"</f>
        <v>72180</v>
      </c>
      <c r="C18394" s="2">
        <v>0</v>
      </c>
      <c r="D18394" s="2">
        <v>0</v>
      </c>
      <c r="E18394" s="2">
        <v>1.39586823003908E-4</v>
      </c>
      <c r="F18394" s="2">
        <v>2.3024816146843001E-6</v>
      </c>
    </row>
    <row r="18395" spans="1:6" x14ac:dyDescent="0.25">
      <c r="A18395" s="1" t="str">
        <f t="shared" ref="A18395:A18429" si="698">"30780"</f>
        <v>30780</v>
      </c>
      <c r="B18395" s="1" t="str">
        <f>"72181"</f>
        <v>72181</v>
      </c>
      <c r="C18395" s="2">
        <v>1.20650176097916E-4</v>
      </c>
      <c r="D18395" s="2">
        <v>1.8619992552002901E-4</v>
      </c>
      <c r="E18395" s="2">
        <v>1.39586823003908E-4</v>
      </c>
      <c r="F18395" s="2">
        <v>1.2663648880763601E-4</v>
      </c>
    </row>
    <row r="18396" spans="1:6" x14ac:dyDescent="0.25">
      <c r="A18396" s="1" t="str">
        <f t="shared" si="698"/>
        <v>30780</v>
      </c>
      <c r="B18396" s="1" t="str">
        <f>"72216"</f>
        <v>72216</v>
      </c>
      <c r="C18396" s="2">
        <v>2.9264085266303098E-3</v>
      </c>
      <c r="D18396" s="2">
        <v>5.5859977656008896E-3</v>
      </c>
      <c r="E18396" s="2">
        <v>2.79173646007816E-4</v>
      </c>
      <c r="F18396" s="2">
        <v>3.1129551430531801E-3</v>
      </c>
    </row>
    <row r="18397" spans="1:6" x14ac:dyDescent="0.25">
      <c r="A18397" s="1" t="str">
        <f t="shared" si="698"/>
        <v>30780</v>
      </c>
      <c r="B18397" s="1" t="str">
        <f>"72065"</f>
        <v>72065</v>
      </c>
      <c r="C18397" s="2">
        <v>5.9015905287044699E-3</v>
      </c>
      <c r="D18397" s="2">
        <v>1.8885992445603001E-3</v>
      </c>
      <c r="E18397" s="2">
        <v>2.0938023450586202E-3</v>
      </c>
      <c r="F18397" s="2">
        <v>5.4914186510220701E-3</v>
      </c>
    </row>
    <row r="18398" spans="1:6" x14ac:dyDescent="0.25">
      <c r="A18398" s="1" t="str">
        <f t="shared" si="698"/>
        <v>30780</v>
      </c>
      <c r="B18398" s="1" t="str">
        <f>"72076"</f>
        <v>72076</v>
      </c>
      <c r="C18398" s="2">
        <v>4.8493669716292299E-2</v>
      </c>
      <c r="D18398" s="2">
        <v>3.0217587912964802E-2</v>
      </c>
      <c r="E18398" s="2">
        <v>4.9134561697375699E-2</v>
      </c>
      <c r="F18398" s="2">
        <v>4.6922272825651402E-2</v>
      </c>
    </row>
    <row r="18399" spans="1:6" x14ac:dyDescent="0.25">
      <c r="A18399" s="1" t="str">
        <f t="shared" si="698"/>
        <v>30780</v>
      </c>
      <c r="B18399" s="1" t="str">
        <f>"72070"</f>
        <v>72070</v>
      </c>
      <c r="C18399" s="2">
        <v>2.6825411494111199E-3</v>
      </c>
      <c r="D18399" s="2">
        <v>5.0539979784008004E-4</v>
      </c>
      <c r="E18399" s="2">
        <v>1.39586823003908E-4</v>
      </c>
      <c r="F18399" s="2">
        <v>2.4521429196387801E-3</v>
      </c>
    </row>
    <row r="18400" spans="1:6" x14ac:dyDescent="0.25">
      <c r="A18400" s="1" t="str">
        <f t="shared" si="698"/>
        <v>30780</v>
      </c>
      <c r="B18400" s="1" t="str">
        <f>"72007"</f>
        <v>72007</v>
      </c>
      <c r="C18400" s="2">
        <v>1.07609688979248E-2</v>
      </c>
      <c r="D18400" s="2">
        <v>1.8087992764802799E-3</v>
      </c>
      <c r="E18400" s="2">
        <v>1.39586823003908E-4</v>
      </c>
      <c r="F18400" s="2">
        <v>9.8108741601698295E-3</v>
      </c>
    </row>
    <row r="18401" spans="1:6" x14ac:dyDescent="0.25">
      <c r="A18401" s="1" t="str">
        <f t="shared" si="698"/>
        <v>30780</v>
      </c>
      <c r="B18401" s="1" t="str">
        <f>"72231"</f>
        <v>72231</v>
      </c>
      <c r="C18401" s="2">
        <v>1.1602953105586801E-3</v>
      </c>
      <c r="D18401" s="2">
        <v>5.0805979677608099E-3</v>
      </c>
      <c r="E18401" s="2">
        <v>2.79173646007816E-4</v>
      </c>
      <c r="F18401" s="2">
        <v>1.48510064147137E-3</v>
      </c>
    </row>
    <row r="18402" spans="1:6" x14ac:dyDescent="0.25">
      <c r="A18402" s="1" t="str">
        <f t="shared" si="698"/>
        <v>30780</v>
      </c>
      <c r="B18402" s="1" t="str">
        <f>"72079"</f>
        <v>72079</v>
      </c>
      <c r="C18402" s="2">
        <v>8.2144800747517601E-5</v>
      </c>
      <c r="D18402" s="2">
        <v>0</v>
      </c>
      <c r="E18402" s="2">
        <v>0</v>
      </c>
      <c r="F18402" s="2">
        <v>7.3679411669897793E-5</v>
      </c>
    </row>
    <row r="18403" spans="1:6" x14ac:dyDescent="0.25">
      <c r="A18403" s="1" t="str">
        <f t="shared" si="698"/>
        <v>30780</v>
      </c>
      <c r="B18403" s="1" t="str">
        <f>"72857"</f>
        <v>72857</v>
      </c>
      <c r="C18403" s="2">
        <v>5.5961145509246404E-4</v>
      </c>
      <c r="D18403" s="2">
        <v>7.9799968080012705E-5</v>
      </c>
      <c r="E18403" s="2">
        <v>0</v>
      </c>
      <c r="F18403" s="2">
        <v>5.08848436845231E-4</v>
      </c>
    </row>
    <row r="18404" spans="1:6" x14ac:dyDescent="0.25">
      <c r="A18404" s="1" t="str">
        <f t="shared" si="698"/>
        <v>30780</v>
      </c>
      <c r="B18404" s="1" t="str">
        <f>"72214"</f>
        <v>72214</v>
      </c>
      <c r="C18404" s="2">
        <v>3.4115762560453398E-3</v>
      </c>
      <c r="D18404" s="2">
        <v>7.0489971804011198E-3</v>
      </c>
      <c r="E18404" s="2">
        <v>2.79173646007816E-4</v>
      </c>
      <c r="F18404" s="2">
        <v>3.6747606570361499E-3</v>
      </c>
    </row>
    <row r="18405" spans="1:6" x14ac:dyDescent="0.25">
      <c r="A18405" s="1" t="str">
        <f t="shared" si="698"/>
        <v>30780</v>
      </c>
      <c r="B18405" s="1" t="str">
        <f>"72207"</f>
        <v>72207</v>
      </c>
      <c r="C18405" s="2">
        <v>1.5204489213360799E-2</v>
      </c>
      <c r="D18405" s="2">
        <v>2.0375591849763199E-2</v>
      </c>
      <c r="E18405" s="2">
        <v>1.3400335008375199E-2</v>
      </c>
      <c r="F18405" s="2">
        <v>1.5622337755633001E-2</v>
      </c>
    </row>
    <row r="18406" spans="1:6" x14ac:dyDescent="0.25">
      <c r="A18406" s="1" t="str">
        <f t="shared" si="698"/>
        <v>30780</v>
      </c>
      <c r="B18406" s="1" t="str">
        <f>"72103"</f>
        <v>72103</v>
      </c>
      <c r="C18406" s="2">
        <v>1.8189939315528401E-2</v>
      </c>
      <c r="D18406" s="2">
        <v>8.7247965100813903E-3</v>
      </c>
      <c r="E18406" s="2">
        <v>5.30429927414852E-3</v>
      </c>
      <c r="F18406" s="2">
        <v>1.71580929926274E-2</v>
      </c>
    </row>
    <row r="18407" spans="1:6" x14ac:dyDescent="0.25">
      <c r="A18407" s="1" t="str">
        <f t="shared" si="698"/>
        <v>30780</v>
      </c>
      <c r="B18407" s="1" t="str">
        <f>"72116"</f>
        <v>72116</v>
      </c>
      <c r="C18407" s="2">
        <v>2.80242121800203E-2</v>
      </c>
      <c r="D18407" s="2">
        <v>2.9579188168324701E-2</v>
      </c>
      <c r="E18407" s="2">
        <v>4.2853154662199799E-2</v>
      </c>
      <c r="F18407" s="2">
        <v>2.8403413198745599E-2</v>
      </c>
    </row>
    <row r="18408" spans="1:6" x14ac:dyDescent="0.25">
      <c r="A18408" s="1" t="str">
        <f t="shared" si="698"/>
        <v>30780</v>
      </c>
      <c r="B18408" s="1" t="str">
        <f>"72058"</f>
        <v>72058</v>
      </c>
      <c r="C18408" s="2">
        <v>1.99894238569037E-2</v>
      </c>
      <c r="D18408" s="2">
        <v>9.1503963398414604E-3</v>
      </c>
      <c r="E18408" s="2">
        <v>8.9335566722501293E-3</v>
      </c>
      <c r="F18408" s="2">
        <v>1.8868836832337799E-2</v>
      </c>
    </row>
    <row r="18409" spans="1:6" x14ac:dyDescent="0.25">
      <c r="A18409" s="1" t="str">
        <f t="shared" si="698"/>
        <v>30780</v>
      </c>
      <c r="B18409" s="1" t="str">
        <f>"72122"</f>
        <v>72122</v>
      </c>
      <c r="C18409" s="2">
        <v>1.75584511597819E-3</v>
      </c>
      <c r="D18409" s="2">
        <v>4.7879980848007599E-4</v>
      </c>
      <c r="E18409" s="2">
        <v>1.39586823003908E-4</v>
      </c>
      <c r="F18409" s="2">
        <v>1.6186445751230601E-3</v>
      </c>
    </row>
    <row r="18410" spans="1:6" x14ac:dyDescent="0.25">
      <c r="A18410" s="1" t="str">
        <f t="shared" si="698"/>
        <v>30780</v>
      </c>
      <c r="B18410" s="1" t="str">
        <f>"72129"</f>
        <v>72129</v>
      </c>
      <c r="C18410" s="2">
        <v>1.70450461551099E-3</v>
      </c>
      <c r="D18410" s="2">
        <v>2.92599882960046E-4</v>
      </c>
      <c r="E18410" s="2">
        <v>2.79173646007816E-4</v>
      </c>
      <c r="F18410" s="2">
        <v>1.5587800531412701E-3</v>
      </c>
    </row>
    <row r="18411" spans="1:6" x14ac:dyDescent="0.25">
      <c r="A18411" s="1" t="str">
        <f t="shared" si="698"/>
        <v>30780</v>
      </c>
      <c r="B18411" s="1" t="str">
        <f>"72124"</f>
        <v>72124</v>
      </c>
      <c r="C18411" s="2">
        <v>1.8046185914220201E-3</v>
      </c>
      <c r="D18411" s="2">
        <v>7.2883970846411598E-3</v>
      </c>
      <c r="E18411" s="2">
        <v>2.79173646007816E-4</v>
      </c>
      <c r="F18411" s="2">
        <v>2.25412950077593E-3</v>
      </c>
    </row>
    <row r="18412" spans="1:6" x14ac:dyDescent="0.25">
      <c r="A18412" s="1" t="str">
        <f t="shared" si="698"/>
        <v>30780</v>
      </c>
      <c r="B18412" s="1" t="str">
        <f>"72128"</f>
        <v>72128</v>
      </c>
      <c r="C18412" s="2">
        <v>8.6765445789565502E-4</v>
      </c>
      <c r="D18412" s="2">
        <v>2.1279991488003399E-4</v>
      </c>
      <c r="E18412" s="2">
        <v>4.1876046901172497E-4</v>
      </c>
      <c r="F18412" s="2">
        <v>8.0356608352482304E-4</v>
      </c>
    </row>
    <row r="18413" spans="1:6" x14ac:dyDescent="0.25">
      <c r="A18413" s="1" t="str">
        <f t="shared" si="698"/>
        <v>30780</v>
      </c>
      <c r="B18413" s="1" t="str">
        <f>"72022"</f>
        <v>72022</v>
      </c>
      <c r="C18413" s="2">
        <v>2.1493700520592601E-2</v>
      </c>
      <c r="D18413" s="2">
        <v>2.0747991700803301E-2</v>
      </c>
      <c r="E18413" s="2">
        <v>2.2194304857621399E-2</v>
      </c>
      <c r="F18413" s="2">
        <v>2.1440708795940198E-2</v>
      </c>
    </row>
    <row r="18414" spans="1:6" x14ac:dyDescent="0.25">
      <c r="A18414" s="1" t="str">
        <f t="shared" si="698"/>
        <v>30780</v>
      </c>
      <c r="B18414" s="1" t="str">
        <f>"72018"</f>
        <v>72018</v>
      </c>
      <c r="C18414" s="2">
        <v>4.4974278409265897E-3</v>
      </c>
      <c r="D18414" s="2">
        <v>1.2608394956642E-2</v>
      </c>
      <c r="E18414" s="2">
        <v>2.79173646007816E-4</v>
      </c>
      <c r="F18414" s="2">
        <v>5.1299290375166296E-3</v>
      </c>
    </row>
    <row r="18415" spans="1:6" x14ac:dyDescent="0.25">
      <c r="A18415" s="1" t="str">
        <f t="shared" si="698"/>
        <v>30780</v>
      </c>
      <c r="B18415" s="1" t="str">
        <f>"72211"</f>
        <v>72211</v>
      </c>
      <c r="C18415" s="2">
        <v>3.3289180502931497E-2</v>
      </c>
      <c r="D18415" s="2">
        <v>3.7000585199765901E-2</v>
      </c>
      <c r="E18415" s="2">
        <v>3.9363484087102101E-2</v>
      </c>
      <c r="F18415" s="2">
        <v>3.3710633320592903E-2</v>
      </c>
    </row>
    <row r="18416" spans="1:6" x14ac:dyDescent="0.25">
      <c r="A18416" s="1" t="str">
        <f t="shared" si="698"/>
        <v>30780</v>
      </c>
      <c r="B18416" s="1" t="str">
        <f>"72212"</f>
        <v>72212</v>
      </c>
      <c r="C18416" s="2">
        <v>1.4015956627545199E-2</v>
      </c>
      <c r="D18416" s="2">
        <v>1.64121934351226E-2</v>
      </c>
      <c r="E18416" s="2">
        <v>1.27024008933556E-2</v>
      </c>
      <c r="F18416" s="2">
        <v>1.4201706599372799E-2</v>
      </c>
    </row>
    <row r="18417" spans="1:6" x14ac:dyDescent="0.25">
      <c r="A18417" s="1" t="str">
        <f t="shared" si="698"/>
        <v>30780</v>
      </c>
      <c r="B18417" s="1" t="str">
        <f>"72203"</f>
        <v>72203</v>
      </c>
      <c r="C18417" s="2">
        <v>6.1993654314142204E-3</v>
      </c>
      <c r="D18417" s="2">
        <v>1.8992392403042999E-2</v>
      </c>
      <c r="E18417" s="2">
        <v>2.79173646007816E-4</v>
      </c>
      <c r="F18417" s="2">
        <v>7.20906993557656E-3</v>
      </c>
    </row>
    <row r="18418" spans="1:6" x14ac:dyDescent="0.25">
      <c r="A18418" s="1" t="str">
        <f t="shared" si="698"/>
        <v>30780</v>
      </c>
      <c r="B18418" s="1" t="str">
        <f>"72167"</f>
        <v>72167</v>
      </c>
      <c r="C18418" s="2">
        <v>1.57358633931963E-3</v>
      </c>
      <c r="D18418" s="2">
        <v>1.8619992552002901E-4</v>
      </c>
      <c r="E18418" s="2">
        <v>1.39586823003908E-4</v>
      </c>
      <c r="F18418" s="2">
        <v>1.42984108271895E-3</v>
      </c>
    </row>
    <row r="18419" spans="1:6" x14ac:dyDescent="0.25">
      <c r="A18419" s="1" t="str">
        <f t="shared" si="698"/>
        <v>30780</v>
      </c>
      <c r="B18419" s="1" t="str">
        <f>"72126"</f>
        <v>72126</v>
      </c>
      <c r="C18419" s="2">
        <v>4.9055848196408198E-3</v>
      </c>
      <c r="D18419" s="2">
        <v>2.5535989785604001E-3</v>
      </c>
      <c r="E18419" s="2">
        <v>2.5125628140703501E-3</v>
      </c>
      <c r="F18419" s="2">
        <v>4.6625252697357197E-3</v>
      </c>
    </row>
    <row r="18420" spans="1:6" x14ac:dyDescent="0.25">
      <c r="A18420" s="1" t="str">
        <f t="shared" si="698"/>
        <v>30780</v>
      </c>
      <c r="B18420" s="1" t="str">
        <f>"72131"</f>
        <v>72131</v>
      </c>
      <c r="C18420" s="2">
        <v>1.4401010381049099E-3</v>
      </c>
      <c r="D18420" s="2">
        <v>1.59599936160025E-4</v>
      </c>
      <c r="E18420" s="2">
        <v>0</v>
      </c>
      <c r="F18420" s="2">
        <v>1.305507075526E-3</v>
      </c>
    </row>
    <row r="18421" spans="1:6" x14ac:dyDescent="0.25">
      <c r="A18421" s="1" t="str">
        <f t="shared" si="698"/>
        <v>30780</v>
      </c>
      <c r="B18421" s="1" t="str">
        <f>"71909"</f>
        <v>71909</v>
      </c>
      <c r="C18421" s="2">
        <v>1.0542771770939201E-2</v>
      </c>
      <c r="D18421" s="2">
        <v>1.9683992126403099E-3</v>
      </c>
      <c r="E18421" s="2">
        <v>1.1166945840312601E-3</v>
      </c>
      <c r="F18421" s="2">
        <v>9.6450954839125604E-3</v>
      </c>
    </row>
    <row r="18422" spans="1:6" x14ac:dyDescent="0.25">
      <c r="A18422" s="1" t="str">
        <f t="shared" si="698"/>
        <v>30780</v>
      </c>
      <c r="B18422" s="1" t="str">
        <f>"72019"</f>
        <v>72019</v>
      </c>
      <c r="C18422" s="2">
        <v>3.1967162615901101E-2</v>
      </c>
      <c r="D18422" s="2">
        <v>1.22359951056019E-2</v>
      </c>
      <c r="E18422" s="2">
        <v>7.1189279731993203E-3</v>
      </c>
      <c r="F18422" s="2">
        <v>2.9849371652767302E-2</v>
      </c>
    </row>
    <row r="18423" spans="1:6" x14ac:dyDescent="0.25">
      <c r="A18423" s="1" t="str">
        <f t="shared" si="698"/>
        <v>30780</v>
      </c>
      <c r="B18423" s="1" t="str">
        <f>"72255"</f>
        <v>72255</v>
      </c>
      <c r="C18423" s="2">
        <v>0</v>
      </c>
      <c r="D18423" s="2">
        <v>0</v>
      </c>
      <c r="E18423" s="2">
        <v>1.39586823003908E-4</v>
      </c>
      <c r="F18423" s="2">
        <v>2.3024816146843001E-6</v>
      </c>
    </row>
    <row r="18424" spans="1:6" x14ac:dyDescent="0.25">
      <c r="A18424" s="1" t="str">
        <f t="shared" si="698"/>
        <v>30780</v>
      </c>
      <c r="B18424" s="1" t="str">
        <f>"72183"</f>
        <v>72183</v>
      </c>
      <c r="C18424" s="2">
        <v>2.5670250233599199E-6</v>
      </c>
      <c r="D18424" s="2">
        <v>0</v>
      </c>
      <c r="E18424" s="2">
        <v>1.39586823003908E-4</v>
      </c>
      <c r="F18424" s="2">
        <v>4.6049632293686104E-6</v>
      </c>
    </row>
    <row r="18425" spans="1:6" x14ac:dyDescent="0.25">
      <c r="A18425" s="1" t="str">
        <f t="shared" si="698"/>
        <v>30780</v>
      </c>
      <c r="B18425" s="1" t="str">
        <f>"72225"</f>
        <v>72225</v>
      </c>
      <c r="C18425" s="2">
        <v>1.7250408156978701E-3</v>
      </c>
      <c r="D18425" s="2">
        <v>6.2243975102409897E-3</v>
      </c>
      <c r="E18425" s="2">
        <v>2.79173646007816E-4</v>
      </c>
      <c r="F18425" s="2">
        <v>2.09065330613335E-3</v>
      </c>
    </row>
    <row r="18426" spans="1:6" x14ac:dyDescent="0.25">
      <c r="A18426" s="1" t="str">
        <f t="shared" si="698"/>
        <v>30780</v>
      </c>
      <c r="B18426" s="1" t="str">
        <f>"72084"</f>
        <v>72084</v>
      </c>
      <c r="C18426" s="2">
        <v>9.03592808222694E-4</v>
      </c>
      <c r="D18426" s="2">
        <v>1.59599936160025E-4</v>
      </c>
      <c r="E18426" s="2">
        <v>1.39586823003908E-4</v>
      </c>
      <c r="F18426" s="2">
        <v>8.2659089967166604E-4</v>
      </c>
    </row>
    <row r="18427" spans="1:6" x14ac:dyDescent="0.25">
      <c r="A18427" s="1" t="str">
        <f t="shared" si="698"/>
        <v>30780</v>
      </c>
      <c r="B18427" s="1" t="str">
        <f>"72061"</f>
        <v>72061</v>
      </c>
      <c r="C18427" s="2">
        <v>1.30918276191356E-4</v>
      </c>
      <c r="D18427" s="2">
        <v>7.9799968080012705E-5</v>
      </c>
      <c r="E18427" s="2">
        <v>1.39586823003908E-4</v>
      </c>
      <c r="F18427" s="2">
        <v>1.2663648880763601E-4</v>
      </c>
    </row>
    <row r="18428" spans="1:6" x14ac:dyDescent="0.25">
      <c r="A18428" s="1" t="str">
        <f t="shared" si="698"/>
        <v>30780</v>
      </c>
      <c r="B18428" s="1" t="str">
        <f>"72047"</f>
        <v>72047</v>
      </c>
      <c r="C18428" s="2">
        <v>1.3271519370770799E-3</v>
      </c>
      <c r="D18428" s="2">
        <v>1.32999946800021E-4</v>
      </c>
      <c r="E18428" s="2">
        <v>1.39586823003908E-4</v>
      </c>
      <c r="F18428" s="2">
        <v>1.2041978844798901E-3</v>
      </c>
    </row>
    <row r="18429" spans="1:6" x14ac:dyDescent="0.25">
      <c r="A18429" s="1" t="str">
        <f t="shared" si="698"/>
        <v>30780</v>
      </c>
      <c r="B18429" s="1" t="str">
        <f>"72125"</f>
        <v>72125</v>
      </c>
      <c r="C18429" s="2">
        <v>7.7780858207805801E-4</v>
      </c>
      <c r="D18429" s="2">
        <v>2.92599882960046E-4</v>
      </c>
      <c r="E18429" s="2">
        <v>4.1876046901172497E-4</v>
      </c>
      <c r="F18429" s="2">
        <v>7.29886671854925E-4</v>
      </c>
    </row>
    <row r="18430" spans="1:6" x14ac:dyDescent="0.25">
      <c r="A18430" s="1" t="str">
        <f t="shared" ref="A18430:A18447" si="699">"30820"</f>
        <v>30820</v>
      </c>
      <c r="B18430" s="1" t="str">
        <f>"17748"</f>
        <v>17748</v>
      </c>
      <c r="C18430" s="2">
        <v>5.42652485348382E-5</v>
      </c>
      <c r="D18430" s="2">
        <v>1.6090104585679799E-3</v>
      </c>
      <c r="E18430" s="2">
        <v>0</v>
      </c>
      <c r="F18430" s="2">
        <v>1.4789982252021199E-4</v>
      </c>
    </row>
    <row r="18431" spans="1:6" x14ac:dyDescent="0.25">
      <c r="A18431" s="1" t="str">
        <f t="shared" si="699"/>
        <v>30820</v>
      </c>
      <c r="B18431" s="1" t="str">
        <f>"17778"</f>
        <v>17778</v>
      </c>
      <c r="C18431" s="2">
        <v>5.8606468417625301E-3</v>
      </c>
      <c r="D18431" s="2">
        <v>1.6090104585679799E-3</v>
      </c>
      <c r="E18431" s="2">
        <v>0</v>
      </c>
      <c r="F18431" s="2">
        <v>5.4229934924078004E-3</v>
      </c>
    </row>
    <row r="18432" spans="1:6" x14ac:dyDescent="0.25">
      <c r="A18432" s="1" t="str">
        <f t="shared" si="699"/>
        <v>30820</v>
      </c>
      <c r="B18432" s="1" t="str">
        <f>"17750"</f>
        <v>17750</v>
      </c>
      <c r="C18432" s="2">
        <v>0</v>
      </c>
      <c r="D18432" s="2">
        <v>8.0450522928398997E-4</v>
      </c>
      <c r="E18432" s="2">
        <v>0</v>
      </c>
      <c r="F18432" s="2">
        <v>4.92999408400709E-5</v>
      </c>
    </row>
    <row r="18433" spans="1:6" x14ac:dyDescent="0.25">
      <c r="A18433" s="1" t="str">
        <f t="shared" si="699"/>
        <v>30820</v>
      </c>
      <c r="B18433" s="1" t="str">
        <f>"17740"</f>
        <v>17740</v>
      </c>
      <c r="C18433" s="2">
        <v>6.6474929455176898E-2</v>
      </c>
      <c r="D18433" s="2">
        <v>2.01126307320997E-2</v>
      </c>
      <c r="E18433" s="2">
        <v>3.2626427406198998E-2</v>
      </c>
      <c r="F18433" s="2">
        <v>6.26109248668901E-2</v>
      </c>
    </row>
    <row r="18434" spans="1:6" x14ac:dyDescent="0.25">
      <c r="A18434" s="1" t="str">
        <f t="shared" si="699"/>
        <v>30820</v>
      </c>
      <c r="B18434" s="1" t="str">
        <f>"17751"</f>
        <v>17751</v>
      </c>
      <c r="C18434" s="2">
        <v>0.17435424354243501</v>
      </c>
      <c r="D18434" s="2">
        <v>0.22445695897023299</v>
      </c>
      <c r="E18434" s="2">
        <v>5.7096247960848202E-2</v>
      </c>
      <c r="F18434" s="2">
        <v>0.17388089134293</v>
      </c>
    </row>
    <row r="18435" spans="1:6" x14ac:dyDescent="0.25">
      <c r="A18435" s="1" t="str">
        <f t="shared" si="699"/>
        <v>30820</v>
      </c>
      <c r="B18435" s="1" t="str">
        <f>"17729"</f>
        <v>17729</v>
      </c>
      <c r="C18435" s="2">
        <v>2.3876709355328801E-3</v>
      </c>
      <c r="D18435" s="2">
        <v>1.6090104585679799E-3</v>
      </c>
      <c r="E18435" s="2">
        <v>0</v>
      </c>
      <c r="F18435" s="2">
        <v>2.2677972786432602E-3</v>
      </c>
    </row>
    <row r="18436" spans="1:6" x14ac:dyDescent="0.25">
      <c r="A18436" s="1" t="str">
        <f t="shared" si="699"/>
        <v>30820</v>
      </c>
      <c r="B18436" s="1" t="str">
        <f>"16871"</f>
        <v>16871</v>
      </c>
      <c r="C18436" s="2">
        <v>1.3023659648361101E-3</v>
      </c>
      <c r="D18436" s="2">
        <v>0</v>
      </c>
      <c r="E18436" s="2">
        <v>0</v>
      </c>
      <c r="F18436" s="2">
        <v>1.1831985801617E-3</v>
      </c>
    </row>
    <row r="18437" spans="1:6" x14ac:dyDescent="0.25">
      <c r="A18437" s="1" t="str">
        <f t="shared" si="699"/>
        <v>30820</v>
      </c>
      <c r="B18437" s="1" t="str">
        <f>"16841"</f>
        <v>16841</v>
      </c>
      <c r="C18437" s="2">
        <v>2.5504666811373899E-3</v>
      </c>
      <c r="D18437" s="2">
        <v>1.6090104585679799E-3</v>
      </c>
      <c r="E18437" s="2">
        <v>0</v>
      </c>
      <c r="F18437" s="2">
        <v>2.41569710116347E-3</v>
      </c>
    </row>
    <row r="18438" spans="1:6" x14ac:dyDescent="0.25">
      <c r="A18438" s="1" t="str">
        <f t="shared" si="699"/>
        <v>30820</v>
      </c>
      <c r="B18438" s="1" t="str">
        <f>"17779"</f>
        <v>17779</v>
      </c>
      <c r="C18438" s="2">
        <v>1.0853049706967599E-4</v>
      </c>
      <c r="D18438" s="2">
        <v>8.0450522928398997E-4</v>
      </c>
      <c r="E18438" s="2">
        <v>0</v>
      </c>
      <c r="F18438" s="2">
        <v>1.4789982252021199E-4</v>
      </c>
    </row>
    <row r="18439" spans="1:6" x14ac:dyDescent="0.25">
      <c r="A18439" s="1" t="str">
        <f t="shared" si="699"/>
        <v>30820</v>
      </c>
      <c r="B18439" s="1" t="str">
        <f>"16845"</f>
        <v>16845</v>
      </c>
      <c r="C18439" s="2">
        <v>2.1706099413935299E-4</v>
      </c>
      <c r="D18439" s="2">
        <v>0</v>
      </c>
      <c r="E18439" s="2">
        <v>0</v>
      </c>
      <c r="F18439" s="2">
        <v>1.9719976336028301E-4</v>
      </c>
    </row>
    <row r="18440" spans="1:6" x14ac:dyDescent="0.25">
      <c r="A18440" s="1" t="str">
        <f t="shared" si="699"/>
        <v>30820</v>
      </c>
      <c r="B18440" s="1" t="str">
        <f>"17747"</f>
        <v>17747</v>
      </c>
      <c r="C18440" s="2">
        <v>6.9188191881918798E-2</v>
      </c>
      <c r="D18440" s="2">
        <v>4.5052292839903398E-2</v>
      </c>
      <c r="E18440" s="2">
        <v>1.30505709624796E-2</v>
      </c>
      <c r="F18440" s="2">
        <v>6.6012620784854995E-2</v>
      </c>
    </row>
    <row r="18441" spans="1:6" x14ac:dyDescent="0.25">
      <c r="A18441" s="1" t="str">
        <f t="shared" si="699"/>
        <v>30820</v>
      </c>
      <c r="B18441" s="1" t="str">
        <f>"17721"</f>
        <v>17721</v>
      </c>
      <c r="C18441" s="2">
        <v>4.4117647058823498E-2</v>
      </c>
      <c r="D18441" s="2">
        <v>3.7007240547063502E-2</v>
      </c>
      <c r="E18441" s="2">
        <v>7.6672104404567606E-2</v>
      </c>
      <c r="F18441" s="2">
        <v>4.4665746401104302E-2</v>
      </c>
    </row>
    <row r="18442" spans="1:6" x14ac:dyDescent="0.25">
      <c r="A18442" s="1" t="str">
        <f t="shared" si="699"/>
        <v>30820</v>
      </c>
      <c r="B18442" s="1" t="str">
        <f>"17745"</f>
        <v>17745</v>
      </c>
      <c r="C18442" s="2">
        <v>0.50412415888864703</v>
      </c>
      <c r="D18442" s="2">
        <v>0.53419147224456898</v>
      </c>
      <c r="E18442" s="2">
        <v>0.75203915171288704</v>
      </c>
      <c r="F18442" s="2">
        <v>0.51345888384933902</v>
      </c>
    </row>
    <row r="18443" spans="1:6" x14ac:dyDescent="0.25">
      <c r="A18443" s="1" t="str">
        <f t="shared" si="699"/>
        <v>30820</v>
      </c>
      <c r="B18443" s="1" t="str">
        <f>"16822"</f>
        <v>16822</v>
      </c>
      <c r="C18443" s="2">
        <v>3.7714347731712602E-2</v>
      </c>
      <c r="D18443" s="2">
        <v>2.17216411906677E-2</v>
      </c>
      <c r="E18443" s="2">
        <v>2.4469820554649201E-2</v>
      </c>
      <c r="F18443" s="2">
        <v>3.63340563991323E-2</v>
      </c>
    </row>
    <row r="18444" spans="1:6" x14ac:dyDescent="0.25">
      <c r="A18444" s="1" t="str">
        <f t="shared" si="699"/>
        <v>30820</v>
      </c>
      <c r="B18444" s="1" t="str">
        <f>"16848"</f>
        <v>16848</v>
      </c>
      <c r="C18444" s="2">
        <v>0</v>
      </c>
      <c r="D18444" s="2">
        <v>8.0450522928398997E-4</v>
      </c>
      <c r="E18444" s="2">
        <v>0</v>
      </c>
      <c r="F18444" s="2">
        <v>4.92999408400709E-5</v>
      </c>
    </row>
    <row r="18445" spans="1:6" x14ac:dyDescent="0.25">
      <c r="A18445" s="1" t="str">
        <f t="shared" si="699"/>
        <v>30820</v>
      </c>
      <c r="B18445" s="1" t="str">
        <f>"17760"</f>
        <v>17760</v>
      </c>
      <c r="C18445" s="2">
        <v>1.55741263294985E-2</v>
      </c>
      <c r="D18445" s="2">
        <v>1.1263073209975801E-2</v>
      </c>
      <c r="E18445" s="2">
        <v>0</v>
      </c>
      <c r="F18445" s="2">
        <v>1.48392821928613E-2</v>
      </c>
    </row>
    <row r="18446" spans="1:6" x14ac:dyDescent="0.25">
      <c r="A18446" s="1" t="str">
        <f t="shared" si="699"/>
        <v>30820</v>
      </c>
      <c r="B18446" s="1" t="str">
        <f>"17764"</f>
        <v>17764</v>
      </c>
      <c r="C18446" s="2">
        <v>7.5971347948773596E-2</v>
      </c>
      <c r="D18446" s="2">
        <v>9.6540627514078797E-2</v>
      </c>
      <c r="E18446" s="2">
        <v>4.4045676998368602E-2</v>
      </c>
      <c r="F18446" s="2">
        <v>7.6267008479589796E-2</v>
      </c>
    </row>
    <row r="18447" spans="1:6" x14ac:dyDescent="0.25">
      <c r="A18447" s="1" t="str">
        <f t="shared" si="699"/>
        <v>30820</v>
      </c>
      <c r="B18447" s="1" t="str">
        <f>"17726"</f>
        <v>17726</v>
      </c>
      <c r="C18447" s="2">
        <v>0</v>
      </c>
      <c r="D18447" s="2">
        <v>8.0450522928398997E-4</v>
      </c>
      <c r="E18447" s="2">
        <v>0</v>
      </c>
      <c r="F18447" s="2">
        <v>4.92999408400709E-5</v>
      </c>
    </row>
    <row r="18448" spans="1:6" x14ac:dyDescent="0.25">
      <c r="A18448" s="1" t="str">
        <f t="shared" ref="A18448:A18474" si="700">"30860"</f>
        <v>30860</v>
      </c>
      <c r="B18448" s="1" t="str">
        <f>"84321"</f>
        <v>84321</v>
      </c>
      <c r="C18448" s="2">
        <v>0.33120414997193298</v>
      </c>
      <c r="D18448" s="2">
        <v>0.35633389261744902</v>
      </c>
      <c r="E18448" s="2">
        <v>0.57113821138211296</v>
      </c>
      <c r="F18448" s="2">
        <v>0.34700626304801602</v>
      </c>
    </row>
    <row r="18449" spans="1:6" x14ac:dyDescent="0.25">
      <c r="A18449" s="1" t="str">
        <f t="shared" si="700"/>
        <v>30860</v>
      </c>
      <c r="B18449" s="1" t="str">
        <f>"84335"</f>
        <v>84335</v>
      </c>
      <c r="C18449" s="2">
        <v>9.2232351973365795E-2</v>
      </c>
      <c r="D18449" s="2">
        <v>5.24328859060402E-2</v>
      </c>
      <c r="E18449" s="2">
        <v>2.99070847851335E-2</v>
      </c>
      <c r="F18449" s="2">
        <v>8.5478079331941501E-2</v>
      </c>
    </row>
    <row r="18450" spans="1:6" x14ac:dyDescent="0.25">
      <c r="A18450" s="1" t="str">
        <f t="shared" si="700"/>
        <v>30860</v>
      </c>
      <c r="B18450" s="1" t="str">
        <f>"84339"</f>
        <v>84339</v>
      </c>
      <c r="C18450" s="2">
        <v>3.39314402957629E-2</v>
      </c>
      <c r="D18450" s="2">
        <v>7.7600671140939503E-3</v>
      </c>
      <c r="E18450" s="2">
        <v>7.25900116144018E-3</v>
      </c>
      <c r="F18450" s="2">
        <v>3.0313152400835E-2</v>
      </c>
    </row>
    <row r="18451" spans="1:6" x14ac:dyDescent="0.25">
      <c r="A18451" s="1" t="str">
        <f t="shared" si="700"/>
        <v>30860</v>
      </c>
      <c r="B18451" s="1" t="str">
        <f>"84320"</f>
        <v>84320</v>
      </c>
      <c r="C18451" s="2">
        <v>1.6007587635251501E-2</v>
      </c>
      <c r="D18451" s="2">
        <v>4.8238255033557003E-3</v>
      </c>
      <c r="E18451" s="2">
        <v>2.90360046457607E-3</v>
      </c>
      <c r="F18451" s="2">
        <v>1.43632567849686E-2</v>
      </c>
    </row>
    <row r="18452" spans="1:6" x14ac:dyDescent="0.25">
      <c r="A18452" s="1" t="str">
        <f t="shared" si="700"/>
        <v>30860</v>
      </c>
      <c r="B18452" s="1" t="str">
        <f>"84333"</f>
        <v>84333</v>
      </c>
      <c r="C18452" s="2">
        <v>2.0498228906567498E-2</v>
      </c>
      <c r="D18452" s="2">
        <v>8.5989932885906003E-3</v>
      </c>
      <c r="E18452" s="2">
        <v>5.80720092915214E-3</v>
      </c>
      <c r="F18452" s="2">
        <v>1.8705636743215001E-2</v>
      </c>
    </row>
    <row r="18453" spans="1:6" x14ac:dyDescent="0.25">
      <c r="A18453" s="1" t="str">
        <f t="shared" si="700"/>
        <v>30860</v>
      </c>
      <c r="B18453" s="1" t="str">
        <f>"84327"</f>
        <v>84327</v>
      </c>
      <c r="C18453" s="2">
        <v>5.5745891643923101E-3</v>
      </c>
      <c r="D18453" s="2">
        <v>2.0973154362416099E-4</v>
      </c>
      <c r="E18453" s="2">
        <v>2.90360046457607E-4</v>
      </c>
      <c r="F18453" s="2">
        <v>4.8434237995824596E-3</v>
      </c>
    </row>
    <row r="18454" spans="1:6" x14ac:dyDescent="0.25">
      <c r="A18454" s="1" t="str">
        <f t="shared" si="700"/>
        <v>30860</v>
      </c>
      <c r="B18454" s="1" t="str">
        <f>"84338"</f>
        <v>84338</v>
      </c>
      <c r="C18454" s="2">
        <v>2.6905135203143401E-3</v>
      </c>
      <c r="D18454" s="2">
        <v>2.0973154362416099E-4</v>
      </c>
      <c r="E18454" s="2">
        <v>2.90360046457607E-4</v>
      </c>
      <c r="F18454" s="2">
        <v>2.3549060542797399E-3</v>
      </c>
    </row>
    <row r="18455" spans="1:6" x14ac:dyDescent="0.25">
      <c r="A18455" s="1" t="str">
        <f t="shared" si="700"/>
        <v>30860</v>
      </c>
      <c r="B18455" s="1" t="str">
        <f>"84305"</f>
        <v>84305</v>
      </c>
      <c r="C18455" s="2">
        <v>4.9358341559723497E-3</v>
      </c>
      <c r="D18455" s="2">
        <v>0</v>
      </c>
      <c r="E18455" s="2">
        <v>2.90360046457607E-4</v>
      </c>
      <c r="F18455" s="2">
        <v>4.2755741127348604E-3</v>
      </c>
    </row>
    <row r="18456" spans="1:6" x14ac:dyDescent="0.25">
      <c r="A18456" s="1" t="str">
        <f t="shared" si="700"/>
        <v>30860</v>
      </c>
      <c r="B18456" s="1" t="str">
        <f>"83232"</f>
        <v>83232</v>
      </c>
      <c r="C18456" s="2">
        <v>2.24532063565801E-3</v>
      </c>
      <c r="D18456" s="2">
        <v>1.6778523489932801E-3</v>
      </c>
      <c r="E18456" s="2">
        <v>2.90360046457607E-4</v>
      </c>
      <c r="F18456" s="2">
        <v>2.0876826722338198E-3</v>
      </c>
    </row>
    <row r="18457" spans="1:6" x14ac:dyDescent="0.25">
      <c r="A18457" s="1" t="str">
        <f t="shared" si="700"/>
        <v>30860</v>
      </c>
      <c r="B18457" s="1" t="str">
        <f>"84323"</f>
        <v>84323</v>
      </c>
      <c r="C18457" s="2">
        <v>3.2073243907632103E-2</v>
      </c>
      <c r="D18457" s="2">
        <v>7.7810402684563698E-2</v>
      </c>
      <c r="E18457" s="2">
        <v>8.7108013937282197E-4</v>
      </c>
      <c r="F18457" s="2">
        <v>3.3920668058455103E-2</v>
      </c>
    </row>
    <row r="18458" spans="1:6" x14ac:dyDescent="0.25">
      <c r="A18458" s="1" t="str">
        <f t="shared" si="700"/>
        <v>30860</v>
      </c>
      <c r="B18458" s="1" t="str">
        <f>"84326"</f>
        <v>84326</v>
      </c>
      <c r="C18458" s="2">
        <v>1.4304240946131599E-2</v>
      </c>
      <c r="D18458" s="2">
        <v>2.0973154362416099E-4</v>
      </c>
      <c r="E18458" s="2">
        <v>5.80720092915214E-4</v>
      </c>
      <c r="F18458" s="2">
        <v>1.2392484342379899E-2</v>
      </c>
    </row>
    <row r="18459" spans="1:6" x14ac:dyDescent="0.25">
      <c r="A18459" s="1" t="str">
        <f t="shared" si="700"/>
        <v>30860</v>
      </c>
      <c r="B18459" s="1" t="str">
        <f>"84304"</f>
        <v>84304</v>
      </c>
      <c r="C18459" s="2">
        <v>3.6776803515088099E-4</v>
      </c>
      <c r="D18459" s="2">
        <v>0</v>
      </c>
      <c r="E18459" s="2">
        <v>2.90360046457607E-4</v>
      </c>
      <c r="F18459" s="2">
        <v>3.3402922755741102E-4</v>
      </c>
    </row>
    <row r="18460" spans="1:6" x14ac:dyDescent="0.25">
      <c r="A18460" s="1" t="str">
        <f t="shared" si="700"/>
        <v>30860</v>
      </c>
      <c r="B18460" s="1" t="str">
        <f>"84328"</f>
        <v>84328</v>
      </c>
      <c r="C18460" s="2">
        <v>6.039138261425E-3</v>
      </c>
      <c r="D18460" s="2">
        <v>4.1946308724832198E-4</v>
      </c>
      <c r="E18460" s="2">
        <v>1.16144018583042E-3</v>
      </c>
      <c r="F18460" s="2">
        <v>5.3110647181628303E-3</v>
      </c>
    </row>
    <row r="18461" spans="1:6" x14ac:dyDescent="0.25">
      <c r="A18461" s="1" t="str">
        <f t="shared" si="700"/>
        <v>30860</v>
      </c>
      <c r="B18461" s="1" t="str">
        <f>"84325"</f>
        <v>84325</v>
      </c>
      <c r="C18461" s="2">
        <v>1.18266457619573E-2</v>
      </c>
      <c r="D18461" s="2">
        <v>8.3892617449664395E-4</v>
      </c>
      <c r="E18461" s="2">
        <v>2.6132404181184602E-3</v>
      </c>
      <c r="F18461" s="2">
        <v>1.04217118997912E-2</v>
      </c>
    </row>
    <row r="18462" spans="1:6" x14ac:dyDescent="0.25">
      <c r="A18462" s="1" t="str">
        <f t="shared" si="700"/>
        <v>30860</v>
      </c>
      <c r="B18462" s="1" t="str">
        <f>"84308"</f>
        <v>84308</v>
      </c>
      <c r="C18462" s="2">
        <v>1.9162650252598501E-3</v>
      </c>
      <c r="D18462" s="2">
        <v>4.1946308724832198E-4</v>
      </c>
      <c r="E18462" s="2">
        <v>2.90360046457607E-4</v>
      </c>
      <c r="F18462" s="2">
        <v>1.7035490605427899E-3</v>
      </c>
    </row>
    <row r="18463" spans="1:6" x14ac:dyDescent="0.25">
      <c r="A18463" s="1" t="str">
        <f t="shared" si="700"/>
        <v>30860</v>
      </c>
      <c r="B18463" s="1" t="str">
        <f>"84341"</f>
        <v>84341</v>
      </c>
      <c r="C18463" s="2">
        <v>0.18084509223235101</v>
      </c>
      <c r="D18463" s="2">
        <v>0.230704697986577</v>
      </c>
      <c r="E18463" s="2">
        <v>0.310975609756097</v>
      </c>
      <c r="F18463" s="2">
        <v>0.19230062630480099</v>
      </c>
    </row>
    <row r="18464" spans="1:6" x14ac:dyDescent="0.25">
      <c r="A18464" s="1" t="str">
        <f t="shared" si="700"/>
        <v>30860</v>
      </c>
      <c r="B18464" s="1" t="str">
        <f>"83228"</f>
        <v>83228</v>
      </c>
      <c r="C18464" s="2">
        <v>4.0067359619069699E-3</v>
      </c>
      <c r="D18464" s="2">
        <v>0</v>
      </c>
      <c r="E18464" s="2">
        <v>5.80720092915214E-4</v>
      </c>
      <c r="F18464" s="2">
        <v>3.4906054279749401E-3</v>
      </c>
    </row>
    <row r="18465" spans="1:6" x14ac:dyDescent="0.25">
      <c r="A18465" s="1" t="str">
        <f t="shared" si="700"/>
        <v>30860</v>
      </c>
      <c r="B18465" s="1" t="str">
        <f>"84332"</f>
        <v>84332</v>
      </c>
      <c r="C18465" s="2">
        <v>5.7333101058784801E-2</v>
      </c>
      <c r="D18465" s="2">
        <v>6.01929530201342E-2</v>
      </c>
      <c r="E18465" s="2">
        <v>1.5969802555168399E-2</v>
      </c>
      <c r="F18465" s="2">
        <v>5.5181628392484298E-2</v>
      </c>
    </row>
    <row r="18466" spans="1:6" x14ac:dyDescent="0.25">
      <c r="A18466" s="1" t="str">
        <f t="shared" si="700"/>
        <v>30860</v>
      </c>
      <c r="B18466" s="1" t="str">
        <f>"84312"</f>
        <v>84312</v>
      </c>
      <c r="C18466" s="2">
        <v>1.9356212376362101E-5</v>
      </c>
      <c r="D18466" s="2">
        <v>0</v>
      </c>
      <c r="E18466" s="2">
        <v>0</v>
      </c>
      <c r="F18466" s="2">
        <v>1.6701461377870501E-5</v>
      </c>
    </row>
    <row r="18467" spans="1:6" x14ac:dyDescent="0.25">
      <c r="A18467" s="1" t="str">
        <f t="shared" si="700"/>
        <v>30860</v>
      </c>
      <c r="B18467" s="1" t="str">
        <f>"83283"</f>
        <v>83283</v>
      </c>
      <c r="C18467" s="2">
        <v>8.7102955693629802E-4</v>
      </c>
      <c r="D18467" s="2">
        <v>2.0973154362416099E-4</v>
      </c>
      <c r="E18467" s="2">
        <v>0</v>
      </c>
      <c r="F18467" s="2">
        <v>7.6826722338204495E-4</v>
      </c>
    </row>
    <row r="18468" spans="1:6" x14ac:dyDescent="0.25">
      <c r="A18468" s="1" t="str">
        <f t="shared" si="700"/>
        <v>30860</v>
      </c>
      <c r="B18468" s="1" t="str">
        <f>"83286"</f>
        <v>83286</v>
      </c>
      <c r="C18468" s="2">
        <v>8.2651026847066506E-3</v>
      </c>
      <c r="D18468" s="2">
        <v>8.3892617449664395E-4</v>
      </c>
      <c r="E18468" s="2">
        <v>2.90360046457607E-4</v>
      </c>
      <c r="F18468" s="2">
        <v>7.2150313152400799E-3</v>
      </c>
    </row>
    <row r="18469" spans="1:6" x14ac:dyDescent="0.25">
      <c r="A18469" s="1" t="str">
        <f t="shared" si="700"/>
        <v>30860</v>
      </c>
      <c r="B18469" s="1" t="str">
        <f>"84319"</f>
        <v>84319</v>
      </c>
      <c r="C18469" s="2">
        <v>5.8049280916710203E-2</v>
      </c>
      <c r="D18469" s="2">
        <v>1.9924496644295301E-2</v>
      </c>
      <c r="E18469" s="2">
        <v>1.68408826945412E-2</v>
      </c>
      <c r="F18469" s="2">
        <v>5.2643006263047999E-2</v>
      </c>
    </row>
    <row r="18470" spans="1:6" x14ac:dyDescent="0.25">
      <c r="A18470" s="1" t="str">
        <f t="shared" si="700"/>
        <v>30860</v>
      </c>
      <c r="B18470" s="1" t="str">
        <f>"84318"</f>
        <v>84318</v>
      </c>
      <c r="C18470" s="2">
        <v>3.1357064049706701E-2</v>
      </c>
      <c r="D18470" s="2">
        <v>2.11828859060402E-2</v>
      </c>
      <c r="E18470" s="2">
        <v>6.0975609756097502E-3</v>
      </c>
      <c r="F18470" s="2">
        <v>2.9093945720250501E-2</v>
      </c>
    </row>
    <row r="18471" spans="1:6" x14ac:dyDescent="0.25">
      <c r="A18471" s="1" t="str">
        <f t="shared" si="700"/>
        <v>30860</v>
      </c>
      <c r="B18471" s="1" t="str">
        <f>"84322"</f>
        <v>84322</v>
      </c>
      <c r="C18471" s="2">
        <v>0</v>
      </c>
      <c r="D18471" s="2">
        <v>8.6199664429530198E-2</v>
      </c>
      <c r="E18471" s="2">
        <v>0</v>
      </c>
      <c r="F18471" s="2">
        <v>6.8643006263048E-3</v>
      </c>
    </row>
    <row r="18472" spans="1:6" x14ac:dyDescent="0.25">
      <c r="A18472" s="1" t="str">
        <f t="shared" si="700"/>
        <v>30860</v>
      </c>
      <c r="B18472" s="1" t="str">
        <f>"83237"</f>
        <v>83237</v>
      </c>
      <c r="C18472" s="2">
        <v>1.0587848169870099E-2</v>
      </c>
      <c r="D18472" s="2">
        <v>2.0973154362416099E-3</v>
      </c>
      <c r="E18472" s="2">
        <v>3.4843205574912801E-3</v>
      </c>
      <c r="F18472" s="2">
        <v>9.5031315240083503E-3</v>
      </c>
    </row>
    <row r="18473" spans="1:6" x14ac:dyDescent="0.25">
      <c r="A18473" s="1" t="str">
        <f t="shared" si="700"/>
        <v>30860</v>
      </c>
      <c r="B18473" s="1" t="str">
        <f>"83263"</f>
        <v>83263</v>
      </c>
      <c r="C18473" s="2">
        <v>7.2779358535121796E-2</v>
      </c>
      <c r="D18473" s="2">
        <v>6.6904362416107296E-2</v>
      </c>
      <c r="E18473" s="2">
        <v>2.17770034843205E-2</v>
      </c>
      <c r="F18473" s="2">
        <v>6.9377870563674296E-2</v>
      </c>
    </row>
    <row r="18474" spans="1:6" x14ac:dyDescent="0.25">
      <c r="A18474" s="1" t="str">
        <f t="shared" si="700"/>
        <v>30860</v>
      </c>
      <c r="B18474" s="1" t="str">
        <f>"83241"</f>
        <v>83241</v>
      </c>
      <c r="C18474" s="2">
        <v>3.8712424752724297E-5</v>
      </c>
      <c r="D18474" s="2">
        <v>0</v>
      </c>
      <c r="E18474" s="2">
        <v>0</v>
      </c>
      <c r="F18474" s="2">
        <v>3.3402922755741097E-5</v>
      </c>
    </row>
    <row r="18475" spans="1:6" x14ac:dyDescent="0.25">
      <c r="A18475" s="1" t="str">
        <f t="shared" ref="A18475:A18490" si="701">"30900"</f>
        <v>30900</v>
      </c>
      <c r="B18475" s="1" t="str">
        <f>"46951"</f>
        <v>46951</v>
      </c>
      <c r="C18475" s="2">
        <v>1.15854718183398E-4</v>
      </c>
      <c r="D18475" s="2">
        <v>0</v>
      </c>
      <c r="E18475" s="2">
        <v>0</v>
      </c>
      <c r="F18475" s="2">
        <v>1.05758553222991E-4</v>
      </c>
    </row>
    <row r="18476" spans="1:6" x14ac:dyDescent="0.25">
      <c r="A18476" s="1" t="str">
        <f t="shared" si="701"/>
        <v>30900</v>
      </c>
      <c r="B18476" s="1" t="str">
        <f>"46961"</f>
        <v>46961</v>
      </c>
      <c r="C18476" s="2">
        <v>2.9542953136766398E-3</v>
      </c>
      <c r="D18476" s="2">
        <v>2.93685756240822E-3</v>
      </c>
      <c r="E18476" s="2">
        <v>0</v>
      </c>
      <c r="F18476" s="2">
        <v>2.9083602136322699E-3</v>
      </c>
    </row>
    <row r="18477" spans="1:6" x14ac:dyDescent="0.25">
      <c r="A18477" s="1" t="str">
        <f t="shared" si="701"/>
        <v>30900</v>
      </c>
      <c r="B18477" s="1" t="str">
        <f>"46926"</f>
        <v>46926</v>
      </c>
      <c r="C18477" s="2">
        <v>7.5305566819208703E-4</v>
      </c>
      <c r="D18477" s="2">
        <v>1.46842878120411E-3</v>
      </c>
      <c r="E18477" s="2">
        <v>0</v>
      </c>
      <c r="F18477" s="2">
        <v>7.9318914917243897E-4</v>
      </c>
    </row>
    <row r="18478" spans="1:6" x14ac:dyDescent="0.25">
      <c r="A18478" s="1" t="str">
        <f t="shared" si="701"/>
        <v>30900</v>
      </c>
      <c r="B18478" s="1" t="str">
        <f>"46978"</f>
        <v>46978</v>
      </c>
      <c r="C18478" s="2">
        <v>5.14974222325204E-2</v>
      </c>
      <c r="D18478" s="2">
        <v>3.0837004405286299E-2</v>
      </c>
      <c r="E18478" s="2">
        <v>4.1958041958041897E-2</v>
      </c>
      <c r="F18478" s="2">
        <v>4.9865157844640601E-2</v>
      </c>
    </row>
    <row r="18479" spans="1:6" x14ac:dyDescent="0.25">
      <c r="A18479" s="1" t="str">
        <f t="shared" si="701"/>
        <v>30900</v>
      </c>
      <c r="B18479" s="1" t="str">
        <f>"46998"</f>
        <v>46998</v>
      </c>
      <c r="C18479" s="2">
        <v>6.9512830910038802E-4</v>
      </c>
      <c r="D18479" s="2">
        <v>7.34214390602055E-4</v>
      </c>
      <c r="E18479" s="2">
        <v>0</v>
      </c>
      <c r="F18479" s="2">
        <v>6.8743059594944696E-4</v>
      </c>
    </row>
    <row r="18480" spans="1:6" x14ac:dyDescent="0.25">
      <c r="A18480" s="1" t="str">
        <f t="shared" si="701"/>
        <v>30900</v>
      </c>
      <c r="B18480" s="1" t="str">
        <f>"46932"</f>
        <v>46932</v>
      </c>
      <c r="C18480" s="2">
        <v>8.6311765046631503E-2</v>
      </c>
      <c r="D18480" s="2">
        <v>2.49632892804698E-2</v>
      </c>
      <c r="E18480" s="2">
        <v>0.101398601398601</v>
      </c>
      <c r="F18480" s="2">
        <v>8.2121516577653195E-2</v>
      </c>
    </row>
    <row r="18481" spans="1:6" x14ac:dyDescent="0.25">
      <c r="A18481" s="1" t="str">
        <f t="shared" si="701"/>
        <v>30900</v>
      </c>
      <c r="B18481" s="1" t="str">
        <f>"46901"</f>
        <v>46901</v>
      </c>
      <c r="C18481" s="2">
        <v>2.8963679545849499E-4</v>
      </c>
      <c r="D18481" s="2">
        <v>0</v>
      </c>
      <c r="E18481" s="2">
        <v>0</v>
      </c>
      <c r="F18481" s="2">
        <v>2.6439638305747899E-4</v>
      </c>
    </row>
    <row r="18482" spans="1:6" x14ac:dyDescent="0.25">
      <c r="A18482" s="1" t="str">
        <f t="shared" si="701"/>
        <v>30900</v>
      </c>
      <c r="B18482" s="1" t="str">
        <f>"46988"</f>
        <v>46988</v>
      </c>
      <c r="C18482" s="2">
        <v>1.89422464229855E-2</v>
      </c>
      <c r="D18482" s="2">
        <v>4.40528634361233E-3</v>
      </c>
      <c r="E18482" s="2">
        <v>1.7482517482517401E-2</v>
      </c>
      <c r="F18482" s="2">
        <v>1.7873195494685599E-2</v>
      </c>
    </row>
    <row r="18483" spans="1:6" x14ac:dyDescent="0.25">
      <c r="A18483" s="1" t="str">
        <f t="shared" si="701"/>
        <v>30900</v>
      </c>
      <c r="B18483" s="1" t="str">
        <f>"46994"</f>
        <v>46994</v>
      </c>
      <c r="C18483" s="2">
        <v>6.6558535596362101E-2</v>
      </c>
      <c r="D18483" s="2">
        <v>1.3950073421439E-2</v>
      </c>
      <c r="E18483" s="2">
        <v>3.4965034965034898E-2</v>
      </c>
      <c r="F18483" s="2">
        <v>6.2291787848342203E-2</v>
      </c>
    </row>
    <row r="18484" spans="1:6" x14ac:dyDescent="0.25">
      <c r="A18484" s="1" t="str">
        <f t="shared" si="701"/>
        <v>30900</v>
      </c>
      <c r="B18484" s="1" t="str">
        <f>"46970"</f>
        <v>46970</v>
      </c>
      <c r="C18484" s="2">
        <v>1.48873312865666E-2</v>
      </c>
      <c r="D18484" s="2">
        <v>2.93685756240822E-3</v>
      </c>
      <c r="E18484" s="2">
        <v>6.9930069930069904E-3</v>
      </c>
      <c r="F18484" s="2">
        <v>1.3907249748823401E-2</v>
      </c>
    </row>
    <row r="18485" spans="1:6" x14ac:dyDescent="0.25">
      <c r="A18485" s="1" t="str">
        <f t="shared" si="701"/>
        <v>30900</v>
      </c>
      <c r="B18485" s="1" t="str">
        <f>"46942"</f>
        <v>46942</v>
      </c>
      <c r="C18485" s="2">
        <v>0</v>
      </c>
      <c r="D18485" s="2">
        <v>0</v>
      </c>
      <c r="E18485" s="2">
        <v>3.49650349650349E-3</v>
      </c>
      <c r="F18485" s="2">
        <v>5.2879276611495902E-5</v>
      </c>
    </row>
    <row r="18486" spans="1:6" x14ac:dyDescent="0.25">
      <c r="A18486" s="1" t="str">
        <f t="shared" si="701"/>
        <v>30900</v>
      </c>
      <c r="B18486" s="1" t="str">
        <f>"46967"</f>
        <v>46967</v>
      </c>
      <c r="C18486" s="2">
        <v>2.4329490818513501E-3</v>
      </c>
      <c r="D18486" s="2">
        <v>1.46842878120411E-3</v>
      </c>
      <c r="E18486" s="2">
        <v>3.49650349650349E-3</v>
      </c>
      <c r="F18486" s="2">
        <v>2.3795674475173101E-3</v>
      </c>
    </row>
    <row r="18487" spans="1:6" x14ac:dyDescent="0.25">
      <c r="A18487" s="1" t="str">
        <f t="shared" si="701"/>
        <v>30900</v>
      </c>
      <c r="B18487" s="1" t="str">
        <f>"47926"</f>
        <v>47926</v>
      </c>
      <c r="C18487" s="2">
        <v>2.31709436366796E-4</v>
      </c>
      <c r="D18487" s="2">
        <v>0</v>
      </c>
      <c r="E18487" s="2">
        <v>0</v>
      </c>
      <c r="F18487" s="2">
        <v>2.1151710644598301E-4</v>
      </c>
    </row>
    <row r="18488" spans="1:6" x14ac:dyDescent="0.25">
      <c r="A18488" s="1" t="str">
        <f t="shared" si="701"/>
        <v>30900</v>
      </c>
      <c r="B18488" s="1" t="str">
        <f>"46947"</f>
        <v>46947</v>
      </c>
      <c r="C18488" s="2">
        <v>0.73666222556913596</v>
      </c>
      <c r="D18488" s="2">
        <v>0.91189427312775295</v>
      </c>
      <c r="E18488" s="2">
        <v>0.786713286713286</v>
      </c>
      <c r="F18488" s="2">
        <v>0.75003965945745799</v>
      </c>
    </row>
    <row r="18489" spans="1:6" x14ac:dyDescent="0.25">
      <c r="A18489" s="1" t="str">
        <f t="shared" si="701"/>
        <v>30900</v>
      </c>
      <c r="B18489" s="1" t="str">
        <f>"46917"</f>
        <v>46917</v>
      </c>
      <c r="C18489" s="2">
        <v>5.7927359091698999E-5</v>
      </c>
      <c r="D18489" s="2">
        <v>0</v>
      </c>
      <c r="E18489" s="2">
        <v>0</v>
      </c>
      <c r="F18489" s="2">
        <v>5.2879276611495902E-5</v>
      </c>
    </row>
    <row r="18490" spans="1:6" x14ac:dyDescent="0.25">
      <c r="A18490" s="1" t="str">
        <f t="shared" si="701"/>
        <v>30900</v>
      </c>
      <c r="B18490" s="1" t="str">
        <f>"46950"</f>
        <v>46950</v>
      </c>
      <c r="C18490" s="2">
        <v>1.7609917163876401E-2</v>
      </c>
      <c r="D18490" s="2">
        <v>4.40528634361233E-3</v>
      </c>
      <c r="E18490" s="2">
        <v>3.49650349650349E-3</v>
      </c>
      <c r="F18490" s="2">
        <v>1.6445455026175199E-2</v>
      </c>
    </row>
    <row r="18491" spans="1:6" x14ac:dyDescent="0.25">
      <c r="A18491" s="1" t="str">
        <f t="shared" ref="A18491:A18531" si="702">"30940"</f>
        <v>30940</v>
      </c>
      <c r="B18491" s="1" t="str">
        <f>"40944"</f>
        <v>40944</v>
      </c>
      <c r="C18491" s="2">
        <v>0</v>
      </c>
      <c r="D18491" s="2">
        <v>0</v>
      </c>
      <c r="E18491" s="2">
        <v>4.3196544276457801E-4</v>
      </c>
      <c r="F18491" s="2">
        <v>1.30089761935735E-5</v>
      </c>
    </row>
    <row r="18492" spans="1:6" x14ac:dyDescent="0.25">
      <c r="A18492" s="1" t="str">
        <f t="shared" si="702"/>
        <v>30940</v>
      </c>
      <c r="B18492" s="1" t="str">
        <f>"40932"</f>
        <v>40932</v>
      </c>
      <c r="C18492" s="2">
        <v>0</v>
      </c>
      <c r="D18492" s="2">
        <v>0</v>
      </c>
      <c r="E18492" s="2">
        <v>4.3196544276457801E-4</v>
      </c>
      <c r="F18492" s="2">
        <v>1.30089761935735E-5</v>
      </c>
    </row>
    <row r="18493" spans="1:6" x14ac:dyDescent="0.25">
      <c r="A18493" s="1" t="str">
        <f t="shared" si="702"/>
        <v>30940</v>
      </c>
      <c r="B18493" s="1" t="str">
        <f>"40949"</f>
        <v>40949</v>
      </c>
      <c r="C18493" s="2">
        <v>2.05650277846651E-3</v>
      </c>
      <c r="D18493" s="2">
        <v>3.3377837116154802E-4</v>
      </c>
      <c r="E18493" s="2">
        <v>8.63930885529157E-4</v>
      </c>
      <c r="F18493" s="2">
        <v>1.88630154806816E-3</v>
      </c>
    </row>
    <row r="18494" spans="1:6" x14ac:dyDescent="0.25">
      <c r="A18494" s="1" t="str">
        <f t="shared" si="702"/>
        <v>30940</v>
      </c>
      <c r="B18494" s="1" t="str">
        <f>"40914"</f>
        <v>40914</v>
      </c>
      <c r="C18494" s="2">
        <v>3.6900369003690001E-3</v>
      </c>
      <c r="D18494" s="2">
        <v>1.16822429906542E-3</v>
      </c>
      <c r="E18494" s="2">
        <v>1.29589632829373E-3</v>
      </c>
      <c r="F18494" s="2">
        <v>3.42136073890984E-3</v>
      </c>
    </row>
    <row r="18495" spans="1:6" x14ac:dyDescent="0.25">
      <c r="A18495" s="1" t="str">
        <f t="shared" si="702"/>
        <v>30940</v>
      </c>
      <c r="B18495" s="1" t="str">
        <f>"40951"</f>
        <v>40951</v>
      </c>
      <c r="C18495" s="2">
        <v>0</v>
      </c>
      <c r="D18495" s="2">
        <v>0</v>
      </c>
      <c r="E18495" s="2">
        <v>4.3196544276457801E-4</v>
      </c>
      <c r="F18495" s="2">
        <v>1.30089761935735E-5</v>
      </c>
    </row>
    <row r="18496" spans="1:6" x14ac:dyDescent="0.25">
      <c r="A18496" s="1" t="str">
        <f t="shared" si="702"/>
        <v>30940</v>
      </c>
      <c r="B18496" s="1" t="str">
        <f>"40741"</f>
        <v>40741</v>
      </c>
      <c r="C18496" s="2">
        <v>0.16179280369878701</v>
      </c>
      <c r="D18496" s="2">
        <v>0.23531375166889101</v>
      </c>
      <c r="E18496" s="2">
        <v>0.239308855291576</v>
      </c>
      <c r="F18496" s="2">
        <v>0.16985820215948999</v>
      </c>
    </row>
    <row r="18497" spans="1:6" x14ac:dyDescent="0.25">
      <c r="A18497" s="1" t="str">
        <f t="shared" si="702"/>
        <v>30940</v>
      </c>
      <c r="B18497" s="1" t="str">
        <f>"40915"</f>
        <v>40915</v>
      </c>
      <c r="C18497" s="2">
        <v>3.7337922786342399E-3</v>
      </c>
      <c r="D18497" s="2">
        <v>1.16822429906542E-3</v>
      </c>
      <c r="E18497" s="2">
        <v>1.7278617710583101E-3</v>
      </c>
      <c r="F18497" s="2">
        <v>3.47339664368414E-3</v>
      </c>
    </row>
    <row r="18498" spans="1:6" x14ac:dyDescent="0.25">
      <c r="A18498" s="1" t="str">
        <f t="shared" si="702"/>
        <v>30940</v>
      </c>
      <c r="B18498" s="1" t="str">
        <f>"40962"</f>
        <v>40962</v>
      </c>
      <c r="C18498" s="2">
        <v>0.11697271122908801</v>
      </c>
      <c r="D18498" s="2">
        <v>9.6128170894525994E-2</v>
      </c>
      <c r="E18498" s="2">
        <v>7.8185745140388702E-2</v>
      </c>
      <c r="F18498" s="2">
        <v>0.11417978405099501</v>
      </c>
    </row>
    <row r="18499" spans="1:6" x14ac:dyDescent="0.25">
      <c r="A18499" s="1" t="str">
        <f t="shared" si="702"/>
        <v>30940</v>
      </c>
      <c r="B18499" s="1" t="str">
        <f>"40740"</f>
        <v>40740</v>
      </c>
      <c r="C18499" s="2">
        <v>1.89314936627627E-2</v>
      </c>
      <c r="D18499" s="2">
        <v>2.1695594125500598E-3</v>
      </c>
      <c r="E18499" s="2">
        <v>3.0237580993520501E-3</v>
      </c>
      <c r="F18499" s="2">
        <v>1.7145830623129899E-2</v>
      </c>
    </row>
    <row r="18500" spans="1:6" x14ac:dyDescent="0.25">
      <c r="A18500" s="1" t="str">
        <f t="shared" si="702"/>
        <v>30940</v>
      </c>
      <c r="B18500" s="1" t="str">
        <f>"40906"</f>
        <v>40906</v>
      </c>
      <c r="C18500" s="2">
        <v>7.2940215568163505E-2</v>
      </c>
      <c r="D18500" s="2">
        <v>7.96061415220293E-2</v>
      </c>
      <c r="E18500" s="2">
        <v>0.124838012958963</v>
      </c>
      <c r="F18500" s="2">
        <v>7.5022765708338698E-2</v>
      </c>
    </row>
    <row r="18501" spans="1:6" x14ac:dyDescent="0.25">
      <c r="A18501" s="1" t="str">
        <f t="shared" si="702"/>
        <v>30940</v>
      </c>
      <c r="B18501" s="1" t="str">
        <f>"40759"</f>
        <v>40759</v>
      </c>
      <c r="C18501" s="2">
        <v>2.1002581567317598E-2</v>
      </c>
      <c r="D18501" s="2">
        <v>2.1695594125500598E-3</v>
      </c>
      <c r="E18501" s="2">
        <v>8.6393088552915703E-3</v>
      </c>
      <c r="F18501" s="2">
        <v>1.91622219331338E-2</v>
      </c>
    </row>
    <row r="18502" spans="1:6" x14ac:dyDescent="0.25">
      <c r="A18502" s="1" t="str">
        <f t="shared" si="702"/>
        <v>30940</v>
      </c>
      <c r="B18502" s="1" t="str">
        <f>"40941"</f>
        <v>40941</v>
      </c>
      <c r="C18502" s="2">
        <v>0</v>
      </c>
      <c r="D18502" s="2">
        <v>0</v>
      </c>
      <c r="E18502" s="2">
        <v>4.3196544276457801E-4</v>
      </c>
      <c r="F18502" s="2">
        <v>1.30089761935735E-5</v>
      </c>
    </row>
    <row r="18503" spans="1:6" x14ac:dyDescent="0.25">
      <c r="A18503" s="1" t="str">
        <f t="shared" si="702"/>
        <v>30940</v>
      </c>
      <c r="B18503" s="1" t="str">
        <f>"40744"</f>
        <v>40744</v>
      </c>
      <c r="C18503" s="2">
        <v>0.12600090427781699</v>
      </c>
      <c r="D18503" s="2">
        <v>5.7743658210947901E-2</v>
      </c>
      <c r="E18503" s="2">
        <v>5.3995680345572297E-2</v>
      </c>
      <c r="F18503" s="2">
        <v>0.118511773123455</v>
      </c>
    </row>
    <row r="18504" spans="1:6" x14ac:dyDescent="0.25">
      <c r="A18504" s="1" t="str">
        <f t="shared" si="702"/>
        <v>30940</v>
      </c>
      <c r="B18504" s="1" t="str">
        <f>"40913"</f>
        <v>40913</v>
      </c>
      <c r="C18504" s="2">
        <v>3.2087277394512998E-4</v>
      </c>
      <c r="D18504" s="2">
        <v>2.1695594125500598E-3</v>
      </c>
      <c r="E18504" s="2">
        <v>3.8876889848811999E-3</v>
      </c>
      <c r="F18504" s="2">
        <v>5.7239495251723603E-4</v>
      </c>
    </row>
    <row r="18505" spans="1:6" x14ac:dyDescent="0.25">
      <c r="A18505" s="1" t="str">
        <f t="shared" si="702"/>
        <v>30940</v>
      </c>
      <c r="B18505" s="1" t="str">
        <f>"40995"</f>
        <v>40995</v>
      </c>
      <c r="C18505" s="2">
        <v>5.8340504353660103E-4</v>
      </c>
      <c r="D18505" s="2">
        <v>1.6688918558077401E-4</v>
      </c>
      <c r="E18505" s="2">
        <v>4.3196544276457801E-4</v>
      </c>
      <c r="F18505" s="2">
        <v>5.4637700013008899E-4</v>
      </c>
    </row>
    <row r="18506" spans="1:6" x14ac:dyDescent="0.25">
      <c r="A18506" s="1" t="str">
        <f t="shared" si="702"/>
        <v>30940</v>
      </c>
      <c r="B18506" s="1" t="str">
        <f>"40940"</f>
        <v>40940</v>
      </c>
      <c r="C18506" s="2">
        <v>2.14401353499701E-3</v>
      </c>
      <c r="D18506" s="2">
        <v>1.6688918558077401E-4</v>
      </c>
      <c r="E18506" s="2">
        <v>0</v>
      </c>
      <c r="F18506" s="2">
        <v>1.9253284766488799E-3</v>
      </c>
    </row>
    <row r="18507" spans="1:6" x14ac:dyDescent="0.25">
      <c r="A18507" s="1" t="str">
        <f t="shared" si="702"/>
        <v>30940</v>
      </c>
      <c r="B18507" s="1" t="str">
        <f>"40769"</f>
        <v>40769</v>
      </c>
      <c r="C18507" s="2">
        <v>0.118445808964018</v>
      </c>
      <c r="D18507" s="2">
        <v>0.24549399198931901</v>
      </c>
      <c r="E18507" s="2">
        <v>0.10669546436285</v>
      </c>
      <c r="F18507" s="2">
        <v>0.12799531676857001</v>
      </c>
    </row>
    <row r="18508" spans="1:6" x14ac:dyDescent="0.25">
      <c r="A18508" s="1" t="str">
        <f t="shared" si="702"/>
        <v>30940</v>
      </c>
      <c r="B18508" s="1" t="str">
        <f>"40953"</f>
        <v>40953</v>
      </c>
      <c r="C18508" s="2">
        <v>5.9653165701617399E-3</v>
      </c>
      <c r="D18508" s="2">
        <v>6.6755674232309701E-4</v>
      </c>
      <c r="E18508" s="2">
        <v>6.4794816414686799E-3</v>
      </c>
      <c r="F18508" s="2">
        <v>5.56784181084948E-3</v>
      </c>
    </row>
    <row r="18509" spans="1:6" x14ac:dyDescent="0.25">
      <c r="A18509" s="1" t="str">
        <f t="shared" si="702"/>
        <v>30940</v>
      </c>
      <c r="B18509" s="1" t="str">
        <f>"40701"</f>
        <v>40701</v>
      </c>
      <c r="C18509" s="2">
        <v>0.22013330805244799</v>
      </c>
      <c r="D18509" s="2">
        <v>0.234145527369826</v>
      </c>
      <c r="E18509" s="2">
        <v>0.26220302375809901</v>
      </c>
      <c r="F18509" s="2">
        <v>0.22249251983868801</v>
      </c>
    </row>
    <row r="18510" spans="1:6" x14ac:dyDescent="0.25">
      <c r="A18510" s="1" t="str">
        <f t="shared" si="702"/>
        <v>30940</v>
      </c>
      <c r="B18510" s="1" t="str">
        <f>"40734"</f>
        <v>40734</v>
      </c>
      <c r="C18510" s="2">
        <v>2.4532182080714001E-2</v>
      </c>
      <c r="D18510" s="2">
        <v>1.0180240320427201E-2</v>
      </c>
      <c r="E18510" s="2">
        <v>5.31317494600431E-2</v>
      </c>
      <c r="F18510" s="2">
        <v>2.42747495772082E-2</v>
      </c>
    </row>
    <row r="18511" spans="1:6" x14ac:dyDescent="0.25">
      <c r="A18511" s="1" t="str">
        <f t="shared" si="702"/>
        <v>30940</v>
      </c>
      <c r="B18511" s="1" t="str">
        <f>"40935"</f>
        <v>40935</v>
      </c>
      <c r="C18511" s="2">
        <v>1.29224217143357E-2</v>
      </c>
      <c r="D18511" s="2">
        <v>3.3377837116154801E-3</v>
      </c>
      <c r="E18511" s="2">
        <v>2.15982721382289E-3</v>
      </c>
      <c r="F18511" s="2">
        <v>1.1851177312345499E-2</v>
      </c>
    </row>
    <row r="18512" spans="1:6" x14ac:dyDescent="0.25">
      <c r="A18512" s="1" t="str">
        <f t="shared" si="702"/>
        <v>30940</v>
      </c>
      <c r="B18512" s="1" t="str">
        <f>"40729"</f>
        <v>40729</v>
      </c>
      <c r="C18512" s="2">
        <v>3.9379840438720497E-2</v>
      </c>
      <c r="D18512" s="2">
        <v>1.10146862483311E-2</v>
      </c>
      <c r="E18512" s="2">
        <v>7.7753779697624101E-3</v>
      </c>
      <c r="F18512" s="2">
        <v>3.62169897229088E-2</v>
      </c>
    </row>
    <row r="18513" spans="1:6" x14ac:dyDescent="0.25">
      <c r="A18513" s="1" t="str">
        <f t="shared" si="702"/>
        <v>30940</v>
      </c>
      <c r="B18513" s="1" t="str">
        <f>"40946"</f>
        <v>40946</v>
      </c>
      <c r="C18513" s="2">
        <v>9.4803319574697704E-4</v>
      </c>
      <c r="D18513" s="2">
        <v>1.6688918558077401E-4</v>
      </c>
      <c r="E18513" s="2">
        <v>4.3196544276457801E-4</v>
      </c>
      <c r="F18513" s="2">
        <v>8.7160140496942795E-4</v>
      </c>
    </row>
    <row r="18514" spans="1:6" x14ac:dyDescent="0.25">
      <c r="A18514" s="1" t="str">
        <f t="shared" si="702"/>
        <v>30940</v>
      </c>
      <c r="B18514" s="1" t="str">
        <f>"40730"</f>
        <v>40730</v>
      </c>
      <c r="C18514" s="2">
        <v>0</v>
      </c>
      <c r="D18514" s="2">
        <v>0</v>
      </c>
      <c r="E18514" s="2">
        <v>4.3196544276457801E-4</v>
      </c>
      <c r="F18514" s="2">
        <v>1.30089761935735E-5</v>
      </c>
    </row>
    <row r="18515" spans="1:6" x14ac:dyDescent="0.25">
      <c r="A18515" s="1" t="str">
        <f t="shared" si="702"/>
        <v>30940</v>
      </c>
      <c r="B18515" s="1" t="str">
        <f>"40923"</f>
        <v>40923</v>
      </c>
      <c r="C18515" s="2">
        <v>4.2005163134635204E-3</v>
      </c>
      <c r="D18515" s="2">
        <v>1.6688918558077401E-4</v>
      </c>
      <c r="E18515" s="2">
        <v>4.3196544276457801E-4</v>
      </c>
      <c r="F18515" s="2">
        <v>3.77260309613633E-3</v>
      </c>
    </row>
    <row r="18516" spans="1:6" x14ac:dyDescent="0.25">
      <c r="A18516" s="1" t="str">
        <f t="shared" si="702"/>
        <v>30940</v>
      </c>
      <c r="B18516" s="1" t="str">
        <f>"40997"</f>
        <v>40997</v>
      </c>
      <c r="C18516" s="2">
        <v>2.2169391654390802E-3</v>
      </c>
      <c r="D18516" s="2">
        <v>3.3377837116154802E-4</v>
      </c>
      <c r="E18516" s="2">
        <v>1.29589632829373E-3</v>
      </c>
      <c r="F18516" s="2">
        <v>2.0424092623910401E-3</v>
      </c>
    </row>
    <row r="18517" spans="1:6" x14ac:dyDescent="0.25">
      <c r="A18517" s="1" t="str">
        <f t="shared" si="702"/>
        <v>30940</v>
      </c>
      <c r="B18517" s="1" t="str">
        <f>"40763"</f>
        <v>40763</v>
      </c>
      <c r="C18517" s="2">
        <v>2.6836632002683598E-3</v>
      </c>
      <c r="D18517" s="2">
        <v>5.0066755674232303E-4</v>
      </c>
      <c r="E18517" s="2">
        <v>2.15982721382289E-3</v>
      </c>
      <c r="F18517" s="2">
        <v>2.49772342916612E-3</v>
      </c>
    </row>
    <row r="18518" spans="1:6" x14ac:dyDescent="0.25">
      <c r="A18518" s="1" t="str">
        <f t="shared" si="702"/>
        <v>30940</v>
      </c>
      <c r="B18518" s="1" t="str">
        <f>"42635"</f>
        <v>42635</v>
      </c>
      <c r="C18518" s="2">
        <v>1.1668100870732E-4</v>
      </c>
      <c r="D18518" s="2">
        <v>0</v>
      </c>
      <c r="E18518" s="2">
        <v>0</v>
      </c>
      <c r="F18518" s="2">
        <v>1.04071809548588E-4</v>
      </c>
    </row>
    <row r="18519" spans="1:6" x14ac:dyDescent="0.25">
      <c r="A18519" s="1" t="str">
        <f t="shared" si="702"/>
        <v>30940</v>
      </c>
      <c r="B18519" s="1" t="str">
        <f>"40750"</f>
        <v>40750</v>
      </c>
      <c r="C18519" s="2">
        <v>0</v>
      </c>
      <c r="D18519" s="2">
        <v>0</v>
      </c>
      <c r="E18519" s="2">
        <v>4.3196544276457801E-4</v>
      </c>
      <c r="F18519" s="2">
        <v>1.30089761935735E-5</v>
      </c>
    </row>
    <row r="18520" spans="1:6" x14ac:dyDescent="0.25">
      <c r="A18520" s="1" t="str">
        <f t="shared" si="702"/>
        <v>30940</v>
      </c>
      <c r="B18520" s="1" t="str">
        <f>"40724"</f>
        <v>40724</v>
      </c>
      <c r="C18520" s="2">
        <v>0</v>
      </c>
      <c r="D18520" s="2">
        <v>0</v>
      </c>
      <c r="E18520" s="2">
        <v>4.3196544276457801E-4</v>
      </c>
      <c r="F18520" s="2">
        <v>1.30089761935735E-5</v>
      </c>
    </row>
    <row r="18521" spans="1:6" x14ac:dyDescent="0.25">
      <c r="A18521" s="1" t="str">
        <f t="shared" si="702"/>
        <v>30940</v>
      </c>
      <c r="B18521" s="1" t="str">
        <f>"40982"</f>
        <v>40982</v>
      </c>
      <c r="C18521" s="2">
        <v>1.3418316001341799E-3</v>
      </c>
      <c r="D18521" s="2">
        <v>3.3377837116154802E-4</v>
      </c>
      <c r="E18521" s="2">
        <v>4.3196544276457801E-4</v>
      </c>
      <c r="F18521" s="2">
        <v>1.2358527383894799E-3</v>
      </c>
    </row>
    <row r="18522" spans="1:6" x14ac:dyDescent="0.25">
      <c r="A18522" s="1" t="str">
        <f t="shared" si="702"/>
        <v>30940</v>
      </c>
      <c r="B18522" s="1" t="str">
        <f>"40972"</f>
        <v>40972</v>
      </c>
      <c r="C18522" s="2">
        <v>9.2615550661435397E-3</v>
      </c>
      <c r="D18522" s="2">
        <v>5.8411214953271E-3</v>
      </c>
      <c r="E18522" s="2">
        <v>9.5032397408207295E-3</v>
      </c>
      <c r="F18522" s="2">
        <v>9.0022115259529006E-3</v>
      </c>
    </row>
    <row r="18523" spans="1:6" x14ac:dyDescent="0.25">
      <c r="A18523" s="1" t="str">
        <f t="shared" si="702"/>
        <v>30940</v>
      </c>
      <c r="B18523" s="1" t="str">
        <f>"40402"</f>
        <v>40402</v>
      </c>
      <c r="C18523" s="2">
        <v>1.70645975234455E-3</v>
      </c>
      <c r="D18523" s="2">
        <v>4.33911882510013E-3</v>
      </c>
      <c r="E18523" s="2">
        <v>0</v>
      </c>
      <c r="F18523" s="2">
        <v>1.8602835956810101E-3</v>
      </c>
    </row>
    <row r="18524" spans="1:6" x14ac:dyDescent="0.25">
      <c r="A18524" s="1" t="str">
        <f t="shared" si="702"/>
        <v>30940</v>
      </c>
      <c r="B18524" s="1" t="str">
        <f>"40943"</f>
        <v>40943</v>
      </c>
      <c r="C18524" s="2">
        <v>2.5232268132958E-3</v>
      </c>
      <c r="D18524" s="2">
        <v>6.6755674232309701E-4</v>
      </c>
      <c r="E18524" s="2">
        <v>4.3196544276457801E-4</v>
      </c>
      <c r="F18524" s="2">
        <v>2.31559776245609E-3</v>
      </c>
    </row>
    <row r="18525" spans="1:6" x14ac:dyDescent="0.25">
      <c r="A18525" s="1" t="str">
        <f t="shared" si="702"/>
        <v>30940</v>
      </c>
      <c r="B18525" s="1" t="str">
        <f>"40737"</f>
        <v>40737</v>
      </c>
      <c r="C18525" s="2">
        <v>1.00345667488295E-2</v>
      </c>
      <c r="D18525" s="2">
        <v>1.66889185580774E-3</v>
      </c>
      <c r="E18525" s="2">
        <v>1.46868250539956E-2</v>
      </c>
      <c r="F18525" s="2">
        <v>9.5225705736958505E-3</v>
      </c>
    </row>
    <row r="18526" spans="1:6" x14ac:dyDescent="0.25">
      <c r="A18526" s="1" t="str">
        <f t="shared" si="702"/>
        <v>30940</v>
      </c>
      <c r="B18526" s="1" t="str">
        <f>"40903"</f>
        <v>40903</v>
      </c>
      <c r="C18526" s="2">
        <v>2.93161034377142E-3</v>
      </c>
      <c r="D18526" s="2">
        <v>1.6688918558077401E-4</v>
      </c>
      <c r="E18526" s="2">
        <v>4.3196544276457799E-3</v>
      </c>
      <c r="F18526" s="2">
        <v>2.7579029530375898E-3</v>
      </c>
    </row>
    <row r="18527" spans="1:6" x14ac:dyDescent="0.25">
      <c r="A18527" s="1" t="str">
        <f t="shared" si="702"/>
        <v>30940</v>
      </c>
      <c r="B18527" s="1" t="str">
        <f>"40939"</f>
        <v>40939</v>
      </c>
      <c r="C18527" s="2">
        <v>6.5633067397867604E-4</v>
      </c>
      <c r="D18527" s="2">
        <v>1.6688918558077401E-4</v>
      </c>
      <c r="E18527" s="2">
        <v>0</v>
      </c>
      <c r="F18527" s="2">
        <v>5.9841290490438405E-4</v>
      </c>
    </row>
    <row r="18528" spans="1:6" x14ac:dyDescent="0.25">
      <c r="A18528" s="1" t="str">
        <f t="shared" si="702"/>
        <v>30940</v>
      </c>
      <c r="B18528" s="1" t="str">
        <f>"40771"</f>
        <v>40771</v>
      </c>
      <c r="C18528" s="2">
        <v>5.0318685005031798E-3</v>
      </c>
      <c r="D18528" s="2">
        <v>8.3444592790387099E-4</v>
      </c>
      <c r="E18528" s="2">
        <v>6.9114470842332604E-3</v>
      </c>
      <c r="F18528" s="2">
        <v>4.7612852868479201E-3</v>
      </c>
    </row>
    <row r="18529" spans="1:6" x14ac:dyDescent="0.25">
      <c r="A18529" s="1" t="str">
        <f t="shared" si="702"/>
        <v>30940</v>
      </c>
      <c r="B18529" s="1" t="str">
        <f>"40983"</f>
        <v>40983</v>
      </c>
      <c r="C18529" s="2">
        <v>2.98995084812508E-3</v>
      </c>
      <c r="D18529" s="2">
        <v>1.50200267022696E-3</v>
      </c>
      <c r="E18529" s="2">
        <v>4.3196544276457801E-4</v>
      </c>
      <c r="F18529" s="2">
        <v>2.7969298816183101E-3</v>
      </c>
    </row>
    <row r="18530" spans="1:6" x14ac:dyDescent="0.25">
      <c r="A18530" s="1" t="str">
        <f t="shared" si="702"/>
        <v>30940</v>
      </c>
      <c r="B18530" s="1" t="str">
        <f>"40921"</f>
        <v>40921</v>
      </c>
      <c r="C18530" s="2">
        <v>1.80855563496346E-3</v>
      </c>
      <c r="D18530" s="2">
        <v>1.6688918558077401E-4</v>
      </c>
      <c r="E18530" s="2">
        <v>8.63930885529157E-4</v>
      </c>
      <c r="F18530" s="2">
        <v>1.65213997658384E-3</v>
      </c>
    </row>
    <row r="18531" spans="1:6" x14ac:dyDescent="0.25">
      <c r="A18531" s="1" t="str">
        <f t="shared" si="702"/>
        <v>30940</v>
      </c>
      <c r="B18531" s="1" t="str">
        <f>"40755"</f>
        <v>40755</v>
      </c>
      <c r="C18531" s="2">
        <v>0</v>
      </c>
      <c r="D18531" s="2">
        <v>0</v>
      </c>
      <c r="E18531" s="2">
        <v>4.3196544276457801E-4</v>
      </c>
      <c r="F18531" s="2">
        <v>1.30089761935735E-5</v>
      </c>
    </row>
    <row r="18532" spans="1:6" x14ac:dyDescent="0.25">
      <c r="A18532" s="1" t="str">
        <f t="shared" ref="A18532:A18563" si="703">"30980"</f>
        <v>30980</v>
      </c>
      <c r="B18532" s="1" t="str">
        <f>"75687"</f>
        <v>75687</v>
      </c>
      <c r="C18532" s="2">
        <v>0</v>
      </c>
      <c r="D18532" s="2">
        <v>0</v>
      </c>
      <c r="E18532" s="2">
        <v>2.0798668885191299E-4</v>
      </c>
      <c r="F18532" s="2">
        <v>5.85418398529428E-6</v>
      </c>
    </row>
    <row r="18533" spans="1:6" x14ac:dyDescent="0.25">
      <c r="A18533" s="1" t="str">
        <f t="shared" si="703"/>
        <v>30980</v>
      </c>
      <c r="B18533" s="1" t="str">
        <f>"75608"</f>
        <v>75608</v>
      </c>
      <c r="C18533" s="2">
        <v>1.03103016987512E-2</v>
      </c>
      <c r="D18533" s="2">
        <v>3.3290824887576301E-2</v>
      </c>
      <c r="E18533" s="2">
        <v>4.1597337770382599E-4</v>
      </c>
      <c r="F18533" s="2">
        <v>1.2036202273765E-2</v>
      </c>
    </row>
    <row r="18534" spans="1:6" x14ac:dyDescent="0.25">
      <c r="A18534" s="1" t="str">
        <f t="shared" si="703"/>
        <v>30980</v>
      </c>
      <c r="B18534" s="1" t="str">
        <f>"75606"</f>
        <v>75606</v>
      </c>
      <c r="C18534" s="2">
        <v>1.4148539815102799E-2</v>
      </c>
      <c r="D18534" s="2">
        <v>4.2754547285052603E-2</v>
      </c>
      <c r="E18534" s="2">
        <v>4.1597337770382599E-4</v>
      </c>
      <c r="F18534" s="2">
        <v>1.6257068927162201E-2</v>
      </c>
    </row>
    <row r="18535" spans="1:6" x14ac:dyDescent="0.25">
      <c r="A18535" s="1" t="str">
        <f t="shared" si="703"/>
        <v>30980</v>
      </c>
      <c r="B18535" s="1" t="str">
        <f>"75692"</f>
        <v>75692</v>
      </c>
      <c r="C18535" s="2">
        <v>1.4936040394147299E-2</v>
      </c>
      <c r="D18535" s="2">
        <v>8.0542318276394295E-3</v>
      </c>
      <c r="E18535" s="2">
        <v>4.1597337770382598E-3</v>
      </c>
      <c r="F18535" s="2">
        <v>1.40324790127504E-2</v>
      </c>
    </row>
    <row r="18536" spans="1:6" x14ac:dyDescent="0.25">
      <c r="A18536" s="1" t="str">
        <f t="shared" si="703"/>
        <v>30980</v>
      </c>
      <c r="B18536" s="1" t="str">
        <f>"75686"</f>
        <v>75686</v>
      </c>
      <c r="C18536" s="2">
        <v>2.9117668468873802E-3</v>
      </c>
      <c r="D18536" s="2">
        <v>4.02711591381971E-4</v>
      </c>
      <c r="E18536" s="2">
        <v>1.24792013311148E-3</v>
      </c>
      <c r="F18536" s="2">
        <v>2.6460911613530101E-3</v>
      </c>
    </row>
    <row r="18537" spans="1:6" x14ac:dyDescent="0.25">
      <c r="A18537" s="1" t="str">
        <f t="shared" si="703"/>
        <v>30980</v>
      </c>
      <c r="B18537" s="1" t="str">
        <f>"75601"</f>
        <v>75601</v>
      </c>
      <c r="C18537" s="2">
        <v>4.5794151319228898E-2</v>
      </c>
      <c r="D18537" s="2">
        <v>0.112490771192697</v>
      </c>
      <c r="E18537" s="2">
        <v>8.5482529118136405E-2</v>
      </c>
      <c r="F18537" s="2">
        <v>5.27286351555456E-2</v>
      </c>
    </row>
    <row r="18538" spans="1:6" x14ac:dyDescent="0.25">
      <c r="A18538" s="1" t="str">
        <f t="shared" si="703"/>
        <v>30980</v>
      </c>
      <c r="B18538" s="1" t="str">
        <f>"75650"</f>
        <v>75650</v>
      </c>
      <c r="C18538" s="2">
        <v>3.6350762022619103E-2</v>
      </c>
      <c r="D18538" s="2">
        <v>1.6913886838042801E-2</v>
      </c>
      <c r="E18538" s="2">
        <v>3.4733777038269499E-2</v>
      </c>
      <c r="F18538" s="2">
        <v>3.4609935721059797E-2</v>
      </c>
    </row>
    <row r="18539" spans="1:6" x14ac:dyDescent="0.25">
      <c r="A18539" s="1" t="str">
        <f t="shared" si="703"/>
        <v>30980</v>
      </c>
      <c r="B18539" s="1" t="str">
        <f>"75645"</f>
        <v>75645</v>
      </c>
      <c r="C18539" s="2">
        <v>3.2082376531159203E-2</v>
      </c>
      <c r="D18539" s="2">
        <v>5.43660648365662E-3</v>
      </c>
      <c r="E18539" s="2">
        <v>4.9916805324459199E-3</v>
      </c>
      <c r="F18539" s="2">
        <v>2.8995773279162598E-2</v>
      </c>
    </row>
    <row r="18540" spans="1:6" x14ac:dyDescent="0.25">
      <c r="A18540" s="1" t="str">
        <f t="shared" si="703"/>
        <v>30980</v>
      </c>
      <c r="B18540" s="1" t="str">
        <f>"75661"</f>
        <v>75661</v>
      </c>
      <c r="C18540" s="2">
        <v>1.65308945080106E-2</v>
      </c>
      <c r="D18540" s="2">
        <v>4.5640647023290097E-3</v>
      </c>
      <c r="E18540" s="2">
        <v>4.36772046589018E-3</v>
      </c>
      <c r="F18540" s="2">
        <v>1.51447739699563E-2</v>
      </c>
    </row>
    <row r="18541" spans="1:6" x14ac:dyDescent="0.25">
      <c r="A18541" s="1" t="str">
        <f t="shared" si="703"/>
        <v>30980</v>
      </c>
      <c r="B18541" s="1" t="str">
        <f>"75663"</f>
        <v>75663</v>
      </c>
      <c r="C18541" s="2">
        <v>1.63786885137415E-2</v>
      </c>
      <c r="D18541" s="2">
        <v>2.9465064769447599E-2</v>
      </c>
      <c r="E18541" s="2">
        <v>4.1597337770382599E-4</v>
      </c>
      <c r="F18541" s="2">
        <v>1.7070800501118099E-2</v>
      </c>
    </row>
    <row r="18542" spans="1:6" x14ac:dyDescent="0.25">
      <c r="A18542" s="1" t="str">
        <f t="shared" si="703"/>
        <v>30980</v>
      </c>
      <c r="B18542" s="1" t="str">
        <f>"75647"</f>
        <v>75647</v>
      </c>
      <c r="C18542" s="2">
        <v>4.2055177981748501E-2</v>
      </c>
      <c r="D18542" s="2">
        <v>3.0807436740720801E-2</v>
      </c>
      <c r="E18542" s="2">
        <v>1.28951747088186E-2</v>
      </c>
      <c r="F18542" s="2">
        <v>4.0253369082883503E-2</v>
      </c>
    </row>
    <row r="18543" spans="1:6" x14ac:dyDescent="0.25">
      <c r="A18543" s="1" t="str">
        <f t="shared" si="703"/>
        <v>30980</v>
      </c>
      <c r="B18543" s="1" t="str">
        <f>"75639"</f>
        <v>75639</v>
      </c>
      <c r="C18543" s="2">
        <v>2.2301486986387401E-3</v>
      </c>
      <c r="D18543" s="2">
        <v>8.0542318276394297E-4</v>
      </c>
      <c r="E18543" s="2">
        <v>0</v>
      </c>
      <c r="F18543" s="2">
        <v>2.0431102108676999E-3</v>
      </c>
    </row>
    <row r="18544" spans="1:6" x14ac:dyDescent="0.25">
      <c r="A18544" s="1" t="str">
        <f t="shared" si="703"/>
        <v>30980</v>
      </c>
      <c r="B18544" s="1" t="str">
        <f>"75672"</f>
        <v>75672</v>
      </c>
      <c r="C18544" s="2">
        <v>5.5561805560151098E-2</v>
      </c>
      <c r="D18544" s="2">
        <v>2.6310490636955501E-2</v>
      </c>
      <c r="E18544" s="2">
        <v>3.2653910149750401E-2</v>
      </c>
      <c r="F18544" s="2">
        <v>5.2365675748457401E-2</v>
      </c>
    </row>
    <row r="18545" spans="1:6" x14ac:dyDescent="0.25">
      <c r="A18545" s="1" t="str">
        <f t="shared" si="703"/>
        <v>30980</v>
      </c>
      <c r="B18545" s="1" t="str">
        <f>"75671"</f>
        <v>75671</v>
      </c>
      <c r="C18545" s="2">
        <v>1.0919125675827699E-2</v>
      </c>
      <c r="D18545" s="2">
        <v>2.5236593059936901E-2</v>
      </c>
      <c r="E18545" s="2">
        <v>4.1597337770382599E-4</v>
      </c>
      <c r="F18545" s="2">
        <v>1.18722851221768E-2</v>
      </c>
    </row>
    <row r="18546" spans="1:6" x14ac:dyDescent="0.25">
      <c r="A18546" s="1" t="str">
        <f t="shared" si="703"/>
        <v>30980</v>
      </c>
      <c r="B18546" s="1" t="str">
        <f>"75946"</f>
        <v>75946</v>
      </c>
      <c r="C18546" s="2">
        <v>2.8919138911131501E-3</v>
      </c>
      <c r="D18546" s="2">
        <v>0</v>
      </c>
      <c r="E18546" s="2">
        <v>2.0798668885191299E-4</v>
      </c>
      <c r="F18546" s="2">
        <v>2.5641325855588898E-3</v>
      </c>
    </row>
    <row r="18547" spans="1:6" x14ac:dyDescent="0.25">
      <c r="A18547" s="1" t="str">
        <f t="shared" si="703"/>
        <v>30980</v>
      </c>
      <c r="B18547" s="1" t="str">
        <f>"75693"</f>
        <v>75693</v>
      </c>
      <c r="C18547" s="2">
        <v>2.36448703271105E-2</v>
      </c>
      <c r="D18547" s="2">
        <v>2.7317269615410401E-2</v>
      </c>
      <c r="E18547" s="2">
        <v>1.99667221297836E-2</v>
      </c>
      <c r="F18547" s="2">
        <v>2.3861653924059499E-2</v>
      </c>
    </row>
    <row r="18548" spans="1:6" x14ac:dyDescent="0.25">
      <c r="A18548" s="1" t="str">
        <f t="shared" si="703"/>
        <v>30980</v>
      </c>
      <c r="B18548" s="1" t="str">
        <f>"75658"</f>
        <v>75658</v>
      </c>
      <c r="C18548" s="2">
        <v>0</v>
      </c>
      <c r="D18548" s="2">
        <v>6.7118598563661896E-5</v>
      </c>
      <c r="E18548" s="2">
        <v>0</v>
      </c>
      <c r="F18548" s="2">
        <v>5.85418398529428E-6</v>
      </c>
    </row>
    <row r="18549" spans="1:6" x14ac:dyDescent="0.25">
      <c r="A18549" s="1" t="str">
        <f t="shared" si="703"/>
        <v>30980</v>
      </c>
      <c r="B18549" s="1" t="str">
        <f>"75669"</f>
        <v>75669</v>
      </c>
      <c r="C18549" s="2">
        <v>3.8382381163515501E-4</v>
      </c>
      <c r="D18549" s="2">
        <v>3.3559299281830902E-4</v>
      </c>
      <c r="E18549" s="2">
        <v>0</v>
      </c>
      <c r="F18549" s="2">
        <v>3.6881359107354E-4</v>
      </c>
    </row>
    <row r="18550" spans="1:6" x14ac:dyDescent="0.25">
      <c r="A18550" s="1" t="str">
        <f t="shared" si="703"/>
        <v>30980</v>
      </c>
      <c r="B18550" s="1" t="str">
        <f>"75641"</f>
        <v>75641</v>
      </c>
      <c r="C18550" s="2">
        <v>0</v>
      </c>
      <c r="D18550" s="2">
        <v>0</v>
      </c>
      <c r="E18550" s="2">
        <v>2.0798668885191299E-4</v>
      </c>
      <c r="F18550" s="2">
        <v>5.85418398529428E-6</v>
      </c>
    </row>
    <row r="18551" spans="1:6" x14ac:dyDescent="0.25">
      <c r="A18551" s="1" t="str">
        <f t="shared" si="703"/>
        <v>30980</v>
      </c>
      <c r="B18551" s="1" t="str">
        <f>"75660"</f>
        <v>75660</v>
      </c>
      <c r="C18551" s="2">
        <v>3.9507381990722002E-3</v>
      </c>
      <c r="D18551" s="2">
        <v>7.1145714477481702E-3</v>
      </c>
      <c r="E18551" s="2">
        <v>4.1597337770382599E-4</v>
      </c>
      <c r="F18551" s="2">
        <v>4.1271997096324698E-3</v>
      </c>
    </row>
    <row r="18552" spans="1:6" x14ac:dyDescent="0.25">
      <c r="A18552" s="1" t="str">
        <f t="shared" si="703"/>
        <v>30980</v>
      </c>
      <c r="B18552" s="1" t="str">
        <f>"75494"</f>
        <v>75494</v>
      </c>
      <c r="C18552" s="2">
        <v>7.2132405979710202E-4</v>
      </c>
      <c r="D18552" s="2">
        <v>3.3559299281830902E-4</v>
      </c>
      <c r="E18552" s="2">
        <v>0</v>
      </c>
      <c r="F18552" s="2">
        <v>6.6737697432354905E-4</v>
      </c>
    </row>
    <row r="18553" spans="1:6" x14ac:dyDescent="0.25">
      <c r="A18553" s="1" t="str">
        <f t="shared" si="703"/>
        <v>30980</v>
      </c>
      <c r="B18553" s="1" t="str">
        <f>"75607"</f>
        <v>75607</v>
      </c>
      <c r="C18553" s="2">
        <v>1.35198628822521E-2</v>
      </c>
      <c r="D18553" s="2">
        <v>2.18806631317538E-2</v>
      </c>
      <c r="E18553" s="2">
        <v>4.1597337770382599E-4</v>
      </c>
      <c r="F18553" s="2">
        <v>1.3880270229132701E-2</v>
      </c>
    </row>
    <row r="18554" spans="1:6" x14ac:dyDescent="0.25">
      <c r="A18554" s="1" t="str">
        <f t="shared" si="703"/>
        <v>30980</v>
      </c>
      <c r="B18554" s="1" t="str">
        <f>"75604"</f>
        <v>75604</v>
      </c>
      <c r="C18554" s="2">
        <v>9.0953008053682297E-2</v>
      </c>
      <c r="D18554" s="2">
        <v>0.11356466876971601</v>
      </c>
      <c r="E18554" s="2">
        <v>0.10149750415973301</v>
      </c>
      <c r="F18554" s="2">
        <v>9.3222025781826201E-2</v>
      </c>
    </row>
    <row r="18555" spans="1:6" x14ac:dyDescent="0.25">
      <c r="A18555" s="1" t="str">
        <f t="shared" si="703"/>
        <v>30980</v>
      </c>
      <c r="B18555" s="1" t="str">
        <f>"75662"</f>
        <v>75662</v>
      </c>
      <c r="C18555" s="2">
        <v>7.7314027436784796E-2</v>
      </c>
      <c r="D18555" s="2">
        <v>8.93348546882341E-2</v>
      </c>
      <c r="E18555" s="2">
        <v>4.4925124792013299E-2</v>
      </c>
      <c r="F18555" s="2">
        <v>7.7450854125443405E-2</v>
      </c>
    </row>
    <row r="18556" spans="1:6" x14ac:dyDescent="0.25">
      <c r="A18556" s="1" t="str">
        <f t="shared" si="703"/>
        <v>30980</v>
      </c>
      <c r="B18556" s="1" t="str">
        <f>"75765"</f>
        <v>75765</v>
      </c>
      <c r="C18556" s="2">
        <v>2.9779433661348198E-4</v>
      </c>
      <c r="D18556" s="2">
        <v>0</v>
      </c>
      <c r="E18556" s="2">
        <v>0</v>
      </c>
      <c r="F18556" s="2">
        <v>2.6343827933824297E-4</v>
      </c>
    </row>
    <row r="18557" spans="1:6" x14ac:dyDescent="0.25">
      <c r="A18557" s="1" t="str">
        <f t="shared" si="703"/>
        <v>30980</v>
      </c>
      <c r="B18557" s="1" t="str">
        <f>"75666"</f>
        <v>75666</v>
      </c>
      <c r="C18557" s="2">
        <v>3.5735320393617898E-3</v>
      </c>
      <c r="D18557" s="2">
        <v>1.67796496409154E-3</v>
      </c>
      <c r="E18557" s="2">
        <v>2.0798668885191299E-4</v>
      </c>
      <c r="F18557" s="2">
        <v>3.3134681356765598E-3</v>
      </c>
    </row>
    <row r="18558" spans="1:6" x14ac:dyDescent="0.25">
      <c r="A18558" s="1" t="str">
        <f t="shared" si="703"/>
        <v>30980</v>
      </c>
      <c r="B18558" s="1" t="str">
        <f>"75760"</f>
        <v>75760</v>
      </c>
      <c r="C18558" s="2">
        <v>1.62794237348703E-3</v>
      </c>
      <c r="D18558" s="2">
        <v>1.3423719712732301E-4</v>
      </c>
      <c r="E18558" s="2">
        <v>0</v>
      </c>
      <c r="F18558" s="2">
        <v>1.45183762835298E-3</v>
      </c>
    </row>
    <row r="18559" spans="1:6" x14ac:dyDescent="0.25">
      <c r="A18559" s="1" t="str">
        <f t="shared" si="703"/>
        <v>30980</v>
      </c>
      <c r="B18559" s="1" t="str">
        <f>"75644"</f>
        <v>75644</v>
      </c>
      <c r="C18559" s="2">
        <v>3.6297820807221097E-2</v>
      </c>
      <c r="D18559" s="2">
        <v>4.1143700919524802E-2</v>
      </c>
      <c r="E18559" s="2">
        <v>2.1838602329450899E-2</v>
      </c>
      <c r="F18559" s="2">
        <v>3.6313503260780401E-2</v>
      </c>
    </row>
    <row r="18560" spans="1:6" x14ac:dyDescent="0.25">
      <c r="A18560" s="1" t="str">
        <f t="shared" si="703"/>
        <v>30980</v>
      </c>
      <c r="B18560" s="1" t="str">
        <f>"75615"</f>
        <v>75615</v>
      </c>
      <c r="C18560" s="2">
        <v>5.4794157936880802E-3</v>
      </c>
      <c r="D18560" s="2">
        <v>4.5640647023290097E-3</v>
      </c>
      <c r="E18560" s="2">
        <v>4.1597337770382599E-4</v>
      </c>
      <c r="F18560" s="2">
        <v>5.2570572187942699E-3</v>
      </c>
    </row>
    <row r="18561" spans="1:6" x14ac:dyDescent="0.25">
      <c r="A18561" s="1" t="str">
        <f t="shared" si="703"/>
        <v>30980</v>
      </c>
      <c r="B18561" s="1" t="str">
        <f>"75684"</f>
        <v>75684</v>
      </c>
      <c r="C18561" s="2">
        <v>2.1924280826676999E-2</v>
      </c>
      <c r="D18561" s="2">
        <v>1.44304986911873E-2</v>
      </c>
      <c r="E18561" s="2">
        <v>2.4958402662229599E-2</v>
      </c>
      <c r="F18561" s="2">
        <v>2.13560631783535E-2</v>
      </c>
    </row>
    <row r="18562" spans="1:6" x14ac:dyDescent="0.25">
      <c r="A18562" s="1" t="str">
        <f t="shared" si="703"/>
        <v>30980</v>
      </c>
      <c r="B18562" s="1" t="str">
        <f>"75691"</f>
        <v>75691</v>
      </c>
      <c r="C18562" s="2">
        <v>1.0852949156580201E-2</v>
      </c>
      <c r="D18562" s="2">
        <v>3.4230485267467601E-3</v>
      </c>
      <c r="E18562" s="2">
        <v>7.0715474209650502E-3</v>
      </c>
      <c r="F18562" s="2">
        <v>1.0098467374632601E-2</v>
      </c>
    </row>
    <row r="18563" spans="1:6" x14ac:dyDescent="0.25">
      <c r="A18563" s="1" t="str">
        <f t="shared" si="703"/>
        <v>30980</v>
      </c>
      <c r="B18563" s="1" t="str">
        <f>"75605"</f>
        <v>75605</v>
      </c>
      <c r="C18563" s="2">
        <v>0.113466259901661</v>
      </c>
      <c r="D18563" s="2">
        <v>9.0073159272434297E-2</v>
      </c>
      <c r="E18563" s="2">
        <v>0.14163893510815301</v>
      </c>
      <c r="F18563" s="2">
        <v>0.112218852814106</v>
      </c>
    </row>
    <row r="18564" spans="1:6" x14ac:dyDescent="0.25">
      <c r="A18564" s="1" t="str">
        <f t="shared" ref="A18564:A18586" si="704">"30980"</f>
        <v>30980</v>
      </c>
      <c r="B18564" s="1" t="str">
        <f>"75651"</f>
        <v>75651</v>
      </c>
      <c r="C18564" s="2">
        <v>6.6705931401420098E-3</v>
      </c>
      <c r="D18564" s="2">
        <v>9.3966037989126703E-4</v>
      </c>
      <c r="E18564" s="2">
        <v>1.45590682196339E-3</v>
      </c>
      <c r="F18564" s="2">
        <v>6.0239553208678203E-3</v>
      </c>
    </row>
    <row r="18565" spans="1:6" x14ac:dyDescent="0.25">
      <c r="A18565" s="1" t="str">
        <f t="shared" si="704"/>
        <v>30980</v>
      </c>
      <c r="B18565" s="1" t="str">
        <f>"75652"</f>
        <v>75652</v>
      </c>
      <c r="C18565" s="2">
        <v>4.1400030441198797E-2</v>
      </c>
      <c r="D18565" s="2">
        <v>4.3559970467816601E-2</v>
      </c>
      <c r="E18565" s="2">
        <v>3.5357737104825197E-2</v>
      </c>
      <c r="F18565" s="2">
        <v>4.1418351695957097E-2</v>
      </c>
    </row>
    <row r="18566" spans="1:6" x14ac:dyDescent="0.25">
      <c r="A18566" s="1" t="str">
        <f t="shared" si="704"/>
        <v>30980</v>
      </c>
      <c r="B18566" s="1" t="str">
        <f>"75681"</f>
        <v>75681</v>
      </c>
      <c r="C18566" s="2">
        <v>1.2275744320400199E-2</v>
      </c>
      <c r="D18566" s="2">
        <v>3.35592992818309E-3</v>
      </c>
      <c r="E18566" s="2">
        <v>3.7437603993344401E-3</v>
      </c>
      <c r="F18566" s="2">
        <v>1.1257595803720899E-2</v>
      </c>
    </row>
    <row r="18567" spans="1:6" x14ac:dyDescent="0.25">
      <c r="A18567" s="1" t="str">
        <f t="shared" si="704"/>
        <v>30980</v>
      </c>
      <c r="B18567" s="1" t="str">
        <f>"75683"</f>
        <v>75683</v>
      </c>
      <c r="C18567" s="2">
        <v>1.0528684212267801E-2</v>
      </c>
      <c r="D18567" s="2">
        <v>4.5640647023290097E-3</v>
      </c>
      <c r="E18567" s="2">
        <v>7.2795341098169694E-2</v>
      </c>
      <c r="F18567" s="2">
        <v>1.1761055626456201E-2</v>
      </c>
    </row>
    <row r="18568" spans="1:6" x14ac:dyDescent="0.25">
      <c r="A18568" s="1" t="str">
        <f t="shared" si="704"/>
        <v>30980</v>
      </c>
      <c r="B18568" s="1" t="str">
        <f>"75694"</f>
        <v>75694</v>
      </c>
      <c r="C18568" s="2">
        <v>0</v>
      </c>
      <c r="D18568" s="2">
        <v>0</v>
      </c>
      <c r="E18568" s="2">
        <v>2.0798668885191299E-4</v>
      </c>
      <c r="F18568" s="2">
        <v>5.85418398529428E-6</v>
      </c>
    </row>
    <row r="18569" spans="1:6" x14ac:dyDescent="0.25">
      <c r="A18569" s="1" t="str">
        <f t="shared" si="704"/>
        <v>30980</v>
      </c>
      <c r="B18569" s="1" t="str">
        <f>"75633"</f>
        <v>75633</v>
      </c>
      <c r="C18569" s="2">
        <v>3.3088259623720301E-5</v>
      </c>
      <c r="D18569" s="2">
        <v>0</v>
      </c>
      <c r="E18569" s="2">
        <v>0</v>
      </c>
      <c r="F18569" s="2">
        <v>2.92709199264714E-5</v>
      </c>
    </row>
    <row r="18570" spans="1:6" x14ac:dyDescent="0.25">
      <c r="A18570" s="1" t="str">
        <f t="shared" si="704"/>
        <v>30980</v>
      </c>
      <c r="B18570" s="1" t="str">
        <f>"75659"</f>
        <v>75659</v>
      </c>
      <c r="C18570" s="2">
        <v>0</v>
      </c>
      <c r="D18570" s="2">
        <v>0</v>
      </c>
      <c r="E18570" s="2">
        <v>2.0798668885191299E-4</v>
      </c>
      <c r="F18570" s="2">
        <v>5.85418398529428E-6</v>
      </c>
    </row>
    <row r="18571" spans="1:6" x14ac:dyDescent="0.25">
      <c r="A18571" s="1" t="str">
        <f t="shared" si="704"/>
        <v>30980</v>
      </c>
      <c r="B18571" s="1" t="str">
        <f>"75680"</f>
        <v>75680</v>
      </c>
      <c r="C18571" s="2">
        <v>0</v>
      </c>
      <c r="D18571" s="2">
        <v>6.7118598563661896E-5</v>
      </c>
      <c r="E18571" s="2">
        <v>0</v>
      </c>
      <c r="F18571" s="2">
        <v>5.85418398529428E-6</v>
      </c>
    </row>
    <row r="18572" spans="1:6" x14ac:dyDescent="0.25">
      <c r="A18572" s="1" t="str">
        <f t="shared" si="704"/>
        <v>30980</v>
      </c>
      <c r="B18572" s="1" t="str">
        <f>"75451"</f>
        <v>75451</v>
      </c>
      <c r="C18572" s="2">
        <v>1.2573538657013701E-4</v>
      </c>
      <c r="D18572" s="2">
        <v>0</v>
      </c>
      <c r="E18572" s="2">
        <v>0</v>
      </c>
      <c r="F18572" s="2">
        <v>1.11229495720591E-4</v>
      </c>
    </row>
    <row r="18573" spans="1:6" x14ac:dyDescent="0.25">
      <c r="A18573" s="1" t="str">
        <f t="shared" si="704"/>
        <v>30980</v>
      </c>
      <c r="B18573" s="1" t="str">
        <f>"75642"</f>
        <v>75642</v>
      </c>
      <c r="C18573" s="2">
        <v>0</v>
      </c>
      <c r="D18573" s="2">
        <v>0</v>
      </c>
      <c r="E18573" s="2">
        <v>2.0798668885191299E-4</v>
      </c>
      <c r="F18573" s="2">
        <v>5.85418398529428E-6</v>
      </c>
    </row>
    <row r="18574" spans="1:6" x14ac:dyDescent="0.25">
      <c r="A18574" s="1" t="str">
        <f t="shared" si="704"/>
        <v>30980</v>
      </c>
      <c r="B18574" s="1" t="str">
        <f>"75755"</f>
        <v>75755</v>
      </c>
      <c r="C18574" s="2">
        <v>2.19176631747523E-2</v>
      </c>
      <c r="D18574" s="2">
        <v>5.5037250822202802E-3</v>
      </c>
      <c r="E18574" s="2">
        <v>1.2271214642262799E-2</v>
      </c>
      <c r="F18574" s="2">
        <v>2.0214497301221102E-2</v>
      </c>
    </row>
    <row r="18575" spans="1:6" x14ac:dyDescent="0.25">
      <c r="A18575" s="1" t="str">
        <f t="shared" si="704"/>
        <v>30980</v>
      </c>
      <c r="B18575" s="1" t="str">
        <f>"75602"</f>
        <v>75602</v>
      </c>
      <c r="C18575" s="2">
        <v>6.3516223173693501E-2</v>
      </c>
      <c r="D18575" s="2">
        <v>5.4366064836566197E-2</v>
      </c>
      <c r="E18575" s="2">
        <v>9.7753743760399303E-2</v>
      </c>
      <c r="F18575" s="2">
        <v>6.3681813392031203E-2</v>
      </c>
    </row>
    <row r="18576" spans="1:6" x14ac:dyDescent="0.25">
      <c r="A18576" s="1" t="str">
        <f t="shared" si="704"/>
        <v>30980</v>
      </c>
      <c r="B18576" s="1" t="str">
        <f>"75670"</f>
        <v>75670</v>
      </c>
      <c r="C18576" s="2">
        <v>5.3146362607619499E-2</v>
      </c>
      <c r="D18576" s="2">
        <v>9.0140277870998001E-2</v>
      </c>
      <c r="E18576" s="2">
        <v>6.1772046589018297E-2</v>
      </c>
      <c r="F18576" s="2">
        <v>5.6615813321780999E-2</v>
      </c>
    </row>
    <row r="18577" spans="1:6" x14ac:dyDescent="0.25">
      <c r="A18577" s="1" t="str">
        <f t="shared" si="704"/>
        <v>30980</v>
      </c>
      <c r="B18577" s="1" t="str">
        <f>"75667"</f>
        <v>75667</v>
      </c>
      <c r="C18577" s="2">
        <v>4.1823560164382396E-3</v>
      </c>
      <c r="D18577" s="2">
        <v>6.7118598563661901E-4</v>
      </c>
      <c r="E18577" s="2">
        <v>6.2396006655573999E-4</v>
      </c>
      <c r="F18577" s="2">
        <v>3.7759486705148098E-3</v>
      </c>
    </row>
    <row r="18578" spans="1:6" x14ac:dyDescent="0.25">
      <c r="A18578" s="1" t="str">
        <f t="shared" si="704"/>
        <v>30980</v>
      </c>
      <c r="B18578" s="1" t="str">
        <f>"75657"</f>
        <v>75657</v>
      </c>
      <c r="C18578" s="2">
        <v>1.3367656887983E-3</v>
      </c>
      <c r="D18578" s="2">
        <v>2.6847439425464699E-4</v>
      </c>
      <c r="E18578" s="2">
        <v>0</v>
      </c>
      <c r="F18578" s="2">
        <v>1.2059619009706199E-3</v>
      </c>
    </row>
    <row r="18579" spans="1:6" x14ac:dyDescent="0.25">
      <c r="A18579" s="1" t="str">
        <f t="shared" si="704"/>
        <v>30980</v>
      </c>
      <c r="B18579" s="1" t="str">
        <f>"75784"</f>
        <v>75784</v>
      </c>
      <c r="C18579" s="2">
        <v>2.0183838370469299E-3</v>
      </c>
      <c r="D18579" s="2">
        <v>0</v>
      </c>
      <c r="E18579" s="2">
        <v>4.1597337770382599E-4</v>
      </c>
      <c r="F18579" s="2">
        <v>1.7972344834853401E-3</v>
      </c>
    </row>
    <row r="18580" spans="1:6" x14ac:dyDescent="0.25">
      <c r="A18580" s="1" t="str">
        <f t="shared" si="704"/>
        <v>30980</v>
      </c>
      <c r="B18580" s="1" t="str">
        <f>"75603"</f>
        <v>75603</v>
      </c>
      <c r="C18580" s="2">
        <v>2.1672810053536801E-2</v>
      </c>
      <c r="D18580" s="2">
        <v>1.8323377407879701E-2</v>
      </c>
      <c r="E18580" s="2">
        <v>9.3594009983360999E-3</v>
      </c>
      <c r="F18580" s="2">
        <v>2.1034083059162299E-2</v>
      </c>
    </row>
    <row r="18581" spans="1:6" x14ac:dyDescent="0.25">
      <c r="A18581" s="1" t="str">
        <f t="shared" si="704"/>
        <v>30980</v>
      </c>
      <c r="B18581" s="1" t="str">
        <f>"75640"</f>
        <v>75640</v>
      </c>
      <c r="C18581" s="2">
        <v>1.6689718154204499E-2</v>
      </c>
      <c r="D18581" s="2">
        <v>2.8860997382374599E-3</v>
      </c>
      <c r="E18581" s="2">
        <v>0.101289517470881</v>
      </c>
      <c r="F18581" s="2">
        <v>1.7866969523118101E-2</v>
      </c>
    </row>
    <row r="18582" spans="1:6" x14ac:dyDescent="0.25">
      <c r="A18582" s="1" t="str">
        <f t="shared" si="704"/>
        <v>30980</v>
      </c>
      <c r="B18582" s="1" t="str">
        <f>"75654"</f>
        <v>75654</v>
      </c>
      <c r="C18582" s="2">
        <v>3.7078703734340898E-2</v>
      </c>
      <c r="D18582" s="2">
        <v>2.31559165044633E-2</v>
      </c>
      <c r="E18582" s="2">
        <v>5.6156405990016603E-2</v>
      </c>
      <c r="F18582" s="2">
        <v>3.64013160205598E-2</v>
      </c>
    </row>
    <row r="18583" spans="1:6" x14ac:dyDescent="0.25">
      <c r="A18583" s="1" t="str">
        <f t="shared" si="704"/>
        <v>30980</v>
      </c>
      <c r="B18583" s="1" t="str">
        <f>"75975"</f>
        <v>75975</v>
      </c>
      <c r="C18583" s="2">
        <v>2.9779433661348198E-4</v>
      </c>
      <c r="D18583" s="2">
        <v>1.3423719712732301E-4</v>
      </c>
      <c r="E18583" s="2">
        <v>0</v>
      </c>
      <c r="F18583" s="2">
        <v>2.7514664730883098E-4</v>
      </c>
    </row>
    <row r="18584" spans="1:6" x14ac:dyDescent="0.25">
      <c r="A18584" s="1" t="str">
        <f t="shared" si="704"/>
        <v>30980</v>
      </c>
      <c r="B18584" s="1" t="str">
        <f>"75688"</f>
        <v>75688</v>
      </c>
      <c r="C18584" s="2">
        <v>0</v>
      </c>
      <c r="D18584" s="2">
        <v>0</v>
      </c>
      <c r="E18584" s="2">
        <v>2.0798668885191299E-4</v>
      </c>
      <c r="F18584" s="2">
        <v>5.85418398529428E-6</v>
      </c>
    </row>
    <row r="18585" spans="1:6" x14ac:dyDescent="0.25">
      <c r="A18585" s="1" t="str">
        <f t="shared" si="704"/>
        <v>30980</v>
      </c>
      <c r="B18585" s="1" t="str">
        <f>"75689"</f>
        <v>75689</v>
      </c>
      <c r="C18585" s="2">
        <v>0</v>
      </c>
      <c r="D18585" s="2">
        <v>6.7118598563661896E-5</v>
      </c>
      <c r="E18585" s="2">
        <v>0</v>
      </c>
      <c r="F18585" s="2">
        <v>5.85418398529428E-6</v>
      </c>
    </row>
    <row r="18586" spans="1:6" x14ac:dyDescent="0.25">
      <c r="A18586" s="1" t="str">
        <f t="shared" si="704"/>
        <v>30980</v>
      </c>
      <c r="B18586" s="1" t="str">
        <f>"75682"</f>
        <v>75682</v>
      </c>
      <c r="C18586" s="2">
        <v>0</v>
      </c>
      <c r="D18586" s="2">
        <v>6.7118598563661896E-5</v>
      </c>
      <c r="E18586" s="2">
        <v>0</v>
      </c>
      <c r="F18586" s="2">
        <v>5.85418398529428E-6</v>
      </c>
    </row>
    <row r="18587" spans="1:6" x14ac:dyDescent="0.25">
      <c r="A18587" s="1" t="str">
        <f t="shared" ref="A18587:A18598" si="705">"31020"</f>
        <v>31020</v>
      </c>
      <c r="B18587" s="1" t="str">
        <f>"98611"</f>
        <v>98611</v>
      </c>
      <c r="C18587" s="2">
        <v>8.6370795886222498E-2</v>
      </c>
      <c r="D18587" s="2">
        <v>1.7227877838684399E-2</v>
      </c>
      <c r="E18587" s="2">
        <v>3.4968431277319002E-2</v>
      </c>
      <c r="F18587" s="2">
        <v>8.0177094645392993E-2</v>
      </c>
    </row>
    <row r="18588" spans="1:6" x14ac:dyDescent="0.25">
      <c r="A18588" s="1" t="str">
        <f t="shared" si="705"/>
        <v>31020</v>
      </c>
      <c r="B18588" s="1" t="str">
        <f>"98645"</f>
        <v>98645</v>
      </c>
      <c r="C18588" s="2">
        <v>1.56212359862874E-2</v>
      </c>
      <c r="D18588" s="2">
        <v>1.8271991647089501E-3</v>
      </c>
      <c r="E18588" s="2">
        <v>2.42836328314715E-3</v>
      </c>
      <c r="F18588" s="2">
        <v>1.42845209255701E-2</v>
      </c>
    </row>
    <row r="18589" spans="1:6" x14ac:dyDescent="0.25">
      <c r="A18589" s="1" t="str">
        <f t="shared" si="705"/>
        <v>31020</v>
      </c>
      <c r="B18589" s="1" t="str">
        <f>"98616"</f>
        <v>98616</v>
      </c>
      <c r="C18589" s="2">
        <v>2.9278235893634699E-3</v>
      </c>
      <c r="D18589" s="2">
        <v>1.3051422605063899E-3</v>
      </c>
      <c r="E18589" s="2">
        <v>4.8567265662943099E-4</v>
      </c>
      <c r="F18589" s="2">
        <v>2.7399548909865499E-3</v>
      </c>
    </row>
    <row r="18590" spans="1:6" x14ac:dyDescent="0.25">
      <c r="A18590" s="1" t="str">
        <f t="shared" si="705"/>
        <v>31020</v>
      </c>
      <c r="B18590" s="1" t="str">
        <f>"98626"</f>
        <v>98626</v>
      </c>
      <c r="C18590" s="2">
        <v>0.229426480126007</v>
      </c>
      <c r="D18590" s="2">
        <v>0.223440354998694</v>
      </c>
      <c r="E18590" s="2">
        <v>0.25109276347741599</v>
      </c>
      <c r="F18590" s="2">
        <v>0.229788655918469</v>
      </c>
    </row>
    <row r="18591" spans="1:6" x14ac:dyDescent="0.25">
      <c r="A18591" s="1" t="str">
        <f t="shared" si="705"/>
        <v>31020</v>
      </c>
      <c r="B18591" s="1" t="str">
        <f>"98674"</f>
        <v>98674</v>
      </c>
      <c r="C18591" s="2">
        <v>0.12107847679051199</v>
      </c>
      <c r="D18591" s="2">
        <v>0.15400678673975399</v>
      </c>
      <c r="E18591" s="2">
        <v>9.2763477416221402E-2</v>
      </c>
      <c r="F18591" s="2">
        <v>0.122212012363211</v>
      </c>
    </row>
    <row r="18592" spans="1:6" x14ac:dyDescent="0.25">
      <c r="A18592" s="1" t="str">
        <f t="shared" si="705"/>
        <v>31020</v>
      </c>
      <c r="B18592" s="1" t="str">
        <f>"98581"</f>
        <v>98581</v>
      </c>
      <c r="C18592" s="2">
        <v>5.4294450106550504E-3</v>
      </c>
      <c r="D18592" s="2">
        <v>1.8271991647089501E-3</v>
      </c>
      <c r="E18592" s="2">
        <v>9.7134531325886295E-4</v>
      </c>
      <c r="F18592" s="2">
        <v>5.0455266894996204E-3</v>
      </c>
    </row>
    <row r="18593" spans="1:6" x14ac:dyDescent="0.25">
      <c r="A18593" s="1" t="str">
        <f t="shared" si="705"/>
        <v>31020</v>
      </c>
      <c r="B18593" s="1" t="str">
        <f>"98601"</f>
        <v>98601</v>
      </c>
      <c r="C18593" s="2">
        <v>1.6862781432409801E-3</v>
      </c>
      <c r="D18593" s="2">
        <v>5.2205690420255801E-4</v>
      </c>
      <c r="E18593" s="2">
        <v>0</v>
      </c>
      <c r="F18593" s="2">
        <v>1.5537549076935901E-3</v>
      </c>
    </row>
    <row r="18594" spans="1:6" x14ac:dyDescent="0.25">
      <c r="A18594" s="1" t="str">
        <f t="shared" si="705"/>
        <v>31020</v>
      </c>
      <c r="B18594" s="1" t="str">
        <f>"98625"</f>
        <v>98625</v>
      </c>
      <c r="C18594" s="2">
        <v>6.2003150189937899E-2</v>
      </c>
      <c r="D18594" s="2">
        <v>1.4617593317671601E-2</v>
      </c>
      <c r="E18594" s="2">
        <v>3.0597377367654201E-2</v>
      </c>
      <c r="F18594" s="2">
        <v>5.7889900593099897E-2</v>
      </c>
    </row>
    <row r="18595" spans="1:6" x14ac:dyDescent="0.25">
      <c r="A18595" s="1" t="str">
        <f t="shared" si="705"/>
        <v>31020</v>
      </c>
      <c r="B18595" s="1" t="str">
        <f>"98649"</f>
        <v>98649</v>
      </c>
      <c r="C18595" s="2">
        <v>1.14333364217548E-2</v>
      </c>
      <c r="D18595" s="2">
        <v>2.0882276168102299E-3</v>
      </c>
      <c r="E18595" s="2">
        <v>2.91403593977659E-3</v>
      </c>
      <c r="F18595" s="2">
        <v>1.0542143513490899E-2</v>
      </c>
    </row>
    <row r="18596" spans="1:6" x14ac:dyDescent="0.25">
      <c r="A18596" s="1" t="str">
        <f t="shared" si="705"/>
        <v>31020</v>
      </c>
      <c r="B18596" s="1" t="str">
        <f>"98603"</f>
        <v>98603</v>
      </c>
      <c r="C18596" s="2">
        <v>1.30825535069026E-2</v>
      </c>
      <c r="D18596" s="2">
        <v>3.3933698773166202E-3</v>
      </c>
      <c r="E18596" s="2">
        <v>3.88538125303545E-3</v>
      </c>
      <c r="F18596" s="2">
        <v>1.21460195472391E-2</v>
      </c>
    </row>
    <row r="18597" spans="1:6" x14ac:dyDescent="0.25">
      <c r="A18597" s="1" t="str">
        <f t="shared" si="705"/>
        <v>31020</v>
      </c>
      <c r="B18597" s="1" t="str">
        <f>"98632"</f>
        <v>98632</v>
      </c>
      <c r="C18597" s="2">
        <v>0.45064393588436902</v>
      </c>
      <c r="D18597" s="2">
        <v>0.57974419211693995</v>
      </c>
      <c r="E18597" s="2">
        <v>0.57940747935891201</v>
      </c>
      <c r="F18597" s="2">
        <v>0.46333639629103601</v>
      </c>
    </row>
    <row r="18598" spans="1:6" x14ac:dyDescent="0.25">
      <c r="A18598" s="1" t="str">
        <f t="shared" si="705"/>
        <v>31020</v>
      </c>
      <c r="B18598" s="1" t="str">
        <f>"98609"</f>
        <v>98609</v>
      </c>
      <c r="C18598" s="2">
        <v>2.9648846474566803E-4</v>
      </c>
      <c r="D18598" s="2">
        <v>0</v>
      </c>
      <c r="E18598" s="2">
        <v>4.8567265662943099E-4</v>
      </c>
      <c r="F18598" s="2">
        <v>2.8401971430958099E-4</v>
      </c>
    </row>
    <row r="18599" spans="1:6" x14ac:dyDescent="0.25">
      <c r="A18599" s="1" t="str">
        <f>"31060"</f>
        <v>31060</v>
      </c>
      <c r="B18599" s="1" t="str">
        <f>"87544"</f>
        <v>87544</v>
      </c>
      <c r="C18599" s="2">
        <v>0.76881616939364705</v>
      </c>
      <c r="D18599" s="2">
        <v>0.91940018744142404</v>
      </c>
      <c r="E18599" s="2">
        <v>0.96672504378283697</v>
      </c>
      <c r="F18599" s="2">
        <v>0.79950789745217798</v>
      </c>
    </row>
    <row r="18600" spans="1:6" x14ac:dyDescent="0.25">
      <c r="A18600" s="1" t="str">
        <f>"31060"</f>
        <v>31060</v>
      </c>
      <c r="B18600" s="1" t="str">
        <f>"87547"</f>
        <v>87547</v>
      </c>
      <c r="C18600" s="2">
        <v>0.231183830606352</v>
      </c>
      <c r="D18600" s="2">
        <v>8.0599812558575401E-2</v>
      </c>
      <c r="E18600" s="2">
        <v>3.3274956217162803E-2</v>
      </c>
      <c r="F18600" s="2">
        <v>0.20049210254782099</v>
      </c>
    </row>
    <row r="18601" spans="1:6" x14ac:dyDescent="0.25">
      <c r="A18601" s="1" t="str">
        <f t="shared" ref="A18601:A18664" si="706">"31080"</f>
        <v>31080</v>
      </c>
      <c r="B18601" s="1" t="str">
        <f>"91767"</f>
        <v>91767</v>
      </c>
      <c r="C18601" s="2">
        <v>3.09192012130623E-3</v>
      </c>
      <c r="D18601" s="2">
        <v>2.5524025876531601E-3</v>
      </c>
      <c r="E18601" s="2">
        <v>2.3586764391303802E-3</v>
      </c>
      <c r="F18601" s="2">
        <v>2.9930651264681602E-3</v>
      </c>
    </row>
    <row r="18602" spans="1:6" x14ac:dyDescent="0.25">
      <c r="A18602" s="1" t="str">
        <f t="shared" si="706"/>
        <v>31080</v>
      </c>
      <c r="B18602" s="1" t="str">
        <f>"91803"</f>
        <v>91803</v>
      </c>
      <c r="C18602" s="2">
        <v>2.1548657883178998E-3</v>
      </c>
      <c r="D18602" s="2">
        <v>2.17541729497548E-3</v>
      </c>
      <c r="E18602" s="2">
        <v>3.6759324934418601E-3</v>
      </c>
      <c r="F18602" s="2">
        <v>2.2473492300094499E-3</v>
      </c>
    </row>
    <row r="18603" spans="1:6" x14ac:dyDescent="0.25">
      <c r="A18603" s="1" t="str">
        <f t="shared" si="706"/>
        <v>31080</v>
      </c>
      <c r="B18603" s="1" t="str">
        <f>"91775"</f>
        <v>91775</v>
      </c>
      <c r="C18603" s="2">
        <v>1.72245592043339E-3</v>
      </c>
      <c r="D18603" s="2">
        <v>2.5785141230767202E-4</v>
      </c>
      <c r="E18603" s="2">
        <v>7.8810191283592798E-4</v>
      </c>
      <c r="F18603" s="2">
        <v>1.5168520253152E-3</v>
      </c>
    </row>
    <row r="18604" spans="1:6" x14ac:dyDescent="0.25">
      <c r="A18604" s="1" t="str">
        <f t="shared" si="706"/>
        <v>31080</v>
      </c>
      <c r="B18604" s="1" t="str">
        <f>"92646"</f>
        <v>92646</v>
      </c>
      <c r="C18604" s="2">
        <v>4.8137774124809001E-3</v>
      </c>
      <c r="D18604" s="2">
        <v>1.0363015621226001E-3</v>
      </c>
      <c r="E18604" s="2">
        <v>1.8942592404949199E-3</v>
      </c>
      <c r="F18604" s="2">
        <v>4.2532062522399397E-3</v>
      </c>
    </row>
    <row r="18605" spans="1:6" x14ac:dyDescent="0.25">
      <c r="A18605" s="1" t="str">
        <f t="shared" si="706"/>
        <v>31080</v>
      </c>
      <c r="B18605" s="1" t="str">
        <f>"91802"</f>
        <v>91802</v>
      </c>
      <c r="C18605" s="2">
        <v>4.65134934028062E-4</v>
      </c>
      <c r="D18605" s="2">
        <v>5.7771772124630297E-4</v>
      </c>
      <c r="E18605" s="2">
        <v>8.4439490660992304E-6</v>
      </c>
      <c r="F18605" s="2">
        <v>4.4953674135030601E-4</v>
      </c>
    </row>
    <row r="18606" spans="1:6" x14ac:dyDescent="0.25">
      <c r="A18606" s="1" t="str">
        <f t="shared" si="706"/>
        <v>31080</v>
      </c>
      <c r="B18606" s="1" t="str">
        <f>"90637"</f>
        <v>90637</v>
      </c>
      <c r="C18606" s="2">
        <v>2.0632755117332301E-4</v>
      </c>
      <c r="D18606" s="2">
        <v>4.9448720208369998E-4</v>
      </c>
      <c r="E18606" s="2">
        <v>5.6292993773994796E-6</v>
      </c>
      <c r="F18606" s="2">
        <v>2.2393217881996199E-4</v>
      </c>
    </row>
    <row r="18607" spans="1:6" x14ac:dyDescent="0.25">
      <c r="A18607" s="1" t="str">
        <f t="shared" si="706"/>
        <v>31080</v>
      </c>
      <c r="B18607" s="1" t="str">
        <f>"92887"</f>
        <v>92887</v>
      </c>
      <c r="C18607" s="2">
        <v>1.4488823491968E-3</v>
      </c>
      <c r="D18607" s="2">
        <v>8.8942417536507098E-4</v>
      </c>
      <c r="E18607" s="2">
        <v>7.3180891906193303E-4</v>
      </c>
      <c r="F18607" s="2">
        <v>1.34894470079299E-3</v>
      </c>
    </row>
    <row r="18608" spans="1:6" x14ac:dyDescent="0.25">
      <c r="A18608" s="1" t="str">
        <f t="shared" si="706"/>
        <v>31080</v>
      </c>
      <c r="B18608" s="1" t="str">
        <f>"92885"</f>
        <v>92885</v>
      </c>
      <c r="C18608" s="2">
        <v>1.1792996396850399E-4</v>
      </c>
      <c r="D18608" s="2">
        <v>6.47892472697125E-4</v>
      </c>
      <c r="E18608" s="2">
        <v>8.4439490660992304E-6</v>
      </c>
      <c r="F18608" s="2">
        <v>1.6573322569871701E-4</v>
      </c>
    </row>
    <row r="18609" spans="1:6" x14ac:dyDescent="0.25">
      <c r="A18609" s="1" t="str">
        <f t="shared" si="706"/>
        <v>31080</v>
      </c>
      <c r="B18609" s="1" t="str">
        <f>"92831"</f>
        <v>92831</v>
      </c>
      <c r="C18609" s="2">
        <v>2.71558186065547E-3</v>
      </c>
      <c r="D18609" s="2">
        <v>3.25088616023343E-3</v>
      </c>
      <c r="E18609" s="2">
        <v>4.09250064736942E-3</v>
      </c>
      <c r="F18609" s="2">
        <v>2.8522504180541102E-3</v>
      </c>
    </row>
    <row r="18610" spans="1:6" x14ac:dyDescent="0.25">
      <c r="A18610" s="1" t="str">
        <f t="shared" si="706"/>
        <v>31080</v>
      </c>
      <c r="B18610" s="1" t="str">
        <f>"92843"</f>
        <v>92843</v>
      </c>
      <c r="C18610" s="2">
        <v>2.3135025418796001E-3</v>
      </c>
      <c r="D18610" s="2">
        <v>3.5283212241087802E-3</v>
      </c>
      <c r="E18610" s="2">
        <v>3.2649936388916998E-3</v>
      </c>
      <c r="F18610" s="2">
        <v>2.4945275424036999E-3</v>
      </c>
    </row>
    <row r="18611" spans="1:6" x14ac:dyDescent="0.25">
      <c r="A18611" s="1" t="str">
        <f t="shared" si="706"/>
        <v>31080</v>
      </c>
      <c r="B18611" s="1" t="str">
        <f>"92865"</f>
        <v>92865</v>
      </c>
      <c r="C18611" s="2">
        <v>1.3798404413573699E-3</v>
      </c>
      <c r="D18611" s="2">
        <v>2.4528523588508299E-3</v>
      </c>
      <c r="E18611" s="2">
        <v>1.16245032143299E-3</v>
      </c>
      <c r="F18611" s="2">
        <v>1.47688205463711E-3</v>
      </c>
    </row>
    <row r="18612" spans="1:6" x14ac:dyDescent="0.25">
      <c r="A18612" s="1" t="str">
        <f t="shared" si="706"/>
        <v>31080</v>
      </c>
      <c r="B18612" s="1" t="str">
        <f>"92869"</f>
        <v>92869</v>
      </c>
      <c r="C18612" s="2">
        <v>2.4699443214926402E-3</v>
      </c>
      <c r="D18612" s="2">
        <v>8.1598548198630403E-4</v>
      </c>
      <c r="E18612" s="2">
        <v>2.3924522353947798E-3</v>
      </c>
      <c r="F18612" s="2">
        <v>2.2958483576104899E-3</v>
      </c>
    </row>
    <row r="18613" spans="1:6" x14ac:dyDescent="0.25">
      <c r="A18613" s="1" t="str">
        <f t="shared" si="706"/>
        <v>31080</v>
      </c>
      <c r="B18613" s="1" t="str">
        <f>"90068"</f>
        <v>90068</v>
      </c>
      <c r="C18613" s="2">
        <v>2.8145552314310599E-3</v>
      </c>
      <c r="D18613" s="2">
        <v>8.5025687222972895E-4</v>
      </c>
      <c r="E18613" s="2">
        <v>2.2207586043840898E-3</v>
      </c>
      <c r="F18613" s="2">
        <v>2.5779794895516902E-3</v>
      </c>
    </row>
    <row r="18614" spans="1:6" x14ac:dyDescent="0.25">
      <c r="A18614" s="1" t="str">
        <f t="shared" si="706"/>
        <v>31080</v>
      </c>
      <c r="B18614" s="1" t="str">
        <f>"90047"</f>
        <v>90047</v>
      </c>
      <c r="C18614" s="2">
        <v>3.6490444180914501E-3</v>
      </c>
      <c r="D18614" s="2">
        <v>2.2602797851020602E-3</v>
      </c>
      <c r="E18614" s="2">
        <v>1.4692471375012601E-3</v>
      </c>
      <c r="F18614" s="2">
        <v>3.3772116647425802E-3</v>
      </c>
    </row>
    <row r="18615" spans="1:6" x14ac:dyDescent="0.25">
      <c r="A18615" s="1" t="str">
        <f t="shared" si="706"/>
        <v>31080</v>
      </c>
      <c r="B18615" s="1" t="str">
        <f>"90055"</f>
        <v>90055</v>
      </c>
      <c r="C18615" s="2">
        <v>3.2565431674551597E-4</v>
      </c>
      <c r="D18615" s="2">
        <v>2.3989973170397301E-4</v>
      </c>
      <c r="E18615" s="2">
        <v>5.6292993773994796E-6</v>
      </c>
      <c r="F18615" s="2">
        <v>2.9785153881878502E-4</v>
      </c>
    </row>
    <row r="18616" spans="1:6" x14ac:dyDescent="0.25">
      <c r="A18616" s="1" t="str">
        <f t="shared" si="706"/>
        <v>31080</v>
      </c>
      <c r="B18616" s="1" t="str">
        <f>"90033"</f>
        <v>90033</v>
      </c>
      <c r="C18616" s="2">
        <v>2.8109634558787198E-3</v>
      </c>
      <c r="D18616" s="2">
        <v>2.35819804294042E-3</v>
      </c>
      <c r="E18616" s="2">
        <v>3.2678082885804001E-3</v>
      </c>
      <c r="F18616" s="2">
        <v>2.7917101277383401E-3</v>
      </c>
    </row>
    <row r="18617" spans="1:6" x14ac:dyDescent="0.25">
      <c r="A18617" s="1" t="str">
        <f t="shared" si="706"/>
        <v>31080</v>
      </c>
      <c r="B18617" s="1" t="str">
        <f>"90045"</f>
        <v>90045</v>
      </c>
      <c r="C18617" s="2">
        <v>3.9381823500548403E-3</v>
      </c>
      <c r="D18617" s="2">
        <v>5.54543733557892E-3</v>
      </c>
      <c r="E18617" s="2">
        <v>8.1624840972292501E-3</v>
      </c>
      <c r="F18617" s="2">
        <v>4.3538837516048602E-3</v>
      </c>
    </row>
    <row r="18618" spans="1:6" x14ac:dyDescent="0.25">
      <c r="A18618" s="1" t="str">
        <f t="shared" si="706"/>
        <v>31080</v>
      </c>
      <c r="B18618" s="1" t="str">
        <f>"91102"</f>
        <v>91102</v>
      </c>
      <c r="C18618" s="2">
        <v>1.8557507020424601E-4</v>
      </c>
      <c r="D18618" s="2">
        <v>4.22680479668905E-4</v>
      </c>
      <c r="E18618" s="2">
        <v>5.6292993773994796E-6</v>
      </c>
      <c r="F18618" s="2">
        <v>1.9918089990632901E-4</v>
      </c>
    </row>
    <row r="18619" spans="1:6" x14ac:dyDescent="0.25">
      <c r="A18619" s="1" t="str">
        <f t="shared" si="706"/>
        <v>31080</v>
      </c>
      <c r="B18619" s="1" t="str">
        <f>"91108"</f>
        <v>91108</v>
      </c>
      <c r="C18619" s="2">
        <v>9.1929499831286301E-4</v>
      </c>
      <c r="D18619" s="2">
        <v>7.2459510800383805E-4</v>
      </c>
      <c r="E18619" s="2">
        <v>1.4917643350108599E-4</v>
      </c>
      <c r="F18619" s="2">
        <v>8.53584645778259E-4</v>
      </c>
    </row>
    <row r="18620" spans="1:6" x14ac:dyDescent="0.25">
      <c r="A18620" s="1" t="str">
        <f t="shared" si="706"/>
        <v>31080</v>
      </c>
      <c r="B18620" s="1" t="str">
        <f>"91030"</f>
        <v>91030</v>
      </c>
      <c r="C18620" s="2">
        <v>2.2438620047814501E-3</v>
      </c>
      <c r="D18620" s="2">
        <v>1.41981473865616E-3</v>
      </c>
      <c r="E18620" s="2">
        <v>4.1656815392756199E-3</v>
      </c>
      <c r="F18620" s="2">
        <v>2.27360565426242E-3</v>
      </c>
    </row>
    <row r="18621" spans="1:6" x14ac:dyDescent="0.25">
      <c r="A18621" s="1" t="str">
        <f t="shared" si="706"/>
        <v>31080</v>
      </c>
      <c r="B18621" s="1" t="str">
        <f>"91304"</f>
        <v>91304</v>
      </c>
      <c r="C18621" s="2">
        <v>3.5504701334883302E-3</v>
      </c>
      <c r="D18621" s="2">
        <v>2.3222946817330198E-3</v>
      </c>
      <c r="E18621" s="2">
        <v>2.42622803165917E-3</v>
      </c>
      <c r="F18621" s="2">
        <v>3.35781201370217E-3</v>
      </c>
    </row>
    <row r="18622" spans="1:6" x14ac:dyDescent="0.25">
      <c r="A18622" s="1" t="str">
        <f t="shared" si="706"/>
        <v>31080</v>
      </c>
      <c r="B18622" s="1" t="str">
        <f>"91307"</f>
        <v>91307</v>
      </c>
      <c r="C18622" s="2">
        <v>1.5769890105636101E-3</v>
      </c>
      <c r="D18622" s="2">
        <v>8.3720110451794799E-4</v>
      </c>
      <c r="E18622" s="2">
        <v>3.4338726202136799E-4</v>
      </c>
      <c r="F18622" s="2">
        <v>1.4278812119229501E-3</v>
      </c>
    </row>
    <row r="18623" spans="1:6" x14ac:dyDescent="0.25">
      <c r="A18623" s="1" t="str">
        <f t="shared" si="706"/>
        <v>31080</v>
      </c>
      <c r="B18623" s="1" t="str">
        <f>"91310"</f>
        <v>91310</v>
      </c>
      <c r="C18623" s="2">
        <v>8.4406725479995907E-5</v>
      </c>
      <c r="D18623" s="2">
        <v>1.41981473865616E-4</v>
      </c>
      <c r="E18623" s="2">
        <v>5.6292993773994796E-6</v>
      </c>
      <c r="F18623" s="2">
        <v>8.56260459714868E-5</v>
      </c>
    </row>
    <row r="18624" spans="1:6" x14ac:dyDescent="0.25">
      <c r="A18624" s="1" t="str">
        <f t="shared" si="706"/>
        <v>31080</v>
      </c>
      <c r="B18624" s="1" t="str">
        <f>"91046"</f>
        <v>91046</v>
      </c>
      <c r="C18624" s="2">
        <v>6.3853787597160003E-5</v>
      </c>
      <c r="D18624" s="2">
        <v>2.9865068640698699E-4</v>
      </c>
      <c r="E18624" s="2">
        <v>5.6292993773994796E-6</v>
      </c>
      <c r="F18624" s="2">
        <v>8.4455377374220405E-5</v>
      </c>
    </row>
    <row r="18625" spans="1:6" x14ac:dyDescent="0.25">
      <c r="A18625" s="1" t="str">
        <f t="shared" si="706"/>
        <v>31080</v>
      </c>
      <c r="B18625" s="1" t="str">
        <f>"90510"</f>
        <v>90510</v>
      </c>
      <c r="C18625" s="2">
        <v>2.5561469347488102E-4</v>
      </c>
      <c r="D18625" s="2">
        <v>6.7400400812068703E-4</v>
      </c>
      <c r="E18625" s="2">
        <v>5.6292993773994796E-6</v>
      </c>
      <c r="F18625" s="2">
        <v>2.8363627728055001E-4</v>
      </c>
    </row>
    <row r="18626" spans="1:6" x14ac:dyDescent="0.25">
      <c r="A18626" s="1" t="str">
        <f t="shared" si="706"/>
        <v>31080</v>
      </c>
      <c r="B18626" s="1" t="str">
        <f>"90703"</f>
        <v>90703</v>
      </c>
      <c r="C18626" s="2">
        <v>3.4504990472815299E-3</v>
      </c>
      <c r="D18626" s="2">
        <v>4.3116672868156302E-3</v>
      </c>
      <c r="E18626" s="2">
        <v>8.4158025692122299E-4</v>
      </c>
      <c r="F18626" s="2">
        <v>3.38373396121307E-3</v>
      </c>
    </row>
    <row r="18627" spans="1:6" x14ac:dyDescent="0.25">
      <c r="A18627" s="1" t="str">
        <f t="shared" si="706"/>
        <v>31080</v>
      </c>
      <c r="B18627" s="1" t="str">
        <f>"90723"</f>
        <v>90723</v>
      </c>
      <c r="C18627" s="2">
        <v>3.1581684259382801E-3</v>
      </c>
      <c r="D18627" s="2">
        <v>4.0064887165527502E-3</v>
      </c>
      <c r="E18627" s="2">
        <v>2.7780592427466399E-3</v>
      </c>
      <c r="F18627" s="2">
        <v>3.2225161715323798E-3</v>
      </c>
    </row>
    <row r="18628" spans="1:6" x14ac:dyDescent="0.25">
      <c r="A18628" s="1" t="str">
        <f t="shared" si="706"/>
        <v>31080</v>
      </c>
      <c r="B18628" s="1" t="str">
        <f>"90731"</f>
        <v>90731</v>
      </c>
      <c r="C18628" s="2">
        <v>4.8311376609838702E-3</v>
      </c>
      <c r="D18628" s="2">
        <v>3.2721017827650801E-3</v>
      </c>
      <c r="E18628" s="2">
        <v>8.1906305941162501E-3</v>
      </c>
      <c r="F18628" s="2">
        <v>4.8709847948545399E-3</v>
      </c>
    </row>
    <row r="18629" spans="1:6" x14ac:dyDescent="0.25">
      <c r="A18629" s="1" t="str">
        <f t="shared" si="706"/>
        <v>31080</v>
      </c>
      <c r="B18629" s="1" t="str">
        <f>"90408"</f>
        <v>90408</v>
      </c>
      <c r="C18629" s="2">
        <v>9.4184336705810997E-5</v>
      </c>
      <c r="D18629" s="2">
        <v>2.54587470379727E-4</v>
      </c>
      <c r="E18629" s="2">
        <v>5.6292993773994796E-6</v>
      </c>
      <c r="F18629" s="2">
        <v>1.0536017375397699E-4</v>
      </c>
    </row>
    <row r="18630" spans="1:6" x14ac:dyDescent="0.25">
      <c r="A18630" s="1" t="str">
        <f t="shared" si="706"/>
        <v>31080</v>
      </c>
      <c r="B18630" s="1" t="str">
        <f>"90734"</f>
        <v>90734</v>
      </c>
      <c r="C18630" s="2">
        <v>1.2112265334836199E-4</v>
      </c>
      <c r="D18630" s="2">
        <v>2.7743506387534298E-4</v>
      </c>
      <c r="E18630" s="2">
        <v>5.6292993773994796E-6</v>
      </c>
      <c r="F18630" s="2">
        <v>1.3027869103864799E-4</v>
      </c>
    </row>
    <row r="18631" spans="1:6" x14ac:dyDescent="0.25">
      <c r="A18631" s="1" t="str">
        <f t="shared" si="706"/>
        <v>31080</v>
      </c>
      <c r="B18631" s="1" t="str">
        <f>"91199"</f>
        <v>91199</v>
      </c>
      <c r="C18631" s="2">
        <v>0</v>
      </c>
      <c r="D18631" s="2">
        <v>1.6319709639726001E-6</v>
      </c>
      <c r="E18631" s="2">
        <v>0</v>
      </c>
      <c r="F18631" s="2">
        <v>1.6723837103806E-7</v>
      </c>
    </row>
    <row r="18632" spans="1:6" x14ac:dyDescent="0.25">
      <c r="A18632" s="1" t="str">
        <f t="shared" si="706"/>
        <v>31080</v>
      </c>
      <c r="B18632" s="1" t="str">
        <f>"91121"</f>
        <v>91121</v>
      </c>
      <c r="C18632" s="2">
        <v>0</v>
      </c>
      <c r="D18632" s="2">
        <v>3.2639419279452099E-6</v>
      </c>
      <c r="E18632" s="2">
        <v>0</v>
      </c>
      <c r="F18632" s="2">
        <v>3.3447674207611999E-7</v>
      </c>
    </row>
    <row r="18633" spans="1:6" x14ac:dyDescent="0.25">
      <c r="A18633" s="1" t="str">
        <f t="shared" si="706"/>
        <v>31080</v>
      </c>
      <c r="B18633" s="1" t="str">
        <f>"91185"</f>
        <v>91185</v>
      </c>
      <c r="C18633" s="2">
        <v>0</v>
      </c>
      <c r="D18633" s="2">
        <v>0</v>
      </c>
      <c r="E18633" s="2">
        <v>5.6292993773994796E-6</v>
      </c>
      <c r="F18633" s="2">
        <v>3.3447674207611999E-7</v>
      </c>
    </row>
    <row r="18634" spans="1:6" x14ac:dyDescent="0.25">
      <c r="A18634" s="1" t="str">
        <f t="shared" si="706"/>
        <v>31080</v>
      </c>
      <c r="B18634" s="1" t="str">
        <f>"90822"</f>
        <v>90822</v>
      </c>
      <c r="C18634" s="2">
        <v>0</v>
      </c>
      <c r="D18634" s="2">
        <v>1.3055767711780801E-5</v>
      </c>
      <c r="E18634" s="2">
        <v>0</v>
      </c>
      <c r="F18634" s="2">
        <v>1.33790696830448E-6</v>
      </c>
    </row>
    <row r="18635" spans="1:6" x14ac:dyDescent="0.25">
      <c r="A18635" s="1" t="str">
        <f t="shared" si="706"/>
        <v>31080</v>
      </c>
      <c r="B18635" s="1" t="str">
        <f>"91124"</f>
        <v>91124</v>
      </c>
      <c r="C18635" s="2">
        <v>0</v>
      </c>
      <c r="D18635" s="2">
        <v>1.3055767711780801E-5</v>
      </c>
      <c r="E18635" s="2">
        <v>0</v>
      </c>
      <c r="F18635" s="2">
        <v>1.33790696830448E-6</v>
      </c>
    </row>
    <row r="18636" spans="1:6" x14ac:dyDescent="0.25">
      <c r="A18636" s="1" t="str">
        <f t="shared" si="706"/>
        <v>31080</v>
      </c>
      <c r="B18636" s="1" t="str">
        <f>"91372"</f>
        <v>91372</v>
      </c>
      <c r="C18636" s="2">
        <v>1.1553544693361099E-4</v>
      </c>
      <c r="D18636" s="2">
        <v>5.6955786642643997E-4</v>
      </c>
      <c r="E18636" s="2">
        <v>2.8146496886997398E-6</v>
      </c>
      <c r="F18636" s="2">
        <v>1.55364446694357E-4</v>
      </c>
    </row>
    <row r="18637" spans="1:6" x14ac:dyDescent="0.25">
      <c r="A18637" s="1" t="str">
        <f t="shared" si="706"/>
        <v>31080</v>
      </c>
      <c r="B18637" s="1" t="str">
        <f>"91709"</f>
        <v>91709</v>
      </c>
      <c r="C18637" s="2">
        <v>5.9862925872337498E-6</v>
      </c>
      <c r="D18637" s="2">
        <v>0</v>
      </c>
      <c r="E18637" s="2">
        <v>0</v>
      </c>
      <c r="F18637" s="2">
        <v>5.0171511311418E-6</v>
      </c>
    </row>
    <row r="18638" spans="1:6" x14ac:dyDescent="0.25">
      <c r="A18638" s="1" t="str">
        <f t="shared" si="706"/>
        <v>31080</v>
      </c>
      <c r="B18638" s="1" t="str">
        <f>"93560"</f>
        <v>93560</v>
      </c>
      <c r="C18638" s="2">
        <v>3.9908617248225002E-6</v>
      </c>
      <c r="D18638" s="2">
        <v>3.2639419279452099E-6</v>
      </c>
      <c r="E18638" s="2">
        <v>0</v>
      </c>
      <c r="F18638" s="2">
        <v>3.6792441628373202E-6</v>
      </c>
    </row>
    <row r="18639" spans="1:6" x14ac:dyDescent="0.25">
      <c r="A18639" s="1" t="str">
        <f t="shared" si="706"/>
        <v>31080</v>
      </c>
      <c r="B18639" s="1" t="str">
        <f>"90051"</f>
        <v>90051</v>
      </c>
      <c r="C18639" s="2">
        <v>3.2445705822806901E-4</v>
      </c>
      <c r="D18639" s="2">
        <v>3.4271390243424698E-4</v>
      </c>
      <c r="E18639" s="2">
        <v>5.6292993773994796E-6</v>
      </c>
      <c r="F18639" s="2">
        <v>3.0738412596795401E-4</v>
      </c>
    </row>
    <row r="18640" spans="1:6" x14ac:dyDescent="0.25">
      <c r="A18640" s="1" t="str">
        <f t="shared" si="706"/>
        <v>31080</v>
      </c>
      <c r="B18640" s="1" t="str">
        <f>"91327"</f>
        <v>91327</v>
      </c>
      <c r="C18640" s="2">
        <v>1.3928107419630499E-4</v>
      </c>
      <c r="D18640" s="2">
        <v>3.94936973281371E-4</v>
      </c>
      <c r="E18640" s="2">
        <v>5.6292993773994796E-6</v>
      </c>
      <c r="F18640" s="2">
        <v>1.5753854551785201E-4</v>
      </c>
    </row>
    <row r="18641" spans="1:6" x14ac:dyDescent="0.25">
      <c r="A18641" s="1" t="str">
        <f t="shared" si="706"/>
        <v>31080</v>
      </c>
      <c r="B18641" s="1" t="str">
        <f>"92871"</f>
        <v>92871</v>
      </c>
      <c r="C18641" s="2">
        <v>1.53648176405666E-4</v>
      </c>
      <c r="D18641" s="2">
        <v>6.4626050173315303E-4</v>
      </c>
      <c r="E18641" s="2">
        <v>8.4439490660992304E-6</v>
      </c>
      <c r="F18641" s="2">
        <v>1.95501655743492E-4</v>
      </c>
    </row>
    <row r="18642" spans="1:6" x14ac:dyDescent="0.25">
      <c r="A18642" s="1" t="str">
        <f t="shared" si="706"/>
        <v>31080</v>
      </c>
      <c r="B18642" s="1" t="str">
        <f>"92711"</f>
        <v>92711</v>
      </c>
      <c r="C18642" s="2">
        <v>1.9994217241360701E-4</v>
      </c>
      <c r="D18642" s="2">
        <v>5.7608575028233002E-4</v>
      </c>
      <c r="E18642" s="2">
        <v>8.4439490660992304E-6</v>
      </c>
      <c r="F18642" s="2">
        <v>2.2710970786968501E-4</v>
      </c>
    </row>
    <row r="18643" spans="1:6" x14ac:dyDescent="0.25">
      <c r="A18643" s="1" t="str">
        <f t="shared" si="706"/>
        <v>31080</v>
      </c>
      <c r="B18643" s="1" t="str">
        <f>"91308"</f>
        <v>91308</v>
      </c>
      <c r="C18643" s="2">
        <v>1.52850004060701E-4</v>
      </c>
      <c r="D18643" s="2">
        <v>5.9730137281397398E-4</v>
      </c>
      <c r="E18643" s="2">
        <v>2.8146496886997398E-6</v>
      </c>
      <c r="F18643" s="2">
        <v>1.8948107438612199E-4</v>
      </c>
    </row>
    <row r="18644" spans="1:6" x14ac:dyDescent="0.25">
      <c r="A18644" s="1" t="str">
        <f t="shared" si="706"/>
        <v>31080</v>
      </c>
      <c r="B18644" s="1" t="str">
        <f>"91009"</f>
        <v>91009</v>
      </c>
      <c r="C18644" s="2">
        <v>2.4284393595544899E-4</v>
      </c>
      <c r="D18644" s="2">
        <v>3.0191462833493201E-4</v>
      </c>
      <c r="E18644" s="2">
        <v>5.6292993773994796E-6</v>
      </c>
      <c r="F18644" s="2">
        <v>2.3480267293743599E-4</v>
      </c>
    </row>
    <row r="18645" spans="1:6" x14ac:dyDescent="0.25">
      <c r="A18645" s="1" t="str">
        <f t="shared" si="706"/>
        <v>31080</v>
      </c>
      <c r="B18645" s="1" t="str">
        <f>"91333"</f>
        <v>91333</v>
      </c>
      <c r="C18645" s="2">
        <v>2.0253623253474099E-4</v>
      </c>
      <c r="D18645" s="2">
        <v>1.5503724157739699E-4</v>
      </c>
      <c r="E18645" s="2">
        <v>2.8146496886997398E-6</v>
      </c>
      <c r="F18645" s="2">
        <v>1.8580183022328401E-4</v>
      </c>
    </row>
    <row r="18646" spans="1:6" x14ac:dyDescent="0.25">
      <c r="A18646" s="1" t="str">
        <f t="shared" si="706"/>
        <v>31080</v>
      </c>
      <c r="B18646" s="1" t="str">
        <f>"90063"</f>
        <v>90063</v>
      </c>
      <c r="C18646" s="2">
        <v>2.7616763135771701E-3</v>
      </c>
      <c r="D18646" s="2">
        <v>1.59443563180123E-3</v>
      </c>
      <c r="E18646" s="2">
        <v>8.5002420598732204E-4</v>
      </c>
      <c r="F18646" s="2">
        <v>2.5284769317244298E-3</v>
      </c>
    </row>
    <row r="18647" spans="1:6" x14ac:dyDescent="0.25">
      <c r="A18647" s="1" t="str">
        <f t="shared" si="706"/>
        <v>31080</v>
      </c>
      <c r="B18647" s="1" t="str">
        <f>"90079"</f>
        <v>90079</v>
      </c>
      <c r="C18647" s="2">
        <v>6.4651959942124503E-5</v>
      </c>
      <c r="D18647" s="2">
        <v>3.5772803530279501E-3</v>
      </c>
      <c r="E18647" s="2">
        <v>1.68878981321984E-5</v>
      </c>
      <c r="F18647" s="2">
        <v>4.2177517175798798E-4</v>
      </c>
    </row>
    <row r="18648" spans="1:6" x14ac:dyDescent="0.25">
      <c r="A18648" s="1" t="str">
        <f t="shared" si="706"/>
        <v>31080</v>
      </c>
      <c r="B18648" s="1" t="str">
        <f>"90059"</f>
        <v>90059</v>
      </c>
      <c r="C18648" s="2">
        <v>2.1738223815108101E-3</v>
      </c>
      <c r="D18648" s="2">
        <v>9.5796695585192103E-4</v>
      </c>
      <c r="E18648" s="2">
        <v>8.8942930162911899E-4</v>
      </c>
      <c r="F18648" s="2">
        <v>1.9729110631359899E-3</v>
      </c>
    </row>
    <row r="18649" spans="1:6" x14ac:dyDescent="0.25">
      <c r="A18649" s="1" t="str">
        <f t="shared" si="706"/>
        <v>31080</v>
      </c>
      <c r="B18649" s="1" t="str">
        <f>"90220"</f>
        <v>90220</v>
      </c>
      <c r="C18649" s="2">
        <v>2.7289512474336199E-3</v>
      </c>
      <c r="D18649" s="2">
        <v>2.3989973170397299E-3</v>
      </c>
      <c r="E18649" s="2">
        <v>2.0012159286655101E-3</v>
      </c>
      <c r="F18649" s="2">
        <v>2.65189884955052E-3</v>
      </c>
    </row>
    <row r="18650" spans="1:6" x14ac:dyDescent="0.25">
      <c r="A18650" s="1" t="str">
        <f t="shared" si="706"/>
        <v>31080</v>
      </c>
      <c r="B18650" s="1" t="str">
        <f>"90241"</f>
        <v>90241</v>
      </c>
      <c r="C18650" s="2">
        <v>3.18849897504693E-3</v>
      </c>
      <c r="D18650" s="2">
        <v>3.5087375725411001E-3</v>
      </c>
      <c r="E18650" s="2">
        <v>3.3353598811091899E-3</v>
      </c>
      <c r="F18650" s="2">
        <v>3.23004189822909E-3</v>
      </c>
    </row>
    <row r="18651" spans="1:6" x14ac:dyDescent="0.25">
      <c r="A18651" s="1" t="str">
        <f t="shared" si="706"/>
        <v>31080</v>
      </c>
      <c r="B18651" s="1" t="str">
        <f>"90213"</f>
        <v>90213</v>
      </c>
      <c r="C18651" s="2">
        <v>3.89109018170193E-4</v>
      </c>
      <c r="D18651" s="2">
        <v>6.7400400812068703E-4</v>
      </c>
      <c r="E18651" s="2">
        <v>5.6292993773994796E-6</v>
      </c>
      <c r="F18651" s="2">
        <v>3.9551874750501202E-4</v>
      </c>
    </row>
    <row r="18652" spans="1:6" x14ac:dyDescent="0.25">
      <c r="A18652" s="1" t="str">
        <f t="shared" si="706"/>
        <v>31080</v>
      </c>
      <c r="B18652" s="1" t="str">
        <f>"90053"</f>
        <v>90053</v>
      </c>
      <c r="C18652" s="2">
        <v>3.5618440894040802E-4</v>
      </c>
      <c r="D18652" s="2">
        <v>1.5830118350534299E-4</v>
      </c>
      <c r="E18652" s="2">
        <v>5.6292993773994796E-6</v>
      </c>
      <c r="F18652" s="2">
        <v>3.1507709103570499E-4</v>
      </c>
    </row>
    <row r="18653" spans="1:6" x14ac:dyDescent="0.25">
      <c r="A18653" s="1" t="str">
        <f t="shared" si="706"/>
        <v>31080</v>
      </c>
      <c r="B18653" s="1" t="str">
        <f>"90076"</f>
        <v>90076</v>
      </c>
      <c r="C18653" s="2">
        <v>2.2348825659005999E-5</v>
      </c>
      <c r="D18653" s="2">
        <v>3.5903361207397297E-5</v>
      </c>
      <c r="E18653" s="2">
        <v>5.6292993773994796E-6</v>
      </c>
      <c r="F18653" s="2">
        <v>2.2744418461176098E-5</v>
      </c>
    </row>
    <row r="18654" spans="1:6" x14ac:dyDescent="0.25">
      <c r="A18654" s="1" t="str">
        <f t="shared" si="706"/>
        <v>31080</v>
      </c>
      <c r="B18654" s="1" t="str">
        <f>"90026"</f>
        <v>90026</v>
      </c>
      <c r="C18654" s="2">
        <v>5.6003762584434097E-3</v>
      </c>
      <c r="D18654" s="2">
        <v>2.6568487293474E-3</v>
      </c>
      <c r="E18654" s="2">
        <v>6.0711993785253398E-3</v>
      </c>
      <c r="F18654" s="2">
        <v>5.3267093559332497E-3</v>
      </c>
    </row>
    <row r="18655" spans="1:6" x14ac:dyDescent="0.25">
      <c r="A18655" s="1" t="str">
        <f t="shared" si="706"/>
        <v>31080</v>
      </c>
      <c r="B18655" s="1" t="str">
        <f>"90021"</f>
        <v>90021</v>
      </c>
      <c r="C18655" s="2">
        <v>2.6738773556310701E-4</v>
      </c>
      <c r="D18655" s="2">
        <v>7.7355423692301601E-3</v>
      </c>
      <c r="E18655" s="2">
        <v>9.9638598979970901E-4</v>
      </c>
      <c r="F18655" s="2">
        <v>1.0760116792588701E-3</v>
      </c>
    </row>
    <row r="18656" spans="1:6" x14ac:dyDescent="0.25">
      <c r="A18656" s="1" t="str">
        <f t="shared" si="706"/>
        <v>31080</v>
      </c>
      <c r="B18656" s="1" t="str">
        <f>"90038"</f>
        <v>90038</v>
      </c>
      <c r="C18656" s="2">
        <v>2.7085978526370301E-3</v>
      </c>
      <c r="D18656" s="2">
        <v>2.7531350162217898E-3</v>
      </c>
      <c r="E18656" s="2">
        <v>4.8440121142522604E-3</v>
      </c>
      <c r="F18656" s="2">
        <v>2.84004201696833E-3</v>
      </c>
    </row>
    <row r="18657" spans="1:6" x14ac:dyDescent="0.25">
      <c r="A18657" s="1" t="str">
        <f t="shared" si="706"/>
        <v>31080</v>
      </c>
      <c r="B18657" s="1" t="str">
        <f>"90032"</f>
        <v>90032</v>
      </c>
      <c r="C18657" s="2">
        <v>2.7985917845317699E-3</v>
      </c>
      <c r="D18657" s="2">
        <v>1.36106378395315E-3</v>
      </c>
      <c r="E18657" s="2">
        <v>2.0012159286655101E-3</v>
      </c>
      <c r="F18657" s="2">
        <v>2.6039014370625902E-3</v>
      </c>
    </row>
    <row r="18658" spans="1:6" x14ac:dyDescent="0.25">
      <c r="A18658" s="1" t="str">
        <f t="shared" si="706"/>
        <v>31080</v>
      </c>
      <c r="B18658" s="1" t="str">
        <f>"90040"</f>
        <v>90040</v>
      </c>
      <c r="C18658" s="2">
        <v>6.7445563149500203E-4</v>
      </c>
      <c r="D18658" s="2">
        <v>3.25578207312535E-3</v>
      </c>
      <c r="E18658" s="2">
        <v>3.7997770797446501E-4</v>
      </c>
      <c r="F18658" s="2">
        <v>9.2148342441971201E-4</v>
      </c>
    </row>
    <row r="18659" spans="1:6" x14ac:dyDescent="0.25">
      <c r="A18659" s="1" t="str">
        <f t="shared" si="706"/>
        <v>31080</v>
      </c>
      <c r="B18659" s="1" t="str">
        <f>"90044"</f>
        <v>90044</v>
      </c>
      <c r="C18659" s="2">
        <v>5.7306778937588699E-3</v>
      </c>
      <c r="D18659" s="2">
        <v>2.29291920438151E-3</v>
      </c>
      <c r="E18659" s="2">
        <v>5.3253172110199103E-3</v>
      </c>
      <c r="F18659" s="2">
        <v>5.3543036871545298E-3</v>
      </c>
    </row>
    <row r="18660" spans="1:6" x14ac:dyDescent="0.25">
      <c r="A18660" s="1" t="str">
        <f t="shared" si="706"/>
        <v>31080</v>
      </c>
      <c r="B18660" s="1" t="str">
        <f>"91201"</f>
        <v>91201</v>
      </c>
      <c r="C18660" s="2">
        <v>1.7214582050021801E-3</v>
      </c>
      <c r="D18660" s="2">
        <v>1.78537623458603E-3</v>
      </c>
      <c r="E18660" s="2">
        <v>3.7660012834802498E-3</v>
      </c>
      <c r="F18660" s="2">
        <v>1.8494891453098999E-3</v>
      </c>
    </row>
    <row r="18661" spans="1:6" x14ac:dyDescent="0.25">
      <c r="A18661" s="1" t="str">
        <f t="shared" si="706"/>
        <v>31080</v>
      </c>
      <c r="B18661" s="1" t="str">
        <f>"91206"</f>
        <v>91206</v>
      </c>
      <c r="C18661" s="2">
        <v>2.7526968746963199E-3</v>
      </c>
      <c r="D18661" s="2">
        <v>1.2794652357545201E-3</v>
      </c>
      <c r="E18661" s="2">
        <v>4.0446516026615299E-3</v>
      </c>
      <c r="F18661" s="2">
        <v>2.6784897505455702E-3</v>
      </c>
    </row>
    <row r="18662" spans="1:6" x14ac:dyDescent="0.25">
      <c r="A18662" s="1" t="str">
        <f t="shared" si="706"/>
        <v>31080</v>
      </c>
      <c r="B18662" s="1" t="str">
        <f>"91101"</f>
        <v>91101</v>
      </c>
      <c r="C18662" s="2">
        <v>2.3542093314727901E-3</v>
      </c>
      <c r="D18662" s="2">
        <v>4.6935484923852199E-3</v>
      </c>
      <c r="E18662" s="2">
        <v>3.7378547865932598E-3</v>
      </c>
      <c r="F18662" s="2">
        <v>2.6761484133510402E-3</v>
      </c>
    </row>
    <row r="18663" spans="1:6" x14ac:dyDescent="0.25">
      <c r="A18663" s="1" t="str">
        <f t="shared" si="706"/>
        <v>31080</v>
      </c>
      <c r="B18663" s="1" t="str">
        <f>"91104"</f>
        <v>91104</v>
      </c>
      <c r="C18663" s="2">
        <v>2.7040083616534801E-3</v>
      </c>
      <c r="D18663" s="2">
        <v>1.1733871230963E-3</v>
      </c>
      <c r="E18663" s="2">
        <v>2.3220859931772802E-3</v>
      </c>
      <c r="F18663" s="2">
        <v>2.5244632108195101E-3</v>
      </c>
    </row>
    <row r="18664" spans="1:6" x14ac:dyDescent="0.25">
      <c r="A18664" s="1" t="str">
        <f t="shared" si="706"/>
        <v>31080</v>
      </c>
      <c r="B18664" s="1" t="str">
        <f>"91125"</f>
        <v>91125</v>
      </c>
      <c r="C18664" s="2">
        <v>0</v>
      </c>
      <c r="D18664" s="2">
        <v>4.8959128919178198E-6</v>
      </c>
      <c r="E18664" s="2">
        <v>0</v>
      </c>
      <c r="F18664" s="2">
        <v>5.0171511311418002E-7</v>
      </c>
    </row>
    <row r="18665" spans="1:6" x14ac:dyDescent="0.25">
      <c r="A18665" s="1" t="str">
        <f t="shared" ref="A18665:A18728" si="707">"31080"</f>
        <v>31080</v>
      </c>
      <c r="B18665" s="1" t="str">
        <f>"91771"</f>
        <v>91771</v>
      </c>
      <c r="C18665" s="2">
        <v>0</v>
      </c>
      <c r="D18665" s="2">
        <v>1.6319709639726001E-6</v>
      </c>
      <c r="E18665" s="2">
        <v>0</v>
      </c>
      <c r="F18665" s="2">
        <v>1.6723837103806E-7</v>
      </c>
    </row>
    <row r="18666" spans="1:6" x14ac:dyDescent="0.25">
      <c r="A18666" s="1" t="str">
        <f t="shared" si="707"/>
        <v>31080</v>
      </c>
      <c r="B18666" s="1" t="str">
        <f>"90084"</f>
        <v>90084</v>
      </c>
      <c r="C18666" s="2">
        <v>0</v>
      </c>
      <c r="D18666" s="2">
        <v>0</v>
      </c>
      <c r="E18666" s="2">
        <v>2.8146496886997398E-6</v>
      </c>
      <c r="F18666" s="2">
        <v>1.6723837103806E-7</v>
      </c>
    </row>
    <row r="18667" spans="1:6" x14ac:dyDescent="0.25">
      <c r="A18667" s="1" t="str">
        <f t="shared" si="707"/>
        <v>31080</v>
      </c>
      <c r="B18667" s="1" t="str">
        <f>"90070"</f>
        <v>90070</v>
      </c>
      <c r="C18667" s="2">
        <v>1.2172128260708599E-5</v>
      </c>
      <c r="D18667" s="2">
        <v>3.4271390243424697E-5</v>
      </c>
      <c r="E18667" s="2">
        <v>5.6292993773994796E-6</v>
      </c>
      <c r="F18667" s="2">
        <v>1.4048023167197E-5</v>
      </c>
    </row>
    <row r="18668" spans="1:6" x14ac:dyDescent="0.25">
      <c r="A18668" s="1" t="str">
        <f t="shared" si="707"/>
        <v>31080</v>
      </c>
      <c r="B18668" s="1" t="str">
        <f>"90306"</f>
        <v>90306</v>
      </c>
      <c r="C18668" s="2">
        <v>5.5273434888791602E-5</v>
      </c>
      <c r="D18668" s="2">
        <v>4.0799274099315199E-5</v>
      </c>
      <c r="E18668" s="2">
        <v>5.6292993773994796E-6</v>
      </c>
      <c r="F18668" s="2">
        <v>5.0840464795570299E-5</v>
      </c>
    </row>
    <row r="18669" spans="1:6" x14ac:dyDescent="0.25">
      <c r="A18669" s="1" t="str">
        <f t="shared" si="707"/>
        <v>31080</v>
      </c>
      <c r="B18669" s="1" t="str">
        <f>"91184"</f>
        <v>91184</v>
      </c>
      <c r="C18669" s="2">
        <v>0</v>
      </c>
      <c r="D18669" s="2">
        <v>3.2639419279452099E-6</v>
      </c>
      <c r="E18669" s="2">
        <v>0</v>
      </c>
      <c r="F18669" s="2">
        <v>3.3447674207611999E-7</v>
      </c>
    </row>
    <row r="18670" spans="1:6" x14ac:dyDescent="0.25">
      <c r="A18670" s="1" t="str">
        <f t="shared" si="707"/>
        <v>31080</v>
      </c>
      <c r="B18670" s="1" t="str">
        <f>"90609"</f>
        <v>90609</v>
      </c>
      <c r="C18670" s="2">
        <v>1.6382487380396299E-4</v>
      </c>
      <c r="D18670" s="2">
        <v>3.4924178629013801E-4</v>
      </c>
      <c r="E18670" s="2">
        <v>5.6292993773994796E-6</v>
      </c>
      <c r="F18670" s="2">
        <v>1.7342619076646799E-4</v>
      </c>
    </row>
    <row r="18671" spans="1:6" x14ac:dyDescent="0.25">
      <c r="A18671" s="1" t="str">
        <f t="shared" si="707"/>
        <v>31080</v>
      </c>
      <c r="B18671" s="1" t="str">
        <f>"92693"</f>
        <v>92693</v>
      </c>
      <c r="C18671" s="2">
        <v>2.40848505093037E-4</v>
      </c>
      <c r="D18671" s="2">
        <v>4.4552807316452202E-4</v>
      </c>
      <c r="E18671" s="2">
        <v>8.4439490660992304E-6</v>
      </c>
      <c r="F18671" s="2">
        <v>2.48014504249443E-4</v>
      </c>
    </row>
    <row r="18672" spans="1:6" x14ac:dyDescent="0.25">
      <c r="A18672" s="1" t="str">
        <f t="shared" si="707"/>
        <v>31080</v>
      </c>
      <c r="B18672" s="1" t="str">
        <f>"91793"</f>
        <v>91793</v>
      </c>
      <c r="C18672" s="2">
        <v>3.2365888588310401E-4</v>
      </c>
      <c r="D18672" s="2">
        <v>3.7698529267767201E-4</v>
      </c>
      <c r="E18672" s="2">
        <v>8.4439490660992304E-6</v>
      </c>
      <c r="F18672" s="2">
        <v>3.1039441664663898E-4</v>
      </c>
    </row>
    <row r="18673" spans="1:6" x14ac:dyDescent="0.25">
      <c r="A18673" s="1" t="str">
        <f t="shared" si="707"/>
        <v>31080</v>
      </c>
      <c r="B18673" s="1" t="str">
        <f>"90607"</f>
        <v>90607</v>
      </c>
      <c r="C18673" s="2">
        <v>1.8876775958410401E-4</v>
      </c>
      <c r="D18673" s="2">
        <v>3.3618601857835699E-4</v>
      </c>
      <c r="E18673" s="2">
        <v>5.6292993773994796E-6</v>
      </c>
      <c r="F18673" s="2">
        <v>1.92993080177921E-4</v>
      </c>
    </row>
    <row r="18674" spans="1:6" x14ac:dyDescent="0.25">
      <c r="A18674" s="1" t="str">
        <f t="shared" si="707"/>
        <v>31080</v>
      </c>
      <c r="B18674" s="1" t="str">
        <f>"92899"</f>
        <v>92899</v>
      </c>
      <c r="C18674" s="2">
        <v>0</v>
      </c>
      <c r="D18674" s="2">
        <v>0</v>
      </c>
      <c r="E18674" s="2">
        <v>5.6292993773994796E-6</v>
      </c>
      <c r="F18674" s="2">
        <v>3.3447674207611999E-7</v>
      </c>
    </row>
    <row r="18675" spans="1:6" x14ac:dyDescent="0.25">
      <c r="A18675" s="1" t="str">
        <f t="shared" si="707"/>
        <v>31080</v>
      </c>
      <c r="B18675" s="1" t="str">
        <f>"90060"</f>
        <v>90060</v>
      </c>
      <c r="C18675" s="2">
        <v>1.2611123050439101E-4</v>
      </c>
      <c r="D18675" s="2">
        <v>3.5903361207397297E-5</v>
      </c>
      <c r="E18675" s="2">
        <v>5.6292993773994796E-6</v>
      </c>
      <c r="F18675" s="2">
        <v>1.09708371400967E-4</v>
      </c>
    </row>
    <row r="18676" spans="1:6" x14ac:dyDescent="0.25">
      <c r="A18676" s="1" t="str">
        <f t="shared" si="707"/>
        <v>31080</v>
      </c>
      <c r="B18676" s="1" t="str">
        <f>"91210"</f>
        <v>91210</v>
      </c>
      <c r="C18676" s="2">
        <v>6.9241450925670294E-5</v>
      </c>
      <c r="D18676" s="2">
        <v>6.6584415330082404E-4</v>
      </c>
      <c r="E18676" s="2">
        <v>5.0663694396595298E-5</v>
      </c>
      <c r="F18676" s="2">
        <v>1.2927526081242001E-4</v>
      </c>
    </row>
    <row r="18677" spans="1:6" x14ac:dyDescent="0.25">
      <c r="A18677" s="1" t="str">
        <f t="shared" si="707"/>
        <v>31080</v>
      </c>
      <c r="B18677" s="1" t="str">
        <f>"91066"</f>
        <v>91066</v>
      </c>
      <c r="C18677" s="2">
        <v>2.01139430931054E-4</v>
      </c>
      <c r="D18677" s="2">
        <v>7.0827539836411195E-4</v>
      </c>
      <c r="E18677" s="2">
        <v>5.6292993773994796E-6</v>
      </c>
      <c r="F18677" s="2">
        <v>2.4149220777895899E-4</v>
      </c>
    </row>
    <row r="18678" spans="1:6" x14ac:dyDescent="0.25">
      <c r="A18678" s="1" t="str">
        <f t="shared" si="707"/>
        <v>31080</v>
      </c>
      <c r="B18678" s="1" t="str">
        <f>"90711"</f>
        <v>90711</v>
      </c>
      <c r="C18678" s="2">
        <v>2.15506533140415E-4</v>
      </c>
      <c r="D18678" s="2">
        <v>1.82780747964932E-4</v>
      </c>
      <c r="E18678" s="2">
        <v>5.6292993773994796E-6</v>
      </c>
      <c r="F18678" s="2">
        <v>1.99682615019443E-4</v>
      </c>
    </row>
    <row r="18679" spans="1:6" x14ac:dyDescent="0.25">
      <c r="A18679" s="1" t="str">
        <f t="shared" si="707"/>
        <v>31080</v>
      </c>
      <c r="B18679" s="1" t="str">
        <f>"90742"</f>
        <v>90742</v>
      </c>
      <c r="C18679" s="2">
        <v>2.1450881770920899E-4</v>
      </c>
      <c r="D18679" s="2">
        <v>5.4344633100287805E-4</v>
      </c>
      <c r="E18679" s="2">
        <v>8.4439490660992304E-6</v>
      </c>
      <c r="F18679" s="2">
        <v>2.35973341534703E-4</v>
      </c>
    </row>
    <row r="18680" spans="1:6" x14ac:dyDescent="0.25">
      <c r="A18680" s="1" t="str">
        <f t="shared" si="707"/>
        <v>31080</v>
      </c>
      <c r="B18680" s="1" t="str">
        <f>"92619"</f>
        <v>92619</v>
      </c>
      <c r="C18680" s="2">
        <v>3.5478760733671999E-4</v>
      </c>
      <c r="D18680" s="2">
        <v>1.1815469779161601E-3</v>
      </c>
      <c r="E18680" s="2">
        <v>8.4439490660992304E-6</v>
      </c>
      <c r="F18680" s="2">
        <v>4.1893211945033998E-4</v>
      </c>
    </row>
    <row r="18681" spans="1:6" x14ac:dyDescent="0.25">
      <c r="A18681" s="1" t="str">
        <f t="shared" si="707"/>
        <v>31080</v>
      </c>
      <c r="B18681" s="1" t="str">
        <f>"91077"</f>
        <v>91077</v>
      </c>
      <c r="C18681" s="2">
        <v>1.3529021247148199E-4</v>
      </c>
      <c r="D18681" s="2">
        <v>3.5087375725410998E-4</v>
      </c>
      <c r="E18681" s="2">
        <v>5.6292993773994796E-6</v>
      </c>
      <c r="F18681" s="2">
        <v>1.4967834207906301E-4</v>
      </c>
    </row>
    <row r="18682" spans="1:6" x14ac:dyDescent="0.25">
      <c r="A18682" s="1" t="str">
        <f t="shared" si="707"/>
        <v>31080</v>
      </c>
      <c r="B18682" s="1" t="str">
        <f>"90807"</f>
        <v>90807</v>
      </c>
      <c r="C18682" s="2">
        <v>2.9512422455062301E-3</v>
      </c>
      <c r="D18682" s="2">
        <v>2.8836926933395999E-3</v>
      </c>
      <c r="E18682" s="2">
        <v>2.99760191846522E-3</v>
      </c>
      <c r="F18682" s="2">
        <v>2.9470745744326898E-3</v>
      </c>
    </row>
    <row r="18683" spans="1:6" x14ac:dyDescent="0.25">
      <c r="A18683" s="1" t="str">
        <f t="shared" si="707"/>
        <v>31080</v>
      </c>
      <c r="B18683" s="1" t="str">
        <f>"90814"</f>
        <v>90814</v>
      </c>
      <c r="C18683" s="2">
        <v>1.9192054034671399E-3</v>
      </c>
      <c r="D18683" s="2">
        <v>4.9611917304767303E-4</v>
      </c>
      <c r="E18683" s="2">
        <v>3.2255885432499001E-3</v>
      </c>
      <c r="F18683" s="2">
        <v>1.85099429064925E-3</v>
      </c>
    </row>
    <row r="18684" spans="1:6" x14ac:dyDescent="0.25">
      <c r="A18684" s="1" t="str">
        <f t="shared" si="707"/>
        <v>31080</v>
      </c>
      <c r="B18684" s="1" t="str">
        <f>"91006"</f>
        <v>91006</v>
      </c>
      <c r="C18684" s="2">
        <v>2.2221118083811599E-3</v>
      </c>
      <c r="D18684" s="2">
        <v>2.7939342903211001E-3</v>
      </c>
      <c r="E18684" s="2">
        <v>3.5239414102520802E-3</v>
      </c>
      <c r="F18684" s="2">
        <v>2.3580610316366402E-3</v>
      </c>
    </row>
    <row r="18685" spans="1:6" x14ac:dyDescent="0.25">
      <c r="A18685" s="1" t="str">
        <f t="shared" si="707"/>
        <v>31080</v>
      </c>
      <c r="B18685" s="1" t="str">
        <f>"90250"</f>
        <v>90250</v>
      </c>
      <c r="C18685" s="2">
        <v>6.7724923470237801E-3</v>
      </c>
      <c r="D18685" s="2">
        <v>3.7845406654524799E-3</v>
      </c>
      <c r="E18685" s="2">
        <v>1.38846669143558E-2</v>
      </c>
      <c r="F18685" s="2">
        <v>6.8888829797997698E-3</v>
      </c>
    </row>
    <row r="18686" spans="1:6" x14ac:dyDescent="0.25">
      <c r="A18686" s="1" t="str">
        <f t="shared" si="707"/>
        <v>31080</v>
      </c>
      <c r="B18686" s="1" t="str">
        <f>"90292"</f>
        <v>90292</v>
      </c>
      <c r="C18686" s="2">
        <v>3.4784350793552899E-3</v>
      </c>
      <c r="D18686" s="2">
        <v>1.8881904053162999E-3</v>
      </c>
      <c r="E18686" s="2">
        <v>5.8629153015615602E-3</v>
      </c>
      <c r="F18686" s="2">
        <v>3.45715160609878E-3</v>
      </c>
    </row>
    <row r="18687" spans="1:6" x14ac:dyDescent="0.25">
      <c r="A18687" s="1" t="str">
        <f t="shared" si="707"/>
        <v>31080</v>
      </c>
      <c r="B18687" s="1" t="str">
        <f>"91380"</f>
        <v>91380</v>
      </c>
      <c r="C18687" s="2">
        <v>3.1627579169218298E-4</v>
      </c>
      <c r="D18687" s="2">
        <v>1.1554354424926001E-3</v>
      </c>
      <c r="E18687" s="2">
        <v>2.8146496886997398E-6</v>
      </c>
      <c r="F18687" s="2">
        <v>3.8364482316130999E-4</v>
      </c>
    </row>
    <row r="18688" spans="1:6" x14ac:dyDescent="0.25">
      <c r="A18688" s="1" t="str">
        <f t="shared" si="707"/>
        <v>31080</v>
      </c>
      <c r="B18688" s="1" t="str">
        <f>"92697"</f>
        <v>92697</v>
      </c>
      <c r="C18688" s="2">
        <v>0</v>
      </c>
      <c r="D18688" s="2">
        <v>3.1007448315479497E-5</v>
      </c>
      <c r="E18688" s="2">
        <v>1.9139617883158201E-4</v>
      </c>
      <c r="F18688" s="2">
        <v>1.45497382803112E-5</v>
      </c>
    </row>
    <row r="18689" spans="1:6" x14ac:dyDescent="0.25">
      <c r="A18689" s="1" t="str">
        <f t="shared" si="707"/>
        <v>31080</v>
      </c>
      <c r="B18689" s="1" t="str">
        <f>"92615"</f>
        <v>92615</v>
      </c>
      <c r="C18689" s="2">
        <v>3.5957664140650702E-4</v>
      </c>
      <c r="D18689" s="2">
        <v>7.45810730535482E-4</v>
      </c>
      <c r="E18689" s="2">
        <v>8.4439490660992304E-6</v>
      </c>
      <c r="F18689" s="2">
        <v>3.7829319528809199E-4</v>
      </c>
    </row>
    <row r="18690" spans="1:6" x14ac:dyDescent="0.25">
      <c r="A18690" s="1" t="str">
        <f t="shared" si="707"/>
        <v>31080</v>
      </c>
      <c r="B18690" s="1" t="str">
        <f>"92799"</f>
        <v>92799</v>
      </c>
      <c r="C18690" s="2">
        <v>2.56612408906086E-4</v>
      </c>
      <c r="D18690" s="2">
        <v>5.8587757606616596E-4</v>
      </c>
      <c r="E18690" s="2">
        <v>2.8146496886997398E-6</v>
      </c>
      <c r="F18690" s="2">
        <v>2.7527435872864699E-4</v>
      </c>
    </row>
    <row r="18691" spans="1:6" x14ac:dyDescent="0.25">
      <c r="A18691" s="1" t="str">
        <f t="shared" si="707"/>
        <v>31080</v>
      </c>
      <c r="B18691" s="1" t="str">
        <f>"90012"</f>
        <v>90012</v>
      </c>
      <c r="C18691" s="2">
        <v>2.87581495890709E-3</v>
      </c>
      <c r="D18691" s="2">
        <v>7.6147765178961897E-3</v>
      </c>
      <c r="E18691" s="2">
        <v>3.3297305817317898E-3</v>
      </c>
      <c r="F18691" s="2">
        <v>3.38841663560213E-3</v>
      </c>
    </row>
    <row r="18692" spans="1:6" x14ac:dyDescent="0.25">
      <c r="A18692" s="1" t="str">
        <f t="shared" si="707"/>
        <v>31080</v>
      </c>
      <c r="B18692" s="1" t="str">
        <f>"90016"</f>
        <v>90016</v>
      </c>
      <c r="C18692" s="2">
        <v>3.6572256846273401E-3</v>
      </c>
      <c r="D18692" s="2">
        <v>2.5050754296979498E-3</v>
      </c>
      <c r="E18692" s="2">
        <v>5.1001452359239301E-3</v>
      </c>
      <c r="F18692" s="2">
        <v>3.6248916922499499E-3</v>
      </c>
    </row>
    <row r="18693" spans="1:6" x14ac:dyDescent="0.25">
      <c r="A18693" s="1" t="str">
        <f t="shared" si="707"/>
        <v>31080</v>
      </c>
      <c r="B18693" s="1" t="str">
        <f>"93552"</f>
        <v>93552</v>
      </c>
      <c r="C18693" s="2">
        <v>2.2131323695003102E-3</v>
      </c>
      <c r="D18693" s="2">
        <v>3.8024923460561698E-4</v>
      </c>
      <c r="E18693" s="2">
        <v>1.6606433163328401E-4</v>
      </c>
      <c r="F18693" s="2">
        <v>1.90367437752624E-3</v>
      </c>
    </row>
    <row r="18694" spans="1:6" x14ac:dyDescent="0.25">
      <c r="A18694" s="1" t="str">
        <f t="shared" si="707"/>
        <v>31080</v>
      </c>
      <c r="B18694" s="1" t="str">
        <f>"93544"</f>
        <v>93544</v>
      </c>
      <c r="C18694" s="2">
        <v>1.06755551139001E-4</v>
      </c>
      <c r="D18694" s="2">
        <v>9.7918257838356497E-6</v>
      </c>
      <c r="E18694" s="2">
        <v>1.68878981321984E-5</v>
      </c>
      <c r="F18694" s="2">
        <v>9.1479388957818898E-5</v>
      </c>
    </row>
    <row r="18695" spans="1:6" x14ac:dyDescent="0.25">
      <c r="A18695" s="1" t="str">
        <f t="shared" si="707"/>
        <v>31080</v>
      </c>
      <c r="B18695" s="1" t="str">
        <f>"93543"</f>
        <v>93543</v>
      </c>
      <c r="C18695" s="2">
        <v>1.0577779001642001E-3</v>
      </c>
      <c r="D18695" s="2">
        <v>4.5205595702041201E-4</v>
      </c>
      <c r="E18695" s="2">
        <v>4.5034395019195898E-5</v>
      </c>
      <c r="F18695" s="2">
        <v>9.3553144758690902E-4</v>
      </c>
    </row>
    <row r="18696" spans="1:6" x14ac:dyDescent="0.25">
      <c r="A18696" s="1" t="str">
        <f t="shared" si="707"/>
        <v>31080</v>
      </c>
      <c r="B18696" s="1" t="str">
        <f>"93510"</f>
        <v>93510</v>
      </c>
      <c r="C18696" s="2">
        <v>7.0259120665500097E-4</v>
      </c>
      <c r="D18696" s="2">
        <v>5.2875859232712501E-4</v>
      </c>
      <c r="E18696" s="2">
        <v>7.3180891906193297E-5</v>
      </c>
      <c r="F18696" s="2">
        <v>6.47379734288331E-4</v>
      </c>
    </row>
    <row r="18697" spans="1:6" x14ac:dyDescent="0.25">
      <c r="A18697" s="1" t="str">
        <f t="shared" si="707"/>
        <v>31080</v>
      </c>
      <c r="B18697" s="1" t="str">
        <f>"91426"</f>
        <v>91426</v>
      </c>
      <c r="C18697" s="2">
        <v>1.77593346754601E-4</v>
      </c>
      <c r="D18697" s="2">
        <v>6.8542780486849505E-4</v>
      </c>
      <c r="E18697" s="2">
        <v>5.6292993773994796E-6</v>
      </c>
      <c r="F18697" s="2">
        <v>2.1941674280193501E-4</v>
      </c>
    </row>
    <row r="18698" spans="1:6" x14ac:dyDescent="0.25">
      <c r="A18698" s="1" t="str">
        <f t="shared" si="707"/>
        <v>31080</v>
      </c>
      <c r="B18698" s="1" t="str">
        <f>"91506"</f>
        <v>91506</v>
      </c>
      <c r="C18698" s="2">
        <v>1.6021314394299899E-3</v>
      </c>
      <c r="D18698" s="2">
        <v>1.7364171056668499E-3</v>
      </c>
      <c r="E18698" s="2">
        <v>1.84922484547573E-3</v>
      </c>
      <c r="F18698" s="2">
        <v>1.6305741176210801E-3</v>
      </c>
    </row>
    <row r="18699" spans="1:6" x14ac:dyDescent="0.25">
      <c r="A18699" s="1" t="str">
        <f t="shared" si="707"/>
        <v>31080</v>
      </c>
      <c r="B18699" s="1" t="str">
        <f>"91604"</f>
        <v>91604</v>
      </c>
      <c r="C18699" s="2">
        <v>3.0617891152838199E-3</v>
      </c>
      <c r="D18699" s="2">
        <v>2.5393468199413701E-3</v>
      </c>
      <c r="E18699" s="2">
        <v>3.7237815381497598E-3</v>
      </c>
      <c r="F18699" s="2">
        <v>3.0475848354265698E-3</v>
      </c>
    </row>
    <row r="18700" spans="1:6" x14ac:dyDescent="0.25">
      <c r="A18700" s="1" t="str">
        <f t="shared" si="707"/>
        <v>31080</v>
      </c>
      <c r="B18700" s="1" t="str">
        <f>"91403"</f>
        <v>91403</v>
      </c>
      <c r="C18700" s="2">
        <v>2.45597630545576E-3</v>
      </c>
      <c r="D18700" s="2">
        <v>2.9636592705742501E-3</v>
      </c>
      <c r="E18700" s="2">
        <v>2.75554204523704E-3</v>
      </c>
      <c r="F18700" s="2">
        <v>2.5258011177878201E-3</v>
      </c>
    </row>
    <row r="18701" spans="1:6" x14ac:dyDescent="0.25">
      <c r="A18701" s="1" t="str">
        <f t="shared" si="707"/>
        <v>31080</v>
      </c>
      <c r="B18701" s="1" t="str">
        <f>"91408"</f>
        <v>91408</v>
      </c>
      <c r="C18701" s="2">
        <v>5.9463839699855197E-5</v>
      </c>
      <c r="D18701" s="2">
        <v>1.2402979326191799E-4</v>
      </c>
      <c r="E18701" s="2">
        <v>8.4439490660992304E-6</v>
      </c>
      <c r="F18701" s="2">
        <v>6.3048865881348701E-5</v>
      </c>
    </row>
    <row r="18702" spans="1:6" x14ac:dyDescent="0.25">
      <c r="A18702" s="1" t="str">
        <f t="shared" si="707"/>
        <v>31080</v>
      </c>
      <c r="B18702" s="1" t="str">
        <f>"91343"</f>
        <v>91343</v>
      </c>
      <c r="C18702" s="2">
        <v>3.6197115844140001E-3</v>
      </c>
      <c r="D18702" s="2">
        <v>1.2272421649073999E-3</v>
      </c>
      <c r="E18702" s="2">
        <v>2.5669605160941601E-3</v>
      </c>
      <c r="F18702" s="2">
        <v>3.3119887000377401E-3</v>
      </c>
    </row>
    <row r="18703" spans="1:6" x14ac:dyDescent="0.25">
      <c r="A18703" s="1" t="str">
        <f t="shared" si="707"/>
        <v>31080</v>
      </c>
      <c r="B18703" s="1" t="str">
        <f>"91345"</f>
        <v>91345</v>
      </c>
      <c r="C18703" s="2">
        <v>1.05258977992193E-3</v>
      </c>
      <c r="D18703" s="2">
        <v>9.7591863645561997E-4</v>
      </c>
      <c r="E18703" s="2">
        <v>6.7833057497663802E-4</v>
      </c>
      <c r="F18703" s="2">
        <v>1.0224954005266999E-3</v>
      </c>
    </row>
    <row r="18704" spans="1:6" x14ac:dyDescent="0.25">
      <c r="A18704" s="1" t="str">
        <f t="shared" si="707"/>
        <v>31080</v>
      </c>
      <c r="B18704" s="1" t="str">
        <f>"91324"</f>
        <v>91324</v>
      </c>
      <c r="C18704" s="2">
        <v>2.1907835438413101E-3</v>
      </c>
      <c r="D18704" s="2">
        <v>4.1027750034271296E-3</v>
      </c>
      <c r="E18704" s="2">
        <v>2.1897974578084E-3</v>
      </c>
      <c r="F18704" s="2">
        <v>2.3866587930841498E-3</v>
      </c>
    </row>
    <row r="18705" spans="1:6" x14ac:dyDescent="0.25">
      <c r="A18705" s="1" t="str">
        <f t="shared" si="707"/>
        <v>31080</v>
      </c>
      <c r="B18705" s="1" t="str">
        <f>"91381"</f>
        <v>91381</v>
      </c>
      <c r="C18705" s="2">
        <v>1.3826340445647501E-3</v>
      </c>
      <c r="D18705" s="2">
        <v>4.70007637624111E-4</v>
      </c>
      <c r="E18705" s="2">
        <v>8.0780446065682602E-4</v>
      </c>
      <c r="F18705" s="2">
        <v>1.2549567362696E-3</v>
      </c>
    </row>
    <row r="18706" spans="1:6" x14ac:dyDescent="0.25">
      <c r="A18706" s="1" t="str">
        <f t="shared" si="707"/>
        <v>31080</v>
      </c>
      <c r="B18706" s="1" t="str">
        <f>"91384"</f>
        <v>91384</v>
      </c>
      <c r="C18706" s="2">
        <v>1.42693260971028E-3</v>
      </c>
      <c r="D18706" s="2">
        <v>5.3855041811095997E-4</v>
      </c>
      <c r="E18706" s="2">
        <v>2.75835669492574E-4</v>
      </c>
      <c r="F18706" s="2">
        <v>1.26749961409745E-3</v>
      </c>
    </row>
    <row r="18707" spans="1:6" x14ac:dyDescent="0.25">
      <c r="A18707" s="1" t="str">
        <f t="shared" si="707"/>
        <v>31080</v>
      </c>
      <c r="B18707" s="1" t="str">
        <f>"92653"</f>
        <v>92653</v>
      </c>
      <c r="C18707" s="2">
        <v>2.1849967943403099E-3</v>
      </c>
      <c r="D18707" s="2">
        <v>4.7751470405838501E-3</v>
      </c>
      <c r="E18707" s="2">
        <v>2.0828407696378099E-3</v>
      </c>
      <c r="F18707" s="2">
        <v>2.4443560310922802E-3</v>
      </c>
    </row>
    <row r="18708" spans="1:6" x14ac:dyDescent="0.25">
      <c r="A18708" s="1" t="str">
        <f t="shared" si="707"/>
        <v>31080</v>
      </c>
      <c r="B18708" s="1" t="str">
        <f>"91744"</f>
        <v>91744</v>
      </c>
      <c r="C18708" s="2">
        <v>3.8457939011252002E-3</v>
      </c>
      <c r="D18708" s="2">
        <v>2.7302874227261701E-3</v>
      </c>
      <c r="E18708" s="2">
        <v>1.54242802940745E-3</v>
      </c>
      <c r="F18708" s="2">
        <v>3.5946215470920601E-3</v>
      </c>
    </row>
    <row r="18709" spans="1:6" x14ac:dyDescent="0.25">
      <c r="A18709" s="1" t="str">
        <f t="shared" si="707"/>
        <v>31080</v>
      </c>
      <c r="B18709" s="1" t="str">
        <f>"91746"</f>
        <v>91746</v>
      </c>
      <c r="C18709" s="2">
        <v>1.44728600450688E-3</v>
      </c>
      <c r="D18709" s="2">
        <v>3.0501537316647998E-3</v>
      </c>
      <c r="E18709" s="2">
        <v>6.8395987435403702E-4</v>
      </c>
      <c r="F18709" s="2">
        <v>1.5661873447714301E-3</v>
      </c>
    </row>
    <row r="18710" spans="1:6" x14ac:dyDescent="0.25">
      <c r="A18710" s="1" t="str">
        <f t="shared" si="707"/>
        <v>31080</v>
      </c>
      <c r="B18710" s="1" t="str">
        <f>"92782"</f>
        <v>92782</v>
      </c>
      <c r="C18710" s="2">
        <v>2.25224281440357E-3</v>
      </c>
      <c r="D18710" s="2">
        <v>5.0264705690356297E-4</v>
      </c>
      <c r="E18710" s="2">
        <v>2.8146496886997398E-4</v>
      </c>
      <c r="F18710" s="2">
        <v>1.9558527492901101E-3</v>
      </c>
    </row>
    <row r="18711" spans="1:6" x14ac:dyDescent="0.25">
      <c r="A18711" s="1" t="str">
        <f t="shared" si="707"/>
        <v>31080</v>
      </c>
      <c r="B18711" s="1" t="str">
        <f>"92806"</f>
        <v>92806</v>
      </c>
      <c r="C18711" s="2">
        <v>2.96461163228439E-3</v>
      </c>
      <c r="D18711" s="2">
        <v>5.8587757606616596E-3</v>
      </c>
      <c r="E18711" s="2">
        <v>3.8222942772542499E-3</v>
      </c>
      <c r="F18711" s="2">
        <v>3.3121559384087802E-3</v>
      </c>
    </row>
    <row r="18712" spans="1:6" x14ac:dyDescent="0.25">
      <c r="A18712" s="1" t="str">
        <f t="shared" si="707"/>
        <v>31080</v>
      </c>
      <c r="B18712" s="1" t="str">
        <f>"92812"</f>
        <v>92812</v>
      </c>
      <c r="C18712" s="2">
        <v>2.76367174443958E-4</v>
      </c>
      <c r="D18712" s="2">
        <v>2.0562834146054801E-4</v>
      </c>
      <c r="E18712" s="2">
        <v>8.4439490660992304E-6</v>
      </c>
      <c r="F18712" s="2">
        <v>2.53198893751623E-4</v>
      </c>
    </row>
    <row r="18713" spans="1:6" x14ac:dyDescent="0.25">
      <c r="A18713" s="1" t="str">
        <f t="shared" si="707"/>
        <v>31080</v>
      </c>
      <c r="B18713" s="1" t="str">
        <f>"92861"</f>
        <v>92861</v>
      </c>
      <c r="C18713" s="2">
        <v>4.0327657729331303E-4</v>
      </c>
      <c r="D18713" s="2">
        <v>1.04446141694246E-4</v>
      </c>
      <c r="E18713" s="2">
        <v>2.5331847198297601E-5</v>
      </c>
      <c r="F18713" s="2">
        <v>3.5019714895369802E-4</v>
      </c>
    </row>
    <row r="18714" spans="1:6" x14ac:dyDescent="0.25">
      <c r="A18714" s="1" t="str">
        <f t="shared" si="707"/>
        <v>31080</v>
      </c>
      <c r="B18714" s="1" t="str">
        <f>"92866"</f>
        <v>92866</v>
      </c>
      <c r="C18714" s="2">
        <v>1.214020136691E-3</v>
      </c>
      <c r="D18714" s="2">
        <v>1.2451938455111001E-3</v>
      </c>
      <c r="E18714" s="2">
        <v>1.62123822069105E-3</v>
      </c>
      <c r="F18714" s="2">
        <v>1.24141042821552E-3</v>
      </c>
    </row>
    <row r="18715" spans="1:6" x14ac:dyDescent="0.25">
      <c r="A18715" s="1" t="str">
        <f t="shared" si="707"/>
        <v>31080</v>
      </c>
      <c r="B18715" s="1" t="str">
        <f>"92735"</f>
        <v>92735</v>
      </c>
      <c r="C18715" s="2">
        <v>1.19326765572192E-4</v>
      </c>
      <c r="D18715" s="2">
        <v>1.71356951217123E-4</v>
      </c>
      <c r="E18715" s="2">
        <v>8.4439490660992304E-6</v>
      </c>
      <c r="F18715" s="2">
        <v>1.1807028995287E-4</v>
      </c>
    </row>
    <row r="18716" spans="1:6" x14ac:dyDescent="0.25">
      <c r="A18716" s="1" t="str">
        <f t="shared" si="707"/>
        <v>31080</v>
      </c>
      <c r="B18716" s="1" t="str">
        <f>"90069"</f>
        <v>90069</v>
      </c>
      <c r="C18716" s="2">
        <v>3.3247869029496202E-3</v>
      </c>
      <c r="D18716" s="2">
        <v>4.3263550254913803E-3</v>
      </c>
      <c r="E18716" s="2">
        <v>4.2332331318044097E-3</v>
      </c>
      <c r="F18716" s="2">
        <v>3.4814011698993002E-3</v>
      </c>
    </row>
    <row r="18717" spans="1:6" x14ac:dyDescent="0.25">
      <c r="A18717" s="1" t="str">
        <f t="shared" si="707"/>
        <v>31080</v>
      </c>
      <c r="B18717" s="1" t="str">
        <f>"90065"</f>
        <v>90065</v>
      </c>
      <c r="C18717" s="2">
        <v>3.2445705822806898E-3</v>
      </c>
      <c r="D18717" s="2">
        <v>2.11340239834452E-3</v>
      </c>
      <c r="E18717" s="2">
        <v>2.03217707524121E-3</v>
      </c>
      <c r="F18717" s="2">
        <v>3.0566157074626201E-3</v>
      </c>
    </row>
    <row r="18718" spans="1:6" x14ac:dyDescent="0.25">
      <c r="A18718" s="1" t="str">
        <f t="shared" si="707"/>
        <v>31080</v>
      </c>
      <c r="B18718" s="1" t="str">
        <f>"90020"</f>
        <v>90020</v>
      </c>
      <c r="C18718" s="2">
        <v>3.7605890033002398E-3</v>
      </c>
      <c r="D18718" s="2">
        <v>2.5997297456083601E-3</v>
      </c>
      <c r="E18718" s="2">
        <v>3.9573974623118404E-3</v>
      </c>
      <c r="F18718" s="2">
        <v>3.65332221532642E-3</v>
      </c>
    </row>
    <row r="18719" spans="1:6" x14ac:dyDescent="0.25">
      <c r="A18719" s="1" t="str">
        <f t="shared" si="707"/>
        <v>31080</v>
      </c>
      <c r="B18719" s="1" t="str">
        <f>"90210"</f>
        <v>90210</v>
      </c>
      <c r="C18719" s="2">
        <v>1.9828596479780501E-3</v>
      </c>
      <c r="D18719" s="2">
        <v>3.37654792445932E-3</v>
      </c>
      <c r="E18719" s="2">
        <v>1.53116943065266E-3</v>
      </c>
      <c r="F18719" s="2">
        <v>2.0988415565276501E-3</v>
      </c>
    </row>
    <row r="18720" spans="1:6" x14ac:dyDescent="0.25">
      <c r="A18720" s="1" t="str">
        <f t="shared" si="707"/>
        <v>31080</v>
      </c>
      <c r="B18720" s="1" t="str">
        <f>"90089"</f>
        <v>90089</v>
      </c>
      <c r="C18720" s="2">
        <v>1.99543086241125E-7</v>
      </c>
      <c r="D18720" s="2">
        <v>9.5307104296000296E-4</v>
      </c>
      <c r="E18720" s="2">
        <v>3.5183121108746802E-4</v>
      </c>
      <c r="F18720" s="2">
        <v>1.1873924343702199E-4</v>
      </c>
    </row>
    <row r="18721" spans="1:6" x14ac:dyDescent="0.25">
      <c r="A18721" s="1" t="str">
        <f t="shared" si="707"/>
        <v>31080</v>
      </c>
      <c r="B18721" s="1" t="str">
        <f>"90230"</f>
        <v>90230</v>
      </c>
      <c r="C18721" s="2">
        <v>2.63217285060668E-3</v>
      </c>
      <c r="D18721" s="2">
        <v>2.8477893321322001E-3</v>
      </c>
      <c r="E18721" s="2">
        <v>2.0518796230621101E-3</v>
      </c>
      <c r="F18721" s="2">
        <v>2.6197890823112099E-3</v>
      </c>
    </row>
    <row r="18722" spans="1:6" x14ac:dyDescent="0.25">
      <c r="A18722" s="1" t="str">
        <f t="shared" si="707"/>
        <v>31080</v>
      </c>
      <c r="B18722" s="1" t="str">
        <f>"90054"</f>
        <v>90054</v>
      </c>
      <c r="C18722" s="2">
        <v>1.30102092229213E-4</v>
      </c>
      <c r="D18722" s="2">
        <v>3.9167303135342599E-5</v>
      </c>
      <c r="E18722" s="2">
        <v>5.6292993773994796E-6</v>
      </c>
      <c r="F18722" s="2">
        <v>1.1338761556380399E-4</v>
      </c>
    </row>
    <row r="18723" spans="1:6" x14ac:dyDescent="0.25">
      <c r="A18723" s="1" t="str">
        <f t="shared" si="707"/>
        <v>31080</v>
      </c>
      <c r="B18723" s="1" t="str">
        <f>"90202"</f>
        <v>90202</v>
      </c>
      <c r="C18723" s="2">
        <v>2.3585992793700899E-4</v>
      </c>
      <c r="D18723" s="2">
        <v>1.45245415793562E-4</v>
      </c>
      <c r="E18723" s="2">
        <v>5.6292993773994796E-6</v>
      </c>
      <c r="F18723" s="2">
        <v>2.1289444633145E-4</v>
      </c>
    </row>
    <row r="18724" spans="1:6" x14ac:dyDescent="0.25">
      <c r="A18724" s="1" t="str">
        <f t="shared" si="707"/>
        <v>31080</v>
      </c>
      <c r="B18724" s="1" t="str">
        <f>"90028"</f>
        <v>90028</v>
      </c>
      <c r="C18724" s="2">
        <v>4.2698229593875897E-3</v>
      </c>
      <c r="D18724" s="2">
        <v>6.8787576131445396E-3</v>
      </c>
      <c r="E18724" s="2">
        <v>5.17332612783013E-3</v>
      </c>
      <c r="F18724" s="2">
        <v>4.5908605233657904E-3</v>
      </c>
    </row>
    <row r="18725" spans="1:6" x14ac:dyDescent="0.25">
      <c r="A18725" s="1" t="str">
        <f t="shared" si="707"/>
        <v>31080</v>
      </c>
      <c r="B18725" s="1" t="str">
        <f>"91126"</f>
        <v>91126</v>
      </c>
      <c r="C18725" s="2">
        <v>0</v>
      </c>
      <c r="D18725" s="2">
        <v>3.2639419279452099E-6</v>
      </c>
      <c r="E18725" s="2">
        <v>0</v>
      </c>
      <c r="F18725" s="2">
        <v>3.3447674207611999E-7</v>
      </c>
    </row>
    <row r="18726" spans="1:6" x14ac:dyDescent="0.25">
      <c r="A18726" s="1" t="str">
        <f t="shared" si="707"/>
        <v>31080</v>
      </c>
      <c r="B18726" s="1" t="str">
        <f>"91786"</f>
        <v>91786</v>
      </c>
      <c r="C18726" s="2">
        <v>7.9817234496449999E-7</v>
      </c>
      <c r="D18726" s="2">
        <v>0</v>
      </c>
      <c r="E18726" s="2">
        <v>0</v>
      </c>
      <c r="F18726" s="2">
        <v>6.6895348415224105E-7</v>
      </c>
    </row>
    <row r="18727" spans="1:6" x14ac:dyDescent="0.25">
      <c r="A18727" s="1" t="str">
        <f t="shared" si="707"/>
        <v>31080</v>
      </c>
      <c r="B18727" s="1" t="str">
        <f>"90261"</f>
        <v>90261</v>
      </c>
      <c r="C18727" s="2">
        <v>0</v>
      </c>
      <c r="D18727" s="2">
        <v>1.6319709639726001E-6</v>
      </c>
      <c r="E18727" s="2">
        <v>2.8146496886997398E-6</v>
      </c>
      <c r="F18727" s="2">
        <v>3.3447674207611999E-7</v>
      </c>
    </row>
    <row r="18728" spans="1:6" x14ac:dyDescent="0.25">
      <c r="A18728" s="1" t="str">
        <f t="shared" si="707"/>
        <v>31080</v>
      </c>
      <c r="B18728" s="1" t="str">
        <f>"91371"</f>
        <v>91371</v>
      </c>
      <c r="C18728" s="2">
        <v>0</v>
      </c>
      <c r="D18728" s="2">
        <v>0</v>
      </c>
      <c r="E18728" s="2">
        <v>5.6292993773994796E-6</v>
      </c>
      <c r="F18728" s="2">
        <v>3.3447674207611999E-7</v>
      </c>
    </row>
    <row r="18729" spans="1:6" x14ac:dyDescent="0.25">
      <c r="A18729" s="1" t="str">
        <f t="shared" ref="A18729:A18792" si="708">"31080"</f>
        <v>31080</v>
      </c>
      <c r="B18729" s="1" t="str">
        <f>"91129"</f>
        <v>91129</v>
      </c>
      <c r="C18729" s="2">
        <v>0</v>
      </c>
      <c r="D18729" s="2">
        <v>0</v>
      </c>
      <c r="E18729" s="2">
        <v>2.8146496886997398E-6</v>
      </c>
      <c r="F18729" s="2">
        <v>1.6723837103806E-7</v>
      </c>
    </row>
    <row r="18730" spans="1:6" x14ac:dyDescent="0.25">
      <c r="A18730" s="1" t="str">
        <f t="shared" si="708"/>
        <v>31080</v>
      </c>
      <c r="B18730" s="1" t="str">
        <f>"91496"</f>
        <v>91496</v>
      </c>
      <c r="C18730" s="2">
        <v>0</v>
      </c>
      <c r="D18730" s="2">
        <v>0</v>
      </c>
      <c r="E18730" s="2">
        <v>8.4439490660992304E-6</v>
      </c>
      <c r="F18730" s="2">
        <v>5.0171511311418002E-7</v>
      </c>
    </row>
    <row r="18731" spans="1:6" x14ac:dyDescent="0.25">
      <c r="A18731" s="1" t="str">
        <f t="shared" si="708"/>
        <v>31080</v>
      </c>
      <c r="B18731" s="1" t="str">
        <f>"91321"</f>
        <v>91321</v>
      </c>
      <c r="C18731" s="2">
        <v>2.3815467342878198E-3</v>
      </c>
      <c r="D18731" s="2">
        <v>1.98447669219069E-3</v>
      </c>
      <c r="E18731" s="2">
        <v>3.86451402258474E-3</v>
      </c>
      <c r="F18731" s="2">
        <v>2.4289701009567802E-3</v>
      </c>
    </row>
    <row r="18732" spans="1:6" x14ac:dyDescent="0.25">
      <c r="A18732" s="1" t="str">
        <f t="shared" si="708"/>
        <v>31080</v>
      </c>
      <c r="B18732" s="1" t="str">
        <f>"91316"</f>
        <v>91316</v>
      </c>
      <c r="C18732" s="2">
        <v>2.6002459568080999E-3</v>
      </c>
      <c r="D18732" s="2">
        <v>1.9404134761634301E-3</v>
      </c>
      <c r="E18732" s="2">
        <v>1.51709618220916E-3</v>
      </c>
      <c r="F18732" s="2">
        <v>2.4682711181507298E-3</v>
      </c>
    </row>
    <row r="18733" spans="1:6" x14ac:dyDescent="0.25">
      <c r="A18733" s="1" t="str">
        <f t="shared" si="708"/>
        <v>31080</v>
      </c>
      <c r="B18733" s="1" t="str">
        <f>"91225"</f>
        <v>91225</v>
      </c>
      <c r="C18733" s="2">
        <v>2.4543799607658302E-4</v>
      </c>
      <c r="D18733" s="2">
        <v>2.15420167244384E-4</v>
      </c>
      <c r="E18733" s="2">
        <v>5.6292993773994796E-6</v>
      </c>
      <c r="F18733" s="2">
        <v>2.2811313809591399E-4</v>
      </c>
    </row>
    <row r="18734" spans="1:6" x14ac:dyDescent="0.25">
      <c r="A18734" s="1" t="str">
        <f t="shared" si="708"/>
        <v>31080</v>
      </c>
      <c r="B18734" s="1" t="str">
        <f>"91116"</f>
        <v>91116</v>
      </c>
      <c r="C18734" s="2">
        <v>7.6824088202833094E-5</v>
      </c>
      <c r="D18734" s="2">
        <v>1.82780747964932E-4</v>
      </c>
      <c r="E18734" s="2">
        <v>5.6292993773994796E-6</v>
      </c>
      <c r="F18734" s="2">
        <v>8.3451947147992006E-5</v>
      </c>
    </row>
    <row r="18735" spans="1:6" x14ac:dyDescent="0.25">
      <c r="A18735" s="1" t="str">
        <f t="shared" si="708"/>
        <v>31080</v>
      </c>
      <c r="B18735" s="1" t="str">
        <f>"90401"</f>
        <v>90401</v>
      </c>
      <c r="C18735" s="2">
        <v>1.2028457238614999E-3</v>
      </c>
      <c r="D18735" s="2">
        <v>3.9036745458224799E-3</v>
      </c>
      <c r="E18735" s="2">
        <v>2.3361592416207798E-3</v>
      </c>
      <c r="F18735" s="2">
        <v>1.54695493210205E-3</v>
      </c>
    </row>
    <row r="18736" spans="1:6" x14ac:dyDescent="0.25">
      <c r="A18736" s="1" t="str">
        <f t="shared" si="708"/>
        <v>31080</v>
      </c>
      <c r="B18736" s="1" t="str">
        <f>"90710"</f>
        <v>90710</v>
      </c>
      <c r="C18736" s="2">
        <v>1.96929071811366E-3</v>
      </c>
      <c r="D18736" s="2">
        <v>1.50630919974671E-3</v>
      </c>
      <c r="E18736" s="2">
        <v>2.4093401335269801E-3</v>
      </c>
      <c r="F18736" s="2">
        <v>1.94799254585132E-3</v>
      </c>
    </row>
    <row r="18737" spans="1:6" x14ac:dyDescent="0.25">
      <c r="A18737" s="1" t="str">
        <f t="shared" si="708"/>
        <v>31080</v>
      </c>
      <c r="B18737" s="1" t="str">
        <f>"90717"</f>
        <v>90717</v>
      </c>
      <c r="C18737" s="2">
        <v>2.0121924816555001E-3</v>
      </c>
      <c r="D18737" s="2">
        <v>1.9567331858031502E-3</v>
      </c>
      <c r="E18737" s="2">
        <v>1.53116943065266E-3</v>
      </c>
      <c r="F18737" s="2">
        <v>1.97792821426713E-3</v>
      </c>
    </row>
    <row r="18738" spans="1:6" x14ac:dyDescent="0.25">
      <c r="A18738" s="1" t="str">
        <f t="shared" si="708"/>
        <v>31080</v>
      </c>
      <c r="B18738" s="1" t="str">
        <f>"90714"</f>
        <v>90714</v>
      </c>
      <c r="C18738" s="2">
        <v>1.85375527118005E-4</v>
      </c>
      <c r="D18738" s="2">
        <v>4.7653552148000099E-4</v>
      </c>
      <c r="E18738" s="2">
        <v>5.6292993773994796E-6</v>
      </c>
      <c r="F18738" s="2">
        <v>2.0453252777954701E-4</v>
      </c>
    </row>
    <row r="18739" spans="1:6" x14ac:dyDescent="0.25">
      <c r="A18739" s="1" t="str">
        <f t="shared" si="708"/>
        <v>31080</v>
      </c>
      <c r="B18739" s="1" t="str">
        <f>"90810"</f>
        <v>90810</v>
      </c>
      <c r="C18739" s="2">
        <v>2.1706296921309501E-3</v>
      </c>
      <c r="D18739" s="2">
        <v>1.5846438060173999E-3</v>
      </c>
      <c r="E18739" s="2">
        <v>1.9561815336463198E-3</v>
      </c>
      <c r="F18739" s="2">
        <v>2.0978381263014202E-3</v>
      </c>
    </row>
    <row r="18740" spans="1:6" x14ac:dyDescent="0.25">
      <c r="A18740" s="1" t="str">
        <f t="shared" si="708"/>
        <v>31080</v>
      </c>
      <c r="B18740" s="1" t="str">
        <f>"91010"</f>
        <v>91010</v>
      </c>
      <c r="C18740" s="2">
        <v>1.7062929304478599E-3</v>
      </c>
      <c r="D18740" s="2">
        <v>1.20113062948384E-3</v>
      </c>
      <c r="E18740" s="2">
        <v>9.6261019353531204E-4</v>
      </c>
      <c r="F18740" s="2">
        <v>1.61033827472548E-3</v>
      </c>
    </row>
    <row r="18741" spans="1:6" x14ac:dyDescent="0.25">
      <c r="A18741" s="1" t="str">
        <f t="shared" si="708"/>
        <v>31080</v>
      </c>
      <c r="B18741" s="1" t="str">
        <f>"90801"</f>
        <v>90801</v>
      </c>
      <c r="C18741" s="2">
        <v>6.1958128277869295E-4</v>
      </c>
      <c r="D18741" s="2">
        <v>5.7608575028233002E-4</v>
      </c>
      <c r="E18741" s="2">
        <v>5.6292993773994796E-6</v>
      </c>
      <c r="F18741" s="2">
        <v>5.78644763791688E-4</v>
      </c>
    </row>
    <row r="18742" spans="1:6" x14ac:dyDescent="0.25">
      <c r="A18742" s="1" t="str">
        <f t="shared" si="708"/>
        <v>31080</v>
      </c>
      <c r="B18742" s="1" t="str">
        <f>"90831"</f>
        <v>90831</v>
      </c>
      <c r="C18742" s="2">
        <v>0</v>
      </c>
      <c r="D18742" s="2">
        <v>2.3173987688411001E-4</v>
      </c>
      <c r="E18742" s="2">
        <v>5.6292993773994796E-6</v>
      </c>
      <c r="F18742" s="2">
        <v>2.4082325429480598E-5</v>
      </c>
    </row>
    <row r="18743" spans="1:6" x14ac:dyDescent="0.25">
      <c r="A18743" s="1" t="str">
        <f t="shared" si="708"/>
        <v>31080</v>
      </c>
      <c r="B18743" s="1" t="str">
        <f>"90294"</f>
        <v>90294</v>
      </c>
      <c r="C18743" s="2">
        <v>1.6861390787374999E-4</v>
      </c>
      <c r="D18743" s="2">
        <v>3.6882543785780902E-4</v>
      </c>
      <c r="E18743" s="2">
        <v>5.6292993773994796E-6</v>
      </c>
      <c r="F18743" s="2">
        <v>1.79446772123838E-4</v>
      </c>
    </row>
    <row r="18744" spans="1:6" x14ac:dyDescent="0.25">
      <c r="A18744" s="1" t="str">
        <f t="shared" si="708"/>
        <v>31080</v>
      </c>
      <c r="B18744" s="1" t="str">
        <f>"90295"</f>
        <v>90295</v>
      </c>
      <c r="C18744" s="2">
        <v>3.3203969550523198E-4</v>
      </c>
      <c r="D18744" s="2">
        <v>3.8514514749753501E-4</v>
      </c>
      <c r="E18744" s="2">
        <v>8.4439490660992304E-6</v>
      </c>
      <c r="F18744" s="2">
        <v>3.1825462008542801E-4</v>
      </c>
    </row>
    <row r="18745" spans="1:6" x14ac:dyDescent="0.25">
      <c r="A18745" s="1" t="str">
        <f t="shared" si="708"/>
        <v>31080</v>
      </c>
      <c r="B18745" s="1" t="str">
        <f>"93536"</f>
        <v>93536</v>
      </c>
      <c r="C18745" s="2">
        <v>4.8680531319384799E-3</v>
      </c>
      <c r="D18745" s="2">
        <v>1.2256101939434199E-3</v>
      </c>
      <c r="E18745" s="2">
        <v>2.2123146553179899E-3</v>
      </c>
      <c r="F18745" s="2">
        <v>4.3369926761300101E-3</v>
      </c>
    </row>
    <row r="18746" spans="1:6" x14ac:dyDescent="0.25">
      <c r="A18746" s="1" t="str">
        <f t="shared" si="708"/>
        <v>31080</v>
      </c>
      <c r="B18746" s="1" t="str">
        <f>"91405"</f>
        <v>91405</v>
      </c>
      <c r="C18746" s="2">
        <v>3.7528068229368298E-3</v>
      </c>
      <c r="D18746" s="2">
        <v>3.31290105686439E-3</v>
      </c>
      <c r="E18746" s="2">
        <v>4.1966426858513102E-3</v>
      </c>
      <c r="F18746" s="2">
        <v>3.7340983485378001E-3</v>
      </c>
    </row>
    <row r="18747" spans="1:6" x14ac:dyDescent="0.25">
      <c r="A18747" s="1" t="str">
        <f t="shared" si="708"/>
        <v>31080</v>
      </c>
      <c r="B18747" s="1" t="str">
        <f>"91406"</f>
        <v>91406</v>
      </c>
      <c r="C18747" s="2">
        <v>3.9391800654860502E-3</v>
      </c>
      <c r="D18747" s="2">
        <v>4.52708745406001E-3</v>
      </c>
      <c r="E18747" s="2">
        <v>3.54927325745037E-3</v>
      </c>
      <c r="F18747" s="2">
        <v>3.9762595098009196E-3</v>
      </c>
    </row>
    <row r="18748" spans="1:6" x14ac:dyDescent="0.25">
      <c r="A18748" s="1" t="str">
        <f t="shared" si="708"/>
        <v>31080</v>
      </c>
      <c r="B18748" s="1" t="str">
        <f>"91510"</f>
        <v>91510</v>
      </c>
      <c r="C18748" s="2">
        <v>3.0989041293246698E-4</v>
      </c>
      <c r="D18748" s="2">
        <v>9.1390373982466104E-4</v>
      </c>
      <c r="E18748" s="2">
        <v>2.8146496886997398E-6</v>
      </c>
      <c r="F18748" s="2">
        <v>3.5354191637445898E-4</v>
      </c>
    </row>
    <row r="18749" spans="1:6" x14ac:dyDescent="0.25">
      <c r="A18749" s="1" t="str">
        <f t="shared" si="708"/>
        <v>31080</v>
      </c>
      <c r="B18749" s="1" t="str">
        <f>"91605"</f>
        <v>91605</v>
      </c>
      <c r="C18749" s="2">
        <v>3.3563147105757198E-3</v>
      </c>
      <c r="D18749" s="2">
        <v>4.81921025661111E-3</v>
      </c>
      <c r="E18749" s="2">
        <v>4.4330732597020897E-3</v>
      </c>
      <c r="F18749" s="2">
        <v>3.5702047449205098E-3</v>
      </c>
    </row>
    <row r="18750" spans="1:6" x14ac:dyDescent="0.25">
      <c r="A18750" s="1" t="str">
        <f t="shared" si="708"/>
        <v>31080</v>
      </c>
      <c r="B18750" s="1" t="str">
        <f>"92679"</f>
        <v>92679</v>
      </c>
      <c r="C18750" s="2">
        <v>2.1319183334001799E-3</v>
      </c>
      <c r="D18750" s="2">
        <v>1.5830118350534299E-4</v>
      </c>
      <c r="E18750" s="2">
        <v>1.18215286925389E-4</v>
      </c>
      <c r="F18750" s="2">
        <v>1.81002088974492E-3</v>
      </c>
    </row>
    <row r="18751" spans="1:6" x14ac:dyDescent="0.25">
      <c r="A18751" s="1" t="str">
        <f t="shared" si="708"/>
        <v>31080</v>
      </c>
      <c r="B18751" s="1" t="str">
        <f>"92683"</f>
        <v>92683</v>
      </c>
      <c r="C18751" s="2">
        <v>5.5832155530266703E-3</v>
      </c>
      <c r="D18751" s="2">
        <v>6.5017723204668703E-3</v>
      </c>
      <c r="E18751" s="2">
        <v>5.6067821798898897E-3</v>
      </c>
      <c r="F18751" s="2">
        <v>5.67874612696837E-3</v>
      </c>
    </row>
    <row r="18752" spans="1:6" x14ac:dyDescent="0.25">
      <c r="A18752" s="1" t="str">
        <f t="shared" si="708"/>
        <v>31080</v>
      </c>
      <c r="B18752" s="1" t="str">
        <f>"92701"</f>
        <v>92701</v>
      </c>
      <c r="C18752" s="2">
        <v>2.5573441932662498E-3</v>
      </c>
      <c r="D18752" s="2">
        <v>4.7033403181690504E-3</v>
      </c>
      <c r="E18752" s="2">
        <v>4.6103961900901798E-3</v>
      </c>
      <c r="F18752" s="2">
        <v>2.8992444003158101E-3</v>
      </c>
    </row>
    <row r="18753" spans="1:6" x14ac:dyDescent="0.25">
      <c r="A18753" s="1" t="str">
        <f t="shared" si="708"/>
        <v>31080</v>
      </c>
      <c r="B18753" s="1" t="str">
        <f>"91740"</f>
        <v>91740</v>
      </c>
      <c r="C18753" s="2">
        <v>2.0107956800518101E-3</v>
      </c>
      <c r="D18753" s="2">
        <v>3.1072727154038398E-3</v>
      </c>
      <c r="E18753" s="2">
        <v>1.53116943065266E-3</v>
      </c>
      <c r="F18753" s="2">
        <v>2.0946605972516998E-3</v>
      </c>
    </row>
    <row r="18754" spans="1:6" x14ac:dyDescent="0.25">
      <c r="A18754" s="1" t="str">
        <f t="shared" si="708"/>
        <v>31080</v>
      </c>
      <c r="B18754" s="1" t="str">
        <f>"91755"</f>
        <v>91755</v>
      </c>
      <c r="C18754" s="2">
        <v>1.83140644552104E-3</v>
      </c>
      <c r="D18754" s="2">
        <v>8.1435351102233098E-4</v>
      </c>
      <c r="E18754" s="2">
        <v>4.2670089280688103E-3</v>
      </c>
      <c r="F18754" s="2">
        <v>1.8718990870289999E-3</v>
      </c>
    </row>
    <row r="18755" spans="1:6" x14ac:dyDescent="0.25">
      <c r="A18755" s="1" t="str">
        <f t="shared" si="708"/>
        <v>31080</v>
      </c>
      <c r="B18755" s="1" t="str">
        <f>"91765"</f>
        <v>91765</v>
      </c>
      <c r="C18755" s="2">
        <v>3.3168051794999799E-3</v>
      </c>
      <c r="D18755" s="2">
        <v>2.5458747037972701E-3</v>
      </c>
      <c r="E18755" s="2">
        <v>3.4169847220814802E-3</v>
      </c>
      <c r="F18755" s="2">
        <v>3.2437554446542098E-3</v>
      </c>
    </row>
    <row r="18756" spans="1:6" x14ac:dyDescent="0.25">
      <c r="A18756" s="1" t="str">
        <f t="shared" si="708"/>
        <v>31080</v>
      </c>
      <c r="B18756" s="1" t="str">
        <f>"91769"</f>
        <v>91769</v>
      </c>
      <c r="C18756" s="2">
        <v>4.04872921983242E-4</v>
      </c>
      <c r="D18756" s="2">
        <v>5.1733479557931699E-4</v>
      </c>
      <c r="E18756" s="2">
        <v>8.4439490660992304E-6</v>
      </c>
      <c r="F18756" s="2">
        <v>3.9284293356840299E-4</v>
      </c>
    </row>
    <row r="18757" spans="1:6" x14ac:dyDescent="0.25">
      <c r="A18757" s="1" t="str">
        <f t="shared" si="708"/>
        <v>31080</v>
      </c>
      <c r="B18757" s="1" t="str">
        <f>"91790"</f>
        <v>91790</v>
      </c>
      <c r="C18757" s="2">
        <v>2.74072428952185E-3</v>
      </c>
      <c r="D18757" s="2">
        <v>2.5491386457252101E-3</v>
      </c>
      <c r="E18757" s="2">
        <v>1.6296821697571501E-3</v>
      </c>
      <c r="F18757" s="2">
        <v>2.6550763786002398E-3</v>
      </c>
    </row>
    <row r="18758" spans="1:6" x14ac:dyDescent="0.25">
      <c r="A18758" s="1" t="str">
        <f t="shared" si="708"/>
        <v>31080</v>
      </c>
      <c r="B18758" s="1" t="str">
        <f>"92627"</f>
        <v>92627</v>
      </c>
      <c r="C18758" s="2">
        <v>5.1595855809367704E-3</v>
      </c>
      <c r="D18758" s="2">
        <v>5.79349692210276E-3</v>
      </c>
      <c r="E18758" s="2">
        <v>1.0732259263012099E-2</v>
      </c>
      <c r="F18758" s="2">
        <v>5.5556586858843604E-3</v>
      </c>
    </row>
    <row r="18759" spans="1:6" x14ac:dyDescent="0.25">
      <c r="A18759" s="1" t="str">
        <f t="shared" si="708"/>
        <v>31080</v>
      </c>
      <c r="B18759" s="1" t="str">
        <f>"92616"</f>
        <v>92616</v>
      </c>
      <c r="C18759" s="2">
        <v>3.7993003620310199E-4</v>
      </c>
      <c r="D18759" s="2">
        <v>3.4108193147027501E-4</v>
      </c>
      <c r="E18759" s="2">
        <v>5.6292993773994796E-6</v>
      </c>
      <c r="F18759" s="2">
        <v>3.5370915474549703E-4</v>
      </c>
    </row>
    <row r="18760" spans="1:6" x14ac:dyDescent="0.25">
      <c r="A18760" s="1" t="str">
        <f t="shared" si="708"/>
        <v>31080</v>
      </c>
      <c r="B18760" s="1" t="str">
        <f>"90602"</f>
        <v>90602</v>
      </c>
      <c r="C18760" s="2">
        <v>1.6979121208257301E-3</v>
      </c>
      <c r="D18760" s="2">
        <v>1.3985991161245201E-3</v>
      </c>
      <c r="E18760" s="2">
        <v>3.4507605183458799E-3</v>
      </c>
      <c r="F18760" s="2">
        <v>1.7713888260351301E-3</v>
      </c>
    </row>
    <row r="18761" spans="1:6" x14ac:dyDescent="0.25">
      <c r="A18761" s="1" t="str">
        <f t="shared" si="708"/>
        <v>31080</v>
      </c>
      <c r="B18761" s="1" t="str">
        <f>"90604"</f>
        <v>90604</v>
      </c>
      <c r="C18761" s="2">
        <v>2.5020707583774601E-3</v>
      </c>
      <c r="D18761" s="2">
        <v>5.4181436003890597E-4</v>
      </c>
      <c r="E18761" s="2">
        <v>1.53116943065266E-3</v>
      </c>
      <c r="F18761" s="2">
        <v>2.2435027474755698E-3</v>
      </c>
    </row>
    <row r="18762" spans="1:6" x14ac:dyDescent="0.25">
      <c r="A18762" s="1" t="str">
        <f t="shared" si="708"/>
        <v>31080</v>
      </c>
      <c r="B18762" s="1" t="str">
        <f>"90630"</f>
        <v>90630</v>
      </c>
      <c r="C18762" s="2">
        <v>3.7623848910764098E-3</v>
      </c>
      <c r="D18762" s="2">
        <v>2.8836926933395999E-3</v>
      </c>
      <c r="E18762" s="2">
        <v>1.5508719784735499E-3</v>
      </c>
      <c r="F18762" s="2">
        <v>3.5409380299888499E-3</v>
      </c>
    </row>
    <row r="18763" spans="1:6" x14ac:dyDescent="0.25">
      <c r="A18763" s="1" t="str">
        <f t="shared" si="708"/>
        <v>31080</v>
      </c>
      <c r="B18763" s="1" t="str">
        <f>"90650"</f>
        <v>90650</v>
      </c>
      <c r="C18763" s="2">
        <v>5.5612658135401503E-3</v>
      </c>
      <c r="D18763" s="2">
        <v>3.1513359314311001E-3</v>
      </c>
      <c r="E18763" s="2">
        <v>2.6739172042647501E-3</v>
      </c>
      <c r="F18763" s="2">
        <v>5.1427471477913898E-3</v>
      </c>
    </row>
    <row r="18764" spans="1:6" x14ac:dyDescent="0.25">
      <c r="A18764" s="1" t="str">
        <f t="shared" si="708"/>
        <v>31080</v>
      </c>
      <c r="B18764" s="1" t="str">
        <f>"91706"</f>
        <v>91706</v>
      </c>
      <c r="C18764" s="2">
        <v>3.8942828710817898E-3</v>
      </c>
      <c r="D18764" s="2">
        <v>4.8910169790259E-3</v>
      </c>
      <c r="E18764" s="2">
        <v>3.3100280339108902E-3</v>
      </c>
      <c r="F18764" s="2">
        <v>3.9617097715205999E-3</v>
      </c>
    </row>
    <row r="18765" spans="1:6" x14ac:dyDescent="0.25">
      <c r="A18765" s="1" t="str">
        <f t="shared" si="708"/>
        <v>31080</v>
      </c>
      <c r="B18765" s="1" t="str">
        <f>"90623"</f>
        <v>90623</v>
      </c>
      <c r="C18765" s="2">
        <v>1.0483993751108701E-3</v>
      </c>
      <c r="D18765" s="2">
        <v>6.2830882112945398E-4</v>
      </c>
      <c r="E18765" s="2">
        <v>2.8427961855867397E-4</v>
      </c>
      <c r="F18765" s="2">
        <v>9.5994824975846496E-4</v>
      </c>
    </row>
    <row r="18766" spans="1:6" x14ac:dyDescent="0.25">
      <c r="A18766" s="1" t="str">
        <f t="shared" si="708"/>
        <v>31080</v>
      </c>
      <c r="B18766" s="1" t="str">
        <f>"92833"</f>
        <v>92833</v>
      </c>
      <c r="C18766" s="2">
        <v>3.3146102055513198E-3</v>
      </c>
      <c r="D18766" s="2">
        <v>1.90124617302808E-3</v>
      </c>
      <c r="E18766" s="2">
        <v>3.0229337656635202E-3</v>
      </c>
      <c r="F18766" s="2">
        <v>3.1524432940674301E-3</v>
      </c>
    </row>
    <row r="18767" spans="1:6" x14ac:dyDescent="0.25">
      <c r="A18767" s="1" t="str">
        <f t="shared" si="708"/>
        <v>31080</v>
      </c>
      <c r="B18767" s="1" t="str">
        <f>"92835"</f>
        <v>92835</v>
      </c>
      <c r="C18767" s="2">
        <v>1.9206022050708199E-3</v>
      </c>
      <c r="D18767" s="2">
        <v>1.2810972067184899E-3</v>
      </c>
      <c r="E18767" s="2">
        <v>1.19059681831999E-3</v>
      </c>
      <c r="F18767" s="2">
        <v>1.8116932734552999E-3</v>
      </c>
    </row>
    <row r="18768" spans="1:6" x14ac:dyDescent="0.25">
      <c r="A18768" s="1" t="str">
        <f t="shared" si="708"/>
        <v>31080</v>
      </c>
      <c r="B18768" s="1" t="str">
        <f>"92867"</f>
        <v>92867</v>
      </c>
      <c r="C18768" s="2">
        <v>2.77644250195901E-3</v>
      </c>
      <c r="D18768" s="2">
        <v>4.3932658350142604E-3</v>
      </c>
      <c r="E18768" s="2">
        <v>3.4226140214588799E-3</v>
      </c>
      <c r="F18768" s="2">
        <v>2.9805222486403099E-3</v>
      </c>
    </row>
    <row r="18769" spans="1:6" x14ac:dyDescent="0.25">
      <c r="A18769" s="1" t="str">
        <f t="shared" si="708"/>
        <v>31080</v>
      </c>
      <c r="B18769" s="1" t="str">
        <f>"92868"</f>
        <v>92868</v>
      </c>
      <c r="C18769" s="2">
        <v>1.7807225016158001E-3</v>
      </c>
      <c r="D18769" s="2">
        <v>4.2953475771758997E-3</v>
      </c>
      <c r="E18769" s="2">
        <v>1.71412166041814E-3</v>
      </c>
      <c r="F18769" s="2">
        <v>2.0344547836779999E-3</v>
      </c>
    </row>
    <row r="18770" spans="1:6" x14ac:dyDescent="0.25">
      <c r="A18770" s="1" t="str">
        <f t="shared" si="708"/>
        <v>31080</v>
      </c>
      <c r="B18770" s="1" t="str">
        <f>"92803"</f>
        <v>92803</v>
      </c>
      <c r="C18770" s="2">
        <v>4.1145784382919901E-4</v>
      </c>
      <c r="D18770" s="2">
        <v>3.8840908942547997E-4</v>
      </c>
      <c r="E18770" s="2">
        <v>5.6292993773994796E-6</v>
      </c>
      <c r="F18770" s="2">
        <v>3.8498273012961402E-4</v>
      </c>
    </row>
    <row r="18771" spans="1:6" x14ac:dyDescent="0.25">
      <c r="A18771" s="1" t="str">
        <f t="shared" si="708"/>
        <v>31080</v>
      </c>
      <c r="B18771" s="1" t="str">
        <f>"92808"</f>
        <v>92808</v>
      </c>
      <c r="C18771" s="2">
        <v>1.51552974000134E-3</v>
      </c>
      <c r="D18771" s="2">
        <v>5.72821808354385E-4</v>
      </c>
      <c r="E18771" s="2">
        <v>7.1773567061843399E-4</v>
      </c>
      <c r="F18771" s="2">
        <v>1.37152188088313E-3</v>
      </c>
    </row>
    <row r="18772" spans="1:6" x14ac:dyDescent="0.25">
      <c r="A18772" s="1" t="str">
        <f t="shared" si="708"/>
        <v>31080</v>
      </c>
      <c r="B18772" s="1" t="str">
        <f>"92842"</f>
        <v>92842</v>
      </c>
      <c r="C18772" s="2">
        <v>5.3996359136848399E-4</v>
      </c>
      <c r="D18772" s="2">
        <v>5.5160618582274104E-4</v>
      </c>
      <c r="E18772" s="2">
        <v>8.4439490660992304E-6</v>
      </c>
      <c r="F18772" s="2">
        <v>5.0957531655296902E-4</v>
      </c>
    </row>
    <row r="18773" spans="1:6" x14ac:dyDescent="0.25">
      <c r="A18773" s="1" t="str">
        <f t="shared" si="708"/>
        <v>31080</v>
      </c>
      <c r="B18773" s="1" t="str">
        <f>"92809"</f>
        <v>92809</v>
      </c>
      <c r="C18773" s="2">
        <v>2.25084601279989E-4</v>
      </c>
      <c r="D18773" s="2">
        <v>5.0427902786753603E-4</v>
      </c>
      <c r="E18773" s="2">
        <v>5.6292993773994796E-6</v>
      </c>
      <c r="F18773" s="2">
        <v>2.4065601592376801E-4</v>
      </c>
    </row>
    <row r="18774" spans="1:6" x14ac:dyDescent="0.25">
      <c r="A18774" s="1" t="str">
        <f t="shared" si="708"/>
        <v>31080</v>
      </c>
      <c r="B18774" s="1" t="str">
        <f>"90704"</f>
        <v>90704</v>
      </c>
      <c r="C18774" s="2">
        <v>0</v>
      </c>
      <c r="D18774" s="2">
        <v>0</v>
      </c>
      <c r="E18774" s="2">
        <v>5.6292993773994796E-6</v>
      </c>
      <c r="F18774" s="2">
        <v>3.3447674207611999E-7</v>
      </c>
    </row>
    <row r="18775" spans="1:6" x14ac:dyDescent="0.25">
      <c r="A18775" s="1" t="str">
        <f t="shared" si="708"/>
        <v>31080</v>
      </c>
      <c r="B18775" s="1" t="str">
        <f>"92698"</f>
        <v>92698</v>
      </c>
      <c r="C18775" s="2">
        <v>0</v>
      </c>
      <c r="D18775" s="2">
        <v>1.6319709639726001E-6</v>
      </c>
      <c r="E18775" s="2">
        <v>0</v>
      </c>
      <c r="F18775" s="2">
        <v>1.6723837103806E-7</v>
      </c>
    </row>
    <row r="18776" spans="1:6" x14ac:dyDescent="0.25">
      <c r="A18776" s="1" t="str">
        <f t="shared" si="708"/>
        <v>31080</v>
      </c>
      <c r="B18776" s="1" t="str">
        <f>"91523"</f>
        <v>91523</v>
      </c>
      <c r="C18776" s="2">
        <v>0</v>
      </c>
      <c r="D18776" s="2">
        <v>3.2639419279452099E-6</v>
      </c>
      <c r="E18776" s="2">
        <v>0</v>
      </c>
      <c r="F18776" s="2">
        <v>3.3447674207611999E-7</v>
      </c>
    </row>
    <row r="18777" spans="1:6" x14ac:dyDescent="0.25">
      <c r="A18777" s="1" t="str">
        <f t="shared" si="708"/>
        <v>31080</v>
      </c>
      <c r="B18777" s="1" t="str">
        <f>"91772"</f>
        <v>91772</v>
      </c>
      <c r="C18777" s="2">
        <v>0</v>
      </c>
      <c r="D18777" s="2">
        <v>1.6319709639726001E-6</v>
      </c>
      <c r="E18777" s="2">
        <v>0</v>
      </c>
      <c r="F18777" s="2">
        <v>1.6723837103806E-7</v>
      </c>
    </row>
    <row r="18778" spans="1:6" x14ac:dyDescent="0.25">
      <c r="A18778" s="1" t="str">
        <f t="shared" si="708"/>
        <v>31080</v>
      </c>
      <c r="B18778" s="1" t="str">
        <f>"91470"</f>
        <v>91470</v>
      </c>
      <c r="C18778" s="2">
        <v>0</v>
      </c>
      <c r="D18778" s="2">
        <v>1.6319709639726001E-6</v>
      </c>
      <c r="E18778" s="2">
        <v>0</v>
      </c>
      <c r="F18778" s="2">
        <v>1.6723837103806E-7</v>
      </c>
    </row>
    <row r="18779" spans="1:6" x14ac:dyDescent="0.25">
      <c r="A18779" s="1" t="str">
        <f t="shared" si="708"/>
        <v>31080</v>
      </c>
      <c r="B18779" s="1" t="str">
        <f>"90031"</f>
        <v>90031</v>
      </c>
      <c r="C18779" s="2">
        <v>2.4952862934452601E-3</v>
      </c>
      <c r="D18779" s="2">
        <v>1.6776661509638399E-3</v>
      </c>
      <c r="E18779" s="2">
        <v>2.28268089753549E-3</v>
      </c>
      <c r="F18779" s="2">
        <v>2.39886719416993E-3</v>
      </c>
    </row>
    <row r="18780" spans="1:6" x14ac:dyDescent="0.25">
      <c r="A18780" s="1" t="str">
        <f t="shared" si="708"/>
        <v>31080</v>
      </c>
      <c r="B18780" s="1" t="str">
        <f>"91103"</f>
        <v>91103</v>
      </c>
      <c r="C18780" s="2">
        <v>1.8431794876092699E-3</v>
      </c>
      <c r="D18780" s="2">
        <v>1.5846438060173999E-3</v>
      </c>
      <c r="E18780" s="2">
        <v>2.1532070118553E-3</v>
      </c>
      <c r="F18780" s="2">
        <v>1.8351066454006301E-3</v>
      </c>
    </row>
    <row r="18781" spans="1:6" x14ac:dyDescent="0.25">
      <c r="A18781" s="1" t="str">
        <f t="shared" si="708"/>
        <v>31080</v>
      </c>
      <c r="B18781" s="1" t="str">
        <f>"91205"</f>
        <v>91205</v>
      </c>
      <c r="C18781" s="2">
        <v>3.0302613076577199E-3</v>
      </c>
      <c r="D18781" s="2">
        <v>2.2113206561828799E-3</v>
      </c>
      <c r="E18781" s="2">
        <v>6.18941466545073E-3</v>
      </c>
      <c r="F18781" s="2">
        <v>3.1340470732532399E-3</v>
      </c>
    </row>
    <row r="18782" spans="1:6" x14ac:dyDescent="0.25">
      <c r="A18782" s="1" t="str">
        <f t="shared" si="708"/>
        <v>31080</v>
      </c>
      <c r="B18782" s="1" t="str">
        <f>"91209"</f>
        <v>91209</v>
      </c>
      <c r="C18782" s="2">
        <v>3.23259799710622E-4</v>
      </c>
      <c r="D18782" s="2">
        <v>6.7074006619274201E-4</v>
      </c>
      <c r="E18782" s="2">
        <v>5.6292993773994796E-6</v>
      </c>
      <c r="F18782" s="2">
        <v>3.3999560832037601E-4</v>
      </c>
    </row>
    <row r="18783" spans="1:6" x14ac:dyDescent="0.25">
      <c r="A18783" s="1" t="str">
        <f t="shared" si="708"/>
        <v>31080</v>
      </c>
      <c r="B18783" s="1" t="str">
        <f>"91042"</f>
        <v>91042</v>
      </c>
      <c r="C18783" s="2">
        <v>2.1085717923099599E-3</v>
      </c>
      <c r="D18783" s="2">
        <v>8.8616023343712595E-4</v>
      </c>
      <c r="E18783" s="2">
        <v>1.8013758007678301E-3</v>
      </c>
      <c r="F18783" s="2">
        <v>1.9650508596972E-3</v>
      </c>
    </row>
    <row r="18784" spans="1:6" x14ac:dyDescent="0.25">
      <c r="A18784" s="1" t="str">
        <f t="shared" si="708"/>
        <v>31080</v>
      </c>
      <c r="B18784" s="1" t="str">
        <f>"91025"</f>
        <v>91025</v>
      </c>
      <c r="C18784" s="2">
        <v>1.76595631323395E-4</v>
      </c>
      <c r="D18784" s="2">
        <v>4.0309682810123399E-4</v>
      </c>
      <c r="E18784" s="2">
        <v>5.6292993773994796E-6</v>
      </c>
      <c r="F18784" s="2">
        <v>1.8964831275716001E-4</v>
      </c>
    </row>
    <row r="18785" spans="1:6" x14ac:dyDescent="0.25">
      <c r="A18785" s="1" t="str">
        <f t="shared" si="708"/>
        <v>31080</v>
      </c>
      <c r="B18785" s="1" t="str">
        <f>"90501"</f>
        <v>90501</v>
      </c>
      <c r="C18785" s="2">
        <v>3.1270397044846701E-3</v>
      </c>
      <c r="D18785" s="2">
        <v>4.4438569348974099E-3</v>
      </c>
      <c r="E18785" s="2">
        <v>5.4576057463887996E-3</v>
      </c>
      <c r="F18785" s="2">
        <v>3.40045779831687E-3</v>
      </c>
    </row>
    <row r="18786" spans="1:6" x14ac:dyDescent="0.25">
      <c r="A18786" s="1" t="str">
        <f t="shared" si="708"/>
        <v>31080</v>
      </c>
      <c r="B18786" s="1" t="str">
        <f>"90503"</f>
        <v>90503</v>
      </c>
      <c r="C18786" s="2">
        <v>3.6915470954608101E-3</v>
      </c>
      <c r="D18786" s="2">
        <v>4.0081206875167202E-3</v>
      </c>
      <c r="E18786" s="2">
        <v>2.5416286688958599E-3</v>
      </c>
      <c r="F18786" s="2">
        <v>3.65566355252095E-3</v>
      </c>
    </row>
    <row r="18787" spans="1:6" x14ac:dyDescent="0.25">
      <c r="A18787" s="1" t="str">
        <f t="shared" si="708"/>
        <v>31080</v>
      </c>
      <c r="B18787" s="1" t="str">
        <f>"90740"</f>
        <v>90740</v>
      </c>
      <c r="C18787" s="2">
        <v>3.2136414039133101E-3</v>
      </c>
      <c r="D18787" s="2">
        <v>2.04812355978562E-3</v>
      </c>
      <c r="E18787" s="2">
        <v>4.7877191204782604E-3</v>
      </c>
      <c r="F18787" s="2">
        <v>3.1877305903564601E-3</v>
      </c>
    </row>
    <row r="18788" spans="1:6" x14ac:dyDescent="0.25">
      <c r="A18788" s="1" t="str">
        <f t="shared" si="708"/>
        <v>31080</v>
      </c>
      <c r="B18788" s="1" t="str">
        <f>"90746"</f>
        <v>90746</v>
      </c>
      <c r="C18788" s="2">
        <v>1.66778111480332E-3</v>
      </c>
      <c r="D18788" s="2">
        <v>2.0269079372539798E-3</v>
      </c>
      <c r="E18788" s="2">
        <v>5.5730063836254896E-4</v>
      </c>
      <c r="F18788" s="2">
        <v>1.63860155943091E-3</v>
      </c>
    </row>
    <row r="18789" spans="1:6" x14ac:dyDescent="0.25">
      <c r="A18789" s="1" t="str">
        <f t="shared" si="708"/>
        <v>31080</v>
      </c>
      <c r="B18789" s="1" t="str">
        <f>"90808"</f>
        <v>90808</v>
      </c>
      <c r="C18789" s="2">
        <v>3.0156946623621202E-3</v>
      </c>
      <c r="D18789" s="2">
        <v>1.6450267316843799E-3</v>
      </c>
      <c r="E18789" s="2">
        <v>6.41740129023541E-4</v>
      </c>
      <c r="F18789" s="2">
        <v>2.7341801281012398E-3</v>
      </c>
    </row>
    <row r="18790" spans="1:6" x14ac:dyDescent="0.25">
      <c r="A18790" s="1" t="str">
        <f t="shared" si="708"/>
        <v>31080</v>
      </c>
      <c r="B18790" s="1" t="str">
        <f>"90840"</f>
        <v>90840</v>
      </c>
      <c r="C18790" s="2">
        <v>0</v>
      </c>
      <c r="D18790" s="2">
        <v>3.2639419279452099E-6</v>
      </c>
      <c r="E18790" s="2">
        <v>3.6027516015356702E-4</v>
      </c>
      <c r="F18790" s="2">
        <v>2.1740988234947801E-5</v>
      </c>
    </row>
    <row r="18791" spans="1:6" x14ac:dyDescent="0.25">
      <c r="A18791" s="1" t="str">
        <f t="shared" si="708"/>
        <v>31080</v>
      </c>
      <c r="B18791" s="1" t="str">
        <f>"90290"</f>
        <v>90290</v>
      </c>
      <c r="C18791" s="2">
        <v>6.2097808438238097E-4</v>
      </c>
      <c r="D18791" s="2">
        <v>5.2875859232712501E-4</v>
      </c>
      <c r="E18791" s="2">
        <v>1.29473885680188E-4</v>
      </c>
      <c r="F18791" s="2">
        <v>5.8232400795452501E-4</v>
      </c>
    </row>
    <row r="18792" spans="1:6" x14ac:dyDescent="0.25">
      <c r="A18792" s="1" t="str">
        <f t="shared" si="708"/>
        <v>31080</v>
      </c>
      <c r="B18792" s="1" t="str">
        <f>"90291"</f>
        <v>90291</v>
      </c>
      <c r="C18792" s="2">
        <v>3.19947384479019E-3</v>
      </c>
      <c r="D18792" s="2">
        <v>2.2733355528138399E-3</v>
      </c>
      <c r="E18792" s="2">
        <v>6.33859109895182E-3</v>
      </c>
      <c r="F18792" s="2">
        <v>3.2910839036579798E-3</v>
      </c>
    </row>
    <row r="18793" spans="1:6" x14ac:dyDescent="0.25">
      <c r="A18793" s="1" t="str">
        <f t="shared" ref="A18793:A18856" si="709">"31080"</f>
        <v>31080</v>
      </c>
      <c r="B18793" s="1" t="str">
        <f>"90005"</f>
        <v>90005</v>
      </c>
      <c r="C18793" s="2">
        <v>3.7751556485958399E-3</v>
      </c>
      <c r="D18793" s="2">
        <v>2.1329860499121902E-3</v>
      </c>
      <c r="E18793" s="2">
        <v>3.90673376791524E-3</v>
      </c>
      <c r="F18793" s="2">
        <v>3.6146901516166301E-3</v>
      </c>
    </row>
    <row r="18794" spans="1:6" x14ac:dyDescent="0.25">
      <c r="A18794" s="1" t="str">
        <f t="shared" si="709"/>
        <v>31080</v>
      </c>
      <c r="B18794" s="1" t="str">
        <f>"90006"</f>
        <v>90006</v>
      </c>
      <c r="C18794" s="2">
        <v>4.1624687789898604E-3</v>
      </c>
      <c r="D18794" s="2">
        <v>3.9607935295615203E-3</v>
      </c>
      <c r="E18794" s="2">
        <v>6.2485223089134298E-3</v>
      </c>
      <c r="F18794" s="2">
        <v>4.2657491300678004E-3</v>
      </c>
    </row>
    <row r="18795" spans="1:6" x14ac:dyDescent="0.25">
      <c r="A18795" s="1" t="str">
        <f t="shared" si="709"/>
        <v>31080</v>
      </c>
      <c r="B18795" s="1" t="str">
        <f>"90019"</f>
        <v>90019</v>
      </c>
      <c r="C18795" s="2">
        <v>5.3758902864221502E-3</v>
      </c>
      <c r="D18795" s="2">
        <v>2.89674846105138E-3</v>
      </c>
      <c r="E18795" s="2">
        <v>6.3976987424145104E-3</v>
      </c>
      <c r="F18795" s="2">
        <v>5.1825498800984401E-3</v>
      </c>
    </row>
    <row r="18796" spans="1:6" x14ac:dyDescent="0.25">
      <c r="A18796" s="1" t="str">
        <f t="shared" si="709"/>
        <v>31080</v>
      </c>
      <c r="B18796" s="1" t="str">
        <f>"93591"</f>
        <v>93591</v>
      </c>
      <c r="C18796" s="2">
        <v>4.4498108231770799E-4</v>
      </c>
      <c r="D18796" s="2">
        <v>1.5503724157739699E-4</v>
      </c>
      <c r="E18796" s="2">
        <v>7.0366242217493604E-5</v>
      </c>
      <c r="F18796" s="2">
        <v>3.9301017193944099E-4</v>
      </c>
    </row>
    <row r="18797" spans="1:6" x14ac:dyDescent="0.25">
      <c r="A18797" s="1" t="str">
        <f t="shared" si="709"/>
        <v>31080</v>
      </c>
      <c r="B18797" s="1" t="str">
        <f>"93550"</f>
        <v>93550</v>
      </c>
      <c r="C18797" s="2">
        <v>4.7622952962306899E-3</v>
      </c>
      <c r="D18797" s="2">
        <v>3.43366690819836E-3</v>
      </c>
      <c r="E18797" s="2">
        <v>2.2742369484693901E-3</v>
      </c>
      <c r="F18797" s="2">
        <v>4.4783090996571703E-3</v>
      </c>
    </row>
    <row r="18798" spans="1:6" x14ac:dyDescent="0.25">
      <c r="A18798" s="1" t="str">
        <f t="shared" si="709"/>
        <v>31080</v>
      </c>
      <c r="B18798" s="1" t="str">
        <f>"93584"</f>
        <v>93584</v>
      </c>
      <c r="C18798" s="2">
        <v>1.9275862130892601E-4</v>
      </c>
      <c r="D18798" s="2">
        <v>2.44795644595891E-4</v>
      </c>
      <c r="E18798" s="2">
        <v>2.8146496886997398E-6</v>
      </c>
      <c r="F18798" s="2">
        <v>1.8680526044951299E-4</v>
      </c>
    </row>
    <row r="18799" spans="1:6" x14ac:dyDescent="0.25">
      <c r="A18799" s="1" t="str">
        <f t="shared" si="709"/>
        <v>31080</v>
      </c>
      <c r="B18799" s="1" t="str">
        <f>"93532"</f>
        <v>93532</v>
      </c>
      <c r="C18799" s="2">
        <v>3.6656064942494599E-4</v>
      </c>
      <c r="D18799" s="2">
        <v>1.2566176422589001E-4</v>
      </c>
      <c r="E18799" s="2">
        <v>5.6292993773994796E-6</v>
      </c>
      <c r="F18799" s="2">
        <v>3.2042871890892299E-4</v>
      </c>
    </row>
    <row r="18800" spans="1:6" x14ac:dyDescent="0.25">
      <c r="A18800" s="1" t="str">
        <f t="shared" si="709"/>
        <v>31080</v>
      </c>
      <c r="B18800" s="1" t="str">
        <f>"91411"</f>
        <v>91411</v>
      </c>
      <c r="C18800" s="2">
        <v>1.94335011690231E-3</v>
      </c>
      <c r="D18800" s="2">
        <v>2.5817780650046599E-3</v>
      </c>
      <c r="E18800" s="2">
        <v>2.9497528737573299E-3</v>
      </c>
      <c r="F18800" s="2">
        <v>2.0685714113697598E-3</v>
      </c>
    </row>
    <row r="18801" spans="1:6" x14ac:dyDescent="0.25">
      <c r="A18801" s="1" t="str">
        <f t="shared" si="709"/>
        <v>31080</v>
      </c>
      <c r="B18801" s="1" t="str">
        <f>"91423"</f>
        <v>91423</v>
      </c>
      <c r="C18801" s="2">
        <v>3.15557436581715E-3</v>
      </c>
      <c r="D18801" s="2">
        <v>2.3533021300485E-3</v>
      </c>
      <c r="E18801" s="2">
        <v>4.1009445964355204E-3</v>
      </c>
      <c r="F18801" s="2">
        <v>3.12953163723522E-3</v>
      </c>
    </row>
    <row r="18802" spans="1:6" x14ac:dyDescent="0.25">
      <c r="A18802" s="1" t="str">
        <f t="shared" si="709"/>
        <v>31080</v>
      </c>
      <c r="B18802" s="1" t="str">
        <f>"91436"</f>
        <v>91436</v>
      </c>
      <c r="C18802" s="2">
        <v>1.2022470946027701E-3</v>
      </c>
      <c r="D18802" s="2">
        <v>3.4646743565138402E-3</v>
      </c>
      <c r="E18802" s="2">
        <v>6.5299872777833999E-4</v>
      </c>
      <c r="F18802" s="2">
        <v>1.4014575492989399E-3</v>
      </c>
    </row>
    <row r="18803" spans="1:6" x14ac:dyDescent="0.25">
      <c r="A18803" s="1" t="str">
        <f t="shared" si="709"/>
        <v>31080</v>
      </c>
      <c r="B18803" s="1" t="str">
        <f>"91505"</f>
        <v>91505</v>
      </c>
      <c r="C18803" s="2">
        <v>2.8253305580880801E-3</v>
      </c>
      <c r="D18803" s="2">
        <v>3.6033918884515199E-3</v>
      </c>
      <c r="E18803" s="2">
        <v>2.7414687967935499E-3</v>
      </c>
      <c r="F18803" s="2">
        <v>2.9000805921709999E-3</v>
      </c>
    </row>
    <row r="18804" spans="1:6" x14ac:dyDescent="0.25">
      <c r="A18804" s="1" t="str">
        <f t="shared" si="709"/>
        <v>31080</v>
      </c>
      <c r="B18804" s="1" t="str">
        <f>"91396"</f>
        <v>91396</v>
      </c>
      <c r="C18804" s="2">
        <v>2.2887591991857E-4</v>
      </c>
      <c r="D18804" s="2">
        <v>3.3129010568643902E-4</v>
      </c>
      <c r="E18804" s="2">
        <v>2.8146496886997398E-6</v>
      </c>
      <c r="F18804" s="2">
        <v>2.2593903927241901E-4</v>
      </c>
    </row>
    <row r="18805" spans="1:6" x14ac:dyDescent="0.25">
      <c r="A18805" s="1" t="str">
        <f t="shared" si="709"/>
        <v>31080</v>
      </c>
      <c r="B18805" s="1" t="str">
        <f>"91331"</f>
        <v>91331</v>
      </c>
      <c r="C18805" s="2">
        <v>4.2307125144843303E-3</v>
      </c>
      <c r="D18805" s="2">
        <v>3.4467226759101501E-3</v>
      </c>
      <c r="E18805" s="2">
        <v>2.1447630627892001E-3</v>
      </c>
      <c r="F18805" s="2">
        <v>4.0264310211123302E-3</v>
      </c>
    </row>
    <row r="18806" spans="1:6" x14ac:dyDescent="0.25">
      <c r="A18806" s="1" t="str">
        <f t="shared" si="709"/>
        <v>31080</v>
      </c>
      <c r="B18806" s="1" t="str">
        <f>"91356"</f>
        <v>91356</v>
      </c>
      <c r="C18806" s="2">
        <v>2.47014386457888E-3</v>
      </c>
      <c r="D18806" s="2">
        <v>3.1284883379354899E-3</v>
      </c>
      <c r="E18806" s="2">
        <v>1.91114713862712E-3</v>
      </c>
      <c r="F18806" s="2">
        <v>2.5043946062949501E-3</v>
      </c>
    </row>
    <row r="18807" spans="1:6" x14ac:dyDescent="0.25">
      <c r="A18807" s="1" t="str">
        <f t="shared" si="709"/>
        <v>31080</v>
      </c>
      <c r="B18807" s="1" t="str">
        <f>"91326"</f>
        <v>91326</v>
      </c>
      <c r="C18807" s="2">
        <v>2.7287517043473801E-3</v>
      </c>
      <c r="D18807" s="2">
        <v>4.3573624738068602E-4</v>
      </c>
      <c r="E18807" s="2">
        <v>8.30321658166424E-4</v>
      </c>
      <c r="F18807" s="2">
        <v>2.3809726884688599E-3</v>
      </c>
    </row>
    <row r="18808" spans="1:6" x14ac:dyDescent="0.25">
      <c r="A18808" s="1" t="str">
        <f t="shared" si="709"/>
        <v>31080</v>
      </c>
      <c r="B18808" s="1" t="str">
        <f>"92654"</f>
        <v>92654</v>
      </c>
      <c r="C18808" s="2">
        <v>2.1371064536424399E-4</v>
      </c>
      <c r="D18808" s="2">
        <v>6.0219728570589195E-4</v>
      </c>
      <c r="E18808" s="2">
        <v>8.4439490660992304E-6</v>
      </c>
      <c r="F18808" s="2">
        <v>2.4132496940791999E-4</v>
      </c>
    </row>
    <row r="18809" spans="1:6" x14ac:dyDescent="0.25">
      <c r="A18809" s="1" t="str">
        <f t="shared" si="709"/>
        <v>31080</v>
      </c>
      <c r="B18809" s="1" t="str">
        <f>"92663"</f>
        <v>92663</v>
      </c>
      <c r="C18809" s="2">
        <v>2.3955147503247E-3</v>
      </c>
      <c r="D18809" s="2">
        <v>3.1203284831156199E-3</v>
      </c>
      <c r="E18809" s="2">
        <v>4.3767802659281001E-3</v>
      </c>
      <c r="F18809" s="2">
        <v>2.5875120767008598E-3</v>
      </c>
    </row>
    <row r="18810" spans="1:6" x14ac:dyDescent="0.25">
      <c r="A18810" s="1" t="str">
        <f t="shared" si="709"/>
        <v>31080</v>
      </c>
      <c r="B18810" s="1" t="str">
        <f>"92677"</f>
        <v>92677</v>
      </c>
      <c r="C18810" s="2">
        <v>5.4084158094794502E-3</v>
      </c>
      <c r="D18810" s="2">
        <v>2.3859415493279498E-3</v>
      </c>
      <c r="E18810" s="2">
        <v>1.4157687934159701E-3</v>
      </c>
      <c r="F18810" s="2">
        <v>4.8614522077053699E-3</v>
      </c>
    </row>
    <row r="18811" spans="1:6" x14ac:dyDescent="0.25">
      <c r="A18811" s="1" t="str">
        <f t="shared" si="709"/>
        <v>31080</v>
      </c>
      <c r="B18811" s="1" t="str">
        <f>"92688"</f>
        <v>92688</v>
      </c>
      <c r="C18811" s="2">
        <v>3.33775720355529E-3</v>
      </c>
      <c r="D18811" s="2">
        <v>1.9763168373708199E-3</v>
      </c>
      <c r="E18811" s="2">
        <v>8.4158025692122299E-4</v>
      </c>
      <c r="F18811" s="2">
        <v>3.0499261726210998E-3</v>
      </c>
    </row>
    <row r="18812" spans="1:6" x14ac:dyDescent="0.25">
      <c r="A18812" s="1" t="str">
        <f t="shared" si="709"/>
        <v>31080</v>
      </c>
      <c r="B18812" s="1" t="str">
        <f>"92649"</f>
        <v>92649</v>
      </c>
      <c r="C18812" s="2">
        <v>3.10708539586055E-3</v>
      </c>
      <c r="D18812" s="2">
        <v>3.1170645411876799E-3</v>
      </c>
      <c r="E18812" s="2">
        <v>4.1938280361626104E-3</v>
      </c>
      <c r="F18812" s="2">
        <v>3.1726791369630402E-3</v>
      </c>
    </row>
    <row r="18813" spans="1:6" x14ac:dyDescent="0.25">
      <c r="A18813" s="1" t="str">
        <f t="shared" si="709"/>
        <v>31080</v>
      </c>
      <c r="B18813" s="1" t="str">
        <f>"92705"</f>
        <v>92705</v>
      </c>
      <c r="C18813" s="2">
        <v>3.2776947345967201E-3</v>
      </c>
      <c r="D18813" s="2">
        <v>9.3985207815182499E-3</v>
      </c>
      <c r="E18813" s="2">
        <v>3.5070535121198799E-3</v>
      </c>
      <c r="F18813" s="2">
        <v>3.9185622717927901E-3</v>
      </c>
    </row>
    <row r="18814" spans="1:6" x14ac:dyDescent="0.25">
      <c r="A18814" s="1" t="str">
        <f t="shared" si="709"/>
        <v>31080</v>
      </c>
      <c r="B18814" s="1" t="str">
        <f>"91745"</f>
        <v>91745</v>
      </c>
      <c r="C18814" s="2">
        <v>3.4058013959635202E-3</v>
      </c>
      <c r="D18814" s="2">
        <v>2.5768821521127399E-3</v>
      </c>
      <c r="E18814" s="2">
        <v>1.5227254815865601E-3</v>
      </c>
      <c r="F18814" s="2">
        <v>3.2089698634783E-3</v>
      </c>
    </row>
    <row r="18815" spans="1:6" x14ac:dyDescent="0.25">
      <c r="A18815" s="1" t="str">
        <f t="shared" si="709"/>
        <v>31080</v>
      </c>
      <c r="B18815" s="1" t="str">
        <f>"91748"</f>
        <v>91748</v>
      </c>
      <c r="C18815" s="2">
        <v>2.9003587585147502E-3</v>
      </c>
      <c r="D18815" s="2">
        <v>4.6902845504572703E-3</v>
      </c>
      <c r="E18815" s="2">
        <v>2.5922923632924599E-3</v>
      </c>
      <c r="F18815" s="2">
        <v>3.0654793411276399E-3</v>
      </c>
    </row>
    <row r="18816" spans="1:6" x14ac:dyDescent="0.25">
      <c r="A18816" s="1" t="str">
        <f t="shared" si="709"/>
        <v>31080</v>
      </c>
      <c r="B18816" s="1" t="str">
        <f>"91734"</f>
        <v>91734</v>
      </c>
      <c r="C18816" s="2">
        <v>2.7437174358154598E-4</v>
      </c>
      <c r="D18816" s="2">
        <v>4.1125668292109699E-4</v>
      </c>
      <c r="E18816" s="2">
        <v>5.6292993773994796E-6</v>
      </c>
      <c r="F18816" s="2">
        <v>2.7243130642100002E-4</v>
      </c>
    </row>
    <row r="18817" spans="1:6" x14ac:dyDescent="0.25">
      <c r="A18817" s="1" t="str">
        <f t="shared" si="709"/>
        <v>31080</v>
      </c>
      <c r="B18817" s="1" t="str">
        <f>"91801"</f>
        <v>91801</v>
      </c>
      <c r="C18817" s="2">
        <v>4.20636825796291E-3</v>
      </c>
      <c r="D18817" s="2">
        <v>2.8722688965917898E-3</v>
      </c>
      <c r="E18817" s="2">
        <v>1.0386057351302E-2</v>
      </c>
      <c r="F18817" s="2">
        <v>4.4368339836397298E-3</v>
      </c>
    </row>
    <row r="18818" spans="1:6" x14ac:dyDescent="0.25">
      <c r="A18818" s="1" t="str">
        <f t="shared" si="709"/>
        <v>31080</v>
      </c>
      <c r="B18818" s="1" t="str">
        <f>"91789"</f>
        <v>91789</v>
      </c>
      <c r="C18818" s="2">
        <v>2.6782673035283802E-3</v>
      </c>
      <c r="D18818" s="2">
        <v>3.6931502914700101E-3</v>
      </c>
      <c r="E18818" s="2">
        <v>1.0554936332624E-3</v>
      </c>
      <c r="F18818" s="2">
        <v>2.6858482388712399E-3</v>
      </c>
    </row>
    <row r="18819" spans="1:6" x14ac:dyDescent="0.25">
      <c r="A18819" s="1" t="str">
        <f t="shared" si="709"/>
        <v>31080</v>
      </c>
      <c r="B18819" s="1" t="str">
        <f>"92637"</f>
        <v>92637</v>
      </c>
      <c r="C18819" s="2">
        <v>2.6746755279760401E-3</v>
      </c>
      <c r="D18819" s="2">
        <v>3.3455404761438399E-4</v>
      </c>
      <c r="E18819" s="2">
        <v>1.1858119138491999E-2</v>
      </c>
      <c r="F18819" s="2">
        <v>2.9805222486403099E-3</v>
      </c>
    </row>
    <row r="18820" spans="1:6" x14ac:dyDescent="0.25">
      <c r="A18820" s="1" t="str">
        <f t="shared" si="709"/>
        <v>31080</v>
      </c>
      <c r="B18820" s="1" t="str">
        <f>"90632"</f>
        <v>90632</v>
      </c>
      <c r="C18820" s="2">
        <v>2.0872206820821601E-4</v>
      </c>
      <c r="D18820" s="2">
        <v>3.4597784436219298E-4</v>
      </c>
      <c r="E18820" s="2">
        <v>5.6292993773994796E-6</v>
      </c>
      <c r="F18820" s="2">
        <v>2.1072034750795499E-4</v>
      </c>
    </row>
    <row r="18821" spans="1:6" x14ac:dyDescent="0.25">
      <c r="A18821" s="1" t="str">
        <f t="shared" si="709"/>
        <v>31080</v>
      </c>
      <c r="B18821" s="1" t="str">
        <f>"90052"</f>
        <v>90052</v>
      </c>
      <c r="C18821" s="2">
        <v>0</v>
      </c>
      <c r="D18821" s="2">
        <v>1.40349502901644E-4</v>
      </c>
      <c r="E18821" s="2">
        <v>5.6292993773994796E-6</v>
      </c>
      <c r="F18821" s="2">
        <v>1.4716976651349299E-5</v>
      </c>
    </row>
    <row r="18822" spans="1:6" x14ac:dyDescent="0.25">
      <c r="A18822" s="1" t="str">
        <f t="shared" si="709"/>
        <v>31080</v>
      </c>
      <c r="B18822" s="1" t="str">
        <f>"91404"</f>
        <v>91404</v>
      </c>
      <c r="C18822" s="2">
        <v>2.6539230470069601E-5</v>
      </c>
      <c r="D18822" s="2">
        <v>4.5695186991232999E-5</v>
      </c>
      <c r="E18822" s="2">
        <v>8.4439490660992304E-6</v>
      </c>
      <c r="F18822" s="2">
        <v>2.7427092850241801E-5</v>
      </c>
    </row>
    <row r="18823" spans="1:6" x14ac:dyDescent="0.25">
      <c r="A18823" s="1" t="str">
        <f t="shared" si="709"/>
        <v>31080</v>
      </c>
      <c r="B18823" s="1" t="str">
        <f>"91393"</f>
        <v>91393</v>
      </c>
      <c r="C18823" s="2">
        <v>9.7975655344392397E-5</v>
      </c>
      <c r="D18823" s="2">
        <v>1.5830118350534299E-4</v>
      </c>
      <c r="E18823" s="2">
        <v>5.6292993773994796E-6</v>
      </c>
      <c r="F18823" s="2">
        <v>9.8670638912455496E-5</v>
      </c>
    </row>
    <row r="18824" spans="1:6" x14ac:dyDescent="0.25">
      <c r="A18824" s="1" t="str">
        <f t="shared" si="709"/>
        <v>31080</v>
      </c>
      <c r="B18824" s="1" t="str">
        <f>"91008"</f>
        <v>91008</v>
      </c>
      <c r="C18824" s="2">
        <v>8.8597130291059495E-5</v>
      </c>
      <c r="D18824" s="2">
        <v>3.2639419279452099E-6</v>
      </c>
      <c r="E18824" s="2">
        <v>5.6292993773994796E-6</v>
      </c>
      <c r="F18824" s="2">
        <v>7.4922790225051002E-5</v>
      </c>
    </row>
    <row r="18825" spans="1:6" x14ac:dyDescent="0.25">
      <c r="A18825" s="1" t="str">
        <f t="shared" si="709"/>
        <v>31080</v>
      </c>
      <c r="B18825" s="1" t="str">
        <f>"91615"</f>
        <v>91615</v>
      </c>
      <c r="C18825" s="2">
        <v>2.1570607622665601E-4</v>
      </c>
      <c r="D18825" s="2">
        <v>4.68375666660138E-4</v>
      </c>
      <c r="E18825" s="2">
        <v>5.6292993773994796E-6</v>
      </c>
      <c r="F18825" s="2">
        <v>2.29116568322142E-4</v>
      </c>
    </row>
    <row r="18826" spans="1:6" x14ac:dyDescent="0.25">
      <c r="A18826" s="1" t="str">
        <f t="shared" si="709"/>
        <v>31080</v>
      </c>
      <c r="B18826" s="1" t="str">
        <f>"91609"</f>
        <v>91609</v>
      </c>
      <c r="C18826" s="2">
        <v>1.6382487380396299E-4</v>
      </c>
      <c r="D18826" s="2">
        <v>2.2684396399219199E-4</v>
      </c>
      <c r="E18826" s="2">
        <v>5.6292993773994796E-6</v>
      </c>
      <c r="F18826" s="2">
        <v>1.60883312938613E-4</v>
      </c>
    </row>
    <row r="18827" spans="1:6" x14ac:dyDescent="0.25">
      <c r="A18827" s="1" t="str">
        <f t="shared" si="709"/>
        <v>31080</v>
      </c>
      <c r="B18827" s="1" t="str">
        <f>"92607"</f>
        <v>92607</v>
      </c>
      <c r="C18827" s="2">
        <v>1.6322624454524E-4</v>
      </c>
      <c r="D18827" s="2">
        <v>7.4744270149945397E-4</v>
      </c>
      <c r="E18827" s="2">
        <v>8.4439490660992304E-6</v>
      </c>
      <c r="F18827" s="2">
        <v>2.1389787655767901E-4</v>
      </c>
    </row>
    <row r="18828" spans="1:6" x14ac:dyDescent="0.25">
      <c r="A18828" s="1" t="str">
        <f t="shared" si="709"/>
        <v>31080</v>
      </c>
      <c r="B18828" s="1" t="str">
        <f>"90310"</f>
        <v>90310</v>
      </c>
      <c r="C18828" s="2">
        <v>9.1191190412194097E-5</v>
      </c>
      <c r="D18828" s="2">
        <v>5.7118983739041302E-5</v>
      </c>
      <c r="E18828" s="2">
        <v>5.6292993773994796E-6</v>
      </c>
      <c r="F18828" s="2">
        <v>8.2615755292801698E-5</v>
      </c>
    </row>
    <row r="18829" spans="1:6" x14ac:dyDescent="0.25">
      <c r="A18829" s="1" t="str">
        <f t="shared" si="709"/>
        <v>31080</v>
      </c>
      <c r="B18829" s="1" t="str">
        <f>"90508"</f>
        <v>90508</v>
      </c>
      <c r="C18829" s="2">
        <v>7.8021346720279905E-5</v>
      </c>
      <c r="D18829" s="2">
        <v>1.71356951217123E-4</v>
      </c>
      <c r="E18829" s="2">
        <v>5.6292993773994796E-6</v>
      </c>
      <c r="F18829" s="2">
        <v>8.3284708776953996E-5</v>
      </c>
    </row>
    <row r="18830" spans="1:6" x14ac:dyDescent="0.25">
      <c r="A18830" s="1" t="str">
        <f t="shared" si="709"/>
        <v>31080</v>
      </c>
      <c r="B18830" s="1" t="str">
        <f>"91305"</f>
        <v>91305</v>
      </c>
      <c r="C18830" s="2">
        <v>8.4207182393754697E-5</v>
      </c>
      <c r="D18830" s="2">
        <v>8.8126432054520798E-5</v>
      </c>
      <c r="E18830" s="2">
        <v>2.8146496886997398E-6</v>
      </c>
      <c r="F18830" s="2">
        <v>7.9772702985154702E-5</v>
      </c>
    </row>
    <row r="18831" spans="1:6" x14ac:dyDescent="0.25">
      <c r="A18831" s="1" t="str">
        <f t="shared" si="709"/>
        <v>31080</v>
      </c>
      <c r="B18831" s="1" t="str">
        <f>"90707"</f>
        <v>90707</v>
      </c>
      <c r="C18831" s="2">
        <v>3.1926893798579997E-4</v>
      </c>
      <c r="D18831" s="2">
        <v>5.4181436003890597E-4</v>
      </c>
      <c r="E18831" s="2">
        <v>5.6292993773994796E-6</v>
      </c>
      <c r="F18831" s="2">
        <v>3.2343900958760802E-4</v>
      </c>
    </row>
    <row r="18832" spans="1:6" x14ac:dyDescent="0.25">
      <c r="A18832" s="1" t="str">
        <f t="shared" si="709"/>
        <v>31080</v>
      </c>
      <c r="B18832" s="1" t="str">
        <f>"91503"</f>
        <v>91503</v>
      </c>
      <c r="C18832" s="2">
        <v>1.16732705451058E-4</v>
      </c>
      <c r="D18832" s="2">
        <v>5.0917494075945399E-4</v>
      </c>
      <c r="E18832" s="2">
        <v>5.6292993773994796E-6</v>
      </c>
      <c r="F18832" s="2">
        <v>1.5034729556321599E-4</v>
      </c>
    </row>
    <row r="18833" spans="1:6" x14ac:dyDescent="0.25">
      <c r="A18833" s="1" t="str">
        <f t="shared" si="709"/>
        <v>31080</v>
      </c>
      <c r="B18833" s="1" t="str">
        <f>"91322"</f>
        <v>91322</v>
      </c>
      <c r="C18833" s="2">
        <v>1.80586493048218E-4</v>
      </c>
      <c r="D18833" s="2">
        <v>5.4507830196685099E-4</v>
      </c>
      <c r="E18833" s="2">
        <v>0</v>
      </c>
      <c r="F18833" s="2">
        <v>2.0720834171615601E-4</v>
      </c>
    </row>
    <row r="18834" spans="1:6" x14ac:dyDescent="0.25">
      <c r="A18834" s="1" t="str">
        <f t="shared" si="709"/>
        <v>31080</v>
      </c>
      <c r="B18834" s="1" t="str">
        <f>"92886"</f>
        <v>92886</v>
      </c>
      <c r="C18834" s="2">
        <v>3.4916049230472E-3</v>
      </c>
      <c r="D18834" s="2">
        <v>1.39043926130466E-3</v>
      </c>
      <c r="E18834" s="2">
        <v>4.95378345211155E-4</v>
      </c>
      <c r="F18834" s="2">
        <v>3.0982580618511002E-3</v>
      </c>
    </row>
    <row r="18835" spans="1:6" x14ac:dyDescent="0.25">
      <c r="A18835" s="1" t="str">
        <f t="shared" si="709"/>
        <v>31080</v>
      </c>
      <c r="B18835" s="1" t="str">
        <f>"92815"</f>
        <v>92815</v>
      </c>
      <c r="C18835" s="2">
        <v>1.90962733532756E-4</v>
      </c>
      <c r="D18835" s="2">
        <v>2.9701871544301399E-4</v>
      </c>
      <c r="E18835" s="2">
        <v>5.6292993773994796E-6</v>
      </c>
      <c r="F18835" s="2">
        <v>1.9081898135442599E-4</v>
      </c>
    </row>
    <row r="18836" spans="1:6" x14ac:dyDescent="0.25">
      <c r="A18836" s="1" t="str">
        <f t="shared" si="709"/>
        <v>31080</v>
      </c>
      <c r="B18836" s="1" t="str">
        <f>"92816"</f>
        <v>92816</v>
      </c>
      <c r="C18836" s="2">
        <v>6.7844649321982504E-5</v>
      </c>
      <c r="D18836" s="2">
        <v>1.5340527061342499E-4</v>
      </c>
      <c r="E18836" s="2">
        <v>8.4439490660992304E-6</v>
      </c>
      <c r="F18836" s="2">
        <v>7.3083168143632296E-5</v>
      </c>
    </row>
    <row r="18837" spans="1:6" x14ac:dyDescent="0.25">
      <c r="A18837" s="1" t="str">
        <f t="shared" si="709"/>
        <v>31080</v>
      </c>
      <c r="B18837" s="1" t="str">
        <f>"92844"</f>
        <v>92844</v>
      </c>
      <c r="C18837" s="2">
        <v>1.34472085817894E-3</v>
      </c>
      <c r="D18837" s="2">
        <v>1.56506015444973E-3</v>
      </c>
      <c r="E18837" s="2">
        <v>2.6711025545760499E-3</v>
      </c>
      <c r="F18837" s="2">
        <v>1.4461101943661001E-3</v>
      </c>
    </row>
    <row r="18838" spans="1:6" x14ac:dyDescent="0.25">
      <c r="A18838" s="1" t="str">
        <f t="shared" si="709"/>
        <v>31080</v>
      </c>
      <c r="B18838" s="1" t="str">
        <f>"91328"</f>
        <v>91328</v>
      </c>
      <c r="C18838" s="2">
        <v>1.18728136313469E-4</v>
      </c>
      <c r="D18838" s="2">
        <v>2.43163673631918E-4</v>
      </c>
      <c r="E18838" s="2">
        <v>2.8146496886997398E-6</v>
      </c>
      <c r="F18838" s="2">
        <v>1.24592586423354E-4</v>
      </c>
    </row>
    <row r="18839" spans="1:6" x14ac:dyDescent="0.25">
      <c r="A18839" s="1" t="str">
        <f t="shared" si="709"/>
        <v>31080</v>
      </c>
      <c r="B18839" s="1" t="str">
        <f>"91747"</f>
        <v>91747</v>
      </c>
      <c r="C18839" s="2">
        <v>3.2385842896934502E-4</v>
      </c>
      <c r="D18839" s="2">
        <v>2.3500381881205501E-4</v>
      </c>
      <c r="E18839" s="2">
        <v>1.12585987547989E-5</v>
      </c>
      <c r="F18839" s="2">
        <v>2.9617915510840402E-4</v>
      </c>
    </row>
    <row r="18840" spans="1:6" x14ac:dyDescent="0.25">
      <c r="A18840" s="1" t="str">
        <f t="shared" si="709"/>
        <v>31080</v>
      </c>
      <c r="B18840" s="1" t="str">
        <f>"90846"</f>
        <v>90846</v>
      </c>
      <c r="C18840" s="2">
        <v>0</v>
      </c>
      <c r="D18840" s="2">
        <v>1.6319709639726001E-6</v>
      </c>
      <c r="E18840" s="2">
        <v>0</v>
      </c>
      <c r="F18840" s="2">
        <v>1.6723837103806E-7</v>
      </c>
    </row>
    <row r="18841" spans="1:6" x14ac:dyDescent="0.25">
      <c r="A18841" s="1" t="str">
        <f t="shared" si="709"/>
        <v>31080</v>
      </c>
      <c r="B18841" s="1" t="str">
        <f>"92626"</f>
        <v>92626</v>
      </c>
      <c r="C18841" s="2">
        <v>4.1113857489121402E-3</v>
      </c>
      <c r="D18841" s="2">
        <v>6.7906311810900198E-3</v>
      </c>
      <c r="E18841" s="2">
        <v>5.2718388669346196E-3</v>
      </c>
      <c r="F18841" s="2">
        <v>4.45489572771184E-3</v>
      </c>
    </row>
    <row r="18842" spans="1:6" x14ac:dyDescent="0.25">
      <c r="A18842" s="1" t="str">
        <f t="shared" si="709"/>
        <v>31080</v>
      </c>
      <c r="B18842" s="1" t="str">
        <f>"91780"</f>
        <v>91780</v>
      </c>
      <c r="C18842" s="2">
        <v>2.65332441774824E-3</v>
      </c>
      <c r="D18842" s="2">
        <v>2.04649158882165E-3</v>
      </c>
      <c r="E18842" s="2">
        <v>1.6690872653989399E-3</v>
      </c>
      <c r="F18842" s="2">
        <v>2.53265789100038E-3</v>
      </c>
    </row>
    <row r="18843" spans="1:6" x14ac:dyDescent="0.25">
      <c r="A18843" s="1" t="str">
        <f t="shared" si="709"/>
        <v>31080</v>
      </c>
      <c r="B18843" s="1" t="str">
        <f>"92603"</f>
        <v>92603</v>
      </c>
      <c r="C18843" s="2">
        <v>1.5708031748901299E-3</v>
      </c>
      <c r="D18843" s="2">
        <v>1.3055767711780801E-4</v>
      </c>
      <c r="E18843" s="2">
        <v>1.12585987547989E-5</v>
      </c>
      <c r="F18843" s="2">
        <v>1.3305484799788E-3</v>
      </c>
    </row>
    <row r="18844" spans="1:6" x14ac:dyDescent="0.25">
      <c r="A18844" s="1" t="str">
        <f t="shared" si="709"/>
        <v>31080</v>
      </c>
      <c r="B18844" s="1" t="str">
        <f>"92629"</f>
        <v>92629</v>
      </c>
      <c r="C18844" s="2">
        <v>2.87262226952723E-3</v>
      </c>
      <c r="D18844" s="2">
        <v>2.16888941111959E-3</v>
      </c>
      <c r="E18844" s="2">
        <v>5.1873993762736204E-3</v>
      </c>
      <c r="F18844" s="2">
        <v>2.93804370239664E-3</v>
      </c>
    </row>
    <row r="18845" spans="1:6" x14ac:dyDescent="0.25">
      <c r="A18845" s="1" t="str">
        <f t="shared" si="709"/>
        <v>31080</v>
      </c>
      <c r="B18845" s="1" t="str">
        <f>"91778"</f>
        <v>91778</v>
      </c>
      <c r="C18845" s="2">
        <v>2.8754158727346103E-4</v>
      </c>
      <c r="D18845" s="2">
        <v>6.2667685016548104E-4</v>
      </c>
      <c r="E18845" s="2">
        <v>8.4439490660992304E-6</v>
      </c>
      <c r="F18845" s="2">
        <v>3.05711742257574E-4</v>
      </c>
    </row>
    <row r="18846" spans="1:6" x14ac:dyDescent="0.25">
      <c r="A18846" s="1" t="str">
        <f t="shared" si="709"/>
        <v>31080</v>
      </c>
      <c r="B18846" s="1" t="str">
        <f>"90631"</f>
        <v>90631</v>
      </c>
      <c r="C18846" s="2">
        <v>4.65095025410814E-3</v>
      </c>
      <c r="D18846" s="2">
        <v>3.7927005202723399E-3</v>
      </c>
      <c r="E18846" s="2">
        <v>4.9031197577149499E-3</v>
      </c>
      <c r="F18846" s="2">
        <v>4.57798316879586E-3</v>
      </c>
    </row>
    <row r="18847" spans="1:6" x14ac:dyDescent="0.25">
      <c r="A18847" s="1" t="str">
        <f t="shared" si="709"/>
        <v>31080</v>
      </c>
      <c r="B18847" s="1" t="str">
        <f>"90670"</f>
        <v>90670</v>
      </c>
      <c r="C18847" s="2">
        <v>1.2194078000195101E-3</v>
      </c>
      <c r="D18847" s="2">
        <v>7.0370587966498898E-3</v>
      </c>
      <c r="E18847" s="2">
        <v>1.6015356728701501E-3</v>
      </c>
      <c r="F18847" s="2">
        <v>1.8382841744503499E-3</v>
      </c>
    </row>
    <row r="18848" spans="1:6" x14ac:dyDescent="0.25">
      <c r="A18848" s="1" t="str">
        <f t="shared" si="709"/>
        <v>31080</v>
      </c>
      <c r="B18848" s="1" t="str">
        <f>"92804"</f>
        <v>92804</v>
      </c>
      <c r="C18848" s="2">
        <v>5.32440817017194E-3</v>
      </c>
      <c r="D18848" s="2">
        <v>2.3941014041478099E-3</v>
      </c>
      <c r="E18848" s="2">
        <v>5.5955235811350904E-3</v>
      </c>
      <c r="F18848" s="2">
        <v>5.0402300263450604E-3</v>
      </c>
    </row>
    <row r="18849" spans="1:6" x14ac:dyDescent="0.25">
      <c r="A18849" s="1" t="str">
        <f t="shared" si="709"/>
        <v>31080</v>
      </c>
      <c r="B18849" s="1" t="str">
        <f>"92846"</f>
        <v>92846</v>
      </c>
      <c r="C18849" s="2">
        <v>1.2571214433190799E-4</v>
      </c>
      <c r="D18849" s="2">
        <v>3.2149827990260303E-4</v>
      </c>
      <c r="E18849" s="2">
        <v>8.4439490660992304E-6</v>
      </c>
      <c r="F18849" s="2">
        <v>1.3880784796159001E-4</v>
      </c>
    </row>
    <row r="18850" spans="1:6" x14ac:dyDescent="0.25">
      <c r="A18850" s="1" t="str">
        <f t="shared" si="709"/>
        <v>31080</v>
      </c>
      <c r="B18850" s="1" t="str">
        <f>"92834"</f>
        <v>92834</v>
      </c>
      <c r="C18850" s="2">
        <v>3.0550046503516202E-4</v>
      </c>
      <c r="D18850" s="2">
        <v>6.5931626944493399E-4</v>
      </c>
      <c r="E18850" s="2">
        <v>8.4439490660992304E-6</v>
      </c>
      <c r="F18850" s="2">
        <v>3.2410796307176E-4</v>
      </c>
    </row>
    <row r="18851" spans="1:6" x14ac:dyDescent="0.25">
      <c r="A18851" s="1" t="str">
        <f t="shared" si="709"/>
        <v>31080</v>
      </c>
      <c r="B18851" s="1" t="str">
        <f>"92870"</f>
        <v>92870</v>
      </c>
      <c r="C18851" s="2">
        <v>3.6562279691961302E-3</v>
      </c>
      <c r="D18851" s="2">
        <v>2.7221275679063101E-3</v>
      </c>
      <c r="E18851" s="2">
        <v>2.3868229360173802E-3</v>
      </c>
      <c r="F18851" s="2">
        <v>3.4850804140621298E-3</v>
      </c>
    </row>
    <row r="18852" spans="1:6" x14ac:dyDescent="0.25">
      <c r="A18852" s="1" t="str">
        <f t="shared" si="709"/>
        <v>31080</v>
      </c>
      <c r="B18852" s="1" t="str">
        <f>"92859"</f>
        <v>92859</v>
      </c>
      <c r="C18852" s="2">
        <v>1.38682444937581E-4</v>
      </c>
      <c r="D18852" s="2">
        <v>3.9004106038945297E-4</v>
      </c>
      <c r="E18852" s="2">
        <v>8.4439490660992304E-6</v>
      </c>
      <c r="F18852" s="2">
        <v>1.56702353662662E-4</v>
      </c>
    </row>
    <row r="18853" spans="1:6" x14ac:dyDescent="0.25">
      <c r="A18853" s="1" t="str">
        <f t="shared" si="709"/>
        <v>31080</v>
      </c>
      <c r="B18853" s="1" t="str">
        <f>"92863"</f>
        <v>92863</v>
      </c>
      <c r="C18853" s="2">
        <v>3.1308310231232498E-4</v>
      </c>
      <c r="D18853" s="2">
        <v>1.1733871230963E-3</v>
      </c>
      <c r="E18853" s="2">
        <v>8.4439490660992304E-6</v>
      </c>
      <c r="F18853" s="2">
        <v>3.83143108048196E-4</v>
      </c>
    </row>
    <row r="18854" spans="1:6" x14ac:dyDescent="0.25">
      <c r="A18854" s="1" t="str">
        <f t="shared" si="709"/>
        <v>31080</v>
      </c>
      <c r="B18854" s="1" t="str">
        <f>"90091"</f>
        <v>90091</v>
      </c>
      <c r="C18854" s="2">
        <v>7.1635967960563903E-5</v>
      </c>
      <c r="D18854" s="2">
        <v>1.46877386757534E-4</v>
      </c>
      <c r="E18854" s="2">
        <v>5.6292993773994796E-6</v>
      </c>
      <c r="F18854" s="2">
        <v>7.54245053381651E-5</v>
      </c>
    </row>
    <row r="18855" spans="1:6" x14ac:dyDescent="0.25">
      <c r="A18855" s="1" t="str">
        <f t="shared" si="709"/>
        <v>31080</v>
      </c>
      <c r="B18855" s="1" t="str">
        <f>"90086"</f>
        <v>90086</v>
      </c>
      <c r="C18855" s="2">
        <v>2.7556900209899299E-4</v>
      </c>
      <c r="D18855" s="2">
        <v>4.3736821834465902E-4</v>
      </c>
      <c r="E18855" s="2">
        <v>5.6292993773994796E-6</v>
      </c>
      <c r="F18855" s="2">
        <v>2.7611055058383702E-4</v>
      </c>
    </row>
    <row r="18856" spans="1:6" x14ac:dyDescent="0.25">
      <c r="A18856" s="1" t="str">
        <f t="shared" si="709"/>
        <v>31080</v>
      </c>
      <c r="B18856" s="1" t="str">
        <f>"90221"</f>
        <v>90221</v>
      </c>
      <c r="C18856" s="2">
        <v>2.4026983014293801E-3</v>
      </c>
      <c r="D18856" s="2">
        <v>2.29291920438151E-3</v>
      </c>
      <c r="E18856" s="2">
        <v>2.0152891771090102E-3</v>
      </c>
      <c r="F18856" s="2">
        <v>2.3684298106410001E-3</v>
      </c>
    </row>
    <row r="18857" spans="1:6" x14ac:dyDescent="0.25">
      <c r="A18857" s="1" t="str">
        <f t="shared" ref="A18857:A18920" si="710">"31080"</f>
        <v>31080</v>
      </c>
      <c r="B18857" s="1" t="str">
        <f>"90209"</f>
        <v>90209</v>
      </c>
      <c r="C18857" s="2">
        <v>3.3004426464282001E-4</v>
      </c>
      <c r="D18857" s="2">
        <v>6.3483670498534403E-4</v>
      </c>
      <c r="E18857" s="2">
        <v>5.6292993773994796E-6</v>
      </c>
      <c r="F18857" s="2">
        <v>3.4200246877283299E-4</v>
      </c>
    </row>
    <row r="18858" spans="1:6" x14ac:dyDescent="0.25">
      <c r="A18858" s="1" t="str">
        <f t="shared" si="710"/>
        <v>31080</v>
      </c>
      <c r="B18858" s="1" t="str">
        <f>"90231"</f>
        <v>90231</v>
      </c>
      <c r="C18858" s="2">
        <v>3.5937709832026602E-4</v>
      </c>
      <c r="D18858" s="2">
        <v>7.0011554354424896E-4</v>
      </c>
      <c r="E18858" s="2">
        <v>5.6292993773994796E-6</v>
      </c>
      <c r="F18858" s="2">
        <v>3.7327604415694998E-4</v>
      </c>
    </row>
    <row r="18859" spans="1:6" x14ac:dyDescent="0.25">
      <c r="A18859" s="1" t="str">
        <f t="shared" si="710"/>
        <v>31080</v>
      </c>
      <c r="B18859" s="1" t="str">
        <f>"90224"</f>
        <v>90224</v>
      </c>
      <c r="C18859" s="2">
        <v>2.2488505819374699E-4</v>
      </c>
      <c r="D18859" s="2">
        <v>2.92122802551097E-4</v>
      </c>
      <c r="E18859" s="2">
        <v>5.6292993773994796E-6</v>
      </c>
      <c r="F18859" s="2">
        <v>2.1874778931778199E-4</v>
      </c>
    </row>
    <row r="18860" spans="1:6" x14ac:dyDescent="0.25">
      <c r="A18860" s="1" t="str">
        <f t="shared" si="710"/>
        <v>31080</v>
      </c>
      <c r="B18860" s="1" t="str">
        <f>"90034"</f>
        <v>90034</v>
      </c>
      <c r="C18860" s="2">
        <v>5.8352384709492201E-3</v>
      </c>
      <c r="D18860" s="2">
        <v>2.66011267127535E-3</v>
      </c>
      <c r="E18860" s="2">
        <v>9.5444770943808304E-3</v>
      </c>
      <c r="F18860" s="2">
        <v>5.7302555452480898E-3</v>
      </c>
    </row>
    <row r="18861" spans="1:6" x14ac:dyDescent="0.25">
      <c r="A18861" s="1" t="str">
        <f t="shared" si="710"/>
        <v>31080</v>
      </c>
      <c r="B18861" s="1" t="str">
        <f>"91040"</f>
        <v>91040</v>
      </c>
      <c r="C18861" s="2">
        <v>1.57279860575254E-3</v>
      </c>
      <c r="D18861" s="2">
        <v>5.9730137281397398E-4</v>
      </c>
      <c r="E18861" s="2">
        <v>5.5448598867384902E-4</v>
      </c>
      <c r="F18861" s="2">
        <v>1.41232804341641E-3</v>
      </c>
    </row>
    <row r="18862" spans="1:6" x14ac:dyDescent="0.25">
      <c r="A18862" s="1" t="str">
        <f t="shared" si="710"/>
        <v>31080</v>
      </c>
      <c r="B18862" s="1" t="str">
        <f>"91041"</f>
        <v>91041</v>
      </c>
      <c r="C18862" s="2">
        <v>1.9036410427403301E-4</v>
      </c>
      <c r="D18862" s="2">
        <v>2.7417112194739801E-4</v>
      </c>
      <c r="E18862" s="2">
        <v>5.6292993773994796E-6</v>
      </c>
      <c r="F18862" s="2">
        <v>1.8797592904677899E-4</v>
      </c>
    </row>
    <row r="18863" spans="1:6" x14ac:dyDescent="0.25">
      <c r="A18863" s="1" t="str">
        <f t="shared" si="710"/>
        <v>31080</v>
      </c>
      <c r="B18863" s="1" t="str">
        <f>"91306"</f>
        <v>91306</v>
      </c>
      <c r="C18863" s="2">
        <v>2.8969665260486499E-3</v>
      </c>
      <c r="D18863" s="2">
        <v>1.0020301718791801E-3</v>
      </c>
      <c r="E18863" s="2">
        <v>1.6465700678893499E-3</v>
      </c>
      <c r="F18863" s="2">
        <v>2.6284854776051901E-3</v>
      </c>
    </row>
    <row r="18864" spans="1:6" x14ac:dyDescent="0.25">
      <c r="A18864" s="1" t="str">
        <f t="shared" si="710"/>
        <v>31080</v>
      </c>
      <c r="B18864" s="1" t="str">
        <f>"90502"</f>
        <v>90502</v>
      </c>
      <c r="C18864" s="2">
        <v>1.2942364573599299E-3</v>
      </c>
      <c r="D18864" s="2">
        <v>1.7331531637389101E-3</v>
      </c>
      <c r="E18864" s="2">
        <v>1.53116943065266E-3</v>
      </c>
      <c r="F18864" s="2">
        <v>1.35329289843998E-3</v>
      </c>
    </row>
    <row r="18865" spans="1:6" x14ac:dyDescent="0.25">
      <c r="A18865" s="1" t="str">
        <f t="shared" si="710"/>
        <v>31080</v>
      </c>
      <c r="B18865" s="1" t="str">
        <f>"90303"</f>
        <v>90303</v>
      </c>
      <c r="C18865" s="2">
        <v>1.50774755963794E-3</v>
      </c>
      <c r="D18865" s="2">
        <v>1.0542532427263E-3</v>
      </c>
      <c r="E18865" s="2">
        <v>2.6091802614246601E-3</v>
      </c>
      <c r="F18865" s="2">
        <v>1.5267190892064499E-3</v>
      </c>
    </row>
    <row r="18866" spans="1:6" x14ac:dyDescent="0.25">
      <c r="A18866" s="1" t="str">
        <f t="shared" si="710"/>
        <v>31080</v>
      </c>
      <c r="B18866" s="1" t="str">
        <f>"90720"</f>
        <v>90720</v>
      </c>
      <c r="C18866" s="2">
        <v>1.9649007702163498E-3</v>
      </c>
      <c r="D18866" s="2">
        <v>3.4842580080815199E-3</v>
      </c>
      <c r="E18866" s="2">
        <v>1.42421274248207E-3</v>
      </c>
      <c r="F18866" s="2">
        <v>2.0884727775232902E-3</v>
      </c>
    </row>
    <row r="18867" spans="1:6" x14ac:dyDescent="0.25">
      <c r="A18867" s="1" t="str">
        <f t="shared" si="710"/>
        <v>31080</v>
      </c>
      <c r="B18867" s="1" t="str">
        <f>"90733"</f>
        <v>90733</v>
      </c>
      <c r="C18867" s="2">
        <v>2.6818590790807201E-4</v>
      </c>
      <c r="D18867" s="2">
        <v>3.7208937978575399E-4</v>
      </c>
      <c r="E18867" s="2">
        <v>5.6292993773994796E-6</v>
      </c>
      <c r="F18867" s="2">
        <v>2.6323319601390599E-4</v>
      </c>
    </row>
    <row r="18868" spans="1:6" x14ac:dyDescent="0.25">
      <c r="A18868" s="1" t="str">
        <f t="shared" si="710"/>
        <v>31080</v>
      </c>
      <c r="B18868" s="1" t="str">
        <f>"90804"</f>
        <v>90804</v>
      </c>
      <c r="C18868" s="2">
        <v>3.3174038087586998E-3</v>
      </c>
      <c r="D18868" s="2">
        <v>2.2096886852189098E-3</v>
      </c>
      <c r="E18868" s="2">
        <v>6.7129395075488903E-3</v>
      </c>
      <c r="F18868" s="2">
        <v>3.4056421878190502E-3</v>
      </c>
    </row>
    <row r="18869" spans="1:6" x14ac:dyDescent="0.25">
      <c r="A18869" s="1" t="str">
        <f t="shared" si="710"/>
        <v>31080</v>
      </c>
      <c r="B18869" s="1" t="str">
        <f>"91024"</f>
        <v>91024</v>
      </c>
      <c r="C18869" s="2">
        <v>1.00849075786264E-3</v>
      </c>
      <c r="D18869" s="2">
        <v>5.5813406967863196E-4</v>
      </c>
      <c r="E18869" s="2">
        <v>1.43828599092556E-3</v>
      </c>
      <c r="F18869" s="2">
        <v>9.8787705772182197E-4</v>
      </c>
    </row>
    <row r="18870" spans="1:6" x14ac:dyDescent="0.25">
      <c r="A18870" s="1" t="str">
        <f t="shared" si="710"/>
        <v>31080</v>
      </c>
      <c r="B18870" s="1" t="str">
        <f>"90270"</f>
        <v>90270</v>
      </c>
      <c r="C18870" s="2">
        <v>1.4339166177287201E-3</v>
      </c>
      <c r="D18870" s="2">
        <v>9.8407849127548296E-4</v>
      </c>
      <c r="E18870" s="2">
        <v>2.1475777124778999E-3</v>
      </c>
      <c r="F18870" s="2">
        <v>1.4302225491174901E-3</v>
      </c>
    </row>
    <row r="18871" spans="1:6" x14ac:dyDescent="0.25">
      <c r="A18871" s="1" t="str">
        <f t="shared" si="710"/>
        <v>31080</v>
      </c>
      <c r="B18871" s="1" t="str">
        <f>"90278"</f>
        <v>90278</v>
      </c>
      <c r="C18871" s="2">
        <v>3.5628418048352802E-3</v>
      </c>
      <c r="D18871" s="2">
        <v>1.9453093890553399E-3</v>
      </c>
      <c r="E18871" s="2">
        <v>7.8359847333400803E-3</v>
      </c>
      <c r="F18871" s="2">
        <v>3.65098087813189E-3</v>
      </c>
    </row>
    <row r="18872" spans="1:6" x14ac:dyDescent="0.25">
      <c r="A18872" s="1" t="str">
        <f t="shared" si="710"/>
        <v>31080</v>
      </c>
      <c r="B18872" s="1" t="str">
        <f>"90266"</f>
        <v>90266</v>
      </c>
      <c r="C18872" s="2">
        <v>3.0897251473575799E-3</v>
      </c>
      <c r="D18872" s="2">
        <v>2.7531350162217898E-3</v>
      </c>
      <c r="E18872" s="2">
        <v>2.3136420441111799E-3</v>
      </c>
      <c r="F18872" s="2">
        <v>3.00912001008781E-3</v>
      </c>
    </row>
    <row r="18873" spans="1:6" x14ac:dyDescent="0.25">
      <c r="A18873" s="1" t="str">
        <f t="shared" si="710"/>
        <v>31080</v>
      </c>
      <c r="B18873" s="1" t="str">
        <f>"90280"</f>
        <v>90280</v>
      </c>
      <c r="C18873" s="2">
        <v>5.1322481781217299E-3</v>
      </c>
      <c r="D18873" s="2">
        <v>4.16478990005809E-3</v>
      </c>
      <c r="E18873" s="2">
        <v>7.1858006552504398E-3</v>
      </c>
      <c r="F18873" s="2">
        <v>5.1551227872481996E-3</v>
      </c>
    </row>
    <row r="18874" spans="1:6" x14ac:dyDescent="0.25">
      <c r="A18874" s="1" t="str">
        <f t="shared" si="710"/>
        <v>31080</v>
      </c>
      <c r="B18874" s="1" t="str">
        <f>"90251"</f>
        <v>90251</v>
      </c>
      <c r="C18874" s="2">
        <v>3.4261547907601101E-4</v>
      </c>
      <c r="D18874" s="2">
        <v>3.8677711846150801E-4</v>
      </c>
      <c r="E18874" s="2">
        <v>5.6292993773994796E-6</v>
      </c>
      <c r="F18874" s="2">
        <v>3.2711825375044502E-4</v>
      </c>
    </row>
    <row r="18875" spans="1:6" x14ac:dyDescent="0.25">
      <c r="A18875" s="1" t="str">
        <f t="shared" si="710"/>
        <v>31080</v>
      </c>
      <c r="B18875" s="1" t="str">
        <f>"90003"</f>
        <v>90003</v>
      </c>
      <c r="C18875" s="2">
        <v>3.72327444617315E-3</v>
      </c>
      <c r="D18875" s="2">
        <v>3.1741835249267198E-3</v>
      </c>
      <c r="E18875" s="2">
        <v>3.4732777158554798E-3</v>
      </c>
      <c r="F18875" s="2">
        <v>3.65215154672916E-3</v>
      </c>
    </row>
    <row r="18876" spans="1:6" x14ac:dyDescent="0.25">
      <c r="A18876" s="1" t="str">
        <f t="shared" si="710"/>
        <v>31080</v>
      </c>
      <c r="B18876" s="1" t="str">
        <f>"90008"</f>
        <v>90008</v>
      </c>
      <c r="C18876" s="2">
        <v>3.06717677861233E-3</v>
      </c>
      <c r="D18876" s="2">
        <v>1.6172832252968499E-3</v>
      </c>
      <c r="E18876" s="2">
        <v>5.5533038358045904E-3</v>
      </c>
      <c r="F18876" s="2">
        <v>3.0663155329828302E-3</v>
      </c>
    </row>
    <row r="18877" spans="1:6" x14ac:dyDescent="0.25">
      <c r="A18877" s="1" t="str">
        <f t="shared" si="710"/>
        <v>31080</v>
      </c>
      <c r="B18877" s="1" t="str">
        <f>"90013"</f>
        <v>90013</v>
      </c>
      <c r="C18877" s="2">
        <v>1.59973692239509E-3</v>
      </c>
      <c r="D18877" s="2">
        <v>6.3646867594931702E-3</v>
      </c>
      <c r="E18877" s="2">
        <v>1.1568210220555899E-3</v>
      </c>
      <c r="F18877" s="2">
        <v>2.0617146381571999E-3</v>
      </c>
    </row>
    <row r="18878" spans="1:6" x14ac:dyDescent="0.25">
      <c r="A18878" s="1" t="str">
        <f t="shared" si="710"/>
        <v>31080</v>
      </c>
      <c r="B18878" s="1" t="str">
        <f>"93590"</f>
        <v>93590</v>
      </c>
      <c r="C18878" s="2">
        <v>3.8412044101416502E-4</v>
      </c>
      <c r="D18878" s="2">
        <v>4.1125668292109699E-4</v>
      </c>
      <c r="E18878" s="2">
        <v>2.8146496886997398E-6</v>
      </c>
      <c r="F18878" s="2">
        <v>3.6424517212089498E-4</v>
      </c>
    </row>
    <row r="18879" spans="1:6" x14ac:dyDescent="0.25">
      <c r="A18879" s="1" t="str">
        <f t="shared" si="710"/>
        <v>31080</v>
      </c>
      <c r="B18879" s="1" t="str">
        <f>"91606"</f>
        <v>91606</v>
      </c>
      <c r="C18879" s="2">
        <v>3.14779218545374E-3</v>
      </c>
      <c r="D18879" s="2">
        <v>2.0758670661731502E-3</v>
      </c>
      <c r="E18879" s="2">
        <v>4.8130509676765597E-3</v>
      </c>
      <c r="F18879" s="2">
        <v>3.1368901255608901E-3</v>
      </c>
    </row>
    <row r="18880" spans="1:6" x14ac:dyDescent="0.25">
      <c r="A18880" s="1" t="str">
        <f t="shared" si="710"/>
        <v>31080</v>
      </c>
      <c r="B18880" s="1" t="str">
        <f>"91416"</f>
        <v>91416</v>
      </c>
      <c r="C18880" s="2">
        <v>3.3323695402267801E-4</v>
      </c>
      <c r="D18880" s="2">
        <v>7.1806722414794702E-4</v>
      </c>
      <c r="E18880" s="2">
        <v>5.6292993773994796E-6</v>
      </c>
      <c r="F18880" s="2">
        <v>3.5320743963238298E-4</v>
      </c>
    </row>
    <row r="18881" spans="1:6" x14ac:dyDescent="0.25">
      <c r="A18881" s="1" t="str">
        <f t="shared" si="710"/>
        <v>31080</v>
      </c>
      <c r="B18881" s="1" t="str">
        <f>"91351"</f>
        <v>91351</v>
      </c>
      <c r="C18881" s="2">
        <v>2.1436913754884E-3</v>
      </c>
      <c r="D18881" s="2">
        <v>1.8832944924243901E-3</v>
      </c>
      <c r="E18881" s="2">
        <v>1.7478974566825401E-3</v>
      </c>
      <c r="F18881" s="2">
        <v>2.0934899286544299E-3</v>
      </c>
    </row>
    <row r="18882" spans="1:6" x14ac:dyDescent="0.25">
      <c r="A18882" s="1" t="str">
        <f t="shared" si="710"/>
        <v>31080</v>
      </c>
      <c r="B18882" s="1" t="str">
        <f>"91367"</f>
        <v>91367</v>
      </c>
      <c r="C18882" s="2">
        <v>4.3221032479827601E-3</v>
      </c>
      <c r="D18882" s="2">
        <v>3.13664819275535E-3</v>
      </c>
      <c r="E18882" s="2">
        <v>1.75915605543734E-3</v>
      </c>
      <c r="F18882" s="2">
        <v>4.0483392477183196E-3</v>
      </c>
    </row>
    <row r="18883" spans="1:6" x14ac:dyDescent="0.25">
      <c r="A18883" s="1" t="str">
        <f t="shared" si="710"/>
        <v>31080</v>
      </c>
      <c r="B18883" s="1" t="str">
        <f>"92652"</f>
        <v>92652</v>
      </c>
      <c r="C18883" s="2">
        <v>5.5812201221642598E-4</v>
      </c>
      <c r="D18883" s="2">
        <v>8.1924942391424895E-4</v>
      </c>
      <c r="E18883" s="2">
        <v>1.68878981321984E-5</v>
      </c>
      <c r="F18883" s="2">
        <v>5.5272281628078901E-4</v>
      </c>
    </row>
    <row r="18884" spans="1:6" x14ac:dyDescent="0.25">
      <c r="A18884" s="1" t="str">
        <f t="shared" si="710"/>
        <v>31080</v>
      </c>
      <c r="B18884" s="1" t="str">
        <f>"92672"</f>
        <v>92672</v>
      </c>
      <c r="C18884" s="2">
        <v>3.32538553220834E-3</v>
      </c>
      <c r="D18884" s="2">
        <v>2.6340011358517899E-3</v>
      </c>
      <c r="E18884" s="2">
        <v>8.7394872834127002E-3</v>
      </c>
      <c r="F18884" s="2">
        <v>3.5762253262778799E-3</v>
      </c>
    </row>
    <row r="18885" spans="1:6" x14ac:dyDescent="0.25">
      <c r="A18885" s="1" t="str">
        <f t="shared" si="710"/>
        <v>31080</v>
      </c>
      <c r="B18885" s="1" t="str">
        <f>"92708"</f>
        <v>92708</v>
      </c>
      <c r="C18885" s="2">
        <v>3.8557710554372499E-3</v>
      </c>
      <c r="D18885" s="2">
        <v>4.2741319546442599E-3</v>
      </c>
      <c r="E18885" s="2">
        <v>1.89988853987232E-3</v>
      </c>
      <c r="F18885" s="2">
        <v>3.7824302377678001E-3</v>
      </c>
    </row>
    <row r="18886" spans="1:6" x14ac:dyDescent="0.25">
      <c r="A18886" s="1" t="str">
        <f t="shared" si="710"/>
        <v>31080</v>
      </c>
      <c r="B18886" s="1" t="str">
        <f>"92694"</f>
        <v>92694</v>
      </c>
      <c r="C18886" s="2">
        <v>2.5280113595888098E-3</v>
      </c>
      <c r="D18886" s="2">
        <v>6.1035714052575505E-4</v>
      </c>
      <c r="E18886" s="2">
        <v>2.5331847198297602E-4</v>
      </c>
      <c r="F18886" s="2">
        <v>2.1963415268428398E-3</v>
      </c>
    </row>
    <row r="18887" spans="1:6" x14ac:dyDescent="0.25">
      <c r="A18887" s="1" t="str">
        <f t="shared" si="710"/>
        <v>31080</v>
      </c>
      <c r="B18887" s="1" t="str">
        <f>"92661"</f>
        <v>92661</v>
      </c>
      <c r="C18887" s="2">
        <v>6.3315021264308898E-4</v>
      </c>
      <c r="D18887" s="2">
        <v>4.0472879906520699E-4</v>
      </c>
      <c r="E18887" s="2">
        <v>1.2609630605374799E-3</v>
      </c>
      <c r="F18887" s="2">
        <v>6.47045257546255E-4</v>
      </c>
    </row>
    <row r="18888" spans="1:6" x14ac:dyDescent="0.25">
      <c r="A18888" s="1" t="str">
        <f t="shared" si="710"/>
        <v>31080</v>
      </c>
      <c r="B18888" s="1" t="str">
        <f>"92702"</f>
        <v>92702</v>
      </c>
      <c r="C18888" s="2">
        <v>2.1730242091658501E-4</v>
      </c>
      <c r="D18888" s="2">
        <v>3.93305002317398E-4</v>
      </c>
      <c r="E18888" s="2">
        <v>8.4439490660992304E-6</v>
      </c>
      <c r="F18888" s="2">
        <v>2.2292874859373399E-4</v>
      </c>
    </row>
    <row r="18889" spans="1:6" x14ac:dyDescent="0.25">
      <c r="A18889" s="1" t="str">
        <f t="shared" si="710"/>
        <v>31080</v>
      </c>
      <c r="B18889" s="1" t="str">
        <f>"91733"</f>
        <v>91733</v>
      </c>
      <c r="C18889" s="2">
        <v>2.17302420916585E-3</v>
      </c>
      <c r="D18889" s="2">
        <v>5.5519652194348096E-3</v>
      </c>
      <c r="E18889" s="2">
        <v>3.12707580414541E-3</v>
      </c>
      <c r="F18889" s="2">
        <v>2.5759726290992399E-3</v>
      </c>
    </row>
    <row r="18890" spans="1:6" x14ac:dyDescent="0.25">
      <c r="A18890" s="1" t="str">
        <f t="shared" si="710"/>
        <v>31080</v>
      </c>
      <c r="B18890" s="1" t="str">
        <f>"91741"</f>
        <v>91741</v>
      </c>
      <c r="C18890" s="2">
        <v>1.9796669585982001E-3</v>
      </c>
      <c r="D18890" s="2">
        <v>1.17991500695219E-3</v>
      </c>
      <c r="E18890" s="2">
        <v>1.13711847423469E-3</v>
      </c>
      <c r="F18890" s="2">
        <v>1.8476495232284799E-3</v>
      </c>
    </row>
    <row r="18891" spans="1:6" x14ac:dyDescent="0.25">
      <c r="A18891" s="1" t="str">
        <f t="shared" si="710"/>
        <v>31080</v>
      </c>
      <c r="B18891" s="1" t="str">
        <f>"91723"</f>
        <v>91723</v>
      </c>
      <c r="C18891" s="2">
        <v>1.47202934720077E-3</v>
      </c>
      <c r="D18891" s="2">
        <v>2.7531350162217898E-3</v>
      </c>
      <c r="E18891" s="2">
        <v>2.32490064286598E-3</v>
      </c>
      <c r="F18891" s="2">
        <v>1.65398748956641E-3</v>
      </c>
    </row>
    <row r="18892" spans="1:6" x14ac:dyDescent="0.25">
      <c r="A18892" s="1" t="str">
        <f t="shared" si="710"/>
        <v>31080</v>
      </c>
      <c r="B18892" s="1" t="str">
        <f>"91773"</f>
        <v>91773</v>
      </c>
      <c r="C18892" s="2">
        <v>2.7768415881314901E-3</v>
      </c>
      <c r="D18892" s="2">
        <v>3.68499043665015E-3</v>
      </c>
      <c r="E18892" s="2">
        <v>9.6823949291271203E-4</v>
      </c>
      <c r="F18892" s="2">
        <v>2.7624434128066702E-3</v>
      </c>
    </row>
    <row r="18893" spans="1:6" x14ac:dyDescent="0.25">
      <c r="A18893" s="1" t="str">
        <f t="shared" si="710"/>
        <v>31080</v>
      </c>
      <c r="B18893" s="1" t="str">
        <f>"93599"</f>
        <v>93599</v>
      </c>
      <c r="C18893" s="2">
        <v>0</v>
      </c>
      <c r="D18893" s="2">
        <v>0</v>
      </c>
      <c r="E18893" s="2">
        <v>5.6292993773994796E-6</v>
      </c>
      <c r="F18893" s="2">
        <v>3.3447674207611999E-7</v>
      </c>
    </row>
    <row r="18894" spans="1:6" x14ac:dyDescent="0.25">
      <c r="A18894" s="1" t="str">
        <f t="shared" si="710"/>
        <v>31080</v>
      </c>
      <c r="B18894" s="1" t="str">
        <f>"91341"</f>
        <v>91341</v>
      </c>
      <c r="C18894" s="2">
        <v>1.4865959924963799E-4</v>
      </c>
      <c r="D18894" s="2">
        <v>1.9094060278479499E-4</v>
      </c>
      <c r="E18894" s="2">
        <v>5.6292993773994796E-6</v>
      </c>
      <c r="F18894" s="2">
        <v>1.44493952576884E-4</v>
      </c>
    </row>
    <row r="18895" spans="1:6" x14ac:dyDescent="0.25">
      <c r="A18895" s="1" t="str">
        <f t="shared" si="710"/>
        <v>31080</v>
      </c>
      <c r="B18895" s="1" t="str">
        <f>"91395"</f>
        <v>91395</v>
      </c>
      <c r="C18895" s="2">
        <v>3.3922324660991199E-6</v>
      </c>
      <c r="D18895" s="2">
        <v>9.7918257838356497E-6</v>
      </c>
      <c r="E18895" s="2">
        <v>5.6292993773994796E-6</v>
      </c>
      <c r="F18895" s="2">
        <v>4.1809592759515001E-6</v>
      </c>
    </row>
    <row r="18896" spans="1:6" x14ac:dyDescent="0.25">
      <c r="A18896" s="1" t="str">
        <f t="shared" si="710"/>
        <v>31080</v>
      </c>
      <c r="B18896" s="1" t="str">
        <f>"90223"</f>
        <v>90223</v>
      </c>
      <c r="C18896" s="2">
        <v>1.17331334709781E-4</v>
      </c>
      <c r="D18896" s="2">
        <v>4.5695186991232999E-5</v>
      </c>
      <c r="E18896" s="2">
        <v>2.8146496886997398E-6</v>
      </c>
      <c r="F18896" s="2">
        <v>1.03186074930483E-4</v>
      </c>
    </row>
    <row r="18897" spans="1:6" x14ac:dyDescent="0.25">
      <c r="A18897" s="1" t="str">
        <f t="shared" si="710"/>
        <v>31080</v>
      </c>
      <c r="B18897" s="1" t="str">
        <f>"90507"</f>
        <v>90507</v>
      </c>
      <c r="C18897" s="2">
        <v>3.0330549108651001E-5</v>
      </c>
      <c r="D18897" s="2">
        <v>1.04446141694246E-4</v>
      </c>
      <c r="E18897" s="2">
        <v>5.6292993773994796E-6</v>
      </c>
      <c r="F18897" s="2">
        <v>3.6457964886297102E-5</v>
      </c>
    </row>
    <row r="18898" spans="1:6" x14ac:dyDescent="0.25">
      <c r="A18898" s="1" t="str">
        <f t="shared" si="710"/>
        <v>31080</v>
      </c>
      <c r="B18898" s="1" t="str">
        <f>"91353"</f>
        <v>91353</v>
      </c>
      <c r="C18898" s="2">
        <v>2.08522525121975E-4</v>
      </c>
      <c r="D18898" s="2">
        <v>3.1333842508273998E-4</v>
      </c>
      <c r="E18898" s="2">
        <v>5.6292993773994796E-6</v>
      </c>
      <c r="F18898" s="2">
        <v>2.0720834171615601E-4</v>
      </c>
    </row>
    <row r="18899" spans="1:6" x14ac:dyDescent="0.25">
      <c r="A18899" s="1" t="str">
        <f t="shared" si="710"/>
        <v>31080</v>
      </c>
      <c r="B18899" s="1" t="str">
        <f>"90087"</f>
        <v>90087</v>
      </c>
      <c r="C18899" s="2">
        <v>2.2368779967630101E-4</v>
      </c>
      <c r="D18899" s="2">
        <v>2.0726031242452101E-4</v>
      </c>
      <c r="E18899" s="2">
        <v>2.8146496886997398E-6</v>
      </c>
      <c r="F18899" s="2">
        <v>2.08880725426537E-4</v>
      </c>
    </row>
    <row r="18900" spans="1:6" x14ac:dyDescent="0.25">
      <c r="A18900" s="1" t="str">
        <f t="shared" si="710"/>
        <v>31080</v>
      </c>
      <c r="B18900" s="1" t="str">
        <f>"91114"</f>
        <v>91114</v>
      </c>
      <c r="C18900" s="2">
        <v>1.3748518642013499E-4</v>
      </c>
      <c r="D18900" s="2">
        <v>1.48509357721507E-4</v>
      </c>
      <c r="E18900" s="2">
        <v>5.6292993773994796E-6</v>
      </c>
      <c r="F18900" s="2">
        <v>1.3078040615176301E-4</v>
      </c>
    </row>
    <row r="18901" spans="1:6" x14ac:dyDescent="0.25">
      <c r="A18901" s="1" t="str">
        <f t="shared" si="710"/>
        <v>31080</v>
      </c>
      <c r="B18901" s="1" t="str">
        <f>"90622"</f>
        <v>90622</v>
      </c>
      <c r="C18901" s="2">
        <v>1.5085457319829001E-4</v>
      </c>
      <c r="D18901" s="2">
        <v>3.9656894424534302E-4</v>
      </c>
      <c r="E18901" s="2">
        <v>2.8146496886997398E-6</v>
      </c>
      <c r="F18901" s="2">
        <v>1.6723837103806E-4</v>
      </c>
    </row>
    <row r="18902" spans="1:6" x14ac:dyDescent="0.25">
      <c r="A18902" s="1" t="str">
        <f t="shared" si="710"/>
        <v>31080</v>
      </c>
      <c r="B18902" s="1" t="str">
        <f>"91602"</f>
        <v>91602</v>
      </c>
      <c r="C18902" s="2">
        <v>2.0934065177556399E-3</v>
      </c>
      <c r="D18902" s="2">
        <v>1.12116405224918E-3</v>
      </c>
      <c r="E18902" s="2">
        <v>2.91879172718163E-3</v>
      </c>
      <c r="F18902" s="2">
        <v>2.0428167022298999E-3</v>
      </c>
    </row>
    <row r="18903" spans="1:6" x14ac:dyDescent="0.25">
      <c r="A18903" s="1" t="str">
        <f t="shared" si="710"/>
        <v>31080</v>
      </c>
      <c r="B18903" s="1" t="str">
        <f>"91390"</f>
        <v>91390</v>
      </c>
      <c r="C18903" s="2">
        <v>1.33354644534943E-3</v>
      </c>
      <c r="D18903" s="2">
        <v>2.44795644595891E-4</v>
      </c>
      <c r="E18903" s="2">
        <v>5.9107643462694604E-4</v>
      </c>
      <c r="F18903" s="2">
        <v>1.1778598472210499E-3</v>
      </c>
    </row>
    <row r="18904" spans="1:6" x14ac:dyDescent="0.25">
      <c r="A18904" s="1" t="str">
        <f t="shared" si="710"/>
        <v>31080</v>
      </c>
      <c r="B18904" s="1" t="str">
        <f>"91614"</f>
        <v>91614</v>
      </c>
      <c r="C18904" s="2">
        <v>1.2790711828056101E-4</v>
      </c>
      <c r="D18904" s="2">
        <v>4.8959128919178201E-4</v>
      </c>
      <c r="E18904" s="2">
        <v>5.6292993773994796E-6</v>
      </c>
      <c r="F18904" s="2">
        <v>1.5770578388889001E-4</v>
      </c>
    </row>
    <row r="18905" spans="1:6" x14ac:dyDescent="0.25">
      <c r="A18905" s="1" t="str">
        <f t="shared" si="710"/>
        <v>31080</v>
      </c>
      <c r="B18905" s="1" t="str">
        <f>"91335"</f>
        <v>91335</v>
      </c>
      <c r="C18905" s="2">
        <v>4.7808528032511101E-3</v>
      </c>
      <c r="D18905" s="2">
        <v>3.1186965121516499E-3</v>
      </c>
      <c r="E18905" s="2">
        <v>3.56334650589387E-3</v>
      </c>
      <c r="F18905" s="2">
        <v>4.5381804364888001E-3</v>
      </c>
    </row>
    <row r="18906" spans="1:6" x14ac:dyDescent="0.25">
      <c r="A18906" s="1" t="str">
        <f t="shared" si="710"/>
        <v>31080</v>
      </c>
      <c r="B18906" s="1" t="str">
        <f>"91344"</f>
        <v>91344</v>
      </c>
      <c r="C18906" s="2">
        <v>3.4443132116080502E-3</v>
      </c>
      <c r="D18906" s="2">
        <v>1.7266252798830201E-3</v>
      </c>
      <c r="E18906" s="2">
        <v>1.17370892018779E-3</v>
      </c>
      <c r="F18906" s="2">
        <v>3.1333781197690901E-3</v>
      </c>
    </row>
    <row r="18907" spans="1:6" x14ac:dyDescent="0.25">
      <c r="A18907" s="1" t="str">
        <f t="shared" si="710"/>
        <v>31080</v>
      </c>
      <c r="B18907" s="1" t="str">
        <f>"91350"</f>
        <v>91350</v>
      </c>
      <c r="C18907" s="2">
        <v>2.6890426301854E-3</v>
      </c>
      <c r="D18907" s="2">
        <v>1.78537623458603E-3</v>
      </c>
      <c r="E18907" s="2">
        <v>7.0366242217493604E-4</v>
      </c>
      <c r="F18907" s="2">
        <v>2.4784726587840501E-3</v>
      </c>
    </row>
    <row r="18908" spans="1:6" x14ac:dyDescent="0.25">
      <c r="A18908" s="1" t="str">
        <f t="shared" si="710"/>
        <v>31080</v>
      </c>
      <c r="B18908" s="1" t="str">
        <f>"91354"</f>
        <v>91354</v>
      </c>
      <c r="C18908" s="2">
        <v>2.25543550378343E-3</v>
      </c>
      <c r="D18908" s="2">
        <v>1.06078112658219E-4</v>
      </c>
      <c r="E18908" s="2">
        <v>3.7153375890836601E-4</v>
      </c>
      <c r="F18908" s="2">
        <v>1.9232412669376901E-3</v>
      </c>
    </row>
    <row r="18909" spans="1:6" x14ac:dyDescent="0.25">
      <c r="A18909" s="1" t="str">
        <f t="shared" si="710"/>
        <v>31080</v>
      </c>
      <c r="B18909" s="1" t="str">
        <f>"91357"</f>
        <v>91357</v>
      </c>
      <c r="C18909" s="2">
        <v>3.66760192511187E-4</v>
      </c>
      <c r="D18909" s="2">
        <v>8.1761745295027698E-4</v>
      </c>
      <c r="E18909" s="2">
        <v>5.6292993773994796E-6</v>
      </c>
      <c r="F18909" s="2">
        <v>3.9150502660009902E-4</v>
      </c>
    </row>
    <row r="18910" spans="1:6" x14ac:dyDescent="0.25">
      <c r="A18910" s="1" t="str">
        <f t="shared" si="710"/>
        <v>31080</v>
      </c>
      <c r="B18910" s="1" t="str">
        <f>"92651"</f>
        <v>92651</v>
      </c>
      <c r="C18910" s="2">
        <v>2.6601088826804301E-3</v>
      </c>
      <c r="D18910" s="2">
        <v>2.6943840615187699E-3</v>
      </c>
      <c r="E18910" s="2">
        <v>2.3192713434885799E-3</v>
      </c>
      <c r="F18910" s="2">
        <v>2.6433696926275799E-3</v>
      </c>
    </row>
    <row r="18911" spans="1:6" x14ac:dyDescent="0.25">
      <c r="A18911" s="1" t="str">
        <f t="shared" si="710"/>
        <v>31080</v>
      </c>
      <c r="B18911" s="1" t="str">
        <f>"92675"</f>
        <v>92675</v>
      </c>
      <c r="C18911" s="2">
        <v>2.47193975235505E-3</v>
      </c>
      <c r="D18911" s="2">
        <v>2.9065402868352101E-3</v>
      </c>
      <c r="E18911" s="2">
        <v>1.93929363551412E-3</v>
      </c>
      <c r="F18911" s="2">
        <v>2.4848277168834899E-3</v>
      </c>
    </row>
    <row r="18912" spans="1:6" x14ac:dyDescent="0.25">
      <c r="A18912" s="1" t="str">
        <f t="shared" si="710"/>
        <v>31080</v>
      </c>
      <c r="B18912" s="1" t="str">
        <f>"92647"</f>
        <v>92647</v>
      </c>
      <c r="C18912" s="2">
        <v>4.7820500617685602E-3</v>
      </c>
      <c r="D18912" s="2">
        <v>4.9775114401164498E-3</v>
      </c>
      <c r="E18912" s="2">
        <v>7.1576541583634502E-3</v>
      </c>
      <c r="F18912" s="2">
        <v>4.9432317711429804E-3</v>
      </c>
    </row>
    <row r="18913" spans="1:6" x14ac:dyDescent="0.25">
      <c r="A18913" s="1" t="str">
        <f t="shared" si="710"/>
        <v>31080</v>
      </c>
      <c r="B18913" s="1" t="str">
        <f>"92703"</f>
        <v>92703</v>
      </c>
      <c r="C18913" s="2">
        <v>2.9480495561263801E-3</v>
      </c>
      <c r="D18913" s="2">
        <v>2.0709711532812401E-3</v>
      </c>
      <c r="E18913" s="2">
        <v>3.73504013690456E-3</v>
      </c>
      <c r="F18913" s="2">
        <v>2.9049305049311E-3</v>
      </c>
    </row>
    <row r="18914" spans="1:6" x14ac:dyDescent="0.25">
      <c r="A18914" s="1" t="str">
        <f t="shared" si="710"/>
        <v>31080</v>
      </c>
      <c r="B18914" s="1" t="str">
        <f>"92706"</f>
        <v>92706</v>
      </c>
      <c r="C18914" s="2">
        <v>2.1231384376055699E-3</v>
      </c>
      <c r="D18914" s="2">
        <v>1.5454765028820601E-3</v>
      </c>
      <c r="E18914" s="2">
        <v>1.5396133797187599E-3</v>
      </c>
      <c r="F18914" s="2">
        <v>2.0292703941758201E-3</v>
      </c>
    </row>
    <row r="18915" spans="1:6" x14ac:dyDescent="0.25">
      <c r="A18915" s="1" t="str">
        <f t="shared" si="710"/>
        <v>31080</v>
      </c>
      <c r="B18915" s="1" t="str">
        <f>"92685"</f>
        <v>92685</v>
      </c>
      <c r="C18915" s="2">
        <v>4.43783823800262E-4</v>
      </c>
      <c r="D18915" s="2">
        <v>3.19866308938631E-4</v>
      </c>
      <c r="E18915" s="2">
        <v>8.4439490660992304E-6</v>
      </c>
      <c r="F18915" s="2">
        <v>4.0521857302521999E-4</v>
      </c>
    </row>
    <row r="18916" spans="1:6" x14ac:dyDescent="0.25">
      <c r="A18916" s="1" t="str">
        <f t="shared" si="710"/>
        <v>31080</v>
      </c>
      <c r="B18916" s="1" t="str">
        <f>"91754"</f>
        <v>91754</v>
      </c>
      <c r="C18916" s="2">
        <v>2.61660848987987E-3</v>
      </c>
      <c r="D18916" s="2">
        <v>3.6066558303794599E-3</v>
      </c>
      <c r="E18916" s="2">
        <v>4.13472039269992E-3</v>
      </c>
      <c r="F18916" s="2">
        <v>2.8082667264711001E-3</v>
      </c>
    </row>
    <row r="18917" spans="1:6" x14ac:dyDescent="0.25">
      <c r="A18917" s="1" t="str">
        <f t="shared" si="710"/>
        <v>31080</v>
      </c>
      <c r="B18917" s="1" t="str">
        <f>"91715"</f>
        <v>91715</v>
      </c>
      <c r="C18917" s="2">
        <v>2.5701149507856898E-4</v>
      </c>
      <c r="D18917" s="2">
        <v>8.1598548198630403E-4</v>
      </c>
      <c r="E18917" s="2">
        <v>5.6292993773994796E-6</v>
      </c>
      <c r="F18917" s="2">
        <v>2.9935668415812699E-4</v>
      </c>
    </row>
    <row r="18918" spans="1:6" x14ac:dyDescent="0.25">
      <c r="A18918" s="1" t="str">
        <f t="shared" si="710"/>
        <v>31080</v>
      </c>
      <c r="B18918" s="1" t="str">
        <f>"92604"</f>
        <v>92604</v>
      </c>
      <c r="C18918" s="2">
        <v>2.0062061890682701E-3</v>
      </c>
      <c r="D18918" s="2">
        <v>1.2092904843037E-3</v>
      </c>
      <c r="E18918" s="2">
        <v>5.3196879116425104E-4</v>
      </c>
      <c r="F18918" s="2">
        <v>1.8369462674820501E-3</v>
      </c>
    </row>
    <row r="18919" spans="1:6" x14ac:dyDescent="0.25">
      <c r="A18919" s="1" t="str">
        <f t="shared" si="710"/>
        <v>31080</v>
      </c>
      <c r="B18919" s="1" t="str">
        <f>"92618"</f>
        <v>92618</v>
      </c>
      <c r="C18919" s="2">
        <v>4.9414849876752197E-3</v>
      </c>
      <c r="D18919" s="2">
        <v>7.3422373669127603E-3</v>
      </c>
      <c r="E18919" s="2">
        <v>2.1869828081197001E-3</v>
      </c>
      <c r="F18919" s="2">
        <v>5.02384066598333E-3</v>
      </c>
    </row>
    <row r="18920" spans="1:6" x14ac:dyDescent="0.25">
      <c r="A18920" s="1" t="str">
        <f t="shared" si="710"/>
        <v>31080</v>
      </c>
      <c r="B18920" s="1" t="str">
        <f>"92620"</f>
        <v>92620</v>
      </c>
      <c r="C18920" s="2">
        <v>4.5178550155853103E-3</v>
      </c>
      <c r="D18920" s="2">
        <v>6.5768429848096104E-4</v>
      </c>
      <c r="E18920" s="2">
        <v>2.0546942727508099E-4</v>
      </c>
      <c r="F18920" s="2">
        <v>3.8660494232868299E-3</v>
      </c>
    </row>
    <row r="18921" spans="1:6" x14ac:dyDescent="0.25">
      <c r="A18921" s="1" t="str">
        <f t="shared" ref="A18921:A18984" si="711">"31080"</f>
        <v>31080</v>
      </c>
      <c r="B18921" s="1" t="str">
        <f>"90606"</f>
        <v>90606</v>
      </c>
      <c r="C18921" s="2">
        <v>1.7946905176526699E-3</v>
      </c>
      <c r="D18921" s="2">
        <v>1.3675916678090401E-3</v>
      </c>
      <c r="E18921" s="2">
        <v>7.3462356875063296E-4</v>
      </c>
      <c r="F18921" s="2">
        <v>1.6879368788871401E-3</v>
      </c>
    </row>
    <row r="18922" spans="1:6" x14ac:dyDescent="0.25">
      <c r="A18922" s="1" t="str">
        <f t="shared" si="711"/>
        <v>31080</v>
      </c>
      <c r="B18922" s="1" t="str">
        <f>"90640"</f>
        <v>90640</v>
      </c>
      <c r="C18922" s="2">
        <v>4.4388359534338201E-3</v>
      </c>
      <c r="D18922" s="2">
        <v>4.6135819151505598E-3</v>
      </c>
      <c r="E18922" s="2">
        <v>4.5625471453822801E-3</v>
      </c>
      <c r="F18922" s="2">
        <v>4.4640938381189403E-3</v>
      </c>
    </row>
    <row r="18923" spans="1:6" x14ac:dyDescent="0.25">
      <c r="A18923" s="1" t="str">
        <f t="shared" si="711"/>
        <v>31080</v>
      </c>
      <c r="B18923" s="1" t="str">
        <f>"90680"</f>
        <v>90680</v>
      </c>
      <c r="C18923" s="2">
        <v>2.0006189826535098E-3</v>
      </c>
      <c r="D18923" s="2">
        <v>2.3141348269131502E-3</v>
      </c>
      <c r="E18923" s="2">
        <v>1.92522038707062E-3</v>
      </c>
      <c r="F18923" s="2">
        <v>2.0282669639495902E-3</v>
      </c>
    </row>
    <row r="18924" spans="1:6" x14ac:dyDescent="0.25">
      <c r="A18924" s="1" t="str">
        <f t="shared" si="711"/>
        <v>31080</v>
      </c>
      <c r="B18924" s="1" t="str">
        <f>"92832"</f>
        <v>92832</v>
      </c>
      <c r="C18924" s="2">
        <v>1.8593424775948E-3</v>
      </c>
      <c r="D18924" s="2">
        <v>2.1852091207593201E-3</v>
      </c>
      <c r="E18924" s="2">
        <v>2.7302101980387502E-3</v>
      </c>
      <c r="F18924" s="2">
        <v>1.9444805400595201E-3</v>
      </c>
    </row>
    <row r="18925" spans="1:6" x14ac:dyDescent="0.25">
      <c r="A18925" s="1" t="str">
        <f t="shared" si="711"/>
        <v>31080</v>
      </c>
      <c r="B18925" s="1" t="str">
        <f>"92840"</f>
        <v>92840</v>
      </c>
      <c r="C18925" s="2">
        <v>3.09690869846226E-3</v>
      </c>
      <c r="D18925" s="2">
        <v>1.8294394506132899E-3</v>
      </c>
      <c r="E18925" s="2">
        <v>3.2565496898255999E-3</v>
      </c>
      <c r="F18925" s="2">
        <v>2.9765085277353902E-3</v>
      </c>
    </row>
    <row r="18926" spans="1:6" x14ac:dyDescent="0.25">
      <c r="A18926" s="1" t="str">
        <f t="shared" si="711"/>
        <v>31080</v>
      </c>
      <c r="B18926" s="1" t="str">
        <f>"92841"</f>
        <v>92841</v>
      </c>
      <c r="C18926" s="2">
        <v>1.9004483533604699E-3</v>
      </c>
      <c r="D18926" s="2">
        <v>2.2553838722101402E-3</v>
      </c>
      <c r="E18926" s="2">
        <v>2.2376465025162901E-3</v>
      </c>
      <c r="F18926" s="2">
        <v>1.95685617951634E-3</v>
      </c>
    </row>
    <row r="18927" spans="1:6" x14ac:dyDescent="0.25">
      <c r="A18927" s="1" t="str">
        <f t="shared" si="711"/>
        <v>31080</v>
      </c>
      <c r="B18927" s="1" t="str">
        <f>"92805"</f>
        <v>92805</v>
      </c>
      <c r="C18927" s="2">
        <v>4.46457701155893E-3</v>
      </c>
      <c r="D18927" s="2">
        <v>3.3243248536122001E-3</v>
      </c>
      <c r="E18927" s="2">
        <v>6.7410860044358799E-3</v>
      </c>
      <c r="F18927" s="2">
        <v>4.4829917740462398E-3</v>
      </c>
    </row>
    <row r="18928" spans="1:6" x14ac:dyDescent="0.25">
      <c r="A18928" s="1" t="str">
        <f t="shared" si="711"/>
        <v>31080</v>
      </c>
      <c r="B18928" s="1" t="str">
        <f>"92807"</f>
        <v>92807</v>
      </c>
      <c r="C18928" s="2">
        <v>2.6337691952965999E-3</v>
      </c>
      <c r="D18928" s="2">
        <v>3.1562318443230201E-3</v>
      </c>
      <c r="E18928" s="2">
        <v>2.1503923621666002E-3</v>
      </c>
      <c r="F18928" s="2">
        <v>2.6585883843920398E-3</v>
      </c>
    </row>
    <row r="18929" spans="1:6" x14ac:dyDescent="0.25">
      <c r="A18929" s="1" t="str">
        <f t="shared" si="711"/>
        <v>31080</v>
      </c>
      <c r="B18929" s="1" t="str">
        <f>"92781"</f>
        <v>92781</v>
      </c>
      <c r="C18929" s="2">
        <v>3.4022096204111801E-4</v>
      </c>
      <c r="D18929" s="2">
        <v>1.1374837618889E-3</v>
      </c>
      <c r="E18929" s="2">
        <v>8.4439490660992304E-6</v>
      </c>
      <c r="F18929" s="2">
        <v>4.0220828234653399E-4</v>
      </c>
    </row>
    <row r="18930" spans="1:6" x14ac:dyDescent="0.25">
      <c r="A18930" s="1" t="str">
        <f t="shared" si="711"/>
        <v>31080</v>
      </c>
      <c r="B18930" s="1" t="str">
        <f>"90077"</f>
        <v>90077</v>
      </c>
      <c r="C18930" s="2">
        <v>8.05754982241663E-4</v>
      </c>
      <c r="D18930" s="2">
        <v>1.9583651567671299E-4</v>
      </c>
      <c r="E18930" s="2">
        <v>6.7551592528793803E-5</v>
      </c>
      <c r="F18930" s="2">
        <v>6.9939086768116795E-4</v>
      </c>
    </row>
    <row r="18931" spans="1:6" x14ac:dyDescent="0.25">
      <c r="A18931" s="1" t="str">
        <f t="shared" si="711"/>
        <v>31080</v>
      </c>
      <c r="B18931" s="1" t="str">
        <f>"90048"</f>
        <v>90048</v>
      </c>
      <c r="C18931" s="2">
        <v>3.0184882655694902E-3</v>
      </c>
      <c r="D18931" s="2">
        <v>5.4524149906324797E-3</v>
      </c>
      <c r="E18931" s="2">
        <v>4.4218146609472904E-3</v>
      </c>
      <c r="F18931" s="2">
        <v>3.3512897172316802E-3</v>
      </c>
    </row>
    <row r="18932" spans="1:6" x14ac:dyDescent="0.25">
      <c r="A18932" s="1" t="str">
        <f t="shared" si="711"/>
        <v>31080</v>
      </c>
      <c r="B18932" s="1" t="str">
        <f>"90232"</f>
        <v>90232</v>
      </c>
      <c r="C18932" s="2">
        <v>1.6434368582819001E-3</v>
      </c>
      <c r="D18932" s="2">
        <v>2.9293878803308298E-3</v>
      </c>
      <c r="E18932" s="2">
        <v>2.0518796230621101E-3</v>
      </c>
      <c r="F18932" s="2">
        <v>1.79948487236952E-3</v>
      </c>
    </row>
    <row r="18933" spans="1:6" x14ac:dyDescent="0.25">
      <c r="A18933" s="1" t="str">
        <f t="shared" si="711"/>
        <v>31080</v>
      </c>
      <c r="B18933" s="1" t="str">
        <f>"90029"</f>
        <v>90029</v>
      </c>
      <c r="C18933" s="2">
        <v>3.2960526985309001E-3</v>
      </c>
      <c r="D18933" s="2">
        <v>2.9326518222587698E-3</v>
      </c>
      <c r="E18933" s="2">
        <v>4.3936681640602999E-3</v>
      </c>
      <c r="F18933" s="2">
        <v>3.3240298627524802E-3</v>
      </c>
    </row>
    <row r="18934" spans="1:6" x14ac:dyDescent="0.25">
      <c r="A18934" s="1" t="str">
        <f t="shared" si="711"/>
        <v>31080</v>
      </c>
      <c r="B18934" s="1" t="str">
        <f>"90043"</f>
        <v>90043</v>
      </c>
      <c r="C18934" s="2">
        <v>3.7627839772488899E-3</v>
      </c>
      <c r="D18934" s="2">
        <v>2.0562834146054801E-3</v>
      </c>
      <c r="E18934" s="2">
        <v>2.6316974589342601E-3</v>
      </c>
      <c r="F18934" s="2">
        <v>3.5207021870932399E-3</v>
      </c>
    </row>
    <row r="18935" spans="1:6" x14ac:dyDescent="0.25">
      <c r="A18935" s="1" t="str">
        <f t="shared" si="711"/>
        <v>31080</v>
      </c>
      <c r="B18935" s="1" t="str">
        <f>"91301"</f>
        <v>91301</v>
      </c>
      <c r="C18935" s="2">
        <v>1.93496930728018E-3</v>
      </c>
      <c r="D18935" s="2">
        <v>2.95713138671836E-3</v>
      </c>
      <c r="E18935" s="2">
        <v>1.24126051271658E-3</v>
      </c>
      <c r="F18935" s="2">
        <v>1.9984985339048201E-3</v>
      </c>
    </row>
    <row r="18936" spans="1:6" x14ac:dyDescent="0.25">
      <c r="A18936" s="1" t="str">
        <f t="shared" si="711"/>
        <v>31080</v>
      </c>
      <c r="B18936" s="1" t="str">
        <f>"91208"</f>
        <v>91208</v>
      </c>
      <c r="C18936" s="2">
        <v>1.26969265775227E-3</v>
      </c>
      <c r="D18936" s="2">
        <v>8.4862490126575601E-4</v>
      </c>
      <c r="E18936" s="2">
        <v>1.0498643338849999E-3</v>
      </c>
      <c r="F18936" s="2">
        <v>1.2134816202521599E-3</v>
      </c>
    </row>
    <row r="18937" spans="1:6" x14ac:dyDescent="0.25">
      <c r="A18937" s="1" t="str">
        <f t="shared" si="711"/>
        <v>31080</v>
      </c>
      <c r="B18937" s="1" t="str">
        <f>"90302"</f>
        <v>90302</v>
      </c>
      <c r="C18937" s="2">
        <v>2.2825733635122199E-3</v>
      </c>
      <c r="D18937" s="2">
        <v>1.5503724157739701E-3</v>
      </c>
      <c r="E18937" s="2">
        <v>4.9903738980646402E-3</v>
      </c>
      <c r="F18937" s="2">
        <v>2.3684298106410001E-3</v>
      </c>
    </row>
    <row r="18938" spans="1:6" x14ac:dyDescent="0.25">
      <c r="A18938" s="1" t="str">
        <f t="shared" si="711"/>
        <v>31080</v>
      </c>
      <c r="B18938" s="1" t="str">
        <f>"91309"</f>
        <v>91309</v>
      </c>
      <c r="C18938" s="2">
        <v>2.1031841289814501E-4</v>
      </c>
      <c r="D18938" s="2">
        <v>3.4108193147027501E-4</v>
      </c>
      <c r="E18938" s="2">
        <v>2.8146496886997398E-6</v>
      </c>
      <c r="F18938" s="2">
        <v>2.1138930099210801E-4</v>
      </c>
    </row>
    <row r="18939" spans="1:6" x14ac:dyDescent="0.25">
      <c r="A18939" s="1" t="str">
        <f t="shared" si="711"/>
        <v>31080</v>
      </c>
      <c r="B18939" s="1" t="str">
        <f>"90403"</f>
        <v>90403</v>
      </c>
      <c r="C18939" s="2">
        <v>3.0384425741936099E-3</v>
      </c>
      <c r="D18939" s="2">
        <v>1.7511048443426E-3</v>
      </c>
      <c r="E18939" s="2">
        <v>8.3961000213913298E-3</v>
      </c>
      <c r="F18939" s="2">
        <v>3.2248575087269098E-3</v>
      </c>
    </row>
    <row r="18940" spans="1:6" x14ac:dyDescent="0.25">
      <c r="A18940" s="1" t="str">
        <f t="shared" si="711"/>
        <v>31080</v>
      </c>
      <c r="B18940" s="1" t="str">
        <f>"90748"</f>
        <v>90748</v>
      </c>
      <c r="C18940" s="2">
        <v>2.92330621343248E-4</v>
      </c>
      <c r="D18940" s="2">
        <v>4.1941653774095998E-4</v>
      </c>
      <c r="E18940" s="2">
        <v>5.6292993773994796E-6</v>
      </c>
      <c r="F18940" s="2">
        <v>2.8831895166961499E-4</v>
      </c>
    </row>
    <row r="18941" spans="1:6" x14ac:dyDescent="0.25">
      <c r="A18941" s="1" t="str">
        <f t="shared" si="711"/>
        <v>31080</v>
      </c>
      <c r="B18941" s="1" t="str">
        <f>"90803"</f>
        <v>90803</v>
      </c>
      <c r="C18941" s="2">
        <v>3.75121047824691E-3</v>
      </c>
      <c r="D18941" s="2">
        <v>1.9143019407398701E-3</v>
      </c>
      <c r="E18941" s="2">
        <v>6.5440605262268997E-3</v>
      </c>
      <c r="F18941" s="2">
        <v>3.7289139590356199E-3</v>
      </c>
    </row>
    <row r="18942" spans="1:6" x14ac:dyDescent="0.25">
      <c r="A18942" s="1" t="str">
        <f t="shared" si="711"/>
        <v>31080</v>
      </c>
      <c r="B18942" s="1" t="str">
        <f>"91001"</f>
        <v>91001</v>
      </c>
      <c r="C18942" s="2">
        <v>2.6313746782617099E-3</v>
      </c>
      <c r="D18942" s="2">
        <v>8.8126432054520798E-4</v>
      </c>
      <c r="E18942" s="2">
        <v>7.6839936501503004E-4</v>
      </c>
      <c r="F18942" s="2">
        <v>2.3413371945328401E-3</v>
      </c>
    </row>
    <row r="18943" spans="1:6" x14ac:dyDescent="0.25">
      <c r="A18943" s="1" t="str">
        <f t="shared" si="711"/>
        <v>31080</v>
      </c>
      <c r="B18943" s="1" t="str">
        <f>"91007"</f>
        <v>91007</v>
      </c>
      <c r="C18943" s="2">
        <v>2.4054919046367601E-3</v>
      </c>
      <c r="D18943" s="2">
        <v>1.9959004889385E-3</v>
      </c>
      <c r="E18943" s="2">
        <v>4.0643541504824304E-3</v>
      </c>
      <c r="F18943" s="2">
        <v>2.4620832984223202E-3</v>
      </c>
    </row>
    <row r="18944" spans="1:6" x14ac:dyDescent="0.25">
      <c r="A18944" s="1" t="str">
        <f t="shared" si="711"/>
        <v>31080</v>
      </c>
      <c r="B18944" s="1" t="str">
        <f>"91011"</f>
        <v>91011</v>
      </c>
      <c r="C18944" s="2">
        <v>1.4201481447780799E-3</v>
      </c>
      <c r="D18944" s="2">
        <v>8.4209701740986596E-4</v>
      </c>
      <c r="E18944" s="2">
        <v>3.82792357663165E-4</v>
      </c>
      <c r="F18944" s="2">
        <v>1.29927490459469E-3</v>
      </c>
    </row>
    <row r="18945" spans="1:6" x14ac:dyDescent="0.25">
      <c r="A18945" s="1" t="str">
        <f t="shared" si="711"/>
        <v>31080</v>
      </c>
      <c r="B18945" s="1" t="str">
        <f>"91003"</f>
        <v>91003</v>
      </c>
      <c r="C18945" s="2">
        <v>1.8118512230694099E-4</v>
      </c>
      <c r="D18945" s="2">
        <v>3.0354659929890501E-4</v>
      </c>
      <c r="E18945" s="2">
        <v>5.6292993773994796E-6</v>
      </c>
      <c r="F18945" s="2">
        <v>1.8329325465771401E-4</v>
      </c>
    </row>
    <row r="18946" spans="1:6" x14ac:dyDescent="0.25">
      <c r="A18946" s="1" t="str">
        <f t="shared" si="711"/>
        <v>31080</v>
      </c>
      <c r="B18946" s="1" t="str">
        <f>"90254"</f>
        <v>90254</v>
      </c>
      <c r="C18946" s="2">
        <v>2.2548368745247101E-3</v>
      </c>
      <c r="D18946" s="2">
        <v>1.89635026013617E-3</v>
      </c>
      <c r="E18946" s="2">
        <v>2.2742369484693901E-3</v>
      </c>
      <c r="F18946" s="2">
        <v>2.21925318367505E-3</v>
      </c>
    </row>
    <row r="18947" spans="1:6" x14ac:dyDescent="0.25">
      <c r="A18947" s="1" t="str">
        <f t="shared" si="711"/>
        <v>31080</v>
      </c>
      <c r="B18947" s="1" t="str">
        <f>"90255"</f>
        <v>90255</v>
      </c>
      <c r="C18947" s="2">
        <v>4.2231298772071697E-3</v>
      </c>
      <c r="D18947" s="2">
        <v>4.5515670185196002E-3</v>
      </c>
      <c r="E18947" s="2">
        <v>4.8411974645635597E-3</v>
      </c>
      <c r="F18947" s="2">
        <v>4.2935106996601202E-3</v>
      </c>
    </row>
    <row r="18948" spans="1:6" x14ac:dyDescent="0.25">
      <c r="A18948" s="1" t="str">
        <f t="shared" si="711"/>
        <v>31080</v>
      </c>
      <c r="B18948" s="1" t="str">
        <f>"90260"</f>
        <v>90260</v>
      </c>
      <c r="C18948" s="2">
        <v>2.3454294356781802E-3</v>
      </c>
      <c r="D18948" s="2">
        <v>1.9094060278479501E-3</v>
      </c>
      <c r="E18948" s="2">
        <v>1.6550140169554401E-3</v>
      </c>
      <c r="F18948" s="2">
        <v>2.2597248694662701E-3</v>
      </c>
    </row>
    <row r="18949" spans="1:6" x14ac:dyDescent="0.25">
      <c r="A18949" s="1" t="str">
        <f t="shared" si="711"/>
        <v>31080</v>
      </c>
      <c r="B18949" s="1" t="str">
        <f>"90245"</f>
        <v>90245</v>
      </c>
      <c r="C18949" s="2">
        <v>1.58696616487566E-3</v>
      </c>
      <c r="D18949" s="2">
        <v>3.9885370359490496E-3</v>
      </c>
      <c r="E18949" s="2">
        <v>3.5464586077616701E-3</v>
      </c>
      <c r="F18949" s="2">
        <v>1.94949769119066E-3</v>
      </c>
    </row>
    <row r="18950" spans="1:6" x14ac:dyDescent="0.25">
      <c r="A18950" s="1" t="str">
        <f t="shared" si="711"/>
        <v>31080</v>
      </c>
      <c r="B18950" s="1" t="str">
        <f>"90293"</f>
        <v>90293</v>
      </c>
      <c r="C18950" s="2">
        <v>1.4917841127386499E-3</v>
      </c>
      <c r="D18950" s="2">
        <v>3.9983288617328902E-4</v>
      </c>
      <c r="E18950" s="2">
        <v>1.51991083189786E-3</v>
      </c>
      <c r="F18950" s="2">
        <v>1.38155618314541E-3</v>
      </c>
    </row>
    <row r="18951" spans="1:6" x14ac:dyDescent="0.25">
      <c r="A18951" s="1" t="str">
        <f t="shared" si="711"/>
        <v>31080</v>
      </c>
      <c r="B18951" s="1" t="str">
        <f>"90015"</f>
        <v>90015</v>
      </c>
      <c r="C18951" s="2">
        <v>2.8536656763343202E-3</v>
      </c>
      <c r="D18951" s="2">
        <v>1.30541357408168E-2</v>
      </c>
      <c r="E18951" s="2">
        <v>2.96945542157823E-3</v>
      </c>
      <c r="F18951" s="2">
        <v>3.9058521555938898E-3</v>
      </c>
    </row>
    <row r="18952" spans="1:6" x14ac:dyDescent="0.25">
      <c r="A18952" s="1" t="str">
        <f t="shared" si="711"/>
        <v>31080</v>
      </c>
      <c r="B18952" s="1" t="str">
        <f>"90017"</f>
        <v>90017</v>
      </c>
      <c r="C18952" s="2">
        <v>2.9921485781856699E-3</v>
      </c>
      <c r="D18952" s="2">
        <v>5.2728981845954898E-3</v>
      </c>
      <c r="E18952" s="2">
        <v>2.51066752232017E-3</v>
      </c>
      <c r="F18952" s="2">
        <v>3.1972631775056301E-3</v>
      </c>
    </row>
    <row r="18953" spans="1:6" x14ac:dyDescent="0.25">
      <c r="A18953" s="1" t="str">
        <f t="shared" si="711"/>
        <v>31080</v>
      </c>
      <c r="B18953" s="1" t="str">
        <f>"91710"</f>
        <v>91710</v>
      </c>
      <c r="C18953" s="2">
        <v>1.1972585174467501E-6</v>
      </c>
      <c r="D18953" s="2">
        <v>0</v>
      </c>
      <c r="E18953" s="2">
        <v>0</v>
      </c>
      <c r="F18953" s="2">
        <v>1.00343022622836E-6</v>
      </c>
    </row>
    <row r="18954" spans="1:6" x14ac:dyDescent="0.25">
      <c r="A18954" s="1" t="str">
        <f t="shared" si="711"/>
        <v>31080</v>
      </c>
      <c r="B18954" s="1" t="str">
        <f>"90090"</f>
        <v>90090</v>
      </c>
      <c r="C18954" s="2">
        <v>0</v>
      </c>
      <c r="D18954" s="2">
        <v>1.6319709639726001E-6</v>
      </c>
      <c r="E18954" s="2">
        <v>0</v>
      </c>
      <c r="F18954" s="2">
        <v>1.6723837103806E-7</v>
      </c>
    </row>
    <row r="18955" spans="1:6" x14ac:dyDescent="0.25">
      <c r="A18955" s="1" t="str">
        <f t="shared" si="711"/>
        <v>31080</v>
      </c>
      <c r="B18955" s="1" t="str">
        <f>"90895"</f>
        <v>90895</v>
      </c>
      <c r="C18955" s="2">
        <v>0</v>
      </c>
      <c r="D18955" s="2">
        <v>1.6319709639726001E-6</v>
      </c>
      <c r="E18955" s="2">
        <v>0</v>
      </c>
      <c r="F18955" s="2">
        <v>1.6723837103806E-7</v>
      </c>
    </row>
    <row r="18956" spans="1:6" x14ac:dyDescent="0.25">
      <c r="A18956" s="1" t="str">
        <f t="shared" si="711"/>
        <v>31080</v>
      </c>
      <c r="B18956" s="1" t="str">
        <f>"90747"</f>
        <v>90747</v>
      </c>
      <c r="C18956" s="2">
        <v>0</v>
      </c>
      <c r="D18956" s="2">
        <v>4.8959128919178198E-6</v>
      </c>
      <c r="E18956" s="2">
        <v>0</v>
      </c>
      <c r="F18956" s="2">
        <v>5.0171511311418002E-7</v>
      </c>
    </row>
    <row r="18957" spans="1:6" x14ac:dyDescent="0.25">
      <c r="A18957" s="1" t="str">
        <f t="shared" si="711"/>
        <v>31080</v>
      </c>
      <c r="B18957" s="1" t="str">
        <f>"93563"</f>
        <v>93563</v>
      </c>
      <c r="C18957" s="2">
        <v>2.3945170348935002E-6</v>
      </c>
      <c r="D18957" s="2">
        <v>4.8959128919178198E-6</v>
      </c>
      <c r="E18957" s="2">
        <v>2.8146496886997398E-6</v>
      </c>
      <c r="F18957" s="2">
        <v>2.67581393660896E-6</v>
      </c>
    </row>
    <row r="18958" spans="1:6" x14ac:dyDescent="0.25">
      <c r="A18958" s="1" t="str">
        <f t="shared" si="711"/>
        <v>31080</v>
      </c>
      <c r="B18958" s="1" t="str">
        <f>"92837"</f>
        <v>92837</v>
      </c>
      <c r="C18958" s="2">
        <v>7.9617691410208905E-5</v>
      </c>
      <c r="D18958" s="2">
        <v>3.2802616375849399E-4</v>
      </c>
      <c r="E18958" s="2">
        <v>8.4439490660992304E-6</v>
      </c>
      <c r="F18958" s="2">
        <v>1.0084473773595001E-4</v>
      </c>
    </row>
    <row r="18959" spans="1:6" x14ac:dyDescent="0.25">
      <c r="A18959" s="1" t="str">
        <f t="shared" si="711"/>
        <v>31080</v>
      </c>
      <c r="B18959" s="1" t="str">
        <f>"92678"</f>
        <v>92678</v>
      </c>
      <c r="C18959" s="2">
        <v>1.3349432469531201E-4</v>
      </c>
      <c r="D18959" s="2">
        <v>1.6482906736123301E-4</v>
      </c>
      <c r="E18959" s="2">
        <v>8.4439490660992304E-6</v>
      </c>
      <c r="F18959" s="2">
        <v>1.2927526081242001E-4</v>
      </c>
    </row>
    <row r="18960" spans="1:6" x14ac:dyDescent="0.25">
      <c r="A18960" s="1" t="str">
        <f t="shared" si="711"/>
        <v>31080</v>
      </c>
      <c r="B18960" s="1" t="str">
        <f>"92605"</f>
        <v>92605</v>
      </c>
      <c r="C18960" s="2">
        <v>1.6601984775261599E-4</v>
      </c>
      <c r="D18960" s="2">
        <v>2.20316080136302E-4</v>
      </c>
      <c r="E18960" s="2">
        <v>2.8146496886997398E-6</v>
      </c>
      <c r="F18960" s="2">
        <v>1.61886743164842E-4</v>
      </c>
    </row>
    <row r="18961" spans="1:6" x14ac:dyDescent="0.25">
      <c r="A18961" s="1" t="str">
        <f t="shared" si="711"/>
        <v>31080</v>
      </c>
      <c r="B18961" s="1" t="str">
        <f>"92650"</f>
        <v>92650</v>
      </c>
      <c r="C18961" s="2">
        <v>8.1812665358861203E-6</v>
      </c>
      <c r="D18961" s="2">
        <v>3.7535332171369999E-5</v>
      </c>
      <c r="E18961" s="2">
        <v>2.8146496886997398E-6</v>
      </c>
      <c r="F18961" s="2">
        <v>1.0870494117473901E-5</v>
      </c>
    </row>
    <row r="18962" spans="1:6" x14ac:dyDescent="0.25">
      <c r="A18962" s="1" t="str">
        <f t="shared" si="711"/>
        <v>31080</v>
      </c>
      <c r="B18962" s="1" t="str">
        <f>"91117"</f>
        <v>91117</v>
      </c>
      <c r="C18962" s="2">
        <v>2.0253623253474099E-4</v>
      </c>
      <c r="D18962" s="2">
        <v>4.8632734726383698E-4</v>
      </c>
      <c r="E18962" s="2">
        <v>5.6292993773994796E-6</v>
      </c>
      <c r="F18962" s="2">
        <v>2.19918457915049E-4</v>
      </c>
    </row>
    <row r="18963" spans="1:6" x14ac:dyDescent="0.25">
      <c r="A18963" s="1" t="str">
        <f t="shared" si="711"/>
        <v>31080</v>
      </c>
      <c r="B18963" s="1" t="str">
        <f>"90082"</f>
        <v>90082</v>
      </c>
      <c r="C18963" s="2">
        <v>9.6578853740704498E-5</v>
      </c>
      <c r="D18963" s="2">
        <v>3.2639419279452097E-5</v>
      </c>
      <c r="E18963" s="2">
        <v>5.6292993773994796E-6</v>
      </c>
      <c r="F18963" s="2">
        <v>8.4622615745258401E-5</v>
      </c>
    </row>
    <row r="18964" spans="1:6" x14ac:dyDescent="0.25">
      <c r="A18964" s="1" t="str">
        <f t="shared" si="711"/>
        <v>31080</v>
      </c>
      <c r="B18964" s="1" t="str">
        <f>"90702"</f>
        <v>90702</v>
      </c>
      <c r="C18964" s="2">
        <v>1.4686371147346801E-4</v>
      </c>
      <c r="D18964" s="2">
        <v>3.5087375725410998E-4</v>
      </c>
      <c r="E18964" s="2">
        <v>5.6292993773994796E-6</v>
      </c>
      <c r="F18964" s="2">
        <v>1.59378167599271E-4</v>
      </c>
    </row>
    <row r="18965" spans="1:6" x14ac:dyDescent="0.25">
      <c r="A18965" s="1" t="str">
        <f t="shared" si="711"/>
        <v>31080</v>
      </c>
      <c r="B18965" s="1" t="str">
        <f>"91012"</f>
        <v>91012</v>
      </c>
      <c r="C18965" s="2">
        <v>1.52850004060701E-4</v>
      </c>
      <c r="D18965" s="2">
        <v>6.03829256669865E-4</v>
      </c>
      <c r="E18965" s="2">
        <v>5.6292993773994796E-6</v>
      </c>
      <c r="F18965" s="2">
        <v>1.90317266241312E-4</v>
      </c>
    </row>
    <row r="18966" spans="1:6" x14ac:dyDescent="0.25">
      <c r="A18966" s="1" t="str">
        <f t="shared" si="711"/>
        <v>31080</v>
      </c>
      <c r="B18966" s="1" t="str">
        <f>"90064"</f>
        <v>90064</v>
      </c>
      <c r="C18966" s="2">
        <v>2.7816306222012799E-3</v>
      </c>
      <c r="D18966" s="2">
        <v>4.2741319546442599E-3</v>
      </c>
      <c r="E18966" s="2">
        <v>2.85405478434154E-3</v>
      </c>
      <c r="F18966" s="2">
        <v>2.9388798942518298E-3</v>
      </c>
    </row>
    <row r="18967" spans="1:6" x14ac:dyDescent="0.25">
      <c r="A18967" s="1" t="str">
        <f t="shared" si="711"/>
        <v>31080</v>
      </c>
      <c r="B18967" s="1" t="str">
        <f>"90066"</f>
        <v>90066</v>
      </c>
      <c r="C18967" s="2">
        <v>5.4708727954729201E-3</v>
      </c>
      <c r="D18967" s="2">
        <v>2.9457075899705499E-3</v>
      </c>
      <c r="E18967" s="2">
        <v>6.4483624368111099E-3</v>
      </c>
      <c r="F18967" s="2">
        <v>5.2701827865223897E-3</v>
      </c>
    </row>
    <row r="18968" spans="1:6" x14ac:dyDescent="0.25">
      <c r="A18968" s="1" t="str">
        <f t="shared" si="711"/>
        <v>31080</v>
      </c>
      <c r="B18968" s="1" t="str">
        <f>"90071"</f>
        <v>90071</v>
      </c>
      <c r="C18968" s="2">
        <v>2.79559863823816E-4</v>
      </c>
      <c r="D18968" s="2">
        <v>2.7971982322490502E-3</v>
      </c>
      <c r="E18968" s="2">
        <v>4.0249490548406299E-4</v>
      </c>
      <c r="F18968" s="2">
        <v>5.4486261284200004E-4</v>
      </c>
    </row>
    <row r="18969" spans="1:6" x14ac:dyDescent="0.25">
      <c r="A18969" s="1" t="str">
        <f t="shared" si="711"/>
        <v>31080</v>
      </c>
      <c r="B18969" s="1" t="str">
        <f>"90201"</f>
        <v>90201</v>
      </c>
      <c r="C18969" s="2">
        <v>5.0901445869248503E-3</v>
      </c>
      <c r="D18969" s="2">
        <v>3.5691204982080901E-3</v>
      </c>
      <c r="E18969" s="2">
        <v>6.8930770876256698E-3</v>
      </c>
      <c r="F18969" s="2">
        <v>5.0414006949423204E-3</v>
      </c>
    </row>
    <row r="18970" spans="1:6" x14ac:dyDescent="0.25">
      <c r="A18970" s="1" t="str">
        <f t="shared" si="711"/>
        <v>31080</v>
      </c>
      <c r="B18970" s="1" t="str">
        <f>"90211"</f>
        <v>90211</v>
      </c>
      <c r="C18970" s="2">
        <v>8.1433533495003105E-4</v>
      </c>
      <c r="D18970" s="2">
        <v>3.50220968868521E-3</v>
      </c>
      <c r="E18970" s="2">
        <v>1.7844879026356301E-3</v>
      </c>
      <c r="F18970" s="2">
        <v>1.14742246369213E-3</v>
      </c>
    </row>
    <row r="18971" spans="1:6" x14ac:dyDescent="0.25">
      <c r="A18971" s="1" t="str">
        <f t="shared" si="711"/>
        <v>31080</v>
      </c>
      <c r="B18971" s="1" t="str">
        <f>"90212"</f>
        <v>90212</v>
      </c>
      <c r="C18971" s="2">
        <v>1.60432641337864E-3</v>
      </c>
      <c r="D18971" s="2">
        <v>3.6947822624339801E-3</v>
      </c>
      <c r="E18971" s="2">
        <v>3.0004165681539199E-3</v>
      </c>
      <c r="F18971" s="2">
        <v>1.9015002787027399E-3</v>
      </c>
    </row>
    <row r="18972" spans="1:6" x14ac:dyDescent="0.25">
      <c r="A18972" s="1" t="str">
        <f t="shared" si="711"/>
        <v>31080</v>
      </c>
      <c r="B18972" s="1" t="str">
        <f>"90050"</f>
        <v>90050</v>
      </c>
      <c r="C18972" s="2">
        <v>1.1314092989871701E-4</v>
      </c>
      <c r="D18972" s="2">
        <v>2.17052138208356E-4</v>
      </c>
      <c r="E18972" s="2">
        <v>5.6292993773994796E-6</v>
      </c>
      <c r="F18972" s="2">
        <v>1.17401336468718E-4</v>
      </c>
    </row>
    <row r="18973" spans="1:6" x14ac:dyDescent="0.25">
      <c r="A18973" s="1" t="str">
        <f t="shared" si="711"/>
        <v>31080</v>
      </c>
      <c r="B18973" s="1" t="str">
        <f>"90409"</f>
        <v>90409</v>
      </c>
      <c r="C18973" s="2">
        <v>1.09349611260136E-4</v>
      </c>
      <c r="D18973" s="2">
        <v>2.9375477351506902E-4</v>
      </c>
      <c r="E18973" s="2">
        <v>5.6292993773994796E-6</v>
      </c>
      <c r="F18973" s="2">
        <v>1.22084010857784E-4</v>
      </c>
    </row>
    <row r="18974" spans="1:6" x14ac:dyDescent="0.25">
      <c r="A18974" s="1" t="str">
        <f t="shared" si="711"/>
        <v>31080</v>
      </c>
      <c r="B18974" s="1" t="str">
        <f>"92659"</f>
        <v>92659</v>
      </c>
      <c r="C18974" s="2">
        <v>3.3164060933274899E-4</v>
      </c>
      <c r="D18974" s="2">
        <v>1.02487776537479E-3</v>
      </c>
      <c r="E18974" s="2">
        <v>8.4439490660992304E-6</v>
      </c>
      <c r="F18974" s="2">
        <v>3.8347758479027199E-4</v>
      </c>
    </row>
    <row r="18975" spans="1:6" x14ac:dyDescent="0.25">
      <c r="A18975" s="1" t="str">
        <f t="shared" si="711"/>
        <v>31080</v>
      </c>
      <c r="B18975" s="1" t="str">
        <f>"90652"</f>
        <v>90652</v>
      </c>
      <c r="C18975" s="2">
        <v>7.8619975979003195E-5</v>
      </c>
      <c r="D18975" s="2">
        <v>1.04446141694246E-4</v>
      </c>
      <c r="E18975" s="2">
        <v>5.6292993773994796E-6</v>
      </c>
      <c r="F18975" s="2">
        <v>7.6929650677507705E-5</v>
      </c>
    </row>
    <row r="18976" spans="1:6" x14ac:dyDescent="0.25">
      <c r="A18976" s="1" t="str">
        <f t="shared" si="711"/>
        <v>31080</v>
      </c>
      <c r="B18976" s="1" t="str">
        <f>"90081"</f>
        <v>90081</v>
      </c>
      <c r="C18976" s="2">
        <v>1.21721282607086E-4</v>
      </c>
      <c r="D18976" s="2">
        <v>1.9583651567671299E-4</v>
      </c>
      <c r="E18976" s="2">
        <v>5.6292993773994796E-6</v>
      </c>
      <c r="F18976" s="2">
        <v>1.2241848759985999E-4</v>
      </c>
    </row>
    <row r="18977" spans="1:6" x14ac:dyDescent="0.25">
      <c r="A18977" s="1" t="str">
        <f t="shared" si="711"/>
        <v>31080</v>
      </c>
      <c r="B18977" s="1" t="str">
        <f>"90030"</f>
        <v>90030</v>
      </c>
      <c r="C18977" s="2">
        <v>1.2271899803829099E-4</v>
      </c>
      <c r="D18977" s="2">
        <v>6.2014896630959102E-5</v>
      </c>
      <c r="E18977" s="2">
        <v>5.6292993773994796E-6</v>
      </c>
      <c r="F18977" s="2">
        <v>1.0954113302992901E-4</v>
      </c>
    </row>
    <row r="18978" spans="1:6" x14ac:dyDescent="0.25">
      <c r="A18978" s="1" t="str">
        <f t="shared" si="711"/>
        <v>31080</v>
      </c>
      <c r="B18978" s="1" t="str">
        <f>"90406"</f>
        <v>90406</v>
      </c>
      <c r="C18978" s="2">
        <v>3.9469622458494498E-4</v>
      </c>
      <c r="D18978" s="2">
        <v>5.8424560510219399E-4</v>
      </c>
      <c r="E18978" s="2">
        <v>8.4439490660992304E-6</v>
      </c>
      <c r="F18978" s="2">
        <v>3.91170549858022E-4</v>
      </c>
    </row>
    <row r="18979" spans="1:6" x14ac:dyDescent="0.25">
      <c r="A18979" s="1" t="str">
        <f t="shared" si="711"/>
        <v>31080</v>
      </c>
      <c r="B18979" s="1" t="str">
        <f>"90749"</f>
        <v>90749</v>
      </c>
      <c r="C18979" s="2">
        <v>1.95751767602543E-4</v>
      </c>
      <c r="D18979" s="2">
        <v>5.6466195353452201E-4</v>
      </c>
      <c r="E18979" s="2">
        <v>1.12585987547989E-5</v>
      </c>
      <c r="F18979" s="2">
        <v>2.22594271851658E-4</v>
      </c>
    </row>
    <row r="18980" spans="1:6" x14ac:dyDescent="0.25">
      <c r="A18980" s="1" t="str">
        <f t="shared" si="711"/>
        <v>31080</v>
      </c>
      <c r="B18980" s="1" t="str">
        <f>"91017"</f>
        <v>91017</v>
      </c>
      <c r="C18980" s="2">
        <v>2.8734204418722002E-4</v>
      </c>
      <c r="D18980" s="2">
        <v>6.47892472697125E-4</v>
      </c>
      <c r="E18980" s="2">
        <v>5.6292993773994796E-6</v>
      </c>
      <c r="F18980" s="2">
        <v>3.0755136433899201E-4</v>
      </c>
    </row>
    <row r="18981" spans="1:6" x14ac:dyDescent="0.25">
      <c r="A18981" s="1" t="str">
        <f t="shared" si="711"/>
        <v>31080</v>
      </c>
      <c r="B18981" s="1" t="str">
        <f>"90009"</f>
        <v>90009</v>
      </c>
      <c r="C18981" s="2">
        <v>5.3317912643628597E-4</v>
      </c>
      <c r="D18981" s="2">
        <v>1.0738368942939699E-3</v>
      </c>
      <c r="E18981" s="2">
        <v>4.7849044707895598E-5</v>
      </c>
      <c r="F18981" s="2">
        <v>5.5974682786438703E-4</v>
      </c>
    </row>
    <row r="18982" spans="1:6" x14ac:dyDescent="0.25">
      <c r="A18982" s="1" t="str">
        <f t="shared" si="711"/>
        <v>31080</v>
      </c>
      <c r="B18982" s="1" t="str">
        <f>"91608"</f>
        <v>91608</v>
      </c>
      <c r="C18982" s="2">
        <v>0</v>
      </c>
      <c r="D18982" s="2">
        <v>2.6274732519958999E-4</v>
      </c>
      <c r="E18982" s="2">
        <v>1.68878981321984E-5</v>
      </c>
      <c r="F18982" s="2">
        <v>2.7928807963356001E-5</v>
      </c>
    </row>
    <row r="18983" spans="1:6" x14ac:dyDescent="0.25">
      <c r="A18983" s="1" t="str">
        <f t="shared" si="711"/>
        <v>31080</v>
      </c>
      <c r="B18983" s="1" t="str">
        <f>"91610"</f>
        <v>91610</v>
      </c>
      <c r="C18983" s="2">
        <v>1.03363318672902E-4</v>
      </c>
      <c r="D18983" s="2">
        <v>2.12156225316439E-4</v>
      </c>
      <c r="E18983" s="2">
        <v>2.8146496886997398E-6</v>
      </c>
      <c r="F18983" s="2">
        <v>1.08537702803701E-4</v>
      </c>
    </row>
    <row r="18984" spans="1:6" x14ac:dyDescent="0.25">
      <c r="A18984" s="1" t="str">
        <f t="shared" si="711"/>
        <v>31080</v>
      </c>
      <c r="B18984" s="1" t="str">
        <f>"92674"</f>
        <v>92674</v>
      </c>
      <c r="C18984" s="2">
        <v>4.5096737490494198E-4</v>
      </c>
      <c r="D18984" s="2">
        <v>9.4327921717616799E-4</v>
      </c>
      <c r="E18984" s="2">
        <v>1.12585987547989E-5</v>
      </c>
      <c r="F18984" s="2">
        <v>4.7529145049016701E-4</v>
      </c>
    </row>
    <row r="18985" spans="1:6" x14ac:dyDescent="0.25">
      <c r="A18985" s="1" t="str">
        <f t="shared" ref="A18985:A19048" si="712">"31080"</f>
        <v>31080</v>
      </c>
      <c r="B18985" s="1" t="str">
        <f>"92822"</f>
        <v>92822</v>
      </c>
      <c r="C18985" s="2">
        <v>2.9572285380934701E-4</v>
      </c>
      <c r="D18985" s="2">
        <v>1.1342198199609599E-3</v>
      </c>
      <c r="E18985" s="2">
        <v>5.6292993773994796E-6</v>
      </c>
      <c r="F18985" s="2">
        <v>3.6441241049193297E-4</v>
      </c>
    </row>
    <row r="18986" spans="1:6" x14ac:dyDescent="0.25">
      <c r="A18986" s="1" t="str">
        <f t="shared" si="712"/>
        <v>31080</v>
      </c>
      <c r="B18986" s="1" t="str">
        <f>"92838"</f>
        <v>92838</v>
      </c>
      <c r="C18986" s="2">
        <v>2.0752480969077E-4</v>
      </c>
      <c r="D18986" s="2">
        <v>3.6066558303794602E-4</v>
      </c>
      <c r="E18986" s="2">
        <v>8.4439490660992304E-6</v>
      </c>
      <c r="F18986" s="2">
        <v>2.1138930099210801E-4</v>
      </c>
    </row>
    <row r="18987" spans="1:6" x14ac:dyDescent="0.25">
      <c r="A18987" s="1" t="str">
        <f t="shared" si="712"/>
        <v>31080</v>
      </c>
      <c r="B18987" s="1" t="str">
        <f>"90605"</f>
        <v>90605</v>
      </c>
      <c r="C18987" s="2">
        <v>2.4172649467249798E-3</v>
      </c>
      <c r="D18987" s="2">
        <v>1.8016959442257599E-3</v>
      </c>
      <c r="E18987" s="2">
        <v>1.2834802580470801E-3</v>
      </c>
      <c r="F18987" s="2">
        <v>2.2868174855744301E-3</v>
      </c>
    </row>
    <row r="18988" spans="1:6" x14ac:dyDescent="0.25">
      <c r="A18988" s="1" t="str">
        <f t="shared" si="712"/>
        <v>31080</v>
      </c>
      <c r="B18988" s="1" t="str">
        <f>"90620"</f>
        <v>90620</v>
      </c>
      <c r="C18988" s="2">
        <v>2.7568872795073799E-3</v>
      </c>
      <c r="D18988" s="2">
        <v>1.7886401765139701E-3</v>
      </c>
      <c r="E18988" s="2">
        <v>1.4748764368786599E-3</v>
      </c>
      <c r="F18988" s="2">
        <v>2.5814914953434902E-3</v>
      </c>
    </row>
    <row r="18989" spans="1:6" x14ac:dyDescent="0.25">
      <c r="A18989" s="1" t="str">
        <f t="shared" si="712"/>
        <v>31080</v>
      </c>
      <c r="B18989" s="1" t="str">
        <f>"90660"</f>
        <v>90660</v>
      </c>
      <c r="C18989" s="2">
        <v>3.43254016951983E-3</v>
      </c>
      <c r="D18989" s="2">
        <v>2.7629268420056199E-3</v>
      </c>
      <c r="E18989" s="2">
        <v>1.0554936332624E-3</v>
      </c>
      <c r="F18989" s="2">
        <v>3.2226834099034199E-3</v>
      </c>
    </row>
    <row r="18990" spans="1:6" x14ac:dyDescent="0.25">
      <c r="A18990" s="1" t="str">
        <f t="shared" si="712"/>
        <v>31080</v>
      </c>
      <c r="B18990" s="1" t="str">
        <f>"90603"</f>
        <v>90603</v>
      </c>
      <c r="C18990" s="2">
        <v>1.54546120293751E-3</v>
      </c>
      <c r="D18990" s="2">
        <v>9.71022723563702E-4</v>
      </c>
      <c r="E18990" s="2">
        <v>3.82792357663165E-4</v>
      </c>
      <c r="F18990" s="2">
        <v>1.41751243291859E-3</v>
      </c>
    </row>
    <row r="18991" spans="1:6" x14ac:dyDescent="0.25">
      <c r="A18991" s="1" t="str">
        <f t="shared" si="712"/>
        <v>31080</v>
      </c>
      <c r="B18991" s="1" t="str">
        <f>"92780"</f>
        <v>92780</v>
      </c>
      <c r="C18991" s="2">
        <v>4.0441397288488801E-3</v>
      </c>
      <c r="D18991" s="2">
        <v>6.2373930243033102E-3</v>
      </c>
      <c r="E18991" s="2">
        <v>5.9557987412886502E-3</v>
      </c>
      <c r="F18991" s="2">
        <v>4.3824815130523598E-3</v>
      </c>
    </row>
    <row r="18992" spans="1:6" x14ac:dyDescent="0.25">
      <c r="A18992" s="1" t="str">
        <f t="shared" si="712"/>
        <v>31080</v>
      </c>
      <c r="B18992" s="1" t="str">
        <f>"92802"</f>
        <v>92802</v>
      </c>
      <c r="C18992" s="2">
        <v>2.57769758806285E-3</v>
      </c>
      <c r="D18992" s="2">
        <v>1.75436878627055E-3</v>
      </c>
      <c r="E18992" s="2">
        <v>4.0446516026615299E-3</v>
      </c>
      <c r="F18992" s="2">
        <v>2.5804880651172698E-3</v>
      </c>
    </row>
    <row r="18993" spans="1:6" x14ac:dyDescent="0.25">
      <c r="A18993" s="1" t="str">
        <f t="shared" si="712"/>
        <v>31080</v>
      </c>
      <c r="B18993" s="1" t="str">
        <f>"92823"</f>
        <v>92823</v>
      </c>
      <c r="C18993" s="2">
        <v>4.3121260936707101E-4</v>
      </c>
      <c r="D18993" s="2">
        <v>1.1423796747808201E-4</v>
      </c>
      <c r="E18993" s="2">
        <v>9.5698089415791304E-5</v>
      </c>
      <c r="F18993" s="2">
        <v>3.7879491040120598E-4</v>
      </c>
    </row>
    <row r="18994" spans="1:6" x14ac:dyDescent="0.25">
      <c r="A18994" s="1" t="str">
        <f t="shared" si="712"/>
        <v>31080</v>
      </c>
      <c r="B18994" s="1" t="str">
        <f>"90240"</f>
        <v>90240</v>
      </c>
      <c r="C18994" s="2">
        <v>1.6550103572838899E-3</v>
      </c>
      <c r="D18994" s="2">
        <v>1.6074913995130101E-3</v>
      </c>
      <c r="E18994" s="2">
        <v>9.9638598979970901E-4</v>
      </c>
      <c r="F18994" s="2">
        <v>1.61100722820963E-3</v>
      </c>
    </row>
    <row r="18995" spans="1:6" x14ac:dyDescent="0.25">
      <c r="A18995" s="1" t="str">
        <f t="shared" si="712"/>
        <v>31080</v>
      </c>
      <c r="B18995" s="1" t="str">
        <f>"90072"</f>
        <v>90072</v>
      </c>
      <c r="C18995" s="2">
        <v>1.2571214433190799E-4</v>
      </c>
      <c r="D18995" s="2">
        <v>2.93754773515069E-5</v>
      </c>
      <c r="E18995" s="2">
        <v>5.6292993773994796E-6</v>
      </c>
      <c r="F18995" s="2">
        <v>1.08704941174739E-4</v>
      </c>
    </row>
    <row r="18996" spans="1:6" x14ac:dyDescent="0.25">
      <c r="A18996" s="1" t="str">
        <f t="shared" si="712"/>
        <v>31080</v>
      </c>
      <c r="B18996" s="1" t="str">
        <f>"90035"</f>
        <v>90035</v>
      </c>
      <c r="C18996" s="2">
        <v>3.0142978607584298E-3</v>
      </c>
      <c r="D18996" s="2">
        <v>2.77435063875343E-3</v>
      </c>
      <c r="E18996" s="2">
        <v>5.1057745353013297E-3</v>
      </c>
      <c r="F18996" s="2">
        <v>3.1139784687286799E-3</v>
      </c>
    </row>
    <row r="18997" spans="1:6" x14ac:dyDescent="0.25">
      <c r="A18997" s="1" t="str">
        <f t="shared" si="712"/>
        <v>31080</v>
      </c>
      <c r="B18997" s="1" t="str">
        <f>"90022"</f>
        <v>90022</v>
      </c>
      <c r="C18997" s="2">
        <v>3.53650211745145E-3</v>
      </c>
      <c r="D18997" s="2">
        <v>3.9689533843813799E-3</v>
      </c>
      <c r="E18997" s="2">
        <v>1.5536866281622499E-3</v>
      </c>
      <c r="F18997" s="2">
        <v>3.46300494908511E-3</v>
      </c>
    </row>
    <row r="18998" spans="1:6" x14ac:dyDescent="0.25">
      <c r="A18998" s="1" t="str">
        <f t="shared" si="712"/>
        <v>31080</v>
      </c>
      <c r="B18998" s="1" t="str">
        <f>"90024"</f>
        <v>90024</v>
      </c>
      <c r="C18998" s="2">
        <v>4.4583911758854502E-3</v>
      </c>
      <c r="D18998" s="2">
        <v>3.6278714529111001E-3</v>
      </c>
      <c r="E18998" s="2">
        <v>4.5681764447596798E-3</v>
      </c>
      <c r="F18998" s="2">
        <v>4.3798056991157597E-3</v>
      </c>
    </row>
    <row r="18999" spans="1:6" x14ac:dyDescent="0.25">
      <c r="A18999" s="1" t="str">
        <f t="shared" si="712"/>
        <v>31080</v>
      </c>
      <c r="B18999" s="1" t="str">
        <f>"90039"</f>
        <v>90039</v>
      </c>
      <c r="C18999" s="2">
        <v>2.5633304858534902E-3</v>
      </c>
      <c r="D18999" s="2">
        <v>2.17541729497548E-3</v>
      </c>
      <c r="E18999" s="2">
        <v>1.8801859920514201E-3</v>
      </c>
      <c r="F18999" s="2">
        <v>2.48298809480208E-3</v>
      </c>
    </row>
    <row r="19000" spans="1:6" x14ac:dyDescent="0.25">
      <c r="A19000" s="1" t="str">
        <f t="shared" si="712"/>
        <v>31080</v>
      </c>
      <c r="B19000" s="1" t="str">
        <f>"91107"</f>
        <v>91107</v>
      </c>
      <c r="C19000" s="2">
        <v>2.8065735079814201E-3</v>
      </c>
      <c r="D19000" s="2">
        <v>3.4222431114505599E-3</v>
      </c>
      <c r="E19000" s="2">
        <v>2.6964344017743501E-3</v>
      </c>
      <c r="F19000" s="2">
        <v>2.8631209121715898E-3</v>
      </c>
    </row>
    <row r="19001" spans="1:6" x14ac:dyDescent="0.25">
      <c r="A19001" s="1" t="str">
        <f t="shared" si="712"/>
        <v>31080</v>
      </c>
      <c r="B19001" s="1" t="str">
        <f>"91203"</f>
        <v>91203</v>
      </c>
      <c r="C19001" s="2">
        <v>1.53408724702176E-3</v>
      </c>
      <c r="D19001" s="2">
        <v>2.9065402868352101E-3</v>
      </c>
      <c r="E19001" s="2">
        <v>3.0707828103714199E-3</v>
      </c>
      <c r="F19001" s="2">
        <v>1.7660371981619101E-3</v>
      </c>
    </row>
    <row r="19002" spans="1:6" x14ac:dyDescent="0.25">
      <c r="A19002" s="1" t="str">
        <f t="shared" si="712"/>
        <v>31080</v>
      </c>
      <c r="B19002" s="1" t="str">
        <f>"91207"</f>
        <v>91207</v>
      </c>
      <c r="C19002" s="2">
        <v>8.3887913455768905E-4</v>
      </c>
      <c r="D19002" s="2">
        <v>2.2194805110027399E-4</v>
      </c>
      <c r="E19002" s="2">
        <v>8.6128280474212103E-4</v>
      </c>
      <c r="F19002" s="2">
        <v>7.76989471842828E-4</v>
      </c>
    </row>
    <row r="19003" spans="1:6" x14ac:dyDescent="0.25">
      <c r="A19003" s="1" t="str">
        <f t="shared" si="712"/>
        <v>31080</v>
      </c>
      <c r="B19003" s="1" t="str">
        <f>"90405"</f>
        <v>90405</v>
      </c>
      <c r="C19003" s="2">
        <v>3.1118744299303402E-3</v>
      </c>
      <c r="D19003" s="2">
        <v>2.89838043201535E-3</v>
      </c>
      <c r="E19003" s="2">
        <v>7.4982267706961104E-3</v>
      </c>
      <c r="F19003" s="2">
        <v>3.35062076374753E-3</v>
      </c>
    </row>
    <row r="19004" spans="1:6" x14ac:dyDescent="0.25">
      <c r="A19004" s="1" t="str">
        <f t="shared" si="712"/>
        <v>31080</v>
      </c>
      <c r="B19004" s="1" t="str">
        <f>"90706"</f>
        <v>90706</v>
      </c>
      <c r="C19004" s="2">
        <v>4.96543015802415E-3</v>
      </c>
      <c r="D19004" s="2">
        <v>3.4663063274778202E-3</v>
      </c>
      <c r="E19004" s="2">
        <v>4.7708312223460596E-3</v>
      </c>
      <c r="F19004" s="2">
        <v>4.8002429639054404E-3</v>
      </c>
    </row>
    <row r="19005" spans="1:6" x14ac:dyDescent="0.25">
      <c r="A19005" s="1" t="str">
        <f t="shared" si="712"/>
        <v>31080</v>
      </c>
      <c r="B19005" s="1" t="str">
        <f>"90305"</f>
        <v>90305</v>
      </c>
      <c r="C19005" s="2">
        <v>1.40518241331E-3</v>
      </c>
      <c r="D19005" s="2">
        <v>7.6539438210315302E-4</v>
      </c>
      <c r="E19005" s="2">
        <v>1.6156089213136501E-3</v>
      </c>
      <c r="F19005" s="2">
        <v>1.3521222298427101E-3</v>
      </c>
    </row>
    <row r="19006" spans="1:6" x14ac:dyDescent="0.25">
      <c r="A19006" s="1" t="str">
        <f t="shared" si="712"/>
        <v>31080</v>
      </c>
      <c r="B19006" s="1" t="str">
        <f>"90309"</f>
        <v>90309</v>
      </c>
      <c r="C19006" s="2">
        <v>1.06156921880278E-4</v>
      </c>
      <c r="D19006" s="2">
        <v>1.2239782229794499E-4</v>
      </c>
      <c r="E19006" s="2">
        <v>1.12585987547989E-5</v>
      </c>
      <c r="F19006" s="2">
        <v>1.02182644704254E-4</v>
      </c>
    </row>
    <row r="19007" spans="1:6" x14ac:dyDescent="0.25">
      <c r="A19007" s="1" t="str">
        <f t="shared" si="712"/>
        <v>31080</v>
      </c>
      <c r="B19007" s="1" t="str">
        <f>"90304"</f>
        <v>90304</v>
      </c>
      <c r="C19007" s="2">
        <v>1.56262190835425E-3</v>
      </c>
      <c r="D19007" s="2">
        <v>1.1570674134565701E-3</v>
      </c>
      <c r="E19007" s="2">
        <v>1.2834802580470801E-3</v>
      </c>
      <c r="F19007" s="2">
        <v>1.50447638585839E-3</v>
      </c>
    </row>
    <row r="19008" spans="1:6" x14ac:dyDescent="0.25">
      <c r="A19008" s="1" t="str">
        <f t="shared" si="712"/>
        <v>31080</v>
      </c>
      <c r="B19008" s="1" t="str">
        <f>"90713"</f>
        <v>90713</v>
      </c>
      <c r="C19008" s="2">
        <v>1.9565199605942299E-3</v>
      </c>
      <c r="D19008" s="2">
        <v>6.0056531474191998E-4</v>
      </c>
      <c r="E19008" s="2">
        <v>1.94210828520282E-4</v>
      </c>
      <c r="F19008" s="2">
        <v>1.7128553961718101E-3</v>
      </c>
    </row>
    <row r="19009" spans="1:6" x14ac:dyDescent="0.25">
      <c r="A19009" s="1" t="str">
        <f t="shared" si="712"/>
        <v>31080</v>
      </c>
      <c r="B19009" s="1" t="str">
        <f>"90732"</f>
        <v>90732</v>
      </c>
      <c r="C19009" s="2">
        <v>1.78291747556445E-3</v>
      </c>
      <c r="D19009" s="2">
        <v>5.6955786642643997E-4</v>
      </c>
      <c r="E19009" s="2">
        <v>1.38762229652897E-3</v>
      </c>
      <c r="F19009" s="2">
        <v>1.63508955363911E-3</v>
      </c>
    </row>
    <row r="19010" spans="1:6" x14ac:dyDescent="0.25">
      <c r="A19010" s="1" t="str">
        <f t="shared" si="712"/>
        <v>31080</v>
      </c>
      <c r="B19010" s="1" t="str">
        <f>"90755"</f>
        <v>90755</v>
      </c>
      <c r="C19010" s="2">
        <v>9.3685478990208199E-4</v>
      </c>
      <c r="D19010" s="2">
        <v>2.4414285621030202E-3</v>
      </c>
      <c r="E19010" s="2">
        <v>1.75915605543734E-3</v>
      </c>
      <c r="F19010" s="2">
        <v>1.1398967369954101E-3</v>
      </c>
    </row>
    <row r="19011" spans="1:6" x14ac:dyDescent="0.25">
      <c r="A19011" s="1" t="str">
        <f t="shared" si="712"/>
        <v>31080</v>
      </c>
      <c r="B19011" s="1" t="str">
        <f>"90744"</f>
        <v>90744</v>
      </c>
      <c r="C19011" s="2">
        <v>2.9891554318920502E-3</v>
      </c>
      <c r="D19011" s="2">
        <v>2.9212280255109702E-3</v>
      </c>
      <c r="E19011" s="2">
        <v>3.4957949133650802E-3</v>
      </c>
      <c r="F19011" s="2">
        <v>3.0122975391375399E-3</v>
      </c>
    </row>
    <row r="19012" spans="1:6" x14ac:dyDescent="0.25">
      <c r="A19012" s="1" t="str">
        <f t="shared" si="712"/>
        <v>31080</v>
      </c>
      <c r="B19012" s="1" t="str">
        <f>"90815"</f>
        <v>90815</v>
      </c>
      <c r="C19012" s="2">
        <v>3.2353916003135998E-3</v>
      </c>
      <c r="D19012" s="2">
        <v>1.7103055702432899E-3</v>
      </c>
      <c r="E19012" s="2">
        <v>1.6465700678893499E-3</v>
      </c>
      <c r="F19012" s="2">
        <v>2.9847032079162602E-3</v>
      </c>
    </row>
    <row r="19013" spans="1:6" x14ac:dyDescent="0.25">
      <c r="A19013" s="1" t="str">
        <f t="shared" si="712"/>
        <v>31080</v>
      </c>
      <c r="B19013" s="1" t="str">
        <f>"90809"</f>
        <v>90809</v>
      </c>
      <c r="C19013" s="2">
        <v>2.2708003214239999E-4</v>
      </c>
      <c r="D19013" s="2">
        <v>6.0872516956178297E-4</v>
      </c>
      <c r="E19013" s="2">
        <v>2.8146496886997398E-6</v>
      </c>
      <c r="F19013" s="2">
        <v>2.5286441700954701E-4</v>
      </c>
    </row>
    <row r="19014" spans="1:6" x14ac:dyDescent="0.25">
      <c r="A19014" s="1" t="str">
        <f t="shared" si="712"/>
        <v>31080</v>
      </c>
      <c r="B19014" s="1" t="str">
        <f>"91016"</f>
        <v>91016</v>
      </c>
      <c r="C19014" s="2">
        <v>3.17612730369998E-3</v>
      </c>
      <c r="D19014" s="2">
        <v>2.9685551834661701E-3</v>
      </c>
      <c r="E19014" s="2">
        <v>7.10417581427815E-3</v>
      </c>
      <c r="F19014" s="2">
        <v>3.3882493972310999E-3</v>
      </c>
    </row>
    <row r="19015" spans="1:6" x14ac:dyDescent="0.25">
      <c r="A19015" s="1" t="str">
        <f t="shared" si="712"/>
        <v>31080</v>
      </c>
      <c r="B19015" s="1" t="str">
        <f>"91020"</f>
        <v>91020</v>
      </c>
      <c r="C19015" s="2">
        <v>6.7505426075372603E-4</v>
      </c>
      <c r="D19015" s="2">
        <v>8.0292971427452296E-4</v>
      </c>
      <c r="E19015" s="2">
        <v>1.43828599092556E-3</v>
      </c>
      <c r="F19015" s="2">
        <v>7.3350749537293201E-4</v>
      </c>
    </row>
    <row r="19016" spans="1:6" x14ac:dyDescent="0.25">
      <c r="A19016" s="1" t="str">
        <f t="shared" si="712"/>
        <v>31080</v>
      </c>
      <c r="B19016" s="1" t="str">
        <f>"91021"</f>
        <v>91021</v>
      </c>
      <c r="C19016" s="2">
        <v>8.7000785601130495E-5</v>
      </c>
      <c r="D19016" s="2">
        <v>3.19866308938631E-4</v>
      </c>
      <c r="E19016" s="2">
        <v>5.6292993773994796E-6</v>
      </c>
      <c r="F19016" s="2">
        <v>1.0602912723813E-4</v>
      </c>
    </row>
    <row r="19017" spans="1:6" x14ac:dyDescent="0.25">
      <c r="A19017" s="1" t="str">
        <f t="shared" si="712"/>
        <v>31080</v>
      </c>
      <c r="B19017" s="1" t="str">
        <f>"91023"</f>
        <v>91023</v>
      </c>
      <c r="C19017" s="2">
        <v>1.9954308624112501E-6</v>
      </c>
      <c r="D19017" s="2">
        <v>0</v>
      </c>
      <c r="E19017" s="2">
        <v>5.6292993773994796E-6</v>
      </c>
      <c r="F19017" s="2">
        <v>2.0068604524567201E-6</v>
      </c>
    </row>
    <row r="19018" spans="1:6" x14ac:dyDescent="0.25">
      <c r="A19018" s="1" t="str">
        <f t="shared" si="712"/>
        <v>31080</v>
      </c>
      <c r="B19018" s="1" t="str">
        <f>"91611"</f>
        <v>91611</v>
      </c>
      <c r="C19018" s="2">
        <v>0</v>
      </c>
      <c r="D19018" s="2">
        <v>3.2639419279452099E-6</v>
      </c>
      <c r="E19018" s="2">
        <v>0</v>
      </c>
      <c r="F19018" s="2">
        <v>3.3447674207611999E-7</v>
      </c>
    </row>
    <row r="19019" spans="1:6" x14ac:dyDescent="0.25">
      <c r="A19019" s="1" t="str">
        <f t="shared" si="712"/>
        <v>31080</v>
      </c>
      <c r="B19019" s="1" t="str">
        <f>"90073"</f>
        <v>90073</v>
      </c>
      <c r="C19019" s="2">
        <v>0</v>
      </c>
      <c r="D19019" s="2">
        <v>4.8959128919178198E-6</v>
      </c>
      <c r="E19019" s="2">
        <v>2.8146496886997398E-6</v>
      </c>
      <c r="F19019" s="2">
        <v>6.6895348415224105E-7</v>
      </c>
    </row>
    <row r="19020" spans="1:6" x14ac:dyDescent="0.25">
      <c r="A19020" s="1" t="str">
        <f t="shared" si="712"/>
        <v>31080</v>
      </c>
      <c r="B19020" s="1" t="str">
        <f>"92397"</f>
        <v>92397</v>
      </c>
      <c r="C19020" s="2">
        <v>1.99543086241125E-7</v>
      </c>
      <c r="D19020" s="2">
        <v>0</v>
      </c>
      <c r="E19020" s="2">
        <v>0</v>
      </c>
      <c r="F19020" s="2">
        <v>1.6723837103806E-7</v>
      </c>
    </row>
    <row r="19021" spans="1:6" x14ac:dyDescent="0.25">
      <c r="A19021" s="1" t="str">
        <f t="shared" si="712"/>
        <v>31080</v>
      </c>
      <c r="B19021" s="1" t="str">
        <f>"90833"</f>
        <v>90833</v>
      </c>
      <c r="C19021" s="2">
        <v>0</v>
      </c>
      <c r="D19021" s="2">
        <v>1.6319709639726001E-6</v>
      </c>
      <c r="E19021" s="2">
        <v>0</v>
      </c>
      <c r="F19021" s="2">
        <v>1.6723837103806E-7</v>
      </c>
    </row>
    <row r="19022" spans="1:6" x14ac:dyDescent="0.25">
      <c r="A19022" s="1" t="str">
        <f t="shared" si="712"/>
        <v>31080</v>
      </c>
      <c r="B19022" s="1" t="str">
        <f>"91612"</f>
        <v>91612</v>
      </c>
      <c r="C19022" s="2">
        <v>0</v>
      </c>
      <c r="D19022" s="2">
        <v>3.2639419279452099E-6</v>
      </c>
      <c r="E19022" s="2">
        <v>0</v>
      </c>
      <c r="F19022" s="2">
        <v>3.3447674207611999E-7</v>
      </c>
    </row>
    <row r="19023" spans="1:6" x14ac:dyDescent="0.25">
      <c r="A19023" s="1" t="str">
        <f t="shared" si="712"/>
        <v>31080</v>
      </c>
      <c r="B19023" s="1" t="str">
        <f>"91521"</f>
        <v>91521</v>
      </c>
      <c r="C19023" s="2">
        <v>0</v>
      </c>
      <c r="D19023" s="2">
        <v>6.52788385589043E-6</v>
      </c>
      <c r="E19023" s="2">
        <v>0</v>
      </c>
      <c r="F19023" s="2">
        <v>6.6895348415224105E-7</v>
      </c>
    </row>
    <row r="19024" spans="1:6" x14ac:dyDescent="0.25">
      <c r="A19024" s="1" t="str">
        <f t="shared" si="712"/>
        <v>31080</v>
      </c>
      <c r="B19024" s="1" t="str">
        <f>"91407"</f>
        <v>91407</v>
      </c>
      <c r="C19024" s="2">
        <v>2.5142428866381699E-5</v>
      </c>
      <c r="D19024" s="2">
        <v>4.2431245063287799E-5</v>
      </c>
      <c r="E19024" s="2">
        <v>8.4439490660992304E-6</v>
      </c>
      <c r="F19024" s="2">
        <v>2.5921947510899301E-5</v>
      </c>
    </row>
    <row r="19025" spans="1:6" x14ac:dyDescent="0.25">
      <c r="A19025" s="1" t="str">
        <f t="shared" si="712"/>
        <v>31080</v>
      </c>
      <c r="B19025" s="1" t="str">
        <f>"90506"</f>
        <v>90506</v>
      </c>
      <c r="C19025" s="2">
        <v>0</v>
      </c>
      <c r="D19025" s="2">
        <v>3.2639419279452099E-6</v>
      </c>
      <c r="E19025" s="2">
        <v>0</v>
      </c>
      <c r="F19025" s="2">
        <v>3.3447674207611999E-7</v>
      </c>
    </row>
    <row r="19026" spans="1:6" x14ac:dyDescent="0.25">
      <c r="A19026" s="1" t="str">
        <f t="shared" si="712"/>
        <v>31080</v>
      </c>
      <c r="B19026" s="1" t="str">
        <f>"91189"</f>
        <v>91189</v>
      </c>
      <c r="C19026" s="2">
        <v>0</v>
      </c>
      <c r="D19026" s="2">
        <v>3.2639419279452099E-6</v>
      </c>
      <c r="E19026" s="2">
        <v>0</v>
      </c>
      <c r="F19026" s="2">
        <v>3.3447674207611999E-7</v>
      </c>
    </row>
    <row r="19027" spans="1:6" x14ac:dyDescent="0.25">
      <c r="A19027" s="1" t="str">
        <f t="shared" si="712"/>
        <v>31080</v>
      </c>
      <c r="B19027" s="1" t="str">
        <f>"91365"</f>
        <v>91365</v>
      </c>
      <c r="C19027" s="2">
        <v>1.07753266570207E-4</v>
      </c>
      <c r="D19027" s="2">
        <v>3.4597784436219298E-4</v>
      </c>
      <c r="E19027" s="2">
        <v>2.8146496886997398E-6</v>
      </c>
      <c r="F19027" s="2">
        <v>1.25930493391659E-4</v>
      </c>
    </row>
    <row r="19028" spans="1:6" x14ac:dyDescent="0.25">
      <c r="A19028" s="1" t="str">
        <f t="shared" si="712"/>
        <v>31080</v>
      </c>
      <c r="B19028" s="1" t="str">
        <f>"91334"</f>
        <v>91334</v>
      </c>
      <c r="C19028" s="2">
        <v>1.37086100247652E-4</v>
      </c>
      <c r="D19028" s="2">
        <v>6.6910809522876895E-5</v>
      </c>
      <c r="E19028" s="2">
        <v>2.8146496886997398E-6</v>
      </c>
      <c r="F19028" s="2">
        <v>1.21916772486745E-4</v>
      </c>
    </row>
    <row r="19029" spans="1:6" x14ac:dyDescent="0.25">
      <c r="A19029" s="1" t="str">
        <f t="shared" si="712"/>
        <v>31080</v>
      </c>
      <c r="B19029" s="1" t="str">
        <f>"91482"</f>
        <v>91482</v>
      </c>
      <c r="C19029" s="2">
        <v>0</v>
      </c>
      <c r="D19029" s="2">
        <v>0</v>
      </c>
      <c r="E19029" s="2">
        <v>2.8146496886997398E-6</v>
      </c>
      <c r="F19029" s="2">
        <v>1.6723837103806E-7</v>
      </c>
    </row>
    <row r="19030" spans="1:6" x14ac:dyDescent="0.25">
      <c r="A19030" s="1" t="str">
        <f t="shared" si="712"/>
        <v>31080</v>
      </c>
      <c r="B19030" s="1" t="str">
        <f>"90743"</f>
        <v>90743</v>
      </c>
      <c r="C19030" s="2">
        <v>0</v>
      </c>
      <c r="D19030" s="2">
        <v>0</v>
      </c>
      <c r="E19030" s="2">
        <v>2.8146496886997398E-6</v>
      </c>
      <c r="F19030" s="2">
        <v>1.6723837103806E-7</v>
      </c>
    </row>
    <row r="19031" spans="1:6" x14ac:dyDescent="0.25">
      <c r="A19031" s="1" t="str">
        <f t="shared" si="712"/>
        <v>31080</v>
      </c>
      <c r="B19031" s="1" t="str">
        <f>"93243"</f>
        <v>93243</v>
      </c>
      <c r="C19031" s="2">
        <v>3.9908617248225E-7</v>
      </c>
      <c r="D19031" s="2">
        <v>8.1598548198630394E-6</v>
      </c>
      <c r="E19031" s="2">
        <v>2.8146496886997398E-6</v>
      </c>
      <c r="F19031" s="2">
        <v>1.33790696830448E-6</v>
      </c>
    </row>
    <row r="19032" spans="1:6" x14ac:dyDescent="0.25">
      <c r="A19032" s="1" t="str">
        <f t="shared" si="712"/>
        <v>31080</v>
      </c>
      <c r="B19032" s="1" t="str">
        <f>"90651"</f>
        <v>90651</v>
      </c>
      <c r="C19032" s="2">
        <v>2.7616763135771699E-4</v>
      </c>
      <c r="D19032" s="2">
        <v>3.9167303135342597E-4</v>
      </c>
      <c r="E19032" s="2">
        <v>5.6292993773994796E-6</v>
      </c>
      <c r="F19032" s="2">
        <v>2.7192959130788597E-4</v>
      </c>
    </row>
    <row r="19033" spans="1:6" x14ac:dyDescent="0.25">
      <c r="A19033" s="1" t="str">
        <f t="shared" si="712"/>
        <v>31080</v>
      </c>
      <c r="B19033" s="1" t="str">
        <f>"92825"</f>
        <v>92825</v>
      </c>
      <c r="C19033" s="2">
        <v>1.16533162364817E-4</v>
      </c>
      <c r="D19033" s="2">
        <v>2.4805958652383597E-4</v>
      </c>
      <c r="E19033" s="2">
        <v>5.6292993773994796E-6</v>
      </c>
      <c r="F19033" s="2">
        <v>1.23421917826088E-4</v>
      </c>
    </row>
    <row r="19034" spans="1:6" x14ac:dyDescent="0.25">
      <c r="A19034" s="1" t="str">
        <f t="shared" si="712"/>
        <v>31080</v>
      </c>
      <c r="B19034" s="1" t="str">
        <f>"90832"</f>
        <v>90832</v>
      </c>
      <c r="C19034" s="2">
        <v>1.4446919443857401E-4</v>
      </c>
      <c r="D19034" s="2">
        <v>1.46877386757534E-4</v>
      </c>
      <c r="E19034" s="2">
        <v>5.6292993773994796E-6</v>
      </c>
      <c r="F19034" s="2">
        <v>1.36466510767057E-4</v>
      </c>
    </row>
    <row r="19035" spans="1:6" x14ac:dyDescent="0.25">
      <c r="A19035" s="1" t="str">
        <f t="shared" si="712"/>
        <v>31080</v>
      </c>
      <c r="B19035" s="1" t="str">
        <f>"93586"</f>
        <v>93586</v>
      </c>
      <c r="C19035" s="2">
        <v>6.9440994011911504E-5</v>
      </c>
      <c r="D19035" s="2">
        <v>2.43163673631918E-4</v>
      </c>
      <c r="E19035" s="2">
        <v>5.6292993773994796E-6</v>
      </c>
      <c r="F19035" s="2">
        <v>8.3451947147992006E-5</v>
      </c>
    </row>
    <row r="19036" spans="1:6" x14ac:dyDescent="0.25">
      <c r="A19036" s="1" t="str">
        <f t="shared" si="712"/>
        <v>31080</v>
      </c>
      <c r="B19036" s="1" t="str">
        <f>"90083"</f>
        <v>90083</v>
      </c>
      <c r="C19036" s="2">
        <v>1.1753087779602199E-4</v>
      </c>
      <c r="D19036" s="2">
        <v>1.48509357721507E-4</v>
      </c>
      <c r="E19036" s="2">
        <v>5.6292993773994796E-6</v>
      </c>
      <c r="F19036" s="2">
        <v>1.14056569047957E-4</v>
      </c>
    </row>
    <row r="19037" spans="1:6" x14ac:dyDescent="0.25">
      <c r="A19037" s="1" t="str">
        <f t="shared" si="712"/>
        <v>31080</v>
      </c>
      <c r="B19037" s="1" t="str">
        <f>"90264"</f>
        <v>90264</v>
      </c>
      <c r="C19037" s="2">
        <v>1.5424680566438899E-4</v>
      </c>
      <c r="D19037" s="2">
        <v>3.7698529267767201E-4</v>
      </c>
      <c r="E19037" s="2">
        <v>5.6292993773994796E-6</v>
      </c>
      <c r="F19037" s="2">
        <v>1.6824180126428801E-4</v>
      </c>
    </row>
    <row r="19038" spans="1:6" x14ac:dyDescent="0.25">
      <c r="A19038" s="1" t="str">
        <f t="shared" si="712"/>
        <v>31080</v>
      </c>
      <c r="B19038" s="1" t="str">
        <f>"91603"</f>
        <v>91603</v>
      </c>
      <c r="C19038" s="2">
        <v>1.4846005616339701E-4</v>
      </c>
      <c r="D19038" s="2">
        <v>2.90490831587124E-4</v>
      </c>
      <c r="E19038" s="2">
        <v>5.6292993773994796E-6</v>
      </c>
      <c r="F19038" s="2">
        <v>1.5452825483916699E-4</v>
      </c>
    </row>
    <row r="19039" spans="1:6" x14ac:dyDescent="0.25">
      <c r="A19039" s="1" t="str">
        <f t="shared" si="712"/>
        <v>31080</v>
      </c>
      <c r="B19039" s="1" t="str">
        <f>"91386"</f>
        <v>91386</v>
      </c>
      <c r="C19039" s="2">
        <v>2.1410973153672701E-4</v>
      </c>
      <c r="D19039" s="2">
        <v>5.1243888268739902E-4</v>
      </c>
      <c r="E19039" s="2">
        <v>2.8146496886997398E-6</v>
      </c>
      <c r="F19039" s="2">
        <v>2.3212685900082699E-4</v>
      </c>
    </row>
    <row r="19040" spans="1:6" x14ac:dyDescent="0.25">
      <c r="A19040" s="1" t="str">
        <f t="shared" si="712"/>
        <v>31080</v>
      </c>
      <c r="B19040" s="1" t="str">
        <f>"90078"</f>
        <v>90078</v>
      </c>
      <c r="C19040" s="2">
        <v>5.4056222062720701E-4</v>
      </c>
      <c r="D19040" s="2">
        <v>6.47892472697125E-4</v>
      </c>
      <c r="E19040" s="2">
        <v>5.6292993773994796E-6</v>
      </c>
      <c r="F19040" s="2">
        <v>5.1977685718629103E-4</v>
      </c>
    </row>
    <row r="19041" spans="1:6" x14ac:dyDescent="0.25">
      <c r="A19041" s="1" t="str">
        <f t="shared" si="712"/>
        <v>31080</v>
      </c>
      <c r="B19041" s="1" t="str">
        <f>"90239"</f>
        <v>90239</v>
      </c>
      <c r="C19041" s="2">
        <v>2.1251338684679801E-4</v>
      </c>
      <c r="D19041" s="2">
        <v>5.4181436003890597E-4</v>
      </c>
      <c r="E19041" s="2">
        <v>5.6292993773994796E-6</v>
      </c>
      <c r="F19041" s="2">
        <v>2.3396648108224601E-4</v>
      </c>
    </row>
    <row r="19042" spans="1:6" x14ac:dyDescent="0.25">
      <c r="A19042" s="1" t="str">
        <f t="shared" si="712"/>
        <v>31080</v>
      </c>
      <c r="B19042" s="1" t="str">
        <f>"91031"</f>
        <v>91031</v>
      </c>
      <c r="C19042" s="2">
        <v>2.2608231671119401E-4</v>
      </c>
      <c r="D19042" s="2">
        <v>8.4372898837383804E-4</v>
      </c>
      <c r="E19042" s="2">
        <v>5.6292993773994796E-6</v>
      </c>
      <c r="F19042" s="2">
        <v>2.7627778895487502E-4</v>
      </c>
    </row>
    <row r="19043" spans="1:6" x14ac:dyDescent="0.25">
      <c r="A19043" s="1" t="str">
        <f t="shared" si="712"/>
        <v>31080</v>
      </c>
      <c r="B19043" s="1" t="str">
        <f>"91224"</f>
        <v>91224</v>
      </c>
      <c r="C19043" s="2">
        <v>1.2611123050439101E-4</v>
      </c>
      <c r="D19043" s="2">
        <v>3.2802616375849399E-4</v>
      </c>
      <c r="E19043" s="2">
        <v>5.6292993773994796E-6</v>
      </c>
      <c r="F19043" s="2">
        <v>1.3964403981677999E-4</v>
      </c>
    </row>
    <row r="19044" spans="1:6" x14ac:dyDescent="0.25">
      <c r="A19044" s="1" t="str">
        <f t="shared" si="712"/>
        <v>31080</v>
      </c>
      <c r="B19044" s="1" t="str">
        <f>"91226"</f>
        <v>91226</v>
      </c>
      <c r="C19044" s="2">
        <v>1.8118512230694099E-4</v>
      </c>
      <c r="D19044" s="2">
        <v>4.4063216027260399E-4</v>
      </c>
      <c r="E19044" s="2">
        <v>5.6292993773994796E-6</v>
      </c>
      <c r="F19044" s="2">
        <v>1.9734127782491099E-4</v>
      </c>
    </row>
    <row r="19045" spans="1:6" x14ac:dyDescent="0.25">
      <c r="A19045" s="1" t="str">
        <f t="shared" si="712"/>
        <v>31080</v>
      </c>
      <c r="B19045" s="1" t="str">
        <f>"91043"</f>
        <v>91043</v>
      </c>
      <c r="C19045" s="2">
        <v>1.3429249704027701E-4</v>
      </c>
      <c r="D19045" s="2">
        <v>1.77884835073014E-4</v>
      </c>
      <c r="E19045" s="2">
        <v>5.6292993773994796E-6</v>
      </c>
      <c r="F19045" s="2">
        <v>1.31114882893839E-4</v>
      </c>
    </row>
    <row r="19046" spans="1:6" x14ac:dyDescent="0.25">
      <c r="A19046" s="1" t="str">
        <f t="shared" si="712"/>
        <v>31080</v>
      </c>
      <c r="B19046" s="1" t="str">
        <f>"90633"</f>
        <v>90633</v>
      </c>
      <c r="C19046" s="2">
        <v>1.2890483371176599E-4</v>
      </c>
      <c r="D19046" s="2">
        <v>3.4924178629013801E-4</v>
      </c>
      <c r="E19046" s="2">
        <v>1.12585987547989E-5</v>
      </c>
      <c r="F19046" s="2">
        <v>1.44493952576884E-4</v>
      </c>
    </row>
    <row r="19047" spans="1:6" x14ac:dyDescent="0.25">
      <c r="A19047" s="1" t="str">
        <f t="shared" si="712"/>
        <v>31080</v>
      </c>
      <c r="B19047" s="1" t="str">
        <f>"92856"</f>
        <v>92856</v>
      </c>
      <c r="C19047" s="2">
        <v>2.21891911900131E-4</v>
      </c>
      <c r="D19047" s="2">
        <v>3.94936973281371E-4</v>
      </c>
      <c r="E19047" s="2">
        <v>8.4439490660992304E-6</v>
      </c>
      <c r="F19047" s="2">
        <v>2.2694246949864699E-4</v>
      </c>
    </row>
    <row r="19048" spans="1:6" x14ac:dyDescent="0.25">
      <c r="A19048" s="1" t="str">
        <f t="shared" si="712"/>
        <v>31080</v>
      </c>
      <c r="B19048" s="1" t="str">
        <f>"93551"</f>
        <v>93551</v>
      </c>
      <c r="C19048" s="2">
        <v>3.5115592316713102E-3</v>
      </c>
      <c r="D19048" s="2">
        <v>2.0301718791819199E-3</v>
      </c>
      <c r="E19048" s="2">
        <v>9.9920063948840906E-4</v>
      </c>
      <c r="F19048" s="2">
        <v>3.2104750088176402E-3</v>
      </c>
    </row>
    <row r="19049" spans="1:6" x14ac:dyDescent="0.25">
      <c r="A19049" s="1" t="str">
        <f t="shared" ref="A19049:A19112" si="713">"31080"</f>
        <v>31080</v>
      </c>
      <c r="B19049" s="1" t="str">
        <f>"93553"</f>
        <v>93553</v>
      </c>
      <c r="C19049" s="2">
        <v>2.1650424857162001E-4</v>
      </c>
      <c r="D19049" s="2">
        <v>7.5070664342739997E-5</v>
      </c>
      <c r="E19049" s="2">
        <v>1.9702547820898201E-5</v>
      </c>
      <c r="F19049" s="2">
        <v>1.90317266241312E-4</v>
      </c>
    </row>
    <row r="19050" spans="1:6" x14ac:dyDescent="0.25">
      <c r="A19050" s="1" t="str">
        <f t="shared" si="713"/>
        <v>31080</v>
      </c>
      <c r="B19050" s="1" t="str">
        <f>"93534"</f>
        <v>93534</v>
      </c>
      <c r="C19050" s="2">
        <v>3.4680588388707502E-3</v>
      </c>
      <c r="D19050" s="2">
        <v>4.4862881799606997E-3</v>
      </c>
      <c r="E19050" s="2">
        <v>3.5605318562051702E-3</v>
      </c>
      <c r="F19050" s="2">
        <v>3.57789770998826E-3</v>
      </c>
    </row>
    <row r="19051" spans="1:6" x14ac:dyDescent="0.25">
      <c r="A19051" s="1" t="str">
        <f t="shared" si="713"/>
        <v>31080</v>
      </c>
      <c r="B19051" s="1" t="str">
        <f>"91607"</f>
        <v>91607</v>
      </c>
      <c r="C19051" s="2">
        <v>2.91472586072411E-3</v>
      </c>
      <c r="D19051" s="2">
        <v>1.20113062948384E-3</v>
      </c>
      <c r="E19051" s="2">
        <v>4.1459789914547202E-3</v>
      </c>
      <c r="F19051" s="2">
        <v>2.8122804473760198E-3</v>
      </c>
    </row>
    <row r="19052" spans="1:6" x14ac:dyDescent="0.25">
      <c r="A19052" s="1" t="str">
        <f t="shared" si="713"/>
        <v>31080</v>
      </c>
      <c r="B19052" s="1" t="str">
        <f>"91392"</f>
        <v>91392</v>
      </c>
      <c r="C19052" s="2">
        <v>3.9948525865473201E-4</v>
      </c>
      <c r="D19052" s="2">
        <v>4.68375666660138E-4</v>
      </c>
      <c r="E19052" s="2">
        <v>5.6292993773994796E-6</v>
      </c>
      <c r="F19052" s="2">
        <v>3.83143108048196E-4</v>
      </c>
    </row>
    <row r="19053" spans="1:6" x14ac:dyDescent="0.25">
      <c r="A19053" s="1" t="str">
        <f t="shared" si="713"/>
        <v>31080</v>
      </c>
      <c r="B19053" s="1" t="str">
        <f>"91409"</f>
        <v>91409</v>
      </c>
      <c r="C19053" s="2">
        <v>3.04901835776439E-4</v>
      </c>
      <c r="D19053" s="2">
        <v>5.9566940185000201E-4</v>
      </c>
      <c r="E19053" s="2">
        <v>5.6292993773994796E-6</v>
      </c>
      <c r="F19053" s="2">
        <v>3.1691671311712399E-4</v>
      </c>
    </row>
    <row r="19054" spans="1:6" x14ac:dyDescent="0.25">
      <c r="A19054" s="1" t="str">
        <f t="shared" si="713"/>
        <v>31080</v>
      </c>
      <c r="B19054" s="1" t="str">
        <f>"91413"</f>
        <v>91413</v>
      </c>
      <c r="C19054" s="2">
        <v>3.8451952718664801E-4</v>
      </c>
      <c r="D19054" s="2">
        <v>1.14401164574479E-3</v>
      </c>
      <c r="E19054" s="2">
        <v>5.6292993773994796E-6</v>
      </c>
      <c r="F19054" s="2">
        <v>4.3983691583009799E-4</v>
      </c>
    </row>
    <row r="19055" spans="1:6" x14ac:dyDescent="0.25">
      <c r="A19055" s="1" t="str">
        <f t="shared" si="713"/>
        <v>31080</v>
      </c>
      <c r="B19055" s="1" t="str">
        <f>"91352"</f>
        <v>91352</v>
      </c>
      <c r="C19055" s="2">
        <v>2.4887013715993102E-3</v>
      </c>
      <c r="D19055" s="2">
        <v>4.3802100673024803E-3</v>
      </c>
      <c r="E19055" s="2">
        <v>1.94210828520282E-3</v>
      </c>
      <c r="F19055" s="2">
        <v>2.6500592274691002E-3</v>
      </c>
    </row>
    <row r="19056" spans="1:6" x14ac:dyDescent="0.25">
      <c r="A19056" s="1" t="str">
        <f t="shared" si="713"/>
        <v>31080</v>
      </c>
      <c r="B19056" s="1" t="str">
        <f>"91355"</f>
        <v>91355</v>
      </c>
      <c r="C19056" s="2">
        <v>2.6890426301854E-3</v>
      </c>
      <c r="D19056" s="2">
        <v>5.6025563193179599E-3</v>
      </c>
      <c r="E19056" s="2">
        <v>3.49860956305378E-3</v>
      </c>
      <c r="F19056" s="2">
        <v>3.0357109110828698E-3</v>
      </c>
    </row>
    <row r="19057" spans="1:6" x14ac:dyDescent="0.25">
      <c r="A19057" s="1" t="str">
        <f t="shared" si="713"/>
        <v>31080</v>
      </c>
      <c r="B19057" s="1" t="str">
        <f>"91376"</f>
        <v>91376</v>
      </c>
      <c r="C19057" s="2">
        <v>3.9130399211884602E-4</v>
      </c>
      <c r="D19057" s="2">
        <v>6.7563597908465998E-4</v>
      </c>
      <c r="E19057" s="2">
        <v>2.8146496886997398E-6</v>
      </c>
      <c r="F19057" s="2">
        <v>3.9735836958643101E-4</v>
      </c>
    </row>
    <row r="19058" spans="1:6" x14ac:dyDescent="0.25">
      <c r="A19058" s="1" t="str">
        <f t="shared" si="713"/>
        <v>31080</v>
      </c>
      <c r="B19058" s="1" t="str">
        <f>"92692"</f>
        <v>92692</v>
      </c>
      <c r="C19058" s="2">
        <v>3.6025508789972699E-3</v>
      </c>
      <c r="D19058" s="2">
        <v>1.0411974750145199E-3</v>
      </c>
      <c r="E19058" s="2">
        <v>6.7551592528793797E-4</v>
      </c>
      <c r="F19058" s="2">
        <v>3.16615684049255E-3</v>
      </c>
    </row>
    <row r="19059" spans="1:6" x14ac:dyDescent="0.25">
      <c r="A19059" s="1" t="str">
        <f t="shared" si="713"/>
        <v>31080</v>
      </c>
      <c r="B19059" s="1" t="str">
        <f>"92648"</f>
        <v>92648</v>
      </c>
      <c r="C19059" s="2">
        <v>4.5681398733180703E-3</v>
      </c>
      <c r="D19059" s="2">
        <v>3.7894365783443899E-3</v>
      </c>
      <c r="E19059" s="2">
        <v>8.1596694475405494E-3</v>
      </c>
      <c r="F19059" s="2">
        <v>4.7017395633640203E-3</v>
      </c>
    </row>
    <row r="19060" spans="1:6" x14ac:dyDescent="0.25">
      <c r="A19060" s="1" t="str">
        <f t="shared" si="713"/>
        <v>31080</v>
      </c>
      <c r="B19060" s="1" t="str">
        <f>"92660"</f>
        <v>92660</v>
      </c>
      <c r="C19060" s="2">
        <v>3.3994160172038002E-3</v>
      </c>
      <c r="D19060" s="2">
        <v>7.0941777803889298E-3</v>
      </c>
      <c r="E19060" s="2">
        <v>2.1053579671473999E-3</v>
      </c>
      <c r="F19060" s="2">
        <v>3.7011523894433102E-3</v>
      </c>
    </row>
    <row r="19061" spans="1:6" x14ac:dyDescent="0.25">
      <c r="A19061" s="1" t="str">
        <f t="shared" si="713"/>
        <v>31080</v>
      </c>
      <c r="B19061" s="1" t="str">
        <f>"91756"</f>
        <v>91756</v>
      </c>
      <c r="C19061" s="2">
        <v>0</v>
      </c>
      <c r="D19061" s="2">
        <v>6.52788385589043E-6</v>
      </c>
      <c r="E19061" s="2">
        <v>0</v>
      </c>
      <c r="F19061" s="2">
        <v>6.6895348415224105E-7</v>
      </c>
    </row>
    <row r="19062" spans="1:6" x14ac:dyDescent="0.25">
      <c r="A19062" s="1" t="str">
        <f t="shared" si="713"/>
        <v>31080</v>
      </c>
      <c r="B19062" s="1" t="str">
        <f>"93063"</f>
        <v>93063</v>
      </c>
      <c r="C19062" s="2">
        <v>3.9908617248225E-7</v>
      </c>
      <c r="D19062" s="2">
        <v>0</v>
      </c>
      <c r="E19062" s="2">
        <v>0</v>
      </c>
      <c r="F19062" s="2">
        <v>3.3447674207611999E-7</v>
      </c>
    </row>
    <row r="19063" spans="1:6" x14ac:dyDescent="0.25">
      <c r="A19063" s="1" t="str">
        <f t="shared" si="713"/>
        <v>31080</v>
      </c>
      <c r="B19063" s="1" t="str">
        <f>"91383"</f>
        <v>91383</v>
      </c>
      <c r="C19063" s="2">
        <v>0</v>
      </c>
      <c r="D19063" s="2">
        <v>0</v>
      </c>
      <c r="E19063" s="2">
        <v>5.6292993773994796E-6</v>
      </c>
      <c r="F19063" s="2">
        <v>3.3447674207611999E-7</v>
      </c>
    </row>
    <row r="19064" spans="1:6" x14ac:dyDescent="0.25">
      <c r="A19064" s="1" t="str">
        <f t="shared" si="713"/>
        <v>31080</v>
      </c>
      <c r="B19064" s="1" t="str">
        <f>"91188"</f>
        <v>91188</v>
      </c>
      <c r="C19064" s="2">
        <v>0</v>
      </c>
      <c r="D19064" s="2">
        <v>3.2639419279452099E-6</v>
      </c>
      <c r="E19064" s="2">
        <v>0</v>
      </c>
      <c r="F19064" s="2">
        <v>3.3447674207611999E-7</v>
      </c>
    </row>
    <row r="19065" spans="1:6" x14ac:dyDescent="0.25">
      <c r="A19065" s="1" t="str">
        <f t="shared" si="713"/>
        <v>31080</v>
      </c>
      <c r="B19065" s="1" t="str">
        <f>"91123"</f>
        <v>91123</v>
      </c>
      <c r="C19065" s="2">
        <v>0</v>
      </c>
      <c r="D19065" s="2">
        <v>0</v>
      </c>
      <c r="E19065" s="2">
        <v>5.6292993773994796E-6</v>
      </c>
      <c r="F19065" s="2">
        <v>3.3447674207611999E-7</v>
      </c>
    </row>
    <row r="19066" spans="1:6" x14ac:dyDescent="0.25">
      <c r="A19066" s="1" t="str">
        <f t="shared" si="713"/>
        <v>31080</v>
      </c>
      <c r="B19066" s="1" t="str">
        <f>"90662"</f>
        <v>90662</v>
      </c>
      <c r="C19066" s="2">
        <v>7.6824088202833094E-5</v>
      </c>
      <c r="D19066" s="2">
        <v>5.05910998831508E-5</v>
      </c>
      <c r="E19066" s="2">
        <v>5.6292993773994796E-6</v>
      </c>
      <c r="F19066" s="2">
        <v>6.9905639093909103E-5</v>
      </c>
    </row>
    <row r="19067" spans="1:6" x14ac:dyDescent="0.25">
      <c r="A19067" s="1" t="str">
        <f t="shared" si="713"/>
        <v>31080</v>
      </c>
      <c r="B19067" s="1" t="str">
        <f>"90265"</f>
        <v>90265</v>
      </c>
      <c r="C19067" s="2">
        <v>1.9762747261320998E-3</v>
      </c>
      <c r="D19067" s="2">
        <v>1.5128370836026001E-3</v>
      </c>
      <c r="E19067" s="2">
        <v>1.4073248443498699E-3</v>
      </c>
      <c r="F19067" s="2">
        <v>1.8949779822322601E-3</v>
      </c>
    </row>
    <row r="19068" spans="1:6" x14ac:dyDescent="0.25">
      <c r="A19068" s="1" t="str">
        <f t="shared" si="713"/>
        <v>31080</v>
      </c>
      <c r="B19068" s="1" t="str">
        <f>"90272"</f>
        <v>90272</v>
      </c>
      <c r="C19068" s="2">
        <v>2.1303219887102501E-3</v>
      </c>
      <c r="D19068" s="2">
        <v>1.7037776863873999E-3</v>
      </c>
      <c r="E19068" s="2">
        <v>1.0189031873093001E-3</v>
      </c>
      <c r="F19068" s="2">
        <v>2.02057399888184E-3</v>
      </c>
    </row>
    <row r="19069" spans="1:6" x14ac:dyDescent="0.25">
      <c r="A19069" s="1" t="str">
        <f t="shared" si="713"/>
        <v>31080</v>
      </c>
      <c r="B19069" s="1" t="str">
        <f>"90277"</f>
        <v>90277</v>
      </c>
      <c r="C19069" s="2">
        <v>3.9419736686934197E-3</v>
      </c>
      <c r="D19069" s="2">
        <v>3.4206111404865799E-3</v>
      </c>
      <c r="E19069" s="2">
        <v>7.4925974713187099E-3</v>
      </c>
      <c r="F19069" s="2">
        <v>4.0995141892559697E-3</v>
      </c>
    </row>
    <row r="19070" spans="1:6" x14ac:dyDescent="0.25">
      <c r="A19070" s="1" t="str">
        <f t="shared" si="713"/>
        <v>31080</v>
      </c>
      <c r="B19070" s="1" t="str">
        <f>"90247"</f>
        <v>90247</v>
      </c>
      <c r="C19070" s="2">
        <v>3.65642751228237E-3</v>
      </c>
      <c r="D19070" s="2">
        <v>3.2361984215576798E-3</v>
      </c>
      <c r="E19070" s="2">
        <v>7.30401594217583E-3</v>
      </c>
      <c r="F19070" s="2">
        <v>3.8300931735136502E-3</v>
      </c>
    </row>
    <row r="19071" spans="1:6" x14ac:dyDescent="0.25">
      <c r="A19071" s="1" t="str">
        <f t="shared" si="713"/>
        <v>31080</v>
      </c>
      <c r="B19071" s="1" t="str">
        <f>"90248"</f>
        <v>90248</v>
      </c>
      <c r="C19071" s="2">
        <v>8.3468872974662596E-4</v>
      </c>
      <c r="D19071" s="2">
        <v>4.3051394029597397E-3</v>
      </c>
      <c r="E19071" s="2">
        <v>9.6542484322401198E-4</v>
      </c>
      <c r="F19071" s="2">
        <v>1.1980956901166599E-3</v>
      </c>
    </row>
    <row r="19072" spans="1:6" x14ac:dyDescent="0.25">
      <c r="A19072" s="1" t="str">
        <f t="shared" si="713"/>
        <v>31080</v>
      </c>
      <c r="B19072" s="1" t="str">
        <f>"90249"</f>
        <v>90249</v>
      </c>
      <c r="C19072" s="2">
        <v>2.0076029906719501E-3</v>
      </c>
      <c r="D19072" s="2">
        <v>3.13664819275535E-3</v>
      </c>
      <c r="E19072" s="2">
        <v>2.2095000056292901E-3</v>
      </c>
      <c r="F19072" s="2">
        <v>2.13529952141395E-3</v>
      </c>
    </row>
    <row r="19073" spans="1:6" x14ac:dyDescent="0.25">
      <c r="A19073" s="1" t="str">
        <f t="shared" si="713"/>
        <v>31080</v>
      </c>
      <c r="B19073" s="1" t="str">
        <f>"90296"</f>
        <v>90296</v>
      </c>
      <c r="C19073" s="2">
        <v>1.58437210475453E-4</v>
      </c>
      <c r="D19073" s="2">
        <v>1.07710083622192E-4</v>
      </c>
      <c r="E19073" s="2">
        <v>5.6292993773994796E-6</v>
      </c>
      <c r="F19073" s="2">
        <v>1.4415947583480701E-4</v>
      </c>
    </row>
    <row r="19074" spans="1:6" x14ac:dyDescent="0.25">
      <c r="A19074" s="1" t="str">
        <f t="shared" si="713"/>
        <v>31080</v>
      </c>
      <c r="B19074" s="1" t="str">
        <f>"90010"</f>
        <v>90010</v>
      </c>
      <c r="C19074" s="2">
        <v>5.8705575972138905E-4</v>
      </c>
      <c r="D19074" s="2">
        <v>7.0909138384609802E-3</v>
      </c>
      <c r="E19074" s="2">
        <v>1.2581484108487801E-3</v>
      </c>
      <c r="F19074" s="2">
        <v>1.29342156160835E-3</v>
      </c>
    </row>
    <row r="19075" spans="1:6" x14ac:dyDescent="0.25">
      <c r="A19075" s="1" t="str">
        <f t="shared" si="713"/>
        <v>31080</v>
      </c>
      <c r="B19075" s="1" t="str">
        <f>"90014"</f>
        <v>90014</v>
      </c>
      <c r="C19075" s="2">
        <v>1.12841615269356E-3</v>
      </c>
      <c r="D19075" s="2">
        <v>1.26020797837964E-2</v>
      </c>
      <c r="E19075" s="2">
        <v>1.1174159264137899E-3</v>
      </c>
      <c r="F19075" s="2">
        <v>2.3035413226782401E-3</v>
      </c>
    </row>
    <row r="19076" spans="1:6" x14ac:dyDescent="0.25">
      <c r="A19076" s="1" t="str">
        <f t="shared" si="713"/>
        <v>31080</v>
      </c>
      <c r="B19076" s="1" t="str">
        <f>"91402"</f>
        <v>91402</v>
      </c>
      <c r="C19076" s="2">
        <v>3.8515806506261899E-3</v>
      </c>
      <c r="D19076" s="2">
        <v>2.6421609906716499E-3</v>
      </c>
      <c r="E19076" s="2">
        <v>3.47046306616678E-3</v>
      </c>
      <c r="F19076" s="2">
        <v>3.7049988719771798E-3</v>
      </c>
    </row>
    <row r="19077" spans="1:6" x14ac:dyDescent="0.25">
      <c r="A19077" s="1" t="str">
        <f t="shared" si="713"/>
        <v>31080</v>
      </c>
      <c r="B19077" s="1" t="str">
        <f>"91601"</f>
        <v>91601</v>
      </c>
      <c r="C19077" s="2">
        <v>3.7981031035135698E-3</v>
      </c>
      <c r="D19077" s="2">
        <v>3.07952920901631E-3</v>
      </c>
      <c r="E19077" s="2">
        <v>5.6771484221073802E-3</v>
      </c>
      <c r="F19077" s="2">
        <v>3.8361137548710198E-3</v>
      </c>
    </row>
    <row r="19078" spans="1:6" x14ac:dyDescent="0.25">
      <c r="A19078" s="1" t="str">
        <f t="shared" si="713"/>
        <v>31080</v>
      </c>
      <c r="B19078" s="1" t="str">
        <f>"91401"</f>
        <v>91401</v>
      </c>
      <c r="C19078" s="2">
        <v>3.0540069349204099E-3</v>
      </c>
      <c r="D19078" s="2">
        <v>2.89348451912343E-3</v>
      </c>
      <c r="E19078" s="2">
        <v>4.72861147701557E-3</v>
      </c>
      <c r="F19078" s="2">
        <v>3.1370573639319301E-3</v>
      </c>
    </row>
    <row r="19079" spans="1:6" x14ac:dyDescent="0.25">
      <c r="A19079" s="1" t="str">
        <f t="shared" si="713"/>
        <v>31080</v>
      </c>
      <c r="B19079" s="1" t="str">
        <f>"91507"</f>
        <v>91507</v>
      </c>
      <c r="C19079" s="2">
        <v>7.0039623270634903E-5</v>
      </c>
      <c r="D19079" s="2">
        <v>1.6972498025315101E-4</v>
      </c>
      <c r="E19079" s="2">
        <v>2.8146496886997398E-6</v>
      </c>
      <c r="F19079" s="2">
        <v>7.6260697193355394E-5</v>
      </c>
    </row>
    <row r="19080" spans="1:6" x14ac:dyDescent="0.25">
      <c r="A19080" s="1" t="str">
        <f t="shared" si="713"/>
        <v>31080</v>
      </c>
      <c r="B19080" s="1" t="str">
        <f>"91504"</f>
        <v>91504</v>
      </c>
      <c r="C19080" s="2">
        <v>1.9780706139082699E-3</v>
      </c>
      <c r="D19080" s="2">
        <v>1.32679239370973E-3</v>
      </c>
      <c r="E19080" s="2">
        <v>1.9786987311559202E-3</v>
      </c>
      <c r="F19080" s="2">
        <v>1.91136734259399E-3</v>
      </c>
    </row>
    <row r="19081" spans="1:6" x14ac:dyDescent="0.25">
      <c r="A19081" s="1" t="str">
        <f t="shared" si="713"/>
        <v>31080</v>
      </c>
      <c r="B19081" s="1" t="str">
        <f>"91342"</f>
        <v>91342</v>
      </c>
      <c r="C19081" s="2">
        <v>5.0352702382085498E-3</v>
      </c>
      <c r="D19081" s="2">
        <v>2.4283727943912401E-3</v>
      </c>
      <c r="E19081" s="2">
        <v>2.6148095608020598E-3</v>
      </c>
      <c r="F19081" s="2">
        <v>4.6243081975734001E-3</v>
      </c>
    </row>
    <row r="19082" spans="1:6" x14ac:dyDescent="0.25">
      <c r="A19082" s="1" t="str">
        <f t="shared" si="713"/>
        <v>31080</v>
      </c>
      <c r="B19082" s="1" t="str">
        <f>"91330"</f>
        <v>91330</v>
      </c>
      <c r="C19082" s="2">
        <v>2.0054080167233E-4</v>
      </c>
      <c r="D19082" s="2">
        <v>1.1423796747808201E-5</v>
      </c>
      <c r="E19082" s="2">
        <v>5.6292993773994796E-6</v>
      </c>
      <c r="F19082" s="2">
        <v>1.6957970823259301E-4</v>
      </c>
    </row>
    <row r="19083" spans="1:6" x14ac:dyDescent="0.25">
      <c r="A19083" s="1" t="str">
        <f t="shared" si="713"/>
        <v>31080</v>
      </c>
      <c r="B19083" s="1" t="str">
        <f>"91340"</f>
        <v>91340</v>
      </c>
      <c r="C19083" s="2">
        <v>1.6609966498711199E-3</v>
      </c>
      <c r="D19083" s="2">
        <v>2.6715364680231601E-3</v>
      </c>
      <c r="E19083" s="2">
        <v>2.0152891771090102E-3</v>
      </c>
      <c r="F19083" s="2">
        <v>1.7856040875733599E-3</v>
      </c>
    </row>
    <row r="19084" spans="1:6" x14ac:dyDescent="0.25">
      <c r="A19084" s="1" t="str">
        <f t="shared" si="713"/>
        <v>31080</v>
      </c>
      <c r="B19084" s="1" t="str">
        <f>"92707"</f>
        <v>92707</v>
      </c>
      <c r="C19084" s="2">
        <v>2.7930045781170199E-3</v>
      </c>
      <c r="D19084" s="2">
        <v>2.83799750634836E-3</v>
      </c>
      <c r="E19084" s="2">
        <v>4.0530955517276302E-3</v>
      </c>
      <c r="F19084" s="2">
        <v>2.8724862609497202E-3</v>
      </c>
    </row>
    <row r="19085" spans="1:6" x14ac:dyDescent="0.25">
      <c r="A19085" s="1" t="str">
        <f t="shared" si="713"/>
        <v>31080</v>
      </c>
      <c r="B19085" s="1" t="str">
        <f>"91750"</f>
        <v>91750</v>
      </c>
      <c r="C19085" s="2">
        <v>2.85566110719674E-3</v>
      </c>
      <c r="D19085" s="2">
        <v>2.3647259267963101E-3</v>
      </c>
      <c r="E19085" s="2">
        <v>6.1922293151394302E-4</v>
      </c>
      <c r="F19085" s="2">
        <v>2.6724691691882001E-3</v>
      </c>
    </row>
    <row r="19086" spans="1:6" x14ac:dyDescent="0.25">
      <c r="A19086" s="1" t="str">
        <f t="shared" si="713"/>
        <v>31080</v>
      </c>
      <c r="B19086" s="1" t="str">
        <f>"91711"</f>
        <v>91711</v>
      </c>
      <c r="C19086" s="2">
        <v>2.7385293155731999E-3</v>
      </c>
      <c r="D19086" s="2">
        <v>3.1545998733590501E-3</v>
      </c>
      <c r="E19086" s="2">
        <v>1.6071649722475499E-3</v>
      </c>
      <c r="F19086" s="2">
        <v>2.7139442852056402E-3</v>
      </c>
    </row>
    <row r="19087" spans="1:6" x14ac:dyDescent="0.25">
      <c r="A19087" s="1" t="str">
        <f t="shared" si="713"/>
        <v>31080</v>
      </c>
      <c r="B19087" s="1" t="str">
        <f>"91722"</f>
        <v>91722</v>
      </c>
      <c r="C19087" s="2">
        <v>2.4322306781930699E-3</v>
      </c>
      <c r="D19087" s="2">
        <v>1.6678743251800001E-3</v>
      </c>
      <c r="E19087" s="2">
        <v>1.1258598754798901E-3</v>
      </c>
      <c r="F19087" s="2">
        <v>2.2762814681990301E-3</v>
      </c>
    </row>
    <row r="19088" spans="1:6" x14ac:dyDescent="0.25">
      <c r="A19088" s="1" t="str">
        <f t="shared" si="713"/>
        <v>31080</v>
      </c>
      <c r="B19088" s="1" t="str">
        <f>"92614"</f>
        <v>92614</v>
      </c>
      <c r="C19088" s="2">
        <v>2.41287499882768E-3</v>
      </c>
      <c r="D19088" s="2">
        <v>5.12765276880193E-3</v>
      </c>
      <c r="E19088" s="2">
        <v>1.4045101946611701E-3</v>
      </c>
      <c r="F19088" s="2">
        <v>2.6311612915418002E-3</v>
      </c>
    </row>
    <row r="19089" spans="1:6" x14ac:dyDescent="0.25">
      <c r="A19089" s="1" t="str">
        <f t="shared" si="713"/>
        <v>31080</v>
      </c>
      <c r="B19089" s="1" t="str">
        <f>"92624"</f>
        <v>92624</v>
      </c>
      <c r="C19089" s="2">
        <v>7.8440387201386198E-4</v>
      </c>
      <c r="D19089" s="2">
        <v>7.9313788849068702E-4</v>
      </c>
      <c r="E19089" s="2">
        <v>7.6839936501503004E-4</v>
      </c>
      <c r="F19089" s="2">
        <v>7.8434796016850202E-4</v>
      </c>
    </row>
    <row r="19090" spans="1:6" x14ac:dyDescent="0.25">
      <c r="A19090" s="1" t="str">
        <f t="shared" si="713"/>
        <v>31080</v>
      </c>
      <c r="B19090" s="1" t="str">
        <f>"91776"</f>
        <v>91776</v>
      </c>
      <c r="C19090" s="2">
        <v>2.4583708224906599E-3</v>
      </c>
      <c r="D19090" s="2">
        <v>3.6539829883346698E-3</v>
      </c>
      <c r="E19090" s="2">
        <v>6.1866000157620301E-3</v>
      </c>
      <c r="F19090" s="2">
        <v>2.8024133834847701E-3</v>
      </c>
    </row>
    <row r="19091" spans="1:6" x14ac:dyDescent="0.25">
      <c r="A19091" s="1" t="str">
        <f t="shared" si="713"/>
        <v>31080</v>
      </c>
      <c r="B19091" s="1" t="str">
        <f>"92606"</f>
        <v>92606</v>
      </c>
      <c r="C19091" s="2">
        <v>1.7374216519014699E-3</v>
      </c>
      <c r="D19091" s="2">
        <v>1.69072191867562E-3</v>
      </c>
      <c r="E19091" s="2">
        <v>5.9389108431564597E-4</v>
      </c>
      <c r="F19091" s="2">
        <v>1.66469074531285E-3</v>
      </c>
    </row>
    <row r="19092" spans="1:6" x14ac:dyDescent="0.25">
      <c r="A19092" s="1" t="str">
        <f t="shared" si="713"/>
        <v>31080</v>
      </c>
      <c r="B19092" s="1" t="str">
        <f>"92617"</f>
        <v>92617</v>
      </c>
      <c r="C19092" s="2">
        <v>1.13619833305696E-3</v>
      </c>
      <c r="D19092" s="2">
        <v>2.2358002206424699E-4</v>
      </c>
      <c r="E19092" s="2">
        <v>3.8560700735186401E-4</v>
      </c>
      <c r="F19092" s="2">
        <v>9.9807859835514289E-4</v>
      </c>
    </row>
    <row r="19093" spans="1:6" x14ac:dyDescent="0.25">
      <c r="A19093" s="1" t="str">
        <f t="shared" si="713"/>
        <v>31080</v>
      </c>
      <c r="B19093" s="1" t="str">
        <f>"92623"</f>
        <v>92623</v>
      </c>
      <c r="C19093" s="2">
        <v>4.4338473762777902E-4</v>
      </c>
      <c r="D19093" s="2">
        <v>9.4001527524822199E-4</v>
      </c>
      <c r="E19093" s="2">
        <v>8.4439490660992304E-6</v>
      </c>
      <c r="F19093" s="2">
        <v>4.6843467727760601E-4</v>
      </c>
    </row>
    <row r="19094" spans="1:6" x14ac:dyDescent="0.25">
      <c r="A19094" s="1" t="str">
        <f t="shared" si="713"/>
        <v>31080</v>
      </c>
      <c r="B19094" s="1" t="str">
        <f>"91501"</f>
        <v>91501</v>
      </c>
      <c r="C19094" s="2">
        <v>1.753584641887E-3</v>
      </c>
      <c r="D19094" s="2">
        <v>1.46877386757534E-4</v>
      </c>
      <c r="E19094" s="2">
        <v>3.205885995429E-3</v>
      </c>
      <c r="F19094" s="2">
        <v>1.67522676268824E-3</v>
      </c>
    </row>
    <row r="19095" spans="1:6" x14ac:dyDescent="0.25">
      <c r="A19095" s="1" t="str">
        <f t="shared" si="713"/>
        <v>31080</v>
      </c>
      <c r="B19095" s="1" t="str">
        <f>"91502"</f>
        <v>91502</v>
      </c>
      <c r="C19095" s="2">
        <v>1.0936956556875999E-3</v>
      </c>
      <c r="D19095" s="2">
        <v>3.5413769918205599E-3</v>
      </c>
      <c r="E19095" s="2">
        <v>2.4656331273009702E-3</v>
      </c>
      <c r="F19095" s="2">
        <v>1.4260415898415301E-3</v>
      </c>
    </row>
    <row r="19096" spans="1:6" x14ac:dyDescent="0.25">
      <c r="A19096" s="1" t="str">
        <f t="shared" si="713"/>
        <v>31080</v>
      </c>
      <c r="B19096" s="1" t="str">
        <f>"91617"</f>
        <v>91617</v>
      </c>
      <c r="C19096" s="2">
        <v>9.77761122581512E-5</v>
      </c>
      <c r="D19096" s="2">
        <v>2.88858860623151E-4</v>
      </c>
      <c r="E19096" s="2">
        <v>5.6292993773994796E-6</v>
      </c>
      <c r="F19096" s="2">
        <v>1.11882470224462E-4</v>
      </c>
    </row>
    <row r="19097" spans="1:6" x14ac:dyDescent="0.25">
      <c r="A19097" s="1" t="str">
        <f t="shared" si="713"/>
        <v>31080</v>
      </c>
      <c r="B19097" s="1" t="str">
        <f>"91412"</f>
        <v>91412</v>
      </c>
      <c r="C19097" s="2">
        <v>1.9555222451630199E-4</v>
      </c>
      <c r="D19097" s="2">
        <v>1.76252864109041E-4</v>
      </c>
      <c r="E19097" s="2">
        <v>5.6292993773994796E-6</v>
      </c>
      <c r="F19097" s="2">
        <v>1.82289824431485E-4</v>
      </c>
    </row>
    <row r="19098" spans="1:6" x14ac:dyDescent="0.25">
      <c r="A19098" s="1" t="str">
        <f t="shared" si="713"/>
        <v>31080</v>
      </c>
      <c r="B19098" s="1" t="str">
        <f>"91325"</f>
        <v>91325</v>
      </c>
      <c r="C19098" s="2">
        <v>2.5052634477573201E-3</v>
      </c>
      <c r="D19098" s="2">
        <v>1.23703399069123E-3</v>
      </c>
      <c r="E19098" s="2">
        <v>1.96744013240112E-3</v>
      </c>
      <c r="F19098" s="2">
        <v>2.3433440549853E-3</v>
      </c>
    </row>
    <row r="19099" spans="1:6" x14ac:dyDescent="0.25">
      <c r="A19099" s="1" t="str">
        <f t="shared" si="713"/>
        <v>31080</v>
      </c>
      <c r="B19099" s="1" t="str">
        <f>"91329"</f>
        <v>91329</v>
      </c>
      <c r="C19099" s="2">
        <v>0</v>
      </c>
      <c r="D19099" s="2">
        <v>1.6319709639726001E-6</v>
      </c>
      <c r="E19099" s="2">
        <v>8.4439490660992304E-6</v>
      </c>
      <c r="F19099" s="2">
        <v>6.6895348415224105E-7</v>
      </c>
    </row>
    <row r="19100" spans="1:6" x14ac:dyDescent="0.25">
      <c r="A19100" s="1" t="str">
        <f t="shared" si="713"/>
        <v>31080</v>
      </c>
      <c r="B19100" s="1" t="str">
        <f>"90263"</f>
        <v>90263</v>
      </c>
      <c r="C19100" s="2">
        <v>0</v>
      </c>
      <c r="D19100" s="2">
        <v>1.6319709639726001E-6</v>
      </c>
      <c r="E19100" s="2">
        <v>1.12585987547989E-5</v>
      </c>
      <c r="F19100" s="2">
        <v>8.3619185519030102E-7</v>
      </c>
    </row>
    <row r="19101" spans="1:6" x14ac:dyDescent="0.25">
      <c r="A19101" s="1" t="str">
        <f t="shared" si="713"/>
        <v>31080</v>
      </c>
      <c r="B19101" s="1" t="str">
        <f>"91222"</f>
        <v>91222</v>
      </c>
      <c r="C19101" s="2">
        <v>6.5849218459571206E-5</v>
      </c>
      <c r="D19101" s="2">
        <v>2.3826776074000001E-4</v>
      </c>
      <c r="E19101" s="2">
        <v>5.6292993773994796E-6</v>
      </c>
      <c r="F19101" s="2">
        <v>7.9939941356192807E-5</v>
      </c>
    </row>
    <row r="19102" spans="1:6" x14ac:dyDescent="0.25">
      <c r="A19102" s="1" t="str">
        <f t="shared" si="713"/>
        <v>31080</v>
      </c>
      <c r="B19102" s="1" t="str">
        <f>"91394"</f>
        <v>91394</v>
      </c>
      <c r="C19102" s="2">
        <v>1.9116227661899701E-4</v>
      </c>
      <c r="D19102" s="2">
        <v>3.8514514749753501E-4</v>
      </c>
      <c r="E19102" s="2">
        <v>5.6292993773994796E-6</v>
      </c>
      <c r="F19102" s="2">
        <v>2.0001709176151999E-4</v>
      </c>
    </row>
    <row r="19103" spans="1:6" x14ac:dyDescent="0.25">
      <c r="A19103" s="1" t="str">
        <f t="shared" si="713"/>
        <v>31080</v>
      </c>
      <c r="B19103" s="1" t="str">
        <f>"90095"</f>
        <v>90095</v>
      </c>
      <c r="C19103" s="2">
        <v>1.99543086241125E-7</v>
      </c>
      <c r="D19103" s="2">
        <v>2.77435063875343E-5</v>
      </c>
      <c r="E19103" s="2">
        <v>4.5034395019195898E-5</v>
      </c>
      <c r="F19103" s="2">
        <v>5.6861046152940398E-6</v>
      </c>
    </row>
    <row r="19104" spans="1:6" x14ac:dyDescent="0.25">
      <c r="A19104" s="1" t="str">
        <f t="shared" si="713"/>
        <v>31080</v>
      </c>
      <c r="B19104" s="1" t="str">
        <f>"90308"</f>
        <v>90308</v>
      </c>
      <c r="C19104" s="2">
        <v>1.4786142690467299E-4</v>
      </c>
      <c r="D19104" s="2">
        <v>1.45245415793562E-4</v>
      </c>
      <c r="E19104" s="2">
        <v>5.6292993773994796E-6</v>
      </c>
      <c r="F19104" s="2">
        <v>1.39142324703666E-4</v>
      </c>
    </row>
    <row r="19105" spans="1:6" x14ac:dyDescent="0.25">
      <c r="A19105" s="1" t="str">
        <f t="shared" si="713"/>
        <v>31080</v>
      </c>
      <c r="B19105" s="1" t="str">
        <f>"91522"</f>
        <v>91522</v>
      </c>
      <c r="C19105" s="2">
        <v>0</v>
      </c>
      <c r="D19105" s="2">
        <v>4.8959128919178198E-6</v>
      </c>
      <c r="E19105" s="2">
        <v>0</v>
      </c>
      <c r="F19105" s="2">
        <v>5.0171511311418002E-7</v>
      </c>
    </row>
    <row r="19106" spans="1:6" x14ac:dyDescent="0.25">
      <c r="A19106" s="1" t="str">
        <f t="shared" si="713"/>
        <v>31080</v>
      </c>
      <c r="B19106" s="1" t="str">
        <f>"91508"</f>
        <v>91508</v>
      </c>
      <c r="C19106" s="2">
        <v>3.6117298609643597E-5</v>
      </c>
      <c r="D19106" s="2">
        <v>6.5278838558904302E-5</v>
      </c>
      <c r="E19106" s="2">
        <v>8.4439490660992304E-6</v>
      </c>
      <c r="F19106" s="2">
        <v>3.7461395112525501E-5</v>
      </c>
    </row>
    <row r="19107" spans="1:6" x14ac:dyDescent="0.25">
      <c r="A19107" s="1" t="str">
        <f t="shared" si="713"/>
        <v>31080</v>
      </c>
      <c r="B19107" s="1" t="str">
        <f>"92811"</f>
        <v>92811</v>
      </c>
      <c r="C19107" s="2">
        <v>1.22120368779568E-4</v>
      </c>
      <c r="D19107" s="2">
        <v>2.6601126712753502E-4</v>
      </c>
      <c r="E19107" s="2">
        <v>8.4439490660992304E-6</v>
      </c>
      <c r="F19107" s="2">
        <v>1.3011145266760999E-4</v>
      </c>
    </row>
    <row r="19108" spans="1:6" x14ac:dyDescent="0.25">
      <c r="A19108" s="1" t="str">
        <f t="shared" si="713"/>
        <v>31080</v>
      </c>
      <c r="B19108" s="1" t="str">
        <f>"91115"</f>
        <v>91115</v>
      </c>
      <c r="C19108" s="2">
        <v>7.7622260547797594E-5</v>
      </c>
      <c r="D19108" s="2">
        <v>1.9746848664068501E-4</v>
      </c>
      <c r="E19108" s="2">
        <v>5.6292993773994796E-6</v>
      </c>
      <c r="F19108" s="2">
        <v>8.56260459714868E-5</v>
      </c>
    </row>
    <row r="19109" spans="1:6" x14ac:dyDescent="0.25">
      <c r="A19109" s="1" t="str">
        <f t="shared" si="713"/>
        <v>31080</v>
      </c>
      <c r="B19109" s="1" t="str">
        <f>"91385"</f>
        <v>91385</v>
      </c>
      <c r="C19109" s="2">
        <v>3.4920040092196799E-5</v>
      </c>
      <c r="D19109" s="2">
        <v>1.72988922181096E-4</v>
      </c>
      <c r="E19109" s="2">
        <v>2.8146496886997398E-6</v>
      </c>
      <c r="F19109" s="2">
        <v>4.71612206327329E-5</v>
      </c>
    </row>
    <row r="19110" spans="1:6" x14ac:dyDescent="0.25">
      <c r="A19110" s="1" t="str">
        <f t="shared" si="713"/>
        <v>31080</v>
      </c>
      <c r="B19110" s="1" t="str">
        <f>"92836"</f>
        <v>92836</v>
      </c>
      <c r="C19110" s="2">
        <v>1.6322624454524E-4</v>
      </c>
      <c r="D19110" s="2">
        <v>3.0844251219082298E-4</v>
      </c>
      <c r="E19110" s="2">
        <v>8.4439490660992304E-6</v>
      </c>
      <c r="F19110" s="2">
        <v>1.6891075474844E-4</v>
      </c>
    </row>
    <row r="19111" spans="1:6" x14ac:dyDescent="0.25">
      <c r="A19111" s="1" t="str">
        <f t="shared" si="713"/>
        <v>31080</v>
      </c>
      <c r="B19111" s="1" t="str">
        <f>"91221"</f>
        <v>91221</v>
      </c>
      <c r="C19111" s="2">
        <v>2.3466266941956301E-4</v>
      </c>
      <c r="D19111" s="2">
        <v>5.7445377931835805E-4</v>
      </c>
      <c r="E19111" s="2">
        <v>5.6292993773994796E-6</v>
      </c>
      <c r="F19111" s="2">
        <v>2.5587470768823197E-4</v>
      </c>
    </row>
    <row r="19112" spans="1:6" x14ac:dyDescent="0.25">
      <c r="A19112" s="1" t="str">
        <f t="shared" si="713"/>
        <v>31080</v>
      </c>
      <c r="B19112" s="1" t="str">
        <f>"90307"</f>
        <v>90307</v>
      </c>
      <c r="C19112" s="2">
        <v>6.0661098217302002E-5</v>
      </c>
      <c r="D19112" s="2">
        <v>6.8542780486849502E-5</v>
      </c>
      <c r="E19112" s="2">
        <v>5.6292993773994796E-6</v>
      </c>
      <c r="F19112" s="2">
        <v>5.81989531212449E-5</v>
      </c>
    </row>
    <row r="19113" spans="1:6" x14ac:dyDescent="0.25">
      <c r="A19113" s="1" t="str">
        <f t="shared" ref="A19113:A19176" si="714">"31080"</f>
        <v>31080</v>
      </c>
      <c r="B19113" s="1" t="str">
        <f>"91337"</f>
        <v>91337</v>
      </c>
      <c r="C19113" s="2">
        <v>2.9352787986069398E-4</v>
      </c>
      <c r="D19113" s="2">
        <v>2.82330976767261E-4</v>
      </c>
      <c r="E19113" s="2">
        <v>5.6292993773994796E-6</v>
      </c>
      <c r="F19113" s="2">
        <v>2.7527435872864699E-4</v>
      </c>
    </row>
    <row r="19114" spans="1:6" x14ac:dyDescent="0.25">
      <c r="A19114" s="1" t="str">
        <f t="shared" si="714"/>
        <v>31080</v>
      </c>
      <c r="B19114" s="1" t="str">
        <f>"92684"</f>
        <v>92684</v>
      </c>
      <c r="C19114" s="2">
        <v>3.6256978770012402E-4</v>
      </c>
      <c r="D19114" s="2">
        <v>3.55769670146028E-4</v>
      </c>
      <c r="E19114" s="2">
        <v>1.40732484434987E-5</v>
      </c>
      <c r="F19114" s="2">
        <v>3.4116627691764198E-4</v>
      </c>
    </row>
    <row r="19115" spans="1:6" x14ac:dyDescent="0.25">
      <c r="A19115" s="1" t="str">
        <f t="shared" si="714"/>
        <v>31080</v>
      </c>
      <c r="B19115" s="1" t="str">
        <f>"91495"</f>
        <v>91495</v>
      </c>
      <c r="C19115" s="2">
        <v>0</v>
      </c>
      <c r="D19115" s="2">
        <v>1.6319709639726001E-6</v>
      </c>
      <c r="E19115" s="2">
        <v>0</v>
      </c>
      <c r="F19115" s="2">
        <v>1.6723837103806E-7</v>
      </c>
    </row>
    <row r="19116" spans="1:6" x14ac:dyDescent="0.25">
      <c r="A19116" s="1" t="str">
        <f t="shared" si="714"/>
        <v>31080</v>
      </c>
      <c r="B19116" s="1" t="str">
        <f>"90639"</f>
        <v>90639</v>
      </c>
      <c r="C19116" s="2">
        <v>0</v>
      </c>
      <c r="D19116" s="2">
        <v>1.6319709639726001E-6</v>
      </c>
      <c r="E19116" s="2">
        <v>0</v>
      </c>
      <c r="F19116" s="2">
        <v>1.6723837103806E-7</v>
      </c>
    </row>
    <row r="19117" spans="1:6" x14ac:dyDescent="0.25">
      <c r="A19117" s="1" t="str">
        <f t="shared" si="714"/>
        <v>31080</v>
      </c>
      <c r="B19117" s="1" t="str">
        <f>"90844"</f>
        <v>90844</v>
      </c>
      <c r="C19117" s="2">
        <v>0</v>
      </c>
      <c r="D19117" s="2">
        <v>1.6319709639726001E-6</v>
      </c>
      <c r="E19117" s="2">
        <v>0</v>
      </c>
      <c r="F19117" s="2">
        <v>1.6723837103806E-7</v>
      </c>
    </row>
    <row r="19118" spans="1:6" x14ac:dyDescent="0.25">
      <c r="A19118" s="1" t="str">
        <f t="shared" si="714"/>
        <v>31080</v>
      </c>
      <c r="B19118" s="1" t="str">
        <f>"91182"</f>
        <v>91182</v>
      </c>
      <c r="C19118" s="2">
        <v>0</v>
      </c>
      <c r="D19118" s="2">
        <v>1.6319709639726001E-6</v>
      </c>
      <c r="E19118" s="2">
        <v>0</v>
      </c>
      <c r="F19118" s="2">
        <v>1.6723837103806E-7</v>
      </c>
    </row>
    <row r="19119" spans="1:6" x14ac:dyDescent="0.25">
      <c r="A19119" s="1" t="str">
        <f t="shared" si="714"/>
        <v>31080</v>
      </c>
      <c r="B19119" s="1" t="str">
        <f>"92704"</f>
        <v>92704</v>
      </c>
      <c r="C19119" s="2">
        <v>4.18162491526901E-3</v>
      </c>
      <c r="D19119" s="2">
        <v>4.6658049859976802E-3</v>
      </c>
      <c r="E19119" s="2">
        <v>5.5392305873610903E-3</v>
      </c>
      <c r="F19119" s="2">
        <v>4.3119069204743E-3</v>
      </c>
    </row>
    <row r="19120" spans="1:6" x14ac:dyDescent="0.25">
      <c r="A19120" s="1" t="str">
        <f t="shared" si="714"/>
        <v>31080</v>
      </c>
      <c r="B19120" s="1" t="str">
        <f>"92657"</f>
        <v>92657</v>
      </c>
      <c r="C19120" s="2">
        <v>9.4882737507654899E-4</v>
      </c>
      <c r="D19120" s="2">
        <v>1.5340527061342499E-4</v>
      </c>
      <c r="E19120" s="2">
        <v>0</v>
      </c>
      <c r="F19120" s="2">
        <v>8.1093886116355397E-4</v>
      </c>
    </row>
    <row r="19121" spans="1:6" x14ac:dyDescent="0.25">
      <c r="A19121" s="1" t="str">
        <f t="shared" si="714"/>
        <v>31080</v>
      </c>
      <c r="B19121" s="1" t="str">
        <f>"92658"</f>
        <v>92658</v>
      </c>
      <c r="C19121" s="2">
        <v>5.5692475369897995E-4</v>
      </c>
      <c r="D19121" s="2">
        <v>1.7331531637389101E-3</v>
      </c>
      <c r="E19121" s="2">
        <v>8.4439490660992304E-6</v>
      </c>
      <c r="F19121" s="2">
        <v>6.4487115872275996E-4</v>
      </c>
    </row>
    <row r="19122" spans="1:6" x14ac:dyDescent="0.25">
      <c r="A19122" s="1" t="str">
        <f t="shared" si="714"/>
        <v>31080</v>
      </c>
      <c r="B19122" s="1" t="str">
        <f>"92690"</f>
        <v>92690</v>
      </c>
      <c r="C19122" s="2">
        <v>2.8973656122211302E-4</v>
      </c>
      <c r="D19122" s="2">
        <v>9.1390373982466104E-4</v>
      </c>
      <c r="E19122" s="2">
        <v>8.4439490660992304E-6</v>
      </c>
      <c r="F19122" s="2">
        <v>3.3698531764169099E-4</v>
      </c>
    </row>
    <row r="19123" spans="1:6" x14ac:dyDescent="0.25">
      <c r="A19123" s="1" t="str">
        <f t="shared" si="714"/>
        <v>31080</v>
      </c>
      <c r="B19123" s="1" t="str">
        <f>"91732"</f>
        <v>91732</v>
      </c>
      <c r="C19123" s="2">
        <v>3.0875301734089198E-3</v>
      </c>
      <c r="D19123" s="2">
        <v>1.9453093890553399E-3</v>
      </c>
      <c r="E19123" s="2">
        <v>3.5464586077616701E-3</v>
      </c>
      <c r="F19123" s="2">
        <v>2.9977478008572302E-3</v>
      </c>
    </row>
    <row r="19124" spans="1:6" x14ac:dyDescent="0.25">
      <c r="A19124" s="1" t="str">
        <f t="shared" si="714"/>
        <v>31080</v>
      </c>
      <c r="B19124" s="1" t="str">
        <f>"91766"</f>
        <v>91766</v>
      </c>
      <c r="C19124" s="2">
        <v>3.6087367146707401E-3</v>
      </c>
      <c r="D19124" s="2">
        <v>2.9130681706911001E-3</v>
      </c>
      <c r="E19124" s="2">
        <v>3.0933000078810099E-3</v>
      </c>
      <c r="F19124" s="2">
        <v>3.50682140229708E-3</v>
      </c>
    </row>
    <row r="19125" spans="1:6" x14ac:dyDescent="0.25">
      <c r="A19125" s="1" t="str">
        <f t="shared" si="714"/>
        <v>31080</v>
      </c>
      <c r="B19125" s="1" t="str">
        <f>"91792"</f>
        <v>91792</v>
      </c>
      <c r="C19125" s="2">
        <v>1.89825337941182E-3</v>
      </c>
      <c r="D19125" s="2">
        <v>5.8914151799411099E-4</v>
      </c>
      <c r="E19125" s="2">
        <v>2.0237331261751101E-3</v>
      </c>
      <c r="F19125" s="2">
        <v>1.7715560644061699E-3</v>
      </c>
    </row>
    <row r="19126" spans="1:6" x14ac:dyDescent="0.25">
      <c r="A19126" s="1" t="str">
        <f t="shared" si="714"/>
        <v>31080</v>
      </c>
      <c r="B19126" s="1" t="str">
        <f>"92628"</f>
        <v>92628</v>
      </c>
      <c r="C19126" s="2">
        <v>4.24627687521114E-4</v>
      </c>
      <c r="D19126" s="2">
        <v>5.0754296979548105E-4</v>
      </c>
      <c r="E19126" s="2">
        <v>8.4439490660992304E-6</v>
      </c>
      <c r="F19126" s="2">
        <v>4.0839610207494301E-4</v>
      </c>
    </row>
    <row r="19127" spans="1:6" x14ac:dyDescent="0.25">
      <c r="A19127" s="1" t="str">
        <f t="shared" si="714"/>
        <v>31080</v>
      </c>
      <c r="B19127" s="1" t="str">
        <f>"90621"</f>
        <v>90621</v>
      </c>
      <c r="C19127" s="2">
        <v>2.45737310705945E-3</v>
      </c>
      <c r="D19127" s="2">
        <v>2.83799750634836E-3</v>
      </c>
      <c r="E19127" s="2">
        <v>3.7322254872158601E-3</v>
      </c>
      <c r="F19127" s="2">
        <v>2.5721261465653602E-3</v>
      </c>
    </row>
    <row r="19128" spans="1:6" x14ac:dyDescent="0.25">
      <c r="A19128" s="1" t="str">
        <f t="shared" si="714"/>
        <v>31080</v>
      </c>
      <c r="B19128" s="1" t="str">
        <f>"90608"</f>
        <v>90608</v>
      </c>
      <c r="C19128" s="2">
        <v>1.3648747098892901E-4</v>
      </c>
      <c r="D19128" s="2">
        <v>3.9656894424534302E-4</v>
      </c>
      <c r="E19128" s="2">
        <v>5.6292993773994796E-6</v>
      </c>
      <c r="F19128" s="2">
        <v>1.55364446694357E-4</v>
      </c>
    </row>
    <row r="19129" spans="1:6" x14ac:dyDescent="0.25">
      <c r="A19129" s="1" t="str">
        <f t="shared" si="714"/>
        <v>31080</v>
      </c>
      <c r="B19129" s="1" t="str">
        <f>"92801"</f>
        <v>92801</v>
      </c>
      <c r="C19129" s="2">
        <v>3.9561412278165398E-3</v>
      </c>
      <c r="D19129" s="2">
        <v>4.4911840928526098E-3</v>
      </c>
      <c r="E19129" s="2">
        <v>5.8882471487598604E-3</v>
      </c>
      <c r="F19129" s="2">
        <v>4.1257706135089398E-3</v>
      </c>
    </row>
    <row r="19130" spans="1:6" x14ac:dyDescent="0.25">
      <c r="A19130" s="1" t="str">
        <f t="shared" si="714"/>
        <v>31080</v>
      </c>
      <c r="B19130" s="1" t="str">
        <f>"92814"</f>
        <v>92814</v>
      </c>
      <c r="C19130" s="2">
        <v>1.4726279764595E-4</v>
      </c>
      <c r="D19130" s="2">
        <v>1.6646103832520601E-4</v>
      </c>
      <c r="E19130" s="2">
        <v>8.4439490660992304E-6</v>
      </c>
      <c r="F19130" s="2">
        <v>1.4098194678508399E-4</v>
      </c>
    </row>
    <row r="19131" spans="1:6" x14ac:dyDescent="0.25">
      <c r="A19131" s="1" t="str">
        <f t="shared" si="714"/>
        <v>31080</v>
      </c>
      <c r="B19131" s="1" t="str">
        <f>"92821"</f>
        <v>92821</v>
      </c>
      <c r="C19131" s="2">
        <v>3.0482201854194202E-3</v>
      </c>
      <c r="D19131" s="2">
        <v>4.9530318756568596E-3</v>
      </c>
      <c r="E19131" s="2">
        <v>2.68236115333085E-3</v>
      </c>
      <c r="F19131" s="2">
        <v>3.2216799796771899E-3</v>
      </c>
    </row>
    <row r="19132" spans="1:6" x14ac:dyDescent="0.25">
      <c r="A19132" s="1" t="str">
        <f t="shared" si="714"/>
        <v>31080</v>
      </c>
      <c r="B19132" s="1" t="str">
        <f>"92845"</f>
        <v>92845</v>
      </c>
      <c r="C19132" s="2">
        <v>1.14857000440391E-3</v>
      </c>
      <c r="D19132" s="2">
        <v>6.2341290823753602E-4</v>
      </c>
      <c r="E19132" s="2">
        <v>4.9256369552245496E-4</v>
      </c>
      <c r="F19132" s="2">
        <v>1.05577583636327E-3</v>
      </c>
    </row>
    <row r="19133" spans="1:6" x14ac:dyDescent="0.25">
      <c r="A19133" s="1" t="str">
        <f t="shared" si="714"/>
        <v>31080</v>
      </c>
      <c r="B19133" s="1" t="str">
        <f>"90056"</f>
        <v>90056</v>
      </c>
      <c r="C19133" s="2">
        <v>9.74568433201654E-4</v>
      </c>
      <c r="D19133" s="2">
        <v>8.0945759813041398E-4</v>
      </c>
      <c r="E19133" s="2">
        <v>4.2782675268236101E-4</v>
      </c>
      <c r="F19133" s="2">
        <v>9.2516266858254901E-4</v>
      </c>
    </row>
    <row r="19134" spans="1:6" x14ac:dyDescent="0.25">
      <c r="A19134" s="1" t="str">
        <f t="shared" si="714"/>
        <v>31080</v>
      </c>
      <c r="B19134" s="1" t="str">
        <f>"90057"</f>
        <v>90057</v>
      </c>
      <c r="C19134" s="2">
        <v>3.4662629510945802E-3</v>
      </c>
      <c r="D19134" s="2">
        <v>3.2410943344495999E-3</v>
      </c>
      <c r="E19134" s="2">
        <v>3.65622994562096E-3</v>
      </c>
      <c r="F19134" s="2">
        <v>3.4544757921621699E-3</v>
      </c>
    </row>
    <row r="19135" spans="1:6" x14ac:dyDescent="0.25">
      <c r="A19135" s="1" t="str">
        <f t="shared" si="714"/>
        <v>31080</v>
      </c>
      <c r="B19135" s="1" t="str">
        <f>"90067"</f>
        <v>90067</v>
      </c>
      <c r="C19135" s="2">
        <v>5.6789962344224105E-4</v>
      </c>
      <c r="D19135" s="2">
        <v>2.9310198512947998E-3</v>
      </c>
      <c r="E19135" s="2">
        <v>5.9389108431564597E-4</v>
      </c>
      <c r="F19135" s="2">
        <v>8.1160781464770595E-4</v>
      </c>
    </row>
    <row r="19136" spans="1:6" x14ac:dyDescent="0.25">
      <c r="A19136" s="1" t="str">
        <f t="shared" si="714"/>
        <v>31080</v>
      </c>
      <c r="B19136" s="1" t="str">
        <f>"90093"</f>
        <v>90093</v>
      </c>
      <c r="C19136" s="2">
        <v>2.24086885848783E-4</v>
      </c>
      <c r="D19136" s="2">
        <v>3.1007448315479501E-4</v>
      </c>
      <c r="E19136" s="2">
        <v>5.6292993773994796E-6</v>
      </c>
      <c r="F19136" s="2">
        <v>2.19918457915049E-4</v>
      </c>
    </row>
    <row r="19137" spans="1:6" x14ac:dyDescent="0.25">
      <c r="A19137" s="1" t="str">
        <f t="shared" si="714"/>
        <v>31080</v>
      </c>
      <c r="B19137" s="1" t="str">
        <f>"90049"</f>
        <v>90049</v>
      </c>
      <c r="C19137" s="2">
        <v>3.9479599612806497E-3</v>
      </c>
      <c r="D19137" s="2">
        <v>2.4283727943912401E-3</v>
      </c>
      <c r="E19137" s="2">
        <v>3.9095484176039398E-3</v>
      </c>
      <c r="F19137" s="2">
        <v>3.7899559644645202E-3</v>
      </c>
    </row>
    <row r="19138" spans="1:6" x14ac:dyDescent="0.25">
      <c r="A19138" s="1" t="str">
        <f t="shared" si="714"/>
        <v>31080</v>
      </c>
      <c r="B19138" s="1" t="str">
        <f>"90094"</f>
        <v>90094</v>
      </c>
      <c r="C19138" s="2">
        <v>1.33394553152192E-3</v>
      </c>
      <c r="D19138" s="2">
        <v>3.5087375725410998E-4</v>
      </c>
      <c r="E19138" s="2">
        <v>7.2617961968453402E-4</v>
      </c>
      <c r="F19138" s="2">
        <v>1.19709225989043E-3</v>
      </c>
    </row>
    <row r="19139" spans="1:6" x14ac:dyDescent="0.25">
      <c r="A19139" s="1" t="str">
        <f t="shared" si="714"/>
        <v>31080</v>
      </c>
      <c r="B19139" s="1" t="str">
        <f>"90062"</f>
        <v>90062</v>
      </c>
      <c r="C19139" s="2">
        <v>2.1105672231723702E-3</v>
      </c>
      <c r="D19139" s="2">
        <v>9.5796695585192103E-4</v>
      </c>
      <c r="E19139" s="2">
        <v>5.8826178493824599E-4</v>
      </c>
      <c r="F19139" s="2">
        <v>1.9020019938158501E-3</v>
      </c>
    </row>
    <row r="19140" spans="1:6" x14ac:dyDescent="0.25">
      <c r="A19140" s="1" t="str">
        <f t="shared" si="714"/>
        <v>31080</v>
      </c>
      <c r="B19140" s="1" t="str">
        <f>"90036"</f>
        <v>90036</v>
      </c>
      <c r="C19140" s="2">
        <v>4.5290294284148101E-3</v>
      </c>
      <c r="D19140" s="2">
        <v>4.2904516642839801E-3</v>
      </c>
      <c r="E19140" s="2">
        <v>4.1290910933225204E-3</v>
      </c>
      <c r="F19140" s="2">
        <v>4.4808176752227404E-3</v>
      </c>
    </row>
    <row r="19141" spans="1:6" x14ac:dyDescent="0.25">
      <c r="A19141" s="1" t="str">
        <f t="shared" si="714"/>
        <v>31080</v>
      </c>
      <c r="B19141" s="1" t="str">
        <f>"90023"</f>
        <v>90023</v>
      </c>
      <c r="C19141" s="2">
        <v>2.4132740850001601E-3</v>
      </c>
      <c r="D19141" s="2">
        <v>3.4695702694057598E-3</v>
      </c>
      <c r="E19141" s="2">
        <v>1.7338242082390401E-3</v>
      </c>
      <c r="F19141" s="2">
        <v>2.4811484727206598E-3</v>
      </c>
    </row>
    <row r="19142" spans="1:6" x14ac:dyDescent="0.25">
      <c r="A19142" s="1" t="str">
        <f t="shared" si="714"/>
        <v>31080</v>
      </c>
      <c r="B19142" s="1" t="str">
        <f>"90041"</f>
        <v>90041</v>
      </c>
      <c r="C19142" s="2">
        <v>2.2827729065984701E-3</v>
      </c>
      <c r="D19142" s="2">
        <v>2.3712538106522001E-3</v>
      </c>
      <c r="E19142" s="2">
        <v>1.3397732518210699E-3</v>
      </c>
      <c r="F19142" s="2">
        <v>2.23580978240782E-3</v>
      </c>
    </row>
    <row r="19143" spans="1:6" x14ac:dyDescent="0.25">
      <c r="A19143" s="1" t="str">
        <f t="shared" si="714"/>
        <v>31080</v>
      </c>
      <c r="B19143" s="1" t="str">
        <f>"91105"</f>
        <v>91105</v>
      </c>
      <c r="C19143" s="2">
        <v>1.32277111869241E-3</v>
      </c>
      <c r="D19143" s="2">
        <v>2.59809777464439E-3</v>
      </c>
      <c r="E19143" s="2">
        <v>1.5733891759831501E-3</v>
      </c>
      <c r="F19143" s="2">
        <v>1.46835289771416E-3</v>
      </c>
    </row>
    <row r="19144" spans="1:6" x14ac:dyDescent="0.25">
      <c r="A19144" s="1" t="str">
        <f t="shared" si="714"/>
        <v>31080</v>
      </c>
      <c r="B19144" s="1" t="str">
        <f>"91106"</f>
        <v>91106</v>
      </c>
      <c r="C19144" s="2">
        <v>2.3631887703536398E-3</v>
      </c>
      <c r="D19144" s="2">
        <v>1.9191978536317799E-3</v>
      </c>
      <c r="E19144" s="2">
        <v>4.1375350423886199E-3</v>
      </c>
      <c r="F19144" s="2">
        <v>2.4231167579704502E-3</v>
      </c>
    </row>
    <row r="19145" spans="1:6" x14ac:dyDescent="0.25">
      <c r="A19145" s="1" t="str">
        <f t="shared" si="714"/>
        <v>31080</v>
      </c>
      <c r="B19145" s="1" t="str">
        <f>"91302"</f>
        <v>91302</v>
      </c>
      <c r="C19145" s="2">
        <v>1.9688916319411799E-3</v>
      </c>
      <c r="D19145" s="2">
        <v>2.0252759662899998E-3</v>
      </c>
      <c r="E19145" s="2">
        <v>1.6071649722475499E-3</v>
      </c>
      <c r="F19145" s="2">
        <v>1.9531769353535E-3</v>
      </c>
    </row>
    <row r="19146" spans="1:6" x14ac:dyDescent="0.25">
      <c r="A19146" s="1" t="str">
        <f t="shared" si="714"/>
        <v>31080</v>
      </c>
      <c r="B19146" s="1" t="str">
        <f>"91311"</f>
        <v>91311</v>
      </c>
      <c r="C19146" s="2">
        <v>2.8229360410531902E-3</v>
      </c>
      <c r="D19146" s="2">
        <v>5.1864037235049504E-3</v>
      </c>
      <c r="E19146" s="2">
        <v>2.8681280327850301E-3</v>
      </c>
      <c r="F19146" s="2">
        <v>3.0678206783221699E-3</v>
      </c>
    </row>
    <row r="19147" spans="1:6" x14ac:dyDescent="0.25">
      <c r="A19147" s="1" t="str">
        <f t="shared" si="714"/>
        <v>31080</v>
      </c>
      <c r="B19147" s="1" t="str">
        <f>"91313"</f>
        <v>91313</v>
      </c>
      <c r="C19147" s="2">
        <v>2.8135575159998598E-4</v>
      </c>
      <c r="D19147" s="2">
        <v>4.9938311497561795E-4</v>
      </c>
      <c r="E19147" s="2">
        <v>5.6292993773994796E-6</v>
      </c>
      <c r="F19147" s="2">
        <v>2.8731552144338701E-4</v>
      </c>
    </row>
    <row r="19148" spans="1:6" x14ac:dyDescent="0.25">
      <c r="A19148" s="1" t="str">
        <f t="shared" si="714"/>
        <v>31080</v>
      </c>
      <c r="B19148" s="1" t="str">
        <f>"91109"</f>
        <v>91109</v>
      </c>
      <c r="C19148" s="2">
        <v>4.6852716649416101E-4</v>
      </c>
      <c r="D19148" s="2">
        <v>1.05262127176233E-3</v>
      </c>
      <c r="E19148" s="2">
        <v>5.6292993773994796E-6</v>
      </c>
      <c r="F19148" s="2">
        <v>5.0087892125898995E-4</v>
      </c>
    </row>
    <row r="19149" spans="1:6" x14ac:dyDescent="0.25">
      <c r="A19149" s="1" t="str">
        <f t="shared" si="714"/>
        <v>31080</v>
      </c>
      <c r="B19149" s="1" t="str">
        <f>"90404"</f>
        <v>90404</v>
      </c>
      <c r="C19149" s="2">
        <v>2.22610267010599E-3</v>
      </c>
      <c r="D19149" s="2">
        <v>3.6719346689383699E-3</v>
      </c>
      <c r="E19149" s="2">
        <v>8.4580223145427295E-3</v>
      </c>
      <c r="F19149" s="2">
        <v>2.7445489071056001E-3</v>
      </c>
    </row>
    <row r="19150" spans="1:6" x14ac:dyDescent="0.25">
      <c r="A19150" s="1" t="str">
        <f t="shared" si="714"/>
        <v>31080</v>
      </c>
      <c r="B19150" s="1" t="str">
        <f>"90505"</f>
        <v>90505</v>
      </c>
      <c r="C19150" s="2">
        <v>3.0324562816063699E-3</v>
      </c>
      <c r="D19150" s="2">
        <v>5.7657534157152203E-3</v>
      </c>
      <c r="E19150" s="2">
        <v>4.3824095653054998E-3</v>
      </c>
      <c r="F19150" s="2">
        <v>3.3927648332491198E-3</v>
      </c>
    </row>
    <row r="19151" spans="1:6" x14ac:dyDescent="0.25">
      <c r="A19151" s="1" t="str">
        <f t="shared" si="714"/>
        <v>31080</v>
      </c>
      <c r="B19151" s="1" t="str">
        <f>"90712"</f>
        <v>90712</v>
      </c>
      <c r="C19151" s="2">
        <v>2.2049511029644301E-3</v>
      </c>
      <c r="D19151" s="2">
        <v>1.57322000926959E-3</v>
      </c>
      <c r="E19151" s="2">
        <v>4.3627070174846001E-4</v>
      </c>
      <c r="F19151" s="2">
        <v>2.0351237371621501E-3</v>
      </c>
    </row>
    <row r="19152" spans="1:6" x14ac:dyDescent="0.25">
      <c r="A19152" s="1" t="str">
        <f t="shared" si="714"/>
        <v>31080</v>
      </c>
      <c r="B19152" s="1" t="str">
        <f>"90716"</f>
        <v>90716</v>
      </c>
      <c r="C19152" s="2">
        <v>7.2773363552138296E-4</v>
      </c>
      <c r="D19152" s="2">
        <v>7.6213044017520799E-4</v>
      </c>
      <c r="E19152" s="2">
        <v>1.0526789835737E-3</v>
      </c>
      <c r="F19152" s="2">
        <v>7.5056580921881405E-4</v>
      </c>
    </row>
    <row r="19153" spans="1:6" x14ac:dyDescent="0.25">
      <c r="A19153" s="1" t="str">
        <f t="shared" si="714"/>
        <v>31080</v>
      </c>
      <c r="B19153" s="1" t="str">
        <f>"90805"</f>
        <v>90805</v>
      </c>
      <c r="C19153" s="2">
        <v>5.8809338376984302E-3</v>
      </c>
      <c r="D19153" s="2">
        <v>2.9049083158712401E-3</v>
      </c>
      <c r="E19153" s="2">
        <v>5.4294592495017996E-3</v>
      </c>
      <c r="F19153" s="2">
        <v>5.5491363894138697E-3</v>
      </c>
    </row>
    <row r="19154" spans="1:6" x14ac:dyDescent="0.25">
      <c r="A19154" s="1" t="str">
        <f t="shared" si="714"/>
        <v>31080</v>
      </c>
      <c r="B19154" s="1" t="str">
        <f>"90745"</f>
        <v>90745</v>
      </c>
      <c r="C19154" s="2">
        <v>3.25355002116154E-3</v>
      </c>
      <c r="D19154" s="2">
        <v>2.29128723341754E-3</v>
      </c>
      <c r="E19154" s="2">
        <v>1.37073439839677E-3</v>
      </c>
      <c r="F19154" s="2">
        <v>3.0430693994085399E-3</v>
      </c>
    </row>
    <row r="19155" spans="1:6" x14ac:dyDescent="0.25">
      <c r="A19155" s="1" t="str">
        <f t="shared" si="714"/>
        <v>31080</v>
      </c>
      <c r="B19155" s="1" t="str">
        <f>"90018"</f>
        <v>90018</v>
      </c>
      <c r="C19155" s="2">
        <v>3.6221061014489E-3</v>
      </c>
      <c r="D19155" s="2">
        <v>1.8212795957934301E-3</v>
      </c>
      <c r="E19155" s="2">
        <v>3.1580369507211098E-3</v>
      </c>
      <c r="F19155" s="2">
        <v>3.4099903854660401E-3</v>
      </c>
    </row>
    <row r="19156" spans="1:6" x14ac:dyDescent="0.25">
      <c r="A19156" s="1" t="str">
        <f t="shared" si="714"/>
        <v>31080</v>
      </c>
      <c r="B19156" s="1" t="str">
        <f>"91387"</f>
        <v>91387</v>
      </c>
      <c r="C19156" s="2">
        <v>3.1156657485689201E-3</v>
      </c>
      <c r="D19156" s="2">
        <v>5.1243888268739902E-4</v>
      </c>
      <c r="E19156" s="2">
        <v>4.3148579727767004E-3</v>
      </c>
      <c r="F19156" s="2">
        <v>2.9201491966955699E-3</v>
      </c>
    </row>
    <row r="19157" spans="1:6" x14ac:dyDescent="0.25">
      <c r="A19157" s="1" t="str">
        <f t="shared" si="714"/>
        <v>31080</v>
      </c>
      <c r="B19157" s="1" t="str">
        <f>"90075"</f>
        <v>90075</v>
      </c>
      <c r="C19157" s="2">
        <v>2.9532376763686501E-5</v>
      </c>
      <c r="D19157" s="2">
        <v>6.3646867594931695E-5</v>
      </c>
      <c r="E19157" s="2">
        <v>5.6292993773994796E-6</v>
      </c>
      <c r="F19157" s="2">
        <v>3.1608052126193301E-5</v>
      </c>
    </row>
    <row r="19158" spans="1:6" x14ac:dyDescent="0.25">
      <c r="A19158" s="1" t="str">
        <f t="shared" si="714"/>
        <v>31080</v>
      </c>
      <c r="B19158" s="1" t="str">
        <f>"91346"</f>
        <v>91346</v>
      </c>
      <c r="C19158" s="2">
        <v>1.7779288984084201E-4</v>
      </c>
      <c r="D19158" s="2">
        <v>2.82330976767261E-4</v>
      </c>
      <c r="E19158" s="2">
        <v>5.6292993773994796E-6</v>
      </c>
      <c r="F19158" s="2">
        <v>1.78276103526572E-4</v>
      </c>
    </row>
    <row r="19159" spans="1:6" x14ac:dyDescent="0.25">
      <c r="A19159" s="1" t="str">
        <f t="shared" si="714"/>
        <v>31080</v>
      </c>
      <c r="B19159" s="1" t="str">
        <f>"91361"</f>
        <v>91361</v>
      </c>
      <c r="C19159" s="2">
        <v>5.9902834489585703E-4</v>
      </c>
      <c r="D19159" s="2">
        <v>6.9358765968835804E-4</v>
      </c>
      <c r="E19159" s="2">
        <v>2.7020637011517499E-4</v>
      </c>
      <c r="F19159" s="2">
        <v>5.8918078116708601E-4</v>
      </c>
    </row>
    <row r="19160" spans="1:6" x14ac:dyDescent="0.25">
      <c r="A19160" s="1" t="str">
        <f t="shared" si="714"/>
        <v>31080</v>
      </c>
      <c r="B19160" s="1" t="str">
        <f>"91362"</f>
        <v>91362</v>
      </c>
      <c r="C19160" s="2">
        <v>8.2211751531343494E-5</v>
      </c>
      <c r="D19160" s="2">
        <v>1.4671418966113699E-3</v>
      </c>
      <c r="E19160" s="2">
        <v>4.0249490548406299E-4</v>
      </c>
      <c r="F19160" s="2">
        <v>2.4316459148933901E-4</v>
      </c>
    </row>
    <row r="19161" spans="1:6" x14ac:dyDescent="0.25">
      <c r="A19161" s="1" t="str">
        <f t="shared" si="714"/>
        <v>31080</v>
      </c>
      <c r="B19161" s="1" t="str">
        <f>"91364"</f>
        <v>91364</v>
      </c>
      <c r="C19161" s="2">
        <v>2.17801278632188E-3</v>
      </c>
      <c r="D19161" s="2">
        <v>3.6115517432713799E-3</v>
      </c>
      <c r="E19161" s="2">
        <v>1.0442350345076E-3</v>
      </c>
      <c r="F19161" s="2">
        <v>2.2575507706427702E-3</v>
      </c>
    </row>
    <row r="19162" spans="1:6" x14ac:dyDescent="0.25">
      <c r="A19162" s="1" t="str">
        <f t="shared" si="714"/>
        <v>31080</v>
      </c>
      <c r="B19162" s="1" t="str">
        <f>"92656"</f>
        <v>92656</v>
      </c>
      <c r="C19162" s="2">
        <v>4.10559899941114E-3</v>
      </c>
      <c r="D19162" s="2">
        <v>1.6939858606035601E-3</v>
      </c>
      <c r="E19162" s="2">
        <v>1.1258598754798901E-3</v>
      </c>
      <c r="F19162" s="2">
        <v>3.6814182616608199E-3</v>
      </c>
    </row>
    <row r="19163" spans="1:6" x14ac:dyDescent="0.25">
      <c r="A19163" s="1" t="str">
        <f t="shared" si="714"/>
        <v>31080</v>
      </c>
      <c r="B19163" s="1" t="str">
        <f>"92673"</f>
        <v>92673</v>
      </c>
      <c r="C19163" s="2">
        <v>2.3069176200336398E-3</v>
      </c>
      <c r="D19163" s="2">
        <v>2.0611793274974001E-3</v>
      </c>
      <c r="E19163" s="2">
        <v>8.0780446065682602E-4</v>
      </c>
      <c r="F19163" s="2">
        <v>2.1926622826799998E-3</v>
      </c>
    </row>
    <row r="19164" spans="1:6" x14ac:dyDescent="0.25">
      <c r="A19164" s="1" t="str">
        <f t="shared" si="714"/>
        <v>31080</v>
      </c>
      <c r="B19164" s="1" t="str">
        <f>"92691"</f>
        <v>92691</v>
      </c>
      <c r="C19164" s="2">
        <v>3.5249286184494701E-3</v>
      </c>
      <c r="D19164" s="2">
        <v>3.1464400185391901E-3</v>
      </c>
      <c r="E19164" s="2">
        <v>1.96744013240112E-3</v>
      </c>
      <c r="F19164" s="2">
        <v>3.3936010251043101E-3</v>
      </c>
    </row>
    <row r="19165" spans="1:6" x14ac:dyDescent="0.25">
      <c r="A19165" s="1" t="str">
        <f t="shared" si="714"/>
        <v>31080</v>
      </c>
      <c r="B19165" s="1" t="str">
        <f>"92655"</f>
        <v>92655</v>
      </c>
      <c r="C19165" s="2">
        <v>6.6487756335542798E-4</v>
      </c>
      <c r="D19165" s="2">
        <v>3.0844251219082298E-4</v>
      </c>
      <c r="E19165" s="2">
        <v>6.7833057497663802E-4</v>
      </c>
      <c r="F19165" s="2">
        <v>6.2915075184518201E-4</v>
      </c>
    </row>
    <row r="19166" spans="1:6" x14ac:dyDescent="0.25">
      <c r="A19166" s="1" t="str">
        <f t="shared" si="714"/>
        <v>31080</v>
      </c>
      <c r="B19166" s="1" t="str">
        <f>"92662"</f>
        <v>92662</v>
      </c>
      <c r="C19166" s="2">
        <v>6.5290497818096098E-4</v>
      </c>
      <c r="D19166" s="2">
        <v>4.5205595702041201E-4</v>
      </c>
      <c r="E19166" s="2">
        <v>2.8990891793607298E-4</v>
      </c>
      <c r="F19166" s="2">
        <v>6.1075453103099601E-4</v>
      </c>
    </row>
    <row r="19167" spans="1:6" x14ac:dyDescent="0.25">
      <c r="A19167" s="1" t="str">
        <f t="shared" si="714"/>
        <v>31080</v>
      </c>
      <c r="B19167" s="1" t="str">
        <f>"92676"</f>
        <v>92676</v>
      </c>
      <c r="C19167" s="2">
        <v>1.8038694996197699E-4</v>
      </c>
      <c r="D19167" s="2">
        <v>1.3218964808178101E-4</v>
      </c>
      <c r="E19167" s="2">
        <v>1.40732484434987E-5</v>
      </c>
      <c r="F19167" s="2">
        <v>1.6556598732767901E-4</v>
      </c>
    </row>
    <row r="19168" spans="1:6" x14ac:dyDescent="0.25">
      <c r="A19168" s="1" t="str">
        <f t="shared" si="714"/>
        <v>31080</v>
      </c>
      <c r="B19168" s="1" t="str">
        <f>"91724"</f>
        <v>91724</v>
      </c>
      <c r="C19168" s="2">
        <v>1.7649585978027501E-3</v>
      </c>
      <c r="D19168" s="2">
        <v>1.30231282925014E-3</v>
      </c>
      <c r="E19168" s="2">
        <v>1.5733891759831501E-3</v>
      </c>
      <c r="F19168" s="2">
        <v>1.70616586133029E-3</v>
      </c>
    </row>
    <row r="19169" spans="1:6" x14ac:dyDescent="0.25">
      <c r="A19169" s="1" t="str">
        <f t="shared" si="714"/>
        <v>31080</v>
      </c>
      <c r="B19169" s="1" t="str">
        <f>"91731"</f>
        <v>91731</v>
      </c>
      <c r="C19169" s="2">
        <v>1.6093149905346701E-3</v>
      </c>
      <c r="D19169" s="2">
        <v>3.5479048756764499E-3</v>
      </c>
      <c r="E19169" s="2">
        <v>2.1757242093649E-3</v>
      </c>
      <c r="F19169" s="2">
        <v>1.8416289418711101E-3</v>
      </c>
    </row>
    <row r="19170" spans="1:6" x14ac:dyDescent="0.25">
      <c r="A19170" s="1" t="str">
        <f t="shared" si="714"/>
        <v>31080</v>
      </c>
      <c r="B19170" s="1" t="str">
        <f>"91768"</f>
        <v>91768</v>
      </c>
      <c r="C19170" s="2">
        <v>1.7025016118092701E-3</v>
      </c>
      <c r="D19170" s="2">
        <v>1.8245435377213699E-3</v>
      </c>
      <c r="E19170" s="2">
        <v>1.2046700667634901E-3</v>
      </c>
      <c r="F19170" s="2">
        <v>1.68542830332157E-3</v>
      </c>
    </row>
    <row r="19171" spans="1:6" x14ac:dyDescent="0.25">
      <c r="A19171" s="1" t="str">
        <f t="shared" si="714"/>
        <v>31080</v>
      </c>
      <c r="B19171" s="1" t="str">
        <f>"91770"</f>
        <v>91770</v>
      </c>
      <c r="C19171" s="2">
        <v>3.8122706626366899E-3</v>
      </c>
      <c r="D19171" s="2">
        <v>3.2851575504768602E-3</v>
      </c>
      <c r="E19171" s="2">
        <v>2.4346719807252699E-3</v>
      </c>
      <c r="F19171" s="2">
        <v>3.6764011105296702E-3</v>
      </c>
    </row>
    <row r="19172" spans="1:6" x14ac:dyDescent="0.25">
      <c r="A19172" s="1" t="str">
        <f t="shared" si="714"/>
        <v>31080</v>
      </c>
      <c r="B19172" s="1" t="str">
        <f>"90046"</f>
        <v>90046</v>
      </c>
      <c r="C19172" s="2">
        <v>6.5889127076819397E-3</v>
      </c>
      <c r="D19172" s="2">
        <v>3.4026594598828802E-3</v>
      </c>
      <c r="E19172" s="2">
        <v>8.3538802760608401E-3</v>
      </c>
      <c r="F19172" s="2">
        <v>6.3672665005320601E-3</v>
      </c>
    </row>
    <row r="19173" spans="1:6" x14ac:dyDescent="0.25">
      <c r="A19173" s="1" t="str">
        <f t="shared" si="714"/>
        <v>31080</v>
      </c>
      <c r="B19173" s="1" t="str">
        <f>"91791"</f>
        <v>91791</v>
      </c>
      <c r="C19173" s="2">
        <v>2.4164667743800201E-3</v>
      </c>
      <c r="D19173" s="2">
        <v>1.5601642415578099E-3</v>
      </c>
      <c r="E19173" s="2">
        <v>7.0366242217493604E-4</v>
      </c>
      <c r="F19173" s="2">
        <v>2.2269461487428102E-3</v>
      </c>
    </row>
    <row r="19174" spans="1:6" x14ac:dyDescent="0.25">
      <c r="A19174" s="1" t="str">
        <f t="shared" si="714"/>
        <v>31080</v>
      </c>
      <c r="B19174" s="1" t="str">
        <f>"92602"</f>
        <v>92602</v>
      </c>
      <c r="C19174" s="2">
        <v>2.4338270228830001E-3</v>
      </c>
      <c r="D19174" s="2">
        <v>2.05138750171356E-3</v>
      </c>
      <c r="E19174" s="2">
        <v>1.4917643350108599E-4</v>
      </c>
      <c r="F19174" s="2">
        <v>2.2588886776110798E-3</v>
      </c>
    </row>
    <row r="19175" spans="1:6" x14ac:dyDescent="0.25">
      <c r="A19175" s="1" t="str">
        <f t="shared" si="714"/>
        <v>31080</v>
      </c>
      <c r="B19175" s="1" t="str">
        <f>"92610"</f>
        <v>92610</v>
      </c>
      <c r="C19175" s="2">
        <v>9.3046941114236599E-4</v>
      </c>
      <c r="D19175" s="2">
        <v>6.4136458884123495E-4</v>
      </c>
      <c r="E19175" s="2">
        <v>2.02654777586381E-4</v>
      </c>
      <c r="F19175" s="2">
        <v>8.5759836668317297E-4</v>
      </c>
    </row>
    <row r="19176" spans="1:6" x14ac:dyDescent="0.25">
      <c r="A19176" s="1" t="str">
        <f t="shared" si="714"/>
        <v>31080</v>
      </c>
      <c r="B19176" s="1" t="str">
        <f>"92612"</f>
        <v>92612</v>
      </c>
      <c r="C19176" s="2">
        <v>3.13861320348665E-3</v>
      </c>
      <c r="D19176" s="2">
        <v>3.3781798954233E-3</v>
      </c>
      <c r="E19176" s="2">
        <v>9.4009299602571396E-4</v>
      </c>
      <c r="F19176" s="2">
        <v>3.0325333820331399E-3</v>
      </c>
    </row>
    <row r="19177" spans="1:6" x14ac:dyDescent="0.25">
      <c r="A19177" s="1" t="str">
        <f t="shared" ref="A19177:A19221" si="715">"31080"</f>
        <v>31080</v>
      </c>
      <c r="B19177" s="1" t="str">
        <f>"92625"</f>
        <v>92625</v>
      </c>
      <c r="C19177" s="2">
        <v>1.45965767585382E-3</v>
      </c>
      <c r="D19177" s="2">
        <v>1.08852463296973E-3</v>
      </c>
      <c r="E19177" s="2">
        <v>6.8677452404273696E-4</v>
      </c>
      <c r="F19177" s="2">
        <v>1.37570284015908E-3</v>
      </c>
    </row>
    <row r="19178" spans="1:6" x14ac:dyDescent="0.25">
      <c r="A19178" s="1" t="str">
        <f t="shared" si="715"/>
        <v>31080</v>
      </c>
      <c r="B19178" s="1" t="str">
        <f>"92630"</f>
        <v>92630</v>
      </c>
      <c r="C19178" s="2">
        <v>4.6760926829745196E-3</v>
      </c>
      <c r="D19178" s="2">
        <v>4.0685036131837098E-3</v>
      </c>
      <c r="E19178" s="2">
        <v>2.2263879037614899E-3</v>
      </c>
      <c r="F19178" s="2">
        <v>4.4682747973948901E-3</v>
      </c>
    </row>
    <row r="19179" spans="1:6" x14ac:dyDescent="0.25">
      <c r="A19179" s="1" t="str">
        <f t="shared" si="715"/>
        <v>31080</v>
      </c>
      <c r="B19179" s="1" t="str">
        <f>"91788"</f>
        <v>91788</v>
      </c>
      <c r="C19179" s="2">
        <v>1.9714856920623099E-4</v>
      </c>
      <c r="D19179" s="2">
        <v>7.6702635306712596E-4</v>
      </c>
      <c r="E19179" s="2">
        <v>8.4439490660992304E-6</v>
      </c>
      <c r="F19179" s="2">
        <v>2.4433526008660599E-4</v>
      </c>
    </row>
    <row r="19180" spans="1:6" x14ac:dyDescent="0.25">
      <c r="A19180" s="1" t="str">
        <f t="shared" si="715"/>
        <v>31080</v>
      </c>
      <c r="B19180" s="1" t="str">
        <f>"92609"</f>
        <v>92609</v>
      </c>
      <c r="C19180" s="2">
        <v>1.83779182428076E-4</v>
      </c>
      <c r="D19180" s="2">
        <v>5.9240545992205699E-4</v>
      </c>
      <c r="E19180" s="2">
        <v>2.8146496886997398E-6</v>
      </c>
      <c r="F19180" s="2">
        <v>2.1490130678390699E-4</v>
      </c>
    </row>
    <row r="19181" spans="1:6" x14ac:dyDescent="0.25">
      <c r="A19181" s="1" t="str">
        <f t="shared" si="715"/>
        <v>31080</v>
      </c>
      <c r="B19181" s="1" t="str">
        <f>"90638"</f>
        <v>90638</v>
      </c>
      <c r="C19181" s="2">
        <v>3.0396398327110501E-3</v>
      </c>
      <c r="D19181" s="2">
        <v>1.8261755086853399E-3</v>
      </c>
      <c r="E19181" s="2">
        <v>1.71412166041814E-3</v>
      </c>
      <c r="F19181" s="2">
        <v>2.83653001117654E-3</v>
      </c>
    </row>
    <row r="19182" spans="1:6" x14ac:dyDescent="0.25">
      <c r="A19182" s="1" t="str">
        <f t="shared" si="715"/>
        <v>31080</v>
      </c>
      <c r="B19182" s="1" t="str">
        <f>"90601"</f>
        <v>90601</v>
      </c>
      <c r="C19182" s="2">
        <v>2.2849678805471202E-3</v>
      </c>
      <c r="D19182" s="2">
        <v>1.6091233704769901E-3</v>
      </c>
      <c r="E19182" s="2">
        <v>2.6176242104907601E-3</v>
      </c>
      <c r="F19182" s="2">
        <v>2.2354753056657499E-3</v>
      </c>
    </row>
    <row r="19183" spans="1:6" x14ac:dyDescent="0.25">
      <c r="A19183" s="1" t="str">
        <f t="shared" si="715"/>
        <v>31080</v>
      </c>
      <c r="B19183" s="1" t="str">
        <f>"91702"</f>
        <v>91702</v>
      </c>
      <c r="C19183" s="2">
        <v>3.8076811716531399E-3</v>
      </c>
      <c r="D19183" s="2">
        <v>2.9147001416550702E-3</v>
      </c>
      <c r="E19183" s="2">
        <v>3.8251089269429502E-3</v>
      </c>
      <c r="F19183" s="2">
        <v>3.71720727306296E-3</v>
      </c>
    </row>
    <row r="19184" spans="1:6" x14ac:dyDescent="0.25">
      <c r="A19184" s="1" t="str">
        <f t="shared" si="715"/>
        <v>31080</v>
      </c>
      <c r="B19184" s="1" t="str">
        <f>"92817"</f>
        <v>92817</v>
      </c>
      <c r="C19184" s="2">
        <v>1.57639038130488E-4</v>
      </c>
      <c r="D19184" s="2">
        <v>8.5841672704959195E-4</v>
      </c>
      <c r="E19184" s="2">
        <v>8.4439490660992304E-6</v>
      </c>
      <c r="F19184" s="2">
        <v>2.2058741139920101E-4</v>
      </c>
    </row>
    <row r="19185" spans="1:6" x14ac:dyDescent="0.25">
      <c r="A19185" s="1" t="str">
        <f t="shared" si="715"/>
        <v>31080</v>
      </c>
      <c r="B19185" s="1" t="str">
        <f>"92857"</f>
        <v>92857</v>
      </c>
      <c r="C19185" s="2">
        <v>1.2231991186580901E-4</v>
      </c>
      <c r="D19185" s="2">
        <v>2.13788196280411E-4</v>
      </c>
      <c r="E19185" s="2">
        <v>8.4439490660992304E-6</v>
      </c>
      <c r="F19185" s="2">
        <v>1.2492706316543099E-4</v>
      </c>
    </row>
    <row r="19186" spans="1:6" x14ac:dyDescent="0.25">
      <c r="A19186" s="1" t="str">
        <f t="shared" si="715"/>
        <v>31080</v>
      </c>
      <c r="B19186" s="1" t="str">
        <f>"92728"</f>
        <v>92728</v>
      </c>
      <c r="C19186" s="2">
        <v>2.2548368745247099E-4</v>
      </c>
      <c r="D19186" s="2">
        <v>6.7563597908465998E-4</v>
      </c>
      <c r="E19186" s="2">
        <v>8.4439490660992304E-6</v>
      </c>
      <c r="F19186" s="2">
        <v>2.58717759995879E-4</v>
      </c>
    </row>
    <row r="19187" spans="1:6" x14ac:dyDescent="0.25">
      <c r="A19187" s="1" t="str">
        <f t="shared" si="715"/>
        <v>31080</v>
      </c>
      <c r="B19187" s="1" t="str">
        <f>"90242"</f>
        <v>90242</v>
      </c>
      <c r="C19187" s="2">
        <v>2.647338125161E-3</v>
      </c>
      <c r="D19187" s="2">
        <v>1.5193649674584901E-3</v>
      </c>
      <c r="E19187" s="2">
        <v>2.01810382679771E-3</v>
      </c>
      <c r="F19187" s="2">
        <v>2.4943603040326599E-3</v>
      </c>
    </row>
    <row r="19188" spans="1:6" x14ac:dyDescent="0.25">
      <c r="A19188" s="1" t="str">
        <f t="shared" si="715"/>
        <v>31080</v>
      </c>
      <c r="B19188" s="1" t="str">
        <f>"90058"</f>
        <v>90058</v>
      </c>
      <c r="C19188" s="2">
        <v>2.4424073755913698E-4</v>
      </c>
      <c r="D19188" s="2">
        <v>3.9297860812460396E-3</v>
      </c>
      <c r="E19188" s="2">
        <v>2.9553821731347302E-4</v>
      </c>
      <c r="F19188" s="2">
        <v>6.2496979256923102E-4</v>
      </c>
    </row>
    <row r="19189" spans="1:6" x14ac:dyDescent="0.25">
      <c r="A19189" s="1" t="str">
        <f t="shared" si="715"/>
        <v>31080</v>
      </c>
      <c r="B19189" s="1" t="str">
        <f>"90222"</f>
        <v>90222</v>
      </c>
      <c r="C19189" s="2">
        <v>1.54805526305864E-3</v>
      </c>
      <c r="D19189" s="2">
        <v>1.0118219976630099E-3</v>
      </c>
      <c r="E19189" s="2">
        <v>9.0068790038391798E-4</v>
      </c>
      <c r="F19189" s="2">
        <v>1.4546393512890399E-3</v>
      </c>
    </row>
    <row r="19190" spans="1:6" x14ac:dyDescent="0.25">
      <c r="A19190" s="1" t="str">
        <f t="shared" si="715"/>
        <v>31080</v>
      </c>
      <c r="B19190" s="1" t="str">
        <f>"90061"</f>
        <v>90061</v>
      </c>
      <c r="C19190" s="2">
        <v>1.78890376815168E-3</v>
      </c>
      <c r="D19190" s="2">
        <v>1.4393983902238399E-3</v>
      </c>
      <c r="E19190" s="2">
        <v>1.57057452629445E-3</v>
      </c>
      <c r="F19190" s="2">
        <v>1.7401152506510099E-3</v>
      </c>
    </row>
    <row r="19191" spans="1:6" x14ac:dyDescent="0.25">
      <c r="A19191" s="1" t="str">
        <f t="shared" si="715"/>
        <v>31080</v>
      </c>
      <c r="B19191" s="1" t="str">
        <f>"90074"</f>
        <v>90074</v>
      </c>
      <c r="C19191" s="2">
        <v>0</v>
      </c>
      <c r="D19191" s="2">
        <v>0</v>
      </c>
      <c r="E19191" s="2">
        <v>2.8146496886997398E-6</v>
      </c>
      <c r="F19191" s="2">
        <v>1.6723837103806E-7</v>
      </c>
    </row>
    <row r="19192" spans="1:6" x14ac:dyDescent="0.25">
      <c r="A19192" s="1" t="str">
        <f t="shared" si="715"/>
        <v>31080</v>
      </c>
      <c r="B19192" s="1" t="str">
        <f>"90025"</f>
        <v>90025</v>
      </c>
      <c r="C19192" s="2">
        <v>5.21545764508428E-3</v>
      </c>
      <c r="D19192" s="2">
        <v>6.3108317176820703E-3</v>
      </c>
      <c r="E19192" s="2">
        <v>1.1388072640479099E-2</v>
      </c>
      <c r="F19192" s="2">
        <v>5.6944665338459497E-3</v>
      </c>
    </row>
    <row r="19193" spans="1:6" x14ac:dyDescent="0.25">
      <c r="A19193" s="1" t="str">
        <f t="shared" si="715"/>
        <v>31080</v>
      </c>
      <c r="B19193" s="1" t="str">
        <f>"90027"</f>
        <v>90027</v>
      </c>
      <c r="C19193" s="2">
        <v>4.8618672962650097E-3</v>
      </c>
      <c r="D19193" s="2">
        <v>2.4577482717427399E-3</v>
      </c>
      <c r="E19193" s="2">
        <v>6.79737899820988E-3</v>
      </c>
      <c r="F19193" s="2">
        <v>4.73050456318257E-3</v>
      </c>
    </row>
    <row r="19194" spans="1:6" x14ac:dyDescent="0.25">
      <c r="A19194" s="1" t="str">
        <f t="shared" si="715"/>
        <v>31080</v>
      </c>
      <c r="B19194" s="1" t="str">
        <f>"90037"</f>
        <v>90037</v>
      </c>
      <c r="C19194" s="2">
        <v>3.5784061655620902E-3</v>
      </c>
      <c r="D19194" s="2">
        <v>2.2145845981108299E-3</v>
      </c>
      <c r="E19194" s="2">
        <v>2.5866630639150602E-3</v>
      </c>
      <c r="F19194" s="2">
        <v>3.3797202403081602E-3</v>
      </c>
    </row>
    <row r="19195" spans="1:6" x14ac:dyDescent="0.25">
      <c r="A19195" s="1" t="str">
        <f t="shared" si="715"/>
        <v>31080</v>
      </c>
      <c r="B19195" s="1" t="str">
        <f>"90042"</f>
        <v>90042</v>
      </c>
      <c r="C19195" s="2">
        <v>4.37438353657794E-3</v>
      </c>
      <c r="D19195" s="2">
        <v>1.7347851347028799E-3</v>
      </c>
      <c r="E19195" s="2">
        <v>4.1600522398982202E-3</v>
      </c>
      <c r="F19195" s="2">
        <v>4.0911522707040597E-3</v>
      </c>
    </row>
    <row r="19196" spans="1:6" x14ac:dyDescent="0.25">
      <c r="A19196" s="1" t="str">
        <f t="shared" si="715"/>
        <v>31080</v>
      </c>
      <c r="B19196" s="1" t="str">
        <f>"91202"</f>
        <v>91202</v>
      </c>
      <c r="C19196" s="2">
        <v>1.84657172007537E-3</v>
      </c>
      <c r="D19196" s="2">
        <v>9.2695950753644103E-4</v>
      </c>
      <c r="E19196" s="2">
        <v>2.69080510239695E-3</v>
      </c>
      <c r="F19196" s="2">
        <v>1.80249516304821E-3</v>
      </c>
    </row>
    <row r="19197" spans="1:6" x14ac:dyDescent="0.25">
      <c r="A19197" s="1" t="str">
        <f t="shared" si="715"/>
        <v>31080</v>
      </c>
      <c r="B19197" s="1" t="str">
        <f>"91204"</f>
        <v>91204</v>
      </c>
      <c r="C19197" s="2">
        <v>1.30880310265553E-3</v>
      </c>
      <c r="D19197" s="2">
        <v>3.01261839949343E-3</v>
      </c>
      <c r="E19197" s="2">
        <v>3.1073732563245099E-3</v>
      </c>
      <c r="F19197" s="2">
        <v>1.59026967020091E-3</v>
      </c>
    </row>
    <row r="19198" spans="1:6" x14ac:dyDescent="0.25">
      <c r="A19198" s="1" t="str">
        <f t="shared" si="715"/>
        <v>31080</v>
      </c>
      <c r="B19198" s="1" t="str">
        <f>"91214"</f>
        <v>91214</v>
      </c>
      <c r="C19198" s="2">
        <v>2.1951734917386098E-3</v>
      </c>
      <c r="D19198" s="2">
        <v>1.2843611486464399E-3</v>
      </c>
      <c r="E19198" s="2">
        <v>1.4045101946611701E-3</v>
      </c>
      <c r="F19198" s="2">
        <v>2.05485786494464E-3</v>
      </c>
    </row>
    <row r="19199" spans="1:6" x14ac:dyDescent="0.25">
      <c r="A19199" s="1" t="str">
        <f t="shared" si="715"/>
        <v>31080</v>
      </c>
      <c r="B19199" s="1" t="str">
        <f>"91303"</f>
        <v>91303</v>
      </c>
      <c r="C19199" s="2">
        <v>2.00181624117096E-3</v>
      </c>
      <c r="D19199" s="2">
        <v>3.6686707270104199E-3</v>
      </c>
      <c r="E19199" s="2">
        <v>2.2207586043840898E-3</v>
      </c>
      <c r="F19199" s="2">
        <v>2.1856382710963998E-3</v>
      </c>
    </row>
    <row r="19200" spans="1:6" x14ac:dyDescent="0.25">
      <c r="A19200" s="1" t="str">
        <f t="shared" si="715"/>
        <v>31080</v>
      </c>
      <c r="B19200" s="1" t="str">
        <f>"91118"</f>
        <v>91118</v>
      </c>
      <c r="C19200" s="2">
        <v>1.0835189582893E-4</v>
      </c>
      <c r="D19200" s="2">
        <v>4.2594442159684997E-4</v>
      </c>
      <c r="E19200" s="2">
        <v>5.6292993773994796E-6</v>
      </c>
      <c r="F19200" s="2">
        <v>1.3479412705667601E-4</v>
      </c>
    </row>
    <row r="19201" spans="1:6" x14ac:dyDescent="0.25">
      <c r="A19201" s="1" t="str">
        <f t="shared" si="715"/>
        <v>31080</v>
      </c>
      <c r="B19201" s="1" t="str">
        <f>"90504"</f>
        <v>90504</v>
      </c>
      <c r="C19201" s="2">
        <v>2.6764714157522101E-3</v>
      </c>
      <c r="D19201" s="2">
        <v>1.74294498952274E-3</v>
      </c>
      <c r="E19201" s="2">
        <v>1.9336643361367201E-3</v>
      </c>
      <c r="F19201" s="2">
        <v>2.5366716119052898E-3</v>
      </c>
    </row>
    <row r="19202" spans="1:6" x14ac:dyDescent="0.25">
      <c r="A19202" s="1" t="str">
        <f t="shared" si="715"/>
        <v>31080</v>
      </c>
      <c r="B19202" s="1" t="str">
        <f>"90701"</f>
        <v>90701</v>
      </c>
      <c r="C19202" s="2">
        <v>9.3525844521215296E-4</v>
      </c>
      <c r="D19202" s="2">
        <v>1.8849264633883599E-3</v>
      </c>
      <c r="E19202" s="2">
        <v>7.6839936501503004E-4</v>
      </c>
      <c r="F19202" s="2">
        <v>1.02266263889773E-3</v>
      </c>
    </row>
    <row r="19203" spans="1:6" x14ac:dyDescent="0.25">
      <c r="A19203" s="1" t="str">
        <f t="shared" si="715"/>
        <v>31080</v>
      </c>
      <c r="B19203" s="1" t="str">
        <f>"90402"</f>
        <v>90402</v>
      </c>
      <c r="C19203" s="2">
        <v>1.2226004893993701E-3</v>
      </c>
      <c r="D19203" s="2">
        <v>2.44795644595891E-4</v>
      </c>
      <c r="E19203" s="2">
        <v>1.0189031873093001E-3</v>
      </c>
      <c r="F19203" s="2">
        <v>1.11029554532168E-3</v>
      </c>
    </row>
    <row r="19204" spans="1:6" x14ac:dyDescent="0.25">
      <c r="A19204" s="1" t="str">
        <f t="shared" si="715"/>
        <v>31080</v>
      </c>
      <c r="B19204" s="1" t="str">
        <f>"90715"</f>
        <v>90715</v>
      </c>
      <c r="C19204" s="2">
        <v>1.29343828501497E-3</v>
      </c>
      <c r="D19204" s="2">
        <v>3.19866308938631E-4</v>
      </c>
      <c r="E19204" s="2">
        <v>1.0104592382431999E-3</v>
      </c>
      <c r="F19204" s="2">
        <v>1.1768564169948299E-3</v>
      </c>
    </row>
    <row r="19205" spans="1:6" x14ac:dyDescent="0.25">
      <c r="A19205" s="1" t="str">
        <f t="shared" si="715"/>
        <v>31080</v>
      </c>
      <c r="B19205" s="1" t="str">
        <f>"90721"</f>
        <v>90721</v>
      </c>
      <c r="C19205" s="2">
        <v>1.19725851744675E-5</v>
      </c>
      <c r="D19205" s="2">
        <v>5.05910998831508E-5</v>
      </c>
      <c r="E19205" s="2">
        <v>5.6292993773994796E-6</v>
      </c>
      <c r="F19205" s="2">
        <v>1.5553168506539598E-5</v>
      </c>
    </row>
    <row r="19206" spans="1:6" x14ac:dyDescent="0.25">
      <c r="A19206" s="1" t="str">
        <f t="shared" si="715"/>
        <v>31080</v>
      </c>
      <c r="B19206" s="1" t="str">
        <f>"90802"</f>
        <v>90802</v>
      </c>
      <c r="C19206" s="2">
        <v>4.8598718654026003E-3</v>
      </c>
      <c r="D19206" s="2">
        <v>3.9053065167864499E-3</v>
      </c>
      <c r="E19206" s="2">
        <v>6.4933968318303097E-3</v>
      </c>
      <c r="F19206" s="2">
        <v>4.8591108705108403E-3</v>
      </c>
    </row>
    <row r="19207" spans="1:6" x14ac:dyDescent="0.25">
      <c r="A19207" s="1" t="str">
        <f t="shared" si="715"/>
        <v>31080</v>
      </c>
      <c r="B19207" s="1" t="str">
        <f>"90806"</f>
        <v>90806</v>
      </c>
      <c r="C19207" s="2">
        <v>2.7503023576614201E-3</v>
      </c>
      <c r="D19207" s="2">
        <v>2.5785141230767199E-3</v>
      </c>
      <c r="E19207" s="2">
        <v>4.4387025590794903E-3</v>
      </c>
      <c r="F19207" s="2">
        <v>2.83301800538474E-3</v>
      </c>
    </row>
    <row r="19208" spans="1:6" x14ac:dyDescent="0.25">
      <c r="A19208" s="1" t="str">
        <f t="shared" si="715"/>
        <v>31080</v>
      </c>
      <c r="B19208" s="1" t="str">
        <f>"90813"</f>
        <v>90813</v>
      </c>
      <c r="C19208" s="2">
        <v>3.7085082577913001E-3</v>
      </c>
      <c r="D19208" s="2">
        <v>3.20192703131425E-3</v>
      </c>
      <c r="E19208" s="2">
        <v>7.3293477893741302E-3</v>
      </c>
      <c r="F19208" s="2">
        <v>3.8717355279021298E-3</v>
      </c>
    </row>
    <row r="19209" spans="1:6" x14ac:dyDescent="0.25">
      <c r="A19209" s="1" t="str">
        <f t="shared" si="715"/>
        <v>31080</v>
      </c>
      <c r="B19209" s="1" t="str">
        <f>"90853"</f>
        <v>90853</v>
      </c>
      <c r="C19209" s="2">
        <v>1.86971871807934E-4</v>
      </c>
      <c r="D19209" s="2">
        <v>4.5858384087630298E-4</v>
      </c>
      <c r="E19209" s="2">
        <v>1.12585987547989E-5</v>
      </c>
      <c r="F19209" s="2">
        <v>2.0436528940850901E-4</v>
      </c>
    </row>
    <row r="19210" spans="1:6" x14ac:dyDescent="0.25">
      <c r="A19210" s="1" t="str">
        <f t="shared" si="715"/>
        <v>31080</v>
      </c>
      <c r="B19210" s="1" t="str">
        <f>"90262"</f>
        <v>90262</v>
      </c>
      <c r="C19210" s="2">
        <v>3.1376154880554501E-3</v>
      </c>
      <c r="D19210" s="2">
        <v>2.4006292880036999E-3</v>
      </c>
      <c r="E19210" s="2">
        <v>4.8102363179878599E-3</v>
      </c>
      <c r="F19210" s="2">
        <v>3.16147416610349E-3</v>
      </c>
    </row>
    <row r="19211" spans="1:6" x14ac:dyDescent="0.25">
      <c r="A19211" s="1" t="str">
        <f t="shared" si="715"/>
        <v>31080</v>
      </c>
      <c r="B19211" s="1" t="str">
        <f>"90274"</f>
        <v>90274</v>
      </c>
      <c r="C19211" s="2">
        <v>2.4384165138665401E-3</v>
      </c>
      <c r="D19211" s="2">
        <v>3.4124512856667198E-3</v>
      </c>
      <c r="E19211" s="2">
        <v>8.1624840972292496E-4</v>
      </c>
      <c r="F19211" s="2">
        <v>2.4418474555267101E-3</v>
      </c>
    </row>
    <row r="19212" spans="1:6" x14ac:dyDescent="0.25">
      <c r="A19212" s="1" t="str">
        <f t="shared" si="715"/>
        <v>31080</v>
      </c>
      <c r="B19212" s="1" t="str">
        <f>"90275"</f>
        <v>90275</v>
      </c>
      <c r="C19212" s="2">
        <v>3.28966731977118E-3</v>
      </c>
      <c r="D19212" s="2">
        <v>6.8542780486849505E-4</v>
      </c>
      <c r="E19212" s="2">
        <v>9.3727834633701402E-4</v>
      </c>
      <c r="F19212" s="2">
        <v>2.8830222783251202E-3</v>
      </c>
    </row>
    <row r="19213" spans="1:6" x14ac:dyDescent="0.25">
      <c r="A19213" s="1" t="str">
        <f t="shared" si="715"/>
        <v>31080</v>
      </c>
      <c r="B19213" s="1" t="str">
        <f>"90301"</f>
        <v>90301</v>
      </c>
      <c r="C19213" s="2">
        <v>2.6642992874915E-3</v>
      </c>
      <c r="D19213" s="2">
        <v>3.2737337537290501E-3</v>
      </c>
      <c r="E19213" s="2">
        <v>6.35266434739532E-3</v>
      </c>
      <c r="F19213" s="2">
        <v>2.9459039058354298E-3</v>
      </c>
    </row>
    <row r="19214" spans="1:6" x14ac:dyDescent="0.25">
      <c r="A19214" s="1" t="str">
        <f t="shared" si="715"/>
        <v>31080</v>
      </c>
      <c r="B19214" s="1" t="str">
        <f>"90267"</f>
        <v>90267</v>
      </c>
      <c r="C19214" s="2">
        <v>3.0530092194892101E-4</v>
      </c>
      <c r="D19214" s="2">
        <v>6.2341290823753602E-4</v>
      </c>
      <c r="E19214" s="2">
        <v>5.6292993773994796E-6</v>
      </c>
      <c r="F19214" s="2">
        <v>3.20094242166847E-4</v>
      </c>
    </row>
    <row r="19215" spans="1:6" x14ac:dyDescent="0.25">
      <c r="A19215" s="1" t="str">
        <f t="shared" si="715"/>
        <v>31080</v>
      </c>
      <c r="B19215" s="1" t="str">
        <f>"90002"</f>
        <v>90002</v>
      </c>
      <c r="C19215" s="2">
        <v>2.5711126662168902E-3</v>
      </c>
      <c r="D19215" s="2">
        <v>8.7636840765329099E-4</v>
      </c>
      <c r="E19215" s="2">
        <v>1.5114668828317601E-3</v>
      </c>
      <c r="F19215" s="2">
        <v>2.3344804213202802E-3</v>
      </c>
    </row>
    <row r="19216" spans="1:6" x14ac:dyDescent="0.25">
      <c r="A19216" s="1" t="str">
        <f t="shared" si="715"/>
        <v>31080</v>
      </c>
      <c r="B19216" s="1" t="str">
        <f>"90004"</f>
        <v>90004</v>
      </c>
      <c r="C19216" s="2">
        <v>5.2661415889895301E-3</v>
      </c>
      <c r="D19216" s="2">
        <v>2.8494213030961701E-3</v>
      </c>
      <c r="E19216" s="2">
        <v>7.3293477893741302E-3</v>
      </c>
      <c r="F19216" s="2">
        <v>5.1410747640810101E-3</v>
      </c>
    </row>
    <row r="19217" spans="1:6" x14ac:dyDescent="0.25">
      <c r="A19217" s="1" t="str">
        <f t="shared" si="715"/>
        <v>31080</v>
      </c>
      <c r="B19217" s="1" t="str">
        <f>"90007"</f>
        <v>90007</v>
      </c>
      <c r="C19217" s="2">
        <v>2.9995316723765899E-3</v>
      </c>
      <c r="D19217" s="2">
        <v>3.25578207312535E-3</v>
      </c>
      <c r="E19217" s="2">
        <v>3.8870312200943399E-3</v>
      </c>
      <c r="F19217" s="2">
        <v>3.0785239340686099E-3</v>
      </c>
    </row>
    <row r="19218" spans="1:6" x14ac:dyDescent="0.25">
      <c r="A19218" s="1" t="str">
        <f t="shared" si="715"/>
        <v>31080</v>
      </c>
      <c r="B19218" s="1" t="str">
        <f>"90011"</f>
        <v>90011</v>
      </c>
      <c r="C19218" s="2">
        <v>5.0693921059557804E-3</v>
      </c>
      <c r="D19218" s="2">
        <v>3.3618601857835699E-3</v>
      </c>
      <c r="E19218" s="2">
        <v>4.1122031951903197E-3</v>
      </c>
      <c r="F19218" s="2">
        <v>4.8375371206469302E-3</v>
      </c>
    </row>
    <row r="19219" spans="1:6" x14ac:dyDescent="0.25">
      <c r="A19219" s="1" t="str">
        <f t="shared" si="715"/>
        <v>31080</v>
      </c>
      <c r="B19219" s="1" t="str">
        <f>"90001"</f>
        <v>90001</v>
      </c>
      <c r="C19219" s="2">
        <v>2.79519955206568E-3</v>
      </c>
      <c r="D19219" s="2">
        <v>2.7955662612850702E-3</v>
      </c>
      <c r="E19219" s="2">
        <v>1.30599745555668E-3</v>
      </c>
      <c r="F19219" s="2">
        <v>2.7067530352510001E-3</v>
      </c>
    </row>
    <row r="19220" spans="1:6" x14ac:dyDescent="0.25">
      <c r="A19220" s="1" t="str">
        <f t="shared" si="715"/>
        <v>31080</v>
      </c>
      <c r="B19220" s="1" t="str">
        <f>"93535"</f>
        <v>93535</v>
      </c>
      <c r="C19220" s="2">
        <v>4.7321642902082798E-3</v>
      </c>
      <c r="D19220" s="2">
        <v>1.6417627897564401E-3</v>
      </c>
      <c r="E19220" s="2">
        <v>2.3868229360173802E-3</v>
      </c>
      <c r="F19220" s="2">
        <v>4.2761179090721598E-3</v>
      </c>
    </row>
    <row r="19221" spans="1:6" x14ac:dyDescent="0.25">
      <c r="A19221" s="1" t="str">
        <f t="shared" si="715"/>
        <v>31080</v>
      </c>
      <c r="B19221" s="1" t="str">
        <f>"93539"</f>
        <v>93539</v>
      </c>
      <c r="C19221" s="2">
        <v>6.7864603630606599E-4</v>
      </c>
      <c r="D19221" s="2">
        <v>1.02650973633877E-3</v>
      </c>
      <c r="E19221" s="2">
        <v>2.8146496886997398E-6</v>
      </c>
      <c r="F19221" s="2">
        <v>6.7413787365441997E-4</v>
      </c>
    </row>
    <row r="19222" spans="1:6" x14ac:dyDescent="0.25">
      <c r="A19222" s="1" t="str">
        <f t="shared" ref="A19222:A19285" si="716">"31084"</f>
        <v>31084</v>
      </c>
      <c r="B19222" s="1" t="str">
        <f>"90038"</f>
        <v>90038</v>
      </c>
      <c r="C19222" s="2">
        <v>5.0942040996740101E-2</v>
      </c>
      <c r="D19222" s="2">
        <v>1.4142604596346401E-2</v>
      </c>
      <c r="E19222" s="2">
        <v>4.0068689181453898E-3</v>
      </c>
      <c r="F19222" s="2">
        <v>4.42371071809868E-2</v>
      </c>
    </row>
    <row r="19223" spans="1:6" x14ac:dyDescent="0.25">
      <c r="A19223" s="1" t="str">
        <f t="shared" si="716"/>
        <v>31084</v>
      </c>
      <c r="B19223" s="1" t="str">
        <f>"90026"</f>
        <v>90026</v>
      </c>
      <c r="C19223" s="2">
        <v>4.3096303663185797E-3</v>
      </c>
      <c r="D19223" s="2">
        <v>8.8391278727165505E-3</v>
      </c>
      <c r="E19223" s="2">
        <v>5.7240984544934103E-3</v>
      </c>
      <c r="F19223" s="2">
        <v>4.7811354036113802E-3</v>
      </c>
    </row>
    <row r="19224" spans="1:6" x14ac:dyDescent="0.25">
      <c r="A19224" s="1" t="str">
        <f t="shared" si="716"/>
        <v>31084</v>
      </c>
      <c r="B19224" s="1" t="str">
        <f>"90008"</f>
        <v>90008</v>
      </c>
      <c r="C19224" s="2">
        <v>6.1329355212995096E-3</v>
      </c>
      <c r="D19224" s="2">
        <v>5.8927519151443701E-4</v>
      </c>
      <c r="E19224" s="2">
        <v>5.7240984544934103E-4</v>
      </c>
      <c r="F19224" s="2">
        <v>5.24532330687462E-3</v>
      </c>
    </row>
    <row r="19225" spans="1:6" x14ac:dyDescent="0.25">
      <c r="A19225" s="1" t="str">
        <f t="shared" si="716"/>
        <v>31084</v>
      </c>
      <c r="B19225" s="1" t="str">
        <f>"90201"</f>
        <v>90201</v>
      </c>
      <c r="C19225" s="2">
        <v>5.5251671363058699E-4</v>
      </c>
      <c r="D19225" s="2">
        <v>0</v>
      </c>
      <c r="E19225" s="2">
        <v>1.1448196908986799E-3</v>
      </c>
      <c r="F19225" s="2">
        <v>5.5702548391588897E-4</v>
      </c>
    </row>
    <row r="19226" spans="1:6" x14ac:dyDescent="0.25">
      <c r="A19226" s="1" t="str">
        <f t="shared" si="716"/>
        <v>31084</v>
      </c>
      <c r="B19226" s="1" t="str">
        <f>"90039"</f>
        <v>90039</v>
      </c>
      <c r="C19226" s="2">
        <v>4.9726504226752801E-4</v>
      </c>
      <c r="D19226" s="2">
        <v>0</v>
      </c>
      <c r="E19226" s="2">
        <v>0</v>
      </c>
      <c r="F19226" s="2">
        <v>4.1776911293691602E-4</v>
      </c>
    </row>
    <row r="19227" spans="1:6" x14ac:dyDescent="0.25">
      <c r="A19227" s="1" t="str">
        <f t="shared" si="716"/>
        <v>31084</v>
      </c>
      <c r="B19227" s="1" t="str">
        <f>"91202"</f>
        <v>91202</v>
      </c>
      <c r="C19227" s="2">
        <v>3.3151002817835199E-4</v>
      </c>
      <c r="D19227" s="2">
        <v>0</v>
      </c>
      <c r="E19227" s="2">
        <v>5.7240984544934103E-4</v>
      </c>
      <c r="F19227" s="2">
        <v>3.2493153228426802E-4</v>
      </c>
    </row>
    <row r="19228" spans="1:6" x14ac:dyDescent="0.25">
      <c r="A19228" s="1" t="str">
        <f t="shared" si="716"/>
        <v>31084</v>
      </c>
      <c r="B19228" s="1" t="str">
        <f>"91208"</f>
        <v>91208</v>
      </c>
      <c r="C19228" s="2">
        <v>0</v>
      </c>
      <c r="D19228" s="2">
        <v>2.3571007660577398E-3</v>
      </c>
      <c r="E19228" s="2">
        <v>1.1448196908986799E-3</v>
      </c>
      <c r="F19228" s="2">
        <v>2.78512741957944E-4</v>
      </c>
    </row>
    <row r="19229" spans="1:6" x14ac:dyDescent="0.25">
      <c r="A19229" s="1" t="str">
        <f t="shared" si="716"/>
        <v>31084</v>
      </c>
      <c r="B19229" s="1" t="str">
        <f>"91304"</f>
        <v>91304</v>
      </c>
      <c r="C19229" s="2">
        <v>0</v>
      </c>
      <c r="D19229" s="2">
        <v>3.5356511490866201E-3</v>
      </c>
      <c r="E19229" s="2">
        <v>0</v>
      </c>
      <c r="F19229" s="2">
        <v>2.78512741957944E-4</v>
      </c>
    </row>
    <row r="19230" spans="1:6" x14ac:dyDescent="0.25">
      <c r="A19230" s="1" t="str">
        <f t="shared" si="716"/>
        <v>31084</v>
      </c>
      <c r="B19230" s="1" t="str">
        <f>"90713"</f>
        <v>90713</v>
      </c>
      <c r="C19230" s="2">
        <v>0</v>
      </c>
      <c r="D19230" s="2">
        <v>0</v>
      </c>
      <c r="E19230" s="2">
        <v>5.7240984544934103E-4</v>
      </c>
      <c r="F19230" s="2">
        <v>4.6418790326323999E-5</v>
      </c>
    </row>
    <row r="19231" spans="1:6" x14ac:dyDescent="0.25">
      <c r="A19231" s="1" t="str">
        <f t="shared" si="716"/>
        <v>31084</v>
      </c>
      <c r="B19231" s="1" t="str">
        <f>"90822"</f>
        <v>90822</v>
      </c>
      <c r="C19231" s="2">
        <v>0</v>
      </c>
      <c r="D19231" s="2">
        <v>0</v>
      </c>
      <c r="E19231" s="2">
        <v>5.7240984544934103E-4</v>
      </c>
      <c r="F19231" s="2">
        <v>4.6418790326323999E-5</v>
      </c>
    </row>
    <row r="19232" spans="1:6" x14ac:dyDescent="0.25">
      <c r="A19232" s="1" t="str">
        <f t="shared" si="716"/>
        <v>31084</v>
      </c>
      <c r="B19232" s="1" t="str">
        <f>"91406"</f>
        <v>91406</v>
      </c>
      <c r="C19232" s="2">
        <v>1.6575501408917599E-4</v>
      </c>
      <c r="D19232" s="2">
        <v>0</v>
      </c>
      <c r="E19232" s="2">
        <v>0</v>
      </c>
      <c r="F19232" s="2">
        <v>1.39256370978972E-4</v>
      </c>
    </row>
    <row r="19233" spans="1:6" x14ac:dyDescent="0.25">
      <c r="A19233" s="1" t="str">
        <f t="shared" si="716"/>
        <v>31084</v>
      </c>
      <c r="B19233" s="1" t="str">
        <f>"90670"</f>
        <v>90670</v>
      </c>
      <c r="C19233" s="2">
        <v>1.10503342726117E-4</v>
      </c>
      <c r="D19233" s="2">
        <v>5.8927519151443699E-3</v>
      </c>
      <c r="E19233" s="2">
        <v>4.0068689181453898E-3</v>
      </c>
      <c r="F19233" s="2">
        <v>8.8195701620015705E-4</v>
      </c>
    </row>
    <row r="19234" spans="1:6" x14ac:dyDescent="0.25">
      <c r="A19234" s="1" t="str">
        <f t="shared" si="716"/>
        <v>31084</v>
      </c>
      <c r="B19234" s="1" t="str">
        <f>"90001"</f>
        <v>90001</v>
      </c>
      <c r="C19234" s="2">
        <v>2.5415768827007001E-3</v>
      </c>
      <c r="D19234" s="2">
        <v>2.9463759575721802E-3</v>
      </c>
      <c r="E19234" s="2">
        <v>2.2896393817973598E-3</v>
      </c>
      <c r="F19234" s="2">
        <v>2.5530334679478199E-3</v>
      </c>
    </row>
    <row r="19235" spans="1:6" x14ac:dyDescent="0.25">
      <c r="A19235" s="1" t="str">
        <f t="shared" si="716"/>
        <v>31084</v>
      </c>
      <c r="B19235" s="1" t="str">
        <f>"90230"</f>
        <v>90230</v>
      </c>
      <c r="C19235" s="2">
        <v>2.21006685452234E-4</v>
      </c>
      <c r="D19235" s="2">
        <v>7.0713022981732402E-3</v>
      </c>
      <c r="E19235" s="2">
        <v>1.1448196908986799E-3</v>
      </c>
      <c r="F19235" s="2">
        <v>8.3553822587383302E-4</v>
      </c>
    </row>
    <row r="19236" spans="1:6" x14ac:dyDescent="0.25">
      <c r="A19236" s="1" t="str">
        <f t="shared" si="716"/>
        <v>31084</v>
      </c>
      <c r="B19236" s="1" t="str">
        <f>"90059"</f>
        <v>90059</v>
      </c>
      <c r="C19236" s="2">
        <v>5.5251671363058699E-4</v>
      </c>
      <c r="D19236" s="2">
        <v>5.8927519151443701E-4</v>
      </c>
      <c r="E19236" s="2">
        <v>0</v>
      </c>
      <c r="F19236" s="2">
        <v>5.1060669358956505E-4</v>
      </c>
    </row>
    <row r="19237" spans="1:6" x14ac:dyDescent="0.25">
      <c r="A19237" s="1" t="str">
        <f t="shared" si="716"/>
        <v>31084</v>
      </c>
      <c r="B19237" s="1" t="str">
        <f>"91607"</f>
        <v>91607</v>
      </c>
      <c r="C19237" s="2">
        <v>7.1827172771976296E-4</v>
      </c>
      <c r="D19237" s="2">
        <v>0</v>
      </c>
      <c r="E19237" s="2">
        <v>5.7240984544934103E-4</v>
      </c>
      <c r="F19237" s="2">
        <v>6.4986306456853702E-4</v>
      </c>
    </row>
    <row r="19238" spans="1:6" x14ac:dyDescent="0.25">
      <c r="A19238" s="1" t="str">
        <f t="shared" si="716"/>
        <v>31084</v>
      </c>
      <c r="B19238" s="1" t="str">
        <f>"90744"</f>
        <v>90744</v>
      </c>
      <c r="C19238" s="2">
        <v>5.5251671363058699E-4</v>
      </c>
      <c r="D19238" s="2">
        <v>5.30347672362993E-3</v>
      </c>
      <c r="E19238" s="2">
        <v>5.1516886090440701E-3</v>
      </c>
      <c r="F19238" s="2">
        <v>1.2997261291370699E-3</v>
      </c>
    </row>
    <row r="19239" spans="1:6" x14ac:dyDescent="0.25">
      <c r="A19239" s="1" t="str">
        <f t="shared" si="716"/>
        <v>31084</v>
      </c>
      <c r="B19239" s="1" t="str">
        <f>"90222"</f>
        <v>90222</v>
      </c>
      <c r="C19239" s="2">
        <v>3.3151002817835202E-3</v>
      </c>
      <c r="D19239" s="2">
        <v>1.1785503830288699E-3</v>
      </c>
      <c r="E19239" s="2">
        <v>4.0068689181453898E-3</v>
      </c>
      <c r="F19239" s="2">
        <v>3.2028965325163602E-3</v>
      </c>
    </row>
    <row r="19240" spans="1:6" x14ac:dyDescent="0.25">
      <c r="A19240" s="1" t="str">
        <f t="shared" si="716"/>
        <v>31084</v>
      </c>
      <c r="B19240" s="1" t="str">
        <f>"91008"</f>
        <v>91008</v>
      </c>
      <c r="C19240" s="2">
        <v>0</v>
      </c>
      <c r="D19240" s="2">
        <v>0</v>
      </c>
      <c r="E19240" s="2">
        <v>5.7240984544934103E-4</v>
      </c>
      <c r="F19240" s="2">
        <v>4.6418790326323999E-5</v>
      </c>
    </row>
    <row r="19241" spans="1:6" x14ac:dyDescent="0.25">
      <c r="A19241" s="1" t="str">
        <f t="shared" si="716"/>
        <v>31084</v>
      </c>
      <c r="B19241" s="1" t="str">
        <f>"90808"</f>
        <v>90808</v>
      </c>
      <c r="C19241" s="2">
        <v>2.09956351179623E-3</v>
      </c>
      <c r="D19241" s="2">
        <v>5.8927519151443699E-3</v>
      </c>
      <c r="E19241" s="2">
        <v>1.7172295363480201E-3</v>
      </c>
      <c r="F19241" s="2">
        <v>2.3673583066425199E-3</v>
      </c>
    </row>
    <row r="19242" spans="1:6" x14ac:dyDescent="0.25">
      <c r="A19242" s="1" t="str">
        <f t="shared" si="716"/>
        <v>31084</v>
      </c>
      <c r="B19242" s="1" t="str">
        <f>"91602"</f>
        <v>91602</v>
      </c>
      <c r="C19242" s="2">
        <v>7.7352339908282205E-4</v>
      </c>
      <c r="D19242" s="2">
        <v>0</v>
      </c>
      <c r="E19242" s="2">
        <v>5.7240984544934103E-4</v>
      </c>
      <c r="F19242" s="2">
        <v>6.9628185489486105E-4</v>
      </c>
    </row>
    <row r="19243" spans="1:6" x14ac:dyDescent="0.25">
      <c r="A19243" s="1" t="str">
        <f t="shared" si="716"/>
        <v>31084</v>
      </c>
      <c r="B19243" s="1" t="str">
        <f>"90815"</f>
        <v>90815</v>
      </c>
      <c r="C19243" s="2">
        <v>0</v>
      </c>
      <c r="D19243" s="2">
        <v>2.9463759575721802E-3</v>
      </c>
      <c r="E19243" s="2">
        <v>2.2896393817973598E-3</v>
      </c>
      <c r="F19243" s="2">
        <v>4.1776911293691602E-4</v>
      </c>
    </row>
    <row r="19244" spans="1:6" x14ac:dyDescent="0.25">
      <c r="A19244" s="1" t="str">
        <f t="shared" si="716"/>
        <v>31084</v>
      </c>
      <c r="B19244" s="1" t="str">
        <f>"90046"</f>
        <v>90046</v>
      </c>
      <c r="C19244" s="2">
        <v>5.4699154649428096E-3</v>
      </c>
      <c r="D19244" s="2">
        <v>2.9463759575721802E-3</v>
      </c>
      <c r="E19244" s="2">
        <v>3.4344590726960501E-3</v>
      </c>
      <c r="F19244" s="2">
        <v>5.1060669358956503E-3</v>
      </c>
    </row>
    <row r="19245" spans="1:6" x14ac:dyDescent="0.25">
      <c r="A19245" s="1" t="str">
        <f t="shared" si="716"/>
        <v>31084</v>
      </c>
      <c r="B19245" s="1" t="str">
        <f>"90717"</f>
        <v>90717</v>
      </c>
      <c r="C19245" s="2">
        <v>8.8402674180893903E-4</v>
      </c>
      <c r="D19245" s="2">
        <v>7.0713022981732402E-3</v>
      </c>
      <c r="E19245" s="2">
        <v>3.4344590726960501E-3</v>
      </c>
      <c r="F19245" s="2">
        <v>1.57823887109501E-3</v>
      </c>
    </row>
    <row r="19246" spans="1:6" x14ac:dyDescent="0.25">
      <c r="A19246" s="1" t="str">
        <f t="shared" si="716"/>
        <v>31084</v>
      </c>
      <c r="B19246" s="1" t="str">
        <f>"90049"</f>
        <v>90049</v>
      </c>
      <c r="C19246" s="2">
        <v>5.6909221503950403E-3</v>
      </c>
      <c r="D19246" s="2">
        <v>4.71420153211549E-3</v>
      </c>
      <c r="E19246" s="2">
        <v>0</v>
      </c>
      <c r="F19246" s="2">
        <v>5.1524857262219698E-3</v>
      </c>
    </row>
    <row r="19247" spans="1:6" x14ac:dyDescent="0.25">
      <c r="A19247" s="1" t="str">
        <f t="shared" si="716"/>
        <v>31084</v>
      </c>
      <c r="B19247" s="1" t="str">
        <f>"91748"</f>
        <v>91748</v>
      </c>
      <c r="C19247" s="2">
        <v>0</v>
      </c>
      <c r="D19247" s="2">
        <v>1.11962286387743E-2</v>
      </c>
      <c r="E19247" s="2">
        <v>1.1448196908986799E-3</v>
      </c>
      <c r="F19247" s="2">
        <v>9.7479459685280597E-4</v>
      </c>
    </row>
    <row r="19248" spans="1:6" x14ac:dyDescent="0.25">
      <c r="A19248" s="1" t="str">
        <f t="shared" si="716"/>
        <v>31084</v>
      </c>
      <c r="B19248" s="1" t="str">
        <f>"91767"</f>
        <v>91767</v>
      </c>
      <c r="C19248" s="2">
        <v>1.1050334272611701E-3</v>
      </c>
      <c r="D19248" s="2">
        <v>5.8927519151443701E-4</v>
      </c>
      <c r="E19248" s="2">
        <v>5.7240984544934103E-4</v>
      </c>
      <c r="F19248" s="2">
        <v>1.0212133871791301E-3</v>
      </c>
    </row>
    <row r="19249" spans="1:6" x14ac:dyDescent="0.25">
      <c r="A19249" s="1" t="str">
        <f t="shared" si="716"/>
        <v>31084</v>
      </c>
      <c r="B19249" s="1" t="str">
        <f>"90076"</f>
        <v>90076</v>
      </c>
      <c r="C19249" s="2">
        <v>1.30946461130449E-2</v>
      </c>
      <c r="D19249" s="2">
        <v>3.06423099587507E-2</v>
      </c>
      <c r="E19249" s="2">
        <v>1.1448196908986799E-3</v>
      </c>
      <c r="F19249" s="2">
        <v>1.3507867984960301E-2</v>
      </c>
    </row>
    <row r="19250" spans="1:6" x14ac:dyDescent="0.25">
      <c r="A19250" s="1" t="str">
        <f t="shared" si="716"/>
        <v>31084</v>
      </c>
      <c r="B19250" s="1" t="str">
        <f>"90401"</f>
        <v>90401</v>
      </c>
      <c r="C19250" s="2">
        <v>3.3151002817835199E-4</v>
      </c>
      <c r="D19250" s="2">
        <v>0</v>
      </c>
      <c r="E19250" s="2">
        <v>1.1448196908986799E-3</v>
      </c>
      <c r="F19250" s="2">
        <v>3.71350322610592E-4</v>
      </c>
    </row>
    <row r="19251" spans="1:6" x14ac:dyDescent="0.25">
      <c r="A19251" s="1" t="str">
        <f t="shared" si="716"/>
        <v>31084</v>
      </c>
      <c r="B19251" s="1" t="str">
        <f>"91505"</f>
        <v>91505</v>
      </c>
      <c r="C19251" s="2">
        <v>1.3481407812586299E-2</v>
      </c>
      <c r="D19251" s="2">
        <v>7.0713022981732402E-3</v>
      </c>
      <c r="E19251" s="2">
        <v>1.1448196908986799E-3</v>
      </c>
      <c r="F19251" s="2">
        <v>1.19760479041916E-2</v>
      </c>
    </row>
    <row r="19252" spans="1:6" x14ac:dyDescent="0.25">
      <c r="A19252" s="1" t="str">
        <f t="shared" si="716"/>
        <v>31084</v>
      </c>
      <c r="B19252" s="1" t="str">
        <f>"91326"</f>
        <v>91326</v>
      </c>
      <c r="C19252" s="2">
        <v>3.3151002817835199E-4</v>
      </c>
      <c r="D19252" s="2">
        <v>0</v>
      </c>
      <c r="E19252" s="2">
        <v>0</v>
      </c>
      <c r="F19252" s="2">
        <v>2.78512741957944E-4</v>
      </c>
    </row>
    <row r="19253" spans="1:6" x14ac:dyDescent="0.25">
      <c r="A19253" s="1" t="str">
        <f t="shared" si="716"/>
        <v>31084</v>
      </c>
      <c r="B19253" s="1" t="str">
        <f>"91510"</f>
        <v>91510</v>
      </c>
      <c r="C19253" s="2">
        <v>3.4808552958727002E-3</v>
      </c>
      <c r="D19253" s="2">
        <v>1.47318797878609E-2</v>
      </c>
      <c r="E19253" s="2">
        <v>0</v>
      </c>
      <c r="F19253" s="2">
        <v>4.0848535487165204E-3</v>
      </c>
    </row>
    <row r="19254" spans="1:6" x14ac:dyDescent="0.25">
      <c r="A19254" s="1" t="str">
        <f t="shared" si="716"/>
        <v>31084</v>
      </c>
      <c r="B19254" s="1" t="str">
        <f>"90064"</f>
        <v>90064</v>
      </c>
      <c r="C19254" s="2">
        <v>3.8234156583236603E-2</v>
      </c>
      <c r="D19254" s="2">
        <v>4.1249263406010596E-3</v>
      </c>
      <c r="E19254" s="2">
        <v>2.2896393817973598E-3</v>
      </c>
      <c r="F19254" s="2">
        <v>3.2632409599405797E-2</v>
      </c>
    </row>
    <row r="19255" spans="1:6" x14ac:dyDescent="0.25">
      <c r="A19255" s="1" t="str">
        <f t="shared" si="716"/>
        <v>31084</v>
      </c>
      <c r="B19255" s="1" t="str">
        <f>"93536"</f>
        <v>93536</v>
      </c>
      <c r="C19255" s="2">
        <v>3.4808552958727002E-3</v>
      </c>
      <c r="D19255" s="2">
        <v>0</v>
      </c>
      <c r="E19255" s="2">
        <v>5.7240984544934103E-4</v>
      </c>
      <c r="F19255" s="2">
        <v>2.9708025808847399E-3</v>
      </c>
    </row>
    <row r="19256" spans="1:6" x14ac:dyDescent="0.25">
      <c r="A19256" s="1" t="str">
        <f t="shared" si="716"/>
        <v>31084</v>
      </c>
      <c r="B19256" s="1" t="str">
        <f>"90650"</f>
        <v>90650</v>
      </c>
      <c r="C19256" s="2">
        <v>1.4365434554395201E-3</v>
      </c>
      <c r="D19256" s="2">
        <v>8.2498526812021192E-3</v>
      </c>
      <c r="E19256" s="2">
        <v>1.60274756725815E-2</v>
      </c>
      <c r="F19256" s="2">
        <v>3.1564777421900299E-3</v>
      </c>
    </row>
    <row r="19257" spans="1:6" x14ac:dyDescent="0.25">
      <c r="A19257" s="1" t="str">
        <f t="shared" si="716"/>
        <v>31084</v>
      </c>
      <c r="B19257" s="1" t="str">
        <f>"91714"</f>
        <v>91714</v>
      </c>
      <c r="C19257" s="2">
        <v>0</v>
      </c>
      <c r="D19257" s="2">
        <v>0</v>
      </c>
      <c r="E19257" s="2">
        <v>5.7240984544934103E-4</v>
      </c>
      <c r="F19257" s="2">
        <v>4.6418790326323999E-5</v>
      </c>
    </row>
    <row r="19258" spans="1:6" x14ac:dyDescent="0.25">
      <c r="A19258" s="1" t="str">
        <f t="shared" si="716"/>
        <v>31084</v>
      </c>
      <c r="B19258" s="1" t="str">
        <f>"90748"</f>
        <v>90748</v>
      </c>
      <c r="C19258" s="2">
        <v>0</v>
      </c>
      <c r="D19258" s="2">
        <v>0</v>
      </c>
      <c r="E19258" s="2">
        <v>5.7240984544934103E-4</v>
      </c>
      <c r="F19258" s="2">
        <v>4.6418790326323999E-5</v>
      </c>
    </row>
    <row r="19259" spans="1:6" x14ac:dyDescent="0.25">
      <c r="A19259" s="1" t="str">
        <f t="shared" si="716"/>
        <v>31084</v>
      </c>
      <c r="B19259" s="1" t="str">
        <f>"93553"</f>
        <v>93553</v>
      </c>
      <c r="C19259" s="2">
        <v>5.5251671363058703E-5</v>
      </c>
      <c r="D19259" s="2">
        <v>0</v>
      </c>
      <c r="E19259" s="2">
        <v>0</v>
      </c>
      <c r="F19259" s="2">
        <v>4.6418790326323999E-5</v>
      </c>
    </row>
    <row r="19260" spans="1:6" x14ac:dyDescent="0.25">
      <c r="A19260" s="1" t="str">
        <f t="shared" si="716"/>
        <v>31084</v>
      </c>
      <c r="B19260" s="1" t="str">
        <f>"91706"</f>
        <v>91706</v>
      </c>
      <c r="C19260" s="2">
        <v>5.5251671363058703E-5</v>
      </c>
      <c r="D19260" s="2">
        <v>3.5356511490866201E-3</v>
      </c>
      <c r="E19260" s="2">
        <v>1.1448196908986799E-3</v>
      </c>
      <c r="F19260" s="2">
        <v>4.1776911293691602E-4</v>
      </c>
    </row>
    <row r="19261" spans="1:6" x14ac:dyDescent="0.25">
      <c r="A19261" s="1" t="str">
        <f t="shared" si="716"/>
        <v>31084</v>
      </c>
      <c r="B19261" s="1" t="str">
        <f>"90093"</f>
        <v>90093</v>
      </c>
      <c r="C19261" s="2">
        <v>0</v>
      </c>
      <c r="D19261" s="2">
        <v>5.8927519151443701E-4</v>
      </c>
      <c r="E19261" s="2">
        <v>0</v>
      </c>
      <c r="F19261" s="2">
        <v>4.6418790326323999E-5</v>
      </c>
    </row>
    <row r="19262" spans="1:6" x14ac:dyDescent="0.25">
      <c r="A19262" s="1" t="str">
        <f t="shared" si="716"/>
        <v>31084</v>
      </c>
      <c r="B19262" s="1" t="str">
        <f>"91344"</f>
        <v>91344</v>
      </c>
      <c r="C19262" s="2">
        <v>2.21006685452234E-4</v>
      </c>
      <c r="D19262" s="2">
        <v>0</v>
      </c>
      <c r="E19262" s="2">
        <v>0</v>
      </c>
      <c r="F19262" s="2">
        <v>1.85675161305296E-4</v>
      </c>
    </row>
    <row r="19263" spans="1:6" x14ac:dyDescent="0.25">
      <c r="A19263" s="1" t="str">
        <f t="shared" si="716"/>
        <v>31084</v>
      </c>
      <c r="B19263" s="1" t="str">
        <f>"91340"</f>
        <v>91340</v>
      </c>
      <c r="C19263" s="2">
        <v>2.21006685452234E-4</v>
      </c>
      <c r="D19263" s="2">
        <v>0</v>
      </c>
      <c r="E19263" s="2">
        <v>0</v>
      </c>
      <c r="F19263" s="2">
        <v>1.85675161305296E-4</v>
      </c>
    </row>
    <row r="19264" spans="1:6" x14ac:dyDescent="0.25">
      <c r="A19264" s="1" t="str">
        <f t="shared" si="716"/>
        <v>31084</v>
      </c>
      <c r="B19264" s="1" t="str">
        <f>"90638"</f>
        <v>90638</v>
      </c>
      <c r="C19264" s="2">
        <v>5.5251671363058703E-5</v>
      </c>
      <c r="D19264" s="2">
        <v>5.8927519151443701E-4</v>
      </c>
      <c r="E19264" s="2">
        <v>0</v>
      </c>
      <c r="F19264" s="2">
        <v>9.2837580652648094E-5</v>
      </c>
    </row>
    <row r="19265" spans="1:6" x14ac:dyDescent="0.25">
      <c r="A19265" s="1" t="str">
        <f t="shared" si="716"/>
        <v>31084</v>
      </c>
      <c r="B19265" s="1" t="str">
        <f>"91605"</f>
        <v>91605</v>
      </c>
      <c r="C19265" s="2">
        <v>5.5251671363058703E-5</v>
      </c>
      <c r="D19265" s="2">
        <v>0</v>
      </c>
      <c r="E19265" s="2">
        <v>0</v>
      </c>
      <c r="F19265" s="2">
        <v>4.6418790326323999E-5</v>
      </c>
    </row>
    <row r="19266" spans="1:6" x14ac:dyDescent="0.25">
      <c r="A19266" s="1" t="str">
        <f t="shared" si="716"/>
        <v>31084</v>
      </c>
      <c r="B19266" s="1" t="str">
        <f>"91006"</f>
        <v>91006</v>
      </c>
      <c r="C19266" s="2">
        <v>4.4201337090446897E-4</v>
      </c>
      <c r="D19266" s="2">
        <v>0</v>
      </c>
      <c r="E19266" s="2">
        <v>0</v>
      </c>
      <c r="F19266" s="2">
        <v>3.71350322610592E-4</v>
      </c>
    </row>
    <row r="19267" spans="1:6" x14ac:dyDescent="0.25">
      <c r="A19267" s="1" t="str">
        <f t="shared" si="716"/>
        <v>31084</v>
      </c>
      <c r="B19267" s="1" t="str">
        <f>"91101"</f>
        <v>91101</v>
      </c>
      <c r="C19267" s="2">
        <v>0</v>
      </c>
      <c r="D19267" s="2">
        <v>2.9463759575721802E-3</v>
      </c>
      <c r="E19267" s="2">
        <v>5.7240984544934103E-4</v>
      </c>
      <c r="F19267" s="2">
        <v>2.78512741957944E-4</v>
      </c>
    </row>
    <row r="19268" spans="1:6" x14ac:dyDescent="0.25">
      <c r="A19268" s="1" t="str">
        <f t="shared" si="716"/>
        <v>31084</v>
      </c>
      <c r="B19268" s="1" t="str">
        <f>"90280"</f>
        <v>90280</v>
      </c>
      <c r="C19268" s="2">
        <v>6.6302005635670398E-4</v>
      </c>
      <c r="D19268" s="2">
        <v>0</v>
      </c>
      <c r="E19268" s="2">
        <v>0</v>
      </c>
      <c r="F19268" s="2">
        <v>5.5702548391588897E-4</v>
      </c>
    </row>
    <row r="19269" spans="1:6" x14ac:dyDescent="0.25">
      <c r="A19269" s="1" t="str">
        <f t="shared" si="716"/>
        <v>31084</v>
      </c>
      <c r="B19269" s="1" t="str">
        <f>"91361"</f>
        <v>91361</v>
      </c>
      <c r="C19269" s="2">
        <v>0</v>
      </c>
      <c r="D19269" s="2">
        <v>1.1785503830288699E-3</v>
      </c>
      <c r="E19269" s="2">
        <v>0</v>
      </c>
      <c r="F19269" s="2">
        <v>9.2837580652648094E-5</v>
      </c>
    </row>
    <row r="19270" spans="1:6" x14ac:dyDescent="0.25">
      <c r="A19270" s="1" t="str">
        <f t="shared" si="716"/>
        <v>31084</v>
      </c>
      <c r="B19270" s="1" t="str">
        <f>"91354"</f>
        <v>91354</v>
      </c>
      <c r="C19270" s="2">
        <v>0</v>
      </c>
      <c r="D19270" s="2">
        <v>2.9463759575721802E-3</v>
      </c>
      <c r="E19270" s="2">
        <v>5.7240984544934103E-4</v>
      </c>
      <c r="F19270" s="2">
        <v>2.78512741957944E-4</v>
      </c>
    </row>
    <row r="19271" spans="1:6" x14ac:dyDescent="0.25">
      <c r="A19271" s="1" t="str">
        <f t="shared" si="716"/>
        <v>31084</v>
      </c>
      <c r="B19271" s="1" t="str">
        <f>"90723"</f>
        <v>90723</v>
      </c>
      <c r="C19271" s="2">
        <v>0</v>
      </c>
      <c r="D19271" s="2">
        <v>1.7678255745433101E-3</v>
      </c>
      <c r="E19271" s="2">
        <v>2.8620492272466999E-3</v>
      </c>
      <c r="F19271" s="2">
        <v>3.71350322610592E-4</v>
      </c>
    </row>
    <row r="19272" spans="1:6" x14ac:dyDescent="0.25">
      <c r="A19272" s="1" t="str">
        <f t="shared" si="716"/>
        <v>31084</v>
      </c>
      <c r="B19272" s="1" t="str">
        <f>"90402"</f>
        <v>90402</v>
      </c>
      <c r="C19272" s="2">
        <v>0</v>
      </c>
      <c r="D19272" s="2">
        <v>0</v>
      </c>
      <c r="E19272" s="2">
        <v>5.7240984544934103E-4</v>
      </c>
      <c r="F19272" s="2">
        <v>4.6418790326323999E-5</v>
      </c>
    </row>
    <row r="19273" spans="1:6" x14ac:dyDescent="0.25">
      <c r="A19273" s="1" t="str">
        <f t="shared" si="716"/>
        <v>31084</v>
      </c>
      <c r="B19273" s="1" t="str">
        <f>"90810"</f>
        <v>90810</v>
      </c>
      <c r="C19273" s="2">
        <v>0</v>
      </c>
      <c r="D19273" s="2">
        <v>0</v>
      </c>
      <c r="E19273" s="2">
        <v>5.7240984544934103E-4</v>
      </c>
      <c r="F19273" s="2">
        <v>4.6418790326323999E-5</v>
      </c>
    </row>
    <row r="19274" spans="1:6" x14ac:dyDescent="0.25">
      <c r="A19274" s="1" t="str">
        <f t="shared" si="716"/>
        <v>31084</v>
      </c>
      <c r="B19274" s="1" t="str">
        <f>"90266"</f>
        <v>90266</v>
      </c>
      <c r="C19274" s="2">
        <v>2.21006685452234E-4</v>
      </c>
      <c r="D19274" s="2">
        <v>1.47318797878609E-2</v>
      </c>
      <c r="E19274" s="2">
        <v>1.1448196908986799E-3</v>
      </c>
      <c r="F19274" s="2">
        <v>1.4389825001160401E-3</v>
      </c>
    </row>
    <row r="19275" spans="1:6" x14ac:dyDescent="0.25">
      <c r="A19275" s="1" t="str">
        <f t="shared" si="716"/>
        <v>31084</v>
      </c>
      <c r="B19275" s="1" t="str">
        <f>"90710"</f>
        <v>90710</v>
      </c>
      <c r="C19275" s="2">
        <v>6.79595557765622E-3</v>
      </c>
      <c r="D19275" s="2">
        <v>0</v>
      </c>
      <c r="E19275" s="2">
        <v>1.1448196908986799E-3</v>
      </c>
      <c r="F19275" s="2">
        <v>5.80234879079051E-3</v>
      </c>
    </row>
    <row r="19276" spans="1:6" x14ac:dyDescent="0.25">
      <c r="A19276" s="1" t="str">
        <f t="shared" si="716"/>
        <v>31084</v>
      </c>
      <c r="B19276" s="1" t="str">
        <f>"90272"</f>
        <v>90272</v>
      </c>
      <c r="C19276" s="2">
        <v>0</v>
      </c>
      <c r="D19276" s="2">
        <v>5.8927519151443701E-4</v>
      </c>
      <c r="E19276" s="2">
        <v>0</v>
      </c>
      <c r="F19276" s="2">
        <v>4.6418790326323999E-5</v>
      </c>
    </row>
    <row r="19277" spans="1:6" x14ac:dyDescent="0.25">
      <c r="A19277" s="1" t="str">
        <f t="shared" si="716"/>
        <v>31084</v>
      </c>
      <c r="B19277" s="1" t="str">
        <f>"91350"</f>
        <v>91350</v>
      </c>
      <c r="C19277" s="2">
        <v>1.9503839991159701E-2</v>
      </c>
      <c r="D19277" s="2">
        <v>5.8927519151443701E-4</v>
      </c>
      <c r="E19277" s="2">
        <v>6.52547223812249E-2</v>
      </c>
      <c r="F19277" s="2">
        <v>2.1723993872719598E-2</v>
      </c>
    </row>
    <row r="19278" spans="1:6" x14ac:dyDescent="0.25">
      <c r="A19278" s="1" t="str">
        <f t="shared" si="716"/>
        <v>31084</v>
      </c>
      <c r="B19278" s="1" t="str">
        <f>"90706"</f>
        <v>90706</v>
      </c>
      <c r="C19278" s="2">
        <v>4.4201337090446899E-3</v>
      </c>
      <c r="D19278" s="2">
        <v>1.7678255745433101E-3</v>
      </c>
      <c r="E19278" s="2">
        <v>1.4882655981682801E-2</v>
      </c>
      <c r="F19278" s="2">
        <v>5.0596481455693204E-3</v>
      </c>
    </row>
    <row r="19279" spans="1:6" x14ac:dyDescent="0.25">
      <c r="A19279" s="1" t="str">
        <f t="shared" si="716"/>
        <v>31084</v>
      </c>
      <c r="B19279" s="1" t="str">
        <f>"90028"</f>
        <v>90028</v>
      </c>
      <c r="C19279" s="2">
        <v>1.6851759765732902E-2</v>
      </c>
      <c r="D19279" s="2">
        <v>1.7678255745433101E-3</v>
      </c>
      <c r="E19279" s="2">
        <v>2.2896393817973598E-3</v>
      </c>
      <c r="F19279" s="2">
        <v>1.44826625818131E-2</v>
      </c>
    </row>
    <row r="19280" spans="1:6" x14ac:dyDescent="0.25">
      <c r="A19280" s="1" t="str">
        <f t="shared" si="716"/>
        <v>31084</v>
      </c>
      <c r="B19280" s="1" t="str">
        <f>"91042"</f>
        <v>91042</v>
      </c>
      <c r="C19280" s="2">
        <v>2.9283385822421099E-3</v>
      </c>
      <c r="D19280" s="2">
        <v>5.30347672362993E-3</v>
      </c>
      <c r="E19280" s="2">
        <v>2.8620492272466999E-3</v>
      </c>
      <c r="F19280" s="2">
        <v>3.11005895186371E-3</v>
      </c>
    </row>
    <row r="19281" spans="1:6" x14ac:dyDescent="0.25">
      <c r="A19281" s="1" t="str">
        <f t="shared" si="716"/>
        <v>31084</v>
      </c>
      <c r="B19281" s="1" t="str">
        <f>"91403"</f>
        <v>91403</v>
      </c>
      <c r="C19281" s="2">
        <v>3.3151002817835199E-4</v>
      </c>
      <c r="D19281" s="2">
        <v>3.5356511490866201E-3</v>
      </c>
      <c r="E19281" s="2">
        <v>5.7240984544934103E-4</v>
      </c>
      <c r="F19281" s="2">
        <v>6.03444274242213E-4</v>
      </c>
    </row>
    <row r="19282" spans="1:6" x14ac:dyDescent="0.25">
      <c r="A19282" s="1" t="str">
        <f t="shared" si="716"/>
        <v>31084</v>
      </c>
      <c r="B19282" s="1" t="str">
        <f>"91499"</f>
        <v>91499</v>
      </c>
      <c r="C19282" s="2">
        <v>0</v>
      </c>
      <c r="D19282" s="2">
        <v>0</v>
      </c>
      <c r="E19282" s="2">
        <v>5.7240984544934103E-4</v>
      </c>
      <c r="F19282" s="2">
        <v>4.6418790326323999E-5</v>
      </c>
    </row>
    <row r="19283" spans="1:6" x14ac:dyDescent="0.25">
      <c r="A19283" s="1" t="str">
        <f t="shared" si="716"/>
        <v>31084</v>
      </c>
      <c r="B19283" s="1" t="str">
        <f>"90232"</f>
        <v>90232</v>
      </c>
      <c r="C19283" s="2">
        <v>2.21006685452234E-4</v>
      </c>
      <c r="D19283" s="2">
        <v>1.2964054213317601E-2</v>
      </c>
      <c r="E19283" s="2">
        <v>5.7240984544934103E-4</v>
      </c>
      <c r="F19283" s="2">
        <v>1.25330733881075E-3</v>
      </c>
    </row>
    <row r="19284" spans="1:6" x14ac:dyDescent="0.25">
      <c r="A19284" s="1" t="str">
        <f t="shared" si="716"/>
        <v>31084</v>
      </c>
      <c r="B19284" s="1" t="str">
        <f>"90211"</f>
        <v>90211</v>
      </c>
      <c r="C19284" s="2">
        <v>2.21006685452234E-4</v>
      </c>
      <c r="D19284" s="2">
        <v>1.1785503830288699E-3</v>
      </c>
      <c r="E19284" s="2">
        <v>5.7240984544934103E-4</v>
      </c>
      <c r="F19284" s="2">
        <v>3.2493153228426802E-4</v>
      </c>
    </row>
    <row r="19285" spans="1:6" x14ac:dyDescent="0.25">
      <c r="A19285" s="1" t="str">
        <f t="shared" si="716"/>
        <v>31084</v>
      </c>
      <c r="B19285" s="1" t="str">
        <f>"93532"</f>
        <v>93532</v>
      </c>
      <c r="C19285" s="2">
        <v>5.5251671363058703E-5</v>
      </c>
      <c r="D19285" s="2">
        <v>0</v>
      </c>
      <c r="E19285" s="2">
        <v>0</v>
      </c>
      <c r="F19285" s="2">
        <v>4.6418790326323999E-5</v>
      </c>
    </row>
    <row r="19286" spans="1:6" x14ac:dyDescent="0.25">
      <c r="A19286" s="1" t="str">
        <f t="shared" ref="A19286:A19349" si="717">"31084"</f>
        <v>31084</v>
      </c>
      <c r="B19286" s="1" t="str">
        <f>"90067"</f>
        <v>90067</v>
      </c>
      <c r="C19286" s="2">
        <v>0</v>
      </c>
      <c r="D19286" s="2">
        <v>1.7678255745433101E-3</v>
      </c>
      <c r="E19286" s="2">
        <v>0</v>
      </c>
      <c r="F19286" s="2">
        <v>1.39256370978972E-4</v>
      </c>
    </row>
    <row r="19287" spans="1:6" x14ac:dyDescent="0.25">
      <c r="A19287" s="1" t="str">
        <f t="shared" si="717"/>
        <v>31084</v>
      </c>
      <c r="B19287" s="1" t="str">
        <f>"90637"</f>
        <v>90637</v>
      </c>
      <c r="C19287" s="2">
        <v>0</v>
      </c>
      <c r="D19287" s="2">
        <v>0</v>
      </c>
      <c r="E19287" s="2">
        <v>5.7240984544934103E-4</v>
      </c>
      <c r="F19287" s="2">
        <v>4.6418790326323999E-5</v>
      </c>
    </row>
    <row r="19288" spans="1:6" x14ac:dyDescent="0.25">
      <c r="A19288" s="1" t="str">
        <f t="shared" si="717"/>
        <v>31084</v>
      </c>
      <c r="B19288" s="1" t="str">
        <f>"91011"</f>
        <v>91011</v>
      </c>
      <c r="C19288" s="2">
        <v>0</v>
      </c>
      <c r="D19288" s="2">
        <v>1.7678255745433101E-3</v>
      </c>
      <c r="E19288" s="2">
        <v>5.7240984544934103E-4</v>
      </c>
      <c r="F19288" s="2">
        <v>1.85675161305296E-4</v>
      </c>
    </row>
    <row r="19289" spans="1:6" x14ac:dyDescent="0.25">
      <c r="A19289" s="1" t="str">
        <f t="shared" si="717"/>
        <v>31084</v>
      </c>
      <c r="B19289" s="1" t="str">
        <f>"91604"</f>
        <v>91604</v>
      </c>
      <c r="C19289" s="2">
        <v>0</v>
      </c>
      <c r="D19289" s="2">
        <v>3.5356511490866201E-3</v>
      </c>
      <c r="E19289" s="2">
        <v>5.7240984544934103E-4</v>
      </c>
      <c r="F19289" s="2">
        <v>3.2493153228426802E-4</v>
      </c>
    </row>
    <row r="19290" spans="1:6" x14ac:dyDescent="0.25">
      <c r="A19290" s="1" t="str">
        <f t="shared" si="717"/>
        <v>31084</v>
      </c>
      <c r="B19290" s="1" t="str">
        <f>"91040"</f>
        <v>91040</v>
      </c>
      <c r="C19290" s="2">
        <v>5.5251671363058703E-5</v>
      </c>
      <c r="D19290" s="2">
        <v>0</v>
      </c>
      <c r="E19290" s="2">
        <v>0</v>
      </c>
      <c r="F19290" s="2">
        <v>4.6418790326323999E-5</v>
      </c>
    </row>
    <row r="19291" spans="1:6" x14ac:dyDescent="0.25">
      <c r="A19291" s="1" t="str">
        <f t="shared" si="717"/>
        <v>31084</v>
      </c>
      <c r="B19291" s="1" t="str">
        <f>"93591"</f>
        <v>93591</v>
      </c>
      <c r="C19291" s="2">
        <v>0</v>
      </c>
      <c r="D19291" s="2">
        <v>0</v>
      </c>
      <c r="E19291" s="2">
        <v>5.7240984544934103E-4</v>
      </c>
      <c r="F19291" s="2">
        <v>4.6418790326323999E-5</v>
      </c>
    </row>
    <row r="19292" spans="1:6" x14ac:dyDescent="0.25">
      <c r="A19292" s="1" t="str">
        <f t="shared" si="717"/>
        <v>31084</v>
      </c>
      <c r="B19292" s="1" t="str">
        <f>"90403"</f>
        <v>90403</v>
      </c>
      <c r="C19292" s="2">
        <v>1.9890601690701099E-3</v>
      </c>
      <c r="D19292" s="2">
        <v>4.1249263406010596E-3</v>
      </c>
      <c r="E19292" s="2">
        <v>2.2896393817973598E-3</v>
      </c>
      <c r="F19292" s="2">
        <v>2.1816831453372299E-3</v>
      </c>
    </row>
    <row r="19293" spans="1:6" x14ac:dyDescent="0.25">
      <c r="A19293" s="1" t="str">
        <f t="shared" si="717"/>
        <v>31084</v>
      </c>
      <c r="B19293" s="1" t="str">
        <f>"91356"</f>
        <v>91356</v>
      </c>
      <c r="C19293" s="2">
        <v>0</v>
      </c>
      <c r="D19293" s="2">
        <v>1.7678255745433101E-3</v>
      </c>
      <c r="E19293" s="2">
        <v>0</v>
      </c>
      <c r="F19293" s="2">
        <v>1.39256370978972E-4</v>
      </c>
    </row>
    <row r="19294" spans="1:6" x14ac:dyDescent="0.25">
      <c r="A19294" s="1" t="str">
        <f t="shared" si="717"/>
        <v>31084</v>
      </c>
      <c r="B19294" s="1" t="str">
        <f>"90502"</f>
        <v>90502</v>
      </c>
      <c r="C19294" s="2">
        <v>0</v>
      </c>
      <c r="D19294" s="2">
        <v>0</v>
      </c>
      <c r="E19294" s="2">
        <v>2.8620492272466999E-3</v>
      </c>
      <c r="F19294" s="2">
        <v>2.3209395163162E-4</v>
      </c>
    </row>
    <row r="19295" spans="1:6" x14ac:dyDescent="0.25">
      <c r="A19295" s="1" t="str">
        <f t="shared" si="717"/>
        <v>31084</v>
      </c>
      <c r="B19295" s="1" t="str">
        <f>"90068"</f>
        <v>90068</v>
      </c>
      <c r="C19295" s="2">
        <v>1.10503342726117E-4</v>
      </c>
      <c r="D19295" s="2">
        <v>0</v>
      </c>
      <c r="E19295" s="2">
        <v>5.7240984544934103E-4</v>
      </c>
      <c r="F19295" s="2">
        <v>1.39256370978972E-4</v>
      </c>
    </row>
    <row r="19296" spans="1:6" x14ac:dyDescent="0.25">
      <c r="A19296" s="1" t="str">
        <f t="shared" si="717"/>
        <v>31084</v>
      </c>
      <c r="B19296" s="1" t="str">
        <f>"90033"</f>
        <v>90033</v>
      </c>
      <c r="C19296" s="2">
        <v>2.21006685452234E-4</v>
      </c>
      <c r="D19296" s="2">
        <v>2.3571007660577398E-3</v>
      </c>
      <c r="E19296" s="2">
        <v>1.1448196908986799E-3</v>
      </c>
      <c r="F19296" s="2">
        <v>4.6418790326323999E-4</v>
      </c>
    </row>
    <row r="19297" spans="1:6" x14ac:dyDescent="0.25">
      <c r="A19297" s="1" t="str">
        <f t="shared" si="717"/>
        <v>31084</v>
      </c>
      <c r="B19297" s="1" t="str">
        <f>"90250"</f>
        <v>90250</v>
      </c>
      <c r="C19297" s="2">
        <v>1.93380849770705E-3</v>
      </c>
      <c r="D19297" s="2">
        <v>0</v>
      </c>
      <c r="E19297" s="2">
        <v>2.8620492272466999E-3</v>
      </c>
      <c r="F19297" s="2">
        <v>1.85675161305296E-3</v>
      </c>
    </row>
    <row r="19298" spans="1:6" x14ac:dyDescent="0.25">
      <c r="A19298" s="1" t="str">
        <f t="shared" si="717"/>
        <v>31084</v>
      </c>
      <c r="B19298" s="1" t="str">
        <f>"90029"</f>
        <v>90029</v>
      </c>
      <c r="C19298" s="2">
        <v>1.71280181225482E-3</v>
      </c>
      <c r="D19298" s="2">
        <v>0</v>
      </c>
      <c r="E19298" s="2">
        <v>4.0068689181453898E-3</v>
      </c>
      <c r="F19298" s="2">
        <v>1.76391403240031E-3</v>
      </c>
    </row>
    <row r="19299" spans="1:6" x14ac:dyDescent="0.25">
      <c r="A19299" s="1" t="str">
        <f t="shared" si="717"/>
        <v>31084</v>
      </c>
      <c r="B19299" s="1" t="str">
        <f>"90304"</f>
        <v>90304</v>
      </c>
      <c r="C19299" s="2">
        <v>9.3927841317199801E-4</v>
      </c>
      <c r="D19299" s="2">
        <v>2.9463759575721802E-3</v>
      </c>
      <c r="E19299" s="2">
        <v>1.1448196908986799E-3</v>
      </c>
      <c r="F19299" s="2">
        <v>1.1140509678317699E-3</v>
      </c>
    </row>
    <row r="19300" spans="1:6" x14ac:dyDescent="0.25">
      <c r="A19300" s="1" t="str">
        <f t="shared" si="717"/>
        <v>31084</v>
      </c>
      <c r="B19300" s="1" t="str">
        <f>"90057"</f>
        <v>90057</v>
      </c>
      <c r="C19300" s="2">
        <v>1.04425658876181E-2</v>
      </c>
      <c r="D19300" s="2">
        <v>2.3571007660577398E-3</v>
      </c>
      <c r="E19300" s="2">
        <v>5.7240984544934103E-4</v>
      </c>
      <c r="F19300" s="2">
        <v>9.0052453233068694E-3</v>
      </c>
    </row>
    <row r="19301" spans="1:6" x14ac:dyDescent="0.25">
      <c r="A19301" s="1" t="str">
        <f t="shared" si="717"/>
        <v>31084</v>
      </c>
      <c r="B19301" s="1" t="str">
        <f>"90025"</f>
        <v>90025</v>
      </c>
      <c r="C19301" s="2">
        <v>1.21001160285098E-2</v>
      </c>
      <c r="D19301" s="2">
        <v>0</v>
      </c>
      <c r="E19301" s="2">
        <v>2.8620492272466999E-3</v>
      </c>
      <c r="F19301" s="2">
        <v>1.03978090330965E-2</v>
      </c>
    </row>
    <row r="19302" spans="1:6" x14ac:dyDescent="0.25">
      <c r="A19302" s="1" t="str">
        <f t="shared" si="717"/>
        <v>31084</v>
      </c>
      <c r="B19302" s="1" t="str">
        <f>"90014"</f>
        <v>90014</v>
      </c>
      <c r="C19302" s="2">
        <v>4.4090833747720798E-2</v>
      </c>
      <c r="D19302" s="2">
        <v>5.30347672362993E-3</v>
      </c>
      <c r="E19302" s="2">
        <v>1.7172295363480201E-3</v>
      </c>
      <c r="F19302" s="2">
        <v>3.7599220164322503E-2</v>
      </c>
    </row>
    <row r="19303" spans="1:6" x14ac:dyDescent="0.25">
      <c r="A19303" s="1" t="str">
        <f t="shared" si="717"/>
        <v>31084</v>
      </c>
      <c r="B19303" s="1" t="str">
        <f>"91731"</f>
        <v>91731</v>
      </c>
      <c r="C19303" s="2">
        <v>2.5415768827007001E-3</v>
      </c>
      <c r="D19303" s="2">
        <v>1.23747790218031E-2</v>
      </c>
      <c r="E19303" s="2">
        <v>2.28963938179736E-2</v>
      </c>
      <c r="F19303" s="2">
        <v>4.9668105649166702E-3</v>
      </c>
    </row>
    <row r="19304" spans="1:6" x14ac:dyDescent="0.25">
      <c r="A19304" s="1" t="str">
        <f t="shared" si="717"/>
        <v>31084</v>
      </c>
      <c r="B19304" s="1" t="str">
        <f>"90015"</f>
        <v>90015</v>
      </c>
      <c r="C19304" s="2">
        <v>7.7462843251008301E-2</v>
      </c>
      <c r="D19304" s="2">
        <v>2.5338833235120799E-2</v>
      </c>
      <c r="E19304" s="2">
        <v>2.8620492272466999E-3</v>
      </c>
      <c r="F19304" s="2">
        <v>6.7307245973169894E-2</v>
      </c>
    </row>
    <row r="19305" spans="1:6" x14ac:dyDescent="0.25">
      <c r="A19305" s="1" t="str">
        <f t="shared" si="717"/>
        <v>31084</v>
      </c>
      <c r="B19305" s="1" t="str">
        <f>"90075"</f>
        <v>90075</v>
      </c>
      <c r="C19305" s="2">
        <v>2.00011050334272E-2</v>
      </c>
      <c r="D19305" s="2">
        <v>6.4230995875073596E-2</v>
      </c>
      <c r="E19305" s="2">
        <v>1.1448196908986799E-3</v>
      </c>
      <c r="F19305" s="2">
        <v>2.1956087824351201E-2</v>
      </c>
    </row>
    <row r="19306" spans="1:6" x14ac:dyDescent="0.25">
      <c r="A19306" s="1" t="str">
        <f t="shared" si="717"/>
        <v>31084</v>
      </c>
      <c r="B19306" s="1" t="str">
        <f>"90805"</f>
        <v>90805</v>
      </c>
      <c r="C19306" s="2">
        <v>0</v>
      </c>
      <c r="D19306" s="2">
        <v>0</v>
      </c>
      <c r="E19306" s="2">
        <v>7.4413279908414403E-3</v>
      </c>
      <c r="F19306" s="2">
        <v>6.03444274242213E-4</v>
      </c>
    </row>
    <row r="19307" spans="1:6" x14ac:dyDescent="0.25">
      <c r="A19307" s="1" t="str">
        <f t="shared" si="717"/>
        <v>31084</v>
      </c>
      <c r="B19307" s="1" t="str">
        <f>"90610"</f>
        <v>90610</v>
      </c>
      <c r="C19307" s="2">
        <v>0</v>
      </c>
      <c r="D19307" s="2">
        <v>0</v>
      </c>
      <c r="E19307" s="2">
        <v>5.7240984544934103E-4</v>
      </c>
      <c r="F19307" s="2">
        <v>4.6418790326323999E-5</v>
      </c>
    </row>
    <row r="19308" spans="1:6" x14ac:dyDescent="0.25">
      <c r="A19308" s="1" t="str">
        <f t="shared" si="717"/>
        <v>31084</v>
      </c>
      <c r="B19308" s="1" t="str">
        <f>"90275"</f>
        <v>90275</v>
      </c>
      <c r="C19308" s="2">
        <v>0</v>
      </c>
      <c r="D19308" s="2">
        <v>7.6605774896876802E-3</v>
      </c>
      <c r="E19308" s="2">
        <v>5.7240984544934103E-4</v>
      </c>
      <c r="F19308" s="2">
        <v>6.4986306456853702E-4</v>
      </c>
    </row>
    <row r="19309" spans="1:6" x14ac:dyDescent="0.25">
      <c r="A19309" s="1" t="str">
        <f t="shared" si="717"/>
        <v>31084</v>
      </c>
      <c r="B19309" s="1" t="str">
        <f>"90702"</f>
        <v>90702</v>
      </c>
      <c r="C19309" s="2">
        <v>0</v>
      </c>
      <c r="D19309" s="2">
        <v>0</v>
      </c>
      <c r="E19309" s="2">
        <v>5.7240984544934103E-4</v>
      </c>
      <c r="F19309" s="2">
        <v>4.6418790326323999E-5</v>
      </c>
    </row>
    <row r="19310" spans="1:6" x14ac:dyDescent="0.25">
      <c r="A19310" s="1" t="str">
        <f t="shared" si="717"/>
        <v>31084</v>
      </c>
      <c r="B19310" s="1" t="str">
        <f>"90662"</f>
        <v>90662</v>
      </c>
      <c r="C19310" s="2">
        <v>0</v>
      </c>
      <c r="D19310" s="2">
        <v>0</v>
      </c>
      <c r="E19310" s="2">
        <v>5.7240984544934103E-4</v>
      </c>
      <c r="F19310" s="2">
        <v>4.6418790326323999E-5</v>
      </c>
    </row>
    <row r="19311" spans="1:6" x14ac:dyDescent="0.25">
      <c r="A19311" s="1" t="str">
        <f t="shared" si="717"/>
        <v>31084</v>
      </c>
      <c r="B19311" s="1" t="str">
        <f>"90247"</f>
        <v>90247</v>
      </c>
      <c r="C19311" s="2">
        <v>2.7625835681529301E-4</v>
      </c>
      <c r="D19311" s="2">
        <v>0</v>
      </c>
      <c r="E19311" s="2">
        <v>1.1448196908986799E-3</v>
      </c>
      <c r="F19311" s="2">
        <v>3.2493153228426802E-4</v>
      </c>
    </row>
    <row r="19312" spans="1:6" x14ac:dyDescent="0.25">
      <c r="A19312" s="1" t="str">
        <f t="shared" si="717"/>
        <v>31084</v>
      </c>
      <c r="B19312" s="1" t="str">
        <f>"90604"</f>
        <v>90604</v>
      </c>
      <c r="C19312" s="2">
        <v>0</v>
      </c>
      <c r="D19312" s="2">
        <v>1.1785503830288699E-3</v>
      </c>
      <c r="E19312" s="2">
        <v>2.2896393817973598E-3</v>
      </c>
      <c r="F19312" s="2">
        <v>2.78512741957944E-4</v>
      </c>
    </row>
    <row r="19313" spans="1:6" x14ac:dyDescent="0.25">
      <c r="A19313" s="1" t="str">
        <f t="shared" si="717"/>
        <v>31084</v>
      </c>
      <c r="B19313" s="1" t="str">
        <f>"90099"</f>
        <v>90099</v>
      </c>
      <c r="C19313" s="2">
        <v>0</v>
      </c>
      <c r="D19313" s="2">
        <v>0</v>
      </c>
      <c r="E19313" s="2">
        <v>5.7240984544934103E-4</v>
      </c>
      <c r="F19313" s="2">
        <v>4.6418790326323999E-5</v>
      </c>
    </row>
    <row r="19314" spans="1:6" x14ac:dyDescent="0.25">
      <c r="A19314" s="1" t="str">
        <f t="shared" si="717"/>
        <v>31084</v>
      </c>
      <c r="B19314" s="1" t="str">
        <f>"90803"</f>
        <v>90803</v>
      </c>
      <c r="C19314" s="2">
        <v>1.10503342726117E-4</v>
      </c>
      <c r="D19314" s="2">
        <v>0</v>
      </c>
      <c r="E19314" s="2">
        <v>2.8620492272466999E-3</v>
      </c>
      <c r="F19314" s="2">
        <v>3.2493153228426802E-4</v>
      </c>
    </row>
    <row r="19315" spans="1:6" x14ac:dyDescent="0.25">
      <c r="A19315" s="1" t="str">
        <f t="shared" si="717"/>
        <v>31084</v>
      </c>
      <c r="B19315" s="1" t="str">
        <f>"90209"</f>
        <v>90209</v>
      </c>
      <c r="C19315" s="2">
        <v>0</v>
      </c>
      <c r="D19315" s="2">
        <v>5.8927519151443701E-4</v>
      </c>
      <c r="E19315" s="2">
        <v>0</v>
      </c>
      <c r="F19315" s="2">
        <v>4.6418790326323999E-5</v>
      </c>
    </row>
    <row r="19316" spans="1:6" x14ac:dyDescent="0.25">
      <c r="A19316" s="1" t="str">
        <f t="shared" si="717"/>
        <v>31084</v>
      </c>
      <c r="B19316" s="1" t="str">
        <f>"90608"</f>
        <v>90608</v>
      </c>
      <c r="C19316" s="2">
        <v>0</v>
      </c>
      <c r="D19316" s="2">
        <v>0</v>
      </c>
      <c r="E19316" s="2">
        <v>5.7240984544934103E-4</v>
      </c>
      <c r="F19316" s="2">
        <v>4.6418790326323999E-5</v>
      </c>
    </row>
    <row r="19317" spans="1:6" x14ac:dyDescent="0.25">
      <c r="A19317" s="1" t="str">
        <f t="shared" si="717"/>
        <v>31084</v>
      </c>
      <c r="B19317" s="1" t="str">
        <f>"91307"</f>
        <v>91307</v>
      </c>
      <c r="C19317" s="2">
        <v>0</v>
      </c>
      <c r="D19317" s="2">
        <v>5.8927519151443701E-4</v>
      </c>
      <c r="E19317" s="2">
        <v>0</v>
      </c>
      <c r="F19317" s="2">
        <v>4.6418790326323999E-5</v>
      </c>
    </row>
    <row r="19318" spans="1:6" x14ac:dyDescent="0.25">
      <c r="A19318" s="1" t="str">
        <f t="shared" si="717"/>
        <v>31084</v>
      </c>
      <c r="B19318" s="1" t="str">
        <f>"90036"</f>
        <v>90036</v>
      </c>
      <c r="C19318" s="2">
        <v>1.9890601690701099E-3</v>
      </c>
      <c r="D19318" s="2">
        <v>2.3571007660577398E-3</v>
      </c>
      <c r="E19318" s="2">
        <v>2.2896393817973598E-3</v>
      </c>
      <c r="F19318" s="2">
        <v>2.0424267743582602E-3</v>
      </c>
    </row>
    <row r="19319" spans="1:6" x14ac:dyDescent="0.25">
      <c r="A19319" s="1" t="str">
        <f t="shared" si="717"/>
        <v>31084</v>
      </c>
      <c r="B19319" s="1" t="str">
        <f>"91301"</f>
        <v>91301</v>
      </c>
      <c r="C19319" s="2">
        <v>0</v>
      </c>
      <c r="D19319" s="2">
        <v>4.71420153211549E-3</v>
      </c>
      <c r="E19319" s="2">
        <v>5.7240984544934103E-4</v>
      </c>
      <c r="F19319" s="2">
        <v>4.1776911293691602E-4</v>
      </c>
    </row>
    <row r="19320" spans="1:6" x14ac:dyDescent="0.25">
      <c r="A19320" s="1" t="str">
        <f t="shared" si="717"/>
        <v>31084</v>
      </c>
      <c r="B19320" s="1" t="str">
        <f>"91723"</f>
        <v>91723</v>
      </c>
      <c r="C19320" s="2">
        <v>7.7352339908282205E-4</v>
      </c>
      <c r="D19320" s="2">
        <v>1.2964054213317601E-2</v>
      </c>
      <c r="E19320" s="2">
        <v>5.7240984544934103E-3</v>
      </c>
      <c r="F19320" s="2">
        <v>2.1352643550109E-3</v>
      </c>
    </row>
    <row r="19321" spans="1:6" x14ac:dyDescent="0.25">
      <c r="A19321" s="1" t="str">
        <f t="shared" si="717"/>
        <v>31084</v>
      </c>
      <c r="B19321" s="1" t="str">
        <f>"90004"</f>
        <v>90004</v>
      </c>
      <c r="C19321" s="2">
        <v>6.3539422067517498E-3</v>
      </c>
      <c r="D19321" s="2">
        <v>2.9463759575721802E-3</v>
      </c>
      <c r="E19321" s="2">
        <v>4.0068689181453898E-3</v>
      </c>
      <c r="F19321" s="2">
        <v>5.8951863714431603E-3</v>
      </c>
    </row>
    <row r="19322" spans="1:6" x14ac:dyDescent="0.25">
      <c r="A19322" s="1" t="str">
        <f t="shared" si="717"/>
        <v>31084</v>
      </c>
      <c r="B19322" s="1" t="str">
        <f>"93510"</f>
        <v>93510</v>
      </c>
      <c r="C19322" s="2">
        <v>2.21006685452234E-4</v>
      </c>
      <c r="D19322" s="2">
        <v>0</v>
      </c>
      <c r="E19322" s="2">
        <v>5.7240984544934103E-4</v>
      </c>
      <c r="F19322" s="2">
        <v>2.3209395163162E-4</v>
      </c>
    </row>
    <row r="19323" spans="1:6" x14ac:dyDescent="0.25">
      <c r="A19323" s="1" t="str">
        <f t="shared" si="717"/>
        <v>31084</v>
      </c>
      <c r="B19323" s="1" t="str">
        <f>"90040"</f>
        <v>90040</v>
      </c>
      <c r="C19323" s="2">
        <v>0</v>
      </c>
      <c r="D19323" s="2">
        <v>7.0713022981732402E-3</v>
      </c>
      <c r="E19323" s="2">
        <v>0</v>
      </c>
      <c r="F19323" s="2">
        <v>5.5702548391588897E-4</v>
      </c>
    </row>
    <row r="19324" spans="1:6" x14ac:dyDescent="0.25">
      <c r="A19324" s="1" t="str">
        <f t="shared" si="717"/>
        <v>31084</v>
      </c>
      <c r="B19324" s="1" t="str">
        <f>"90061"</f>
        <v>90061</v>
      </c>
      <c r="C19324" s="2">
        <v>0</v>
      </c>
      <c r="D19324" s="2">
        <v>0</v>
      </c>
      <c r="E19324" s="2">
        <v>5.7240984544934103E-4</v>
      </c>
      <c r="F19324" s="2">
        <v>4.6418790326323999E-5</v>
      </c>
    </row>
    <row r="19325" spans="1:6" x14ac:dyDescent="0.25">
      <c r="A19325" s="1" t="str">
        <f t="shared" si="717"/>
        <v>31084</v>
      </c>
      <c r="B19325" s="1" t="str">
        <f>"90510"</f>
        <v>90510</v>
      </c>
      <c r="C19325" s="2">
        <v>0</v>
      </c>
      <c r="D19325" s="2">
        <v>0</v>
      </c>
      <c r="E19325" s="2">
        <v>5.7240984544934103E-4</v>
      </c>
      <c r="F19325" s="2">
        <v>4.6418790326323999E-5</v>
      </c>
    </row>
    <row r="19326" spans="1:6" x14ac:dyDescent="0.25">
      <c r="A19326" s="1" t="str">
        <f t="shared" si="717"/>
        <v>31084</v>
      </c>
      <c r="B19326" s="1" t="str">
        <f>"90278"</f>
        <v>90278</v>
      </c>
      <c r="C19326" s="2">
        <v>8.8402674180893903E-4</v>
      </c>
      <c r="D19326" s="2">
        <v>0</v>
      </c>
      <c r="E19326" s="2">
        <v>3.4344590726960501E-3</v>
      </c>
      <c r="F19326" s="2">
        <v>1.0212133871791301E-3</v>
      </c>
    </row>
    <row r="19327" spans="1:6" x14ac:dyDescent="0.25">
      <c r="A19327" s="1" t="str">
        <f t="shared" si="717"/>
        <v>31084</v>
      </c>
      <c r="B19327" s="1" t="str">
        <f>"91103"</f>
        <v>91103</v>
      </c>
      <c r="C19327" s="2">
        <v>7.0169622631084498E-3</v>
      </c>
      <c r="D19327" s="2">
        <v>5.8927519151443701E-4</v>
      </c>
      <c r="E19327" s="2">
        <v>2.8620492272466999E-3</v>
      </c>
      <c r="F19327" s="2">
        <v>6.1736991134010996E-3</v>
      </c>
    </row>
    <row r="19328" spans="1:6" x14ac:dyDescent="0.25">
      <c r="A19328" s="1" t="str">
        <f t="shared" si="717"/>
        <v>31084</v>
      </c>
      <c r="B19328" s="1" t="str">
        <f>"91436"</f>
        <v>91436</v>
      </c>
      <c r="C19328" s="2">
        <v>0</v>
      </c>
      <c r="D19328" s="2">
        <v>7.6605774896876802E-3</v>
      </c>
      <c r="E19328" s="2">
        <v>5.7240984544934103E-4</v>
      </c>
      <c r="F19328" s="2">
        <v>6.4986306456853702E-4</v>
      </c>
    </row>
    <row r="19329" spans="1:6" x14ac:dyDescent="0.25">
      <c r="A19329" s="1" t="str">
        <f t="shared" si="717"/>
        <v>31084</v>
      </c>
      <c r="B19329" s="1" t="str">
        <f>"91773"</f>
        <v>91773</v>
      </c>
      <c r="C19329" s="2">
        <v>3.5913586385988099E-3</v>
      </c>
      <c r="D19329" s="2">
        <v>1.7678255745433101E-3</v>
      </c>
      <c r="E19329" s="2">
        <v>1.1448196908986799E-3</v>
      </c>
      <c r="F19329" s="2">
        <v>3.2493153228426801E-3</v>
      </c>
    </row>
    <row r="19330" spans="1:6" x14ac:dyDescent="0.25">
      <c r="A19330" s="1" t="str">
        <f t="shared" si="717"/>
        <v>31084</v>
      </c>
      <c r="B19330" s="1" t="str">
        <f>"91214"</f>
        <v>91214</v>
      </c>
      <c r="C19330" s="2">
        <v>1.54704679816564E-3</v>
      </c>
      <c r="D19330" s="2">
        <v>0</v>
      </c>
      <c r="E19330" s="2">
        <v>1.7172295363480201E-3</v>
      </c>
      <c r="F19330" s="2">
        <v>1.4389825001160401E-3</v>
      </c>
    </row>
    <row r="19331" spans="1:6" x14ac:dyDescent="0.25">
      <c r="A19331" s="1" t="str">
        <f t="shared" si="717"/>
        <v>31084</v>
      </c>
      <c r="B19331" s="1" t="str">
        <f>"93535"</f>
        <v>93535</v>
      </c>
      <c r="C19331" s="2">
        <v>5.2489087794905702E-3</v>
      </c>
      <c r="D19331" s="2">
        <v>0</v>
      </c>
      <c r="E19331" s="2">
        <v>5.7240984544934103E-4</v>
      </c>
      <c r="F19331" s="2">
        <v>4.45620387132711E-3</v>
      </c>
    </row>
    <row r="19332" spans="1:6" x14ac:dyDescent="0.25">
      <c r="A19332" s="1" t="str">
        <f t="shared" si="717"/>
        <v>31084</v>
      </c>
      <c r="B19332" s="1" t="str">
        <f>"91750"</f>
        <v>91750</v>
      </c>
      <c r="C19332" s="2">
        <v>2.3205701972484599E-3</v>
      </c>
      <c r="D19332" s="2">
        <v>2.9463759575721802E-3</v>
      </c>
      <c r="E19332" s="2">
        <v>2.2896393817973598E-3</v>
      </c>
      <c r="F19332" s="2">
        <v>2.3673583066425199E-3</v>
      </c>
    </row>
    <row r="19333" spans="1:6" x14ac:dyDescent="0.25">
      <c r="A19333" s="1" t="str">
        <f t="shared" si="717"/>
        <v>31084</v>
      </c>
      <c r="B19333" s="1" t="str">
        <f>"91401"</f>
        <v>91401</v>
      </c>
      <c r="C19333" s="2">
        <v>2.09956351179623E-3</v>
      </c>
      <c r="D19333" s="2">
        <v>0</v>
      </c>
      <c r="E19333" s="2">
        <v>5.7240984544934103E-4</v>
      </c>
      <c r="F19333" s="2">
        <v>1.8103328227266301E-3</v>
      </c>
    </row>
    <row r="19334" spans="1:6" x14ac:dyDescent="0.25">
      <c r="A19334" s="1" t="str">
        <f t="shared" si="717"/>
        <v>31084</v>
      </c>
      <c r="B19334" s="1" t="str">
        <f>"91741"</f>
        <v>91741</v>
      </c>
      <c r="C19334" s="2">
        <v>0</v>
      </c>
      <c r="D19334" s="2">
        <v>8.2498526812021192E-3</v>
      </c>
      <c r="E19334" s="2">
        <v>5.7240984544934103E-4</v>
      </c>
      <c r="F19334" s="2">
        <v>6.9628185489486105E-4</v>
      </c>
    </row>
    <row r="19335" spans="1:6" x14ac:dyDescent="0.25">
      <c r="A19335" s="1" t="str">
        <f t="shared" si="717"/>
        <v>31084</v>
      </c>
      <c r="B19335" s="1" t="str">
        <f>"90405"</f>
        <v>90405</v>
      </c>
      <c r="C19335" s="2">
        <v>3.4808552958727002E-3</v>
      </c>
      <c r="D19335" s="2">
        <v>2.0035356511490798E-2</v>
      </c>
      <c r="E19335" s="2">
        <v>3.4344590726960501E-3</v>
      </c>
      <c r="F19335" s="2">
        <v>4.7811354036113802E-3</v>
      </c>
    </row>
    <row r="19336" spans="1:6" x14ac:dyDescent="0.25">
      <c r="A19336" s="1" t="str">
        <f t="shared" si="717"/>
        <v>31084</v>
      </c>
      <c r="B19336" s="1" t="str">
        <f>"90031"</f>
        <v>90031</v>
      </c>
      <c r="C19336" s="2">
        <v>0</v>
      </c>
      <c r="D19336" s="2">
        <v>1.7678255745433101E-3</v>
      </c>
      <c r="E19336" s="2">
        <v>5.7240984544934103E-4</v>
      </c>
      <c r="F19336" s="2">
        <v>1.85675161305296E-4</v>
      </c>
    </row>
    <row r="19337" spans="1:6" x14ac:dyDescent="0.25">
      <c r="A19337" s="1" t="str">
        <f t="shared" si="717"/>
        <v>31084</v>
      </c>
      <c r="B19337" s="1" t="str">
        <f>"90065"</f>
        <v>90065</v>
      </c>
      <c r="C19337" s="2">
        <v>5.5251671363058703E-5</v>
      </c>
      <c r="D19337" s="2">
        <v>0</v>
      </c>
      <c r="E19337" s="2">
        <v>0</v>
      </c>
      <c r="F19337" s="2">
        <v>4.6418790326323999E-5</v>
      </c>
    </row>
    <row r="19338" spans="1:6" x14ac:dyDescent="0.25">
      <c r="A19338" s="1" t="str">
        <f t="shared" si="717"/>
        <v>31084</v>
      </c>
      <c r="B19338" s="1" t="str">
        <f>"90037"</f>
        <v>90037</v>
      </c>
      <c r="C19338" s="2">
        <v>5.5251671363058699E-4</v>
      </c>
      <c r="D19338" s="2">
        <v>0</v>
      </c>
      <c r="E19338" s="2">
        <v>0</v>
      </c>
      <c r="F19338" s="2">
        <v>4.6418790326323999E-4</v>
      </c>
    </row>
    <row r="19339" spans="1:6" x14ac:dyDescent="0.25">
      <c r="A19339" s="1" t="str">
        <f t="shared" si="717"/>
        <v>31084</v>
      </c>
      <c r="B19339" s="1" t="str">
        <f>"90607"</f>
        <v>90607</v>
      </c>
      <c r="C19339" s="2">
        <v>0</v>
      </c>
      <c r="D19339" s="2">
        <v>0</v>
      </c>
      <c r="E19339" s="2">
        <v>5.7240984544934103E-4</v>
      </c>
      <c r="F19339" s="2">
        <v>4.6418790326323999E-5</v>
      </c>
    </row>
    <row r="19340" spans="1:6" x14ac:dyDescent="0.25">
      <c r="A19340" s="1" t="str">
        <f t="shared" si="717"/>
        <v>31084</v>
      </c>
      <c r="B19340" s="1" t="str">
        <f>"90707"</f>
        <v>90707</v>
      </c>
      <c r="C19340" s="2">
        <v>0</v>
      </c>
      <c r="D19340" s="2">
        <v>0</v>
      </c>
      <c r="E19340" s="2">
        <v>5.7240984544934103E-4</v>
      </c>
      <c r="F19340" s="2">
        <v>4.6418790326323999E-5</v>
      </c>
    </row>
    <row r="19341" spans="1:6" x14ac:dyDescent="0.25">
      <c r="A19341" s="1" t="str">
        <f t="shared" si="717"/>
        <v>31084</v>
      </c>
      <c r="B19341" s="1" t="str">
        <f>"93544"</f>
        <v>93544</v>
      </c>
      <c r="C19341" s="2">
        <v>5.5251671363058703E-5</v>
      </c>
      <c r="D19341" s="2">
        <v>0</v>
      </c>
      <c r="E19341" s="2">
        <v>0</v>
      </c>
      <c r="F19341" s="2">
        <v>4.6418790326323999E-5</v>
      </c>
    </row>
    <row r="19342" spans="1:6" x14ac:dyDescent="0.25">
      <c r="A19342" s="1" t="str">
        <f t="shared" si="717"/>
        <v>31084</v>
      </c>
      <c r="B19342" s="1" t="str">
        <f>"91716"</f>
        <v>91716</v>
      </c>
      <c r="C19342" s="2">
        <v>0</v>
      </c>
      <c r="D19342" s="2">
        <v>0</v>
      </c>
      <c r="E19342" s="2">
        <v>5.7240984544934103E-4</v>
      </c>
      <c r="F19342" s="2">
        <v>4.6418790326323999E-5</v>
      </c>
    </row>
    <row r="19343" spans="1:6" x14ac:dyDescent="0.25">
      <c r="A19343" s="1" t="str">
        <f t="shared" si="717"/>
        <v>31084</v>
      </c>
      <c r="B19343" s="1" t="str">
        <f>"90292"</f>
        <v>90292</v>
      </c>
      <c r="C19343" s="2">
        <v>1.54152163102933E-2</v>
      </c>
      <c r="D19343" s="2">
        <v>2.9463759575721802E-3</v>
      </c>
      <c r="E19343" s="2">
        <v>5.7240984544934103E-4</v>
      </c>
      <c r="F19343" s="2">
        <v>1.3229355243002301E-2</v>
      </c>
    </row>
    <row r="19344" spans="1:6" x14ac:dyDescent="0.25">
      <c r="A19344" s="1" t="str">
        <f t="shared" si="717"/>
        <v>31084</v>
      </c>
      <c r="B19344" s="1" t="str">
        <f>"90302"</f>
        <v>90302</v>
      </c>
      <c r="C19344" s="2">
        <v>2.21006685452234E-4</v>
      </c>
      <c r="D19344" s="2">
        <v>1.7678255745433101E-3</v>
      </c>
      <c r="E19344" s="2">
        <v>1.1448196908986799E-3</v>
      </c>
      <c r="F19344" s="2">
        <v>4.1776911293691602E-4</v>
      </c>
    </row>
    <row r="19345" spans="1:6" x14ac:dyDescent="0.25">
      <c r="A19345" s="1" t="str">
        <f t="shared" si="717"/>
        <v>31084</v>
      </c>
      <c r="B19345" s="1" t="str">
        <f>"90807"</f>
        <v>90807</v>
      </c>
      <c r="C19345" s="2">
        <v>1.10503342726117E-4</v>
      </c>
      <c r="D19345" s="2">
        <v>0</v>
      </c>
      <c r="E19345" s="2">
        <v>5.7240984544934103E-4</v>
      </c>
      <c r="F19345" s="2">
        <v>1.39256370978972E-4</v>
      </c>
    </row>
    <row r="19346" spans="1:6" x14ac:dyDescent="0.25">
      <c r="A19346" s="1" t="str">
        <f t="shared" si="717"/>
        <v>31084</v>
      </c>
      <c r="B19346" s="1" t="str">
        <f>"90899"</f>
        <v>90899</v>
      </c>
      <c r="C19346" s="2">
        <v>0</v>
      </c>
      <c r="D19346" s="2">
        <v>5.8927519151443701E-4</v>
      </c>
      <c r="E19346" s="2">
        <v>0</v>
      </c>
      <c r="F19346" s="2">
        <v>4.6418790326323999E-5</v>
      </c>
    </row>
    <row r="19347" spans="1:6" x14ac:dyDescent="0.25">
      <c r="A19347" s="1" t="str">
        <f t="shared" si="717"/>
        <v>31084</v>
      </c>
      <c r="B19347" s="1" t="str">
        <f>"90027"</f>
        <v>90027</v>
      </c>
      <c r="C19347" s="2">
        <v>6.6302005635670398E-4</v>
      </c>
      <c r="D19347" s="2">
        <v>7.0713022981732402E-3</v>
      </c>
      <c r="E19347" s="2">
        <v>4.0068689181453898E-3</v>
      </c>
      <c r="F19347" s="2">
        <v>1.4389825001160401E-3</v>
      </c>
    </row>
    <row r="19348" spans="1:6" x14ac:dyDescent="0.25">
      <c r="A19348" s="1" t="str">
        <f t="shared" si="717"/>
        <v>31084</v>
      </c>
      <c r="B19348" s="1" t="str">
        <f>"90242"</f>
        <v>90242</v>
      </c>
      <c r="C19348" s="2">
        <v>0</v>
      </c>
      <c r="D19348" s="2">
        <v>5.30347672362993E-3</v>
      </c>
      <c r="E19348" s="2">
        <v>1.7172295363480201E-3</v>
      </c>
      <c r="F19348" s="2">
        <v>5.5702548391588897E-4</v>
      </c>
    </row>
    <row r="19349" spans="1:6" x14ac:dyDescent="0.25">
      <c r="A19349" s="1" t="str">
        <f t="shared" si="717"/>
        <v>31084</v>
      </c>
      <c r="B19349" s="1" t="str">
        <f>"90602"</f>
        <v>90602</v>
      </c>
      <c r="C19349" s="2">
        <v>4.9726504226752801E-4</v>
      </c>
      <c r="D19349" s="2">
        <v>5.8927519151443701E-4</v>
      </c>
      <c r="E19349" s="2">
        <v>4.0068689181453898E-3</v>
      </c>
      <c r="F19349" s="2">
        <v>7.8911943554750899E-4</v>
      </c>
    </row>
    <row r="19350" spans="1:6" x14ac:dyDescent="0.25">
      <c r="A19350" s="1" t="str">
        <f t="shared" ref="A19350:A19413" si="718">"31084"</f>
        <v>31084</v>
      </c>
      <c r="B19350" s="1" t="str">
        <f>"90661"</f>
        <v>90661</v>
      </c>
      <c r="C19350" s="2">
        <v>0</v>
      </c>
      <c r="D19350" s="2">
        <v>0</v>
      </c>
      <c r="E19350" s="2">
        <v>5.7240984544934103E-4</v>
      </c>
      <c r="F19350" s="2">
        <v>4.6418790326323999E-5</v>
      </c>
    </row>
    <row r="19351" spans="1:6" x14ac:dyDescent="0.25">
      <c r="A19351" s="1" t="str">
        <f t="shared" si="718"/>
        <v>31084</v>
      </c>
      <c r="B19351" s="1" t="str">
        <f>"91601"</f>
        <v>91601</v>
      </c>
      <c r="C19351" s="2">
        <v>6.29869053538869E-3</v>
      </c>
      <c r="D19351" s="2">
        <v>0</v>
      </c>
      <c r="E19351" s="2">
        <v>1.1448196908986799E-3</v>
      </c>
      <c r="F19351" s="2">
        <v>5.3845796778535897E-3</v>
      </c>
    </row>
    <row r="19352" spans="1:6" x14ac:dyDescent="0.25">
      <c r="A19352" s="1" t="str">
        <f t="shared" si="718"/>
        <v>31084</v>
      </c>
      <c r="B19352" s="1" t="str">
        <f>"90048"</f>
        <v>90048</v>
      </c>
      <c r="C19352" s="2">
        <v>3.7571136526879899E-3</v>
      </c>
      <c r="D19352" s="2">
        <v>5.8927519151443701E-4</v>
      </c>
      <c r="E19352" s="2">
        <v>2.2896393817973598E-3</v>
      </c>
      <c r="F19352" s="2">
        <v>3.3885716938216498E-3</v>
      </c>
    </row>
    <row r="19353" spans="1:6" x14ac:dyDescent="0.25">
      <c r="A19353" s="1" t="str">
        <f t="shared" si="718"/>
        <v>31084</v>
      </c>
      <c r="B19353" s="1" t="str">
        <f>"91411"</f>
        <v>91411</v>
      </c>
      <c r="C19353" s="2">
        <v>7.1827172771976296E-4</v>
      </c>
      <c r="D19353" s="2">
        <v>1.7678255745433101E-3</v>
      </c>
      <c r="E19353" s="2">
        <v>1.7172295363480201E-3</v>
      </c>
      <c r="F19353" s="2">
        <v>8.8195701620015705E-4</v>
      </c>
    </row>
    <row r="19354" spans="1:6" x14ac:dyDescent="0.25">
      <c r="A19354" s="1" t="str">
        <f t="shared" si="718"/>
        <v>31084</v>
      </c>
      <c r="B19354" s="1" t="str">
        <f>"91765"</f>
        <v>91765</v>
      </c>
      <c r="C19354" s="2">
        <v>3.7571136526879899E-3</v>
      </c>
      <c r="D19354" s="2">
        <v>1.3553329404832001E-2</v>
      </c>
      <c r="E19354" s="2">
        <v>2.1179164281625602E-2</v>
      </c>
      <c r="F19354" s="2">
        <v>5.9416051617694797E-3</v>
      </c>
    </row>
    <row r="19355" spans="1:6" x14ac:dyDescent="0.25">
      <c r="A19355" s="1" t="str">
        <f t="shared" si="718"/>
        <v>31084</v>
      </c>
      <c r="B19355" s="1" t="str">
        <f>"90255"</f>
        <v>90255</v>
      </c>
      <c r="C19355" s="2">
        <v>3.3151002817835199E-4</v>
      </c>
      <c r="D19355" s="2">
        <v>0</v>
      </c>
      <c r="E19355" s="2">
        <v>1.7172295363480201E-3</v>
      </c>
      <c r="F19355" s="2">
        <v>4.1776911293691602E-4</v>
      </c>
    </row>
    <row r="19356" spans="1:6" x14ac:dyDescent="0.25">
      <c r="A19356" s="1" t="str">
        <f t="shared" si="718"/>
        <v>31084</v>
      </c>
      <c r="B19356" s="1" t="str">
        <f>"91722"</f>
        <v>91722</v>
      </c>
      <c r="C19356" s="2">
        <v>6.6302005635670404E-3</v>
      </c>
      <c r="D19356" s="2">
        <v>2.3571007660577398E-3</v>
      </c>
      <c r="E19356" s="2">
        <v>2.2896393817973598E-3</v>
      </c>
      <c r="F19356" s="2">
        <v>5.9416051617694797E-3</v>
      </c>
    </row>
    <row r="19357" spans="1:6" x14ac:dyDescent="0.25">
      <c r="A19357" s="1" t="str">
        <f t="shared" si="718"/>
        <v>31084</v>
      </c>
      <c r="B19357" s="1" t="str">
        <f>"90249"</f>
        <v>90249</v>
      </c>
      <c r="C19357" s="2">
        <v>0</v>
      </c>
      <c r="D19357" s="2">
        <v>8.8391278727165505E-3</v>
      </c>
      <c r="E19357" s="2">
        <v>2.8620492272466999E-3</v>
      </c>
      <c r="F19357" s="2">
        <v>9.2837580652648096E-4</v>
      </c>
    </row>
    <row r="19358" spans="1:6" x14ac:dyDescent="0.25">
      <c r="A19358" s="1" t="str">
        <f t="shared" si="718"/>
        <v>31084</v>
      </c>
      <c r="B19358" s="1" t="str">
        <f>"91506"</f>
        <v>91506</v>
      </c>
      <c r="C19358" s="2">
        <v>0</v>
      </c>
      <c r="D19358" s="2">
        <v>5.8927519151443701E-4</v>
      </c>
      <c r="E19358" s="2">
        <v>5.7240984544934103E-4</v>
      </c>
      <c r="F19358" s="2">
        <v>9.2837580652648094E-5</v>
      </c>
    </row>
    <row r="19359" spans="1:6" x14ac:dyDescent="0.25">
      <c r="A19359" s="1" t="str">
        <f t="shared" si="718"/>
        <v>31084</v>
      </c>
      <c r="B19359" s="1" t="str">
        <f>"91754"</f>
        <v>91754</v>
      </c>
      <c r="C19359" s="2">
        <v>1.54704679816564E-3</v>
      </c>
      <c r="D19359" s="2">
        <v>6.4820271066588003E-3</v>
      </c>
      <c r="E19359" s="2">
        <v>8.5861476817401198E-3</v>
      </c>
      <c r="F19359" s="2">
        <v>2.5066146776215E-3</v>
      </c>
    </row>
    <row r="19360" spans="1:6" x14ac:dyDescent="0.25">
      <c r="A19360" s="1" t="str">
        <f t="shared" si="718"/>
        <v>31084</v>
      </c>
      <c r="B19360" s="1" t="str">
        <f>"90221"</f>
        <v>90221</v>
      </c>
      <c r="C19360" s="2">
        <v>3.8123653240510502E-3</v>
      </c>
      <c r="D19360" s="2">
        <v>2.3571007660577398E-3</v>
      </c>
      <c r="E19360" s="2">
        <v>1.1448196908986799E-3</v>
      </c>
      <c r="F19360" s="2">
        <v>3.4814092744743E-3</v>
      </c>
    </row>
    <row r="19361" spans="1:6" x14ac:dyDescent="0.25">
      <c r="A19361" s="1" t="str">
        <f t="shared" si="718"/>
        <v>31084</v>
      </c>
      <c r="B19361" s="1" t="str">
        <f>"91311"</f>
        <v>91311</v>
      </c>
      <c r="C19361" s="2">
        <v>1.08293275871595E-2</v>
      </c>
      <c r="D19361" s="2">
        <v>8.2498526812021192E-3</v>
      </c>
      <c r="E19361" s="2">
        <v>2.8620492272466999E-3</v>
      </c>
      <c r="F19361" s="2">
        <v>9.9800399201596807E-3</v>
      </c>
    </row>
    <row r="19362" spans="1:6" x14ac:dyDescent="0.25">
      <c r="A19362" s="1" t="str">
        <f t="shared" si="718"/>
        <v>31084</v>
      </c>
      <c r="B19362" s="1" t="str">
        <f>"91502"</f>
        <v>91502</v>
      </c>
      <c r="C19362" s="2">
        <v>0</v>
      </c>
      <c r="D19362" s="2">
        <v>2.3571007660577398E-3</v>
      </c>
      <c r="E19362" s="2">
        <v>5.7240984544934103E-4</v>
      </c>
      <c r="F19362" s="2">
        <v>2.3209395163162E-4</v>
      </c>
    </row>
    <row r="19363" spans="1:6" x14ac:dyDescent="0.25">
      <c r="A19363" s="1" t="str">
        <f t="shared" si="718"/>
        <v>31084</v>
      </c>
      <c r="B19363" s="1" t="str">
        <f>"91724"</f>
        <v>91724</v>
      </c>
      <c r="C19363" s="2">
        <v>9.3927841317199801E-4</v>
      </c>
      <c r="D19363" s="2">
        <v>0</v>
      </c>
      <c r="E19363" s="2">
        <v>5.7240984544934103E-3</v>
      </c>
      <c r="F19363" s="2">
        <v>1.25330733881075E-3</v>
      </c>
    </row>
    <row r="19364" spans="1:6" x14ac:dyDescent="0.25">
      <c r="A19364" s="1" t="str">
        <f t="shared" si="718"/>
        <v>31084</v>
      </c>
      <c r="B19364" s="1" t="str">
        <f>"91203"</f>
        <v>91203</v>
      </c>
      <c r="C19364" s="2">
        <v>2.0719376761147001E-2</v>
      </c>
      <c r="D19364" s="2">
        <v>2.3571007660577398E-3</v>
      </c>
      <c r="E19364" s="2">
        <v>4.0068689181453898E-3</v>
      </c>
      <c r="F19364" s="2">
        <v>1.79176530659611E-2</v>
      </c>
    </row>
    <row r="19365" spans="1:6" x14ac:dyDescent="0.25">
      <c r="A19365" s="1" t="str">
        <f t="shared" si="718"/>
        <v>31084</v>
      </c>
      <c r="B19365" s="1" t="str">
        <f>"90813"</f>
        <v>90813</v>
      </c>
      <c r="C19365" s="2">
        <v>2.1548151831592898E-3</v>
      </c>
      <c r="D19365" s="2">
        <v>2.9463759575721802E-3</v>
      </c>
      <c r="E19365" s="2">
        <v>6.8689181453921002E-3</v>
      </c>
      <c r="F19365" s="2">
        <v>2.5994522582741398E-3</v>
      </c>
    </row>
    <row r="19366" spans="1:6" x14ac:dyDescent="0.25">
      <c r="A19366" s="1" t="str">
        <f t="shared" si="718"/>
        <v>31084</v>
      </c>
      <c r="B19366" s="1" t="str">
        <f>"91744"</f>
        <v>91744</v>
      </c>
      <c r="C19366" s="2">
        <v>2.9835902536051698E-3</v>
      </c>
      <c r="D19366" s="2">
        <v>2.5338833235120799E-2</v>
      </c>
      <c r="E19366" s="2">
        <v>9.7309673726388001E-3</v>
      </c>
      <c r="F19366" s="2">
        <v>5.2917420972009403E-3</v>
      </c>
    </row>
    <row r="19367" spans="1:6" x14ac:dyDescent="0.25">
      <c r="A19367" s="1" t="str">
        <f t="shared" si="718"/>
        <v>31084</v>
      </c>
      <c r="B19367" s="1" t="str">
        <f>"91702"</f>
        <v>91702</v>
      </c>
      <c r="C19367" s="2">
        <v>3.1493452676943398E-3</v>
      </c>
      <c r="D19367" s="2">
        <v>2.3571007660577398E-3</v>
      </c>
      <c r="E19367" s="2">
        <v>1.7172295363480201E-2</v>
      </c>
      <c r="F19367" s="2">
        <v>4.2241099196954901E-3</v>
      </c>
    </row>
    <row r="19368" spans="1:6" x14ac:dyDescent="0.25">
      <c r="A19368" s="1" t="str">
        <f t="shared" si="718"/>
        <v>31084</v>
      </c>
      <c r="B19368" s="1" t="str">
        <f>"90089"</f>
        <v>90089</v>
      </c>
      <c r="C19368" s="2">
        <v>0</v>
      </c>
      <c r="D19368" s="2">
        <v>5.8927519151443701E-4</v>
      </c>
      <c r="E19368" s="2">
        <v>0</v>
      </c>
      <c r="F19368" s="2">
        <v>4.6418790326323999E-5</v>
      </c>
    </row>
    <row r="19369" spans="1:6" x14ac:dyDescent="0.25">
      <c r="A19369" s="1" t="str">
        <f t="shared" si="718"/>
        <v>31084</v>
      </c>
      <c r="B19369" s="1" t="str">
        <f>"90507"</f>
        <v>90507</v>
      </c>
      <c r="C19369" s="2">
        <v>0</v>
      </c>
      <c r="D19369" s="2">
        <v>0</v>
      </c>
      <c r="E19369" s="2">
        <v>5.7240984544934103E-4</v>
      </c>
      <c r="F19369" s="2">
        <v>4.6418790326323999E-5</v>
      </c>
    </row>
    <row r="19370" spans="1:6" x14ac:dyDescent="0.25">
      <c r="A19370" s="1" t="str">
        <f t="shared" si="718"/>
        <v>31084</v>
      </c>
      <c r="B19370" s="1" t="str">
        <f>"91899"</f>
        <v>91899</v>
      </c>
      <c r="C19370" s="2">
        <v>0</v>
      </c>
      <c r="D19370" s="2">
        <v>0</v>
      </c>
      <c r="E19370" s="2">
        <v>5.7240984544934103E-4</v>
      </c>
      <c r="F19370" s="2">
        <v>4.6418790326323999E-5</v>
      </c>
    </row>
    <row r="19371" spans="1:6" x14ac:dyDescent="0.25">
      <c r="A19371" s="1" t="str">
        <f t="shared" si="718"/>
        <v>31084</v>
      </c>
      <c r="B19371" s="1" t="str">
        <f>"90733"</f>
        <v>90733</v>
      </c>
      <c r="C19371" s="2">
        <v>0</v>
      </c>
      <c r="D19371" s="2">
        <v>0</v>
      </c>
      <c r="E19371" s="2">
        <v>5.7240984544934103E-4</v>
      </c>
      <c r="F19371" s="2">
        <v>4.6418790326323999E-5</v>
      </c>
    </row>
    <row r="19372" spans="1:6" x14ac:dyDescent="0.25">
      <c r="A19372" s="1" t="str">
        <f t="shared" si="718"/>
        <v>31084</v>
      </c>
      <c r="B19372" s="1" t="str">
        <f>"90809"</f>
        <v>90809</v>
      </c>
      <c r="C19372" s="2">
        <v>0</v>
      </c>
      <c r="D19372" s="2">
        <v>5.8927519151443701E-4</v>
      </c>
      <c r="E19372" s="2">
        <v>0</v>
      </c>
      <c r="F19372" s="2">
        <v>4.6418790326323999E-5</v>
      </c>
    </row>
    <row r="19373" spans="1:6" x14ac:dyDescent="0.25">
      <c r="A19373" s="1" t="str">
        <f t="shared" si="718"/>
        <v>31084</v>
      </c>
      <c r="B19373" s="1" t="str">
        <f>"90746"</f>
        <v>90746</v>
      </c>
      <c r="C19373" s="2">
        <v>0</v>
      </c>
      <c r="D19373" s="2">
        <v>0</v>
      </c>
      <c r="E19373" s="2">
        <v>5.7240984544934103E-4</v>
      </c>
      <c r="F19373" s="2">
        <v>4.6418790326323999E-5</v>
      </c>
    </row>
    <row r="19374" spans="1:6" x14ac:dyDescent="0.25">
      <c r="A19374" s="1" t="str">
        <f t="shared" si="718"/>
        <v>31084</v>
      </c>
      <c r="B19374" s="1" t="str">
        <f>"91365"</f>
        <v>91365</v>
      </c>
      <c r="C19374" s="2">
        <v>5.5251671363058703E-5</v>
      </c>
      <c r="D19374" s="2">
        <v>0</v>
      </c>
      <c r="E19374" s="2">
        <v>0</v>
      </c>
      <c r="F19374" s="2">
        <v>4.6418790326323999E-5</v>
      </c>
    </row>
    <row r="19375" spans="1:6" x14ac:dyDescent="0.25">
      <c r="A19375" s="1" t="str">
        <f t="shared" si="718"/>
        <v>31084</v>
      </c>
      <c r="B19375" s="1" t="str">
        <f>"91210"</f>
        <v>91210</v>
      </c>
      <c r="C19375" s="2">
        <v>0</v>
      </c>
      <c r="D19375" s="2">
        <v>0</v>
      </c>
      <c r="E19375" s="2">
        <v>5.7240984544934103E-4</v>
      </c>
      <c r="F19375" s="2">
        <v>4.6418790326323999E-5</v>
      </c>
    </row>
    <row r="19376" spans="1:6" x14ac:dyDescent="0.25">
      <c r="A19376" s="1" t="str">
        <f t="shared" si="718"/>
        <v>31084</v>
      </c>
      <c r="B19376" s="1" t="str">
        <f>"91381"</f>
        <v>91381</v>
      </c>
      <c r="C19376" s="2">
        <v>0</v>
      </c>
      <c r="D19376" s="2">
        <v>0</v>
      </c>
      <c r="E19376" s="2">
        <v>5.7240984544934103E-4</v>
      </c>
      <c r="F19376" s="2">
        <v>4.6418790326323999E-5</v>
      </c>
    </row>
    <row r="19377" spans="1:6" x14ac:dyDescent="0.25">
      <c r="A19377" s="1" t="str">
        <f t="shared" si="718"/>
        <v>31084</v>
      </c>
      <c r="B19377" s="1" t="str">
        <f>"91303"</f>
        <v>91303</v>
      </c>
      <c r="C19377" s="2">
        <v>9.6137908171722106E-3</v>
      </c>
      <c r="D19377" s="2">
        <v>2.9463759575721802E-3</v>
      </c>
      <c r="E19377" s="2">
        <v>5.7240984544934103E-4</v>
      </c>
      <c r="F19377" s="2">
        <v>8.3553822587383308E-3</v>
      </c>
    </row>
    <row r="19378" spans="1:6" x14ac:dyDescent="0.25">
      <c r="A19378" s="1" t="str">
        <f t="shared" si="718"/>
        <v>31084</v>
      </c>
      <c r="B19378" s="1" t="str">
        <f>"91733"</f>
        <v>91733</v>
      </c>
      <c r="C19378" s="2">
        <v>3.8123653240510502E-3</v>
      </c>
      <c r="D19378" s="2">
        <v>8.8391278727165505E-3</v>
      </c>
      <c r="E19378" s="2">
        <v>1.7744705208929502E-2</v>
      </c>
      <c r="F19378" s="2">
        <v>5.3381608875272702E-3</v>
      </c>
    </row>
    <row r="19379" spans="1:6" x14ac:dyDescent="0.25">
      <c r="A19379" s="1" t="str">
        <f t="shared" si="718"/>
        <v>31084</v>
      </c>
      <c r="B19379" s="1" t="str">
        <f>"90063"</f>
        <v>90063</v>
      </c>
      <c r="C19379" s="2">
        <v>3.8676169954141102E-4</v>
      </c>
      <c r="D19379" s="2">
        <v>0</v>
      </c>
      <c r="E19379" s="2">
        <v>1.1448196908986799E-3</v>
      </c>
      <c r="F19379" s="2">
        <v>4.1776911293691602E-4</v>
      </c>
    </row>
    <row r="19380" spans="1:6" x14ac:dyDescent="0.25">
      <c r="A19380" s="1" t="str">
        <f t="shared" si="718"/>
        <v>31084</v>
      </c>
      <c r="B19380" s="1" t="str">
        <f>"91331"</f>
        <v>91331</v>
      </c>
      <c r="C19380" s="2">
        <v>0</v>
      </c>
      <c r="D19380" s="2">
        <v>5.8927519151443701E-4</v>
      </c>
      <c r="E19380" s="2">
        <v>0</v>
      </c>
      <c r="F19380" s="2">
        <v>4.6418790326323999E-5</v>
      </c>
    </row>
    <row r="19381" spans="1:6" x14ac:dyDescent="0.25">
      <c r="A19381" s="1" t="str">
        <f t="shared" si="718"/>
        <v>31084</v>
      </c>
      <c r="B19381" s="1" t="str">
        <f>"91107"</f>
        <v>91107</v>
      </c>
      <c r="C19381" s="2">
        <v>1.10503342726117E-4</v>
      </c>
      <c r="D19381" s="2">
        <v>1.1785503830288699E-3</v>
      </c>
      <c r="E19381" s="2">
        <v>5.7240984544934103E-4</v>
      </c>
      <c r="F19381" s="2">
        <v>2.3209395163162E-4</v>
      </c>
    </row>
    <row r="19382" spans="1:6" x14ac:dyDescent="0.25">
      <c r="A19382" s="1" t="str">
        <f t="shared" si="718"/>
        <v>31084</v>
      </c>
      <c r="B19382" s="1" t="str">
        <f>"91345"</f>
        <v>91345</v>
      </c>
      <c r="C19382" s="2">
        <v>9.3927841317199801E-4</v>
      </c>
      <c r="D19382" s="2">
        <v>1.7678255745433101E-3</v>
      </c>
      <c r="E19382" s="2">
        <v>5.7240984544934103E-4</v>
      </c>
      <c r="F19382" s="2">
        <v>9.7479459685280597E-4</v>
      </c>
    </row>
    <row r="19383" spans="1:6" x14ac:dyDescent="0.25">
      <c r="A19383" s="1" t="str">
        <f t="shared" si="718"/>
        <v>31084</v>
      </c>
      <c r="B19383" s="1" t="str">
        <f>"90248"</f>
        <v>90248</v>
      </c>
      <c r="C19383" s="2">
        <v>0</v>
      </c>
      <c r="D19383" s="2">
        <v>2.9463759575721802E-3</v>
      </c>
      <c r="E19383" s="2">
        <v>1.1448196908986799E-3</v>
      </c>
      <c r="F19383" s="2">
        <v>3.2493153228426802E-4</v>
      </c>
    </row>
    <row r="19384" spans="1:6" x14ac:dyDescent="0.25">
      <c r="A19384" s="1" t="str">
        <f t="shared" si="718"/>
        <v>31084</v>
      </c>
      <c r="B19384" s="1" t="str">
        <f>"91382"</f>
        <v>91382</v>
      </c>
      <c r="C19384" s="2">
        <v>0</v>
      </c>
      <c r="D19384" s="2">
        <v>0</v>
      </c>
      <c r="E19384" s="2">
        <v>5.7240984544934103E-4</v>
      </c>
      <c r="F19384" s="2">
        <v>4.6418790326323999E-5</v>
      </c>
    </row>
    <row r="19385" spans="1:6" x14ac:dyDescent="0.25">
      <c r="A19385" s="1" t="str">
        <f t="shared" si="718"/>
        <v>31084</v>
      </c>
      <c r="B19385" s="1" t="str">
        <f>"90069"</f>
        <v>90069</v>
      </c>
      <c r="C19385" s="2">
        <v>2.5415768827007001E-3</v>
      </c>
      <c r="D19385" s="2">
        <v>5.8927519151443701E-4</v>
      </c>
      <c r="E19385" s="2">
        <v>0</v>
      </c>
      <c r="F19385" s="2">
        <v>2.1816831453372299E-3</v>
      </c>
    </row>
    <row r="19386" spans="1:6" x14ac:dyDescent="0.25">
      <c r="A19386" s="1" t="str">
        <f t="shared" si="718"/>
        <v>31084</v>
      </c>
      <c r="B19386" s="1" t="str">
        <f>"90066"</f>
        <v>90066</v>
      </c>
      <c r="C19386" s="2">
        <v>3.7571136526879899E-3</v>
      </c>
      <c r="D19386" s="2">
        <v>0</v>
      </c>
      <c r="E19386" s="2">
        <v>2.8620492272466999E-3</v>
      </c>
      <c r="F19386" s="2">
        <v>3.3885716938216498E-3</v>
      </c>
    </row>
    <row r="19387" spans="1:6" x14ac:dyDescent="0.25">
      <c r="A19387" s="1" t="str">
        <f t="shared" si="718"/>
        <v>31084</v>
      </c>
      <c r="B19387" s="1" t="str">
        <f>"91306"</f>
        <v>91306</v>
      </c>
      <c r="C19387" s="2">
        <v>3.9228686667771703E-3</v>
      </c>
      <c r="D19387" s="2">
        <v>0</v>
      </c>
      <c r="E19387" s="2">
        <v>0</v>
      </c>
      <c r="F19387" s="2">
        <v>3.29573411316901E-3</v>
      </c>
    </row>
    <row r="19388" spans="1:6" x14ac:dyDescent="0.25">
      <c r="A19388" s="1" t="str">
        <f t="shared" si="718"/>
        <v>31084</v>
      </c>
      <c r="B19388" s="1" t="str">
        <f>"93551"</f>
        <v>93551</v>
      </c>
      <c r="C19388" s="2">
        <v>1.6575501408917599E-4</v>
      </c>
      <c r="D19388" s="2">
        <v>1.1785503830288699E-3</v>
      </c>
      <c r="E19388" s="2">
        <v>1.1448196908986799E-3</v>
      </c>
      <c r="F19388" s="2">
        <v>3.2493153228426802E-4</v>
      </c>
    </row>
    <row r="19389" spans="1:6" x14ac:dyDescent="0.25">
      <c r="A19389" s="1" t="str">
        <f t="shared" si="718"/>
        <v>31084</v>
      </c>
      <c r="B19389" s="1" t="str">
        <f>"90056"</f>
        <v>90056</v>
      </c>
      <c r="C19389" s="2">
        <v>0</v>
      </c>
      <c r="D19389" s="2">
        <v>0</v>
      </c>
      <c r="E19389" s="2">
        <v>5.7240984544934103E-4</v>
      </c>
      <c r="F19389" s="2">
        <v>4.6418790326323999E-5</v>
      </c>
    </row>
    <row r="19390" spans="1:6" x14ac:dyDescent="0.25">
      <c r="A19390" s="1" t="str">
        <f t="shared" si="718"/>
        <v>31084</v>
      </c>
      <c r="B19390" s="1" t="str">
        <f>"90703"</f>
        <v>90703</v>
      </c>
      <c r="C19390" s="2">
        <v>0</v>
      </c>
      <c r="D19390" s="2">
        <v>1.7678255745433101E-3</v>
      </c>
      <c r="E19390" s="2">
        <v>5.7240984544934103E-4</v>
      </c>
      <c r="F19390" s="2">
        <v>1.85675161305296E-4</v>
      </c>
    </row>
    <row r="19391" spans="1:6" x14ac:dyDescent="0.25">
      <c r="A19391" s="1" t="str">
        <f t="shared" si="718"/>
        <v>31084</v>
      </c>
      <c r="B19391" s="1" t="str">
        <f>"90016"</f>
        <v>90016</v>
      </c>
      <c r="C19391" s="2">
        <v>3.3151002817835202E-3</v>
      </c>
      <c r="D19391" s="2">
        <v>1.1785503830288699E-3</v>
      </c>
      <c r="E19391" s="2">
        <v>2.2896393817973598E-3</v>
      </c>
      <c r="F19391" s="2">
        <v>3.0636401615373901E-3</v>
      </c>
    </row>
    <row r="19392" spans="1:6" x14ac:dyDescent="0.25">
      <c r="A19392" s="1" t="str">
        <f t="shared" si="718"/>
        <v>31084</v>
      </c>
      <c r="B19392" s="1" t="str">
        <f>"91325"</f>
        <v>91325</v>
      </c>
      <c r="C19392" s="2">
        <v>1.6575501408917601E-3</v>
      </c>
      <c r="D19392" s="2">
        <v>5.8927519151443701E-4</v>
      </c>
      <c r="E19392" s="2">
        <v>1.1448196908986799E-3</v>
      </c>
      <c r="F19392" s="2">
        <v>1.5318200807686901E-3</v>
      </c>
    </row>
    <row r="19393" spans="1:6" x14ac:dyDescent="0.25">
      <c r="A19393" s="1" t="str">
        <f t="shared" si="718"/>
        <v>31084</v>
      </c>
      <c r="B19393" s="1" t="str">
        <f>"90508"</f>
        <v>90508</v>
      </c>
      <c r="C19393" s="2">
        <v>0</v>
      </c>
      <c r="D19393" s="2">
        <v>0</v>
      </c>
      <c r="E19393" s="2">
        <v>5.7240984544934103E-4</v>
      </c>
      <c r="F19393" s="2">
        <v>4.6418790326323999E-5</v>
      </c>
    </row>
    <row r="19394" spans="1:6" x14ac:dyDescent="0.25">
      <c r="A19394" s="1" t="str">
        <f t="shared" si="718"/>
        <v>31084</v>
      </c>
      <c r="B19394" s="1" t="str">
        <f>"90291"</f>
        <v>90291</v>
      </c>
      <c r="C19394" s="2">
        <v>3.1493452676943398E-3</v>
      </c>
      <c r="D19394" s="2">
        <v>0</v>
      </c>
      <c r="E19394" s="2">
        <v>5.1516886090440701E-3</v>
      </c>
      <c r="F19394" s="2">
        <v>3.0636401615373901E-3</v>
      </c>
    </row>
    <row r="19395" spans="1:6" x14ac:dyDescent="0.25">
      <c r="A19395" s="1" t="str">
        <f t="shared" si="718"/>
        <v>31084</v>
      </c>
      <c r="B19395" s="1" t="str">
        <f>"90715"</f>
        <v>90715</v>
      </c>
      <c r="C19395" s="2">
        <v>0</v>
      </c>
      <c r="D19395" s="2">
        <v>0</v>
      </c>
      <c r="E19395" s="2">
        <v>1.1448196908986799E-3</v>
      </c>
      <c r="F19395" s="2">
        <v>9.2837580652648094E-5</v>
      </c>
    </row>
    <row r="19396" spans="1:6" x14ac:dyDescent="0.25">
      <c r="A19396" s="1" t="str">
        <f t="shared" si="718"/>
        <v>31084</v>
      </c>
      <c r="B19396" s="1" t="str">
        <f>"90601"</f>
        <v>90601</v>
      </c>
      <c r="C19396" s="2">
        <v>2.0443118404331702E-3</v>
      </c>
      <c r="D19396" s="2">
        <v>0</v>
      </c>
      <c r="E19396" s="2">
        <v>5.7240984544934103E-3</v>
      </c>
      <c r="F19396" s="2">
        <v>2.1816831453372299E-3</v>
      </c>
    </row>
    <row r="19397" spans="1:6" x14ac:dyDescent="0.25">
      <c r="A19397" s="1" t="str">
        <f t="shared" si="718"/>
        <v>31084</v>
      </c>
      <c r="B19397" s="1" t="str">
        <f>"91775"</f>
        <v>91775</v>
      </c>
      <c r="C19397" s="2">
        <v>1.21553676998729E-3</v>
      </c>
      <c r="D19397" s="2">
        <v>0</v>
      </c>
      <c r="E19397" s="2">
        <v>6.8689181453921002E-3</v>
      </c>
      <c r="F19397" s="2">
        <v>1.57823887109501E-3</v>
      </c>
    </row>
    <row r="19398" spans="1:6" x14ac:dyDescent="0.25">
      <c r="A19398" s="1" t="str">
        <f t="shared" si="718"/>
        <v>31084</v>
      </c>
      <c r="B19398" s="1" t="str">
        <f>"90277"</f>
        <v>90277</v>
      </c>
      <c r="C19398" s="2">
        <v>4.9726504226752801E-4</v>
      </c>
      <c r="D19398" s="2">
        <v>0</v>
      </c>
      <c r="E19398" s="2">
        <v>1.7172295363480201E-3</v>
      </c>
      <c r="F19398" s="2">
        <v>5.5702548391588897E-4</v>
      </c>
    </row>
    <row r="19399" spans="1:6" x14ac:dyDescent="0.25">
      <c r="A19399" s="1" t="str">
        <f t="shared" si="718"/>
        <v>31084</v>
      </c>
      <c r="B19399" s="1" t="str">
        <f>"91204"</f>
        <v>91204</v>
      </c>
      <c r="C19399" s="2">
        <v>1.03320625448919E-2</v>
      </c>
      <c r="D19399" s="2">
        <v>5.8927519151443701E-4</v>
      </c>
      <c r="E19399" s="2">
        <v>1.7172295363480201E-3</v>
      </c>
      <c r="F19399" s="2">
        <v>8.8659889523279006E-3</v>
      </c>
    </row>
    <row r="19400" spans="1:6" x14ac:dyDescent="0.25">
      <c r="A19400" s="1" t="str">
        <f t="shared" si="718"/>
        <v>31084</v>
      </c>
      <c r="B19400" s="1" t="str">
        <f>"90012"</f>
        <v>90012</v>
      </c>
      <c r="C19400" s="2">
        <v>4.6135145588154E-2</v>
      </c>
      <c r="D19400" s="2">
        <v>1.2964054213317601E-2</v>
      </c>
      <c r="E19400" s="2">
        <v>4.0068689181453898E-3</v>
      </c>
      <c r="F19400" s="2">
        <v>4.0105834841944001E-2</v>
      </c>
    </row>
    <row r="19401" spans="1:6" x14ac:dyDescent="0.25">
      <c r="A19401" s="1" t="str">
        <f t="shared" si="718"/>
        <v>31084</v>
      </c>
      <c r="B19401" s="1" t="str">
        <f>"90609"</f>
        <v>90609</v>
      </c>
      <c r="C19401" s="2">
        <v>0</v>
      </c>
      <c r="D19401" s="2">
        <v>0</v>
      </c>
      <c r="E19401" s="2">
        <v>5.7240984544934103E-4</v>
      </c>
      <c r="F19401" s="2">
        <v>4.6418790326323999E-5</v>
      </c>
    </row>
    <row r="19402" spans="1:6" x14ac:dyDescent="0.25">
      <c r="A19402" s="1" t="str">
        <f t="shared" si="718"/>
        <v>31084</v>
      </c>
      <c r="B19402" s="1" t="str">
        <f>"90024"</f>
        <v>90024</v>
      </c>
      <c r="C19402" s="2">
        <v>3.4256036245096399E-3</v>
      </c>
      <c r="D19402" s="2">
        <v>5.8927519151443701E-4</v>
      </c>
      <c r="E19402" s="2">
        <v>5.7240984544934103E-4</v>
      </c>
      <c r="F19402" s="2">
        <v>2.9708025808847399E-3</v>
      </c>
    </row>
    <row r="19403" spans="1:6" x14ac:dyDescent="0.25">
      <c r="A19403" s="1" t="str">
        <f t="shared" si="718"/>
        <v>31084</v>
      </c>
      <c r="B19403" s="1" t="str">
        <f>"93243"</f>
        <v>93243</v>
      </c>
      <c r="C19403" s="2">
        <v>2.7625835681529301E-4</v>
      </c>
      <c r="D19403" s="2">
        <v>0</v>
      </c>
      <c r="E19403" s="2">
        <v>0</v>
      </c>
      <c r="F19403" s="2">
        <v>2.3209395163162E-4</v>
      </c>
    </row>
    <row r="19404" spans="1:6" x14ac:dyDescent="0.25">
      <c r="A19404" s="1" t="str">
        <f t="shared" si="718"/>
        <v>31084</v>
      </c>
      <c r="B19404" s="1" t="str">
        <f>"90044"</f>
        <v>90044</v>
      </c>
      <c r="C19404" s="2">
        <v>5.4699154649428096E-3</v>
      </c>
      <c r="D19404" s="2">
        <v>0</v>
      </c>
      <c r="E19404" s="2">
        <v>1.1448196908986799E-3</v>
      </c>
      <c r="F19404" s="2">
        <v>4.6882978229587299E-3</v>
      </c>
    </row>
    <row r="19405" spans="1:6" x14ac:dyDescent="0.25">
      <c r="A19405" s="1" t="str">
        <f t="shared" si="718"/>
        <v>31084</v>
      </c>
      <c r="B19405" s="1" t="str">
        <f>"91010"</f>
        <v>91010</v>
      </c>
      <c r="C19405" s="2">
        <v>9.0060224321785697E-3</v>
      </c>
      <c r="D19405" s="2">
        <v>4.1249263406010596E-3</v>
      </c>
      <c r="E19405" s="2">
        <v>1.1448196908986799E-3</v>
      </c>
      <c r="F19405" s="2">
        <v>7.9840319361277404E-3</v>
      </c>
    </row>
    <row r="19406" spans="1:6" x14ac:dyDescent="0.25">
      <c r="A19406" s="1" t="str">
        <f t="shared" si="718"/>
        <v>31084</v>
      </c>
      <c r="B19406" s="1" t="str">
        <f>"90006"</f>
        <v>90006</v>
      </c>
      <c r="C19406" s="2">
        <v>1.5636222995745599E-2</v>
      </c>
      <c r="D19406" s="2">
        <v>1.7678255745433101E-3</v>
      </c>
      <c r="E19406" s="2">
        <v>1.7172295363480201E-3</v>
      </c>
      <c r="F19406" s="2">
        <v>1.3415030404307599E-2</v>
      </c>
    </row>
    <row r="19407" spans="1:6" x14ac:dyDescent="0.25">
      <c r="A19407" s="1" t="str">
        <f t="shared" si="718"/>
        <v>31084</v>
      </c>
      <c r="B19407" s="1" t="str">
        <f>"90017"</f>
        <v>90017</v>
      </c>
      <c r="C19407" s="2">
        <v>3.8013149897784398E-2</v>
      </c>
      <c r="D19407" s="2">
        <v>7.0713022981732402E-3</v>
      </c>
      <c r="E19407" s="2">
        <v>2.8620492272466999E-3</v>
      </c>
      <c r="F19407" s="2">
        <v>3.2725247180058398E-2</v>
      </c>
    </row>
    <row r="19408" spans="1:6" x14ac:dyDescent="0.25">
      <c r="A19408" s="1" t="str">
        <f t="shared" si="718"/>
        <v>31084</v>
      </c>
      <c r="B19408" s="1" t="str">
        <f>"91335"</f>
        <v>91335</v>
      </c>
      <c r="C19408" s="2">
        <v>1.3260401127133999E-3</v>
      </c>
      <c r="D19408" s="2">
        <v>0</v>
      </c>
      <c r="E19408" s="2">
        <v>0</v>
      </c>
      <c r="F19408" s="2">
        <v>1.1140509678317699E-3</v>
      </c>
    </row>
    <row r="19409" spans="1:6" x14ac:dyDescent="0.25">
      <c r="A19409" s="1" t="str">
        <f t="shared" si="718"/>
        <v>31084</v>
      </c>
      <c r="B19409" s="1" t="str">
        <f>"91207"</f>
        <v>91207</v>
      </c>
      <c r="C19409" s="2">
        <v>0</v>
      </c>
      <c r="D19409" s="2">
        <v>0</v>
      </c>
      <c r="E19409" s="2">
        <v>5.7240984544934103E-4</v>
      </c>
      <c r="F19409" s="2">
        <v>4.6418790326323999E-5</v>
      </c>
    </row>
    <row r="19410" spans="1:6" x14ac:dyDescent="0.25">
      <c r="A19410" s="1" t="str">
        <f t="shared" si="718"/>
        <v>31084</v>
      </c>
      <c r="B19410" s="1" t="str">
        <f>"90732"</f>
        <v>90732</v>
      </c>
      <c r="C19410" s="2">
        <v>0</v>
      </c>
      <c r="D19410" s="2">
        <v>0</v>
      </c>
      <c r="E19410" s="2">
        <v>5.7240984544934103E-4</v>
      </c>
      <c r="F19410" s="2">
        <v>4.6418790326323999E-5</v>
      </c>
    </row>
    <row r="19411" spans="1:6" x14ac:dyDescent="0.25">
      <c r="A19411" s="1" t="str">
        <f t="shared" si="718"/>
        <v>31084</v>
      </c>
      <c r="B19411" s="1" t="str">
        <f>"91896"</f>
        <v>91896</v>
      </c>
      <c r="C19411" s="2">
        <v>0</v>
      </c>
      <c r="D19411" s="2">
        <v>0</v>
      </c>
      <c r="E19411" s="2">
        <v>5.7240984544934103E-4</v>
      </c>
      <c r="F19411" s="2">
        <v>4.6418790326323999E-5</v>
      </c>
    </row>
    <row r="19412" spans="1:6" x14ac:dyDescent="0.25">
      <c r="A19412" s="1" t="str">
        <f t="shared" si="718"/>
        <v>31084</v>
      </c>
      <c r="B19412" s="1" t="str">
        <f>"91387"</f>
        <v>91387</v>
      </c>
      <c r="C19412" s="2">
        <v>0</v>
      </c>
      <c r="D19412" s="2">
        <v>5.8927519151443701E-4</v>
      </c>
      <c r="E19412" s="2">
        <v>0</v>
      </c>
      <c r="F19412" s="2">
        <v>4.6418790326323999E-5</v>
      </c>
    </row>
    <row r="19413" spans="1:6" x14ac:dyDescent="0.25">
      <c r="A19413" s="1" t="str">
        <f t="shared" si="718"/>
        <v>31084</v>
      </c>
      <c r="B19413" s="1" t="str">
        <f>"91423"</f>
        <v>91423</v>
      </c>
      <c r="C19413" s="2">
        <v>0</v>
      </c>
      <c r="D19413" s="2">
        <v>0</v>
      </c>
      <c r="E19413" s="2">
        <v>5.7240984544934103E-4</v>
      </c>
      <c r="F19413" s="2">
        <v>4.6418790326323999E-5</v>
      </c>
    </row>
    <row r="19414" spans="1:6" x14ac:dyDescent="0.25">
      <c r="A19414" s="1" t="str">
        <f t="shared" ref="A19414:A19477" si="719">"31084"</f>
        <v>31084</v>
      </c>
      <c r="B19414" s="1" t="str">
        <f>"90605"</f>
        <v>90605</v>
      </c>
      <c r="C19414" s="2">
        <v>2.7625835681529301E-4</v>
      </c>
      <c r="D19414" s="2">
        <v>0</v>
      </c>
      <c r="E19414" s="2">
        <v>5.7240984544934103E-4</v>
      </c>
      <c r="F19414" s="2">
        <v>2.78512741957944E-4</v>
      </c>
    </row>
    <row r="19415" spans="1:6" x14ac:dyDescent="0.25">
      <c r="A19415" s="1" t="str">
        <f t="shared" si="719"/>
        <v>31084</v>
      </c>
      <c r="B19415" s="1" t="str">
        <f>"90023"</f>
        <v>90023</v>
      </c>
      <c r="C19415" s="2">
        <v>9.3927841317199801E-4</v>
      </c>
      <c r="D19415" s="2">
        <v>5.8927519151443701E-4</v>
      </c>
      <c r="E19415" s="2">
        <v>1.1448196908986799E-3</v>
      </c>
      <c r="F19415" s="2">
        <v>9.2837580652648096E-4</v>
      </c>
    </row>
    <row r="19416" spans="1:6" x14ac:dyDescent="0.25">
      <c r="A19416" s="1" t="str">
        <f t="shared" si="719"/>
        <v>31084</v>
      </c>
      <c r="B19416" s="1" t="str">
        <f>"90712"</f>
        <v>90712</v>
      </c>
      <c r="C19416" s="2">
        <v>0</v>
      </c>
      <c r="D19416" s="2">
        <v>0</v>
      </c>
      <c r="E19416" s="2">
        <v>5.7240984544934103E-4</v>
      </c>
      <c r="F19416" s="2">
        <v>4.6418790326323999E-5</v>
      </c>
    </row>
    <row r="19417" spans="1:6" x14ac:dyDescent="0.25">
      <c r="A19417" s="1" t="str">
        <f t="shared" si="719"/>
        <v>31084</v>
      </c>
      <c r="B19417" s="1" t="str">
        <f>"91390"</f>
        <v>91390</v>
      </c>
      <c r="C19417" s="2">
        <v>0</v>
      </c>
      <c r="D19417" s="2">
        <v>0</v>
      </c>
      <c r="E19417" s="2">
        <v>5.7240984544934103E-4</v>
      </c>
      <c r="F19417" s="2">
        <v>4.6418790326323999E-5</v>
      </c>
    </row>
    <row r="19418" spans="1:6" x14ac:dyDescent="0.25">
      <c r="A19418" s="1" t="str">
        <f t="shared" si="719"/>
        <v>31084</v>
      </c>
      <c r="B19418" s="1" t="str">
        <f>"90265"</f>
        <v>90265</v>
      </c>
      <c r="C19418" s="2">
        <v>1.6575501408917599E-4</v>
      </c>
      <c r="D19418" s="2">
        <v>0</v>
      </c>
      <c r="E19418" s="2">
        <v>0</v>
      </c>
      <c r="F19418" s="2">
        <v>1.39256370978972E-4</v>
      </c>
    </row>
    <row r="19419" spans="1:6" x14ac:dyDescent="0.25">
      <c r="A19419" s="1" t="str">
        <f t="shared" si="719"/>
        <v>31084</v>
      </c>
      <c r="B19419" s="1" t="str">
        <f>"90504"</f>
        <v>90504</v>
      </c>
      <c r="C19419" s="2">
        <v>0</v>
      </c>
      <c r="D19419" s="2">
        <v>0</v>
      </c>
      <c r="E19419" s="2">
        <v>1.1448196908986799E-3</v>
      </c>
      <c r="F19419" s="2">
        <v>9.2837580652648094E-5</v>
      </c>
    </row>
    <row r="19420" spans="1:6" x14ac:dyDescent="0.25">
      <c r="A19420" s="1" t="str">
        <f t="shared" si="719"/>
        <v>31084</v>
      </c>
      <c r="B19420" s="1" t="str">
        <f>"90220"</f>
        <v>90220</v>
      </c>
      <c r="C19420" s="2">
        <v>0</v>
      </c>
      <c r="D19420" s="2">
        <v>5.8927519151443701E-4</v>
      </c>
      <c r="E19420" s="2">
        <v>0</v>
      </c>
      <c r="F19420" s="2">
        <v>4.6418790326323999E-5</v>
      </c>
    </row>
    <row r="19421" spans="1:6" x14ac:dyDescent="0.25">
      <c r="A19421" s="1" t="str">
        <f t="shared" si="719"/>
        <v>31084</v>
      </c>
      <c r="B19421" s="1" t="str">
        <f>"90303"</f>
        <v>90303</v>
      </c>
      <c r="C19421" s="2">
        <v>5.5251671363058703E-5</v>
      </c>
      <c r="D19421" s="2">
        <v>1.1785503830288699E-3</v>
      </c>
      <c r="E19421" s="2">
        <v>5.7240984544934103E-4</v>
      </c>
      <c r="F19421" s="2">
        <v>1.85675161305296E-4</v>
      </c>
    </row>
    <row r="19422" spans="1:6" x14ac:dyDescent="0.25">
      <c r="A19422" s="1" t="str">
        <f t="shared" si="719"/>
        <v>31084</v>
      </c>
      <c r="B19422" s="1" t="str">
        <f>"90020"</f>
        <v>90020</v>
      </c>
      <c r="C19422" s="2">
        <v>3.3703519531465801E-3</v>
      </c>
      <c r="D19422" s="2">
        <v>1.3553329404832001E-2</v>
      </c>
      <c r="E19422" s="2">
        <v>1.1448196908986799E-3</v>
      </c>
      <c r="F19422" s="2">
        <v>3.9920159680638702E-3</v>
      </c>
    </row>
    <row r="19423" spans="1:6" x14ac:dyDescent="0.25">
      <c r="A19423" s="1" t="str">
        <f t="shared" si="719"/>
        <v>31084</v>
      </c>
      <c r="B19423" s="1" t="str">
        <f>"90019"</f>
        <v>90019</v>
      </c>
      <c r="C19423" s="2">
        <v>3.2045969390574001E-3</v>
      </c>
      <c r="D19423" s="2">
        <v>3.5356511490866201E-3</v>
      </c>
      <c r="E19423" s="2">
        <v>2.8620492272466999E-3</v>
      </c>
      <c r="F19423" s="2">
        <v>3.2028965325163602E-3</v>
      </c>
    </row>
    <row r="19424" spans="1:6" x14ac:dyDescent="0.25">
      <c r="A19424" s="1" t="str">
        <f t="shared" si="719"/>
        <v>31084</v>
      </c>
      <c r="B19424" s="1" t="str">
        <f>"91745"</f>
        <v>91745</v>
      </c>
      <c r="C19424" s="2">
        <v>0</v>
      </c>
      <c r="D19424" s="2">
        <v>4.71420153211549E-3</v>
      </c>
      <c r="E19424" s="2">
        <v>5.1516886090440701E-3</v>
      </c>
      <c r="F19424" s="2">
        <v>7.8911943554750899E-4</v>
      </c>
    </row>
    <row r="19425" spans="1:6" x14ac:dyDescent="0.25">
      <c r="A19425" s="1" t="str">
        <f t="shared" si="719"/>
        <v>31084</v>
      </c>
      <c r="B19425" s="1" t="str">
        <f>"90731"</f>
        <v>90731</v>
      </c>
      <c r="C19425" s="2">
        <v>1.6575501408917599E-4</v>
      </c>
      <c r="D19425" s="2">
        <v>5.8927519151443701E-4</v>
      </c>
      <c r="E19425" s="2">
        <v>4.0068689181453898E-3</v>
      </c>
      <c r="F19425" s="2">
        <v>5.1060669358956505E-4</v>
      </c>
    </row>
    <row r="19426" spans="1:6" x14ac:dyDescent="0.25">
      <c r="A19426" s="1" t="str">
        <f t="shared" si="719"/>
        <v>31084</v>
      </c>
      <c r="B19426" s="1" t="str">
        <f>"90804"</f>
        <v>90804</v>
      </c>
      <c r="C19426" s="2">
        <v>2.21006685452234E-4</v>
      </c>
      <c r="D19426" s="2">
        <v>0</v>
      </c>
      <c r="E19426" s="2">
        <v>1.6599885518030901E-2</v>
      </c>
      <c r="F19426" s="2">
        <v>1.5318200807686901E-3</v>
      </c>
    </row>
    <row r="19427" spans="1:6" x14ac:dyDescent="0.25">
      <c r="A19427" s="1" t="str">
        <f t="shared" si="719"/>
        <v>31084</v>
      </c>
      <c r="B19427" s="1" t="str">
        <f>"91402"</f>
        <v>91402</v>
      </c>
      <c r="C19427" s="2">
        <v>5.8566771644842199E-3</v>
      </c>
      <c r="D19427" s="2">
        <v>1.7678255745433101E-3</v>
      </c>
      <c r="E19427" s="2">
        <v>2.2896393817973598E-3</v>
      </c>
      <c r="F19427" s="2">
        <v>5.24532330687462E-3</v>
      </c>
    </row>
    <row r="19428" spans="1:6" x14ac:dyDescent="0.25">
      <c r="A19428" s="1" t="str">
        <f t="shared" si="719"/>
        <v>31084</v>
      </c>
      <c r="B19428" s="1" t="str">
        <f>"90034"</f>
        <v>90034</v>
      </c>
      <c r="C19428" s="2">
        <v>1.18791093430576E-2</v>
      </c>
      <c r="D19428" s="2">
        <v>1.7678255745433101E-3</v>
      </c>
      <c r="E19428" s="2">
        <v>6.2965082999427496E-3</v>
      </c>
      <c r="F19428" s="2">
        <v>1.06299029847282E-2</v>
      </c>
    </row>
    <row r="19429" spans="1:6" x14ac:dyDescent="0.25">
      <c r="A19429" s="1" t="str">
        <f t="shared" si="719"/>
        <v>31084</v>
      </c>
      <c r="B19429" s="1" t="str">
        <f>"91007"</f>
        <v>91007</v>
      </c>
      <c r="C19429" s="2">
        <v>2.21006685452234E-4</v>
      </c>
      <c r="D19429" s="2">
        <v>2.3571007660577398E-3</v>
      </c>
      <c r="E19429" s="2">
        <v>5.7240984544934103E-4</v>
      </c>
      <c r="F19429" s="2">
        <v>4.1776911293691602E-4</v>
      </c>
    </row>
    <row r="19430" spans="1:6" x14ac:dyDescent="0.25">
      <c r="A19430" s="1" t="str">
        <f t="shared" si="719"/>
        <v>31084</v>
      </c>
      <c r="B19430" s="1" t="str">
        <f>"90005"</f>
        <v>90005</v>
      </c>
      <c r="C19430" s="2">
        <v>1.8619813249350699E-2</v>
      </c>
      <c r="D19430" s="2">
        <v>2.3571007660577398E-3</v>
      </c>
      <c r="E19430" s="2">
        <v>2.8620492272466999E-3</v>
      </c>
      <c r="F19430" s="2">
        <v>1.6060901452908099E-2</v>
      </c>
    </row>
    <row r="19431" spans="1:6" x14ac:dyDescent="0.25">
      <c r="A19431" s="1" t="str">
        <f t="shared" si="719"/>
        <v>31084</v>
      </c>
      <c r="B19431" s="1" t="str">
        <f>"91405"</f>
        <v>91405</v>
      </c>
      <c r="C19431" s="2">
        <v>8.8402674180893901E-3</v>
      </c>
      <c r="D19431" s="2">
        <v>9.4284030642309904E-3</v>
      </c>
      <c r="E19431" s="2">
        <v>2.2896393817973598E-3</v>
      </c>
      <c r="F19431" s="2">
        <v>8.3553822587383308E-3</v>
      </c>
    </row>
    <row r="19432" spans="1:6" x14ac:dyDescent="0.25">
      <c r="A19432" s="1" t="str">
        <f t="shared" si="719"/>
        <v>31084</v>
      </c>
      <c r="B19432" s="1" t="str">
        <f>"91780"</f>
        <v>91780</v>
      </c>
      <c r="C19432" s="2">
        <v>4.9173987513122198E-3</v>
      </c>
      <c r="D19432" s="2">
        <v>2.3571007660577398E-3</v>
      </c>
      <c r="E19432" s="2">
        <v>2.7475672581568401E-2</v>
      </c>
      <c r="F19432" s="2">
        <v>6.5450494360116901E-3</v>
      </c>
    </row>
    <row r="19433" spans="1:6" x14ac:dyDescent="0.25">
      <c r="A19433" s="1" t="str">
        <f t="shared" si="719"/>
        <v>31084</v>
      </c>
      <c r="B19433" s="1" t="str">
        <f>"91016"</f>
        <v>91016</v>
      </c>
      <c r="C19433" s="2">
        <v>2.30399469583954E-2</v>
      </c>
      <c r="D19433" s="2">
        <v>2.3571007660577398E-3</v>
      </c>
      <c r="E19433" s="2">
        <v>2.7475672581568401E-2</v>
      </c>
      <c r="F19433" s="2">
        <v>2.1770412663045999E-2</v>
      </c>
    </row>
    <row r="19434" spans="1:6" x14ac:dyDescent="0.25">
      <c r="A19434" s="1" t="str">
        <f t="shared" si="719"/>
        <v>31084</v>
      </c>
      <c r="B19434" s="1" t="str">
        <f>"91732"</f>
        <v>91732</v>
      </c>
      <c r="C19434" s="2">
        <v>7.0722139344715097E-3</v>
      </c>
      <c r="D19434" s="2">
        <v>0</v>
      </c>
      <c r="E19434" s="2">
        <v>4.9227246708643299E-2</v>
      </c>
      <c r="F19434" s="2">
        <v>9.9336211298333508E-3</v>
      </c>
    </row>
    <row r="19435" spans="1:6" x14ac:dyDescent="0.25">
      <c r="A19435" s="1" t="str">
        <f t="shared" si="719"/>
        <v>31084</v>
      </c>
      <c r="B19435" s="1" t="str">
        <f>"90640"</f>
        <v>90640</v>
      </c>
      <c r="C19435" s="2">
        <v>6.6854522349301003E-3</v>
      </c>
      <c r="D19435" s="2">
        <v>1.11962286387743E-2</v>
      </c>
      <c r="E19435" s="2">
        <v>4.3503148254149901E-2</v>
      </c>
      <c r="F19435" s="2">
        <v>1.0026458710486E-2</v>
      </c>
    </row>
    <row r="19436" spans="1:6" x14ac:dyDescent="0.25">
      <c r="A19436" s="1" t="str">
        <f t="shared" si="719"/>
        <v>31084</v>
      </c>
      <c r="B19436" s="1" t="str">
        <f>"90043"</f>
        <v>90043</v>
      </c>
      <c r="C19436" s="2">
        <v>1.10503342726117E-4</v>
      </c>
      <c r="D19436" s="2">
        <v>0</v>
      </c>
      <c r="E19436" s="2">
        <v>0</v>
      </c>
      <c r="F19436" s="2">
        <v>9.2837580652648094E-5</v>
      </c>
    </row>
    <row r="19437" spans="1:6" x14ac:dyDescent="0.25">
      <c r="A19437" s="1" t="str">
        <f t="shared" si="719"/>
        <v>31084</v>
      </c>
      <c r="B19437" s="1" t="str">
        <f>"90032"</f>
        <v>90032</v>
      </c>
      <c r="C19437" s="2">
        <v>0</v>
      </c>
      <c r="D19437" s="2">
        <v>2.3571007660577398E-3</v>
      </c>
      <c r="E19437" s="2">
        <v>5.7240984544934103E-4</v>
      </c>
      <c r="F19437" s="2">
        <v>2.3209395163162E-4</v>
      </c>
    </row>
    <row r="19438" spans="1:6" x14ac:dyDescent="0.25">
      <c r="A19438" s="1" t="str">
        <f t="shared" si="719"/>
        <v>31084</v>
      </c>
      <c r="B19438" s="1" t="str">
        <f>"91501"</f>
        <v>91501</v>
      </c>
      <c r="C19438" s="2">
        <v>0</v>
      </c>
      <c r="D19438" s="2">
        <v>0</v>
      </c>
      <c r="E19438" s="2">
        <v>5.7240984544934103E-4</v>
      </c>
      <c r="F19438" s="2">
        <v>4.6418790326323999E-5</v>
      </c>
    </row>
    <row r="19439" spans="1:6" x14ac:dyDescent="0.25">
      <c r="A19439" s="1" t="str">
        <f t="shared" si="719"/>
        <v>31084</v>
      </c>
      <c r="B19439" s="1" t="str">
        <f>"91740"</f>
        <v>91740</v>
      </c>
      <c r="C19439" s="2">
        <v>0</v>
      </c>
      <c r="D19439" s="2">
        <v>0</v>
      </c>
      <c r="E19439" s="2">
        <v>2.2896393817973598E-3</v>
      </c>
      <c r="F19439" s="2">
        <v>1.85675161305296E-4</v>
      </c>
    </row>
    <row r="19440" spans="1:6" x14ac:dyDescent="0.25">
      <c r="A19440" s="1" t="str">
        <f t="shared" si="719"/>
        <v>31084</v>
      </c>
      <c r="B19440" s="1" t="str">
        <f>"90506"</f>
        <v>90506</v>
      </c>
      <c r="C19440" s="2">
        <v>0</v>
      </c>
      <c r="D19440" s="2">
        <v>0</v>
      </c>
      <c r="E19440" s="2">
        <v>5.7240984544934103E-4</v>
      </c>
      <c r="F19440" s="2">
        <v>4.6418790326323999E-5</v>
      </c>
    </row>
    <row r="19441" spans="1:6" x14ac:dyDescent="0.25">
      <c r="A19441" s="1" t="str">
        <f t="shared" si="719"/>
        <v>31084</v>
      </c>
      <c r="B19441" s="1" t="str">
        <f>"91384"</f>
        <v>91384</v>
      </c>
      <c r="C19441" s="2">
        <v>5.5251671363058703E-5</v>
      </c>
      <c r="D19441" s="2">
        <v>0</v>
      </c>
      <c r="E19441" s="2">
        <v>5.7240984544934103E-4</v>
      </c>
      <c r="F19441" s="2">
        <v>9.2837580652648094E-5</v>
      </c>
    </row>
    <row r="19442" spans="1:6" x14ac:dyDescent="0.25">
      <c r="A19442" s="1" t="str">
        <f t="shared" si="719"/>
        <v>31084</v>
      </c>
      <c r="B19442" s="1" t="str">
        <f>"90671"</f>
        <v>90671</v>
      </c>
      <c r="C19442" s="2">
        <v>0</v>
      </c>
      <c r="D19442" s="2">
        <v>0</v>
      </c>
      <c r="E19442" s="2">
        <v>5.7240984544934103E-4</v>
      </c>
      <c r="F19442" s="2">
        <v>4.6418790326323999E-5</v>
      </c>
    </row>
    <row r="19443" spans="1:6" x14ac:dyDescent="0.25">
      <c r="A19443" s="1" t="str">
        <f t="shared" si="719"/>
        <v>31084</v>
      </c>
      <c r="B19443" s="1" t="str">
        <f>"90651"</f>
        <v>90651</v>
      </c>
      <c r="C19443" s="2">
        <v>0</v>
      </c>
      <c r="D19443" s="2">
        <v>0</v>
      </c>
      <c r="E19443" s="2">
        <v>5.7240984544934103E-4</v>
      </c>
      <c r="F19443" s="2">
        <v>4.6418790326323999E-5</v>
      </c>
    </row>
    <row r="19444" spans="1:6" x14ac:dyDescent="0.25">
      <c r="A19444" s="1" t="str">
        <f t="shared" si="719"/>
        <v>31084</v>
      </c>
      <c r="B19444" s="1" t="str">
        <f>"91343"</f>
        <v>91343</v>
      </c>
      <c r="C19444" s="2">
        <v>8.8402674180893903E-4</v>
      </c>
      <c r="D19444" s="2">
        <v>5.8927519151443701E-4</v>
      </c>
      <c r="E19444" s="2">
        <v>5.7240984544934103E-4</v>
      </c>
      <c r="F19444" s="2">
        <v>8.3553822587383302E-4</v>
      </c>
    </row>
    <row r="19445" spans="1:6" x14ac:dyDescent="0.25">
      <c r="A19445" s="1" t="str">
        <f t="shared" si="719"/>
        <v>31084</v>
      </c>
      <c r="B19445" s="1" t="str">
        <f>"93543"</f>
        <v>93543</v>
      </c>
      <c r="C19445" s="2">
        <v>5.5251671363058703E-5</v>
      </c>
      <c r="D19445" s="2">
        <v>0</v>
      </c>
      <c r="E19445" s="2">
        <v>0</v>
      </c>
      <c r="F19445" s="2">
        <v>4.6418790326323999E-5</v>
      </c>
    </row>
    <row r="19446" spans="1:6" x14ac:dyDescent="0.25">
      <c r="A19446" s="1" t="str">
        <f t="shared" si="719"/>
        <v>31084</v>
      </c>
      <c r="B19446" s="1" t="str">
        <f>"90261"</f>
        <v>90261</v>
      </c>
      <c r="C19446" s="2">
        <v>0</v>
      </c>
      <c r="D19446" s="2">
        <v>0</v>
      </c>
      <c r="E19446" s="2">
        <v>5.7240984544934103E-4</v>
      </c>
      <c r="F19446" s="2">
        <v>4.6418790326323999E-5</v>
      </c>
    </row>
    <row r="19447" spans="1:6" x14ac:dyDescent="0.25">
      <c r="A19447" s="1" t="str">
        <f t="shared" si="719"/>
        <v>31084</v>
      </c>
      <c r="B19447" s="1" t="str">
        <f>"90274"</f>
        <v>90274</v>
      </c>
      <c r="C19447" s="2">
        <v>0</v>
      </c>
      <c r="D19447" s="2">
        <v>1.7678255745433101E-3</v>
      </c>
      <c r="E19447" s="2">
        <v>5.7240984544934103E-4</v>
      </c>
      <c r="F19447" s="2">
        <v>1.85675161305296E-4</v>
      </c>
    </row>
    <row r="19448" spans="1:6" x14ac:dyDescent="0.25">
      <c r="A19448" s="1" t="str">
        <f t="shared" si="719"/>
        <v>31084</v>
      </c>
      <c r="B19448" s="1" t="str">
        <f>"91792"</f>
        <v>91792</v>
      </c>
      <c r="C19448" s="2">
        <v>0</v>
      </c>
      <c r="D19448" s="2">
        <v>5.8927519151443701E-4</v>
      </c>
      <c r="E19448" s="2">
        <v>1.1448196908986799E-3</v>
      </c>
      <c r="F19448" s="2">
        <v>1.39256370978972E-4</v>
      </c>
    </row>
    <row r="19449" spans="1:6" x14ac:dyDescent="0.25">
      <c r="A19449" s="1" t="str">
        <f t="shared" si="719"/>
        <v>31084</v>
      </c>
      <c r="B19449" s="1" t="str">
        <f>"90831"</f>
        <v>90831</v>
      </c>
      <c r="C19449" s="2">
        <v>0</v>
      </c>
      <c r="D19449" s="2">
        <v>5.8927519151443701E-4</v>
      </c>
      <c r="E19449" s="2">
        <v>5.7240984544934103E-4</v>
      </c>
      <c r="F19449" s="2">
        <v>9.2837580652648094E-5</v>
      </c>
    </row>
    <row r="19450" spans="1:6" x14ac:dyDescent="0.25">
      <c r="A19450" s="1" t="str">
        <f t="shared" si="719"/>
        <v>31084</v>
      </c>
      <c r="B19450" s="1" t="str">
        <f>"90240"</f>
        <v>90240</v>
      </c>
      <c r="C19450" s="2">
        <v>1.6022984695287E-3</v>
      </c>
      <c r="D19450" s="2">
        <v>5.8927519151443701E-4</v>
      </c>
      <c r="E19450" s="2">
        <v>5.7240984544934103E-4</v>
      </c>
      <c r="F19450" s="2">
        <v>1.4389825001160401E-3</v>
      </c>
    </row>
    <row r="19451" spans="1:6" x14ac:dyDescent="0.25">
      <c r="A19451" s="1" t="str">
        <f t="shared" si="719"/>
        <v>31084</v>
      </c>
      <c r="B19451" s="1" t="str">
        <f>"90077"</f>
        <v>90077</v>
      </c>
      <c r="C19451" s="2">
        <v>0</v>
      </c>
      <c r="D19451" s="2">
        <v>1.7678255745433101E-3</v>
      </c>
      <c r="E19451" s="2">
        <v>1.1448196908986799E-3</v>
      </c>
      <c r="F19451" s="2">
        <v>2.3209395163162E-4</v>
      </c>
    </row>
    <row r="19452" spans="1:6" x14ac:dyDescent="0.25">
      <c r="A19452" s="1" t="str">
        <f t="shared" si="719"/>
        <v>31084</v>
      </c>
      <c r="B19452" s="1" t="str">
        <f>"90212"</f>
        <v>90212</v>
      </c>
      <c r="C19452" s="2">
        <v>0</v>
      </c>
      <c r="D19452" s="2">
        <v>2.3571007660577398E-3</v>
      </c>
      <c r="E19452" s="2">
        <v>0</v>
      </c>
      <c r="F19452" s="2">
        <v>1.85675161305296E-4</v>
      </c>
    </row>
    <row r="19453" spans="1:6" x14ac:dyDescent="0.25">
      <c r="A19453" s="1" t="str">
        <f t="shared" si="719"/>
        <v>31084</v>
      </c>
      <c r="B19453" s="1" t="str">
        <f>"90505"</f>
        <v>90505</v>
      </c>
      <c r="C19453" s="2">
        <v>5.5251671363058703E-5</v>
      </c>
      <c r="D19453" s="2">
        <v>5.8927519151443701E-4</v>
      </c>
      <c r="E19453" s="2">
        <v>4.0068689181453898E-3</v>
      </c>
      <c r="F19453" s="2">
        <v>4.1776911293691602E-4</v>
      </c>
    </row>
    <row r="19454" spans="1:6" x14ac:dyDescent="0.25">
      <c r="A19454" s="1" t="str">
        <f t="shared" si="719"/>
        <v>31084</v>
      </c>
      <c r="B19454" s="1" t="str">
        <f>"91755"</f>
        <v>91755</v>
      </c>
      <c r="C19454" s="2">
        <v>6.6302005635670398E-4</v>
      </c>
      <c r="D19454" s="2">
        <v>5.30347672362993E-3</v>
      </c>
      <c r="E19454" s="2">
        <v>5.1516886090440701E-3</v>
      </c>
      <c r="F19454" s="2">
        <v>1.3925637097897199E-3</v>
      </c>
    </row>
    <row r="19455" spans="1:6" x14ac:dyDescent="0.25">
      <c r="A19455" s="1" t="str">
        <f t="shared" si="719"/>
        <v>31084</v>
      </c>
      <c r="B19455" s="1" t="str">
        <f>"90806"</f>
        <v>90806</v>
      </c>
      <c r="C19455" s="2">
        <v>0</v>
      </c>
      <c r="D19455" s="2">
        <v>0</v>
      </c>
      <c r="E19455" s="2">
        <v>5.1516886090440701E-3</v>
      </c>
      <c r="F19455" s="2">
        <v>4.1776911293691602E-4</v>
      </c>
    </row>
    <row r="19456" spans="1:6" x14ac:dyDescent="0.25">
      <c r="A19456" s="1" t="str">
        <f t="shared" si="719"/>
        <v>31084</v>
      </c>
      <c r="B19456" s="1" t="str">
        <f>"90745"</f>
        <v>90745</v>
      </c>
      <c r="C19456" s="2">
        <v>4.0886236808663403E-3</v>
      </c>
      <c r="D19456" s="2">
        <v>5.8927519151443701E-4</v>
      </c>
      <c r="E19456" s="2">
        <v>2.8620492272466999E-3</v>
      </c>
      <c r="F19456" s="2">
        <v>3.71350322610592E-3</v>
      </c>
    </row>
    <row r="19457" spans="1:6" x14ac:dyDescent="0.25">
      <c r="A19457" s="1" t="str">
        <f t="shared" si="719"/>
        <v>31084</v>
      </c>
      <c r="B19457" s="1" t="str">
        <f>"90070"</f>
        <v>90070</v>
      </c>
      <c r="C19457" s="2">
        <v>1.0055804188076599E-2</v>
      </c>
      <c r="D19457" s="2">
        <v>3.4767236299351703E-2</v>
      </c>
      <c r="E19457" s="2">
        <v>1.1448196908986799E-3</v>
      </c>
      <c r="F19457" s="2">
        <v>1.1279766049296701E-2</v>
      </c>
    </row>
    <row r="19458" spans="1:6" x14ac:dyDescent="0.25">
      <c r="A19458" s="1" t="str">
        <f t="shared" si="719"/>
        <v>31084</v>
      </c>
      <c r="B19458" s="1" t="str">
        <f>"91367"</f>
        <v>91367</v>
      </c>
      <c r="C19458" s="2">
        <v>0</v>
      </c>
      <c r="D19458" s="2">
        <v>2.0035356511490798E-2</v>
      </c>
      <c r="E19458" s="2">
        <v>5.7240984544934103E-4</v>
      </c>
      <c r="F19458" s="2">
        <v>1.6246576614213401E-3</v>
      </c>
    </row>
    <row r="19459" spans="1:6" x14ac:dyDescent="0.25">
      <c r="A19459" s="1" t="str">
        <f t="shared" si="719"/>
        <v>31084</v>
      </c>
      <c r="B19459" s="1" t="str">
        <f>"90241"</f>
        <v>90241</v>
      </c>
      <c r="C19459" s="2">
        <v>1.6575501408917599E-4</v>
      </c>
      <c r="D19459" s="2">
        <v>1.1785503830288699E-3</v>
      </c>
      <c r="E19459" s="2">
        <v>5.7240984544934103E-4</v>
      </c>
      <c r="F19459" s="2">
        <v>2.78512741957944E-4</v>
      </c>
    </row>
    <row r="19460" spans="1:6" x14ac:dyDescent="0.25">
      <c r="A19460" s="1" t="str">
        <f t="shared" si="719"/>
        <v>31084</v>
      </c>
      <c r="B19460" s="1" t="str">
        <f>"91606"</f>
        <v>91606</v>
      </c>
      <c r="C19460" s="2">
        <v>1.10503342726117E-4</v>
      </c>
      <c r="D19460" s="2">
        <v>5.8927519151443701E-4</v>
      </c>
      <c r="E19460" s="2">
        <v>0</v>
      </c>
      <c r="F19460" s="2">
        <v>1.39256370978972E-4</v>
      </c>
    </row>
    <row r="19461" spans="1:6" x14ac:dyDescent="0.25">
      <c r="A19461" s="1" t="str">
        <f t="shared" si="719"/>
        <v>31084</v>
      </c>
      <c r="B19461" s="1" t="str">
        <f>"91205"</f>
        <v>91205</v>
      </c>
      <c r="C19461" s="2">
        <v>0</v>
      </c>
      <c r="D19461" s="2">
        <v>2.3571007660577398E-3</v>
      </c>
      <c r="E19461" s="2">
        <v>1.7172295363480201E-3</v>
      </c>
      <c r="F19461" s="2">
        <v>3.2493153228426802E-4</v>
      </c>
    </row>
    <row r="19462" spans="1:6" x14ac:dyDescent="0.25">
      <c r="A19462" s="1" t="str">
        <f t="shared" si="719"/>
        <v>31084</v>
      </c>
      <c r="B19462" s="1" t="str">
        <f>"90245"</f>
        <v>90245</v>
      </c>
      <c r="C19462" s="2">
        <v>1.10503342726117E-4</v>
      </c>
      <c r="D19462" s="2">
        <v>3.5356511490866201E-3</v>
      </c>
      <c r="E19462" s="2">
        <v>1.1448196908986799E-3</v>
      </c>
      <c r="F19462" s="2">
        <v>4.6418790326323999E-4</v>
      </c>
    </row>
    <row r="19463" spans="1:6" x14ac:dyDescent="0.25">
      <c r="A19463" s="1" t="str">
        <f t="shared" si="719"/>
        <v>31084</v>
      </c>
      <c r="B19463" s="1" t="str">
        <f>"90007"</f>
        <v>90007</v>
      </c>
      <c r="C19463" s="2">
        <v>2.21006685452234E-4</v>
      </c>
      <c r="D19463" s="2">
        <v>5.8927519151443701E-4</v>
      </c>
      <c r="E19463" s="2">
        <v>1.1448196908986799E-3</v>
      </c>
      <c r="F19463" s="2">
        <v>3.2493153228426802E-4</v>
      </c>
    </row>
    <row r="19464" spans="1:6" x14ac:dyDescent="0.25">
      <c r="A19464" s="1" t="str">
        <f t="shared" si="719"/>
        <v>31084</v>
      </c>
      <c r="B19464" s="1" t="str">
        <f>"90010"</f>
        <v>90010</v>
      </c>
      <c r="C19464" s="2">
        <v>0</v>
      </c>
      <c r="D19464" s="2">
        <v>1.11962286387743E-2</v>
      </c>
      <c r="E19464" s="2">
        <v>5.7240984544934103E-4</v>
      </c>
      <c r="F19464" s="2">
        <v>9.2837580652648096E-4</v>
      </c>
    </row>
    <row r="19465" spans="1:6" x14ac:dyDescent="0.25">
      <c r="A19465" s="1" t="str">
        <f t="shared" si="719"/>
        <v>31084</v>
      </c>
      <c r="B19465" s="1" t="str">
        <f>"91364"</f>
        <v>91364</v>
      </c>
      <c r="C19465" s="2">
        <v>3.8676169954141102E-4</v>
      </c>
      <c r="D19465" s="2">
        <v>3.5356511490866201E-3</v>
      </c>
      <c r="E19465" s="2">
        <v>1.1448196908986799E-3</v>
      </c>
      <c r="F19465" s="2">
        <v>6.9628185489486105E-4</v>
      </c>
    </row>
    <row r="19466" spans="1:6" x14ac:dyDescent="0.25">
      <c r="A19466" s="1" t="str">
        <f t="shared" si="719"/>
        <v>31084</v>
      </c>
      <c r="B19466" s="1" t="str">
        <f>"91766"</f>
        <v>91766</v>
      </c>
      <c r="C19466" s="2">
        <v>9.1165257749046893E-3</v>
      </c>
      <c r="D19466" s="2">
        <v>5.30347672362993E-3</v>
      </c>
      <c r="E19466" s="2">
        <v>1.03033772180881E-2</v>
      </c>
      <c r="F19466" s="2">
        <v>8.91240774265422E-3</v>
      </c>
    </row>
    <row r="19467" spans="1:6" x14ac:dyDescent="0.25">
      <c r="A19467" s="1" t="str">
        <f t="shared" si="719"/>
        <v>31084</v>
      </c>
      <c r="B19467" s="1" t="str">
        <f>"91803"</f>
        <v>91803</v>
      </c>
      <c r="C19467" s="2">
        <v>1.22106193712359E-2</v>
      </c>
      <c r="D19467" s="2">
        <v>0</v>
      </c>
      <c r="E19467" s="2">
        <v>5.9530623926731502E-2</v>
      </c>
      <c r="F19467" s="2">
        <v>1.50861068560553E-2</v>
      </c>
    </row>
    <row r="19468" spans="1:6" x14ac:dyDescent="0.25">
      <c r="A19468" s="1" t="str">
        <f t="shared" si="719"/>
        <v>31084</v>
      </c>
      <c r="B19468" s="1" t="str">
        <f>"90021"</f>
        <v>90021</v>
      </c>
      <c r="C19468" s="2">
        <v>3.1493452676943398E-3</v>
      </c>
      <c r="D19468" s="2">
        <v>9.3105480259281004E-2</v>
      </c>
      <c r="E19468" s="2">
        <v>2.2896393817973598E-3</v>
      </c>
      <c r="F19468" s="2">
        <v>1.01657150814649E-2</v>
      </c>
    </row>
    <row r="19469" spans="1:6" x14ac:dyDescent="0.25">
      <c r="A19469" s="1" t="str">
        <f t="shared" si="719"/>
        <v>31084</v>
      </c>
      <c r="B19469" s="1" t="str">
        <f>"91608"</f>
        <v>91608</v>
      </c>
      <c r="C19469" s="2">
        <v>0</v>
      </c>
      <c r="D19469" s="2">
        <v>0</v>
      </c>
      <c r="E19469" s="2">
        <v>5.7240984544934103E-4</v>
      </c>
      <c r="F19469" s="2">
        <v>4.6418790326323999E-5</v>
      </c>
    </row>
    <row r="19470" spans="1:6" x14ac:dyDescent="0.25">
      <c r="A19470" s="1" t="str">
        <f t="shared" si="719"/>
        <v>31084</v>
      </c>
      <c r="B19470" s="1" t="str">
        <f>"90701"</f>
        <v>90701</v>
      </c>
      <c r="C19470" s="2">
        <v>3.3151002817835199E-4</v>
      </c>
      <c r="D19470" s="2">
        <v>1.7678255745433101E-3</v>
      </c>
      <c r="E19470" s="2">
        <v>2.2896393817973598E-3</v>
      </c>
      <c r="F19470" s="2">
        <v>6.03444274242213E-4</v>
      </c>
    </row>
    <row r="19471" spans="1:6" x14ac:dyDescent="0.25">
      <c r="A19471" s="1" t="str">
        <f t="shared" si="719"/>
        <v>31084</v>
      </c>
      <c r="B19471" s="1" t="str">
        <f>"90003"</f>
        <v>90003</v>
      </c>
      <c r="C19471" s="2">
        <v>2.21006685452234E-4</v>
      </c>
      <c r="D19471" s="2">
        <v>0</v>
      </c>
      <c r="E19471" s="2">
        <v>5.7240984544934103E-4</v>
      </c>
      <c r="F19471" s="2">
        <v>2.3209395163162E-4</v>
      </c>
    </row>
    <row r="19472" spans="1:6" x14ac:dyDescent="0.25">
      <c r="A19472" s="1" t="str">
        <f t="shared" si="719"/>
        <v>31084</v>
      </c>
      <c r="B19472" s="1" t="str">
        <f>"91316"</f>
        <v>91316</v>
      </c>
      <c r="C19472" s="2">
        <v>5.5251671363058703E-5</v>
      </c>
      <c r="D19472" s="2">
        <v>2.9463759575721802E-3</v>
      </c>
      <c r="E19472" s="2">
        <v>5.7240984544934103E-4</v>
      </c>
      <c r="F19472" s="2">
        <v>3.2493153228426802E-4</v>
      </c>
    </row>
    <row r="19473" spans="1:6" x14ac:dyDescent="0.25">
      <c r="A19473" s="1" t="str">
        <f t="shared" si="719"/>
        <v>31084</v>
      </c>
      <c r="B19473" s="1" t="str">
        <f>"90047"</f>
        <v>90047</v>
      </c>
      <c r="C19473" s="2">
        <v>3.0940935963312799E-3</v>
      </c>
      <c r="D19473" s="2">
        <v>5.8927519151443701E-4</v>
      </c>
      <c r="E19473" s="2">
        <v>0</v>
      </c>
      <c r="F19473" s="2">
        <v>2.6458710486004702E-3</v>
      </c>
    </row>
    <row r="19474" spans="1:6" x14ac:dyDescent="0.25">
      <c r="A19474" s="1" t="str">
        <f t="shared" si="719"/>
        <v>31084</v>
      </c>
      <c r="B19474" s="1" t="str">
        <f>"90071"</f>
        <v>90071</v>
      </c>
      <c r="C19474" s="2">
        <v>0</v>
      </c>
      <c r="D19474" s="2">
        <v>1.2964054213317601E-2</v>
      </c>
      <c r="E19474" s="2">
        <v>2.8620492272466999E-3</v>
      </c>
      <c r="F19474" s="2">
        <v>1.25330733881075E-3</v>
      </c>
    </row>
    <row r="19475" spans="1:6" x14ac:dyDescent="0.25">
      <c r="A19475" s="1" t="str">
        <f t="shared" si="719"/>
        <v>31084</v>
      </c>
      <c r="B19475" s="1" t="str">
        <f>"91302"</f>
        <v>91302</v>
      </c>
      <c r="C19475" s="2">
        <v>4.36488203768163E-3</v>
      </c>
      <c r="D19475" s="2">
        <v>4.71420153211549E-3</v>
      </c>
      <c r="E19475" s="2">
        <v>5.7240984544934103E-4</v>
      </c>
      <c r="F19475" s="2">
        <v>4.0848535487165204E-3</v>
      </c>
    </row>
    <row r="19476" spans="1:6" x14ac:dyDescent="0.25">
      <c r="A19476" s="1" t="str">
        <f t="shared" si="719"/>
        <v>31084</v>
      </c>
      <c r="B19476" s="1" t="str">
        <f>"90045"</f>
        <v>90045</v>
      </c>
      <c r="C19476" s="2">
        <v>4.1438753522294001E-3</v>
      </c>
      <c r="D19476" s="2">
        <v>2.9463759575721802E-3</v>
      </c>
      <c r="E19476" s="2">
        <v>2.8620492272466999E-3</v>
      </c>
      <c r="F19476" s="2">
        <v>3.9455971777375403E-3</v>
      </c>
    </row>
    <row r="19477" spans="1:6" x14ac:dyDescent="0.25">
      <c r="A19477" s="1" t="str">
        <f t="shared" si="719"/>
        <v>31084</v>
      </c>
      <c r="B19477" s="1" t="str">
        <f>"90711"</f>
        <v>90711</v>
      </c>
      <c r="C19477" s="2">
        <v>0</v>
      </c>
      <c r="D19477" s="2">
        <v>0</v>
      </c>
      <c r="E19477" s="2">
        <v>5.7240984544934103E-4</v>
      </c>
      <c r="F19477" s="2">
        <v>4.6418790326323999E-5</v>
      </c>
    </row>
    <row r="19478" spans="1:6" x14ac:dyDescent="0.25">
      <c r="A19478" s="1" t="str">
        <f t="shared" ref="A19478:A19519" si="720">"31084"</f>
        <v>31084</v>
      </c>
      <c r="B19478" s="1" t="str">
        <f>"90094"</f>
        <v>90094</v>
      </c>
      <c r="C19478" s="2">
        <v>6.29869053538869E-3</v>
      </c>
      <c r="D19478" s="2">
        <v>1.7678255745433101E-3</v>
      </c>
      <c r="E19478" s="2">
        <v>5.7240984544934103E-4</v>
      </c>
      <c r="F19478" s="2">
        <v>5.4774172585062399E-3</v>
      </c>
    </row>
    <row r="19479" spans="1:6" x14ac:dyDescent="0.25">
      <c r="A19479" s="1" t="str">
        <f t="shared" si="720"/>
        <v>31084</v>
      </c>
      <c r="B19479" s="1" t="str">
        <f>"90210"</f>
        <v>90210</v>
      </c>
      <c r="C19479" s="2">
        <v>0</v>
      </c>
      <c r="D19479" s="2">
        <v>7.0713022981732402E-3</v>
      </c>
      <c r="E19479" s="2">
        <v>5.7240984544934103E-4</v>
      </c>
      <c r="F19479" s="2">
        <v>6.03444274242213E-4</v>
      </c>
    </row>
    <row r="19480" spans="1:6" x14ac:dyDescent="0.25">
      <c r="A19480" s="1" t="str">
        <f t="shared" si="720"/>
        <v>31084</v>
      </c>
      <c r="B19480" s="1" t="str">
        <f>"90013"</f>
        <v>90013</v>
      </c>
      <c r="C19480" s="2">
        <v>3.6631858113707901E-2</v>
      </c>
      <c r="D19480" s="2">
        <v>1.7088980553918599E-2</v>
      </c>
      <c r="E19480" s="2">
        <v>1.7172295363480201E-3</v>
      </c>
      <c r="F19480" s="2">
        <v>3.22610592767952E-2</v>
      </c>
    </row>
    <row r="19481" spans="1:6" x14ac:dyDescent="0.25">
      <c r="A19481" s="1" t="str">
        <f t="shared" si="720"/>
        <v>31084</v>
      </c>
      <c r="B19481" s="1" t="str">
        <f>"90058"</f>
        <v>90058</v>
      </c>
      <c r="C19481" s="2">
        <v>1.6575501408917599E-4</v>
      </c>
      <c r="D19481" s="2">
        <v>3.5356511490866201E-3</v>
      </c>
      <c r="E19481" s="2">
        <v>1.1448196908986799E-3</v>
      </c>
      <c r="F19481" s="2">
        <v>5.1060669358956505E-4</v>
      </c>
    </row>
    <row r="19482" spans="1:6" x14ac:dyDescent="0.25">
      <c r="A19482" s="1" t="str">
        <f t="shared" si="720"/>
        <v>31084</v>
      </c>
      <c r="B19482" s="1" t="str">
        <f>"90035"</f>
        <v>90035</v>
      </c>
      <c r="C19482" s="2">
        <v>5.9671805072103396E-3</v>
      </c>
      <c r="D19482" s="2">
        <v>0</v>
      </c>
      <c r="E19482" s="2">
        <v>2.2896393817973598E-3</v>
      </c>
      <c r="F19482" s="2">
        <v>5.1989045165482901E-3</v>
      </c>
    </row>
    <row r="19483" spans="1:6" x14ac:dyDescent="0.25">
      <c r="A19483" s="1" t="str">
        <f t="shared" si="720"/>
        <v>31084</v>
      </c>
      <c r="B19483" s="1" t="str">
        <f>"90404"</f>
        <v>90404</v>
      </c>
      <c r="C19483" s="2">
        <v>1.1105585943974801E-2</v>
      </c>
      <c r="D19483" s="2">
        <v>4.1249263406010596E-3</v>
      </c>
      <c r="E19483" s="2">
        <v>4.57927876359473E-3</v>
      </c>
      <c r="F19483" s="2">
        <v>1.0026458710486E-2</v>
      </c>
    </row>
    <row r="19484" spans="1:6" x14ac:dyDescent="0.25">
      <c r="A19484" s="1" t="str">
        <f t="shared" si="720"/>
        <v>31084</v>
      </c>
      <c r="B19484" s="1" t="str">
        <f>"90814"</f>
        <v>90814</v>
      </c>
      <c r="C19484" s="2">
        <v>1.6575501408917599E-4</v>
      </c>
      <c r="D19484" s="2">
        <v>0</v>
      </c>
      <c r="E19484" s="2">
        <v>2.8620492272467001E-2</v>
      </c>
      <c r="F19484" s="2">
        <v>2.4601958872951702E-3</v>
      </c>
    </row>
    <row r="19485" spans="1:6" x14ac:dyDescent="0.25">
      <c r="A19485" s="1" t="str">
        <f t="shared" si="720"/>
        <v>31084</v>
      </c>
      <c r="B19485" s="1" t="str">
        <f>"91776"</f>
        <v>91776</v>
      </c>
      <c r="C19485" s="2">
        <v>4.86214707994916E-3</v>
      </c>
      <c r="D19485" s="2">
        <v>7.6605774896876802E-3</v>
      </c>
      <c r="E19485" s="2">
        <v>2.7475672581568401E-2</v>
      </c>
      <c r="F19485" s="2">
        <v>6.9163997586222901E-3</v>
      </c>
    </row>
    <row r="19486" spans="1:6" x14ac:dyDescent="0.25">
      <c r="A19486" s="1" t="str">
        <f t="shared" si="720"/>
        <v>31084</v>
      </c>
      <c r="B19486" s="1" t="str">
        <f>"90802"</f>
        <v>90802</v>
      </c>
      <c r="C19486" s="2">
        <v>2.1271893474777599E-2</v>
      </c>
      <c r="D19486" s="2">
        <v>7.0713022981732402E-3</v>
      </c>
      <c r="E19486" s="2">
        <v>1.03033772180881E-2</v>
      </c>
      <c r="F19486" s="2">
        <v>1.9263797985424401E-2</v>
      </c>
    </row>
    <row r="19487" spans="1:6" x14ac:dyDescent="0.25">
      <c r="A19487" s="1" t="str">
        <f t="shared" si="720"/>
        <v>31084</v>
      </c>
      <c r="B19487" s="1" t="str">
        <f>"90853"</f>
        <v>90853</v>
      </c>
      <c r="C19487" s="2">
        <v>0</v>
      </c>
      <c r="D19487" s="2">
        <v>0</v>
      </c>
      <c r="E19487" s="2">
        <v>5.7240984544934103E-4</v>
      </c>
      <c r="F19487" s="2">
        <v>4.6418790326323999E-5</v>
      </c>
    </row>
    <row r="19488" spans="1:6" x14ac:dyDescent="0.25">
      <c r="A19488" s="1" t="str">
        <f t="shared" si="720"/>
        <v>31084</v>
      </c>
      <c r="B19488" s="1" t="str">
        <f>"91355"</f>
        <v>91355</v>
      </c>
      <c r="C19488" s="2">
        <v>0</v>
      </c>
      <c r="D19488" s="2">
        <v>5.9516794342958097E-2</v>
      </c>
      <c r="E19488" s="2">
        <v>1.7172295363480201E-3</v>
      </c>
      <c r="F19488" s="2">
        <v>4.8275541939376996E-3</v>
      </c>
    </row>
    <row r="19489" spans="1:6" x14ac:dyDescent="0.25">
      <c r="A19489" s="1" t="str">
        <f t="shared" si="720"/>
        <v>31084</v>
      </c>
      <c r="B19489" s="1" t="str">
        <f>"91711"</f>
        <v>91711</v>
      </c>
      <c r="C19489" s="2">
        <v>1.6409746394828399E-2</v>
      </c>
      <c r="D19489" s="2">
        <v>4.71420153211549E-3</v>
      </c>
      <c r="E19489" s="2">
        <v>2.8620492272466999E-3</v>
      </c>
      <c r="F19489" s="2">
        <v>1.43898250011604E-2</v>
      </c>
    </row>
    <row r="19490" spans="1:6" x14ac:dyDescent="0.25">
      <c r="A19490" s="1" t="str">
        <f t="shared" si="720"/>
        <v>31084</v>
      </c>
      <c r="B19490" s="1" t="str">
        <f>"90301"</f>
        <v>90301</v>
      </c>
      <c r="C19490" s="2">
        <v>7.7352339908282205E-4</v>
      </c>
      <c r="D19490" s="2">
        <v>1.7678255745433101E-3</v>
      </c>
      <c r="E19490" s="2">
        <v>3.4344590726960501E-3</v>
      </c>
      <c r="F19490" s="2">
        <v>1.06763217750545E-3</v>
      </c>
    </row>
    <row r="19491" spans="1:6" x14ac:dyDescent="0.25">
      <c r="A19491" s="1" t="str">
        <f t="shared" si="720"/>
        <v>31084</v>
      </c>
      <c r="B19491" s="1" t="str">
        <f>"91790"</f>
        <v>91790</v>
      </c>
      <c r="C19491" s="2">
        <v>9.1717774462677405E-3</v>
      </c>
      <c r="D19491" s="2">
        <v>1.7678255745433101E-3</v>
      </c>
      <c r="E19491" s="2">
        <v>6.8689181453921002E-3</v>
      </c>
      <c r="F19491" s="2">
        <v>8.4018010490646607E-3</v>
      </c>
    </row>
    <row r="19492" spans="1:6" x14ac:dyDescent="0.25">
      <c r="A19492" s="1" t="str">
        <f t="shared" si="720"/>
        <v>31084</v>
      </c>
      <c r="B19492" s="1" t="str">
        <f>"91801"</f>
        <v>91801</v>
      </c>
      <c r="C19492" s="2">
        <v>7.7904856621912799E-3</v>
      </c>
      <c r="D19492" s="2">
        <v>5.8927519151443699E-3</v>
      </c>
      <c r="E19492" s="2">
        <v>3.89238694905552E-2</v>
      </c>
      <c r="F19492" s="2">
        <v>1.01657150814649E-2</v>
      </c>
    </row>
    <row r="19493" spans="1:6" x14ac:dyDescent="0.25">
      <c r="A19493" s="1" t="str">
        <f t="shared" si="720"/>
        <v>31084</v>
      </c>
      <c r="B19493" s="1" t="str">
        <f>"90660"</f>
        <v>90660</v>
      </c>
      <c r="C19493" s="2">
        <v>8.2877507044588005E-4</v>
      </c>
      <c r="D19493" s="2">
        <v>5.8927519151443701E-4</v>
      </c>
      <c r="E19493" s="2">
        <v>7.4413279908414403E-3</v>
      </c>
      <c r="F19493" s="2">
        <v>1.34614491946339E-3</v>
      </c>
    </row>
    <row r="19494" spans="1:6" x14ac:dyDescent="0.25">
      <c r="A19494" s="1" t="str">
        <f t="shared" si="720"/>
        <v>31084</v>
      </c>
      <c r="B19494" s="1" t="str">
        <f>"90652"</f>
        <v>90652</v>
      </c>
      <c r="C19494" s="2">
        <v>0</v>
      </c>
      <c r="D19494" s="2">
        <v>0</v>
      </c>
      <c r="E19494" s="2">
        <v>5.7240984544934103E-4</v>
      </c>
      <c r="F19494" s="2">
        <v>4.6418790326323999E-5</v>
      </c>
    </row>
    <row r="19495" spans="1:6" x14ac:dyDescent="0.25">
      <c r="A19495" s="1" t="str">
        <f t="shared" si="720"/>
        <v>31084</v>
      </c>
      <c r="B19495" s="1" t="str">
        <f>"90801"</f>
        <v>90801</v>
      </c>
      <c r="C19495" s="2">
        <v>0</v>
      </c>
      <c r="D19495" s="2">
        <v>0</v>
      </c>
      <c r="E19495" s="2">
        <v>5.7240984544934103E-4</v>
      </c>
      <c r="F19495" s="2">
        <v>4.6418790326323999E-5</v>
      </c>
    </row>
    <row r="19496" spans="1:6" x14ac:dyDescent="0.25">
      <c r="A19496" s="1" t="str">
        <f t="shared" si="720"/>
        <v>31084</v>
      </c>
      <c r="B19496" s="1" t="str">
        <f>"90749"</f>
        <v>90749</v>
      </c>
      <c r="C19496" s="2">
        <v>0</v>
      </c>
      <c r="D19496" s="2">
        <v>0</v>
      </c>
      <c r="E19496" s="2">
        <v>5.7240984544934103E-4</v>
      </c>
      <c r="F19496" s="2">
        <v>4.6418790326323999E-5</v>
      </c>
    </row>
    <row r="19497" spans="1:6" x14ac:dyDescent="0.25">
      <c r="A19497" s="1" t="str">
        <f t="shared" si="720"/>
        <v>31084</v>
      </c>
      <c r="B19497" s="1" t="str">
        <f>"90606"</f>
        <v>90606</v>
      </c>
      <c r="C19497" s="2">
        <v>5.5251671363058703E-5</v>
      </c>
      <c r="D19497" s="2">
        <v>2.3571007660577398E-3</v>
      </c>
      <c r="E19497" s="2">
        <v>2.2896393817973598E-3</v>
      </c>
      <c r="F19497" s="2">
        <v>4.1776911293691602E-4</v>
      </c>
    </row>
    <row r="19498" spans="1:6" x14ac:dyDescent="0.25">
      <c r="A19498" s="1" t="str">
        <f t="shared" si="720"/>
        <v>31084</v>
      </c>
      <c r="B19498" s="1" t="str">
        <f>"90716"</f>
        <v>90716</v>
      </c>
      <c r="C19498" s="2">
        <v>0</v>
      </c>
      <c r="D19498" s="2">
        <v>0</v>
      </c>
      <c r="E19498" s="2">
        <v>1.7172295363480201E-3</v>
      </c>
      <c r="F19498" s="2">
        <v>1.39256370978972E-4</v>
      </c>
    </row>
    <row r="19499" spans="1:6" x14ac:dyDescent="0.25">
      <c r="A19499" s="1" t="str">
        <f t="shared" si="720"/>
        <v>31084</v>
      </c>
      <c r="B19499" s="1" t="str">
        <f>"90509"</f>
        <v>90509</v>
      </c>
      <c r="C19499" s="2">
        <v>0</v>
      </c>
      <c r="D19499" s="2">
        <v>0</v>
      </c>
      <c r="E19499" s="2">
        <v>5.7240984544934103E-4</v>
      </c>
      <c r="F19499" s="2">
        <v>4.6418790326323999E-5</v>
      </c>
    </row>
    <row r="19500" spans="1:6" x14ac:dyDescent="0.25">
      <c r="A19500" s="1" t="str">
        <f t="shared" si="720"/>
        <v>31084</v>
      </c>
      <c r="B19500" s="1" t="str">
        <f>"93534"</f>
        <v>93534</v>
      </c>
      <c r="C19500" s="2">
        <v>1.76805348361787E-3</v>
      </c>
      <c r="D19500" s="2">
        <v>0</v>
      </c>
      <c r="E19500" s="2">
        <v>5.7240984544934103E-4</v>
      </c>
      <c r="F19500" s="2">
        <v>1.5318200807686901E-3</v>
      </c>
    </row>
    <row r="19501" spans="1:6" x14ac:dyDescent="0.25">
      <c r="A19501" s="1" t="str">
        <f t="shared" si="720"/>
        <v>31084</v>
      </c>
      <c r="B19501" s="1" t="str">
        <f>"91804"</f>
        <v>91804</v>
      </c>
      <c r="C19501" s="2">
        <v>0</v>
      </c>
      <c r="D19501" s="2">
        <v>0</v>
      </c>
      <c r="E19501" s="2">
        <v>5.7240984544934103E-4</v>
      </c>
      <c r="F19501" s="2">
        <v>4.6418790326323999E-5</v>
      </c>
    </row>
    <row r="19502" spans="1:6" x14ac:dyDescent="0.25">
      <c r="A19502" s="1" t="str">
        <f t="shared" si="720"/>
        <v>31084</v>
      </c>
      <c r="B19502" s="1" t="str">
        <f>"90833"</f>
        <v>90833</v>
      </c>
      <c r="C19502" s="2">
        <v>0</v>
      </c>
      <c r="D19502" s="2">
        <v>0</v>
      </c>
      <c r="E19502" s="2">
        <v>5.7240984544934103E-4</v>
      </c>
      <c r="F19502" s="2">
        <v>4.6418790326323999E-5</v>
      </c>
    </row>
    <row r="19503" spans="1:6" x14ac:dyDescent="0.25">
      <c r="A19503" s="1" t="str">
        <f t="shared" si="720"/>
        <v>31084</v>
      </c>
      <c r="B19503" s="1" t="str">
        <f>"91351"</f>
        <v>91351</v>
      </c>
      <c r="C19503" s="2">
        <v>0</v>
      </c>
      <c r="D19503" s="2">
        <v>0</v>
      </c>
      <c r="E19503" s="2">
        <v>5.7240984544934103E-4</v>
      </c>
      <c r="F19503" s="2">
        <v>4.6418790326323999E-5</v>
      </c>
    </row>
    <row r="19504" spans="1:6" x14ac:dyDescent="0.25">
      <c r="A19504" s="1" t="str">
        <f t="shared" si="720"/>
        <v>31084</v>
      </c>
      <c r="B19504" s="1" t="str">
        <f>"90002"</f>
        <v>90002</v>
      </c>
      <c r="C19504" s="2">
        <v>6.6854522349301003E-3</v>
      </c>
      <c r="D19504" s="2">
        <v>0</v>
      </c>
      <c r="E19504" s="2">
        <v>1.20206067544361E-2</v>
      </c>
      <c r="F19504" s="2">
        <v>6.59146822633802E-3</v>
      </c>
    </row>
    <row r="19505" spans="1:6" x14ac:dyDescent="0.25">
      <c r="A19505" s="1" t="str">
        <f t="shared" si="720"/>
        <v>31084</v>
      </c>
      <c r="B19505" s="1" t="str">
        <f>"91324"</f>
        <v>91324</v>
      </c>
      <c r="C19505" s="2">
        <v>5.5251671363058703E-5</v>
      </c>
      <c r="D19505" s="2">
        <v>2.3571007660577398E-3</v>
      </c>
      <c r="E19505" s="2">
        <v>5.7240984544934103E-4</v>
      </c>
      <c r="F19505" s="2">
        <v>2.78512741957944E-4</v>
      </c>
    </row>
    <row r="19506" spans="1:6" x14ac:dyDescent="0.25">
      <c r="A19506" s="1" t="str">
        <f t="shared" si="720"/>
        <v>31084</v>
      </c>
      <c r="B19506" s="1" t="str">
        <f>"91105"</f>
        <v>91105</v>
      </c>
      <c r="C19506" s="2">
        <v>3.9781203381402197E-3</v>
      </c>
      <c r="D19506" s="2">
        <v>1.1785503830288699E-3</v>
      </c>
      <c r="E19506" s="2">
        <v>4.0068689181453898E-3</v>
      </c>
      <c r="F19506" s="2">
        <v>3.7599220164322498E-3</v>
      </c>
    </row>
    <row r="19507" spans="1:6" x14ac:dyDescent="0.25">
      <c r="A19507" s="1" t="str">
        <f t="shared" si="720"/>
        <v>31084</v>
      </c>
      <c r="B19507" s="1" t="str">
        <f>"90042"</f>
        <v>90042</v>
      </c>
      <c r="C19507" s="2">
        <v>2.3205701972484599E-3</v>
      </c>
      <c r="D19507" s="2">
        <v>0</v>
      </c>
      <c r="E19507" s="2">
        <v>0</v>
      </c>
      <c r="F19507" s="2">
        <v>1.94958919370561E-3</v>
      </c>
    </row>
    <row r="19508" spans="1:6" x14ac:dyDescent="0.25">
      <c r="A19508" s="1" t="str">
        <f t="shared" si="720"/>
        <v>31084</v>
      </c>
      <c r="B19508" s="1" t="str">
        <f>"90501"</f>
        <v>90501</v>
      </c>
      <c r="C19508" s="2">
        <v>1.08293275871595E-2</v>
      </c>
      <c r="D19508" s="2">
        <v>0</v>
      </c>
      <c r="E19508" s="2">
        <v>8.0137378362907796E-3</v>
      </c>
      <c r="F19508" s="2">
        <v>9.7479459685280608E-3</v>
      </c>
    </row>
    <row r="19509" spans="1:6" x14ac:dyDescent="0.25">
      <c r="A19509" s="1" t="str">
        <f t="shared" si="720"/>
        <v>31084</v>
      </c>
      <c r="B19509" s="1" t="str">
        <f>"90503"</f>
        <v>90503</v>
      </c>
      <c r="C19509" s="2">
        <v>0</v>
      </c>
      <c r="D19509" s="2">
        <v>0</v>
      </c>
      <c r="E19509" s="2">
        <v>3.4344590726960501E-3</v>
      </c>
      <c r="F19509" s="2">
        <v>2.78512741957944E-4</v>
      </c>
    </row>
    <row r="19510" spans="1:6" x14ac:dyDescent="0.25">
      <c r="A19510" s="1" t="str">
        <f t="shared" si="720"/>
        <v>31084</v>
      </c>
      <c r="B19510" s="1" t="str">
        <f>"91791"</f>
        <v>91791</v>
      </c>
      <c r="C19510" s="2">
        <v>5.5251671363058703E-5</v>
      </c>
      <c r="D19510" s="2">
        <v>0</v>
      </c>
      <c r="E19510" s="2">
        <v>1.1448196908986799E-3</v>
      </c>
      <c r="F19510" s="2">
        <v>1.39256370978972E-4</v>
      </c>
    </row>
    <row r="19511" spans="1:6" x14ac:dyDescent="0.25">
      <c r="A19511" s="1" t="str">
        <f t="shared" si="720"/>
        <v>31084</v>
      </c>
      <c r="B19511" s="1" t="str">
        <f>"90018"</f>
        <v>90018</v>
      </c>
      <c r="C19511" s="2">
        <v>9.4480358030830398E-3</v>
      </c>
      <c r="D19511" s="2">
        <v>1.1785503830288699E-3</v>
      </c>
      <c r="E19511" s="2">
        <v>9.7309673726388001E-3</v>
      </c>
      <c r="F19511" s="2">
        <v>8.8195701620015707E-3</v>
      </c>
    </row>
    <row r="19512" spans="1:6" x14ac:dyDescent="0.25">
      <c r="A19512" s="1" t="str">
        <f t="shared" si="720"/>
        <v>31084</v>
      </c>
      <c r="B19512" s="1" t="str">
        <f>"91352"</f>
        <v>91352</v>
      </c>
      <c r="C19512" s="2">
        <v>5.5251671363058703E-5</v>
      </c>
      <c r="D19512" s="2">
        <v>1.1785503830288699E-3</v>
      </c>
      <c r="E19512" s="2">
        <v>5.7240984544934103E-4</v>
      </c>
      <c r="F19512" s="2">
        <v>1.85675161305296E-4</v>
      </c>
    </row>
    <row r="19513" spans="1:6" x14ac:dyDescent="0.25">
      <c r="A19513" s="1" t="str">
        <f t="shared" si="720"/>
        <v>31084</v>
      </c>
      <c r="B19513" s="1" t="str">
        <f>"93552"</f>
        <v>93552</v>
      </c>
      <c r="C19513" s="2">
        <v>0</v>
      </c>
      <c r="D19513" s="2">
        <v>0</v>
      </c>
      <c r="E19513" s="2">
        <v>2.4613623354321601E-2</v>
      </c>
      <c r="F19513" s="2">
        <v>1.9960079840319299E-3</v>
      </c>
    </row>
    <row r="19514" spans="1:6" x14ac:dyDescent="0.25">
      <c r="A19514" s="1" t="str">
        <f t="shared" si="720"/>
        <v>31084</v>
      </c>
      <c r="B19514" s="1" t="str">
        <f>"91342"</f>
        <v>91342</v>
      </c>
      <c r="C19514" s="2">
        <v>8.6745124040002192E-3</v>
      </c>
      <c r="D19514" s="2">
        <v>0</v>
      </c>
      <c r="E19514" s="2">
        <v>6.2965082999427496E-3</v>
      </c>
      <c r="F19514" s="2">
        <v>7.7983567748224399E-3</v>
      </c>
    </row>
    <row r="19515" spans="1:6" x14ac:dyDescent="0.25">
      <c r="A19515" s="1" t="str">
        <f t="shared" si="720"/>
        <v>31084</v>
      </c>
      <c r="B19515" s="1" t="str">
        <f>"91789"</f>
        <v>91789</v>
      </c>
      <c r="C19515" s="2">
        <v>0</v>
      </c>
      <c r="D19515" s="2">
        <v>5.8927519151443701E-4</v>
      </c>
      <c r="E19515" s="2">
        <v>1.1448196908986799E-3</v>
      </c>
      <c r="F19515" s="2">
        <v>1.39256370978972E-4</v>
      </c>
    </row>
    <row r="19516" spans="1:6" x14ac:dyDescent="0.25">
      <c r="A19516" s="1" t="str">
        <f t="shared" si="720"/>
        <v>31084</v>
      </c>
      <c r="B19516" s="1" t="str">
        <f>"90755"</f>
        <v>90755</v>
      </c>
      <c r="C19516" s="2">
        <v>0</v>
      </c>
      <c r="D19516" s="2">
        <v>0</v>
      </c>
      <c r="E19516" s="2">
        <v>1.1448196908986799E-3</v>
      </c>
      <c r="F19516" s="2">
        <v>9.2837580652648094E-5</v>
      </c>
    </row>
    <row r="19517" spans="1:6" x14ac:dyDescent="0.25">
      <c r="A19517" s="1" t="str">
        <f t="shared" si="720"/>
        <v>31084</v>
      </c>
      <c r="B19517" s="1" t="str">
        <f>"91768"</f>
        <v>91768</v>
      </c>
      <c r="C19517" s="2">
        <v>1.1602850986242299E-3</v>
      </c>
      <c r="D19517" s="2">
        <v>0</v>
      </c>
      <c r="E19517" s="2">
        <v>5.7240984544934103E-4</v>
      </c>
      <c r="F19517" s="2">
        <v>1.0212133871791301E-3</v>
      </c>
    </row>
    <row r="19518" spans="1:6" x14ac:dyDescent="0.25">
      <c r="A19518" s="1" t="str">
        <f t="shared" si="720"/>
        <v>31084</v>
      </c>
      <c r="B19518" s="1" t="str">
        <f>"91770"</f>
        <v>91770</v>
      </c>
      <c r="C19518" s="2">
        <v>4.8068954085861001E-3</v>
      </c>
      <c r="D19518" s="2">
        <v>1.0017678255745399E-2</v>
      </c>
      <c r="E19518" s="2">
        <v>2.1179164281625602E-2</v>
      </c>
      <c r="F19518" s="2">
        <v>6.5450494360116901E-3</v>
      </c>
    </row>
    <row r="19519" spans="1:6" x14ac:dyDescent="0.25">
      <c r="A19519" s="1" t="str">
        <f t="shared" si="720"/>
        <v>31084</v>
      </c>
      <c r="B19519" s="1" t="str">
        <f>"91746"</f>
        <v>91746</v>
      </c>
      <c r="C19519" s="2">
        <v>2.2100668545223402E-3</v>
      </c>
      <c r="D19519" s="2">
        <v>1.0606953447259799E-2</v>
      </c>
      <c r="E19519" s="2">
        <v>2.8620492272466999E-3</v>
      </c>
      <c r="F19519" s="2">
        <v>2.92438379055841E-3</v>
      </c>
    </row>
    <row r="19520" spans="1:6" x14ac:dyDescent="0.25">
      <c r="A19520" s="1" t="str">
        <f t="shared" ref="A19520:A19551" si="721">"31140"</f>
        <v>31140</v>
      </c>
      <c r="B19520" s="1" t="str">
        <f>"47151"</f>
        <v>47151</v>
      </c>
      <c r="C19520" s="2">
        <v>1.8816279031649999E-3</v>
      </c>
      <c r="D19520" s="2">
        <v>7.3536582987106698E-3</v>
      </c>
      <c r="E19520" s="2">
        <v>4.9780963759458301E-5</v>
      </c>
      <c r="F19520" s="2">
        <v>2.1765996296787202E-3</v>
      </c>
    </row>
    <row r="19521" spans="1:6" x14ac:dyDescent="0.25">
      <c r="A19521" s="1" t="str">
        <f t="shared" si="721"/>
        <v>31140</v>
      </c>
      <c r="B19521" s="1" t="str">
        <f>"47104"</f>
        <v>47104</v>
      </c>
      <c r="C19521" s="2">
        <v>7.3757191326154307E-5</v>
      </c>
      <c r="D19521" s="2">
        <v>0</v>
      </c>
      <c r="E19521" s="2">
        <v>1.24452409398645E-4</v>
      </c>
      <c r="F19521" s="2">
        <v>7.1270452838203201E-5</v>
      </c>
    </row>
    <row r="19522" spans="1:6" x14ac:dyDescent="0.25">
      <c r="A19522" s="1" t="str">
        <f t="shared" si="721"/>
        <v>31140</v>
      </c>
      <c r="B19522" s="1" t="str">
        <f>"47114"</f>
        <v>47114</v>
      </c>
      <c r="C19522" s="2">
        <v>3.2125354444280499E-4</v>
      </c>
      <c r="D19522" s="2">
        <v>1.9505724930267E-5</v>
      </c>
      <c r="E19522" s="2">
        <v>1.24452409398645E-4</v>
      </c>
      <c r="F19522" s="2">
        <v>2.87932629466341E-4</v>
      </c>
    </row>
    <row r="19523" spans="1:6" x14ac:dyDescent="0.25">
      <c r="A19523" s="1" t="str">
        <f t="shared" si="721"/>
        <v>31140</v>
      </c>
      <c r="B19523" s="1" t="str">
        <f>"40014"</f>
        <v>40014</v>
      </c>
      <c r="C19523" s="2">
        <v>1.48120830669879E-2</v>
      </c>
      <c r="D19523" s="2">
        <v>1.4083133399652699E-2</v>
      </c>
      <c r="E19523" s="2">
        <v>7.3675826363998401E-3</v>
      </c>
      <c r="F19523" s="2">
        <v>1.4332488065762599E-2</v>
      </c>
    </row>
    <row r="19524" spans="1:6" x14ac:dyDescent="0.25">
      <c r="A19524" s="1" t="str">
        <f t="shared" si="721"/>
        <v>31140</v>
      </c>
      <c r="B19524" s="1" t="str">
        <f>"40003"</f>
        <v>40003</v>
      </c>
      <c r="C19524" s="2">
        <v>1.3014046647325801E-3</v>
      </c>
      <c r="D19524" s="2">
        <v>4.4863167339614099E-4</v>
      </c>
      <c r="E19524" s="2">
        <v>3.7335722819593702E-4</v>
      </c>
      <c r="F19524" s="2">
        <v>1.1859403352276999E-3</v>
      </c>
    </row>
    <row r="19525" spans="1:6" x14ac:dyDescent="0.25">
      <c r="A19525" s="1" t="str">
        <f t="shared" si="721"/>
        <v>31140</v>
      </c>
      <c r="B19525" s="1" t="str">
        <f>"40058"</f>
        <v>40058</v>
      </c>
      <c r="C19525" s="2">
        <v>0</v>
      </c>
      <c r="D19525" s="2">
        <v>0</v>
      </c>
      <c r="E19525" s="2">
        <v>2.48904818797291E-5</v>
      </c>
      <c r="F19525" s="2">
        <v>1.4254090567640599E-6</v>
      </c>
    </row>
    <row r="19526" spans="1:6" x14ac:dyDescent="0.25">
      <c r="A19526" s="1" t="str">
        <f t="shared" si="721"/>
        <v>31140</v>
      </c>
      <c r="B19526" s="1" t="str">
        <f>"40285"</f>
        <v>40285</v>
      </c>
      <c r="C19526" s="2">
        <v>1.63904869613676E-6</v>
      </c>
      <c r="D19526" s="2">
        <v>0</v>
      </c>
      <c r="E19526" s="2">
        <v>0</v>
      </c>
      <c r="F19526" s="2">
        <v>1.4254090567640599E-6</v>
      </c>
    </row>
    <row r="19527" spans="1:6" x14ac:dyDescent="0.25">
      <c r="A19527" s="1" t="str">
        <f t="shared" si="721"/>
        <v>31140</v>
      </c>
      <c r="B19527" s="1" t="str">
        <f>"40070"</f>
        <v>40070</v>
      </c>
      <c r="C19527" s="2">
        <v>3.8025929750372801E-4</v>
      </c>
      <c r="D19527" s="2">
        <v>7.8022899721068094E-5</v>
      </c>
      <c r="E19527" s="2">
        <v>4.9780963759458301E-5</v>
      </c>
      <c r="F19527" s="2">
        <v>3.3924735550984702E-4</v>
      </c>
    </row>
    <row r="19528" spans="1:6" x14ac:dyDescent="0.25">
      <c r="A19528" s="1" t="str">
        <f t="shared" si="721"/>
        <v>31140</v>
      </c>
      <c r="B19528" s="1" t="str">
        <f>"40129"</f>
        <v>40129</v>
      </c>
      <c r="C19528" s="2">
        <v>8.1460720197997004E-4</v>
      </c>
      <c r="D19528" s="2">
        <v>2.3016755417715E-3</v>
      </c>
      <c r="E19528" s="2">
        <v>4.9780963759458301E-5</v>
      </c>
      <c r="F19528" s="2">
        <v>8.7947738802342799E-4</v>
      </c>
    </row>
    <row r="19529" spans="1:6" x14ac:dyDescent="0.25">
      <c r="A19529" s="1" t="str">
        <f t="shared" si="721"/>
        <v>31140</v>
      </c>
      <c r="B19529" s="1" t="str">
        <f>"40270"</f>
        <v>40270</v>
      </c>
      <c r="C19529" s="2">
        <v>1.4226942682467E-3</v>
      </c>
      <c r="D19529" s="2">
        <v>3.1404217137729899E-3</v>
      </c>
      <c r="E19529" s="2">
        <v>4.9780963759458301E-5</v>
      </c>
      <c r="F19529" s="2">
        <v>1.4695967375237501E-3</v>
      </c>
    </row>
    <row r="19530" spans="1:6" x14ac:dyDescent="0.25">
      <c r="A19530" s="1" t="str">
        <f t="shared" si="721"/>
        <v>31140</v>
      </c>
      <c r="B19530" s="1" t="str">
        <f>"47281"</f>
        <v>47281</v>
      </c>
      <c r="C19530" s="2">
        <v>3.9992788185736898E-4</v>
      </c>
      <c r="D19530" s="2">
        <v>7.8022899721068094E-5</v>
      </c>
      <c r="E19530" s="2">
        <v>0</v>
      </c>
      <c r="F19530" s="2">
        <v>3.5350144607748798E-4</v>
      </c>
    </row>
    <row r="19531" spans="1:6" x14ac:dyDescent="0.25">
      <c r="A19531" s="1" t="str">
        <f t="shared" si="721"/>
        <v>31140</v>
      </c>
      <c r="B19531" s="1" t="str">
        <f>"40283"</f>
        <v>40283</v>
      </c>
      <c r="C19531" s="2">
        <v>0</v>
      </c>
      <c r="D19531" s="2">
        <v>1.9505724930267E-5</v>
      </c>
      <c r="E19531" s="2">
        <v>0</v>
      </c>
      <c r="F19531" s="2">
        <v>1.4254090567640599E-6</v>
      </c>
    </row>
    <row r="19532" spans="1:6" x14ac:dyDescent="0.25">
      <c r="A19532" s="1" t="str">
        <f t="shared" si="721"/>
        <v>31140</v>
      </c>
      <c r="B19532" s="1" t="str">
        <f>"40280"</f>
        <v>40280</v>
      </c>
      <c r="C19532" s="2">
        <v>0</v>
      </c>
      <c r="D19532" s="2">
        <v>1.9505724930267E-5</v>
      </c>
      <c r="E19532" s="2">
        <v>0</v>
      </c>
      <c r="F19532" s="2">
        <v>1.4254090567640599E-6</v>
      </c>
    </row>
    <row r="19533" spans="1:6" x14ac:dyDescent="0.25">
      <c r="A19533" s="1" t="str">
        <f t="shared" si="721"/>
        <v>31140</v>
      </c>
      <c r="B19533" s="1" t="str">
        <f>"40032"</f>
        <v>40032</v>
      </c>
      <c r="C19533" s="2">
        <v>0</v>
      </c>
      <c r="D19533" s="2">
        <v>1.9505724930267E-5</v>
      </c>
      <c r="E19533" s="2">
        <v>0</v>
      </c>
      <c r="F19533" s="2">
        <v>1.4254090567640599E-6</v>
      </c>
    </row>
    <row r="19534" spans="1:6" x14ac:dyDescent="0.25">
      <c r="A19534" s="1" t="str">
        <f t="shared" si="721"/>
        <v>31140</v>
      </c>
      <c r="B19534" s="1" t="str">
        <f>"47190"</f>
        <v>47190</v>
      </c>
      <c r="C19534" s="2">
        <v>0</v>
      </c>
      <c r="D19534" s="2">
        <v>5.8517174790801098E-5</v>
      </c>
      <c r="E19534" s="2">
        <v>7.4671445639187502E-5</v>
      </c>
      <c r="F19534" s="2">
        <v>8.5524543405843797E-6</v>
      </c>
    </row>
    <row r="19535" spans="1:6" x14ac:dyDescent="0.25">
      <c r="A19535" s="1" t="str">
        <f t="shared" si="721"/>
        <v>31140</v>
      </c>
      <c r="B19535" s="1" t="str">
        <f>"40342"</f>
        <v>40342</v>
      </c>
      <c r="C19535" s="2">
        <v>9.8342921768205704E-6</v>
      </c>
      <c r="D19535" s="2">
        <v>0</v>
      </c>
      <c r="E19535" s="2">
        <v>0</v>
      </c>
      <c r="F19535" s="2">
        <v>8.5524543405843797E-6</v>
      </c>
    </row>
    <row r="19536" spans="1:6" x14ac:dyDescent="0.25">
      <c r="A19536" s="1" t="str">
        <f t="shared" si="721"/>
        <v>31140</v>
      </c>
      <c r="B19536" s="1" t="str">
        <f>"40210"</f>
        <v>40210</v>
      </c>
      <c r="C19536" s="2">
        <v>1.29861828194915E-2</v>
      </c>
      <c r="D19536" s="2">
        <v>7.9193243216884104E-3</v>
      </c>
      <c r="E19536" s="2">
        <v>1.4212465153325299E-2</v>
      </c>
      <c r="F19536" s="2">
        <v>1.26861406052001E-2</v>
      </c>
    </row>
    <row r="19537" spans="1:6" x14ac:dyDescent="0.25">
      <c r="A19537" s="1" t="str">
        <f t="shared" si="721"/>
        <v>31140</v>
      </c>
      <c r="B19537" s="1" t="str">
        <f>"40214"</f>
        <v>40214</v>
      </c>
      <c r="C19537" s="2">
        <v>3.4085656684860098E-2</v>
      </c>
      <c r="D19537" s="2">
        <v>2.0734585600873798E-2</v>
      </c>
      <c r="E19537" s="2">
        <v>5.7347670250896002E-2</v>
      </c>
      <c r="F19537" s="2">
        <v>3.4442159038589999E-2</v>
      </c>
    </row>
    <row r="19538" spans="1:6" x14ac:dyDescent="0.25">
      <c r="A19538" s="1" t="str">
        <f t="shared" si="721"/>
        <v>31140</v>
      </c>
      <c r="B19538" s="1" t="str">
        <f>"40165"</f>
        <v>40165</v>
      </c>
      <c r="C19538" s="2">
        <v>2.4323482650669501E-2</v>
      </c>
      <c r="D19538" s="2">
        <v>1.72625665632863E-2</v>
      </c>
      <c r="E19538" s="2">
        <v>2.21774193548387E-2</v>
      </c>
      <c r="F19538" s="2">
        <v>2.3684596887191701E-2</v>
      </c>
    </row>
    <row r="19539" spans="1:6" x14ac:dyDescent="0.25">
      <c r="A19539" s="1" t="str">
        <f t="shared" si="721"/>
        <v>31140</v>
      </c>
      <c r="B19539" s="1" t="str">
        <f>"40201"</f>
        <v>40201</v>
      </c>
      <c r="C19539" s="2">
        <v>3.11255347396371E-3</v>
      </c>
      <c r="D19539" s="2">
        <v>9.0506563676439004E-3</v>
      </c>
      <c r="E19539" s="2">
        <v>4.9780963759458301E-5</v>
      </c>
      <c r="F19539" s="2">
        <v>3.37109241924701E-3</v>
      </c>
    </row>
    <row r="19540" spans="1:6" x14ac:dyDescent="0.25">
      <c r="A19540" s="1" t="str">
        <f t="shared" si="721"/>
        <v>31140</v>
      </c>
      <c r="B19540" s="1" t="str">
        <f>"40046"</f>
        <v>40046</v>
      </c>
      <c r="C19540" s="2">
        <v>1.1178312107652699E-3</v>
      </c>
      <c r="D19540" s="2">
        <v>1.75551524372403E-4</v>
      </c>
      <c r="E19540" s="2">
        <v>9.4583831142970901E-4</v>
      </c>
      <c r="F19540" s="2">
        <v>1.0391232023810001E-3</v>
      </c>
    </row>
    <row r="19541" spans="1:6" x14ac:dyDescent="0.25">
      <c r="A19541" s="1" t="str">
        <f t="shared" si="721"/>
        <v>31140</v>
      </c>
      <c r="B19541" s="1" t="str">
        <f>"40007"</f>
        <v>40007</v>
      </c>
      <c r="C19541" s="2">
        <v>1.5898772352526501E-4</v>
      </c>
      <c r="D19541" s="2">
        <v>1.1703434958160201E-4</v>
      </c>
      <c r="E19541" s="2">
        <v>2.73795300677021E-4</v>
      </c>
      <c r="F19541" s="2">
        <v>1.6249663247110301E-4</v>
      </c>
    </row>
    <row r="19542" spans="1:6" x14ac:dyDescent="0.25">
      <c r="A19542" s="1" t="str">
        <f t="shared" si="721"/>
        <v>31140</v>
      </c>
      <c r="B19542" s="1" t="str">
        <f>"40118"</f>
        <v>40118</v>
      </c>
      <c r="C19542" s="2">
        <v>8.6017275573257203E-3</v>
      </c>
      <c r="D19542" s="2">
        <v>4.5058224588916803E-3</v>
      </c>
      <c r="E19542" s="2">
        <v>9.9810832337713998E-3</v>
      </c>
      <c r="F19542" s="2">
        <v>8.3814052537727005E-3</v>
      </c>
    </row>
    <row r="19543" spans="1:6" x14ac:dyDescent="0.25">
      <c r="A19543" s="1" t="str">
        <f t="shared" si="721"/>
        <v>31140</v>
      </c>
      <c r="B19543" s="1" t="str">
        <f>"40026"</f>
        <v>40026</v>
      </c>
      <c r="C19543" s="2">
        <v>4.3041418760551304E-3</v>
      </c>
      <c r="D19543" s="2">
        <v>3.6280648370296598E-3</v>
      </c>
      <c r="E19543" s="2">
        <v>1.194743130227E-3</v>
      </c>
      <c r="F19543" s="2">
        <v>4.07666990234522E-3</v>
      </c>
    </row>
    <row r="19544" spans="1:6" x14ac:dyDescent="0.25">
      <c r="A19544" s="1" t="str">
        <f t="shared" si="721"/>
        <v>31140</v>
      </c>
      <c r="B19544" s="1" t="str">
        <f>"47170"</f>
        <v>47170</v>
      </c>
      <c r="C19544" s="2">
        <v>8.37553883725885E-4</v>
      </c>
      <c r="D19544" s="2">
        <v>1.75551524372403E-4</v>
      </c>
      <c r="E19544" s="2">
        <v>2.2401433691756199E-4</v>
      </c>
      <c r="F19544" s="2">
        <v>7.5404139102818997E-4</v>
      </c>
    </row>
    <row r="19545" spans="1:6" x14ac:dyDescent="0.25">
      <c r="A19545" s="1" t="str">
        <f t="shared" si="721"/>
        <v>31140</v>
      </c>
      <c r="B19545" s="1" t="str">
        <f>"47115"</f>
        <v>47115</v>
      </c>
      <c r="C19545" s="2">
        <v>1.8029535657504299E-3</v>
      </c>
      <c r="D19545" s="2">
        <v>1.56045799442136E-4</v>
      </c>
      <c r="E19545" s="2">
        <v>3.4348864994026198E-3</v>
      </c>
      <c r="F19545" s="2">
        <v>1.7760596847280199E-3</v>
      </c>
    </row>
    <row r="19546" spans="1:6" x14ac:dyDescent="0.25">
      <c r="A19546" s="1" t="str">
        <f t="shared" si="721"/>
        <v>31140</v>
      </c>
      <c r="B19546" s="1" t="str">
        <f>"47143"</f>
        <v>47143</v>
      </c>
      <c r="C19546" s="2">
        <v>2.4290701676746799E-3</v>
      </c>
      <c r="D19546" s="2">
        <v>6.0467747283827805E-4</v>
      </c>
      <c r="E19546" s="2">
        <v>1.0702907208283499E-3</v>
      </c>
      <c r="F19546" s="2">
        <v>2.2179364923248799E-3</v>
      </c>
    </row>
    <row r="19547" spans="1:6" x14ac:dyDescent="0.25">
      <c r="A19547" s="1" t="str">
        <f t="shared" si="721"/>
        <v>31140</v>
      </c>
      <c r="B19547" s="1" t="str">
        <f>"47163"</f>
        <v>47163</v>
      </c>
      <c r="C19547" s="2">
        <v>1.0440740194391099E-3</v>
      </c>
      <c r="D19547" s="2">
        <v>5.8517174790801098E-5</v>
      </c>
      <c r="E19547" s="2">
        <v>6.9693349263241701E-4</v>
      </c>
      <c r="F19547" s="2">
        <v>9.5217324991839496E-4</v>
      </c>
    </row>
    <row r="19548" spans="1:6" x14ac:dyDescent="0.25">
      <c r="A19548" s="1" t="str">
        <f t="shared" si="721"/>
        <v>31140</v>
      </c>
      <c r="B19548" s="1" t="str">
        <f>"40008"</f>
        <v>40008</v>
      </c>
      <c r="C19548" s="2">
        <v>3.4092212879644602E-4</v>
      </c>
      <c r="D19548" s="2">
        <v>0</v>
      </c>
      <c r="E19548" s="2">
        <v>7.4671445639187502E-5</v>
      </c>
      <c r="F19548" s="2">
        <v>3.0076131097721699E-4</v>
      </c>
    </row>
    <row r="19549" spans="1:6" x14ac:dyDescent="0.25">
      <c r="A19549" s="1" t="str">
        <f t="shared" si="721"/>
        <v>31140</v>
      </c>
      <c r="B19549" s="1" t="str">
        <f>"47131"</f>
        <v>47131</v>
      </c>
      <c r="C19549" s="2">
        <v>3.4272508236219599E-3</v>
      </c>
      <c r="D19549" s="2">
        <v>1.0357539937971699E-2</v>
      </c>
      <c r="E19549" s="2">
        <v>9.9561927518916697E-5</v>
      </c>
      <c r="F19549" s="2">
        <v>3.7431241830624298E-3</v>
      </c>
    </row>
    <row r="19550" spans="1:6" x14ac:dyDescent="0.25">
      <c r="A19550" s="1" t="str">
        <f t="shared" si="721"/>
        <v>31140</v>
      </c>
      <c r="B19550" s="1" t="str">
        <f>"40225"</f>
        <v>40225</v>
      </c>
      <c r="C19550" s="2">
        <v>0</v>
      </c>
      <c r="D19550" s="2">
        <v>1.9505724930267E-5</v>
      </c>
      <c r="E19550" s="2">
        <v>0</v>
      </c>
      <c r="F19550" s="2">
        <v>1.4254090567640599E-6</v>
      </c>
    </row>
    <row r="19551" spans="1:6" x14ac:dyDescent="0.25">
      <c r="A19551" s="1" t="str">
        <f t="shared" si="721"/>
        <v>31140</v>
      </c>
      <c r="B19551" s="1" t="str">
        <f>"47107"</f>
        <v>47107</v>
      </c>
      <c r="C19551" s="2">
        <v>0</v>
      </c>
      <c r="D19551" s="2">
        <v>0</v>
      </c>
      <c r="E19551" s="2">
        <v>2.48904818797291E-5</v>
      </c>
      <c r="F19551" s="2">
        <v>1.4254090567640599E-6</v>
      </c>
    </row>
    <row r="19552" spans="1:6" x14ac:dyDescent="0.25">
      <c r="A19552" s="1" t="str">
        <f t="shared" ref="A19552:A19583" si="722">"31140"</f>
        <v>31140</v>
      </c>
      <c r="B19552" s="1" t="str">
        <f>"40268"</f>
        <v>40268</v>
      </c>
      <c r="C19552" s="2">
        <v>1.35057612561669E-3</v>
      </c>
      <c r="D19552" s="2">
        <v>3.8036163614020698E-3</v>
      </c>
      <c r="E19552" s="2">
        <v>4.9780963759458301E-5</v>
      </c>
      <c r="F19552" s="2">
        <v>1.4553426469561101E-3</v>
      </c>
    </row>
    <row r="19553" spans="1:6" x14ac:dyDescent="0.25">
      <c r="A19553" s="1" t="str">
        <f t="shared" si="722"/>
        <v>31140</v>
      </c>
      <c r="B19553" s="1" t="str">
        <f>"40077"</f>
        <v>40077</v>
      </c>
      <c r="C19553" s="2">
        <v>4.8024126796807098E-4</v>
      </c>
      <c r="D19553" s="2">
        <v>0</v>
      </c>
      <c r="E19553" s="2">
        <v>2.9868578255675001E-4</v>
      </c>
      <c r="F19553" s="2">
        <v>4.3474976231303898E-4</v>
      </c>
    </row>
    <row r="19554" spans="1:6" x14ac:dyDescent="0.25">
      <c r="A19554" s="1" t="str">
        <f t="shared" si="722"/>
        <v>31140</v>
      </c>
      <c r="B19554" s="1" t="str">
        <f>"47177"</f>
        <v>47177</v>
      </c>
      <c r="C19554" s="2">
        <v>5.3269082624444704E-4</v>
      </c>
      <c r="D19554" s="2">
        <v>2.5357442409347102E-4</v>
      </c>
      <c r="E19554" s="2">
        <v>2.9868578255675001E-4</v>
      </c>
      <c r="F19554" s="2">
        <v>4.9889316986742203E-4</v>
      </c>
    </row>
    <row r="19555" spans="1:6" x14ac:dyDescent="0.25">
      <c r="A19555" s="1" t="str">
        <f t="shared" si="722"/>
        <v>31140</v>
      </c>
      <c r="B19555" s="1" t="str">
        <f>"47106"</f>
        <v>47106</v>
      </c>
      <c r="C19555" s="2">
        <v>3.4534756027601501E-3</v>
      </c>
      <c r="D19555" s="2">
        <v>1.09232059609495E-3</v>
      </c>
      <c r="E19555" s="2">
        <v>3.08641975308641E-3</v>
      </c>
      <c r="F19555" s="2">
        <v>3.2599105128194102E-3</v>
      </c>
    </row>
    <row r="19556" spans="1:6" x14ac:dyDescent="0.25">
      <c r="A19556" s="1" t="str">
        <f t="shared" si="722"/>
        <v>31140</v>
      </c>
      <c r="B19556" s="1" t="str">
        <f>"47117"</f>
        <v>47117</v>
      </c>
      <c r="C19556" s="2">
        <v>3.3141564635885299E-3</v>
      </c>
      <c r="D19556" s="2">
        <v>6.6319464762907903E-4</v>
      </c>
      <c r="E19556" s="2">
        <v>8.9605734767025003E-4</v>
      </c>
      <c r="F19556" s="2">
        <v>2.9819557467504199E-3</v>
      </c>
    </row>
    <row r="19557" spans="1:6" x14ac:dyDescent="0.25">
      <c r="A19557" s="1" t="str">
        <f t="shared" si="722"/>
        <v>31140</v>
      </c>
      <c r="B19557" s="1" t="str">
        <f>"47165"</f>
        <v>47165</v>
      </c>
      <c r="C19557" s="2">
        <v>4.5713068135254196E-3</v>
      </c>
      <c r="D19557" s="2">
        <v>9.5578052158308395E-4</v>
      </c>
      <c r="E19557" s="2">
        <v>3.2606531262445201E-3</v>
      </c>
      <c r="F19557" s="2">
        <v>4.2320394895325004E-3</v>
      </c>
    </row>
    <row r="19558" spans="1:6" x14ac:dyDescent="0.25">
      <c r="A19558" s="1" t="str">
        <f t="shared" si="722"/>
        <v>31140</v>
      </c>
      <c r="B19558" s="1" t="str">
        <f>"47122"</f>
        <v>47122</v>
      </c>
      <c r="C19558" s="2">
        <v>7.3281867204274603E-3</v>
      </c>
      <c r="D19558" s="2">
        <v>2.8478358398189799E-3</v>
      </c>
      <c r="E19558" s="2">
        <v>2.6135005973715601E-3</v>
      </c>
      <c r="F19558" s="2">
        <v>6.7307815660399102E-3</v>
      </c>
    </row>
    <row r="19559" spans="1:6" x14ac:dyDescent="0.25">
      <c r="A19559" s="1" t="str">
        <f t="shared" si="722"/>
        <v>31140</v>
      </c>
      <c r="B19559" s="1" t="str">
        <f>"47110"</f>
        <v>47110</v>
      </c>
      <c r="C19559" s="2">
        <v>3.5731261575781402E-4</v>
      </c>
      <c r="D19559" s="2">
        <v>1.75551524372403E-4</v>
      </c>
      <c r="E19559" s="2">
        <v>5.4759060135404201E-4</v>
      </c>
      <c r="F19559" s="2">
        <v>3.5492685513425202E-4</v>
      </c>
    </row>
    <row r="19560" spans="1:6" x14ac:dyDescent="0.25">
      <c r="A19560" s="1" t="str">
        <f t="shared" si="722"/>
        <v>31140</v>
      </c>
      <c r="B19560" s="1" t="str">
        <f>"47120"</f>
        <v>47120</v>
      </c>
      <c r="C19560" s="2">
        <v>8.0149481241087602E-4</v>
      </c>
      <c r="D19560" s="2">
        <v>1.36540074511869E-4</v>
      </c>
      <c r="E19560" s="2">
        <v>1.24452409398645E-4</v>
      </c>
      <c r="F19560" s="2">
        <v>7.1412993743879595E-4</v>
      </c>
    </row>
    <row r="19561" spans="1:6" x14ac:dyDescent="0.25">
      <c r="A19561" s="1" t="str">
        <f t="shared" si="722"/>
        <v>31140</v>
      </c>
      <c r="B19561" s="1" t="str">
        <f>"40211"</f>
        <v>40211</v>
      </c>
      <c r="C19561" s="2">
        <v>1.8324564422809001E-2</v>
      </c>
      <c r="D19561" s="2">
        <v>1.26202040298827E-2</v>
      </c>
      <c r="E19561" s="2">
        <v>2.2874352847471101E-2</v>
      </c>
      <c r="F19561" s="2">
        <v>1.81682638375147E-2</v>
      </c>
    </row>
    <row r="19562" spans="1:6" x14ac:dyDescent="0.25">
      <c r="A19562" s="1" t="str">
        <f t="shared" si="722"/>
        <v>31140</v>
      </c>
      <c r="B19562" s="1" t="str">
        <f>"40241"</f>
        <v>40241</v>
      </c>
      <c r="C19562" s="2">
        <v>2.3477733523462899E-2</v>
      </c>
      <c r="D19562" s="2">
        <v>1.5643591394074102E-2</v>
      </c>
      <c r="E19562" s="2">
        <v>1.99621664675428E-2</v>
      </c>
      <c r="F19562" s="2">
        <v>2.2703915456138E-2</v>
      </c>
    </row>
    <row r="19563" spans="1:6" x14ac:dyDescent="0.25">
      <c r="A19563" s="1" t="str">
        <f t="shared" si="722"/>
        <v>31140</v>
      </c>
      <c r="B19563" s="1" t="str">
        <f>"40258"</f>
        <v>40258</v>
      </c>
      <c r="C19563" s="2">
        <v>1.9163757355231001E-2</v>
      </c>
      <c r="D19563" s="2">
        <v>1.26982269296038E-2</v>
      </c>
      <c r="E19563" s="2">
        <v>1.4312027080844201E-2</v>
      </c>
      <c r="F19563" s="2">
        <v>1.8413434195278099E-2</v>
      </c>
    </row>
    <row r="19564" spans="1:6" x14ac:dyDescent="0.25">
      <c r="A19564" s="1" t="str">
        <f t="shared" si="722"/>
        <v>31140</v>
      </c>
      <c r="B19564" s="1" t="str">
        <f>"40272"</f>
        <v>40272</v>
      </c>
      <c r="C19564" s="2">
        <v>2.7254101719362E-2</v>
      </c>
      <c r="D19564" s="2">
        <v>1.2288606706068199E-2</v>
      </c>
      <c r="E19564" s="2">
        <v>1.72988849064117E-2</v>
      </c>
      <c r="F19564" s="2">
        <v>2.55903687960852E-2</v>
      </c>
    </row>
    <row r="19565" spans="1:6" x14ac:dyDescent="0.25">
      <c r="A19565" s="1" t="str">
        <f t="shared" si="722"/>
        <v>31140</v>
      </c>
      <c r="B19565" s="1" t="str">
        <f>"40299"</f>
        <v>40299</v>
      </c>
      <c r="C19565" s="2">
        <v>3.07928078543213E-2</v>
      </c>
      <c r="D19565" s="2">
        <v>4.3029629196168998E-2</v>
      </c>
      <c r="E19565" s="2">
        <v>3.4722222222222203E-2</v>
      </c>
      <c r="F19565" s="2">
        <v>3.1912057962833799E-2</v>
      </c>
    </row>
    <row r="19566" spans="1:6" x14ac:dyDescent="0.25">
      <c r="A19566" s="1" t="str">
        <f t="shared" si="722"/>
        <v>31140</v>
      </c>
      <c r="B19566" s="1" t="str">
        <f>"40209"</f>
        <v>40209</v>
      </c>
      <c r="C19566" s="2">
        <v>1.18339315861074E-3</v>
      </c>
      <c r="D19566" s="2">
        <v>8.21191019564242E-3</v>
      </c>
      <c r="E19566" s="2">
        <v>2.4143767423337298E-3</v>
      </c>
      <c r="F19566" s="2">
        <v>1.76750723038744E-3</v>
      </c>
    </row>
    <row r="19567" spans="1:6" x14ac:dyDescent="0.25">
      <c r="A19567" s="1" t="str">
        <f t="shared" si="722"/>
        <v>31140</v>
      </c>
      <c r="B19567" s="1" t="str">
        <f>"40023"</f>
        <v>40023</v>
      </c>
      <c r="C19567" s="2">
        <v>3.8534034846175202E-3</v>
      </c>
      <c r="D19567" s="2">
        <v>7.4121754735014705E-4</v>
      </c>
      <c r="E19567" s="2">
        <v>1.89167662285941E-3</v>
      </c>
      <c r="F19567" s="2">
        <v>3.5136333249234102E-3</v>
      </c>
    </row>
    <row r="19568" spans="1:6" x14ac:dyDescent="0.25">
      <c r="A19568" s="1" t="str">
        <f t="shared" si="722"/>
        <v>31140</v>
      </c>
      <c r="B19568" s="1" t="str">
        <f>"40109"</f>
        <v>40109</v>
      </c>
      <c r="C19568" s="2">
        <v>1.6259363065676601E-3</v>
      </c>
      <c r="D19568" s="2">
        <v>2.9258587395400498E-3</v>
      </c>
      <c r="E19568" s="2">
        <v>2.9619673436877699E-3</v>
      </c>
      <c r="F19568" s="2">
        <v>1.79744082057948E-3</v>
      </c>
    </row>
    <row r="19569" spans="1:6" x14ac:dyDescent="0.25">
      <c r="A19569" s="1" t="str">
        <f t="shared" si="722"/>
        <v>31140</v>
      </c>
      <c r="B19569" s="1" t="str">
        <f>"40018"</f>
        <v>40018</v>
      </c>
      <c r="C19569" s="2">
        <v>0</v>
      </c>
      <c r="D19569" s="2">
        <v>0</v>
      </c>
      <c r="E19569" s="2">
        <v>2.48904818797291E-5</v>
      </c>
      <c r="F19569" s="2">
        <v>1.4254090567640599E-6</v>
      </c>
    </row>
    <row r="19570" spans="1:6" x14ac:dyDescent="0.25">
      <c r="A19570" s="1" t="str">
        <f t="shared" si="722"/>
        <v>31140</v>
      </c>
      <c r="B19570" s="1" t="str">
        <f>"40289"</f>
        <v>40289</v>
      </c>
      <c r="C19570" s="2">
        <v>0</v>
      </c>
      <c r="D19570" s="2">
        <v>1.9505724930267E-5</v>
      </c>
      <c r="E19570" s="2">
        <v>0</v>
      </c>
      <c r="F19570" s="2">
        <v>1.4254090567640599E-6</v>
      </c>
    </row>
    <row r="19571" spans="1:6" x14ac:dyDescent="0.25">
      <c r="A19571" s="1" t="str">
        <f t="shared" si="722"/>
        <v>31140</v>
      </c>
      <c r="B19571" s="1" t="str">
        <f>"40055"</f>
        <v>40055</v>
      </c>
      <c r="C19571" s="2">
        <v>9.0639392896362902E-4</v>
      </c>
      <c r="D19571" s="2">
        <v>3.7060877367507298E-4</v>
      </c>
      <c r="E19571" s="2">
        <v>3.2357626443647901E-4</v>
      </c>
      <c r="F19571" s="2">
        <v>8.3386429820697704E-4</v>
      </c>
    </row>
    <row r="19572" spans="1:6" x14ac:dyDescent="0.25">
      <c r="A19572" s="1" t="str">
        <f t="shared" si="722"/>
        <v>31140</v>
      </c>
      <c r="B19572" s="1" t="str">
        <f>"40281"</f>
        <v>40281</v>
      </c>
      <c r="C19572" s="2">
        <v>0</v>
      </c>
      <c r="D19572" s="2">
        <v>1.9505724930267E-5</v>
      </c>
      <c r="E19572" s="2">
        <v>0</v>
      </c>
      <c r="F19572" s="2">
        <v>1.4254090567640599E-6</v>
      </c>
    </row>
    <row r="19573" spans="1:6" x14ac:dyDescent="0.25">
      <c r="A19573" s="1" t="str">
        <f t="shared" si="722"/>
        <v>31140</v>
      </c>
      <c r="B19573" s="1" t="str">
        <f>"40257"</f>
        <v>40257</v>
      </c>
      <c r="C19573" s="2">
        <v>8.86725344609988E-4</v>
      </c>
      <c r="D19573" s="2">
        <v>4.9739598572180899E-3</v>
      </c>
      <c r="E19573" s="2">
        <v>4.9780963759458301E-5</v>
      </c>
      <c r="F19573" s="2">
        <v>1.1374764272977201E-3</v>
      </c>
    </row>
    <row r="19574" spans="1:6" x14ac:dyDescent="0.25">
      <c r="A19574" s="1" t="str">
        <f t="shared" si="722"/>
        <v>31140</v>
      </c>
      <c r="B19574" s="1" t="str">
        <f>"40204"</f>
        <v>40204</v>
      </c>
      <c r="C19574" s="2">
        <v>1.5738145580305101E-2</v>
      </c>
      <c r="D19574" s="2">
        <v>1.8862036007568202E-2</v>
      </c>
      <c r="E19574" s="2">
        <v>2.9495221027479E-2</v>
      </c>
      <c r="F19574" s="2">
        <v>1.6754258053204799E-2</v>
      </c>
    </row>
    <row r="19575" spans="1:6" x14ac:dyDescent="0.25">
      <c r="A19575" s="1" t="str">
        <f t="shared" si="722"/>
        <v>31140</v>
      </c>
      <c r="B19575" s="1" t="str">
        <f>"40229"</f>
        <v>40229</v>
      </c>
      <c r="C19575" s="2">
        <v>2.6770582354001701E-2</v>
      </c>
      <c r="D19575" s="2">
        <v>9.5187937659703108E-3</v>
      </c>
      <c r="E19575" s="2">
        <v>1.3963560334528001E-2</v>
      </c>
      <c r="F19575" s="2">
        <v>2.4776460224672898E-2</v>
      </c>
    </row>
    <row r="19576" spans="1:6" x14ac:dyDescent="0.25">
      <c r="A19576" s="1" t="str">
        <f t="shared" si="722"/>
        <v>31140</v>
      </c>
      <c r="B19576" s="1" t="str">
        <f>"40202"</f>
        <v>40202</v>
      </c>
      <c r="C19576" s="2">
        <v>7.2937666978085897E-3</v>
      </c>
      <c r="D19576" s="2">
        <v>6.21257339029005E-2</v>
      </c>
      <c r="E19576" s="2">
        <v>2.39197530864197E-2</v>
      </c>
      <c r="F19576" s="2">
        <v>1.2252816251943899E-2</v>
      </c>
    </row>
    <row r="19577" spans="1:6" x14ac:dyDescent="0.25">
      <c r="A19577" s="1" t="str">
        <f t="shared" si="722"/>
        <v>31140</v>
      </c>
      <c r="B19577" s="1" t="str">
        <f>"40041"</f>
        <v>40041</v>
      </c>
      <c r="C19577" s="2">
        <v>9.63760633328416E-4</v>
      </c>
      <c r="D19577" s="2">
        <v>5.8517174790801098E-5</v>
      </c>
      <c r="E19577" s="2">
        <v>8.7116686579052102E-4</v>
      </c>
      <c r="F19577" s="2">
        <v>8.9230606953430403E-4</v>
      </c>
    </row>
    <row r="19578" spans="1:6" x14ac:dyDescent="0.25">
      <c r="A19578" s="1" t="str">
        <f t="shared" si="722"/>
        <v>31140</v>
      </c>
      <c r="B19578" s="1" t="str">
        <f>"40065"</f>
        <v>40065</v>
      </c>
      <c r="C19578" s="2">
        <v>2.18780219960335E-2</v>
      </c>
      <c r="D19578" s="2">
        <v>2.11637115493397E-2</v>
      </c>
      <c r="E19578" s="2">
        <v>1.1673636001592901E-2</v>
      </c>
      <c r="F19578" s="2">
        <v>2.1241445763898002E-2</v>
      </c>
    </row>
    <row r="19579" spans="1:6" x14ac:dyDescent="0.25">
      <c r="A19579" s="1" t="str">
        <f t="shared" si="722"/>
        <v>31140</v>
      </c>
      <c r="B19579" s="1" t="str">
        <f>"40019"</f>
        <v>40019</v>
      </c>
      <c r="C19579" s="2">
        <v>2.8158856599629499E-3</v>
      </c>
      <c r="D19579" s="2">
        <v>2.7308014902373799E-3</v>
      </c>
      <c r="E19579" s="2">
        <v>1.21963361210673E-3</v>
      </c>
      <c r="F19579" s="2">
        <v>2.7182550712490702E-3</v>
      </c>
    </row>
    <row r="19580" spans="1:6" x14ac:dyDescent="0.25">
      <c r="A19580" s="1" t="str">
        <f t="shared" si="722"/>
        <v>31140</v>
      </c>
      <c r="B19580" s="1" t="str">
        <f>"40057"</f>
        <v>40057</v>
      </c>
      <c r="C19580" s="2">
        <v>2.54708167379652E-3</v>
      </c>
      <c r="D19580" s="2">
        <v>4.2912594846587402E-4</v>
      </c>
      <c r="E19580" s="2">
        <v>1.0951812027080799E-3</v>
      </c>
      <c r="F19580" s="2">
        <v>2.3091626719577798E-3</v>
      </c>
    </row>
    <row r="19581" spans="1:6" x14ac:dyDescent="0.25">
      <c r="A19581" s="1" t="str">
        <f t="shared" si="722"/>
        <v>31140</v>
      </c>
      <c r="B19581" s="1" t="str">
        <f>"40059"</f>
        <v>40059</v>
      </c>
      <c r="C19581" s="2">
        <v>1.5623412171575601E-2</v>
      </c>
      <c r="D19581" s="2">
        <v>1.34784559268145E-2</v>
      </c>
      <c r="E19581" s="2">
        <v>7.4422540820390203E-3</v>
      </c>
      <c r="F19581" s="2">
        <v>1.49981540952714E-2</v>
      </c>
    </row>
    <row r="19582" spans="1:6" x14ac:dyDescent="0.25">
      <c r="A19582" s="1" t="str">
        <f t="shared" si="722"/>
        <v>31140</v>
      </c>
      <c r="B19582" s="1" t="str">
        <f>"40050"</f>
        <v>40050</v>
      </c>
      <c r="C19582" s="2">
        <v>1.0178492403009199E-3</v>
      </c>
      <c r="D19582" s="2">
        <v>5.0714884818694203E-4</v>
      </c>
      <c r="E19582" s="2">
        <v>3.2357626443647901E-4</v>
      </c>
      <c r="F19582" s="2">
        <v>9.4076997746428198E-4</v>
      </c>
    </row>
    <row r="19583" spans="1:6" x14ac:dyDescent="0.25">
      <c r="A19583" s="1" t="str">
        <f t="shared" si="722"/>
        <v>31140</v>
      </c>
      <c r="B19583" s="1" t="str">
        <f>"47141"</f>
        <v>47141</v>
      </c>
      <c r="C19583" s="2">
        <v>1.10963596728458E-3</v>
      </c>
      <c r="D19583" s="2">
        <v>1.1703434958160201E-4</v>
      </c>
      <c r="E19583" s="2">
        <v>1.194743130227E-3</v>
      </c>
      <c r="F19583" s="2">
        <v>1.0419740204945301E-3</v>
      </c>
    </row>
    <row r="19584" spans="1:6" x14ac:dyDescent="0.25">
      <c r="A19584" s="1" t="str">
        <f t="shared" ref="A19584:A19615" si="723">"31140"</f>
        <v>31140</v>
      </c>
      <c r="B19584" s="1" t="str">
        <f>"47166"</f>
        <v>47166</v>
      </c>
      <c r="C19584" s="2">
        <v>1.0391568733507E-3</v>
      </c>
      <c r="D19584" s="2">
        <v>6.0467747283827805E-4</v>
      </c>
      <c r="E19584" s="2">
        <v>8.2138590203106301E-4</v>
      </c>
      <c r="F19584" s="2">
        <v>9.9493552162131706E-4</v>
      </c>
    </row>
    <row r="19585" spans="1:6" x14ac:dyDescent="0.25">
      <c r="A19585" s="1" t="str">
        <f t="shared" si="723"/>
        <v>31140</v>
      </c>
      <c r="B19585" s="1" t="str">
        <f>"40259"</f>
        <v>40259</v>
      </c>
      <c r="C19585" s="2">
        <v>2.1701004736850698E-3</v>
      </c>
      <c r="D19585" s="2">
        <v>4.7398911580548804E-3</v>
      </c>
      <c r="E19585" s="2">
        <v>4.9780963759458301E-5</v>
      </c>
      <c r="F19585" s="2">
        <v>2.2364668100628101E-3</v>
      </c>
    </row>
    <row r="19586" spans="1:6" x14ac:dyDescent="0.25">
      <c r="A19586" s="1" t="str">
        <f t="shared" si="723"/>
        <v>31140</v>
      </c>
      <c r="B19586" s="1" t="str">
        <f>"40022"</f>
        <v>40022</v>
      </c>
      <c r="C19586" s="2">
        <v>6.1792135844355902E-4</v>
      </c>
      <c r="D19586" s="2">
        <v>1.1703434958160201E-4</v>
      </c>
      <c r="E19586" s="2">
        <v>3.2357626443647901E-4</v>
      </c>
      <c r="F19586" s="2">
        <v>5.6446198647856901E-4</v>
      </c>
    </row>
    <row r="19587" spans="1:6" x14ac:dyDescent="0.25">
      <c r="A19587" s="1" t="str">
        <f t="shared" si="723"/>
        <v>31140</v>
      </c>
      <c r="B19587" s="1" t="str">
        <f>"40066"</f>
        <v>40066</v>
      </c>
      <c r="C19587" s="2">
        <v>1.25878939863303E-3</v>
      </c>
      <c r="D19587" s="2">
        <v>5.8127060292195703E-3</v>
      </c>
      <c r="E19587" s="2">
        <v>4.9780963759458301E-5</v>
      </c>
      <c r="F19587" s="2">
        <v>1.5223368726240199E-3</v>
      </c>
    </row>
    <row r="19588" spans="1:6" x14ac:dyDescent="0.25">
      <c r="A19588" s="1" t="str">
        <f t="shared" si="723"/>
        <v>31140</v>
      </c>
      <c r="B19588" s="1" t="str">
        <f>"47137"</f>
        <v>47137</v>
      </c>
      <c r="C19588" s="2">
        <v>4.9171460884102801E-6</v>
      </c>
      <c r="D19588" s="2">
        <v>0</v>
      </c>
      <c r="E19588" s="2">
        <v>0</v>
      </c>
      <c r="F19588" s="2">
        <v>4.2762271702921899E-6</v>
      </c>
    </row>
    <row r="19589" spans="1:6" x14ac:dyDescent="0.25">
      <c r="A19589" s="1" t="str">
        <f t="shared" si="723"/>
        <v>31140</v>
      </c>
      <c r="B19589" s="1" t="str">
        <f>"40266"</f>
        <v>40266</v>
      </c>
      <c r="C19589" s="2">
        <v>0</v>
      </c>
      <c r="D19589" s="2">
        <v>1.9505724930267E-5</v>
      </c>
      <c r="E19589" s="2">
        <v>0</v>
      </c>
      <c r="F19589" s="2">
        <v>1.4254090567640599E-6</v>
      </c>
    </row>
    <row r="19590" spans="1:6" x14ac:dyDescent="0.25">
      <c r="A19590" s="1" t="str">
        <f t="shared" si="723"/>
        <v>31140</v>
      </c>
      <c r="B19590" s="1" t="str">
        <f>"40251"</f>
        <v>40251</v>
      </c>
      <c r="C19590" s="2">
        <v>1.2079788890527899E-3</v>
      </c>
      <c r="D19590" s="2">
        <v>2.2431583669807E-3</v>
      </c>
      <c r="E19590" s="2">
        <v>4.9780963759458301E-5</v>
      </c>
      <c r="F19590" s="2">
        <v>1.2172993344765101E-3</v>
      </c>
    </row>
    <row r="19591" spans="1:6" x14ac:dyDescent="0.25">
      <c r="A19591" s="1" t="str">
        <f t="shared" si="723"/>
        <v>31140</v>
      </c>
      <c r="B19591" s="1" t="str">
        <f>"47138"</f>
        <v>47138</v>
      </c>
      <c r="C19591" s="2">
        <v>3.6059071315008703E-5</v>
      </c>
      <c r="D19591" s="2">
        <v>0</v>
      </c>
      <c r="E19591" s="2">
        <v>0</v>
      </c>
      <c r="F19591" s="2">
        <v>3.1358999248809402E-5</v>
      </c>
    </row>
    <row r="19592" spans="1:6" x14ac:dyDescent="0.25">
      <c r="A19592" s="1" t="str">
        <f t="shared" si="723"/>
        <v>31140</v>
      </c>
      <c r="B19592" s="1" t="str">
        <f>"47162"</f>
        <v>47162</v>
      </c>
      <c r="C19592" s="2">
        <v>6.8184425759289301E-4</v>
      </c>
      <c r="D19592" s="2">
        <v>3.7060877367507298E-4</v>
      </c>
      <c r="E19592" s="2">
        <v>1.7423337315810401E-4</v>
      </c>
      <c r="F19592" s="2">
        <v>6.30030803089716E-4</v>
      </c>
    </row>
    <row r="19593" spans="1:6" x14ac:dyDescent="0.25">
      <c r="A19593" s="1" t="str">
        <f t="shared" si="723"/>
        <v>31140</v>
      </c>
      <c r="B19593" s="1" t="str">
        <f>"47172"</f>
        <v>47172</v>
      </c>
      <c r="C19593" s="2">
        <v>1.3994197767615599E-2</v>
      </c>
      <c r="D19593" s="2">
        <v>1.2795755554255101E-2</v>
      </c>
      <c r="E19593" s="2">
        <v>7.3924731182795599E-3</v>
      </c>
      <c r="F19593" s="2">
        <v>1.35285573577477E-2</v>
      </c>
    </row>
    <row r="19594" spans="1:6" x14ac:dyDescent="0.25">
      <c r="A19594" s="1" t="str">
        <f t="shared" si="723"/>
        <v>31140</v>
      </c>
      <c r="B19594" s="1" t="str">
        <f>"47119"</f>
        <v>47119</v>
      </c>
      <c r="C19594" s="2">
        <v>9.0442707052826501E-3</v>
      </c>
      <c r="D19594" s="2">
        <v>6.7879922757329196E-3</v>
      </c>
      <c r="E19594" s="2">
        <v>2.6135005973715601E-3</v>
      </c>
      <c r="F19594" s="2">
        <v>8.5111174779382293E-3</v>
      </c>
    </row>
    <row r="19595" spans="1:6" x14ac:dyDescent="0.25">
      <c r="A19595" s="1" t="str">
        <f t="shared" si="723"/>
        <v>31140</v>
      </c>
      <c r="B19595" s="1" t="str">
        <f>"47125"</f>
        <v>47125</v>
      </c>
      <c r="C19595" s="2">
        <v>7.5887954631132003E-4</v>
      </c>
      <c r="D19595" s="2">
        <v>2.1456297423293701E-4</v>
      </c>
      <c r="E19595" s="2">
        <v>3.2357626443647901E-4</v>
      </c>
      <c r="F19595" s="2">
        <v>6.9417421064409904E-4</v>
      </c>
    </row>
    <row r="19596" spans="1:6" x14ac:dyDescent="0.25">
      <c r="A19596" s="1" t="str">
        <f t="shared" si="723"/>
        <v>31140</v>
      </c>
      <c r="B19596" s="1" t="str">
        <f>"47135"</f>
        <v>47135</v>
      </c>
      <c r="C19596" s="2">
        <v>1.04571306813525E-3</v>
      </c>
      <c r="D19596" s="2">
        <v>1.56045799442136E-4</v>
      </c>
      <c r="E19596" s="2">
        <v>6.2226204699322902E-4</v>
      </c>
      <c r="F19596" s="2">
        <v>9.5644947708868697E-4</v>
      </c>
    </row>
    <row r="19597" spans="1:6" x14ac:dyDescent="0.25">
      <c r="A19597" s="1" t="str">
        <f t="shared" si="723"/>
        <v>31140</v>
      </c>
      <c r="B19597" s="1" t="str">
        <f>"40205"</f>
        <v>40205</v>
      </c>
      <c r="C19597" s="2">
        <v>1.8455688318499901E-2</v>
      </c>
      <c r="D19597" s="2">
        <v>1.3575984551465799E-2</v>
      </c>
      <c r="E19597" s="2">
        <v>2.1181800079649499E-2</v>
      </c>
      <c r="F19597" s="2">
        <v>1.8255213789977302E-2</v>
      </c>
    </row>
    <row r="19598" spans="1:6" x14ac:dyDescent="0.25">
      <c r="A19598" s="1" t="str">
        <f t="shared" si="723"/>
        <v>31140</v>
      </c>
      <c r="B19598" s="1" t="str">
        <f>"40217"</f>
        <v>40217</v>
      </c>
      <c r="C19598" s="2">
        <v>1.17421448591237E-2</v>
      </c>
      <c r="D19598" s="2">
        <v>1.7067509313983601E-2</v>
      </c>
      <c r="E19598" s="2">
        <v>1.28185981680605E-2</v>
      </c>
      <c r="F19598" s="2">
        <v>1.21929490715598E-2</v>
      </c>
    </row>
    <row r="19599" spans="1:6" x14ac:dyDescent="0.25">
      <c r="A19599" s="1" t="str">
        <f t="shared" si="723"/>
        <v>31140</v>
      </c>
      <c r="B19599" s="1" t="str">
        <f>"40243"</f>
        <v>40243</v>
      </c>
      <c r="C19599" s="2">
        <v>9.3999442723443297E-3</v>
      </c>
      <c r="D19599" s="2">
        <v>1.6969980689332299E-2</v>
      </c>
      <c r="E19599" s="2">
        <v>1.8269613699721202E-2</v>
      </c>
      <c r="F19599" s="2">
        <v>1.04610770675914E-2</v>
      </c>
    </row>
    <row r="19600" spans="1:6" x14ac:dyDescent="0.25">
      <c r="A19600" s="1" t="str">
        <f t="shared" si="723"/>
        <v>31140</v>
      </c>
      <c r="B19600" s="1" t="str">
        <f>"40252"</f>
        <v>40252</v>
      </c>
      <c r="C19600" s="2">
        <v>1.49645145957286E-3</v>
      </c>
      <c r="D19600" s="2">
        <v>6.7879922757329196E-3</v>
      </c>
      <c r="E19600" s="2">
        <v>4.9780963759458301E-5</v>
      </c>
      <c r="F19600" s="2">
        <v>1.80029163869301E-3</v>
      </c>
    </row>
    <row r="19601" spans="1:6" x14ac:dyDescent="0.25">
      <c r="A19601" s="1" t="str">
        <f t="shared" si="723"/>
        <v>31140</v>
      </c>
      <c r="B19601" s="1" t="str">
        <f>"40068"</f>
        <v>40068</v>
      </c>
      <c r="C19601" s="2">
        <v>1.7619773483470099E-3</v>
      </c>
      <c r="D19601" s="2">
        <v>4.6813739832640802E-4</v>
      </c>
      <c r="E19601" s="2">
        <v>1.1698526483472701E-3</v>
      </c>
      <c r="F19601" s="2">
        <v>1.6335187790516099E-3</v>
      </c>
    </row>
    <row r="19602" spans="1:6" x14ac:dyDescent="0.25">
      <c r="A19602" s="1" t="str">
        <f t="shared" si="723"/>
        <v>31140</v>
      </c>
      <c r="B19602" s="1" t="str">
        <f>"40076"</f>
        <v>40076</v>
      </c>
      <c r="C19602" s="2">
        <v>1.7586992509547399E-3</v>
      </c>
      <c r="D19602" s="2">
        <v>6.0467747283827805E-4</v>
      </c>
      <c r="E19602" s="2">
        <v>8.7116686579052102E-4</v>
      </c>
      <c r="F19602" s="2">
        <v>1.62354091565426E-3</v>
      </c>
    </row>
    <row r="19603" spans="1:6" x14ac:dyDescent="0.25">
      <c r="A19603" s="1" t="str">
        <f t="shared" si="723"/>
        <v>31140</v>
      </c>
      <c r="B19603" s="1" t="str">
        <f>"40027"</f>
        <v>40027</v>
      </c>
      <c r="C19603" s="2">
        <v>0</v>
      </c>
      <c r="D19603" s="2">
        <v>0</v>
      </c>
      <c r="E19603" s="2">
        <v>2.48904818797291E-5</v>
      </c>
      <c r="F19603" s="2">
        <v>1.4254090567640599E-6</v>
      </c>
    </row>
    <row r="19604" spans="1:6" x14ac:dyDescent="0.25">
      <c r="A19604" s="1" t="str">
        <f t="shared" si="723"/>
        <v>31140</v>
      </c>
      <c r="B19604" s="1" t="str">
        <f>"40292"</f>
        <v>40292</v>
      </c>
      <c r="C19604" s="2">
        <v>0</v>
      </c>
      <c r="D19604" s="2">
        <v>3.9011449860534E-5</v>
      </c>
      <c r="E19604" s="2">
        <v>0</v>
      </c>
      <c r="F19604" s="2">
        <v>2.8508181135281198E-6</v>
      </c>
    </row>
    <row r="19605" spans="1:6" x14ac:dyDescent="0.25">
      <c r="A19605" s="1" t="str">
        <f t="shared" si="723"/>
        <v>31140</v>
      </c>
      <c r="B19605" s="1" t="str">
        <f>"40110"</f>
        <v>40110</v>
      </c>
      <c r="C19605" s="2">
        <v>6.5561947845470399E-6</v>
      </c>
      <c r="D19605" s="2">
        <v>1.9505724930267E-5</v>
      </c>
      <c r="E19605" s="2">
        <v>4.9780963759458301E-5</v>
      </c>
      <c r="F19605" s="2">
        <v>9.9778633973484498E-6</v>
      </c>
    </row>
    <row r="19606" spans="1:6" x14ac:dyDescent="0.25">
      <c r="A19606" s="1" t="str">
        <f t="shared" si="723"/>
        <v>31140</v>
      </c>
      <c r="B19606" s="1" t="str">
        <f>"40006"</f>
        <v>40006</v>
      </c>
      <c r="C19606" s="2">
        <v>8.1952434806838098E-6</v>
      </c>
      <c r="D19606" s="2">
        <v>0</v>
      </c>
      <c r="E19606" s="2">
        <v>0</v>
      </c>
      <c r="F19606" s="2">
        <v>7.1270452838203198E-6</v>
      </c>
    </row>
    <row r="19607" spans="1:6" x14ac:dyDescent="0.25">
      <c r="A19607" s="1" t="str">
        <f t="shared" si="723"/>
        <v>31140</v>
      </c>
      <c r="B19607" s="1" t="str">
        <f>"40233"</f>
        <v>40233</v>
      </c>
      <c r="C19607" s="2">
        <v>1.22109127862188E-3</v>
      </c>
      <c r="D19607" s="2">
        <v>4.1742251350771397E-3</v>
      </c>
      <c r="E19607" s="2">
        <v>4.9780963759458301E-5</v>
      </c>
      <c r="F19607" s="2">
        <v>1.36981810355026E-3</v>
      </c>
    </row>
    <row r="19608" spans="1:6" x14ac:dyDescent="0.25">
      <c r="A19608" s="1" t="str">
        <f t="shared" si="723"/>
        <v>31140</v>
      </c>
      <c r="B19608" s="1" t="str">
        <f>"47243"</f>
        <v>47243</v>
      </c>
      <c r="C19608" s="2">
        <v>1.63904869613676E-6</v>
      </c>
      <c r="D19608" s="2">
        <v>0</v>
      </c>
      <c r="E19608" s="2">
        <v>0</v>
      </c>
      <c r="F19608" s="2">
        <v>1.4254090567640599E-6</v>
      </c>
    </row>
    <row r="19609" spans="1:6" x14ac:dyDescent="0.25">
      <c r="A19609" s="1" t="str">
        <f t="shared" si="723"/>
        <v>31140</v>
      </c>
      <c r="B19609" s="1" t="str">
        <f>"40177"</f>
        <v>40177</v>
      </c>
      <c r="C19609" s="2">
        <v>5.7530609234400303E-4</v>
      </c>
      <c r="D19609" s="2">
        <v>1.9505724930267001E-4</v>
      </c>
      <c r="E19609" s="2">
        <v>4.7291915571485402E-4</v>
      </c>
      <c r="F19609" s="2">
        <v>5.4165544157034403E-4</v>
      </c>
    </row>
    <row r="19610" spans="1:6" x14ac:dyDescent="0.25">
      <c r="A19610" s="1" t="str">
        <f t="shared" si="723"/>
        <v>31140</v>
      </c>
      <c r="B19610" s="1" t="str">
        <f>"40221"</f>
        <v>40221</v>
      </c>
      <c r="C19610" s="2">
        <v>1.4685876317385299E-3</v>
      </c>
      <c r="D19610" s="2">
        <v>3.2184446134940598E-3</v>
      </c>
      <c r="E19610" s="2">
        <v>2.48904818797291E-5</v>
      </c>
      <c r="F19610" s="2">
        <v>1.51378441828343E-3</v>
      </c>
    </row>
    <row r="19611" spans="1:6" x14ac:dyDescent="0.25">
      <c r="A19611" s="1" t="str">
        <f t="shared" si="723"/>
        <v>31140</v>
      </c>
      <c r="B19611" s="1" t="str">
        <f>"47167"</f>
        <v>47167</v>
      </c>
      <c r="C19611" s="2">
        <v>1.2119126059235199E-2</v>
      </c>
      <c r="D19611" s="2">
        <v>1.0240505588390099E-2</v>
      </c>
      <c r="E19611" s="2">
        <v>1.2768817204301E-2</v>
      </c>
      <c r="F19611" s="2">
        <v>1.20190491666345E-2</v>
      </c>
    </row>
    <row r="19612" spans="1:6" x14ac:dyDescent="0.25">
      <c r="A19612" s="1" t="str">
        <f t="shared" si="723"/>
        <v>31140</v>
      </c>
      <c r="B19612" s="1" t="str">
        <f>"47111"</f>
        <v>47111</v>
      </c>
      <c r="C19612" s="2">
        <v>1.2345314779301999E-2</v>
      </c>
      <c r="D19612" s="2">
        <v>6.6514522012210498E-3</v>
      </c>
      <c r="E19612" s="2">
        <v>7.9649542015133405E-3</v>
      </c>
      <c r="F19612" s="2">
        <v>1.1678376402067901E-2</v>
      </c>
    </row>
    <row r="19613" spans="1:6" x14ac:dyDescent="0.25">
      <c r="A19613" s="1" t="str">
        <f t="shared" si="723"/>
        <v>31140</v>
      </c>
      <c r="B19613" s="1" t="str">
        <f>"47112"</f>
        <v>47112</v>
      </c>
      <c r="C19613" s="2">
        <v>1.3746701414498999E-2</v>
      </c>
      <c r="D19613" s="2">
        <v>1.77307039616127E-2</v>
      </c>
      <c r="E19613" s="2">
        <v>1.16487455197132E-2</v>
      </c>
      <c r="F19613" s="2">
        <v>1.39176940302443E-2</v>
      </c>
    </row>
    <row r="19614" spans="1:6" x14ac:dyDescent="0.25">
      <c r="A19614" s="1" t="str">
        <f t="shared" si="723"/>
        <v>31140</v>
      </c>
      <c r="B19614" s="1" t="str">
        <f>"47150"</f>
        <v>47150</v>
      </c>
      <c r="C19614" s="2">
        <v>3.8111160282571901E-2</v>
      </c>
      <c r="D19614" s="2">
        <v>4.2971112021378197E-2</v>
      </c>
      <c r="E19614" s="2">
        <v>3.3900836320191099E-2</v>
      </c>
      <c r="F19614" s="2">
        <v>3.8225194675241901E-2</v>
      </c>
    </row>
    <row r="19615" spans="1:6" x14ac:dyDescent="0.25">
      <c r="A19615" s="1" t="str">
        <f t="shared" si="723"/>
        <v>31140</v>
      </c>
      <c r="B19615" s="1" t="str">
        <f>"47161"</f>
        <v>47161</v>
      </c>
      <c r="C19615" s="2">
        <v>2.5782235990231199E-3</v>
      </c>
      <c r="D19615" s="2">
        <v>9.1676907172255E-4</v>
      </c>
      <c r="E19615" s="2">
        <v>1.4685384309040201E-3</v>
      </c>
      <c r="F19615" s="2">
        <v>2.3932618063068601E-3</v>
      </c>
    </row>
    <row r="19616" spans="1:6" x14ac:dyDescent="0.25">
      <c r="A19616" s="1" t="str">
        <f t="shared" ref="A19616:A19647" si="724">"31140"</f>
        <v>31140</v>
      </c>
      <c r="B19616" s="1" t="str">
        <f>"47164"</f>
        <v>47164</v>
      </c>
      <c r="C19616" s="2">
        <v>2.7273770303715699E-3</v>
      </c>
      <c r="D19616" s="2">
        <v>7.0220609748961299E-4</v>
      </c>
      <c r="E19616" s="2">
        <v>9.9561927518916691E-4</v>
      </c>
      <c r="F19616" s="2">
        <v>2.48021175876947E-3</v>
      </c>
    </row>
    <row r="19617" spans="1:6" x14ac:dyDescent="0.25">
      <c r="A19617" s="1" t="str">
        <f t="shared" si="724"/>
        <v>31140</v>
      </c>
      <c r="B19617" s="1" t="str">
        <f>"47142"</f>
        <v>47142</v>
      </c>
      <c r="C19617" s="2">
        <v>7.0970808542721801E-4</v>
      </c>
      <c r="D19617" s="2">
        <v>2.3406869916320401E-4</v>
      </c>
      <c r="E19617" s="2">
        <v>1.1200716845878101E-3</v>
      </c>
      <c r="F19617" s="2">
        <v>6.9845043781439095E-4</v>
      </c>
    </row>
    <row r="19618" spans="1:6" x14ac:dyDescent="0.25">
      <c r="A19618" s="1" t="str">
        <f t="shared" si="724"/>
        <v>31140</v>
      </c>
      <c r="B19618" s="1" t="str">
        <f>"47124"</f>
        <v>47124</v>
      </c>
      <c r="C19618" s="2">
        <v>3.1518906426709898E-3</v>
      </c>
      <c r="D19618" s="2">
        <v>7.9973472214094803E-4</v>
      </c>
      <c r="E19618" s="2">
        <v>9.2094782954998001E-4</v>
      </c>
      <c r="F19618" s="2">
        <v>2.8522435225848898E-3</v>
      </c>
    </row>
    <row r="19619" spans="1:6" x14ac:dyDescent="0.25">
      <c r="A19619" s="1" t="str">
        <f t="shared" si="724"/>
        <v>31140</v>
      </c>
      <c r="B19619" s="1" t="str">
        <f>"40219"</f>
        <v>40219</v>
      </c>
      <c r="C19619" s="2">
        <v>2.89587123633443E-2</v>
      </c>
      <c r="D19619" s="2">
        <v>2.43821561628337E-2</v>
      </c>
      <c r="E19619" s="2">
        <v>3.8580246913580203E-2</v>
      </c>
      <c r="F19619" s="2">
        <v>2.9175272573846799E-2</v>
      </c>
    </row>
    <row r="19620" spans="1:6" x14ac:dyDescent="0.25">
      <c r="A19620" s="1" t="str">
        <f t="shared" si="724"/>
        <v>31140</v>
      </c>
      <c r="B19620" s="1" t="str">
        <f>"40220"</f>
        <v>40220</v>
      </c>
      <c r="C19620" s="2">
        <v>2.6132992411204502E-2</v>
      </c>
      <c r="D19620" s="2">
        <v>1.4843856671933201E-2</v>
      </c>
      <c r="E19620" s="2">
        <v>3.06401831939466E-2</v>
      </c>
      <c r="F19620" s="2">
        <v>2.55661368421202E-2</v>
      </c>
    </row>
    <row r="19621" spans="1:6" x14ac:dyDescent="0.25">
      <c r="A19621" s="1" t="str">
        <f t="shared" si="724"/>
        <v>31140</v>
      </c>
      <c r="B19621" s="1" t="str">
        <f>"40208"</f>
        <v>40208</v>
      </c>
      <c r="C19621" s="2">
        <v>1.1804428709576899E-2</v>
      </c>
      <c r="D19621" s="2">
        <v>1.2444652505510301E-2</v>
      </c>
      <c r="E19621" s="2">
        <v>2.9246316208681799E-2</v>
      </c>
      <c r="F19621" s="2">
        <v>1.2850062646728E-2</v>
      </c>
    </row>
    <row r="19622" spans="1:6" x14ac:dyDescent="0.25">
      <c r="A19622" s="1" t="str">
        <f t="shared" si="724"/>
        <v>31140</v>
      </c>
      <c r="B19622" s="1" t="str">
        <f>"40245"</f>
        <v>40245</v>
      </c>
      <c r="C19622" s="2">
        <v>2.6157578141646501E-2</v>
      </c>
      <c r="D19622" s="2">
        <v>7.9193243216884104E-3</v>
      </c>
      <c r="E19622" s="2">
        <v>1.7448227797690102E-2</v>
      </c>
      <c r="F19622" s="2">
        <v>2.4326030962735501E-2</v>
      </c>
    </row>
    <row r="19623" spans="1:6" x14ac:dyDescent="0.25">
      <c r="A19623" s="1" t="str">
        <f t="shared" si="724"/>
        <v>31140</v>
      </c>
      <c r="B19623" s="1" t="str">
        <f>"47126"</f>
        <v>47126</v>
      </c>
      <c r="C19623" s="2">
        <v>3.2633459540082899E-3</v>
      </c>
      <c r="D19623" s="2">
        <v>1.0728148711646799E-3</v>
      </c>
      <c r="E19623" s="2">
        <v>1.3938669852648299E-3</v>
      </c>
      <c r="F19623" s="2">
        <v>2.9962098373180601E-3</v>
      </c>
    </row>
    <row r="19624" spans="1:6" x14ac:dyDescent="0.25">
      <c r="A19624" s="1" t="str">
        <f t="shared" si="724"/>
        <v>31140</v>
      </c>
      <c r="B19624" s="1" t="str">
        <f>"47130"</f>
        <v>47130</v>
      </c>
      <c r="C19624" s="2">
        <v>3.7835800101620999E-2</v>
      </c>
      <c r="D19624" s="2">
        <v>3.6690268593832197E-2</v>
      </c>
      <c r="E19624" s="2">
        <v>3.1511350059737098E-2</v>
      </c>
      <c r="F19624" s="2">
        <v>3.7389904967978102E-2</v>
      </c>
    </row>
    <row r="19625" spans="1:6" x14ac:dyDescent="0.25">
      <c r="A19625" s="1" t="str">
        <f t="shared" si="724"/>
        <v>31140</v>
      </c>
      <c r="B19625" s="1" t="str">
        <f>"47136"</f>
        <v>47136</v>
      </c>
      <c r="C19625" s="2">
        <v>3.10435823048302E-3</v>
      </c>
      <c r="D19625" s="2">
        <v>7.2171182241988002E-4</v>
      </c>
      <c r="E19625" s="2">
        <v>1.29430505774591E-3</v>
      </c>
      <c r="F19625" s="2">
        <v>2.8265861595631399E-3</v>
      </c>
    </row>
    <row r="19626" spans="1:6" x14ac:dyDescent="0.25">
      <c r="A19626" s="1" t="str">
        <f t="shared" si="724"/>
        <v>31140</v>
      </c>
      <c r="B19626" s="1" t="str">
        <f>"47108"</f>
        <v>47108</v>
      </c>
      <c r="C19626" s="2">
        <v>1.81278785792725E-3</v>
      </c>
      <c r="D19626" s="2">
        <v>6.0467747283827805E-4</v>
      </c>
      <c r="E19626" s="2">
        <v>2.6135005973715601E-3</v>
      </c>
      <c r="F19626" s="2">
        <v>1.7703580485009601E-3</v>
      </c>
    </row>
    <row r="19627" spans="1:6" x14ac:dyDescent="0.25">
      <c r="A19627" s="1" t="str">
        <f t="shared" si="724"/>
        <v>31140</v>
      </c>
      <c r="B19627" s="1" t="str">
        <f>"40216"</f>
        <v>40216</v>
      </c>
      <c r="C19627" s="2">
        <v>3.2400714625231503E-2</v>
      </c>
      <c r="D19627" s="2">
        <v>2.3777478689995499E-2</v>
      </c>
      <c r="E19627" s="2">
        <v>2.75786539227399E-2</v>
      </c>
      <c r="F19627" s="2">
        <v>3.1494413109202E-2</v>
      </c>
    </row>
    <row r="19628" spans="1:6" x14ac:dyDescent="0.25">
      <c r="A19628" s="1" t="str">
        <f t="shared" si="724"/>
        <v>31140</v>
      </c>
      <c r="B19628" s="1" t="str">
        <f>"40228"</f>
        <v>40228</v>
      </c>
      <c r="C19628" s="2">
        <v>1.3548376522266399E-2</v>
      </c>
      <c r="D19628" s="2">
        <v>8.7970819435504305E-3</v>
      </c>
      <c r="E19628" s="2">
        <v>7.6413779370768601E-3</v>
      </c>
      <c r="F19628" s="2">
        <v>1.2862891328238899E-2</v>
      </c>
    </row>
    <row r="19629" spans="1:6" x14ac:dyDescent="0.25">
      <c r="A19629" s="1" t="str">
        <f t="shared" si="724"/>
        <v>31140</v>
      </c>
      <c r="B19629" s="1" t="str">
        <f>"40232"</f>
        <v>40232</v>
      </c>
      <c r="C19629" s="2">
        <v>1.27354083689826E-3</v>
      </c>
      <c r="D19629" s="2">
        <v>7.5877269978738698E-3</v>
      </c>
      <c r="E19629" s="2">
        <v>4.9780963759458301E-5</v>
      </c>
      <c r="F19629" s="2">
        <v>1.6648777783004199E-3</v>
      </c>
    </row>
    <row r="19630" spans="1:6" x14ac:dyDescent="0.25">
      <c r="A19630" s="1" t="str">
        <f t="shared" si="724"/>
        <v>31140</v>
      </c>
      <c r="B19630" s="1" t="str">
        <f>"40250"</f>
        <v>40250</v>
      </c>
      <c r="C19630" s="2">
        <v>1.4653095343462601E-3</v>
      </c>
      <c r="D19630" s="2">
        <v>4.7398911580548804E-3</v>
      </c>
      <c r="E19630" s="2">
        <v>4.9780963759458301E-5</v>
      </c>
      <c r="F19630" s="2">
        <v>1.62354091565426E-3</v>
      </c>
    </row>
    <row r="19631" spans="1:6" x14ac:dyDescent="0.25">
      <c r="A19631" s="1" t="str">
        <f t="shared" si="724"/>
        <v>31140</v>
      </c>
      <c r="B19631" s="1" t="str">
        <f>"40269"</f>
        <v>40269</v>
      </c>
      <c r="C19631" s="2">
        <v>1.20306174296438E-3</v>
      </c>
      <c r="D19631" s="2">
        <v>6.6709579261513196E-3</v>
      </c>
      <c r="E19631" s="2">
        <v>4.9780963759458301E-5</v>
      </c>
      <c r="F19631" s="2">
        <v>1.5365909631916599E-3</v>
      </c>
    </row>
    <row r="19632" spans="1:6" x14ac:dyDescent="0.25">
      <c r="A19632" s="1" t="str">
        <f t="shared" si="724"/>
        <v>31140</v>
      </c>
      <c r="B19632" s="1" t="str">
        <f>"40010"</f>
        <v>40010</v>
      </c>
      <c r="C19632" s="2">
        <v>3.09780203569848E-4</v>
      </c>
      <c r="D19632" s="2">
        <v>1.7945266935845601E-3</v>
      </c>
      <c r="E19632" s="2">
        <v>3.2357626443647901E-4</v>
      </c>
      <c r="F19632" s="2">
        <v>4.1907026268863502E-4</v>
      </c>
    </row>
    <row r="19633" spans="1:6" x14ac:dyDescent="0.25">
      <c r="A19633" s="1" t="str">
        <f t="shared" si="724"/>
        <v>31140</v>
      </c>
      <c r="B19633" s="1" t="str">
        <f>"40150"</f>
        <v>40150</v>
      </c>
      <c r="C19633" s="2">
        <v>3.2354821261739602E-3</v>
      </c>
      <c r="D19633" s="2">
        <v>6.43688922698812E-4</v>
      </c>
      <c r="E19633" s="2">
        <v>2.53882915173237E-3</v>
      </c>
      <c r="F19633" s="2">
        <v>3.0061877007154102E-3</v>
      </c>
    </row>
    <row r="19634" spans="1:6" x14ac:dyDescent="0.25">
      <c r="A19634" s="1" t="str">
        <f t="shared" si="724"/>
        <v>31140</v>
      </c>
      <c r="B19634" s="1" t="str">
        <f>"40067"</f>
        <v>40067</v>
      </c>
      <c r="C19634" s="2">
        <v>3.5305108914785799E-3</v>
      </c>
      <c r="D19634" s="2">
        <v>4.3107652095890096E-3</v>
      </c>
      <c r="E19634" s="2">
        <v>2.21525288729589E-3</v>
      </c>
      <c r="F19634" s="2">
        <v>3.5122079158666501E-3</v>
      </c>
    </row>
    <row r="19635" spans="1:6" x14ac:dyDescent="0.25">
      <c r="A19635" s="1" t="str">
        <f t="shared" si="724"/>
        <v>31140</v>
      </c>
      <c r="B19635" s="1" t="str">
        <f>"40056"</f>
        <v>40056</v>
      </c>
      <c r="C19635" s="2">
        <v>3.1387782531018902E-3</v>
      </c>
      <c r="D19635" s="2">
        <v>4.2327423098679397E-3</v>
      </c>
      <c r="E19635" s="2">
        <v>6.4715252887295803E-4</v>
      </c>
      <c r="F19635" s="2">
        <v>3.0760327444968498E-3</v>
      </c>
    </row>
    <row r="19636" spans="1:6" x14ac:dyDescent="0.25">
      <c r="A19636" s="1" t="str">
        <f t="shared" si="724"/>
        <v>31140</v>
      </c>
      <c r="B19636" s="1" t="str">
        <f>"40013"</f>
        <v>40013</v>
      </c>
      <c r="C19636" s="2">
        <v>6.2283850453196895E-4</v>
      </c>
      <c r="D19636" s="2">
        <v>1.36540074511869E-4</v>
      </c>
      <c r="E19636" s="2">
        <v>2.9868578255675001E-4</v>
      </c>
      <c r="F19636" s="2">
        <v>5.6873821364886103E-4</v>
      </c>
    </row>
    <row r="19637" spans="1:6" x14ac:dyDescent="0.25">
      <c r="A19637" s="1" t="str">
        <f t="shared" si="724"/>
        <v>31140</v>
      </c>
      <c r="B19637" s="1" t="str">
        <f>"40075"</f>
        <v>40075</v>
      </c>
      <c r="C19637" s="2">
        <v>7.6379669239973105E-4</v>
      </c>
      <c r="D19637" s="2">
        <v>0</v>
      </c>
      <c r="E19637" s="2">
        <v>4.9780963759458301E-5</v>
      </c>
      <c r="F19637" s="2">
        <v>6.6709143856558204E-4</v>
      </c>
    </row>
    <row r="19638" spans="1:6" x14ac:dyDescent="0.25">
      <c r="A19638" s="1" t="str">
        <f t="shared" si="724"/>
        <v>31140</v>
      </c>
      <c r="B19638" s="1" t="str">
        <f>"47147"</f>
        <v>47147</v>
      </c>
      <c r="C19638" s="2">
        <v>5.0318794971398605E-4</v>
      </c>
      <c r="D19638" s="2">
        <v>1.1703434958160201E-4</v>
      </c>
      <c r="E19638" s="2">
        <v>2.4890481879729102E-4</v>
      </c>
      <c r="F19638" s="2">
        <v>4.60407125334792E-4</v>
      </c>
    </row>
    <row r="19639" spans="1:6" x14ac:dyDescent="0.25">
      <c r="A19639" s="1" t="str">
        <f t="shared" si="724"/>
        <v>31140</v>
      </c>
      <c r="B19639" s="1" t="str">
        <f>"40256"</f>
        <v>40256</v>
      </c>
      <c r="C19639" s="2">
        <v>1.57184769959515E-3</v>
      </c>
      <c r="D19639" s="2">
        <v>3.4720190375875301E-3</v>
      </c>
      <c r="E19639" s="2">
        <v>4.9780963759458301E-5</v>
      </c>
      <c r="F19639" s="2">
        <v>1.62354091565426E-3</v>
      </c>
    </row>
    <row r="19640" spans="1:6" x14ac:dyDescent="0.25">
      <c r="A19640" s="1" t="str">
        <f t="shared" si="724"/>
        <v>31140</v>
      </c>
      <c r="B19640" s="1" t="str">
        <f>"40261"</f>
        <v>40261</v>
      </c>
      <c r="C19640" s="2">
        <v>4.1959646621101098E-4</v>
      </c>
      <c r="D19640" s="2">
        <v>6.6319464762907903E-4</v>
      </c>
      <c r="E19640" s="2">
        <v>4.9780963759458301E-5</v>
      </c>
      <c r="F19640" s="2">
        <v>4.1621944457510601E-4</v>
      </c>
    </row>
    <row r="19641" spans="1:6" x14ac:dyDescent="0.25">
      <c r="A19641" s="1" t="str">
        <f t="shared" si="724"/>
        <v>31140</v>
      </c>
      <c r="B19641" s="1" t="str">
        <f>"47160"</f>
        <v>47160</v>
      </c>
      <c r="C19641" s="2">
        <v>1.5079248004458201E-4</v>
      </c>
      <c r="D19641" s="2">
        <v>1.36540074511869E-4</v>
      </c>
      <c r="E19641" s="2">
        <v>2.48904818797291E-5</v>
      </c>
      <c r="F19641" s="2">
        <v>1.42540905676406E-4</v>
      </c>
    </row>
    <row r="19642" spans="1:6" x14ac:dyDescent="0.25">
      <c r="A19642" s="1" t="str">
        <f t="shared" si="724"/>
        <v>31140</v>
      </c>
      <c r="B19642" s="1" t="str">
        <f>"40253"</f>
        <v>40253</v>
      </c>
      <c r="C19642" s="2">
        <v>1.01621019160479E-3</v>
      </c>
      <c r="D19642" s="2">
        <v>9.3822536914584392E-3</v>
      </c>
      <c r="E19642" s="2">
        <v>4.9780963759458301E-5</v>
      </c>
      <c r="F19642" s="2">
        <v>1.57222618961076E-3</v>
      </c>
    </row>
    <row r="19643" spans="1:6" x14ac:dyDescent="0.25">
      <c r="A19643" s="1" t="str">
        <f t="shared" si="724"/>
        <v>31140</v>
      </c>
      <c r="B19643" s="1" t="str">
        <f>"40215"</f>
        <v>40215</v>
      </c>
      <c r="C19643" s="2">
        <v>1.6182327776958199E-2</v>
      </c>
      <c r="D19643" s="2">
        <v>7.5487155480133397E-3</v>
      </c>
      <c r="E19643" s="2">
        <v>2.15551573078454E-2</v>
      </c>
      <c r="F19643" s="2">
        <v>1.5859101165556898E-2</v>
      </c>
    </row>
    <row r="19644" spans="1:6" x14ac:dyDescent="0.25">
      <c r="A19644" s="1" t="str">
        <f t="shared" si="724"/>
        <v>31140</v>
      </c>
      <c r="B19644" s="1" t="str">
        <f>"40218"</f>
        <v>40218</v>
      </c>
      <c r="C19644" s="2">
        <v>2.4489026568979302E-2</v>
      </c>
      <c r="D19644" s="2">
        <v>3.4330075877269897E-2</v>
      </c>
      <c r="E19644" s="2">
        <v>4.5773596176821897E-2</v>
      </c>
      <c r="F19644" s="2">
        <v>2.64270839124057E-2</v>
      </c>
    </row>
    <row r="19645" spans="1:6" x14ac:dyDescent="0.25">
      <c r="A19645" s="1" t="str">
        <f t="shared" si="724"/>
        <v>31140</v>
      </c>
      <c r="B19645" s="1" t="str">
        <f>"40222"</f>
        <v>40222</v>
      </c>
      <c r="C19645" s="2">
        <v>1.9789873957155198E-2</v>
      </c>
      <c r="D19645" s="2">
        <v>3.0292390816704699E-2</v>
      </c>
      <c r="E19645" s="2">
        <v>2.9993030665073601E-2</v>
      </c>
      <c r="F19645" s="2">
        <v>2.1141667129924602E-2</v>
      </c>
    </row>
    <row r="19646" spans="1:6" x14ac:dyDescent="0.25">
      <c r="A19646" s="1" t="str">
        <f t="shared" si="724"/>
        <v>31140</v>
      </c>
      <c r="B19646" s="1" t="str">
        <f>"40212"</f>
        <v>40212</v>
      </c>
      <c r="C19646" s="2">
        <v>1.39040500893281E-2</v>
      </c>
      <c r="D19646" s="2">
        <v>7.0805781496869301E-3</v>
      </c>
      <c r="E19646" s="2">
        <v>1.23207885304659E-2</v>
      </c>
      <c r="F19646" s="2">
        <v>1.33147459992331E-2</v>
      </c>
    </row>
    <row r="19647" spans="1:6" x14ac:dyDescent="0.25">
      <c r="A19647" s="1" t="str">
        <f t="shared" si="724"/>
        <v>31140</v>
      </c>
      <c r="B19647" s="1" t="str">
        <f>"40255"</f>
        <v>40255</v>
      </c>
      <c r="C19647" s="2">
        <v>6.8676140368130305E-4</v>
      </c>
      <c r="D19647" s="2">
        <v>4.3887881093100803E-3</v>
      </c>
      <c r="E19647" s="2">
        <v>4.9780963759458301E-5</v>
      </c>
      <c r="F19647" s="2">
        <v>9.2081425066958497E-4</v>
      </c>
    </row>
    <row r="19648" spans="1:6" x14ac:dyDescent="0.25">
      <c r="A19648" s="1" t="str">
        <f t="shared" ref="A19648:A19668" si="725">"31140"</f>
        <v>31140</v>
      </c>
      <c r="B19648" s="1" t="str">
        <f>"40291"</f>
        <v>40291</v>
      </c>
      <c r="C19648" s="2">
        <v>2.9271770664306401E-2</v>
      </c>
      <c r="D19648" s="2">
        <v>1.50389139212358E-2</v>
      </c>
      <c r="E19648" s="2">
        <v>3.47968936678614E-2</v>
      </c>
      <c r="F19648" s="2">
        <v>2.8548092588870599E-2</v>
      </c>
    </row>
    <row r="19649" spans="1:6" x14ac:dyDescent="0.25">
      <c r="A19649" s="1" t="str">
        <f t="shared" si="725"/>
        <v>31140</v>
      </c>
      <c r="B19649" s="1" t="str">
        <f>"40011"</f>
        <v>40011</v>
      </c>
      <c r="C19649" s="2">
        <v>1.534149579584E-3</v>
      </c>
      <c r="D19649" s="2">
        <v>7.0220609748961299E-4</v>
      </c>
      <c r="E19649" s="2">
        <v>9.9561927518916697E-5</v>
      </c>
      <c r="F19649" s="2">
        <v>1.3911992394017201E-3</v>
      </c>
    </row>
    <row r="19650" spans="1:6" x14ac:dyDescent="0.25">
      <c r="A19650" s="1" t="str">
        <f t="shared" si="725"/>
        <v>31140</v>
      </c>
      <c r="B19650" s="1" t="str">
        <f>"40071"</f>
        <v>40071</v>
      </c>
      <c r="C19650" s="2">
        <v>1.01702971595286E-2</v>
      </c>
      <c r="D19650" s="2">
        <v>3.9206507109836699E-3</v>
      </c>
      <c r="E19650" s="2">
        <v>6.22262046993229E-3</v>
      </c>
      <c r="F19650" s="2">
        <v>9.4875226818216096E-3</v>
      </c>
    </row>
    <row r="19651" spans="1:6" x14ac:dyDescent="0.25">
      <c r="A19651" s="1" t="str">
        <f t="shared" si="725"/>
        <v>31140</v>
      </c>
      <c r="B19651" s="1" t="str">
        <f>"40025"</f>
        <v>40025</v>
      </c>
      <c r="C19651" s="2">
        <v>1.63904869613676E-4</v>
      </c>
      <c r="D19651" s="2">
        <v>0</v>
      </c>
      <c r="E19651" s="2">
        <v>2.48904818797291E-5</v>
      </c>
      <c r="F19651" s="2">
        <v>1.4396631473317001E-4</v>
      </c>
    </row>
    <row r="19652" spans="1:6" x14ac:dyDescent="0.25">
      <c r="A19652" s="1" t="str">
        <f t="shared" si="725"/>
        <v>31140</v>
      </c>
      <c r="B19652" s="1" t="str">
        <f>"47129"</f>
        <v>47129</v>
      </c>
      <c r="C19652" s="2">
        <v>1.5620134074183299E-2</v>
      </c>
      <c r="D19652" s="2">
        <v>2.1261240173990999E-2</v>
      </c>
      <c r="E19652" s="2">
        <v>1.5382317801672599E-2</v>
      </c>
      <c r="F19652" s="2">
        <v>1.6018746979914501E-2</v>
      </c>
    </row>
    <row r="19653" spans="1:6" x14ac:dyDescent="0.25">
      <c r="A19653" s="1" t="str">
        <f t="shared" si="725"/>
        <v>31140</v>
      </c>
      <c r="B19653" s="1" t="str">
        <f>"40601"</f>
        <v>40601</v>
      </c>
      <c r="C19653" s="2">
        <v>4.6057268361443E-4</v>
      </c>
      <c r="D19653" s="2">
        <v>0</v>
      </c>
      <c r="E19653" s="2">
        <v>0</v>
      </c>
      <c r="F19653" s="2">
        <v>4.0053994495070199E-4</v>
      </c>
    </row>
    <row r="19654" spans="1:6" x14ac:dyDescent="0.25">
      <c r="A19654" s="1" t="str">
        <f t="shared" si="725"/>
        <v>31140</v>
      </c>
      <c r="B19654" s="1" t="str">
        <f>"40282"</f>
        <v>40282</v>
      </c>
      <c r="C19654" s="2">
        <v>0</v>
      </c>
      <c r="D19654" s="2">
        <v>1.9505724930267E-5</v>
      </c>
      <c r="E19654" s="2">
        <v>0</v>
      </c>
      <c r="F19654" s="2">
        <v>1.4254090567640599E-6</v>
      </c>
    </row>
    <row r="19655" spans="1:6" x14ac:dyDescent="0.25">
      <c r="A19655" s="1" t="str">
        <f t="shared" si="725"/>
        <v>31140</v>
      </c>
      <c r="B19655" s="1" t="str">
        <f>"40166"</f>
        <v>40166</v>
      </c>
      <c r="C19655" s="2">
        <v>0</v>
      </c>
      <c r="D19655" s="2">
        <v>0</v>
      </c>
      <c r="E19655" s="2">
        <v>2.48904818797291E-5</v>
      </c>
      <c r="F19655" s="2">
        <v>1.4254090567640599E-6</v>
      </c>
    </row>
    <row r="19656" spans="1:6" x14ac:dyDescent="0.25">
      <c r="A19656" s="1" t="str">
        <f t="shared" si="725"/>
        <v>31140</v>
      </c>
      <c r="B19656" s="1" t="str">
        <f>"40047"</f>
        <v>40047</v>
      </c>
      <c r="C19656" s="2">
        <v>1.52972414810444E-2</v>
      </c>
      <c r="D19656" s="2">
        <v>5.5201201552655703E-3</v>
      </c>
      <c r="E19656" s="2">
        <v>9.1596973317403397E-3</v>
      </c>
      <c r="F19656" s="2">
        <v>1.42312840227324E-2</v>
      </c>
    </row>
    <row r="19657" spans="1:6" x14ac:dyDescent="0.25">
      <c r="A19657" s="1" t="str">
        <f t="shared" si="725"/>
        <v>31140</v>
      </c>
      <c r="B19657" s="1" t="str">
        <f>"40036"</f>
        <v>40036</v>
      </c>
      <c r="C19657" s="2">
        <v>2.6880398616642898E-4</v>
      </c>
      <c r="D19657" s="2">
        <v>1.9505724930267001E-4</v>
      </c>
      <c r="E19657" s="2">
        <v>2.73795300677021E-4</v>
      </c>
      <c r="F19657" s="2">
        <v>2.6370067550135202E-4</v>
      </c>
    </row>
    <row r="19658" spans="1:6" x14ac:dyDescent="0.25">
      <c r="A19658" s="1" t="str">
        <f t="shared" si="725"/>
        <v>31140</v>
      </c>
      <c r="B19658" s="1" t="str">
        <f>"47146"</f>
        <v>47146</v>
      </c>
      <c r="C19658" s="2">
        <v>0</v>
      </c>
      <c r="D19658" s="2">
        <v>0</v>
      </c>
      <c r="E19658" s="2">
        <v>9.9561927518916697E-5</v>
      </c>
      <c r="F19658" s="2">
        <v>5.7016362270562497E-6</v>
      </c>
    </row>
    <row r="19659" spans="1:6" x14ac:dyDescent="0.25">
      <c r="A19659" s="1" t="str">
        <f t="shared" si="725"/>
        <v>31140</v>
      </c>
      <c r="B19659" s="1" t="str">
        <f>"40231"</f>
        <v>40231</v>
      </c>
      <c r="C19659" s="2">
        <v>0</v>
      </c>
      <c r="D19659" s="2">
        <v>5.8517174790801098E-5</v>
      </c>
      <c r="E19659" s="2">
        <v>0</v>
      </c>
      <c r="F19659" s="2">
        <v>4.2762271702921899E-6</v>
      </c>
    </row>
    <row r="19660" spans="1:6" x14ac:dyDescent="0.25">
      <c r="A19660" s="1" t="str">
        <f t="shared" si="725"/>
        <v>31140</v>
      </c>
      <c r="B19660" s="1" t="str">
        <f>"47145"</f>
        <v>47145</v>
      </c>
      <c r="C19660" s="2">
        <v>1.6390486961367599E-5</v>
      </c>
      <c r="D19660" s="2">
        <v>0</v>
      </c>
      <c r="E19660" s="2">
        <v>7.4671445639187502E-5</v>
      </c>
      <c r="F19660" s="2">
        <v>1.8530317737932801E-5</v>
      </c>
    </row>
    <row r="19661" spans="1:6" x14ac:dyDescent="0.25">
      <c r="A19661" s="1" t="str">
        <f t="shared" si="725"/>
        <v>31140</v>
      </c>
      <c r="B19661" s="1" t="str">
        <f>"47452"</f>
        <v>47452</v>
      </c>
      <c r="C19661" s="2">
        <v>1.14733408729573E-5</v>
      </c>
      <c r="D19661" s="2">
        <v>0</v>
      </c>
      <c r="E19661" s="2">
        <v>0</v>
      </c>
      <c r="F19661" s="2">
        <v>9.9778633973484498E-6</v>
      </c>
    </row>
    <row r="19662" spans="1:6" x14ac:dyDescent="0.25">
      <c r="A19662" s="1" t="str">
        <f t="shared" si="725"/>
        <v>31140</v>
      </c>
      <c r="B19662" s="1" t="str">
        <f>"40206"</f>
        <v>40206</v>
      </c>
      <c r="C19662" s="2">
        <v>1.9832489223254798E-2</v>
      </c>
      <c r="D19662" s="2">
        <v>2.3562915715762502E-2</v>
      </c>
      <c r="E19662" s="2">
        <v>2.94205495818399E-2</v>
      </c>
      <c r="F19662" s="2">
        <v>2.0654177232511201E-2</v>
      </c>
    </row>
    <row r="19663" spans="1:6" x14ac:dyDescent="0.25">
      <c r="A19663" s="1" t="str">
        <f t="shared" si="725"/>
        <v>31140</v>
      </c>
      <c r="B19663" s="1" t="str">
        <f>"40207"</f>
        <v>40207</v>
      </c>
      <c r="C19663" s="2">
        <v>2.48823982560521E-2</v>
      </c>
      <c r="D19663" s="2">
        <v>4.2385940273470202E-2</v>
      </c>
      <c r="E19663" s="2">
        <v>3.1685583432895202E-2</v>
      </c>
      <c r="F19663" s="2">
        <v>2.6551094500344201E-2</v>
      </c>
    </row>
    <row r="19664" spans="1:6" x14ac:dyDescent="0.25">
      <c r="A19664" s="1" t="str">
        <f t="shared" si="725"/>
        <v>31140</v>
      </c>
      <c r="B19664" s="1" t="str">
        <f>"40223"</f>
        <v>40223</v>
      </c>
      <c r="C19664" s="2">
        <v>1.84261854419694E-2</v>
      </c>
      <c r="D19664" s="2">
        <v>3.11311369887061E-2</v>
      </c>
      <c r="E19664" s="2">
        <v>2.1032457188371101E-2</v>
      </c>
      <c r="F19664" s="2">
        <v>1.9503872123702599E-2</v>
      </c>
    </row>
    <row r="19665" spans="1:6" x14ac:dyDescent="0.25">
      <c r="A19665" s="1" t="str">
        <f t="shared" si="725"/>
        <v>31140</v>
      </c>
      <c r="B19665" s="1" t="str">
        <f>"40203"</f>
        <v>40203</v>
      </c>
      <c r="C19665" s="2">
        <v>1.8595007457671502E-2</v>
      </c>
      <c r="D19665" s="2">
        <v>2.36799500653441E-2</v>
      </c>
      <c r="E19665" s="2">
        <v>3.7534846674631597E-2</v>
      </c>
      <c r="F19665" s="2">
        <v>2.0051229201500102E-2</v>
      </c>
    </row>
    <row r="19666" spans="1:6" x14ac:dyDescent="0.25">
      <c r="A19666" s="1" t="str">
        <f t="shared" si="725"/>
        <v>31140</v>
      </c>
      <c r="B19666" s="1" t="str">
        <f>"40213"</f>
        <v>40213</v>
      </c>
      <c r="C19666" s="2">
        <v>1.29402894559997E-2</v>
      </c>
      <c r="D19666" s="2">
        <v>2.2997249692784799E-2</v>
      </c>
      <c r="E19666" s="2">
        <v>1.26194743130227E-2</v>
      </c>
      <c r="F19666" s="2">
        <v>1.36568441728565E-2</v>
      </c>
    </row>
    <row r="19667" spans="1:6" x14ac:dyDescent="0.25">
      <c r="A19667" s="1" t="str">
        <f t="shared" si="725"/>
        <v>31140</v>
      </c>
      <c r="B19667" s="1" t="str">
        <f>"40242"</f>
        <v>40242</v>
      </c>
      <c r="C19667" s="2">
        <v>7.9297175919096508E-3</v>
      </c>
      <c r="D19667" s="2">
        <v>2.7698129400979101E-3</v>
      </c>
      <c r="E19667" s="2">
        <v>9.7072879330943797E-3</v>
      </c>
      <c r="F19667" s="2">
        <v>7.6544466348230202E-3</v>
      </c>
    </row>
    <row r="19668" spans="1:6" x14ac:dyDescent="0.25">
      <c r="A19668" s="1" t="str">
        <f t="shared" si="725"/>
        <v>31140</v>
      </c>
      <c r="B19668" s="1" t="str">
        <f>"40031"</f>
        <v>40031</v>
      </c>
      <c r="C19668" s="2">
        <v>1.46498172460703E-2</v>
      </c>
      <c r="D19668" s="2">
        <v>1.5897165818167601E-2</v>
      </c>
      <c r="E19668" s="2">
        <v>1.00557546794105E-2</v>
      </c>
      <c r="F19668" s="2">
        <v>1.4477879789552599E-2</v>
      </c>
    </row>
    <row r="19669" spans="1:6" x14ac:dyDescent="0.25">
      <c r="A19669" s="1" t="str">
        <f t="shared" ref="A19669:A19715" si="726">"31180"</f>
        <v>31180</v>
      </c>
      <c r="B19669" s="1" t="str">
        <f>"79453"</f>
        <v>79453</v>
      </c>
      <c r="C19669" s="2">
        <v>4.1591644464524097E-3</v>
      </c>
      <c r="D19669" s="2">
        <v>1.93380213385063E-2</v>
      </c>
      <c r="E19669" s="2">
        <v>1.6886187098953001E-4</v>
      </c>
      <c r="F19669" s="2">
        <v>5.2949102884523903E-3</v>
      </c>
    </row>
    <row r="19670" spans="1:6" x14ac:dyDescent="0.25">
      <c r="A19670" s="1" t="str">
        <f t="shared" si="726"/>
        <v>31180</v>
      </c>
      <c r="B19670" s="1" t="str">
        <f>"79430"</f>
        <v>79430</v>
      </c>
      <c r="C19670" s="2">
        <v>0</v>
      </c>
      <c r="D19670" s="2">
        <v>8.7293889427740006E-3</v>
      </c>
      <c r="E19670" s="2">
        <v>8.4430935494765206E-5</v>
      </c>
      <c r="F19670" s="2">
        <v>8.1073071998479104E-4</v>
      </c>
    </row>
    <row r="19671" spans="1:6" x14ac:dyDescent="0.25">
      <c r="A19671" s="1" t="str">
        <f t="shared" si="726"/>
        <v>31180</v>
      </c>
      <c r="B19671" s="1" t="str">
        <f>"79407"</f>
        <v>79407</v>
      </c>
      <c r="C19671" s="2">
        <v>7.6459527875038999E-2</v>
      </c>
      <c r="D19671" s="2">
        <v>5.01333656644034E-2</v>
      </c>
      <c r="E19671" s="2">
        <v>6.7544748395812204E-2</v>
      </c>
      <c r="F19671" s="2">
        <v>7.34410207379326E-2</v>
      </c>
    </row>
    <row r="19672" spans="1:6" x14ac:dyDescent="0.25">
      <c r="A19672" s="1" t="str">
        <f t="shared" si="726"/>
        <v>31180</v>
      </c>
      <c r="B19672" s="1" t="str">
        <f>"79404"</f>
        <v>79404</v>
      </c>
      <c r="C19672" s="2">
        <v>2.9546013248201101E-2</v>
      </c>
      <c r="D19672" s="2">
        <v>6.3288069835111496E-2</v>
      </c>
      <c r="E19672" s="2">
        <v>2.8368794326241099E-2</v>
      </c>
      <c r="F19672" s="2">
        <v>3.2580192450699097E-2</v>
      </c>
    </row>
    <row r="19673" spans="1:6" x14ac:dyDescent="0.25">
      <c r="A19673" s="1" t="str">
        <f t="shared" si="726"/>
        <v>31180</v>
      </c>
      <c r="B19673" s="1" t="str">
        <f>"79311"</f>
        <v>79311</v>
      </c>
      <c r="C19673" s="2">
        <v>3.1293393838324099E-3</v>
      </c>
      <c r="D19673" s="2">
        <v>1.51551891367604E-3</v>
      </c>
      <c r="E19673" s="2">
        <v>1.0976021614319399E-3</v>
      </c>
      <c r="F19673" s="2">
        <v>2.8459443894638501E-3</v>
      </c>
    </row>
    <row r="19674" spans="1:6" x14ac:dyDescent="0.25">
      <c r="A19674" s="1" t="str">
        <f t="shared" si="726"/>
        <v>31180</v>
      </c>
      <c r="B19674" s="1" t="str">
        <f>"79322"</f>
        <v>79322</v>
      </c>
      <c r="C19674" s="2">
        <v>7.20213140567799E-3</v>
      </c>
      <c r="D19674" s="2">
        <v>9.6387002909796293E-3</v>
      </c>
      <c r="E19674" s="2">
        <v>3.20837554880108E-3</v>
      </c>
      <c r="F19674" s="2">
        <v>7.1623865675897796E-3</v>
      </c>
    </row>
    <row r="19675" spans="1:6" x14ac:dyDescent="0.25">
      <c r="A19675" s="1" t="str">
        <f t="shared" si="726"/>
        <v>31180</v>
      </c>
      <c r="B19675" s="1" t="str">
        <f>"79416"</f>
        <v>79416</v>
      </c>
      <c r="C19675" s="2">
        <v>0.10207891781995999</v>
      </c>
      <c r="D19675" s="2">
        <v>2.9946653734238601E-2</v>
      </c>
      <c r="E19675" s="2">
        <v>0.160165484633569</v>
      </c>
      <c r="F19675" s="2">
        <v>9.9272578850551504E-2</v>
      </c>
    </row>
    <row r="19676" spans="1:6" x14ac:dyDescent="0.25">
      <c r="A19676" s="1" t="str">
        <f t="shared" si="726"/>
        <v>31180</v>
      </c>
      <c r="B19676" s="1" t="str">
        <f>"79412"</f>
        <v>79412</v>
      </c>
      <c r="C19676" s="2">
        <v>4.0847512806372901E-2</v>
      </c>
      <c r="D19676" s="2">
        <v>2.9704170708050402E-2</v>
      </c>
      <c r="E19676" s="2">
        <v>7.1850726106045204E-2</v>
      </c>
      <c r="F19676" s="2">
        <v>4.1872843875628299E-2</v>
      </c>
    </row>
    <row r="19677" spans="1:6" x14ac:dyDescent="0.25">
      <c r="A19677" s="1" t="str">
        <f t="shared" si="726"/>
        <v>31180</v>
      </c>
      <c r="B19677" s="1" t="str">
        <f>"79366"</f>
        <v>79366</v>
      </c>
      <c r="C19677" s="2">
        <v>3.4216768209632499E-3</v>
      </c>
      <c r="D19677" s="2">
        <v>5.4558680892337504E-4</v>
      </c>
      <c r="E19677" s="2">
        <v>2.53292806484295E-4</v>
      </c>
      <c r="F19677" s="2">
        <v>2.9465868236688599E-3</v>
      </c>
    </row>
    <row r="19678" spans="1:6" x14ac:dyDescent="0.25">
      <c r="A19678" s="1" t="str">
        <f t="shared" si="726"/>
        <v>31180</v>
      </c>
      <c r="B19678" s="1" t="str">
        <f>"79373"</f>
        <v>79373</v>
      </c>
      <c r="C19678" s="2">
        <v>6.7636252499817199E-3</v>
      </c>
      <c r="D19678" s="2">
        <v>1.39427740058195E-3</v>
      </c>
      <c r="E19678" s="2">
        <v>3.20837554880108E-3</v>
      </c>
      <c r="F19678" s="2">
        <v>6.03295480595579E-3</v>
      </c>
    </row>
    <row r="19679" spans="1:6" x14ac:dyDescent="0.25">
      <c r="A19679" s="1" t="str">
        <f t="shared" si="726"/>
        <v>31180</v>
      </c>
      <c r="B19679" s="1" t="str">
        <f>"79345"</f>
        <v>79345</v>
      </c>
      <c r="C19679" s="2">
        <v>1.12948555255097E-4</v>
      </c>
      <c r="D19679" s="2">
        <v>0</v>
      </c>
      <c r="E19679" s="2">
        <v>3.3772374197906099E-4</v>
      </c>
      <c r="F19679" s="2">
        <v>1.17416173239176E-4</v>
      </c>
    </row>
    <row r="19680" spans="1:6" x14ac:dyDescent="0.25">
      <c r="A19680" s="1" t="str">
        <f t="shared" si="726"/>
        <v>31180</v>
      </c>
      <c r="B19680" s="1" t="str">
        <f>"79406"</f>
        <v>79406</v>
      </c>
      <c r="C19680" s="2">
        <v>0</v>
      </c>
      <c r="D19680" s="2">
        <v>1.63676042677012E-3</v>
      </c>
      <c r="E19680" s="2">
        <v>0</v>
      </c>
      <c r="F19680" s="2">
        <v>1.5096365130751199E-4</v>
      </c>
    </row>
    <row r="19681" spans="1:6" x14ac:dyDescent="0.25">
      <c r="A19681" s="1" t="str">
        <f t="shared" si="726"/>
        <v>31180</v>
      </c>
      <c r="B19681" s="1" t="str">
        <f>"79424"</f>
        <v>79424</v>
      </c>
      <c r="C19681" s="2">
        <v>0.158779092558019</v>
      </c>
      <c r="D19681" s="2">
        <v>0.136517943743937</v>
      </c>
      <c r="E19681" s="2">
        <v>0.10824045930428899</v>
      </c>
      <c r="F19681" s="2">
        <v>0.15337906972843299</v>
      </c>
    </row>
    <row r="19682" spans="1:6" x14ac:dyDescent="0.25">
      <c r="A19682" s="1" t="str">
        <f t="shared" si="726"/>
        <v>31180</v>
      </c>
      <c r="B19682" s="1" t="str">
        <f>"79382"</f>
        <v>79382</v>
      </c>
      <c r="C19682" s="2">
        <v>3.26886406973576E-2</v>
      </c>
      <c r="D19682" s="2">
        <v>2.37633365664403E-2</v>
      </c>
      <c r="E19682" s="2">
        <v>2.34718000675447E-2</v>
      </c>
      <c r="F19682" s="2">
        <v>3.1255067066999903E-2</v>
      </c>
    </row>
    <row r="19683" spans="1:6" x14ac:dyDescent="0.25">
      <c r="A19683" s="1" t="str">
        <f t="shared" si="726"/>
        <v>31180</v>
      </c>
      <c r="B19683" s="1" t="str">
        <f>"79350"</f>
        <v>79350</v>
      </c>
      <c r="C19683" s="2">
        <v>1.9932097986193701E-5</v>
      </c>
      <c r="D19683" s="2">
        <v>6.0620756547041701E-5</v>
      </c>
      <c r="E19683" s="2">
        <v>0</v>
      </c>
      <c r="F19683" s="2">
        <v>2.2364985378890799E-5</v>
      </c>
    </row>
    <row r="19684" spans="1:6" x14ac:dyDescent="0.25">
      <c r="A19684" s="1" t="str">
        <f t="shared" si="726"/>
        <v>31180</v>
      </c>
      <c r="B19684" s="1" t="str">
        <f>"79243"</f>
        <v>79243</v>
      </c>
      <c r="C19684" s="2">
        <v>1.32880653241291E-5</v>
      </c>
      <c r="D19684" s="2">
        <v>0</v>
      </c>
      <c r="E19684" s="2">
        <v>0</v>
      </c>
      <c r="F19684" s="2">
        <v>1.11824926894454E-5</v>
      </c>
    </row>
    <row r="19685" spans="1:6" x14ac:dyDescent="0.25">
      <c r="A19685" s="1" t="str">
        <f t="shared" si="726"/>
        <v>31180</v>
      </c>
      <c r="B19685" s="1" t="str">
        <f>"79383"</f>
        <v>79383</v>
      </c>
      <c r="C19685" s="2">
        <v>0</v>
      </c>
      <c r="D19685" s="2">
        <v>0</v>
      </c>
      <c r="E19685" s="2">
        <v>8.4430935494765206E-5</v>
      </c>
      <c r="F19685" s="2">
        <v>5.5912463447226999E-6</v>
      </c>
    </row>
    <row r="19686" spans="1:6" x14ac:dyDescent="0.25">
      <c r="A19686" s="1" t="str">
        <f t="shared" si="726"/>
        <v>31180</v>
      </c>
      <c r="B19686" s="1" t="str">
        <f>"79331"</f>
        <v>79331</v>
      </c>
      <c r="C19686" s="2">
        <v>1.32880653241291E-5</v>
      </c>
      <c r="D19686" s="2">
        <v>0</v>
      </c>
      <c r="E19686" s="2">
        <v>0</v>
      </c>
      <c r="F19686" s="2">
        <v>1.11824926894454E-5</v>
      </c>
    </row>
    <row r="19687" spans="1:6" x14ac:dyDescent="0.25">
      <c r="A19687" s="1" t="str">
        <f t="shared" si="726"/>
        <v>31180</v>
      </c>
      <c r="B19687" s="1" t="str">
        <f>"79403"</f>
        <v>79403</v>
      </c>
      <c r="C19687" s="2">
        <v>4.94781112343948E-2</v>
      </c>
      <c r="D19687" s="2">
        <v>4.0494665373423798E-2</v>
      </c>
      <c r="E19687" s="2">
        <v>2.9128672745694001E-2</v>
      </c>
      <c r="F19687" s="2">
        <v>4.7301944076353998E-2</v>
      </c>
    </row>
    <row r="19688" spans="1:6" x14ac:dyDescent="0.25">
      <c r="A19688" s="1" t="str">
        <f t="shared" si="726"/>
        <v>31180</v>
      </c>
      <c r="B19688" s="1" t="str">
        <f>"79413"</f>
        <v>79413</v>
      </c>
      <c r="C19688" s="2">
        <v>6.1729707463241801E-2</v>
      </c>
      <c r="D19688" s="2">
        <v>3.9039767216294798E-2</v>
      </c>
      <c r="E19688" s="2">
        <v>9.0932117527862205E-2</v>
      </c>
      <c r="F19688" s="2">
        <v>6.1570804748086301E-2</v>
      </c>
    </row>
    <row r="19689" spans="1:6" x14ac:dyDescent="0.25">
      <c r="A19689" s="1" t="str">
        <f t="shared" si="726"/>
        <v>31180</v>
      </c>
      <c r="B19689" s="1" t="str">
        <f>"79363"</f>
        <v>79363</v>
      </c>
      <c r="C19689" s="2">
        <v>1.502880188159E-2</v>
      </c>
      <c r="D19689" s="2">
        <v>4.2434529582929103E-3</v>
      </c>
      <c r="E19689" s="2">
        <v>9.2029719689294097E-3</v>
      </c>
      <c r="F19689" s="2">
        <v>1.3648232327468099E-2</v>
      </c>
    </row>
    <row r="19690" spans="1:6" x14ac:dyDescent="0.25">
      <c r="A19690" s="1" t="str">
        <f t="shared" si="726"/>
        <v>31180</v>
      </c>
      <c r="B19690" s="1" t="str">
        <f>"79452"</f>
        <v>79452</v>
      </c>
      <c r="C19690" s="2">
        <v>4.7969915820106103E-3</v>
      </c>
      <c r="D19690" s="2">
        <v>1.15785645004849E-2</v>
      </c>
      <c r="E19690" s="2">
        <v>1.6886187098953001E-4</v>
      </c>
      <c r="F19690" s="2">
        <v>5.1159904054212703E-3</v>
      </c>
    </row>
    <row r="19691" spans="1:6" x14ac:dyDescent="0.25">
      <c r="A19691" s="1" t="str">
        <f t="shared" si="726"/>
        <v>31180</v>
      </c>
      <c r="B19691" s="1" t="str">
        <f>"79410"</f>
        <v>79410</v>
      </c>
      <c r="C19691" s="2">
        <v>2.8217206715788201E-2</v>
      </c>
      <c r="D19691" s="2">
        <v>5.3952473326867097E-2</v>
      </c>
      <c r="E19691" s="2">
        <v>3.7825059101654797E-2</v>
      </c>
      <c r="F19691" s="2">
        <v>3.1227110835276201E-2</v>
      </c>
    </row>
    <row r="19692" spans="1:6" x14ac:dyDescent="0.25">
      <c r="A19692" s="1" t="str">
        <f t="shared" si="726"/>
        <v>31180</v>
      </c>
      <c r="B19692" s="1" t="str">
        <f>"79415"</f>
        <v>79415</v>
      </c>
      <c r="C19692" s="2">
        <v>4.9285434287194903E-2</v>
      </c>
      <c r="D19692" s="2">
        <v>4.2555771096023202E-2</v>
      </c>
      <c r="E19692" s="2">
        <v>3.0901722391084002E-2</v>
      </c>
      <c r="F19692" s="2">
        <v>4.7447316481316802E-2</v>
      </c>
    </row>
    <row r="19693" spans="1:6" x14ac:dyDescent="0.25">
      <c r="A19693" s="1" t="str">
        <f t="shared" si="726"/>
        <v>31180</v>
      </c>
      <c r="B19693" s="1" t="str">
        <f>"79329"</f>
        <v>79329</v>
      </c>
      <c r="C19693" s="2">
        <v>9.3547979881869001E-3</v>
      </c>
      <c r="D19693" s="2">
        <v>2.9704170708050402E-3</v>
      </c>
      <c r="E19693" s="2">
        <v>3.3772374197906102E-3</v>
      </c>
      <c r="F19693" s="2">
        <v>8.3700957780498807E-3</v>
      </c>
    </row>
    <row r="19694" spans="1:6" x14ac:dyDescent="0.25">
      <c r="A19694" s="1" t="str">
        <f t="shared" si="726"/>
        <v>31180</v>
      </c>
      <c r="B19694" s="1" t="str">
        <f>"79343"</f>
        <v>79343</v>
      </c>
      <c r="C19694" s="2">
        <v>4.3119771976799001E-3</v>
      </c>
      <c r="D19694" s="2">
        <v>1.2730358874878699E-3</v>
      </c>
      <c r="E19694" s="2">
        <v>2.61735900033772E-3</v>
      </c>
      <c r="F19694" s="2">
        <v>3.9194636876506098E-3</v>
      </c>
    </row>
    <row r="19695" spans="1:6" x14ac:dyDescent="0.25">
      <c r="A19695" s="1" t="str">
        <f t="shared" si="726"/>
        <v>31180</v>
      </c>
      <c r="B19695" s="1" t="str">
        <f>"79370"</f>
        <v>79370</v>
      </c>
      <c r="C19695" s="2">
        <v>8.9030037671665105E-4</v>
      </c>
      <c r="D19695" s="2">
        <v>6.0620756547041701E-5</v>
      </c>
      <c r="E19695" s="2">
        <v>3.3772374197906099E-4</v>
      </c>
      <c r="F19695" s="2">
        <v>7.7718324191645505E-4</v>
      </c>
    </row>
    <row r="19696" spans="1:6" x14ac:dyDescent="0.25">
      <c r="A19696" s="1" t="str">
        <f t="shared" si="726"/>
        <v>31180</v>
      </c>
      <c r="B19696" s="1" t="str">
        <f>"79356"</f>
        <v>79356</v>
      </c>
      <c r="C19696" s="2">
        <v>4.3186212303419598E-4</v>
      </c>
      <c r="D19696" s="2">
        <v>1.21241513094083E-4</v>
      </c>
      <c r="E19696" s="2">
        <v>0</v>
      </c>
      <c r="F19696" s="2">
        <v>3.74613505096421E-4</v>
      </c>
    </row>
    <row r="19697" spans="1:6" x14ac:dyDescent="0.25">
      <c r="A19697" s="1" t="str">
        <f t="shared" si="726"/>
        <v>31180</v>
      </c>
      <c r="B19697" s="1" t="str">
        <f>"79490"</f>
        <v>79490</v>
      </c>
      <c r="C19697" s="2">
        <v>3.0429669592255699E-3</v>
      </c>
      <c r="D19697" s="2">
        <v>1.5640155189136699E-2</v>
      </c>
      <c r="E19697" s="2">
        <v>1.6886187098953001E-4</v>
      </c>
      <c r="F19697" s="2">
        <v>4.0145148755109002E-3</v>
      </c>
    </row>
    <row r="19698" spans="1:6" x14ac:dyDescent="0.25">
      <c r="A19698" s="1" t="str">
        <f t="shared" si="726"/>
        <v>31180</v>
      </c>
      <c r="B19698" s="1" t="str">
        <f>"79381"</f>
        <v>79381</v>
      </c>
      <c r="C19698" s="2">
        <v>6.1257981144235297E-3</v>
      </c>
      <c r="D19698" s="2">
        <v>1.57613967022308E-3</v>
      </c>
      <c r="E19698" s="2">
        <v>1.01317122593718E-3</v>
      </c>
      <c r="F19698" s="2">
        <v>5.3675964909337898E-3</v>
      </c>
    </row>
    <row r="19699" spans="1:6" x14ac:dyDescent="0.25">
      <c r="A19699" s="1" t="str">
        <f t="shared" si="726"/>
        <v>31180</v>
      </c>
      <c r="B19699" s="1" t="str">
        <f>"79411"</f>
        <v>79411</v>
      </c>
      <c r="C19699" s="2">
        <v>2.34733673950741E-2</v>
      </c>
      <c r="D19699" s="2">
        <v>2.0974781765276399E-2</v>
      </c>
      <c r="E19699" s="2">
        <v>4.5001688618709797E-2</v>
      </c>
      <c r="F19699" s="2">
        <v>2.46685788729165E-2</v>
      </c>
    </row>
    <row r="19700" spans="1:6" x14ac:dyDescent="0.25">
      <c r="A19700" s="1" t="str">
        <f t="shared" si="726"/>
        <v>31180</v>
      </c>
      <c r="B19700" s="1" t="str">
        <f>"79414"</f>
        <v>79414</v>
      </c>
      <c r="C19700" s="2">
        <v>5.63613290722937E-2</v>
      </c>
      <c r="D19700" s="2">
        <v>5.93477206595538E-2</v>
      </c>
      <c r="E19700" s="2">
        <v>5.6568726781492697E-2</v>
      </c>
      <c r="F19700" s="2">
        <v>5.6650507964730402E-2</v>
      </c>
    </row>
    <row r="19701" spans="1:6" x14ac:dyDescent="0.25">
      <c r="A19701" s="1" t="str">
        <f t="shared" si="726"/>
        <v>31180</v>
      </c>
      <c r="B19701" s="1" t="str">
        <f>"79423"</f>
        <v>79423</v>
      </c>
      <c r="C19701" s="2">
        <v>0.12512706712466101</v>
      </c>
      <c r="D19701" s="2">
        <v>0.106995635305528</v>
      </c>
      <c r="E19701" s="2">
        <v>0.1419284025667</v>
      </c>
      <c r="F19701" s="2">
        <v>0.12456737731407699</v>
      </c>
    </row>
    <row r="19702" spans="1:6" x14ac:dyDescent="0.25">
      <c r="A19702" s="1" t="str">
        <f t="shared" si="726"/>
        <v>31180</v>
      </c>
      <c r="B19702" s="1" t="str">
        <f>"79499"</f>
        <v>79499</v>
      </c>
      <c r="C19702" s="2">
        <v>4.6043146348107404E-3</v>
      </c>
      <c r="D19702" s="2">
        <v>5.3952473326867104E-3</v>
      </c>
      <c r="E19702" s="2">
        <v>1.6886187098953001E-4</v>
      </c>
      <c r="F19702" s="2">
        <v>4.3835371342625896E-3</v>
      </c>
    </row>
    <row r="19703" spans="1:6" x14ac:dyDescent="0.25">
      <c r="A19703" s="1" t="str">
        <f t="shared" si="726"/>
        <v>31180</v>
      </c>
      <c r="B19703" s="1" t="str">
        <f>"79401"</f>
        <v>79401</v>
      </c>
      <c r="C19703" s="2">
        <v>2.6669147105527102E-2</v>
      </c>
      <c r="D19703" s="2">
        <v>9.2689136760426699E-2</v>
      </c>
      <c r="E19703" s="2">
        <v>6.0452549814251903E-2</v>
      </c>
      <c r="F19703" s="2">
        <v>3.4995610871619301E-2</v>
      </c>
    </row>
    <row r="19704" spans="1:6" x14ac:dyDescent="0.25">
      <c r="A19704" s="1" t="str">
        <f t="shared" si="726"/>
        <v>31180</v>
      </c>
      <c r="B19704" s="1" t="str">
        <f>"79409"</f>
        <v>79409</v>
      </c>
      <c r="C19704" s="2">
        <v>6.6440326620645604E-6</v>
      </c>
      <c r="D19704" s="2">
        <v>4.2434529582929099E-4</v>
      </c>
      <c r="E19704" s="2">
        <v>8.4430935494765206E-5</v>
      </c>
      <c r="F19704" s="2">
        <v>5.0321217102504297E-5</v>
      </c>
    </row>
    <row r="19705" spans="1:6" x14ac:dyDescent="0.25">
      <c r="A19705" s="1" t="str">
        <f t="shared" si="726"/>
        <v>31180</v>
      </c>
      <c r="B19705" s="1" t="str">
        <f>"79358"</f>
        <v>79358</v>
      </c>
      <c r="C19705" s="2">
        <v>3.7870986173767999E-4</v>
      </c>
      <c r="D19705" s="2">
        <v>6.0620756547041701E-5</v>
      </c>
      <c r="E19705" s="2">
        <v>2.53292806484295E-4</v>
      </c>
      <c r="F19705" s="2">
        <v>3.4106602702808398E-4</v>
      </c>
    </row>
    <row r="19706" spans="1:6" x14ac:dyDescent="0.25">
      <c r="A19706" s="1" t="str">
        <f t="shared" si="726"/>
        <v>31180</v>
      </c>
      <c r="B19706" s="1" t="str">
        <f>"79464"</f>
        <v>79464</v>
      </c>
      <c r="C19706" s="2">
        <v>4.1193002504800302E-3</v>
      </c>
      <c r="D19706" s="2">
        <v>3.2553346265761299E-2</v>
      </c>
      <c r="E19706" s="2">
        <v>1.6886187098953001E-4</v>
      </c>
      <c r="F19706" s="2">
        <v>6.4802545135336101E-3</v>
      </c>
    </row>
    <row r="19707" spans="1:6" x14ac:dyDescent="0.25">
      <c r="A19707" s="1" t="str">
        <f t="shared" si="726"/>
        <v>31180</v>
      </c>
      <c r="B19707" s="1" t="str">
        <f>"79493"</f>
        <v>79493</v>
      </c>
      <c r="C19707" s="2">
        <v>9.0823926490422608E-3</v>
      </c>
      <c r="D19707" s="2">
        <v>3.1098448108632298E-2</v>
      </c>
      <c r="E19707" s="2">
        <v>8.4430935494765206E-5</v>
      </c>
      <c r="F19707" s="2">
        <v>1.0517134374423399E-2</v>
      </c>
    </row>
    <row r="19708" spans="1:6" x14ac:dyDescent="0.25">
      <c r="A19708" s="1" t="str">
        <f t="shared" si="726"/>
        <v>31180</v>
      </c>
      <c r="B19708" s="1" t="str">
        <f>"79235"</f>
        <v>79235</v>
      </c>
      <c r="C19708" s="2">
        <v>1.52812751227485E-4</v>
      </c>
      <c r="D19708" s="2">
        <v>1.21241513094083E-4</v>
      </c>
      <c r="E19708" s="2">
        <v>0</v>
      </c>
      <c r="F19708" s="2">
        <v>1.3978115861806699E-4</v>
      </c>
    </row>
    <row r="19709" spans="1:6" x14ac:dyDescent="0.25">
      <c r="A19709" s="1" t="str">
        <f t="shared" si="726"/>
        <v>31180</v>
      </c>
      <c r="B19709" s="1" t="str">
        <f>"79491"</f>
        <v>79491</v>
      </c>
      <c r="C19709" s="2">
        <v>0</v>
      </c>
      <c r="D19709" s="2">
        <v>6.0620756547041701E-5</v>
      </c>
      <c r="E19709" s="2">
        <v>0</v>
      </c>
      <c r="F19709" s="2">
        <v>5.5912463447226999E-6</v>
      </c>
    </row>
    <row r="19710" spans="1:6" x14ac:dyDescent="0.25">
      <c r="A19710" s="1" t="str">
        <f t="shared" si="726"/>
        <v>31180</v>
      </c>
      <c r="B19710" s="1" t="str">
        <f>"79402"</f>
        <v>79402</v>
      </c>
      <c r="C19710" s="2">
        <v>0</v>
      </c>
      <c r="D19710" s="2">
        <v>0</v>
      </c>
      <c r="E19710" s="2">
        <v>1.6886187098953001E-4</v>
      </c>
      <c r="F19710" s="2">
        <v>1.11824926894454E-5</v>
      </c>
    </row>
    <row r="19711" spans="1:6" x14ac:dyDescent="0.25">
      <c r="A19711" s="1" t="str">
        <f t="shared" si="726"/>
        <v>31180</v>
      </c>
      <c r="B19711" s="1" t="str">
        <f>"79313"</f>
        <v>79313</v>
      </c>
      <c r="C19711" s="2">
        <v>1.26236620579226E-4</v>
      </c>
      <c r="D19711" s="2">
        <v>0</v>
      </c>
      <c r="E19711" s="2">
        <v>0</v>
      </c>
      <c r="F19711" s="2">
        <v>1.06233680549731E-4</v>
      </c>
    </row>
    <row r="19712" spans="1:6" x14ac:dyDescent="0.25">
      <c r="A19712" s="1" t="str">
        <f t="shared" si="726"/>
        <v>31180</v>
      </c>
      <c r="B19712" s="1" t="str">
        <f>"79351"</f>
        <v>79351</v>
      </c>
      <c r="C19712" s="2">
        <v>2.2257509417916198E-3</v>
      </c>
      <c r="D19712" s="2">
        <v>1.7580019398642001E-3</v>
      </c>
      <c r="E19712" s="2">
        <v>8.1053698074974607E-3</v>
      </c>
      <c r="F19712" s="2">
        <v>2.5719733185724401E-3</v>
      </c>
    </row>
    <row r="19713" spans="1:6" x14ac:dyDescent="0.25">
      <c r="A19713" s="1" t="str">
        <f t="shared" si="726"/>
        <v>31180</v>
      </c>
      <c r="B19713" s="1" t="str">
        <f>"79357"</f>
        <v>79357</v>
      </c>
      <c r="C19713" s="2">
        <v>3.6010657028389902E-3</v>
      </c>
      <c r="D19713" s="2">
        <v>2.0611057225994101E-3</v>
      </c>
      <c r="E19713" s="2">
        <v>1.2664640324214699E-3</v>
      </c>
      <c r="F19713" s="2">
        <v>3.3044265897311099E-3</v>
      </c>
    </row>
    <row r="19714" spans="1:6" x14ac:dyDescent="0.25">
      <c r="A19714" s="1" t="str">
        <f t="shared" si="726"/>
        <v>31180</v>
      </c>
      <c r="B19714" s="1" t="str">
        <f>"79408"</f>
        <v>79408</v>
      </c>
      <c r="C19714" s="2">
        <v>1.77727873710227E-2</v>
      </c>
      <c r="D19714" s="2">
        <v>3.6554316197866102E-2</v>
      </c>
      <c r="E19714" s="2">
        <v>1.6886187098953001E-4</v>
      </c>
      <c r="F19714" s="2">
        <v>1.8339288010690399E-2</v>
      </c>
    </row>
    <row r="19715" spans="1:6" x14ac:dyDescent="0.25">
      <c r="A19715" s="1" t="str">
        <f t="shared" si="726"/>
        <v>31180</v>
      </c>
      <c r="B19715" s="1" t="str">
        <f>"79364"</f>
        <v>79364</v>
      </c>
      <c r="C19715" s="2">
        <v>2.83700194670156E-2</v>
      </c>
      <c r="D19715" s="2">
        <v>2.0186711930164799E-2</v>
      </c>
      <c r="E19715" s="2">
        <v>1.1820330969267099E-2</v>
      </c>
      <c r="F19715" s="2">
        <v>2.65192814130197E-2</v>
      </c>
    </row>
    <row r="19716" spans="1:6" x14ac:dyDescent="0.25">
      <c r="A19716" s="1" t="str">
        <f t="shared" ref="A19716:A19725" si="727">"31220"</f>
        <v>31220</v>
      </c>
      <c r="B19716" s="1" t="str">
        <f>"49449"</f>
        <v>49449</v>
      </c>
      <c r="C19716" s="2">
        <v>3.5148660582867197E-2</v>
      </c>
      <c r="D19716" s="2">
        <v>6.6889632107023402E-3</v>
      </c>
      <c r="E19716" s="2">
        <v>0</v>
      </c>
      <c r="F19716" s="2">
        <v>3.24919441460794E-2</v>
      </c>
    </row>
    <row r="19717" spans="1:6" x14ac:dyDescent="0.25">
      <c r="A19717" s="1" t="str">
        <f t="shared" si="727"/>
        <v>31220</v>
      </c>
      <c r="B19717" s="1" t="str">
        <f>"49431"</f>
        <v>49431</v>
      </c>
      <c r="C19717" s="2">
        <v>0.59393582572858405</v>
      </c>
      <c r="D19717" s="2">
        <v>0.79431438127090304</v>
      </c>
      <c r="E19717" s="2">
        <v>0.87015945330296096</v>
      </c>
      <c r="F19717" s="2">
        <v>0.61331901181525195</v>
      </c>
    </row>
    <row r="19718" spans="1:6" x14ac:dyDescent="0.25">
      <c r="A19718" s="1" t="str">
        <f t="shared" si="727"/>
        <v>31220</v>
      </c>
      <c r="B19718" s="1" t="str">
        <f>"49402"</f>
        <v>49402</v>
      </c>
      <c r="C19718" s="2">
        <v>3.7562555195760898E-2</v>
      </c>
      <c r="D19718" s="2">
        <v>5.8528428093645403E-3</v>
      </c>
      <c r="E19718" s="2">
        <v>0</v>
      </c>
      <c r="F19718" s="2">
        <v>3.4640171858216898E-2</v>
      </c>
    </row>
    <row r="19719" spans="1:6" x14ac:dyDescent="0.25">
      <c r="A19719" s="1" t="str">
        <f t="shared" si="727"/>
        <v>31220</v>
      </c>
      <c r="B19719" s="1" t="str">
        <f>"49405"</f>
        <v>49405</v>
      </c>
      <c r="C19719" s="2">
        <v>5.0515160435678497E-2</v>
      </c>
      <c r="D19719" s="2">
        <v>1.9230769230769201E-2</v>
      </c>
      <c r="E19719" s="2">
        <v>9.1116173120728908E-3</v>
      </c>
      <c r="F19719" s="2">
        <v>4.7529538131041799E-2</v>
      </c>
    </row>
    <row r="19720" spans="1:6" x14ac:dyDescent="0.25">
      <c r="A19720" s="1" t="str">
        <f t="shared" si="727"/>
        <v>31220</v>
      </c>
      <c r="B19720" s="1" t="str">
        <f>"49660"</f>
        <v>49660</v>
      </c>
      <c r="C19720" s="2">
        <v>2.0959670297321101E-2</v>
      </c>
      <c r="D19720" s="2">
        <v>5.8528428093645403E-3</v>
      </c>
      <c r="E19720" s="2">
        <v>1.13895216400911E-2</v>
      </c>
      <c r="F19720" s="2">
        <v>1.9763694951664801E-2</v>
      </c>
    </row>
    <row r="19721" spans="1:6" x14ac:dyDescent="0.25">
      <c r="A19721" s="1" t="str">
        <f t="shared" si="727"/>
        <v>31220</v>
      </c>
      <c r="B19721" s="1" t="str">
        <f>"49644"</f>
        <v>49644</v>
      </c>
      <c r="C19721" s="2">
        <v>3.5325287017956997E-4</v>
      </c>
      <c r="D19721" s="2">
        <v>0</v>
      </c>
      <c r="E19721" s="2">
        <v>0</v>
      </c>
      <c r="F19721" s="2">
        <v>3.2223415682062199E-4</v>
      </c>
    </row>
    <row r="19722" spans="1:6" x14ac:dyDescent="0.25">
      <c r="A19722" s="1" t="str">
        <f t="shared" si="727"/>
        <v>31220</v>
      </c>
      <c r="B19722" s="1" t="str">
        <f>"49458"</f>
        <v>49458</v>
      </c>
      <c r="C19722" s="2">
        <v>3.5325287017956997E-4</v>
      </c>
      <c r="D19722" s="2">
        <v>8.3612040133779198E-4</v>
      </c>
      <c r="E19722" s="2">
        <v>0</v>
      </c>
      <c r="F19722" s="2">
        <v>3.7593984962406001E-4</v>
      </c>
    </row>
    <row r="19723" spans="1:6" x14ac:dyDescent="0.25">
      <c r="A19723" s="1" t="str">
        <f t="shared" si="727"/>
        <v>31220</v>
      </c>
      <c r="B19723" s="1" t="str">
        <f>"49410"</f>
        <v>49410</v>
      </c>
      <c r="C19723" s="2">
        <v>7.1298204297909895E-2</v>
      </c>
      <c r="D19723" s="2">
        <v>7.5250836120401296E-3</v>
      </c>
      <c r="E19723" s="2">
        <v>0</v>
      </c>
      <c r="F19723" s="2">
        <v>6.5520945220193305E-2</v>
      </c>
    </row>
    <row r="19724" spans="1:6" x14ac:dyDescent="0.25">
      <c r="A19724" s="1" t="str">
        <f t="shared" si="727"/>
        <v>31220</v>
      </c>
      <c r="B19724" s="1" t="str">
        <f>"49411"</f>
        <v>49411</v>
      </c>
      <c r="C19724" s="2">
        <v>6.2054754194877798E-2</v>
      </c>
      <c r="D19724" s="2">
        <v>2.50836120401337E-2</v>
      </c>
      <c r="E19724" s="2">
        <v>0</v>
      </c>
      <c r="F19724" s="2">
        <v>5.8216970998925803E-2</v>
      </c>
    </row>
    <row r="19725" spans="1:6" x14ac:dyDescent="0.25">
      <c r="A19725" s="1" t="str">
        <f t="shared" si="727"/>
        <v>31220</v>
      </c>
      <c r="B19725" s="1" t="str">
        <f>"49454"</f>
        <v>49454</v>
      </c>
      <c r="C19725" s="2">
        <v>0.12781866352664101</v>
      </c>
      <c r="D19725" s="2">
        <v>0.134615384615384</v>
      </c>
      <c r="E19725" s="2">
        <v>0.109339407744874</v>
      </c>
      <c r="F19725" s="2">
        <v>0.12781954887218</v>
      </c>
    </row>
    <row r="19726" spans="1:6" x14ac:dyDescent="0.25">
      <c r="A19726" s="1" t="str">
        <f t="shared" ref="A19726:A19735" si="728">"31260"</f>
        <v>31260</v>
      </c>
      <c r="B19726" s="1" t="str">
        <f>"75941"</f>
        <v>75941</v>
      </c>
      <c r="C19726" s="2">
        <v>8.0859560711229406E-2</v>
      </c>
      <c r="D19726" s="2">
        <v>5.2543984783642403E-2</v>
      </c>
      <c r="E19726" s="2">
        <v>3.62997658079625E-2</v>
      </c>
      <c r="F19726" s="2">
        <v>7.81334027235666E-2</v>
      </c>
    </row>
    <row r="19727" spans="1:6" x14ac:dyDescent="0.25">
      <c r="A19727" s="1" t="str">
        <f t="shared" si="728"/>
        <v>31260</v>
      </c>
      <c r="B19727" s="1" t="str">
        <f>"75951"</f>
        <v>75951</v>
      </c>
      <c r="C19727" s="2">
        <v>1.71151469050109E-4</v>
      </c>
      <c r="D19727" s="2">
        <v>0</v>
      </c>
      <c r="E19727" s="2">
        <v>0</v>
      </c>
      <c r="F19727" s="2">
        <v>1.5612802498048299E-4</v>
      </c>
    </row>
    <row r="19728" spans="1:6" x14ac:dyDescent="0.25">
      <c r="A19728" s="1" t="str">
        <f t="shared" si="728"/>
        <v>31260</v>
      </c>
      <c r="B19728" s="1" t="str">
        <f>"75901"</f>
        <v>75901</v>
      </c>
      <c r="C19728" s="2">
        <v>0.29770847199771699</v>
      </c>
      <c r="D19728" s="2">
        <v>0.43818354731336101</v>
      </c>
      <c r="E19728" s="2">
        <v>0.380562060889929</v>
      </c>
      <c r="F19728" s="2">
        <v>0.30918553213635103</v>
      </c>
    </row>
    <row r="19729" spans="1:6" x14ac:dyDescent="0.25">
      <c r="A19729" s="1" t="str">
        <f t="shared" si="728"/>
        <v>31260</v>
      </c>
      <c r="B19729" s="1" t="str">
        <f>"75969"</f>
        <v>75969</v>
      </c>
      <c r="C19729" s="2">
        <v>4.3130170200627503E-2</v>
      </c>
      <c r="D19729" s="2">
        <v>5.2306229196386099E-3</v>
      </c>
      <c r="E19729" s="2">
        <v>3.51288056206088E-3</v>
      </c>
      <c r="F19729" s="2">
        <v>3.9777951253360998E-2</v>
      </c>
    </row>
    <row r="19730" spans="1:6" x14ac:dyDescent="0.25">
      <c r="A19730" s="1" t="str">
        <f t="shared" si="728"/>
        <v>31260</v>
      </c>
      <c r="B19730" s="1" t="str">
        <f>"75902"</f>
        <v>75902</v>
      </c>
      <c r="C19730" s="2">
        <v>2.4626794713321201E-2</v>
      </c>
      <c r="D19730" s="2">
        <v>7.41797432239657E-2</v>
      </c>
      <c r="E19730" s="2">
        <v>2.34192037470725E-3</v>
      </c>
      <c r="F19730" s="2">
        <v>2.7912221354844301E-2</v>
      </c>
    </row>
    <row r="19731" spans="1:6" x14ac:dyDescent="0.25">
      <c r="A19731" s="1" t="str">
        <f t="shared" si="728"/>
        <v>31260</v>
      </c>
      <c r="B19731" s="1" t="str">
        <f>"75904"</f>
        <v>75904</v>
      </c>
      <c r="C19731" s="2">
        <v>0.374137111343539</v>
      </c>
      <c r="D19731" s="2">
        <v>0.286495482643842</v>
      </c>
      <c r="E19731" s="2">
        <v>0.46604215456674403</v>
      </c>
      <c r="F19731" s="2">
        <v>0.36910399861219501</v>
      </c>
    </row>
    <row r="19732" spans="1:6" x14ac:dyDescent="0.25">
      <c r="A19732" s="1" t="str">
        <f t="shared" si="728"/>
        <v>31260</v>
      </c>
      <c r="B19732" s="1" t="str">
        <f>"75980"</f>
        <v>75980</v>
      </c>
      <c r="C19732" s="2">
        <v>3.96881239897309E-2</v>
      </c>
      <c r="D19732" s="2">
        <v>6.6571564431764096E-3</v>
      </c>
      <c r="E19732" s="2">
        <v>0</v>
      </c>
      <c r="F19732" s="2">
        <v>3.6690085870413697E-2</v>
      </c>
    </row>
    <row r="19733" spans="1:6" x14ac:dyDescent="0.25">
      <c r="A19733" s="1" t="str">
        <f t="shared" si="728"/>
        <v>31260</v>
      </c>
      <c r="B19733" s="1" t="str">
        <f>"75915"</f>
        <v>75915</v>
      </c>
      <c r="C19733" s="2">
        <v>3.2043358372159297E-2</v>
      </c>
      <c r="D19733" s="2">
        <v>9.6766524013314301E-2</v>
      </c>
      <c r="E19733" s="2">
        <v>2.34192037470725E-3</v>
      </c>
      <c r="F19733" s="2">
        <v>3.6325787145459199E-2</v>
      </c>
    </row>
    <row r="19734" spans="1:6" x14ac:dyDescent="0.25">
      <c r="A19734" s="1" t="str">
        <f t="shared" si="728"/>
        <v>31260</v>
      </c>
      <c r="B19734" s="1" t="str">
        <f>"75949"</f>
        <v>75949</v>
      </c>
      <c r="C19734" s="2">
        <v>9.5312351431016407E-2</v>
      </c>
      <c r="D19734" s="2">
        <v>2.3537803138373701E-2</v>
      </c>
      <c r="E19734" s="2">
        <v>0.10655737704918</v>
      </c>
      <c r="F19734" s="2">
        <v>9.0241998438719703E-2</v>
      </c>
    </row>
    <row r="19735" spans="1:6" x14ac:dyDescent="0.25">
      <c r="A19735" s="1" t="str">
        <f t="shared" si="728"/>
        <v>31260</v>
      </c>
      <c r="B19735" s="1" t="str">
        <f>"75903"</f>
        <v>75903</v>
      </c>
      <c r="C19735" s="2">
        <v>1.2322905771607801E-2</v>
      </c>
      <c r="D19735" s="2">
        <v>1.6405135520684701E-2</v>
      </c>
      <c r="E19735" s="2">
        <v>2.34192037470725E-3</v>
      </c>
      <c r="F19735" s="2">
        <v>1.2472894440107501E-2</v>
      </c>
    </row>
    <row r="19736" spans="1:6" x14ac:dyDescent="0.25">
      <c r="A19736" s="1" t="str">
        <f t="shared" ref="A19736:A19752" si="729">"31300"</f>
        <v>31300</v>
      </c>
      <c r="B19736" s="1" t="str">
        <f>"28377"</f>
        <v>28377</v>
      </c>
      <c r="C19736" s="2">
        <v>6.3698479171258496E-2</v>
      </c>
      <c r="D19736" s="2">
        <v>6.5740740740740697E-2</v>
      </c>
      <c r="E19736" s="2">
        <v>0.11296076099881</v>
      </c>
      <c r="F19736" s="2">
        <v>6.4481930716223296E-2</v>
      </c>
    </row>
    <row r="19737" spans="1:6" x14ac:dyDescent="0.25">
      <c r="A19737" s="1" t="str">
        <f t="shared" si="729"/>
        <v>31300</v>
      </c>
      <c r="B19737" s="1" t="str">
        <f>"28364"</f>
        <v>28364</v>
      </c>
      <c r="C19737" s="2">
        <v>0.108882521489971</v>
      </c>
      <c r="D19737" s="2">
        <v>8.7499999999999994E-2</v>
      </c>
      <c r="E19737" s="2">
        <v>5.5885850178359002E-2</v>
      </c>
      <c r="F19737" s="2">
        <v>0.106747528920208</v>
      </c>
    </row>
    <row r="19738" spans="1:6" x14ac:dyDescent="0.25">
      <c r="A19738" s="1" t="str">
        <f t="shared" si="729"/>
        <v>31300</v>
      </c>
      <c r="B19738" s="1" t="str">
        <f>"28362"</f>
        <v>28362</v>
      </c>
      <c r="C19738" s="2">
        <v>0</v>
      </c>
      <c r="D19738" s="2">
        <v>0</v>
      </c>
      <c r="E19738" s="2">
        <v>1.1890606420927399E-3</v>
      </c>
      <c r="F19738" s="2">
        <v>1.5590408780518199E-5</v>
      </c>
    </row>
    <row r="19739" spans="1:6" x14ac:dyDescent="0.25">
      <c r="A19739" s="1" t="str">
        <f t="shared" si="729"/>
        <v>31300</v>
      </c>
      <c r="B19739" s="1" t="str">
        <f>"28375"</f>
        <v>28375</v>
      </c>
      <c r="C19739" s="2">
        <v>0</v>
      </c>
      <c r="D19739" s="2">
        <v>0</v>
      </c>
      <c r="E19739" s="2">
        <v>1.1890606420927399E-3</v>
      </c>
      <c r="F19739" s="2">
        <v>1.5590408780518199E-5</v>
      </c>
    </row>
    <row r="19740" spans="1:6" x14ac:dyDescent="0.25">
      <c r="A19740" s="1" t="str">
        <f t="shared" si="729"/>
        <v>31300</v>
      </c>
      <c r="B19740" s="1" t="str">
        <f>"28340"</f>
        <v>28340</v>
      </c>
      <c r="C19740" s="2">
        <v>8.0466590936064106E-2</v>
      </c>
      <c r="D19740" s="2">
        <v>7.1296296296296205E-2</v>
      </c>
      <c r="E19740" s="2">
        <v>3.6860879904875098E-2</v>
      </c>
      <c r="F19740" s="2">
        <v>7.9277228648935105E-2</v>
      </c>
    </row>
    <row r="19741" spans="1:6" x14ac:dyDescent="0.25">
      <c r="A19741" s="1" t="str">
        <f t="shared" si="729"/>
        <v>31300</v>
      </c>
      <c r="B19741" s="1" t="str">
        <f>"28384"</f>
        <v>28384</v>
      </c>
      <c r="C19741" s="2">
        <v>7.8245536698258705E-2</v>
      </c>
      <c r="D19741" s="2">
        <v>7.1064814814814803E-2</v>
      </c>
      <c r="E19741" s="2">
        <v>3.9239001189060603E-2</v>
      </c>
      <c r="F19741" s="2">
        <v>7.7250475507467803E-2</v>
      </c>
    </row>
    <row r="19742" spans="1:6" x14ac:dyDescent="0.25">
      <c r="A19742" s="1" t="str">
        <f t="shared" si="729"/>
        <v>31300</v>
      </c>
      <c r="B19742" s="1" t="str">
        <f>"28369"</f>
        <v>28369</v>
      </c>
      <c r="C19742" s="2">
        <v>1.8667028365066701E-2</v>
      </c>
      <c r="D19742" s="2">
        <v>2.54629629629629E-3</v>
      </c>
      <c r="E19742" s="2">
        <v>0</v>
      </c>
      <c r="F19742" s="2">
        <v>1.73365345639362E-2</v>
      </c>
    </row>
    <row r="19743" spans="1:6" x14ac:dyDescent="0.25">
      <c r="A19743" s="1" t="str">
        <f t="shared" si="729"/>
        <v>31300</v>
      </c>
      <c r="B19743" s="1" t="str">
        <f>"28371"</f>
        <v>28371</v>
      </c>
      <c r="C19743" s="2">
        <v>2.8398975941404801E-2</v>
      </c>
      <c r="D19743" s="2">
        <v>5.5555555555555497E-3</v>
      </c>
      <c r="E19743" s="2">
        <v>3.5671819262782399E-3</v>
      </c>
      <c r="F19743" s="2">
        <v>2.6534875744442001E-2</v>
      </c>
    </row>
    <row r="19744" spans="1:6" x14ac:dyDescent="0.25">
      <c r="A19744" s="1" t="str">
        <f t="shared" si="729"/>
        <v>31300</v>
      </c>
      <c r="B19744" s="1" t="str">
        <f>"28359"</f>
        <v>28359</v>
      </c>
      <c r="C19744" s="2">
        <v>4.67438666689272E-2</v>
      </c>
      <c r="D19744" s="2">
        <v>0.116666666666666</v>
      </c>
      <c r="E19744" s="2">
        <v>1.1890606420927399E-3</v>
      </c>
      <c r="F19744" s="2">
        <v>5.0855913442050399E-2</v>
      </c>
    </row>
    <row r="19745" spans="1:6" x14ac:dyDescent="0.25">
      <c r="A19745" s="1" t="str">
        <f t="shared" si="729"/>
        <v>31300</v>
      </c>
      <c r="B19745" s="1" t="str">
        <f>"28386"</f>
        <v>28386</v>
      </c>
      <c r="C19745" s="2">
        <v>3.1722079991861697E-2</v>
      </c>
      <c r="D19745" s="2">
        <v>9.2592592592592501E-3</v>
      </c>
      <c r="E19745" s="2">
        <v>9.5124851367419695E-3</v>
      </c>
      <c r="F19745" s="2">
        <v>2.9917994449814401E-2</v>
      </c>
    </row>
    <row r="19746" spans="1:6" x14ac:dyDescent="0.25">
      <c r="A19746" s="1" t="str">
        <f t="shared" si="729"/>
        <v>31300</v>
      </c>
      <c r="B19746" s="1" t="str">
        <f>"28383"</f>
        <v>28383</v>
      </c>
      <c r="C19746" s="2">
        <v>5.21184788321662E-2</v>
      </c>
      <c r="D19746" s="2">
        <v>1.38888888888888E-2</v>
      </c>
      <c r="E19746" s="2">
        <v>5.9453032104637296E-3</v>
      </c>
      <c r="F19746" s="2">
        <v>4.8938293162046703E-2</v>
      </c>
    </row>
    <row r="19747" spans="1:6" x14ac:dyDescent="0.25">
      <c r="A19747" s="1" t="str">
        <f t="shared" si="729"/>
        <v>31300</v>
      </c>
      <c r="B19747" s="1" t="str">
        <f>"28357"</f>
        <v>28357</v>
      </c>
      <c r="C19747" s="2">
        <v>1.20716841016598E-2</v>
      </c>
      <c r="D19747" s="2">
        <v>1.3888888888888801E-3</v>
      </c>
      <c r="E19747" s="2">
        <v>2.3781212841854902E-3</v>
      </c>
      <c r="F19747" s="2">
        <v>1.1225094321973101E-2</v>
      </c>
    </row>
    <row r="19748" spans="1:6" x14ac:dyDescent="0.25">
      <c r="A19748" s="1" t="str">
        <f t="shared" si="729"/>
        <v>31300</v>
      </c>
      <c r="B19748" s="1" t="str">
        <f>"28360"</f>
        <v>28360</v>
      </c>
      <c r="C19748" s="2">
        <v>0.101354673538936</v>
      </c>
      <c r="D19748" s="2">
        <v>5.6944444444444402E-2</v>
      </c>
      <c r="E19748" s="2">
        <v>9.1557669441141395E-2</v>
      </c>
      <c r="F19748" s="2">
        <v>9.8235165726045307E-2</v>
      </c>
    </row>
    <row r="19749" spans="1:6" x14ac:dyDescent="0.25">
      <c r="A19749" s="1" t="str">
        <f t="shared" si="729"/>
        <v>31300</v>
      </c>
      <c r="B19749" s="1" t="str">
        <f>"28352"</f>
        <v>28352</v>
      </c>
      <c r="C19749" s="2">
        <v>1.69546125023312E-5</v>
      </c>
      <c r="D19749" s="2">
        <v>0</v>
      </c>
      <c r="E19749" s="2">
        <v>0</v>
      </c>
      <c r="F19749" s="2">
        <v>1.5590408780518199E-5</v>
      </c>
    </row>
    <row r="19750" spans="1:6" x14ac:dyDescent="0.25">
      <c r="A19750" s="1" t="str">
        <f t="shared" si="729"/>
        <v>31300</v>
      </c>
      <c r="B19750" s="1" t="str">
        <f>"28378"</f>
        <v>28378</v>
      </c>
      <c r="C19750" s="2">
        <v>0</v>
      </c>
      <c r="D19750" s="2">
        <v>0</v>
      </c>
      <c r="E19750" s="2">
        <v>1.1890606420927399E-3</v>
      </c>
      <c r="F19750" s="2">
        <v>1.5590408780518199E-5</v>
      </c>
    </row>
    <row r="19751" spans="1:6" x14ac:dyDescent="0.25">
      <c r="A19751" s="1" t="str">
        <f t="shared" si="729"/>
        <v>31300</v>
      </c>
      <c r="B19751" s="1" t="str">
        <f>"28358"</f>
        <v>28358</v>
      </c>
      <c r="C19751" s="2">
        <v>0.29414557230294502</v>
      </c>
      <c r="D19751" s="2">
        <v>0.45648148148148099</v>
      </c>
      <c r="E19751" s="2">
        <v>0.397146254458977</v>
      </c>
      <c r="F19751" s="2">
        <v>0.30642948458108499</v>
      </c>
    </row>
    <row r="19752" spans="1:6" x14ac:dyDescent="0.25">
      <c r="A19752" s="1" t="str">
        <f t="shared" si="729"/>
        <v>31300</v>
      </c>
      <c r="B19752" s="1" t="str">
        <f>"28372"</f>
        <v>28372</v>
      </c>
      <c r="C19752" s="2">
        <v>8.3467557348976706E-2</v>
      </c>
      <c r="D19752" s="2">
        <v>4.1666666666666602E-2</v>
      </c>
      <c r="E19752" s="2">
        <v>0.240190249702734</v>
      </c>
      <c r="F19752" s="2">
        <v>8.2707118580649094E-2</v>
      </c>
    </row>
    <row r="19753" spans="1:6" x14ac:dyDescent="0.25">
      <c r="A19753" s="1" t="str">
        <f t="shared" ref="A19753:A19799" si="730">"31340"</f>
        <v>31340</v>
      </c>
      <c r="B19753" s="1" t="str">
        <f>"24064"</f>
        <v>24064</v>
      </c>
      <c r="C19753" s="2">
        <v>5.5088502840629199E-3</v>
      </c>
      <c r="D19753" s="2">
        <v>1.3464991023339301E-3</v>
      </c>
      <c r="E19753" s="2">
        <v>0</v>
      </c>
      <c r="F19753" s="2">
        <v>5.0967486773078998E-3</v>
      </c>
    </row>
    <row r="19754" spans="1:6" x14ac:dyDescent="0.25">
      <c r="A19754" s="1" t="str">
        <f t="shared" si="730"/>
        <v>31340</v>
      </c>
      <c r="B19754" s="1" t="str">
        <f>"24570"</f>
        <v>24570</v>
      </c>
      <c r="C19754" s="2">
        <v>1.2314866506847E-4</v>
      </c>
      <c r="D19754" s="2">
        <v>0</v>
      </c>
      <c r="E19754" s="2">
        <v>3.03859009419629E-4</v>
      </c>
      <c r="F19754" s="2">
        <v>1.19396747931078E-4</v>
      </c>
    </row>
    <row r="19755" spans="1:6" x14ac:dyDescent="0.25">
      <c r="A19755" s="1" t="str">
        <f t="shared" si="730"/>
        <v>31340</v>
      </c>
      <c r="B19755" s="1" t="str">
        <f>"24536"</f>
        <v>24536</v>
      </c>
      <c r="C19755" s="2">
        <v>9.2771994351581195E-4</v>
      </c>
      <c r="D19755" s="2">
        <v>1.12208258527827E-4</v>
      </c>
      <c r="E19755" s="2">
        <v>6.0771801883925799E-4</v>
      </c>
      <c r="F19755" s="2">
        <v>8.6562642250031705E-4</v>
      </c>
    </row>
    <row r="19756" spans="1:6" x14ac:dyDescent="0.25">
      <c r="A19756" s="1" t="str">
        <f t="shared" si="730"/>
        <v>31340</v>
      </c>
      <c r="B19756" s="1" t="str">
        <f>"24574"</f>
        <v>24574</v>
      </c>
      <c r="C19756" s="2">
        <v>1.4580801944106899E-2</v>
      </c>
      <c r="D19756" s="2">
        <v>2.4685816876121999E-3</v>
      </c>
      <c r="E19756" s="2">
        <v>6.6848982072318401E-3</v>
      </c>
      <c r="F19756" s="2">
        <v>1.35813800771601E-2</v>
      </c>
    </row>
    <row r="19757" spans="1:6" x14ac:dyDescent="0.25">
      <c r="A19757" s="1" t="str">
        <f t="shared" si="730"/>
        <v>31340</v>
      </c>
      <c r="B19757" s="1" t="str">
        <f>"24593"</f>
        <v>24593</v>
      </c>
      <c r="C19757" s="2">
        <v>7.4710190141538801E-3</v>
      </c>
      <c r="D19757" s="2">
        <v>2.6929982046678602E-3</v>
      </c>
      <c r="E19757" s="2">
        <v>3.03859009419629E-4</v>
      </c>
      <c r="F19757" s="2">
        <v>6.9772474572223804E-3</v>
      </c>
    </row>
    <row r="19758" spans="1:6" x14ac:dyDescent="0.25">
      <c r="A19758" s="1" t="str">
        <f t="shared" si="730"/>
        <v>31340</v>
      </c>
      <c r="B19758" s="1" t="str">
        <f>"24588"</f>
        <v>24588</v>
      </c>
      <c r="C19758" s="2">
        <v>3.4161439689993703E-2</v>
      </c>
      <c r="D19758" s="2">
        <v>1.9973070017953301E-2</v>
      </c>
      <c r="E19758" s="2">
        <v>1.12427833485262E-2</v>
      </c>
      <c r="F19758" s="2">
        <v>3.2655010559149801E-2</v>
      </c>
    </row>
    <row r="19759" spans="1:6" x14ac:dyDescent="0.25">
      <c r="A19759" s="1" t="str">
        <f t="shared" si="730"/>
        <v>31340</v>
      </c>
      <c r="B19759" s="1" t="str">
        <f>"24174"</f>
        <v>24174</v>
      </c>
      <c r="C19759" s="2">
        <v>9.3264589011855092E-3</v>
      </c>
      <c r="D19759" s="2">
        <v>2.24416517055655E-3</v>
      </c>
      <c r="E19759" s="2">
        <v>3.03859009419629E-4</v>
      </c>
      <c r="F19759" s="2">
        <v>8.6338773347660897E-3</v>
      </c>
    </row>
    <row r="19760" spans="1:6" x14ac:dyDescent="0.25">
      <c r="A19760" s="1" t="str">
        <f t="shared" si="730"/>
        <v>31340</v>
      </c>
      <c r="B19760" s="1" t="str">
        <f>"24538"</f>
        <v>24538</v>
      </c>
      <c r="C19760" s="2">
        <v>1.6600440051229799E-2</v>
      </c>
      <c r="D19760" s="2">
        <v>5.2737881508078902E-3</v>
      </c>
      <c r="E19760" s="2">
        <v>1.51929504709814E-3</v>
      </c>
      <c r="F19760" s="2">
        <v>1.5476803450566E-2</v>
      </c>
    </row>
    <row r="19761" spans="1:6" x14ac:dyDescent="0.25">
      <c r="A19761" s="1" t="str">
        <f t="shared" si="730"/>
        <v>31340</v>
      </c>
      <c r="B19761" s="1" t="str">
        <f>"24571"</f>
        <v>24571</v>
      </c>
      <c r="C19761" s="2">
        <v>7.7173163442908199E-3</v>
      </c>
      <c r="D19761" s="2">
        <v>1.6831238779174099E-3</v>
      </c>
      <c r="E19761" s="2">
        <v>3.03859009419629E-4</v>
      </c>
      <c r="F19761" s="2">
        <v>7.1339556888819202E-3</v>
      </c>
    </row>
    <row r="19762" spans="1:6" x14ac:dyDescent="0.25">
      <c r="A19762" s="1" t="str">
        <f t="shared" si="730"/>
        <v>31340</v>
      </c>
      <c r="B19762" s="1" t="str">
        <f>"24517"</f>
        <v>24517</v>
      </c>
      <c r="C19762" s="2">
        <v>2.2519785885521001E-2</v>
      </c>
      <c r="D19762" s="2">
        <v>3.7365350089766602E-2</v>
      </c>
      <c r="E19762" s="2">
        <v>2.9778182923123599E-2</v>
      </c>
      <c r="F19762" s="2">
        <v>2.3685329870827599E-2</v>
      </c>
    </row>
    <row r="19763" spans="1:6" x14ac:dyDescent="0.25">
      <c r="A19763" s="1" t="str">
        <f t="shared" si="730"/>
        <v>31340</v>
      </c>
      <c r="B19763" s="1" t="str">
        <f>"24523"</f>
        <v>24523</v>
      </c>
      <c r="C19763" s="2">
        <v>7.5309513644871998E-2</v>
      </c>
      <c r="D19763" s="2">
        <v>8.09021543985637E-2</v>
      </c>
      <c r="E19763" s="2">
        <v>5.0136736554238802E-2</v>
      </c>
      <c r="F19763" s="2">
        <v>7.5063242964919702E-2</v>
      </c>
    </row>
    <row r="19764" spans="1:6" x14ac:dyDescent="0.25">
      <c r="A19764" s="1" t="str">
        <f t="shared" si="730"/>
        <v>31340</v>
      </c>
      <c r="B19764" s="1" t="str">
        <f>"23958"</f>
        <v>23958</v>
      </c>
      <c r="C19764" s="2">
        <v>5.4842205510492199E-3</v>
      </c>
      <c r="D19764" s="2">
        <v>1.45870736086175E-3</v>
      </c>
      <c r="E19764" s="2">
        <v>3.03859009419629E-4</v>
      </c>
      <c r="F19764" s="2">
        <v>5.0892863805622E-3</v>
      </c>
    </row>
    <row r="19765" spans="1:6" x14ac:dyDescent="0.25">
      <c r="A19765" s="1" t="str">
        <f t="shared" si="730"/>
        <v>31340</v>
      </c>
      <c r="B19765" s="1" t="str">
        <f>"24095"</f>
        <v>24095</v>
      </c>
      <c r="C19765" s="2">
        <v>1.77005681258415E-2</v>
      </c>
      <c r="D19765" s="2">
        <v>3.2540394973070001E-3</v>
      </c>
      <c r="E19765" s="2">
        <v>4.2540261318748098E-3</v>
      </c>
      <c r="F19765" s="2">
        <v>1.64095905437775E-2</v>
      </c>
    </row>
    <row r="19766" spans="1:6" x14ac:dyDescent="0.25">
      <c r="A19766" s="1" t="str">
        <f t="shared" si="730"/>
        <v>31340</v>
      </c>
      <c r="B19766" s="1" t="str">
        <f>"24554"</f>
        <v>24554</v>
      </c>
      <c r="C19766" s="2">
        <v>1.53443236675314E-2</v>
      </c>
      <c r="D19766" s="2">
        <v>5.0493716337522403E-3</v>
      </c>
      <c r="E19766" s="2">
        <v>2.4308720753570298E-3</v>
      </c>
      <c r="F19766" s="2">
        <v>1.43425343452207E-2</v>
      </c>
    </row>
    <row r="19767" spans="1:6" x14ac:dyDescent="0.25">
      <c r="A19767" s="1" t="str">
        <f t="shared" si="730"/>
        <v>31340</v>
      </c>
      <c r="B19767" s="1" t="str">
        <f>"24595"</f>
        <v>24595</v>
      </c>
      <c r="C19767" s="2">
        <v>0</v>
      </c>
      <c r="D19767" s="2">
        <v>0</v>
      </c>
      <c r="E19767" s="2">
        <v>6.0771801883925799E-4</v>
      </c>
      <c r="F19767" s="2">
        <v>1.4924593491384701E-5</v>
      </c>
    </row>
    <row r="19768" spans="1:6" x14ac:dyDescent="0.25">
      <c r="A19768" s="1" t="str">
        <f t="shared" si="730"/>
        <v>31340</v>
      </c>
      <c r="B19768" s="1" t="str">
        <f>"23939"</f>
        <v>23939</v>
      </c>
      <c r="C19768" s="2">
        <v>0</v>
      </c>
      <c r="D19768" s="2">
        <v>1.12208258527827E-4</v>
      </c>
      <c r="E19768" s="2">
        <v>0</v>
      </c>
      <c r="F19768" s="2">
        <v>7.46229674569238E-6</v>
      </c>
    </row>
    <row r="19769" spans="1:6" x14ac:dyDescent="0.25">
      <c r="A19769" s="1" t="str">
        <f t="shared" si="730"/>
        <v>31340</v>
      </c>
      <c r="B19769" s="1" t="str">
        <f>"24576"</f>
        <v>24576</v>
      </c>
      <c r="C19769" s="2">
        <v>0</v>
      </c>
      <c r="D19769" s="2">
        <v>0</v>
      </c>
      <c r="E19769" s="2">
        <v>3.03859009419629E-4</v>
      </c>
      <c r="F19769" s="2">
        <v>7.46229674569238E-6</v>
      </c>
    </row>
    <row r="19770" spans="1:6" x14ac:dyDescent="0.25">
      <c r="A19770" s="1" t="str">
        <f t="shared" si="730"/>
        <v>31340</v>
      </c>
      <c r="B19770" s="1" t="str">
        <f>"24515"</f>
        <v>24515</v>
      </c>
      <c r="C19770" s="2">
        <v>0</v>
      </c>
      <c r="D19770" s="2">
        <v>5.6104129263913804E-4</v>
      </c>
      <c r="E19770" s="2">
        <v>0</v>
      </c>
      <c r="F19770" s="2">
        <v>3.7311483728461898E-5</v>
      </c>
    </row>
    <row r="19771" spans="1:6" x14ac:dyDescent="0.25">
      <c r="A19771" s="1" t="str">
        <f t="shared" si="730"/>
        <v>31340</v>
      </c>
      <c r="B19771" s="1" t="str">
        <f>"23963"</f>
        <v>23963</v>
      </c>
      <c r="C19771" s="2">
        <v>4.3512528324192901E-4</v>
      </c>
      <c r="D19771" s="2">
        <v>0</v>
      </c>
      <c r="E19771" s="2">
        <v>0</v>
      </c>
      <c r="F19771" s="2">
        <v>3.9550172752169602E-4</v>
      </c>
    </row>
    <row r="19772" spans="1:6" x14ac:dyDescent="0.25">
      <c r="A19772" s="1" t="str">
        <f t="shared" si="730"/>
        <v>31340</v>
      </c>
      <c r="B19772" s="1" t="str">
        <f>"24101"</f>
        <v>24101</v>
      </c>
      <c r="C19772" s="2">
        <v>3.1361860037437102E-3</v>
      </c>
      <c r="D19772" s="2">
        <v>5.6104129263913804E-4</v>
      </c>
      <c r="E19772" s="2">
        <v>1.2154360376785099E-3</v>
      </c>
      <c r="F19772" s="2">
        <v>2.91775802756572E-3</v>
      </c>
    </row>
    <row r="19773" spans="1:6" x14ac:dyDescent="0.25">
      <c r="A19773" s="1" t="str">
        <f t="shared" si="730"/>
        <v>31340</v>
      </c>
      <c r="B19773" s="1" t="str">
        <f>"22922"</f>
        <v>22922</v>
      </c>
      <c r="C19773" s="2">
        <v>5.0901448228301205E-4</v>
      </c>
      <c r="D19773" s="2">
        <v>3.3662477558348198E-4</v>
      </c>
      <c r="E19773" s="2">
        <v>0</v>
      </c>
      <c r="F19773" s="2">
        <v>4.8504928847000497E-4</v>
      </c>
    </row>
    <row r="19774" spans="1:6" x14ac:dyDescent="0.25">
      <c r="A19774" s="1" t="str">
        <f t="shared" si="730"/>
        <v>31340</v>
      </c>
      <c r="B19774" s="1" t="str">
        <f>"24104"</f>
        <v>24104</v>
      </c>
      <c r="C19774" s="2">
        <v>1.9720206232964398E-2</v>
      </c>
      <c r="D19774" s="2">
        <v>7.6301615798922799E-3</v>
      </c>
      <c r="E19774" s="2">
        <v>6.6848982072318401E-3</v>
      </c>
      <c r="F19774" s="2">
        <v>1.8596043490265401E-2</v>
      </c>
    </row>
    <row r="19775" spans="1:6" x14ac:dyDescent="0.25">
      <c r="A19775" s="1" t="str">
        <f t="shared" si="730"/>
        <v>31340</v>
      </c>
      <c r="B19775" s="1" t="str">
        <f>"24550"</f>
        <v>24550</v>
      </c>
      <c r="C19775" s="2">
        <v>2.7388263111227801E-2</v>
      </c>
      <c r="D19775" s="2">
        <v>7.0691202872531396E-3</v>
      </c>
      <c r="E19775" s="2">
        <v>1.12427833485262E-2</v>
      </c>
      <c r="F19775" s="2">
        <v>2.5640451618199001E-2</v>
      </c>
    </row>
    <row r="19776" spans="1:6" x14ac:dyDescent="0.25">
      <c r="A19776" s="1" t="str">
        <f t="shared" si="730"/>
        <v>31340</v>
      </c>
      <c r="B19776" s="1" t="str">
        <f>"24551"</f>
        <v>24551</v>
      </c>
      <c r="C19776" s="2">
        <v>9.08837148205313E-2</v>
      </c>
      <c r="D19776" s="2">
        <v>0.110412926391382</v>
      </c>
      <c r="E19776" s="2">
        <v>0.116378000607718</v>
      </c>
      <c r="F19776" s="2">
        <v>9.2808584626176194E-2</v>
      </c>
    </row>
    <row r="19777" spans="1:6" x14ac:dyDescent="0.25">
      <c r="A19777" s="1" t="str">
        <f t="shared" si="730"/>
        <v>31340</v>
      </c>
      <c r="B19777" s="1" t="str">
        <f>"24526"</f>
        <v>24526</v>
      </c>
      <c r="C19777" s="2">
        <v>6.1245936094052704E-3</v>
      </c>
      <c r="D19777" s="2">
        <v>1.57091561938958E-3</v>
      </c>
      <c r="E19777" s="2">
        <v>3.03859009419629E-4</v>
      </c>
      <c r="F19777" s="2">
        <v>5.6788078234719002E-3</v>
      </c>
    </row>
    <row r="19778" spans="1:6" x14ac:dyDescent="0.25">
      <c r="A19778" s="1" t="str">
        <f t="shared" si="730"/>
        <v>31340</v>
      </c>
      <c r="B19778" s="1" t="str">
        <f>"24533"</f>
        <v>24533</v>
      </c>
      <c r="C19778" s="2">
        <v>0</v>
      </c>
      <c r="D19778" s="2">
        <v>0</v>
      </c>
      <c r="E19778" s="2">
        <v>3.03859009419629E-4</v>
      </c>
      <c r="F19778" s="2">
        <v>7.46229674569238E-6</v>
      </c>
    </row>
    <row r="19779" spans="1:6" x14ac:dyDescent="0.25">
      <c r="A19779" s="1" t="str">
        <f t="shared" si="730"/>
        <v>31340</v>
      </c>
      <c r="B19779" s="1" t="str">
        <f>"22967"</f>
        <v>22967</v>
      </c>
      <c r="C19779" s="2">
        <v>1.0344487865751499E-3</v>
      </c>
      <c r="D19779" s="2">
        <v>1.12208258527827E-4</v>
      </c>
      <c r="E19779" s="2">
        <v>0</v>
      </c>
      <c r="F19779" s="2">
        <v>9.4771168670293297E-4</v>
      </c>
    </row>
    <row r="19780" spans="1:6" x14ac:dyDescent="0.25">
      <c r="A19780" s="1" t="str">
        <f t="shared" si="730"/>
        <v>31340</v>
      </c>
      <c r="B19780" s="1" t="str">
        <f>"24501"</f>
        <v>24501</v>
      </c>
      <c r="C19780" s="2">
        <v>0.10646612590719499</v>
      </c>
      <c r="D19780" s="2">
        <v>0.15697935368043001</v>
      </c>
      <c r="E19780" s="2">
        <v>0.197812215132178</v>
      </c>
      <c r="F19780" s="2">
        <v>0.112068772526808</v>
      </c>
    </row>
    <row r="19781" spans="1:6" x14ac:dyDescent="0.25">
      <c r="A19781" s="1" t="str">
        <f t="shared" si="730"/>
        <v>31340</v>
      </c>
      <c r="B19781" s="1" t="str">
        <f>"24502"</f>
        <v>24502</v>
      </c>
      <c r="C19781" s="2">
        <v>0.16337722899083701</v>
      </c>
      <c r="D19781" s="2">
        <v>0.230139138240574</v>
      </c>
      <c r="E19781" s="2">
        <v>0.278942570647219</v>
      </c>
      <c r="F19781" s="2">
        <v>0.17065526427723901</v>
      </c>
    </row>
    <row r="19782" spans="1:6" x14ac:dyDescent="0.25">
      <c r="A19782" s="1" t="str">
        <f t="shared" si="730"/>
        <v>31340</v>
      </c>
      <c r="B19782" s="1" t="str">
        <f>"24503"</f>
        <v>24503</v>
      </c>
      <c r="C19782" s="2">
        <v>7.5309513644871998E-2</v>
      </c>
      <c r="D19782" s="2">
        <v>4.6454219030520598E-2</v>
      </c>
      <c r="E19782" s="2">
        <v>6.9279854147675402E-2</v>
      </c>
      <c r="F19782" s="2">
        <v>7.3242442558970805E-2</v>
      </c>
    </row>
    <row r="19783" spans="1:6" x14ac:dyDescent="0.25">
      <c r="A19783" s="1" t="str">
        <f t="shared" si="730"/>
        <v>31340</v>
      </c>
      <c r="B19783" s="1" t="str">
        <f>"24121"</f>
        <v>24121</v>
      </c>
      <c r="C19783" s="2">
        <v>3.5860891267938601E-2</v>
      </c>
      <c r="D19783" s="2">
        <v>4.5893177737881499E-2</v>
      </c>
      <c r="E19783" s="2">
        <v>1.4889091461561799E-2</v>
      </c>
      <c r="F19783" s="2">
        <v>3.6013044094711399E-2</v>
      </c>
    </row>
    <row r="19784" spans="1:6" x14ac:dyDescent="0.25">
      <c r="A19784" s="1" t="str">
        <f t="shared" si="730"/>
        <v>31340</v>
      </c>
      <c r="B19784" s="1" t="str">
        <f>"24514"</f>
        <v>24514</v>
      </c>
      <c r="C19784" s="2">
        <v>0</v>
      </c>
      <c r="D19784" s="2">
        <v>2.2441651705565501E-4</v>
      </c>
      <c r="E19784" s="2">
        <v>0</v>
      </c>
      <c r="F19784" s="2">
        <v>1.4924593491384701E-5</v>
      </c>
    </row>
    <row r="19785" spans="1:6" x14ac:dyDescent="0.25">
      <c r="A19785" s="1" t="str">
        <f t="shared" si="730"/>
        <v>31340</v>
      </c>
      <c r="B19785" s="1" t="str">
        <f>"24506"</f>
        <v>24506</v>
      </c>
      <c r="C19785" s="2">
        <v>7.0769432859347798E-3</v>
      </c>
      <c r="D19785" s="2">
        <v>3.4447935368042998E-2</v>
      </c>
      <c r="E19785" s="2">
        <v>6.0771801883925799E-4</v>
      </c>
      <c r="F19785" s="2">
        <v>8.7383494892057795E-3</v>
      </c>
    </row>
    <row r="19786" spans="1:6" x14ac:dyDescent="0.25">
      <c r="A19786" s="1" t="str">
        <f t="shared" si="730"/>
        <v>31340</v>
      </c>
      <c r="B19786" s="1" t="str">
        <f>"23960"</f>
        <v>23960</v>
      </c>
      <c r="C19786" s="2">
        <v>1.0672884305934101E-4</v>
      </c>
      <c r="D19786" s="2">
        <v>0</v>
      </c>
      <c r="E19786" s="2">
        <v>0</v>
      </c>
      <c r="F19786" s="2">
        <v>9.7009857694001006E-5</v>
      </c>
    </row>
    <row r="19787" spans="1:6" x14ac:dyDescent="0.25">
      <c r="A19787" s="1" t="str">
        <f t="shared" si="730"/>
        <v>31340</v>
      </c>
      <c r="B19787" s="1" t="str">
        <f>"24483"</f>
        <v>24483</v>
      </c>
      <c r="C19787" s="2">
        <v>8.4562083347016501E-4</v>
      </c>
      <c r="D19787" s="2">
        <v>1.12208258527827E-4</v>
      </c>
      <c r="E19787" s="2">
        <v>6.0771801883925799E-4</v>
      </c>
      <c r="F19787" s="2">
        <v>7.9100345504339302E-4</v>
      </c>
    </row>
    <row r="19788" spans="1:6" x14ac:dyDescent="0.25">
      <c r="A19788" s="1" t="str">
        <f t="shared" si="730"/>
        <v>31340</v>
      </c>
      <c r="B19788" s="1" t="str">
        <f>"24139"</f>
        <v>24139</v>
      </c>
      <c r="C19788" s="2">
        <v>4.3512528324192901E-4</v>
      </c>
      <c r="D19788" s="2">
        <v>0</v>
      </c>
      <c r="E19788" s="2">
        <v>0</v>
      </c>
      <c r="F19788" s="2">
        <v>3.9550172752169602E-4</v>
      </c>
    </row>
    <row r="19789" spans="1:6" x14ac:dyDescent="0.25">
      <c r="A19789" s="1" t="str">
        <f t="shared" si="730"/>
        <v>31340</v>
      </c>
      <c r="B19789" s="1" t="str">
        <f>"24528"</f>
        <v>24528</v>
      </c>
      <c r="C19789" s="2">
        <v>9.8518932054776492E-3</v>
      </c>
      <c r="D19789" s="2">
        <v>7.4057450628366196E-3</v>
      </c>
      <c r="E19789" s="2">
        <v>8.8119112731692394E-3</v>
      </c>
      <c r="F19789" s="2">
        <v>9.6636742856716397E-3</v>
      </c>
    </row>
    <row r="19790" spans="1:6" x14ac:dyDescent="0.25">
      <c r="A19790" s="1" t="str">
        <f t="shared" si="730"/>
        <v>31340</v>
      </c>
      <c r="B19790" s="1" t="str">
        <f>"24569"</f>
        <v>24569</v>
      </c>
      <c r="C19790" s="2">
        <v>6.3216314735148197E-4</v>
      </c>
      <c r="D19790" s="2">
        <v>4.4883303411131001E-4</v>
      </c>
      <c r="E19790" s="2">
        <v>3.03859009419629E-4</v>
      </c>
      <c r="F19790" s="2">
        <v>6.1190833314677502E-4</v>
      </c>
    </row>
    <row r="19791" spans="1:6" x14ac:dyDescent="0.25">
      <c r="A19791" s="1" t="str">
        <f t="shared" si="730"/>
        <v>31340</v>
      </c>
      <c r="B19791" s="1" t="str">
        <f>"24513"</f>
        <v>24513</v>
      </c>
      <c r="C19791" s="2">
        <v>0</v>
      </c>
      <c r="D19791" s="2">
        <v>0</v>
      </c>
      <c r="E19791" s="2">
        <v>1.2154360376785099E-3</v>
      </c>
      <c r="F19791" s="2">
        <v>2.98491869827695E-5</v>
      </c>
    </row>
    <row r="19792" spans="1:6" x14ac:dyDescent="0.25">
      <c r="A19792" s="1" t="str">
        <f t="shared" si="730"/>
        <v>31340</v>
      </c>
      <c r="B19792" s="1" t="str">
        <f>"24522"</f>
        <v>24522</v>
      </c>
      <c r="C19792" s="2">
        <v>3.5335456963646497E-2</v>
      </c>
      <c r="D19792" s="2">
        <v>2.13195691202872E-2</v>
      </c>
      <c r="E19792" s="2">
        <v>3.6463081130355501E-3</v>
      </c>
      <c r="F19792" s="2">
        <v>3.3625109136089897E-2</v>
      </c>
    </row>
    <row r="19793" spans="1:6" x14ac:dyDescent="0.25">
      <c r="A19793" s="1" t="str">
        <f t="shared" si="730"/>
        <v>31340</v>
      </c>
      <c r="B19793" s="1" t="str">
        <f>"24504"</f>
        <v>24504</v>
      </c>
      <c r="C19793" s="2">
        <v>4.2354930872549303E-2</v>
      </c>
      <c r="D19793" s="2">
        <v>8.8083482944344704E-2</v>
      </c>
      <c r="E19793" s="2">
        <v>0.109389243391066</v>
      </c>
      <c r="F19793" s="2">
        <v>4.7042318684844799E-2</v>
      </c>
    </row>
    <row r="19794" spans="1:6" x14ac:dyDescent="0.25">
      <c r="A19794" s="1" t="str">
        <f t="shared" si="730"/>
        <v>31340</v>
      </c>
      <c r="B19794" s="1" t="str">
        <f>"24521"</f>
        <v>24521</v>
      </c>
      <c r="C19794" s="2">
        <v>3.5089159633509497E-2</v>
      </c>
      <c r="D19794" s="2">
        <v>1.6494614003590601E-2</v>
      </c>
      <c r="E19794" s="2">
        <v>1.8231540565177701E-2</v>
      </c>
      <c r="F19794" s="2">
        <v>3.3438551717447501E-2</v>
      </c>
    </row>
    <row r="19795" spans="1:6" x14ac:dyDescent="0.25">
      <c r="A19795" s="1" t="str">
        <f t="shared" si="730"/>
        <v>31340</v>
      </c>
      <c r="B19795" s="1" t="str">
        <f>"24556"</f>
        <v>24556</v>
      </c>
      <c r="C19795" s="2">
        <v>1.11244294111851E-2</v>
      </c>
      <c r="D19795" s="2">
        <v>2.9174147217235101E-3</v>
      </c>
      <c r="E19795" s="2">
        <v>1.8231540565177701E-3</v>
      </c>
      <c r="F19795" s="2">
        <v>1.03502055862753E-2</v>
      </c>
    </row>
    <row r="19796" spans="1:6" x14ac:dyDescent="0.25">
      <c r="A19796" s="1" t="str">
        <f t="shared" si="730"/>
        <v>31340</v>
      </c>
      <c r="B19796" s="1" t="str">
        <f>"24572"</f>
        <v>24572</v>
      </c>
      <c r="C19796" s="2">
        <v>6.1410134314144001E-2</v>
      </c>
      <c r="D19796" s="2">
        <v>4.5556552962297998E-2</v>
      </c>
      <c r="E19796" s="2">
        <v>4.37556973564266E-2</v>
      </c>
      <c r="F19796" s="2">
        <v>5.99222428679098E-2</v>
      </c>
    </row>
    <row r="19797" spans="1:6" x14ac:dyDescent="0.25">
      <c r="A19797" s="1" t="str">
        <f t="shared" si="730"/>
        <v>31340</v>
      </c>
      <c r="B19797" s="1" t="str">
        <f>"24553"</f>
        <v>24553</v>
      </c>
      <c r="C19797" s="2">
        <v>4.0721158582640903E-3</v>
      </c>
      <c r="D19797" s="2">
        <v>4.4883303411131001E-4</v>
      </c>
      <c r="E19797" s="2">
        <v>6.0771801883925799E-4</v>
      </c>
      <c r="F19797" s="2">
        <v>3.7460729663375699E-3</v>
      </c>
    </row>
    <row r="19798" spans="1:6" x14ac:dyDescent="0.25">
      <c r="A19798" s="1" t="str">
        <f t="shared" si="730"/>
        <v>31340</v>
      </c>
      <c r="B19798" s="1" t="str">
        <f>"24122"</f>
        <v>24122</v>
      </c>
      <c r="C19798" s="2">
        <v>6.1081737873961402E-3</v>
      </c>
      <c r="D19798" s="2">
        <v>1.57091561938958E-3</v>
      </c>
      <c r="E19798" s="2">
        <v>6.0771801883925799E-4</v>
      </c>
      <c r="F19798" s="2">
        <v>5.6713455267262099E-3</v>
      </c>
    </row>
    <row r="19799" spans="1:6" x14ac:dyDescent="0.25">
      <c r="A19799" s="1" t="str">
        <f t="shared" si="730"/>
        <v>31340</v>
      </c>
      <c r="B19799" s="1" t="str">
        <f>"24179"</f>
        <v>24179</v>
      </c>
      <c r="C19799" s="2">
        <v>2.2536205707530101E-2</v>
      </c>
      <c r="D19799" s="2">
        <v>9.3132854578096905E-3</v>
      </c>
      <c r="E19799" s="2">
        <v>4.2540261318748098E-3</v>
      </c>
      <c r="F19799" s="2">
        <v>2.1207847351257698E-2</v>
      </c>
    </row>
    <row r="19800" spans="1:6" x14ac:dyDescent="0.25">
      <c r="A19800" s="1" t="str">
        <f t="shared" ref="A19800:A19818" si="731">"31380"</f>
        <v>31380</v>
      </c>
      <c r="B19800" s="1" t="str">
        <f>"62326"</f>
        <v>62326</v>
      </c>
      <c r="C19800" s="2">
        <v>8.5233547716494495E-2</v>
      </c>
      <c r="D19800" s="2">
        <v>3.9093041438623903E-2</v>
      </c>
      <c r="E19800" s="2">
        <v>1.5194681861348499E-2</v>
      </c>
      <c r="F19800" s="2">
        <v>7.7743300423131101E-2</v>
      </c>
    </row>
    <row r="19801" spans="1:6" x14ac:dyDescent="0.25">
      <c r="A19801" s="1" t="str">
        <f t="shared" si="731"/>
        <v>31380</v>
      </c>
      <c r="B19801" s="1" t="str">
        <f>"62374"</f>
        <v>62374</v>
      </c>
      <c r="C19801" s="2">
        <v>8.1855388813096806E-3</v>
      </c>
      <c r="D19801" s="2">
        <v>6.2548866301798201E-3</v>
      </c>
      <c r="E19801" s="2">
        <v>9.4966761633428305E-4</v>
      </c>
      <c r="F19801" s="2">
        <v>7.6163610719322903E-3</v>
      </c>
    </row>
    <row r="19802" spans="1:6" x14ac:dyDescent="0.25">
      <c r="A19802" s="1" t="str">
        <f t="shared" si="731"/>
        <v>31380</v>
      </c>
      <c r="B19802" s="1" t="str">
        <f>"61420"</f>
        <v>61420</v>
      </c>
      <c r="C19802" s="2">
        <v>3.6964854154485798E-2</v>
      </c>
      <c r="D19802" s="2">
        <v>1.09460516028146E-2</v>
      </c>
      <c r="E19802" s="2">
        <v>5.6980056980056896E-3</v>
      </c>
      <c r="F19802" s="2">
        <v>3.32299012693935E-2</v>
      </c>
    </row>
    <row r="19803" spans="1:6" x14ac:dyDescent="0.25">
      <c r="A19803" s="1" t="str">
        <f t="shared" si="731"/>
        <v>31380</v>
      </c>
      <c r="B19803" s="1" t="str">
        <f>"61452"</f>
        <v>61452</v>
      </c>
      <c r="C19803" s="2">
        <v>3.8978756577665101E-4</v>
      </c>
      <c r="D19803" s="2">
        <v>0</v>
      </c>
      <c r="E19803" s="2">
        <v>0</v>
      </c>
      <c r="F19803" s="2">
        <v>3.3850493653032399E-4</v>
      </c>
    </row>
    <row r="19804" spans="1:6" x14ac:dyDescent="0.25">
      <c r="A19804" s="1" t="str">
        <f t="shared" si="731"/>
        <v>31380</v>
      </c>
      <c r="B19804" s="1" t="str">
        <f>"61440"</f>
        <v>61440</v>
      </c>
      <c r="C19804" s="2">
        <v>3.1637757422204801E-2</v>
      </c>
      <c r="D19804" s="2">
        <v>7.8186082877247792E-3</v>
      </c>
      <c r="E19804" s="2">
        <v>3.79867046533713E-3</v>
      </c>
      <c r="F19804" s="2">
        <v>2.8265162200281999E-2</v>
      </c>
    </row>
    <row r="19805" spans="1:6" x14ac:dyDescent="0.25">
      <c r="A19805" s="1" t="str">
        <f t="shared" si="731"/>
        <v>31380</v>
      </c>
      <c r="B19805" s="1" t="str">
        <f>"61473"</f>
        <v>61473</v>
      </c>
      <c r="C19805" s="2">
        <v>6.4964594296108605E-5</v>
      </c>
      <c r="D19805" s="2">
        <v>0</v>
      </c>
      <c r="E19805" s="2">
        <v>0</v>
      </c>
      <c r="F19805" s="2">
        <v>5.6417489421720699E-5</v>
      </c>
    </row>
    <row r="19806" spans="1:6" x14ac:dyDescent="0.25">
      <c r="A19806" s="1" t="str">
        <f t="shared" si="731"/>
        <v>31380</v>
      </c>
      <c r="B19806" s="1" t="str">
        <f>"61450"</f>
        <v>61450</v>
      </c>
      <c r="C19806" s="2">
        <v>4.5475216007276E-4</v>
      </c>
      <c r="D19806" s="2">
        <v>0</v>
      </c>
      <c r="E19806" s="2">
        <v>0</v>
      </c>
      <c r="F19806" s="2">
        <v>3.9492242595204498E-4</v>
      </c>
    </row>
    <row r="19807" spans="1:6" x14ac:dyDescent="0.25">
      <c r="A19807" s="1" t="str">
        <f t="shared" si="731"/>
        <v>31380</v>
      </c>
      <c r="B19807" s="1" t="str">
        <f>"61470"</f>
        <v>61470</v>
      </c>
      <c r="C19807" s="2">
        <v>1.7540440459949298E-2</v>
      </c>
      <c r="D19807" s="2">
        <v>5.4730258014073401E-3</v>
      </c>
      <c r="E19807" s="2">
        <v>0</v>
      </c>
      <c r="F19807" s="2">
        <v>1.56276445698166E-2</v>
      </c>
    </row>
    <row r="19808" spans="1:6" x14ac:dyDescent="0.25">
      <c r="A19808" s="1" t="str">
        <f t="shared" si="731"/>
        <v>31380</v>
      </c>
      <c r="B19808" s="1" t="str">
        <f>"61416"</f>
        <v>61416</v>
      </c>
      <c r="C19808" s="2">
        <v>9.2899369843435307E-3</v>
      </c>
      <c r="D19808" s="2">
        <v>1.56372165754495E-3</v>
      </c>
      <c r="E19808" s="2">
        <v>6.64767331433998E-3</v>
      </c>
      <c r="F19808" s="2">
        <v>8.5754583921015502E-3</v>
      </c>
    </row>
    <row r="19809" spans="1:6" x14ac:dyDescent="0.25">
      <c r="A19809" s="1" t="str">
        <f t="shared" si="731"/>
        <v>31380</v>
      </c>
      <c r="B19809" s="1" t="str">
        <f>"61482"</f>
        <v>61482</v>
      </c>
      <c r="C19809" s="2">
        <v>1.6241148574027101E-3</v>
      </c>
      <c r="D19809" s="2">
        <v>7.8186082877247805E-4</v>
      </c>
      <c r="E19809" s="2">
        <v>0</v>
      </c>
      <c r="F19809" s="2">
        <v>1.46685472496473E-3</v>
      </c>
    </row>
    <row r="19810" spans="1:6" x14ac:dyDescent="0.25">
      <c r="A19810" s="1" t="str">
        <f t="shared" si="731"/>
        <v>31380</v>
      </c>
      <c r="B19810" s="1" t="str">
        <f>"61459"</f>
        <v>61459</v>
      </c>
      <c r="C19810" s="2">
        <v>2.6635483661404499E-3</v>
      </c>
      <c r="D19810" s="2">
        <v>2.34558248631743E-3</v>
      </c>
      <c r="E19810" s="2">
        <v>0</v>
      </c>
      <c r="F19810" s="2">
        <v>2.4823695345557099E-3</v>
      </c>
    </row>
    <row r="19811" spans="1:6" x14ac:dyDescent="0.25">
      <c r="A19811" s="1" t="str">
        <f t="shared" si="731"/>
        <v>31380</v>
      </c>
      <c r="B19811" s="1" t="str">
        <f>"61455"</f>
        <v>61455</v>
      </c>
      <c r="C19811" s="2">
        <v>0.63418436951861201</v>
      </c>
      <c r="D19811" s="2">
        <v>0.74042220484753696</v>
      </c>
      <c r="E19811" s="2">
        <v>0.92117758784425396</v>
      </c>
      <c r="F19811" s="2">
        <v>0.65889985895627601</v>
      </c>
    </row>
    <row r="19812" spans="1:6" x14ac:dyDescent="0.25">
      <c r="A19812" s="1" t="str">
        <f t="shared" si="731"/>
        <v>31380</v>
      </c>
      <c r="B19812" s="1" t="str">
        <f>"61475"</f>
        <v>61475</v>
      </c>
      <c r="C19812" s="2">
        <v>6.7563178067952898E-3</v>
      </c>
      <c r="D19812" s="2">
        <v>9.3823299452697392E-3</v>
      </c>
      <c r="E19812" s="2">
        <v>9.4966761633428305E-4</v>
      </c>
      <c r="F19812" s="2">
        <v>6.6008462623413202E-3</v>
      </c>
    </row>
    <row r="19813" spans="1:6" x14ac:dyDescent="0.25">
      <c r="A19813" s="1" t="str">
        <f t="shared" si="731"/>
        <v>31380</v>
      </c>
      <c r="B19813" s="1" t="str">
        <f>"62367"</f>
        <v>62367</v>
      </c>
      <c r="C19813" s="2">
        <v>1.22783083219645E-2</v>
      </c>
      <c r="D19813" s="2">
        <v>7.8186082877247792E-3</v>
      </c>
      <c r="E19813" s="2">
        <v>0</v>
      </c>
      <c r="F19813" s="2">
        <v>1.1227080394922401E-2</v>
      </c>
    </row>
    <row r="19814" spans="1:6" x14ac:dyDescent="0.25">
      <c r="A19814" s="1" t="str">
        <f t="shared" si="731"/>
        <v>31380</v>
      </c>
      <c r="B19814" s="1" t="str">
        <f>"61422"</f>
        <v>61422</v>
      </c>
      <c r="C19814" s="2">
        <v>0.113233287858117</v>
      </c>
      <c r="D19814" s="2">
        <v>0.149335418295543</v>
      </c>
      <c r="E19814" s="2">
        <v>3.8936372269705602E-2</v>
      </c>
      <c r="F19814" s="2">
        <v>0.111424541607898</v>
      </c>
    </row>
    <row r="19815" spans="1:6" x14ac:dyDescent="0.25">
      <c r="A19815" s="1" t="str">
        <f t="shared" si="731"/>
        <v>31380</v>
      </c>
      <c r="B19815" s="1" t="str">
        <f>"61411"</f>
        <v>61411</v>
      </c>
      <c r="C19815" s="2">
        <v>1.3057883453517801E-2</v>
      </c>
      <c r="D19815" s="2">
        <v>1.3291634089132099E-2</v>
      </c>
      <c r="E19815" s="2">
        <v>9.4966761633428305E-4</v>
      </c>
      <c r="F19815" s="2">
        <v>1.2355430183356801E-2</v>
      </c>
    </row>
    <row r="19816" spans="1:6" x14ac:dyDescent="0.25">
      <c r="A19816" s="1" t="str">
        <f t="shared" si="731"/>
        <v>31380</v>
      </c>
      <c r="B19816" s="1" t="str">
        <f>"61484"</f>
        <v>61484</v>
      </c>
      <c r="C19816" s="2">
        <v>2.59858377184434E-3</v>
      </c>
      <c r="D19816" s="2">
        <v>7.8186082877247805E-4</v>
      </c>
      <c r="E19816" s="2">
        <v>0</v>
      </c>
      <c r="F19816" s="2">
        <v>2.3131170662905498E-3</v>
      </c>
    </row>
    <row r="19817" spans="1:6" x14ac:dyDescent="0.25">
      <c r="A19817" s="1" t="str">
        <f t="shared" si="731"/>
        <v>31380</v>
      </c>
      <c r="B19817" s="1" t="str">
        <f>"61415"</f>
        <v>61415</v>
      </c>
      <c r="C19817" s="2">
        <v>3.2482297148054298E-4</v>
      </c>
      <c r="D19817" s="2">
        <v>0</v>
      </c>
      <c r="E19817" s="2">
        <v>0</v>
      </c>
      <c r="F19817" s="2">
        <v>2.82087447108603E-4</v>
      </c>
    </row>
    <row r="19818" spans="1:6" x14ac:dyDescent="0.25">
      <c r="A19818" s="1" t="str">
        <f t="shared" si="731"/>
        <v>31380</v>
      </c>
      <c r="B19818" s="1" t="str">
        <f>"61438"</f>
        <v>61438</v>
      </c>
      <c r="C19818" s="2">
        <v>2.35171831351913E-2</v>
      </c>
      <c r="D19818" s="2">
        <v>4.6911649726348696E-3</v>
      </c>
      <c r="E19818" s="2">
        <v>5.6980056980056896E-3</v>
      </c>
      <c r="F19818" s="2">
        <v>2.11001410437235E-2</v>
      </c>
    </row>
    <row r="19819" spans="1:6" x14ac:dyDescent="0.25">
      <c r="A19819" s="1" t="str">
        <f t="shared" ref="A19819:A19857" si="732">"31420"</f>
        <v>31420</v>
      </c>
      <c r="B19819" s="1" t="str">
        <f>"30233"</f>
        <v>30233</v>
      </c>
      <c r="C19819" s="2">
        <v>8.4935181046043792E-3</v>
      </c>
      <c r="D19819" s="2">
        <v>2.8670721112076399E-3</v>
      </c>
      <c r="E19819" s="2">
        <v>2.7386541471048501E-3</v>
      </c>
      <c r="F19819" s="2">
        <v>7.90425910546921E-3</v>
      </c>
    </row>
    <row r="19820" spans="1:6" x14ac:dyDescent="0.25">
      <c r="A19820" s="1" t="str">
        <f t="shared" si="732"/>
        <v>31420</v>
      </c>
      <c r="B19820" s="1" t="str">
        <f>"31052"</f>
        <v>31052</v>
      </c>
      <c r="C19820" s="2">
        <v>4.1424526896140602E-2</v>
      </c>
      <c r="D19820" s="2">
        <v>1.3987836663770599E-2</v>
      </c>
      <c r="E19820" s="2">
        <v>2.7386541471048501E-3</v>
      </c>
      <c r="F19820" s="2">
        <v>3.8349744928223899E-2</v>
      </c>
    </row>
    <row r="19821" spans="1:6" x14ac:dyDescent="0.25">
      <c r="A19821" s="1" t="str">
        <f t="shared" si="732"/>
        <v>31420</v>
      </c>
      <c r="B19821" s="1" t="str">
        <f>"31020"</f>
        <v>31020</v>
      </c>
      <c r="C19821" s="2">
        <v>9.4124074901902298E-3</v>
      </c>
      <c r="D19821" s="2">
        <v>4.6915725456125098E-3</v>
      </c>
      <c r="E19821" s="2">
        <v>0</v>
      </c>
      <c r="F19821" s="2">
        <v>8.8311187566733809E-3</v>
      </c>
    </row>
    <row r="19822" spans="1:6" x14ac:dyDescent="0.25">
      <c r="A19822" s="1" t="str">
        <f t="shared" si="732"/>
        <v>31420</v>
      </c>
      <c r="B19822" s="1" t="str">
        <f>"31029"</f>
        <v>31029</v>
      </c>
      <c r="C19822" s="2">
        <v>5.8850312091259703E-2</v>
      </c>
      <c r="D19822" s="2">
        <v>5.4821894005212798E-2</v>
      </c>
      <c r="E19822" s="2">
        <v>4.6165884194053201E-2</v>
      </c>
      <c r="F19822" s="2">
        <v>5.8266105113299299E-2</v>
      </c>
    </row>
    <row r="19823" spans="1:6" x14ac:dyDescent="0.25">
      <c r="A19823" s="1" t="str">
        <f t="shared" si="732"/>
        <v>31420</v>
      </c>
      <c r="B19823" s="1" t="str">
        <f>"31066"</f>
        <v>31066</v>
      </c>
      <c r="C19823" s="2">
        <v>4.2881504660673099E-3</v>
      </c>
      <c r="D19823" s="2">
        <v>1.47697654213727E-3</v>
      </c>
      <c r="E19823" s="2">
        <v>0</v>
      </c>
      <c r="F19823" s="2">
        <v>3.96695930715387E-3</v>
      </c>
    </row>
    <row r="19824" spans="1:6" x14ac:dyDescent="0.25">
      <c r="A19824" s="1" t="str">
        <f t="shared" si="732"/>
        <v>31420</v>
      </c>
      <c r="B19824" s="1" t="str">
        <f>"31050"</f>
        <v>31050</v>
      </c>
      <c r="C19824" s="2">
        <v>2.98846007384228E-3</v>
      </c>
      <c r="D19824" s="2">
        <v>1.3032145960034699E-3</v>
      </c>
      <c r="E19824" s="2">
        <v>3.91236306729264E-4</v>
      </c>
      <c r="F19824" s="2">
        <v>2.79540870803179E-3</v>
      </c>
    </row>
    <row r="19825" spans="1:6" x14ac:dyDescent="0.25">
      <c r="A19825" s="1" t="str">
        <f t="shared" si="732"/>
        <v>31420</v>
      </c>
      <c r="B19825" s="1" t="str">
        <f>"31038"</f>
        <v>31038</v>
      </c>
      <c r="C19825" s="2">
        <v>1.4486994817794899E-3</v>
      </c>
      <c r="D19825" s="2">
        <v>3.4752389226759301E-4</v>
      </c>
      <c r="E19825" s="2">
        <v>0</v>
      </c>
      <c r="F19825" s="2">
        <v>1.3272630205243799E-3</v>
      </c>
    </row>
    <row r="19826" spans="1:6" x14ac:dyDescent="0.25">
      <c r="A19826" s="1" t="str">
        <f t="shared" si="732"/>
        <v>31420</v>
      </c>
      <c r="B19826" s="1" t="str">
        <f>"31208"</f>
        <v>31208</v>
      </c>
      <c r="C19826" s="2">
        <v>0</v>
      </c>
      <c r="D19826" s="2">
        <v>8.6880973066898306E-5</v>
      </c>
      <c r="E19826" s="2">
        <v>0</v>
      </c>
      <c r="F19826" s="2">
        <v>7.4148772096334E-6</v>
      </c>
    </row>
    <row r="19827" spans="1:6" x14ac:dyDescent="0.25">
      <c r="A19827" s="1" t="str">
        <f t="shared" si="732"/>
        <v>31420</v>
      </c>
      <c r="B19827" s="1" t="str">
        <f>"31014"</f>
        <v>31014</v>
      </c>
      <c r="C19827" s="2">
        <v>1.2748555439659501E-3</v>
      </c>
      <c r="D19827" s="2">
        <v>0</v>
      </c>
      <c r="E19827" s="2">
        <v>0</v>
      </c>
      <c r="F19827" s="2">
        <v>1.1418910902835401E-3</v>
      </c>
    </row>
    <row r="19828" spans="1:6" x14ac:dyDescent="0.25">
      <c r="A19828" s="1" t="str">
        <f t="shared" si="732"/>
        <v>31420</v>
      </c>
      <c r="B19828" s="1" t="str">
        <f>"31211"</f>
        <v>31211</v>
      </c>
      <c r="C19828" s="2">
        <v>6.9852149870030897E-2</v>
      </c>
      <c r="D19828" s="2">
        <v>4.88271068635968E-2</v>
      </c>
      <c r="E19828" s="2">
        <v>7.5508607198747996E-2</v>
      </c>
      <c r="F19828" s="2">
        <v>6.8164966188159898E-2</v>
      </c>
    </row>
    <row r="19829" spans="1:6" x14ac:dyDescent="0.25">
      <c r="A19829" s="1" t="str">
        <f t="shared" si="732"/>
        <v>31420</v>
      </c>
      <c r="B19829" s="1" t="str">
        <f>"31017"</f>
        <v>31017</v>
      </c>
      <c r="C19829" s="2">
        <v>4.8179605622609596E-3</v>
      </c>
      <c r="D19829" s="2">
        <v>1.7376194613379599E-3</v>
      </c>
      <c r="E19829" s="2">
        <v>3.91236306729264E-4</v>
      </c>
      <c r="F19829" s="2">
        <v>4.4711709574089403E-3</v>
      </c>
    </row>
    <row r="19830" spans="1:6" x14ac:dyDescent="0.25">
      <c r="A19830" s="1" t="str">
        <f t="shared" si="732"/>
        <v>31420</v>
      </c>
      <c r="B19830" s="1" t="str">
        <f>"31016"</f>
        <v>31016</v>
      </c>
      <c r="C19830" s="2">
        <v>3.8742363284160301E-3</v>
      </c>
      <c r="D19830" s="2">
        <v>1.3032145960034699E-3</v>
      </c>
      <c r="E19830" s="2">
        <v>3.91236306729264E-4</v>
      </c>
      <c r="F19830" s="2">
        <v>3.5888005694625601E-3</v>
      </c>
    </row>
    <row r="19831" spans="1:6" x14ac:dyDescent="0.25">
      <c r="A19831" s="1" t="str">
        <f t="shared" si="732"/>
        <v>31420</v>
      </c>
      <c r="B19831" s="1" t="str">
        <f>"31221"</f>
        <v>31221</v>
      </c>
      <c r="C19831" s="2">
        <v>1.3733671087269601E-2</v>
      </c>
      <c r="D19831" s="2">
        <v>3.2232841007819202E-2</v>
      </c>
      <c r="E19831" s="2">
        <v>7.8247261345852799E-4</v>
      </c>
      <c r="F19831" s="2">
        <v>1.5067030489975E-2</v>
      </c>
    </row>
    <row r="19832" spans="1:6" x14ac:dyDescent="0.25">
      <c r="A19832" s="1" t="str">
        <f t="shared" si="732"/>
        <v>31420</v>
      </c>
      <c r="B19832" s="1" t="str">
        <f>"31097"</f>
        <v>31097</v>
      </c>
      <c r="C19832" s="2">
        <v>4.9669696518154203E-5</v>
      </c>
      <c r="D19832" s="2">
        <v>0</v>
      </c>
      <c r="E19832" s="2">
        <v>0</v>
      </c>
      <c r="F19832" s="2">
        <v>4.44892632578004E-5</v>
      </c>
    </row>
    <row r="19833" spans="1:6" x14ac:dyDescent="0.25">
      <c r="A19833" s="1" t="str">
        <f t="shared" si="732"/>
        <v>31420</v>
      </c>
      <c r="B19833" s="1" t="str">
        <f>"31220"</f>
        <v>31220</v>
      </c>
      <c r="C19833" s="2">
        <v>5.6176426762032397E-2</v>
      </c>
      <c r="D19833" s="2">
        <v>1.7984361424847901E-2</v>
      </c>
      <c r="E19833" s="2">
        <v>1.9953051643192402E-2</v>
      </c>
      <c r="F19833" s="2">
        <v>5.2230395064657702E-2</v>
      </c>
    </row>
    <row r="19834" spans="1:6" x14ac:dyDescent="0.25">
      <c r="A19834" s="1" t="str">
        <f t="shared" si="732"/>
        <v>31420</v>
      </c>
      <c r="B19834" s="1" t="str">
        <f>"31210"</f>
        <v>31210</v>
      </c>
      <c r="C19834" s="2">
        <v>0.14030033609827899</v>
      </c>
      <c r="D19834" s="2">
        <v>0.15464813205907901</v>
      </c>
      <c r="E19834" s="2">
        <v>0.173317683881064</v>
      </c>
      <c r="F19834" s="2">
        <v>0.142150610985882</v>
      </c>
    </row>
    <row r="19835" spans="1:6" x14ac:dyDescent="0.25">
      <c r="A19835" s="1" t="str">
        <f t="shared" si="732"/>
        <v>31420</v>
      </c>
      <c r="B19835" s="1" t="str">
        <f>"31008"</f>
        <v>31008</v>
      </c>
      <c r="C19835" s="2">
        <v>8.7501448699481704E-3</v>
      </c>
      <c r="D19835" s="2">
        <v>8.6880973066898301E-4</v>
      </c>
      <c r="E19835" s="2">
        <v>0</v>
      </c>
      <c r="F19835" s="2">
        <v>7.9116739826788404E-3</v>
      </c>
    </row>
    <row r="19836" spans="1:6" x14ac:dyDescent="0.25">
      <c r="A19836" s="1" t="str">
        <f t="shared" si="732"/>
        <v>31420</v>
      </c>
      <c r="B19836" s="1" t="str">
        <f>"31030"</f>
        <v>31030</v>
      </c>
      <c r="C19836" s="2">
        <v>1.01905660689746E-2</v>
      </c>
      <c r="D19836" s="2">
        <v>2.1720243266724502E-3</v>
      </c>
      <c r="E19836" s="2">
        <v>3.91236306729264E-4</v>
      </c>
      <c r="F19836" s="2">
        <v>9.3205006525091897E-3</v>
      </c>
    </row>
    <row r="19837" spans="1:6" x14ac:dyDescent="0.25">
      <c r="A19837" s="1" t="str">
        <f t="shared" si="732"/>
        <v>31420</v>
      </c>
      <c r="B19837" s="1" t="str">
        <f>"31207"</f>
        <v>31207</v>
      </c>
      <c r="C19837" s="2">
        <v>0</v>
      </c>
      <c r="D19837" s="2">
        <v>1.12945264986967E-3</v>
      </c>
      <c r="E19837" s="2">
        <v>1.5649452269170499E-3</v>
      </c>
      <c r="F19837" s="2">
        <v>1.2605291256376699E-4</v>
      </c>
    </row>
    <row r="19838" spans="1:6" x14ac:dyDescent="0.25">
      <c r="A19838" s="1" t="str">
        <f t="shared" si="732"/>
        <v>31420</v>
      </c>
      <c r="B19838" s="1" t="str">
        <f>"31201"</f>
        <v>31201</v>
      </c>
      <c r="C19838" s="2">
        <v>4.6946141492408798E-2</v>
      </c>
      <c r="D19838" s="2">
        <v>0.17002606429191999</v>
      </c>
      <c r="E19838" s="2">
        <v>0.240219092331768</v>
      </c>
      <c r="F19838" s="2">
        <v>6.1113417961798498E-2</v>
      </c>
    </row>
    <row r="19839" spans="1:6" x14ac:dyDescent="0.25">
      <c r="A19839" s="1" t="str">
        <f t="shared" si="732"/>
        <v>31420</v>
      </c>
      <c r="B19839" s="1" t="str">
        <f>"31046"</f>
        <v>31046</v>
      </c>
      <c r="C19839" s="2">
        <v>1.3179026142816901E-2</v>
      </c>
      <c r="D19839" s="2">
        <v>6.9504778453518597E-3</v>
      </c>
      <c r="E19839" s="2">
        <v>5.8685446009389599E-3</v>
      </c>
      <c r="F19839" s="2">
        <v>1.2508897852651499E-2</v>
      </c>
    </row>
    <row r="19840" spans="1:6" x14ac:dyDescent="0.25">
      <c r="A19840" s="1" t="str">
        <f t="shared" si="732"/>
        <v>31420</v>
      </c>
      <c r="B19840" s="1" t="str">
        <f>"31031"</f>
        <v>31031</v>
      </c>
      <c r="C19840" s="2">
        <v>2.23513634331694E-3</v>
      </c>
      <c r="D19840" s="2">
        <v>4.3440486533449102E-4</v>
      </c>
      <c r="E19840" s="2">
        <v>0</v>
      </c>
      <c r="F19840" s="2">
        <v>2.0390912326491801E-3</v>
      </c>
    </row>
    <row r="19841" spans="1:6" x14ac:dyDescent="0.25">
      <c r="A19841" s="1" t="str">
        <f t="shared" si="732"/>
        <v>31420</v>
      </c>
      <c r="B19841" s="1" t="str">
        <f>"31217"</f>
        <v>31217</v>
      </c>
      <c r="C19841" s="2">
        <v>7.8718190698521401E-2</v>
      </c>
      <c r="D19841" s="2">
        <v>4.0312771503040801E-2</v>
      </c>
      <c r="E19841" s="2">
        <v>4.5774647887323897E-2</v>
      </c>
      <c r="F19841" s="2">
        <v>7.4816111045201E-2</v>
      </c>
    </row>
    <row r="19842" spans="1:6" x14ac:dyDescent="0.25">
      <c r="A19842" s="1" t="str">
        <f t="shared" si="732"/>
        <v>31420</v>
      </c>
      <c r="B19842" s="1" t="str">
        <f>"31209"</f>
        <v>31209</v>
      </c>
      <c r="C19842" s="2">
        <v>4.5530555141641404E-3</v>
      </c>
      <c r="D19842" s="2">
        <v>1.6507384882710599E-2</v>
      </c>
      <c r="E19842" s="2">
        <v>3.91236306729264E-4</v>
      </c>
      <c r="F19842" s="2">
        <v>5.4944240123383503E-3</v>
      </c>
    </row>
    <row r="19843" spans="1:6" x14ac:dyDescent="0.25">
      <c r="A19843" s="1" t="str">
        <f t="shared" si="732"/>
        <v>31420</v>
      </c>
      <c r="B19843" s="1" t="str">
        <f>"31205"</f>
        <v>31205</v>
      </c>
      <c r="C19843" s="2">
        <v>9.7518170830642806E-3</v>
      </c>
      <c r="D19843" s="2">
        <v>1.58992180712423E-2</v>
      </c>
      <c r="E19843" s="2">
        <v>7.8247261345852799E-4</v>
      </c>
      <c r="F19843" s="2">
        <v>1.01064776367303E-2</v>
      </c>
    </row>
    <row r="19844" spans="1:6" x14ac:dyDescent="0.25">
      <c r="A19844" s="1" t="str">
        <f t="shared" si="732"/>
        <v>31420</v>
      </c>
      <c r="B19844" s="1" t="str">
        <f>"31061"</f>
        <v>31061</v>
      </c>
      <c r="C19844" s="2">
        <v>7.45045447772314E-5</v>
      </c>
      <c r="D19844" s="2">
        <v>0</v>
      </c>
      <c r="E19844" s="2">
        <v>3.91236306729264E-4</v>
      </c>
      <c r="F19844" s="2">
        <v>7.4148772096334006E-5</v>
      </c>
    </row>
    <row r="19845" spans="1:6" x14ac:dyDescent="0.25">
      <c r="A19845" s="1" t="str">
        <f t="shared" si="732"/>
        <v>31420</v>
      </c>
      <c r="B19845" s="1" t="str">
        <f>"31078"</f>
        <v>31078</v>
      </c>
      <c r="C19845" s="2">
        <v>1.3576383714962101E-2</v>
      </c>
      <c r="D19845" s="2">
        <v>1.20764552562988E-2</v>
      </c>
      <c r="E19845" s="2">
        <v>2.34741784037558E-3</v>
      </c>
      <c r="F19845" s="2">
        <v>1.32355558191956E-2</v>
      </c>
    </row>
    <row r="19846" spans="1:6" x14ac:dyDescent="0.25">
      <c r="A19846" s="1" t="str">
        <f t="shared" si="732"/>
        <v>31420</v>
      </c>
      <c r="B19846" s="1" t="str">
        <f>"31044"</f>
        <v>31044</v>
      </c>
      <c r="C19846" s="2">
        <v>1.29720690739912E-2</v>
      </c>
      <c r="D19846" s="2">
        <v>9.7306689834926099E-3</v>
      </c>
      <c r="E19846" s="2">
        <v>4.6948356807511703E-3</v>
      </c>
      <c r="F19846" s="2">
        <v>1.253855736149E-2</v>
      </c>
    </row>
    <row r="19847" spans="1:6" x14ac:dyDescent="0.25">
      <c r="A19847" s="1" t="str">
        <f t="shared" si="732"/>
        <v>31420</v>
      </c>
      <c r="B19847" s="1" t="str">
        <f>"31004"</f>
        <v>31004</v>
      </c>
      <c r="C19847" s="2">
        <v>2.7649464395105802E-3</v>
      </c>
      <c r="D19847" s="2">
        <v>9.2093831450912201E-3</v>
      </c>
      <c r="E19847" s="2">
        <v>7.8247261345852799E-4</v>
      </c>
      <c r="F19847" s="2">
        <v>3.2773757266579598E-3</v>
      </c>
    </row>
    <row r="19848" spans="1:6" x14ac:dyDescent="0.25">
      <c r="A19848" s="1" t="str">
        <f t="shared" si="732"/>
        <v>31420</v>
      </c>
      <c r="B19848" s="1" t="str">
        <f>"31216"</f>
        <v>31216</v>
      </c>
      <c r="C19848" s="2">
        <v>6.1035778738058502E-2</v>
      </c>
      <c r="D19848" s="2">
        <v>4.5264986967853998E-2</v>
      </c>
      <c r="E19848" s="2">
        <v>2.66040688575899E-2</v>
      </c>
      <c r="F19848" s="2">
        <v>5.9037252343101101E-2</v>
      </c>
    </row>
    <row r="19849" spans="1:6" x14ac:dyDescent="0.25">
      <c r="A19849" s="1" t="str">
        <f t="shared" si="732"/>
        <v>31420</v>
      </c>
      <c r="B19849" s="1" t="str">
        <f>"31204"</f>
        <v>31204</v>
      </c>
      <c r="C19849" s="2">
        <v>0.13804864318945601</v>
      </c>
      <c r="D19849" s="2">
        <v>0.134317984361424</v>
      </c>
      <c r="E19849" s="2">
        <v>0.232785602503912</v>
      </c>
      <c r="F19849" s="2">
        <v>0.139525744453671</v>
      </c>
    </row>
    <row r="19850" spans="1:6" x14ac:dyDescent="0.25">
      <c r="A19850" s="1" t="str">
        <f t="shared" si="732"/>
        <v>31420</v>
      </c>
      <c r="B19850" s="1" t="str">
        <f>"31295"</f>
        <v>31295</v>
      </c>
      <c r="C19850" s="2">
        <v>0</v>
      </c>
      <c r="D19850" s="2">
        <v>1.7376194613379599E-4</v>
      </c>
      <c r="E19850" s="2">
        <v>0</v>
      </c>
      <c r="F19850" s="2">
        <v>1.48297544192668E-5</v>
      </c>
    </row>
    <row r="19851" spans="1:6" x14ac:dyDescent="0.25">
      <c r="A19851" s="1" t="str">
        <f t="shared" si="732"/>
        <v>31420</v>
      </c>
      <c r="B19851" s="1" t="str">
        <f>"31086"</f>
        <v>31086</v>
      </c>
      <c r="C19851" s="2">
        <v>0</v>
      </c>
      <c r="D19851" s="2">
        <v>8.6880973066898306E-5</v>
      </c>
      <c r="E19851" s="2">
        <v>0</v>
      </c>
      <c r="F19851" s="2">
        <v>7.4148772096334E-6</v>
      </c>
    </row>
    <row r="19852" spans="1:6" x14ac:dyDescent="0.25">
      <c r="A19852" s="1" t="str">
        <f t="shared" si="732"/>
        <v>31420</v>
      </c>
      <c r="B19852" s="1" t="str">
        <f>"30204"</f>
        <v>30204</v>
      </c>
      <c r="C19852" s="2">
        <v>9.9339393036308493E-4</v>
      </c>
      <c r="D19852" s="2">
        <v>8.6880973066898301E-4</v>
      </c>
      <c r="E19852" s="2">
        <v>7.8247261345852799E-4</v>
      </c>
      <c r="F19852" s="2">
        <v>9.7876379167160903E-4</v>
      </c>
    </row>
    <row r="19853" spans="1:6" x14ac:dyDescent="0.25">
      <c r="A19853" s="1" t="str">
        <f t="shared" si="732"/>
        <v>31420</v>
      </c>
      <c r="B19853" s="1" t="str">
        <f>"31032"</f>
        <v>31032</v>
      </c>
      <c r="C19853" s="2">
        <v>5.0058775807546398E-2</v>
      </c>
      <c r="D19853" s="2">
        <v>2.97132927888792E-2</v>
      </c>
      <c r="E19853" s="2">
        <v>1.9561815336463201E-2</v>
      </c>
      <c r="F19853" s="2">
        <v>4.7744394352829497E-2</v>
      </c>
    </row>
    <row r="19854" spans="1:6" x14ac:dyDescent="0.25">
      <c r="A19854" s="1" t="str">
        <f t="shared" si="732"/>
        <v>31420</v>
      </c>
      <c r="B19854" s="1" t="str">
        <f>"31206"</f>
        <v>31206</v>
      </c>
      <c r="C19854" s="2">
        <v>0.11454659845361601</v>
      </c>
      <c r="D19854" s="2">
        <v>0.145786272806255</v>
      </c>
      <c r="E19854" s="2">
        <v>9.3505477308294199E-2</v>
      </c>
      <c r="F19854" s="2">
        <v>0.116813975560564</v>
      </c>
    </row>
    <row r="19855" spans="1:6" x14ac:dyDescent="0.25">
      <c r="A19855" s="1" t="str">
        <f t="shared" si="732"/>
        <v>31420</v>
      </c>
      <c r="B19855" s="1" t="str">
        <f>"31203"</f>
        <v>31203</v>
      </c>
      <c r="C19855" s="2">
        <v>7.7898640705971901E-3</v>
      </c>
      <c r="D19855" s="2">
        <v>1.7723718505647201E-2</v>
      </c>
      <c r="E19855" s="2">
        <v>7.8247261345852799E-4</v>
      </c>
      <c r="F19855" s="2">
        <v>8.50486415944951E-3</v>
      </c>
    </row>
    <row r="19856" spans="1:6" x14ac:dyDescent="0.25">
      <c r="A19856" s="1" t="str">
        <f t="shared" si="732"/>
        <v>31420</v>
      </c>
      <c r="B19856" s="1" t="str">
        <f>"31213"</f>
        <v>31213</v>
      </c>
      <c r="C19856" s="2">
        <v>0</v>
      </c>
      <c r="D19856" s="2">
        <v>3.3014769765421299E-3</v>
      </c>
      <c r="E19856" s="2">
        <v>3.91236306729264E-4</v>
      </c>
      <c r="F19856" s="2">
        <v>2.8918021117570203E-4</v>
      </c>
    </row>
    <row r="19857" spans="1:6" x14ac:dyDescent="0.25">
      <c r="A19857" s="1" t="str">
        <f t="shared" si="732"/>
        <v>31420</v>
      </c>
      <c r="B19857" s="1" t="str">
        <f>"31033"</f>
        <v>31033</v>
      </c>
      <c r="C19857" s="2">
        <v>6.8295832712462097E-3</v>
      </c>
      <c r="D19857" s="2">
        <v>1.12945264986967E-3</v>
      </c>
      <c r="E19857" s="2">
        <v>0</v>
      </c>
      <c r="F19857" s="2">
        <v>6.21366710167279E-3</v>
      </c>
    </row>
    <row r="19858" spans="1:6" x14ac:dyDescent="0.25">
      <c r="A19858" s="1" t="str">
        <f t="shared" ref="A19858:A19876" si="733">"31460"</f>
        <v>31460</v>
      </c>
      <c r="B19858" s="1" t="str">
        <f>"93720"</f>
        <v>93720</v>
      </c>
      <c r="C19858" s="2">
        <v>0</v>
      </c>
      <c r="D19858" s="2">
        <v>2.38322211630123E-4</v>
      </c>
      <c r="E19858" s="2">
        <v>0</v>
      </c>
      <c r="F19858" s="2">
        <v>1.63156091432673E-5</v>
      </c>
    </row>
    <row r="19859" spans="1:6" x14ac:dyDescent="0.25">
      <c r="A19859" s="1" t="str">
        <f t="shared" si="733"/>
        <v>31460</v>
      </c>
      <c r="B19859" s="1" t="str">
        <f>"93614"</f>
        <v>93614</v>
      </c>
      <c r="C19859" s="2">
        <v>9.0352804459535502E-2</v>
      </c>
      <c r="D19859" s="2">
        <v>3.4318398474737798E-2</v>
      </c>
      <c r="E19859" s="2">
        <v>2.1266073194856499E-2</v>
      </c>
      <c r="F19859" s="2">
        <v>8.42374900066893E-2</v>
      </c>
    </row>
    <row r="19860" spans="1:6" x14ac:dyDescent="0.25">
      <c r="A19860" s="1" t="str">
        <f t="shared" si="733"/>
        <v>31460</v>
      </c>
      <c r="B19860" s="1" t="str">
        <f>"93604"</f>
        <v>93604</v>
      </c>
      <c r="C19860" s="2">
        <v>8.6430737384925408E-3</v>
      </c>
      <c r="D19860" s="2">
        <v>1.4299332697807401E-3</v>
      </c>
      <c r="E19860" s="2">
        <v>7.4183976261127504E-3</v>
      </c>
      <c r="F19860" s="2">
        <v>8.1088577442038692E-3</v>
      </c>
    </row>
    <row r="19861" spans="1:6" x14ac:dyDescent="0.25">
      <c r="A19861" s="1" t="str">
        <f t="shared" si="733"/>
        <v>31460</v>
      </c>
      <c r="B19861" s="1" t="str">
        <f>"93653"</f>
        <v>93653</v>
      </c>
      <c r="C19861" s="2">
        <v>7.17229858551377E-3</v>
      </c>
      <c r="D19861" s="2">
        <v>7.14966634890371E-4</v>
      </c>
      <c r="E19861" s="2">
        <v>4.9455984174084997E-4</v>
      </c>
      <c r="F19861" s="2">
        <v>6.50992804816367E-3</v>
      </c>
    </row>
    <row r="19862" spans="1:6" x14ac:dyDescent="0.25">
      <c r="A19862" s="1" t="str">
        <f t="shared" si="733"/>
        <v>31460</v>
      </c>
      <c r="B19862" s="1" t="str">
        <f>"93644"</f>
        <v>93644</v>
      </c>
      <c r="C19862" s="2">
        <v>0.12848401212935501</v>
      </c>
      <c r="D19862" s="2">
        <v>0.23689227836034299</v>
      </c>
      <c r="E19862" s="2">
        <v>0.14391691394658701</v>
      </c>
      <c r="F19862" s="2">
        <v>0.13641480804685799</v>
      </c>
    </row>
    <row r="19863" spans="1:6" x14ac:dyDescent="0.25">
      <c r="A19863" s="1" t="str">
        <f t="shared" si="733"/>
        <v>31460</v>
      </c>
      <c r="B19863" s="1" t="str">
        <f>"93638"</f>
        <v>93638</v>
      </c>
      <c r="C19863" s="2">
        <v>0.24238737675448899</v>
      </c>
      <c r="D19863" s="2">
        <v>0.18088655862726399</v>
      </c>
      <c r="E19863" s="2">
        <v>0.33877349159248199</v>
      </c>
      <c r="F19863" s="2">
        <v>0.24135680605635401</v>
      </c>
    </row>
    <row r="19864" spans="1:6" x14ac:dyDescent="0.25">
      <c r="A19864" s="1" t="str">
        <f t="shared" si="733"/>
        <v>31460</v>
      </c>
      <c r="B19864" s="1" t="str">
        <f>"93622"</f>
        <v>93622</v>
      </c>
      <c r="C19864" s="2">
        <v>3.3954932544077799E-3</v>
      </c>
      <c r="D19864" s="2">
        <v>1.9065776930409901E-3</v>
      </c>
      <c r="E19864" s="2">
        <v>4.9455984174085E-3</v>
      </c>
      <c r="F19864" s="2">
        <v>3.3446998743698001E-3</v>
      </c>
    </row>
    <row r="19865" spans="1:6" x14ac:dyDescent="0.25">
      <c r="A19865" s="1" t="str">
        <f t="shared" si="733"/>
        <v>31460</v>
      </c>
      <c r="B19865" s="1" t="str">
        <f>"93601"</f>
        <v>93601</v>
      </c>
      <c r="C19865" s="2">
        <v>1.30553991974288E-2</v>
      </c>
      <c r="D19865" s="2">
        <v>3.3365109628217299E-3</v>
      </c>
      <c r="E19865" s="2">
        <v>4.9455984174084997E-4</v>
      </c>
      <c r="F19865" s="2">
        <v>1.19756571111582E-2</v>
      </c>
    </row>
    <row r="19866" spans="1:6" x14ac:dyDescent="0.25">
      <c r="A19866" s="1" t="str">
        <f t="shared" si="733"/>
        <v>31460</v>
      </c>
      <c r="B19866" s="1" t="str">
        <f>"93602"</f>
        <v>93602</v>
      </c>
      <c r="C19866" s="2">
        <v>1.08946307628057E-4</v>
      </c>
      <c r="D19866" s="2">
        <v>0</v>
      </c>
      <c r="E19866" s="2">
        <v>0</v>
      </c>
      <c r="F19866" s="2">
        <v>9.7893654859604104E-5</v>
      </c>
    </row>
    <row r="19867" spans="1:6" x14ac:dyDescent="0.25">
      <c r="A19867" s="1" t="str">
        <f t="shared" si="733"/>
        <v>31460</v>
      </c>
      <c r="B19867" s="1" t="str">
        <f>"93636"</f>
        <v>93636</v>
      </c>
      <c r="C19867" s="2">
        <v>0.10771158280827201</v>
      </c>
      <c r="D19867" s="2">
        <v>7.03050524308865E-2</v>
      </c>
      <c r="E19867" s="2">
        <v>4.3026706231454E-2</v>
      </c>
      <c r="F19867" s="2">
        <v>0.10301675613059</v>
      </c>
    </row>
    <row r="19868" spans="1:6" x14ac:dyDescent="0.25">
      <c r="A19868" s="1" t="str">
        <f t="shared" si="733"/>
        <v>31460</v>
      </c>
      <c r="B19868" s="1" t="str">
        <f>"93643"</f>
        <v>93643</v>
      </c>
      <c r="C19868" s="2">
        <v>2.5947378933415598E-2</v>
      </c>
      <c r="D19868" s="2">
        <v>1.3584366062917E-2</v>
      </c>
      <c r="E19868" s="2">
        <v>1.08803165182987E-2</v>
      </c>
      <c r="F19868" s="2">
        <v>2.4603938588047099E-2</v>
      </c>
    </row>
    <row r="19869" spans="1:6" x14ac:dyDescent="0.25">
      <c r="A19869" s="1" t="str">
        <f t="shared" si="733"/>
        <v>31460</v>
      </c>
      <c r="B19869" s="1" t="str">
        <f>"93645"</f>
        <v>93645</v>
      </c>
      <c r="C19869" s="2">
        <v>1.7068254861728901E-3</v>
      </c>
      <c r="D19869" s="2">
        <v>2.38322211630123E-4</v>
      </c>
      <c r="E19869" s="2">
        <v>0</v>
      </c>
      <c r="F19869" s="2">
        <v>1.5499828686103901E-3</v>
      </c>
    </row>
    <row r="19870" spans="1:6" x14ac:dyDescent="0.25">
      <c r="A19870" s="1" t="str">
        <f t="shared" si="733"/>
        <v>31460</v>
      </c>
      <c r="B19870" s="1" t="str">
        <f>"93637"</f>
        <v>93637</v>
      </c>
      <c r="C19870" s="2">
        <v>0.23490639696402901</v>
      </c>
      <c r="D19870" s="2">
        <v>0.28789323164918901</v>
      </c>
      <c r="E19870" s="2">
        <v>0.36053412462908002</v>
      </c>
      <c r="F19870" s="2">
        <v>0.242678370396958</v>
      </c>
    </row>
    <row r="19871" spans="1:6" x14ac:dyDescent="0.25">
      <c r="A19871" s="1" t="str">
        <f t="shared" si="733"/>
        <v>31460</v>
      </c>
      <c r="B19871" s="1" t="str">
        <f>"93610"</f>
        <v>93610</v>
      </c>
      <c r="C19871" s="2">
        <v>0.115737294136872</v>
      </c>
      <c r="D19871" s="2">
        <v>0.102478551000953</v>
      </c>
      <c r="E19871" s="2">
        <v>6.47873392680514E-2</v>
      </c>
      <c r="F19871" s="2">
        <v>0.113148749408559</v>
      </c>
    </row>
    <row r="19872" spans="1:6" x14ac:dyDescent="0.25">
      <c r="A19872" s="1" t="str">
        <f t="shared" si="733"/>
        <v>31460</v>
      </c>
      <c r="B19872" s="1" t="str">
        <f>"93630"</f>
        <v>93630</v>
      </c>
      <c r="C19872" s="2">
        <v>3.6315435876019103E-5</v>
      </c>
      <c r="D19872" s="2">
        <v>0</v>
      </c>
      <c r="E19872" s="2">
        <v>0</v>
      </c>
      <c r="F19872" s="2">
        <v>3.2631218286534701E-5</v>
      </c>
    </row>
    <row r="19873" spans="1:6" x14ac:dyDescent="0.25">
      <c r="A19873" s="1" t="str">
        <f t="shared" si="733"/>
        <v>31460</v>
      </c>
      <c r="B19873" s="1" t="str">
        <f>"93620"</f>
        <v>93620</v>
      </c>
      <c r="C19873" s="2">
        <v>1.2710402556606601E-4</v>
      </c>
      <c r="D19873" s="2">
        <v>2.38322211630123E-4</v>
      </c>
      <c r="E19873" s="2">
        <v>0</v>
      </c>
      <c r="F19873" s="2">
        <v>1.3052487314613799E-4</v>
      </c>
    </row>
    <row r="19874" spans="1:6" x14ac:dyDescent="0.25">
      <c r="A19874" s="1" t="str">
        <f t="shared" si="733"/>
        <v>31460</v>
      </c>
      <c r="B19874" s="1" t="str">
        <f>"93639"</f>
        <v>93639</v>
      </c>
      <c r="C19874" s="2">
        <v>1.35819730176311E-2</v>
      </c>
      <c r="D19874" s="2">
        <v>6.3393708293612905E-2</v>
      </c>
      <c r="E19874" s="2">
        <v>9.8911968348170103E-4</v>
      </c>
      <c r="F19874" s="2">
        <v>1.6576658889559601E-2</v>
      </c>
    </row>
    <row r="19875" spans="1:6" x14ac:dyDescent="0.25">
      <c r="A19875" s="1" t="str">
        <f t="shared" si="733"/>
        <v>31460</v>
      </c>
      <c r="B19875" s="1" t="str">
        <f>"93626"</f>
        <v>93626</v>
      </c>
      <c r="C19875" s="2">
        <v>2.3968187678172601E-3</v>
      </c>
      <c r="D19875" s="2">
        <v>2.38322211630123E-4</v>
      </c>
      <c r="E19875" s="2">
        <v>0</v>
      </c>
      <c r="F19875" s="2">
        <v>2.1699760160545502E-3</v>
      </c>
    </row>
    <row r="19876" spans="1:6" x14ac:dyDescent="0.25">
      <c r="A19876" s="1" t="str">
        <f t="shared" si="733"/>
        <v>31460</v>
      </c>
      <c r="B19876" s="1" t="str">
        <f>"93669"</f>
        <v>93669</v>
      </c>
      <c r="C19876" s="2">
        <v>4.2489059974942303E-3</v>
      </c>
      <c r="D19876" s="2">
        <v>1.9065776930409901E-3</v>
      </c>
      <c r="E19876" s="2">
        <v>2.47279920870425E-3</v>
      </c>
      <c r="F19876" s="2">
        <v>4.0299554583870297E-3</v>
      </c>
    </row>
    <row r="19877" spans="1:6" x14ac:dyDescent="0.25">
      <c r="A19877" s="1" t="str">
        <f t="shared" ref="A19877:A19887" si="734">"31500"</f>
        <v>31500</v>
      </c>
      <c r="B19877" s="1" t="str">
        <f>"47147"</f>
        <v>47147</v>
      </c>
      <c r="C19877" s="2">
        <v>3.8537829413431502E-3</v>
      </c>
      <c r="D19877" s="2">
        <v>1.04968509447165E-2</v>
      </c>
      <c r="E19877" s="2">
        <v>1.02669404517453E-2</v>
      </c>
      <c r="F19877" s="2">
        <v>4.4987475077961202E-3</v>
      </c>
    </row>
    <row r="19878" spans="1:6" x14ac:dyDescent="0.25">
      <c r="A19878" s="1" t="str">
        <f t="shared" si="734"/>
        <v>31500</v>
      </c>
      <c r="B19878" s="1" t="str">
        <f>"47231"</f>
        <v>47231</v>
      </c>
      <c r="C19878" s="2">
        <v>1.7908756021535799E-2</v>
      </c>
      <c r="D19878" s="2">
        <v>6.2981105668299502E-3</v>
      </c>
      <c r="E19878" s="2">
        <v>2.05338809034907E-3</v>
      </c>
      <c r="F19878" s="2">
        <v>1.66658146311538E-2</v>
      </c>
    </row>
    <row r="19879" spans="1:6" x14ac:dyDescent="0.25">
      <c r="A19879" s="1" t="str">
        <f t="shared" si="734"/>
        <v>31500</v>
      </c>
      <c r="B19879" s="1" t="str">
        <f>"47170"</f>
        <v>47170</v>
      </c>
      <c r="C19879" s="2">
        <v>3.9671294984414802E-4</v>
      </c>
      <c r="D19879" s="2">
        <v>0</v>
      </c>
      <c r="E19879" s="2">
        <v>0</v>
      </c>
      <c r="F19879" s="2">
        <v>3.57854915392873E-4</v>
      </c>
    </row>
    <row r="19880" spans="1:6" x14ac:dyDescent="0.25">
      <c r="A19880" s="1" t="str">
        <f t="shared" si="734"/>
        <v>31500</v>
      </c>
      <c r="B19880" s="1" t="str">
        <f>"47250"</f>
        <v>47250</v>
      </c>
      <c r="C19880" s="2">
        <v>0.63882119580617702</v>
      </c>
      <c r="D19880" s="2">
        <v>0.89923023093071996</v>
      </c>
      <c r="E19880" s="2">
        <v>0.84188911704312097</v>
      </c>
      <c r="F19880" s="2">
        <v>0.66290066969991301</v>
      </c>
    </row>
    <row r="19881" spans="1:6" x14ac:dyDescent="0.25">
      <c r="A19881" s="1" t="str">
        <f t="shared" si="734"/>
        <v>31500</v>
      </c>
      <c r="B19881" s="1" t="str">
        <f>"47243"</f>
        <v>47243</v>
      </c>
      <c r="C19881" s="2">
        <v>0.221082459620289</v>
      </c>
      <c r="D19881" s="2">
        <v>6.0881735479356103E-2</v>
      </c>
      <c r="E19881" s="2">
        <v>0.10061601642710399</v>
      </c>
      <c r="F19881" s="2">
        <v>0.206380041920147</v>
      </c>
    </row>
    <row r="19882" spans="1:6" x14ac:dyDescent="0.25">
      <c r="A19882" s="1" t="str">
        <f t="shared" si="734"/>
        <v>31500</v>
      </c>
      <c r="B19882" s="1" t="str">
        <f>"47227"</f>
        <v>47227</v>
      </c>
      <c r="C19882" s="2">
        <v>7.1975063757438304E-3</v>
      </c>
      <c r="D19882" s="2">
        <v>6.9979006298110497E-4</v>
      </c>
      <c r="E19882" s="2">
        <v>0</v>
      </c>
      <c r="F19882" s="2">
        <v>6.5436327386125398E-3</v>
      </c>
    </row>
    <row r="19883" spans="1:6" x14ac:dyDescent="0.25">
      <c r="A19883" s="1" t="str">
        <f t="shared" si="734"/>
        <v>31500</v>
      </c>
      <c r="B19883" s="1" t="str">
        <f>"47270"</f>
        <v>47270</v>
      </c>
      <c r="C19883" s="2">
        <v>1.3601586851799299E-3</v>
      </c>
      <c r="D19883" s="2">
        <v>0</v>
      </c>
      <c r="E19883" s="2">
        <v>0</v>
      </c>
      <c r="F19883" s="2">
        <v>1.2269311384898499E-3</v>
      </c>
    </row>
    <row r="19884" spans="1:6" x14ac:dyDescent="0.25">
      <c r="A19884" s="1" t="str">
        <f t="shared" si="734"/>
        <v>31500</v>
      </c>
      <c r="B19884" s="1" t="str">
        <f>"47224"</f>
        <v>47224</v>
      </c>
      <c r="C19884" s="2">
        <v>1.2808160952111E-2</v>
      </c>
      <c r="D19884" s="2">
        <v>2.0993701889433099E-3</v>
      </c>
      <c r="E19884" s="2">
        <v>8.2135523613963007E-3</v>
      </c>
      <c r="F19884" s="2">
        <v>1.19114564695056E-2</v>
      </c>
    </row>
    <row r="19885" spans="1:6" x14ac:dyDescent="0.25">
      <c r="A19885" s="1" t="str">
        <f t="shared" si="734"/>
        <v>31500</v>
      </c>
      <c r="B19885" s="1" t="str">
        <f>"47043"</f>
        <v>47043</v>
      </c>
      <c r="C19885" s="2">
        <v>1.3601586851799299E-3</v>
      </c>
      <c r="D19885" s="2">
        <v>0</v>
      </c>
      <c r="E19885" s="2">
        <v>0</v>
      </c>
      <c r="F19885" s="2">
        <v>1.2269311384898499E-3</v>
      </c>
    </row>
    <row r="19886" spans="1:6" x14ac:dyDescent="0.25">
      <c r="A19886" s="1" t="str">
        <f t="shared" si="734"/>
        <v>31500</v>
      </c>
      <c r="B19886" s="1" t="str">
        <f>"47230"</f>
        <v>47230</v>
      </c>
      <c r="C19886" s="2">
        <v>4.2164919240577997E-2</v>
      </c>
      <c r="D19886" s="2">
        <v>6.2981105668299502E-3</v>
      </c>
      <c r="E19886" s="2">
        <v>2.05338809034907E-3</v>
      </c>
      <c r="F19886" s="2">
        <v>3.8546086600889498E-2</v>
      </c>
    </row>
    <row r="19887" spans="1:6" x14ac:dyDescent="0.25">
      <c r="A19887" s="1" t="str">
        <f t="shared" si="734"/>
        <v>31500</v>
      </c>
      <c r="B19887" s="1" t="str">
        <f>"47138"</f>
        <v>47138</v>
      </c>
      <c r="C19887" s="2">
        <v>5.3046188722017502E-2</v>
      </c>
      <c r="D19887" s="2">
        <v>1.39958012596221E-2</v>
      </c>
      <c r="E19887" s="2">
        <v>3.4907597535934198E-2</v>
      </c>
      <c r="F19887" s="2">
        <v>4.9741833239609401E-2</v>
      </c>
    </row>
    <row r="19888" spans="1:6" x14ac:dyDescent="0.25">
      <c r="A19888" s="1" t="str">
        <f t="shared" ref="A19888:A19919" si="735">"31540"</f>
        <v>31540</v>
      </c>
      <c r="B19888" s="1" t="str">
        <f>"53704"</f>
        <v>53704</v>
      </c>
      <c r="C19888" s="2">
        <v>7.3536222934115505E-2</v>
      </c>
      <c r="D19888" s="2">
        <v>6.9824982716588394E-2</v>
      </c>
      <c r="E19888" s="2">
        <v>0.110486037200344</v>
      </c>
      <c r="F19888" s="2">
        <v>7.5287192632678204E-2</v>
      </c>
    </row>
    <row r="19889" spans="1:6" x14ac:dyDescent="0.25">
      <c r="A19889" s="1" t="str">
        <f t="shared" si="735"/>
        <v>31540</v>
      </c>
      <c r="B19889" s="1" t="str">
        <f>"53714"</f>
        <v>53714</v>
      </c>
      <c r="C19889" s="2">
        <v>2.4653595275772801E-2</v>
      </c>
      <c r="D19889" s="2">
        <v>1.8302223192519E-2</v>
      </c>
      <c r="E19889" s="2">
        <v>2.6101059246870398E-2</v>
      </c>
      <c r="F19889" s="2">
        <v>2.42459273655346E-2</v>
      </c>
    </row>
    <row r="19890" spans="1:6" x14ac:dyDescent="0.25">
      <c r="A19890" s="1" t="str">
        <f t="shared" si="735"/>
        <v>31540</v>
      </c>
      <c r="B19890" s="1" t="str">
        <f>"53960"</f>
        <v>53960</v>
      </c>
      <c r="C19890" s="2">
        <v>4.9725320673639703E-3</v>
      </c>
      <c r="D19890" s="2">
        <v>2.0740093876214301E-3</v>
      </c>
      <c r="E19890" s="2">
        <v>2.2806750798236202E-3</v>
      </c>
      <c r="F19890" s="2">
        <v>4.6017837496718896E-3</v>
      </c>
    </row>
    <row r="19891" spans="1:6" x14ac:dyDescent="0.25">
      <c r="A19891" s="1" t="str">
        <f t="shared" si="735"/>
        <v>31540</v>
      </c>
      <c r="B19891" s="1" t="str">
        <f>"53706"</f>
        <v>53706</v>
      </c>
      <c r="C19891" s="2">
        <v>2.5731084436553501E-5</v>
      </c>
      <c r="D19891" s="2">
        <v>4.5118800713168103E-3</v>
      </c>
      <c r="E19891" s="2">
        <v>1.0136333688105E-4</v>
      </c>
      <c r="F19891" s="2">
        <v>3.7417416411167099E-4</v>
      </c>
    </row>
    <row r="19892" spans="1:6" x14ac:dyDescent="0.25">
      <c r="A19892" s="1" t="str">
        <f t="shared" si="735"/>
        <v>31540</v>
      </c>
      <c r="B19892" s="1" t="str">
        <f>"53957"</f>
        <v>53957</v>
      </c>
      <c r="C19892" s="2">
        <v>0</v>
      </c>
      <c r="D19892" s="2">
        <v>3.6386129607393598E-5</v>
      </c>
      <c r="E19892" s="2">
        <v>0</v>
      </c>
      <c r="F19892" s="2">
        <v>2.7923445082960499E-6</v>
      </c>
    </row>
    <row r="19893" spans="1:6" x14ac:dyDescent="0.25">
      <c r="A19893" s="1" t="str">
        <f t="shared" si="735"/>
        <v>31540</v>
      </c>
      <c r="B19893" s="1" t="str">
        <f>"53589"</f>
        <v>53589</v>
      </c>
      <c r="C19893" s="2">
        <v>3.0433440117333701E-2</v>
      </c>
      <c r="D19893" s="2">
        <v>2.84175672233744E-2</v>
      </c>
      <c r="E19893" s="2">
        <v>1.5457908874360099E-2</v>
      </c>
      <c r="F19893" s="2">
        <v>2.9453649873506699E-2</v>
      </c>
    </row>
    <row r="19894" spans="1:6" x14ac:dyDescent="0.25">
      <c r="A19894" s="1" t="str">
        <f t="shared" si="735"/>
        <v>31540</v>
      </c>
      <c r="B19894" s="1" t="str">
        <f>"53593"</f>
        <v>53593</v>
      </c>
      <c r="C19894" s="2">
        <v>3.9272067621289798E-2</v>
      </c>
      <c r="D19894" s="2">
        <v>2.7325983335152602E-2</v>
      </c>
      <c r="E19894" s="2">
        <v>1.6522223911611102E-2</v>
      </c>
      <c r="F19894" s="2">
        <v>3.7101881481729597E-2</v>
      </c>
    </row>
    <row r="19895" spans="1:6" x14ac:dyDescent="0.25">
      <c r="A19895" s="1" t="str">
        <f t="shared" si="735"/>
        <v>31540</v>
      </c>
      <c r="B19895" s="1" t="str">
        <f>"53515"</f>
        <v>53515</v>
      </c>
      <c r="C19895" s="2">
        <v>3.8210660388281999E-3</v>
      </c>
      <c r="D19895" s="2">
        <v>1.7101480915474999E-3</v>
      </c>
      <c r="E19895" s="2">
        <v>1.2670417110131199E-3</v>
      </c>
      <c r="F19895" s="2">
        <v>3.5183540804530201E-3</v>
      </c>
    </row>
    <row r="19896" spans="1:6" x14ac:dyDescent="0.25">
      <c r="A19896" s="1" t="str">
        <f t="shared" si="735"/>
        <v>31540</v>
      </c>
      <c r="B19896" s="1" t="str">
        <f>"53719"</f>
        <v>53719</v>
      </c>
      <c r="C19896" s="2">
        <v>4.7515663797650702E-2</v>
      </c>
      <c r="D19896" s="2">
        <v>7.1062111123239804E-2</v>
      </c>
      <c r="E19896" s="2">
        <v>7.0700927474532396E-2</v>
      </c>
      <c r="F19896" s="2">
        <v>5.0600074834832802E-2</v>
      </c>
    </row>
    <row r="19897" spans="1:6" x14ac:dyDescent="0.25">
      <c r="A19897" s="1" t="str">
        <f t="shared" si="735"/>
        <v>31540</v>
      </c>
      <c r="B19897" s="1" t="str">
        <f>"53932"</f>
        <v>53932</v>
      </c>
      <c r="C19897" s="2">
        <v>4.2584944742496099E-3</v>
      </c>
      <c r="D19897" s="2">
        <v>2.0012371284066498E-3</v>
      </c>
      <c r="E19897" s="2">
        <v>8.6158836348892596E-4</v>
      </c>
      <c r="F19897" s="2">
        <v>3.89811293358129E-3</v>
      </c>
    </row>
    <row r="19898" spans="1:6" x14ac:dyDescent="0.25">
      <c r="A19898" s="1" t="str">
        <f t="shared" si="735"/>
        <v>31540</v>
      </c>
      <c r="B19898" s="1" t="str">
        <f>"53923"</f>
        <v>53923</v>
      </c>
      <c r="C19898" s="2">
        <v>2.47983326257285E-3</v>
      </c>
      <c r="D19898" s="2">
        <v>1.0551977586144099E-3</v>
      </c>
      <c r="E19898" s="2">
        <v>1.36840504789417E-3</v>
      </c>
      <c r="F19898" s="2">
        <v>2.3092689083608299E-3</v>
      </c>
    </row>
    <row r="19899" spans="1:6" x14ac:dyDescent="0.25">
      <c r="A19899" s="1" t="str">
        <f t="shared" si="735"/>
        <v>31540</v>
      </c>
      <c r="B19899" s="1" t="str">
        <f>"53594"</f>
        <v>53594</v>
      </c>
      <c r="C19899" s="2">
        <v>3.0877301323864199E-4</v>
      </c>
      <c r="D19899" s="2">
        <v>3.6386129607393598E-5</v>
      </c>
      <c r="E19899" s="2">
        <v>0</v>
      </c>
      <c r="F19899" s="2">
        <v>2.7085741730471699E-4</v>
      </c>
    </row>
    <row r="19900" spans="1:6" x14ac:dyDescent="0.25">
      <c r="A19900" s="1" t="str">
        <f t="shared" si="735"/>
        <v>31540</v>
      </c>
      <c r="B19900" s="1" t="str">
        <f>"53598"</f>
        <v>53598</v>
      </c>
      <c r="C19900" s="2">
        <v>5.0272106217916501E-3</v>
      </c>
      <c r="D19900" s="2">
        <v>4.0388603864206897E-3</v>
      </c>
      <c r="E19900" s="2">
        <v>4.9668035071714503E-3</v>
      </c>
      <c r="F19900" s="2">
        <v>4.94803446870061E-3</v>
      </c>
    </row>
    <row r="19901" spans="1:6" x14ac:dyDescent="0.25">
      <c r="A19901" s="1" t="str">
        <f t="shared" si="735"/>
        <v>31540</v>
      </c>
      <c r="B19901" s="1" t="str">
        <f>"53565"</f>
        <v>53565</v>
      </c>
      <c r="C19901" s="2">
        <v>6.6804327968402197E-3</v>
      </c>
      <c r="D19901" s="2">
        <v>7.89579012480442E-3</v>
      </c>
      <c r="E19901" s="2">
        <v>5.1695301809335497E-3</v>
      </c>
      <c r="F19901" s="2">
        <v>6.6904574418773398E-3</v>
      </c>
    </row>
    <row r="19902" spans="1:6" x14ac:dyDescent="0.25">
      <c r="A19902" s="1" t="str">
        <f t="shared" si="735"/>
        <v>31540</v>
      </c>
      <c r="B19902" s="1" t="str">
        <f>"53590"</f>
        <v>53590</v>
      </c>
      <c r="C19902" s="2">
        <v>5.9175061432963999E-2</v>
      </c>
      <c r="D19902" s="2">
        <v>5.2687115671506003E-2</v>
      </c>
      <c r="E19902" s="2">
        <v>4.0089199736455298E-2</v>
      </c>
      <c r="F19902" s="2">
        <v>5.7625613617705601E-2</v>
      </c>
    </row>
    <row r="19903" spans="1:6" x14ac:dyDescent="0.25">
      <c r="A19903" s="1" t="str">
        <f t="shared" si="735"/>
        <v>31540</v>
      </c>
      <c r="B19903" s="1" t="str">
        <f>"53554"</f>
        <v>53554</v>
      </c>
      <c r="C19903" s="2">
        <v>1.92983133274151E-4</v>
      </c>
      <c r="D19903" s="2">
        <v>2.5470290725175499E-4</v>
      </c>
      <c r="E19903" s="2">
        <v>0</v>
      </c>
      <c r="F19903" s="2">
        <v>1.8708708205583501E-4</v>
      </c>
    </row>
    <row r="19904" spans="1:6" x14ac:dyDescent="0.25">
      <c r="A19904" s="1" t="str">
        <f t="shared" si="735"/>
        <v>31540</v>
      </c>
      <c r="B19904" s="1" t="str">
        <f>"53531"</f>
        <v>53531</v>
      </c>
      <c r="C19904" s="2">
        <v>6.0146409870443897E-3</v>
      </c>
      <c r="D19904" s="2">
        <v>2.80173197976931E-3</v>
      </c>
      <c r="E19904" s="2">
        <v>1.6724950585373199E-3</v>
      </c>
      <c r="F19904" s="2">
        <v>5.5288421264261802E-3</v>
      </c>
    </row>
    <row r="19905" spans="1:6" x14ac:dyDescent="0.25">
      <c r="A19905" s="1" t="str">
        <f t="shared" si="735"/>
        <v>31540</v>
      </c>
      <c r="B19905" s="1" t="str">
        <f>"53574"</f>
        <v>53574</v>
      </c>
      <c r="C19905" s="2">
        <v>5.1944626706292504E-3</v>
      </c>
      <c r="D19905" s="2">
        <v>2.69257359094713E-3</v>
      </c>
      <c r="E19905" s="2">
        <v>1.8752217322994199E-3</v>
      </c>
      <c r="F19905" s="2">
        <v>4.81958662131899E-3</v>
      </c>
    </row>
    <row r="19906" spans="1:6" x14ac:dyDescent="0.25">
      <c r="A19906" s="1" t="str">
        <f t="shared" si="735"/>
        <v>31540</v>
      </c>
      <c r="B19906" s="1" t="str">
        <f>"53588"</f>
        <v>53588</v>
      </c>
      <c r="C19906" s="2">
        <v>9.4240096748877402E-4</v>
      </c>
      <c r="D19906" s="2">
        <v>4.7301968489611701E-4</v>
      </c>
      <c r="E19906" s="2">
        <v>2.0272667376210001E-4</v>
      </c>
      <c r="F19906" s="2">
        <v>8.6562679757177705E-4</v>
      </c>
    </row>
    <row r="19907" spans="1:6" x14ac:dyDescent="0.25">
      <c r="A19907" s="1" t="str">
        <f t="shared" si="735"/>
        <v>31540</v>
      </c>
      <c r="B19907" s="1" t="str">
        <f>"53578"</f>
        <v>53578</v>
      </c>
      <c r="C19907" s="2">
        <v>1.08392193188981E-3</v>
      </c>
      <c r="D19907" s="2">
        <v>1.8193064803696799E-4</v>
      </c>
      <c r="E19907" s="2">
        <v>1.0136333688105E-4</v>
      </c>
      <c r="F19907" s="2">
        <v>9.60566510853843E-4</v>
      </c>
    </row>
    <row r="19908" spans="1:6" x14ac:dyDescent="0.25">
      <c r="A19908" s="1" t="str">
        <f t="shared" si="735"/>
        <v>31540</v>
      </c>
      <c r="B19908" s="1" t="str">
        <f>"53965"</f>
        <v>53965</v>
      </c>
      <c r="C19908" s="2">
        <v>5.5836453227321196E-3</v>
      </c>
      <c r="D19908" s="2">
        <v>1.01517301604628E-2</v>
      </c>
      <c r="E19908" s="2">
        <v>5.2202118493740804E-3</v>
      </c>
      <c r="F19908" s="2">
        <v>5.9141856685710403E-3</v>
      </c>
    </row>
    <row r="19909" spans="1:6" x14ac:dyDescent="0.25">
      <c r="A19909" s="1" t="str">
        <f t="shared" si="735"/>
        <v>31540</v>
      </c>
      <c r="B19909" s="1" t="str">
        <f>"53911"</f>
        <v>53911</v>
      </c>
      <c r="C19909" s="2">
        <v>1.87515277831384E-3</v>
      </c>
      <c r="D19909" s="2">
        <v>2.2559400356584E-3</v>
      </c>
      <c r="E19909" s="2">
        <v>1.0136333688105E-4</v>
      </c>
      <c r="F19909" s="2">
        <v>1.8066468968675399E-3</v>
      </c>
    </row>
    <row r="19910" spans="1:6" x14ac:dyDescent="0.25">
      <c r="A19910" s="1" t="str">
        <f t="shared" si="735"/>
        <v>31540</v>
      </c>
      <c r="B19910" s="1" t="str">
        <f>"53595"</f>
        <v>53595</v>
      </c>
      <c r="C19910" s="2">
        <v>0</v>
      </c>
      <c r="D19910" s="2">
        <v>7.2772259214787304E-5</v>
      </c>
      <c r="E19910" s="2">
        <v>0</v>
      </c>
      <c r="F19910" s="2">
        <v>5.58468901659211E-6</v>
      </c>
    </row>
    <row r="19911" spans="1:6" x14ac:dyDescent="0.25">
      <c r="A19911" s="1" t="str">
        <f t="shared" si="735"/>
        <v>31540</v>
      </c>
      <c r="B19911" s="1" t="str">
        <f>"53596"</f>
        <v>53596</v>
      </c>
      <c r="C19911" s="2">
        <v>0</v>
      </c>
      <c r="D19911" s="2">
        <v>3.6386129607393598E-5</v>
      </c>
      <c r="E19911" s="2">
        <v>0</v>
      </c>
      <c r="F19911" s="2">
        <v>2.7923445082960499E-6</v>
      </c>
    </row>
    <row r="19912" spans="1:6" x14ac:dyDescent="0.25">
      <c r="A19912" s="1" t="str">
        <f t="shared" si="735"/>
        <v>31540</v>
      </c>
      <c r="B19912" s="1" t="str">
        <f>"53913"</f>
        <v>53913</v>
      </c>
      <c r="C19912" s="2">
        <v>3.8596626654830303E-5</v>
      </c>
      <c r="D19912" s="2">
        <v>3.6386129607393598E-5</v>
      </c>
      <c r="E19912" s="2">
        <v>0</v>
      </c>
      <c r="F19912" s="2">
        <v>3.6300478607848701E-5</v>
      </c>
    </row>
    <row r="19913" spans="1:6" x14ac:dyDescent="0.25">
      <c r="A19913" s="1" t="str">
        <f t="shared" si="735"/>
        <v>31540</v>
      </c>
      <c r="B19913" s="1" t="str">
        <f>"53926"</f>
        <v>53926</v>
      </c>
      <c r="C19913" s="2">
        <v>3.0877301323864199E-4</v>
      </c>
      <c r="D19913" s="2">
        <v>7.2772259214787304E-5</v>
      </c>
      <c r="E19913" s="2">
        <v>0</v>
      </c>
      <c r="F19913" s="2">
        <v>2.73649761813013E-4</v>
      </c>
    </row>
    <row r="19914" spans="1:6" x14ac:dyDescent="0.25">
      <c r="A19914" s="1" t="str">
        <f t="shared" si="735"/>
        <v>31540</v>
      </c>
      <c r="B19914" s="1" t="str">
        <f>"53553"</f>
        <v>53553</v>
      </c>
      <c r="C19914" s="2">
        <v>8.2017831641514503E-4</v>
      </c>
      <c r="D19914" s="2">
        <v>7.2772259214787304E-5</v>
      </c>
      <c r="E19914" s="2">
        <v>4.0545334752420002E-4</v>
      </c>
      <c r="F19914" s="2">
        <v>7.3997129469845397E-4</v>
      </c>
    </row>
    <row r="19915" spans="1:6" x14ac:dyDescent="0.25">
      <c r="A19915" s="1" t="str">
        <f t="shared" si="735"/>
        <v>31540</v>
      </c>
      <c r="B19915" s="1" t="str">
        <f>"53583"</f>
        <v>53583</v>
      </c>
      <c r="C19915" s="2">
        <v>2.3125812137352502E-3</v>
      </c>
      <c r="D19915" s="2">
        <v>6.5495033293308503E-4</v>
      </c>
      <c r="E19915" s="2">
        <v>3.5477167908367502E-4</v>
      </c>
      <c r="F19915" s="2">
        <v>2.0775043141722598E-3</v>
      </c>
    </row>
    <row r="19916" spans="1:6" x14ac:dyDescent="0.25">
      <c r="A19916" s="1" t="str">
        <f t="shared" si="735"/>
        <v>31540</v>
      </c>
      <c r="B19916" s="1" t="str">
        <f>"53506"</f>
        <v>53506</v>
      </c>
      <c r="C19916" s="2">
        <v>1.8429889227681499E-3</v>
      </c>
      <c r="D19916" s="2">
        <v>3.6386129607393598E-5</v>
      </c>
      <c r="E19916" s="2">
        <v>4.5613501596472502E-4</v>
      </c>
      <c r="F19916" s="2">
        <v>1.6279368483365999E-3</v>
      </c>
    </row>
    <row r="19917" spans="1:6" x14ac:dyDescent="0.25">
      <c r="A19917" s="1" t="str">
        <f t="shared" si="735"/>
        <v>31540</v>
      </c>
      <c r="B19917" s="1" t="str">
        <f>"53570"</f>
        <v>53570</v>
      </c>
      <c r="C19917" s="2">
        <v>3.7792530266187998E-3</v>
      </c>
      <c r="D19917" s="2">
        <v>3.0564348870210601E-3</v>
      </c>
      <c r="E19917" s="2">
        <v>1.31772337945365E-3</v>
      </c>
      <c r="F19917" s="2">
        <v>3.5881626931604299E-3</v>
      </c>
    </row>
    <row r="19918" spans="1:6" x14ac:dyDescent="0.25">
      <c r="A19918" s="1" t="str">
        <f t="shared" si="735"/>
        <v>31540</v>
      </c>
      <c r="B19918" s="1" t="str">
        <f>"53503"</f>
        <v>53503</v>
      </c>
      <c r="C19918" s="2">
        <v>2.82720290246632E-3</v>
      </c>
      <c r="D19918" s="2">
        <v>2.0740093876214301E-3</v>
      </c>
      <c r="E19918" s="2">
        <v>1.16567837413207E-3</v>
      </c>
      <c r="F19918" s="2">
        <v>2.6778583834559098E-3</v>
      </c>
    </row>
    <row r="19919" spans="1:6" x14ac:dyDescent="0.25">
      <c r="A19919" s="1" t="str">
        <f t="shared" si="735"/>
        <v>31540</v>
      </c>
      <c r="B19919" s="1" t="str">
        <f>"53713"</f>
        <v>53713</v>
      </c>
      <c r="C19919" s="2">
        <v>3.5907728331210503E-2</v>
      </c>
      <c r="D19919" s="2">
        <v>5.3123749226794699E-2</v>
      </c>
      <c r="E19919" s="2">
        <v>7.60225026607875E-2</v>
      </c>
      <c r="F19919" s="2">
        <v>3.9439073835173401E-2</v>
      </c>
    </row>
    <row r="19920" spans="1:6" x14ac:dyDescent="0.25">
      <c r="A19920" s="1" t="str">
        <f t="shared" ref="A19920:A19951" si="736">"31540"</f>
        <v>31540</v>
      </c>
      <c r="B19920" s="1" t="str">
        <f>"53718"</f>
        <v>53718</v>
      </c>
      <c r="C19920" s="2">
        <v>2.7117346610572898E-2</v>
      </c>
      <c r="D19920" s="2">
        <v>4.2462613251828402E-2</v>
      </c>
      <c r="E19920" s="2">
        <v>2.6962647610359301E-2</v>
      </c>
      <c r="F19920" s="2">
        <v>2.8286449869038999E-2</v>
      </c>
    </row>
    <row r="19921" spans="1:6" x14ac:dyDescent="0.25">
      <c r="A19921" s="1" t="str">
        <f t="shared" si="736"/>
        <v>31540</v>
      </c>
      <c r="B19921" s="1" t="str">
        <f>"53703"</f>
        <v>53703</v>
      </c>
      <c r="C19921" s="2">
        <v>6.2600512048580206E-2</v>
      </c>
      <c r="D19921" s="2">
        <v>8.7108394280100407E-2</v>
      </c>
      <c r="E19921" s="2">
        <v>0.15386954538543399</v>
      </c>
      <c r="F19921" s="2">
        <v>6.9509831845013706E-2</v>
      </c>
    </row>
    <row r="19922" spans="1:6" x14ac:dyDescent="0.25">
      <c r="A19922" s="1" t="str">
        <f t="shared" si="736"/>
        <v>31540</v>
      </c>
      <c r="B19922" s="1" t="str">
        <f>"53559"</f>
        <v>53559</v>
      </c>
      <c r="C19922" s="2">
        <v>8.0280983442047107E-3</v>
      </c>
      <c r="D19922" s="2">
        <v>2.9472764981988801E-3</v>
      </c>
      <c r="E19922" s="2">
        <v>3.4970351223962198E-3</v>
      </c>
      <c r="F19922" s="2">
        <v>7.38854356895136E-3</v>
      </c>
    </row>
    <row r="19923" spans="1:6" x14ac:dyDescent="0.25">
      <c r="A19923" s="1" t="str">
        <f t="shared" si="736"/>
        <v>31540</v>
      </c>
      <c r="B19923" s="1" t="str">
        <f>"53597"</f>
        <v>53597</v>
      </c>
      <c r="C19923" s="2">
        <v>2.6480502270768199E-2</v>
      </c>
      <c r="D19923" s="2">
        <v>2.2086380671687899E-2</v>
      </c>
      <c r="E19923" s="2">
        <v>1.43935938371091E-2</v>
      </c>
      <c r="F19923" s="2">
        <v>2.54773512936932E-2</v>
      </c>
    </row>
    <row r="19924" spans="1:6" x14ac:dyDescent="0.25">
      <c r="A19924" s="1" t="str">
        <f t="shared" si="736"/>
        <v>31540</v>
      </c>
      <c r="B19924" s="1" t="str">
        <f>"53788"</f>
        <v>53788</v>
      </c>
      <c r="C19924" s="2">
        <v>0</v>
      </c>
      <c r="D19924" s="2">
        <v>3.6386129607393598E-5</v>
      </c>
      <c r="E19924" s="2">
        <v>0</v>
      </c>
      <c r="F19924" s="2">
        <v>2.7923445082960499E-6</v>
      </c>
    </row>
    <row r="19925" spans="1:6" x14ac:dyDescent="0.25">
      <c r="A19925" s="1" t="str">
        <f t="shared" si="736"/>
        <v>31540</v>
      </c>
      <c r="B19925" s="1" t="str">
        <f>"53701"</f>
        <v>53701</v>
      </c>
      <c r="C19925" s="2">
        <v>2.2257388037618801E-3</v>
      </c>
      <c r="D19925" s="2">
        <v>1.3208165047483801E-2</v>
      </c>
      <c r="E19925" s="2">
        <v>1.0136333688105E-4</v>
      </c>
      <c r="F19925" s="2">
        <v>2.95150814526893E-3</v>
      </c>
    </row>
    <row r="19926" spans="1:6" x14ac:dyDescent="0.25">
      <c r="A19926" s="1" t="str">
        <f t="shared" si="736"/>
        <v>31540</v>
      </c>
      <c r="B19926" s="1" t="str">
        <f>"53783"</f>
        <v>53783</v>
      </c>
      <c r="C19926" s="2">
        <v>0</v>
      </c>
      <c r="D19926" s="2">
        <v>3.6386129607393598E-5</v>
      </c>
      <c r="E19926" s="2">
        <v>0</v>
      </c>
      <c r="F19926" s="2">
        <v>2.7923445082960499E-6</v>
      </c>
    </row>
    <row r="19927" spans="1:6" x14ac:dyDescent="0.25">
      <c r="A19927" s="1" t="str">
        <f t="shared" si="736"/>
        <v>31540</v>
      </c>
      <c r="B19927" s="1" t="str">
        <f>"53580"</f>
        <v>53580</v>
      </c>
      <c r="C19927" s="2">
        <v>7.17253978668931E-4</v>
      </c>
      <c r="D19927" s="2">
        <v>2.1831677764436099E-4</v>
      </c>
      <c r="E19927" s="2">
        <v>2.0272667376210001E-4</v>
      </c>
      <c r="F19927" s="2">
        <v>6.5061627043297996E-4</v>
      </c>
    </row>
    <row r="19928" spans="1:6" x14ac:dyDescent="0.25">
      <c r="A19928" s="1" t="str">
        <f t="shared" si="736"/>
        <v>31540</v>
      </c>
      <c r="B19928" s="1" t="str">
        <f>"53569"</f>
        <v>53569</v>
      </c>
      <c r="C19928" s="2">
        <v>3.9561542321201099E-4</v>
      </c>
      <c r="D19928" s="2">
        <v>2.91089036859149E-4</v>
      </c>
      <c r="E19928" s="2">
        <v>0</v>
      </c>
      <c r="F19928" s="2">
        <v>3.6579713058678299E-4</v>
      </c>
    </row>
    <row r="19929" spans="1:6" x14ac:dyDescent="0.25">
      <c r="A19929" s="1" t="str">
        <f t="shared" si="736"/>
        <v>31540</v>
      </c>
      <c r="B19929" s="1" t="str">
        <f>"53550"</f>
        <v>53550</v>
      </c>
      <c r="C19929" s="2">
        <v>1.6403566328302901E-3</v>
      </c>
      <c r="D19929" s="2">
        <v>5.4579194411090404E-4</v>
      </c>
      <c r="E19929" s="2">
        <v>4.0545334752420002E-4</v>
      </c>
      <c r="F19929" s="2">
        <v>1.48831962292179E-3</v>
      </c>
    </row>
    <row r="19930" spans="1:6" x14ac:dyDescent="0.25">
      <c r="A19930" s="1" t="str">
        <f t="shared" si="736"/>
        <v>31540</v>
      </c>
      <c r="B19930" s="1" t="str">
        <f>"53555"</f>
        <v>53555</v>
      </c>
      <c r="C19930" s="2">
        <v>1.3090689207096599E-2</v>
      </c>
      <c r="D19930" s="2">
        <v>8.5871265873449006E-3</v>
      </c>
      <c r="E19930" s="2">
        <v>6.18316354974405E-3</v>
      </c>
      <c r="F19930" s="2">
        <v>1.2364501482734901E-2</v>
      </c>
    </row>
    <row r="19931" spans="1:6" x14ac:dyDescent="0.25">
      <c r="A19931" s="1" t="str">
        <f t="shared" si="736"/>
        <v>31540</v>
      </c>
      <c r="B19931" s="1" t="str">
        <f>"53558"</f>
        <v>53558</v>
      </c>
      <c r="C19931" s="2">
        <v>1.8063221274460601E-2</v>
      </c>
      <c r="D19931" s="2">
        <v>1.53185605647127E-2</v>
      </c>
      <c r="E19931" s="2">
        <v>7.2474785869950801E-3</v>
      </c>
      <c r="F19931" s="2">
        <v>1.7256689061269599E-2</v>
      </c>
    </row>
    <row r="19932" spans="1:6" x14ac:dyDescent="0.25">
      <c r="A19932" s="1" t="str">
        <f t="shared" si="736"/>
        <v>31540</v>
      </c>
      <c r="B19932" s="1" t="str">
        <f>"53517"</f>
        <v>53517</v>
      </c>
      <c r="C19932" s="2">
        <v>2.6792491669561402E-3</v>
      </c>
      <c r="D19932" s="2">
        <v>1.34628679547356E-3</v>
      </c>
      <c r="E19932" s="2">
        <v>6.5886168972682498E-4</v>
      </c>
      <c r="F19932" s="2">
        <v>2.46564020082541E-3</v>
      </c>
    </row>
    <row r="19933" spans="1:6" x14ac:dyDescent="0.25">
      <c r="A19933" s="1" t="str">
        <f t="shared" si="736"/>
        <v>31540</v>
      </c>
      <c r="B19933" s="1" t="str">
        <f>"53507"</f>
        <v>53507</v>
      </c>
      <c r="C19933" s="2">
        <v>3.1520578434778099E-3</v>
      </c>
      <c r="D19933" s="2">
        <v>1.23712840665138E-3</v>
      </c>
      <c r="E19933" s="2">
        <v>1.1149967056915499E-3</v>
      </c>
      <c r="F19933" s="2">
        <v>2.8928689105947101E-3</v>
      </c>
    </row>
    <row r="19934" spans="1:6" x14ac:dyDescent="0.25">
      <c r="A19934" s="1" t="str">
        <f t="shared" si="736"/>
        <v>31540</v>
      </c>
      <c r="B19934" s="1" t="str">
        <f>"53521"</f>
        <v>53521</v>
      </c>
      <c r="C19934" s="2">
        <v>4.6122968852522197E-3</v>
      </c>
      <c r="D19934" s="2">
        <v>1.45544518429574E-3</v>
      </c>
      <c r="E19934" s="2">
        <v>1.31772337945365E-3</v>
      </c>
      <c r="F19934" s="2">
        <v>4.1885167624440799E-3</v>
      </c>
    </row>
    <row r="19935" spans="1:6" x14ac:dyDescent="0.25">
      <c r="A19935" s="1" t="str">
        <f t="shared" si="736"/>
        <v>31540</v>
      </c>
      <c r="B19935" s="1" t="str">
        <f>"53573"</f>
        <v>53573</v>
      </c>
      <c r="C19935" s="2">
        <v>4.0848096543028798E-4</v>
      </c>
      <c r="D19935" s="2">
        <v>1.4554451842957401E-4</v>
      </c>
      <c r="E19935" s="2">
        <v>1.0136333688105E-4</v>
      </c>
      <c r="F19935" s="2">
        <v>3.7138181960337502E-4</v>
      </c>
    </row>
    <row r="19936" spans="1:6" x14ac:dyDescent="0.25">
      <c r="A19936" s="1" t="str">
        <f t="shared" si="736"/>
        <v>31540</v>
      </c>
      <c r="B19936" s="1" t="str">
        <f>"53717"</f>
        <v>53717</v>
      </c>
      <c r="C19936" s="2">
        <v>2.1739549963333198E-2</v>
      </c>
      <c r="D19936" s="2">
        <v>2.3177964559909701E-2</v>
      </c>
      <c r="E19936" s="2">
        <v>1.9917895697126299E-2</v>
      </c>
      <c r="F19936" s="2">
        <v>2.1749571375117901E-2</v>
      </c>
    </row>
    <row r="19937" spans="1:6" x14ac:dyDescent="0.25">
      <c r="A19937" s="1" t="str">
        <f t="shared" si="736"/>
        <v>31540</v>
      </c>
      <c r="B19937" s="1" t="str">
        <f>"53901"</f>
        <v>53901</v>
      </c>
      <c r="C19937" s="2">
        <v>2.1971129723262098E-2</v>
      </c>
      <c r="D19937" s="2">
        <v>2.4233162318524099E-2</v>
      </c>
      <c r="E19937" s="2">
        <v>1.9106989002077902E-2</v>
      </c>
      <c r="F19937" s="2">
        <v>2.1986920658323101E-2</v>
      </c>
    </row>
    <row r="19938" spans="1:6" x14ac:dyDescent="0.25">
      <c r="A19938" s="1" t="str">
        <f t="shared" si="736"/>
        <v>31540</v>
      </c>
      <c r="B19938" s="1" t="str">
        <f>"53744"</f>
        <v>53744</v>
      </c>
      <c r="C19938" s="2">
        <v>3.72457447219113E-3</v>
      </c>
      <c r="D19938" s="2">
        <v>1.6737619619401001E-2</v>
      </c>
      <c r="E19938" s="2">
        <v>1.0136333688105E-4</v>
      </c>
      <c r="F19938" s="2">
        <v>4.5235981034396E-3</v>
      </c>
    </row>
    <row r="19939" spans="1:6" x14ac:dyDescent="0.25">
      <c r="A19939" s="1" t="str">
        <f t="shared" si="736"/>
        <v>31540</v>
      </c>
      <c r="B19939" s="1" t="str">
        <f>"53954"</f>
        <v>53954</v>
      </c>
      <c r="C19939" s="2">
        <v>9.9965263036010596E-3</v>
      </c>
      <c r="D19939" s="2">
        <v>4.4027216824946303E-3</v>
      </c>
      <c r="E19939" s="2">
        <v>4.7133951649688298E-3</v>
      </c>
      <c r="F19939" s="2">
        <v>9.2761684565594894E-3</v>
      </c>
    </row>
    <row r="19940" spans="1:6" x14ac:dyDescent="0.25">
      <c r="A19940" s="1" t="str">
        <f t="shared" si="736"/>
        <v>31540</v>
      </c>
      <c r="B19940" s="1" t="str">
        <f>"53955"</f>
        <v>53955</v>
      </c>
      <c r="C19940" s="2">
        <v>1.0086585099129E-2</v>
      </c>
      <c r="D19940" s="2">
        <v>4.9121274969981402E-3</v>
      </c>
      <c r="E19940" s="2">
        <v>4.8654401702904002E-3</v>
      </c>
      <c r="F19940" s="2">
        <v>9.4018239594328094E-3</v>
      </c>
    </row>
    <row r="19941" spans="1:6" x14ac:dyDescent="0.25">
      <c r="A19941" s="1" t="str">
        <f t="shared" si="736"/>
        <v>31540</v>
      </c>
      <c r="B19941" s="1" t="str">
        <f>"53956"</f>
        <v>53956</v>
      </c>
      <c r="C19941" s="2">
        <v>1.6017600061754599E-3</v>
      </c>
      <c r="D19941" s="2">
        <v>1.20074227704399E-3</v>
      </c>
      <c r="E19941" s="2">
        <v>4.0545334752420002E-4</v>
      </c>
      <c r="F19941" s="2">
        <v>1.5050736899715699E-3</v>
      </c>
    </row>
    <row r="19942" spans="1:6" x14ac:dyDescent="0.25">
      <c r="A19942" s="1" t="str">
        <f t="shared" si="736"/>
        <v>31540</v>
      </c>
      <c r="B19942" s="1" t="str">
        <f>"53561"</f>
        <v>53561</v>
      </c>
      <c r="C19942" s="2">
        <v>7.1082120755979199E-4</v>
      </c>
      <c r="D19942" s="2">
        <v>1.0915838882218001E-4</v>
      </c>
      <c r="E19942" s="2">
        <v>5.0681668440525002E-5</v>
      </c>
      <c r="F19942" s="2">
        <v>6.2827751436661202E-4</v>
      </c>
    </row>
    <row r="19943" spans="1:6" x14ac:dyDescent="0.25">
      <c r="A19943" s="1" t="str">
        <f t="shared" si="736"/>
        <v>31540</v>
      </c>
      <c r="B19943" s="1" t="str">
        <f>"53560"</f>
        <v>53560</v>
      </c>
      <c r="C19943" s="2">
        <v>5.1976790561838199E-3</v>
      </c>
      <c r="D19943" s="2">
        <v>2.1103955172288298E-3</v>
      </c>
      <c r="E19943" s="2">
        <v>2.2299934113830999E-3</v>
      </c>
      <c r="F19943" s="2">
        <v>4.7972478652526197E-3</v>
      </c>
    </row>
    <row r="19944" spans="1:6" x14ac:dyDescent="0.25">
      <c r="A19944" s="1" t="str">
        <f t="shared" si="736"/>
        <v>31540</v>
      </c>
      <c r="B19944" s="1" t="str">
        <f>"53502"</f>
        <v>53502</v>
      </c>
      <c r="C19944" s="2">
        <v>3.4383161578344702E-3</v>
      </c>
      <c r="D19944" s="2">
        <v>9.46039369792235E-4</v>
      </c>
      <c r="E19944" s="2">
        <v>1.0643150372510199E-3</v>
      </c>
      <c r="F19944" s="2">
        <v>3.1162564712583899E-3</v>
      </c>
    </row>
    <row r="19945" spans="1:6" x14ac:dyDescent="0.25">
      <c r="A19945" s="1" t="str">
        <f t="shared" si="736"/>
        <v>31540</v>
      </c>
      <c r="B19945" s="1" t="str">
        <f>"53715"</f>
        <v>53715</v>
      </c>
      <c r="C19945" s="2">
        <v>1.87450950120292E-2</v>
      </c>
      <c r="D19945" s="2">
        <v>1.9211876432703799E-2</v>
      </c>
      <c r="E19945" s="2">
        <v>2.7824235973848199E-2</v>
      </c>
      <c r="F19945" s="2">
        <v>1.9281138829784199E-2</v>
      </c>
    </row>
    <row r="19946" spans="1:6" x14ac:dyDescent="0.25">
      <c r="A19946" s="1" t="str">
        <f t="shared" si="736"/>
        <v>31540</v>
      </c>
      <c r="B19946" s="1" t="str">
        <f>"53707"</f>
        <v>53707</v>
      </c>
      <c r="C19946" s="2">
        <v>7.17253978668931E-4</v>
      </c>
      <c r="D19946" s="2">
        <v>8.3688098097005406E-3</v>
      </c>
      <c r="E19946" s="2">
        <v>1.0136333688105E-4</v>
      </c>
      <c r="F19946" s="2">
        <v>1.2705167512747E-3</v>
      </c>
    </row>
    <row r="19947" spans="1:6" x14ac:dyDescent="0.25">
      <c r="A19947" s="1" t="str">
        <f t="shared" si="736"/>
        <v>31540</v>
      </c>
      <c r="B19947" s="1" t="str">
        <f>"53777"</f>
        <v>53777</v>
      </c>
      <c r="C19947" s="2">
        <v>0</v>
      </c>
      <c r="D19947" s="2">
        <v>3.6386129607393598E-5</v>
      </c>
      <c r="E19947" s="2">
        <v>0</v>
      </c>
      <c r="F19947" s="2">
        <v>2.7923445082960499E-6</v>
      </c>
    </row>
    <row r="19948" spans="1:6" x14ac:dyDescent="0.25">
      <c r="A19948" s="1" t="str">
        <f t="shared" si="736"/>
        <v>31540</v>
      </c>
      <c r="B19948" s="1" t="str">
        <f>"53792"</f>
        <v>53792</v>
      </c>
      <c r="C19948" s="2">
        <v>0</v>
      </c>
      <c r="D19948" s="2">
        <v>7.2772259214787304E-5</v>
      </c>
      <c r="E19948" s="2">
        <v>0</v>
      </c>
      <c r="F19948" s="2">
        <v>5.58468901659211E-6</v>
      </c>
    </row>
    <row r="19949" spans="1:6" x14ac:dyDescent="0.25">
      <c r="A19949" s="1" t="str">
        <f t="shared" si="736"/>
        <v>31540</v>
      </c>
      <c r="B19949" s="1" t="str">
        <f>"53532"</f>
        <v>53532</v>
      </c>
      <c r="C19949" s="2">
        <v>2.0764985140298699E-2</v>
      </c>
      <c r="D19949" s="2">
        <v>1.40814321580613E-2</v>
      </c>
      <c r="E19949" s="2">
        <v>6.7406619025898304E-3</v>
      </c>
      <c r="F19949" s="2">
        <v>1.9479395289873198E-2</v>
      </c>
    </row>
    <row r="19950" spans="1:6" x14ac:dyDescent="0.25">
      <c r="A19950" s="1" t="str">
        <f t="shared" si="736"/>
        <v>31540</v>
      </c>
      <c r="B19950" s="1" t="str">
        <f>"53504"</f>
        <v>53504</v>
      </c>
      <c r="C19950" s="2">
        <v>7.8158168976031402E-4</v>
      </c>
      <c r="D19950" s="2">
        <v>3.6386129607393598E-5</v>
      </c>
      <c r="E19950" s="2">
        <v>5.0681668440525002E-5</v>
      </c>
      <c r="F19950" s="2">
        <v>6.8412440453253305E-4</v>
      </c>
    </row>
    <row r="19951" spans="1:6" x14ac:dyDescent="0.25">
      <c r="A19951" s="1" t="str">
        <f t="shared" si="736"/>
        <v>31540</v>
      </c>
      <c r="B19951" s="1" t="str">
        <f>"53508"</f>
        <v>53508</v>
      </c>
      <c r="C19951" s="2">
        <v>7.3976867755091496E-3</v>
      </c>
      <c r="D19951" s="2">
        <v>3.89331586799112E-3</v>
      </c>
      <c r="E19951" s="2">
        <v>5.8283918706603802E-3</v>
      </c>
      <c r="F19951" s="2">
        <v>7.04229284992265E-3</v>
      </c>
    </row>
    <row r="19952" spans="1:6" x14ac:dyDescent="0.25">
      <c r="A19952" s="1" t="str">
        <f t="shared" ref="A19952:A19984" si="737">"31540"</f>
        <v>31540</v>
      </c>
      <c r="B19952" s="1" t="str">
        <f>"53526"</f>
        <v>53526</v>
      </c>
      <c r="C19952" s="2">
        <v>7.7836530420574495E-4</v>
      </c>
      <c r="D19952" s="2">
        <v>8.3688098097005402E-4</v>
      </c>
      <c r="E19952" s="2">
        <v>1.2163600425726001E-3</v>
      </c>
      <c r="F19952" s="2">
        <v>8.0698756289755995E-4</v>
      </c>
    </row>
    <row r="19953" spans="1:6" x14ac:dyDescent="0.25">
      <c r="A19953" s="1" t="str">
        <f t="shared" si="737"/>
        <v>31540</v>
      </c>
      <c r="B19953" s="1" t="str">
        <f>"53536"</f>
        <v>53536</v>
      </c>
      <c r="C19953" s="2">
        <v>3.5380241100261097E-5</v>
      </c>
      <c r="D19953" s="2">
        <v>0</v>
      </c>
      <c r="E19953" s="2">
        <v>0</v>
      </c>
      <c r="F19953" s="2">
        <v>3.0715789591256602E-5</v>
      </c>
    </row>
    <row r="19954" spans="1:6" x14ac:dyDescent="0.25">
      <c r="A19954" s="1" t="str">
        <f t="shared" si="737"/>
        <v>31540</v>
      </c>
      <c r="B19954" s="1" t="str">
        <f>"53516"</f>
        <v>53516</v>
      </c>
      <c r="C19954" s="2">
        <v>1.55351422285692E-3</v>
      </c>
      <c r="D19954" s="2">
        <v>3.6386129607393598E-5</v>
      </c>
      <c r="E19954" s="2">
        <v>2.0272667376210001E-4</v>
      </c>
      <c r="F19954" s="2">
        <v>1.3626641200484701E-3</v>
      </c>
    </row>
    <row r="19955" spans="1:6" x14ac:dyDescent="0.25">
      <c r="A19955" s="1" t="str">
        <f t="shared" si="737"/>
        <v>31540</v>
      </c>
      <c r="B19955" s="1" t="str">
        <f>"53562"</f>
        <v>53562</v>
      </c>
      <c r="C19955" s="2">
        <v>4.4762437762939498E-2</v>
      </c>
      <c r="D19955" s="2">
        <v>6.13834006476731E-2</v>
      </c>
      <c r="E19955" s="2">
        <v>6.0767320460189497E-2</v>
      </c>
      <c r="F19955" s="2">
        <v>4.6919764772898602E-2</v>
      </c>
    </row>
    <row r="19956" spans="1:6" x14ac:dyDescent="0.25">
      <c r="A19956" s="1" t="str">
        <f t="shared" si="737"/>
        <v>31540</v>
      </c>
      <c r="B19956" s="1" t="str">
        <f>"53534"</f>
        <v>53534</v>
      </c>
      <c r="C19956" s="2">
        <v>3.35469013341567E-3</v>
      </c>
      <c r="D19956" s="2">
        <v>2.14678164683622E-3</v>
      </c>
      <c r="E19956" s="2">
        <v>9.1227003192945102E-4</v>
      </c>
      <c r="F19956" s="2">
        <v>3.1274258492915799E-3</v>
      </c>
    </row>
    <row r="19957" spans="1:6" x14ac:dyDescent="0.25">
      <c r="A19957" s="1" t="str">
        <f t="shared" si="737"/>
        <v>31540</v>
      </c>
      <c r="B19957" s="1" t="str">
        <f>"53520"</f>
        <v>53520</v>
      </c>
      <c r="C19957" s="2">
        <v>7.8833609942491004E-3</v>
      </c>
      <c r="D19957" s="2">
        <v>7.5319288287304803E-3</v>
      </c>
      <c r="E19957" s="2">
        <v>3.14226344331255E-3</v>
      </c>
      <c r="F19957" s="2">
        <v>7.5951770625652696E-3</v>
      </c>
    </row>
    <row r="19958" spans="1:6" x14ac:dyDescent="0.25">
      <c r="A19958" s="1" t="str">
        <f t="shared" si="737"/>
        <v>31540</v>
      </c>
      <c r="B19958" s="1" t="str">
        <f>"53566"</f>
        <v>53566</v>
      </c>
      <c r="C19958" s="2">
        <v>2.2730196714140501E-2</v>
      </c>
      <c r="D19958" s="2">
        <v>2.74351417239748E-2</v>
      </c>
      <c r="E19958" s="2">
        <v>1.53058638690385E-2</v>
      </c>
      <c r="F19958" s="2">
        <v>2.26822144408888E-2</v>
      </c>
    </row>
    <row r="19959" spans="1:6" x14ac:dyDescent="0.25">
      <c r="A19959" s="1" t="str">
        <f t="shared" si="737"/>
        <v>31540</v>
      </c>
      <c r="B19959" s="1" t="str">
        <f>"53544"</f>
        <v>53544</v>
      </c>
      <c r="C19959" s="2">
        <v>1.17398072741775E-3</v>
      </c>
      <c r="D19959" s="2">
        <v>4.0024742568132998E-4</v>
      </c>
      <c r="E19959" s="2">
        <v>3.5477167908367502E-4</v>
      </c>
      <c r="F19959" s="2">
        <v>1.0694679466773801E-3</v>
      </c>
    </row>
    <row r="19960" spans="1:6" x14ac:dyDescent="0.25">
      <c r="A19960" s="1" t="str">
        <f t="shared" si="737"/>
        <v>31540</v>
      </c>
      <c r="B19960" s="1" t="str">
        <f>"53575"</f>
        <v>53575</v>
      </c>
      <c r="C19960" s="2">
        <v>2.1945398638825601E-2</v>
      </c>
      <c r="D19960" s="2">
        <v>1.20438089000473E-2</v>
      </c>
      <c r="E19960" s="2">
        <v>1.39881404895849E-2</v>
      </c>
      <c r="F19960" s="2">
        <v>2.0747119696639602E-2</v>
      </c>
    </row>
    <row r="19961" spans="1:6" x14ac:dyDescent="0.25">
      <c r="A19961" s="1" t="str">
        <f t="shared" si="737"/>
        <v>31540</v>
      </c>
      <c r="B19961" s="1" t="str">
        <f>"53711"</f>
        <v>53711</v>
      </c>
      <c r="C19961" s="2">
        <v>7.3002302932057006E-2</v>
      </c>
      <c r="D19961" s="2">
        <v>3.82418222173707E-2</v>
      </c>
      <c r="E19961" s="2">
        <v>8.97572348081698E-2</v>
      </c>
      <c r="F19961" s="2">
        <v>7.1257839507207002E-2</v>
      </c>
    </row>
    <row r="19962" spans="1:6" x14ac:dyDescent="0.25">
      <c r="A19962" s="1" t="str">
        <f t="shared" si="737"/>
        <v>31540</v>
      </c>
      <c r="B19962" s="1" t="str">
        <f>"53925"</f>
        <v>53925</v>
      </c>
      <c r="C19962" s="2">
        <v>9.7231335314626795E-3</v>
      </c>
      <c r="D19962" s="2">
        <v>1.15707892151511E-2</v>
      </c>
      <c r="E19962" s="2">
        <v>6.8927069079113999E-3</v>
      </c>
      <c r="F19962" s="2">
        <v>9.7089818553453798E-3</v>
      </c>
    </row>
    <row r="19963" spans="1:6" x14ac:dyDescent="0.25">
      <c r="A19963" s="1" t="str">
        <f t="shared" si="737"/>
        <v>31540</v>
      </c>
      <c r="B19963" s="1" t="str">
        <f>"53726"</f>
        <v>53726</v>
      </c>
      <c r="C19963" s="2">
        <v>7.8190332831577104E-3</v>
      </c>
      <c r="D19963" s="2">
        <v>2.2195539060510098E-3</v>
      </c>
      <c r="E19963" s="2">
        <v>9.2747453246160797E-3</v>
      </c>
      <c r="F19963" s="2">
        <v>7.4695215596919402E-3</v>
      </c>
    </row>
    <row r="19964" spans="1:6" x14ac:dyDescent="0.25">
      <c r="A19964" s="1" t="str">
        <f t="shared" si="737"/>
        <v>31540</v>
      </c>
      <c r="B19964" s="1" t="str">
        <f>"53928"</f>
        <v>53928</v>
      </c>
      <c r="C19964" s="2">
        <v>1.6725204883759801E-4</v>
      </c>
      <c r="D19964" s="2">
        <v>0</v>
      </c>
      <c r="E19964" s="2">
        <v>5.0681668440525002E-5</v>
      </c>
      <c r="F19964" s="2">
        <v>1.4799425893969001E-4</v>
      </c>
    </row>
    <row r="19965" spans="1:6" x14ac:dyDescent="0.25">
      <c r="A19965" s="1" t="str">
        <f t="shared" si="737"/>
        <v>31540</v>
      </c>
      <c r="B19965" s="1" t="str">
        <f>"53969"</f>
        <v>53969</v>
      </c>
      <c r="C19965" s="2">
        <v>4.2777927875770299E-4</v>
      </c>
      <c r="D19965" s="2">
        <v>3.6386129607393598E-5</v>
      </c>
      <c r="E19965" s="2">
        <v>3.0409001064315001E-4</v>
      </c>
      <c r="F19965" s="2">
        <v>3.9092823116144699E-4</v>
      </c>
    </row>
    <row r="19966" spans="1:6" x14ac:dyDescent="0.25">
      <c r="A19966" s="1" t="str">
        <f t="shared" si="737"/>
        <v>31540</v>
      </c>
      <c r="B19966" s="1" t="str">
        <f>"53725"</f>
        <v>53725</v>
      </c>
      <c r="C19966" s="2">
        <v>1.3476655473644899E-3</v>
      </c>
      <c r="D19966" s="2">
        <v>8.5143543281301099E-3</v>
      </c>
      <c r="E19966" s="2">
        <v>1.0136333688105E-4</v>
      </c>
      <c r="F19966" s="2">
        <v>1.82898565293391E-3</v>
      </c>
    </row>
    <row r="19967" spans="1:6" x14ac:dyDescent="0.25">
      <c r="A19967" s="1" t="str">
        <f t="shared" si="737"/>
        <v>31540</v>
      </c>
      <c r="B19967" s="1" t="str">
        <f>"53702"</f>
        <v>53702</v>
      </c>
      <c r="C19967" s="2">
        <v>0</v>
      </c>
      <c r="D19967" s="2">
        <v>1.0915838882218001E-4</v>
      </c>
      <c r="E19967" s="2">
        <v>5.0681668440525002E-5</v>
      </c>
      <c r="F19967" s="2">
        <v>1.11693780331842E-5</v>
      </c>
    </row>
    <row r="19968" spans="1:6" x14ac:dyDescent="0.25">
      <c r="A19968" s="1" t="str">
        <f t="shared" si="737"/>
        <v>31540</v>
      </c>
      <c r="B19968" s="1" t="str">
        <f>"53533"</f>
        <v>53533</v>
      </c>
      <c r="C19968" s="2">
        <v>1.06526689567331E-2</v>
      </c>
      <c r="D19968" s="2">
        <v>1.32445511770912E-2</v>
      </c>
      <c r="E19968" s="2">
        <v>8.4131569611271603E-3</v>
      </c>
      <c r="F19968" s="2">
        <v>1.07281876008734E-2</v>
      </c>
    </row>
    <row r="19969" spans="1:6" x14ac:dyDescent="0.25">
      <c r="A19969" s="1" t="str">
        <f t="shared" si="737"/>
        <v>31540</v>
      </c>
      <c r="B19969" s="1" t="str">
        <f>"53522"</f>
        <v>53522</v>
      </c>
      <c r="C19969" s="2">
        <v>1.48597012621096E-3</v>
      </c>
      <c r="D19969" s="2">
        <v>5.4579194411090404E-4</v>
      </c>
      <c r="E19969" s="2">
        <v>1.0136333688105E-4</v>
      </c>
      <c r="F19969" s="2">
        <v>1.3375330194738101E-3</v>
      </c>
    </row>
    <row r="19970" spans="1:6" x14ac:dyDescent="0.25">
      <c r="A19970" s="1" t="str">
        <f t="shared" si="737"/>
        <v>31540</v>
      </c>
      <c r="B19970" s="1" t="str">
        <f>"53528"</f>
        <v>53528</v>
      </c>
      <c r="C19970" s="2">
        <v>8.4108482251984504E-3</v>
      </c>
      <c r="D19970" s="2">
        <v>4.87574136739075E-3</v>
      </c>
      <c r="E19970" s="2">
        <v>3.4970351223962198E-3</v>
      </c>
      <c r="F19970" s="2">
        <v>7.8688268243782798E-3</v>
      </c>
    </row>
    <row r="19971" spans="1:6" x14ac:dyDescent="0.25">
      <c r="A19971" s="1" t="str">
        <f t="shared" si="737"/>
        <v>31540</v>
      </c>
      <c r="B19971" s="1" t="str">
        <f>"53543"</f>
        <v>53543</v>
      </c>
      <c r="C19971" s="2">
        <v>2.2964992859624E-3</v>
      </c>
      <c r="D19971" s="2">
        <v>9.8242549939962808E-4</v>
      </c>
      <c r="E19971" s="2">
        <v>2.0779484060615199E-3</v>
      </c>
      <c r="F19971" s="2">
        <v>2.1836134054875099E-3</v>
      </c>
    </row>
    <row r="19972" spans="1:6" x14ac:dyDescent="0.25">
      <c r="A19972" s="1" t="str">
        <f t="shared" si="737"/>
        <v>31540</v>
      </c>
      <c r="B19972" s="1" t="str">
        <f>"53572"</f>
        <v>53572</v>
      </c>
      <c r="C19972" s="2">
        <v>1.41006342712313E-2</v>
      </c>
      <c r="D19972" s="2">
        <v>1.1861878252010301E-2</v>
      </c>
      <c r="E19972" s="2">
        <v>7.0447519132329798E-3</v>
      </c>
      <c r="F19972" s="2">
        <v>1.35400785207275E-2</v>
      </c>
    </row>
    <row r="19973" spans="1:6" x14ac:dyDescent="0.25">
      <c r="A19973" s="1" t="str">
        <f t="shared" si="737"/>
        <v>31540</v>
      </c>
      <c r="B19973" s="1" t="str">
        <f>"53705"</f>
        <v>53705</v>
      </c>
      <c r="C19973" s="2">
        <v>4.3282900407837603E-2</v>
      </c>
      <c r="D19973" s="2">
        <v>3.58767237928901E-2</v>
      </c>
      <c r="E19973" s="2">
        <v>5.4381430236683299E-2</v>
      </c>
      <c r="F19973" s="2">
        <v>4.3326017390721498E-2</v>
      </c>
    </row>
    <row r="19974" spans="1:6" x14ac:dyDescent="0.25">
      <c r="A19974" s="1" t="str">
        <f t="shared" si="737"/>
        <v>31540</v>
      </c>
      <c r="B19974" s="1" t="str">
        <f>"53716"</f>
        <v>53716</v>
      </c>
      <c r="C19974" s="2">
        <v>2.9478173607626602E-2</v>
      </c>
      <c r="D19974" s="2">
        <v>4.19168213077174E-2</v>
      </c>
      <c r="E19974" s="2">
        <v>2.0779484060615201E-2</v>
      </c>
      <c r="F19974" s="2">
        <v>2.9953479540491702E-2</v>
      </c>
    </row>
    <row r="19975" spans="1:6" x14ac:dyDescent="0.25">
      <c r="A19975" s="1" t="str">
        <f t="shared" si="737"/>
        <v>31540</v>
      </c>
      <c r="B19975" s="1" t="str">
        <f>"53784"</f>
        <v>53784</v>
      </c>
      <c r="C19975" s="2">
        <v>0</v>
      </c>
      <c r="D19975" s="2">
        <v>3.6386129607393598E-5</v>
      </c>
      <c r="E19975" s="2">
        <v>0</v>
      </c>
      <c r="F19975" s="2">
        <v>2.7923445082960499E-6</v>
      </c>
    </row>
    <row r="19976" spans="1:6" x14ac:dyDescent="0.25">
      <c r="A19976" s="1" t="str">
        <f t="shared" si="737"/>
        <v>31540</v>
      </c>
      <c r="B19976" s="1" t="str">
        <f>"53535"</f>
        <v>53535</v>
      </c>
      <c r="C19976" s="2">
        <v>0</v>
      </c>
      <c r="D19976" s="2">
        <v>0</v>
      </c>
      <c r="E19976" s="2">
        <v>2.0272667376210001E-4</v>
      </c>
      <c r="F19976" s="2">
        <v>1.11693780331842E-5</v>
      </c>
    </row>
    <row r="19977" spans="1:6" x14ac:dyDescent="0.25">
      <c r="A19977" s="1" t="str">
        <f t="shared" si="737"/>
        <v>31540</v>
      </c>
      <c r="B19977" s="1" t="str">
        <f>"53935"</f>
        <v>53935</v>
      </c>
      <c r="C19977" s="2">
        <v>5.0175614651279399E-4</v>
      </c>
      <c r="D19977" s="2">
        <v>0</v>
      </c>
      <c r="E19977" s="2">
        <v>1.5204500532157501E-4</v>
      </c>
      <c r="F19977" s="2">
        <v>4.4398277681907201E-4</v>
      </c>
    </row>
    <row r="19978" spans="1:6" x14ac:dyDescent="0.25">
      <c r="A19978" s="1" t="str">
        <f t="shared" si="737"/>
        <v>31540</v>
      </c>
      <c r="B19978" s="1" t="str">
        <f>"53818"</f>
        <v>53818</v>
      </c>
      <c r="C19978" s="2">
        <v>4.1813012209399501E-5</v>
      </c>
      <c r="D19978" s="2">
        <v>0</v>
      </c>
      <c r="E19978" s="2">
        <v>0</v>
      </c>
      <c r="F19978" s="2">
        <v>3.6300478607848701E-5</v>
      </c>
    </row>
    <row r="19979" spans="1:6" x14ac:dyDescent="0.25">
      <c r="A19979" s="1" t="str">
        <f t="shared" si="737"/>
        <v>31540</v>
      </c>
      <c r="B19979" s="1" t="str">
        <f>"53708"</f>
        <v>53708</v>
      </c>
      <c r="C19979" s="2">
        <v>2.1002997671336798E-3</v>
      </c>
      <c r="D19979" s="2">
        <v>1.3062620529054301E-2</v>
      </c>
      <c r="E19979" s="2">
        <v>1.5204500532157501E-4</v>
      </c>
      <c r="F19979" s="2">
        <v>2.8342296759204899E-3</v>
      </c>
    </row>
    <row r="19980" spans="1:6" x14ac:dyDescent="0.25">
      <c r="A19980" s="1" t="str">
        <f t="shared" si="737"/>
        <v>31540</v>
      </c>
      <c r="B19980" s="1" t="str">
        <f>"53571"</f>
        <v>53571</v>
      </c>
      <c r="C19980" s="2">
        <v>4.4707759208511801E-4</v>
      </c>
      <c r="D19980" s="2">
        <v>0</v>
      </c>
      <c r="E19980" s="2">
        <v>1.5204500532157501E-4</v>
      </c>
      <c r="F19980" s="2">
        <v>3.9651292017803898E-4</v>
      </c>
    </row>
    <row r="19981" spans="1:6" x14ac:dyDescent="0.25">
      <c r="A19981" s="1" t="str">
        <f t="shared" si="737"/>
        <v>31540</v>
      </c>
      <c r="B19981" s="1" t="str">
        <f>"53523"</f>
        <v>53523</v>
      </c>
      <c r="C19981" s="2">
        <v>3.9561542321201104E-3</v>
      </c>
      <c r="D19981" s="2">
        <v>3.56584070152457E-3</v>
      </c>
      <c r="E19981" s="2">
        <v>2.33135674826415E-3</v>
      </c>
      <c r="F19981" s="2">
        <v>3.8366813543987801E-3</v>
      </c>
    </row>
    <row r="19982" spans="1:6" x14ac:dyDescent="0.25">
      <c r="A19982" s="1" t="str">
        <f t="shared" si="737"/>
        <v>31540</v>
      </c>
      <c r="B19982" s="1" t="str">
        <f>"53527"</f>
        <v>53527</v>
      </c>
      <c r="C19982" s="2">
        <v>1.32675904125979E-2</v>
      </c>
      <c r="D19982" s="2">
        <v>8.8418294945966508E-3</v>
      </c>
      <c r="E19982" s="2">
        <v>4.0545334752420002E-3</v>
      </c>
      <c r="F19982" s="2">
        <v>1.24203483729008E-2</v>
      </c>
    </row>
    <row r="19983" spans="1:6" x14ac:dyDescent="0.25">
      <c r="A19983" s="1" t="str">
        <f t="shared" si="737"/>
        <v>31540</v>
      </c>
      <c r="B19983" s="1" t="str">
        <f>"53529"</f>
        <v>53529</v>
      </c>
      <c r="C19983" s="2">
        <v>2.6953310947289799E-3</v>
      </c>
      <c r="D19983" s="2">
        <v>2.6561874613397298E-3</v>
      </c>
      <c r="E19983" s="2">
        <v>7.0954335816735003E-4</v>
      </c>
      <c r="F19983" s="2">
        <v>2.58291867017385E-3</v>
      </c>
    </row>
    <row r="19984" spans="1:6" x14ac:dyDescent="0.25">
      <c r="A19984" s="1" t="str">
        <f t="shared" si="737"/>
        <v>31540</v>
      </c>
      <c r="B19984" s="1" t="str">
        <f>"53582"</f>
        <v>53582</v>
      </c>
      <c r="C19984" s="2">
        <v>1.60819277728459E-3</v>
      </c>
      <c r="D19984" s="2">
        <v>4.3663355528872301E-4</v>
      </c>
      <c r="E19984" s="2">
        <v>3.0409001064315001E-4</v>
      </c>
      <c r="F19984" s="2">
        <v>1.4464344552973501E-3</v>
      </c>
    </row>
    <row r="19985" spans="1:6" x14ac:dyDescent="0.25">
      <c r="A19985" s="1" t="str">
        <f t="shared" ref="A19985:A19997" si="738">"31580"</f>
        <v>31580</v>
      </c>
      <c r="B19985" s="1" t="str">
        <f>"42441"</f>
        <v>42441</v>
      </c>
      <c r="C19985" s="2">
        <v>2.8110264780558499E-2</v>
      </c>
      <c r="D19985" s="2">
        <v>1.13186191284663E-2</v>
      </c>
      <c r="E19985" s="2">
        <v>1.9323671497584499E-2</v>
      </c>
      <c r="F19985" s="2">
        <v>2.6735982176011801E-2</v>
      </c>
    </row>
    <row r="19986" spans="1:6" x14ac:dyDescent="0.25">
      <c r="A19986" s="1" t="str">
        <f t="shared" si="738"/>
        <v>31580</v>
      </c>
      <c r="B19986" s="1" t="str">
        <f>"42436"</f>
        <v>42436</v>
      </c>
      <c r="C19986" s="2">
        <v>2.7430177729416E-2</v>
      </c>
      <c r="D19986" s="2">
        <v>3.3955857385398898E-3</v>
      </c>
      <c r="E19986" s="2">
        <v>7.2463768115942004E-3</v>
      </c>
      <c r="F19986" s="2">
        <v>2.5333168296406298E-2</v>
      </c>
    </row>
    <row r="19987" spans="1:6" x14ac:dyDescent="0.25">
      <c r="A19987" s="1" t="str">
        <f t="shared" si="738"/>
        <v>31580</v>
      </c>
      <c r="B19987" s="1" t="str">
        <f>"42453"</f>
        <v>42453</v>
      </c>
      <c r="C19987" s="2">
        <v>7.3449401523394903E-3</v>
      </c>
      <c r="D19987" s="2">
        <v>1.6977928692699399E-3</v>
      </c>
      <c r="E19987" s="2">
        <v>2.4154589371980601E-3</v>
      </c>
      <c r="F19987" s="2">
        <v>6.84903247101538E-3</v>
      </c>
    </row>
    <row r="19988" spans="1:6" x14ac:dyDescent="0.25">
      <c r="A19988" s="1" t="str">
        <f t="shared" si="738"/>
        <v>31580</v>
      </c>
      <c r="B19988" s="1" t="str">
        <f>"42445"</f>
        <v>42445</v>
      </c>
      <c r="C19988" s="2">
        <v>4.7152702212549802E-3</v>
      </c>
      <c r="D19988" s="2">
        <v>0</v>
      </c>
      <c r="E19988" s="2">
        <v>4.8309178743961298E-3</v>
      </c>
      <c r="F19988" s="2">
        <v>4.3734785658290998E-3</v>
      </c>
    </row>
    <row r="19989" spans="1:6" x14ac:dyDescent="0.25">
      <c r="A19989" s="1" t="str">
        <f t="shared" si="738"/>
        <v>31580</v>
      </c>
      <c r="B19989" s="1" t="str">
        <f>"42456"</f>
        <v>42456</v>
      </c>
      <c r="C19989" s="2">
        <v>1.2604280014508499E-2</v>
      </c>
      <c r="D19989" s="2">
        <v>3.9615166949632102E-3</v>
      </c>
      <c r="E19989" s="2">
        <v>0</v>
      </c>
      <c r="F19989" s="2">
        <v>1.17588810496348E-2</v>
      </c>
    </row>
    <row r="19990" spans="1:6" x14ac:dyDescent="0.25">
      <c r="A19990" s="1" t="str">
        <f t="shared" si="738"/>
        <v>31580</v>
      </c>
      <c r="B19990" s="1" t="str">
        <f>"42410"</f>
        <v>42410</v>
      </c>
      <c r="C19990" s="2">
        <v>3.7495466086325702E-2</v>
      </c>
      <c r="D19990" s="2">
        <v>3.1692133559705703E-2</v>
      </c>
      <c r="E19990" s="2">
        <v>5.5555555555555497E-2</v>
      </c>
      <c r="F19990" s="2">
        <v>3.7380863968312902E-2</v>
      </c>
    </row>
    <row r="19991" spans="1:6" x14ac:dyDescent="0.25">
      <c r="A19991" s="1" t="str">
        <f t="shared" si="738"/>
        <v>31580</v>
      </c>
      <c r="B19991" s="1" t="str">
        <f>"42408"</f>
        <v>42408</v>
      </c>
      <c r="C19991" s="2">
        <v>0.122279651795429</v>
      </c>
      <c r="D19991" s="2">
        <v>8.43237125070741E-2</v>
      </c>
      <c r="E19991" s="2">
        <v>7.7294685990338105E-2</v>
      </c>
      <c r="F19991" s="2">
        <v>0.11874406898543501</v>
      </c>
    </row>
    <row r="19992" spans="1:6" x14ac:dyDescent="0.25">
      <c r="A19992" s="1" t="str">
        <f t="shared" si="738"/>
        <v>31580</v>
      </c>
      <c r="B19992" s="1" t="str">
        <f>"42413"</f>
        <v>42413</v>
      </c>
      <c r="C19992" s="2">
        <v>5.4724338048603501E-2</v>
      </c>
      <c r="D19992" s="2">
        <v>2.1505376344085999E-2</v>
      </c>
      <c r="E19992" s="2">
        <v>1.4492753623188401E-2</v>
      </c>
      <c r="F19992" s="2">
        <v>5.1615298923133997E-2</v>
      </c>
    </row>
    <row r="19993" spans="1:6" x14ac:dyDescent="0.25">
      <c r="A19993" s="1" t="str">
        <f t="shared" si="738"/>
        <v>31580</v>
      </c>
      <c r="B19993" s="1" t="str">
        <f>"42464"</f>
        <v>42464</v>
      </c>
      <c r="C19993" s="2">
        <v>3.0558578164671699E-2</v>
      </c>
      <c r="D19993" s="2">
        <v>4.5274476513865302E-3</v>
      </c>
      <c r="E19993" s="2">
        <v>3.6231884057971002E-2</v>
      </c>
      <c r="F19993" s="2">
        <v>2.8757684531914001E-2</v>
      </c>
    </row>
    <row r="19994" spans="1:6" x14ac:dyDescent="0.25">
      <c r="A19994" s="1" t="str">
        <f t="shared" si="738"/>
        <v>31580</v>
      </c>
      <c r="B19994" s="1" t="str">
        <f>"42442"</f>
        <v>42442</v>
      </c>
      <c r="C19994" s="2">
        <v>6.4381574174827705E-2</v>
      </c>
      <c r="D19994" s="2">
        <v>1.81097906055461E-2</v>
      </c>
      <c r="E19994" s="2">
        <v>6.5217391304347797E-2</v>
      </c>
      <c r="F19994" s="2">
        <v>6.1022403762841897E-2</v>
      </c>
    </row>
    <row r="19995" spans="1:6" x14ac:dyDescent="0.25">
      <c r="A19995" s="1" t="str">
        <f t="shared" si="738"/>
        <v>31580</v>
      </c>
      <c r="B19995" s="1" t="str">
        <f>"42440"</f>
        <v>42440</v>
      </c>
      <c r="C19995" s="2">
        <v>1.8906420021762699E-2</v>
      </c>
      <c r="D19995" s="2">
        <v>1.13186191284663E-2</v>
      </c>
      <c r="E19995" s="2">
        <v>4.8309178743961298E-3</v>
      </c>
      <c r="F19995" s="2">
        <v>1.8112802739612899E-2</v>
      </c>
    </row>
    <row r="19996" spans="1:6" x14ac:dyDescent="0.25">
      <c r="A19996" s="1" t="str">
        <f t="shared" si="738"/>
        <v>31580</v>
      </c>
      <c r="B19996" s="1" t="str">
        <f>"42450"</f>
        <v>42450</v>
      </c>
      <c r="C19996" s="2">
        <v>7.6623141095393497E-3</v>
      </c>
      <c r="D19996" s="2">
        <v>5.6593095642331595E-4</v>
      </c>
      <c r="E19996" s="2">
        <v>0</v>
      </c>
      <c r="F19996" s="2">
        <v>7.0140693980278003E-3</v>
      </c>
    </row>
    <row r="19997" spans="1:6" x14ac:dyDescent="0.25">
      <c r="A19997" s="1" t="str">
        <f t="shared" si="738"/>
        <v>31580</v>
      </c>
      <c r="B19997" s="1" t="str">
        <f>"42431"</f>
        <v>42431</v>
      </c>
      <c r="C19997" s="2">
        <v>0.58378672470076098</v>
      </c>
      <c r="D19997" s="2">
        <v>0.80758347481607196</v>
      </c>
      <c r="E19997" s="2">
        <v>0.71256038647342901</v>
      </c>
      <c r="F19997" s="2">
        <v>0.60230226513182294</v>
      </c>
    </row>
    <row r="19998" spans="1:6" x14ac:dyDescent="0.25">
      <c r="A19998" s="1" t="str">
        <f t="shared" ref="A19998:A20005" si="739">"31620"</f>
        <v>31620</v>
      </c>
      <c r="B19998" s="1" t="str">
        <f>"71770"</f>
        <v>71770</v>
      </c>
      <c r="C19998" s="2">
        <v>9.67814036656236E-2</v>
      </c>
      <c r="D19998" s="2">
        <v>2.0422535211267599E-2</v>
      </c>
      <c r="E19998" s="2">
        <v>5.7692307692307598E-2</v>
      </c>
      <c r="F19998" s="2">
        <v>8.9254650073598202E-2</v>
      </c>
    </row>
    <row r="19999" spans="1:6" x14ac:dyDescent="0.25">
      <c r="A19999" s="1" t="str">
        <f t="shared" si="739"/>
        <v>31620</v>
      </c>
      <c r="B19999" s="1" t="str">
        <f>"71740"</f>
        <v>71740</v>
      </c>
      <c r="C19999" s="2">
        <v>6.9363731187602404E-2</v>
      </c>
      <c r="D19999" s="2">
        <v>1.4788732394366099E-2</v>
      </c>
      <c r="E19999" s="2">
        <v>9.6153846153846107E-3</v>
      </c>
      <c r="F19999" s="2">
        <v>6.3762879700254196E-2</v>
      </c>
    </row>
    <row r="20000" spans="1:6" x14ac:dyDescent="0.25">
      <c r="A20000" s="1" t="str">
        <f t="shared" si="739"/>
        <v>31620</v>
      </c>
      <c r="B20000" s="1" t="str">
        <f>"71764"</f>
        <v>71764</v>
      </c>
      <c r="C20000" s="2">
        <v>1.65400089405453E-2</v>
      </c>
      <c r="D20000" s="2">
        <v>2.1126760563380202E-3</v>
      </c>
      <c r="E20000" s="2">
        <v>0</v>
      </c>
      <c r="F20000" s="2">
        <v>1.50541951023685E-2</v>
      </c>
    </row>
    <row r="20001" spans="1:6" x14ac:dyDescent="0.25">
      <c r="A20001" s="1" t="str">
        <f t="shared" si="739"/>
        <v>31620</v>
      </c>
      <c r="B20001" s="1" t="str">
        <f>"71860"</f>
        <v>71860</v>
      </c>
      <c r="C20001" s="2">
        <v>6.6309044851735896E-3</v>
      </c>
      <c r="D20001" s="2">
        <v>1.40845070422535E-3</v>
      </c>
      <c r="E20001" s="2">
        <v>0</v>
      </c>
      <c r="F20001" s="2">
        <v>6.0885855747357101E-3</v>
      </c>
    </row>
    <row r="20002" spans="1:6" x14ac:dyDescent="0.25">
      <c r="A20002" s="1" t="str">
        <f t="shared" si="739"/>
        <v>31620</v>
      </c>
      <c r="B20002" s="1" t="str">
        <f>"71753"</f>
        <v>71753</v>
      </c>
      <c r="C20002" s="2">
        <v>0.635747280584115</v>
      </c>
      <c r="D20002" s="2">
        <v>0.7</v>
      </c>
      <c r="E20002" s="2">
        <v>0.875</v>
      </c>
      <c r="F20002" s="2">
        <v>0.64351665997591301</v>
      </c>
    </row>
    <row r="20003" spans="1:6" x14ac:dyDescent="0.25">
      <c r="A20003" s="1" t="str">
        <f t="shared" si="739"/>
        <v>31620</v>
      </c>
      <c r="B20003" s="1" t="str">
        <f>"71861"</f>
        <v>71861</v>
      </c>
      <c r="C20003" s="2">
        <v>4.3957681418566499E-2</v>
      </c>
      <c r="D20003" s="2">
        <v>1.61971830985915E-2</v>
      </c>
      <c r="E20003" s="2">
        <v>9.6153846153846107E-3</v>
      </c>
      <c r="F20003" s="2">
        <v>4.1081225746019003E-2</v>
      </c>
    </row>
    <row r="20004" spans="1:6" x14ac:dyDescent="0.25">
      <c r="A20004" s="1" t="str">
        <f t="shared" si="739"/>
        <v>31620</v>
      </c>
      <c r="B20004" s="1" t="str">
        <f>"71754"</f>
        <v>71754</v>
      </c>
      <c r="C20004" s="2">
        <v>9.9463567277603901E-2</v>
      </c>
      <c r="D20004" s="2">
        <v>0.23521126760563299</v>
      </c>
      <c r="E20004" s="2">
        <v>1.9230769230769201E-2</v>
      </c>
      <c r="F20004" s="2">
        <v>0.11180248896025601</v>
      </c>
    </row>
    <row r="20005" spans="1:6" x14ac:dyDescent="0.25">
      <c r="A20005" s="1" t="str">
        <f t="shared" si="739"/>
        <v>31620</v>
      </c>
      <c r="B20005" s="1" t="str">
        <f>"71752"</f>
        <v>71752</v>
      </c>
      <c r="C20005" s="2">
        <v>3.1515422440768798E-2</v>
      </c>
      <c r="D20005" s="2">
        <v>9.8591549295774603E-3</v>
      </c>
      <c r="E20005" s="2">
        <v>2.8846153846153799E-2</v>
      </c>
      <c r="F20005" s="2">
        <v>2.9439314866853999E-2</v>
      </c>
    </row>
    <row r="20006" spans="1:6" x14ac:dyDescent="0.25">
      <c r="A20006" s="1" t="str">
        <f t="shared" ref="A20006:A20033" si="740">"31660"</f>
        <v>31660</v>
      </c>
      <c r="B20006" s="1" t="str">
        <f>"12915"</f>
        <v>12915</v>
      </c>
      <c r="C20006" s="2">
        <v>5.0693580349324798E-4</v>
      </c>
      <c r="D20006" s="2">
        <v>0</v>
      </c>
      <c r="E20006" s="2">
        <v>8.05152979066022E-4</v>
      </c>
      <c r="F20006" s="2">
        <v>4.9152125829442098E-4</v>
      </c>
    </row>
    <row r="20007" spans="1:6" x14ac:dyDescent="0.25">
      <c r="A20007" s="1" t="str">
        <f t="shared" si="740"/>
        <v>31660</v>
      </c>
      <c r="B20007" s="1" t="str">
        <f>"12986"</f>
        <v>12986</v>
      </c>
      <c r="C20007" s="2">
        <v>0.13968385639891201</v>
      </c>
      <c r="D20007" s="2">
        <v>0.15410726408689701</v>
      </c>
      <c r="E20007" s="2">
        <v>0.12801932367149699</v>
      </c>
      <c r="F20007" s="2">
        <v>0.13996067829933601</v>
      </c>
    </row>
    <row r="20008" spans="1:6" x14ac:dyDescent="0.25">
      <c r="A20008" s="1" t="str">
        <f t="shared" si="740"/>
        <v>31660</v>
      </c>
      <c r="B20008" s="1" t="str">
        <f>"12953"</f>
        <v>12953</v>
      </c>
      <c r="C20008" s="2">
        <v>0.259643301534632</v>
      </c>
      <c r="D20008" s="2">
        <v>0.42634080108621802</v>
      </c>
      <c r="E20008" s="2">
        <v>0.31078904991948397</v>
      </c>
      <c r="F20008" s="2">
        <v>0.27230277709510903</v>
      </c>
    </row>
    <row r="20009" spans="1:6" x14ac:dyDescent="0.25">
      <c r="A20009" s="1" t="str">
        <f t="shared" si="740"/>
        <v>31660</v>
      </c>
      <c r="B20009" s="1" t="str">
        <f>"12916"</f>
        <v>12916</v>
      </c>
      <c r="C20009" s="2">
        <v>3.9771418037697501E-2</v>
      </c>
      <c r="D20009" s="2">
        <v>1.22199592668024E-2</v>
      </c>
      <c r="E20009" s="2">
        <v>2.01288244766505E-2</v>
      </c>
      <c r="F20009" s="2">
        <v>3.7109855001228799E-2</v>
      </c>
    </row>
    <row r="20010" spans="1:6" x14ac:dyDescent="0.25">
      <c r="A20010" s="1" t="str">
        <f t="shared" si="740"/>
        <v>31660</v>
      </c>
      <c r="B20010" s="1" t="str">
        <f>"12955"</f>
        <v>12955</v>
      </c>
      <c r="C20010" s="2">
        <v>1.15212682612101E-3</v>
      </c>
      <c r="D20010" s="2">
        <v>0</v>
      </c>
      <c r="E20010" s="2">
        <v>0</v>
      </c>
      <c r="F20010" s="2">
        <v>1.02400262144671E-3</v>
      </c>
    </row>
    <row r="20011" spans="1:6" x14ac:dyDescent="0.25">
      <c r="A20011" s="1" t="str">
        <f t="shared" si="740"/>
        <v>31660</v>
      </c>
      <c r="B20011" s="1" t="str">
        <f>"12976"</f>
        <v>12976</v>
      </c>
      <c r="C20011" s="2">
        <v>6.2675699340983401E-3</v>
      </c>
      <c r="D20011" s="2">
        <v>0</v>
      </c>
      <c r="E20011" s="2">
        <v>8.05152979066022E-4</v>
      </c>
      <c r="F20011" s="2">
        <v>5.6115343655279704E-3</v>
      </c>
    </row>
    <row r="20012" spans="1:6" x14ac:dyDescent="0.25">
      <c r="A20012" s="1" t="str">
        <f t="shared" si="740"/>
        <v>31660</v>
      </c>
      <c r="B20012" s="1" t="str">
        <f>"12945"</f>
        <v>12945</v>
      </c>
      <c r="C20012" s="2">
        <v>9.4474399741923502E-3</v>
      </c>
      <c r="D20012" s="2">
        <v>1.3577732518669299E-3</v>
      </c>
      <c r="E20012" s="2">
        <v>8.05152979066022E-4</v>
      </c>
      <c r="F20012" s="2">
        <v>8.5197018104366303E-3</v>
      </c>
    </row>
    <row r="20013" spans="1:6" x14ac:dyDescent="0.25">
      <c r="A20013" s="1" t="str">
        <f t="shared" si="740"/>
        <v>31660</v>
      </c>
      <c r="B20013" s="1" t="str">
        <f>"12939"</f>
        <v>12939</v>
      </c>
      <c r="C20013" s="2">
        <v>0</v>
      </c>
      <c r="D20013" s="2">
        <v>0</v>
      </c>
      <c r="E20013" s="2">
        <v>8.05152979066022E-4</v>
      </c>
      <c r="F20013" s="2">
        <v>4.0960104857868401E-5</v>
      </c>
    </row>
    <row r="20014" spans="1:6" x14ac:dyDescent="0.25">
      <c r="A20014" s="1" t="str">
        <f t="shared" si="740"/>
        <v>31660</v>
      </c>
      <c r="B20014" s="1" t="str">
        <f>"12967"</f>
        <v>12967</v>
      </c>
      <c r="C20014" s="2">
        <v>1.0138716069864901E-3</v>
      </c>
      <c r="D20014" s="2">
        <v>0</v>
      </c>
      <c r="E20014" s="2">
        <v>0</v>
      </c>
      <c r="F20014" s="2">
        <v>9.0112230687310502E-4</v>
      </c>
    </row>
    <row r="20015" spans="1:6" x14ac:dyDescent="0.25">
      <c r="A20015" s="1" t="str">
        <f t="shared" si="740"/>
        <v>31660</v>
      </c>
      <c r="B20015" s="1" t="str">
        <f>"12969"</f>
        <v>12969</v>
      </c>
      <c r="C20015" s="2">
        <v>1.1475183188165299E-2</v>
      </c>
      <c r="D20015" s="2">
        <v>6.7888662593346897E-4</v>
      </c>
      <c r="E20015" s="2">
        <v>8.05152979066022E-4</v>
      </c>
      <c r="F20015" s="2">
        <v>1.02809863193249E-2</v>
      </c>
    </row>
    <row r="20016" spans="1:6" x14ac:dyDescent="0.25">
      <c r="A20016" s="1" t="str">
        <f t="shared" si="740"/>
        <v>31660</v>
      </c>
      <c r="B20016" s="1" t="str">
        <f>"12912"</f>
        <v>12912</v>
      </c>
      <c r="C20016" s="2">
        <v>5.0693580349324798E-4</v>
      </c>
      <c r="D20016" s="2">
        <v>0</v>
      </c>
      <c r="E20016" s="2">
        <v>0</v>
      </c>
      <c r="F20016" s="2">
        <v>4.5056115343655202E-4</v>
      </c>
    </row>
    <row r="20017" spans="1:6" x14ac:dyDescent="0.25">
      <c r="A20017" s="1" t="str">
        <f t="shared" si="740"/>
        <v>31660</v>
      </c>
      <c r="B20017" s="1" t="str">
        <f>"12937"</f>
        <v>12937</v>
      </c>
      <c r="C20017" s="2">
        <v>2.73284483155905E-2</v>
      </c>
      <c r="D20017" s="2">
        <v>1.0183299389002001E-2</v>
      </c>
      <c r="E20017" s="2">
        <v>2.4154589371980601E-3</v>
      </c>
      <c r="F20017" s="2">
        <v>2.5026624068157598E-2</v>
      </c>
    </row>
    <row r="20018" spans="1:6" x14ac:dyDescent="0.25">
      <c r="A20018" s="1" t="str">
        <f t="shared" si="740"/>
        <v>31660</v>
      </c>
      <c r="B20018" s="1" t="str">
        <f>"12926"</f>
        <v>12926</v>
      </c>
      <c r="C20018" s="2">
        <v>4.4979031291764497E-2</v>
      </c>
      <c r="D20018" s="2">
        <v>1.08621860149355E-2</v>
      </c>
      <c r="E20018" s="2">
        <v>2.0933977455716499E-2</v>
      </c>
      <c r="F20018" s="2">
        <v>4.1697386745309997E-2</v>
      </c>
    </row>
    <row r="20019" spans="1:6" x14ac:dyDescent="0.25">
      <c r="A20019" s="1" t="str">
        <f t="shared" si="740"/>
        <v>31660</v>
      </c>
      <c r="B20019" s="1" t="str">
        <f>"12995"</f>
        <v>12995</v>
      </c>
      <c r="C20019" s="2">
        <v>0</v>
      </c>
      <c r="D20019" s="2">
        <v>0</v>
      </c>
      <c r="E20019" s="2">
        <v>8.05152979066022E-4</v>
      </c>
      <c r="F20019" s="2">
        <v>4.0960104857868401E-5</v>
      </c>
    </row>
    <row r="20020" spans="1:6" x14ac:dyDescent="0.25">
      <c r="A20020" s="1" t="str">
        <f t="shared" si="740"/>
        <v>31660</v>
      </c>
      <c r="B20020" s="1" t="str">
        <f>"12966"</f>
        <v>12966</v>
      </c>
      <c r="C20020" s="2">
        <v>6.03714456887414E-2</v>
      </c>
      <c r="D20020" s="2">
        <v>2.0366598778004001E-2</v>
      </c>
      <c r="E20020" s="2">
        <v>9.6618357487922701E-3</v>
      </c>
      <c r="F20020" s="2">
        <v>5.5378061767838098E-2</v>
      </c>
    </row>
    <row r="20021" spans="1:6" x14ac:dyDescent="0.25">
      <c r="A20021" s="1" t="str">
        <f t="shared" si="740"/>
        <v>31660</v>
      </c>
      <c r="B20021" s="1" t="str">
        <f>"12980"</f>
        <v>12980</v>
      </c>
      <c r="C20021" s="2">
        <v>1.85261993640259E-2</v>
      </c>
      <c r="D20021" s="2">
        <v>6.7888662593346902E-3</v>
      </c>
      <c r="E20021" s="2">
        <v>5.6360708534621499E-3</v>
      </c>
      <c r="F20021" s="2">
        <v>1.71622839354468E-2</v>
      </c>
    </row>
    <row r="20022" spans="1:6" x14ac:dyDescent="0.25">
      <c r="A20022" s="1" t="str">
        <f t="shared" si="740"/>
        <v>31660</v>
      </c>
      <c r="B20022" s="1" t="str">
        <f>"12957"</f>
        <v>12957</v>
      </c>
      <c r="C20022" s="2">
        <v>3.47020600027651E-2</v>
      </c>
      <c r="D20022" s="2">
        <v>6.1099796334012201E-3</v>
      </c>
      <c r="E20022" s="2">
        <v>8.8566827697262405E-3</v>
      </c>
      <c r="F20022" s="2">
        <v>3.1662161055132303E-2</v>
      </c>
    </row>
    <row r="20023" spans="1:6" x14ac:dyDescent="0.25">
      <c r="A20023" s="1" t="str">
        <f t="shared" si="740"/>
        <v>31660</v>
      </c>
      <c r="B20023" s="1" t="str">
        <f>"12970"</f>
        <v>12970</v>
      </c>
      <c r="C20023" s="2">
        <v>6.2214848610535004E-3</v>
      </c>
      <c r="D20023" s="2">
        <v>6.7888662593346897E-4</v>
      </c>
      <c r="E20023" s="2">
        <v>1.6103059581320401E-3</v>
      </c>
      <c r="F20023" s="2">
        <v>5.6524944703858397E-3</v>
      </c>
    </row>
    <row r="20024" spans="1:6" x14ac:dyDescent="0.25">
      <c r="A20024" s="1" t="str">
        <f t="shared" si="740"/>
        <v>31660</v>
      </c>
      <c r="B20024" s="1" t="str">
        <f>"13683"</f>
        <v>13683</v>
      </c>
      <c r="C20024" s="2">
        <v>9.2170146089681497E-5</v>
      </c>
      <c r="D20024" s="2">
        <v>0</v>
      </c>
      <c r="E20024" s="2">
        <v>8.05152979066022E-4</v>
      </c>
      <c r="F20024" s="2">
        <v>1.22880314573605E-4</v>
      </c>
    </row>
    <row r="20025" spans="1:6" x14ac:dyDescent="0.25">
      <c r="A20025" s="1" t="str">
        <f t="shared" si="740"/>
        <v>31660</v>
      </c>
      <c r="B20025" s="1" t="str">
        <f>"13655"</f>
        <v>13655</v>
      </c>
      <c r="C20025" s="2">
        <v>6.4334761970597704E-2</v>
      </c>
      <c r="D20025" s="2">
        <v>5.90631364562118E-2</v>
      </c>
      <c r="E20025" s="2">
        <v>4.5893719806763197E-2</v>
      </c>
      <c r="F20025" s="2">
        <v>6.3078561481117304E-2</v>
      </c>
    </row>
    <row r="20026" spans="1:6" x14ac:dyDescent="0.25">
      <c r="A20026" s="1" t="str">
        <f t="shared" si="740"/>
        <v>31660</v>
      </c>
      <c r="B20026" s="1" t="str">
        <f>"12930"</f>
        <v>12930</v>
      </c>
      <c r="C20026" s="2">
        <v>1.35029264021383E-2</v>
      </c>
      <c r="D20026" s="2">
        <v>2.7155465037338698E-3</v>
      </c>
      <c r="E20026" s="2">
        <v>3.2206119162640902E-3</v>
      </c>
      <c r="F20026" s="2">
        <v>1.2328991562218301E-2</v>
      </c>
    </row>
    <row r="20027" spans="1:6" x14ac:dyDescent="0.25">
      <c r="A20027" s="1" t="str">
        <f t="shared" si="740"/>
        <v>31660</v>
      </c>
      <c r="B20027" s="1" t="str">
        <f>"12913"</f>
        <v>12913</v>
      </c>
      <c r="C20027" s="2">
        <v>4.0554864279459804E-3</v>
      </c>
      <c r="D20027" s="2">
        <v>6.7888662593346897E-4</v>
      </c>
      <c r="E20027" s="2">
        <v>0</v>
      </c>
      <c r="F20027" s="2">
        <v>3.6454493323502899E-3</v>
      </c>
    </row>
    <row r="20028" spans="1:6" x14ac:dyDescent="0.25">
      <c r="A20028" s="1" t="str">
        <f t="shared" si="740"/>
        <v>31660</v>
      </c>
      <c r="B20028" s="1" t="str">
        <f>"12981"</f>
        <v>12981</v>
      </c>
      <c r="C20028" s="2">
        <v>4.1476565740356598E-4</v>
      </c>
      <c r="D20028" s="2">
        <v>0</v>
      </c>
      <c r="E20028" s="2">
        <v>8.05152979066022E-4</v>
      </c>
      <c r="F20028" s="2">
        <v>4.0960104857868399E-4</v>
      </c>
    </row>
    <row r="20029" spans="1:6" x14ac:dyDescent="0.25">
      <c r="A20029" s="1" t="str">
        <f t="shared" si="740"/>
        <v>31660</v>
      </c>
      <c r="B20029" s="1" t="str">
        <f>"12983"</f>
        <v>12983</v>
      </c>
      <c r="C20029" s="2">
        <v>0.13125028803170599</v>
      </c>
      <c r="D20029" s="2">
        <v>0.24575695858791499</v>
      </c>
      <c r="E20029" s="2">
        <v>0.40499194847020897</v>
      </c>
      <c r="F20029" s="2">
        <v>0.15208486933726501</v>
      </c>
    </row>
    <row r="20030" spans="1:6" x14ac:dyDescent="0.25">
      <c r="A20030" s="1" t="str">
        <f t="shared" si="740"/>
        <v>31660</v>
      </c>
      <c r="B20030" s="1" t="str">
        <f>"12989"</f>
        <v>12989</v>
      </c>
      <c r="C20030" s="2">
        <v>2.2904281303285801E-2</v>
      </c>
      <c r="D20030" s="2">
        <v>2.7155465037338698E-3</v>
      </c>
      <c r="E20030" s="2">
        <v>2.4154589371980601E-3</v>
      </c>
      <c r="F20030" s="2">
        <v>2.06438928483656E-2</v>
      </c>
    </row>
    <row r="20031" spans="1:6" x14ac:dyDescent="0.25">
      <c r="A20031" s="1" t="str">
        <f t="shared" si="740"/>
        <v>31660</v>
      </c>
      <c r="B20031" s="1" t="str">
        <f>"12914"</f>
        <v>12914</v>
      </c>
      <c r="C20031" s="2">
        <v>1.6268030784828701E-2</v>
      </c>
      <c r="D20031" s="2">
        <v>5.4310930074677501E-3</v>
      </c>
      <c r="E20031" s="2">
        <v>5.6360708534621499E-3</v>
      </c>
      <c r="F20031" s="2">
        <v>1.50733185876955E-2</v>
      </c>
    </row>
    <row r="20032" spans="1:6" x14ac:dyDescent="0.25">
      <c r="A20032" s="1" t="str">
        <f t="shared" si="740"/>
        <v>31660</v>
      </c>
      <c r="B20032" s="1" t="str">
        <f>"12917"</f>
        <v>12917</v>
      </c>
      <c r="C20032" s="2">
        <v>2.7374533388635401E-2</v>
      </c>
      <c r="D20032" s="2">
        <v>1.0183299389002001E-2</v>
      </c>
      <c r="E20032" s="2">
        <v>4.8309178743961298E-3</v>
      </c>
      <c r="F20032" s="2">
        <v>2.5190464487589E-2</v>
      </c>
    </row>
    <row r="20033" spans="1:6" x14ac:dyDescent="0.25">
      <c r="A20033" s="1" t="str">
        <f t="shared" si="740"/>
        <v>31660</v>
      </c>
      <c r="B20033" s="1" t="str">
        <f>"12920"</f>
        <v>12920</v>
      </c>
      <c r="C20033" s="2">
        <v>5.8205447255633903E-2</v>
      </c>
      <c r="D20033" s="2">
        <v>2.3761031907671398E-2</v>
      </c>
      <c r="E20033" s="2">
        <v>1.85185185185185E-2</v>
      </c>
      <c r="F20033" s="2">
        <v>5.4108298517244198E-2</v>
      </c>
    </row>
    <row r="20034" spans="1:6" x14ac:dyDescent="0.25">
      <c r="A20034" s="1" t="str">
        <f t="shared" ref="A20034:A20047" si="741">"31680"</f>
        <v>31680</v>
      </c>
      <c r="B20034" s="1" t="str">
        <f>"72128"</f>
        <v>72128</v>
      </c>
      <c r="C20034" s="2">
        <v>4.8068256924833197E-4</v>
      </c>
      <c r="D20034" s="2">
        <v>0</v>
      </c>
      <c r="E20034" s="2">
        <v>0</v>
      </c>
      <c r="F20034" s="2">
        <v>4.4390189768061199E-4</v>
      </c>
    </row>
    <row r="20035" spans="1:6" x14ac:dyDescent="0.25">
      <c r="A20035" s="1" t="str">
        <f t="shared" si="741"/>
        <v>31680</v>
      </c>
      <c r="B20035" s="1" t="str">
        <f>"71923"</f>
        <v>71923</v>
      </c>
      <c r="C20035" s="2">
        <v>1.7544913777564099E-2</v>
      </c>
      <c r="D20035" s="2">
        <v>8.6410054988216804E-3</v>
      </c>
      <c r="E20035" s="2">
        <v>0</v>
      </c>
      <c r="F20035" s="2">
        <v>1.6812784374653202E-2</v>
      </c>
    </row>
    <row r="20036" spans="1:6" x14ac:dyDescent="0.25">
      <c r="A20036" s="1" t="str">
        <f t="shared" si="741"/>
        <v>31680</v>
      </c>
      <c r="B20036" s="1" t="str">
        <f>"71941"</f>
        <v>71941</v>
      </c>
      <c r="C20036" s="2">
        <v>5.95445532656372E-2</v>
      </c>
      <c r="D20036" s="2">
        <v>2.7494108405341701E-2</v>
      </c>
      <c r="E20036" s="2">
        <v>9.4339622641509396E-3</v>
      </c>
      <c r="F20036" s="2">
        <v>5.6985906114748602E-2</v>
      </c>
    </row>
    <row r="20037" spans="1:6" x14ac:dyDescent="0.25">
      <c r="A20037" s="1" t="str">
        <f t="shared" si="741"/>
        <v>31680</v>
      </c>
      <c r="B20037" s="1" t="str">
        <f>"72167"</f>
        <v>72167</v>
      </c>
      <c r="C20037" s="2">
        <v>1.38196238658895E-2</v>
      </c>
      <c r="D20037" s="2">
        <v>0</v>
      </c>
      <c r="E20037" s="2">
        <v>0</v>
      </c>
      <c r="F20037" s="2">
        <v>1.2762179558317601E-2</v>
      </c>
    </row>
    <row r="20038" spans="1:6" x14ac:dyDescent="0.25">
      <c r="A20038" s="1" t="str">
        <f t="shared" si="741"/>
        <v>31680</v>
      </c>
      <c r="B20038" s="1" t="str">
        <f>"71933"</f>
        <v>71933</v>
      </c>
      <c r="C20038" s="2">
        <v>1.9888241302649701E-2</v>
      </c>
      <c r="D20038" s="2">
        <v>5.4988216810683398E-3</v>
      </c>
      <c r="E20038" s="2">
        <v>9.4339622641509396E-3</v>
      </c>
      <c r="F20038" s="2">
        <v>1.8810342914215902E-2</v>
      </c>
    </row>
    <row r="20039" spans="1:6" x14ac:dyDescent="0.25">
      <c r="A20039" s="1" t="str">
        <f t="shared" si="741"/>
        <v>31680</v>
      </c>
      <c r="B20039" s="1" t="str">
        <f>"71943"</f>
        <v>71943</v>
      </c>
      <c r="C20039" s="2">
        <v>2.34332752508562E-3</v>
      </c>
      <c r="D20039" s="2">
        <v>2.3566378633150002E-3</v>
      </c>
      <c r="E20039" s="2">
        <v>0</v>
      </c>
      <c r="F20039" s="2">
        <v>2.3304849628232099E-3</v>
      </c>
    </row>
    <row r="20040" spans="1:6" x14ac:dyDescent="0.25">
      <c r="A20040" s="1" t="str">
        <f t="shared" si="741"/>
        <v>31680</v>
      </c>
      <c r="B20040" s="1" t="str">
        <f>"72104"</f>
        <v>72104</v>
      </c>
      <c r="C20040" s="2">
        <v>0.66153938592801698</v>
      </c>
      <c r="D20040" s="2">
        <v>0.83582089552238803</v>
      </c>
      <c r="E20040" s="2">
        <v>0.79245283018867896</v>
      </c>
      <c r="F20040" s="2">
        <v>0.67461990900011004</v>
      </c>
    </row>
    <row r="20041" spans="1:6" x14ac:dyDescent="0.25">
      <c r="A20041" s="1" t="str">
        <f t="shared" si="741"/>
        <v>31680</v>
      </c>
      <c r="B20041" s="1" t="str">
        <f>"71913"</f>
        <v>71913</v>
      </c>
      <c r="C20041" s="2">
        <v>2.4574896352821E-2</v>
      </c>
      <c r="D20041" s="2">
        <v>5.4988216810683398E-3</v>
      </c>
      <c r="E20041" s="2">
        <v>0</v>
      </c>
      <c r="F20041" s="2">
        <v>2.3082898679391801E-2</v>
      </c>
    </row>
    <row r="20042" spans="1:6" x14ac:dyDescent="0.25">
      <c r="A20042" s="1" t="str">
        <f t="shared" si="741"/>
        <v>31680</v>
      </c>
      <c r="B20042" s="1" t="str">
        <f>"71929"</f>
        <v>71929</v>
      </c>
      <c r="C20042" s="2">
        <v>0.168719581806164</v>
      </c>
      <c r="D20042" s="2">
        <v>0.110761979575805</v>
      </c>
      <c r="E20042" s="2">
        <v>0.179245283018867</v>
      </c>
      <c r="F20042" s="2">
        <v>0.164687604039507</v>
      </c>
    </row>
    <row r="20043" spans="1:6" x14ac:dyDescent="0.25">
      <c r="A20043" s="1" t="str">
        <f t="shared" si="741"/>
        <v>31680</v>
      </c>
      <c r="B20043" s="1" t="str">
        <f>"72084"</f>
        <v>72084</v>
      </c>
      <c r="C20043" s="2">
        <v>6.2488734002283204E-3</v>
      </c>
      <c r="D20043" s="2">
        <v>2.3566378633150002E-3</v>
      </c>
      <c r="E20043" s="2">
        <v>0</v>
      </c>
      <c r="F20043" s="2">
        <v>5.9371878814781899E-3</v>
      </c>
    </row>
    <row r="20044" spans="1:6" x14ac:dyDescent="0.25">
      <c r="A20044" s="1" t="str">
        <f t="shared" si="741"/>
        <v>31680</v>
      </c>
      <c r="B20044" s="1" t="str">
        <f>"71942"</f>
        <v>71942</v>
      </c>
      <c r="C20044" s="2">
        <v>0</v>
      </c>
      <c r="D20044" s="2">
        <v>0</v>
      </c>
      <c r="E20044" s="2">
        <v>9.4339622641509396E-3</v>
      </c>
      <c r="F20044" s="2">
        <v>5.5487737210076499E-5</v>
      </c>
    </row>
    <row r="20045" spans="1:6" x14ac:dyDescent="0.25">
      <c r="A20045" s="1" t="str">
        <f t="shared" si="741"/>
        <v>31680</v>
      </c>
      <c r="B20045" s="1" t="str">
        <f>"71964"</f>
        <v>71964</v>
      </c>
      <c r="C20045" s="2">
        <v>1.0334675238839099E-2</v>
      </c>
      <c r="D20045" s="2">
        <v>7.8554595443833405E-4</v>
      </c>
      <c r="E20045" s="2">
        <v>0</v>
      </c>
      <c r="F20045" s="2">
        <v>9.5993785373432398E-3</v>
      </c>
    </row>
    <row r="20046" spans="1:6" x14ac:dyDescent="0.25">
      <c r="A20046" s="1" t="str">
        <f t="shared" si="741"/>
        <v>31680</v>
      </c>
      <c r="B20046" s="1" t="str">
        <f>"71921"</f>
        <v>71921</v>
      </c>
      <c r="C20046" s="2">
        <v>1.29784293697049E-2</v>
      </c>
      <c r="D20046" s="2">
        <v>0</v>
      </c>
      <c r="E20046" s="2">
        <v>0</v>
      </c>
      <c r="F20046" s="2">
        <v>1.19853512373765E-2</v>
      </c>
    </row>
    <row r="20047" spans="1:6" x14ac:dyDescent="0.25">
      <c r="A20047" s="1" t="str">
        <f t="shared" si="741"/>
        <v>31680</v>
      </c>
      <c r="B20047" s="1" t="str">
        <f>"71901"</f>
        <v>71901</v>
      </c>
      <c r="C20047" s="2">
        <v>1.9828155981493701E-3</v>
      </c>
      <c r="D20047" s="2">
        <v>7.8554595443833405E-4</v>
      </c>
      <c r="E20047" s="2">
        <v>0</v>
      </c>
      <c r="F20047" s="2">
        <v>1.8865830651425999E-3</v>
      </c>
    </row>
    <row r="20048" spans="1:6" x14ac:dyDescent="0.25">
      <c r="A20048" s="1" t="str">
        <f t="shared" ref="A20048:A20090" si="742">"31700"</f>
        <v>31700</v>
      </c>
      <c r="B20048" s="1" t="str">
        <f>"03106"</f>
        <v>03106</v>
      </c>
      <c r="C20048" s="2">
        <v>9.73641364612463E-5</v>
      </c>
      <c r="D20048" s="2">
        <v>0</v>
      </c>
      <c r="E20048" s="2">
        <v>0</v>
      </c>
      <c r="F20048" s="2">
        <v>8.4131413267523797E-5</v>
      </c>
    </row>
    <row r="20049" spans="1:6" x14ac:dyDescent="0.25">
      <c r="A20049" s="1" t="str">
        <f t="shared" si="742"/>
        <v>31700</v>
      </c>
      <c r="B20049" s="1" t="str">
        <f>"03280"</f>
        <v>03280</v>
      </c>
      <c r="C20049" s="2">
        <v>5.4091186922914599E-6</v>
      </c>
      <c r="D20049" s="2">
        <v>0</v>
      </c>
      <c r="E20049" s="2">
        <v>0</v>
      </c>
      <c r="F20049" s="2">
        <v>4.67396740375132E-6</v>
      </c>
    </row>
    <row r="20050" spans="1:6" x14ac:dyDescent="0.25">
      <c r="A20050" s="1" t="str">
        <f t="shared" si="742"/>
        <v>31700</v>
      </c>
      <c r="B20050" s="1" t="str">
        <f>"03062"</f>
        <v>03062</v>
      </c>
      <c r="C20050" s="2">
        <v>6.6223840149724406E-2</v>
      </c>
      <c r="D20050" s="2">
        <v>2.4485470466841401E-2</v>
      </c>
      <c r="E20050" s="2">
        <v>4.3232576912727499E-2</v>
      </c>
      <c r="F20050" s="2">
        <v>6.1528106902982403E-2</v>
      </c>
    </row>
    <row r="20051" spans="1:6" x14ac:dyDescent="0.25">
      <c r="A20051" s="1" t="str">
        <f t="shared" si="742"/>
        <v>31700</v>
      </c>
      <c r="B20051" s="1" t="str">
        <f>"03055"</f>
        <v>03055</v>
      </c>
      <c r="C20051" s="2">
        <v>4.1644804811951902E-2</v>
      </c>
      <c r="D20051" s="2">
        <v>4.6963020804283502E-2</v>
      </c>
      <c r="E20051" s="2">
        <v>3.9286034621939102E-2</v>
      </c>
      <c r="F20051" s="2">
        <v>4.1967553318283099E-2</v>
      </c>
    </row>
    <row r="20052" spans="1:6" x14ac:dyDescent="0.25">
      <c r="A20052" s="1" t="str">
        <f t="shared" si="742"/>
        <v>31700</v>
      </c>
      <c r="B20052" s="1" t="str">
        <f>"03084"</f>
        <v>03084</v>
      </c>
      <c r="C20052" s="2">
        <v>2.8506055508375999E-3</v>
      </c>
      <c r="D20052" s="2">
        <v>3.3465335489988202E-4</v>
      </c>
      <c r="E20052" s="2">
        <v>6.2785900080724699E-4</v>
      </c>
      <c r="F20052" s="2">
        <v>2.52394239802571E-3</v>
      </c>
    </row>
    <row r="20053" spans="1:6" x14ac:dyDescent="0.25">
      <c r="A20053" s="1" t="str">
        <f t="shared" si="742"/>
        <v>31700</v>
      </c>
      <c r="B20053" s="1" t="str">
        <f>"03071"</f>
        <v>03071</v>
      </c>
      <c r="C20053" s="2">
        <v>1.0088006361123499E-2</v>
      </c>
      <c r="D20053" s="2">
        <v>2.0636956885492701E-3</v>
      </c>
      <c r="E20053" s="2">
        <v>3.13929500403623E-3</v>
      </c>
      <c r="F20053" s="2">
        <v>9.0534748610663109E-3</v>
      </c>
    </row>
    <row r="20054" spans="1:6" x14ac:dyDescent="0.25">
      <c r="A20054" s="1" t="str">
        <f t="shared" si="742"/>
        <v>31700</v>
      </c>
      <c r="B20054" s="1" t="str">
        <f>"03070"</f>
        <v>03070</v>
      </c>
      <c r="C20054" s="2">
        <v>1.1478149865042401E-2</v>
      </c>
      <c r="D20054" s="2">
        <v>1.67326677449941E-3</v>
      </c>
      <c r="E20054" s="2">
        <v>8.9694142972463798E-4</v>
      </c>
      <c r="F20054" s="2">
        <v>1.01051175269103E-2</v>
      </c>
    </row>
    <row r="20055" spans="1:6" x14ac:dyDescent="0.25">
      <c r="A20055" s="1" t="str">
        <f t="shared" si="742"/>
        <v>31700</v>
      </c>
      <c r="B20055" s="1" t="str">
        <f>"03103"</f>
        <v>03103</v>
      </c>
      <c r="C20055" s="2">
        <v>8.40198406473633E-2</v>
      </c>
      <c r="D20055" s="2">
        <v>8.5392381058620098E-2</v>
      </c>
      <c r="E20055" s="2">
        <v>0.19732711453942001</v>
      </c>
      <c r="F20055" s="2">
        <v>9.0039308065865506E-2</v>
      </c>
    </row>
    <row r="20056" spans="1:6" x14ac:dyDescent="0.25">
      <c r="A20056" s="1" t="str">
        <f t="shared" si="742"/>
        <v>31700</v>
      </c>
      <c r="B20056" s="1" t="str">
        <f>"03048"</f>
        <v>03048</v>
      </c>
      <c r="C20056" s="2">
        <v>7.0048087065174404E-3</v>
      </c>
      <c r="D20056" s="2">
        <v>1.9521445702493101E-3</v>
      </c>
      <c r="E20056" s="2">
        <v>2.2423535743115899E-3</v>
      </c>
      <c r="F20056" s="2">
        <v>6.3332258320830401E-3</v>
      </c>
    </row>
    <row r="20057" spans="1:6" x14ac:dyDescent="0.25">
      <c r="A20057" s="1" t="str">
        <f t="shared" si="742"/>
        <v>31700</v>
      </c>
      <c r="B20057" s="1" t="str">
        <f>"03031"</f>
        <v>03031</v>
      </c>
      <c r="C20057" s="2">
        <v>2.9014512665451402E-2</v>
      </c>
      <c r="D20057" s="2">
        <v>5.3879190138881101E-2</v>
      </c>
      <c r="E20057" s="2">
        <v>1.04045205848058E-2</v>
      </c>
      <c r="F20057" s="2">
        <v>3.0128393884580999E-2</v>
      </c>
    </row>
    <row r="20058" spans="1:6" x14ac:dyDescent="0.25">
      <c r="A20058" s="1" t="str">
        <f t="shared" si="742"/>
        <v>31700</v>
      </c>
      <c r="B20058" s="1" t="str">
        <f>"03281"</f>
        <v>03281</v>
      </c>
      <c r="C20058" s="2">
        <v>1.9402508749249401E-2</v>
      </c>
      <c r="D20058" s="2">
        <v>6.86039377544759E-3</v>
      </c>
      <c r="E20058" s="2">
        <v>8.1621670104942094E-3</v>
      </c>
      <c r="F20058" s="2">
        <v>1.7765750101658699E-2</v>
      </c>
    </row>
    <row r="20059" spans="1:6" x14ac:dyDescent="0.25">
      <c r="A20059" s="1" t="str">
        <f t="shared" si="742"/>
        <v>31700</v>
      </c>
      <c r="B20059" s="1" t="str">
        <f>"03104"</f>
        <v>03104</v>
      </c>
      <c r="C20059" s="2">
        <v>8.0839278856295896E-2</v>
      </c>
      <c r="D20059" s="2">
        <v>3.92659936415862E-2</v>
      </c>
      <c r="E20059" s="2">
        <v>0.13194008431249399</v>
      </c>
      <c r="F20059" s="2">
        <v>8.0018321952222707E-2</v>
      </c>
    </row>
    <row r="20060" spans="1:6" x14ac:dyDescent="0.25">
      <c r="A20060" s="1" t="str">
        <f t="shared" si="742"/>
        <v>31700</v>
      </c>
      <c r="B20060" s="1" t="str">
        <f>"03244"</f>
        <v>03244</v>
      </c>
      <c r="C20060" s="2">
        <v>1.76229086994855E-2</v>
      </c>
      <c r="D20060" s="2">
        <v>5.8006581515979601E-3</v>
      </c>
      <c r="E20060" s="2">
        <v>5.2022602924028999E-3</v>
      </c>
      <c r="F20060" s="2">
        <v>1.59849685208295E-2</v>
      </c>
    </row>
    <row r="20061" spans="1:6" x14ac:dyDescent="0.25">
      <c r="A20061" s="1" t="str">
        <f t="shared" si="742"/>
        <v>31700</v>
      </c>
      <c r="B20061" s="1" t="str">
        <f>"03458"</f>
        <v>03458</v>
      </c>
      <c r="C20061" s="2">
        <v>1.8050229076176601E-2</v>
      </c>
      <c r="D20061" s="2">
        <v>2.73857995426404E-2</v>
      </c>
      <c r="E20061" s="2">
        <v>2.0809041169611599E-2</v>
      </c>
      <c r="F20061" s="2">
        <v>1.89763076592303E-2</v>
      </c>
    </row>
    <row r="20062" spans="1:6" x14ac:dyDescent="0.25">
      <c r="A20062" s="1" t="str">
        <f t="shared" si="742"/>
        <v>31700</v>
      </c>
      <c r="B20062" s="1" t="str">
        <f>"03110"</f>
        <v>03110</v>
      </c>
      <c r="C20062" s="2">
        <v>4.7237833539781303E-2</v>
      </c>
      <c r="D20062" s="2">
        <v>8.1153438563221506E-2</v>
      </c>
      <c r="E20062" s="2">
        <v>2.3768947887702899E-2</v>
      </c>
      <c r="F20062" s="2">
        <v>4.8856981271412601E-2</v>
      </c>
    </row>
    <row r="20063" spans="1:6" x14ac:dyDescent="0.25">
      <c r="A20063" s="1" t="str">
        <f t="shared" si="742"/>
        <v>31700</v>
      </c>
      <c r="B20063" s="1" t="str">
        <f>"03101"</f>
        <v>03101</v>
      </c>
      <c r="C20063" s="2">
        <v>1.24409729922703E-2</v>
      </c>
      <c r="D20063" s="2">
        <v>8.9296670199118702E-2</v>
      </c>
      <c r="E20063" s="2">
        <v>4.9421472777827602E-2</v>
      </c>
      <c r="F20063" s="2">
        <v>2.08085028815009E-2</v>
      </c>
    </row>
    <row r="20064" spans="1:6" x14ac:dyDescent="0.25">
      <c r="A20064" s="1" t="str">
        <f t="shared" si="742"/>
        <v>31700</v>
      </c>
      <c r="B20064" s="1" t="str">
        <f>"03086"</f>
        <v>03086</v>
      </c>
      <c r="C20064" s="2">
        <v>7.4104926084393001E-3</v>
      </c>
      <c r="D20064" s="2">
        <v>2.0079201293992902E-3</v>
      </c>
      <c r="E20064" s="2">
        <v>1.4351062875594201E-3</v>
      </c>
      <c r="F20064" s="2">
        <v>6.6463816481343802E-3</v>
      </c>
    </row>
    <row r="20065" spans="1:6" x14ac:dyDescent="0.25">
      <c r="A20065" s="1" t="str">
        <f t="shared" si="742"/>
        <v>31700</v>
      </c>
      <c r="B20065" s="1" t="str">
        <f>"03051"</f>
        <v>03051</v>
      </c>
      <c r="C20065" s="2">
        <v>5.62007432129083E-2</v>
      </c>
      <c r="D20065" s="2">
        <v>6.3193708516927793E-2</v>
      </c>
      <c r="E20065" s="2">
        <v>2.18853708852811E-2</v>
      </c>
      <c r="F20065" s="2">
        <v>5.49985744399418E-2</v>
      </c>
    </row>
    <row r="20066" spans="1:6" x14ac:dyDescent="0.25">
      <c r="A20066" s="1" t="str">
        <f t="shared" si="742"/>
        <v>31700</v>
      </c>
      <c r="B20066" s="1" t="str">
        <f>"03047"</f>
        <v>03047</v>
      </c>
      <c r="C20066" s="2">
        <v>3.4131538948359102E-3</v>
      </c>
      <c r="D20066" s="2">
        <v>6.6930670979976502E-4</v>
      </c>
      <c r="E20066" s="2">
        <v>1.3454121445869501E-3</v>
      </c>
      <c r="F20066" s="2">
        <v>3.0754705516683701E-3</v>
      </c>
    </row>
    <row r="20067" spans="1:6" x14ac:dyDescent="0.25">
      <c r="A20067" s="1" t="str">
        <f t="shared" si="742"/>
        <v>31700</v>
      </c>
      <c r="B20067" s="1" t="str">
        <f>"03043"</f>
        <v>03043</v>
      </c>
      <c r="C20067" s="2">
        <v>3.4077447761436202E-3</v>
      </c>
      <c r="D20067" s="2">
        <v>3.9042891404986299E-4</v>
      </c>
      <c r="E20067" s="2">
        <v>5.3816485783478296E-4</v>
      </c>
      <c r="F20067" s="2">
        <v>3.0053610406120999E-3</v>
      </c>
    </row>
    <row r="20068" spans="1:6" x14ac:dyDescent="0.25">
      <c r="A20068" s="1" t="str">
        <f t="shared" si="742"/>
        <v>31700</v>
      </c>
      <c r="B20068" s="1" t="str">
        <f>"03060"</f>
        <v>03060</v>
      </c>
      <c r="C20068" s="2">
        <v>7.7977855068073698E-2</v>
      </c>
      <c r="D20068" s="2">
        <v>0.120029003290757</v>
      </c>
      <c r="E20068" s="2">
        <v>0.112297067001524</v>
      </c>
      <c r="F20068" s="2">
        <v>8.3290099134848597E-2</v>
      </c>
    </row>
    <row r="20069" spans="1:6" x14ac:dyDescent="0.25">
      <c r="A20069" s="1" t="str">
        <f t="shared" si="742"/>
        <v>31700</v>
      </c>
      <c r="B20069" s="1" t="str">
        <f>"03052"</f>
        <v>03052</v>
      </c>
      <c r="C20069" s="2">
        <v>1.72929524592558E-2</v>
      </c>
      <c r="D20069" s="2">
        <v>3.6254113447487298E-3</v>
      </c>
      <c r="E20069" s="2">
        <v>4.1259305767333302E-3</v>
      </c>
      <c r="F20069" s="2">
        <v>1.5461484171609301E-2</v>
      </c>
    </row>
    <row r="20070" spans="1:6" x14ac:dyDescent="0.25">
      <c r="A20070" s="1" t="str">
        <f t="shared" si="742"/>
        <v>31700</v>
      </c>
      <c r="B20070" s="1" t="str">
        <f>"03105"</f>
        <v>03105</v>
      </c>
      <c r="C20070" s="2">
        <v>9.9960513433546196E-3</v>
      </c>
      <c r="D20070" s="2">
        <v>1.9577221261643098E-2</v>
      </c>
      <c r="E20070" s="2">
        <v>8.9694142972463796E-5</v>
      </c>
      <c r="F20070" s="2">
        <v>1.02827282882529E-2</v>
      </c>
    </row>
    <row r="20071" spans="1:6" x14ac:dyDescent="0.25">
      <c r="A20071" s="1" t="str">
        <f t="shared" si="742"/>
        <v>31700</v>
      </c>
      <c r="B20071" s="1" t="str">
        <f>"03108"</f>
        <v>03108</v>
      </c>
      <c r="C20071" s="2">
        <v>6.5558518550572504E-3</v>
      </c>
      <c r="D20071" s="2">
        <v>2.2756428133192001E-2</v>
      </c>
      <c r="E20071" s="2">
        <v>1.79388285944927E-4</v>
      </c>
      <c r="F20071" s="2">
        <v>7.5811751288846502E-3</v>
      </c>
    </row>
    <row r="20072" spans="1:6" x14ac:dyDescent="0.25">
      <c r="A20072" s="1" t="str">
        <f t="shared" si="742"/>
        <v>31700</v>
      </c>
      <c r="B20072" s="1" t="str">
        <f>"03109"</f>
        <v>03109</v>
      </c>
      <c r="C20072" s="2">
        <v>2.42166243853888E-2</v>
      </c>
      <c r="D20072" s="2">
        <v>2.36488370795917E-2</v>
      </c>
      <c r="E20072" s="2">
        <v>1.4889227733428999E-2</v>
      </c>
      <c r="F20072" s="2">
        <v>2.36829928348079E-2</v>
      </c>
    </row>
    <row r="20073" spans="1:6" x14ac:dyDescent="0.25">
      <c r="A20073" s="1" t="str">
        <f t="shared" si="742"/>
        <v>31700</v>
      </c>
      <c r="B20073" s="1" t="str">
        <f>"03452"</f>
        <v>03452</v>
      </c>
      <c r="C20073" s="2">
        <v>1.6227356076874301E-5</v>
      </c>
      <c r="D20073" s="2">
        <v>0</v>
      </c>
      <c r="E20073" s="2">
        <v>0</v>
      </c>
      <c r="F20073" s="2">
        <v>1.4021902211253901E-5</v>
      </c>
    </row>
    <row r="20074" spans="1:6" x14ac:dyDescent="0.25">
      <c r="A20074" s="1" t="str">
        <f t="shared" si="742"/>
        <v>31700</v>
      </c>
      <c r="B20074" s="1" t="str">
        <f>"03449"</f>
        <v>03449</v>
      </c>
      <c r="C20074" s="2">
        <v>3.8729289836806802E-3</v>
      </c>
      <c r="D20074" s="2">
        <v>3.9042891404986299E-4</v>
      </c>
      <c r="E20074" s="2">
        <v>2.6908242891739099E-4</v>
      </c>
      <c r="F20074" s="2">
        <v>3.3933003351234599E-3</v>
      </c>
    </row>
    <row r="20075" spans="1:6" x14ac:dyDescent="0.25">
      <c r="A20075" s="1" t="str">
        <f t="shared" si="742"/>
        <v>31700</v>
      </c>
      <c r="B20075" s="1" t="str">
        <f>"03111"</f>
        <v>03111</v>
      </c>
      <c r="C20075" s="2">
        <v>0</v>
      </c>
      <c r="D20075" s="2">
        <v>0</v>
      </c>
      <c r="E20075" s="2">
        <v>8.9694142972463796E-5</v>
      </c>
      <c r="F20075" s="2">
        <v>4.67396740375132E-6</v>
      </c>
    </row>
    <row r="20076" spans="1:6" x14ac:dyDescent="0.25">
      <c r="A20076" s="1" t="str">
        <f t="shared" si="742"/>
        <v>31700</v>
      </c>
      <c r="B20076" s="1" t="str">
        <f>"03468"</f>
        <v>03468</v>
      </c>
      <c r="C20076" s="2">
        <v>5.4091186922914599E-6</v>
      </c>
      <c r="D20076" s="2">
        <v>5.57755591499804E-5</v>
      </c>
      <c r="E20076" s="2">
        <v>1.79388285944927E-4</v>
      </c>
      <c r="F20076" s="2">
        <v>1.86958696150053E-5</v>
      </c>
    </row>
    <row r="20077" spans="1:6" x14ac:dyDescent="0.25">
      <c r="A20077" s="1" t="str">
        <f t="shared" si="742"/>
        <v>31700</v>
      </c>
      <c r="B20077" s="1" t="str">
        <f>"03049"</f>
        <v>03049</v>
      </c>
      <c r="C20077" s="2">
        <v>2.0879198152244999E-2</v>
      </c>
      <c r="D20077" s="2">
        <v>1.55613810028445E-2</v>
      </c>
      <c r="E20077" s="2">
        <v>2.5114360032289802E-3</v>
      </c>
      <c r="F20077" s="2">
        <v>1.9476422171431699E-2</v>
      </c>
    </row>
    <row r="20078" spans="1:6" x14ac:dyDescent="0.25">
      <c r="A20078" s="1" t="str">
        <f t="shared" si="742"/>
        <v>31700</v>
      </c>
      <c r="B20078" s="1" t="str">
        <f>"03033"</f>
        <v>03033</v>
      </c>
      <c r="C20078" s="2">
        <v>9.8770507321242103E-3</v>
      </c>
      <c r="D20078" s="2">
        <v>3.1792068715488799E-3</v>
      </c>
      <c r="E20078" s="2">
        <v>8.0724728675217504E-4</v>
      </c>
      <c r="F20078" s="2">
        <v>8.8431463278975005E-3</v>
      </c>
    </row>
    <row r="20079" spans="1:6" x14ac:dyDescent="0.25">
      <c r="A20079" s="1" t="str">
        <f t="shared" si="742"/>
        <v>31700</v>
      </c>
      <c r="B20079" s="1" t="str">
        <f>"03064"</f>
        <v>03064</v>
      </c>
      <c r="C20079" s="2">
        <v>3.5802956624277203E-2</v>
      </c>
      <c r="D20079" s="2">
        <v>2.03023035305928E-2</v>
      </c>
      <c r="E20079" s="2">
        <v>3.4891021616288397E-2</v>
      </c>
      <c r="F20079" s="2">
        <v>3.4456487700454702E-2</v>
      </c>
    </row>
    <row r="20080" spans="1:6" x14ac:dyDescent="0.25">
      <c r="A20080" s="1" t="str">
        <f t="shared" si="742"/>
        <v>31700</v>
      </c>
      <c r="B20080" s="1" t="str">
        <f>"03063"</f>
        <v>03063</v>
      </c>
      <c r="C20080" s="2">
        <v>4.0314161613648203E-2</v>
      </c>
      <c r="D20080" s="2">
        <v>5.9847174967928997E-2</v>
      </c>
      <c r="E20080" s="2">
        <v>3.6236433760875403E-2</v>
      </c>
      <c r="F20080" s="2">
        <v>4.1738528915499298E-2</v>
      </c>
    </row>
    <row r="20081" spans="1:6" x14ac:dyDescent="0.25">
      <c r="A20081" s="1" t="str">
        <f t="shared" si="742"/>
        <v>31700</v>
      </c>
      <c r="B20081" s="1" t="str">
        <f>"03442"</f>
        <v>03442</v>
      </c>
      <c r="C20081" s="2">
        <v>3.50510891260486E-3</v>
      </c>
      <c r="D20081" s="2">
        <v>9.4818450554966802E-4</v>
      </c>
      <c r="E20081" s="2">
        <v>1.3454121445869501E-3</v>
      </c>
      <c r="F20081" s="2">
        <v>3.1782978345508998E-3</v>
      </c>
    </row>
    <row r="20082" spans="1:6" x14ac:dyDescent="0.25">
      <c r="A20082" s="1" t="str">
        <f t="shared" si="742"/>
        <v>31700</v>
      </c>
      <c r="B20082" s="1" t="str">
        <f>"03061"</f>
        <v>03061</v>
      </c>
      <c r="C20082" s="2">
        <v>7.8648585785917897E-3</v>
      </c>
      <c r="D20082" s="2">
        <v>2.6493390596240701E-2</v>
      </c>
      <c r="E20082" s="2">
        <v>8.9694142972463796E-5</v>
      </c>
      <c r="F20082" s="2">
        <v>9.0207570892400502E-3</v>
      </c>
    </row>
    <row r="20083" spans="1:6" x14ac:dyDescent="0.25">
      <c r="A20083" s="1" t="str">
        <f t="shared" si="742"/>
        <v>31700</v>
      </c>
      <c r="B20083" s="1" t="str">
        <f>"03045"</f>
        <v>03045</v>
      </c>
      <c r="C20083" s="2">
        <v>3.1432388720905702E-2</v>
      </c>
      <c r="D20083" s="2">
        <v>2.3035305928941902E-2</v>
      </c>
      <c r="E20083" s="2">
        <v>2.0539958740694201E-2</v>
      </c>
      <c r="F20083" s="2">
        <v>3.0161111656407301E-2</v>
      </c>
    </row>
    <row r="20084" spans="1:6" x14ac:dyDescent="0.25">
      <c r="A20084" s="1" t="str">
        <f t="shared" si="742"/>
        <v>31700</v>
      </c>
      <c r="B20084" s="1" t="str">
        <f>"03057"</f>
        <v>03057</v>
      </c>
      <c r="C20084" s="2">
        <v>5.0196621464464698E-3</v>
      </c>
      <c r="D20084" s="2">
        <v>5.57755591499804E-5</v>
      </c>
      <c r="E20084" s="2">
        <v>2.6908242891739099E-4</v>
      </c>
      <c r="F20084" s="2">
        <v>4.3561376202962297E-3</v>
      </c>
    </row>
    <row r="20085" spans="1:6" x14ac:dyDescent="0.25">
      <c r="A20085" s="1" t="str">
        <f t="shared" si="742"/>
        <v>31700</v>
      </c>
      <c r="B20085" s="1" t="str">
        <f>"03076"</f>
        <v>03076</v>
      </c>
      <c r="C20085" s="2">
        <v>3.2384393610748997E-2</v>
      </c>
      <c r="D20085" s="2">
        <v>2.66049417145406E-2</v>
      </c>
      <c r="E20085" s="2">
        <v>9.0591084402188507E-3</v>
      </c>
      <c r="F20085" s="2">
        <v>3.0684596005627399E-2</v>
      </c>
    </row>
    <row r="20086" spans="1:6" x14ac:dyDescent="0.25">
      <c r="A20086" s="1" t="str">
        <f t="shared" si="742"/>
        <v>31700</v>
      </c>
      <c r="B20086" s="1" t="str">
        <f>"03054"</f>
        <v>03054</v>
      </c>
      <c r="C20086" s="2">
        <v>6.3324552530656095E-2</v>
      </c>
      <c r="D20086" s="2">
        <v>6.2970606280327898E-2</v>
      </c>
      <c r="E20086" s="2">
        <v>1.6952193021795601E-2</v>
      </c>
      <c r="F20086" s="2">
        <v>6.0878425433861003E-2</v>
      </c>
    </row>
    <row r="20087" spans="1:6" x14ac:dyDescent="0.25">
      <c r="A20087" s="1" t="str">
        <f t="shared" si="742"/>
        <v>31700</v>
      </c>
      <c r="B20087" s="1" t="str">
        <f>"03082"</f>
        <v>03082</v>
      </c>
      <c r="C20087" s="2">
        <v>3.48888155652799E-3</v>
      </c>
      <c r="D20087" s="2">
        <v>8.9240894639968705E-4</v>
      </c>
      <c r="E20087" s="2">
        <v>3.5877657188985502E-4</v>
      </c>
      <c r="F20087" s="2">
        <v>3.10818832349463E-3</v>
      </c>
    </row>
    <row r="20088" spans="1:6" x14ac:dyDescent="0.25">
      <c r="A20088" s="1" t="str">
        <f t="shared" si="742"/>
        <v>31700</v>
      </c>
      <c r="B20088" s="1" t="str">
        <f>"03440"</f>
        <v>03440</v>
      </c>
      <c r="C20088" s="2">
        <v>5.9608487989051898E-3</v>
      </c>
      <c r="D20088" s="2">
        <v>1.67326677449941E-3</v>
      </c>
      <c r="E20088" s="2">
        <v>1.9732711453942001E-3</v>
      </c>
      <c r="F20088" s="2">
        <v>5.3937583839290303E-3</v>
      </c>
    </row>
    <row r="20089" spans="1:6" x14ac:dyDescent="0.25">
      <c r="A20089" s="1" t="str">
        <f t="shared" si="742"/>
        <v>31700</v>
      </c>
      <c r="B20089" s="1" t="str">
        <f>"03102"</f>
        <v>03102</v>
      </c>
      <c r="C20089" s="2">
        <v>8.1699328728370199E-2</v>
      </c>
      <c r="D20089" s="2">
        <v>3.5584806737687498E-2</v>
      </c>
      <c r="E20089" s="2">
        <v>0.18118216880437699</v>
      </c>
      <c r="F20089" s="2">
        <v>8.3019009025430995E-2</v>
      </c>
    </row>
    <row r="20090" spans="1:6" x14ac:dyDescent="0.25">
      <c r="A20090" s="1" t="str">
        <f t="shared" si="742"/>
        <v>31700</v>
      </c>
      <c r="B20090" s="1" t="str">
        <f>"03304"</f>
        <v>03304</v>
      </c>
      <c r="C20090" s="2">
        <v>5.9500305615206098E-5</v>
      </c>
      <c r="D20090" s="2">
        <v>0</v>
      </c>
      <c r="E20090" s="2">
        <v>0</v>
      </c>
      <c r="F20090" s="2">
        <v>5.1413641441264501E-5</v>
      </c>
    </row>
    <row r="20091" spans="1:6" x14ac:dyDescent="0.25">
      <c r="A20091" s="1" t="str">
        <f t="shared" ref="A20091:A20123" si="743">"31740"</f>
        <v>31740</v>
      </c>
      <c r="B20091" s="1" t="str">
        <f>"66502"</f>
        <v>66502</v>
      </c>
      <c r="C20091" s="2">
        <v>0.35068178961920299</v>
      </c>
      <c r="D20091" s="2">
        <v>0.206094627105052</v>
      </c>
      <c r="E20091" s="2">
        <v>0.34843248580597302</v>
      </c>
      <c r="F20091" s="2">
        <v>0.33281131475273401</v>
      </c>
    </row>
    <row r="20092" spans="1:6" x14ac:dyDescent="0.25">
      <c r="A20092" s="1" t="str">
        <f t="shared" si="743"/>
        <v>31740</v>
      </c>
      <c r="B20092" s="1" t="str">
        <f>"66872"</f>
        <v>66872</v>
      </c>
      <c r="C20092" s="2">
        <v>9.4256629382933195E-5</v>
      </c>
      <c r="D20092" s="2">
        <v>0</v>
      </c>
      <c r="E20092" s="2">
        <v>0</v>
      </c>
      <c r="F20092" s="2">
        <v>7.3408862896713704E-5</v>
      </c>
    </row>
    <row r="20093" spans="1:6" x14ac:dyDescent="0.25">
      <c r="A20093" s="1" t="str">
        <f t="shared" si="743"/>
        <v>31740</v>
      </c>
      <c r="B20093" s="1" t="str">
        <f>"66531"</f>
        <v>66531</v>
      </c>
      <c r="C20093" s="2">
        <v>1.0164006535126301E-2</v>
      </c>
      <c r="D20093" s="2">
        <v>2.90697674418604E-3</v>
      </c>
      <c r="E20093" s="2">
        <v>7.4055788694149505E-4</v>
      </c>
      <c r="F20093" s="2">
        <v>8.3441407492597895E-3</v>
      </c>
    </row>
    <row r="20094" spans="1:6" x14ac:dyDescent="0.25">
      <c r="A20094" s="1" t="str">
        <f t="shared" si="743"/>
        <v>31740</v>
      </c>
      <c r="B20094" s="1" t="str">
        <f>"66503"</f>
        <v>66503</v>
      </c>
      <c r="C20094" s="2">
        <v>0.12341334673872</v>
      </c>
      <c r="D20094" s="2">
        <v>3.6086607858861197E-2</v>
      </c>
      <c r="E20094" s="2">
        <v>4.6408294248333697E-2</v>
      </c>
      <c r="F20094" s="2">
        <v>0.10512149166809399</v>
      </c>
    </row>
    <row r="20095" spans="1:6" x14ac:dyDescent="0.25">
      <c r="A20095" s="1" t="str">
        <f t="shared" si="743"/>
        <v>31740</v>
      </c>
      <c r="B20095" s="1" t="str">
        <f>"66554"</f>
        <v>66554</v>
      </c>
      <c r="C20095" s="2">
        <v>4.5714465250722598E-3</v>
      </c>
      <c r="D20095" s="2">
        <v>1.4033680834001599E-3</v>
      </c>
      <c r="E20095" s="2">
        <v>6.1713157245124595E-4</v>
      </c>
      <c r="F20095" s="2">
        <v>3.7927912496635401E-3</v>
      </c>
    </row>
    <row r="20096" spans="1:6" x14ac:dyDescent="0.25">
      <c r="A20096" s="1" t="str">
        <f t="shared" si="743"/>
        <v>31740</v>
      </c>
      <c r="B20096" s="1" t="str">
        <f>"66849"</f>
        <v>66849</v>
      </c>
      <c r="C20096" s="2">
        <v>9.5827573205982104E-4</v>
      </c>
      <c r="D20096" s="2">
        <v>1.00240577385725E-4</v>
      </c>
      <c r="E20096" s="2">
        <v>0</v>
      </c>
      <c r="F20096" s="2">
        <v>7.5855824993270799E-4</v>
      </c>
    </row>
    <row r="20097" spans="1:6" x14ac:dyDescent="0.25">
      <c r="A20097" s="1" t="str">
        <f t="shared" si="743"/>
        <v>31740</v>
      </c>
      <c r="B20097" s="1" t="str">
        <f>"66549"</f>
        <v>66549</v>
      </c>
      <c r="C20097" s="2">
        <v>1.12636672112605E-2</v>
      </c>
      <c r="D20097" s="2">
        <v>1.90457097032878E-3</v>
      </c>
      <c r="E20097" s="2">
        <v>2.7153789187854801E-3</v>
      </c>
      <c r="F20097" s="2">
        <v>9.2739863459514998E-3</v>
      </c>
    </row>
    <row r="20098" spans="1:6" x14ac:dyDescent="0.25">
      <c r="A20098" s="1" t="str">
        <f t="shared" si="743"/>
        <v>31740</v>
      </c>
      <c r="B20098" s="1" t="str">
        <f>"66401"</f>
        <v>66401</v>
      </c>
      <c r="C20098" s="2">
        <v>4.7128314691466597E-5</v>
      </c>
      <c r="D20098" s="2">
        <v>0</v>
      </c>
      <c r="E20098" s="2">
        <v>0</v>
      </c>
      <c r="F20098" s="2">
        <v>3.6704431448356798E-5</v>
      </c>
    </row>
    <row r="20099" spans="1:6" x14ac:dyDescent="0.25">
      <c r="A20099" s="1" t="str">
        <f t="shared" si="743"/>
        <v>31740</v>
      </c>
      <c r="B20099" s="1" t="str">
        <f>"66449"</f>
        <v>66449</v>
      </c>
      <c r="C20099" s="2">
        <v>6.6922206861882603E-3</v>
      </c>
      <c r="D20099" s="2">
        <v>7.0168404170007997E-4</v>
      </c>
      <c r="E20099" s="2">
        <v>7.4055788694149505E-4</v>
      </c>
      <c r="F20099" s="2">
        <v>5.3710818019428799E-3</v>
      </c>
    </row>
    <row r="20100" spans="1:6" x14ac:dyDescent="0.25">
      <c r="A20100" s="1" t="str">
        <f t="shared" si="743"/>
        <v>31740</v>
      </c>
      <c r="B20100" s="1" t="str">
        <f>"66411"</f>
        <v>66411</v>
      </c>
      <c r="C20100" s="2">
        <v>4.2415483222319898E-4</v>
      </c>
      <c r="D20100" s="2">
        <v>0</v>
      </c>
      <c r="E20100" s="2">
        <v>0</v>
      </c>
      <c r="F20100" s="2">
        <v>3.30339883035211E-4</v>
      </c>
    </row>
    <row r="20101" spans="1:6" x14ac:dyDescent="0.25">
      <c r="A20101" s="1" t="str">
        <f t="shared" si="743"/>
        <v>31740</v>
      </c>
      <c r="B20101" s="1" t="str">
        <f>"66422"</f>
        <v>66422</v>
      </c>
      <c r="C20101" s="2">
        <v>2.5449289933391901E-3</v>
      </c>
      <c r="D20101" s="2">
        <v>3.00721732157177E-4</v>
      </c>
      <c r="E20101" s="2">
        <v>1.2342631449024899E-4</v>
      </c>
      <c r="F20101" s="2">
        <v>2.0309785401424101E-3</v>
      </c>
    </row>
    <row r="20102" spans="1:6" x14ac:dyDescent="0.25">
      <c r="A20102" s="1" t="str">
        <f t="shared" si="743"/>
        <v>31740</v>
      </c>
      <c r="B20102" s="1" t="str">
        <f>"66548"</f>
        <v>66548</v>
      </c>
      <c r="C20102" s="2">
        <v>1.5709438230488801E-5</v>
      </c>
      <c r="D20102" s="2">
        <v>0</v>
      </c>
      <c r="E20102" s="2">
        <v>0</v>
      </c>
      <c r="F20102" s="2">
        <v>1.2234810482785599E-5</v>
      </c>
    </row>
    <row r="20103" spans="1:6" x14ac:dyDescent="0.25">
      <c r="A20103" s="1" t="str">
        <f t="shared" si="743"/>
        <v>31740</v>
      </c>
      <c r="B20103" s="1" t="str">
        <f>"66933"</f>
        <v>66933</v>
      </c>
      <c r="C20103" s="2">
        <v>7.8547191152444302E-5</v>
      </c>
      <c r="D20103" s="2">
        <v>1.00240577385725E-4</v>
      </c>
      <c r="E20103" s="2">
        <v>0</v>
      </c>
      <c r="F20103" s="2">
        <v>7.3408862896713704E-5</v>
      </c>
    </row>
    <row r="20104" spans="1:6" x14ac:dyDescent="0.25">
      <c r="A20104" s="1" t="str">
        <f t="shared" si="743"/>
        <v>31740</v>
      </c>
      <c r="B20104" s="1" t="str">
        <f>"66521"</f>
        <v>66521</v>
      </c>
      <c r="C20104" s="2">
        <v>1.0839512379037301E-2</v>
      </c>
      <c r="D20104" s="2">
        <v>4.3103448275861999E-3</v>
      </c>
      <c r="E20104" s="2">
        <v>1.4811157738829901E-3</v>
      </c>
      <c r="F20104" s="2">
        <v>9.1149338096752804E-3</v>
      </c>
    </row>
    <row r="20105" spans="1:6" x14ac:dyDescent="0.25">
      <c r="A20105" s="1" t="str">
        <f t="shared" si="743"/>
        <v>31740</v>
      </c>
      <c r="B20105" s="1" t="str">
        <f>"66520"</f>
        <v>66520</v>
      </c>
      <c r="C20105" s="2">
        <v>4.8227975367600802E-3</v>
      </c>
      <c r="D20105" s="2">
        <v>2.3055332798716899E-3</v>
      </c>
      <c r="E20105" s="2">
        <v>2.4685262898049799E-4</v>
      </c>
      <c r="F20105" s="2">
        <v>4.0619570802848202E-3</v>
      </c>
    </row>
    <row r="20106" spans="1:6" x14ac:dyDescent="0.25">
      <c r="A20106" s="1" t="str">
        <f t="shared" si="743"/>
        <v>31740</v>
      </c>
      <c r="B20106" s="1" t="str">
        <f>"67431"</f>
        <v>67431</v>
      </c>
      <c r="C20106" s="2">
        <v>1.5709438230488801E-5</v>
      </c>
      <c r="D20106" s="2">
        <v>0</v>
      </c>
      <c r="E20106" s="2">
        <v>0</v>
      </c>
      <c r="F20106" s="2">
        <v>1.2234810482785599E-5</v>
      </c>
    </row>
    <row r="20107" spans="1:6" x14ac:dyDescent="0.25">
      <c r="A20107" s="1" t="str">
        <f t="shared" si="743"/>
        <v>31740</v>
      </c>
      <c r="B20107" s="1" t="str">
        <f>"66540"</f>
        <v>66540</v>
      </c>
      <c r="C20107" s="2">
        <v>6.2837752921955504E-5</v>
      </c>
      <c r="D20107" s="2">
        <v>0</v>
      </c>
      <c r="E20107" s="2">
        <v>0</v>
      </c>
      <c r="F20107" s="2">
        <v>4.8939241931142397E-5</v>
      </c>
    </row>
    <row r="20108" spans="1:6" x14ac:dyDescent="0.25">
      <c r="A20108" s="1" t="str">
        <f t="shared" si="743"/>
        <v>31740</v>
      </c>
      <c r="B20108" s="1" t="str">
        <f>"67487"</f>
        <v>67487</v>
      </c>
      <c r="C20108" s="2">
        <v>1.72803820535377E-4</v>
      </c>
      <c r="D20108" s="2">
        <v>0</v>
      </c>
      <c r="E20108" s="2">
        <v>0</v>
      </c>
      <c r="F20108" s="2">
        <v>1.3458291531064101E-4</v>
      </c>
    </row>
    <row r="20109" spans="1:6" x14ac:dyDescent="0.25">
      <c r="A20109" s="1" t="str">
        <f t="shared" si="743"/>
        <v>31740</v>
      </c>
      <c r="B20109" s="1" t="str">
        <f>"66536"</f>
        <v>66536</v>
      </c>
      <c r="C20109" s="2">
        <v>2.02023375644086E-2</v>
      </c>
      <c r="D20109" s="2">
        <v>1.3432237369687201E-2</v>
      </c>
      <c r="E20109" s="2">
        <v>1.11083683041224E-2</v>
      </c>
      <c r="F20109" s="2">
        <v>1.84745638290062E-2</v>
      </c>
    </row>
    <row r="20110" spans="1:6" x14ac:dyDescent="0.25">
      <c r="A20110" s="1" t="str">
        <f t="shared" si="743"/>
        <v>31740</v>
      </c>
      <c r="B20110" s="1" t="str">
        <f>"66547"</f>
        <v>66547</v>
      </c>
      <c r="C20110" s="2">
        <v>5.44960412215659E-2</v>
      </c>
      <c r="D20110" s="2">
        <v>2.54611066559743E-2</v>
      </c>
      <c r="E20110" s="2">
        <v>1.4687731424339601E-2</v>
      </c>
      <c r="F20110" s="2">
        <v>4.7006141874862302E-2</v>
      </c>
    </row>
    <row r="20111" spans="1:6" x14ac:dyDescent="0.25">
      <c r="A20111" s="1" t="str">
        <f t="shared" si="743"/>
        <v>31740</v>
      </c>
      <c r="B20111" s="1" t="str">
        <f>"66535"</f>
        <v>66535</v>
      </c>
      <c r="C20111" s="2">
        <v>2.1443383184617301E-2</v>
      </c>
      <c r="D20111" s="2">
        <v>2.1050521251002401E-3</v>
      </c>
      <c r="E20111" s="2">
        <v>7.4055788694149505E-4</v>
      </c>
      <c r="F20111" s="2">
        <v>1.7030856192037501E-2</v>
      </c>
    </row>
    <row r="20112" spans="1:6" x14ac:dyDescent="0.25">
      <c r="A20112" s="1" t="str">
        <f t="shared" si="743"/>
        <v>31740</v>
      </c>
      <c r="B20112" s="1" t="str">
        <f>"66506"</f>
        <v>66506</v>
      </c>
      <c r="C20112" s="2">
        <v>3.1418876460977698E-5</v>
      </c>
      <c r="D20112" s="2">
        <v>0.53408179631114605</v>
      </c>
      <c r="E20112" s="2">
        <v>1.53048629967909E-2</v>
      </c>
      <c r="F20112" s="2">
        <v>6.6728656373112705E-2</v>
      </c>
    </row>
    <row r="20113" spans="1:6" x14ac:dyDescent="0.25">
      <c r="A20113" s="1" t="str">
        <f t="shared" si="743"/>
        <v>31740</v>
      </c>
      <c r="B20113" s="1" t="str">
        <f>"67432"</f>
        <v>67432</v>
      </c>
      <c r="C20113" s="2">
        <v>1.2567550584391101E-4</v>
      </c>
      <c r="D20113" s="2">
        <v>0</v>
      </c>
      <c r="E20113" s="2">
        <v>0</v>
      </c>
      <c r="F20113" s="2">
        <v>9.7878483862284902E-5</v>
      </c>
    </row>
    <row r="20114" spans="1:6" x14ac:dyDescent="0.25">
      <c r="A20114" s="1" t="str">
        <f t="shared" si="743"/>
        <v>31740</v>
      </c>
      <c r="B20114" s="1" t="str">
        <f>"66505"</f>
        <v>66505</v>
      </c>
      <c r="C20114" s="2">
        <v>1.44526831720497E-2</v>
      </c>
      <c r="D20114" s="2">
        <v>3.7991178829190002E-2</v>
      </c>
      <c r="E20114" s="2">
        <v>2.4685262898049799E-4</v>
      </c>
      <c r="F20114" s="2">
        <v>1.5917488438104001E-2</v>
      </c>
    </row>
    <row r="20115" spans="1:6" x14ac:dyDescent="0.25">
      <c r="A20115" s="1" t="str">
        <f t="shared" si="743"/>
        <v>31740</v>
      </c>
      <c r="B20115" s="1" t="str">
        <f>"66834"</f>
        <v>66834</v>
      </c>
      <c r="C20115" s="2">
        <v>1.00540404675128E-3</v>
      </c>
      <c r="D20115" s="2">
        <v>1.00240577385725E-4</v>
      </c>
      <c r="E20115" s="2">
        <v>0</v>
      </c>
      <c r="F20115" s="2">
        <v>7.9526268138106499E-4</v>
      </c>
    </row>
    <row r="20116" spans="1:6" x14ac:dyDescent="0.25">
      <c r="A20116" s="1" t="str">
        <f t="shared" si="743"/>
        <v>31740</v>
      </c>
      <c r="B20116" s="1" t="str">
        <f>"66441"</f>
        <v>66441</v>
      </c>
      <c r="C20116" s="2">
        <v>0.23942754807087999</v>
      </c>
      <c r="D20116" s="2">
        <v>0.122093023255813</v>
      </c>
      <c r="E20116" s="2">
        <v>0.110960256726734</v>
      </c>
      <c r="F20116" s="2">
        <v>0.21237184036019199</v>
      </c>
    </row>
    <row r="20117" spans="1:6" x14ac:dyDescent="0.25">
      <c r="A20117" s="1" t="str">
        <f t="shared" si="743"/>
        <v>31740</v>
      </c>
      <c r="B20117" s="1" t="str">
        <f>"66517"</f>
        <v>66517</v>
      </c>
      <c r="C20117" s="2">
        <v>1.1216538896568999E-2</v>
      </c>
      <c r="D20117" s="2">
        <v>0</v>
      </c>
      <c r="E20117" s="2">
        <v>3.7027894347074698E-4</v>
      </c>
      <c r="F20117" s="2">
        <v>8.7723591161572908E-3</v>
      </c>
    </row>
    <row r="20118" spans="1:6" x14ac:dyDescent="0.25">
      <c r="A20118" s="1" t="str">
        <f t="shared" si="743"/>
        <v>31740</v>
      </c>
      <c r="B20118" s="1" t="str">
        <f>"66432"</f>
        <v>66432</v>
      </c>
      <c r="C20118" s="2">
        <v>2.8119894432575001E-3</v>
      </c>
      <c r="D20118" s="2">
        <v>7.0168404170007997E-4</v>
      </c>
      <c r="E20118" s="2">
        <v>3.7027894347074698E-4</v>
      </c>
      <c r="F20118" s="2">
        <v>2.3123791812464799E-3</v>
      </c>
    </row>
    <row r="20119" spans="1:6" x14ac:dyDescent="0.25">
      <c r="A20119" s="1" t="str">
        <f t="shared" si="743"/>
        <v>31740</v>
      </c>
      <c r="B20119" s="1" t="str">
        <f>"66514"</f>
        <v>66514</v>
      </c>
      <c r="C20119" s="2">
        <v>1.17349503581751E-2</v>
      </c>
      <c r="D20119" s="2">
        <v>1.3031275060144301E-3</v>
      </c>
      <c r="E20119" s="2">
        <v>1.4811157738829901E-3</v>
      </c>
      <c r="F20119" s="2">
        <v>9.4452736927104902E-3</v>
      </c>
    </row>
    <row r="20120" spans="1:6" x14ac:dyDescent="0.25">
      <c r="A20120" s="1" t="str">
        <f t="shared" si="743"/>
        <v>31740</v>
      </c>
      <c r="B20120" s="1" t="str">
        <f>"66407"</f>
        <v>66407</v>
      </c>
      <c r="C20120" s="2">
        <v>2.1364835993464802E-3</v>
      </c>
      <c r="D20120" s="2">
        <v>1.6038492381716099E-3</v>
      </c>
      <c r="E20120" s="2">
        <v>1.2342631449024899E-4</v>
      </c>
      <c r="F20120" s="2">
        <v>1.8719260038662E-3</v>
      </c>
    </row>
    <row r="20121" spans="1:6" x14ac:dyDescent="0.25">
      <c r="A20121" s="1" t="str">
        <f t="shared" si="743"/>
        <v>31740</v>
      </c>
      <c r="B20121" s="1" t="str">
        <f>"67447"</f>
        <v>67447</v>
      </c>
      <c r="C20121" s="2">
        <v>5.8124921452808805E-4</v>
      </c>
      <c r="D20121" s="2">
        <v>0</v>
      </c>
      <c r="E20121" s="2">
        <v>0</v>
      </c>
      <c r="F20121" s="2">
        <v>4.52687987863068E-4</v>
      </c>
    </row>
    <row r="20122" spans="1:6" x14ac:dyDescent="0.25">
      <c r="A20122" s="1" t="str">
        <f t="shared" si="743"/>
        <v>31740</v>
      </c>
      <c r="B20122" s="1" t="str">
        <f>"66427"</f>
        <v>66427</v>
      </c>
      <c r="C20122" s="2">
        <v>2.04222696996355E-4</v>
      </c>
      <c r="D20122" s="2">
        <v>0</v>
      </c>
      <c r="E20122" s="2">
        <v>0</v>
      </c>
      <c r="F20122" s="2">
        <v>1.5905253627621299E-4</v>
      </c>
    </row>
    <row r="20123" spans="1:6" x14ac:dyDescent="0.25">
      <c r="A20123" s="1" t="str">
        <f t="shared" si="743"/>
        <v>31740</v>
      </c>
      <c r="B20123" s="1" t="str">
        <f>"66442"</f>
        <v>66442</v>
      </c>
      <c r="C20123" s="2">
        <v>9.3266934774412405E-2</v>
      </c>
      <c r="D20123" s="2">
        <v>4.9117882919005604E-3</v>
      </c>
      <c r="E20123" s="2">
        <v>0.443100469019995</v>
      </c>
      <c r="F20123" s="2">
        <v>0.117160545183155</v>
      </c>
    </row>
    <row r="20124" spans="1:6" x14ac:dyDescent="0.25">
      <c r="A20124" s="1" t="str">
        <f t="shared" ref="A20124:A20145" si="744">"31820"</f>
        <v>31820</v>
      </c>
      <c r="B20124" s="1" t="str">
        <f>"53014"</f>
        <v>53014</v>
      </c>
      <c r="C20124" s="2">
        <v>2.6630463161192602E-3</v>
      </c>
      <c r="D20124" s="2">
        <v>8.7260034904013898E-4</v>
      </c>
      <c r="E20124" s="2">
        <v>0</v>
      </c>
      <c r="F20124" s="2">
        <v>2.5085628829176498E-3</v>
      </c>
    </row>
    <row r="20125" spans="1:6" x14ac:dyDescent="0.25">
      <c r="A20125" s="1" t="str">
        <f t="shared" si="744"/>
        <v>31820</v>
      </c>
      <c r="B20125" s="1" t="str">
        <f>"53063"</f>
        <v>53063</v>
      </c>
      <c r="C20125" s="2">
        <v>1.65526604354863E-2</v>
      </c>
      <c r="D20125" s="2">
        <v>2.09424083769633E-2</v>
      </c>
      <c r="E20125" s="2">
        <v>1.1574074074074E-3</v>
      </c>
      <c r="F20125" s="2">
        <v>1.6474504317622599E-2</v>
      </c>
    </row>
    <row r="20126" spans="1:6" x14ac:dyDescent="0.25">
      <c r="A20126" s="1" t="str">
        <f t="shared" si="744"/>
        <v>31820</v>
      </c>
      <c r="B20126" s="1" t="str">
        <f>"54247"</f>
        <v>54247</v>
      </c>
      <c r="C20126" s="2">
        <v>2.6552138269541999E-2</v>
      </c>
      <c r="D20126" s="2">
        <v>8.7260034904013892E-3</v>
      </c>
      <c r="E20126" s="2">
        <v>1.1574074074074001E-2</v>
      </c>
      <c r="F20126" s="2">
        <v>2.5254474407834401E-2</v>
      </c>
    </row>
    <row r="20127" spans="1:6" x14ac:dyDescent="0.25">
      <c r="A20127" s="1" t="str">
        <f t="shared" si="744"/>
        <v>31820</v>
      </c>
      <c r="B20127" s="1" t="str">
        <f>"54220"</f>
        <v>54220</v>
      </c>
      <c r="C20127" s="2">
        <v>0.50242807164116698</v>
      </c>
      <c r="D20127" s="2">
        <v>0.61343804537521796</v>
      </c>
      <c r="E20127" s="2">
        <v>0.64236111111111105</v>
      </c>
      <c r="F20127" s="2">
        <v>0.51148149934873799</v>
      </c>
    </row>
    <row r="20128" spans="1:6" x14ac:dyDescent="0.25">
      <c r="A20128" s="1" t="str">
        <f t="shared" si="744"/>
        <v>31820</v>
      </c>
      <c r="B20128" s="1" t="str">
        <f>"54215"</f>
        <v>54215</v>
      </c>
      <c r="C20128" s="2">
        <v>5.2216594433710997E-5</v>
      </c>
      <c r="D20128" s="2">
        <v>0</v>
      </c>
      <c r="E20128" s="2">
        <v>1.1574074074074E-3</v>
      </c>
      <c r="F20128" s="2">
        <v>7.23623908533937E-5</v>
      </c>
    </row>
    <row r="20129" spans="1:6" x14ac:dyDescent="0.25">
      <c r="A20129" s="1" t="str">
        <f t="shared" si="744"/>
        <v>31820</v>
      </c>
      <c r="B20129" s="1" t="str">
        <f>"54208"</f>
        <v>54208</v>
      </c>
      <c r="C20129" s="2">
        <v>5.5349590099733597E-3</v>
      </c>
      <c r="D20129" s="2">
        <v>2.6178010471204099E-3</v>
      </c>
      <c r="E20129" s="2">
        <v>0</v>
      </c>
      <c r="F20129" s="2">
        <v>5.2583337353466096E-3</v>
      </c>
    </row>
    <row r="20130" spans="1:6" x14ac:dyDescent="0.25">
      <c r="A20130" s="1" t="str">
        <f t="shared" si="744"/>
        <v>31820</v>
      </c>
      <c r="B20130" s="1" t="str">
        <f>"54245"</f>
        <v>54245</v>
      </c>
      <c r="C20130" s="2">
        <v>2.8353610777504999E-2</v>
      </c>
      <c r="D20130" s="2">
        <v>1.3961605584642199E-2</v>
      </c>
      <c r="E20130" s="2">
        <v>1.9675925925925899E-2</v>
      </c>
      <c r="F20130" s="2">
        <v>2.73771045395339E-2</v>
      </c>
    </row>
    <row r="20131" spans="1:6" x14ac:dyDescent="0.25">
      <c r="A20131" s="1" t="str">
        <f t="shared" si="744"/>
        <v>31820</v>
      </c>
      <c r="B20131" s="1" t="str">
        <f>"53015"</f>
        <v>53015</v>
      </c>
      <c r="C20131" s="2">
        <v>2.4594015978277799E-2</v>
      </c>
      <c r="D20131" s="2">
        <v>1.96335078534031E-2</v>
      </c>
      <c r="E20131" s="2">
        <v>1.6203703703703699E-2</v>
      </c>
      <c r="F20131" s="2">
        <v>2.4144917748082299E-2</v>
      </c>
    </row>
    <row r="20132" spans="1:6" x14ac:dyDescent="0.25">
      <c r="A20132" s="1" t="str">
        <f t="shared" si="744"/>
        <v>31820</v>
      </c>
      <c r="B20132" s="1" t="str">
        <f>"54216"</f>
        <v>54216</v>
      </c>
      <c r="C20132" s="2">
        <v>2.6108297216855499E-5</v>
      </c>
      <c r="D20132" s="2">
        <v>0</v>
      </c>
      <c r="E20132" s="2">
        <v>0</v>
      </c>
      <c r="F20132" s="2">
        <v>2.4120796951131199E-5</v>
      </c>
    </row>
    <row r="20133" spans="1:6" x14ac:dyDescent="0.25">
      <c r="A20133" s="1" t="str">
        <f t="shared" si="744"/>
        <v>31820</v>
      </c>
      <c r="B20133" s="1" t="str">
        <f>"54214"</f>
        <v>54214</v>
      </c>
      <c r="C20133" s="2">
        <v>4.85614328233512E-3</v>
      </c>
      <c r="D20133" s="2">
        <v>0</v>
      </c>
      <c r="E20133" s="2">
        <v>1.1574074074074001E-2</v>
      </c>
      <c r="F20133" s="2">
        <v>4.7276762024217201E-3</v>
      </c>
    </row>
    <row r="20134" spans="1:6" x14ac:dyDescent="0.25">
      <c r="A20134" s="1" t="str">
        <f t="shared" si="744"/>
        <v>31820</v>
      </c>
      <c r="B20134" s="1" t="str">
        <f>"54230"</f>
        <v>54230</v>
      </c>
      <c r="C20134" s="2">
        <v>5.1668320192157002E-2</v>
      </c>
      <c r="D20134" s="2">
        <v>1.8324607329842899E-2</v>
      </c>
      <c r="E20134" s="2">
        <v>2.0833333333333301E-2</v>
      </c>
      <c r="F20134" s="2">
        <v>4.9182304983356601E-2</v>
      </c>
    </row>
    <row r="20135" spans="1:6" x14ac:dyDescent="0.25">
      <c r="A20135" s="1" t="str">
        <f t="shared" si="744"/>
        <v>31820</v>
      </c>
      <c r="B20135" s="1" t="str">
        <f>"54240"</f>
        <v>54240</v>
      </c>
      <c r="C20135" s="2">
        <v>7.8324891650566496E-5</v>
      </c>
      <c r="D20135" s="2">
        <v>0</v>
      </c>
      <c r="E20135" s="2">
        <v>1.1574074074074E-3</v>
      </c>
      <c r="F20135" s="2">
        <v>9.6483187804525001E-5</v>
      </c>
    </row>
    <row r="20136" spans="1:6" x14ac:dyDescent="0.25">
      <c r="A20136" s="1" t="str">
        <f t="shared" si="744"/>
        <v>31820</v>
      </c>
      <c r="B20136" s="1" t="str">
        <f>"54228"</f>
        <v>54228</v>
      </c>
      <c r="C20136" s="2">
        <v>3.1747689415696299E-2</v>
      </c>
      <c r="D20136" s="2">
        <v>2.4432809773123901E-2</v>
      </c>
      <c r="E20136" s="2">
        <v>2.8935185185185099E-2</v>
      </c>
      <c r="F20136" s="2">
        <v>3.1284673645617198E-2</v>
      </c>
    </row>
    <row r="20137" spans="1:6" x14ac:dyDescent="0.25">
      <c r="A20137" s="1" t="str">
        <f t="shared" si="744"/>
        <v>31820</v>
      </c>
      <c r="B20137" s="1" t="str">
        <f>"54232"</f>
        <v>54232</v>
      </c>
      <c r="C20137" s="2">
        <v>1.0547752075609601E-2</v>
      </c>
      <c r="D20137" s="2">
        <v>0</v>
      </c>
      <c r="E20137" s="2">
        <v>1.38888888888888E-2</v>
      </c>
      <c r="F20137" s="2">
        <v>1.0034251531670599E-2</v>
      </c>
    </row>
    <row r="20138" spans="1:6" x14ac:dyDescent="0.25">
      <c r="A20138" s="1" t="str">
        <f t="shared" si="744"/>
        <v>31820</v>
      </c>
      <c r="B20138" s="1" t="str">
        <f>"54110"</f>
        <v>54110</v>
      </c>
      <c r="C20138" s="2">
        <v>7.0753485457678402E-3</v>
      </c>
      <c r="D20138" s="2">
        <v>8.7260034904013898E-4</v>
      </c>
      <c r="E20138" s="2">
        <v>0</v>
      </c>
      <c r="F20138" s="2">
        <v>6.5849775676588302E-3</v>
      </c>
    </row>
    <row r="20139" spans="1:6" x14ac:dyDescent="0.25">
      <c r="A20139" s="1" t="str">
        <f t="shared" si="744"/>
        <v>31820</v>
      </c>
      <c r="B20139" s="1" t="str">
        <f>"54207"</f>
        <v>54207</v>
      </c>
      <c r="C20139" s="2">
        <v>1.67093102187875E-3</v>
      </c>
      <c r="D20139" s="2">
        <v>2.6178010471204099E-3</v>
      </c>
      <c r="E20139" s="2">
        <v>3.4722222222222199E-3</v>
      </c>
      <c r="F20139" s="2">
        <v>1.7608181774325801E-3</v>
      </c>
    </row>
    <row r="20140" spans="1:6" x14ac:dyDescent="0.25">
      <c r="A20140" s="1" t="str">
        <f t="shared" si="744"/>
        <v>31820</v>
      </c>
      <c r="B20140" s="1" t="str">
        <f>"54227"</f>
        <v>54227</v>
      </c>
      <c r="C20140" s="2">
        <v>1.72575844603414E-2</v>
      </c>
      <c r="D20140" s="2">
        <v>1.04712041884816E-2</v>
      </c>
      <c r="E20140" s="2">
        <v>5.7870370370370298E-3</v>
      </c>
      <c r="F20140" s="2">
        <v>1.6643349896280499E-2</v>
      </c>
    </row>
    <row r="20141" spans="1:6" x14ac:dyDescent="0.25">
      <c r="A20141" s="1" t="str">
        <f t="shared" si="744"/>
        <v>31820</v>
      </c>
      <c r="B20141" s="1" t="str">
        <f>"53061"</f>
        <v>53061</v>
      </c>
      <c r="C20141" s="2">
        <v>8.6157380815623196E-4</v>
      </c>
      <c r="D20141" s="2">
        <v>4.36300174520069E-4</v>
      </c>
      <c r="E20141" s="2">
        <v>0</v>
      </c>
      <c r="F20141" s="2">
        <v>8.2010709633846296E-4</v>
      </c>
    </row>
    <row r="20142" spans="1:6" x14ac:dyDescent="0.25">
      <c r="A20142" s="1" t="str">
        <f t="shared" si="744"/>
        <v>31820</v>
      </c>
      <c r="B20142" s="1" t="str">
        <f>"54126"</f>
        <v>54126</v>
      </c>
      <c r="C20142" s="2">
        <v>4.43841052686543E-4</v>
      </c>
      <c r="D20142" s="2">
        <v>0</v>
      </c>
      <c r="E20142" s="2">
        <v>0</v>
      </c>
      <c r="F20142" s="2">
        <v>4.1005354816923099E-4</v>
      </c>
    </row>
    <row r="20143" spans="1:6" x14ac:dyDescent="0.25">
      <c r="A20143" s="1" t="str">
        <f t="shared" si="744"/>
        <v>31820</v>
      </c>
      <c r="B20143" s="1" t="str">
        <f>"53020"</f>
        <v>53020</v>
      </c>
      <c r="C20143" s="2">
        <v>8.0935721372252104E-4</v>
      </c>
      <c r="D20143" s="2">
        <v>0</v>
      </c>
      <c r="E20143" s="2">
        <v>0</v>
      </c>
      <c r="F20143" s="2">
        <v>7.4774470548506897E-4</v>
      </c>
    </row>
    <row r="20144" spans="1:6" x14ac:dyDescent="0.25">
      <c r="A20144" s="1" t="str">
        <f t="shared" si="744"/>
        <v>31820</v>
      </c>
      <c r="B20144" s="1" t="str">
        <f>"53042"</f>
        <v>53042</v>
      </c>
      <c r="C20144" s="2">
        <v>7.9029815675421597E-2</v>
      </c>
      <c r="D20144" s="2">
        <v>8.2024432809773104E-2</v>
      </c>
      <c r="E20144" s="2">
        <v>9.8379629629629595E-2</v>
      </c>
      <c r="F20144" s="2">
        <v>7.9598629938733095E-2</v>
      </c>
    </row>
    <row r="20145" spans="1:6" x14ac:dyDescent="0.25">
      <c r="A20145" s="1" t="str">
        <f t="shared" si="744"/>
        <v>31820</v>
      </c>
      <c r="B20145" s="1" t="str">
        <f>"54241"</f>
        <v>54241</v>
      </c>
      <c r="C20145" s="2">
        <v>0.187196491044854</v>
      </c>
      <c r="D20145" s="2">
        <v>0.18062827225130801</v>
      </c>
      <c r="E20145" s="2">
        <v>0.123842592592592</v>
      </c>
      <c r="F20145" s="2">
        <v>0.18551304935115001</v>
      </c>
    </row>
    <row r="20146" spans="1:6" x14ac:dyDescent="0.25">
      <c r="A20146" s="1" t="str">
        <f t="shared" ref="A20146:A20174" si="745">"31860"</f>
        <v>31860</v>
      </c>
      <c r="B20146" s="1" t="str">
        <f>"56080"</f>
        <v>56080</v>
      </c>
      <c r="C20146" s="2">
        <v>3.0891438658428903E-4</v>
      </c>
      <c r="D20146" s="2">
        <v>0</v>
      </c>
      <c r="E20146" s="2">
        <v>5.2493438320209897E-4</v>
      </c>
      <c r="F20146" s="2">
        <v>2.9419263733892901E-4</v>
      </c>
    </row>
    <row r="20147" spans="1:6" x14ac:dyDescent="0.25">
      <c r="A20147" s="1" t="str">
        <f t="shared" si="745"/>
        <v>31860</v>
      </c>
      <c r="B20147" s="1" t="str">
        <f>"56010"</f>
        <v>56010</v>
      </c>
      <c r="C20147" s="2">
        <v>1.22683142100617E-2</v>
      </c>
      <c r="D20147" s="2">
        <v>9.83519404572036E-3</v>
      </c>
      <c r="E20147" s="2">
        <v>4.19947506561679E-3</v>
      </c>
      <c r="F20147" s="2">
        <v>1.1787318336046401E-2</v>
      </c>
    </row>
    <row r="20148" spans="1:6" x14ac:dyDescent="0.25">
      <c r="A20148" s="1" t="str">
        <f t="shared" si="745"/>
        <v>31860</v>
      </c>
      <c r="B20148" s="1" t="str">
        <f>"56024"</f>
        <v>56024</v>
      </c>
      <c r="C20148" s="2">
        <v>3.4576345984112897E-2</v>
      </c>
      <c r="D20148" s="2">
        <v>7.9744816586921792E-3</v>
      </c>
      <c r="E20148" s="2">
        <v>3.2020997375328E-2</v>
      </c>
      <c r="F20148" s="2">
        <v>3.2518092847196298E-2</v>
      </c>
    </row>
    <row r="20149" spans="1:6" x14ac:dyDescent="0.25">
      <c r="A20149" s="1" t="str">
        <f t="shared" si="745"/>
        <v>31860</v>
      </c>
      <c r="B20149" s="1" t="str">
        <f>"56025"</f>
        <v>56025</v>
      </c>
      <c r="C20149" s="2">
        <v>2.2065313327449201E-5</v>
      </c>
      <c r="D20149" s="2">
        <v>0</v>
      </c>
      <c r="E20149" s="2">
        <v>0</v>
      </c>
      <c r="F20149" s="2">
        <v>1.9612842489261902E-5</v>
      </c>
    </row>
    <row r="20150" spans="1:6" x14ac:dyDescent="0.25">
      <c r="A20150" s="1" t="str">
        <f t="shared" si="745"/>
        <v>31860</v>
      </c>
      <c r="B20150" s="1" t="str">
        <f>"56034"</f>
        <v>56034</v>
      </c>
      <c r="C20150" s="2">
        <v>4.8543689320388302E-3</v>
      </c>
      <c r="D20150" s="2">
        <v>2.6581605528973899E-3</v>
      </c>
      <c r="E20150" s="2">
        <v>5.2493438320209897E-4</v>
      </c>
      <c r="F20150" s="2">
        <v>4.5305666150195099E-3</v>
      </c>
    </row>
    <row r="20151" spans="1:6" x14ac:dyDescent="0.25">
      <c r="A20151" s="1" t="str">
        <f t="shared" si="745"/>
        <v>31860</v>
      </c>
      <c r="B20151" s="1" t="str">
        <f>"56060"</f>
        <v>56060</v>
      </c>
      <c r="C20151" s="2">
        <v>2.6478375992939002E-4</v>
      </c>
      <c r="D20151" s="2">
        <v>2.6581605528973898E-4</v>
      </c>
      <c r="E20151" s="2">
        <v>0</v>
      </c>
      <c r="F20151" s="2">
        <v>2.5496695236040503E-4</v>
      </c>
    </row>
    <row r="20152" spans="1:6" x14ac:dyDescent="0.25">
      <c r="A20152" s="1" t="str">
        <f t="shared" si="745"/>
        <v>31860</v>
      </c>
      <c r="B20152" s="1" t="str">
        <f>"56082"</f>
        <v>56082</v>
      </c>
      <c r="C20152" s="2">
        <v>0.11429832303618701</v>
      </c>
      <c r="D20152" s="2">
        <v>0.104199893673577</v>
      </c>
      <c r="E20152" s="2">
        <v>0.103937007874015</v>
      </c>
      <c r="F20152" s="2">
        <v>0.113166101163041</v>
      </c>
    </row>
    <row r="20153" spans="1:6" x14ac:dyDescent="0.25">
      <c r="A20153" s="1" t="str">
        <f t="shared" si="745"/>
        <v>31860</v>
      </c>
      <c r="B20153" s="1" t="str">
        <f>"55335"</f>
        <v>55335</v>
      </c>
      <c r="C20153" s="2">
        <v>1.5004413062665401E-3</v>
      </c>
      <c r="D20153" s="2">
        <v>2.6581605528973898E-4</v>
      </c>
      <c r="E20153" s="2">
        <v>0</v>
      </c>
      <c r="F20153" s="2">
        <v>1.35328613175907E-3</v>
      </c>
    </row>
    <row r="20154" spans="1:6" x14ac:dyDescent="0.25">
      <c r="A20154" s="1" t="str">
        <f t="shared" si="745"/>
        <v>31860</v>
      </c>
      <c r="B20154" s="1" t="str">
        <f>"56041"</f>
        <v>56041</v>
      </c>
      <c r="C20154" s="2">
        <v>6.6195939982347695E-5</v>
      </c>
      <c r="D20154" s="2">
        <v>0</v>
      </c>
      <c r="E20154" s="2">
        <v>0</v>
      </c>
      <c r="F20154" s="2">
        <v>5.8838527467785902E-5</v>
      </c>
    </row>
    <row r="20155" spans="1:6" x14ac:dyDescent="0.25">
      <c r="A20155" s="1" t="str">
        <f t="shared" si="745"/>
        <v>31860</v>
      </c>
      <c r="B20155" s="1" t="str">
        <f>"56078"</f>
        <v>56078</v>
      </c>
      <c r="C20155" s="2">
        <v>3.3980582524271801E-3</v>
      </c>
      <c r="D20155" s="2">
        <v>2.92397660818713E-3</v>
      </c>
      <c r="E20155" s="2">
        <v>5.2493438320209897E-4</v>
      </c>
      <c r="F20155" s="2">
        <v>3.2557318532174802E-3</v>
      </c>
    </row>
    <row r="20156" spans="1:6" x14ac:dyDescent="0.25">
      <c r="A20156" s="1" t="str">
        <f t="shared" si="745"/>
        <v>31860</v>
      </c>
      <c r="B20156" s="1" t="str">
        <f>"56021"</f>
        <v>56021</v>
      </c>
      <c r="C20156" s="2">
        <v>1.0260370697263901E-2</v>
      </c>
      <c r="D20156" s="2">
        <v>5.5821371610845199E-3</v>
      </c>
      <c r="E20156" s="2">
        <v>4.19947506561679E-3</v>
      </c>
      <c r="F20156" s="2">
        <v>9.6887441896954096E-3</v>
      </c>
    </row>
    <row r="20157" spans="1:6" x14ac:dyDescent="0.25">
      <c r="A20157" s="1" t="str">
        <f t="shared" si="745"/>
        <v>31860</v>
      </c>
      <c r="B20157" s="1" t="str">
        <f>"56074"</f>
        <v>56074</v>
      </c>
      <c r="C20157" s="2">
        <v>2.06090026478375E-2</v>
      </c>
      <c r="D20157" s="2">
        <v>6.9112174375332196E-3</v>
      </c>
      <c r="E20157" s="2">
        <v>1.7847769028871301E-2</v>
      </c>
      <c r="F20157" s="2">
        <v>1.9495165434326299E-2</v>
      </c>
    </row>
    <row r="20158" spans="1:6" x14ac:dyDescent="0.25">
      <c r="A20158" s="1" t="str">
        <f t="shared" si="745"/>
        <v>31860</v>
      </c>
      <c r="B20158" s="1" t="str">
        <f>"55332"</f>
        <v>55332</v>
      </c>
      <c r="C20158" s="2">
        <v>1.10326566637246E-3</v>
      </c>
      <c r="D20158" s="2">
        <v>5.3163211057947904E-4</v>
      </c>
      <c r="E20158" s="2">
        <v>0</v>
      </c>
      <c r="F20158" s="2">
        <v>1.0198678094416201E-3</v>
      </c>
    </row>
    <row r="20159" spans="1:6" x14ac:dyDescent="0.25">
      <c r="A20159" s="1" t="str">
        <f t="shared" si="745"/>
        <v>31860</v>
      </c>
      <c r="B20159" s="1" t="str">
        <f>"56050"</f>
        <v>56050</v>
      </c>
      <c r="C20159" s="2">
        <v>2.4271844660194101E-4</v>
      </c>
      <c r="D20159" s="2">
        <v>5.3163211057947904E-4</v>
      </c>
      <c r="E20159" s="2">
        <v>0</v>
      </c>
      <c r="F20159" s="2">
        <v>2.5496695236040503E-4</v>
      </c>
    </row>
    <row r="20160" spans="1:6" x14ac:dyDescent="0.25">
      <c r="A20160" s="1" t="str">
        <f t="shared" si="745"/>
        <v>31860</v>
      </c>
      <c r="B20160" s="1" t="str">
        <f>"56054"</f>
        <v>56054</v>
      </c>
      <c r="C20160" s="2">
        <v>7.7669902912621304E-3</v>
      </c>
      <c r="D20160" s="2">
        <v>3.7214247740563499E-3</v>
      </c>
      <c r="E20160" s="2">
        <v>4.19947506561679E-3</v>
      </c>
      <c r="F20160" s="2">
        <v>7.3352030909839697E-3</v>
      </c>
    </row>
    <row r="20161" spans="1:6" x14ac:dyDescent="0.25">
      <c r="A20161" s="1" t="str">
        <f t="shared" si="745"/>
        <v>31860</v>
      </c>
      <c r="B20161" s="1" t="str">
        <f>"56048"</f>
        <v>56048</v>
      </c>
      <c r="C20161" s="2">
        <v>4.3909973521623997E-3</v>
      </c>
      <c r="D20161" s="2">
        <v>1.32908027644869E-3</v>
      </c>
      <c r="E20161" s="2">
        <v>0</v>
      </c>
      <c r="F20161" s="2">
        <v>4.0010198678094404E-3</v>
      </c>
    </row>
    <row r="20162" spans="1:6" x14ac:dyDescent="0.25">
      <c r="A20162" s="1" t="str">
        <f t="shared" si="745"/>
        <v>31860</v>
      </c>
      <c r="B20162" s="1" t="str">
        <f>"56063"</f>
        <v>56063</v>
      </c>
      <c r="C20162" s="2">
        <v>2.5661959399823402E-2</v>
      </c>
      <c r="D20162" s="2">
        <v>3.9872408293460896E-3</v>
      </c>
      <c r="E20162" s="2">
        <v>1.5748031496062902E-2</v>
      </c>
      <c r="F20162" s="2">
        <v>2.3692313727028399E-2</v>
      </c>
    </row>
    <row r="20163" spans="1:6" x14ac:dyDescent="0.25">
      <c r="A20163" s="1" t="str">
        <f t="shared" si="745"/>
        <v>31860</v>
      </c>
      <c r="B20163" s="1" t="str">
        <f>"56090"</f>
        <v>56090</v>
      </c>
      <c r="C20163" s="2">
        <v>6.61959399823477E-3</v>
      </c>
      <c r="D20163" s="2">
        <v>7.70866560340244E-3</v>
      </c>
      <c r="E20163" s="2">
        <v>5.2493438320209897E-4</v>
      </c>
      <c r="F20163" s="2">
        <v>6.4722380214564399E-3</v>
      </c>
    </row>
    <row r="20164" spans="1:6" x14ac:dyDescent="0.25">
      <c r="A20164" s="1" t="str">
        <f t="shared" si="745"/>
        <v>31860</v>
      </c>
      <c r="B20164" s="1" t="str">
        <f>"56001"</f>
        <v>56001</v>
      </c>
      <c r="C20164" s="2">
        <v>0.49728596646072298</v>
      </c>
      <c r="D20164" s="2">
        <v>0.72169059011164205</v>
      </c>
      <c r="E20164" s="2">
        <v>0.63412073490813603</v>
      </c>
      <c r="F20164" s="2">
        <v>0.51895581226587095</v>
      </c>
    </row>
    <row r="20165" spans="1:6" x14ac:dyDescent="0.25">
      <c r="A20165" s="1" t="str">
        <f t="shared" si="745"/>
        <v>31860</v>
      </c>
      <c r="B20165" s="1" t="str">
        <f>"56058"</f>
        <v>56058</v>
      </c>
      <c r="C20165" s="2">
        <v>9.4880847308031699E-4</v>
      </c>
      <c r="D20165" s="2">
        <v>2.6581605528973898E-4</v>
      </c>
      <c r="E20165" s="2">
        <v>0</v>
      </c>
      <c r="F20165" s="2">
        <v>8.6296506952752603E-4</v>
      </c>
    </row>
    <row r="20166" spans="1:6" x14ac:dyDescent="0.25">
      <c r="A20166" s="1" t="str">
        <f t="shared" si="745"/>
        <v>31860</v>
      </c>
      <c r="B20166" s="1" t="str">
        <f>"56003"</f>
        <v>56003</v>
      </c>
      <c r="C20166" s="2">
        <v>0.151632833186231</v>
      </c>
      <c r="D20166" s="2">
        <v>9.4896331738437006E-2</v>
      </c>
      <c r="E20166" s="2">
        <v>0.158005249343832</v>
      </c>
      <c r="F20166" s="2">
        <v>0.14768470394414199</v>
      </c>
    </row>
    <row r="20167" spans="1:6" x14ac:dyDescent="0.25">
      <c r="A20167" s="1" t="str">
        <f t="shared" si="745"/>
        <v>31860</v>
      </c>
      <c r="B20167" s="1" t="str">
        <f>"56062"</f>
        <v>56062</v>
      </c>
      <c r="C20167" s="2">
        <v>2.0300088261253298E-3</v>
      </c>
      <c r="D20167" s="2">
        <v>0</v>
      </c>
      <c r="E20167" s="2">
        <v>0</v>
      </c>
      <c r="F20167" s="2">
        <v>1.8043815090120999E-3</v>
      </c>
    </row>
    <row r="20168" spans="1:6" x14ac:dyDescent="0.25">
      <c r="A20168" s="1" t="str">
        <f t="shared" si="745"/>
        <v>31860</v>
      </c>
      <c r="B20168" s="1" t="str">
        <f>"56065"</f>
        <v>56065</v>
      </c>
      <c r="C20168" s="2">
        <v>2.70079435127978E-2</v>
      </c>
      <c r="D20168" s="2">
        <v>1.08984582668793E-2</v>
      </c>
      <c r="E20168" s="2">
        <v>1.1023622047244001E-2</v>
      </c>
      <c r="F20168" s="2">
        <v>2.5222115441190799E-2</v>
      </c>
    </row>
    <row r="20169" spans="1:6" x14ac:dyDescent="0.25">
      <c r="A20169" s="1" t="str">
        <f t="shared" si="745"/>
        <v>31860</v>
      </c>
      <c r="B20169" s="1" t="str">
        <f>"55334"</f>
        <v>55334</v>
      </c>
      <c r="C20169" s="2">
        <v>3.3097969991173801E-4</v>
      </c>
      <c r="D20169" s="2">
        <v>0</v>
      </c>
      <c r="E20169" s="2">
        <v>0</v>
      </c>
      <c r="F20169" s="2">
        <v>2.9419263733892901E-4</v>
      </c>
    </row>
    <row r="20170" spans="1:6" x14ac:dyDescent="0.25">
      <c r="A20170" s="1" t="str">
        <f t="shared" si="745"/>
        <v>31860</v>
      </c>
      <c r="B20170" s="1" t="str">
        <f>"56073"</f>
        <v>56073</v>
      </c>
      <c r="C20170" s="2">
        <v>1.33495145631067E-2</v>
      </c>
      <c r="D20170" s="2">
        <v>3.4556087187666098E-3</v>
      </c>
      <c r="E20170" s="2">
        <v>0</v>
      </c>
      <c r="F20170" s="2">
        <v>1.2120736658363799E-2</v>
      </c>
    </row>
    <row r="20171" spans="1:6" x14ac:dyDescent="0.25">
      <c r="A20171" s="1" t="str">
        <f t="shared" si="745"/>
        <v>31860</v>
      </c>
      <c r="B20171" s="1" t="str">
        <f>"56068"</f>
        <v>56068</v>
      </c>
      <c r="C20171" s="2">
        <v>1.61076787290379E-3</v>
      </c>
      <c r="D20171" s="2">
        <v>5.3163211057947904E-4</v>
      </c>
      <c r="E20171" s="2">
        <v>0</v>
      </c>
      <c r="F20171" s="2">
        <v>1.47096318669464E-3</v>
      </c>
    </row>
    <row r="20172" spans="1:6" x14ac:dyDescent="0.25">
      <c r="A20172" s="1" t="str">
        <f t="shared" si="745"/>
        <v>31860</v>
      </c>
      <c r="B20172" s="1" t="str">
        <f>"56037"</f>
        <v>56037</v>
      </c>
      <c r="C20172" s="2">
        <v>1.6416593115622199E-2</v>
      </c>
      <c r="D20172" s="2">
        <v>4.2530568846358297E-3</v>
      </c>
      <c r="E20172" s="2">
        <v>4.19947506561679E-3</v>
      </c>
      <c r="F20172" s="2">
        <v>1.5062663031753101E-2</v>
      </c>
    </row>
    <row r="20173" spans="1:6" x14ac:dyDescent="0.25">
      <c r="A20173" s="1" t="str">
        <f t="shared" si="745"/>
        <v>31860</v>
      </c>
      <c r="B20173" s="1" t="str">
        <f>"56088"</f>
        <v>56088</v>
      </c>
      <c r="C20173" s="2">
        <v>2.4271844660194101E-4</v>
      </c>
      <c r="D20173" s="2">
        <v>0</v>
      </c>
      <c r="E20173" s="2">
        <v>0</v>
      </c>
      <c r="F20173" s="2">
        <v>2.1574126738188099E-4</v>
      </c>
    </row>
    <row r="20174" spans="1:6" x14ac:dyDescent="0.25">
      <c r="A20174" s="1" t="str">
        <f t="shared" si="745"/>
        <v>31860</v>
      </c>
      <c r="B20174" s="1" t="str">
        <f>"56055"</f>
        <v>56055</v>
      </c>
      <c r="C20174" s="2">
        <v>4.0931156222418302E-2</v>
      </c>
      <c r="D20174" s="2">
        <v>5.5821371610845199E-3</v>
      </c>
      <c r="E20174" s="2">
        <v>8.3989501312335905E-3</v>
      </c>
      <c r="F20174" s="2">
        <v>3.7107497989683602E-2</v>
      </c>
    </row>
    <row r="20175" spans="1:6" x14ac:dyDescent="0.25">
      <c r="A20175" s="1" t="str">
        <f t="shared" ref="A20175:A20194" si="746">"31900"</f>
        <v>31900</v>
      </c>
      <c r="B20175" s="1" t="str">
        <f>"44837"</f>
        <v>44837</v>
      </c>
      <c r="C20175" s="2">
        <v>4.9801306431531698E-3</v>
      </c>
      <c r="D20175" s="2">
        <v>8.0289040545965403E-4</v>
      </c>
      <c r="E20175" s="2">
        <v>1.2143290831815401E-3</v>
      </c>
      <c r="F20175" s="2">
        <v>4.5662100456621002E-3</v>
      </c>
    </row>
    <row r="20176" spans="1:6" x14ac:dyDescent="0.25">
      <c r="A20176" s="1" t="str">
        <f t="shared" si="746"/>
        <v>31900</v>
      </c>
      <c r="B20176" s="1" t="str">
        <f>"44822"</f>
        <v>44822</v>
      </c>
      <c r="C20176" s="2">
        <v>1.67653028158204E-2</v>
      </c>
      <c r="D20176" s="2">
        <v>7.0252910477719699E-3</v>
      </c>
      <c r="E20176" s="2">
        <v>5.4644808743169303E-3</v>
      </c>
      <c r="F20176" s="2">
        <v>1.57365695197818E-2</v>
      </c>
    </row>
    <row r="20177" spans="1:6" x14ac:dyDescent="0.25">
      <c r="A20177" s="1" t="str">
        <f t="shared" si="746"/>
        <v>31900</v>
      </c>
      <c r="B20177" s="1" t="str">
        <f>"44813"</f>
        <v>44813</v>
      </c>
      <c r="C20177" s="2">
        <v>5.1046339092320002E-2</v>
      </c>
      <c r="D20177" s="2">
        <v>2.8502609393817699E-2</v>
      </c>
      <c r="E20177" s="2">
        <v>2.12507589556769E-2</v>
      </c>
      <c r="F20177" s="2">
        <v>4.8573442432043097E-2</v>
      </c>
    </row>
    <row r="20178" spans="1:6" x14ac:dyDescent="0.25">
      <c r="A20178" s="1" t="str">
        <f t="shared" si="746"/>
        <v>31900</v>
      </c>
      <c r="B20178" s="1" t="str">
        <f>"44901"</f>
        <v>44901</v>
      </c>
      <c r="C20178" s="2">
        <v>2.6964337489127198E-2</v>
      </c>
      <c r="D20178" s="2">
        <v>6.6439181051786395E-2</v>
      </c>
      <c r="E20178" s="2">
        <v>1.82149362477231E-3</v>
      </c>
      <c r="F20178" s="2">
        <v>2.9343262541754699E-2</v>
      </c>
    </row>
    <row r="20179" spans="1:6" x14ac:dyDescent="0.25">
      <c r="A20179" s="1" t="str">
        <f t="shared" si="746"/>
        <v>31900</v>
      </c>
      <c r="B20179" s="1" t="str">
        <f>"44862"</f>
        <v>44862</v>
      </c>
      <c r="C20179" s="2">
        <v>0</v>
      </c>
      <c r="D20179" s="2">
        <v>0</v>
      </c>
      <c r="E20179" s="2">
        <v>6.0716454159077103E-4</v>
      </c>
      <c r="F20179" s="2">
        <v>1.53228525022218E-5</v>
      </c>
    </row>
    <row r="20180" spans="1:6" x14ac:dyDescent="0.25">
      <c r="A20180" s="1" t="str">
        <f t="shared" si="746"/>
        <v>31900</v>
      </c>
      <c r="B20180" s="1" t="str">
        <f>"44875"</f>
        <v>44875</v>
      </c>
      <c r="C20180" s="2">
        <v>0.106271212457148</v>
      </c>
      <c r="D20180" s="2">
        <v>8.1091930951425098E-2</v>
      </c>
      <c r="E20180" s="2">
        <v>0.11050394656952001</v>
      </c>
      <c r="F20180" s="2">
        <v>0.10445588550764601</v>
      </c>
    </row>
    <row r="20181" spans="1:6" x14ac:dyDescent="0.25">
      <c r="A20181" s="1" t="str">
        <f t="shared" si="746"/>
        <v>31900</v>
      </c>
      <c r="B20181" s="1" t="str">
        <f>"44904"</f>
        <v>44904</v>
      </c>
      <c r="C20181" s="2">
        <v>9.9892551975849703E-2</v>
      </c>
      <c r="D20181" s="2">
        <v>5.3793657165796802E-2</v>
      </c>
      <c r="E20181" s="2">
        <v>9.7753491196114095E-2</v>
      </c>
      <c r="F20181" s="2">
        <v>9.6319450828966299E-2</v>
      </c>
    </row>
    <row r="20182" spans="1:6" x14ac:dyDescent="0.25">
      <c r="A20182" s="1" t="str">
        <f t="shared" si="746"/>
        <v>31900</v>
      </c>
      <c r="B20182" s="1" t="str">
        <f>"44903"</f>
        <v>44903</v>
      </c>
      <c r="C20182" s="2">
        <v>0.199085839032626</v>
      </c>
      <c r="D20182" s="2">
        <v>0.119630670413488</v>
      </c>
      <c r="E20182" s="2">
        <v>0.15482695810564601</v>
      </c>
      <c r="F20182" s="2">
        <v>0.191903404737825</v>
      </c>
    </row>
    <row r="20183" spans="1:6" x14ac:dyDescent="0.25">
      <c r="A20183" s="1" t="str">
        <f t="shared" si="746"/>
        <v>31900</v>
      </c>
      <c r="B20183" s="1" t="str">
        <f>"44906"</f>
        <v>44906</v>
      </c>
      <c r="C20183" s="2">
        <v>0.15429877372810499</v>
      </c>
      <c r="D20183" s="2">
        <v>0.245283018867924</v>
      </c>
      <c r="E20183" s="2">
        <v>0.173041894353369</v>
      </c>
      <c r="F20183" s="2">
        <v>0.16171738530844901</v>
      </c>
    </row>
    <row r="20184" spans="1:6" x14ac:dyDescent="0.25">
      <c r="A20184" s="1" t="str">
        <f t="shared" si="746"/>
        <v>31900</v>
      </c>
      <c r="B20184" s="1" t="str">
        <f>"44843"</f>
        <v>44843</v>
      </c>
      <c r="C20184" s="2">
        <v>1.8266164105537799E-2</v>
      </c>
      <c r="D20184" s="2">
        <v>9.0325170614211098E-3</v>
      </c>
      <c r="E20184" s="2">
        <v>3.6429872495446201E-3</v>
      </c>
      <c r="F20184" s="2">
        <v>1.7192240507492799E-2</v>
      </c>
    </row>
    <row r="20185" spans="1:6" x14ac:dyDescent="0.25">
      <c r="A20185" s="1" t="str">
        <f t="shared" si="746"/>
        <v>31900</v>
      </c>
      <c r="B20185" s="1" t="str">
        <f>"44907"</f>
        <v>44907</v>
      </c>
      <c r="C20185" s="2">
        <v>0.12944928623812499</v>
      </c>
      <c r="D20185" s="2">
        <v>0.10156563629064599</v>
      </c>
      <c r="E20185" s="2">
        <v>0.217364905889496</v>
      </c>
      <c r="F20185" s="2">
        <v>0.12953939505378301</v>
      </c>
    </row>
    <row r="20186" spans="1:6" x14ac:dyDescent="0.25">
      <c r="A20186" s="1" t="str">
        <f t="shared" si="746"/>
        <v>31900</v>
      </c>
      <c r="B20186" s="1" t="str">
        <f>"44902"</f>
        <v>44902</v>
      </c>
      <c r="C20186" s="2">
        <v>4.6083263691095402E-2</v>
      </c>
      <c r="D20186" s="2">
        <v>0.160778803693295</v>
      </c>
      <c r="E20186" s="2">
        <v>0.109896782027929</v>
      </c>
      <c r="F20186" s="2">
        <v>5.6449388618185103E-2</v>
      </c>
    </row>
    <row r="20187" spans="1:6" x14ac:dyDescent="0.25">
      <c r="A20187" s="1" t="str">
        <f t="shared" si="746"/>
        <v>31900</v>
      </c>
      <c r="B20187" s="1" t="str">
        <f>"44878"</f>
        <v>44878</v>
      </c>
      <c r="C20187" s="2">
        <v>1.8146777412037501E-2</v>
      </c>
      <c r="D20187" s="2">
        <v>7.4267362505017996E-3</v>
      </c>
      <c r="E20187" s="2">
        <v>2.4286581663630802E-3</v>
      </c>
      <c r="F20187" s="2">
        <v>1.6931752014955101E-2</v>
      </c>
    </row>
    <row r="20188" spans="1:6" x14ac:dyDescent="0.25">
      <c r="A20188" s="1" t="str">
        <f t="shared" si="746"/>
        <v>31900</v>
      </c>
      <c r="B20188" s="1" t="str">
        <f>"44833"</f>
        <v>44833</v>
      </c>
      <c r="C20188" s="2">
        <v>3.58160080500741E-3</v>
      </c>
      <c r="D20188" s="2">
        <v>1.00361300682456E-3</v>
      </c>
      <c r="E20188" s="2">
        <v>0</v>
      </c>
      <c r="F20188" s="2">
        <v>3.2944132879776798E-3</v>
      </c>
    </row>
    <row r="20189" spans="1:6" x14ac:dyDescent="0.25">
      <c r="A20189" s="1" t="str">
        <f t="shared" si="746"/>
        <v>31900</v>
      </c>
      <c r="B20189" s="1" t="str">
        <f>"44865"</f>
        <v>44865</v>
      </c>
      <c r="C20189" s="2">
        <v>1.1614619753381201E-2</v>
      </c>
      <c r="D20189" s="2">
        <v>7.8281814532316293E-3</v>
      </c>
      <c r="E20189" s="2">
        <v>1.15361262902246E-2</v>
      </c>
      <c r="F20189" s="2">
        <v>1.1323587999141901E-2</v>
      </c>
    </row>
    <row r="20190" spans="1:6" x14ac:dyDescent="0.25">
      <c r="A20190" s="1" t="str">
        <f t="shared" si="746"/>
        <v>31900</v>
      </c>
      <c r="B20190" s="1" t="str">
        <f>"44827"</f>
        <v>44827</v>
      </c>
      <c r="C20190" s="2">
        <v>5.9352241911551501E-3</v>
      </c>
      <c r="D20190" s="2">
        <v>3.8137294259333598E-3</v>
      </c>
      <c r="E20190" s="2">
        <v>1.82149362477231E-3</v>
      </c>
      <c r="F20190" s="2">
        <v>5.6694554258220698E-3</v>
      </c>
    </row>
    <row r="20191" spans="1:6" x14ac:dyDescent="0.25">
      <c r="A20191" s="1" t="str">
        <f t="shared" si="746"/>
        <v>31900</v>
      </c>
      <c r="B20191" s="1" t="str">
        <f>"44864"</f>
        <v>44864</v>
      </c>
      <c r="C20191" s="2">
        <v>5.6282298364402203E-3</v>
      </c>
      <c r="D20191" s="2">
        <v>1.2043356081894801E-3</v>
      </c>
      <c r="E20191" s="2">
        <v>0</v>
      </c>
      <c r="F20191" s="2">
        <v>5.1484784407465197E-3</v>
      </c>
    </row>
    <row r="20192" spans="1:6" x14ac:dyDescent="0.25">
      <c r="A20192" s="1" t="str">
        <f t="shared" si="746"/>
        <v>31900</v>
      </c>
      <c r="B20192" s="1" t="str">
        <f>"43019"</f>
        <v>43019</v>
      </c>
      <c r="C20192" s="2">
        <v>7.3337540293008999E-4</v>
      </c>
      <c r="D20192" s="2">
        <v>2.4086712163789601E-3</v>
      </c>
      <c r="E20192" s="2">
        <v>1.2143290831815401E-3</v>
      </c>
      <c r="F20192" s="2">
        <v>8.7340259262664297E-4</v>
      </c>
    </row>
    <row r="20193" spans="1:6" x14ac:dyDescent="0.25">
      <c r="A20193" s="1" t="str">
        <f t="shared" si="746"/>
        <v>31900</v>
      </c>
      <c r="B20193" s="1" t="str">
        <f>"44805"</f>
        <v>44805</v>
      </c>
      <c r="C20193" s="2">
        <v>2.33656814421912E-3</v>
      </c>
      <c r="D20193" s="2">
        <v>6.0216780409474101E-4</v>
      </c>
      <c r="E20193" s="2">
        <v>1.2143290831815401E-3</v>
      </c>
      <c r="F20193" s="2">
        <v>2.1758450553154901E-3</v>
      </c>
    </row>
    <row r="20194" spans="1:6" x14ac:dyDescent="0.25">
      <c r="A20194" s="1" t="str">
        <f t="shared" si="746"/>
        <v>31900</v>
      </c>
      <c r="B20194" s="1" t="str">
        <f>"44905"</f>
        <v>44905</v>
      </c>
      <c r="C20194" s="2">
        <v>9.8920403185919104E-2</v>
      </c>
      <c r="D20194" s="2">
        <v>0.10176635889201099</v>
      </c>
      <c r="E20194" s="2">
        <v>8.4395871281117099E-2</v>
      </c>
      <c r="F20194" s="2">
        <v>9.8771107229321795E-2</v>
      </c>
    </row>
    <row r="20195" spans="1:6" x14ac:dyDescent="0.25">
      <c r="A20195" s="1" t="str">
        <f t="shared" ref="A20195:A20219" si="747">"31930"</f>
        <v>31930</v>
      </c>
      <c r="B20195" s="1" t="str">
        <f>"45715"</f>
        <v>45715</v>
      </c>
      <c r="C20195" s="2">
        <v>2.2408803048972602E-2</v>
      </c>
      <c r="D20195" s="2">
        <v>6.1549601737871098E-3</v>
      </c>
      <c r="E20195" s="2">
        <v>3.4026465028355303E-2</v>
      </c>
      <c r="F20195" s="2">
        <v>2.1566753622439701E-2</v>
      </c>
    </row>
    <row r="20196" spans="1:6" x14ac:dyDescent="0.25">
      <c r="A20196" s="1" t="str">
        <f t="shared" si="747"/>
        <v>31930</v>
      </c>
      <c r="B20196" s="1" t="str">
        <f>"45786"</f>
        <v>45786</v>
      </c>
      <c r="C20196" s="2">
        <v>3.6507436169298198E-2</v>
      </c>
      <c r="D20196" s="2">
        <v>6.5170166545981097E-3</v>
      </c>
      <c r="E20196" s="2">
        <v>5.6710775047258896E-3</v>
      </c>
      <c r="F20196" s="2">
        <v>3.3525324792726699E-2</v>
      </c>
    </row>
    <row r="20197" spans="1:6" x14ac:dyDescent="0.25">
      <c r="A20197" s="1" t="str">
        <f t="shared" si="747"/>
        <v>31930</v>
      </c>
      <c r="B20197" s="1" t="str">
        <f>"45723"</f>
        <v>45723</v>
      </c>
      <c r="C20197" s="2">
        <v>1.89128005272659E-3</v>
      </c>
      <c r="D20197" s="2">
        <v>0</v>
      </c>
      <c r="E20197" s="2">
        <v>0</v>
      </c>
      <c r="F20197" s="2">
        <v>1.70467753183356E-3</v>
      </c>
    </row>
    <row r="20198" spans="1:6" x14ac:dyDescent="0.25">
      <c r="A20198" s="1" t="str">
        <f t="shared" si="747"/>
        <v>31930</v>
      </c>
      <c r="B20198" s="1" t="str">
        <f>"45788"</f>
        <v>45788</v>
      </c>
      <c r="C20198" s="2">
        <v>1.40699773619508E-2</v>
      </c>
      <c r="D20198" s="2">
        <v>9.4134685010861599E-3</v>
      </c>
      <c r="E20198" s="2">
        <v>1.89035916824196E-3</v>
      </c>
      <c r="F20198" s="2">
        <v>1.3404964227600199E-2</v>
      </c>
    </row>
    <row r="20199" spans="1:6" x14ac:dyDescent="0.25">
      <c r="A20199" s="1" t="str">
        <f t="shared" si="747"/>
        <v>31930</v>
      </c>
      <c r="B20199" s="1" t="str">
        <f>"45767"</f>
        <v>45767</v>
      </c>
      <c r="C20199" s="2">
        <v>4.2009341777230098E-2</v>
      </c>
      <c r="D20199" s="2">
        <v>1.7016654598117301E-2</v>
      </c>
      <c r="E20199" s="2">
        <v>7.5614366729678598E-3</v>
      </c>
      <c r="F20199" s="2">
        <v>3.9285068574527897E-2</v>
      </c>
    </row>
    <row r="20200" spans="1:6" x14ac:dyDescent="0.25">
      <c r="A20200" s="1" t="str">
        <f t="shared" si="747"/>
        <v>31930</v>
      </c>
      <c r="B20200" s="1" t="str">
        <f>"45712"</f>
        <v>45712</v>
      </c>
      <c r="C20200" s="2">
        <v>0</v>
      </c>
      <c r="D20200" s="2">
        <v>3.62056480811006E-4</v>
      </c>
      <c r="E20200" s="2">
        <v>0</v>
      </c>
      <c r="F20200" s="2">
        <v>2.5828447452023601E-5</v>
      </c>
    </row>
    <row r="20201" spans="1:6" x14ac:dyDescent="0.25">
      <c r="A20201" s="1" t="str">
        <f t="shared" si="747"/>
        <v>31930</v>
      </c>
      <c r="B20201" s="1" t="str">
        <f>"45711"</f>
        <v>45711</v>
      </c>
      <c r="C20201" s="2">
        <v>1.3181648852336799E-3</v>
      </c>
      <c r="D20201" s="2">
        <v>0</v>
      </c>
      <c r="E20201" s="2">
        <v>0</v>
      </c>
      <c r="F20201" s="2">
        <v>1.1881085827930801E-3</v>
      </c>
    </row>
    <row r="20202" spans="1:6" x14ac:dyDescent="0.25">
      <c r="A20202" s="1" t="str">
        <f t="shared" si="747"/>
        <v>31930</v>
      </c>
      <c r="B20202" s="1" t="str">
        <f>"45734"</f>
        <v>45734</v>
      </c>
      <c r="C20202" s="2">
        <v>2.8655758374645301E-5</v>
      </c>
      <c r="D20202" s="2">
        <v>0</v>
      </c>
      <c r="E20202" s="2">
        <v>0</v>
      </c>
      <c r="F20202" s="2">
        <v>2.5828447452023601E-5</v>
      </c>
    </row>
    <row r="20203" spans="1:6" x14ac:dyDescent="0.25">
      <c r="A20203" s="1" t="str">
        <f t="shared" si="747"/>
        <v>31930</v>
      </c>
      <c r="B20203" s="1" t="str">
        <f>"45789"</f>
        <v>45789</v>
      </c>
      <c r="C20203" s="2">
        <v>2.8942315958391798E-3</v>
      </c>
      <c r="D20203" s="2">
        <v>3.62056480811006E-4</v>
      </c>
      <c r="E20203" s="2">
        <v>9.4517958412098204E-4</v>
      </c>
      <c r="F20203" s="2">
        <v>2.6603300875584299E-3</v>
      </c>
    </row>
    <row r="20204" spans="1:6" x14ac:dyDescent="0.25">
      <c r="A20204" s="1" t="str">
        <f t="shared" si="747"/>
        <v>31930</v>
      </c>
      <c r="B20204" s="1" t="str">
        <f>"45768"</f>
        <v>45768</v>
      </c>
      <c r="C20204" s="2">
        <v>2.9887955984755101E-2</v>
      </c>
      <c r="D20204" s="2">
        <v>9.05141202027516E-3</v>
      </c>
      <c r="E20204" s="2">
        <v>2.83553875236294E-3</v>
      </c>
      <c r="F20204" s="2">
        <v>2.7662267221117299E-2</v>
      </c>
    </row>
    <row r="20205" spans="1:6" x14ac:dyDescent="0.25">
      <c r="A20205" s="1" t="str">
        <f t="shared" si="747"/>
        <v>31930</v>
      </c>
      <c r="B20205" s="1" t="str">
        <f>"45750"</f>
        <v>45750</v>
      </c>
      <c r="C20205" s="2">
        <v>0.42367538756913198</v>
      </c>
      <c r="D20205" s="2">
        <v>0.69261404779145497</v>
      </c>
      <c r="E20205" s="2">
        <v>0.64555765595463099</v>
      </c>
      <c r="F20205" s="2">
        <v>0.448924245163623</v>
      </c>
    </row>
    <row r="20206" spans="1:6" x14ac:dyDescent="0.25">
      <c r="A20206" s="1" t="str">
        <f t="shared" si="747"/>
        <v>31930</v>
      </c>
      <c r="B20206" s="1" t="str">
        <f>"45742"</f>
        <v>45742</v>
      </c>
      <c r="C20206" s="2">
        <v>6.0778863512622801E-2</v>
      </c>
      <c r="D20206" s="2">
        <v>1.33960897900072E-2</v>
      </c>
      <c r="E20206" s="2">
        <v>3.7807183364839299E-3</v>
      </c>
      <c r="F20206" s="2">
        <v>5.5841103391275099E-2</v>
      </c>
    </row>
    <row r="20207" spans="1:6" x14ac:dyDescent="0.25">
      <c r="A20207" s="1" t="str">
        <f t="shared" si="747"/>
        <v>31930</v>
      </c>
      <c r="B20207" s="1" t="str">
        <f>"45787"</f>
        <v>45787</v>
      </c>
      <c r="C20207" s="2">
        <v>0</v>
      </c>
      <c r="D20207" s="2">
        <v>3.62056480811006E-4</v>
      </c>
      <c r="E20207" s="2">
        <v>0</v>
      </c>
      <c r="F20207" s="2">
        <v>2.5828447452023601E-5</v>
      </c>
    </row>
    <row r="20208" spans="1:6" x14ac:dyDescent="0.25">
      <c r="A20208" s="1" t="str">
        <f t="shared" si="747"/>
        <v>31930</v>
      </c>
      <c r="B20208" s="1" t="str">
        <f>"45729"</f>
        <v>45729</v>
      </c>
      <c r="C20208" s="2">
        <v>3.0919563286242301E-2</v>
      </c>
      <c r="D20208" s="2">
        <v>5.4308472121650901E-3</v>
      </c>
      <c r="E20208" s="2">
        <v>0</v>
      </c>
      <c r="F20208" s="2">
        <v>2.82563215125138E-2</v>
      </c>
    </row>
    <row r="20209" spans="1:6" x14ac:dyDescent="0.25">
      <c r="A20209" s="1" t="str">
        <f t="shared" si="747"/>
        <v>31930</v>
      </c>
      <c r="B20209" s="1" t="str">
        <f>"45744"</f>
        <v>45744</v>
      </c>
      <c r="C20209" s="2">
        <v>3.9917471415880999E-2</v>
      </c>
      <c r="D20209" s="2">
        <v>1.37581462708182E-2</v>
      </c>
      <c r="E20209" s="2">
        <v>5.6710775047258896E-3</v>
      </c>
      <c r="F20209" s="2">
        <v>3.7115478988557903E-2</v>
      </c>
    </row>
    <row r="20210" spans="1:6" x14ac:dyDescent="0.25">
      <c r="A20210" s="1" t="str">
        <f t="shared" si="747"/>
        <v>31930</v>
      </c>
      <c r="B20210" s="1" t="str">
        <f>"45746"</f>
        <v>45746</v>
      </c>
      <c r="C20210" s="2">
        <v>6.6481359429177199E-3</v>
      </c>
      <c r="D20210" s="2">
        <v>2.1723388848660301E-3</v>
      </c>
      <c r="E20210" s="2">
        <v>3.7807183364839299E-3</v>
      </c>
      <c r="F20210" s="2">
        <v>6.2504842833897203E-3</v>
      </c>
    </row>
    <row r="20211" spans="1:6" x14ac:dyDescent="0.25">
      <c r="A20211" s="1" t="str">
        <f t="shared" si="747"/>
        <v>31930</v>
      </c>
      <c r="B20211" s="1" t="str">
        <f>"45745"</f>
        <v>45745</v>
      </c>
      <c r="C20211" s="2">
        <v>8.0522681032753497E-3</v>
      </c>
      <c r="D20211" s="2">
        <v>1.81028240405503E-3</v>
      </c>
      <c r="E20211" s="2">
        <v>0</v>
      </c>
      <c r="F20211" s="2">
        <v>7.3869359712787604E-3</v>
      </c>
    </row>
    <row r="20212" spans="1:6" x14ac:dyDescent="0.25">
      <c r="A20212" s="1" t="str">
        <f t="shared" si="747"/>
        <v>31930</v>
      </c>
      <c r="B20212" s="1" t="str">
        <f>"45714"</f>
        <v>45714</v>
      </c>
      <c r="C20212" s="2">
        <v>0.175516520044702</v>
      </c>
      <c r="D20212" s="2">
        <v>0.18863142650253401</v>
      </c>
      <c r="E20212" s="2">
        <v>0.27693761814744799</v>
      </c>
      <c r="F20212" s="2">
        <v>0.17922359686959199</v>
      </c>
    </row>
    <row r="20213" spans="1:6" x14ac:dyDescent="0.25">
      <c r="A20213" s="1" t="str">
        <f t="shared" si="747"/>
        <v>31930</v>
      </c>
      <c r="B20213" s="1" t="str">
        <f>"45784"</f>
        <v>45784</v>
      </c>
      <c r="C20213" s="2">
        <v>6.2813422357222606E-2</v>
      </c>
      <c r="D20213" s="2">
        <v>2.13613323678493E-2</v>
      </c>
      <c r="E20213" s="2">
        <v>7.5614366729678598E-3</v>
      </c>
      <c r="F20213" s="2">
        <v>5.8346462794121402E-2</v>
      </c>
    </row>
    <row r="20214" spans="1:6" x14ac:dyDescent="0.25">
      <c r="A20214" s="1" t="str">
        <f t="shared" si="747"/>
        <v>31930</v>
      </c>
      <c r="B20214" s="1" t="str">
        <f>"45727"</f>
        <v>45727</v>
      </c>
      <c r="C20214" s="2">
        <v>3.1521334212109898E-4</v>
      </c>
      <c r="D20214" s="2">
        <v>0</v>
      </c>
      <c r="E20214" s="2">
        <v>0</v>
      </c>
      <c r="F20214" s="2">
        <v>2.8411292197225998E-4</v>
      </c>
    </row>
    <row r="20215" spans="1:6" x14ac:dyDescent="0.25">
      <c r="A20215" s="1" t="str">
        <f t="shared" si="747"/>
        <v>31930</v>
      </c>
      <c r="B20215" s="1" t="str">
        <f>"45713"</f>
        <v>45713</v>
      </c>
      <c r="C20215" s="2">
        <v>0</v>
      </c>
      <c r="D20215" s="2">
        <v>3.62056480811006E-4</v>
      </c>
      <c r="E20215" s="2">
        <v>0</v>
      </c>
      <c r="F20215" s="2">
        <v>2.5828447452023601E-5</v>
      </c>
    </row>
    <row r="20216" spans="1:6" x14ac:dyDescent="0.25">
      <c r="A20216" s="1" t="str">
        <f t="shared" si="747"/>
        <v>31930</v>
      </c>
      <c r="B20216" s="1" t="str">
        <f>"43787"</f>
        <v>43787</v>
      </c>
      <c r="C20216" s="2">
        <v>5.7024959165544297E-3</v>
      </c>
      <c r="D20216" s="2">
        <v>0</v>
      </c>
      <c r="E20216" s="2">
        <v>0</v>
      </c>
      <c r="F20216" s="2">
        <v>5.1398610429527003E-3</v>
      </c>
    </row>
    <row r="20217" spans="1:6" x14ac:dyDescent="0.25">
      <c r="A20217" s="1" t="str">
        <f t="shared" si="747"/>
        <v>31930</v>
      </c>
      <c r="B20217" s="1" t="str">
        <f>"45724"</f>
        <v>45724</v>
      </c>
      <c r="C20217" s="2">
        <v>2.25807375992205E-2</v>
      </c>
      <c r="D20217" s="2">
        <v>5.4308472121650901E-3</v>
      </c>
      <c r="E20217" s="2">
        <v>0</v>
      </c>
      <c r="F20217" s="2">
        <v>2.0740243303974899E-2</v>
      </c>
    </row>
    <row r="20218" spans="1:6" x14ac:dyDescent="0.25">
      <c r="A20218" s="1" t="str">
        <f t="shared" si="747"/>
        <v>31930</v>
      </c>
      <c r="B20218" s="1" t="str">
        <f>"45721"</f>
        <v>45721</v>
      </c>
      <c r="C20218" s="2">
        <v>1.1175745766111699E-3</v>
      </c>
      <c r="D20218" s="2">
        <v>7.2411296162201298E-4</v>
      </c>
      <c r="E20218" s="2">
        <v>3.7807183364839299E-3</v>
      </c>
      <c r="F20218" s="2">
        <v>1.1622801353410601E-3</v>
      </c>
    </row>
    <row r="20219" spans="1:6" x14ac:dyDescent="0.25">
      <c r="A20219" s="1" t="str">
        <f t="shared" si="747"/>
        <v>31930</v>
      </c>
      <c r="B20219" s="1" t="str">
        <f>"45773"</f>
        <v>45773</v>
      </c>
      <c r="C20219" s="2">
        <v>1.0946499699114501E-2</v>
      </c>
      <c r="D20219" s="2">
        <v>5.0687907313540902E-3</v>
      </c>
      <c r="E20219" s="2">
        <v>0</v>
      </c>
      <c r="F20219" s="2">
        <v>1.02280651910013E-2</v>
      </c>
    </row>
    <row r="20220" spans="1:6" x14ac:dyDescent="0.25">
      <c r="A20220" s="1" t="str">
        <f t="shared" ref="A20220:A20251" si="748">"31940"</f>
        <v>31940</v>
      </c>
      <c r="B20220" s="1" t="str">
        <f>"54157"</f>
        <v>54157</v>
      </c>
      <c r="C20220" s="2">
        <v>7.62620548461828E-2</v>
      </c>
      <c r="D20220" s="2">
        <v>7.8339041095890405E-2</v>
      </c>
      <c r="E20220" s="2">
        <v>0.127988748241912</v>
      </c>
      <c r="F20220" s="2">
        <v>7.7298414200004897E-2</v>
      </c>
    </row>
    <row r="20221" spans="1:6" x14ac:dyDescent="0.25">
      <c r="A20221" s="1" t="str">
        <f t="shared" si="748"/>
        <v>31940</v>
      </c>
      <c r="B20221" s="1" t="str">
        <f>"54104"</f>
        <v>54104</v>
      </c>
      <c r="C20221" s="2">
        <v>2.5268035127417699E-2</v>
      </c>
      <c r="D20221" s="2">
        <v>9.4178082191780799E-3</v>
      </c>
      <c r="E20221" s="2">
        <v>4.2194092827004199E-3</v>
      </c>
      <c r="F20221" s="2">
        <v>2.39737110707261E-2</v>
      </c>
    </row>
    <row r="20222" spans="1:6" x14ac:dyDescent="0.25">
      <c r="A20222" s="1" t="str">
        <f t="shared" si="748"/>
        <v>31940</v>
      </c>
      <c r="B20222" s="1" t="str">
        <f>"49848"</f>
        <v>49848</v>
      </c>
      <c r="C20222" s="2">
        <v>1.8587360594795499E-3</v>
      </c>
      <c r="D20222" s="2">
        <v>1.28424657534246E-3</v>
      </c>
      <c r="E20222" s="2">
        <v>1.40646976090014E-3</v>
      </c>
      <c r="F20222" s="2">
        <v>1.81732181533022E-3</v>
      </c>
    </row>
    <row r="20223" spans="1:6" x14ac:dyDescent="0.25">
      <c r="A20223" s="1" t="str">
        <f t="shared" si="748"/>
        <v>31940</v>
      </c>
      <c r="B20223" s="1" t="str">
        <f>"49845"</f>
        <v>49845</v>
      </c>
      <c r="C20223" s="2">
        <v>0</v>
      </c>
      <c r="D20223" s="2">
        <v>0</v>
      </c>
      <c r="E20223" s="2">
        <v>1.40646976090014E-3</v>
      </c>
      <c r="F20223" s="2">
        <v>2.4894819388085298E-5</v>
      </c>
    </row>
    <row r="20224" spans="1:6" x14ac:dyDescent="0.25">
      <c r="A20224" s="1" t="str">
        <f t="shared" si="748"/>
        <v>31940</v>
      </c>
      <c r="B20224" s="1" t="str">
        <f>"49896"</f>
        <v>49896</v>
      </c>
      <c r="C20224" s="2">
        <v>2.1388933785895101E-2</v>
      </c>
      <c r="D20224" s="2">
        <v>5.5650684931506803E-3</v>
      </c>
      <c r="E20224" s="2">
        <v>1.26582278481012E-2</v>
      </c>
      <c r="F20224" s="2">
        <v>2.0314172620677601E-2</v>
      </c>
    </row>
    <row r="20225" spans="1:6" x14ac:dyDescent="0.25">
      <c r="A20225" s="1" t="str">
        <f t="shared" si="748"/>
        <v>31940</v>
      </c>
      <c r="B20225" s="1" t="str">
        <f>"54159"</f>
        <v>54159</v>
      </c>
      <c r="C20225" s="2">
        <v>2.0526911265556801E-2</v>
      </c>
      <c r="D20225" s="2">
        <v>3.4246575342465699E-3</v>
      </c>
      <c r="E20225" s="2">
        <v>1.40646976090014E-3</v>
      </c>
      <c r="F20225" s="2">
        <v>1.91939057482137E-2</v>
      </c>
    </row>
    <row r="20226" spans="1:6" x14ac:dyDescent="0.25">
      <c r="A20226" s="1" t="str">
        <f t="shared" si="748"/>
        <v>31940</v>
      </c>
      <c r="B20226" s="1" t="str">
        <f>"54125"</f>
        <v>54125</v>
      </c>
      <c r="C20226" s="2">
        <v>8.1083993319325393E-3</v>
      </c>
      <c r="D20226" s="2">
        <v>1.28424657534246E-3</v>
      </c>
      <c r="E20226" s="2">
        <v>2.81293952180028E-3</v>
      </c>
      <c r="F20226" s="2">
        <v>7.6178147327541097E-3</v>
      </c>
    </row>
    <row r="20227" spans="1:6" x14ac:dyDescent="0.25">
      <c r="A20227" s="1" t="str">
        <f t="shared" si="748"/>
        <v>31940</v>
      </c>
      <c r="B20227" s="1" t="str">
        <f>"54102"</f>
        <v>54102</v>
      </c>
      <c r="C20227" s="2">
        <v>1.7294326814288E-2</v>
      </c>
      <c r="D20227" s="2">
        <v>5.9931506849314996E-3</v>
      </c>
      <c r="E20227" s="2">
        <v>4.2194092827004199E-3</v>
      </c>
      <c r="F20227" s="2">
        <v>1.6405685976748199E-2</v>
      </c>
    </row>
    <row r="20228" spans="1:6" x14ac:dyDescent="0.25">
      <c r="A20228" s="1" t="str">
        <f t="shared" si="748"/>
        <v>31940</v>
      </c>
      <c r="B20228" s="1" t="str">
        <f>"54103"</f>
        <v>54103</v>
      </c>
      <c r="C20228" s="2">
        <v>9.9671353914120996E-4</v>
      </c>
      <c r="D20228" s="2">
        <v>0</v>
      </c>
      <c r="E20228" s="2">
        <v>0</v>
      </c>
      <c r="F20228" s="2">
        <v>9.2110831735915698E-4</v>
      </c>
    </row>
    <row r="20229" spans="1:6" x14ac:dyDescent="0.25">
      <c r="A20229" s="1" t="str">
        <f t="shared" si="748"/>
        <v>31940</v>
      </c>
      <c r="B20229" s="1" t="str">
        <f>"54120"</f>
        <v>54120</v>
      </c>
      <c r="C20229" s="2">
        <v>2.3166855234092901E-3</v>
      </c>
      <c r="D20229" s="2">
        <v>0</v>
      </c>
      <c r="E20229" s="2">
        <v>0</v>
      </c>
      <c r="F20229" s="2">
        <v>2.1409544673753299E-3</v>
      </c>
    </row>
    <row r="20230" spans="1:6" x14ac:dyDescent="0.25">
      <c r="A20230" s="1" t="str">
        <f t="shared" si="748"/>
        <v>31940</v>
      </c>
      <c r="B20230" s="1" t="str">
        <f>"49873"</f>
        <v>49873</v>
      </c>
      <c r="C20230" s="2">
        <v>2.5860675610150301E-3</v>
      </c>
      <c r="D20230" s="2">
        <v>0</v>
      </c>
      <c r="E20230" s="2">
        <v>0</v>
      </c>
      <c r="F20230" s="2">
        <v>2.3899026612561902E-3</v>
      </c>
    </row>
    <row r="20231" spans="1:6" x14ac:dyDescent="0.25">
      <c r="A20231" s="1" t="str">
        <f t="shared" si="748"/>
        <v>31940</v>
      </c>
      <c r="B20231" s="1" t="str">
        <f>"49874"</f>
        <v>49874</v>
      </c>
      <c r="C20231" s="2">
        <v>1.3442163676526E-2</v>
      </c>
      <c r="D20231" s="2">
        <v>6.8493150684931503E-3</v>
      </c>
      <c r="E20231" s="2">
        <v>1.26582278481012E-2</v>
      </c>
      <c r="F20231" s="2">
        <v>1.30448853593567E-2</v>
      </c>
    </row>
    <row r="20232" spans="1:6" x14ac:dyDescent="0.25">
      <c r="A20232" s="1" t="str">
        <f t="shared" si="748"/>
        <v>31940</v>
      </c>
      <c r="B20232" s="1" t="str">
        <f>"54151"</f>
        <v>54151</v>
      </c>
      <c r="C20232" s="2">
        <v>3.4292333387209703E-2</v>
      </c>
      <c r="D20232" s="2">
        <v>3.08219178082191E-2</v>
      </c>
      <c r="E20232" s="2">
        <v>1.8284106891701801E-2</v>
      </c>
      <c r="F20232" s="2">
        <v>3.3807164729019797E-2</v>
      </c>
    </row>
    <row r="20233" spans="1:6" x14ac:dyDescent="0.25">
      <c r="A20233" s="1" t="str">
        <f t="shared" si="748"/>
        <v>31940</v>
      </c>
      <c r="B20233" s="1" t="str">
        <f>"49807"</f>
        <v>49807</v>
      </c>
      <c r="C20233" s="2">
        <v>5.8455902160443902E-3</v>
      </c>
      <c r="D20233" s="2">
        <v>8.5616438356164303E-4</v>
      </c>
      <c r="E20233" s="2">
        <v>0</v>
      </c>
      <c r="F20233" s="2">
        <v>5.4519654459906797E-3</v>
      </c>
    </row>
    <row r="20234" spans="1:6" x14ac:dyDescent="0.25">
      <c r="A20234" s="1" t="str">
        <f t="shared" si="748"/>
        <v>31940</v>
      </c>
      <c r="B20234" s="1" t="str">
        <f>"54153"</f>
        <v>54153</v>
      </c>
      <c r="C20234" s="2">
        <v>2.9632024136630502E-4</v>
      </c>
      <c r="D20234" s="2">
        <v>0</v>
      </c>
      <c r="E20234" s="2">
        <v>0</v>
      </c>
      <c r="F20234" s="2">
        <v>2.7384301326893799E-4</v>
      </c>
    </row>
    <row r="20235" spans="1:6" x14ac:dyDescent="0.25">
      <c r="A20235" s="1" t="str">
        <f t="shared" si="748"/>
        <v>31940</v>
      </c>
      <c r="B20235" s="1" t="str">
        <f>"49821"</f>
        <v>49821</v>
      </c>
      <c r="C20235" s="2">
        <v>1.9826517967781902E-2</v>
      </c>
      <c r="D20235" s="2">
        <v>1.71232876712328E-3</v>
      </c>
      <c r="E20235" s="2">
        <v>5.3445850914205298E-2</v>
      </c>
      <c r="F20235" s="2">
        <v>1.93681694839303E-2</v>
      </c>
    </row>
    <row r="20236" spans="1:6" x14ac:dyDescent="0.25">
      <c r="A20236" s="1" t="str">
        <f t="shared" si="748"/>
        <v>31940</v>
      </c>
      <c r="B20236" s="1" t="str">
        <f>"54139"</f>
        <v>54139</v>
      </c>
      <c r="C20236" s="2">
        <v>9.4283713162006302E-4</v>
      </c>
      <c r="D20236" s="2">
        <v>0</v>
      </c>
      <c r="E20236" s="2">
        <v>1.40646976090014E-3</v>
      </c>
      <c r="F20236" s="2">
        <v>8.9621349797107202E-4</v>
      </c>
    </row>
    <row r="20237" spans="1:6" x14ac:dyDescent="0.25">
      <c r="A20237" s="1" t="str">
        <f t="shared" si="748"/>
        <v>31940</v>
      </c>
      <c r="B20237" s="1" t="str">
        <f>"54112"</f>
        <v>54112</v>
      </c>
      <c r="C20237" s="2">
        <v>2.2951349604008402E-2</v>
      </c>
      <c r="D20237" s="2">
        <v>3.4674657534246499E-2</v>
      </c>
      <c r="E20237" s="2">
        <v>1.9690576652601901E-2</v>
      </c>
      <c r="F20237" s="2">
        <v>2.3575393960516802E-2</v>
      </c>
    </row>
    <row r="20238" spans="1:6" x14ac:dyDescent="0.25">
      <c r="A20238" s="1" t="str">
        <f t="shared" si="748"/>
        <v>31940</v>
      </c>
      <c r="B20238" s="1" t="str">
        <f>"49847"</f>
        <v>49847</v>
      </c>
      <c r="C20238" s="2">
        <v>1.33882872690049E-2</v>
      </c>
      <c r="D20238" s="2">
        <v>3.8527397260273901E-3</v>
      </c>
      <c r="E20238" s="2">
        <v>5.6258790436005601E-3</v>
      </c>
      <c r="F20238" s="2">
        <v>1.26963578879235E-2</v>
      </c>
    </row>
    <row r="20239" spans="1:6" x14ac:dyDescent="0.25">
      <c r="A20239" s="1" t="str">
        <f t="shared" si="748"/>
        <v>31940</v>
      </c>
      <c r="B20239" s="1" t="str">
        <f>"54143"</f>
        <v>54143</v>
      </c>
      <c r="C20239" s="2">
        <v>0.221755293357038</v>
      </c>
      <c r="D20239" s="2">
        <v>0.403253424657534</v>
      </c>
      <c r="E20239" s="2">
        <v>0.32770745428973203</v>
      </c>
      <c r="F20239" s="2">
        <v>0.23418556598371801</v>
      </c>
    </row>
    <row r="20240" spans="1:6" x14ac:dyDescent="0.25">
      <c r="A20240" s="1" t="str">
        <f t="shared" si="748"/>
        <v>31940</v>
      </c>
      <c r="B20240" s="1" t="str">
        <f>"49887"</f>
        <v>49887</v>
      </c>
      <c r="C20240" s="2">
        <v>3.81983729324928E-2</v>
      </c>
      <c r="D20240" s="2">
        <v>1.7979452054794499E-2</v>
      </c>
      <c r="E20240" s="2">
        <v>1.8284106891701801E-2</v>
      </c>
      <c r="F20240" s="2">
        <v>3.6670068958649701E-2</v>
      </c>
    </row>
    <row r="20241" spans="1:6" x14ac:dyDescent="0.25">
      <c r="A20241" s="1" t="str">
        <f t="shared" si="748"/>
        <v>31940</v>
      </c>
      <c r="B20241" s="1" t="str">
        <f>"49863"</f>
        <v>49863</v>
      </c>
      <c r="C20241" s="2">
        <v>1.5893540218738201E-3</v>
      </c>
      <c r="D20241" s="2">
        <v>2.1404109589040999E-3</v>
      </c>
      <c r="E20241" s="2">
        <v>7.0323488045007003E-3</v>
      </c>
      <c r="F20241" s="2">
        <v>1.7177425377778799E-3</v>
      </c>
    </row>
    <row r="20242" spans="1:6" x14ac:dyDescent="0.25">
      <c r="A20242" s="1" t="str">
        <f t="shared" si="748"/>
        <v>31940</v>
      </c>
      <c r="B20242" s="1" t="str">
        <f>"54156"</f>
        <v>54156</v>
      </c>
      <c r="C20242" s="2">
        <v>2.9605085932869899E-2</v>
      </c>
      <c r="D20242" s="2">
        <v>9.4178082191780799E-3</v>
      </c>
      <c r="E20242" s="2">
        <v>5.6258790436005601E-3</v>
      </c>
      <c r="F20242" s="2">
        <v>2.8006671811595999E-2</v>
      </c>
    </row>
    <row r="20243" spans="1:6" x14ac:dyDescent="0.25">
      <c r="A20243" s="1" t="str">
        <f t="shared" si="748"/>
        <v>31940</v>
      </c>
      <c r="B20243" s="1" t="str">
        <f>"49812"</f>
        <v>49812</v>
      </c>
      <c r="C20243" s="2">
        <v>1.32266580464414E-2</v>
      </c>
      <c r="D20243" s="2">
        <v>8.5616438356164303E-4</v>
      </c>
      <c r="E20243" s="2">
        <v>4.2194092827004199E-3</v>
      </c>
      <c r="F20243" s="2">
        <v>1.2347830416490299E-2</v>
      </c>
    </row>
    <row r="20244" spans="1:6" x14ac:dyDescent="0.25">
      <c r="A20244" s="1" t="str">
        <f t="shared" si="748"/>
        <v>31940</v>
      </c>
      <c r="B20244" s="1" t="str">
        <f>"54161"</f>
        <v>54161</v>
      </c>
      <c r="C20244" s="2">
        <v>2.3086040622811201E-2</v>
      </c>
      <c r="D20244" s="2">
        <v>1.5839041095890401E-2</v>
      </c>
      <c r="E20244" s="2">
        <v>1.26582278481012E-2</v>
      </c>
      <c r="F20244" s="2">
        <v>2.2480021907441E-2</v>
      </c>
    </row>
    <row r="20245" spans="1:6" x14ac:dyDescent="0.25">
      <c r="A20245" s="1" t="str">
        <f t="shared" si="748"/>
        <v>31940</v>
      </c>
      <c r="B20245" s="1" t="str">
        <f>"54177"</f>
        <v>54177</v>
      </c>
      <c r="C20245" s="2">
        <v>5.4657615430203102E-2</v>
      </c>
      <c r="D20245" s="2">
        <v>1.28424657534246E-2</v>
      </c>
      <c r="E20245" s="2">
        <v>2.53164556962025E-2</v>
      </c>
      <c r="F20245" s="2">
        <v>5.17065398690532E-2</v>
      </c>
    </row>
    <row r="20246" spans="1:6" x14ac:dyDescent="0.25">
      <c r="A20246" s="1" t="str">
        <f t="shared" si="748"/>
        <v>31940</v>
      </c>
      <c r="B20246" s="1" t="str">
        <f>"49886"</f>
        <v>49886</v>
      </c>
      <c r="C20246" s="2">
        <v>4.2562361941705703E-3</v>
      </c>
      <c r="D20246" s="2">
        <v>4.2808219178082103E-4</v>
      </c>
      <c r="E20246" s="2">
        <v>1.40646976090014E-3</v>
      </c>
      <c r="F20246" s="2">
        <v>3.9831711020936501E-3</v>
      </c>
    </row>
    <row r="20247" spans="1:6" x14ac:dyDescent="0.25">
      <c r="A20247" s="1" t="str">
        <f t="shared" si="748"/>
        <v>31940</v>
      </c>
      <c r="B20247" s="1" t="str">
        <f>"49893"</f>
        <v>49893</v>
      </c>
      <c r="C20247" s="2">
        <v>2.61031194439954E-2</v>
      </c>
      <c r="D20247" s="2">
        <v>3.8527397260273901E-3</v>
      </c>
      <c r="E20247" s="2">
        <v>1.1251758087201099E-2</v>
      </c>
      <c r="F20247" s="2">
        <v>2.4546291916652099E-2</v>
      </c>
    </row>
    <row r="20248" spans="1:6" x14ac:dyDescent="0.25">
      <c r="A20248" s="1" t="str">
        <f t="shared" si="748"/>
        <v>31940</v>
      </c>
      <c r="B20248" s="1" t="str">
        <f>"49858"</f>
        <v>49858</v>
      </c>
      <c r="C20248" s="2">
        <v>0.19268897149938</v>
      </c>
      <c r="D20248" s="2">
        <v>0.28339041095890399</v>
      </c>
      <c r="E20248" s="2">
        <v>0.26300984528832599</v>
      </c>
      <c r="F20248" s="2">
        <v>0.199208344743458</v>
      </c>
    </row>
    <row r="20249" spans="1:6" x14ac:dyDescent="0.25">
      <c r="A20249" s="1" t="str">
        <f t="shared" si="748"/>
        <v>31940</v>
      </c>
      <c r="B20249" s="1" t="str">
        <f>"54119"</f>
        <v>54119</v>
      </c>
      <c r="C20249" s="2">
        <v>1.04250848553418E-2</v>
      </c>
      <c r="D20249" s="2">
        <v>2.9965753424657498E-3</v>
      </c>
      <c r="E20249" s="2">
        <v>1.40646976090014E-3</v>
      </c>
      <c r="F20249" s="2">
        <v>9.8334536582936997E-3</v>
      </c>
    </row>
    <row r="20250" spans="1:6" x14ac:dyDescent="0.25">
      <c r="A20250" s="1" t="str">
        <f t="shared" si="748"/>
        <v>31940</v>
      </c>
      <c r="B20250" s="1" t="str">
        <f>"54114"</f>
        <v>54114</v>
      </c>
      <c r="C20250" s="2">
        <v>9.3179246807822802E-2</v>
      </c>
      <c r="D20250" s="2">
        <v>6.20719178082191E-2</v>
      </c>
      <c r="E20250" s="2">
        <v>5.4852320675105398E-2</v>
      </c>
      <c r="F20250" s="2">
        <v>9.06918270307948E-2</v>
      </c>
    </row>
    <row r="20251" spans="1:6" x14ac:dyDescent="0.25">
      <c r="A20251" s="1" t="str">
        <f t="shared" si="748"/>
        <v>31940</v>
      </c>
      <c r="B20251" s="1" t="str">
        <f>"49892"</f>
        <v>49892</v>
      </c>
      <c r="C20251" s="2">
        <v>3.6366575076773799E-3</v>
      </c>
      <c r="D20251" s="2">
        <v>8.5616438356164303E-4</v>
      </c>
      <c r="E20251" s="2">
        <v>0</v>
      </c>
      <c r="F20251" s="2">
        <v>3.4105902561676902E-3</v>
      </c>
    </row>
    <row r="20252" spans="1:6" x14ac:dyDescent="0.25">
      <c r="A20252" s="1" t="str">
        <f t="shared" ref="A20252:A20268" si="749">"31980"</f>
        <v>31980</v>
      </c>
      <c r="B20252" s="1" t="str">
        <f>"46070"</f>
        <v>46070</v>
      </c>
      <c r="C20252" s="2">
        <v>8.60881542699724E-5</v>
      </c>
      <c r="D20252" s="2">
        <v>0</v>
      </c>
      <c r="E20252" s="2">
        <v>0</v>
      </c>
      <c r="F20252" s="2">
        <v>7.7609623593325505E-5</v>
      </c>
    </row>
    <row r="20253" spans="1:6" x14ac:dyDescent="0.25">
      <c r="A20253" s="1" t="str">
        <f t="shared" si="749"/>
        <v>31980</v>
      </c>
      <c r="B20253" s="1" t="str">
        <f>"46930"</f>
        <v>46930</v>
      </c>
      <c r="C20253" s="2">
        <v>3.38613406795224E-3</v>
      </c>
      <c r="D20253" s="2">
        <v>1.44665461121157E-3</v>
      </c>
      <c r="E20253" s="2">
        <v>9.5969289827255199E-4</v>
      </c>
      <c r="F20253" s="2">
        <v>3.18199456732634E-3</v>
      </c>
    </row>
    <row r="20254" spans="1:6" x14ac:dyDescent="0.25">
      <c r="A20254" s="1" t="str">
        <f t="shared" si="749"/>
        <v>31980</v>
      </c>
      <c r="B20254" s="1" t="str">
        <f>"46952"</f>
        <v>46952</v>
      </c>
      <c r="C20254" s="2">
        <v>0.31981749311294699</v>
      </c>
      <c r="D20254" s="2">
        <v>0.436889692585895</v>
      </c>
      <c r="E20254" s="2">
        <v>0.54798464491362697</v>
      </c>
      <c r="F20254" s="2">
        <v>0.334342258440046</v>
      </c>
    </row>
    <row r="20255" spans="1:6" x14ac:dyDescent="0.25">
      <c r="A20255" s="1" t="str">
        <f t="shared" si="749"/>
        <v>31980</v>
      </c>
      <c r="B20255" s="1" t="str">
        <f>"46036"</f>
        <v>46036</v>
      </c>
      <c r="C20255" s="2">
        <v>8.3218549127640003E-4</v>
      </c>
      <c r="D20255" s="2">
        <v>0</v>
      </c>
      <c r="E20255" s="2">
        <v>0</v>
      </c>
      <c r="F20255" s="2">
        <v>7.5022636140214703E-4</v>
      </c>
    </row>
    <row r="20256" spans="1:6" x14ac:dyDescent="0.25">
      <c r="A20256" s="1" t="str">
        <f t="shared" si="749"/>
        <v>31980</v>
      </c>
      <c r="B20256" s="1" t="str">
        <f>"47348"</f>
        <v>47348</v>
      </c>
      <c r="C20256" s="2">
        <v>8.0348943985307595E-4</v>
      </c>
      <c r="D20256" s="2">
        <v>0</v>
      </c>
      <c r="E20256" s="2">
        <v>9.5969289827255199E-4</v>
      </c>
      <c r="F20256" s="2">
        <v>7.5022636140214703E-4</v>
      </c>
    </row>
    <row r="20257" spans="1:6" x14ac:dyDescent="0.25">
      <c r="A20257" s="1" t="str">
        <f t="shared" si="749"/>
        <v>31980</v>
      </c>
      <c r="B20257" s="1" t="str">
        <f>"46928"</f>
        <v>46928</v>
      </c>
      <c r="C20257" s="2">
        <v>6.5771349862258896E-2</v>
      </c>
      <c r="D20257" s="2">
        <v>5.3526220614828202E-2</v>
      </c>
      <c r="E20257" s="2">
        <v>3.4548944337811902E-2</v>
      </c>
      <c r="F20257" s="2">
        <v>6.40538093390247E-2</v>
      </c>
    </row>
    <row r="20258" spans="1:6" x14ac:dyDescent="0.25">
      <c r="A20258" s="1" t="str">
        <f t="shared" si="749"/>
        <v>31980</v>
      </c>
      <c r="B20258" s="1" t="str">
        <f>"46940"</f>
        <v>46940</v>
      </c>
      <c r="C20258" s="2">
        <v>8.3218549127640003E-4</v>
      </c>
      <c r="D20258" s="2">
        <v>0</v>
      </c>
      <c r="E20258" s="2">
        <v>0</v>
      </c>
      <c r="F20258" s="2">
        <v>7.5022636140214703E-4</v>
      </c>
    </row>
    <row r="20259" spans="1:6" x14ac:dyDescent="0.25">
      <c r="A20259" s="1" t="str">
        <f t="shared" si="749"/>
        <v>31980</v>
      </c>
      <c r="B20259" s="1" t="str">
        <f>"46953"</f>
        <v>46953</v>
      </c>
      <c r="C20259" s="2">
        <v>0.37815656565656502</v>
      </c>
      <c r="D20259" s="2">
        <v>0.37504520795660001</v>
      </c>
      <c r="E20259" s="2">
        <v>0.29846449136276298</v>
      </c>
      <c r="F20259" s="2">
        <v>0.37578579743888202</v>
      </c>
    </row>
    <row r="20260" spans="1:6" x14ac:dyDescent="0.25">
      <c r="A20260" s="1" t="str">
        <f t="shared" si="749"/>
        <v>31980</v>
      </c>
      <c r="B20260" s="1" t="str">
        <f>"46938"</f>
        <v>46938</v>
      </c>
      <c r="C20260" s="2">
        <v>4.0461432506887003E-2</v>
      </c>
      <c r="D20260" s="2">
        <v>1.84448462929475E-2</v>
      </c>
      <c r="E20260" s="2">
        <v>2.3032629558541198E-2</v>
      </c>
      <c r="F20260" s="2">
        <v>3.8416763678696099E-2</v>
      </c>
    </row>
    <row r="20261" spans="1:6" x14ac:dyDescent="0.25">
      <c r="A20261" s="1" t="str">
        <f t="shared" si="749"/>
        <v>31980</v>
      </c>
      <c r="B20261" s="1" t="str">
        <f>"46987"</f>
        <v>46987</v>
      </c>
      <c r="C20261" s="2">
        <v>2.8696051423324099E-5</v>
      </c>
      <c r="D20261" s="2">
        <v>0</v>
      </c>
      <c r="E20261" s="2">
        <v>9.5969289827255199E-4</v>
      </c>
      <c r="F20261" s="2">
        <v>5.1739749062216999E-5</v>
      </c>
    </row>
    <row r="20262" spans="1:6" x14ac:dyDescent="0.25">
      <c r="A20262" s="1" t="str">
        <f t="shared" si="749"/>
        <v>31980</v>
      </c>
      <c r="B20262" s="1" t="str">
        <f>"46989"</f>
        <v>46989</v>
      </c>
      <c r="C20262" s="2">
        <v>3.8395316804407699E-2</v>
      </c>
      <c r="D20262" s="2">
        <v>1.26582278481012E-2</v>
      </c>
      <c r="E20262" s="2">
        <v>1.7274472168905899E-2</v>
      </c>
      <c r="F20262" s="2">
        <v>3.5984995472771897E-2</v>
      </c>
    </row>
    <row r="20263" spans="1:6" x14ac:dyDescent="0.25">
      <c r="A20263" s="1" t="str">
        <f t="shared" si="749"/>
        <v>31980</v>
      </c>
      <c r="B20263" s="1" t="str">
        <f>"46933"</f>
        <v>46933</v>
      </c>
      <c r="C20263" s="2">
        <v>8.8556014692378296E-2</v>
      </c>
      <c r="D20263" s="2">
        <v>8.8245931283905898E-2</v>
      </c>
      <c r="E20263" s="2">
        <v>5.75815738963531E-2</v>
      </c>
      <c r="F20263" s="2">
        <v>8.7698874660457796E-2</v>
      </c>
    </row>
    <row r="20264" spans="1:6" x14ac:dyDescent="0.25">
      <c r="A20264" s="1" t="str">
        <f t="shared" si="749"/>
        <v>31980</v>
      </c>
      <c r="B20264" s="1" t="str">
        <f>"47342"</f>
        <v>47342</v>
      </c>
      <c r="C20264" s="2">
        <v>4.5913682277318602E-4</v>
      </c>
      <c r="D20264" s="2">
        <v>0</v>
      </c>
      <c r="E20264" s="2">
        <v>0</v>
      </c>
      <c r="F20264" s="2">
        <v>4.1391799249773599E-4</v>
      </c>
    </row>
    <row r="20265" spans="1:6" x14ac:dyDescent="0.25">
      <c r="A20265" s="1" t="str">
        <f t="shared" si="749"/>
        <v>31980</v>
      </c>
      <c r="B20265" s="1" t="str">
        <f>"46957"</f>
        <v>46957</v>
      </c>
      <c r="C20265" s="2">
        <v>5.4235537190082603E-3</v>
      </c>
      <c r="D20265" s="2">
        <v>0</v>
      </c>
      <c r="E20265" s="2">
        <v>9.5969289827255199E-4</v>
      </c>
      <c r="F20265" s="2">
        <v>4.91527616091061E-3</v>
      </c>
    </row>
    <row r="20266" spans="1:6" x14ac:dyDescent="0.25">
      <c r="A20266" s="1" t="str">
        <f t="shared" si="749"/>
        <v>31980</v>
      </c>
      <c r="B20266" s="1" t="str">
        <f>"46991"</f>
        <v>46991</v>
      </c>
      <c r="C20266" s="2">
        <v>1.9484618916437001E-2</v>
      </c>
      <c r="D20266" s="2">
        <v>3.6166365280289299E-3</v>
      </c>
      <c r="E20266" s="2">
        <v>3.8387715930902101E-3</v>
      </c>
      <c r="F20266" s="2">
        <v>1.79278230500582E-2</v>
      </c>
    </row>
    <row r="20267" spans="1:6" x14ac:dyDescent="0.25">
      <c r="A20267" s="1" t="str">
        <f t="shared" si="749"/>
        <v>31980</v>
      </c>
      <c r="B20267" s="1" t="str">
        <f>"46986"</f>
        <v>46986</v>
      </c>
      <c r="C20267" s="2">
        <v>2.5022956841138599E-2</v>
      </c>
      <c r="D20267" s="2">
        <v>6.8716094032549701E-3</v>
      </c>
      <c r="E20267" s="2">
        <v>7.6775431861804203E-3</v>
      </c>
      <c r="F20267" s="2">
        <v>2.3257017203466498E-2</v>
      </c>
    </row>
    <row r="20268" spans="1:6" x14ac:dyDescent="0.25">
      <c r="A20268" s="1" t="str">
        <f t="shared" si="749"/>
        <v>31980</v>
      </c>
      <c r="B20268" s="1" t="str">
        <f>"46919"</f>
        <v>46919</v>
      </c>
      <c r="C20268" s="2">
        <v>1.2482782369146E-2</v>
      </c>
      <c r="D20268" s="2">
        <v>3.2549728752260302E-3</v>
      </c>
      <c r="E20268" s="2">
        <v>5.75815738963531E-3</v>
      </c>
      <c r="F20268" s="2">
        <v>1.16414435389988E-2</v>
      </c>
    </row>
    <row r="20269" spans="1:6" x14ac:dyDescent="0.25">
      <c r="A20269" s="1" t="str">
        <f t="shared" ref="A20269:A20278" si="750">"32000"</f>
        <v>32000</v>
      </c>
      <c r="B20269" s="1" t="str">
        <f>"28777"</f>
        <v>28777</v>
      </c>
      <c r="C20269" s="2">
        <v>1.2730444622565801E-3</v>
      </c>
      <c r="D20269" s="2">
        <v>1.5003750937734399E-3</v>
      </c>
      <c r="E20269" s="2">
        <v>0</v>
      </c>
      <c r="F20269" s="2">
        <v>1.26842496610243E-3</v>
      </c>
    </row>
    <row r="20270" spans="1:6" x14ac:dyDescent="0.25">
      <c r="A20270" s="1" t="str">
        <f t="shared" si="750"/>
        <v>32000</v>
      </c>
      <c r="B20270" s="1" t="str">
        <f>"28167"</f>
        <v>28167</v>
      </c>
      <c r="C20270" s="2">
        <v>1.69739261634211E-3</v>
      </c>
      <c r="D20270" s="2">
        <v>0</v>
      </c>
      <c r="E20270" s="2">
        <v>0</v>
      </c>
      <c r="F20270" s="2">
        <v>1.5745965096444E-3</v>
      </c>
    </row>
    <row r="20271" spans="1:6" x14ac:dyDescent="0.25">
      <c r="A20271" s="1" t="str">
        <f t="shared" si="750"/>
        <v>32000</v>
      </c>
      <c r="B20271" s="1" t="str">
        <f>"28655"</f>
        <v>28655</v>
      </c>
      <c r="C20271" s="2">
        <v>8.9584610306945103E-4</v>
      </c>
      <c r="D20271" s="2">
        <v>0</v>
      </c>
      <c r="E20271" s="2">
        <v>0</v>
      </c>
      <c r="F20271" s="2">
        <v>8.3103704675676802E-4</v>
      </c>
    </row>
    <row r="20272" spans="1:6" x14ac:dyDescent="0.25">
      <c r="A20272" s="1" t="str">
        <f t="shared" si="750"/>
        <v>32000</v>
      </c>
      <c r="B20272" s="1" t="str">
        <f>"28762"</f>
        <v>28762</v>
      </c>
      <c r="C20272" s="2">
        <v>0.14607006459521901</v>
      </c>
      <c r="D20272" s="2">
        <v>8.8522130532633095E-2</v>
      </c>
      <c r="E20272" s="2">
        <v>0.109034267912772</v>
      </c>
      <c r="F20272" s="2">
        <v>0.14219481257927599</v>
      </c>
    </row>
    <row r="20273" spans="1:6" x14ac:dyDescent="0.25">
      <c r="A20273" s="1" t="str">
        <f t="shared" si="750"/>
        <v>32000</v>
      </c>
      <c r="B20273" s="1" t="str">
        <f>"28714"</f>
        <v>28714</v>
      </c>
      <c r="C20273" s="2">
        <v>2.3574897449196001E-4</v>
      </c>
      <c r="D20273" s="2">
        <v>0</v>
      </c>
      <c r="E20273" s="2">
        <v>0</v>
      </c>
      <c r="F20273" s="2">
        <v>2.1869395967283301E-4</v>
      </c>
    </row>
    <row r="20274" spans="1:6" x14ac:dyDescent="0.25">
      <c r="A20274" s="1" t="str">
        <f t="shared" si="750"/>
        <v>32000</v>
      </c>
      <c r="B20274" s="1" t="str">
        <f>"28749"</f>
        <v>28749</v>
      </c>
      <c r="C20274" s="2">
        <v>0</v>
      </c>
      <c r="D20274" s="2">
        <v>0</v>
      </c>
      <c r="E20274" s="2">
        <v>3.1152647975077798E-3</v>
      </c>
      <c r="F20274" s="2">
        <v>4.3738791934566698E-5</v>
      </c>
    </row>
    <row r="20275" spans="1:6" x14ac:dyDescent="0.25">
      <c r="A20275" s="1" t="str">
        <f t="shared" si="750"/>
        <v>32000</v>
      </c>
      <c r="B20275" s="1" t="str">
        <f>"28752"</f>
        <v>28752</v>
      </c>
      <c r="C20275" s="2">
        <v>0.67075298222452695</v>
      </c>
      <c r="D20275" s="2">
        <v>0.855963990997749</v>
      </c>
      <c r="E20275" s="2">
        <v>0.86915887850467199</v>
      </c>
      <c r="F20275" s="2">
        <v>0.68433713860823098</v>
      </c>
    </row>
    <row r="20276" spans="1:6" x14ac:dyDescent="0.25">
      <c r="A20276" s="1" t="str">
        <f t="shared" si="750"/>
        <v>32000</v>
      </c>
      <c r="B20276" s="1" t="str">
        <f>"28761"</f>
        <v>28761</v>
      </c>
      <c r="C20276" s="2">
        <v>0.16794756942807201</v>
      </c>
      <c r="D20276" s="2">
        <v>5.1762940735183699E-2</v>
      </c>
      <c r="E20276" s="2">
        <v>1.86915887850467E-2</v>
      </c>
      <c r="F20276" s="2">
        <v>0.15907798626601899</v>
      </c>
    </row>
    <row r="20277" spans="1:6" x14ac:dyDescent="0.25">
      <c r="A20277" s="1" t="str">
        <f t="shared" si="750"/>
        <v>32000</v>
      </c>
      <c r="B20277" s="1" t="str">
        <f>"28657"</f>
        <v>28657</v>
      </c>
      <c r="C20277" s="2">
        <v>9.4299589796784301E-5</v>
      </c>
      <c r="D20277" s="2">
        <v>0</v>
      </c>
      <c r="E20277" s="2">
        <v>0</v>
      </c>
      <c r="F20277" s="2">
        <v>8.7477583869133505E-5</v>
      </c>
    </row>
    <row r="20278" spans="1:6" x14ac:dyDescent="0.25">
      <c r="A20278" s="1" t="str">
        <f t="shared" si="750"/>
        <v>32000</v>
      </c>
      <c r="B20278" s="1" t="str">
        <f>"28711"</f>
        <v>28711</v>
      </c>
      <c r="C20278" s="2">
        <v>1.10330520062237E-2</v>
      </c>
      <c r="D20278" s="2">
        <v>2.2505626406601601E-3</v>
      </c>
      <c r="E20278" s="2">
        <v>0</v>
      </c>
      <c r="F20278" s="2">
        <v>1.0366093688492299E-2</v>
      </c>
    </row>
    <row r="20279" spans="1:6" x14ac:dyDescent="0.25">
      <c r="A20279" s="1" t="str">
        <f t="shared" ref="A20279:A20293" si="751">"32020"</f>
        <v>32020</v>
      </c>
      <c r="B20279" s="1" t="str">
        <f>"43344"</f>
        <v>43344</v>
      </c>
      <c r="C20279" s="2">
        <v>7.1209855443993405E-4</v>
      </c>
      <c r="D20279" s="2">
        <v>0</v>
      </c>
      <c r="E20279" s="2">
        <v>0</v>
      </c>
      <c r="F20279" s="2">
        <v>6.4775229952066297E-4</v>
      </c>
    </row>
    <row r="20280" spans="1:6" x14ac:dyDescent="0.25">
      <c r="A20280" s="1" t="str">
        <f t="shared" si="751"/>
        <v>32020</v>
      </c>
      <c r="B20280" s="1" t="str">
        <f>"45843"</f>
        <v>45843</v>
      </c>
      <c r="C20280" s="2">
        <v>7.1209855443993394E-5</v>
      </c>
      <c r="D20280" s="2">
        <v>0</v>
      </c>
      <c r="E20280" s="2">
        <v>0</v>
      </c>
      <c r="F20280" s="2">
        <v>6.4775229952066302E-5</v>
      </c>
    </row>
    <row r="20281" spans="1:6" x14ac:dyDescent="0.25">
      <c r="A20281" s="1" t="str">
        <f t="shared" si="751"/>
        <v>32020</v>
      </c>
      <c r="B20281" s="1" t="str">
        <f>"43341"</f>
        <v>43341</v>
      </c>
      <c r="C20281" s="2">
        <v>1.08951078829309E-2</v>
      </c>
      <c r="D20281" s="2">
        <v>2.9791459781529201E-3</v>
      </c>
      <c r="E20281" s="2">
        <v>0</v>
      </c>
      <c r="F20281" s="2">
        <v>1.01049358725223E-2</v>
      </c>
    </row>
    <row r="20282" spans="1:6" x14ac:dyDescent="0.25">
      <c r="A20282" s="1" t="str">
        <f t="shared" si="751"/>
        <v>32020</v>
      </c>
      <c r="B20282" s="1" t="str">
        <f>"43326"</f>
        <v>43326</v>
      </c>
      <c r="C20282" s="2">
        <v>3.9165420494196299E-4</v>
      </c>
      <c r="D20282" s="2">
        <v>4.9652432969215403E-4</v>
      </c>
      <c r="E20282" s="2">
        <v>0</v>
      </c>
      <c r="F20282" s="2">
        <v>3.88651379712397E-4</v>
      </c>
    </row>
    <row r="20283" spans="1:6" x14ac:dyDescent="0.25">
      <c r="A20283" s="1" t="str">
        <f t="shared" si="751"/>
        <v>32020</v>
      </c>
      <c r="B20283" s="1" t="str">
        <f>"44849"</f>
        <v>44849</v>
      </c>
      <c r="C20283" s="2">
        <v>3.9165420494196299E-4</v>
      </c>
      <c r="D20283" s="2">
        <v>0</v>
      </c>
      <c r="E20283" s="2">
        <v>0</v>
      </c>
      <c r="F20283" s="2">
        <v>3.5626376473636402E-4</v>
      </c>
    </row>
    <row r="20284" spans="1:6" x14ac:dyDescent="0.25">
      <c r="A20284" s="1" t="str">
        <f t="shared" si="751"/>
        <v>32020</v>
      </c>
      <c r="B20284" s="1" t="str">
        <f>"43332"</f>
        <v>43332</v>
      </c>
      <c r="C20284" s="2">
        <v>3.0371003346863198E-2</v>
      </c>
      <c r="D20284" s="2">
        <v>6.9513406156901597E-3</v>
      </c>
      <c r="E20284" s="2">
        <v>2.5773195876288599E-3</v>
      </c>
      <c r="F20284" s="2">
        <v>2.8144837414172799E-2</v>
      </c>
    </row>
    <row r="20285" spans="1:6" x14ac:dyDescent="0.25">
      <c r="A20285" s="1" t="str">
        <f t="shared" si="751"/>
        <v>32020</v>
      </c>
      <c r="B20285" s="1" t="str">
        <f>"43342"</f>
        <v>43342</v>
      </c>
      <c r="C20285" s="2">
        <v>4.8814355906857503E-2</v>
      </c>
      <c r="D20285" s="2">
        <v>8.4409136047666304E-3</v>
      </c>
      <c r="E20285" s="2">
        <v>1.28865979381443E-2</v>
      </c>
      <c r="F20285" s="2">
        <v>4.52778857364943E-2</v>
      </c>
    </row>
    <row r="20286" spans="1:6" x14ac:dyDescent="0.25">
      <c r="A20286" s="1" t="str">
        <f t="shared" si="751"/>
        <v>32020</v>
      </c>
      <c r="B20286" s="1" t="str">
        <f>"43356"</f>
        <v>43356</v>
      </c>
      <c r="C20286" s="2">
        <v>1.11443423769849E-2</v>
      </c>
      <c r="D20286" s="2">
        <v>6.4548162859980104E-3</v>
      </c>
      <c r="E20286" s="2">
        <v>0</v>
      </c>
      <c r="F20286" s="2">
        <v>1.0558362482186801E-2</v>
      </c>
    </row>
    <row r="20287" spans="1:6" x14ac:dyDescent="0.25">
      <c r="A20287" s="1" t="str">
        <f t="shared" si="751"/>
        <v>32020</v>
      </c>
      <c r="B20287" s="1" t="str">
        <f>"43322"</f>
        <v>43322</v>
      </c>
      <c r="C20287" s="2">
        <v>1.0681478316599E-4</v>
      </c>
      <c r="D20287" s="2">
        <v>4.9652432969215403E-4</v>
      </c>
      <c r="E20287" s="2">
        <v>0</v>
      </c>
      <c r="F20287" s="2">
        <v>1.2955045990413201E-4</v>
      </c>
    </row>
    <row r="20288" spans="1:6" x14ac:dyDescent="0.25">
      <c r="A20288" s="1" t="str">
        <f t="shared" si="751"/>
        <v>32020</v>
      </c>
      <c r="B20288" s="1" t="str">
        <f>"43302"</f>
        <v>43302</v>
      </c>
      <c r="C20288" s="2">
        <v>0.83333333333333304</v>
      </c>
      <c r="D20288" s="2">
        <v>0.95630585898708997</v>
      </c>
      <c r="E20288" s="2">
        <v>0.97938144329896903</v>
      </c>
      <c r="F20288" s="2">
        <v>0.845025262339681</v>
      </c>
    </row>
    <row r="20289" spans="1:6" x14ac:dyDescent="0.25">
      <c r="A20289" s="1" t="str">
        <f t="shared" si="751"/>
        <v>32020</v>
      </c>
      <c r="B20289" s="1" t="str">
        <f>"43315"</f>
        <v>43315</v>
      </c>
      <c r="C20289" s="2">
        <v>5.1627145196895203E-3</v>
      </c>
      <c r="D20289" s="2">
        <v>0</v>
      </c>
      <c r="E20289" s="2">
        <v>0</v>
      </c>
      <c r="F20289" s="2">
        <v>4.6962041715248003E-3</v>
      </c>
    </row>
    <row r="20290" spans="1:6" x14ac:dyDescent="0.25">
      <c r="A20290" s="1" t="str">
        <f t="shared" si="751"/>
        <v>32020</v>
      </c>
      <c r="B20290" s="1" t="str">
        <f>"43323"</f>
        <v>43323</v>
      </c>
      <c r="C20290" s="2">
        <v>3.5604927721996703E-4</v>
      </c>
      <c r="D20290" s="2">
        <v>0</v>
      </c>
      <c r="E20290" s="2">
        <v>0</v>
      </c>
      <c r="F20290" s="2">
        <v>3.23876149760331E-4</v>
      </c>
    </row>
    <row r="20291" spans="1:6" x14ac:dyDescent="0.25">
      <c r="A20291" s="1" t="str">
        <f t="shared" si="751"/>
        <v>32020</v>
      </c>
      <c r="B20291" s="1" t="str">
        <f>"43337"</f>
        <v>43337</v>
      </c>
      <c r="C20291" s="2">
        <v>1.10375275938189E-2</v>
      </c>
      <c r="D20291" s="2">
        <v>2.9791459781529201E-3</v>
      </c>
      <c r="E20291" s="2">
        <v>0</v>
      </c>
      <c r="F20291" s="2">
        <v>1.02344863324264E-2</v>
      </c>
    </row>
    <row r="20292" spans="1:6" x14ac:dyDescent="0.25">
      <c r="A20292" s="1" t="str">
        <f t="shared" si="751"/>
        <v>32020</v>
      </c>
      <c r="B20292" s="1" t="str">
        <f>"44833"</f>
        <v>44833</v>
      </c>
      <c r="C20292" s="2">
        <v>2.9908139286477201E-3</v>
      </c>
      <c r="D20292" s="2">
        <v>9.9304865938430894E-4</v>
      </c>
      <c r="E20292" s="2">
        <v>0</v>
      </c>
      <c r="F20292" s="2">
        <v>2.78533488793885E-3</v>
      </c>
    </row>
    <row r="20293" spans="1:6" x14ac:dyDescent="0.25">
      <c r="A20293" s="1" t="str">
        <f t="shared" si="751"/>
        <v>32020</v>
      </c>
      <c r="B20293" s="1" t="str">
        <f>"43314"</f>
        <v>43314</v>
      </c>
      <c r="C20293" s="2">
        <v>4.4221320230719903E-2</v>
      </c>
      <c r="D20293" s="2">
        <v>1.39026812313803E-2</v>
      </c>
      <c r="E20293" s="2">
        <v>5.1546391752577301E-3</v>
      </c>
      <c r="F20293" s="2">
        <v>4.12618214794662E-2</v>
      </c>
    </row>
    <row r="20294" spans="1:6" x14ac:dyDescent="0.25">
      <c r="A20294" s="1" t="str">
        <f t="shared" ref="A20294:A20309" si="752">"32100"</f>
        <v>32100</v>
      </c>
      <c r="B20294" s="1" t="str">
        <f>"49849"</f>
        <v>49849</v>
      </c>
      <c r="C20294" s="2">
        <v>0.18789112794562299</v>
      </c>
      <c r="D20294" s="2">
        <v>0.13656884875846501</v>
      </c>
      <c r="E20294" s="2">
        <v>0.143781452192667</v>
      </c>
      <c r="F20294" s="2">
        <v>0.181545445058958</v>
      </c>
    </row>
    <row r="20295" spans="1:6" x14ac:dyDescent="0.25">
      <c r="A20295" s="1" t="str">
        <f t="shared" si="752"/>
        <v>32100</v>
      </c>
      <c r="B20295" s="1" t="str">
        <f>"49871"</f>
        <v>49871</v>
      </c>
      <c r="C20295" s="2">
        <v>5.0902775698415999E-3</v>
      </c>
      <c r="D20295" s="2">
        <v>0</v>
      </c>
      <c r="E20295" s="2">
        <v>7.18907260963335E-4</v>
      </c>
      <c r="F20295" s="2">
        <v>4.4610247312950003E-3</v>
      </c>
    </row>
    <row r="20296" spans="1:6" x14ac:dyDescent="0.25">
      <c r="A20296" s="1" t="str">
        <f t="shared" si="752"/>
        <v>32100</v>
      </c>
      <c r="B20296" s="1" t="str">
        <f>"49814"</f>
        <v>49814</v>
      </c>
      <c r="C20296" s="2">
        <v>2.00616821870227E-2</v>
      </c>
      <c r="D20296" s="2">
        <v>6.2076749435665901E-3</v>
      </c>
      <c r="E20296" s="2">
        <v>7.18907260963335E-4</v>
      </c>
      <c r="F20296" s="2">
        <v>1.8078889700511299E-2</v>
      </c>
    </row>
    <row r="20297" spans="1:6" x14ac:dyDescent="0.25">
      <c r="A20297" s="1" t="str">
        <f t="shared" si="752"/>
        <v>32100</v>
      </c>
      <c r="B20297" s="1" t="str">
        <f>"49808"</f>
        <v>49808</v>
      </c>
      <c r="C20297" s="2">
        <v>0</v>
      </c>
      <c r="D20297" s="2">
        <v>0</v>
      </c>
      <c r="E20297" s="2">
        <v>7.18907260963335E-4</v>
      </c>
      <c r="F20297" s="2">
        <v>2.6087863925701702E-5</v>
      </c>
    </row>
    <row r="20298" spans="1:6" x14ac:dyDescent="0.25">
      <c r="A20298" s="1" t="str">
        <f t="shared" si="752"/>
        <v>32100</v>
      </c>
      <c r="B20298" s="1" t="str">
        <f>"49818"</f>
        <v>49818</v>
      </c>
      <c r="C20298" s="2">
        <v>3.9823936281701902E-3</v>
      </c>
      <c r="D20298" s="2">
        <v>0</v>
      </c>
      <c r="E20298" s="2">
        <v>0</v>
      </c>
      <c r="F20298" s="2">
        <v>3.4696859021183298E-3</v>
      </c>
    </row>
    <row r="20299" spans="1:6" x14ac:dyDescent="0.25">
      <c r="A20299" s="1" t="str">
        <f t="shared" si="752"/>
        <v>32100</v>
      </c>
      <c r="B20299" s="1" t="str">
        <f>"49819"</f>
        <v>49819</v>
      </c>
      <c r="C20299" s="2">
        <v>0</v>
      </c>
      <c r="D20299" s="2">
        <v>0</v>
      </c>
      <c r="E20299" s="2">
        <v>1.43781452192667E-3</v>
      </c>
      <c r="F20299" s="2">
        <v>5.2175727851403498E-5</v>
      </c>
    </row>
    <row r="20300" spans="1:6" x14ac:dyDescent="0.25">
      <c r="A20300" s="1" t="str">
        <f t="shared" si="752"/>
        <v>32100</v>
      </c>
      <c r="B20300" s="1" t="str">
        <f>"49879"</f>
        <v>49879</v>
      </c>
      <c r="C20300" s="2">
        <v>2.0989909273288001E-2</v>
      </c>
      <c r="D20300" s="2">
        <v>6.2076749435665901E-3</v>
      </c>
      <c r="E20300" s="2">
        <v>2.1567217828900001E-3</v>
      </c>
      <c r="F20300" s="2">
        <v>1.8939789210059399E-2</v>
      </c>
    </row>
    <row r="20301" spans="1:6" x14ac:dyDescent="0.25">
      <c r="A20301" s="1" t="str">
        <f t="shared" si="752"/>
        <v>32100</v>
      </c>
      <c r="B20301" s="1" t="str">
        <f>"49855"</f>
        <v>49855</v>
      </c>
      <c r="C20301" s="2">
        <v>0.48624127915680998</v>
      </c>
      <c r="D20301" s="2">
        <v>0.70993227990970598</v>
      </c>
      <c r="E20301" s="2">
        <v>0.72681524083393201</v>
      </c>
      <c r="F20301" s="2">
        <v>0.51565271835542104</v>
      </c>
    </row>
    <row r="20302" spans="1:6" x14ac:dyDescent="0.25">
      <c r="A20302" s="1" t="str">
        <f t="shared" si="752"/>
        <v>32100</v>
      </c>
      <c r="B20302" s="1" t="str">
        <f>"49880"</f>
        <v>49880</v>
      </c>
      <c r="C20302" s="2">
        <v>5.5094768991226697E-3</v>
      </c>
      <c r="D20302" s="2">
        <v>5.6433408577878099E-4</v>
      </c>
      <c r="E20302" s="2">
        <v>0</v>
      </c>
      <c r="F20302" s="2">
        <v>4.8523426901805203E-3</v>
      </c>
    </row>
    <row r="20303" spans="1:6" x14ac:dyDescent="0.25">
      <c r="A20303" s="1" t="str">
        <f t="shared" si="752"/>
        <v>32100</v>
      </c>
      <c r="B20303" s="1" t="str">
        <f>"49841"</f>
        <v>49841</v>
      </c>
      <c r="C20303" s="2">
        <v>0.114621073749139</v>
      </c>
      <c r="D20303" s="2">
        <v>4.8250564334085699E-2</v>
      </c>
      <c r="E20303" s="2">
        <v>3.0913012221423401E-2</v>
      </c>
      <c r="F20303" s="2">
        <v>0.10544714598768599</v>
      </c>
    </row>
    <row r="20304" spans="1:6" x14ac:dyDescent="0.25">
      <c r="A20304" s="1" t="str">
        <f t="shared" si="752"/>
        <v>32100</v>
      </c>
      <c r="B20304" s="1" t="str">
        <f>"49885"</f>
        <v>49885</v>
      </c>
      <c r="C20304" s="2">
        <v>2.5690930323082901E-2</v>
      </c>
      <c r="D20304" s="2">
        <v>3.6681715575620699E-3</v>
      </c>
      <c r="E20304" s="2">
        <v>7.18907260963335E-4</v>
      </c>
      <c r="F20304" s="2">
        <v>2.2748617343211899E-2</v>
      </c>
    </row>
    <row r="20305" spans="1:6" x14ac:dyDescent="0.25">
      <c r="A20305" s="1" t="str">
        <f t="shared" si="752"/>
        <v>32100</v>
      </c>
      <c r="B20305" s="1" t="str">
        <f>"49861"</f>
        <v>49861</v>
      </c>
      <c r="C20305" s="2">
        <v>1.4791747761775E-2</v>
      </c>
      <c r="D20305" s="2">
        <v>8.7471783295711009E-3</v>
      </c>
      <c r="E20305" s="2">
        <v>7.18907260963335E-4</v>
      </c>
      <c r="F20305" s="2">
        <v>1.3722216424919101E-2</v>
      </c>
    </row>
    <row r="20306" spans="1:6" x14ac:dyDescent="0.25">
      <c r="A20306" s="1" t="str">
        <f t="shared" si="752"/>
        <v>32100</v>
      </c>
      <c r="B20306" s="1" t="str">
        <f>"49866"</f>
        <v>49866</v>
      </c>
      <c r="C20306" s="2">
        <v>0.11495044465071701</v>
      </c>
      <c r="D20306" s="2">
        <v>7.9853273137697495E-2</v>
      </c>
      <c r="E20306" s="2">
        <v>8.9863407620416905E-2</v>
      </c>
      <c r="F20306" s="2">
        <v>0.11079515809245501</v>
      </c>
    </row>
    <row r="20307" spans="1:6" x14ac:dyDescent="0.25">
      <c r="A20307" s="1" t="str">
        <f t="shared" si="752"/>
        <v>32100</v>
      </c>
      <c r="B20307" s="1" t="str">
        <f>"49833"</f>
        <v>49833</v>
      </c>
      <c r="C20307" s="2">
        <v>5.98856184687247E-5</v>
      </c>
      <c r="D20307" s="2">
        <v>0</v>
      </c>
      <c r="E20307" s="2">
        <v>7.18907260963335E-4</v>
      </c>
      <c r="F20307" s="2">
        <v>7.8263591777105203E-5</v>
      </c>
    </row>
    <row r="20308" spans="1:6" x14ac:dyDescent="0.25">
      <c r="A20308" s="1" t="str">
        <f t="shared" si="752"/>
        <v>32100</v>
      </c>
      <c r="B20308" s="1" t="str">
        <f>"49822"</f>
        <v>49822</v>
      </c>
      <c r="C20308" s="2">
        <v>1.1977123693744901E-4</v>
      </c>
      <c r="D20308" s="2">
        <v>0</v>
      </c>
      <c r="E20308" s="2">
        <v>0</v>
      </c>
      <c r="F20308" s="2">
        <v>1.04351455702807E-4</v>
      </c>
    </row>
    <row r="20309" spans="1:6" x14ac:dyDescent="0.25">
      <c r="A20309" s="1" t="str">
        <f t="shared" si="752"/>
        <v>32100</v>
      </c>
      <c r="B20309" s="1" t="str">
        <f>"49865"</f>
        <v>49865</v>
      </c>
      <c r="C20309" s="2">
        <v>0</v>
      </c>
      <c r="D20309" s="2">
        <v>0</v>
      </c>
      <c r="E20309" s="2">
        <v>7.18907260963335E-4</v>
      </c>
      <c r="F20309" s="2">
        <v>2.6087863925701702E-5</v>
      </c>
    </row>
    <row r="20310" spans="1:6" x14ac:dyDescent="0.25">
      <c r="A20310" s="1" t="str">
        <f t="shared" ref="A20310:A20325" si="753">"32140"</f>
        <v>32140</v>
      </c>
      <c r="B20310" s="1" t="str">
        <f>"56264"</f>
        <v>56264</v>
      </c>
      <c r="C20310" s="2">
        <v>6.9054346019611093E-2</v>
      </c>
      <c r="D20310" s="2">
        <v>3.2878909382518001E-2</v>
      </c>
      <c r="E20310" s="2">
        <v>2.8449502133712602E-2</v>
      </c>
      <c r="F20310" s="2">
        <v>6.3787185354690995E-2</v>
      </c>
    </row>
    <row r="20311" spans="1:6" x14ac:dyDescent="0.25">
      <c r="A20311" s="1" t="str">
        <f t="shared" si="753"/>
        <v>32140</v>
      </c>
      <c r="B20311" s="1" t="str">
        <f>"56170"</f>
        <v>56170</v>
      </c>
      <c r="C20311" s="2">
        <v>3.57320924048529E-3</v>
      </c>
      <c r="D20311" s="2">
        <v>8.0192461908580495E-4</v>
      </c>
      <c r="E20311" s="2">
        <v>0</v>
      </c>
      <c r="F20311" s="2">
        <v>3.1464530892448498E-3</v>
      </c>
    </row>
    <row r="20312" spans="1:6" x14ac:dyDescent="0.25">
      <c r="A20312" s="1" t="str">
        <f t="shared" si="753"/>
        <v>32140</v>
      </c>
      <c r="B20312" s="1" t="str">
        <f>"56239"</f>
        <v>56239</v>
      </c>
      <c r="C20312" s="2">
        <v>2.0358982881834801E-2</v>
      </c>
      <c r="D20312" s="2">
        <v>6.4153969526864396E-3</v>
      </c>
      <c r="E20312" s="2">
        <v>5.6899004267425297E-3</v>
      </c>
      <c r="F20312" s="2">
        <v>1.83781464530892E-2</v>
      </c>
    </row>
    <row r="20313" spans="1:6" x14ac:dyDescent="0.25">
      <c r="A20313" s="1" t="str">
        <f t="shared" si="753"/>
        <v>32140</v>
      </c>
      <c r="B20313" s="1" t="str">
        <f>"56263"</f>
        <v>56263</v>
      </c>
      <c r="C20313" s="2">
        <v>1.57885989695861E-3</v>
      </c>
      <c r="D20313" s="2">
        <v>0</v>
      </c>
      <c r="E20313" s="2">
        <v>0</v>
      </c>
      <c r="F20313" s="2">
        <v>1.35869565217391E-3</v>
      </c>
    </row>
    <row r="20314" spans="1:6" x14ac:dyDescent="0.25">
      <c r="A20314" s="1" t="str">
        <f t="shared" si="753"/>
        <v>32140</v>
      </c>
      <c r="B20314" s="1" t="str">
        <f>"56132"</f>
        <v>56132</v>
      </c>
      <c r="C20314" s="2">
        <v>1.25477812863553E-2</v>
      </c>
      <c r="D20314" s="2">
        <v>8.0192461908580506E-3</v>
      </c>
      <c r="E20314" s="2">
        <v>1.42247510668563E-3</v>
      </c>
      <c r="F20314" s="2">
        <v>1.1584668192219601E-2</v>
      </c>
    </row>
    <row r="20315" spans="1:6" x14ac:dyDescent="0.25">
      <c r="A20315" s="1" t="str">
        <f t="shared" si="753"/>
        <v>32140</v>
      </c>
      <c r="B20315" s="1" t="str">
        <f>"56113"</f>
        <v>56113</v>
      </c>
      <c r="C20315" s="2">
        <v>3.3239155725444498E-4</v>
      </c>
      <c r="D20315" s="2">
        <v>0</v>
      </c>
      <c r="E20315" s="2">
        <v>0</v>
      </c>
      <c r="F20315" s="2">
        <v>2.8604118993135001E-4</v>
      </c>
    </row>
    <row r="20316" spans="1:6" x14ac:dyDescent="0.25">
      <c r="A20316" s="1" t="str">
        <f t="shared" si="753"/>
        <v>32140</v>
      </c>
      <c r="B20316" s="1" t="str">
        <f>"56175"</f>
        <v>56175</v>
      </c>
      <c r="C20316" s="2">
        <v>0.104287851088582</v>
      </c>
      <c r="D20316" s="2">
        <v>0.113071371291098</v>
      </c>
      <c r="E20316" s="2">
        <v>5.5476529160739599E-2</v>
      </c>
      <c r="F20316" s="2">
        <v>0.10261727688787101</v>
      </c>
    </row>
    <row r="20317" spans="1:6" x14ac:dyDescent="0.25">
      <c r="A20317" s="1" t="str">
        <f t="shared" si="753"/>
        <v>32140</v>
      </c>
      <c r="B20317" s="1" t="str">
        <f>"56157"</f>
        <v>56157</v>
      </c>
      <c r="C20317" s="2">
        <v>2.5760345687219501E-2</v>
      </c>
      <c r="D20317" s="2">
        <v>4.0096230954290201E-3</v>
      </c>
      <c r="E20317" s="2">
        <v>1.4224751066856301E-2</v>
      </c>
      <c r="F20317" s="2">
        <v>2.3240846681922101E-2</v>
      </c>
    </row>
    <row r="20318" spans="1:6" x14ac:dyDescent="0.25">
      <c r="A20318" s="1" t="str">
        <f t="shared" si="753"/>
        <v>32140</v>
      </c>
      <c r="B20318" s="1" t="str">
        <f>"56115"</f>
        <v>56115</v>
      </c>
      <c r="C20318" s="2">
        <v>4.7116503240817599E-2</v>
      </c>
      <c r="D20318" s="2">
        <v>8.0192461908580506E-3</v>
      </c>
      <c r="E20318" s="2">
        <v>7.1123755334281599E-3</v>
      </c>
      <c r="F20318" s="2">
        <v>4.1618993135011398E-2</v>
      </c>
    </row>
    <row r="20319" spans="1:6" x14ac:dyDescent="0.25">
      <c r="A20319" s="1" t="str">
        <f t="shared" si="753"/>
        <v>32140</v>
      </c>
      <c r="B20319" s="1" t="str">
        <f>"56178"</f>
        <v>56178</v>
      </c>
      <c r="C20319" s="2">
        <v>1.9112514542130601E-3</v>
      </c>
      <c r="D20319" s="2">
        <v>0</v>
      </c>
      <c r="E20319" s="2">
        <v>0</v>
      </c>
      <c r="F20319" s="2">
        <v>1.64473684210526E-3</v>
      </c>
    </row>
    <row r="20320" spans="1:6" x14ac:dyDescent="0.25">
      <c r="A20320" s="1" t="str">
        <f t="shared" si="753"/>
        <v>32140</v>
      </c>
      <c r="B20320" s="1" t="str">
        <f>"56297"</f>
        <v>56297</v>
      </c>
      <c r="C20320" s="2">
        <v>1.66195778627222E-4</v>
      </c>
      <c r="D20320" s="2">
        <v>0</v>
      </c>
      <c r="E20320" s="2">
        <v>0</v>
      </c>
      <c r="F20320" s="2">
        <v>1.43020594965675E-4</v>
      </c>
    </row>
    <row r="20321" spans="1:6" x14ac:dyDescent="0.25">
      <c r="A20321" s="1" t="str">
        <f t="shared" si="753"/>
        <v>32140</v>
      </c>
      <c r="B20321" s="1" t="str">
        <f>"56220"</f>
        <v>56220</v>
      </c>
      <c r="C20321" s="2">
        <v>2.4929366794083398E-4</v>
      </c>
      <c r="D20321" s="2">
        <v>0</v>
      </c>
      <c r="E20321" s="2">
        <v>0</v>
      </c>
      <c r="F20321" s="2">
        <v>2.14530892448512E-4</v>
      </c>
    </row>
    <row r="20322" spans="1:6" x14ac:dyDescent="0.25">
      <c r="A20322" s="1" t="str">
        <f t="shared" si="753"/>
        <v>32140</v>
      </c>
      <c r="B20322" s="1" t="str">
        <f>"56291"</f>
        <v>56291</v>
      </c>
      <c r="C20322" s="2">
        <v>1.0470334053514999E-2</v>
      </c>
      <c r="D20322" s="2">
        <v>5.6134723336006397E-3</v>
      </c>
      <c r="E20322" s="2">
        <v>5.6899004267425297E-3</v>
      </c>
      <c r="F20322" s="2">
        <v>9.7969107551487394E-3</v>
      </c>
    </row>
    <row r="20323" spans="1:6" x14ac:dyDescent="0.25">
      <c r="A20323" s="1" t="str">
        <f t="shared" si="753"/>
        <v>32140</v>
      </c>
      <c r="B20323" s="1" t="str">
        <f>"56258"</f>
        <v>56258</v>
      </c>
      <c r="C20323" s="2">
        <v>0.61592155559248696</v>
      </c>
      <c r="D20323" s="2">
        <v>0.80112269446672002</v>
      </c>
      <c r="E20323" s="2">
        <v>0.85917496443812202</v>
      </c>
      <c r="F20323" s="2">
        <v>0.64466533180777996</v>
      </c>
    </row>
    <row r="20324" spans="1:6" x14ac:dyDescent="0.25">
      <c r="A20324" s="1" t="str">
        <f t="shared" si="753"/>
        <v>32140</v>
      </c>
      <c r="B20324" s="1" t="str">
        <f>"56169"</f>
        <v>56169</v>
      </c>
      <c r="C20324" s="2">
        <v>2.85025760345687E-2</v>
      </c>
      <c r="D20324" s="2">
        <v>8.0192461908580495E-4</v>
      </c>
      <c r="E20324" s="2">
        <v>4.2674253200568899E-3</v>
      </c>
      <c r="F20324" s="2">
        <v>2.4814073226544602E-2</v>
      </c>
    </row>
    <row r="20325" spans="1:6" x14ac:dyDescent="0.25">
      <c r="A20325" s="1" t="str">
        <f t="shared" si="753"/>
        <v>32140</v>
      </c>
      <c r="B20325" s="1" t="str">
        <f>"56229"</f>
        <v>56229</v>
      </c>
      <c r="C20325" s="2">
        <v>5.8168522519527997E-2</v>
      </c>
      <c r="D20325" s="2">
        <v>1.9246190858059301E-2</v>
      </c>
      <c r="E20325" s="2">
        <v>1.8492176386913198E-2</v>
      </c>
      <c r="F20325" s="2">
        <v>5.2703089244851203E-2</v>
      </c>
    </row>
    <row r="20326" spans="1:6" x14ac:dyDescent="0.25">
      <c r="A20326" s="1" t="str">
        <f t="shared" ref="A20326:A20339" si="754">"32180"</f>
        <v>32180</v>
      </c>
      <c r="B20326" s="1" t="str">
        <f>"65330"</f>
        <v>65330</v>
      </c>
      <c r="C20326" s="2">
        <v>2.0835288596902798E-2</v>
      </c>
      <c r="D20326" s="2">
        <v>2.77264325323475E-3</v>
      </c>
      <c r="E20326" s="2">
        <v>1.00671140939597E-2</v>
      </c>
      <c r="F20326" s="2">
        <v>1.89447444952222E-2</v>
      </c>
    </row>
    <row r="20327" spans="1:6" x14ac:dyDescent="0.25">
      <c r="A20327" s="1" t="str">
        <f t="shared" si="754"/>
        <v>32180</v>
      </c>
      <c r="B20327" s="1" t="str">
        <f>"65347"</f>
        <v>65347</v>
      </c>
      <c r="C20327" s="2">
        <v>2.6841858282496401E-2</v>
      </c>
      <c r="D20327" s="2">
        <v>1.0166358595194E-2</v>
      </c>
      <c r="E20327" s="2">
        <v>0</v>
      </c>
      <c r="F20327" s="2">
        <v>2.4678022434565801E-2</v>
      </c>
    </row>
    <row r="20328" spans="1:6" x14ac:dyDescent="0.25">
      <c r="A20328" s="1" t="str">
        <f t="shared" si="754"/>
        <v>32180</v>
      </c>
      <c r="B20328" s="1" t="str">
        <f>"65340"</f>
        <v>65340</v>
      </c>
      <c r="C20328" s="2">
        <v>0.642045987799155</v>
      </c>
      <c r="D20328" s="2">
        <v>0.72365988909426904</v>
      </c>
      <c r="E20328" s="2">
        <v>0.78523489932885904</v>
      </c>
      <c r="F20328" s="2">
        <v>0.65292895720814204</v>
      </c>
    </row>
    <row r="20329" spans="1:6" x14ac:dyDescent="0.25">
      <c r="A20329" s="1" t="str">
        <f t="shared" si="754"/>
        <v>32180</v>
      </c>
      <c r="B20329" s="1" t="str">
        <f>"65320"</f>
        <v>65320</v>
      </c>
      <c r="C20329" s="2">
        <v>8.6344439230408195E-3</v>
      </c>
      <c r="D20329" s="2">
        <v>0</v>
      </c>
      <c r="E20329" s="2">
        <v>3.3557046979865702E-3</v>
      </c>
      <c r="F20329" s="2">
        <v>7.7274615704196001E-3</v>
      </c>
    </row>
    <row r="20330" spans="1:6" x14ac:dyDescent="0.25">
      <c r="A20330" s="1" t="str">
        <f t="shared" si="754"/>
        <v>32180</v>
      </c>
      <c r="B20330" s="1" t="str">
        <f>"65351"</f>
        <v>65351</v>
      </c>
      <c r="C20330" s="2">
        <v>0.104364148287189</v>
      </c>
      <c r="D20330" s="2">
        <v>0.12939001848428799</v>
      </c>
      <c r="E20330" s="2">
        <v>0.10402684563758299</v>
      </c>
      <c r="F20330" s="2">
        <v>0.106605733277939</v>
      </c>
    </row>
    <row r="20331" spans="1:6" x14ac:dyDescent="0.25">
      <c r="A20331" s="1" t="str">
        <f t="shared" si="754"/>
        <v>32180</v>
      </c>
      <c r="B20331" s="1" t="str">
        <f>"64096"</f>
        <v>64096</v>
      </c>
      <c r="C20331" s="2">
        <v>7.5082121069920205E-4</v>
      </c>
      <c r="D20331" s="2">
        <v>0</v>
      </c>
      <c r="E20331" s="2">
        <v>0</v>
      </c>
      <c r="F20331" s="2">
        <v>6.6472787702534205E-4</v>
      </c>
    </row>
    <row r="20332" spans="1:6" x14ac:dyDescent="0.25">
      <c r="A20332" s="1" t="str">
        <f t="shared" si="754"/>
        <v>32180</v>
      </c>
      <c r="B20332" s="1" t="str">
        <f>"65339"</f>
        <v>65339</v>
      </c>
      <c r="C20332" s="2">
        <v>2.7498826841858202E-2</v>
      </c>
      <c r="D20332" s="2">
        <v>8.3179297597042508E-3</v>
      </c>
      <c r="E20332" s="2">
        <v>3.3557046979865702E-3</v>
      </c>
      <c r="F20332" s="2">
        <v>2.5176568342334799E-2</v>
      </c>
    </row>
    <row r="20333" spans="1:6" x14ac:dyDescent="0.25">
      <c r="A20333" s="1" t="str">
        <f t="shared" si="754"/>
        <v>32180</v>
      </c>
      <c r="B20333" s="1" t="str">
        <f>"64020"</f>
        <v>64020</v>
      </c>
      <c r="C20333" s="2">
        <v>2.5340215861098E-3</v>
      </c>
      <c r="D20333" s="2">
        <v>9.2421441774491605E-4</v>
      </c>
      <c r="E20333" s="2">
        <v>0</v>
      </c>
      <c r="F20333" s="2">
        <v>2.32654756958869E-3</v>
      </c>
    </row>
    <row r="20334" spans="1:6" x14ac:dyDescent="0.25">
      <c r="A20334" s="1" t="str">
        <f t="shared" si="754"/>
        <v>32180</v>
      </c>
      <c r="B20334" s="1" t="str">
        <f>"65327"</f>
        <v>65327</v>
      </c>
      <c r="C20334" s="2">
        <v>0</v>
      </c>
      <c r="D20334" s="2">
        <v>0</v>
      </c>
      <c r="E20334" s="2">
        <v>3.3557046979865702E-3</v>
      </c>
      <c r="F20334" s="2">
        <v>8.3090984628167796E-5</v>
      </c>
    </row>
    <row r="20335" spans="1:6" x14ac:dyDescent="0.25">
      <c r="A20335" s="1" t="str">
        <f t="shared" si="754"/>
        <v>32180</v>
      </c>
      <c r="B20335" s="1" t="str">
        <f>"65344"</f>
        <v>65344</v>
      </c>
      <c r="C20335" s="2">
        <v>1.5954950727357999E-2</v>
      </c>
      <c r="D20335" s="2">
        <v>1.2014787430683901E-2</v>
      </c>
      <c r="E20335" s="2">
        <v>3.3557046979865702E-3</v>
      </c>
      <c r="F20335" s="2">
        <v>1.52887411715828E-2</v>
      </c>
    </row>
    <row r="20336" spans="1:6" x14ac:dyDescent="0.25">
      <c r="A20336" s="1" t="str">
        <f t="shared" si="754"/>
        <v>32180</v>
      </c>
      <c r="B20336" s="1" t="str">
        <f>"65322"</f>
        <v>65322</v>
      </c>
      <c r="C20336" s="2">
        <v>2.8155795401220001E-4</v>
      </c>
      <c r="D20336" s="2">
        <v>0</v>
      </c>
      <c r="E20336" s="2">
        <v>0</v>
      </c>
      <c r="F20336" s="2">
        <v>2.49272953884503E-4</v>
      </c>
    </row>
    <row r="20337" spans="1:6" x14ac:dyDescent="0.25">
      <c r="A20337" s="1" t="str">
        <f t="shared" si="754"/>
        <v>32180</v>
      </c>
      <c r="B20337" s="1" t="str">
        <f>"65349"</f>
        <v>65349</v>
      </c>
      <c r="C20337" s="2">
        <v>0.12961051149694899</v>
      </c>
      <c r="D20337" s="2">
        <v>0.108133086876155</v>
      </c>
      <c r="E20337" s="2">
        <v>7.0469798657718102E-2</v>
      </c>
      <c r="F20337" s="2">
        <v>0.12621520565018601</v>
      </c>
    </row>
    <row r="20338" spans="1:6" x14ac:dyDescent="0.25">
      <c r="A20338" s="1" t="str">
        <f t="shared" si="754"/>
        <v>32180</v>
      </c>
      <c r="B20338" s="1" t="str">
        <f>"65321"</f>
        <v>65321</v>
      </c>
      <c r="C20338" s="2">
        <v>1.6893477240732001E-2</v>
      </c>
      <c r="D20338" s="2">
        <v>3.6968576709796599E-3</v>
      </c>
      <c r="E20338" s="2">
        <v>1.6778523489932799E-2</v>
      </c>
      <c r="F20338" s="2">
        <v>1.5704196094723701E-2</v>
      </c>
    </row>
    <row r="20339" spans="1:6" x14ac:dyDescent="0.25">
      <c r="A20339" s="1" t="str">
        <f t="shared" si="754"/>
        <v>32180</v>
      </c>
      <c r="B20339" s="1" t="str">
        <f>"65333"</f>
        <v>65333</v>
      </c>
      <c r="C20339" s="2">
        <v>3.7541060534960098E-3</v>
      </c>
      <c r="D20339" s="2">
        <v>9.2421441774491605E-4</v>
      </c>
      <c r="E20339" s="2">
        <v>0</v>
      </c>
      <c r="F20339" s="2">
        <v>3.4067303697548801E-3</v>
      </c>
    </row>
    <row r="20340" spans="1:6" x14ac:dyDescent="0.25">
      <c r="A20340" s="1" t="str">
        <f t="shared" ref="A20340:A20361" si="755">"32260"</f>
        <v>32260</v>
      </c>
      <c r="B20340" s="1" t="str">
        <f>"50078"</f>
        <v>50078</v>
      </c>
      <c r="C20340" s="2">
        <v>3.45777729753093E-3</v>
      </c>
      <c r="D20340" s="2">
        <v>5.0793650793650698E-3</v>
      </c>
      <c r="E20340" s="2">
        <v>1.76678445229681E-3</v>
      </c>
      <c r="F20340" s="2">
        <v>3.48793363499245E-3</v>
      </c>
    </row>
    <row r="20341" spans="1:6" x14ac:dyDescent="0.25">
      <c r="A20341" s="1" t="str">
        <f t="shared" si="755"/>
        <v>32260</v>
      </c>
      <c r="B20341" s="1" t="str">
        <f>"50247"</f>
        <v>50247</v>
      </c>
      <c r="C20341" s="2">
        <v>5.9754713922956303E-2</v>
      </c>
      <c r="D20341" s="2">
        <v>3.55555555555555E-2</v>
      </c>
      <c r="E20341" s="2">
        <v>1.6784452296819699E-2</v>
      </c>
      <c r="F20341" s="2">
        <v>5.5665535444947199E-2</v>
      </c>
    </row>
    <row r="20342" spans="1:6" x14ac:dyDescent="0.25">
      <c r="A20342" s="1" t="str">
        <f t="shared" si="755"/>
        <v>32260</v>
      </c>
      <c r="B20342" s="1" t="str">
        <f>"50239"</f>
        <v>50239</v>
      </c>
      <c r="C20342" s="2">
        <v>5.5648603382138402E-3</v>
      </c>
      <c r="D20342" s="2">
        <v>2.5396825396825301E-3</v>
      </c>
      <c r="E20342" s="2">
        <v>0</v>
      </c>
      <c r="F20342" s="2">
        <v>5.0433634992458499E-3</v>
      </c>
    </row>
    <row r="20343" spans="1:6" x14ac:dyDescent="0.25">
      <c r="A20343" s="1" t="str">
        <f t="shared" si="755"/>
        <v>32260</v>
      </c>
      <c r="B20343" s="1" t="str">
        <f>"50609"</f>
        <v>50609</v>
      </c>
      <c r="C20343" s="2">
        <v>2.32319412177859E-3</v>
      </c>
      <c r="D20343" s="2">
        <v>0</v>
      </c>
      <c r="E20343" s="2">
        <v>0</v>
      </c>
      <c r="F20343" s="2">
        <v>2.0267722473604798E-3</v>
      </c>
    </row>
    <row r="20344" spans="1:6" x14ac:dyDescent="0.25">
      <c r="A20344" s="1" t="str">
        <f t="shared" si="755"/>
        <v>32260</v>
      </c>
      <c r="B20344" s="1" t="str">
        <f>"50635"</f>
        <v>50635</v>
      </c>
      <c r="C20344" s="2">
        <v>6.48333243287049E-4</v>
      </c>
      <c r="D20344" s="2">
        <v>0</v>
      </c>
      <c r="E20344" s="2">
        <v>0</v>
      </c>
      <c r="F20344" s="2">
        <v>5.6561085972850597E-4</v>
      </c>
    </row>
    <row r="20345" spans="1:6" x14ac:dyDescent="0.25">
      <c r="A20345" s="1" t="str">
        <f t="shared" si="755"/>
        <v>32260</v>
      </c>
      <c r="B20345" s="1" t="str">
        <f>"50148"</f>
        <v>50148</v>
      </c>
      <c r="C20345" s="2">
        <v>1.10216651358798E-2</v>
      </c>
      <c r="D20345" s="2">
        <v>1.9047619047619E-3</v>
      </c>
      <c r="E20345" s="2">
        <v>4.4169611307420401E-3</v>
      </c>
      <c r="F20345" s="2">
        <v>9.9924585218702806E-3</v>
      </c>
    </row>
    <row r="20346" spans="1:6" x14ac:dyDescent="0.25">
      <c r="A20346" s="1" t="str">
        <f t="shared" si="755"/>
        <v>32260</v>
      </c>
      <c r="B20346" s="1" t="str">
        <f>"50055"</f>
        <v>50055</v>
      </c>
      <c r="C20346" s="2">
        <v>4.8624993246528702E-4</v>
      </c>
      <c r="D20346" s="2">
        <v>0</v>
      </c>
      <c r="E20346" s="2">
        <v>0</v>
      </c>
      <c r="F20346" s="2">
        <v>4.2420814479637999E-4</v>
      </c>
    </row>
    <row r="20347" spans="1:6" x14ac:dyDescent="0.25">
      <c r="A20347" s="1" t="str">
        <f t="shared" si="755"/>
        <v>32260</v>
      </c>
      <c r="B20347" s="1" t="str">
        <f>"50028"</f>
        <v>50028</v>
      </c>
      <c r="C20347" s="2">
        <v>1.62083310821762E-4</v>
      </c>
      <c r="D20347" s="2">
        <v>0</v>
      </c>
      <c r="E20347" s="2">
        <v>0</v>
      </c>
      <c r="F20347" s="2">
        <v>1.41402714932126E-4</v>
      </c>
    </row>
    <row r="20348" spans="1:6" x14ac:dyDescent="0.25">
      <c r="A20348" s="1" t="str">
        <f t="shared" si="755"/>
        <v>32260</v>
      </c>
      <c r="B20348" s="1" t="str">
        <f>"50258"</f>
        <v>50258</v>
      </c>
      <c r="C20348" s="2">
        <v>3.02555513533956E-3</v>
      </c>
      <c r="D20348" s="2">
        <v>1.9047619047619E-3</v>
      </c>
      <c r="E20348" s="2">
        <v>0</v>
      </c>
      <c r="F20348" s="2">
        <v>2.7809200603318199E-3</v>
      </c>
    </row>
    <row r="20349" spans="1:6" x14ac:dyDescent="0.25">
      <c r="A20349" s="1" t="str">
        <f t="shared" si="755"/>
        <v>32260</v>
      </c>
      <c r="B20349" s="1" t="str">
        <f>"50206"</f>
        <v>50206</v>
      </c>
      <c r="C20349" s="2">
        <v>9.7249986493057404E-4</v>
      </c>
      <c r="D20349" s="2">
        <v>0</v>
      </c>
      <c r="E20349" s="2">
        <v>0</v>
      </c>
      <c r="F20349" s="2">
        <v>8.4841628959275999E-4</v>
      </c>
    </row>
    <row r="20350" spans="1:6" x14ac:dyDescent="0.25">
      <c r="A20350" s="1" t="str">
        <f t="shared" si="755"/>
        <v>32260</v>
      </c>
      <c r="B20350" s="1" t="str">
        <f>"50051"</f>
        <v>50051</v>
      </c>
      <c r="C20350" s="2">
        <v>8.0501377708141909E-3</v>
      </c>
      <c r="D20350" s="2">
        <v>1.2698412698412601E-3</v>
      </c>
      <c r="E20350" s="2">
        <v>8.8339222614840902E-4</v>
      </c>
      <c r="F20350" s="2">
        <v>7.1644042232277497E-3</v>
      </c>
    </row>
    <row r="20351" spans="1:6" x14ac:dyDescent="0.25">
      <c r="A20351" s="1" t="str">
        <f t="shared" si="755"/>
        <v>32260</v>
      </c>
      <c r="B20351" s="1" t="str">
        <f>"50120"</f>
        <v>50120</v>
      </c>
      <c r="C20351" s="2">
        <v>7.7799989194445897E-3</v>
      </c>
      <c r="D20351" s="2">
        <v>0</v>
      </c>
      <c r="E20351" s="2">
        <v>8.8339222614840902E-4</v>
      </c>
      <c r="F20351" s="2">
        <v>6.8344645550527904E-3</v>
      </c>
    </row>
    <row r="20352" spans="1:6" x14ac:dyDescent="0.25">
      <c r="A20352" s="1" t="str">
        <f t="shared" si="755"/>
        <v>32260</v>
      </c>
      <c r="B20352" s="1" t="str">
        <f>"50621"</f>
        <v>50621</v>
      </c>
      <c r="C20352" s="2">
        <v>1.67486087849154E-3</v>
      </c>
      <c r="D20352" s="2">
        <v>0</v>
      </c>
      <c r="E20352" s="2">
        <v>0</v>
      </c>
      <c r="F20352" s="2">
        <v>1.46116138763197E-3</v>
      </c>
    </row>
    <row r="20353" spans="1:6" x14ac:dyDescent="0.25">
      <c r="A20353" s="1" t="str">
        <f t="shared" si="755"/>
        <v>32260</v>
      </c>
      <c r="B20353" s="1" t="str">
        <f>"50005"</f>
        <v>50005</v>
      </c>
      <c r="C20353" s="2">
        <v>1.94499972986114E-2</v>
      </c>
      <c r="D20353" s="2">
        <v>2.5396825396825301E-3</v>
      </c>
      <c r="E20353" s="2">
        <v>4.4169611307420401E-3</v>
      </c>
      <c r="F20353" s="2">
        <v>1.7392533936651501E-2</v>
      </c>
    </row>
    <row r="20354" spans="1:6" x14ac:dyDescent="0.25">
      <c r="A20354" s="1" t="str">
        <f t="shared" si="755"/>
        <v>32260</v>
      </c>
      <c r="B20354" s="1" t="str">
        <f>"50158"</f>
        <v>50158</v>
      </c>
      <c r="C20354" s="2">
        <v>0.77935058620130704</v>
      </c>
      <c r="D20354" s="2">
        <v>0.93015873015872996</v>
      </c>
      <c r="E20354" s="2">
        <v>0.90989399293286199</v>
      </c>
      <c r="F20354" s="2">
        <v>0.79751131221719396</v>
      </c>
    </row>
    <row r="20355" spans="1:6" x14ac:dyDescent="0.25">
      <c r="A20355" s="1" t="str">
        <f t="shared" si="755"/>
        <v>32260</v>
      </c>
      <c r="B20355" s="1" t="str">
        <f>"50142"</f>
        <v>50142</v>
      </c>
      <c r="C20355" s="2">
        <v>1.6532497703819701E-2</v>
      </c>
      <c r="D20355" s="2">
        <v>3.1746031746031698E-3</v>
      </c>
      <c r="E20355" s="2">
        <v>7.9505300353356796E-3</v>
      </c>
      <c r="F20355" s="2">
        <v>1.5082956259426799E-2</v>
      </c>
    </row>
    <row r="20356" spans="1:6" x14ac:dyDescent="0.25">
      <c r="A20356" s="1" t="str">
        <f t="shared" si="755"/>
        <v>32260</v>
      </c>
      <c r="B20356" s="1" t="str">
        <f>"50234"</f>
        <v>50234</v>
      </c>
      <c r="C20356" s="2">
        <v>1.4965692365876001E-2</v>
      </c>
      <c r="D20356" s="2">
        <v>1.9047619047619E-3</v>
      </c>
      <c r="E20356" s="2">
        <v>8.8339222614840906E-3</v>
      </c>
      <c r="F20356" s="2">
        <v>1.3668929110105499E-2</v>
      </c>
    </row>
    <row r="20357" spans="1:6" x14ac:dyDescent="0.25">
      <c r="A20357" s="1" t="str">
        <f t="shared" si="755"/>
        <v>32260</v>
      </c>
      <c r="B20357" s="1" t="str">
        <f>"50162"</f>
        <v>50162</v>
      </c>
      <c r="C20357" s="2">
        <v>2.7284023988329999E-2</v>
      </c>
      <c r="D20357" s="2">
        <v>5.0793650793650698E-3</v>
      </c>
      <c r="E20357" s="2">
        <v>1.59010600706713E-2</v>
      </c>
      <c r="F20357" s="2">
        <v>2.5028280542986399E-2</v>
      </c>
    </row>
    <row r="20358" spans="1:6" x14ac:dyDescent="0.25">
      <c r="A20358" s="1" t="str">
        <f t="shared" si="755"/>
        <v>32260</v>
      </c>
      <c r="B20358" s="1" t="str">
        <f>"50632"</f>
        <v>50632</v>
      </c>
      <c r="C20358" s="2">
        <v>3.3497217569830799E-3</v>
      </c>
      <c r="D20358" s="2">
        <v>5.7142857142857099E-3</v>
      </c>
      <c r="E20358" s="2">
        <v>5.3003533568904502E-3</v>
      </c>
      <c r="F20358" s="2">
        <v>3.6293363499245801E-3</v>
      </c>
    </row>
    <row r="20359" spans="1:6" x14ac:dyDescent="0.25">
      <c r="A20359" s="1" t="str">
        <f t="shared" si="755"/>
        <v>32260</v>
      </c>
      <c r="B20359" s="1" t="str">
        <f>"50106"</f>
        <v>50106</v>
      </c>
      <c r="C20359" s="2">
        <v>2.2259441352855298E-2</v>
      </c>
      <c r="D20359" s="2">
        <v>1.9047619047619E-3</v>
      </c>
      <c r="E20359" s="2">
        <v>1.7667844522968101E-2</v>
      </c>
      <c r="F20359" s="2">
        <v>2.0503393665158302E-2</v>
      </c>
    </row>
    <row r="20360" spans="1:6" x14ac:dyDescent="0.25">
      <c r="A20360" s="1" t="str">
        <f t="shared" si="755"/>
        <v>32260</v>
      </c>
      <c r="B20360" s="1" t="str">
        <f>"50173"</f>
        <v>50173</v>
      </c>
      <c r="C20360" s="2">
        <v>5.40277702739207E-5</v>
      </c>
      <c r="D20360" s="2">
        <v>0</v>
      </c>
      <c r="E20360" s="2">
        <v>0</v>
      </c>
      <c r="F20360" s="2">
        <v>4.7134238310708799E-5</v>
      </c>
    </row>
    <row r="20361" spans="1:6" x14ac:dyDescent="0.25">
      <c r="A20361" s="1" t="str">
        <f t="shared" si="755"/>
        <v>32260</v>
      </c>
      <c r="B20361" s="1" t="str">
        <f>"50141"</f>
        <v>50141</v>
      </c>
      <c r="C20361" s="2">
        <v>1.18320816899886E-2</v>
      </c>
      <c r="D20361" s="2">
        <v>1.2698412698412601E-3</v>
      </c>
      <c r="E20361" s="2">
        <v>5.3003533568904502E-3</v>
      </c>
      <c r="F20361" s="2">
        <v>1.0699472096530899E-2</v>
      </c>
    </row>
    <row r="20362" spans="1:6" x14ac:dyDescent="0.25">
      <c r="A20362" s="1" t="str">
        <f t="shared" ref="A20362:A20374" si="756">"32280"</f>
        <v>32280</v>
      </c>
      <c r="B20362" s="1" t="str">
        <f>"38238"</f>
        <v>38238</v>
      </c>
      <c r="C20362" s="2">
        <v>0</v>
      </c>
      <c r="D20362" s="2">
        <v>0</v>
      </c>
      <c r="E20362" s="2">
        <v>1.2722646310432499E-3</v>
      </c>
      <c r="F20362" s="2">
        <v>5.25513689631614E-5</v>
      </c>
    </row>
    <row r="20363" spans="1:6" x14ac:dyDescent="0.25">
      <c r="A20363" s="1" t="str">
        <f t="shared" si="756"/>
        <v>32280</v>
      </c>
      <c r="B20363" s="1" t="str">
        <f>"38201"</f>
        <v>38201</v>
      </c>
      <c r="C20363" s="2">
        <v>5.5099369272878701E-2</v>
      </c>
      <c r="D20363" s="2">
        <v>1.9485038274182302E-2</v>
      </c>
      <c r="E20363" s="2">
        <v>1.27226463104325E-2</v>
      </c>
      <c r="F20363" s="2">
        <v>5.0659519680487597E-2</v>
      </c>
    </row>
    <row r="20364" spans="1:6" x14ac:dyDescent="0.25">
      <c r="A20364" s="1" t="str">
        <f t="shared" si="756"/>
        <v>32280</v>
      </c>
      <c r="B20364" s="1" t="str">
        <f>"38224"</f>
        <v>38224</v>
      </c>
      <c r="C20364" s="2">
        <v>2.6181125788408898E-3</v>
      </c>
      <c r="D20364" s="2">
        <v>0</v>
      </c>
      <c r="E20364" s="2">
        <v>2.5445292620865098E-3</v>
      </c>
      <c r="F20364" s="2">
        <v>2.4173629723054199E-3</v>
      </c>
    </row>
    <row r="20365" spans="1:6" x14ac:dyDescent="0.25">
      <c r="A20365" s="1" t="str">
        <f t="shared" si="756"/>
        <v>32280</v>
      </c>
      <c r="B20365" s="1" t="str">
        <f>"38230"</f>
        <v>38230</v>
      </c>
      <c r="C20365" s="2">
        <v>0.104784005712245</v>
      </c>
      <c r="D20365" s="2">
        <v>0.118997912317327</v>
      </c>
      <c r="E20365" s="2">
        <v>4.8346055979643698E-2</v>
      </c>
      <c r="F20365" s="2">
        <v>0.103526196857428</v>
      </c>
    </row>
    <row r="20366" spans="1:6" x14ac:dyDescent="0.25">
      <c r="A20366" s="1" t="str">
        <f t="shared" si="756"/>
        <v>32280</v>
      </c>
      <c r="B20366" s="1" t="str">
        <f>"38237"</f>
        <v>38237</v>
      </c>
      <c r="C20366" s="2">
        <v>0.45126740449839298</v>
      </c>
      <c r="D20366" s="2">
        <v>0.44537230340988099</v>
      </c>
      <c r="E20366" s="2">
        <v>0.73664122137404497</v>
      </c>
      <c r="F20366" s="2">
        <v>0.46260970098270998</v>
      </c>
    </row>
    <row r="20367" spans="1:6" x14ac:dyDescent="0.25">
      <c r="A20367" s="1" t="str">
        <f t="shared" si="756"/>
        <v>32280</v>
      </c>
      <c r="B20367" s="1" t="str">
        <f>"38242"</f>
        <v>38242</v>
      </c>
      <c r="C20367" s="2">
        <v>5.8907533023919998E-3</v>
      </c>
      <c r="D20367" s="2">
        <v>1.39178844815588E-3</v>
      </c>
      <c r="E20367" s="2">
        <v>0</v>
      </c>
      <c r="F20367" s="2">
        <v>5.3076882652793103E-3</v>
      </c>
    </row>
    <row r="20368" spans="1:6" x14ac:dyDescent="0.25">
      <c r="A20368" s="1" t="str">
        <f t="shared" si="756"/>
        <v>32280</v>
      </c>
      <c r="B20368" s="1" t="str">
        <f>"38229"</f>
        <v>38229</v>
      </c>
      <c r="C20368" s="2">
        <v>9.1038914673330903E-2</v>
      </c>
      <c r="D20368" s="2">
        <v>9.2553931802365999E-2</v>
      </c>
      <c r="E20368" s="2">
        <v>1.90839694656488E-2</v>
      </c>
      <c r="F20368" s="2">
        <v>8.8181197120184907E-2</v>
      </c>
    </row>
    <row r="20369" spans="1:6" x14ac:dyDescent="0.25">
      <c r="A20369" s="1" t="str">
        <f t="shared" si="756"/>
        <v>32280</v>
      </c>
      <c r="B20369" s="1" t="str">
        <f>"38225"</f>
        <v>38225</v>
      </c>
      <c r="C20369" s="2">
        <v>0.17892419374033</v>
      </c>
      <c r="D20369" s="2">
        <v>0.247738343771746</v>
      </c>
      <c r="E20369" s="2">
        <v>0.16793893129770901</v>
      </c>
      <c r="F20369" s="2">
        <v>0.183667034526249</v>
      </c>
    </row>
    <row r="20370" spans="1:6" x14ac:dyDescent="0.25">
      <c r="A20370" s="1" t="str">
        <f t="shared" si="756"/>
        <v>32280</v>
      </c>
      <c r="B20370" s="1" t="str">
        <f>"38257"</f>
        <v>38257</v>
      </c>
      <c r="C20370" s="2">
        <v>4.93871236463167E-3</v>
      </c>
      <c r="D20370" s="2">
        <v>6.9589422407793998E-4</v>
      </c>
      <c r="E20370" s="2">
        <v>0</v>
      </c>
      <c r="F20370" s="2">
        <v>4.4143149929055598E-3</v>
      </c>
    </row>
    <row r="20371" spans="1:6" x14ac:dyDescent="0.25">
      <c r="A20371" s="1" t="str">
        <f t="shared" si="756"/>
        <v>32280</v>
      </c>
      <c r="B20371" s="1" t="str">
        <f>"38226"</f>
        <v>38226</v>
      </c>
      <c r="C20371" s="2">
        <v>1.1900511722004001E-2</v>
      </c>
      <c r="D20371" s="2">
        <v>2.7835768963117599E-3</v>
      </c>
      <c r="E20371" s="2">
        <v>0</v>
      </c>
      <c r="F20371" s="2">
        <v>1.0720479268484901E-2</v>
      </c>
    </row>
    <row r="20372" spans="1:6" x14ac:dyDescent="0.25">
      <c r="A20372" s="1" t="str">
        <f t="shared" si="756"/>
        <v>32280</v>
      </c>
      <c r="B20372" s="1" t="str">
        <f>"38261"</f>
        <v>38261</v>
      </c>
      <c r="C20372" s="2">
        <v>4.1651791027014098E-4</v>
      </c>
      <c r="D20372" s="2">
        <v>6.9589422407793998E-4</v>
      </c>
      <c r="E20372" s="2">
        <v>0</v>
      </c>
      <c r="F20372" s="2">
        <v>4.2041095170529099E-4</v>
      </c>
    </row>
    <row r="20373" spans="1:6" x14ac:dyDescent="0.25">
      <c r="A20373" s="1" t="str">
        <f t="shared" si="756"/>
        <v>32280</v>
      </c>
      <c r="B20373" s="1" t="str">
        <f>"38241"</f>
        <v>38241</v>
      </c>
      <c r="C20373" s="2">
        <v>2.7311674401999199E-2</v>
      </c>
      <c r="D20373" s="2">
        <v>1.32219902574808E-2</v>
      </c>
      <c r="E20373" s="2">
        <v>0</v>
      </c>
      <c r="F20373" s="2">
        <v>2.5119554364391099E-2</v>
      </c>
    </row>
    <row r="20374" spans="1:6" x14ac:dyDescent="0.25">
      <c r="A20374" s="1" t="str">
        <f t="shared" si="756"/>
        <v>32280</v>
      </c>
      <c r="B20374" s="1" t="str">
        <f>"38255"</f>
        <v>38255</v>
      </c>
      <c r="C20374" s="2">
        <v>6.5809829822682298E-2</v>
      </c>
      <c r="D20374" s="2">
        <v>5.7063326374391002E-2</v>
      </c>
      <c r="E20374" s="2">
        <v>1.1450381679389301E-2</v>
      </c>
      <c r="F20374" s="2">
        <v>6.2903988648904299E-2</v>
      </c>
    </row>
    <row r="20375" spans="1:6" x14ac:dyDescent="0.25">
      <c r="A20375" s="1" t="str">
        <f t="shared" ref="A20375:A20385" si="757">"32300"</f>
        <v>32300</v>
      </c>
      <c r="B20375" s="1" t="str">
        <f>"24133"</f>
        <v>24133</v>
      </c>
      <c r="C20375" s="2">
        <v>1.04477611940298E-3</v>
      </c>
      <c r="D20375" s="2">
        <v>0</v>
      </c>
      <c r="E20375" s="2">
        <v>0</v>
      </c>
      <c r="F20375" s="2">
        <v>9.5284765327235098E-4</v>
      </c>
    </row>
    <row r="20376" spans="1:6" x14ac:dyDescent="0.25">
      <c r="A20376" s="1" t="str">
        <f t="shared" si="757"/>
        <v>32300</v>
      </c>
      <c r="B20376" s="1" t="str">
        <f>"24165"</f>
        <v>24165</v>
      </c>
      <c r="C20376" s="2">
        <v>1.6238805970149199E-2</v>
      </c>
      <c r="D20376" s="2">
        <v>5.0062578222778396E-3</v>
      </c>
      <c r="E20376" s="2">
        <v>3.5928143712574798E-3</v>
      </c>
      <c r="F20376" s="2">
        <v>1.52183382336926E-2</v>
      </c>
    </row>
    <row r="20377" spans="1:6" x14ac:dyDescent="0.25">
      <c r="A20377" s="1" t="str">
        <f t="shared" si="757"/>
        <v>32300</v>
      </c>
      <c r="B20377" s="1" t="str">
        <f>"24055"</f>
        <v>24055</v>
      </c>
      <c r="C20377" s="2">
        <v>0.175970149253731</v>
      </c>
      <c r="D20377" s="2">
        <v>9.3450146015853094E-2</v>
      </c>
      <c r="E20377" s="2">
        <v>9.5808383233532898E-2</v>
      </c>
      <c r="F20377" s="2">
        <v>0.16876293150386501</v>
      </c>
    </row>
    <row r="20378" spans="1:6" x14ac:dyDescent="0.25">
      <c r="A20378" s="1" t="str">
        <f t="shared" si="757"/>
        <v>32300</v>
      </c>
      <c r="B20378" s="1" t="str">
        <f>"24089"</f>
        <v>24089</v>
      </c>
      <c r="C20378" s="2">
        <v>3.52835820895522E-2</v>
      </c>
      <c r="D20378" s="2">
        <v>1.6687526074259398E-2</v>
      </c>
      <c r="E20378" s="2">
        <v>9.5808383233532898E-3</v>
      </c>
      <c r="F20378" s="2">
        <v>3.34857889578569E-2</v>
      </c>
    </row>
    <row r="20379" spans="1:6" x14ac:dyDescent="0.25">
      <c r="A20379" s="1" t="str">
        <f t="shared" si="757"/>
        <v>32300</v>
      </c>
      <c r="B20379" s="1" t="str">
        <f>"24168"</f>
        <v>24168</v>
      </c>
      <c r="C20379" s="2">
        <v>3.9701492537313398E-3</v>
      </c>
      <c r="D20379" s="2">
        <v>7.09219858156028E-3</v>
      </c>
      <c r="E20379" s="2">
        <v>5.9880239520958001E-3</v>
      </c>
      <c r="F20379" s="2">
        <v>4.2197538930632602E-3</v>
      </c>
    </row>
    <row r="20380" spans="1:6" x14ac:dyDescent="0.25">
      <c r="A20380" s="1" t="str">
        <f t="shared" si="757"/>
        <v>32300</v>
      </c>
      <c r="B20380" s="1" t="str">
        <f>"24078"</f>
        <v>24078</v>
      </c>
      <c r="C20380" s="2">
        <v>0.10755223880596999</v>
      </c>
      <c r="D20380" s="2">
        <v>0.118481435127242</v>
      </c>
      <c r="E20380" s="2">
        <v>0.23592814371257401</v>
      </c>
      <c r="F20380" s="2">
        <v>0.11118370902755</v>
      </c>
    </row>
    <row r="20381" spans="1:6" x14ac:dyDescent="0.25">
      <c r="A20381" s="1" t="str">
        <f t="shared" si="757"/>
        <v>32300</v>
      </c>
      <c r="B20381" s="1" t="str">
        <f>"24054"</f>
        <v>24054</v>
      </c>
      <c r="C20381" s="2">
        <v>6.6805970149253699E-2</v>
      </c>
      <c r="D20381" s="2">
        <v>2.6700041718815098E-2</v>
      </c>
      <c r="E20381" s="2">
        <v>4.7904191616766397E-3</v>
      </c>
      <c r="F20381" s="2">
        <v>6.2779048241315402E-2</v>
      </c>
    </row>
    <row r="20382" spans="1:6" x14ac:dyDescent="0.25">
      <c r="A20382" s="1" t="str">
        <f t="shared" si="757"/>
        <v>32300</v>
      </c>
      <c r="B20382" s="1" t="str">
        <f>"24102"</f>
        <v>24102</v>
      </c>
      <c r="C20382" s="2">
        <v>2.0298507462686499E-3</v>
      </c>
      <c r="D20382" s="2">
        <v>8.34376303712974E-4</v>
      </c>
      <c r="E20382" s="2">
        <v>0</v>
      </c>
      <c r="F20382" s="2">
        <v>1.9056953065447E-3</v>
      </c>
    </row>
    <row r="20383" spans="1:6" x14ac:dyDescent="0.25">
      <c r="A20383" s="1" t="str">
        <f t="shared" si="757"/>
        <v>32300</v>
      </c>
      <c r="B20383" s="1" t="str">
        <f>"24148"</f>
        <v>24148</v>
      </c>
      <c r="C20383" s="2">
        <v>0.110805970149253</v>
      </c>
      <c r="D20383" s="2">
        <v>6.7584480600750896E-2</v>
      </c>
      <c r="E20383" s="2">
        <v>2.75449101796407E-2</v>
      </c>
      <c r="F20383" s="2">
        <v>0.10609278013721</v>
      </c>
    </row>
    <row r="20384" spans="1:6" x14ac:dyDescent="0.25">
      <c r="A20384" s="1" t="str">
        <f t="shared" si="757"/>
        <v>32300</v>
      </c>
      <c r="B20384" s="1" t="str">
        <f>"24530"</f>
        <v>24530</v>
      </c>
      <c r="C20384" s="2">
        <v>2.0895522388059701E-4</v>
      </c>
      <c r="D20384" s="2">
        <v>0</v>
      </c>
      <c r="E20384" s="2">
        <v>0</v>
      </c>
      <c r="F20384" s="2">
        <v>1.9056953065446999E-4</v>
      </c>
    </row>
    <row r="20385" spans="1:6" x14ac:dyDescent="0.25">
      <c r="A20385" s="1" t="str">
        <f t="shared" si="757"/>
        <v>32300</v>
      </c>
      <c r="B20385" s="1" t="str">
        <f>"24112"</f>
        <v>24112</v>
      </c>
      <c r="C20385" s="2">
        <v>0.48008955223880501</v>
      </c>
      <c r="D20385" s="2">
        <v>0.66416353775552694</v>
      </c>
      <c r="E20385" s="2">
        <v>0.61676646706586802</v>
      </c>
      <c r="F20385" s="2">
        <v>0.49520853751497301</v>
      </c>
    </row>
    <row r="20386" spans="1:6" x14ac:dyDescent="0.25">
      <c r="A20386" s="1" t="str">
        <f t="shared" ref="A20386:A20403" si="758">"32340"</f>
        <v>32340</v>
      </c>
      <c r="B20386" s="1" t="str">
        <f>"64423"</f>
        <v>64423</v>
      </c>
      <c r="C20386" s="2">
        <v>3.1896463874452198E-2</v>
      </c>
      <c r="D20386" s="2">
        <v>8.0775444264943406E-3</v>
      </c>
      <c r="E20386" s="2">
        <v>3.3613445378151202E-3</v>
      </c>
      <c r="F20386" s="2">
        <v>2.9019678969801298E-2</v>
      </c>
    </row>
    <row r="20387" spans="1:6" x14ac:dyDescent="0.25">
      <c r="A20387" s="1" t="str">
        <f t="shared" si="758"/>
        <v>32340</v>
      </c>
      <c r="B20387" s="1" t="str">
        <f>"64455"</f>
        <v>64455</v>
      </c>
      <c r="C20387" s="2">
        <v>2.19097116070518E-2</v>
      </c>
      <c r="D20387" s="2">
        <v>2.1001615508885199E-2</v>
      </c>
      <c r="E20387" s="2">
        <v>3.3613445378151202E-3</v>
      </c>
      <c r="F20387" s="2">
        <v>2.08578942595447E-2</v>
      </c>
    </row>
    <row r="20388" spans="1:6" x14ac:dyDescent="0.25">
      <c r="A20388" s="1" t="str">
        <f t="shared" si="758"/>
        <v>32340</v>
      </c>
      <c r="B20388" s="1" t="str">
        <f>"64457"</f>
        <v>64457</v>
      </c>
      <c r="C20388" s="2">
        <v>1.26362987873229E-2</v>
      </c>
      <c r="D20388" s="2">
        <v>4.8465266558966004E-3</v>
      </c>
      <c r="E20388" s="2">
        <v>1.6806722689075601E-3</v>
      </c>
      <c r="F20388" s="2">
        <v>1.1607871587920499E-2</v>
      </c>
    </row>
    <row r="20389" spans="1:6" x14ac:dyDescent="0.25">
      <c r="A20389" s="1" t="str">
        <f t="shared" si="758"/>
        <v>32340</v>
      </c>
      <c r="B20389" s="1" t="str">
        <f>"64434"</f>
        <v>64434</v>
      </c>
      <c r="C20389" s="2">
        <v>1.83430143686945E-2</v>
      </c>
      <c r="D20389" s="2">
        <v>1.6155088852988599E-3</v>
      </c>
      <c r="E20389" s="2">
        <v>0.17815126050420099</v>
      </c>
      <c r="F20389" s="2">
        <v>2.60270245760406E-2</v>
      </c>
    </row>
    <row r="20390" spans="1:6" x14ac:dyDescent="0.25">
      <c r="A20390" s="1" t="str">
        <f t="shared" si="758"/>
        <v>32340</v>
      </c>
      <c r="B20390" s="1" t="str">
        <f>"64475"</f>
        <v>64475</v>
      </c>
      <c r="C20390" s="2">
        <v>2.2419239783960002E-2</v>
      </c>
      <c r="D20390" s="2">
        <v>9.6930533117932094E-3</v>
      </c>
      <c r="E20390" s="2">
        <v>0.17983193277310899</v>
      </c>
      <c r="F20390" s="2">
        <v>3.01986034279495E-2</v>
      </c>
    </row>
    <row r="20391" spans="1:6" x14ac:dyDescent="0.25">
      <c r="A20391" s="1" t="str">
        <f t="shared" si="758"/>
        <v>32340</v>
      </c>
      <c r="B20391" s="1" t="str">
        <f>"64476"</f>
        <v>64476</v>
      </c>
      <c r="C20391" s="2">
        <v>1.8241108733312899E-2</v>
      </c>
      <c r="D20391" s="2">
        <v>4.8465266558966004E-3</v>
      </c>
      <c r="E20391" s="2">
        <v>1.6806722689075601E-3</v>
      </c>
      <c r="F20391" s="2">
        <v>1.6595628910855101E-2</v>
      </c>
    </row>
    <row r="20392" spans="1:6" x14ac:dyDescent="0.25">
      <c r="A20392" s="1" t="str">
        <f t="shared" si="758"/>
        <v>32340</v>
      </c>
      <c r="B20392" s="1" t="str">
        <f>"64431"</f>
        <v>64431</v>
      </c>
      <c r="C20392" s="2">
        <v>1.8139203097931302E-2</v>
      </c>
      <c r="D20392" s="2">
        <v>1.29240710823909E-2</v>
      </c>
      <c r="E20392" s="2">
        <v>3.3613445378151202E-3</v>
      </c>
      <c r="F20392" s="2">
        <v>1.70490613947583E-2</v>
      </c>
    </row>
    <row r="20393" spans="1:6" x14ac:dyDescent="0.25">
      <c r="A20393" s="1" t="str">
        <f t="shared" si="758"/>
        <v>32340</v>
      </c>
      <c r="B20393" s="1" t="str">
        <f>"64487"</f>
        <v>64487</v>
      </c>
      <c r="C20393" s="2">
        <v>3.7501273820442202E-2</v>
      </c>
      <c r="D20393" s="2">
        <v>6.46203554119547E-3</v>
      </c>
      <c r="E20393" s="2">
        <v>3.3613445378151202E-3</v>
      </c>
      <c r="F20393" s="2">
        <v>3.3916749795955298E-2</v>
      </c>
    </row>
    <row r="20394" spans="1:6" x14ac:dyDescent="0.25">
      <c r="A20394" s="1" t="str">
        <f t="shared" si="758"/>
        <v>32340</v>
      </c>
      <c r="B20394" s="1" t="str">
        <f>"64468"</f>
        <v>64468</v>
      </c>
      <c r="C20394" s="2">
        <v>0.66095995108529504</v>
      </c>
      <c r="D20394" s="2">
        <v>0.87075928917609002</v>
      </c>
      <c r="E20394" s="2">
        <v>0.54957983193277304</v>
      </c>
      <c r="F20394" s="2">
        <v>0.66672712433118697</v>
      </c>
    </row>
    <row r="20395" spans="1:6" x14ac:dyDescent="0.25">
      <c r="A20395" s="1" t="str">
        <f t="shared" si="758"/>
        <v>32340</v>
      </c>
      <c r="B20395" s="1" t="str">
        <f>"64427"</f>
        <v>64427</v>
      </c>
      <c r="C20395" s="2">
        <v>3.0571690614490899E-3</v>
      </c>
      <c r="D20395" s="2">
        <v>0</v>
      </c>
      <c r="E20395" s="2">
        <v>0</v>
      </c>
      <c r="F20395" s="2">
        <v>2.7205949034188799E-3</v>
      </c>
    </row>
    <row r="20396" spans="1:6" x14ac:dyDescent="0.25">
      <c r="A20396" s="1" t="str">
        <f t="shared" si="758"/>
        <v>32340</v>
      </c>
      <c r="B20396" s="1" t="str">
        <f>"64445"</f>
        <v>64445</v>
      </c>
      <c r="C20396" s="2">
        <v>1.4980128401100501E-2</v>
      </c>
      <c r="D20396" s="2">
        <v>1.6155088852988599E-3</v>
      </c>
      <c r="E20396" s="2">
        <v>1.6806722689075601E-3</v>
      </c>
      <c r="F20396" s="2">
        <v>1.3512288020313699E-2</v>
      </c>
    </row>
    <row r="20397" spans="1:6" x14ac:dyDescent="0.25">
      <c r="A20397" s="1" t="str">
        <f t="shared" si="758"/>
        <v>32340</v>
      </c>
      <c r="B20397" s="1" t="str">
        <f>"64486"</f>
        <v>64486</v>
      </c>
      <c r="C20397" s="2">
        <v>4.4838479567920102E-3</v>
      </c>
      <c r="D20397" s="2">
        <v>0</v>
      </c>
      <c r="E20397" s="2">
        <v>0</v>
      </c>
      <c r="F20397" s="2">
        <v>3.9902058583476899E-3</v>
      </c>
    </row>
    <row r="20398" spans="1:6" x14ac:dyDescent="0.25">
      <c r="A20398" s="1" t="str">
        <f t="shared" si="758"/>
        <v>32340</v>
      </c>
      <c r="B20398" s="1" t="str">
        <f>"64433"</f>
        <v>64433</v>
      </c>
      <c r="C20398" s="2">
        <v>2.95526342606746E-3</v>
      </c>
      <c r="D20398" s="2">
        <v>3.2310177705977298E-3</v>
      </c>
      <c r="E20398" s="2">
        <v>2.3529411764705799E-2</v>
      </c>
      <c r="F20398" s="2">
        <v>4.08089235512832E-3</v>
      </c>
    </row>
    <row r="20399" spans="1:6" x14ac:dyDescent="0.25">
      <c r="A20399" s="1" t="str">
        <f t="shared" si="758"/>
        <v>32340</v>
      </c>
      <c r="B20399" s="1" t="str">
        <f>"64489"</f>
        <v>64489</v>
      </c>
      <c r="C20399" s="2">
        <v>5.6048099459900099E-3</v>
      </c>
      <c r="D20399" s="2">
        <v>1.6155088852988599E-3</v>
      </c>
      <c r="E20399" s="2">
        <v>0</v>
      </c>
      <c r="F20399" s="2">
        <v>5.0784438197152403E-3</v>
      </c>
    </row>
    <row r="20400" spans="1:6" x14ac:dyDescent="0.25">
      <c r="A20400" s="1" t="str">
        <f t="shared" si="758"/>
        <v>32340</v>
      </c>
      <c r="B20400" s="1" t="str">
        <f>"64461"</f>
        <v>64461</v>
      </c>
      <c r="C20400" s="2">
        <v>3.9131763986548398E-2</v>
      </c>
      <c r="D20400" s="2">
        <v>8.0775444264943406E-3</v>
      </c>
      <c r="E20400" s="2">
        <v>5.0420168067226798E-3</v>
      </c>
      <c r="F20400" s="2">
        <v>3.5549106738006701E-2</v>
      </c>
    </row>
    <row r="20401" spans="1:6" x14ac:dyDescent="0.25">
      <c r="A20401" s="1" t="str">
        <f t="shared" si="758"/>
        <v>32340</v>
      </c>
      <c r="B20401" s="1" t="str">
        <f>"64432"</f>
        <v>64432</v>
      </c>
      <c r="C20401" s="2">
        <v>2.95526342606746E-3</v>
      </c>
      <c r="D20401" s="2">
        <v>1.6155088852988599E-3</v>
      </c>
      <c r="E20401" s="2">
        <v>3.6974789915966297E-2</v>
      </c>
      <c r="F20401" s="2">
        <v>4.7156978325927201E-3</v>
      </c>
    </row>
    <row r="20402" spans="1:6" x14ac:dyDescent="0.25">
      <c r="A20402" s="1" t="str">
        <f t="shared" si="758"/>
        <v>32340</v>
      </c>
      <c r="B20402" s="1" t="str">
        <f>"64428"</f>
        <v>64428</v>
      </c>
      <c r="C20402" s="2">
        <v>4.4736573932538402E-2</v>
      </c>
      <c r="D20402" s="2">
        <v>1.45395799676898E-2</v>
      </c>
      <c r="E20402" s="2">
        <v>3.3613445378151202E-3</v>
      </c>
      <c r="F20402" s="2">
        <v>4.0808923551283197E-2</v>
      </c>
    </row>
    <row r="20403" spans="1:6" x14ac:dyDescent="0.25">
      <c r="A20403" s="1" t="str">
        <f t="shared" si="758"/>
        <v>32340</v>
      </c>
      <c r="B20403" s="1" t="str">
        <f>"64479"</f>
        <v>64479</v>
      </c>
      <c r="C20403" s="2">
        <v>4.0048914704983098E-2</v>
      </c>
      <c r="D20403" s="2">
        <v>2.90791599353796E-2</v>
      </c>
      <c r="E20403" s="2">
        <v>5.0420168067226798E-3</v>
      </c>
      <c r="F20403" s="2">
        <v>3.75442096671805E-2</v>
      </c>
    </row>
    <row r="20404" spans="1:6" x14ac:dyDescent="0.25">
      <c r="A20404" s="1" t="str">
        <f t="shared" ref="A20404:A20428" si="759">"32380"</f>
        <v>32380</v>
      </c>
      <c r="B20404" s="1" t="str">
        <f>"50449"</f>
        <v>50449</v>
      </c>
      <c r="C20404" s="2">
        <v>1.08275886959974E-4</v>
      </c>
      <c r="D20404" s="2">
        <v>0</v>
      </c>
      <c r="E20404" s="2">
        <v>0</v>
      </c>
      <c r="F20404" s="2">
        <v>9.5553573703656506E-5</v>
      </c>
    </row>
    <row r="20405" spans="1:6" x14ac:dyDescent="0.25">
      <c r="A20405" s="1" t="str">
        <f t="shared" si="759"/>
        <v>32380</v>
      </c>
      <c r="B20405" s="1" t="str">
        <f>"50448"</f>
        <v>50448</v>
      </c>
      <c r="C20405" s="2">
        <v>1.14050600931172E-2</v>
      </c>
      <c r="D20405" s="2">
        <v>3.7650602409638502E-3</v>
      </c>
      <c r="E20405" s="2">
        <v>4.8402710551790898E-3</v>
      </c>
      <c r="F20405" s="2">
        <v>1.05427442986367E-2</v>
      </c>
    </row>
    <row r="20406" spans="1:6" x14ac:dyDescent="0.25">
      <c r="A20406" s="1" t="str">
        <f t="shared" si="759"/>
        <v>32380</v>
      </c>
      <c r="B20406" s="1" t="str">
        <f>"50444"</f>
        <v>50444</v>
      </c>
      <c r="C20406" s="2">
        <v>4.4754033276789198E-3</v>
      </c>
      <c r="D20406" s="2">
        <v>2.6355421686746899E-3</v>
      </c>
      <c r="E20406" s="2">
        <v>3.87221684414327E-3</v>
      </c>
      <c r="F20406" s="2">
        <v>4.2999108166645404E-3</v>
      </c>
    </row>
    <row r="20407" spans="1:6" x14ac:dyDescent="0.25">
      <c r="A20407" s="1" t="str">
        <f t="shared" si="759"/>
        <v>32380</v>
      </c>
      <c r="B20407" s="1" t="str">
        <f>"50434"</f>
        <v>50434</v>
      </c>
      <c r="C20407" s="2">
        <v>6.4965532175984397E-3</v>
      </c>
      <c r="D20407" s="2">
        <v>0</v>
      </c>
      <c r="E20407" s="2">
        <v>2.9041626331074502E-3</v>
      </c>
      <c r="F20407" s="2">
        <v>5.8287679959230397E-3</v>
      </c>
    </row>
    <row r="20408" spans="1:6" x14ac:dyDescent="0.25">
      <c r="A20408" s="1" t="str">
        <f t="shared" si="759"/>
        <v>32380</v>
      </c>
      <c r="B20408" s="1" t="str">
        <f>"50440"</f>
        <v>50440</v>
      </c>
      <c r="C20408" s="2">
        <v>7.61540404951817E-3</v>
      </c>
      <c r="D20408" s="2">
        <v>3.7650602409638502E-3</v>
      </c>
      <c r="E20408" s="2">
        <v>0</v>
      </c>
      <c r="F20408" s="2">
        <v>7.0391132628360303E-3</v>
      </c>
    </row>
    <row r="20409" spans="1:6" x14ac:dyDescent="0.25">
      <c r="A20409" s="1" t="str">
        <f t="shared" si="759"/>
        <v>32380</v>
      </c>
      <c r="B20409" s="1" t="str">
        <f>"50479"</f>
        <v>50479</v>
      </c>
      <c r="C20409" s="2">
        <v>1.1513335980077199E-2</v>
      </c>
      <c r="D20409" s="2">
        <v>1.8825301204819199E-3</v>
      </c>
      <c r="E20409" s="2">
        <v>7.74443368828654E-3</v>
      </c>
      <c r="F20409" s="2">
        <v>1.0574595489871301E-2</v>
      </c>
    </row>
    <row r="20410" spans="1:6" x14ac:dyDescent="0.25">
      <c r="A20410" s="1" t="str">
        <f t="shared" si="759"/>
        <v>32380</v>
      </c>
      <c r="B20410" s="1" t="str">
        <f>"50464"</f>
        <v>50464</v>
      </c>
      <c r="C20410" s="2">
        <v>1.1513335980077199E-2</v>
      </c>
      <c r="D20410" s="2">
        <v>6.4006024096385497E-3</v>
      </c>
      <c r="E20410" s="2">
        <v>3.87221684414327E-3</v>
      </c>
      <c r="F20410" s="2">
        <v>1.08294050197477E-2</v>
      </c>
    </row>
    <row r="20411" spans="1:6" x14ac:dyDescent="0.25">
      <c r="A20411" s="1" t="str">
        <f t="shared" si="759"/>
        <v>32380</v>
      </c>
      <c r="B20411" s="1" t="str">
        <f>"50472"</f>
        <v>50472</v>
      </c>
      <c r="C20411" s="2">
        <v>1.4436784927996499E-3</v>
      </c>
      <c r="D20411" s="2">
        <v>0</v>
      </c>
      <c r="E20411" s="2">
        <v>0</v>
      </c>
      <c r="F20411" s="2">
        <v>1.27404764938208E-3</v>
      </c>
    </row>
    <row r="20412" spans="1:6" x14ac:dyDescent="0.25">
      <c r="A20412" s="1" t="str">
        <f t="shared" si="759"/>
        <v>32380</v>
      </c>
      <c r="B20412" s="1" t="str">
        <f>"50446"</f>
        <v>50446</v>
      </c>
      <c r="C20412" s="2">
        <v>8.5537950698379404E-3</v>
      </c>
      <c r="D20412" s="2">
        <v>1.8825301204819199E-3</v>
      </c>
      <c r="E20412" s="2">
        <v>5.8083252662149004E-3</v>
      </c>
      <c r="F20412" s="2">
        <v>7.8990954261689301E-3</v>
      </c>
    </row>
    <row r="20413" spans="1:6" x14ac:dyDescent="0.25">
      <c r="A20413" s="1" t="str">
        <f t="shared" si="759"/>
        <v>32380</v>
      </c>
      <c r="B20413" s="1" t="str">
        <f>"50467"</f>
        <v>50467</v>
      </c>
      <c r="C20413" s="2">
        <v>1.9489659652795299E-3</v>
      </c>
      <c r="D20413" s="2">
        <v>2.6355421686746899E-3</v>
      </c>
      <c r="E20413" s="2">
        <v>9.6805421103581804E-4</v>
      </c>
      <c r="F20413" s="2">
        <v>1.9747738565422299E-3</v>
      </c>
    </row>
    <row r="20414" spans="1:6" x14ac:dyDescent="0.25">
      <c r="A20414" s="1" t="str">
        <f t="shared" si="759"/>
        <v>32380</v>
      </c>
      <c r="B20414" s="1" t="str">
        <f>"50450"</f>
        <v>50450</v>
      </c>
      <c r="C20414" s="2">
        <v>2.7790810986393299E-3</v>
      </c>
      <c r="D20414" s="2">
        <v>3.7650602409638502E-4</v>
      </c>
      <c r="E20414" s="2">
        <v>0</v>
      </c>
      <c r="F20414" s="2">
        <v>2.48439291629506E-3</v>
      </c>
    </row>
    <row r="20415" spans="1:6" x14ac:dyDescent="0.25">
      <c r="A20415" s="1" t="str">
        <f t="shared" si="759"/>
        <v>32380</v>
      </c>
      <c r="B20415" s="1" t="str">
        <f>"50428"</f>
        <v>50428</v>
      </c>
      <c r="C20415" s="2">
        <v>0.216407406070668</v>
      </c>
      <c r="D20415" s="2">
        <v>0.17771084337349299</v>
      </c>
      <c r="E20415" s="2">
        <v>0.22652468538238099</v>
      </c>
      <c r="F20415" s="2">
        <v>0.21346668365396801</v>
      </c>
    </row>
    <row r="20416" spans="1:6" x14ac:dyDescent="0.25">
      <c r="A20416" s="1" t="str">
        <f t="shared" si="759"/>
        <v>32380</v>
      </c>
      <c r="B20416" s="1" t="str">
        <f>"50482"</f>
        <v>50482</v>
      </c>
      <c r="C20416" s="2">
        <v>1.5591727722236199E-2</v>
      </c>
      <c r="D20416" s="2">
        <v>1.5060240963855401E-3</v>
      </c>
      <c r="E20416" s="2">
        <v>1.8393030009680501E-2</v>
      </c>
      <c r="F20416" s="2">
        <v>1.4492292011721201E-2</v>
      </c>
    </row>
    <row r="20417" spans="1:6" x14ac:dyDescent="0.25">
      <c r="A20417" s="1" t="str">
        <f t="shared" si="759"/>
        <v>32380</v>
      </c>
      <c r="B20417" s="1" t="str">
        <f>"50433"</f>
        <v>50433</v>
      </c>
      <c r="C20417" s="2">
        <v>3.0317248348792698E-3</v>
      </c>
      <c r="D20417" s="2">
        <v>1.8825301204819199E-3</v>
      </c>
      <c r="E20417" s="2">
        <v>9.6805421103581804E-4</v>
      </c>
      <c r="F20417" s="2">
        <v>2.8666072111096898E-3</v>
      </c>
    </row>
    <row r="20418" spans="1:6" x14ac:dyDescent="0.25">
      <c r="A20418" s="1" t="str">
        <f t="shared" si="759"/>
        <v>32380</v>
      </c>
      <c r="B20418" s="1" t="str">
        <f>"50461"</f>
        <v>50461</v>
      </c>
      <c r="C20418" s="2">
        <v>3.6091962319991303E-5</v>
      </c>
      <c r="D20418" s="2">
        <v>0</v>
      </c>
      <c r="E20418" s="2">
        <v>0</v>
      </c>
      <c r="F20418" s="2">
        <v>3.1851191234552103E-5</v>
      </c>
    </row>
    <row r="20419" spans="1:6" x14ac:dyDescent="0.25">
      <c r="A20419" s="1" t="str">
        <f t="shared" si="759"/>
        <v>32380</v>
      </c>
      <c r="B20419" s="1" t="str">
        <f>"50468"</f>
        <v>50468</v>
      </c>
      <c r="C20419" s="2">
        <v>2.3098855884794399E-3</v>
      </c>
      <c r="D20419" s="2">
        <v>0</v>
      </c>
      <c r="E20419" s="2">
        <v>0</v>
      </c>
      <c r="F20419" s="2">
        <v>2.0384762390113298E-3</v>
      </c>
    </row>
    <row r="20420" spans="1:6" x14ac:dyDescent="0.25">
      <c r="A20420" s="1" t="str">
        <f t="shared" si="759"/>
        <v>32380</v>
      </c>
      <c r="B20420" s="1" t="str">
        <f>"50477"</f>
        <v>50477</v>
      </c>
      <c r="C20420" s="2">
        <v>3.2121846464792199E-3</v>
      </c>
      <c r="D20420" s="2">
        <v>3.7650602409638502E-4</v>
      </c>
      <c r="E20420" s="2">
        <v>2.9041626331074502E-3</v>
      </c>
      <c r="F20420" s="2">
        <v>2.9621607848133499E-3</v>
      </c>
    </row>
    <row r="20421" spans="1:6" x14ac:dyDescent="0.25">
      <c r="A20421" s="1" t="str">
        <f t="shared" si="759"/>
        <v>32380</v>
      </c>
      <c r="B20421" s="1" t="str">
        <f>"50456"</f>
        <v>50456</v>
      </c>
      <c r="C20421" s="2">
        <v>2.8296098458873199E-2</v>
      </c>
      <c r="D20421" s="2">
        <v>7.5301204819277099E-3</v>
      </c>
      <c r="E20421" s="2">
        <v>2.3233301064859602E-2</v>
      </c>
      <c r="F20421" s="2">
        <v>2.63727863422091E-2</v>
      </c>
    </row>
    <row r="20422" spans="1:6" x14ac:dyDescent="0.25">
      <c r="A20422" s="1" t="str">
        <f t="shared" si="759"/>
        <v>32380</v>
      </c>
      <c r="B20422" s="1" t="str">
        <f>"50459"</f>
        <v>50459</v>
      </c>
      <c r="C20422" s="2">
        <v>5.4390587216226902E-2</v>
      </c>
      <c r="D20422" s="2">
        <v>5.9864457831325303E-2</v>
      </c>
      <c r="E20422" s="2">
        <v>6.3891577928363905E-2</v>
      </c>
      <c r="F20422" s="2">
        <v>5.5166263218244298E-2</v>
      </c>
    </row>
    <row r="20423" spans="1:6" x14ac:dyDescent="0.25">
      <c r="A20423" s="1" t="str">
        <f t="shared" si="759"/>
        <v>32380</v>
      </c>
      <c r="B20423" s="1" t="str">
        <f>"50475"</f>
        <v>50475</v>
      </c>
      <c r="C20423" s="2">
        <v>1.8045981159995599E-3</v>
      </c>
      <c r="D20423" s="2">
        <v>0</v>
      </c>
      <c r="E20423" s="2">
        <v>0</v>
      </c>
      <c r="F20423" s="2">
        <v>1.5925595617276001E-3</v>
      </c>
    </row>
    <row r="20424" spans="1:6" x14ac:dyDescent="0.25">
      <c r="A20424" s="1" t="str">
        <f t="shared" si="759"/>
        <v>32380</v>
      </c>
      <c r="B20424" s="1" t="str">
        <f>"50458"</f>
        <v>50458</v>
      </c>
      <c r="C20424" s="2">
        <v>3.6452881943191198E-3</v>
      </c>
      <c r="D20424" s="2">
        <v>3.7650602409638502E-4</v>
      </c>
      <c r="E20424" s="2">
        <v>0</v>
      </c>
      <c r="F20424" s="2">
        <v>3.2488215059243201E-3</v>
      </c>
    </row>
    <row r="20425" spans="1:6" x14ac:dyDescent="0.25">
      <c r="A20425" s="1" t="str">
        <f t="shared" si="759"/>
        <v>32380</v>
      </c>
      <c r="B20425" s="1" t="str">
        <f>"50469"</f>
        <v>50469</v>
      </c>
      <c r="C20425" s="2">
        <v>2.5517017360233801E-2</v>
      </c>
      <c r="D20425" s="2">
        <v>7.9066265060240906E-3</v>
      </c>
      <c r="E20425" s="2">
        <v>1.0648596321393901E-2</v>
      </c>
      <c r="F20425" s="2">
        <v>2.3538030322334001E-2</v>
      </c>
    </row>
    <row r="20426" spans="1:6" x14ac:dyDescent="0.25">
      <c r="A20426" s="1" t="str">
        <f t="shared" si="759"/>
        <v>32380</v>
      </c>
      <c r="B20426" s="1" t="str">
        <f>"50401"</f>
        <v>50401</v>
      </c>
      <c r="C20426" s="2">
        <v>0.54054931966650999</v>
      </c>
      <c r="D20426" s="2">
        <v>0.60692771084337305</v>
      </c>
      <c r="E20426" s="2">
        <v>0.61665053242981605</v>
      </c>
      <c r="F20426" s="2">
        <v>0.54866862020639495</v>
      </c>
    </row>
    <row r="20427" spans="1:6" x14ac:dyDescent="0.25">
      <c r="A20427" s="1" t="str">
        <f t="shared" si="759"/>
        <v>32380</v>
      </c>
      <c r="B20427" s="1" t="str">
        <f>"50402"</f>
        <v>50402</v>
      </c>
      <c r="C20427" s="2">
        <v>3.0136788537192701E-2</v>
      </c>
      <c r="D20427" s="2">
        <v>0.108057228915662</v>
      </c>
      <c r="E20427" s="2">
        <v>1.93610842207163E-3</v>
      </c>
      <c r="F20427" s="2">
        <v>3.58007389476366E-2</v>
      </c>
    </row>
    <row r="20428" spans="1:6" x14ac:dyDescent="0.25">
      <c r="A20428" s="1" t="str">
        <f t="shared" si="759"/>
        <v>32380</v>
      </c>
      <c r="B20428" s="1" t="str">
        <f>"50457"</f>
        <v>50457</v>
      </c>
      <c r="C20428" s="2">
        <v>7.2183924639982596E-3</v>
      </c>
      <c r="D20428" s="2">
        <v>4.5180722891566202E-3</v>
      </c>
      <c r="E20428" s="2">
        <v>4.8402710551790898E-3</v>
      </c>
      <c r="F20428" s="2">
        <v>6.9117084978978201E-3</v>
      </c>
    </row>
    <row r="20429" spans="1:6" x14ac:dyDescent="0.25">
      <c r="A20429" s="1" t="str">
        <f t="shared" ref="A20429:A20435" si="760">"32420"</f>
        <v>32420</v>
      </c>
      <c r="B20429" s="1" t="str">
        <f>"00660"</f>
        <v>00660</v>
      </c>
      <c r="C20429" s="2">
        <v>0.14072591461527301</v>
      </c>
      <c r="D20429" s="2">
        <v>6.23977086743044E-2</v>
      </c>
      <c r="E20429" s="2">
        <v>5.37704918032786E-2</v>
      </c>
      <c r="F20429" s="2">
        <v>0.131332458634011</v>
      </c>
    </row>
    <row r="20430" spans="1:6" x14ac:dyDescent="0.25">
      <c r="A20430" s="1" t="str">
        <f t="shared" si="760"/>
        <v>32420</v>
      </c>
      <c r="B20430" s="1" t="str">
        <f>"00681"</f>
        <v>00681</v>
      </c>
      <c r="C20430" s="2">
        <v>7.8451602253265307E-2</v>
      </c>
      <c r="D20430" s="2">
        <v>0.13216039279868999</v>
      </c>
      <c r="E20430" s="2">
        <v>3.27868852459016E-3</v>
      </c>
      <c r="F20430" s="2">
        <v>8.1146585028063198E-2</v>
      </c>
    </row>
    <row r="20431" spans="1:6" x14ac:dyDescent="0.25">
      <c r="A20431" s="1" t="str">
        <f t="shared" si="760"/>
        <v>32420</v>
      </c>
      <c r="B20431" s="1" t="str">
        <f>"00683"</f>
        <v>00683</v>
      </c>
      <c r="C20431" s="2">
        <v>8.7489424922105492E-3</v>
      </c>
      <c r="D20431" s="2">
        <v>2.0458265139116201E-4</v>
      </c>
      <c r="E20431" s="2">
        <v>1.3114754098360599E-3</v>
      </c>
      <c r="F20431" s="2">
        <v>7.7811793862526402E-3</v>
      </c>
    </row>
    <row r="20432" spans="1:6" x14ac:dyDescent="0.25">
      <c r="A20432" s="1" t="str">
        <f t="shared" si="760"/>
        <v>32420</v>
      </c>
      <c r="B20432" s="1" t="str">
        <f>"00680"</f>
        <v>00680</v>
      </c>
      <c r="C20432" s="2">
        <v>0.427975981676743</v>
      </c>
      <c r="D20432" s="2">
        <v>0.53150572831423804</v>
      </c>
      <c r="E20432" s="2">
        <v>0.67672131147540904</v>
      </c>
      <c r="F20432" s="2">
        <v>0.44411035789780501</v>
      </c>
    </row>
    <row r="20433" spans="1:6" x14ac:dyDescent="0.25">
      <c r="A20433" s="1" t="str">
        <f t="shared" si="760"/>
        <v>32420</v>
      </c>
      <c r="B20433" s="1" t="str">
        <f>"00623"</f>
        <v>00623</v>
      </c>
      <c r="C20433" s="2">
        <v>2.6824587829890801E-4</v>
      </c>
      <c r="D20433" s="2">
        <v>0</v>
      </c>
      <c r="E20433" s="2">
        <v>0</v>
      </c>
      <c r="F20433" s="2">
        <v>2.3689773307092299E-4</v>
      </c>
    </row>
    <row r="20434" spans="1:6" x14ac:dyDescent="0.25">
      <c r="A20434" s="1" t="str">
        <f t="shared" si="760"/>
        <v>32420</v>
      </c>
      <c r="B20434" s="1" t="str">
        <f>"00682"</f>
        <v>00682</v>
      </c>
      <c r="C20434" s="2">
        <v>0.28184388089883</v>
      </c>
      <c r="D20434" s="2">
        <v>0.248977086743044</v>
      </c>
      <c r="E20434" s="2">
        <v>0.241967213114754</v>
      </c>
      <c r="F20434" s="2">
        <v>0.27780814928201703</v>
      </c>
    </row>
    <row r="20435" spans="1:6" x14ac:dyDescent="0.25">
      <c r="A20435" s="1" t="str">
        <f t="shared" si="760"/>
        <v>32420</v>
      </c>
      <c r="B20435" s="1" t="str">
        <f>"00670"</f>
        <v>00670</v>
      </c>
      <c r="C20435" s="2">
        <v>6.1985432185378497E-2</v>
      </c>
      <c r="D20435" s="2">
        <v>2.47545008183306E-2</v>
      </c>
      <c r="E20435" s="2">
        <v>2.2950819672131102E-2</v>
      </c>
      <c r="F20435" s="2">
        <v>5.7584372038778302E-2</v>
      </c>
    </row>
    <row r="20436" spans="1:6" x14ac:dyDescent="0.25">
      <c r="A20436" s="1" t="str">
        <f t="shared" ref="A20436:A20454" si="761">"32460"</f>
        <v>32460</v>
      </c>
      <c r="B20436" s="1" t="str">
        <f>"42085"</f>
        <v>42085</v>
      </c>
      <c r="C20436" s="2">
        <v>2.0637898686679101E-2</v>
      </c>
      <c r="D20436" s="2">
        <v>8.6355785837651106E-3</v>
      </c>
      <c r="E20436" s="2">
        <v>2.6109660574412498E-3</v>
      </c>
      <c r="F20436" s="2">
        <v>1.9550444328280101E-2</v>
      </c>
    </row>
    <row r="20437" spans="1:6" x14ac:dyDescent="0.25">
      <c r="A20437" s="1" t="str">
        <f t="shared" si="761"/>
        <v>32460</v>
      </c>
      <c r="B20437" s="1" t="str">
        <f>"42049"</f>
        <v>42049</v>
      </c>
      <c r="C20437" s="2">
        <v>5.6853715390300702E-5</v>
      </c>
      <c r="D20437" s="2">
        <v>0</v>
      </c>
      <c r="E20437" s="2">
        <v>0</v>
      </c>
      <c r="F20437" s="2">
        <v>5.22739153162571E-5</v>
      </c>
    </row>
    <row r="20438" spans="1:6" x14ac:dyDescent="0.25">
      <c r="A20438" s="1" t="str">
        <f t="shared" si="761"/>
        <v>32460</v>
      </c>
      <c r="B20438" s="1" t="str">
        <f>"42035"</f>
        <v>42035</v>
      </c>
      <c r="C20438" s="2">
        <v>3.8091989311501498E-3</v>
      </c>
      <c r="D20438" s="2">
        <v>1.72711571675302E-3</v>
      </c>
      <c r="E20438" s="2">
        <v>7.8328981723237504E-3</v>
      </c>
      <c r="F20438" s="2">
        <v>3.7637219027705101E-3</v>
      </c>
    </row>
    <row r="20439" spans="1:6" x14ac:dyDescent="0.25">
      <c r="A20439" s="1" t="str">
        <f t="shared" si="761"/>
        <v>32460</v>
      </c>
      <c r="B20439" s="1" t="str">
        <f>"42069"</f>
        <v>42069</v>
      </c>
      <c r="C20439" s="2">
        <v>2.1661265563704499E-2</v>
      </c>
      <c r="D20439" s="2">
        <v>7.7720207253886E-3</v>
      </c>
      <c r="E20439" s="2">
        <v>0</v>
      </c>
      <c r="F20439" s="2">
        <v>2.0386826973340301E-2</v>
      </c>
    </row>
    <row r="20440" spans="1:6" x14ac:dyDescent="0.25">
      <c r="A20440" s="1" t="str">
        <f t="shared" si="761"/>
        <v>32460</v>
      </c>
      <c r="B20440" s="1" t="str">
        <f>"42051"</f>
        <v>42051</v>
      </c>
      <c r="C20440" s="2">
        <v>8.1414520438910606E-2</v>
      </c>
      <c r="D20440" s="2">
        <v>3.02245250431778E-2</v>
      </c>
      <c r="E20440" s="2">
        <v>1.0443864229764999E-2</v>
      </c>
      <c r="F20440" s="2">
        <v>7.6894929430214295E-2</v>
      </c>
    </row>
    <row r="20441" spans="1:6" x14ac:dyDescent="0.25">
      <c r="A20441" s="1" t="str">
        <f t="shared" si="761"/>
        <v>32460</v>
      </c>
      <c r="B20441" s="1" t="str">
        <f>"42040"</f>
        <v>42040</v>
      </c>
      <c r="C20441" s="2">
        <v>1.84206037864574E-2</v>
      </c>
      <c r="D20441" s="2">
        <v>9.4991364421416202E-3</v>
      </c>
      <c r="E20441" s="2">
        <v>3.1331592689295001E-2</v>
      </c>
      <c r="F20441" s="2">
        <v>1.81390486147412E-2</v>
      </c>
    </row>
    <row r="20442" spans="1:6" x14ac:dyDescent="0.25">
      <c r="A20442" s="1" t="str">
        <f t="shared" si="761"/>
        <v>32460</v>
      </c>
      <c r="B20442" s="1" t="str">
        <f>"42061"</f>
        <v>42061</v>
      </c>
      <c r="C20442" s="2">
        <v>0</v>
      </c>
      <c r="D20442" s="2">
        <v>0</v>
      </c>
      <c r="E20442" s="2">
        <v>2.6109660574412498E-3</v>
      </c>
      <c r="F20442" s="2">
        <v>5.22739153162571E-5</v>
      </c>
    </row>
    <row r="20443" spans="1:6" x14ac:dyDescent="0.25">
      <c r="A20443" s="1" t="str">
        <f t="shared" si="761"/>
        <v>32460</v>
      </c>
      <c r="B20443" s="1" t="str">
        <f>"42079"</f>
        <v>42079</v>
      </c>
      <c r="C20443" s="2">
        <v>3.7978281880720902E-2</v>
      </c>
      <c r="D20443" s="2">
        <v>1.46804835924006E-2</v>
      </c>
      <c r="E20443" s="2">
        <v>7.8328981723237504E-3</v>
      </c>
      <c r="F20443" s="2">
        <v>3.5964453737584903E-2</v>
      </c>
    </row>
    <row r="20444" spans="1:6" x14ac:dyDescent="0.25">
      <c r="A20444" s="1" t="str">
        <f t="shared" si="761"/>
        <v>32460</v>
      </c>
      <c r="B20444" s="1" t="str">
        <f>"42071"</f>
        <v>42071</v>
      </c>
      <c r="C20444" s="2">
        <v>3.9797600773210502E-4</v>
      </c>
      <c r="D20444" s="2">
        <v>0</v>
      </c>
      <c r="E20444" s="2">
        <v>0</v>
      </c>
      <c r="F20444" s="2">
        <v>3.6591740721380001E-4</v>
      </c>
    </row>
    <row r="20445" spans="1:6" x14ac:dyDescent="0.25">
      <c r="A20445" s="1" t="str">
        <f t="shared" si="761"/>
        <v>32460</v>
      </c>
      <c r="B20445" s="1" t="str">
        <f>"42054"</f>
        <v>42054</v>
      </c>
      <c r="C20445" s="2">
        <v>1.2507817385866099E-3</v>
      </c>
      <c r="D20445" s="2">
        <v>0</v>
      </c>
      <c r="E20445" s="2">
        <v>0</v>
      </c>
      <c r="F20445" s="2">
        <v>1.15002613695765E-3</v>
      </c>
    </row>
    <row r="20446" spans="1:6" x14ac:dyDescent="0.25">
      <c r="A20446" s="1" t="str">
        <f t="shared" si="761"/>
        <v>32460</v>
      </c>
      <c r="B20446" s="1" t="str">
        <f>"42003"</f>
        <v>42003</v>
      </c>
      <c r="C20446" s="2">
        <v>5.6853715390300702E-5</v>
      </c>
      <c r="D20446" s="2">
        <v>0</v>
      </c>
      <c r="E20446" s="2">
        <v>0</v>
      </c>
      <c r="F20446" s="2">
        <v>5.22739153162571E-5</v>
      </c>
    </row>
    <row r="20447" spans="1:6" x14ac:dyDescent="0.25">
      <c r="A20447" s="1" t="str">
        <f t="shared" si="761"/>
        <v>32460</v>
      </c>
      <c r="B20447" s="1" t="str">
        <f>"42088"</f>
        <v>42088</v>
      </c>
      <c r="C20447" s="2">
        <v>6.3448746375575599E-2</v>
      </c>
      <c r="D20447" s="2">
        <v>1.55440414507772E-2</v>
      </c>
      <c r="E20447" s="2">
        <v>9.3994778067885101E-2</v>
      </c>
      <c r="F20447" s="2">
        <v>6.1160480920020903E-2</v>
      </c>
    </row>
    <row r="20448" spans="1:6" x14ac:dyDescent="0.25">
      <c r="A20448" s="1" t="str">
        <f t="shared" si="761"/>
        <v>32460</v>
      </c>
      <c r="B20448" s="1" t="str">
        <f>"42063"</f>
        <v>42063</v>
      </c>
      <c r="C20448" s="2">
        <v>0</v>
      </c>
      <c r="D20448" s="2">
        <v>0</v>
      </c>
      <c r="E20448" s="2">
        <v>2.6109660574412498E-3</v>
      </c>
      <c r="F20448" s="2">
        <v>5.22739153162571E-5</v>
      </c>
    </row>
    <row r="20449" spans="1:6" x14ac:dyDescent="0.25">
      <c r="A20449" s="1" t="str">
        <f t="shared" si="761"/>
        <v>32460</v>
      </c>
      <c r="B20449" s="1" t="str">
        <f>"42082"</f>
        <v>42082</v>
      </c>
      <c r="C20449" s="2">
        <v>4.2640286542725503E-2</v>
      </c>
      <c r="D20449" s="2">
        <v>2.67702936096718E-2</v>
      </c>
      <c r="E20449" s="2">
        <v>5.2219321148824997E-3</v>
      </c>
      <c r="F20449" s="2">
        <v>4.0930475692629302E-2</v>
      </c>
    </row>
    <row r="20450" spans="1:6" x14ac:dyDescent="0.25">
      <c r="A20450" s="1" t="str">
        <f t="shared" si="761"/>
        <v>32460</v>
      </c>
      <c r="B20450" s="1" t="str">
        <f>"42041"</f>
        <v>42041</v>
      </c>
      <c r="C20450" s="2">
        <v>1.57484791631133E-2</v>
      </c>
      <c r="D20450" s="2">
        <v>6.9084628670120799E-3</v>
      </c>
      <c r="E20450" s="2">
        <v>2.6109660574412498E-3</v>
      </c>
      <c r="F20450" s="2">
        <v>1.49503397804495E-2</v>
      </c>
    </row>
    <row r="20451" spans="1:6" x14ac:dyDescent="0.25">
      <c r="A20451" s="1" t="str">
        <f t="shared" si="761"/>
        <v>32460</v>
      </c>
      <c r="B20451" s="1" t="str">
        <f>"42025"</f>
        <v>42025</v>
      </c>
      <c r="C20451" s="2">
        <v>2.7289783387344298E-3</v>
      </c>
      <c r="D20451" s="2">
        <v>8.6355785837651097E-4</v>
      </c>
      <c r="E20451" s="2">
        <v>0</v>
      </c>
      <c r="F20451" s="2">
        <v>2.5614218504966002E-3</v>
      </c>
    </row>
    <row r="20452" spans="1:6" x14ac:dyDescent="0.25">
      <c r="A20452" s="1" t="str">
        <f t="shared" si="761"/>
        <v>32460</v>
      </c>
      <c r="B20452" s="1" t="str">
        <f>"42027"</f>
        <v>42027</v>
      </c>
      <c r="C20452" s="2">
        <v>4.5710387173801798E-2</v>
      </c>
      <c r="D20452" s="2">
        <v>1.3816925734024099E-2</v>
      </c>
      <c r="E20452" s="2">
        <v>5.2219321148824997E-3</v>
      </c>
      <c r="F20452" s="2">
        <v>4.2969158389963402E-2</v>
      </c>
    </row>
    <row r="20453" spans="1:6" x14ac:dyDescent="0.25">
      <c r="A20453" s="1" t="str">
        <f t="shared" si="761"/>
        <v>32460</v>
      </c>
      <c r="B20453" s="1" t="str">
        <f>"42066"</f>
        <v>42066</v>
      </c>
      <c r="C20453" s="2">
        <v>0.615214054238444</v>
      </c>
      <c r="D20453" s="2">
        <v>0.85492227979274604</v>
      </c>
      <c r="E20453" s="2">
        <v>0.73107049608355001</v>
      </c>
      <c r="F20453" s="2">
        <v>0.63204391008886496</v>
      </c>
    </row>
    <row r="20454" spans="1:6" x14ac:dyDescent="0.25">
      <c r="A20454" s="1" t="str">
        <f t="shared" si="761"/>
        <v>32460</v>
      </c>
      <c r="B20454" s="1" t="str">
        <f>"42039"</f>
        <v>42039</v>
      </c>
      <c r="C20454" s="2">
        <v>2.8824833702882399E-2</v>
      </c>
      <c r="D20454" s="2">
        <v>8.6355785837651106E-3</v>
      </c>
      <c r="E20454" s="2">
        <v>9.6605744125326298E-2</v>
      </c>
      <c r="F20454" s="2">
        <v>2.8959749085206401E-2</v>
      </c>
    </row>
    <row r="20455" spans="1:6" x14ac:dyDescent="0.25">
      <c r="A20455" s="1" t="str">
        <f t="shared" ref="A20455:A20463" si="762">"32500"</f>
        <v>32500</v>
      </c>
      <c r="B20455" s="1" t="str">
        <f>"41056"</f>
        <v>41056</v>
      </c>
      <c r="C20455" s="2">
        <v>0.83042680128499302</v>
      </c>
      <c r="D20455" s="2">
        <v>0.95855472901168903</v>
      </c>
      <c r="E20455" s="2">
        <v>0.97388059701492502</v>
      </c>
      <c r="F20455" s="2">
        <v>0.84644836272040302</v>
      </c>
    </row>
    <row r="20456" spans="1:6" x14ac:dyDescent="0.25">
      <c r="A20456" s="1" t="str">
        <f t="shared" si="762"/>
        <v>32500</v>
      </c>
      <c r="B20456" s="1" t="str">
        <f>"41002"</f>
        <v>41002</v>
      </c>
      <c r="C20456" s="2">
        <v>1.7209729233593301E-3</v>
      </c>
      <c r="D20456" s="2">
        <v>0</v>
      </c>
      <c r="E20456" s="2">
        <v>0</v>
      </c>
      <c r="F20456" s="2">
        <v>1.5113350125944499E-3</v>
      </c>
    </row>
    <row r="20457" spans="1:6" x14ac:dyDescent="0.25">
      <c r="A20457" s="1" t="str">
        <f t="shared" si="762"/>
        <v>32500</v>
      </c>
      <c r="B20457" s="1" t="str">
        <f>"41039"</f>
        <v>41039</v>
      </c>
      <c r="C20457" s="2">
        <v>1.14731528223955E-3</v>
      </c>
      <c r="D20457" s="2">
        <v>0</v>
      </c>
      <c r="E20457" s="2">
        <v>0</v>
      </c>
      <c r="F20457" s="2">
        <v>1.0075566750629701E-3</v>
      </c>
    </row>
    <row r="20458" spans="1:6" x14ac:dyDescent="0.25">
      <c r="A20458" s="1" t="str">
        <f t="shared" si="762"/>
        <v>32500</v>
      </c>
      <c r="B20458" s="1" t="str">
        <f>"41041"</f>
        <v>41041</v>
      </c>
      <c r="C20458" s="2">
        <v>2.29463056447911E-4</v>
      </c>
      <c r="D20458" s="2">
        <v>0</v>
      </c>
      <c r="E20458" s="2">
        <v>0</v>
      </c>
      <c r="F20458" s="2">
        <v>2.01511335012594E-4</v>
      </c>
    </row>
    <row r="20459" spans="1:6" x14ac:dyDescent="0.25">
      <c r="A20459" s="1" t="str">
        <f t="shared" si="762"/>
        <v>32500</v>
      </c>
      <c r="B20459" s="1" t="str">
        <f>"41044"</f>
        <v>41044</v>
      </c>
      <c r="C20459" s="2">
        <v>2.4323083983478599E-2</v>
      </c>
      <c r="D20459" s="2">
        <v>1.06269925611052E-3</v>
      </c>
      <c r="E20459" s="2">
        <v>0</v>
      </c>
      <c r="F20459" s="2">
        <v>2.1460957178841299E-2</v>
      </c>
    </row>
    <row r="20460" spans="1:6" x14ac:dyDescent="0.25">
      <c r="A20460" s="1" t="str">
        <f t="shared" si="762"/>
        <v>32500</v>
      </c>
      <c r="B20460" s="1" t="str">
        <f>"41055"</f>
        <v>41055</v>
      </c>
      <c r="C20460" s="2">
        <v>9.3735658558971993E-2</v>
      </c>
      <c r="D20460" s="2">
        <v>3.1880977683315603E-2</v>
      </c>
      <c r="E20460" s="2">
        <v>1.11940298507462E-2</v>
      </c>
      <c r="F20460" s="2">
        <v>8.5642317380352606E-2</v>
      </c>
    </row>
    <row r="20461" spans="1:6" x14ac:dyDescent="0.25">
      <c r="A20461" s="1" t="str">
        <f t="shared" si="762"/>
        <v>32500</v>
      </c>
      <c r="B20461" s="1" t="str">
        <f>"41062"</f>
        <v>41062</v>
      </c>
      <c r="C20461" s="2">
        <v>0</v>
      </c>
      <c r="D20461" s="2">
        <v>0</v>
      </c>
      <c r="E20461" s="2">
        <v>3.7313432835820799E-3</v>
      </c>
      <c r="F20461" s="2">
        <v>1.00755667506297E-4</v>
      </c>
    </row>
    <row r="20462" spans="1:6" x14ac:dyDescent="0.25">
      <c r="A20462" s="1" t="str">
        <f t="shared" si="762"/>
        <v>32500</v>
      </c>
      <c r="B20462" s="1" t="str">
        <f>"41034"</f>
        <v>41034</v>
      </c>
      <c r="C20462" s="2">
        <v>4.8416704910509402E-2</v>
      </c>
      <c r="D20462" s="2">
        <v>8.5015940488841601E-3</v>
      </c>
      <c r="E20462" s="2">
        <v>7.4626865671641703E-3</v>
      </c>
      <c r="F20462" s="2">
        <v>4.3526448362720398E-2</v>
      </c>
    </row>
    <row r="20463" spans="1:6" x14ac:dyDescent="0.25">
      <c r="A20463" s="1" t="str">
        <f t="shared" si="762"/>
        <v>32500</v>
      </c>
      <c r="B20463" s="1" t="str">
        <f>"41096"</f>
        <v>41096</v>
      </c>
      <c r="C20463" s="2">
        <v>0</v>
      </c>
      <c r="D20463" s="2">
        <v>0</v>
      </c>
      <c r="E20463" s="2">
        <v>3.7313432835820799E-3</v>
      </c>
      <c r="F20463" s="2">
        <v>1.00755667506297E-4</v>
      </c>
    </row>
    <row r="20464" spans="1:6" x14ac:dyDescent="0.25">
      <c r="A20464" s="1" t="str">
        <f t="shared" ref="A20464:A20482" si="763">"32540"</f>
        <v>32540</v>
      </c>
      <c r="B20464" s="1" t="str">
        <f>"74432"</f>
        <v>74432</v>
      </c>
      <c r="C20464" s="2">
        <v>7.28785028220615E-2</v>
      </c>
      <c r="D20464" s="2">
        <v>2.44580322401334E-2</v>
      </c>
      <c r="E20464" s="2">
        <v>4.6728971962616802E-3</v>
      </c>
      <c r="F20464" s="2">
        <v>6.7692307692307593E-2</v>
      </c>
    </row>
    <row r="20465" spans="1:6" x14ac:dyDescent="0.25">
      <c r="A20465" s="1" t="str">
        <f t="shared" si="763"/>
        <v>32540</v>
      </c>
      <c r="B20465" s="1" t="str">
        <f>"74554"</f>
        <v>74554</v>
      </c>
      <c r="C20465" s="2">
        <v>1.4852955738191899E-4</v>
      </c>
      <c r="D20465" s="2">
        <v>0</v>
      </c>
      <c r="E20465" s="2">
        <v>2.3364485981308401E-3</v>
      </c>
      <c r="F20465" s="2">
        <v>1.7837235228539499E-4</v>
      </c>
    </row>
    <row r="20466" spans="1:6" x14ac:dyDescent="0.25">
      <c r="A20466" s="1" t="str">
        <f t="shared" si="763"/>
        <v>32540</v>
      </c>
      <c r="B20466" s="1" t="str">
        <f>"74462"</f>
        <v>74462</v>
      </c>
      <c r="C20466" s="2">
        <v>2.4507376968016598E-2</v>
      </c>
      <c r="D20466" s="2">
        <v>1.6675931072818199E-3</v>
      </c>
      <c r="E20466" s="2">
        <v>4.6728971962616802E-3</v>
      </c>
      <c r="F20466" s="2">
        <v>2.2296544035674399E-2</v>
      </c>
    </row>
    <row r="20467" spans="1:6" x14ac:dyDescent="0.25">
      <c r="A20467" s="1" t="str">
        <f t="shared" si="763"/>
        <v>32540</v>
      </c>
      <c r="B20467" s="1" t="str">
        <f>"74501"</f>
        <v>74501</v>
      </c>
      <c r="C20467" s="2">
        <v>0.68526586790771304</v>
      </c>
      <c r="D20467" s="2">
        <v>0.84769316286826002</v>
      </c>
      <c r="E20467" s="2">
        <v>0.90887850467289699</v>
      </c>
      <c r="F20467" s="2">
        <v>0.70256410256410196</v>
      </c>
    </row>
    <row r="20468" spans="1:6" x14ac:dyDescent="0.25">
      <c r="A20468" s="1" t="str">
        <f t="shared" si="763"/>
        <v>32540</v>
      </c>
      <c r="B20468" s="1" t="str">
        <f>"74442"</f>
        <v>74442</v>
      </c>
      <c r="C20468" s="2">
        <v>2.2824041984354799E-2</v>
      </c>
      <c r="D20468" s="2">
        <v>6.1145080600333501E-3</v>
      </c>
      <c r="E20468" s="2">
        <v>2.3364485981308401E-3</v>
      </c>
      <c r="F20468" s="2">
        <v>2.1092530657748E-2</v>
      </c>
    </row>
    <row r="20469" spans="1:6" x14ac:dyDescent="0.25">
      <c r="A20469" s="1" t="str">
        <f t="shared" si="763"/>
        <v>32540</v>
      </c>
      <c r="B20469" s="1" t="str">
        <f>"74425"</f>
        <v>74425</v>
      </c>
      <c r="C20469" s="2">
        <v>3.7033369640558401E-2</v>
      </c>
      <c r="D20469" s="2">
        <v>8.8938299055030499E-3</v>
      </c>
      <c r="E20469" s="2">
        <v>2.3364485981308401E-3</v>
      </c>
      <c r="F20469" s="2">
        <v>3.4113712374581898E-2</v>
      </c>
    </row>
    <row r="20470" spans="1:6" x14ac:dyDescent="0.25">
      <c r="A20470" s="1" t="str">
        <f t="shared" si="763"/>
        <v>32540</v>
      </c>
      <c r="B20470" s="1" t="str">
        <f>"74565"</f>
        <v>74565</v>
      </c>
      <c r="C20470" s="2">
        <v>9.9019704921279303E-5</v>
      </c>
      <c r="D20470" s="2">
        <v>0</v>
      </c>
      <c r="E20470" s="2">
        <v>2.3364485981308401E-3</v>
      </c>
      <c r="F20470" s="2">
        <v>1.3377926421404601E-4</v>
      </c>
    </row>
    <row r="20471" spans="1:6" x14ac:dyDescent="0.25">
      <c r="A20471" s="1" t="str">
        <f t="shared" si="763"/>
        <v>32540</v>
      </c>
      <c r="B20471" s="1" t="str">
        <f>"74430"</f>
        <v>74430</v>
      </c>
      <c r="C20471" s="2">
        <v>5.4460837706703604E-4</v>
      </c>
      <c r="D20471" s="2">
        <v>0</v>
      </c>
      <c r="E20471" s="2">
        <v>2.3364485981308401E-3</v>
      </c>
      <c r="F20471" s="2">
        <v>5.3511705685618696E-4</v>
      </c>
    </row>
    <row r="20472" spans="1:6" x14ac:dyDescent="0.25">
      <c r="A20472" s="1" t="str">
        <f t="shared" si="763"/>
        <v>32540</v>
      </c>
      <c r="B20472" s="1" t="str">
        <f>"74536"</f>
        <v>74536</v>
      </c>
      <c r="C20472" s="2">
        <v>1.2872561639766301E-3</v>
      </c>
      <c r="D20472" s="2">
        <v>0</v>
      </c>
      <c r="E20472" s="2">
        <v>0</v>
      </c>
      <c r="F20472" s="2">
        <v>1.15942028985507E-3</v>
      </c>
    </row>
    <row r="20473" spans="1:6" x14ac:dyDescent="0.25">
      <c r="A20473" s="1" t="str">
        <f t="shared" si="763"/>
        <v>32540</v>
      </c>
      <c r="B20473" s="1" t="str">
        <f>"74529"</f>
        <v>74529</v>
      </c>
      <c r="C20473" s="2">
        <v>2.07941380334686E-3</v>
      </c>
      <c r="D20473" s="2">
        <v>5.5586436909394095E-4</v>
      </c>
      <c r="E20473" s="2">
        <v>0</v>
      </c>
      <c r="F20473" s="2">
        <v>1.9175027870679999E-3</v>
      </c>
    </row>
    <row r="20474" spans="1:6" x14ac:dyDescent="0.25">
      <c r="A20474" s="1" t="str">
        <f t="shared" si="763"/>
        <v>32540</v>
      </c>
      <c r="B20474" s="1" t="str">
        <f>"74547"</f>
        <v>74547</v>
      </c>
      <c r="C20474" s="2">
        <v>8.0849589068224495E-2</v>
      </c>
      <c r="D20474" s="2">
        <v>9.0605892162312296E-2</v>
      </c>
      <c r="E20474" s="2">
        <v>3.9719626168224199E-2</v>
      </c>
      <c r="F20474" s="2">
        <v>8.0847268673355593E-2</v>
      </c>
    </row>
    <row r="20475" spans="1:6" x14ac:dyDescent="0.25">
      <c r="A20475" s="1" t="str">
        <f t="shared" si="763"/>
        <v>32540</v>
      </c>
      <c r="B20475" s="1" t="str">
        <f>"74560"</f>
        <v>74560</v>
      </c>
      <c r="C20475" s="2">
        <v>9.9514803445885699E-3</v>
      </c>
      <c r="D20475" s="2">
        <v>2.2234574763757599E-3</v>
      </c>
      <c r="E20475" s="2">
        <v>2.3364485981308401E-3</v>
      </c>
      <c r="F20475" s="2">
        <v>9.1861761426978803E-3</v>
      </c>
    </row>
    <row r="20476" spans="1:6" x14ac:dyDescent="0.25">
      <c r="A20476" s="1" t="str">
        <f t="shared" si="763"/>
        <v>32540</v>
      </c>
      <c r="B20476" s="1" t="str">
        <f>"74576"</f>
        <v>74576</v>
      </c>
      <c r="C20476" s="2">
        <v>8.2186355084661808E-3</v>
      </c>
      <c r="D20476" s="2">
        <v>5.5586436909394095E-4</v>
      </c>
      <c r="E20476" s="2">
        <v>2.3364485981308401E-3</v>
      </c>
      <c r="F20476" s="2">
        <v>7.4916387959866196E-3</v>
      </c>
    </row>
    <row r="20477" spans="1:6" x14ac:dyDescent="0.25">
      <c r="A20477" s="1" t="str">
        <f t="shared" si="763"/>
        <v>32540</v>
      </c>
      <c r="B20477" s="1" t="str">
        <f>"74546"</f>
        <v>74546</v>
      </c>
      <c r="C20477" s="2">
        <v>1.4852955738191899E-4</v>
      </c>
      <c r="D20477" s="2">
        <v>0</v>
      </c>
      <c r="E20477" s="2">
        <v>2.3364485981308401E-3</v>
      </c>
      <c r="F20477" s="2">
        <v>1.7837235228539499E-4</v>
      </c>
    </row>
    <row r="20478" spans="1:6" x14ac:dyDescent="0.25">
      <c r="A20478" s="1" t="str">
        <f t="shared" si="763"/>
        <v>32540</v>
      </c>
      <c r="B20478" s="1" t="str">
        <f>"74553"</f>
        <v>74553</v>
      </c>
      <c r="C20478" s="2">
        <v>2.64382612139815E-2</v>
      </c>
      <c r="D20478" s="2">
        <v>9.4496942745969908E-3</v>
      </c>
      <c r="E20478" s="2">
        <v>1.4018691588785E-2</v>
      </c>
      <c r="F20478" s="2">
        <v>2.4838350055741299E-2</v>
      </c>
    </row>
    <row r="20479" spans="1:6" x14ac:dyDescent="0.25">
      <c r="A20479" s="1" t="str">
        <f t="shared" si="763"/>
        <v>32540</v>
      </c>
      <c r="B20479" s="1" t="str">
        <f>"74522"</f>
        <v>74522</v>
      </c>
      <c r="C20479" s="2">
        <v>9.9019704921279303E-5</v>
      </c>
      <c r="D20479" s="2">
        <v>0</v>
      </c>
      <c r="E20479" s="2">
        <v>2.3364485981308401E-3</v>
      </c>
      <c r="F20479" s="2">
        <v>1.3377926421404601E-4</v>
      </c>
    </row>
    <row r="20480" spans="1:6" x14ac:dyDescent="0.25">
      <c r="A20480" s="1" t="str">
        <f t="shared" si="763"/>
        <v>32540</v>
      </c>
      <c r="B20480" s="1" t="str">
        <f>"74528"</f>
        <v>74528</v>
      </c>
      <c r="C20480" s="2">
        <v>1.33676601643727E-3</v>
      </c>
      <c r="D20480" s="2">
        <v>1.1117287381878799E-3</v>
      </c>
      <c r="E20480" s="2">
        <v>0</v>
      </c>
      <c r="F20480" s="2">
        <v>1.2931995540691099E-3</v>
      </c>
    </row>
    <row r="20481" spans="1:6" x14ac:dyDescent="0.25">
      <c r="A20481" s="1" t="str">
        <f t="shared" si="763"/>
        <v>32540</v>
      </c>
      <c r="B20481" s="1" t="str">
        <f>"74561"</f>
        <v>74561</v>
      </c>
      <c r="C20481" s="2">
        <v>1.16843251807109E-2</v>
      </c>
      <c r="D20481" s="2">
        <v>4.4469149527515198E-3</v>
      </c>
      <c r="E20481" s="2">
        <v>2.3364485981308401E-3</v>
      </c>
      <c r="F20481" s="2">
        <v>1.09253065774804E-2</v>
      </c>
    </row>
    <row r="20482" spans="1:6" x14ac:dyDescent="0.25">
      <c r="A20482" s="1" t="str">
        <f t="shared" si="763"/>
        <v>32540</v>
      </c>
      <c r="B20482" s="1" t="str">
        <f>"74570"</f>
        <v>74570</v>
      </c>
      <c r="C20482" s="2">
        <v>1.46054064758887E-2</v>
      </c>
      <c r="D20482" s="2">
        <v>2.2234574763757599E-3</v>
      </c>
      <c r="E20482" s="2">
        <v>4.6728971962616802E-3</v>
      </c>
      <c r="F20482" s="2">
        <v>1.3422519509476E-2</v>
      </c>
    </row>
    <row r="20483" spans="1:6" x14ac:dyDescent="0.25">
      <c r="A20483" s="1" t="str">
        <f t="shared" ref="A20483:A20516" si="764">"32580"</f>
        <v>32580</v>
      </c>
      <c r="B20483" s="1" t="str">
        <f>"78572"</f>
        <v>78572</v>
      </c>
      <c r="C20483" s="2">
        <v>0.111609015844677</v>
      </c>
      <c r="D20483" s="2">
        <v>9.4560446867934494E-2</v>
      </c>
      <c r="E20483" s="2">
        <v>8.1569042578216802E-2</v>
      </c>
      <c r="F20483" s="2">
        <v>0.10893763620466899</v>
      </c>
    </row>
    <row r="20484" spans="1:6" x14ac:dyDescent="0.25">
      <c r="A20484" s="1" t="str">
        <f t="shared" si="764"/>
        <v>32580</v>
      </c>
      <c r="B20484" s="1" t="str">
        <f>"78540"</f>
        <v>78540</v>
      </c>
      <c r="C20484" s="2">
        <v>8.3552778397679005E-3</v>
      </c>
      <c r="D20484" s="2">
        <v>1.7422529591701E-2</v>
      </c>
      <c r="E20484" s="2">
        <v>1.1761938367442901E-4</v>
      </c>
      <c r="F20484" s="2">
        <v>8.7014393652699203E-3</v>
      </c>
    </row>
    <row r="20485" spans="1:6" x14ac:dyDescent="0.25">
      <c r="A20485" s="1" t="str">
        <f t="shared" si="764"/>
        <v>32580</v>
      </c>
      <c r="B20485" s="1" t="str">
        <f>"78549"</f>
        <v>78549</v>
      </c>
      <c r="C20485" s="2">
        <v>0</v>
      </c>
      <c r="D20485" s="2">
        <v>6.64982045484771E-5</v>
      </c>
      <c r="E20485" s="2">
        <v>0</v>
      </c>
      <c r="F20485" s="2">
        <v>5.2198196552309099E-6</v>
      </c>
    </row>
    <row r="20486" spans="1:6" x14ac:dyDescent="0.25">
      <c r="A20486" s="1" t="str">
        <f t="shared" si="764"/>
        <v>32580</v>
      </c>
      <c r="B20486" s="1" t="str">
        <f>"78559"</f>
        <v>78559</v>
      </c>
      <c r="C20486" s="2">
        <v>0</v>
      </c>
      <c r="D20486" s="2">
        <v>6.64982045484771E-5</v>
      </c>
      <c r="E20486" s="2">
        <v>0</v>
      </c>
      <c r="F20486" s="2">
        <v>5.2198196552309099E-6</v>
      </c>
    </row>
    <row r="20487" spans="1:6" x14ac:dyDescent="0.25">
      <c r="A20487" s="1" t="str">
        <f t="shared" si="764"/>
        <v>32580</v>
      </c>
      <c r="B20487" s="1" t="str">
        <f>"78569"</f>
        <v>78569</v>
      </c>
      <c r="C20487" s="2">
        <v>2.9755262962136399E-5</v>
      </c>
      <c r="D20487" s="2">
        <v>6.64982045484771E-5</v>
      </c>
      <c r="E20487" s="2">
        <v>0</v>
      </c>
      <c r="F20487" s="2">
        <v>3.1318917931385397E-5</v>
      </c>
    </row>
    <row r="20488" spans="1:6" x14ac:dyDescent="0.25">
      <c r="A20488" s="1" t="str">
        <f t="shared" si="764"/>
        <v>32580</v>
      </c>
      <c r="B20488" s="1" t="str">
        <f>"78541"</f>
        <v>78541</v>
      </c>
      <c r="C20488" s="2">
        <v>4.98727962508368E-2</v>
      </c>
      <c r="D20488" s="2">
        <v>2.1545418273706599E-2</v>
      </c>
      <c r="E20488" s="2">
        <v>0.12344154316631301</v>
      </c>
      <c r="F20488" s="2">
        <v>5.0914120917122302E-2</v>
      </c>
    </row>
    <row r="20489" spans="1:6" x14ac:dyDescent="0.25">
      <c r="A20489" s="1" t="str">
        <f t="shared" si="764"/>
        <v>32580</v>
      </c>
      <c r="B20489" s="1" t="str">
        <f>"78501"</f>
        <v>78501</v>
      </c>
      <c r="C20489" s="2">
        <v>7.3412184780182896E-2</v>
      </c>
      <c r="D20489" s="2">
        <v>0.17475728155339801</v>
      </c>
      <c r="E20489" s="2">
        <v>0.14573041637261799</v>
      </c>
      <c r="F20489" s="2">
        <v>8.4576737873706398E-2</v>
      </c>
    </row>
    <row r="20490" spans="1:6" x14ac:dyDescent="0.25">
      <c r="A20490" s="1" t="str">
        <f t="shared" si="764"/>
        <v>32580</v>
      </c>
      <c r="B20490" s="1" t="str">
        <f>"78595"</f>
        <v>78595</v>
      </c>
      <c r="C20490" s="2">
        <v>3.8146247117458901E-3</v>
      </c>
      <c r="D20490" s="2">
        <v>1.13046947732411E-3</v>
      </c>
      <c r="E20490" s="2">
        <v>1.0585744530698599E-3</v>
      </c>
      <c r="F20490" s="2">
        <v>3.4816197100390098E-3</v>
      </c>
    </row>
    <row r="20491" spans="1:6" x14ac:dyDescent="0.25">
      <c r="A20491" s="1" t="str">
        <f t="shared" si="764"/>
        <v>32580</v>
      </c>
      <c r="B20491" s="1" t="str">
        <f>"78538"</f>
        <v>78538</v>
      </c>
      <c r="C20491" s="2">
        <v>9.0009670460462592E-3</v>
      </c>
      <c r="D20491" s="2">
        <v>5.3198563638781702E-4</v>
      </c>
      <c r="E20491" s="2">
        <v>1.4114326040931501E-3</v>
      </c>
      <c r="F20491" s="2">
        <v>7.9993736216413692E-3</v>
      </c>
    </row>
    <row r="20492" spans="1:6" x14ac:dyDescent="0.25">
      <c r="A20492" s="1" t="str">
        <f t="shared" si="764"/>
        <v>32580</v>
      </c>
      <c r="B20492" s="1" t="str">
        <f>"78504"</f>
        <v>78504</v>
      </c>
      <c r="C20492" s="2">
        <v>6.5259242728557598E-2</v>
      </c>
      <c r="D20492" s="2">
        <v>9.5358425322516205E-2</v>
      </c>
      <c r="E20492" s="2">
        <v>6.73370971536109E-2</v>
      </c>
      <c r="F20492" s="2">
        <v>6.7714110477483005E-2</v>
      </c>
    </row>
    <row r="20493" spans="1:6" x14ac:dyDescent="0.25">
      <c r="A20493" s="1" t="str">
        <f t="shared" si="764"/>
        <v>32580</v>
      </c>
      <c r="B20493" s="1" t="str">
        <f>"78558"</f>
        <v>78558</v>
      </c>
      <c r="C20493" s="2">
        <v>0</v>
      </c>
      <c r="D20493" s="2">
        <v>6.64982045484771E-5</v>
      </c>
      <c r="E20493" s="2">
        <v>0</v>
      </c>
      <c r="F20493" s="2">
        <v>5.2198196552309099E-6</v>
      </c>
    </row>
    <row r="20494" spans="1:6" x14ac:dyDescent="0.25">
      <c r="A20494" s="1" t="str">
        <f t="shared" si="764"/>
        <v>32580</v>
      </c>
      <c r="B20494" s="1" t="str">
        <f>"78562"</f>
        <v>78562</v>
      </c>
      <c r="C20494" s="2">
        <v>2.9755262962136402E-6</v>
      </c>
      <c r="D20494" s="2">
        <v>6.64982045484771E-5</v>
      </c>
      <c r="E20494" s="2">
        <v>5.8809691837214699E-5</v>
      </c>
      <c r="F20494" s="2">
        <v>1.0439639310461799E-5</v>
      </c>
    </row>
    <row r="20495" spans="1:6" x14ac:dyDescent="0.25">
      <c r="A20495" s="1" t="str">
        <f t="shared" si="764"/>
        <v>32580</v>
      </c>
      <c r="B20495" s="1" t="str">
        <f>"78542"</f>
        <v>78542</v>
      </c>
      <c r="C20495" s="2">
        <v>7.3322918991296504E-2</v>
      </c>
      <c r="D20495" s="2">
        <v>2.3773108126080501E-2</v>
      </c>
      <c r="E20495" s="2">
        <v>4.3342742884027202E-2</v>
      </c>
      <c r="F20495" s="2">
        <v>6.8102987041797694E-2</v>
      </c>
    </row>
    <row r="20496" spans="1:6" x14ac:dyDescent="0.25">
      <c r="A20496" s="1" t="str">
        <f t="shared" si="764"/>
        <v>32580</v>
      </c>
      <c r="B20496" s="1" t="str">
        <f>"78560"</f>
        <v>78560</v>
      </c>
      <c r="C20496" s="2">
        <v>4.4632894443204603E-3</v>
      </c>
      <c r="D20496" s="2">
        <v>5.4196036707008901E-3</v>
      </c>
      <c r="E20496" s="2">
        <v>7.4688308633262699E-3</v>
      </c>
      <c r="F20496" s="2">
        <v>4.6717385914316597E-3</v>
      </c>
    </row>
    <row r="20497" spans="1:6" x14ac:dyDescent="0.25">
      <c r="A20497" s="1" t="str">
        <f t="shared" si="764"/>
        <v>32580</v>
      </c>
      <c r="B20497" s="1" t="str">
        <f>"78576"</f>
        <v>78576</v>
      </c>
      <c r="C20497" s="2">
        <v>1.48657293758833E-2</v>
      </c>
      <c r="D20497" s="2">
        <v>5.9848384093629404E-3</v>
      </c>
      <c r="E20497" s="2">
        <v>6.3514467184191898E-3</v>
      </c>
      <c r="F20497" s="2">
        <v>1.3790763529120001E-2</v>
      </c>
    </row>
    <row r="20498" spans="1:6" x14ac:dyDescent="0.25">
      <c r="A20498" s="1" t="str">
        <f t="shared" si="764"/>
        <v>32580</v>
      </c>
      <c r="B20498" s="1" t="str">
        <f>"78579"</f>
        <v>78579</v>
      </c>
      <c r="C20498" s="2">
        <v>5.3202410176299902E-3</v>
      </c>
      <c r="D20498" s="2">
        <v>2.0281952387285499E-3</v>
      </c>
      <c r="E20498" s="2">
        <v>5.8809691837214699E-5</v>
      </c>
      <c r="F20498" s="2">
        <v>4.8283331810885901E-3</v>
      </c>
    </row>
    <row r="20499" spans="1:6" x14ac:dyDescent="0.25">
      <c r="A20499" s="1" t="str">
        <f t="shared" si="764"/>
        <v>32580</v>
      </c>
      <c r="B20499" s="1" t="str">
        <f>"78503"</f>
        <v>78503</v>
      </c>
      <c r="C20499" s="2">
        <v>2.5991222197426101E-2</v>
      </c>
      <c r="D20499" s="2">
        <v>7.0488096821385807E-2</v>
      </c>
      <c r="E20499" s="2">
        <v>4.0931545518701401E-2</v>
      </c>
      <c r="F20499" s="2">
        <v>3.0147068418786099E-2</v>
      </c>
    </row>
    <row r="20500" spans="1:6" x14ac:dyDescent="0.25">
      <c r="A20500" s="1" t="str">
        <f t="shared" si="764"/>
        <v>32580</v>
      </c>
      <c r="B20500" s="1" t="str">
        <f>"78516"</f>
        <v>78516</v>
      </c>
      <c r="C20500" s="2">
        <v>4.5837982593171102E-2</v>
      </c>
      <c r="D20500" s="2">
        <v>2.2443144035110999E-2</v>
      </c>
      <c r="E20500" s="2">
        <v>1.4761232651140901E-2</v>
      </c>
      <c r="F20500" s="2">
        <v>4.2622437394788E-2</v>
      </c>
    </row>
    <row r="20501" spans="1:6" x14ac:dyDescent="0.25">
      <c r="A20501" s="1" t="str">
        <f t="shared" si="764"/>
        <v>32580</v>
      </c>
      <c r="B20501" s="1" t="str">
        <f>"78502"</f>
        <v>78502</v>
      </c>
      <c r="C20501" s="2">
        <v>7.1293610057278798E-3</v>
      </c>
      <c r="D20501" s="2">
        <v>2.5668306955712102E-2</v>
      </c>
      <c r="E20501" s="2">
        <v>5.8809691837214699E-5</v>
      </c>
      <c r="F20501" s="2">
        <v>8.2708042437133703E-3</v>
      </c>
    </row>
    <row r="20502" spans="1:6" x14ac:dyDescent="0.25">
      <c r="A20502" s="1" t="str">
        <f t="shared" si="764"/>
        <v>32580</v>
      </c>
      <c r="B20502" s="1" t="str">
        <f>"78565"</f>
        <v>78565</v>
      </c>
      <c r="C20502" s="2">
        <v>0</v>
      </c>
      <c r="D20502" s="2">
        <v>3.3249102274238503E-5</v>
      </c>
      <c r="E20502" s="2">
        <v>5.8809691837214699E-5</v>
      </c>
      <c r="F20502" s="2">
        <v>5.2198196552309099E-6</v>
      </c>
    </row>
    <row r="20503" spans="1:6" x14ac:dyDescent="0.25">
      <c r="A20503" s="1" t="str">
        <f t="shared" si="764"/>
        <v>32580</v>
      </c>
      <c r="B20503" s="1" t="str">
        <f>"78557"</f>
        <v>78557</v>
      </c>
      <c r="C20503" s="2">
        <v>2.09149743360856E-2</v>
      </c>
      <c r="D20503" s="2">
        <v>2.8959968080861799E-2</v>
      </c>
      <c r="E20503" s="2">
        <v>1.3055751587861601E-2</v>
      </c>
      <c r="F20503" s="2">
        <v>2.1197687619892699E-2</v>
      </c>
    </row>
    <row r="20504" spans="1:6" x14ac:dyDescent="0.25">
      <c r="A20504" s="1" t="str">
        <f t="shared" si="764"/>
        <v>32580</v>
      </c>
      <c r="B20504" s="1" t="str">
        <f>"78574"</f>
        <v>78574</v>
      </c>
      <c r="C20504" s="2">
        <v>5.6930744625455602E-2</v>
      </c>
      <c r="D20504" s="2">
        <v>2.20109057055459E-2</v>
      </c>
      <c r="E20504" s="2">
        <v>2.88167490002352E-2</v>
      </c>
      <c r="F20504" s="2">
        <v>5.2942020853179499E-2</v>
      </c>
    </row>
    <row r="20505" spans="1:6" x14ac:dyDescent="0.25">
      <c r="A20505" s="1" t="str">
        <f t="shared" si="764"/>
        <v>32580</v>
      </c>
      <c r="B20505" s="1" t="str">
        <f>"78577"</f>
        <v>78577</v>
      </c>
      <c r="C20505" s="2">
        <v>9.2027077289295503E-2</v>
      </c>
      <c r="D20505" s="2">
        <v>0.10184200026599199</v>
      </c>
      <c r="E20505" s="2">
        <v>0.131733709715361</v>
      </c>
      <c r="F20505" s="2">
        <v>9.45596429643355E-2</v>
      </c>
    </row>
    <row r="20506" spans="1:6" x14ac:dyDescent="0.25">
      <c r="A20506" s="1" t="str">
        <f t="shared" si="764"/>
        <v>32580</v>
      </c>
      <c r="B20506" s="1" t="str">
        <f>"78548"</f>
        <v>78548</v>
      </c>
      <c r="C20506" s="2">
        <v>5.9510525924272803E-6</v>
      </c>
      <c r="D20506" s="2">
        <v>0</v>
      </c>
      <c r="E20506" s="2">
        <v>0</v>
      </c>
      <c r="F20506" s="2">
        <v>5.2198196552309099E-6</v>
      </c>
    </row>
    <row r="20507" spans="1:6" x14ac:dyDescent="0.25">
      <c r="A20507" s="1" t="str">
        <f t="shared" si="764"/>
        <v>32580</v>
      </c>
      <c r="B20507" s="1" t="str">
        <f>"78537"</f>
        <v>78537</v>
      </c>
      <c r="C20507" s="2">
        <v>6.3801234843412893E-2</v>
      </c>
      <c r="D20507" s="2">
        <v>3.1952387285543199E-2</v>
      </c>
      <c r="E20507" s="2">
        <v>2.7228887320630401E-2</v>
      </c>
      <c r="F20507" s="2">
        <v>5.9678198118254998E-2</v>
      </c>
    </row>
    <row r="20508" spans="1:6" x14ac:dyDescent="0.25">
      <c r="A20508" s="1" t="str">
        <f t="shared" si="764"/>
        <v>32580</v>
      </c>
      <c r="B20508" s="1" t="str">
        <f>"78573"</f>
        <v>78573</v>
      </c>
      <c r="C20508" s="2">
        <v>5.3407721490738601E-2</v>
      </c>
      <c r="D20508" s="2">
        <v>3.3016358558318901E-2</v>
      </c>
      <c r="E20508" s="2">
        <v>5.2575864502470003E-2</v>
      </c>
      <c r="F20508" s="2">
        <v>5.1770171340580103E-2</v>
      </c>
    </row>
    <row r="20509" spans="1:6" x14ac:dyDescent="0.25">
      <c r="A20509" s="1" t="str">
        <f t="shared" si="764"/>
        <v>32580</v>
      </c>
      <c r="B20509" s="1" t="str">
        <f>"78505"</f>
        <v>78505</v>
      </c>
      <c r="C20509" s="2">
        <v>5.0554191772669704E-3</v>
      </c>
      <c r="D20509" s="2">
        <v>8.07953185263997E-3</v>
      </c>
      <c r="E20509" s="2">
        <v>1.1761938367442901E-4</v>
      </c>
      <c r="F20509" s="2">
        <v>5.0736647048844402E-3</v>
      </c>
    </row>
    <row r="20510" spans="1:6" x14ac:dyDescent="0.25">
      <c r="A20510" s="1" t="str">
        <f t="shared" si="764"/>
        <v>32580</v>
      </c>
      <c r="B20510" s="1" t="str">
        <f>"78596"</f>
        <v>78596</v>
      </c>
      <c r="C20510" s="2">
        <v>5.0203079669716502E-2</v>
      </c>
      <c r="D20510" s="2">
        <v>5.0305891740922898E-2</v>
      </c>
      <c r="E20510" s="2">
        <v>3.4756527875793898E-2</v>
      </c>
      <c r="F20510" s="2">
        <v>4.9525648888830799E-2</v>
      </c>
    </row>
    <row r="20511" spans="1:6" x14ac:dyDescent="0.25">
      <c r="A20511" s="1" t="str">
        <f t="shared" si="764"/>
        <v>32580</v>
      </c>
      <c r="B20511" s="1" t="str">
        <f>"78599"</f>
        <v>78599</v>
      </c>
      <c r="C20511" s="2">
        <v>3.4697612140147202E-2</v>
      </c>
      <c r="D20511" s="2">
        <v>2.6765527330761998E-2</v>
      </c>
      <c r="E20511" s="2">
        <v>2.1289108445071699E-2</v>
      </c>
      <c r="F20511" s="2">
        <v>3.3479923268650999E-2</v>
      </c>
    </row>
    <row r="20512" spans="1:6" x14ac:dyDescent="0.25">
      <c r="A20512" s="1" t="str">
        <f t="shared" si="764"/>
        <v>32580</v>
      </c>
      <c r="B20512" s="1" t="str">
        <f>"78543"</f>
        <v>78543</v>
      </c>
      <c r="C20512" s="2">
        <v>8.9265788886409201E-6</v>
      </c>
      <c r="D20512" s="2">
        <v>1.6624551137119201E-4</v>
      </c>
      <c r="E20512" s="2">
        <v>1.1761938367442901E-4</v>
      </c>
      <c r="F20512" s="2">
        <v>2.6099098276154499E-5</v>
      </c>
    </row>
    <row r="20513" spans="1:6" x14ac:dyDescent="0.25">
      <c r="A20513" s="1" t="str">
        <f t="shared" si="764"/>
        <v>32580</v>
      </c>
      <c r="B20513" s="1" t="str">
        <f>"78563"</f>
        <v>78563</v>
      </c>
      <c r="C20513" s="2">
        <v>1.7555605147660401E-4</v>
      </c>
      <c r="D20513" s="2">
        <v>1.3299640909695401E-4</v>
      </c>
      <c r="E20513" s="2">
        <v>2.3523876734885899E-4</v>
      </c>
      <c r="F20513" s="2">
        <v>1.7486395845023501E-4</v>
      </c>
    </row>
    <row r="20514" spans="1:6" x14ac:dyDescent="0.25">
      <c r="A20514" s="1" t="str">
        <f t="shared" si="764"/>
        <v>32580</v>
      </c>
      <c r="B20514" s="1" t="str">
        <f>"78589"</f>
        <v>78589</v>
      </c>
      <c r="C20514" s="2">
        <v>4.4832254705050902E-2</v>
      </c>
      <c r="D20514" s="2">
        <v>3.2816863944673397E-2</v>
      </c>
      <c r="E20514" s="2">
        <v>2.6287932251235002E-2</v>
      </c>
      <c r="F20514" s="2">
        <v>4.3066122065482597E-2</v>
      </c>
    </row>
    <row r="20515" spans="1:6" x14ac:dyDescent="0.25">
      <c r="A20515" s="1" t="str">
        <f t="shared" si="764"/>
        <v>32580</v>
      </c>
      <c r="B20515" s="1" t="str">
        <f>"78570"</f>
        <v>78570</v>
      </c>
      <c r="C20515" s="2">
        <v>3.5376032135683903E-2</v>
      </c>
      <c r="D20515" s="2">
        <v>2.2310147626014E-2</v>
      </c>
      <c r="E20515" s="2">
        <v>1.9230769230769201E-2</v>
      </c>
      <c r="F20515" s="2">
        <v>3.3633907948480299E-2</v>
      </c>
    </row>
    <row r="20516" spans="1:6" x14ac:dyDescent="0.25">
      <c r="A20516" s="1" t="str">
        <f t="shared" si="764"/>
        <v>32580</v>
      </c>
      <c r="B20516" s="1" t="str">
        <f>"78539"</f>
        <v>78539</v>
      </c>
      <c r="C20516" s="2">
        <v>4.4275831287659002E-2</v>
      </c>
      <c r="D20516" s="2">
        <v>8.0163585583189201E-2</v>
      </c>
      <c r="E20516" s="2">
        <v>0.110797459421312</v>
      </c>
      <c r="F20516" s="2">
        <v>5.00450209445263E-2</v>
      </c>
    </row>
    <row r="20517" spans="1:6" x14ac:dyDescent="0.25">
      <c r="A20517" s="1" t="str">
        <f t="shared" ref="A20517:A20527" si="765">"32620"</f>
        <v>32620</v>
      </c>
      <c r="B20517" s="1" t="str">
        <f>"39629"</f>
        <v>39629</v>
      </c>
      <c r="C20517" s="2">
        <v>3.9674667724657799E-5</v>
      </c>
      <c r="D20517" s="2">
        <v>0</v>
      </c>
      <c r="E20517" s="2">
        <v>0</v>
      </c>
      <c r="F20517" s="2">
        <v>3.5709184402228201E-5</v>
      </c>
    </row>
    <row r="20518" spans="1:6" x14ac:dyDescent="0.25">
      <c r="A20518" s="1" t="str">
        <f t="shared" si="765"/>
        <v>32620</v>
      </c>
      <c r="B20518" s="1" t="str">
        <f>"39649"</f>
        <v>39649</v>
      </c>
      <c r="C20518" s="2">
        <v>6.9271969847252493E-2</v>
      </c>
      <c r="D20518" s="2">
        <v>0.16152304609218399</v>
      </c>
      <c r="E20518" s="2">
        <v>6.5789473684210497E-3</v>
      </c>
      <c r="F20518" s="2">
        <v>7.6810455649192894E-2</v>
      </c>
    </row>
    <row r="20519" spans="1:6" x14ac:dyDescent="0.25">
      <c r="A20519" s="1" t="str">
        <f t="shared" si="765"/>
        <v>32620</v>
      </c>
      <c r="B20519" s="1" t="str">
        <f>"39657"</f>
        <v>39657</v>
      </c>
      <c r="C20519" s="2">
        <v>4.4792699861138603E-2</v>
      </c>
      <c r="D20519" s="2">
        <v>1.20240480961923E-2</v>
      </c>
      <c r="E20519" s="2">
        <v>0</v>
      </c>
      <c r="F20519" s="2">
        <v>4.1386944722182503E-2</v>
      </c>
    </row>
    <row r="20520" spans="1:6" x14ac:dyDescent="0.25">
      <c r="A20520" s="1" t="str">
        <f t="shared" si="765"/>
        <v>32620</v>
      </c>
      <c r="B20520" s="1" t="str">
        <f>"39666"</f>
        <v>39666</v>
      </c>
      <c r="C20520" s="2">
        <v>0.215076373735369</v>
      </c>
      <c r="D20520" s="2">
        <v>0.13707414829659301</v>
      </c>
      <c r="E20520" s="2">
        <v>0.105263157894736</v>
      </c>
      <c r="F20520" s="2">
        <v>0.206934723610912</v>
      </c>
    </row>
    <row r="20521" spans="1:6" x14ac:dyDescent="0.25">
      <c r="A20521" s="1" t="str">
        <f t="shared" si="765"/>
        <v>32620</v>
      </c>
      <c r="B20521" s="1" t="str">
        <f>"39667"</f>
        <v>39667</v>
      </c>
      <c r="C20521" s="2">
        <v>1.4560603054949399E-2</v>
      </c>
      <c r="D20521" s="2">
        <v>2.0040080160320601E-3</v>
      </c>
      <c r="E20521" s="2">
        <v>9.8684210526315697E-3</v>
      </c>
      <c r="F20521" s="2">
        <v>1.33909441508355E-2</v>
      </c>
    </row>
    <row r="20522" spans="1:6" x14ac:dyDescent="0.25">
      <c r="A20522" s="1" t="str">
        <f t="shared" si="765"/>
        <v>32620</v>
      </c>
      <c r="B20522" s="1" t="str">
        <f>"39662"</f>
        <v>39662</v>
      </c>
      <c r="C20522" s="2">
        <v>1.14263043047014E-2</v>
      </c>
      <c r="D20522" s="2">
        <v>2.4048096192384699E-3</v>
      </c>
      <c r="E20522" s="2">
        <v>0</v>
      </c>
      <c r="F20522" s="2">
        <v>1.0498500214255101E-2</v>
      </c>
    </row>
    <row r="20523" spans="1:6" x14ac:dyDescent="0.25">
      <c r="A20523" s="1" t="str">
        <f t="shared" si="765"/>
        <v>32620</v>
      </c>
      <c r="B20523" s="1" t="str">
        <f>"39632"</f>
        <v>39632</v>
      </c>
      <c r="C20523" s="2">
        <v>0</v>
      </c>
      <c r="D20523" s="2">
        <v>4.0080160320641201E-4</v>
      </c>
      <c r="E20523" s="2">
        <v>0</v>
      </c>
      <c r="F20523" s="2">
        <v>3.5709184402228201E-5</v>
      </c>
    </row>
    <row r="20524" spans="1:6" x14ac:dyDescent="0.25">
      <c r="A20524" s="1" t="str">
        <f t="shared" si="765"/>
        <v>32620</v>
      </c>
      <c r="B20524" s="1" t="str">
        <f>"39648"</f>
        <v>39648</v>
      </c>
      <c r="C20524" s="2">
        <v>0.47006546320174503</v>
      </c>
      <c r="D20524" s="2">
        <v>0.58557114228456897</v>
      </c>
      <c r="E20524" s="2">
        <v>0.82565789473684204</v>
      </c>
      <c r="F20524" s="2">
        <v>0.48421654049421498</v>
      </c>
    </row>
    <row r="20525" spans="1:6" x14ac:dyDescent="0.25">
      <c r="A20525" s="1" t="str">
        <f t="shared" si="765"/>
        <v>32620</v>
      </c>
      <c r="B20525" s="1" t="str">
        <f>"39635"</f>
        <v>39635</v>
      </c>
      <c r="C20525" s="2">
        <v>0</v>
      </c>
      <c r="D20525" s="2">
        <v>4.0080160320641201E-4</v>
      </c>
      <c r="E20525" s="2">
        <v>0</v>
      </c>
      <c r="F20525" s="2">
        <v>3.5709184402228201E-5</v>
      </c>
    </row>
    <row r="20526" spans="1:6" x14ac:dyDescent="0.25">
      <c r="A20526" s="1" t="str">
        <f t="shared" si="765"/>
        <v>32620</v>
      </c>
      <c r="B20526" s="1" t="str">
        <f>"39652"</f>
        <v>39652</v>
      </c>
      <c r="C20526" s="2">
        <v>0.16584011108906899</v>
      </c>
      <c r="D20526" s="2">
        <v>9.8597194388777495E-2</v>
      </c>
      <c r="E20526" s="2">
        <v>5.2631578947368397E-2</v>
      </c>
      <c r="F20526" s="2">
        <v>0.15862019711469699</v>
      </c>
    </row>
    <row r="20527" spans="1:6" x14ac:dyDescent="0.25">
      <c r="A20527" s="1" t="str">
        <f t="shared" si="765"/>
        <v>32620</v>
      </c>
      <c r="B20527" s="1" t="str">
        <f>"39641"</f>
        <v>39641</v>
      </c>
      <c r="C20527" s="2">
        <v>8.9268002380480001E-3</v>
      </c>
      <c r="D20527" s="2">
        <v>0</v>
      </c>
      <c r="E20527" s="2">
        <v>0</v>
      </c>
      <c r="F20527" s="2">
        <v>8.0345664905013495E-3</v>
      </c>
    </row>
    <row r="20528" spans="1:6" x14ac:dyDescent="0.25">
      <c r="A20528" s="1" t="str">
        <f t="shared" ref="A20528:A20535" si="766">"32660"</f>
        <v>32660</v>
      </c>
      <c r="B20528" s="1" t="str">
        <f>"37394"</f>
        <v>37394</v>
      </c>
      <c r="C20528" s="2">
        <v>0</v>
      </c>
      <c r="D20528" s="2">
        <v>4.28265524625267E-4</v>
      </c>
      <c r="E20528" s="2">
        <v>0</v>
      </c>
      <c r="F20528" s="2">
        <v>4.3765591491969003E-5</v>
      </c>
    </row>
    <row r="20529" spans="1:6" x14ac:dyDescent="0.25">
      <c r="A20529" s="1" t="str">
        <f t="shared" si="766"/>
        <v>32660</v>
      </c>
      <c r="B20529" s="1" t="str">
        <f>"37357"</f>
        <v>37357</v>
      </c>
      <c r="C20529" s="2">
        <v>9.6727089627391696E-2</v>
      </c>
      <c r="D20529" s="2">
        <v>6.1670235546038503E-2</v>
      </c>
      <c r="E20529" s="2">
        <v>3.9755351681957103E-2</v>
      </c>
      <c r="F20529" s="2">
        <v>9.1513851809707197E-2</v>
      </c>
    </row>
    <row r="20530" spans="1:6" x14ac:dyDescent="0.25">
      <c r="A20530" s="1" t="str">
        <f t="shared" si="766"/>
        <v>32660</v>
      </c>
      <c r="B20530" s="1" t="str">
        <f>"37110"</f>
        <v>37110</v>
      </c>
      <c r="C20530" s="2">
        <v>0.80085599194360502</v>
      </c>
      <c r="D20530" s="2">
        <v>0.90492505353318997</v>
      </c>
      <c r="E20530" s="2">
        <v>0.94801223241590205</v>
      </c>
      <c r="F20530" s="2">
        <v>0.81570309422731802</v>
      </c>
    </row>
    <row r="20531" spans="1:6" x14ac:dyDescent="0.25">
      <c r="A20531" s="1" t="str">
        <f t="shared" si="766"/>
        <v>32660</v>
      </c>
      <c r="B20531" s="1" t="str">
        <f>"38581"</f>
        <v>38581</v>
      </c>
      <c r="C20531" s="2">
        <v>8.0916414904330297E-2</v>
      </c>
      <c r="D20531" s="2">
        <v>2.5695931477516001E-2</v>
      </c>
      <c r="E20531" s="2">
        <v>7.6452599388379203E-3</v>
      </c>
      <c r="F20531" s="2">
        <v>7.31760689745721E-2</v>
      </c>
    </row>
    <row r="20532" spans="1:6" x14ac:dyDescent="0.25">
      <c r="A20532" s="1" t="str">
        <f t="shared" si="766"/>
        <v>32660</v>
      </c>
      <c r="B20532" s="1" t="str">
        <f>"37378"</f>
        <v>37378</v>
      </c>
      <c r="C20532" s="2">
        <v>0</v>
      </c>
      <c r="D20532" s="2">
        <v>4.28265524625267E-4</v>
      </c>
      <c r="E20532" s="2">
        <v>0</v>
      </c>
      <c r="F20532" s="2">
        <v>4.3765591491969003E-5</v>
      </c>
    </row>
    <row r="20533" spans="1:6" x14ac:dyDescent="0.25">
      <c r="A20533" s="1" t="str">
        <f t="shared" si="766"/>
        <v>32660</v>
      </c>
      <c r="B20533" s="1" t="str">
        <f>"38550"</f>
        <v>38550</v>
      </c>
      <c r="C20533" s="2">
        <v>0</v>
      </c>
      <c r="D20533" s="2">
        <v>4.28265524625267E-4</v>
      </c>
      <c r="E20533" s="2">
        <v>0</v>
      </c>
      <c r="F20533" s="2">
        <v>4.3765591491969003E-5</v>
      </c>
    </row>
    <row r="20534" spans="1:6" x14ac:dyDescent="0.25">
      <c r="A20534" s="1" t="str">
        <f t="shared" si="766"/>
        <v>32660</v>
      </c>
      <c r="B20534" s="1" t="str">
        <f>"37190"</f>
        <v>37190</v>
      </c>
      <c r="C20534" s="2">
        <v>2.11480362537764E-3</v>
      </c>
      <c r="D20534" s="2">
        <v>1.7130620985010699E-3</v>
      </c>
      <c r="E20534" s="2">
        <v>0</v>
      </c>
      <c r="F20534" s="2">
        <v>2.0132172086305702E-3</v>
      </c>
    </row>
    <row r="20535" spans="1:6" x14ac:dyDescent="0.25">
      <c r="A20535" s="1" t="str">
        <f t="shared" si="766"/>
        <v>32660</v>
      </c>
      <c r="B20535" s="1" t="str">
        <f>"37166"</f>
        <v>37166</v>
      </c>
      <c r="C20535" s="2">
        <v>1.9385699899294999E-2</v>
      </c>
      <c r="D20535" s="2">
        <v>4.71092077087794E-3</v>
      </c>
      <c r="E20535" s="2">
        <v>4.5871559633027499E-3</v>
      </c>
      <c r="F20535" s="2">
        <v>1.7462471005295601E-2</v>
      </c>
    </row>
    <row r="20536" spans="1:6" x14ac:dyDescent="0.25">
      <c r="A20536" s="1" t="str">
        <f t="shared" ref="A20536:A20547" si="767">"32700"</f>
        <v>32700</v>
      </c>
      <c r="B20536" s="1" t="str">
        <f>"67416"</f>
        <v>67416</v>
      </c>
      <c r="C20536" s="2">
        <v>2.9846291598268899E-4</v>
      </c>
      <c r="D20536" s="2">
        <v>0</v>
      </c>
      <c r="E20536" s="2">
        <v>0</v>
      </c>
      <c r="F20536" s="2">
        <v>2.6802465826856E-4</v>
      </c>
    </row>
    <row r="20537" spans="1:6" x14ac:dyDescent="0.25">
      <c r="A20537" s="1" t="str">
        <f t="shared" si="767"/>
        <v>32700</v>
      </c>
      <c r="B20537" s="1" t="str">
        <f>"67448"</f>
        <v>67448</v>
      </c>
      <c r="C20537" s="2">
        <v>6.56618415161916E-3</v>
      </c>
      <c r="D20537" s="2">
        <v>9.0991810737033605E-4</v>
      </c>
      <c r="E20537" s="2">
        <v>0</v>
      </c>
      <c r="F20537" s="2">
        <v>5.9635486464754703E-3</v>
      </c>
    </row>
    <row r="20538" spans="1:6" x14ac:dyDescent="0.25">
      <c r="A20538" s="1" t="str">
        <f t="shared" si="767"/>
        <v>32700</v>
      </c>
      <c r="B20538" s="1" t="str">
        <f>"67456"</f>
        <v>67456</v>
      </c>
      <c r="C20538" s="2">
        <v>0.133412923444262</v>
      </c>
      <c r="D20538" s="2">
        <v>0.14285714285714199</v>
      </c>
      <c r="E20538" s="2">
        <v>9.6926713947990503E-2</v>
      </c>
      <c r="F20538" s="2">
        <v>0.13307424283034</v>
      </c>
    </row>
    <row r="20539" spans="1:6" x14ac:dyDescent="0.25">
      <c r="A20539" s="1" t="str">
        <f t="shared" si="767"/>
        <v>32700</v>
      </c>
      <c r="B20539" s="1" t="str">
        <f>"67428"</f>
        <v>67428</v>
      </c>
      <c r="C20539" s="2">
        <v>4.2829428443515803E-2</v>
      </c>
      <c r="D20539" s="2">
        <v>1.54686078252957E-2</v>
      </c>
      <c r="E20539" s="2">
        <v>1.1820330969267099E-2</v>
      </c>
      <c r="F20539" s="2">
        <v>3.9935674082015503E-2</v>
      </c>
    </row>
    <row r="20540" spans="1:6" x14ac:dyDescent="0.25">
      <c r="A20540" s="1" t="str">
        <f t="shared" si="767"/>
        <v>32700</v>
      </c>
      <c r="B20540" s="1" t="str">
        <f>"67546"</f>
        <v>67546</v>
      </c>
      <c r="C20540" s="2">
        <v>7.6033427846589993E-2</v>
      </c>
      <c r="D20540" s="2">
        <v>2.7297543221110099E-2</v>
      </c>
      <c r="E20540" s="2">
        <v>3.7825059101654797E-2</v>
      </c>
      <c r="F20540" s="2">
        <v>7.1361565264004195E-2</v>
      </c>
    </row>
    <row r="20541" spans="1:6" x14ac:dyDescent="0.25">
      <c r="A20541" s="1" t="str">
        <f t="shared" si="767"/>
        <v>32700</v>
      </c>
      <c r="B20541" s="1" t="str">
        <f>"67107"</f>
        <v>67107</v>
      </c>
      <c r="C20541" s="2">
        <v>9.0807342187733106E-2</v>
      </c>
      <c r="D20541" s="2">
        <v>4.5495905368516797E-2</v>
      </c>
      <c r="E20541" s="2">
        <v>4.7281323877068501E-2</v>
      </c>
      <c r="F20541" s="2">
        <v>8.6236933797909393E-2</v>
      </c>
    </row>
    <row r="20542" spans="1:6" x14ac:dyDescent="0.25">
      <c r="A20542" s="1" t="str">
        <f t="shared" si="767"/>
        <v>32700</v>
      </c>
      <c r="B20542" s="1" t="str">
        <f>"67443"</f>
        <v>67443</v>
      </c>
      <c r="C20542" s="2">
        <v>5.7304879868676301E-2</v>
      </c>
      <c r="D20542" s="2">
        <v>2.54777070063694E-2</v>
      </c>
      <c r="E20542" s="2">
        <v>1.6548463356973901E-2</v>
      </c>
      <c r="F20542" s="2">
        <v>5.3805950147413503E-2</v>
      </c>
    </row>
    <row r="20543" spans="1:6" x14ac:dyDescent="0.25">
      <c r="A20543" s="1" t="str">
        <f t="shared" si="767"/>
        <v>32700</v>
      </c>
      <c r="B20543" s="1" t="str">
        <f>"67464"</f>
        <v>67464</v>
      </c>
      <c r="C20543" s="2">
        <v>3.7755558871810098E-2</v>
      </c>
      <c r="D20543" s="2">
        <v>2.0928116469517699E-2</v>
      </c>
      <c r="E20543" s="2">
        <v>3.0732860520094499E-2</v>
      </c>
      <c r="F20543" s="2">
        <v>3.6317341195389902E-2</v>
      </c>
    </row>
    <row r="20544" spans="1:6" x14ac:dyDescent="0.25">
      <c r="A20544" s="1" t="str">
        <f t="shared" si="767"/>
        <v>32700</v>
      </c>
      <c r="B20544" s="1" t="str">
        <f>"67460"</f>
        <v>67460</v>
      </c>
      <c r="C20544" s="2">
        <v>0.54059095657364498</v>
      </c>
      <c r="D20544" s="2">
        <v>0.70882620564149201</v>
      </c>
      <c r="E20544" s="2">
        <v>0.75177304964539005</v>
      </c>
      <c r="F20544" s="2">
        <v>0.55896542481908296</v>
      </c>
    </row>
    <row r="20545" spans="1:6" x14ac:dyDescent="0.25">
      <c r="A20545" s="1" t="str">
        <f t="shared" si="767"/>
        <v>32700</v>
      </c>
      <c r="B20545" s="1" t="str">
        <f>"67491"</f>
        <v>67491</v>
      </c>
      <c r="C20545" s="2">
        <v>1.1938516639307501E-2</v>
      </c>
      <c r="D20545" s="2">
        <v>1.00090991810737E-2</v>
      </c>
      <c r="E20545" s="2">
        <v>4.7281323877068496E-3</v>
      </c>
      <c r="F20545" s="2">
        <v>1.15920664701152E-2</v>
      </c>
    </row>
    <row r="20546" spans="1:6" x14ac:dyDescent="0.25">
      <c r="A20546" s="1" t="str">
        <f t="shared" si="767"/>
        <v>32700</v>
      </c>
      <c r="B20546" s="1" t="str">
        <f>"67476"</f>
        <v>67476</v>
      </c>
      <c r="C20546" s="2">
        <v>1.64154603790479E-3</v>
      </c>
      <c r="D20546" s="2">
        <v>2.7297543221110102E-3</v>
      </c>
      <c r="E20546" s="2">
        <v>2.36406619385342E-3</v>
      </c>
      <c r="F20546" s="2">
        <v>1.74216027874564E-3</v>
      </c>
    </row>
    <row r="20547" spans="1:6" x14ac:dyDescent="0.25">
      <c r="A20547" s="1" t="str">
        <f t="shared" si="767"/>
        <v>32700</v>
      </c>
      <c r="B20547" s="1" t="str">
        <f>"67062"</f>
        <v>67062</v>
      </c>
      <c r="C20547" s="2">
        <v>8.20773018952395E-4</v>
      </c>
      <c r="D20547" s="2">
        <v>0</v>
      </c>
      <c r="E20547" s="2">
        <v>0</v>
      </c>
      <c r="F20547" s="2">
        <v>7.3706781023854097E-4</v>
      </c>
    </row>
    <row r="20548" spans="1:6" x14ac:dyDescent="0.25">
      <c r="A20548" s="1" t="str">
        <f t="shared" ref="A20548:A20577" si="768">"32740"</f>
        <v>32740</v>
      </c>
      <c r="B20548" s="1" t="str">
        <f>"16354"</f>
        <v>16354</v>
      </c>
      <c r="C20548" s="2">
        <v>9.7960506632093297E-2</v>
      </c>
      <c r="D20548" s="2">
        <v>0.16450216450216401</v>
      </c>
      <c r="E20548" s="2">
        <v>0.104506858262573</v>
      </c>
      <c r="F20548" s="2">
        <v>0.102339510481637</v>
      </c>
    </row>
    <row r="20549" spans="1:6" x14ac:dyDescent="0.25">
      <c r="A20549" s="1" t="str">
        <f t="shared" si="768"/>
        <v>32740</v>
      </c>
      <c r="B20549" s="1" t="str">
        <f>"16407"</f>
        <v>16407</v>
      </c>
      <c r="C20549" s="2">
        <v>1.1469033609255001E-3</v>
      </c>
      <c r="D20549" s="2">
        <v>7.2150072150072096E-4</v>
      </c>
      <c r="E20549" s="2">
        <v>0</v>
      </c>
      <c r="F20549" s="2">
        <v>1.08081331201729E-3</v>
      </c>
    </row>
    <row r="20550" spans="1:6" x14ac:dyDescent="0.25">
      <c r="A20550" s="1" t="str">
        <f t="shared" si="768"/>
        <v>32740</v>
      </c>
      <c r="B20550" s="1" t="str">
        <f>"16422"</f>
        <v>16422</v>
      </c>
      <c r="C20550" s="2">
        <v>0</v>
      </c>
      <c r="D20550" s="2">
        <v>0</v>
      </c>
      <c r="E20550" s="2">
        <v>3.2658393207054201E-3</v>
      </c>
      <c r="F20550" s="2">
        <v>1.12584720001801E-4</v>
      </c>
    </row>
    <row r="20551" spans="1:6" x14ac:dyDescent="0.25">
      <c r="A20551" s="1" t="str">
        <f t="shared" si="768"/>
        <v>32740</v>
      </c>
      <c r="B20551" s="1" t="str">
        <f>"16441"</f>
        <v>16441</v>
      </c>
      <c r="C20551" s="2">
        <v>1.3712974967587501E-3</v>
      </c>
      <c r="D20551" s="2">
        <v>0</v>
      </c>
      <c r="E20551" s="2">
        <v>0</v>
      </c>
      <c r="F20551" s="2">
        <v>1.23843192001981E-3</v>
      </c>
    </row>
    <row r="20552" spans="1:6" x14ac:dyDescent="0.25">
      <c r="A20552" s="1" t="str">
        <f t="shared" si="768"/>
        <v>32740</v>
      </c>
      <c r="B20552" s="1" t="str">
        <f>"16420"</f>
        <v>16420</v>
      </c>
      <c r="C20552" s="2">
        <v>4.9865363518500001E-5</v>
      </c>
      <c r="D20552" s="2">
        <v>0</v>
      </c>
      <c r="E20552" s="2">
        <v>0</v>
      </c>
      <c r="F20552" s="2">
        <v>4.5033888000720503E-5</v>
      </c>
    </row>
    <row r="20553" spans="1:6" x14ac:dyDescent="0.25">
      <c r="A20553" s="1" t="str">
        <f t="shared" si="768"/>
        <v>32740</v>
      </c>
      <c r="B20553" s="1" t="str">
        <f>"16388"</f>
        <v>16388</v>
      </c>
      <c r="C20553" s="2">
        <v>0</v>
      </c>
      <c r="D20553" s="2">
        <v>3.6075036075035999E-4</v>
      </c>
      <c r="E20553" s="2">
        <v>0</v>
      </c>
      <c r="F20553" s="2">
        <v>2.2516944000360201E-5</v>
      </c>
    </row>
    <row r="20554" spans="1:6" x14ac:dyDescent="0.25">
      <c r="A20554" s="1" t="str">
        <f t="shared" si="768"/>
        <v>32740</v>
      </c>
      <c r="B20554" s="1" t="str">
        <f>"16435"</f>
        <v>16435</v>
      </c>
      <c r="C20554" s="2">
        <v>1.95970878627705E-2</v>
      </c>
      <c r="D20554" s="2">
        <v>4.3290043290043203E-3</v>
      </c>
      <c r="E20554" s="2">
        <v>5.8785107772697503E-3</v>
      </c>
      <c r="F20554" s="2">
        <v>1.8171173808290701E-2</v>
      </c>
    </row>
    <row r="20555" spans="1:6" x14ac:dyDescent="0.25">
      <c r="A20555" s="1" t="str">
        <f t="shared" si="768"/>
        <v>32740</v>
      </c>
      <c r="B20555" s="1" t="str">
        <f>"16403"</f>
        <v>16403</v>
      </c>
      <c r="C20555" s="2">
        <v>6.1010272264884799E-2</v>
      </c>
      <c r="D20555" s="2">
        <v>5.4112554112554098E-2</v>
      </c>
      <c r="E20555" s="2">
        <v>4.9640757674722397E-2</v>
      </c>
      <c r="F20555" s="2">
        <v>6.0187791312963E-2</v>
      </c>
    </row>
    <row r="20556" spans="1:6" x14ac:dyDescent="0.25">
      <c r="A20556" s="1" t="str">
        <f t="shared" si="768"/>
        <v>32740</v>
      </c>
      <c r="B20556" s="1" t="str">
        <f>"16362"</f>
        <v>16362</v>
      </c>
      <c r="C20556" s="2">
        <v>9.9730727037000003E-5</v>
      </c>
      <c r="D20556" s="2">
        <v>0</v>
      </c>
      <c r="E20556" s="2">
        <v>0</v>
      </c>
      <c r="F20556" s="2">
        <v>9.0067776001441006E-5</v>
      </c>
    </row>
    <row r="20557" spans="1:6" x14ac:dyDescent="0.25">
      <c r="A20557" s="1" t="str">
        <f t="shared" si="768"/>
        <v>32740</v>
      </c>
      <c r="B20557" s="1" t="str">
        <f>"16433"</f>
        <v>16433</v>
      </c>
      <c r="C20557" s="2">
        <v>4.87184601575745E-2</v>
      </c>
      <c r="D20557" s="2">
        <v>2.2005772005772001E-2</v>
      </c>
      <c r="E20557" s="2">
        <v>9.1443500979751704E-3</v>
      </c>
      <c r="F20557" s="2">
        <v>4.5686879376730903E-2</v>
      </c>
    </row>
    <row r="20558" spans="1:6" x14ac:dyDescent="0.25">
      <c r="A20558" s="1" t="str">
        <f t="shared" si="768"/>
        <v>32740</v>
      </c>
      <c r="B20558" s="1" t="str">
        <f>"16360"</f>
        <v>16360</v>
      </c>
      <c r="C20558" s="2">
        <v>1.50842724643462E-2</v>
      </c>
      <c r="D20558" s="2">
        <v>1.01010101010101E-2</v>
      </c>
      <c r="E20558" s="2">
        <v>4.57217504898758E-3</v>
      </c>
      <c r="F20558" s="2">
        <v>1.44108441602305E-2</v>
      </c>
    </row>
    <row r="20559" spans="1:6" x14ac:dyDescent="0.25">
      <c r="A20559" s="1" t="str">
        <f t="shared" si="768"/>
        <v>32740</v>
      </c>
      <c r="B20559" s="1" t="str">
        <f>"16404"</f>
        <v>16404</v>
      </c>
      <c r="C20559" s="2">
        <v>3.7099830457764001E-2</v>
      </c>
      <c r="D20559" s="2">
        <v>1.69552669552669E-2</v>
      </c>
      <c r="E20559" s="2">
        <v>4.57217504898758E-3</v>
      </c>
      <c r="F20559" s="2">
        <v>3.4721127648555498E-2</v>
      </c>
    </row>
    <row r="20560" spans="1:6" x14ac:dyDescent="0.25">
      <c r="A20560" s="1" t="str">
        <f t="shared" si="768"/>
        <v>32740</v>
      </c>
      <c r="B20560" s="1" t="str">
        <f>"16434"</f>
        <v>16434</v>
      </c>
      <c r="C20560" s="2">
        <v>2.4134835942954E-2</v>
      </c>
      <c r="D20560" s="2">
        <v>1.5873015873015799E-2</v>
      </c>
      <c r="E20560" s="2">
        <v>6.5316786414108396E-4</v>
      </c>
      <c r="F20560" s="2">
        <v>2.2809664272364898E-2</v>
      </c>
    </row>
    <row r="20561" spans="1:6" x14ac:dyDescent="0.25">
      <c r="A20561" s="1" t="str">
        <f t="shared" si="768"/>
        <v>32740</v>
      </c>
      <c r="B20561" s="1" t="str">
        <f>"16424"</f>
        <v>16424</v>
      </c>
      <c r="C20561" s="2">
        <v>6.5747481799142304E-2</v>
      </c>
      <c r="D20561" s="2">
        <v>2.2366522366522298E-2</v>
      </c>
      <c r="E20561" s="2">
        <v>0.12410189418680601</v>
      </c>
      <c r="F20561" s="2">
        <v>6.5051451217040798E-2</v>
      </c>
    </row>
    <row r="20562" spans="1:6" x14ac:dyDescent="0.25">
      <c r="A20562" s="1" t="str">
        <f t="shared" si="768"/>
        <v>32740</v>
      </c>
      <c r="B20562" s="1" t="str">
        <f>"16327"</f>
        <v>16327</v>
      </c>
      <c r="C20562" s="2">
        <v>2.8273661114989499E-2</v>
      </c>
      <c r="D20562" s="2">
        <v>1.08225108225108E-2</v>
      </c>
      <c r="E20562" s="2">
        <v>1.3063357282821601E-3</v>
      </c>
      <c r="F20562" s="2">
        <v>2.6254756704419999E-2</v>
      </c>
    </row>
    <row r="20563" spans="1:6" x14ac:dyDescent="0.25">
      <c r="A20563" s="1" t="str">
        <f t="shared" si="768"/>
        <v>32740</v>
      </c>
      <c r="B20563" s="1" t="str">
        <f>"16111"</f>
        <v>16111</v>
      </c>
      <c r="C20563" s="2">
        <v>1.1718360426847501E-2</v>
      </c>
      <c r="D20563" s="2">
        <v>3.6075036075036001E-3</v>
      </c>
      <c r="E20563" s="2">
        <v>6.5316786414108396E-4</v>
      </c>
      <c r="F20563" s="2">
        <v>1.08306500641732E-2</v>
      </c>
    </row>
    <row r="20564" spans="1:6" x14ac:dyDescent="0.25">
      <c r="A20564" s="1" t="str">
        <f t="shared" si="768"/>
        <v>32740</v>
      </c>
      <c r="B20564" s="1" t="str">
        <f>"16110"</f>
        <v>16110</v>
      </c>
      <c r="C20564" s="2">
        <v>3.01685449286925E-3</v>
      </c>
      <c r="D20564" s="2">
        <v>3.6075036075035999E-4</v>
      </c>
      <c r="E20564" s="2">
        <v>2.6126714565643302E-3</v>
      </c>
      <c r="F20564" s="2">
        <v>2.8371349440453899E-3</v>
      </c>
    </row>
    <row r="20565" spans="1:6" x14ac:dyDescent="0.25">
      <c r="A20565" s="1" t="str">
        <f t="shared" si="768"/>
        <v>32740</v>
      </c>
      <c r="B20565" s="1" t="str">
        <f>"16328"</f>
        <v>16328</v>
      </c>
      <c r="C20565" s="2">
        <v>2.31873940361025E-3</v>
      </c>
      <c r="D20565" s="2">
        <v>1.44300144300144E-3</v>
      </c>
      <c r="E20565" s="2">
        <v>2.6126714565643302E-3</v>
      </c>
      <c r="F20565" s="2">
        <v>2.2742113440363801E-3</v>
      </c>
    </row>
    <row r="20566" spans="1:6" x14ac:dyDescent="0.25">
      <c r="A20566" s="1" t="str">
        <f t="shared" si="768"/>
        <v>32740</v>
      </c>
      <c r="B20566" s="1" t="str">
        <f>"16438"</f>
        <v>16438</v>
      </c>
      <c r="C20566" s="2">
        <v>2.55809314849905E-2</v>
      </c>
      <c r="D20566" s="2">
        <v>7.5757575757575699E-3</v>
      </c>
      <c r="E20566" s="2">
        <v>3.2658393207054201E-3</v>
      </c>
      <c r="F20566" s="2">
        <v>2.3687825088379001E-2</v>
      </c>
    </row>
    <row r="20567" spans="1:6" x14ac:dyDescent="0.25">
      <c r="A20567" s="1" t="str">
        <f t="shared" si="768"/>
        <v>32740</v>
      </c>
      <c r="B20567" s="1" t="str">
        <f>"16440"</f>
        <v>16440</v>
      </c>
      <c r="C20567" s="2">
        <v>8.2527176623117503E-3</v>
      </c>
      <c r="D20567" s="2">
        <v>4.6897546897546804E-3</v>
      </c>
      <c r="E20567" s="2">
        <v>6.5316786414108396E-4</v>
      </c>
      <c r="F20567" s="2">
        <v>7.7683456801242896E-3</v>
      </c>
    </row>
    <row r="20568" spans="1:6" x14ac:dyDescent="0.25">
      <c r="A20568" s="1" t="str">
        <f t="shared" si="768"/>
        <v>32740</v>
      </c>
      <c r="B20568" s="1" t="str">
        <f>"16316"</f>
        <v>16316</v>
      </c>
      <c r="C20568" s="2">
        <v>7.4299391642564994E-2</v>
      </c>
      <c r="D20568" s="2">
        <v>4.9062049062049001E-2</v>
      </c>
      <c r="E20568" s="2">
        <v>6.7929457870672699E-2</v>
      </c>
      <c r="F20568" s="2">
        <v>7.250455968116E-2</v>
      </c>
    </row>
    <row r="20569" spans="1:6" x14ac:dyDescent="0.25">
      <c r="A20569" s="1" t="str">
        <f t="shared" si="768"/>
        <v>32740</v>
      </c>
      <c r="B20569" s="1" t="str">
        <f>"16335"</f>
        <v>16335</v>
      </c>
      <c r="C20569" s="2">
        <v>0.32873740899571102</v>
      </c>
      <c r="D20569" s="2">
        <v>0.54112554112554101</v>
      </c>
      <c r="E20569" s="2">
        <v>0.54278249510124099</v>
      </c>
      <c r="F20569" s="2">
        <v>0.34937290310958902</v>
      </c>
    </row>
    <row r="20570" spans="1:6" x14ac:dyDescent="0.25">
      <c r="A20570" s="1" t="str">
        <f t="shared" si="768"/>
        <v>32740</v>
      </c>
      <c r="B20570" s="1" t="str">
        <f>"16406"</f>
        <v>16406</v>
      </c>
      <c r="C20570" s="2">
        <v>3.5578936870449697E-2</v>
      </c>
      <c r="D20570" s="2">
        <v>1.55122655122655E-2</v>
      </c>
      <c r="E20570" s="2">
        <v>5.4866100587850998E-2</v>
      </c>
      <c r="F20570" s="2">
        <v>3.4991330976559799E-2</v>
      </c>
    </row>
    <row r="20571" spans="1:6" x14ac:dyDescent="0.25">
      <c r="A20571" s="1" t="str">
        <f t="shared" si="768"/>
        <v>32740</v>
      </c>
      <c r="B20571" s="1" t="str">
        <f>"16317"</f>
        <v>16317</v>
      </c>
      <c r="C20571" s="2">
        <v>4.4878827166649999E-4</v>
      </c>
      <c r="D20571" s="2">
        <v>0</v>
      </c>
      <c r="E20571" s="2">
        <v>0</v>
      </c>
      <c r="F20571" s="2">
        <v>4.05304992006484E-4</v>
      </c>
    </row>
    <row r="20572" spans="1:6" x14ac:dyDescent="0.25">
      <c r="A20572" s="1" t="str">
        <f t="shared" si="768"/>
        <v>32740</v>
      </c>
      <c r="B20572" s="1" t="str">
        <f>"16401"</f>
        <v>16401</v>
      </c>
      <c r="C20572" s="2">
        <v>1.2964994514809999E-3</v>
      </c>
      <c r="D20572" s="2">
        <v>0</v>
      </c>
      <c r="E20572" s="2">
        <v>0</v>
      </c>
      <c r="F20572" s="2">
        <v>1.17088108801873E-3</v>
      </c>
    </row>
    <row r="20573" spans="1:6" x14ac:dyDescent="0.25">
      <c r="A20573" s="1" t="str">
        <f t="shared" si="768"/>
        <v>32740</v>
      </c>
      <c r="B20573" s="1" t="str">
        <f>"16125"</f>
        <v>16125</v>
      </c>
      <c r="C20573" s="2">
        <v>1.795153086666E-3</v>
      </c>
      <c r="D20573" s="2">
        <v>7.2150072150072096E-4</v>
      </c>
      <c r="E20573" s="2">
        <v>0</v>
      </c>
      <c r="F20573" s="2">
        <v>1.6662538560266601E-3</v>
      </c>
    </row>
    <row r="20574" spans="1:6" x14ac:dyDescent="0.25">
      <c r="A20574" s="1" t="str">
        <f t="shared" si="768"/>
        <v>32740</v>
      </c>
      <c r="B20574" s="1" t="str">
        <f>"16412"</f>
        <v>16412</v>
      </c>
      <c r="C20574" s="2">
        <v>7.0559489378677499E-3</v>
      </c>
      <c r="D20574" s="2">
        <v>2.8860028860028799E-3</v>
      </c>
      <c r="E20574" s="2">
        <v>3.2658393207054201E-3</v>
      </c>
      <c r="F20574" s="2">
        <v>6.6650154241066403E-3</v>
      </c>
    </row>
    <row r="20575" spans="1:6" x14ac:dyDescent="0.25">
      <c r="A20575" s="1" t="str">
        <f t="shared" si="768"/>
        <v>32740</v>
      </c>
      <c r="B20575" s="1" t="str">
        <f>"16134"</f>
        <v>16134</v>
      </c>
      <c r="C20575" s="2">
        <v>3.6052657823875497E-2</v>
      </c>
      <c r="D20575" s="2">
        <v>1.04617604617604E-2</v>
      </c>
      <c r="E20575" s="2">
        <v>3.9190071848464996E-3</v>
      </c>
      <c r="F20575" s="2">
        <v>3.3347594064533498E-2</v>
      </c>
    </row>
    <row r="20576" spans="1:6" x14ac:dyDescent="0.25">
      <c r="A20576" s="1" t="str">
        <f t="shared" si="768"/>
        <v>32740</v>
      </c>
      <c r="B20576" s="1" t="str">
        <f>"16131"</f>
        <v>16131</v>
      </c>
      <c r="C20576" s="2">
        <v>1.00478707489777E-2</v>
      </c>
      <c r="D20576" s="2">
        <v>2.8860028860028799E-3</v>
      </c>
      <c r="E20576" s="2">
        <v>3.2658393207054201E-3</v>
      </c>
      <c r="F20576" s="2">
        <v>9.3670487041498697E-3</v>
      </c>
    </row>
    <row r="20577" spans="1:6" x14ac:dyDescent="0.25">
      <c r="A20577" s="1" t="str">
        <f t="shared" si="768"/>
        <v>32740</v>
      </c>
      <c r="B20577" s="1" t="str">
        <f>"16314"</f>
        <v>16314</v>
      </c>
      <c r="C20577" s="2">
        <v>5.3505535055350502E-2</v>
      </c>
      <c r="D20577" s="2">
        <v>3.7518037518037499E-2</v>
      </c>
      <c r="E20577" s="2">
        <v>6.5316786414108402E-3</v>
      </c>
      <c r="F20577" s="2">
        <v>5.0888293440814199E-2</v>
      </c>
    </row>
    <row r="20578" spans="1:6" x14ac:dyDescent="0.25">
      <c r="A20578" s="1" t="str">
        <f t="shared" ref="A20578:A20595" si="769">"32780"</f>
        <v>32780</v>
      </c>
      <c r="B20578" s="1" t="str">
        <f>"97502"</f>
        <v>97502</v>
      </c>
      <c r="C20578" s="2">
        <v>0.11579847823150601</v>
      </c>
      <c r="D20578" s="2">
        <v>0.116983854965274</v>
      </c>
      <c r="E20578" s="2">
        <v>7.0773822212747806E-2</v>
      </c>
      <c r="F20578" s="2">
        <v>0.114236831108623</v>
      </c>
    </row>
    <row r="20579" spans="1:6" x14ac:dyDescent="0.25">
      <c r="A20579" s="1" t="str">
        <f t="shared" si="769"/>
        <v>32780</v>
      </c>
      <c r="B20579" s="1" t="str">
        <f>"97539"</f>
        <v>97539</v>
      </c>
      <c r="C20579" s="2">
        <v>1.4740443924181701E-2</v>
      </c>
      <c r="D20579" s="2">
        <v>5.1411563091909402E-3</v>
      </c>
      <c r="E20579" s="2">
        <v>8.9533148582391798E-3</v>
      </c>
      <c r="F20579" s="2">
        <v>1.36872895855179E-2</v>
      </c>
    </row>
    <row r="20580" spans="1:6" x14ac:dyDescent="0.25">
      <c r="A20580" s="1" t="str">
        <f t="shared" si="769"/>
        <v>32780</v>
      </c>
      <c r="B20580" s="1" t="str">
        <f>"97497"</f>
        <v>97497</v>
      </c>
      <c r="C20580" s="2">
        <v>7.2036378371077294E-5</v>
      </c>
      <c r="D20580" s="2">
        <v>0</v>
      </c>
      <c r="E20580" s="2">
        <v>0</v>
      </c>
      <c r="F20580" s="2">
        <v>6.3075067214368499E-5</v>
      </c>
    </row>
    <row r="20581" spans="1:6" x14ac:dyDescent="0.25">
      <c r="A20581" s="1" t="str">
        <f t="shared" si="769"/>
        <v>32780</v>
      </c>
      <c r="B20581" s="1" t="str">
        <f>"97503"</f>
        <v>97503</v>
      </c>
      <c r="C20581" s="2">
        <v>4.7823150691098999E-2</v>
      </c>
      <c r="D20581" s="2">
        <v>4.8254712726616703E-2</v>
      </c>
      <c r="E20581" s="2">
        <v>1.513536559369E-2</v>
      </c>
      <c r="F20581" s="2">
        <v>4.6651896588427298E-2</v>
      </c>
    </row>
    <row r="20582" spans="1:6" x14ac:dyDescent="0.25">
      <c r="A20582" s="1" t="str">
        <f t="shared" si="769"/>
        <v>32780</v>
      </c>
      <c r="B20582" s="1" t="str">
        <f>"97527"</f>
        <v>97527</v>
      </c>
      <c r="C20582" s="2">
        <v>6.6813740939174202E-3</v>
      </c>
      <c r="D20582" s="2">
        <v>2.7960674664020899E-3</v>
      </c>
      <c r="E20582" s="2">
        <v>1.49221914303986E-3</v>
      </c>
      <c r="F20582" s="2">
        <v>6.1498190534009199E-3</v>
      </c>
    </row>
    <row r="20583" spans="1:6" x14ac:dyDescent="0.25">
      <c r="A20583" s="1" t="str">
        <f t="shared" si="769"/>
        <v>32780</v>
      </c>
      <c r="B20583" s="1" t="str">
        <f>"97520"</f>
        <v>97520</v>
      </c>
      <c r="C20583" s="2">
        <v>0.137247309891495</v>
      </c>
      <c r="D20583" s="2">
        <v>0.18742671597366201</v>
      </c>
      <c r="E20583" s="2">
        <v>0.17416329140908099</v>
      </c>
      <c r="F20583" s="2">
        <v>0.14299906175837501</v>
      </c>
    </row>
    <row r="20584" spans="1:6" x14ac:dyDescent="0.25">
      <c r="A20584" s="1" t="str">
        <f t="shared" si="769"/>
        <v>32780</v>
      </c>
      <c r="B20584" s="1" t="str">
        <f>"97525"</f>
        <v>97525</v>
      </c>
      <c r="C20584" s="2">
        <v>2.32677502138579E-2</v>
      </c>
      <c r="D20584" s="2">
        <v>2.8862631911247402E-3</v>
      </c>
      <c r="E20584" s="2">
        <v>1.0232359837987599E-2</v>
      </c>
      <c r="F20584" s="2">
        <v>2.10039973823847E-2</v>
      </c>
    </row>
    <row r="20585" spans="1:6" x14ac:dyDescent="0.25">
      <c r="A20585" s="1" t="str">
        <f t="shared" si="769"/>
        <v>32780</v>
      </c>
      <c r="B20585" s="1" t="str">
        <f>"97526"</f>
        <v>97526</v>
      </c>
      <c r="C20585" s="2">
        <v>1.6208185133492401E-3</v>
      </c>
      <c r="D20585" s="2">
        <v>9.0195724722648104E-5</v>
      </c>
      <c r="E20585" s="2">
        <v>1.06587081645704E-3</v>
      </c>
      <c r="F20585" s="2">
        <v>1.46649531273406E-3</v>
      </c>
    </row>
    <row r="20586" spans="1:6" x14ac:dyDescent="0.25">
      <c r="A20586" s="1" t="str">
        <f t="shared" si="769"/>
        <v>32780</v>
      </c>
      <c r="B20586" s="1" t="str">
        <f>"97504"</f>
        <v>97504</v>
      </c>
      <c r="C20586" s="2">
        <v>0.203394714330737</v>
      </c>
      <c r="D20586" s="2">
        <v>0.199242355912329</v>
      </c>
      <c r="E20586" s="2">
        <v>0.31293967171178799</v>
      </c>
      <c r="F20586" s="2">
        <v>0.207083330048173</v>
      </c>
    </row>
    <row r="20587" spans="1:6" x14ac:dyDescent="0.25">
      <c r="A20587" s="1" t="str">
        <f t="shared" si="769"/>
        <v>32780</v>
      </c>
      <c r="B20587" s="1" t="str">
        <f>"97501"</f>
        <v>97501</v>
      </c>
      <c r="C20587" s="2">
        <v>0.19703750393948899</v>
      </c>
      <c r="D20587" s="2">
        <v>0.30666546405700301</v>
      </c>
      <c r="E20587" s="2">
        <v>0.27925815391174502</v>
      </c>
      <c r="F20587" s="2">
        <v>0.20966152342055999</v>
      </c>
    </row>
    <row r="20588" spans="1:6" x14ac:dyDescent="0.25">
      <c r="A20588" s="1" t="str">
        <f t="shared" si="769"/>
        <v>32780</v>
      </c>
      <c r="B20588" s="1" t="str">
        <f>"97530"</f>
        <v>97530</v>
      </c>
      <c r="C20588" s="2">
        <v>3.7539957678627701E-2</v>
      </c>
      <c r="D20588" s="2">
        <v>1.01019211689365E-2</v>
      </c>
      <c r="E20588" s="2">
        <v>1.1724578981027399E-2</v>
      </c>
      <c r="F20588" s="2">
        <v>3.4186686430187699E-2</v>
      </c>
    </row>
    <row r="20589" spans="1:6" x14ac:dyDescent="0.25">
      <c r="A20589" s="1" t="str">
        <f t="shared" si="769"/>
        <v>32780</v>
      </c>
      <c r="B20589" s="1" t="str">
        <f>"97524"</f>
        <v>97524</v>
      </c>
      <c r="C20589" s="2">
        <v>7.3251992256089304E-2</v>
      </c>
      <c r="D20589" s="2">
        <v>3.5356724091277998E-2</v>
      </c>
      <c r="E20589" s="2">
        <v>2.74994670645917E-2</v>
      </c>
      <c r="F20589" s="2">
        <v>6.8247222725946702E-2</v>
      </c>
    </row>
    <row r="20590" spans="1:6" x14ac:dyDescent="0.25">
      <c r="A20590" s="1" t="str">
        <f t="shared" si="769"/>
        <v>32780</v>
      </c>
      <c r="B20590" s="1" t="str">
        <f>"97541"</f>
        <v>97541</v>
      </c>
      <c r="C20590" s="2">
        <v>6.9515105128089604E-3</v>
      </c>
      <c r="D20590" s="2">
        <v>1.89411021917561E-3</v>
      </c>
      <c r="E20590" s="2">
        <v>1.06587081645704E-3</v>
      </c>
      <c r="F20590" s="2">
        <v>6.2917379546332504E-3</v>
      </c>
    </row>
    <row r="20591" spans="1:6" x14ac:dyDescent="0.25">
      <c r="A20591" s="1" t="str">
        <f t="shared" si="769"/>
        <v>32780</v>
      </c>
      <c r="B20591" s="1" t="str">
        <f>"97536"</f>
        <v>97536</v>
      </c>
      <c r="C20591" s="2">
        <v>4.9795146549007196E-3</v>
      </c>
      <c r="D20591" s="2">
        <v>1.17254442139442E-3</v>
      </c>
      <c r="E20591" s="2">
        <v>1.06587081645704E-3</v>
      </c>
      <c r="F20591" s="2">
        <v>4.5019829224255499E-3</v>
      </c>
    </row>
    <row r="20592" spans="1:6" x14ac:dyDescent="0.25">
      <c r="A20592" s="1" t="str">
        <f t="shared" si="769"/>
        <v>32780</v>
      </c>
      <c r="B20592" s="1" t="str">
        <f>"97522"</f>
        <v>97522</v>
      </c>
      <c r="C20592" s="2">
        <v>2.20611408761424E-3</v>
      </c>
      <c r="D20592" s="2">
        <v>4.5097862361323998E-4</v>
      </c>
      <c r="E20592" s="2">
        <v>2.1317416329140899E-4</v>
      </c>
      <c r="F20592" s="2">
        <v>1.9789802338508098E-3</v>
      </c>
    </row>
    <row r="20593" spans="1:6" x14ac:dyDescent="0.25">
      <c r="A20593" s="1" t="str">
        <f t="shared" si="769"/>
        <v>32780</v>
      </c>
      <c r="B20593" s="1" t="str">
        <f>"97537"</f>
        <v>97537</v>
      </c>
      <c r="C20593" s="2">
        <v>4.58061320967088E-2</v>
      </c>
      <c r="D20593" s="2">
        <v>2.6878325967349102E-2</v>
      </c>
      <c r="E20593" s="2">
        <v>1.7906629716478301E-2</v>
      </c>
      <c r="F20593" s="2">
        <v>4.3119692824422601E-2</v>
      </c>
    </row>
    <row r="20594" spans="1:6" x14ac:dyDescent="0.25">
      <c r="A20594" s="1" t="str">
        <f t="shared" si="769"/>
        <v>32780</v>
      </c>
      <c r="B20594" s="1" t="str">
        <f>"97535"</f>
        <v>97535</v>
      </c>
      <c r="C20594" s="2">
        <v>3.4550447976227902E-2</v>
      </c>
      <c r="D20594" s="2">
        <v>2.8682240461802101E-2</v>
      </c>
      <c r="E20594" s="2">
        <v>3.21892986570027E-2</v>
      </c>
      <c r="F20594" s="2">
        <v>3.3950154928133802E-2</v>
      </c>
    </row>
    <row r="20595" spans="1:6" x14ac:dyDescent="0.25">
      <c r="A20595" s="1" t="str">
        <f t="shared" si="769"/>
        <v>32780</v>
      </c>
      <c r="B20595" s="1" t="str">
        <f>"97540"</f>
        <v>97540</v>
      </c>
      <c r="C20595" s="2">
        <v>4.7030750529017097E-2</v>
      </c>
      <c r="D20595" s="2">
        <v>2.59763687201226E-2</v>
      </c>
      <c r="E20595" s="2">
        <v>3.4321040289916803E-2</v>
      </c>
      <c r="F20595" s="2">
        <v>4.47202226549872E-2</v>
      </c>
    </row>
    <row r="20596" spans="1:6" x14ac:dyDescent="0.25">
      <c r="A20596" s="1" t="str">
        <f t="shared" ref="A20596:A20627" si="770">"32820"</f>
        <v>32820</v>
      </c>
      <c r="B20596" s="1" t="str">
        <f>"38679"</f>
        <v>38679</v>
      </c>
      <c r="C20596" s="2">
        <v>0</v>
      </c>
      <c r="D20596" s="2">
        <v>1.6962952910842699E-5</v>
      </c>
      <c r="E20596" s="2">
        <v>0</v>
      </c>
      <c r="F20596" s="2">
        <v>1.39243960989411E-6</v>
      </c>
    </row>
    <row r="20597" spans="1:6" x14ac:dyDescent="0.25">
      <c r="A20597" s="1" t="str">
        <f t="shared" si="770"/>
        <v>32820</v>
      </c>
      <c r="B20597" s="1" t="str">
        <f>"38036"</f>
        <v>38036</v>
      </c>
      <c r="C20597" s="2">
        <v>0</v>
      </c>
      <c r="D20597" s="2">
        <v>0</v>
      </c>
      <c r="E20597" s="2">
        <v>3.43855305687366E-5</v>
      </c>
      <c r="F20597" s="2">
        <v>1.39243960989411E-6</v>
      </c>
    </row>
    <row r="20598" spans="1:6" x14ac:dyDescent="0.25">
      <c r="A20598" s="1" t="str">
        <f t="shared" si="770"/>
        <v>32820</v>
      </c>
      <c r="B20598" s="1" t="str">
        <f>"38686"</f>
        <v>38686</v>
      </c>
      <c r="C20598" s="2">
        <v>0</v>
      </c>
      <c r="D20598" s="2">
        <v>1.6962952910842699E-5</v>
      </c>
      <c r="E20598" s="2">
        <v>0</v>
      </c>
      <c r="F20598" s="2">
        <v>1.39243960989411E-6</v>
      </c>
    </row>
    <row r="20599" spans="1:6" x14ac:dyDescent="0.25">
      <c r="A20599" s="1" t="str">
        <f t="shared" si="770"/>
        <v>32820</v>
      </c>
      <c r="B20599" s="1" t="str">
        <f>"38174"</f>
        <v>38174</v>
      </c>
      <c r="C20599" s="2">
        <v>1.72345389046704E-3</v>
      </c>
      <c r="D20599" s="2">
        <v>5.0210340616094404E-3</v>
      </c>
      <c r="E20599" s="2">
        <v>6.8771061137473294E-5</v>
      </c>
      <c r="F20599" s="2">
        <v>1.9271364200934601E-3</v>
      </c>
    </row>
    <row r="20600" spans="1:6" x14ac:dyDescent="0.25">
      <c r="A20600" s="1" t="str">
        <f t="shared" si="770"/>
        <v>32820</v>
      </c>
      <c r="B20600" s="1" t="str">
        <f>"38664"</f>
        <v>38664</v>
      </c>
      <c r="C20600" s="2">
        <v>2.8264009014012902E-3</v>
      </c>
      <c r="D20600" s="2">
        <v>1.8489618672818499E-3</v>
      </c>
      <c r="E20600" s="2">
        <v>8.2525273364968002E-4</v>
      </c>
      <c r="F20600" s="2">
        <v>2.6651294133373401E-3</v>
      </c>
    </row>
    <row r="20601" spans="1:6" x14ac:dyDescent="0.25">
      <c r="A20601" s="1" t="str">
        <f t="shared" si="770"/>
        <v>32820</v>
      </c>
      <c r="B20601" s="1" t="str">
        <f>"38670"</f>
        <v>38670</v>
      </c>
      <c r="C20601" s="2">
        <v>1.2378398108326799E-4</v>
      </c>
      <c r="D20601" s="2">
        <v>1.6962952910842699E-5</v>
      </c>
      <c r="E20601" s="2">
        <v>0</v>
      </c>
      <c r="F20601" s="2">
        <v>1.10002729181635E-4</v>
      </c>
    </row>
    <row r="20602" spans="1:6" x14ac:dyDescent="0.25">
      <c r="A20602" s="1" t="str">
        <f t="shared" si="770"/>
        <v>32820</v>
      </c>
      <c r="B20602" s="1" t="str">
        <f>"72301"</f>
        <v>72301</v>
      </c>
      <c r="C20602" s="2">
        <v>1.84057258026121E-2</v>
      </c>
      <c r="D20602" s="2">
        <v>2.5105170308047198E-2</v>
      </c>
      <c r="E20602" s="2">
        <v>1.43731517777319E-2</v>
      </c>
      <c r="F20602" s="2">
        <v>1.8792364975130999E-2</v>
      </c>
    </row>
    <row r="20603" spans="1:6" x14ac:dyDescent="0.25">
      <c r="A20603" s="1" t="str">
        <f t="shared" si="770"/>
        <v>32820</v>
      </c>
      <c r="B20603" s="1" t="str">
        <f>"38136"</f>
        <v>38136</v>
      </c>
      <c r="C20603" s="2">
        <v>0</v>
      </c>
      <c r="D20603" s="2">
        <v>1.6962952910842699E-5</v>
      </c>
      <c r="E20603" s="2">
        <v>0</v>
      </c>
      <c r="F20603" s="2">
        <v>1.39243960989411E-6</v>
      </c>
    </row>
    <row r="20604" spans="1:6" x14ac:dyDescent="0.25">
      <c r="A20604" s="1" t="str">
        <f t="shared" si="770"/>
        <v>32820</v>
      </c>
      <c r="B20604" s="1" t="str">
        <f>"38649"</f>
        <v>38649</v>
      </c>
      <c r="C20604" s="2">
        <v>1.5869741164521601E-6</v>
      </c>
      <c r="D20604" s="2">
        <v>0</v>
      </c>
      <c r="E20604" s="2">
        <v>0</v>
      </c>
      <c r="F20604" s="2">
        <v>1.39243960989411E-6</v>
      </c>
    </row>
    <row r="20605" spans="1:6" x14ac:dyDescent="0.25">
      <c r="A20605" s="1" t="str">
        <f t="shared" si="770"/>
        <v>32820</v>
      </c>
      <c r="B20605" s="1" t="str">
        <f>"38152"</f>
        <v>38152</v>
      </c>
      <c r="C20605" s="2">
        <v>3.1739482329043202E-6</v>
      </c>
      <c r="D20605" s="2">
        <v>3.6470348758311801E-3</v>
      </c>
      <c r="E20605" s="2">
        <v>0</v>
      </c>
      <c r="F20605" s="2">
        <v>3.02159395347023E-4</v>
      </c>
    </row>
    <row r="20606" spans="1:6" x14ac:dyDescent="0.25">
      <c r="A20606" s="1" t="str">
        <f t="shared" si="770"/>
        <v>32820</v>
      </c>
      <c r="B20606" s="1" t="str">
        <f>"38042"</f>
        <v>38042</v>
      </c>
      <c r="C20606" s="2">
        <v>1.2695792931617199E-5</v>
      </c>
      <c r="D20606" s="2">
        <v>1.6962952910842699E-5</v>
      </c>
      <c r="E20606" s="2">
        <v>0</v>
      </c>
      <c r="F20606" s="2">
        <v>1.2531956489047001E-5</v>
      </c>
    </row>
    <row r="20607" spans="1:6" x14ac:dyDescent="0.25">
      <c r="A20607" s="1" t="str">
        <f t="shared" si="770"/>
        <v>32820</v>
      </c>
      <c r="B20607" s="1" t="str">
        <f>"38167"</f>
        <v>38167</v>
      </c>
      <c r="C20607" s="2">
        <v>1.51397330709536E-3</v>
      </c>
      <c r="D20607" s="2">
        <v>1.8659248201926899E-3</v>
      </c>
      <c r="E20607" s="2">
        <v>3.43855305687366E-5</v>
      </c>
      <c r="F20607" s="2">
        <v>1.4829481845372301E-3</v>
      </c>
    </row>
    <row r="20608" spans="1:6" x14ac:dyDescent="0.25">
      <c r="A20608" s="1" t="str">
        <f t="shared" si="770"/>
        <v>32820</v>
      </c>
      <c r="B20608" s="1" t="str">
        <f>"38002"</f>
        <v>38002</v>
      </c>
      <c r="C20608" s="2">
        <v>2.6080332629774799E-2</v>
      </c>
      <c r="D20608" s="2">
        <v>1.54023612430451E-2</v>
      </c>
      <c r="E20608" s="2">
        <v>7.7711299085344802E-3</v>
      </c>
      <c r="F20608" s="2">
        <v>2.4462379066619799E-2</v>
      </c>
    </row>
    <row r="20609" spans="1:6" x14ac:dyDescent="0.25">
      <c r="A20609" s="1" t="str">
        <f t="shared" si="770"/>
        <v>32820</v>
      </c>
      <c r="B20609" s="1" t="str">
        <f>"38057"</f>
        <v>38057</v>
      </c>
      <c r="C20609" s="2">
        <v>2.6470728262422E-3</v>
      </c>
      <c r="D20609" s="2">
        <v>1.8659248201926899E-3</v>
      </c>
      <c r="E20609" s="2">
        <v>6.8771061137473297E-4</v>
      </c>
      <c r="F20609" s="2">
        <v>2.5036064185896198E-3</v>
      </c>
    </row>
    <row r="20610" spans="1:6" x14ac:dyDescent="0.25">
      <c r="A20610" s="1" t="str">
        <f t="shared" si="770"/>
        <v>32820</v>
      </c>
      <c r="B20610" s="1" t="str">
        <f>"38107"</f>
        <v>38107</v>
      </c>
      <c r="C20610" s="2">
        <v>1.57427832352054E-2</v>
      </c>
      <c r="D20610" s="2">
        <v>1.20945854254308E-2</v>
      </c>
      <c r="E20610" s="2">
        <v>1.46826215528505E-2</v>
      </c>
      <c r="F20610" s="2">
        <v>1.5400382085428901E-2</v>
      </c>
    </row>
    <row r="20611" spans="1:6" x14ac:dyDescent="0.25">
      <c r="A20611" s="1" t="str">
        <f t="shared" si="770"/>
        <v>32820</v>
      </c>
      <c r="B20611" s="1" t="str">
        <f>"38109"</f>
        <v>38109</v>
      </c>
      <c r="C20611" s="2">
        <v>3.1179280465935599E-2</v>
      </c>
      <c r="D20611" s="2">
        <v>1.81842855204233E-2</v>
      </c>
      <c r="E20611" s="2">
        <v>1.53703321642252E-2</v>
      </c>
      <c r="F20611" s="2">
        <v>2.9472376783018901E-2</v>
      </c>
    </row>
    <row r="20612" spans="1:6" x14ac:dyDescent="0.25">
      <c r="A20612" s="1" t="str">
        <f t="shared" si="770"/>
        <v>32820</v>
      </c>
      <c r="B20612" s="1" t="str">
        <f>"38076"</f>
        <v>38076</v>
      </c>
      <c r="C20612" s="2">
        <v>6.0146319013536795E-4</v>
      </c>
      <c r="D20612" s="2">
        <v>1.5266657619758401E-4</v>
      </c>
      <c r="E20612" s="2">
        <v>0</v>
      </c>
      <c r="F20612" s="2">
        <v>5.4026656863891804E-4</v>
      </c>
    </row>
    <row r="20613" spans="1:6" x14ac:dyDescent="0.25">
      <c r="A20613" s="1" t="str">
        <f t="shared" si="770"/>
        <v>32820</v>
      </c>
      <c r="B20613" s="1" t="str">
        <f>"38668"</f>
        <v>38668</v>
      </c>
      <c r="C20613" s="2">
        <v>9.3282338565058003E-3</v>
      </c>
      <c r="D20613" s="2">
        <v>9.8724385941104595E-3</v>
      </c>
      <c r="E20613" s="2">
        <v>1.58173440616188E-3</v>
      </c>
      <c r="F20613" s="2">
        <v>9.05921210197113E-3</v>
      </c>
    </row>
    <row r="20614" spans="1:6" x14ac:dyDescent="0.25">
      <c r="A20614" s="1" t="str">
        <f t="shared" si="770"/>
        <v>32820</v>
      </c>
      <c r="B20614" s="1" t="str">
        <f>"38685"</f>
        <v>38685</v>
      </c>
      <c r="C20614" s="2">
        <v>1.0347071239268E-3</v>
      </c>
      <c r="D20614" s="2">
        <v>1.86592482019269E-4</v>
      </c>
      <c r="E20614" s="2">
        <v>0</v>
      </c>
      <c r="F20614" s="2">
        <v>9.2318746135979998E-4</v>
      </c>
    </row>
    <row r="20615" spans="1:6" x14ac:dyDescent="0.25">
      <c r="A20615" s="1" t="str">
        <f t="shared" si="770"/>
        <v>32820</v>
      </c>
      <c r="B20615" s="1" t="str">
        <f>"38641"</f>
        <v>38641</v>
      </c>
      <c r="C20615" s="2">
        <v>1.58380016821925E-3</v>
      </c>
      <c r="D20615" s="2">
        <v>5.0888858732528095E-4</v>
      </c>
      <c r="E20615" s="2">
        <v>0</v>
      </c>
      <c r="F20615" s="2">
        <v>1.4314279189711499E-3</v>
      </c>
    </row>
    <row r="20616" spans="1:6" x14ac:dyDescent="0.25">
      <c r="A20616" s="1" t="str">
        <f t="shared" si="770"/>
        <v>32820</v>
      </c>
      <c r="B20616" s="1" t="str">
        <f>"38017"</f>
        <v>38017</v>
      </c>
      <c r="C20616" s="2">
        <v>3.4299271578880498E-2</v>
      </c>
      <c r="D20616" s="2">
        <v>2.7954946397068799E-2</v>
      </c>
      <c r="E20616" s="2">
        <v>2.90901588611512E-2</v>
      </c>
      <c r="F20616" s="2">
        <v>3.3567541675717502E-2</v>
      </c>
    </row>
    <row r="20617" spans="1:6" x14ac:dyDescent="0.25">
      <c r="A20617" s="1" t="str">
        <f t="shared" si="770"/>
        <v>32820</v>
      </c>
      <c r="B20617" s="1" t="str">
        <f>"38018"</f>
        <v>38018</v>
      </c>
      <c r="C20617" s="2">
        <v>2.4656816847317201E-2</v>
      </c>
      <c r="D20617" s="2">
        <v>2.0728728457049799E-2</v>
      </c>
      <c r="E20617" s="2">
        <v>2.36572450312908E-2</v>
      </c>
      <c r="F20617" s="2">
        <v>2.4293893873822602E-2</v>
      </c>
    </row>
    <row r="20618" spans="1:6" x14ac:dyDescent="0.25">
      <c r="A20618" s="1" t="str">
        <f t="shared" si="770"/>
        <v>32820</v>
      </c>
      <c r="B20618" s="1" t="str">
        <f>"38053"</f>
        <v>38053</v>
      </c>
      <c r="C20618" s="2">
        <v>1.8834208814054201E-2</v>
      </c>
      <c r="D20618" s="2">
        <v>1.5147916949382501E-2</v>
      </c>
      <c r="E20618" s="2">
        <v>7.8399009696719594E-3</v>
      </c>
      <c r="F20618" s="2">
        <v>1.80863980929147E-2</v>
      </c>
    </row>
    <row r="20619" spans="1:6" x14ac:dyDescent="0.25">
      <c r="A20619" s="1" t="str">
        <f t="shared" si="770"/>
        <v>32820</v>
      </c>
      <c r="B20619" s="1" t="str">
        <f>"38066"</f>
        <v>38066</v>
      </c>
      <c r="C20619" s="2">
        <v>2.2884166759240101E-3</v>
      </c>
      <c r="D20619" s="2">
        <v>1.78111005563848E-3</v>
      </c>
      <c r="E20619" s="2">
        <v>1.3754212227494599E-4</v>
      </c>
      <c r="F20619" s="2">
        <v>2.15967383494577E-3</v>
      </c>
    </row>
    <row r="20620" spans="1:6" x14ac:dyDescent="0.25">
      <c r="A20620" s="1" t="str">
        <f t="shared" si="770"/>
        <v>32820</v>
      </c>
      <c r="B20620" s="1" t="str">
        <f>"38075"</f>
        <v>38075</v>
      </c>
      <c r="C20620" s="2">
        <v>2.9993810800945801E-4</v>
      </c>
      <c r="D20620" s="2">
        <v>6.7851811643370797E-5</v>
      </c>
      <c r="E20620" s="2">
        <v>0</v>
      </c>
      <c r="F20620" s="2">
        <v>2.6874084470956402E-4</v>
      </c>
    </row>
    <row r="20621" spans="1:6" x14ac:dyDescent="0.25">
      <c r="A20621" s="1" t="str">
        <f t="shared" si="770"/>
        <v>32820</v>
      </c>
      <c r="B20621" s="1" t="str">
        <f>"38118"</f>
        <v>38118</v>
      </c>
      <c r="C20621" s="2">
        <v>2.8160855696443499E-2</v>
      </c>
      <c r="D20621" s="2">
        <v>5.0804043967973903E-2</v>
      </c>
      <c r="E20621" s="2">
        <v>6.5229351488893403E-2</v>
      </c>
      <c r="F20621" s="2">
        <v>3.1520655449173103E-2</v>
      </c>
    </row>
    <row r="20622" spans="1:6" x14ac:dyDescent="0.25">
      <c r="A20622" s="1" t="str">
        <f t="shared" si="770"/>
        <v>32820</v>
      </c>
      <c r="B20622" s="1" t="str">
        <f>"38125"</f>
        <v>38125</v>
      </c>
      <c r="C20622" s="2">
        <v>2.7729198736768601E-2</v>
      </c>
      <c r="D20622" s="2">
        <v>1.30275478355272E-2</v>
      </c>
      <c r="E20622" s="2">
        <v>3.3285193590537103E-2</v>
      </c>
      <c r="F20622" s="2">
        <v>2.6747372466456101E-2</v>
      </c>
    </row>
    <row r="20623" spans="1:6" x14ac:dyDescent="0.25">
      <c r="A20623" s="1" t="str">
        <f t="shared" si="770"/>
        <v>32820</v>
      </c>
      <c r="B20623" s="1" t="str">
        <f>"38112"</f>
        <v>38112</v>
      </c>
      <c r="C20623" s="2">
        <v>1.3603542126227899E-2</v>
      </c>
      <c r="D20623" s="2">
        <v>1.54702130546885E-2</v>
      </c>
      <c r="E20623" s="2">
        <v>1.70896086926621E-2</v>
      </c>
      <c r="F20623" s="2">
        <v>1.38979397463532E-2</v>
      </c>
    </row>
    <row r="20624" spans="1:6" x14ac:dyDescent="0.25">
      <c r="A20624" s="1" t="str">
        <f t="shared" si="770"/>
        <v>32820</v>
      </c>
      <c r="B20624" s="1" t="str">
        <f>"38119"</f>
        <v>38119</v>
      </c>
      <c r="C20624" s="2">
        <v>1.8174027581610099E-2</v>
      </c>
      <c r="D20624" s="2">
        <v>2.5105170308047198E-2</v>
      </c>
      <c r="E20624" s="2">
        <v>2.7267725741008102E-2</v>
      </c>
      <c r="F20624" s="2">
        <v>1.9111233645796699E-2</v>
      </c>
    </row>
    <row r="20625" spans="1:6" x14ac:dyDescent="0.25">
      <c r="A20625" s="1" t="str">
        <f t="shared" si="770"/>
        <v>32820</v>
      </c>
      <c r="B20625" s="1" t="str">
        <f>"38161"</f>
        <v>38161</v>
      </c>
      <c r="C20625" s="2">
        <v>0</v>
      </c>
      <c r="D20625" s="2">
        <v>1.6962952910842699E-5</v>
      </c>
      <c r="E20625" s="2">
        <v>0</v>
      </c>
      <c r="F20625" s="2">
        <v>1.39243960989411E-6</v>
      </c>
    </row>
    <row r="20626" spans="1:6" x14ac:dyDescent="0.25">
      <c r="A20626" s="1" t="str">
        <f t="shared" si="770"/>
        <v>32820</v>
      </c>
      <c r="B20626" s="1" t="str">
        <f>"38621"</f>
        <v>38621</v>
      </c>
      <c r="C20626" s="2">
        <v>1.5869741164521601E-6</v>
      </c>
      <c r="D20626" s="2">
        <v>0</v>
      </c>
      <c r="E20626" s="2">
        <v>0</v>
      </c>
      <c r="F20626" s="2">
        <v>1.39243960989411E-6</v>
      </c>
    </row>
    <row r="20627" spans="1:6" x14ac:dyDescent="0.25">
      <c r="A20627" s="1" t="str">
        <f t="shared" si="770"/>
        <v>32820</v>
      </c>
      <c r="B20627" s="1" t="str">
        <f>"38188"</f>
        <v>38188</v>
      </c>
      <c r="C20627" s="2">
        <v>4.1261327027756102E-5</v>
      </c>
      <c r="D20627" s="2">
        <v>1.6962952910842699E-5</v>
      </c>
      <c r="E20627" s="2">
        <v>4.1262636682484001E-4</v>
      </c>
      <c r="F20627" s="2">
        <v>5.4305144785870599E-5</v>
      </c>
    </row>
    <row r="20628" spans="1:6" x14ac:dyDescent="0.25">
      <c r="A20628" s="1" t="str">
        <f t="shared" ref="A20628:A20659" si="771">"32820"</f>
        <v>32820</v>
      </c>
      <c r="B20628" s="1" t="str">
        <f>"38027"</f>
        <v>38027</v>
      </c>
      <c r="C20628" s="2">
        <v>1.57586529763699E-3</v>
      </c>
      <c r="D20628" s="2">
        <v>7.2940697516623602E-3</v>
      </c>
      <c r="E20628" s="2">
        <v>6.8771061137473294E-5</v>
      </c>
      <c r="F20628" s="2">
        <v>1.9842264440991099E-3</v>
      </c>
    </row>
    <row r="20629" spans="1:6" x14ac:dyDescent="0.25">
      <c r="A20629" s="1" t="str">
        <f t="shared" si="771"/>
        <v>32820</v>
      </c>
      <c r="B20629" s="1" t="str">
        <f>"38182"</f>
        <v>38182</v>
      </c>
      <c r="C20629" s="2">
        <v>7.9983495469188796E-4</v>
      </c>
      <c r="D20629" s="2">
        <v>2.7819242773782001E-3</v>
      </c>
      <c r="E20629" s="2">
        <v>6.8771061137473294E-5</v>
      </c>
      <c r="F20629" s="2">
        <v>9.3293453862905895E-4</v>
      </c>
    </row>
    <row r="20630" spans="1:6" x14ac:dyDescent="0.25">
      <c r="A20630" s="1" t="str">
        <f t="shared" si="771"/>
        <v>32820</v>
      </c>
      <c r="B20630" s="1" t="str">
        <f>"38177"</f>
        <v>38177</v>
      </c>
      <c r="C20630" s="2">
        <v>1.75201942456318E-3</v>
      </c>
      <c r="D20630" s="2">
        <v>5.3263672140046103E-3</v>
      </c>
      <c r="E20630" s="2">
        <v>6.8771061137473294E-5</v>
      </c>
      <c r="F20630" s="2">
        <v>1.9772642460496401E-3</v>
      </c>
    </row>
    <row r="20631" spans="1:6" x14ac:dyDescent="0.25">
      <c r="A20631" s="1" t="str">
        <f t="shared" si="771"/>
        <v>32820</v>
      </c>
      <c r="B20631" s="1" t="str">
        <f>"38124"</f>
        <v>38124</v>
      </c>
      <c r="C20631" s="2">
        <v>1.40923301540951E-3</v>
      </c>
      <c r="D20631" s="2">
        <v>3.22296105306011E-3</v>
      </c>
      <c r="E20631" s="2">
        <v>6.8771061137473294E-5</v>
      </c>
      <c r="F20631" s="2">
        <v>1.50383477868564E-3</v>
      </c>
    </row>
    <row r="20632" spans="1:6" x14ac:dyDescent="0.25">
      <c r="A20632" s="1" t="str">
        <f t="shared" si="771"/>
        <v>32820</v>
      </c>
      <c r="B20632" s="1" t="str">
        <f>"72348"</f>
        <v>72348</v>
      </c>
      <c r="C20632" s="2">
        <v>1.0235983051116401E-3</v>
      </c>
      <c r="D20632" s="2">
        <v>4.07110869860225E-4</v>
      </c>
      <c r="E20632" s="2">
        <v>0</v>
      </c>
      <c r="F20632" s="2">
        <v>9.3154209901916498E-4</v>
      </c>
    </row>
    <row r="20633" spans="1:6" x14ac:dyDescent="0.25">
      <c r="A20633" s="1" t="str">
        <f t="shared" si="771"/>
        <v>32820</v>
      </c>
      <c r="B20633" s="1" t="str">
        <f>"38016"</f>
        <v>38016</v>
      </c>
      <c r="C20633" s="2">
        <v>3.2836081443511599E-2</v>
      </c>
      <c r="D20633" s="2">
        <v>1.43676211154837E-2</v>
      </c>
      <c r="E20633" s="2">
        <v>5.0684272058317797E-2</v>
      </c>
      <c r="F20633" s="2">
        <v>3.2042820302883399E-2</v>
      </c>
    </row>
    <row r="20634" spans="1:6" x14ac:dyDescent="0.25">
      <c r="A20634" s="1" t="str">
        <f t="shared" si="771"/>
        <v>32820</v>
      </c>
      <c r="B20634" s="1" t="str">
        <f>"38068"</f>
        <v>38068</v>
      </c>
      <c r="C20634" s="2">
        <v>7.8206084458762402E-3</v>
      </c>
      <c r="D20634" s="2">
        <v>8.2779210204912395E-3</v>
      </c>
      <c r="E20634" s="2">
        <v>2.4413726703803001E-3</v>
      </c>
      <c r="F20634" s="2">
        <v>7.64031613948903E-3</v>
      </c>
    </row>
    <row r="20635" spans="1:6" x14ac:dyDescent="0.25">
      <c r="A20635" s="1" t="str">
        <f t="shared" si="771"/>
        <v>32820</v>
      </c>
      <c r="B20635" s="1" t="str">
        <f>"38088"</f>
        <v>38088</v>
      </c>
      <c r="C20635" s="2">
        <v>2.0678272737371601E-3</v>
      </c>
      <c r="D20635" s="2">
        <v>1.0975030533315199E-2</v>
      </c>
      <c r="E20635" s="2">
        <v>6.8771061137473294E-5</v>
      </c>
      <c r="F20635" s="2">
        <v>2.7180421185133202E-3</v>
      </c>
    </row>
    <row r="20636" spans="1:6" x14ac:dyDescent="0.25">
      <c r="A20636" s="1" t="str">
        <f t="shared" si="771"/>
        <v>32820</v>
      </c>
      <c r="B20636" s="1" t="str">
        <f>"38101"</f>
        <v>38101</v>
      </c>
      <c r="C20636" s="2">
        <v>2.43124434640471E-3</v>
      </c>
      <c r="D20636" s="2">
        <v>9.8554756411996201E-3</v>
      </c>
      <c r="E20636" s="2">
        <v>5.8455401966852304E-4</v>
      </c>
      <c r="F20636" s="2">
        <v>2.9658963690744702E-3</v>
      </c>
    </row>
    <row r="20637" spans="1:6" x14ac:dyDescent="0.25">
      <c r="A20637" s="1" t="str">
        <f t="shared" si="771"/>
        <v>32820</v>
      </c>
      <c r="B20637" s="1" t="str">
        <f>"38127"</f>
        <v>38127</v>
      </c>
      <c r="C20637" s="2">
        <v>2.9144779648643902E-2</v>
      </c>
      <c r="D20637" s="2">
        <v>1.3790880716515099E-2</v>
      </c>
      <c r="E20637" s="2">
        <v>4.0127914173715702E-2</v>
      </c>
      <c r="F20637" s="2">
        <v>2.83291838632958E-2</v>
      </c>
    </row>
    <row r="20638" spans="1:6" x14ac:dyDescent="0.25">
      <c r="A20638" s="1" t="str">
        <f t="shared" si="771"/>
        <v>32820</v>
      </c>
      <c r="B20638" s="1" t="str">
        <f>"38175"</f>
        <v>38175</v>
      </c>
      <c r="C20638" s="2">
        <v>3.8849126370748802E-3</v>
      </c>
      <c r="D20638" s="2">
        <v>7.10747726964309E-3</v>
      </c>
      <c r="E20638" s="2">
        <v>6.8771061137473294E-5</v>
      </c>
      <c r="F20638" s="2">
        <v>3.9949092407862196E-3</v>
      </c>
    </row>
    <row r="20639" spans="1:6" x14ac:dyDescent="0.25">
      <c r="A20639" s="1" t="str">
        <f t="shared" si="771"/>
        <v>32820</v>
      </c>
      <c r="B20639" s="1" t="str">
        <f>"38120"</f>
        <v>38120</v>
      </c>
      <c r="C20639" s="2">
        <v>1.09088600764921E-2</v>
      </c>
      <c r="D20639" s="2">
        <v>1.0245623558149E-2</v>
      </c>
      <c r="E20639" s="2">
        <v>1.9496595832473599E-2</v>
      </c>
      <c r="F20639" s="2">
        <v>1.12021766615981E-2</v>
      </c>
    </row>
    <row r="20640" spans="1:6" x14ac:dyDescent="0.25">
      <c r="A20640" s="1" t="str">
        <f t="shared" si="771"/>
        <v>32820</v>
      </c>
      <c r="B20640" s="1" t="str">
        <f>"38602"</f>
        <v>38602</v>
      </c>
      <c r="C20640" s="2">
        <v>0</v>
      </c>
      <c r="D20640" s="2">
        <v>1.6962952910842699E-5</v>
      </c>
      <c r="E20640" s="2">
        <v>0</v>
      </c>
      <c r="F20640" s="2">
        <v>1.39243960989411E-6</v>
      </c>
    </row>
    <row r="20641" spans="1:6" x14ac:dyDescent="0.25">
      <c r="A20641" s="1" t="str">
        <f t="shared" si="771"/>
        <v>32820</v>
      </c>
      <c r="B20641" s="1" t="str">
        <f>"38193"</f>
        <v>38193</v>
      </c>
      <c r="C20641" s="2">
        <v>0</v>
      </c>
      <c r="D20641" s="2">
        <v>1.6962952910842699E-5</v>
      </c>
      <c r="E20641" s="2">
        <v>0</v>
      </c>
      <c r="F20641" s="2">
        <v>1.39243960989411E-6</v>
      </c>
    </row>
    <row r="20642" spans="1:6" x14ac:dyDescent="0.25">
      <c r="A20642" s="1" t="str">
        <f t="shared" si="771"/>
        <v>32820</v>
      </c>
      <c r="B20642" s="1" t="str">
        <f>"38619"</f>
        <v>38619</v>
      </c>
      <c r="C20642" s="2">
        <v>1.8091504927554599E-4</v>
      </c>
      <c r="D20642" s="2">
        <v>3.3925905821685398E-5</v>
      </c>
      <c r="E20642" s="2">
        <v>0</v>
      </c>
      <c r="F20642" s="2">
        <v>1.6152299474771699E-4</v>
      </c>
    </row>
    <row r="20643" spans="1:6" x14ac:dyDescent="0.25">
      <c r="A20643" s="1" t="str">
        <f t="shared" si="771"/>
        <v>32820</v>
      </c>
      <c r="B20643" s="1" t="str">
        <f>"38083"</f>
        <v>38083</v>
      </c>
      <c r="C20643" s="2">
        <v>1.49016869534857E-3</v>
      </c>
      <c r="D20643" s="2">
        <v>3.2059981001492698E-3</v>
      </c>
      <c r="E20643" s="2">
        <v>3.43855305687366E-5</v>
      </c>
      <c r="F20643" s="2">
        <v>1.5720643195704599E-3</v>
      </c>
    </row>
    <row r="20644" spans="1:6" x14ac:dyDescent="0.25">
      <c r="A20644" s="1" t="str">
        <f t="shared" si="771"/>
        <v>32820</v>
      </c>
      <c r="B20644" s="1" t="str">
        <f>"38184"</f>
        <v>38184</v>
      </c>
      <c r="C20644" s="2">
        <v>2.14717597955977E-3</v>
      </c>
      <c r="D20644" s="2">
        <v>8.0065137739177596E-3</v>
      </c>
      <c r="E20644" s="2">
        <v>6.8771061137473294E-5</v>
      </c>
      <c r="F20644" s="2">
        <v>2.54398716727655E-3</v>
      </c>
    </row>
    <row r="20645" spans="1:6" x14ac:dyDescent="0.25">
      <c r="A20645" s="1" t="str">
        <f t="shared" si="771"/>
        <v>32820</v>
      </c>
      <c r="B20645" s="1" t="str">
        <f>"72384"</f>
        <v>72384</v>
      </c>
      <c r="C20645" s="2">
        <v>5.5226699252535101E-4</v>
      </c>
      <c r="D20645" s="2">
        <v>1.5266657619758401E-4</v>
      </c>
      <c r="E20645" s="2">
        <v>2.0631318341242001E-4</v>
      </c>
      <c r="F20645" s="2">
        <v>5.0545557839156503E-4</v>
      </c>
    </row>
    <row r="20646" spans="1:6" x14ac:dyDescent="0.25">
      <c r="A20646" s="1" t="str">
        <f t="shared" si="771"/>
        <v>32820</v>
      </c>
      <c r="B20646" s="1" t="str">
        <f>"72376"</f>
        <v>72376</v>
      </c>
      <c r="C20646" s="2">
        <v>1.39495024836144E-3</v>
      </c>
      <c r="D20646" s="2">
        <v>5.2585154023612399E-4</v>
      </c>
      <c r="E20646" s="2">
        <v>1.71927652843683E-4</v>
      </c>
      <c r="F20646" s="2">
        <v>1.2740822430531099E-3</v>
      </c>
    </row>
    <row r="20647" spans="1:6" x14ac:dyDescent="0.25">
      <c r="A20647" s="1" t="str">
        <f t="shared" si="771"/>
        <v>32820</v>
      </c>
      <c r="B20647" s="1" t="str">
        <f>"72327"</f>
        <v>72327</v>
      </c>
      <c r="C20647" s="2">
        <v>1.1045339850507001E-3</v>
      </c>
      <c r="D20647" s="2">
        <v>5.9370335187949495E-4</v>
      </c>
      <c r="E20647" s="2">
        <v>2.0631318341242001E-4</v>
      </c>
      <c r="F20647" s="2">
        <v>1.0262279924919599E-3</v>
      </c>
    </row>
    <row r="20648" spans="1:6" x14ac:dyDescent="0.25">
      <c r="A20648" s="1" t="str">
        <f t="shared" si="771"/>
        <v>32820</v>
      </c>
      <c r="B20648" s="1" t="str">
        <f>"38039"</f>
        <v>38039</v>
      </c>
      <c r="C20648" s="2">
        <v>2.34872169234919E-4</v>
      </c>
      <c r="D20648" s="2">
        <v>1.18740670375899E-4</v>
      </c>
      <c r="E20648" s="2">
        <v>6.8771061137473294E-5</v>
      </c>
      <c r="F20648" s="2">
        <v>2.1861301875337601E-4</v>
      </c>
    </row>
    <row r="20649" spans="1:6" x14ac:dyDescent="0.25">
      <c r="A20649" s="1" t="str">
        <f t="shared" si="771"/>
        <v>32820</v>
      </c>
      <c r="B20649" s="1" t="str">
        <f>"38060"</f>
        <v>38060</v>
      </c>
      <c r="C20649" s="2">
        <v>8.4427022995254893E-3</v>
      </c>
      <c r="D20649" s="2">
        <v>6.4459221061202304E-3</v>
      </c>
      <c r="E20649" s="2">
        <v>7.2209614194346998E-4</v>
      </c>
      <c r="F20649" s="2">
        <v>7.9661470082042496E-3</v>
      </c>
    </row>
    <row r="20650" spans="1:6" x14ac:dyDescent="0.25">
      <c r="A20650" s="1" t="str">
        <f t="shared" si="771"/>
        <v>32820</v>
      </c>
      <c r="B20650" s="1" t="str">
        <f>"38069"</f>
        <v>38069</v>
      </c>
      <c r="C20650" s="2">
        <v>4.9989684668243E-4</v>
      </c>
      <c r="D20650" s="2">
        <v>2.0355543493011201E-4</v>
      </c>
      <c r="E20650" s="2">
        <v>0</v>
      </c>
      <c r="F20650" s="2">
        <v>4.55327752435376E-4</v>
      </c>
    </row>
    <row r="20651" spans="1:6" x14ac:dyDescent="0.25">
      <c r="A20651" s="1" t="str">
        <f t="shared" si="771"/>
        <v>32820</v>
      </c>
      <c r="B20651" s="1" t="str">
        <f>"38134"</f>
        <v>38134</v>
      </c>
      <c r="C20651" s="2">
        <v>2.5915287321663701E-2</v>
      </c>
      <c r="D20651" s="2">
        <v>4.1016420138417602E-2</v>
      </c>
      <c r="E20651" s="2">
        <v>5.78020768860463E-2</v>
      </c>
      <c r="F20651" s="2">
        <v>2.8446148790526898E-2</v>
      </c>
    </row>
    <row r="20652" spans="1:6" x14ac:dyDescent="0.25">
      <c r="A20652" s="1" t="str">
        <f t="shared" si="771"/>
        <v>32820</v>
      </c>
      <c r="B20652" s="1" t="str">
        <f>"38135"</f>
        <v>38135</v>
      </c>
      <c r="C20652" s="2">
        <v>1.7899481059463901E-2</v>
      </c>
      <c r="D20652" s="2">
        <v>2.1373320667661799E-3</v>
      </c>
      <c r="E20652" s="2">
        <v>3.5760951791486101E-3</v>
      </c>
      <c r="F20652" s="2">
        <v>1.6025587470271399E-2</v>
      </c>
    </row>
    <row r="20653" spans="1:6" x14ac:dyDescent="0.25">
      <c r="A20653" s="1" t="str">
        <f t="shared" si="771"/>
        <v>32820</v>
      </c>
      <c r="B20653" s="1" t="str">
        <f>"38116"</f>
        <v>38116</v>
      </c>
      <c r="C20653" s="2">
        <v>2.89971910558138E-2</v>
      </c>
      <c r="D20653" s="2">
        <v>3.5028497760890197E-2</v>
      </c>
      <c r="E20653" s="2">
        <v>6.6707929303349095E-2</v>
      </c>
      <c r="F20653" s="2">
        <v>3.1019377189611199E-2</v>
      </c>
    </row>
    <row r="20654" spans="1:6" x14ac:dyDescent="0.25">
      <c r="A20654" s="1" t="str">
        <f t="shared" si="771"/>
        <v>32820</v>
      </c>
      <c r="B20654" s="1" t="str">
        <f>"38131"</f>
        <v>38131</v>
      </c>
      <c r="C20654" s="2">
        <v>1.5869741164521601E-6</v>
      </c>
      <c r="D20654" s="2">
        <v>3.08725742977337E-3</v>
      </c>
      <c r="E20654" s="2">
        <v>3.0946977511863002E-4</v>
      </c>
      <c r="F20654" s="2">
        <v>2.6734840509967E-4</v>
      </c>
    </row>
    <row r="20655" spans="1:6" x14ac:dyDescent="0.25">
      <c r="A20655" s="1" t="str">
        <f t="shared" si="771"/>
        <v>32820</v>
      </c>
      <c r="B20655" s="1" t="str">
        <f>"38680"</f>
        <v>38680</v>
      </c>
      <c r="C20655" s="2">
        <v>4.4435275260660398E-3</v>
      </c>
      <c r="D20655" s="2">
        <v>1.0347401275613999E-3</v>
      </c>
      <c r="E20655" s="2">
        <v>4.8139742796231299E-4</v>
      </c>
      <c r="F20655" s="2">
        <v>4.0032638784455897E-3</v>
      </c>
    </row>
    <row r="20656" spans="1:6" x14ac:dyDescent="0.25">
      <c r="A20656" s="1" t="str">
        <f t="shared" si="771"/>
        <v>32820</v>
      </c>
      <c r="B20656" s="1" t="str">
        <f>"38637"</f>
        <v>38637</v>
      </c>
      <c r="C20656" s="2">
        <v>1.7920111722977701E-2</v>
      </c>
      <c r="D20656" s="2">
        <v>1.22811779074501E-2</v>
      </c>
      <c r="E20656" s="2">
        <v>4.40134791279829E-3</v>
      </c>
      <c r="F20656" s="2">
        <v>1.6909786622554102E-2</v>
      </c>
    </row>
    <row r="20657" spans="1:6" x14ac:dyDescent="0.25">
      <c r="A20657" s="1" t="str">
        <f t="shared" si="771"/>
        <v>32820</v>
      </c>
      <c r="B20657" s="1" t="str">
        <f>"38055"</f>
        <v>38055</v>
      </c>
      <c r="C20657" s="2">
        <v>0</v>
      </c>
      <c r="D20657" s="2">
        <v>0</v>
      </c>
      <c r="E20657" s="2">
        <v>3.43855305687366E-5</v>
      </c>
      <c r="F20657" s="2">
        <v>1.39243960989411E-6</v>
      </c>
    </row>
    <row r="20658" spans="1:6" x14ac:dyDescent="0.25">
      <c r="A20658" s="1" t="str">
        <f t="shared" si="771"/>
        <v>32820</v>
      </c>
      <c r="B20658" s="1" t="str">
        <f>"38071"</f>
        <v>38071</v>
      </c>
      <c r="C20658" s="2">
        <v>0</v>
      </c>
      <c r="D20658" s="2">
        <v>1.6962952910842699E-5</v>
      </c>
      <c r="E20658" s="2">
        <v>0</v>
      </c>
      <c r="F20658" s="2">
        <v>1.39243960989411E-6</v>
      </c>
    </row>
    <row r="20659" spans="1:6" x14ac:dyDescent="0.25">
      <c r="A20659" s="1" t="str">
        <f t="shared" si="771"/>
        <v>32820</v>
      </c>
      <c r="B20659" s="1" t="str">
        <f>"38181"</f>
        <v>38181</v>
      </c>
      <c r="C20659" s="2">
        <v>2.08369701490168E-3</v>
      </c>
      <c r="D20659" s="2">
        <v>5.0379970145202797E-3</v>
      </c>
      <c r="E20659" s="2">
        <v>6.8771061137473294E-5</v>
      </c>
      <c r="F20659" s="2">
        <v>2.2446126511493098E-3</v>
      </c>
    </row>
    <row r="20660" spans="1:6" x14ac:dyDescent="0.25">
      <c r="A20660" s="1" t="str">
        <f t="shared" ref="A20660:A20691" si="772">"32820"</f>
        <v>32820</v>
      </c>
      <c r="B20660" s="1" t="str">
        <f>"38168"</f>
        <v>38168</v>
      </c>
      <c r="C20660" s="2">
        <v>1.4108199895259701E-3</v>
      </c>
      <c r="D20660" s="2">
        <v>3.7318496403853899E-3</v>
      </c>
      <c r="E20660" s="2">
        <v>6.8771061137473294E-5</v>
      </c>
      <c r="F20660" s="2">
        <v>1.54700040659236E-3</v>
      </c>
    </row>
    <row r="20661" spans="1:6" x14ac:dyDescent="0.25">
      <c r="A20661" s="1" t="str">
        <f t="shared" si="772"/>
        <v>32820</v>
      </c>
      <c r="B20661" s="1" t="str">
        <f>"38029"</f>
        <v>38029</v>
      </c>
      <c r="C20661" s="2">
        <v>8.1094377350705404E-4</v>
      </c>
      <c r="D20661" s="2">
        <v>2.1034061609444899E-3</v>
      </c>
      <c r="E20661" s="2">
        <v>3.43855305687366E-5</v>
      </c>
      <c r="F20661" s="2">
        <v>8.8559159189265904E-4</v>
      </c>
    </row>
    <row r="20662" spans="1:6" x14ac:dyDescent="0.25">
      <c r="A20662" s="1" t="str">
        <f t="shared" si="772"/>
        <v>32820</v>
      </c>
      <c r="B20662" s="1" t="str">
        <f>"38115"</f>
        <v>38115</v>
      </c>
      <c r="C20662" s="2">
        <v>3.0030311205624199E-2</v>
      </c>
      <c r="D20662" s="2">
        <v>3.6758718957796102E-2</v>
      </c>
      <c r="E20662" s="2">
        <v>9.6692111959287494E-2</v>
      </c>
      <c r="F20662" s="2">
        <v>3.3282091555689203E-2</v>
      </c>
    </row>
    <row r="20663" spans="1:6" x14ac:dyDescent="0.25">
      <c r="A20663" s="1" t="str">
        <f t="shared" si="772"/>
        <v>32820</v>
      </c>
      <c r="B20663" s="1" t="str">
        <f>"38141"</f>
        <v>38141</v>
      </c>
      <c r="C20663" s="2">
        <v>1.27941853268373E-2</v>
      </c>
      <c r="D20663" s="2">
        <v>7.6163658569683799E-3</v>
      </c>
      <c r="E20663" s="2">
        <v>2.2694450175366199E-3</v>
      </c>
      <c r="F20663" s="2">
        <v>1.19429545340618E-2</v>
      </c>
    </row>
    <row r="20664" spans="1:6" x14ac:dyDescent="0.25">
      <c r="A20664" s="1" t="str">
        <f t="shared" si="772"/>
        <v>32820</v>
      </c>
      <c r="B20664" s="1" t="str">
        <f>"38132"</f>
        <v>38132</v>
      </c>
      <c r="C20664" s="2">
        <v>3.1739482329043202E-6</v>
      </c>
      <c r="D20664" s="2">
        <v>4.2746641335323597E-3</v>
      </c>
      <c r="E20664" s="2">
        <v>1.4098067533181999E-3</v>
      </c>
      <c r="F20664" s="2">
        <v>4.10769684918765E-4</v>
      </c>
    </row>
    <row r="20665" spans="1:6" x14ac:dyDescent="0.25">
      <c r="A20665" s="1" t="str">
        <f t="shared" si="772"/>
        <v>32820</v>
      </c>
      <c r="B20665" s="1" t="str">
        <f>"38659"</f>
        <v>38659</v>
      </c>
      <c r="C20665" s="2">
        <v>1.80597654452255E-3</v>
      </c>
      <c r="D20665" s="2">
        <v>4.9192563441443802E-4</v>
      </c>
      <c r="E20665" s="2">
        <v>0</v>
      </c>
      <c r="F20665" s="2">
        <v>1.6249770247464301E-3</v>
      </c>
    </row>
    <row r="20666" spans="1:6" x14ac:dyDescent="0.25">
      <c r="A20666" s="1" t="str">
        <f t="shared" si="772"/>
        <v>32820</v>
      </c>
      <c r="B20666" s="1" t="str">
        <f>"38654"</f>
        <v>38654</v>
      </c>
      <c r="C20666" s="2">
        <v>3.6130639709266298E-2</v>
      </c>
      <c r="D20666" s="2">
        <v>3.6555163522866002E-2</v>
      </c>
      <c r="E20666" s="2">
        <v>7.4616601334158497E-3</v>
      </c>
      <c r="F20666" s="2">
        <v>3.5004539353128201E-2</v>
      </c>
    </row>
    <row r="20667" spans="1:6" x14ac:dyDescent="0.25">
      <c r="A20667" s="1" t="str">
        <f t="shared" si="772"/>
        <v>32820</v>
      </c>
      <c r="B20667" s="1" t="str">
        <f>"38642"</f>
        <v>38642</v>
      </c>
      <c r="C20667" s="2">
        <v>9.0616222049418299E-4</v>
      </c>
      <c r="D20667" s="2">
        <v>3.22296105306011E-4</v>
      </c>
      <c r="E20667" s="2">
        <v>0</v>
      </c>
      <c r="F20667" s="2">
        <v>8.2153936983753E-4</v>
      </c>
    </row>
    <row r="20668" spans="1:6" x14ac:dyDescent="0.25">
      <c r="A20668" s="1" t="str">
        <f t="shared" si="772"/>
        <v>32820</v>
      </c>
      <c r="B20668" s="1" t="str">
        <f>"37501"</f>
        <v>37501</v>
      </c>
      <c r="C20668" s="2">
        <v>0</v>
      </c>
      <c r="D20668" s="2">
        <v>1.6962952910842699E-5</v>
      </c>
      <c r="E20668" s="2">
        <v>0</v>
      </c>
      <c r="F20668" s="2">
        <v>1.39243960989411E-6</v>
      </c>
    </row>
    <row r="20669" spans="1:6" x14ac:dyDescent="0.25">
      <c r="A20669" s="1" t="str">
        <f t="shared" si="772"/>
        <v>32820</v>
      </c>
      <c r="B20669" s="1" t="str">
        <f>"38023"</f>
        <v>38023</v>
      </c>
      <c r="C20669" s="2">
        <v>3.70558456191579E-3</v>
      </c>
      <c r="D20669" s="2">
        <v>5.4281449314696703E-4</v>
      </c>
      <c r="E20669" s="2">
        <v>0</v>
      </c>
      <c r="F20669" s="2">
        <v>3.2959045566193701E-3</v>
      </c>
    </row>
    <row r="20670" spans="1:6" x14ac:dyDescent="0.25">
      <c r="A20670" s="1" t="str">
        <f t="shared" si="772"/>
        <v>32820</v>
      </c>
      <c r="B20670" s="1" t="str">
        <f>"38049"</f>
        <v>38049</v>
      </c>
      <c r="C20670" s="2">
        <v>3.1866440258359299E-3</v>
      </c>
      <c r="D20670" s="2">
        <v>1.47577690324331E-3</v>
      </c>
      <c r="E20670" s="2">
        <v>5.5016848909978603E-4</v>
      </c>
      <c r="F20670" s="2">
        <v>2.9394400164864799E-3</v>
      </c>
    </row>
    <row r="20671" spans="1:6" x14ac:dyDescent="0.25">
      <c r="A20671" s="1" t="str">
        <f t="shared" si="772"/>
        <v>32820</v>
      </c>
      <c r="B20671" s="1" t="str">
        <f>"38106"</f>
        <v>38106</v>
      </c>
      <c r="C20671" s="2">
        <v>2.13527367368638E-2</v>
      </c>
      <c r="D20671" s="2">
        <v>1.8896729542678702E-2</v>
      </c>
      <c r="E20671" s="2">
        <v>2.3450931847878401E-2</v>
      </c>
      <c r="F20671" s="2">
        <v>2.1236096490495199E-2</v>
      </c>
    </row>
    <row r="20672" spans="1:6" x14ac:dyDescent="0.25">
      <c r="A20672" s="1" t="str">
        <f t="shared" si="772"/>
        <v>32820</v>
      </c>
      <c r="B20672" s="1" t="str">
        <f>"38117"</f>
        <v>38117</v>
      </c>
      <c r="C20672" s="2">
        <v>2.01212448224969E-2</v>
      </c>
      <c r="D20672" s="2">
        <v>2.5495318224996601E-2</v>
      </c>
      <c r="E20672" s="2">
        <v>1.28258029021387E-2</v>
      </c>
      <c r="F20672" s="2">
        <v>2.0266958522008899E-2</v>
      </c>
    </row>
    <row r="20673" spans="1:6" x14ac:dyDescent="0.25">
      <c r="A20673" s="1" t="str">
        <f t="shared" si="772"/>
        <v>32820</v>
      </c>
      <c r="B20673" s="1" t="str">
        <f>"38128"</f>
        <v>38128</v>
      </c>
      <c r="C20673" s="2">
        <v>2.9460587497817901E-2</v>
      </c>
      <c r="D20673" s="2">
        <v>1.8438729814086001E-2</v>
      </c>
      <c r="E20673" s="2">
        <v>5.6117185888178198E-2</v>
      </c>
      <c r="F20673" s="2">
        <v>2.9635292217376499E-2</v>
      </c>
    </row>
    <row r="20674" spans="1:6" x14ac:dyDescent="0.25">
      <c r="A20674" s="1" t="str">
        <f t="shared" si="772"/>
        <v>32820</v>
      </c>
      <c r="B20674" s="1" t="str">
        <f>"38183"</f>
        <v>38183</v>
      </c>
      <c r="C20674" s="2">
        <v>1.91865170679066E-3</v>
      </c>
      <c r="D20674" s="2">
        <v>1.1382141403175399E-2</v>
      </c>
      <c r="E20674" s="2">
        <v>6.8771061137473294E-5</v>
      </c>
      <c r="F20674" s="2">
        <v>2.62057134582073E-3</v>
      </c>
    </row>
    <row r="20675" spans="1:6" x14ac:dyDescent="0.25">
      <c r="A20675" s="1" t="str">
        <f t="shared" si="772"/>
        <v>32820</v>
      </c>
      <c r="B20675" s="1" t="str">
        <f>"38671"</f>
        <v>38671</v>
      </c>
      <c r="C20675" s="2">
        <v>2.99335057845206E-2</v>
      </c>
      <c r="D20675" s="2">
        <v>3.8302347672682799E-2</v>
      </c>
      <c r="E20675" s="2">
        <v>2.8471219310913901E-2</v>
      </c>
      <c r="F20675" s="2">
        <v>3.0561264557956099E-2</v>
      </c>
    </row>
    <row r="20676" spans="1:6" x14ac:dyDescent="0.25">
      <c r="A20676" s="1" t="str">
        <f t="shared" si="772"/>
        <v>32820</v>
      </c>
      <c r="B20676" s="1" t="str">
        <f>"38672"</f>
        <v>38672</v>
      </c>
      <c r="C20676" s="2">
        <v>9.1711234189770299E-3</v>
      </c>
      <c r="D20676" s="2">
        <v>7.3788845162165804E-3</v>
      </c>
      <c r="E20676" s="2">
        <v>1.61611993673062E-3</v>
      </c>
      <c r="F20676" s="2">
        <v>8.7180643975470692E-3</v>
      </c>
    </row>
    <row r="20677" spans="1:6" x14ac:dyDescent="0.25">
      <c r="A20677" s="1" t="str">
        <f t="shared" si="772"/>
        <v>32820</v>
      </c>
      <c r="B20677" s="1" t="str">
        <f>"38611"</f>
        <v>38611</v>
      </c>
      <c r="C20677" s="2">
        <v>1.39368066906828E-2</v>
      </c>
      <c r="D20677" s="2">
        <v>7.0396254579997196E-3</v>
      </c>
      <c r="E20677" s="2">
        <v>5.1578295853105E-4</v>
      </c>
      <c r="F20677" s="2">
        <v>1.28271536863446E-2</v>
      </c>
    </row>
    <row r="20678" spans="1:6" x14ac:dyDescent="0.25">
      <c r="A20678" s="1" t="str">
        <f t="shared" si="772"/>
        <v>32820</v>
      </c>
      <c r="B20678" s="1" t="str">
        <f>"38626"</f>
        <v>38626</v>
      </c>
      <c r="C20678" s="2">
        <v>7.2207322298573301E-4</v>
      </c>
      <c r="D20678" s="2">
        <v>1.5266657619758401E-4</v>
      </c>
      <c r="E20678" s="2">
        <v>6.8771061137473294E-5</v>
      </c>
      <c r="F20678" s="2">
        <v>6.4887685821065895E-4</v>
      </c>
    </row>
    <row r="20679" spans="1:6" x14ac:dyDescent="0.25">
      <c r="A20679" s="1" t="str">
        <f t="shared" si="772"/>
        <v>32820</v>
      </c>
      <c r="B20679" s="1" t="str">
        <f>"72386"</f>
        <v>72386</v>
      </c>
      <c r="C20679" s="2">
        <v>1.3013187754907699E-4</v>
      </c>
      <c r="D20679" s="2">
        <v>3.3925905821685398E-5</v>
      </c>
      <c r="E20679" s="2">
        <v>0</v>
      </c>
      <c r="F20679" s="2">
        <v>1.1696492723110499E-4</v>
      </c>
    </row>
    <row r="20680" spans="1:6" x14ac:dyDescent="0.25">
      <c r="A20680" s="1" t="str">
        <f t="shared" si="772"/>
        <v>32820</v>
      </c>
      <c r="B20680" s="1" t="str">
        <f>"72364"</f>
        <v>72364</v>
      </c>
      <c r="C20680" s="2">
        <v>1.1194515417453499E-2</v>
      </c>
      <c r="D20680" s="2">
        <v>8.04043967973944E-3</v>
      </c>
      <c r="E20680" s="2">
        <v>5.2266006464479703E-3</v>
      </c>
      <c r="F20680" s="2">
        <v>1.0693936203986801E-2</v>
      </c>
    </row>
    <row r="20681" spans="1:6" x14ac:dyDescent="0.25">
      <c r="A20681" s="1" t="str">
        <f t="shared" si="772"/>
        <v>32820</v>
      </c>
      <c r="B20681" s="1" t="str">
        <f>"38122"</f>
        <v>38122</v>
      </c>
      <c r="C20681" s="2">
        <v>1.9140494818529499E-2</v>
      </c>
      <c r="D20681" s="2">
        <v>1.8811914778124501E-2</v>
      </c>
      <c r="E20681" s="2">
        <v>1.37885977580634E-2</v>
      </c>
      <c r="F20681" s="2">
        <v>1.8896797945873001E-2</v>
      </c>
    </row>
    <row r="20682" spans="1:6" x14ac:dyDescent="0.25">
      <c r="A20682" s="1" t="str">
        <f t="shared" si="772"/>
        <v>32820</v>
      </c>
      <c r="B20682" s="1" t="str">
        <f>"38130"</f>
        <v>38130</v>
      </c>
      <c r="C20682" s="2">
        <v>1.2267309920175201E-3</v>
      </c>
      <c r="D20682" s="2">
        <v>1.9677025376577499E-3</v>
      </c>
      <c r="E20682" s="2">
        <v>1.3754212227494599E-4</v>
      </c>
      <c r="F20682" s="2">
        <v>1.24344857163544E-3</v>
      </c>
    </row>
    <row r="20683" spans="1:6" x14ac:dyDescent="0.25">
      <c r="A20683" s="1" t="str">
        <f t="shared" si="772"/>
        <v>32820</v>
      </c>
      <c r="B20683" s="1" t="str">
        <f>"38676"</f>
        <v>38676</v>
      </c>
      <c r="C20683" s="2">
        <v>3.4611905479821599E-3</v>
      </c>
      <c r="D20683" s="2">
        <v>2.5444429366264002E-3</v>
      </c>
      <c r="E20683" s="2">
        <v>1.20349356990578E-3</v>
      </c>
      <c r="F20683" s="2">
        <v>3.2945121170094801E-3</v>
      </c>
    </row>
    <row r="20684" spans="1:6" x14ac:dyDescent="0.25">
      <c r="A20684" s="1" t="str">
        <f t="shared" si="772"/>
        <v>32820</v>
      </c>
      <c r="B20684" s="1" t="str">
        <f>"38111"</f>
        <v>38111</v>
      </c>
      <c r="C20684" s="2">
        <v>3.3840636059225798E-2</v>
      </c>
      <c r="D20684" s="2">
        <v>2.6072058623965201E-2</v>
      </c>
      <c r="E20684" s="2">
        <v>3.1256447286981598E-2</v>
      </c>
      <c r="F20684" s="2">
        <v>3.3098289527183203E-2</v>
      </c>
    </row>
    <row r="20685" spans="1:6" x14ac:dyDescent="0.25">
      <c r="A20685" s="1" t="str">
        <f t="shared" si="772"/>
        <v>32820</v>
      </c>
      <c r="B20685" s="1" t="str">
        <f>"38105"</f>
        <v>38105</v>
      </c>
      <c r="C20685" s="2">
        <v>6.3732880516718703E-3</v>
      </c>
      <c r="D20685" s="2">
        <v>7.0565884109105702E-3</v>
      </c>
      <c r="E20685" s="2">
        <v>1.9324668179630002E-2</v>
      </c>
      <c r="F20685" s="2">
        <v>6.95384341181122E-3</v>
      </c>
    </row>
    <row r="20686" spans="1:6" x14ac:dyDescent="0.25">
      <c r="A20686" s="1" t="str">
        <f t="shared" si="772"/>
        <v>32820</v>
      </c>
      <c r="B20686" s="1" t="str">
        <f>"38126"</f>
        <v>38126</v>
      </c>
      <c r="C20686" s="2">
        <v>5.7035849745290601E-3</v>
      </c>
      <c r="D20686" s="2">
        <v>8.0234767268286006E-3</v>
      </c>
      <c r="E20686" s="2">
        <v>1.60236572450312E-2</v>
      </c>
      <c r="F20686" s="2">
        <v>6.3119287516500396E-3</v>
      </c>
    </row>
    <row r="20687" spans="1:6" x14ac:dyDescent="0.25">
      <c r="A20687" s="1" t="str">
        <f t="shared" si="772"/>
        <v>32820</v>
      </c>
      <c r="B20687" s="1" t="str">
        <f>"38186"</f>
        <v>38186</v>
      </c>
      <c r="C20687" s="2">
        <v>1.8789773538793501E-3</v>
      </c>
      <c r="D20687" s="2">
        <v>3.81666440493961E-3</v>
      </c>
      <c r="E20687" s="2">
        <v>3.43855305687366E-5</v>
      </c>
      <c r="F20687" s="2">
        <v>1.9633398499506998E-3</v>
      </c>
    </row>
    <row r="20688" spans="1:6" x14ac:dyDescent="0.25">
      <c r="A20688" s="1" t="str">
        <f t="shared" si="772"/>
        <v>32820</v>
      </c>
      <c r="B20688" s="1" t="str">
        <f>"72331"</f>
        <v>72331</v>
      </c>
      <c r="C20688" s="2">
        <v>2.5280497675082901E-3</v>
      </c>
      <c r="D20688" s="2">
        <v>2.5783688424480902E-3</v>
      </c>
      <c r="E20688" s="2">
        <v>5.5016848909978603E-4</v>
      </c>
      <c r="F20688" s="2">
        <v>2.45208615302354E-3</v>
      </c>
    </row>
    <row r="20689" spans="1:6" x14ac:dyDescent="0.25">
      <c r="A20689" s="1" t="str">
        <f t="shared" si="772"/>
        <v>32820</v>
      </c>
      <c r="B20689" s="1" t="str">
        <f>"38019"</f>
        <v>38019</v>
      </c>
      <c r="C20689" s="2">
        <v>1.0791423991874599E-2</v>
      </c>
      <c r="D20689" s="2">
        <v>1.39605102456235E-2</v>
      </c>
      <c r="E20689" s="2">
        <v>3.8511794236985E-3</v>
      </c>
      <c r="F20689" s="2">
        <v>1.0770520382531E-2</v>
      </c>
    </row>
    <row r="20690" spans="1:6" x14ac:dyDescent="0.25">
      <c r="A20690" s="1" t="str">
        <f t="shared" si="772"/>
        <v>32820</v>
      </c>
      <c r="B20690" s="1" t="str">
        <f>"38103"</f>
        <v>38103</v>
      </c>
      <c r="C20690" s="2">
        <v>1.57761096916509E-2</v>
      </c>
      <c r="D20690" s="2">
        <v>3.3908942868774501E-2</v>
      </c>
      <c r="E20690" s="2">
        <v>3.4970084588405101E-2</v>
      </c>
      <c r="F20690" s="2">
        <v>1.8041840025398E-2</v>
      </c>
    </row>
    <row r="20691" spans="1:6" x14ac:dyDescent="0.25">
      <c r="A20691" s="1" t="str">
        <f t="shared" si="772"/>
        <v>32820</v>
      </c>
      <c r="B20691" s="1" t="str">
        <f>"38104"</f>
        <v>38104</v>
      </c>
      <c r="C20691" s="2">
        <v>2.3572913525780299E-2</v>
      </c>
      <c r="D20691" s="2">
        <v>2.9532501017777098E-2</v>
      </c>
      <c r="E20691" s="2">
        <v>4.6695550512344398E-2</v>
      </c>
      <c r="F20691" s="2">
        <v>2.4998468316429101E-2</v>
      </c>
    </row>
    <row r="20692" spans="1:6" x14ac:dyDescent="0.25">
      <c r="A20692" s="1" t="str">
        <f t="shared" ref="A20692:A20724" si="773">"32820"</f>
        <v>32820</v>
      </c>
      <c r="B20692" s="1" t="str">
        <f>"38058"</f>
        <v>38058</v>
      </c>
      <c r="C20692" s="2">
        <v>6.9461857077111003E-3</v>
      </c>
      <c r="D20692" s="2">
        <v>2.8158501831998901E-3</v>
      </c>
      <c r="E20692" s="2">
        <v>2.0975173646929301E-3</v>
      </c>
      <c r="F20692" s="2">
        <v>6.4107919639525201E-3</v>
      </c>
    </row>
    <row r="20693" spans="1:6" x14ac:dyDescent="0.25">
      <c r="A20693" s="1" t="str">
        <f t="shared" si="773"/>
        <v>32820</v>
      </c>
      <c r="B20693" s="1" t="str">
        <f>"38138"</f>
        <v>38138</v>
      </c>
      <c r="C20693" s="2">
        <v>1.7497976608001502E-2</v>
      </c>
      <c r="D20693" s="2">
        <v>2.3035690052924399E-2</v>
      </c>
      <c r="E20693" s="2">
        <v>1.8912041812805098E-2</v>
      </c>
      <c r="F20693" s="2">
        <v>1.8009813914370499E-2</v>
      </c>
    </row>
    <row r="20694" spans="1:6" x14ac:dyDescent="0.25">
      <c r="A20694" s="1" t="str">
        <f t="shared" si="773"/>
        <v>32820</v>
      </c>
      <c r="B20694" s="1" t="str">
        <f>"38114"</f>
        <v>38114</v>
      </c>
      <c r="C20694" s="2">
        <v>2.2627076952374901E-2</v>
      </c>
      <c r="D20694" s="2">
        <v>1.88288777310354E-2</v>
      </c>
      <c r="E20694" s="2">
        <v>3.46606148132865E-2</v>
      </c>
      <c r="F20694" s="2">
        <v>2.2802591051625999E-2</v>
      </c>
    </row>
    <row r="20695" spans="1:6" x14ac:dyDescent="0.25">
      <c r="A20695" s="1" t="str">
        <f t="shared" si="773"/>
        <v>32820</v>
      </c>
      <c r="B20695" s="1" t="str">
        <f>"38665"</f>
        <v>38665</v>
      </c>
      <c r="C20695" s="2">
        <v>1.509212384746E-3</v>
      </c>
      <c r="D20695" s="2">
        <v>3.3925905821685398E-4</v>
      </c>
      <c r="E20695" s="2">
        <v>3.43855305687366E-5</v>
      </c>
      <c r="F20695" s="2">
        <v>1.3534513008170801E-3</v>
      </c>
    </row>
    <row r="20696" spans="1:6" x14ac:dyDescent="0.25">
      <c r="A20696" s="1" t="str">
        <f t="shared" si="773"/>
        <v>32820</v>
      </c>
      <c r="B20696" s="1" t="str">
        <f>"38632"</f>
        <v>38632</v>
      </c>
      <c r="C20696" s="2">
        <v>2.0392617396410202E-2</v>
      </c>
      <c r="D20696" s="2">
        <v>1.7353100827792099E-2</v>
      </c>
      <c r="E20696" s="2">
        <v>3.6792517708548202E-3</v>
      </c>
      <c r="F20696" s="2">
        <v>1.94663057463197E-2</v>
      </c>
    </row>
    <row r="20697" spans="1:6" x14ac:dyDescent="0.25">
      <c r="A20697" s="1" t="str">
        <f t="shared" si="773"/>
        <v>32820</v>
      </c>
      <c r="B20697" s="1" t="str">
        <f>"38635"</f>
        <v>38635</v>
      </c>
      <c r="C20697" s="2">
        <v>1.05533778744068E-2</v>
      </c>
      <c r="D20697" s="2">
        <v>9.3126611480526499E-3</v>
      </c>
      <c r="E20697" s="2">
        <v>2.5101437315177698E-3</v>
      </c>
      <c r="F20697" s="2">
        <v>1.012582084315E-2</v>
      </c>
    </row>
    <row r="20698" spans="1:6" x14ac:dyDescent="0.25">
      <c r="A20698" s="1" t="str">
        <f t="shared" si="773"/>
        <v>32820</v>
      </c>
      <c r="B20698" s="1" t="str">
        <f>"38046"</f>
        <v>38046</v>
      </c>
      <c r="C20698" s="2">
        <v>0</v>
      </c>
      <c r="D20698" s="2">
        <v>1.6962952910842699E-5</v>
      </c>
      <c r="E20698" s="2">
        <v>0</v>
      </c>
      <c r="F20698" s="2">
        <v>1.39243960989411E-6</v>
      </c>
    </row>
    <row r="20699" spans="1:6" x14ac:dyDescent="0.25">
      <c r="A20699" s="1" t="str">
        <f t="shared" si="773"/>
        <v>32820</v>
      </c>
      <c r="B20699" s="1" t="str">
        <f>"38166"</f>
        <v>38166</v>
      </c>
      <c r="C20699" s="2">
        <v>0</v>
      </c>
      <c r="D20699" s="2">
        <v>0</v>
      </c>
      <c r="E20699" s="2">
        <v>3.43855305687366E-5</v>
      </c>
      <c r="F20699" s="2">
        <v>1.39243960989411E-6</v>
      </c>
    </row>
    <row r="20700" spans="1:6" x14ac:dyDescent="0.25">
      <c r="A20700" s="1" t="str">
        <f t="shared" si="773"/>
        <v>32820</v>
      </c>
      <c r="B20700" s="1" t="str">
        <f>"38048"</f>
        <v>38048</v>
      </c>
      <c r="C20700" s="2">
        <v>0</v>
      </c>
      <c r="D20700" s="2">
        <v>0</v>
      </c>
      <c r="E20700" s="2">
        <v>3.43855305687366E-5</v>
      </c>
      <c r="F20700" s="2">
        <v>1.39243960989411E-6</v>
      </c>
    </row>
    <row r="20701" spans="1:6" x14ac:dyDescent="0.25">
      <c r="A20701" s="1" t="str">
        <f t="shared" si="773"/>
        <v>32820</v>
      </c>
      <c r="B20701" s="1" t="str">
        <f>"38113"</f>
        <v>38113</v>
      </c>
      <c r="C20701" s="2">
        <v>1.5869741164521601E-6</v>
      </c>
      <c r="D20701" s="2">
        <v>3.0533315239516802E-4</v>
      </c>
      <c r="E20701" s="2">
        <v>3.43855305687366E-5</v>
      </c>
      <c r="F20701" s="2">
        <v>2.78487921978823E-5</v>
      </c>
    </row>
    <row r="20702" spans="1:6" x14ac:dyDescent="0.25">
      <c r="A20702" s="1" t="str">
        <f t="shared" si="773"/>
        <v>32820</v>
      </c>
      <c r="B20702" s="1" t="str">
        <f>"38187"</f>
        <v>38187</v>
      </c>
      <c r="C20702" s="2">
        <v>1.05375081332423E-3</v>
      </c>
      <c r="D20702" s="2">
        <v>5.7674039896865202E-3</v>
      </c>
      <c r="E20702" s="2">
        <v>6.8771061137473294E-5</v>
      </c>
      <c r="F20702" s="2">
        <v>1.40079424755348E-3</v>
      </c>
    </row>
    <row r="20703" spans="1:6" x14ac:dyDescent="0.25">
      <c r="A20703" s="1" t="str">
        <f t="shared" si="773"/>
        <v>32820</v>
      </c>
      <c r="B20703" s="1" t="str">
        <f>"38197"</f>
        <v>38197</v>
      </c>
      <c r="C20703" s="2">
        <v>0</v>
      </c>
      <c r="D20703" s="2">
        <v>6.7851811643370797E-5</v>
      </c>
      <c r="E20703" s="2">
        <v>0</v>
      </c>
      <c r="F20703" s="2">
        <v>5.5697584395764696E-6</v>
      </c>
    </row>
    <row r="20704" spans="1:6" x14ac:dyDescent="0.25">
      <c r="A20704" s="1" t="str">
        <f t="shared" si="773"/>
        <v>32820</v>
      </c>
      <c r="B20704" s="1" t="str">
        <f>"38173"</f>
        <v>38173</v>
      </c>
      <c r="C20704" s="2">
        <v>1.0505768650913301E-3</v>
      </c>
      <c r="D20704" s="2">
        <v>2.8497760890215701E-3</v>
      </c>
      <c r="E20704" s="2">
        <v>3.43855305687366E-5</v>
      </c>
      <c r="F20704" s="2">
        <v>1.1571173158220101E-3</v>
      </c>
    </row>
    <row r="20705" spans="1:6" x14ac:dyDescent="0.25">
      <c r="A20705" s="1" t="str">
        <f t="shared" si="773"/>
        <v>32820</v>
      </c>
      <c r="B20705" s="1" t="str">
        <f>"38661"</f>
        <v>38661</v>
      </c>
      <c r="C20705" s="2">
        <v>1.3029057496072201E-3</v>
      </c>
      <c r="D20705" s="2">
        <v>3.7318496403853898E-4</v>
      </c>
      <c r="E20705" s="2">
        <v>0</v>
      </c>
      <c r="F20705" s="2">
        <v>1.1738265911407401E-3</v>
      </c>
    </row>
    <row r="20706" spans="1:6" x14ac:dyDescent="0.25">
      <c r="A20706" s="1" t="str">
        <f t="shared" si="773"/>
        <v>32820</v>
      </c>
      <c r="B20706" s="1" t="str">
        <f>"38618"</f>
        <v>38618</v>
      </c>
      <c r="C20706" s="2">
        <v>8.8362718804056301E-3</v>
      </c>
      <c r="D20706" s="2">
        <v>2.9176279006649401E-3</v>
      </c>
      <c r="E20706" s="2">
        <v>1.3754212227494599E-4</v>
      </c>
      <c r="F20706" s="2">
        <v>7.9981731192318092E-3</v>
      </c>
    </row>
    <row r="20707" spans="1:6" x14ac:dyDescent="0.25">
      <c r="A20707" s="1" t="str">
        <f t="shared" si="773"/>
        <v>32820</v>
      </c>
      <c r="B20707" s="1" t="str">
        <f>"38651"</f>
        <v>38651</v>
      </c>
      <c r="C20707" s="2">
        <v>6.35741831050735E-3</v>
      </c>
      <c r="D20707" s="2">
        <v>3.2568869588818E-3</v>
      </c>
      <c r="E20707" s="2">
        <v>2.4069871398115601E-4</v>
      </c>
      <c r="F20707" s="2">
        <v>5.8552085596047599E-3</v>
      </c>
    </row>
    <row r="20708" spans="1:6" x14ac:dyDescent="0.25">
      <c r="A20708" s="1" t="str">
        <f t="shared" si="773"/>
        <v>32820</v>
      </c>
      <c r="B20708" s="1" t="str">
        <f>"38028"</f>
        <v>38028</v>
      </c>
      <c r="C20708" s="2">
        <v>4.7387047117261501E-3</v>
      </c>
      <c r="D20708" s="2">
        <v>2.0694802551228099E-3</v>
      </c>
      <c r="E20708" s="2">
        <v>4.1262636682484001E-4</v>
      </c>
      <c r="F20708" s="2">
        <v>4.3444115828696504E-3</v>
      </c>
    </row>
    <row r="20709" spans="1:6" x14ac:dyDescent="0.25">
      <c r="A20709" s="1" t="str">
        <f t="shared" si="773"/>
        <v>32820</v>
      </c>
      <c r="B20709" s="1" t="str">
        <f>"38004"</f>
        <v>38004</v>
      </c>
      <c r="C20709" s="2">
        <v>6.6541824702839002E-3</v>
      </c>
      <c r="D20709" s="2">
        <v>4.3425159451757301E-3</v>
      </c>
      <c r="E20709" s="2">
        <v>2.2350594869678798E-3</v>
      </c>
      <c r="F20709" s="2">
        <v>6.2854723990620502E-3</v>
      </c>
    </row>
    <row r="20710" spans="1:6" x14ac:dyDescent="0.25">
      <c r="A20710" s="1" t="str">
        <f t="shared" si="773"/>
        <v>32820</v>
      </c>
      <c r="B20710" s="1" t="str">
        <f>"38011"</f>
        <v>38011</v>
      </c>
      <c r="C20710" s="2">
        <v>5.9892403154904496E-3</v>
      </c>
      <c r="D20710" s="2">
        <v>2.35785045460713E-3</v>
      </c>
      <c r="E20710" s="2">
        <v>5.1578295853105E-4</v>
      </c>
      <c r="F20710" s="2">
        <v>5.4695027876640904E-3</v>
      </c>
    </row>
    <row r="20711" spans="1:6" x14ac:dyDescent="0.25">
      <c r="A20711" s="1" t="str">
        <f t="shared" si="773"/>
        <v>32820</v>
      </c>
      <c r="B20711" s="1" t="str">
        <f>"38108"</f>
        <v>38108</v>
      </c>
      <c r="C20711" s="2">
        <v>1.4673162680716599E-2</v>
      </c>
      <c r="D20711" s="2">
        <v>1.10259193920477E-2</v>
      </c>
      <c r="E20711" s="2">
        <v>8.4244549893404807E-3</v>
      </c>
      <c r="F20711" s="2">
        <v>1.41207300839362E-2</v>
      </c>
    </row>
    <row r="20712" spans="1:6" x14ac:dyDescent="0.25">
      <c r="A20712" s="1" t="str">
        <f t="shared" si="773"/>
        <v>32820</v>
      </c>
      <c r="B20712" s="1" t="str">
        <f>"38015"</f>
        <v>38015</v>
      </c>
      <c r="C20712" s="2">
        <v>1.9615000079348699E-3</v>
      </c>
      <c r="D20712" s="2">
        <v>5.2585154023612399E-4</v>
      </c>
      <c r="E20712" s="2">
        <v>0</v>
      </c>
      <c r="F20712" s="2">
        <v>1.7642209857358399E-3</v>
      </c>
    </row>
    <row r="20713" spans="1:6" x14ac:dyDescent="0.25">
      <c r="A20713" s="1" t="str">
        <f t="shared" si="773"/>
        <v>32820</v>
      </c>
      <c r="B20713" s="1" t="str">
        <f>"38133"</f>
        <v>38133</v>
      </c>
      <c r="C20713" s="2">
        <v>1.3525780394521699E-2</v>
      </c>
      <c r="D20713" s="2">
        <v>2.5139096213868901E-2</v>
      </c>
      <c r="E20713" s="2">
        <v>1.18973935767828E-2</v>
      </c>
      <c r="F20713" s="2">
        <v>1.4413142402014001E-2</v>
      </c>
    </row>
    <row r="20714" spans="1:6" x14ac:dyDescent="0.25">
      <c r="A20714" s="1" t="str">
        <f t="shared" si="773"/>
        <v>32820</v>
      </c>
      <c r="B20714" s="1" t="str">
        <f>"38137"</f>
        <v>38137</v>
      </c>
      <c r="C20714" s="2">
        <v>0</v>
      </c>
      <c r="D20714" s="2">
        <v>3.2059981001492698E-3</v>
      </c>
      <c r="E20714" s="2">
        <v>2.0631318341242001E-4</v>
      </c>
      <c r="F20714" s="2">
        <v>2.7152572392935299E-4</v>
      </c>
    </row>
    <row r="20715" spans="1:6" x14ac:dyDescent="0.25">
      <c r="A20715" s="1" t="str">
        <f t="shared" si="773"/>
        <v>32820</v>
      </c>
      <c r="B20715" s="1" t="str">
        <f>"38139"</f>
        <v>38139</v>
      </c>
      <c r="C20715" s="2">
        <v>9.5884976116039494E-3</v>
      </c>
      <c r="D20715" s="2">
        <v>1.9337766318360699E-3</v>
      </c>
      <c r="E20715" s="2">
        <v>6.5332508080599597E-4</v>
      </c>
      <c r="F20715" s="2">
        <v>8.5983145910961799E-3</v>
      </c>
    </row>
    <row r="20716" spans="1:6" x14ac:dyDescent="0.25">
      <c r="A20716" s="1" t="str">
        <f t="shared" si="773"/>
        <v>32820</v>
      </c>
      <c r="B20716" s="1" t="str">
        <f>"38190"</f>
        <v>38190</v>
      </c>
      <c r="C20716" s="2">
        <v>1.8583466903654799E-3</v>
      </c>
      <c r="D20716" s="2">
        <v>3.4095535350793802E-3</v>
      </c>
      <c r="E20716" s="2">
        <v>3.43855305687366E-5</v>
      </c>
      <c r="F20716" s="2">
        <v>1.9118195843846201E-3</v>
      </c>
    </row>
    <row r="20717" spans="1:6" x14ac:dyDescent="0.25">
      <c r="A20717" s="1" t="str">
        <f t="shared" si="773"/>
        <v>32820</v>
      </c>
      <c r="B20717" s="1" t="str">
        <f>"38157"</f>
        <v>38157</v>
      </c>
      <c r="C20717" s="2">
        <v>0</v>
      </c>
      <c r="D20717" s="2">
        <v>2.7819242773782001E-3</v>
      </c>
      <c r="E20717" s="2">
        <v>2.4069871398115601E-4</v>
      </c>
      <c r="F20717" s="2">
        <v>2.3810717329189401E-4</v>
      </c>
    </row>
    <row r="20718" spans="1:6" x14ac:dyDescent="0.25">
      <c r="A20718" s="1" t="str">
        <f t="shared" si="773"/>
        <v>32820</v>
      </c>
      <c r="B20718" s="1" t="str">
        <f>"72339"</f>
        <v>72339</v>
      </c>
      <c r="C20718" s="2">
        <v>0</v>
      </c>
      <c r="D20718" s="2">
        <v>0</v>
      </c>
      <c r="E20718" s="2">
        <v>3.43855305687366E-5</v>
      </c>
      <c r="F20718" s="2">
        <v>1.39243960989411E-6</v>
      </c>
    </row>
    <row r="20719" spans="1:6" x14ac:dyDescent="0.25">
      <c r="A20719" s="1" t="str">
        <f t="shared" si="773"/>
        <v>32820</v>
      </c>
      <c r="B20719" s="1" t="str">
        <f>"38045"</f>
        <v>38045</v>
      </c>
      <c r="C20719" s="2">
        <v>0</v>
      </c>
      <c r="D20719" s="2">
        <v>1.6962952910842699E-5</v>
      </c>
      <c r="E20719" s="2">
        <v>0</v>
      </c>
      <c r="F20719" s="2">
        <v>1.39243960989411E-6</v>
      </c>
    </row>
    <row r="20720" spans="1:6" x14ac:dyDescent="0.25">
      <c r="A20720" s="1" t="str">
        <f t="shared" si="773"/>
        <v>32820</v>
      </c>
      <c r="B20720" s="1" t="str">
        <f>"38638"</f>
        <v>38638</v>
      </c>
      <c r="C20720" s="2">
        <v>0</v>
      </c>
      <c r="D20720" s="2">
        <v>1.6962952910842699E-5</v>
      </c>
      <c r="E20720" s="2">
        <v>0</v>
      </c>
      <c r="F20720" s="2">
        <v>1.39243960989411E-6</v>
      </c>
    </row>
    <row r="20721" spans="1:6" x14ac:dyDescent="0.25">
      <c r="A20721" s="1" t="str">
        <f t="shared" si="773"/>
        <v>32820</v>
      </c>
      <c r="B20721" s="1" t="str">
        <f>"72325"</f>
        <v>72325</v>
      </c>
      <c r="C20721" s="2">
        <v>0</v>
      </c>
      <c r="D20721" s="2">
        <v>0</v>
      </c>
      <c r="E20721" s="2">
        <v>3.43855305687366E-5</v>
      </c>
      <c r="F20721" s="2">
        <v>1.39243960989411E-6</v>
      </c>
    </row>
    <row r="20722" spans="1:6" x14ac:dyDescent="0.25">
      <c r="A20722" s="1" t="str">
        <f t="shared" si="773"/>
        <v>32820</v>
      </c>
      <c r="B20722" s="1" t="str">
        <f>"72332"</f>
        <v>72332</v>
      </c>
      <c r="C20722" s="2">
        <v>1.5869741164521601E-6</v>
      </c>
      <c r="D20722" s="2">
        <v>0</v>
      </c>
      <c r="E20722" s="2">
        <v>3.43855305687366E-5</v>
      </c>
      <c r="F20722" s="2">
        <v>2.7848792197882301E-6</v>
      </c>
    </row>
    <row r="20723" spans="1:6" x14ac:dyDescent="0.25">
      <c r="A20723" s="1" t="str">
        <f t="shared" si="773"/>
        <v>32820</v>
      </c>
      <c r="B20723" s="1" t="str">
        <f>"38014"</f>
        <v>38014</v>
      </c>
      <c r="C20723" s="2">
        <v>0</v>
      </c>
      <c r="D20723" s="2">
        <v>1.6962952910842699E-5</v>
      </c>
      <c r="E20723" s="2">
        <v>0</v>
      </c>
      <c r="F20723" s="2">
        <v>1.39243960989411E-6</v>
      </c>
    </row>
    <row r="20724" spans="1:6" x14ac:dyDescent="0.25">
      <c r="A20724" s="1" t="str">
        <f t="shared" si="773"/>
        <v>32820</v>
      </c>
      <c r="B20724" s="1" t="str">
        <f>"38054"</f>
        <v>38054</v>
      </c>
      <c r="C20724" s="2">
        <v>0</v>
      </c>
      <c r="D20724" s="2">
        <v>1.6962952910842699E-5</v>
      </c>
      <c r="E20724" s="2">
        <v>6.8771061137473294E-5</v>
      </c>
      <c r="F20724" s="2">
        <v>4.1773188296823496E-6</v>
      </c>
    </row>
    <row r="20725" spans="1:6" x14ac:dyDescent="0.25">
      <c r="A20725" s="1" t="str">
        <f t="shared" ref="A20725:A20751" si="774">"32860"</f>
        <v>32860</v>
      </c>
      <c r="B20725" s="1" t="str">
        <f>"54764"</f>
        <v>54764</v>
      </c>
      <c r="C20725" s="2">
        <v>0</v>
      </c>
      <c r="D20725" s="2">
        <v>0</v>
      </c>
      <c r="E20725" s="2">
        <v>9.0744101633393804E-4</v>
      </c>
      <c r="F20725" s="2">
        <v>4.5332970669567902E-5</v>
      </c>
    </row>
    <row r="20726" spans="1:6" x14ac:dyDescent="0.25">
      <c r="A20726" s="1" t="str">
        <f t="shared" si="774"/>
        <v>32860</v>
      </c>
      <c r="B20726" s="1" t="str">
        <f>"54762"</f>
        <v>54762</v>
      </c>
      <c r="C20726" s="2">
        <v>2.8553946563328499E-3</v>
      </c>
      <c r="D20726" s="2">
        <v>7.4349442379182101E-4</v>
      </c>
      <c r="E20726" s="2">
        <v>0</v>
      </c>
      <c r="F20726" s="2">
        <v>2.58397932816537E-3</v>
      </c>
    </row>
    <row r="20727" spans="1:6" x14ac:dyDescent="0.25">
      <c r="A20727" s="1" t="str">
        <f t="shared" si="774"/>
        <v>32860</v>
      </c>
      <c r="B20727" s="1" t="str">
        <f>"54703"</f>
        <v>54703</v>
      </c>
      <c r="C20727" s="2">
        <v>6.9345298796655097E-3</v>
      </c>
      <c r="D20727" s="2">
        <v>0</v>
      </c>
      <c r="E20727" s="2">
        <v>1.81488203266787E-3</v>
      </c>
      <c r="F20727" s="2">
        <v>6.2559499524003801E-3</v>
      </c>
    </row>
    <row r="20728" spans="1:6" x14ac:dyDescent="0.25">
      <c r="A20728" s="1" t="str">
        <f t="shared" si="774"/>
        <v>32860</v>
      </c>
      <c r="B20728" s="1" t="str">
        <f>"54735"</f>
        <v>54735</v>
      </c>
      <c r="C20728" s="2">
        <v>0</v>
      </c>
      <c r="D20728" s="2">
        <v>7.4349442379182101E-4</v>
      </c>
      <c r="E20728" s="2">
        <v>0</v>
      </c>
      <c r="F20728" s="2">
        <v>4.5332970669567902E-5</v>
      </c>
    </row>
    <row r="20729" spans="1:6" x14ac:dyDescent="0.25">
      <c r="A20729" s="1" t="str">
        <f t="shared" si="774"/>
        <v>32860</v>
      </c>
      <c r="B20729" s="1" t="str">
        <f>"54765"</f>
        <v>54765</v>
      </c>
      <c r="C20729" s="2">
        <v>0</v>
      </c>
      <c r="D20729" s="2">
        <v>0</v>
      </c>
      <c r="E20729" s="2">
        <v>9.0744101633393804E-4</v>
      </c>
      <c r="F20729" s="2">
        <v>4.5332970669567902E-5</v>
      </c>
    </row>
    <row r="20730" spans="1:6" x14ac:dyDescent="0.25">
      <c r="A20730" s="1" t="str">
        <f t="shared" si="774"/>
        <v>32860</v>
      </c>
      <c r="B20730" s="1" t="str">
        <f>"54721"</f>
        <v>54721</v>
      </c>
      <c r="C20730" s="2">
        <v>1.63165408933306E-3</v>
      </c>
      <c r="D20730" s="2">
        <v>0</v>
      </c>
      <c r="E20730" s="2">
        <v>9.0744101633393804E-4</v>
      </c>
      <c r="F20730" s="2">
        <v>1.4959880320957401E-3</v>
      </c>
    </row>
    <row r="20731" spans="1:6" x14ac:dyDescent="0.25">
      <c r="A20731" s="1" t="str">
        <f t="shared" si="774"/>
        <v>32860</v>
      </c>
      <c r="B20731" s="1" t="str">
        <f>"54767"</f>
        <v>54767</v>
      </c>
      <c r="C20731" s="2">
        <v>4.07913522333265E-4</v>
      </c>
      <c r="D20731" s="2">
        <v>0</v>
      </c>
      <c r="E20731" s="2">
        <v>0</v>
      </c>
      <c r="F20731" s="2">
        <v>3.62663765356543E-4</v>
      </c>
    </row>
    <row r="20732" spans="1:6" x14ac:dyDescent="0.25">
      <c r="A20732" s="1" t="str">
        <f t="shared" si="774"/>
        <v>32860</v>
      </c>
      <c r="B20732" s="1" t="str">
        <f>"54027"</f>
        <v>54027</v>
      </c>
      <c r="C20732" s="2">
        <v>2.0395676116663201E-4</v>
      </c>
      <c r="D20732" s="2">
        <v>0</v>
      </c>
      <c r="E20732" s="2">
        <v>0</v>
      </c>
      <c r="F20732" s="2">
        <v>1.8133188267827101E-4</v>
      </c>
    </row>
    <row r="20733" spans="1:6" x14ac:dyDescent="0.25">
      <c r="A20733" s="1" t="str">
        <f t="shared" si="774"/>
        <v>32860</v>
      </c>
      <c r="B20733" s="1" t="str">
        <f>"54740"</f>
        <v>54740</v>
      </c>
      <c r="C20733" s="2">
        <v>1.2033448908831301E-2</v>
      </c>
      <c r="D20733" s="2">
        <v>1.4869888475836401E-3</v>
      </c>
      <c r="E20733" s="2">
        <v>0</v>
      </c>
      <c r="F20733" s="2">
        <v>1.0789247019357099E-2</v>
      </c>
    </row>
    <row r="20734" spans="1:6" x14ac:dyDescent="0.25">
      <c r="A20734" s="1" t="str">
        <f t="shared" si="774"/>
        <v>32860</v>
      </c>
      <c r="B20734" s="1" t="str">
        <f>"54749"</f>
        <v>54749</v>
      </c>
      <c r="C20734" s="2">
        <v>2.5953497858454001E-2</v>
      </c>
      <c r="D20734" s="2">
        <v>1.18959107806691E-2</v>
      </c>
      <c r="E20734" s="2">
        <v>1.8148820326678701E-2</v>
      </c>
      <c r="F20734" s="2">
        <v>2.4706469014914498E-2</v>
      </c>
    </row>
    <row r="20735" spans="1:6" x14ac:dyDescent="0.25">
      <c r="A20735" s="1" t="str">
        <f t="shared" si="774"/>
        <v>32860</v>
      </c>
      <c r="B20735" s="1" t="str">
        <f>"54757"</f>
        <v>54757</v>
      </c>
      <c r="C20735" s="2">
        <v>7.9033244952070106E-3</v>
      </c>
      <c r="D20735" s="2">
        <v>7.4349442379182101E-4</v>
      </c>
      <c r="E20735" s="2">
        <v>0</v>
      </c>
      <c r="F20735" s="2">
        <v>7.0719434244525996E-3</v>
      </c>
    </row>
    <row r="20736" spans="1:6" x14ac:dyDescent="0.25">
      <c r="A20736" s="1" t="str">
        <f t="shared" si="774"/>
        <v>32860</v>
      </c>
      <c r="B20736" s="1" t="str">
        <f>"54013"</f>
        <v>54013</v>
      </c>
      <c r="C20736" s="2">
        <v>1.47868651845808E-3</v>
      </c>
      <c r="D20736" s="2">
        <v>7.4349442379182101E-4</v>
      </c>
      <c r="E20736" s="2">
        <v>0</v>
      </c>
      <c r="F20736" s="2">
        <v>1.35998912008703E-3</v>
      </c>
    </row>
    <row r="20737" spans="1:6" x14ac:dyDescent="0.25">
      <c r="A20737" s="1" t="str">
        <f t="shared" si="774"/>
        <v>32860</v>
      </c>
      <c r="B20737" s="1" t="str">
        <f>"54724"</f>
        <v>54724</v>
      </c>
      <c r="C20737" s="2">
        <v>1.52967570874974E-4</v>
      </c>
      <c r="D20737" s="2">
        <v>0</v>
      </c>
      <c r="E20737" s="2">
        <v>0</v>
      </c>
      <c r="F20737" s="2">
        <v>1.3599891200870301E-4</v>
      </c>
    </row>
    <row r="20738" spans="1:6" x14ac:dyDescent="0.25">
      <c r="A20738" s="1" t="str">
        <f t="shared" si="774"/>
        <v>32860</v>
      </c>
      <c r="B20738" s="1" t="str">
        <f>"54701"</f>
        <v>54701</v>
      </c>
      <c r="C20738" s="2">
        <v>5.5578217417907401E-3</v>
      </c>
      <c r="D20738" s="2">
        <v>0</v>
      </c>
      <c r="E20738" s="2">
        <v>0</v>
      </c>
      <c r="F20738" s="2">
        <v>4.9412938029829E-3</v>
      </c>
    </row>
    <row r="20739" spans="1:6" x14ac:dyDescent="0.25">
      <c r="A20739" s="1" t="str">
        <f t="shared" si="774"/>
        <v>32860</v>
      </c>
      <c r="B20739" s="1" t="str">
        <f>"54755"</f>
        <v>54755</v>
      </c>
      <c r="C20739" s="2">
        <v>2.0293697736079901E-2</v>
      </c>
      <c r="D20739" s="2">
        <v>1.0408921933085499E-2</v>
      </c>
      <c r="E20739" s="2">
        <v>3.62976406533575E-3</v>
      </c>
      <c r="F20739" s="2">
        <v>1.8858515798540199E-2</v>
      </c>
    </row>
    <row r="20740" spans="1:6" x14ac:dyDescent="0.25">
      <c r="A20740" s="1" t="str">
        <f t="shared" si="774"/>
        <v>32860</v>
      </c>
      <c r="B20740" s="1" t="str">
        <f>"54761"</f>
        <v>54761</v>
      </c>
      <c r="C20740" s="2">
        <v>1.0197838058331601E-4</v>
      </c>
      <c r="D20740" s="2">
        <v>0</v>
      </c>
      <c r="E20740" s="2">
        <v>0</v>
      </c>
      <c r="F20740" s="2">
        <v>9.0665941339135899E-5</v>
      </c>
    </row>
    <row r="20741" spans="1:6" x14ac:dyDescent="0.25">
      <c r="A20741" s="1" t="str">
        <f t="shared" si="774"/>
        <v>32860</v>
      </c>
      <c r="B20741" s="1" t="str">
        <f>"54751"</f>
        <v>54751</v>
      </c>
      <c r="C20741" s="2">
        <v>0.58479502345502699</v>
      </c>
      <c r="D20741" s="2">
        <v>0.84832713754646805</v>
      </c>
      <c r="E20741" s="2">
        <v>0.87295825771324798</v>
      </c>
      <c r="F20741" s="2">
        <v>0.615259077927376</v>
      </c>
    </row>
    <row r="20742" spans="1:6" x14ac:dyDescent="0.25">
      <c r="A20742" s="1" t="str">
        <f t="shared" si="774"/>
        <v>32860</v>
      </c>
      <c r="B20742" s="1" t="str">
        <f>"54737"</f>
        <v>54737</v>
      </c>
      <c r="C20742" s="2">
        <v>1.07587191515398E-2</v>
      </c>
      <c r="D20742" s="2">
        <v>2.9739776951672801E-3</v>
      </c>
      <c r="E20742" s="2">
        <v>3.62976406533575E-3</v>
      </c>
      <c r="F20742" s="2">
        <v>9.9279205766353799E-3</v>
      </c>
    </row>
    <row r="20743" spans="1:6" x14ac:dyDescent="0.25">
      <c r="A20743" s="1" t="str">
        <f t="shared" si="774"/>
        <v>32860</v>
      </c>
      <c r="B20743" s="1" t="str">
        <f>"54772"</f>
        <v>54772</v>
      </c>
      <c r="C20743" s="2">
        <v>2.73302059963287E-2</v>
      </c>
      <c r="D20743" s="2">
        <v>3.7174721189590998E-3</v>
      </c>
      <c r="E20743" s="2">
        <v>2.72232304900181E-3</v>
      </c>
      <c r="F20743" s="2">
        <v>2.46611360442449E-2</v>
      </c>
    </row>
    <row r="20744" spans="1:6" x14ac:dyDescent="0.25">
      <c r="A20744" s="1" t="str">
        <f t="shared" si="774"/>
        <v>32860</v>
      </c>
      <c r="B20744" s="1" t="str">
        <f>"54730"</f>
        <v>54730</v>
      </c>
      <c r="C20744" s="2">
        <v>0.10371201305323199</v>
      </c>
      <c r="D20744" s="2">
        <v>4.6840148698884698E-2</v>
      </c>
      <c r="E20744" s="2">
        <v>4.3557168784029002E-2</v>
      </c>
      <c r="F20744" s="2">
        <v>9.7239222086223306E-2</v>
      </c>
    </row>
    <row r="20745" spans="1:6" x14ac:dyDescent="0.25">
      <c r="A20745" s="1" t="str">
        <f t="shared" si="774"/>
        <v>32860</v>
      </c>
      <c r="B20745" s="1" t="str">
        <f>"54763"</f>
        <v>54763</v>
      </c>
      <c r="C20745" s="2">
        <v>1.92229247399551E-2</v>
      </c>
      <c r="D20745" s="2">
        <v>7.4349442379182101E-4</v>
      </c>
      <c r="E20745" s="2">
        <v>4.53720508166969E-3</v>
      </c>
      <c r="F20745" s="2">
        <v>1.7362527766444501E-2</v>
      </c>
    </row>
    <row r="20746" spans="1:6" x14ac:dyDescent="0.25">
      <c r="A20746" s="1" t="str">
        <f t="shared" si="774"/>
        <v>32860</v>
      </c>
      <c r="B20746" s="1" t="str">
        <f>"54728"</f>
        <v>54728</v>
      </c>
      <c r="C20746" s="2">
        <v>6.1187028349989796E-4</v>
      </c>
      <c r="D20746" s="2">
        <v>0</v>
      </c>
      <c r="E20746" s="2">
        <v>0</v>
      </c>
      <c r="F20746" s="2">
        <v>5.4399564803481496E-4</v>
      </c>
    </row>
    <row r="20747" spans="1:6" x14ac:dyDescent="0.25">
      <c r="A20747" s="1" t="str">
        <f t="shared" si="774"/>
        <v>32860</v>
      </c>
      <c r="B20747" s="1" t="str">
        <f>"54736"</f>
        <v>54736</v>
      </c>
      <c r="C20747" s="2">
        <v>1.07077299612482E-3</v>
      </c>
      <c r="D20747" s="2">
        <v>0</v>
      </c>
      <c r="E20747" s="2">
        <v>0</v>
      </c>
      <c r="F20747" s="2">
        <v>9.5199238406092697E-4</v>
      </c>
    </row>
    <row r="20748" spans="1:6" x14ac:dyDescent="0.25">
      <c r="A20748" s="1" t="str">
        <f t="shared" si="774"/>
        <v>32860</v>
      </c>
      <c r="B20748" s="1" t="str">
        <f>"54739"</f>
        <v>54739</v>
      </c>
      <c r="C20748" s="2">
        <v>7.8217417907403594E-2</v>
      </c>
      <c r="D20748" s="2">
        <v>3.3457249070631898E-2</v>
      </c>
      <c r="E20748" s="2">
        <v>2.54083484573502E-2</v>
      </c>
      <c r="F20748" s="2">
        <v>7.2850083865995702E-2</v>
      </c>
    </row>
    <row r="20749" spans="1:6" x14ac:dyDescent="0.25">
      <c r="A20749" s="1" t="str">
        <f t="shared" si="774"/>
        <v>32860</v>
      </c>
      <c r="B20749" s="1" t="str">
        <f>"54725"</f>
        <v>54725</v>
      </c>
      <c r="C20749" s="2">
        <v>6.8172547419946897E-2</v>
      </c>
      <c r="D20749" s="2">
        <v>3.1970260223048302E-2</v>
      </c>
      <c r="E20749" s="2">
        <v>1.8148820326678701E-2</v>
      </c>
      <c r="F20749" s="2">
        <v>6.3466158937395101E-2</v>
      </c>
    </row>
    <row r="20750" spans="1:6" x14ac:dyDescent="0.25">
      <c r="A20750" s="1" t="str">
        <f t="shared" si="774"/>
        <v>32860</v>
      </c>
      <c r="B20750" s="1" t="str">
        <f>"54005"</f>
        <v>54005</v>
      </c>
      <c r="C20750" s="2">
        <v>2.9063838466245099E-3</v>
      </c>
      <c r="D20750" s="2">
        <v>0</v>
      </c>
      <c r="E20750" s="2">
        <v>0</v>
      </c>
      <c r="F20750" s="2">
        <v>2.58397932816537E-3</v>
      </c>
    </row>
    <row r="20751" spans="1:6" x14ac:dyDescent="0.25">
      <c r="A20751" s="1" t="str">
        <f t="shared" si="774"/>
        <v>32860</v>
      </c>
      <c r="B20751" s="1" t="str">
        <f>"54734"</f>
        <v>54734</v>
      </c>
      <c r="C20751" s="2">
        <v>1.76932490312053E-2</v>
      </c>
      <c r="D20751" s="2">
        <v>5.2044609665427496E-3</v>
      </c>
      <c r="E20751" s="2">
        <v>2.72232304900181E-3</v>
      </c>
      <c r="F20751" s="2">
        <v>1.61838705290357E-2</v>
      </c>
    </row>
    <row r="20752" spans="1:6" x14ac:dyDescent="0.25">
      <c r="A20752" s="1" t="str">
        <f t="shared" ref="A20752:A20778" si="775">"32900"</f>
        <v>32900</v>
      </c>
      <c r="B20752" s="1" t="str">
        <f>"93620"</f>
        <v>93620</v>
      </c>
      <c r="C20752" s="2">
        <v>3.43435175837985E-2</v>
      </c>
      <c r="D20752" s="2">
        <v>2.8888888888888801E-2</v>
      </c>
      <c r="E20752" s="2">
        <v>1.3806087229369299E-2</v>
      </c>
      <c r="F20752" s="2">
        <v>3.3369003861722403E-2</v>
      </c>
    </row>
    <row r="20753" spans="1:6" x14ac:dyDescent="0.25">
      <c r="A20753" s="1" t="str">
        <f t="shared" si="775"/>
        <v>32900</v>
      </c>
      <c r="B20753" s="1" t="str">
        <f>"95380"</f>
        <v>95380</v>
      </c>
      <c r="C20753" s="2">
        <v>4.6869527596365796E-3</v>
      </c>
      <c r="D20753" s="2">
        <v>2.3611111111111098E-3</v>
      </c>
      <c r="E20753" s="2">
        <v>0</v>
      </c>
      <c r="F20753" s="2">
        <v>4.3921276694737802E-3</v>
      </c>
    </row>
    <row r="20754" spans="1:6" x14ac:dyDescent="0.25">
      <c r="A20754" s="1" t="str">
        <f t="shared" si="775"/>
        <v>32900</v>
      </c>
      <c r="B20754" s="1" t="str">
        <f>"95365"</f>
        <v>95365</v>
      </c>
      <c r="C20754" s="2">
        <v>7.5094254104946497E-3</v>
      </c>
      <c r="D20754" s="2">
        <v>2.0833333333333298E-3</v>
      </c>
      <c r="E20754" s="2">
        <v>5.4910574207718797E-2</v>
      </c>
      <c r="F20754" s="2">
        <v>8.5516214581491598E-3</v>
      </c>
    </row>
    <row r="20755" spans="1:6" x14ac:dyDescent="0.25">
      <c r="A20755" s="1" t="str">
        <f t="shared" si="775"/>
        <v>32900</v>
      </c>
      <c r="B20755" s="1" t="str">
        <f>"95333"</f>
        <v>95333</v>
      </c>
      <c r="C20755" s="2">
        <v>8.7249428294773196E-3</v>
      </c>
      <c r="D20755" s="2">
        <v>5.1388888888888803E-3</v>
      </c>
      <c r="E20755" s="2">
        <v>4.0790712268591097E-3</v>
      </c>
      <c r="F20755" s="2">
        <v>8.3469036430465701E-3</v>
      </c>
    </row>
    <row r="20756" spans="1:6" x14ac:dyDescent="0.25">
      <c r="A20756" s="1" t="str">
        <f t="shared" si="775"/>
        <v>32900</v>
      </c>
      <c r="B20756" s="1" t="str">
        <f>"95348"</f>
        <v>95348</v>
      </c>
      <c r="C20756" s="2">
        <v>0.13671480665032201</v>
      </c>
      <c r="D20756" s="2">
        <v>9.9027777777777701E-2</v>
      </c>
      <c r="E20756" s="2">
        <v>0.28930028239723798</v>
      </c>
      <c r="F20756" s="2">
        <v>0.13871493044246899</v>
      </c>
    </row>
    <row r="20757" spans="1:6" x14ac:dyDescent="0.25">
      <c r="A20757" s="1" t="str">
        <f t="shared" si="775"/>
        <v>32900</v>
      </c>
      <c r="B20757" s="1" t="str">
        <f>"95317"</f>
        <v>95317</v>
      </c>
      <c r="C20757" s="2">
        <v>2.5031418034982102E-3</v>
      </c>
      <c r="D20757" s="2">
        <v>9.7222222222222198E-4</v>
      </c>
      <c r="E20757" s="2">
        <v>3.1377470975839302E-4</v>
      </c>
      <c r="F20757" s="2">
        <v>2.3356441632159299E-3</v>
      </c>
    </row>
    <row r="20758" spans="1:6" x14ac:dyDescent="0.25">
      <c r="A20758" s="1" t="str">
        <f t="shared" si="775"/>
        <v>32900</v>
      </c>
      <c r="B20758" s="1" t="str">
        <f>"95303"</f>
        <v>95303</v>
      </c>
      <c r="C20758" s="2">
        <v>2.5340447887265902E-3</v>
      </c>
      <c r="D20758" s="2">
        <v>2.0833333333333298E-3</v>
      </c>
      <c r="E20758" s="2">
        <v>3.1377470975839302E-4</v>
      </c>
      <c r="F20758" s="2">
        <v>2.43800307076722E-3</v>
      </c>
    </row>
    <row r="20759" spans="1:6" x14ac:dyDescent="0.25">
      <c r="A20759" s="1" t="str">
        <f t="shared" si="775"/>
        <v>32900</v>
      </c>
      <c r="B20759" s="1" t="str">
        <f>"93635"</f>
        <v>93635</v>
      </c>
      <c r="C20759" s="2">
        <v>0.163456189867941</v>
      </c>
      <c r="D20759" s="2">
        <v>0.17513888888888801</v>
      </c>
      <c r="E20759" s="2">
        <v>0.15563225604016301</v>
      </c>
      <c r="F20759" s="2">
        <v>0.164006885962871</v>
      </c>
    </row>
    <row r="20760" spans="1:6" x14ac:dyDescent="0.25">
      <c r="A20760" s="1" t="str">
        <f t="shared" si="775"/>
        <v>32900</v>
      </c>
      <c r="B20760" s="1" t="str">
        <f>"95324"</f>
        <v>95324</v>
      </c>
      <c r="C20760" s="2">
        <v>3.6259502667957702E-2</v>
      </c>
      <c r="D20760" s="2">
        <v>3.58333333333333E-2</v>
      </c>
      <c r="E20760" s="2">
        <v>8.1581424537182298E-3</v>
      </c>
      <c r="F20760" s="2">
        <v>3.5397571302284402E-2</v>
      </c>
    </row>
    <row r="20761" spans="1:6" x14ac:dyDescent="0.25">
      <c r="A20761" s="1" t="str">
        <f t="shared" si="775"/>
        <v>32900</v>
      </c>
      <c r="B20761" s="1" t="str">
        <f>"95374"</f>
        <v>95374</v>
      </c>
      <c r="C20761" s="2">
        <v>6.7883557551659396E-3</v>
      </c>
      <c r="D20761" s="2">
        <v>1.9444444444444401E-3</v>
      </c>
      <c r="E20761" s="2">
        <v>6.2754941951678603E-4</v>
      </c>
      <c r="F20761" s="2">
        <v>6.2811147815567802E-3</v>
      </c>
    </row>
    <row r="20762" spans="1:6" x14ac:dyDescent="0.25">
      <c r="A20762" s="1" t="str">
        <f t="shared" si="775"/>
        <v>32900</v>
      </c>
      <c r="B20762" s="1" t="str">
        <f>"95343"</f>
        <v>95343</v>
      </c>
      <c r="C20762" s="2">
        <v>0</v>
      </c>
      <c r="D20762" s="2">
        <v>8.0555555555555502E-3</v>
      </c>
      <c r="E20762" s="2">
        <v>9.4132412927517997E-4</v>
      </c>
      <c r="F20762" s="2">
        <v>5.6762666914809403E-4</v>
      </c>
    </row>
    <row r="20763" spans="1:6" x14ac:dyDescent="0.25">
      <c r="A20763" s="1" t="str">
        <f t="shared" si="775"/>
        <v>32900</v>
      </c>
      <c r="B20763" s="1" t="str">
        <f>"95344"</f>
        <v>95344</v>
      </c>
      <c r="C20763" s="2">
        <v>1.00022662189167E-2</v>
      </c>
      <c r="D20763" s="2">
        <v>3.8333333333333303E-2</v>
      </c>
      <c r="E20763" s="2">
        <v>6.2754941951678603E-4</v>
      </c>
      <c r="F20763" s="2">
        <v>1.1622388684688E-2</v>
      </c>
    </row>
    <row r="20764" spans="1:6" x14ac:dyDescent="0.25">
      <c r="A20764" s="1" t="str">
        <f t="shared" si="775"/>
        <v>32900</v>
      </c>
      <c r="B20764" s="1" t="str">
        <f>"95334"</f>
        <v>95334</v>
      </c>
      <c r="C20764" s="2">
        <v>5.4203836090566303E-2</v>
      </c>
      <c r="D20764" s="2">
        <v>4.7361111111111097E-2</v>
      </c>
      <c r="E20764" s="2">
        <v>3.2318795105114498E-2</v>
      </c>
      <c r="F20764" s="2">
        <v>5.3096356953426599E-2</v>
      </c>
    </row>
    <row r="20765" spans="1:6" x14ac:dyDescent="0.25">
      <c r="A20765" s="1" t="str">
        <f t="shared" si="775"/>
        <v>32900</v>
      </c>
      <c r="B20765" s="1" t="str">
        <f>"95315"</f>
        <v>95315</v>
      </c>
      <c r="C20765" s="2">
        <v>3.5641442963390203E-2</v>
      </c>
      <c r="D20765" s="2">
        <v>1.20833333333333E-2</v>
      </c>
      <c r="E20765" s="2">
        <v>1.4747411358644401E-2</v>
      </c>
      <c r="F20765" s="2">
        <v>3.3443446703577899E-2</v>
      </c>
    </row>
    <row r="20766" spans="1:6" x14ac:dyDescent="0.25">
      <c r="A20766" s="1" t="str">
        <f t="shared" si="775"/>
        <v>32900</v>
      </c>
      <c r="B20766" s="1" t="str">
        <f>"95301"</f>
        <v>95301</v>
      </c>
      <c r="C20766" s="2">
        <v>0.14916870969735599</v>
      </c>
      <c r="D20766" s="2">
        <v>0.14972222222222201</v>
      </c>
      <c r="E20766" s="2">
        <v>4.7066206463759003E-2</v>
      </c>
      <c r="F20766" s="2">
        <v>0.146177825338482</v>
      </c>
    </row>
    <row r="20767" spans="1:6" x14ac:dyDescent="0.25">
      <c r="A20767" s="1" t="str">
        <f t="shared" si="775"/>
        <v>32900</v>
      </c>
      <c r="B20767" s="1" t="str">
        <f>"95340"</f>
        <v>95340</v>
      </c>
      <c r="C20767" s="2">
        <v>0.13719895341890001</v>
      </c>
      <c r="D20767" s="2">
        <v>0.20111111111111099</v>
      </c>
      <c r="E20767" s="2">
        <v>0.170379667398807</v>
      </c>
      <c r="F20767" s="2">
        <v>0.14246498860093901</v>
      </c>
    </row>
    <row r="20768" spans="1:6" x14ac:dyDescent="0.25">
      <c r="A20768" s="1" t="str">
        <f t="shared" si="775"/>
        <v>32900</v>
      </c>
      <c r="B20768" s="1" t="str">
        <f>"95388"</f>
        <v>95388</v>
      </c>
      <c r="C20768" s="2">
        <v>5.1628587321535198E-2</v>
      </c>
      <c r="D20768" s="2">
        <v>2.01388888888888E-2</v>
      </c>
      <c r="E20768" s="2">
        <v>2.0709130844053899E-2</v>
      </c>
      <c r="F20768" s="2">
        <v>4.8601870376401603E-2</v>
      </c>
    </row>
    <row r="20769" spans="1:6" x14ac:dyDescent="0.25">
      <c r="A20769" s="1" t="str">
        <f t="shared" si="775"/>
        <v>32900</v>
      </c>
      <c r="B20769" s="1" t="str">
        <f>"95322"</f>
        <v>95322</v>
      </c>
      <c r="C20769" s="2">
        <v>3.9967860895362403E-2</v>
      </c>
      <c r="D20769" s="2">
        <v>3.9861111111111097E-2</v>
      </c>
      <c r="E20769" s="2">
        <v>2.5101976780671401E-2</v>
      </c>
      <c r="F20769" s="2">
        <v>3.9519843670032098E-2</v>
      </c>
    </row>
    <row r="20770" spans="1:6" x14ac:dyDescent="0.25">
      <c r="A20770" s="1" t="str">
        <f t="shared" si="775"/>
        <v>32900</v>
      </c>
      <c r="B20770" s="1" t="str">
        <f>"93622"</f>
        <v>93622</v>
      </c>
      <c r="C20770" s="2">
        <v>1.9571890644636201E-4</v>
      </c>
      <c r="D20770" s="2">
        <v>2.7777777777777702E-4</v>
      </c>
      <c r="E20770" s="2">
        <v>0</v>
      </c>
      <c r="F20770" s="2">
        <v>1.9541245987065499E-4</v>
      </c>
    </row>
    <row r="20771" spans="1:6" x14ac:dyDescent="0.25">
      <c r="A20771" s="1" t="str">
        <f t="shared" si="775"/>
        <v>32900</v>
      </c>
      <c r="B20771" s="1" t="str">
        <f>"95316"</f>
        <v>95316</v>
      </c>
      <c r="C20771" s="2">
        <v>4.5324378334947099E-4</v>
      </c>
      <c r="D20771" s="2">
        <v>1.3888888888888799E-4</v>
      </c>
      <c r="E20771" s="2">
        <v>0</v>
      </c>
      <c r="F20771" s="2">
        <v>4.1874098543711902E-4</v>
      </c>
    </row>
    <row r="20772" spans="1:6" x14ac:dyDescent="0.25">
      <c r="A20772" s="1" t="str">
        <f t="shared" si="775"/>
        <v>32900</v>
      </c>
      <c r="B20772" s="1" t="str">
        <f>"93661"</f>
        <v>93661</v>
      </c>
      <c r="C20772" s="2">
        <v>0</v>
      </c>
      <c r="D20772" s="2">
        <v>0</v>
      </c>
      <c r="E20772" s="2">
        <v>3.1377470975839302E-4</v>
      </c>
      <c r="F20772" s="2">
        <v>9.3053552319359704E-6</v>
      </c>
    </row>
    <row r="20773" spans="1:6" x14ac:dyDescent="0.25">
      <c r="A20773" s="1" t="str">
        <f t="shared" si="775"/>
        <v>32900</v>
      </c>
      <c r="B20773" s="1" t="str">
        <f>"93665"</f>
        <v>93665</v>
      </c>
      <c r="C20773" s="2">
        <v>0</v>
      </c>
      <c r="D20773" s="2">
        <v>0</v>
      </c>
      <c r="E20773" s="2">
        <v>3.1377470975839302E-4</v>
      </c>
      <c r="F20773" s="2">
        <v>9.3053552319359704E-6</v>
      </c>
    </row>
    <row r="20774" spans="1:6" x14ac:dyDescent="0.25">
      <c r="A20774" s="1" t="str">
        <f t="shared" si="775"/>
        <v>32900</v>
      </c>
      <c r="B20774" s="1" t="str">
        <f>"93610"</f>
        <v>93610</v>
      </c>
      <c r="C20774" s="2">
        <v>6.1805970456746103E-4</v>
      </c>
      <c r="D20774" s="2">
        <v>5.5555555555555501E-4</v>
      </c>
      <c r="E20774" s="2">
        <v>0</v>
      </c>
      <c r="F20774" s="2">
        <v>5.9554273484390199E-4</v>
      </c>
    </row>
    <row r="20775" spans="1:6" x14ac:dyDescent="0.25">
      <c r="A20775" s="1" t="str">
        <f t="shared" si="775"/>
        <v>32900</v>
      </c>
      <c r="B20775" s="1" t="str">
        <f>"95369"</f>
        <v>95369</v>
      </c>
      <c r="C20775" s="2">
        <v>2.4413358330414702E-3</v>
      </c>
      <c r="D20775" s="2">
        <v>9.7222222222222198E-4</v>
      </c>
      <c r="E20775" s="2">
        <v>9.4132412927517997E-4</v>
      </c>
      <c r="F20775" s="2">
        <v>2.2984227422881802E-3</v>
      </c>
    </row>
    <row r="20776" spans="1:6" x14ac:dyDescent="0.25">
      <c r="A20776" s="1" t="str">
        <f t="shared" si="775"/>
        <v>32900</v>
      </c>
      <c r="B20776" s="1" t="str">
        <f>"95312"</f>
        <v>95312</v>
      </c>
      <c r="C20776" s="2">
        <v>0</v>
      </c>
      <c r="D20776" s="2">
        <v>0</v>
      </c>
      <c r="E20776" s="2">
        <v>3.1377470975839302E-4</v>
      </c>
      <c r="F20776" s="2">
        <v>9.3053552319359704E-6</v>
      </c>
    </row>
    <row r="20777" spans="1:6" x14ac:dyDescent="0.25">
      <c r="A20777" s="1" t="str">
        <f t="shared" si="775"/>
        <v>32900</v>
      </c>
      <c r="B20777" s="1" t="str">
        <f>"95360"</f>
        <v>95360</v>
      </c>
      <c r="C20777" s="2">
        <v>9.3739055192731599E-4</v>
      </c>
      <c r="D20777" s="2">
        <v>1.11111111111111E-3</v>
      </c>
      <c r="E20777" s="2">
        <v>1.2550988390335699E-3</v>
      </c>
      <c r="F20777" s="2">
        <v>9.5845158888940504E-4</v>
      </c>
    </row>
    <row r="20778" spans="1:6" x14ac:dyDescent="0.25">
      <c r="A20778" s="1" t="str">
        <f t="shared" si="775"/>
        <v>32900</v>
      </c>
      <c r="B20778" s="1" t="str">
        <f>"95341"</f>
        <v>95341</v>
      </c>
      <c r="C20778" s="2">
        <v>0.11402171449762</v>
      </c>
      <c r="D20778" s="2">
        <v>0.12680555555555501</v>
      </c>
      <c r="E20778" s="2">
        <v>0.157828679008471</v>
      </c>
      <c r="F20778" s="2">
        <v>0.11617736007072001</v>
      </c>
    </row>
    <row r="20779" spans="1:6" x14ac:dyDescent="0.25">
      <c r="A20779" s="1" t="str">
        <f t="shared" ref="A20779:A20805" si="776">"32940"</f>
        <v>32940</v>
      </c>
      <c r="B20779" s="1" t="str">
        <f>"39361"</f>
        <v>39361</v>
      </c>
      <c r="C20779" s="2">
        <v>2.0737110000942501E-4</v>
      </c>
      <c r="D20779" s="2">
        <v>0</v>
      </c>
      <c r="E20779" s="2">
        <v>0</v>
      </c>
      <c r="F20779" s="2">
        <v>1.8638065707653401E-4</v>
      </c>
    </row>
    <row r="20780" spans="1:6" x14ac:dyDescent="0.25">
      <c r="A20780" s="1" t="str">
        <f t="shared" si="776"/>
        <v>32940</v>
      </c>
      <c r="B20780" s="1" t="str">
        <f>"39305"</f>
        <v>39305</v>
      </c>
      <c r="C20780" s="2">
        <v>0.18514468847205201</v>
      </c>
      <c r="D20780" s="2">
        <v>0.106849315068493</v>
      </c>
      <c r="E20780" s="2">
        <v>0.202546296296296</v>
      </c>
      <c r="F20780" s="2">
        <v>0.17862044426371099</v>
      </c>
    </row>
    <row r="20781" spans="1:6" x14ac:dyDescent="0.25">
      <c r="A20781" s="1" t="str">
        <f t="shared" si="776"/>
        <v>32940</v>
      </c>
      <c r="B20781" s="1" t="str">
        <f>"39354"</f>
        <v>39354</v>
      </c>
      <c r="C20781" s="2">
        <v>1.32151946460552E-2</v>
      </c>
      <c r="D20781" s="2">
        <v>5.0880626223091903E-3</v>
      </c>
      <c r="E20781" s="2">
        <v>2.3148148148148099E-3</v>
      </c>
      <c r="F20781" s="2">
        <v>1.23519544553448E-2</v>
      </c>
    </row>
    <row r="20782" spans="1:6" x14ac:dyDescent="0.25">
      <c r="A20782" s="1" t="str">
        <f t="shared" si="776"/>
        <v>32940</v>
      </c>
      <c r="B20782" s="1" t="str">
        <f>"39335"</f>
        <v>39335</v>
      </c>
      <c r="C20782" s="2">
        <v>3.5026863983410303E-2</v>
      </c>
      <c r="D20782" s="2">
        <v>7.6320939334637902E-3</v>
      </c>
      <c r="E20782" s="2">
        <v>4.6296296296296198E-3</v>
      </c>
      <c r="F20782" s="2">
        <v>3.22099662820447E-2</v>
      </c>
    </row>
    <row r="20783" spans="1:6" x14ac:dyDescent="0.25">
      <c r="A20783" s="1" t="str">
        <f t="shared" si="776"/>
        <v>32940</v>
      </c>
      <c r="B20783" s="1" t="str">
        <f>"39302"</f>
        <v>39302</v>
      </c>
      <c r="C20783" s="2">
        <v>2.3904232255631999E-2</v>
      </c>
      <c r="D20783" s="2">
        <v>9.7455968688845401E-2</v>
      </c>
      <c r="E20783" s="2">
        <v>2.3148148148148099E-3</v>
      </c>
      <c r="F20783" s="2">
        <v>2.9956454701028399E-2</v>
      </c>
    </row>
    <row r="20784" spans="1:6" x14ac:dyDescent="0.25">
      <c r="A20784" s="1" t="str">
        <f t="shared" si="776"/>
        <v>32940</v>
      </c>
      <c r="B20784" s="1" t="str">
        <f>"39323"</f>
        <v>39323</v>
      </c>
      <c r="C20784" s="2">
        <v>3.0540107455933599E-3</v>
      </c>
      <c r="D20784" s="2">
        <v>0</v>
      </c>
      <c r="E20784" s="2">
        <v>0</v>
      </c>
      <c r="F20784" s="2">
        <v>2.7448787678544099E-3</v>
      </c>
    </row>
    <row r="20785" spans="1:6" x14ac:dyDescent="0.25">
      <c r="A20785" s="1" t="str">
        <f t="shared" si="776"/>
        <v>32940</v>
      </c>
      <c r="B20785" s="1" t="str">
        <f>"39358"</f>
        <v>39358</v>
      </c>
      <c r="C20785" s="2">
        <v>1.1518522009614399E-2</v>
      </c>
      <c r="D20785" s="2">
        <v>6.6536203522504804E-3</v>
      </c>
      <c r="E20785" s="2">
        <v>4.6296296296296198E-3</v>
      </c>
      <c r="F20785" s="2">
        <v>1.09964587675155E-2</v>
      </c>
    </row>
    <row r="20786" spans="1:6" x14ac:dyDescent="0.25">
      <c r="A20786" s="1" t="str">
        <f t="shared" si="776"/>
        <v>32940</v>
      </c>
      <c r="B20786" s="1" t="str">
        <f>"39439"</f>
        <v>39439</v>
      </c>
      <c r="C20786" s="2">
        <v>2.0360071637289001E-3</v>
      </c>
      <c r="D20786" s="2">
        <v>5.8708414872798401E-4</v>
      </c>
      <c r="E20786" s="2">
        <v>0</v>
      </c>
      <c r="F20786" s="2">
        <v>1.88075026686321E-3</v>
      </c>
    </row>
    <row r="20787" spans="1:6" x14ac:dyDescent="0.25">
      <c r="A20787" s="1" t="str">
        <f t="shared" si="776"/>
        <v>32940</v>
      </c>
      <c r="B20787" s="1" t="str">
        <f>"39320"</f>
        <v>39320</v>
      </c>
      <c r="C20787" s="2">
        <v>1.7758506928079901E-2</v>
      </c>
      <c r="D20787" s="2">
        <v>4.10958904109589E-3</v>
      </c>
      <c r="E20787" s="2">
        <v>8.1018518518518497E-3</v>
      </c>
      <c r="F20787" s="2">
        <v>1.6435385214930699E-2</v>
      </c>
    </row>
    <row r="20788" spans="1:6" x14ac:dyDescent="0.25">
      <c r="A20788" s="1" t="str">
        <f t="shared" si="776"/>
        <v>32940</v>
      </c>
      <c r="B20788" s="1" t="str">
        <f>"39350"</f>
        <v>39350</v>
      </c>
      <c r="C20788" s="2">
        <v>1.77208030917145E-3</v>
      </c>
      <c r="D20788" s="2">
        <v>0</v>
      </c>
      <c r="E20788" s="2">
        <v>0</v>
      </c>
      <c r="F20788" s="2">
        <v>1.5927074331994701E-3</v>
      </c>
    </row>
    <row r="20789" spans="1:6" x14ac:dyDescent="0.25">
      <c r="A20789" s="1" t="str">
        <f t="shared" si="776"/>
        <v>32940</v>
      </c>
      <c r="B20789" s="1" t="str">
        <f>"39342"</f>
        <v>39342</v>
      </c>
      <c r="C20789" s="2">
        <v>1.3535677255160699E-2</v>
      </c>
      <c r="D20789" s="2">
        <v>1.0371819960860999E-2</v>
      </c>
      <c r="E20789" s="2">
        <v>5.5555555555555497E-2</v>
      </c>
      <c r="F20789" s="2">
        <v>1.38768871041528E-2</v>
      </c>
    </row>
    <row r="20790" spans="1:6" x14ac:dyDescent="0.25">
      <c r="A20790" s="1" t="str">
        <f t="shared" si="776"/>
        <v>32940</v>
      </c>
      <c r="B20790" s="1" t="str">
        <f>"39328"</f>
        <v>39328</v>
      </c>
      <c r="C20790" s="2">
        <v>4.2793854274672402E-2</v>
      </c>
      <c r="D20790" s="2">
        <v>2.426614481409E-2</v>
      </c>
      <c r="E20790" s="2">
        <v>1.9675925925925899E-2</v>
      </c>
      <c r="F20790" s="2">
        <v>4.0851251291956797E-2</v>
      </c>
    </row>
    <row r="20791" spans="1:6" x14ac:dyDescent="0.25">
      <c r="A20791" s="1" t="str">
        <f t="shared" si="776"/>
        <v>32940</v>
      </c>
      <c r="B20791" s="1" t="str">
        <f>"39363"</f>
        <v>39363</v>
      </c>
      <c r="C20791" s="2">
        <v>1.4685644264303801E-2</v>
      </c>
      <c r="D20791" s="2">
        <v>2.7397260273972599E-3</v>
      </c>
      <c r="E20791" s="2">
        <v>9.2592592592592501E-3</v>
      </c>
      <c r="F20791" s="2">
        <v>1.3571900574391201E-2</v>
      </c>
    </row>
    <row r="20792" spans="1:6" x14ac:dyDescent="0.25">
      <c r="A20792" s="1" t="str">
        <f t="shared" si="776"/>
        <v>32940</v>
      </c>
      <c r="B20792" s="1" t="str">
        <f>"39367"</f>
        <v>39367</v>
      </c>
      <c r="C20792" s="2">
        <v>2.2245263455556601E-3</v>
      </c>
      <c r="D20792" s="2">
        <v>0</v>
      </c>
      <c r="E20792" s="2">
        <v>0</v>
      </c>
      <c r="F20792" s="2">
        <v>1.9993561395482799E-3</v>
      </c>
    </row>
    <row r="20793" spans="1:6" x14ac:dyDescent="0.25">
      <c r="A20793" s="1" t="str">
        <f t="shared" si="776"/>
        <v>32940</v>
      </c>
      <c r="B20793" s="1" t="str">
        <f>"39360"</f>
        <v>39360</v>
      </c>
      <c r="C20793" s="2">
        <v>2.2132151946460499E-2</v>
      </c>
      <c r="D20793" s="2">
        <v>7.0450097847358098E-3</v>
      </c>
      <c r="E20793" s="2">
        <v>2.3148148148148099E-3</v>
      </c>
      <c r="F20793" s="2">
        <v>2.0535759670614499E-2</v>
      </c>
    </row>
    <row r="20794" spans="1:6" x14ac:dyDescent="0.25">
      <c r="A20794" s="1" t="str">
        <f t="shared" si="776"/>
        <v>32940</v>
      </c>
      <c r="B20794" s="1" t="str">
        <f>"39326"</f>
        <v>39326</v>
      </c>
      <c r="C20794" s="2">
        <v>7.2391365821472299E-3</v>
      </c>
      <c r="D20794" s="2">
        <v>1.17416829745596E-3</v>
      </c>
      <c r="E20794" s="2">
        <v>0</v>
      </c>
      <c r="F20794" s="2">
        <v>6.6080414781680401E-3</v>
      </c>
    </row>
    <row r="20795" spans="1:6" x14ac:dyDescent="0.25">
      <c r="A20795" s="1" t="str">
        <f t="shared" si="776"/>
        <v>32940</v>
      </c>
      <c r="B20795" s="1" t="str">
        <f>"39330"</f>
        <v>39330</v>
      </c>
      <c r="C20795" s="2">
        <v>2.7184466019417399E-2</v>
      </c>
      <c r="D20795" s="2">
        <v>8.21917808219178E-3</v>
      </c>
      <c r="E20795" s="2">
        <v>5.7870370370370298E-3</v>
      </c>
      <c r="F20795" s="2">
        <v>2.5229163489723601E-2</v>
      </c>
    </row>
    <row r="20796" spans="1:6" x14ac:dyDescent="0.25">
      <c r="A20796" s="1" t="str">
        <f t="shared" si="776"/>
        <v>32940</v>
      </c>
      <c r="B20796" s="1" t="str">
        <f>"39341"</f>
        <v>39341</v>
      </c>
      <c r="C20796" s="2">
        <v>1.8851918182674999E-5</v>
      </c>
      <c r="D20796" s="2">
        <v>0</v>
      </c>
      <c r="E20796" s="2">
        <v>0</v>
      </c>
      <c r="F20796" s="2">
        <v>1.6943696097866699E-5</v>
      </c>
    </row>
    <row r="20797" spans="1:6" x14ac:dyDescent="0.25">
      <c r="A20797" s="1" t="str">
        <f t="shared" si="776"/>
        <v>32940</v>
      </c>
      <c r="B20797" s="1" t="str">
        <f>"39364"</f>
        <v>39364</v>
      </c>
      <c r="C20797" s="2">
        <v>2.72410217739655E-2</v>
      </c>
      <c r="D20797" s="2">
        <v>6.6536203522504804E-3</v>
      </c>
      <c r="E20797" s="2">
        <v>0</v>
      </c>
      <c r="F20797" s="2">
        <v>2.5059726528744899E-2</v>
      </c>
    </row>
    <row r="20798" spans="1:6" x14ac:dyDescent="0.25">
      <c r="A20798" s="1" t="str">
        <f t="shared" si="776"/>
        <v>32940</v>
      </c>
      <c r="B20798" s="1" t="str">
        <f>"39352"</f>
        <v>39352</v>
      </c>
      <c r="C20798" s="2">
        <v>7.7292864548967801E-3</v>
      </c>
      <c r="D20798" s="2">
        <v>4.5009784735812099E-3</v>
      </c>
      <c r="E20798" s="2">
        <v>0</v>
      </c>
      <c r="F20798" s="2">
        <v>7.3366204103763096E-3</v>
      </c>
    </row>
    <row r="20799" spans="1:6" x14ac:dyDescent="0.25">
      <c r="A20799" s="1" t="str">
        <f t="shared" si="776"/>
        <v>32940</v>
      </c>
      <c r="B20799" s="1" t="str">
        <f>"39309"</f>
        <v>39309</v>
      </c>
      <c r="C20799" s="2">
        <v>0</v>
      </c>
      <c r="D20799" s="2">
        <v>2.1526418786692699E-2</v>
      </c>
      <c r="E20799" s="2">
        <v>0</v>
      </c>
      <c r="F20799" s="2">
        <v>1.8638065707653399E-3</v>
      </c>
    </row>
    <row r="20800" spans="1:6" x14ac:dyDescent="0.25">
      <c r="A20800" s="1" t="str">
        <f t="shared" si="776"/>
        <v>32940</v>
      </c>
      <c r="B20800" s="1" t="str">
        <f>"39307"</f>
        <v>39307</v>
      </c>
      <c r="C20800" s="2">
        <v>0.15456687717975301</v>
      </c>
      <c r="D20800" s="2">
        <v>0.131115459882583</v>
      </c>
      <c r="E20800" s="2">
        <v>0.19791666666666599</v>
      </c>
      <c r="F20800" s="2">
        <v>0.15317101272471501</v>
      </c>
    </row>
    <row r="20801" spans="1:6" x14ac:dyDescent="0.25">
      <c r="A20801" s="1" t="str">
        <f t="shared" si="776"/>
        <v>32940</v>
      </c>
      <c r="B20801" s="1" t="str">
        <f>"39301"</f>
        <v>39301</v>
      </c>
      <c r="C20801" s="2">
        <v>0.25729097935714901</v>
      </c>
      <c r="D20801" s="2">
        <v>0.47064579256360001</v>
      </c>
      <c r="E20801" s="2">
        <v>0.43981481481481399</v>
      </c>
      <c r="F20801" s="2">
        <v>0.27843575797624398</v>
      </c>
    </row>
    <row r="20802" spans="1:6" x14ac:dyDescent="0.25">
      <c r="A20802" s="1" t="str">
        <f t="shared" si="776"/>
        <v>32940</v>
      </c>
      <c r="B20802" s="1" t="str">
        <f>"39325"</f>
        <v>39325</v>
      </c>
      <c r="C20802" s="2">
        <v>4.8298614384013498E-2</v>
      </c>
      <c r="D20802" s="2">
        <v>1.7808219178082101E-2</v>
      </c>
      <c r="E20802" s="2">
        <v>2.3148148148148099E-3</v>
      </c>
      <c r="F20802" s="2">
        <v>4.49855131398363E-2</v>
      </c>
    </row>
    <row r="20803" spans="1:6" x14ac:dyDescent="0.25">
      <c r="A20803" s="1" t="str">
        <f t="shared" si="776"/>
        <v>32940</v>
      </c>
      <c r="B20803" s="1" t="str">
        <f>"39347"</f>
        <v>39347</v>
      </c>
      <c r="C20803" s="2">
        <v>4.4679046092939902E-3</v>
      </c>
      <c r="D20803" s="2">
        <v>1.95694716242661E-3</v>
      </c>
      <c r="E20803" s="2">
        <v>0</v>
      </c>
      <c r="F20803" s="2">
        <v>4.1850929361730901E-3</v>
      </c>
    </row>
    <row r="20804" spans="1:6" x14ac:dyDescent="0.25">
      <c r="A20804" s="1" t="str">
        <f t="shared" si="776"/>
        <v>32940</v>
      </c>
      <c r="B20804" s="1" t="str">
        <f>"39355"</f>
        <v>39355</v>
      </c>
      <c r="C20804" s="2">
        <v>7.0902064285041005E-2</v>
      </c>
      <c r="D20804" s="2">
        <v>6.1448140900195597E-2</v>
      </c>
      <c r="E20804" s="2">
        <v>4.2824074074074001E-2</v>
      </c>
      <c r="F20804" s="2">
        <v>6.9672478354428205E-2</v>
      </c>
    </row>
    <row r="20805" spans="1:6" x14ac:dyDescent="0.25">
      <c r="A20805" s="1" t="str">
        <f t="shared" si="776"/>
        <v>32940</v>
      </c>
      <c r="B20805" s="1" t="str">
        <f>"39366"</f>
        <v>39366</v>
      </c>
      <c r="C20805" s="2">
        <v>6.0514657366387004E-3</v>
      </c>
      <c r="D20805" s="2">
        <v>2.15264187866927E-3</v>
      </c>
      <c r="E20805" s="2">
        <v>0</v>
      </c>
      <c r="F20805" s="2">
        <v>5.6253071044917698E-3</v>
      </c>
    </row>
    <row r="20806" spans="1:6" x14ac:dyDescent="0.25">
      <c r="A20806" s="1" t="str">
        <f t="shared" ref="A20806:A20819" si="777">"33020"</f>
        <v>33020</v>
      </c>
      <c r="B20806" s="1" t="str">
        <f>"65265"</f>
        <v>65265</v>
      </c>
      <c r="C20806" s="2">
        <v>0.64411224757408803</v>
      </c>
      <c r="D20806" s="2">
        <v>0.71316306483300496</v>
      </c>
      <c r="E20806" s="2">
        <v>0.83606557377049096</v>
      </c>
      <c r="F20806" s="2">
        <v>0.65333438311943903</v>
      </c>
    </row>
    <row r="20807" spans="1:6" x14ac:dyDescent="0.25">
      <c r="A20807" s="1" t="str">
        <f t="shared" si="777"/>
        <v>33020</v>
      </c>
      <c r="B20807" s="1" t="str">
        <f>"65231"</f>
        <v>65231</v>
      </c>
      <c r="C20807" s="2">
        <v>1.486143893697E-3</v>
      </c>
      <c r="D20807" s="2">
        <v>0</v>
      </c>
      <c r="E20807" s="2">
        <v>0</v>
      </c>
      <c r="F20807" s="2">
        <v>1.33847728525312E-3</v>
      </c>
    </row>
    <row r="20808" spans="1:6" x14ac:dyDescent="0.25">
      <c r="A20808" s="1" t="str">
        <f t="shared" si="777"/>
        <v>33020</v>
      </c>
      <c r="B20808" s="1" t="str">
        <f>"65285"</f>
        <v>65285</v>
      </c>
      <c r="C20808" s="2">
        <v>2.7362531689832999E-2</v>
      </c>
      <c r="D20808" s="2">
        <v>8.8408644400785798E-3</v>
      </c>
      <c r="E20808" s="2">
        <v>4.0983606557376999E-3</v>
      </c>
      <c r="F20808" s="2">
        <v>2.54310684198094E-2</v>
      </c>
    </row>
    <row r="20809" spans="1:6" x14ac:dyDescent="0.25">
      <c r="A20809" s="1" t="str">
        <f t="shared" si="777"/>
        <v>33020</v>
      </c>
      <c r="B20809" s="1" t="str">
        <f>"63352"</f>
        <v>63352</v>
      </c>
      <c r="C20809" s="2">
        <v>4.3710114520499999E-2</v>
      </c>
      <c r="D20809" s="2">
        <v>2.8487229862475399E-2</v>
      </c>
      <c r="E20809" s="2">
        <v>1.63934426229508E-2</v>
      </c>
      <c r="F20809" s="2">
        <v>4.1965199590583403E-2</v>
      </c>
    </row>
    <row r="20810" spans="1:6" x14ac:dyDescent="0.25">
      <c r="A20810" s="1" t="str">
        <f t="shared" si="777"/>
        <v>33020</v>
      </c>
      <c r="B20810" s="1" t="str">
        <f>"63359"</f>
        <v>63359</v>
      </c>
      <c r="C20810" s="2">
        <v>2.5351866421889999E-3</v>
      </c>
      <c r="D20810" s="2">
        <v>1.9646365422396799E-3</v>
      </c>
      <c r="E20810" s="2">
        <v>0</v>
      </c>
      <c r="F20810" s="2">
        <v>2.4407526966380498E-3</v>
      </c>
    </row>
    <row r="20811" spans="1:6" x14ac:dyDescent="0.25">
      <c r="A20811" s="1" t="str">
        <f t="shared" si="777"/>
        <v>33020</v>
      </c>
      <c r="B20811" s="1" t="str">
        <f>"63382"</f>
        <v>63382</v>
      </c>
      <c r="C20811" s="2">
        <v>0.14459305883381399</v>
      </c>
      <c r="D20811" s="2">
        <v>0.20039292730844699</v>
      </c>
      <c r="E20811" s="2">
        <v>0.102459016393442</v>
      </c>
      <c r="F20811" s="2">
        <v>0.148256042831273</v>
      </c>
    </row>
    <row r="20812" spans="1:6" x14ac:dyDescent="0.25">
      <c r="A20812" s="1" t="str">
        <f t="shared" si="777"/>
        <v>33020</v>
      </c>
      <c r="B20812" s="1" t="str">
        <f>"65240"</f>
        <v>65240</v>
      </c>
      <c r="C20812" s="2">
        <v>4.7556604598303999E-2</v>
      </c>
      <c r="D20812" s="2">
        <v>1.8664047151277001E-2</v>
      </c>
      <c r="E20812" s="2">
        <v>0</v>
      </c>
      <c r="F20812" s="2">
        <v>4.4327218329265401E-2</v>
      </c>
    </row>
    <row r="20813" spans="1:6" x14ac:dyDescent="0.25">
      <c r="A20813" s="1" t="str">
        <f t="shared" si="777"/>
        <v>33020</v>
      </c>
      <c r="B20813" s="1" t="str">
        <f>"65280"</f>
        <v>65280</v>
      </c>
      <c r="C20813" s="2">
        <v>1.0140746568756E-2</v>
      </c>
      <c r="D20813" s="2">
        <v>1.9646365422396799E-3</v>
      </c>
      <c r="E20813" s="2">
        <v>4.0983606557376999E-3</v>
      </c>
      <c r="F20813" s="2">
        <v>9.3693409967718997E-3</v>
      </c>
    </row>
    <row r="20814" spans="1:6" x14ac:dyDescent="0.25">
      <c r="A20814" s="1" t="str">
        <f t="shared" si="777"/>
        <v>33020</v>
      </c>
      <c r="B20814" s="1" t="str">
        <f>"65264"</f>
        <v>65264</v>
      </c>
      <c r="C20814" s="2">
        <v>2.4302823673398002E-2</v>
      </c>
      <c r="D20814" s="2">
        <v>8.8408644400785798E-3</v>
      </c>
      <c r="E20814" s="2">
        <v>1.2295081967213101E-2</v>
      </c>
      <c r="F20814" s="2">
        <v>2.28328478072592E-2</v>
      </c>
    </row>
    <row r="20815" spans="1:6" x14ac:dyDescent="0.25">
      <c r="A20815" s="1" t="str">
        <f t="shared" si="777"/>
        <v>33020</v>
      </c>
      <c r="B20815" s="1" t="str">
        <f>"65284"</f>
        <v>65284</v>
      </c>
      <c r="C20815" s="2">
        <v>3.7590698487629999E-3</v>
      </c>
      <c r="D20815" s="2">
        <v>9.8231827111984211E-4</v>
      </c>
      <c r="E20815" s="2">
        <v>0</v>
      </c>
      <c r="F20815" s="2">
        <v>3.46429415006692E-3</v>
      </c>
    </row>
    <row r="20816" spans="1:6" x14ac:dyDescent="0.25">
      <c r="A20816" s="1" t="str">
        <f t="shared" si="777"/>
        <v>33020</v>
      </c>
      <c r="B20816" s="1" t="str">
        <f>"63345"</f>
        <v>63345</v>
      </c>
      <c r="C20816" s="2">
        <v>1.8270827869569E-2</v>
      </c>
      <c r="D20816" s="2">
        <v>1.47347740667976E-2</v>
      </c>
      <c r="E20816" s="2">
        <v>2.0491803278688499E-2</v>
      </c>
      <c r="F20816" s="2">
        <v>1.8030076371939201E-2</v>
      </c>
    </row>
    <row r="20817" spans="1:6" x14ac:dyDescent="0.25">
      <c r="A20817" s="1" t="str">
        <f t="shared" si="777"/>
        <v>33020</v>
      </c>
      <c r="B20817" s="1" t="str">
        <f>"65243"</f>
        <v>65243</v>
      </c>
      <c r="C20817" s="2">
        <v>1.8270827869569E-2</v>
      </c>
      <c r="D20817" s="2">
        <v>9.8231827111984211E-4</v>
      </c>
      <c r="E20817" s="2">
        <v>0</v>
      </c>
      <c r="F20817" s="2">
        <v>1.6534131170773899E-2</v>
      </c>
    </row>
    <row r="20818" spans="1:6" x14ac:dyDescent="0.25">
      <c r="A20818" s="1" t="str">
        <f t="shared" si="777"/>
        <v>33020</v>
      </c>
      <c r="B20818" s="1" t="str">
        <f>"63384"</f>
        <v>63384</v>
      </c>
      <c r="C20818" s="2">
        <v>4.1087507649269998E-3</v>
      </c>
      <c r="D20818" s="2">
        <v>9.8231827111984211E-4</v>
      </c>
      <c r="E20818" s="2">
        <v>0</v>
      </c>
      <c r="F20818" s="2">
        <v>3.7792299818911802E-3</v>
      </c>
    </row>
    <row r="20819" spans="1:6" x14ac:dyDescent="0.25">
      <c r="A20819" s="1" t="str">
        <f t="shared" si="777"/>
        <v>33020</v>
      </c>
      <c r="B20819" s="1" t="str">
        <f>"65232"</f>
        <v>65232</v>
      </c>
      <c r="C20819" s="2">
        <v>9.7910656525919994E-3</v>
      </c>
      <c r="D20819" s="2">
        <v>0</v>
      </c>
      <c r="E20819" s="2">
        <v>4.0983606557376999E-3</v>
      </c>
      <c r="F20819" s="2">
        <v>8.8969372490354994E-3</v>
      </c>
    </row>
    <row r="20820" spans="1:6" x14ac:dyDescent="0.25">
      <c r="A20820" s="1" t="str">
        <f t="shared" ref="A20820:A20830" si="778">"33060"</f>
        <v>33060</v>
      </c>
      <c r="B20820" s="1" t="str">
        <f>"74344"</f>
        <v>74344</v>
      </c>
      <c r="C20820" s="2">
        <v>4.2690904083178402E-3</v>
      </c>
      <c r="D20820" s="2">
        <v>1.5735641227380001E-3</v>
      </c>
      <c r="E20820" s="2">
        <v>0</v>
      </c>
      <c r="F20820" s="2">
        <v>3.9877874010841698E-3</v>
      </c>
    </row>
    <row r="20821" spans="1:6" x14ac:dyDescent="0.25">
      <c r="A20821" s="1" t="str">
        <f t="shared" si="778"/>
        <v>33060</v>
      </c>
      <c r="B20821" s="1" t="str">
        <f>"74335"</f>
        <v>74335</v>
      </c>
      <c r="C20821" s="2">
        <v>0</v>
      </c>
      <c r="D20821" s="2">
        <v>0</v>
      </c>
      <c r="E20821" s="2">
        <v>3.9215686274509803E-3</v>
      </c>
      <c r="F20821" s="2">
        <v>6.2309178141940302E-5</v>
      </c>
    </row>
    <row r="20822" spans="1:6" x14ac:dyDescent="0.25">
      <c r="A20822" s="1" t="str">
        <f t="shared" si="778"/>
        <v>33060</v>
      </c>
      <c r="B20822" s="1" t="str">
        <f>"74331"</f>
        <v>74331</v>
      </c>
      <c r="C20822" s="2">
        <v>3.62184121737932E-2</v>
      </c>
      <c r="D20822" s="2">
        <v>1.6522423288748998E-2</v>
      </c>
      <c r="E20822" s="2">
        <v>1.9607843137254902E-2</v>
      </c>
      <c r="F20822" s="2">
        <v>3.4394666334351003E-2</v>
      </c>
    </row>
    <row r="20823" spans="1:6" x14ac:dyDescent="0.25">
      <c r="A20823" s="1" t="str">
        <f t="shared" si="778"/>
        <v>33060</v>
      </c>
      <c r="B20823" s="1" t="str">
        <f>"74370"</f>
        <v>74370</v>
      </c>
      <c r="C20823" s="2">
        <v>0.12814156854644301</v>
      </c>
      <c r="D20823" s="2">
        <v>8.4972462627852005E-2</v>
      </c>
      <c r="E20823" s="2">
        <v>8.6274509803921498E-2</v>
      </c>
      <c r="F20823" s="2">
        <v>0.12405757368060299</v>
      </c>
    </row>
    <row r="20824" spans="1:6" x14ac:dyDescent="0.25">
      <c r="A20824" s="1" t="str">
        <f t="shared" si="778"/>
        <v>33060</v>
      </c>
      <c r="B20824" s="1" t="str">
        <f>"74360"</f>
        <v>74360</v>
      </c>
      <c r="C20824" s="2">
        <v>7.5741926599187399E-4</v>
      </c>
      <c r="D20824" s="2">
        <v>4.7206923682140004E-3</v>
      </c>
      <c r="E20824" s="2">
        <v>3.9215686274509803E-3</v>
      </c>
      <c r="F20824" s="2">
        <v>1.12156520655492E-3</v>
      </c>
    </row>
    <row r="20825" spans="1:6" x14ac:dyDescent="0.25">
      <c r="A20825" s="1" t="str">
        <f t="shared" si="778"/>
        <v>33060</v>
      </c>
      <c r="B20825" s="1" t="str">
        <f>"74333"</f>
        <v>74333</v>
      </c>
      <c r="C20825" s="2">
        <v>2.0656889072505598E-3</v>
      </c>
      <c r="D20825" s="2">
        <v>0</v>
      </c>
      <c r="E20825" s="2">
        <v>0</v>
      </c>
      <c r="F20825" s="2">
        <v>1.8692753442582E-3</v>
      </c>
    </row>
    <row r="20826" spans="1:6" x14ac:dyDescent="0.25">
      <c r="A20826" s="1" t="str">
        <f t="shared" si="778"/>
        <v>33060</v>
      </c>
      <c r="B20826" s="1" t="str">
        <f>"74363"</f>
        <v>74363</v>
      </c>
      <c r="C20826" s="2">
        <v>8.0493011085863805E-2</v>
      </c>
      <c r="D20826" s="2">
        <v>3.3044846577497997E-2</v>
      </c>
      <c r="E20826" s="2">
        <v>2.74509803921568E-2</v>
      </c>
      <c r="F20826" s="2">
        <v>7.5892578976883202E-2</v>
      </c>
    </row>
    <row r="20827" spans="1:6" x14ac:dyDescent="0.25">
      <c r="A20827" s="1" t="str">
        <f t="shared" si="778"/>
        <v>33060</v>
      </c>
      <c r="B20827" s="1" t="str">
        <f>"74358"</f>
        <v>74358</v>
      </c>
      <c r="C20827" s="2">
        <v>6.8856296908352199E-5</v>
      </c>
      <c r="D20827" s="2">
        <v>0</v>
      </c>
      <c r="E20827" s="2">
        <v>3.9215686274509803E-3</v>
      </c>
      <c r="F20827" s="2">
        <v>1.2461835628388001E-4</v>
      </c>
    </row>
    <row r="20828" spans="1:6" x14ac:dyDescent="0.25">
      <c r="A20828" s="1" t="str">
        <f t="shared" si="778"/>
        <v>33060</v>
      </c>
      <c r="B20828" s="1" t="str">
        <f>"74354"</f>
        <v>74354</v>
      </c>
      <c r="C20828" s="2">
        <v>0.57687805549817495</v>
      </c>
      <c r="D20828" s="2">
        <v>0.73800157356412199</v>
      </c>
      <c r="E20828" s="2">
        <v>0.74509803921568596</v>
      </c>
      <c r="F20828" s="2">
        <v>0.59231104741728402</v>
      </c>
    </row>
    <row r="20829" spans="1:6" x14ac:dyDescent="0.25">
      <c r="A20829" s="1" t="str">
        <f t="shared" si="778"/>
        <v>33060</v>
      </c>
      <c r="B20829" s="1" t="str">
        <f>"74339"</f>
        <v>74339</v>
      </c>
      <c r="C20829" s="2">
        <v>7.7050196240446095E-2</v>
      </c>
      <c r="D20829" s="2">
        <v>9.8347757671124997E-2</v>
      </c>
      <c r="E20829" s="2">
        <v>3.5294117647058802E-2</v>
      </c>
      <c r="F20829" s="2">
        <v>7.8073400211851204E-2</v>
      </c>
    </row>
    <row r="20830" spans="1:6" x14ac:dyDescent="0.25">
      <c r="A20830" s="1" t="str">
        <f t="shared" si="778"/>
        <v>33060</v>
      </c>
      <c r="B20830" s="1" t="str">
        <f>"74343"</f>
        <v>74343</v>
      </c>
      <c r="C20830" s="2">
        <v>9.4057701576809094E-2</v>
      </c>
      <c r="D20830" s="2">
        <v>2.2816679779701001E-2</v>
      </c>
      <c r="E20830" s="2">
        <v>7.4509803921568599E-2</v>
      </c>
      <c r="F20830" s="2">
        <v>8.8105177892703501E-2</v>
      </c>
    </row>
    <row r="20831" spans="1:6" x14ac:dyDescent="0.25">
      <c r="A20831" s="1" t="str">
        <f t="shared" ref="A20831:A20894" si="779">"33100"</f>
        <v>33100</v>
      </c>
      <c r="B20831" s="1" t="str">
        <f>"33008"</f>
        <v>33008</v>
      </c>
      <c r="C20831" s="2">
        <v>8.44434373421689E-4</v>
      </c>
      <c r="D20831" s="2">
        <v>1.20970673335562E-3</v>
      </c>
      <c r="E20831" s="2">
        <v>9.2577591593954605E-6</v>
      </c>
      <c r="F20831" s="2">
        <v>8.2846638462687899E-4</v>
      </c>
    </row>
    <row r="20832" spans="1:6" x14ac:dyDescent="0.25">
      <c r="A20832" s="1" t="str">
        <f t="shared" si="779"/>
        <v>33100</v>
      </c>
      <c r="B20832" s="1" t="str">
        <f>"33420"</f>
        <v>33420</v>
      </c>
      <c r="C20832" s="2">
        <v>5.8546521685708195E-4</v>
      </c>
      <c r="D20832" s="2">
        <v>1.7796647134943301E-3</v>
      </c>
      <c r="E20832" s="2">
        <v>9.2577591593954605E-6</v>
      </c>
      <c r="F20832" s="2">
        <v>6.6883221487458303E-4</v>
      </c>
    </row>
    <row r="20833" spans="1:6" x14ac:dyDescent="0.25">
      <c r="A20833" s="1" t="str">
        <f t="shared" si="779"/>
        <v>33100</v>
      </c>
      <c r="B20833" s="1" t="str">
        <f>"33302"</f>
        <v>33302</v>
      </c>
      <c r="C20833" s="2">
        <v>5.6284022334001196E-4</v>
      </c>
      <c r="D20833" s="2">
        <v>7.5025081059074898E-4</v>
      </c>
      <c r="E20833" s="2">
        <v>9.2577591593954605E-6</v>
      </c>
      <c r="F20833" s="2">
        <v>5.4677616172456095E-4</v>
      </c>
    </row>
    <row r="20834" spans="1:6" x14ac:dyDescent="0.25">
      <c r="A20834" s="1" t="str">
        <f t="shared" si="779"/>
        <v>33100</v>
      </c>
      <c r="B20834" s="1" t="str">
        <f>"33222"</f>
        <v>33222</v>
      </c>
      <c r="C20834" s="2">
        <v>4.0202873095715198E-4</v>
      </c>
      <c r="D20834" s="2">
        <v>1.2678657109208001E-3</v>
      </c>
      <c r="E20834" s="2">
        <v>9.2577591593954605E-6</v>
      </c>
      <c r="F20834" s="2">
        <v>4.6404604455366297E-4</v>
      </c>
    </row>
    <row r="20835" spans="1:6" x14ac:dyDescent="0.25">
      <c r="A20835" s="1" t="str">
        <f t="shared" si="779"/>
        <v>33100</v>
      </c>
      <c r="B20835" s="1" t="str">
        <f>"33261"</f>
        <v>33261</v>
      </c>
      <c r="C20835" s="2">
        <v>7.6959785640369103E-4</v>
      </c>
      <c r="D20835" s="2">
        <v>1.2998531485816399E-3</v>
      </c>
      <c r="E20835" s="2">
        <v>1.38866387390932E-5</v>
      </c>
      <c r="F20835" s="2">
        <v>7.75157893632956E-4</v>
      </c>
    </row>
    <row r="20836" spans="1:6" x14ac:dyDescent="0.25">
      <c r="A20836" s="1" t="str">
        <f t="shared" si="779"/>
        <v>33100</v>
      </c>
      <c r="B20836" s="1" t="str">
        <f>"33149"</f>
        <v>33149</v>
      </c>
      <c r="C20836" s="2">
        <v>2.90052416888826E-3</v>
      </c>
      <c r="D20836" s="2">
        <v>2.3408988469982598E-3</v>
      </c>
      <c r="E20836" s="2">
        <v>3.3605665748605499E-3</v>
      </c>
      <c r="F20836" s="2">
        <v>2.87341505554133E-3</v>
      </c>
    </row>
    <row r="20837" spans="1:6" x14ac:dyDescent="0.25">
      <c r="A20837" s="1" t="str">
        <f t="shared" si="779"/>
        <v>33100</v>
      </c>
      <c r="B20837" s="1" t="str">
        <f>"33067"</f>
        <v>33067</v>
      </c>
      <c r="C20837" s="2">
        <v>3.5531682126498701E-3</v>
      </c>
      <c r="D20837" s="2">
        <v>2.7509196388327399E-3</v>
      </c>
      <c r="E20837" s="2">
        <v>2.2959242715300701E-3</v>
      </c>
      <c r="F20837" s="2">
        <v>3.3936826233836601E-3</v>
      </c>
    </row>
    <row r="20838" spans="1:6" x14ac:dyDescent="0.25">
      <c r="A20838" s="1" t="str">
        <f t="shared" si="779"/>
        <v>33100</v>
      </c>
      <c r="B20838" s="1" t="str">
        <f>"33065"</f>
        <v>33065</v>
      </c>
      <c r="C20838" s="2">
        <v>7.4345728697089199E-3</v>
      </c>
      <c r="D20838" s="2">
        <v>6.8046003751254004E-3</v>
      </c>
      <c r="E20838" s="2">
        <v>7.9200129608628204E-3</v>
      </c>
      <c r="F20838" s="2">
        <v>7.4020150609595704E-3</v>
      </c>
    </row>
    <row r="20839" spans="1:6" x14ac:dyDescent="0.25">
      <c r="A20839" s="1" t="str">
        <f t="shared" si="779"/>
        <v>33100</v>
      </c>
      <c r="B20839" s="1" t="str">
        <f>"33122"</f>
        <v>33122</v>
      </c>
      <c r="C20839" s="2">
        <v>4.0585757601388598E-4</v>
      </c>
      <c r="D20839" s="2">
        <v>7.3163993776989402E-3</v>
      </c>
      <c r="E20839" s="2">
        <v>1.92561390515425E-3</v>
      </c>
      <c r="F20839" s="2">
        <v>1.1937606343885201E-3</v>
      </c>
    </row>
    <row r="20840" spans="1:6" x14ac:dyDescent="0.25">
      <c r="A20840" s="1" t="str">
        <f t="shared" si="779"/>
        <v>33100</v>
      </c>
      <c r="B20840" s="1" t="str">
        <f>"33132"</f>
        <v>33132</v>
      </c>
      <c r="C20840" s="2">
        <v>4.0463930713219801E-3</v>
      </c>
      <c r="D20840" s="2">
        <v>7.5519432368378898E-3</v>
      </c>
      <c r="E20840" s="2">
        <v>4.6983127733931998E-3</v>
      </c>
      <c r="F20840" s="2">
        <v>4.4385873075104597E-3</v>
      </c>
    </row>
    <row r="20841" spans="1:6" x14ac:dyDescent="0.25">
      <c r="A20841" s="1" t="str">
        <f t="shared" si="779"/>
        <v>33100</v>
      </c>
      <c r="B20841" s="1" t="str">
        <f>"33039"</f>
        <v>33039</v>
      </c>
      <c r="C20841" s="2">
        <v>0</v>
      </c>
      <c r="D20841" s="2">
        <v>5.8158977565174401E-6</v>
      </c>
      <c r="E20841" s="2">
        <v>0</v>
      </c>
      <c r="F20841" s="2">
        <v>5.82606458949985E-7</v>
      </c>
    </row>
    <row r="20842" spans="1:6" x14ac:dyDescent="0.25">
      <c r="A20842" s="1" t="str">
        <f t="shared" si="779"/>
        <v>33100</v>
      </c>
      <c r="B20842" s="1" t="str">
        <f>"33075"</f>
        <v>33075</v>
      </c>
      <c r="C20842" s="2">
        <v>3.4146336369607398E-4</v>
      </c>
      <c r="D20842" s="2">
        <v>1.47142213239891E-3</v>
      </c>
      <c r="E20842" s="2">
        <v>9.2577591593954605E-6</v>
      </c>
      <c r="F20842" s="2">
        <v>4.3375050868826398E-4</v>
      </c>
    </row>
    <row r="20843" spans="1:6" x14ac:dyDescent="0.25">
      <c r="A20843" s="1" t="str">
        <f t="shared" si="779"/>
        <v>33100</v>
      </c>
      <c r="B20843" s="1" t="str">
        <f>"33448"</f>
        <v>33448</v>
      </c>
      <c r="C20843" s="2">
        <v>1.7160187390638599E-4</v>
      </c>
      <c r="D20843" s="2">
        <v>4.1874463846925498E-4</v>
      </c>
      <c r="E20843" s="2">
        <v>9.2577591593954605E-6</v>
      </c>
      <c r="F20843" s="2">
        <v>1.8614276363451999E-4</v>
      </c>
    </row>
    <row r="20844" spans="1:6" x14ac:dyDescent="0.25">
      <c r="A20844" s="1" t="str">
        <f t="shared" si="779"/>
        <v>33100</v>
      </c>
      <c r="B20844" s="1" t="str">
        <f>"33402"</f>
        <v>33402</v>
      </c>
      <c r="C20844" s="2">
        <v>8.5661706223857199E-4</v>
      </c>
      <c r="D20844" s="2">
        <v>1.7796647134943301E-3</v>
      </c>
      <c r="E20844" s="2">
        <v>9.2577591593954605E-6</v>
      </c>
      <c r="F20844" s="2">
        <v>8.9575743063560298E-4</v>
      </c>
    </row>
    <row r="20845" spans="1:6" x14ac:dyDescent="0.25">
      <c r="A20845" s="1" t="str">
        <f t="shared" si="779"/>
        <v>33100</v>
      </c>
      <c r="B20845" s="1" t="str">
        <f>"33077"</f>
        <v>33077</v>
      </c>
      <c r="C20845" s="2">
        <v>6.7944595915875403E-4</v>
      </c>
      <c r="D20845" s="2">
        <v>1.3376564839990099E-3</v>
      </c>
      <c r="E20845" s="2">
        <v>9.2577591593954605E-6</v>
      </c>
      <c r="F20845" s="2">
        <v>7.0320599595263204E-4</v>
      </c>
    </row>
    <row r="20846" spans="1:6" x14ac:dyDescent="0.25">
      <c r="A20846" s="1" t="str">
        <f t="shared" si="779"/>
        <v>33100</v>
      </c>
      <c r="B20846" s="1" t="str">
        <f>"33338"</f>
        <v>33338</v>
      </c>
      <c r="C20846" s="2">
        <v>4.2047680259414601E-4</v>
      </c>
      <c r="D20846" s="2">
        <v>5.6414208238219103E-4</v>
      </c>
      <c r="E20846" s="2">
        <v>9.2577591593954605E-6</v>
      </c>
      <c r="F20846" s="2">
        <v>4.0898973418289E-4</v>
      </c>
    </row>
    <row r="20847" spans="1:6" x14ac:dyDescent="0.25">
      <c r="A20847" s="1" t="str">
        <f t="shared" si="779"/>
        <v>33100</v>
      </c>
      <c r="B20847" s="1" t="str">
        <f>"33231"</f>
        <v>33231</v>
      </c>
      <c r="C20847" s="2">
        <v>1.5733072414946499E-4</v>
      </c>
      <c r="D20847" s="2">
        <v>6.5138054872995298E-4</v>
      </c>
      <c r="E20847" s="2">
        <v>4.6288795796977303E-6</v>
      </c>
      <c r="F20847" s="2">
        <v>1.9721228635456999E-4</v>
      </c>
    </row>
    <row r="20848" spans="1:6" x14ac:dyDescent="0.25">
      <c r="A20848" s="1" t="str">
        <f t="shared" si="779"/>
        <v>33100</v>
      </c>
      <c r="B20848" s="1" t="str">
        <f>"33010"</f>
        <v>33010</v>
      </c>
      <c r="C20848" s="2">
        <v>5.4223407539831297E-3</v>
      </c>
      <c r="D20848" s="2">
        <v>8.4941186733937194E-3</v>
      </c>
      <c r="E20848" s="2">
        <v>1.0951929085564799E-2</v>
      </c>
      <c r="F20848" s="2">
        <v>6.0780418829957201E-3</v>
      </c>
    </row>
    <row r="20849" spans="1:6" x14ac:dyDescent="0.25">
      <c r="A20849" s="1" t="str">
        <f t="shared" si="779"/>
        <v>33100</v>
      </c>
      <c r="B20849" s="1" t="str">
        <f>"33028"</f>
        <v>33028</v>
      </c>
      <c r="C20849" s="2">
        <v>3.3161278959556598E-3</v>
      </c>
      <c r="D20849" s="2">
        <v>1.5034095700597501E-3</v>
      </c>
      <c r="E20849" s="2">
        <v>4.0224963547573298E-3</v>
      </c>
      <c r="F20849" s="2">
        <v>3.1789921432605899E-3</v>
      </c>
    </row>
    <row r="20850" spans="1:6" x14ac:dyDescent="0.25">
      <c r="A20850" s="1" t="str">
        <f t="shared" si="779"/>
        <v>33100</v>
      </c>
      <c r="B20850" s="1" t="str">
        <f>"33022"</f>
        <v>33022</v>
      </c>
      <c r="C20850" s="2">
        <v>1.02056124603148E-3</v>
      </c>
      <c r="D20850" s="2">
        <v>1.1660875001817401E-3</v>
      </c>
      <c r="E20850" s="2">
        <v>6.4804314115768198E-5</v>
      </c>
      <c r="F20850" s="2">
        <v>9.7499190905280095E-4</v>
      </c>
    </row>
    <row r="20851" spans="1:6" x14ac:dyDescent="0.25">
      <c r="A20851" s="1" t="str">
        <f t="shared" si="779"/>
        <v>33100</v>
      </c>
      <c r="B20851" s="1" t="str">
        <f>"33412"</f>
        <v>33412</v>
      </c>
      <c r="C20851" s="2">
        <v>2.29417434263081E-3</v>
      </c>
      <c r="D20851" s="2">
        <v>4.5364002500836002E-4</v>
      </c>
      <c r="E20851" s="2">
        <v>1.9441294234730401E-4</v>
      </c>
      <c r="F20851" s="2">
        <v>1.9776576249057199E-3</v>
      </c>
    </row>
    <row r="20852" spans="1:6" x14ac:dyDescent="0.25">
      <c r="A20852" s="1" t="str">
        <f t="shared" si="779"/>
        <v>33100</v>
      </c>
      <c r="B20852" s="1" t="str">
        <f>"33419"</f>
        <v>33419</v>
      </c>
      <c r="C20852" s="2">
        <v>7.1564594878606403E-4</v>
      </c>
      <c r="D20852" s="2">
        <v>9.2763569216453099E-4</v>
      </c>
      <c r="E20852" s="2">
        <v>9.2577591593954605E-6</v>
      </c>
      <c r="F20852" s="2">
        <v>6.9242777646205797E-4</v>
      </c>
    </row>
    <row r="20853" spans="1:6" x14ac:dyDescent="0.25">
      <c r="A20853" s="1" t="str">
        <f t="shared" si="779"/>
        <v>33100</v>
      </c>
      <c r="B20853" s="1" t="str">
        <f>"33427"</f>
        <v>33427</v>
      </c>
      <c r="C20853" s="2">
        <v>4.8556716855863798E-4</v>
      </c>
      <c r="D20853" s="2">
        <v>1.12246826700786E-3</v>
      </c>
      <c r="E20853" s="2">
        <v>9.2577591593954605E-6</v>
      </c>
      <c r="F20853" s="2">
        <v>5.1939365815391195E-4</v>
      </c>
    </row>
    <row r="20854" spans="1:6" x14ac:dyDescent="0.25">
      <c r="A20854" s="1" t="str">
        <f t="shared" si="779"/>
        <v>33100</v>
      </c>
      <c r="B20854" s="1" t="str">
        <f>"33407"</f>
        <v>33407</v>
      </c>
      <c r="C20854" s="2">
        <v>5.7074156722982002E-3</v>
      </c>
      <c r="D20854" s="2">
        <v>9.2327376884714304E-3</v>
      </c>
      <c r="E20854" s="2">
        <v>8.6050871386580807E-3</v>
      </c>
      <c r="F20854" s="2">
        <v>6.2429195108785699E-3</v>
      </c>
    </row>
    <row r="20855" spans="1:6" x14ac:dyDescent="0.25">
      <c r="A20855" s="1" t="str">
        <f t="shared" si="779"/>
        <v>33100</v>
      </c>
      <c r="B20855" s="1" t="str">
        <f>"33444"</f>
        <v>33444</v>
      </c>
      <c r="C20855" s="2">
        <v>4.0878142132993803E-3</v>
      </c>
      <c r="D20855" s="2">
        <v>3.9606263721883696E-3</v>
      </c>
      <c r="E20855" s="2">
        <v>5.14731409262388E-3</v>
      </c>
      <c r="F20855" s="2">
        <v>4.1417493166754403E-3</v>
      </c>
    </row>
    <row r="20856" spans="1:6" x14ac:dyDescent="0.25">
      <c r="A20856" s="1" t="str">
        <f t="shared" si="779"/>
        <v>33100</v>
      </c>
      <c r="B20856" s="1" t="str">
        <f>"33316"</f>
        <v>33316</v>
      </c>
      <c r="C20856" s="2">
        <v>3.2590432969279702E-3</v>
      </c>
      <c r="D20856" s="2">
        <v>5.7112115969001204E-3</v>
      </c>
      <c r="E20856" s="2">
        <v>6.2860184692295198E-3</v>
      </c>
      <c r="F20856" s="2">
        <v>3.69518146589028E-3</v>
      </c>
    </row>
    <row r="20857" spans="1:6" x14ac:dyDescent="0.25">
      <c r="A20857" s="1" t="str">
        <f t="shared" si="779"/>
        <v>33100</v>
      </c>
      <c r="B20857" s="1" t="str">
        <f>"33330"</f>
        <v>33330</v>
      </c>
      <c r="C20857" s="2">
        <v>1.7045322038936499E-3</v>
      </c>
      <c r="D20857" s="2">
        <v>1.4045393081989601E-3</v>
      </c>
      <c r="E20857" s="2">
        <v>5.2769227208554102E-4</v>
      </c>
      <c r="F20857" s="2">
        <v>1.6004199427356099E-3</v>
      </c>
    </row>
    <row r="20858" spans="1:6" x14ac:dyDescent="0.25">
      <c r="A20858" s="1" t="str">
        <f t="shared" si="779"/>
        <v>33100</v>
      </c>
      <c r="B20858" s="1" t="str">
        <f>"33318"</f>
        <v>33318</v>
      </c>
      <c r="C20858" s="2">
        <v>5.4613253581971505E-4</v>
      </c>
      <c r="D20858" s="2">
        <v>1.39581546156418E-3</v>
      </c>
      <c r="E20858" s="2">
        <v>9.2577591593954605E-6</v>
      </c>
      <c r="F20858" s="2">
        <v>5.9746292365321001E-4</v>
      </c>
    </row>
    <row r="20859" spans="1:6" x14ac:dyDescent="0.25">
      <c r="A20859" s="1" t="str">
        <f t="shared" si="779"/>
        <v>33100</v>
      </c>
      <c r="B20859" s="1" t="str">
        <f>"33460"</f>
        <v>33460</v>
      </c>
      <c r="C20859" s="2">
        <v>5.5493887945020498E-3</v>
      </c>
      <c r="D20859" s="2">
        <v>5.2575715718917596E-3</v>
      </c>
      <c r="E20859" s="2">
        <v>1.25488925405605E-2</v>
      </c>
      <c r="F20859" s="2">
        <v>5.9606466815173001E-3</v>
      </c>
    </row>
    <row r="20860" spans="1:6" x14ac:dyDescent="0.25">
      <c r="A20860" s="1" t="str">
        <f t="shared" si="779"/>
        <v>33100</v>
      </c>
      <c r="B20860" s="1" t="str">
        <f>"33462"</f>
        <v>33462</v>
      </c>
      <c r="C20860" s="2">
        <v>5.5577426382622001E-3</v>
      </c>
      <c r="D20860" s="2">
        <v>4.3066722887011603E-3</v>
      </c>
      <c r="E20860" s="2">
        <v>4.9482722706968704E-3</v>
      </c>
      <c r="F20860" s="2">
        <v>5.3940619001884398E-3</v>
      </c>
    </row>
    <row r="20861" spans="1:6" x14ac:dyDescent="0.25">
      <c r="A20861" s="1" t="str">
        <f t="shared" si="779"/>
        <v>33100</v>
      </c>
      <c r="B20861" s="1" t="str">
        <f>"33474"</f>
        <v>33474</v>
      </c>
      <c r="C20861" s="2">
        <v>6.9023634068227904E-4</v>
      </c>
      <c r="D20861" s="2">
        <v>1.0555854428079101E-3</v>
      </c>
      <c r="E20861" s="2">
        <v>9.2577591593954605E-6</v>
      </c>
      <c r="F20861" s="2">
        <v>6.8397998280728296E-4</v>
      </c>
    </row>
    <row r="20862" spans="1:6" x14ac:dyDescent="0.25">
      <c r="A20862" s="1" t="str">
        <f t="shared" si="779"/>
        <v>33100</v>
      </c>
      <c r="B20862" s="1" t="str">
        <f>"33175"</f>
        <v>33175</v>
      </c>
      <c r="C20862" s="2">
        <v>6.1059636350219498E-3</v>
      </c>
      <c r="D20862" s="2">
        <v>3.5622373758669298E-3</v>
      </c>
      <c r="E20862" s="2">
        <v>3.7632790982942499E-3</v>
      </c>
      <c r="F20862" s="2">
        <v>5.7037172331203603E-3</v>
      </c>
    </row>
    <row r="20863" spans="1:6" x14ac:dyDescent="0.25">
      <c r="A20863" s="1" t="str">
        <f t="shared" si="779"/>
        <v>33100</v>
      </c>
      <c r="B20863" s="1" t="str">
        <f>"33178"</f>
        <v>33178</v>
      </c>
      <c r="C20863" s="2">
        <v>7.7485381643611698E-3</v>
      </c>
      <c r="D20863" s="2">
        <v>9.9655408057926307E-3</v>
      </c>
      <c r="E20863" s="2">
        <v>1.0581618719188999E-2</v>
      </c>
      <c r="F20863" s="2">
        <v>8.1489165413334494E-3</v>
      </c>
    </row>
    <row r="20864" spans="1:6" x14ac:dyDescent="0.25">
      <c r="A20864" s="1" t="str">
        <f t="shared" si="779"/>
        <v>33100</v>
      </c>
      <c r="B20864" s="1" t="str">
        <f>"33169"</f>
        <v>33169</v>
      </c>
      <c r="C20864" s="2">
        <v>5.0561639358299403E-3</v>
      </c>
      <c r="D20864" s="2">
        <v>6.5283452316908198E-3</v>
      </c>
      <c r="E20864" s="2">
        <v>5.3417270349711797E-3</v>
      </c>
      <c r="F20864" s="2">
        <v>5.2216103883392399E-3</v>
      </c>
    </row>
    <row r="20865" spans="1:6" x14ac:dyDescent="0.25">
      <c r="A20865" s="1" t="str">
        <f t="shared" si="779"/>
        <v>33100</v>
      </c>
      <c r="B20865" s="1" t="str">
        <f>"33187"</f>
        <v>33187</v>
      </c>
      <c r="C20865" s="2">
        <v>2.06827248428346E-3</v>
      </c>
      <c r="D20865" s="2">
        <v>7.4734286171249098E-4</v>
      </c>
      <c r="E20865" s="2">
        <v>1.7589742402851301E-4</v>
      </c>
      <c r="F20865" s="2">
        <v>1.81685824223553E-3</v>
      </c>
    </row>
    <row r="20866" spans="1:6" x14ac:dyDescent="0.25">
      <c r="A20866" s="1" t="str">
        <f t="shared" si="779"/>
        <v>33100</v>
      </c>
      <c r="B20866" s="1" t="str">
        <f>"33145"</f>
        <v>33145</v>
      </c>
      <c r="C20866" s="2">
        <v>4.1435065050337101E-3</v>
      </c>
      <c r="D20866" s="2">
        <v>3.8210448260319499E-3</v>
      </c>
      <c r="E20866" s="2">
        <v>4.1474761034091603E-3</v>
      </c>
      <c r="F20866" s="2">
        <v>4.1114537808100496E-3</v>
      </c>
    </row>
    <row r="20867" spans="1:6" x14ac:dyDescent="0.25">
      <c r="A20867" s="1" t="str">
        <f t="shared" si="779"/>
        <v>33100</v>
      </c>
      <c r="B20867" s="1" t="str">
        <f>"33161"</f>
        <v>33161</v>
      </c>
      <c r="C20867" s="2">
        <v>6.7499057582000796E-3</v>
      </c>
      <c r="D20867" s="2">
        <v>5.3506259359960397E-3</v>
      </c>
      <c r="E20867" s="2">
        <v>7.5867336311245797E-3</v>
      </c>
      <c r="F20867" s="2">
        <v>6.6623961613225596E-3</v>
      </c>
    </row>
    <row r="20868" spans="1:6" x14ac:dyDescent="0.25">
      <c r="A20868" s="1" t="str">
        <f t="shared" si="779"/>
        <v>33100</v>
      </c>
      <c r="B20868" s="1" t="str">
        <f>"33162"</f>
        <v>33162</v>
      </c>
      <c r="C20868" s="2">
        <v>5.4745522774840502E-3</v>
      </c>
      <c r="D20868" s="2">
        <v>6.7493493464384803E-3</v>
      </c>
      <c r="E20868" s="2">
        <v>5.6888930034485101E-3</v>
      </c>
      <c r="F20868" s="2">
        <v>5.6157436578189099E-3</v>
      </c>
    </row>
    <row r="20869" spans="1:6" x14ac:dyDescent="0.25">
      <c r="A20869" s="1" t="str">
        <f t="shared" si="779"/>
        <v>33100</v>
      </c>
      <c r="B20869" s="1" t="str">
        <f>"33127"</f>
        <v>33127</v>
      </c>
      <c r="C20869" s="2">
        <v>3.9440584852601596E-3</v>
      </c>
      <c r="D20869" s="2">
        <v>6.3189729124561904E-3</v>
      </c>
      <c r="E20869" s="2">
        <v>5.2352628046381296E-3</v>
      </c>
      <c r="F20869" s="2">
        <v>4.2632227633665198E-3</v>
      </c>
    </row>
    <row r="20870" spans="1:6" x14ac:dyDescent="0.25">
      <c r="A20870" s="1" t="str">
        <f t="shared" si="779"/>
        <v>33100</v>
      </c>
      <c r="B20870" s="1" t="str">
        <f>"33133"</f>
        <v>33133</v>
      </c>
      <c r="C20870" s="2">
        <v>5.9674290593328197E-3</v>
      </c>
      <c r="D20870" s="2">
        <v>4.88535411547464E-3</v>
      </c>
      <c r="E20870" s="2">
        <v>6.6748443539241297E-3</v>
      </c>
      <c r="F20870" s="2">
        <v>5.9035512485401996E-3</v>
      </c>
    </row>
    <row r="20871" spans="1:6" x14ac:dyDescent="0.25">
      <c r="A20871" s="1" t="str">
        <f t="shared" si="779"/>
        <v>33100</v>
      </c>
      <c r="B20871" s="1" t="str">
        <f>"33348"</f>
        <v>33348</v>
      </c>
      <c r="C20871" s="2">
        <v>1.8169610178323201E-4</v>
      </c>
      <c r="D20871" s="2">
        <v>2.32635910260697E-4</v>
      </c>
      <c r="E20871" s="2">
        <v>9.2577591593954605E-6</v>
      </c>
      <c r="F20871" s="2">
        <v>1.7594715060289501E-4</v>
      </c>
    </row>
    <row r="20872" spans="1:6" x14ac:dyDescent="0.25">
      <c r="A20872" s="1" t="str">
        <f t="shared" si="779"/>
        <v>33100</v>
      </c>
      <c r="B20872" s="1" t="str">
        <f>"33195"</f>
        <v>33195</v>
      </c>
      <c r="C20872" s="2">
        <v>0</v>
      </c>
      <c r="D20872" s="2">
        <v>9.5962312982537701E-5</v>
      </c>
      <c r="E20872" s="2">
        <v>4.1659916217279599E-5</v>
      </c>
      <c r="F20872" s="2">
        <v>1.22347356379497E-5</v>
      </c>
    </row>
    <row r="20873" spans="1:6" x14ac:dyDescent="0.25">
      <c r="A20873" s="1" t="str">
        <f t="shared" si="779"/>
        <v>33100</v>
      </c>
      <c r="B20873" s="1" t="str">
        <f>"33238"</f>
        <v>33238</v>
      </c>
      <c r="C20873" s="2">
        <v>4.5528448492809901E-4</v>
      </c>
      <c r="D20873" s="2">
        <v>5.2343079808656902E-4</v>
      </c>
      <c r="E20873" s="2">
        <v>9.2577591593954605E-6</v>
      </c>
      <c r="F20873" s="2">
        <v>4.3404181191773901E-4</v>
      </c>
    </row>
    <row r="20874" spans="1:6" x14ac:dyDescent="0.25">
      <c r="A20874" s="1" t="str">
        <f t="shared" si="779"/>
        <v>33100</v>
      </c>
      <c r="B20874" s="1" t="str">
        <f>"33239"</f>
        <v>33239</v>
      </c>
      <c r="C20874" s="2">
        <v>1.7717110307981801E-4</v>
      </c>
      <c r="D20874" s="2">
        <v>3.4895386539104598E-4</v>
      </c>
      <c r="E20874" s="2">
        <v>4.6288795796977303E-6</v>
      </c>
      <c r="F20874" s="2">
        <v>1.83521034569245E-4</v>
      </c>
    </row>
    <row r="20875" spans="1:6" x14ac:dyDescent="0.25">
      <c r="A20875" s="1" t="str">
        <f t="shared" si="779"/>
        <v>33100</v>
      </c>
      <c r="B20875" s="1" t="str">
        <f>"33247"</f>
        <v>33247</v>
      </c>
      <c r="C20875" s="2">
        <v>6.8049018962877195E-4</v>
      </c>
      <c r="D20875" s="2">
        <v>6.2520900882562399E-4</v>
      </c>
      <c r="E20875" s="2">
        <v>9.2577591593954605E-6</v>
      </c>
      <c r="F20875" s="2">
        <v>6.3271061441968405E-4</v>
      </c>
    </row>
    <row r="20876" spans="1:6" x14ac:dyDescent="0.25">
      <c r="A20876" s="1" t="str">
        <f t="shared" si="779"/>
        <v>33100</v>
      </c>
      <c r="B20876" s="1" t="str">
        <f>"33166"</f>
        <v>33166</v>
      </c>
      <c r="C20876" s="2">
        <v>3.8452046674317302E-3</v>
      </c>
      <c r="D20876" s="2">
        <v>2.6087209386858899E-2</v>
      </c>
      <c r="E20876" s="2">
        <v>5.7860994746221604E-3</v>
      </c>
      <c r="F20876" s="2">
        <v>6.1954370844741402E-3</v>
      </c>
    </row>
    <row r="20877" spans="1:6" x14ac:dyDescent="0.25">
      <c r="A20877" s="1" t="str">
        <f t="shared" si="779"/>
        <v>33100</v>
      </c>
      <c r="B20877" s="1" t="str">
        <f>"33069"</f>
        <v>33069</v>
      </c>
      <c r="C20877" s="2">
        <v>5.7234272061718102E-3</v>
      </c>
      <c r="D20877" s="2">
        <v>1.1213050874565599E-2</v>
      </c>
      <c r="E20877" s="2">
        <v>8.5541694632814101E-3</v>
      </c>
      <c r="F20877" s="2">
        <v>6.4514926231826596E-3</v>
      </c>
    </row>
    <row r="20878" spans="1:6" x14ac:dyDescent="0.25">
      <c r="A20878" s="1" t="str">
        <f t="shared" si="779"/>
        <v>33100</v>
      </c>
      <c r="B20878" s="1" t="str">
        <f>"33071"</f>
        <v>33071</v>
      </c>
      <c r="C20878" s="2">
        <v>4.8981370580338003E-3</v>
      </c>
      <c r="D20878" s="2">
        <v>3.2452709481367299E-3</v>
      </c>
      <c r="E20878" s="2">
        <v>2.5319971300946601E-3</v>
      </c>
      <c r="F20878" s="2">
        <v>4.5836563157890097E-3</v>
      </c>
    </row>
    <row r="20879" spans="1:6" x14ac:dyDescent="0.25">
      <c r="A20879" s="1" t="str">
        <f t="shared" si="779"/>
        <v>33100</v>
      </c>
      <c r="B20879" s="1" t="str">
        <f>"33109"</f>
        <v>33109</v>
      </c>
      <c r="C20879" s="2">
        <v>2.82290303728355E-4</v>
      </c>
      <c r="D20879" s="2">
        <v>7.5606670834726697E-5</v>
      </c>
      <c r="E20879" s="2">
        <v>4.1659916217279599E-5</v>
      </c>
      <c r="F20879" s="2">
        <v>2.46442532135844E-4</v>
      </c>
    </row>
    <row r="20880" spans="1:6" x14ac:dyDescent="0.25">
      <c r="A20880" s="1" t="str">
        <f t="shared" si="779"/>
        <v>33100</v>
      </c>
      <c r="B20880" s="1" t="str">
        <f>"33119"</f>
        <v>33119</v>
      </c>
      <c r="C20880" s="2">
        <v>5.3255753970947396E-4</v>
      </c>
      <c r="D20880" s="2">
        <v>4.3619233173880799E-4</v>
      </c>
      <c r="E20880" s="2">
        <v>1.38866387390932E-5</v>
      </c>
      <c r="F20880" s="2">
        <v>4.9026333520641298E-4</v>
      </c>
    </row>
    <row r="20881" spans="1:6" x14ac:dyDescent="0.25">
      <c r="A20881" s="1" t="str">
        <f t="shared" si="779"/>
        <v>33100</v>
      </c>
      <c r="B20881" s="1" t="str">
        <f>"33126"</f>
        <v>33126</v>
      </c>
      <c r="C20881" s="2">
        <v>6.9650172350239001E-3</v>
      </c>
      <c r="D20881" s="2">
        <v>1.3676083574450699E-2</v>
      </c>
      <c r="E20881" s="2">
        <v>1.0188163954914699E-2</v>
      </c>
      <c r="F20881" s="2">
        <v>7.8401351180899508E-3</v>
      </c>
    </row>
    <row r="20882" spans="1:6" x14ac:dyDescent="0.25">
      <c r="A20882" s="1" t="str">
        <f t="shared" si="779"/>
        <v>33100</v>
      </c>
      <c r="B20882" s="1" t="str">
        <f>"33084"</f>
        <v>33084</v>
      </c>
      <c r="C20882" s="2">
        <v>3.5782297439303202E-4</v>
      </c>
      <c r="D20882" s="2">
        <v>9.68346976460153E-4</v>
      </c>
      <c r="E20882" s="2">
        <v>9.2577591593954605E-6</v>
      </c>
      <c r="F20882" s="2">
        <v>3.9704630177441499E-4</v>
      </c>
    </row>
    <row r="20883" spans="1:6" x14ac:dyDescent="0.25">
      <c r="A20883" s="1" t="str">
        <f t="shared" si="779"/>
        <v>33100</v>
      </c>
      <c r="B20883" s="1" t="str">
        <f>"33499"</f>
        <v>33499</v>
      </c>
      <c r="C20883" s="2">
        <v>0</v>
      </c>
      <c r="D20883" s="2">
        <v>2.9079488782587201E-6</v>
      </c>
      <c r="E20883" s="2">
        <v>0</v>
      </c>
      <c r="F20883" s="2">
        <v>2.9130322947499202E-7</v>
      </c>
    </row>
    <row r="20884" spans="1:6" x14ac:dyDescent="0.25">
      <c r="A20884" s="1" t="str">
        <f t="shared" si="779"/>
        <v>33100</v>
      </c>
      <c r="B20884" s="1" t="str">
        <f>"33198"</f>
        <v>33198</v>
      </c>
      <c r="C20884" s="2">
        <v>0</v>
      </c>
      <c r="D20884" s="2">
        <v>2.6171539904328399E-5</v>
      </c>
      <c r="E20884" s="2">
        <v>1.38866387390932E-5</v>
      </c>
      <c r="F20884" s="2">
        <v>3.49563875369991E-6</v>
      </c>
    </row>
    <row r="20885" spans="1:6" x14ac:dyDescent="0.25">
      <c r="A20885" s="1" t="str">
        <f t="shared" si="779"/>
        <v>33100</v>
      </c>
      <c r="B20885" s="1" t="str">
        <f>"33066"</f>
        <v>33066</v>
      </c>
      <c r="C20885" s="2">
        <v>4.1480315037371197E-3</v>
      </c>
      <c r="D20885" s="2">
        <v>1.17190339793826E-3</v>
      </c>
      <c r="E20885" s="2">
        <v>2.1616867637188398E-3</v>
      </c>
      <c r="F20885" s="2">
        <v>3.7248943952967301E-3</v>
      </c>
    </row>
    <row r="20886" spans="1:6" x14ac:dyDescent="0.25">
      <c r="A20886" s="1" t="str">
        <f t="shared" si="779"/>
        <v>33100</v>
      </c>
      <c r="B20886" s="1" t="str">
        <f>"33023"</f>
        <v>33023</v>
      </c>
      <c r="C20886" s="2">
        <v>7.5925997475050702E-3</v>
      </c>
      <c r="D20886" s="2">
        <v>9.2996205126713808E-3</v>
      </c>
      <c r="E20886" s="2">
        <v>5.2260050454787403E-3</v>
      </c>
      <c r="F20886" s="2">
        <v>7.61466641847631E-3</v>
      </c>
    </row>
    <row r="20887" spans="1:6" x14ac:dyDescent="0.25">
      <c r="A20887" s="1" t="str">
        <f t="shared" si="779"/>
        <v>33100</v>
      </c>
      <c r="B20887" s="1" t="str">
        <f>"33030"</f>
        <v>33030</v>
      </c>
      <c r="C20887" s="2">
        <v>3.9840873199442099E-3</v>
      </c>
      <c r="D20887" s="2">
        <v>4.4578856303706099E-3</v>
      </c>
      <c r="E20887" s="2">
        <v>3.7031036637581801E-3</v>
      </c>
      <c r="F20887" s="2">
        <v>4.0138671989359198E-3</v>
      </c>
    </row>
    <row r="20888" spans="1:6" x14ac:dyDescent="0.25">
      <c r="A20888" s="1" t="str">
        <f t="shared" si="779"/>
        <v>33100</v>
      </c>
      <c r="B20888" s="1" t="str">
        <f>"33410"</f>
        <v>33410</v>
      </c>
      <c r="C20888" s="2">
        <v>6.4408135390745802E-3</v>
      </c>
      <c r="D20888" s="2">
        <v>8.2702066097677992E-3</v>
      </c>
      <c r="E20888" s="2">
        <v>6.2165852755340497E-3</v>
      </c>
      <c r="F20888" s="2">
        <v>6.6099615800170597E-3</v>
      </c>
    </row>
    <row r="20889" spans="1:6" x14ac:dyDescent="0.25">
      <c r="A20889" s="1" t="str">
        <f t="shared" si="779"/>
        <v>33100</v>
      </c>
      <c r="B20889" s="1" t="str">
        <f>"33433"</f>
        <v>33433</v>
      </c>
      <c r="C20889" s="2">
        <v>8.4464321951569204E-3</v>
      </c>
      <c r="D20889" s="2">
        <v>3.2278232548671698E-3</v>
      </c>
      <c r="E20889" s="2">
        <v>1.1646261022519399E-2</v>
      </c>
      <c r="F20889" s="2">
        <v>8.1250296765164997E-3</v>
      </c>
    </row>
    <row r="20890" spans="1:6" x14ac:dyDescent="0.25">
      <c r="A20890" s="1" t="str">
        <f t="shared" si="779"/>
        <v>33100</v>
      </c>
      <c r="B20890" s="1" t="str">
        <f>"33437"</f>
        <v>33437</v>
      </c>
      <c r="C20890" s="2">
        <v>7.4537170949926001E-3</v>
      </c>
      <c r="D20890" s="2">
        <v>1.55866059874667E-3</v>
      </c>
      <c r="E20890" s="2">
        <v>1.03779480176823E-2</v>
      </c>
      <c r="F20890" s="2">
        <v>7.0472077274590199E-3</v>
      </c>
    </row>
    <row r="20891" spans="1:6" x14ac:dyDescent="0.25">
      <c r="A20891" s="1" t="str">
        <f t="shared" si="779"/>
        <v>33100</v>
      </c>
      <c r="B20891" s="1" t="str">
        <f>"33388"</f>
        <v>33388</v>
      </c>
      <c r="C20891" s="2">
        <v>0</v>
      </c>
      <c r="D20891" s="2">
        <v>8.3458132806025196E-4</v>
      </c>
      <c r="E20891" s="2">
        <v>8.7948712014256899E-5</v>
      </c>
      <c r="F20891" s="2">
        <v>8.9138788219347796E-5</v>
      </c>
    </row>
    <row r="20892" spans="1:6" x14ac:dyDescent="0.25">
      <c r="A20892" s="1" t="str">
        <f t="shared" si="779"/>
        <v>33100</v>
      </c>
      <c r="B20892" s="1" t="str">
        <f>"33093"</f>
        <v>33093</v>
      </c>
      <c r="C20892" s="2">
        <v>4.6050563727819202E-4</v>
      </c>
      <c r="D20892" s="2">
        <v>7.8805414600811299E-4</v>
      </c>
      <c r="E20892" s="2">
        <v>9.2577591593954605E-6</v>
      </c>
      <c r="F20892" s="2">
        <v>4.6491995424208801E-4</v>
      </c>
    </row>
    <row r="20893" spans="1:6" x14ac:dyDescent="0.25">
      <c r="A20893" s="1" t="str">
        <f t="shared" si="779"/>
        <v>33100</v>
      </c>
      <c r="B20893" s="1" t="str">
        <f>"33124"</f>
        <v>33124</v>
      </c>
      <c r="C20893" s="2">
        <v>2.82986457375034E-4</v>
      </c>
      <c r="D20893" s="2">
        <v>4.7399566715617102E-4</v>
      </c>
      <c r="E20893" s="2">
        <v>9.2577591593954605E-6</v>
      </c>
      <c r="F20893" s="2">
        <v>2.8489455842654302E-4</v>
      </c>
    </row>
    <row r="20894" spans="1:6" x14ac:dyDescent="0.25">
      <c r="A20894" s="1" t="str">
        <f t="shared" si="779"/>
        <v>33100</v>
      </c>
      <c r="B20894" s="1" t="str">
        <f>"33438"</f>
        <v>33438</v>
      </c>
      <c r="C20894" s="2">
        <v>7.8665362074732697E-5</v>
      </c>
      <c r="D20894" s="2">
        <v>8.1422568591244096E-5</v>
      </c>
      <c r="E20894" s="2">
        <v>9.2577591593954605E-6</v>
      </c>
      <c r="F20894" s="2">
        <v>7.4573626745598094E-5</v>
      </c>
    </row>
    <row r="20895" spans="1:6" x14ac:dyDescent="0.25">
      <c r="A20895" s="1" t="str">
        <f t="shared" ref="A20895:A20958" si="780">"33100"</f>
        <v>33100</v>
      </c>
      <c r="B20895" s="1" t="str">
        <f>"33466"</f>
        <v>33466</v>
      </c>
      <c r="C20895" s="2">
        <v>4.68511404215001E-4</v>
      </c>
      <c r="D20895" s="2">
        <v>7.0081567966035103E-4</v>
      </c>
      <c r="E20895" s="2">
        <v>9.2577591593954605E-6</v>
      </c>
      <c r="F20895" s="2">
        <v>4.6288083163576301E-4</v>
      </c>
    </row>
    <row r="20896" spans="1:6" x14ac:dyDescent="0.25">
      <c r="A20896" s="1" t="str">
        <f t="shared" si="780"/>
        <v>33100</v>
      </c>
      <c r="B20896" s="1" t="str">
        <f>"33497"</f>
        <v>33497</v>
      </c>
      <c r="C20896" s="2">
        <v>1.8308840907658999E-4</v>
      </c>
      <c r="D20896" s="2">
        <v>7.9677799264288903E-4</v>
      </c>
      <c r="E20896" s="2">
        <v>9.2577591593954605E-6</v>
      </c>
      <c r="F20896" s="2">
        <v>2.33625190038944E-4</v>
      </c>
    </row>
    <row r="20897" spans="1:6" x14ac:dyDescent="0.25">
      <c r="A20897" s="1" t="str">
        <f t="shared" si="780"/>
        <v>33100</v>
      </c>
      <c r="B20897" s="1" t="str">
        <f>"33011"</f>
        <v>33011</v>
      </c>
      <c r="C20897" s="2">
        <v>6.8397095786216697E-4</v>
      </c>
      <c r="D20897" s="2">
        <v>4.7981156491268799E-4</v>
      </c>
      <c r="E20897" s="2">
        <v>9.2577591593954605E-6</v>
      </c>
      <c r="F20897" s="2">
        <v>6.2105848524068397E-4</v>
      </c>
    </row>
    <row r="20898" spans="1:6" x14ac:dyDescent="0.25">
      <c r="A20898" s="1" t="str">
        <f t="shared" si="780"/>
        <v>33100</v>
      </c>
      <c r="B20898" s="1" t="str">
        <f>"33307"</f>
        <v>33307</v>
      </c>
      <c r="C20898" s="2">
        <v>5.0053447196223705E-4</v>
      </c>
      <c r="D20898" s="2">
        <v>1.30857699521642E-3</v>
      </c>
      <c r="E20898" s="2">
        <v>9.2577591593954605E-6</v>
      </c>
      <c r="F20898" s="2">
        <v>5.5056310370773598E-4</v>
      </c>
    </row>
    <row r="20899" spans="1:6" x14ac:dyDescent="0.25">
      <c r="A20899" s="1" t="str">
        <f t="shared" si="780"/>
        <v>33100</v>
      </c>
      <c r="B20899" s="1" t="str">
        <f>"33009"</f>
        <v>33009</v>
      </c>
      <c r="C20899" s="2">
        <v>1.06943123202835E-2</v>
      </c>
      <c r="D20899" s="2">
        <v>8.02593890399406E-3</v>
      </c>
      <c r="E20899" s="2">
        <v>9.1744393269609006E-3</v>
      </c>
      <c r="F20899" s="2">
        <v>1.033136033656E-2</v>
      </c>
    </row>
    <row r="20900" spans="1:6" x14ac:dyDescent="0.25">
      <c r="A20900" s="1" t="str">
        <f t="shared" si="780"/>
        <v>33100</v>
      </c>
      <c r="B20900" s="1" t="str">
        <f>"33020"</f>
        <v>33020</v>
      </c>
      <c r="C20900" s="2">
        <v>7.8707131293533506E-3</v>
      </c>
      <c r="D20900" s="2">
        <v>8.9506666472803399E-3</v>
      </c>
      <c r="E20900" s="2">
        <v>1.25951813363575E-2</v>
      </c>
      <c r="F20900" s="2">
        <v>8.2762160526140202E-3</v>
      </c>
    </row>
    <row r="20901" spans="1:6" x14ac:dyDescent="0.25">
      <c r="A20901" s="1" t="str">
        <f t="shared" si="780"/>
        <v>33100</v>
      </c>
      <c r="B20901" s="1" t="str">
        <f>"33021"</f>
        <v>33021</v>
      </c>
      <c r="C20901" s="2">
        <v>8.3434014554484206E-3</v>
      </c>
      <c r="D20901" s="2">
        <v>6.3974875321691797E-3</v>
      </c>
      <c r="E20901" s="2">
        <v>6.9201749716481104E-3</v>
      </c>
      <c r="F20901" s="2">
        <v>8.0589038434256705E-3</v>
      </c>
    </row>
    <row r="20902" spans="1:6" x14ac:dyDescent="0.25">
      <c r="A20902" s="1" t="str">
        <f t="shared" si="780"/>
        <v>33100</v>
      </c>
      <c r="B20902" s="1" t="str">
        <f>"33055"</f>
        <v>33055</v>
      </c>
      <c r="C20902" s="2">
        <v>4.6513505902860798E-3</v>
      </c>
      <c r="D20902" s="2">
        <v>1.5702923942597E-3</v>
      </c>
      <c r="E20902" s="2">
        <v>5.0454787418705298E-4</v>
      </c>
      <c r="F20902" s="2">
        <v>4.0817408514035999E-3</v>
      </c>
    </row>
    <row r="20903" spans="1:6" x14ac:dyDescent="0.25">
      <c r="A20903" s="1" t="str">
        <f t="shared" si="780"/>
        <v>33100</v>
      </c>
      <c r="B20903" s="1" t="str">
        <f>"33415"</f>
        <v>33415</v>
      </c>
      <c r="C20903" s="2">
        <v>7.2800267601461702E-3</v>
      </c>
      <c r="D20903" s="2">
        <v>3.3237855678497101E-3</v>
      </c>
      <c r="E20903" s="2">
        <v>1.15259101534473E-2</v>
      </c>
      <c r="F20903" s="2">
        <v>7.1509116771521202E-3</v>
      </c>
    </row>
    <row r="20904" spans="1:6" x14ac:dyDescent="0.25">
      <c r="A20904" s="1" t="str">
        <f t="shared" si="780"/>
        <v>33100</v>
      </c>
      <c r="B20904" s="1" t="str">
        <f>"33445"</f>
        <v>33445</v>
      </c>
      <c r="C20904" s="2">
        <v>6.1633963108729799E-3</v>
      </c>
      <c r="D20904" s="2">
        <v>3.7221745641711598E-3</v>
      </c>
      <c r="E20904" s="2">
        <v>1.68074617538824E-2</v>
      </c>
      <c r="F20904" s="2">
        <v>6.5886964442653899E-3</v>
      </c>
    </row>
    <row r="20905" spans="1:6" x14ac:dyDescent="0.25">
      <c r="A20905" s="1" t="str">
        <f t="shared" si="780"/>
        <v>33100</v>
      </c>
      <c r="B20905" s="1" t="str">
        <f>"33334"</f>
        <v>33334</v>
      </c>
      <c r="C20905" s="2">
        <v>5.16337159741852E-3</v>
      </c>
      <c r="D20905" s="2">
        <v>9.0611687046541697E-3</v>
      </c>
      <c r="E20905" s="2">
        <v>5.9249658620130902E-3</v>
      </c>
      <c r="F20905" s="2">
        <v>5.6017611028041101E-3</v>
      </c>
    </row>
    <row r="20906" spans="1:6" x14ac:dyDescent="0.25">
      <c r="A20906" s="1" t="str">
        <f t="shared" si="780"/>
        <v>33100</v>
      </c>
      <c r="B20906" s="1" t="str">
        <f>"33345"</f>
        <v>33345</v>
      </c>
      <c r="C20906" s="2">
        <v>7.6298439676023998E-4</v>
      </c>
      <c r="D20906" s="2">
        <v>1.2533259665294999E-3</v>
      </c>
      <c r="E20906" s="2">
        <v>1.38866387390932E-5</v>
      </c>
      <c r="F20906" s="2">
        <v>7.6496228060133102E-4</v>
      </c>
    </row>
    <row r="20907" spans="1:6" x14ac:dyDescent="0.25">
      <c r="A20907" s="1" t="str">
        <f t="shared" si="780"/>
        <v>33100</v>
      </c>
      <c r="B20907" s="1" t="str">
        <f>"33401"</f>
        <v>33401</v>
      </c>
      <c r="C20907" s="2">
        <v>7.32423251671029E-3</v>
      </c>
      <c r="D20907" s="2">
        <v>1.21639501577562E-2</v>
      </c>
      <c r="E20907" s="2">
        <v>1.0239081630291301E-2</v>
      </c>
      <c r="F20907" s="2">
        <v>7.9924867071053795E-3</v>
      </c>
    </row>
    <row r="20908" spans="1:6" x14ac:dyDescent="0.25">
      <c r="A20908" s="1" t="str">
        <f t="shared" si="780"/>
        <v>33100</v>
      </c>
      <c r="B20908" s="1" t="str">
        <f>"33484"</f>
        <v>33484</v>
      </c>
      <c r="C20908" s="2">
        <v>6.7189269209228597E-3</v>
      </c>
      <c r="D20908" s="2">
        <v>2.0384721636593599E-3</v>
      </c>
      <c r="E20908" s="2">
        <v>1.3377461985326401E-2</v>
      </c>
      <c r="F20908" s="2">
        <v>6.6690961356004799E-3</v>
      </c>
    </row>
    <row r="20909" spans="1:6" x14ac:dyDescent="0.25">
      <c r="A20909" s="1" t="str">
        <f t="shared" si="780"/>
        <v>33100</v>
      </c>
      <c r="B20909" s="1" t="str">
        <f>"33305"</f>
        <v>33305</v>
      </c>
      <c r="C20909" s="2">
        <v>3.14731063663599E-3</v>
      </c>
      <c r="D20909" s="2">
        <v>2.0384721636593599E-3</v>
      </c>
      <c r="E20909" s="2">
        <v>2.6616057583261901E-3</v>
      </c>
      <c r="F20909" s="2">
        <v>3.0056667217229702E-3</v>
      </c>
    </row>
    <row r="20910" spans="1:6" x14ac:dyDescent="0.25">
      <c r="A20910" s="1" t="str">
        <f t="shared" si="780"/>
        <v>33100</v>
      </c>
      <c r="B20910" s="1" t="str">
        <f>"33296"</f>
        <v>33296</v>
      </c>
      <c r="C20910" s="2">
        <v>2.8020184278831803E-4</v>
      </c>
      <c r="D20910" s="2">
        <v>1.0643092894426899E-3</v>
      </c>
      <c r="E20910" s="2">
        <v>9.2577591593954605E-6</v>
      </c>
      <c r="F20910" s="2">
        <v>3.4169868817416602E-4</v>
      </c>
    </row>
    <row r="20911" spans="1:6" x14ac:dyDescent="0.25">
      <c r="A20911" s="1" t="str">
        <f t="shared" si="780"/>
        <v>33100</v>
      </c>
      <c r="B20911" s="1" t="str">
        <f>"33092"</f>
        <v>33092</v>
      </c>
      <c r="C20911" s="2">
        <v>3.13617217828912E-4</v>
      </c>
      <c r="D20911" s="2">
        <v>5.5832618462567396E-4</v>
      </c>
      <c r="E20911" s="2">
        <v>9.2577591593954605E-6</v>
      </c>
      <c r="F20911" s="2">
        <v>3.1897703627511699E-4</v>
      </c>
    </row>
    <row r="20912" spans="1:6" x14ac:dyDescent="0.25">
      <c r="A20912" s="1" t="str">
        <f t="shared" si="780"/>
        <v>33100</v>
      </c>
      <c r="B20912" s="1" t="str">
        <f>"33465"</f>
        <v>33465</v>
      </c>
      <c r="C20912" s="2">
        <v>2.7324030632152702E-4</v>
      </c>
      <c r="D20912" s="2">
        <v>4.97259258182241E-4</v>
      </c>
      <c r="E20912" s="2">
        <v>9.2577591593954605E-6</v>
      </c>
      <c r="F20912" s="2">
        <v>2.7906849383704297E-4</v>
      </c>
    </row>
    <row r="20913" spans="1:6" x14ac:dyDescent="0.25">
      <c r="A20913" s="1" t="str">
        <f t="shared" si="780"/>
        <v>33100</v>
      </c>
      <c r="B20913" s="1" t="str">
        <f>"33164"</f>
        <v>33164</v>
      </c>
      <c r="C20913" s="2">
        <v>2.6070954068130401E-4</v>
      </c>
      <c r="D20913" s="2">
        <v>4.1583668959099601E-4</v>
      </c>
      <c r="E20913" s="2">
        <v>9.2577591593954605E-6</v>
      </c>
      <c r="F20913" s="2">
        <v>2.6042508715064299E-4</v>
      </c>
    </row>
    <row r="20914" spans="1:6" x14ac:dyDescent="0.25">
      <c r="A20914" s="1" t="str">
        <f t="shared" si="780"/>
        <v>33100</v>
      </c>
      <c r="B20914" s="1" t="str">
        <f>"33064"</f>
        <v>33064</v>
      </c>
      <c r="C20914" s="2">
        <v>9.2351742768442893E-3</v>
      </c>
      <c r="D20914" s="2">
        <v>9.1222356310976006E-3</v>
      </c>
      <c r="E20914" s="2">
        <v>7.9616728770801008E-3</v>
      </c>
      <c r="F20914" s="2">
        <v>9.1437170699905507E-3</v>
      </c>
    </row>
    <row r="20915" spans="1:6" x14ac:dyDescent="0.25">
      <c r="A20915" s="1" t="str">
        <f t="shared" si="780"/>
        <v>33100</v>
      </c>
      <c r="B20915" s="1" t="str">
        <f>"33073"</f>
        <v>33073</v>
      </c>
      <c r="C20915" s="2">
        <v>4.5267390875305298E-3</v>
      </c>
      <c r="D20915" s="2">
        <v>4.6643500007269804E-3</v>
      </c>
      <c r="E20915" s="2">
        <v>4.1011873076121901E-3</v>
      </c>
      <c r="F20915" s="2">
        <v>4.5137435407150098E-3</v>
      </c>
    </row>
    <row r="20916" spans="1:6" x14ac:dyDescent="0.25">
      <c r="A20916" s="1" t="str">
        <f t="shared" si="780"/>
        <v>33100</v>
      </c>
      <c r="B20916" s="1" t="str">
        <f>"33101"</f>
        <v>33101</v>
      </c>
      <c r="C20916" s="2">
        <v>1.1180227565665501E-3</v>
      </c>
      <c r="D20916" s="2">
        <v>1.5412129054771201E-3</v>
      </c>
      <c r="E20916" s="2">
        <v>4.6288795796977303E-6</v>
      </c>
      <c r="F20916" s="2">
        <v>1.0903479879248901E-3</v>
      </c>
    </row>
    <row r="20917" spans="1:6" x14ac:dyDescent="0.25">
      <c r="A20917" s="1" t="str">
        <f t="shared" si="780"/>
        <v>33100</v>
      </c>
      <c r="B20917" s="1" t="str">
        <f>"33060"</f>
        <v>33060</v>
      </c>
      <c r="C20917" s="2">
        <v>5.4968291941777797E-3</v>
      </c>
      <c r="D20917" s="2">
        <v>5.9612952004303704E-3</v>
      </c>
      <c r="E20917" s="2">
        <v>9.2947901960330499E-3</v>
      </c>
      <c r="F20917" s="2">
        <v>5.7823691050786002E-3</v>
      </c>
    </row>
    <row r="20918" spans="1:6" x14ac:dyDescent="0.25">
      <c r="A20918" s="1" t="str">
        <f t="shared" si="780"/>
        <v>33100</v>
      </c>
      <c r="B20918" s="1" t="str">
        <f>"33062"</f>
        <v>33062</v>
      </c>
      <c r="C20918" s="2">
        <v>8.1585726622551407E-3</v>
      </c>
      <c r="D20918" s="2">
        <v>4.1729066403012596E-3</v>
      </c>
      <c r="E20918" s="2">
        <v>9.3873677876270007E-3</v>
      </c>
      <c r="F20918" s="2">
        <v>7.8366394793362507E-3</v>
      </c>
    </row>
    <row r="20919" spans="1:6" x14ac:dyDescent="0.25">
      <c r="A20919" s="1" t="str">
        <f t="shared" si="780"/>
        <v>33100</v>
      </c>
      <c r="B20919" s="1" t="str">
        <f>"33090"</f>
        <v>33090</v>
      </c>
      <c r="C20919" s="2">
        <v>5.3847484570624597E-4</v>
      </c>
      <c r="D20919" s="2">
        <v>7.1826337292990301E-4</v>
      </c>
      <c r="E20919" s="2">
        <v>9.2577591593954605E-6</v>
      </c>
      <c r="F20919" s="2">
        <v>5.2318060013708699E-4</v>
      </c>
    </row>
    <row r="20920" spans="1:6" x14ac:dyDescent="0.25">
      <c r="A20920" s="1" t="str">
        <f t="shared" si="780"/>
        <v>33100</v>
      </c>
      <c r="B20920" s="1" t="str">
        <f>"33128"</f>
        <v>33128</v>
      </c>
      <c r="C20920" s="2">
        <v>1.3042438570532E-3</v>
      </c>
      <c r="D20920" s="2">
        <v>2.60261424604155E-3</v>
      </c>
      <c r="E20920" s="2">
        <v>3.7540213391348601E-3</v>
      </c>
      <c r="F20920" s="2">
        <v>1.5884765103271301E-3</v>
      </c>
    </row>
    <row r="20921" spans="1:6" x14ac:dyDescent="0.25">
      <c r="A20921" s="1" t="str">
        <f t="shared" si="780"/>
        <v>33100</v>
      </c>
      <c r="B20921" s="1" t="str">
        <f>"33082"</f>
        <v>33082</v>
      </c>
      <c r="C20921" s="2">
        <v>5.9555944473392802E-4</v>
      </c>
      <c r="D20921" s="2">
        <v>1.83200779330299E-3</v>
      </c>
      <c r="E20921" s="2">
        <v>9.2577591593954605E-6</v>
      </c>
      <c r="F20921" s="2">
        <v>6.8252346665990797E-4</v>
      </c>
    </row>
    <row r="20922" spans="1:6" x14ac:dyDescent="0.25">
      <c r="A20922" s="1" t="str">
        <f t="shared" si="780"/>
        <v>33100</v>
      </c>
      <c r="B20922" s="1" t="str">
        <f>"33097"</f>
        <v>33097</v>
      </c>
      <c r="C20922" s="2">
        <v>2.04321095300301E-4</v>
      </c>
      <c r="D20922" s="2">
        <v>7.7642235049507798E-4</v>
      </c>
      <c r="E20922" s="2">
        <v>9.2577591593954605E-6</v>
      </c>
      <c r="F20922" s="2">
        <v>2.4935556443059302E-4</v>
      </c>
    </row>
    <row r="20923" spans="1:6" x14ac:dyDescent="0.25">
      <c r="A20923" s="1" t="str">
        <f t="shared" si="780"/>
        <v>33100</v>
      </c>
      <c r="B20923" s="1" t="str">
        <f>"33027"</f>
        <v>33027</v>
      </c>
      <c r="C20923" s="2">
        <v>1.26926213630758E-2</v>
      </c>
      <c r="D20923" s="2">
        <v>4.9115256553789698E-3</v>
      </c>
      <c r="E20923" s="2">
        <v>4.6057351817992403E-3</v>
      </c>
      <c r="F20923" s="2">
        <v>1.1404230130716401E-2</v>
      </c>
    </row>
    <row r="20924" spans="1:6" x14ac:dyDescent="0.25">
      <c r="A20924" s="1" t="str">
        <f t="shared" si="780"/>
        <v>33100</v>
      </c>
      <c r="B20924" s="1" t="str">
        <f>"33029"</f>
        <v>33029</v>
      </c>
      <c r="C20924" s="2">
        <v>5.2963369439342203E-3</v>
      </c>
      <c r="D20924" s="2">
        <v>2.4223214155895101E-3</v>
      </c>
      <c r="E20924" s="2">
        <v>7.4062073275163703E-4</v>
      </c>
      <c r="F20924" s="2">
        <v>4.7217340465601602E-3</v>
      </c>
    </row>
    <row r="20925" spans="1:6" x14ac:dyDescent="0.25">
      <c r="A20925" s="1" t="str">
        <f t="shared" si="780"/>
        <v>33100</v>
      </c>
      <c r="B20925" s="1" t="str">
        <f>"33031"</f>
        <v>33031</v>
      </c>
      <c r="C20925" s="2">
        <v>8.0266515462094597E-4</v>
      </c>
      <c r="D20925" s="2">
        <v>4.7399566715617102E-4</v>
      </c>
      <c r="E20925" s="2">
        <v>4.6288795796977301E-5</v>
      </c>
      <c r="F20925" s="2">
        <v>7.22140705868507E-4</v>
      </c>
    </row>
    <row r="20926" spans="1:6" x14ac:dyDescent="0.25">
      <c r="A20926" s="1" t="str">
        <f t="shared" si="780"/>
        <v>33100</v>
      </c>
      <c r="B20926" s="1" t="str">
        <f>"33018"</f>
        <v>33018</v>
      </c>
      <c r="C20926" s="2">
        <v>6.00780597084021E-3</v>
      </c>
      <c r="D20926" s="2">
        <v>4.9347892464050398E-3</v>
      </c>
      <c r="E20926" s="2">
        <v>6.6192977989677501E-3</v>
      </c>
      <c r="F20926" s="2">
        <v>5.9387989393066797E-3</v>
      </c>
    </row>
    <row r="20927" spans="1:6" x14ac:dyDescent="0.25">
      <c r="A20927" s="1" t="str">
        <f t="shared" si="780"/>
        <v>33100</v>
      </c>
      <c r="B20927" s="1" t="str">
        <f>"33432"</f>
        <v>33432</v>
      </c>
      <c r="C20927" s="2">
        <v>6.1007424826718601E-3</v>
      </c>
      <c r="D20927" s="2">
        <v>8.7500181746804802E-3</v>
      </c>
      <c r="E20927" s="2">
        <v>6.85999953711204E-3</v>
      </c>
      <c r="F20927" s="2">
        <v>6.4139145065803902E-3</v>
      </c>
    </row>
    <row r="20928" spans="1:6" x14ac:dyDescent="0.25">
      <c r="A20928" s="1" t="str">
        <f t="shared" si="780"/>
        <v>33100</v>
      </c>
      <c r="B20928" s="1" t="str">
        <f>"33408"</f>
        <v>33408</v>
      </c>
      <c r="C20928" s="2">
        <v>5.0283177899627801E-3</v>
      </c>
      <c r="D20928" s="2">
        <v>6.5370690783255999E-3</v>
      </c>
      <c r="E20928" s="2">
        <v>8.0959103848913302E-3</v>
      </c>
      <c r="F20928" s="2">
        <v>5.3725054612072899E-3</v>
      </c>
    </row>
    <row r="20929" spans="1:6" x14ac:dyDescent="0.25">
      <c r="A20929" s="1" t="str">
        <f t="shared" si="780"/>
        <v>33100</v>
      </c>
      <c r="B20929" s="1" t="str">
        <f>"33409"</f>
        <v>33409</v>
      </c>
      <c r="C20929" s="2">
        <v>4.7978909329120202E-3</v>
      </c>
      <c r="D20929" s="2">
        <v>8.3458132806025192E-3</v>
      </c>
      <c r="E20929" s="2">
        <v>5.8786770662161199E-3</v>
      </c>
      <c r="F20929" s="2">
        <v>5.2213190851097702E-3</v>
      </c>
    </row>
    <row r="20930" spans="1:6" x14ac:dyDescent="0.25">
      <c r="A20930" s="1" t="str">
        <f t="shared" si="780"/>
        <v>33100</v>
      </c>
      <c r="B20930" s="1" t="str">
        <f>"33309"</f>
        <v>33309</v>
      </c>
      <c r="C20930" s="2">
        <v>5.5427753348585998E-3</v>
      </c>
      <c r="D20930" s="2">
        <v>1.27658955755557E-2</v>
      </c>
      <c r="E20930" s="2">
        <v>8.5449117041220095E-3</v>
      </c>
      <c r="F20930" s="2">
        <v>6.4552795651658399E-3</v>
      </c>
    </row>
    <row r="20931" spans="1:6" x14ac:dyDescent="0.25">
      <c r="A20931" s="1" t="str">
        <f t="shared" si="780"/>
        <v>33100</v>
      </c>
      <c r="B20931" s="1" t="str">
        <f>"33319"</f>
        <v>33319</v>
      </c>
      <c r="C20931" s="2">
        <v>9.6030914791141696E-3</v>
      </c>
      <c r="D20931" s="2">
        <v>4.5683876877444397E-3</v>
      </c>
      <c r="E20931" s="2">
        <v>7.42935172541486E-3</v>
      </c>
      <c r="F20931" s="2">
        <v>8.9619438547981507E-3</v>
      </c>
    </row>
    <row r="20932" spans="1:6" x14ac:dyDescent="0.25">
      <c r="A20932" s="1" t="str">
        <f t="shared" si="780"/>
        <v>33100</v>
      </c>
      <c r="B20932" s="1" t="str">
        <f>"33326"</f>
        <v>33326</v>
      </c>
      <c r="C20932" s="2">
        <v>4.7637794042247397E-3</v>
      </c>
      <c r="D20932" s="2">
        <v>5.3419020893612596E-3</v>
      </c>
      <c r="E20932" s="2">
        <v>4.6103640613789397E-3</v>
      </c>
      <c r="F20932" s="2">
        <v>4.8120380476974001E-3</v>
      </c>
    </row>
    <row r="20933" spans="1:6" x14ac:dyDescent="0.25">
      <c r="A20933" s="1" t="str">
        <f t="shared" si="780"/>
        <v>33100</v>
      </c>
      <c r="B20933" s="1" t="str">
        <f>"33328"</f>
        <v>33328</v>
      </c>
      <c r="C20933" s="2">
        <v>3.7139797050327302E-3</v>
      </c>
      <c r="D20933" s="2">
        <v>3.74834610407549E-3</v>
      </c>
      <c r="E20933" s="2">
        <v>2.0320781354872999E-3</v>
      </c>
      <c r="F20933" s="2">
        <v>3.61157743903096E-3</v>
      </c>
    </row>
    <row r="20934" spans="1:6" x14ac:dyDescent="0.25">
      <c r="A20934" s="1" t="str">
        <f t="shared" si="780"/>
        <v>33100</v>
      </c>
      <c r="B20934" s="1" t="str">
        <f>"33327"</f>
        <v>33327</v>
      </c>
      <c r="C20934" s="2">
        <v>2.3557839403619001E-3</v>
      </c>
      <c r="D20934" s="2">
        <v>7.8514619712985402E-4</v>
      </c>
      <c r="E20934" s="2">
        <v>1.80526303608211E-4</v>
      </c>
      <c r="F20934" s="2">
        <v>2.06155295499452E-3</v>
      </c>
    </row>
    <row r="20935" spans="1:6" x14ac:dyDescent="0.25">
      <c r="A20935" s="1" t="str">
        <f t="shared" si="780"/>
        <v>33100</v>
      </c>
      <c r="B20935" s="1" t="str">
        <f>"33329"</f>
        <v>33329</v>
      </c>
      <c r="C20935" s="2">
        <v>5.5761907098991997E-4</v>
      </c>
      <c r="D20935" s="2">
        <v>1.24460211989473E-3</v>
      </c>
      <c r="E20935" s="2">
        <v>9.2577591593954605E-6</v>
      </c>
      <c r="F20935" s="2">
        <v>5.91928162293185E-4</v>
      </c>
    </row>
    <row r="20936" spans="1:6" x14ac:dyDescent="0.25">
      <c r="A20936" s="1" t="str">
        <f t="shared" si="780"/>
        <v>33100</v>
      </c>
      <c r="B20936" s="1" t="str">
        <f>"33351"</f>
        <v>33351</v>
      </c>
      <c r="C20936" s="2">
        <v>4.7564697909346096E-3</v>
      </c>
      <c r="D20936" s="2">
        <v>8.4883027756372E-3</v>
      </c>
      <c r="E20936" s="2">
        <v>4.0363829934964204E-3</v>
      </c>
      <c r="F20936" s="2">
        <v>5.0849891737154698E-3</v>
      </c>
    </row>
    <row r="20937" spans="1:6" x14ac:dyDescent="0.25">
      <c r="A20937" s="1" t="str">
        <f t="shared" si="780"/>
        <v>33100</v>
      </c>
      <c r="B20937" s="1" t="str">
        <f>"33310"</f>
        <v>33310</v>
      </c>
      <c r="C20937" s="2">
        <v>9.6521703112050405E-4</v>
      </c>
      <c r="D20937" s="2">
        <v>2.0152085726332898E-3</v>
      </c>
      <c r="E20937" s="2">
        <v>2.77732774781864E-5</v>
      </c>
      <c r="F20937" s="2">
        <v>1.0114048127371699E-3</v>
      </c>
    </row>
    <row r="20938" spans="1:6" x14ac:dyDescent="0.25">
      <c r="A20938" s="1" t="str">
        <f t="shared" si="780"/>
        <v>33100</v>
      </c>
      <c r="B20938" s="1" t="str">
        <f>"33404"</f>
        <v>33404</v>
      </c>
      <c r="C20938" s="2">
        <v>6.5027712136290104E-3</v>
      </c>
      <c r="D20938" s="2">
        <v>7.6159181121595804E-3</v>
      </c>
      <c r="E20938" s="2">
        <v>9.5910384891337002E-3</v>
      </c>
      <c r="F20938" s="2">
        <v>6.8086303825190004E-3</v>
      </c>
    </row>
    <row r="20939" spans="1:6" x14ac:dyDescent="0.25">
      <c r="A20939" s="1" t="str">
        <f t="shared" si="780"/>
        <v>33100</v>
      </c>
      <c r="B20939" s="1" t="str">
        <f>"33480"</f>
        <v>33480</v>
      </c>
      <c r="C20939" s="2">
        <v>4.7693486333981799E-3</v>
      </c>
      <c r="D20939" s="2">
        <v>5.3360861916047497E-3</v>
      </c>
      <c r="E20939" s="2">
        <v>5.4435623857245303E-3</v>
      </c>
      <c r="F20939" s="2">
        <v>4.8685508742155499E-3</v>
      </c>
    </row>
    <row r="20940" spans="1:6" x14ac:dyDescent="0.25">
      <c r="A20940" s="1" t="str">
        <f t="shared" si="780"/>
        <v>33100</v>
      </c>
      <c r="B20940" s="1" t="str">
        <f>"33454"</f>
        <v>33454</v>
      </c>
      <c r="C20940" s="2">
        <v>5.3812676888290601E-4</v>
      </c>
      <c r="D20940" s="2">
        <v>1.14863980691219E-3</v>
      </c>
      <c r="E20940" s="2">
        <v>9.2577591593954605E-6</v>
      </c>
      <c r="F20940" s="2">
        <v>5.66002174869911E-4</v>
      </c>
    </row>
    <row r="20941" spans="1:6" x14ac:dyDescent="0.25">
      <c r="A20941" s="1" t="str">
        <f t="shared" si="780"/>
        <v>33100</v>
      </c>
      <c r="B20941" s="1" t="str">
        <f>"33182"</f>
        <v>33182</v>
      </c>
      <c r="C20941" s="2">
        <v>1.41736882463854E-3</v>
      </c>
      <c r="D20941" s="2">
        <v>5.1470695145179298E-4</v>
      </c>
      <c r="E20941" s="2">
        <v>2.3144397898488601E-4</v>
      </c>
      <c r="F20941" s="2">
        <v>1.2523125835129901E-3</v>
      </c>
    </row>
    <row r="20942" spans="1:6" x14ac:dyDescent="0.25">
      <c r="A20942" s="1" t="str">
        <f t="shared" si="780"/>
        <v>33100</v>
      </c>
      <c r="B20942" s="1" t="str">
        <f>"33185"</f>
        <v>33185</v>
      </c>
      <c r="C20942" s="2">
        <v>2.9757087627296001E-3</v>
      </c>
      <c r="D20942" s="2">
        <v>9.1018799889497901E-4</v>
      </c>
      <c r="E20942" s="2">
        <v>1.52290138172055E-3</v>
      </c>
      <c r="F20942" s="2">
        <v>2.6773679821046601E-3</v>
      </c>
    </row>
    <row r="20943" spans="1:6" x14ac:dyDescent="0.25">
      <c r="A20943" s="1" t="str">
        <f t="shared" si="780"/>
        <v>33100</v>
      </c>
      <c r="B20943" s="1" t="str">
        <f>"33422"</f>
        <v>33422</v>
      </c>
      <c r="C20943" s="2">
        <v>5.9381906061722997E-4</v>
      </c>
      <c r="D20943" s="2">
        <v>7.99685941521148E-4</v>
      </c>
      <c r="E20943" s="2">
        <v>9.2577591593954605E-6</v>
      </c>
      <c r="F20943" s="2">
        <v>5.7765430404891E-4</v>
      </c>
    </row>
    <row r="20944" spans="1:6" x14ac:dyDescent="0.25">
      <c r="A20944" s="1" t="str">
        <f t="shared" si="780"/>
        <v>33100</v>
      </c>
      <c r="B20944" s="1" t="str">
        <f>"33339"</f>
        <v>33339</v>
      </c>
      <c r="C20944" s="2">
        <v>3.5991143533306899E-4</v>
      </c>
      <c r="D20944" s="2">
        <v>7.5897465722552502E-4</v>
      </c>
      <c r="E20944" s="2">
        <v>9.2577591593954605E-6</v>
      </c>
      <c r="F20944" s="2">
        <v>3.77820288629065E-4</v>
      </c>
    </row>
    <row r="20945" spans="1:6" x14ac:dyDescent="0.25">
      <c r="A20945" s="1" t="str">
        <f t="shared" si="780"/>
        <v>33100</v>
      </c>
      <c r="B20945" s="1" t="str">
        <f>"33017"</f>
        <v>33017</v>
      </c>
      <c r="C20945" s="2">
        <v>6.8710364927222301E-4</v>
      </c>
      <c r="D20945" s="2">
        <v>9.0728005001672004E-4</v>
      </c>
      <c r="E20945" s="2">
        <v>9.2577591593954605E-6</v>
      </c>
      <c r="F20945" s="2">
        <v>6.6650178903878299E-4</v>
      </c>
    </row>
    <row r="20946" spans="1:6" x14ac:dyDescent="0.25">
      <c r="A20946" s="1" t="str">
        <f t="shared" si="780"/>
        <v>33100</v>
      </c>
      <c r="B20946" s="1" t="str">
        <f>"33269"</f>
        <v>33269</v>
      </c>
      <c r="C20946" s="2">
        <v>4.2778641588427601E-4</v>
      </c>
      <c r="D20946" s="2">
        <v>9.1891184552975495E-4</v>
      </c>
      <c r="E20946" s="2">
        <v>9.2577591593954605E-6</v>
      </c>
      <c r="F20946" s="2">
        <v>4.50646095997814E-4</v>
      </c>
    </row>
    <row r="20947" spans="1:6" x14ac:dyDescent="0.25">
      <c r="A20947" s="1" t="str">
        <f t="shared" si="780"/>
        <v>33100</v>
      </c>
      <c r="B20947" s="1" t="str">
        <f>"33441"</f>
        <v>33441</v>
      </c>
      <c r="C20947" s="2">
        <v>5.3360177017949201E-3</v>
      </c>
      <c r="D20947" s="2">
        <v>6.6010439536472896E-3</v>
      </c>
      <c r="E20947" s="2">
        <v>8.2764366884995402E-3</v>
      </c>
      <c r="F20947" s="2">
        <v>5.6477870130611603E-3</v>
      </c>
    </row>
    <row r="20948" spans="1:6" x14ac:dyDescent="0.25">
      <c r="A20948" s="1" t="str">
        <f t="shared" si="780"/>
        <v>33100</v>
      </c>
      <c r="B20948" s="1" t="str">
        <f>"33440"</f>
        <v>33440</v>
      </c>
      <c r="C20948" s="2">
        <v>1.2182688816883301E-5</v>
      </c>
      <c r="D20948" s="2">
        <v>8.7238466347761606E-6</v>
      </c>
      <c r="E20948" s="2">
        <v>2.08299581086398E-4</v>
      </c>
      <c r="F20948" s="2">
        <v>2.4178168046424399E-5</v>
      </c>
    </row>
    <row r="20949" spans="1:6" x14ac:dyDescent="0.25">
      <c r="A20949" s="1" t="str">
        <f t="shared" si="780"/>
        <v>33100</v>
      </c>
      <c r="B20949" s="1" t="str">
        <f>"33313"</f>
        <v>33313</v>
      </c>
      <c r="C20949" s="2">
        <v>9.8589279442687205E-3</v>
      </c>
      <c r="D20949" s="2">
        <v>5.5774459485002197E-3</v>
      </c>
      <c r="E20949" s="2">
        <v>9.23461476149697E-3</v>
      </c>
      <c r="F20949" s="2">
        <v>9.3907422085853405E-3</v>
      </c>
    </row>
    <row r="20950" spans="1:6" x14ac:dyDescent="0.25">
      <c r="A20950" s="1" t="str">
        <f t="shared" si="780"/>
        <v>33100</v>
      </c>
      <c r="B20950" s="1" t="str">
        <f>"33312"</f>
        <v>33312</v>
      </c>
      <c r="C20950" s="2">
        <v>7.9761804068252205E-3</v>
      </c>
      <c r="D20950" s="2">
        <v>8.7907294589761095E-3</v>
      </c>
      <c r="E20950" s="2">
        <v>8.4199319554701703E-3</v>
      </c>
      <c r="F20950" s="2">
        <v>8.0857037405373706E-3</v>
      </c>
    </row>
    <row r="20951" spans="1:6" x14ac:dyDescent="0.25">
      <c r="A20951" s="1" t="str">
        <f t="shared" si="780"/>
        <v>33100</v>
      </c>
      <c r="B20951" s="1" t="str">
        <f>"33314"</f>
        <v>33314</v>
      </c>
      <c r="C20951" s="2">
        <v>4.2959641536564203E-3</v>
      </c>
      <c r="D20951" s="2">
        <v>7.0081567966035103E-3</v>
      </c>
      <c r="E20951" s="2">
        <v>5.6194598097530401E-3</v>
      </c>
      <c r="F20951" s="2">
        <v>4.6509473617977297E-3</v>
      </c>
    </row>
    <row r="20952" spans="1:6" x14ac:dyDescent="0.25">
      <c r="A20952" s="1" t="str">
        <f t="shared" si="780"/>
        <v>33100</v>
      </c>
      <c r="B20952" s="1" t="str">
        <f>"33332"</f>
        <v>33332</v>
      </c>
      <c r="C20952" s="2">
        <v>1.2078265769881499E-3</v>
      </c>
      <c r="D20952" s="2">
        <v>8.2294953254721695E-4</v>
      </c>
      <c r="E20952" s="2">
        <v>1.24979748651838E-4</v>
      </c>
      <c r="F20952" s="2">
        <v>1.10112620741547E-3</v>
      </c>
    </row>
    <row r="20953" spans="1:6" x14ac:dyDescent="0.25">
      <c r="A20953" s="1" t="str">
        <f t="shared" si="780"/>
        <v>33100</v>
      </c>
      <c r="B20953" s="1" t="str">
        <f>"33346"</f>
        <v>33346</v>
      </c>
      <c r="C20953" s="2">
        <v>1.9353071377677599E-4</v>
      </c>
      <c r="D20953" s="2">
        <v>4.01296945199703E-4</v>
      </c>
      <c r="E20953" s="2">
        <v>9.2577591593954605E-6</v>
      </c>
      <c r="F20953" s="2">
        <v>2.02747047714595E-4</v>
      </c>
    </row>
    <row r="20954" spans="1:6" x14ac:dyDescent="0.25">
      <c r="A20954" s="1" t="str">
        <f t="shared" si="780"/>
        <v>33100</v>
      </c>
      <c r="B20954" s="1" t="str">
        <f>"33473"</f>
        <v>33473</v>
      </c>
      <c r="C20954" s="2">
        <v>1.59732454230508E-3</v>
      </c>
      <c r="D20954" s="2">
        <v>1.19225904008607E-4</v>
      </c>
      <c r="E20954" s="2">
        <v>3.2402157057884099E-5</v>
      </c>
      <c r="F20954" s="2">
        <v>1.35077307507554E-3</v>
      </c>
    </row>
    <row r="20955" spans="1:6" x14ac:dyDescent="0.25">
      <c r="A20955" s="1" t="str">
        <f t="shared" si="780"/>
        <v>33100</v>
      </c>
      <c r="B20955" s="1" t="str">
        <f>"33446"</f>
        <v>33446</v>
      </c>
      <c r="C20955" s="2">
        <v>7.1996210139547399E-3</v>
      </c>
      <c r="D20955" s="2">
        <v>1.8610872820855799E-3</v>
      </c>
      <c r="E20955" s="2">
        <v>6.8183396208947597E-3</v>
      </c>
      <c r="F20955" s="2">
        <v>6.6408397223414097E-3</v>
      </c>
    </row>
    <row r="20956" spans="1:6" x14ac:dyDescent="0.25">
      <c r="A20956" s="1" t="str">
        <f t="shared" si="780"/>
        <v>33100</v>
      </c>
      <c r="B20956" s="1" t="str">
        <f>"33179"</f>
        <v>33179</v>
      </c>
      <c r="C20956" s="2">
        <v>7.1554152573906201E-3</v>
      </c>
      <c r="D20956" s="2">
        <v>3.67855533099728E-3</v>
      </c>
      <c r="E20956" s="2">
        <v>6.84148401879325E-3</v>
      </c>
      <c r="F20956" s="2">
        <v>6.7873652467673297E-3</v>
      </c>
    </row>
    <row r="20957" spans="1:6" x14ac:dyDescent="0.25">
      <c r="A20957" s="1" t="str">
        <f t="shared" si="780"/>
        <v>33100</v>
      </c>
      <c r="B20957" s="1" t="str">
        <f>"33172"</f>
        <v>33172</v>
      </c>
      <c r="C20957" s="2">
        <v>6.5706461941802199E-3</v>
      </c>
      <c r="D20957" s="2">
        <v>1.2696104802477501E-2</v>
      </c>
      <c r="E20957" s="2">
        <v>1.1299095054042099E-2</v>
      </c>
      <c r="F20957" s="2">
        <v>7.4818321458357097E-3</v>
      </c>
    </row>
    <row r="20958" spans="1:6" x14ac:dyDescent="0.25">
      <c r="A20958" s="1" t="str">
        <f t="shared" si="780"/>
        <v>33100</v>
      </c>
      <c r="B20958" s="1" t="str">
        <f>"33135"</f>
        <v>33135</v>
      </c>
      <c r="C20958" s="2">
        <v>5.7909541098996797E-3</v>
      </c>
      <c r="D20958" s="2">
        <v>6.8598514038123197E-3</v>
      </c>
      <c r="E20958" s="2">
        <v>1.2664614530052999E-2</v>
      </c>
      <c r="F20958" s="2">
        <v>6.3306017829505403E-3</v>
      </c>
    </row>
    <row r="20959" spans="1:6" x14ac:dyDescent="0.25">
      <c r="A20959" s="1" t="str">
        <f t="shared" ref="A20959:A21022" si="781">"33100"</f>
        <v>33100</v>
      </c>
      <c r="B20959" s="1" t="str">
        <f>"33116"</f>
        <v>33116</v>
      </c>
      <c r="C20959" s="2">
        <v>8.86551669045771E-4</v>
      </c>
      <c r="D20959" s="2">
        <v>2.3379908981200101E-3</v>
      </c>
      <c r="E20959" s="2">
        <v>9.2577591593954605E-6</v>
      </c>
      <c r="F20959" s="2">
        <v>9.7673972842965092E-4</v>
      </c>
    </row>
    <row r="20960" spans="1:6" x14ac:dyDescent="0.25">
      <c r="A20960" s="1" t="str">
        <f t="shared" si="781"/>
        <v>33100</v>
      </c>
      <c r="B20960" s="1" t="str">
        <f>"33026"</f>
        <v>33026</v>
      </c>
      <c r="C20960" s="2">
        <v>4.4264929624087401E-3</v>
      </c>
      <c r="D20960" s="2">
        <v>3.3325094144844901E-3</v>
      </c>
      <c r="E20960" s="2">
        <v>1.39792163306871E-3</v>
      </c>
      <c r="F20960" s="2">
        <v>4.1263102455132697E-3</v>
      </c>
    </row>
    <row r="20961" spans="1:6" x14ac:dyDescent="0.25">
      <c r="A20961" s="1" t="str">
        <f t="shared" si="781"/>
        <v>33100</v>
      </c>
      <c r="B20961" s="1" t="str">
        <f>"33411"</f>
        <v>33411</v>
      </c>
      <c r="C20961" s="2">
        <v>1.0296460511206499E-2</v>
      </c>
      <c r="D20961" s="2">
        <v>7.52577169693356E-3</v>
      </c>
      <c r="E20961" s="2">
        <v>8.0357349503552607E-3</v>
      </c>
      <c r="F20961" s="2">
        <v>9.8766359953496308E-3</v>
      </c>
    </row>
    <row r="20962" spans="1:6" x14ac:dyDescent="0.25">
      <c r="A20962" s="1" t="str">
        <f t="shared" si="781"/>
        <v>33100</v>
      </c>
      <c r="B20962" s="1" t="str">
        <f>"33413"</f>
        <v>33413</v>
      </c>
      <c r="C20962" s="2">
        <v>2.0578301795832702E-3</v>
      </c>
      <c r="D20962" s="2">
        <v>1.4539744391293601E-3</v>
      </c>
      <c r="E20962" s="2">
        <v>5.8786770662161197E-4</v>
      </c>
      <c r="F20962" s="2">
        <v>1.90483181753697E-3</v>
      </c>
    </row>
    <row r="20963" spans="1:6" x14ac:dyDescent="0.25">
      <c r="A20963" s="1" t="str">
        <f t="shared" si="781"/>
        <v>33100</v>
      </c>
      <c r="B20963" s="1" t="str">
        <f>"33429"</f>
        <v>33429</v>
      </c>
      <c r="C20963" s="2">
        <v>5.72934451216859E-4</v>
      </c>
      <c r="D20963" s="2">
        <v>1.0352298006601E-3</v>
      </c>
      <c r="E20963" s="2">
        <v>9.2577591593954605E-6</v>
      </c>
      <c r="F20963" s="2">
        <v>5.8377167186788497E-4</v>
      </c>
    </row>
    <row r="20964" spans="1:6" x14ac:dyDescent="0.25">
      <c r="A20964" s="1" t="str">
        <f t="shared" si="781"/>
        <v>33100</v>
      </c>
      <c r="B20964" s="1" t="str">
        <f>"33416"</f>
        <v>33416</v>
      </c>
      <c r="C20964" s="2">
        <v>1.19703619546462E-3</v>
      </c>
      <c r="D20964" s="2">
        <v>1.8610872820855799E-3</v>
      </c>
      <c r="E20964" s="2">
        <v>9.2577591593954605E-6</v>
      </c>
      <c r="F20964" s="2">
        <v>1.18880847948744E-3</v>
      </c>
    </row>
    <row r="20965" spans="1:6" x14ac:dyDescent="0.25">
      <c r="A20965" s="1" t="str">
        <f t="shared" si="781"/>
        <v>33100</v>
      </c>
      <c r="B20965" s="1" t="str">
        <f>"33421"</f>
        <v>33421</v>
      </c>
      <c r="C20965" s="2">
        <v>6.35588279417973E-4</v>
      </c>
      <c r="D20965" s="2">
        <v>1.2300623755034301E-3</v>
      </c>
      <c r="E20965" s="2">
        <v>1.38866387390932E-5</v>
      </c>
      <c r="F20965" s="2">
        <v>6.5601487277768401E-4</v>
      </c>
    </row>
    <row r="20966" spans="1:6" x14ac:dyDescent="0.25">
      <c r="A20966" s="1" t="str">
        <f t="shared" si="781"/>
        <v>33100</v>
      </c>
      <c r="B20966" s="1" t="str">
        <f>"33323"</f>
        <v>33323</v>
      </c>
      <c r="C20966" s="2">
        <v>3.32865866159588E-3</v>
      </c>
      <c r="D20966" s="2">
        <v>2.8207104119109499E-3</v>
      </c>
      <c r="E20966" s="2">
        <v>3.0504316430208E-3</v>
      </c>
      <c r="F20966" s="2">
        <v>3.2602657442841201E-3</v>
      </c>
    </row>
    <row r="20967" spans="1:6" x14ac:dyDescent="0.25">
      <c r="A20967" s="1" t="str">
        <f t="shared" si="781"/>
        <v>33100</v>
      </c>
      <c r="B20967" s="1" t="str">
        <f>"33266"</f>
        <v>33266</v>
      </c>
      <c r="C20967" s="2">
        <v>3.7000566320991501E-4</v>
      </c>
      <c r="D20967" s="2">
        <v>6.3974875321691797E-4</v>
      </c>
      <c r="E20967" s="2">
        <v>9.2577591593954605E-6</v>
      </c>
      <c r="F20967" s="2">
        <v>3.7432464987536499E-4</v>
      </c>
    </row>
    <row r="20968" spans="1:6" x14ac:dyDescent="0.25">
      <c r="A20968" s="1" t="str">
        <f t="shared" si="781"/>
        <v>33100</v>
      </c>
      <c r="B20968" s="1" t="str">
        <f>"33130"</f>
        <v>33130</v>
      </c>
      <c r="C20968" s="2">
        <v>6.9190710943430904E-3</v>
      </c>
      <c r="D20968" s="2">
        <v>7.7351440161681903E-3</v>
      </c>
      <c r="E20968" s="2">
        <v>1.3215451200037E-2</v>
      </c>
      <c r="F20968" s="2">
        <v>7.3970629060584898E-3</v>
      </c>
    </row>
    <row r="20969" spans="1:6" x14ac:dyDescent="0.25">
      <c r="A20969" s="1" t="str">
        <f t="shared" si="781"/>
        <v>33100</v>
      </c>
      <c r="B20969" s="1" t="str">
        <f>"33131"</f>
        <v>33131</v>
      </c>
      <c r="C20969" s="2">
        <v>6.3725904817000297E-3</v>
      </c>
      <c r="D20969" s="2">
        <v>1.3286418424764E-2</v>
      </c>
      <c r="E20969" s="2">
        <v>9.6604716828291703E-3</v>
      </c>
      <c r="F20969" s="2">
        <v>7.2720938206137196E-3</v>
      </c>
    </row>
    <row r="20970" spans="1:6" x14ac:dyDescent="0.25">
      <c r="A20970" s="1" t="str">
        <f t="shared" si="781"/>
        <v>33100</v>
      </c>
      <c r="B20970" s="1" t="str">
        <f>"33004"</f>
        <v>33004</v>
      </c>
      <c r="C20970" s="2">
        <v>3.45988362399488E-3</v>
      </c>
      <c r="D20970" s="2">
        <v>5.8885964784738997E-3</v>
      </c>
      <c r="E20970" s="2">
        <v>4.3974356007128396E-3</v>
      </c>
      <c r="F20970" s="2">
        <v>3.7621812086695299E-3</v>
      </c>
    </row>
    <row r="20971" spans="1:6" x14ac:dyDescent="0.25">
      <c r="A20971" s="1" t="str">
        <f t="shared" si="781"/>
        <v>33100</v>
      </c>
      <c r="B20971" s="1" t="str">
        <f>"33002"</f>
        <v>33002</v>
      </c>
      <c r="C20971" s="2">
        <v>3.4076721004939499E-4</v>
      </c>
      <c r="D20971" s="2">
        <v>5.0016720706049899E-4</v>
      </c>
      <c r="E20971" s="2">
        <v>9.2577591593954605E-6</v>
      </c>
      <c r="F20971" s="2">
        <v>3.3587262358466603E-4</v>
      </c>
    </row>
    <row r="20972" spans="1:6" x14ac:dyDescent="0.25">
      <c r="A20972" s="1" t="str">
        <f t="shared" si="781"/>
        <v>33100</v>
      </c>
      <c r="B20972" s="1" t="str">
        <f>"33019"</f>
        <v>33019</v>
      </c>
      <c r="C20972" s="2">
        <v>4.5911332998483396E-3</v>
      </c>
      <c r="D20972" s="2">
        <v>1.91052241301597E-3</v>
      </c>
      <c r="E20972" s="2">
        <v>4.6936838938135004E-3</v>
      </c>
      <c r="F20972" s="2">
        <v>4.3290572932278603E-3</v>
      </c>
    </row>
    <row r="20973" spans="1:6" x14ac:dyDescent="0.25">
      <c r="A20973" s="1" t="str">
        <f t="shared" si="781"/>
        <v>33100</v>
      </c>
      <c r="B20973" s="1" t="str">
        <f>"33035"</f>
        <v>33035</v>
      </c>
      <c r="C20973" s="2">
        <v>2.1525070755316201E-3</v>
      </c>
      <c r="D20973" s="2">
        <v>1.2213385288686599E-4</v>
      </c>
      <c r="E20973" s="2">
        <v>1.0183535075335001E-3</v>
      </c>
      <c r="F20973" s="2">
        <v>1.8777406171958E-3</v>
      </c>
    </row>
    <row r="20974" spans="1:6" x14ac:dyDescent="0.25">
      <c r="A20974" s="1" t="str">
        <f t="shared" si="781"/>
        <v>33100</v>
      </c>
      <c r="B20974" s="1" t="str">
        <f>"33054"</f>
        <v>33054</v>
      </c>
      <c r="C20974" s="2">
        <v>3.9903527027643198E-3</v>
      </c>
      <c r="D20974" s="2">
        <v>8.9564825450368507E-3</v>
      </c>
      <c r="E20974" s="2">
        <v>4.2122804175249301E-3</v>
      </c>
      <c r="F20974" s="2">
        <v>4.5018001083065402E-3</v>
      </c>
    </row>
    <row r="20975" spans="1:6" x14ac:dyDescent="0.25">
      <c r="A20975" s="1" t="str">
        <f t="shared" si="781"/>
        <v>33100</v>
      </c>
      <c r="B20975" s="1" t="str">
        <f>"33418"</f>
        <v>33418</v>
      </c>
      <c r="C20975" s="2">
        <v>7.7192997112006502E-3</v>
      </c>
      <c r="D20975" s="2">
        <v>2.9341204181630399E-3</v>
      </c>
      <c r="E20975" s="2">
        <v>5.0593653806096199E-3</v>
      </c>
      <c r="F20975" s="2">
        <v>7.07255110842335E-3</v>
      </c>
    </row>
    <row r="20976" spans="1:6" x14ac:dyDescent="0.25">
      <c r="A20976" s="1" t="str">
        <f t="shared" si="781"/>
        <v>33100</v>
      </c>
      <c r="B20976" s="1" t="str">
        <f>"33426"</f>
        <v>33426</v>
      </c>
      <c r="C20976" s="2">
        <v>4.6311621345323803E-3</v>
      </c>
      <c r="D20976" s="2">
        <v>6.3131570146996796E-3</v>
      </c>
      <c r="E20976" s="2">
        <v>5.8879348253755102E-3</v>
      </c>
      <c r="F20976" s="2">
        <v>4.8787464872471799E-3</v>
      </c>
    </row>
    <row r="20977" spans="1:6" x14ac:dyDescent="0.25">
      <c r="A20977" s="1" t="str">
        <f t="shared" si="781"/>
        <v>33100</v>
      </c>
      <c r="B20977" s="1" t="str">
        <f>"33442"</f>
        <v>33442</v>
      </c>
      <c r="C20977" s="2">
        <v>7.2448710009888799E-3</v>
      </c>
      <c r="D20977" s="2">
        <v>5.8827805807173898E-3</v>
      </c>
      <c r="E20977" s="2">
        <v>4.70757053255259E-3</v>
      </c>
      <c r="F20977" s="2">
        <v>6.9487472358964802E-3</v>
      </c>
    </row>
    <row r="20978" spans="1:6" x14ac:dyDescent="0.25">
      <c r="A20978" s="1" t="str">
        <f t="shared" si="781"/>
        <v>33100</v>
      </c>
      <c r="B20978" s="1" t="str">
        <f>"33322"</f>
        <v>33322</v>
      </c>
      <c r="C20978" s="2">
        <v>7.1895267860778997E-3</v>
      </c>
      <c r="D20978" s="2">
        <v>2.6811288657545402E-3</v>
      </c>
      <c r="E20978" s="2">
        <v>4.2909713703797904E-3</v>
      </c>
      <c r="F20978" s="2">
        <v>6.55548787610524E-3</v>
      </c>
    </row>
    <row r="20979" spans="1:6" x14ac:dyDescent="0.25">
      <c r="A20979" s="1" t="str">
        <f t="shared" si="781"/>
        <v>33100</v>
      </c>
      <c r="B20979" s="1" t="str">
        <f>"33325"</f>
        <v>33325</v>
      </c>
      <c r="C20979" s="2">
        <v>3.8880181167025001E-3</v>
      </c>
      <c r="D20979" s="2">
        <v>2.10826293673757E-3</v>
      </c>
      <c r="E20979" s="2">
        <v>1.9672738213715301E-3</v>
      </c>
      <c r="F20979" s="2">
        <v>3.5888557871319102E-3</v>
      </c>
    </row>
    <row r="20980" spans="1:6" x14ac:dyDescent="0.25">
      <c r="A20980" s="1" t="str">
        <f t="shared" si="781"/>
        <v>33100</v>
      </c>
      <c r="B20980" s="1" t="str">
        <f>"33463"</f>
        <v>33463</v>
      </c>
      <c r="C20980" s="2">
        <v>7.8216342972624794E-3</v>
      </c>
      <c r="D20980" s="2">
        <v>3.5535135292321502E-3</v>
      </c>
      <c r="E20980" s="2">
        <v>5.3602425532899697E-3</v>
      </c>
      <c r="F20980" s="2">
        <v>7.2391765556830403E-3</v>
      </c>
    </row>
    <row r="20981" spans="1:6" x14ac:dyDescent="0.25">
      <c r="A20981" s="1" t="str">
        <f t="shared" si="781"/>
        <v>33100</v>
      </c>
      <c r="B20981" s="1" t="str">
        <f>"33476"</f>
        <v>33476</v>
      </c>
      <c r="C20981" s="2">
        <v>1.06093815753887E-3</v>
      </c>
      <c r="D20981" s="2">
        <v>6.5719644648646995E-4</v>
      </c>
      <c r="E20981" s="2">
        <v>1.1525910153447299E-3</v>
      </c>
      <c r="F20981" s="2">
        <v>1.0262612774404E-3</v>
      </c>
    </row>
    <row r="20982" spans="1:6" x14ac:dyDescent="0.25">
      <c r="A20982" s="1" t="str">
        <f t="shared" si="781"/>
        <v>33100</v>
      </c>
      <c r="B20982" s="1" t="str">
        <f>"33486"</f>
        <v>33486</v>
      </c>
      <c r="C20982" s="2">
        <v>3.6328778051946198E-3</v>
      </c>
      <c r="D20982" s="2">
        <v>2.18386960757229E-3</v>
      </c>
      <c r="E20982" s="2">
        <v>3.0365450042817098E-3</v>
      </c>
      <c r="F20982" s="2">
        <v>3.4501954499018099E-3</v>
      </c>
    </row>
    <row r="20983" spans="1:6" x14ac:dyDescent="0.25">
      <c r="A20983" s="1" t="str">
        <f t="shared" si="781"/>
        <v>33100</v>
      </c>
      <c r="B20983" s="1" t="str">
        <f>"33458"</f>
        <v>33458</v>
      </c>
      <c r="C20983" s="2">
        <v>8.1871149617689792E-3</v>
      </c>
      <c r="D20983" s="2">
        <v>9.2530933306192407E-3</v>
      </c>
      <c r="E20983" s="2">
        <v>1.69555859004328E-2</v>
      </c>
      <c r="F20983" s="2">
        <v>8.8457138662376301E-3</v>
      </c>
    </row>
    <row r="20984" spans="1:6" x14ac:dyDescent="0.25">
      <c r="A20984" s="1" t="str">
        <f t="shared" si="781"/>
        <v>33100</v>
      </c>
      <c r="B20984" s="1" t="str">
        <f>"33183"</f>
        <v>33183</v>
      </c>
      <c r="C20984" s="2">
        <v>4.6381236709991704E-3</v>
      </c>
      <c r="D20984" s="2">
        <v>2.2536603806505E-3</v>
      </c>
      <c r="E20984" s="2">
        <v>4.4066933598722402E-3</v>
      </c>
      <c r="F20984" s="2">
        <v>4.3846962100575898E-3</v>
      </c>
    </row>
    <row r="20985" spans="1:6" x14ac:dyDescent="0.25">
      <c r="A20985" s="1" t="str">
        <f t="shared" si="781"/>
        <v>33100</v>
      </c>
      <c r="B20985" s="1" t="str">
        <f>"33189"</f>
        <v>33189</v>
      </c>
      <c r="C20985" s="2">
        <v>3.2625240651613699E-3</v>
      </c>
      <c r="D20985" s="2">
        <v>1.9017985663812001E-3</v>
      </c>
      <c r="E20985" s="2">
        <v>1.1896220519823099E-3</v>
      </c>
      <c r="F20985" s="2">
        <v>2.9957624119208198E-3</v>
      </c>
    </row>
    <row r="20986" spans="1:6" x14ac:dyDescent="0.25">
      <c r="A20986" s="1" t="str">
        <f t="shared" si="781"/>
        <v>33100</v>
      </c>
      <c r="B20986" s="1" t="str">
        <f>"33174"</f>
        <v>33174</v>
      </c>
      <c r="C20986" s="2">
        <v>3.9245661831531498E-3</v>
      </c>
      <c r="D20986" s="2">
        <v>3.2045596638411002E-3</v>
      </c>
      <c r="E20986" s="2">
        <v>4.9066123544795901E-3</v>
      </c>
      <c r="F20986" s="2">
        <v>3.9142414944554702E-3</v>
      </c>
    </row>
    <row r="20987" spans="1:6" x14ac:dyDescent="0.25">
      <c r="A20987" s="1" t="str">
        <f t="shared" si="781"/>
        <v>33100</v>
      </c>
      <c r="B20987" s="1" t="str">
        <f>"33234"</f>
        <v>33234</v>
      </c>
      <c r="C20987" s="2">
        <v>2.18592245057222E-4</v>
      </c>
      <c r="D20987" s="2">
        <v>2.7625514343457801E-4</v>
      </c>
      <c r="E20987" s="2">
        <v>1.8515518318790901E-5</v>
      </c>
      <c r="F20987" s="2">
        <v>2.1177744782831901E-4</v>
      </c>
    </row>
    <row r="20988" spans="1:6" x14ac:dyDescent="0.25">
      <c r="A20988" s="1" t="str">
        <f t="shared" si="781"/>
        <v>33100</v>
      </c>
      <c r="B20988" s="1" t="str">
        <f>"33170"</f>
        <v>33170</v>
      </c>
      <c r="C20988" s="2">
        <v>1.8876206129702399E-3</v>
      </c>
      <c r="D20988" s="2">
        <v>1.45979033688587E-3</v>
      </c>
      <c r="E20988" s="2">
        <v>5.4157891082463395E-4</v>
      </c>
      <c r="F20988" s="2">
        <v>1.7600541124878999E-3</v>
      </c>
    </row>
    <row r="20989" spans="1:6" x14ac:dyDescent="0.25">
      <c r="A20989" s="1" t="str">
        <f t="shared" si="781"/>
        <v>33100</v>
      </c>
      <c r="B20989" s="1" t="str">
        <f>"33194"</f>
        <v>33194</v>
      </c>
      <c r="C20989" s="2">
        <v>9.6104010924042999E-4</v>
      </c>
      <c r="D20989" s="2">
        <v>1.2271544266251699E-3</v>
      </c>
      <c r="E20989" s="2">
        <v>6.4804314115768198E-5</v>
      </c>
      <c r="F20989" s="2">
        <v>9.31296424631552E-4</v>
      </c>
    </row>
    <row r="20990" spans="1:6" x14ac:dyDescent="0.25">
      <c r="A20990" s="1" t="str">
        <f t="shared" si="781"/>
        <v>33100</v>
      </c>
      <c r="B20990" s="1" t="str">
        <f>"33242"</f>
        <v>33242</v>
      </c>
      <c r="C20990" s="2">
        <v>5.6736522204342598E-4</v>
      </c>
      <c r="D20990" s="2">
        <v>3.3441412099975199E-4</v>
      </c>
      <c r="E20990" s="2">
        <v>9.2577591593954605E-6</v>
      </c>
      <c r="F20990" s="2">
        <v>5.0890674189281199E-4</v>
      </c>
    </row>
    <row r="20991" spans="1:6" x14ac:dyDescent="0.25">
      <c r="A20991" s="1" t="str">
        <f t="shared" si="781"/>
        <v>33100</v>
      </c>
      <c r="B20991" s="1" t="str">
        <f>"33280"</f>
        <v>33280</v>
      </c>
      <c r="C20991" s="2">
        <v>2.0849801718037501E-4</v>
      </c>
      <c r="D20991" s="2">
        <v>8.1713363479069998E-4</v>
      </c>
      <c r="E20991" s="2">
        <v>1.38866387390932E-5</v>
      </c>
      <c r="F20991" s="2">
        <v>2.5722075162641801E-4</v>
      </c>
    </row>
    <row r="20992" spans="1:6" x14ac:dyDescent="0.25">
      <c r="A20992" s="1" t="str">
        <f t="shared" si="781"/>
        <v>33100</v>
      </c>
      <c r="B20992" s="1" t="str">
        <f>"33245"</f>
        <v>33245</v>
      </c>
      <c r="C20992" s="2">
        <v>4.37880643761123E-4</v>
      </c>
      <c r="D20992" s="2">
        <v>9.5089928319060102E-4</v>
      </c>
      <c r="E20992" s="2">
        <v>9.2577591593954605E-6</v>
      </c>
      <c r="F20992" s="2">
        <v>4.62298225176813E-4</v>
      </c>
    </row>
    <row r="20993" spans="1:6" x14ac:dyDescent="0.25">
      <c r="A20993" s="1" t="str">
        <f t="shared" si="781"/>
        <v>33100</v>
      </c>
      <c r="B20993" s="1" t="str">
        <f>"33142"</f>
        <v>33142</v>
      </c>
      <c r="C20993" s="2">
        <v>7.3520786625774597E-3</v>
      </c>
      <c r="D20993" s="2">
        <v>1.2262820419617E-2</v>
      </c>
      <c r="E20993" s="2">
        <v>8.2394056518619602E-3</v>
      </c>
      <c r="F20993" s="2">
        <v>7.8998522801323294E-3</v>
      </c>
    </row>
    <row r="20994" spans="1:6" x14ac:dyDescent="0.25">
      <c r="A20994" s="1" t="str">
        <f t="shared" si="781"/>
        <v>33100</v>
      </c>
      <c r="B20994" s="1" t="str">
        <f>"33154"</f>
        <v>33154</v>
      </c>
      <c r="C20994" s="2">
        <v>4.0519623004954099E-3</v>
      </c>
      <c r="D20994" s="2">
        <v>2.7102083545371201E-3</v>
      </c>
      <c r="E20994" s="2">
        <v>5.1797162496817597E-3</v>
      </c>
      <c r="F20994" s="2">
        <v>3.9885238179716001E-3</v>
      </c>
    </row>
    <row r="20995" spans="1:6" x14ac:dyDescent="0.25">
      <c r="A20995" s="1" t="str">
        <f t="shared" si="781"/>
        <v>33100</v>
      </c>
      <c r="B20995" s="1" t="str">
        <f>"33155"</f>
        <v>33155</v>
      </c>
      <c r="C20995" s="2">
        <v>5.6562483792672903E-3</v>
      </c>
      <c r="D20995" s="2">
        <v>1.02388880003489E-2</v>
      </c>
      <c r="E20995" s="2">
        <v>4.0687851505543E-3</v>
      </c>
      <c r="F20995" s="2">
        <v>6.0154116886585998E-3</v>
      </c>
    </row>
    <row r="20996" spans="1:6" x14ac:dyDescent="0.25">
      <c r="A20996" s="1" t="str">
        <f t="shared" si="781"/>
        <v>33100</v>
      </c>
      <c r="B20996" s="1" t="str">
        <f>"33144"</f>
        <v>33144</v>
      </c>
      <c r="C20996" s="2">
        <v>3.7484393105433498E-3</v>
      </c>
      <c r="D20996" s="2">
        <v>7.1419224450034102E-3</v>
      </c>
      <c r="E20996" s="2">
        <v>2.90230749647047E-3</v>
      </c>
      <c r="F20996" s="2">
        <v>4.0351323346876E-3</v>
      </c>
    </row>
    <row r="20997" spans="1:6" x14ac:dyDescent="0.25">
      <c r="A20997" s="1" t="str">
        <f t="shared" si="781"/>
        <v>33100</v>
      </c>
      <c r="B20997" s="1" t="str">
        <f>"33163"</f>
        <v>33163</v>
      </c>
      <c r="C20997" s="2">
        <v>1.3435765380905601E-4</v>
      </c>
      <c r="D20997" s="2">
        <v>5.7286592901696696E-4</v>
      </c>
      <c r="E20997" s="2">
        <v>9.2577591593954605E-6</v>
      </c>
      <c r="F20997" s="2">
        <v>1.7041238924287E-4</v>
      </c>
    </row>
    <row r="20998" spans="1:6" x14ac:dyDescent="0.25">
      <c r="A20998" s="1" t="str">
        <f t="shared" si="781"/>
        <v>33100</v>
      </c>
      <c r="B20998" s="1" t="str">
        <f>"33106"</f>
        <v>33106</v>
      </c>
      <c r="C20998" s="2">
        <v>0</v>
      </c>
      <c r="D20998" s="2">
        <v>2.9079488782587201E-6</v>
      </c>
      <c r="E20998" s="2">
        <v>0</v>
      </c>
      <c r="F20998" s="2">
        <v>2.9130322947499202E-7</v>
      </c>
    </row>
    <row r="20999" spans="1:6" x14ac:dyDescent="0.25">
      <c r="A20999" s="1" t="str">
        <f t="shared" si="781"/>
        <v>33100</v>
      </c>
      <c r="B20999" s="1" t="str">
        <f>"33206"</f>
        <v>33206</v>
      </c>
      <c r="C20999" s="2">
        <v>0</v>
      </c>
      <c r="D20999" s="2">
        <v>2.9079488782587201E-6</v>
      </c>
      <c r="E20999" s="2">
        <v>0</v>
      </c>
      <c r="F20999" s="2">
        <v>2.9130322947499202E-7</v>
      </c>
    </row>
    <row r="21000" spans="1:6" x14ac:dyDescent="0.25">
      <c r="A21000" s="1" t="str">
        <f t="shared" si="781"/>
        <v>33100</v>
      </c>
      <c r="B21000" s="1" t="str">
        <f>"33193"</f>
        <v>33193</v>
      </c>
      <c r="C21000" s="2">
        <v>5.7108964405315904E-3</v>
      </c>
      <c r="D21000" s="2">
        <v>7.2117132180816198E-4</v>
      </c>
      <c r="E21000" s="2">
        <v>4.74460156919017E-3</v>
      </c>
      <c r="F21000" s="2">
        <v>5.15024109711787E-3</v>
      </c>
    </row>
    <row r="21001" spans="1:6" x14ac:dyDescent="0.25">
      <c r="A21001" s="1" t="str">
        <f t="shared" si="781"/>
        <v>33100</v>
      </c>
      <c r="B21001" s="1" t="str">
        <f>"33181"</f>
        <v>33181</v>
      </c>
      <c r="C21001" s="2">
        <v>3.3310951993592601E-3</v>
      </c>
      <c r="D21001" s="2">
        <v>4.8039315468833997E-3</v>
      </c>
      <c r="E21001" s="2">
        <v>3.0226583655426202E-3</v>
      </c>
      <c r="F21001" s="2">
        <v>3.45922585001554E-3</v>
      </c>
    </row>
    <row r="21002" spans="1:6" x14ac:dyDescent="0.25">
      <c r="A21002" s="1" t="str">
        <f t="shared" si="781"/>
        <v>33100</v>
      </c>
      <c r="B21002" s="1" t="str">
        <f>"33301"</f>
        <v>33301</v>
      </c>
      <c r="C21002" s="2">
        <v>4.4581679533326401E-3</v>
      </c>
      <c r="D21002" s="2">
        <v>7.5461273390813703E-3</v>
      </c>
      <c r="E21002" s="2">
        <v>7.00812368366236E-3</v>
      </c>
      <c r="F21002" s="2">
        <v>4.9279767330284502E-3</v>
      </c>
    </row>
    <row r="21003" spans="1:6" x14ac:dyDescent="0.25">
      <c r="A21003" s="1" t="str">
        <f t="shared" si="781"/>
        <v>33100</v>
      </c>
      <c r="B21003" s="1" t="str">
        <f>"33160"</f>
        <v>33160</v>
      </c>
      <c r="C21003" s="2">
        <v>1.2276669559185001E-2</v>
      </c>
      <c r="D21003" s="2">
        <v>4.8213792401529502E-3</v>
      </c>
      <c r="E21003" s="2">
        <v>9.0309440599902705E-3</v>
      </c>
      <c r="F21003" s="2">
        <v>1.13255782587582E-2</v>
      </c>
    </row>
    <row r="21004" spans="1:6" x14ac:dyDescent="0.25">
      <c r="A21004" s="1" t="str">
        <f t="shared" si="781"/>
        <v>33100</v>
      </c>
      <c r="B21004" s="1" t="str">
        <f>"33140"</f>
        <v>33140</v>
      </c>
      <c r="C21004" s="2">
        <v>5.9242675332387201E-3</v>
      </c>
      <c r="D21004" s="2">
        <v>3.5186181426930499E-3</v>
      </c>
      <c r="E21004" s="2">
        <v>4.1474761034091603E-3</v>
      </c>
      <c r="F21004" s="2">
        <v>5.5714655669387098E-3</v>
      </c>
    </row>
    <row r="21005" spans="1:6" x14ac:dyDescent="0.25">
      <c r="A21005" s="1" t="str">
        <f t="shared" si="781"/>
        <v>33100</v>
      </c>
      <c r="B21005" s="1" t="str">
        <f>"33167"</f>
        <v>33167</v>
      </c>
      <c r="C21005" s="2">
        <v>2.1340590038946301E-3</v>
      </c>
      <c r="D21005" s="2">
        <v>1.0148741585122899E-3</v>
      </c>
      <c r="E21005" s="2">
        <v>1.0553845441710801E-3</v>
      </c>
      <c r="F21005" s="2">
        <v>1.9540620633182498E-3</v>
      </c>
    </row>
    <row r="21006" spans="1:6" x14ac:dyDescent="0.25">
      <c r="A21006" s="1" t="str">
        <f t="shared" si="781"/>
        <v>33100</v>
      </c>
      <c r="B21006" s="1" t="str">
        <f>"33158"</f>
        <v>33158</v>
      </c>
      <c r="C21006" s="2">
        <v>8.0788630697103795E-4</v>
      </c>
      <c r="D21006" s="2">
        <v>6.3974875321691805E-5</v>
      </c>
      <c r="E21006" s="2">
        <v>3.0087717268035202E-4</v>
      </c>
      <c r="F21006" s="2">
        <v>7.0145817657578196E-4</v>
      </c>
    </row>
    <row r="21007" spans="1:6" x14ac:dyDescent="0.25">
      <c r="A21007" s="1" t="str">
        <f t="shared" si="781"/>
        <v>33100</v>
      </c>
      <c r="B21007" s="1" t="str">
        <f>"33068"</f>
        <v>33068</v>
      </c>
      <c r="C21007" s="2">
        <v>6.7652211384270104E-3</v>
      </c>
      <c r="D21007" s="2">
        <v>2.7131163034153799E-3</v>
      </c>
      <c r="E21007" s="2">
        <v>4.3326312865970698E-3</v>
      </c>
      <c r="F21007" s="2">
        <v>6.2062153039647199E-3</v>
      </c>
    </row>
    <row r="21008" spans="1:6" x14ac:dyDescent="0.25">
      <c r="A21008" s="1" t="str">
        <f t="shared" si="781"/>
        <v>33100</v>
      </c>
      <c r="B21008" s="1" t="str">
        <f>"33076"</f>
        <v>33076</v>
      </c>
      <c r="C21008" s="2">
        <v>5.1024581533340996E-3</v>
      </c>
      <c r="D21008" s="2">
        <v>1.8261918955464699E-3</v>
      </c>
      <c r="E21008" s="2">
        <v>1.3192306802138501E-3</v>
      </c>
      <c r="F21008" s="2">
        <v>4.53617388938458E-3</v>
      </c>
    </row>
    <row r="21009" spans="1:6" x14ac:dyDescent="0.25">
      <c r="A21009" s="1" t="str">
        <f t="shared" si="781"/>
        <v>33100</v>
      </c>
      <c r="B21009" s="1" t="str">
        <f>"33125"</f>
        <v>33125</v>
      </c>
      <c r="C21009" s="2">
        <v>7.0092229915880199E-3</v>
      </c>
      <c r="D21009" s="2">
        <v>4.6992453872660902E-3</v>
      </c>
      <c r="E21009" s="2">
        <v>9.8178535885388891E-3</v>
      </c>
      <c r="F21009" s="2">
        <v>6.9545733004859802E-3</v>
      </c>
    </row>
    <row r="21010" spans="1:6" x14ac:dyDescent="0.25">
      <c r="A21010" s="1" t="str">
        <f t="shared" si="781"/>
        <v>33100</v>
      </c>
      <c r="B21010" s="1" t="str">
        <f>"33138"</f>
        <v>33138</v>
      </c>
      <c r="C21010" s="2">
        <v>5.02796971313944E-3</v>
      </c>
      <c r="D21010" s="2">
        <v>5.8740567340826097E-3</v>
      </c>
      <c r="E21010" s="2">
        <v>7.5311870761682097E-3</v>
      </c>
      <c r="F21010" s="2">
        <v>5.27025802766157E-3</v>
      </c>
    </row>
    <row r="21011" spans="1:6" x14ac:dyDescent="0.25">
      <c r="A21011" s="1" t="str">
        <f t="shared" si="781"/>
        <v>33100</v>
      </c>
      <c r="B21011" s="1" t="str">
        <f>"33074"</f>
        <v>33074</v>
      </c>
      <c r="C21011" s="2">
        <v>4.0237680778049101E-4</v>
      </c>
      <c r="D21011" s="2">
        <v>8.2004158366895895E-4</v>
      </c>
      <c r="E21011" s="2">
        <v>9.2577591593954605E-6</v>
      </c>
      <c r="F21011" s="2">
        <v>4.1947665044398899E-4</v>
      </c>
    </row>
    <row r="21012" spans="1:6" x14ac:dyDescent="0.25">
      <c r="A21012" s="1" t="str">
        <f t="shared" si="781"/>
        <v>33100</v>
      </c>
      <c r="B21012" s="1" t="str">
        <f>"33083"</f>
        <v>33083</v>
      </c>
      <c r="C21012" s="2">
        <v>5.2350754230264603E-4</v>
      </c>
      <c r="D21012" s="2">
        <v>2.7334719455631898E-4</v>
      </c>
      <c r="E21012" s="2">
        <v>9.2577591593954605E-6</v>
      </c>
      <c r="F21012" s="2">
        <v>4.6608516715998798E-4</v>
      </c>
    </row>
    <row r="21013" spans="1:6" x14ac:dyDescent="0.25">
      <c r="A21013" s="1" t="str">
        <f t="shared" si="781"/>
        <v>33100</v>
      </c>
      <c r="B21013" s="1" t="str">
        <f>"33136"</f>
        <v>33136</v>
      </c>
      <c r="C21013" s="2">
        <v>2.8966953238315301E-3</v>
      </c>
      <c r="D21013" s="2">
        <v>3.2045596638411002E-3</v>
      </c>
      <c r="E21013" s="2">
        <v>5.2769227208554099E-3</v>
      </c>
      <c r="F21013" s="2">
        <v>3.0773273161738201E-3</v>
      </c>
    </row>
    <row r="21014" spans="1:6" x14ac:dyDescent="0.25">
      <c r="A21014" s="1" t="str">
        <f t="shared" si="781"/>
        <v>33100</v>
      </c>
      <c r="B21014" s="1" t="str">
        <f>"33129"</f>
        <v>33129</v>
      </c>
      <c r="C21014" s="2">
        <v>2.9837145296664098E-3</v>
      </c>
      <c r="D21014" s="2">
        <v>1.1515477557904499E-3</v>
      </c>
      <c r="E21014" s="2">
        <v>2.9485962922674502E-3</v>
      </c>
      <c r="F21014" s="2">
        <v>2.7979675191072998E-3</v>
      </c>
    </row>
    <row r="21015" spans="1:6" x14ac:dyDescent="0.25">
      <c r="A21015" s="1" t="str">
        <f t="shared" si="781"/>
        <v>33100</v>
      </c>
      <c r="B21015" s="1" t="str">
        <f>"33061"</f>
        <v>33061</v>
      </c>
      <c r="C21015" s="2">
        <v>7.2330363889953398E-4</v>
      </c>
      <c r="D21015" s="2">
        <v>1.3289326373642301E-3</v>
      </c>
      <c r="E21015" s="2">
        <v>9.2577591593954605E-6</v>
      </c>
      <c r="F21015" s="2">
        <v>7.3903629317805702E-4</v>
      </c>
    </row>
    <row r="21016" spans="1:6" x14ac:dyDescent="0.25">
      <c r="A21016" s="1" t="str">
        <f t="shared" si="781"/>
        <v>33100</v>
      </c>
      <c r="B21016" s="1" t="str">
        <f>"33013"</f>
        <v>33013</v>
      </c>
      <c r="C21016" s="2">
        <v>3.5214932217259801E-3</v>
      </c>
      <c r="D21016" s="2">
        <v>4.5422161478401203E-3</v>
      </c>
      <c r="E21016" s="2">
        <v>2.3468419469067502E-3</v>
      </c>
      <c r="F21016" s="2">
        <v>3.5498211543822599E-3</v>
      </c>
    </row>
    <row r="21017" spans="1:6" x14ac:dyDescent="0.25">
      <c r="A21017" s="1" t="str">
        <f t="shared" si="781"/>
        <v>33100</v>
      </c>
      <c r="B21017" s="1" t="str">
        <f>"33014"</f>
        <v>33014</v>
      </c>
      <c r="C21017" s="2">
        <v>5.8027887218932298E-3</v>
      </c>
      <c r="D21017" s="2">
        <v>9.2792648705235705E-3</v>
      </c>
      <c r="E21017" s="2">
        <v>5.2861804800148097E-3</v>
      </c>
      <c r="F21017" s="2">
        <v>6.1185330318927504E-3</v>
      </c>
    </row>
    <row r="21018" spans="1:6" x14ac:dyDescent="0.25">
      <c r="A21018" s="1" t="str">
        <f t="shared" si="781"/>
        <v>33100</v>
      </c>
      <c r="B21018" s="1" t="str">
        <f>"33430"</f>
        <v>33430</v>
      </c>
      <c r="C21018" s="2">
        <v>2.75607228720236E-3</v>
      </c>
      <c r="D21018" s="2">
        <v>2.1489742210331901E-3</v>
      </c>
      <c r="E21018" s="2">
        <v>6.2304719142731498E-3</v>
      </c>
      <c r="F21018" s="2">
        <v>2.9139062044383499E-3</v>
      </c>
    </row>
    <row r="21019" spans="1:6" x14ac:dyDescent="0.25">
      <c r="A21019" s="1" t="str">
        <f t="shared" si="781"/>
        <v>33100</v>
      </c>
      <c r="B21019" s="1" t="str">
        <f>"33435"</f>
        <v>33435</v>
      </c>
      <c r="C21019" s="2">
        <v>7.5215920755438001E-3</v>
      </c>
      <c r="D21019" s="2">
        <v>3.6378440467016498E-3</v>
      </c>
      <c r="E21019" s="2">
        <v>1.11185687504339E-2</v>
      </c>
      <c r="F21019" s="2">
        <v>7.3589021829972697E-3</v>
      </c>
    </row>
    <row r="21020" spans="1:6" x14ac:dyDescent="0.25">
      <c r="A21020" s="1" t="str">
        <f t="shared" si="781"/>
        <v>33100</v>
      </c>
      <c r="B21020" s="1" t="str">
        <f>"33443"</f>
        <v>33443</v>
      </c>
      <c r="C21020" s="2">
        <v>3.9959219319377499E-4</v>
      </c>
      <c r="D21020" s="2">
        <v>9.3345158992104904E-4</v>
      </c>
      <c r="E21020" s="2">
        <v>9.2577591593954605E-6</v>
      </c>
      <c r="F21020" s="2">
        <v>4.28507050557714E-4</v>
      </c>
    </row>
    <row r="21021" spans="1:6" x14ac:dyDescent="0.25">
      <c r="A21021" s="1" t="str">
        <f t="shared" si="781"/>
        <v>33100</v>
      </c>
      <c r="B21021" s="1" t="str">
        <f>"33425"</f>
        <v>33425</v>
      </c>
      <c r="C21021" s="2">
        <v>4.1281911248067699E-4</v>
      </c>
      <c r="D21021" s="2">
        <v>6.2230105994736599E-4</v>
      </c>
      <c r="E21021" s="2">
        <v>9.2577591593954605E-6</v>
      </c>
      <c r="F21021" s="2">
        <v>4.0840712772393999E-4</v>
      </c>
    </row>
    <row r="21022" spans="1:6" x14ac:dyDescent="0.25">
      <c r="A21022" s="1" t="str">
        <f t="shared" si="781"/>
        <v>33100</v>
      </c>
      <c r="B21022" s="1" t="str">
        <f>"33317"</f>
        <v>33317</v>
      </c>
      <c r="C21022" s="2">
        <v>4.96183511670493E-3</v>
      </c>
      <c r="D21022" s="2">
        <v>5.4000610669264404E-3</v>
      </c>
      <c r="E21022" s="2">
        <v>3.6799592658596902E-3</v>
      </c>
      <c r="F21022" s="2">
        <v>4.9250637007336997E-3</v>
      </c>
    </row>
    <row r="21023" spans="1:6" x14ac:dyDescent="0.25">
      <c r="A21023" s="1" t="str">
        <f t="shared" ref="A21023:A21086" si="782">"33100"</f>
        <v>33100</v>
      </c>
      <c r="B21023" s="1" t="str">
        <f>"33324"</f>
        <v>33324</v>
      </c>
      <c r="C21023" s="2">
        <v>7.7889150758685601E-3</v>
      </c>
      <c r="D21023" s="2">
        <v>6.9470898701600803E-3</v>
      </c>
      <c r="E21023" s="2">
        <v>7.2997430971833196E-3</v>
      </c>
      <c r="F21023" s="2">
        <v>7.6738009740597302E-3</v>
      </c>
    </row>
    <row r="21024" spans="1:6" x14ac:dyDescent="0.25">
      <c r="A21024" s="1" t="str">
        <f t="shared" si="782"/>
        <v>33100</v>
      </c>
      <c r="B21024" s="1" t="str">
        <f>"33315"</f>
        <v>33315</v>
      </c>
      <c r="C21024" s="2">
        <v>2.57019926353905E-3</v>
      </c>
      <c r="D21024" s="2">
        <v>4.1670907425447401E-3</v>
      </c>
      <c r="E21024" s="2">
        <v>3.2726178628462899E-3</v>
      </c>
      <c r="F21024" s="2">
        <v>2.7743719575198298E-3</v>
      </c>
    </row>
    <row r="21025" spans="1:6" x14ac:dyDescent="0.25">
      <c r="A21025" s="1" t="str">
        <f t="shared" si="782"/>
        <v>33100</v>
      </c>
      <c r="B21025" s="1" t="str">
        <f>"33331"</f>
        <v>33331</v>
      </c>
      <c r="C21025" s="2">
        <v>2.6944626894712599E-3</v>
      </c>
      <c r="D21025" s="2">
        <v>1.7011500937813501E-3</v>
      </c>
      <c r="E21025" s="2">
        <v>1.1803642928229199E-3</v>
      </c>
      <c r="F21025" s="2">
        <v>2.49967301212491E-3</v>
      </c>
    </row>
    <row r="21026" spans="1:6" x14ac:dyDescent="0.25">
      <c r="A21026" s="1" t="str">
        <f t="shared" si="782"/>
        <v>33100</v>
      </c>
      <c r="B21026" s="1" t="str">
        <f>"33320"</f>
        <v>33320</v>
      </c>
      <c r="C21026" s="2">
        <v>3.1883837017900502E-4</v>
      </c>
      <c r="D21026" s="2">
        <v>1.02069005626881E-3</v>
      </c>
      <c r="E21026" s="2">
        <v>9.2577591593954605E-6</v>
      </c>
      <c r="F21026" s="2">
        <v>3.69663798203766E-4</v>
      </c>
    </row>
    <row r="21027" spans="1:6" x14ac:dyDescent="0.25">
      <c r="A21027" s="1" t="str">
        <f t="shared" si="782"/>
        <v>33100</v>
      </c>
      <c r="B21027" s="1" t="str">
        <f>"33355"</f>
        <v>33355</v>
      </c>
      <c r="C21027" s="2">
        <v>4.5563256175143902E-4</v>
      </c>
      <c r="D21027" s="2">
        <v>8.4912107245154595E-4</v>
      </c>
      <c r="E21027" s="2">
        <v>2.31443978984886E-5</v>
      </c>
      <c r="F21027" s="2">
        <v>4.6783298653683801E-4</v>
      </c>
    </row>
    <row r="21028" spans="1:6" x14ac:dyDescent="0.25">
      <c r="A21028" s="1" t="str">
        <f t="shared" si="782"/>
        <v>33100</v>
      </c>
      <c r="B21028" s="1" t="str">
        <f>"33112"</f>
        <v>33112</v>
      </c>
      <c r="C21028" s="2">
        <v>0</v>
      </c>
      <c r="D21028" s="2">
        <v>2.9079488782587201E-6</v>
      </c>
      <c r="E21028" s="2">
        <v>0</v>
      </c>
      <c r="F21028" s="2">
        <v>2.9130322947499202E-7</v>
      </c>
    </row>
    <row r="21029" spans="1:6" x14ac:dyDescent="0.25">
      <c r="A21029" s="1" t="str">
        <f t="shared" si="782"/>
        <v>33100</v>
      </c>
      <c r="B21029" s="1" t="str">
        <f>"33472"</f>
        <v>33472</v>
      </c>
      <c r="C21029" s="2">
        <v>2.9997260635400299E-3</v>
      </c>
      <c r="D21029" s="2">
        <v>9.3345158992104904E-4</v>
      </c>
      <c r="E21029" s="2">
        <v>9.2114703635984903E-4</v>
      </c>
      <c r="F21029" s="2">
        <v>2.6619289109424799E-3</v>
      </c>
    </row>
    <row r="21030" spans="1:6" x14ac:dyDescent="0.25">
      <c r="A21030" s="1" t="str">
        <f t="shared" si="782"/>
        <v>33100</v>
      </c>
      <c r="B21030" s="1" t="str">
        <f>"33487"</f>
        <v>33487</v>
      </c>
      <c r="C21030" s="2">
        <v>4.8615889915831498E-3</v>
      </c>
      <c r="D21030" s="2">
        <v>6.8889308925948996E-3</v>
      </c>
      <c r="E21030" s="2">
        <v>6.1193788043604003E-3</v>
      </c>
      <c r="F21030" s="2">
        <v>5.1438324260694203E-3</v>
      </c>
    </row>
    <row r="21031" spans="1:6" x14ac:dyDescent="0.25">
      <c r="A21031" s="1" t="str">
        <f t="shared" si="782"/>
        <v>33100</v>
      </c>
      <c r="B21031" s="1" t="str">
        <f>"33311"</f>
        <v>33311</v>
      </c>
      <c r="C21031" s="2">
        <v>1.0445437391595799E-2</v>
      </c>
      <c r="D21031" s="2">
        <v>1.08524652136615E-2</v>
      </c>
      <c r="E21031" s="2">
        <v>1.1951767074779501E-2</v>
      </c>
      <c r="F21031" s="2">
        <v>1.0581007204220101E-2</v>
      </c>
    </row>
    <row r="21032" spans="1:6" x14ac:dyDescent="0.25">
      <c r="A21032" s="1" t="str">
        <f t="shared" si="782"/>
        <v>33100</v>
      </c>
      <c r="B21032" s="1" t="str">
        <f>"33406"</f>
        <v>33406</v>
      </c>
      <c r="C21032" s="2">
        <v>3.44630862788464E-3</v>
      </c>
      <c r="D21032" s="2">
        <v>3.9489945766753402E-3</v>
      </c>
      <c r="E21032" s="2">
        <v>5.14731409262388E-3</v>
      </c>
      <c r="F21032" s="2">
        <v>3.6037122518351298E-3</v>
      </c>
    </row>
    <row r="21033" spans="1:6" x14ac:dyDescent="0.25">
      <c r="A21033" s="1" t="str">
        <f t="shared" si="782"/>
        <v>33100</v>
      </c>
      <c r="B21033" s="1" t="str">
        <f>"33464"</f>
        <v>33464</v>
      </c>
      <c r="C21033" s="2">
        <v>0</v>
      </c>
      <c r="D21033" s="2">
        <v>5.8158977565174401E-6</v>
      </c>
      <c r="E21033" s="2">
        <v>0</v>
      </c>
      <c r="F21033" s="2">
        <v>5.82606458949985E-7</v>
      </c>
    </row>
    <row r="21034" spans="1:6" x14ac:dyDescent="0.25">
      <c r="A21034" s="1" t="str">
        <f t="shared" si="782"/>
        <v>33100</v>
      </c>
      <c r="B21034" s="1" t="str">
        <f>"33394"</f>
        <v>33394</v>
      </c>
      <c r="C21034" s="2">
        <v>0</v>
      </c>
      <c r="D21034" s="2">
        <v>4.71087718277912E-4</v>
      </c>
      <c r="E21034" s="2">
        <v>9.2577591593954602E-5</v>
      </c>
      <c r="F21034" s="2">
        <v>5.3017187764448701E-5</v>
      </c>
    </row>
    <row r="21035" spans="1:6" x14ac:dyDescent="0.25">
      <c r="A21035" s="1" t="str">
        <f t="shared" si="782"/>
        <v>33100</v>
      </c>
      <c r="B21035" s="1" t="str">
        <f>"33257"</f>
        <v>33257</v>
      </c>
      <c r="C21035" s="2">
        <v>3.3276144311258601E-4</v>
      </c>
      <c r="D21035" s="2">
        <v>4.21652587347514E-4</v>
      </c>
      <c r="E21035" s="2">
        <v>4.6288795796977303E-6</v>
      </c>
      <c r="F21035" s="2">
        <v>3.21016158881442E-4</v>
      </c>
    </row>
    <row r="21036" spans="1:6" x14ac:dyDescent="0.25">
      <c r="A21036" s="1" t="str">
        <f t="shared" si="782"/>
        <v>33100</v>
      </c>
      <c r="B21036" s="1" t="str">
        <f>"33243"</f>
        <v>33243</v>
      </c>
      <c r="C21036" s="2">
        <v>5.1097677666242297E-4</v>
      </c>
      <c r="D21036" s="2">
        <v>9.2763569216453099E-4</v>
      </c>
      <c r="E21036" s="2">
        <v>9.2577591593954605E-6</v>
      </c>
      <c r="F21036" s="2">
        <v>5.2114147753076203E-4</v>
      </c>
    </row>
    <row r="21037" spans="1:6" x14ac:dyDescent="0.25">
      <c r="A21037" s="1" t="str">
        <f t="shared" si="782"/>
        <v>33100</v>
      </c>
      <c r="B21037" s="1" t="str">
        <f>"33153"</f>
        <v>33153</v>
      </c>
      <c r="C21037" s="2">
        <v>2.8020184278831803E-4</v>
      </c>
      <c r="D21037" s="2">
        <v>8.5202902132980503E-4</v>
      </c>
      <c r="E21037" s="2">
        <v>9.2577591593954605E-6</v>
      </c>
      <c r="F21037" s="2">
        <v>3.2043355242249199E-4</v>
      </c>
    </row>
    <row r="21038" spans="1:6" x14ac:dyDescent="0.25">
      <c r="A21038" s="1" t="str">
        <f t="shared" si="782"/>
        <v>33100</v>
      </c>
      <c r="B21038" s="1" t="str">
        <f>"33461"</f>
        <v>33461</v>
      </c>
      <c r="C21038" s="2">
        <v>7.2017094748947803E-3</v>
      </c>
      <c r="D21038" s="2">
        <v>5.9467554560390804E-3</v>
      </c>
      <c r="E21038" s="2">
        <v>6.4387714953595401E-3</v>
      </c>
      <c r="F21038" s="2">
        <v>7.0279817143136698E-3</v>
      </c>
    </row>
    <row r="21039" spans="1:6" x14ac:dyDescent="0.25">
      <c r="A21039" s="1" t="str">
        <f t="shared" si="782"/>
        <v>33100</v>
      </c>
      <c r="B21039" s="1" t="str">
        <f>"33467"</f>
        <v>33467</v>
      </c>
      <c r="C21039" s="2">
        <v>8.7482148009922905E-3</v>
      </c>
      <c r="D21039" s="2">
        <v>2.8265263096674698E-3</v>
      </c>
      <c r="E21039" s="2">
        <v>5.2630360821163203E-3</v>
      </c>
      <c r="F21039" s="2">
        <v>7.9356825773577496E-3</v>
      </c>
    </row>
    <row r="21040" spans="1:6" x14ac:dyDescent="0.25">
      <c r="A21040" s="1" t="str">
        <f t="shared" si="782"/>
        <v>33100</v>
      </c>
      <c r="B21040" s="1" t="str">
        <f>"33469"</f>
        <v>33469</v>
      </c>
      <c r="C21040" s="2">
        <v>2.4048627724527799E-3</v>
      </c>
      <c r="D21040" s="2">
        <v>3.64075199557991E-3</v>
      </c>
      <c r="E21040" s="2">
        <v>2.40701738144282E-3</v>
      </c>
      <c r="F21040" s="2">
        <v>2.52880333507241E-3</v>
      </c>
    </row>
    <row r="21041" spans="1:6" x14ac:dyDescent="0.25">
      <c r="A21041" s="1" t="str">
        <f t="shared" si="782"/>
        <v>33100</v>
      </c>
      <c r="B21041" s="1" t="str">
        <f>"33470"</f>
        <v>33470</v>
      </c>
      <c r="C21041" s="2">
        <v>4.0282930765083297E-3</v>
      </c>
      <c r="D21041" s="2">
        <v>1.8901667708681601E-3</v>
      </c>
      <c r="E21041" s="2">
        <v>5.1843451292614602E-4</v>
      </c>
      <c r="F21041" s="2">
        <v>3.5932253355740302E-3</v>
      </c>
    </row>
    <row r="21042" spans="1:6" x14ac:dyDescent="0.25">
      <c r="A21042" s="1" t="str">
        <f t="shared" si="782"/>
        <v>33100</v>
      </c>
      <c r="B21042" s="1" t="str">
        <f>"33478"</f>
        <v>33478</v>
      </c>
      <c r="C21042" s="2">
        <v>1.9297379085943299E-3</v>
      </c>
      <c r="D21042" s="2">
        <v>7.9387004376462995E-4</v>
      </c>
      <c r="E21042" s="2">
        <v>1.3747772351702201E-3</v>
      </c>
      <c r="F21042" s="2">
        <v>1.7810279450101E-3</v>
      </c>
    </row>
    <row r="21043" spans="1:6" x14ac:dyDescent="0.25">
      <c r="A21043" s="1" t="str">
        <f t="shared" si="782"/>
        <v>33100</v>
      </c>
      <c r="B21043" s="1" t="str">
        <f>"33483"</f>
        <v>33483</v>
      </c>
      <c r="C21043" s="2">
        <v>3.69065855786899E-3</v>
      </c>
      <c r="D21043" s="2">
        <v>5.2721113162830504E-3</v>
      </c>
      <c r="E21043" s="2">
        <v>6.79056634341657E-3</v>
      </c>
      <c r="F21043" s="2">
        <v>4.0441627348013201E-3</v>
      </c>
    </row>
    <row r="21044" spans="1:6" x14ac:dyDescent="0.25">
      <c r="A21044" s="1" t="str">
        <f t="shared" si="782"/>
        <v>33100</v>
      </c>
      <c r="B21044" s="1" t="str">
        <f>"33477"</f>
        <v>33477</v>
      </c>
      <c r="C21044" s="2">
        <v>4.1452468891504104E-3</v>
      </c>
      <c r="D21044" s="2">
        <v>3.2045596638411002E-3</v>
      </c>
      <c r="E21044" s="2">
        <v>2.8236165436156101E-3</v>
      </c>
      <c r="F21044" s="2">
        <v>3.9678412886788696E-3</v>
      </c>
    </row>
    <row r="21045" spans="1:6" x14ac:dyDescent="0.25">
      <c r="A21045" s="1" t="str">
        <f t="shared" si="782"/>
        <v>33100</v>
      </c>
      <c r="B21045" s="1" t="str">
        <f>"33498"</f>
        <v>33498</v>
      </c>
      <c r="C21045" s="2">
        <v>2.0247628813660199E-3</v>
      </c>
      <c r="D21045" s="2">
        <v>1.0672172383209501E-3</v>
      </c>
      <c r="E21045" s="2">
        <v>8.9800263846136002E-4</v>
      </c>
      <c r="F21045" s="2">
        <v>1.8579319975915E-3</v>
      </c>
    </row>
    <row r="21046" spans="1:6" x14ac:dyDescent="0.25">
      <c r="A21046" s="1" t="str">
        <f t="shared" si="782"/>
        <v>33100</v>
      </c>
      <c r="B21046" s="1" t="str">
        <f>"33488"</f>
        <v>33488</v>
      </c>
      <c r="C21046" s="2">
        <v>2.1789609141054301E-4</v>
      </c>
      <c r="D21046" s="2">
        <v>7.9677799264288903E-4</v>
      </c>
      <c r="E21046" s="2">
        <v>9.2577591593954605E-6</v>
      </c>
      <c r="F21046" s="2">
        <v>2.6275551298644303E-4</v>
      </c>
    </row>
    <row r="21047" spans="1:6" x14ac:dyDescent="0.25">
      <c r="A21047" s="1" t="str">
        <f t="shared" si="782"/>
        <v>33100</v>
      </c>
      <c r="B21047" s="1" t="str">
        <f>"33196"</f>
        <v>33196</v>
      </c>
      <c r="C21047" s="2">
        <v>6.0857751792682598E-3</v>
      </c>
      <c r="D21047" s="2">
        <v>2.0820913968332402E-3</v>
      </c>
      <c r="E21047" s="2">
        <v>4.2076515379452402E-3</v>
      </c>
      <c r="F21047" s="2">
        <v>5.5665134120376301E-3</v>
      </c>
    </row>
    <row r="21048" spans="1:6" x14ac:dyDescent="0.25">
      <c r="A21048" s="1" t="str">
        <f t="shared" si="782"/>
        <v>33100</v>
      </c>
      <c r="B21048" s="1" t="str">
        <f>"33306"</f>
        <v>33306</v>
      </c>
      <c r="C21048" s="2">
        <v>8.2354976402131705E-4</v>
      </c>
      <c r="D21048" s="2">
        <v>2.6433255303371702E-3</v>
      </c>
      <c r="E21048" s="2">
        <v>1.7543453607054399E-3</v>
      </c>
      <c r="F21048" s="2">
        <v>1.06442200050162E-3</v>
      </c>
    </row>
    <row r="21049" spans="1:6" x14ac:dyDescent="0.25">
      <c r="A21049" s="1" t="str">
        <f t="shared" si="782"/>
        <v>33100</v>
      </c>
      <c r="B21049" s="1" t="str">
        <f>"33308"</f>
        <v>33308</v>
      </c>
      <c r="C21049" s="2">
        <v>8.8129570901334404E-3</v>
      </c>
      <c r="D21049" s="2">
        <v>7.4385332305858002E-3</v>
      </c>
      <c r="E21049" s="2">
        <v>9.7160182377855394E-3</v>
      </c>
      <c r="F21049" s="2">
        <v>8.7321056067423807E-3</v>
      </c>
    </row>
    <row r="21050" spans="1:6" x14ac:dyDescent="0.25">
      <c r="A21050" s="1" t="str">
        <f t="shared" si="782"/>
        <v>33100</v>
      </c>
      <c r="B21050" s="1" t="str">
        <f>"33184"</f>
        <v>33184</v>
      </c>
      <c r="C21050" s="2">
        <v>2.2976551108642002E-3</v>
      </c>
      <c r="D21050" s="2">
        <v>1.5383049565988599E-3</v>
      </c>
      <c r="E21050" s="2">
        <v>1.1896220519823099E-3</v>
      </c>
      <c r="F21050" s="2">
        <v>2.1518569561317698E-3</v>
      </c>
    </row>
    <row r="21051" spans="1:6" x14ac:dyDescent="0.25">
      <c r="A21051" s="1" t="str">
        <f t="shared" si="782"/>
        <v>33100</v>
      </c>
      <c r="B21051" s="1" t="str">
        <f>"33233"</f>
        <v>33233</v>
      </c>
      <c r="C21051" s="2">
        <v>4.6329025186490799E-4</v>
      </c>
      <c r="D21051" s="2">
        <v>9.2181979440801403E-4</v>
      </c>
      <c r="E21051" s="2">
        <v>9.2577591593954605E-6</v>
      </c>
      <c r="F21051" s="2">
        <v>4.8065032863373801E-4</v>
      </c>
    </row>
    <row r="21052" spans="1:6" x14ac:dyDescent="0.25">
      <c r="A21052" s="1" t="str">
        <f t="shared" si="782"/>
        <v>33100</v>
      </c>
      <c r="B21052" s="1" t="str">
        <f>"33141"</f>
        <v>33141</v>
      </c>
      <c r="C21052" s="2">
        <v>8.7374244194687693E-3</v>
      </c>
      <c r="D21052" s="2">
        <v>3.3470491588757801E-3</v>
      </c>
      <c r="E21052" s="2">
        <v>1.43217534195847E-2</v>
      </c>
      <c r="F21052" s="2">
        <v>8.5488758754026107E-3</v>
      </c>
    </row>
    <row r="21053" spans="1:6" x14ac:dyDescent="0.25">
      <c r="A21053" s="1" t="str">
        <f t="shared" si="782"/>
        <v>33100</v>
      </c>
      <c r="B21053" s="1" t="str">
        <f>"33143"</f>
        <v>33143</v>
      </c>
      <c r="C21053" s="2">
        <v>5.4254734453931799E-3</v>
      </c>
      <c r="D21053" s="2">
        <v>5.4698518400046496E-3</v>
      </c>
      <c r="E21053" s="2">
        <v>6.7998241025759697E-3</v>
      </c>
      <c r="F21053" s="2">
        <v>5.5164092565679404E-3</v>
      </c>
    </row>
    <row r="21054" spans="1:6" x14ac:dyDescent="0.25">
      <c r="A21054" s="1" t="str">
        <f t="shared" si="782"/>
        <v>33100</v>
      </c>
      <c r="B21054" s="1" t="str">
        <f>"33147"</f>
        <v>33147</v>
      </c>
      <c r="C21054" s="2">
        <v>5.6593810706773396E-3</v>
      </c>
      <c r="D21054" s="2">
        <v>5.1005423324657897E-3</v>
      </c>
      <c r="E21054" s="2">
        <v>4.5594463860022597E-3</v>
      </c>
      <c r="F21054" s="2">
        <v>5.53417875356591E-3</v>
      </c>
    </row>
    <row r="21055" spans="1:6" x14ac:dyDescent="0.25">
      <c r="A21055" s="1" t="str">
        <f t="shared" si="782"/>
        <v>33100</v>
      </c>
      <c r="B21055" s="1" t="str">
        <f>"33165"</f>
        <v>33165</v>
      </c>
      <c r="C21055" s="2">
        <v>6.2086462979071104E-3</v>
      </c>
      <c r="D21055" s="2">
        <v>4.2281576689881702E-3</v>
      </c>
      <c r="E21055" s="2">
        <v>2.11539796792186E-3</v>
      </c>
      <c r="F21055" s="2">
        <v>5.7526561756721601E-3</v>
      </c>
    </row>
    <row r="21056" spans="1:6" x14ac:dyDescent="0.25">
      <c r="A21056" s="1" t="str">
        <f t="shared" si="782"/>
        <v>33100</v>
      </c>
      <c r="B21056" s="1" t="str">
        <f>"33168"</f>
        <v>33168</v>
      </c>
      <c r="C21056" s="2">
        <v>2.8747664839611402E-3</v>
      </c>
      <c r="D21056" s="2">
        <v>2.7712752809805601E-3</v>
      </c>
      <c r="E21056" s="2">
        <v>4.3974356007128398E-4</v>
      </c>
      <c r="F21056" s="2">
        <v>2.7111591567237502E-3</v>
      </c>
    </row>
    <row r="21057" spans="1:6" x14ac:dyDescent="0.25">
      <c r="A21057" s="1" t="str">
        <f t="shared" si="782"/>
        <v>33100</v>
      </c>
      <c r="B21057" s="1" t="str">
        <f>"33081"</f>
        <v>33081</v>
      </c>
      <c r="C21057" s="2">
        <v>5.5274599546316599E-4</v>
      </c>
      <c r="D21057" s="2">
        <v>1.0672172383209501E-3</v>
      </c>
      <c r="E21057" s="2">
        <v>1.38866387390932E-5</v>
      </c>
      <c r="F21057" s="2">
        <v>5.7037172331203599E-4</v>
      </c>
    </row>
    <row r="21058" spans="1:6" x14ac:dyDescent="0.25">
      <c r="A21058" s="1" t="str">
        <f t="shared" si="782"/>
        <v>33100</v>
      </c>
      <c r="B21058" s="1" t="str">
        <f>"33137"</f>
        <v>33137</v>
      </c>
      <c r="C21058" s="2">
        <v>5.6639060693807596E-3</v>
      </c>
      <c r="D21058" s="2">
        <v>6.8133242217601796E-3</v>
      </c>
      <c r="E21058" s="2">
        <v>6.3508227833452896E-3</v>
      </c>
      <c r="F21058" s="2">
        <v>5.8222776475166799E-3</v>
      </c>
    </row>
    <row r="21059" spans="1:6" x14ac:dyDescent="0.25">
      <c r="A21059" s="1" t="str">
        <f t="shared" si="782"/>
        <v>33100</v>
      </c>
      <c r="B21059" s="1" t="str">
        <f>"33114"</f>
        <v>33114</v>
      </c>
      <c r="C21059" s="2">
        <v>7.7760362334049996E-4</v>
      </c>
      <c r="D21059" s="2">
        <v>2.14606627215493E-3</v>
      </c>
      <c r="E21059" s="2">
        <v>9.2577591593954605E-6</v>
      </c>
      <c r="F21059" s="2">
        <v>8.6633580445862805E-4</v>
      </c>
    </row>
    <row r="21060" spans="1:6" x14ac:dyDescent="0.25">
      <c r="A21060" s="1" t="str">
        <f t="shared" si="782"/>
        <v>33100</v>
      </c>
      <c r="B21060" s="1" t="str">
        <f>"33414"</f>
        <v>33414</v>
      </c>
      <c r="C21060" s="2">
        <v>8.2518572509101308E-3</v>
      </c>
      <c r="D21060" s="2">
        <v>6.2869854747953499E-3</v>
      </c>
      <c r="E21060" s="2">
        <v>4.9390145115374802E-3</v>
      </c>
      <c r="F21060" s="2">
        <v>7.8465437891383997E-3</v>
      </c>
    </row>
    <row r="21061" spans="1:6" x14ac:dyDescent="0.25">
      <c r="A21061" s="1" t="str">
        <f t="shared" si="782"/>
        <v>33100</v>
      </c>
      <c r="B21061" s="1" t="str">
        <f>"33417"</f>
        <v>33417</v>
      </c>
      <c r="C21061" s="2">
        <v>6.6385211747314304E-3</v>
      </c>
      <c r="D21061" s="2">
        <v>1.3899995638076599E-3</v>
      </c>
      <c r="E21061" s="2">
        <v>5.0084477052329398E-3</v>
      </c>
      <c r="F21061" s="2">
        <v>6.0101682305280504E-3</v>
      </c>
    </row>
    <row r="21062" spans="1:6" x14ac:dyDescent="0.25">
      <c r="A21062" s="1" t="str">
        <f t="shared" si="782"/>
        <v>33100</v>
      </c>
      <c r="B21062" s="1" t="str">
        <f>"33428"</f>
        <v>33428</v>
      </c>
      <c r="C21062" s="2">
        <v>5.8689233183277399E-3</v>
      </c>
      <c r="D21062" s="2">
        <v>1.6488070139726899E-3</v>
      </c>
      <c r="E21062" s="2">
        <v>4.9204989932186902E-3</v>
      </c>
      <c r="F21062" s="2">
        <v>5.3864880162220897E-3</v>
      </c>
    </row>
    <row r="21063" spans="1:6" x14ac:dyDescent="0.25">
      <c r="A21063" s="1" t="str">
        <f t="shared" si="782"/>
        <v>33100</v>
      </c>
      <c r="B21063" s="1" t="str">
        <f>"33431"</f>
        <v>33431</v>
      </c>
      <c r="C21063" s="2">
        <v>3.7599258457135499E-3</v>
      </c>
      <c r="D21063" s="2">
        <v>1.41704348837547E-2</v>
      </c>
      <c r="E21063" s="2">
        <v>5.6842641238688098E-3</v>
      </c>
      <c r="F21063" s="2">
        <v>4.9238984878158002E-3</v>
      </c>
    </row>
    <row r="21064" spans="1:6" x14ac:dyDescent="0.25">
      <c r="A21064" s="1" t="str">
        <f t="shared" si="782"/>
        <v>33100</v>
      </c>
      <c r="B21064" s="1" t="str">
        <f>"33434"</f>
        <v>33434</v>
      </c>
      <c r="C21064" s="2">
        <v>4.8069409303188402E-3</v>
      </c>
      <c r="D21064" s="2">
        <v>2.53282347296334E-3</v>
      </c>
      <c r="E21064" s="2">
        <v>3.5549795172078501E-3</v>
      </c>
      <c r="F21064" s="2">
        <v>4.5003435921591598E-3</v>
      </c>
    </row>
    <row r="21065" spans="1:6" x14ac:dyDescent="0.25">
      <c r="A21065" s="1" t="str">
        <f t="shared" si="782"/>
        <v>33100</v>
      </c>
      <c r="B21065" s="1" t="str">
        <f>"33436"</f>
        <v>33436</v>
      </c>
      <c r="C21065" s="2">
        <v>7.8028381488021402E-3</v>
      </c>
      <c r="D21065" s="2">
        <v>1.6749785538770199E-3</v>
      </c>
      <c r="E21065" s="2">
        <v>1.4224546948411101E-2</v>
      </c>
      <c r="F21065" s="2">
        <v>7.5931099794951601E-3</v>
      </c>
    </row>
    <row r="21066" spans="1:6" x14ac:dyDescent="0.25">
      <c r="A21066" s="1" t="str">
        <f t="shared" si="782"/>
        <v>33100</v>
      </c>
      <c r="B21066" s="1" t="str">
        <f>"33424"</f>
        <v>33424</v>
      </c>
      <c r="C21066" s="2">
        <v>3.3136913581922802E-4</v>
      </c>
      <c r="D21066" s="2">
        <v>8.7238466347761597E-4</v>
      </c>
      <c r="E21066" s="2">
        <v>9.2577591593954605E-6</v>
      </c>
      <c r="F21066" s="2">
        <v>3.6529424976164101E-4</v>
      </c>
    </row>
    <row r="21067" spans="1:6" x14ac:dyDescent="0.25">
      <c r="A21067" s="1" t="str">
        <f t="shared" si="782"/>
        <v>33100</v>
      </c>
      <c r="B21067" s="1" t="str">
        <f>"33321"</f>
        <v>33321</v>
      </c>
      <c r="C21067" s="2">
        <v>9.3942453851104495E-3</v>
      </c>
      <c r="D21067" s="2">
        <v>3.6000407112842898E-3</v>
      </c>
      <c r="E21067" s="2">
        <v>4.08730066887309E-3</v>
      </c>
      <c r="F21067" s="2">
        <v>8.4798370100170398E-3</v>
      </c>
    </row>
    <row r="21068" spans="1:6" x14ac:dyDescent="0.25">
      <c r="A21068" s="1" t="str">
        <f t="shared" si="782"/>
        <v>33100</v>
      </c>
      <c r="B21068" s="1" t="str">
        <f>"33359"</f>
        <v>33359</v>
      </c>
      <c r="C21068" s="2">
        <v>1.78563410373176E-4</v>
      </c>
      <c r="D21068" s="2">
        <v>4.3619233173880799E-4</v>
      </c>
      <c r="E21068" s="2">
        <v>9.2577591593954605E-6</v>
      </c>
      <c r="F21068" s="2">
        <v>1.9371664760087001E-4</v>
      </c>
    </row>
    <row r="21069" spans="1:6" x14ac:dyDescent="0.25">
      <c r="A21069" s="1" t="str">
        <f t="shared" si="782"/>
        <v>33100</v>
      </c>
      <c r="B21069" s="1" t="str">
        <f>"33403"</f>
        <v>33403</v>
      </c>
      <c r="C21069" s="2">
        <v>2.43027238055656E-3</v>
      </c>
      <c r="D21069" s="2">
        <v>5.4582200444916098E-3</v>
      </c>
      <c r="E21069" s="2">
        <v>4.5594463860022597E-3</v>
      </c>
      <c r="F21069" s="2">
        <v>2.86758899095183E-3</v>
      </c>
    </row>
    <row r="21070" spans="1:6" x14ac:dyDescent="0.25">
      <c r="A21070" s="1" t="str">
        <f t="shared" si="782"/>
        <v>33100</v>
      </c>
      <c r="B21070" s="1" t="str">
        <f>"33405"</f>
        <v>33405</v>
      </c>
      <c r="C21070" s="2">
        <v>3.3815663387434902E-3</v>
      </c>
      <c r="D21070" s="2">
        <v>4.6149148697965797E-3</v>
      </c>
      <c r="E21070" s="2">
        <v>4.4252088781910302E-3</v>
      </c>
      <c r="F21070" s="2">
        <v>3.57079498690446E-3</v>
      </c>
    </row>
    <row r="21071" spans="1:6" x14ac:dyDescent="0.25">
      <c r="A21071" s="1" t="str">
        <f t="shared" si="782"/>
        <v>33100</v>
      </c>
      <c r="B21071" s="1" t="str">
        <f>"33449"</f>
        <v>33449</v>
      </c>
      <c r="C21071" s="2">
        <v>1.3376592320937901E-3</v>
      </c>
      <c r="D21071" s="2">
        <v>6.4847259985169401E-4</v>
      </c>
      <c r="E21071" s="2">
        <v>4.7214571712916799E-4</v>
      </c>
      <c r="F21071" s="2">
        <v>1.2141518604517701E-3</v>
      </c>
    </row>
    <row r="21072" spans="1:6" x14ac:dyDescent="0.25">
      <c r="A21072" s="1" t="str">
        <f t="shared" si="782"/>
        <v>33100</v>
      </c>
      <c r="B21072" s="1" t="str">
        <f>"33186"</f>
        <v>33186</v>
      </c>
      <c r="C21072" s="2">
        <v>9.2790319565850699E-3</v>
      </c>
      <c r="D21072" s="2">
        <v>1.9035433357081501E-2</v>
      </c>
      <c r="E21072" s="2">
        <v>8.0588793482537502E-3</v>
      </c>
      <c r="F21072" s="2">
        <v>1.0179591354003601E-2</v>
      </c>
    </row>
    <row r="21073" spans="1:6" x14ac:dyDescent="0.25">
      <c r="A21073" s="1" t="str">
        <f t="shared" si="782"/>
        <v>33100</v>
      </c>
      <c r="B21073" s="1" t="str">
        <f>"33190"</f>
        <v>33190</v>
      </c>
      <c r="C21073" s="2">
        <v>1.82044178606571E-3</v>
      </c>
      <c r="D21073" s="2">
        <v>5.2343079808656899E-5</v>
      </c>
      <c r="E21073" s="2">
        <v>1.50438586340176E-3</v>
      </c>
      <c r="F21073" s="2">
        <v>1.62343289786413E-3</v>
      </c>
    </row>
    <row r="21074" spans="1:6" x14ac:dyDescent="0.25">
      <c r="A21074" s="1" t="str">
        <f t="shared" si="782"/>
        <v>33100</v>
      </c>
      <c r="B21074" s="1" t="str">
        <f>"33173"</f>
        <v>33173</v>
      </c>
      <c r="C21074" s="2">
        <v>4.4898429442565401E-3</v>
      </c>
      <c r="D21074" s="2">
        <v>4.2601451066490202E-3</v>
      </c>
      <c r="E21074" s="2">
        <v>4.2631980929016102E-3</v>
      </c>
      <c r="F21074" s="2">
        <v>4.4525698625252604E-3</v>
      </c>
    </row>
    <row r="21075" spans="1:6" x14ac:dyDescent="0.25">
      <c r="A21075" s="1" t="str">
        <f t="shared" si="782"/>
        <v>33100</v>
      </c>
      <c r="B21075" s="1" t="str">
        <f>"33303"</f>
        <v>33303</v>
      </c>
      <c r="C21075" s="2">
        <v>2.55488388331211E-4</v>
      </c>
      <c r="D21075" s="2">
        <v>4.6817976939965298E-4</v>
      </c>
      <c r="E21075" s="2">
        <v>4.6288795796977303E-6</v>
      </c>
      <c r="F21075" s="2">
        <v>2.61007693609593E-4</v>
      </c>
    </row>
    <row r="21076" spans="1:6" x14ac:dyDescent="0.25">
      <c r="A21076" s="1" t="str">
        <f t="shared" si="782"/>
        <v>33100</v>
      </c>
      <c r="B21076" s="1" t="str">
        <f>"33283"</f>
        <v>33283</v>
      </c>
      <c r="C21076" s="2">
        <v>1.1434323646703399E-3</v>
      </c>
      <c r="D21076" s="2">
        <v>1.34638033063378E-3</v>
      </c>
      <c r="E21076" s="2">
        <v>2.31443978984886E-5</v>
      </c>
      <c r="F21076" s="2">
        <v>1.0932610202196401E-3</v>
      </c>
    </row>
    <row r="21077" spans="1:6" x14ac:dyDescent="0.25">
      <c r="A21077" s="1" t="str">
        <f t="shared" si="782"/>
        <v>33100</v>
      </c>
      <c r="B21077" s="1" t="str">
        <f>"33139"</f>
        <v>33139</v>
      </c>
      <c r="C21077" s="2">
        <v>1.1092860283007299E-2</v>
      </c>
      <c r="D21077" s="2">
        <v>1.01254779940968E-2</v>
      </c>
      <c r="E21077" s="2">
        <v>2.0413358946467001E-2</v>
      </c>
      <c r="F21077" s="2">
        <v>1.1582507707155101E-2</v>
      </c>
    </row>
    <row r="21078" spans="1:6" x14ac:dyDescent="0.25">
      <c r="A21078" s="1" t="str">
        <f t="shared" si="782"/>
        <v>33100</v>
      </c>
      <c r="B21078" s="1" t="str">
        <f>"33146"</f>
        <v>33146</v>
      </c>
      <c r="C21078" s="2">
        <v>2.0825436340403802E-3</v>
      </c>
      <c r="D21078" s="2">
        <v>4.4491617837358402E-3</v>
      </c>
      <c r="E21078" s="2">
        <v>2.1385423658203499E-3</v>
      </c>
      <c r="F21078" s="2">
        <v>2.3231432550630598E-3</v>
      </c>
    </row>
    <row r="21079" spans="1:6" x14ac:dyDescent="0.25">
      <c r="A21079" s="1" t="str">
        <f t="shared" si="782"/>
        <v>33100</v>
      </c>
      <c r="B21079" s="1" t="str">
        <f>"33152"</f>
        <v>33152</v>
      </c>
      <c r="C21079" s="2">
        <v>9.3040934878655095E-4</v>
      </c>
      <c r="D21079" s="2">
        <v>2.8236183607892101E-3</v>
      </c>
      <c r="E21079" s="2">
        <v>2.31443978984886E-5</v>
      </c>
      <c r="F21079" s="2">
        <v>1.06296548435424E-3</v>
      </c>
    </row>
    <row r="21080" spans="1:6" x14ac:dyDescent="0.25">
      <c r="A21080" s="1" t="str">
        <f t="shared" si="782"/>
        <v>33100</v>
      </c>
      <c r="B21080" s="1" t="str">
        <f>"33063"</f>
        <v>33063</v>
      </c>
      <c r="C21080" s="2">
        <v>9.0405993325974893E-3</v>
      </c>
      <c r="D21080" s="2">
        <v>7.42690143507277E-3</v>
      </c>
      <c r="E21080" s="2">
        <v>8.8041289605850902E-3</v>
      </c>
      <c r="F21080" s="2">
        <v>8.8640659696945494E-3</v>
      </c>
    </row>
    <row r="21081" spans="1:6" x14ac:dyDescent="0.25">
      <c r="A21081" s="1" t="str">
        <f t="shared" si="782"/>
        <v>33100</v>
      </c>
      <c r="B21081" s="1" t="str">
        <f>"33056"</f>
        <v>33056</v>
      </c>
      <c r="C21081" s="2">
        <v>4.05265845414209E-3</v>
      </c>
      <c r="D21081" s="2">
        <v>1.7360454803204499E-3</v>
      </c>
      <c r="E21081" s="2">
        <v>1.3470039576920401E-3</v>
      </c>
      <c r="F21081" s="2">
        <v>3.6503207685511302E-3</v>
      </c>
    </row>
    <row r="21082" spans="1:6" x14ac:dyDescent="0.25">
      <c r="A21082" s="1" t="str">
        <f t="shared" si="782"/>
        <v>33100</v>
      </c>
      <c r="B21082" s="1" t="str">
        <f>"33134"</f>
        <v>33134</v>
      </c>
      <c r="C21082" s="2">
        <v>6.3022789633854501E-3</v>
      </c>
      <c r="D21082" s="2">
        <v>1.27484478822862E-2</v>
      </c>
      <c r="E21082" s="2">
        <v>1.24933459856041E-2</v>
      </c>
      <c r="F21082" s="2">
        <v>7.3376370472455904E-3</v>
      </c>
    </row>
    <row r="21083" spans="1:6" x14ac:dyDescent="0.25">
      <c r="A21083" s="1" t="str">
        <f t="shared" si="782"/>
        <v>33100</v>
      </c>
      <c r="B21083" s="1" t="str">
        <f>"33015"</f>
        <v>33015</v>
      </c>
      <c r="C21083" s="2">
        <v>8.3646341416721403E-3</v>
      </c>
      <c r="D21083" s="2">
        <v>3.4953545516669799E-3</v>
      </c>
      <c r="E21083" s="2">
        <v>8.3875297984122906E-3</v>
      </c>
      <c r="F21083" s="2">
        <v>7.8782958411511804E-3</v>
      </c>
    </row>
    <row r="21084" spans="1:6" x14ac:dyDescent="0.25">
      <c r="A21084" s="1" t="str">
        <f t="shared" si="782"/>
        <v>33100</v>
      </c>
      <c r="B21084" s="1" t="str">
        <f>"33012"</f>
        <v>33012</v>
      </c>
      <c r="C21084" s="2">
        <v>9.2508377338945697E-3</v>
      </c>
      <c r="D21084" s="2">
        <v>1.14980298646349E-2</v>
      </c>
      <c r="E21084" s="2">
        <v>7.3182586155021096E-3</v>
      </c>
      <c r="F21084" s="2">
        <v>9.3543293049009706E-3</v>
      </c>
    </row>
    <row r="21085" spans="1:6" x14ac:dyDescent="0.25">
      <c r="A21085" s="1" t="str">
        <f t="shared" si="782"/>
        <v>33100</v>
      </c>
      <c r="B21085" s="1" t="str">
        <f>"33024"</f>
        <v>33024</v>
      </c>
      <c r="C21085" s="2">
        <v>9.6500818502650004E-3</v>
      </c>
      <c r="D21085" s="2">
        <v>8.0811899326809801E-3</v>
      </c>
      <c r="E21085" s="2">
        <v>5.8833059457958203E-3</v>
      </c>
      <c r="F21085" s="2">
        <v>9.2558688133384196E-3</v>
      </c>
    </row>
    <row r="21086" spans="1:6" x14ac:dyDescent="0.25">
      <c r="A21086" s="1" t="str">
        <f t="shared" si="782"/>
        <v>33100</v>
      </c>
      <c r="B21086" s="1" t="str">
        <f>"33025"</f>
        <v>33025</v>
      </c>
      <c r="C21086" s="2">
        <v>1.04325585491322E-2</v>
      </c>
      <c r="D21086" s="2">
        <v>4.6759817962400202E-3</v>
      </c>
      <c r="E21086" s="2">
        <v>8.2810655680792405E-3</v>
      </c>
      <c r="F21086" s="2">
        <v>9.7204974643510297E-3</v>
      </c>
    </row>
    <row r="21087" spans="1:6" x14ac:dyDescent="0.25">
      <c r="A21087" s="1" t="str">
        <f t="shared" ref="A21087:A21111" si="783">"33100"</f>
        <v>33100</v>
      </c>
      <c r="B21087" s="1" t="str">
        <f>"33032"</f>
        <v>33032</v>
      </c>
      <c r="C21087" s="2">
        <v>6.2462385948277802E-3</v>
      </c>
      <c r="D21087" s="2">
        <v>2.4397691088590598E-3</v>
      </c>
      <c r="E21087" s="2">
        <v>3.0458027634411001E-3</v>
      </c>
      <c r="F21087" s="2">
        <v>5.6635173874528101E-3</v>
      </c>
    </row>
    <row r="21088" spans="1:6" x14ac:dyDescent="0.25">
      <c r="A21088" s="1" t="str">
        <f t="shared" si="783"/>
        <v>33100</v>
      </c>
      <c r="B21088" s="1" t="str">
        <f>"33016"</f>
        <v>33016</v>
      </c>
      <c r="C21088" s="2">
        <v>5.93714637570228E-3</v>
      </c>
      <c r="D21088" s="2">
        <v>1.26263140293993E-2</v>
      </c>
      <c r="E21088" s="2">
        <v>9.6512139236697696E-3</v>
      </c>
      <c r="F21088" s="2">
        <v>6.84096504099073E-3</v>
      </c>
    </row>
    <row r="21089" spans="1:6" x14ac:dyDescent="0.25">
      <c r="A21089" s="1" t="str">
        <f t="shared" si="783"/>
        <v>33100</v>
      </c>
      <c r="B21089" s="1" t="str">
        <f>"33033"</f>
        <v>33033</v>
      </c>
      <c r="C21089" s="2">
        <v>7.48748054685653E-3</v>
      </c>
      <c r="D21089" s="2">
        <v>2.3350829492417499E-3</v>
      </c>
      <c r="E21089" s="2">
        <v>4.3650334436549599E-3</v>
      </c>
      <c r="F21089" s="2">
        <v>6.7748392078999103E-3</v>
      </c>
    </row>
    <row r="21090" spans="1:6" x14ac:dyDescent="0.25">
      <c r="A21090" s="1" t="str">
        <f t="shared" si="783"/>
        <v>33100</v>
      </c>
      <c r="B21090" s="1" t="str">
        <f>"33034"</f>
        <v>33034</v>
      </c>
      <c r="C21090" s="2">
        <v>2.9085299358250702E-3</v>
      </c>
      <c r="D21090" s="2">
        <v>2.6985765590240899E-3</v>
      </c>
      <c r="E21090" s="2">
        <v>2.4671928159788899E-3</v>
      </c>
      <c r="F21090" s="2">
        <v>2.8597238037559999E-3</v>
      </c>
    </row>
    <row r="21091" spans="1:6" x14ac:dyDescent="0.25">
      <c r="A21091" s="1" t="str">
        <f t="shared" si="783"/>
        <v>33100</v>
      </c>
      <c r="B21091" s="1" t="str">
        <f>"33191"</f>
        <v>33191</v>
      </c>
      <c r="C21091" s="2">
        <v>0</v>
      </c>
      <c r="D21091" s="2">
        <v>3.1987437660845903E-5</v>
      </c>
      <c r="E21091" s="2">
        <v>4.6288795796977303E-6</v>
      </c>
      <c r="F21091" s="2">
        <v>3.49563875369991E-6</v>
      </c>
    </row>
    <row r="21092" spans="1:6" x14ac:dyDescent="0.25">
      <c r="A21092" s="1" t="str">
        <f t="shared" si="783"/>
        <v>33100</v>
      </c>
      <c r="B21092" s="1" t="str">
        <f>"33459"</f>
        <v>33459</v>
      </c>
      <c r="C21092" s="2">
        <v>0</v>
      </c>
      <c r="D21092" s="2">
        <v>2.9079488782587201E-6</v>
      </c>
      <c r="E21092" s="2">
        <v>0</v>
      </c>
      <c r="F21092" s="2">
        <v>2.9130322947499202E-7</v>
      </c>
    </row>
    <row r="21093" spans="1:6" x14ac:dyDescent="0.25">
      <c r="A21093" s="1" t="str">
        <f t="shared" si="783"/>
        <v>33100</v>
      </c>
      <c r="B21093" s="1" t="str">
        <f>"33192"</f>
        <v>33192</v>
      </c>
      <c r="C21093" s="2">
        <v>0</v>
      </c>
      <c r="D21093" s="2">
        <v>4.0711284295622E-5</v>
      </c>
      <c r="E21093" s="2">
        <v>4.6288795796977301E-5</v>
      </c>
      <c r="F21093" s="2">
        <v>6.9912775073998302E-6</v>
      </c>
    </row>
    <row r="21094" spans="1:6" x14ac:dyDescent="0.25">
      <c r="A21094" s="1" t="str">
        <f t="shared" si="783"/>
        <v>33100</v>
      </c>
      <c r="B21094" s="1" t="str">
        <f>"33199"</f>
        <v>33199</v>
      </c>
      <c r="C21094" s="2">
        <v>0</v>
      </c>
      <c r="D21094" s="2">
        <v>2.9079488782587201E-6</v>
      </c>
      <c r="E21094" s="2">
        <v>0</v>
      </c>
      <c r="F21094" s="2">
        <v>2.9130322947499202E-7</v>
      </c>
    </row>
    <row r="21095" spans="1:6" x14ac:dyDescent="0.25">
      <c r="A21095" s="1" t="str">
        <f t="shared" si="783"/>
        <v>33100</v>
      </c>
      <c r="B21095" s="1" t="str">
        <f>"33481"</f>
        <v>33481</v>
      </c>
      <c r="C21095" s="2">
        <v>4.37880643761123E-4</v>
      </c>
      <c r="D21095" s="2">
        <v>1.2562339154077601E-3</v>
      </c>
      <c r="E21095" s="2">
        <v>9.2577591593954605E-6</v>
      </c>
      <c r="F21095" s="2">
        <v>4.92885064271688E-4</v>
      </c>
    </row>
    <row r="21096" spans="1:6" x14ac:dyDescent="0.25">
      <c r="A21096" s="1" t="str">
        <f t="shared" si="783"/>
        <v>33100</v>
      </c>
      <c r="B21096" s="1" t="str">
        <f>"33335"</f>
        <v>33335</v>
      </c>
      <c r="C21096" s="2">
        <v>4.34399875527727E-4</v>
      </c>
      <c r="D21096" s="2">
        <v>8.4039722581677001E-4</v>
      </c>
      <c r="E21096" s="2">
        <v>9.2577591593954605E-6</v>
      </c>
      <c r="F21096" s="2">
        <v>4.4831567016201401E-4</v>
      </c>
    </row>
    <row r="21097" spans="1:6" x14ac:dyDescent="0.25">
      <c r="A21097" s="1" t="str">
        <f t="shared" si="783"/>
        <v>33100</v>
      </c>
      <c r="B21097" s="1" t="str">
        <f>"33482"</f>
        <v>33482</v>
      </c>
      <c r="C21097" s="2">
        <v>5.0714793160568799E-4</v>
      </c>
      <c r="D21097" s="2">
        <v>1.14863980691219E-3</v>
      </c>
      <c r="E21097" s="2">
        <v>9.2577591593954605E-6</v>
      </c>
      <c r="F21097" s="2">
        <v>5.4007618744663602E-4</v>
      </c>
    </row>
    <row r="21098" spans="1:6" x14ac:dyDescent="0.25">
      <c r="A21098" s="1" t="str">
        <f t="shared" si="783"/>
        <v>33100</v>
      </c>
      <c r="B21098" s="1" t="str">
        <f>"33468"</f>
        <v>33468</v>
      </c>
      <c r="C21098" s="2">
        <v>9.7113433711727595E-4</v>
      </c>
      <c r="D21098" s="2">
        <v>2.51828372857205E-3</v>
      </c>
      <c r="E21098" s="2">
        <v>9.2577591593954605E-6</v>
      </c>
      <c r="F21098" s="2">
        <v>1.0655872134195199E-3</v>
      </c>
    </row>
    <row r="21099" spans="1:6" x14ac:dyDescent="0.25">
      <c r="A21099" s="1" t="str">
        <f t="shared" si="783"/>
        <v>33100</v>
      </c>
      <c r="B21099" s="1" t="str">
        <f>"33496"</f>
        <v>33496</v>
      </c>
      <c r="C21099" s="2">
        <v>4.2159064842883301E-3</v>
      </c>
      <c r="D21099" s="2">
        <v>8.4039722581677001E-4</v>
      </c>
      <c r="E21099" s="2">
        <v>5.0177054643923396E-3</v>
      </c>
      <c r="F21099" s="2">
        <v>3.92822404947027E-3</v>
      </c>
    </row>
    <row r="21100" spans="1:6" x14ac:dyDescent="0.25">
      <c r="A21100" s="1" t="str">
        <f t="shared" si="783"/>
        <v>33100</v>
      </c>
      <c r="B21100" s="1" t="str">
        <f>"33493"</f>
        <v>33493</v>
      </c>
      <c r="C21100" s="2">
        <v>4.86611399028656E-4</v>
      </c>
      <c r="D21100" s="2">
        <v>3.8384925193015102E-4</v>
      </c>
      <c r="E21100" s="2">
        <v>5.8323882704191404E-4</v>
      </c>
      <c r="F21100" s="2">
        <v>4.8239814801058798E-4</v>
      </c>
    </row>
    <row r="21101" spans="1:6" x14ac:dyDescent="0.25">
      <c r="A21101" s="1" t="str">
        <f t="shared" si="783"/>
        <v>33100</v>
      </c>
      <c r="B21101" s="1" t="str">
        <f>"33176"</f>
        <v>33176</v>
      </c>
      <c r="C21101" s="2">
        <v>7.0433345202753003E-3</v>
      </c>
      <c r="D21101" s="2">
        <v>6.5079895895430104E-3</v>
      </c>
      <c r="E21101" s="2">
        <v>8.4801073900062397E-3</v>
      </c>
      <c r="F21101" s="2">
        <v>7.0801249923897001E-3</v>
      </c>
    </row>
    <row r="21102" spans="1:6" x14ac:dyDescent="0.25">
      <c r="A21102" s="1" t="str">
        <f t="shared" si="783"/>
        <v>33100</v>
      </c>
      <c r="B21102" s="1" t="str">
        <f>"33177"</f>
        <v>33177</v>
      </c>
      <c r="C21102" s="2">
        <v>6.2037732223803599E-3</v>
      </c>
      <c r="D21102" s="2">
        <v>2.9631999069456298E-3</v>
      </c>
      <c r="E21102" s="2">
        <v>1.25905524567778E-3</v>
      </c>
      <c r="F21102" s="2">
        <v>5.5679699281850096E-3</v>
      </c>
    </row>
    <row r="21103" spans="1:6" x14ac:dyDescent="0.25">
      <c r="A21103" s="1" t="str">
        <f t="shared" si="783"/>
        <v>33100</v>
      </c>
      <c r="B21103" s="1" t="str">
        <f>"33180"</f>
        <v>33180</v>
      </c>
      <c r="C21103" s="2">
        <v>7.3684382732744098E-3</v>
      </c>
      <c r="D21103" s="2">
        <v>7.9706878753071503E-3</v>
      </c>
      <c r="E21103" s="2">
        <v>9.4799453792209498E-3</v>
      </c>
      <c r="F21103" s="2">
        <v>7.5616492307118604E-3</v>
      </c>
    </row>
    <row r="21104" spans="1:6" x14ac:dyDescent="0.25">
      <c r="A21104" s="1" t="str">
        <f t="shared" si="783"/>
        <v>33100</v>
      </c>
      <c r="B21104" s="1" t="str">
        <f>"33197"</f>
        <v>33197</v>
      </c>
      <c r="C21104" s="2">
        <v>7.0102672220580405E-4</v>
      </c>
      <c r="D21104" s="2">
        <v>1.05849339168617E-3</v>
      </c>
      <c r="E21104" s="2">
        <v>9.2577591593954605E-6</v>
      </c>
      <c r="F21104" s="2">
        <v>6.9330168615048301E-4</v>
      </c>
    </row>
    <row r="21105" spans="1:6" x14ac:dyDescent="0.25">
      <c r="A21105" s="1" t="str">
        <f t="shared" si="783"/>
        <v>33100</v>
      </c>
      <c r="B21105" s="1" t="str">
        <f>"33256"</f>
        <v>33256</v>
      </c>
      <c r="C21105" s="2">
        <v>9.3040934878655095E-4</v>
      </c>
      <c r="D21105" s="2">
        <v>2.1373424255201499E-3</v>
      </c>
      <c r="E21105" s="2">
        <v>2.31443978984886E-5</v>
      </c>
      <c r="F21105" s="2">
        <v>9.9421792219815002E-4</v>
      </c>
    </row>
    <row r="21106" spans="1:6" x14ac:dyDescent="0.25">
      <c r="A21106" s="1" t="str">
        <f t="shared" si="783"/>
        <v>33100</v>
      </c>
      <c r="B21106" s="1" t="str">
        <f>"33265"</f>
        <v>33265</v>
      </c>
      <c r="C21106" s="2">
        <v>7.2852479124962705E-4</v>
      </c>
      <c r="D21106" s="2">
        <v>1.48305392791194E-3</v>
      </c>
      <c r="E21106" s="2">
        <v>9.2577591593954605E-6</v>
      </c>
      <c r="F21106" s="2">
        <v>7.5884491278235605E-4</v>
      </c>
    </row>
    <row r="21107" spans="1:6" x14ac:dyDescent="0.25">
      <c r="A21107" s="1" t="str">
        <f t="shared" si="783"/>
        <v>33100</v>
      </c>
      <c r="B21107" s="1" t="str">
        <f>"33304"</f>
        <v>33304</v>
      </c>
      <c r="C21107" s="2">
        <v>4.9774985737552103E-3</v>
      </c>
      <c r="D21107" s="2">
        <v>5.6908559547523101E-3</v>
      </c>
      <c r="E21107" s="2">
        <v>8.6328604161362704E-3</v>
      </c>
      <c r="F21107" s="2">
        <v>5.2789971245458204E-3</v>
      </c>
    </row>
    <row r="21108" spans="1:6" x14ac:dyDescent="0.25">
      <c r="A21108" s="1" t="str">
        <f t="shared" si="783"/>
        <v>33100</v>
      </c>
      <c r="B21108" s="1" t="str">
        <f>"33255"</f>
        <v>33255</v>
      </c>
      <c r="C21108" s="2">
        <v>3.0978837277217697E-4</v>
      </c>
      <c r="D21108" s="2">
        <v>8.8692440786890898E-4</v>
      </c>
      <c r="E21108" s="2">
        <v>9.2577591593954605E-6</v>
      </c>
      <c r="F21108" s="2">
        <v>3.4868996568156602E-4</v>
      </c>
    </row>
    <row r="21109" spans="1:6" x14ac:dyDescent="0.25">
      <c r="A21109" s="1" t="str">
        <f t="shared" si="783"/>
        <v>33100</v>
      </c>
      <c r="B21109" s="1" t="str">
        <f>"33150"</f>
        <v>33150</v>
      </c>
      <c r="C21109" s="2">
        <v>3.7780258405272099E-3</v>
      </c>
      <c r="D21109" s="2">
        <v>3.1958358172063301E-3</v>
      </c>
      <c r="E21109" s="2">
        <v>3.6521859883815099E-3</v>
      </c>
      <c r="F21109" s="2">
        <v>3.7117857499703501E-3</v>
      </c>
    </row>
    <row r="21110" spans="1:6" x14ac:dyDescent="0.25">
      <c r="A21110" s="1" t="str">
        <f t="shared" si="783"/>
        <v>33100</v>
      </c>
      <c r="B21110" s="1" t="str">
        <f>"33156"</f>
        <v>33156</v>
      </c>
      <c r="C21110" s="2">
        <v>5.13204468331796E-3</v>
      </c>
      <c r="D21110" s="2">
        <v>6.94999781903834E-3</v>
      </c>
      <c r="E21110" s="2">
        <v>4.6797972550744003E-3</v>
      </c>
      <c r="F21110" s="2">
        <v>5.2856970988237398E-3</v>
      </c>
    </row>
    <row r="21111" spans="1:6" x14ac:dyDescent="0.25">
      <c r="A21111" s="1" t="str">
        <f t="shared" si="783"/>
        <v>33100</v>
      </c>
      <c r="B21111" s="1" t="str">
        <f>"33157"</f>
        <v>33157</v>
      </c>
      <c r="C21111" s="2">
        <v>8.4210225870531407E-3</v>
      </c>
      <c r="D21111" s="2">
        <v>9.5584279628364108E-3</v>
      </c>
      <c r="E21111" s="2">
        <v>4.1613627421482604E-3</v>
      </c>
      <c r="F21111" s="2">
        <v>8.2668943492708192E-3</v>
      </c>
    </row>
    <row r="21112" spans="1:6" x14ac:dyDescent="0.25">
      <c r="A21112" s="1" t="str">
        <f t="shared" ref="A21112:A21143" si="784">"33124"</f>
        <v>33124</v>
      </c>
      <c r="B21112" s="1" t="str">
        <f>"33158"</f>
        <v>33158</v>
      </c>
      <c r="C21112" s="2">
        <v>0</v>
      </c>
      <c r="D21112" s="2">
        <v>0</v>
      </c>
      <c r="E21112" s="2">
        <v>1.5600624024960899E-3</v>
      </c>
      <c r="F21112" s="2">
        <v>6.45661157024793E-5</v>
      </c>
    </row>
    <row r="21113" spans="1:6" x14ac:dyDescent="0.25">
      <c r="A21113" s="1" t="str">
        <f t="shared" si="784"/>
        <v>33124</v>
      </c>
      <c r="B21113" s="1" t="str">
        <f>"33133"</f>
        <v>33133</v>
      </c>
      <c r="C21113" s="2">
        <v>6.3844341415216204E-3</v>
      </c>
      <c r="D21113" s="2">
        <v>1.53846153846153E-2</v>
      </c>
      <c r="E21113" s="2">
        <v>9.3603744149765907E-3</v>
      </c>
      <c r="F21113" s="2">
        <v>7.4896694214876E-3</v>
      </c>
    </row>
    <row r="21114" spans="1:6" x14ac:dyDescent="0.25">
      <c r="A21114" s="1" t="str">
        <f t="shared" si="784"/>
        <v>33124</v>
      </c>
      <c r="B21114" s="1" t="str">
        <f>"33143"</f>
        <v>33143</v>
      </c>
      <c r="C21114" s="2">
        <v>5.4647716044691E-2</v>
      </c>
      <c r="D21114" s="2">
        <v>8.8757396449704092E-3</v>
      </c>
      <c r="E21114" s="2">
        <v>4.6801872074882902E-3</v>
      </c>
      <c r="F21114" s="2">
        <v>4.7585227272727203E-2</v>
      </c>
    </row>
    <row r="21115" spans="1:6" x14ac:dyDescent="0.25">
      <c r="A21115" s="1" t="str">
        <f t="shared" si="784"/>
        <v>33124</v>
      </c>
      <c r="B21115" s="1" t="str">
        <f>"33109"</f>
        <v>33109</v>
      </c>
      <c r="C21115" s="2">
        <v>0</v>
      </c>
      <c r="D21115" s="2">
        <v>0</v>
      </c>
      <c r="E21115" s="2">
        <v>1.5600624024960899E-3</v>
      </c>
      <c r="F21115" s="2">
        <v>6.45661157024793E-5</v>
      </c>
    </row>
    <row r="21116" spans="1:6" x14ac:dyDescent="0.25">
      <c r="A21116" s="1" t="str">
        <f t="shared" si="784"/>
        <v>33124</v>
      </c>
      <c r="B21116" s="1" t="str">
        <f>"33141"</f>
        <v>33141</v>
      </c>
      <c r="C21116" s="2">
        <v>6.8404651516303105E-4</v>
      </c>
      <c r="D21116" s="2">
        <v>5.9171597633135998E-4</v>
      </c>
      <c r="E21116" s="2">
        <v>7.8003120124804899E-3</v>
      </c>
      <c r="F21116" s="2">
        <v>9.6849173553719E-4</v>
      </c>
    </row>
    <row r="21117" spans="1:6" x14ac:dyDescent="0.25">
      <c r="A21117" s="1" t="str">
        <f t="shared" si="784"/>
        <v>33124</v>
      </c>
      <c r="B21117" s="1" t="str">
        <f>"33016"</f>
        <v>33016</v>
      </c>
      <c r="C21117" s="2">
        <v>2.9642015657064601E-3</v>
      </c>
      <c r="D21117" s="2">
        <v>1.18343195266272E-2</v>
      </c>
      <c r="E21117" s="2">
        <v>1.24804992199687E-2</v>
      </c>
      <c r="F21117" s="2">
        <v>4.32592975206611E-3</v>
      </c>
    </row>
    <row r="21118" spans="1:6" x14ac:dyDescent="0.25">
      <c r="A21118" s="1" t="str">
        <f t="shared" si="784"/>
        <v>33124</v>
      </c>
      <c r="B21118" s="1" t="str">
        <f>"33034"</f>
        <v>33034</v>
      </c>
      <c r="C21118" s="2">
        <v>1.2388842441286E-2</v>
      </c>
      <c r="D21118" s="2">
        <v>0</v>
      </c>
      <c r="E21118" s="2">
        <v>5.9282371294851699E-2</v>
      </c>
      <c r="F21118" s="2">
        <v>1.29777892561983E-2</v>
      </c>
    </row>
    <row r="21119" spans="1:6" x14ac:dyDescent="0.25">
      <c r="A21119" s="1" t="str">
        <f t="shared" si="784"/>
        <v>33124</v>
      </c>
      <c r="B21119" s="1" t="str">
        <f>"33010"</f>
        <v>33010</v>
      </c>
      <c r="C21119" s="2">
        <v>4.1802842593296301E-3</v>
      </c>
      <c r="D21119" s="2">
        <v>1.1242603550295801E-2</v>
      </c>
      <c r="E21119" s="2">
        <v>1.24804992199687E-2</v>
      </c>
      <c r="F21119" s="2">
        <v>5.2944214876033003E-3</v>
      </c>
    </row>
    <row r="21120" spans="1:6" x14ac:dyDescent="0.25">
      <c r="A21120" s="1" t="str">
        <f t="shared" si="784"/>
        <v>33124</v>
      </c>
      <c r="B21120" s="1" t="str">
        <f>"33142"</f>
        <v>33142</v>
      </c>
      <c r="C21120" s="2">
        <v>1.03367028957969E-2</v>
      </c>
      <c r="D21120" s="2">
        <v>4.7337278106508798E-3</v>
      </c>
      <c r="E21120" s="2">
        <v>1.8720748829953102E-2</v>
      </c>
      <c r="F21120" s="2">
        <v>1.00723140495867E-2</v>
      </c>
    </row>
    <row r="21121" spans="1:6" x14ac:dyDescent="0.25">
      <c r="A21121" s="1" t="str">
        <f t="shared" si="784"/>
        <v>33124</v>
      </c>
      <c r="B21121" s="1" t="str">
        <f>"33166"</f>
        <v>33166</v>
      </c>
      <c r="C21121" s="2">
        <v>9.1358212358440299E-2</v>
      </c>
      <c r="D21121" s="2">
        <v>0.111242603550295</v>
      </c>
      <c r="E21121" s="2">
        <v>5.6162246489859499E-2</v>
      </c>
      <c r="F21121" s="2">
        <v>9.2071280991735505E-2</v>
      </c>
    </row>
    <row r="21122" spans="1:6" x14ac:dyDescent="0.25">
      <c r="A21122" s="1" t="str">
        <f t="shared" si="784"/>
        <v>33124</v>
      </c>
      <c r="B21122" s="1" t="str">
        <f>"33032"</f>
        <v>33032</v>
      </c>
      <c r="C21122" s="2">
        <v>3.8458615185832601E-2</v>
      </c>
      <c r="D21122" s="2">
        <v>2.3668639053254399E-3</v>
      </c>
      <c r="E21122" s="2">
        <v>2.6521060842433601E-2</v>
      </c>
      <c r="F21122" s="2">
        <v>3.4026342975206597E-2</v>
      </c>
    </row>
    <row r="21123" spans="1:6" x14ac:dyDescent="0.25">
      <c r="A21123" s="1" t="str">
        <f t="shared" si="784"/>
        <v>33124</v>
      </c>
      <c r="B21123" s="1" t="str">
        <f>"33157"</f>
        <v>33157</v>
      </c>
      <c r="C21123" s="2">
        <v>2.4397659040814701E-2</v>
      </c>
      <c r="D21123" s="2">
        <v>5.9171597633135998E-4</v>
      </c>
      <c r="E21123" s="2">
        <v>1.09204368174726E-2</v>
      </c>
      <c r="F21123" s="2">
        <v>2.1242252066115699E-2</v>
      </c>
    </row>
    <row r="21124" spans="1:6" x14ac:dyDescent="0.25">
      <c r="A21124" s="1" t="str">
        <f t="shared" si="784"/>
        <v>33124</v>
      </c>
      <c r="B21124" s="1" t="str">
        <f>"33176"</f>
        <v>33176</v>
      </c>
      <c r="C21124" s="2">
        <v>3.1162119024093602E-3</v>
      </c>
      <c r="D21124" s="2">
        <v>0</v>
      </c>
      <c r="E21124" s="2">
        <v>4.8361934477379E-2</v>
      </c>
      <c r="F21124" s="2">
        <v>4.6487603305785099E-3</v>
      </c>
    </row>
    <row r="21125" spans="1:6" x14ac:dyDescent="0.25">
      <c r="A21125" s="1" t="str">
        <f t="shared" si="784"/>
        <v>33124</v>
      </c>
      <c r="B21125" s="1" t="str">
        <f>"33165"</f>
        <v>33165</v>
      </c>
      <c r="C21125" s="2">
        <v>1.9001292087861899E-3</v>
      </c>
      <c r="D21125" s="2">
        <v>2.3668639053254399E-3</v>
      </c>
      <c r="E21125" s="2">
        <v>6.2402496099843901E-3</v>
      </c>
      <c r="F21125" s="2">
        <v>2.1306818181818098E-3</v>
      </c>
    </row>
    <row r="21126" spans="1:6" x14ac:dyDescent="0.25">
      <c r="A21126" s="1" t="str">
        <f t="shared" si="784"/>
        <v>33124</v>
      </c>
      <c r="B21126" s="1" t="str">
        <f>"33136"</f>
        <v>33136</v>
      </c>
      <c r="C21126" s="2">
        <v>2.66018089230067E-2</v>
      </c>
      <c r="D21126" s="2">
        <v>1.18343195266272E-3</v>
      </c>
      <c r="E21126" s="2">
        <v>4.6801872074882902E-3</v>
      </c>
      <c r="F21126" s="2">
        <v>2.2920971074380101E-2</v>
      </c>
    </row>
    <row r="21127" spans="1:6" x14ac:dyDescent="0.25">
      <c r="A21127" s="1" t="str">
        <f t="shared" si="784"/>
        <v>33124</v>
      </c>
      <c r="B21127" s="1" t="str">
        <f>"33196"</f>
        <v>33196</v>
      </c>
      <c r="C21127" s="2">
        <v>7.6005168351447801E-5</v>
      </c>
      <c r="D21127" s="2">
        <v>8.8757396449704092E-3</v>
      </c>
      <c r="E21127" s="2">
        <v>0</v>
      </c>
      <c r="F21127" s="2">
        <v>1.0330578512396599E-3</v>
      </c>
    </row>
    <row r="21128" spans="1:6" x14ac:dyDescent="0.25">
      <c r="A21128" s="1" t="str">
        <f t="shared" si="784"/>
        <v>33124</v>
      </c>
      <c r="B21128" s="1" t="str">
        <f>"33140"</f>
        <v>33140</v>
      </c>
      <c r="C21128" s="2">
        <v>7.6005168351447796E-4</v>
      </c>
      <c r="D21128" s="2">
        <v>2.9585798816567999E-3</v>
      </c>
      <c r="E21128" s="2">
        <v>4.6801872074882902E-3</v>
      </c>
      <c r="F21128" s="2">
        <v>1.1621900826446199E-3</v>
      </c>
    </row>
    <row r="21129" spans="1:6" x14ac:dyDescent="0.25">
      <c r="A21129" s="1" t="str">
        <f t="shared" si="784"/>
        <v>33124</v>
      </c>
      <c r="B21129" s="1" t="str">
        <f>"33134"</f>
        <v>33134</v>
      </c>
      <c r="C21129" s="2">
        <v>0</v>
      </c>
      <c r="D21129" s="2">
        <v>3.3727810650887501E-2</v>
      </c>
      <c r="E21129" s="2">
        <v>1.09204368174726E-2</v>
      </c>
      <c r="F21129" s="2">
        <v>4.13223140495867E-3</v>
      </c>
    </row>
    <row r="21130" spans="1:6" x14ac:dyDescent="0.25">
      <c r="A21130" s="1" t="str">
        <f t="shared" si="784"/>
        <v>33124</v>
      </c>
      <c r="B21130" s="1" t="str">
        <f>"33128"</f>
        <v>33128</v>
      </c>
      <c r="C21130" s="2">
        <v>3.5418408451774699E-2</v>
      </c>
      <c r="D21130" s="2">
        <v>0</v>
      </c>
      <c r="E21130" s="2">
        <v>3.1201248049921898E-3</v>
      </c>
      <c r="F21130" s="2">
        <v>3.0216942148760299E-2</v>
      </c>
    </row>
    <row r="21131" spans="1:6" x14ac:dyDescent="0.25">
      <c r="A21131" s="1" t="str">
        <f t="shared" si="784"/>
        <v>33124</v>
      </c>
      <c r="B21131" s="1" t="str">
        <f>"33169"</f>
        <v>33169</v>
      </c>
      <c r="C21131" s="2">
        <v>2.5841757239492202E-3</v>
      </c>
      <c r="D21131" s="2">
        <v>1.18343195266272E-3</v>
      </c>
      <c r="E21131" s="2">
        <v>6.2402496099843901E-3</v>
      </c>
      <c r="F21131" s="2">
        <v>2.5826446280991702E-3</v>
      </c>
    </row>
    <row r="21132" spans="1:6" x14ac:dyDescent="0.25">
      <c r="A21132" s="1" t="str">
        <f t="shared" si="784"/>
        <v>33124</v>
      </c>
      <c r="B21132" s="1" t="str">
        <f>"33015"</f>
        <v>33015</v>
      </c>
      <c r="C21132" s="2">
        <v>5.3963669529527997E-3</v>
      </c>
      <c r="D21132" s="2">
        <v>5.9171597633135998E-4</v>
      </c>
      <c r="E21132" s="2">
        <v>1.8720748829953102E-2</v>
      </c>
      <c r="F21132" s="2">
        <v>5.4235537190082603E-3</v>
      </c>
    </row>
    <row r="21133" spans="1:6" x14ac:dyDescent="0.25">
      <c r="A21133" s="1" t="str">
        <f t="shared" si="784"/>
        <v>33124</v>
      </c>
      <c r="B21133" s="1" t="str">
        <f>"33179"</f>
        <v>33179</v>
      </c>
      <c r="C21133" s="2">
        <v>2.3029566010488701E-2</v>
      </c>
      <c r="D21133" s="2">
        <v>0</v>
      </c>
      <c r="E21133" s="2">
        <v>3.1201248049921898E-3</v>
      </c>
      <c r="F21133" s="2">
        <v>1.96926652892561E-2</v>
      </c>
    </row>
    <row r="21134" spans="1:6" x14ac:dyDescent="0.25">
      <c r="A21134" s="1" t="str">
        <f t="shared" si="784"/>
        <v>33124</v>
      </c>
      <c r="B21134" s="1" t="str">
        <f>"33116"</f>
        <v>33116</v>
      </c>
      <c r="C21134" s="2">
        <v>0</v>
      </c>
      <c r="D21134" s="2">
        <v>0</v>
      </c>
      <c r="E21134" s="2">
        <v>1.5600624024960899E-3</v>
      </c>
      <c r="F21134" s="2">
        <v>6.45661157024793E-5</v>
      </c>
    </row>
    <row r="21135" spans="1:6" x14ac:dyDescent="0.25">
      <c r="A21135" s="1" t="str">
        <f t="shared" si="784"/>
        <v>33124</v>
      </c>
      <c r="B21135" s="1" t="str">
        <f>"33183"</f>
        <v>33183</v>
      </c>
      <c r="C21135" s="2">
        <v>1.5201033670289501E-4</v>
      </c>
      <c r="D21135" s="2">
        <v>7.1005917159763302E-3</v>
      </c>
      <c r="E21135" s="2">
        <v>0</v>
      </c>
      <c r="F21135" s="2">
        <v>9.0392561983471001E-4</v>
      </c>
    </row>
    <row r="21136" spans="1:6" x14ac:dyDescent="0.25">
      <c r="A21136" s="1" t="str">
        <f t="shared" si="784"/>
        <v>33124</v>
      </c>
      <c r="B21136" s="1" t="str">
        <f>"33187"</f>
        <v>33187</v>
      </c>
      <c r="C21136" s="2">
        <v>1.14007752527171E-3</v>
      </c>
      <c r="D21136" s="2">
        <v>1.7751479289940799E-3</v>
      </c>
      <c r="E21136" s="2">
        <v>1.5600624024960899E-3</v>
      </c>
      <c r="F21136" s="2">
        <v>1.2267561983471001E-3</v>
      </c>
    </row>
    <row r="21137" spans="1:6" x14ac:dyDescent="0.25">
      <c r="A21137" s="1" t="str">
        <f t="shared" si="784"/>
        <v>33124</v>
      </c>
      <c r="B21137" s="1" t="str">
        <f>"33175"</f>
        <v>33175</v>
      </c>
      <c r="C21137" s="2">
        <v>4.3322945960325302E-3</v>
      </c>
      <c r="D21137" s="2">
        <v>0</v>
      </c>
      <c r="E21137" s="2">
        <v>4.6801872074882902E-3</v>
      </c>
      <c r="F21137" s="2">
        <v>3.87396694214876E-3</v>
      </c>
    </row>
    <row r="21138" spans="1:6" x14ac:dyDescent="0.25">
      <c r="A21138" s="1" t="str">
        <f t="shared" si="784"/>
        <v>33124</v>
      </c>
      <c r="B21138" s="1" t="str">
        <f>"33155"</f>
        <v>33155</v>
      </c>
      <c r="C21138" s="2">
        <v>2.5689746902789301E-2</v>
      </c>
      <c r="D21138" s="2">
        <v>7.6923076923076901E-3</v>
      </c>
      <c r="E21138" s="2">
        <v>1.5600624024960899E-3</v>
      </c>
      <c r="F21138" s="2">
        <v>2.27272727272727E-2</v>
      </c>
    </row>
    <row r="21139" spans="1:6" x14ac:dyDescent="0.25">
      <c r="A21139" s="1" t="str">
        <f t="shared" si="784"/>
        <v>33124</v>
      </c>
      <c r="B21139" s="1" t="str">
        <f>"33138"</f>
        <v>33138</v>
      </c>
      <c r="C21139" s="2">
        <v>1.44409819867751E-3</v>
      </c>
      <c r="D21139" s="2">
        <v>5.3254437869822403E-2</v>
      </c>
      <c r="E21139" s="2">
        <v>2.0280811232449202E-2</v>
      </c>
      <c r="F21139" s="2">
        <v>7.8770661157024705E-3</v>
      </c>
    </row>
    <row r="21140" spans="1:6" x14ac:dyDescent="0.25">
      <c r="A21140" s="1" t="str">
        <f t="shared" si="784"/>
        <v>33124</v>
      </c>
      <c r="B21140" s="1" t="str">
        <f>"33126"</f>
        <v>33126</v>
      </c>
      <c r="C21140" s="2">
        <v>6.2780269058295896E-2</v>
      </c>
      <c r="D21140" s="2">
        <v>0.19644970414201099</v>
      </c>
      <c r="E21140" s="2">
        <v>4.99219968798751E-2</v>
      </c>
      <c r="F21140" s="2">
        <v>7.6833677685950397E-2</v>
      </c>
    </row>
    <row r="21141" spans="1:6" x14ac:dyDescent="0.25">
      <c r="A21141" s="1" t="str">
        <f t="shared" si="784"/>
        <v>33124</v>
      </c>
      <c r="B21141" s="1" t="str">
        <f>"33194"</f>
        <v>33194</v>
      </c>
      <c r="C21141" s="2">
        <v>0</v>
      </c>
      <c r="D21141" s="2">
        <v>0</v>
      </c>
      <c r="E21141" s="2">
        <v>1.5600624024960899E-3</v>
      </c>
      <c r="F21141" s="2">
        <v>6.45661157024793E-5</v>
      </c>
    </row>
    <row r="21142" spans="1:6" x14ac:dyDescent="0.25">
      <c r="A21142" s="1" t="str">
        <f t="shared" si="784"/>
        <v>33124</v>
      </c>
      <c r="B21142" s="1" t="str">
        <f>"33146"</f>
        <v>33146</v>
      </c>
      <c r="C21142" s="2">
        <v>9.1206202021737407E-3</v>
      </c>
      <c r="D21142" s="2">
        <v>5.3254437869822398E-3</v>
      </c>
      <c r="E21142" s="2">
        <v>1.5600624024960899E-3</v>
      </c>
      <c r="F21142" s="2">
        <v>8.3935950413223104E-3</v>
      </c>
    </row>
    <row r="21143" spans="1:6" x14ac:dyDescent="0.25">
      <c r="A21143" s="1" t="str">
        <f t="shared" si="784"/>
        <v>33124</v>
      </c>
      <c r="B21143" s="1" t="str">
        <f>"33161"</f>
        <v>33161</v>
      </c>
      <c r="C21143" s="2">
        <v>2.28015505054343E-4</v>
      </c>
      <c r="D21143" s="2">
        <v>7.6923076923076901E-3</v>
      </c>
      <c r="E21143" s="2">
        <v>1.09204368174726E-2</v>
      </c>
      <c r="F21143" s="2">
        <v>1.4850206611570201E-3</v>
      </c>
    </row>
    <row r="21144" spans="1:6" x14ac:dyDescent="0.25">
      <c r="A21144" s="1" t="str">
        <f t="shared" ref="A21144:A21175" si="785">"33124"</f>
        <v>33124</v>
      </c>
      <c r="B21144" s="1" t="str">
        <f>"33055"</f>
        <v>33055</v>
      </c>
      <c r="C21144" s="2">
        <v>0</v>
      </c>
      <c r="D21144" s="2">
        <v>1.53846153846153E-2</v>
      </c>
      <c r="E21144" s="2">
        <v>1.09204368174726E-2</v>
      </c>
      <c r="F21144" s="2">
        <v>2.1306818181818098E-3</v>
      </c>
    </row>
    <row r="21145" spans="1:6" x14ac:dyDescent="0.25">
      <c r="A21145" s="1" t="str">
        <f t="shared" si="785"/>
        <v>33124</v>
      </c>
      <c r="B21145" s="1" t="str">
        <f>"33181"</f>
        <v>33181</v>
      </c>
      <c r="C21145" s="2">
        <v>5.3963669529527997E-3</v>
      </c>
      <c r="D21145" s="2">
        <v>5.9171597633135998E-4</v>
      </c>
      <c r="E21145" s="2">
        <v>1.24804992199687E-2</v>
      </c>
      <c r="F21145" s="2">
        <v>5.1652892561983403E-3</v>
      </c>
    </row>
    <row r="21146" spans="1:6" x14ac:dyDescent="0.25">
      <c r="A21146" s="1" t="str">
        <f t="shared" si="785"/>
        <v>33124</v>
      </c>
      <c r="B21146" s="1" t="str">
        <f>"33150"</f>
        <v>33150</v>
      </c>
      <c r="C21146" s="2">
        <v>9.4246408755795305E-3</v>
      </c>
      <c r="D21146" s="2">
        <v>5.9171597633135998E-4</v>
      </c>
      <c r="E21146" s="2">
        <v>2.0280811232449202E-2</v>
      </c>
      <c r="F21146" s="2">
        <v>8.9101239669421399E-3</v>
      </c>
    </row>
    <row r="21147" spans="1:6" x14ac:dyDescent="0.25">
      <c r="A21147" s="1" t="str">
        <f t="shared" si="785"/>
        <v>33124</v>
      </c>
      <c r="B21147" s="1" t="str">
        <f>"33125"</f>
        <v>33125</v>
      </c>
      <c r="C21147" s="2">
        <v>1.14007752527171E-3</v>
      </c>
      <c r="D21147" s="2">
        <v>5.9171597633135998E-4</v>
      </c>
      <c r="E21147" s="2">
        <v>6.2402496099843901E-3</v>
      </c>
      <c r="F21147" s="2">
        <v>1.2913223140495801E-3</v>
      </c>
    </row>
    <row r="21148" spans="1:6" x14ac:dyDescent="0.25">
      <c r="A21148" s="1" t="str">
        <f t="shared" si="785"/>
        <v>33124</v>
      </c>
      <c r="B21148" s="1" t="str">
        <f>"33156"</f>
        <v>33156</v>
      </c>
      <c r="C21148" s="2">
        <v>1.7101162879075701E-2</v>
      </c>
      <c r="D21148" s="2">
        <v>4.2011834319526598E-2</v>
      </c>
      <c r="E21148" s="2">
        <v>7.4882995319812698E-2</v>
      </c>
      <c r="F21148" s="2">
        <v>2.2210743801652801E-2</v>
      </c>
    </row>
    <row r="21149" spans="1:6" x14ac:dyDescent="0.25">
      <c r="A21149" s="1" t="str">
        <f t="shared" si="785"/>
        <v>33124</v>
      </c>
      <c r="B21149" s="1" t="str">
        <f>"33174"</f>
        <v>33174</v>
      </c>
      <c r="C21149" s="2">
        <v>0</v>
      </c>
      <c r="D21149" s="2">
        <v>0</v>
      </c>
      <c r="E21149" s="2">
        <v>3.1201248049921898E-3</v>
      </c>
      <c r="F21149" s="2">
        <v>1.29132231404958E-4</v>
      </c>
    </row>
    <row r="21150" spans="1:6" x14ac:dyDescent="0.25">
      <c r="A21150" s="1" t="str">
        <f t="shared" si="785"/>
        <v>33124</v>
      </c>
      <c r="B21150" s="1" t="str">
        <f>"33162"</f>
        <v>33162</v>
      </c>
      <c r="C21150" s="2">
        <v>0</v>
      </c>
      <c r="D21150" s="2">
        <v>2.3668639053254399E-3</v>
      </c>
      <c r="E21150" s="2">
        <v>0</v>
      </c>
      <c r="F21150" s="2">
        <v>2.5826446280991698E-4</v>
      </c>
    </row>
    <row r="21151" spans="1:6" x14ac:dyDescent="0.25">
      <c r="A21151" s="1" t="str">
        <f t="shared" si="785"/>
        <v>33124</v>
      </c>
      <c r="B21151" s="1" t="str">
        <f>"33170"</f>
        <v>33170</v>
      </c>
      <c r="C21151" s="2">
        <v>9.1206202021737405E-4</v>
      </c>
      <c r="D21151" s="2">
        <v>0</v>
      </c>
      <c r="E21151" s="2">
        <v>0</v>
      </c>
      <c r="F21151" s="2">
        <v>7.7479338842975198E-4</v>
      </c>
    </row>
    <row r="21152" spans="1:6" x14ac:dyDescent="0.25">
      <c r="A21152" s="1" t="str">
        <f t="shared" si="785"/>
        <v>33124</v>
      </c>
      <c r="B21152" s="1" t="str">
        <f>"33013"</f>
        <v>33013</v>
      </c>
      <c r="C21152" s="2">
        <v>6.8404651516303105E-4</v>
      </c>
      <c r="D21152" s="2">
        <v>1.7751479289940799E-3</v>
      </c>
      <c r="E21152" s="2">
        <v>4.6801872074882902E-3</v>
      </c>
      <c r="F21152" s="2">
        <v>9.6849173553719E-4</v>
      </c>
    </row>
    <row r="21153" spans="1:6" x14ac:dyDescent="0.25">
      <c r="A21153" s="1" t="str">
        <f t="shared" si="785"/>
        <v>33124</v>
      </c>
      <c r="B21153" s="1" t="str">
        <f>"33189"</f>
        <v>33189</v>
      </c>
      <c r="C21153" s="2">
        <v>0</v>
      </c>
      <c r="D21153" s="2">
        <v>5.9171597633135998E-4</v>
      </c>
      <c r="E21153" s="2">
        <v>1.5600624024960899E-3</v>
      </c>
      <c r="F21153" s="2">
        <v>1.29132231404958E-4</v>
      </c>
    </row>
    <row r="21154" spans="1:6" x14ac:dyDescent="0.25">
      <c r="A21154" s="1" t="str">
        <f t="shared" si="785"/>
        <v>33124</v>
      </c>
      <c r="B21154" s="1" t="str">
        <f>"33054"</f>
        <v>33054</v>
      </c>
      <c r="C21154" s="2">
        <v>7.6005168351447801E-5</v>
      </c>
      <c r="D21154" s="2">
        <v>2.3668639053254399E-3</v>
      </c>
      <c r="E21154" s="2">
        <v>1.09204368174726E-2</v>
      </c>
      <c r="F21154" s="2">
        <v>7.7479338842975198E-4</v>
      </c>
    </row>
    <row r="21155" spans="1:6" x14ac:dyDescent="0.25">
      <c r="A21155" s="1" t="str">
        <f t="shared" si="785"/>
        <v>33124</v>
      </c>
      <c r="B21155" s="1" t="str">
        <f>"33173"</f>
        <v>33173</v>
      </c>
      <c r="C21155" s="2">
        <v>0</v>
      </c>
      <c r="D21155" s="2">
        <v>5.9171597633135998E-4</v>
      </c>
      <c r="E21155" s="2">
        <v>1.5600624024960899E-3</v>
      </c>
      <c r="F21155" s="2">
        <v>1.29132231404958E-4</v>
      </c>
    </row>
    <row r="21156" spans="1:6" x14ac:dyDescent="0.25">
      <c r="A21156" s="1" t="str">
        <f t="shared" si="785"/>
        <v>33124</v>
      </c>
      <c r="B21156" s="1" t="str">
        <f>"33182"</f>
        <v>33182</v>
      </c>
      <c r="C21156" s="2">
        <v>0</v>
      </c>
      <c r="D21156" s="2">
        <v>3.6094674556212999E-2</v>
      </c>
      <c r="E21156" s="2">
        <v>1.8720748829953102E-2</v>
      </c>
      <c r="F21156" s="2">
        <v>4.7133264462809899E-3</v>
      </c>
    </row>
    <row r="21157" spans="1:6" x14ac:dyDescent="0.25">
      <c r="A21157" s="1" t="str">
        <f t="shared" si="785"/>
        <v>33124</v>
      </c>
      <c r="B21157" s="1" t="str">
        <f>"33132"</f>
        <v>33132</v>
      </c>
      <c r="C21157" s="2">
        <v>9.3486357072280896E-2</v>
      </c>
      <c r="D21157" s="2">
        <v>9.4674556213017701E-3</v>
      </c>
      <c r="E21157" s="2">
        <v>1.8720748829953102E-2</v>
      </c>
      <c r="F21157" s="2">
        <v>8.1224173553718998E-2</v>
      </c>
    </row>
    <row r="21158" spans="1:6" x14ac:dyDescent="0.25">
      <c r="A21158" s="1" t="str">
        <f t="shared" si="785"/>
        <v>33124</v>
      </c>
      <c r="B21158" s="1" t="str">
        <f>"33014"</f>
        <v>33014</v>
      </c>
      <c r="C21158" s="2">
        <v>3.0174051835524799E-2</v>
      </c>
      <c r="D21158" s="2">
        <v>4.1420118343195199E-3</v>
      </c>
      <c r="E21158" s="2">
        <v>1.56006240249609E-2</v>
      </c>
      <c r="F21158" s="2">
        <v>2.6730371900826399E-2</v>
      </c>
    </row>
    <row r="21159" spans="1:6" x14ac:dyDescent="0.25">
      <c r="A21159" s="1" t="str">
        <f t="shared" si="785"/>
        <v>33124</v>
      </c>
      <c r="B21159" s="1" t="str">
        <f>"33144"</f>
        <v>33144</v>
      </c>
      <c r="C21159" s="2">
        <v>2.3257581515543E-2</v>
      </c>
      <c r="D21159" s="2">
        <v>1.18343195266272E-3</v>
      </c>
      <c r="E21159" s="2">
        <v>3.1201248049921898E-3</v>
      </c>
      <c r="F21159" s="2">
        <v>2.0015495867768501E-2</v>
      </c>
    </row>
    <row r="21160" spans="1:6" x14ac:dyDescent="0.25">
      <c r="A21160" s="1" t="str">
        <f t="shared" si="785"/>
        <v>33124</v>
      </c>
      <c r="B21160" s="1" t="str">
        <f>"33186"</f>
        <v>33186</v>
      </c>
      <c r="C21160" s="2">
        <v>0</v>
      </c>
      <c r="D21160" s="2">
        <v>1.53846153846153E-2</v>
      </c>
      <c r="E21160" s="2">
        <v>4.6801872074882902E-3</v>
      </c>
      <c r="F21160" s="2">
        <v>1.8724173553719E-3</v>
      </c>
    </row>
    <row r="21161" spans="1:6" x14ac:dyDescent="0.25">
      <c r="A21161" s="1" t="str">
        <f t="shared" si="785"/>
        <v>33124</v>
      </c>
      <c r="B21161" s="1" t="str">
        <f>"33122"</f>
        <v>33122</v>
      </c>
      <c r="C21161" s="2">
        <v>0</v>
      </c>
      <c r="D21161" s="2">
        <v>1.53846153846153E-2</v>
      </c>
      <c r="E21161" s="2">
        <v>1.09204368174726E-2</v>
      </c>
      <c r="F21161" s="2">
        <v>2.1306818181818098E-3</v>
      </c>
    </row>
    <row r="21162" spans="1:6" x14ac:dyDescent="0.25">
      <c r="A21162" s="1" t="str">
        <f t="shared" si="785"/>
        <v>33124</v>
      </c>
      <c r="B21162" s="1" t="str">
        <f>"33135"</f>
        <v>33135</v>
      </c>
      <c r="C21162" s="2">
        <v>1.33769096298548E-2</v>
      </c>
      <c r="D21162" s="2">
        <v>1.18343195266272E-3</v>
      </c>
      <c r="E21162" s="2">
        <v>7.8003120124804899E-3</v>
      </c>
      <c r="F21162" s="2">
        <v>1.18155991735537E-2</v>
      </c>
    </row>
    <row r="21163" spans="1:6" x14ac:dyDescent="0.25">
      <c r="A21163" s="1" t="str">
        <f t="shared" si="785"/>
        <v>33124</v>
      </c>
      <c r="B21163" s="1" t="str">
        <f>"33137"</f>
        <v>33137</v>
      </c>
      <c r="C21163" s="2">
        <v>0.14859010412708001</v>
      </c>
      <c r="D21163" s="2">
        <v>0.103550295857988</v>
      </c>
      <c r="E21163" s="2">
        <v>1.8720748829953102E-2</v>
      </c>
      <c r="F21163" s="2">
        <v>0.13830061983471001</v>
      </c>
    </row>
    <row r="21164" spans="1:6" x14ac:dyDescent="0.25">
      <c r="A21164" s="1" t="str">
        <f t="shared" si="785"/>
        <v>33124</v>
      </c>
      <c r="B21164" s="1" t="str">
        <f>"33106"</f>
        <v>33106</v>
      </c>
      <c r="C21164" s="2">
        <v>0</v>
      </c>
      <c r="D21164" s="2">
        <v>0</v>
      </c>
      <c r="E21164" s="2">
        <v>1.5600624024960899E-3</v>
      </c>
      <c r="F21164" s="2">
        <v>6.45661157024793E-5</v>
      </c>
    </row>
    <row r="21165" spans="1:6" x14ac:dyDescent="0.25">
      <c r="A21165" s="1" t="str">
        <f t="shared" si="785"/>
        <v>33124</v>
      </c>
      <c r="B21165" s="1" t="str">
        <f>"33035"</f>
        <v>33035</v>
      </c>
      <c r="C21165" s="2">
        <v>0</v>
      </c>
      <c r="D21165" s="2">
        <v>0</v>
      </c>
      <c r="E21165" s="2">
        <v>1.5600624024960899E-3</v>
      </c>
      <c r="F21165" s="2">
        <v>6.45661157024793E-5</v>
      </c>
    </row>
    <row r="21166" spans="1:6" x14ac:dyDescent="0.25">
      <c r="A21166" s="1" t="str">
        <f t="shared" si="785"/>
        <v>33124</v>
      </c>
      <c r="B21166" s="1" t="str">
        <f>"33193"</f>
        <v>33193</v>
      </c>
      <c r="C21166" s="2">
        <v>0</v>
      </c>
      <c r="D21166" s="2">
        <v>0</v>
      </c>
      <c r="E21166" s="2">
        <v>1.5600624024960899E-3</v>
      </c>
      <c r="F21166" s="2">
        <v>6.45661157024793E-5</v>
      </c>
    </row>
    <row r="21167" spans="1:6" x14ac:dyDescent="0.25">
      <c r="A21167" s="1" t="str">
        <f t="shared" si="785"/>
        <v>33124</v>
      </c>
      <c r="B21167" s="1" t="str">
        <f>"33012"</f>
        <v>33012</v>
      </c>
      <c r="C21167" s="2">
        <v>0</v>
      </c>
      <c r="D21167" s="2">
        <v>2.3668639053254399E-3</v>
      </c>
      <c r="E21167" s="2">
        <v>4.6801872074882902E-3</v>
      </c>
      <c r="F21167" s="2">
        <v>4.51962809917355E-4</v>
      </c>
    </row>
    <row r="21168" spans="1:6" x14ac:dyDescent="0.25">
      <c r="A21168" s="1" t="str">
        <f t="shared" si="785"/>
        <v>33124</v>
      </c>
      <c r="B21168" s="1" t="str">
        <f>"33147"</f>
        <v>33147</v>
      </c>
      <c r="C21168" s="2">
        <v>9.4246408755795305E-3</v>
      </c>
      <c r="D21168" s="2">
        <v>4.1420118343195199E-3</v>
      </c>
      <c r="E21168" s="2">
        <v>9.3603744149765907E-3</v>
      </c>
      <c r="F21168" s="2">
        <v>8.8455578512396608E-3</v>
      </c>
    </row>
    <row r="21169" spans="1:6" x14ac:dyDescent="0.25">
      <c r="A21169" s="1" t="str">
        <f t="shared" si="785"/>
        <v>33124</v>
      </c>
      <c r="B21169" s="1" t="str">
        <f>"33139"</f>
        <v>33139</v>
      </c>
      <c r="C21169" s="2">
        <v>1.4060956145017799E-2</v>
      </c>
      <c r="D21169" s="2">
        <v>1.4792899408284E-2</v>
      </c>
      <c r="E21169" s="2">
        <v>1.7160686427457002E-2</v>
      </c>
      <c r="F21169" s="2">
        <v>1.42691115702479E-2</v>
      </c>
    </row>
    <row r="21170" spans="1:6" x14ac:dyDescent="0.25">
      <c r="A21170" s="1" t="str">
        <f t="shared" si="785"/>
        <v>33124</v>
      </c>
      <c r="B21170" s="1" t="str">
        <f>"33185"</f>
        <v>33185</v>
      </c>
      <c r="C21170" s="2">
        <v>4.7883256061412097E-3</v>
      </c>
      <c r="D21170" s="2">
        <v>1.18343195266272E-3</v>
      </c>
      <c r="E21170" s="2">
        <v>3.1201248049921898E-3</v>
      </c>
      <c r="F21170" s="2">
        <v>4.32592975206611E-3</v>
      </c>
    </row>
    <row r="21171" spans="1:6" x14ac:dyDescent="0.25">
      <c r="A21171" s="1" t="str">
        <f t="shared" si="785"/>
        <v>33124</v>
      </c>
      <c r="B21171" s="1" t="str">
        <f>"33030"</f>
        <v>33030</v>
      </c>
      <c r="C21171" s="2">
        <v>7.6765220034962301E-3</v>
      </c>
      <c r="D21171" s="2">
        <v>0</v>
      </c>
      <c r="E21171" s="2">
        <v>1.24804992199687E-2</v>
      </c>
      <c r="F21171" s="2">
        <v>7.0377066115702401E-3</v>
      </c>
    </row>
    <row r="21172" spans="1:6" x14ac:dyDescent="0.25">
      <c r="A21172" s="1" t="str">
        <f t="shared" si="785"/>
        <v>33124</v>
      </c>
      <c r="B21172" s="1" t="str">
        <f>"33180"</f>
        <v>33180</v>
      </c>
      <c r="C21172" s="2">
        <v>3.0402067340579101E-3</v>
      </c>
      <c r="D21172" s="2">
        <v>2.1893491124260301E-2</v>
      </c>
      <c r="E21172" s="2">
        <v>1.09204368174726E-2</v>
      </c>
      <c r="F21172" s="2">
        <v>5.4235537190082603E-3</v>
      </c>
    </row>
    <row r="21173" spans="1:6" x14ac:dyDescent="0.25">
      <c r="A21173" s="1" t="str">
        <f t="shared" si="785"/>
        <v>33124</v>
      </c>
      <c r="B21173" s="1" t="str">
        <f>"33033"</f>
        <v>33033</v>
      </c>
      <c r="C21173" s="2">
        <v>1.6873147374021399E-2</v>
      </c>
      <c r="D21173" s="2">
        <v>2.9585798816567999E-3</v>
      </c>
      <c r="E21173" s="2">
        <v>2.4960998439937501E-2</v>
      </c>
      <c r="F21173" s="2">
        <v>1.5689566115702401E-2</v>
      </c>
    </row>
    <row r="21174" spans="1:6" x14ac:dyDescent="0.25">
      <c r="A21174" s="1" t="str">
        <f t="shared" si="785"/>
        <v>33124</v>
      </c>
      <c r="B21174" s="1" t="str">
        <f>"33145"</f>
        <v>33145</v>
      </c>
      <c r="C21174" s="2">
        <v>1.6265106027209798E-2</v>
      </c>
      <c r="D21174" s="2">
        <v>2.9585798816567999E-3</v>
      </c>
      <c r="E21174" s="2">
        <v>5.4602184087363399E-2</v>
      </c>
      <c r="F21174" s="2">
        <v>1.6399793388429701E-2</v>
      </c>
    </row>
    <row r="21175" spans="1:6" x14ac:dyDescent="0.25">
      <c r="A21175" s="1" t="str">
        <f t="shared" si="785"/>
        <v>33124</v>
      </c>
      <c r="B21175" s="1" t="str">
        <f>"33177"</f>
        <v>33177</v>
      </c>
      <c r="C21175" s="2">
        <v>3.1162119024093602E-3</v>
      </c>
      <c r="D21175" s="2">
        <v>0</v>
      </c>
      <c r="E21175" s="2">
        <v>0</v>
      </c>
      <c r="F21175" s="2">
        <v>2.6472107438016501E-3</v>
      </c>
    </row>
    <row r="21176" spans="1:6" x14ac:dyDescent="0.25">
      <c r="A21176" s="1" t="str">
        <f t="shared" ref="A21176:A21189" si="786">"33124"</f>
        <v>33124</v>
      </c>
      <c r="B21176" s="1" t="str">
        <f>"33031"</f>
        <v>33031</v>
      </c>
      <c r="C21176" s="2">
        <v>3.0402067340579099E-4</v>
      </c>
      <c r="D21176" s="2">
        <v>0</v>
      </c>
      <c r="E21176" s="2">
        <v>3.1201248049921898E-3</v>
      </c>
      <c r="F21176" s="2">
        <v>3.8739669421487599E-4</v>
      </c>
    </row>
    <row r="21177" spans="1:6" x14ac:dyDescent="0.25">
      <c r="A21177" s="1" t="str">
        <f t="shared" si="786"/>
        <v>33124</v>
      </c>
      <c r="B21177" s="1" t="str">
        <f>"33167"</f>
        <v>33167</v>
      </c>
      <c r="C21177" s="2">
        <v>2.6753819259709599E-2</v>
      </c>
      <c r="D21177" s="2">
        <v>2.48520710059171E-2</v>
      </c>
      <c r="E21177" s="2">
        <v>2.4960998439937501E-2</v>
      </c>
      <c r="F21177" s="2">
        <v>2.64721074380165E-2</v>
      </c>
    </row>
    <row r="21178" spans="1:6" x14ac:dyDescent="0.25">
      <c r="A21178" s="1" t="str">
        <f t="shared" si="786"/>
        <v>33124</v>
      </c>
      <c r="B21178" s="1" t="str">
        <f>"33018"</f>
        <v>33018</v>
      </c>
      <c r="C21178" s="2">
        <v>0</v>
      </c>
      <c r="D21178" s="2">
        <v>4.7337278106508798E-2</v>
      </c>
      <c r="E21178" s="2">
        <v>1.40405616224648E-2</v>
      </c>
      <c r="F21178" s="2">
        <v>5.7463842975206602E-3</v>
      </c>
    </row>
    <row r="21179" spans="1:6" x14ac:dyDescent="0.25">
      <c r="A21179" s="1" t="str">
        <f t="shared" si="786"/>
        <v>33124</v>
      </c>
      <c r="B21179" s="1" t="str">
        <f>"33178"</f>
        <v>33178</v>
      </c>
      <c r="C21179" s="2">
        <v>3.64824808086949E-2</v>
      </c>
      <c r="D21179" s="2">
        <v>3.8461538461538401E-2</v>
      </c>
      <c r="E21179" s="2">
        <v>2.9641185647425801E-2</v>
      </c>
      <c r="F21179" s="2">
        <v>3.6415289256198302E-2</v>
      </c>
    </row>
    <row r="21180" spans="1:6" x14ac:dyDescent="0.25">
      <c r="A21180" s="1" t="str">
        <f t="shared" si="786"/>
        <v>33124</v>
      </c>
      <c r="B21180" s="1" t="str">
        <f>"33127"</f>
        <v>33127</v>
      </c>
      <c r="C21180" s="2">
        <v>1.7785209394238801E-2</v>
      </c>
      <c r="D21180" s="2">
        <v>3.4911242603550198E-2</v>
      </c>
      <c r="E21180" s="2">
        <v>1.09204368174726E-2</v>
      </c>
      <c r="F21180" s="2">
        <v>1.93698347107438E-2</v>
      </c>
    </row>
    <row r="21181" spans="1:6" x14ac:dyDescent="0.25">
      <c r="A21181" s="1" t="str">
        <f t="shared" si="786"/>
        <v>33124</v>
      </c>
      <c r="B21181" s="1" t="str">
        <f>"33056"</f>
        <v>33056</v>
      </c>
      <c r="C21181" s="2">
        <v>0</v>
      </c>
      <c r="D21181" s="2">
        <v>8.8757396449704092E-3</v>
      </c>
      <c r="E21181" s="2">
        <v>0</v>
      </c>
      <c r="F21181" s="2">
        <v>9.6849173553719E-4</v>
      </c>
    </row>
    <row r="21182" spans="1:6" x14ac:dyDescent="0.25">
      <c r="A21182" s="1" t="str">
        <f t="shared" si="786"/>
        <v>33124</v>
      </c>
      <c r="B21182" s="1" t="str">
        <f>"33131"</f>
        <v>33131</v>
      </c>
      <c r="C21182" s="2">
        <v>0</v>
      </c>
      <c r="D21182" s="2">
        <v>5.3254437869822398E-3</v>
      </c>
      <c r="E21182" s="2">
        <v>6.5522620904836099E-2</v>
      </c>
      <c r="F21182" s="2">
        <v>3.2928719008264401E-3</v>
      </c>
    </row>
    <row r="21183" spans="1:6" x14ac:dyDescent="0.25">
      <c r="A21183" s="1" t="str">
        <f t="shared" si="786"/>
        <v>33124</v>
      </c>
      <c r="B21183" s="1" t="str">
        <f>"33172"</f>
        <v>33172</v>
      </c>
      <c r="C21183" s="2">
        <v>1.5201033670289501E-3</v>
      </c>
      <c r="D21183" s="2">
        <v>3.0177514792899401E-2</v>
      </c>
      <c r="E21183" s="2">
        <v>1.24804992199687E-2</v>
      </c>
      <c r="F21183" s="2">
        <v>5.1007231404958603E-3</v>
      </c>
    </row>
    <row r="21184" spans="1:6" x14ac:dyDescent="0.25">
      <c r="A21184" s="1" t="str">
        <f t="shared" si="786"/>
        <v>33124</v>
      </c>
      <c r="B21184" s="1" t="str">
        <f>"33160"</f>
        <v>33160</v>
      </c>
      <c r="C21184" s="2">
        <v>1.18568062628258E-2</v>
      </c>
      <c r="D21184" s="2">
        <v>2.3668639053254399E-3</v>
      </c>
      <c r="E21184" s="2">
        <v>0</v>
      </c>
      <c r="F21184" s="2">
        <v>1.0330578512396601E-2</v>
      </c>
    </row>
    <row r="21185" spans="1:6" x14ac:dyDescent="0.25">
      <c r="A21185" s="1" t="str">
        <f t="shared" si="786"/>
        <v>33124</v>
      </c>
      <c r="B21185" s="1" t="str">
        <f>"33129"</f>
        <v>33129</v>
      </c>
      <c r="C21185" s="2">
        <v>0</v>
      </c>
      <c r="D21185" s="2">
        <v>0</v>
      </c>
      <c r="E21185" s="2">
        <v>3.1201248049921898E-3</v>
      </c>
      <c r="F21185" s="2">
        <v>1.29132231404958E-4</v>
      </c>
    </row>
    <row r="21186" spans="1:6" x14ac:dyDescent="0.25">
      <c r="A21186" s="1" t="str">
        <f t="shared" si="786"/>
        <v>33124</v>
      </c>
      <c r="B21186" s="1" t="str">
        <f>"33190"</f>
        <v>33190</v>
      </c>
      <c r="C21186" s="2">
        <v>7.6005168351447801E-5</v>
      </c>
      <c r="D21186" s="2">
        <v>0</v>
      </c>
      <c r="E21186" s="2">
        <v>1.5600624024960899E-3</v>
      </c>
      <c r="F21186" s="2">
        <v>1.29132231404958E-4</v>
      </c>
    </row>
    <row r="21187" spans="1:6" x14ac:dyDescent="0.25">
      <c r="A21187" s="1" t="str">
        <f t="shared" si="786"/>
        <v>33124</v>
      </c>
      <c r="B21187" s="1" t="str">
        <f>"33168"</f>
        <v>33168</v>
      </c>
      <c r="C21187" s="2">
        <v>0</v>
      </c>
      <c r="D21187" s="2">
        <v>0</v>
      </c>
      <c r="E21187" s="2">
        <v>3.1201248049921898E-3</v>
      </c>
      <c r="F21187" s="2">
        <v>1.29132231404958E-4</v>
      </c>
    </row>
    <row r="21188" spans="1:6" x14ac:dyDescent="0.25">
      <c r="A21188" s="1" t="str">
        <f t="shared" si="786"/>
        <v>33124</v>
      </c>
      <c r="B21188" s="1" t="str">
        <f>"33154"</f>
        <v>33154</v>
      </c>
      <c r="C21188" s="2">
        <v>7.5245116667933404E-3</v>
      </c>
      <c r="D21188" s="2">
        <v>2.9585798816567999E-3</v>
      </c>
      <c r="E21188" s="2">
        <v>4.6801872074882902E-3</v>
      </c>
      <c r="F21188" s="2">
        <v>6.9085743801652801E-3</v>
      </c>
    </row>
    <row r="21189" spans="1:6" x14ac:dyDescent="0.25">
      <c r="A21189" s="1" t="str">
        <f t="shared" si="786"/>
        <v>33124</v>
      </c>
      <c r="B21189" s="1" t="str">
        <f>"33130"</f>
        <v>33130</v>
      </c>
      <c r="C21189" s="2">
        <v>2.92619898153074E-2</v>
      </c>
      <c r="D21189" s="2">
        <v>4.1420118343195199E-3</v>
      </c>
      <c r="E21189" s="2">
        <v>1.8720748829953102E-2</v>
      </c>
      <c r="F21189" s="2">
        <v>2.6084710743801601E-2</v>
      </c>
    </row>
    <row r="21190" spans="1:6" x14ac:dyDescent="0.25">
      <c r="A21190" s="1" t="str">
        <f t="shared" ref="A21190:A21205" si="787">"33140"</f>
        <v>33140</v>
      </c>
      <c r="B21190" s="1" t="str">
        <f>"46532"</f>
        <v>46532</v>
      </c>
      <c r="C21190" s="2">
        <v>5.7831606822961196E-3</v>
      </c>
      <c r="D21190" s="2">
        <v>2.6602819898909201E-3</v>
      </c>
      <c r="E21190" s="2">
        <v>1.2254901960784301E-3</v>
      </c>
      <c r="F21190" s="2">
        <v>5.4452217738382601E-3</v>
      </c>
    </row>
    <row r="21191" spans="1:6" x14ac:dyDescent="0.25">
      <c r="A21191" s="1" t="str">
        <f t="shared" si="787"/>
        <v>33140</v>
      </c>
      <c r="B21191" s="1" t="str">
        <f>"46383"</f>
        <v>46383</v>
      </c>
      <c r="C21191" s="2">
        <v>3.3102266531661299E-4</v>
      </c>
      <c r="D21191" s="2">
        <v>0</v>
      </c>
      <c r="E21191" s="2">
        <v>0</v>
      </c>
      <c r="F21191" s="2">
        <v>2.9957530794579398E-4</v>
      </c>
    </row>
    <row r="21192" spans="1:6" x14ac:dyDescent="0.25">
      <c r="A21192" s="1" t="str">
        <f t="shared" si="787"/>
        <v>33140</v>
      </c>
      <c r="B21192" s="1" t="str">
        <f>"46348"</f>
        <v>46348</v>
      </c>
      <c r="C21192" s="2">
        <v>8.8791961990809208E-3</v>
      </c>
      <c r="D21192" s="2">
        <v>3.19233838786911E-3</v>
      </c>
      <c r="E21192" s="2">
        <v>3.6764705882352902E-3</v>
      </c>
      <c r="F21192" s="2">
        <v>8.3528644686062595E-3</v>
      </c>
    </row>
    <row r="21193" spans="1:6" x14ac:dyDescent="0.25">
      <c r="A21193" s="1" t="str">
        <f t="shared" si="787"/>
        <v>33140</v>
      </c>
      <c r="B21193" s="1" t="str">
        <f>"46350"</f>
        <v>46350</v>
      </c>
      <c r="C21193" s="2">
        <v>0.38515460705662402</v>
      </c>
      <c r="D21193" s="2">
        <v>0.39851024208566099</v>
      </c>
      <c r="E21193" s="2">
        <v>0.34865196078431299</v>
      </c>
      <c r="F21193" s="2">
        <v>0.38498951486422101</v>
      </c>
    </row>
    <row r="21194" spans="1:6" x14ac:dyDescent="0.25">
      <c r="A21194" s="1" t="str">
        <f t="shared" si="787"/>
        <v>33140</v>
      </c>
      <c r="B21194" s="1" t="str">
        <f>"46360"</f>
        <v>46360</v>
      </c>
      <c r="C21194" s="2">
        <v>0.42259911208037998</v>
      </c>
      <c r="D21194" s="2">
        <v>0.53099228518222896</v>
      </c>
      <c r="E21194" s="2">
        <v>0.57965686274509798</v>
      </c>
      <c r="F21194" s="2">
        <v>0.434296086136712</v>
      </c>
    </row>
    <row r="21195" spans="1:6" x14ac:dyDescent="0.25">
      <c r="A21195" s="1" t="str">
        <f t="shared" si="787"/>
        <v>33140</v>
      </c>
      <c r="B21195" s="1" t="str">
        <f>"46371"</f>
        <v>46371</v>
      </c>
      <c r="C21195" s="2">
        <v>3.2167614300179101E-2</v>
      </c>
      <c r="D21195" s="2">
        <v>1.5961691939345501E-2</v>
      </c>
      <c r="E21195" s="2">
        <v>4.2892156862744998E-3</v>
      </c>
      <c r="F21195" s="2">
        <v>3.0292350256401201E-2</v>
      </c>
    </row>
    <row r="21196" spans="1:6" x14ac:dyDescent="0.25">
      <c r="A21196" s="1" t="str">
        <f t="shared" si="787"/>
        <v>33140</v>
      </c>
      <c r="B21196" s="1" t="str">
        <f>"46390"</f>
        <v>46390</v>
      </c>
      <c r="C21196" s="2">
        <v>2.05428771711192E-2</v>
      </c>
      <c r="D21196" s="2">
        <v>1.27693535514764E-2</v>
      </c>
      <c r="E21196" s="2">
        <v>7.3529411764705803E-3</v>
      </c>
      <c r="F21196" s="2">
        <v>1.9648615785856499E-2</v>
      </c>
    </row>
    <row r="21197" spans="1:6" x14ac:dyDescent="0.25">
      <c r="A21197" s="1" t="str">
        <f t="shared" si="787"/>
        <v>33140</v>
      </c>
      <c r="B21197" s="1" t="str">
        <f>"46365"</f>
        <v>46365</v>
      </c>
      <c r="C21197" s="2">
        <v>7.9834878105771393E-3</v>
      </c>
      <c r="D21197" s="2">
        <v>1.0641127959563699E-3</v>
      </c>
      <c r="E21197" s="2">
        <v>1.8382352941176401E-3</v>
      </c>
      <c r="F21197" s="2">
        <v>7.3484060831409499E-3</v>
      </c>
    </row>
    <row r="21198" spans="1:6" x14ac:dyDescent="0.25">
      <c r="A21198" s="1" t="str">
        <f t="shared" si="787"/>
        <v>33140</v>
      </c>
      <c r="B21198" s="1" t="str">
        <f>"46574"</f>
        <v>46574</v>
      </c>
      <c r="C21198" s="2">
        <v>1.6317470207960101E-2</v>
      </c>
      <c r="D21198" s="2">
        <v>4.7885075818036704E-3</v>
      </c>
      <c r="E21198" s="2">
        <v>6.1274509803921503E-4</v>
      </c>
      <c r="F21198" s="2">
        <v>1.51021199358556E-2</v>
      </c>
    </row>
    <row r="21199" spans="1:6" x14ac:dyDescent="0.25">
      <c r="A21199" s="1" t="str">
        <f t="shared" si="787"/>
        <v>33140</v>
      </c>
      <c r="B21199" s="1" t="str">
        <f>"46552"</f>
        <v>46552</v>
      </c>
      <c r="C21199" s="2">
        <v>2.3736272295350101E-2</v>
      </c>
      <c r="D21199" s="2">
        <v>9.0449587656291491E-3</v>
      </c>
      <c r="E21199" s="2">
        <v>1.8382352941176401E-3</v>
      </c>
      <c r="F21199" s="2">
        <v>2.2133328634112801E-2</v>
      </c>
    </row>
    <row r="21200" spans="1:6" x14ac:dyDescent="0.25">
      <c r="A21200" s="1" t="str">
        <f t="shared" si="787"/>
        <v>33140</v>
      </c>
      <c r="B21200" s="1" t="str">
        <f>"46340"</f>
        <v>46340</v>
      </c>
      <c r="C21200" s="2">
        <v>8.6065892982319404E-3</v>
      </c>
      <c r="D21200" s="2">
        <v>2.6602819898909201E-3</v>
      </c>
      <c r="E21200" s="2">
        <v>6.1274509803921503E-4</v>
      </c>
      <c r="F21200" s="2">
        <v>7.9828008529085198E-3</v>
      </c>
    </row>
    <row r="21201" spans="1:6" x14ac:dyDescent="0.25">
      <c r="A21201" s="1" t="str">
        <f t="shared" si="787"/>
        <v>33140</v>
      </c>
      <c r="B21201" s="1" t="str">
        <f>"46554"</f>
        <v>46554</v>
      </c>
      <c r="C21201" s="2">
        <v>5.2574188020873796E-4</v>
      </c>
      <c r="D21201" s="2">
        <v>0</v>
      </c>
      <c r="E21201" s="2">
        <v>0</v>
      </c>
      <c r="F21201" s="2">
        <v>4.75796077325673E-4</v>
      </c>
    </row>
    <row r="21202" spans="1:6" x14ac:dyDescent="0.25">
      <c r="A21202" s="1" t="str">
        <f t="shared" si="787"/>
        <v>33140</v>
      </c>
      <c r="B21202" s="1" t="str">
        <f>"46346"</f>
        <v>46346</v>
      </c>
      <c r="C21202" s="2">
        <v>9.6775449801386401E-3</v>
      </c>
      <c r="D21202" s="2">
        <v>0</v>
      </c>
      <c r="E21202" s="2">
        <v>6.1274509803921503E-4</v>
      </c>
      <c r="F21202" s="2">
        <v>8.7757943151179699E-3</v>
      </c>
    </row>
    <row r="21203" spans="1:6" x14ac:dyDescent="0.25">
      <c r="A21203" s="1" t="str">
        <f t="shared" si="787"/>
        <v>33140</v>
      </c>
      <c r="B21203" s="1" t="str">
        <f>"46382"</f>
        <v>46382</v>
      </c>
      <c r="C21203" s="2">
        <v>1.59864475426435E-2</v>
      </c>
      <c r="D21203" s="2">
        <v>1.0641127959563699E-3</v>
      </c>
      <c r="E21203" s="2">
        <v>4.2892156862744998E-3</v>
      </c>
      <c r="F21203" s="2">
        <v>1.4661568012405901E-2</v>
      </c>
    </row>
    <row r="21204" spans="1:6" x14ac:dyDescent="0.25">
      <c r="A21204" s="1" t="str">
        <f t="shared" si="787"/>
        <v>33140</v>
      </c>
      <c r="B21204" s="1" t="str">
        <f>"46345"</f>
        <v>46345</v>
      </c>
      <c r="C21204" s="2">
        <v>0</v>
      </c>
      <c r="D21204" s="2">
        <v>0</v>
      </c>
      <c r="E21204" s="2">
        <v>1.2254901960784301E-3</v>
      </c>
      <c r="F21204" s="2">
        <v>3.5244153875975801E-5</v>
      </c>
    </row>
    <row r="21205" spans="1:6" x14ac:dyDescent="0.25">
      <c r="A21205" s="1" t="str">
        <f t="shared" si="787"/>
        <v>33140</v>
      </c>
      <c r="B21205" s="1" t="str">
        <f>"46391"</f>
        <v>46391</v>
      </c>
      <c r="C21205" s="2">
        <v>4.1708855829893199E-2</v>
      </c>
      <c r="D21205" s="2">
        <v>1.7291832934290999E-2</v>
      </c>
      <c r="E21205" s="2">
        <v>4.4117647058823498E-2</v>
      </c>
      <c r="F21205" s="2">
        <v>4.0160713341674398E-2</v>
      </c>
    </row>
    <row r="21206" spans="1:6" x14ac:dyDescent="0.25">
      <c r="A21206" s="1" t="str">
        <f t="shared" ref="A21206:A21218" si="788">"33180"</f>
        <v>33180</v>
      </c>
      <c r="B21206" s="1" t="str">
        <f>"40902"</f>
        <v>40902</v>
      </c>
      <c r="C21206" s="2">
        <v>3.24861000794281E-2</v>
      </c>
      <c r="D21206" s="2">
        <v>4.6992481203007499E-3</v>
      </c>
      <c r="E21206" s="2">
        <v>3.5971223021582701E-3</v>
      </c>
      <c r="F21206" s="2">
        <v>2.92751583391977E-2</v>
      </c>
    </row>
    <row r="21207" spans="1:6" x14ac:dyDescent="0.25">
      <c r="A21207" s="1" t="str">
        <f t="shared" si="788"/>
        <v>33180</v>
      </c>
      <c r="B21207" s="1" t="str">
        <f>"40856"</f>
        <v>40856</v>
      </c>
      <c r="C21207" s="2">
        <v>2.7243844320889499E-2</v>
      </c>
      <c r="D21207" s="2">
        <v>4.6992481203007499E-3</v>
      </c>
      <c r="E21207" s="2">
        <v>1.7985611510791301E-3</v>
      </c>
      <c r="F21207" s="2">
        <v>2.4560168895144199E-2</v>
      </c>
    </row>
    <row r="21208" spans="1:6" x14ac:dyDescent="0.25">
      <c r="A21208" s="1" t="str">
        <f t="shared" si="788"/>
        <v>33180</v>
      </c>
      <c r="B21208" s="1" t="str">
        <f>"40939"</f>
        <v>40939</v>
      </c>
      <c r="C21208" s="2">
        <v>9.6902303415409008E-3</v>
      </c>
      <c r="D21208" s="2">
        <v>3.7593984962406E-3</v>
      </c>
      <c r="E21208" s="2">
        <v>1.7985611510791301E-3</v>
      </c>
      <c r="F21208" s="2">
        <v>8.9373680506685399E-3</v>
      </c>
    </row>
    <row r="21209" spans="1:6" x14ac:dyDescent="0.25">
      <c r="A21209" s="1" t="str">
        <f t="shared" si="788"/>
        <v>33180</v>
      </c>
      <c r="B21209" s="1" t="str">
        <f>"40965"</f>
        <v>40965</v>
      </c>
      <c r="C21209" s="2">
        <v>0.51143764892772003</v>
      </c>
      <c r="D21209" s="2">
        <v>0.67669172932330801</v>
      </c>
      <c r="E21209" s="2">
        <v>0.71043165467625802</v>
      </c>
      <c r="F21209" s="2">
        <v>0.53159746657283602</v>
      </c>
    </row>
    <row r="21210" spans="1:6" x14ac:dyDescent="0.25">
      <c r="A21210" s="1" t="str">
        <f t="shared" si="788"/>
        <v>33180</v>
      </c>
      <c r="B21210" s="1" t="str">
        <f>"40958"</f>
        <v>40958</v>
      </c>
      <c r="C21210" s="2">
        <v>2.0015885623510699E-2</v>
      </c>
      <c r="D21210" s="2">
        <v>0</v>
      </c>
      <c r="E21210" s="2">
        <v>5.3956834532374104E-3</v>
      </c>
      <c r="F21210" s="2">
        <v>1.7945109078113999E-2</v>
      </c>
    </row>
    <row r="21211" spans="1:6" x14ac:dyDescent="0.25">
      <c r="A21211" s="1" t="str">
        <f t="shared" si="788"/>
        <v>33180</v>
      </c>
      <c r="B21211" s="1" t="str">
        <f>"40913"</f>
        <v>40913</v>
      </c>
      <c r="C21211" s="2">
        <v>1.09610802223987E-2</v>
      </c>
      <c r="D21211" s="2">
        <v>7.5187969924812E-3</v>
      </c>
      <c r="E21211" s="2">
        <v>1.2589928057553899E-2</v>
      </c>
      <c r="F21211" s="2">
        <v>1.0767065446868399E-2</v>
      </c>
    </row>
    <row r="21212" spans="1:6" x14ac:dyDescent="0.25">
      <c r="A21212" s="1" t="str">
        <f t="shared" si="788"/>
        <v>33180</v>
      </c>
      <c r="B21212" s="1" t="str">
        <f>"40845"</f>
        <v>40845</v>
      </c>
      <c r="C21212" s="2">
        <v>1.6838760921366099E-2</v>
      </c>
      <c r="D21212" s="2">
        <v>3.7593984962406E-3</v>
      </c>
      <c r="E21212" s="2">
        <v>1.79856115107913E-2</v>
      </c>
      <c r="F21212" s="2">
        <v>1.5904292751583299E-2</v>
      </c>
    </row>
    <row r="21213" spans="1:6" x14ac:dyDescent="0.25">
      <c r="A21213" s="1" t="str">
        <f t="shared" si="788"/>
        <v>33180</v>
      </c>
      <c r="B21213" s="1" t="str">
        <f>"40813"</f>
        <v>40813</v>
      </c>
      <c r="C21213" s="2">
        <v>1.9698173153296201E-2</v>
      </c>
      <c r="D21213" s="2">
        <v>5.6390977443609002E-3</v>
      </c>
      <c r="E21213" s="2">
        <v>1.9784172661870499E-2</v>
      </c>
      <c r="F21213" s="2">
        <v>1.8648838845883101E-2</v>
      </c>
    </row>
    <row r="21214" spans="1:6" x14ac:dyDescent="0.25">
      <c r="A21214" s="1" t="str">
        <f t="shared" si="788"/>
        <v>33180</v>
      </c>
      <c r="B21214" s="1" t="str">
        <f>"40930"</f>
        <v>40930</v>
      </c>
      <c r="C21214" s="2">
        <v>0</v>
      </c>
      <c r="D21214" s="2">
        <v>0</v>
      </c>
      <c r="E21214" s="2">
        <v>1.7985611510791301E-3</v>
      </c>
      <c r="F21214" s="2">
        <v>7.0372976776917606E-5</v>
      </c>
    </row>
    <row r="21215" spans="1:6" x14ac:dyDescent="0.25">
      <c r="A21215" s="1" t="str">
        <f t="shared" si="788"/>
        <v>33180</v>
      </c>
      <c r="B21215" s="1" t="str">
        <f>"40988"</f>
        <v>40988</v>
      </c>
      <c r="C21215" s="2">
        <v>1.9142176330420899E-2</v>
      </c>
      <c r="D21215" s="2">
        <v>9.3984962406014998E-3</v>
      </c>
      <c r="E21215" s="2">
        <v>1.79856115107913E-2</v>
      </c>
      <c r="F21215" s="2">
        <v>1.8367346938775501E-2</v>
      </c>
    </row>
    <row r="21216" spans="1:6" x14ac:dyDescent="0.25">
      <c r="A21216" s="1" t="str">
        <f t="shared" si="788"/>
        <v>33180</v>
      </c>
      <c r="B21216" s="1" t="str">
        <f>"40940"</f>
        <v>40940</v>
      </c>
      <c r="C21216" s="2">
        <v>1.4217633042096899E-2</v>
      </c>
      <c r="D21216" s="2">
        <v>3.7593984962406E-3</v>
      </c>
      <c r="E21216" s="2">
        <v>7.1942446043165402E-3</v>
      </c>
      <c r="F21216" s="2">
        <v>1.3159746657283601E-2</v>
      </c>
    </row>
    <row r="21217" spans="1:6" x14ac:dyDescent="0.25">
      <c r="A21217" s="1" t="str">
        <f t="shared" si="788"/>
        <v>33180</v>
      </c>
      <c r="B21217" s="1" t="str">
        <f>"40977"</f>
        <v>40977</v>
      </c>
      <c r="C21217" s="2">
        <v>0.31826846703733103</v>
      </c>
      <c r="D21217" s="2">
        <v>0.28007518796992398</v>
      </c>
      <c r="E21217" s="2">
        <v>0.197841726618705</v>
      </c>
      <c r="F21217" s="2">
        <v>0.31069669247009102</v>
      </c>
    </row>
    <row r="21218" spans="1:6" x14ac:dyDescent="0.25">
      <c r="A21218" s="1" t="str">
        <f t="shared" si="788"/>
        <v>33180</v>
      </c>
      <c r="B21218" s="1" t="str">
        <f>"40955"</f>
        <v>40955</v>
      </c>
      <c r="C21218" s="2">
        <v>0</v>
      </c>
      <c r="D21218" s="2">
        <v>0</v>
      </c>
      <c r="E21218" s="2">
        <v>1.7985611510791301E-3</v>
      </c>
      <c r="F21218" s="2">
        <v>7.0372976776917606E-5</v>
      </c>
    </row>
    <row r="21219" spans="1:6" x14ac:dyDescent="0.25">
      <c r="A21219" s="1" t="str">
        <f t="shared" ref="A21219:A21239" si="789">"33220"</f>
        <v>33220</v>
      </c>
      <c r="B21219" s="1" t="str">
        <f>"48612"</f>
        <v>48612</v>
      </c>
      <c r="C21219" s="2">
        <v>1.9923791497521901E-3</v>
      </c>
      <c r="D21219" s="2">
        <v>0</v>
      </c>
      <c r="E21219" s="2">
        <v>0</v>
      </c>
      <c r="F21219" s="2">
        <v>1.8178512997636699E-3</v>
      </c>
    </row>
    <row r="21220" spans="1:6" x14ac:dyDescent="0.25">
      <c r="A21220" s="1" t="str">
        <f t="shared" si="789"/>
        <v>33220</v>
      </c>
      <c r="B21220" s="1" t="str">
        <f>"48880"</f>
        <v>48880</v>
      </c>
      <c r="C21220" s="2">
        <v>9.4887057006948407E-3</v>
      </c>
      <c r="D21220" s="2">
        <v>3.3863867253640303E-4</v>
      </c>
      <c r="E21220" s="2">
        <v>0</v>
      </c>
      <c r="F21220" s="2">
        <v>8.6802399563715594E-3</v>
      </c>
    </row>
    <row r="21221" spans="1:6" x14ac:dyDescent="0.25">
      <c r="A21221" s="1" t="str">
        <f t="shared" si="789"/>
        <v>33220</v>
      </c>
      <c r="B21221" s="1" t="str">
        <f>"48641"</f>
        <v>48641</v>
      </c>
      <c r="C21221" s="2">
        <v>2.30119791796378E-2</v>
      </c>
      <c r="D21221" s="2">
        <v>0.10971892990179399</v>
      </c>
      <c r="E21221" s="2">
        <v>2.2172949002217199E-3</v>
      </c>
      <c r="F21221" s="2">
        <v>2.8403926558807399E-2</v>
      </c>
    </row>
    <row r="21222" spans="1:6" x14ac:dyDescent="0.25">
      <c r="A21222" s="1" t="str">
        <f t="shared" si="789"/>
        <v>33220</v>
      </c>
      <c r="B21222" s="1" t="str">
        <f>"48618"</f>
        <v>48618</v>
      </c>
      <c r="C21222" s="2">
        <v>5.66084725923343E-2</v>
      </c>
      <c r="D21222" s="2">
        <v>1.6931933626820099E-2</v>
      </c>
      <c r="E21222" s="2">
        <v>3.2150776053215001E-2</v>
      </c>
      <c r="F21222" s="2">
        <v>5.3444828213052097E-2</v>
      </c>
    </row>
    <row r="21223" spans="1:6" x14ac:dyDescent="0.25">
      <c r="A21223" s="1" t="str">
        <f t="shared" si="789"/>
        <v>33220</v>
      </c>
      <c r="B21223" s="1" t="str">
        <f>"48657"</f>
        <v>48657</v>
      </c>
      <c r="C21223" s="2">
        <v>0.107165093517296</v>
      </c>
      <c r="D21223" s="2">
        <v>8.4321029461564501E-2</v>
      </c>
      <c r="E21223" s="2">
        <v>4.7671840354767098E-2</v>
      </c>
      <c r="F21223" s="2">
        <v>0.104412834030176</v>
      </c>
    </row>
    <row r="21224" spans="1:6" x14ac:dyDescent="0.25">
      <c r="A21224" s="1" t="str">
        <f t="shared" si="789"/>
        <v>33220</v>
      </c>
      <c r="B21224" s="1" t="str">
        <f>"48623"</f>
        <v>48623</v>
      </c>
      <c r="C21224" s="2">
        <v>1.1256942196099899E-2</v>
      </c>
      <c r="D21224" s="2">
        <v>3.38638672536403E-3</v>
      </c>
      <c r="E21224" s="2">
        <v>2.2172949002217199E-3</v>
      </c>
      <c r="F21224" s="2">
        <v>1.05435375386293E-2</v>
      </c>
    </row>
    <row r="21225" spans="1:6" x14ac:dyDescent="0.25">
      <c r="A21225" s="1" t="str">
        <f t="shared" si="789"/>
        <v>33220</v>
      </c>
      <c r="B21225" s="1" t="str">
        <f>"48667"</f>
        <v>48667</v>
      </c>
      <c r="C21225" s="2">
        <v>0</v>
      </c>
      <c r="D21225" s="2">
        <v>3.3863867253640303E-4</v>
      </c>
      <c r="E21225" s="2">
        <v>0</v>
      </c>
      <c r="F21225" s="2">
        <v>2.2723141247045899E-5</v>
      </c>
    </row>
    <row r="21226" spans="1:6" x14ac:dyDescent="0.25">
      <c r="A21226" s="1" t="str">
        <f t="shared" si="789"/>
        <v>33220</v>
      </c>
      <c r="B21226" s="1" t="str">
        <f>"48628"</f>
        <v>48628</v>
      </c>
      <c r="C21226" s="2">
        <v>2.0197743630612899E-2</v>
      </c>
      <c r="D21226" s="2">
        <v>7.7886894683372801E-3</v>
      </c>
      <c r="E21226" s="2">
        <v>0</v>
      </c>
      <c r="F21226" s="2">
        <v>1.89510998000363E-2</v>
      </c>
    </row>
    <row r="21227" spans="1:6" x14ac:dyDescent="0.25">
      <c r="A21227" s="1" t="str">
        <f t="shared" si="789"/>
        <v>33220</v>
      </c>
      <c r="B21227" s="1" t="str">
        <f>"48640"</f>
        <v>48640</v>
      </c>
      <c r="C21227" s="2">
        <v>0.35867805643413903</v>
      </c>
      <c r="D21227" s="2">
        <v>0.49068743650524799</v>
      </c>
      <c r="E21227" s="2">
        <v>0.461197339246119</v>
      </c>
      <c r="F21227" s="2">
        <v>0.36963733866569698</v>
      </c>
    </row>
    <row r="21228" spans="1:6" x14ac:dyDescent="0.25">
      <c r="A21228" s="1" t="str">
        <f t="shared" si="789"/>
        <v>33220</v>
      </c>
      <c r="B21228" s="1" t="str">
        <f>"48883"</f>
        <v>48883</v>
      </c>
      <c r="C21228" s="2">
        <v>2.0621124199935201E-2</v>
      </c>
      <c r="D21228" s="2">
        <v>6.4341347781916598E-3</v>
      </c>
      <c r="E21228" s="2">
        <v>0</v>
      </c>
      <c r="F21228" s="2">
        <v>1.9246500636247901E-2</v>
      </c>
    </row>
    <row r="21229" spans="1:6" x14ac:dyDescent="0.25">
      <c r="A21229" s="1" t="str">
        <f t="shared" si="789"/>
        <v>33220</v>
      </c>
      <c r="B21229" s="1" t="str">
        <f>"48674"</f>
        <v>48674</v>
      </c>
      <c r="C21229" s="2">
        <v>0</v>
      </c>
      <c r="D21229" s="2">
        <v>2.37047070775482E-3</v>
      </c>
      <c r="E21229" s="2">
        <v>0</v>
      </c>
      <c r="F21229" s="2">
        <v>1.5906198872932099E-4</v>
      </c>
    </row>
    <row r="21230" spans="1:6" x14ac:dyDescent="0.25">
      <c r="A21230" s="1" t="str">
        <f t="shared" si="789"/>
        <v>33220</v>
      </c>
      <c r="B21230" s="1" t="str">
        <f>"48670"</f>
        <v>48670</v>
      </c>
      <c r="C21230" s="2">
        <v>0</v>
      </c>
      <c r="D21230" s="2">
        <v>1.0159160176092101E-3</v>
      </c>
      <c r="E21230" s="2">
        <v>0</v>
      </c>
      <c r="F21230" s="2">
        <v>6.8169423741137899E-5</v>
      </c>
    </row>
    <row r="21231" spans="1:6" x14ac:dyDescent="0.25">
      <c r="A21231" s="1" t="str">
        <f t="shared" si="789"/>
        <v>33220</v>
      </c>
      <c r="B21231" s="1" t="str">
        <f>"48620"</f>
        <v>48620</v>
      </c>
      <c r="C21231" s="2">
        <v>3.7357109057853703E-4</v>
      </c>
      <c r="D21231" s="2">
        <v>1.69319336268201E-3</v>
      </c>
      <c r="E21231" s="2">
        <v>0</v>
      </c>
      <c r="F21231" s="2">
        <v>4.54462824940919E-4</v>
      </c>
    </row>
    <row r="21232" spans="1:6" x14ac:dyDescent="0.25">
      <c r="A21232" s="1" t="str">
        <f t="shared" si="789"/>
        <v>33220</v>
      </c>
      <c r="B21232" s="1" t="str">
        <f>"48642"</f>
        <v>48642</v>
      </c>
      <c r="C21232" s="2">
        <v>0.36228924364306497</v>
      </c>
      <c r="D21232" s="2">
        <v>0.26786318997629499</v>
      </c>
      <c r="E21232" s="2">
        <v>0.45454545454545398</v>
      </c>
      <c r="F21232" s="2">
        <v>0.35784402835848</v>
      </c>
    </row>
    <row r="21233" spans="1:6" x14ac:dyDescent="0.25">
      <c r="A21233" s="1" t="str">
        <f t="shared" si="789"/>
        <v>33220</v>
      </c>
      <c r="B21233" s="1" t="str">
        <f>"48626"</f>
        <v>48626</v>
      </c>
      <c r="C21233" s="2">
        <v>4.4828530869424404E-3</v>
      </c>
      <c r="D21233" s="2">
        <v>2.7091093802912199E-3</v>
      </c>
      <c r="E21233" s="2">
        <v>0</v>
      </c>
      <c r="F21233" s="2">
        <v>4.2719505544446404E-3</v>
      </c>
    </row>
    <row r="21234" spans="1:6" x14ac:dyDescent="0.25">
      <c r="A21234" s="1" t="str">
        <f t="shared" si="789"/>
        <v>33220</v>
      </c>
      <c r="B21234" s="1" t="str">
        <f>"48634"</f>
        <v>48634</v>
      </c>
      <c r="C21234" s="2">
        <v>7.4714218115707397E-5</v>
      </c>
      <c r="D21234" s="2">
        <v>0</v>
      </c>
      <c r="E21234" s="2">
        <v>0</v>
      </c>
      <c r="F21234" s="2">
        <v>6.8169423741137899E-5</v>
      </c>
    </row>
    <row r="21235" spans="1:6" x14ac:dyDescent="0.25">
      <c r="A21235" s="1" t="str">
        <f t="shared" si="789"/>
        <v>33220</v>
      </c>
      <c r="B21235" s="1" t="str">
        <f>"48652"</f>
        <v>48652</v>
      </c>
      <c r="C21235" s="2">
        <v>3.4617587726944398E-3</v>
      </c>
      <c r="D21235" s="2">
        <v>6.7727734507280703E-4</v>
      </c>
      <c r="E21235" s="2">
        <v>0</v>
      </c>
      <c r="F21235" s="2">
        <v>3.2039629158334801E-3</v>
      </c>
    </row>
    <row r="21236" spans="1:6" x14ac:dyDescent="0.25">
      <c r="A21236" s="1" t="str">
        <f t="shared" si="789"/>
        <v>33220</v>
      </c>
      <c r="B21236" s="1" t="str">
        <f>"48858"</f>
        <v>48858</v>
      </c>
      <c r="C21236" s="2">
        <v>2.7644260702811702E-3</v>
      </c>
      <c r="D21236" s="2">
        <v>2.0318320352184201E-3</v>
      </c>
      <c r="E21236" s="2">
        <v>0</v>
      </c>
      <c r="F21236" s="2">
        <v>2.6586075259043798E-3</v>
      </c>
    </row>
    <row r="21237" spans="1:6" x14ac:dyDescent="0.25">
      <c r="A21237" s="1" t="str">
        <f t="shared" si="789"/>
        <v>33220</v>
      </c>
      <c r="B21237" s="1" t="str">
        <f>"48637"</f>
        <v>48637</v>
      </c>
      <c r="C21237" s="2">
        <v>4.7817099594052699E-3</v>
      </c>
      <c r="D21237" s="2">
        <v>3.3863867253640303E-4</v>
      </c>
      <c r="E21237" s="2">
        <v>0</v>
      </c>
      <c r="F21237" s="2">
        <v>4.3855662606798696E-3</v>
      </c>
    </row>
    <row r="21238" spans="1:6" x14ac:dyDescent="0.25">
      <c r="A21238" s="1" t="str">
        <f t="shared" si="789"/>
        <v>33220</v>
      </c>
      <c r="B21238" s="1" t="str">
        <f>"48662"</f>
        <v>48662</v>
      </c>
      <c r="C21238" s="2">
        <v>2.9387592458844898E-3</v>
      </c>
      <c r="D21238" s="2">
        <v>3.3863867253640303E-4</v>
      </c>
      <c r="E21238" s="2">
        <v>0</v>
      </c>
      <c r="F21238" s="2">
        <v>2.7040538083984698E-3</v>
      </c>
    </row>
    <row r="21239" spans="1:6" x14ac:dyDescent="0.25">
      <c r="A21239" s="1" t="str">
        <f t="shared" si="789"/>
        <v>33220</v>
      </c>
      <c r="B21239" s="1" t="str">
        <f>"48615"</f>
        <v>48615</v>
      </c>
      <c r="C21239" s="2">
        <v>9.81246731252957E-3</v>
      </c>
      <c r="D21239" s="2">
        <v>1.0159160176092101E-3</v>
      </c>
      <c r="E21239" s="2">
        <v>0</v>
      </c>
      <c r="F21239" s="2">
        <v>9.0210870750772505E-3</v>
      </c>
    </row>
    <row r="21240" spans="1:6" x14ac:dyDescent="0.25">
      <c r="A21240" s="1" t="str">
        <f t="shared" ref="A21240:A21257" si="790">"33260"</f>
        <v>33260</v>
      </c>
      <c r="B21240" s="1" t="str">
        <f>"79705"</f>
        <v>79705</v>
      </c>
      <c r="C21240" s="2">
        <v>0.241654002647188</v>
      </c>
      <c r="D21240" s="2">
        <v>0.14980924120389899</v>
      </c>
      <c r="E21240" s="2">
        <v>0.21785173978819899</v>
      </c>
      <c r="F21240" s="2">
        <v>0.229718331858176</v>
      </c>
    </row>
    <row r="21241" spans="1:6" x14ac:dyDescent="0.25">
      <c r="A21241" s="1" t="str">
        <f t="shared" si="790"/>
        <v>33260</v>
      </c>
      <c r="B21241" s="1" t="str">
        <f>"79704"</f>
        <v>79704</v>
      </c>
      <c r="C21241" s="2">
        <v>1.0760331388793501E-2</v>
      </c>
      <c r="D21241" s="2">
        <v>3.57778719796523E-2</v>
      </c>
      <c r="E21241" s="2">
        <v>7.5642965204235997E-4</v>
      </c>
      <c r="F21241" s="2">
        <v>1.3557557140625801E-2</v>
      </c>
    </row>
    <row r="21242" spans="1:6" x14ac:dyDescent="0.25">
      <c r="A21242" s="1" t="str">
        <f t="shared" si="790"/>
        <v>33260</v>
      </c>
      <c r="B21242" s="1" t="str">
        <f>"79710"</f>
        <v>79710</v>
      </c>
      <c r="C21242" s="2">
        <v>2.23417814598754E-2</v>
      </c>
      <c r="D21242" s="2">
        <v>6.1297159813480197E-2</v>
      </c>
      <c r="E21242" s="2">
        <v>7.5642965204235997E-4</v>
      </c>
      <c r="F21242" s="2">
        <v>2.6531993544020398E-2</v>
      </c>
    </row>
    <row r="21243" spans="1:6" x14ac:dyDescent="0.25">
      <c r="A21243" s="1" t="str">
        <f t="shared" si="790"/>
        <v>33260</v>
      </c>
      <c r="B21243" s="1" t="str">
        <f>"79702"</f>
        <v>79702</v>
      </c>
      <c r="C21243" s="2">
        <v>2.4045296338055699E-2</v>
      </c>
      <c r="D21243" s="2">
        <v>0.10394234845273401</v>
      </c>
      <c r="E21243" s="2">
        <v>7.5642965204235997E-4</v>
      </c>
      <c r="F21243" s="2">
        <v>3.3217056281564003E-2</v>
      </c>
    </row>
    <row r="21244" spans="1:6" x14ac:dyDescent="0.25">
      <c r="A21244" s="1" t="str">
        <f t="shared" si="790"/>
        <v>33260</v>
      </c>
      <c r="B21244" s="1" t="str">
        <f>"79331"</f>
        <v>79331</v>
      </c>
      <c r="C21244" s="2">
        <v>3.55409578900926E-4</v>
      </c>
      <c r="D21244" s="2">
        <v>0</v>
      </c>
      <c r="E21244" s="2">
        <v>0</v>
      </c>
      <c r="F21244" s="2">
        <v>3.0197323892330901E-4</v>
      </c>
    </row>
    <row r="21245" spans="1:6" x14ac:dyDescent="0.25">
      <c r="A21245" s="1" t="str">
        <f t="shared" si="790"/>
        <v>33260</v>
      </c>
      <c r="B21245" s="1" t="str">
        <f>"79766"</f>
        <v>79766</v>
      </c>
      <c r="C21245" s="2">
        <v>1.8383254081082399E-3</v>
      </c>
      <c r="D21245" s="2">
        <v>3.39126748622297E-4</v>
      </c>
      <c r="E21245" s="2">
        <v>3.7821482602117998E-4</v>
      </c>
      <c r="F21245" s="2">
        <v>1.6139948976935401E-3</v>
      </c>
    </row>
    <row r="21246" spans="1:6" x14ac:dyDescent="0.25">
      <c r="A21246" s="1" t="str">
        <f t="shared" si="790"/>
        <v>33260</v>
      </c>
      <c r="B21246" s="1" t="str">
        <f>"79783"</f>
        <v>79783</v>
      </c>
      <c r="C21246" s="2">
        <v>3.7992058434236899E-4</v>
      </c>
      <c r="D21246" s="2">
        <v>2.5434506146672299E-4</v>
      </c>
      <c r="E21246" s="2">
        <v>0</v>
      </c>
      <c r="F21246" s="2">
        <v>3.5403759046181001E-4</v>
      </c>
    </row>
    <row r="21247" spans="1:6" x14ac:dyDescent="0.25">
      <c r="A21247" s="1" t="str">
        <f t="shared" si="790"/>
        <v>33260</v>
      </c>
      <c r="B21247" s="1" t="str">
        <f>"79711"</f>
        <v>79711</v>
      </c>
      <c r="C21247" s="2">
        <v>0</v>
      </c>
      <c r="D21247" s="2">
        <v>8.4781687155574304E-5</v>
      </c>
      <c r="E21247" s="2">
        <v>0</v>
      </c>
      <c r="F21247" s="2">
        <v>1.04128703077003E-5</v>
      </c>
    </row>
    <row r="21248" spans="1:6" x14ac:dyDescent="0.25">
      <c r="A21248" s="1" t="str">
        <f t="shared" si="790"/>
        <v>33260</v>
      </c>
      <c r="B21248" s="1" t="str">
        <f>"79701"</f>
        <v>79701</v>
      </c>
      <c r="C21248" s="2">
        <v>0.14563213883033399</v>
      </c>
      <c r="D21248" s="2">
        <v>0.33666807969478502</v>
      </c>
      <c r="E21248" s="2">
        <v>0.263615733736762</v>
      </c>
      <c r="F21248" s="2">
        <v>0.17234341646274701</v>
      </c>
    </row>
    <row r="21249" spans="1:6" x14ac:dyDescent="0.25">
      <c r="A21249" s="1" t="str">
        <f t="shared" si="790"/>
        <v>33260</v>
      </c>
      <c r="B21249" s="1" t="str">
        <f>"79703"</f>
        <v>79703</v>
      </c>
      <c r="C21249" s="2">
        <v>0.101683906073827</v>
      </c>
      <c r="D21249" s="2">
        <v>5.29037727850784E-2</v>
      </c>
      <c r="E21249" s="2">
        <v>0.13010590015128501</v>
      </c>
      <c r="F21249" s="2">
        <v>9.6475243400843402E-2</v>
      </c>
    </row>
    <row r="21250" spans="1:6" x14ac:dyDescent="0.25">
      <c r="A21250" s="1" t="str">
        <f t="shared" si="790"/>
        <v>33260</v>
      </c>
      <c r="B21250" s="1" t="str">
        <f>"79758"</f>
        <v>79758</v>
      </c>
      <c r="C21250" s="2">
        <v>6.1277513603607997E-5</v>
      </c>
      <c r="D21250" s="2">
        <v>0</v>
      </c>
      <c r="E21250" s="2">
        <v>0</v>
      </c>
      <c r="F21250" s="2">
        <v>5.2064351538501503E-5</v>
      </c>
    </row>
    <row r="21251" spans="1:6" x14ac:dyDescent="0.25">
      <c r="A21251" s="1" t="str">
        <f t="shared" si="790"/>
        <v>33260</v>
      </c>
      <c r="B21251" s="1" t="str">
        <f>"79782"</f>
        <v>79782</v>
      </c>
      <c r="C21251" s="2">
        <v>2.3751164272758401E-2</v>
      </c>
      <c r="D21251" s="2">
        <v>1.2717253073336101E-2</v>
      </c>
      <c r="E21251" s="2">
        <v>7.9425113464447802E-3</v>
      </c>
      <c r="F21251" s="2">
        <v>2.1960743478939899E-2</v>
      </c>
    </row>
    <row r="21252" spans="1:6" x14ac:dyDescent="0.25">
      <c r="A21252" s="1" t="str">
        <f t="shared" si="790"/>
        <v>33260</v>
      </c>
      <c r="B21252" s="1" t="str">
        <f>"79712"</f>
        <v>79712</v>
      </c>
      <c r="C21252" s="2">
        <v>8.9587724888474905E-3</v>
      </c>
      <c r="D21252" s="2">
        <v>0</v>
      </c>
      <c r="E21252" s="2">
        <v>7.5642965204235997E-4</v>
      </c>
      <c r="F21252" s="2">
        <v>7.6326339355443302E-3</v>
      </c>
    </row>
    <row r="21253" spans="1:6" x14ac:dyDescent="0.25">
      <c r="A21253" s="1" t="str">
        <f t="shared" si="790"/>
        <v>33260</v>
      </c>
      <c r="B21253" s="1" t="str">
        <f>"79749"</f>
        <v>79749</v>
      </c>
      <c r="C21253" s="2">
        <v>1.2500612775136E-3</v>
      </c>
      <c r="D21253" s="2">
        <v>5.9347181008901999E-4</v>
      </c>
      <c r="E21253" s="2">
        <v>2.6475037821482601E-3</v>
      </c>
      <c r="F21253" s="2">
        <v>1.20789295569323E-3</v>
      </c>
    </row>
    <row r="21254" spans="1:6" x14ac:dyDescent="0.25">
      <c r="A21254" s="1" t="str">
        <f t="shared" si="790"/>
        <v>33260</v>
      </c>
      <c r="B21254" s="1" t="str">
        <f>"79707"</f>
        <v>79707</v>
      </c>
      <c r="C21254" s="2">
        <v>0.21684886514044799</v>
      </c>
      <c r="D21254" s="2">
        <v>6.9012293344637501E-2</v>
      </c>
      <c r="E21254" s="2">
        <v>0.13464447806353999</v>
      </c>
      <c r="F21254" s="2">
        <v>0.19642838548445801</v>
      </c>
    </row>
    <row r="21255" spans="1:6" x14ac:dyDescent="0.25">
      <c r="A21255" s="1" t="str">
        <f t="shared" si="790"/>
        <v>33260</v>
      </c>
      <c r="B21255" s="1" t="str">
        <f>"79706"</f>
        <v>79706</v>
      </c>
      <c r="C21255" s="2">
        <v>0.14756850826020801</v>
      </c>
      <c r="D21255" s="2">
        <v>8.3509961848240694E-2</v>
      </c>
      <c r="E21255" s="2">
        <v>0.221633888048411</v>
      </c>
      <c r="F21255" s="2">
        <v>0.141739990628416</v>
      </c>
    </row>
    <row r="21256" spans="1:6" x14ac:dyDescent="0.25">
      <c r="A21256" s="1" t="str">
        <f t="shared" si="790"/>
        <v>33260</v>
      </c>
      <c r="B21256" s="1" t="str">
        <f>"79708"</f>
        <v>79708</v>
      </c>
      <c r="C21256" s="2">
        <v>1.8064611010343599E-2</v>
      </c>
      <c r="D21256" s="2">
        <v>6.1297159813480197E-2</v>
      </c>
      <c r="E21256" s="2">
        <v>3.7821482602117998E-4</v>
      </c>
      <c r="F21256" s="2">
        <v>2.2887488936325199E-2</v>
      </c>
    </row>
    <row r="21257" spans="1:6" x14ac:dyDescent="0.25">
      <c r="A21257" s="1" t="str">
        <f t="shared" si="790"/>
        <v>33260</v>
      </c>
      <c r="B21257" s="1" t="str">
        <f>"79765"</f>
        <v>79765</v>
      </c>
      <c r="C21257" s="2">
        <v>3.4805627726849302E-2</v>
      </c>
      <c r="D21257" s="2">
        <v>3.1793132683340303E-2</v>
      </c>
      <c r="E21257" s="2">
        <v>1.7776096822995399E-2</v>
      </c>
      <c r="F21257" s="2">
        <v>3.3966782943718403E-2</v>
      </c>
    </row>
    <row r="21258" spans="1:6" x14ac:dyDescent="0.25">
      <c r="A21258" s="1" t="str">
        <f t="shared" ref="A21258:A21268" si="791">"33300"</f>
        <v>33300</v>
      </c>
      <c r="B21258" s="1" t="str">
        <f>"31061"</f>
        <v>31061</v>
      </c>
      <c r="C21258" s="2">
        <v>0.74790058241906998</v>
      </c>
      <c r="D21258" s="2">
        <v>0.73515439429928697</v>
      </c>
      <c r="E21258" s="2">
        <v>0.94077669902912597</v>
      </c>
      <c r="F21258" s="2">
        <v>0.752931576402321</v>
      </c>
    </row>
    <row r="21259" spans="1:6" x14ac:dyDescent="0.25">
      <c r="A21259" s="1" t="str">
        <f t="shared" si="791"/>
        <v>33300</v>
      </c>
      <c r="B21259" s="1" t="str">
        <f>"31082"</f>
        <v>31082</v>
      </c>
      <c r="C21259" s="2">
        <v>1.8962481376134301E-3</v>
      </c>
      <c r="D21259" s="2">
        <v>3.9588281868566902E-4</v>
      </c>
      <c r="E21259" s="2">
        <v>0</v>
      </c>
      <c r="F21259" s="2">
        <v>1.72267891682785E-3</v>
      </c>
    </row>
    <row r="21260" spans="1:6" x14ac:dyDescent="0.25">
      <c r="A21260" s="1" t="str">
        <f t="shared" si="791"/>
        <v>33300</v>
      </c>
      <c r="B21260" s="1" t="str">
        <f>"31062"</f>
        <v>31062</v>
      </c>
      <c r="C21260" s="2">
        <v>0</v>
      </c>
      <c r="D21260" s="2">
        <v>0</v>
      </c>
      <c r="E21260" s="2">
        <v>9.7087378640776597E-4</v>
      </c>
      <c r="F21260" s="2">
        <v>3.02224371373307E-5</v>
      </c>
    </row>
    <row r="21261" spans="1:6" x14ac:dyDescent="0.25">
      <c r="A21261" s="1" t="str">
        <f t="shared" si="791"/>
        <v>33300</v>
      </c>
      <c r="B21261" s="1" t="str">
        <f>"31034"</f>
        <v>31034</v>
      </c>
      <c r="C21261" s="2">
        <v>0</v>
      </c>
      <c r="D21261" s="2">
        <v>3.9588281868566902E-4</v>
      </c>
      <c r="E21261" s="2">
        <v>0</v>
      </c>
      <c r="F21261" s="2">
        <v>3.02224371373307E-5</v>
      </c>
    </row>
    <row r="21262" spans="1:6" x14ac:dyDescent="0.25">
      <c r="A21262" s="1" t="str">
        <f t="shared" si="791"/>
        <v>33300</v>
      </c>
      <c r="B21262" s="1" t="str">
        <f>"31045"</f>
        <v>31045</v>
      </c>
      <c r="C21262" s="2">
        <v>1.1174319382364799E-3</v>
      </c>
      <c r="D21262" s="2">
        <v>1.187648456057E-3</v>
      </c>
      <c r="E21262" s="2">
        <v>0</v>
      </c>
      <c r="F21262" s="2">
        <v>1.0880077369439E-3</v>
      </c>
    </row>
    <row r="21263" spans="1:6" x14ac:dyDescent="0.25">
      <c r="A21263" s="1" t="str">
        <f t="shared" si="791"/>
        <v>33300</v>
      </c>
      <c r="B21263" s="1" t="str">
        <f>"31031"</f>
        <v>31031</v>
      </c>
      <c r="C21263" s="2">
        <v>2.69876743871055E-2</v>
      </c>
      <c r="D21263" s="2">
        <v>8.7094220110847092E-3</v>
      </c>
      <c r="E21263" s="2">
        <v>1.45631067961165E-2</v>
      </c>
      <c r="F21263" s="2">
        <v>2.5205512572533801E-2</v>
      </c>
    </row>
    <row r="21264" spans="1:6" x14ac:dyDescent="0.25">
      <c r="A21264" s="1" t="str">
        <f t="shared" si="791"/>
        <v>33300</v>
      </c>
      <c r="B21264" s="1" t="str">
        <f>"31087"</f>
        <v>31087</v>
      </c>
      <c r="C21264" s="2">
        <v>0.16991737775971799</v>
      </c>
      <c r="D21264" s="2">
        <v>0.104513064133016</v>
      </c>
      <c r="E21264" s="2">
        <v>4.1747572815533901E-2</v>
      </c>
      <c r="F21264" s="2">
        <v>0.160934477756286</v>
      </c>
    </row>
    <row r="21265" spans="1:6" x14ac:dyDescent="0.25">
      <c r="A21265" s="1" t="str">
        <f t="shared" si="791"/>
        <v>33300</v>
      </c>
      <c r="B21265" s="1" t="str">
        <f>"30820"</f>
        <v>30820</v>
      </c>
      <c r="C21265" s="2">
        <v>1.0835703643505301E-3</v>
      </c>
      <c r="D21265" s="2">
        <v>3.9588281868566902E-4</v>
      </c>
      <c r="E21265" s="2">
        <v>0</v>
      </c>
      <c r="F21265" s="2">
        <v>9.9734042553191395E-4</v>
      </c>
    </row>
    <row r="21266" spans="1:6" x14ac:dyDescent="0.25">
      <c r="A21266" s="1" t="str">
        <f t="shared" si="791"/>
        <v>33300</v>
      </c>
      <c r="B21266" s="1" t="str">
        <f>"31033"</f>
        <v>31033</v>
      </c>
      <c r="C21266" s="2">
        <v>6.1966680211296204E-3</v>
      </c>
      <c r="D21266" s="2">
        <v>1.187648456057E-3</v>
      </c>
      <c r="E21266" s="2">
        <v>0</v>
      </c>
      <c r="F21266" s="2">
        <v>5.62137330754352E-3</v>
      </c>
    </row>
    <row r="21267" spans="1:6" x14ac:dyDescent="0.25">
      <c r="A21267" s="1" t="str">
        <f t="shared" si="791"/>
        <v>33300</v>
      </c>
      <c r="B21267" s="1" t="str">
        <f>"31059"</f>
        <v>31059</v>
      </c>
      <c r="C21267" s="2">
        <v>4.3308953000135403E-2</v>
      </c>
      <c r="D21267" s="2">
        <v>0.14687252573238299</v>
      </c>
      <c r="E21267" s="2">
        <v>1.94174757281553E-3</v>
      </c>
      <c r="F21267" s="2">
        <v>4.9927466150870403E-2</v>
      </c>
    </row>
    <row r="21268" spans="1:6" x14ac:dyDescent="0.25">
      <c r="A21268" s="1" t="str">
        <f t="shared" si="791"/>
        <v>33300</v>
      </c>
      <c r="B21268" s="1" t="str">
        <f>"30678"</f>
        <v>30678</v>
      </c>
      <c r="C21268" s="2">
        <v>1.59149397263984E-3</v>
      </c>
      <c r="D21268" s="2">
        <v>1.187648456057E-3</v>
      </c>
      <c r="E21268" s="2">
        <v>0</v>
      </c>
      <c r="F21268" s="2">
        <v>1.51112185686653E-3</v>
      </c>
    </row>
    <row r="21269" spans="1:6" x14ac:dyDescent="0.25">
      <c r="A21269" s="1" t="str">
        <f t="shared" ref="A21269:A21300" si="792">"33340"</f>
        <v>33340</v>
      </c>
      <c r="B21269" s="1" t="str">
        <f>"53058"</f>
        <v>53058</v>
      </c>
      <c r="C21269" s="2">
        <v>1.9510529430010999E-3</v>
      </c>
      <c r="D21269" s="2">
        <v>4.5588548156703002E-4</v>
      </c>
      <c r="E21269" s="2">
        <v>3.6236641020927899E-3</v>
      </c>
      <c r="F21269" s="2">
        <v>1.91122941984717E-3</v>
      </c>
    </row>
    <row r="21270" spans="1:6" x14ac:dyDescent="0.25">
      <c r="A21270" s="1" t="str">
        <f t="shared" si="792"/>
        <v>33340</v>
      </c>
      <c r="B21270" s="1" t="str">
        <f>"53207"</f>
        <v>53207</v>
      </c>
      <c r="C21270" s="2">
        <v>2.3571638962670598E-2</v>
      </c>
      <c r="D21270" s="2">
        <v>2.40251648785825E-2</v>
      </c>
      <c r="E21270" s="2">
        <v>1.5728802877924501E-2</v>
      </c>
      <c r="F21270" s="2">
        <v>2.3263048301875498E-2</v>
      </c>
    </row>
    <row r="21271" spans="1:6" x14ac:dyDescent="0.25">
      <c r="A21271" s="1" t="str">
        <f t="shared" si="792"/>
        <v>33340</v>
      </c>
      <c r="B21271" s="1" t="str">
        <f>"53225"</f>
        <v>53225</v>
      </c>
      <c r="C21271" s="2">
        <v>1.5037574386337099E-2</v>
      </c>
      <c r="D21271" s="2">
        <v>1.1108409567516599E-2</v>
      </c>
      <c r="E21271" s="2">
        <v>3.3295696242417801E-2</v>
      </c>
      <c r="F21271" s="2">
        <v>1.5538926520403E-2</v>
      </c>
    </row>
    <row r="21272" spans="1:6" x14ac:dyDescent="0.25">
      <c r="A21272" s="1" t="str">
        <f t="shared" si="792"/>
        <v>33340</v>
      </c>
      <c r="B21272" s="1" t="str">
        <f>"53130"</f>
        <v>53130</v>
      </c>
      <c r="C21272" s="2">
        <v>5.3044659171773397E-3</v>
      </c>
      <c r="D21272" s="2">
        <v>8.7378050633680794E-3</v>
      </c>
      <c r="E21272" s="2">
        <v>7.1422944620959401E-3</v>
      </c>
      <c r="F21272" s="2">
        <v>5.64415318762074E-3</v>
      </c>
    </row>
    <row r="21273" spans="1:6" x14ac:dyDescent="0.25">
      <c r="A21273" s="1" t="str">
        <f t="shared" si="792"/>
        <v>33340</v>
      </c>
      <c r="B21273" s="1" t="str">
        <f>"53092"</f>
        <v>53092</v>
      </c>
      <c r="C21273" s="2">
        <v>1.2618633663417899E-2</v>
      </c>
      <c r="D21273" s="2">
        <v>2.5058505303467701E-2</v>
      </c>
      <c r="E21273" s="2">
        <v>1.02407898537405E-2</v>
      </c>
      <c r="F21273" s="2">
        <v>1.34543663844016E-2</v>
      </c>
    </row>
    <row r="21274" spans="1:6" x14ac:dyDescent="0.25">
      <c r="A21274" s="1" t="str">
        <f t="shared" si="792"/>
        <v>33340</v>
      </c>
      <c r="B21274" s="1" t="str">
        <f>"53149"</f>
        <v>53149</v>
      </c>
      <c r="C21274" s="2">
        <v>9.7474448635305501E-3</v>
      </c>
      <c r="D21274" s="2">
        <v>6.7471051271920397E-3</v>
      </c>
      <c r="E21274" s="2">
        <v>7.0110022844838901E-3</v>
      </c>
      <c r="F21274" s="2">
        <v>9.4011825516806691E-3</v>
      </c>
    </row>
    <row r="21275" spans="1:6" x14ac:dyDescent="0.25">
      <c r="A21275" s="1" t="str">
        <f t="shared" si="792"/>
        <v>33340</v>
      </c>
      <c r="B21275" s="1" t="str">
        <f>"53183"</f>
        <v>53183</v>
      </c>
      <c r="C21275" s="2">
        <v>1.6929978443276099E-3</v>
      </c>
      <c r="D21275" s="2">
        <v>2.03628848433273E-3</v>
      </c>
      <c r="E21275" s="2">
        <v>1.0765958564188699E-3</v>
      </c>
      <c r="F21275" s="2">
        <v>1.6919832821950299E-3</v>
      </c>
    </row>
    <row r="21276" spans="1:6" x14ac:dyDescent="0.25">
      <c r="A21276" s="1" t="str">
        <f t="shared" si="792"/>
        <v>33340</v>
      </c>
      <c r="B21276" s="1" t="str">
        <f>"53127"</f>
        <v>53127</v>
      </c>
      <c r="C21276" s="2">
        <v>5.2132343166362102E-5</v>
      </c>
      <c r="D21276" s="2">
        <v>1.9755037534571301E-4</v>
      </c>
      <c r="E21276" s="2">
        <v>1.0503374208964599E-4</v>
      </c>
      <c r="F21276" s="2">
        <v>6.5429475634407605E-5</v>
      </c>
    </row>
    <row r="21277" spans="1:6" x14ac:dyDescent="0.25">
      <c r="A21277" s="1" t="str">
        <f t="shared" si="792"/>
        <v>33340</v>
      </c>
      <c r="B21277" s="1" t="str">
        <f>"53185"</f>
        <v>53185</v>
      </c>
      <c r="C21277" s="2">
        <v>9.1231600541133706E-6</v>
      </c>
      <c r="D21277" s="2">
        <v>0</v>
      </c>
      <c r="E21277" s="2">
        <v>0</v>
      </c>
      <c r="F21277" s="2">
        <v>8.0351987621202305E-6</v>
      </c>
    </row>
    <row r="21278" spans="1:6" x14ac:dyDescent="0.25">
      <c r="A21278" s="1" t="str">
        <f t="shared" si="792"/>
        <v>33340</v>
      </c>
      <c r="B21278" s="1" t="str">
        <f>"53046"</f>
        <v>53046</v>
      </c>
      <c r="C21278" s="2">
        <v>8.0935462765777198E-4</v>
      </c>
      <c r="D21278" s="2">
        <v>1.39804881013889E-3</v>
      </c>
      <c r="E21278" s="2">
        <v>3.4135966179134997E-4</v>
      </c>
      <c r="F21278" s="2">
        <v>8.3336490018561297E-4</v>
      </c>
    </row>
    <row r="21279" spans="1:6" x14ac:dyDescent="0.25">
      <c r="A21279" s="1" t="str">
        <f t="shared" si="792"/>
        <v>33340</v>
      </c>
      <c r="B21279" s="1" t="str">
        <f>"53146"</f>
        <v>53146</v>
      </c>
      <c r="C21279" s="2">
        <v>3.9607547720643599E-3</v>
      </c>
      <c r="D21279" s="2">
        <v>2.2946235905540501E-3</v>
      </c>
      <c r="E21279" s="2">
        <v>3.4135966179134997E-4</v>
      </c>
      <c r="F21279" s="2">
        <v>3.6766773764387302E-3</v>
      </c>
    </row>
    <row r="21280" spans="1:6" x14ac:dyDescent="0.25">
      <c r="A21280" s="1" t="str">
        <f t="shared" si="792"/>
        <v>33340</v>
      </c>
      <c r="B21280" s="1" t="str">
        <f>"53103"</f>
        <v>53103</v>
      </c>
      <c r="C21280" s="2">
        <v>2.0292514577506401E-3</v>
      </c>
      <c r="D21280" s="2">
        <v>2.91766708202899E-3</v>
      </c>
      <c r="E21280" s="2">
        <v>3.4135966179134997E-4</v>
      </c>
      <c r="F21280" s="2">
        <v>2.0225743169793998E-3</v>
      </c>
    </row>
    <row r="21281" spans="1:6" x14ac:dyDescent="0.25">
      <c r="A21281" s="1" t="str">
        <f t="shared" si="792"/>
        <v>33340</v>
      </c>
      <c r="B21281" s="1" t="str">
        <f>"53005"</f>
        <v>53005</v>
      </c>
      <c r="C21281" s="2">
        <v>1.11602313633389E-2</v>
      </c>
      <c r="D21281" s="2">
        <v>2.8523234963377098E-2</v>
      </c>
      <c r="E21281" s="2">
        <v>1.3575611165086701E-2</v>
      </c>
      <c r="F21281" s="2">
        <v>1.2577381833793E-2</v>
      </c>
    </row>
    <row r="21282" spans="1:6" x14ac:dyDescent="0.25">
      <c r="A21282" s="1" t="str">
        <f t="shared" si="792"/>
        <v>33340</v>
      </c>
      <c r="B21282" s="1" t="str">
        <f>"53033"</f>
        <v>53033</v>
      </c>
      <c r="C21282" s="2">
        <v>2.9897898805908599E-3</v>
      </c>
      <c r="D21282" s="2">
        <v>1.3220678965443801E-3</v>
      </c>
      <c r="E21282" s="2">
        <v>8.1401150119475801E-4</v>
      </c>
      <c r="F21282" s="2">
        <v>2.7686999163191398E-3</v>
      </c>
    </row>
    <row r="21283" spans="1:6" x14ac:dyDescent="0.25">
      <c r="A21283" s="1" t="str">
        <f t="shared" si="792"/>
        <v>33340</v>
      </c>
      <c r="B21283" s="1" t="str">
        <f>"53040"</f>
        <v>53040</v>
      </c>
      <c r="C21283" s="2">
        <v>4.3413208771788002E-3</v>
      </c>
      <c r="D21283" s="2">
        <v>1.97550375345713E-3</v>
      </c>
      <c r="E21283" s="2">
        <v>3.78121471522726E-3</v>
      </c>
      <c r="F21283" s="2">
        <v>4.1381273624919203E-3</v>
      </c>
    </row>
    <row r="21284" spans="1:6" x14ac:dyDescent="0.25">
      <c r="A21284" s="1" t="str">
        <f t="shared" si="792"/>
        <v>33340</v>
      </c>
      <c r="B21284" s="1" t="str">
        <f>"53007"</f>
        <v>53007</v>
      </c>
      <c r="C21284" s="2">
        <v>1.44406590570823E-3</v>
      </c>
      <c r="D21284" s="2">
        <v>7.7500531866395101E-3</v>
      </c>
      <c r="E21284" s="2">
        <v>1.68053987343434E-3</v>
      </c>
      <c r="F21284" s="2">
        <v>1.93074347398374E-3</v>
      </c>
    </row>
    <row r="21285" spans="1:6" x14ac:dyDescent="0.25">
      <c r="A21285" s="1" t="str">
        <f t="shared" si="792"/>
        <v>33340</v>
      </c>
      <c r="B21285" s="1" t="str">
        <f>"53274"</f>
        <v>53274</v>
      </c>
      <c r="C21285" s="2">
        <v>0</v>
      </c>
      <c r="D21285" s="2">
        <v>1.5196182718901E-5</v>
      </c>
      <c r="E21285" s="2">
        <v>0</v>
      </c>
      <c r="F21285" s="2">
        <v>1.1478855374457401E-6</v>
      </c>
    </row>
    <row r="21286" spans="1:6" x14ac:dyDescent="0.25">
      <c r="A21286" s="1" t="str">
        <f t="shared" si="792"/>
        <v>33340</v>
      </c>
      <c r="B21286" s="1" t="str">
        <f>"53075"</f>
        <v>53075</v>
      </c>
      <c r="C21286" s="2">
        <v>9.9051452016087996E-5</v>
      </c>
      <c r="D21286" s="2">
        <v>6.0784730875604002E-5</v>
      </c>
      <c r="E21286" s="2">
        <v>1.3129217761205701E-4</v>
      </c>
      <c r="F21286" s="2">
        <v>9.75702706828885E-5</v>
      </c>
    </row>
    <row r="21287" spans="1:6" x14ac:dyDescent="0.25">
      <c r="A21287" s="1" t="str">
        <f t="shared" si="792"/>
        <v>33340</v>
      </c>
      <c r="B21287" s="1" t="str">
        <f>"53064"</f>
        <v>53064</v>
      </c>
      <c r="C21287" s="2">
        <v>1.3033085791590501E-6</v>
      </c>
      <c r="D21287" s="2">
        <v>0</v>
      </c>
      <c r="E21287" s="2">
        <v>2.6258435522411499E-5</v>
      </c>
      <c r="F21287" s="2">
        <v>2.2957710748914899E-6</v>
      </c>
    </row>
    <row r="21288" spans="1:6" x14ac:dyDescent="0.25">
      <c r="A21288" s="1" t="str">
        <f t="shared" si="792"/>
        <v>33340</v>
      </c>
      <c r="B21288" s="1" t="str">
        <f>"53237"</f>
        <v>53237</v>
      </c>
      <c r="C21288" s="2">
        <v>9.9051452016087993E-4</v>
      </c>
      <c r="D21288" s="2">
        <v>2.3402121387107499E-3</v>
      </c>
      <c r="E21288" s="2">
        <v>5.2516871044823099E-5</v>
      </c>
      <c r="F21288" s="2">
        <v>1.0514631523003001E-3</v>
      </c>
    </row>
    <row r="21289" spans="1:6" x14ac:dyDescent="0.25">
      <c r="A21289" s="1" t="str">
        <f t="shared" si="792"/>
        <v>33340</v>
      </c>
      <c r="B21289" s="1" t="str">
        <f>"53010"</f>
        <v>53010</v>
      </c>
      <c r="C21289" s="2">
        <v>1.3815070939085901E-4</v>
      </c>
      <c r="D21289" s="2">
        <v>6.0784730875604002E-5</v>
      </c>
      <c r="E21289" s="2">
        <v>0</v>
      </c>
      <c r="F21289" s="2">
        <v>1.26267409119032E-4</v>
      </c>
    </row>
    <row r="21290" spans="1:6" x14ac:dyDescent="0.25">
      <c r="A21290" s="1" t="str">
        <f t="shared" si="792"/>
        <v>33340</v>
      </c>
      <c r="B21290" s="1" t="str">
        <f>"53108"</f>
        <v>53108</v>
      </c>
      <c r="C21290" s="2">
        <v>9.1231600541133706E-6</v>
      </c>
      <c r="D21290" s="2">
        <v>0</v>
      </c>
      <c r="E21290" s="2">
        <v>0</v>
      </c>
      <c r="F21290" s="2">
        <v>8.0351987621202305E-6</v>
      </c>
    </row>
    <row r="21291" spans="1:6" x14ac:dyDescent="0.25">
      <c r="A21291" s="1" t="str">
        <f t="shared" si="792"/>
        <v>33340</v>
      </c>
      <c r="B21291" s="1" t="str">
        <f>"53022"</f>
        <v>53022</v>
      </c>
      <c r="C21291" s="2">
        <v>1.8976172912555801E-2</v>
      </c>
      <c r="D21291" s="2">
        <v>2.1943287846093E-2</v>
      </c>
      <c r="E21291" s="2">
        <v>1.8065803639419099E-2</v>
      </c>
      <c r="F21291" s="2">
        <v>1.91605053910444E-2</v>
      </c>
    </row>
    <row r="21292" spans="1:6" x14ac:dyDescent="0.25">
      <c r="A21292" s="1" t="str">
        <f t="shared" si="792"/>
        <v>33340</v>
      </c>
      <c r="B21292" s="1" t="str">
        <f>"53024"</f>
        <v>53024</v>
      </c>
      <c r="C21292" s="2">
        <v>1.13635475016877E-2</v>
      </c>
      <c r="D21292" s="2">
        <v>1.09716439230465E-2</v>
      </c>
      <c r="E21292" s="2">
        <v>1.2393981566578199E-2</v>
      </c>
      <c r="F21292" s="2">
        <v>1.13789893326997E-2</v>
      </c>
    </row>
    <row r="21293" spans="1:6" x14ac:dyDescent="0.25">
      <c r="A21293" s="1" t="str">
        <f t="shared" si="792"/>
        <v>33340</v>
      </c>
      <c r="B21293" s="1" t="str">
        <f>"53029"</f>
        <v>53029</v>
      </c>
      <c r="C21293" s="2">
        <v>1.16724316349484E-2</v>
      </c>
      <c r="D21293" s="2">
        <v>1.0166246238944699E-2</v>
      </c>
      <c r="E21293" s="2">
        <v>9.2429693038888708E-3</v>
      </c>
      <c r="F21293" s="2">
        <v>1.1452454007096199E-2</v>
      </c>
    </row>
    <row r="21294" spans="1:6" x14ac:dyDescent="0.25">
      <c r="A21294" s="1" t="str">
        <f t="shared" si="792"/>
        <v>33340</v>
      </c>
      <c r="B21294" s="1" t="str">
        <f>"53051"</f>
        <v>53051</v>
      </c>
      <c r="C21294" s="2">
        <v>3.70921621628666E-2</v>
      </c>
      <c r="D21294" s="2">
        <v>3.6668388900708102E-2</v>
      </c>
      <c r="E21294" s="2">
        <v>2.3973951631961699E-2</v>
      </c>
      <c r="F21294" s="2">
        <v>3.6486689693250501E-2</v>
      </c>
    </row>
    <row r="21295" spans="1:6" x14ac:dyDescent="0.25">
      <c r="A21295" s="1" t="str">
        <f t="shared" si="792"/>
        <v>33340</v>
      </c>
      <c r="B21295" s="1" t="str">
        <f>"53069"</f>
        <v>53069</v>
      </c>
      <c r="C21295" s="2">
        <v>6.0994841504643604E-4</v>
      </c>
      <c r="D21295" s="2">
        <v>6.6863203963164405E-4</v>
      </c>
      <c r="E21295" s="2">
        <v>3.4135966179134997E-4</v>
      </c>
      <c r="F21295" s="2">
        <v>6.0263990715901704E-4</v>
      </c>
    </row>
    <row r="21296" spans="1:6" x14ac:dyDescent="0.25">
      <c r="A21296" s="1" t="str">
        <f t="shared" si="792"/>
        <v>33340</v>
      </c>
      <c r="B21296" s="1" t="str">
        <f>"53204"</f>
        <v>53204</v>
      </c>
      <c r="C21296" s="2">
        <v>2.1456369138695398E-2</v>
      </c>
      <c r="D21296" s="2">
        <v>2.55751755159104E-2</v>
      </c>
      <c r="E21296" s="2">
        <v>1.75406349289709E-2</v>
      </c>
      <c r="F21296" s="2">
        <v>2.15963185015043E-2</v>
      </c>
    </row>
    <row r="21297" spans="1:6" x14ac:dyDescent="0.25">
      <c r="A21297" s="1" t="str">
        <f t="shared" si="792"/>
        <v>33340</v>
      </c>
      <c r="B21297" s="1" t="str">
        <f>"53206"</f>
        <v>53206</v>
      </c>
      <c r="C21297" s="2">
        <v>1.58156496080951E-2</v>
      </c>
      <c r="D21297" s="2">
        <v>9.1936905449351101E-3</v>
      </c>
      <c r="E21297" s="2">
        <v>5.5405298952288396E-3</v>
      </c>
      <c r="F21297" s="2">
        <v>1.48662655954598E-2</v>
      </c>
    </row>
    <row r="21298" spans="1:6" x14ac:dyDescent="0.25">
      <c r="A21298" s="1" t="str">
        <f t="shared" si="792"/>
        <v>33340</v>
      </c>
      <c r="B21298" s="1" t="str">
        <f>"53220"</f>
        <v>53220</v>
      </c>
      <c r="C21298" s="2">
        <v>1.6464697280516302E-2</v>
      </c>
      <c r="D21298" s="2">
        <v>1.17010606935537E-2</v>
      </c>
      <c r="E21298" s="2">
        <v>2.7177480765695899E-2</v>
      </c>
      <c r="F21298" s="2">
        <v>1.6573171389641699E-2</v>
      </c>
    </row>
    <row r="21299" spans="1:6" x14ac:dyDescent="0.25">
      <c r="A21299" s="1" t="str">
        <f t="shared" si="792"/>
        <v>33340</v>
      </c>
      <c r="B21299" s="1" t="str">
        <f>"53208"</f>
        <v>53208</v>
      </c>
      <c r="C21299" s="2">
        <v>1.9845479734854898E-2</v>
      </c>
      <c r="D21299" s="2">
        <v>1.57280491140625E-2</v>
      </c>
      <c r="E21299" s="2">
        <v>1.7671927106582899E-2</v>
      </c>
      <c r="F21299" s="2">
        <v>1.94394415766437E-2</v>
      </c>
    </row>
    <row r="21300" spans="1:6" x14ac:dyDescent="0.25">
      <c r="A21300" s="1" t="str">
        <f t="shared" si="792"/>
        <v>33340</v>
      </c>
      <c r="B21300" s="1" t="str">
        <f>"53227"</f>
        <v>53227</v>
      </c>
      <c r="C21300" s="2">
        <v>1.5651432727120999E-2</v>
      </c>
      <c r="D21300" s="2">
        <v>1.6852566635261201E-2</v>
      </c>
      <c r="E21300" s="2">
        <v>2.1847018354646398E-2</v>
      </c>
      <c r="F21300" s="2">
        <v>1.60130032473681E-2</v>
      </c>
    </row>
    <row r="21301" spans="1:6" x14ac:dyDescent="0.25">
      <c r="A21301" s="1" t="str">
        <f t="shared" ref="A21301:A21332" si="793">"33340"</f>
        <v>33340</v>
      </c>
      <c r="B21301" s="1" t="str">
        <f>"53036"</f>
        <v>53036</v>
      </c>
      <c r="C21301" s="2">
        <v>2.4762863004021999E-5</v>
      </c>
      <c r="D21301" s="2">
        <v>0</v>
      </c>
      <c r="E21301" s="2">
        <v>0</v>
      </c>
      <c r="F21301" s="2">
        <v>2.18098252114692E-5</v>
      </c>
    </row>
    <row r="21302" spans="1:6" x14ac:dyDescent="0.25">
      <c r="A21302" s="1" t="str">
        <f t="shared" si="793"/>
        <v>33340</v>
      </c>
      <c r="B21302" s="1" t="str">
        <f>"53052"</f>
        <v>53052</v>
      </c>
      <c r="C21302" s="2">
        <v>5.1741350592614396E-4</v>
      </c>
      <c r="D21302" s="2">
        <v>4.7108166428593097E-3</v>
      </c>
      <c r="E21302" s="2">
        <v>5.2516871044823099E-5</v>
      </c>
      <c r="F21302" s="2">
        <v>8.1385084604903505E-4</v>
      </c>
    </row>
    <row r="21303" spans="1:6" x14ac:dyDescent="0.25">
      <c r="A21303" s="1" t="str">
        <f t="shared" si="793"/>
        <v>33340</v>
      </c>
      <c r="B21303" s="1" t="str">
        <f>"53013"</f>
        <v>53013</v>
      </c>
      <c r="C21303" s="2">
        <v>2.6066171583180998E-4</v>
      </c>
      <c r="D21303" s="2">
        <v>0</v>
      </c>
      <c r="E21303" s="2">
        <v>0</v>
      </c>
      <c r="F21303" s="2">
        <v>2.29577107489149E-4</v>
      </c>
    </row>
    <row r="21304" spans="1:6" x14ac:dyDescent="0.25">
      <c r="A21304" s="1" t="str">
        <f t="shared" si="793"/>
        <v>33340</v>
      </c>
      <c r="B21304" s="1" t="str">
        <f>"53056"</f>
        <v>53056</v>
      </c>
      <c r="C21304" s="2">
        <v>8.4715057645338404E-5</v>
      </c>
      <c r="D21304" s="2">
        <v>0</v>
      </c>
      <c r="E21304" s="2">
        <v>2.6258435522411499E-5</v>
      </c>
      <c r="F21304" s="2">
        <v>7.5760445471419294E-5</v>
      </c>
    </row>
    <row r="21305" spans="1:6" x14ac:dyDescent="0.25">
      <c r="A21305" s="1" t="str">
        <f t="shared" si="793"/>
        <v>33340</v>
      </c>
      <c r="B21305" s="1" t="str">
        <f>"53110"</f>
        <v>53110</v>
      </c>
      <c r="C21305" s="2">
        <v>1.12306100266135E-2</v>
      </c>
      <c r="D21305" s="2">
        <v>8.4794699571467593E-3</v>
      </c>
      <c r="E21305" s="2">
        <v>1.3706903342698799E-2</v>
      </c>
      <c r="F21305" s="2">
        <v>1.11310460566114E-2</v>
      </c>
    </row>
    <row r="21306" spans="1:6" x14ac:dyDescent="0.25">
      <c r="A21306" s="1" t="str">
        <f t="shared" si="793"/>
        <v>33340</v>
      </c>
      <c r="B21306" s="1" t="str">
        <f>"53122"</f>
        <v>53122</v>
      </c>
      <c r="C21306" s="2">
        <v>4.1784073047839198E-3</v>
      </c>
      <c r="D21306" s="2">
        <v>1.0211834787101399E-2</v>
      </c>
      <c r="E21306" s="2">
        <v>3.8862484573169102E-3</v>
      </c>
      <c r="F21306" s="2">
        <v>4.6213871737565797E-3</v>
      </c>
    </row>
    <row r="21307" spans="1:6" x14ac:dyDescent="0.25">
      <c r="A21307" s="1" t="str">
        <f t="shared" si="793"/>
        <v>33340</v>
      </c>
      <c r="B21307" s="1" t="str">
        <f>"53129"</f>
        <v>53129</v>
      </c>
      <c r="C21307" s="2">
        <v>8.4154634956300003E-3</v>
      </c>
      <c r="D21307" s="2">
        <v>5.3338601343342496E-3</v>
      </c>
      <c r="E21307" s="2">
        <v>8.5865084158285795E-3</v>
      </c>
      <c r="F21307" s="2">
        <v>8.1901633096754106E-3</v>
      </c>
    </row>
    <row r="21308" spans="1:6" x14ac:dyDescent="0.25">
      <c r="A21308" s="1" t="str">
        <f t="shared" si="793"/>
        <v>33340</v>
      </c>
      <c r="B21308" s="1" t="str">
        <f>"53091"</f>
        <v>53091</v>
      </c>
      <c r="C21308" s="2">
        <v>2.73694801623401E-5</v>
      </c>
      <c r="D21308" s="2">
        <v>0</v>
      </c>
      <c r="E21308" s="2">
        <v>0</v>
      </c>
      <c r="F21308" s="2">
        <v>2.4105596286360698E-5</v>
      </c>
    </row>
    <row r="21309" spans="1:6" x14ac:dyDescent="0.25">
      <c r="A21309" s="1" t="str">
        <f t="shared" si="793"/>
        <v>33340</v>
      </c>
      <c r="B21309" s="1" t="str">
        <f>"53186"</f>
        <v>53186</v>
      </c>
      <c r="C21309" s="2">
        <v>2.0365499857939302E-2</v>
      </c>
      <c r="D21309" s="2">
        <v>2.84016655016259E-2</v>
      </c>
      <c r="E21309" s="2">
        <v>3.5842764488091698E-2</v>
      </c>
      <c r="F21309" s="2">
        <v>2.1649121236226799E-2</v>
      </c>
    </row>
    <row r="21310" spans="1:6" x14ac:dyDescent="0.25">
      <c r="A21310" s="1" t="str">
        <f t="shared" si="793"/>
        <v>33340</v>
      </c>
      <c r="B21310" s="1" t="str">
        <f>"53278"</f>
        <v>53278</v>
      </c>
      <c r="C21310" s="2">
        <v>0</v>
      </c>
      <c r="D21310" s="2">
        <v>0</v>
      </c>
      <c r="E21310" s="2">
        <v>7.8775306567234696E-5</v>
      </c>
      <c r="F21310" s="2">
        <v>3.4436566123372401E-6</v>
      </c>
    </row>
    <row r="21311" spans="1:6" x14ac:dyDescent="0.25">
      <c r="A21311" s="1" t="str">
        <f t="shared" si="793"/>
        <v>33340</v>
      </c>
      <c r="B21311" s="1" t="str">
        <f>"53086"</f>
        <v>53086</v>
      </c>
      <c r="C21311" s="2">
        <v>4.92650642922122E-3</v>
      </c>
      <c r="D21311" s="2">
        <v>4.3916968057623896E-3</v>
      </c>
      <c r="E21311" s="2">
        <v>6.5120920095580702E-3</v>
      </c>
      <c r="F21311" s="2">
        <v>4.9554218651532899E-3</v>
      </c>
    </row>
    <row r="21312" spans="1:6" x14ac:dyDescent="0.25">
      <c r="A21312" s="1" t="str">
        <f t="shared" si="793"/>
        <v>33340</v>
      </c>
      <c r="B21312" s="1" t="str">
        <f>"53095"</f>
        <v>53095</v>
      </c>
      <c r="C21312" s="2">
        <v>1.69065188888512E-2</v>
      </c>
      <c r="D21312" s="2">
        <v>2.1715345105309501E-2</v>
      </c>
      <c r="E21312" s="2">
        <v>2.20308274033033E-2</v>
      </c>
      <c r="F21312" s="2">
        <v>1.7493775590673201E-2</v>
      </c>
    </row>
    <row r="21313" spans="1:6" x14ac:dyDescent="0.25">
      <c r="A21313" s="1" t="str">
        <f t="shared" si="793"/>
        <v>33340</v>
      </c>
      <c r="B21313" s="1" t="str">
        <f>"53119"</f>
        <v>53119</v>
      </c>
      <c r="C21313" s="2">
        <v>2.7330380904965301E-3</v>
      </c>
      <c r="D21313" s="2">
        <v>1.00294805944746E-3</v>
      </c>
      <c r="E21313" s="2">
        <v>6.5646088806028903E-4</v>
      </c>
      <c r="F21313" s="2">
        <v>2.5115735559312902E-3</v>
      </c>
    </row>
    <row r="21314" spans="1:6" x14ac:dyDescent="0.25">
      <c r="A21314" s="1" t="str">
        <f t="shared" si="793"/>
        <v>33340</v>
      </c>
      <c r="B21314" s="1" t="str">
        <f>"53012"</f>
        <v>53012</v>
      </c>
      <c r="C21314" s="2">
        <v>1.11341651917557E-2</v>
      </c>
      <c r="D21314" s="2">
        <v>1.38893110050755E-2</v>
      </c>
      <c r="E21314" s="2">
        <v>9.1379355617992198E-3</v>
      </c>
      <c r="F21314" s="2">
        <v>1.1255017694655501E-2</v>
      </c>
    </row>
    <row r="21315" spans="1:6" x14ac:dyDescent="0.25">
      <c r="A21315" s="1" t="str">
        <f t="shared" si="793"/>
        <v>33340</v>
      </c>
      <c r="B21315" s="1" t="str">
        <f>"53017"</f>
        <v>53017</v>
      </c>
      <c r="C21315" s="2">
        <v>2.86336894841243E-3</v>
      </c>
      <c r="D21315" s="2">
        <v>3.9510075069142602E-4</v>
      </c>
      <c r="E21315" s="2">
        <v>2.1006748417929199E-4</v>
      </c>
      <c r="F21315" s="2">
        <v>2.5609326340414601E-3</v>
      </c>
    </row>
    <row r="21316" spans="1:6" x14ac:dyDescent="0.25">
      <c r="A21316" s="1" t="str">
        <f t="shared" si="793"/>
        <v>33340</v>
      </c>
      <c r="B21316" s="1" t="str">
        <f>"53066"</f>
        <v>53066</v>
      </c>
      <c r="C21316" s="2">
        <v>2.2493802767706E-2</v>
      </c>
      <c r="D21316" s="2">
        <v>1.9147190225815201E-2</v>
      </c>
      <c r="E21316" s="2">
        <v>1.4153296746579801E-2</v>
      </c>
      <c r="F21316" s="2">
        <v>2.1876402572641E-2</v>
      </c>
    </row>
    <row r="21317" spans="1:6" x14ac:dyDescent="0.25">
      <c r="A21317" s="1" t="str">
        <f t="shared" si="793"/>
        <v>33340</v>
      </c>
      <c r="B21317" s="1" t="str">
        <f>"53080"</f>
        <v>53080</v>
      </c>
      <c r="C21317" s="2">
        <v>3.2817310023224898E-3</v>
      </c>
      <c r="D21317" s="2">
        <v>3.1911983709692099E-3</v>
      </c>
      <c r="E21317" s="2">
        <v>2.75713572985321E-3</v>
      </c>
      <c r="F21317" s="2">
        <v>3.2519597275838001E-3</v>
      </c>
    </row>
    <row r="21318" spans="1:6" x14ac:dyDescent="0.25">
      <c r="A21318" s="1" t="str">
        <f t="shared" si="793"/>
        <v>33340</v>
      </c>
      <c r="B21318" s="1" t="str">
        <f>"53076"</f>
        <v>53076</v>
      </c>
      <c r="C21318" s="2">
        <v>1.9328066228928699E-3</v>
      </c>
      <c r="D21318" s="2">
        <v>1.6107953682035E-3</v>
      </c>
      <c r="E21318" s="2">
        <v>1.8380904865688099E-4</v>
      </c>
      <c r="F21318" s="2">
        <v>1.8320253177634099E-3</v>
      </c>
    </row>
    <row r="21319" spans="1:6" x14ac:dyDescent="0.25">
      <c r="A21319" s="1" t="str">
        <f t="shared" si="793"/>
        <v>33340</v>
      </c>
      <c r="B21319" s="1" t="str">
        <f>"53217"</f>
        <v>53217</v>
      </c>
      <c r="C21319" s="2">
        <v>1.7148934284574799E-2</v>
      </c>
      <c r="D21319" s="2">
        <v>2.12138710755858E-2</v>
      </c>
      <c r="E21319" s="2">
        <v>1.08972507418008E-2</v>
      </c>
      <c r="F21319" s="2">
        <v>1.7182698610025401E-2</v>
      </c>
    </row>
    <row r="21320" spans="1:6" x14ac:dyDescent="0.25">
      <c r="A21320" s="1" t="str">
        <f t="shared" si="793"/>
        <v>33340</v>
      </c>
      <c r="B21320" s="1" t="str">
        <f>"53202"</f>
        <v>53202</v>
      </c>
      <c r="C21320" s="2">
        <v>2.6726949032814699E-2</v>
      </c>
      <c r="D21320" s="2">
        <v>4.8399841959699701E-2</v>
      </c>
      <c r="E21320" s="2">
        <v>3.6262899456450302E-2</v>
      </c>
      <c r="F21320" s="2">
        <v>2.8780934080377199E-2</v>
      </c>
    </row>
    <row r="21321" spans="1:6" x14ac:dyDescent="0.25">
      <c r="A21321" s="1" t="str">
        <f t="shared" si="793"/>
        <v>33340</v>
      </c>
      <c r="B21321" s="1" t="str">
        <f>"53205"</f>
        <v>53205</v>
      </c>
      <c r="C21321" s="2">
        <v>6.5087230443203097E-3</v>
      </c>
      <c r="D21321" s="2">
        <v>5.6529799714311697E-3</v>
      </c>
      <c r="E21321" s="2">
        <v>9.7943964498595094E-3</v>
      </c>
      <c r="F21321" s="2">
        <v>6.5877150994011402E-3</v>
      </c>
    </row>
    <row r="21322" spans="1:6" x14ac:dyDescent="0.25">
      <c r="A21322" s="1" t="str">
        <f t="shared" si="793"/>
        <v>33340</v>
      </c>
      <c r="B21322" s="1" t="str">
        <f>"53223"</f>
        <v>53223</v>
      </c>
      <c r="C21322" s="2">
        <v>1.7350947114344401E-2</v>
      </c>
      <c r="D21322" s="2">
        <v>1.2779989666595701E-2</v>
      </c>
      <c r="E21322" s="2">
        <v>1.8958590447181099E-2</v>
      </c>
      <c r="F21322" s="2">
        <v>1.7075945255042899E-2</v>
      </c>
    </row>
    <row r="21323" spans="1:6" x14ac:dyDescent="0.25">
      <c r="A21323" s="1" t="str">
        <f t="shared" si="793"/>
        <v>33340</v>
      </c>
      <c r="B21323" s="1" t="str">
        <f>"53224"</f>
        <v>53224</v>
      </c>
      <c r="C21323" s="2">
        <v>1.3172539809560501E-2</v>
      </c>
      <c r="D21323" s="2">
        <v>1.35853873506975E-2</v>
      </c>
      <c r="E21323" s="2">
        <v>1.44683979728487E-2</v>
      </c>
      <c r="F21323" s="2">
        <v>1.3260373728573201E-2</v>
      </c>
    </row>
    <row r="21324" spans="1:6" x14ac:dyDescent="0.25">
      <c r="A21324" s="1" t="str">
        <f t="shared" si="793"/>
        <v>33340</v>
      </c>
      <c r="B21324" s="1" t="str">
        <f>"53234"</f>
        <v>53234</v>
      </c>
      <c r="C21324" s="2">
        <v>1.9471430172636199E-3</v>
      </c>
      <c r="D21324" s="2">
        <v>3.47992584262833E-3</v>
      </c>
      <c r="E21324" s="2">
        <v>5.2516871044823099E-5</v>
      </c>
      <c r="F21324" s="2">
        <v>1.9801025520939102E-3</v>
      </c>
    </row>
    <row r="21325" spans="1:6" x14ac:dyDescent="0.25">
      <c r="A21325" s="1" t="str">
        <f t="shared" si="793"/>
        <v>33340</v>
      </c>
      <c r="B21325" s="1" t="str">
        <f>"53263"</f>
        <v>53263</v>
      </c>
      <c r="C21325" s="2">
        <v>0</v>
      </c>
      <c r="D21325" s="2">
        <v>1.5196182718901E-5</v>
      </c>
      <c r="E21325" s="2">
        <v>0</v>
      </c>
      <c r="F21325" s="2">
        <v>1.1478855374457401E-6</v>
      </c>
    </row>
    <row r="21326" spans="1:6" x14ac:dyDescent="0.25">
      <c r="A21326" s="1" t="str">
        <f t="shared" si="793"/>
        <v>33340</v>
      </c>
      <c r="B21326" s="1" t="str">
        <f>"53153"</f>
        <v>53153</v>
      </c>
      <c r="C21326" s="2">
        <v>1.32937475074223E-3</v>
      </c>
      <c r="D21326" s="2">
        <v>1.04853660760416E-3</v>
      </c>
      <c r="E21326" s="2">
        <v>7.3523619462752396E-4</v>
      </c>
      <c r="F21326" s="2">
        <v>1.2821881453268999E-3</v>
      </c>
    </row>
    <row r="21327" spans="1:6" x14ac:dyDescent="0.25">
      <c r="A21327" s="1" t="str">
        <f t="shared" si="793"/>
        <v>33340</v>
      </c>
      <c r="B21327" s="1" t="str">
        <f>"53097"</f>
        <v>53097</v>
      </c>
      <c r="C21327" s="2">
        <v>2.908984748683E-3</v>
      </c>
      <c r="D21327" s="2">
        <v>1.6259915509224E-3</v>
      </c>
      <c r="E21327" s="2">
        <v>4.4639340388099598E-4</v>
      </c>
      <c r="F21327" s="2">
        <v>2.70441832622218E-3</v>
      </c>
    </row>
    <row r="21328" spans="1:6" x14ac:dyDescent="0.25">
      <c r="A21328" s="1" t="str">
        <f t="shared" si="793"/>
        <v>33340</v>
      </c>
      <c r="B21328" s="1" t="str">
        <f>"53037"</f>
        <v>53037</v>
      </c>
      <c r="C21328" s="2">
        <v>5.9131110236446197E-3</v>
      </c>
      <c r="D21328" s="2">
        <v>3.9662036896331602E-3</v>
      </c>
      <c r="E21328" s="2">
        <v>4.5952262164220201E-3</v>
      </c>
      <c r="F21328" s="2">
        <v>5.7084347777177002E-3</v>
      </c>
    </row>
    <row r="21329" spans="1:6" x14ac:dyDescent="0.25">
      <c r="A21329" s="1" t="str">
        <f t="shared" si="793"/>
        <v>33340</v>
      </c>
      <c r="B21329" s="1" t="str">
        <f>"53045"</f>
        <v>53045</v>
      </c>
      <c r="C21329" s="2">
        <v>1.27984902473419E-2</v>
      </c>
      <c r="D21329" s="2">
        <v>1.7050117010606901E-2</v>
      </c>
      <c r="E21329" s="2">
        <v>1.9168657931360401E-2</v>
      </c>
      <c r="F21329" s="2">
        <v>1.33981199930667E-2</v>
      </c>
    </row>
    <row r="21330" spans="1:6" x14ac:dyDescent="0.25">
      <c r="A21330" s="1" t="str">
        <f t="shared" si="793"/>
        <v>33340</v>
      </c>
      <c r="B21330" s="1" t="str">
        <f>"53213"</f>
        <v>53213</v>
      </c>
      <c r="C21330" s="2">
        <v>1.6614577767119599E-2</v>
      </c>
      <c r="D21330" s="2">
        <v>1.28711667629091E-2</v>
      </c>
      <c r="E21330" s="2">
        <v>1.37331617782212E-2</v>
      </c>
      <c r="F21330" s="2">
        <v>1.6205848017659001E-2</v>
      </c>
    </row>
    <row r="21331" spans="1:6" x14ac:dyDescent="0.25">
      <c r="A21331" s="1" t="str">
        <f t="shared" si="793"/>
        <v>33340</v>
      </c>
      <c r="B21331" s="1" t="str">
        <f>"53215"</f>
        <v>53215</v>
      </c>
      <c r="C21331" s="2">
        <v>2.7776112439037701E-2</v>
      </c>
      <c r="D21331" s="2">
        <v>2.1593775643558299E-2</v>
      </c>
      <c r="E21331" s="2">
        <v>1.55187353937452E-2</v>
      </c>
      <c r="F21331" s="2">
        <v>2.6773282275384599E-2</v>
      </c>
    </row>
    <row r="21332" spans="1:6" x14ac:dyDescent="0.25">
      <c r="A21332" s="1" t="str">
        <f t="shared" si="793"/>
        <v>33340</v>
      </c>
      <c r="B21332" s="1" t="str">
        <f>"53216"</f>
        <v>53216</v>
      </c>
      <c r="C21332" s="2">
        <v>1.9812897020375898E-2</v>
      </c>
      <c r="D21332" s="2">
        <v>1.45883354101449E-2</v>
      </c>
      <c r="E21332" s="2">
        <v>1.42058136176246E-2</v>
      </c>
      <c r="F21332" s="2">
        <v>1.9173132131956299E-2</v>
      </c>
    </row>
    <row r="21333" spans="1:6" x14ac:dyDescent="0.25">
      <c r="A21333" s="1" t="str">
        <f t="shared" ref="A21333:A21364" si="794">"33340"</f>
        <v>33340</v>
      </c>
      <c r="B21333" s="1" t="str">
        <f>"53189"</f>
        <v>53189</v>
      </c>
      <c r="C21333" s="2">
        <v>1.54911257718845E-2</v>
      </c>
      <c r="D21333" s="2">
        <v>8.4034890435522504E-3</v>
      </c>
      <c r="E21333" s="2">
        <v>1.82233542525536E-2</v>
      </c>
      <c r="F21333" s="2">
        <v>1.5075180763274999E-2</v>
      </c>
    </row>
    <row r="21334" spans="1:6" x14ac:dyDescent="0.25">
      <c r="A21334" s="1" t="str">
        <f t="shared" si="794"/>
        <v>33340</v>
      </c>
      <c r="B21334" s="1" t="str">
        <f>"53222"</f>
        <v>53222</v>
      </c>
      <c r="C21334" s="2">
        <v>1.52109144273653E-2</v>
      </c>
      <c r="D21334" s="2">
        <v>1.28711667629091E-2</v>
      </c>
      <c r="E21334" s="2">
        <v>2.0166478481211999E-2</v>
      </c>
      <c r="F21334" s="2">
        <v>1.5250807250504201E-2</v>
      </c>
    </row>
    <row r="21335" spans="1:6" x14ac:dyDescent="0.25">
      <c r="A21335" s="1" t="str">
        <f t="shared" si="794"/>
        <v>33340</v>
      </c>
      <c r="B21335" s="1" t="str">
        <f>"53233"</f>
        <v>53233</v>
      </c>
      <c r="C21335" s="2">
        <v>8.6604855085119E-3</v>
      </c>
      <c r="D21335" s="2">
        <v>9.0265325350271999E-3</v>
      </c>
      <c r="E21335" s="2">
        <v>1.32867683743402E-2</v>
      </c>
      <c r="F21335" s="2">
        <v>8.8903734875173095E-3</v>
      </c>
    </row>
    <row r="21336" spans="1:6" x14ac:dyDescent="0.25">
      <c r="A21336" s="1" t="str">
        <f t="shared" si="794"/>
        <v>33340</v>
      </c>
      <c r="B21336" s="1" t="str">
        <f>"53060"</f>
        <v>53060</v>
      </c>
      <c r="C21336" s="2">
        <v>2.6066171583181002E-6</v>
      </c>
      <c r="D21336" s="2">
        <v>0</v>
      </c>
      <c r="E21336" s="2">
        <v>2.6258435522411499E-5</v>
      </c>
      <c r="F21336" s="2">
        <v>3.4436566123372401E-6</v>
      </c>
    </row>
    <row r="21337" spans="1:6" x14ac:dyDescent="0.25">
      <c r="A21337" s="1" t="str">
        <f t="shared" si="794"/>
        <v>33340</v>
      </c>
      <c r="B21337" s="1" t="str">
        <f>"53090"</f>
        <v>53090</v>
      </c>
      <c r="C21337" s="2">
        <v>1.1977405842471599E-2</v>
      </c>
      <c r="D21337" s="2">
        <v>5.2730754034586496E-3</v>
      </c>
      <c r="E21337" s="2">
        <v>9.8994301919491604E-3</v>
      </c>
      <c r="F21337" s="2">
        <v>1.1380137218237101E-2</v>
      </c>
    </row>
    <row r="21338" spans="1:6" x14ac:dyDescent="0.25">
      <c r="A21338" s="1" t="str">
        <f t="shared" si="794"/>
        <v>33340</v>
      </c>
      <c r="B21338" s="1" t="str">
        <f>"53150"</f>
        <v>53150</v>
      </c>
      <c r="C21338" s="2">
        <v>2.2746644632062898E-2</v>
      </c>
      <c r="D21338" s="2">
        <v>1.4436373582955899E-2</v>
      </c>
      <c r="E21338" s="2">
        <v>7.0110022844838901E-3</v>
      </c>
      <c r="F21338" s="2">
        <v>2.1431022984112098E-2</v>
      </c>
    </row>
    <row r="21339" spans="1:6" x14ac:dyDescent="0.25">
      <c r="A21339" s="1" t="str">
        <f t="shared" si="794"/>
        <v>33340</v>
      </c>
      <c r="B21339" s="1" t="str">
        <f>"53018"</f>
        <v>53018</v>
      </c>
      <c r="C21339" s="2">
        <v>4.7505597710347401E-3</v>
      </c>
      <c r="D21339" s="2">
        <v>1.0743701182262999E-2</v>
      </c>
      <c r="E21339" s="2">
        <v>3.3873381823910898E-3</v>
      </c>
      <c r="F21339" s="2">
        <v>5.1436750932943899E-3</v>
      </c>
    </row>
    <row r="21340" spans="1:6" x14ac:dyDescent="0.25">
      <c r="A21340" s="1" t="str">
        <f t="shared" si="794"/>
        <v>33340</v>
      </c>
      <c r="B21340" s="1" t="str">
        <f>"53002"</f>
        <v>53002</v>
      </c>
      <c r="C21340" s="2">
        <v>1.2811523333133401E-3</v>
      </c>
      <c r="D21340" s="2">
        <v>6.99024405069446E-4</v>
      </c>
      <c r="E21340" s="2">
        <v>1.86434892209122E-3</v>
      </c>
      <c r="F21340" s="2">
        <v>1.2626740911903199E-3</v>
      </c>
    </row>
    <row r="21341" spans="1:6" x14ac:dyDescent="0.25">
      <c r="A21341" s="1" t="str">
        <f t="shared" si="794"/>
        <v>33340</v>
      </c>
      <c r="B21341" s="1" t="str">
        <f>"53072"</f>
        <v>53072</v>
      </c>
      <c r="C21341" s="2">
        <v>1.7228436107903498E-2</v>
      </c>
      <c r="D21341" s="2">
        <v>2.2414369510378899E-2</v>
      </c>
      <c r="E21341" s="2">
        <v>3.56326970039125E-2</v>
      </c>
      <c r="F21341" s="2">
        <v>1.8424710761541702E-2</v>
      </c>
    </row>
    <row r="21342" spans="1:6" x14ac:dyDescent="0.25">
      <c r="A21342" s="1" t="str">
        <f t="shared" si="794"/>
        <v>33340</v>
      </c>
      <c r="B21342" s="1" t="str">
        <f>"53211"</f>
        <v>53211</v>
      </c>
      <c r="C21342" s="2">
        <v>2.3175433154606202E-2</v>
      </c>
      <c r="D21342" s="2">
        <v>1.4481962131112599E-2</v>
      </c>
      <c r="E21342" s="2">
        <v>2.7781424782711402E-2</v>
      </c>
      <c r="F21342" s="2">
        <v>2.2720098442663601E-2</v>
      </c>
    </row>
    <row r="21343" spans="1:6" x14ac:dyDescent="0.25">
      <c r="A21343" s="1" t="str">
        <f t="shared" si="794"/>
        <v>33340</v>
      </c>
      <c r="B21343" s="1" t="str">
        <f>"53214"</f>
        <v>53214</v>
      </c>
      <c r="C21343" s="2">
        <v>2.27440380149046E-2</v>
      </c>
      <c r="D21343" s="2">
        <v>2.6699693037109E-2</v>
      </c>
      <c r="E21343" s="2">
        <v>2.0927973111361999E-2</v>
      </c>
      <c r="F21343" s="2">
        <v>2.2963450176602101E-2</v>
      </c>
    </row>
    <row r="21344" spans="1:6" x14ac:dyDescent="0.25">
      <c r="A21344" s="1" t="str">
        <f t="shared" si="794"/>
        <v>33340</v>
      </c>
      <c r="B21344" s="1" t="str">
        <f>"53219"</f>
        <v>53219</v>
      </c>
      <c r="C21344" s="2">
        <v>2.0988481358777299E-2</v>
      </c>
      <c r="D21344" s="2">
        <v>1.1564295049083601E-2</v>
      </c>
      <c r="E21344" s="2">
        <v>2.5575716198828799E-2</v>
      </c>
      <c r="F21344" s="2">
        <v>2.0477130102494599E-2</v>
      </c>
    </row>
    <row r="21345" spans="1:6" x14ac:dyDescent="0.25">
      <c r="A21345" s="1" t="str">
        <f t="shared" si="794"/>
        <v>33340</v>
      </c>
      <c r="B21345" s="1" t="str">
        <f>"53187"</f>
        <v>53187</v>
      </c>
      <c r="C21345" s="2">
        <v>1.1807975727181001E-3</v>
      </c>
      <c r="D21345" s="2">
        <v>6.3520043765006202E-3</v>
      </c>
      <c r="E21345" s="2">
        <v>5.2516871044823099E-5</v>
      </c>
      <c r="F21345" s="2">
        <v>1.52209622265306E-3</v>
      </c>
    </row>
    <row r="21346" spans="1:6" x14ac:dyDescent="0.25">
      <c r="A21346" s="1" t="str">
        <f t="shared" si="794"/>
        <v>33340</v>
      </c>
      <c r="B21346" s="1" t="str">
        <f>"53226"</f>
        <v>53226</v>
      </c>
      <c r="C21346" s="2">
        <v>1.2853229207666499E-2</v>
      </c>
      <c r="D21346" s="2">
        <v>2.6532535027201098E-2</v>
      </c>
      <c r="E21346" s="2">
        <v>1.90373657537483E-2</v>
      </c>
      <c r="F21346" s="2">
        <v>1.41568723333184E-2</v>
      </c>
    </row>
    <row r="21347" spans="1:6" x14ac:dyDescent="0.25">
      <c r="A21347" s="1" t="str">
        <f t="shared" si="794"/>
        <v>33340</v>
      </c>
      <c r="B21347" s="1" t="str">
        <f>"53228"</f>
        <v>53228</v>
      </c>
      <c r="C21347" s="2">
        <v>9.9598841619334792E-3</v>
      </c>
      <c r="D21347" s="2">
        <v>4.89317083548612E-3</v>
      </c>
      <c r="E21347" s="2">
        <v>9.0854186907543995E-3</v>
      </c>
      <c r="F21347" s="2">
        <v>9.5389288161741598E-3</v>
      </c>
    </row>
    <row r="21348" spans="1:6" x14ac:dyDescent="0.25">
      <c r="A21348" s="1" t="str">
        <f t="shared" si="794"/>
        <v>33340</v>
      </c>
      <c r="B21348" s="1" t="str">
        <f>"53203"</f>
        <v>53203</v>
      </c>
      <c r="C21348" s="2">
        <v>3.58018866694991E-3</v>
      </c>
      <c r="D21348" s="2">
        <v>1.8083457435492199E-2</v>
      </c>
      <c r="E21348" s="2">
        <v>3.8337315862720799E-3</v>
      </c>
      <c r="F21348" s="2">
        <v>4.6868166493909801E-3</v>
      </c>
    </row>
    <row r="21349" spans="1:6" x14ac:dyDescent="0.25">
      <c r="A21349" s="1" t="str">
        <f t="shared" si="794"/>
        <v>33340</v>
      </c>
      <c r="B21349" s="1" t="str">
        <f>"53132"</f>
        <v>53132</v>
      </c>
      <c r="C21349" s="2">
        <v>1.9795954008846799E-2</v>
      </c>
      <c r="D21349" s="2">
        <v>1.5013828526274101E-2</v>
      </c>
      <c r="E21349" s="2">
        <v>1.57025444424021E-2</v>
      </c>
      <c r="F21349" s="2">
        <v>1.92557798906524E-2</v>
      </c>
    </row>
    <row r="21350" spans="1:6" x14ac:dyDescent="0.25">
      <c r="A21350" s="1" t="str">
        <f t="shared" si="794"/>
        <v>33340</v>
      </c>
      <c r="B21350" s="1" t="str">
        <f>"53172"</f>
        <v>53172</v>
      </c>
      <c r="C21350" s="2">
        <v>1.27450545955963E-2</v>
      </c>
      <c r="D21350" s="2">
        <v>6.9902440506944604E-3</v>
      </c>
      <c r="E21350" s="2">
        <v>1.42583304886694E-2</v>
      </c>
      <c r="F21350" s="2">
        <v>1.237650186474E-2</v>
      </c>
    </row>
    <row r="21351" spans="1:6" x14ac:dyDescent="0.25">
      <c r="A21351" s="1" t="str">
        <f t="shared" si="794"/>
        <v>33340</v>
      </c>
      <c r="B21351" s="1" t="str">
        <f>"53021"</f>
        <v>53021</v>
      </c>
      <c r="C21351" s="2">
        <v>2.4867127690354702E-3</v>
      </c>
      <c r="D21351" s="2">
        <v>1.1853022520742699E-3</v>
      </c>
      <c r="E21351" s="2">
        <v>7.8775306567234699E-4</v>
      </c>
      <c r="F21351" s="2">
        <v>2.31413724349062E-3</v>
      </c>
    </row>
    <row r="21352" spans="1:6" x14ac:dyDescent="0.25">
      <c r="A21352" s="1" t="str">
        <f t="shared" si="794"/>
        <v>33340</v>
      </c>
      <c r="B21352" s="1" t="str">
        <f>"53074"</f>
        <v>53074</v>
      </c>
      <c r="C21352" s="2">
        <v>8.0049212931949006E-3</v>
      </c>
      <c r="D21352" s="2">
        <v>7.7804455520773096E-3</v>
      </c>
      <c r="E21352" s="2">
        <v>7.7724969146338203E-3</v>
      </c>
      <c r="F21352" s="2">
        <v>7.9778044852479406E-3</v>
      </c>
    </row>
    <row r="21353" spans="1:6" x14ac:dyDescent="0.25">
      <c r="A21353" s="1" t="str">
        <f t="shared" si="794"/>
        <v>33340</v>
      </c>
      <c r="B21353" s="1" t="str">
        <f>"53293"</f>
        <v>53293</v>
      </c>
      <c r="C21353" s="2">
        <v>0</v>
      </c>
      <c r="D21353" s="2">
        <v>1.5196182718901E-5</v>
      </c>
      <c r="E21353" s="2">
        <v>0</v>
      </c>
      <c r="F21353" s="2">
        <v>1.1478855374457401E-6</v>
      </c>
    </row>
    <row r="21354" spans="1:6" x14ac:dyDescent="0.25">
      <c r="A21354" s="1" t="str">
        <f t="shared" si="794"/>
        <v>33340</v>
      </c>
      <c r="B21354" s="1" t="str">
        <f>"53259"</f>
        <v>53259</v>
      </c>
      <c r="C21354" s="2">
        <v>0</v>
      </c>
      <c r="D21354" s="2">
        <v>3.0392365437802001E-5</v>
      </c>
      <c r="E21354" s="2">
        <v>0</v>
      </c>
      <c r="F21354" s="2">
        <v>2.2957710748914899E-6</v>
      </c>
    </row>
    <row r="21355" spans="1:6" x14ac:dyDescent="0.25">
      <c r="A21355" s="1" t="str">
        <f t="shared" si="794"/>
        <v>33340</v>
      </c>
      <c r="B21355" s="1" t="str">
        <f>"53210"</f>
        <v>53210</v>
      </c>
      <c r="C21355" s="2">
        <v>1.5540651497892501E-2</v>
      </c>
      <c r="D21355" s="2">
        <v>1.35397988025408E-2</v>
      </c>
      <c r="E21355" s="2">
        <v>1.3575611165086701E-2</v>
      </c>
      <c r="F21355" s="2">
        <v>1.53036099852267E-2</v>
      </c>
    </row>
    <row r="21356" spans="1:6" x14ac:dyDescent="0.25">
      <c r="A21356" s="1" t="str">
        <f t="shared" si="794"/>
        <v>33340</v>
      </c>
      <c r="B21356" s="1" t="str">
        <f>"53221"</f>
        <v>53221</v>
      </c>
      <c r="C21356" s="2">
        <v>2.2353045441156901E-2</v>
      </c>
      <c r="D21356" s="2">
        <v>1.30839133209737E-2</v>
      </c>
      <c r="E21356" s="2">
        <v>2.9882099624504301E-2</v>
      </c>
      <c r="F21356" s="2">
        <v>2.1982008042085999E-2</v>
      </c>
    </row>
    <row r="21357" spans="1:6" x14ac:dyDescent="0.25">
      <c r="A21357" s="1" t="str">
        <f t="shared" si="794"/>
        <v>33340</v>
      </c>
      <c r="B21357" s="1" t="str">
        <f>"53188"</f>
        <v>53188</v>
      </c>
      <c r="C21357" s="2">
        <v>2.0777345368953599E-2</v>
      </c>
      <c r="D21357" s="2">
        <v>1.8478558186183599E-2</v>
      </c>
      <c r="E21357" s="2">
        <v>2.2162119580915299E-2</v>
      </c>
      <c r="F21357" s="2">
        <v>2.0664235445098302E-2</v>
      </c>
    </row>
    <row r="21358" spans="1:6" x14ac:dyDescent="0.25">
      <c r="A21358" s="1" t="str">
        <f t="shared" si="794"/>
        <v>33340</v>
      </c>
      <c r="B21358" s="1" t="str">
        <f>"53201"</f>
        <v>53201</v>
      </c>
      <c r="C21358" s="2">
        <v>1.38411371106691E-3</v>
      </c>
      <c r="D21358" s="2">
        <v>1.0591739355074001E-2</v>
      </c>
      <c r="E21358" s="2">
        <v>5.2516871044823099E-5</v>
      </c>
      <c r="F21358" s="2">
        <v>2.0214264314419601E-3</v>
      </c>
    </row>
    <row r="21359" spans="1:6" x14ac:dyDescent="0.25">
      <c r="A21359" s="1" t="str">
        <f t="shared" si="794"/>
        <v>33340</v>
      </c>
      <c r="B21359" s="1" t="str">
        <f>"53126"</f>
        <v>53126</v>
      </c>
      <c r="C21359" s="2">
        <v>6.5165428957952602E-6</v>
      </c>
      <c r="D21359" s="2">
        <v>0</v>
      </c>
      <c r="E21359" s="2">
        <v>0</v>
      </c>
      <c r="F21359" s="2">
        <v>5.7394276872287402E-6</v>
      </c>
    </row>
    <row r="21360" spans="1:6" x14ac:dyDescent="0.25">
      <c r="A21360" s="1" t="str">
        <f t="shared" si="794"/>
        <v>33340</v>
      </c>
      <c r="B21360" s="1" t="str">
        <f>"53218"</f>
        <v>53218</v>
      </c>
      <c r="C21360" s="2">
        <v>2.110838574806E-2</v>
      </c>
      <c r="D21360" s="2">
        <v>1.2734401118438999E-2</v>
      </c>
      <c r="E21360" s="2">
        <v>2.6731087361814902E-2</v>
      </c>
      <c r="F21360" s="2">
        <v>2.07216297219706E-2</v>
      </c>
    </row>
    <row r="21361" spans="1:6" x14ac:dyDescent="0.25">
      <c r="A21361" s="1" t="str">
        <f t="shared" si="794"/>
        <v>33340</v>
      </c>
      <c r="B21361" s="1" t="str">
        <f>"53235"</f>
        <v>53235</v>
      </c>
      <c r="C21361" s="2">
        <v>6.50611642716199E-3</v>
      </c>
      <c r="D21361" s="2">
        <v>4.2093426131355801E-3</v>
      </c>
      <c r="E21361" s="2">
        <v>6.5646088806028896E-3</v>
      </c>
      <c r="F21361" s="2">
        <v>6.3351802811630799E-3</v>
      </c>
    </row>
    <row r="21362" spans="1:6" x14ac:dyDescent="0.25">
      <c r="A21362" s="1" t="str">
        <f t="shared" si="794"/>
        <v>33340</v>
      </c>
      <c r="B21362" s="1" t="str">
        <f>"53089"</f>
        <v>53089</v>
      </c>
      <c r="C21362" s="2">
        <v>1.84183568406757E-2</v>
      </c>
      <c r="D21362" s="2">
        <v>1.15794912318025E-2</v>
      </c>
      <c r="E21362" s="2">
        <v>1.2315206260010999E-2</v>
      </c>
      <c r="F21362" s="2">
        <v>1.7634965511779E-2</v>
      </c>
    </row>
    <row r="21363" spans="1:6" x14ac:dyDescent="0.25">
      <c r="A21363" s="1" t="str">
        <f t="shared" si="794"/>
        <v>33340</v>
      </c>
      <c r="B21363" s="1" t="str">
        <f>"53118"</f>
        <v>53118</v>
      </c>
      <c r="C21363" s="2">
        <v>4.0441665211305398E-3</v>
      </c>
      <c r="D21363" s="2">
        <v>1.5044220891712E-3</v>
      </c>
      <c r="E21363" s="2">
        <v>9.97820549851639E-4</v>
      </c>
      <c r="F21363" s="2">
        <v>3.7191491413242198E-3</v>
      </c>
    </row>
    <row r="21364" spans="1:6" x14ac:dyDescent="0.25">
      <c r="A21364" s="1" t="str">
        <f t="shared" si="794"/>
        <v>33340</v>
      </c>
      <c r="B21364" s="1" t="str">
        <f>"53151"</f>
        <v>53151</v>
      </c>
      <c r="C21364" s="2">
        <v>1.9330672846086999E-2</v>
      </c>
      <c r="D21364" s="2">
        <v>2.2551135154849099E-2</v>
      </c>
      <c r="E21364" s="2">
        <v>1.02407898537405E-2</v>
      </c>
      <c r="F21364" s="2">
        <v>1.9176575788568601E-2</v>
      </c>
    </row>
    <row r="21365" spans="1:6" x14ac:dyDescent="0.25">
      <c r="A21365" s="1" t="str">
        <f t="shared" ref="A21365:A21371" si="795">"33340"</f>
        <v>33340</v>
      </c>
      <c r="B21365" s="1" t="str">
        <f>"53154"</f>
        <v>53154</v>
      </c>
      <c r="C21365" s="2">
        <v>2.0873790203811301E-2</v>
      </c>
      <c r="D21365" s="2">
        <v>1.7095705558763601E-2</v>
      </c>
      <c r="E21365" s="2">
        <v>2.75976157340545E-2</v>
      </c>
      <c r="F21365" s="2">
        <v>2.0882333697212999E-2</v>
      </c>
    </row>
    <row r="21366" spans="1:6" x14ac:dyDescent="0.25">
      <c r="A21366" s="1" t="str">
        <f t="shared" si="795"/>
        <v>33340</v>
      </c>
      <c r="B21366" s="1" t="str">
        <f>"53027"</f>
        <v>53027</v>
      </c>
      <c r="C21366" s="2">
        <v>1.32715912615766E-2</v>
      </c>
      <c r="D21366" s="2">
        <v>9.3304561894052198E-3</v>
      </c>
      <c r="E21366" s="2">
        <v>1.1264868839114499E-2</v>
      </c>
      <c r="F21366" s="2">
        <v>1.28861630433659E-2</v>
      </c>
    </row>
    <row r="21367" spans="1:6" x14ac:dyDescent="0.25">
      <c r="A21367" s="1" t="str">
        <f t="shared" si="795"/>
        <v>33340</v>
      </c>
      <c r="B21367" s="1" t="str">
        <f>"53004"</f>
        <v>53004</v>
      </c>
      <c r="C21367" s="2">
        <v>1.97581580600512E-3</v>
      </c>
      <c r="D21367" s="2">
        <v>1.2764793483876801E-3</v>
      </c>
      <c r="E21367" s="2">
        <v>7.6149463014993498E-4</v>
      </c>
      <c r="F21367" s="2">
        <v>1.8699055404991199E-3</v>
      </c>
    </row>
    <row r="21368" spans="1:6" x14ac:dyDescent="0.25">
      <c r="A21368" s="1" t="str">
        <f t="shared" si="795"/>
        <v>33340</v>
      </c>
      <c r="B21368" s="1" t="str">
        <f>"53008"</f>
        <v>53008</v>
      </c>
      <c r="C21368" s="2">
        <v>1.2029538185638E-3</v>
      </c>
      <c r="D21368" s="2">
        <v>8.2971157645199498E-3</v>
      </c>
      <c r="E21368" s="2">
        <v>5.2516871044823099E-5</v>
      </c>
      <c r="F21368" s="2">
        <v>1.68853962558269E-3</v>
      </c>
    </row>
    <row r="21369" spans="1:6" x14ac:dyDescent="0.25">
      <c r="A21369" s="1" t="str">
        <f t="shared" si="795"/>
        <v>33340</v>
      </c>
      <c r="B21369" s="1" t="str">
        <f>"53295"</f>
        <v>53295</v>
      </c>
      <c r="C21369" s="2">
        <v>0</v>
      </c>
      <c r="D21369" s="2">
        <v>1.5196182718901E-5</v>
      </c>
      <c r="E21369" s="2">
        <v>0</v>
      </c>
      <c r="F21369" s="2">
        <v>1.1478855374457401E-6</v>
      </c>
    </row>
    <row r="21370" spans="1:6" x14ac:dyDescent="0.25">
      <c r="A21370" s="1" t="str">
        <f t="shared" si="795"/>
        <v>33340</v>
      </c>
      <c r="B21370" s="1" t="str">
        <f>"53209"</f>
        <v>53209</v>
      </c>
      <c r="C21370" s="2">
        <v>2.8599803461066199E-2</v>
      </c>
      <c r="D21370" s="2">
        <v>2.2900647357383799E-2</v>
      </c>
      <c r="E21370" s="2">
        <v>3.0722369561221499E-2</v>
      </c>
      <c r="F21370" s="2">
        <v>2.8262089817451701E-2</v>
      </c>
    </row>
    <row r="21371" spans="1:6" x14ac:dyDescent="0.25">
      <c r="A21371" s="1" t="str">
        <f t="shared" si="795"/>
        <v>33340</v>
      </c>
      <c r="B21371" s="1" t="str">
        <f>"53212"</f>
        <v>53212</v>
      </c>
      <c r="C21371" s="2">
        <v>2.1451155904378801E-2</v>
      </c>
      <c r="D21371" s="2">
        <v>2.24751542412545E-2</v>
      </c>
      <c r="E21371" s="2">
        <v>2.3002389517632501E-2</v>
      </c>
      <c r="F21371" s="2">
        <v>2.15963185015043E-2</v>
      </c>
    </row>
    <row r="21372" spans="1:6" x14ac:dyDescent="0.25">
      <c r="A21372" s="1" t="str">
        <f t="shared" ref="A21372:A21384" si="796">"33380"</f>
        <v>33380</v>
      </c>
      <c r="B21372" s="1" t="str">
        <f>"71072"</f>
        <v>71072</v>
      </c>
      <c r="C21372" s="2">
        <v>3.9941751612232103E-2</v>
      </c>
      <c r="D21372" s="2">
        <v>1.04712041884816E-2</v>
      </c>
      <c r="E21372" s="2">
        <v>2.7522935779816501E-2</v>
      </c>
      <c r="F21372" s="2">
        <v>3.7718667625209597E-2</v>
      </c>
    </row>
    <row r="21373" spans="1:6" x14ac:dyDescent="0.25">
      <c r="A21373" s="1" t="str">
        <f t="shared" si="796"/>
        <v>33380</v>
      </c>
      <c r="B21373" s="1" t="str">
        <f>"71038"</f>
        <v>71038</v>
      </c>
      <c r="C21373" s="2">
        <v>7.2810484709798196E-4</v>
      </c>
      <c r="D21373" s="2">
        <v>0</v>
      </c>
      <c r="E21373" s="2">
        <v>0</v>
      </c>
      <c r="F21373" s="2">
        <v>6.7098011023244595E-4</v>
      </c>
    </row>
    <row r="21374" spans="1:6" x14ac:dyDescent="0.25">
      <c r="A21374" s="1" t="str">
        <f t="shared" si="796"/>
        <v>33380</v>
      </c>
      <c r="B21374" s="1" t="str">
        <f>"71023"</f>
        <v>71023</v>
      </c>
      <c r="C21374" s="2">
        <v>0.101050551279384</v>
      </c>
      <c r="D21374" s="2">
        <v>2.3560209424083701E-2</v>
      </c>
      <c r="E21374" s="2">
        <v>9.1743119266054999E-3</v>
      </c>
      <c r="F21374" s="2">
        <v>9.4895758447160306E-2</v>
      </c>
    </row>
    <row r="21375" spans="1:6" x14ac:dyDescent="0.25">
      <c r="A21375" s="1" t="str">
        <f t="shared" si="796"/>
        <v>33380</v>
      </c>
      <c r="B21375" s="1" t="str">
        <f>"71075"</f>
        <v>71075</v>
      </c>
      <c r="C21375" s="2">
        <v>0.16080715623049699</v>
      </c>
      <c r="D21375" s="2">
        <v>0.244109947643979</v>
      </c>
      <c r="E21375" s="2">
        <v>0.302752293577981</v>
      </c>
      <c r="F21375" s="2">
        <v>0.16764917325664899</v>
      </c>
    </row>
    <row r="21376" spans="1:6" x14ac:dyDescent="0.25">
      <c r="A21376" s="1" t="str">
        <f t="shared" si="796"/>
        <v>33380</v>
      </c>
      <c r="B21376" s="1" t="str">
        <f>"71073"</f>
        <v>71073</v>
      </c>
      <c r="C21376" s="2">
        <v>5.8976492614936503E-2</v>
      </c>
      <c r="D21376" s="2">
        <v>4.2539267015706803E-2</v>
      </c>
      <c r="E21376" s="2">
        <v>4.5871559633027498E-2</v>
      </c>
      <c r="F21376" s="2">
        <v>5.77042894799904E-2</v>
      </c>
    </row>
    <row r="21377" spans="1:6" x14ac:dyDescent="0.25">
      <c r="A21377" s="1" t="str">
        <f t="shared" si="796"/>
        <v>33380</v>
      </c>
      <c r="B21377" s="1" t="str">
        <f>"71039"</f>
        <v>71039</v>
      </c>
      <c r="C21377" s="2">
        <v>4.3062200956937698E-2</v>
      </c>
      <c r="D21377" s="2">
        <v>1.3089005235602E-2</v>
      </c>
      <c r="E21377" s="2">
        <v>9.1743119266054999E-3</v>
      </c>
      <c r="F21377" s="2">
        <v>4.0690150970524801E-2</v>
      </c>
    </row>
    <row r="21378" spans="1:6" x14ac:dyDescent="0.25">
      <c r="A21378" s="1" t="str">
        <f t="shared" si="796"/>
        <v>33380</v>
      </c>
      <c r="B21378" s="1" t="str">
        <f>"71024"</f>
        <v>71024</v>
      </c>
      <c r="C21378" s="2">
        <v>2.9644268774703501E-2</v>
      </c>
      <c r="D21378" s="2">
        <v>9.8167539267015706E-3</v>
      </c>
      <c r="E21378" s="2">
        <v>9.1743119266054999E-3</v>
      </c>
      <c r="F21378" s="2">
        <v>2.8085310328300899E-2</v>
      </c>
    </row>
    <row r="21379" spans="1:6" x14ac:dyDescent="0.25">
      <c r="A21379" s="1" t="str">
        <f t="shared" si="796"/>
        <v>33380</v>
      </c>
      <c r="B21379" s="1" t="str">
        <f>"71021"</f>
        <v>71021</v>
      </c>
      <c r="C21379" s="2">
        <v>0</v>
      </c>
      <c r="D21379" s="2">
        <v>0</v>
      </c>
      <c r="E21379" s="2">
        <v>9.1743119266054999E-3</v>
      </c>
      <c r="F21379" s="2">
        <v>4.7927150730889003E-5</v>
      </c>
    </row>
    <row r="21380" spans="1:6" x14ac:dyDescent="0.25">
      <c r="A21380" s="1" t="str">
        <f t="shared" si="796"/>
        <v>33380</v>
      </c>
      <c r="B21380" s="1" t="str">
        <f>"71067"</f>
        <v>71067</v>
      </c>
      <c r="C21380" s="2">
        <v>2.3923444976076502E-3</v>
      </c>
      <c r="D21380" s="2">
        <v>6.5445026178010399E-4</v>
      </c>
      <c r="E21380" s="2">
        <v>0</v>
      </c>
      <c r="F21380" s="2">
        <v>2.25257608435178E-3</v>
      </c>
    </row>
    <row r="21381" spans="1:6" x14ac:dyDescent="0.25">
      <c r="A21381" s="1" t="str">
        <f t="shared" si="796"/>
        <v>33380</v>
      </c>
      <c r="B21381" s="1" t="str">
        <f>"71037"</f>
        <v>71037</v>
      </c>
      <c r="C21381" s="2">
        <v>6.2408986894112704E-4</v>
      </c>
      <c r="D21381" s="2">
        <v>0</v>
      </c>
      <c r="E21381" s="2">
        <v>0</v>
      </c>
      <c r="F21381" s="2">
        <v>5.7512580877066796E-4</v>
      </c>
    </row>
    <row r="21382" spans="1:6" x14ac:dyDescent="0.25">
      <c r="A21382" s="1" t="str">
        <f t="shared" si="796"/>
        <v>33380</v>
      </c>
      <c r="B21382" s="1" t="str">
        <f>"71055"</f>
        <v>71055</v>
      </c>
      <c r="C21382" s="2">
        <v>0.46567505720823699</v>
      </c>
      <c r="D21382" s="2">
        <v>0.60602094240837601</v>
      </c>
      <c r="E21382" s="2">
        <v>0.51376146788990795</v>
      </c>
      <c r="F21382" s="2">
        <v>0.47620416966211299</v>
      </c>
    </row>
    <row r="21383" spans="1:6" x14ac:dyDescent="0.25">
      <c r="A21383" s="1" t="str">
        <f t="shared" si="796"/>
        <v>33380</v>
      </c>
      <c r="B21383" s="1" t="str">
        <f>"71018"</f>
        <v>71018</v>
      </c>
      <c r="C21383" s="2">
        <v>3.1620553359683702E-2</v>
      </c>
      <c r="D21383" s="2">
        <v>1.04712041884816E-2</v>
      </c>
      <c r="E21383" s="2">
        <v>4.5871559633027498E-2</v>
      </c>
      <c r="F21383" s="2">
        <v>3.01461778097292E-2</v>
      </c>
    </row>
    <row r="21384" spans="1:6" x14ac:dyDescent="0.25">
      <c r="A21384" s="1" t="str">
        <f t="shared" si="796"/>
        <v>33380</v>
      </c>
      <c r="B21384" s="1" t="str">
        <f>"71071"</f>
        <v>71071</v>
      </c>
      <c r="C21384" s="2">
        <v>6.5477428749739899E-2</v>
      </c>
      <c r="D21384" s="2">
        <v>3.9267015706806199E-2</v>
      </c>
      <c r="E21384" s="2">
        <v>2.7522935779816501E-2</v>
      </c>
      <c r="F21384" s="2">
        <v>6.3359693266235306E-2</v>
      </c>
    </row>
    <row r="21385" spans="1:6" x14ac:dyDescent="0.25">
      <c r="A21385" s="1" t="str">
        <f t="shared" ref="A21385:A21396" si="797">"33420"</f>
        <v>33420</v>
      </c>
      <c r="B21385" s="1" t="str">
        <f>"76067"</f>
        <v>76067</v>
      </c>
      <c r="C21385" s="2">
        <v>0.65745663122551701</v>
      </c>
      <c r="D21385" s="2">
        <v>0.79480940794809396</v>
      </c>
      <c r="E21385" s="2">
        <v>0.63357400722021595</v>
      </c>
      <c r="F21385" s="2">
        <v>0.66716408630230595</v>
      </c>
    </row>
    <row r="21386" spans="1:6" x14ac:dyDescent="0.25">
      <c r="A21386" s="1" t="str">
        <f t="shared" si="797"/>
        <v>33420</v>
      </c>
      <c r="B21386" s="1" t="str">
        <f>"76449"</f>
        <v>76449</v>
      </c>
      <c r="C21386" s="2">
        <v>0.14626468942361401</v>
      </c>
      <c r="D21386" s="2">
        <v>9.6512570965125694E-2</v>
      </c>
      <c r="E21386" s="2">
        <v>0.25270758122743597</v>
      </c>
      <c r="F21386" s="2">
        <v>0.146117017969284</v>
      </c>
    </row>
    <row r="21387" spans="1:6" x14ac:dyDescent="0.25">
      <c r="A21387" s="1" t="str">
        <f t="shared" si="797"/>
        <v>33420</v>
      </c>
      <c r="B21387" s="1" t="str">
        <f>"76450"</f>
        <v>76450</v>
      </c>
      <c r="C21387" s="2">
        <v>1.96558477895914E-2</v>
      </c>
      <c r="D21387" s="2">
        <v>1.4598540145985399E-2</v>
      </c>
      <c r="E21387" s="2">
        <v>3.2490974729241798E-2</v>
      </c>
      <c r="F21387" s="2">
        <v>1.9710253062239599E-2</v>
      </c>
    </row>
    <row r="21388" spans="1:6" x14ac:dyDescent="0.25">
      <c r="A21388" s="1" t="str">
        <f t="shared" si="797"/>
        <v>33420</v>
      </c>
      <c r="B21388" s="1" t="str">
        <f>"76463"</f>
        <v>76463</v>
      </c>
      <c r="C21388" s="2">
        <v>8.0442081701175092E-3</v>
      </c>
      <c r="D21388" s="2">
        <v>1.0543390105433899E-2</v>
      </c>
      <c r="E21388" s="2">
        <v>7.22021660649819E-3</v>
      </c>
      <c r="F21388" s="2">
        <v>8.2074239880619206E-3</v>
      </c>
    </row>
    <row r="21389" spans="1:6" x14ac:dyDescent="0.25">
      <c r="A21389" s="1" t="str">
        <f t="shared" si="797"/>
        <v>33420</v>
      </c>
      <c r="B21389" s="1" t="str">
        <f>"76475"</f>
        <v>76475</v>
      </c>
      <c r="C21389" s="2">
        <v>2.7839955232232701E-2</v>
      </c>
      <c r="D21389" s="2">
        <v>1.9464720194647199E-2</v>
      </c>
      <c r="E21389" s="2">
        <v>4.6931407942238199E-2</v>
      </c>
      <c r="F21389" s="2">
        <v>2.7855499595846499E-2</v>
      </c>
    </row>
    <row r="21390" spans="1:6" x14ac:dyDescent="0.25">
      <c r="A21390" s="1" t="str">
        <f t="shared" si="797"/>
        <v>33420</v>
      </c>
      <c r="B21390" s="1" t="str">
        <f>"76066"</f>
        <v>76066</v>
      </c>
      <c r="C21390" s="2">
        <v>7.8343592613318407E-3</v>
      </c>
      <c r="D21390" s="2">
        <v>8.1103000811029999E-4</v>
      </c>
      <c r="E21390" s="2">
        <v>0</v>
      </c>
      <c r="F21390" s="2">
        <v>7.0260523534166498E-3</v>
      </c>
    </row>
    <row r="21391" spans="1:6" x14ac:dyDescent="0.25">
      <c r="A21391" s="1" t="str">
        <f t="shared" si="797"/>
        <v>33420</v>
      </c>
      <c r="B21391" s="1" t="str">
        <f>"76472"</f>
        <v>76472</v>
      </c>
      <c r="C21391" s="2">
        <v>3.91717963066592E-2</v>
      </c>
      <c r="D21391" s="2">
        <v>3.8929440389294398E-2</v>
      </c>
      <c r="E21391" s="2">
        <v>1.26353790613718E-2</v>
      </c>
      <c r="F21391" s="2">
        <v>3.8239134489833897E-2</v>
      </c>
    </row>
    <row r="21392" spans="1:6" x14ac:dyDescent="0.25">
      <c r="A21392" s="1" t="str">
        <f t="shared" si="797"/>
        <v>33420</v>
      </c>
      <c r="B21392" s="1" t="str">
        <f>"76484"</f>
        <v>76484</v>
      </c>
      <c r="C21392" s="2">
        <v>2.8399552322327899E-2</v>
      </c>
      <c r="D21392" s="2">
        <v>7.2992700729926996E-3</v>
      </c>
      <c r="E21392" s="2">
        <v>3.6101083032490898E-3</v>
      </c>
      <c r="F21392" s="2">
        <v>2.5927998507740999E-2</v>
      </c>
    </row>
    <row r="21393" spans="1:6" x14ac:dyDescent="0.25">
      <c r="A21393" s="1" t="str">
        <f t="shared" si="797"/>
        <v>33420</v>
      </c>
      <c r="B21393" s="1" t="str">
        <f>"76429"</f>
        <v>76429</v>
      </c>
      <c r="C21393" s="2">
        <v>1.04924454392837E-3</v>
      </c>
      <c r="D21393" s="2">
        <v>8.1103000811029999E-4</v>
      </c>
      <c r="E21393" s="2">
        <v>0</v>
      </c>
      <c r="F21393" s="2">
        <v>9.9483927128023305E-4</v>
      </c>
    </row>
    <row r="21394" spans="1:6" x14ac:dyDescent="0.25">
      <c r="A21394" s="1" t="str">
        <f t="shared" si="797"/>
        <v>33420</v>
      </c>
      <c r="B21394" s="1" t="str">
        <f>"76462"</f>
        <v>76462</v>
      </c>
      <c r="C21394" s="2">
        <v>1.7417459429210899E-2</v>
      </c>
      <c r="D21394" s="2">
        <v>4.8661800486617997E-3</v>
      </c>
      <c r="E21394" s="2">
        <v>0</v>
      </c>
      <c r="F21394" s="2">
        <v>1.58552508860287E-2</v>
      </c>
    </row>
    <row r="21395" spans="1:6" x14ac:dyDescent="0.25">
      <c r="A21395" s="1" t="str">
        <f t="shared" si="797"/>
        <v>33420</v>
      </c>
      <c r="B21395" s="1" t="str">
        <f>"76486"</f>
        <v>76486</v>
      </c>
      <c r="C21395" s="2">
        <v>6.15556799104644E-3</v>
      </c>
      <c r="D21395" s="2">
        <v>4.0551500405515001E-3</v>
      </c>
      <c r="E21395" s="2">
        <v>0</v>
      </c>
      <c r="F21395" s="2">
        <v>5.7825032643163497E-3</v>
      </c>
    </row>
    <row r="21396" spans="1:6" x14ac:dyDescent="0.25">
      <c r="A21396" s="1" t="str">
        <f t="shared" si="797"/>
        <v>33420</v>
      </c>
      <c r="B21396" s="1" t="str">
        <f>"76453"</f>
        <v>76453</v>
      </c>
      <c r="C21396" s="2">
        <v>4.0710688304420803E-2</v>
      </c>
      <c r="D21396" s="2">
        <v>7.2992700729926996E-3</v>
      </c>
      <c r="E21396" s="2">
        <v>1.08303249097472E-2</v>
      </c>
      <c r="F21396" s="2">
        <v>3.7119940309643697E-2</v>
      </c>
    </row>
    <row r="21397" spans="1:6" x14ac:dyDescent="0.25">
      <c r="A21397" s="1" t="str">
        <f t="shared" ref="A21397:A21460" si="798">"33460"</f>
        <v>33460</v>
      </c>
      <c r="B21397" s="1" t="str">
        <f>"54025"</f>
        <v>54025</v>
      </c>
      <c r="C21397" s="2">
        <v>1.8569506367504601E-3</v>
      </c>
      <c r="D21397" s="2">
        <v>7.8354098462397697E-4</v>
      </c>
      <c r="E21397" s="2">
        <v>1.1600569201262101E-3</v>
      </c>
      <c r="F21397" s="2">
        <v>1.7531850376773499E-3</v>
      </c>
    </row>
    <row r="21398" spans="1:6" x14ac:dyDescent="0.25">
      <c r="A21398" s="1" t="str">
        <f t="shared" si="798"/>
        <v>33460</v>
      </c>
      <c r="B21398" s="1" t="str">
        <f>"54028"</f>
        <v>54028</v>
      </c>
      <c r="C21398" s="2">
        <v>7.0707699579311404E-4</v>
      </c>
      <c r="D21398" s="2">
        <v>3.80133745015593E-4</v>
      </c>
      <c r="E21398" s="2">
        <v>4.1762049124543702E-4</v>
      </c>
      <c r="F21398" s="2">
        <v>6.7264827679844297E-4</v>
      </c>
    </row>
    <row r="21399" spans="1:6" x14ac:dyDescent="0.25">
      <c r="A21399" s="1" t="str">
        <f t="shared" si="798"/>
        <v>33460</v>
      </c>
      <c r="B21399" s="1" t="str">
        <f>"55430"</f>
        <v>55430</v>
      </c>
      <c r="C21399" s="2">
        <v>5.4869937220710903E-3</v>
      </c>
      <c r="D21399" s="2">
        <v>5.7330375013576202E-3</v>
      </c>
      <c r="E21399" s="2">
        <v>5.5528057910041399E-3</v>
      </c>
      <c r="F21399" s="2">
        <v>5.5073431241655499E-3</v>
      </c>
    </row>
    <row r="21400" spans="1:6" x14ac:dyDescent="0.25">
      <c r="A21400" s="1" t="str">
        <f t="shared" si="798"/>
        <v>33460</v>
      </c>
      <c r="B21400" s="1" t="str">
        <f>"55422"</f>
        <v>55422</v>
      </c>
      <c r="C21400" s="2">
        <v>8.6354875146593003E-3</v>
      </c>
      <c r="D21400" s="2">
        <v>8.0448712975749008E-3</v>
      </c>
      <c r="E21400" s="2">
        <v>5.2589247045721696E-3</v>
      </c>
      <c r="F21400" s="2">
        <v>8.4689190106582695E-3</v>
      </c>
    </row>
    <row r="21401" spans="1:6" x14ac:dyDescent="0.25">
      <c r="A21401" s="1" t="str">
        <f t="shared" si="798"/>
        <v>33460</v>
      </c>
      <c r="B21401" s="1" t="str">
        <f>"55479"</f>
        <v>55479</v>
      </c>
      <c r="C21401" s="2">
        <v>0</v>
      </c>
      <c r="D21401" s="2">
        <v>7.7578315309304702E-6</v>
      </c>
      <c r="E21401" s="2">
        <v>2.4593206706675702E-3</v>
      </c>
      <c r="F21401" s="2">
        <v>9.05161684505894E-5</v>
      </c>
    </row>
    <row r="21402" spans="1:6" x14ac:dyDescent="0.25">
      <c r="A21402" s="1" t="str">
        <f t="shared" si="798"/>
        <v>33460</v>
      </c>
      <c r="B21402" s="1" t="str">
        <f>"56353"</f>
        <v>56353</v>
      </c>
      <c r="C21402" s="2">
        <v>2.6542387137678601E-3</v>
      </c>
      <c r="D21402" s="2">
        <v>1.9782470403872702E-3</v>
      </c>
      <c r="E21402" s="2">
        <v>1.63954711377838E-3</v>
      </c>
      <c r="F21402" s="2">
        <v>2.5678305537326601E-3</v>
      </c>
    </row>
    <row r="21403" spans="1:6" x14ac:dyDescent="0.25">
      <c r="A21403" s="1" t="str">
        <f t="shared" si="798"/>
        <v>33460</v>
      </c>
      <c r="B21403" s="1" t="str">
        <f>"56057"</f>
        <v>56057</v>
      </c>
      <c r="C21403" s="2">
        <v>1.03425098755722E-3</v>
      </c>
      <c r="D21403" s="2">
        <v>1.24125304494887E-3</v>
      </c>
      <c r="E21403" s="2">
        <v>8.0430613128750796E-4</v>
      </c>
      <c r="F21403" s="2">
        <v>1.0409359371817699E-3</v>
      </c>
    </row>
    <row r="21404" spans="1:6" x14ac:dyDescent="0.25">
      <c r="A21404" s="1" t="str">
        <f t="shared" si="798"/>
        <v>33460</v>
      </c>
      <c r="B21404" s="1" t="str">
        <f>"55375"</f>
        <v>55375</v>
      </c>
      <c r="C21404" s="2">
        <v>9.5229866729009695E-4</v>
      </c>
      <c r="D21404" s="2">
        <v>5.1201688104141095E-4</v>
      </c>
      <c r="E21404" s="2">
        <v>2.0107653282187699E-4</v>
      </c>
      <c r="F21404" s="2">
        <v>8.9271571134393805E-4</v>
      </c>
    </row>
    <row r="21405" spans="1:6" x14ac:dyDescent="0.25">
      <c r="A21405" s="1" t="str">
        <f t="shared" si="798"/>
        <v>33460</v>
      </c>
      <c r="B21405" s="1" t="str">
        <f>"55403"</f>
        <v>55403</v>
      </c>
      <c r="C21405" s="2">
        <v>8.2708314539357997E-3</v>
      </c>
      <c r="D21405" s="2">
        <v>7.3466664597911504E-3</v>
      </c>
      <c r="E21405" s="2">
        <v>2.2829920188083799E-2</v>
      </c>
      <c r="F21405" s="2">
        <v>8.73594170758751E-3</v>
      </c>
    </row>
    <row r="21406" spans="1:6" x14ac:dyDescent="0.25">
      <c r="A21406" s="1" t="str">
        <f t="shared" si="798"/>
        <v>33460</v>
      </c>
      <c r="B21406" s="1" t="str">
        <f>"55378"</f>
        <v>55378</v>
      </c>
      <c r="C21406" s="2">
        <v>7.2797801390775303E-3</v>
      </c>
      <c r="D21406" s="2">
        <v>6.96653271477556E-3</v>
      </c>
      <c r="E21406" s="2">
        <v>2.50572294747262E-3</v>
      </c>
      <c r="F21406" s="2">
        <v>7.0823244552058098E-3</v>
      </c>
    </row>
    <row r="21407" spans="1:6" x14ac:dyDescent="0.25">
      <c r="A21407" s="1" t="str">
        <f t="shared" si="798"/>
        <v>33460</v>
      </c>
      <c r="B21407" s="1" t="str">
        <f>"55414"</f>
        <v>55414</v>
      </c>
      <c r="C21407" s="2">
        <v>1.09771638906641E-2</v>
      </c>
      <c r="D21407" s="2">
        <v>1.20789436936587E-2</v>
      </c>
      <c r="E21407" s="2">
        <v>1.8777454680442899E-2</v>
      </c>
      <c r="F21407" s="2">
        <v>1.13428073589644E-2</v>
      </c>
    </row>
    <row r="21408" spans="1:6" x14ac:dyDescent="0.25">
      <c r="A21408" s="1" t="str">
        <f t="shared" si="798"/>
        <v>33460</v>
      </c>
      <c r="B21408" s="1" t="str">
        <f>"55415"</f>
        <v>55415</v>
      </c>
      <c r="C21408" s="2">
        <v>1.9026914666669999E-3</v>
      </c>
      <c r="D21408" s="2">
        <v>5.07362182122853E-3</v>
      </c>
      <c r="E21408" s="2">
        <v>2.1035698818288599E-3</v>
      </c>
      <c r="F21408" s="2">
        <v>2.1412731099092501E-3</v>
      </c>
    </row>
    <row r="21409" spans="1:6" x14ac:dyDescent="0.25">
      <c r="A21409" s="1" t="str">
        <f t="shared" si="798"/>
        <v>33460</v>
      </c>
      <c r="B21409" s="1" t="str">
        <f>"55416"</f>
        <v>55416</v>
      </c>
      <c r="C21409" s="2">
        <v>1.2316989033636001E-2</v>
      </c>
      <c r="D21409" s="2">
        <v>1.6648306465376701E-2</v>
      </c>
      <c r="E21409" s="2">
        <v>1.52044793664542E-2</v>
      </c>
      <c r="F21409" s="2">
        <v>1.2738453531262E-2</v>
      </c>
    </row>
    <row r="21410" spans="1:6" x14ac:dyDescent="0.25">
      <c r="A21410" s="1" t="str">
        <f t="shared" si="798"/>
        <v>33460</v>
      </c>
      <c r="B21410" s="1" t="str">
        <f>"55418"</f>
        <v>55418</v>
      </c>
      <c r="C21410" s="2">
        <v>9.6081154396900799E-3</v>
      </c>
      <c r="D21410" s="2">
        <v>9.6119532668228497E-3</v>
      </c>
      <c r="E21410" s="2">
        <v>8.6926931881457607E-3</v>
      </c>
      <c r="F21410" s="2">
        <v>9.57491344391391E-3</v>
      </c>
    </row>
    <row r="21411" spans="1:6" x14ac:dyDescent="0.25">
      <c r="A21411" s="1" t="str">
        <f t="shared" si="798"/>
        <v>33460</v>
      </c>
      <c r="B21411" s="1" t="str">
        <f>"55306"</f>
        <v>55306</v>
      </c>
      <c r="C21411" s="2">
        <v>4.4139900869456898E-3</v>
      </c>
      <c r="D21411" s="2">
        <v>4.5460892771252504E-3</v>
      </c>
      <c r="E21411" s="2">
        <v>4.7949019365216804E-3</v>
      </c>
      <c r="F21411" s="2">
        <v>4.4375551582901398E-3</v>
      </c>
    </row>
    <row r="21412" spans="1:6" x14ac:dyDescent="0.25">
      <c r="A21412" s="1" t="str">
        <f t="shared" si="798"/>
        <v>33460</v>
      </c>
      <c r="B21412" s="1" t="str">
        <f>"55311"</f>
        <v>55311</v>
      </c>
      <c r="C21412" s="2">
        <v>9.1488012726115304E-3</v>
      </c>
      <c r="D21412" s="2">
        <v>4.5926362663108403E-3</v>
      </c>
      <c r="E21412" s="2">
        <v>9.5898038730433705E-4</v>
      </c>
      <c r="F21412" s="2">
        <v>8.5170057251476496E-3</v>
      </c>
    </row>
    <row r="21413" spans="1:6" x14ac:dyDescent="0.25">
      <c r="A21413" s="1" t="str">
        <f t="shared" si="798"/>
        <v>33460</v>
      </c>
      <c r="B21413" s="1" t="str">
        <f>"55313"</f>
        <v>55313</v>
      </c>
      <c r="C21413" s="2">
        <v>6.2811053525664998E-3</v>
      </c>
      <c r="D21413" s="2">
        <v>7.4863074273479003E-3</v>
      </c>
      <c r="E21413" s="2">
        <v>4.9495761925385101E-3</v>
      </c>
      <c r="F21413" s="2">
        <v>6.3202914620624096E-3</v>
      </c>
    </row>
    <row r="21414" spans="1:6" x14ac:dyDescent="0.25">
      <c r="A21414" s="1" t="str">
        <f t="shared" si="798"/>
        <v>33460</v>
      </c>
      <c r="B21414" s="1" t="str">
        <f>"55328"</f>
        <v>55328</v>
      </c>
      <c r="C21414" s="2">
        <v>2.3689938160939101E-3</v>
      </c>
      <c r="D21414" s="2">
        <v>1.65241811608819E-3</v>
      </c>
      <c r="E21414" s="2">
        <v>1.79422136979521E-3</v>
      </c>
      <c r="F21414" s="2">
        <v>2.2957163223280702E-3</v>
      </c>
    </row>
    <row r="21415" spans="1:6" x14ac:dyDescent="0.25">
      <c r="A21415" s="1" t="str">
        <f t="shared" si="798"/>
        <v>33460</v>
      </c>
      <c r="B21415" s="1" t="str">
        <f>"55344"</f>
        <v>55344</v>
      </c>
      <c r="C21415" s="2">
        <v>5.6432748909525897E-3</v>
      </c>
      <c r="D21415" s="2">
        <v>1.8564490853516601E-2</v>
      </c>
      <c r="E21415" s="2">
        <v>9.4969993194332705E-3</v>
      </c>
      <c r="F21415" s="2">
        <v>6.7264827679844302E-3</v>
      </c>
    </row>
    <row r="21416" spans="1:6" x14ac:dyDescent="0.25">
      <c r="A21416" s="1" t="str">
        <f t="shared" si="798"/>
        <v>33460</v>
      </c>
      <c r="B21416" s="1" t="str">
        <f>"55130"</f>
        <v>55130</v>
      </c>
      <c r="C21416" s="2">
        <v>3.8943234359494899E-3</v>
      </c>
      <c r="D21416" s="2">
        <v>2.6609362151091501E-3</v>
      </c>
      <c r="E21416" s="2">
        <v>6.34164449668997E-3</v>
      </c>
      <c r="F21416" s="2">
        <v>3.89389242153379E-3</v>
      </c>
    </row>
    <row r="21417" spans="1:6" x14ac:dyDescent="0.25">
      <c r="A21417" s="1" t="str">
        <f t="shared" si="798"/>
        <v>33460</v>
      </c>
      <c r="B21417" s="1" t="str">
        <f>"55347"</f>
        <v>55347</v>
      </c>
      <c r="C21417" s="2">
        <v>7.4964137918766801E-3</v>
      </c>
      <c r="D21417" s="2">
        <v>1.90842655660889E-3</v>
      </c>
      <c r="E21417" s="2">
        <v>3.1708222483449798E-3</v>
      </c>
      <c r="F21417" s="2">
        <v>6.93070987305107E-3</v>
      </c>
    </row>
    <row r="21418" spans="1:6" x14ac:dyDescent="0.25">
      <c r="A21418" s="1" t="str">
        <f t="shared" si="798"/>
        <v>33460</v>
      </c>
      <c r="B21418" s="1" t="str">
        <f>"55362"</f>
        <v>55362</v>
      </c>
      <c r="C21418" s="2">
        <v>5.0740556742134802E-3</v>
      </c>
      <c r="D21418" s="2">
        <v>3.7935796186249998E-3</v>
      </c>
      <c r="E21418" s="2">
        <v>2.8460063107096402E-3</v>
      </c>
      <c r="F21418" s="2">
        <v>4.8991876173881503E-3</v>
      </c>
    </row>
    <row r="21419" spans="1:6" x14ac:dyDescent="0.25">
      <c r="A21419" s="1" t="str">
        <f t="shared" si="798"/>
        <v>33460</v>
      </c>
      <c r="B21419" s="1" t="str">
        <f>"55010"</f>
        <v>55010</v>
      </c>
      <c r="C21419" s="2">
        <v>0</v>
      </c>
      <c r="D21419" s="2">
        <v>0</v>
      </c>
      <c r="E21419" s="2">
        <v>1.5467425601682799E-5</v>
      </c>
      <c r="F21419" s="2">
        <v>5.65726052816184E-7</v>
      </c>
    </row>
    <row r="21420" spans="1:6" x14ac:dyDescent="0.25">
      <c r="A21420" s="1" t="str">
        <f t="shared" si="798"/>
        <v>33460</v>
      </c>
      <c r="B21420" s="1" t="str">
        <f>"55012"</f>
        <v>55012</v>
      </c>
      <c r="C21420" s="2">
        <v>5.6667805952152501E-4</v>
      </c>
      <c r="D21420" s="2">
        <v>3.4134458736093999E-4</v>
      </c>
      <c r="E21420" s="2">
        <v>1.2373940481346201E-4</v>
      </c>
      <c r="F21420" s="2">
        <v>5.34045393858477E-4</v>
      </c>
    </row>
    <row r="21421" spans="1:6" x14ac:dyDescent="0.25">
      <c r="A21421" s="1" t="str">
        <f t="shared" si="798"/>
        <v>33460</v>
      </c>
      <c r="B21421" s="1" t="str">
        <f>"55382"</f>
        <v>55382</v>
      </c>
      <c r="C21421" s="2">
        <v>5.0505499699508101E-4</v>
      </c>
      <c r="D21421" s="2">
        <v>7.7578315309304702E-5</v>
      </c>
      <c r="E21421" s="2">
        <v>9.2804553610097097E-5</v>
      </c>
      <c r="F21421" s="2">
        <v>4.5880382883392497E-4</v>
      </c>
    </row>
    <row r="21422" spans="1:6" x14ac:dyDescent="0.25">
      <c r="A21422" s="1" t="str">
        <f t="shared" si="798"/>
        <v>33460</v>
      </c>
      <c r="B21422" s="1" t="str">
        <f>"54015"</f>
        <v>54015</v>
      </c>
      <c r="C21422" s="2">
        <v>9.3451056676700003E-4</v>
      </c>
      <c r="D21422" s="2">
        <v>1.9394578827326101E-4</v>
      </c>
      <c r="E21422" s="2">
        <v>3.0934851203365699E-4</v>
      </c>
      <c r="F21422" s="2">
        <v>8.5764069606933499E-4</v>
      </c>
    </row>
    <row r="21423" spans="1:6" x14ac:dyDescent="0.25">
      <c r="A21423" s="1" t="str">
        <f t="shared" si="798"/>
        <v>33460</v>
      </c>
      <c r="B21423" s="1" t="str">
        <f>"55433"</f>
        <v>55433</v>
      </c>
      <c r="C21423" s="2">
        <v>9.1557894549598902E-3</v>
      </c>
      <c r="D21423" s="2">
        <v>6.7958604210950901E-3</v>
      </c>
      <c r="E21423" s="2">
        <v>6.8056672647404497E-3</v>
      </c>
      <c r="F21423" s="2">
        <v>8.8977393586929399E-3</v>
      </c>
    </row>
    <row r="21424" spans="1:6" x14ac:dyDescent="0.25">
      <c r="A21424" s="1" t="str">
        <f t="shared" si="798"/>
        <v>33460</v>
      </c>
      <c r="B21424" s="1" t="str">
        <f>"55437"</f>
        <v>55437</v>
      </c>
      <c r="C21424" s="2">
        <v>5.7372977080032399E-3</v>
      </c>
      <c r="D21424" s="2">
        <v>4.7400350653985096E-3</v>
      </c>
      <c r="E21424" s="2">
        <v>2.56759264987935E-3</v>
      </c>
      <c r="F21424" s="2">
        <v>5.5486411260211302E-3</v>
      </c>
    </row>
    <row r="21425" spans="1:6" x14ac:dyDescent="0.25">
      <c r="A21425" s="1" t="str">
        <f t="shared" si="798"/>
        <v>33460</v>
      </c>
      <c r="B21425" s="1" t="str">
        <f>"55423"</f>
        <v>55423</v>
      </c>
      <c r="C21425" s="2">
        <v>1.0540084849239399E-2</v>
      </c>
      <c r="D21425" s="2">
        <v>7.1061736823323099E-3</v>
      </c>
      <c r="E21425" s="2">
        <v>9.9610220874837493E-3</v>
      </c>
      <c r="F21425" s="2">
        <v>1.0268493584666499E-2</v>
      </c>
    </row>
    <row r="21426" spans="1:6" x14ac:dyDescent="0.25">
      <c r="A21426" s="1" t="str">
        <f t="shared" si="798"/>
        <v>33460</v>
      </c>
      <c r="B21426" s="1" t="str">
        <f>"55445"</f>
        <v>55445</v>
      </c>
      <c r="C21426" s="2">
        <v>3.0398593215364301E-3</v>
      </c>
      <c r="D21426" s="2">
        <v>4.0418302276147696E-3</v>
      </c>
      <c r="E21426" s="2">
        <v>1.46940543215987E-3</v>
      </c>
      <c r="F21426" s="2">
        <v>3.05548641126021E-3</v>
      </c>
    </row>
    <row r="21427" spans="1:6" x14ac:dyDescent="0.25">
      <c r="A21427" s="1" t="str">
        <f t="shared" si="798"/>
        <v>33460</v>
      </c>
      <c r="B21427" s="1" t="str">
        <f>"55424"</f>
        <v>55424</v>
      </c>
      <c r="C21427" s="2">
        <v>2.5570394501952202E-3</v>
      </c>
      <c r="D21427" s="2">
        <v>3.16519526461963E-3</v>
      </c>
      <c r="E21427" s="2">
        <v>1.1600569201262101E-3</v>
      </c>
      <c r="F21427" s="2">
        <v>2.5502930460953501E-3</v>
      </c>
    </row>
    <row r="21428" spans="1:6" x14ac:dyDescent="0.25">
      <c r="A21428" s="1" t="str">
        <f t="shared" si="798"/>
        <v>33460</v>
      </c>
      <c r="B21428" s="1" t="str">
        <f>"56358"</f>
        <v>56358</v>
      </c>
      <c r="C21428" s="2">
        <v>5.2093722960498898E-5</v>
      </c>
      <c r="D21428" s="2">
        <v>0</v>
      </c>
      <c r="E21428" s="2">
        <v>0</v>
      </c>
      <c r="F21428" s="2">
        <v>4.6389536330927098E-5</v>
      </c>
    </row>
    <row r="21429" spans="1:6" x14ac:dyDescent="0.25">
      <c r="A21429" s="1" t="str">
        <f t="shared" si="798"/>
        <v>33460</v>
      </c>
      <c r="B21429" s="1" t="str">
        <f>"56357"</f>
        <v>56357</v>
      </c>
      <c r="C21429" s="2">
        <v>9.0211081224278694E-5</v>
      </c>
      <c r="D21429" s="2">
        <v>7.7578315309304702E-6</v>
      </c>
      <c r="E21429" s="2">
        <v>1.5467425601682799E-5</v>
      </c>
      <c r="F21429" s="2">
        <v>8.1464551605530503E-5</v>
      </c>
    </row>
    <row r="21430" spans="1:6" x14ac:dyDescent="0.25">
      <c r="A21430" s="1" t="str">
        <f t="shared" si="798"/>
        <v>33460</v>
      </c>
      <c r="B21430" s="1" t="str">
        <f>"56071"</f>
        <v>56071</v>
      </c>
      <c r="C21430" s="2">
        <v>3.2355284272905E-3</v>
      </c>
      <c r="D21430" s="2">
        <v>2.8005771826659E-3</v>
      </c>
      <c r="E21430" s="2">
        <v>1.50034028336323E-3</v>
      </c>
      <c r="F21430" s="2">
        <v>3.1403453191826301E-3</v>
      </c>
    </row>
    <row r="21431" spans="1:6" x14ac:dyDescent="0.25">
      <c r="A21431" s="1" t="str">
        <f t="shared" si="798"/>
        <v>33460</v>
      </c>
      <c r="B21431" s="1" t="str">
        <f>"56050"</f>
        <v>56050</v>
      </c>
      <c r="C21431" s="2">
        <v>4.5296127403458202E-4</v>
      </c>
      <c r="D21431" s="2">
        <v>2.32734945927914E-4</v>
      </c>
      <c r="E21431" s="2">
        <v>1.7014168161851099E-4</v>
      </c>
      <c r="F21431" s="2">
        <v>4.2655744382340201E-4</v>
      </c>
    </row>
    <row r="21432" spans="1:6" x14ac:dyDescent="0.25">
      <c r="A21432" s="1" t="str">
        <f t="shared" si="798"/>
        <v>33460</v>
      </c>
      <c r="B21432" s="1" t="str">
        <f>"55376"</f>
        <v>55376</v>
      </c>
      <c r="C21432" s="2">
        <v>3.9997814604792797E-3</v>
      </c>
      <c r="D21432" s="2">
        <v>2.1489193340677401E-3</v>
      </c>
      <c r="E21432" s="2">
        <v>1.2683288993379899E-3</v>
      </c>
      <c r="F21432" s="2">
        <v>3.7649068814917001E-3</v>
      </c>
    </row>
    <row r="21433" spans="1:6" x14ac:dyDescent="0.25">
      <c r="A21433" s="1" t="str">
        <f t="shared" si="798"/>
        <v>33460</v>
      </c>
      <c r="B21433" s="1" t="str">
        <f>"55405"</f>
        <v>55405</v>
      </c>
      <c r="C21433" s="2">
        <v>5.4291823953710201E-3</v>
      </c>
      <c r="D21433" s="2">
        <v>5.3761772509348096E-3</v>
      </c>
      <c r="E21433" s="2">
        <v>1.6240796881766901E-2</v>
      </c>
      <c r="F21433" s="2">
        <v>5.8207553574257196E-3</v>
      </c>
    </row>
    <row r="21434" spans="1:6" x14ac:dyDescent="0.25">
      <c r="A21434" s="1" t="str">
        <f t="shared" si="798"/>
        <v>33460</v>
      </c>
      <c r="B21434" s="1" t="str">
        <f>"55369"</f>
        <v>55369</v>
      </c>
      <c r="C21434" s="2">
        <v>1.07230481689056E-2</v>
      </c>
      <c r="D21434" s="2">
        <v>1.5825976323098099E-2</v>
      </c>
      <c r="E21434" s="2">
        <v>6.9448740951555997E-3</v>
      </c>
      <c r="F21434" s="2">
        <v>1.0956982190943799E-2</v>
      </c>
    </row>
    <row r="21435" spans="1:6" x14ac:dyDescent="0.25">
      <c r="A21435" s="1" t="str">
        <f t="shared" si="798"/>
        <v>33460</v>
      </c>
      <c r="B21435" s="1" t="str">
        <f>"56338"</f>
        <v>56338</v>
      </c>
      <c r="C21435" s="2">
        <v>1.90586791318898E-6</v>
      </c>
      <c r="D21435" s="2">
        <v>0</v>
      </c>
      <c r="E21435" s="2">
        <v>0</v>
      </c>
      <c r="F21435" s="2">
        <v>1.6971781584485501E-6</v>
      </c>
    </row>
    <row r="21436" spans="1:6" x14ac:dyDescent="0.25">
      <c r="A21436" s="1" t="str">
        <f t="shared" si="798"/>
        <v>33460</v>
      </c>
      <c r="B21436" s="1" t="str">
        <f>"55085"</f>
        <v>55085</v>
      </c>
      <c r="C21436" s="2">
        <v>1.00375710094619E-4</v>
      </c>
      <c r="D21436" s="2">
        <v>0</v>
      </c>
      <c r="E21436" s="2">
        <v>1.5467425601682799E-5</v>
      </c>
      <c r="F21436" s="2">
        <v>8.9950442397773299E-5</v>
      </c>
    </row>
    <row r="21437" spans="1:6" x14ac:dyDescent="0.25">
      <c r="A21437" s="1" t="str">
        <f t="shared" si="798"/>
        <v>33460</v>
      </c>
      <c r="B21437" s="1" t="str">
        <f>"56044"</f>
        <v>56044</v>
      </c>
      <c r="C21437" s="2">
        <v>5.3999590873687898E-5</v>
      </c>
      <c r="D21437" s="2">
        <v>7.7578315309304702E-6</v>
      </c>
      <c r="E21437" s="2">
        <v>1.5467425601682799E-5</v>
      </c>
      <c r="F21437" s="2">
        <v>4.9218166595008E-5</v>
      </c>
    </row>
    <row r="21438" spans="1:6" x14ac:dyDescent="0.25">
      <c r="A21438" s="1" t="str">
        <f t="shared" si="798"/>
        <v>33460</v>
      </c>
      <c r="B21438" s="1" t="str">
        <f>"55090"</f>
        <v>55090</v>
      </c>
      <c r="C21438" s="2">
        <v>1.3531662183641799E-4</v>
      </c>
      <c r="D21438" s="2">
        <v>0</v>
      </c>
      <c r="E21438" s="2">
        <v>4.6402276805048501E-5</v>
      </c>
      <c r="F21438" s="2">
        <v>1.2219682740829499E-4</v>
      </c>
    </row>
    <row r="21439" spans="1:6" x14ac:dyDescent="0.25">
      <c r="A21439" s="1" t="str">
        <f t="shared" si="798"/>
        <v>33460</v>
      </c>
      <c r="B21439" s="1" t="str">
        <f>"55057"</f>
        <v>55057</v>
      </c>
      <c r="C21439" s="2">
        <v>7.6488832249317997E-4</v>
      </c>
      <c r="D21439" s="2">
        <v>3.10313261237218E-4</v>
      </c>
      <c r="E21439" s="2">
        <v>0</v>
      </c>
      <c r="F21439" s="2">
        <v>7.0376320970333298E-4</v>
      </c>
    </row>
    <row r="21440" spans="1:6" x14ac:dyDescent="0.25">
      <c r="A21440" s="1" t="str">
        <f t="shared" si="798"/>
        <v>33460</v>
      </c>
      <c r="B21440" s="1" t="str">
        <f>"56052"</f>
        <v>56052</v>
      </c>
      <c r="C21440" s="2">
        <v>1.9503381644967301E-4</v>
      </c>
      <c r="D21440" s="2">
        <v>1.55156630618609E-5</v>
      </c>
      <c r="E21440" s="2">
        <v>1.5467425601682799E-5</v>
      </c>
      <c r="F21440" s="2">
        <v>1.7537507637301701E-4</v>
      </c>
    </row>
    <row r="21441" spans="1:6" x14ac:dyDescent="0.25">
      <c r="A21441" s="1" t="str">
        <f t="shared" si="798"/>
        <v>33460</v>
      </c>
      <c r="B21441" s="1" t="str">
        <f>"55388"</f>
        <v>55388</v>
      </c>
      <c r="C21441" s="2">
        <v>1.6333288016029601E-3</v>
      </c>
      <c r="D21441" s="2">
        <v>5.6632170175792396E-4</v>
      </c>
      <c r="E21441" s="2">
        <v>1.22192662253294E-3</v>
      </c>
      <c r="F21441" s="2">
        <v>1.5404720418184599E-3</v>
      </c>
    </row>
    <row r="21442" spans="1:6" x14ac:dyDescent="0.25">
      <c r="A21442" s="1" t="str">
        <f t="shared" si="798"/>
        <v>33460</v>
      </c>
      <c r="B21442" s="1" t="str">
        <f>"55404"</f>
        <v>55404</v>
      </c>
      <c r="C21442" s="2">
        <v>9.4283285665459106E-3</v>
      </c>
      <c r="D21442" s="2">
        <v>8.1379652759460599E-3</v>
      </c>
      <c r="E21442" s="2">
        <v>2.2984594444100701E-2</v>
      </c>
      <c r="F21442" s="2">
        <v>9.8300558937340094E-3</v>
      </c>
    </row>
    <row r="21443" spans="1:6" x14ac:dyDescent="0.25">
      <c r="A21443" s="1" t="str">
        <f t="shared" si="798"/>
        <v>33460</v>
      </c>
      <c r="B21443" s="1" t="str">
        <f>"55318"</f>
        <v>55318</v>
      </c>
      <c r="C21443" s="2">
        <v>7.51864891753055E-3</v>
      </c>
      <c r="D21443" s="2">
        <v>5.9657724472855301E-3</v>
      </c>
      <c r="E21443" s="2">
        <v>4.7484996597166301E-3</v>
      </c>
      <c r="F21443" s="2">
        <v>7.3040890679097496E-3</v>
      </c>
    </row>
    <row r="21444" spans="1:6" x14ac:dyDescent="0.25">
      <c r="A21444" s="1" t="str">
        <f t="shared" si="798"/>
        <v>33460</v>
      </c>
      <c r="B21444" s="1" t="str">
        <f>"55150"</f>
        <v>55150</v>
      </c>
      <c r="C21444" s="2">
        <v>7.3693559309974095E-5</v>
      </c>
      <c r="D21444" s="2">
        <v>1.55156630618609E-5</v>
      </c>
      <c r="E21444" s="2">
        <v>1.2373940481346201E-4</v>
      </c>
      <c r="F21444" s="2">
        <v>7.1281482654839202E-5</v>
      </c>
    </row>
    <row r="21445" spans="1:6" x14ac:dyDescent="0.25">
      <c r="A21445" s="1" t="str">
        <f t="shared" si="798"/>
        <v>33460</v>
      </c>
      <c r="B21445" s="1" t="str">
        <f>"54751"</f>
        <v>54751</v>
      </c>
      <c r="C21445" s="2">
        <v>1.90586791318898E-6</v>
      </c>
      <c r="D21445" s="2">
        <v>0</v>
      </c>
      <c r="E21445" s="2">
        <v>0</v>
      </c>
      <c r="F21445" s="2">
        <v>1.6971781584485501E-6</v>
      </c>
    </row>
    <row r="21446" spans="1:6" x14ac:dyDescent="0.25">
      <c r="A21446" s="1" t="str">
        <f t="shared" si="798"/>
        <v>33460</v>
      </c>
      <c r="B21446" s="1" t="str">
        <f>"55487"</f>
        <v>55487</v>
      </c>
      <c r="C21446" s="2">
        <v>0</v>
      </c>
      <c r="D21446" s="2">
        <v>4.6546989185582801E-5</v>
      </c>
      <c r="E21446" s="2">
        <v>0</v>
      </c>
      <c r="F21446" s="2">
        <v>3.3943563168971002E-6</v>
      </c>
    </row>
    <row r="21447" spans="1:6" x14ac:dyDescent="0.25">
      <c r="A21447" s="1" t="str">
        <f t="shared" si="798"/>
        <v>33460</v>
      </c>
      <c r="B21447" s="1" t="str">
        <f>"55088"</f>
        <v>55088</v>
      </c>
      <c r="C21447" s="2">
        <v>1.4992827583753301E-4</v>
      </c>
      <c r="D21447" s="2">
        <v>0</v>
      </c>
      <c r="E21447" s="2">
        <v>0</v>
      </c>
      <c r="F21447" s="2">
        <v>1.3351134846461901E-4</v>
      </c>
    </row>
    <row r="21448" spans="1:6" x14ac:dyDescent="0.25">
      <c r="A21448" s="1" t="str">
        <f t="shared" si="798"/>
        <v>33460</v>
      </c>
      <c r="B21448" s="1" t="str">
        <f>"55054"</f>
        <v>55054</v>
      </c>
      <c r="C21448" s="2">
        <v>5.2792541195334898E-4</v>
      </c>
      <c r="D21448" s="2">
        <v>1.7843012521139999E-4</v>
      </c>
      <c r="E21448" s="2">
        <v>7.7337128008414193E-5</v>
      </c>
      <c r="F21448" s="2">
        <v>4.8595867936910197E-4</v>
      </c>
    </row>
    <row r="21449" spans="1:6" x14ac:dyDescent="0.25">
      <c r="A21449" s="1" t="str">
        <f t="shared" si="798"/>
        <v>33460</v>
      </c>
      <c r="B21449" s="1" t="str">
        <f>"55051"</f>
        <v>55051</v>
      </c>
      <c r="C21449" s="2">
        <v>6.9881823483596097E-6</v>
      </c>
      <c r="D21449" s="2">
        <v>0</v>
      </c>
      <c r="E21449" s="2">
        <v>0</v>
      </c>
      <c r="F21449" s="2">
        <v>6.2229865809780202E-6</v>
      </c>
    </row>
    <row r="21450" spans="1:6" x14ac:dyDescent="0.25">
      <c r="A21450" s="1" t="str">
        <f t="shared" si="798"/>
        <v>33460</v>
      </c>
      <c r="B21450" s="1" t="str">
        <f>"55077"</f>
        <v>55077</v>
      </c>
      <c r="C21450" s="2">
        <v>3.52267919287764E-3</v>
      </c>
      <c r="D21450" s="2">
        <v>1.7222385998665599E-3</v>
      </c>
      <c r="E21450" s="2">
        <v>2.3974509682608402E-3</v>
      </c>
      <c r="F21450" s="2">
        <v>3.3502296847774402E-3</v>
      </c>
    </row>
    <row r="21451" spans="1:6" x14ac:dyDescent="0.25">
      <c r="A21451" s="1" t="str">
        <f t="shared" si="798"/>
        <v>33460</v>
      </c>
      <c r="B21451" s="1" t="str">
        <f>"55071"</f>
        <v>55071</v>
      </c>
      <c r="C21451" s="2">
        <v>1.43067151350053E-3</v>
      </c>
      <c r="D21451" s="2">
        <v>9.9300243595909997E-4</v>
      </c>
      <c r="E21451" s="2">
        <v>1.3611334529480901E-3</v>
      </c>
      <c r="F21451" s="2">
        <v>1.3962118983503399E-3</v>
      </c>
    </row>
    <row r="21452" spans="1:6" x14ac:dyDescent="0.25">
      <c r="A21452" s="1" t="str">
        <f t="shared" si="798"/>
        <v>33460</v>
      </c>
      <c r="B21452" s="1" t="str">
        <f>"55073"</f>
        <v>55073</v>
      </c>
      <c r="C21452" s="2">
        <v>9.0719312667795701E-4</v>
      </c>
      <c r="D21452" s="2">
        <v>2.24977114396983E-4</v>
      </c>
      <c r="E21452" s="2">
        <v>6.1869702406731398E-5</v>
      </c>
      <c r="F21452" s="2">
        <v>8.2652576316444499E-4</v>
      </c>
    </row>
    <row r="21453" spans="1:6" x14ac:dyDescent="0.25">
      <c r="A21453" s="1" t="str">
        <f t="shared" si="798"/>
        <v>33460</v>
      </c>
      <c r="B21453" s="1" t="str">
        <f>"55025"</f>
        <v>55025</v>
      </c>
      <c r="C21453" s="2">
        <v>7.0644170648871702E-3</v>
      </c>
      <c r="D21453" s="2">
        <v>7.8043785201160499E-3</v>
      </c>
      <c r="E21453" s="2">
        <v>3.77405184681061E-3</v>
      </c>
      <c r="F21453" s="2">
        <v>6.9980312733361897E-3</v>
      </c>
    </row>
    <row r="21454" spans="1:6" x14ac:dyDescent="0.25">
      <c r="A21454" s="1" t="str">
        <f t="shared" si="798"/>
        <v>33460</v>
      </c>
      <c r="B21454" s="1" t="str">
        <f>"55011"</f>
        <v>55011</v>
      </c>
      <c r="C21454" s="2">
        <v>2.46555779036215E-3</v>
      </c>
      <c r="D21454" s="2">
        <v>1.1248855719849099E-3</v>
      </c>
      <c r="E21454" s="2">
        <v>3.24815937635339E-4</v>
      </c>
      <c r="F21454" s="2">
        <v>2.2894933357470899E-3</v>
      </c>
    </row>
    <row r="21455" spans="1:6" x14ac:dyDescent="0.25">
      <c r="A21455" s="1" t="str">
        <f t="shared" si="798"/>
        <v>33460</v>
      </c>
      <c r="B21455" s="1" t="str">
        <f>"54023"</f>
        <v>54023</v>
      </c>
      <c r="C21455" s="2">
        <v>1.1670264521760499E-3</v>
      </c>
      <c r="D21455" s="2">
        <v>4.8098555491768902E-4</v>
      </c>
      <c r="E21455" s="2">
        <v>4.7949019365216798E-4</v>
      </c>
      <c r="F21455" s="2">
        <v>1.09185128193523E-3</v>
      </c>
    </row>
    <row r="21456" spans="1:6" x14ac:dyDescent="0.25">
      <c r="A21456" s="1" t="str">
        <f t="shared" si="798"/>
        <v>33460</v>
      </c>
      <c r="B21456" s="1" t="str">
        <f>"55421"</f>
        <v>55421</v>
      </c>
      <c r="C21456" s="2">
        <v>8.5319353580426902E-3</v>
      </c>
      <c r="D21456" s="2">
        <v>7.7268002048067504E-3</v>
      </c>
      <c r="E21456" s="2">
        <v>1.02085008971106E-2</v>
      </c>
      <c r="F21456" s="2">
        <v>8.5345432327849496E-3</v>
      </c>
    </row>
    <row r="21457" spans="1:6" x14ac:dyDescent="0.25">
      <c r="A21457" s="1" t="str">
        <f t="shared" si="798"/>
        <v>33460</v>
      </c>
      <c r="B21457" s="1" t="str">
        <f>"55442"</f>
        <v>55442</v>
      </c>
      <c r="C21457" s="2">
        <v>3.71072482697895E-3</v>
      </c>
      <c r="D21457" s="2">
        <v>1.7144807683356299E-3</v>
      </c>
      <c r="E21457" s="2">
        <v>4.7175648085132698E-3</v>
      </c>
      <c r="F21457" s="2">
        <v>3.6019777782806402E-3</v>
      </c>
    </row>
    <row r="21458" spans="1:6" x14ac:dyDescent="0.25">
      <c r="A21458" s="1" t="str">
        <f t="shared" si="798"/>
        <v>33460</v>
      </c>
      <c r="B21458" s="1" t="str">
        <f>"55391"</f>
        <v>55391</v>
      </c>
      <c r="C21458" s="2">
        <v>4.9609741780309302E-3</v>
      </c>
      <c r="D21458" s="2">
        <v>1.1194550899132599E-2</v>
      </c>
      <c r="E21458" s="2">
        <v>4.0524655076408997E-3</v>
      </c>
      <c r="F21458" s="2">
        <v>5.3823176664931699E-3</v>
      </c>
    </row>
    <row r="21459" spans="1:6" x14ac:dyDescent="0.25">
      <c r="A21459" s="1" t="str">
        <f t="shared" si="798"/>
        <v>33460</v>
      </c>
      <c r="B21459" s="1" t="str">
        <f>"55401"</f>
        <v>55401</v>
      </c>
      <c r="C21459" s="2">
        <v>5.7938384560945197E-3</v>
      </c>
      <c r="D21459" s="2">
        <v>1.57871871654435E-2</v>
      </c>
      <c r="E21459" s="2">
        <v>6.4499164759017503E-3</v>
      </c>
      <c r="F21459" s="2">
        <v>6.5465818831888798E-3</v>
      </c>
    </row>
    <row r="21460" spans="1:6" x14ac:dyDescent="0.25">
      <c r="A21460" s="1" t="str">
        <f t="shared" si="798"/>
        <v>33460</v>
      </c>
      <c r="B21460" s="1" t="str">
        <f>"55410"</f>
        <v>55410</v>
      </c>
      <c r="C21460" s="2">
        <v>5.8529203614033701E-3</v>
      </c>
      <c r="D21460" s="2">
        <v>2.60663139439263E-3</v>
      </c>
      <c r="E21460" s="2">
        <v>4.0060632308358502E-3</v>
      </c>
      <c r="F21460" s="2">
        <v>5.5486411260211302E-3</v>
      </c>
    </row>
    <row r="21461" spans="1:6" x14ac:dyDescent="0.25">
      <c r="A21461" s="1" t="str">
        <f t="shared" ref="A21461:A21524" si="799">"33460"</f>
        <v>33460</v>
      </c>
      <c r="B21461" s="1" t="str">
        <f>"55387"</f>
        <v>55387</v>
      </c>
      <c r="C21461" s="2">
        <v>3.6033609345359702E-3</v>
      </c>
      <c r="D21461" s="2">
        <v>3.3048362321763799E-3</v>
      </c>
      <c r="E21461" s="2">
        <v>2.3201138402524201E-3</v>
      </c>
      <c r="F21461" s="2">
        <v>3.5346563779955101E-3</v>
      </c>
    </row>
    <row r="21462" spans="1:6" x14ac:dyDescent="0.25">
      <c r="A21462" s="1" t="str">
        <f t="shared" si="799"/>
        <v>33460</v>
      </c>
      <c r="B21462" s="1" t="str">
        <f>"55420"</f>
        <v>55420</v>
      </c>
      <c r="C21462" s="2">
        <v>6.6311497592888803E-3</v>
      </c>
      <c r="D21462" s="2">
        <v>1.0907511132488199E-2</v>
      </c>
      <c r="E21462" s="2">
        <v>6.0322959846563096E-3</v>
      </c>
      <c r="F21462" s="2">
        <v>6.9210925301531898E-3</v>
      </c>
    </row>
    <row r="21463" spans="1:6" x14ac:dyDescent="0.25">
      <c r="A21463" s="1" t="str">
        <f t="shared" si="799"/>
        <v>33460</v>
      </c>
      <c r="B21463" s="1" t="str">
        <f>"55384"</f>
        <v>55384</v>
      </c>
      <c r="C21463" s="2">
        <v>7.4710022197008196E-4</v>
      </c>
      <c r="D21463" s="2">
        <v>7.9905664768583804E-4</v>
      </c>
      <c r="E21463" s="2">
        <v>8.19773556889191E-4</v>
      </c>
      <c r="F21463" s="2">
        <v>7.5354710235115698E-4</v>
      </c>
    </row>
    <row r="21464" spans="1:6" x14ac:dyDescent="0.25">
      <c r="A21464" s="1" t="str">
        <f t="shared" si="799"/>
        <v>33460</v>
      </c>
      <c r="B21464" s="1" t="str">
        <f>"55321"</f>
        <v>55321</v>
      </c>
      <c r="C21464" s="2">
        <v>1.3334722499278901E-3</v>
      </c>
      <c r="D21464" s="2">
        <v>1.27228437107259E-3</v>
      </c>
      <c r="E21464" s="2">
        <v>1.2683288993379899E-3</v>
      </c>
      <c r="F21464" s="2">
        <v>1.3266275938539501E-3</v>
      </c>
    </row>
    <row r="21465" spans="1:6" x14ac:dyDescent="0.25">
      <c r="A21465" s="1" t="str">
        <f t="shared" si="799"/>
        <v>33460</v>
      </c>
      <c r="B21465" s="1" t="str">
        <f>"55343"</f>
        <v>55343</v>
      </c>
      <c r="C21465" s="2">
        <v>8.9118383620717008E-3</v>
      </c>
      <c r="D21465" s="2">
        <v>1.6873283579773701E-2</v>
      </c>
      <c r="E21465" s="2">
        <v>1.22347336509311E-2</v>
      </c>
      <c r="F21465" s="2">
        <v>9.6139485415582294E-3</v>
      </c>
    </row>
    <row r="21466" spans="1:6" x14ac:dyDescent="0.25">
      <c r="A21466" s="1" t="str">
        <f t="shared" si="799"/>
        <v>33460</v>
      </c>
      <c r="B21466" s="1" t="str">
        <f>"56379"</f>
        <v>56379</v>
      </c>
      <c r="C21466" s="2">
        <v>6.35289304396329E-6</v>
      </c>
      <c r="D21466" s="2">
        <v>0</v>
      </c>
      <c r="E21466" s="2">
        <v>0</v>
      </c>
      <c r="F21466" s="2">
        <v>5.65726052816184E-6</v>
      </c>
    </row>
    <row r="21467" spans="1:6" x14ac:dyDescent="0.25">
      <c r="A21467" s="1" t="str">
        <f t="shared" si="799"/>
        <v>33460</v>
      </c>
      <c r="B21467" s="1" t="str">
        <f>"55083"</f>
        <v>55083</v>
      </c>
      <c r="C21467" s="2">
        <v>0</v>
      </c>
      <c r="D21467" s="2">
        <v>3.9564940807745402E-4</v>
      </c>
      <c r="E21467" s="2">
        <v>1.5467425601682799E-5</v>
      </c>
      <c r="F21467" s="2">
        <v>2.9417754746441499E-5</v>
      </c>
    </row>
    <row r="21468" spans="1:6" x14ac:dyDescent="0.25">
      <c r="A21468" s="1" t="str">
        <f t="shared" si="799"/>
        <v>33460</v>
      </c>
      <c r="B21468" s="1" t="str">
        <f>"54734"</f>
        <v>54734</v>
      </c>
      <c r="C21468" s="2">
        <v>1.90586791318898E-5</v>
      </c>
      <c r="D21468" s="2">
        <v>0</v>
      </c>
      <c r="E21468" s="2">
        <v>0</v>
      </c>
      <c r="F21468" s="2">
        <v>1.6971781584485501E-5</v>
      </c>
    </row>
    <row r="21469" spans="1:6" x14ac:dyDescent="0.25">
      <c r="A21469" s="1" t="str">
        <f t="shared" si="799"/>
        <v>33460</v>
      </c>
      <c r="B21469" s="1" t="str">
        <f>"55450"</f>
        <v>55450</v>
      </c>
      <c r="C21469" s="2">
        <v>6.3528930439632898E-7</v>
      </c>
      <c r="D21469" s="2">
        <v>8.6111929993328202E-4</v>
      </c>
      <c r="E21469" s="2">
        <v>7.7337128008414199E-4</v>
      </c>
      <c r="F21469" s="2">
        <v>9.1647620556221804E-5</v>
      </c>
    </row>
    <row r="21470" spans="1:6" x14ac:dyDescent="0.25">
      <c r="A21470" s="1" t="str">
        <f t="shared" si="799"/>
        <v>33460</v>
      </c>
      <c r="B21470" s="1" t="str">
        <f>"55106"</f>
        <v>55106</v>
      </c>
      <c r="C21470" s="2">
        <v>1.3042489419256601E-2</v>
      </c>
      <c r="D21470" s="2">
        <v>7.0130797039611396E-3</v>
      </c>
      <c r="E21470" s="2">
        <v>2.32320732537276E-2</v>
      </c>
      <c r="F21470" s="2">
        <v>1.2975492747392001E-2</v>
      </c>
    </row>
    <row r="21471" spans="1:6" x14ac:dyDescent="0.25">
      <c r="A21471" s="1" t="str">
        <f t="shared" si="799"/>
        <v>33460</v>
      </c>
      <c r="B21471" s="1" t="str">
        <f>"55110"</f>
        <v>55110</v>
      </c>
      <c r="C21471" s="2">
        <v>1.06569780812484E-2</v>
      </c>
      <c r="D21471" s="2">
        <v>1.2125490682844299E-2</v>
      </c>
      <c r="E21471" s="2">
        <v>6.91393924395223E-3</v>
      </c>
      <c r="F21471" s="2">
        <v>1.0627163902151999E-2</v>
      </c>
    </row>
    <row r="21472" spans="1:6" x14ac:dyDescent="0.25">
      <c r="A21472" s="1" t="str">
        <f t="shared" si="799"/>
        <v>33460</v>
      </c>
      <c r="B21472" s="1" t="str">
        <f>"55116"</f>
        <v>55116</v>
      </c>
      <c r="C21472" s="2">
        <v>8.3407132774193996E-3</v>
      </c>
      <c r="D21472" s="2">
        <v>4.6702145816201399E-3</v>
      </c>
      <c r="E21472" s="2">
        <v>9.3577924890181196E-3</v>
      </c>
      <c r="F21472" s="2">
        <v>8.1102486931728095E-3</v>
      </c>
    </row>
    <row r="21473" spans="1:6" x14ac:dyDescent="0.25">
      <c r="A21473" s="1" t="str">
        <f t="shared" si="799"/>
        <v>33460</v>
      </c>
      <c r="B21473" s="1" t="str">
        <f>"55105"</f>
        <v>55105</v>
      </c>
      <c r="C21473" s="2">
        <v>7.5586721437075196E-3</v>
      </c>
      <c r="D21473" s="2">
        <v>4.8796760329552604E-3</v>
      </c>
      <c r="E21473" s="2">
        <v>1.1538699498855399E-2</v>
      </c>
      <c r="F21473" s="2">
        <v>7.5088818990292098E-3</v>
      </c>
    </row>
    <row r="21474" spans="1:6" x14ac:dyDescent="0.25">
      <c r="A21474" s="1" t="str">
        <f t="shared" si="799"/>
        <v>33460</v>
      </c>
      <c r="B21474" s="1" t="str">
        <f>"55121"</f>
        <v>55121</v>
      </c>
      <c r="C21474" s="2">
        <v>3.2653870245971301E-3</v>
      </c>
      <c r="D21474" s="2">
        <v>1.2404772617957799E-2</v>
      </c>
      <c r="E21474" s="2">
        <v>5.5218709398007701E-3</v>
      </c>
      <c r="F21474" s="2">
        <v>4.0143920707836397E-3</v>
      </c>
    </row>
    <row r="21475" spans="1:6" x14ac:dyDescent="0.25">
      <c r="A21475" s="1" t="str">
        <f t="shared" si="799"/>
        <v>33460</v>
      </c>
      <c r="B21475" s="1" t="str">
        <f>"55079"</f>
        <v>55079</v>
      </c>
      <c r="C21475" s="2">
        <v>2.4204522497500102E-3</v>
      </c>
      <c r="D21475" s="2">
        <v>4.65469891855828E-4</v>
      </c>
      <c r="E21475" s="2">
        <v>4.0215306564375398E-4</v>
      </c>
      <c r="F21475" s="2">
        <v>2.2040687017718498E-3</v>
      </c>
    </row>
    <row r="21476" spans="1:6" x14ac:dyDescent="0.25">
      <c r="A21476" s="1" t="str">
        <f t="shared" si="799"/>
        <v>33460</v>
      </c>
      <c r="B21476" s="1" t="str">
        <f>"55084"</f>
        <v>55084</v>
      </c>
      <c r="C21476" s="2">
        <v>5.0378441838628803E-4</v>
      </c>
      <c r="D21476" s="2">
        <v>2.6376627205163602E-4</v>
      </c>
      <c r="E21476" s="2">
        <v>1.7014168161851099E-4</v>
      </c>
      <c r="F21476" s="2">
        <v>4.7407843225996199E-4</v>
      </c>
    </row>
    <row r="21477" spans="1:6" x14ac:dyDescent="0.25">
      <c r="A21477" s="1" t="str">
        <f t="shared" si="799"/>
        <v>33460</v>
      </c>
      <c r="B21477" s="1" t="str">
        <f>"54750"</f>
        <v>54750</v>
      </c>
      <c r="C21477" s="2">
        <v>3.72279532376248E-4</v>
      </c>
      <c r="D21477" s="2">
        <v>3.10313261237218E-5</v>
      </c>
      <c r="E21477" s="2">
        <v>4.6402276805048501E-5</v>
      </c>
      <c r="F21477" s="2">
        <v>3.35475549319997E-4</v>
      </c>
    </row>
    <row r="21478" spans="1:6" x14ac:dyDescent="0.25">
      <c r="A21478" s="1" t="str">
        <f t="shared" si="799"/>
        <v>33460</v>
      </c>
      <c r="B21478" s="1" t="str">
        <f>"55040"</f>
        <v>55040</v>
      </c>
      <c r="C21478" s="2">
        <v>3.6147961420151102E-3</v>
      </c>
      <c r="D21478" s="2">
        <v>1.7765434205830699E-3</v>
      </c>
      <c r="E21478" s="2">
        <v>9.5898038730433705E-4</v>
      </c>
      <c r="F21478" s="2">
        <v>3.3836075218935898E-3</v>
      </c>
    </row>
    <row r="21479" spans="1:6" x14ac:dyDescent="0.25">
      <c r="A21479" s="1" t="str">
        <f t="shared" si="799"/>
        <v>33460</v>
      </c>
      <c r="B21479" s="1" t="str">
        <f>"55031"</f>
        <v>55031</v>
      </c>
      <c r="C21479" s="2">
        <v>5.0060797186430705E-4</v>
      </c>
      <c r="D21479" s="2">
        <v>1.47398799087679E-4</v>
      </c>
      <c r="E21479" s="2">
        <v>3.0934851203365699E-4</v>
      </c>
      <c r="F21479" s="2">
        <v>4.6785544567898399E-4</v>
      </c>
    </row>
    <row r="21480" spans="1:6" x14ac:dyDescent="0.25">
      <c r="A21480" s="1" t="str">
        <f t="shared" si="799"/>
        <v>33460</v>
      </c>
      <c r="B21480" s="1" t="str">
        <f>"55069"</f>
        <v>55069</v>
      </c>
      <c r="C21480" s="2">
        <v>1.35697795419055E-3</v>
      </c>
      <c r="D21480" s="2">
        <v>5.7407953328885504E-4</v>
      </c>
      <c r="E21480" s="2">
        <v>1.4539380065581801E-3</v>
      </c>
      <c r="F21480" s="2">
        <v>1.30343282568848E-3</v>
      </c>
    </row>
    <row r="21481" spans="1:6" x14ac:dyDescent="0.25">
      <c r="A21481" s="1" t="str">
        <f t="shared" si="799"/>
        <v>33460</v>
      </c>
      <c r="B21481" s="1" t="str">
        <f>"54014"</f>
        <v>54014</v>
      </c>
      <c r="C21481" s="2">
        <v>6.9055947387880901E-4</v>
      </c>
      <c r="D21481" s="2">
        <v>3.2582892429907902E-4</v>
      </c>
      <c r="E21481" s="2">
        <v>2.16543958423559E-4</v>
      </c>
      <c r="F21481" s="2">
        <v>6.4662487836889796E-4</v>
      </c>
    </row>
    <row r="21482" spans="1:6" x14ac:dyDescent="0.25">
      <c r="A21482" s="1" t="str">
        <f t="shared" si="799"/>
        <v>33460</v>
      </c>
      <c r="B21482" s="1" t="str">
        <f>"55390"</f>
        <v>55390</v>
      </c>
      <c r="C21482" s="2">
        <v>7.42653196839308E-4</v>
      </c>
      <c r="D21482" s="2">
        <v>1.47398799087679E-4</v>
      </c>
      <c r="E21482" s="2">
        <v>1.39206830415145E-4</v>
      </c>
      <c r="F21482" s="2">
        <v>6.7717408522097199E-4</v>
      </c>
    </row>
    <row r="21483" spans="1:6" x14ac:dyDescent="0.25">
      <c r="A21483" s="1" t="str">
        <f t="shared" si="799"/>
        <v>33460</v>
      </c>
      <c r="B21483" s="1" t="str">
        <f>"55377"</f>
        <v>55377</v>
      </c>
      <c r="C21483" s="2">
        <v>0</v>
      </c>
      <c r="D21483" s="2">
        <v>7.7578315309304702E-6</v>
      </c>
      <c r="E21483" s="2">
        <v>0</v>
      </c>
      <c r="F21483" s="2">
        <v>5.65726052816184E-7</v>
      </c>
    </row>
    <row r="21484" spans="1:6" x14ac:dyDescent="0.25">
      <c r="A21484" s="1" t="str">
        <f t="shared" si="799"/>
        <v>33460</v>
      </c>
      <c r="B21484" s="1" t="str">
        <f>"55480"</f>
        <v>55480</v>
      </c>
      <c r="C21484" s="2">
        <v>0</v>
      </c>
      <c r="D21484" s="2">
        <v>0</v>
      </c>
      <c r="E21484" s="2">
        <v>3.0934851203365699E-5</v>
      </c>
      <c r="F21484" s="2">
        <v>1.13145210563236E-6</v>
      </c>
    </row>
    <row r="21485" spans="1:6" x14ac:dyDescent="0.25">
      <c r="A21485" s="1" t="str">
        <f t="shared" si="799"/>
        <v>33460</v>
      </c>
      <c r="B21485" s="1" t="str">
        <f>"55488"</f>
        <v>55488</v>
      </c>
      <c r="C21485" s="2">
        <v>0</v>
      </c>
      <c r="D21485" s="2">
        <v>1.55156630618609E-5</v>
      </c>
      <c r="E21485" s="2">
        <v>0</v>
      </c>
      <c r="F21485" s="2">
        <v>1.13145210563236E-6</v>
      </c>
    </row>
    <row r="21486" spans="1:6" x14ac:dyDescent="0.25">
      <c r="A21486" s="1" t="str">
        <f t="shared" si="799"/>
        <v>33460</v>
      </c>
      <c r="B21486" s="1" t="str">
        <f>"55323"</f>
        <v>55323</v>
      </c>
      <c r="C21486" s="2">
        <v>0</v>
      </c>
      <c r="D21486" s="2">
        <v>7.7578315309304702E-6</v>
      </c>
      <c r="E21486" s="2">
        <v>1.5467425601682799E-5</v>
      </c>
      <c r="F21486" s="2">
        <v>1.13145210563236E-6</v>
      </c>
    </row>
    <row r="21487" spans="1:6" x14ac:dyDescent="0.25">
      <c r="A21487" s="1" t="str">
        <f t="shared" si="799"/>
        <v>33460</v>
      </c>
      <c r="B21487" s="1" t="str">
        <f>"54005"</f>
        <v>54005</v>
      </c>
      <c r="C21487" s="2">
        <v>6.3528930439632898E-5</v>
      </c>
      <c r="D21487" s="2">
        <v>1.55156630618609E-5</v>
      </c>
      <c r="E21487" s="2">
        <v>0</v>
      </c>
      <c r="F21487" s="2">
        <v>5.7704057387250701E-5</v>
      </c>
    </row>
    <row r="21488" spans="1:6" x14ac:dyDescent="0.25">
      <c r="A21488" s="1" t="str">
        <f t="shared" si="799"/>
        <v>33460</v>
      </c>
      <c r="B21488" s="1" t="str">
        <f>"55395"</f>
        <v>55395</v>
      </c>
      <c r="C21488" s="2">
        <v>2.41409935670605E-5</v>
      </c>
      <c r="D21488" s="2">
        <v>0</v>
      </c>
      <c r="E21488" s="2">
        <v>0</v>
      </c>
      <c r="F21488" s="2">
        <v>2.1497590007015E-5</v>
      </c>
    </row>
    <row r="21489" spans="1:6" x14ac:dyDescent="0.25">
      <c r="A21489" s="1" t="str">
        <f t="shared" si="799"/>
        <v>33460</v>
      </c>
      <c r="B21489" s="1" t="str">
        <f>"54749"</f>
        <v>54749</v>
      </c>
      <c r="C21489" s="2">
        <v>3.8752647568176E-5</v>
      </c>
      <c r="D21489" s="2">
        <v>7.7578315309304702E-6</v>
      </c>
      <c r="E21489" s="2">
        <v>0</v>
      </c>
      <c r="F21489" s="2">
        <v>3.5075015274603399E-5</v>
      </c>
    </row>
    <row r="21490" spans="1:6" x14ac:dyDescent="0.25">
      <c r="A21490" s="1" t="str">
        <f t="shared" si="799"/>
        <v>33460</v>
      </c>
      <c r="B21490" s="1" t="str">
        <f>"55020"</f>
        <v>55020</v>
      </c>
      <c r="C21490" s="2">
        <v>8.6399345397900702E-4</v>
      </c>
      <c r="D21490" s="2">
        <v>4.0340723960838402E-4</v>
      </c>
      <c r="E21490" s="2">
        <v>1.08271979211779E-4</v>
      </c>
      <c r="F21490" s="2">
        <v>8.0276526894616502E-4</v>
      </c>
    </row>
    <row r="21491" spans="1:6" x14ac:dyDescent="0.25">
      <c r="A21491" s="1" t="str">
        <f t="shared" si="799"/>
        <v>33460</v>
      </c>
      <c r="B21491" s="1" t="str">
        <f>"56386"</f>
        <v>56386</v>
      </c>
      <c r="C21491" s="2">
        <v>2.5538630036732397E-4</v>
      </c>
      <c r="D21491" s="2">
        <v>1.55156630618609E-4</v>
      </c>
      <c r="E21491" s="2">
        <v>2.9388108643197401E-4</v>
      </c>
      <c r="F21491" s="2">
        <v>2.4948518929193702E-4</v>
      </c>
    </row>
    <row r="21492" spans="1:6" x14ac:dyDescent="0.25">
      <c r="A21492" s="1" t="str">
        <f t="shared" si="799"/>
        <v>33460</v>
      </c>
      <c r="B21492" s="1" t="str">
        <f>"55122"</f>
        <v>55122</v>
      </c>
      <c r="C21492" s="2">
        <v>9.2053420207028006E-3</v>
      </c>
      <c r="D21492" s="2">
        <v>7.5638857426572103E-3</v>
      </c>
      <c r="E21492" s="2">
        <v>7.5326362680195498E-3</v>
      </c>
      <c r="F21492" s="2">
        <v>9.0244619945237699E-3</v>
      </c>
    </row>
    <row r="21493" spans="1:6" x14ac:dyDescent="0.25">
      <c r="A21493" s="1" t="str">
        <f t="shared" si="799"/>
        <v>33460</v>
      </c>
      <c r="B21493" s="1" t="str">
        <f>"55123"</f>
        <v>55123</v>
      </c>
      <c r="C21493" s="2">
        <v>6.5587267785877004E-3</v>
      </c>
      <c r="D21493" s="2">
        <v>2.2808024700935502E-3</v>
      </c>
      <c r="E21493" s="2">
        <v>4.9805110437418703E-3</v>
      </c>
      <c r="F21493" s="2">
        <v>6.1890430178090502E-3</v>
      </c>
    </row>
    <row r="21494" spans="1:6" x14ac:dyDescent="0.25">
      <c r="A21494" s="1" t="str">
        <f t="shared" si="799"/>
        <v>33460</v>
      </c>
      <c r="B21494" s="1" t="str">
        <f>"55074"</f>
        <v>55074</v>
      </c>
      <c r="C21494" s="2">
        <v>6.1623062526443902E-4</v>
      </c>
      <c r="D21494" s="2">
        <v>1.6291446214953899E-4</v>
      </c>
      <c r="E21494" s="2">
        <v>2.0107653282187699E-4</v>
      </c>
      <c r="F21494" s="2">
        <v>5.67988957027449E-4</v>
      </c>
    </row>
    <row r="21495" spans="1:6" x14ac:dyDescent="0.25">
      <c r="A21495" s="1" t="str">
        <f t="shared" si="799"/>
        <v>33460</v>
      </c>
      <c r="B21495" s="1" t="str">
        <f>"54767"</f>
        <v>54767</v>
      </c>
      <c r="C21495" s="2">
        <v>8.9004031545925598E-4</v>
      </c>
      <c r="D21495" s="2">
        <v>2.4049277745884399E-4</v>
      </c>
      <c r="E21495" s="2">
        <v>2.0107653282187699E-4</v>
      </c>
      <c r="F21495" s="2">
        <v>8.1747414631938597E-4</v>
      </c>
    </row>
    <row r="21496" spans="1:6" x14ac:dyDescent="0.25">
      <c r="A21496" s="1" t="str">
        <f t="shared" si="799"/>
        <v>33460</v>
      </c>
      <c r="B21496" s="1" t="str">
        <f>"55014"</f>
        <v>55014</v>
      </c>
      <c r="C21496" s="2">
        <v>6.85921861956716E-3</v>
      </c>
      <c r="D21496" s="2">
        <v>5.5003025554296999E-3</v>
      </c>
      <c r="E21496" s="2">
        <v>2.1963744354389601E-3</v>
      </c>
      <c r="F21496" s="2">
        <v>6.58957706320291E-3</v>
      </c>
    </row>
    <row r="21497" spans="1:6" x14ac:dyDescent="0.25">
      <c r="A21497" s="1" t="str">
        <f t="shared" si="799"/>
        <v>33460</v>
      </c>
      <c r="B21497" s="1" t="str">
        <f>"55016"</f>
        <v>55016</v>
      </c>
      <c r="C21497" s="2">
        <v>8.6990164450989303E-3</v>
      </c>
      <c r="D21497" s="2">
        <v>3.24277357992893E-3</v>
      </c>
      <c r="E21497" s="2">
        <v>3.1089525459382498E-3</v>
      </c>
      <c r="F21497" s="2">
        <v>8.0966712679052203E-3</v>
      </c>
    </row>
    <row r="21498" spans="1:6" x14ac:dyDescent="0.25">
      <c r="A21498" s="1" t="str">
        <f t="shared" si="799"/>
        <v>33460</v>
      </c>
      <c r="B21498" s="1" t="str">
        <f>"55045"</f>
        <v>55045</v>
      </c>
      <c r="C21498" s="2">
        <v>2.17840702477501E-3</v>
      </c>
      <c r="D21498" s="2">
        <v>5.8183736481978504E-4</v>
      </c>
      <c r="E21498" s="2">
        <v>1.0672523665161101E-3</v>
      </c>
      <c r="F21498" s="2">
        <v>2.0213391867122199E-3</v>
      </c>
    </row>
    <row r="21499" spans="1:6" x14ac:dyDescent="0.25">
      <c r="A21499" s="1" t="str">
        <f t="shared" si="799"/>
        <v>33460</v>
      </c>
      <c r="B21499" s="1" t="str">
        <f>"54016"</f>
        <v>54016</v>
      </c>
      <c r="C21499" s="2">
        <v>9.1875539201797096E-3</v>
      </c>
      <c r="D21499" s="2">
        <v>1.3141766613396199E-2</v>
      </c>
      <c r="E21499" s="2">
        <v>8.3988121017137905E-3</v>
      </c>
      <c r="F21499" s="2">
        <v>9.44705935597746E-3</v>
      </c>
    </row>
    <row r="21500" spans="1:6" x14ac:dyDescent="0.25">
      <c r="A21500" s="1" t="str">
        <f t="shared" si="799"/>
        <v>33460</v>
      </c>
      <c r="B21500" s="1" t="str">
        <f>"55364"</f>
        <v>55364</v>
      </c>
      <c r="C21500" s="2">
        <v>4.3663433891159599E-3</v>
      </c>
      <c r="D21500" s="2">
        <v>1.54380847465516E-3</v>
      </c>
      <c r="E21500" s="2">
        <v>5.1197178741570204E-3</v>
      </c>
      <c r="F21500" s="2">
        <v>4.1880699689982098E-3</v>
      </c>
    </row>
    <row r="21501" spans="1:6" x14ac:dyDescent="0.25">
      <c r="A21501" s="1" t="str">
        <f t="shared" si="799"/>
        <v>33460</v>
      </c>
      <c r="B21501" s="1" t="str">
        <f>"55436"</f>
        <v>55436</v>
      </c>
      <c r="C21501" s="2">
        <v>4.2126033774520502E-3</v>
      </c>
      <c r="D21501" s="2">
        <v>1.89291089354703E-3</v>
      </c>
      <c r="E21501" s="2">
        <v>1.91796077460867E-3</v>
      </c>
      <c r="F21501" s="2">
        <v>3.9595166436604701E-3</v>
      </c>
    </row>
    <row r="21502" spans="1:6" x14ac:dyDescent="0.25">
      <c r="A21502" s="1" t="str">
        <f t="shared" si="799"/>
        <v>33460</v>
      </c>
      <c r="B21502" s="1" t="str">
        <f>"55425"</f>
        <v>55425</v>
      </c>
      <c r="C21502" s="2">
        <v>3.1167293273683901E-3</v>
      </c>
      <c r="D21502" s="2">
        <v>1.07756279964624E-2</v>
      </c>
      <c r="E21502" s="2">
        <v>3.4801707603786401E-3</v>
      </c>
      <c r="F21502" s="2">
        <v>3.6885338643615202E-3</v>
      </c>
    </row>
    <row r="21503" spans="1:6" x14ac:dyDescent="0.25">
      <c r="A21503" s="1" t="str">
        <f t="shared" si="799"/>
        <v>33460</v>
      </c>
      <c r="B21503" s="1" t="str">
        <f>"55435"</f>
        <v>55435</v>
      </c>
      <c r="C21503" s="2">
        <v>5.5155817407689196E-3</v>
      </c>
      <c r="D21503" s="2">
        <v>1.34675955376953E-2</v>
      </c>
      <c r="E21503" s="2">
        <v>6.4499164759017503E-3</v>
      </c>
      <c r="F21503" s="2">
        <v>6.1296417822633504E-3</v>
      </c>
    </row>
    <row r="21504" spans="1:6" x14ac:dyDescent="0.25">
      <c r="A21504" s="1" t="str">
        <f t="shared" si="799"/>
        <v>33460</v>
      </c>
      <c r="B21504" s="1" t="str">
        <f>"55449"</f>
        <v>55449</v>
      </c>
      <c r="C21504" s="2">
        <v>7.7092357088494497E-3</v>
      </c>
      <c r="D21504" s="2">
        <v>1.02403376208282E-2</v>
      </c>
      <c r="E21504" s="2">
        <v>1.4276433830353199E-2</v>
      </c>
      <c r="F21504" s="2">
        <v>8.1340091873910898E-3</v>
      </c>
    </row>
    <row r="21505" spans="1:6" x14ac:dyDescent="0.25">
      <c r="A21505" s="1" t="str">
        <f t="shared" si="799"/>
        <v>33460</v>
      </c>
      <c r="B21505" s="1" t="str">
        <f>"55474"</f>
        <v>55474</v>
      </c>
      <c r="C21505" s="2">
        <v>0</v>
      </c>
      <c r="D21505" s="2">
        <v>3.4134458736093999E-4</v>
      </c>
      <c r="E21505" s="2">
        <v>0</v>
      </c>
      <c r="F21505" s="2">
        <v>2.4891946323912101E-5</v>
      </c>
    </row>
    <row r="21506" spans="1:6" x14ac:dyDescent="0.25">
      <c r="A21506" s="1" t="str">
        <f t="shared" si="799"/>
        <v>33460</v>
      </c>
      <c r="B21506" s="1" t="str">
        <f>"56450"</f>
        <v>56450</v>
      </c>
      <c r="C21506" s="2">
        <v>2.09645470450788E-4</v>
      </c>
      <c r="D21506" s="2">
        <v>5.4304820716513298E-5</v>
      </c>
      <c r="E21506" s="2">
        <v>1.5467425601682799E-5</v>
      </c>
      <c r="F21506" s="2">
        <v>1.9121540585186999E-4</v>
      </c>
    </row>
    <row r="21507" spans="1:6" x14ac:dyDescent="0.25">
      <c r="A21507" s="1" t="str">
        <f t="shared" si="799"/>
        <v>33460</v>
      </c>
      <c r="B21507" s="1" t="str">
        <f>"56082"</f>
        <v>56082</v>
      </c>
      <c r="C21507" s="2">
        <v>2.0583373462440999E-4</v>
      </c>
      <c r="D21507" s="2">
        <v>8.53361468402352E-5</v>
      </c>
      <c r="E21507" s="2">
        <v>4.6402276805048501E-5</v>
      </c>
      <c r="F21507" s="2">
        <v>1.9121540585186999E-4</v>
      </c>
    </row>
    <row r="21508" spans="1:6" x14ac:dyDescent="0.25">
      <c r="A21508" s="1" t="str">
        <f t="shared" si="799"/>
        <v>33460</v>
      </c>
      <c r="B21508" s="1" t="str">
        <f>"56011"</f>
        <v>56011</v>
      </c>
      <c r="C21508" s="2">
        <v>2.2654416594773E-3</v>
      </c>
      <c r="D21508" s="2">
        <v>1.4429566647530599E-3</v>
      </c>
      <c r="E21508" s="2">
        <v>1.8406236466002499E-3</v>
      </c>
      <c r="F21508" s="2">
        <v>2.1899255504514402E-3</v>
      </c>
    </row>
    <row r="21509" spans="1:6" x14ac:dyDescent="0.25">
      <c r="A21509" s="1" t="str">
        <f t="shared" si="799"/>
        <v>33460</v>
      </c>
      <c r="B21509" s="1" t="str">
        <f>"56058"</f>
        <v>56058</v>
      </c>
      <c r="C21509" s="2">
        <v>1.5723410283809099E-3</v>
      </c>
      <c r="D21509" s="2">
        <v>1.7998169151758701E-3</v>
      </c>
      <c r="E21509" s="2">
        <v>1.0363175153127501E-3</v>
      </c>
      <c r="F21509" s="2">
        <v>1.5693240705120901E-3</v>
      </c>
    </row>
    <row r="21510" spans="1:6" x14ac:dyDescent="0.25">
      <c r="A21510" s="1" t="str">
        <f t="shared" si="799"/>
        <v>33460</v>
      </c>
      <c r="B21510" s="1" t="str">
        <f>"55386"</f>
        <v>55386</v>
      </c>
      <c r="C21510" s="2">
        <v>2.1745952889486299E-3</v>
      </c>
      <c r="D21510" s="2">
        <v>4.4995422879396698E-4</v>
      </c>
      <c r="E21510" s="2">
        <v>7.1150157767741102E-4</v>
      </c>
      <c r="F21510" s="2">
        <v>1.9953157882826801E-3</v>
      </c>
    </row>
    <row r="21511" spans="1:6" x14ac:dyDescent="0.25">
      <c r="A21511" s="1" t="str">
        <f t="shared" si="799"/>
        <v>33460</v>
      </c>
      <c r="B21511" s="1" t="str">
        <f>"55402"</f>
        <v>55402</v>
      </c>
      <c r="C21511" s="2">
        <v>7.2041807118543701E-4</v>
      </c>
      <c r="D21511" s="2">
        <v>2.2365828303672501E-2</v>
      </c>
      <c r="E21511" s="2">
        <v>3.6967147188021999E-3</v>
      </c>
      <c r="F21511" s="2">
        <v>2.4077300807856801E-3</v>
      </c>
    </row>
    <row r="21512" spans="1:6" x14ac:dyDescent="0.25">
      <c r="A21512" s="1" t="str">
        <f t="shared" si="799"/>
        <v>33460</v>
      </c>
      <c r="B21512" s="1" t="str">
        <f>"55409"</f>
        <v>55409</v>
      </c>
      <c r="C21512" s="2">
        <v>3.3378100052983101E-3</v>
      </c>
      <c r="D21512" s="2">
        <v>2.0635831872274999E-3</v>
      </c>
      <c r="E21512" s="2">
        <v>5.5992080678091902E-3</v>
      </c>
      <c r="F21512" s="2">
        <v>3.3276006426647899E-3</v>
      </c>
    </row>
    <row r="21513" spans="1:6" x14ac:dyDescent="0.25">
      <c r="A21513" s="1" t="str">
        <f t="shared" si="799"/>
        <v>33460</v>
      </c>
      <c r="B21513" s="1" t="str">
        <f>"55411"</f>
        <v>55411</v>
      </c>
      <c r="C21513" s="2">
        <v>7.29629766099183E-3</v>
      </c>
      <c r="D21513" s="2">
        <v>6.6717351166001998E-3</v>
      </c>
      <c r="E21513" s="2">
        <v>8.6462909113407104E-3</v>
      </c>
      <c r="F21513" s="2">
        <v>7.3001289855400397E-3</v>
      </c>
    </row>
    <row r="21514" spans="1:6" x14ac:dyDescent="0.25">
      <c r="A21514" s="1" t="str">
        <f t="shared" si="799"/>
        <v>33460</v>
      </c>
      <c r="B21514" s="1" t="str">
        <f>"54020"</f>
        <v>54020</v>
      </c>
      <c r="C21514" s="2">
        <v>1.90586791318898E-5</v>
      </c>
      <c r="D21514" s="2">
        <v>0</v>
      </c>
      <c r="E21514" s="2">
        <v>0</v>
      </c>
      <c r="F21514" s="2">
        <v>1.6971781584485501E-5</v>
      </c>
    </row>
    <row r="21515" spans="1:6" x14ac:dyDescent="0.25">
      <c r="A21515" s="1" t="str">
        <f t="shared" si="799"/>
        <v>33460</v>
      </c>
      <c r="B21515" s="1" t="str">
        <f>"55003"</f>
        <v>55003</v>
      </c>
      <c r="C21515" s="2">
        <v>7.0453583857552798E-4</v>
      </c>
      <c r="D21515" s="2">
        <v>4.8098555491768902E-4</v>
      </c>
      <c r="E21515" s="2">
        <v>6.1869702406731398E-4</v>
      </c>
      <c r="F21515" s="2">
        <v>6.8509424996039897E-4</v>
      </c>
    </row>
    <row r="21516" spans="1:6" x14ac:dyDescent="0.25">
      <c r="A21516" s="1" t="str">
        <f t="shared" si="799"/>
        <v>33460</v>
      </c>
      <c r="B21516" s="1" t="str">
        <f>"55367"</f>
        <v>55367</v>
      </c>
      <c r="C21516" s="2">
        <v>2.6173919341128702E-4</v>
      </c>
      <c r="D21516" s="2">
        <v>1.55156630618609E-4</v>
      </c>
      <c r="E21516" s="2">
        <v>1.5467425601682801E-4</v>
      </c>
      <c r="F21516" s="2">
        <v>2.5005091534475299E-4</v>
      </c>
    </row>
    <row r="21517" spans="1:6" x14ac:dyDescent="0.25">
      <c r="A21517" s="1" t="str">
        <f t="shared" si="799"/>
        <v>33460</v>
      </c>
      <c r="B21517" s="1" t="str">
        <f>"55368"</f>
        <v>55368</v>
      </c>
      <c r="C21517" s="2">
        <v>6.9500649900958297E-4</v>
      </c>
      <c r="D21517" s="2">
        <v>6.3614218553629804E-4</v>
      </c>
      <c r="E21517" s="2">
        <v>7.5790385448245895E-4</v>
      </c>
      <c r="F21517" s="2">
        <v>6.9301441469982498E-4</v>
      </c>
    </row>
    <row r="21518" spans="1:6" x14ac:dyDescent="0.25">
      <c r="A21518" s="1" t="str">
        <f t="shared" si="799"/>
        <v>33460</v>
      </c>
      <c r="B21518" s="1" t="str">
        <f>"55316"</f>
        <v>55316</v>
      </c>
      <c r="C21518" s="2">
        <v>6.02508376289478E-3</v>
      </c>
      <c r="D21518" s="2">
        <v>3.5142976835115E-3</v>
      </c>
      <c r="E21518" s="2">
        <v>1.5158077089649101E-3</v>
      </c>
      <c r="F21518" s="2">
        <v>5.6770609400103996E-3</v>
      </c>
    </row>
    <row r="21519" spans="1:6" x14ac:dyDescent="0.25">
      <c r="A21519" s="1" t="str">
        <f t="shared" si="799"/>
        <v>33460</v>
      </c>
      <c r="B21519" s="1" t="str">
        <f>"55331"</f>
        <v>55331</v>
      </c>
      <c r="C21519" s="2">
        <v>5.6286632369514696E-3</v>
      </c>
      <c r="D21519" s="2">
        <v>6.5010628229197299E-3</v>
      </c>
      <c r="E21519" s="2">
        <v>3.6193775907937798E-3</v>
      </c>
      <c r="F21519" s="2">
        <v>5.6187911565703397E-3</v>
      </c>
    </row>
    <row r="21520" spans="1:6" x14ac:dyDescent="0.25">
      <c r="A21520" s="1" t="str">
        <f t="shared" si="799"/>
        <v>33460</v>
      </c>
      <c r="B21520" s="1" t="str">
        <f>"55303"</f>
        <v>55303</v>
      </c>
      <c r="C21520" s="2">
        <v>1.29815016460345E-2</v>
      </c>
      <c r="D21520" s="2">
        <v>1.34132907169787E-2</v>
      </c>
      <c r="E21520" s="2">
        <v>1.1755243457278901E-2</v>
      </c>
      <c r="F21520" s="2">
        <v>1.29681383087053E-2</v>
      </c>
    </row>
    <row r="21521" spans="1:6" x14ac:dyDescent="0.25">
      <c r="A21521" s="1" t="str">
        <f t="shared" si="799"/>
        <v>33460</v>
      </c>
      <c r="B21521" s="1" t="str">
        <f>"55327"</f>
        <v>55327</v>
      </c>
      <c r="C21521" s="2">
        <v>1.3341075392322901E-3</v>
      </c>
      <c r="D21521" s="2">
        <v>3.4134458736093999E-4</v>
      </c>
      <c r="E21521" s="2">
        <v>3.7121821444038801E-4</v>
      </c>
      <c r="F21521" s="2">
        <v>1.2264940825054799E-3</v>
      </c>
    </row>
    <row r="21522" spans="1:6" x14ac:dyDescent="0.25">
      <c r="A21522" s="1" t="str">
        <f t="shared" si="799"/>
        <v>33460</v>
      </c>
      <c r="B21522" s="1" t="str">
        <f>"55356"</f>
        <v>55356</v>
      </c>
      <c r="C21522" s="2">
        <v>1.79786873144161E-3</v>
      </c>
      <c r="D21522" s="2">
        <v>3.16519526461963E-3</v>
      </c>
      <c r="E21522" s="2">
        <v>1.22192662253294E-3</v>
      </c>
      <c r="F21522" s="2">
        <v>1.87651331719128E-3</v>
      </c>
    </row>
    <row r="21523" spans="1:6" x14ac:dyDescent="0.25">
      <c r="A21523" s="1" t="str">
        <f t="shared" si="799"/>
        <v>33460</v>
      </c>
      <c r="B21523" s="1" t="str">
        <f>"55358"</f>
        <v>55358</v>
      </c>
      <c r="C21523" s="2">
        <v>1.4980121797665399E-3</v>
      </c>
      <c r="D21523" s="2">
        <v>7.9905664768583804E-4</v>
      </c>
      <c r="E21523" s="2">
        <v>4.4855534244880201E-4</v>
      </c>
      <c r="F21523" s="2">
        <v>1.4086578715122901E-3</v>
      </c>
    </row>
    <row r="21524" spans="1:6" x14ac:dyDescent="0.25">
      <c r="A21524" s="1" t="str">
        <f t="shared" si="799"/>
        <v>33460</v>
      </c>
      <c r="B21524" s="1" t="str">
        <f>"55360"</f>
        <v>55360</v>
      </c>
      <c r="C21524" s="2">
        <v>8.8432271171969001E-4</v>
      </c>
      <c r="D21524" s="2">
        <v>3.4910241889187101E-4</v>
      </c>
      <c r="E21524" s="2">
        <v>1.85609107220194E-4</v>
      </c>
      <c r="F21524" s="2">
        <v>8.1973705053065102E-4</v>
      </c>
    </row>
    <row r="21525" spans="1:6" x14ac:dyDescent="0.25">
      <c r="A21525" s="1" t="str">
        <f t="shared" ref="A21525:A21588" si="800">"33460"</f>
        <v>33460</v>
      </c>
      <c r="B21525" s="1" t="str">
        <f>"55104"</f>
        <v>55104</v>
      </c>
      <c r="C21525" s="2">
        <v>1.2808702955238701E-2</v>
      </c>
      <c r="D21525" s="2">
        <v>1.9929869202960301E-2</v>
      </c>
      <c r="E21525" s="2">
        <v>4.6479613933056899E-2</v>
      </c>
      <c r="F21525" s="2">
        <v>1.45595256952773E-2</v>
      </c>
    </row>
    <row r="21526" spans="1:6" x14ac:dyDescent="0.25">
      <c r="A21526" s="1" t="str">
        <f t="shared" si="800"/>
        <v>33460</v>
      </c>
      <c r="B21526" s="1" t="str">
        <f>"55111"</f>
        <v>55111</v>
      </c>
      <c r="C21526" s="2">
        <v>4.4533780238182599E-4</v>
      </c>
      <c r="D21526" s="2">
        <v>2.5523265736761198E-3</v>
      </c>
      <c r="E21526" s="2">
        <v>2.47478809626925E-4</v>
      </c>
      <c r="F21526" s="2">
        <v>5.9174945124572799E-4</v>
      </c>
    </row>
    <row r="21527" spans="1:6" x14ac:dyDescent="0.25">
      <c r="A21527" s="1" t="str">
        <f t="shared" si="800"/>
        <v>33460</v>
      </c>
      <c r="B21527" s="1" t="str">
        <f>"55126"</f>
        <v>55126</v>
      </c>
      <c r="C21527" s="2">
        <v>7.5701073511866496E-3</v>
      </c>
      <c r="D21527" s="2">
        <v>5.2830832725636497E-3</v>
      </c>
      <c r="E21527" s="2">
        <v>3.5420404627853701E-3</v>
      </c>
      <c r="F21527" s="2">
        <v>7.2560023534203703E-3</v>
      </c>
    </row>
    <row r="21528" spans="1:6" x14ac:dyDescent="0.25">
      <c r="A21528" s="1" t="str">
        <f t="shared" si="800"/>
        <v>33460</v>
      </c>
      <c r="B21528" s="1" t="str">
        <f>"55128"</f>
        <v>55128</v>
      </c>
      <c r="C21528" s="2">
        <v>8.1088326813147406E-3</v>
      </c>
      <c r="D21528" s="2">
        <v>8.1534809390079194E-3</v>
      </c>
      <c r="E21528" s="2">
        <v>4.2380746148611001E-3</v>
      </c>
      <c r="F21528" s="2">
        <v>7.9705143581272203E-3</v>
      </c>
    </row>
    <row r="21529" spans="1:6" x14ac:dyDescent="0.25">
      <c r="A21529" s="1" t="str">
        <f t="shared" si="800"/>
        <v>33460</v>
      </c>
      <c r="B21529" s="1" t="str">
        <f>"56313"</f>
        <v>56313</v>
      </c>
      <c r="C21529" s="2">
        <v>0</v>
      </c>
      <c r="D21529" s="2">
        <v>0</v>
      </c>
      <c r="E21529" s="2">
        <v>1.5467425601682799E-5</v>
      </c>
      <c r="F21529" s="2">
        <v>5.65726052816184E-7</v>
      </c>
    </row>
    <row r="21530" spans="1:6" x14ac:dyDescent="0.25">
      <c r="A21530" s="1" t="str">
        <f t="shared" si="800"/>
        <v>33460</v>
      </c>
      <c r="B21530" s="1" t="str">
        <f>"56329"</f>
        <v>56329</v>
      </c>
      <c r="C21530" s="2">
        <v>1.90586791318898E-6</v>
      </c>
      <c r="D21530" s="2">
        <v>0</v>
      </c>
      <c r="E21530" s="2">
        <v>0</v>
      </c>
      <c r="F21530" s="2">
        <v>1.6971781584485501E-6</v>
      </c>
    </row>
    <row r="21531" spans="1:6" x14ac:dyDescent="0.25">
      <c r="A21531" s="1" t="str">
        <f t="shared" si="800"/>
        <v>33460</v>
      </c>
      <c r="B21531" s="1" t="str">
        <f>"55467"</f>
        <v>55467</v>
      </c>
      <c r="C21531" s="2">
        <v>0</v>
      </c>
      <c r="D21531" s="2">
        <v>4.6546989185582801E-5</v>
      </c>
      <c r="E21531" s="2">
        <v>0</v>
      </c>
      <c r="F21531" s="2">
        <v>3.3943563168971002E-6</v>
      </c>
    </row>
    <row r="21532" spans="1:6" x14ac:dyDescent="0.25">
      <c r="A21532" s="1" t="str">
        <f t="shared" si="800"/>
        <v>33460</v>
      </c>
      <c r="B21532" s="1" t="str">
        <f>"56363"</f>
        <v>56363</v>
      </c>
      <c r="C21532" s="2">
        <v>5.1458433656102599E-5</v>
      </c>
      <c r="D21532" s="2">
        <v>8.53361468402352E-5</v>
      </c>
      <c r="E21532" s="2">
        <v>0</v>
      </c>
      <c r="F21532" s="2">
        <v>5.2046796859088903E-5</v>
      </c>
    </row>
    <row r="21533" spans="1:6" x14ac:dyDescent="0.25">
      <c r="A21533" s="1" t="str">
        <f t="shared" si="800"/>
        <v>33460</v>
      </c>
      <c r="B21533" s="1" t="str">
        <f>"55103"</f>
        <v>55103</v>
      </c>
      <c r="C21533" s="2">
        <v>3.51124398539851E-3</v>
      </c>
      <c r="D21533" s="2">
        <v>4.5538471086561802E-3</v>
      </c>
      <c r="E21533" s="2">
        <v>6.5736558807152103E-3</v>
      </c>
      <c r="F21533" s="2">
        <v>3.69928265936502E-3</v>
      </c>
    </row>
    <row r="21534" spans="1:6" x14ac:dyDescent="0.25">
      <c r="A21534" s="1" t="str">
        <f t="shared" si="800"/>
        <v>33460</v>
      </c>
      <c r="B21534" s="1" t="str">
        <f>"55107"</f>
        <v>55107</v>
      </c>
      <c r="C21534" s="2">
        <v>3.8161828515087398E-3</v>
      </c>
      <c r="D21534" s="2">
        <v>4.8408868753006097E-3</v>
      </c>
      <c r="E21534" s="2">
        <v>6.9603415207572803E-3</v>
      </c>
      <c r="F21534" s="2">
        <v>4.0059061799914003E-3</v>
      </c>
    </row>
    <row r="21535" spans="1:6" x14ac:dyDescent="0.25">
      <c r="A21535" s="1" t="str">
        <f t="shared" si="800"/>
        <v>33460</v>
      </c>
      <c r="B21535" s="1" t="str">
        <f>"55119"</f>
        <v>55119</v>
      </c>
      <c r="C21535" s="2">
        <v>1.03088395424392E-2</v>
      </c>
      <c r="D21535" s="2">
        <v>2.6686940466400799E-3</v>
      </c>
      <c r="E21535" s="2">
        <v>5.7693497494276996E-3</v>
      </c>
      <c r="F21535" s="2">
        <v>9.5856622389174206E-3</v>
      </c>
    </row>
    <row r="21536" spans="1:6" x14ac:dyDescent="0.25">
      <c r="A21536" s="1" t="str">
        <f t="shared" si="800"/>
        <v>33460</v>
      </c>
      <c r="B21536" s="1" t="str">
        <f>"55033"</f>
        <v>55033</v>
      </c>
      <c r="C21536" s="2">
        <v>8.1729969010587693E-3</v>
      </c>
      <c r="D21536" s="2">
        <v>6.8346495787497399E-3</v>
      </c>
      <c r="E21536" s="2">
        <v>7.2851574583926203E-3</v>
      </c>
      <c r="F21536" s="2">
        <v>8.0429272928876899E-3</v>
      </c>
    </row>
    <row r="21537" spans="1:6" x14ac:dyDescent="0.25">
      <c r="A21537" s="1" t="str">
        <f t="shared" si="800"/>
        <v>33460</v>
      </c>
      <c r="B21537" s="1" t="str">
        <f>"55044"</f>
        <v>55044</v>
      </c>
      <c r="C21537" s="2">
        <v>1.4410267291621899E-2</v>
      </c>
      <c r="D21537" s="2">
        <v>1.10704255946377E-2</v>
      </c>
      <c r="E21537" s="2">
        <v>6.91393924395223E-3</v>
      </c>
      <c r="F21537" s="2">
        <v>1.3892534679007E-2</v>
      </c>
    </row>
    <row r="21538" spans="1:6" x14ac:dyDescent="0.25">
      <c r="A21538" s="1" t="str">
        <f t="shared" si="800"/>
        <v>33460</v>
      </c>
      <c r="B21538" s="1" t="str">
        <f>"55013"</f>
        <v>55013</v>
      </c>
      <c r="C21538" s="2">
        <v>1.9395382463219899E-3</v>
      </c>
      <c r="D21538" s="2">
        <v>1.0550650882065399E-3</v>
      </c>
      <c r="E21538" s="2">
        <v>8.19773556889191E-4</v>
      </c>
      <c r="F21538" s="2">
        <v>1.8340838632300599E-3</v>
      </c>
    </row>
    <row r="21539" spans="1:6" x14ac:dyDescent="0.25">
      <c r="A21539" s="1" t="str">
        <f t="shared" si="800"/>
        <v>33460</v>
      </c>
      <c r="B21539" s="1" t="str">
        <f>"55001"</f>
        <v>55001</v>
      </c>
      <c r="C21539" s="2">
        <v>7.7949997649429505E-4</v>
      </c>
      <c r="D21539" s="2">
        <v>2.4825060898977499E-4</v>
      </c>
      <c r="E21539" s="2">
        <v>1.5467425601682799E-5</v>
      </c>
      <c r="F21539" s="2">
        <v>7.12814826548392E-4</v>
      </c>
    </row>
    <row r="21540" spans="1:6" x14ac:dyDescent="0.25">
      <c r="A21540" s="1" t="str">
        <f t="shared" si="800"/>
        <v>33460</v>
      </c>
      <c r="B21540" s="1" t="str">
        <f>"55055"</f>
        <v>55055</v>
      </c>
      <c r="C21540" s="2">
        <v>1.0120158619033499E-3</v>
      </c>
      <c r="D21540" s="2">
        <v>1.1404012350467699E-3</v>
      </c>
      <c r="E21540" s="2">
        <v>1.1445894945245299E-3</v>
      </c>
      <c r="F21540" s="2">
        <v>1.02622705980855E-3</v>
      </c>
    </row>
    <row r="21541" spans="1:6" x14ac:dyDescent="0.25">
      <c r="A21541" s="1" t="str">
        <f t="shared" si="800"/>
        <v>33460</v>
      </c>
      <c r="B21541" s="1" t="str">
        <f>"55009"</f>
        <v>55009</v>
      </c>
      <c r="C21541" s="2">
        <v>2.3569233193103799E-4</v>
      </c>
      <c r="D21541" s="2">
        <v>5.4304820716513298E-5</v>
      </c>
      <c r="E21541" s="2">
        <v>0</v>
      </c>
      <c r="F21541" s="2">
        <v>2.13844447964517E-4</v>
      </c>
    </row>
    <row r="21542" spans="1:6" x14ac:dyDescent="0.25">
      <c r="A21542" s="1" t="str">
        <f t="shared" si="800"/>
        <v>33460</v>
      </c>
      <c r="B21542" s="1" t="str">
        <f>"54007"</f>
        <v>54007</v>
      </c>
      <c r="C21542" s="2">
        <v>2.3442175332224501E-4</v>
      </c>
      <c r="D21542" s="2">
        <v>5.4304820716513298E-5</v>
      </c>
      <c r="E21542" s="2">
        <v>4.6402276805048501E-5</v>
      </c>
      <c r="F21542" s="2">
        <v>2.1441017401733299E-4</v>
      </c>
    </row>
    <row r="21543" spans="1:6" x14ac:dyDescent="0.25">
      <c r="A21543" s="1" t="str">
        <f t="shared" si="800"/>
        <v>33460</v>
      </c>
      <c r="B21543" s="1" t="str">
        <f>"55029"</f>
        <v>55029</v>
      </c>
      <c r="C21543" s="2">
        <v>2.3505704262664099E-5</v>
      </c>
      <c r="D21543" s="2">
        <v>0</v>
      </c>
      <c r="E21543" s="2">
        <v>1.5467425601682799E-5</v>
      </c>
      <c r="F21543" s="2">
        <v>2.1497590007015E-5</v>
      </c>
    </row>
    <row r="21544" spans="1:6" x14ac:dyDescent="0.25">
      <c r="A21544" s="1" t="str">
        <f t="shared" si="800"/>
        <v>33460</v>
      </c>
      <c r="B21544" s="1" t="str">
        <f>"55068"</f>
        <v>55068</v>
      </c>
      <c r="C21544" s="2">
        <v>7.5637544581426902E-3</v>
      </c>
      <c r="D21544" s="2">
        <v>4.4607531302850202E-3</v>
      </c>
      <c r="E21544" s="2">
        <v>2.4593206706675702E-3</v>
      </c>
      <c r="F21544" s="2">
        <v>7.1507773075965599E-3</v>
      </c>
    </row>
    <row r="21545" spans="1:6" x14ac:dyDescent="0.25">
      <c r="A21545" s="1" t="str">
        <f t="shared" si="800"/>
        <v>33460</v>
      </c>
      <c r="B21545" s="1" t="str">
        <f>"54022"</f>
        <v>54022</v>
      </c>
      <c r="C21545" s="2">
        <v>5.7957443240077003E-3</v>
      </c>
      <c r="D21545" s="2">
        <v>4.2668073420117601E-3</v>
      </c>
      <c r="E21545" s="2">
        <v>6.79019983913877E-3</v>
      </c>
      <c r="F21545" s="2">
        <v>5.7206218460772503E-3</v>
      </c>
    </row>
    <row r="21546" spans="1:6" x14ac:dyDescent="0.25">
      <c r="A21546" s="1" t="str">
        <f t="shared" si="800"/>
        <v>33460</v>
      </c>
      <c r="B21546" s="1" t="str">
        <f>"54011"</f>
        <v>54011</v>
      </c>
      <c r="C21546" s="2">
        <v>1.84170369344495E-3</v>
      </c>
      <c r="D21546" s="2">
        <v>1.0473072566756099E-3</v>
      </c>
      <c r="E21546" s="2">
        <v>1.5312751345666E-3</v>
      </c>
      <c r="F21546" s="2">
        <v>1.7724197234730999E-3</v>
      </c>
    </row>
    <row r="21547" spans="1:6" x14ac:dyDescent="0.25">
      <c r="A21547" s="1" t="str">
        <f t="shared" si="800"/>
        <v>33460</v>
      </c>
      <c r="B21547" s="1" t="str">
        <f>"54021"</f>
        <v>54021</v>
      </c>
      <c r="C21547" s="2">
        <v>1.79151583839764E-3</v>
      </c>
      <c r="D21547" s="2">
        <v>1.64466028455726E-3</v>
      </c>
      <c r="E21547" s="2">
        <v>2.0571676050238101E-3</v>
      </c>
      <c r="F21547" s="2">
        <v>1.7905229571632199E-3</v>
      </c>
    </row>
    <row r="21548" spans="1:6" x14ac:dyDescent="0.25">
      <c r="A21548" s="1" t="str">
        <f t="shared" si="800"/>
        <v>33460</v>
      </c>
      <c r="B21548" s="1" t="str">
        <f>"54082"</f>
        <v>54082</v>
      </c>
      <c r="C21548" s="2">
        <v>4.7837284621043502E-4</v>
      </c>
      <c r="D21548" s="2">
        <v>2.17219282866053E-4</v>
      </c>
      <c r="E21548" s="2">
        <v>1.39206830415145E-4</v>
      </c>
      <c r="F21548" s="2">
        <v>4.4692358172478499E-4</v>
      </c>
    </row>
    <row r="21549" spans="1:6" x14ac:dyDescent="0.25">
      <c r="A21549" s="1" t="str">
        <f t="shared" si="800"/>
        <v>33460</v>
      </c>
      <c r="B21549" s="1" t="str">
        <f>"54027"</f>
        <v>54027</v>
      </c>
      <c r="C21549" s="2">
        <v>2.8588018697834797E-4</v>
      </c>
      <c r="D21549" s="2">
        <v>1.2412530449488701E-4</v>
      </c>
      <c r="E21549" s="2">
        <v>7.7337128008414193E-5</v>
      </c>
      <c r="F21549" s="2">
        <v>2.6645697087642199E-4</v>
      </c>
    </row>
    <row r="21550" spans="1:6" x14ac:dyDescent="0.25">
      <c r="A21550" s="1" t="str">
        <f t="shared" si="800"/>
        <v>33460</v>
      </c>
      <c r="B21550" s="1" t="str">
        <f>"55018"</f>
        <v>55018</v>
      </c>
      <c r="C21550" s="2">
        <v>1.90586791318898E-6</v>
      </c>
      <c r="D21550" s="2">
        <v>0</v>
      </c>
      <c r="E21550" s="2">
        <v>0</v>
      </c>
      <c r="F21550" s="2">
        <v>1.6971781584485501E-6</v>
      </c>
    </row>
    <row r="21551" spans="1:6" x14ac:dyDescent="0.25">
      <c r="A21551" s="1" t="str">
        <f t="shared" si="800"/>
        <v>33460</v>
      </c>
      <c r="B21551" s="1" t="str">
        <f>"55089"</f>
        <v>55089</v>
      </c>
      <c r="C21551" s="2">
        <v>7.8140584440748395E-5</v>
      </c>
      <c r="D21551" s="2">
        <v>1.55156630618609E-5</v>
      </c>
      <c r="E21551" s="2">
        <v>0</v>
      </c>
      <c r="F21551" s="2">
        <v>7.0715756602022993E-5</v>
      </c>
    </row>
    <row r="21552" spans="1:6" x14ac:dyDescent="0.25">
      <c r="A21552" s="1" t="str">
        <f t="shared" si="800"/>
        <v>33460</v>
      </c>
      <c r="B21552" s="1" t="str">
        <f>"54721"</f>
        <v>54721</v>
      </c>
      <c r="C21552" s="2">
        <v>1.0164628870341199E-5</v>
      </c>
      <c r="D21552" s="2">
        <v>0</v>
      </c>
      <c r="E21552" s="2">
        <v>0</v>
      </c>
      <c r="F21552" s="2">
        <v>9.0516168450589407E-6</v>
      </c>
    </row>
    <row r="21553" spans="1:6" x14ac:dyDescent="0.25">
      <c r="A21553" s="1" t="str">
        <f t="shared" si="800"/>
        <v>33460</v>
      </c>
      <c r="B21553" s="1" t="str">
        <f>"55361"</f>
        <v>55361</v>
      </c>
      <c r="C21553" s="2">
        <v>1.5882232609908201E-5</v>
      </c>
      <c r="D21553" s="2">
        <v>7.7578315309304702E-6</v>
      </c>
      <c r="E21553" s="2">
        <v>1.5467425601682799E-5</v>
      </c>
      <c r="F21553" s="2">
        <v>1.5274603426036901E-5</v>
      </c>
    </row>
    <row r="21554" spans="1:6" x14ac:dyDescent="0.25">
      <c r="A21554" s="1" t="str">
        <f t="shared" si="800"/>
        <v>33460</v>
      </c>
      <c r="B21554" s="1" t="str">
        <f>"55144"</f>
        <v>55144</v>
      </c>
      <c r="C21554" s="2">
        <v>0</v>
      </c>
      <c r="D21554" s="2">
        <v>7.7578315309304702E-5</v>
      </c>
      <c r="E21554" s="2">
        <v>0</v>
      </c>
      <c r="F21554" s="2">
        <v>5.65726052816184E-6</v>
      </c>
    </row>
    <row r="21555" spans="1:6" x14ac:dyDescent="0.25">
      <c r="A21555" s="1" t="str">
        <f t="shared" si="800"/>
        <v>33460</v>
      </c>
      <c r="B21555" s="1" t="str">
        <f>"54003"</f>
        <v>54003</v>
      </c>
      <c r="C21555" s="2">
        <v>2.9540952654429298E-4</v>
      </c>
      <c r="D21555" s="2">
        <v>7.7578315309304702E-6</v>
      </c>
      <c r="E21555" s="2">
        <v>4.6402276805048501E-5</v>
      </c>
      <c r="F21555" s="2">
        <v>2.6532551877079001E-4</v>
      </c>
    </row>
    <row r="21556" spans="1:6" x14ac:dyDescent="0.25">
      <c r="A21556" s="1" t="str">
        <f t="shared" si="800"/>
        <v>33460</v>
      </c>
      <c r="B21556" s="1" t="str">
        <f>"55017"</f>
        <v>55017</v>
      </c>
      <c r="C21556" s="2">
        <v>1.9884555227604999E-4</v>
      </c>
      <c r="D21556" s="2">
        <v>7.7578315309304702E-5</v>
      </c>
      <c r="E21556" s="2">
        <v>1.5467425601682799E-5</v>
      </c>
      <c r="F21556" s="2">
        <v>1.8329524111244301E-4</v>
      </c>
    </row>
    <row r="21557" spans="1:6" x14ac:dyDescent="0.25">
      <c r="A21557" s="1" t="str">
        <f t="shared" si="800"/>
        <v>33460</v>
      </c>
      <c r="B21557" s="1" t="str">
        <f>"55155"</f>
        <v>55155</v>
      </c>
      <c r="C21557" s="2">
        <v>0</v>
      </c>
      <c r="D21557" s="2">
        <v>1.2412530449488701E-4</v>
      </c>
      <c r="E21557" s="2">
        <v>1.3611334529480901E-3</v>
      </c>
      <c r="F21557" s="2">
        <v>5.8835509492883099E-5</v>
      </c>
    </row>
    <row r="21558" spans="1:6" x14ac:dyDescent="0.25">
      <c r="A21558" s="1" t="str">
        <f t="shared" si="800"/>
        <v>33460</v>
      </c>
      <c r="B21558" s="1" t="str">
        <f>"55108"</f>
        <v>55108</v>
      </c>
      <c r="C21558" s="2">
        <v>4.2856616474576297E-3</v>
      </c>
      <c r="D21558" s="2">
        <v>3.7004856402538299E-3</v>
      </c>
      <c r="E21558" s="2">
        <v>8.8164325929592207E-3</v>
      </c>
      <c r="F21558" s="2">
        <v>4.4087031295965201E-3</v>
      </c>
    </row>
    <row r="21559" spans="1:6" x14ac:dyDescent="0.25">
      <c r="A21559" s="1" t="str">
        <f t="shared" si="800"/>
        <v>33460</v>
      </c>
      <c r="B21559" s="1" t="str">
        <f>"55117"</f>
        <v>55117</v>
      </c>
      <c r="C21559" s="2">
        <v>1.09434935575311E-2</v>
      </c>
      <c r="D21559" s="2">
        <v>8.5879195047400304E-3</v>
      </c>
      <c r="E21559" s="2">
        <v>1.3889748190311199E-2</v>
      </c>
      <c r="F21559" s="2">
        <v>1.0879477721707999E-2</v>
      </c>
    </row>
    <row r="21560" spans="1:6" x14ac:dyDescent="0.25">
      <c r="A21560" s="1" t="str">
        <f t="shared" si="800"/>
        <v>33460</v>
      </c>
      <c r="B21560" s="1" t="str">
        <f>"55124"</f>
        <v>55124</v>
      </c>
      <c r="C21560" s="2">
        <v>1.50614388286281E-2</v>
      </c>
      <c r="D21560" s="2">
        <v>9.5266171199826204E-3</v>
      </c>
      <c r="E21560" s="2">
        <v>6.0632308358596699E-3</v>
      </c>
      <c r="F21560" s="2">
        <v>1.43287094657283E-2</v>
      </c>
    </row>
    <row r="21561" spans="1:6" x14ac:dyDescent="0.25">
      <c r="A21561" s="1" t="str">
        <f t="shared" si="800"/>
        <v>33460</v>
      </c>
      <c r="B21561" s="1" t="str">
        <f>"55118"</f>
        <v>55118</v>
      </c>
      <c r="C21561" s="2">
        <v>8.7193457028396093E-3</v>
      </c>
      <c r="D21561" s="2">
        <v>8.6887713146421297E-3</v>
      </c>
      <c r="E21561" s="2">
        <v>8.1203984408834903E-3</v>
      </c>
      <c r="F21561" s="2">
        <v>8.6952094317847492E-3</v>
      </c>
    </row>
    <row r="21562" spans="1:6" x14ac:dyDescent="0.25">
      <c r="A21562" s="1" t="str">
        <f t="shared" si="800"/>
        <v>33460</v>
      </c>
      <c r="B21562" s="1" t="str">
        <f>"55056"</f>
        <v>55056</v>
      </c>
      <c r="C21562" s="2">
        <v>3.8911469894275098E-3</v>
      </c>
      <c r="D21562" s="2">
        <v>3.57636033575894E-3</v>
      </c>
      <c r="E21562" s="2">
        <v>1.1755243457278899E-3</v>
      </c>
      <c r="F21562" s="2">
        <v>3.76886696386141E-3</v>
      </c>
    </row>
    <row r="21563" spans="1:6" x14ac:dyDescent="0.25">
      <c r="A21563" s="1" t="str">
        <f t="shared" si="800"/>
        <v>33460</v>
      </c>
      <c r="B21563" s="1" t="str">
        <f>"55339"</f>
        <v>55339</v>
      </c>
      <c r="C21563" s="2">
        <v>2.25527703060696E-4</v>
      </c>
      <c r="D21563" s="2">
        <v>6.2062652247443694E-5</v>
      </c>
      <c r="E21563" s="2">
        <v>1.7014168161851099E-4</v>
      </c>
      <c r="F21563" s="2">
        <v>2.11581543753252E-4</v>
      </c>
    </row>
    <row r="21564" spans="1:6" x14ac:dyDescent="0.25">
      <c r="A21564" s="1" t="str">
        <f t="shared" si="800"/>
        <v>33460</v>
      </c>
      <c r="B21564" s="1" t="str">
        <f>"55065"</f>
        <v>55065</v>
      </c>
      <c r="C21564" s="2">
        <v>2.8778605489153701E-4</v>
      </c>
      <c r="D21564" s="2">
        <v>1.00851809902096E-4</v>
      </c>
      <c r="E21564" s="2">
        <v>1.39206830415145E-4</v>
      </c>
      <c r="F21564" s="2">
        <v>2.6871987508768699E-4</v>
      </c>
    </row>
    <row r="21565" spans="1:6" x14ac:dyDescent="0.25">
      <c r="A21565" s="1" t="str">
        <f t="shared" si="800"/>
        <v>33460</v>
      </c>
      <c r="B21565" s="1" t="str">
        <f>"54017"</f>
        <v>54017</v>
      </c>
      <c r="C21565" s="2">
        <v>5.0575381522991701E-3</v>
      </c>
      <c r="D21565" s="2">
        <v>4.53057361406339E-3</v>
      </c>
      <c r="E21565" s="2">
        <v>5.1970550021654301E-3</v>
      </c>
      <c r="F21565" s="2">
        <v>5.0242130750605303E-3</v>
      </c>
    </row>
    <row r="21566" spans="1:6" x14ac:dyDescent="0.25">
      <c r="A21566" s="1" t="str">
        <f t="shared" si="800"/>
        <v>33460</v>
      </c>
      <c r="B21566" s="1" t="str">
        <f>"55428"</f>
        <v>55428</v>
      </c>
      <c r="C21566" s="2">
        <v>8.3197487303743201E-3</v>
      </c>
      <c r="D21566" s="2">
        <v>9.1387255434360899E-3</v>
      </c>
      <c r="E21566" s="2">
        <v>9.4351296170265397E-3</v>
      </c>
      <c r="F21566" s="2">
        <v>8.4202665701160802E-3</v>
      </c>
    </row>
    <row r="21567" spans="1:6" x14ac:dyDescent="0.25">
      <c r="A21567" s="1" t="str">
        <f t="shared" si="800"/>
        <v>33460</v>
      </c>
      <c r="B21567" s="1" t="str">
        <f>"55432"</f>
        <v>55432</v>
      </c>
      <c r="C21567" s="2">
        <v>8.93979109146514E-3</v>
      </c>
      <c r="D21567" s="2">
        <v>1.1078183426168699E-2</v>
      </c>
      <c r="E21567" s="2">
        <v>9.9455546618820705E-3</v>
      </c>
      <c r="F21567" s="2">
        <v>9.1325156706116607E-3</v>
      </c>
    </row>
    <row r="21568" spans="1:6" x14ac:dyDescent="0.25">
      <c r="A21568" s="1" t="str">
        <f t="shared" si="800"/>
        <v>33460</v>
      </c>
      <c r="B21568" s="1" t="str">
        <f>"55443"</f>
        <v>55443</v>
      </c>
      <c r="C21568" s="2">
        <v>8.2435140138467592E-3</v>
      </c>
      <c r="D21568" s="2">
        <v>6.1674760670897199E-3</v>
      </c>
      <c r="E21568" s="2">
        <v>2.2273092866423299E-3</v>
      </c>
      <c r="F21568" s="2">
        <v>7.8720780249371992E-3</v>
      </c>
    </row>
    <row r="21569" spans="1:6" x14ac:dyDescent="0.25">
      <c r="A21569" s="1" t="str">
        <f t="shared" si="800"/>
        <v>33460</v>
      </c>
      <c r="B21569" s="1" t="str">
        <f>"55447"</f>
        <v>55447</v>
      </c>
      <c r="C21569" s="2">
        <v>5.9037435057550797E-3</v>
      </c>
      <c r="D21569" s="2">
        <v>8.4560363687142103E-3</v>
      </c>
      <c r="E21569" s="2">
        <v>1.3549464827074101E-2</v>
      </c>
      <c r="F21569" s="2">
        <v>6.3695096286574097E-3</v>
      </c>
    </row>
    <row r="21570" spans="1:6" x14ac:dyDescent="0.25">
      <c r="A21570" s="1" t="str">
        <f t="shared" si="800"/>
        <v>33460</v>
      </c>
      <c r="B21570" s="1" t="str">
        <f>"55429"</f>
        <v>55429</v>
      </c>
      <c r="C21570" s="2">
        <v>7.4150967609139503E-3</v>
      </c>
      <c r="D21570" s="2">
        <v>5.7175218382957502E-3</v>
      </c>
      <c r="E21570" s="2">
        <v>8.3988121017137905E-3</v>
      </c>
      <c r="F21570" s="2">
        <v>7.3272838360752103E-3</v>
      </c>
    </row>
    <row r="21571" spans="1:6" x14ac:dyDescent="0.25">
      <c r="A21571" s="1" t="str">
        <f t="shared" si="800"/>
        <v>33460</v>
      </c>
      <c r="B21571" s="1" t="str">
        <f>"56304"</f>
        <v>56304</v>
      </c>
      <c r="C21571" s="2">
        <v>2.5436983748029001E-3</v>
      </c>
      <c r="D21571" s="2">
        <v>8.9215062605700396E-4</v>
      </c>
      <c r="E21571" s="2">
        <v>2.4283858194642E-3</v>
      </c>
      <c r="F21571" s="2">
        <v>2.4190446018419998E-3</v>
      </c>
    </row>
    <row r="21572" spans="1:6" x14ac:dyDescent="0.25">
      <c r="A21572" s="1" t="str">
        <f t="shared" si="800"/>
        <v>33460</v>
      </c>
      <c r="B21572" s="1" t="str">
        <f>"56096"</f>
        <v>56096</v>
      </c>
      <c r="C21572" s="2">
        <v>9.1735775554829899E-4</v>
      </c>
      <c r="D21572" s="2">
        <v>8.9215062605700396E-4</v>
      </c>
      <c r="E21572" s="2">
        <v>4.9495761925385097E-4</v>
      </c>
      <c r="F21572" s="2">
        <v>9.0007015003054896E-4</v>
      </c>
    </row>
    <row r="21573" spans="1:6" x14ac:dyDescent="0.25">
      <c r="A21573" s="1" t="str">
        <f t="shared" si="800"/>
        <v>33460</v>
      </c>
      <c r="B21573" s="1" t="str">
        <f>"56063"</f>
        <v>56063</v>
      </c>
      <c r="C21573" s="2">
        <v>2.93503658631104E-4</v>
      </c>
      <c r="D21573" s="2">
        <v>3.8789157654652297E-5</v>
      </c>
      <c r="E21573" s="2">
        <v>3.0934851203365699E-5</v>
      </c>
      <c r="F21573" s="2">
        <v>2.6532551877079001E-4</v>
      </c>
    </row>
    <row r="21574" spans="1:6" x14ac:dyDescent="0.25">
      <c r="A21574" s="1" t="str">
        <f t="shared" si="800"/>
        <v>33460</v>
      </c>
      <c r="B21574" s="1" t="str">
        <f>"56017"</f>
        <v>56017</v>
      </c>
      <c r="C21574" s="2">
        <v>5.7938384560945197E-4</v>
      </c>
      <c r="D21574" s="2">
        <v>1.00851809902096E-4</v>
      </c>
      <c r="E21574" s="2">
        <v>1.5467425601682801E-4</v>
      </c>
      <c r="F21574" s="2">
        <v>5.2895385938313202E-4</v>
      </c>
    </row>
    <row r="21575" spans="1:6" x14ac:dyDescent="0.25">
      <c r="A21575" s="1" t="str">
        <f t="shared" si="800"/>
        <v>33460</v>
      </c>
      <c r="B21575" s="1" t="str">
        <f>"55373"</f>
        <v>55373</v>
      </c>
      <c r="C21575" s="2">
        <v>1.6453992983864901E-3</v>
      </c>
      <c r="D21575" s="2">
        <v>1.4739879908767901E-3</v>
      </c>
      <c r="E21575" s="2">
        <v>1.2064591969312599E-3</v>
      </c>
      <c r="F21575" s="2">
        <v>1.61684505894865E-3</v>
      </c>
    </row>
    <row r="21576" spans="1:6" x14ac:dyDescent="0.25">
      <c r="A21576" s="1" t="str">
        <f t="shared" si="800"/>
        <v>33460</v>
      </c>
      <c r="B21576" s="1" t="str">
        <f>"55412"</f>
        <v>55412</v>
      </c>
      <c r="C21576" s="2">
        <v>5.8675320154044901E-3</v>
      </c>
      <c r="D21576" s="2">
        <v>2.2032241547842498E-3</v>
      </c>
      <c r="E21576" s="2">
        <v>3.6039101651921001E-3</v>
      </c>
      <c r="F21576" s="2">
        <v>5.51752619311624E-3</v>
      </c>
    </row>
    <row r="21577" spans="1:6" x14ac:dyDescent="0.25">
      <c r="A21577" s="1" t="str">
        <f t="shared" si="800"/>
        <v>33460</v>
      </c>
      <c r="B21577" s="1" t="str">
        <f>"55304"</f>
        <v>55304</v>
      </c>
      <c r="C21577" s="2">
        <v>1.09168114067465E-2</v>
      </c>
      <c r="D21577" s="2">
        <v>6.2605700454608903E-3</v>
      </c>
      <c r="E21577" s="2">
        <v>4.16073748685268E-3</v>
      </c>
      <c r="F21577" s="2">
        <v>1.03301577244235E-2</v>
      </c>
    </row>
    <row r="21578" spans="1:6" x14ac:dyDescent="0.25">
      <c r="A21578" s="1" t="str">
        <f t="shared" si="800"/>
        <v>33460</v>
      </c>
      <c r="B21578" s="1" t="str">
        <f>"55337"</f>
        <v>55337</v>
      </c>
      <c r="C21578" s="2">
        <v>1.3383639775717399E-2</v>
      </c>
      <c r="D21578" s="2">
        <v>2.0643589703805899E-2</v>
      </c>
      <c r="E21578" s="2">
        <v>1.28379632493967E-2</v>
      </c>
      <c r="F21578" s="2">
        <v>1.38931004050598E-2</v>
      </c>
    </row>
    <row r="21579" spans="1:6" x14ac:dyDescent="0.25">
      <c r="A21579" s="1" t="str">
        <f t="shared" si="800"/>
        <v>33460</v>
      </c>
      <c r="B21579" s="1" t="str">
        <f>"55308"</f>
        <v>55308</v>
      </c>
      <c r="C21579" s="2">
        <v>2.3683585267895101E-3</v>
      </c>
      <c r="D21579" s="2">
        <v>1.3808940125056199E-3</v>
      </c>
      <c r="E21579" s="2">
        <v>9.5898038730433705E-4</v>
      </c>
      <c r="F21579" s="2">
        <v>2.2448009775746102E-3</v>
      </c>
    </row>
    <row r="21580" spans="1:6" x14ac:dyDescent="0.25">
      <c r="A21580" s="1" t="str">
        <f t="shared" si="800"/>
        <v>33460</v>
      </c>
      <c r="B21580" s="1" t="str">
        <f>"55352"</f>
        <v>55352</v>
      </c>
      <c r="C21580" s="2">
        <v>2.4592048973181798E-3</v>
      </c>
      <c r="D21580" s="2">
        <v>2.3661386169337899E-3</v>
      </c>
      <c r="E21580" s="2">
        <v>2.0881024562271798E-3</v>
      </c>
      <c r="F21580" s="2">
        <v>2.4388450136905702E-3</v>
      </c>
    </row>
    <row r="21581" spans="1:6" x14ac:dyDescent="0.25">
      <c r="A21581" s="1" t="str">
        <f t="shared" si="800"/>
        <v>33460</v>
      </c>
      <c r="B21581" s="1" t="str">
        <f>"55359"</f>
        <v>55359</v>
      </c>
      <c r="C21581" s="2">
        <v>1.60601136151391E-3</v>
      </c>
      <c r="D21581" s="2">
        <v>1.55932413771702E-3</v>
      </c>
      <c r="E21581" s="2">
        <v>1.0053826641093801E-3</v>
      </c>
      <c r="F21581" s="2">
        <v>1.58063859156841E-3</v>
      </c>
    </row>
    <row r="21582" spans="1:6" x14ac:dyDescent="0.25">
      <c r="A21582" s="1" t="str">
        <f t="shared" si="800"/>
        <v>33460</v>
      </c>
      <c r="B21582" s="1" t="str">
        <f>"55146"</f>
        <v>55146</v>
      </c>
      <c r="C21582" s="2">
        <v>0</v>
      </c>
      <c r="D21582" s="2">
        <v>7.7578315309304702E-6</v>
      </c>
      <c r="E21582" s="2">
        <v>0</v>
      </c>
      <c r="F21582" s="2">
        <v>5.65726052816184E-7</v>
      </c>
    </row>
    <row r="21583" spans="1:6" x14ac:dyDescent="0.25">
      <c r="A21583" s="1" t="str">
        <f t="shared" si="800"/>
        <v>33460</v>
      </c>
      <c r="B21583" s="1" t="str">
        <f>"55413"</f>
        <v>55413</v>
      </c>
      <c r="C21583" s="2">
        <v>4.8752101219374198E-3</v>
      </c>
      <c r="D21583" s="2">
        <v>1.3397775053916899E-2</v>
      </c>
      <c r="E21583" s="2">
        <v>9.1103136793911996E-3</v>
      </c>
      <c r="F21583" s="2">
        <v>5.6516032676336798E-3</v>
      </c>
    </row>
    <row r="21584" spans="1:6" x14ac:dyDescent="0.25">
      <c r="A21584" s="1" t="str">
        <f t="shared" si="800"/>
        <v>33460</v>
      </c>
      <c r="B21584" s="1" t="str">
        <f>"55330"</f>
        <v>55330</v>
      </c>
      <c r="C21584" s="2">
        <v>1.10190929847543E-2</v>
      </c>
      <c r="D21584" s="2">
        <v>1.08299328171789E-2</v>
      </c>
      <c r="E21584" s="2">
        <v>6.0477634102579902E-3</v>
      </c>
      <c r="F21584" s="2">
        <v>1.0823470842479199E-2</v>
      </c>
    </row>
    <row r="21585" spans="1:6" x14ac:dyDescent="0.25">
      <c r="A21585" s="1" t="str">
        <f t="shared" si="800"/>
        <v>33460</v>
      </c>
      <c r="B21585" s="1" t="str">
        <f>"55363"</f>
        <v>55363</v>
      </c>
      <c r="C21585" s="2">
        <v>1.29471960235971E-3</v>
      </c>
      <c r="D21585" s="2">
        <v>1.55156630618609E-4</v>
      </c>
      <c r="E21585" s="2">
        <v>4.7949019365216798E-4</v>
      </c>
      <c r="F21585" s="2">
        <v>1.1818017243329999E-3</v>
      </c>
    </row>
    <row r="21586" spans="1:6" x14ac:dyDescent="0.25">
      <c r="A21586" s="1" t="str">
        <f t="shared" si="800"/>
        <v>33460</v>
      </c>
      <c r="B21586" s="1" t="str">
        <f>"55319"</f>
        <v>55319</v>
      </c>
      <c r="C21586" s="2">
        <v>1.6021996256875401E-3</v>
      </c>
      <c r="D21586" s="2">
        <v>1.55156630618609E-4</v>
      </c>
      <c r="E21586" s="2">
        <v>2.0107653282187699E-4</v>
      </c>
      <c r="F21586" s="2">
        <v>1.44543006494535E-3</v>
      </c>
    </row>
    <row r="21587" spans="1:6" x14ac:dyDescent="0.25">
      <c r="A21587" s="1" t="str">
        <f t="shared" si="800"/>
        <v>33460</v>
      </c>
      <c r="B21587" s="1" t="str">
        <f>"55346"</f>
        <v>55346</v>
      </c>
      <c r="C21587" s="2">
        <v>4.1910035411025798E-3</v>
      </c>
      <c r="D21587" s="2">
        <v>1.5127771485314401E-3</v>
      </c>
      <c r="E21587" s="2">
        <v>6.8056672647404505E-4</v>
      </c>
      <c r="F21587" s="2">
        <v>3.8673032970514302E-3</v>
      </c>
    </row>
    <row r="21588" spans="1:6" x14ac:dyDescent="0.25">
      <c r="A21588" s="1" t="str">
        <f t="shared" si="800"/>
        <v>33460</v>
      </c>
      <c r="B21588" s="1" t="str">
        <f>"55320"</f>
        <v>55320</v>
      </c>
      <c r="C21588" s="2">
        <v>8.65899321892196E-4</v>
      </c>
      <c r="D21588" s="2">
        <v>2.7152410358256601E-4</v>
      </c>
      <c r="E21588" s="2">
        <v>5.1042504485553401E-4</v>
      </c>
      <c r="F21588" s="2">
        <v>8.0955398157995899E-4</v>
      </c>
    </row>
    <row r="21589" spans="1:6" x14ac:dyDescent="0.25">
      <c r="A21589" s="1" t="str">
        <f t="shared" ref="A21589:A21652" si="801">"33460"</f>
        <v>33460</v>
      </c>
      <c r="B21589" s="1" t="str">
        <f>"55357"</f>
        <v>55357</v>
      </c>
      <c r="C21589" s="2">
        <v>8.2651138501962397E-4</v>
      </c>
      <c r="D21589" s="2">
        <v>8.9215062605700396E-4</v>
      </c>
      <c r="E21589" s="2">
        <v>7.2696900327909395E-4</v>
      </c>
      <c r="F21589" s="2">
        <v>8.2765721527007703E-4</v>
      </c>
    </row>
    <row r="21590" spans="1:6" x14ac:dyDescent="0.25">
      <c r="A21590" s="1" t="str">
        <f t="shared" si="801"/>
        <v>33460</v>
      </c>
      <c r="B21590" s="1" t="str">
        <f>"55092"</f>
        <v>55092</v>
      </c>
      <c r="C21590" s="2">
        <v>2.7692260778635902E-3</v>
      </c>
      <c r="D21590" s="2">
        <v>1.30331569719631E-3</v>
      </c>
      <c r="E21590" s="2">
        <v>3.1553548227433001E-3</v>
      </c>
      <c r="F21590" s="2">
        <v>2.6764499558733601E-3</v>
      </c>
    </row>
    <row r="21591" spans="1:6" x14ac:dyDescent="0.25">
      <c r="A21591" s="1" t="str">
        <f t="shared" si="801"/>
        <v>33460</v>
      </c>
      <c r="B21591" s="1" t="str">
        <f>"55115"</f>
        <v>55115</v>
      </c>
      <c r="C21591" s="2">
        <v>2.27814744556523E-3</v>
      </c>
      <c r="D21591" s="2">
        <v>8.6887713146421299E-4</v>
      </c>
      <c r="E21591" s="2">
        <v>8.5070840809255697E-4</v>
      </c>
      <c r="F21591" s="2">
        <v>2.1231698762191301E-3</v>
      </c>
    </row>
    <row r="21592" spans="1:6" x14ac:dyDescent="0.25">
      <c r="A21592" s="1" t="str">
        <f t="shared" si="801"/>
        <v>33460</v>
      </c>
      <c r="B21592" s="1" t="str">
        <f>"55125"</f>
        <v>55125</v>
      </c>
      <c r="C21592" s="2">
        <v>1.12173032477259E-2</v>
      </c>
      <c r="D21592" s="2">
        <v>1.3537416021473601E-2</v>
      </c>
      <c r="E21592" s="2">
        <v>1.16779063292705E-2</v>
      </c>
      <c r="F21592" s="2">
        <v>1.1403340046615799E-2</v>
      </c>
    </row>
    <row r="21593" spans="1:6" x14ac:dyDescent="0.25">
      <c r="A21593" s="1" t="str">
        <f t="shared" si="801"/>
        <v>33460</v>
      </c>
      <c r="B21593" s="1" t="str">
        <f>"55070"</f>
        <v>55070</v>
      </c>
      <c r="C21593" s="2">
        <v>1.9941731265000701E-3</v>
      </c>
      <c r="D21593" s="2">
        <v>1.00851809902096E-3</v>
      </c>
      <c r="E21593" s="2">
        <v>7.8883870568582503E-4</v>
      </c>
      <c r="F21593" s="2">
        <v>1.8782104953497299E-3</v>
      </c>
    </row>
    <row r="21594" spans="1:6" x14ac:dyDescent="0.25">
      <c r="A21594" s="1" t="str">
        <f t="shared" si="801"/>
        <v>33460</v>
      </c>
      <c r="B21594" s="1" t="str">
        <f>"55005"</f>
        <v>55005</v>
      </c>
      <c r="C21594" s="2">
        <v>1.13843843347822E-3</v>
      </c>
      <c r="D21594" s="2">
        <v>2.8703976664442698E-4</v>
      </c>
      <c r="E21594" s="2">
        <v>1.5467425601682801E-4</v>
      </c>
      <c r="F21594" s="2">
        <v>1.0403702111289599E-3</v>
      </c>
    </row>
    <row r="21595" spans="1:6" x14ac:dyDescent="0.25">
      <c r="A21595" s="1" t="str">
        <f t="shared" si="801"/>
        <v>33460</v>
      </c>
      <c r="B21595" s="1" t="str">
        <f>"54002"</f>
        <v>54002</v>
      </c>
      <c r="C21595" s="2">
        <v>1.7470455870898999E-3</v>
      </c>
      <c r="D21595" s="2">
        <v>1.5282928115933E-3</v>
      </c>
      <c r="E21595" s="2">
        <v>1.1291220689228401E-3</v>
      </c>
      <c r="F21595" s="2">
        <v>1.7084926795048699E-3</v>
      </c>
    </row>
    <row r="21596" spans="1:6" x14ac:dyDescent="0.25">
      <c r="A21596" s="1" t="str">
        <f t="shared" si="801"/>
        <v>33460</v>
      </c>
      <c r="B21596" s="1" t="str">
        <f>"54013"</f>
        <v>54013</v>
      </c>
      <c r="C21596" s="2">
        <v>9.2371064859226204E-4</v>
      </c>
      <c r="D21596" s="2">
        <v>3.1807109276814902E-4</v>
      </c>
      <c r="E21596" s="2">
        <v>3.24815937635339E-4</v>
      </c>
      <c r="F21596" s="2">
        <v>8.5764069606933499E-4</v>
      </c>
    </row>
    <row r="21597" spans="1:6" x14ac:dyDescent="0.25">
      <c r="A21597" s="1" t="str">
        <f t="shared" si="801"/>
        <v>33460</v>
      </c>
      <c r="B21597" s="1" t="str">
        <f>"54026"</f>
        <v>54026</v>
      </c>
      <c r="C21597" s="2">
        <v>2.3188059610466E-4</v>
      </c>
      <c r="D21597" s="2">
        <v>6.2062652247443694E-5</v>
      </c>
      <c r="E21597" s="2">
        <v>1.08271979211779E-4</v>
      </c>
      <c r="F21597" s="2">
        <v>2.1497590007015001E-4</v>
      </c>
    </row>
    <row r="21598" spans="1:6" x14ac:dyDescent="0.25">
      <c r="A21598" s="1" t="str">
        <f t="shared" si="801"/>
        <v>33460</v>
      </c>
      <c r="B21598" s="1" t="str">
        <f>"55431"</f>
        <v>55431</v>
      </c>
      <c r="C21598" s="2">
        <v>5.5721224888602002E-3</v>
      </c>
      <c r="D21598" s="2">
        <v>8.6189508308637496E-3</v>
      </c>
      <c r="E21598" s="2">
        <v>1.3843345913506101E-2</v>
      </c>
      <c r="F21598" s="2">
        <v>6.0968296712000103E-3</v>
      </c>
    </row>
    <row r="21599" spans="1:6" x14ac:dyDescent="0.25">
      <c r="A21599" s="1" t="str">
        <f t="shared" si="801"/>
        <v>33460</v>
      </c>
      <c r="B21599" s="1" t="str">
        <f>"55438"</f>
        <v>55438</v>
      </c>
      <c r="C21599" s="2">
        <v>5.4113942948479299E-3</v>
      </c>
      <c r="D21599" s="2">
        <v>3.2893205691145199E-3</v>
      </c>
      <c r="E21599" s="2">
        <v>1.73235166738847E-3</v>
      </c>
      <c r="F21599" s="2">
        <v>5.1220836821977301E-3</v>
      </c>
    </row>
    <row r="21600" spans="1:6" x14ac:dyDescent="0.25">
      <c r="A21600" s="1" t="str">
        <f t="shared" si="801"/>
        <v>33460</v>
      </c>
      <c r="B21600" s="1" t="str">
        <f>"55426"</f>
        <v>55426</v>
      </c>
      <c r="C21600" s="2">
        <v>8.0319626754827792E-3</v>
      </c>
      <c r="D21600" s="2">
        <v>1.0372220756853999E-2</v>
      </c>
      <c r="E21600" s="2">
        <v>9.3113902122130693E-3</v>
      </c>
      <c r="F21600" s="2">
        <v>8.2494173021655896E-3</v>
      </c>
    </row>
    <row r="21601" spans="1:6" x14ac:dyDescent="0.25">
      <c r="A21601" s="1" t="str">
        <f t="shared" si="801"/>
        <v>33460</v>
      </c>
      <c r="B21601" s="1" t="str">
        <f>"55455"</f>
        <v>55455</v>
      </c>
      <c r="C21601" s="2">
        <v>1.90586791318898E-6</v>
      </c>
      <c r="D21601" s="2">
        <v>2.5523265736761198E-3</v>
      </c>
      <c r="E21601" s="2">
        <v>1.8870259234053E-3</v>
      </c>
      <c r="F21601" s="2">
        <v>2.5683962797854701E-4</v>
      </c>
    </row>
    <row r="21602" spans="1:6" x14ac:dyDescent="0.25">
      <c r="A21602" s="1" t="str">
        <f t="shared" si="801"/>
        <v>33460</v>
      </c>
      <c r="B21602" s="1" t="str">
        <f>"55406"</f>
        <v>55406</v>
      </c>
      <c r="C21602" s="2">
        <v>1.09409524003135E-2</v>
      </c>
      <c r="D21602" s="2">
        <v>9.5654062776372693E-3</v>
      </c>
      <c r="E21602" s="2">
        <v>2.14687867351358E-2</v>
      </c>
      <c r="F21602" s="2">
        <v>1.12257020660315E-2</v>
      </c>
    </row>
    <row r="21603" spans="1:6" x14ac:dyDescent="0.25">
      <c r="A21603" s="1" t="str">
        <f t="shared" si="801"/>
        <v>33460</v>
      </c>
      <c r="B21603" s="1" t="str">
        <f>"55397"</f>
        <v>55397</v>
      </c>
      <c r="C21603" s="2">
        <v>8.03640970061356E-4</v>
      </c>
      <c r="D21603" s="2">
        <v>2.17219282866053E-4</v>
      </c>
      <c r="E21603" s="2">
        <v>6.9603415207572798E-4</v>
      </c>
      <c r="F21603" s="2">
        <v>7.5694145866805397E-4</v>
      </c>
    </row>
    <row r="21604" spans="1:6" x14ac:dyDescent="0.25">
      <c r="A21604" s="1" t="str">
        <f t="shared" si="801"/>
        <v>33460</v>
      </c>
      <c r="B21604" s="1" t="str">
        <f>"55102"</f>
        <v>55102</v>
      </c>
      <c r="C21604" s="2">
        <v>7.3394973336907803E-3</v>
      </c>
      <c r="D21604" s="2">
        <v>1.0364462925323101E-2</v>
      </c>
      <c r="E21604" s="2">
        <v>1.7045103013054501E-2</v>
      </c>
      <c r="F21604" s="2">
        <v>7.9150732049512295E-3</v>
      </c>
    </row>
    <row r="21605" spans="1:6" x14ac:dyDescent="0.25">
      <c r="A21605" s="1" t="str">
        <f t="shared" si="801"/>
        <v>33460</v>
      </c>
      <c r="B21605" s="1" t="str">
        <f>"55109"</f>
        <v>55109</v>
      </c>
      <c r="C21605" s="2">
        <v>9.2847531837523395E-3</v>
      </c>
      <c r="D21605" s="2">
        <v>1.14272858450605E-2</v>
      </c>
      <c r="E21605" s="2">
        <v>1.1461362370846899E-2</v>
      </c>
      <c r="F21605" s="2">
        <v>9.52060374284356E-3</v>
      </c>
    </row>
    <row r="21606" spans="1:6" x14ac:dyDescent="0.25">
      <c r="A21606" s="1" t="str">
        <f t="shared" si="801"/>
        <v>33460</v>
      </c>
      <c r="B21606" s="1" t="str">
        <f>"55075"</f>
        <v>55075</v>
      </c>
      <c r="C21606" s="2">
        <v>5.8548262293165601E-3</v>
      </c>
      <c r="D21606" s="2">
        <v>5.40720857705854E-3</v>
      </c>
      <c r="E21606" s="2">
        <v>6.4499164759017503E-3</v>
      </c>
      <c r="F21606" s="2">
        <v>5.8439501255911804E-3</v>
      </c>
    </row>
    <row r="21607" spans="1:6" x14ac:dyDescent="0.25">
      <c r="A21607" s="1" t="str">
        <f t="shared" si="801"/>
        <v>33460</v>
      </c>
      <c r="B21607" s="1" t="str">
        <f>"55076"</f>
        <v>55076</v>
      </c>
      <c r="C21607" s="2">
        <v>6.0168250019376297E-3</v>
      </c>
      <c r="D21607" s="2">
        <v>3.19622659074335E-3</v>
      </c>
      <c r="E21607" s="2">
        <v>2.8614737363113199E-3</v>
      </c>
      <c r="F21607" s="2">
        <v>5.6957298997533396E-3</v>
      </c>
    </row>
    <row r="21608" spans="1:6" x14ac:dyDescent="0.25">
      <c r="A21608" s="1" t="str">
        <f t="shared" si="801"/>
        <v>33460</v>
      </c>
      <c r="B21608" s="1" t="str">
        <f>"55080"</f>
        <v>55080</v>
      </c>
      <c r="C21608" s="2">
        <v>8.9448734059003102E-4</v>
      </c>
      <c r="D21608" s="2">
        <v>1.2412530449488701E-4</v>
      </c>
      <c r="E21608" s="2">
        <v>3.5575078883870502E-4</v>
      </c>
      <c r="F21608" s="2">
        <v>8.1860559842501801E-4</v>
      </c>
    </row>
    <row r="21609" spans="1:6" x14ac:dyDescent="0.25">
      <c r="A21609" s="1" t="str">
        <f t="shared" si="801"/>
        <v>33460</v>
      </c>
      <c r="B21609" s="1" t="str">
        <f>"54740"</f>
        <v>54740</v>
      </c>
      <c r="C21609" s="2">
        <v>4.6693763873130098E-4</v>
      </c>
      <c r="D21609" s="2">
        <v>1.7067229368046999E-4</v>
      </c>
      <c r="E21609" s="2">
        <v>2.6294623522860798E-4</v>
      </c>
      <c r="F21609" s="2">
        <v>4.3787196487972603E-4</v>
      </c>
    </row>
    <row r="21610" spans="1:6" x14ac:dyDescent="0.25">
      <c r="A21610" s="1" t="str">
        <f t="shared" si="801"/>
        <v>33460</v>
      </c>
      <c r="B21610" s="1" t="str">
        <f>"55038"</f>
        <v>55038</v>
      </c>
      <c r="C21610" s="2">
        <v>6.08670682542122E-3</v>
      </c>
      <c r="D21610" s="2">
        <v>3.4367193682022E-3</v>
      </c>
      <c r="E21610" s="2">
        <v>7.2851574583926203E-3</v>
      </c>
      <c r="F21610" s="2">
        <v>5.9372949243058498E-3</v>
      </c>
    </row>
    <row r="21611" spans="1:6" x14ac:dyDescent="0.25">
      <c r="A21611" s="1" t="str">
        <f t="shared" si="801"/>
        <v>33460</v>
      </c>
      <c r="B21611" s="1" t="str">
        <f>"55042"</f>
        <v>55042</v>
      </c>
      <c r="C21611" s="2">
        <v>3.2679281818147098E-3</v>
      </c>
      <c r="D21611" s="2">
        <v>3.8090952816868598E-3</v>
      </c>
      <c r="E21611" s="2">
        <v>1.0981872177194801E-3</v>
      </c>
      <c r="F21611" s="2">
        <v>3.2280328573691401E-3</v>
      </c>
    </row>
    <row r="21612" spans="1:6" x14ac:dyDescent="0.25">
      <c r="A21612" s="1" t="str">
        <f t="shared" si="801"/>
        <v>33460</v>
      </c>
      <c r="B21612" s="1" t="str">
        <f>"55043"</f>
        <v>55043</v>
      </c>
      <c r="C21612" s="2">
        <v>9.6119271755164498E-4</v>
      </c>
      <c r="D21612" s="2">
        <v>5.43048207165133E-4</v>
      </c>
      <c r="E21612" s="2">
        <v>4.1762049124543702E-4</v>
      </c>
      <c r="F21612" s="2">
        <v>9.1081894503405598E-4</v>
      </c>
    </row>
    <row r="21613" spans="1:6" x14ac:dyDescent="0.25">
      <c r="A21613" s="1" t="str">
        <f t="shared" si="801"/>
        <v>33460</v>
      </c>
      <c r="B21613" s="1" t="str">
        <f>"55032"</f>
        <v>55032</v>
      </c>
      <c r="C21613" s="2">
        <v>9.0782841598235399E-4</v>
      </c>
      <c r="D21613" s="2">
        <v>2.32734945927914E-4</v>
      </c>
      <c r="E21613" s="2">
        <v>2.0107653282187699E-4</v>
      </c>
      <c r="F21613" s="2">
        <v>8.3274874974542299E-4</v>
      </c>
    </row>
    <row r="21614" spans="1:6" x14ac:dyDescent="0.25">
      <c r="A21614" s="1" t="str">
        <f t="shared" si="801"/>
        <v>33460</v>
      </c>
      <c r="B21614" s="1" t="str">
        <f>"55047"</f>
        <v>55047</v>
      </c>
      <c r="C21614" s="2">
        <v>7.0580641718432095E-4</v>
      </c>
      <c r="D21614" s="2">
        <v>1.7843012521139999E-4</v>
      </c>
      <c r="E21614" s="2">
        <v>7.7337128008414193E-5</v>
      </c>
      <c r="F21614" s="2">
        <v>6.4436197415763301E-4</v>
      </c>
    </row>
    <row r="21615" spans="1:6" x14ac:dyDescent="0.25">
      <c r="A21615" s="1" t="str">
        <f t="shared" si="801"/>
        <v>33460</v>
      </c>
      <c r="B21615" s="1" t="str">
        <f>"55439"</f>
        <v>55439</v>
      </c>
      <c r="C21615" s="2">
        <v>2.5710158148919398E-3</v>
      </c>
      <c r="D21615" s="2">
        <v>1.14583171711843E-2</v>
      </c>
      <c r="E21615" s="2">
        <v>5.9085565798428497E-3</v>
      </c>
      <c r="F21615" s="2">
        <v>3.34117806793238E-3</v>
      </c>
    </row>
    <row r="21616" spans="1:6" x14ac:dyDescent="0.25">
      <c r="A21616" s="1" t="str">
        <f t="shared" si="801"/>
        <v>33460</v>
      </c>
      <c r="B21616" s="1" t="str">
        <f>"55444"</f>
        <v>55444</v>
      </c>
      <c r="C21616" s="2">
        <v>3.48392654530946E-3</v>
      </c>
      <c r="D21616" s="2">
        <v>8.9990845758793504E-4</v>
      </c>
      <c r="E21616" s="2">
        <v>5.8776217286394801E-4</v>
      </c>
      <c r="F21616" s="2">
        <v>3.1895634857776402E-3</v>
      </c>
    </row>
    <row r="21617" spans="1:6" x14ac:dyDescent="0.25">
      <c r="A21617" s="1" t="str">
        <f t="shared" si="801"/>
        <v>33460</v>
      </c>
      <c r="B21617" s="1" t="str">
        <f>"55446"</f>
        <v>55446</v>
      </c>
      <c r="C21617" s="2">
        <v>7.1107931841081096E-3</v>
      </c>
      <c r="D21617" s="2">
        <v>2.4669904268358901E-3</v>
      </c>
      <c r="E21617" s="2">
        <v>6.2024376662748199E-3</v>
      </c>
      <c r="F21617" s="2">
        <v>6.7389287411463803E-3</v>
      </c>
    </row>
    <row r="21618" spans="1:6" x14ac:dyDescent="0.25">
      <c r="A21618" s="1" t="str">
        <f t="shared" si="801"/>
        <v>33460</v>
      </c>
      <c r="B21618" s="1" t="str">
        <f>"55441"</f>
        <v>55441</v>
      </c>
      <c r="C21618" s="2">
        <v>5.6426396016481901E-3</v>
      </c>
      <c r="D21618" s="2">
        <v>9.8679617073435602E-3</v>
      </c>
      <c r="E21618" s="2">
        <v>1.21109942461176E-2</v>
      </c>
      <c r="F21618" s="2">
        <v>6.1873458396506003E-3</v>
      </c>
    </row>
    <row r="21619" spans="1:6" x14ac:dyDescent="0.25">
      <c r="A21619" s="1" t="str">
        <f t="shared" si="801"/>
        <v>33460</v>
      </c>
      <c r="B21619" s="1" t="str">
        <f>"56330"</f>
        <v>56330</v>
      </c>
      <c r="C21619" s="2">
        <v>4.03408708291668E-4</v>
      </c>
      <c r="D21619" s="2">
        <v>1.00851809902096E-4</v>
      </c>
      <c r="E21619" s="2">
        <v>1.7014168161851099E-4</v>
      </c>
      <c r="F21619" s="2">
        <v>3.72813468805865E-4</v>
      </c>
    </row>
    <row r="21620" spans="1:6" x14ac:dyDescent="0.25">
      <c r="A21620" s="1" t="str">
        <f t="shared" si="801"/>
        <v>33460</v>
      </c>
      <c r="B21620" s="1" t="str">
        <f>"56342"</f>
        <v>56342</v>
      </c>
      <c r="C21620" s="2">
        <v>7.6361774388438699E-4</v>
      </c>
      <c r="D21620" s="2">
        <v>3.02555429706288E-4</v>
      </c>
      <c r="E21620" s="2">
        <v>4.3308791684711897E-4</v>
      </c>
      <c r="F21620" s="2">
        <v>7.1790636102373698E-4</v>
      </c>
    </row>
    <row r="21621" spans="1:6" x14ac:dyDescent="0.25">
      <c r="A21621" s="1" t="str">
        <f t="shared" si="801"/>
        <v>33460</v>
      </c>
      <c r="B21621" s="1" t="str">
        <f>"56069"</f>
        <v>56069</v>
      </c>
      <c r="C21621" s="2">
        <v>1.3023430740124701E-3</v>
      </c>
      <c r="D21621" s="2">
        <v>1.0705807512683999E-3</v>
      </c>
      <c r="E21621" s="2">
        <v>6.0322959846563105E-4</v>
      </c>
      <c r="F21621" s="2">
        <v>1.25987191962164E-3</v>
      </c>
    </row>
    <row r="21622" spans="1:6" x14ac:dyDescent="0.25">
      <c r="A21622" s="1" t="str">
        <f t="shared" si="801"/>
        <v>33460</v>
      </c>
      <c r="B21622" s="1" t="str">
        <f>"55408"</f>
        <v>55408</v>
      </c>
      <c r="C21622" s="2">
        <v>1.21321198460566E-2</v>
      </c>
      <c r="D21622" s="2">
        <v>1.4553691952025501E-2</v>
      </c>
      <c r="E21622" s="2">
        <v>3.5822557693497403E-2</v>
      </c>
      <c r="F21622" s="2">
        <v>1.3175194044036101E-2</v>
      </c>
    </row>
    <row r="21623" spans="1:6" x14ac:dyDescent="0.25">
      <c r="A21623" s="1" t="str">
        <f t="shared" si="801"/>
        <v>33460</v>
      </c>
      <c r="B21623" s="1" t="str">
        <f>"55309"</f>
        <v>55309</v>
      </c>
      <c r="C21623" s="2">
        <v>5.1388551832618999E-3</v>
      </c>
      <c r="D21623" s="2">
        <v>2.2032241547842498E-3</v>
      </c>
      <c r="E21623" s="2">
        <v>3.3100290787601299E-3</v>
      </c>
      <c r="F21623" s="2">
        <v>4.85788961553257E-3</v>
      </c>
    </row>
    <row r="21624" spans="1:6" x14ac:dyDescent="0.25">
      <c r="A21624" s="1" t="str">
        <f t="shared" si="801"/>
        <v>33460</v>
      </c>
      <c r="B21624" s="1" t="str">
        <f>"55317"</f>
        <v>55317</v>
      </c>
      <c r="C21624" s="2">
        <v>5.8306852357495002E-3</v>
      </c>
      <c r="D21624" s="2">
        <v>7.60267490031186E-3</v>
      </c>
      <c r="E21624" s="2">
        <v>4.3308791684711903E-3</v>
      </c>
      <c r="F21624" s="2">
        <v>5.9050485392953302E-3</v>
      </c>
    </row>
    <row r="21625" spans="1:6" x14ac:dyDescent="0.25">
      <c r="A21625" s="1" t="str">
        <f t="shared" si="801"/>
        <v>33460</v>
      </c>
      <c r="B21625" s="1" t="str">
        <f>"55301"</f>
        <v>55301</v>
      </c>
      <c r="C21625" s="2">
        <v>2.9426600579637902E-3</v>
      </c>
      <c r="D21625" s="2">
        <v>2.25752897550076E-3</v>
      </c>
      <c r="E21625" s="2">
        <v>1.1755243457278899E-3</v>
      </c>
      <c r="F21625" s="2">
        <v>2.8280645380280999E-3</v>
      </c>
    </row>
    <row r="21626" spans="1:6" x14ac:dyDescent="0.25">
      <c r="A21626" s="1" t="str">
        <f t="shared" si="801"/>
        <v>33460</v>
      </c>
      <c r="B21626" s="1" t="str">
        <f>"55305"</f>
        <v>55305</v>
      </c>
      <c r="C21626" s="2">
        <v>7.0618759076695901E-3</v>
      </c>
      <c r="D21626" s="2">
        <v>8.5336146840235202E-3</v>
      </c>
      <c r="E21626" s="2">
        <v>5.3053269813772104E-3</v>
      </c>
      <c r="F21626" s="2">
        <v>7.1049534973184501E-3</v>
      </c>
    </row>
    <row r="21627" spans="1:6" x14ac:dyDescent="0.25">
      <c r="A21627" s="1" t="str">
        <f t="shared" si="801"/>
        <v>33460</v>
      </c>
      <c r="B21627" s="1" t="str">
        <f>"55341"</f>
        <v>55341</v>
      </c>
      <c r="C21627" s="2">
        <v>7.4900608988327105E-4</v>
      </c>
      <c r="D21627" s="2">
        <v>2.94797598175358E-4</v>
      </c>
      <c r="E21627" s="2">
        <v>1.7014168161851099E-4</v>
      </c>
      <c r="F21627" s="2">
        <v>6.9471159285827396E-4</v>
      </c>
    </row>
    <row r="21628" spans="1:6" x14ac:dyDescent="0.25">
      <c r="A21628" s="1" t="str">
        <f t="shared" si="801"/>
        <v>33460</v>
      </c>
      <c r="B21628" s="1" t="str">
        <f>"55340"</f>
        <v>55340</v>
      </c>
      <c r="C21628" s="2">
        <v>2.2050891755596501E-3</v>
      </c>
      <c r="D21628" s="2">
        <v>2.19546632325332E-3</v>
      </c>
      <c r="E21628" s="2">
        <v>7.7337128008414199E-4</v>
      </c>
      <c r="F21628" s="2">
        <v>2.1520219049127598E-3</v>
      </c>
    </row>
    <row r="21629" spans="1:6" x14ac:dyDescent="0.25">
      <c r="A21629" s="1" t="str">
        <f t="shared" si="801"/>
        <v>33460</v>
      </c>
      <c r="B21629" s="1" t="str">
        <f>"55315"</f>
        <v>55315</v>
      </c>
      <c r="C21629" s="2">
        <v>1.51961201611601E-3</v>
      </c>
      <c r="D21629" s="2">
        <v>2.7928193511349698E-4</v>
      </c>
      <c r="E21629" s="2">
        <v>5.7229474726226497E-4</v>
      </c>
      <c r="F21629" s="2">
        <v>1.39451472019189E-3</v>
      </c>
    </row>
    <row r="21630" spans="1:6" x14ac:dyDescent="0.25">
      <c r="A21630" s="1" t="str">
        <f t="shared" si="801"/>
        <v>33460</v>
      </c>
      <c r="B21630" s="1" t="str">
        <f>"55349"</f>
        <v>55349</v>
      </c>
      <c r="C21630" s="2">
        <v>1.1289090939122701E-3</v>
      </c>
      <c r="D21630" s="2">
        <v>5.5080603869606299E-4</v>
      </c>
      <c r="E21630" s="2">
        <v>4.7949019365216798E-4</v>
      </c>
      <c r="F21630" s="2">
        <v>1.06299925324161E-3</v>
      </c>
    </row>
    <row r="21631" spans="1:6" x14ac:dyDescent="0.25">
      <c r="A21631" s="1" t="str">
        <f t="shared" si="801"/>
        <v>33460</v>
      </c>
      <c r="B21631" s="1" t="str">
        <f>"55325"</f>
        <v>55325</v>
      </c>
      <c r="C21631" s="2">
        <v>6.3528930439632898E-7</v>
      </c>
      <c r="D21631" s="2">
        <v>0</v>
      </c>
      <c r="E21631" s="2">
        <v>0</v>
      </c>
      <c r="F21631" s="2">
        <v>5.65726052816184E-7</v>
      </c>
    </row>
    <row r="21632" spans="1:6" x14ac:dyDescent="0.25">
      <c r="A21632" s="1" t="str">
        <f t="shared" si="801"/>
        <v>33460</v>
      </c>
      <c r="B21632" s="1" t="str">
        <f>"55440"</f>
        <v>55440</v>
      </c>
      <c r="C21632" s="2">
        <v>0</v>
      </c>
      <c r="D21632" s="2">
        <v>7.7578315309304702E-6</v>
      </c>
      <c r="E21632" s="2">
        <v>2.3201138402524201E-4</v>
      </c>
      <c r="F21632" s="2">
        <v>9.0516168450589407E-6</v>
      </c>
    </row>
    <row r="21633" spans="1:6" x14ac:dyDescent="0.25">
      <c r="A21633" s="1" t="str">
        <f t="shared" si="801"/>
        <v>33460</v>
      </c>
      <c r="B21633" s="1" t="str">
        <f>"55381"</f>
        <v>55381</v>
      </c>
      <c r="C21633" s="2">
        <v>1.90586791318898E-6</v>
      </c>
      <c r="D21633" s="2">
        <v>0</v>
      </c>
      <c r="E21633" s="2">
        <v>0</v>
      </c>
      <c r="F21633" s="2">
        <v>1.6971781584485501E-6</v>
      </c>
    </row>
    <row r="21634" spans="1:6" x14ac:dyDescent="0.25">
      <c r="A21634" s="1" t="str">
        <f t="shared" si="801"/>
        <v>33460</v>
      </c>
      <c r="B21634" s="1" t="str">
        <f>"54769"</f>
        <v>54769</v>
      </c>
      <c r="C21634" s="2">
        <v>2.5411572175853099E-5</v>
      </c>
      <c r="D21634" s="2">
        <v>7.7578315309304702E-6</v>
      </c>
      <c r="E21634" s="2">
        <v>0</v>
      </c>
      <c r="F21634" s="2">
        <v>2.3194768165463501E-5</v>
      </c>
    </row>
    <row r="21635" spans="1:6" x14ac:dyDescent="0.25">
      <c r="A21635" s="1" t="str">
        <f t="shared" si="801"/>
        <v>33460</v>
      </c>
      <c r="B21635" s="1" t="str">
        <f>"55338"</f>
        <v>55338</v>
      </c>
      <c r="C21635" s="2">
        <v>1.90586791318898E-6</v>
      </c>
      <c r="D21635" s="2">
        <v>0</v>
      </c>
      <c r="E21635" s="2">
        <v>0</v>
      </c>
      <c r="F21635" s="2">
        <v>1.6971781584485501E-6</v>
      </c>
    </row>
    <row r="21636" spans="1:6" x14ac:dyDescent="0.25">
      <c r="A21636" s="1" t="str">
        <f t="shared" si="801"/>
        <v>33460</v>
      </c>
      <c r="B21636" s="1" t="str">
        <f>"55434"</f>
        <v>55434</v>
      </c>
      <c r="C21636" s="2">
        <v>7.8915637392111895E-3</v>
      </c>
      <c r="D21636" s="2">
        <v>5.4459977347131898E-3</v>
      </c>
      <c r="E21636" s="2">
        <v>3.3564313555651702E-3</v>
      </c>
      <c r="F21636" s="2">
        <v>7.5473512706207098E-3</v>
      </c>
    </row>
    <row r="21637" spans="1:6" x14ac:dyDescent="0.25">
      <c r="A21637" s="1" t="str">
        <f t="shared" si="801"/>
        <v>33460</v>
      </c>
      <c r="B21637" s="1" t="str">
        <f>"55448"</f>
        <v>55448</v>
      </c>
      <c r="C21637" s="2">
        <v>7.35728543421388E-3</v>
      </c>
      <c r="D21637" s="2">
        <v>5.0813796527594598E-3</v>
      </c>
      <c r="E21637" s="2">
        <v>4.0215306564375403E-3</v>
      </c>
      <c r="F21637" s="2">
        <v>7.0693127559910297E-3</v>
      </c>
    </row>
    <row r="21638" spans="1:6" x14ac:dyDescent="0.25">
      <c r="A21638" s="1" t="str">
        <f t="shared" si="801"/>
        <v>33460</v>
      </c>
      <c r="B21638" s="1" t="str">
        <f>"55427"</f>
        <v>55427</v>
      </c>
      <c r="C21638" s="2">
        <v>7.3623677486490497E-3</v>
      </c>
      <c r="D21638" s="2">
        <v>8.54137251555445E-3</v>
      </c>
      <c r="E21638" s="2">
        <v>6.7437975623337197E-3</v>
      </c>
      <c r="F21638" s="2">
        <v>7.4257201692652297E-3</v>
      </c>
    </row>
    <row r="21639" spans="1:6" x14ac:dyDescent="0.25">
      <c r="A21639" s="1" t="str">
        <f t="shared" si="801"/>
        <v>33460</v>
      </c>
      <c r="B21639" s="1" t="str">
        <f>"55454"</f>
        <v>55454</v>
      </c>
      <c r="C21639" s="2">
        <v>3.1167293273683901E-3</v>
      </c>
      <c r="D21639" s="2">
        <v>2.51353741602147E-3</v>
      </c>
      <c r="E21639" s="2">
        <v>2.7377343314978599E-3</v>
      </c>
      <c r="F21639" s="2">
        <v>3.0588807675770999E-3</v>
      </c>
    </row>
    <row r="21640" spans="1:6" x14ac:dyDescent="0.25">
      <c r="A21640" s="1" t="str">
        <f t="shared" si="801"/>
        <v>33460</v>
      </c>
      <c r="B21640" s="1" t="str">
        <f>"55458"</f>
        <v>55458</v>
      </c>
      <c r="C21640" s="2">
        <v>1.33855456436306E-3</v>
      </c>
      <c r="D21640" s="2">
        <v>2.6686940466400799E-3</v>
      </c>
      <c r="E21640" s="2">
        <v>3.0934851203365699E-5</v>
      </c>
      <c r="F21640" s="2">
        <v>1.3877260075580999E-3</v>
      </c>
    </row>
    <row r="21641" spans="1:6" x14ac:dyDescent="0.25">
      <c r="A21641" s="1" t="str">
        <f t="shared" si="801"/>
        <v>33460</v>
      </c>
      <c r="B21641" s="1" t="str">
        <f>"56359"</f>
        <v>56359</v>
      </c>
      <c r="C21641" s="2">
        <v>1.23309653983327E-3</v>
      </c>
      <c r="D21641" s="2">
        <v>6.9044700625281203E-4</v>
      </c>
      <c r="E21641" s="2">
        <v>8.3524098249087404E-4</v>
      </c>
      <c r="F21641" s="2">
        <v>1.17897309406892E-3</v>
      </c>
    </row>
    <row r="21642" spans="1:6" x14ac:dyDescent="0.25">
      <c r="A21642" s="1" t="str">
        <f t="shared" si="801"/>
        <v>33460</v>
      </c>
      <c r="B21642" s="1" t="str">
        <f>"56028"</f>
        <v>56028</v>
      </c>
      <c r="C21642" s="2">
        <v>4.2945556977191799E-4</v>
      </c>
      <c r="D21642" s="2">
        <v>1.55156630618609E-4</v>
      </c>
      <c r="E21642" s="2">
        <v>9.2804553610097097E-5</v>
      </c>
      <c r="F21642" s="2">
        <v>3.9713968907696099E-4</v>
      </c>
    </row>
    <row r="21643" spans="1:6" x14ac:dyDescent="0.25">
      <c r="A21643" s="1" t="str">
        <f t="shared" si="801"/>
        <v>33460</v>
      </c>
      <c r="B21643" s="1" t="str">
        <f>"55379"</f>
        <v>55379</v>
      </c>
      <c r="C21643" s="2">
        <v>1.1452995579657E-2</v>
      </c>
      <c r="D21643" s="2">
        <v>1.0597197871250999E-2</v>
      </c>
      <c r="E21643" s="2">
        <v>6.4963187527067902E-3</v>
      </c>
      <c r="F21643" s="2">
        <v>1.1209296010499799E-2</v>
      </c>
    </row>
    <row r="21644" spans="1:6" x14ac:dyDescent="0.25">
      <c r="A21644" s="1" t="str">
        <f t="shared" si="801"/>
        <v>33460</v>
      </c>
      <c r="B21644" s="1" t="str">
        <f>"55398"</f>
        <v>55398</v>
      </c>
      <c r="C21644" s="2">
        <v>4.1007924598783002E-3</v>
      </c>
      <c r="D21644" s="2">
        <v>1.4739879908767901E-3</v>
      </c>
      <c r="E21644" s="2">
        <v>1.79422136979521E-3</v>
      </c>
      <c r="F21644" s="2">
        <v>3.8248738430902199E-3</v>
      </c>
    </row>
    <row r="21645" spans="1:6" x14ac:dyDescent="0.25">
      <c r="A21645" s="1" t="str">
        <f t="shared" si="801"/>
        <v>33460</v>
      </c>
      <c r="B21645" s="1" t="str">
        <f>"55407"</f>
        <v>55407</v>
      </c>
      <c r="C21645" s="2">
        <v>1.0352674504442499E-2</v>
      </c>
      <c r="D21645" s="2">
        <v>8.87495927138446E-3</v>
      </c>
      <c r="E21645" s="2">
        <v>4.71756480851327E-2</v>
      </c>
      <c r="F21645" s="2">
        <v>1.15917268222036E-2</v>
      </c>
    </row>
    <row r="21646" spans="1:6" x14ac:dyDescent="0.25">
      <c r="A21646" s="1" t="str">
        <f t="shared" si="801"/>
        <v>33460</v>
      </c>
      <c r="B21646" s="1" t="str">
        <f>"55371"</f>
        <v>55371</v>
      </c>
      <c r="C21646" s="2">
        <v>4.5042011681699703E-3</v>
      </c>
      <c r="D21646" s="2">
        <v>3.6151494934136001E-3</v>
      </c>
      <c r="E21646" s="2">
        <v>3.85138897481903E-3</v>
      </c>
      <c r="F21646" s="2">
        <v>4.4154918422303104E-3</v>
      </c>
    </row>
    <row r="21647" spans="1:6" x14ac:dyDescent="0.25">
      <c r="A21647" s="1" t="str">
        <f t="shared" si="801"/>
        <v>33460</v>
      </c>
      <c r="B21647" s="1" t="str">
        <f>"55372"</f>
        <v>55372</v>
      </c>
      <c r="C21647" s="2">
        <v>9.0820958956499206E-3</v>
      </c>
      <c r="D21647" s="2">
        <v>5.9735302788164598E-3</v>
      </c>
      <c r="E21647" s="2">
        <v>2.87694116191301E-3</v>
      </c>
      <c r="F21647" s="2">
        <v>8.6284537575524404E-3</v>
      </c>
    </row>
    <row r="21648" spans="1:6" x14ac:dyDescent="0.25">
      <c r="A21648" s="1" t="str">
        <f t="shared" si="801"/>
        <v>33460</v>
      </c>
      <c r="B21648" s="1" t="str">
        <f>"55374"</f>
        <v>55374</v>
      </c>
      <c r="C21648" s="2">
        <v>3.8365121092494301E-3</v>
      </c>
      <c r="D21648" s="2">
        <v>6.0666242571876302E-3</v>
      </c>
      <c r="E21648" s="2">
        <v>2.6603972034894498E-3</v>
      </c>
      <c r="F21648" s="2">
        <v>3.9561222873435702E-3</v>
      </c>
    </row>
    <row r="21649" spans="1:6" x14ac:dyDescent="0.25">
      <c r="A21649" s="1" t="str">
        <f t="shared" si="801"/>
        <v>33460</v>
      </c>
      <c r="B21649" s="1" t="str">
        <f>"55417"</f>
        <v>55417</v>
      </c>
      <c r="C21649" s="2">
        <v>7.4303437042194604E-3</v>
      </c>
      <c r="D21649" s="2">
        <v>2.8238506772586898E-3</v>
      </c>
      <c r="E21649" s="2">
        <v>3.26362680195508E-3</v>
      </c>
      <c r="F21649" s="2">
        <v>6.9420243941073897E-3</v>
      </c>
    </row>
    <row r="21650" spans="1:6" x14ac:dyDescent="0.25">
      <c r="A21650" s="1" t="str">
        <f t="shared" si="801"/>
        <v>33460</v>
      </c>
      <c r="B21650" s="1" t="str">
        <f>"55419"</f>
        <v>55419</v>
      </c>
      <c r="C21650" s="2">
        <v>7.4474965154381597E-3</v>
      </c>
      <c r="D21650" s="2">
        <v>4.6934880762129301E-3</v>
      </c>
      <c r="E21650" s="2">
        <v>4.7484996597166301E-3</v>
      </c>
      <c r="F21650" s="2">
        <v>7.1479486773324804E-3</v>
      </c>
    </row>
    <row r="21651" spans="1:6" x14ac:dyDescent="0.25">
      <c r="A21651" s="1" t="str">
        <f t="shared" si="801"/>
        <v>33460</v>
      </c>
      <c r="B21651" s="1" t="str">
        <f>"55302"</f>
        <v>55302</v>
      </c>
      <c r="C21651" s="2">
        <v>2.4858870481028299E-3</v>
      </c>
      <c r="D21651" s="2">
        <v>8.0681447921676901E-4</v>
      </c>
      <c r="E21651" s="2">
        <v>1.1909917713295701E-3</v>
      </c>
      <c r="F21651" s="2">
        <v>2.3160824602294502E-3</v>
      </c>
    </row>
    <row r="21652" spans="1:6" x14ac:dyDescent="0.25">
      <c r="A21652" s="1" t="str">
        <f t="shared" si="801"/>
        <v>33460</v>
      </c>
      <c r="B21652" s="1" t="str">
        <f>"55129"</f>
        <v>55129</v>
      </c>
      <c r="C21652" s="2">
        <v>7.4887903202239198E-3</v>
      </c>
      <c r="D21652" s="2">
        <v>1.4429566647530599E-3</v>
      </c>
      <c r="E21652" s="2">
        <v>3.32549650436181E-3</v>
      </c>
      <c r="F21652" s="2">
        <v>6.89563485777647E-3</v>
      </c>
    </row>
    <row r="21653" spans="1:6" x14ac:dyDescent="0.25">
      <c r="A21653" s="1" t="str">
        <f t="shared" ref="A21653:A21666" si="802">"33460"</f>
        <v>33460</v>
      </c>
      <c r="B21653" s="1" t="str">
        <f>"55345"</f>
        <v>55345</v>
      </c>
      <c r="C21653" s="2">
        <v>6.0543070708970097E-3</v>
      </c>
      <c r="D21653" s="2">
        <v>5.2365362833780701E-3</v>
      </c>
      <c r="E21653" s="2">
        <v>2.0571676050238101E-3</v>
      </c>
      <c r="F21653" s="2">
        <v>5.8484759340137098E-3</v>
      </c>
    </row>
    <row r="21654" spans="1:6" x14ac:dyDescent="0.25">
      <c r="A21654" s="1" t="str">
        <f t="shared" si="802"/>
        <v>33460</v>
      </c>
      <c r="B21654" s="1" t="str">
        <f>"55322"</f>
        <v>55322</v>
      </c>
      <c r="C21654" s="2">
        <v>8.9067560476365295E-4</v>
      </c>
      <c r="D21654" s="2">
        <v>3.10313261237218E-4</v>
      </c>
      <c r="E21654" s="2">
        <v>3.5575078883870502E-4</v>
      </c>
      <c r="F21654" s="2">
        <v>8.2878866737570896E-4</v>
      </c>
    </row>
    <row r="21655" spans="1:6" x14ac:dyDescent="0.25">
      <c r="A21655" s="1" t="str">
        <f t="shared" si="802"/>
        <v>33460</v>
      </c>
      <c r="B21655" s="1" t="str">
        <f>"55082"</f>
        <v>55082</v>
      </c>
      <c r="C21655" s="2">
        <v>1.0172252341994001E-2</v>
      </c>
      <c r="D21655" s="2">
        <v>1.14815906657771E-2</v>
      </c>
      <c r="E21655" s="2">
        <v>9.0020417001794202E-3</v>
      </c>
      <c r="F21655" s="2">
        <v>1.02249326785997E-2</v>
      </c>
    </row>
    <row r="21656" spans="1:6" x14ac:dyDescent="0.25">
      <c r="A21656" s="1" t="str">
        <f t="shared" si="802"/>
        <v>33460</v>
      </c>
      <c r="B21656" s="1" t="str">
        <f>"55112"</f>
        <v>55112</v>
      </c>
      <c r="C21656" s="2">
        <v>1.2281412832589799E-2</v>
      </c>
      <c r="D21656" s="2">
        <v>1.12876448775038E-2</v>
      </c>
      <c r="E21656" s="2">
        <v>1.0703458516364501E-2</v>
      </c>
      <c r="F21656" s="2">
        <v>1.2151229888438799E-2</v>
      </c>
    </row>
    <row r="21657" spans="1:6" x14ac:dyDescent="0.25">
      <c r="A21657" s="1" t="str">
        <f t="shared" si="802"/>
        <v>33460</v>
      </c>
      <c r="B21657" s="1" t="str">
        <f>"55113"</f>
        <v>55113</v>
      </c>
      <c r="C21657" s="2">
        <v>1.27864678295849E-2</v>
      </c>
      <c r="D21657" s="2">
        <v>1.9860048719182E-2</v>
      </c>
      <c r="E21657" s="2">
        <v>1.30235723566169E-2</v>
      </c>
      <c r="F21657" s="2">
        <v>1.3310968296712E-2</v>
      </c>
    </row>
    <row r="21658" spans="1:6" x14ac:dyDescent="0.25">
      <c r="A21658" s="1" t="str">
        <f t="shared" si="802"/>
        <v>33460</v>
      </c>
      <c r="B21658" s="1" t="str">
        <f>"55114"</f>
        <v>55114</v>
      </c>
      <c r="C21658" s="2">
        <v>1.6028349149919299E-3</v>
      </c>
      <c r="D21658" s="2">
        <v>9.6352267614156408E-3</v>
      </c>
      <c r="E21658" s="2">
        <v>3.4956381859803198E-3</v>
      </c>
      <c r="F21658" s="2">
        <v>2.2578126767893898E-3</v>
      </c>
    </row>
    <row r="21659" spans="1:6" x14ac:dyDescent="0.25">
      <c r="A21659" s="1" t="str">
        <f t="shared" si="802"/>
        <v>33460</v>
      </c>
      <c r="B21659" s="1" t="str">
        <f>"55120"</f>
        <v>55120</v>
      </c>
      <c r="C21659" s="2">
        <v>1.2921784451421299E-3</v>
      </c>
      <c r="D21659" s="2">
        <v>3.5375711781042902E-3</v>
      </c>
      <c r="E21659" s="2">
        <v>1.40753572975313E-3</v>
      </c>
      <c r="F21659" s="2">
        <v>1.4601389423185699E-3</v>
      </c>
    </row>
    <row r="21660" spans="1:6" x14ac:dyDescent="0.25">
      <c r="A21660" s="1" t="str">
        <f t="shared" si="802"/>
        <v>33460</v>
      </c>
      <c r="B21660" s="1" t="str">
        <f>"55101"</f>
        <v>55101</v>
      </c>
      <c r="C21660" s="2">
        <v>4.2183209811916204E-3</v>
      </c>
      <c r="D21660" s="2">
        <v>1.56630618609486E-2</v>
      </c>
      <c r="E21660" s="2">
        <v>3.65031244199715E-3</v>
      </c>
      <c r="F21660" s="2">
        <v>5.0321332397999501E-3</v>
      </c>
    </row>
    <row r="21661" spans="1:6" x14ac:dyDescent="0.25">
      <c r="A21661" s="1" t="str">
        <f t="shared" si="802"/>
        <v>33460</v>
      </c>
      <c r="B21661" s="1" t="str">
        <f>"55127"</f>
        <v>55127</v>
      </c>
      <c r="C21661" s="2">
        <v>5.3148303205796804E-3</v>
      </c>
      <c r="D21661" s="2">
        <v>4.5538471086561802E-3</v>
      </c>
      <c r="E21661" s="2">
        <v>1.5312751345666E-3</v>
      </c>
      <c r="F21661" s="2">
        <v>5.1209522300920997E-3</v>
      </c>
    </row>
    <row r="21662" spans="1:6" x14ac:dyDescent="0.25">
      <c r="A21662" s="1" t="str">
        <f t="shared" si="802"/>
        <v>33460</v>
      </c>
      <c r="B21662" s="1" t="str">
        <f>"54723"</f>
        <v>54723</v>
      </c>
      <c r="C21662" s="2">
        <v>4.1420862646640599E-4</v>
      </c>
      <c r="D21662" s="2">
        <v>1.55156630618609E-4</v>
      </c>
      <c r="E21662" s="2">
        <v>2.3201138402524201E-4</v>
      </c>
      <c r="F21662" s="2">
        <v>3.8865379828471799E-4</v>
      </c>
    </row>
    <row r="21663" spans="1:6" x14ac:dyDescent="0.25">
      <c r="A21663" s="1" t="str">
        <f t="shared" si="802"/>
        <v>33460</v>
      </c>
      <c r="B21663" s="1" t="str">
        <f>"54761"</f>
        <v>54761</v>
      </c>
      <c r="C21663" s="2">
        <v>3.5131498533116901E-4</v>
      </c>
      <c r="D21663" s="2">
        <v>1.39640967556748E-4</v>
      </c>
      <c r="E21663" s="2">
        <v>3.0934851203365699E-4</v>
      </c>
      <c r="F21663" s="2">
        <v>3.3434409721436398E-4</v>
      </c>
    </row>
    <row r="21664" spans="1:6" x14ac:dyDescent="0.25">
      <c r="A21664" s="1" t="str">
        <f t="shared" si="802"/>
        <v>33460</v>
      </c>
      <c r="B21664" s="1" t="str">
        <f>"55008"</f>
        <v>55008</v>
      </c>
      <c r="C21664" s="2">
        <v>4.4502015772962802E-3</v>
      </c>
      <c r="D21664" s="2">
        <v>4.9417386852027099E-3</v>
      </c>
      <c r="E21664" s="2">
        <v>2.56759264987935E-3</v>
      </c>
      <c r="F21664" s="2">
        <v>4.4171890203887603E-3</v>
      </c>
    </row>
    <row r="21665" spans="1:6" x14ac:dyDescent="0.25">
      <c r="A21665" s="1" t="str">
        <f t="shared" si="802"/>
        <v>33460</v>
      </c>
      <c r="B21665" s="1" t="str">
        <f>"55024"</f>
        <v>55024</v>
      </c>
      <c r="C21665" s="2">
        <v>8.0173510214816696E-3</v>
      </c>
      <c r="D21665" s="2">
        <v>3.2350157483980002E-3</v>
      </c>
      <c r="E21665" s="2">
        <v>1.82515622099857E-3</v>
      </c>
      <c r="F21665" s="2">
        <v>7.4421262247969001E-3</v>
      </c>
    </row>
    <row r="21666" spans="1:6" x14ac:dyDescent="0.25">
      <c r="A21666" s="1" t="str">
        <f t="shared" si="802"/>
        <v>33460</v>
      </c>
      <c r="B21666" s="1" t="str">
        <f>"55006"</f>
        <v>55006</v>
      </c>
      <c r="C21666" s="2">
        <v>7.2486509631621097E-4</v>
      </c>
      <c r="D21666" s="2">
        <v>2.0946145133512201E-4</v>
      </c>
      <c r="E21666" s="2">
        <v>3.5575078883870502E-4</v>
      </c>
      <c r="F21666" s="2">
        <v>6.7377972890407501E-4</v>
      </c>
    </row>
    <row r="21667" spans="1:6" x14ac:dyDescent="0.25">
      <c r="A21667" s="1" t="str">
        <f t="shared" ref="A21667:A21711" si="803">"33500"</f>
        <v>33500</v>
      </c>
      <c r="B21667" s="1" t="str">
        <f>"58716"</f>
        <v>58716</v>
      </c>
      <c r="C21667" s="2">
        <v>3.2508127031757899E-4</v>
      </c>
      <c r="D21667" s="2">
        <v>0</v>
      </c>
      <c r="E21667" s="2">
        <v>0</v>
      </c>
      <c r="F21667" s="2">
        <v>2.7774810383505999E-4</v>
      </c>
    </row>
    <row r="21668" spans="1:6" x14ac:dyDescent="0.25">
      <c r="A21668" s="1" t="str">
        <f t="shared" si="803"/>
        <v>33500</v>
      </c>
      <c r="B21668" s="1" t="str">
        <f>"58778"</f>
        <v>58778</v>
      </c>
      <c r="C21668" s="2">
        <v>1.5003750937734399E-4</v>
      </c>
      <c r="D21668" s="2">
        <v>3.0778701138811898E-4</v>
      </c>
      <c r="E21668" s="2">
        <v>0</v>
      </c>
      <c r="F21668" s="2">
        <v>1.49556671295801E-4</v>
      </c>
    </row>
    <row r="21669" spans="1:6" x14ac:dyDescent="0.25">
      <c r="A21669" s="1" t="str">
        <f t="shared" si="803"/>
        <v>33500</v>
      </c>
      <c r="B21669" s="1" t="str">
        <f>"58707"</f>
        <v>58707</v>
      </c>
      <c r="C21669" s="2">
        <v>0</v>
      </c>
      <c r="D21669" s="2">
        <v>3.0778701138811898E-4</v>
      </c>
      <c r="E21669" s="2">
        <v>2.8042624789680298E-4</v>
      </c>
      <c r="F21669" s="2">
        <v>4.27304775130862E-5</v>
      </c>
    </row>
    <row r="21670" spans="1:6" x14ac:dyDescent="0.25">
      <c r="A21670" s="1" t="str">
        <f t="shared" si="803"/>
        <v>33500</v>
      </c>
      <c r="B21670" s="1" t="str">
        <f>"58721"</f>
        <v>58721</v>
      </c>
      <c r="C21670" s="2">
        <v>1.25031257814453E-4</v>
      </c>
      <c r="D21670" s="2">
        <v>0</v>
      </c>
      <c r="E21670" s="2">
        <v>0</v>
      </c>
      <c r="F21670" s="2">
        <v>1.06826193782715E-4</v>
      </c>
    </row>
    <row r="21671" spans="1:6" x14ac:dyDescent="0.25">
      <c r="A21671" s="1" t="str">
        <f t="shared" si="803"/>
        <v>33500</v>
      </c>
      <c r="B21671" s="1" t="str">
        <f>"58748"</f>
        <v>58748</v>
      </c>
      <c r="C21671" s="2">
        <v>1.75043760940235E-4</v>
      </c>
      <c r="D21671" s="2">
        <v>0</v>
      </c>
      <c r="E21671" s="2">
        <v>0</v>
      </c>
      <c r="F21671" s="2">
        <v>1.49556671295801E-4</v>
      </c>
    </row>
    <row r="21672" spans="1:6" x14ac:dyDescent="0.25">
      <c r="A21672" s="1" t="str">
        <f t="shared" si="803"/>
        <v>33500</v>
      </c>
      <c r="B21672" s="1" t="str">
        <f>"58712"</f>
        <v>58712</v>
      </c>
      <c r="C21672" s="2">
        <v>2.1255313828457099E-3</v>
      </c>
      <c r="D21672" s="2">
        <v>6.1557402277623795E-4</v>
      </c>
      <c r="E21672" s="2">
        <v>2.8042624789680298E-4</v>
      </c>
      <c r="F21672" s="2">
        <v>1.8801410105757899E-3</v>
      </c>
    </row>
    <row r="21673" spans="1:6" x14ac:dyDescent="0.25">
      <c r="A21673" s="1" t="str">
        <f t="shared" si="803"/>
        <v>33500</v>
      </c>
      <c r="B21673" s="1" t="str">
        <f>"58792"</f>
        <v>58792</v>
      </c>
      <c r="C21673" s="2">
        <v>3.7759439859964901E-3</v>
      </c>
      <c r="D21673" s="2">
        <v>9.2336103416435801E-4</v>
      </c>
      <c r="E21673" s="2">
        <v>2.8042624789680298E-4</v>
      </c>
      <c r="F21673" s="2">
        <v>3.3116120072641799E-3</v>
      </c>
    </row>
    <row r="21674" spans="1:6" x14ac:dyDescent="0.25">
      <c r="A21674" s="1" t="str">
        <f t="shared" si="803"/>
        <v>33500</v>
      </c>
      <c r="B21674" s="1" t="str">
        <f>"58701"</f>
        <v>58701</v>
      </c>
      <c r="C21674" s="2">
        <v>0.430407601900475</v>
      </c>
      <c r="D21674" s="2">
        <v>0.554324407510003</v>
      </c>
      <c r="E21674" s="2">
        <v>0.326416152551878</v>
      </c>
      <c r="F21674" s="2">
        <v>0.43108642239077</v>
      </c>
    </row>
    <row r="21675" spans="1:6" x14ac:dyDescent="0.25">
      <c r="A21675" s="1" t="str">
        <f t="shared" si="803"/>
        <v>33500</v>
      </c>
      <c r="B21675" s="1" t="str">
        <f>"58785"</f>
        <v>58785</v>
      </c>
      <c r="C21675" s="2">
        <v>1.20530132533133E-2</v>
      </c>
      <c r="D21675" s="2">
        <v>2.77008310249307E-3</v>
      </c>
      <c r="E21675" s="2">
        <v>2.8042624789680298E-4</v>
      </c>
      <c r="F21675" s="2">
        <v>1.05116974682192E-2</v>
      </c>
    </row>
    <row r="21676" spans="1:6" x14ac:dyDescent="0.25">
      <c r="A21676" s="1" t="str">
        <f t="shared" si="803"/>
        <v>33500</v>
      </c>
      <c r="B21676" s="1" t="str">
        <f>"58384"</f>
        <v>58384</v>
      </c>
      <c r="C21676" s="2">
        <v>1.1752938234558599E-3</v>
      </c>
      <c r="D21676" s="2">
        <v>0</v>
      </c>
      <c r="E21676" s="2">
        <v>0</v>
      </c>
      <c r="F21676" s="2">
        <v>1.0041662215575201E-3</v>
      </c>
    </row>
    <row r="21677" spans="1:6" x14ac:dyDescent="0.25">
      <c r="A21677" s="1" t="str">
        <f t="shared" si="803"/>
        <v>33500</v>
      </c>
      <c r="B21677" s="1" t="str">
        <f>"58756"</f>
        <v>58756</v>
      </c>
      <c r="C21677" s="2">
        <v>2.2005501375343801E-3</v>
      </c>
      <c r="D21677" s="2">
        <v>0</v>
      </c>
      <c r="E21677" s="2">
        <v>2.8042624789680298E-4</v>
      </c>
      <c r="F21677" s="2">
        <v>1.90150624933233E-3</v>
      </c>
    </row>
    <row r="21678" spans="1:6" x14ac:dyDescent="0.25">
      <c r="A21678" s="1" t="str">
        <f t="shared" si="803"/>
        <v>33500</v>
      </c>
      <c r="B21678" s="1" t="str">
        <f>"58733"</f>
        <v>58733</v>
      </c>
      <c r="C21678" s="2">
        <v>3.72593148287071E-3</v>
      </c>
      <c r="D21678" s="2">
        <v>3.0778701138811898E-4</v>
      </c>
      <c r="E21678" s="2">
        <v>8.4127874369040905E-4</v>
      </c>
      <c r="F21678" s="2">
        <v>3.2688815297510902E-3</v>
      </c>
    </row>
    <row r="21679" spans="1:6" x14ac:dyDescent="0.25">
      <c r="A21679" s="1" t="str">
        <f t="shared" si="803"/>
        <v>33500</v>
      </c>
      <c r="B21679" s="1" t="str">
        <f>"58781"</f>
        <v>58781</v>
      </c>
      <c r="C21679" s="2">
        <v>1.0952738184546101E-2</v>
      </c>
      <c r="D21679" s="2">
        <v>2.4622960911049501E-3</v>
      </c>
      <c r="E21679" s="2">
        <v>1.4021312394840099E-3</v>
      </c>
      <c r="F21679" s="2">
        <v>9.6357226792009396E-3</v>
      </c>
    </row>
    <row r="21680" spans="1:6" x14ac:dyDescent="0.25">
      <c r="A21680" s="1" t="str">
        <f t="shared" si="803"/>
        <v>33500</v>
      </c>
      <c r="B21680" s="1" t="str">
        <f>"58782"</f>
        <v>58782</v>
      </c>
      <c r="C21680" s="2">
        <v>3.7759439859964901E-3</v>
      </c>
      <c r="D21680" s="2">
        <v>1.2311480455524701E-3</v>
      </c>
      <c r="E21680" s="2">
        <v>2.8042624789680298E-4</v>
      </c>
      <c r="F21680" s="2">
        <v>3.3329772460207198E-3</v>
      </c>
    </row>
    <row r="21681" spans="1:6" x14ac:dyDescent="0.25">
      <c r="A21681" s="1" t="str">
        <f t="shared" si="803"/>
        <v>33500</v>
      </c>
      <c r="B21681" s="1" t="str">
        <f>"58741"</f>
        <v>58741</v>
      </c>
      <c r="C21681" s="2">
        <v>5.5013753438359504E-3</v>
      </c>
      <c r="D21681" s="2">
        <v>9.2336103416435801E-4</v>
      </c>
      <c r="E21681" s="2">
        <v>1.4021312394840099E-3</v>
      </c>
      <c r="F21681" s="2">
        <v>4.8712744364918202E-3</v>
      </c>
    </row>
    <row r="21682" spans="1:6" x14ac:dyDescent="0.25">
      <c r="A21682" s="1" t="str">
        <f t="shared" si="803"/>
        <v>33500</v>
      </c>
      <c r="B21682" s="1" t="str">
        <f>"58758"</f>
        <v>58758</v>
      </c>
      <c r="C21682" s="2">
        <v>2.5006251562890701E-5</v>
      </c>
      <c r="D21682" s="2">
        <v>0</v>
      </c>
      <c r="E21682" s="2">
        <v>0</v>
      </c>
      <c r="F21682" s="2">
        <v>2.13652387565431E-5</v>
      </c>
    </row>
    <row r="21683" spans="1:6" x14ac:dyDescent="0.25">
      <c r="A21683" s="1" t="str">
        <f t="shared" si="803"/>
        <v>33500</v>
      </c>
      <c r="B21683" s="1" t="str">
        <f>"58718"</f>
        <v>58718</v>
      </c>
      <c r="C21683" s="2">
        <v>7.2268067016754102E-3</v>
      </c>
      <c r="D21683" s="2">
        <v>5.5401662049861401E-3</v>
      </c>
      <c r="E21683" s="2">
        <v>2.8042624789680298E-4</v>
      </c>
      <c r="F21683" s="2">
        <v>6.5804935370152697E-3</v>
      </c>
    </row>
    <row r="21684" spans="1:6" x14ac:dyDescent="0.25">
      <c r="A21684" s="1" t="str">
        <f t="shared" si="803"/>
        <v>33500</v>
      </c>
      <c r="B21684" s="1" t="str">
        <f>"58746"</f>
        <v>58746</v>
      </c>
      <c r="C21684" s="2">
        <v>1.50537634408602E-2</v>
      </c>
      <c r="D21684" s="2">
        <v>6.7713142505386199E-3</v>
      </c>
      <c r="E21684" s="2">
        <v>5.8889512058328602E-3</v>
      </c>
      <c r="F21684" s="2">
        <v>1.37805789979703E-2</v>
      </c>
    </row>
    <row r="21685" spans="1:6" x14ac:dyDescent="0.25">
      <c r="A21685" s="1" t="str">
        <f t="shared" si="803"/>
        <v>33500</v>
      </c>
      <c r="B21685" s="1" t="str">
        <f>"58704"</f>
        <v>58704</v>
      </c>
      <c r="C21685" s="2">
        <v>4.3235808952237997E-2</v>
      </c>
      <c r="D21685" s="2">
        <v>1.84672206832871E-3</v>
      </c>
      <c r="E21685" s="2">
        <v>0.43998878295008398</v>
      </c>
      <c r="F21685" s="2">
        <v>7.0590748851618396E-2</v>
      </c>
    </row>
    <row r="21686" spans="1:6" x14ac:dyDescent="0.25">
      <c r="A21686" s="1" t="str">
        <f t="shared" si="803"/>
        <v>33500</v>
      </c>
      <c r="B21686" s="1" t="str">
        <f>"58750"</f>
        <v>58750</v>
      </c>
      <c r="C21686" s="2">
        <v>1.0752688172043E-3</v>
      </c>
      <c r="D21686" s="2">
        <v>0</v>
      </c>
      <c r="E21686" s="2">
        <v>0</v>
      </c>
      <c r="F21686" s="2">
        <v>9.18705266531353E-4</v>
      </c>
    </row>
    <row r="21687" spans="1:6" x14ac:dyDescent="0.25">
      <c r="A21687" s="1" t="str">
        <f t="shared" si="803"/>
        <v>33500</v>
      </c>
      <c r="B21687" s="1" t="str">
        <f>"58725"</f>
        <v>58725</v>
      </c>
      <c r="C21687" s="2">
        <v>3.5758939734933698E-3</v>
      </c>
      <c r="D21687" s="2">
        <v>3.0778701138811898E-4</v>
      </c>
      <c r="E21687" s="2">
        <v>8.4127874369040905E-4</v>
      </c>
      <c r="F21687" s="2">
        <v>3.14069009721183E-3</v>
      </c>
    </row>
    <row r="21688" spans="1:6" x14ac:dyDescent="0.25">
      <c r="A21688" s="1" t="str">
        <f t="shared" si="803"/>
        <v>33500</v>
      </c>
      <c r="B21688" s="1" t="str">
        <f>"58713"</f>
        <v>58713</v>
      </c>
      <c r="C21688" s="2">
        <v>4.7511877969492301E-4</v>
      </c>
      <c r="D21688" s="2">
        <v>0</v>
      </c>
      <c r="E21688" s="2">
        <v>2.8042624789680298E-4</v>
      </c>
      <c r="F21688" s="2">
        <v>4.2730477513086199E-4</v>
      </c>
    </row>
    <row r="21689" spans="1:6" x14ac:dyDescent="0.25">
      <c r="A21689" s="1" t="str">
        <f t="shared" si="803"/>
        <v>33500</v>
      </c>
      <c r="B21689" s="1" t="str">
        <f>"58705"</f>
        <v>58705</v>
      </c>
      <c r="C21689" s="2">
        <v>4.65116279069767E-3</v>
      </c>
      <c r="D21689" s="2">
        <v>6.1557402277623795E-4</v>
      </c>
      <c r="E21689" s="2">
        <v>2.8042624789680298E-4</v>
      </c>
      <c r="F21689" s="2">
        <v>4.0380301249866397E-3</v>
      </c>
    </row>
    <row r="21690" spans="1:6" x14ac:dyDescent="0.25">
      <c r="A21690" s="1" t="str">
        <f t="shared" si="803"/>
        <v>33500</v>
      </c>
      <c r="B21690" s="1" t="str">
        <f>"58740"</f>
        <v>58740</v>
      </c>
      <c r="C21690" s="2">
        <v>8.1770442610652593E-3</v>
      </c>
      <c r="D21690" s="2">
        <v>1.53893505694059E-3</v>
      </c>
      <c r="E21690" s="2">
        <v>1.9629837352776202E-3</v>
      </c>
      <c r="F21690" s="2">
        <v>7.2428159384681102E-3</v>
      </c>
    </row>
    <row r="21691" spans="1:6" x14ac:dyDescent="0.25">
      <c r="A21691" s="1" t="str">
        <f t="shared" si="803"/>
        <v>33500</v>
      </c>
      <c r="B21691" s="1" t="str">
        <f>"58788"</f>
        <v>58788</v>
      </c>
      <c r="C21691" s="2">
        <v>1.30032508127031E-2</v>
      </c>
      <c r="D21691" s="2">
        <v>9.2336103416435795E-3</v>
      </c>
      <c r="E21691" s="2">
        <v>7.8519349411104809E-3</v>
      </c>
      <c r="F21691" s="2">
        <v>1.2349108001281899E-2</v>
      </c>
    </row>
    <row r="21692" spans="1:6" x14ac:dyDescent="0.25">
      <c r="A21692" s="1" t="str">
        <f t="shared" si="803"/>
        <v>33500</v>
      </c>
      <c r="B21692" s="1" t="str">
        <f>"58790"</f>
        <v>58790</v>
      </c>
      <c r="C21692" s="2">
        <v>1.6429107276819201E-2</v>
      </c>
      <c r="D21692" s="2">
        <v>2.1545090797168301E-3</v>
      </c>
      <c r="E21692" s="2">
        <v>4.76724621424565E-3</v>
      </c>
      <c r="F21692" s="2">
        <v>1.4549727593205801E-2</v>
      </c>
    </row>
    <row r="21693" spans="1:6" x14ac:dyDescent="0.25">
      <c r="A21693" s="1" t="str">
        <f t="shared" si="803"/>
        <v>33500</v>
      </c>
      <c r="B21693" s="1" t="str">
        <f>"58702"</f>
        <v>58702</v>
      </c>
      <c r="C21693" s="2">
        <v>4.5836459114778599E-2</v>
      </c>
      <c r="D21693" s="2">
        <v>0.209910741766697</v>
      </c>
      <c r="E21693" s="2">
        <v>5.6085249579360596E-4</v>
      </c>
      <c r="F21693" s="2">
        <v>5.37763059502189E-2</v>
      </c>
    </row>
    <row r="21694" spans="1:6" x14ac:dyDescent="0.25">
      <c r="A21694" s="1" t="str">
        <f t="shared" si="803"/>
        <v>33500</v>
      </c>
      <c r="B21694" s="1" t="str">
        <f>"58734"</f>
        <v>58734</v>
      </c>
      <c r="C21694" s="2">
        <v>3.3258314578644599E-3</v>
      </c>
      <c r="D21694" s="2">
        <v>9.2336103416435801E-4</v>
      </c>
      <c r="E21694" s="2">
        <v>2.8042624789680298E-4</v>
      </c>
      <c r="F21694" s="2">
        <v>2.9270377096464002E-3</v>
      </c>
    </row>
    <row r="21695" spans="1:6" x14ac:dyDescent="0.25">
      <c r="A21695" s="1" t="str">
        <f t="shared" si="803"/>
        <v>33500</v>
      </c>
      <c r="B21695" s="1" t="str">
        <f>"58731"</f>
        <v>58731</v>
      </c>
      <c r="C21695" s="2">
        <v>3.9759939984996204E-3</v>
      </c>
      <c r="D21695" s="2">
        <v>2.4622960911049501E-3</v>
      </c>
      <c r="E21695" s="2">
        <v>0</v>
      </c>
      <c r="F21695" s="2">
        <v>3.56799487234269E-3</v>
      </c>
    </row>
    <row r="21696" spans="1:6" x14ac:dyDescent="0.25">
      <c r="A21696" s="1" t="str">
        <f t="shared" si="803"/>
        <v>33500</v>
      </c>
      <c r="B21696" s="1" t="str">
        <f>"58744"</f>
        <v>58744</v>
      </c>
      <c r="C21696" s="2">
        <v>2.5256314078519601E-3</v>
      </c>
      <c r="D21696" s="2">
        <v>6.1557402277623795E-4</v>
      </c>
      <c r="E21696" s="2">
        <v>8.4127874369040905E-4</v>
      </c>
      <c r="F21696" s="2">
        <v>2.2647153081935601E-3</v>
      </c>
    </row>
    <row r="21697" spans="1:6" x14ac:dyDescent="0.25">
      <c r="A21697" s="1" t="str">
        <f t="shared" si="803"/>
        <v>33500</v>
      </c>
      <c r="B21697" s="1" t="str">
        <f>"58771"</f>
        <v>58771</v>
      </c>
      <c r="C21697" s="2">
        <v>9.0022505626406605E-4</v>
      </c>
      <c r="D21697" s="2">
        <v>3.0778701138811898E-4</v>
      </c>
      <c r="E21697" s="2">
        <v>0</v>
      </c>
      <c r="F21697" s="2">
        <v>7.9051383399209398E-4</v>
      </c>
    </row>
    <row r="21698" spans="1:6" x14ac:dyDescent="0.25">
      <c r="A21698" s="1" t="str">
        <f t="shared" si="803"/>
        <v>33500</v>
      </c>
      <c r="B21698" s="1" t="str">
        <f>"58368"</f>
        <v>58368</v>
      </c>
      <c r="C21698" s="2">
        <v>5.5013753438359501E-4</v>
      </c>
      <c r="D21698" s="2">
        <v>3.0778701138811898E-4</v>
      </c>
      <c r="E21698" s="2">
        <v>0</v>
      </c>
      <c r="F21698" s="2">
        <v>4.9140049140049095E-4</v>
      </c>
    </row>
    <row r="21699" spans="1:6" x14ac:dyDescent="0.25">
      <c r="A21699" s="1" t="str">
        <f t="shared" si="803"/>
        <v>33500</v>
      </c>
      <c r="B21699" s="1" t="str">
        <f>"58703"</f>
        <v>58703</v>
      </c>
      <c r="C21699" s="2">
        <v>0.29262315578894699</v>
      </c>
      <c r="D21699" s="2">
        <v>0.17790089258233299</v>
      </c>
      <c r="E21699" s="2">
        <v>0.191811553561413</v>
      </c>
      <c r="F21699" s="2">
        <v>0.27697895523982402</v>
      </c>
    </row>
    <row r="21700" spans="1:6" x14ac:dyDescent="0.25">
      <c r="A21700" s="1" t="str">
        <f t="shared" si="803"/>
        <v>33500</v>
      </c>
      <c r="B21700" s="1" t="str">
        <f>"58761"</f>
        <v>58761</v>
      </c>
      <c r="C21700" s="2">
        <v>8.7271817954488601E-3</v>
      </c>
      <c r="D21700" s="2">
        <v>1.84672206832871E-3</v>
      </c>
      <c r="E21700" s="2">
        <v>8.4127874369040905E-4</v>
      </c>
      <c r="F21700" s="2">
        <v>7.6487554748424303E-3</v>
      </c>
    </row>
    <row r="21701" spans="1:6" x14ac:dyDescent="0.25">
      <c r="A21701" s="1" t="str">
        <f t="shared" si="803"/>
        <v>33500</v>
      </c>
      <c r="B21701" s="1" t="str">
        <f>"58722"</f>
        <v>58722</v>
      </c>
      <c r="C21701" s="2">
        <v>2.26056514128532E-2</v>
      </c>
      <c r="D21701" s="2">
        <v>4.6168051708217897E-3</v>
      </c>
      <c r="E21701" s="2">
        <v>7.0106561974200704E-3</v>
      </c>
      <c r="F21701" s="2">
        <v>2.0168785386176599E-2</v>
      </c>
    </row>
    <row r="21702" spans="1:6" x14ac:dyDescent="0.25">
      <c r="A21702" s="1" t="str">
        <f t="shared" si="803"/>
        <v>33500</v>
      </c>
      <c r="B21702" s="1" t="str">
        <f>"58723"</f>
        <v>58723</v>
      </c>
      <c r="C21702" s="2">
        <v>7.0017504376094001E-4</v>
      </c>
      <c r="D21702" s="2">
        <v>0</v>
      </c>
      <c r="E21702" s="2">
        <v>2.8042624789680298E-4</v>
      </c>
      <c r="F21702" s="2">
        <v>6.1959192393974997E-4</v>
      </c>
    </row>
    <row r="21703" spans="1:6" x14ac:dyDescent="0.25">
      <c r="A21703" s="1" t="str">
        <f t="shared" si="803"/>
        <v>33500</v>
      </c>
      <c r="B21703" s="1" t="str">
        <f>"58789"</f>
        <v>58789</v>
      </c>
      <c r="C21703" s="2">
        <v>5.2763190797699396E-3</v>
      </c>
      <c r="D21703" s="2">
        <v>2.1545090797168301E-3</v>
      </c>
      <c r="E21703" s="2">
        <v>1.12170499158721E-3</v>
      </c>
      <c r="F21703" s="2">
        <v>4.74308300395256E-3</v>
      </c>
    </row>
    <row r="21704" spans="1:6" x14ac:dyDescent="0.25">
      <c r="A21704" s="1" t="str">
        <f t="shared" si="803"/>
        <v>33500</v>
      </c>
      <c r="B21704" s="1" t="str">
        <f>"58762"</f>
        <v>58762</v>
      </c>
      <c r="C21704" s="2">
        <v>2.25056264066016E-4</v>
      </c>
      <c r="D21704" s="2">
        <v>0</v>
      </c>
      <c r="E21704" s="2">
        <v>0</v>
      </c>
      <c r="F21704" s="2">
        <v>1.92287148808887E-4</v>
      </c>
    </row>
    <row r="21705" spans="1:6" x14ac:dyDescent="0.25">
      <c r="A21705" s="1" t="str">
        <f t="shared" si="803"/>
        <v>33500</v>
      </c>
      <c r="B21705" s="1" t="str">
        <f>"58787"</f>
        <v>58787</v>
      </c>
      <c r="C21705" s="2">
        <v>2.0755188797199199E-3</v>
      </c>
      <c r="D21705" s="2">
        <v>1.2311480455524701E-3</v>
      </c>
      <c r="E21705" s="2">
        <v>2.8042624789680298E-4</v>
      </c>
      <c r="F21705" s="2">
        <v>1.8801410105757899E-3</v>
      </c>
    </row>
    <row r="21706" spans="1:6" x14ac:dyDescent="0.25">
      <c r="A21706" s="1" t="str">
        <f t="shared" si="803"/>
        <v>33500</v>
      </c>
      <c r="B21706" s="1" t="str">
        <f>"58735"</f>
        <v>58735</v>
      </c>
      <c r="C21706" s="2">
        <v>4.1510377594398502E-3</v>
      </c>
      <c r="D21706" s="2">
        <v>3.0778701138811898E-4</v>
      </c>
      <c r="E21706" s="2">
        <v>2.8042624789680298E-4</v>
      </c>
      <c r="F21706" s="2">
        <v>3.5893601110992398E-3</v>
      </c>
    </row>
    <row r="21707" spans="1:6" x14ac:dyDescent="0.25">
      <c r="A21707" s="1" t="str">
        <f t="shared" si="803"/>
        <v>33500</v>
      </c>
      <c r="B21707" s="1" t="str">
        <f>"58710"</f>
        <v>58710</v>
      </c>
      <c r="C21707" s="2">
        <v>3.3008252063015699E-3</v>
      </c>
      <c r="D21707" s="2">
        <v>1.53893505694059E-3</v>
      </c>
      <c r="E21707" s="2">
        <v>8.4127874369040905E-4</v>
      </c>
      <c r="F21707" s="2">
        <v>2.9911334259160299E-3</v>
      </c>
    </row>
    <row r="21708" spans="1:6" x14ac:dyDescent="0.25">
      <c r="A21708" s="1" t="str">
        <f t="shared" si="803"/>
        <v>33500</v>
      </c>
      <c r="B21708" s="1" t="str">
        <f>"58779"</f>
        <v>58779</v>
      </c>
      <c r="C21708" s="2">
        <v>1.9504876219054699E-3</v>
      </c>
      <c r="D21708" s="2">
        <v>3.0778701138811898E-4</v>
      </c>
      <c r="E21708" s="2">
        <v>2.8042624789680298E-4</v>
      </c>
      <c r="F21708" s="2">
        <v>1.7092191005234399E-3</v>
      </c>
    </row>
    <row r="21709" spans="1:6" x14ac:dyDescent="0.25">
      <c r="A21709" s="1" t="str">
        <f t="shared" si="803"/>
        <v>33500</v>
      </c>
      <c r="B21709" s="1" t="str">
        <f>"58759"</f>
        <v>58759</v>
      </c>
      <c r="C21709" s="2">
        <v>3.5508877219304802E-3</v>
      </c>
      <c r="D21709" s="2">
        <v>3.0778701138811898E-4</v>
      </c>
      <c r="E21709" s="2">
        <v>0</v>
      </c>
      <c r="F21709" s="2">
        <v>3.05522914218566E-3</v>
      </c>
    </row>
    <row r="21710" spans="1:6" x14ac:dyDescent="0.25">
      <c r="A21710" s="1" t="str">
        <f t="shared" si="803"/>
        <v>33500</v>
      </c>
      <c r="B21710" s="1" t="str">
        <f>"58768"</f>
        <v>58768</v>
      </c>
      <c r="C21710" s="2">
        <v>3.1757939484871201E-3</v>
      </c>
      <c r="D21710" s="2">
        <v>1.2311480455524701E-3</v>
      </c>
      <c r="E21710" s="2">
        <v>2.8042624789680298E-4</v>
      </c>
      <c r="F21710" s="2">
        <v>2.8202115158636799E-3</v>
      </c>
    </row>
    <row r="21711" spans="1:6" x14ac:dyDescent="0.25">
      <c r="A21711" s="1" t="str">
        <f t="shared" si="803"/>
        <v>33500</v>
      </c>
      <c r="B21711" s="1" t="str">
        <f>"58736"</f>
        <v>58736</v>
      </c>
      <c r="C21711" s="2">
        <v>5.1262815703925898E-3</v>
      </c>
      <c r="D21711" s="2">
        <v>1.84672206832871E-3</v>
      </c>
      <c r="E21711" s="2">
        <v>1.4021312394840099E-3</v>
      </c>
      <c r="F21711" s="2">
        <v>4.6148915714133102E-3</v>
      </c>
    </row>
    <row r="21712" spans="1:6" x14ac:dyDescent="0.25">
      <c r="A21712" s="1" t="str">
        <f t="shared" ref="A21712:A21730" si="804">"33540"</f>
        <v>33540</v>
      </c>
      <c r="B21712" s="1" t="str">
        <f>"59847"</f>
        <v>59847</v>
      </c>
      <c r="C21712" s="2">
        <v>4.0773946865317399E-2</v>
      </c>
      <c r="D21712" s="2">
        <v>1.0208983905837099E-2</v>
      </c>
      <c r="E21712" s="2">
        <v>2.8052064631956902E-2</v>
      </c>
      <c r="F21712" s="2">
        <v>3.6537885594489297E-2</v>
      </c>
    </row>
    <row r="21713" spans="1:6" x14ac:dyDescent="0.25">
      <c r="A21713" s="1" t="str">
        <f t="shared" si="804"/>
        <v>33540</v>
      </c>
      <c r="B21713" s="1" t="str">
        <f>"59825"</f>
        <v>59825</v>
      </c>
      <c r="C21713" s="2">
        <v>1.5261388357835E-2</v>
      </c>
      <c r="D21713" s="2">
        <v>4.8042277203939399E-4</v>
      </c>
      <c r="E21713" s="2">
        <v>3.3662477558348198E-3</v>
      </c>
      <c r="F21713" s="2">
        <v>1.2864493996569399E-2</v>
      </c>
    </row>
    <row r="21714" spans="1:6" x14ac:dyDescent="0.25">
      <c r="A21714" s="1" t="str">
        <f t="shared" si="804"/>
        <v>33540</v>
      </c>
      <c r="B21714" s="1" t="str">
        <f>"59851"</f>
        <v>59851</v>
      </c>
      <c r="C21714" s="2">
        <v>1.0383017997231099E-3</v>
      </c>
      <c r="D21714" s="2">
        <v>0</v>
      </c>
      <c r="E21714" s="2">
        <v>6.7324955116696505E-4</v>
      </c>
      <c r="F21714" s="2">
        <v>8.9847259658580396E-4</v>
      </c>
    </row>
    <row r="21715" spans="1:6" x14ac:dyDescent="0.25">
      <c r="A21715" s="1" t="str">
        <f t="shared" si="804"/>
        <v>33540</v>
      </c>
      <c r="B21715" s="1" t="str">
        <f>"59812"</f>
        <v>59812</v>
      </c>
      <c r="C21715" s="2">
        <v>0</v>
      </c>
      <c r="D21715" s="2">
        <v>1.20105693009848E-4</v>
      </c>
      <c r="E21715" s="2">
        <v>4.4883303411131001E-4</v>
      </c>
      <c r="F21715" s="2">
        <v>4.0839663481172902E-5</v>
      </c>
    </row>
    <row r="21716" spans="1:6" x14ac:dyDescent="0.25">
      <c r="A21716" s="1" t="str">
        <f t="shared" si="804"/>
        <v>33540</v>
      </c>
      <c r="B21716" s="1" t="str">
        <f>"59826"</f>
        <v>59826</v>
      </c>
      <c r="C21716" s="2">
        <v>5.2739139033555196E-3</v>
      </c>
      <c r="D21716" s="2">
        <v>1.20105693009848E-3</v>
      </c>
      <c r="E21716" s="2">
        <v>6.7324955116696505E-4</v>
      </c>
      <c r="F21716" s="2">
        <v>4.5332026464101902E-3</v>
      </c>
    </row>
    <row r="21717" spans="1:6" x14ac:dyDescent="0.25">
      <c r="A21717" s="1" t="str">
        <f t="shared" si="804"/>
        <v>33540</v>
      </c>
      <c r="B21717" s="1" t="str">
        <f>"59804"</f>
        <v>59804</v>
      </c>
      <c r="C21717" s="2">
        <v>6.0188542422044897E-2</v>
      </c>
      <c r="D21717" s="2">
        <v>3.1347585875570502E-2</v>
      </c>
      <c r="E21717" s="2">
        <v>3.20915619389587E-2</v>
      </c>
      <c r="F21717" s="2">
        <v>5.5215225026545703E-2</v>
      </c>
    </row>
    <row r="21718" spans="1:6" x14ac:dyDescent="0.25">
      <c r="A21718" s="1" t="str">
        <f t="shared" si="804"/>
        <v>33540</v>
      </c>
      <c r="B21718" s="1" t="str">
        <f>"59868"</f>
        <v>59868</v>
      </c>
      <c r="C21718" s="2">
        <v>1.58052607291185E-2</v>
      </c>
      <c r="D21718" s="2">
        <v>9.3682440547681895E-3</v>
      </c>
      <c r="E21718" s="2">
        <v>1.79533213644524E-3</v>
      </c>
      <c r="F21718" s="2">
        <v>1.4225816112608499E-2</v>
      </c>
    </row>
    <row r="21719" spans="1:6" x14ac:dyDescent="0.25">
      <c r="A21719" s="1" t="str">
        <f t="shared" si="804"/>
        <v>33540</v>
      </c>
      <c r="B21719" s="1" t="str">
        <f>"59802"</f>
        <v>59802</v>
      </c>
      <c r="C21719" s="2">
        <v>0.172259212868349</v>
      </c>
      <c r="D21719" s="2">
        <v>0.16574585635359099</v>
      </c>
      <c r="E21719" s="2">
        <v>0.256059245960502</v>
      </c>
      <c r="F21719" s="2">
        <v>0.17660431811375199</v>
      </c>
    </row>
    <row r="21720" spans="1:6" x14ac:dyDescent="0.25">
      <c r="A21720" s="1" t="str">
        <f t="shared" si="804"/>
        <v>33540</v>
      </c>
      <c r="B21720" s="1" t="str">
        <f>"59808"</f>
        <v>59808</v>
      </c>
      <c r="C21720" s="2">
        <v>0.18264223086558101</v>
      </c>
      <c r="D21720" s="2">
        <v>0.202137881335575</v>
      </c>
      <c r="E21720" s="2">
        <v>0.16876122082585199</v>
      </c>
      <c r="F21720" s="2">
        <v>0.184009910425004</v>
      </c>
    </row>
    <row r="21721" spans="1:6" x14ac:dyDescent="0.25">
      <c r="A21721" s="1" t="str">
        <f t="shared" si="804"/>
        <v>33540</v>
      </c>
      <c r="B21721" s="1" t="str">
        <f>"59806"</f>
        <v>59806</v>
      </c>
      <c r="C21721" s="2">
        <v>5.0695497396004999E-2</v>
      </c>
      <c r="D21721" s="2">
        <v>0.120105693009848</v>
      </c>
      <c r="E21721" s="2">
        <v>4.4883303411131001E-4</v>
      </c>
      <c r="F21721" s="2">
        <v>5.5514715892074303E-2</v>
      </c>
    </row>
    <row r="21722" spans="1:6" x14ac:dyDescent="0.25">
      <c r="A21722" s="1" t="str">
        <f t="shared" si="804"/>
        <v>33540</v>
      </c>
      <c r="B21722" s="1" t="str">
        <f>"59834"</f>
        <v>59834</v>
      </c>
      <c r="C21722" s="2">
        <v>1.3794581053464299E-2</v>
      </c>
      <c r="D21722" s="2">
        <v>2.04179678116742E-3</v>
      </c>
      <c r="E21722" s="2">
        <v>2.6929982046678602E-3</v>
      </c>
      <c r="F21722" s="2">
        <v>1.1789049524898501E-2</v>
      </c>
    </row>
    <row r="21723" spans="1:6" x14ac:dyDescent="0.25">
      <c r="A21723" s="1" t="str">
        <f t="shared" si="804"/>
        <v>33540</v>
      </c>
      <c r="B21723" s="1" t="str">
        <f>"59807"</f>
        <v>59807</v>
      </c>
      <c r="C21723" s="2">
        <v>1.8903685147339901E-2</v>
      </c>
      <c r="D21723" s="2">
        <v>6.4977179918328104E-2</v>
      </c>
      <c r="E21723" s="2">
        <v>4.4883303411131001E-4</v>
      </c>
      <c r="F21723" s="2">
        <v>2.3006343761060699E-2</v>
      </c>
    </row>
    <row r="21724" spans="1:6" x14ac:dyDescent="0.25">
      <c r="A21724" s="1" t="str">
        <f t="shared" si="804"/>
        <v>33540</v>
      </c>
      <c r="B21724" s="1" t="str">
        <f>"59823"</f>
        <v>59823</v>
      </c>
      <c r="C21724" s="2">
        <v>1.13059529303184E-2</v>
      </c>
      <c r="D21724" s="2">
        <v>2.1619024741772702E-3</v>
      </c>
      <c r="E21724" s="2">
        <v>1.57091561938958E-3</v>
      </c>
      <c r="F21724" s="2">
        <v>9.6790002450379796E-3</v>
      </c>
    </row>
    <row r="21725" spans="1:6" x14ac:dyDescent="0.25">
      <c r="A21725" s="1" t="str">
        <f t="shared" si="804"/>
        <v>33540</v>
      </c>
      <c r="B21725" s="1" t="str">
        <f>"59803"</f>
        <v>59803</v>
      </c>
      <c r="C21725" s="2">
        <v>0.11732810336871199</v>
      </c>
      <c r="D21725" s="2">
        <v>2.0297862118664401E-2</v>
      </c>
      <c r="E21725" s="2">
        <v>8.4829443447037703E-2</v>
      </c>
      <c r="F21725" s="2">
        <v>0.104358953415557</v>
      </c>
    </row>
    <row r="21726" spans="1:6" x14ac:dyDescent="0.25">
      <c r="A21726" s="1" t="str">
        <f t="shared" si="804"/>
        <v>33540</v>
      </c>
      <c r="B21726" s="1" t="str">
        <f>"59801"</f>
        <v>59801</v>
      </c>
      <c r="C21726" s="2">
        <v>0.26659634781462099</v>
      </c>
      <c r="D21726" s="2">
        <v>0.36848426615421498</v>
      </c>
      <c r="E21726" s="2">
        <v>0.413824057450628</v>
      </c>
      <c r="F21726" s="2">
        <v>0.28707560783032399</v>
      </c>
    </row>
    <row r="21727" spans="1:6" x14ac:dyDescent="0.25">
      <c r="A21727" s="1" t="str">
        <f t="shared" si="804"/>
        <v>33540</v>
      </c>
      <c r="B21727" s="1" t="str">
        <f>"59820"</f>
        <v>59820</v>
      </c>
      <c r="C21727" s="2">
        <v>5.6694574461071904E-3</v>
      </c>
      <c r="D21727" s="2">
        <v>2.40211386019697E-4</v>
      </c>
      <c r="E21727" s="2">
        <v>0</v>
      </c>
      <c r="F21727" s="2">
        <v>4.7101745214952698E-3</v>
      </c>
    </row>
    <row r="21728" spans="1:6" x14ac:dyDescent="0.25">
      <c r="A21728" s="1" t="str">
        <f t="shared" si="804"/>
        <v>33540</v>
      </c>
      <c r="B21728" s="1" t="str">
        <f>"59846"</f>
        <v>59846</v>
      </c>
      <c r="C21728" s="2">
        <v>1.09598523304107E-2</v>
      </c>
      <c r="D21728" s="2">
        <v>3.6031707902954601E-4</v>
      </c>
      <c r="E21728" s="2">
        <v>2.9174147217235101E-3</v>
      </c>
      <c r="F21728" s="2">
        <v>9.2706036102262503E-3</v>
      </c>
    </row>
    <row r="21729" spans="1:6" x14ac:dyDescent="0.25">
      <c r="A21729" s="1" t="str">
        <f t="shared" si="804"/>
        <v>33540</v>
      </c>
      <c r="B21729" s="1" t="str">
        <f>"59833"</f>
        <v>59833</v>
      </c>
      <c r="C21729" s="2">
        <v>8.0591996835651606E-3</v>
      </c>
      <c r="D21729" s="2">
        <v>7.2063415805909202E-4</v>
      </c>
      <c r="E21729" s="2">
        <v>1.12208258527827E-3</v>
      </c>
      <c r="F21729" s="2">
        <v>6.8066105801954796E-3</v>
      </c>
    </row>
    <row r="21730" spans="1:6" x14ac:dyDescent="0.25">
      <c r="A21730" s="1" t="str">
        <f t="shared" si="804"/>
        <v>33540</v>
      </c>
      <c r="B21730" s="1" t="str">
        <f>"59821"</f>
        <v>59821</v>
      </c>
      <c r="C21730" s="2">
        <v>3.4445250181290698E-3</v>
      </c>
      <c r="D21730" s="2">
        <v>0</v>
      </c>
      <c r="E21730" s="2">
        <v>2.2441651705565501E-4</v>
      </c>
      <c r="F21730" s="2">
        <v>2.8587764436821001E-3</v>
      </c>
    </row>
    <row r="21731" spans="1:6" x14ac:dyDescent="0.25">
      <c r="A21731" s="1" t="str">
        <f t="shared" ref="A21731:A21744" si="805">"33580"</f>
        <v>33580</v>
      </c>
      <c r="B21731" s="1" t="str">
        <f>"57332"</f>
        <v>57332</v>
      </c>
      <c r="C21731" s="2">
        <v>2.3104629710972501E-2</v>
      </c>
      <c r="D21731" s="2">
        <v>8.5898353614889001E-3</v>
      </c>
      <c r="E21731" s="2">
        <v>1.80032733224222E-2</v>
      </c>
      <c r="F21731" s="2">
        <v>2.1357628257785002E-2</v>
      </c>
    </row>
    <row r="21732" spans="1:6" x14ac:dyDescent="0.25">
      <c r="A21732" s="1" t="str">
        <f t="shared" si="805"/>
        <v>33580</v>
      </c>
      <c r="B21732" s="1" t="str">
        <f>"57366"</f>
        <v>57366</v>
      </c>
      <c r="C21732" s="2">
        <v>1.7570060616709101E-4</v>
      </c>
      <c r="D21732" s="2">
        <v>7.1581961345740805E-4</v>
      </c>
      <c r="E21732" s="2">
        <v>0</v>
      </c>
      <c r="F21732" s="2">
        <v>2.2403106564110201E-4</v>
      </c>
    </row>
    <row r="21733" spans="1:6" x14ac:dyDescent="0.25">
      <c r="A21733" s="1" t="str">
        <f t="shared" si="805"/>
        <v>33580</v>
      </c>
      <c r="B21733" s="1" t="str">
        <f>"57359"</f>
        <v>57359</v>
      </c>
      <c r="C21733" s="2">
        <v>2.7233593955899101E-3</v>
      </c>
      <c r="D21733" s="2">
        <v>7.1581961345740805E-4</v>
      </c>
      <c r="E21733" s="2">
        <v>0</v>
      </c>
      <c r="F21733" s="2">
        <v>2.3896647001717501E-3</v>
      </c>
    </row>
    <row r="21734" spans="1:6" x14ac:dyDescent="0.25">
      <c r="A21734" s="1" t="str">
        <f t="shared" si="805"/>
        <v>33580</v>
      </c>
      <c r="B21734" s="1" t="str">
        <f>"57311"</f>
        <v>57311</v>
      </c>
      <c r="C21734" s="2">
        <v>4.7790564877448802E-2</v>
      </c>
      <c r="D21734" s="2">
        <v>5.7265569076592601E-3</v>
      </c>
      <c r="E21734" s="2">
        <v>1.6366612111292901E-2</v>
      </c>
      <c r="F21734" s="2">
        <v>4.1968486296766402E-2</v>
      </c>
    </row>
    <row r="21735" spans="1:6" x14ac:dyDescent="0.25">
      <c r="A21735" s="1" t="str">
        <f t="shared" si="805"/>
        <v>33580</v>
      </c>
      <c r="B21735" s="1" t="str">
        <f>"57363"</f>
        <v>57363</v>
      </c>
      <c r="C21735" s="2">
        <v>3.1977510322410599E-2</v>
      </c>
      <c r="D21735" s="2">
        <v>2.1474588403722198E-3</v>
      </c>
      <c r="E21735" s="2">
        <v>1.80032733224222E-2</v>
      </c>
      <c r="F21735" s="2">
        <v>2.8227914270778798E-2</v>
      </c>
    </row>
    <row r="21736" spans="1:6" x14ac:dyDescent="0.25">
      <c r="A21736" s="1" t="str">
        <f t="shared" si="805"/>
        <v>33580</v>
      </c>
      <c r="B21736" s="1" t="str">
        <f>"57301"</f>
        <v>57301</v>
      </c>
      <c r="C21736" s="2">
        <v>0.84995168233330398</v>
      </c>
      <c r="D21736" s="2">
        <v>0.97279885468861804</v>
      </c>
      <c r="E21736" s="2">
        <v>0.92635024549918099</v>
      </c>
      <c r="F21736" s="2">
        <v>0.86625345381226104</v>
      </c>
    </row>
    <row r="21737" spans="1:6" x14ac:dyDescent="0.25">
      <c r="A21737" s="1" t="str">
        <f t="shared" si="805"/>
        <v>33580</v>
      </c>
      <c r="B21737" s="1" t="str">
        <f>"57321"</f>
        <v>57321</v>
      </c>
      <c r="C21737" s="2">
        <v>1.9327066678379999E-3</v>
      </c>
      <c r="D21737" s="2">
        <v>0</v>
      </c>
      <c r="E21737" s="2">
        <v>0</v>
      </c>
      <c r="F21737" s="2">
        <v>1.6428944813680799E-3</v>
      </c>
    </row>
    <row r="21738" spans="1:6" x14ac:dyDescent="0.25">
      <c r="A21738" s="1" t="str">
        <f t="shared" si="805"/>
        <v>33580</v>
      </c>
      <c r="B21738" s="1" t="str">
        <f>"57334"</f>
        <v>57334</v>
      </c>
      <c r="C21738" s="2">
        <v>2.8287797592901599E-2</v>
      </c>
      <c r="D21738" s="2">
        <v>8.5898353614889001E-3</v>
      </c>
      <c r="E21738" s="2">
        <v>1.9639934533551499E-2</v>
      </c>
      <c r="F21738" s="2">
        <v>2.58382495706071E-2</v>
      </c>
    </row>
    <row r="21739" spans="1:6" x14ac:dyDescent="0.25">
      <c r="A21739" s="1" t="str">
        <f t="shared" si="805"/>
        <v>33580</v>
      </c>
      <c r="B21739" s="1" t="str">
        <f>"57374"</f>
        <v>57374</v>
      </c>
      <c r="C21739" s="2">
        <v>2.8990600017570001E-3</v>
      </c>
      <c r="D21739" s="2">
        <v>0</v>
      </c>
      <c r="E21739" s="2">
        <v>0</v>
      </c>
      <c r="F21739" s="2">
        <v>2.46434172205212E-3</v>
      </c>
    </row>
    <row r="21740" spans="1:6" x14ac:dyDescent="0.25">
      <c r="A21740" s="1" t="str">
        <f t="shared" si="805"/>
        <v>33580</v>
      </c>
      <c r="B21740" s="1" t="str">
        <f>"57331"</f>
        <v>57331</v>
      </c>
      <c r="C21740" s="2">
        <v>2.28410788017218E-3</v>
      </c>
      <c r="D21740" s="2">
        <v>0</v>
      </c>
      <c r="E21740" s="2">
        <v>0</v>
      </c>
      <c r="F21740" s="2">
        <v>1.94160256888955E-3</v>
      </c>
    </row>
    <row r="21741" spans="1:6" x14ac:dyDescent="0.25">
      <c r="A21741" s="1" t="str">
        <f t="shared" si="805"/>
        <v>33580</v>
      </c>
      <c r="B21741" s="1" t="str">
        <f>"57375"</f>
        <v>57375</v>
      </c>
      <c r="C21741" s="2">
        <v>1.7570060616709101E-4</v>
      </c>
      <c r="D21741" s="2">
        <v>0</v>
      </c>
      <c r="E21741" s="2">
        <v>0</v>
      </c>
      <c r="F21741" s="2">
        <v>1.49354043760734E-4</v>
      </c>
    </row>
    <row r="21742" spans="1:6" x14ac:dyDescent="0.25">
      <c r="A21742" s="1" t="str">
        <f t="shared" si="805"/>
        <v>33580</v>
      </c>
      <c r="B21742" s="1" t="str">
        <f>"57340"</f>
        <v>57340</v>
      </c>
      <c r="C21742" s="2">
        <v>8.5214793991039203E-3</v>
      </c>
      <c r="D21742" s="2">
        <v>7.1581961345740805E-4</v>
      </c>
      <c r="E21742" s="2">
        <v>1.63666121112929E-3</v>
      </c>
      <c r="F21742" s="2">
        <v>7.39302516615637E-3</v>
      </c>
    </row>
    <row r="21743" spans="1:6" x14ac:dyDescent="0.25">
      <c r="A21743" s="1" t="str">
        <f t="shared" si="805"/>
        <v>33580</v>
      </c>
      <c r="B21743" s="1" t="str">
        <f>"57319"</f>
        <v>57319</v>
      </c>
      <c r="C21743" s="2">
        <v>8.78503030835456E-5</v>
      </c>
      <c r="D21743" s="2">
        <v>0</v>
      </c>
      <c r="E21743" s="2">
        <v>0</v>
      </c>
      <c r="F21743" s="2">
        <v>7.4677021880367394E-5</v>
      </c>
    </row>
    <row r="21744" spans="1:6" x14ac:dyDescent="0.25">
      <c r="A21744" s="1" t="str">
        <f t="shared" si="805"/>
        <v>33580</v>
      </c>
      <c r="B21744" s="1" t="str">
        <f>"57328"</f>
        <v>57328</v>
      </c>
      <c r="C21744" s="2">
        <v>8.78503030835456E-5</v>
      </c>
      <c r="D21744" s="2">
        <v>0</v>
      </c>
      <c r="E21744" s="2">
        <v>0</v>
      </c>
      <c r="F21744" s="2">
        <v>7.4677021880367394E-5</v>
      </c>
    </row>
    <row r="21745" spans="1:6" x14ac:dyDescent="0.25">
      <c r="A21745" s="1" t="str">
        <f t="shared" ref="A21745:A21757" si="806">"33620"</f>
        <v>33620</v>
      </c>
      <c r="B21745" s="1" t="str">
        <f>"65239"</f>
        <v>65239</v>
      </c>
      <c r="C21745" s="2">
        <v>5.6658395368072698E-2</v>
      </c>
      <c r="D21745" s="2">
        <v>2.09790209790209E-2</v>
      </c>
      <c r="E21745" s="2">
        <v>5.2083333333333301E-2</v>
      </c>
      <c r="F21745" s="2">
        <v>5.3532089881039802E-2</v>
      </c>
    </row>
    <row r="21746" spans="1:6" x14ac:dyDescent="0.25">
      <c r="A21746" s="1" t="str">
        <f t="shared" si="806"/>
        <v>33620</v>
      </c>
      <c r="B21746" s="1" t="str">
        <f>"65244"</f>
        <v>65244</v>
      </c>
      <c r="C21746" s="2">
        <v>2.4400330851943701E-2</v>
      </c>
      <c r="D21746" s="2">
        <v>4.0209790209790201E-2</v>
      </c>
      <c r="E21746" s="2">
        <v>5.2083333333333296E-3</v>
      </c>
      <c r="F21746" s="2">
        <v>2.51872521662505E-2</v>
      </c>
    </row>
    <row r="21747" spans="1:6" x14ac:dyDescent="0.25">
      <c r="A21747" s="1" t="str">
        <f t="shared" si="806"/>
        <v>33620</v>
      </c>
      <c r="B21747" s="1" t="str">
        <f>"65270"</f>
        <v>65270</v>
      </c>
      <c r="C21747" s="2">
        <v>0.67692307692307596</v>
      </c>
      <c r="D21747" s="2">
        <v>0.82779720279720204</v>
      </c>
      <c r="E21747" s="2">
        <v>0.80989583333333304</v>
      </c>
      <c r="F21747" s="2">
        <v>0.69334704068145103</v>
      </c>
    </row>
    <row r="21748" spans="1:6" x14ac:dyDescent="0.25">
      <c r="A21748" s="1" t="str">
        <f t="shared" si="806"/>
        <v>33620</v>
      </c>
      <c r="B21748" s="1" t="str">
        <f>"65259"</f>
        <v>65259</v>
      </c>
      <c r="C21748" s="2">
        <v>0.115384615384615</v>
      </c>
      <c r="D21748" s="2">
        <v>8.9160839160839098E-2</v>
      </c>
      <c r="E21748" s="2">
        <v>0.1015625</v>
      </c>
      <c r="F21748" s="2">
        <v>0.112791893082684</v>
      </c>
    </row>
    <row r="21749" spans="1:6" x14ac:dyDescent="0.25">
      <c r="A21749" s="1" t="str">
        <f t="shared" si="806"/>
        <v>33620</v>
      </c>
      <c r="B21749" s="1" t="str">
        <f>"65281"</f>
        <v>65281</v>
      </c>
      <c r="C21749" s="2">
        <v>2.4813895781637701E-4</v>
      </c>
      <c r="D21749" s="2">
        <v>0</v>
      </c>
      <c r="E21749" s="2">
        <v>0</v>
      </c>
      <c r="F21749" s="2">
        <v>2.2029666617711801E-4</v>
      </c>
    </row>
    <row r="21750" spans="1:6" x14ac:dyDescent="0.25">
      <c r="A21750" s="1" t="str">
        <f t="shared" si="806"/>
        <v>33620</v>
      </c>
      <c r="B21750" s="1" t="str">
        <f>"65247"</f>
        <v>65247</v>
      </c>
      <c r="C21750" s="2">
        <v>2.4813895781637701E-4</v>
      </c>
      <c r="D21750" s="2">
        <v>0</v>
      </c>
      <c r="E21750" s="2">
        <v>0</v>
      </c>
      <c r="F21750" s="2">
        <v>2.2029666617711801E-4</v>
      </c>
    </row>
    <row r="21751" spans="1:6" x14ac:dyDescent="0.25">
      <c r="A21751" s="1" t="str">
        <f t="shared" si="806"/>
        <v>33620</v>
      </c>
      <c r="B21751" s="1" t="str">
        <f>"65257"</f>
        <v>65257</v>
      </c>
      <c r="C21751" s="2">
        <v>5.5004135649296897E-2</v>
      </c>
      <c r="D21751" s="2">
        <v>1.5734265734265701E-2</v>
      </c>
      <c r="E21751" s="2">
        <v>1.8229166666666598E-2</v>
      </c>
      <c r="F21751" s="2">
        <v>5.0668233220737199E-2</v>
      </c>
    </row>
    <row r="21752" spans="1:6" x14ac:dyDescent="0.25">
      <c r="A21752" s="1" t="str">
        <f t="shared" si="806"/>
        <v>33620</v>
      </c>
      <c r="B21752" s="1" t="str">
        <f>"65260"</f>
        <v>65260</v>
      </c>
      <c r="C21752" s="2">
        <v>1.90239867659222E-2</v>
      </c>
      <c r="D21752" s="2">
        <v>4.3706293706293701E-3</v>
      </c>
      <c r="E21752" s="2">
        <v>2.60416666666666E-3</v>
      </c>
      <c r="F21752" s="2">
        <v>1.73300044059333E-2</v>
      </c>
    </row>
    <row r="21753" spans="1:6" x14ac:dyDescent="0.25">
      <c r="A21753" s="1" t="str">
        <f t="shared" si="806"/>
        <v>33620</v>
      </c>
      <c r="B21753" s="1" t="str">
        <f>"65278"</f>
        <v>65278</v>
      </c>
      <c r="C21753" s="2">
        <v>1.6542597187758399E-4</v>
      </c>
      <c r="D21753" s="2">
        <v>0</v>
      </c>
      <c r="E21753" s="2">
        <v>2.60416666666666E-3</v>
      </c>
      <c r="F21753" s="2">
        <v>2.2029666617711801E-4</v>
      </c>
    </row>
    <row r="21754" spans="1:6" x14ac:dyDescent="0.25">
      <c r="A21754" s="1" t="str">
        <f t="shared" si="806"/>
        <v>33620</v>
      </c>
      <c r="B21754" s="1" t="str">
        <f>"63534"</f>
        <v>63534</v>
      </c>
      <c r="C21754" s="2">
        <v>4.1356492969396098E-4</v>
      </c>
      <c r="D21754" s="2">
        <v>0</v>
      </c>
      <c r="E21754" s="2">
        <v>0</v>
      </c>
      <c r="F21754" s="2">
        <v>3.6716111029519698E-4</v>
      </c>
    </row>
    <row r="21755" spans="1:6" x14ac:dyDescent="0.25">
      <c r="A21755" s="1" t="str">
        <f t="shared" si="806"/>
        <v>33620</v>
      </c>
      <c r="B21755" s="1" t="str">
        <f>"65263"</f>
        <v>65263</v>
      </c>
      <c r="C21755" s="2">
        <v>2.64681555004135E-3</v>
      </c>
      <c r="D21755" s="2">
        <v>0</v>
      </c>
      <c r="E21755" s="2">
        <v>0</v>
      </c>
      <c r="F21755" s="2">
        <v>2.3498311058892602E-3</v>
      </c>
    </row>
    <row r="21756" spans="1:6" x14ac:dyDescent="0.25">
      <c r="A21756" s="1" t="str">
        <f t="shared" si="806"/>
        <v>33620</v>
      </c>
      <c r="B21756" s="1" t="str">
        <f>"65243"</f>
        <v>65243</v>
      </c>
      <c r="C21756" s="2">
        <v>4.57402812241521E-2</v>
      </c>
      <c r="D21756" s="2">
        <v>8.7412587412587402E-4</v>
      </c>
      <c r="E21756" s="2">
        <v>7.8125E-3</v>
      </c>
      <c r="F21756" s="2">
        <v>4.0901747686885002E-2</v>
      </c>
    </row>
    <row r="21757" spans="1:6" x14ac:dyDescent="0.25">
      <c r="A21757" s="1" t="str">
        <f t="shared" si="806"/>
        <v>33620</v>
      </c>
      <c r="B21757" s="1" t="str">
        <f>"65230"</f>
        <v>65230</v>
      </c>
      <c r="C21757" s="2">
        <v>3.14309346567411E-3</v>
      </c>
      <c r="D21757" s="2">
        <v>8.7412587412587402E-4</v>
      </c>
      <c r="E21757" s="2">
        <v>0</v>
      </c>
      <c r="F21757" s="2">
        <v>2.8638566603025402E-3</v>
      </c>
    </row>
    <row r="21758" spans="1:6" x14ac:dyDescent="0.25">
      <c r="A21758" s="1" t="str">
        <f t="shared" ref="A21758:A21789" si="807">"33660"</f>
        <v>33660</v>
      </c>
      <c r="B21758" s="1" t="str">
        <f>"36688"</f>
        <v>36688</v>
      </c>
      <c r="C21758" s="2">
        <v>1.6817582339768199E-3</v>
      </c>
      <c r="D21758" s="2">
        <v>4.5452479432752997E-5</v>
      </c>
      <c r="E21758" s="2">
        <v>3.3545790003354498E-4</v>
      </c>
      <c r="F21758" s="2">
        <v>1.5083669072964701E-3</v>
      </c>
    </row>
    <row r="21759" spans="1:6" x14ac:dyDescent="0.25">
      <c r="A21759" s="1" t="str">
        <f t="shared" si="807"/>
        <v>33660</v>
      </c>
      <c r="B21759" s="1" t="str">
        <f>"36606"</f>
        <v>36606</v>
      </c>
      <c r="C21759" s="2">
        <v>4.1340272798888203E-2</v>
      </c>
      <c r="D21759" s="2">
        <v>9.6086541520839897E-2</v>
      </c>
      <c r="E21759" s="2">
        <v>7.7993961757799296E-2</v>
      </c>
      <c r="F21759" s="2">
        <v>4.6944473981655403E-2</v>
      </c>
    </row>
    <row r="21760" spans="1:6" x14ac:dyDescent="0.25">
      <c r="A21760" s="1" t="str">
        <f t="shared" si="807"/>
        <v>33660</v>
      </c>
      <c r="B21760" s="1" t="str">
        <f>"36603"</f>
        <v>36603</v>
      </c>
      <c r="C21760" s="2">
        <v>1.9995220266071801E-2</v>
      </c>
      <c r="D21760" s="2">
        <v>2.34534793873005E-2</v>
      </c>
      <c r="E21760" s="2">
        <v>2.6836632002683599E-2</v>
      </c>
      <c r="F21760" s="2">
        <v>2.04555031762347E-2</v>
      </c>
    </row>
    <row r="21761" spans="1:6" x14ac:dyDescent="0.25">
      <c r="A21761" s="1" t="str">
        <f t="shared" si="807"/>
        <v>33660</v>
      </c>
      <c r="B21761" s="1" t="str">
        <f>"36521"</f>
        <v>36521</v>
      </c>
      <c r="C21761" s="2">
        <v>1.0772104056577801E-2</v>
      </c>
      <c r="D21761" s="2">
        <v>1.81809917731012E-3</v>
      </c>
      <c r="E21761" s="2">
        <v>9.8960080509895992E-3</v>
      </c>
      <c r="F21761" s="2">
        <v>9.9757007211017708E-3</v>
      </c>
    </row>
    <row r="21762" spans="1:6" x14ac:dyDescent="0.25">
      <c r="A21762" s="1" t="str">
        <f t="shared" si="807"/>
        <v>33660</v>
      </c>
      <c r="B21762" s="1" t="str">
        <f>"36512"</f>
        <v>36512</v>
      </c>
      <c r="C21762" s="2">
        <v>0</v>
      </c>
      <c r="D21762" s="2">
        <v>9.0904958865506102E-5</v>
      </c>
      <c r="E21762" s="2">
        <v>0</v>
      </c>
      <c r="F21762" s="2">
        <v>7.8765895942374804E-6</v>
      </c>
    </row>
    <row r="21763" spans="1:6" x14ac:dyDescent="0.25">
      <c r="A21763" s="1" t="str">
        <f t="shared" si="807"/>
        <v>33660</v>
      </c>
      <c r="B21763" s="1" t="str">
        <f>"36675"</f>
        <v>36675</v>
      </c>
      <c r="C21763" s="2">
        <v>0</v>
      </c>
      <c r="D21763" s="2">
        <v>4.5452479432752997E-5</v>
      </c>
      <c r="E21763" s="2">
        <v>0</v>
      </c>
      <c r="F21763" s="2">
        <v>3.9382947971187402E-6</v>
      </c>
    </row>
    <row r="21764" spans="1:6" x14ac:dyDescent="0.25">
      <c r="A21764" s="1" t="str">
        <f t="shared" si="807"/>
        <v>33660</v>
      </c>
      <c r="B21764" s="1" t="str">
        <f>"36644"</f>
        <v>36644</v>
      </c>
      <c r="C21764" s="2">
        <v>0</v>
      </c>
      <c r="D21764" s="2">
        <v>4.5452479432752997E-5</v>
      </c>
      <c r="E21764" s="2">
        <v>0</v>
      </c>
      <c r="F21764" s="2">
        <v>3.9382947971187402E-6</v>
      </c>
    </row>
    <row r="21765" spans="1:6" x14ac:dyDescent="0.25">
      <c r="A21765" s="1" t="str">
        <f t="shared" si="807"/>
        <v>33660</v>
      </c>
      <c r="B21765" s="1" t="str">
        <f>"36548"</f>
        <v>36548</v>
      </c>
      <c r="C21765" s="2">
        <v>2.1331775494127102E-3</v>
      </c>
      <c r="D21765" s="2">
        <v>1.09085950638607E-3</v>
      </c>
      <c r="E21765" s="2">
        <v>3.3545790003354498E-4</v>
      </c>
      <c r="F21765" s="2">
        <v>2.0006537569363199E-3</v>
      </c>
    </row>
    <row r="21766" spans="1:6" x14ac:dyDescent="0.25">
      <c r="A21766" s="1" t="str">
        <f t="shared" si="807"/>
        <v>33660</v>
      </c>
      <c r="B21766" s="1" t="str">
        <f>"36608"</f>
        <v>36608</v>
      </c>
      <c r="C21766" s="2">
        <v>8.2025545022438098E-2</v>
      </c>
      <c r="D21766" s="2">
        <v>9.4586609699559093E-2</v>
      </c>
      <c r="E21766" s="2">
        <v>0.113217041261321</v>
      </c>
      <c r="F21766" s="2">
        <v>8.3846296230657993E-2</v>
      </c>
    </row>
    <row r="21767" spans="1:6" x14ac:dyDescent="0.25">
      <c r="A21767" s="1" t="str">
        <f t="shared" si="807"/>
        <v>33660</v>
      </c>
      <c r="B21767" s="1" t="str">
        <f>"36569"</f>
        <v>36569</v>
      </c>
      <c r="C21767" s="2">
        <v>1.63750143834585E-3</v>
      </c>
      <c r="D21767" s="2">
        <v>2.27262397163765E-4</v>
      </c>
      <c r="E21767" s="2">
        <v>0</v>
      </c>
      <c r="F21767" s="2">
        <v>1.4768605489195201E-3</v>
      </c>
    </row>
    <row r="21768" spans="1:6" x14ac:dyDescent="0.25">
      <c r="A21768" s="1" t="str">
        <f t="shared" si="807"/>
        <v>33660</v>
      </c>
      <c r="B21768" s="1" t="str">
        <f>"36513"</f>
        <v>36513</v>
      </c>
      <c r="C21768" s="2">
        <v>3.9831116067872197E-5</v>
      </c>
      <c r="D21768" s="2">
        <v>4.5452479432752997E-5</v>
      </c>
      <c r="E21768" s="2">
        <v>0</v>
      </c>
      <c r="F21768" s="2">
        <v>3.9382947971187398E-5</v>
      </c>
    </row>
    <row r="21769" spans="1:6" x14ac:dyDescent="0.25">
      <c r="A21769" s="1" t="str">
        <f t="shared" si="807"/>
        <v>33660</v>
      </c>
      <c r="B21769" s="1" t="str">
        <f>"36670"</f>
        <v>36670</v>
      </c>
      <c r="C21769" s="2">
        <v>2.5093603122759399E-3</v>
      </c>
      <c r="D21769" s="2">
        <v>6.1815372028544103E-3</v>
      </c>
      <c r="E21769" s="2">
        <v>3.3545790003354498E-4</v>
      </c>
      <c r="F21769" s="2">
        <v>2.7764978319687098E-3</v>
      </c>
    </row>
    <row r="21770" spans="1:6" x14ac:dyDescent="0.25">
      <c r="A21770" s="1" t="str">
        <f t="shared" si="807"/>
        <v>33660</v>
      </c>
      <c r="B21770" s="1" t="str">
        <f>"36523"</f>
        <v>36523</v>
      </c>
      <c r="C21770" s="2">
        <v>6.6827761402763301E-3</v>
      </c>
      <c r="D21770" s="2">
        <v>3.6361983546202401E-3</v>
      </c>
      <c r="E21770" s="2">
        <v>3.18685005031868E-3</v>
      </c>
      <c r="F21770" s="2">
        <v>6.3367163285640501E-3</v>
      </c>
    </row>
    <row r="21771" spans="1:6" x14ac:dyDescent="0.25">
      <c r="A21771" s="1" t="str">
        <f t="shared" si="807"/>
        <v>33660</v>
      </c>
      <c r="B21771" s="1" t="str">
        <f>"36587"</f>
        <v>36587</v>
      </c>
      <c r="C21771" s="2">
        <v>2.2137249174610699E-2</v>
      </c>
      <c r="D21771" s="2">
        <v>4.1816281078132797E-3</v>
      </c>
      <c r="E21771" s="2">
        <v>1.3250587051324999E-2</v>
      </c>
      <c r="F21771" s="2">
        <v>2.03727989854952E-2</v>
      </c>
    </row>
    <row r="21772" spans="1:6" x14ac:dyDescent="0.25">
      <c r="A21772" s="1" t="str">
        <f t="shared" si="807"/>
        <v>33660</v>
      </c>
      <c r="B21772" s="1" t="str">
        <f>"36582"</f>
        <v>36582</v>
      </c>
      <c r="C21772" s="2">
        <v>5.3953459553714403E-2</v>
      </c>
      <c r="D21772" s="2">
        <v>4.3634380255442903E-2</v>
      </c>
      <c r="E21772" s="2">
        <v>6.9439785306943905E-2</v>
      </c>
      <c r="F21772" s="2">
        <v>5.3422968922915703E-2</v>
      </c>
    </row>
    <row r="21773" spans="1:6" x14ac:dyDescent="0.25">
      <c r="A21773" s="1" t="str">
        <f t="shared" si="807"/>
        <v>33660</v>
      </c>
      <c r="B21773" s="1" t="str">
        <f>"36609"</f>
        <v>36609</v>
      </c>
      <c r="C21773" s="2">
        <v>5.4719102118130199E-2</v>
      </c>
      <c r="D21773" s="2">
        <v>6.9042316258351805E-2</v>
      </c>
      <c r="E21773" s="2">
        <v>9.7115062059711502E-2</v>
      </c>
      <c r="F21773" s="2">
        <v>5.69556193559312E-2</v>
      </c>
    </row>
    <row r="21774" spans="1:6" x14ac:dyDescent="0.25">
      <c r="A21774" s="1" t="str">
        <f t="shared" si="807"/>
        <v>33660</v>
      </c>
      <c r="B21774" s="1" t="str">
        <f>"36560"</f>
        <v>36560</v>
      </c>
      <c r="C21774" s="2">
        <v>5.4347345034830002E-3</v>
      </c>
      <c r="D21774" s="2">
        <v>2.6816962865324301E-3</v>
      </c>
      <c r="E21774" s="2">
        <v>1.0399194901039899E-2</v>
      </c>
      <c r="F21774" s="2">
        <v>5.3127596813131797E-3</v>
      </c>
    </row>
    <row r="21775" spans="1:6" x14ac:dyDescent="0.25">
      <c r="A21775" s="1" t="str">
        <f t="shared" si="807"/>
        <v>33660</v>
      </c>
      <c r="B21775" s="1" t="str">
        <f>"36617"</f>
        <v>36617</v>
      </c>
      <c r="C21775" s="2">
        <v>2.9811377537020799E-2</v>
      </c>
      <c r="D21775" s="2">
        <v>1.7135584746147899E-2</v>
      </c>
      <c r="E21775" s="2">
        <v>5.2499161355249901E-2</v>
      </c>
      <c r="F21775" s="2">
        <v>2.9245777163403701E-2</v>
      </c>
    </row>
    <row r="21776" spans="1:6" x14ac:dyDescent="0.25">
      <c r="A21776" s="1" t="str">
        <f t="shared" si="807"/>
        <v>33660</v>
      </c>
      <c r="B21776" s="1" t="str">
        <f>"36615"</f>
        <v>36615</v>
      </c>
      <c r="C21776" s="2">
        <v>7.3023712791098997E-4</v>
      </c>
      <c r="D21776" s="2">
        <v>6.5906095177491898E-3</v>
      </c>
      <c r="E21776" s="2">
        <v>3.0191211003019101E-3</v>
      </c>
      <c r="F21776" s="2">
        <v>1.29176069345494E-3</v>
      </c>
    </row>
    <row r="21777" spans="1:6" x14ac:dyDescent="0.25">
      <c r="A21777" s="1" t="str">
        <f t="shared" si="807"/>
        <v>33660</v>
      </c>
      <c r="B21777" s="1" t="str">
        <f>"36539"</f>
        <v>36539</v>
      </c>
      <c r="C21777" s="2">
        <v>1.6817582339768199E-3</v>
      </c>
      <c r="D21777" s="2">
        <v>8.1814462978955496E-4</v>
      </c>
      <c r="E21777" s="2">
        <v>3.3545790003354498E-4</v>
      </c>
      <c r="F21777" s="2">
        <v>1.57531791884749E-3</v>
      </c>
    </row>
    <row r="21778" spans="1:6" x14ac:dyDescent="0.25">
      <c r="A21778" s="1" t="str">
        <f t="shared" si="807"/>
        <v>33660</v>
      </c>
      <c r="B21778" s="1" t="str">
        <f>"36616"</f>
        <v>36616</v>
      </c>
      <c r="C21778" s="2">
        <v>4.9567611106685399E-3</v>
      </c>
      <c r="D21778" s="2">
        <v>1.8317349211399402E-2</v>
      </c>
      <c r="E21778" s="2">
        <v>3.3545790003354498E-4</v>
      </c>
      <c r="F21778" s="2">
        <v>6.0058995656060796E-3</v>
      </c>
    </row>
    <row r="21779" spans="1:6" x14ac:dyDescent="0.25">
      <c r="A21779" s="1" t="str">
        <f t="shared" si="807"/>
        <v>33660</v>
      </c>
      <c r="B21779" s="1" t="str">
        <f>"36663"</f>
        <v>36663</v>
      </c>
      <c r="C21779" s="2">
        <v>2.6332793400426599E-3</v>
      </c>
      <c r="D21779" s="2">
        <v>2.6816962865324301E-3</v>
      </c>
      <c r="E21779" s="2">
        <v>3.3545790003354498E-4</v>
      </c>
      <c r="F21779" s="2">
        <v>2.5835213869098901E-3</v>
      </c>
    </row>
    <row r="21780" spans="1:6" x14ac:dyDescent="0.25">
      <c r="A21780" s="1" t="str">
        <f t="shared" si="807"/>
        <v>33660</v>
      </c>
      <c r="B21780" s="1" t="str">
        <f>"36575"</f>
        <v>36575</v>
      </c>
      <c r="C21780" s="2">
        <v>4.7332642927321401E-2</v>
      </c>
      <c r="D21780" s="2">
        <v>2.75896550156811E-2</v>
      </c>
      <c r="E21780" s="2">
        <v>3.42167058034216E-2</v>
      </c>
      <c r="F21780" s="2">
        <v>4.5314019935648202E-2</v>
      </c>
    </row>
    <row r="21781" spans="1:6" x14ac:dyDescent="0.25">
      <c r="A21781" s="1" t="str">
        <f t="shared" si="807"/>
        <v>33660</v>
      </c>
      <c r="B21781" s="1" t="str">
        <f>"36685"</f>
        <v>36685</v>
      </c>
      <c r="C21781" s="2">
        <v>4.12030767324322E-3</v>
      </c>
      <c r="D21781" s="2">
        <v>1.4226626062451699E-2</v>
      </c>
      <c r="E21781" s="2">
        <v>3.3545790003354498E-4</v>
      </c>
      <c r="F21781" s="2">
        <v>4.9071153172099502E-3</v>
      </c>
    </row>
    <row r="21782" spans="1:6" x14ac:dyDescent="0.25">
      <c r="A21782" s="1" t="str">
        <f t="shared" si="807"/>
        <v>33660</v>
      </c>
      <c r="B21782" s="1" t="str">
        <f>"36693"</f>
        <v>36693</v>
      </c>
      <c r="C21782" s="2">
        <v>4.0282535383308102E-2</v>
      </c>
      <c r="D21782" s="2">
        <v>4.3270760419980903E-2</v>
      </c>
      <c r="E21782" s="2">
        <v>3.3210332103321E-2</v>
      </c>
      <c r="F21782" s="2">
        <v>4.0375398260061299E-2</v>
      </c>
    </row>
    <row r="21783" spans="1:6" x14ac:dyDescent="0.25">
      <c r="A21783" s="1" t="str">
        <f t="shared" si="807"/>
        <v>33660</v>
      </c>
      <c r="B21783" s="1" t="str">
        <f>"36553"</f>
        <v>36553</v>
      </c>
      <c r="C21783" s="2">
        <v>5.3019641165900997E-3</v>
      </c>
      <c r="D21783" s="2">
        <v>1.9544566156083801E-3</v>
      </c>
      <c r="E21783" s="2">
        <v>1.3418316001341799E-3</v>
      </c>
      <c r="F21783" s="2">
        <v>4.9189302016013096E-3</v>
      </c>
    </row>
    <row r="21784" spans="1:6" x14ac:dyDescent="0.25">
      <c r="A21784" s="1" t="str">
        <f t="shared" si="807"/>
        <v>33660</v>
      </c>
      <c r="B21784" s="1" t="str">
        <f>"36633"</f>
        <v>36633</v>
      </c>
      <c r="C21784" s="2">
        <v>1.7392920682970799E-3</v>
      </c>
      <c r="D21784" s="2">
        <v>9.2723058042816203E-3</v>
      </c>
      <c r="E21784" s="2">
        <v>3.3545790003354498E-4</v>
      </c>
      <c r="F21784" s="2">
        <v>2.3590385834741201E-3</v>
      </c>
    </row>
    <row r="21785" spans="1:6" x14ac:dyDescent="0.25">
      <c r="A21785" s="1" t="str">
        <f t="shared" si="807"/>
        <v>33660</v>
      </c>
      <c r="B21785" s="1" t="str">
        <f>"36556"</f>
        <v>36556</v>
      </c>
      <c r="C21785" s="2">
        <v>0</v>
      </c>
      <c r="D21785" s="2">
        <v>4.5452479432752997E-5</v>
      </c>
      <c r="E21785" s="2">
        <v>0</v>
      </c>
      <c r="F21785" s="2">
        <v>3.9382947971187402E-6</v>
      </c>
    </row>
    <row r="21786" spans="1:6" x14ac:dyDescent="0.25">
      <c r="A21786" s="1" t="str">
        <f t="shared" si="807"/>
        <v>33660</v>
      </c>
      <c r="B21786" s="1" t="str">
        <f>"36581"</f>
        <v>36581</v>
      </c>
      <c r="C21786" s="2">
        <v>2.8324349203820198E-4</v>
      </c>
      <c r="D21786" s="2">
        <v>4.5452479432752997E-5</v>
      </c>
      <c r="E21786" s="2">
        <v>1.67728950016772E-4</v>
      </c>
      <c r="F21786" s="2">
        <v>2.5992745660983698E-4</v>
      </c>
    </row>
    <row r="21787" spans="1:6" x14ac:dyDescent="0.25">
      <c r="A21787" s="1" t="str">
        <f t="shared" si="807"/>
        <v>33660</v>
      </c>
      <c r="B21787" s="1" t="str">
        <f>"36525"</f>
        <v>36525</v>
      </c>
      <c r="C21787" s="2">
        <v>7.2005806491586702E-3</v>
      </c>
      <c r="D21787" s="2">
        <v>5.0906776964683396E-3</v>
      </c>
      <c r="E21787" s="2">
        <v>8.2187185508218706E-3</v>
      </c>
      <c r="F21787" s="2">
        <v>7.0416710972483103E-3</v>
      </c>
    </row>
    <row r="21788" spans="1:6" x14ac:dyDescent="0.25">
      <c r="A21788" s="1" t="str">
        <f t="shared" si="807"/>
        <v>33660</v>
      </c>
      <c r="B21788" s="1" t="str">
        <f>"36522"</f>
        <v>36522</v>
      </c>
      <c r="C21788" s="2">
        <v>1.5781973322003501E-2</v>
      </c>
      <c r="D21788" s="2">
        <v>1.25448843234398E-2</v>
      </c>
      <c r="E21788" s="2">
        <v>1.0566923851056601E-2</v>
      </c>
      <c r="F21788" s="2">
        <v>1.5379041182748601E-2</v>
      </c>
    </row>
    <row r="21789" spans="1:6" x14ac:dyDescent="0.25">
      <c r="A21789" s="1" t="str">
        <f t="shared" si="807"/>
        <v>33660</v>
      </c>
      <c r="B21789" s="1" t="str">
        <f>"36509"</f>
        <v>36509</v>
      </c>
      <c r="C21789" s="2">
        <v>4.5451729113005299E-3</v>
      </c>
      <c r="D21789" s="2">
        <v>1.2181264487977799E-2</v>
      </c>
      <c r="E21789" s="2">
        <v>3.18685005031868E-3</v>
      </c>
      <c r="F21789" s="2">
        <v>5.1749193634140203E-3</v>
      </c>
    </row>
    <row r="21790" spans="1:6" x14ac:dyDescent="0.25">
      <c r="A21790" s="1" t="str">
        <f t="shared" ref="A21790:A21822" si="808">"33660"</f>
        <v>33660</v>
      </c>
      <c r="B21790" s="1" t="str">
        <f>"36544"</f>
        <v>36544</v>
      </c>
      <c r="C21790" s="2">
        <v>2.6992219655328002E-2</v>
      </c>
      <c r="D21790" s="2">
        <v>9.3177582837143703E-3</v>
      </c>
      <c r="E21790" s="2">
        <v>1.9456558201945601E-2</v>
      </c>
      <c r="F21790" s="2">
        <v>2.52838525975023E-2</v>
      </c>
    </row>
    <row r="21791" spans="1:6" x14ac:dyDescent="0.25">
      <c r="A21791" s="1" t="str">
        <f t="shared" si="808"/>
        <v>33660</v>
      </c>
      <c r="B21791" s="1" t="str">
        <f>"36528"</f>
        <v>36528</v>
      </c>
      <c r="C21791" s="2">
        <v>6.0676066810058599E-3</v>
      </c>
      <c r="D21791" s="2">
        <v>2.86350620426344E-3</v>
      </c>
      <c r="E21791" s="2">
        <v>3.6900369003690001E-3</v>
      </c>
      <c r="F21791" s="2">
        <v>5.7341572246048904E-3</v>
      </c>
    </row>
    <row r="21792" spans="1:6" x14ac:dyDescent="0.25">
      <c r="A21792" s="1" t="str">
        <f t="shared" si="808"/>
        <v>33660</v>
      </c>
      <c r="B21792" s="1" t="str">
        <f>"36605"</f>
        <v>36605</v>
      </c>
      <c r="C21792" s="2">
        <v>6.4778671765049506E-2</v>
      </c>
      <c r="D21792" s="2">
        <v>2.90895868369619E-2</v>
      </c>
      <c r="E21792" s="2">
        <v>4.3777255954377703E-2</v>
      </c>
      <c r="F21792" s="2">
        <v>6.1193224557631001E-2</v>
      </c>
    </row>
    <row r="21793" spans="1:6" x14ac:dyDescent="0.25">
      <c r="A21793" s="1" t="str">
        <f t="shared" si="808"/>
        <v>33660</v>
      </c>
      <c r="B21793" s="1" t="str">
        <f>"36558"</f>
        <v>36558</v>
      </c>
      <c r="C21793" s="2">
        <v>7.8644325836232098E-3</v>
      </c>
      <c r="D21793" s="2">
        <v>2.7726012453979298E-3</v>
      </c>
      <c r="E21793" s="2">
        <v>1.50956055015095E-3</v>
      </c>
      <c r="F21793" s="2">
        <v>7.27403049027831E-3</v>
      </c>
    </row>
    <row r="21794" spans="1:6" x14ac:dyDescent="0.25">
      <c r="A21794" s="1" t="str">
        <f t="shared" si="808"/>
        <v>33660</v>
      </c>
      <c r="B21794" s="1" t="str">
        <f>"36612"</f>
        <v>36612</v>
      </c>
      <c r="C21794" s="2">
        <v>9.9046708622108903E-3</v>
      </c>
      <c r="D21794" s="2">
        <v>1.0635880187264199E-2</v>
      </c>
      <c r="E21794" s="2">
        <v>6.3737001006373703E-3</v>
      </c>
      <c r="F21794" s="2">
        <v>9.8851199407680394E-3</v>
      </c>
    </row>
    <row r="21795" spans="1:6" x14ac:dyDescent="0.25">
      <c r="A21795" s="1" t="str">
        <f t="shared" si="808"/>
        <v>33660</v>
      </c>
      <c r="B21795" s="1" t="str">
        <f>"36695"</f>
        <v>36695</v>
      </c>
      <c r="C21795" s="2">
        <v>9.8343025571576495E-2</v>
      </c>
      <c r="D21795" s="2">
        <v>4.1452661242670698E-2</v>
      </c>
      <c r="E21795" s="2">
        <v>5.0486413955048597E-2</v>
      </c>
      <c r="F21795" s="2">
        <v>9.22900002756806E-2</v>
      </c>
    </row>
    <row r="21796" spans="1:6" x14ac:dyDescent="0.25">
      <c r="A21796" s="1" t="str">
        <f t="shared" si="808"/>
        <v>33660</v>
      </c>
      <c r="B21796" s="1" t="str">
        <f>"36571"</f>
        <v>36571</v>
      </c>
      <c r="C21796" s="2">
        <v>3.6392363047345902E-2</v>
      </c>
      <c r="D21796" s="2">
        <v>4.4679787282396202E-2</v>
      </c>
      <c r="E21796" s="2">
        <v>3.9416303253941597E-2</v>
      </c>
      <c r="F21796" s="2">
        <v>3.7181441179597999E-2</v>
      </c>
    </row>
    <row r="21797" spans="1:6" x14ac:dyDescent="0.25">
      <c r="A21797" s="1" t="str">
        <f t="shared" si="808"/>
        <v>33660</v>
      </c>
      <c r="B21797" s="1" t="str">
        <f>"36590"</f>
        <v>36590</v>
      </c>
      <c r="C21797" s="2">
        <v>4.7487541712029797E-3</v>
      </c>
      <c r="D21797" s="2">
        <v>8.8177810099540899E-3</v>
      </c>
      <c r="E21797" s="2">
        <v>3.3545790003354498E-4</v>
      </c>
      <c r="F21797" s="2">
        <v>4.99769609754368E-3</v>
      </c>
    </row>
    <row r="21798" spans="1:6" x14ac:dyDescent="0.25">
      <c r="A21798" s="1" t="str">
        <f t="shared" si="808"/>
        <v>33660</v>
      </c>
      <c r="B21798" s="1" t="str">
        <f>"36538"</f>
        <v>36538</v>
      </c>
      <c r="C21798" s="2">
        <v>1.0090549403860901E-3</v>
      </c>
      <c r="D21798" s="2">
        <v>2.27262397163765E-4</v>
      </c>
      <c r="E21798" s="2">
        <v>0</v>
      </c>
      <c r="F21798" s="2">
        <v>9.1762268772866697E-4</v>
      </c>
    </row>
    <row r="21799" spans="1:6" x14ac:dyDescent="0.25">
      <c r="A21799" s="1" t="str">
        <f t="shared" si="808"/>
        <v>33660</v>
      </c>
      <c r="B21799" s="1" t="str">
        <f>"36671"</f>
        <v>36671</v>
      </c>
      <c r="C21799" s="2">
        <v>1.4958796923267501E-3</v>
      </c>
      <c r="D21799" s="2">
        <v>2.9089586836961901E-3</v>
      </c>
      <c r="E21799" s="2">
        <v>3.3545790003354498E-4</v>
      </c>
      <c r="F21799" s="2">
        <v>1.5910710980359701E-3</v>
      </c>
    </row>
    <row r="21800" spans="1:6" x14ac:dyDescent="0.25">
      <c r="A21800" s="1" t="str">
        <f t="shared" si="808"/>
        <v>33660</v>
      </c>
      <c r="B21800" s="1" t="str">
        <f>"36568"</f>
        <v>36568</v>
      </c>
      <c r="C21800" s="2">
        <v>2.32790745018897E-3</v>
      </c>
      <c r="D21800" s="2">
        <v>1.18176446525157E-3</v>
      </c>
      <c r="E21800" s="2">
        <v>3.3545790003354498E-4</v>
      </c>
      <c r="F21800" s="2">
        <v>2.1818153176037798E-3</v>
      </c>
    </row>
    <row r="21801" spans="1:6" x14ac:dyDescent="0.25">
      <c r="A21801" s="1" t="str">
        <f t="shared" si="808"/>
        <v>33660</v>
      </c>
      <c r="B21801" s="1" t="str">
        <f>"36541"</f>
        <v>36541</v>
      </c>
      <c r="C21801" s="2">
        <v>3.2723474689538498E-2</v>
      </c>
      <c r="D21801" s="2">
        <v>1.1590382255352E-2</v>
      </c>
      <c r="E21801" s="2">
        <v>1.8617913451861701E-2</v>
      </c>
      <c r="F21801" s="2">
        <v>3.05611676256414E-2</v>
      </c>
    </row>
    <row r="21802" spans="1:6" x14ac:dyDescent="0.25">
      <c r="A21802" s="1" t="str">
        <f t="shared" si="808"/>
        <v>33660</v>
      </c>
      <c r="B21802" s="1" t="str">
        <f>"36602"</f>
        <v>36602</v>
      </c>
      <c r="C21802" s="2">
        <v>3.58480044610849E-3</v>
      </c>
      <c r="D21802" s="2">
        <v>5.6088359620017202E-2</v>
      </c>
      <c r="E21802" s="2">
        <v>2.86816504528681E-2</v>
      </c>
      <c r="F21802" s="2">
        <v>8.7233229756180104E-3</v>
      </c>
    </row>
    <row r="21803" spans="1:6" x14ac:dyDescent="0.25">
      <c r="A21803" s="1" t="str">
        <f t="shared" si="808"/>
        <v>33660</v>
      </c>
      <c r="B21803" s="1" t="str">
        <f>"36613"</f>
        <v>36613</v>
      </c>
      <c r="C21803" s="2">
        <v>2.51732653548952E-2</v>
      </c>
      <c r="D21803" s="2">
        <v>1.03177128312349E-2</v>
      </c>
      <c r="E21803" s="2">
        <v>1.2579671251257901E-2</v>
      </c>
      <c r="F21803" s="2">
        <v>2.3590385834741202E-2</v>
      </c>
    </row>
    <row r="21804" spans="1:6" x14ac:dyDescent="0.25">
      <c r="A21804" s="1" t="str">
        <f t="shared" si="808"/>
        <v>33660</v>
      </c>
      <c r="B21804" s="1" t="str">
        <f>"36660"</f>
        <v>36660</v>
      </c>
      <c r="C21804" s="2">
        <v>4.4964904361064597E-3</v>
      </c>
      <c r="D21804" s="2">
        <v>9.6359256397436401E-3</v>
      </c>
      <c r="E21804" s="2">
        <v>3.3545790003354498E-4</v>
      </c>
      <c r="F21804" s="2">
        <v>4.8441026004560498E-3</v>
      </c>
    </row>
    <row r="21805" spans="1:6" x14ac:dyDescent="0.25">
      <c r="A21805" s="1" t="str">
        <f t="shared" si="808"/>
        <v>33660</v>
      </c>
      <c r="B21805" s="1" t="str">
        <f>"36604"</f>
        <v>36604</v>
      </c>
      <c r="C21805" s="2">
        <v>2.3580020712180301E-2</v>
      </c>
      <c r="D21805" s="2">
        <v>2.3362574428435E-2</v>
      </c>
      <c r="E21805" s="2">
        <v>5.8705132505870498E-2</v>
      </c>
      <c r="F21805" s="2">
        <v>2.4385921383759199E-2</v>
      </c>
    </row>
    <row r="21806" spans="1:6" x14ac:dyDescent="0.25">
      <c r="A21806" s="1" t="str">
        <f t="shared" si="808"/>
        <v>33660</v>
      </c>
      <c r="B21806" s="1" t="str">
        <f>"36618"</f>
        <v>36618</v>
      </c>
      <c r="C21806" s="2">
        <v>3.4648645299485699E-2</v>
      </c>
      <c r="D21806" s="2">
        <v>2.5453388482341702E-2</v>
      </c>
      <c r="E21806" s="2">
        <v>2.6333445152633299E-2</v>
      </c>
      <c r="F21806" s="2">
        <v>3.3656667336176699E-2</v>
      </c>
    </row>
    <row r="21807" spans="1:6" x14ac:dyDescent="0.25">
      <c r="A21807" s="1" t="str">
        <f t="shared" si="808"/>
        <v>33660</v>
      </c>
      <c r="B21807" s="1" t="str">
        <f>"36584"</f>
        <v>36584</v>
      </c>
      <c r="C21807" s="2">
        <v>1.8587854165007E-3</v>
      </c>
      <c r="D21807" s="2">
        <v>3.1816735602927101E-4</v>
      </c>
      <c r="E21807" s="2">
        <v>1.67728950016772E-4</v>
      </c>
      <c r="F21807" s="2">
        <v>1.6855901731668199E-3</v>
      </c>
    </row>
    <row r="21808" spans="1:6" x14ac:dyDescent="0.25">
      <c r="A21808" s="1" t="str">
        <f t="shared" si="808"/>
        <v>33660</v>
      </c>
      <c r="B21808" s="1" t="str">
        <f>"36619"</f>
        <v>36619</v>
      </c>
      <c r="C21808" s="2">
        <v>3.3887428414632999E-2</v>
      </c>
      <c r="D21808" s="2">
        <v>4.1861733557565499E-2</v>
      </c>
      <c r="E21808" s="2">
        <v>2.29788661522978E-2</v>
      </c>
      <c r="F21808" s="2">
        <v>3.4322239156889797E-2</v>
      </c>
    </row>
    <row r="21809" spans="1:6" x14ac:dyDescent="0.25">
      <c r="A21809" s="1" t="str">
        <f t="shared" si="808"/>
        <v>33660</v>
      </c>
      <c r="B21809" s="1" t="str">
        <f>"36585"</f>
        <v>36585</v>
      </c>
      <c r="C21809" s="2">
        <v>1.8941908530054701E-3</v>
      </c>
      <c r="D21809" s="2">
        <v>4.9997727376028297E-4</v>
      </c>
      <c r="E21809" s="2">
        <v>0</v>
      </c>
      <c r="F21809" s="2">
        <v>1.72891141593512E-3</v>
      </c>
    </row>
    <row r="21810" spans="1:6" x14ac:dyDescent="0.25">
      <c r="A21810" s="1" t="str">
        <f t="shared" si="808"/>
        <v>33660</v>
      </c>
      <c r="B21810" s="1" t="str">
        <f>"36518"</f>
        <v>36518</v>
      </c>
      <c r="C21810" s="2">
        <v>3.6202058826132698E-3</v>
      </c>
      <c r="D21810" s="2">
        <v>1.0454070269533199E-3</v>
      </c>
      <c r="E21810" s="2">
        <v>1.17410265011741E-3</v>
      </c>
      <c r="F21810" s="2">
        <v>3.33967398795669E-3</v>
      </c>
    </row>
    <row r="21811" spans="1:6" x14ac:dyDescent="0.25">
      <c r="A21811" s="1" t="str">
        <f t="shared" si="808"/>
        <v>33660</v>
      </c>
      <c r="B21811" s="1" t="str">
        <f>"36610"</f>
        <v>36610</v>
      </c>
      <c r="C21811" s="2">
        <v>3.68924648379758E-2</v>
      </c>
      <c r="D21811" s="2">
        <v>3.2498522794418401E-2</v>
      </c>
      <c r="E21811" s="2">
        <v>2.1804763502180399E-2</v>
      </c>
      <c r="F21811" s="2">
        <v>3.6157484532347101E-2</v>
      </c>
    </row>
    <row r="21812" spans="1:6" x14ac:dyDescent="0.25">
      <c r="A21812" s="1" t="str">
        <f t="shared" si="808"/>
        <v>33660</v>
      </c>
      <c r="B21812" s="1" t="str">
        <f>"36689"</f>
        <v>36689</v>
      </c>
      <c r="C21812" s="2">
        <v>4.9965922267364102E-3</v>
      </c>
      <c r="D21812" s="2">
        <v>1.5453843007136E-2</v>
      </c>
      <c r="E21812" s="2">
        <v>3.3545790003354498E-4</v>
      </c>
      <c r="F21812" s="2">
        <v>5.7932316465616699E-3</v>
      </c>
    </row>
    <row r="21813" spans="1:6" x14ac:dyDescent="0.25">
      <c r="A21813" s="1" t="str">
        <f t="shared" si="808"/>
        <v>33660</v>
      </c>
      <c r="B21813" s="1" t="str">
        <f>"36652"</f>
        <v>36652</v>
      </c>
      <c r="C21813" s="2">
        <v>1.65520415659824E-3</v>
      </c>
      <c r="D21813" s="2">
        <v>9.1359483659833596E-3</v>
      </c>
      <c r="E21813" s="2">
        <v>3.3545790003354498E-4</v>
      </c>
      <c r="F21813" s="2">
        <v>2.27239609793751E-3</v>
      </c>
    </row>
    <row r="21814" spans="1:6" x14ac:dyDescent="0.25">
      <c r="A21814" s="1" t="str">
        <f t="shared" si="808"/>
        <v>33660</v>
      </c>
      <c r="B21814" s="1" t="str">
        <f>"36601"</f>
        <v>36601</v>
      </c>
      <c r="C21814" s="2">
        <v>2.73506996999389E-3</v>
      </c>
      <c r="D21814" s="2">
        <v>1.3544838870960399E-2</v>
      </c>
      <c r="E21814" s="2">
        <v>1.67728950016772E-4</v>
      </c>
      <c r="F21814" s="2">
        <v>3.6114163289578801E-3</v>
      </c>
    </row>
    <row r="21815" spans="1:6" x14ac:dyDescent="0.25">
      <c r="A21815" s="1" t="str">
        <f t="shared" si="808"/>
        <v>33660</v>
      </c>
      <c r="B21815" s="1" t="str">
        <f>"36505"</f>
        <v>36505</v>
      </c>
      <c r="C21815" s="2">
        <v>2.88554307513918E-3</v>
      </c>
      <c r="D21815" s="2">
        <v>1.40902686241534E-3</v>
      </c>
      <c r="E21815" s="2">
        <v>2.1804763502180401E-3</v>
      </c>
      <c r="F21815" s="2">
        <v>2.7410531787946399E-3</v>
      </c>
    </row>
    <row r="21816" spans="1:6" x14ac:dyDescent="0.25">
      <c r="A21816" s="1" t="str">
        <f t="shared" si="808"/>
        <v>33660</v>
      </c>
      <c r="B21816" s="1" t="str">
        <f>"36529"</f>
        <v>36529</v>
      </c>
      <c r="C21816" s="2">
        <v>1.10199421121113E-3</v>
      </c>
      <c r="D21816" s="2">
        <v>1.8180991773101199E-4</v>
      </c>
      <c r="E21816" s="2">
        <v>1.67728950016772E-4</v>
      </c>
      <c r="F21816" s="2">
        <v>1.0003268784681599E-3</v>
      </c>
    </row>
    <row r="21817" spans="1:6" x14ac:dyDescent="0.25">
      <c r="A21817" s="1" t="str">
        <f t="shared" si="808"/>
        <v>33660</v>
      </c>
      <c r="B21817" s="1" t="str">
        <f>"36607"</f>
        <v>36607</v>
      </c>
      <c r="C21817" s="2">
        <v>1.6985758163165901E-2</v>
      </c>
      <c r="D21817" s="2">
        <v>3.2543975273851097E-2</v>
      </c>
      <c r="E21817" s="2">
        <v>3.1029855753102902E-2</v>
      </c>
      <c r="F21817" s="2">
        <v>1.8663579043545701E-2</v>
      </c>
    </row>
    <row r="21818" spans="1:6" x14ac:dyDescent="0.25">
      <c r="A21818" s="1" t="str">
        <f t="shared" si="808"/>
        <v>33660</v>
      </c>
      <c r="B21818" s="1" t="str">
        <f>"36611"</f>
        <v>36611</v>
      </c>
      <c r="C21818" s="2">
        <v>1.3547005142639601E-2</v>
      </c>
      <c r="D21818" s="2">
        <v>1.04086177901004E-2</v>
      </c>
      <c r="E21818" s="2">
        <v>1.3250587051324999E-2</v>
      </c>
      <c r="F21818" s="2">
        <v>1.3268115171493001E-2</v>
      </c>
    </row>
    <row r="21819" spans="1:6" x14ac:dyDescent="0.25">
      <c r="A21819" s="1" t="str">
        <f t="shared" si="808"/>
        <v>33660</v>
      </c>
      <c r="B21819" s="1" t="str">
        <f>"36691"</f>
        <v>36691</v>
      </c>
      <c r="C21819" s="2">
        <v>3.3944962248953301E-3</v>
      </c>
      <c r="D21819" s="2">
        <v>1.8226444252533901E-2</v>
      </c>
      <c r="E21819" s="2">
        <v>3.3545790003354498E-4</v>
      </c>
      <c r="F21819" s="2">
        <v>4.6078049126289204E-3</v>
      </c>
    </row>
    <row r="21820" spans="1:6" x14ac:dyDescent="0.25">
      <c r="A21820" s="1" t="str">
        <f t="shared" si="808"/>
        <v>33660</v>
      </c>
      <c r="B21820" s="1" t="str">
        <f>"36572"</f>
        <v>36572</v>
      </c>
      <c r="C21820" s="2">
        <v>1.5065013232781799E-2</v>
      </c>
      <c r="D21820" s="2">
        <v>7.22694422980773E-3</v>
      </c>
      <c r="E21820" s="2">
        <v>2.3985239852398501E-2</v>
      </c>
      <c r="F21820" s="2">
        <v>1.4595320518122E-2</v>
      </c>
    </row>
    <row r="21821" spans="1:6" x14ac:dyDescent="0.25">
      <c r="A21821" s="1" t="str">
        <f t="shared" si="808"/>
        <v>33660</v>
      </c>
      <c r="B21821" s="1" t="str">
        <f>"36583"</f>
        <v>36583</v>
      </c>
      <c r="C21821" s="2">
        <v>1.4737512945112699E-3</v>
      </c>
      <c r="D21821" s="2">
        <v>1.8180991773101199E-4</v>
      </c>
      <c r="E21821" s="2">
        <v>3.3545790003354498E-4</v>
      </c>
      <c r="F21821" s="2">
        <v>1.3350819362232501E-3</v>
      </c>
    </row>
    <row r="21822" spans="1:6" x14ac:dyDescent="0.25">
      <c r="A21822" s="1" t="str">
        <f t="shared" si="808"/>
        <v>33660</v>
      </c>
      <c r="B21822" s="1" t="str">
        <f>"36640"</f>
        <v>36640</v>
      </c>
      <c r="C21822" s="2">
        <v>2.4119953618878102E-3</v>
      </c>
      <c r="D21822" s="2">
        <v>6.4087996000181799E-3</v>
      </c>
      <c r="E21822" s="2">
        <v>3.3545790003354498E-4</v>
      </c>
      <c r="F21822" s="2">
        <v>2.7095468204176901E-3</v>
      </c>
    </row>
    <row r="21823" spans="1:6" x14ac:dyDescent="0.25">
      <c r="A21823" s="1" t="str">
        <f t="shared" ref="A21823:A21855" si="809">"33700"</f>
        <v>33700</v>
      </c>
      <c r="B21823" s="1" t="str">
        <f>"95313"</f>
        <v>95313</v>
      </c>
      <c r="C21823" s="2">
        <v>2.1524039262985498E-3</v>
      </c>
      <c r="D21823" s="2">
        <v>8.9529967669733804E-4</v>
      </c>
      <c r="E21823" s="2">
        <v>7.6289288983826605E-4</v>
      </c>
      <c r="F21823" s="2">
        <v>2.0033215244322799E-3</v>
      </c>
    </row>
    <row r="21824" spans="1:6" x14ac:dyDescent="0.25">
      <c r="A21824" s="1" t="str">
        <f t="shared" si="809"/>
        <v>33700</v>
      </c>
      <c r="B21824" s="1" t="str">
        <f>"95326"</f>
        <v>95326</v>
      </c>
      <c r="C21824" s="2">
        <v>2.1877053118779299E-2</v>
      </c>
      <c r="D21824" s="2">
        <v>1.29818453121114E-2</v>
      </c>
      <c r="E21824" s="2">
        <v>6.4083002746414403E-3</v>
      </c>
      <c r="F21824" s="2">
        <v>2.0661963341817802E-2</v>
      </c>
    </row>
    <row r="21825" spans="1:6" x14ac:dyDescent="0.25">
      <c r="A21825" s="1" t="str">
        <f t="shared" si="809"/>
        <v>33700</v>
      </c>
      <c r="B21825" s="1" t="str">
        <f>"95355"</f>
        <v>95355</v>
      </c>
      <c r="C21825" s="2">
        <v>0.112699673462183</v>
      </c>
      <c r="D21825" s="2">
        <v>5.1479731410096902E-2</v>
      </c>
      <c r="E21825" s="2">
        <v>0.112145254806225</v>
      </c>
      <c r="F21825" s="2">
        <v>0.107346813114384</v>
      </c>
    </row>
    <row r="21826" spans="1:6" x14ac:dyDescent="0.25">
      <c r="A21826" s="1" t="str">
        <f t="shared" si="809"/>
        <v>33700</v>
      </c>
      <c r="B21826" s="1" t="str">
        <f>"95380"</f>
        <v>95380</v>
      </c>
      <c r="C21826" s="2">
        <v>7.1078359270045702E-2</v>
      </c>
      <c r="D21826" s="2">
        <v>9.7239492663516502E-2</v>
      </c>
      <c r="E21826" s="2">
        <v>7.9340860543179695E-2</v>
      </c>
      <c r="F21826" s="2">
        <v>7.35938807633435E-2</v>
      </c>
    </row>
    <row r="21827" spans="1:6" x14ac:dyDescent="0.25">
      <c r="A21827" s="1" t="str">
        <f t="shared" si="809"/>
        <v>33700</v>
      </c>
      <c r="B21827" s="1" t="str">
        <f>"95360"</f>
        <v>95360</v>
      </c>
      <c r="C21827" s="2">
        <v>2.38872709087165E-2</v>
      </c>
      <c r="D21827" s="2">
        <v>1.5916438696841499E-2</v>
      </c>
      <c r="E21827" s="2">
        <v>1.15959719255416E-2</v>
      </c>
      <c r="F21827" s="2">
        <v>2.2843068811058999E-2</v>
      </c>
    </row>
    <row r="21828" spans="1:6" x14ac:dyDescent="0.25">
      <c r="A21828" s="1" t="str">
        <f t="shared" si="809"/>
        <v>33700</v>
      </c>
      <c r="B21828" s="1" t="str">
        <f>"95397"</f>
        <v>95397</v>
      </c>
      <c r="C21828" s="2">
        <v>0</v>
      </c>
      <c r="D21828" s="2">
        <v>0</v>
      </c>
      <c r="E21828" s="2">
        <v>1.5257857796765299E-4</v>
      </c>
      <c r="F21828" s="2">
        <v>4.3361937758274496E-6</v>
      </c>
    </row>
    <row r="21829" spans="1:6" x14ac:dyDescent="0.25">
      <c r="A21829" s="1" t="str">
        <f t="shared" si="809"/>
        <v>33700</v>
      </c>
      <c r="B21829" s="1" t="str">
        <f>"95352"</f>
        <v>95352</v>
      </c>
      <c r="C21829" s="2">
        <v>4.7656870532168296E-3</v>
      </c>
      <c r="D21829" s="2">
        <v>1.9000248694354599E-2</v>
      </c>
      <c r="E21829" s="2">
        <v>3.0515715593530597E-4</v>
      </c>
      <c r="F21829" s="2">
        <v>5.87987876002202E-3</v>
      </c>
    </row>
    <row r="21830" spans="1:6" x14ac:dyDescent="0.25">
      <c r="A21830" s="1" t="str">
        <f t="shared" si="809"/>
        <v>33700</v>
      </c>
      <c r="B21830" s="1" t="str">
        <f>"95381"</f>
        <v>95381</v>
      </c>
      <c r="C21830" s="2">
        <v>8.2467959089616398E-3</v>
      </c>
      <c r="D21830" s="2">
        <v>3.5314598358617201E-2</v>
      </c>
      <c r="E21830" s="2">
        <v>3.0515715593530597E-4</v>
      </c>
      <c r="F21830" s="2">
        <v>1.03808478993309E-2</v>
      </c>
    </row>
    <row r="21831" spans="1:6" x14ac:dyDescent="0.25">
      <c r="A21831" s="1" t="str">
        <f t="shared" si="809"/>
        <v>33700</v>
      </c>
      <c r="B21831" s="1" t="str">
        <f>"95385"</f>
        <v>95385</v>
      </c>
      <c r="C21831" s="2">
        <v>5.29520783690759E-4</v>
      </c>
      <c r="D21831" s="2">
        <v>4.4764983834866902E-4</v>
      </c>
      <c r="E21831" s="2">
        <v>3.0515715593530597E-4</v>
      </c>
      <c r="F21831" s="2">
        <v>5.16007059323467E-4</v>
      </c>
    </row>
    <row r="21832" spans="1:6" x14ac:dyDescent="0.25">
      <c r="A21832" s="1" t="str">
        <f t="shared" si="809"/>
        <v>33700</v>
      </c>
      <c r="B21832" s="1" t="str">
        <f>"95324"</f>
        <v>95324</v>
      </c>
      <c r="C21832" s="2">
        <v>2.9417821316153302E-5</v>
      </c>
      <c r="D21832" s="2">
        <v>0</v>
      </c>
      <c r="E21832" s="2">
        <v>0</v>
      </c>
      <c r="F21832" s="2">
        <v>2.6017162654964701E-5</v>
      </c>
    </row>
    <row r="21833" spans="1:6" x14ac:dyDescent="0.25">
      <c r="A21833" s="1" t="str">
        <f t="shared" si="809"/>
        <v>33700</v>
      </c>
      <c r="B21833" s="1" t="str">
        <f>"94550"</f>
        <v>94550</v>
      </c>
      <c r="C21833" s="2">
        <v>5.3932672412947701E-5</v>
      </c>
      <c r="D21833" s="2">
        <v>0</v>
      </c>
      <c r="E21833" s="2">
        <v>0</v>
      </c>
      <c r="F21833" s="2">
        <v>4.7698131534101898E-5</v>
      </c>
    </row>
    <row r="21834" spans="1:6" x14ac:dyDescent="0.25">
      <c r="A21834" s="1" t="str">
        <f t="shared" si="809"/>
        <v>33700</v>
      </c>
      <c r="B21834" s="1" t="str">
        <f>"95230"</f>
        <v>95230</v>
      </c>
      <c r="C21834" s="2">
        <v>3.8243167710999299E-4</v>
      </c>
      <c r="D21834" s="2">
        <v>0</v>
      </c>
      <c r="E21834" s="2">
        <v>0</v>
      </c>
      <c r="F21834" s="2">
        <v>3.3822311451454099E-4</v>
      </c>
    </row>
    <row r="21835" spans="1:6" x14ac:dyDescent="0.25">
      <c r="A21835" s="1" t="str">
        <f t="shared" si="809"/>
        <v>33700</v>
      </c>
      <c r="B21835" s="1" t="str">
        <f>"95367"</f>
        <v>95367</v>
      </c>
      <c r="C21835" s="2">
        <v>4.2096902303415402E-2</v>
      </c>
      <c r="D21835" s="2">
        <v>2.51181298184531E-2</v>
      </c>
      <c r="E21835" s="2">
        <v>2.1666158071406701E-2</v>
      </c>
      <c r="F21835" s="2">
        <v>4.0036077132214798E-2</v>
      </c>
    </row>
    <row r="21836" spans="1:6" x14ac:dyDescent="0.25">
      <c r="A21836" s="1" t="str">
        <f t="shared" si="809"/>
        <v>33700</v>
      </c>
      <c r="B21836" s="1" t="str">
        <f>"95316"</f>
        <v>95316</v>
      </c>
      <c r="C21836" s="2">
        <v>1.5915041332038901E-2</v>
      </c>
      <c r="D21836" s="2">
        <v>1.0196468540164099E-2</v>
      </c>
      <c r="E21836" s="2">
        <v>3.9670430271589799E-3</v>
      </c>
      <c r="F21836" s="2">
        <v>1.5076945758552E-2</v>
      </c>
    </row>
    <row r="21837" spans="1:6" x14ac:dyDescent="0.25">
      <c r="A21837" s="1" t="str">
        <f t="shared" si="809"/>
        <v>33700</v>
      </c>
      <c r="B21837" s="1" t="str">
        <f>"95329"</f>
        <v>95329</v>
      </c>
      <c r="C21837" s="2">
        <v>1.8239049216015001E-3</v>
      </c>
      <c r="D21837" s="2">
        <v>1.59164386968415E-3</v>
      </c>
      <c r="E21837" s="2">
        <v>1.3732072017088801E-3</v>
      </c>
      <c r="F21837" s="2">
        <v>1.79084802941673E-3</v>
      </c>
    </row>
    <row r="21838" spans="1:6" x14ac:dyDescent="0.25">
      <c r="A21838" s="1" t="str">
        <f t="shared" si="809"/>
        <v>33700</v>
      </c>
      <c r="B21838" s="1" t="str">
        <f>"95356"</f>
        <v>95356</v>
      </c>
      <c r="C21838" s="2">
        <v>5.9752498063326699E-2</v>
      </c>
      <c r="D21838" s="2">
        <v>7.7841333001740801E-2</v>
      </c>
      <c r="E21838" s="2">
        <v>8.9563625267012503E-2</v>
      </c>
      <c r="F21838" s="2">
        <v>6.2176682551589799E-2</v>
      </c>
    </row>
    <row r="21839" spans="1:6" x14ac:dyDescent="0.25">
      <c r="A21839" s="1" t="str">
        <f t="shared" si="809"/>
        <v>33700</v>
      </c>
      <c r="B21839" s="1" t="str">
        <f>"95363"</f>
        <v>95363</v>
      </c>
      <c r="C21839" s="2">
        <v>4.5028878494592001E-2</v>
      </c>
      <c r="D21839" s="2">
        <v>3.2578960457597603E-2</v>
      </c>
      <c r="E21839" s="2">
        <v>2.1361000915471402E-2</v>
      </c>
      <c r="F21839" s="2">
        <v>4.32708776889821E-2</v>
      </c>
    </row>
    <row r="21840" spans="1:6" x14ac:dyDescent="0.25">
      <c r="A21840" s="1" t="str">
        <f t="shared" si="809"/>
        <v>33700</v>
      </c>
      <c r="B21840" s="1" t="str">
        <f>"95328"</f>
        <v>95328</v>
      </c>
      <c r="C21840" s="2">
        <v>1.00363800390276E-2</v>
      </c>
      <c r="D21840" s="2">
        <v>2.0392937080328201E-3</v>
      </c>
      <c r="E21840" s="2">
        <v>5.4928288068355202E-3</v>
      </c>
      <c r="F21840" s="2">
        <v>9.2100755798575108E-3</v>
      </c>
    </row>
    <row r="21841" spans="1:6" x14ac:dyDescent="0.25">
      <c r="A21841" s="1" t="str">
        <f t="shared" si="809"/>
        <v>33700</v>
      </c>
      <c r="B21841" s="1" t="str">
        <f>"95382"</f>
        <v>95382</v>
      </c>
      <c r="C21841" s="2">
        <v>6.8416046440933895E-2</v>
      </c>
      <c r="D21841" s="2">
        <v>3.0838099975130501E-2</v>
      </c>
      <c r="E21841" s="2">
        <v>2.2886786695148001E-2</v>
      </c>
      <c r="F21841" s="2">
        <v>6.3846117155283405E-2</v>
      </c>
    </row>
    <row r="21842" spans="1:6" x14ac:dyDescent="0.25">
      <c r="A21842" s="1" t="str">
        <f t="shared" si="809"/>
        <v>33700</v>
      </c>
      <c r="B21842" s="1" t="str">
        <f>"95322"</f>
        <v>95322</v>
      </c>
      <c r="C21842" s="2">
        <v>4.9029702193588799E-5</v>
      </c>
      <c r="D21842" s="2">
        <v>4.9738870927629898E-5</v>
      </c>
      <c r="E21842" s="2">
        <v>0</v>
      </c>
      <c r="F21842" s="2">
        <v>4.7698131534101898E-5</v>
      </c>
    </row>
    <row r="21843" spans="1:6" x14ac:dyDescent="0.25">
      <c r="A21843" s="1" t="str">
        <f t="shared" si="809"/>
        <v>33700</v>
      </c>
      <c r="B21843" s="1" t="str">
        <f>"95351"</f>
        <v>95351</v>
      </c>
      <c r="C21843" s="2">
        <v>6.7484482099255699E-2</v>
      </c>
      <c r="D21843" s="2">
        <v>8.8535190251181201E-2</v>
      </c>
      <c r="E21843" s="2">
        <v>0.10711016173329201</v>
      </c>
      <c r="F21843" s="2">
        <v>7.0445804082092806E-2</v>
      </c>
    </row>
    <row r="21844" spans="1:6" x14ac:dyDescent="0.25">
      <c r="A21844" s="1" t="str">
        <f t="shared" si="809"/>
        <v>33700</v>
      </c>
      <c r="B21844" s="1" t="str">
        <f>"95368"</f>
        <v>95368</v>
      </c>
      <c r="C21844" s="2">
        <v>2.4161837241000499E-2</v>
      </c>
      <c r="D21844" s="2">
        <v>2.21337975627953E-2</v>
      </c>
      <c r="E21844" s="2">
        <v>8.3918217882209302E-3</v>
      </c>
      <c r="F21844" s="2">
        <v>2.3536859815191401E-2</v>
      </c>
    </row>
    <row r="21845" spans="1:6" x14ac:dyDescent="0.25">
      <c r="A21845" s="1" t="str">
        <f t="shared" si="809"/>
        <v>33700</v>
      </c>
      <c r="B21845" s="1" t="str">
        <f>"95319"</f>
        <v>95319</v>
      </c>
      <c r="C21845" s="2">
        <v>7.3005226566253802E-3</v>
      </c>
      <c r="D21845" s="2">
        <v>4.2278040288485398E-3</v>
      </c>
      <c r="E21845" s="2">
        <v>3.0515715593530597E-4</v>
      </c>
      <c r="F21845" s="2">
        <v>6.8338413907040596E-3</v>
      </c>
    </row>
    <row r="21846" spans="1:6" x14ac:dyDescent="0.25">
      <c r="A21846" s="1" t="str">
        <f t="shared" si="809"/>
        <v>33700</v>
      </c>
      <c r="B21846" s="1" t="str">
        <f>"95387"</f>
        <v>95387</v>
      </c>
      <c r="C21846" s="2">
        <v>4.6185979466360702E-3</v>
      </c>
      <c r="D21846" s="2">
        <v>3.3325043521512001E-3</v>
      </c>
      <c r="E21846" s="2">
        <v>3.0515715593530597E-4</v>
      </c>
      <c r="F21846" s="2">
        <v>4.3838919073615496E-3</v>
      </c>
    </row>
    <row r="21847" spans="1:6" x14ac:dyDescent="0.25">
      <c r="A21847" s="1" t="str">
        <f t="shared" si="809"/>
        <v>33700</v>
      </c>
      <c r="B21847" s="1" t="str">
        <f>"95307"</f>
        <v>95307</v>
      </c>
      <c r="C21847" s="2">
        <v>7.7099206699418499E-2</v>
      </c>
      <c r="D21847" s="2">
        <v>6.8341208654563501E-2</v>
      </c>
      <c r="E21847" s="2">
        <v>7.5068660360085401E-2</v>
      </c>
      <c r="F21847" s="2">
        <v>7.6277984710580699E-2</v>
      </c>
    </row>
    <row r="21848" spans="1:6" x14ac:dyDescent="0.25">
      <c r="A21848" s="1" t="str">
        <f t="shared" si="809"/>
        <v>33700</v>
      </c>
      <c r="B21848" s="1" t="str">
        <f>"95361"</f>
        <v>95361</v>
      </c>
      <c r="C21848" s="2">
        <v>6.8195412781062698E-2</v>
      </c>
      <c r="D21848" s="2">
        <v>7.7045511066898706E-2</v>
      </c>
      <c r="E21848" s="2">
        <v>6.3320109856576101E-2</v>
      </c>
      <c r="F21848" s="2">
        <v>6.8828403803709096E-2</v>
      </c>
    </row>
    <row r="21849" spans="1:6" x14ac:dyDescent="0.25">
      <c r="A21849" s="1" t="str">
        <f t="shared" si="809"/>
        <v>33700</v>
      </c>
      <c r="B21849" s="1" t="str">
        <f>"95354"</f>
        <v>95354</v>
      </c>
      <c r="C21849" s="2">
        <v>4.8946351699859697E-2</v>
      </c>
      <c r="D21849" s="2">
        <v>0.121114150708778</v>
      </c>
      <c r="E21849" s="2">
        <v>0.138236191638693</v>
      </c>
      <c r="F21849" s="2">
        <v>5.7775445869124899E-2</v>
      </c>
    </row>
    <row r="21850" spans="1:6" x14ac:dyDescent="0.25">
      <c r="A21850" s="1" t="str">
        <f t="shared" si="809"/>
        <v>33700</v>
      </c>
      <c r="B21850" s="1" t="str">
        <f>"95357"</f>
        <v>95357</v>
      </c>
      <c r="C21850" s="2">
        <v>3.0261132193883E-2</v>
      </c>
      <c r="D21850" s="2">
        <v>3.99900522258144E-2</v>
      </c>
      <c r="E21850" s="2">
        <v>5.6454073848031701E-3</v>
      </c>
      <c r="F21850" s="2">
        <v>3.04097269498779E-2</v>
      </c>
    </row>
    <row r="21851" spans="1:6" x14ac:dyDescent="0.25">
      <c r="A21851" s="1" t="str">
        <f t="shared" si="809"/>
        <v>33700</v>
      </c>
      <c r="B21851" s="1" t="str">
        <f>"95386"</f>
        <v>95386</v>
      </c>
      <c r="C21851" s="2">
        <v>1.6581845281871701E-2</v>
      </c>
      <c r="D21851" s="2">
        <v>7.0131808007958202E-3</v>
      </c>
      <c r="E21851" s="2">
        <v>2.1361000915471402E-2</v>
      </c>
      <c r="F21851" s="2">
        <v>1.5883477800855899E-2</v>
      </c>
    </row>
    <row r="21852" spans="1:6" x14ac:dyDescent="0.25">
      <c r="A21852" s="1" t="str">
        <f t="shared" si="809"/>
        <v>33700</v>
      </c>
      <c r="B21852" s="1" t="str">
        <f>"95323"</f>
        <v>95323</v>
      </c>
      <c r="C21852" s="2">
        <v>1.8729346237950899E-3</v>
      </c>
      <c r="D21852" s="2">
        <v>1.0942551604078499E-3</v>
      </c>
      <c r="E21852" s="2">
        <v>1.5257857796765299E-4</v>
      </c>
      <c r="F21852" s="2">
        <v>1.75615847921011E-3</v>
      </c>
    </row>
    <row r="21853" spans="1:6" x14ac:dyDescent="0.25">
      <c r="A21853" s="1" t="str">
        <f t="shared" si="809"/>
        <v>33700</v>
      </c>
      <c r="B21853" s="1" t="str">
        <f>"95350"</f>
        <v>95350</v>
      </c>
      <c r="C21853" s="2">
        <v>0.102378921150432</v>
      </c>
      <c r="D21853" s="2">
        <v>0.10241233523998999</v>
      </c>
      <c r="E21853" s="2">
        <v>0.18050045773573301</v>
      </c>
      <c r="F21853" s="2">
        <v>0.104602002454285</v>
      </c>
    </row>
    <row r="21854" spans="1:6" x14ac:dyDescent="0.25">
      <c r="A21854" s="1" t="str">
        <f t="shared" si="809"/>
        <v>33700</v>
      </c>
      <c r="B21854" s="1" t="str">
        <f>"95358"</f>
        <v>95358</v>
      </c>
      <c r="C21854" s="2">
        <v>5.6286098118240001E-2</v>
      </c>
      <c r="D21854" s="2">
        <v>3.2380004973887003E-2</v>
      </c>
      <c r="E21854" s="2">
        <v>2.1666158071406701E-2</v>
      </c>
      <c r="F21854" s="2">
        <v>5.3218106210730302E-2</v>
      </c>
    </row>
    <row r="21855" spans="1:6" x14ac:dyDescent="0.25">
      <c r="A21855" s="1" t="str">
        <f t="shared" si="809"/>
        <v>33700</v>
      </c>
      <c r="B21855" s="1" t="str">
        <f>"95353"</f>
        <v>95353</v>
      </c>
      <c r="C21855" s="2">
        <v>5.9914296080565603E-3</v>
      </c>
      <c r="D21855" s="2">
        <v>1.8851032081571701E-2</v>
      </c>
      <c r="E21855" s="2">
        <v>3.0515715593530597E-4</v>
      </c>
      <c r="F21855" s="2">
        <v>6.9509186226514004E-3</v>
      </c>
    </row>
    <row r="21856" spans="1:6" x14ac:dyDescent="0.25">
      <c r="A21856" s="1" t="str">
        <f t="shared" ref="A21856:A21888" si="810">"33740"</f>
        <v>33740</v>
      </c>
      <c r="B21856" s="1" t="str">
        <f>"71202"</f>
        <v>71202</v>
      </c>
      <c r="C21856" s="2">
        <v>0.110339550454328</v>
      </c>
      <c r="D21856" s="2">
        <v>6.9447120015411201E-2</v>
      </c>
      <c r="E21856" s="2">
        <v>8.1135225375625994E-2</v>
      </c>
      <c r="F21856" s="2">
        <v>0.10599777828656699</v>
      </c>
    </row>
    <row r="21857" spans="1:6" x14ac:dyDescent="0.25">
      <c r="A21857" s="1" t="str">
        <f t="shared" si="810"/>
        <v>33740</v>
      </c>
      <c r="B21857" s="1" t="str">
        <f>"71250"</f>
        <v>71250</v>
      </c>
      <c r="C21857" s="2">
        <v>9.66044954567192E-4</v>
      </c>
      <c r="D21857" s="2">
        <v>1.0595261028703499E-3</v>
      </c>
      <c r="E21857" s="2">
        <v>3.33889816360601E-4</v>
      </c>
      <c r="F21857" s="2">
        <v>9.5821991571056603E-4</v>
      </c>
    </row>
    <row r="21858" spans="1:6" x14ac:dyDescent="0.25">
      <c r="A21858" s="1" t="str">
        <f t="shared" si="810"/>
        <v>33740</v>
      </c>
      <c r="B21858" s="1" t="str">
        <f>"71292"</f>
        <v>71292</v>
      </c>
      <c r="C21858" s="2">
        <v>0.105710186513629</v>
      </c>
      <c r="D21858" s="2">
        <v>7.6767482180697302E-2</v>
      </c>
      <c r="E21858" s="2">
        <v>0.11986644407345499</v>
      </c>
      <c r="F21858" s="2">
        <v>0.103521670185792</v>
      </c>
    </row>
    <row r="21859" spans="1:6" x14ac:dyDescent="0.25">
      <c r="A21859" s="1" t="str">
        <f t="shared" si="810"/>
        <v>33740</v>
      </c>
      <c r="B21859" s="1" t="str">
        <f>"71210"</f>
        <v>71210</v>
      </c>
      <c r="C21859" s="2">
        <v>1.31037780966044E-2</v>
      </c>
      <c r="D21859" s="2">
        <v>2.18647659410518E-2</v>
      </c>
      <c r="E21859" s="2">
        <v>6.67779632721202E-4</v>
      </c>
      <c r="F21859" s="2">
        <v>1.35592357984176E-2</v>
      </c>
    </row>
    <row r="21860" spans="1:6" x14ac:dyDescent="0.25">
      <c r="A21860" s="1" t="str">
        <f t="shared" si="810"/>
        <v>33740</v>
      </c>
      <c r="B21860" s="1" t="str">
        <f>"71294"</f>
        <v>71294</v>
      </c>
      <c r="C21860" s="2">
        <v>1.5523672883787599E-2</v>
      </c>
      <c r="D21860" s="2">
        <v>4.4211134656135603E-2</v>
      </c>
      <c r="E21860" s="2">
        <v>6.67779632721202E-4</v>
      </c>
      <c r="F21860" s="2">
        <v>1.76719495959364E-2</v>
      </c>
    </row>
    <row r="21861" spans="1:6" x14ac:dyDescent="0.25">
      <c r="A21861" s="1" t="str">
        <f t="shared" si="810"/>
        <v>33740</v>
      </c>
      <c r="B21861" s="1" t="str">
        <f>"71269"</f>
        <v>71269</v>
      </c>
      <c r="C21861" s="2">
        <v>1.9129603060736401E-5</v>
      </c>
      <c r="D21861" s="2">
        <v>0</v>
      </c>
      <c r="E21861" s="2">
        <v>0</v>
      </c>
      <c r="F21861" s="2">
        <v>1.6959644525850701E-5</v>
      </c>
    </row>
    <row r="21862" spans="1:6" x14ac:dyDescent="0.25">
      <c r="A21862" s="1" t="str">
        <f t="shared" si="810"/>
        <v>33740</v>
      </c>
      <c r="B21862" s="1" t="str">
        <f>"71256"</f>
        <v>71256</v>
      </c>
      <c r="C21862" s="2">
        <v>2.50597800095648E-3</v>
      </c>
      <c r="D21862" s="2">
        <v>4.8160277403197803E-4</v>
      </c>
      <c r="E21862" s="2">
        <v>1.0016694490817999E-3</v>
      </c>
      <c r="F21862" s="2">
        <v>2.2895520109898399E-3</v>
      </c>
    </row>
    <row r="21863" spans="1:6" x14ac:dyDescent="0.25">
      <c r="A21863" s="1" t="str">
        <f t="shared" si="810"/>
        <v>33740</v>
      </c>
      <c r="B21863" s="1" t="str">
        <f>"71277"</f>
        <v>71277</v>
      </c>
      <c r="C21863" s="2">
        <v>9.5648015303682402E-3</v>
      </c>
      <c r="D21863" s="2">
        <v>3.27489886341745E-3</v>
      </c>
      <c r="E21863" s="2">
        <v>3.33889816360601E-4</v>
      </c>
      <c r="F21863" s="2">
        <v>8.7766160421277502E-3</v>
      </c>
    </row>
    <row r="21864" spans="1:6" x14ac:dyDescent="0.25">
      <c r="A21864" s="1" t="str">
        <f t="shared" si="810"/>
        <v>33740</v>
      </c>
      <c r="B21864" s="1" t="str">
        <f>"71261"</f>
        <v>71261</v>
      </c>
      <c r="C21864" s="2">
        <v>6.9727403156384501E-3</v>
      </c>
      <c r="D21864" s="2">
        <v>2.6006549797726801E-3</v>
      </c>
      <c r="E21864" s="2">
        <v>1.6694490818030001E-3</v>
      </c>
      <c r="F21864" s="2">
        <v>6.4531447420861998E-3</v>
      </c>
    </row>
    <row r="21865" spans="1:6" x14ac:dyDescent="0.25">
      <c r="A21865" s="1" t="str">
        <f t="shared" si="810"/>
        <v>33740</v>
      </c>
      <c r="B21865" s="1" t="str">
        <f>"71260"</f>
        <v>71260</v>
      </c>
      <c r="C21865" s="2">
        <v>1.3208990913438501E-2</v>
      </c>
      <c r="D21865" s="2">
        <v>4.4307455210941997E-3</v>
      </c>
      <c r="E21865" s="2">
        <v>1.6694490818030001E-3</v>
      </c>
      <c r="F21865" s="2">
        <v>1.2143105480509101E-2</v>
      </c>
    </row>
    <row r="21866" spans="1:6" x14ac:dyDescent="0.25">
      <c r="A21866" s="1" t="str">
        <f t="shared" si="810"/>
        <v>33740</v>
      </c>
      <c r="B21866" s="1" t="str">
        <f>"71264"</f>
        <v>71264</v>
      </c>
      <c r="C21866" s="2">
        <v>2.3338115734098499E-3</v>
      </c>
      <c r="D21866" s="2">
        <v>1.25216721248314E-3</v>
      </c>
      <c r="E21866" s="2">
        <v>3.33889816360601E-4</v>
      </c>
      <c r="F21866" s="2">
        <v>2.18779414383474E-3</v>
      </c>
    </row>
    <row r="21867" spans="1:6" x14ac:dyDescent="0.25">
      <c r="A21867" s="1" t="str">
        <f t="shared" si="810"/>
        <v>33740</v>
      </c>
      <c r="B21867" s="1" t="str">
        <f>"71418"</f>
        <v>71418</v>
      </c>
      <c r="C21867" s="2">
        <v>1.19560019129603E-3</v>
      </c>
      <c r="D21867" s="2">
        <v>9.6320554806395594E-5</v>
      </c>
      <c r="E21867" s="2">
        <v>0</v>
      </c>
      <c r="F21867" s="2">
        <v>1.0684576051285899E-3</v>
      </c>
    </row>
    <row r="21868" spans="1:6" x14ac:dyDescent="0.25">
      <c r="A21868" s="1" t="str">
        <f t="shared" si="810"/>
        <v>33740</v>
      </c>
      <c r="B21868" s="1" t="str">
        <f>"71281"</f>
        <v>71281</v>
      </c>
      <c r="C21868" s="2">
        <v>0</v>
      </c>
      <c r="D21868" s="2">
        <v>0</v>
      </c>
      <c r="E21868" s="2">
        <v>3.33889816360601E-4</v>
      </c>
      <c r="F21868" s="2">
        <v>8.4798222629253608E-6</v>
      </c>
    </row>
    <row r="21869" spans="1:6" x14ac:dyDescent="0.25">
      <c r="A21869" s="1" t="str">
        <f t="shared" si="810"/>
        <v>33740</v>
      </c>
      <c r="B21869" s="1" t="str">
        <f>"71241"</f>
        <v>71241</v>
      </c>
      <c r="C21869" s="2">
        <v>4.7661406025824901E-2</v>
      </c>
      <c r="D21869" s="2">
        <v>3.9009824696590201E-2</v>
      </c>
      <c r="E21869" s="2">
        <v>4.2070116861435698E-2</v>
      </c>
      <c r="F21869" s="2">
        <v>4.6757739957770397E-2</v>
      </c>
    </row>
    <row r="21870" spans="1:6" x14ac:dyDescent="0.25">
      <c r="A21870" s="1" t="str">
        <f t="shared" si="810"/>
        <v>33740</v>
      </c>
      <c r="B21870" s="1" t="str">
        <f>"71209"</f>
        <v>71209</v>
      </c>
      <c r="C21870" s="2">
        <v>0</v>
      </c>
      <c r="D21870" s="2">
        <v>9.6320554806395594E-5</v>
      </c>
      <c r="E21870" s="2">
        <v>0</v>
      </c>
      <c r="F21870" s="2">
        <v>8.4798222629253608E-6</v>
      </c>
    </row>
    <row r="21871" spans="1:6" x14ac:dyDescent="0.25">
      <c r="A21871" s="1" t="str">
        <f t="shared" si="810"/>
        <v>33740</v>
      </c>
      <c r="B21871" s="1" t="str">
        <f>"71240"</f>
        <v>71240</v>
      </c>
      <c r="C21871" s="2">
        <v>0</v>
      </c>
      <c r="D21871" s="2">
        <v>0</v>
      </c>
      <c r="E21871" s="2">
        <v>3.33889816360601E-4</v>
      </c>
      <c r="F21871" s="2">
        <v>8.4798222629253608E-6</v>
      </c>
    </row>
    <row r="21872" spans="1:6" x14ac:dyDescent="0.25">
      <c r="A21872" s="1" t="str">
        <f t="shared" si="810"/>
        <v>33740</v>
      </c>
      <c r="B21872" s="1" t="str">
        <f>"71280"</f>
        <v>71280</v>
      </c>
      <c r="C21872" s="2">
        <v>1.9636537541846001E-2</v>
      </c>
      <c r="D21872" s="2">
        <v>9.5357349258331694E-3</v>
      </c>
      <c r="E21872" s="2">
        <v>1.0016694490818E-2</v>
      </c>
      <c r="F21872" s="2">
        <v>1.8502972177703102E-2</v>
      </c>
    </row>
    <row r="21873" spans="1:6" x14ac:dyDescent="0.25">
      <c r="A21873" s="1" t="str">
        <f t="shared" si="810"/>
        <v>33740</v>
      </c>
      <c r="B21873" s="1" t="str">
        <f>"71229"</f>
        <v>71229</v>
      </c>
      <c r="C21873" s="2">
        <v>6.3892874222859801E-3</v>
      </c>
      <c r="D21873" s="2">
        <v>5.77923328838374E-4</v>
      </c>
      <c r="E21873" s="2">
        <v>2.3372287145242E-3</v>
      </c>
      <c r="F21873" s="2">
        <v>5.7747589610521698E-3</v>
      </c>
    </row>
    <row r="21874" spans="1:6" x14ac:dyDescent="0.25">
      <c r="A21874" s="1" t="str">
        <f t="shared" si="810"/>
        <v>33740</v>
      </c>
      <c r="B21874" s="1" t="str">
        <f>"71203"</f>
        <v>71203</v>
      </c>
      <c r="C21874" s="2">
        <v>0.16856049736967901</v>
      </c>
      <c r="D21874" s="2">
        <v>0.11905220574070501</v>
      </c>
      <c r="E21874" s="2">
        <v>0.23038397328881399</v>
      </c>
      <c r="F21874" s="2">
        <v>0.165772045417928</v>
      </c>
    </row>
    <row r="21875" spans="1:6" x14ac:dyDescent="0.25">
      <c r="A21875" s="1" t="str">
        <f t="shared" si="810"/>
        <v>33740</v>
      </c>
      <c r="B21875" s="1" t="str">
        <f>"71213"</f>
        <v>71213</v>
      </c>
      <c r="C21875" s="2">
        <v>3.0511716881874702E-3</v>
      </c>
      <c r="D21875" s="2">
        <v>3.3712194182238401E-3</v>
      </c>
      <c r="E21875" s="2">
        <v>6.67779632721202E-4</v>
      </c>
      <c r="F21875" s="2">
        <v>3.0188167256014302E-3</v>
      </c>
    </row>
    <row r="21876" spans="1:6" x14ac:dyDescent="0.25">
      <c r="A21876" s="1" t="str">
        <f t="shared" si="810"/>
        <v>33740</v>
      </c>
      <c r="B21876" s="1" t="str">
        <f>"71291"</f>
        <v>71291</v>
      </c>
      <c r="C21876" s="2">
        <v>0.16054519368723</v>
      </c>
      <c r="D21876" s="2">
        <v>0.16268541706800199</v>
      </c>
      <c r="E21876" s="2">
        <v>0.22604340567612599</v>
      </c>
      <c r="F21876" s="2">
        <v>0.16239707615728299</v>
      </c>
    </row>
    <row r="21877" spans="1:6" x14ac:dyDescent="0.25">
      <c r="A21877" s="1" t="str">
        <f t="shared" si="810"/>
        <v>33740</v>
      </c>
      <c r="B21877" s="1" t="str">
        <f>"71222"</f>
        <v>71222</v>
      </c>
      <c r="C21877" s="2">
        <v>1.25298900047824E-2</v>
      </c>
      <c r="D21877" s="2">
        <v>2.7932960893854702E-3</v>
      </c>
      <c r="E21877" s="2">
        <v>4.6744574290484104E-3</v>
      </c>
      <c r="F21877" s="2">
        <v>1.1473199521738E-2</v>
      </c>
    </row>
    <row r="21878" spans="1:6" x14ac:dyDescent="0.25">
      <c r="A21878" s="1" t="str">
        <f t="shared" si="810"/>
        <v>33740</v>
      </c>
      <c r="B21878" s="1" t="str">
        <f>"71201"</f>
        <v>71201</v>
      </c>
      <c r="C21878" s="2">
        <v>0.102467718794835</v>
      </c>
      <c r="D21878" s="2">
        <v>0.25553843190136699</v>
      </c>
      <c r="E21878" s="2">
        <v>0.23005008347245401</v>
      </c>
      <c r="F21878" s="2">
        <v>0.119183901905416</v>
      </c>
    </row>
    <row r="21879" spans="1:6" x14ac:dyDescent="0.25">
      <c r="A21879" s="1" t="str">
        <f t="shared" si="810"/>
        <v>33740</v>
      </c>
      <c r="B21879" s="1" t="str">
        <f>"71234"</f>
        <v>71234</v>
      </c>
      <c r="C21879" s="2">
        <v>2.0966044954567099E-2</v>
      </c>
      <c r="D21879" s="2">
        <v>3.3712194182238401E-3</v>
      </c>
      <c r="E21879" s="2">
        <v>3.0050083472454E-3</v>
      </c>
      <c r="F21879" s="2">
        <v>1.8960882579901101E-2</v>
      </c>
    </row>
    <row r="21880" spans="1:6" x14ac:dyDescent="0.25">
      <c r="A21880" s="1" t="str">
        <f t="shared" si="810"/>
        <v>33740</v>
      </c>
      <c r="B21880" s="1" t="str">
        <f>"71211"</f>
        <v>71211</v>
      </c>
      <c r="C21880" s="2">
        <v>1.39454806312769E-2</v>
      </c>
      <c r="D21880" s="2">
        <v>5.0183009054132102E-2</v>
      </c>
      <c r="E21880" s="2">
        <v>6.67779632721202E-4</v>
      </c>
      <c r="F21880" s="2">
        <v>1.67985279028551E-2</v>
      </c>
    </row>
    <row r="21881" spans="1:6" x14ac:dyDescent="0.25">
      <c r="A21881" s="1" t="str">
        <f t="shared" si="810"/>
        <v>33740</v>
      </c>
      <c r="B21881" s="1" t="str">
        <f>"71223"</f>
        <v>71223</v>
      </c>
      <c r="C21881" s="2">
        <v>1.75992348158775E-3</v>
      </c>
      <c r="D21881" s="2">
        <v>8.66884993257561E-4</v>
      </c>
      <c r="E21881" s="2">
        <v>3.33889816360601E-4</v>
      </c>
      <c r="F21881" s="2">
        <v>1.64508551900752E-3</v>
      </c>
    </row>
    <row r="21882" spans="1:6" x14ac:dyDescent="0.25">
      <c r="A21882" s="1" t="str">
        <f t="shared" si="810"/>
        <v>33740</v>
      </c>
      <c r="B21882" s="1" t="str">
        <f>"71238"</f>
        <v>71238</v>
      </c>
      <c r="C21882" s="2">
        <v>1.02725968436154E-2</v>
      </c>
      <c r="D21882" s="2">
        <v>1.73376998651512E-3</v>
      </c>
      <c r="E21882" s="2">
        <v>1.3355592654424001E-3</v>
      </c>
      <c r="F21882" s="2">
        <v>9.2938852001661996E-3</v>
      </c>
    </row>
    <row r="21883" spans="1:6" x14ac:dyDescent="0.25">
      <c r="A21883" s="1" t="str">
        <f t="shared" si="810"/>
        <v>33740</v>
      </c>
      <c r="B21883" s="1" t="str">
        <f>"71220"</f>
        <v>71220</v>
      </c>
      <c r="C21883" s="2">
        <v>0.105251076040172</v>
      </c>
      <c r="D21883" s="2">
        <v>8.7459063764207201E-2</v>
      </c>
      <c r="E21883" s="2">
        <v>2.7045075125208599E-2</v>
      </c>
      <c r="F21883" s="2">
        <v>0.101698508399263</v>
      </c>
    </row>
    <row r="21884" spans="1:6" x14ac:dyDescent="0.25">
      <c r="A21884" s="1" t="str">
        <f t="shared" si="810"/>
        <v>33740</v>
      </c>
      <c r="B21884" s="1" t="str">
        <f>"71212"</f>
        <v>71212</v>
      </c>
      <c r="C21884" s="2">
        <v>0</v>
      </c>
      <c r="D21884" s="2">
        <v>1.92641109612791E-4</v>
      </c>
      <c r="E21884" s="2">
        <v>0</v>
      </c>
      <c r="F21884" s="2">
        <v>1.6959644525850701E-5</v>
      </c>
    </row>
    <row r="21885" spans="1:6" x14ac:dyDescent="0.25">
      <c r="A21885" s="1" t="str">
        <f t="shared" si="810"/>
        <v>33740</v>
      </c>
      <c r="B21885" s="1" t="str">
        <f>"71235"</f>
        <v>71235</v>
      </c>
      <c r="C21885" s="2">
        <v>1.2434241989478699E-4</v>
      </c>
      <c r="D21885" s="2">
        <v>0</v>
      </c>
      <c r="E21885" s="2">
        <v>0</v>
      </c>
      <c r="F21885" s="2">
        <v>1.1023768941802899E-4</v>
      </c>
    </row>
    <row r="21886" spans="1:6" x14ac:dyDescent="0.25">
      <c r="A21886" s="1" t="str">
        <f t="shared" si="810"/>
        <v>33740</v>
      </c>
      <c r="B21886" s="1" t="str">
        <f>"71227"</f>
        <v>71227</v>
      </c>
      <c r="C21886" s="2">
        <v>7.9387852702056405E-4</v>
      </c>
      <c r="D21886" s="2">
        <v>9.6320554806395594E-5</v>
      </c>
      <c r="E21886" s="2">
        <v>1.3355592654424001E-3</v>
      </c>
      <c r="F21886" s="2">
        <v>7.4622435913743201E-4</v>
      </c>
    </row>
    <row r="21887" spans="1:6" x14ac:dyDescent="0.25">
      <c r="A21887" s="1" t="str">
        <f t="shared" si="810"/>
        <v>33740</v>
      </c>
      <c r="B21887" s="1" t="str">
        <f>"71225"</f>
        <v>71225</v>
      </c>
      <c r="C21887" s="2">
        <v>3.3629842180774701E-2</v>
      </c>
      <c r="D21887" s="2">
        <v>8.4762088229628201E-3</v>
      </c>
      <c r="E21887" s="2">
        <v>1.10183639398998E-2</v>
      </c>
      <c r="F21887" s="2">
        <v>3.0841113570259499E-2</v>
      </c>
    </row>
    <row r="21888" spans="1:6" x14ac:dyDescent="0.25">
      <c r="A21888" s="1" t="str">
        <f t="shared" si="810"/>
        <v>33740</v>
      </c>
      <c r="B21888" s="1" t="str">
        <f>"71207"</f>
        <v>71207</v>
      </c>
      <c r="C21888" s="2">
        <v>1.0970827355332301E-2</v>
      </c>
      <c r="D21888" s="2">
        <v>2.9474089770756998E-2</v>
      </c>
      <c r="E21888" s="2">
        <v>6.67779632721202E-4</v>
      </c>
      <c r="F21888" s="2">
        <v>1.2338141392556399E-2</v>
      </c>
    </row>
    <row r="21889" spans="1:6" x14ac:dyDescent="0.25">
      <c r="A21889" s="1" t="str">
        <f t="shared" ref="A21889:A21913" si="811">"33780"</f>
        <v>33780</v>
      </c>
      <c r="B21889" s="1" t="str">
        <f>"48144"</f>
        <v>48144</v>
      </c>
      <c r="C21889" s="2">
        <v>6.75087660005914E-2</v>
      </c>
      <c r="D21889" s="2">
        <v>9.1354723707664801E-2</v>
      </c>
      <c r="E21889" s="2">
        <v>4.2466550319953403E-2</v>
      </c>
      <c r="F21889" s="2">
        <v>6.83372183372183E-2</v>
      </c>
    </row>
    <row r="21890" spans="1:6" x14ac:dyDescent="0.25">
      <c r="A21890" s="1" t="str">
        <f t="shared" si="811"/>
        <v>33780</v>
      </c>
      <c r="B21890" s="1" t="str">
        <f>"49270"</f>
        <v>49270</v>
      </c>
      <c r="C21890" s="2">
        <v>3.4472561362004099E-2</v>
      </c>
      <c r="D21890" s="2">
        <v>1.15864527629233E-2</v>
      </c>
      <c r="E21890" s="2">
        <v>1.8615474112856301E-2</v>
      </c>
      <c r="F21890" s="2">
        <v>3.27894327894327E-2</v>
      </c>
    </row>
    <row r="21891" spans="1:6" x14ac:dyDescent="0.25">
      <c r="A21891" s="1" t="str">
        <f t="shared" si="811"/>
        <v>33780</v>
      </c>
      <c r="B21891" s="1" t="str">
        <f>"48111"</f>
        <v>48111</v>
      </c>
      <c r="C21891" s="2">
        <v>3.5204821652373502E-4</v>
      </c>
      <c r="D21891" s="2">
        <v>0</v>
      </c>
      <c r="E21891" s="2">
        <v>0</v>
      </c>
      <c r="F21891" s="2">
        <v>3.2375032375032297E-4</v>
      </c>
    </row>
    <row r="21892" spans="1:6" x14ac:dyDescent="0.25">
      <c r="A21892" s="1" t="str">
        <f t="shared" si="811"/>
        <v>33780</v>
      </c>
      <c r="B21892" s="1" t="str">
        <f>"48164"</f>
        <v>48164</v>
      </c>
      <c r="C21892" s="2">
        <v>1.9714700125329101E-4</v>
      </c>
      <c r="D21892" s="2">
        <v>0</v>
      </c>
      <c r="E21892" s="2">
        <v>0</v>
      </c>
      <c r="F21892" s="2">
        <v>1.8130018130018099E-4</v>
      </c>
    </row>
    <row r="21893" spans="1:6" x14ac:dyDescent="0.25">
      <c r="A21893" s="1" t="str">
        <f t="shared" si="811"/>
        <v>33780</v>
      </c>
      <c r="B21893" s="1" t="str">
        <f>"48179"</f>
        <v>48179</v>
      </c>
      <c r="C21893" s="2">
        <v>2.0123076056496599E-2</v>
      </c>
      <c r="D21893" s="2">
        <v>4.2335115864527602E-3</v>
      </c>
      <c r="E21893" s="2">
        <v>4.42117510180337E-2</v>
      </c>
      <c r="F21893" s="2">
        <v>1.9735819735819699E-2</v>
      </c>
    </row>
    <row r="21894" spans="1:6" x14ac:dyDescent="0.25">
      <c r="A21894" s="1" t="str">
        <f t="shared" si="811"/>
        <v>33780</v>
      </c>
      <c r="B21894" s="1" t="str">
        <f>"48157"</f>
        <v>48157</v>
      </c>
      <c r="C21894" s="2">
        <v>1.0392463351780601E-2</v>
      </c>
      <c r="D21894" s="2">
        <v>5.5704099821746803E-3</v>
      </c>
      <c r="E21894" s="2">
        <v>1.33798720186154E-2</v>
      </c>
      <c r="F21894" s="2">
        <v>1.0178710178710099E-2</v>
      </c>
    </row>
    <row r="21895" spans="1:6" x14ac:dyDescent="0.25">
      <c r="A21895" s="1" t="str">
        <f t="shared" si="811"/>
        <v>33780</v>
      </c>
      <c r="B21895" s="1" t="str">
        <f>"48161"</f>
        <v>48161</v>
      </c>
      <c r="C21895" s="2">
        <v>0.186233506541055</v>
      </c>
      <c r="D21895" s="2">
        <v>0.30592691622103302</v>
      </c>
      <c r="E21895" s="2">
        <v>0.29435718440954001</v>
      </c>
      <c r="F21895" s="2">
        <v>0.195596995596995</v>
      </c>
    </row>
    <row r="21896" spans="1:6" x14ac:dyDescent="0.25">
      <c r="A21896" s="1" t="str">
        <f t="shared" si="811"/>
        <v>33780</v>
      </c>
      <c r="B21896" s="1" t="str">
        <f>"48182"</f>
        <v>48182</v>
      </c>
      <c r="C21896" s="2">
        <v>0.14090377818145899</v>
      </c>
      <c r="D21896" s="2">
        <v>0.11185383244206699</v>
      </c>
      <c r="E21896" s="2">
        <v>8.0860965677719596E-2</v>
      </c>
      <c r="F21896" s="2">
        <v>0.13787878787878699</v>
      </c>
    </row>
    <row r="21897" spans="1:6" x14ac:dyDescent="0.25">
      <c r="A21897" s="1" t="str">
        <f t="shared" si="811"/>
        <v>33780</v>
      </c>
      <c r="B21897" s="1" t="str">
        <f>"48191"</f>
        <v>48191</v>
      </c>
      <c r="C21897" s="2">
        <v>9.8573500626645801E-4</v>
      </c>
      <c r="D21897" s="2">
        <v>1.3368983957219201E-3</v>
      </c>
      <c r="E21897" s="2">
        <v>0</v>
      </c>
      <c r="F21897" s="2">
        <v>9.8420098420098391E-4</v>
      </c>
    </row>
    <row r="21898" spans="1:6" x14ac:dyDescent="0.25">
      <c r="A21898" s="1" t="str">
        <f t="shared" si="811"/>
        <v>33780</v>
      </c>
      <c r="B21898" s="1" t="str">
        <f>"49238"</f>
        <v>49238</v>
      </c>
      <c r="C21898" s="2">
        <v>1.2392097221635399E-3</v>
      </c>
      <c r="D21898" s="2">
        <v>6.6844919786096199E-4</v>
      </c>
      <c r="E21898" s="2">
        <v>0</v>
      </c>
      <c r="F21898" s="2">
        <v>1.1784511784511699E-3</v>
      </c>
    </row>
    <row r="21899" spans="1:6" x14ac:dyDescent="0.25">
      <c r="A21899" s="1" t="str">
        <f t="shared" si="811"/>
        <v>33780</v>
      </c>
      <c r="B21899" s="1" t="str">
        <f>"48133"</f>
        <v>48133</v>
      </c>
      <c r="C21899" s="2">
        <v>3.8598566459662302E-2</v>
      </c>
      <c r="D21899" s="2">
        <v>3.20855614973262E-2</v>
      </c>
      <c r="E21899" s="2">
        <v>4.5375218150087201E-2</v>
      </c>
      <c r="F21899" s="2">
        <v>3.8370888370888298E-2</v>
      </c>
    </row>
    <row r="21900" spans="1:6" x14ac:dyDescent="0.25">
      <c r="A21900" s="1" t="str">
        <f t="shared" si="811"/>
        <v>33780</v>
      </c>
      <c r="B21900" s="1" t="str">
        <f>"48117"</f>
        <v>48117</v>
      </c>
      <c r="C21900" s="2">
        <v>6.74665202146085E-2</v>
      </c>
      <c r="D21900" s="2">
        <v>4.0552584670231699E-2</v>
      </c>
      <c r="E21900" s="2">
        <v>2.50145433391506E-2</v>
      </c>
      <c r="F21900" s="2">
        <v>6.4957264957264907E-2</v>
      </c>
    </row>
    <row r="21901" spans="1:6" x14ac:dyDescent="0.25">
      <c r="A21901" s="1" t="str">
        <f t="shared" si="811"/>
        <v>33780</v>
      </c>
      <c r="B21901" s="1" t="str">
        <f>"48166"</f>
        <v>48166</v>
      </c>
      <c r="C21901" s="2">
        <v>8.0858434371171406E-2</v>
      </c>
      <c r="D21901" s="2">
        <v>2.94117647058823E-2</v>
      </c>
      <c r="E21901" s="2">
        <v>4.2466550319953403E-2</v>
      </c>
      <c r="F21901" s="2">
        <v>7.7013727013726996E-2</v>
      </c>
    </row>
    <row r="21902" spans="1:6" x14ac:dyDescent="0.25">
      <c r="A21902" s="1" t="str">
        <f t="shared" si="811"/>
        <v>33780</v>
      </c>
      <c r="B21902" s="1" t="str">
        <f>"48162"</f>
        <v>48162</v>
      </c>
      <c r="C21902" s="2">
        <v>0.185994113753819</v>
      </c>
      <c r="D21902" s="2">
        <v>0.22727272727272699</v>
      </c>
      <c r="E21902" s="2">
        <v>0.23036649214659599</v>
      </c>
      <c r="F21902" s="2">
        <v>0.18938098938098899</v>
      </c>
    </row>
    <row r="21903" spans="1:6" x14ac:dyDescent="0.25">
      <c r="A21903" s="1" t="str">
        <f t="shared" si="811"/>
        <v>33780</v>
      </c>
      <c r="B21903" s="1" t="str">
        <f>"48145"</f>
        <v>48145</v>
      </c>
      <c r="C21903" s="2">
        <v>2.0728598988917501E-2</v>
      </c>
      <c r="D21903" s="2">
        <v>6.0160427807486603E-3</v>
      </c>
      <c r="E21903" s="2">
        <v>1.7452006980802699E-3</v>
      </c>
      <c r="F21903" s="2">
        <v>1.94509194509194E-2</v>
      </c>
    </row>
    <row r="21904" spans="1:6" x14ac:dyDescent="0.25">
      <c r="A21904" s="1" t="str">
        <f t="shared" si="811"/>
        <v>33780</v>
      </c>
      <c r="B21904" s="1" t="str">
        <f>"48140"</f>
        <v>48140</v>
      </c>
      <c r="C21904" s="2">
        <v>1.75460831115429E-2</v>
      </c>
      <c r="D21904" s="2">
        <v>1.06951871657754E-2</v>
      </c>
      <c r="E21904" s="2">
        <v>1.1634671320535099E-2</v>
      </c>
      <c r="F21904" s="2">
        <v>1.7016317016316999E-2</v>
      </c>
    </row>
    <row r="21905" spans="1:6" x14ac:dyDescent="0.25">
      <c r="A21905" s="1" t="str">
        <f t="shared" si="811"/>
        <v>33780</v>
      </c>
      <c r="B21905" s="1" t="str">
        <f>"49267"</f>
        <v>49267</v>
      </c>
      <c r="C21905" s="2">
        <v>2.20804641403686E-2</v>
      </c>
      <c r="D21905" s="2">
        <v>2.6069518716577499E-2</v>
      </c>
      <c r="E21905" s="2">
        <v>1.27981384525887E-2</v>
      </c>
      <c r="F21905" s="2">
        <v>2.2105672105672099E-2</v>
      </c>
    </row>
    <row r="21906" spans="1:6" x14ac:dyDescent="0.25">
      <c r="A21906" s="1" t="str">
        <f t="shared" si="811"/>
        <v>33780</v>
      </c>
      <c r="B21906" s="1" t="str">
        <f>"49228"</f>
        <v>49228</v>
      </c>
      <c r="C21906" s="2">
        <v>1.12655429287595E-4</v>
      </c>
      <c r="D21906" s="2">
        <v>0</v>
      </c>
      <c r="E21906" s="2">
        <v>0</v>
      </c>
      <c r="F21906" s="2">
        <v>1.0360010360010299E-4</v>
      </c>
    </row>
    <row r="21907" spans="1:6" x14ac:dyDescent="0.25">
      <c r="A21907" s="1" t="str">
        <f t="shared" si="811"/>
        <v>33780</v>
      </c>
      <c r="B21907" s="1" t="str">
        <f>"48160"</f>
        <v>48160</v>
      </c>
      <c r="C21907" s="2">
        <v>2.9149592328165198E-2</v>
      </c>
      <c r="D21907" s="2">
        <v>2.18360071301247E-2</v>
      </c>
      <c r="E21907" s="2">
        <v>4.5375218150087201E-2</v>
      </c>
      <c r="F21907" s="2">
        <v>2.9085729085729001E-2</v>
      </c>
    </row>
    <row r="21908" spans="1:6" x14ac:dyDescent="0.25">
      <c r="A21908" s="1" t="str">
        <f t="shared" si="811"/>
        <v>33780</v>
      </c>
      <c r="B21908" s="1" t="str">
        <f>"48177"</f>
        <v>48177</v>
      </c>
      <c r="C21908" s="2">
        <v>1.9714700125329101E-4</v>
      </c>
      <c r="D21908" s="2">
        <v>0</v>
      </c>
      <c r="E21908" s="2">
        <v>5.8173356602675896E-4</v>
      </c>
      <c r="F21908" s="2">
        <v>1.9425019425019401E-4</v>
      </c>
    </row>
    <row r="21909" spans="1:6" x14ac:dyDescent="0.25">
      <c r="A21909" s="1" t="str">
        <f t="shared" si="811"/>
        <v>33780</v>
      </c>
      <c r="B21909" s="1" t="str">
        <f>"48134"</f>
        <v>48134</v>
      </c>
      <c r="C21909" s="2">
        <v>6.3227859687662799E-3</v>
      </c>
      <c r="D21909" s="2">
        <v>1.15864527629233E-2</v>
      </c>
      <c r="E21909" s="2">
        <v>1.45433391506689E-2</v>
      </c>
      <c r="F21909" s="2">
        <v>6.8117068117068101E-3</v>
      </c>
    </row>
    <row r="21910" spans="1:6" x14ac:dyDescent="0.25">
      <c r="A21910" s="1" t="str">
        <f t="shared" si="811"/>
        <v>33780</v>
      </c>
      <c r="B21910" s="1" t="str">
        <f>"49229"</f>
        <v>49229</v>
      </c>
      <c r="C21910" s="2">
        <v>7.0409643304747004E-4</v>
      </c>
      <c r="D21910" s="2">
        <v>0</v>
      </c>
      <c r="E21910" s="2">
        <v>0</v>
      </c>
      <c r="F21910" s="2">
        <v>6.4750064750064703E-4</v>
      </c>
    </row>
    <row r="21911" spans="1:6" x14ac:dyDescent="0.25">
      <c r="A21911" s="1" t="str">
        <f t="shared" si="811"/>
        <v>33780</v>
      </c>
      <c r="B21911" s="1" t="str">
        <f>"48159"</f>
        <v>48159</v>
      </c>
      <c r="C21911" s="2">
        <v>1.4462140734794999E-2</v>
      </c>
      <c r="D21911" s="2">
        <v>4.9019607843137202E-3</v>
      </c>
      <c r="E21911" s="2">
        <v>4.6538685282140699E-3</v>
      </c>
      <c r="F21911" s="2">
        <v>1.36881636881636E-2</v>
      </c>
    </row>
    <row r="21912" spans="1:6" x14ac:dyDescent="0.25">
      <c r="A21912" s="1" t="str">
        <f t="shared" si="811"/>
        <v>33780</v>
      </c>
      <c r="B21912" s="1" t="str">
        <f>"48131"</f>
        <v>48131</v>
      </c>
      <c r="C21912" s="2">
        <v>5.1215974539872901E-2</v>
      </c>
      <c r="D21912" s="2">
        <v>5.6372549019607802E-2</v>
      </c>
      <c r="E21912" s="2">
        <v>7.0389761489237895E-2</v>
      </c>
      <c r="F21912" s="2">
        <v>5.1942501942501898E-2</v>
      </c>
    </row>
    <row r="21913" spans="1:6" x14ac:dyDescent="0.25">
      <c r="A21913" s="1" t="str">
        <f t="shared" si="811"/>
        <v>33780</v>
      </c>
      <c r="B21913" s="1" t="str">
        <f>"49276"</f>
        <v>49276</v>
      </c>
      <c r="C21913" s="2">
        <v>2.1545350851252501E-3</v>
      </c>
      <c r="D21913" s="2">
        <v>6.6844919786096199E-4</v>
      </c>
      <c r="E21913" s="2">
        <v>1.1634671320535099E-3</v>
      </c>
      <c r="F21913" s="2">
        <v>2.0461020461020399E-3</v>
      </c>
    </row>
    <row r="21914" spans="1:6" x14ac:dyDescent="0.25">
      <c r="A21914" s="1" t="str">
        <f t="shared" ref="A21914:A21945" si="812">"33860"</f>
        <v>33860</v>
      </c>
      <c r="B21914" s="1" t="str">
        <f>"36069"</f>
        <v>36069</v>
      </c>
      <c r="C21914" s="2">
        <v>7.3279402613565603E-3</v>
      </c>
      <c r="D21914" s="2">
        <v>3.8656792883424102E-3</v>
      </c>
      <c r="E21914" s="2">
        <v>1.27082744987291E-3</v>
      </c>
      <c r="F21914" s="2">
        <v>6.8169534668828498E-3</v>
      </c>
    </row>
    <row r="21915" spans="1:6" x14ac:dyDescent="0.25">
      <c r="A21915" s="1" t="str">
        <f t="shared" si="812"/>
        <v>33860</v>
      </c>
      <c r="B21915" s="1" t="str">
        <f>"36052"</f>
        <v>36052</v>
      </c>
      <c r="C21915" s="2">
        <v>2.20535158680771E-3</v>
      </c>
      <c r="D21915" s="2">
        <v>7.9176563737133805E-4</v>
      </c>
      <c r="E21915" s="2">
        <v>8.47218299915278E-4</v>
      </c>
      <c r="F21915" s="2">
        <v>2.0311383091863198E-3</v>
      </c>
    </row>
    <row r="21916" spans="1:6" x14ac:dyDescent="0.25">
      <c r="A21916" s="1" t="str">
        <f t="shared" si="812"/>
        <v>33860</v>
      </c>
      <c r="B21916" s="1" t="str">
        <f>"36121"</f>
        <v>36121</v>
      </c>
      <c r="C21916" s="2">
        <v>3.1362787803360199E-3</v>
      </c>
      <c r="D21916" s="2">
        <v>9.5943365469703303E-3</v>
      </c>
      <c r="E21916" s="2">
        <v>1.41203049985879E-4</v>
      </c>
      <c r="F21916" s="2">
        <v>3.6482033579162002E-3</v>
      </c>
    </row>
    <row r="21917" spans="1:6" x14ac:dyDescent="0.25">
      <c r="A21917" s="1" t="str">
        <f t="shared" si="812"/>
        <v>33860</v>
      </c>
      <c r="B21917" s="1" t="str">
        <f>"36025"</f>
        <v>36025</v>
      </c>
      <c r="C21917" s="2">
        <v>8.9856876166770298E-3</v>
      </c>
      <c r="D21917" s="2">
        <v>5.6355083601136403E-3</v>
      </c>
      <c r="E21917" s="2">
        <v>2.5416548997458299E-3</v>
      </c>
      <c r="F21917" s="2">
        <v>8.4732465087086102E-3</v>
      </c>
    </row>
    <row r="21918" spans="1:6" x14ac:dyDescent="0.25">
      <c r="A21918" s="1" t="str">
        <f t="shared" si="812"/>
        <v>33860</v>
      </c>
      <c r="B21918" s="1" t="str">
        <f>"36117"</f>
        <v>36117</v>
      </c>
      <c r="C21918" s="2">
        <v>0.11948724331051599</v>
      </c>
      <c r="D21918" s="2">
        <v>0.150808066694611</v>
      </c>
      <c r="E21918" s="2">
        <v>0.117763343688223</v>
      </c>
      <c r="F21918" s="2">
        <v>0.122365186463727</v>
      </c>
    </row>
    <row r="21919" spans="1:6" x14ac:dyDescent="0.25">
      <c r="A21919" s="1" t="str">
        <f t="shared" si="812"/>
        <v>33860</v>
      </c>
      <c r="B21919" s="1" t="str">
        <f>"36124"</f>
        <v>36124</v>
      </c>
      <c r="C21919" s="2">
        <v>5.8942128189172303E-3</v>
      </c>
      <c r="D21919" s="2">
        <v>2.9155605234968001E-2</v>
      </c>
      <c r="E21919" s="2">
        <v>2.8240609997175903E-4</v>
      </c>
      <c r="F21919" s="2">
        <v>7.8979026099691395E-3</v>
      </c>
    </row>
    <row r="21920" spans="1:6" x14ac:dyDescent="0.25">
      <c r="A21920" s="1" t="str">
        <f t="shared" si="812"/>
        <v>33860</v>
      </c>
      <c r="B21920" s="1" t="str">
        <f>"36107"</f>
        <v>36107</v>
      </c>
      <c r="C21920" s="2">
        <v>2.4706907280647099E-2</v>
      </c>
      <c r="D21920" s="2">
        <v>3.4371943551767502E-2</v>
      </c>
      <c r="E21920" s="2">
        <v>1.70855690482914E-2</v>
      </c>
      <c r="F21920" s="2">
        <v>2.5376152867130401E-2</v>
      </c>
    </row>
    <row r="21921" spans="1:6" x14ac:dyDescent="0.25">
      <c r="A21921" s="1" t="str">
        <f t="shared" si="812"/>
        <v>33860</v>
      </c>
      <c r="B21921" s="1" t="str">
        <f>"36110"</f>
        <v>36110</v>
      </c>
      <c r="C21921" s="2">
        <v>2.92520224019912E-2</v>
      </c>
      <c r="D21921" s="2">
        <v>2.3473522425597301E-2</v>
      </c>
      <c r="E21921" s="2">
        <v>1.4402711098559701E-2</v>
      </c>
      <c r="F21921" s="2">
        <v>2.8252872360827699E-2</v>
      </c>
    </row>
    <row r="21922" spans="1:6" x14ac:dyDescent="0.25">
      <c r="A21922" s="1" t="str">
        <f t="shared" si="812"/>
        <v>33860</v>
      </c>
      <c r="B21922" s="1" t="str">
        <f>"36024"</f>
        <v>36024</v>
      </c>
      <c r="C21922" s="2">
        <v>1.83596764156813E-2</v>
      </c>
      <c r="D21922" s="2">
        <v>9.0820176051418094E-3</v>
      </c>
      <c r="E21922" s="2">
        <v>2.9652640497034701E-3</v>
      </c>
      <c r="F21922" s="2">
        <v>1.7016231671809798E-2</v>
      </c>
    </row>
    <row r="21923" spans="1:6" x14ac:dyDescent="0.25">
      <c r="A21923" s="1" t="str">
        <f t="shared" si="812"/>
        <v>33860</v>
      </c>
      <c r="B21923" s="1" t="str">
        <f>"36022"</f>
        <v>36022</v>
      </c>
      <c r="C21923" s="2">
        <v>3.1188550093341601E-2</v>
      </c>
      <c r="D21923" s="2">
        <v>4.9368916212565702E-3</v>
      </c>
      <c r="E21923" s="2">
        <v>2.8240609997175902E-3</v>
      </c>
      <c r="F21923" s="2">
        <v>2.78562337639695E-2</v>
      </c>
    </row>
    <row r="21924" spans="1:6" x14ac:dyDescent="0.25">
      <c r="A21924" s="1" t="str">
        <f t="shared" si="812"/>
        <v>33860</v>
      </c>
      <c r="B21924" s="1" t="str">
        <f>"36057"</f>
        <v>36057</v>
      </c>
      <c r="C21924" s="2">
        <v>0</v>
      </c>
      <c r="D21924" s="2">
        <v>4.6574449257137498E-5</v>
      </c>
      <c r="E21924" s="2">
        <v>0</v>
      </c>
      <c r="F21924" s="2">
        <v>4.3586658995414603E-6</v>
      </c>
    </row>
    <row r="21925" spans="1:6" x14ac:dyDescent="0.25">
      <c r="A21925" s="1" t="str">
        <f t="shared" si="812"/>
        <v>33860</v>
      </c>
      <c r="B21925" s="1" t="str">
        <f>"36065"</f>
        <v>36065</v>
      </c>
      <c r="C21925" s="2">
        <v>0</v>
      </c>
      <c r="D21925" s="2">
        <v>4.6574449257137498E-5</v>
      </c>
      <c r="E21925" s="2">
        <v>0</v>
      </c>
      <c r="F21925" s="2">
        <v>4.3586658995414603E-6</v>
      </c>
    </row>
    <row r="21926" spans="1:6" x14ac:dyDescent="0.25">
      <c r="A21926" s="1" t="str">
        <f t="shared" si="812"/>
        <v>33860</v>
      </c>
      <c r="B21926" s="1" t="str">
        <f>"36091"</f>
        <v>36091</v>
      </c>
      <c r="C21926" s="2">
        <v>1.0852520224019901E-3</v>
      </c>
      <c r="D21926" s="2">
        <v>1.39723347771412E-4</v>
      </c>
      <c r="E21926" s="2">
        <v>0</v>
      </c>
      <c r="F21926" s="2">
        <v>9.6326516379866402E-4</v>
      </c>
    </row>
    <row r="21927" spans="1:6" x14ac:dyDescent="0.25">
      <c r="A21927" s="1" t="str">
        <f t="shared" si="812"/>
        <v>33860</v>
      </c>
      <c r="B21927" s="1" t="str">
        <f>"36119"</f>
        <v>36119</v>
      </c>
      <c r="C21927" s="2">
        <v>0</v>
      </c>
      <c r="D21927" s="2">
        <v>0</v>
      </c>
      <c r="E21927" s="2">
        <v>4.23609149957639E-4</v>
      </c>
      <c r="F21927" s="2">
        <v>1.3075997698624399E-5</v>
      </c>
    </row>
    <row r="21928" spans="1:6" x14ac:dyDescent="0.25">
      <c r="A21928" s="1" t="str">
        <f t="shared" si="812"/>
        <v>33860</v>
      </c>
      <c r="B21928" s="1" t="str">
        <f>"36761"</f>
        <v>36761</v>
      </c>
      <c r="C21928" s="2">
        <v>1.4387056627255699E-3</v>
      </c>
      <c r="D21928" s="2">
        <v>1.2575101299427099E-3</v>
      </c>
      <c r="E21928" s="2">
        <v>5.6481219994351805E-4</v>
      </c>
      <c r="F21928" s="2">
        <v>1.39477308785326E-3</v>
      </c>
    </row>
    <row r="21929" spans="1:6" x14ac:dyDescent="0.25">
      <c r="A21929" s="1" t="str">
        <f t="shared" si="812"/>
        <v>33860</v>
      </c>
      <c r="B21929" s="1" t="str">
        <f>"36080"</f>
        <v>36080</v>
      </c>
      <c r="C21929" s="2">
        <v>7.3030491599253202E-3</v>
      </c>
      <c r="D21929" s="2">
        <v>1.4903823762283999E-3</v>
      </c>
      <c r="E21929" s="2">
        <v>9.1781982490821805E-3</v>
      </c>
      <c r="F21929" s="2">
        <v>6.8169534668828498E-3</v>
      </c>
    </row>
    <row r="21930" spans="1:6" x14ac:dyDescent="0.25">
      <c r="A21930" s="1" t="str">
        <f t="shared" si="812"/>
        <v>33860</v>
      </c>
      <c r="B21930" s="1" t="str">
        <f>"36064"</f>
        <v>36064</v>
      </c>
      <c r="C21930" s="2">
        <v>2.7599253266956999E-2</v>
      </c>
      <c r="D21930" s="2">
        <v>7.3121885333705897E-3</v>
      </c>
      <c r="E21930" s="2">
        <v>1.9768426998023102E-3</v>
      </c>
      <c r="F21930" s="2">
        <v>2.4909775615879402E-2</v>
      </c>
    </row>
    <row r="21931" spans="1:6" x14ac:dyDescent="0.25">
      <c r="A21931" s="1" t="str">
        <f t="shared" si="812"/>
        <v>33860</v>
      </c>
      <c r="B21931" s="1" t="str">
        <f>"36046"</f>
        <v>36046</v>
      </c>
      <c r="C21931" s="2">
        <v>1.6925948973241999E-3</v>
      </c>
      <c r="D21931" s="2">
        <v>7.9176563737133805E-4</v>
      </c>
      <c r="E21931" s="2">
        <v>4.23609149957639E-4</v>
      </c>
      <c r="F21931" s="2">
        <v>1.5691197238349201E-3</v>
      </c>
    </row>
    <row r="21932" spans="1:6" x14ac:dyDescent="0.25">
      <c r="A21932" s="1" t="str">
        <f t="shared" si="812"/>
        <v>33860</v>
      </c>
      <c r="B21932" s="1" t="str">
        <f>"36006"</f>
        <v>36006</v>
      </c>
      <c r="C21932" s="2">
        <v>2.4891101431238302E-3</v>
      </c>
      <c r="D21932" s="2">
        <v>4.1917004331423698E-4</v>
      </c>
      <c r="E21932" s="2">
        <v>7.0601524992939797E-4</v>
      </c>
      <c r="F21932" s="2">
        <v>2.2403542723643099E-3</v>
      </c>
    </row>
    <row r="21933" spans="1:6" x14ac:dyDescent="0.25">
      <c r="A21933" s="1" t="str">
        <f t="shared" si="812"/>
        <v>33860</v>
      </c>
      <c r="B21933" s="1" t="str">
        <f>"36120"</f>
        <v>36120</v>
      </c>
      <c r="C21933" s="2">
        <v>4.7044181705040398E-3</v>
      </c>
      <c r="D21933" s="2">
        <v>7.3587629826277296E-3</v>
      </c>
      <c r="E21933" s="2">
        <v>2.8240609997175903E-4</v>
      </c>
      <c r="F21933" s="2">
        <v>4.81632581899332E-3</v>
      </c>
    </row>
    <row r="21934" spans="1:6" x14ac:dyDescent="0.25">
      <c r="A21934" s="1" t="str">
        <f t="shared" si="812"/>
        <v>33860</v>
      </c>
      <c r="B21934" s="1" t="str">
        <f>"36701"</f>
        <v>36701</v>
      </c>
      <c r="C21934" s="2">
        <v>4.9782202862476599E-6</v>
      </c>
      <c r="D21934" s="2">
        <v>0</v>
      </c>
      <c r="E21934" s="2">
        <v>0</v>
      </c>
      <c r="F21934" s="2">
        <v>4.3586658995414603E-6</v>
      </c>
    </row>
    <row r="21935" spans="1:6" x14ac:dyDescent="0.25">
      <c r="A21935" s="1" t="str">
        <f t="shared" si="812"/>
        <v>33860</v>
      </c>
      <c r="B21935" s="1" t="str">
        <f>"36775"</f>
        <v>36775</v>
      </c>
      <c r="C21935" s="2">
        <v>3.4847542003733602E-4</v>
      </c>
      <c r="D21935" s="2">
        <v>4.6574449257137498E-5</v>
      </c>
      <c r="E21935" s="2">
        <v>0</v>
      </c>
      <c r="F21935" s="2">
        <v>3.0946527886744398E-4</v>
      </c>
    </row>
    <row r="21936" spans="1:6" x14ac:dyDescent="0.25">
      <c r="A21936" s="1" t="str">
        <f t="shared" si="812"/>
        <v>33860</v>
      </c>
      <c r="B21936" s="1" t="str">
        <f>"36785"</f>
        <v>36785</v>
      </c>
      <c r="C21936" s="2">
        <v>2.6583696328562499E-3</v>
      </c>
      <c r="D21936" s="2">
        <v>7.4519118811419997E-4</v>
      </c>
      <c r="E21936" s="2">
        <v>1.41203049985879E-4</v>
      </c>
      <c r="F21936" s="2">
        <v>2.4016249106473399E-3</v>
      </c>
    </row>
    <row r="21937" spans="1:6" x14ac:dyDescent="0.25">
      <c r="A21937" s="1" t="str">
        <f t="shared" si="812"/>
        <v>33860</v>
      </c>
      <c r="B21937" s="1" t="str">
        <f>"36752"</f>
        <v>36752</v>
      </c>
      <c r="C21937" s="2">
        <v>4.9334163036714304E-3</v>
      </c>
      <c r="D21937" s="2">
        <v>2.7478925061711098E-3</v>
      </c>
      <c r="E21937" s="2">
        <v>5.7893250494210598E-3</v>
      </c>
      <c r="F21937" s="2">
        <v>4.75530449639974E-3</v>
      </c>
    </row>
    <row r="21938" spans="1:6" x14ac:dyDescent="0.25">
      <c r="A21938" s="1" t="str">
        <f t="shared" si="812"/>
        <v>33860</v>
      </c>
      <c r="B21938" s="1" t="str">
        <f>"36078"</f>
        <v>36078</v>
      </c>
      <c r="C21938" s="2">
        <v>2.2332296204107E-2</v>
      </c>
      <c r="D21938" s="2">
        <v>1.9188673093940602E-2</v>
      </c>
      <c r="E21938" s="2">
        <v>5.9305280994069402E-3</v>
      </c>
      <c r="F21938" s="2">
        <v>2.1531809543734799E-2</v>
      </c>
    </row>
    <row r="21939" spans="1:6" x14ac:dyDescent="0.25">
      <c r="A21939" s="1" t="str">
        <f t="shared" si="812"/>
        <v>33860</v>
      </c>
      <c r="B21939" s="1" t="str">
        <f>"36104"</f>
        <v>36104</v>
      </c>
      <c r="C21939" s="2">
        <v>3.4006222775357801E-2</v>
      </c>
      <c r="D21939" s="2">
        <v>0.13674258301895501</v>
      </c>
      <c r="E21939" s="2">
        <v>0.116068907088393</v>
      </c>
      <c r="F21939" s="2">
        <v>4.6153913210244597E-2</v>
      </c>
    </row>
    <row r="21940" spans="1:6" x14ac:dyDescent="0.25">
      <c r="A21940" s="1" t="str">
        <f t="shared" si="812"/>
        <v>33860</v>
      </c>
      <c r="B21940" s="1" t="str">
        <f>"36029"</f>
        <v>36029</v>
      </c>
      <c r="C21940" s="2">
        <v>1.14499066583696E-4</v>
      </c>
      <c r="D21940" s="2">
        <v>0</v>
      </c>
      <c r="E21940" s="2">
        <v>0</v>
      </c>
      <c r="F21940" s="2">
        <v>1.0024931568945299E-4</v>
      </c>
    </row>
    <row r="21941" spans="1:6" x14ac:dyDescent="0.25">
      <c r="A21941" s="1" t="str">
        <f t="shared" si="812"/>
        <v>33860</v>
      </c>
      <c r="B21941" s="1" t="str">
        <f>"36113"</f>
        <v>36113</v>
      </c>
      <c r="C21941" s="2">
        <v>3.1014312383322901E-3</v>
      </c>
      <c r="D21941" s="2">
        <v>2.3287224628568701E-4</v>
      </c>
      <c r="E21941" s="2">
        <v>1.4120304998587901E-3</v>
      </c>
      <c r="F21941" s="2">
        <v>2.7808288439074499E-3</v>
      </c>
    </row>
    <row r="21942" spans="1:6" x14ac:dyDescent="0.25">
      <c r="A21942" s="1" t="str">
        <f t="shared" si="812"/>
        <v>33860</v>
      </c>
      <c r="B21942" s="1" t="str">
        <f>"36116"</f>
        <v>36116</v>
      </c>
      <c r="C21942" s="2">
        <v>0.101610454262601</v>
      </c>
      <c r="D21942" s="2">
        <v>7.6149224535419793E-2</v>
      </c>
      <c r="E21942" s="2">
        <v>0.19627223948037201</v>
      </c>
      <c r="F21942" s="2">
        <v>0.102149694021653</v>
      </c>
    </row>
    <row r="21943" spans="1:6" x14ac:dyDescent="0.25">
      <c r="A21943" s="1" t="str">
        <f t="shared" si="812"/>
        <v>33860</v>
      </c>
      <c r="B21943" s="1" t="str">
        <f>"36032"</f>
        <v>36032</v>
      </c>
      <c r="C21943" s="2">
        <v>5.0578718108276197E-3</v>
      </c>
      <c r="D21943" s="2">
        <v>1.8629779702855E-3</v>
      </c>
      <c r="E21943" s="2">
        <v>2.1180457497881901E-3</v>
      </c>
      <c r="F21943" s="2">
        <v>4.6681311784089099E-3</v>
      </c>
    </row>
    <row r="21944" spans="1:6" x14ac:dyDescent="0.25">
      <c r="A21944" s="1" t="str">
        <f t="shared" si="812"/>
        <v>33860</v>
      </c>
      <c r="B21944" s="1" t="str">
        <f>"36112"</f>
        <v>36112</v>
      </c>
      <c r="C21944" s="2">
        <v>1.0902302426882299E-3</v>
      </c>
      <c r="D21944" s="2">
        <v>3.2602114479996202E-4</v>
      </c>
      <c r="E21944" s="2">
        <v>0</v>
      </c>
      <c r="F21944" s="2">
        <v>9.8505849329637101E-4</v>
      </c>
    </row>
    <row r="21945" spans="1:6" x14ac:dyDescent="0.25">
      <c r="A21945" s="1" t="str">
        <f t="shared" si="812"/>
        <v>33860</v>
      </c>
      <c r="B21945" s="1" t="str">
        <f>"36101"</f>
        <v>36101</v>
      </c>
      <c r="C21945" s="2">
        <v>2.0360920970752898E-3</v>
      </c>
      <c r="D21945" s="2">
        <v>1.04326766335988E-2</v>
      </c>
      <c r="E21945" s="2">
        <v>2.8240609997175903E-4</v>
      </c>
      <c r="F21945" s="2">
        <v>2.7677528462088301E-3</v>
      </c>
    </row>
    <row r="21946" spans="1:6" x14ac:dyDescent="0.25">
      <c r="A21946" s="1" t="str">
        <f t="shared" ref="A21946:A21981" si="813">"33860"</f>
        <v>33860</v>
      </c>
      <c r="B21946" s="1" t="str">
        <f>"36758"</f>
        <v>36758</v>
      </c>
      <c r="C21946" s="2">
        <v>8.0647168637212104E-4</v>
      </c>
      <c r="D21946" s="2">
        <v>9.3148898514274997E-5</v>
      </c>
      <c r="E21946" s="2">
        <v>0</v>
      </c>
      <c r="F21946" s="2">
        <v>7.148212075248E-4</v>
      </c>
    </row>
    <row r="21947" spans="1:6" x14ac:dyDescent="0.25">
      <c r="A21947" s="1" t="str">
        <f t="shared" si="813"/>
        <v>33860</v>
      </c>
      <c r="B21947" s="1" t="str">
        <f>"36123"</f>
        <v>36123</v>
      </c>
      <c r="C21947" s="2">
        <v>3.9925326695706203E-3</v>
      </c>
      <c r="D21947" s="2">
        <v>1.20162079083414E-2</v>
      </c>
      <c r="E21947" s="2">
        <v>2.8240609997175903E-4</v>
      </c>
      <c r="F21947" s="2">
        <v>4.6289031853130299E-3</v>
      </c>
    </row>
    <row r="21948" spans="1:6" x14ac:dyDescent="0.25">
      <c r="A21948" s="1" t="str">
        <f t="shared" si="813"/>
        <v>33860</v>
      </c>
      <c r="B21948" s="1" t="str">
        <f>"35010"</f>
        <v>35010</v>
      </c>
      <c r="C21948" s="2">
        <v>2.1655258245177299E-3</v>
      </c>
      <c r="D21948" s="2">
        <v>3.2602114479996202E-4</v>
      </c>
      <c r="E21948" s="2">
        <v>2.25924879977407E-3</v>
      </c>
      <c r="F21948" s="2">
        <v>1.99626898198999E-3</v>
      </c>
    </row>
    <row r="21949" spans="1:6" x14ac:dyDescent="0.25">
      <c r="A21949" s="1" t="str">
        <f t="shared" si="813"/>
        <v>33860</v>
      </c>
      <c r="B21949" s="1" t="str">
        <f>"36013"</f>
        <v>36013</v>
      </c>
      <c r="C21949" s="2">
        <v>1.0703173615432401E-3</v>
      </c>
      <c r="D21949" s="2">
        <v>2.7944669554282498E-4</v>
      </c>
      <c r="E21949" s="2">
        <v>5.6481219994351805E-4</v>
      </c>
      <c r="F21949" s="2">
        <v>9.8069982739682989E-4</v>
      </c>
    </row>
    <row r="21950" spans="1:6" x14ac:dyDescent="0.25">
      <c r="A21950" s="1" t="str">
        <f t="shared" si="813"/>
        <v>33860</v>
      </c>
      <c r="B21950" s="1" t="str">
        <f>"36008"</f>
        <v>36008</v>
      </c>
      <c r="C21950" s="2">
        <v>1.49346608587429E-4</v>
      </c>
      <c r="D21950" s="2">
        <v>1.8629779702854999E-4</v>
      </c>
      <c r="E21950" s="2">
        <v>0</v>
      </c>
      <c r="F21950" s="2">
        <v>1.4819464058440899E-4</v>
      </c>
    </row>
    <row r="21951" spans="1:6" x14ac:dyDescent="0.25">
      <c r="A21951" s="1" t="str">
        <f t="shared" si="813"/>
        <v>33860</v>
      </c>
      <c r="B21951" s="1" t="str">
        <f>"36130"</f>
        <v>36130</v>
      </c>
      <c r="C21951" s="2">
        <v>0</v>
      </c>
      <c r="D21951" s="2">
        <v>4.6574449257137498E-5</v>
      </c>
      <c r="E21951" s="2">
        <v>2.6828579497317098E-3</v>
      </c>
      <c r="F21951" s="2">
        <v>8.7173317990829307E-5</v>
      </c>
    </row>
    <row r="21952" spans="1:6" x14ac:dyDescent="0.25">
      <c r="A21952" s="1" t="str">
        <f t="shared" si="813"/>
        <v>33860</v>
      </c>
      <c r="B21952" s="1" t="str">
        <f>"36067"</f>
        <v>36067</v>
      </c>
      <c r="C21952" s="2">
        <v>6.4338518979464798E-2</v>
      </c>
      <c r="D21952" s="2">
        <v>4.6295002561594703E-2</v>
      </c>
      <c r="E21952" s="2">
        <v>2.4286924597571299E-2</v>
      </c>
      <c r="F21952" s="2">
        <v>6.1413602524539201E-2</v>
      </c>
    </row>
    <row r="21953" spans="1:6" x14ac:dyDescent="0.25">
      <c r="A21953" s="1" t="str">
        <f t="shared" si="813"/>
        <v>33860</v>
      </c>
      <c r="B21953" s="1" t="str">
        <f>"36047"</f>
        <v>36047</v>
      </c>
      <c r="C21953" s="2">
        <v>3.7685127566894801E-3</v>
      </c>
      <c r="D21953" s="2">
        <v>8.84914535885613E-4</v>
      </c>
      <c r="E21953" s="2">
        <v>1.41203049985879E-4</v>
      </c>
      <c r="F21953" s="2">
        <v>3.3866834039437202E-3</v>
      </c>
    </row>
    <row r="21954" spans="1:6" x14ac:dyDescent="0.25">
      <c r="A21954" s="1" t="str">
        <f t="shared" si="813"/>
        <v>33860</v>
      </c>
      <c r="B21954" s="1" t="str">
        <f>"36092"</f>
        <v>36092</v>
      </c>
      <c r="C21954" s="2">
        <v>5.4043559427504599E-2</v>
      </c>
      <c r="D21954" s="2">
        <v>5.50044245726794E-2</v>
      </c>
      <c r="E21954" s="2">
        <v>2.0756848347924298E-2</v>
      </c>
      <c r="F21954" s="2">
        <v>5.3105985320013198E-2</v>
      </c>
    </row>
    <row r="21955" spans="1:6" x14ac:dyDescent="0.25">
      <c r="A21955" s="1" t="str">
        <f t="shared" si="813"/>
        <v>33860</v>
      </c>
      <c r="B21955" s="1" t="str">
        <f>"36093"</f>
        <v>36093</v>
      </c>
      <c r="C21955" s="2">
        <v>2.5144990665836899E-2</v>
      </c>
      <c r="D21955" s="2">
        <v>9.3148898514274995E-3</v>
      </c>
      <c r="E21955" s="2">
        <v>1.6944365998305499E-3</v>
      </c>
      <c r="F21955" s="2">
        <v>2.2939658629286701E-2</v>
      </c>
    </row>
    <row r="21956" spans="1:6" x14ac:dyDescent="0.25">
      <c r="A21956" s="1" t="str">
        <f t="shared" si="813"/>
        <v>33860</v>
      </c>
      <c r="B21956" s="1" t="str">
        <f>"36105"</f>
        <v>36105</v>
      </c>
      <c r="C21956" s="2">
        <v>3.2199128811449901E-2</v>
      </c>
      <c r="D21956" s="2">
        <v>2.6314563830282699E-2</v>
      </c>
      <c r="E21956" s="2">
        <v>7.3143179892685595E-2</v>
      </c>
      <c r="F21956" s="2">
        <v>3.2912286207437601E-2</v>
      </c>
    </row>
    <row r="21957" spans="1:6" x14ac:dyDescent="0.25">
      <c r="A21957" s="1" t="str">
        <f t="shared" si="813"/>
        <v>33860</v>
      </c>
      <c r="B21957" s="1" t="str">
        <f>"36051"</f>
        <v>36051</v>
      </c>
      <c r="C21957" s="2">
        <v>5.2968263845675099E-3</v>
      </c>
      <c r="D21957" s="2">
        <v>1.4903823762283999E-3</v>
      </c>
      <c r="E21957" s="2">
        <v>2.40045184975995E-3</v>
      </c>
      <c r="F21957" s="2">
        <v>4.8511951461896498E-3</v>
      </c>
    </row>
    <row r="21958" spans="1:6" x14ac:dyDescent="0.25">
      <c r="A21958" s="1" t="str">
        <f t="shared" si="813"/>
        <v>33860</v>
      </c>
      <c r="B21958" s="1" t="str">
        <f>"36108"</f>
        <v>36108</v>
      </c>
      <c r="C21958" s="2">
        <v>5.8643434971997498E-2</v>
      </c>
      <c r="D21958" s="2">
        <v>5.1837362023194E-2</v>
      </c>
      <c r="E21958" s="2">
        <v>9.7571307540242805E-2</v>
      </c>
      <c r="F21958" s="2">
        <v>5.9208117579371299E-2</v>
      </c>
    </row>
    <row r="21959" spans="1:6" x14ac:dyDescent="0.25">
      <c r="A21959" s="1" t="str">
        <f t="shared" si="813"/>
        <v>33860</v>
      </c>
      <c r="B21959" s="1" t="str">
        <f>"36109"</f>
        <v>36109</v>
      </c>
      <c r="C21959" s="2">
        <v>5.7951462352209E-2</v>
      </c>
      <c r="D21959" s="2">
        <v>5.0160681849937098E-2</v>
      </c>
      <c r="E21959" s="2">
        <v>3.3747528946625201E-2</v>
      </c>
      <c r="F21959" s="2">
        <v>5.64752340603588E-2</v>
      </c>
    </row>
    <row r="21960" spans="1:6" x14ac:dyDescent="0.25">
      <c r="A21960" s="1" t="str">
        <f t="shared" si="813"/>
        <v>33860</v>
      </c>
      <c r="B21960" s="1" t="str">
        <f>"36020"</f>
        <v>36020</v>
      </c>
      <c r="C21960" s="2">
        <v>2.58369632856253E-3</v>
      </c>
      <c r="D21960" s="2">
        <v>8.3834008662847504E-4</v>
      </c>
      <c r="E21960" s="2">
        <v>8.47218299915278E-4</v>
      </c>
      <c r="F21960" s="2">
        <v>2.3667555834510101E-3</v>
      </c>
    </row>
    <row r="21961" spans="1:6" x14ac:dyDescent="0.25">
      <c r="A21961" s="1" t="str">
        <f t="shared" si="813"/>
        <v>33860</v>
      </c>
      <c r="B21961" s="1" t="str">
        <f>"36003"</f>
        <v>36003</v>
      </c>
      <c r="C21961" s="2">
        <v>4.9533291848164202E-3</v>
      </c>
      <c r="D21961" s="2">
        <v>1.58353127474267E-3</v>
      </c>
      <c r="E21961" s="2">
        <v>2.25924879977407E-3</v>
      </c>
      <c r="F21961" s="2">
        <v>4.5548058650208296E-3</v>
      </c>
    </row>
    <row r="21962" spans="1:6" x14ac:dyDescent="0.25">
      <c r="A21962" s="1" t="str">
        <f t="shared" si="813"/>
        <v>33860</v>
      </c>
      <c r="B21962" s="1" t="str">
        <f>"36703"</f>
        <v>36703</v>
      </c>
      <c r="C21962" s="2">
        <v>6.0734287492221505E-4</v>
      </c>
      <c r="D21962" s="2">
        <v>4.65744492571375E-4</v>
      </c>
      <c r="E21962" s="2">
        <v>0</v>
      </c>
      <c r="F21962" s="2">
        <v>5.75343898739473E-4</v>
      </c>
    </row>
    <row r="21963" spans="1:6" x14ac:dyDescent="0.25">
      <c r="A21963" s="1" t="str">
        <f t="shared" si="813"/>
        <v>33860</v>
      </c>
      <c r="B21963" s="1" t="str">
        <f>"36068"</f>
        <v>36068</v>
      </c>
      <c r="C21963" s="2">
        <v>6.57125077784691E-3</v>
      </c>
      <c r="D21963" s="2">
        <v>1.8164035210283602E-2</v>
      </c>
      <c r="E21963" s="2">
        <v>2.8240609997175903E-4</v>
      </c>
      <c r="F21963" s="2">
        <v>7.4620360200149897E-3</v>
      </c>
    </row>
    <row r="21964" spans="1:6" x14ac:dyDescent="0.25">
      <c r="A21964" s="1" t="str">
        <f t="shared" si="813"/>
        <v>33860</v>
      </c>
      <c r="B21964" s="1" t="str">
        <f>"36749"</f>
        <v>36749</v>
      </c>
      <c r="C21964" s="2">
        <v>2.0510267579340298E-3</v>
      </c>
      <c r="D21964" s="2">
        <v>1.39723347771412E-4</v>
      </c>
      <c r="E21964" s="2">
        <v>9.8842134990115705E-4</v>
      </c>
      <c r="F21964" s="2">
        <v>1.8393570096064901E-3</v>
      </c>
    </row>
    <row r="21965" spans="1:6" x14ac:dyDescent="0.25">
      <c r="A21965" s="1" t="str">
        <f t="shared" si="813"/>
        <v>33860</v>
      </c>
      <c r="B21965" s="1" t="str">
        <f>"36043"</f>
        <v>36043</v>
      </c>
      <c r="C21965" s="2">
        <v>1.08326073428749E-2</v>
      </c>
      <c r="D21965" s="2">
        <v>2.9807647524567999E-3</v>
      </c>
      <c r="E21965" s="2">
        <v>5.7893250494210598E-3</v>
      </c>
      <c r="F21965" s="2">
        <v>9.9421169168540796E-3</v>
      </c>
    </row>
    <row r="21966" spans="1:6" x14ac:dyDescent="0.25">
      <c r="A21966" s="1" t="str">
        <f t="shared" si="813"/>
        <v>33860</v>
      </c>
      <c r="B21966" s="1" t="str">
        <f>"36066"</f>
        <v>36066</v>
      </c>
      <c r="C21966" s="2">
        <v>4.7522090852520203E-2</v>
      </c>
      <c r="D21966" s="2">
        <v>3.4930836942853101E-2</v>
      </c>
      <c r="E21966" s="2">
        <v>5.53515955944648E-2</v>
      </c>
      <c r="F21966" s="2">
        <v>4.6585421134299199E-2</v>
      </c>
    </row>
    <row r="21967" spans="1:6" x14ac:dyDescent="0.25">
      <c r="A21967" s="1" t="str">
        <f t="shared" si="813"/>
        <v>33860</v>
      </c>
      <c r="B21967" s="1" t="str">
        <f>"36040"</f>
        <v>36040</v>
      </c>
      <c r="C21967" s="2">
        <v>9.7622899813316708E-3</v>
      </c>
      <c r="D21967" s="2">
        <v>2.6081691583997001E-3</v>
      </c>
      <c r="E21967" s="2">
        <v>4.0948884495905103E-3</v>
      </c>
      <c r="F21967" s="2">
        <v>8.9178304304618396E-3</v>
      </c>
    </row>
    <row r="21968" spans="1:6" x14ac:dyDescent="0.25">
      <c r="A21968" s="1" t="str">
        <f t="shared" si="813"/>
        <v>33860</v>
      </c>
      <c r="B21968" s="1" t="str">
        <f>"36111"</f>
        <v>36111</v>
      </c>
      <c r="C21968" s="2">
        <v>3.3030491599253198E-2</v>
      </c>
      <c r="D21968" s="2">
        <v>2.0353034325369099E-2</v>
      </c>
      <c r="E21968" s="2">
        <v>3.91132448460886E-2</v>
      </c>
      <c r="F21968" s="2">
        <v>3.2031835695730197E-2</v>
      </c>
    </row>
    <row r="21969" spans="1:6" x14ac:dyDescent="0.25">
      <c r="A21969" s="1" t="str">
        <f t="shared" si="813"/>
        <v>33860</v>
      </c>
      <c r="B21969" s="1" t="str">
        <f>"36114"</f>
        <v>36114</v>
      </c>
      <c r="C21969" s="2">
        <v>4.9782202862476599E-6</v>
      </c>
      <c r="D21969" s="2">
        <v>1.07121233291416E-3</v>
      </c>
      <c r="E21969" s="2">
        <v>0</v>
      </c>
      <c r="F21969" s="2">
        <v>1.0460798158899501E-4</v>
      </c>
    </row>
    <row r="21970" spans="1:6" x14ac:dyDescent="0.25">
      <c r="A21970" s="1" t="str">
        <f t="shared" si="813"/>
        <v>33860</v>
      </c>
      <c r="B21970" s="1" t="str">
        <f>"36026"</f>
        <v>36026</v>
      </c>
      <c r="C21970" s="2">
        <v>1.39390168014934E-3</v>
      </c>
      <c r="D21970" s="2">
        <v>2.3287224628568701E-4</v>
      </c>
      <c r="E21970" s="2">
        <v>1.41203049985879E-4</v>
      </c>
      <c r="F21970" s="2">
        <v>1.2465784472688499E-3</v>
      </c>
    </row>
    <row r="21971" spans="1:6" x14ac:dyDescent="0.25">
      <c r="A21971" s="1" t="str">
        <f t="shared" si="813"/>
        <v>33860</v>
      </c>
      <c r="B21971" s="1" t="str">
        <f>"36131"</f>
        <v>36131</v>
      </c>
      <c r="C21971" s="2">
        <v>0</v>
      </c>
      <c r="D21971" s="2">
        <v>0</v>
      </c>
      <c r="E21971" s="2">
        <v>1.41203049985879E-4</v>
      </c>
      <c r="F21971" s="2">
        <v>4.3586658995414603E-6</v>
      </c>
    </row>
    <row r="21972" spans="1:6" x14ac:dyDescent="0.25">
      <c r="A21972" s="1" t="str">
        <f t="shared" si="813"/>
        <v>33860</v>
      </c>
      <c r="B21972" s="1" t="str">
        <f>"36118"</f>
        <v>36118</v>
      </c>
      <c r="C21972" s="2">
        <v>0</v>
      </c>
      <c r="D21972" s="2">
        <v>4.6574449257137498E-5</v>
      </c>
      <c r="E21972" s="2">
        <v>0</v>
      </c>
      <c r="F21972" s="2">
        <v>4.3586658995414603E-6</v>
      </c>
    </row>
    <row r="21973" spans="1:6" x14ac:dyDescent="0.25">
      <c r="A21973" s="1" t="str">
        <f t="shared" si="813"/>
        <v>33860</v>
      </c>
      <c r="B21973" s="1" t="str">
        <f>"36041"</f>
        <v>36041</v>
      </c>
      <c r="C21973" s="2">
        <v>1.24455507156191E-4</v>
      </c>
      <c r="D21973" s="2">
        <v>0</v>
      </c>
      <c r="E21973" s="2">
        <v>0</v>
      </c>
      <c r="F21973" s="2">
        <v>1.08966647488536E-4</v>
      </c>
    </row>
    <row r="21974" spans="1:6" x14ac:dyDescent="0.25">
      <c r="A21974" s="1" t="str">
        <f t="shared" si="813"/>
        <v>33860</v>
      </c>
      <c r="B21974" s="1" t="str">
        <f>"35136"</f>
        <v>35136</v>
      </c>
      <c r="C21974" s="2">
        <v>9.9564405724953299E-6</v>
      </c>
      <c r="D21974" s="2">
        <v>0</v>
      </c>
      <c r="E21974" s="2">
        <v>0</v>
      </c>
      <c r="F21974" s="2">
        <v>8.7173317990829307E-6</v>
      </c>
    </row>
    <row r="21975" spans="1:6" x14ac:dyDescent="0.25">
      <c r="A21975" s="1" t="str">
        <f t="shared" si="813"/>
        <v>33860</v>
      </c>
      <c r="B21975" s="1" t="str">
        <f>"36103"</f>
        <v>36103</v>
      </c>
      <c r="C21975" s="2">
        <v>2.5140012445550699E-3</v>
      </c>
      <c r="D21975" s="2">
        <v>9.7340598947417405E-3</v>
      </c>
      <c r="E21975" s="2">
        <v>2.8240609997175903E-4</v>
      </c>
      <c r="F21975" s="2">
        <v>3.12080478407169E-3</v>
      </c>
    </row>
    <row r="21976" spans="1:6" x14ac:dyDescent="0.25">
      <c r="A21976" s="1" t="str">
        <f t="shared" si="813"/>
        <v>33860</v>
      </c>
      <c r="B21976" s="1" t="str">
        <f>"36106"</f>
        <v>36106</v>
      </c>
      <c r="C21976" s="2">
        <v>3.8048537647790898E-2</v>
      </c>
      <c r="D21976" s="2">
        <v>6.2782357598621302E-2</v>
      </c>
      <c r="E21976" s="2">
        <v>6.2976560293702299E-2</v>
      </c>
      <c r="F21976" s="2">
        <v>4.1132730093972801E-2</v>
      </c>
    </row>
    <row r="21977" spans="1:6" x14ac:dyDescent="0.25">
      <c r="A21977" s="1" t="str">
        <f t="shared" si="813"/>
        <v>33860</v>
      </c>
      <c r="B21977" s="1" t="str">
        <f>"36054"</f>
        <v>36054</v>
      </c>
      <c r="C21977" s="2">
        <v>4.06820161792159E-2</v>
      </c>
      <c r="D21977" s="2">
        <v>3.50239858413674E-2</v>
      </c>
      <c r="E21977" s="2">
        <v>5.6481219994351803E-3</v>
      </c>
      <c r="F21977" s="2">
        <v>3.9071081123489698E-2</v>
      </c>
    </row>
    <row r="21978" spans="1:6" x14ac:dyDescent="0.25">
      <c r="A21978" s="1" t="str">
        <f t="shared" si="813"/>
        <v>33860</v>
      </c>
      <c r="B21978" s="1" t="str">
        <f>"36115"</f>
        <v>36115</v>
      </c>
      <c r="C21978" s="2">
        <v>1.5930304915992501E-3</v>
      </c>
      <c r="D21978" s="2">
        <v>1.39723347771412E-4</v>
      </c>
      <c r="E21978" s="2">
        <v>1.4685117198531401E-2</v>
      </c>
      <c r="F21978" s="2">
        <v>1.8611503391042E-3</v>
      </c>
    </row>
    <row r="21979" spans="1:6" x14ac:dyDescent="0.25">
      <c r="A21979" s="1" t="str">
        <f t="shared" si="813"/>
        <v>33860</v>
      </c>
      <c r="B21979" s="1" t="str">
        <f>"36125"</f>
        <v>36125</v>
      </c>
      <c r="C21979" s="2">
        <v>7.3179838207840598E-3</v>
      </c>
      <c r="D21979" s="2">
        <v>5.6355083601136403E-3</v>
      </c>
      <c r="E21979" s="2">
        <v>2.8240609997175903E-4</v>
      </c>
      <c r="F21979" s="2">
        <v>6.9433547779695504E-3</v>
      </c>
    </row>
    <row r="21980" spans="1:6" x14ac:dyDescent="0.25">
      <c r="A21980" s="1" t="str">
        <f t="shared" si="813"/>
        <v>33860</v>
      </c>
      <c r="B21980" s="1" t="str">
        <f>"36102"</f>
        <v>36102</v>
      </c>
      <c r="C21980" s="2">
        <v>2.31985065339141E-3</v>
      </c>
      <c r="D21980" s="2">
        <v>8.8957198081132602E-3</v>
      </c>
      <c r="E21980" s="2">
        <v>2.8240609997175903E-4</v>
      </c>
      <c r="F21980" s="2">
        <v>2.8723608277978199E-3</v>
      </c>
    </row>
    <row r="21981" spans="1:6" x14ac:dyDescent="0.25">
      <c r="A21981" s="1" t="str">
        <f t="shared" si="813"/>
        <v>33860</v>
      </c>
      <c r="B21981" s="1" t="str">
        <f>"36036"</f>
        <v>36036</v>
      </c>
      <c r="C21981" s="2">
        <v>4.3559427504666999E-3</v>
      </c>
      <c r="D21981" s="2">
        <v>1.07121233291416E-3</v>
      </c>
      <c r="E21981" s="2">
        <v>4.5608585145439098E-2</v>
      </c>
      <c r="F21981" s="2">
        <v>5.3219310633401302E-3</v>
      </c>
    </row>
    <row r="21982" spans="1:6" x14ac:dyDescent="0.25">
      <c r="A21982" s="1" t="str">
        <f t="shared" ref="A21982:A22013" si="814">"33874"</f>
        <v>33874</v>
      </c>
      <c r="B21982" s="1" t="str">
        <f>"19422"</f>
        <v>19422</v>
      </c>
      <c r="C21982" s="2">
        <v>1.9052803483941201E-3</v>
      </c>
      <c r="D21982" s="2">
        <v>0</v>
      </c>
      <c r="E21982" s="2">
        <v>3.3557046979865702E-3</v>
      </c>
      <c r="F21982" s="2">
        <v>1.7714791851195699E-3</v>
      </c>
    </row>
    <row r="21983" spans="1:6" x14ac:dyDescent="0.25">
      <c r="A21983" s="1" t="str">
        <f t="shared" si="814"/>
        <v>33874</v>
      </c>
      <c r="B21983" s="1" t="str">
        <f>"19025"</f>
        <v>19025</v>
      </c>
      <c r="C21983" s="2">
        <v>0</v>
      </c>
      <c r="D21983" s="2">
        <v>5.5147058823529398E-3</v>
      </c>
      <c r="E21983" s="2">
        <v>0</v>
      </c>
      <c r="F21983" s="2">
        <v>6.6430469441983999E-4</v>
      </c>
    </row>
    <row r="21984" spans="1:6" x14ac:dyDescent="0.25">
      <c r="A21984" s="1" t="str">
        <f t="shared" si="814"/>
        <v>33874</v>
      </c>
      <c r="B21984" s="1" t="str">
        <f>"19301"</f>
        <v>19301</v>
      </c>
      <c r="C21984" s="2">
        <v>8.1654872074033696E-3</v>
      </c>
      <c r="D21984" s="2">
        <v>0</v>
      </c>
      <c r="E21984" s="2">
        <v>0</v>
      </c>
      <c r="F21984" s="2">
        <v>6.6430469441983997E-3</v>
      </c>
    </row>
    <row r="21985" spans="1:6" x14ac:dyDescent="0.25">
      <c r="A21985" s="1" t="str">
        <f t="shared" si="814"/>
        <v>33874</v>
      </c>
      <c r="B21985" s="1" t="str">
        <f>"18917"</f>
        <v>18917</v>
      </c>
      <c r="C21985" s="2">
        <v>0</v>
      </c>
      <c r="D21985" s="2">
        <v>1.8382352941176401E-3</v>
      </c>
      <c r="E21985" s="2">
        <v>0</v>
      </c>
      <c r="F21985" s="2">
        <v>2.21434898139946E-4</v>
      </c>
    </row>
    <row r="21986" spans="1:6" x14ac:dyDescent="0.25">
      <c r="A21986" s="1" t="str">
        <f t="shared" si="814"/>
        <v>33874</v>
      </c>
      <c r="B21986" s="1" t="str">
        <f>"19007"</f>
        <v>19007</v>
      </c>
      <c r="C21986" s="2">
        <v>1.0342950462710899E-2</v>
      </c>
      <c r="D21986" s="2">
        <v>3.6764705882352902E-3</v>
      </c>
      <c r="E21986" s="2">
        <v>1.34228187919463E-2</v>
      </c>
      <c r="F21986" s="2">
        <v>9.7431355181576609E-3</v>
      </c>
    </row>
    <row r="21987" spans="1:6" x14ac:dyDescent="0.25">
      <c r="A21987" s="1" t="str">
        <f t="shared" si="814"/>
        <v>33874</v>
      </c>
      <c r="B21987" s="1" t="str">
        <f>"19440"</f>
        <v>19440</v>
      </c>
      <c r="C21987" s="2">
        <v>0</v>
      </c>
      <c r="D21987" s="2">
        <v>1.8382352941176401E-3</v>
      </c>
      <c r="E21987" s="2">
        <v>0</v>
      </c>
      <c r="F21987" s="2">
        <v>2.21434898139946E-4</v>
      </c>
    </row>
    <row r="21988" spans="1:6" x14ac:dyDescent="0.25">
      <c r="A21988" s="1" t="str">
        <f t="shared" si="814"/>
        <v>33874</v>
      </c>
      <c r="B21988" s="1" t="str">
        <f>"19087"</f>
        <v>19087</v>
      </c>
      <c r="C21988" s="2">
        <v>2.8851388132825201E-2</v>
      </c>
      <c r="D21988" s="2">
        <v>1.8382352941176398E-2</v>
      </c>
      <c r="E21988" s="2">
        <v>2.68456375838926E-2</v>
      </c>
      <c r="F21988" s="2">
        <v>2.7457927369353399E-2</v>
      </c>
    </row>
    <row r="21989" spans="1:6" x14ac:dyDescent="0.25">
      <c r="A21989" s="1" t="str">
        <f t="shared" si="814"/>
        <v>33874</v>
      </c>
      <c r="B21989" s="1" t="str">
        <f>"19054"</f>
        <v>19054</v>
      </c>
      <c r="C21989" s="2">
        <v>2.20468154599891E-2</v>
      </c>
      <c r="D21989" s="2">
        <v>7.3529411764705803E-3</v>
      </c>
      <c r="E21989" s="2">
        <v>1.00671140939597E-2</v>
      </c>
      <c r="F21989" s="2">
        <v>1.9486271036315301E-2</v>
      </c>
    </row>
    <row r="21990" spans="1:6" x14ac:dyDescent="0.25">
      <c r="A21990" s="1" t="str">
        <f t="shared" si="814"/>
        <v>33874</v>
      </c>
      <c r="B21990" s="1" t="str">
        <f>"19317"</f>
        <v>19317</v>
      </c>
      <c r="C21990" s="2">
        <v>0</v>
      </c>
      <c r="D21990" s="2">
        <v>5.5147058823529398E-3</v>
      </c>
      <c r="E21990" s="2">
        <v>0</v>
      </c>
      <c r="F21990" s="2">
        <v>6.6430469441983999E-4</v>
      </c>
    </row>
    <row r="21991" spans="1:6" x14ac:dyDescent="0.25">
      <c r="A21991" s="1" t="str">
        <f t="shared" si="814"/>
        <v>33874</v>
      </c>
      <c r="B21991" s="1" t="str">
        <f>"17527"</f>
        <v>17527</v>
      </c>
      <c r="C21991" s="2">
        <v>5.4436581382689097E-4</v>
      </c>
      <c r="D21991" s="2">
        <v>0</v>
      </c>
      <c r="E21991" s="2">
        <v>0</v>
      </c>
      <c r="F21991" s="2">
        <v>4.4286979627989302E-4</v>
      </c>
    </row>
    <row r="21992" spans="1:6" x14ac:dyDescent="0.25">
      <c r="A21992" s="1" t="str">
        <f t="shared" si="814"/>
        <v>33874</v>
      </c>
      <c r="B21992" s="1" t="str">
        <f>"19405"</f>
        <v>19405</v>
      </c>
      <c r="C21992" s="2">
        <v>4.6271094175285698E-3</v>
      </c>
      <c r="D21992" s="2">
        <v>1.8382352941176401E-3</v>
      </c>
      <c r="E21992" s="2">
        <v>6.7114093959731499E-3</v>
      </c>
      <c r="F21992" s="2">
        <v>4.4286979627989297E-3</v>
      </c>
    </row>
    <row r="21993" spans="1:6" x14ac:dyDescent="0.25">
      <c r="A21993" s="1" t="str">
        <f t="shared" si="814"/>
        <v>33874</v>
      </c>
      <c r="B21993" s="1" t="str">
        <f>"18969"</f>
        <v>18969</v>
      </c>
      <c r="C21993" s="2">
        <v>1.63309744148067E-3</v>
      </c>
      <c r="D21993" s="2">
        <v>0</v>
      </c>
      <c r="E21993" s="2">
        <v>6.7114093959731499E-3</v>
      </c>
      <c r="F21993" s="2">
        <v>1.7714791851195699E-3</v>
      </c>
    </row>
    <row r="21994" spans="1:6" x14ac:dyDescent="0.25">
      <c r="A21994" s="1" t="str">
        <f t="shared" si="814"/>
        <v>33874</v>
      </c>
      <c r="B21994" s="1" t="str">
        <f>"19425"</f>
        <v>19425</v>
      </c>
      <c r="C21994" s="2">
        <v>5.4436581382689097E-4</v>
      </c>
      <c r="D21994" s="2">
        <v>1.8382352941176398E-2</v>
      </c>
      <c r="E21994" s="2">
        <v>1.00671140939597E-2</v>
      </c>
      <c r="F21994" s="2">
        <v>3.3215234720991998E-3</v>
      </c>
    </row>
    <row r="21995" spans="1:6" x14ac:dyDescent="0.25">
      <c r="A21995" s="1" t="str">
        <f t="shared" si="814"/>
        <v>33874</v>
      </c>
      <c r="B21995" s="1" t="str">
        <f>"19330"</f>
        <v>19330</v>
      </c>
      <c r="C21995" s="2">
        <v>8.1654872074033704E-4</v>
      </c>
      <c r="D21995" s="2">
        <v>0</v>
      </c>
      <c r="E21995" s="2">
        <v>3.3557046979865702E-3</v>
      </c>
      <c r="F21995" s="2">
        <v>8.8573959255978702E-4</v>
      </c>
    </row>
    <row r="21996" spans="1:6" x14ac:dyDescent="0.25">
      <c r="A21996" s="1" t="str">
        <f t="shared" si="814"/>
        <v>33874</v>
      </c>
      <c r="B21996" s="1" t="str">
        <f>"18974"</f>
        <v>18974</v>
      </c>
      <c r="C21996" s="2">
        <v>1.2792596624931899E-2</v>
      </c>
      <c r="D21996" s="2">
        <v>2.5735294117646999E-2</v>
      </c>
      <c r="E21996" s="2">
        <v>3.3557046979865702E-3</v>
      </c>
      <c r="F21996" s="2">
        <v>1.3728963684676699E-2</v>
      </c>
    </row>
    <row r="21997" spans="1:6" x14ac:dyDescent="0.25">
      <c r="A21997" s="1" t="str">
        <f t="shared" si="814"/>
        <v>33874</v>
      </c>
      <c r="B21997" s="1" t="str">
        <f>"18940"</f>
        <v>18940</v>
      </c>
      <c r="C21997" s="2">
        <v>1.6875340228633601E-2</v>
      </c>
      <c r="D21997" s="2">
        <v>1.2867647058823499E-2</v>
      </c>
      <c r="E21997" s="2">
        <v>1.6778523489932799E-2</v>
      </c>
      <c r="F21997" s="2">
        <v>1.6386182462356E-2</v>
      </c>
    </row>
    <row r="21998" spans="1:6" x14ac:dyDescent="0.25">
      <c r="A21998" s="1" t="str">
        <f t="shared" si="814"/>
        <v>33874</v>
      </c>
      <c r="B21998" s="1" t="str">
        <f>"18964"</f>
        <v>18964</v>
      </c>
      <c r="C21998" s="2">
        <v>4.6271094175285698E-3</v>
      </c>
      <c r="D21998" s="2">
        <v>0</v>
      </c>
      <c r="E21998" s="2">
        <v>1.00671140939597E-2</v>
      </c>
      <c r="F21998" s="2">
        <v>4.4286979627989297E-3</v>
      </c>
    </row>
    <row r="21999" spans="1:6" x14ac:dyDescent="0.25">
      <c r="A21999" s="1" t="str">
        <f t="shared" si="814"/>
        <v>33874</v>
      </c>
      <c r="B21999" s="1" t="str">
        <f>"19382"</f>
        <v>19382</v>
      </c>
      <c r="C21999" s="2">
        <v>1.85084376701143E-2</v>
      </c>
      <c r="D21999" s="2">
        <v>0</v>
      </c>
      <c r="E21999" s="2">
        <v>3.3557046979865702E-3</v>
      </c>
      <c r="F21999" s="2">
        <v>1.52790079716563E-2</v>
      </c>
    </row>
    <row r="22000" spans="1:6" x14ac:dyDescent="0.25">
      <c r="A22000" s="1" t="str">
        <f t="shared" si="814"/>
        <v>33874</v>
      </c>
      <c r="B22000" s="1" t="str">
        <f>"19343"</f>
        <v>19343</v>
      </c>
      <c r="C22000" s="2">
        <v>8.1654872074033696E-3</v>
      </c>
      <c r="D22000" s="2">
        <v>0</v>
      </c>
      <c r="E22000" s="2">
        <v>3.3557046979865702E-3</v>
      </c>
      <c r="F22000" s="2">
        <v>6.8644818423383496E-3</v>
      </c>
    </row>
    <row r="22001" spans="1:6" x14ac:dyDescent="0.25">
      <c r="A22001" s="1" t="str">
        <f t="shared" si="814"/>
        <v>33874</v>
      </c>
      <c r="B22001" s="1" t="str">
        <f>"19310"</f>
        <v>19310</v>
      </c>
      <c r="C22001" s="2">
        <v>2.7218290691344499E-4</v>
      </c>
      <c r="D22001" s="2">
        <v>0</v>
      </c>
      <c r="E22001" s="2">
        <v>0</v>
      </c>
      <c r="F22001" s="2">
        <v>2.21434898139946E-4</v>
      </c>
    </row>
    <row r="22002" spans="1:6" x14ac:dyDescent="0.25">
      <c r="A22002" s="1" t="str">
        <f t="shared" si="814"/>
        <v>33874</v>
      </c>
      <c r="B22002" s="1" t="str">
        <f>"18054"</f>
        <v>18054</v>
      </c>
      <c r="C22002" s="2">
        <v>2.7218290691344499E-4</v>
      </c>
      <c r="D22002" s="2">
        <v>0</v>
      </c>
      <c r="E22002" s="2">
        <v>0</v>
      </c>
      <c r="F22002" s="2">
        <v>2.21434898139946E-4</v>
      </c>
    </row>
    <row r="22003" spans="1:6" x14ac:dyDescent="0.25">
      <c r="A22003" s="1" t="str">
        <f t="shared" si="814"/>
        <v>33874</v>
      </c>
      <c r="B22003" s="1" t="str">
        <f>"18041"</f>
        <v>18041</v>
      </c>
      <c r="C22003" s="2">
        <v>1.08873162765378E-3</v>
      </c>
      <c r="D22003" s="2">
        <v>0</v>
      </c>
      <c r="E22003" s="2">
        <v>0</v>
      </c>
      <c r="F22003" s="2">
        <v>8.8573959255978702E-4</v>
      </c>
    </row>
    <row r="22004" spans="1:6" x14ac:dyDescent="0.25">
      <c r="A22004" s="1" t="str">
        <f t="shared" si="814"/>
        <v>33874</v>
      </c>
      <c r="B22004" s="1" t="str">
        <f>"19010"</f>
        <v>19010</v>
      </c>
      <c r="C22004" s="2">
        <v>0</v>
      </c>
      <c r="D22004" s="2">
        <v>5.5147058823529398E-3</v>
      </c>
      <c r="E22004" s="2">
        <v>1.00671140939597E-2</v>
      </c>
      <c r="F22004" s="2">
        <v>1.32860938883968E-3</v>
      </c>
    </row>
    <row r="22005" spans="1:6" x14ac:dyDescent="0.25">
      <c r="A22005" s="1" t="str">
        <f t="shared" si="814"/>
        <v>33874</v>
      </c>
      <c r="B22005" s="1" t="str">
        <f>"19380"</f>
        <v>19380</v>
      </c>
      <c r="C22005" s="2">
        <v>0</v>
      </c>
      <c r="D22005" s="2">
        <v>1.8382352941176401E-3</v>
      </c>
      <c r="E22005" s="2">
        <v>0</v>
      </c>
      <c r="F22005" s="2">
        <v>2.21434898139946E-4</v>
      </c>
    </row>
    <row r="22006" spans="1:6" x14ac:dyDescent="0.25">
      <c r="A22006" s="1" t="str">
        <f t="shared" si="814"/>
        <v>33874</v>
      </c>
      <c r="B22006" s="1" t="str">
        <f>"18055"</f>
        <v>18055</v>
      </c>
      <c r="C22006" s="2">
        <v>5.4436581382689097E-4</v>
      </c>
      <c r="D22006" s="2">
        <v>0</v>
      </c>
      <c r="E22006" s="2">
        <v>0</v>
      </c>
      <c r="F22006" s="2">
        <v>4.4286979627989302E-4</v>
      </c>
    </row>
    <row r="22007" spans="1:6" x14ac:dyDescent="0.25">
      <c r="A22007" s="1" t="str">
        <f t="shared" si="814"/>
        <v>33874</v>
      </c>
      <c r="B22007" s="1" t="str">
        <f>"19090"</f>
        <v>19090</v>
      </c>
      <c r="C22007" s="2">
        <v>1.9052803483941201E-3</v>
      </c>
      <c r="D22007" s="2">
        <v>3.6764705882352902E-3</v>
      </c>
      <c r="E22007" s="2">
        <v>6.7114093959731499E-3</v>
      </c>
      <c r="F22007" s="2">
        <v>2.43578387953941E-3</v>
      </c>
    </row>
    <row r="22008" spans="1:6" x14ac:dyDescent="0.25">
      <c r="A22008" s="1" t="str">
        <f t="shared" si="814"/>
        <v>33874</v>
      </c>
      <c r="B22008" s="1" t="str">
        <f>"19465"</f>
        <v>19465</v>
      </c>
      <c r="C22008" s="2">
        <v>2.7490473598258E-2</v>
      </c>
      <c r="D22008" s="2">
        <v>0</v>
      </c>
      <c r="E22008" s="2">
        <v>3.3557046979865702E-3</v>
      </c>
      <c r="F22008" s="2">
        <v>2.2586359610274501E-2</v>
      </c>
    </row>
    <row r="22009" spans="1:6" x14ac:dyDescent="0.25">
      <c r="A22009" s="1" t="str">
        <f t="shared" si="814"/>
        <v>33874</v>
      </c>
      <c r="B22009" s="1" t="str">
        <f>"19460"</f>
        <v>19460</v>
      </c>
      <c r="C22009" s="2">
        <v>1.52422427871529E-2</v>
      </c>
      <c r="D22009" s="2">
        <v>2.0220588235294101E-2</v>
      </c>
      <c r="E22009" s="2">
        <v>1.6778523489932799E-2</v>
      </c>
      <c r="F22009" s="2">
        <v>1.5943312666076102E-2</v>
      </c>
    </row>
    <row r="22010" spans="1:6" x14ac:dyDescent="0.25">
      <c r="A22010" s="1" t="str">
        <f t="shared" si="814"/>
        <v>33874</v>
      </c>
      <c r="B22010" s="1" t="str">
        <f>"19003"</f>
        <v>19003</v>
      </c>
      <c r="C22010" s="2">
        <v>3.5111594991834499E-2</v>
      </c>
      <c r="D22010" s="2">
        <v>1.47058823529411E-2</v>
      </c>
      <c r="E22010" s="2">
        <v>1.6778523489932799E-2</v>
      </c>
      <c r="F22010" s="2">
        <v>3.1443755535872399E-2</v>
      </c>
    </row>
    <row r="22011" spans="1:6" x14ac:dyDescent="0.25">
      <c r="A22011" s="1" t="str">
        <f t="shared" si="814"/>
        <v>33874</v>
      </c>
      <c r="B22011" s="1" t="str">
        <f>"19344"</f>
        <v>19344</v>
      </c>
      <c r="C22011" s="2">
        <v>2.17746325530756E-3</v>
      </c>
      <c r="D22011" s="2">
        <v>0</v>
      </c>
      <c r="E22011" s="2">
        <v>3.3557046979865702E-3</v>
      </c>
      <c r="F22011" s="2">
        <v>1.9929140832595201E-3</v>
      </c>
    </row>
    <row r="22012" spans="1:6" x14ac:dyDescent="0.25">
      <c r="A22012" s="1" t="str">
        <f t="shared" si="814"/>
        <v>33874</v>
      </c>
      <c r="B22012" s="1" t="str">
        <f>"19020"</f>
        <v>19020</v>
      </c>
      <c r="C22012" s="2">
        <v>3.2661948829613499E-3</v>
      </c>
      <c r="D22012" s="2">
        <v>4.4117647058823498E-2</v>
      </c>
      <c r="E22012" s="2">
        <v>3.3557046979865703E-2</v>
      </c>
      <c r="F22012" s="2">
        <v>1.01860053144375E-2</v>
      </c>
    </row>
    <row r="22013" spans="1:6" x14ac:dyDescent="0.25">
      <c r="A22013" s="1" t="str">
        <f t="shared" si="814"/>
        <v>33874</v>
      </c>
      <c r="B22013" s="1" t="str">
        <f>"19027"</f>
        <v>19027</v>
      </c>
      <c r="C22013" s="2">
        <v>2.17746325530756E-3</v>
      </c>
      <c r="D22013" s="2">
        <v>7.3529411764705803E-3</v>
      </c>
      <c r="E22013" s="2">
        <v>3.3557046979865702E-3</v>
      </c>
      <c r="F22013" s="2">
        <v>2.8786536758192999E-3</v>
      </c>
    </row>
    <row r="22014" spans="1:6" x14ac:dyDescent="0.25">
      <c r="A22014" s="1" t="str">
        <f t="shared" ref="A22014:A22045" si="815">"33874"</f>
        <v>33874</v>
      </c>
      <c r="B22014" s="1" t="str">
        <f>"18074"</f>
        <v>18074</v>
      </c>
      <c r="C22014" s="2">
        <v>2.7218290691344499E-4</v>
      </c>
      <c r="D22014" s="2">
        <v>0</v>
      </c>
      <c r="E22014" s="2">
        <v>0</v>
      </c>
      <c r="F22014" s="2">
        <v>2.21434898139946E-4</v>
      </c>
    </row>
    <row r="22015" spans="1:6" x14ac:dyDescent="0.25">
      <c r="A22015" s="1" t="str">
        <f t="shared" si="815"/>
        <v>33874</v>
      </c>
      <c r="B22015" s="1" t="str">
        <f>"19352"</f>
        <v>19352</v>
      </c>
      <c r="C22015" s="2">
        <v>8.1654872074033704E-4</v>
      </c>
      <c r="D22015" s="2">
        <v>0</v>
      </c>
      <c r="E22015" s="2">
        <v>0</v>
      </c>
      <c r="F22015" s="2">
        <v>6.6430469441983999E-4</v>
      </c>
    </row>
    <row r="22016" spans="1:6" x14ac:dyDescent="0.25">
      <c r="A22016" s="1" t="str">
        <f t="shared" si="815"/>
        <v>33874</v>
      </c>
      <c r="B22016" s="1" t="str">
        <f>"18954"</f>
        <v>18954</v>
      </c>
      <c r="C22016" s="2">
        <v>0</v>
      </c>
      <c r="D22016" s="2">
        <v>7.3529411764705803E-3</v>
      </c>
      <c r="E22016" s="2">
        <v>3.3557046979865702E-3</v>
      </c>
      <c r="F22016" s="2">
        <v>1.10717449069973E-3</v>
      </c>
    </row>
    <row r="22017" spans="1:6" x14ac:dyDescent="0.25">
      <c r="A22017" s="1" t="str">
        <f t="shared" si="815"/>
        <v>33874</v>
      </c>
      <c r="B22017" s="1" t="str">
        <f>"19350"</f>
        <v>19350</v>
      </c>
      <c r="C22017" s="2">
        <v>1.3609145345672201E-3</v>
      </c>
      <c r="D22017" s="2">
        <v>1.8382352941176401E-3</v>
      </c>
      <c r="E22017" s="2">
        <v>3.3557046979865702E-3</v>
      </c>
      <c r="F22017" s="2">
        <v>1.55004428697962E-3</v>
      </c>
    </row>
    <row r="22018" spans="1:6" x14ac:dyDescent="0.25">
      <c r="A22018" s="1" t="str">
        <f t="shared" si="815"/>
        <v>33874</v>
      </c>
      <c r="B22018" s="1" t="str">
        <f>"19034"</f>
        <v>19034</v>
      </c>
      <c r="C22018" s="2">
        <v>3.2661948829613499E-3</v>
      </c>
      <c r="D22018" s="2">
        <v>7.3529411764705803E-3</v>
      </c>
      <c r="E22018" s="2">
        <v>6.7114093959731499E-3</v>
      </c>
      <c r="F22018" s="2">
        <v>3.9858281665190402E-3</v>
      </c>
    </row>
    <row r="22019" spans="1:6" x14ac:dyDescent="0.25">
      <c r="A22019" s="1" t="str">
        <f t="shared" si="815"/>
        <v>33874</v>
      </c>
      <c r="B22019" s="1" t="str">
        <f>"18933"</f>
        <v>18933</v>
      </c>
      <c r="C22019" s="2">
        <v>1.63309744148067E-3</v>
      </c>
      <c r="D22019" s="2">
        <v>0</v>
      </c>
      <c r="E22019" s="2">
        <v>6.7114093959731499E-3</v>
      </c>
      <c r="F22019" s="2">
        <v>1.7714791851195699E-3</v>
      </c>
    </row>
    <row r="22020" spans="1:6" x14ac:dyDescent="0.25">
      <c r="A22020" s="1" t="str">
        <f t="shared" si="815"/>
        <v>33874</v>
      </c>
      <c r="B22020" s="1" t="str">
        <f>"19004"</f>
        <v>19004</v>
      </c>
      <c r="C22020" s="2">
        <v>5.0353837778987401E-2</v>
      </c>
      <c r="D22020" s="2">
        <v>7.3529411764705803E-3</v>
      </c>
      <c r="E22020" s="2">
        <v>6.7114093959731499E-3</v>
      </c>
      <c r="F22020" s="2">
        <v>4.2294065544729802E-2</v>
      </c>
    </row>
    <row r="22021" spans="1:6" x14ac:dyDescent="0.25">
      <c r="A22021" s="1" t="str">
        <f t="shared" si="815"/>
        <v>33874</v>
      </c>
      <c r="B22021" s="1" t="str">
        <f>"18976"</f>
        <v>18976</v>
      </c>
      <c r="C22021" s="2">
        <v>1.2792596624931899E-2</v>
      </c>
      <c r="D22021" s="2">
        <v>1.8382352941176401E-3</v>
      </c>
      <c r="E22021" s="2">
        <v>0</v>
      </c>
      <c r="F22021" s="2">
        <v>1.06288751107174E-2</v>
      </c>
    </row>
    <row r="22022" spans="1:6" x14ac:dyDescent="0.25">
      <c r="A22022" s="1" t="str">
        <f t="shared" si="815"/>
        <v>33874</v>
      </c>
      <c r="B22022" s="1" t="str">
        <f>"19002"</f>
        <v>19002</v>
      </c>
      <c r="C22022" s="2">
        <v>6.5323897659226998E-3</v>
      </c>
      <c r="D22022" s="2">
        <v>3.6764705882352902E-3</v>
      </c>
      <c r="E22022" s="2">
        <v>0</v>
      </c>
      <c r="F22022" s="2">
        <v>5.7573073516386103E-3</v>
      </c>
    </row>
    <row r="22023" spans="1:6" x14ac:dyDescent="0.25">
      <c r="A22023" s="1" t="str">
        <f t="shared" si="815"/>
        <v>33874</v>
      </c>
      <c r="B22023" s="1" t="str">
        <f>"19365"</f>
        <v>19365</v>
      </c>
      <c r="C22023" s="2">
        <v>1.9052803483941201E-3</v>
      </c>
      <c r="D22023" s="2">
        <v>5.5147058823529398E-3</v>
      </c>
      <c r="E22023" s="2">
        <v>1.00671140939597E-2</v>
      </c>
      <c r="F22023" s="2">
        <v>2.8786536758192999E-3</v>
      </c>
    </row>
    <row r="22024" spans="1:6" x14ac:dyDescent="0.25">
      <c r="A22024" s="1" t="str">
        <f t="shared" si="815"/>
        <v>33874</v>
      </c>
      <c r="B22024" s="1" t="str">
        <f>"19520"</f>
        <v>19520</v>
      </c>
      <c r="C22024" s="2">
        <v>0</v>
      </c>
      <c r="D22024" s="2">
        <v>1.8382352941176401E-3</v>
      </c>
      <c r="E22024" s="2">
        <v>0</v>
      </c>
      <c r="F22024" s="2">
        <v>2.21434898139946E-4</v>
      </c>
    </row>
    <row r="22025" spans="1:6" x14ac:dyDescent="0.25">
      <c r="A22025" s="1" t="str">
        <f t="shared" si="815"/>
        <v>33874</v>
      </c>
      <c r="B22025" s="1" t="str">
        <f>"19403"</f>
        <v>19403</v>
      </c>
      <c r="C22025" s="2">
        <v>4.3549265106151303E-3</v>
      </c>
      <c r="D22025" s="2">
        <v>9.1911764705882304E-3</v>
      </c>
      <c r="E22025" s="2">
        <v>2.0134228187919399E-2</v>
      </c>
      <c r="F22025" s="2">
        <v>5.9787422497785602E-3</v>
      </c>
    </row>
    <row r="22026" spans="1:6" x14ac:dyDescent="0.25">
      <c r="A22026" s="1" t="str">
        <f t="shared" si="815"/>
        <v>33874</v>
      </c>
      <c r="B22026" s="1" t="str">
        <f>"18914"</f>
        <v>18914</v>
      </c>
      <c r="C22026" s="2">
        <v>5.1714752313554704E-3</v>
      </c>
      <c r="D22026" s="2">
        <v>1.8382352941176401E-3</v>
      </c>
      <c r="E22026" s="2">
        <v>0</v>
      </c>
      <c r="F22026" s="2">
        <v>4.4286979627989297E-3</v>
      </c>
    </row>
    <row r="22027" spans="1:6" x14ac:dyDescent="0.25">
      <c r="A22027" s="1" t="str">
        <f t="shared" si="815"/>
        <v>33874</v>
      </c>
      <c r="B22027" s="1" t="str">
        <f>"19053"</f>
        <v>19053</v>
      </c>
      <c r="C22027" s="2">
        <v>3.5383777898747898E-3</v>
      </c>
      <c r="D22027" s="2">
        <v>1.2867647058823499E-2</v>
      </c>
      <c r="E22027" s="2">
        <v>3.0201342281879099E-2</v>
      </c>
      <c r="F22027" s="2">
        <v>6.4216120460584497E-3</v>
      </c>
    </row>
    <row r="22028" spans="1:6" x14ac:dyDescent="0.25">
      <c r="A22028" s="1" t="str">
        <f t="shared" si="815"/>
        <v>33874</v>
      </c>
      <c r="B22028" s="1" t="str">
        <f>"18951"</f>
        <v>18951</v>
      </c>
      <c r="C22028" s="2">
        <v>2.7490473598258E-2</v>
      </c>
      <c r="D22028" s="2">
        <v>1.2867647058823499E-2</v>
      </c>
      <c r="E22028" s="2">
        <v>1.00671140939597E-2</v>
      </c>
      <c r="F22028" s="2">
        <v>2.45792736935341E-2</v>
      </c>
    </row>
    <row r="22029" spans="1:6" x14ac:dyDescent="0.25">
      <c r="A22029" s="1" t="str">
        <f t="shared" si="815"/>
        <v>33874</v>
      </c>
      <c r="B22029" s="1" t="str">
        <f>"19072"</f>
        <v>19072</v>
      </c>
      <c r="C22029" s="2">
        <v>3.5383777898747898E-3</v>
      </c>
      <c r="D22029" s="2">
        <v>3.6764705882352902E-3</v>
      </c>
      <c r="E22029" s="2">
        <v>1.00671140939597E-2</v>
      </c>
      <c r="F22029" s="2">
        <v>3.9858281665190402E-3</v>
      </c>
    </row>
    <row r="22030" spans="1:6" x14ac:dyDescent="0.25">
      <c r="A22030" s="1" t="str">
        <f t="shared" si="815"/>
        <v>33874</v>
      </c>
      <c r="B22030" s="1" t="str">
        <f>"19044"</f>
        <v>19044</v>
      </c>
      <c r="C22030" s="2">
        <v>4.6271094175285698E-3</v>
      </c>
      <c r="D22030" s="2">
        <v>3.125E-2</v>
      </c>
      <c r="E22030" s="2">
        <v>2.68456375838926E-2</v>
      </c>
      <c r="F22030" s="2">
        <v>9.3002657218777592E-3</v>
      </c>
    </row>
    <row r="22031" spans="1:6" x14ac:dyDescent="0.25">
      <c r="A22031" s="1" t="str">
        <f t="shared" si="815"/>
        <v>33874</v>
      </c>
      <c r="B22031" s="1" t="str">
        <f>"19046"</f>
        <v>19046</v>
      </c>
      <c r="C22031" s="2">
        <v>6.2602068590092499E-3</v>
      </c>
      <c r="D22031" s="2">
        <v>2.94117647058823E-2</v>
      </c>
      <c r="E22031" s="2">
        <v>3.3557046979865703E-2</v>
      </c>
      <c r="F22031" s="2">
        <v>1.08503100088573E-2</v>
      </c>
    </row>
    <row r="22032" spans="1:6" x14ac:dyDescent="0.25">
      <c r="A22032" s="1" t="str">
        <f t="shared" si="815"/>
        <v>33874</v>
      </c>
      <c r="B22032" s="1" t="str">
        <f>"19363"</f>
        <v>19363</v>
      </c>
      <c r="C22032" s="2">
        <v>6.3146434403919399E-2</v>
      </c>
      <c r="D22032" s="2">
        <v>1.10294117647058E-2</v>
      </c>
      <c r="E22032" s="2">
        <v>1.00671140939597E-2</v>
      </c>
      <c r="F22032" s="2">
        <v>5.33658104517271E-2</v>
      </c>
    </row>
    <row r="22033" spans="1:6" x14ac:dyDescent="0.25">
      <c r="A22033" s="1" t="str">
        <f t="shared" si="815"/>
        <v>33874</v>
      </c>
      <c r="B22033" s="1" t="str">
        <f>"19047"</f>
        <v>19047</v>
      </c>
      <c r="C22033" s="2">
        <v>8.9820359281437105E-3</v>
      </c>
      <c r="D22033" s="2">
        <v>4.2279411764705802E-2</v>
      </c>
      <c r="E22033" s="2">
        <v>4.0268456375838903E-2</v>
      </c>
      <c r="F22033" s="2">
        <v>1.50575730735163E-2</v>
      </c>
    </row>
    <row r="22034" spans="1:6" x14ac:dyDescent="0.25">
      <c r="A22034" s="1" t="str">
        <f t="shared" si="815"/>
        <v>33874</v>
      </c>
      <c r="B22034" s="1" t="str">
        <f>"18927"</f>
        <v>18927</v>
      </c>
      <c r="C22034" s="2">
        <v>2.7218290691344499E-4</v>
      </c>
      <c r="D22034" s="2">
        <v>0</v>
      </c>
      <c r="E22034" s="2">
        <v>0</v>
      </c>
      <c r="F22034" s="2">
        <v>2.21434898139946E-4</v>
      </c>
    </row>
    <row r="22035" spans="1:6" x14ac:dyDescent="0.25">
      <c r="A22035" s="1" t="str">
        <f t="shared" si="815"/>
        <v>33874</v>
      </c>
      <c r="B22035" s="1" t="str">
        <f>"18966"</f>
        <v>18966</v>
      </c>
      <c r="C22035" s="2">
        <v>2.7218290691344499E-4</v>
      </c>
      <c r="D22035" s="2">
        <v>0</v>
      </c>
      <c r="E22035" s="2">
        <v>0</v>
      </c>
      <c r="F22035" s="2">
        <v>2.21434898139946E-4</v>
      </c>
    </row>
    <row r="22036" spans="1:6" x14ac:dyDescent="0.25">
      <c r="A22036" s="1" t="str">
        <f t="shared" si="815"/>
        <v>33874</v>
      </c>
      <c r="B22036" s="1" t="str">
        <f>"18942"</f>
        <v>18942</v>
      </c>
      <c r="C22036" s="2">
        <v>2.7218290691344499E-4</v>
      </c>
      <c r="D22036" s="2">
        <v>0</v>
      </c>
      <c r="E22036" s="2">
        <v>0</v>
      </c>
      <c r="F22036" s="2">
        <v>2.21434898139946E-4</v>
      </c>
    </row>
    <row r="22037" spans="1:6" x14ac:dyDescent="0.25">
      <c r="A22037" s="1" t="str">
        <f t="shared" si="815"/>
        <v>33874</v>
      </c>
      <c r="B22037" s="1" t="str">
        <f>"19056"</f>
        <v>19056</v>
      </c>
      <c r="C22037" s="2">
        <v>0</v>
      </c>
      <c r="D22037" s="2">
        <v>0</v>
      </c>
      <c r="E22037" s="2">
        <v>3.3557046979865702E-3</v>
      </c>
      <c r="F22037" s="2">
        <v>2.21434898139946E-4</v>
      </c>
    </row>
    <row r="22038" spans="1:6" x14ac:dyDescent="0.25">
      <c r="A22038" s="1" t="str">
        <f t="shared" si="815"/>
        <v>33874</v>
      </c>
      <c r="B22038" s="1" t="str">
        <f>"19341"</f>
        <v>19341</v>
      </c>
      <c r="C22038" s="2">
        <v>1.3609145345672201E-3</v>
      </c>
      <c r="D22038" s="2">
        <v>5.5147058823529398E-3</v>
      </c>
      <c r="E22038" s="2">
        <v>1.00671140939597E-2</v>
      </c>
      <c r="F22038" s="2">
        <v>2.43578387953941E-3</v>
      </c>
    </row>
    <row r="22039" spans="1:6" x14ac:dyDescent="0.25">
      <c r="A22039" s="1" t="str">
        <f t="shared" si="815"/>
        <v>33874</v>
      </c>
      <c r="B22039" s="1" t="str">
        <f>"18947"</f>
        <v>18947</v>
      </c>
      <c r="C22039" s="2">
        <v>2.7218290691344499E-4</v>
      </c>
      <c r="D22039" s="2">
        <v>0</v>
      </c>
      <c r="E22039" s="2">
        <v>0</v>
      </c>
      <c r="F22039" s="2">
        <v>2.21434898139946E-4</v>
      </c>
    </row>
    <row r="22040" spans="1:6" x14ac:dyDescent="0.25">
      <c r="A22040" s="1" t="str">
        <f t="shared" si="815"/>
        <v>33874</v>
      </c>
      <c r="B22040" s="1" t="str">
        <f>"18073"</f>
        <v>18073</v>
      </c>
      <c r="C22040" s="2">
        <v>1.63309744148067E-3</v>
      </c>
      <c r="D22040" s="2">
        <v>5.5147058823529398E-3</v>
      </c>
      <c r="E22040" s="2">
        <v>6.7114093959731499E-3</v>
      </c>
      <c r="F22040" s="2">
        <v>2.43578387953941E-3</v>
      </c>
    </row>
    <row r="22041" spans="1:6" x14ac:dyDescent="0.25">
      <c r="A22041" s="1" t="str">
        <f t="shared" si="815"/>
        <v>33874</v>
      </c>
      <c r="B22041" s="1" t="str">
        <f>"19454"</f>
        <v>19454</v>
      </c>
      <c r="C22041" s="2">
        <v>0</v>
      </c>
      <c r="D22041" s="2">
        <v>3.6764705882352902E-3</v>
      </c>
      <c r="E22041" s="2">
        <v>0</v>
      </c>
      <c r="F22041" s="2">
        <v>4.4286979627989302E-4</v>
      </c>
    </row>
    <row r="22042" spans="1:6" x14ac:dyDescent="0.25">
      <c r="A22042" s="1" t="str">
        <f t="shared" si="815"/>
        <v>33874</v>
      </c>
      <c r="B22042" s="1" t="str">
        <f>"18972"</f>
        <v>18972</v>
      </c>
      <c r="C22042" s="2">
        <v>1.63309744148067E-3</v>
      </c>
      <c r="D22042" s="2">
        <v>0</v>
      </c>
      <c r="E22042" s="2">
        <v>3.3557046979865702E-3</v>
      </c>
      <c r="F22042" s="2">
        <v>1.55004428697962E-3</v>
      </c>
    </row>
    <row r="22043" spans="1:6" x14ac:dyDescent="0.25">
      <c r="A22043" s="1" t="str">
        <f t="shared" si="815"/>
        <v>33874</v>
      </c>
      <c r="B22043" s="1" t="str">
        <f>"19348"</f>
        <v>19348</v>
      </c>
      <c r="C22043" s="2">
        <v>1.41535111594991E-2</v>
      </c>
      <c r="D22043" s="2">
        <v>2.94117647058823E-2</v>
      </c>
      <c r="E22043" s="2">
        <v>2.0134228187919399E-2</v>
      </c>
      <c r="F22043" s="2">
        <v>1.6386182462356E-2</v>
      </c>
    </row>
    <row r="22044" spans="1:6" x14ac:dyDescent="0.25">
      <c r="A22044" s="1" t="str">
        <f t="shared" si="815"/>
        <v>33874</v>
      </c>
      <c r="B22044" s="1" t="str">
        <f>"19462"</f>
        <v>19462</v>
      </c>
      <c r="C22044" s="2">
        <v>1.9597169297768099E-2</v>
      </c>
      <c r="D22044" s="2">
        <v>1.8382352941176401E-3</v>
      </c>
      <c r="E22044" s="2">
        <v>0</v>
      </c>
      <c r="F22044" s="2">
        <v>1.6164747564216101E-2</v>
      </c>
    </row>
    <row r="22045" spans="1:6" x14ac:dyDescent="0.25">
      <c r="A22045" s="1" t="str">
        <f t="shared" si="815"/>
        <v>33874</v>
      </c>
      <c r="B22045" s="1" t="str">
        <f>"19401"</f>
        <v>19401</v>
      </c>
      <c r="C22045" s="2">
        <v>1.19760479041916E-2</v>
      </c>
      <c r="D22045" s="2">
        <v>1.8382352941176401E-3</v>
      </c>
      <c r="E22045" s="2">
        <v>2.3489932885905999E-2</v>
      </c>
      <c r="F22045" s="2">
        <v>1.15146147032772E-2</v>
      </c>
    </row>
    <row r="22046" spans="1:6" x14ac:dyDescent="0.25">
      <c r="A22046" s="1" t="str">
        <f t="shared" ref="A22046:A22077" si="816">"33874"</f>
        <v>33874</v>
      </c>
      <c r="B22046" s="1" t="str">
        <f>"19333"</f>
        <v>19333</v>
      </c>
      <c r="C22046" s="2">
        <v>8.1654872074033704E-4</v>
      </c>
      <c r="D22046" s="2">
        <v>7.3529411764705803E-3</v>
      </c>
      <c r="E22046" s="2">
        <v>6.7114093959731499E-3</v>
      </c>
      <c r="F22046" s="2">
        <v>1.9929140832595201E-3</v>
      </c>
    </row>
    <row r="22047" spans="1:6" x14ac:dyDescent="0.25">
      <c r="A22047" s="1" t="str">
        <f t="shared" si="816"/>
        <v>33874</v>
      </c>
      <c r="B22047" s="1" t="str">
        <f>"18915"</f>
        <v>18915</v>
      </c>
      <c r="C22047" s="2">
        <v>2.4768644529123501E-2</v>
      </c>
      <c r="D22047" s="2">
        <v>0</v>
      </c>
      <c r="E22047" s="2">
        <v>0</v>
      </c>
      <c r="F22047" s="2">
        <v>2.0150575730735101E-2</v>
      </c>
    </row>
    <row r="22048" spans="1:6" x14ac:dyDescent="0.25">
      <c r="A22048" s="1" t="str">
        <f t="shared" si="816"/>
        <v>33874</v>
      </c>
      <c r="B22048" s="1" t="str">
        <f>"19446"</f>
        <v>19446</v>
      </c>
      <c r="C22048" s="2">
        <v>1.90528034839412E-2</v>
      </c>
      <c r="D22048" s="2">
        <v>4.5955882352941103E-2</v>
      </c>
      <c r="E22048" s="2">
        <v>2.3489932885905999E-2</v>
      </c>
      <c r="F22048" s="2">
        <v>2.2586359610274501E-2</v>
      </c>
    </row>
    <row r="22049" spans="1:6" x14ac:dyDescent="0.25">
      <c r="A22049" s="1" t="str">
        <f t="shared" si="816"/>
        <v>33874</v>
      </c>
      <c r="B22049" s="1" t="str">
        <f>"19311"</f>
        <v>19311</v>
      </c>
      <c r="C22049" s="2">
        <v>2.7218290691344499E-4</v>
      </c>
      <c r="D22049" s="2">
        <v>0</v>
      </c>
      <c r="E22049" s="2">
        <v>0</v>
      </c>
      <c r="F22049" s="2">
        <v>2.21434898139946E-4</v>
      </c>
    </row>
    <row r="22050" spans="1:6" x14ac:dyDescent="0.25">
      <c r="A22050" s="1" t="str">
        <f t="shared" si="816"/>
        <v>33874</v>
      </c>
      <c r="B22050" s="1" t="str">
        <f>"19374"</f>
        <v>19374</v>
      </c>
      <c r="C22050" s="2">
        <v>1.3609145345672201E-3</v>
      </c>
      <c r="D22050" s="2">
        <v>0</v>
      </c>
      <c r="E22050" s="2">
        <v>3.3557046979865702E-3</v>
      </c>
      <c r="F22050" s="2">
        <v>1.32860938883968E-3</v>
      </c>
    </row>
    <row r="22051" spans="1:6" x14ac:dyDescent="0.25">
      <c r="A22051" s="1" t="str">
        <f t="shared" si="816"/>
        <v>33874</v>
      </c>
      <c r="B22051" s="1" t="str">
        <f>"18936"</f>
        <v>18936</v>
      </c>
      <c r="C22051" s="2">
        <v>0</v>
      </c>
      <c r="D22051" s="2">
        <v>3.6764705882352902E-3</v>
      </c>
      <c r="E22051" s="2">
        <v>0</v>
      </c>
      <c r="F22051" s="2">
        <v>4.4286979627989302E-4</v>
      </c>
    </row>
    <row r="22052" spans="1:6" x14ac:dyDescent="0.25">
      <c r="A22052" s="1" t="str">
        <f t="shared" si="816"/>
        <v>33874</v>
      </c>
      <c r="B22052" s="1" t="str">
        <f>"19031"</f>
        <v>19031</v>
      </c>
      <c r="C22052" s="2">
        <v>3.5383777898747898E-3</v>
      </c>
      <c r="D22052" s="2">
        <v>2.0220588235294101E-2</v>
      </c>
      <c r="E22052" s="2">
        <v>2.0134228187919399E-2</v>
      </c>
      <c r="F22052" s="2">
        <v>6.6430469441983997E-3</v>
      </c>
    </row>
    <row r="22053" spans="1:6" x14ac:dyDescent="0.25">
      <c r="A22053" s="1" t="str">
        <f t="shared" si="816"/>
        <v>33874</v>
      </c>
      <c r="B22053" s="1" t="str">
        <f>"19525"</f>
        <v>19525</v>
      </c>
      <c r="C22053" s="2">
        <v>4.3821448013064701E-2</v>
      </c>
      <c r="D22053" s="2">
        <v>5.5147058823529398E-3</v>
      </c>
      <c r="E22053" s="2">
        <v>0</v>
      </c>
      <c r="F22053" s="2">
        <v>3.6315323294951199E-2</v>
      </c>
    </row>
    <row r="22054" spans="1:6" x14ac:dyDescent="0.25">
      <c r="A22054" s="1" t="str">
        <f t="shared" si="816"/>
        <v>33874</v>
      </c>
      <c r="B22054" s="1" t="str">
        <f>"19355"</f>
        <v>19355</v>
      </c>
      <c r="C22054" s="2">
        <v>1.17038649972781E-2</v>
      </c>
      <c r="D22054" s="2">
        <v>6.6176470588235198E-2</v>
      </c>
      <c r="E22054" s="2">
        <v>2.3489932885905999E-2</v>
      </c>
      <c r="F22054" s="2">
        <v>1.9043401240035399E-2</v>
      </c>
    </row>
    <row r="22055" spans="1:6" x14ac:dyDescent="0.25">
      <c r="A22055" s="1" t="str">
        <f t="shared" si="816"/>
        <v>33874</v>
      </c>
      <c r="B22055" s="1" t="str">
        <f>"18929"</f>
        <v>18929</v>
      </c>
      <c r="C22055" s="2">
        <v>8.1654872074033704E-4</v>
      </c>
      <c r="D22055" s="2">
        <v>0</v>
      </c>
      <c r="E22055" s="2">
        <v>3.3557046979865702E-3</v>
      </c>
      <c r="F22055" s="2">
        <v>8.8573959255978702E-4</v>
      </c>
    </row>
    <row r="22056" spans="1:6" x14ac:dyDescent="0.25">
      <c r="A22056" s="1" t="str">
        <f t="shared" si="816"/>
        <v>33874</v>
      </c>
      <c r="B22056" s="1" t="str">
        <f>"19390"</f>
        <v>19390</v>
      </c>
      <c r="C22056" s="2">
        <v>9.5264017419705999E-3</v>
      </c>
      <c r="D22056" s="2">
        <v>1.8382352941176398E-2</v>
      </c>
      <c r="E22056" s="2">
        <v>2.3489932885905999E-2</v>
      </c>
      <c r="F22056" s="2">
        <v>1.15146147032772E-2</v>
      </c>
    </row>
    <row r="22057" spans="1:6" x14ac:dyDescent="0.25">
      <c r="A22057" s="1" t="str">
        <f t="shared" si="816"/>
        <v>33874</v>
      </c>
      <c r="B22057" s="1" t="str">
        <f>"18077"</f>
        <v>18077</v>
      </c>
      <c r="C22057" s="2">
        <v>5.4436581382689097E-4</v>
      </c>
      <c r="D22057" s="2">
        <v>0</v>
      </c>
      <c r="E22057" s="2">
        <v>0</v>
      </c>
      <c r="F22057" s="2">
        <v>4.4286979627989302E-4</v>
      </c>
    </row>
    <row r="22058" spans="1:6" x14ac:dyDescent="0.25">
      <c r="A22058" s="1" t="str">
        <f t="shared" si="816"/>
        <v>33874</v>
      </c>
      <c r="B22058" s="1" t="str">
        <f>"19001"</f>
        <v>19001</v>
      </c>
      <c r="C22058" s="2">
        <v>1.63309744148067E-3</v>
      </c>
      <c r="D22058" s="2">
        <v>1.8382352941176401E-3</v>
      </c>
      <c r="E22058" s="2">
        <v>1.00671140939597E-2</v>
      </c>
      <c r="F22058" s="2">
        <v>2.2143489813994601E-3</v>
      </c>
    </row>
    <row r="22059" spans="1:6" x14ac:dyDescent="0.25">
      <c r="A22059" s="1" t="str">
        <f t="shared" si="816"/>
        <v>33874</v>
      </c>
      <c r="B22059" s="1" t="str">
        <f>"19096"</f>
        <v>19096</v>
      </c>
      <c r="C22059" s="2">
        <v>2.7218290691344499E-4</v>
      </c>
      <c r="D22059" s="2">
        <v>1.8382352941176398E-2</v>
      </c>
      <c r="E22059" s="2">
        <v>3.3557046979865702E-3</v>
      </c>
      <c r="F22059" s="2">
        <v>2.65721877767936E-3</v>
      </c>
    </row>
    <row r="22060" spans="1:6" x14ac:dyDescent="0.25">
      <c r="A22060" s="1" t="str">
        <f t="shared" si="816"/>
        <v>33874</v>
      </c>
      <c r="B22060" s="1" t="str">
        <f>"18944"</f>
        <v>18944</v>
      </c>
      <c r="C22060" s="2">
        <v>3.2661948829613499E-3</v>
      </c>
      <c r="D22060" s="2">
        <v>9.1911764705882304E-3</v>
      </c>
      <c r="E22060" s="2">
        <v>3.3557046979865702E-3</v>
      </c>
      <c r="F22060" s="2">
        <v>3.9858281665190402E-3</v>
      </c>
    </row>
    <row r="22061" spans="1:6" x14ac:dyDescent="0.25">
      <c r="A22061" s="1" t="str">
        <f t="shared" si="816"/>
        <v>33874</v>
      </c>
      <c r="B22061" s="1" t="str">
        <f>"19021"</f>
        <v>19021</v>
      </c>
      <c r="C22061" s="2">
        <v>3.2661948829613499E-3</v>
      </c>
      <c r="D22061" s="2">
        <v>1.2867647058823499E-2</v>
      </c>
      <c r="E22061" s="2">
        <v>2.3489932885905999E-2</v>
      </c>
      <c r="F22061" s="2">
        <v>5.7573073516386103E-3</v>
      </c>
    </row>
    <row r="22062" spans="1:6" x14ac:dyDescent="0.25">
      <c r="A22062" s="1" t="str">
        <f t="shared" si="816"/>
        <v>33874</v>
      </c>
      <c r="B22062" s="1" t="str">
        <f>"18932"</f>
        <v>18932</v>
      </c>
      <c r="C22062" s="2">
        <v>5.4436581382689097E-4</v>
      </c>
      <c r="D22062" s="2">
        <v>0</v>
      </c>
      <c r="E22062" s="2">
        <v>0</v>
      </c>
      <c r="F22062" s="2">
        <v>4.4286979627989302E-4</v>
      </c>
    </row>
    <row r="22063" spans="1:6" x14ac:dyDescent="0.25">
      <c r="A22063" s="1" t="str">
        <f t="shared" si="816"/>
        <v>33874</v>
      </c>
      <c r="B22063" s="1" t="str">
        <f>"19475"</f>
        <v>19475</v>
      </c>
      <c r="C22063" s="2">
        <v>2.7218290691344499E-4</v>
      </c>
      <c r="D22063" s="2">
        <v>1.8382352941176401E-3</v>
      </c>
      <c r="E22063" s="2">
        <v>0</v>
      </c>
      <c r="F22063" s="2">
        <v>4.4286979627989302E-4</v>
      </c>
    </row>
    <row r="22064" spans="1:6" x14ac:dyDescent="0.25">
      <c r="A22064" s="1" t="str">
        <f t="shared" si="816"/>
        <v>33874</v>
      </c>
      <c r="B22064" s="1" t="str">
        <f>"19473"</f>
        <v>19473</v>
      </c>
      <c r="C22064" s="2">
        <v>1.3609145345672201E-2</v>
      </c>
      <c r="D22064" s="2">
        <v>0</v>
      </c>
      <c r="E22064" s="2">
        <v>1.00671140939597E-2</v>
      </c>
      <c r="F22064" s="2">
        <v>1.17360496014171E-2</v>
      </c>
    </row>
    <row r="22065" spans="1:6" x14ac:dyDescent="0.25">
      <c r="A22065" s="1" t="str">
        <f t="shared" si="816"/>
        <v>33874</v>
      </c>
      <c r="B22065" s="1" t="str">
        <f>"18902"</f>
        <v>18902</v>
      </c>
      <c r="C22065" s="2">
        <v>2.0413718018508401E-2</v>
      </c>
      <c r="D22065" s="2">
        <v>5.5147058823529398E-3</v>
      </c>
      <c r="E22065" s="2">
        <v>3.3557046979865702E-3</v>
      </c>
      <c r="F22065" s="2">
        <v>1.7493356953055799E-2</v>
      </c>
    </row>
    <row r="22066" spans="1:6" x14ac:dyDescent="0.25">
      <c r="A22066" s="1" t="str">
        <f t="shared" si="816"/>
        <v>33874</v>
      </c>
      <c r="B22066" s="1" t="str">
        <f>"19426"</f>
        <v>19426</v>
      </c>
      <c r="C22066" s="2">
        <v>9.49918345127925E-2</v>
      </c>
      <c r="D22066" s="2">
        <v>1.10294117647058E-2</v>
      </c>
      <c r="E22066" s="2">
        <v>1.00671140939597E-2</v>
      </c>
      <c r="F22066" s="2">
        <v>7.9273693534100895E-2</v>
      </c>
    </row>
    <row r="22067" spans="1:6" x14ac:dyDescent="0.25">
      <c r="A22067" s="1" t="str">
        <f t="shared" si="816"/>
        <v>33874</v>
      </c>
      <c r="B22067" s="1" t="str">
        <f>"19066"</f>
        <v>19066</v>
      </c>
      <c r="C22067" s="2">
        <v>2.7218290691344499E-4</v>
      </c>
      <c r="D22067" s="2">
        <v>1.8382352941176401E-3</v>
      </c>
      <c r="E22067" s="2">
        <v>0</v>
      </c>
      <c r="F22067" s="2">
        <v>4.4286979627989302E-4</v>
      </c>
    </row>
    <row r="22068" spans="1:6" x14ac:dyDescent="0.25">
      <c r="A22068" s="1" t="str">
        <f t="shared" si="816"/>
        <v>33874</v>
      </c>
      <c r="B22068" s="1" t="str">
        <f>"19312"</f>
        <v>19312</v>
      </c>
      <c r="C22068" s="2">
        <v>1.08873162765378E-3</v>
      </c>
      <c r="D22068" s="2">
        <v>0</v>
      </c>
      <c r="E22068" s="2">
        <v>0</v>
      </c>
      <c r="F22068" s="2">
        <v>8.8573959255978702E-4</v>
      </c>
    </row>
    <row r="22069" spans="1:6" x14ac:dyDescent="0.25">
      <c r="A22069" s="1" t="str">
        <f t="shared" si="816"/>
        <v>33874</v>
      </c>
      <c r="B22069" s="1" t="str">
        <f>"19055"</f>
        <v>19055</v>
      </c>
      <c r="C22069" s="2">
        <v>2.7218290691344499E-4</v>
      </c>
      <c r="D22069" s="2">
        <v>9.1911764705882304E-3</v>
      </c>
      <c r="E22069" s="2">
        <v>6.7114093959731499E-3</v>
      </c>
      <c r="F22069" s="2">
        <v>1.7714791851195699E-3</v>
      </c>
    </row>
    <row r="22070" spans="1:6" x14ac:dyDescent="0.25">
      <c r="A22070" s="1" t="str">
        <f t="shared" si="816"/>
        <v>33874</v>
      </c>
      <c r="B22070" s="1" t="str">
        <f>"19438"</f>
        <v>19438</v>
      </c>
      <c r="C22070" s="2">
        <v>1.0887316276537801E-2</v>
      </c>
      <c r="D22070" s="2">
        <v>1.2867647058823499E-2</v>
      </c>
      <c r="E22070" s="2">
        <v>2.0134228187919399E-2</v>
      </c>
      <c r="F22070" s="2">
        <v>1.17360496014171E-2</v>
      </c>
    </row>
    <row r="22071" spans="1:6" x14ac:dyDescent="0.25">
      <c r="A22071" s="1" t="str">
        <f t="shared" si="816"/>
        <v>33874</v>
      </c>
      <c r="B22071" s="1" t="str">
        <f>"18955"</f>
        <v>18955</v>
      </c>
      <c r="C22071" s="2">
        <v>2.7218290691344499E-4</v>
      </c>
      <c r="D22071" s="2">
        <v>3.6764705882352902E-3</v>
      </c>
      <c r="E22071" s="2">
        <v>3.3557046979865702E-3</v>
      </c>
      <c r="F22071" s="2">
        <v>8.8573959255978702E-4</v>
      </c>
    </row>
    <row r="22072" spans="1:6" x14ac:dyDescent="0.25">
      <c r="A22072" s="1" t="str">
        <f t="shared" si="816"/>
        <v>33874</v>
      </c>
      <c r="B22072" s="1" t="str">
        <f>"19428"</f>
        <v>19428</v>
      </c>
      <c r="C22072" s="2">
        <v>0</v>
      </c>
      <c r="D22072" s="2">
        <v>1.47058823529411E-2</v>
      </c>
      <c r="E22072" s="2">
        <v>3.3557046979865702E-3</v>
      </c>
      <c r="F22072" s="2">
        <v>1.9929140832595201E-3</v>
      </c>
    </row>
    <row r="22073" spans="1:6" x14ac:dyDescent="0.25">
      <c r="A22073" s="1" t="str">
        <f t="shared" si="816"/>
        <v>33874</v>
      </c>
      <c r="B22073" s="1" t="str">
        <f>"19057"</f>
        <v>19057</v>
      </c>
      <c r="C22073" s="2">
        <v>5.4436581382689097E-4</v>
      </c>
      <c r="D22073" s="2">
        <v>1.10294117647058E-2</v>
      </c>
      <c r="E22073" s="2">
        <v>1.00671140939597E-2</v>
      </c>
      <c r="F22073" s="2">
        <v>2.43578387953941E-3</v>
      </c>
    </row>
    <row r="22074" spans="1:6" x14ac:dyDescent="0.25">
      <c r="A22074" s="1" t="str">
        <f t="shared" si="816"/>
        <v>33874</v>
      </c>
      <c r="B22074" s="1" t="str">
        <f>"19453"</f>
        <v>19453</v>
      </c>
      <c r="C22074" s="2">
        <v>0</v>
      </c>
      <c r="D22074" s="2">
        <v>0</v>
      </c>
      <c r="E22074" s="2">
        <v>3.3557046979865702E-3</v>
      </c>
      <c r="F22074" s="2">
        <v>2.21434898139946E-4</v>
      </c>
    </row>
    <row r="22075" spans="1:6" x14ac:dyDescent="0.25">
      <c r="A22075" s="1" t="str">
        <f t="shared" si="816"/>
        <v>33874</v>
      </c>
      <c r="B22075" s="1" t="str">
        <f>"18960"</f>
        <v>18960</v>
      </c>
      <c r="C22075" s="2">
        <v>4.6271094175285698E-3</v>
      </c>
      <c r="D22075" s="2">
        <v>0</v>
      </c>
      <c r="E22075" s="2">
        <v>3.3557046979865702E-3</v>
      </c>
      <c r="F22075" s="2">
        <v>3.9858281665190402E-3</v>
      </c>
    </row>
    <row r="22076" spans="1:6" x14ac:dyDescent="0.25">
      <c r="A22076" s="1" t="str">
        <f t="shared" si="816"/>
        <v>33874</v>
      </c>
      <c r="B22076" s="1" t="str">
        <f>"19012"</f>
        <v>19012</v>
      </c>
      <c r="C22076" s="2">
        <v>1.9052803483941201E-3</v>
      </c>
      <c r="D22076" s="2">
        <v>1.10294117647058E-2</v>
      </c>
      <c r="E22076" s="2">
        <v>1.6778523489932799E-2</v>
      </c>
      <c r="F22076" s="2">
        <v>3.9858281665190402E-3</v>
      </c>
    </row>
    <row r="22077" spans="1:6" x14ac:dyDescent="0.25">
      <c r="A22077" s="1" t="str">
        <f t="shared" si="816"/>
        <v>33874</v>
      </c>
      <c r="B22077" s="1" t="str">
        <f>"19075"</f>
        <v>19075</v>
      </c>
      <c r="C22077" s="2">
        <v>1.63309744148067E-3</v>
      </c>
      <c r="D22077" s="2">
        <v>9.1911764705882304E-3</v>
      </c>
      <c r="E22077" s="2">
        <v>1.00671140939597E-2</v>
      </c>
      <c r="F22077" s="2">
        <v>3.1000885739592499E-3</v>
      </c>
    </row>
    <row r="22078" spans="1:6" x14ac:dyDescent="0.25">
      <c r="A22078" s="1" t="str">
        <f t="shared" ref="A22078:A22089" si="817">"33874"</f>
        <v>33874</v>
      </c>
      <c r="B22078" s="1" t="str">
        <f>"19406"</f>
        <v>19406</v>
      </c>
      <c r="C22078" s="2">
        <v>0</v>
      </c>
      <c r="D22078" s="2">
        <v>4.4117647058823498E-2</v>
      </c>
      <c r="E22078" s="2">
        <v>1.6778523489932799E-2</v>
      </c>
      <c r="F22078" s="2">
        <v>6.4216120460584497E-3</v>
      </c>
    </row>
    <row r="22079" spans="1:6" x14ac:dyDescent="0.25">
      <c r="A22079" s="1" t="str">
        <f t="shared" si="817"/>
        <v>33874</v>
      </c>
      <c r="B22079" s="1" t="str">
        <f>"18938"</f>
        <v>18938</v>
      </c>
      <c r="C22079" s="2">
        <v>2.7218290691344502E-3</v>
      </c>
      <c r="D22079" s="2">
        <v>0</v>
      </c>
      <c r="E22079" s="2">
        <v>6.7114093959731499E-3</v>
      </c>
      <c r="F22079" s="2">
        <v>2.65721877767936E-3</v>
      </c>
    </row>
    <row r="22080" spans="1:6" x14ac:dyDescent="0.25">
      <c r="A22080" s="1" t="str">
        <f t="shared" si="817"/>
        <v>33874</v>
      </c>
      <c r="B22080" s="1" t="str">
        <f>"19006"</f>
        <v>19006</v>
      </c>
      <c r="C22080" s="2">
        <v>3.1845400108873101E-2</v>
      </c>
      <c r="D22080" s="2">
        <v>0</v>
      </c>
      <c r="E22080" s="2">
        <v>0</v>
      </c>
      <c r="F22080" s="2">
        <v>2.5907883082373701E-2</v>
      </c>
    </row>
    <row r="22081" spans="1:6" x14ac:dyDescent="0.25">
      <c r="A22081" s="1" t="str">
        <f t="shared" si="817"/>
        <v>33874</v>
      </c>
      <c r="B22081" s="1" t="str">
        <f>"19468"</f>
        <v>19468</v>
      </c>
      <c r="C22081" s="2">
        <v>2.9667936853565498E-2</v>
      </c>
      <c r="D22081" s="2">
        <v>3.3088235294117599E-2</v>
      </c>
      <c r="E22081" s="2">
        <v>1.6778523489932799E-2</v>
      </c>
      <c r="F22081" s="2">
        <v>2.9229406554472901E-2</v>
      </c>
    </row>
    <row r="22082" spans="1:6" x14ac:dyDescent="0.25">
      <c r="A22082" s="1" t="str">
        <f t="shared" si="817"/>
        <v>33874</v>
      </c>
      <c r="B22082" s="1" t="str">
        <f>"19464"</f>
        <v>19464</v>
      </c>
      <c r="C22082" s="2">
        <v>2.9123571039738699E-2</v>
      </c>
      <c r="D22082" s="2">
        <v>6.0661764705882297E-2</v>
      </c>
      <c r="E22082" s="2">
        <v>8.3892617449664406E-2</v>
      </c>
      <c r="F22082" s="2">
        <v>3.6536758193091198E-2</v>
      </c>
    </row>
    <row r="22083" spans="1:6" x14ac:dyDescent="0.25">
      <c r="A22083" s="1" t="str">
        <f t="shared" si="817"/>
        <v>33874</v>
      </c>
      <c r="B22083" s="1" t="str">
        <f>"19335"</f>
        <v>19335</v>
      </c>
      <c r="C22083" s="2">
        <v>4.7904191616766401E-2</v>
      </c>
      <c r="D22083" s="2">
        <v>3.4926470588235198E-2</v>
      </c>
      <c r="E22083" s="2">
        <v>5.3691275167785199E-2</v>
      </c>
      <c r="F22083" s="2">
        <v>4.67227635075287E-2</v>
      </c>
    </row>
    <row r="22084" spans="1:6" x14ac:dyDescent="0.25">
      <c r="A22084" s="1" t="str">
        <f t="shared" si="817"/>
        <v>33874</v>
      </c>
      <c r="B22084" s="1" t="str">
        <f>"19067"</f>
        <v>19067</v>
      </c>
      <c r="C22084" s="2">
        <v>6.8317909635274898E-2</v>
      </c>
      <c r="D22084" s="2">
        <v>1.6544117647058799E-2</v>
      </c>
      <c r="E22084" s="2">
        <v>1.34228187919463E-2</v>
      </c>
      <c r="F22084" s="2">
        <v>5.8458813108945899E-2</v>
      </c>
    </row>
    <row r="22085" spans="1:6" x14ac:dyDescent="0.25">
      <c r="A22085" s="1" t="str">
        <f t="shared" si="817"/>
        <v>33874</v>
      </c>
      <c r="B22085" s="1" t="str">
        <f>"18901"</f>
        <v>18901</v>
      </c>
      <c r="C22085" s="2">
        <v>9.25421883505715E-3</v>
      </c>
      <c r="D22085" s="2">
        <v>5.5147058823529398E-3</v>
      </c>
      <c r="E22085" s="2">
        <v>1.6778523489932799E-2</v>
      </c>
      <c r="F22085" s="2">
        <v>9.3002657218777592E-3</v>
      </c>
    </row>
    <row r="22086" spans="1:6" x14ac:dyDescent="0.25">
      <c r="A22086" s="1" t="str">
        <f t="shared" si="817"/>
        <v>33874</v>
      </c>
      <c r="B22086" s="1" t="str">
        <f>"19320"</f>
        <v>19320</v>
      </c>
      <c r="C22086" s="2">
        <v>1.3336962438758799E-2</v>
      </c>
      <c r="D22086" s="2">
        <v>4.7794117647058799E-2</v>
      </c>
      <c r="E22086" s="2">
        <v>4.3624161073825503E-2</v>
      </c>
      <c r="F22086" s="2">
        <v>1.9486271036315301E-2</v>
      </c>
    </row>
    <row r="22087" spans="1:6" x14ac:dyDescent="0.25">
      <c r="A22087" s="1" t="str">
        <f t="shared" si="817"/>
        <v>33874</v>
      </c>
      <c r="B22087" s="1" t="str">
        <f>"19038"</f>
        <v>19038</v>
      </c>
      <c r="C22087" s="2">
        <v>3.2661948829613499E-3</v>
      </c>
      <c r="D22087" s="2">
        <v>9.1911764705882304E-3</v>
      </c>
      <c r="E22087" s="2">
        <v>3.3557046979865702E-3</v>
      </c>
      <c r="F22087" s="2">
        <v>3.9858281665190402E-3</v>
      </c>
    </row>
    <row r="22088" spans="1:6" x14ac:dyDescent="0.25">
      <c r="A22088" s="1" t="str">
        <f t="shared" si="817"/>
        <v>33874</v>
      </c>
      <c r="B22088" s="1" t="str">
        <f>"19030"</f>
        <v>19030</v>
      </c>
      <c r="C22088" s="2">
        <v>0</v>
      </c>
      <c r="D22088" s="2">
        <v>1.8382352941176401E-3</v>
      </c>
      <c r="E22088" s="2">
        <v>0</v>
      </c>
      <c r="F22088" s="2">
        <v>2.21434898139946E-4</v>
      </c>
    </row>
    <row r="22089" spans="1:6" x14ac:dyDescent="0.25">
      <c r="A22089" s="1" t="str">
        <f t="shared" si="817"/>
        <v>33874</v>
      </c>
      <c r="B22089" s="1" t="str">
        <f>"19362"</f>
        <v>19362</v>
      </c>
      <c r="C22089" s="2">
        <v>1.08873162765378E-3</v>
      </c>
      <c r="D22089" s="2">
        <v>5.5147058823529398E-3</v>
      </c>
      <c r="E22089" s="2">
        <v>3.3557046979865702E-3</v>
      </c>
      <c r="F22089" s="2">
        <v>1.7714791851195699E-3</v>
      </c>
    </row>
    <row r="22090" spans="1:6" x14ac:dyDescent="0.25">
      <c r="A22090" s="1" t="str">
        <f t="shared" ref="A22090:A22103" si="818">"33940"</f>
        <v>33940</v>
      </c>
      <c r="B22090" s="1" t="str">
        <f>"81425"</f>
        <v>81425</v>
      </c>
      <c r="C22090" s="2">
        <v>7.6748104465037895E-2</v>
      </c>
      <c r="D22090" s="2">
        <v>2.18978102189781E-2</v>
      </c>
      <c r="E22090" s="2">
        <v>2.7263875365141101E-2</v>
      </c>
      <c r="F22090" s="2">
        <v>7.0157956894006404E-2</v>
      </c>
    </row>
    <row r="22091" spans="1:6" x14ac:dyDescent="0.25">
      <c r="A22091" s="1" t="str">
        <f t="shared" si="818"/>
        <v>33940</v>
      </c>
      <c r="B22091" s="1" t="str">
        <f>"81220"</f>
        <v>81220</v>
      </c>
      <c r="C22091" s="2">
        <v>2.1061499578769999E-4</v>
      </c>
      <c r="D22091" s="2">
        <v>4.2936882782310001E-4</v>
      </c>
      <c r="E22091" s="2">
        <v>0</v>
      </c>
      <c r="F22091" s="2">
        <v>2.21434898139946E-4</v>
      </c>
    </row>
    <row r="22092" spans="1:6" x14ac:dyDescent="0.25">
      <c r="A22092" s="1" t="str">
        <f t="shared" si="818"/>
        <v>33940</v>
      </c>
      <c r="B22092" s="1" t="str">
        <f>"81422"</f>
        <v>81422</v>
      </c>
      <c r="C22092" s="2">
        <v>9.5619208087615801E-3</v>
      </c>
      <c r="D22092" s="2">
        <v>0</v>
      </c>
      <c r="E22092" s="2">
        <v>5.8422590068159599E-3</v>
      </c>
      <c r="F22092" s="2">
        <v>8.5990552111012593E-3</v>
      </c>
    </row>
    <row r="22093" spans="1:6" x14ac:dyDescent="0.25">
      <c r="A22093" s="1" t="str">
        <f t="shared" si="818"/>
        <v>33940</v>
      </c>
      <c r="B22093" s="1" t="str">
        <f>"81403"</f>
        <v>81403</v>
      </c>
      <c r="C22093" s="2">
        <v>0.25080033698399301</v>
      </c>
      <c r="D22093" s="2">
        <v>3.8213825676255898E-2</v>
      </c>
      <c r="E22093" s="2">
        <v>5.7448880233690297E-2</v>
      </c>
      <c r="F22093" s="2">
        <v>0.22519929140832501</v>
      </c>
    </row>
    <row r="22094" spans="1:6" x14ac:dyDescent="0.25">
      <c r="A22094" s="1" t="str">
        <f t="shared" si="818"/>
        <v>33940</v>
      </c>
      <c r="B22094" s="1" t="str">
        <f>"81431"</f>
        <v>81431</v>
      </c>
      <c r="C22094" s="2">
        <v>8.8037068239258595E-3</v>
      </c>
      <c r="D22094" s="2">
        <v>1.2881064834693E-3</v>
      </c>
      <c r="E22094" s="2">
        <v>4.8685491723466402E-3</v>
      </c>
      <c r="F22094" s="2">
        <v>8.00856214939474E-3</v>
      </c>
    </row>
    <row r="22095" spans="1:6" x14ac:dyDescent="0.25">
      <c r="A22095" s="1" t="str">
        <f t="shared" si="818"/>
        <v>33940</v>
      </c>
      <c r="B22095" s="1" t="str">
        <f>"81411"</f>
        <v>81411</v>
      </c>
      <c r="C22095" s="2">
        <v>1.76916596461668E-3</v>
      </c>
      <c r="D22095" s="2">
        <v>4.2936882782310001E-4</v>
      </c>
      <c r="E22095" s="2">
        <v>9.7370983446932796E-4</v>
      </c>
      <c r="F22095" s="2">
        <v>1.6238559196929401E-3</v>
      </c>
    </row>
    <row r="22096" spans="1:6" x14ac:dyDescent="0.25">
      <c r="A22096" s="1" t="str">
        <f t="shared" si="818"/>
        <v>33940</v>
      </c>
      <c r="B22096" s="1" t="str">
        <f>"81427"</f>
        <v>81427</v>
      </c>
      <c r="C22096" s="2">
        <v>1.0741364785172699E-2</v>
      </c>
      <c r="D22096" s="2">
        <v>1.0734220695577499E-2</v>
      </c>
      <c r="E22096" s="2">
        <v>6.8159688412852901E-3</v>
      </c>
      <c r="F22096" s="2">
        <v>1.05919692943607E-2</v>
      </c>
    </row>
    <row r="22097" spans="1:6" x14ac:dyDescent="0.25">
      <c r="A22097" s="1" t="str">
        <f t="shared" si="818"/>
        <v>33940</v>
      </c>
      <c r="B22097" s="1" t="str">
        <f>"81416"</f>
        <v>81416</v>
      </c>
      <c r="C22097" s="2">
        <v>1.06571187868576E-2</v>
      </c>
      <c r="D22097" s="2">
        <v>4.2936882782310001E-4</v>
      </c>
      <c r="E22097" s="2">
        <v>0</v>
      </c>
      <c r="F22097" s="2">
        <v>9.3740773545910802E-3</v>
      </c>
    </row>
    <row r="22098" spans="1:6" x14ac:dyDescent="0.25">
      <c r="A22098" s="1" t="str">
        <f t="shared" si="818"/>
        <v>33940</v>
      </c>
      <c r="B22098" s="1" t="str">
        <f>"81429"</f>
        <v>81429</v>
      </c>
      <c r="C22098" s="2">
        <v>0</v>
      </c>
      <c r="D22098" s="2">
        <v>0</v>
      </c>
      <c r="E22098" s="2">
        <v>9.7370983446932796E-4</v>
      </c>
      <c r="F22098" s="2">
        <v>3.6905816356657797E-5</v>
      </c>
    </row>
    <row r="22099" spans="1:6" x14ac:dyDescent="0.25">
      <c r="A22099" s="1" t="str">
        <f t="shared" si="818"/>
        <v>33940</v>
      </c>
      <c r="B22099" s="1" t="str">
        <f>"81432"</f>
        <v>81432</v>
      </c>
      <c r="C22099" s="2">
        <v>6.2384161752316702E-2</v>
      </c>
      <c r="D22099" s="2">
        <v>4.2078145126663802E-2</v>
      </c>
      <c r="E22099" s="2">
        <v>8.0817916260954206E-2</v>
      </c>
      <c r="F22099" s="2">
        <v>6.1337466784765197E-2</v>
      </c>
    </row>
    <row r="22100" spans="1:6" x14ac:dyDescent="0.25">
      <c r="A22100" s="1" t="str">
        <f t="shared" si="818"/>
        <v>33940</v>
      </c>
      <c r="B22100" s="1" t="str">
        <f>"81401"</f>
        <v>81401</v>
      </c>
      <c r="C22100" s="2">
        <v>0.48264532434709301</v>
      </c>
      <c r="D22100" s="2">
        <v>0.67325032202662005</v>
      </c>
      <c r="E22100" s="2">
        <v>0.78286270691333903</v>
      </c>
      <c r="F22100" s="2">
        <v>0.510407440212577</v>
      </c>
    </row>
    <row r="22101" spans="1:6" x14ac:dyDescent="0.25">
      <c r="A22101" s="1" t="str">
        <f t="shared" si="818"/>
        <v>33940</v>
      </c>
      <c r="B22101" s="1" t="str">
        <f>"81424"</f>
        <v>81424</v>
      </c>
      <c r="C22101" s="2">
        <v>2.2409435551811199E-2</v>
      </c>
      <c r="D22101" s="2">
        <v>0</v>
      </c>
      <c r="E22101" s="2">
        <v>2.53164556962025E-2</v>
      </c>
      <c r="F22101" s="2">
        <v>2.0593445527015E-2</v>
      </c>
    </row>
    <row r="22102" spans="1:6" x14ac:dyDescent="0.25">
      <c r="A22102" s="1" t="str">
        <f t="shared" si="818"/>
        <v>33940</v>
      </c>
      <c r="B22102" s="1" t="str">
        <f>"81402"</f>
        <v>81402</v>
      </c>
      <c r="C22102" s="2">
        <v>5.6192080876158297E-2</v>
      </c>
      <c r="D22102" s="2">
        <v>0.21124946328896499</v>
      </c>
      <c r="E22102" s="2">
        <v>9.7370983446932796E-4</v>
      </c>
      <c r="F22102" s="2">
        <v>6.74269264836138E-2</v>
      </c>
    </row>
    <row r="22103" spans="1:6" x14ac:dyDescent="0.25">
      <c r="A22103" s="1" t="str">
        <f t="shared" si="818"/>
        <v>33940</v>
      </c>
      <c r="B22103" s="1" t="str">
        <f>"81415"</f>
        <v>81415</v>
      </c>
      <c r="C22103" s="2">
        <v>7.07666385846672E-3</v>
      </c>
      <c r="D22103" s="2">
        <v>0</v>
      </c>
      <c r="E22103" s="2">
        <v>5.8422590068159599E-3</v>
      </c>
      <c r="F22103" s="2">
        <v>6.4216120460584497E-3</v>
      </c>
    </row>
    <row r="22104" spans="1:6" x14ac:dyDescent="0.25">
      <c r="A22104" s="1" t="str">
        <f t="shared" ref="A22104:A22122" si="819">"33980"</f>
        <v>33980</v>
      </c>
      <c r="B22104" s="1" t="str">
        <f>"28570"</f>
        <v>28570</v>
      </c>
      <c r="C22104" s="2">
        <v>0.26083534876578701</v>
      </c>
      <c r="D22104" s="2">
        <v>0.113838800782098</v>
      </c>
      <c r="E22104" s="2">
        <v>0.149479659413434</v>
      </c>
      <c r="F22104" s="2">
        <v>0.24708265521659301</v>
      </c>
    </row>
    <row r="22105" spans="1:6" x14ac:dyDescent="0.25">
      <c r="A22105" s="1" t="str">
        <f t="shared" si="819"/>
        <v>33980</v>
      </c>
      <c r="B22105" s="1" t="str">
        <f>"28524"</f>
        <v>28524</v>
      </c>
      <c r="C22105" s="2">
        <v>5.66240546662059E-3</v>
      </c>
      <c r="D22105" s="2">
        <v>2.1724961981316499E-4</v>
      </c>
      <c r="E22105" s="2">
        <v>0</v>
      </c>
      <c r="F22105" s="2">
        <v>5.12483119221579E-3</v>
      </c>
    </row>
    <row r="22106" spans="1:6" x14ac:dyDescent="0.25">
      <c r="A22106" s="1" t="str">
        <f t="shared" si="819"/>
        <v>33980</v>
      </c>
      <c r="B22106" s="1" t="str">
        <f>"28532"</f>
        <v>28532</v>
      </c>
      <c r="C22106" s="2">
        <v>1.9194594802103698E-5</v>
      </c>
      <c r="D22106" s="2">
        <v>0</v>
      </c>
      <c r="E22106" s="2">
        <v>0</v>
      </c>
      <c r="F22106" s="2">
        <v>1.73136188926209E-5</v>
      </c>
    </row>
    <row r="22107" spans="1:6" x14ac:dyDescent="0.25">
      <c r="A22107" s="1" t="str">
        <f t="shared" si="819"/>
        <v>33980</v>
      </c>
      <c r="B22107" s="1" t="str">
        <f>"28531"</f>
        <v>28531</v>
      </c>
      <c r="C22107" s="2">
        <v>2.5068140811547401E-2</v>
      </c>
      <c r="D22107" s="2">
        <v>1.39039756680425E-2</v>
      </c>
      <c r="E22107" s="2">
        <v>9.4607379375591198E-4</v>
      </c>
      <c r="F22107" s="2">
        <v>2.3736971501783301E-2</v>
      </c>
    </row>
    <row r="22108" spans="1:6" x14ac:dyDescent="0.25">
      <c r="A22108" s="1" t="str">
        <f t="shared" si="819"/>
        <v>33980</v>
      </c>
      <c r="B22108" s="1" t="str">
        <f>"28516"</f>
        <v>28516</v>
      </c>
      <c r="C22108" s="2">
        <v>0.162539828784214</v>
      </c>
      <c r="D22108" s="2">
        <v>0.176841190527916</v>
      </c>
      <c r="E22108" s="2">
        <v>0.17975402081362299</v>
      </c>
      <c r="F22108" s="2">
        <v>0.163994598150905</v>
      </c>
    </row>
    <row r="22109" spans="1:6" x14ac:dyDescent="0.25">
      <c r="A22109" s="1" t="str">
        <f t="shared" si="819"/>
        <v>33980</v>
      </c>
      <c r="B22109" s="1" t="str">
        <f>"28528"</f>
        <v>28528</v>
      </c>
      <c r="C22109" s="2">
        <v>6.6605243963299898E-3</v>
      </c>
      <c r="D22109" s="2">
        <v>0</v>
      </c>
      <c r="E22109" s="2">
        <v>5.67644276253547E-3</v>
      </c>
      <c r="F22109" s="2">
        <v>6.1117074690951899E-3</v>
      </c>
    </row>
    <row r="22110" spans="1:6" x14ac:dyDescent="0.25">
      <c r="A22110" s="1" t="str">
        <f t="shared" si="819"/>
        <v>33980</v>
      </c>
      <c r="B22110" s="1" t="str">
        <f>"28575"</f>
        <v>28575</v>
      </c>
      <c r="C22110" s="2">
        <v>4.7794541057238201E-3</v>
      </c>
      <c r="D22110" s="2">
        <v>4.1277427764501396E-3</v>
      </c>
      <c r="E22110" s="2">
        <v>1.8921475875118201E-3</v>
      </c>
      <c r="F22110" s="2">
        <v>4.6746771010076496E-3</v>
      </c>
    </row>
    <row r="22111" spans="1:6" x14ac:dyDescent="0.25">
      <c r="A22111" s="1" t="str">
        <f t="shared" si="819"/>
        <v>33980</v>
      </c>
      <c r="B22111" s="1" t="str">
        <f>"28594"</f>
        <v>28594</v>
      </c>
      <c r="C22111" s="2">
        <v>9.4514184805558704E-2</v>
      </c>
      <c r="D22111" s="2">
        <v>8.2989354768629106E-2</v>
      </c>
      <c r="E22111" s="2">
        <v>6.3386944181646102E-2</v>
      </c>
      <c r="F22111" s="2">
        <v>9.3026074310052206E-2</v>
      </c>
    </row>
    <row r="22112" spans="1:6" x14ac:dyDescent="0.25">
      <c r="A22112" s="1" t="str">
        <f t="shared" si="819"/>
        <v>33980</v>
      </c>
      <c r="B22112" s="1" t="str">
        <f>"28511"</f>
        <v>28511</v>
      </c>
      <c r="C22112" s="2">
        <v>7.0636108871741697E-3</v>
      </c>
      <c r="D22112" s="2">
        <v>1.30349771887899E-3</v>
      </c>
      <c r="E22112" s="2">
        <v>9.4607379375591198E-4</v>
      </c>
      <c r="F22112" s="2">
        <v>6.4926070847328501E-3</v>
      </c>
    </row>
    <row r="22113" spans="1:6" x14ac:dyDescent="0.25">
      <c r="A22113" s="1" t="str">
        <f t="shared" si="819"/>
        <v>33980</v>
      </c>
      <c r="B22113" s="1" t="str">
        <f>"28553"</f>
        <v>28553</v>
      </c>
      <c r="C22113" s="2">
        <v>3.6661676072018098E-3</v>
      </c>
      <c r="D22113" s="2">
        <v>8.6899847925266105E-4</v>
      </c>
      <c r="E22113" s="2">
        <v>9.4607379375591198E-4</v>
      </c>
      <c r="F22113" s="2">
        <v>3.3934693029537E-3</v>
      </c>
    </row>
    <row r="22114" spans="1:6" x14ac:dyDescent="0.25">
      <c r="A22114" s="1" t="str">
        <f t="shared" si="819"/>
        <v>33980</v>
      </c>
      <c r="B22114" s="1" t="str">
        <f>"28579"</f>
        <v>28579</v>
      </c>
      <c r="C22114" s="2">
        <v>5.0097892433490698E-3</v>
      </c>
      <c r="D22114" s="2">
        <v>3.0414946773843102E-3</v>
      </c>
      <c r="E22114" s="2">
        <v>9.4607379375591198E-4</v>
      </c>
      <c r="F22114" s="2">
        <v>4.7785588143633697E-3</v>
      </c>
    </row>
    <row r="22115" spans="1:6" x14ac:dyDescent="0.25">
      <c r="A22115" s="1" t="str">
        <f t="shared" si="819"/>
        <v>33980</v>
      </c>
      <c r="B22115" s="1" t="str">
        <f>"28582"</f>
        <v>28582</v>
      </c>
      <c r="C22115" s="2">
        <v>9.4245460478329292E-3</v>
      </c>
      <c r="D22115" s="2">
        <v>8.6899847925266105E-4</v>
      </c>
      <c r="E22115" s="2">
        <v>1.8921475875118201E-3</v>
      </c>
      <c r="F22115" s="2">
        <v>8.6048685896325996E-3</v>
      </c>
    </row>
    <row r="22116" spans="1:6" x14ac:dyDescent="0.25">
      <c r="A22116" s="1" t="str">
        <f t="shared" si="819"/>
        <v>33980</v>
      </c>
      <c r="B22116" s="1" t="str">
        <f>"28520"</f>
        <v>28520</v>
      </c>
      <c r="C22116" s="2">
        <v>3.0711351683365899E-3</v>
      </c>
      <c r="D22116" s="2">
        <v>1.7379969585053199E-3</v>
      </c>
      <c r="E22116" s="2">
        <v>9.4607379375591198E-4</v>
      </c>
      <c r="F22116" s="2">
        <v>2.9260015928529301E-3</v>
      </c>
    </row>
    <row r="22117" spans="1:6" x14ac:dyDescent="0.25">
      <c r="A22117" s="1" t="str">
        <f t="shared" si="819"/>
        <v>33980</v>
      </c>
      <c r="B22117" s="1" t="str">
        <f>"28557"</f>
        <v>28557</v>
      </c>
      <c r="C22117" s="2">
        <v>0.19426849399209101</v>
      </c>
      <c r="D22117" s="2">
        <v>0.449923962633065</v>
      </c>
      <c r="E22117" s="2">
        <v>0.36613055818353801</v>
      </c>
      <c r="F22117" s="2">
        <v>0.21778801205027801</v>
      </c>
    </row>
    <row r="22118" spans="1:6" x14ac:dyDescent="0.25">
      <c r="A22118" s="1" t="str">
        <f t="shared" si="819"/>
        <v>33980</v>
      </c>
      <c r="B22118" s="1" t="str">
        <f>"28577"</f>
        <v>28577</v>
      </c>
      <c r="C22118" s="2">
        <v>2.87918922031555E-3</v>
      </c>
      <c r="D22118" s="2">
        <v>1.7379969585053199E-3</v>
      </c>
      <c r="E22118" s="2">
        <v>9.4607379375591198E-4</v>
      </c>
      <c r="F22118" s="2">
        <v>2.7528654039267199E-3</v>
      </c>
    </row>
    <row r="22119" spans="1:6" x14ac:dyDescent="0.25">
      <c r="A22119" s="1" t="str">
        <f t="shared" si="819"/>
        <v>33980</v>
      </c>
      <c r="B22119" s="1" t="str">
        <f>"28555"</f>
        <v>28555</v>
      </c>
      <c r="C22119" s="2">
        <v>3.8389189604207397E-5</v>
      </c>
      <c r="D22119" s="2">
        <v>0</v>
      </c>
      <c r="E22119" s="2">
        <v>0</v>
      </c>
      <c r="F22119" s="2">
        <v>3.46272377852418E-5</v>
      </c>
    </row>
    <row r="22120" spans="1:6" x14ac:dyDescent="0.25">
      <c r="A22120" s="1" t="str">
        <f t="shared" si="819"/>
        <v>33980</v>
      </c>
      <c r="B22120" s="1" t="str">
        <f>"28512"</f>
        <v>28512</v>
      </c>
      <c r="C22120" s="2">
        <v>0.12827747706245901</v>
      </c>
      <c r="D22120" s="2">
        <v>8.53791005865739E-2</v>
      </c>
      <c r="E22120" s="2">
        <v>0.175969725638599</v>
      </c>
      <c r="F22120" s="2">
        <v>0.12573150039821299</v>
      </c>
    </row>
    <row r="22121" spans="1:6" x14ac:dyDescent="0.25">
      <c r="A22121" s="1" t="str">
        <f t="shared" si="819"/>
        <v>33980</v>
      </c>
      <c r="B22121" s="1" t="str">
        <f>"28584"</f>
        <v>28584</v>
      </c>
      <c r="C22121" s="2">
        <v>8.3976352259203801E-2</v>
      </c>
      <c r="D22121" s="2">
        <v>6.1698892026938901E-2</v>
      </c>
      <c r="E22121" s="2">
        <v>5.0141911069063301E-2</v>
      </c>
      <c r="F22121" s="2">
        <v>8.1581772222029794E-2</v>
      </c>
    </row>
    <row r="22122" spans="1:6" x14ac:dyDescent="0.25">
      <c r="A22122" s="1" t="str">
        <f t="shared" si="819"/>
        <v>33980</v>
      </c>
      <c r="B22122" s="1" t="str">
        <f>"28581"</f>
        <v>28581</v>
      </c>
      <c r="C22122" s="2">
        <v>2.2457675918461299E-3</v>
      </c>
      <c r="D22122" s="2">
        <v>1.5207473386921501E-3</v>
      </c>
      <c r="E22122" s="2">
        <v>0</v>
      </c>
      <c r="F22122" s="2">
        <v>2.1468887426849899E-3</v>
      </c>
    </row>
    <row r="22123" spans="1:6" x14ac:dyDescent="0.25">
      <c r="A22123" s="1" t="str">
        <f t="shared" ref="A22123:A22133" si="820">"34020"</f>
        <v>34020</v>
      </c>
      <c r="B22123" s="1" t="str">
        <f>"70342"</f>
        <v>70342</v>
      </c>
      <c r="C22123" s="2">
        <v>0.122345631729009</v>
      </c>
      <c r="D22123" s="2">
        <v>7.2346676459786902E-2</v>
      </c>
      <c r="E22123" s="2">
        <v>0.119727891156462</v>
      </c>
      <c r="F22123" s="2">
        <v>0.117223726675817</v>
      </c>
    </row>
    <row r="22124" spans="1:6" x14ac:dyDescent="0.25">
      <c r="A22124" s="1" t="str">
        <f t="shared" si="820"/>
        <v>34020</v>
      </c>
      <c r="B22124" s="1" t="str">
        <f>"70544"</f>
        <v>70544</v>
      </c>
      <c r="C22124" s="2">
        <v>5.0853227796927497E-2</v>
      </c>
      <c r="D22124" s="2">
        <v>1.50569225119353E-2</v>
      </c>
      <c r="E22124" s="2">
        <v>4.2176870748299303E-2</v>
      </c>
      <c r="F22124" s="2">
        <v>4.7000779018436703E-2</v>
      </c>
    </row>
    <row r="22125" spans="1:6" x14ac:dyDescent="0.25">
      <c r="A22125" s="1" t="str">
        <f t="shared" si="820"/>
        <v>34020</v>
      </c>
      <c r="B22125" s="1" t="str">
        <f>"70522"</f>
        <v>70522</v>
      </c>
      <c r="C22125" s="2">
        <v>0</v>
      </c>
      <c r="D22125" s="2">
        <v>0</v>
      </c>
      <c r="E22125" s="2">
        <v>1.36054421768707E-3</v>
      </c>
      <c r="F22125" s="2">
        <v>3.7096116036650901E-5</v>
      </c>
    </row>
    <row r="22126" spans="1:6" x14ac:dyDescent="0.25">
      <c r="A22126" s="1" t="str">
        <f t="shared" si="820"/>
        <v>34020</v>
      </c>
      <c r="B22126" s="1" t="str">
        <f>"70381"</f>
        <v>70381</v>
      </c>
      <c r="C22126" s="2">
        <v>8.2471594535937595E-2</v>
      </c>
      <c r="D22126" s="2">
        <v>0.18105031215570999</v>
      </c>
      <c r="E22126" s="2">
        <v>5.4421768707482903E-3</v>
      </c>
      <c r="F22126" s="2">
        <v>9.0329042549244995E-2</v>
      </c>
    </row>
    <row r="22127" spans="1:6" x14ac:dyDescent="0.25">
      <c r="A22127" s="1" t="str">
        <f t="shared" si="820"/>
        <v>34020</v>
      </c>
      <c r="B22127" s="1" t="str">
        <f>"70540"</f>
        <v>70540</v>
      </c>
      <c r="C22127" s="2">
        <v>0</v>
      </c>
      <c r="D22127" s="2">
        <v>0</v>
      </c>
      <c r="E22127" s="2">
        <v>1.36054421768707E-3</v>
      </c>
      <c r="F22127" s="2">
        <v>3.7096116036650901E-5</v>
      </c>
    </row>
    <row r="22128" spans="1:6" x14ac:dyDescent="0.25">
      <c r="A22128" s="1" t="str">
        <f t="shared" si="820"/>
        <v>34020</v>
      </c>
      <c r="B22128" s="1" t="str">
        <f>"70538"</f>
        <v>70538</v>
      </c>
      <c r="C22128" s="2">
        <v>0.25184050385122703</v>
      </c>
      <c r="D22128" s="2">
        <v>0.22438486962908499</v>
      </c>
      <c r="E22128" s="2">
        <v>0.22857142857142801</v>
      </c>
      <c r="F22128" s="2">
        <v>0.248432689097451</v>
      </c>
    </row>
    <row r="22129" spans="1:6" x14ac:dyDescent="0.25">
      <c r="A22129" s="1" t="str">
        <f t="shared" si="820"/>
        <v>34020</v>
      </c>
      <c r="B22129" s="1" t="str">
        <f>"70380"</f>
        <v>70380</v>
      </c>
      <c r="C22129" s="2">
        <v>0.36848376526660698</v>
      </c>
      <c r="D22129" s="2">
        <v>0.45868527359529898</v>
      </c>
      <c r="E22129" s="2">
        <v>0.45714285714285702</v>
      </c>
      <c r="F22129" s="2">
        <v>0.38001261267945202</v>
      </c>
    </row>
    <row r="22130" spans="1:6" x14ac:dyDescent="0.25">
      <c r="A22130" s="1" t="str">
        <f t="shared" si="820"/>
        <v>34020</v>
      </c>
      <c r="B22130" s="1" t="str">
        <f>"70340"</f>
        <v>70340</v>
      </c>
      <c r="C22130" s="2">
        <v>0</v>
      </c>
      <c r="D22130" s="2">
        <v>3.6724201248622803E-4</v>
      </c>
      <c r="E22130" s="2">
        <v>1.36054421768707E-3</v>
      </c>
      <c r="F22130" s="2">
        <v>7.4192232073301898E-5</v>
      </c>
    </row>
    <row r="22131" spans="1:6" x14ac:dyDescent="0.25">
      <c r="A22131" s="1" t="str">
        <f t="shared" si="820"/>
        <v>34020</v>
      </c>
      <c r="B22131" s="1" t="str">
        <f>"70392"</f>
        <v>70392</v>
      </c>
      <c r="C22131" s="2">
        <v>0.11753691646453</v>
      </c>
      <c r="D22131" s="2">
        <v>4.5538009548292298E-2</v>
      </c>
      <c r="E22131" s="2">
        <v>0.14149659863945499</v>
      </c>
      <c r="F22131" s="2">
        <v>0.110917386949586</v>
      </c>
    </row>
    <row r="22132" spans="1:6" x14ac:dyDescent="0.25">
      <c r="A22132" s="1" t="str">
        <f t="shared" si="820"/>
        <v>34020</v>
      </c>
      <c r="B22132" s="1" t="str">
        <f>"70514"</f>
        <v>70514</v>
      </c>
      <c r="C22132" s="2">
        <v>6.4258053534192901E-3</v>
      </c>
      <c r="D22132" s="2">
        <v>2.5706940874035901E-3</v>
      </c>
      <c r="E22132" s="2">
        <v>1.36054421768707E-3</v>
      </c>
      <c r="F22132" s="2">
        <v>5.8982824498275003E-3</v>
      </c>
    </row>
    <row r="22133" spans="1:6" x14ac:dyDescent="0.25">
      <c r="A22133" s="1" t="str">
        <f t="shared" si="820"/>
        <v>34020</v>
      </c>
      <c r="B22133" s="1" t="str">
        <f>"70523"</f>
        <v>70523</v>
      </c>
      <c r="C22133" s="2">
        <v>4.2555002340525101E-5</v>
      </c>
      <c r="D22133" s="2">
        <v>0</v>
      </c>
      <c r="E22133" s="2">
        <v>0</v>
      </c>
      <c r="F22133" s="2">
        <v>3.7096116036650901E-5</v>
      </c>
    </row>
    <row r="22134" spans="1:6" x14ac:dyDescent="0.25">
      <c r="A22134" s="1" t="str">
        <f t="shared" ref="A22134:A22172" si="821">"34060"</f>
        <v>34060</v>
      </c>
      <c r="B22134" s="1" t="str">
        <f>"26534"</f>
        <v>26534</v>
      </c>
      <c r="C22134" s="2">
        <v>1.45167377986818E-5</v>
      </c>
      <c r="D22134" s="2">
        <v>0</v>
      </c>
      <c r="E22134" s="2">
        <v>4.1220115416323102E-4</v>
      </c>
      <c r="F22134" s="2">
        <v>2.6176982579218E-5</v>
      </c>
    </row>
    <row r="22135" spans="1:6" x14ac:dyDescent="0.25">
      <c r="A22135" s="1" t="str">
        <f t="shared" si="821"/>
        <v>34060</v>
      </c>
      <c r="B22135" s="1" t="str">
        <f>"26543"</f>
        <v>26543</v>
      </c>
      <c r="C22135" s="2">
        <v>6.8228667653804796E-4</v>
      </c>
      <c r="D22135" s="2">
        <v>5.8927519151443701E-4</v>
      </c>
      <c r="E22135" s="2">
        <v>1.23660346248969E-3</v>
      </c>
      <c r="F22135" s="2">
        <v>6.93690038349279E-4</v>
      </c>
    </row>
    <row r="22136" spans="1:6" x14ac:dyDescent="0.25">
      <c r="A22136" s="1" t="str">
        <f t="shared" si="821"/>
        <v>34060</v>
      </c>
      <c r="B22136" s="1" t="str">
        <f>"26588"</f>
        <v>26588</v>
      </c>
      <c r="C22136" s="2">
        <v>3.2372325291060498E-3</v>
      </c>
      <c r="D22136" s="2">
        <v>9.8212531919072803E-4</v>
      </c>
      <c r="E22136" s="2">
        <v>0</v>
      </c>
      <c r="F22136" s="2">
        <v>2.9841760140308601E-3</v>
      </c>
    </row>
    <row r="22137" spans="1:6" x14ac:dyDescent="0.25">
      <c r="A22137" s="1" t="str">
        <f t="shared" si="821"/>
        <v>34060</v>
      </c>
      <c r="B22137" s="1" t="str">
        <f>"26440"</f>
        <v>26440</v>
      </c>
      <c r="C22137" s="2">
        <v>2.8017303951455999E-3</v>
      </c>
      <c r="D22137" s="2">
        <v>1.96425063838145E-3</v>
      </c>
      <c r="E22137" s="2">
        <v>4.1220115416323102E-4</v>
      </c>
      <c r="F22137" s="2">
        <v>2.6700522230802401E-3</v>
      </c>
    </row>
    <row r="22138" spans="1:6" x14ac:dyDescent="0.25">
      <c r="A22138" s="1" t="str">
        <f t="shared" si="821"/>
        <v>34060</v>
      </c>
      <c r="B22138" s="1" t="str">
        <f>"26507"</f>
        <v>26507</v>
      </c>
      <c r="C22138" s="2">
        <v>1.5445809017797499E-2</v>
      </c>
      <c r="D22138" s="2">
        <v>6.2659595364368395E-2</v>
      </c>
      <c r="E22138" s="2">
        <v>4.1220115416323102E-4</v>
      </c>
      <c r="F22138" s="2">
        <v>1.81144719448189E-2</v>
      </c>
    </row>
    <row r="22139" spans="1:6" x14ac:dyDescent="0.25">
      <c r="A22139" s="1" t="str">
        <f t="shared" si="821"/>
        <v>34060</v>
      </c>
      <c r="B22139" s="1" t="str">
        <f>"26508"</f>
        <v>26508</v>
      </c>
      <c r="C22139" s="2">
        <v>0.251415381935371</v>
      </c>
      <c r="D22139" s="2">
        <v>0.157925751325869</v>
      </c>
      <c r="E22139" s="2">
        <v>5.8120362737015603E-2</v>
      </c>
      <c r="F22139" s="2">
        <v>0.23904820491341899</v>
      </c>
    </row>
    <row r="22140" spans="1:6" x14ac:dyDescent="0.25">
      <c r="A22140" s="1" t="str">
        <f t="shared" si="821"/>
        <v>34060</v>
      </c>
      <c r="B22140" s="1" t="str">
        <f>"26764"</f>
        <v>26764</v>
      </c>
      <c r="C22140" s="2">
        <v>3.2212641175275003E-2</v>
      </c>
      <c r="D22140" s="2">
        <v>2.0035356511490798E-2</v>
      </c>
      <c r="E22140" s="2">
        <v>2.51442704039571E-2</v>
      </c>
      <c r="F22140" s="2">
        <v>3.11767862518487E-2</v>
      </c>
    </row>
    <row r="22141" spans="1:6" x14ac:dyDescent="0.25">
      <c r="A22141" s="1" t="str">
        <f t="shared" si="821"/>
        <v>34060</v>
      </c>
      <c r="B22141" s="1" t="str">
        <f>"26542"</f>
        <v>26542</v>
      </c>
      <c r="C22141" s="2">
        <v>1.14682228609586E-2</v>
      </c>
      <c r="D22141" s="2">
        <v>7.4641524258495301E-3</v>
      </c>
      <c r="E22141" s="2">
        <v>1.6488046166529199E-3</v>
      </c>
      <c r="F22141" s="2">
        <v>1.0889624752954701E-2</v>
      </c>
    </row>
    <row r="22142" spans="1:6" x14ac:dyDescent="0.25">
      <c r="A22142" s="1" t="str">
        <f t="shared" si="821"/>
        <v>34060</v>
      </c>
      <c r="B22142" s="1" t="str">
        <f>"26554"</f>
        <v>26554</v>
      </c>
      <c r="C22142" s="2">
        <v>5.0663414917399702E-3</v>
      </c>
      <c r="D22142" s="2">
        <v>1.37497544686702E-3</v>
      </c>
      <c r="E22142" s="2">
        <v>0</v>
      </c>
      <c r="F22142" s="2">
        <v>4.6595028991008201E-3</v>
      </c>
    </row>
    <row r="22143" spans="1:6" x14ac:dyDescent="0.25">
      <c r="A22143" s="1" t="str">
        <f t="shared" si="821"/>
        <v>34060</v>
      </c>
      <c r="B22143" s="1" t="str">
        <f>"26716"</f>
        <v>26716</v>
      </c>
      <c r="C22143" s="2">
        <v>4.2969543884098299E-3</v>
      </c>
      <c r="D22143" s="2">
        <v>1.5714005107051599E-3</v>
      </c>
      <c r="E22143" s="2">
        <v>0</v>
      </c>
      <c r="F22143" s="2">
        <v>3.9789013520411497E-3</v>
      </c>
    </row>
    <row r="22144" spans="1:6" x14ac:dyDescent="0.25">
      <c r="A22144" s="1" t="str">
        <f t="shared" si="821"/>
        <v>34060</v>
      </c>
      <c r="B22144" s="1" t="str">
        <f>"26501"</f>
        <v>26501</v>
      </c>
      <c r="C22144" s="2">
        <v>0.14776587405278199</v>
      </c>
      <c r="D22144" s="2">
        <v>0.203889216263995</v>
      </c>
      <c r="E22144" s="2">
        <v>0.18920032976092299</v>
      </c>
      <c r="F22144" s="2">
        <v>0.15282122429747499</v>
      </c>
    </row>
    <row r="22145" spans="1:6" x14ac:dyDescent="0.25">
      <c r="A22145" s="1" t="str">
        <f t="shared" si="821"/>
        <v>34060</v>
      </c>
      <c r="B22145" s="1" t="str">
        <f>"26405"</f>
        <v>26405</v>
      </c>
      <c r="C22145" s="2">
        <v>9.0003774351827604E-4</v>
      </c>
      <c r="D22145" s="2">
        <v>0</v>
      </c>
      <c r="E22145" s="2">
        <v>0</v>
      </c>
      <c r="F22145" s="2">
        <v>8.1148645995576005E-4</v>
      </c>
    </row>
    <row r="22146" spans="1:6" x14ac:dyDescent="0.25">
      <c r="A22146" s="1" t="str">
        <f t="shared" si="821"/>
        <v>34060</v>
      </c>
      <c r="B22146" s="1" t="str">
        <f>"26531"</f>
        <v>26531</v>
      </c>
      <c r="C22146" s="2">
        <v>2.0628284411926899E-2</v>
      </c>
      <c r="D22146" s="2">
        <v>3.7713612256923899E-2</v>
      </c>
      <c r="E22146" s="2">
        <v>8.2440230832646301E-4</v>
      </c>
      <c r="F22146" s="2">
        <v>2.1137913432718598E-2</v>
      </c>
    </row>
    <row r="22147" spans="1:6" x14ac:dyDescent="0.25">
      <c r="A22147" s="1" t="str">
        <f t="shared" si="821"/>
        <v>34060</v>
      </c>
      <c r="B22147" s="1" t="str">
        <f>"26444"</f>
        <v>26444</v>
      </c>
      <c r="C22147" s="2">
        <v>2.0120198588973001E-2</v>
      </c>
      <c r="D22147" s="2">
        <v>7.6605774896876802E-3</v>
      </c>
      <c r="E22147" s="2">
        <v>8.2440230832646301E-4</v>
      </c>
      <c r="F22147" s="2">
        <v>1.86772770702721E-2</v>
      </c>
    </row>
    <row r="22148" spans="1:6" x14ac:dyDescent="0.25">
      <c r="A22148" s="1" t="str">
        <f t="shared" si="821"/>
        <v>34060</v>
      </c>
      <c r="B22148" s="1" t="str">
        <f>"26524"</f>
        <v>26524</v>
      </c>
      <c r="C22148" s="2">
        <v>8.8552100571959397E-4</v>
      </c>
      <c r="D22148" s="2">
        <v>1.9642506383814499E-4</v>
      </c>
      <c r="E22148" s="2">
        <v>8.2440230832646301E-4</v>
      </c>
      <c r="F22148" s="2">
        <v>8.3766344253497795E-4</v>
      </c>
    </row>
    <row r="22149" spans="1:6" x14ac:dyDescent="0.25">
      <c r="A22149" s="1" t="str">
        <f t="shared" si="821"/>
        <v>34060</v>
      </c>
      <c r="B22149" s="1" t="str">
        <f>"26582"</f>
        <v>26582</v>
      </c>
      <c r="C22149" s="2">
        <v>8.71004267920912E-5</v>
      </c>
      <c r="D22149" s="2">
        <v>0</v>
      </c>
      <c r="E22149" s="2">
        <v>0</v>
      </c>
      <c r="F22149" s="2">
        <v>7.8530947737654206E-5</v>
      </c>
    </row>
    <row r="22150" spans="1:6" x14ac:dyDescent="0.25">
      <c r="A22150" s="1" t="str">
        <f t="shared" si="821"/>
        <v>34060</v>
      </c>
      <c r="B22150" s="1" t="str">
        <f>"26410"</f>
        <v>26410</v>
      </c>
      <c r="C22150" s="2">
        <v>6.2857474668292501E-3</v>
      </c>
      <c r="D22150" s="2">
        <v>3.7320762129247598E-3</v>
      </c>
      <c r="E22150" s="2">
        <v>0</v>
      </c>
      <c r="F22150" s="2">
        <v>5.9159980629032802E-3</v>
      </c>
    </row>
    <row r="22151" spans="1:6" x14ac:dyDescent="0.25">
      <c r="A22151" s="1" t="str">
        <f t="shared" si="821"/>
        <v>34060</v>
      </c>
      <c r="B22151" s="1" t="str">
        <f>"26541"</f>
        <v>26541</v>
      </c>
      <c r="C22151" s="2">
        <v>2.3967134105623698E-2</v>
      </c>
      <c r="D22151" s="2">
        <v>7.4641524258495301E-3</v>
      </c>
      <c r="E22151" s="2">
        <v>1.23660346248969E-3</v>
      </c>
      <c r="F22151" s="2">
        <v>2.2145727262018501E-2</v>
      </c>
    </row>
    <row r="22152" spans="1:6" x14ac:dyDescent="0.25">
      <c r="A22152" s="1" t="str">
        <f t="shared" si="821"/>
        <v>34060</v>
      </c>
      <c r="B22152" s="1" t="str">
        <f>"26519"</f>
        <v>26519</v>
      </c>
      <c r="C22152" s="2">
        <v>1.25134279824637E-2</v>
      </c>
      <c r="D22152" s="2">
        <v>5.30347672362993E-3</v>
      </c>
      <c r="E22152" s="2">
        <v>7.0074196207749297E-3</v>
      </c>
      <c r="F22152" s="2">
        <v>1.1858173108385699E-2</v>
      </c>
    </row>
    <row r="22153" spans="1:6" x14ac:dyDescent="0.25">
      <c r="A22153" s="1" t="str">
        <f t="shared" si="821"/>
        <v>34060</v>
      </c>
      <c r="B22153" s="1" t="str">
        <f>"26520"</f>
        <v>26520</v>
      </c>
      <c r="C22153" s="2">
        <v>2.4678454257759098E-4</v>
      </c>
      <c r="D22153" s="2">
        <v>1.9642506383814499E-4</v>
      </c>
      <c r="E22153" s="2">
        <v>0</v>
      </c>
      <c r="F22153" s="2">
        <v>2.3559284321296201E-4</v>
      </c>
    </row>
    <row r="22154" spans="1:6" x14ac:dyDescent="0.25">
      <c r="A22154" s="1" t="str">
        <f t="shared" si="821"/>
        <v>34060</v>
      </c>
      <c r="B22154" s="1" t="str">
        <f>"26504"</f>
        <v>26504</v>
      </c>
      <c r="C22154" s="2">
        <v>6.8519002409778403E-3</v>
      </c>
      <c r="D22154" s="2">
        <v>3.6731486937733197E-2</v>
      </c>
      <c r="E22154" s="2">
        <v>4.1220115416323102E-4</v>
      </c>
      <c r="F22154" s="2">
        <v>8.6384042511419706E-3</v>
      </c>
    </row>
    <row r="22155" spans="1:6" x14ac:dyDescent="0.25">
      <c r="A22155" s="1" t="str">
        <f t="shared" si="821"/>
        <v>34060</v>
      </c>
      <c r="B22155" s="1" t="str">
        <f>"26287"</f>
        <v>26287</v>
      </c>
      <c r="C22155" s="2">
        <v>1.01617164590773E-4</v>
      </c>
      <c r="D22155" s="2">
        <v>0</v>
      </c>
      <c r="E22155" s="2">
        <v>0</v>
      </c>
      <c r="F22155" s="2">
        <v>9.1619439027263306E-5</v>
      </c>
    </row>
    <row r="22156" spans="1:6" x14ac:dyDescent="0.25">
      <c r="A22156" s="1" t="str">
        <f t="shared" si="821"/>
        <v>34060</v>
      </c>
      <c r="B22156" s="1" t="str">
        <f>"26354"</f>
        <v>26354</v>
      </c>
      <c r="C22156" s="2">
        <v>2.3226780477890999E-4</v>
      </c>
      <c r="D22156" s="2">
        <v>0</v>
      </c>
      <c r="E22156" s="2">
        <v>0</v>
      </c>
      <c r="F22156" s="2">
        <v>2.09415860633744E-4</v>
      </c>
    </row>
    <row r="22157" spans="1:6" x14ac:dyDescent="0.25">
      <c r="A22157" s="1" t="str">
        <f t="shared" si="821"/>
        <v>34060</v>
      </c>
      <c r="B22157" s="1" t="str">
        <f>"26562"</f>
        <v>26562</v>
      </c>
      <c r="C22157" s="2">
        <v>1.916209389426E-3</v>
      </c>
      <c r="D22157" s="2">
        <v>1.9642506383814499E-4</v>
      </c>
      <c r="E22157" s="2">
        <v>0</v>
      </c>
      <c r="F22157" s="2">
        <v>1.7407693415179999E-3</v>
      </c>
    </row>
    <row r="22158" spans="1:6" x14ac:dyDescent="0.25">
      <c r="A22158" s="1" t="str">
        <f t="shared" si="821"/>
        <v>34060</v>
      </c>
      <c r="B22158" s="1" t="str">
        <f>"26525"</f>
        <v>26525</v>
      </c>
      <c r="C22158" s="2">
        <v>3.5159538948407502E-2</v>
      </c>
      <c r="D22158" s="2">
        <v>1.1589078766450499E-2</v>
      </c>
      <c r="E22158" s="2">
        <v>5.3586150041220098E-3</v>
      </c>
      <c r="F22158" s="2">
        <v>3.2642697276284903E-2</v>
      </c>
    </row>
    <row r="22159" spans="1:6" x14ac:dyDescent="0.25">
      <c r="A22159" s="1" t="str">
        <f t="shared" si="821"/>
        <v>34060</v>
      </c>
      <c r="B22159" s="1" t="str">
        <f>"26537"</f>
        <v>26537</v>
      </c>
      <c r="C22159" s="2">
        <v>3.9775861568388297E-2</v>
      </c>
      <c r="D22159" s="2">
        <v>6.6195246513455097E-2</v>
      </c>
      <c r="E22159" s="2">
        <v>5.02885408079142E-2</v>
      </c>
      <c r="F22159" s="2">
        <v>4.1870083635459299E-2</v>
      </c>
    </row>
    <row r="22160" spans="1:6" x14ac:dyDescent="0.25">
      <c r="A22160" s="1" t="str">
        <f t="shared" si="821"/>
        <v>34060</v>
      </c>
      <c r="B22160" s="1" t="str">
        <f>"26590"</f>
        <v>26590</v>
      </c>
      <c r="C22160" s="2">
        <v>4.4856719797927002E-3</v>
      </c>
      <c r="D22160" s="2">
        <v>1.1785503830288699E-3</v>
      </c>
      <c r="E22160" s="2">
        <v>4.1220115416323102E-4</v>
      </c>
      <c r="F22160" s="2">
        <v>4.1359632475164504E-3</v>
      </c>
    </row>
    <row r="22161" spans="1:6" x14ac:dyDescent="0.25">
      <c r="A22161" s="1" t="str">
        <f t="shared" si="821"/>
        <v>34060</v>
      </c>
      <c r="B22161" s="1" t="str">
        <f>"26527"</f>
        <v>26527</v>
      </c>
      <c r="C22161" s="2">
        <v>0</v>
      </c>
      <c r="D22161" s="2">
        <v>0</v>
      </c>
      <c r="E22161" s="2">
        <v>4.1220115416323102E-4</v>
      </c>
      <c r="F22161" s="2">
        <v>1.3088491289609E-5</v>
      </c>
    </row>
    <row r="22162" spans="1:6" x14ac:dyDescent="0.25">
      <c r="A22162" s="1" t="str">
        <f t="shared" si="821"/>
        <v>34060</v>
      </c>
      <c r="B22162" s="1" t="str">
        <f>"26506"</f>
        <v>26506</v>
      </c>
      <c r="C22162" s="2">
        <v>2.9033475597363698E-5</v>
      </c>
      <c r="D22162" s="2">
        <v>3.1428010214103299E-3</v>
      </c>
      <c r="E22162" s="2">
        <v>1.6488046166529199E-3</v>
      </c>
      <c r="F22162" s="2">
        <v>2.8794680837139898E-4</v>
      </c>
    </row>
    <row r="22163" spans="1:6" x14ac:dyDescent="0.25">
      <c r="A22163" s="1" t="str">
        <f t="shared" si="821"/>
        <v>34060</v>
      </c>
      <c r="B22163" s="1" t="str">
        <f>"26544"</f>
        <v>26544</v>
      </c>
      <c r="C22163" s="2">
        <v>0</v>
      </c>
      <c r="D22163" s="2">
        <v>0</v>
      </c>
      <c r="E22163" s="2">
        <v>4.1220115416323102E-4</v>
      </c>
      <c r="F22163" s="2">
        <v>1.3088491289609E-5</v>
      </c>
    </row>
    <row r="22164" spans="1:6" x14ac:dyDescent="0.25">
      <c r="A22164" s="1" t="str">
        <f t="shared" si="821"/>
        <v>34060</v>
      </c>
      <c r="B22164" s="1" t="str">
        <f>"26521"</f>
        <v>26521</v>
      </c>
      <c r="C22164" s="2">
        <v>9.5810469471300402E-4</v>
      </c>
      <c r="D22164" s="2">
        <v>1.5714005107051599E-3</v>
      </c>
      <c r="E22164" s="2">
        <v>4.1220115416323102E-4</v>
      </c>
      <c r="F22164" s="2">
        <v>9.8163684672067809E-4</v>
      </c>
    </row>
    <row r="22165" spans="1:6" x14ac:dyDescent="0.25">
      <c r="A22165" s="1" t="str">
        <f t="shared" si="821"/>
        <v>34060</v>
      </c>
      <c r="B22165" s="1" t="str">
        <f>"26425"</f>
        <v>26425</v>
      </c>
      <c r="C22165" s="2">
        <v>5.2550590831228396E-3</v>
      </c>
      <c r="D22165" s="2">
        <v>2.1606757022196001E-3</v>
      </c>
      <c r="E22165" s="2">
        <v>8.2440230832646301E-4</v>
      </c>
      <c r="F22165" s="2">
        <v>4.9081842336033896E-3</v>
      </c>
    </row>
    <row r="22166" spans="1:6" x14ac:dyDescent="0.25">
      <c r="A22166" s="1" t="str">
        <f t="shared" si="821"/>
        <v>34060</v>
      </c>
      <c r="B22166" s="1" t="str">
        <f>"26585"</f>
        <v>26585</v>
      </c>
      <c r="C22166" s="2">
        <v>1.45167377986818E-5</v>
      </c>
      <c r="D22166" s="2">
        <v>0</v>
      </c>
      <c r="E22166" s="2">
        <v>0</v>
      </c>
      <c r="F22166" s="2">
        <v>1.3088491289609E-5</v>
      </c>
    </row>
    <row r="22167" spans="1:6" x14ac:dyDescent="0.25">
      <c r="A22167" s="1" t="str">
        <f t="shared" si="821"/>
        <v>34060</v>
      </c>
      <c r="B22167" s="1" t="str">
        <f>"26505"</f>
        <v>26505</v>
      </c>
      <c r="C22167" s="2">
        <v>0.30200621316377702</v>
      </c>
      <c r="D22167" s="2">
        <v>0.33804753486544797</v>
      </c>
      <c r="E22167" s="2">
        <v>0.64715581203627304</v>
      </c>
      <c r="F22167" s="2">
        <v>0.31536719762312898</v>
      </c>
    </row>
    <row r="22168" spans="1:6" x14ac:dyDescent="0.25">
      <c r="A22168" s="1" t="str">
        <f t="shared" si="821"/>
        <v>34060</v>
      </c>
      <c r="B22168" s="1" t="str">
        <f>"26705"</f>
        <v>26705</v>
      </c>
      <c r="C22168" s="2">
        <v>6.6631826495949804E-3</v>
      </c>
      <c r="D22168" s="2">
        <v>3.5356511490866201E-3</v>
      </c>
      <c r="E22168" s="2">
        <v>8.2440230832646301E-4</v>
      </c>
      <c r="F22168" s="2">
        <v>6.2693873277227304E-3</v>
      </c>
    </row>
    <row r="22169" spans="1:6" x14ac:dyDescent="0.25">
      <c r="A22169" s="1" t="str">
        <f t="shared" si="821"/>
        <v>34060</v>
      </c>
      <c r="B22169" s="1" t="str">
        <f>"26570"</f>
        <v>26570</v>
      </c>
      <c r="C22169" s="2">
        <v>1.31231309700084E-2</v>
      </c>
      <c r="D22169" s="2">
        <v>4.5177764682773503E-3</v>
      </c>
      <c r="E22169" s="2">
        <v>0</v>
      </c>
      <c r="F22169" s="2">
        <v>1.21330314254675E-2</v>
      </c>
    </row>
    <row r="22170" spans="1:6" x14ac:dyDescent="0.25">
      <c r="A22170" s="1" t="str">
        <f t="shared" si="821"/>
        <v>34060</v>
      </c>
      <c r="B22170" s="1" t="str">
        <f>"26546"</f>
        <v>26546</v>
      </c>
      <c r="C22170" s="2">
        <v>4.5001887175913802E-4</v>
      </c>
      <c r="D22170" s="2">
        <v>0</v>
      </c>
      <c r="E22170" s="2">
        <v>4.1220115416323102E-4</v>
      </c>
      <c r="F22170" s="2">
        <v>4.1883172126748897E-4</v>
      </c>
    </row>
    <row r="22171" spans="1:6" x14ac:dyDescent="0.25">
      <c r="A22171" s="1" t="str">
        <f t="shared" si="821"/>
        <v>34060</v>
      </c>
      <c r="B22171" s="1" t="str">
        <f>"26374"</f>
        <v>26374</v>
      </c>
      <c r="C22171" s="2">
        <v>8.9713439595854004E-3</v>
      </c>
      <c r="D22171" s="2">
        <v>1.96425063838145E-3</v>
      </c>
      <c r="E22171" s="2">
        <v>1.23660346248969E-3</v>
      </c>
      <c r="F22171" s="2">
        <v>8.2588380037433001E-3</v>
      </c>
    </row>
    <row r="22172" spans="1:6" x14ac:dyDescent="0.25">
      <c r="A22172" s="1" t="str">
        <f t="shared" si="821"/>
        <v>34060</v>
      </c>
      <c r="B22172" s="1" t="str">
        <f>"26547"</f>
        <v>26547</v>
      </c>
      <c r="C22172" s="2">
        <v>1.39651017623319E-2</v>
      </c>
      <c r="D22172" s="2">
        <v>8.4462777450402607E-3</v>
      </c>
      <c r="E22172" s="2">
        <v>2.8854080791426199E-3</v>
      </c>
      <c r="F22172" s="2">
        <v>1.3245553185084301E-2</v>
      </c>
    </row>
    <row r="22173" spans="1:6" x14ac:dyDescent="0.25">
      <c r="A22173" s="1" t="str">
        <f t="shared" ref="A22173:A22198" si="822">"34100"</f>
        <v>34100</v>
      </c>
      <c r="B22173" s="1" t="str">
        <f>"37725"</f>
        <v>37725</v>
      </c>
      <c r="C22173" s="2">
        <v>0.13214604252380799</v>
      </c>
      <c r="D22173" s="2">
        <v>7.0116235470566099E-2</v>
      </c>
      <c r="E22173" s="2">
        <v>4.6666666666666599E-2</v>
      </c>
      <c r="F22173" s="2">
        <v>0.12628940392136201</v>
      </c>
    </row>
    <row r="22174" spans="1:6" x14ac:dyDescent="0.25">
      <c r="A22174" s="1" t="str">
        <f t="shared" si="822"/>
        <v>34100</v>
      </c>
      <c r="B22174" s="1" t="str">
        <f>"37779"</f>
        <v>37779</v>
      </c>
      <c r="C22174" s="2">
        <v>4.0279655896653899E-4</v>
      </c>
      <c r="D22174" s="2">
        <v>0</v>
      </c>
      <c r="E22174" s="2">
        <v>0</v>
      </c>
      <c r="F22174" s="2">
        <v>3.6746371295834498E-4</v>
      </c>
    </row>
    <row r="22175" spans="1:6" x14ac:dyDescent="0.25">
      <c r="A22175" s="1" t="str">
        <f t="shared" si="822"/>
        <v>34100</v>
      </c>
      <c r="B22175" s="1" t="str">
        <f>"37709"</f>
        <v>37709</v>
      </c>
      <c r="C22175" s="2">
        <v>2.5045314612883701E-2</v>
      </c>
      <c r="D22175" s="2">
        <v>1.55605549306336E-2</v>
      </c>
      <c r="E22175" s="2">
        <v>8.8888888888888802E-3</v>
      </c>
      <c r="F22175" s="2">
        <v>2.409512060684E-2</v>
      </c>
    </row>
    <row r="22176" spans="1:6" x14ac:dyDescent="0.25">
      <c r="A22176" s="1" t="str">
        <f t="shared" si="822"/>
        <v>34100</v>
      </c>
      <c r="B22176" s="1" t="str">
        <f>"37871"</f>
        <v>37871</v>
      </c>
      <c r="C22176" s="2">
        <v>2.3592369882325801E-2</v>
      </c>
      <c r="D22176" s="2">
        <v>7.3115860517435297E-3</v>
      </c>
      <c r="E22176" s="2">
        <v>7.4074074074073999E-3</v>
      </c>
      <c r="F22176" s="2">
        <v>2.2165936113808699E-2</v>
      </c>
    </row>
    <row r="22177" spans="1:6" x14ac:dyDescent="0.25">
      <c r="A22177" s="1" t="str">
        <f t="shared" si="822"/>
        <v>34100</v>
      </c>
      <c r="B22177" s="1" t="str">
        <f>"37890"</f>
        <v>37890</v>
      </c>
      <c r="C22177" s="2">
        <v>4.62209051414103E-2</v>
      </c>
      <c r="D22177" s="2">
        <v>2.5684289463817001E-2</v>
      </c>
      <c r="E22177" s="2">
        <v>3.1851851851851798E-2</v>
      </c>
      <c r="F22177" s="2">
        <v>4.4528727788130898E-2</v>
      </c>
    </row>
    <row r="22178" spans="1:6" x14ac:dyDescent="0.25">
      <c r="A22178" s="1" t="str">
        <f t="shared" si="822"/>
        <v>34100</v>
      </c>
      <c r="B22178" s="1" t="str">
        <f>"37877"</f>
        <v>37877</v>
      </c>
      <c r="C22178" s="2">
        <v>5.5542768363207401E-2</v>
      </c>
      <c r="D22178" s="2">
        <v>2.5121859767528999E-2</v>
      </c>
      <c r="E22178" s="2">
        <v>1.7037037037037E-2</v>
      </c>
      <c r="F22178" s="2">
        <v>5.2731042809522503E-2</v>
      </c>
    </row>
    <row r="22179" spans="1:6" x14ac:dyDescent="0.25">
      <c r="A22179" s="1" t="str">
        <f t="shared" si="822"/>
        <v>34100</v>
      </c>
      <c r="B22179" s="1" t="str">
        <f>"37891"</f>
        <v>37891</v>
      </c>
      <c r="C22179" s="2">
        <v>1.9780188163535401E-2</v>
      </c>
      <c r="D22179" s="2">
        <v>5.8117735283089601E-3</v>
      </c>
      <c r="E22179" s="2">
        <v>8.8888888888888802E-3</v>
      </c>
      <c r="F22179" s="2">
        <v>1.86094123205333E-2</v>
      </c>
    </row>
    <row r="22180" spans="1:6" x14ac:dyDescent="0.25">
      <c r="A22180" s="1" t="str">
        <f t="shared" si="822"/>
        <v>34100</v>
      </c>
      <c r="B22180" s="1" t="str">
        <f>"37806"</f>
        <v>37806</v>
      </c>
      <c r="C22180" s="2">
        <v>7.1927956958310504E-4</v>
      </c>
      <c r="D22180" s="2">
        <v>1.8747656542932099E-4</v>
      </c>
      <c r="E22180" s="2">
        <v>7.4074074074074005E-4</v>
      </c>
      <c r="F22180" s="2">
        <v>6.8243260977978403E-4</v>
      </c>
    </row>
    <row r="22181" spans="1:6" x14ac:dyDescent="0.25">
      <c r="A22181" s="1" t="str">
        <f t="shared" si="822"/>
        <v>34100</v>
      </c>
      <c r="B22181" s="1" t="str">
        <f>"37821"</f>
        <v>37821</v>
      </c>
      <c r="C22181" s="2">
        <v>2.5894064504991798E-4</v>
      </c>
      <c r="D22181" s="2">
        <v>1.8747656542932099E-4</v>
      </c>
      <c r="E22181" s="2">
        <v>0</v>
      </c>
      <c r="F22181" s="2">
        <v>2.4935037665030498E-4</v>
      </c>
    </row>
    <row r="22182" spans="1:6" x14ac:dyDescent="0.25">
      <c r="A22182" s="1" t="str">
        <f t="shared" si="822"/>
        <v>34100</v>
      </c>
      <c r="B22182" s="1" t="str">
        <f>"37778"</f>
        <v>37778</v>
      </c>
      <c r="C22182" s="2">
        <v>0</v>
      </c>
      <c r="D22182" s="2">
        <v>1.8747656542932099E-4</v>
      </c>
      <c r="E22182" s="2">
        <v>0</v>
      </c>
      <c r="F22182" s="2">
        <v>1.3123704034226599E-5</v>
      </c>
    </row>
    <row r="22183" spans="1:6" x14ac:dyDescent="0.25">
      <c r="A22183" s="1" t="str">
        <f t="shared" si="822"/>
        <v>34100</v>
      </c>
      <c r="B22183" s="1" t="str">
        <f>"37876"</f>
        <v>37876</v>
      </c>
      <c r="C22183" s="2">
        <v>7.6387490289725798E-3</v>
      </c>
      <c r="D22183" s="2">
        <v>1.31233595800524E-3</v>
      </c>
      <c r="E22183" s="2">
        <v>1.4814814814814801E-3</v>
      </c>
      <c r="F22183" s="2">
        <v>7.0868001784823702E-3</v>
      </c>
    </row>
    <row r="22184" spans="1:6" x14ac:dyDescent="0.25">
      <c r="A22184" s="1" t="str">
        <f t="shared" si="822"/>
        <v>34100</v>
      </c>
      <c r="B22184" s="1" t="str">
        <f>"37814"</f>
        <v>37814</v>
      </c>
      <c r="C22184" s="2">
        <v>0.22852950484794399</v>
      </c>
      <c r="D22184" s="2">
        <v>0.32977127859017602</v>
      </c>
      <c r="E22184" s="2">
        <v>0.44148148148148098</v>
      </c>
      <c r="F22184" s="2">
        <v>0.23938948528832699</v>
      </c>
    </row>
    <row r="22185" spans="1:6" x14ac:dyDescent="0.25">
      <c r="A22185" s="1" t="str">
        <f t="shared" si="822"/>
        <v>34100</v>
      </c>
      <c r="B22185" s="1" t="str">
        <f>"37861"</f>
        <v>37861</v>
      </c>
      <c r="C22185" s="2">
        <v>6.5742152659895803E-2</v>
      </c>
      <c r="D22185" s="2">
        <v>3.2995875515560498E-2</v>
      </c>
      <c r="E22185" s="2">
        <v>7.4074074074073999E-3</v>
      </c>
      <c r="F22185" s="2">
        <v>6.2416336386781797E-2</v>
      </c>
    </row>
    <row r="22186" spans="1:6" x14ac:dyDescent="0.25">
      <c r="A22186" s="1" t="str">
        <f t="shared" si="822"/>
        <v>34100</v>
      </c>
      <c r="B22186" s="1" t="str">
        <f>"37888"</f>
        <v>37888</v>
      </c>
      <c r="C22186" s="2">
        <v>1.8125845153494202E-2</v>
      </c>
      <c r="D22186" s="2">
        <v>4.8743907011623497E-3</v>
      </c>
      <c r="E22186" s="2">
        <v>0</v>
      </c>
      <c r="F22186" s="2">
        <v>1.6877083388015399E-2</v>
      </c>
    </row>
    <row r="22187" spans="1:6" x14ac:dyDescent="0.25">
      <c r="A22187" s="1" t="str">
        <f t="shared" si="822"/>
        <v>34100</v>
      </c>
      <c r="B22187" s="1" t="str">
        <f>"37881"</f>
        <v>37881</v>
      </c>
      <c r="C22187" s="2">
        <v>1.1335846016629699E-2</v>
      </c>
      <c r="D22187" s="2">
        <v>3.37457817772778E-3</v>
      </c>
      <c r="E22187" s="2">
        <v>0</v>
      </c>
      <c r="F22187" s="2">
        <v>1.0577705451586599E-2</v>
      </c>
    </row>
    <row r="22188" spans="1:6" x14ac:dyDescent="0.25">
      <c r="A22188" s="1" t="str">
        <f t="shared" si="822"/>
        <v>34100</v>
      </c>
      <c r="B22188" s="1" t="str">
        <f>"37848"</f>
        <v>37848</v>
      </c>
      <c r="C22188" s="2">
        <v>1.8701268809160701E-3</v>
      </c>
      <c r="D22188" s="2">
        <v>3.7495313085864198E-4</v>
      </c>
      <c r="E22188" s="2">
        <v>0</v>
      </c>
      <c r="F22188" s="2">
        <v>1.7323289325179101E-3</v>
      </c>
    </row>
    <row r="22189" spans="1:6" x14ac:dyDescent="0.25">
      <c r="A22189" s="1" t="str">
        <f t="shared" si="822"/>
        <v>34100</v>
      </c>
      <c r="B22189" s="1" t="str">
        <f>"37764"</f>
        <v>37764</v>
      </c>
      <c r="C22189" s="2">
        <v>1.58241505308283E-4</v>
      </c>
      <c r="D22189" s="2">
        <v>0</v>
      </c>
      <c r="E22189" s="2">
        <v>0</v>
      </c>
      <c r="F22189" s="2">
        <v>1.4436074437649201E-4</v>
      </c>
    </row>
    <row r="22190" spans="1:6" x14ac:dyDescent="0.25">
      <c r="A22190" s="1" t="str">
        <f t="shared" si="822"/>
        <v>34100</v>
      </c>
      <c r="B22190" s="1" t="str">
        <f>"37820"</f>
        <v>37820</v>
      </c>
      <c r="C22190" s="2">
        <v>5.3974738901516203E-2</v>
      </c>
      <c r="D22190" s="2">
        <v>1.85601799775028E-2</v>
      </c>
      <c r="E22190" s="2">
        <v>3.7037037037036999E-3</v>
      </c>
      <c r="F22190" s="2">
        <v>5.0605002755977797E-2</v>
      </c>
    </row>
    <row r="22191" spans="1:6" x14ac:dyDescent="0.25">
      <c r="A22191" s="1" t="str">
        <f t="shared" si="822"/>
        <v>34100</v>
      </c>
      <c r="B22191" s="1" t="str">
        <f>"37708"</f>
        <v>37708</v>
      </c>
      <c r="C22191" s="2">
        <v>5.2421095031216697E-2</v>
      </c>
      <c r="D22191" s="2">
        <v>2.9058867641544799E-2</v>
      </c>
      <c r="E22191" s="2">
        <v>1.4814814814814801E-3</v>
      </c>
      <c r="F22191" s="2">
        <v>4.9883199034095299E-2</v>
      </c>
    </row>
    <row r="22192" spans="1:6" x14ac:dyDescent="0.25">
      <c r="A22192" s="1" t="str">
        <f t="shared" si="822"/>
        <v>34100</v>
      </c>
      <c r="B22192" s="1" t="str">
        <f>"37711"</f>
        <v>37711</v>
      </c>
      <c r="C22192" s="2">
        <v>7.1927956958310504E-4</v>
      </c>
      <c r="D22192" s="2">
        <v>0</v>
      </c>
      <c r="E22192" s="2">
        <v>0</v>
      </c>
      <c r="F22192" s="2">
        <v>6.5618520171133101E-4</v>
      </c>
    </row>
    <row r="22193" spans="1:6" x14ac:dyDescent="0.25">
      <c r="A22193" s="1" t="str">
        <f t="shared" si="822"/>
        <v>34100</v>
      </c>
      <c r="B22193" s="1" t="str">
        <f>"37811"</f>
        <v>37811</v>
      </c>
      <c r="C22193" s="2">
        <v>1.5392582789078399E-3</v>
      </c>
      <c r="D22193" s="2">
        <v>1.8747656542932099E-4</v>
      </c>
      <c r="E22193" s="2">
        <v>0</v>
      </c>
      <c r="F22193" s="2">
        <v>1.41736003569647E-3</v>
      </c>
    </row>
    <row r="22194" spans="1:6" x14ac:dyDescent="0.25">
      <c r="A22194" s="1" t="str">
        <f t="shared" si="822"/>
        <v>34100</v>
      </c>
      <c r="B22194" s="1" t="str">
        <f>"37860"</f>
        <v>37860</v>
      </c>
      <c r="C22194" s="2">
        <v>2.8555398912449199E-2</v>
      </c>
      <c r="D22194" s="2">
        <v>1.1811023622047201E-2</v>
      </c>
      <c r="E22194" s="2">
        <v>7.4074074074073999E-3</v>
      </c>
      <c r="F22194" s="2">
        <v>2.7008582902438301E-2</v>
      </c>
    </row>
    <row r="22195" spans="1:6" x14ac:dyDescent="0.25">
      <c r="A22195" s="1" t="str">
        <f t="shared" si="822"/>
        <v>34100</v>
      </c>
      <c r="B22195" s="1" t="str">
        <f>"37816"</f>
        <v>37816</v>
      </c>
      <c r="C22195" s="2">
        <v>8.25732945881405E-3</v>
      </c>
      <c r="D22195" s="2">
        <v>4.9868766404199398E-2</v>
      </c>
      <c r="E22195" s="2">
        <v>1.4814814814814801E-3</v>
      </c>
      <c r="F22195" s="2">
        <v>1.1050158796818799E-2</v>
      </c>
    </row>
    <row r="22196" spans="1:6" x14ac:dyDescent="0.25">
      <c r="A22196" s="1" t="str">
        <f t="shared" si="822"/>
        <v>34100</v>
      </c>
      <c r="B22196" s="1" t="str">
        <f>"37813"</f>
        <v>37813</v>
      </c>
      <c r="C22196" s="2">
        <v>0.119386022959403</v>
      </c>
      <c r="D22196" s="2">
        <v>0.214848143982002</v>
      </c>
      <c r="E22196" s="2">
        <v>0.193333333333333</v>
      </c>
      <c r="F22196" s="2">
        <v>0.12737867135620301</v>
      </c>
    </row>
    <row r="22197" spans="1:6" x14ac:dyDescent="0.25">
      <c r="A22197" s="1" t="str">
        <f t="shared" si="822"/>
        <v>34100</v>
      </c>
      <c r="B22197" s="1" t="str">
        <f>"37815"</f>
        <v>37815</v>
      </c>
      <c r="C22197" s="2">
        <v>1.1163218919929699E-2</v>
      </c>
      <c r="D22197" s="2">
        <v>3.2620922384701899E-2</v>
      </c>
      <c r="E22197" s="2">
        <v>1.4814814814814801E-3</v>
      </c>
      <c r="F22197" s="2">
        <v>1.24937662405837E-2</v>
      </c>
    </row>
    <row r="22198" spans="1:6" x14ac:dyDescent="0.25">
      <c r="A22198" s="1" t="str">
        <f t="shared" si="822"/>
        <v>34100</v>
      </c>
      <c r="B22198" s="1" t="str">
        <f>"37760"</f>
        <v>37760</v>
      </c>
      <c r="C22198" s="2">
        <v>8.6874586414247404E-2</v>
      </c>
      <c r="D22198" s="2">
        <v>0.12017247844019401</v>
      </c>
      <c r="E22198" s="2">
        <v>0.21925925925925899</v>
      </c>
      <c r="F22198" s="2">
        <v>9.1550959342764901E-2</v>
      </c>
    </row>
    <row r="22199" spans="1:6" x14ac:dyDescent="0.25">
      <c r="A22199" s="1" t="str">
        <f t="shared" ref="A22199:A22211" si="823">"34140"</f>
        <v>34140</v>
      </c>
      <c r="B22199" s="1" t="str">
        <f>"83823"</f>
        <v>83823</v>
      </c>
      <c r="C22199" s="2">
        <v>2.7359146765592299E-2</v>
      </c>
      <c r="D22199" s="2">
        <v>2.0242914979756998E-3</v>
      </c>
      <c r="E22199" s="2">
        <v>5.1941238195173101E-2</v>
      </c>
      <c r="F22199" s="2">
        <v>2.7810077519379799E-2</v>
      </c>
    </row>
    <row r="22200" spans="1:6" x14ac:dyDescent="0.25">
      <c r="A22200" s="1" t="str">
        <f t="shared" si="823"/>
        <v>34140</v>
      </c>
      <c r="B22200" s="1" t="str">
        <f>"83834"</f>
        <v>83834</v>
      </c>
      <c r="C22200" s="2">
        <v>5.2167864595409202E-3</v>
      </c>
      <c r="D22200" s="2">
        <v>6.7476383265856904E-4</v>
      </c>
      <c r="E22200" s="2">
        <v>5.24658971668415E-4</v>
      </c>
      <c r="F22200" s="2">
        <v>4.4573643410852704E-3</v>
      </c>
    </row>
    <row r="22201" spans="1:6" x14ac:dyDescent="0.25">
      <c r="A22201" s="1" t="str">
        <f t="shared" si="823"/>
        <v>34140</v>
      </c>
      <c r="B22201" s="1" t="str">
        <f>"83824"</f>
        <v>83824</v>
      </c>
      <c r="C22201" s="2">
        <v>1.2752144678877799E-3</v>
      </c>
      <c r="D22201" s="2">
        <v>0</v>
      </c>
      <c r="E22201" s="2">
        <v>0</v>
      </c>
      <c r="F22201" s="2">
        <v>1.0658914728682101E-3</v>
      </c>
    </row>
    <row r="22202" spans="1:6" x14ac:dyDescent="0.25">
      <c r="A22202" s="1" t="str">
        <f t="shared" si="823"/>
        <v>34140</v>
      </c>
      <c r="B22202" s="1" t="str">
        <f>"83872"</f>
        <v>83872</v>
      </c>
      <c r="C22202" s="2">
        <v>1.86645026663575E-2</v>
      </c>
      <c r="D22202" s="2">
        <v>0</v>
      </c>
      <c r="E22202" s="2">
        <v>6.8205666316893997E-3</v>
      </c>
      <c r="F22202" s="2">
        <v>1.6230620155038698E-2</v>
      </c>
    </row>
    <row r="22203" spans="1:6" x14ac:dyDescent="0.25">
      <c r="A22203" s="1" t="str">
        <f t="shared" si="823"/>
        <v>34140</v>
      </c>
      <c r="B22203" s="1" t="str">
        <f>"83832"</f>
        <v>83832</v>
      </c>
      <c r="C22203" s="2">
        <v>3.0952932993276099E-2</v>
      </c>
      <c r="D22203" s="2">
        <v>8.7719298245613996E-3</v>
      </c>
      <c r="E22203" s="2">
        <v>7.8698845750262304E-3</v>
      </c>
      <c r="F22203" s="2">
        <v>2.7228682170542601E-2</v>
      </c>
    </row>
    <row r="22204" spans="1:6" x14ac:dyDescent="0.25">
      <c r="A22204" s="1" t="str">
        <f t="shared" si="823"/>
        <v>34140</v>
      </c>
      <c r="B22204" s="1" t="str">
        <f>"83871"</f>
        <v>83871</v>
      </c>
      <c r="C22204" s="2">
        <v>3.6923255274750703E-2</v>
      </c>
      <c r="D22204" s="2">
        <v>4.7233468286099799E-3</v>
      </c>
      <c r="E22204" s="2">
        <v>3.0954879328436501E-2</v>
      </c>
      <c r="F22204" s="2">
        <v>3.4060077519379797E-2</v>
      </c>
    </row>
    <row r="22205" spans="1:6" x14ac:dyDescent="0.25">
      <c r="A22205" s="1" t="str">
        <f t="shared" si="823"/>
        <v>34140</v>
      </c>
      <c r="B22205" s="1" t="str">
        <f>"83537"</f>
        <v>83537</v>
      </c>
      <c r="C22205" s="2">
        <v>1.7679109668444201E-2</v>
      </c>
      <c r="D22205" s="2">
        <v>4.7233468286099799E-3</v>
      </c>
      <c r="E22205" s="2">
        <v>1.04931794333683E-3</v>
      </c>
      <c r="F22205" s="2">
        <v>1.5213178294573601E-2</v>
      </c>
    </row>
    <row r="22206" spans="1:6" x14ac:dyDescent="0.25">
      <c r="A22206" s="1" t="str">
        <f t="shared" si="823"/>
        <v>34140</v>
      </c>
      <c r="B22206" s="1" t="str">
        <f>"83535"</f>
        <v>83535</v>
      </c>
      <c r="C22206" s="2">
        <v>1.16508230929747E-2</v>
      </c>
      <c r="D22206" s="2">
        <v>3.3738191632928399E-3</v>
      </c>
      <c r="E22206" s="2">
        <v>1.5739769150052398E-2</v>
      </c>
      <c r="F22206" s="2">
        <v>1.14341085271317E-2</v>
      </c>
    </row>
    <row r="22207" spans="1:6" x14ac:dyDescent="0.25">
      <c r="A22207" s="1" t="str">
        <f t="shared" si="823"/>
        <v>34140</v>
      </c>
      <c r="B22207" s="1" t="str">
        <f>"83857"</f>
        <v>83857</v>
      </c>
      <c r="C22207" s="2">
        <v>1.6867609552515601E-2</v>
      </c>
      <c r="D22207" s="2">
        <v>4.0485829959514101E-3</v>
      </c>
      <c r="E22207" s="2">
        <v>5.24658971668415E-4</v>
      </c>
      <c r="F22207" s="2">
        <v>1.4437984496124E-2</v>
      </c>
    </row>
    <row r="22208" spans="1:6" x14ac:dyDescent="0.25">
      <c r="A22208" s="1" t="str">
        <f t="shared" si="823"/>
        <v>34140</v>
      </c>
      <c r="B22208" s="1" t="str">
        <f>"83806"</f>
        <v>83806</v>
      </c>
      <c r="C22208" s="2">
        <v>0</v>
      </c>
      <c r="D22208" s="2">
        <v>0</v>
      </c>
      <c r="E22208" s="2">
        <v>3.77754459601259E-2</v>
      </c>
      <c r="F22208" s="2">
        <v>3.4883720930232501E-3</v>
      </c>
    </row>
    <row r="22209" spans="1:6" x14ac:dyDescent="0.25">
      <c r="A22209" s="1" t="str">
        <f t="shared" si="823"/>
        <v>34140</v>
      </c>
      <c r="B22209" s="1" t="str">
        <f>"83855"</f>
        <v>83855</v>
      </c>
      <c r="C22209" s="2">
        <v>3.6169719452817002E-2</v>
      </c>
      <c r="D22209" s="2">
        <v>1.4170040485829901E-2</v>
      </c>
      <c r="E22209" s="2">
        <v>9.9685204616998896E-2</v>
      </c>
      <c r="F22209" s="2">
        <v>4.0455426356589101E-2</v>
      </c>
    </row>
    <row r="22210" spans="1:6" x14ac:dyDescent="0.25">
      <c r="A22210" s="1" t="str">
        <f t="shared" si="823"/>
        <v>34140</v>
      </c>
      <c r="B22210" s="1" t="str">
        <f>"83843"</f>
        <v>83843</v>
      </c>
      <c r="C22210" s="2">
        <v>0.79724089960584199</v>
      </c>
      <c r="D22210" s="2">
        <v>0.95681511470985103</v>
      </c>
      <c r="E22210" s="2">
        <v>0.74711437565582295</v>
      </c>
      <c r="F22210" s="2">
        <v>0.80406976744185998</v>
      </c>
    </row>
    <row r="22211" spans="1:6" x14ac:dyDescent="0.25">
      <c r="A22211" s="1" t="str">
        <f t="shared" si="823"/>
        <v>34140</v>
      </c>
      <c r="B22211" s="1" t="str">
        <f>"83844"</f>
        <v>83844</v>
      </c>
      <c r="C22211" s="2">
        <v>0</v>
      </c>
      <c r="D22211" s="2">
        <v>6.7476383265856904E-4</v>
      </c>
      <c r="E22211" s="2">
        <v>0</v>
      </c>
      <c r="F22211" s="2">
        <v>4.84496124031007E-5</v>
      </c>
    </row>
    <row r="22212" spans="1:6" x14ac:dyDescent="0.25">
      <c r="A22212" s="1" t="str">
        <f t="shared" ref="A22212:A22231" si="824">"34180"</f>
        <v>34180</v>
      </c>
      <c r="B22212" s="1" t="str">
        <f>"99357"</f>
        <v>99357</v>
      </c>
      <c r="C22212" s="2">
        <v>1.4392974276963099E-2</v>
      </c>
      <c r="D22212" s="2">
        <v>7.2751322751322704E-3</v>
      </c>
      <c r="E22212" s="2">
        <v>2.7972027972027899E-2</v>
      </c>
      <c r="F22212" s="2">
        <v>1.4753483135525601E-2</v>
      </c>
    </row>
    <row r="22213" spans="1:6" x14ac:dyDescent="0.25">
      <c r="A22213" s="1" t="str">
        <f t="shared" si="824"/>
        <v>34180</v>
      </c>
      <c r="B22213" s="1" t="str">
        <f>"99321"</f>
        <v>99321</v>
      </c>
      <c r="C22213" s="2">
        <v>8.1316238852898902E-4</v>
      </c>
      <c r="D22213" s="2">
        <v>6.6137566137566101E-4</v>
      </c>
      <c r="E22213" s="2">
        <v>2.5763709974236201E-2</v>
      </c>
      <c r="F22213" s="2">
        <v>2.3924567246798299E-3</v>
      </c>
    </row>
    <row r="22214" spans="1:6" x14ac:dyDescent="0.25">
      <c r="A22214" s="1" t="str">
        <f t="shared" si="824"/>
        <v>34180</v>
      </c>
      <c r="B22214" s="1" t="str">
        <f>"98860"</f>
        <v>98860</v>
      </c>
      <c r="C22214" s="2">
        <v>5.4210825901932603E-5</v>
      </c>
      <c r="D22214" s="2">
        <v>0</v>
      </c>
      <c r="E22214" s="2">
        <v>5.04232609495767E-2</v>
      </c>
      <c r="F22214" s="2">
        <v>3.2603086738283902E-3</v>
      </c>
    </row>
    <row r="22215" spans="1:6" x14ac:dyDescent="0.25">
      <c r="A22215" s="1" t="str">
        <f t="shared" si="824"/>
        <v>34180</v>
      </c>
      <c r="B22215" s="1" t="str">
        <f>"98858"</f>
        <v>98858</v>
      </c>
      <c r="C22215" s="2">
        <v>1.62632477705797E-4</v>
      </c>
      <c r="D22215" s="2">
        <v>0</v>
      </c>
      <c r="E22215" s="2">
        <v>0</v>
      </c>
      <c r="F22215" s="2">
        <v>1.40732748510578E-4</v>
      </c>
    </row>
    <row r="22216" spans="1:6" x14ac:dyDescent="0.25">
      <c r="A22216" s="1" t="str">
        <f t="shared" si="824"/>
        <v>34180</v>
      </c>
      <c r="B22216" s="1" t="str">
        <f>"99133"</f>
        <v>99133</v>
      </c>
      <c r="C22216" s="2">
        <v>1.32003361071205E-2</v>
      </c>
      <c r="D22216" s="2">
        <v>6.2830687830687801E-3</v>
      </c>
      <c r="E22216" s="2">
        <v>8.0971659919028306E-3</v>
      </c>
      <c r="F22216" s="2">
        <v>1.23844818689309E-2</v>
      </c>
    </row>
    <row r="22217" spans="1:6" x14ac:dyDescent="0.25">
      <c r="A22217" s="1" t="str">
        <f t="shared" si="824"/>
        <v>34180</v>
      </c>
      <c r="B22217" s="1" t="str">
        <f>"98848"</f>
        <v>98848</v>
      </c>
      <c r="C22217" s="2">
        <v>0.14810397636407899</v>
      </c>
      <c r="D22217" s="2">
        <v>0.11673280423280399</v>
      </c>
      <c r="E22217" s="2">
        <v>5.5207949944792001E-2</v>
      </c>
      <c r="F22217" s="2">
        <v>0.13995871839377</v>
      </c>
    </row>
    <row r="22218" spans="1:6" x14ac:dyDescent="0.25">
      <c r="A22218" s="1" t="str">
        <f t="shared" si="824"/>
        <v>34180</v>
      </c>
      <c r="B22218" s="1" t="str">
        <f>"98851"</f>
        <v>98851</v>
      </c>
      <c r="C22218" s="2">
        <v>2.82438402949068E-2</v>
      </c>
      <c r="D22218" s="2">
        <v>4.29894179894179E-3</v>
      </c>
      <c r="E22218" s="2">
        <v>0.26831063673168898</v>
      </c>
      <c r="F22218" s="2">
        <v>4.1844537223811901E-2</v>
      </c>
    </row>
    <row r="22219" spans="1:6" x14ac:dyDescent="0.25">
      <c r="A22219" s="1" t="str">
        <f t="shared" si="824"/>
        <v>34180</v>
      </c>
      <c r="B22219" s="1" t="str">
        <f>"98857"</f>
        <v>98857</v>
      </c>
      <c r="C22219" s="2">
        <v>2.27685468788116E-2</v>
      </c>
      <c r="D22219" s="2">
        <v>1.6534391534391499E-2</v>
      </c>
      <c r="E22219" s="2">
        <v>5.8888479941111502E-3</v>
      </c>
      <c r="F22219" s="2">
        <v>2.1250645025097301E-2</v>
      </c>
    </row>
    <row r="22220" spans="1:6" x14ac:dyDescent="0.25">
      <c r="A22220" s="1" t="str">
        <f t="shared" si="824"/>
        <v>34180</v>
      </c>
      <c r="B22220" s="1" t="str">
        <f>"98837"</f>
        <v>98837</v>
      </c>
      <c r="C22220" s="2">
        <v>0.53842192285799395</v>
      </c>
      <c r="D22220" s="2">
        <v>0.60482804232804199</v>
      </c>
      <c r="E22220" s="2">
        <v>0.24254692675745301</v>
      </c>
      <c r="F22220" s="2">
        <v>0.524276399118074</v>
      </c>
    </row>
    <row r="22221" spans="1:6" x14ac:dyDescent="0.25">
      <c r="A22221" s="1" t="str">
        <f t="shared" si="824"/>
        <v>34180</v>
      </c>
      <c r="B22221" s="1" t="str">
        <f>"99115"</f>
        <v>99115</v>
      </c>
      <c r="C22221" s="2">
        <v>6.0716125010164502E-3</v>
      </c>
      <c r="D22221" s="2">
        <v>3.63756613756613E-3</v>
      </c>
      <c r="E22221" s="2">
        <v>0.10379094589620901</v>
      </c>
      <c r="F22221" s="2">
        <v>1.21264718299948E-2</v>
      </c>
    </row>
    <row r="22222" spans="1:6" x14ac:dyDescent="0.25">
      <c r="A22222" s="1" t="str">
        <f t="shared" si="824"/>
        <v>34180</v>
      </c>
      <c r="B22222" s="1" t="str">
        <f>"99135"</f>
        <v>99135</v>
      </c>
      <c r="C22222" s="2">
        <v>1.3281652345973399E-3</v>
      </c>
      <c r="D22222" s="2">
        <v>0</v>
      </c>
      <c r="E22222" s="2">
        <v>1.1041589988958401E-2</v>
      </c>
      <c r="F22222" s="2">
        <v>1.8529811887226101E-3</v>
      </c>
    </row>
    <row r="22223" spans="1:6" x14ac:dyDescent="0.25">
      <c r="A22223" s="1" t="str">
        <f t="shared" si="824"/>
        <v>34180</v>
      </c>
      <c r="B22223" s="1" t="str">
        <f>"98853"</f>
        <v>98853</v>
      </c>
      <c r="C22223" s="2">
        <v>2.7105412950966301E-5</v>
      </c>
      <c r="D22223" s="2">
        <v>0</v>
      </c>
      <c r="E22223" s="2">
        <v>1.1409642988590299E-2</v>
      </c>
      <c r="F22223" s="2">
        <v>7.5057465872308395E-4</v>
      </c>
    </row>
    <row r="22224" spans="1:6" x14ac:dyDescent="0.25">
      <c r="A22224" s="1" t="str">
        <f t="shared" si="824"/>
        <v>34180</v>
      </c>
      <c r="B22224" s="1" t="str">
        <f>"98824"</f>
        <v>98824</v>
      </c>
      <c r="C22224" s="2">
        <v>0</v>
      </c>
      <c r="D22224" s="2">
        <v>6.6137566137566101E-4</v>
      </c>
      <c r="E22224" s="2">
        <v>0</v>
      </c>
      <c r="F22224" s="2">
        <v>4.6910916170192801E-5</v>
      </c>
    </row>
    <row r="22225" spans="1:6" x14ac:dyDescent="0.25">
      <c r="A22225" s="1" t="str">
        <f t="shared" si="824"/>
        <v>34180</v>
      </c>
      <c r="B22225" s="1" t="str">
        <f>"99349"</f>
        <v>99349</v>
      </c>
      <c r="C22225" s="2">
        <v>4.4615509717290502E-2</v>
      </c>
      <c r="D22225" s="2">
        <v>2.0833333333333301E-2</v>
      </c>
      <c r="E22225" s="2">
        <v>2.1715126978284802E-2</v>
      </c>
      <c r="F22225" s="2">
        <v>4.1469249894450402E-2</v>
      </c>
    </row>
    <row r="22226" spans="1:6" x14ac:dyDescent="0.25">
      <c r="A22226" s="1" t="str">
        <f t="shared" si="824"/>
        <v>34180</v>
      </c>
      <c r="B22226" s="1" t="str">
        <f>"99116"</f>
        <v>99116</v>
      </c>
      <c r="C22226" s="2">
        <v>0</v>
      </c>
      <c r="D22226" s="2">
        <v>1.6534391534391501E-3</v>
      </c>
      <c r="E22226" s="2">
        <v>0</v>
      </c>
      <c r="F22226" s="2">
        <v>1.17277290425482E-4</v>
      </c>
    </row>
    <row r="22227" spans="1:6" x14ac:dyDescent="0.25">
      <c r="A22227" s="1" t="str">
        <f t="shared" si="824"/>
        <v>34180</v>
      </c>
      <c r="B22227" s="1" t="str">
        <f>"99103"</f>
        <v>99103</v>
      </c>
      <c r="C22227" s="2">
        <v>4.6079202016642698E-4</v>
      </c>
      <c r="D22227" s="2">
        <v>0</v>
      </c>
      <c r="E22227" s="2">
        <v>3.6805299963194699E-4</v>
      </c>
      <c r="F22227" s="2">
        <v>4.2219824553173501E-4</v>
      </c>
    </row>
    <row r="22228" spans="1:6" x14ac:dyDescent="0.25">
      <c r="A22228" s="1" t="str">
        <f t="shared" si="824"/>
        <v>34180</v>
      </c>
      <c r="B22228" s="1" t="str">
        <f>"99123"</f>
        <v>99123</v>
      </c>
      <c r="C22228" s="2">
        <v>2.7647521209985598E-3</v>
      </c>
      <c r="D22228" s="2">
        <v>0</v>
      </c>
      <c r="E22228" s="2">
        <v>0.105631210894368</v>
      </c>
      <c r="F22228" s="2">
        <v>9.1241731951024994E-3</v>
      </c>
    </row>
    <row r="22229" spans="1:6" x14ac:dyDescent="0.25">
      <c r="A22229" s="1" t="str">
        <f t="shared" si="824"/>
        <v>34180</v>
      </c>
      <c r="B22229" s="1" t="str">
        <f>"98832"</f>
        <v>98832</v>
      </c>
      <c r="C22229" s="2">
        <v>1.68053560295991E-3</v>
      </c>
      <c r="D22229" s="2">
        <v>3.3068783068783002E-4</v>
      </c>
      <c r="E22229" s="2">
        <v>5.1527419948472503E-3</v>
      </c>
      <c r="F22229" s="2">
        <v>1.80607027255242E-3</v>
      </c>
    </row>
    <row r="22230" spans="1:6" x14ac:dyDescent="0.25">
      <c r="A22230" s="1" t="str">
        <f t="shared" si="824"/>
        <v>34180</v>
      </c>
      <c r="B22230" s="1" t="str">
        <f>"98823"</f>
        <v>98823</v>
      </c>
      <c r="C22230" s="2">
        <v>0.15474480253706599</v>
      </c>
      <c r="D22230" s="2">
        <v>0.209325396825396</v>
      </c>
      <c r="E22230" s="2">
        <v>4.9687154950312798E-2</v>
      </c>
      <c r="F22230" s="2">
        <v>0.15192100201716899</v>
      </c>
    </row>
    <row r="22231" spans="1:6" x14ac:dyDescent="0.25">
      <c r="A22231" s="1" t="str">
        <f t="shared" si="824"/>
        <v>34180</v>
      </c>
      <c r="B22231" s="1" t="str">
        <f>"99344"</f>
        <v>99344</v>
      </c>
      <c r="C22231" s="2">
        <v>2.2145122380939401E-2</v>
      </c>
      <c r="D22231" s="2">
        <v>6.9444444444444397E-3</v>
      </c>
      <c r="E22231" s="2">
        <v>6.9930069930069904E-3</v>
      </c>
      <c r="F22231" s="2">
        <v>2.0101327578927599E-2</v>
      </c>
    </row>
    <row r="22232" spans="1:6" x14ac:dyDescent="0.25">
      <c r="A22232" s="1" t="str">
        <f t="shared" ref="A22232:A22248" si="825">"34220"</f>
        <v>34220</v>
      </c>
      <c r="B22232" s="1" t="str">
        <f>"31778"</f>
        <v>31778</v>
      </c>
      <c r="C22232" s="2">
        <v>2.45919016323934E-3</v>
      </c>
      <c r="D22232" s="2">
        <v>0</v>
      </c>
      <c r="E22232" s="2">
        <v>0</v>
      </c>
      <c r="F22232" s="2">
        <v>2.13510031290263E-3</v>
      </c>
    </row>
    <row r="22233" spans="1:6" x14ac:dyDescent="0.25">
      <c r="A22233" s="1" t="str">
        <f t="shared" si="825"/>
        <v>34220</v>
      </c>
      <c r="B22233" s="1" t="str">
        <f>"31784"</f>
        <v>31784</v>
      </c>
      <c r="C22233" s="2">
        <v>5.0879796480814002E-4</v>
      </c>
      <c r="D22233" s="2">
        <v>3.70507595405705E-4</v>
      </c>
      <c r="E22233" s="2">
        <v>0</v>
      </c>
      <c r="F22233" s="2">
        <v>4.7855696668507199E-4</v>
      </c>
    </row>
    <row r="22234" spans="1:6" x14ac:dyDescent="0.25">
      <c r="A22234" s="1" t="str">
        <f t="shared" si="825"/>
        <v>34220</v>
      </c>
      <c r="B22234" s="1" t="str">
        <f>"31747"</f>
        <v>31747</v>
      </c>
      <c r="C22234" s="2">
        <v>8.4799660801356693E-5</v>
      </c>
      <c r="D22234" s="2">
        <v>0</v>
      </c>
      <c r="E22234" s="2">
        <v>1.13507377979568E-3</v>
      </c>
      <c r="F22234" s="2">
        <v>1.1043622308117E-4</v>
      </c>
    </row>
    <row r="22235" spans="1:6" x14ac:dyDescent="0.25">
      <c r="A22235" s="1" t="str">
        <f t="shared" si="825"/>
        <v>34220</v>
      </c>
      <c r="B22235" s="1" t="str">
        <f>"31768"</f>
        <v>31768</v>
      </c>
      <c r="C22235" s="2">
        <v>0.48882764468942103</v>
      </c>
      <c r="D22235" s="2">
        <v>0.58725453871804301</v>
      </c>
      <c r="E22235" s="2">
        <v>0.66061293984108904</v>
      </c>
      <c r="F22235" s="2">
        <v>0.50417817043990398</v>
      </c>
    </row>
    <row r="22236" spans="1:6" x14ac:dyDescent="0.25">
      <c r="A22236" s="1" t="str">
        <f t="shared" si="825"/>
        <v>34220</v>
      </c>
      <c r="B22236" s="1" t="str">
        <f>"31753"</f>
        <v>31753</v>
      </c>
      <c r="C22236" s="2">
        <v>0</v>
      </c>
      <c r="D22236" s="2">
        <v>0</v>
      </c>
      <c r="E22236" s="2">
        <v>1.13507377979568E-3</v>
      </c>
      <c r="F22236" s="2">
        <v>3.68120743603902E-5</v>
      </c>
    </row>
    <row r="22237" spans="1:6" x14ac:dyDescent="0.25">
      <c r="A22237" s="1" t="str">
        <f t="shared" si="825"/>
        <v>34220</v>
      </c>
      <c r="B22237" s="1" t="str">
        <f>"31775"</f>
        <v>31775</v>
      </c>
      <c r="C22237" s="2">
        <v>1.7892728429086201E-2</v>
      </c>
      <c r="D22237" s="2">
        <v>2.2230455724342301E-3</v>
      </c>
      <c r="E22237" s="2">
        <v>9.08059023836549E-3</v>
      </c>
      <c r="F22237" s="2">
        <v>1.6050064421130099E-2</v>
      </c>
    </row>
    <row r="22238" spans="1:6" x14ac:dyDescent="0.25">
      <c r="A22238" s="1" t="str">
        <f t="shared" si="825"/>
        <v>34220</v>
      </c>
      <c r="B22238" s="1" t="str">
        <f>"31788"</f>
        <v>31788</v>
      </c>
      <c r="C22238" s="2">
        <v>0.219673521305914</v>
      </c>
      <c r="D22238" s="2">
        <v>0.177102630603927</v>
      </c>
      <c r="E22238" s="2">
        <v>0.27355278093076002</v>
      </c>
      <c r="F22238" s="2">
        <v>0.217191238726302</v>
      </c>
    </row>
    <row r="22239" spans="1:6" x14ac:dyDescent="0.25">
      <c r="A22239" s="1" t="str">
        <f t="shared" si="825"/>
        <v>34220</v>
      </c>
      <c r="B22239" s="1" t="str">
        <f>"31744"</f>
        <v>31744</v>
      </c>
      <c r="C22239" s="2">
        <v>3.875344498622E-2</v>
      </c>
      <c r="D22239" s="2">
        <v>1.33382734346054E-2</v>
      </c>
      <c r="E22239" s="2">
        <v>4.5402951191827398E-3</v>
      </c>
      <c r="F22239" s="2">
        <v>3.51187189398122E-2</v>
      </c>
    </row>
    <row r="22240" spans="1:6" x14ac:dyDescent="0.25">
      <c r="A22240" s="1" t="str">
        <f t="shared" si="825"/>
        <v>34220</v>
      </c>
      <c r="B22240" s="1" t="str">
        <f>"31756"</f>
        <v>31756</v>
      </c>
      <c r="C22240" s="2">
        <v>2.2175111299554798E-2</v>
      </c>
      <c r="D22240" s="2">
        <v>4.8165987402741701E-3</v>
      </c>
      <c r="E22240" s="2">
        <v>1.13507377979568E-3</v>
      </c>
      <c r="F22240" s="2">
        <v>1.9768083931529502E-2</v>
      </c>
    </row>
    <row r="22241" spans="1:6" x14ac:dyDescent="0.25">
      <c r="A22241" s="1" t="str">
        <f t="shared" si="825"/>
        <v>34220</v>
      </c>
      <c r="B22241" s="1" t="str">
        <f>"31637"</f>
        <v>31637</v>
      </c>
      <c r="C22241" s="2">
        <v>4.9183803264786904E-3</v>
      </c>
      <c r="D22241" s="2">
        <v>3.70507595405705E-4</v>
      </c>
      <c r="E22241" s="2">
        <v>2.2701475595913699E-3</v>
      </c>
      <c r="F22241" s="2">
        <v>4.3806368488864302E-3</v>
      </c>
    </row>
    <row r="22242" spans="1:6" x14ac:dyDescent="0.25">
      <c r="A22242" s="1" t="str">
        <f t="shared" si="825"/>
        <v>34220</v>
      </c>
      <c r="B22242" s="1" t="str">
        <f>"31776"</f>
        <v>31776</v>
      </c>
      <c r="C22242" s="2">
        <v>8.5562857748569005E-2</v>
      </c>
      <c r="D22242" s="2">
        <v>0.19229344201556101</v>
      </c>
      <c r="E22242" s="2">
        <v>2.2701475595913699E-3</v>
      </c>
      <c r="F22242" s="2">
        <v>9.34658568010307E-2</v>
      </c>
    </row>
    <row r="22243" spans="1:6" x14ac:dyDescent="0.25">
      <c r="A22243" s="1" t="str">
        <f t="shared" si="825"/>
        <v>34220</v>
      </c>
      <c r="B22243" s="1" t="str">
        <f>"31765"</f>
        <v>31765</v>
      </c>
      <c r="C22243" s="2">
        <v>1.1744753020987901E-2</v>
      </c>
      <c r="D22243" s="2">
        <v>1.85253797702852E-3</v>
      </c>
      <c r="E22243" s="2">
        <v>6.8104426787741201E-3</v>
      </c>
      <c r="F22243" s="2">
        <v>1.0601877415792301E-2</v>
      </c>
    </row>
    <row r="22244" spans="1:6" x14ac:dyDescent="0.25">
      <c r="A22244" s="1" t="str">
        <f t="shared" si="825"/>
        <v>34220</v>
      </c>
      <c r="B22244" s="1" t="str">
        <f>"31771"</f>
        <v>31771</v>
      </c>
      <c r="C22244" s="2">
        <v>0.100826796692813</v>
      </c>
      <c r="D22244" s="2">
        <v>1.9266394961096701E-2</v>
      </c>
      <c r="E22244" s="2">
        <v>3.6322360953461898E-2</v>
      </c>
      <c r="F22244" s="2">
        <v>9.0631327075280599E-2</v>
      </c>
    </row>
    <row r="22245" spans="1:6" x14ac:dyDescent="0.25">
      <c r="A22245" s="1" t="str">
        <f t="shared" si="825"/>
        <v>34220</v>
      </c>
      <c r="B22245" s="1" t="str">
        <f>"31722"</f>
        <v>31722</v>
      </c>
      <c r="C22245" s="2">
        <v>0</v>
      </c>
      <c r="D22245" s="2">
        <v>0</v>
      </c>
      <c r="E22245" s="2">
        <v>1.13507377979568E-3</v>
      </c>
      <c r="F22245" s="2">
        <v>3.68120743603902E-5</v>
      </c>
    </row>
    <row r="22246" spans="1:6" x14ac:dyDescent="0.25">
      <c r="A22246" s="1" t="str">
        <f t="shared" si="825"/>
        <v>34220</v>
      </c>
      <c r="B22246" s="1" t="str">
        <f>"31738"</f>
        <v>31738</v>
      </c>
      <c r="C22246" s="2">
        <v>5.6815772736909E-3</v>
      </c>
      <c r="D22246" s="2">
        <v>1.1115227862171101E-3</v>
      </c>
      <c r="E22246" s="2">
        <v>0</v>
      </c>
      <c r="F22246" s="2">
        <v>5.0432541873734497E-3</v>
      </c>
    </row>
    <row r="22247" spans="1:6" x14ac:dyDescent="0.25">
      <c r="A22247" s="1" t="str">
        <f t="shared" si="825"/>
        <v>34220</v>
      </c>
      <c r="B22247" s="1" t="str">
        <f>"31773"</f>
        <v>31773</v>
      </c>
      <c r="C22247" s="2">
        <v>8.0559677761288901E-4</v>
      </c>
      <c r="D22247" s="2">
        <v>0</v>
      </c>
      <c r="E22247" s="2">
        <v>0</v>
      </c>
      <c r="F22247" s="2">
        <v>6.9942941284741305E-4</v>
      </c>
    </row>
    <row r="22248" spans="1:6" x14ac:dyDescent="0.25">
      <c r="A22248" s="1" t="str">
        <f t="shared" si="825"/>
        <v>34220</v>
      </c>
      <c r="B22248" s="1" t="str">
        <f>"31789"</f>
        <v>31789</v>
      </c>
      <c r="C22248" s="2">
        <v>8.4799660801356693E-5</v>
      </c>
      <c r="D22248" s="2">
        <v>0</v>
      </c>
      <c r="E22248" s="2">
        <v>0</v>
      </c>
      <c r="F22248" s="2">
        <v>7.3624148720780399E-5</v>
      </c>
    </row>
    <row r="22249" spans="1:6" x14ac:dyDescent="0.25">
      <c r="A22249" s="1" t="str">
        <f t="shared" ref="A22249:A22264" si="826">"34260"</f>
        <v>34260</v>
      </c>
      <c r="B22249" s="1" t="str">
        <f>"72663"</f>
        <v>72663</v>
      </c>
      <c r="C22249" s="2">
        <v>7.7799821060411505E-5</v>
      </c>
      <c r="D22249" s="2">
        <v>0</v>
      </c>
      <c r="E22249" s="2">
        <v>0</v>
      </c>
      <c r="F22249" s="2">
        <v>7.0281477316653094E-5</v>
      </c>
    </row>
    <row r="22250" spans="1:6" x14ac:dyDescent="0.25">
      <c r="A22250" s="1" t="str">
        <f t="shared" si="826"/>
        <v>34260</v>
      </c>
      <c r="B22250" s="1" t="str">
        <f>"72658"</f>
        <v>72658</v>
      </c>
      <c r="C22250" s="2">
        <v>3.6254716614151701E-2</v>
      </c>
      <c r="D22250" s="2">
        <v>4.6828437633035297E-3</v>
      </c>
      <c r="E22250" s="2">
        <v>7.4812967581047302E-3</v>
      </c>
      <c r="F22250" s="2">
        <v>3.3243138770776899E-2</v>
      </c>
    </row>
    <row r="22251" spans="1:6" x14ac:dyDescent="0.25">
      <c r="A22251" s="1" t="str">
        <f t="shared" si="826"/>
        <v>34260</v>
      </c>
      <c r="B22251" s="1" t="str">
        <f>"72653"</f>
        <v>72653</v>
      </c>
      <c r="C22251" s="2">
        <v>0.61901427626716399</v>
      </c>
      <c r="D22251" s="2">
        <v>0.68284376330353302</v>
      </c>
      <c r="E22251" s="2">
        <v>0.79800498753117199</v>
      </c>
      <c r="F22251" s="2">
        <v>0.62680535544857097</v>
      </c>
    </row>
    <row r="22252" spans="1:6" x14ac:dyDescent="0.25">
      <c r="A22252" s="1" t="str">
        <f t="shared" si="826"/>
        <v>34260</v>
      </c>
      <c r="B22252" s="1" t="str">
        <f>"72659"</f>
        <v>72659</v>
      </c>
      <c r="C22252" s="2">
        <v>0</v>
      </c>
      <c r="D22252" s="2">
        <v>0</v>
      </c>
      <c r="E22252" s="2">
        <v>2.4937655860349101E-3</v>
      </c>
      <c r="F22252" s="2">
        <v>3.51407386583265E-5</v>
      </c>
    </row>
    <row r="22253" spans="1:6" x14ac:dyDescent="0.25">
      <c r="A22253" s="1" t="str">
        <f t="shared" si="826"/>
        <v>34260</v>
      </c>
      <c r="B22253" s="1" t="str">
        <f>"72654"</f>
        <v>72654</v>
      </c>
      <c r="C22253" s="2">
        <v>6.8775041817403806E-2</v>
      </c>
      <c r="D22253" s="2">
        <v>0.18050234142188101</v>
      </c>
      <c r="E22253" s="2">
        <v>4.9875311720698201E-3</v>
      </c>
      <c r="F22253" s="2">
        <v>7.7098780616368504E-2</v>
      </c>
    </row>
    <row r="22254" spans="1:6" x14ac:dyDescent="0.25">
      <c r="A22254" s="1" t="str">
        <f t="shared" si="826"/>
        <v>34260</v>
      </c>
      <c r="B22254" s="1" t="str">
        <f>"72623"</f>
        <v>72623</v>
      </c>
      <c r="C22254" s="2">
        <v>1.4743066090947899E-2</v>
      </c>
      <c r="D22254" s="2">
        <v>8.5142613878245999E-4</v>
      </c>
      <c r="E22254" s="2">
        <v>9.9750623441396506E-3</v>
      </c>
      <c r="F22254" s="2">
        <v>1.3529184383455699E-2</v>
      </c>
    </row>
    <row r="22255" spans="1:6" x14ac:dyDescent="0.25">
      <c r="A22255" s="1" t="str">
        <f t="shared" si="826"/>
        <v>34260</v>
      </c>
      <c r="B22255" s="1" t="str">
        <f>"72635"</f>
        <v>72635</v>
      </c>
      <c r="C22255" s="2">
        <v>6.7724744233088205E-2</v>
      </c>
      <c r="D22255" s="2">
        <v>4.7679863771817703E-2</v>
      </c>
      <c r="E22255" s="2">
        <v>4.4887780548628402E-2</v>
      </c>
      <c r="F22255" s="2">
        <v>6.5748322029728995E-2</v>
      </c>
    </row>
    <row r="22256" spans="1:6" x14ac:dyDescent="0.25">
      <c r="A22256" s="1" t="str">
        <f t="shared" si="826"/>
        <v>34260</v>
      </c>
      <c r="B22256" s="1" t="str">
        <f>"72537"</f>
        <v>72537</v>
      </c>
      <c r="C22256" s="2">
        <v>2.1978449449566201E-2</v>
      </c>
      <c r="D22256" s="2">
        <v>8.9399744572158293E-3</v>
      </c>
      <c r="E22256" s="2">
        <v>1.24688279301745E-2</v>
      </c>
      <c r="F22256" s="2">
        <v>2.0768176547070999E-2</v>
      </c>
    </row>
    <row r="22257" spans="1:6" x14ac:dyDescent="0.25">
      <c r="A22257" s="1" t="str">
        <f t="shared" si="826"/>
        <v>34260</v>
      </c>
      <c r="B22257" s="1" t="str">
        <f>"72538"</f>
        <v>72538</v>
      </c>
      <c r="C22257" s="2">
        <v>7.7799821060411505E-5</v>
      </c>
      <c r="D22257" s="2">
        <v>0</v>
      </c>
      <c r="E22257" s="2">
        <v>0</v>
      </c>
      <c r="F22257" s="2">
        <v>7.0281477316653094E-5</v>
      </c>
    </row>
    <row r="22258" spans="1:6" x14ac:dyDescent="0.25">
      <c r="A22258" s="1" t="str">
        <f t="shared" si="826"/>
        <v>34260</v>
      </c>
      <c r="B22258" s="1" t="str">
        <f>"72531"</f>
        <v>72531</v>
      </c>
      <c r="C22258" s="2">
        <v>1.29147702960283E-2</v>
      </c>
      <c r="D22258" s="2">
        <v>1.70285227756492E-3</v>
      </c>
      <c r="E22258" s="2">
        <v>2.4937655860349101E-3</v>
      </c>
      <c r="F22258" s="2">
        <v>1.1842428927856001E-2</v>
      </c>
    </row>
    <row r="22259" spans="1:6" x14ac:dyDescent="0.25">
      <c r="A22259" s="1" t="str">
        <f t="shared" si="826"/>
        <v>34260</v>
      </c>
      <c r="B22259" s="1" t="str">
        <f>"72642"</f>
        <v>72642</v>
      </c>
      <c r="C22259" s="2">
        <v>4.6835492278367703E-2</v>
      </c>
      <c r="D22259" s="2">
        <v>2.0434227330779001E-2</v>
      </c>
      <c r="E22259" s="2">
        <v>3.4912718204488699E-2</v>
      </c>
      <c r="F22259" s="2">
        <v>4.4488175141441398E-2</v>
      </c>
    </row>
    <row r="22260" spans="1:6" x14ac:dyDescent="0.25">
      <c r="A22260" s="1" t="str">
        <f t="shared" si="826"/>
        <v>34260</v>
      </c>
      <c r="B22260" s="1" t="str">
        <f>"72651"</f>
        <v>72651</v>
      </c>
      <c r="C22260" s="2">
        <v>2.9758431555607399E-2</v>
      </c>
      <c r="D22260" s="2">
        <v>2.3414218816517601E-2</v>
      </c>
      <c r="E22260" s="2">
        <v>4.7381546134663298E-2</v>
      </c>
      <c r="F22260" s="2">
        <v>2.9483079734336001E-2</v>
      </c>
    </row>
    <row r="22261" spans="1:6" x14ac:dyDescent="0.25">
      <c r="A22261" s="1" t="str">
        <f t="shared" si="826"/>
        <v>34260</v>
      </c>
      <c r="B22261" s="1" t="str">
        <f>"72626"</f>
        <v>72626</v>
      </c>
      <c r="C22261" s="2">
        <v>2.8202435134399101E-2</v>
      </c>
      <c r="D22261" s="2">
        <v>1.8731375053214101E-2</v>
      </c>
      <c r="E22261" s="2">
        <v>2.99251870324189E-2</v>
      </c>
      <c r="F22261" s="2">
        <v>2.7444916892153001E-2</v>
      </c>
    </row>
    <row r="22262" spans="1:6" x14ac:dyDescent="0.25">
      <c r="A22262" s="1" t="str">
        <f t="shared" si="826"/>
        <v>34260</v>
      </c>
      <c r="B22262" s="1" t="str">
        <f>"72544"</f>
        <v>72544</v>
      </c>
      <c r="C22262" s="2">
        <v>1.9138755980861202E-2</v>
      </c>
      <c r="D22262" s="2">
        <v>2.5542784163473799E-3</v>
      </c>
      <c r="E22262" s="2">
        <v>4.9875311720698201E-3</v>
      </c>
      <c r="F22262" s="2">
        <v>1.7570369329163199E-2</v>
      </c>
    </row>
    <row r="22263" spans="1:6" x14ac:dyDescent="0.25">
      <c r="A22263" s="1" t="str">
        <f t="shared" si="826"/>
        <v>34260</v>
      </c>
      <c r="B22263" s="1" t="str">
        <f>"72617"</f>
        <v>72617</v>
      </c>
      <c r="C22263" s="2">
        <v>6.3795853269537402E-3</v>
      </c>
      <c r="D22263" s="2">
        <v>3.83141762452107E-3</v>
      </c>
      <c r="E22263" s="2">
        <v>0</v>
      </c>
      <c r="F22263" s="2">
        <v>6.0793477878904999E-3</v>
      </c>
    </row>
    <row r="22264" spans="1:6" x14ac:dyDescent="0.25">
      <c r="A22264" s="1" t="str">
        <f t="shared" si="826"/>
        <v>34260</v>
      </c>
      <c r="B22264" s="1" t="str">
        <f>"72519"</f>
        <v>72519</v>
      </c>
      <c r="C22264" s="2">
        <v>2.8124635313338701E-2</v>
      </c>
      <c r="D22264" s="2">
        <v>3.83141762452107E-3</v>
      </c>
      <c r="E22264" s="2">
        <v>0</v>
      </c>
      <c r="F22264" s="2">
        <v>2.5723020697895001E-2</v>
      </c>
    </row>
    <row r="22265" spans="1:6" x14ac:dyDescent="0.25">
      <c r="A22265" s="1" t="str">
        <f t="shared" ref="A22265:A22272" si="827">"34300"</f>
        <v>34300</v>
      </c>
      <c r="B22265" s="1" t="str">
        <f>"83627"</f>
        <v>83627</v>
      </c>
      <c r="C22265" s="2">
        <v>1.4863258026159299E-2</v>
      </c>
      <c r="D22265" s="2">
        <v>7.0339976553341101E-3</v>
      </c>
      <c r="E22265" s="2">
        <v>8.2644628099173504E-3</v>
      </c>
      <c r="F22265" s="2">
        <v>1.41477806088239E-2</v>
      </c>
    </row>
    <row r="22266" spans="1:6" x14ac:dyDescent="0.25">
      <c r="A22266" s="1" t="str">
        <f t="shared" si="827"/>
        <v>34300</v>
      </c>
      <c r="B22266" s="1" t="str">
        <f>"83647"</f>
        <v>83647</v>
      </c>
      <c r="C22266" s="2">
        <v>0.79094827586206795</v>
      </c>
      <c r="D22266" s="2">
        <v>0.93434935521688101</v>
      </c>
      <c r="E22266" s="2">
        <v>0.51735537190082603</v>
      </c>
      <c r="F22266" s="2">
        <v>0.78805149523937201</v>
      </c>
    </row>
    <row r="22267" spans="1:6" x14ac:dyDescent="0.25">
      <c r="A22267" s="1" t="str">
        <f t="shared" si="827"/>
        <v>34300</v>
      </c>
      <c r="B22267" s="1" t="str">
        <f>"83327"</f>
        <v>83327</v>
      </c>
      <c r="C22267" s="2">
        <v>7.4316290130796596E-5</v>
      </c>
      <c r="D22267" s="2">
        <v>0</v>
      </c>
      <c r="E22267" s="2">
        <v>0</v>
      </c>
      <c r="F22267" s="2">
        <v>6.7051092932814797E-5</v>
      </c>
    </row>
    <row r="22268" spans="1:6" x14ac:dyDescent="0.25">
      <c r="A22268" s="1" t="str">
        <f t="shared" si="827"/>
        <v>34300</v>
      </c>
      <c r="B22268" s="1" t="str">
        <f>"83623"</f>
        <v>83623</v>
      </c>
      <c r="C22268" s="2">
        <v>4.2583234244946401E-2</v>
      </c>
      <c r="D22268" s="2">
        <v>2.8135990621336399E-2</v>
      </c>
      <c r="E22268" s="2">
        <v>1.15702479338842E-2</v>
      </c>
      <c r="F22268" s="2">
        <v>4.0498860131420102E-2</v>
      </c>
    </row>
    <row r="22269" spans="1:6" x14ac:dyDescent="0.25">
      <c r="A22269" s="1" t="str">
        <f t="shared" si="827"/>
        <v>34300</v>
      </c>
      <c r="B22269" s="1" t="str">
        <f>"83633"</f>
        <v>83633</v>
      </c>
      <c r="C22269" s="2">
        <v>1.4268727705112901E-2</v>
      </c>
      <c r="D22269" s="2">
        <v>5.8616647127784204E-3</v>
      </c>
      <c r="E22269" s="2">
        <v>0</v>
      </c>
      <c r="F22269" s="2">
        <v>1.32090653077645E-2</v>
      </c>
    </row>
    <row r="22270" spans="1:6" x14ac:dyDescent="0.25">
      <c r="A22270" s="1" t="str">
        <f t="shared" si="827"/>
        <v>34300</v>
      </c>
      <c r="B22270" s="1" t="str">
        <f>"83624"</f>
        <v>83624</v>
      </c>
      <c r="C22270" s="2">
        <v>8.1747919143876303E-4</v>
      </c>
      <c r="D22270" s="2">
        <v>0</v>
      </c>
      <c r="E22270" s="2">
        <v>0</v>
      </c>
      <c r="F22270" s="2">
        <v>7.3756202226096205E-4</v>
      </c>
    </row>
    <row r="22271" spans="1:6" x14ac:dyDescent="0.25">
      <c r="A22271" s="1" t="str">
        <f t="shared" si="827"/>
        <v>34300</v>
      </c>
      <c r="B22271" s="1" t="str">
        <f>"83648"</f>
        <v>83648</v>
      </c>
      <c r="C22271" s="2">
        <v>0.11957491082045101</v>
      </c>
      <c r="D22271" s="2">
        <v>1.0550996483001099E-2</v>
      </c>
      <c r="E22271" s="2">
        <v>0.45950413223140402</v>
      </c>
      <c r="F22271" s="2">
        <v>0.127128872200616</v>
      </c>
    </row>
    <row r="22272" spans="1:6" x14ac:dyDescent="0.25">
      <c r="A22272" s="1" t="str">
        <f t="shared" si="827"/>
        <v>34300</v>
      </c>
      <c r="B22272" s="1" t="str">
        <f>"83716"</f>
        <v>83716</v>
      </c>
      <c r="C22272" s="2">
        <v>1.68697978596908E-2</v>
      </c>
      <c r="D22272" s="2">
        <v>1.4067995310668199E-2</v>
      </c>
      <c r="E22272" s="2">
        <v>3.3057851239669399E-3</v>
      </c>
      <c r="F22272" s="2">
        <v>1.61593133968083E-2</v>
      </c>
    </row>
    <row r="22273" spans="1:6" x14ac:dyDescent="0.25">
      <c r="A22273" s="1" t="str">
        <f t="shared" ref="A22273:A22285" si="828">"34340"</f>
        <v>34340</v>
      </c>
      <c r="B22273" s="1" t="str">
        <f>"28683"</f>
        <v>28683</v>
      </c>
      <c r="C22273" s="2">
        <v>1.39613633840346E-2</v>
      </c>
      <c r="D22273" s="2">
        <v>3.2943995208146101E-3</v>
      </c>
      <c r="E22273" s="2">
        <v>0</v>
      </c>
      <c r="F22273" s="2">
        <v>1.2852570514102799E-2</v>
      </c>
    </row>
    <row r="22274" spans="1:6" x14ac:dyDescent="0.25">
      <c r="A22274" s="1" t="str">
        <f t="shared" si="828"/>
        <v>34340</v>
      </c>
      <c r="B22274" s="1" t="str">
        <f>"28676"</f>
        <v>28676</v>
      </c>
      <c r="C22274" s="2">
        <v>3.4611968468968503E-2</v>
      </c>
      <c r="D22274" s="2">
        <v>1.5873015873015799E-2</v>
      </c>
      <c r="E22274" s="2">
        <v>8.0000000000000002E-3</v>
      </c>
      <c r="F22274" s="2">
        <v>3.2631526305260998E-2</v>
      </c>
    </row>
    <row r="22275" spans="1:6" x14ac:dyDescent="0.25">
      <c r="A22275" s="1" t="str">
        <f t="shared" si="828"/>
        <v>34340</v>
      </c>
      <c r="B22275" s="1" t="str">
        <f>"28621"</f>
        <v>28621</v>
      </c>
      <c r="C22275" s="2">
        <v>0.100810480737204</v>
      </c>
      <c r="D22275" s="2">
        <v>0.206349206349206</v>
      </c>
      <c r="E22275" s="2">
        <v>0.12479999999999999</v>
      </c>
      <c r="F22275" s="2">
        <v>0.109996999399879</v>
      </c>
    </row>
    <row r="22276" spans="1:6" x14ac:dyDescent="0.25">
      <c r="A22276" s="1" t="str">
        <f t="shared" si="828"/>
        <v>34340</v>
      </c>
      <c r="B22276" s="1" t="str">
        <f>"27030"</f>
        <v>27030</v>
      </c>
      <c r="C22276" s="2">
        <v>0.52103919173975699</v>
      </c>
      <c r="D22276" s="2">
        <v>0.57262653489068505</v>
      </c>
      <c r="E22276" s="2">
        <v>0.66400000000000003</v>
      </c>
      <c r="F22276" s="2">
        <v>0.52758051610321999</v>
      </c>
    </row>
    <row r="22277" spans="1:6" x14ac:dyDescent="0.25">
      <c r="A22277" s="1" t="str">
        <f t="shared" si="828"/>
        <v>34340</v>
      </c>
      <c r="B22277" s="1" t="str">
        <f>"27049"</f>
        <v>27049</v>
      </c>
      <c r="C22277" s="2">
        <v>0</v>
      </c>
      <c r="D22277" s="2">
        <v>2.9949086552860101E-4</v>
      </c>
      <c r="E22277" s="2">
        <v>0</v>
      </c>
      <c r="F22277" s="2">
        <v>2.5005001000199999E-5</v>
      </c>
    </row>
    <row r="22278" spans="1:6" x14ac:dyDescent="0.25">
      <c r="A22278" s="1" t="str">
        <f t="shared" si="828"/>
        <v>34340</v>
      </c>
      <c r="B22278" s="1" t="str">
        <f>"28669"</f>
        <v>28669</v>
      </c>
      <c r="C22278" s="2">
        <v>2.7756189630287499E-5</v>
      </c>
      <c r="D22278" s="2">
        <v>0</v>
      </c>
      <c r="E22278" s="2">
        <v>0</v>
      </c>
      <c r="F22278" s="2">
        <v>2.5005001000199999E-5</v>
      </c>
    </row>
    <row r="22279" spans="1:6" x14ac:dyDescent="0.25">
      <c r="A22279" s="1" t="str">
        <f t="shared" si="828"/>
        <v>34340</v>
      </c>
      <c r="B22279" s="1" t="str">
        <f>"27043"</f>
        <v>27043</v>
      </c>
      <c r="C22279" s="2">
        <v>3.7110025535694403E-2</v>
      </c>
      <c r="D22279" s="2">
        <v>1.55735250074872E-2</v>
      </c>
      <c r="E22279" s="2">
        <v>6.4000000000000003E-3</v>
      </c>
      <c r="F22279" s="2">
        <v>3.4831966393278603E-2</v>
      </c>
    </row>
    <row r="22280" spans="1:6" x14ac:dyDescent="0.25">
      <c r="A22280" s="1" t="str">
        <f t="shared" si="828"/>
        <v>34340</v>
      </c>
      <c r="B22280" s="1" t="str">
        <f>"27053"</f>
        <v>27053</v>
      </c>
      <c r="C22280" s="2">
        <v>3.5250360830465098E-3</v>
      </c>
      <c r="D22280" s="2">
        <v>2.3959269242288098E-3</v>
      </c>
      <c r="E22280" s="2">
        <v>0</v>
      </c>
      <c r="F22280" s="2">
        <v>3.3756751350269999E-3</v>
      </c>
    </row>
    <row r="22281" spans="1:6" x14ac:dyDescent="0.25">
      <c r="A22281" s="1" t="str">
        <f t="shared" si="828"/>
        <v>34340</v>
      </c>
      <c r="B22281" s="1" t="str">
        <f>"27041"</f>
        <v>27041</v>
      </c>
      <c r="C22281" s="2">
        <v>8.8764294437659499E-2</v>
      </c>
      <c r="D22281" s="2">
        <v>8.35579514824797E-2</v>
      </c>
      <c r="E22281" s="2">
        <v>8.48E-2</v>
      </c>
      <c r="F22281" s="2">
        <v>8.8267653530706106E-2</v>
      </c>
    </row>
    <row r="22282" spans="1:6" x14ac:dyDescent="0.25">
      <c r="A22282" s="1" t="str">
        <f t="shared" si="828"/>
        <v>34340</v>
      </c>
      <c r="B22282" s="1" t="str">
        <f>"27017"</f>
        <v>27017</v>
      </c>
      <c r="C22282" s="2">
        <v>0.115687798379038</v>
      </c>
      <c r="D22282" s="2">
        <v>7.6070679844264702E-2</v>
      </c>
      <c r="E22282" s="2">
        <v>0.1104</v>
      </c>
      <c r="F22282" s="2">
        <v>0.112297459491898</v>
      </c>
    </row>
    <row r="22283" spans="1:6" x14ac:dyDescent="0.25">
      <c r="A22283" s="1" t="str">
        <f t="shared" si="828"/>
        <v>34340</v>
      </c>
      <c r="B22283" s="1" t="str">
        <f>"27047"</f>
        <v>27047</v>
      </c>
      <c r="C22283" s="2">
        <v>1.6431664261130199E-2</v>
      </c>
      <c r="D22283" s="2">
        <v>6.2893081761006197E-3</v>
      </c>
      <c r="E22283" s="2">
        <v>1.6000000000000001E-3</v>
      </c>
      <c r="F22283" s="2">
        <v>1.5353070614122799E-2</v>
      </c>
    </row>
    <row r="22284" spans="1:6" x14ac:dyDescent="0.25">
      <c r="A22284" s="1" t="str">
        <f t="shared" si="828"/>
        <v>34340</v>
      </c>
      <c r="B22284" s="1" t="str">
        <f>"27024"</f>
        <v>27024</v>
      </c>
      <c r="C22284" s="2">
        <v>3.9413789275008299E-2</v>
      </c>
      <c r="D22284" s="2">
        <v>9.5837076969152394E-3</v>
      </c>
      <c r="E22284" s="2">
        <v>0</v>
      </c>
      <c r="F22284" s="2">
        <v>3.63072614522904E-2</v>
      </c>
    </row>
    <row r="22285" spans="1:6" x14ac:dyDescent="0.25">
      <c r="A22285" s="1" t="str">
        <f t="shared" si="828"/>
        <v>34340</v>
      </c>
      <c r="B22285" s="1" t="str">
        <f>"27007"</f>
        <v>27007</v>
      </c>
      <c r="C22285" s="2">
        <v>2.8616631508826401E-2</v>
      </c>
      <c r="D22285" s="2">
        <v>8.0862533692722307E-3</v>
      </c>
      <c r="E22285" s="2">
        <v>0</v>
      </c>
      <c r="F22285" s="2">
        <v>2.6455291058211601E-2</v>
      </c>
    </row>
    <row r="22286" spans="1:6" x14ac:dyDescent="0.25">
      <c r="A22286" s="1" t="str">
        <f t="shared" ref="A22286:A22319" si="829">"34350"</f>
        <v>34350</v>
      </c>
      <c r="B22286" s="1" t="str">
        <f>"25611"</f>
        <v>25611</v>
      </c>
      <c r="C22286" s="2">
        <v>0</v>
      </c>
      <c r="D22286" s="2">
        <v>7.34214390602055E-4</v>
      </c>
      <c r="E22286" s="2">
        <v>0</v>
      </c>
      <c r="F22286" s="2">
        <v>6.6515897299454502E-5</v>
      </c>
    </row>
    <row r="22287" spans="1:6" x14ac:dyDescent="0.25">
      <c r="A22287" s="1" t="str">
        <f t="shared" si="829"/>
        <v>34350</v>
      </c>
      <c r="B22287" s="1" t="str">
        <f>"25606"</f>
        <v>25606</v>
      </c>
      <c r="C22287" s="2">
        <v>0</v>
      </c>
      <c r="D22287" s="2">
        <v>1.46842878120411E-3</v>
      </c>
      <c r="E22287" s="2">
        <v>0</v>
      </c>
      <c r="F22287" s="2">
        <v>1.33031794598909E-4</v>
      </c>
    </row>
    <row r="22288" spans="1:6" x14ac:dyDescent="0.25">
      <c r="A22288" s="1" t="str">
        <f t="shared" si="829"/>
        <v>34350</v>
      </c>
      <c r="B22288" s="1" t="str">
        <f>"25617"</f>
        <v>25617</v>
      </c>
      <c r="C22288" s="2">
        <v>5.5770374776918496E-3</v>
      </c>
      <c r="D22288" s="2">
        <v>7.34214390602055E-4</v>
      </c>
      <c r="E22288" s="2">
        <v>0</v>
      </c>
      <c r="F22288" s="2">
        <v>5.0552081947585403E-3</v>
      </c>
    </row>
    <row r="22289" spans="1:6" x14ac:dyDescent="0.25">
      <c r="A22289" s="1" t="str">
        <f t="shared" si="829"/>
        <v>34350</v>
      </c>
      <c r="B22289" s="1" t="str">
        <f>"25654"</f>
        <v>25654</v>
      </c>
      <c r="C22289" s="2">
        <v>7.0642474717430102E-3</v>
      </c>
      <c r="D22289" s="2">
        <v>1.46842878120411E-3</v>
      </c>
      <c r="E22289" s="2">
        <v>4.4642857142857097E-3</v>
      </c>
      <c r="F22289" s="2">
        <v>6.5185579353465401E-3</v>
      </c>
    </row>
    <row r="22290" spans="1:6" x14ac:dyDescent="0.25">
      <c r="A22290" s="1" t="str">
        <f t="shared" si="829"/>
        <v>34350</v>
      </c>
      <c r="B22290" s="1" t="str">
        <f>"25634"</f>
        <v>25634</v>
      </c>
      <c r="C22290" s="2">
        <v>0</v>
      </c>
      <c r="D22290" s="2">
        <v>1.46842878120411E-3</v>
      </c>
      <c r="E22290" s="2">
        <v>0</v>
      </c>
      <c r="F22290" s="2">
        <v>1.33031794598909E-4</v>
      </c>
    </row>
    <row r="22291" spans="1:6" x14ac:dyDescent="0.25">
      <c r="A22291" s="1" t="str">
        <f t="shared" si="829"/>
        <v>34350</v>
      </c>
      <c r="B22291" s="1" t="str">
        <f>"25652"</f>
        <v>25652</v>
      </c>
      <c r="C22291" s="2">
        <v>0</v>
      </c>
      <c r="D22291" s="2">
        <v>7.34214390602055E-4</v>
      </c>
      <c r="E22291" s="2">
        <v>0</v>
      </c>
      <c r="F22291" s="2">
        <v>6.6515897299454502E-5</v>
      </c>
    </row>
    <row r="22292" spans="1:6" x14ac:dyDescent="0.25">
      <c r="A22292" s="1" t="str">
        <f t="shared" si="829"/>
        <v>34350</v>
      </c>
      <c r="B22292" s="1" t="str">
        <f>"25121"</f>
        <v>25121</v>
      </c>
      <c r="C22292" s="2">
        <v>1.9482450922070099E-2</v>
      </c>
      <c r="D22292" s="2">
        <v>7.34214390602055E-4</v>
      </c>
      <c r="E22292" s="2">
        <v>0</v>
      </c>
      <c r="F22292" s="2">
        <v>1.74936809897565E-2</v>
      </c>
    </row>
    <row r="22293" spans="1:6" x14ac:dyDescent="0.25">
      <c r="A22293" s="1" t="str">
        <f t="shared" si="829"/>
        <v>34350</v>
      </c>
      <c r="B22293" s="1" t="str">
        <f>"25638"</f>
        <v>25638</v>
      </c>
      <c r="C22293" s="2">
        <v>7.1386079714455602E-3</v>
      </c>
      <c r="D22293" s="2">
        <v>0</v>
      </c>
      <c r="E22293" s="2">
        <v>4.4642857142857097E-3</v>
      </c>
      <c r="F22293" s="2">
        <v>6.4520420380470896E-3</v>
      </c>
    </row>
    <row r="22294" spans="1:6" x14ac:dyDescent="0.25">
      <c r="A22294" s="1" t="str">
        <f t="shared" si="829"/>
        <v>34350</v>
      </c>
      <c r="B22294" s="1" t="str">
        <f>"25639"</f>
        <v>25639</v>
      </c>
      <c r="C22294" s="2">
        <v>7.4360499702558005E-5</v>
      </c>
      <c r="D22294" s="2">
        <v>7.34214390602055E-4</v>
      </c>
      <c r="E22294" s="2">
        <v>0</v>
      </c>
      <c r="F22294" s="2">
        <v>1.33031794598909E-4</v>
      </c>
    </row>
    <row r="22295" spans="1:6" x14ac:dyDescent="0.25">
      <c r="A22295" s="1" t="str">
        <f t="shared" si="829"/>
        <v>34350</v>
      </c>
      <c r="B22295" s="1" t="str">
        <f>"25076"</f>
        <v>25076</v>
      </c>
      <c r="C22295" s="2">
        <v>0</v>
      </c>
      <c r="D22295" s="2">
        <v>7.34214390602055E-4</v>
      </c>
      <c r="E22295" s="2">
        <v>0</v>
      </c>
      <c r="F22295" s="2">
        <v>6.6515897299454502E-5</v>
      </c>
    </row>
    <row r="22296" spans="1:6" x14ac:dyDescent="0.25">
      <c r="A22296" s="1" t="str">
        <f t="shared" si="829"/>
        <v>34350</v>
      </c>
      <c r="B22296" s="1" t="str">
        <f>"25644"</f>
        <v>25644</v>
      </c>
      <c r="C22296" s="2">
        <v>0</v>
      </c>
      <c r="D22296" s="2">
        <v>7.34214390602055E-4</v>
      </c>
      <c r="E22296" s="2">
        <v>0</v>
      </c>
      <c r="F22296" s="2">
        <v>6.6515897299454502E-5</v>
      </c>
    </row>
    <row r="22297" spans="1:6" x14ac:dyDescent="0.25">
      <c r="A22297" s="1" t="str">
        <f t="shared" si="829"/>
        <v>34350</v>
      </c>
      <c r="B22297" s="1" t="str">
        <f>"25505"</f>
        <v>25505</v>
      </c>
      <c r="C22297" s="2">
        <v>3.9411064842355698E-3</v>
      </c>
      <c r="D22297" s="2">
        <v>2.2026431718061598E-3</v>
      </c>
      <c r="E22297" s="2">
        <v>4.4642857142857097E-3</v>
      </c>
      <c r="F22297" s="2">
        <v>3.7914061460689102E-3</v>
      </c>
    </row>
    <row r="22298" spans="1:6" x14ac:dyDescent="0.25">
      <c r="A22298" s="1" t="str">
        <f t="shared" si="829"/>
        <v>34350</v>
      </c>
      <c r="B22298" s="1" t="str">
        <f>"25022"</f>
        <v>25022</v>
      </c>
      <c r="C22298" s="2">
        <v>0</v>
      </c>
      <c r="D22298" s="2">
        <v>7.34214390602055E-4</v>
      </c>
      <c r="E22298" s="2">
        <v>0</v>
      </c>
      <c r="F22298" s="2">
        <v>6.6515897299454502E-5</v>
      </c>
    </row>
    <row r="22299" spans="1:6" x14ac:dyDescent="0.25">
      <c r="A22299" s="1" t="str">
        <f t="shared" si="829"/>
        <v>34350</v>
      </c>
      <c r="B22299" s="1" t="str">
        <f>"25646"</f>
        <v>25646</v>
      </c>
      <c r="C22299" s="2">
        <v>5.6588340273646599E-2</v>
      </c>
      <c r="D22299" s="2">
        <v>3.4508076358296599E-2</v>
      </c>
      <c r="E22299" s="2">
        <v>8.9285714285714194E-3</v>
      </c>
      <c r="F22299" s="2">
        <v>5.3877876812558199E-2</v>
      </c>
    </row>
    <row r="22300" spans="1:6" x14ac:dyDescent="0.25">
      <c r="A22300" s="1" t="str">
        <f t="shared" si="829"/>
        <v>34350</v>
      </c>
      <c r="B22300" s="1" t="str">
        <f>"25524"</f>
        <v>25524</v>
      </c>
      <c r="C22300" s="2">
        <v>2.7587745389649001E-2</v>
      </c>
      <c r="D22300" s="2">
        <v>1.46842878120411E-3</v>
      </c>
      <c r="E22300" s="2">
        <v>0</v>
      </c>
      <c r="F22300" s="2">
        <v>2.4810429692696499E-2</v>
      </c>
    </row>
    <row r="22301" spans="1:6" x14ac:dyDescent="0.25">
      <c r="A22301" s="1" t="str">
        <f t="shared" si="829"/>
        <v>34350</v>
      </c>
      <c r="B22301" s="1" t="str">
        <f>"25508"</f>
        <v>25508</v>
      </c>
      <c r="C22301" s="2">
        <v>0.25877453896490099</v>
      </c>
      <c r="D22301" s="2">
        <v>4.6989720998531499E-2</v>
      </c>
      <c r="E22301" s="2">
        <v>0.125</v>
      </c>
      <c r="F22301" s="2">
        <v>0.23759478515365101</v>
      </c>
    </row>
    <row r="22302" spans="1:6" x14ac:dyDescent="0.25">
      <c r="A22302" s="1" t="str">
        <f t="shared" si="829"/>
        <v>34350</v>
      </c>
      <c r="B22302" s="1" t="str">
        <f>"25614"</f>
        <v>25614</v>
      </c>
      <c r="C22302" s="2">
        <v>1.1897679952409201E-3</v>
      </c>
      <c r="D22302" s="2">
        <v>7.34214390602055E-4</v>
      </c>
      <c r="E22302" s="2">
        <v>4.4642857142857097E-3</v>
      </c>
      <c r="F22302" s="2">
        <v>1.19728615139018E-3</v>
      </c>
    </row>
    <row r="22303" spans="1:6" x14ac:dyDescent="0.25">
      <c r="A22303" s="1" t="str">
        <f t="shared" si="829"/>
        <v>34350</v>
      </c>
      <c r="B22303" s="1" t="str">
        <f>"25601"</f>
        <v>25601</v>
      </c>
      <c r="C22303" s="2">
        <v>0.37581796549672802</v>
      </c>
      <c r="D22303" s="2">
        <v>0.75770925110132104</v>
      </c>
      <c r="E22303" s="2">
        <v>0.70089285714285698</v>
      </c>
      <c r="F22303" s="2">
        <v>0.41525874684049402</v>
      </c>
    </row>
    <row r="22304" spans="1:6" x14ac:dyDescent="0.25">
      <c r="A22304" s="1" t="str">
        <f t="shared" si="829"/>
        <v>34350</v>
      </c>
      <c r="B22304" s="1" t="str">
        <f>"25625"</f>
        <v>25625</v>
      </c>
      <c r="C22304" s="2">
        <v>4.0898274836406899E-3</v>
      </c>
      <c r="D22304" s="2">
        <v>2.2026431718061598E-3</v>
      </c>
      <c r="E22304" s="2">
        <v>8.9285714285714194E-3</v>
      </c>
      <c r="F22304" s="2">
        <v>3.9909538379672696E-3</v>
      </c>
    </row>
    <row r="22305" spans="1:6" x14ac:dyDescent="0.25">
      <c r="A22305" s="1" t="str">
        <f t="shared" si="829"/>
        <v>34350</v>
      </c>
      <c r="B22305" s="1" t="str">
        <f>"25653"</f>
        <v>25653</v>
      </c>
      <c r="C22305" s="2">
        <v>0</v>
      </c>
      <c r="D22305" s="2">
        <v>7.34214390602055E-4</v>
      </c>
      <c r="E22305" s="2">
        <v>0</v>
      </c>
      <c r="F22305" s="2">
        <v>6.6515897299454502E-5</v>
      </c>
    </row>
    <row r="22306" spans="1:6" x14ac:dyDescent="0.25">
      <c r="A22306" s="1" t="str">
        <f t="shared" si="829"/>
        <v>34350</v>
      </c>
      <c r="B22306" s="1" t="str">
        <f>"25183"</f>
        <v>25183</v>
      </c>
      <c r="C22306" s="2">
        <v>0</v>
      </c>
      <c r="D22306" s="2">
        <v>7.34214390602055E-4</v>
      </c>
      <c r="E22306" s="2">
        <v>0</v>
      </c>
      <c r="F22306" s="2">
        <v>6.6515897299454502E-5</v>
      </c>
    </row>
    <row r="22307" spans="1:6" x14ac:dyDescent="0.25">
      <c r="A22307" s="1" t="str">
        <f t="shared" si="829"/>
        <v>34350</v>
      </c>
      <c r="B22307" s="1" t="str">
        <f>"25630"</f>
        <v>25630</v>
      </c>
      <c r="C22307" s="2">
        <v>0</v>
      </c>
      <c r="D22307" s="2">
        <v>7.34214390602055E-4</v>
      </c>
      <c r="E22307" s="2">
        <v>0</v>
      </c>
      <c r="F22307" s="2">
        <v>6.6515897299454502E-5</v>
      </c>
    </row>
    <row r="22308" spans="1:6" x14ac:dyDescent="0.25">
      <c r="A22308" s="1" t="str">
        <f t="shared" si="829"/>
        <v>34350</v>
      </c>
      <c r="B22308" s="1" t="str">
        <f>"25635"</f>
        <v>25635</v>
      </c>
      <c r="C22308" s="2">
        <v>4.3872694824509201E-2</v>
      </c>
      <c r="D22308" s="2">
        <v>8.7371512481644598E-2</v>
      </c>
      <c r="E22308" s="2">
        <v>0.11607142857142801</v>
      </c>
      <c r="F22308" s="2">
        <v>4.8889184515099098E-2</v>
      </c>
    </row>
    <row r="22309" spans="1:6" x14ac:dyDescent="0.25">
      <c r="A22309" s="1" t="str">
        <f t="shared" si="829"/>
        <v>34350</v>
      </c>
      <c r="B22309" s="1" t="str">
        <f>"25547"</f>
        <v>25547</v>
      </c>
      <c r="C22309" s="2">
        <v>1.08566329565734E-2</v>
      </c>
      <c r="D22309" s="2">
        <v>2.2026431718061598E-3</v>
      </c>
      <c r="E22309" s="2">
        <v>0</v>
      </c>
      <c r="F22309" s="2">
        <v>9.9108686976187299E-3</v>
      </c>
    </row>
    <row r="22310" spans="1:6" x14ac:dyDescent="0.25">
      <c r="A22310" s="1" t="str">
        <f t="shared" si="829"/>
        <v>34350</v>
      </c>
      <c r="B22310" s="1" t="str">
        <f>"25649"</f>
        <v>25649</v>
      </c>
      <c r="C22310" s="2">
        <v>0</v>
      </c>
      <c r="D22310" s="2">
        <v>7.34214390602055E-4</v>
      </c>
      <c r="E22310" s="2">
        <v>0</v>
      </c>
      <c r="F22310" s="2">
        <v>6.6515897299454502E-5</v>
      </c>
    </row>
    <row r="22311" spans="1:6" x14ac:dyDescent="0.25">
      <c r="A22311" s="1" t="str">
        <f t="shared" si="829"/>
        <v>34350</v>
      </c>
      <c r="B22311" s="1" t="str">
        <f>"25607"</f>
        <v>25607</v>
      </c>
      <c r="C22311" s="2">
        <v>1.05591909577632E-2</v>
      </c>
      <c r="D22311" s="2">
        <v>7.34214390602055E-4</v>
      </c>
      <c r="E22311" s="2">
        <v>0</v>
      </c>
      <c r="F22311" s="2">
        <v>9.5117733138220008E-3</v>
      </c>
    </row>
    <row r="22312" spans="1:6" x14ac:dyDescent="0.25">
      <c r="A22312" s="1" t="str">
        <f t="shared" si="829"/>
        <v>34350</v>
      </c>
      <c r="B22312" s="1" t="str">
        <f>"25637"</f>
        <v>25637</v>
      </c>
      <c r="C22312" s="2">
        <v>7.3988697204045203E-2</v>
      </c>
      <c r="D22312" s="2">
        <v>3.4508076358296599E-2</v>
      </c>
      <c r="E22312" s="2">
        <v>8.9285714285714194E-3</v>
      </c>
      <c r="F22312" s="2">
        <v>6.94425967806305E-2</v>
      </c>
    </row>
    <row r="22313" spans="1:6" x14ac:dyDescent="0.25">
      <c r="A22313" s="1" t="str">
        <f t="shared" si="829"/>
        <v>34350</v>
      </c>
      <c r="B22313" s="1" t="str">
        <f>"25612"</f>
        <v>25612</v>
      </c>
      <c r="C22313" s="2">
        <v>1.10797144556811E-2</v>
      </c>
      <c r="D22313" s="2">
        <v>7.34214390602055E-4</v>
      </c>
      <c r="E22313" s="2">
        <v>4.4642857142857097E-3</v>
      </c>
      <c r="F22313" s="2">
        <v>1.00439004922176E-2</v>
      </c>
    </row>
    <row r="22314" spans="1:6" x14ac:dyDescent="0.25">
      <c r="A22314" s="1" t="str">
        <f t="shared" si="829"/>
        <v>34350</v>
      </c>
      <c r="B22314" s="1" t="str">
        <f>"25632"</f>
        <v>25632</v>
      </c>
      <c r="C22314" s="2">
        <v>2.1787626412849401E-2</v>
      </c>
      <c r="D22314" s="2">
        <v>1.46842878120411E-3</v>
      </c>
      <c r="E22314" s="2">
        <v>0</v>
      </c>
      <c r="F22314" s="2">
        <v>1.9622189703339E-2</v>
      </c>
    </row>
    <row r="22315" spans="1:6" x14ac:dyDescent="0.25">
      <c r="A22315" s="1" t="str">
        <f t="shared" si="829"/>
        <v>34350</v>
      </c>
      <c r="B22315" s="1" t="str">
        <f>"25647"</f>
        <v>25647</v>
      </c>
      <c r="C22315" s="2">
        <v>5.5026769779892903E-2</v>
      </c>
      <c r="D22315" s="2">
        <v>1.1013215859030799E-2</v>
      </c>
      <c r="E22315" s="2">
        <v>8.9285714285714194E-3</v>
      </c>
      <c r="F22315" s="2">
        <v>5.0352534255687101E-2</v>
      </c>
    </row>
    <row r="22316" spans="1:6" x14ac:dyDescent="0.25">
      <c r="A22316" s="1" t="str">
        <f t="shared" si="829"/>
        <v>34350</v>
      </c>
      <c r="B22316" s="1" t="str">
        <f>"25047"</f>
        <v>25047</v>
      </c>
      <c r="C22316" s="2">
        <v>2.7513384889946398E-3</v>
      </c>
      <c r="D22316" s="2">
        <v>1.46842878120411E-3</v>
      </c>
      <c r="E22316" s="2">
        <v>0</v>
      </c>
      <c r="F22316" s="2">
        <v>2.5941199946787198E-3</v>
      </c>
    </row>
    <row r="22317" spans="1:6" x14ac:dyDescent="0.25">
      <c r="A22317" s="1" t="str">
        <f t="shared" si="829"/>
        <v>34350</v>
      </c>
      <c r="B22317" s="1" t="str">
        <f>"25108"</f>
        <v>25108</v>
      </c>
      <c r="C22317" s="2">
        <v>2.7513384889946398E-3</v>
      </c>
      <c r="D22317" s="2">
        <v>0</v>
      </c>
      <c r="E22317" s="2">
        <v>0</v>
      </c>
      <c r="F22317" s="2">
        <v>2.4610882000798101E-3</v>
      </c>
    </row>
    <row r="22318" spans="1:6" x14ac:dyDescent="0.25">
      <c r="A22318" s="1" t="str">
        <f t="shared" si="829"/>
        <v>34350</v>
      </c>
      <c r="B22318" s="1" t="str">
        <f>"25624"</f>
        <v>25624</v>
      </c>
      <c r="C22318" s="2">
        <v>0</v>
      </c>
      <c r="D22318" s="2">
        <v>7.34214390602055E-4</v>
      </c>
      <c r="E22318" s="2">
        <v>0</v>
      </c>
      <c r="F22318" s="2">
        <v>6.6515897299454502E-5</v>
      </c>
    </row>
    <row r="22319" spans="1:6" x14ac:dyDescent="0.25">
      <c r="A22319" s="1" t="str">
        <f t="shared" si="829"/>
        <v>34350</v>
      </c>
      <c r="B22319" s="1" t="str">
        <f>"25628"</f>
        <v>25628</v>
      </c>
      <c r="C22319" s="2">
        <v>0</v>
      </c>
      <c r="D22319" s="2">
        <v>7.34214390602055E-4</v>
      </c>
      <c r="E22319" s="2">
        <v>0</v>
      </c>
      <c r="F22319" s="2">
        <v>6.6515897299454502E-5</v>
      </c>
    </row>
    <row r="22320" spans="1:6" x14ac:dyDescent="0.25">
      <c r="A22320" s="1" t="str">
        <f t="shared" ref="A22320:A22338" si="830">"34380"</f>
        <v>34380</v>
      </c>
      <c r="B22320" s="1" t="str">
        <f>"48877"</f>
        <v>48877</v>
      </c>
      <c r="C22320" s="2">
        <v>2.51951849202152E-3</v>
      </c>
      <c r="D22320" s="2">
        <v>0</v>
      </c>
      <c r="E22320" s="2">
        <v>0</v>
      </c>
      <c r="F22320" s="2">
        <v>2.2537562604340502E-3</v>
      </c>
    </row>
    <row r="22321" spans="1:6" x14ac:dyDescent="0.25">
      <c r="A22321" s="1" t="str">
        <f t="shared" si="830"/>
        <v>34380</v>
      </c>
      <c r="B22321" s="1" t="str">
        <f>"49305"</f>
        <v>49305</v>
      </c>
      <c r="C22321" s="2">
        <v>2.3639926591806802E-3</v>
      </c>
      <c r="D22321" s="2">
        <v>4.0733197556008099E-4</v>
      </c>
      <c r="E22321" s="2">
        <v>0</v>
      </c>
      <c r="F22321" s="2">
        <v>2.1424596549805201E-3</v>
      </c>
    </row>
    <row r="22322" spans="1:6" x14ac:dyDescent="0.25">
      <c r="A22322" s="1" t="str">
        <f t="shared" si="830"/>
        <v>34380</v>
      </c>
      <c r="B22322" s="1" t="str">
        <f>"48896"</f>
        <v>48896</v>
      </c>
      <c r="C22322" s="2">
        <v>3.1105166568166901E-5</v>
      </c>
      <c r="D22322" s="2">
        <v>8.1466395112016199E-4</v>
      </c>
      <c r="E22322" s="2">
        <v>0</v>
      </c>
      <c r="F22322" s="2">
        <v>8.3472454090150196E-5</v>
      </c>
    </row>
    <row r="22323" spans="1:6" x14ac:dyDescent="0.25">
      <c r="A22323" s="1" t="str">
        <f t="shared" si="830"/>
        <v>34380</v>
      </c>
      <c r="B22323" s="1" t="str">
        <f>"48632"</f>
        <v>48632</v>
      </c>
      <c r="C22323" s="2">
        <v>2.28622974276027E-2</v>
      </c>
      <c r="D22323" s="2">
        <v>0</v>
      </c>
      <c r="E22323" s="2">
        <v>0</v>
      </c>
      <c r="F22323" s="2">
        <v>2.0450751252086799E-2</v>
      </c>
    </row>
    <row r="22324" spans="1:6" x14ac:dyDescent="0.25">
      <c r="A22324" s="1" t="str">
        <f t="shared" si="830"/>
        <v>34380</v>
      </c>
      <c r="B22324" s="1" t="str">
        <f>"48880"</f>
        <v>48880</v>
      </c>
      <c r="C22324" s="2">
        <v>3.0483063236803601E-3</v>
      </c>
      <c r="D22324" s="2">
        <v>8.1466395112016199E-4</v>
      </c>
      <c r="E22324" s="2">
        <v>0</v>
      </c>
      <c r="F22324" s="2">
        <v>2.7824151363383398E-3</v>
      </c>
    </row>
    <row r="22325" spans="1:6" x14ac:dyDescent="0.25">
      <c r="A22325" s="1" t="str">
        <f t="shared" si="830"/>
        <v>34380</v>
      </c>
      <c r="B22325" s="1" t="str">
        <f>"48801"</f>
        <v>48801</v>
      </c>
      <c r="C22325" s="2">
        <v>2.1773616597716799E-4</v>
      </c>
      <c r="D22325" s="2">
        <v>0</v>
      </c>
      <c r="E22325" s="2">
        <v>0</v>
      </c>
      <c r="F22325" s="2">
        <v>1.9476905954368299E-4</v>
      </c>
    </row>
    <row r="22326" spans="1:6" x14ac:dyDescent="0.25">
      <c r="A22326" s="1" t="str">
        <f t="shared" si="830"/>
        <v>34380</v>
      </c>
      <c r="B22326" s="1" t="str">
        <f>"48622"</f>
        <v>48622</v>
      </c>
      <c r="C22326" s="2">
        <v>1.5894740116333302E-2</v>
      </c>
      <c r="D22326" s="2">
        <v>2.4439918533604799E-3</v>
      </c>
      <c r="E22326" s="2">
        <v>0</v>
      </c>
      <c r="F22326" s="2">
        <v>1.43850862548692E-2</v>
      </c>
    </row>
    <row r="22327" spans="1:6" x14ac:dyDescent="0.25">
      <c r="A22327" s="1" t="str">
        <f t="shared" si="830"/>
        <v>34380</v>
      </c>
      <c r="B22327" s="1" t="str">
        <f>"49340"</f>
        <v>49340</v>
      </c>
      <c r="C22327" s="2">
        <v>1.21310149615851E-2</v>
      </c>
      <c r="D22327" s="2">
        <v>1.6293279022403201E-3</v>
      </c>
      <c r="E22327" s="2">
        <v>1.49700598802395E-3</v>
      </c>
      <c r="F22327" s="2">
        <v>1.10183639398998E-2</v>
      </c>
    </row>
    <row r="22328" spans="1:6" x14ac:dyDescent="0.25">
      <c r="A22328" s="1" t="str">
        <f t="shared" si="830"/>
        <v>34380</v>
      </c>
      <c r="B22328" s="1" t="str">
        <f>"48891"</f>
        <v>48891</v>
      </c>
      <c r="C22328" s="2">
        <v>6.2210333136333897E-5</v>
      </c>
      <c r="D22328" s="2">
        <v>4.0733197556008099E-4</v>
      </c>
      <c r="E22328" s="2">
        <v>0</v>
      </c>
      <c r="F22328" s="2">
        <v>8.3472454090150196E-5</v>
      </c>
    </row>
    <row r="22329" spans="1:6" x14ac:dyDescent="0.25">
      <c r="A22329" s="1" t="str">
        <f t="shared" si="830"/>
        <v>34380</v>
      </c>
      <c r="B22329" s="1" t="str">
        <f>"48617"</f>
        <v>48617</v>
      </c>
      <c r="C22329" s="2">
        <v>2.8803384242122601E-2</v>
      </c>
      <c r="D22329" s="2">
        <v>3.0142566191446001E-2</v>
      </c>
      <c r="E22329" s="2">
        <v>1.49700598802395E-3</v>
      </c>
      <c r="F22329" s="2">
        <v>2.7879799666110101E-2</v>
      </c>
    </row>
    <row r="22330" spans="1:6" x14ac:dyDescent="0.25">
      <c r="A22330" s="1" t="str">
        <f t="shared" si="830"/>
        <v>34380</v>
      </c>
      <c r="B22330" s="1" t="str">
        <f>"48858"</f>
        <v>48858</v>
      </c>
      <c r="C22330" s="2">
        <v>0.66179352390432</v>
      </c>
      <c r="D22330" s="2">
        <v>0.73401221995926602</v>
      </c>
      <c r="E22330" s="2">
        <v>0.93637724550898205</v>
      </c>
      <c r="F22330" s="2">
        <v>0.676933778519755</v>
      </c>
    </row>
    <row r="22331" spans="1:6" x14ac:dyDescent="0.25">
      <c r="A22331" s="1" t="str">
        <f t="shared" si="830"/>
        <v>34380</v>
      </c>
      <c r="B22331" s="1" t="str">
        <f>"48878"</f>
        <v>48878</v>
      </c>
      <c r="C22331" s="2">
        <v>2.2800087094466299E-2</v>
      </c>
      <c r="D22331" s="2">
        <v>9.7759674134419508E-3</v>
      </c>
      <c r="E22331" s="2">
        <v>4.4910179640718501E-3</v>
      </c>
      <c r="F22331" s="2">
        <v>2.1229827490261501E-2</v>
      </c>
    </row>
    <row r="22332" spans="1:6" x14ac:dyDescent="0.25">
      <c r="A22332" s="1" t="str">
        <f t="shared" si="830"/>
        <v>34380</v>
      </c>
      <c r="B22332" s="1" t="str">
        <f>"48883"</f>
        <v>48883</v>
      </c>
      <c r="C22332" s="2">
        <v>7.0888674608852495E-2</v>
      </c>
      <c r="D22332" s="2">
        <v>3.4623217922606898E-2</v>
      </c>
      <c r="E22332" s="2">
        <v>4.0419161676646699E-2</v>
      </c>
      <c r="F22332" s="2">
        <v>6.7278797996661102E-2</v>
      </c>
    </row>
    <row r="22333" spans="1:6" x14ac:dyDescent="0.25">
      <c r="A22333" s="1" t="str">
        <f t="shared" si="830"/>
        <v>34380</v>
      </c>
      <c r="B22333" s="1" t="str">
        <f>"48893"</f>
        <v>48893</v>
      </c>
      <c r="C22333" s="2">
        <v>8.4948209897663995E-2</v>
      </c>
      <c r="D22333" s="2">
        <v>3.1364562118126202E-2</v>
      </c>
      <c r="E22333" s="2">
        <v>1.1227544910179601E-2</v>
      </c>
      <c r="F22333" s="2">
        <v>7.8547579298831299E-2</v>
      </c>
    </row>
    <row r="22334" spans="1:6" x14ac:dyDescent="0.25">
      <c r="A22334" s="1" t="str">
        <f t="shared" si="830"/>
        <v>34380</v>
      </c>
      <c r="B22334" s="1" t="str">
        <f>"48804"</f>
        <v>48804</v>
      </c>
      <c r="C22334" s="2">
        <v>3.7543936047777497E-2</v>
      </c>
      <c r="D22334" s="2">
        <v>0.11853360488798299</v>
      </c>
      <c r="E22334" s="2">
        <v>1.49700598802395E-3</v>
      </c>
      <c r="F22334" s="2">
        <v>4.1736227045075097E-2</v>
      </c>
    </row>
    <row r="22335" spans="1:6" x14ac:dyDescent="0.25">
      <c r="A22335" s="1" t="str">
        <f t="shared" si="830"/>
        <v>34380</v>
      </c>
      <c r="B22335" s="1" t="str">
        <f>"49310"</f>
        <v>49310</v>
      </c>
      <c r="C22335" s="2">
        <v>2.4853028087965402E-2</v>
      </c>
      <c r="D22335" s="2">
        <v>1.34419551934826E-2</v>
      </c>
      <c r="E22335" s="2">
        <v>2.9940119760479E-3</v>
      </c>
      <c r="F22335" s="2">
        <v>2.3260990539788501E-2</v>
      </c>
    </row>
    <row r="22336" spans="1:6" x14ac:dyDescent="0.25">
      <c r="A22336" s="1" t="str">
        <f t="shared" si="830"/>
        <v>34380</v>
      </c>
      <c r="B22336" s="1" t="str">
        <f>"48618"</f>
        <v>48618</v>
      </c>
      <c r="C22336" s="2">
        <v>8.4295001399732408E-3</v>
      </c>
      <c r="D22336" s="2">
        <v>4.0733197556008099E-4</v>
      </c>
      <c r="E22336" s="2">
        <v>0</v>
      </c>
      <c r="F22336" s="2">
        <v>7.5681691708402799E-3</v>
      </c>
    </row>
    <row r="22337" spans="1:6" x14ac:dyDescent="0.25">
      <c r="A22337" s="1" t="str">
        <f t="shared" si="830"/>
        <v>34380</v>
      </c>
      <c r="B22337" s="1" t="str">
        <f>"48829"</f>
        <v>48829</v>
      </c>
      <c r="C22337" s="2">
        <v>8.0873433077234102E-4</v>
      </c>
      <c r="D22337" s="2">
        <v>0</v>
      </c>
      <c r="E22337" s="2">
        <v>0</v>
      </c>
      <c r="F22337" s="2">
        <v>7.2342793544796801E-4</v>
      </c>
    </row>
    <row r="22338" spans="1:6" x14ac:dyDescent="0.25">
      <c r="A22338" s="1" t="str">
        <f t="shared" si="830"/>
        <v>34380</v>
      </c>
      <c r="B22338" s="1" t="str">
        <f>"48859"</f>
        <v>48859</v>
      </c>
      <c r="C22338" s="2">
        <v>0</v>
      </c>
      <c r="D22338" s="2">
        <v>2.1181262729124201E-2</v>
      </c>
      <c r="E22338" s="2">
        <v>0</v>
      </c>
      <c r="F22338" s="2">
        <v>1.44685587089593E-3</v>
      </c>
    </row>
    <row r="22339" spans="1:6" x14ac:dyDescent="0.25">
      <c r="A22339" s="1" t="str">
        <f t="shared" ref="A22339:A22348" si="831">"34420"</f>
        <v>34420</v>
      </c>
      <c r="B22339" s="1" t="str">
        <f>"75451"</f>
        <v>75451</v>
      </c>
      <c r="C22339" s="2">
        <v>3.8368504462423798E-2</v>
      </c>
      <c r="D22339" s="2">
        <v>2.9835902536051698E-3</v>
      </c>
      <c r="E22339" s="2">
        <v>2.7173913043478199E-3</v>
      </c>
      <c r="F22339" s="2">
        <v>3.5170922335622398E-2</v>
      </c>
    </row>
    <row r="22340" spans="1:6" x14ac:dyDescent="0.25">
      <c r="A22340" s="1" t="str">
        <f t="shared" si="831"/>
        <v>34420</v>
      </c>
      <c r="B22340" s="1" t="str">
        <f>"75493"</f>
        <v>75493</v>
      </c>
      <c r="C22340" s="2">
        <v>0</v>
      </c>
      <c r="D22340" s="2">
        <v>9.945300845350571E-4</v>
      </c>
      <c r="E22340" s="2">
        <v>0</v>
      </c>
      <c r="F22340" s="2">
        <v>7.5881170087642701E-5</v>
      </c>
    </row>
    <row r="22341" spans="1:6" x14ac:dyDescent="0.25">
      <c r="A22341" s="1" t="str">
        <f t="shared" si="831"/>
        <v>34420</v>
      </c>
      <c r="B22341" s="1" t="str">
        <f>"75487"</f>
        <v>75487</v>
      </c>
      <c r="C22341" s="2">
        <v>2.60655600967553E-2</v>
      </c>
      <c r="D22341" s="2">
        <v>8.4535057185479798E-3</v>
      </c>
      <c r="E22341" s="2">
        <v>1.0869565217391301E-2</v>
      </c>
      <c r="F22341" s="2">
        <v>2.4509617938308598E-2</v>
      </c>
    </row>
    <row r="22342" spans="1:6" x14ac:dyDescent="0.25">
      <c r="A22342" s="1" t="str">
        <f t="shared" si="831"/>
        <v>34420</v>
      </c>
      <c r="B22342" s="1" t="str">
        <f>"75494"</f>
        <v>75494</v>
      </c>
      <c r="C22342" s="2">
        <v>4.5875385770289401E-4</v>
      </c>
      <c r="D22342" s="2">
        <v>0</v>
      </c>
      <c r="E22342" s="2">
        <v>0</v>
      </c>
      <c r="F22342" s="2">
        <v>4.1734643548203501E-4</v>
      </c>
    </row>
    <row r="22343" spans="1:6" x14ac:dyDescent="0.25">
      <c r="A22343" s="1" t="str">
        <f t="shared" si="831"/>
        <v>34420</v>
      </c>
      <c r="B22343" s="1" t="str">
        <f>"75558"</f>
        <v>75558</v>
      </c>
      <c r="C22343" s="2">
        <v>3.9202602385520001E-2</v>
      </c>
      <c r="D22343" s="2">
        <v>1.09398309298856E-2</v>
      </c>
      <c r="E22343" s="2">
        <v>0</v>
      </c>
      <c r="F22343" s="2">
        <v>3.6498842812156103E-2</v>
      </c>
    </row>
    <row r="22344" spans="1:6" x14ac:dyDescent="0.25">
      <c r="A22344" s="1" t="str">
        <f t="shared" si="831"/>
        <v>34420</v>
      </c>
      <c r="B22344" s="1" t="str">
        <f>"75455"</f>
        <v>75455</v>
      </c>
      <c r="C22344" s="2">
        <v>0.57944782717490995</v>
      </c>
      <c r="D22344" s="2">
        <v>0.5773247140726</v>
      </c>
      <c r="E22344" s="2">
        <v>0.69293478260869501</v>
      </c>
      <c r="F22344" s="2">
        <v>0.58087035702090495</v>
      </c>
    </row>
    <row r="22345" spans="1:6" x14ac:dyDescent="0.25">
      <c r="A22345" s="1" t="str">
        <f t="shared" si="831"/>
        <v>34420</v>
      </c>
      <c r="B22345" s="1" t="str">
        <f>"75686"</f>
        <v>75686</v>
      </c>
      <c r="C22345" s="2">
        <v>0.259029110017516</v>
      </c>
      <c r="D22345" s="2">
        <v>0.23620089507707601</v>
      </c>
      <c r="E22345" s="2">
        <v>0.28804347826086901</v>
      </c>
      <c r="F22345" s="2">
        <v>0.25769245361763399</v>
      </c>
    </row>
    <row r="22346" spans="1:6" x14ac:dyDescent="0.25">
      <c r="A22346" s="1" t="str">
        <f t="shared" si="831"/>
        <v>34420</v>
      </c>
      <c r="B22346" s="1" t="str">
        <f>"75456"</f>
        <v>75456</v>
      </c>
      <c r="C22346" s="2">
        <v>5.2548169155058798E-2</v>
      </c>
      <c r="D22346" s="2">
        <v>0.16310293386374899</v>
      </c>
      <c r="E22346" s="2">
        <v>5.4347826086956503E-3</v>
      </c>
      <c r="F22346" s="2">
        <v>6.0325530219675898E-2</v>
      </c>
    </row>
    <row r="22347" spans="1:6" x14ac:dyDescent="0.25">
      <c r="A22347" s="1" t="str">
        <f t="shared" si="831"/>
        <v>34420</v>
      </c>
      <c r="B22347" s="1" t="str">
        <f>"75644"</f>
        <v>75644</v>
      </c>
      <c r="C22347" s="2">
        <v>3.3363916923846802E-4</v>
      </c>
      <c r="D22347" s="2">
        <v>0</v>
      </c>
      <c r="E22347" s="2">
        <v>0</v>
      </c>
      <c r="F22347" s="2">
        <v>3.0352468035057102E-4</v>
      </c>
    </row>
    <row r="22348" spans="1:6" x14ac:dyDescent="0.25">
      <c r="A22348" s="1" t="str">
        <f t="shared" si="831"/>
        <v>34420</v>
      </c>
      <c r="B22348" s="1" t="str">
        <f>"75571"</f>
        <v>75571</v>
      </c>
      <c r="C22348" s="2">
        <v>4.5458336808741296E-3</v>
      </c>
      <c r="D22348" s="2">
        <v>0</v>
      </c>
      <c r="E22348" s="2">
        <v>0</v>
      </c>
      <c r="F22348" s="2">
        <v>4.1355237697765198E-3</v>
      </c>
    </row>
    <row r="22349" spans="1:6" x14ac:dyDescent="0.25">
      <c r="A22349" s="1" t="str">
        <f t="shared" ref="A22349:A22365" si="832">"34460"</f>
        <v>34460</v>
      </c>
      <c r="B22349" s="1" t="str">
        <f>"40380"</f>
        <v>40380</v>
      </c>
      <c r="C22349" s="2">
        <v>9.4616330778692404E-5</v>
      </c>
      <c r="D22349" s="2">
        <v>3.33055786844296E-3</v>
      </c>
      <c r="E22349" s="2">
        <v>3.8022813688212902E-3</v>
      </c>
      <c r="F22349" s="2">
        <v>3.4987972884321E-4</v>
      </c>
    </row>
    <row r="22350" spans="1:6" x14ac:dyDescent="0.25">
      <c r="A22350" s="1" t="str">
        <f t="shared" si="832"/>
        <v>34460</v>
      </c>
      <c r="B22350" s="1" t="str">
        <f>"40351"</f>
        <v>40351</v>
      </c>
      <c r="C22350" s="2">
        <v>0</v>
      </c>
      <c r="D22350" s="2">
        <v>8.3263946711074096E-4</v>
      </c>
      <c r="E22350" s="2">
        <v>0</v>
      </c>
      <c r="F22350" s="2">
        <v>4.3734966105401203E-5</v>
      </c>
    </row>
    <row r="22351" spans="1:6" x14ac:dyDescent="0.25">
      <c r="A22351" s="1" t="str">
        <f t="shared" si="832"/>
        <v>34460</v>
      </c>
      <c r="B22351" s="1" t="str">
        <f>"40361"</f>
        <v>40361</v>
      </c>
      <c r="C22351" s="2">
        <v>7.09622480840193E-4</v>
      </c>
      <c r="D22351" s="2">
        <v>0</v>
      </c>
      <c r="E22351" s="2">
        <v>0</v>
      </c>
      <c r="F22351" s="2">
        <v>6.5602449158101901E-4</v>
      </c>
    </row>
    <row r="22352" spans="1:6" x14ac:dyDescent="0.25">
      <c r="A22352" s="1" t="str">
        <f t="shared" si="832"/>
        <v>34460</v>
      </c>
      <c r="B22352" s="1" t="str">
        <f>"40311"</f>
        <v>40311</v>
      </c>
      <c r="C22352" s="2">
        <v>7.09622480840193E-4</v>
      </c>
      <c r="D22352" s="2">
        <v>8.3263946711074096E-4</v>
      </c>
      <c r="E22352" s="2">
        <v>0</v>
      </c>
      <c r="F22352" s="2">
        <v>6.9975945768642001E-4</v>
      </c>
    </row>
    <row r="22353" spans="1:6" x14ac:dyDescent="0.25">
      <c r="A22353" s="1" t="str">
        <f t="shared" si="832"/>
        <v>34460</v>
      </c>
      <c r="B22353" s="1" t="str">
        <f>"40360"</f>
        <v>40360</v>
      </c>
      <c r="C22353" s="2">
        <v>0.13298325290945201</v>
      </c>
      <c r="D22353" s="2">
        <v>6.4945878434637797E-2</v>
      </c>
      <c r="E22353" s="2">
        <v>0.142585551330798</v>
      </c>
      <c r="F22353" s="2">
        <v>0.12963043953640899</v>
      </c>
    </row>
    <row r="22354" spans="1:6" x14ac:dyDescent="0.25">
      <c r="A22354" s="1" t="str">
        <f t="shared" si="832"/>
        <v>34460</v>
      </c>
      <c r="B22354" s="1" t="str">
        <f>"40358"</f>
        <v>40358</v>
      </c>
      <c r="C22354" s="2">
        <v>1.4523606774529201E-2</v>
      </c>
      <c r="D22354" s="2">
        <v>3.33055786844296E-3</v>
      </c>
      <c r="E22354" s="2">
        <v>7.6045627376425803E-3</v>
      </c>
      <c r="F22354" s="2">
        <v>1.3776514323201299E-2</v>
      </c>
    </row>
    <row r="22355" spans="1:6" x14ac:dyDescent="0.25">
      <c r="A22355" s="1" t="str">
        <f t="shared" si="832"/>
        <v>34460</v>
      </c>
      <c r="B22355" s="1" t="str">
        <f>"40374"</f>
        <v>40374</v>
      </c>
      <c r="C22355" s="2">
        <v>3.7609991484530203E-2</v>
      </c>
      <c r="D22355" s="2">
        <v>1.6652789342214799E-2</v>
      </c>
      <c r="E22355" s="2">
        <v>3.2319391634980897E-2</v>
      </c>
      <c r="F22355" s="2">
        <v>3.6387491799693798E-2</v>
      </c>
    </row>
    <row r="22356" spans="1:6" x14ac:dyDescent="0.25">
      <c r="A22356" s="1" t="str">
        <f t="shared" si="832"/>
        <v>34460</v>
      </c>
      <c r="B22356" s="1" t="str">
        <f>"40322"</f>
        <v>40322</v>
      </c>
      <c r="C22356" s="2">
        <v>7.7585391238527701E-2</v>
      </c>
      <c r="D22356" s="2">
        <v>3.91340549542048E-2</v>
      </c>
      <c r="E22356" s="2">
        <v>6.0836501901140601E-2</v>
      </c>
      <c r="F22356" s="2">
        <v>7.5180406735184696E-2</v>
      </c>
    </row>
    <row r="22357" spans="1:6" x14ac:dyDescent="0.25">
      <c r="A22357" s="1" t="str">
        <f t="shared" si="832"/>
        <v>34460</v>
      </c>
      <c r="B22357" s="1" t="str">
        <f>"40353"</f>
        <v>40353</v>
      </c>
      <c r="C22357" s="2">
        <v>0.47677169079383103</v>
      </c>
      <c r="D22357" s="2">
        <v>0.79017485428809298</v>
      </c>
      <c r="E22357" s="2">
        <v>0.57224334600760396</v>
      </c>
      <c r="F22357" s="2">
        <v>0.495429696041985</v>
      </c>
    </row>
    <row r="22358" spans="1:6" x14ac:dyDescent="0.25">
      <c r="A22358" s="1" t="str">
        <f t="shared" si="832"/>
        <v>34460</v>
      </c>
      <c r="B22358" s="1" t="str">
        <f>"41472"</f>
        <v>41472</v>
      </c>
      <c r="C22358" s="2">
        <v>2.3654082694673099E-4</v>
      </c>
      <c r="D22358" s="2">
        <v>0</v>
      </c>
      <c r="E22358" s="2">
        <v>0</v>
      </c>
      <c r="F22358" s="2">
        <v>2.18674830527006E-4</v>
      </c>
    </row>
    <row r="22359" spans="1:6" x14ac:dyDescent="0.25">
      <c r="A22359" s="1" t="str">
        <f t="shared" si="832"/>
        <v>34460</v>
      </c>
      <c r="B22359" s="1" t="str">
        <f>"40391"</f>
        <v>40391</v>
      </c>
      <c r="C22359" s="2">
        <v>9.4616330778692404E-5</v>
      </c>
      <c r="D22359" s="2">
        <v>0</v>
      </c>
      <c r="E22359" s="2">
        <v>0</v>
      </c>
      <c r="F22359" s="2">
        <v>8.7469932210802501E-5</v>
      </c>
    </row>
    <row r="22360" spans="1:6" x14ac:dyDescent="0.25">
      <c r="A22360" s="1" t="str">
        <f t="shared" si="832"/>
        <v>34460</v>
      </c>
      <c r="B22360" s="1" t="str">
        <f>"40334"</f>
        <v>40334</v>
      </c>
      <c r="C22360" s="2">
        <v>2.2707919386886098E-3</v>
      </c>
      <c r="D22360" s="2">
        <v>1.66527893422148E-3</v>
      </c>
      <c r="E22360" s="2">
        <v>1.9011406844106401E-3</v>
      </c>
      <c r="F22360" s="2">
        <v>2.23048327137546E-3</v>
      </c>
    </row>
    <row r="22361" spans="1:6" x14ac:dyDescent="0.25">
      <c r="A22361" s="1" t="str">
        <f t="shared" si="832"/>
        <v>34460</v>
      </c>
      <c r="B22361" s="1" t="str">
        <f>"40387"</f>
        <v>40387</v>
      </c>
      <c r="C22361" s="2">
        <v>5.70536474595515E-2</v>
      </c>
      <c r="D22361" s="2">
        <v>3.33055786844296E-3</v>
      </c>
      <c r="E22361" s="2">
        <v>7.6045627376425803E-3</v>
      </c>
      <c r="F22361" s="2">
        <v>5.3094248851957099E-2</v>
      </c>
    </row>
    <row r="22362" spans="1:6" x14ac:dyDescent="0.25">
      <c r="A22362" s="1" t="str">
        <f t="shared" si="832"/>
        <v>34460</v>
      </c>
      <c r="B22362" s="1" t="str">
        <f>"40346"</f>
        <v>40346</v>
      </c>
      <c r="C22362" s="2">
        <v>1.6983631374775199E-2</v>
      </c>
      <c r="D22362" s="2">
        <v>6.6611157368859199E-3</v>
      </c>
      <c r="E22362" s="2">
        <v>3.8022813688212902E-3</v>
      </c>
      <c r="F22362" s="2">
        <v>1.6138202492893002E-2</v>
      </c>
    </row>
    <row r="22363" spans="1:6" x14ac:dyDescent="0.25">
      <c r="A22363" s="1" t="str">
        <f t="shared" si="832"/>
        <v>34460</v>
      </c>
      <c r="B22363" s="1" t="str">
        <f>"40371"</f>
        <v>40371</v>
      </c>
      <c r="C22363" s="2">
        <v>5.7905194436559698E-2</v>
      </c>
      <c r="D22363" s="2">
        <v>2.5811823480432899E-2</v>
      </c>
      <c r="E22363" s="2">
        <v>0.106463878326996</v>
      </c>
      <c r="F22363" s="2">
        <v>5.7336540564180999E-2</v>
      </c>
    </row>
    <row r="22364" spans="1:6" x14ac:dyDescent="0.25">
      <c r="A22364" s="1" t="str">
        <f t="shared" si="832"/>
        <v>34460</v>
      </c>
      <c r="B22364" s="1" t="str">
        <f>"40316"</f>
        <v>40316</v>
      </c>
      <c r="C22364" s="2">
        <v>6.9543003122338898E-3</v>
      </c>
      <c r="D22364" s="2">
        <v>8.3263946711074096E-4</v>
      </c>
      <c r="E22364" s="2">
        <v>3.8022813688212902E-3</v>
      </c>
      <c r="F22364" s="2">
        <v>6.5602449158101896E-3</v>
      </c>
    </row>
    <row r="22365" spans="1:6" x14ac:dyDescent="0.25">
      <c r="A22365" s="1" t="str">
        <f t="shared" si="832"/>
        <v>34460</v>
      </c>
      <c r="B22365" s="1" t="str">
        <f>"40337"</f>
        <v>40337</v>
      </c>
      <c r="C22365" s="2">
        <v>0.117513482827135</v>
      </c>
      <c r="D22365" s="2">
        <v>4.2464612822647699E-2</v>
      </c>
      <c r="E22365" s="2">
        <v>5.7034220532319303E-2</v>
      </c>
      <c r="F22365" s="2">
        <v>0.112180188060354</v>
      </c>
    </row>
    <row r="22366" spans="1:6" x14ac:dyDescent="0.25">
      <c r="A22366" s="1" t="str">
        <f t="shared" ref="A22366:A22385" si="833">"34500"</f>
        <v>34500</v>
      </c>
      <c r="B22366" s="1" t="str">
        <f>"62846"</f>
        <v>62846</v>
      </c>
      <c r="C22366" s="2">
        <v>1.70893948407333E-2</v>
      </c>
      <c r="D22366" s="2">
        <v>8.9186176142697794E-3</v>
      </c>
      <c r="E22366" s="2">
        <v>1.8595041322314002E-2</v>
      </c>
      <c r="F22366" s="2">
        <v>1.6418700948529E-2</v>
      </c>
    </row>
    <row r="22367" spans="1:6" x14ac:dyDescent="0.25">
      <c r="A22367" s="1" t="str">
        <f t="shared" si="833"/>
        <v>34500</v>
      </c>
      <c r="B22367" s="1" t="str">
        <f>"62810"</f>
        <v>62810</v>
      </c>
      <c r="C22367" s="2">
        <v>2.5796333351360098E-2</v>
      </c>
      <c r="D22367" s="2">
        <v>7.2463768115942004E-3</v>
      </c>
      <c r="E22367" s="2">
        <v>4.13223140495867E-3</v>
      </c>
      <c r="F22367" s="2">
        <v>2.3689152101690002E-2</v>
      </c>
    </row>
    <row r="22368" spans="1:6" x14ac:dyDescent="0.25">
      <c r="A22368" s="1" t="str">
        <f t="shared" si="833"/>
        <v>34500</v>
      </c>
      <c r="B22368" s="1" t="str">
        <f>"62894"</f>
        <v>62894</v>
      </c>
      <c r="C22368" s="2">
        <v>2.6012654805040201E-2</v>
      </c>
      <c r="D22368" s="2">
        <v>1.3935340022296501E-2</v>
      </c>
      <c r="E22368" s="2">
        <v>2.0661157024793298E-3</v>
      </c>
      <c r="F22368" s="2">
        <v>2.4411382348692699E-2</v>
      </c>
    </row>
    <row r="22369" spans="1:6" x14ac:dyDescent="0.25">
      <c r="A22369" s="1" t="str">
        <f t="shared" si="833"/>
        <v>34500</v>
      </c>
      <c r="B22369" s="1" t="str">
        <f>"62816"</f>
        <v>62816</v>
      </c>
      <c r="C22369" s="2">
        <v>3.36379860472662E-2</v>
      </c>
      <c r="D22369" s="2">
        <v>4.4593088071348897E-3</v>
      </c>
      <c r="E22369" s="2">
        <v>2.0661157024793298E-3</v>
      </c>
      <c r="F22369" s="2">
        <v>3.03818190572487E-2</v>
      </c>
    </row>
    <row r="22370" spans="1:6" x14ac:dyDescent="0.25">
      <c r="A22370" s="1" t="str">
        <f t="shared" si="833"/>
        <v>34500</v>
      </c>
      <c r="B22370" s="1" t="str">
        <f>"62808"</f>
        <v>62808</v>
      </c>
      <c r="C22370" s="2">
        <v>7.5712508788059003E-3</v>
      </c>
      <c r="D22370" s="2">
        <v>1.6722408026755801E-3</v>
      </c>
      <c r="E22370" s="2">
        <v>0</v>
      </c>
      <c r="F22370" s="2">
        <v>6.8852616880928303E-3</v>
      </c>
    </row>
    <row r="22371" spans="1:6" x14ac:dyDescent="0.25">
      <c r="A22371" s="1" t="str">
        <f t="shared" si="833"/>
        <v>34500</v>
      </c>
      <c r="B22371" s="1" t="str">
        <f>"62851"</f>
        <v>62851</v>
      </c>
      <c r="C22371" s="2">
        <v>9.1936617814071704E-4</v>
      </c>
      <c r="D22371" s="2">
        <v>0</v>
      </c>
      <c r="E22371" s="2">
        <v>0</v>
      </c>
      <c r="F22371" s="2">
        <v>8.1852761326977697E-4</v>
      </c>
    </row>
    <row r="22372" spans="1:6" x14ac:dyDescent="0.25">
      <c r="A22372" s="1" t="str">
        <f t="shared" si="833"/>
        <v>34500</v>
      </c>
      <c r="B22372" s="1" t="str">
        <f>"62877"</f>
        <v>62877</v>
      </c>
      <c r="C22372" s="2">
        <v>6.4896436104050601E-4</v>
      </c>
      <c r="D22372" s="2">
        <v>0</v>
      </c>
      <c r="E22372" s="2">
        <v>0</v>
      </c>
      <c r="F22372" s="2">
        <v>5.7778419760219505E-4</v>
      </c>
    </row>
    <row r="22373" spans="1:6" x14ac:dyDescent="0.25">
      <c r="A22373" s="1" t="str">
        <f t="shared" si="833"/>
        <v>34500</v>
      </c>
      <c r="B22373" s="1" t="str">
        <f>"62893"</f>
        <v>62893</v>
      </c>
      <c r="C22373" s="2">
        <v>1.1681358498729101E-2</v>
      </c>
      <c r="D22373" s="2">
        <v>2.2296544035674401E-3</v>
      </c>
      <c r="E22373" s="2">
        <v>0</v>
      </c>
      <c r="F22373" s="2">
        <v>1.0592710289373501E-2</v>
      </c>
    </row>
    <row r="22374" spans="1:6" x14ac:dyDescent="0.25">
      <c r="A22374" s="1" t="str">
        <f t="shared" si="833"/>
        <v>34500</v>
      </c>
      <c r="B22374" s="1" t="str">
        <f>"62830"</f>
        <v>62830</v>
      </c>
      <c r="C22374" s="2">
        <v>3.9911308203991101E-2</v>
      </c>
      <c r="D22374" s="2">
        <v>1.8952062430323199E-2</v>
      </c>
      <c r="E22374" s="2">
        <v>6.1983471074380098E-3</v>
      </c>
      <c r="F22374" s="2">
        <v>3.7315229428475101E-2</v>
      </c>
    </row>
    <row r="22375" spans="1:6" x14ac:dyDescent="0.25">
      <c r="A22375" s="1" t="str">
        <f t="shared" si="833"/>
        <v>34500</v>
      </c>
      <c r="B22375" s="1" t="str">
        <f>"62836"</f>
        <v>62836</v>
      </c>
      <c r="C22375" s="2">
        <v>1.4060894489210901E-3</v>
      </c>
      <c r="D22375" s="2">
        <v>0</v>
      </c>
      <c r="E22375" s="2">
        <v>0</v>
      </c>
      <c r="F22375" s="2">
        <v>1.25186576147142E-3</v>
      </c>
    </row>
    <row r="22376" spans="1:6" x14ac:dyDescent="0.25">
      <c r="A22376" s="1" t="str">
        <f t="shared" si="833"/>
        <v>34500</v>
      </c>
      <c r="B22376" s="1" t="str">
        <f>"62853"</f>
        <v>62853</v>
      </c>
      <c r="C22376" s="2">
        <v>1.08160726840084E-4</v>
      </c>
      <c r="D22376" s="2">
        <v>0</v>
      </c>
      <c r="E22376" s="2">
        <v>0</v>
      </c>
      <c r="F22376" s="2">
        <v>9.6297366267032494E-5</v>
      </c>
    </row>
    <row r="22377" spans="1:6" x14ac:dyDescent="0.25">
      <c r="A22377" s="1" t="str">
        <f t="shared" si="833"/>
        <v>34500</v>
      </c>
      <c r="B22377" s="1" t="str">
        <f>"62831"</f>
        <v>62831</v>
      </c>
      <c r="C22377" s="2">
        <v>1.08160726840084E-4</v>
      </c>
      <c r="D22377" s="2">
        <v>0</v>
      </c>
      <c r="E22377" s="2">
        <v>0</v>
      </c>
      <c r="F22377" s="2">
        <v>9.6297366267032494E-5</v>
      </c>
    </row>
    <row r="22378" spans="1:6" x14ac:dyDescent="0.25">
      <c r="A22378" s="1" t="str">
        <f t="shared" si="833"/>
        <v>34500</v>
      </c>
      <c r="B22378" s="1" t="str">
        <f>"62883"</f>
        <v>62883</v>
      </c>
      <c r="C22378" s="2">
        <v>1.3844573035530701E-2</v>
      </c>
      <c r="D22378" s="2">
        <v>3.3444816053511701E-3</v>
      </c>
      <c r="E22378" s="2">
        <v>2.0661157024793298E-3</v>
      </c>
      <c r="F22378" s="2">
        <v>1.2663103664114699E-2</v>
      </c>
    </row>
    <row r="22379" spans="1:6" x14ac:dyDescent="0.25">
      <c r="A22379" s="1" t="str">
        <f t="shared" si="833"/>
        <v>34500</v>
      </c>
      <c r="B22379" s="1" t="str">
        <f>"62889"</f>
        <v>62889</v>
      </c>
      <c r="C22379" s="2">
        <v>1.8008761018874001E-2</v>
      </c>
      <c r="D22379" s="2">
        <v>3.3444816053511701E-3</v>
      </c>
      <c r="E22379" s="2">
        <v>2.0661157024793298E-3</v>
      </c>
      <c r="F22379" s="2">
        <v>1.6370552265395501E-2</v>
      </c>
    </row>
    <row r="22380" spans="1:6" x14ac:dyDescent="0.25">
      <c r="A22380" s="1" t="str">
        <f t="shared" si="833"/>
        <v>34500</v>
      </c>
      <c r="B22380" s="1" t="str">
        <f>"62884"</f>
        <v>62884</v>
      </c>
      <c r="C22380" s="2">
        <v>5.4080363420042097E-5</v>
      </c>
      <c r="D22380" s="2">
        <v>0</v>
      </c>
      <c r="E22380" s="2">
        <v>0</v>
      </c>
      <c r="F22380" s="2">
        <v>4.81486831335162E-5</v>
      </c>
    </row>
    <row r="22381" spans="1:6" x14ac:dyDescent="0.25">
      <c r="A22381" s="1" t="str">
        <f t="shared" si="833"/>
        <v>34500</v>
      </c>
      <c r="B22381" s="1" t="str">
        <f>"62872"</f>
        <v>62872</v>
      </c>
      <c r="C22381" s="2">
        <v>2.4552484992699099E-2</v>
      </c>
      <c r="D22381" s="2">
        <v>4.4593088071348897E-3</v>
      </c>
      <c r="E22381" s="2">
        <v>6.1983471074380098E-3</v>
      </c>
      <c r="F22381" s="2">
        <v>2.2389137657085001E-2</v>
      </c>
    </row>
    <row r="22382" spans="1:6" x14ac:dyDescent="0.25">
      <c r="A22382" s="1" t="str">
        <f t="shared" si="833"/>
        <v>34500</v>
      </c>
      <c r="B22382" s="1" t="str">
        <f>"62801"</f>
        <v>62801</v>
      </c>
      <c r="C22382" s="2">
        <v>1.1573197771888999E-2</v>
      </c>
      <c r="D22382" s="2">
        <v>3.9018952062430299E-3</v>
      </c>
      <c r="E22382" s="2">
        <v>0</v>
      </c>
      <c r="F22382" s="2">
        <v>1.06408589725071E-2</v>
      </c>
    </row>
    <row r="22383" spans="1:6" x14ac:dyDescent="0.25">
      <c r="A22383" s="1" t="str">
        <f t="shared" si="833"/>
        <v>34500</v>
      </c>
      <c r="B22383" s="1" t="str">
        <f>"62814"</f>
        <v>62814</v>
      </c>
      <c r="C22383" s="2">
        <v>5.2133470336920597E-2</v>
      </c>
      <c r="D22383" s="2">
        <v>2.0624303232998801E-2</v>
      </c>
      <c r="E22383" s="2">
        <v>2.0661157024793298E-3</v>
      </c>
      <c r="F22383" s="2">
        <v>4.8244980499783298E-2</v>
      </c>
    </row>
    <row r="22384" spans="1:6" x14ac:dyDescent="0.25">
      <c r="A22384" s="1" t="str">
        <f t="shared" si="833"/>
        <v>34500</v>
      </c>
      <c r="B22384" s="1" t="str">
        <f>"62898"</f>
        <v>62898</v>
      </c>
      <c r="C22384" s="2">
        <v>5.0835541614839601E-2</v>
      </c>
      <c r="D22384" s="2">
        <v>1.3935340022296501E-2</v>
      </c>
      <c r="E22384" s="2">
        <v>2.4793388429752001E-2</v>
      </c>
      <c r="F22384" s="2">
        <v>4.7041263421445399E-2</v>
      </c>
    </row>
    <row r="22385" spans="1:6" x14ac:dyDescent="0.25">
      <c r="A22385" s="1" t="str">
        <f t="shared" si="833"/>
        <v>34500</v>
      </c>
      <c r="B22385" s="1" t="str">
        <f>"62864"</f>
        <v>62864</v>
      </c>
      <c r="C22385" s="2">
        <v>0.66410686279811804</v>
      </c>
      <c r="D22385" s="2">
        <v>0.89297658862876195</v>
      </c>
      <c r="E22385" s="2">
        <v>0.92975206611570205</v>
      </c>
      <c r="F22385" s="2">
        <v>0.69006692666955505</v>
      </c>
    </row>
    <row r="22386" spans="1:6" x14ac:dyDescent="0.25">
      <c r="A22386" s="1" t="str">
        <f t="shared" ref="A22386:A22404" si="834">"34540"</f>
        <v>34540</v>
      </c>
      <c r="B22386" s="1" t="str">
        <f>"43014"</f>
        <v>43014</v>
      </c>
      <c r="C22386" s="2">
        <v>3.4045490880023198E-2</v>
      </c>
      <c r="D22386" s="2">
        <v>1.02813852813852E-2</v>
      </c>
      <c r="E22386" s="2">
        <v>6.5298507462686504E-3</v>
      </c>
      <c r="F22386" s="2">
        <v>3.1633926811641802E-2</v>
      </c>
    </row>
    <row r="22387" spans="1:6" x14ac:dyDescent="0.25">
      <c r="A22387" s="1" t="str">
        <f t="shared" si="834"/>
        <v>34540</v>
      </c>
      <c r="B22387" s="1" t="str">
        <f>"43011"</f>
        <v>43011</v>
      </c>
      <c r="C22387" s="2">
        <v>7.2632802848630107E-2</v>
      </c>
      <c r="D22387" s="2">
        <v>2.7597402597402499E-2</v>
      </c>
      <c r="E22387" s="2">
        <v>2.79850746268656E-2</v>
      </c>
      <c r="F22387" s="2">
        <v>6.83266539649168E-2</v>
      </c>
    </row>
    <row r="22388" spans="1:6" x14ac:dyDescent="0.25">
      <c r="A22388" s="1" t="str">
        <f t="shared" si="834"/>
        <v>34540</v>
      </c>
      <c r="B22388" s="1" t="str">
        <f>"44628"</f>
        <v>44628</v>
      </c>
      <c r="C22388" s="2">
        <v>4.4691519511663299E-3</v>
      </c>
      <c r="D22388" s="2">
        <v>2.7056277056276999E-3</v>
      </c>
      <c r="E22388" s="2">
        <v>0</v>
      </c>
      <c r="F22388" s="2">
        <v>4.2047171670718001E-3</v>
      </c>
    </row>
    <row r="22389" spans="1:6" x14ac:dyDescent="0.25">
      <c r="A22389" s="1" t="str">
        <f t="shared" si="834"/>
        <v>34540</v>
      </c>
      <c r="B22389" s="1" t="str">
        <f>"44903"</f>
        <v>44903</v>
      </c>
      <c r="C22389" s="2">
        <v>0</v>
      </c>
      <c r="D22389" s="2">
        <v>5.4112554112554102E-4</v>
      </c>
      <c r="E22389" s="2">
        <v>0</v>
      </c>
      <c r="F22389" s="2">
        <v>3.28493528677485E-5</v>
      </c>
    </row>
    <row r="22390" spans="1:6" x14ac:dyDescent="0.25">
      <c r="A22390" s="1" t="str">
        <f t="shared" si="834"/>
        <v>34540</v>
      </c>
      <c r="B22390" s="1" t="str">
        <f>"43822"</f>
        <v>43822</v>
      </c>
      <c r="C22390" s="2">
        <v>5.7771964246784296E-3</v>
      </c>
      <c r="D22390" s="2">
        <v>5.4112554112554102E-4</v>
      </c>
      <c r="E22390" s="2">
        <v>2.7985074626865601E-3</v>
      </c>
      <c r="F22390" s="2">
        <v>5.3544445174429998E-3</v>
      </c>
    </row>
    <row r="22391" spans="1:6" x14ac:dyDescent="0.25">
      <c r="A22391" s="1" t="str">
        <f t="shared" si="834"/>
        <v>34540</v>
      </c>
      <c r="B22391" s="1" t="str">
        <f>"43048"</f>
        <v>43048</v>
      </c>
      <c r="C22391" s="2">
        <v>7.2669137417338798E-5</v>
      </c>
      <c r="D22391" s="2">
        <v>1.0822510822510801E-3</v>
      </c>
      <c r="E22391" s="2">
        <v>0</v>
      </c>
      <c r="F22391" s="2">
        <v>1.31397411470994E-4</v>
      </c>
    </row>
    <row r="22392" spans="1:6" x14ac:dyDescent="0.25">
      <c r="A22392" s="1" t="str">
        <f t="shared" si="834"/>
        <v>34540</v>
      </c>
      <c r="B22392" s="1" t="str">
        <f>"43019"</f>
        <v>43019</v>
      </c>
      <c r="C22392" s="2">
        <v>0.114163214882639</v>
      </c>
      <c r="D22392" s="2">
        <v>8.5497835497835406E-2</v>
      </c>
      <c r="E22392" s="2">
        <v>0.110074626865671</v>
      </c>
      <c r="F22392" s="2">
        <v>0.11227908810196401</v>
      </c>
    </row>
    <row r="22393" spans="1:6" x14ac:dyDescent="0.25">
      <c r="A22393" s="1" t="str">
        <f t="shared" si="834"/>
        <v>34540</v>
      </c>
      <c r="B22393" s="1" t="str">
        <f>"43050"</f>
        <v>43050</v>
      </c>
      <c r="C22393" s="2">
        <v>0.49781992587747897</v>
      </c>
      <c r="D22393" s="2">
        <v>0.73863636363636298</v>
      </c>
      <c r="E22393" s="2">
        <v>0.8125</v>
      </c>
      <c r="F22393" s="2">
        <v>0.52352013665330699</v>
      </c>
    </row>
    <row r="22394" spans="1:6" x14ac:dyDescent="0.25">
      <c r="A22394" s="1" t="str">
        <f t="shared" si="834"/>
        <v>34540</v>
      </c>
      <c r="B22394" s="1" t="str">
        <f>"43028"</f>
        <v>43028</v>
      </c>
      <c r="C22394" s="2">
        <v>0.13182181527505199</v>
      </c>
      <c r="D22394" s="2">
        <v>2.86796536796536E-2</v>
      </c>
      <c r="E22394" s="2">
        <v>1.6791044776119399E-2</v>
      </c>
      <c r="F22394" s="2">
        <v>0.121509756257801</v>
      </c>
    </row>
    <row r="22395" spans="1:6" x14ac:dyDescent="0.25">
      <c r="A22395" s="1" t="str">
        <f t="shared" si="834"/>
        <v>34540</v>
      </c>
      <c r="B22395" s="1" t="str">
        <f>"44822"</f>
        <v>44822</v>
      </c>
      <c r="C22395" s="2">
        <v>1.2172080517404199E-2</v>
      </c>
      <c r="D22395" s="2">
        <v>3.7878787878787802E-3</v>
      </c>
      <c r="E22395" s="2">
        <v>0</v>
      </c>
      <c r="F22395" s="2">
        <v>1.12344786807699E-2</v>
      </c>
    </row>
    <row r="22396" spans="1:6" x14ac:dyDescent="0.25">
      <c r="A22396" s="1" t="str">
        <f t="shared" si="834"/>
        <v>34540</v>
      </c>
      <c r="B22396" s="1" t="str">
        <f>"43844"</f>
        <v>43844</v>
      </c>
      <c r="C22396" s="2">
        <v>1.8167284354334701E-4</v>
      </c>
      <c r="D22396" s="2">
        <v>0</v>
      </c>
      <c r="E22396" s="2">
        <v>0</v>
      </c>
      <c r="F22396" s="2">
        <v>1.6424676433874201E-4</v>
      </c>
    </row>
    <row r="22397" spans="1:6" x14ac:dyDescent="0.25">
      <c r="A22397" s="1" t="str">
        <f t="shared" si="834"/>
        <v>34540</v>
      </c>
      <c r="B22397" s="1" t="str">
        <f>"43843"</f>
        <v>43843</v>
      </c>
      <c r="C22397" s="2">
        <v>8.8656347649153401E-3</v>
      </c>
      <c r="D22397" s="2">
        <v>4.3290043290043203E-3</v>
      </c>
      <c r="E22397" s="2">
        <v>0</v>
      </c>
      <c r="F22397" s="2">
        <v>8.2780369226726196E-3</v>
      </c>
    </row>
    <row r="22398" spans="1:6" x14ac:dyDescent="0.25">
      <c r="A22398" s="1" t="str">
        <f t="shared" si="834"/>
        <v>34540</v>
      </c>
      <c r="B22398" s="1" t="str">
        <f>"43037"</f>
        <v>43037</v>
      </c>
      <c r="C22398" s="2">
        <v>2.07107041639415E-3</v>
      </c>
      <c r="D22398" s="2">
        <v>1.0822510822510801E-3</v>
      </c>
      <c r="E22398" s="2">
        <v>9.3283582089552204E-4</v>
      </c>
      <c r="F22398" s="2">
        <v>1.9709611720649099E-3</v>
      </c>
    </row>
    <row r="22399" spans="1:6" x14ac:dyDescent="0.25">
      <c r="A22399" s="1" t="str">
        <f t="shared" si="834"/>
        <v>34540</v>
      </c>
      <c r="B22399" s="1" t="str">
        <f>"44813"</f>
        <v>44813</v>
      </c>
      <c r="C22399" s="2">
        <v>3.8877988518276202E-3</v>
      </c>
      <c r="D22399" s="2">
        <v>5.4112554112554102E-4</v>
      </c>
      <c r="E22399" s="2">
        <v>0</v>
      </c>
      <c r="F22399" s="2">
        <v>3.54773010971683E-3</v>
      </c>
    </row>
    <row r="22400" spans="1:6" x14ac:dyDescent="0.25">
      <c r="A22400" s="1" t="str">
        <f t="shared" si="834"/>
        <v>34540</v>
      </c>
      <c r="B22400" s="1" t="str">
        <f>"43006"</f>
        <v>43006</v>
      </c>
      <c r="C22400" s="2">
        <v>1.0537024925514099E-3</v>
      </c>
      <c r="D22400" s="2">
        <v>5.4112554112554102E-4</v>
      </c>
      <c r="E22400" s="2">
        <v>0</v>
      </c>
      <c r="F22400" s="2">
        <v>9.8548058603245493E-4</v>
      </c>
    </row>
    <row r="22401" spans="1:6" x14ac:dyDescent="0.25">
      <c r="A22401" s="1" t="str">
        <f t="shared" si="834"/>
        <v>34540</v>
      </c>
      <c r="B22401" s="1" t="str">
        <f>"43005"</f>
        <v>43005</v>
      </c>
      <c r="C22401" s="2">
        <v>0</v>
      </c>
      <c r="D22401" s="2">
        <v>5.4112554112554102E-4</v>
      </c>
      <c r="E22401" s="2">
        <v>0</v>
      </c>
      <c r="F22401" s="2">
        <v>3.28493528677485E-5</v>
      </c>
    </row>
    <row r="22402" spans="1:6" x14ac:dyDescent="0.25">
      <c r="A22402" s="1" t="str">
        <f t="shared" si="834"/>
        <v>34540</v>
      </c>
      <c r="B22402" s="1" t="str">
        <f>"43022"</f>
        <v>43022</v>
      </c>
      <c r="C22402" s="2">
        <v>9.1563113145846906E-2</v>
      </c>
      <c r="D22402" s="2">
        <v>8.8744588744588696E-2</v>
      </c>
      <c r="E22402" s="2">
        <v>2.2388059701492501E-2</v>
      </c>
      <c r="F22402" s="2">
        <v>8.8956047565862895E-2</v>
      </c>
    </row>
    <row r="22403" spans="1:6" x14ac:dyDescent="0.25">
      <c r="A22403" s="1" t="str">
        <f t="shared" si="834"/>
        <v>34540</v>
      </c>
      <c r="B22403" s="1" t="str">
        <f>"44842"</f>
        <v>44842</v>
      </c>
      <c r="C22403" s="2">
        <v>6.5402223675604899E-4</v>
      </c>
      <c r="D22403" s="2">
        <v>5.4112554112554102E-4</v>
      </c>
      <c r="E22403" s="2">
        <v>0</v>
      </c>
      <c r="F22403" s="2">
        <v>6.2413770448722103E-4</v>
      </c>
    </row>
    <row r="22404" spans="1:6" x14ac:dyDescent="0.25">
      <c r="A22404" s="1" t="str">
        <f t="shared" si="834"/>
        <v>34540</v>
      </c>
      <c r="B22404" s="1" t="str">
        <f>"43080"</f>
        <v>43080</v>
      </c>
      <c r="C22404" s="2">
        <v>1.8748637453673399E-2</v>
      </c>
      <c r="D22404" s="2">
        <v>4.3290043290043203E-3</v>
      </c>
      <c r="E22404" s="2">
        <v>0</v>
      </c>
      <c r="F22404" s="2">
        <v>1.7213060902700202E-2</v>
      </c>
    </row>
    <row r="22405" spans="1:6" x14ac:dyDescent="0.25">
      <c r="A22405" s="1" t="str">
        <f t="shared" ref="A22405:A22421" si="835">"34580"</f>
        <v>34580</v>
      </c>
      <c r="B22405" s="1" t="str">
        <f>"98229"</f>
        <v>98229</v>
      </c>
      <c r="C22405" s="2">
        <v>3.3575730989218598E-3</v>
      </c>
      <c r="D22405" s="2">
        <v>1.5770383220312201E-3</v>
      </c>
      <c r="E22405" s="2">
        <v>1.39713587146349E-3</v>
      </c>
      <c r="F22405" s="2">
        <v>3.1107151724037202E-3</v>
      </c>
    </row>
    <row r="22406" spans="1:6" x14ac:dyDescent="0.25">
      <c r="A22406" s="1" t="str">
        <f t="shared" si="835"/>
        <v>34580</v>
      </c>
      <c r="B22406" s="1" t="str">
        <f>"98235"</f>
        <v>98235</v>
      </c>
      <c r="C22406" s="2">
        <v>0</v>
      </c>
      <c r="D22406" s="2">
        <v>1.5770383220312201E-4</v>
      </c>
      <c r="E22406" s="2">
        <v>2.61962975899406E-2</v>
      </c>
      <c r="F22406" s="2">
        <v>1.10992654038818E-3</v>
      </c>
    </row>
    <row r="22407" spans="1:6" x14ac:dyDescent="0.25">
      <c r="A22407" s="1" t="str">
        <f t="shared" si="835"/>
        <v>34580</v>
      </c>
      <c r="B22407" s="1" t="str">
        <f>"98283"</f>
        <v>98283</v>
      </c>
      <c r="C22407" s="2">
        <v>3.81312321787106E-3</v>
      </c>
      <c r="D22407" s="2">
        <v>9.4622299321873505E-4</v>
      </c>
      <c r="E22407" s="2">
        <v>1.39713587146349E-3</v>
      </c>
      <c r="F22407" s="2">
        <v>3.44661399383698E-3</v>
      </c>
    </row>
    <row r="22408" spans="1:6" x14ac:dyDescent="0.25">
      <c r="A22408" s="1" t="str">
        <f t="shared" si="835"/>
        <v>34580</v>
      </c>
      <c r="B22408" s="1" t="str">
        <f>"98232"</f>
        <v>98232</v>
      </c>
      <c r="C22408" s="2">
        <v>3.5465420371526397E-2</v>
      </c>
      <c r="D22408" s="2">
        <v>2.4128686327077702E-2</v>
      </c>
      <c r="E22408" s="2">
        <v>5.2392595179881199E-3</v>
      </c>
      <c r="F22408" s="2">
        <v>3.3151753245804903E-2</v>
      </c>
    </row>
    <row r="22409" spans="1:6" x14ac:dyDescent="0.25">
      <c r="A22409" s="1" t="str">
        <f t="shared" si="835"/>
        <v>34580</v>
      </c>
      <c r="B22409" s="1" t="str">
        <f>"98241"</f>
        <v>98241</v>
      </c>
      <c r="C22409" s="2">
        <v>2.1765172349795E-3</v>
      </c>
      <c r="D22409" s="2">
        <v>4.7311149660936698E-4</v>
      </c>
      <c r="E22409" s="2">
        <v>0</v>
      </c>
      <c r="F22409" s="2">
        <v>1.9277671490952599E-3</v>
      </c>
    </row>
    <row r="22410" spans="1:6" x14ac:dyDescent="0.25">
      <c r="A22410" s="1" t="str">
        <f t="shared" si="835"/>
        <v>34580</v>
      </c>
      <c r="B22410" s="1" t="str">
        <f>"98221"</f>
        <v>98221</v>
      </c>
      <c r="C22410" s="2">
        <v>0.218613440415731</v>
      </c>
      <c r="D22410" s="2">
        <v>0.21747358460810501</v>
      </c>
      <c r="E22410" s="2">
        <v>0.142507858889276</v>
      </c>
      <c r="F22410" s="2">
        <v>0.215325748835307</v>
      </c>
    </row>
    <row r="22411" spans="1:6" x14ac:dyDescent="0.25">
      <c r="A22411" s="1" t="str">
        <f t="shared" si="835"/>
        <v>34580</v>
      </c>
      <c r="B22411" s="1" t="str">
        <f>"98237"</f>
        <v>98237</v>
      </c>
      <c r="C22411" s="2">
        <v>3.3626347669101803E-2</v>
      </c>
      <c r="D22411" s="2">
        <v>8.3583031067654898E-3</v>
      </c>
      <c r="E22411" s="2">
        <v>5.0646175340551797E-2</v>
      </c>
      <c r="F22411" s="2">
        <v>3.19980138156645E-2</v>
      </c>
    </row>
    <row r="22412" spans="1:6" x14ac:dyDescent="0.25">
      <c r="A22412" s="1" t="str">
        <f t="shared" si="835"/>
        <v>34580</v>
      </c>
      <c r="B22412" s="1" t="str">
        <f>"98255"</f>
        <v>98255</v>
      </c>
      <c r="C22412" s="2">
        <v>8.4361133138740295E-5</v>
      </c>
      <c r="D22412" s="2">
        <v>1.5770383220312201E-4</v>
      </c>
      <c r="E22412" s="2">
        <v>0</v>
      </c>
      <c r="F22412" s="2">
        <v>8.7625779504330105E-5</v>
      </c>
    </row>
    <row r="22413" spans="1:6" x14ac:dyDescent="0.25">
      <c r="A22413" s="1" t="str">
        <f t="shared" si="835"/>
        <v>34580</v>
      </c>
      <c r="B22413" s="1" t="str">
        <f>"98292"</f>
        <v>98292</v>
      </c>
      <c r="C22413" s="2">
        <v>4.72422345576945E-4</v>
      </c>
      <c r="D22413" s="2">
        <v>0</v>
      </c>
      <c r="E22413" s="2">
        <v>0</v>
      </c>
      <c r="F22413" s="2">
        <v>4.0892030435353999E-4</v>
      </c>
    </row>
    <row r="22414" spans="1:6" x14ac:dyDescent="0.25">
      <c r="A22414" s="1" t="str">
        <f t="shared" si="835"/>
        <v>34580</v>
      </c>
      <c r="B22414" s="1" t="str">
        <f>"98267"</f>
        <v>98267</v>
      </c>
      <c r="C22414" s="2">
        <v>4.3699066965867403E-3</v>
      </c>
      <c r="D22414" s="2">
        <v>7.8851916101561198E-4</v>
      </c>
      <c r="E22414" s="2">
        <v>0</v>
      </c>
      <c r="F22414" s="2">
        <v>3.8555342981905199E-3</v>
      </c>
    </row>
    <row r="22415" spans="1:6" x14ac:dyDescent="0.25">
      <c r="A22415" s="1" t="str">
        <f t="shared" si="835"/>
        <v>34580</v>
      </c>
      <c r="B22415" s="1" t="str">
        <f>"98238"</f>
        <v>98238</v>
      </c>
      <c r="C22415" s="2">
        <v>0</v>
      </c>
      <c r="D22415" s="2">
        <v>1.5770383220312201E-4</v>
      </c>
      <c r="E22415" s="2">
        <v>1.1875654907439699E-2</v>
      </c>
      <c r="F22415" s="2">
        <v>5.1115038044192605E-4</v>
      </c>
    </row>
    <row r="22416" spans="1:6" x14ac:dyDescent="0.25">
      <c r="A22416" s="1" t="str">
        <f t="shared" si="835"/>
        <v>34580</v>
      </c>
      <c r="B22416" s="1" t="str">
        <f>"98263"</f>
        <v>98263</v>
      </c>
      <c r="C22416" s="2">
        <v>0</v>
      </c>
      <c r="D22416" s="2">
        <v>1.5770383220312201E-4</v>
      </c>
      <c r="E22416" s="2">
        <v>0</v>
      </c>
      <c r="F22416" s="2">
        <v>1.4604296584055E-5</v>
      </c>
    </row>
    <row r="22417" spans="1:6" x14ac:dyDescent="0.25">
      <c r="A22417" s="1" t="str">
        <f t="shared" si="835"/>
        <v>34580</v>
      </c>
      <c r="B22417" s="1" t="str">
        <f>"98257"</f>
        <v>98257</v>
      </c>
      <c r="C22417" s="2">
        <v>3.8316826671615803E-2</v>
      </c>
      <c r="D22417" s="2">
        <v>5.04652263049992E-3</v>
      </c>
      <c r="E22417" s="2">
        <v>7.0904645476772596E-2</v>
      </c>
      <c r="F22417" s="2">
        <v>3.6598367239641903E-2</v>
      </c>
    </row>
    <row r="22418" spans="1:6" x14ac:dyDescent="0.25">
      <c r="A22418" s="1" t="str">
        <f t="shared" si="835"/>
        <v>34580</v>
      </c>
      <c r="B22418" s="1" t="str">
        <f>"98233"</f>
        <v>98233</v>
      </c>
      <c r="C22418" s="2">
        <v>0.120956992694325</v>
      </c>
      <c r="D22418" s="2">
        <v>0.23355937549282399</v>
      </c>
      <c r="E22418" s="2">
        <v>0.123297240656653</v>
      </c>
      <c r="F22418" s="2">
        <v>0.131482482146247</v>
      </c>
    </row>
    <row r="22419" spans="1:6" x14ac:dyDescent="0.25">
      <c r="A22419" s="1" t="str">
        <f t="shared" si="835"/>
        <v>34580</v>
      </c>
      <c r="B22419" s="1" t="str">
        <f>"98273"</f>
        <v>98273</v>
      </c>
      <c r="C22419" s="2">
        <v>0.227589464981693</v>
      </c>
      <c r="D22419" s="2">
        <v>0.34978709982652501</v>
      </c>
      <c r="E22419" s="2">
        <v>0.382815228780998</v>
      </c>
      <c r="F22419" s="2">
        <v>0.24539599550187599</v>
      </c>
    </row>
    <row r="22420" spans="1:6" x14ac:dyDescent="0.25">
      <c r="A22420" s="1" t="str">
        <f t="shared" si="835"/>
        <v>34580</v>
      </c>
      <c r="B22420" s="1" t="str">
        <f>"98284"</f>
        <v>98284</v>
      </c>
      <c r="C22420" s="2">
        <v>0.17609542931380601</v>
      </c>
      <c r="D22420" s="2">
        <v>0.12206276612521599</v>
      </c>
      <c r="E22420" s="2">
        <v>0.101990918616835</v>
      </c>
      <c r="F22420" s="2">
        <v>0.167993223606384</v>
      </c>
    </row>
    <row r="22421" spans="1:6" x14ac:dyDescent="0.25">
      <c r="A22421" s="1" t="str">
        <f t="shared" si="835"/>
        <v>34580</v>
      </c>
      <c r="B22421" s="1" t="str">
        <f>"98274"</f>
        <v>98274</v>
      </c>
      <c r="C22421" s="2">
        <v>0.135062174155123</v>
      </c>
      <c r="D22421" s="2">
        <v>3.5167954581296297E-2</v>
      </c>
      <c r="E22421" s="2">
        <v>8.17324484806147E-2</v>
      </c>
      <c r="F22421" s="2">
        <v>0.12358155769427299</v>
      </c>
    </row>
    <row r="22422" spans="1:6" x14ac:dyDescent="0.25">
      <c r="A22422" s="1" t="str">
        <f t="shared" ref="A22422:A22445" si="836">"34620"</f>
        <v>34620</v>
      </c>
      <c r="B22422" s="1" t="str">
        <f>"47338"</f>
        <v>47338</v>
      </c>
      <c r="C22422" s="2">
        <v>2.0051306214334302E-2</v>
      </c>
      <c r="D22422" s="2">
        <v>4.7131147540983602E-3</v>
      </c>
      <c r="E22422" s="2">
        <v>6.9188191881918801E-3</v>
      </c>
      <c r="F22422" s="2">
        <v>1.8445711799350398E-2</v>
      </c>
    </row>
    <row r="22423" spans="1:6" x14ac:dyDescent="0.25">
      <c r="A22423" s="1" t="str">
        <f t="shared" si="836"/>
        <v>34620</v>
      </c>
      <c r="B22423" s="1" t="str">
        <f>"47303"</f>
        <v>47303</v>
      </c>
      <c r="C22423" s="2">
        <v>0.21754532921487499</v>
      </c>
      <c r="D22423" s="2">
        <v>0.257377049180327</v>
      </c>
      <c r="E22423" s="2">
        <v>0.26614391143911398</v>
      </c>
      <c r="F22423" s="2">
        <v>0.22220322916504701</v>
      </c>
    </row>
    <row r="22424" spans="1:6" x14ac:dyDescent="0.25">
      <c r="A22424" s="1" t="str">
        <f t="shared" si="836"/>
        <v>34620</v>
      </c>
      <c r="B22424" s="1" t="str">
        <f>"47308"</f>
        <v>47308</v>
      </c>
      <c r="C22424" s="2">
        <v>1.61248102193602E-2</v>
      </c>
      <c r="D22424" s="2">
        <v>7.0696721311475405E-2</v>
      </c>
      <c r="E22424" s="2">
        <v>4.6125461254612501E-4</v>
      </c>
      <c r="F22424" s="2">
        <v>1.97355130456403E-2</v>
      </c>
    </row>
    <row r="22425" spans="1:6" x14ac:dyDescent="0.25">
      <c r="A22425" s="1" t="str">
        <f t="shared" si="836"/>
        <v>34620</v>
      </c>
      <c r="B22425" s="1" t="str">
        <f>"47396"</f>
        <v>47396</v>
      </c>
      <c r="C22425" s="2">
        <v>5.5616634382144002E-2</v>
      </c>
      <c r="D22425" s="2">
        <v>3.6065573770491799E-2</v>
      </c>
      <c r="E22425" s="2">
        <v>1.5221402214022101E-2</v>
      </c>
      <c r="F22425" s="2">
        <v>5.2773072679523199E-2</v>
      </c>
    </row>
    <row r="22426" spans="1:6" x14ac:dyDescent="0.25">
      <c r="A22426" s="1" t="str">
        <f t="shared" si="836"/>
        <v>34620</v>
      </c>
      <c r="B22426" s="1" t="str">
        <f>"47334"</f>
        <v>47334</v>
      </c>
      <c r="C22426" s="2">
        <v>2.40650576758633E-2</v>
      </c>
      <c r="D22426" s="2">
        <v>3.8729508196721302E-2</v>
      </c>
      <c r="E22426" s="2">
        <v>1.38376383763837E-2</v>
      </c>
      <c r="F22426" s="2">
        <v>2.4832558934593001E-2</v>
      </c>
    </row>
    <row r="22427" spans="1:6" x14ac:dyDescent="0.25">
      <c r="A22427" s="1" t="str">
        <f t="shared" si="836"/>
        <v>34620</v>
      </c>
      <c r="B22427" s="1" t="str">
        <f>"47336"</f>
        <v>47336</v>
      </c>
      <c r="C22427" s="2">
        <v>3.4902186621991798E-3</v>
      </c>
      <c r="D22427" s="2">
        <v>4.0983606557377E-4</v>
      </c>
      <c r="E22427" s="2">
        <v>0</v>
      </c>
      <c r="F22427" s="2">
        <v>3.1390343584404199E-3</v>
      </c>
    </row>
    <row r="22428" spans="1:6" x14ac:dyDescent="0.25">
      <c r="A22428" s="1" t="str">
        <f t="shared" si="836"/>
        <v>34620</v>
      </c>
      <c r="B22428" s="1" t="str">
        <f>"47386"</f>
        <v>47386</v>
      </c>
      <c r="C22428" s="2">
        <v>8.7255466554979604E-5</v>
      </c>
      <c r="D22428" s="2">
        <v>0</v>
      </c>
      <c r="E22428" s="2">
        <v>0</v>
      </c>
      <c r="F22428" s="2">
        <v>7.7698870258426398E-5</v>
      </c>
    </row>
    <row r="22429" spans="1:6" x14ac:dyDescent="0.25">
      <c r="A22429" s="1" t="str">
        <f t="shared" si="836"/>
        <v>34620</v>
      </c>
      <c r="B22429" s="1" t="str">
        <f>"47307"</f>
        <v>47307</v>
      </c>
      <c r="C22429" s="2">
        <v>2.1709160078878902E-2</v>
      </c>
      <c r="D22429" s="2">
        <v>3.8114754098360598E-2</v>
      </c>
      <c r="E22429" s="2">
        <v>9.2250922509225003E-4</v>
      </c>
      <c r="F22429" s="2">
        <v>2.2252956442013298E-2</v>
      </c>
    </row>
    <row r="22430" spans="1:6" x14ac:dyDescent="0.25">
      <c r="A22430" s="1" t="str">
        <f t="shared" si="836"/>
        <v>34620</v>
      </c>
      <c r="B22430" s="1" t="str">
        <f>"47320"</f>
        <v>47320</v>
      </c>
      <c r="C22430" s="2">
        <v>3.3087272917648201E-2</v>
      </c>
      <c r="D22430" s="2">
        <v>2.2950819672131102E-2</v>
      </c>
      <c r="E22430" s="2">
        <v>0.11116236162361599</v>
      </c>
      <c r="F22430" s="2">
        <v>3.49489518422402E-2</v>
      </c>
    </row>
    <row r="22431" spans="1:6" x14ac:dyDescent="0.25">
      <c r="A22431" s="1" t="str">
        <f t="shared" si="836"/>
        <v>34620</v>
      </c>
      <c r="B22431" s="1" t="str">
        <f>"46012"</f>
        <v>46012</v>
      </c>
      <c r="C22431" s="2">
        <v>9.0745685217178795E-4</v>
      </c>
      <c r="D22431" s="2">
        <v>0</v>
      </c>
      <c r="E22431" s="2">
        <v>0</v>
      </c>
      <c r="F22431" s="2">
        <v>8.0806825068763504E-4</v>
      </c>
    </row>
    <row r="22432" spans="1:6" x14ac:dyDescent="0.25">
      <c r="A22432" s="1" t="str">
        <f t="shared" si="836"/>
        <v>34620</v>
      </c>
      <c r="B22432" s="1" t="str">
        <f>"46070"</f>
        <v>46070</v>
      </c>
      <c r="C22432" s="2">
        <v>5.2353279932987799E-5</v>
      </c>
      <c r="D22432" s="2">
        <v>0</v>
      </c>
      <c r="E22432" s="2">
        <v>0</v>
      </c>
      <c r="F22432" s="2">
        <v>4.6619322155055801E-5</v>
      </c>
    </row>
    <row r="22433" spans="1:6" x14ac:dyDescent="0.25">
      <c r="A22433" s="1" t="str">
        <f t="shared" si="836"/>
        <v>34620</v>
      </c>
      <c r="B22433" s="1" t="str">
        <f>"47354"</f>
        <v>47354</v>
      </c>
      <c r="C22433" s="2">
        <v>5.4098389264087298E-4</v>
      </c>
      <c r="D22433" s="2">
        <v>0</v>
      </c>
      <c r="E22433" s="2">
        <v>0</v>
      </c>
      <c r="F22433" s="2">
        <v>4.8173299560224302E-4</v>
      </c>
    </row>
    <row r="22434" spans="1:6" x14ac:dyDescent="0.25">
      <c r="A22434" s="1" t="str">
        <f t="shared" si="836"/>
        <v>34620</v>
      </c>
      <c r="B22434" s="1" t="str">
        <f>"47348"</f>
        <v>47348</v>
      </c>
      <c r="C22434" s="2">
        <v>5.2353279932987799E-5</v>
      </c>
      <c r="D22434" s="2">
        <v>0</v>
      </c>
      <c r="E22434" s="2">
        <v>0</v>
      </c>
      <c r="F22434" s="2">
        <v>4.6619322155055801E-5</v>
      </c>
    </row>
    <row r="22435" spans="1:6" x14ac:dyDescent="0.25">
      <c r="A22435" s="1" t="str">
        <f t="shared" si="836"/>
        <v>34620</v>
      </c>
      <c r="B22435" s="1" t="str">
        <f>"47302"</f>
        <v>47302</v>
      </c>
      <c r="C22435" s="2">
        <v>0.24846866656196001</v>
      </c>
      <c r="D22435" s="2">
        <v>0.190163934426229</v>
      </c>
      <c r="E22435" s="2">
        <v>0.117619926199261</v>
      </c>
      <c r="F22435" s="2">
        <v>0.23963885565103801</v>
      </c>
    </row>
    <row r="22436" spans="1:6" x14ac:dyDescent="0.25">
      <c r="A22436" s="1" t="str">
        <f t="shared" si="836"/>
        <v>34620</v>
      </c>
      <c r="B22436" s="1" t="str">
        <f>"47356"</f>
        <v>47356</v>
      </c>
      <c r="C22436" s="2">
        <v>5.9333717257386101E-4</v>
      </c>
      <c r="D22436" s="2">
        <v>2.04918032786885E-4</v>
      </c>
      <c r="E22436" s="2">
        <v>0</v>
      </c>
      <c r="F22436" s="2">
        <v>5.4389209180898503E-4</v>
      </c>
    </row>
    <row r="22437" spans="1:6" x14ac:dyDescent="0.25">
      <c r="A22437" s="1" t="str">
        <f t="shared" si="836"/>
        <v>34620</v>
      </c>
      <c r="B22437" s="1" t="str">
        <f>"47368"</f>
        <v>47368</v>
      </c>
      <c r="C22437" s="2">
        <v>3.7170828752421301E-3</v>
      </c>
      <c r="D22437" s="2">
        <v>6.1475409836065503E-4</v>
      </c>
      <c r="E22437" s="2">
        <v>2.3062730627306199E-3</v>
      </c>
      <c r="F22437" s="2">
        <v>3.43429006542244E-3</v>
      </c>
    </row>
    <row r="22438" spans="1:6" x14ac:dyDescent="0.25">
      <c r="A22438" s="1" t="str">
        <f t="shared" si="836"/>
        <v>34620</v>
      </c>
      <c r="B22438" s="1" t="str">
        <f>"47383"</f>
        <v>47383</v>
      </c>
      <c r="C22438" s="2">
        <v>1.95626756016264E-2</v>
      </c>
      <c r="D22438" s="2">
        <v>5.1229508196721299E-3</v>
      </c>
      <c r="E22438" s="2">
        <v>5.5350553505535E-3</v>
      </c>
      <c r="F22438" s="2">
        <v>1.7995058351851501E-2</v>
      </c>
    </row>
    <row r="22439" spans="1:6" x14ac:dyDescent="0.25">
      <c r="A22439" s="1" t="str">
        <f t="shared" si="836"/>
        <v>34620</v>
      </c>
      <c r="B22439" s="1" t="str">
        <f>"46017"</f>
        <v>46017</v>
      </c>
      <c r="C22439" s="2">
        <v>3.8392405284191E-4</v>
      </c>
      <c r="D22439" s="2">
        <v>2.04918032786885E-4</v>
      </c>
      <c r="E22439" s="2">
        <v>0</v>
      </c>
      <c r="F22439" s="2">
        <v>3.5741480318876101E-4</v>
      </c>
    </row>
    <row r="22440" spans="1:6" x14ac:dyDescent="0.25">
      <c r="A22440" s="1" t="str">
        <f t="shared" si="836"/>
        <v>34620</v>
      </c>
      <c r="B22440" s="1" t="str">
        <f>"47367"</f>
        <v>47367</v>
      </c>
      <c r="C22440" s="2">
        <v>0</v>
      </c>
      <c r="D22440" s="2">
        <v>2.04918032786885E-4</v>
      </c>
      <c r="E22440" s="2">
        <v>0</v>
      </c>
      <c r="F22440" s="2">
        <v>1.55397740516852E-5</v>
      </c>
    </row>
    <row r="22441" spans="1:6" x14ac:dyDescent="0.25">
      <c r="A22441" s="1" t="str">
        <f t="shared" si="836"/>
        <v>34620</v>
      </c>
      <c r="B22441" s="1" t="str">
        <f>"46001"</f>
        <v>46001</v>
      </c>
      <c r="C22441" s="2">
        <v>9.7726122541577209E-4</v>
      </c>
      <c r="D22441" s="2">
        <v>1.2295081967213101E-3</v>
      </c>
      <c r="E22441" s="2">
        <v>0</v>
      </c>
      <c r="F22441" s="2">
        <v>9.6346599120448702E-4</v>
      </c>
    </row>
    <row r="22442" spans="1:6" x14ac:dyDescent="0.25">
      <c r="A22442" s="1" t="str">
        <f t="shared" si="836"/>
        <v>34620</v>
      </c>
      <c r="B22442" s="1" t="str">
        <f>"47306"</f>
        <v>47306</v>
      </c>
      <c r="C22442" s="2">
        <v>0</v>
      </c>
      <c r="D22442" s="2">
        <v>1.4139344262295E-2</v>
      </c>
      <c r="E22442" s="2">
        <v>4.6125461254612501E-4</v>
      </c>
      <c r="F22442" s="2">
        <v>1.0877841836179701E-3</v>
      </c>
    </row>
    <row r="22443" spans="1:6" x14ac:dyDescent="0.25">
      <c r="A22443" s="1" t="str">
        <f t="shared" si="836"/>
        <v>34620</v>
      </c>
      <c r="B22443" s="1" t="str">
        <f>"47342"</f>
        <v>47342</v>
      </c>
      <c r="C22443" s="2">
        <v>2.0016404027712299E-2</v>
      </c>
      <c r="D22443" s="2">
        <v>4.7131147540983602E-3</v>
      </c>
      <c r="E22443" s="2">
        <v>7.3800738007380002E-3</v>
      </c>
      <c r="F22443" s="2">
        <v>1.8430172025298699E-2</v>
      </c>
    </row>
    <row r="22444" spans="1:6" x14ac:dyDescent="0.25">
      <c r="A22444" s="1" t="str">
        <f t="shared" si="836"/>
        <v>34620</v>
      </c>
      <c r="B22444" s="1" t="str">
        <f>"47304"</f>
        <v>47304</v>
      </c>
      <c r="C22444" s="2">
        <v>0.26061462750641301</v>
      </c>
      <c r="D22444" s="2">
        <v>0.19364754098360601</v>
      </c>
      <c r="E22444" s="2">
        <v>0.26752767527675198</v>
      </c>
      <c r="F22444" s="2">
        <v>0.25576914111668803</v>
      </c>
    </row>
    <row r="22445" spans="1:6" x14ac:dyDescent="0.25">
      <c r="A22445" s="1" t="str">
        <f t="shared" si="836"/>
        <v>34620</v>
      </c>
      <c r="B22445" s="1" t="str">
        <f>"47305"</f>
        <v>47305</v>
      </c>
      <c r="C22445" s="2">
        <v>5.2335828839676801E-2</v>
      </c>
      <c r="D22445" s="2">
        <v>0.12069672131147501</v>
      </c>
      <c r="E22445" s="2">
        <v>0.18450184501844999</v>
      </c>
      <c r="F22445" s="2">
        <v>6.1972618918120899E-2</v>
      </c>
    </row>
    <row r="22446" spans="1:6" x14ac:dyDescent="0.25">
      <c r="A22446" s="1" t="str">
        <f t="shared" ref="A22446:A22455" si="837">"34660"</f>
        <v>34660</v>
      </c>
      <c r="B22446" s="1" t="str">
        <f>"42049"</f>
        <v>42049</v>
      </c>
      <c r="C22446" s="2">
        <v>3.99919915911707E-2</v>
      </c>
      <c r="D22446" s="2">
        <v>2.2616355195809999E-3</v>
      </c>
      <c r="E22446" s="2">
        <v>1.0794896957801701E-2</v>
      </c>
      <c r="F22446" s="2">
        <v>2.8198238035307299E-2</v>
      </c>
    </row>
    <row r="22447" spans="1:6" x14ac:dyDescent="0.25">
      <c r="A22447" s="1" t="str">
        <f t="shared" si="837"/>
        <v>34660</v>
      </c>
      <c r="B22447" s="1" t="str">
        <f>"42071"</f>
        <v>42071</v>
      </c>
      <c r="C22447" s="2">
        <v>0.80564592822463499</v>
      </c>
      <c r="D22447" s="2">
        <v>0.99083442447327597</v>
      </c>
      <c r="E22447" s="2">
        <v>0.93915603532875302</v>
      </c>
      <c r="F22447" s="2">
        <v>0.86319262559951004</v>
      </c>
    </row>
    <row r="22448" spans="1:6" x14ac:dyDescent="0.25">
      <c r="A22448" s="1" t="str">
        <f t="shared" si="837"/>
        <v>34660</v>
      </c>
      <c r="B22448" s="1" t="str">
        <f>"42020"</f>
        <v>42020</v>
      </c>
      <c r="C22448" s="2">
        <v>5.4807547925321498E-2</v>
      </c>
      <c r="D22448" s="2">
        <v>3.6900369003690001E-3</v>
      </c>
      <c r="E22448" s="2">
        <v>5.8881256133464102E-3</v>
      </c>
      <c r="F22448" s="2">
        <v>3.8504711044593298E-2</v>
      </c>
    </row>
    <row r="22449" spans="1:6" x14ac:dyDescent="0.25">
      <c r="A22449" s="1" t="str">
        <f t="shared" si="837"/>
        <v>34660</v>
      </c>
      <c r="B22449" s="1" t="str">
        <f>"42066"</f>
        <v>42066</v>
      </c>
      <c r="C22449" s="2">
        <v>6.5068321737824701E-4</v>
      </c>
      <c r="D22449" s="2">
        <v>0</v>
      </c>
      <c r="E22449" s="2">
        <v>0</v>
      </c>
      <c r="F22449" s="2">
        <v>4.4219191128949898E-4</v>
      </c>
    </row>
    <row r="22450" spans="1:6" x14ac:dyDescent="0.25">
      <c r="A22450" s="1" t="str">
        <f t="shared" si="837"/>
        <v>34660</v>
      </c>
      <c r="B22450" s="1" t="str">
        <f>"42025"</f>
        <v>42025</v>
      </c>
      <c r="C22450" s="2">
        <v>2.8029430902447501E-3</v>
      </c>
      <c r="D22450" s="2">
        <v>3.5710034519700001E-4</v>
      </c>
      <c r="E22450" s="2">
        <v>0</v>
      </c>
      <c r="F22450" s="2">
        <v>2.0068709820061899E-3</v>
      </c>
    </row>
    <row r="22451" spans="1:6" x14ac:dyDescent="0.25">
      <c r="A22451" s="1" t="str">
        <f t="shared" si="837"/>
        <v>34660</v>
      </c>
      <c r="B22451" s="1" t="str">
        <f>"42048"</f>
        <v>42048</v>
      </c>
      <c r="C22451" s="2">
        <v>1.3013664347564899E-3</v>
      </c>
      <c r="D22451" s="2">
        <v>0</v>
      </c>
      <c r="E22451" s="2">
        <v>0</v>
      </c>
      <c r="F22451" s="2">
        <v>8.8438382257899904E-4</v>
      </c>
    </row>
    <row r="22452" spans="1:6" x14ac:dyDescent="0.25">
      <c r="A22452" s="1" t="str">
        <f t="shared" si="837"/>
        <v>34660</v>
      </c>
      <c r="B22452" s="1" t="str">
        <f>"42040"</f>
        <v>42040</v>
      </c>
      <c r="C22452" s="2">
        <v>8.8593022673807403E-3</v>
      </c>
      <c r="D22452" s="2">
        <v>4.7613379359600001E-4</v>
      </c>
      <c r="E22452" s="2">
        <v>1.9627085377821301E-3</v>
      </c>
      <c r="F22452" s="2">
        <v>6.2247015204598697E-3</v>
      </c>
    </row>
    <row r="22453" spans="1:6" x14ac:dyDescent="0.25">
      <c r="A22453" s="1" t="str">
        <f t="shared" si="837"/>
        <v>34660</v>
      </c>
      <c r="B22453" s="1" t="str">
        <f>"42036"</f>
        <v>42036</v>
      </c>
      <c r="C22453" s="2">
        <v>2.9330797337204E-2</v>
      </c>
      <c r="D22453" s="2">
        <v>9.5226758719200002E-4</v>
      </c>
      <c r="E22453" s="2">
        <v>2.0608439646712402E-2</v>
      </c>
      <c r="F22453" s="2">
        <v>2.0919078880234001E-2</v>
      </c>
    </row>
    <row r="22454" spans="1:6" x14ac:dyDescent="0.25">
      <c r="A22454" s="1" t="str">
        <f t="shared" si="837"/>
        <v>34660</v>
      </c>
      <c r="B22454" s="1" t="str">
        <f>"42076"</f>
        <v>42076</v>
      </c>
      <c r="C22454" s="2">
        <v>3.7639521497572402E-2</v>
      </c>
      <c r="D22454" s="2">
        <v>1.071301035591E-3</v>
      </c>
      <c r="E22454" s="2">
        <v>2.9440628066731999E-3</v>
      </c>
      <c r="F22454" s="2">
        <v>2.5987278478859802E-2</v>
      </c>
    </row>
    <row r="22455" spans="1:6" x14ac:dyDescent="0.25">
      <c r="A22455" s="1" t="str">
        <f t="shared" si="837"/>
        <v>34660</v>
      </c>
      <c r="B22455" s="1" t="str">
        <f>"42054"</f>
        <v>42054</v>
      </c>
      <c r="C22455" s="2">
        <v>1.8969918414334999E-2</v>
      </c>
      <c r="D22455" s="2">
        <v>3.5710034519700001E-4</v>
      </c>
      <c r="E22455" s="2">
        <v>1.8645731108930301E-2</v>
      </c>
      <c r="F22455" s="2">
        <v>1.3639919725160699E-2</v>
      </c>
    </row>
    <row r="22456" spans="1:6" x14ac:dyDescent="0.25">
      <c r="A22456" s="1" t="str">
        <f t="shared" ref="A22456:A22470" si="838">"34700"</f>
        <v>34700</v>
      </c>
      <c r="B22456" s="1" t="str">
        <f>"52747"</f>
        <v>52747</v>
      </c>
      <c r="C22456" s="2">
        <v>5.2668375670006902E-3</v>
      </c>
      <c r="D22456" s="2">
        <v>5.9276822762299904E-4</v>
      </c>
      <c r="E22456" s="2">
        <v>0</v>
      </c>
      <c r="F22456" s="2">
        <v>4.7891110737691102E-3</v>
      </c>
    </row>
    <row r="22457" spans="1:6" x14ac:dyDescent="0.25">
      <c r="A22457" s="1" t="str">
        <f t="shared" si="838"/>
        <v>34700</v>
      </c>
      <c r="B22457" s="1" t="str">
        <f>"52739"</f>
        <v>52739</v>
      </c>
      <c r="C22457" s="2">
        <v>6.8049405732929303E-3</v>
      </c>
      <c r="D22457" s="2">
        <v>2.3710729104919901E-3</v>
      </c>
      <c r="E22457" s="2">
        <v>0</v>
      </c>
      <c r="F22457" s="2">
        <v>6.3014619391698803E-3</v>
      </c>
    </row>
    <row r="22458" spans="1:6" x14ac:dyDescent="0.25">
      <c r="A22458" s="1" t="str">
        <f t="shared" si="838"/>
        <v>34700</v>
      </c>
      <c r="B22458" s="1" t="str">
        <f>"52755"</f>
        <v>52755</v>
      </c>
      <c r="C22458" s="2">
        <v>9.3218364017711401E-5</v>
      </c>
      <c r="D22458" s="2">
        <v>0</v>
      </c>
      <c r="E22458" s="2">
        <v>0</v>
      </c>
      <c r="F22458" s="2">
        <v>8.4019492522265102E-5</v>
      </c>
    </row>
    <row r="22459" spans="1:6" x14ac:dyDescent="0.25">
      <c r="A22459" s="1" t="str">
        <f t="shared" si="838"/>
        <v>34700</v>
      </c>
      <c r="B22459" s="1" t="str">
        <f>"52766"</f>
        <v>52766</v>
      </c>
      <c r="C22459" s="2">
        <v>1.76648799813563E-2</v>
      </c>
      <c r="D22459" s="2">
        <v>2.3710729104919901E-3</v>
      </c>
      <c r="E22459" s="2">
        <v>3.0211480362537699E-3</v>
      </c>
      <c r="F22459" s="2">
        <v>1.6173752310535999E-2</v>
      </c>
    </row>
    <row r="22460" spans="1:6" x14ac:dyDescent="0.25">
      <c r="A22460" s="1" t="str">
        <f t="shared" si="838"/>
        <v>34700</v>
      </c>
      <c r="B22460" s="1" t="str">
        <f>"52773"</f>
        <v>52773</v>
      </c>
      <c r="C22460" s="2">
        <v>3.2626427406199E-4</v>
      </c>
      <c r="D22460" s="2">
        <v>0</v>
      </c>
      <c r="E22460" s="2">
        <v>0</v>
      </c>
      <c r="F22460" s="2">
        <v>2.9406822382792801E-4</v>
      </c>
    </row>
    <row r="22461" spans="1:6" x14ac:dyDescent="0.25">
      <c r="A22461" s="1" t="str">
        <f t="shared" si="838"/>
        <v>34700</v>
      </c>
      <c r="B22461" s="1" t="str">
        <f>"52769"</f>
        <v>52769</v>
      </c>
      <c r="C22461" s="2">
        <v>5.5464926590538298E-3</v>
      </c>
      <c r="D22461" s="2">
        <v>5.9276822762299904E-4</v>
      </c>
      <c r="E22461" s="2">
        <v>0</v>
      </c>
      <c r="F22461" s="2">
        <v>5.0411695513359004E-3</v>
      </c>
    </row>
    <row r="22462" spans="1:6" x14ac:dyDescent="0.25">
      <c r="A22462" s="1" t="str">
        <f t="shared" si="838"/>
        <v>34700</v>
      </c>
      <c r="B22462" s="1" t="str">
        <f>"52726"</f>
        <v>52726</v>
      </c>
      <c r="C22462" s="2">
        <v>1.1931950594267E-2</v>
      </c>
      <c r="D22462" s="2">
        <v>5.9276822762299904E-4</v>
      </c>
      <c r="E22462" s="2">
        <v>0</v>
      </c>
      <c r="F22462" s="2">
        <v>1.0796504789111001E-2</v>
      </c>
    </row>
    <row r="22463" spans="1:6" x14ac:dyDescent="0.25">
      <c r="A22463" s="1" t="str">
        <f t="shared" si="838"/>
        <v>34700</v>
      </c>
      <c r="B22463" s="1" t="str">
        <f>"52754"</f>
        <v>52754</v>
      </c>
      <c r="C22463" s="2">
        <v>1.0953157772081E-2</v>
      </c>
      <c r="D22463" s="2">
        <v>0</v>
      </c>
      <c r="E22463" s="2">
        <v>1.51057401812688E-3</v>
      </c>
      <c r="F22463" s="2">
        <v>9.9143001176272803E-3</v>
      </c>
    </row>
    <row r="22464" spans="1:6" x14ac:dyDescent="0.25">
      <c r="A22464" s="1" t="str">
        <f t="shared" si="838"/>
        <v>34700</v>
      </c>
      <c r="B22464" s="1" t="str">
        <f>"52749"</f>
        <v>52749</v>
      </c>
      <c r="C22464" s="2">
        <v>1.6825914705196902E-2</v>
      </c>
      <c r="D22464" s="2">
        <v>3.5566093657379899E-3</v>
      </c>
      <c r="E22464" s="2">
        <v>3.0211480362537699E-3</v>
      </c>
      <c r="F22464" s="2">
        <v>1.55015963703579E-2</v>
      </c>
    </row>
    <row r="22465" spans="1:6" x14ac:dyDescent="0.25">
      <c r="A22465" s="1" t="str">
        <f t="shared" si="838"/>
        <v>34700</v>
      </c>
      <c r="B22465" s="1" t="str">
        <f>"52778"</f>
        <v>52778</v>
      </c>
      <c r="C22465" s="2">
        <v>0.115590771381962</v>
      </c>
      <c r="D22465" s="2">
        <v>0.10551274451689301</v>
      </c>
      <c r="E22465" s="2">
        <v>6.6465256797583E-2</v>
      </c>
      <c r="F22465" s="2">
        <v>0.11351033439758</v>
      </c>
    </row>
    <row r="22466" spans="1:6" x14ac:dyDescent="0.25">
      <c r="A22466" s="1" t="str">
        <f t="shared" si="838"/>
        <v>34700</v>
      </c>
      <c r="B22466" s="1" t="str">
        <f>"52761"</f>
        <v>52761</v>
      </c>
      <c r="C22466" s="2">
        <v>0.69391750174784395</v>
      </c>
      <c r="D22466" s="2">
        <v>0.78778897451096597</v>
      </c>
      <c r="E22466" s="2">
        <v>0.77492447129909303</v>
      </c>
      <c r="F22466" s="2">
        <v>0.70282305494874797</v>
      </c>
    </row>
    <row r="22467" spans="1:6" x14ac:dyDescent="0.25">
      <c r="A22467" s="1" t="str">
        <f t="shared" si="838"/>
        <v>34700</v>
      </c>
      <c r="B22467" s="1" t="str">
        <f>"52760"</f>
        <v>52760</v>
      </c>
      <c r="C22467" s="2">
        <v>8.3896527615940301E-3</v>
      </c>
      <c r="D22467" s="2">
        <v>5.9276822762299904E-4</v>
      </c>
      <c r="E22467" s="2">
        <v>0</v>
      </c>
      <c r="F22467" s="2">
        <v>7.6037640732649903E-3</v>
      </c>
    </row>
    <row r="22468" spans="1:6" x14ac:dyDescent="0.25">
      <c r="A22468" s="1" t="str">
        <f t="shared" si="838"/>
        <v>34700</v>
      </c>
      <c r="B22468" s="1" t="str">
        <f>"52720"</f>
        <v>52720</v>
      </c>
      <c r="C22468" s="2">
        <v>1.7012351433232299E-2</v>
      </c>
      <c r="D22468" s="2">
        <v>4.7421458209839897E-3</v>
      </c>
      <c r="E22468" s="2">
        <v>0</v>
      </c>
      <c r="F22468" s="2">
        <v>1.56696353554024E-2</v>
      </c>
    </row>
    <row r="22469" spans="1:6" x14ac:dyDescent="0.25">
      <c r="A22469" s="1" t="str">
        <f t="shared" si="838"/>
        <v>34700</v>
      </c>
      <c r="B22469" s="1" t="str">
        <f>"52776"</f>
        <v>52776</v>
      </c>
      <c r="C22469" s="2">
        <v>8.6226986716383097E-2</v>
      </c>
      <c r="D22469" s="2">
        <v>8.8915234143449901E-2</v>
      </c>
      <c r="E22469" s="2">
        <v>0.15105740181268801</v>
      </c>
      <c r="F22469" s="2">
        <v>8.8220467148378404E-2</v>
      </c>
    </row>
    <row r="22470" spans="1:6" x14ac:dyDescent="0.25">
      <c r="A22470" s="1" t="str">
        <f t="shared" si="838"/>
        <v>34700</v>
      </c>
      <c r="B22470" s="1" t="str">
        <f>"52759"</f>
        <v>52759</v>
      </c>
      <c r="C22470" s="2">
        <v>3.4490794686553201E-3</v>
      </c>
      <c r="D22470" s="2">
        <v>2.3710729104919901E-3</v>
      </c>
      <c r="E22470" s="2">
        <v>0</v>
      </c>
      <c r="F22470" s="2">
        <v>3.27676020836834E-3</v>
      </c>
    </row>
    <row r="22471" spans="1:6" x14ac:dyDescent="0.25">
      <c r="A22471" s="1" t="str">
        <f t="shared" ref="A22471:A22491" si="839">"34740"</f>
        <v>34740</v>
      </c>
      <c r="B22471" s="1" t="str">
        <f>"49457"</f>
        <v>49457</v>
      </c>
      <c r="C22471" s="2">
        <v>5.7571554658933197E-2</v>
      </c>
      <c r="D22471" s="2">
        <v>1.1736334405144599E-2</v>
      </c>
      <c r="E22471" s="2">
        <v>1.40203294777427E-3</v>
      </c>
      <c r="F22471" s="2">
        <v>5.2532726881866401E-2</v>
      </c>
    </row>
    <row r="22472" spans="1:6" x14ac:dyDescent="0.25">
      <c r="A22472" s="1" t="str">
        <f t="shared" si="839"/>
        <v>34740</v>
      </c>
      <c r="B22472" s="1" t="str">
        <f>"49444"</f>
        <v>49444</v>
      </c>
      <c r="C22472" s="2">
        <v>0.16103896103896101</v>
      </c>
      <c r="D22472" s="2">
        <v>0.26430868167202498</v>
      </c>
      <c r="E22472" s="2">
        <v>0.156677181913774</v>
      </c>
      <c r="F22472" s="2">
        <v>0.16816582374438499</v>
      </c>
    </row>
    <row r="22473" spans="1:6" x14ac:dyDescent="0.25">
      <c r="A22473" s="1" t="str">
        <f t="shared" si="839"/>
        <v>34740</v>
      </c>
      <c r="B22473" s="1" t="str">
        <f>"49445"</f>
        <v>49445</v>
      </c>
      <c r="C22473" s="2">
        <v>0.114285714285714</v>
      </c>
      <c r="D22473" s="2">
        <v>7.6848874598070702E-2</v>
      </c>
      <c r="E22473" s="2">
        <v>4.8370136698212399E-2</v>
      </c>
      <c r="F22473" s="2">
        <v>0.10952332462125</v>
      </c>
    </row>
    <row r="22474" spans="1:6" x14ac:dyDescent="0.25">
      <c r="A22474" s="1" t="str">
        <f t="shared" si="839"/>
        <v>34740</v>
      </c>
      <c r="B22474" s="1" t="str">
        <f>"49461"</f>
        <v>49461</v>
      </c>
      <c r="C22474" s="2">
        <v>5.4003278275122898E-2</v>
      </c>
      <c r="D22474" s="2">
        <v>4.8874598070739503E-2</v>
      </c>
      <c r="E22474" s="2">
        <v>4.1710480196284601E-2</v>
      </c>
      <c r="F22474" s="2">
        <v>5.3245533643347699E-2</v>
      </c>
    </row>
    <row r="22475" spans="1:6" x14ac:dyDescent="0.25">
      <c r="A22475" s="1" t="str">
        <f t="shared" si="839"/>
        <v>34740</v>
      </c>
      <c r="B22475" s="1" t="str">
        <f>"49441"</f>
        <v>49441</v>
      </c>
      <c r="C22475" s="2">
        <v>0.21837094943891</v>
      </c>
      <c r="D22475" s="2">
        <v>0.20096463022507999</v>
      </c>
      <c r="E22475" s="2">
        <v>0.40518752190676399</v>
      </c>
      <c r="F22475" s="2">
        <v>0.223176402701877</v>
      </c>
    </row>
    <row r="22476" spans="1:6" x14ac:dyDescent="0.25">
      <c r="A22476" s="1" t="str">
        <f t="shared" si="839"/>
        <v>34740</v>
      </c>
      <c r="B22476" s="1" t="str">
        <f>"49440"</f>
        <v>49440</v>
      </c>
      <c r="C22476" s="2">
        <v>1.33904930021434E-2</v>
      </c>
      <c r="D22476" s="2">
        <v>6.2700964630224995E-2</v>
      </c>
      <c r="E22476" s="2">
        <v>4.8720644935155898E-2</v>
      </c>
      <c r="F22476" s="2">
        <v>1.80011993256621E-2</v>
      </c>
    </row>
    <row r="22477" spans="1:6" x14ac:dyDescent="0.25">
      <c r="A22477" s="1" t="str">
        <f t="shared" si="839"/>
        <v>34740</v>
      </c>
      <c r="B22477" s="1" t="str">
        <f>"49437"</f>
        <v>49437</v>
      </c>
      <c r="C22477" s="2">
        <v>3.6023200100869998E-2</v>
      </c>
      <c r="D22477" s="2">
        <v>2.8456591639871302E-2</v>
      </c>
      <c r="E22477" s="2">
        <v>2.8391167192429002E-2</v>
      </c>
      <c r="F22477" s="2">
        <v>3.5244334317685498E-2</v>
      </c>
    </row>
    <row r="22478" spans="1:6" x14ac:dyDescent="0.25">
      <c r="A22478" s="1" t="str">
        <f t="shared" si="839"/>
        <v>34740</v>
      </c>
      <c r="B22478" s="1" t="str">
        <f>"49415"</f>
        <v>49415</v>
      </c>
      <c r="C22478" s="2">
        <v>3.5304501323918699E-2</v>
      </c>
      <c r="D22478" s="2">
        <v>3.5691318327974203E-2</v>
      </c>
      <c r="E22478" s="2">
        <v>1.36698212407991E-2</v>
      </c>
      <c r="F22478" s="2">
        <v>3.4633357093558699E-2</v>
      </c>
    </row>
    <row r="22479" spans="1:6" x14ac:dyDescent="0.25">
      <c r="A22479" s="1" t="str">
        <f t="shared" si="839"/>
        <v>34740</v>
      </c>
      <c r="B22479" s="1" t="str">
        <f>"49456"</f>
        <v>49456</v>
      </c>
      <c r="C22479" s="2">
        <v>7.38872777707729E-3</v>
      </c>
      <c r="D22479" s="2">
        <v>8.3601286173633407E-3</v>
      </c>
      <c r="E22479" s="2">
        <v>2.80406589554854E-3</v>
      </c>
      <c r="F22479" s="2">
        <v>7.3090979034429598E-3</v>
      </c>
    </row>
    <row r="22480" spans="1:6" x14ac:dyDescent="0.25">
      <c r="A22480" s="1" t="str">
        <f t="shared" si="839"/>
        <v>34740</v>
      </c>
      <c r="B22480" s="1" t="str">
        <f>"49318"</f>
        <v>49318</v>
      </c>
      <c r="C22480" s="2">
        <v>5.0056739377127698E-3</v>
      </c>
      <c r="D22480" s="2">
        <v>2.5723472668810199E-3</v>
      </c>
      <c r="E22480" s="2">
        <v>7.0101647388713596E-4</v>
      </c>
      <c r="F22480" s="2">
        <v>4.6954731113449397E-3</v>
      </c>
    </row>
    <row r="22481" spans="1:6" x14ac:dyDescent="0.25">
      <c r="A22481" s="1" t="str">
        <f t="shared" si="839"/>
        <v>34740</v>
      </c>
      <c r="B22481" s="1" t="str">
        <f>"49412"</f>
        <v>49412</v>
      </c>
      <c r="C22481" s="2">
        <v>3.1521876182070301E-4</v>
      </c>
      <c r="D22481" s="2">
        <v>1.7684887459807001E-3</v>
      </c>
      <c r="E22481" s="2">
        <v>0</v>
      </c>
      <c r="F22481" s="2">
        <v>4.0731814941787401E-4</v>
      </c>
    </row>
    <row r="22482" spans="1:6" x14ac:dyDescent="0.25">
      <c r="A22482" s="1" t="str">
        <f t="shared" si="839"/>
        <v>34740</v>
      </c>
      <c r="B22482" s="1" t="str">
        <f>"49425"</f>
        <v>49425</v>
      </c>
      <c r="C22482" s="2">
        <v>1.5899634346236199E-2</v>
      </c>
      <c r="D22482" s="2">
        <v>7.0739549839228203E-3</v>
      </c>
      <c r="E22482" s="2">
        <v>3.50508236943568E-3</v>
      </c>
      <c r="F22482" s="2">
        <v>1.48784268467918E-2</v>
      </c>
    </row>
    <row r="22483" spans="1:6" x14ac:dyDescent="0.25">
      <c r="A22483" s="1" t="str">
        <f t="shared" si="839"/>
        <v>34740</v>
      </c>
      <c r="B22483" s="1" t="str">
        <f>"49451"</f>
        <v>49451</v>
      </c>
      <c r="C22483" s="2">
        <v>2.9781868616820001E-2</v>
      </c>
      <c r="D22483" s="2">
        <v>1.54340836012861E-2</v>
      </c>
      <c r="E22483" s="2">
        <v>8.7627059235892008E-3</v>
      </c>
      <c r="F22483" s="2">
        <v>2.8093637916793899E-2</v>
      </c>
    </row>
    <row r="22484" spans="1:6" x14ac:dyDescent="0.25">
      <c r="A22484" s="1" t="str">
        <f t="shared" si="839"/>
        <v>34740</v>
      </c>
      <c r="B22484" s="1" t="str">
        <f>"49327"</f>
        <v>49327</v>
      </c>
      <c r="C22484" s="2">
        <v>2.3956625898373401E-4</v>
      </c>
      <c r="D22484" s="2">
        <v>1.6077170418006399E-4</v>
      </c>
      <c r="E22484" s="2">
        <v>0</v>
      </c>
      <c r="F22484" s="2">
        <v>2.26287860787708E-4</v>
      </c>
    </row>
    <row r="22485" spans="1:6" x14ac:dyDescent="0.25">
      <c r="A22485" s="1" t="str">
        <f t="shared" si="839"/>
        <v>34740</v>
      </c>
      <c r="B22485" s="1" t="str">
        <f>"49330"</f>
        <v>49330</v>
      </c>
      <c r="C22485" s="2">
        <v>1.7652250661959301E-4</v>
      </c>
      <c r="D22485" s="2">
        <v>0</v>
      </c>
      <c r="E22485" s="2">
        <v>0</v>
      </c>
      <c r="F22485" s="2">
        <v>1.5840150255139499E-4</v>
      </c>
    </row>
    <row r="22486" spans="1:6" x14ac:dyDescent="0.25">
      <c r="A22486" s="1" t="str">
        <f t="shared" si="839"/>
        <v>34740</v>
      </c>
      <c r="B22486" s="1" t="str">
        <f>"49448"</f>
        <v>49448</v>
      </c>
      <c r="C22486" s="2">
        <v>1.86609506997856E-3</v>
      </c>
      <c r="D22486" s="2">
        <v>3.2154340836012797E-4</v>
      </c>
      <c r="E22486" s="2">
        <v>0</v>
      </c>
      <c r="F22486" s="2">
        <v>1.69715895590781E-3</v>
      </c>
    </row>
    <row r="22487" spans="1:6" x14ac:dyDescent="0.25">
      <c r="A22487" s="1" t="str">
        <f t="shared" si="839"/>
        <v>34740</v>
      </c>
      <c r="B22487" s="1" t="str">
        <f>"49403"</f>
        <v>49403</v>
      </c>
      <c r="C22487" s="2">
        <v>4.9174126844029698E-4</v>
      </c>
      <c r="D22487" s="2">
        <v>0</v>
      </c>
      <c r="E22487" s="2">
        <v>0</v>
      </c>
      <c r="F22487" s="2">
        <v>4.4126132853603001E-4</v>
      </c>
    </row>
    <row r="22488" spans="1:6" x14ac:dyDescent="0.25">
      <c r="A22488" s="1" t="str">
        <f t="shared" si="839"/>
        <v>34740</v>
      </c>
      <c r="B22488" s="1" t="str">
        <f>"49442"</f>
        <v>49442</v>
      </c>
      <c r="C22488" s="2">
        <v>0.22995839112343899</v>
      </c>
      <c r="D22488" s="2">
        <v>0.18842443729903499</v>
      </c>
      <c r="E22488" s="2">
        <v>0.23939712583245701</v>
      </c>
      <c r="F22488" s="2">
        <v>0.22734009934037</v>
      </c>
    </row>
    <row r="22489" spans="1:6" x14ac:dyDescent="0.25">
      <c r="A22489" s="1" t="str">
        <f t="shared" si="839"/>
        <v>34740</v>
      </c>
      <c r="B22489" s="1" t="str">
        <f>"49303"</f>
        <v>49303</v>
      </c>
      <c r="C22489" s="2">
        <v>4.8291514310931701E-3</v>
      </c>
      <c r="D22489" s="2">
        <v>3.5369774919614102E-3</v>
      </c>
      <c r="E22489" s="2">
        <v>0</v>
      </c>
      <c r="F22489" s="2">
        <v>4.5823291809510801E-3</v>
      </c>
    </row>
    <row r="22490" spans="1:6" x14ac:dyDescent="0.25">
      <c r="A22490" s="1" t="str">
        <f t="shared" si="839"/>
        <v>34740</v>
      </c>
      <c r="B22490" s="1" t="str">
        <f>"49443"</f>
        <v>49443</v>
      </c>
      <c r="C22490" s="2">
        <v>1.30374479889042E-2</v>
      </c>
      <c r="D22490" s="2">
        <v>4.2604501607716998E-2</v>
      </c>
      <c r="E22490" s="2">
        <v>7.0101647388713596E-4</v>
      </c>
      <c r="F22490" s="2">
        <v>1.47200253442404E-2</v>
      </c>
    </row>
    <row r="22491" spans="1:6" x14ac:dyDescent="0.25">
      <c r="A22491" s="1" t="str">
        <f t="shared" si="839"/>
        <v>34740</v>
      </c>
      <c r="B22491" s="1" t="str">
        <f>"49404"</f>
        <v>49404</v>
      </c>
      <c r="C22491" s="2">
        <v>1.02130878829907E-3</v>
      </c>
      <c r="D22491" s="2">
        <v>1.6077170418006399E-4</v>
      </c>
      <c r="E22491" s="2">
        <v>0</v>
      </c>
      <c r="F22491" s="2">
        <v>9.27780229229602E-4</v>
      </c>
    </row>
    <row r="22492" spans="1:6" x14ac:dyDescent="0.25">
      <c r="A22492" s="1" t="str">
        <f t="shared" ref="A22492:A22507" si="840">"34780"</f>
        <v>34780</v>
      </c>
      <c r="B22492" s="1" t="str">
        <f>"74434"</f>
        <v>74434</v>
      </c>
      <c r="C22492" s="2">
        <v>7.7227001429091793E-2</v>
      </c>
      <c r="D22492" s="2">
        <v>3.0632135895293702E-2</v>
      </c>
      <c r="E22492" s="2">
        <v>4.07055630936227E-2</v>
      </c>
      <c r="F22492" s="2">
        <v>7.2372860177433398E-2</v>
      </c>
    </row>
    <row r="22493" spans="1:6" x14ac:dyDescent="0.25">
      <c r="A22493" s="1" t="str">
        <f t="shared" si="840"/>
        <v>34780</v>
      </c>
      <c r="B22493" s="1" t="str">
        <f>"74470"</f>
        <v>74470</v>
      </c>
      <c r="C22493" s="2">
        <v>2.8665900748171599E-2</v>
      </c>
      <c r="D22493" s="2">
        <v>2.7847396268448898E-3</v>
      </c>
      <c r="E22493" s="2">
        <v>4.0705563093622697E-3</v>
      </c>
      <c r="F22493" s="2">
        <v>2.58902911408221E-2</v>
      </c>
    </row>
    <row r="22494" spans="1:6" x14ac:dyDescent="0.25">
      <c r="A22494" s="1" t="str">
        <f t="shared" si="840"/>
        <v>34780</v>
      </c>
      <c r="B22494" s="1" t="str">
        <f>"74463"</f>
        <v>74463</v>
      </c>
      <c r="C22494" s="2">
        <v>2.80214083559839E-5</v>
      </c>
      <c r="D22494" s="2">
        <v>0</v>
      </c>
      <c r="E22494" s="2">
        <v>1.35685210312075E-3</v>
      </c>
      <c r="F22494" s="2">
        <v>4.99812570286142E-5</v>
      </c>
    </row>
    <row r="22495" spans="1:6" x14ac:dyDescent="0.25">
      <c r="A22495" s="1" t="str">
        <f t="shared" si="840"/>
        <v>34780</v>
      </c>
      <c r="B22495" s="1" t="str">
        <f>"74435"</f>
        <v>74435</v>
      </c>
      <c r="C22495" s="2">
        <v>3.0543335108022501E-3</v>
      </c>
      <c r="D22495" s="2">
        <v>1.67084377610693E-3</v>
      </c>
      <c r="E22495" s="2">
        <v>0</v>
      </c>
      <c r="F22495" s="2">
        <v>2.8739222791453198E-3</v>
      </c>
    </row>
    <row r="22496" spans="1:6" x14ac:dyDescent="0.25">
      <c r="A22496" s="1" t="str">
        <f t="shared" si="840"/>
        <v>34780</v>
      </c>
      <c r="B22496" s="1" t="str">
        <f>"74403"</f>
        <v>74403</v>
      </c>
      <c r="C22496" s="2">
        <v>0.40348025891781297</v>
      </c>
      <c r="D22496" s="2">
        <v>0.33472570314675498</v>
      </c>
      <c r="E22496" s="2">
        <v>0.59023066485752995</v>
      </c>
      <c r="F22496" s="2">
        <v>0.40074971885542898</v>
      </c>
    </row>
    <row r="22497" spans="1:6" x14ac:dyDescent="0.25">
      <c r="A22497" s="1" t="str">
        <f t="shared" si="840"/>
        <v>34780</v>
      </c>
      <c r="B22497" s="1" t="str">
        <f>"74468"</f>
        <v>74468</v>
      </c>
      <c r="C22497" s="2">
        <v>0</v>
      </c>
      <c r="D22497" s="2">
        <v>0</v>
      </c>
      <c r="E22497" s="2">
        <v>1.35685210312075E-3</v>
      </c>
      <c r="F22497" s="2">
        <v>2.49906285143071E-5</v>
      </c>
    </row>
    <row r="22498" spans="1:6" x14ac:dyDescent="0.25">
      <c r="A22498" s="1" t="str">
        <f t="shared" si="840"/>
        <v>34780</v>
      </c>
      <c r="B22498" s="1" t="str">
        <f>"74436"</f>
        <v>74436</v>
      </c>
      <c r="C22498" s="2">
        <v>5.0970941799534798E-2</v>
      </c>
      <c r="D22498" s="2">
        <v>1.1695906432748499E-2</v>
      </c>
      <c r="E22498" s="2">
        <v>9.4979647218453103E-3</v>
      </c>
      <c r="F22498" s="2">
        <v>4.6682494064725702E-2</v>
      </c>
    </row>
    <row r="22499" spans="1:6" x14ac:dyDescent="0.25">
      <c r="A22499" s="1" t="str">
        <f t="shared" si="840"/>
        <v>34780</v>
      </c>
      <c r="B22499" s="1" t="str">
        <f>"74402"</f>
        <v>74402</v>
      </c>
      <c r="C22499" s="2">
        <v>6.6130523720122097E-2</v>
      </c>
      <c r="D22499" s="2">
        <v>0.145363408521303</v>
      </c>
      <c r="E22499" s="2">
        <v>2.7137042062415099E-3</v>
      </c>
      <c r="F22499" s="2">
        <v>7.2072972635261703E-2</v>
      </c>
    </row>
    <row r="22500" spans="1:6" x14ac:dyDescent="0.25">
      <c r="A22500" s="1" t="str">
        <f t="shared" si="840"/>
        <v>34780</v>
      </c>
      <c r="B22500" s="1" t="str">
        <f>"74469"</f>
        <v>74469</v>
      </c>
      <c r="C22500" s="2">
        <v>1.8774343598509199E-2</v>
      </c>
      <c r="D22500" s="2">
        <v>1.05820105820105E-2</v>
      </c>
      <c r="E22500" s="2">
        <v>9.4979647218453103E-3</v>
      </c>
      <c r="F22500" s="2">
        <v>1.7868299387729599E-2</v>
      </c>
    </row>
    <row r="22501" spans="1:6" x14ac:dyDescent="0.25">
      <c r="A22501" s="1" t="str">
        <f t="shared" si="840"/>
        <v>34780</v>
      </c>
      <c r="B22501" s="1" t="str">
        <f>"74423"</f>
        <v>74423</v>
      </c>
      <c r="C22501" s="2">
        <v>1.5691988679351E-2</v>
      </c>
      <c r="D22501" s="2">
        <v>1.1138958507379501E-3</v>
      </c>
      <c r="E22501" s="2">
        <v>1.35685210312075E-3</v>
      </c>
      <c r="F22501" s="2">
        <v>1.41197051105835E-2</v>
      </c>
    </row>
    <row r="22502" spans="1:6" x14ac:dyDescent="0.25">
      <c r="A22502" s="1" t="str">
        <f t="shared" si="840"/>
        <v>34780</v>
      </c>
      <c r="B22502" s="1" t="str">
        <f>"74455"</f>
        <v>74455</v>
      </c>
      <c r="C22502" s="2">
        <v>5.6323030795527702E-2</v>
      </c>
      <c r="D22502" s="2">
        <v>4.1771094402673296E-3</v>
      </c>
      <c r="E22502" s="2">
        <v>6.78426051560379E-3</v>
      </c>
      <c r="F22502" s="2">
        <v>5.0730975884043399E-2</v>
      </c>
    </row>
    <row r="22503" spans="1:6" x14ac:dyDescent="0.25">
      <c r="A22503" s="1" t="str">
        <f t="shared" si="840"/>
        <v>34780</v>
      </c>
      <c r="B22503" s="1" t="str">
        <f>"74450"</f>
        <v>74450</v>
      </c>
      <c r="C22503" s="2">
        <v>2.2080869784515299E-2</v>
      </c>
      <c r="D22503" s="2">
        <v>1.67084377610693E-3</v>
      </c>
      <c r="E22503" s="2">
        <v>1.35685210312075E-3</v>
      </c>
      <c r="F22503" s="2">
        <v>1.98675496688741E-2</v>
      </c>
    </row>
    <row r="22504" spans="1:6" x14ac:dyDescent="0.25">
      <c r="A22504" s="1" t="str">
        <f t="shared" si="840"/>
        <v>34780</v>
      </c>
      <c r="B22504" s="1" t="str">
        <f>"74428"</f>
        <v>74428</v>
      </c>
      <c r="C22504" s="2">
        <v>1.0171771233222099E-2</v>
      </c>
      <c r="D22504" s="2">
        <v>8.3542188805346695E-4</v>
      </c>
      <c r="E22504" s="2">
        <v>1.35685210312075E-3</v>
      </c>
      <c r="F22504" s="2">
        <v>9.1715606647507098E-3</v>
      </c>
    </row>
    <row r="22505" spans="1:6" x14ac:dyDescent="0.25">
      <c r="A22505" s="1" t="str">
        <f t="shared" si="840"/>
        <v>34780</v>
      </c>
      <c r="B22505" s="1" t="str">
        <f>"74422"</f>
        <v>74422</v>
      </c>
      <c r="C22505" s="2">
        <v>6.8372236388600802E-3</v>
      </c>
      <c r="D22505" s="2">
        <v>5.5694792536897797E-4</v>
      </c>
      <c r="E22505" s="2">
        <v>0</v>
      </c>
      <c r="F22505" s="2">
        <v>6.1476946145195503E-3</v>
      </c>
    </row>
    <row r="22506" spans="1:6" x14ac:dyDescent="0.25">
      <c r="A22506" s="1" t="str">
        <f t="shared" si="840"/>
        <v>34780</v>
      </c>
      <c r="B22506" s="1" t="str">
        <f>"74445"</f>
        <v>74445</v>
      </c>
      <c r="C22506" s="2">
        <v>8.4064225067951906E-5</v>
      </c>
      <c r="D22506" s="2">
        <v>0</v>
      </c>
      <c r="E22506" s="2">
        <v>0</v>
      </c>
      <c r="F22506" s="2">
        <v>7.4971885542921406E-5</v>
      </c>
    </row>
    <row r="22507" spans="1:6" x14ac:dyDescent="0.25">
      <c r="A22507" s="1" t="str">
        <f t="shared" si="840"/>
        <v>34780</v>
      </c>
      <c r="B22507" s="1" t="str">
        <f>"74401"</f>
        <v>74401</v>
      </c>
      <c r="C22507" s="2">
        <v>0.24047972651105401</v>
      </c>
      <c r="D22507" s="2">
        <v>0.45419103313840098</v>
      </c>
      <c r="E22507" s="2">
        <v>0.32971506105834397</v>
      </c>
      <c r="F22507" s="2">
        <v>0.26130201174559498</v>
      </c>
    </row>
    <row r="22508" spans="1:6" x14ac:dyDescent="0.25">
      <c r="A22508" s="1" t="str">
        <f t="shared" ref="A22508:A22544" si="841">"34820"</f>
        <v>34820</v>
      </c>
      <c r="B22508" s="1" t="str">
        <f>"28468"</f>
        <v>28468</v>
      </c>
      <c r="C22508" s="2">
        <v>1.4061290555087201E-2</v>
      </c>
      <c r="D22508" s="2">
        <v>5.5725949285066302E-3</v>
      </c>
      <c r="E22508" s="2">
        <v>2.7471623622306301E-2</v>
      </c>
      <c r="F22508" s="2">
        <v>1.39668745238565E-2</v>
      </c>
    </row>
    <row r="22509" spans="1:6" x14ac:dyDescent="0.25">
      <c r="A22509" s="1" t="str">
        <f t="shared" si="841"/>
        <v>34820</v>
      </c>
      <c r="B22509" s="1" t="str">
        <f>"29527"</f>
        <v>29527</v>
      </c>
      <c r="C22509" s="2">
        <v>3.9632971172317399E-2</v>
      </c>
      <c r="D22509" s="2">
        <v>1.2527538986565201E-2</v>
      </c>
      <c r="E22509" s="2">
        <v>1.8999835499259699E-2</v>
      </c>
      <c r="F22509" s="2">
        <v>3.7154707824271299E-2</v>
      </c>
    </row>
    <row r="22510" spans="1:6" x14ac:dyDescent="0.25">
      <c r="A22510" s="1" t="str">
        <f t="shared" si="841"/>
        <v>34820</v>
      </c>
      <c r="B22510" s="1" t="str">
        <f>"28436"</f>
        <v>28436</v>
      </c>
      <c r="C22510" s="2">
        <v>3.13378438936644E-6</v>
      </c>
      <c r="D22510" s="2">
        <v>0</v>
      </c>
      <c r="E22510" s="2">
        <v>0</v>
      </c>
      <c r="F22510" s="2">
        <v>2.82159081290031E-6</v>
      </c>
    </row>
    <row r="22511" spans="1:6" x14ac:dyDescent="0.25">
      <c r="A22511" s="1" t="str">
        <f t="shared" si="841"/>
        <v>34820</v>
      </c>
      <c r="B22511" s="1" t="str">
        <f>"29526"</f>
        <v>29526</v>
      </c>
      <c r="C22511" s="2">
        <v>7.3938508882711806E-2</v>
      </c>
      <c r="D22511" s="2">
        <v>8.9204717266404498E-2</v>
      </c>
      <c r="E22511" s="2">
        <v>6.6376048692219095E-2</v>
      </c>
      <c r="F22511" s="2">
        <v>7.4676222454219607E-2</v>
      </c>
    </row>
    <row r="22512" spans="1:6" x14ac:dyDescent="0.25">
      <c r="A22512" s="1" t="str">
        <f t="shared" si="841"/>
        <v>34820</v>
      </c>
      <c r="B22512" s="1" t="str">
        <f>"29578"</f>
        <v>29578</v>
      </c>
      <c r="C22512" s="2">
        <v>1.13599684114533E-2</v>
      </c>
      <c r="D22512" s="2">
        <v>3.3392371160741202E-2</v>
      </c>
      <c r="E22512" s="2">
        <v>8.2250370126665502E-5</v>
      </c>
      <c r="F22512" s="2">
        <v>1.2412177985948399E-2</v>
      </c>
    </row>
    <row r="22513" spans="1:6" x14ac:dyDescent="0.25">
      <c r="A22513" s="1" t="str">
        <f t="shared" si="841"/>
        <v>34820</v>
      </c>
      <c r="B22513" s="1" t="str">
        <f>"29576"</f>
        <v>29576</v>
      </c>
      <c r="C22513" s="2">
        <v>4.6652648204498201E-2</v>
      </c>
      <c r="D22513" s="2">
        <v>3.2571601365069702E-2</v>
      </c>
      <c r="E22513" s="2">
        <v>6.2757032406645805E-2</v>
      </c>
      <c r="F22513" s="2">
        <v>4.6285375694816701E-2</v>
      </c>
    </row>
    <row r="22514" spans="1:6" x14ac:dyDescent="0.25">
      <c r="A22514" s="1" t="str">
        <f t="shared" si="841"/>
        <v>34820</v>
      </c>
      <c r="B22514" s="1" t="str">
        <f>"29597"</f>
        <v>29597</v>
      </c>
      <c r="C22514" s="2">
        <v>5.6220091945233903E-3</v>
      </c>
      <c r="D22514" s="2">
        <v>1.3348308782236799E-2</v>
      </c>
      <c r="E22514" s="2">
        <v>8.2250370126665502E-5</v>
      </c>
      <c r="F22514" s="2">
        <v>5.9366270703422501E-3</v>
      </c>
    </row>
    <row r="22515" spans="1:6" x14ac:dyDescent="0.25">
      <c r="A22515" s="1" t="str">
        <f t="shared" si="841"/>
        <v>34820</v>
      </c>
      <c r="B22515" s="1" t="str">
        <f>"29588"</f>
        <v>29588</v>
      </c>
      <c r="C22515" s="2">
        <v>7.7962288038658303E-2</v>
      </c>
      <c r="D22515" s="2">
        <v>5.9959393494319398E-2</v>
      </c>
      <c r="E22515" s="2">
        <v>8.9652903438065396E-2</v>
      </c>
      <c r="F22515" s="2">
        <v>7.7187438277700901E-2</v>
      </c>
    </row>
    <row r="22516" spans="1:6" x14ac:dyDescent="0.25">
      <c r="A22516" s="1" t="str">
        <f t="shared" si="841"/>
        <v>34820</v>
      </c>
      <c r="B22516" s="1" t="str">
        <f>"29511"</f>
        <v>29511</v>
      </c>
      <c r="C22516" s="2">
        <v>8.0099528992206206E-3</v>
      </c>
      <c r="D22516" s="2">
        <v>3.3694760032830702E-3</v>
      </c>
      <c r="E22516" s="2">
        <v>4.9350222075999301E-4</v>
      </c>
      <c r="F22516" s="2">
        <v>7.44899974605682E-3</v>
      </c>
    </row>
    <row r="22517" spans="1:6" x14ac:dyDescent="0.25">
      <c r="A22517" s="1" t="str">
        <f t="shared" si="841"/>
        <v>34820</v>
      </c>
      <c r="B22517" s="1" t="str">
        <f>"28420"</f>
        <v>28420</v>
      </c>
      <c r="C22517" s="2">
        <v>5.5029253877274696E-3</v>
      </c>
      <c r="D22517" s="2">
        <v>1.81433323253704E-3</v>
      </c>
      <c r="E22517" s="2">
        <v>0</v>
      </c>
      <c r="F22517" s="2">
        <v>5.0732202815947603E-3</v>
      </c>
    </row>
    <row r="22518" spans="1:6" x14ac:dyDescent="0.25">
      <c r="A22518" s="1" t="str">
        <f t="shared" si="841"/>
        <v>34820</v>
      </c>
      <c r="B22518" s="1" t="str">
        <f>"28451"</f>
        <v>28451</v>
      </c>
      <c r="C22518" s="2">
        <v>6.7743017144934303E-2</v>
      </c>
      <c r="D22518" s="2">
        <v>4.3846386452978503E-2</v>
      </c>
      <c r="E22518" s="2">
        <v>3.1008389537752899E-2</v>
      </c>
      <c r="F22518" s="2">
        <v>6.4921983014023299E-2</v>
      </c>
    </row>
    <row r="22519" spans="1:6" x14ac:dyDescent="0.25">
      <c r="A22519" s="1" t="str">
        <f t="shared" si="841"/>
        <v>34820</v>
      </c>
      <c r="B22519" s="1" t="str">
        <f>"28401"</f>
        <v>28401</v>
      </c>
      <c r="C22519" s="2">
        <v>0</v>
      </c>
      <c r="D22519" s="2">
        <v>2.5919046179100601E-4</v>
      </c>
      <c r="E22519" s="2">
        <v>0</v>
      </c>
      <c r="F22519" s="2">
        <v>1.6929544877401801E-5</v>
      </c>
    </row>
    <row r="22520" spans="1:6" x14ac:dyDescent="0.25">
      <c r="A22520" s="1" t="str">
        <f t="shared" si="841"/>
        <v>34820</v>
      </c>
      <c r="B22520" s="1" t="str">
        <f>"29566"</f>
        <v>29566</v>
      </c>
      <c r="C22520" s="2">
        <v>4.6878280680532597E-2</v>
      </c>
      <c r="D22520" s="2">
        <v>4.0174521577605898E-2</v>
      </c>
      <c r="E22520" s="2">
        <v>6.3250534627405805E-2</v>
      </c>
      <c r="F22520" s="2">
        <v>4.7002059761293402E-2</v>
      </c>
    </row>
    <row r="22521" spans="1:6" x14ac:dyDescent="0.25">
      <c r="A22521" s="1" t="str">
        <f t="shared" si="841"/>
        <v>34820</v>
      </c>
      <c r="B22521" s="1" t="str">
        <f>"29577"</f>
        <v>29577</v>
      </c>
      <c r="C22521" s="2">
        <v>6.7156999464122805E-2</v>
      </c>
      <c r="D22521" s="2">
        <v>0.17866862499460001</v>
      </c>
      <c r="E22521" s="2">
        <v>0.15644020398091699</v>
      </c>
      <c r="F22521" s="2">
        <v>7.7503456448745803E-2</v>
      </c>
    </row>
    <row r="22522" spans="1:6" x14ac:dyDescent="0.25">
      <c r="A22522" s="1" t="str">
        <f t="shared" si="841"/>
        <v>34820</v>
      </c>
      <c r="B22522" s="1" t="str">
        <f>"29572"</f>
        <v>29572</v>
      </c>
      <c r="C22522" s="2">
        <v>3.8272908747332302E-2</v>
      </c>
      <c r="D22522" s="2">
        <v>5.4732385848200699E-2</v>
      </c>
      <c r="E22522" s="2">
        <v>7.8960355321598896E-2</v>
      </c>
      <c r="F22522" s="2">
        <v>4.0743771338280499E-2</v>
      </c>
    </row>
    <row r="22523" spans="1:6" x14ac:dyDescent="0.25">
      <c r="A22523" s="1" t="str">
        <f t="shared" si="841"/>
        <v>34820</v>
      </c>
      <c r="B22523" s="1" t="str">
        <f>"28459"</f>
        <v>28459</v>
      </c>
      <c r="C22523" s="2">
        <v>6.9413324224466702E-3</v>
      </c>
      <c r="D22523" s="2">
        <v>1.4989848373579801E-2</v>
      </c>
      <c r="E22523" s="2">
        <v>8.2250370126665502E-5</v>
      </c>
      <c r="F22523" s="2">
        <v>7.2317372534635004E-3</v>
      </c>
    </row>
    <row r="22524" spans="1:6" x14ac:dyDescent="0.25">
      <c r="A22524" s="1" t="str">
        <f t="shared" si="841"/>
        <v>34820</v>
      </c>
      <c r="B22524" s="1" t="str">
        <f>"28470"</f>
        <v>28470</v>
      </c>
      <c r="C22524" s="2">
        <v>1.8085069711033699E-2</v>
      </c>
      <c r="D22524" s="2">
        <v>2.2679165406713001E-2</v>
      </c>
      <c r="E22524" s="2">
        <v>2.0727093271919701E-2</v>
      </c>
      <c r="F22524" s="2">
        <v>1.84757766428712E-2</v>
      </c>
    </row>
    <row r="22525" spans="1:6" x14ac:dyDescent="0.25">
      <c r="A22525" s="1" t="str">
        <f t="shared" si="841"/>
        <v>34820</v>
      </c>
      <c r="B22525" s="1" t="str">
        <f>"28462"</f>
        <v>28462</v>
      </c>
      <c r="C22525" s="2">
        <v>3.01595409632626E-2</v>
      </c>
      <c r="D22525" s="2">
        <v>1.85321180180569E-2</v>
      </c>
      <c r="E22525" s="2">
        <v>4.8527718374732597E-3</v>
      </c>
      <c r="F22525" s="2">
        <v>2.8531926300047899E-2</v>
      </c>
    </row>
    <row r="22526" spans="1:6" x14ac:dyDescent="0.25">
      <c r="A22526" s="1" t="str">
        <f t="shared" si="841"/>
        <v>34820</v>
      </c>
      <c r="B22526" s="1" t="str">
        <f>"28469"</f>
        <v>28469</v>
      </c>
      <c r="C22526" s="2">
        <v>2.3296553150550101E-2</v>
      </c>
      <c r="D22526" s="2">
        <v>2.8770141258801601E-2</v>
      </c>
      <c r="E22526" s="2">
        <v>9.6232933048198705E-3</v>
      </c>
      <c r="F22526" s="2">
        <v>2.3185011709601799E-2</v>
      </c>
    </row>
    <row r="22527" spans="1:6" x14ac:dyDescent="0.25">
      <c r="A22527" s="1" t="str">
        <f t="shared" si="841"/>
        <v>34820</v>
      </c>
      <c r="B22527" s="1" t="str">
        <f>"29598"</f>
        <v>29598</v>
      </c>
      <c r="C22527" s="2">
        <v>3.4440290439137198E-3</v>
      </c>
      <c r="D22527" s="2">
        <v>4.6222299019395997E-3</v>
      </c>
      <c r="E22527" s="2">
        <v>1.64500740253331E-4</v>
      </c>
      <c r="F22527" s="2">
        <v>3.4084817019835699E-3</v>
      </c>
    </row>
    <row r="22528" spans="1:6" x14ac:dyDescent="0.25">
      <c r="A22528" s="1" t="str">
        <f t="shared" si="841"/>
        <v>34820</v>
      </c>
      <c r="B22528" s="1" t="str">
        <f>"29569"</f>
        <v>29569</v>
      </c>
      <c r="C22528" s="2">
        <v>2.7047693064621701E-2</v>
      </c>
      <c r="D22528" s="2">
        <v>2.3715927253877001E-2</v>
      </c>
      <c r="E22528" s="2">
        <v>3.7835170258266101E-3</v>
      </c>
      <c r="F22528" s="2">
        <v>2.6031996839818199E-2</v>
      </c>
    </row>
    <row r="22529" spans="1:6" x14ac:dyDescent="0.25">
      <c r="A22529" s="1" t="str">
        <f t="shared" si="841"/>
        <v>34820</v>
      </c>
      <c r="B22529" s="1" t="str">
        <f>"29579"</f>
        <v>29579</v>
      </c>
      <c r="C22529" s="2">
        <v>8.4928690736219906E-2</v>
      </c>
      <c r="D22529" s="2">
        <v>5.4775584258499203E-2</v>
      </c>
      <c r="E22529" s="2">
        <v>0.130942589241651</v>
      </c>
      <c r="F22529" s="2">
        <v>8.4537682345306203E-2</v>
      </c>
    </row>
    <row r="22530" spans="1:6" x14ac:dyDescent="0.25">
      <c r="A22530" s="1" t="str">
        <f t="shared" si="841"/>
        <v>34820</v>
      </c>
      <c r="B22530" s="1" t="str">
        <f>"29544"</f>
        <v>29544</v>
      </c>
      <c r="C22530" s="2">
        <v>9.6489221348592703E-3</v>
      </c>
      <c r="D22530" s="2">
        <v>1.9871268737310399E-3</v>
      </c>
      <c r="E22530" s="2">
        <v>1.56275703240664E-3</v>
      </c>
      <c r="F22530" s="2">
        <v>8.8710815157585794E-3</v>
      </c>
    </row>
    <row r="22531" spans="1:6" x14ac:dyDescent="0.25">
      <c r="A22531" s="1" t="str">
        <f t="shared" si="841"/>
        <v>34820</v>
      </c>
      <c r="B22531" s="1" t="str">
        <f>"29528"</f>
        <v>29528</v>
      </c>
      <c r="C22531" s="2">
        <v>5.4026442872677398E-3</v>
      </c>
      <c r="D22531" s="2">
        <v>2.0605641712384899E-2</v>
      </c>
      <c r="E22531" s="2">
        <v>1.64500740253331E-4</v>
      </c>
      <c r="F22531" s="2">
        <v>6.2159645608193797E-3</v>
      </c>
    </row>
    <row r="22532" spans="1:6" x14ac:dyDescent="0.25">
      <c r="A22532" s="1" t="str">
        <f t="shared" si="841"/>
        <v>34820</v>
      </c>
      <c r="B22532" s="1" t="str">
        <f>"29545"</f>
        <v>29545</v>
      </c>
      <c r="C22532" s="2">
        <v>2.9582924635619201E-3</v>
      </c>
      <c r="D22532" s="2">
        <v>1.0367618471640199E-3</v>
      </c>
      <c r="E22532" s="2">
        <v>0</v>
      </c>
      <c r="F22532" s="2">
        <v>2.7312999068875E-3</v>
      </c>
    </row>
    <row r="22533" spans="1:6" x14ac:dyDescent="0.25">
      <c r="A22533" s="1" t="str">
        <f t="shared" si="841"/>
        <v>34820</v>
      </c>
      <c r="B22533" s="1" t="str">
        <f>"28452"</f>
        <v>28452</v>
      </c>
      <c r="C22533" s="2">
        <v>5.5154605252849304E-4</v>
      </c>
      <c r="D22533" s="2">
        <v>1.72793641194004E-4</v>
      </c>
      <c r="E22533" s="2">
        <v>0</v>
      </c>
      <c r="F22533" s="2">
        <v>5.0788634632205603E-4</v>
      </c>
    </row>
    <row r="22534" spans="1:6" x14ac:dyDescent="0.25">
      <c r="A22534" s="1" t="str">
        <f t="shared" si="841"/>
        <v>34820</v>
      </c>
      <c r="B22534" s="1" t="str">
        <f>"29587"</f>
        <v>29587</v>
      </c>
      <c r="C22534" s="2">
        <v>6.4085890762543701E-3</v>
      </c>
      <c r="D22534" s="2">
        <v>1.52490388353708E-2</v>
      </c>
      <c r="E22534" s="2">
        <v>8.2250370126665502E-5</v>
      </c>
      <c r="F22534" s="2">
        <v>6.7689963601478501E-3</v>
      </c>
    </row>
    <row r="22535" spans="1:6" x14ac:dyDescent="0.25">
      <c r="A22535" s="1" t="str">
        <f t="shared" si="841"/>
        <v>34820</v>
      </c>
      <c r="B22535" s="1" t="str">
        <f>"28456"</f>
        <v>28456</v>
      </c>
      <c r="C22535" s="2">
        <v>4.19927108175103E-4</v>
      </c>
      <c r="D22535" s="2">
        <v>1.29595230895503E-4</v>
      </c>
      <c r="E22535" s="2">
        <v>0</v>
      </c>
      <c r="F22535" s="2">
        <v>3.8655794136734198E-4</v>
      </c>
    </row>
    <row r="22536" spans="1:6" x14ac:dyDescent="0.25">
      <c r="A22536" s="1" t="str">
        <f t="shared" si="841"/>
        <v>34820</v>
      </c>
      <c r="B22536" s="1" t="str">
        <f>"28465"</f>
        <v>28465</v>
      </c>
      <c r="C22536" s="2">
        <v>2.95108475946637E-2</v>
      </c>
      <c r="D22536" s="2">
        <v>9.7196423171627203E-3</v>
      </c>
      <c r="E22536" s="2">
        <v>5.5107747984865897E-3</v>
      </c>
      <c r="F22536" s="2">
        <v>2.73948252024491E-2</v>
      </c>
    </row>
    <row r="22537" spans="1:6" x14ac:dyDescent="0.25">
      <c r="A22537" s="1" t="str">
        <f t="shared" si="841"/>
        <v>34820</v>
      </c>
      <c r="B22537" s="1" t="str">
        <f>"28422"</f>
        <v>28422</v>
      </c>
      <c r="C22537" s="2">
        <v>1.48917434182693E-2</v>
      </c>
      <c r="D22537" s="2">
        <v>8.0349043155211793E-3</v>
      </c>
      <c r="E22537" s="2">
        <v>7.3202829412732304E-3</v>
      </c>
      <c r="F22537" s="2">
        <v>1.4184137016449799E-2</v>
      </c>
    </row>
    <row r="22538" spans="1:6" x14ac:dyDescent="0.25">
      <c r="A22538" s="1" t="str">
        <f t="shared" si="841"/>
        <v>34820</v>
      </c>
      <c r="B22538" s="1" t="str">
        <f>"29582"</f>
        <v>29582</v>
      </c>
      <c r="C22538" s="2">
        <v>7.1516093549731499E-2</v>
      </c>
      <c r="D22538" s="2">
        <v>7.4085273661929199E-2</v>
      </c>
      <c r="E22538" s="2">
        <v>8.8912650106925395E-2</v>
      </c>
      <c r="F22538" s="2">
        <v>7.2280691854067297E-2</v>
      </c>
    </row>
    <row r="22539" spans="1:6" x14ac:dyDescent="0.25">
      <c r="A22539" s="1" t="str">
        <f t="shared" si="841"/>
        <v>34820</v>
      </c>
      <c r="B22539" s="1" t="str">
        <f>"29575"</f>
        <v>29575</v>
      </c>
      <c r="C22539" s="2">
        <v>4.3409181361503901E-2</v>
      </c>
      <c r="D22539" s="2">
        <v>3.9958529526113402E-2</v>
      </c>
      <c r="E22539" s="2">
        <v>7.3449580523112304E-2</v>
      </c>
      <c r="F22539" s="2">
        <v>4.4214328038147899E-2</v>
      </c>
    </row>
    <row r="22540" spans="1:6" x14ac:dyDescent="0.25">
      <c r="A22540" s="1" t="str">
        <f t="shared" si="841"/>
        <v>34820</v>
      </c>
      <c r="B22540" s="1" t="str">
        <f>"28479"</f>
        <v>28479</v>
      </c>
      <c r="C22540" s="2">
        <v>1.0366558760024101E-2</v>
      </c>
      <c r="D22540" s="2">
        <v>4.2766426195515999E-3</v>
      </c>
      <c r="E22540" s="2">
        <v>2.2207599934199701E-3</v>
      </c>
      <c r="F22540" s="2">
        <v>9.6893428514996695E-3</v>
      </c>
    </row>
    <row r="22541" spans="1:6" x14ac:dyDescent="0.25">
      <c r="A22541" s="1" t="str">
        <f t="shared" si="841"/>
        <v>34820</v>
      </c>
      <c r="B22541" s="1" t="str">
        <f>"28461"</f>
        <v>28461</v>
      </c>
      <c r="C22541" s="2">
        <v>4.6370607609455203E-2</v>
      </c>
      <c r="D22541" s="2">
        <v>4.9202989329992598E-2</v>
      </c>
      <c r="E22541" s="2">
        <v>3.11728902780062E-2</v>
      </c>
      <c r="F22541" s="2">
        <v>4.6034254112468601E-2</v>
      </c>
    </row>
    <row r="22542" spans="1:6" x14ac:dyDescent="0.25">
      <c r="A22542" s="1" t="str">
        <f t="shared" si="841"/>
        <v>34820</v>
      </c>
      <c r="B22542" s="1" t="str">
        <f>"28467"</f>
        <v>28467</v>
      </c>
      <c r="C22542" s="2">
        <v>2.6204705063882099E-2</v>
      </c>
      <c r="D22542" s="2">
        <v>1.77113482223854E-2</v>
      </c>
      <c r="E22542" s="2">
        <v>1.0692548116466499E-2</v>
      </c>
      <c r="F22542" s="2">
        <v>2.51178014164385E-2</v>
      </c>
    </row>
    <row r="22543" spans="1:6" x14ac:dyDescent="0.25">
      <c r="A22543" s="1" t="str">
        <f t="shared" si="841"/>
        <v>34820</v>
      </c>
      <c r="B22543" s="1" t="str">
        <f>"29581"</f>
        <v>29581</v>
      </c>
      <c r="C22543" s="2">
        <v>5.0422590824905997E-3</v>
      </c>
      <c r="D22543" s="2">
        <v>1.1231586677610201E-3</v>
      </c>
      <c r="E22543" s="2">
        <v>0</v>
      </c>
      <c r="F22543" s="2">
        <v>4.6133009790920096E-3</v>
      </c>
    </row>
    <row r="22544" spans="1:6" x14ac:dyDescent="0.25">
      <c r="A22544" s="1" t="str">
        <f t="shared" si="841"/>
        <v>34820</v>
      </c>
      <c r="B22544" s="1" t="str">
        <f>"29568"</f>
        <v>29568</v>
      </c>
      <c r="C22544" s="2">
        <v>3.0598270777773901E-2</v>
      </c>
      <c r="D22544" s="2">
        <v>1.9180094172534402E-2</v>
      </c>
      <c r="E22544" s="2">
        <v>1.3160059220266401E-2</v>
      </c>
      <c r="F22544" s="2">
        <v>2.9254253548150401E-2</v>
      </c>
    </row>
    <row r="22545" spans="1:6" x14ac:dyDescent="0.25">
      <c r="A22545" s="1" t="str">
        <f t="shared" ref="A22545:A22556" si="842">"34860"</f>
        <v>34860</v>
      </c>
      <c r="B22545" s="1" t="str">
        <f>"75961"</f>
        <v>75961</v>
      </c>
      <c r="C22545" s="2">
        <v>0.24452807004070301</v>
      </c>
      <c r="D22545" s="2">
        <v>0.35316239316239301</v>
      </c>
      <c r="E22545" s="2">
        <v>0.49778024417313999</v>
      </c>
      <c r="F22545" s="2">
        <v>0.262205983101164</v>
      </c>
    </row>
    <row r="22546" spans="1:6" x14ac:dyDescent="0.25">
      <c r="A22546" s="1" t="str">
        <f t="shared" si="842"/>
        <v>34860</v>
      </c>
      <c r="B22546" s="1" t="str">
        <f>"75943"</f>
        <v>75943</v>
      </c>
      <c r="C22546" s="2">
        <v>2.5778870030463599E-2</v>
      </c>
      <c r="D22546" s="2">
        <v>3.7606837606837598E-3</v>
      </c>
      <c r="E22546" s="2">
        <v>1.6648168701442799E-3</v>
      </c>
      <c r="F22546" s="2">
        <v>2.33158255309431E-2</v>
      </c>
    </row>
    <row r="22547" spans="1:6" x14ac:dyDescent="0.25">
      <c r="A22547" s="1" t="str">
        <f t="shared" si="842"/>
        <v>34860</v>
      </c>
      <c r="B22547" s="1" t="str">
        <f>"75937"</f>
        <v>75937</v>
      </c>
      <c r="C22547" s="2">
        <v>1.95581496556844E-2</v>
      </c>
      <c r="D22547" s="2">
        <v>5.8119658119658102E-3</v>
      </c>
      <c r="E22547" s="2">
        <v>2.7746947835737999E-3</v>
      </c>
      <c r="F22547" s="2">
        <v>1.7949303493948299E-2</v>
      </c>
    </row>
    <row r="22548" spans="1:6" x14ac:dyDescent="0.25">
      <c r="A22548" s="1" t="str">
        <f t="shared" si="842"/>
        <v>34860</v>
      </c>
      <c r="B22548" s="1" t="str">
        <f>"75944"</f>
        <v>75944</v>
      </c>
      <c r="C22548" s="2">
        <v>1.53342037221923E-2</v>
      </c>
      <c r="D22548" s="2">
        <v>6.1538461538461504E-3</v>
      </c>
      <c r="E22548" s="2">
        <v>5.5493895671476095E-4</v>
      </c>
      <c r="F22548" s="2">
        <v>1.41128111440968E-2</v>
      </c>
    </row>
    <row r="22549" spans="1:6" x14ac:dyDescent="0.25">
      <c r="A22549" s="1" t="str">
        <f t="shared" si="842"/>
        <v>34860</v>
      </c>
      <c r="B22549" s="1" t="str">
        <f>"75760"</f>
        <v>75760</v>
      </c>
      <c r="C22549" s="2">
        <v>3.1794793026649198E-2</v>
      </c>
      <c r="D22549" s="2">
        <v>4.7863247863247802E-3</v>
      </c>
      <c r="E22549" s="2">
        <v>1.22086570477247E-2</v>
      </c>
      <c r="F22549" s="2">
        <v>2.91847453756565E-2</v>
      </c>
    </row>
    <row r="22550" spans="1:6" x14ac:dyDescent="0.25">
      <c r="A22550" s="1" t="str">
        <f t="shared" si="842"/>
        <v>34860</v>
      </c>
      <c r="B22550" s="1" t="str">
        <f>"75946"</f>
        <v>75946</v>
      </c>
      <c r="C22550" s="2">
        <v>4.5413818703120598E-2</v>
      </c>
      <c r="D22550" s="2">
        <v>1.0256410256410199E-2</v>
      </c>
      <c r="E22550" s="2">
        <v>2.2197558268590399E-2</v>
      </c>
      <c r="F22550" s="2">
        <v>4.2110070792418297E-2</v>
      </c>
    </row>
    <row r="22551" spans="1:6" x14ac:dyDescent="0.25">
      <c r="A22551" s="1" t="str">
        <f t="shared" si="842"/>
        <v>34860</v>
      </c>
      <c r="B22551" s="1" t="str">
        <f>"75788"</f>
        <v>75788</v>
      </c>
      <c r="C22551" s="2">
        <v>0</v>
      </c>
      <c r="D22551" s="2">
        <v>6.83760683760683E-4</v>
      </c>
      <c r="E22551" s="2">
        <v>0</v>
      </c>
      <c r="F22551" s="2">
        <v>4.5672527974423302E-5</v>
      </c>
    </row>
    <row r="22552" spans="1:6" x14ac:dyDescent="0.25">
      <c r="A22552" s="1" t="str">
        <f t="shared" si="842"/>
        <v>34860</v>
      </c>
      <c r="B22552" s="1" t="str">
        <f>"75958"</f>
        <v>75958</v>
      </c>
      <c r="C22552" s="2">
        <v>0</v>
      </c>
      <c r="D22552" s="2">
        <v>0</v>
      </c>
      <c r="E22552" s="2">
        <v>5.5493895671476095E-4</v>
      </c>
      <c r="F22552" s="2">
        <v>2.28362639872116E-5</v>
      </c>
    </row>
    <row r="22553" spans="1:6" x14ac:dyDescent="0.25">
      <c r="A22553" s="1" t="str">
        <f t="shared" si="842"/>
        <v>34860</v>
      </c>
      <c r="B22553" s="1" t="str">
        <f>"75964"</f>
        <v>75964</v>
      </c>
      <c r="C22553" s="2">
        <v>0.28320917492255998</v>
      </c>
      <c r="D22553" s="2">
        <v>0.21641025641025599</v>
      </c>
      <c r="E22553" s="2">
        <v>0.17480577136514899</v>
      </c>
      <c r="F22553" s="2">
        <v>0.27428636675039902</v>
      </c>
    </row>
    <row r="22554" spans="1:6" x14ac:dyDescent="0.25">
      <c r="A22554" s="1" t="str">
        <f t="shared" si="842"/>
        <v>34860</v>
      </c>
      <c r="B22554" s="1" t="str">
        <f>"75963"</f>
        <v>75963</v>
      </c>
      <c r="C22554" s="2">
        <v>7.4111051378542306E-2</v>
      </c>
      <c r="D22554" s="2">
        <v>0.17572649572649501</v>
      </c>
      <c r="E22554" s="2">
        <v>1.10987791342952E-3</v>
      </c>
      <c r="F22554" s="2">
        <v>7.7894496460379006E-2</v>
      </c>
    </row>
    <row r="22555" spans="1:6" x14ac:dyDescent="0.25">
      <c r="A22555" s="1" t="str">
        <f t="shared" si="842"/>
        <v>34860</v>
      </c>
      <c r="B22555" s="1" t="str">
        <f>"75965"</f>
        <v>75965</v>
      </c>
      <c r="C22555" s="2">
        <v>0.26027186852008199</v>
      </c>
      <c r="D22555" s="2">
        <v>0.223247863247863</v>
      </c>
      <c r="E22555" s="2">
        <v>0.28579356270810202</v>
      </c>
      <c r="F22555" s="2">
        <v>0.25884905229504401</v>
      </c>
    </row>
    <row r="22556" spans="1:6" x14ac:dyDescent="0.25">
      <c r="A22556" s="1" t="str">
        <f t="shared" si="842"/>
        <v>34860</v>
      </c>
      <c r="B22556" s="1" t="str">
        <f>"75978"</f>
        <v>75978</v>
      </c>
      <c r="C22556" s="2">
        <v>0</v>
      </c>
      <c r="D22556" s="2">
        <v>0</v>
      </c>
      <c r="E22556" s="2">
        <v>5.5493895671476095E-4</v>
      </c>
      <c r="F22556" s="2">
        <v>2.28362639872116E-5</v>
      </c>
    </row>
    <row r="22557" spans="1:6" x14ac:dyDescent="0.25">
      <c r="A22557" s="1" t="str">
        <f t="shared" ref="A22557:A22572" si="843">"34900"</f>
        <v>34900</v>
      </c>
      <c r="B22557" s="1" t="str">
        <f>"94508"</f>
        <v>94508</v>
      </c>
      <c r="C22557" s="2">
        <v>2.93817066939192E-2</v>
      </c>
      <c r="D22557" s="2">
        <v>1.21967564669615E-2</v>
      </c>
      <c r="E22557" s="2">
        <v>2.2396416573348199E-3</v>
      </c>
      <c r="F22557" s="2">
        <v>2.6923237467128599E-2</v>
      </c>
    </row>
    <row r="22558" spans="1:6" x14ac:dyDescent="0.25">
      <c r="A22558" s="1" t="str">
        <f t="shared" si="843"/>
        <v>34900</v>
      </c>
      <c r="B22558" s="1" t="str">
        <f>"94559"</f>
        <v>94559</v>
      </c>
      <c r="C22558" s="2">
        <v>0.199316555952989</v>
      </c>
      <c r="D22558" s="2">
        <v>0.29473260956976199</v>
      </c>
      <c r="E22558" s="2">
        <v>0.32642777155655001</v>
      </c>
      <c r="F22558" s="2">
        <v>0.21238051508953501</v>
      </c>
    </row>
    <row r="22559" spans="1:6" x14ac:dyDescent="0.25">
      <c r="A22559" s="1" t="str">
        <f t="shared" si="843"/>
        <v>34900</v>
      </c>
      <c r="B22559" s="1" t="str">
        <f>"94573"</f>
        <v>94573</v>
      </c>
      <c r="C22559" s="2">
        <v>6.8025038323965203E-3</v>
      </c>
      <c r="D22559" s="2">
        <v>2.0506634499396801E-2</v>
      </c>
      <c r="E22559" s="2">
        <v>1.11982082866741E-3</v>
      </c>
      <c r="F22559" s="2">
        <v>8.0839281490448101E-3</v>
      </c>
    </row>
    <row r="22560" spans="1:6" x14ac:dyDescent="0.25">
      <c r="A22560" s="1" t="str">
        <f t="shared" si="843"/>
        <v>34900</v>
      </c>
      <c r="B22560" s="1" t="str">
        <f>"94503"</f>
        <v>94503</v>
      </c>
      <c r="C22560" s="2">
        <v>0.10500766479305</v>
      </c>
      <c r="D22560" s="2">
        <v>5.6560782736898498E-2</v>
      </c>
      <c r="E22560" s="2">
        <v>7.0548712206046998E-2</v>
      </c>
      <c r="F22560" s="2">
        <v>9.9122038096033094E-2</v>
      </c>
    </row>
    <row r="22561" spans="1:6" x14ac:dyDescent="0.25">
      <c r="A22561" s="1" t="str">
        <f t="shared" si="843"/>
        <v>34900</v>
      </c>
      <c r="B22561" s="1" t="str">
        <f>"94576"</f>
        <v>94576</v>
      </c>
      <c r="C22561" s="2">
        <v>4.5190342360756199E-3</v>
      </c>
      <c r="D22561" s="2">
        <v>1.7423937809945E-3</v>
      </c>
      <c r="E22561" s="2">
        <v>1.67973124300111E-3</v>
      </c>
      <c r="F22561" s="2">
        <v>4.1602315259283897E-3</v>
      </c>
    </row>
    <row r="22562" spans="1:6" x14ac:dyDescent="0.25">
      <c r="A22562" s="1" t="str">
        <f t="shared" si="843"/>
        <v>34900</v>
      </c>
      <c r="B22562" s="1" t="str">
        <f>"95476"</f>
        <v>95476</v>
      </c>
      <c r="C22562" s="2">
        <v>7.1857434849258996E-4</v>
      </c>
      <c r="D22562" s="2">
        <v>0</v>
      </c>
      <c r="E22562" s="2">
        <v>2.7995520716685299E-3</v>
      </c>
      <c r="F22562" s="2">
        <v>6.9569089062347796E-4</v>
      </c>
    </row>
    <row r="22563" spans="1:6" x14ac:dyDescent="0.25">
      <c r="A22563" s="1" t="str">
        <f t="shared" si="843"/>
        <v>34900</v>
      </c>
      <c r="B22563" s="1" t="str">
        <f>"94515"</f>
        <v>94515</v>
      </c>
      <c r="C22563" s="2">
        <v>5.0619570771589101E-2</v>
      </c>
      <c r="D22563" s="2">
        <v>4.4632086851628401E-2</v>
      </c>
      <c r="E22563" s="2">
        <v>0.102463605823068</v>
      </c>
      <c r="F22563" s="2">
        <v>5.1286332456762798E-2</v>
      </c>
    </row>
    <row r="22564" spans="1:6" x14ac:dyDescent="0.25">
      <c r="A22564" s="1" t="str">
        <f t="shared" si="843"/>
        <v>34900</v>
      </c>
      <c r="B22564" s="1" t="str">
        <f>"94574"</f>
        <v>94574</v>
      </c>
      <c r="C22564" s="2">
        <v>7.7158916709248807E-2</v>
      </c>
      <c r="D22564" s="2">
        <v>0.119689049725237</v>
      </c>
      <c r="E22564" s="2">
        <v>0.11086226203807301</v>
      </c>
      <c r="F22564" s="2">
        <v>8.2411542903257196E-2</v>
      </c>
    </row>
    <row r="22565" spans="1:6" x14ac:dyDescent="0.25">
      <c r="A22565" s="1" t="str">
        <f t="shared" si="843"/>
        <v>34900</v>
      </c>
      <c r="B22565" s="1" t="str">
        <f>"94591"</f>
        <v>94591</v>
      </c>
      <c r="C22565" s="2">
        <v>1.5968318855390899E-5</v>
      </c>
      <c r="D22565" s="2">
        <v>1.3403029084573101E-4</v>
      </c>
      <c r="E22565" s="2">
        <v>0</v>
      </c>
      <c r="F22565" s="2">
        <v>2.7827635624939099E-5</v>
      </c>
    </row>
    <row r="22566" spans="1:6" x14ac:dyDescent="0.25">
      <c r="A22566" s="1" t="str">
        <f t="shared" si="843"/>
        <v>34900</v>
      </c>
      <c r="B22566" s="1" t="str">
        <f>"95461"</f>
        <v>95461</v>
      </c>
      <c r="C22566" s="2">
        <v>3.1936637710781799E-5</v>
      </c>
      <c r="D22566" s="2">
        <v>0</v>
      </c>
      <c r="E22566" s="2">
        <v>0</v>
      </c>
      <c r="F22566" s="2">
        <v>2.7827635624939099E-5</v>
      </c>
    </row>
    <row r="22567" spans="1:6" x14ac:dyDescent="0.25">
      <c r="A22567" s="1" t="str">
        <f t="shared" si="843"/>
        <v>34900</v>
      </c>
      <c r="B22567" s="1" t="str">
        <f>"94558"</f>
        <v>94558</v>
      </c>
      <c r="C22567" s="2">
        <v>0.454186893203883</v>
      </c>
      <c r="D22567" s="2">
        <v>0.33145690926149302</v>
      </c>
      <c r="E22567" s="2">
        <v>0.35834266517357199</v>
      </c>
      <c r="F22567" s="2">
        <v>0.43906443489028901</v>
      </c>
    </row>
    <row r="22568" spans="1:6" x14ac:dyDescent="0.25">
      <c r="A22568" s="1" t="str">
        <f t="shared" si="843"/>
        <v>34900</v>
      </c>
      <c r="B22568" s="1" t="str">
        <f>"94562"</f>
        <v>94562</v>
      </c>
      <c r="C22568" s="2">
        <v>0</v>
      </c>
      <c r="D22568" s="2">
        <v>2.6806058169146201E-4</v>
      </c>
      <c r="E22568" s="2">
        <v>5.5991041433370596E-4</v>
      </c>
      <c r="F22568" s="2">
        <v>4.1741453437408598E-5</v>
      </c>
    </row>
    <row r="22569" spans="1:6" x14ac:dyDescent="0.25">
      <c r="A22569" s="1" t="str">
        <f t="shared" si="843"/>
        <v>34900</v>
      </c>
      <c r="B22569" s="1" t="str">
        <f>"94567"</f>
        <v>94567</v>
      </c>
      <c r="C22569" s="2">
        <v>4.5350025549310098E-3</v>
      </c>
      <c r="D22569" s="2">
        <v>4.0209087253719302E-4</v>
      </c>
      <c r="E22569" s="2">
        <v>1.11982082866741E-3</v>
      </c>
      <c r="F22569" s="2">
        <v>4.0210933478036998E-3</v>
      </c>
    </row>
    <row r="22570" spans="1:6" x14ac:dyDescent="0.25">
      <c r="A22570" s="1" t="str">
        <f t="shared" si="843"/>
        <v>34900</v>
      </c>
      <c r="B22570" s="1" t="str">
        <f>"94581"</f>
        <v>94581</v>
      </c>
      <c r="C22570" s="2">
        <v>2.3441492079713799E-2</v>
      </c>
      <c r="D22570" s="2">
        <v>7.1036054148237507E-2</v>
      </c>
      <c r="E22570" s="2">
        <v>1.11982082866741E-3</v>
      </c>
      <c r="F22570" s="2">
        <v>2.78276356249391E-2</v>
      </c>
    </row>
    <row r="22571" spans="1:6" x14ac:dyDescent="0.25">
      <c r="A22571" s="1" t="str">
        <f t="shared" si="843"/>
        <v>34900</v>
      </c>
      <c r="B22571" s="1" t="str">
        <f>"94534"</f>
        <v>94534</v>
      </c>
      <c r="C22571" s="2">
        <v>1.5968318855390899E-5</v>
      </c>
      <c r="D22571" s="2">
        <v>0</v>
      </c>
      <c r="E22571" s="2">
        <v>0</v>
      </c>
      <c r="F22571" s="2">
        <v>1.3913817812469501E-5</v>
      </c>
    </row>
    <row r="22572" spans="1:6" x14ac:dyDescent="0.25">
      <c r="A22572" s="1" t="str">
        <f t="shared" si="843"/>
        <v>34900</v>
      </c>
      <c r="B22572" s="1" t="str">
        <f>"94599"</f>
        <v>94599</v>
      </c>
      <c r="C22572" s="2">
        <v>4.4248211548288098E-2</v>
      </c>
      <c r="D22572" s="2">
        <v>4.6642541214314402E-2</v>
      </c>
      <c r="E22572" s="2">
        <v>2.0716685330347099E-2</v>
      </c>
      <c r="F22572" s="2">
        <v>4.39120090161539E-2</v>
      </c>
    </row>
    <row r="22573" spans="1:6" x14ac:dyDescent="0.25">
      <c r="A22573" s="1" t="str">
        <f t="shared" ref="A22573:A22598" si="844">"34940"</f>
        <v>34940</v>
      </c>
      <c r="B22573" s="1" t="str">
        <f>"34112"</f>
        <v>34112</v>
      </c>
      <c r="C22573" s="2">
        <v>8.3846535579762599E-2</v>
      </c>
      <c r="D22573" s="2">
        <v>5.6377839449069697E-2</v>
      </c>
      <c r="E22573" s="2">
        <v>0.118574936529737</v>
      </c>
      <c r="F22573" s="2">
        <v>8.4883194447804705E-2</v>
      </c>
    </row>
    <row r="22574" spans="1:6" x14ac:dyDescent="0.25">
      <c r="A22574" s="1" t="str">
        <f t="shared" si="844"/>
        <v>34940</v>
      </c>
      <c r="B22574" s="1" t="str">
        <f>"34108"</f>
        <v>34108</v>
      </c>
      <c r="C22574" s="2">
        <v>6.9390096077968699E-2</v>
      </c>
      <c r="D22574" s="2">
        <v>8.05838215643951E-2</v>
      </c>
      <c r="E22574" s="2">
        <v>6.8464643942231604E-2</v>
      </c>
      <c r="F22574" s="2">
        <v>7.0066049832888E-2</v>
      </c>
    </row>
    <row r="22575" spans="1:6" x14ac:dyDescent="0.25">
      <c r="A22575" s="1" t="str">
        <f t="shared" si="844"/>
        <v>34940</v>
      </c>
      <c r="B22575" s="1" t="str">
        <f>"34119"</f>
        <v>34119</v>
      </c>
      <c r="C22575" s="2">
        <v>7.6370188983167997E-2</v>
      </c>
      <c r="D22575" s="2">
        <v>3.2274642820433699E-2</v>
      </c>
      <c r="E22575" s="2">
        <v>7.2460148999042698E-2</v>
      </c>
      <c r="F22575" s="2">
        <v>7.3079940689945902E-2</v>
      </c>
    </row>
    <row r="22576" spans="1:6" x14ac:dyDescent="0.25">
      <c r="A22576" s="1" t="str">
        <f t="shared" si="844"/>
        <v>34940</v>
      </c>
      <c r="B22576" s="1" t="str">
        <f>"34102"</f>
        <v>34102</v>
      </c>
      <c r="C22576" s="2">
        <v>4.0578908404585001E-2</v>
      </c>
      <c r="D22576" s="2">
        <v>0.11450303217185701</v>
      </c>
      <c r="E22576" s="2">
        <v>3.47109501810463E-2</v>
      </c>
      <c r="F22576" s="2">
        <v>4.5063198387983103E-2</v>
      </c>
    </row>
    <row r="22577" spans="1:6" x14ac:dyDescent="0.25">
      <c r="A22577" s="1" t="str">
        <f t="shared" si="844"/>
        <v>34940</v>
      </c>
      <c r="B22577" s="1" t="str">
        <f>"34138"</f>
        <v>34138</v>
      </c>
      <c r="C22577" s="2">
        <v>0</v>
      </c>
      <c r="D22577" s="2">
        <v>0</v>
      </c>
      <c r="E22577" s="2">
        <v>8.3239688683564298E-5</v>
      </c>
      <c r="F22577" s="2">
        <v>6.9125937088484603E-6</v>
      </c>
    </row>
    <row r="22578" spans="1:6" x14ac:dyDescent="0.25">
      <c r="A22578" s="1" t="str">
        <f t="shared" si="844"/>
        <v>34940</v>
      </c>
      <c r="B22578" s="1" t="str">
        <f>"34139"</f>
        <v>34139</v>
      </c>
      <c r="C22578" s="2">
        <v>0</v>
      </c>
      <c r="D22578" s="2">
        <v>0</v>
      </c>
      <c r="E22578" s="2">
        <v>4.1619844341782102E-5</v>
      </c>
      <c r="F22578" s="2">
        <v>3.4562968544242302E-6</v>
      </c>
    </row>
    <row r="22579" spans="1:6" x14ac:dyDescent="0.25">
      <c r="A22579" s="1" t="str">
        <f t="shared" si="844"/>
        <v>34940</v>
      </c>
      <c r="B22579" s="1" t="str">
        <f>"34110"</f>
        <v>34110</v>
      </c>
      <c r="C22579" s="2">
        <v>6.7531178561840502E-2</v>
      </c>
      <c r="D22579" s="2">
        <v>7.4519477849727594E-2</v>
      </c>
      <c r="E22579" s="2">
        <v>9.0772880509426807E-2</v>
      </c>
      <c r="F22579" s="2">
        <v>6.9931254255565498E-2</v>
      </c>
    </row>
    <row r="22580" spans="1:6" x14ac:dyDescent="0.25">
      <c r="A22580" s="1" t="str">
        <f t="shared" si="844"/>
        <v>34940</v>
      </c>
      <c r="B22580" s="1" t="str">
        <f>"34104"</f>
        <v>34104</v>
      </c>
      <c r="C22580" s="2">
        <v>6.37848699571269E-2</v>
      </c>
      <c r="D22580" s="2">
        <v>0.12534690101757601</v>
      </c>
      <c r="E22580" s="2">
        <v>9.7806634203187998E-2</v>
      </c>
      <c r="F22580" s="2">
        <v>7.0750396610064006E-2</v>
      </c>
    </row>
    <row r="22581" spans="1:6" x14ac:dyDescent="0.25">
      <c r="A22581" s="1" t="str">
        <f t="shared" si="844"/>
        <v>34940</v>
      </c>
      <c r="B22581" s="1" t="str">
        <f>"34105"</f>
        <v>34105</v>
      </c>
      <c r="C22581" s="2">
        <v>4.83033818468772E-2</v>
      </c>
      <c r="D22581" s="2">
        <v>1.8912529550827398E-2</v>
      </c>
      <c r="E22581" s="2">
        <v>6.3054064177799907E-2</v>
      </c>
      <c r="F22581" s="2">
        <v>4.7551732123168503E-2</v>
      </c>
    </row>
    <row r="22582" spans="1:6" x14ac:dyDescent="0.25">
      <c r="A22582" s="1" t="str">
        <f t="shared" si="844"/>
        <v>34940</v>
      </c>
      <c r="B22582" s="1" t="str">
        <f>"34120"</f>
        <v>34120</v>
      </c>
      <c r="C22582" s="2">
        <v>7.0407009380008198E-2</v>
      </c>
      <c r="D22582" s="2">
        <v>7.7603042450405998E-3</v>
      </c>
      <c r="E22582" s="2">
        <v>2.5554584425854201E-2</v>
      </c>
      <c r="F22582" s="2">
        <v>6.2469109346863498E-2</v>
      </c>
    </row>
    <row r="22583" spans="1:6" x14ac:dyDescent="0.25">
      <c r="A22583" s="1" t="str">
        <f t="shared" si="844"/>
        <v>34940</v>
      </c>
      <c r="B22583" s="1" t="str">
        <f>"34114"</f>
        <v>34114</v>
      </c>
      <c r="C22583" s="2">
        <v>7.3034713352478395E-2</v>
      </c>
      <c r="D22583" s="2">
        <v>3.08356460067838E-2</v>
      </c>
      <c r="E22583" s="2">
        <v>5.6270029550089397E-2</v>
      </c>
      <c r="F22583" s="2">
        <v>6.8804501481023198E-2</v>
      </c>
    </row>
    <row r="22584" spans="1:6" x14ac:dyDescent="0.25">
      <c r="A22584" s="1" t="str">
        <f t="shared" si="844"/>
        <v>34940</v>
      </c>
      <c r="B22584" s="1" t="str">
        <f>"34142"</f>
        <v>34142</v>
      </c>
      <c r="C22584" s="2">
        <v>4.3649986576744397E-2</v>
      </c>
      <c r="D22584" s="2">
        <v>3.91098776852708E-2</v>
      </c>
      <c r="E22584" s="2">
        <v>2.7302617888209001E-2</v>
      </c>
      <c r="F22584" s="2">
        <v>4.1987094187545503E-2</v>
      </c>
    </row>
    <row r="22585" spans="1:6" x14ac:dyDescent="0.25">
      <c r="A22585" s="1" t="str">
        <f t="shared" si="844"/>
        <v>34940</v>
      </c>
      <c r="B22585" s="1" t="str">
        <f>"34134"</f>
        <v>34134</v>
      </c>
      <c r="C22585" s="2">
        <v>6.43095972209793E-3</v>
      </c>
      <c r="D22585" s="2">
        <v>3.9572412375372496E-3</v>
      </c>
      <c r="E22585" s="2">
        <v>3.7457859907603901E-3</v>
      </c>
      <c r="F22585" s="2">
        <v>6.0416069015335498E-3</v>
      </c>
    </row>
    <row r="22586" spans="1:6" x14ac:dyDescent="0.25">
      <c r="A22586" s="1" t="str">
        <f t="shared" si="844"/>
        <v>34940</v>
      </c>
      <c r="B22586" s="1" t="str">
        <f>"34145"</f>
        <v>34145</v>
      </c>
      <c r="C22586" s="2">
        <v>7.6931525125893796E-2</v>
      </c>
      <c r="D22586" s="2">
        <v>5.9821153253160599E-2</v>
      </c>
      <c r="E22586" s="2">
        <v>3.6833562242477198E-2</v>
      </c>
      <c r="F22586" s="2">
        <v>7.2450894662440701E-2</v>
      </c>
    </row>
    <row r="22587" spans="1:6" x14ac:dyDescent="0.25">
      <c r="A22587" s="1" t="str">
        <f t="shared" si="844"/>
        <v>34940</v>
      </c>
      <c r="B22587" s="1" t="str">
        <f>"34116"</f>
        <v>34116</v>
      </c>
      <c r="C22587" s="2">
        <v>4.7160371295384799E-2</v>
      </c>
      <c r="D22587" s="2">
        <v>4.4506115736457998E-2</v>
      </c>
      <c r="E22587" s="2">
        <v>9.1147459108502901E-2</v>
      </c>
      <c r="F22587" s="2">
        <v>5.0634748917315002E-2</v>
      </c>
    </row>
    <row r="22588" spans="1:6" x14ac:dyDescent="0.25">
      <c r="A22588" s="1" t="str">
        <f t="shared" si="844"/>
        <v>34940</v>
      </c>
      <c r="B22588" s="1" t="str">
        <f>"34113"</f>
        <v>34113</v>
      </c>
      <c r="C22588" s="2">
        <v>6.8507415331798396E-2</v>
      </c>
      <c r="D22588" s="2">
        <v>2.5799157159009101E-2</v>
      </c>
      <c r="E22588" s="2">
        <v>6.9255420984725494E-2</v>
      </c>
      <c r="F22588" s="2">
        <v>6.56972906088958E-2</v>
      </c>
    </row>
    <row r="22589" spans="1:6" x14ac:dyDescent="0.25">
      <c r="A22589" s="1" t="str">
        <f t="shared" si="844"/>
        <v>34940</v>
      </c>
      <c r="B22589" s="1" t="str">
        <f>"34140"</f>
        <v>34140</v>
      </c>
      <c r="C22589" s="2">
        <v>0</v>
      </c>
      <c r="D22589" s="2">
        <v>0</v>
      </c>
      <c r="E22589" s="2">
        <v>8.3239688683564298E-5</v>
      </c>
      <c r="F22589" s="2">
        <v>6.9125937088484603E-6</v>
      </c>
    </row>
    <row r="22590" spans="1:6" x14ac:dyDescent="0.25">
      <c r="A22590" s="1" t="str">
        <f t="shared" si="844"/>
        <v>34940</v>
      </c>
      <c r="B22590" s="1" t="str">
        <f>"34107"</f>
        <v>34107</v>
      </c>
      <c r="C22590" s="2">
        <v>2.4568625377274799E-3</v>
      </c>
      <c r="D22590" s="2">
        <v>3.0835646006783799E-3</v>
      </c>
      <c r="E22590" s="2">
        <v>8.3239688683564298E-5</v>
      </c>
      <c r="F22590" s="2">
        <v>2.30189370504653E-3</v>
      </c>
    </row>
    <row r="22591" spans="1:6" x14ac:dyDescent="0.25">
      <c r="A22591" s="1" t="str">
        <f t="shared" si="844"/>
        <v>34940</v>
      </c>
      <c r="B22591" s="1" t="str">
        <f>"34135"</f>
        <v>34135</v>
      </c>
      <c r="C22591" s="2">
        <v>8.1353064163161697E-6</v>
      </c>
      <c r="D22591" s="2">
        <v>0</v>
      </c>
      <c r="E22591" s="2">
        <v>0</v>
      </c>
      <c r="F22591" s="2">
        <v>6.9125937088484603E-6</v>
      </c>
    </row>
    <row r="22592" spans="1:6" x14ac:dyDescent="0.25">
      <c r="A22592" s="1" t="str">
        <f t="shared" si="844"/>
        <v>34940</v>
      </c>
      <c r="B22592" s="1" t="str">
        <f>"34106"</f>
        <v>34106</v>
      </c>
      <c r="C22592" s="2">
        <v>9.8966002554486208E-3</v>
      </c>
      <c r="D22592" s="2">
        <v>2.0814061054578999E-2</v>
      </c>
      <c r="E22592" s="2">
        <v>8.3239688683564298E-5</v>
      </c>
      <c r="F22592" s="2">
        <v>9.8158830665648206E-3</v>
      </c>
    </row>
    <row r="22593" spans="1:6" x14ac:dyDescent="0.25">
      <c r="A22593" s="1" t="str">
        <f t="shared" si="844"/>
        <v>34940</v>
      </c>
      <c r="B22593" s="1" t="str">
        <f>"34117"</f>
        <v>34117</v>
      </c>
      <c r="C22593" s="2">
        <v>2.2351754378828598E-2</v>
      </c>
      <c r="D22593" s="2">
        <v>7.2977695549388396E-3</v>
      </c>
      <c r="E22593" s="2">
        <v>1.3318350189370201E-3</v>
      </c>
      <c r="F22593" s="2">
        <v>1.95937468677309E-2</v>
      </c>
    </row>
    <row r="22594" spans="1:6" x14ac:dyDescent="0.25">
      <c r="A22594" s="1" t="str">
        <f t="shared" si="844"/>
        <v>34940</v>
      </c>
      <c r="B22594" s="1" t="str">
        <f>"34146"</f>
        <v>34146</v>
      </c>
      <c r="C22594" s="2">
        <v>6.2723212469797604E-3</v>
      </c>
      <c r="D22594" s="2">
        <v>2.4205982115325299E-2</v>
      </c>
      <c r="E22594" s="2">
        <v>8.3239688683564298E-5</v>
      </c>
      <c r="F22594" s="2">
        <v>6.9644381616648203E-3</v>
      </c>
    </row>
    <row r="22595" spans="1:6" x14ac:dyDescent="0.25">
      <c r="A22595" s="1" t="str">
        <f t="shared" si="844"/>
        <v>34940</v>
      </c>
      <c r="B22595" s="1" t="str">
        <f>"34103"</f>
        <v>34103</v>
      </c>
      <c r="C22595" s="2">
        <v>4.3796422092238101E-2</v>
      </c>
      <c r="D22595" s="2">
        <v>7.2206804399218796E-2</v>
      </c>
      <c r="E22595" s="2">
        <v>3.0507345902526298E-2</v>
      </c>
      <c r="F22595" s="2">
        <v>4.46035109063447E-2</v>
      </c>
    </row>
    <row r="22596" spans="1:6" x14ac:dyDescent="0.25">
      <c r="A22596" s="1" t="str">
        <f t="shared" si="844"/>
        <v>34940</v>
      </c>
      <c r="B22596" s="1" t="str">
        <f>"34101"</f>
        <v>34101</v>
      </c>
      <c r="C22596" s="2">
        <v>1.2943272508358999E-2</v>
      </c>
      <c r="D22596" s="2">
        <v>2.8420187069585701E-2</v>
      </c>
      <c r="E22596" s="2">
        <v>8.3239688683564298E-5</v>
      </c>
      <c r="F22596" s="2">
        <v>1.2916181344983299E-2</v>
      </c>
    </row>
    <row r="22597" spans="1:6" x14ac:dyDescent="0.25">
      <c r="A22597" s="1" t="str">
        <f t="shared" si="844"/>
        <v>34940</v>
      </c>
      <c r="B22597" s="1" t="str">
        <f>"34141"</f>
        <v>34141</v>
      </c>
      <c r="C22597" s="2">
        <v>1.2569048413208399E-3</v>
      </c>
      <c r="D22597" s="2">
        <v>1.7987460170623901E-3</v>
      </c>
      <c r="E22597" s="2">
        <v>2.4971906605069201E-4</v>
      </c>
      <c r="F22597" s="2">
        <v>1.2097038990484801E-3</v>
      </c>
    </row>
    <row r="22598" spans="1:6" x14ac:dyDescent="0.25">
      <c r="A22598" s="1" t="str">
        <f t="shared" si="844"/>
        <v>34940</v>
      </c>
      <c r="B22598" s="1" t="str">
        <f>"34109"</f>
        <v>34109</v>
      </c>
      <c r="C22598" s="2">
        <v>6.5090586636945599E-2</v>
      </c>
      <c r="D22598" s="2">
        <v>0.12786514544146299</v>
      </c>
      <c r="E22598" s="2">
        <v>0.11141632330295</v>
      </c>
      <c r="F22598" s="2">
        <v>7.3159435517597696E-2</v>
      </c>
    </row>
    <row r="22599" spans="1:6" x14ac:dyDescent="0.25">
      <c r="A22599" s="1" t="str">
        <f t="shared" ref="A22599:A22630" si="845">"34980"</f>
        <v>34980</v>
      </c>
      <c r="B22599" s="1" t="str">
        <f>"37027"</f>
        <v>37027</v>
      </c>
      <c r="C22599" s="2">
        <v>2.4732513831779698E-2</v>
      </c>
      <c r="D22599" s="2">
        <v>3.1992412500867401E-2</v>
      </c>
      <c r="E22599" s="2">
        <v>3.3791262451982503E-2</v>
      </c>
      <c r="F22599" s="2">
        <v>2.5476384724257999E-2</v>
      </c>
    </row>
    <row r="22600" spans="1:6" x14ac:dyDescent="0.25">
      <c r="A22600" s="1" t="str">
        <f t="shared" si="845"/>
        <v>34980</v>
      </c>
      <c r="B22600" s="1" t="str">
        <f>"37031"</f>
        <v>37031</v>
      </c>
      <c r="C22600" s="2">
        <v>1.9612064325848699E-3</v>
      </c>
      <c r="D22600" s="2">
        <v>3.2385667029077701E-4</v>
      </c>
      <c r="E22600" s="2">
        <v>1.30216810990298E-4</v>
      </c>
      <c r="F22600" s="2">
        <v>1.79659829827606E-3</v>
      </c>
    </row>
    <row r="22601" spans="1:6" x14ac:dyDescent="0.25">
      <c r="A22601" s="1" t="str">
        <f t="shared" si="845"/>
        <v>34980</v>
      </c>
      <c r="B22601" s="1" t="str">
        <f>"37056"</f>
        <v>37056</v>
      </c>
      <c r="C22601" s="2">
        <v>1.1345288583668801E-3</v>
      </c>
      <c r="D22601" s="2">
        <v>2.9841078905364399E-3</v>
      </c>
      <c r="E22601" s="2">
        <v>6.5108405495149395E-5</v>
      </c>
      <c r="F22601" s="2">
        <v>1.2737222276654699E-3</v>
      </c>
    </row>
    <row r="22602" spans="1:6" x14ac:dyDescent="0.25">
      <c r="A22602" s="1" t="str">
        <f t="shared" si="845"/>
        <v>34980</v>
      </c>
      <c r="B22602" s="1" t="str">
        <f>"37207"</f>
        <v>37207</v>
      </c>
      <c r="C22602" s="2">
        <v>2.1432261953456301E-2</v>
      </c>
      <c r="D22602" s="2">
        <v>1.8934048902357201E-2</v>
      </c>
      <c r="E22602" s="2">
        <v>1.53004752913601E-2</v>
      </c>
      <c r="F22602" s="2">
        <v>2.1131371885176799E-2</v>
      </c>
    </row>
    <row r="22603" spans="1:6" x14ac:dyDescent="0.25">
      <c r="A22603" s="1" t="str">
        <f t="shared" si="845"/>
        <v>34980</v>
      </c>
      <c r="B22603" s="1" t="str">
        <f>"37210"</f>
        <v>37210</v>
      </c>
      <c r="C22603" s="2">
        <v>9.7629760392671794E-3</v>
      </c>
      <c r="D22603" s="2">
        <v>2.61629924356334E-2</v>
      </c>
      <c r="E22603" s="2">
        <v>1.9206979621069001E-2</v>
      </c>
      <c r="F22603" s="2">
        <v>1.12791838088854E-2</v>
      </c>
    </row>
    <row r="22604" spans="1:6" x14ac:dyDescent="0.25">
      <c r="A22604" s="1" t="str">
        <f t="shared" si="845"/>
        <v>34980</v>
      </c>
      <c r="B22604" s="1" t="str">
        <f>"37212"</f>
        <v>37212</v>
      </c>
      <c r="C22604" s="2">
        <v>1.05207638156336E-2</v>
      </c>
      <c r="D22604" s="2">
        <v>1.8772120567211802E-2</v>
      </c>
      <c r="E22604" s="2">
        <v>3.0470733771729899E-2</v>
      </c>
      <c r="F22604" s="2">
        <v>1.1510064151752399E-2</v>
      </c>
    </row>
    <row r="22605" spans="1:6" x14ac:dyDescent="0.25">
      <c r="A22605" s="1" t="str">
        <f t="shared" si="845"/>
        <v>34980</v>
      </c>
      <c r="B22605" s="1" t="str">
        <f>"37187"</f>
        <v>37187</v>
      </c>
      <c r="C22605" s="2">
        <v>3.5176853027921802E-3</v>
      </c>
      <c r="D22605" s="2">
        <v>1.50362025492146E-3</v>
      </c>
      <c r="E22605" s="2">
        <v>1.69281854287388E-3</v>
      </c>
      <c r="F22605" s="2">
        <v>3.3215726637674001E-3</v>
      </c>
    </row>
    <row r="22606" spans="1:6" x14ac:dyDescent="0.25">
      <c r="A22606" s="1" t="str">
        <f t="shared" si="845"/>
        <v>34980</v>
      </c>
      <c r="B22606" s="1" t="str">
        <f>"37205"</f>
        <v>37205</v>
      </c>
      <c r="C22606" s="2">
        <v>1.48575918710038E-2</v>
      </c>
      <c r="D22606" s="2">
        <v>1.46660806403109E-2</v>
      </c>
      <c r="E22606" s="2">
        <v>1.7709486294680599E-2</v>
      </c>
      <c r="F22606" s="2">
        <v>1.48840214311282E-2</v>
      </c>
    </row>
    <row r="22607" spans="1:6" x14ac:dyDescent="0.25">
      <c r="A22607" s="1" t="str">
        <f t="shared" si="845"/>
        <v>34980</v>
      </c>
      <c r="B22607" s="1" t="str">
        <f>"37166"</f>
        <v>37166</v>
      </c>
      <c r="C22607" s="2">
        <v>7.2119007125788395E-5</v>
      </c>
      <c r="D22607" s="2">
        <v>0</v>
      </c>
      <c r="E22607" s="2">
        <v>0</v>
      </c>
      <c r="F22607" s="2">
        <v>6.4995726773485994E-5</v>
      </c>
    </row>
    <row r="22608" spans="1:6" x14ac:dyDescent="0.25">
      <c r="A22608" s="1" t="str">
        <f t="shared" si="845"/>
        <v>34980</v>
      </c>
      <c r="B22608" s="1" t="str">
        <f>"37220"</f>
        <v>37220</v>
      </c>
      <c r="C22608" s="2">
        <v>3.0483735549288399E-3</v>
      </c>
      <c r="D22608" s="2">
        <v>2.1860325244627398E-3</v>
      </c>
      <c r="E22608" s="2">
        <v>1.9532521648544798E-3</v>
      </c>
      <c r="F22608" s="2">
        <v>2.9597307818791901E-3</v>
      </c>
    </row>
    <row r="22609" spans="1:6" x14ac:dyDescent="0.25">
      <c r="A22609" s="1" t="str">
        <f t="shared" si="845"/>
        <v>34980</v>
      </c>
      <c r="B22609" s="1" t="str">
        <f>"38560"</f>
        <v>38560</v>
      </c>
      <c r="C22609" s="2">
        <v>6.9212718778928299E-4</v>
      </c>
      <c r="D22609" s="2">
        <v>1.3879571583890401E-4</v>
      </c>
      <c r="E22609" s="2">
        <v>0</v>
      </c>
      <c r="F22609" s="2">
        <v>6.3540598562139301E-4</v>
      </c>
    </row>
    <row r="22610" spans="1:6" x14ac:dyDescent="0.25">
      <c r="A22610" s="1" t="str">
        <f t="shared" si="845"/>
        <v>34980</v>
      </c>
      <c r="B22610" s="1" t="str">
        <f>"38569"</f>
        <v>38569</v>
      </c>
      <c r="C22610" s="2">
        <v>1.4100880497728701E-4</v>
      </c>
      <c r="D22610" s="2">
        <v>1.04096786879178E-4</v>
      </c>
      <c r="E22610" s="2">
        <v>6.5108405495149395E-5</v>
      </c>
      <c r="F22610" s="2">
        <v>1.3678205186658899E-4</v>
      </c>
    </row>
    <row r="22611" spans="1:6" x14ac:dyDescent="0.25">
      <c r="A22611" s="1" t="str">
        <f t="shared" si="845"/>
        <v>34980</v>
      </c>
      <c r="B22611" s="1" t="str">
        <f>"37071"</f>
        <v>37071</v>
      </c>
      <c r="C22611" s="2">
        <v>0</v>
      </c>
      <c r="D22611" s="2">
        <v>1.1566309653242E-5</v>
      </c>
      <c r="E22611" s="2">
        <v>0</v>
      </c>
      <c r="F22611" s="2">
        <v>9.7008547423113398E-7</v>
      </c>
    </row>
    <row r="22612" spans="1:6" x14ac:dyDescent="0.25">
      <c r="A22612" s="1" t="str">
        <f t="shared" si="845"/>
        <v>34980</v>
      </c>
      <c r="B22612" s="1" t="str">
        <f>"37018"</f>
        <v>37018</v>
      </c>
      <c r="C22612" s="2">
        <v>1.07640309142967E-6</v>
      </c>
      <c r="D22612" s="2">
        <v>0</v>
      </c>
      <c r="E22612" s="2">
        <v>0</v>
      </c>
      <c r="F22612" s="2">
        <v>9.7008547423113398E-7</v>
      </c>
    </row>
    <row r="22613" spans="1:6" x14ac:dyDescent="0.25">
      <c r="A22613" s="1" t="str">
        <f t="shared" si="845"/>
        <v>34980</v>
      </c>
      <c r="B22613" s="1" t="str">
        <f>"37063"</f>
        <v>37063</v>
      </c>
      <c r="C22613" s="2">
        <v>0</v>
      </c>
      <c r="D22613" s="2">
        <v>1.1566309653242E-5</v>
      </c>
      <c r="E22613" s="2">
        <v>0</v>
      </c>
      <c r="F22613" s="2">
        <v>9.7008547423113398E-7</v>
      </c>
    </row>
    <row r="22614" spans="1:6" x14ac:dyDescent="0.25">
      <c r="A22614" s="1" t="str">
        <f t="shared" si="845"/>
        <v>34980</v>
      </c>
      <c r="B22614" s="1" t="str">
        <f>"38454"</f>
        <v>38454</v>
      </c>
      <c r="C22614" s="2">
        <v>7.5348216400077503E-6</v>
      </c>
      <c r="D22614" s="2">
        <v>0</v>
      </c>
      <c r="E22614" s="2">
        <v>0</v>
      </c>
      <c r="F22614" s="2">
        <v>6.7905983196179404E-6</v>
      </c>
    </row>
    <row r="22615" spans="1:6" x14ac:dyDescent="0.25">
      <c r="A22615" s="1" t="str">
        <f t="shared" si="845"/>
        <v>34980</v>
      </c>
      <c r="B22615" s="1" t="str">
        <f>"38588"</f>
        <v>38588</v>
      </c>
      <c r="C22615" s="2">
        <v>5.8125766937202598E-5</v>
      </c>
      <c r="D22615" s="2">
        <v>1.1566309653242E-5</v>
      </c>
      <c r="E22615" s="2">
        <v>0</v>
      </c>
      <c r="F22615" s="2">
        <v>5.3354701082712302E-5</v>
      </c>
    </row>
    <row r="22616" spans="1:6" x14ac:dyDescent="0.25">
      <c r="A22616" s="1" t="str">
        <f t="shared" si="845"/>
        <v>34980</v>
      </c>
      <c r="B22616" s="1" t="str">
        <f>"37222"</f>
        <v>37222</v>
      </c>
      <c r="C22616" s="2">
        <v>1.2023422531269501E-3</v>
      </c>
      <c r="D22616" s="2">
        <v>4.1060399269009203E-3</v>
      </c>
      <c r="E22616" s="2">
        <v>1.30216810990298E-4</v>
      </c>
      <c r="F22616" s="2">
        <v>1.4299059890166899E-3</v>
      </c>
    </row>
    <row r="22617" spans="1:6" x14ac:dyDescent="0.25">
      <c r="A22617" s="1" t="str">
        <f t="shared" si="845"/>
        <v>34980</v>
      </c>
      <c r="B22617" s="1" t="str">
        <f>"37024"</f>
        <v>37024</v>
      </c>
      <c r="C22617" s="2">
        <v>1.3681083292071199E-3</v>
      </c>
      <c r="D22617" s="2">
        <v>1.10689583381526E-2</v>
      </c>
      <c r="E22617" s="2">
        <v>6.5108405495149395E-5</v>
      </c>
      <c r="F22617" s="2">
        <v>2.16232052206119E-3</v>
      </c>
    </row>
    <row r="22618" spans="1:6" x14ac:dyDescent="0.25">
      <c r="A22618" s="1" t="str">
        <f t="shared" si="845"/>
        <v>34980</v>
      </c>
      <c r="B22618" s="1" t="str">
        <f>"37141"</f>
        <v>37141</v>
      </c>
      <c r="C22618" s="2">
        <v>5.4250715808055799E-4</v>
      </c>
      <c r="D22618" s="2">
        <v>3.81688218556987E-4</v>
      </c>
      <c r="E22618" s="2">
        <v>0</v>
      </c>
      <c r="F22618" s="2">
        <v>5.2093589966211904E-4</v>
      </c>
    </row>
    <row r="22619" spans="1:6" x14ac:dyDescent="0.25">
      <c r="A22619" s="1" t="str">
        <f t="shared" si="845"/>
        <v>34980</v>
      </c>
      <c r="B22619" s="1" t="str">
        <f>"38482"</f>
        <v>38482</v>
      </c>
      <c r="C22619" s="2">
        <v>8.9664377516092202E-4</v>
      </c>
      <c r="D22619" s="2">
        <v>3.7012190890374502E-4</v>
      </c>
      <c r="E22619" s="2">
        <v>0</v>
      </c>
      <c r="F22619" s="2">
        <v>8.3912393520993098E-4</v>
      </c>
    </row>
    <row r="22620" spans="1:6" x14ac:dyDescent="0.25">
      <c r="A22620" s="1" t="str">
        <f t="shared" si="845"/>
        <v>34980</v>
      </c>
      <c r="B22620" s="1" t="str">
        <f>"37188"</f>
        <v>37188</v>
      </c>
      <c r="C22620" s="2">
        <v>7.1720737981959401E-3</v>
      </c>
      <c r="D22620" s="2">
        <v>4.9735131508940704E-3</v>
      </c>
      <c r="E22620" s="2">
        <v>3.1252034637671701E-3</v>
      </c>
      <c r="F22620" s="2">
        <v>6.9273803714845301E-3</v>
      </c>
    </row>
    <row r="22621" spans="1:6" x14ac:dyDescent="0.25">
      <c r="A22621" s="1" t="str">
        <f t="shared" si="845"/>
        <v>34980</v>
      </c>
      <c r="B22621" s="1" t="str">
        <f>"37204"</f>
        <v>37204</v>
      </c>
      <c r="C22621" s="2">
        <v>9.7070030785128408E-3</v>
      </c>
      <c r="D22621" s="2">
        <v>2.1675264290175501E-2</v>
      </c>
      <c r="E22621" s="2">
        <v>1.36727651539813E-2</v>
      </c>
      <c r="F22621" s="2">
        <v>1.0769888934914E-2</v>
      </c>
    </row>
    <row r="22622" spans="1:6" x14ac:dyDescent="0.25">
      <c r="A22622" s="1" t="str">
        <f t="shared" si="845"/>
        <v>34980</v>
      </c>
      <c r="B22622" s="1" t="str">
        <f>"37216"</f>
        <v>37216</v>
      </c>
      <c r="C22622" s="2">
        <v>1.1052506942799901E-2</v>
      </c>
      <c r="D22622" s="2">
        <v>8.1426819958823893E-3</v>
      </c>
      <c r="E22622" s="2">
        <v>6.6410573605052399E-3</v>
      </c>
      <c r="F22622" s="2">
        <v>1.07427265416355E-2</v>
      </c>
    </row>
    <row r="22623" spans="1:6" x14ac:dyDescent="0.25">
      <c r="A22623" s="1" t="str">
        <f t="shared" si="845"/>
        <v>34980</v>
      </c>
      <c r="B22623" s="1" t="str">
        <f>"37165"</f>
        <v>37165</v>
      </c>
      <c r="C22623" s="2">
        <v>0</v>
      </c>
      <c r="D22623" s="2">
        <v>1.1566309653242E-5</v>
      </c>
      <c r="E22623" s="2">
        <v>0</v>
      </c>
      <c r="F22623" s="2">
        <v>9.7008547423113398E-7</v>
      </c>
    </row>
    <row r="22624" spans="1:6" x14ac:dyDescent="0.25">
      <c r="A22624" s="1" t="str">
        <f t="shared" si="845"/>
        <v>34980</v>
      </c>
      <c r="B22624" s="1" t="str">
        <f>"37224"</f>
        <v>37224</v>
      </c>
      <c r="C22624" s="2">
        <v>7.5025295472648502E-4</v>
      </c>
      <c r="D22624" s="2">
        <v>3.2732656318674898E-3</v>
      </c>
      <c r="E22624" s="2">
        <v>1.30216810990298E-4</v>
      </c>
      <c r="F22624" s="2">
        <v>9.5262393569497397E-4</v>
      </c>
    </row>
    <row r="22625" spans="1:6" x14ac:dyDescent="0.25">
      <c r="A22625" s="1" t="str">
        <f t="shared" si="845"/>
        <v>34980</v>
      </c>
      <c r="B22625" s="1" t="str">
        <f>"37229"</f>
        <v>37229</v>
      </c>
      <c r="C22625" s="2">
        <v>9.3216507717810103E-4</v>
      </c>
      <c r="D22625" s="2">
        <v>5.04291100881352E-3</v>
      </c>
      <c r="E22625" s="2">
        <v>2.6043362198059698E-4</v>
      </c>
      <c r="F22625" s="2">
        <v>1.2669316293458599E-3</v>
      </c>
    </row>
    <row r="22626" spans="1:6" x14ac:dyDescent="0.25">
      <c r="A22626" s="1" t="str">
        <f t="shared" si="845"/>
        <v>34980</v>
      </c>
      <c r="B22626" s="1" t="str">
        <f>"37246"</f>
        <v>37246</v>
      </c>
      <c r="C22626" s="2">
        <v>0</v>
      </c>
      <c r="D22626" s="2">
        <v>0</v>
      </c>
      <c r="E22626" s="2">
        <v>6.5108405495149395E-5</v>
      </c>
      <c r="F22626" s="2">
        <v>9.7008547423113398E-7</v>
      </c>
    </row>
    <row r="22627" spans="1:6" x14ac:dyDescent="0.25">
      <c r="A22627" s="1" t="str">
        <f t="shared" si="845"/>
        <v>34980</v>
      </c>
      <c r="B22627" s="1" t="str">
        <f>"37131"</f>
        <v>37131</v>
      </c>
      <c r="C22627" s="2">
        <v>0</v>
      </c>
      <c r="D22627" s="2">
        <v>0</v>
      </c>
      <c r="E22627" s="2">
        <v>6.5108405495149395E-5</v>
      </c>
      <c r="F22627" s="2">
        <v>9.7008547423113398E-7</v>
      </c>
    </row>
    <row r="22628" spans="1:6" x14ac:dyDescent="0.25">
      <c r="A22628" s="1" t="str">
        <f t="shared" si="845"/>
        <v>34980</v>
      </c>
      <c r="B22628" s="1" t="str">
        <f>"37070"</f>
        <v>37070</v>
      </c>
      <c r="C22628" s="2">
        <v>1.4886654754472401E-3</v>
      </c>
      <c r="D22628" s="2">
        <v>4.1985704041268496E-3</v>
      </c>
      <c r="E22628" s="2">
        <v>6.5108405495149395E-5</v>
      </c>
      <c r="F22628" s="2">
        <v>1.69473932348179E-3</v>
      </c>
    </row>
    <row r="22629" spans="1:6" x14ac:dyDescent="0.25">
      <c r="A22629" s="1" t="str">
        <f t="shared" si="845"/>
        <v>34980</v>
      </c>
      <c r="B22629" s="1" t="str">
        <f>"37057"</f>
        <v>37057</v>
      </c>
      <c r="C22629" s="2">
        <v>5.0913866224623703E-4</v>
      </c>
      <c r="D22629" s="2">
        <v>5.7831548266210097E-5</v>
      </c>
      <c r="E22629" s="2">
        <v>0</v>
      </c>
      <c r="F22629" s="2">
        <v>4.63700856682482E-4</v>
      </c>
    </row>
    <row r="22630" spans="1:6" x14ac:dyDescent="0.25">
      <c r="A22630" s="1" t="str">
        <f t="shared" si="845"/>
        <v>34980</v>
      </c>
      <c r="B22630" s="1" t="str">
        <f>"38472"</f>
        <v>38472</v>
      </c>
      <c r="C22630" s="2">
        <v>7.5348216400077503E-6</v>
      </c>
      <c r="D22630" s="2">
        <v>0</v>
      </c>
      <c r="E22630" s="2">
        <v>0</v>
      </c>
      <c r="F22630" s="2">
        <v>6.7905983196179404E-6</v>
      </c>
    </row>
    <row r="22631" spans="1:6" x14ac:dyDescent="0.25">
      <c r="A22631" s="1" t="str">
        <f t="shared" ref="A22631:A22662" si="846">"34980"</f>
        <v>34980</v>
      </c>
      <c r="B22631" s="1" t="str">
        <f>"37236"</f>
        <v>37236</v>
      </c>
      <c r="C22631" s="2">
        <v>0</v>
      </c>
      <c r="D22631" s="2">
        <v>1.1566309653242E-5</v>
      </c>
      <c r="E22631" s="2">
        <v>1.9532521648544799E-4</v>
      </c>
      <c r="F22631" s="2">
        <v>3.88034189692453E-6</v>
      </c>
    </row>
    <row r="22632" spans="1:6" x14ac:dyDescent="0.25">
      <c r="A22632" s="1" t="str">
        <f t="shared" si="846"/>
        <v>34980</v>
      </c>
      <c r="B22632" s="1" t="str">
        <f>"37091"</f>
        <v>37091</v>
      </c>
      <c r="C22632" s="2">
        <v>5.5972960754343201E-5</v>
      </c>
      <c r="D22632" s="2">
        <v>1.1566309653242E-5</v>
      </c>
      <c r="E22632" s="2">
        <v>0</v>
      </c>
      <c r="F22632" s="2">
        <v>5.1414530134250103E-5</v>
      </c>
    </row>
    <row r="22633" spans="1:6" x14ac:dyDescent="0.25">
      <c r="A22633" s="1" t="str">
        <f t="shared" si="846"/>
        <v>34980</v>
      </c>
      <c r="B22633" s="1" t="str">
        <f>"37213"</f>
        <v>37213</v>
      </c>
      <c r="C22633" s="2">
        <v>3.8750511291468399E-5</v>
      </c>
      <c r="D22633" s="2">
        <v>1.2491614425501299E-3</v>
      </c>
      <c r="E22633" s="2">
        <v>5.2086724396119505E-4</v>
      </c>
      <c r="F22633" s="2">
        <v>1.4745299208313199E-4</v>
      </c>
    </row>
    <row r="22634" spans="1:6" x14ac:dyDescent="0.25">
      <c r="A22634" s="1" t="str">
        <f t="shared" si="846"/>
        <v>34980</v>
      </c>
      <c r="B22634" s="1" t="str">
        <f>"37115"</f>
        <v>37115</v>
      </c>
      <c r="C22634" s="2">
        <v>2.06088135885126E-2</v>
      </c>
      <c r="D22634" s="2">
        <v>1.88877836637442E-2</v>
      </c>
      <c r="E22634" s="2">
        <v>1.4454066019923099E-2</v>
      </c>
      <c r="F22634" s="2">
        <v>2.0372765044328001E-2</v>
      </c>
    </row>
    <row r="22635" spans="1:6" x14ac:dyDescent="0.25">
      <c r="A22635" s="1" t="str">
        <f t="shared" si="846"/>
        <v>34980</v>
      </c>
      <c r="B22635" s="1" t="str">
        <f>"37072"</f>
        <v>37072</v>
      </c>
      <c r="C22635" s="2">
        <v>1.6329034896988202E-2</v>
      </c>
      <c r="D22635" s="2">
        <v>1.5672349580142901E-2</v>
      </c>
      <c r="E22635" s="2">
        <v>1.06777785012045E-2</v>
      </c>
      <c r="F22635" s="2">
        <v>1.6189756479443401E-2</v>
      </c>
    </row>
    <row r="22636" spans="1:6" x14ac:dyDescent="0.25">
      <c r="A22636" s="1" t="str">
        <f t="shared" si="846"/>
        <v>34980</v>
      </c>
      <c r="B22636" s="1" t="str">
        <f>"37086"</f>
        <v>37086</v>
      </c>
      <c r="C22636" s="2">
        <v>1.4803771716432299E-2</v>
      </c>
      <c r="D22636" s="2">
        <v>1.33706539591477E-2</v>
      </c>
      <c r="E22636" s="2">
        <v>4.2320463571847104E-3</v>
      </c>
      <c r="F22636" s="2">
        <v>1.4526059891137E-2</v>
      </c>
    </row>
    <row r="22637" spans="1:6" x14ac:dyDescent="0.25">
      <c r="A22637" s="1" t="str">
        <f t="shared" si="846"/>
        <v>34980</v>
      </c>
      <c r="B22637" s="1" t="str">
        <f>"37130"</f>
        <v>37130</v>
      </c>
      <c r="C22637" s="2">
        <v>3.2141396310090199E-2</v>
      </c>
      <c r="D22637" s="2">
        <v>2.1478637026070401E-2</v>
      </c>
      <c r="E22637" s="2">
        <v>7.2465655316101302E-2</v>
      </c>
      <c r="F22637" s="2">
        <v>3.1847906119008097E-2</v>
      </c>
    </row>
    <row r="22638" spans="1:6" x14ac:dyDescent="0.25">
      <c r="A22638" s="1" t="str">
        <f t="shared" si="846"/>
        <v>34980</v>
      </c>
      <c r="B22638" s="1" t="str">
        <f>"37146"</f>
        <v>37146</v>
      </c>
      <c r="C22638" s="2">
        <v>3.1312565929689298E-3</v>
      </c>
      <c r="D22638" s="2">
        <v>2.3942260982210998E-3</v>
      </c>
      <c r="E22638" s="2">
        <v>4.2971547626798603E-3</v>
      </c>
      <c r="F22638" s="2">
        <v>3.08681197900346E-3</v>
      </c>
    </row>
    <row r="22639" spans="1:6" x14ac:dyDescent="0.25">
      <c r="A22639" s="1" t="str">
        <f t="shared" si="846"/>
        <v>34980</v>
      </c>
      <c r="B22639" s="1" t="str">
        <f>"37145"</f>
        <v>37145</v>
      </c>
      <c r="C22639" s="2">
        <v>1.1442164861897399E-3</v>
      </c>
      <c r="D22639" s="2">
        <v>2.8915774133105E-4</v>
      </c>
      <c r="E22639" s="2">
        <v>6.5108405495149395E-5</v>
      </c>
      <c r="F22639" s="2">
        <v>1.0564230814377E-3</v>
      </c>
    </row>
    <row r="22640" spans="1:6" x14ac:dyDescent="0.25">
      <c r="A22640" s="1" t="str">
        <f t="shared" si="846"/>
        <v>34980</v>
      </c>
      <c r="B22640" s="1" t="str">
        <f>"37234"</f>
        <v>37234</v>
      </c>
      <c r="C22640" s="2">
        <v>0</v>
      </c>
      <c r="D22640" s="2">
        <v>2.3132619306483999E-5</v>
      </c>
      <c r="E22640" s="2">
        <v>0</v>
      </c>
      <c r="F22640" s="2">
        <v>1.9401709484622599E-6</v>
      </c>
    </row>
    <row r="22641" spans="1:6" x14ac:dyDescent="0.25">
      <c r="A22641" s="1" t="str">
        <f t="shared" si="846"/>
        <v>34980</v>
      </c>
      <c r="B22641" s="1" t="str">
        <f>"37101"</f>
        <v>37101</v>
      </c>
      <c r="C22641" s="2">
        <v>7.5348216400077503E-6</v>
      </c>
      <c r="D22641" s="2">
        <v>0</v>
      </c>
      <c r="E22641" s="2">
        <v>0</v>
      </c>
      <c r="F22641" s="2">
        <v>6.7905983196179404E-6</v>
      </c>
    </row>
    <row r="22642" spans="1:6" x14ac:dyDescent="0.25">
      <c r="A22642" s="1" t="str">
        <f t="shared" si="846"/>
        <v>34980</v>
      </c>
      <c r="B22642" s="1" t="str">
        <f>"37227"</f>
        <v>37227</v>
      </c>
      <c r="C22642" s="2">
        <v>0</v>
      </c>
      <c r="D22642" s="2">
        <v>3.4698928959726097E-5</v>
      </c>
      <c r="E22642" s="2">
        <v>0</v>
      </c>
      <c r="F22642" s="2">
        <v>2.9102564226933998E-6</v>
      </c>
    </row>
    <row r="22643" spans="1:6" x14ac:dyDescent="0.25">
      <c r="A22643" s="1" t="str">
        <f t="shared" si="846"/>
        <v>34980</v>
      </c>
      <c r="B22643" s="1" t="str">
        <f>"37242"</f>
        <v>37242</v>
      </c>
      <c r="C22643" s="2">
        <v>0</v>
      </c>
      <c r="D22643" s="2">
        <v>0</v>
      </c>
      <c r="E22643" s="2">
        <v>6.5108405495149395E-5</v>
      </c>
      <c r="F22643" s="2">
        <v>9.7008547423113398E-7</v>
      </c>
    </row>
    <row r="22644" spans="1:6" x14ac:dyDescent="0.25">
      <c r="A22644" s="1" t="str">
        <f t="shared" si="846"/>
        <v>34980</v>
      </c>
      <c r="B22644" s="1" t="str">
        <f>"38552"</f>
        <v>38552</v>
      </c>
      <c r="C22644" s="2">
        <v>1.9482895954877101E-4</v>
      </c>
      <c r="D22644" s="2">
        <v>8.0964167572694198E-5</v>
      </c>
      <c r="E22644" s="2">
        <v>0</v>
      </c>
      <c r="F22644" s="2">
        <v>1.82376069155453E-4</v>
      </c>
    </row>
    <row r="22645" spans="1:6" x14ac:dyDescent="0.25">
      <c r="A22645" s="1" t="str">
        <f t="shared" si="846"/>
        <v>34980</v>
      </c>
      <c r="B22645" s="1" t="str">
        <f>"37020"</f>
        <v>37020</v>
      </c>
      <c r="C22645" s="2">
        <v>6.5983509504639198E-4</v>
      </c>
      <c r="D22645" s="2">
        <v>1.2722940618566201E-4</v>
      </c>
      <c r="E22645" s="2">
        <v>0</v>
      </c>
      <c r="F22645" s="2">
        <v>6.0533333592022696E-4</v>
      </c>
    </row>
    <row r="22646" spans="1:6" x14ac:dyDescent="0.25">
      <c r="A22646" s="1" t="str">
        <f t="shared" si="846"/>
        <v>34980</v>
      </c>
      <c r="B22646" s="1" t="str">
        <f>"37051"</f>
        <v>37051</v>
      </c>
      <c r="C22646" s="2">
        <v>1.2733848571613001E-3</v>
      </c>
      <c r="D22646" s="2">
        <v>1.6192833514538799E-4</v>
      </c>
      <c r="E22646" s="2">
        <v>0</v>
      </c>
      <c r="F22646" s="2">
        <v>1.1611923126546601E-3</v>
      </c>
    </row>
    <row r="22647" spans="1:6" x14ac:dyDescent="0.25">
      <c r="A22647" s="1" t="str">
        <f t="shared" si="846"/>
        <v>34980</v>
      </c>
      <c r="B22647" s="1" t="str">
        <f>"37087"</f>
        <v>37087</v>
      </c>
      <c r="C22647" s="2">
        <v>2.2979053195840701E-2</v>
      </c>
      <c r="D22647" s="2">
        <v>2.2947558352032198E-2</v>
      </c>
      <c r="E22647" s="2">
        <v>7.5200208346897501E-2</v>
      </c>
      <c r="F22647" s="2">
        <v>2.37544830074977E-2</v>
      </c>
    </row>
    <row r="22648" spans="1:6" x14ac:dyDescent="0.25">
      <c r="A22648" s="1" t="str">
        <f t="shared" si="846"/>
        <v>34980</v>
      </c>
      <c r="B22648" s="1" t="str">
        <f>"37122"</f>
        <v>37122</v>
      </c>
      <c r="C22648" s="2">
        <v>2.7531161869496799E-2</v>
      </c>
      <c r="D22648" s="2">
        <v>1.7384163408822699E-2</v>
      </c>
      <c r="E22648" s="2">
        <v>1.0612670095709299E-2</v>
      </c>
      <c r="F22648" s="2">
        <v>2.6428038574478702E-2</v>
      </c>
    </row>
    <row r="22649" spans="1:6" x14ac:dyDescent="0.25">
      <c r="A22649" s="1" t="str">
        <f t="shared" si="846"/>
        <v>34980</v>
      </c>
      <c r="B22649" s="1" t="str">
        <f>"37074"</f>
        <v>37074</v>
      </c>
      <c r="C22649" s="2">
        <v>4.2421045833243602E-3</v>
      </c>
      <c r="D22649" s="2">
        <v>4.8347174350551704E-3</v>
      </c>
      <c r="E22649" s="2">
        <v>2.3439025978253701E-3</v>
      </c>
      <c r="F22649" s="2">
        <v>4.2635256592458296E-3</v>
      </c>
    </row>
    <row r="22650" spans="1:6" x14ac:dyDescent="0.25">
      <c r="A22650" s="1" t="str">
        <f t="shared" si="846"/>
        <v>34980</v>
      </c>
      <c r="B22650" s="1" t="str">
        <f>"37069"</f>
        <v>37069</v>
      </c>
      <c r="C22650" s="2">
        <v>8.5165012593916099E-3</v>
      </c>
      <c r="D22650" s="2">
        <v>2.20916514376922E-3</v>
      </c>
      <c r="E22650" s="2">
        <v>4.0367211406992596E-3</v>
      </c>
      <c r="F22650" s="2">
        <v>7.9207478970972096E-3</v>
      </c>
    </row>
    <row r="22651" spans="1:6" x14ac:dyDescent="0.25">
      <c r="A22651" s="1" t="str">
        <f t="shared" si="846"/>
        <v>34980</v>
      </c>
      <c r="B22651" s="1" t="str">
        <f>"37129"</f>
        <v>37129</v>
      </c>
      <c r="C22651" s="2">
        <v>2.8230823878926101E-2</v>
      </c>
      <c r="D22651" s="2">
        <v>4.1812209396469902E-2</v>
      </c>
      <c r="E22651" s="2">
        <v>4.3101764437788903E-2</v>
      </c>
      <c r="F22651" s="2">
        <v>2.95914873059465E-2</v>
      </c>
    </row>
    <row r="22652" spans="1:6" x14ac:dyDescent="0.25">
      <c r="A22652" s="1" t="str">
        <f t="shared" si="846"/>
        <v>34980</v>
      </c>
      <c r="B22652" s="1" t="str">
        <f>"37143"</f>
        <v>37143</v>
      </c>
      <c r="C22652" s="2">
        <v>1.9149210996533899E-3</v>
      </c>
      <c r="D22652" s="2">
        <v>5.4361655370237499E-4</v>
      </c>
      <c r="E22652" s="2">
        <v>1.30216810990298E-4</v>
      </c>
      <c r="F22652" s="2">
        <v>1.7733162468945101E-3</v>
      </c>
    </row>
    <row r="22653" spans="1:6" x14ac:dyDescent="0.25">
      <c r="A22653" s="1" t="str">
        <f t="shared" si="846"/>
        <v>34980</v>
      </c>
      <c r="B22653" s="1" t="str">
        <f>"37149"</f>
        <v>37149</v>
      </c>
      <c r="C22653" s="2">
        <v>1.2863016942584601E-3</v>
      </c>
      <c r="D22653" s="2">
        <v>4.85785005436165E-4</v>
      </c>
      <c r="E22653" s="2">
        <v>0</v>
      </c>
      <c r="F22653" s="2">
        <v>1.19999573162391E-3</v>
      </c>
    </row>
    <row r="22654" spans="1:6" x14ac:dyDescent="0.25">
      <c r="A22654" s="1" t="str">
        <f t="shared" si="846"/>
        <v>34980</v>
      </c>
      <c r="B22654" s="1" t="str">
        <f>"37080"</f>
        <v>37080</v>
      </c>
      <c r="C22654" s="2">
        <v>3.6726873479580599E-3</v>
      </c>
      <c r="D22654" s="2">
        <v>2.2901293113419198E-3</v>
      </c>
      <c r="E22654" s="2">
        <v>5.8597564945634404E-4</v>
      </c>
      <c r="F22654" s="2">
        <v>3.5107393312424698E-3</v>
      </c>
    </row>
    <row r="22655" spans="1:6" x14ac:dyDescent="0.25">
      <c r="A22655" s="1" t="str">
        <f t="shared" si="846"/>
        <v>34980</v>
      </c>
      <c r="B22655" s="1" t="str">
        <f>"37060"</f>
        <v>37060</v>
      </c>
      <c r="C22655" s="2">
        <v>1.22925233041269E-3</v>
      </c>
      <c r="D22655" s="2">
        <v>7.4024381780749004E-4</v>
      </c>
      <c r="E22655" s="2">
        <v>0</v>
      </c>
      <c r="F22655" s="2">
        <v>1.1699230819227401E-3</v>
      </c>
    </row>
    <row r="22656" spans="1:6" x14ac:dyDescent="0.25">
      <c r="A22656" s="1" t="str">
        <f t="shared" si="846"/>
        <v>34980</v>
      </c>
      <c r="B22656" s="1" t="str">
        <f>"37243"</f>
        <v>37243</v>
      </c>
      <c r="C22656" s="2">
        <v>0</v>
      </c>
      <c r="D22656" s="2">
        <v>6.1301441162182695E-4</v>
      </c>
      <c r="E22656" s="2">
        <v>1.30216810990298E-4</v>
      </c>
      <c r="F22656" s="2">
        <v>5.3354701082712302E-5</v>
      </c>
    </row>
    <row r="22657" spans="1:6" x14ac:dyDescent="0.25">
      <c r="A22657" s="1" t="str">
        <f t="shared" si="846"/>
        <v>34980</v>
      </c>
      <c r="B22657" s="1" t="str">
        <f>"38474"</f>
        <v>38474</v>
      </c>
      <c r="C22657" s="2">
        <v>4.0300531743127097E-3</v>
      </c>
      <c r="D22657" s="2">
        <v>3.8053158759166301E-3</v>
      </c>
      <c r="E22657" s="2">
        <v>1.69281854287388E-3</v>
      </c>
      <c r="F22657" s="2">
        <v>3.9763803588734204E-3</v>
      </c>
    </row>
    <row r="22658" spans="1:6" x14ac:dyDescent="0.25">
      <c r="A22658" s="1" t="str">
        <f t="shared" si="846"/>
        <v>34980</v>
      </c>
      <c r="B22658" s="1" t="str">
        <f>"37190"</f>
        <v>37190</v>
      </c>
      <c r="C22658" s="2">
        <v>4.8987104690964602E-3</v>
      </c>
      <c r="D22658" s="2">
        <v>5.1701404149991897E-3</v>
      </c>
      <c r="E22658" s="2">
        <v>3.19031186926232E-3</v>
      </c>
      <c r="F22658" s="2">
        <v>4.8960213884445304E-3</v>
      </c>
    </row>
    <row r="22659" spans="1:6" x14ac:dyDescent="0.25">
      <c r="A22659" s="1" t="str">
        <f t="shared" si="846"/>
        <v>34980</v>
      </c>
      <c r="B22659" s="1" t="str">
        <f>"37172"</f>
        <v>37172</v>
      </c>
      <c r="C22659" s="2">
        <v>1.6298895610428101E-2</v>
      </c>
      <c r="D22659" s="2">
        <v>1.5464156006384599E-2</v>
      </c>
      <c r="E22659" s="2">
        <v>2.07695813529526E-2</v>
      </c>
      <c r="F22659" s="2">
        <v>1.6295495796134499E-2</v>
      </c>
    </row>
    <row r="22660" spans="1:6" x14ac:dyDescent="0.25">
      <c r="A22660" s="1" t="str">
        <f t="shared" si="846"/>
        <v>34980</v>
      </c>
      <c r="B22660" s="1" t="str">
        <f>"37238"</f>
        <v>37238</v>
      </c>
      <c r="C22660" s="2">
        <v>0</v>
      </c>
      <c r="D22660" s="2">
        <v>7.5181012746073196E-4</v>
      </c>
      <c r="E22660" s="2">
        <v>1.9532521648544799E-4</v>
      </c>
      <c r="F22660" s="2">
        <v>6.5965812247717093E-5</v>
      </c>
    </row>
    <row r="22661" spans="1:6" x14ac:dyDescent="0.25">
      <c r="A22661" s="1" t="str">
        <f t="shared" si="846"/>
        <v>34980</v>
      </c>
      <c r="B22661" s="1" t="str">
        <f>"37201"</f>
        <v>37201</v>
      </c>
      <c r="C22661" s="2">
        <v>1.81050999978471E-3</v>
      </c>
      <c r="D22661" s="2">
        <v>8.9291910523028508E-3</v>
      </c>
      <c r="E22661" s="2">
        <v>7.5525750374373299E-3</v>
      </c>
      <c r="F22661" s="2">
        <v>2.4931196687740099E-3</v>
      </c>
    </row>
    <row r="22662" spans="1:6" x14ac:dyDescent="0.25">
      <c r="A22662" s="1" t="str">
        <f t="shared" si="846"/>
        <v>34980</v>
      </c>
      <c r="B22662" s="1" t="str">
        <f>"37160"</f>
        <v>37160</v>
      </c>
      <c r="C22662" s="2">
        <v>1.61460463714451E-5</v>
      </c>
      <c r="D22662" s="2">
        <v>1.1566309653242E-5</v>
      </c>
      <c r="E22662" s="2">
        <v>0</v>
      </c>
      <c r="F22662" s="2">
        <v>1.55213675876981E-5</v>
      </c>
    </row>
    <row r="22663" spans="1:6" x14ac:dyDescent="0.25">
      <c r="A22663" s="1" t="str">
        <f t="shared" ref="A22663:A22694" si="847">"34980"</f>
        <v>34980</v>
      </c>
      <c r="B22663" s="1" t="str">
        <f>"38483"</f>
        <v>38483</v>
      </c>
      <c r="C22663" s="2">
        <v>8.3959441131514903E-5</v>
      </c>
      <c r="D22663" s="2">
        <v>3.4698928959726097E-5</v>
      </c>
      <c r="E22663" s="2">
        <v>0</v>
      </c>
      <c r="F22663" s="2">
        <v>7.8576923412721804E-5</v>
      </c>
    </row>
    <row r="22664" spans="1:6" x14ac:dyDescent="0.25">
      <c r="A22664" s="1" t="str">
        <f t="shared" si="847"/>
        <v>34980</v>
      </c>
      <c r="B22664" s="1" t="str">
        <f>"37032"</f>
        <v>37032</v>
      </c>
      <c r="C22664" s="2">
        <v>2.1441949581279098E-3</v>
      </c>
      <c r="D22664" s="2">
        <v>7.5181012746073196E-4</v>
      </c>
      <c r="E22664" s="2">
        <v>0</v>
      </c>
      <c r="F22664" s="2">
        <v>1.9954658204934402E-3</v>
      </c>
    </row>
    <row r="22665" spans="1:6" x14ac:dyDescent="0.25">
      <c r="A22665" s="1" t="str">
        <f t="shared" si="847"/>
        <v>34980</v>
      </c>
      <c r="B22665" s="1" t="str">
        <f>"37090"</f>
        <v>37090</v>
      </c>
      <c r="C22665" s="2">
        <v>9.2366149275580692E-3</v>
      </c>
      <c r="D22665" s="2">
        <v>5.8409863748872196E-3</v>
      </c>
      <c r="E22665" s="2">
        <v>1.10684289341754E-2</v>
      </c>
      <c r="F22665" s="2">
        <v>8.9791111494833802E-3</v>
      </c>
    </row>
    <row r="22666" spans="1:6" x14ac:dyDescent="0.25">
      <c r="A22666" s="1" t="str">
        <f t="shared" si="847"/>
        <v>34980</v>
      </c>
      <c r="B22666" s="1" t="str">
        <f>"37152"</f>
        <v>37152</v>
      </c>
      <c r="C22666" s="2">
        <v>6.5122387031495501E-4</v>
      </c>
      <c r="D22666" s="2">
        <v>6.4771334058155402E-4</v>
      </c>
      <c r="E22666" s="2">
        <v>6.5108405495149395E-5</v>
      </c>
      <c r="F22666" s="2">
        <v>6.4219658394101104E-4</v>
      </c>
    </row>
    <row r="22667" spans="1:6" x14ac:dyDescent="0.25">
      <c r="A22667" s="1" t="str">
        <f t="shared" si="847"/>
        <v>34980</v>
      </c>
      <c r="B22667" s="1" t="str">
        <f>"37095"</f>
        <v>37095</v>
      </c>
      <c r="C22667" s="2">
        <v>3.56289423263223E-4</v>
      </c>
      <c r="D22667" s="2">
        <v>1.1566309653242E-4</v>
      </c>
      <c r="E22667" s="2">
        <v>1.30216810990298E-4</v>
      </c>
      <c r="F22667" s="2">
        <v>3.3273931766127898E-4</v>
      </c>
    </row>
    <row r="22668" spans="1:6" x14ac:dyDescent="0.25">
      <c r="A22668" s="1" t="str">
        <f t="shared" si="847"/>
        <v>34980</v>
      </c>
      <c r="B22668" s="1" t="str">
        <f>"37118"</f>
        <v>37118</v>
      </c>
      <c r="C22668" s="2">
        <v>6.7813394760069695E-4</v>
      </c>
      <c r="D22668" s="2">
        <v>6.9397857919452195E-5</v>
      </c>
      <c r="E22668" s="2">
        <v>0</v>
      </c>
      <c r="F22668" s="2">
        <v>6.1697436161100097E-4</v>
      </c>
    </row>
    <row r="22669" spans="1:6" x14ac:dyDescent="0.25">
      <c r="A22669" s="1" t="str">
        <f t="shared" si="847"/>
        <v>34980</v>
      </c>
      <c r="B22669" s="1" t="str">
        <f>"37068"</f>
        <v>37068</v>
      </c>
      <c r="C22669" s="2">
        <v>1.1700501603840599E-3</v>
      </c>
      <c r="D22669" s="2">
        <v>9.0332878391820304E-3</v>
      </c>
      <c r="E22669" s="2">
        <v>6.5108405495149395E-5</v>
      </c>
      <c r="F22669" s="2">
        <v>1.81308975133799E-3</v>
      </c>
    </row>
    <row r="22670" spans="1:6" x14ac:dyDescent="0.25">
      <c r="A22670" s="1" t="str">
        <f t="shared" si="847"/>
        <v>34980</v>
      </c>
      <c r="B22670" s="1" t="str">
        <f>"37085"</f>
        <v>37085</v>
      </c>
      <c r="C22670" s="2">
        <v>2.3648575918709999E-3</v>
      </c>
      <c r="D22670" s="2">
        <v>5.08917624742649E-4</v>
      </c>
      <c r="E22670" s="2">
        <v>0</v>
      </c>
      <c r="F22670" s="2">
        <v>2.1739615477519699E-3</v>
      </c>
    </row>
    <row r="22671" spans="1:6" x14ac:dyDescent="0.25">
      <c r="A22671" s="1" t="str">
        <f t="shared" si="847"/>
        <v>34980</v>
      </c>
      <c r="B22671" s="1" t="str">
        <f>"37026"</f>
        <v>37026</v>
      </c>
      <c r="C22671" s="2">
        <v>1.255086004607E-3</v>
      </c>
      <c r="D22671" s="2">
        <v>4.85785005436165E-4</v>
      </c>
      <c r="E22671" s="2">
        <v>2.6043362198059698E-4</v>
      </c>
      <c r="F22671" s="2">
        <v>1.1757435947681301E-3</v>
      </c>
    </row>
    <row r="22672" spans="1:6" x14ac:dyDescent="0.25">
      <c r="A22672" s="1" t="str">
        <f t="shared" si="847"/>
        <v>34980</v>
      </c>
      <c r="B22672" s="1" t="str">
        <f>"37015"</f>
        <v>37015</v>
      </c>
      <c r="C22672" s="2">
        <v>9.2118576564551805E-3</v>
      </c>
      <c r="D22672" s="2">
        <v>6.4193018575493298E-3</v>
      </c>
      <c r="E22672" s="2">
        <v>1.3868090370466799E-2</v>
      </c>
      <c r="F22672" s="2">
        <v>9.0470171326795593E-3</v>
      </c>
    </row>
    <row r="22673" spans="1:6" x14ac:dyDescent="0.25">
      <c r="A22673" s="1" t="str">
        <f t="shared" si="847"/>
        <v>34980</v>
      </c>
      <c r="B22673" s="1" t="str">
        <f>"37016"</f>
        <v>37016</v>
      </c>
      <c r="C22673" s="2">
        <v>4.9729822824051099E-4</v>
      </c>
      <c r="D22673" s="2">
        <v>1.7349464479862999E-4</v>
      </c>
      <c r="E22673" s="2">
        <v>0</v>
      </c>
      <c r="F22673" s="2">
        <v>4.6273077120825102E-4</v>
      </c>
    </row>
    <row r="22674" spans="1:6" x14ac:dyDescent="0.25">
      <c r="A22674" s="1" t="str">
        <f t="shared" si="847"/>
        <v>34980</v>
      </c>
      <c r="B22674" s="1" t="str">
        <f>"37036"</f>
        <v>37036</v>
      </c>
      <c r="C22674" s="2">
        <v>3.0289982992831102E-3</v>
      </c>
      <c r="D22674" s="2">
        <v>1.4804876356149801E-3</v>
      </c>
      <c r="E22674" s="2">
        <v>7.8130086594179295E-4</v>
      </c>
      <c r="F22674" s="2">
        <v>2.8656324908787698E-3</v>
      </c>
    </row>
    <row r="22675" spans="1:6" x14ac:dyDescent="0.25">
      <c r="A22675" s="1" t="str">
        <f t="shared" si="847"/>
        <v>34980</v>
      </c>
      <c r="B22675" s="1" t="str">
        <f>"37012"</f>
        <v>37012</v>
      </c>
      <c r="C22675" s="2">
        <v>3.12156896514606E-4</v>
      </c>
      <c r="D22675" s="2">
        <v>6.9397857919452195E-5</v>
      </c>
      <c r="E22675" s="2">
        <v>0</v>
      </c>
      <c r="F22675" s="2">
        <v>2.8714530037241503E-4</v>
      </c>
    </row>
    <row r="22676" spans="1:6" x14ac:dyDescent="0.25">
      <c r="A22676" s="1" t="str">
        <f t="shared" si="847"/>
        <v>34980</v>
      </c>
      <c r="B22676" s="1" t="str">
        <f>"38402"</f>
        <v>38402</v>
      </c>
      <c r="C22676" s="2">
        <v>9.8921444102387408E-4</v>
      </c>
      <c r="D22676" s="2">
        <v>5.5286960142496896E-3</v>
      </c>
      <c r="E22676" s="2">
        <v>6.5108405495149395E-5</v>
      </c>
      <c r="F22676" s="2">
        <v>1.35617949297512E-3</v>
      </c>
    </row>
    <row r="22677" spans="1:6" x14ac:dyDescent="0.25">
      <c r="A22677" s="1" t="str">
        <f t="shared" si="847"/>
        <v>34980</v>
      </c>
      <c r="B22677" s="1" t="str">
        <f>"37357"</f>
        <v>37357</v>
      </c>
      <c r="C22677" s="2">
        <v>2.05592990463068E-4</v>
      </c>
      <c r="D22677" s="2">
        <v>3.4698928959726097E-5</v>
      </c>
      <c r="E22677" s="2">
        <v>6.5108405495149395E-5</v>
      </c>
      <c r="F22677" s="2">
        <v>1.8916666747507101E-4</v>
      </c>
    </row>
    <row r="22678" spans="1:6" x14ac:dyDescent="0.25">
      <c r="A22678" s="1" t="str">
        <f t="shared" si="847"/>
        <v>34980</v>
      </c>
      <c r="B22678" s="1" t="str">
        <f>"37215"</f>
        <v>37215</v>
      </c>
      <c r="C22678" s="2">
        <v>1.3896363910357101E-2</v>
      </c>
      <c r="D22678" s="2">
        <v>2.0588031182770802E-2</v>
      </c>
      <c r="E22678" s="2">
        <v>1.39331987759619E-2</v>
      </c>
      <c r="F22678" s="2">
        <v>1.44581539079408E-2</v>
      </c>
    </row>
    <row r="22679" spans="1:6" x14ac:dyDescent="0.25">
      <c r="A22679" s="1" t="str">
        <f t="shared" si="847"/>
        <v>34980</v>
      </c>
      <c r="B22679" s="1" t="str">
        <f>"37219"</f>
        <v>37219</v>
      </c>
      <c r="C22679" s="2">
        <v>3.2593485608490599E-3</v>
      </c>
      <c r="D22679" s="2">
        <v>1.48742742140692E-2</v>
      </c>
      <c r="E22679" s="2">
        <v>5.9248649000585903E-3</v>
      </c>
      <c r="F22679" s="2">
        <v>4.27322651398814E-3</v>
      </c>
    </row>
    <row r="22680" spans="1:6" x14ac:dyDescent="0.25">
      <c r="A22680" s="1" t="str">
        <f t="shared" si="847"/>
        <v>34980</v>
      </c>
      <c r="B22680" s="1" t="str">
        <f>"37221"</f>
        <v>37221</v>
      </c>
      <c r="C22680" s="2">
        <v>2.2348280984262898E-2</v>
      </c>
      <c r="D22680" s="2">
        <v>1.2237155613129999E-2</v>
      </c>
      <c r="E22680" s="2">
        <v>1.0417344879223901E-2</v>
      </c>
      <c r="F22680" s="2">
        <v>2.13224787236003E-2</v>
      </c>
    </row>
    <row r="22681" spans="1:6" x14ac:dyDescent="0.25">
      <c r="A22681" s="1" t="str">
        <f t="shared" si="847"/>
        <v>34980</v>
      </c>
      <c r="B22681" s="1" t="str">
        <f>"37128"</f>
        <v>37128</v>
      </c>
      <c r="C22681" s="2">
        <v>3.0730231857225801E-2</v>
      </c>
      <c r="D22681" s="2">
        <v>1.0016424159707601E-2</v>
      </c>
      <c r="E22681" s="2">
        <v>1.1979946611107401E-2</v>
      </c>
      <c r="F22681" s="2">
        <v>2.87135599517673E-2</v>
      </c>
    </row>
    <row r="22682" spans="1:6" x14ac:dyDescent="0.25">
      <c r="A22682" s="1" t="str">
        <f t="shared" si="847"/>
        <v>34980</v>
      </c>
      <c r="B22682" s="1" t="str">
        <f>"37076"</f>
        <v>37076</v>
      </c>
      <c r="C22682" s="2">
        <v>2.2139458784525601E-2</v>
      </c>
      <c r="D22682" s="2">
        <v>1.5475722316037799E-2</v>
      </c>
      <c r="E22682" s="2">
        <v>1.2240380233088001E-2</v>
      </c>
      <c r="F22682" s="2">
        <v>2.1433068467662599E-2</v>
      </c>
    </row>
    <row r="22683" spans="1:6" x14ac:dyDescent="0.25">
      <c r="A22683" s="1" t="str">
        <f t="shared" si="847"/>
        <v>34980</v>
      </c>
      <c r="B22683" s="1" t="str">
        <f>"37067"</f>
        <v>37067</v>
      </c>
      <c r="C22683" s="2">
        <v>1.5070719683106901E-2</v>
      </c>
      <c r="D22683" s="2">
        <v>3.0049272479122799E-2</v>
      </c>
      <c r="E22683" s="2">
        <v>3.3661045640992197E-2</v>
      </c>
      <c r="F22683" s="2">
        <v>1.6603982976940001E-2</v>
      </c>
    </row>
    <row r="22684" spans="1:6" x14ac:dyDescent="0.25">
      <c r="A22684" s="1" t="str">
        <f t="shared" si="847"/>
        <v>34980</v>
      </c>
      <c r="B22684" s="1" t="str">
        <f>"37135"</f>
        <v>37135</v>
      </c>
      <c r="C22684" s="2">
        <v>9.4971044756840504E-3</v>
      </c>
      <c r="D22684" s="2">
        <v>6.72002590853362E-3</v>
      </c>
      <c r="E22684" s="2">
        <v>2.8647698417865698E-3</v>
      </c>
      <c r="F22684" s="2">
        <v>9.1653675605357504E-3</v>
      </c>
    </row>
    <row r="22685" spans="1:6" x14ac:dyDescent="0.25">
      <c r="A22685" s="1" t="str">
        <f t="shared" si="847"/>
        <v>34980</v>
      </c>
      <c r="B22685" s="1" t="str">
        <f>"37088"</f>
        <v>37088</v>
      </c>
      <c r="C22685" s="2">
        <v>2.09898602828787E-3</v>
      </c>
      <c r="D22685" s="2">
        <v>4.5571260033773599E-3</v>
      </c>
      <c r="E22685" s="2">
        <v>6.5108405495149395E-5</v>
      </c>
      <c r="F22685" s="2">
        <v>2.2748504370720098E-3</v>
      </c>
    </row>
    <row r="22686" spans="1:6" x14ac:dyDescent="0.25">
      <c r="A22686" s="1" t="str">
        <f t="shared" si="847"/>
        <v>34980</v>
      </c>
      <c r="B22686" s="1" t="str">
        <f>"37013"</f>
        <v>37013</v>
      </c>
      <c r="C22686" s="2">
        <v>4.1126132914253703E-2</v>
      </c>
      <c r="D22686" s="2">
        <v>1.53369266001989E-2</v>
      </c>
      <c r="E22686" s="2">
        <v>1.3542548342991E-2</v>
      </c>
      <c r="F22686" s="2">
        <v>3.8552166831419502E-2</v>
      </c>
    </row>
    <row r="22687" spans="1:6" x14ac:dyDescent="0.25">
      <c r="A22687" s="1" t="str">
        <f t="shared" si="847"/>
        <v>34980</v>
      </c>
      <c r="B22687" s="1" t="str">
        <f>"37049"</f>
        <v>37049</v>
      </c>
      <c r="C22687" s="2">
        <v>1.7674538761275299E-3</v>
      </c>
      <c r="D22687" s="2">
        <v>6.0144810196858503E-4</v>
      </c>
      <c r="E22687" s="2">
        <v>0</v>
      </c>
      <c r="F22687" s="2">
        <v>1.64332479334754E-3</v>
      </c>
    </row>
    <row r="22688" spans="1:6" x14ac:dyDescent="0.25">
      <c r="A22688" s="1" t="str">
        <f t="shared" si="847"/>
        <v>34980</v>
      </c>
      <c r="B22688" s="1" t="str">
        <f>"37062"</f>
        <v>37062</v>
      </c>
      <c r="C22688" s="2">
        <v>5.4444468364513096E-3</v>
      </c>
      <c r="D22688" s="2">
        <v>2.7759143167780799E-3</v>
      </c>
      <c r="E22688" s="2">
        <v>2.6694446253011199E-3</v>
      </c>
      <c r="F22688" s="2">
        <v>5.1792863469200196E-3</v>
      </c>
    </row>
    <row r="22689" spans="1:6" x14ac:dyDescent="0.25">
      <c r="A22689" s="1" t="str">
        <f t="shared" si="847"/>
        <v>34980</v>
      </c>
      <c r="B22689" s="1" t="str">
        <f>"37043"</f>
        <v>37043</v>
      </c>
      <c r="C22689" s="2">
        <v>9.3647068954382006E-5</v>
      </c>
      <c r="D22689" s="2">
        <v>2.3132619306483999E-5</v>
      </c>
      <c r="E22689" s="2">
        <v>0</v>
      </c>
      <c r="F22689" s="2">
        <v>8.6337607206570896E-5</v>
      </c>
    </row>
    <row r="22690" spans="1:6" x14ac:dyDescent="0.25">
      <c r="A22690" s="1" t="str">
        <f t="shared" si="847"/>
        <v>34980</v>
      </c>
      <c r="B22690" s="1" t="str">
        <f>"37025"</f>
        <v>37025</v>
      </c>
      <c r="C22690" s="2">
        <v>6.8782157542356397E-4</v>
      </c>
      <c r="D22690" s="2">
        <v>1.2722940618566201E-4</v>
      </c>
      <c r="E22690" s="2">
        <v>0</v>
      </c>
      <c r="F22690" s="2">
        <v>6.3055555825023704E-4</v>
      </c>
    </row>
    <row r="22691" spans="1:6" x14ac:dyDescent="0.25">
      <c r="A22691" s="1" t="str">
        <f t="shared" si="847"/>
        <v>34980</v>
      </c>
      <c r="B22691" s="1" t="str">
        <f>"37184"</f>
        <v>37184</v>
      </c>
      <c r="C22691" s="2">
        <v>2.98271296635163E-3</v>
      </c>
      <c r="D22691" s="2">
        <v>1.6192833514538799E-3</v>
      </c>
      <c r="E22691" s="2">
        <v>5.8597564945634404E-4</v>
      </c>
      <c r="F22691" s="2">
        <v>2.8326495847549099E-3</v>
      </c>
    </row>
    <row r="22692" spans="1:6" x14ac:dyDescent="0.25">
      <c r="A22692" s="1" t="str">
        <f t="shared" si="847"/>
        <v>34980</v>
      </c>
      <c r="B22692" s="1" t="str">
        <f>"37206"</f>
        <v>37206</v>
      </c>
      <c r="C22692" s="2">
        <v>1.7287033648360602E-2</v>
      </c>
      <c r="D22692" s="2">
        <v>1.4134030396261699E-2</v>
      </c>
      <c r="E22692" s="2">
        <v>1.9727846865030201E-2</v>
      </c>
      <c r="F22692" s="2">
        <v>1.7058953064354499E-2</v>
      </c>
    </row>
    <row r="22693" spans="1:6" x14ac:dyDescent="0.25">
      <c r="A22693" s="1" t="str">
        <f t="shared" si="847"/>
        <v>34980</v>
      </c>
      <c r="B22693" s="1" t="str">
        <f>"37228"</f>
        <v>37228</v>
      </c>
      <c r="C22693" s="2">
        <v>3.6845277819637801E-3</v>
      </c>
      <c r="D22693" s="2">
        <v>9.3571445094728003E-3</v>
      </c>
      <c r="E22693" s="2">
        <v>5.4039976560974002E-3</v>
      </c>
      <c r="F22693" s="2">
        <v>4.1859188213073401E-3</v>
      </c>
    </row>
    <row r="22694" spans="1:6" x14ac:dyDescent="0.25">
      <c r="A22694" s="1" t="str">
        <f t="shared" si="847"/>
        <v>34980</v>
      </c>
      <c r="B22694" s="1" t="str">
        <f>"37202"</f>
        <v>37202</v>
      </c>
      <c r="C22694" s="2">
        <v>1.9472131923962801E-3</v>
      </c>
      <c r="D22694" s="2">
        <v>3.9788105207152601E-3</v>
      </c>
      <c r="E22694" s="2">
        <v>1.30216810990298E-4</v>
      </c>
      <c r="F22694" s="2">
        <v>2.0905341969680901E-3</v>
      </c>
    </row>
    <row r="22695" spans="1:6" x14ac:dyDescent="0.25">
      <c r="A22695" s="1" t="str">
        <f t="shared" ref="A22695:A22726" si="848">"34980"</f>
        <v>34980</v>
      </c>
      <c r="B22695" s="1" t="str">
        <f>"37075"</f>
        <v>37075</v>
      </c>
      <c r="C22695" s="2">
        <v>3.2048825644227202E-2</v>
      </c>
      <c r="D22695" s="2">
        <v>2.6776006847255299E-2</v>
      </c>
      <c r="E22695" s="2">
        <v>3.3661045640992197E-2</v>
      </c>
      <c r="F22695" s="2">
        <v>3.1630606972780299E-2</v>
      </c>
    </row>
    <row r="22696" spans="1:6" x14ac:dyDescent="0.25">
      <c r="A22696" s="1" t="str">
        <f t="shared" si="848"/>
        <v>34980</v>
      </c>
      <c r="B22696" s="1" t="str">
        <f>"37127"</f>
        <v>37127</v>
      </c>
      <c r="C22696" s="2">
        <v>9.1655723235237099E-3</v>
      </c>
      <c r="D22696" s="2">
        <v>3.81688218556987E-3</v>
      </c>
      <c r="E22696" s="2">
        <v>4.9482388176313504E-3</v>
      </c>
      <c r="F22696" s="2">
        <v>8.6541325156159494E-3</v>
      </c>
    </row>
    <row r="22697" spans="1:6" x14ac:dyDescent="0.25">
      <c r="A22697" s="1" t="str">
        <f t="shared" si="848"/>
        <v>34980</v>
      </c>
      <c r="B22697" s="1" t="str">
        <f>"37110"</f>
        <v>37110</v>
      </c>
      <c r="C22697" s="2">
        <v>1.6684247917159999E-4</v>
      </c>
      <c r="D22697" s="2">
        <v>6.9397857919452195E-5</v>
      </c>
      <c r="E22697" s="2">
        <v>0</v>
      </c>
      <c r="F22697" s="2">
        <v>1.5618376135121201E-4</v>
      </c>
    </row>
    <row r="22698" spans="1:6" x14ac:dyDescent="0.25">
      <c r="A22698" s="1" t="str">
        <f t="shared" si="848"/>
        <v>34980</v>
      </c>
      <c r="B22698" s="1" t="str">
        <f>"37148"</f>
        <v>37148</v>
      </c>
      <c r="C22698" s="2">
        <v>1.1731717293492001E-2</v>
      </c>
      <c r="D22698" s="2">
        <v>6.6506280506141704E-3</v>
      </c>
      <c r="E22698" s="2">
        <v>1.05475616902142E-2</v>
      </c>
      <c r="F22698" s="2">
        <v>1.12879145781534E-2</v>
      </c>
    </row>
    <row r="22699" spans="1:6" x14ac:dyDescent="0.25">
      <c r="A22699" s="1" t="str">
        <f t="shared" si="848"/>
        <v>34980</v>
      </c>
      <c r="B22699" s="1" t="str">
        <f>"37150"</f>
        <v>37150</v>
      </c>
      <c r="C22699" s="2">
        <v>1.8826290069105E-3</v>
      </c>
      <c r="D22699" s="2">
        <v>1.05253417844502E-3</v>
      </c>
      <c r="E22699" s="2">
        <v>1.23705970440783E-3</v>
      </c>
      <c r="F22699" s="2">
        <v>1.8033888965956701E-3</v>
      </c>
    </row>
    <row r="22700" spans="1:6" x14ac:dyDescent="0.25">
      <c r="A22700" s="1" t="str">
        <f t="shared" si="848"/>
        <v>34980</v>
      </c>
      <c r="B22700" s="1" t="str">
        <f>"37037"</f>
        <v>37037</v>
      </c>
      <c r="C22700" s="2">
        <v>3.7792512540096002E-3</v>
      </c>
      <c r="D22700" s="2">
        <v>7.0554488884776395E-4</v>
      </c>
      <c r="E22700" s="2">
        <v>1.30216810990298E-4</v>
      </c>
      <c r="F22700" s="2">
        <v>3.4670854849020698E-3</v>
      </c>
    </row>
    <row r="22701" spans="1:6" x14ac:dyDescent="0.25">
      <c r="A22701" s="1" t="str">
        <f t="shared" si="848"/>
        <v>34980</v>
      </c>
      <c r="B22701" s="1" t="str">
        <f>"37029"</f>
        <v>37029</v>
      </c>
      <c r="C22701" s="2">
        <v>2.8621558201115099E-3</v>
      </c>
      <c r="D22701" s="2">
        <v>9.9470263017881503E-4</v>
      </c>
      <c r="E22701" s="2">
        <v>1.30216810990298E-4</v>
      </c>
      <c r="F22701" s="2">
        <v>2.6648247977129201E-3</v>
      </c>
    </row>
    <row r="22702" spans="1:6" x14ac:dyDescent="0.25">
      <c r="A22702" s="1" t="str">
        <f t="shared" si="848"/>
        <v>34980</v>
      </c>
      <c r="B22702" s="1" t="str">
        <f>"37010"</f>
        <v>37010</v>
      </c>
      <c r="C22702" s="2">
        <v>9.3969989881810903E-4</v>
      </c>
      <c r="D22702" s="2">
        <v>4.3951976682319699E-4</v>
      </c>
      <c r="E22702" s="2">
        <v>3.25542027475747E-4</v>
      </c>
      <c r="F22702" s="2">
        <v>8.8859829439571895E-4</v>
      </c>
    </row>
    <row r="22703" spans="1:6" x14ac:dyDescent="0.25">
      <c r="A22703" s="1" t="str">
        <f t="shared" si="848"/>
        <v>34980</v>
      </c>
      <c r="B22703" s="1" t="str">
        <f>"37046"</f>
        <v>37046</v>
      </c>
      <c r="C22703" s="2">
        <v>3.15170825170609E-3</v>
      </c>
      <c r="D22703" s="2">
        <v>9.4843739156584702E-4</v>
      </c>
      <c r="E22703" s="2">
        <v>3.9065043297089599E-4</v>
      </c>
      <c r="F22703" s="2">
        <v>2.9257777902811002E-3</v>
      </c>
    </row>
    <row r="22704" spans="1:6" x14ac:dyDescent="0.25">
      <c r="A22704" s="1" t="str">
        <f t="shared" si="848"/>
        <v>34980</v>
      </c>
      <c r="B22704" s="1" t="str">
        <f>"37014"</f>
        <v>37014</v>
      </c>
      <c r="C22704" s="2">
        <v>1.24324557060127E-3</v>
      </c>
      <c r="D22704" s="2">
        <v>5.3205024404913296E-4</v>
      </c>
      <c r="E22704" s="2">
        <v>0</v>
      </c>
      <c r="F22704" s="2">
        <v>1.1650726545515901E-3</v>
      </c>
    </row>
    <row r="22705" spans="1:6" x14ac:dyDescent="0.25">
      <c r="A22705" s="1" t="str">
        <f t="shared" si="848"/>
        <v>34980</v>
      </c>
      <c r="B22705" s="1" t="str">
        <f>"38401"</f>
        <v>38401</v>
      </c>
      <c r="C22705" s="2">
        <v>3.0270607737185401E-2</v>
      </c>
      <c r="D22705" s="2">
        <v>2.9690716879872299E-2</v>
      </c>
      <c r="E22705" s="2">
        <v>3.3530828830001899E-2</v>
      </c>
      <c r="F22705" s="2">
        <v>3.0270547137908301E-2</v>
      </c>
    </row>
    <row r="22706" spans="1:6" x14ac:dyDescent="0.25">
      <c r="A22706" s="1" t="str">
        <f t="shared" si="848"/>
        <v>34980</v>
      </c>
      <c r="B22706" s="1" t="str">
        <f>"37174"</f>
        <v>37174</v>
      </c>
      <c r="C22706" s="2">
        <v>2.1262190265010399E-2</v>
      </c>
      <c r="D22706" s="2">
        <v>1.5394758148465099E-2</v>
      </c>
      <c r="E22706" s="2">
        <v>1.1393970961651101E-2</v>
      </c>
      <c r="F22706" s="2">
        <v>2.06230470966796E-2</v>
      </c>
    </row>
    <row r="22707" spans="1:6" x14ac:dyDescent="0.25">
      <c r="A22707" s="1" t="str">
        <f t="shared" si="848"/>
        <v>34980</v>
      </c>
      <c r="B22707" s="1" t="str">
        <f>"37022"</f>
        <v>37022</v>
      </c>
      <c r="C22707" s="2">
        <v>2.9364276334201602E-3</v>
      </c>
      <c r="D22707" s="2">
        <v>7.4024381780749004E-4</v>
      </c>
      <c r="E22707" s="2">
        <v>0</v>
      </c>
      <c r="F22707" s="2">
        <v>2.7084786440533201E-3</v>
      </c>
    </row>
    <row r="22708" spans="1:6" x14ac:dyDescent="0.25">
      <c r="A22708" s="1" t="str">
        <f t="shared" si="848"/>
        <v>34980</v>
      </c>
      <c r="B22708" s="1" t="str">
        <f>"37011"</f>
        <v>37011</v>
      </c>
      <c r="C22708" s="2">
        <v>1.52526318055585E-3</v>
      </c>
      <c r="D22708" s="2">
        <v>3.6665201600777201E-3</v>
      </c>
      <c r="E22708" s="2">
        <v>6.5108405495149395E-5</v>
      </c>
      <c r="F22708" s="2">
        <v>1.68309829779101E-3</v>
      </c>
    </row>
    <row r="22709" spans="1:6" x14ac:dyDescent="0.25">
      <c r="A22709" s="1" t="str">
        <f t="shared" si="848"/>
        <v>34980</v>
      </c>
      <c r="B22709" s="1" t="str">
        <f>"38451"</f>
        <v>38451</v>
      </c>
      <c r="C22709" s="2">
        <v>2.2873565692880602E-3</v>
      </c>
      <c r="D22709" s="2">
        <v>3.9325452821022897E-4</v>
      </c>
      <c r="E22709" s="2">
        <v>1.30216810990298E-4</v>
      </c>
      <c r="F22709" s="2">
        <v>2.0963547098134801E-3</v>
      </c>
    </row>
    <row r="22710" spans="1:6" x14ac:dyDescent="0.25">
      <c r="A22710" s="1" t="str">
        <f t="shared" si="848"/>
        <v>34980</v>
      </c>
      <c r="B22710" s="1" t="str">
        <f>"37179"</f>
        <v>37179</v>
      </c>
      <c r="C22710" s="2">
        <v>6.89328539751566E-3</v>
      </c>
      <c r="D22710" s="2">
        <v>1.08723310740475E-3</v>
      </c>
      <c r="E22710" s="2">
        <v>1.23705970440783E-3</v>
      </c>
      <c r="F22710" s="2">
        <v>6.3220470355642997E-3</v>
      </c>
    </row>
    <row r="22711" spans="1:6" x14ac:dyDescent="0.25">
      <c r="A22711" s="1" t="str">
        <f t="shared" si="848"/>
        <v>34980</v>
      </c>
      <c r="B22711" s="1" t="str">
        <f>"37211"</f>
        <v>37211</v>
      </c>
      <c r="C22711" s="2">
        <v>3.8353318550730799E-2</v>
      </c>
      <c r="D22711" s="2">
        <v>3.6908094103495298E-2</v>
      </c>
      <c r="E22711" s="2">
        <v>3.3465720424506802E-2</v>
      </c>
      <c r="F22711" s="2">
        <v>3.8159282214355897E-2</v>
      </c>
    </row>
    <row r="22712" spans="1:6" x14ac:dyDescent="0.25">
      <c r="A22712" s="1" t="str">
        <f t="shared" si="848"/>
        <v>34980</v>
      </c>
      <c r="B22712" s="1" t="str">
        <f>"37167"</f>
        <v>37167</v>
      </c>
      <c r="C22712" s="2">
        <v>2.7943424253514398E-2</v>
      </c>
      <c r="D22712" s="2">
        <v>2.5202988734414299E-2</v>
      </c>
      <c r="E22712" s="2">
        <v>1.9076762810078699E-2</v>
      </c>
      <c r="F22712" s="2">
        <v>2.7581470203339599E-2</v>
      </c>
    </row>
    <row r="22713" spans="1:6" x14ac:dyDescent="0.25">
      <c r="A22713" s="1" t="str">
        <f t="shared" si="848"/>
        <v>34980</v>
      </c>
      <c r="B22713" s="1" t="str">
        <f>"37186"</f>
        <v>37186</v>
      </c>
      <c r="C22713" s="2">
        <v>5.68017911347441E-3</v>
      </c>
      <c r="D22713" s="2">
        <v>2.6139859816327001E-3</v>
      </c>
      <c r="E22713" s="2">
        <v>2.40901100332052E-3</v>
      </c>
      <c r="F22713" s="2">
        <v>5.3742735272404802E-3</v>
      </c>
    </row>
    <row r="22714" spans="1:6" x14ac:dyDescent="0.25">
      <c r="A22714" s="1" t="str">
        <f t="shared" si="848"/>
        <v>34980</v>
      </c>
      <c r="B22714" s="1" t="str">
        <f>"37217"</f>
        <v>37217</v>
      </c>
      <c r="C22714" s="2">
        <v>1.6353792168091099E-2</v>
      </c>
      <c r="D22714" s="2">
        <v>2.2797196326539999E-2</v>
      </c>
      <c r="E22714" s="2">
        <v>1.3347223126505599E-2</v>
      </c>
      <c r="F22714" s="2">
        <v>1.68494146019205E-2</v>
      </c>
    </row>
    <row r="22715" spans="1:6" x14ac:dyDescent="0.25">
      <c r="A22715" s="1" t="str">
        <f t="shared" si="848"/>
        <v>34980</v>
      </c>
      <c r="B22715" s="1" t="str">
        <f>"37218"</f>
        <v>37218</v>
      </c>
      <c r="C22715" s="2">
        <v>6.6747755699554301E-3</v>
      </c>
      <c r="D22715" s="2">
        <v>4.0135094496749797E-3</v>
      </c>
      <c r="E22715" s="2">
        <v>2.1485773813399302E-3</v>
      </c>
      <c r="F22715" s="2">
        <v>6.38413250591509E-3</v>
      </c>
    </row>
    <row r="22716" spans="1:6" x14ac:dyDescent="0.25">
      <c r="A22716" s="1" t="str">
        <f t="shared" si="848"/>
        <v>34980</v>
      </c>
      <c r="B22716" s="1" t="str">
        <f>"37232"</f>
        <v>37232</v>
      </c>
      <c r="C22716" s="2">
        <v>0</v>
      </c>
      <c r="D22716" s="2">
        <v>3.2385667029077701E-4</v>
      </c>
      <c r="E22716" s="2">
        <v>6.5108405495149395E-5</v>
      </c>
      <c r="F22716" s="2">
        <v>2.8132478752702901E-5</v>
      </c>
    </row>
    <row r="22717" spans="1:6" x14ac:dyDescent="0.25">
      <c r="A22717" s="1" t="str">
        <f t="shared" si="848"/>
        <v>34980</v>
      </c>
      <c r="B22717" s="1" t="str">
        <f>"38563"</f>
        <v>38563</v>
      </c>
      <c r="C22717" s="2">
        <v>1.1442164861897399E-3</v>
      </c>
      <c r="D22717" s="2">
        <v>1.2375951328968901E-3</v>
      </c>
      <c r="E22717" s="2">
        <v>2.6694446253011199E-3</v>
      </c>
      <c r="F22717" s="2">
        <v>1.1747735092939001E-3</v>
      </c>
    </row>
    <row r="22718" spans="1:6" x14ac:dyDescent="0.25">
      <c r="A22718" s="1" t="str">
        <f t="shared" si="848"/>
        <v>34980</v>
      </c>
      <c r="B22718" s="1" t="str">
        <f>"37083"</f>
        <v>37083</v>
      </c>
      <c r="C22718" s="2">
        <v>8.2161847968827296E-3</v>
      </c>
      <c r="D22718" s="2">
        <v>8.0038862800434797E-3</v>
      </c>
      <c r="E22718" s="2">
        <v>1.5626017318835801E-2</v>
      </c>
      <c r="F22718" s="2">
        <v>8.3087820867896595E-3</v>
      </c>
    </row>
    <row r="22719" spans="1:6" x14ac:dyDescent="0.25">
      <c r="A22719" s="1" t="str">
        <f t="shared" si="848"/>
        <v>34980</v>
      </c>
      <c r="B22719" s="1" t="str">
        <f>"37077"</f>
        <v>37077</v>
      </c>
      <c r="C22719" s="2">
        <v>1.08178510688682E-3</v>
      </c>
      <c r="D22719" s="2">
        <v>6.89352055333225E-3</v>
      </c>
      <c r="E22719" s="2">
        <v>6.5108405495149395E-5</v>
      </c>
      <c r="F22719" s="2">
        <v>1.55407692971827E-3</v>
      </c>
    </row>
    <row r="22720" spans="1:6" x14ac:dyDescent="0.25">
      <c r="A22720" s="1" t="str">
        <f t="shared" si="848"/>
        <v>34980</v>
      </c>
      <c r="B22720" s="1" t="str">
        <f>"37116"</f>
        <v>37116</v>
      </c>
      <c r="C22720" s="2">
        <v>1.4122408559557301E-3</v>
      </c>
      <c r="D22720" s="2">
        <v>4.3489324296189999E-3</v>
      </c>
      <c r="E22720" s="2">
        <v>6.5108405495149395E-5</v>
      </c>
      <c r="F22720" s="2">
        <v>1.6384743659763801E-3</v>
      </c>
    </row>
    <row r="22721" spans="1:6" x14ac:dyDescent="0.25">
      <c r="A22721" s="1" t="str">
        <f t="shared" si="848"/>
        <v>34980</v>
      </c>
      <c r="B22721" s="1" t="str">
        <f>"37064"</f>
        <v>37064</v>
      </c>
      <c r="C22721" s="2">
        <v>2.7427827172719601E-2</v>
      </c>
      <c r="D22721" s="2">
        <v>2.4416479677993898E-2</v>
      </c>
      <c r="E22721" s="2">
        <v>3.68513575102545E-2</v>
      </c>
      <c r="F22721" s="2">
        <v>2.7315666783400201E-2</v>
      </c>
    </row>
    <row r="22722" spans="1:6" x14ac:dyDescent="0.25">
      <c r="A22722" s="1" t="str">
        <f t="shared" si="848"/>
        <v>34980</v>
      </c>
      <c r="B22722" s="1" t="str">
        <f>"37189"</f>
        <v>37189</v>
      </c>
      <c r="C22722" s="2">
        <v>1.7954403565047E-3</v>
      </c>
      <c r="D22722" s="2">
        <v>9.3687108191260401E-4</v>
      </c>
      <c r="E22722" s="2">
        <v>5.2086724396119505E-4</v>
      </c>
      <c r="F22722" s="2">
        <v>1.7044401782241E-3</v>
      </c>
    </row>
    <row r="22723" spans="1:6" x14ac:dyDescent="0.25">
      <c r="A22723" s="1" t="str">
        <f t="shared" si="848"/>
        <v>34980</v>
      </c>
      <c r="B22723" s="1" t="str">
        <f>"38547"</f>
        <v>38547</v>
      </c>
      <c r="C22723" s="2">
        <v>9.6876278228670998E-4</v>
      </c>
      <c r="D22723" s="2">
        <v>2.1975988341159801E-4</v>
      </c>
      <c r="E22723" s="2">
        <v>0</v>
      </c>
      <c r="F22723" s="2">
        <v>8.9150855081841199E-4</v>
      </c>
    </row>
    <row r="22724" spans="1:6" x14ac:dyDescent="0.25">
      <c r="A22724" s="1" t="str">
        <f t="shared" si="848"/>
        <v>34980</v>
      </c>
      <c r="B22724" s="1" t="str">
        <f>"38567"</f>
        <v>38567</v>
      </c>
      <c r="C22724" s="2">
        <v>4.21950011840434E-4</v>
      </c>
      <c r="D22724" s="2">
        <v>1.2722940618566201E-4</v>
      </c>
      <c r="E22724" s="2">
        <v>6.5108405495149395E-5</v>
      </c>
      <c r="F22724" s="2">
        <v>3.9191453158937797E-4</v>
      </c>
    </row>
    <row r="22725" spans="1:6" x14ac:dyDescent="0.25">
      <c r="A22725" s="1" t="str">
        <f t="shared" si="848"/>
        <v>34980</v>
      </c>
      <c r="B22725" s="1" t="str">
        <f>"37153"</f>
        <v>37153</v>
      </c>
      <c r="C22725" s="2">
        <v>2.24968246108802E-3</v>
      </c>
      <c r="D22725" s="2">
        <v>6.4771334058155402E-4</v>
      </c>
      <c r="E22725" s="2">
        <v>0</v>
      </c>
      <c r="F22725" s="2">
        <v>2.0818034277000101E-3</v>
      </c>
    </row>
    <row r="22726" spans="1:6" x14ac:dyDescent="0.25">
      <c r="A22726" s="1" t="str">
        <f t="shared" si="848"/>
        <v>34980</v>
      </c>
      <c r="B22726" s="1" t="str">
        <f>"37138"</f>
        <v>37138</v>
      </c>
      <c r="C22726" s="2">
        <v>1.21741189640696E-2</v>
      </c>
      <c r="D22726" s="2">
        <v>7.6800296097527098E-3</v>
      </c>
      <c r="E22726" s="2">
        <v>5.7295396835731396E-3</v>
      </c>
      <c r="F22726" s="2">
        <v>1.17011709901759E-2</v>
      </c>
    </row>
    <row r="22727" spans="1:6" x14ac:dyDescent="0.25">
      <c r="A22727" s="1" t="str">
        <f t="shared" ref="A22727:A22755" si="849">"34980"</f>
        <v>34980</v>
      </c>
      <c r="B22727" s="1" t="str">
        <f>"37082"</f>
        <v>37082</v>
      </c>
      <c r="C22727" s="2">
        <v>2.9041355406772698E-3</v>
      </c>
      <c r="D22727" s="2">
        <v>1.3532582294293099E-3</v>
      </c>
      <c r="E22727" s="2">
        <v>9.76626082427241E-4</v>
      </c>
      <c r="F22727" s="2">
        <v>2.74534189207411E-3</v>
      </c>
    </row>
    <row r="22728" spans="1:6" x14ac:dyDescent="0.25">
      <c r="A22728" s="1" t="str">
        <f t="shared" si="849"/>
        <v>34980</v>
      </c>
      <c r="B22728" s="1" t="str">
        <f>"37055"</f>
        <v>37055</v>
      </c>
      <c r="C22728" s="2">
        <v>1.3585283416933901E-2</v>
      </c>
      <c r="D22728" s="2">
        <v>1.6956209951652802E-2</v>
      </c>
      <c r="E22728" s="2">
        <v>3.0014974933263799E-2</v>
      </c>
      <c r="F22728" s="2">
        <v>1.41128034791145E-2</v>
      </c>
    </row>
    <row r="22729" spans="1:6" x14ac:dyDescent="0.25">
      <c r="A22729" s="1" t="str">
        <f t="shared" si="849"/>
        <v>34980</v>
      </c>
      <c r="B22729" s="1" t="str">
        <f>"37035"</f>
        <v>37035</v>
      </c>
      <c r="C22729" s="2">
        <v>1.5898473660416301E-3</v>
      </c>
      <c r="D22729" s="2">
        <v>2.8915774133105E-4</v>
      </c>
      <c r="E22729" s="2">
        <v>0</v>
      </c>
      <c r="F22729" s="2">
        <v>1.4570683822951601E-3</v>
      </c>
    </row>
    <row r="22730" spans="1:6" x14ac:dyDescent="0.25">
      <c r="A22730" s="1" t="str">
        <f t="shared" si="849"/>
        <v>34980</v>
      </c>
      <c r="B22730" s="1" t="str">
        <f>"38487"</f>
        <v>38487</v>
      </c>
      <c r="C22730" s="2">
        <v>4.3594325202901902E-4</v>
      </c>
      <c r="D22730" s="2">
        <v>1.1566309653242E-4</v>
      </c>
      <c r="E22730" s="2">
        <v>0</v>
      </c>
      <c r="F22730" s="2">
        <v>4.0258547180592003E-4</v>
      </c>
    </row>
    <row r="22731" spans="1:6" x14ac:dyDescent="0.25">
      <c r="A22731" s="1" t="str">
        <f t="shared" si="849"/>
        <v>34980</v>
      </c>
      <c r="B22731" s="1" t="str">
        <f>"37132"</f>
        <v>37132</v>
      </c>
      <c r="C22731" s="2">
        <v>0</v>
      </c>
      <c r="D22731" s="2">
        <v>3.4698928959726097E-5</v>
      </c>
      <c r="E22731" s="2">
        <v>0</v>
      </c>
      <c r="F22731" s="2">
        <v>2.9102564226933998E-6</v>
      </c>
    </row>
    <row r="22732" spans="1:6" x14ac:dyDescent="0.25">
      <c r="A22732" s="1" t="str">
        <f t="shared" si="849"/>
        <v>34980</v>
      </c>
      <c r="B22732" s="1" t="str">
        <f>"37089"</f>
        <v>37089</v>
      </c>
      <c r="C22732" s="2">
        <v>0</v>
      </c>
      <c r="D22732" s="2">
        <v>0</v>
      </c>
      <c r="E22732" s="2">
        <v>6.5108405495149395E-5</v>
      </c>
      <c r="F22732" s="2">
        <v>9.7008547423113398E-7</v>
      </c>
    </row>
    <row r="22733" spans="1:6" x14ac:dyDescent="0.25">
      <c r="A22733" s="1" t="str">
        <f t="shared" si="849"/>
        <v>34980</v>
      </c>
      <c r="B22733" s="1" t="str">
        <f>"37235"</f>
        <v>37235</v>
      </c>
      <c r="C22733" s="2">
        <v>0</v>
      </c>
      <c r="D22733" s="2">
        <v>1.1566309653242E-5</v>
      </c>
      <c r="E22733" s="2">
        <v>0</v>
      </c>
      <c r="F22733" s="2">
        <v>9.7008547423113398E-7</v>
      </c>
    </row>
    <row r="22734" spans="1:6" x14ac:dyDescent="0.25">
      <c r="A22734" s="1" t="str">
        <f t="shared" si="849"/>
        <v>34980</v>
      </c>
      <c r="B22734" s="1" t="str">
        <f>"37052"</f>
        <v>37052</v>
      </c>
      <c r="C22734" s="2">
        <v>4.4132526748616802E-5</v>
      </c>
      <c r="D22734" s="2">
        <v>1.1566309653242E-5</v>
      </c>
      <c r="E22734" s="2">
        <v>0</v>
      </c>
      <c r="F22734" s="2">
        <v>4.0743589917707598E-5</v>
      </c>
    </row>
    <row r="22735" spans="1:6" x14ac:dyDescent="0.25">
      <c r="A22735" s="1" t="str">
        <f t="shared" si="849"/>
        <v>34980</v>
      </c>
      <c r="B22735" s="1" t="str">
        <f>"37240"</f>
        <v>37240</v>
      </c>
      <c r="C22735" s="2">
        <v>0</v>
      </c>
      <c r="D22735" s="2">
        <v>1.2722940618566201E-4</v>
      </c>
      <c r="E22735" s="2">
        <v>0</v>
      </c>
      <c r="F22735" s="2">
        <v>1.06709402165424E-5</v>
      </c>
    </row>
    <row r="22736" spans="1:6" x14ac:dyDescent="0.25">
      <c r="A22736" s="1" t="str">
        <f t="shared" si="849"/>
        <v>34980</v>
      </c>
      <c r="B22736" s="1" t="str">
        <f>"38461"</f>
        <v>38461</v>
      </c>
      <c r="C22736" s="2">
        <v>4.5854771694904301E-4</v>
      </c>
      <c r="D22736" s="2">
        <v>1.96627264105114E-4</v>
      </c>
      <c r="E22736" s="2">
        <v>0</v>
      </c>
      <c r="F22736" s="2">
        <v>4.29747865084392E-4</v>
      </c>
    </row>
    <row r="22737" spans="1:6" x14ac:dyDescent="0.25">
      <c r="A22737" s="1" t="str">
        <f t="shared" si="849"/>
        <v>34980</v>
      </c>
      <c r="B22737" s="1" t="str">
        <f>"37151"</f>
        <v>37151</v>
      </c>
      <c r="C22737" s="2">
        <v>2.15280618285935E-4</v>
      </c>
      <c r="D22737" s="2">
        <v>5.7831548266210097E-5</v>
      </c>
      <c r="E22737" s="2">
        <v>0</v>
      </c>
      <c r="F22737" s="2">
        <v>1.98867522217382E-4</v>
      </c>
    </row>
    <row r="22738" spans="1:6" x14ac:dyDescent="0.25">
      <c r="A22738" s="1" t="str">
        <f t="shared" si="849"/>
        <v>34980</v>
      </c>
      <c r="B22738" s="1" t="str">
        <f>"37180"</f>
        <v>37180</v>
      </c>
      <c r="C22738" s="2">
        <v>5.8125766937202598E-5</v>
      </c>
      <c r="D22738" s="2">
        <v>0</v>
      </c>
      <c r="E22738" s="2">
        <v>0</v>
      </c>
      <c r="F22738" s="2">
        <v>5.2384615608481203E-5</v>
      </c>
    </row>
    <row r="22739" spans="1:6" x14ac:dyDescent="0.25">
      <c r="A22739" s="1" t="str">
        <f t="shared" si="849"/>
        <v>34980</v>
      </c>
      <c r="B22739" s="1" t="str">
        <f>"37181"</f>
        <v>37181</v>
      </c>
      <c r="C22739" s="2">
        <v>6.0601494047490898E-4</v>
      </c>
      <c r="D22739" s="2">
        <v>1.5036202549214601E-4</v>
      </c>
      <c r="E22739" s="2">
        <v>1.30216810990298E-4</v>
      </c>
      <c r="F22739" s="2">
        <v>5.6070940410559496E-4</v>
      </c>
    </row>
    <row r="22740" spans="1:6" x14ac:dyDescent="0.25">
      <c r="A22740" s="1" t="str">
        <f t="shared" si="849"/>
        <v>34980</v>
      </c>
      <c r="B22740" s="1" t="str">
        <f>"38476"</f>
        <v>38476</v>
      </c>
      <c r="C22740" s="2">
        <v>4.9083980969193304E-4</v>
      </c>
      <c r="D22740" s="2">
        <v>3.4698928959726097E-5</v>
      </c>
      <c r="E22740" s="2">
        <v>6.5108405495149395E-5</v>
      </c>
      <c r="F22740" s="2">
        <v>4.46239318146321E-4</v>
      </c>
    </row>
    <row r="22741" spans="1:6" x14ac:dyDescent="0.25">
      <c r="A22741" s="1" t="str">
        <f t="shared" si="849"/>
        <v>34980</v>
      </c>
      <c r="B22741" s="1" t="str">
        <f>"37073"</f>
        <v>37073</v>
      </c>
      <c r="C22741" s="2">
        <v>6.9298831026242697E-3</v>
      </c>
      <c r="D22741" s="2">
        <v>2.4751902657937901E-3</v>
      </c>
      <c r="E22741" s="2">
        <v>1.0417344879223901E-3</v>
      </c>
      <c r="F22741" s="2">
        <v>6.4685299421732003E-3</v>
      </c>
    </row>
    <row r="22742" spans="1:6" x14ac:dyDescent="0.25">
      <c r="A22742" s="1" t="str">
        <f t="shared" si="849"/>
        <v>34980</v>
      </c>
      <c r="B22742" s="1" t="str">
        <f>"37030"</f>
        <v>37030</v>
      </c>
      <c r="C22742" s="2">
        <v>3.7006738283352301E-3</v>
      </c>
      <c r="D22742" s="2">
        <v>5.1701404149991897E-3</v>
      </c>
      <c r="E22742" s="2">
        <v>1.06777785012045E-2</v>
      </c>
      <c r="F22742" s="2">
        <v>3.9278760851618596E-3</v>
      </c>
    </row>
    <row r="22743" spans="1:6" x14ac:dyDescent="0.25">
      <c r="A22743" s="1" t="str">
        <f t="shared" si="849"/>
        <v>34980</v>
      </c>
      <c r="B22743" s="1" t="str">
        <f>"37066"</f>
        <v>37066</v>
      </c>
      <c r="C22743" s="2">
        <v>2.86452390691266E-2</v>
      </c>
      <c r="D22743" s="2">
        <v>2.6070461958407499E-2</v>
      </c>
      <c r="E22743" s="2">
        <v>2.7215313496972399E-2</v>
      </c>
      <c r="F22743" s="2">
        <v>2.8407983027384499E-2</v>
      </c>
    </row>
    <row r="22744" spans="1:6" x14ac:dyDescent="0.25">
      <c r="A22744" s="1" t="str">
        <f t="shared" si="849"/>
        <v>34980</v>
      </c>
      <c r="B22744" s="1" t="str">
        <f>"37048"</f>
        <v>37048</v>
      </c>
      <c r="C22744" s="2">
        <v>2.9471916643344499E-3</v>
      </c>
      <c r="D22744" s="2">
        <v>4.5108607647643902E-4</v>
      </c>
      <c r="E22744" s="2">
        <v>1.30216810990298E-4</v>
      </c>
      <c r="F22744" s="2">
        <v>2.6958675328883201E-3</v>
      </c>
    </row>
    <row r="22745" spans="1:6" x14ac:dyDescent="0.25">
      <c r="A22745" s="1" t="str">
        <f t="shared" si="849"/>
        <v>34980</v>
      </c>
      <c r="B22745" s="1" t="str">
        <f>"37250"</f>
        <v>37250</v>
      </c>
      <c r="C22745" s="2">
        <v>0</v>
      </c>
      <c r="D22745" s="2">
        <v>0</v>
      </c>
      <c r="E22745" s="2">
        <v>1.30216810990298E-4</v>
      </c>
      <c r="F22745" s="2">
        <v>1.9401709484622599E-6</v>
      </c>
    </row>
    <row r="22746" spans="1:6" x14ac:dyDescent="0.25">
      <c r="A22746" s="1" t="str">
        <f t="shared" si="849"/>
        <v>34980</v>
      </c>
      <c r="B22746" s="1" t="str">
        <f>"37171"</f>
        <v>37171</v>
      </c>
      <c r="C22746" s="2">
        <v>8.6112247314374195E-6</v>
      </c>
      <c r="D22746" s="2">
        <v>0</v>
      </c>
      <c r="E22746" s="2">
        <v>0</v>
      </c>
      <c r="F22746" s="2">
        <v>7.7606837938490701E-6</v>
      </c>
    </row>
    <row r="22747" spans="1:6" x14ac:dyDescent="0.25">
      <c r="A22747" s="1" t="str">
        <f t="shared" si="849"/>
        <v>34980</v>
      </c>
      <c r="B22747" s="1" t="str">
        <f>"37121"</f>
        <v>37121</v>
      </c>
      <c r="C22747" s="2">
        <v>1.1173064089040001E-3</v>
      </c>
      <c r="D22747" s="2">
        <v>5.6906243493950797E-3</v>
      </c>
      <c r="E22747" s="2">
        <v>1.30216810990298E-4</v>
      </c>
      <c r="F22747" s="2">
        <v>1.4861709465220901E-3</v>
      </c>
    </row>
    <row r="22748" spans="1:6" x14ac:dyDescent="0.25">
      <c r="A22748" s="1" t="str">
        <f t="shared" si="849"/>
        <v>34980</v>
      </c>
      <c r="B22748" s="1" t="str">
        <f>"37203"</f>
        <v>37203</v>
      </c>
      <c r="C22748" s="2">
        <v>2.1697057113947999E-2</v>
      </c>
      <c r="D22748" s="2">
        <v>5.1759235698258098E-2</v>
      </c>
      <c r="E22748" s="2">
        <v>5.9509082622566503E-2</v>
      </c>
      <c r="F22748" s="2">
        <v>2.47818035247085E-2</v>
      </c>
    </row>
    <row r="22749" spans="1:6" x14ac:dyDescent="0.25">
      <c r="A22749" s="1" t="str">
        <f t="shared" si="849"/>
        <v>34980</v>
      </c>
      <c r="B22749" s="1" t="str">
        <f>"37209"</f>
        <v>37209</v>
      </c>
      <c r="C22749" s="2">
        <v>2.5136164991065801E-2</v>
      </c>
      <c r="D22749" s="2">
        <v>2.3815031576025301E-2</v>
      </c>
      <c r="E22749" s="2">
        <v>2.70850966859821E-2</v>
      </c>
      <c r="F22749" s="2">
        <v>2.50543975429675E-2</v>
      </c>
    </row>
    <row r="22750" spans="1:6" x14ac:dyDescent="0.25">
      <c r="A22750" s="1" t="str">
        <f t="shared" si="849"/>
        <v>34980</v>
      </c>
      <c r="B22750" s="1" t="str">
        <f>"37208"</f>
        <v>37208</v>
      </c>
      <c r="C22750" s="2">
        <v>1.4083658048265901E-2</v>
      </c>
      <c r="D22750" s="2">
        <v>1.17051053690809E-2</v>
      </c>
      <c r="E22750" s="2">
        <v>1.9467413243049601E-2</v>
      </c>
      <c r="F22750" s="2">
        <v>1.39643804015571E-2</v>
      </c>
    </row>
    <row r="22751" spans="1:6" x14ac:dyDescent="0.25">
      <c r="A22751" s="1" t="str">
        <f t="shared" si="849"/>
        <v>34980</v>
      </c>
      <c r="B22751" s="1" t="str">
        <f>"37214"</f>
        <v>37214</v>
      </c>
      <c r="C22751" s="2">
        <v>1.8002841704161301E-2</v>
      </c>
      <c r="D22751" s="2">
        <v>2.43470818200744E-2</v>
      </c>
      <c r="E22751" s="2">
        <v>1.26961390715541E-2</v>
      </c>
      <c r="F22751" s="2">
        <v>1.8455876147247301E-2</v>
      </c>
    </row>
    <row r="22752" spans="1:6" x14ac:dyDescent="0.25">
      <c r="A22752" s="1" t="str">
        <f t="shared" si="849"/>
        <v>34980</v>
      </c>
      <c r="B22752" s="1" t="str">
        <f>"37119"</f>
        <v>37119</v>
      </c>
      <c r="C22752" s="2">
        <v>0</v>
      </c>
      <c r="D22752" s="2">
        <v>1.1566309653242E-5</v>
      </c>
      <c r="E22752" s="2">
        <v>0</v>
      </c>
      <c r="F22752" s="2">
        <v>9.7008547423113398E-7</v>
      </c>
    </row>
    <row r="22753" spans="1:6" x14ac:dyDescent="0.25">
      <c r="A22753" s="1" t="str">
        <f t="shared" si="849"/>
        <v>34980</v>
      </c>
      <c r="B22753" s="1" t="str">
        <f>"38548"</f>
        <v>38548</v>
      </c>
      <c r="C22753" s="2">
        <v>1.56078448257303E-4</v>
      </c>
      <c r="D22753" s="2">
        <v>1.1566309653242E-5</v>
      </c>
      <c r="E22753" s="2">
        <v>0</v>
      </c>
      <c r="F22753" s="2">
        <v>1.4163247923774499E-4</v>
      </c>
    </row>
    <row r="22754" spans="1:6" x14ac:dyDescent="0.25">
      <c r="A22754" s="1" t="str">
        <f t="shared" si="849"/>
        <v>34980</v>
      </c>
      <c r="B22754" s="1" t="str">
        <f>"37133"</f>
        <v>37133</v>
      </c>
      <c r="C22754" s="2">
        <v>1.5446384362015799E-3</v>
      </c>
      <c r="D22754" s="2">
        <v>7.2636424622359898E-3</v>
      </c>
      <c r="E22754" s="2">
        <v>1.30216810990298E-4</v>
      </c>
      <c r="F22754" s="2">
        <v>2.0032265042872902E-3</v>
      </c>
    </row>
    <row r="22755" spans="1:6" x14ac:dyDescent="0.25">
      <c r="A22755" s="1" t="str">
        <f t="shared" si="849"/>
        <v>34980</v>
      </c>
      <c r="B22755" s="1" t="str">
        <f>"37065"</f>
        <v>37065</v>
      </c>
      <c r="C22755" s="2">
        <v>7.3625971453790005E-4</v>
      </c>
      <c r="D22755" s="2">
        <v>6.0029147100326098E-3</v>
      </c>
      <c r="E22755" s="2">
        <v>6.5108405495149395E-5</v>
      </c>
      <c r="F22755" s="2">
        <v>1.1679829109742801E-3</v>
      </c>
    </row>
    <row r="22756" spans="1:6" x14ac:dyDescent="0.25">
      <c r="A22756" s="1" t="str">
        <f t="shared" ref="A22756:A22787" si="850">"35004"</f>
        <v>35004</v>
      </c>
      <c r="B22756" s="1" t="str">
        <f>"11780"</f>
        <v>11780</v>
      </c>
      <c r="C22756" s="2">
        <v>8.5616438356164303E-4</v>
      </c>
      <c r="D22756" s="2">
        <v>2.6385224274406301E-3</v>
      </c>
      <c r="E22756" s="2">
        <v>9.5283468318246704E-4</v>
      </c>
      <c r="F22756" s="2">
        <v>1.00300902708124E-3</v>
      </c>
    </row>
    <row r="22757" spans="1:6" x14ac:dyDescent="0.25">
      <c r="A22757" s="1" t="str">
        <f t="shared" si="850"/>
        <v>35004</v>
      </c>
      <c r="B22757" s="1" t="str">
        <f>"11727"</f>
        <v>11727</v>
      </c>
      <c r="C22757" s="2">
        <v>0</v>
      </c>
      <c r="D22757" s="2">
        <v>1.05540897097625E-2</v>
      </c>
      <c r="E22757" s="2">
        <v>4.2877560743210998E-3</v>
      </c>
      <c r="F22757" s="2">
        <v>2.1731862253426899E-3</v>
      </c>
    </row>
    <row r="22758" spans="1:6" x14ac:dyDescent="0.25">
      <c r="A22758" s="1" t="str">
        <f t="shared" si="850"/>
        <v>35004</v>
      </c>
      <c r="B22758" s="1" t="str">
        <f>"11520"</f>
        <v>11520</v>
      </c>
      <c r="C22758" s="2">
        <v>0</v>
      </c>
      <c r="D22758" s="2">
        <v>2.6385224274406301E-3</v>
      </c>
      <c r="E22758" s="2">
        <v>1.57217722725107E-2</v>
      </c>
      <c r="F22758" s="2">
        <v>5.6837178201270397E-3</v>
      </c>
    </row>
    <row r="22759" spans="1:6" x14ac:dyDescent="0.25">
      <c r="A22759" s="1" t="str">
        <f t="shared" si="850"/>
        <v>35004</v>
      </c>
      <c r="B22759" s="1" t="str">
        <f>"11579"</f>
        <v>11579</v>
      </c>
      <c r="C22759" s="2">
        <v>4.2808219178082103E-3</v>
      </c>
      <c r="D22759" s="2">
        <v>7.9155672823218899E-3</v>
      </c>
      <c r="E22759" s="2">
        <v>9.5283468318246704E-4</v>
      </c>
      <c r="F22759" s="2">
        <v>3.3433634236041399E-3</v>
      </c>
    </row>
    <row r="22760" spans="1:6" x14ac:dyDescent="0.25">
      <c r="A22760" s="1" t="str">
        <f t="shared" si="850"/>
        <v>35004</v>
      </c>
      <c r="B22760" s="1" t="str">
        <f>"11788"</f>
        <v>11788</v>
      </c>
      <c r="C22760" s="2">
        <v>2.2831050228310501E-3</v>
      </c>
      <c r="D22760" s="2">
        <v>7.9155672823218899E-3</v>
      </c>
      <c r="E22760" s="2">
        <v>8.5755121486422101E-3</v>
      </c>
      <c r="F22760" s="2">
        <v>4.8478769642260099E-3</v>
      </c>
    </row>
    <row r="22761" spans="1:6" x14ac:dyDescent="0.25">
      <c r="A22761" s="1" t="str">
        <f t="shared" si="850"/>
        <v>35004</v>
      </c>
      <c r="B22761" s="1" t="str">
        <f>"11940"</f>
        <v>11940</v>
      </c>
      <c r="C22761" s="2">
        <v>0</v>
      </c>
      <c r="D22761" s="2">
        <v>0</v>
      </c>
      <c r="E22761" s="2">
        <v>4.7641734159123298E-4</v>
      </c>
      <c r="F22761" s="2">
        <v>1.6716817118020701E-4</v>
      </c>
    </row>
    <row r="22762" spans="1:6" x14ac:dyDescent="0.25">
      <c r="A22762" s="1" t="str">
        <f t="shared" si="850"/>
        <v>35004</v>
      </c>
      <c r="B22762" s="1" t="str">
        <f>"11950"</f>
        <v>11950</v>
      </c>
      <c r="C22762" s="2">
        <v>2.8538812785388099E-4</v>
      </c>
      <c r="D22762" s="2">
        <v>0</v>
      </c>
      <c r="E22762" s="2">
        <v>0</v>
      </c>
      <c r="F22762" s="2">
        <v>1.6716817118020701E-4</v>
      </c>
    </row>
    <row r="22763" spans="1:6" x14ac:dyDescent="0.25">
      <c r="A22763" s="1" t="str">
        <f t="shared" si="850"/>
        <v>35004</v>
      </c>
      <c r="B22763" s="1" t="str">
        <f>"11742"</f>
        <v>11742</v>
      </c>
      <c r="C22763" s="2">
        <v>5.7077625570776198E-4</v>
      </c>
      <c r="D22763" s="2">
        <v>7.9155672823218899E-3</v>
      </c>
      <c r="E22763" s="2">
        <v>9.5283468318246704E-4</v>
      </c>
      <c r="F22763" s="2">
        <v>1.1701771982614499E-3</v>
      </c>
    </row>
    <row r="22764" spans="1:6" x14ac:dyDescent="0.25">
      <c r="A22764" s="1" t="str">
        <f t="shared" si="850"/>
        <v>35004</v>
      </c>
      <c r="B22764" s="1" t="str">
        <f>"11042"</f>
        <v>11042</v>
      </c>
      <c r="C22764" s="2">
        <v>0</v>
      </c>
      <c r="D22764" s="2">
        <v>7.9155672823218899E-3</v>
      </c>
      <c r="E22764" s="2">
        <v>4.7641734159123298E-4</v>
      </c>
      <c r="F22764" s="2">
        <v>6.6867268472082901E-4</v>
      </c>
    </row>
    <row r="22765" spans="1:6" x14ac:dyDescent="0.25">
      <c r="A22765" s="1" t="str">
        <f t="shared" si="850"/>
        <v>35004</v>
      </c>
      <c r="B22765" s="1" t="str">
        <f>"11545"</f>
        <v>11545</v>
      </c>
      <c r="C22765" s="2">
        <v>2.8538812785388099E-4</v>
      </c>
      <c r="D22765" s="2">
        <v>2.6385224274406301E-3</v>
      </c>
      <c r="E22765" s="2">
        <v>1.7627441638875599E-2</v>
      </c>
      <c r="F22765" s="2">
        <v>6.5195586760280798E-3</v>
      </c>
    </row>
    <row r="22766" spans="1:6" x14ac:dyDescent="0.25">
      <c r="A22766" s="1" t="str">
        <f t="shared" si="850"/>
        <v>35004</v>
      </c>
      <c r="B22766" s="1" t="str">
        <f>"11714"</f>
        <v>11714</v>
      </c>
      <c r="C22766" s="2">
        <v>0</v>
      </c>
      <c r="D22766" s="2">
        <v>1.58311345646437E-2</v>
      </c>
      <c r="E22766" s="2">
        <v>3.33492139113863E-3</v>
      </c>
      <c r="F22766" s="2">
        <v>2.1731862253426899E-3</v>
      </c>
    </row>
    <row r="22767" spans="1:6" x14ac:dyDescent="0.25">
      <c r="A22767" s="1" t="str">
        <f t="shared" si="850"/>
        <v>35004</v>
      </c>
      <c r="B22767" s="1" t="str">
        <f>"11509"</f>
        <v>11509</v>
      </c>
      <c r="C22767" s="2">
        <v>2.8538812785388099E-4</v>
      </c>
      <c r="D22767" s="2">
        <v>2.6385224274406301E-3</v>
      </c>
      <c r="E22767" s="2">
        <v>0</v>
      </c>
      <c r="F22767" s="2">
        <v>3.3433634236041402E-4</v>
      </c>
    </row>
    <row r="22768" spans="1:6" x14ac:dyDescent="0.25">
      <c r="A22768" s="1" t="str">
        <f t="shared" si="850"/>
        <v>35004</v>
      </c>
      <c r="B22768" s="1" t="str">
        <f>"11724"</f>
        <v>11724</v>
      </c>
      <c r="C22768" s="2">
        <v>0</v>
      </c>
      <c r="D22768" s="2">
        <v>0</v>
      </c>
      <c r="E22768" s="2">
        <v>9.5283468318246704E-4</v>
      </c>
      <c r="F22768" s="2">
        <v>3.3433634236041402E-4</v>
      </c>
    </row>
    <row r="22769" spans="1:6" x14ac:dyDescent="0.25">
      <c r="A22769" s="1" t="str">
        <f t="shared" si="850"/>
        <v>35004</v>
      </c>
      <c r="B22769" s="1" t="str">
        <f>"11561"</f>
        <v>11561</v>
      </c>
      <c r="C22769" s="2">
        <v>1.71232876712328E-3</v>
      </c>
      <c r="D22769" s="2">
        <v>7.9155672823218899E-3</v>
      </c>
      <c r="E22769" s="2">
        <v>8.3849452120057094E-2</v>
      </c>
      <c r="F22769" s="2">
        <v>3.0926111668338301E-2</v>
      </c>
    </row>
    <row r="22770" spans="1:6" x14ac:dyDescent="0.25">
      <c r="A22770" s="1" t="str">
        <f t="shared" si="850"/>
        <v>35004</v>
      </c>
      <c r="B22770" s="1" t="str">
        <f>"11747"</f>
        <v>11747</v>
      </c>
      <c r="C22770" s="2">
        <v>0</v>
      </c>
      <c r="D22770" s="2">
        <v>1.58311345646437E-2</v>
      </c>
      <c r="E22770" s="2">
        <v>7.6226774654597398E-3</v>
      </c>
      <c r="F22770" s="2">
        <v>3.67769976596456E-3</v>
      </c>
    </row>
    <row r="22771" spans="1:6" x14ac:dyDescent="0.25">
      <c r="A22771" s="1" t="str">
        <f t="shared" si="850"/>
        <v>35004</v>
      </c>
      <c r="B22771" s="1" t="str">
        <f>"11735"</f>
        <v>11735</v>
      </c>
      <c r="C22771" s="2">
        <v>7.7054794520547898E-3</v>
      </c>
      <c r="D22771" s="2">
        <v>3.4300791556728202E-2</v>
      </c>
      <c r="E22771" s="2">
        <v>9.0519294902334391E-3</v>
      </c>
      <c r="F22771" s="2">
        <v>9.8629220996322292E-3</v>
      </c>
    </row>
    <row r="22772" spans="1:6" x14ac:dyDescent="0.25">
      <c r="A22772" s="1" t="str">
        <f t="shared" si="850"/>
        <v>35004</v>
      </c>
      <c r="B22772" s="1" t="str">
        <f>"11790"</f>
        <v>11790</v>
      </c>
      <c r="C22772" s="2">
        <v>5.7077625570776198E-4</v>
      </c>
      <c r="D22772" s="2">
        <v>1.05540897097625E-2</v>
      </c>
      <c r="E22772" s="2">
        <v>1.90566936636493E-3</v>
      </c>
      <c r="F22772" s="2">
        <v>1.6716817118020699E-3</v>
      </c>
    </row>
    <row r="22773" spans="1:6" x14ac:dyDescent="0.25">
      <c r="A22773" s="1" t="str">
        <f t="shared" si="850"/>
        <v>35004</v>
      </c>
      <c r="B22773" s="1" t="str">
        <f>"11021"</f>
        <v>11021</v>
      </c>
      <c r="C22773" s="2">
        <v>1.1415525114155201E-3</v>
      </c>
      <c r="D22773" s="2">
        <v>0</v>
      </c>
      <c r="E22773" s="2">
        <v>4.7641734159123298E-4</v>
      </c>
      <c r="F22773" s="2">
        <v>8.3584085590103605E-4</v>
      </c>
    </row>
    <row r="22774" spans="1:6" x14ac:dyDescent="0.25">
      <c r="A22774" s="1" t="str">
        <f t="shared" si="850"/>
        <v>35004</v>
      </c>
      <c r="B22774" s="1" t="str">
        <f>"11514"</f>
        <v>11514</v>
      </c>
      <c r="C22774" s="2">
        <v>0</v>
      </c>
      <c r="D22774" s="2">
        <v>0</v>
      </c>
      <c r="E22774" s="2">
        <v>5.6693663649356803E-2</v>
      </c>
      <c r="F22774" s="2">
        <v>1.98930123704446E-2</v>
      </c>
    </row>
    <row r="22775" spans="1:6" x14ac:dyDescent="0.25">
      <c r="A22775" s="1" t="str">
        <f t="shared" si="850"/>
        <v>35004</v>
      </c>
      <c r="B22775" s="1" t="str">
        <f>"11702"</f>
        <v>11702</v>
      </c>
      <c r="C22775" s="2">
        <v>3.9954337899543299E-3</v>
      </c>
      <c r="D22775" s="2">
        <v>5.2770448548812602E-3</v>
      </c>
      <c r="E22775" s="2">
        <v>4.7641734159123298E-4</v>
      </c>
      <c r="F22775" s="2">
        <v>2.8418589100635198E-3</v>
      </c>
    </row>
    <row r="22776" spans="1:6" x14ac:dyDescent="0.25">
      <c r="A22776" s="1" t="str">
        <f t="shared" si="850"/>
        <v>35004</v>
      </c>
      <c r="B22776" s="1" t="str">
        <f>"11729"</f>
        <v>11729</v>
      </c>
      <c r="C22776" s="2">
        <v>0</v>
      </c>
      <c r="D22776" s="2">
        <v>0</v>
      </c>
      <c r="E22776" s="2">
        <v>4.7641734159123298E-4</v>
      </c>
      <c r="F22776" s="2">
        <v>1.6716817118020701E-4</v>
      </c>
    </row>
    <row r="22777" spans="1:6" x14ac:dyDescent="0.25">
      <c r="A22777" s="1" t="str">
        <f t="shared" si="850"/>
        <v>35004</v>
      </c>
      <c r="B22777" s="1" t="str">
        <f>"11563"</f>
        <v>11563</v>
      </c>
      <c r="C22777" s="2">
        <v>0</v>
      </c>
      <c r="D22777" s="2">
        <v>2.6385224274406301E-3</v>
      </c>
      <c r="E22777" s="2">
        <v>3.8113387327298699E-3</v>
      </c>
      <c r="F22777" s="2">
        <v>1.5045135406218601E-3</v>
      </c>
    </row>
    <row r="22778" spans="1:6" x14ac:dyDescent="0.25">
      <c r="A22778" s="1" t="str">
        <f t="shared" si="850"/>
        <v>35004</v>
      </c>
      <c r="B22778" s="1" t="str">
        <f>"11797"</f>
        <v>11797</v>
      </c>
      <c r="C22778" s="2">
        <v>4.3378995433789903E-2</v>
      </c>
      <c r="D22778" s="2">
        <v>1.3192612137203101E-2</v>
      </c>
      <c r="E22778" s="2">
        <v>1.2863268222963299E-2</v>
      </c>
      <c r="F22778" s="2">
        <v>3.07589434971581E-2</v>
      </c>
    </row>
    <row r="22779" spans="1:6" x14ac:dyDescent="0.25">
      <c r="A22779" s="1" t="str">
        <f t="shared" si="850"/>
        <v>35004</v>
      </c>
      <c r="B22779" s="1" t="str">
        <f>"11552"</f>
        <v>11552</v>
      </c>
      <c r="C22779" s="2">
        <v>4.8515981735159797E-3</v>
      </c>
      <c r="D22779" s="2">
        <v>2.6385224274406301E-3</v>
      </c>
      <c r="E22779" s="2">
        <v>2.3820867079561601E-3</v>
      </c>
      <c r="F22779" s="2">
        <v>3.8448679371447599E-3</v>
      </c>
    </row>
    <row r="22780" spans="1:6" x14ac:dyDescent="0.25">
      <c r="A22780" s="1" t="str">
        <f t="shared" si="850"/>
        <v>35004</v>
      </c>
      <c r="B22780" s="1" t="str">
        <f>"11749"</f>
        <v>11749</v>
      </c>
      <c r="C22780" s="2">
        <v>0</v>
      </c>
      <c r="D22780" s="2">
        <v>2.6385224274406301E-3</v>
      </c>
      <c r="E22780" s="2">
        <v>1.4292520247737E-3</v>
      </c>
      <c r="F22780" s="2">
        <v>6.6867268472082901E-4</v>
      </c>
    </row>
    <row r="22781" spans="1:6" x14ac:dyDescent="0.25">
      <c r="A22781" s="1" t="str">
        <f t="shared" si="850"/>
        <v>35004</v>
      </c>
      <c r="B22781" s="1" t="str">
        <f>"11741"</f>
        <v>11741</v>
      </c>
      <c r="C22781" s="2">
        <v>1.9977168949771602E-3</v>
      </c>
      <c r="D22781" s="2">
        <v>2.6385224274406301E-3</v>
      </c>
      <c r="E22781" s="2">
        <v>1.4292520247737E-3</v>
      </c>
      <c r="F22781" s="2">
        <v>1.83884988298228E-3</v>
      </c>
    </row>
    <row r="22782" spans="1:6" x14ac:dyDescent="0.25">
      <c r="A22782" s="1" t="str">
        <f t="shared" si="850"/>
        <v>35004</v>
      </c>
      <c r="B22782" s="1" t="str">
        <f>"11941"</f>
        <v>11941</v>
      </c>
      <c r="C22782" s="2">
        <v>0</v>
      </c>
      <c r="D22782" s="2">
        <v>2.6385224274406301E-3</v>
      </c>
      <c r="E22782" s="2">
        <v>0</v>
      </c>
      <c r="F22782" s="2">
        <v>1.6716817118020701E-4</v>
      </c>
    </row>
    <row r="22783" spans="1:6" x14ac:dyDescent="0.25">
      <c r="A22783" s="1" t="str">
        <f t="shared" si="850"/>
        <v>35004</v>
      </c>
      <c r="B22783" s="1" t="str">
        <f>"11738"</f>
        <v>11738</v>
      </c>
      <c r="C22783" s="2">
        <v>5.7077625570776198E-4</v>
      </c>
      <c r="D22783" s="2">
        <v>7.9155672823218899E-3</v>
      </c>
      <c r="E22783" s="2">
        <v>1.4292520247737E-3</v>
      </c>
      <c r="F22783" s="2">
        <v>1.33734536944165E-3</v>
      </c>
    </row>
    <row r="22784" spans="1:6" x14ac:dyDescent="0.25">
      <c r="A22784" s="1" t="str">
        <f t="shared" si="850"/>
        <v>35004</v>
      </c>
      <c r="B22784" s="1" t="str">
        <f>"11581"</f>
        <v>11581</v>
      </c>
      <c r="C22784" s="2">
        <v>0</v>
      </c>
      <c r="D22784" s="2">
        <v>2.6385224274406301E-3</v>
      </c>
      <c r="E22784" s="2">
        <v>5.2405907575035701E-3</v>
      </c>
      <c r="F22784" s="2">
        <v>2.0060180541624801E-3</v>
      </c>
    </row>
    <row r="22785" spans="1:6" x14ac:dyDescent="0.25">
      <c r="A22785" s="1" t="str">
        <f t="shared" si="850"/>
        <v>35004</v>
      </c>
      <c r="B22785" s="1" t="str">
        <f>"11040"</f>
        <v>11040</v>
      </c>
      <c r="C22785" s="2">
        <v>9.9885844748858407E-3</v>
      </c>
      <c r="D22785" s="2">
        <v>1.58311345646437E-2</v>
      </c>
      <c r="E22785" s="2">
        <v>9.5283468318246704E-4</v>
      </c>
      <c r="F22785" s="2">
        <v>7.1882313607489097E-3</v>
      </c>
    </row>
    <row r="22786" spans="1:6" x14ac:dyDescent="0.25">
      <c r="A22786" s="1" t="str">
        <f t="shared" si="850"/>
        <v>35004</v>
      </c>
      <c r="B22786" s="1" t="str">
        <f>"11958"</f>
        <v>11958</v>
      </c>
      <c r="C22786" s="2">
        <v>8.5616438356164303E-4</v>
      </c>
      <c r="D22786" s="2">
        <v>0</v>
      </c>
      <c r="E22786" s="2">
        <v>0</v>
      </c>
      <c r="F22786" s="2">
        <v>5.01504513540621E-4</v>
      </c>
    </row>
    <row r="22787" spans="1:6" x14ac:dyDescent="0.25">
      <c r="A22787" s="1" t="str">
        <f t="shared" si="850"/>
        <v>35004</v>
      </c>
      <c r="B22787" s="1" t="str">
        <f>"11963"</f>
        <v>11963</v>
      </c>
      <c r="C22787" s="2">
        <v>5.1369863013698601E-3</v>
      </c>
      <c r="D22787" s="2">
        <v>5.2770448548812602E-3</v>
      </c>
      <c r="E22787" s="2">
        <v>4.2877560743210998E-3</v>
      </c>
      <c r="F22787" s="2">
        <v>4.8478769642260099E-3</v>
      </c>
    </row>
    <row r="22788" spans="1:6" x14ac:dyDescent="0.25">
      <c r="A22788" s="1" t="str">
        <f t="shared" ref="A22788:A22819" si="851">"35004"</f>
        <v>35004</v>
      </c>
      <c r="B22788" s="1" t="str">
        <f>"11766"</f>
        <v>11766</v>
      </c>
      <c r="C22788" s="2">
        <v>2.2831050228310501E-3</v>
      </c>
      <c r="D22788" s="2">
        <v>0</v>
      </c>
      <c r="E22788" s="2">
        <v>3.8113387327298699E-3</v>
      </c>
      <c r="F22788" s="2">
        <v>2.67469073888331E-3</v>
      </c>
    </row>
    <row r="22789" spans="1:6" x14ac:dyDescent="0.25">
      <c r="A22789" s="1" t="str">
        <f t="shared" si="851"/>
        <v>35004</v>
      </c>
      <c r="B22789" s="1" t="str">
        <f>"11757"</f>
        <v>11757</v>
      </c>
      <c r="C22789" s="2">
        <v>0</v>
      </c>
      <c r="D22789" s="2">
        <v>2.6385224274406301E-3</v>
      </c>
      <c r="E22789" s="2">
        <v>1.4292520247737E-3</v>
      </c>
      <c r="F22789" s="2">
        <v>6.6867268472082901E-4</v>
      </c>
    </row>
    <row r="22790" spans="1:6" x14ac:dyDescent="0.25">
      <c r="A22790" s="1" t="str">
        <f t="shared" si="851"/>
        <v>35004</v>
      </c>
      <c r="B22790" s="1" t="str">
        <f>"11746"</f>
        <v>11746</v>
      </c>
      <c r="C22790" s="2">
        <v>2.8538812785388099E-4</v>
      </c>
      <c r="D22790" s="2">
        <v>5.2770448548812602E-3</v>
      </c>
      <c r="E22790" s="2">
        <v>9.5283468318246704E-4</v>
      </c>
      <c r="F22790" s="2">
        <v>8.3584085590103605E-4</v>
      </c>
    </row>
    <row r="22791" spans="1:6" x14ac:dyDescent="0.25">
      <c r="A22791" s="1" t="str">
        <f t="shared" si="851"/>
        <v>35004</v>
      </c>
      <c r="B22791" s="1" t="str">
        <f>"11962"</f>
        <v>11962</v>
      </c>
      <c r="C22791" s="2">
        <v>1.4269406392694E-3</v>
      </c>
      <c r="D22791" s="2">
        <v>0</v>
      </c>
      <c r="E22791" s="2">
        <v>0</v>
      </c>
      <c r="F22791" s="2">
        <v>8.3584085590103605E-4</v>
      </c>
    </row>
    <row r="22792" spans="1:6" x14ac:dyDescent="0.25">
      <c r="A22792" s="1" t="str">
        <f t="shared" si="851"/>
        <v>35004</v>
      </c>
      <c r="B22792" s="1" t="str">
        <f>"11783"</f>
        <v>11783</v>
      </c>
      <c r="C22792" s="2">
        <v>3.9954337899543299E-3</v>
      </c>
      <c r="D22792" s="2">
        <v>7.9155672823218899E-3</v>
      </c>
      <c r="E22792" s="2">
        <v>9.5283468318246704E-4</v>
      </c>
      <c r="F22792" s="2">
        <v>3.17619525242393E-3</v>
      </c>
    </row>
    <row r="22793" spans="1:6" x14ac:dyDescent="0.25">
      <c r="A22793" s="1" t="str">
        <f t="shared" si="851"/>
        <v>35004</v>
      </c>
      <c r="B22793" s="1" t="str">
        <f>"11791"</f>
        <v>11791</v>
      </c>
      <c r="C22793" s="2">
        <v>2.8538812785388099E-4</v>
      </c>
      <c r="D22793" s="2">
        <v>1.58311345646437E-2</v>
      </c>
      <c r="E22793" s="2">
        <v>4.7641734159123298E-3</v>
      </c>
      <c r="F22793" s="2">
        <v>2.8418589100635198E-3</v>
      </c>
    </row>
    <row r="22794" spans="1:6" x14ac:dyDescent="0.25">
      <c r="A22794" s="1" t="str">
        <f t="shared" si="851"/>
        <v>35004</v>
      </c>
      <c r="B22794" s="1" t="str">
        <f>"11542"</f>
        <v>11542</v>
      </c>
      <c r="C22794" s="2">
        <v>0.10987442922374401</v>
      </c>
      <c r="D22794" s="2">
        <v>1.05540897097625E-2</v>
      </c>
      <c r="E22794" s="2">
        <v>1.8103858980466798E-2</v>
      </c>
      <c r="F22794" s="2">
        <v>7.1380809093948505E-2</v>
      </c>
    </row>
    <row r="22795" spans="1:6" x14ac:dyDescent="0.25">
      <c r="A22795" s="1" t="str">
        <f t="shared" si="851"/>
        <v>35004</v>
      </c>
      <c r="B22795" s="1" t="str">
        <f>"11726"</f>
        <v>11726</v>
      </c>
      <c r="C22795" s="2">
        <v>8.5616438356164303E-4</v>
      </c>
      <c r="D22795" s="2">
        <v>5.2770448548812602E-3</v>
      </c>
      <c r="E22795" s="2">
        <v>1.38161029061457E-2</v>
      </c>
      <c r="F22795" s="2">
        <v>5.6837178201270397E-3</v>
      </c>
    </row>
    <row r="22796" spans="1:6" x14ac:dyDescent="0.25">
      <c r="A22796" s="1" t="str">
        <f t="shared" si="851"/>
        <v>35004</v>
      </c>
      <c r="B22796" s="1" t="str">
        <f>"11949"</f>
        <v>11949</v>
      </c>
      <c r="C22796" s="2">
        <v>4.2808219178082103E-3</v>
      </c>
      <c r="D22796" s="2">
        <v>0</v>
      </c>
      <c r="E22796" s="2">
        <v>4.7641734159123298E-4</v>
      </c>
      <c r="F22796" s="2">
        <v>2.67469073888331E-3</v>
      </c>
    </row>
    <row r="22797" spans="1:6" x14ac:dyDescent="0.25">
      <c r="A22797" s="1" t="str">
        <f t="shared" si="851"/>
        <v>35004</v>
      </c>
      <c r="B22797" s="1" t="str">
        <f>"11753"</f>
        <v>11753</v>
      </c>
      <c r="C22797" s="2">
        <v>7.8767123287671201E-2</v>
      </c>
      <c r="D22797" s="2">
        <v>7.9155672823218899E-3</v>
      </c>
      <c r="E22797" s="2">
        <v>4.7641734159123298E-3</v>
      </c>
      <c r="F22797" s="2">
        <v>4.83116014710799E-2</v>
      </c>
    </row>
    <row r="22798" spans="1:6" x14ac:dyDescent="0.25">
      <c r="A22798" s="1" t="str">
        <f t="shared" si="851"/>
        <v>35004</v>
      </c>
      <c r="B22798" s="1" t="str">
        <f>"11955"</f>
        <v>11955</v>
      </c>
      <c r="C22798" s="2">
        <v>1.4269406392694001E-2</v>
      </c>
      <c r="D22798" s="2">
        <v>0</v>
      </c>
      <c r="E22798" s="2">
        <v>4.7641734159123298E-4</v>
      </c>
      <c r="F22798" s="2">
        <v>8.5255767301905695E-3</v>
      </c>
    </row>
    <row r="22799" spans="1:6" x14ac:dyDescent="0.25">
      <c r="A22799" s="1" t="str">
        <f t="shared" si="851"/>
        <v>35004</v>
      </c>
      <c r="B22799" s="1" t="str">
        <f>"11096"</f>
        <v>11096</v>
      </c>
      <c r="C22799" s="2">
        <v>1.7408675799086702E-2</v>
      </c>
      <c r="D22799" s="2">
        <v>3.4300791556728202E-2</v>
      </c>
      <c r="E22799" s="2">
        <v>1.19104335397808E-2</v>
      </c>
      <c r="F22799" s="2">
        <v>1.6549648946840499E-2</v>
      </c>
    </row>
    <row r="22800" spans="1:6" x14ac:dyDescent="0.25">
      <c r="A22800" s="1" t="str">
        <f t="shared" si="851"/>
        <v>35004</v>
      </c>
      <c r="B22800" s="1" t="str">
        <f>"11779"</f>
        <v>11779</v>
      </c>
      <c r="C22800" s="2">
        <v>1.1415525114155201E-3</v>
      </c>
      <c r="D22800" s="2">
        <v>0</v>
      </c>
      <c r="E22800" s="2">
        <v>1.09575988565983E-2</v>
      </c>
      <c r="F22800" s="2">
        <v>4.5135406218655902E-3</v>
      </c>
    </row>
    <row r="22801" spans="1:6" x14ac:dyDescent="0.25">
      <c r="A22801" s="1" t="str">
        <f t="shared" si="851"/>
        <v>35004</v>
      </c>
      <c r="B22801" s="1" t="str">
        <f>"11024"</f>
        <v>11024</v>
      </c>
      <c r="C22801" s="2">
        <v>0</v>
      </c>
      <c r="D22801" s="2">
        <v>0</v>
      </c>
      <c r="E22801" s="2">
        <v>4.7641734159123298E-4</v>
      </c>
      <c r="F22801" s="2">
        <v>1.6716817118020701E-4</v>
      </c>
    </row>
    <row r="22802" spans="1:6" x14ac:dyDescent="0.25">
      <c r="A22802" s="1" t="str">
        <f t="shared" si="851"/>
        <v>35004</v>
      </c>
      <c r="B22802" s="1" t="str">
        <f>"11556"</f>
        <v>11556</v>
      </c>
      <c r="C22802" s="2">
        <v>0</v>
      </c>
      <c r="D22802" s="2">
        <v>0</v>
      </c>
      <c r="E22802" s="2">
        <v>4.7641734159123298E-4</v>
      </c>
      <c r="F22802" s="2">
        <v>1.6716817118020701E-4</v>
      </c>
    </row>
    <row r="22803" spans="1:6" x14ac:dyDescent="0.25">
      <c r="A22803" s="1" t="str">
        <f t="shared" si="851"/>
        <v>35004</v>
      </c>
      <c r="B22803" s="1" t="str">
        <f>"11740"</f>
        <v>11740</v>
      </c>
      <c r="C22803" s="2">
        <v>8.5616438356164303E-4</v>
      </c>
      <c r="D22803" s="2">
        <v>0</v>
      </c>
      <c r="E22803" s="2">
        <v>0</v>
      </c>
      <c r="F22803" s="2">
        <v>5.01504513540621E-4</v>
      </c>
    </row>
    <row r="22804" spans="1:6" x14ac:dyDescent="0.25">
      <c r="A22804" s="1" t="str">
        <f t="shared" si="851"/>
        <v>35004</v>
      </c>
      <c r="B22804" s="1" t="str">
        <f>"11030"</f>
        <v>11030</v>
      </c>
      <c r="C22804" s="2">
        <v>0</v>
      </c>
      <c r="D22804" s="2">
        <v>7.9155672823218899E-3</v>
      </c>
      <c r="E22804" s="2">
        <v>0</v>
      </c>
      <c r="F22804" s="2">
        <v>5.01504513540621E-4</v>
      </c>
    </row>
    <row r="22805" spans="1:6" x14ac:dyDescent="0.25">
      <c r="A22805" s="1" t="str">
        <f t="shared" si="851"/>
        <v>35004</v>
      </c>
      <c r="B22805" s="1" t="str">
        <f>"11516"</f>
        <v>11516</v>
      </c>
      <c r="C22805" s="2">
        <v>8.5616438356164303E-4</v>
      </c>
      <c r="D22805" s="2">
        <v>5.2770448548812602E-3</v>
      </c>
      <c r="E22805" s="2">
        <v>4.7641734159123298E-4</v>
      </c>
      <c r="F22805" s="2">
        <v>1.00300902708124E-3</v>
      </c>
    </row>
    <row r="22806" spans="1:6" x14ac:dyDescent="0.25">
      <c r="A22806" s="1" t="str">
        <f t="shared" si="851"/>
        <v>35004</v>
      </c>
      <c r="B22806" s="1" t="str">
        <f>"11754"</f>
        <v>11754</v>
      </c>
      <c r="C22806" s="2">
        <v>4.8515981735159797E-3</v>
      </c>
      <c r="D22806" s="2">
        <v>2.6385224274406301E-3</v>
      </c>
      <c r="E22806" s="2">
        <v>0</v>
      </c>
      <c r="F22806" s="2">
        <v>3.0090270812437301E-3</v>
      </c>
    </row>
    <row r="22807" spans="1:6" x14ac:dyDescent="0.25">
      <c r="A22807" s="1" t="str">
        <f t="shared" si="851"/>
        <v>35004</v>
      </c>
      <c r="B22807" s="1" t="str">
        <f>"11951"</f>
        <v>11951</v>
      </c>
      <c r="C22807" s="2">
        <v>2.8538812785388099E-4</v>
      </c>
      <c r="D22807" s="2">
        <v>0</v>
      </c>
      <c r="E22807" s="2">
        <v>4.7641734159123298E-4</v>
      </c>
      <c r="F22807" s="2">
        <v>3.3433634236041402E-4</v>
      </c>
    </row>
    <row r="22808" spans="1:6" x14ac:dyDescent="0.25">
      <c r="A22808" s="1" t="str">
        <f t="shared" si="851"/>
        <v>35004</v>
      </c>
      <c r="B22808" s="1" t="str">
        <f>"11776"</f>
        <v>11776</v>
      </c>
      <c r="C22808" s="2">
        <v>7.0776255707762498E-2</v>
      </c>
      <c r="D22808" s="2">
        <v>2.1108179419524999E-2</v>
      </c>
      <c r="E22808" s="2">
        <v>9.5283468318246704E-4</v>
      </c>
      <c r="F22808" s="2">
        <v>4.3129388164493403E-2</v>
      </c>
    </row>
    <row r="22809" spans="1:6" x14ac:dyDescent="0.25">
      <c r="A22809" s="1" t="str">
        <f t="shared" si="851"/>
        <v>35004</v>
      </c>
      <c r="B22809" s="1" t="str">
        <f>"11572"</f>
        <v>11572</v>
      </c>
      <c r="C22809" s="2">
        <v>3.9954337899543299E-3</v>
      </c>
      <c r="D22809" s="2">
        <v>2.6385224274406299E-2</v>
      </c>
      <c r="E22809" s="2">
        <v>5.7170080990948001E-3</v>
      </c>
      <c r="F22809" s="2">
        <v>6.0180541624874602E-3</v>
      </c>
    </row>
    <row r="22810" spans="1:6" x14ac:dyDescent="0.25">
      <c r="A22810" s="1" t="str">
        <f t="shared" si="851"/>
        <v>35004</v>
      </c>
      <c r="B22810" s="1" t="str">
        <f>"11752"</f>
        <v>11752</v>
      </c>
      <c r="C22810" s="2">
        <v>0</v>
      </c>
      <c r="D22810" s="2">
        <v>0</v>
      </c>
      <c r="E22810" s="2">
        <v>1.90566936636493E-3</v>
      </c>
      <c r="F22810" s="2">
        <v>6.6867268472082901E-4</v>
      </c>
    </row>
    <row r="22811" spans="1:6" x14ac:dyDescent="0.25">
      <c r="A22811" s="1" t="str">
        <f t="shared" si="851"/>
        <v>35004</v>
      </c>
      <c r="B22811" s="1" t="str">
        <f>"11717"</f>
        <v>11717</v>
      </c>
      <c r="C22811" s="2">
        <v>2.8538812785388099E-4</v>
      </c>
      <c r="D22811" s="2">
        <v>1.3192612137203101E-2</v>
      </c>
      <c r="E22811" s="2">
        <v>3.33492139113863E-3</v>
      </c>
      <c r="F22811" s="2">
        <v>2.1731862253426899E-3</v>
      </c>
    </row>
    <row r="22812" spans="1:6" x14ac:dyDescent="0.25">
      <c r="A22812" s="1" t="str">
        <f t="shared" si="851"/>
        <v>35004</v>
      </c>
      <c r="B22812" s="1" t="str">
        <f>"11507"</f>
        <v>11507</v>
      </c>
      <c r="C22812" s="2">
        <v>0</v>
      </c>
      <c r="D22812" s="2">
        <v>0</v>
      </c>
      <c r="E22812" s="2">
        <v>9.5283468318246704E-4</v>
      </c>
      <c r="F22812" s="2">
        <v>3.3433634236041402E-4</v>
      </c>
    </row>
    <row r="22813" spans="1:6" x14ac:dyDescent="0.25">
      <c r="A22813" s="1" t="str">
        <f t="shared" si="851"/>
        <v>35004</v>
      </c>
      <c r="B22813" s="1" t="str">
        <f>"11792"</f>
        <v>11792</v>
      </c>
      <c r="C22813" s="2">
        <v>0</v>
      </c>
      <c r="D22813" s="2">
        <v>0</v>
      </c>
      <c r="E22813" s="2">
        <v>3.33492139113863E-3</v>
      </c>
      <c r="F22813" s="2">
        <v>1.1701771982614499E-3</v>
      </c>
    </row>
    <row r="22814" spans="1:6" x14ac:dyDescent="0.25">
      <c r="A22814" s="1" t="str">
        <f t="shared" si="851"/>
        <v>35004</v>
      </c>
      <c r="B22814" s="1" t="str">
        <f>"11803"</f>
        <v>11803</v>
      </c>
      <c r="C22814" s="2">
        <v>0</v>
      </c>
      <c r="D22814" s="2">
        <v>0</v>
      </c>
      <c r="E22814" s="2">
        <v>2.3820867079561601E-3</v>
      </c>
      <c r="F22814" s="2">
        <v>8.3584085590103605E-4</v>
      </c>
    </row>
    <row r="22815" spans="1:6" x14ac:dyDescent="0.25">
      <c r="A22815" s="1" t="str">
        <f t="shared" si="851"/>
        <v>35004</v>
      </c>
      <c r="B22815" s="1" t="str">
        <f>"11971"</f>
        <v>11971</v>
      </c>
      <c r="C22815" s="2">
        <v>3.9954337899543299E-3</v>
      </c>
      <c r="D22815" s="2">
        <v>0</v>
      </c>
      <c r="E22815" s="2">
        <v>1.4292520247737E-3</v>
      </c>
      <c r="F22815" s="2">
        <v>2.8418589100635198E-3</v>
      </c>
    </row>
    <row r="22816" spans="1:6" x14ac:dyDescent="0.25">
      <c r="A22816" s="1" t="str">
        <f t="shared" si="851"/>
        <v>35004</v>
      </c>
      <c r="B22816" s="1" t="str">
        <f>"11978"</f>
        <v>11978</v>
      </c>
      <c r="C22816" s="2">
        <v>1.4269406392694001E-2</v>
      </c>
      <c r="D22816" s="2">
        <v>6.3324538258575105E-2</v>
      </c>
      <c r="E22816" s="2">
        <v>1.4292520247737E-3</v>
      </c>
      <c r="F22816" s="2">
        <v>1.28719491808759E-2</v>
      </c>
    </row>
    <row r="22817" spans="1:6" x14ac:dyDescent="0.25">
      <c r="A22817" s="1" t="str">
        <f t="shared" si="851"/>
        <v>35004</v>
      </c>
      <c r="B22817" s="1" t="str">
        <f>"11715"</f>
        <v>11715</v>
      </c>
      <c r="C22817" s="2">
        <v>0</v>
      </c>
      <c r="D22817" s="2">
        <v>0</v>
      </c>
      <c r="E22817" s="2">
        <v>4.7641734159123298E-4</v>
      </c>
      <c r="F22817" s="2">
        <v>1.6716817118020701E-4</v>
      </c>
    </row>
    <row r="22818" spans="1:6" x14ac:dyDescent="0.25">
      <c r="A22818" s="1" t="str">
        <f t="shared" si="851"/>
        <v>35004</v>
      </c>
      <c r="B22818" s="1" t="str">
        <f>"11784"</f>
        <v>11784</v>
      </c>
      <c r="C22818" s="2">
        <v>2.8538812785388099E-4</v>
      </c>
      <c r="D22818" s="2">
        <v>0</v>
      </c>
      <c r="E22818" s="2">
        <v>3.8113387327298699E-3</v>
      </c>
      <c r="F22818" s="2">
        <v>1.5045135406218601E-3</v>
      </c>
    </row>
    <row r="22819" spans="1:6" x14ac:dyDescent="0.25">
      <c r="A22819" s="1" t="str">
        <f t="shared" si="851"/>
        <v>35004</v>
      </c>
      <c r="B22819" s="1" t="str">
        <f>"11596"</f>
        <v>11596</v>
      </c>
      <c r="C22819" s="2">
        <v>0</v>
      </c>
      <c r="D22819" s="2">
        <v>0</v>
      </c>
      <c r="E22819" s="2">
        <v>9.5283468318246704E-4</v>
      </c>
      <c r="F22819" s="2">
        <v>3.3433634236041402E-4</v>
      </c>
    </row>
    <row r="22820" spans="1:6" x14ac:dyDescent="0.25">
      <c r="A22820" s="1" t="str">
        <f t="shared" ref="A22820:A22851" si="852">"35004"</f>
        <v>35004</v>
      </c>
      <c r="B22820" s="1" t="str">
        <f>"11713"</f>
        <v>11713</v>
      </c>
      <c r="C22820" s="2">
        <v>0</v>
      </c>
      <c r="D22820" s="2">
        <v>0</v>
      </c>
      <c r="E22820" s="2">
        <v>1.90566936636493E-3</v>
      </c>
      <c r="F22820" s="2">
        <v>6.6867268472082901E-4</v>
      </c>
    </row>
    <row r="22821" spans="1:6" x14ac:dyDescent="0.25">
      <c r="A22821" s="1" t="str">
        <f t="shared" si="852"/>
        <v>35004</v>
      </c>
      <c r="B22821" s="1" t="str">
        <f>"11577"</f>
        <v>11577</v>
      </c>
      <c r="C22821" s="2">
        <v>2.8538812785388099E-4</v>
      </c>
      <c r="D22821" s="2">
        <v>1.58311345646437E-2</v>
      </c>
      <c r="E22821" s="2">
        <v>5.2405907575035701E-3</v>
      </c>
      <c r="F22821" s="2">
        <v>3.0090270812437301E-3</v>
      </c>
    </row>
    <row r="22822" spans="1:6" x14ac:dyDescent="0.25">
      <c r="A22822" s="1" t="str">
        <f t="shared" si="852"/>
        <v>35004</v>
      </c>
      <c r="B22822" s="1" t="str">
        <f>"11722"</f>
        <v>11722</v>
      </c>
      <c r="C22822" s="2">
        <v>0</v>
      </c>
      <c r="D22822" s="2">
        <v>0</v>
      </c>
      <c r="E22822" s="2">
        <v>4.7641734159123298E-4</v>
      </c>
      <c r="F22822" s="2">
        <v>1.6716817118020701E-4</v>
      </c>
    </row>
    <row r="22823" spans="1:6" x14ac:dyDescent="0.25">
      <c r="A22823" s="1" t="str">
        <f t="shared" si="852"/>
        <v>35004</v>
      </c>
      <c r="B22823" s="1" t="str">
        <f>"11570"</f>
        <v>11570</v>
      </c>
      <c r="C22823" s="2">
        <v>2.8538812785388099E-4</v>
      </c>
      <c r="D22823" s="2">
        <v>0</v>
      </c>
      <c r="E22823" s="2">
        <v>2.3820867079561601E-3</v>
      </c>
      <c r="F22823" s="2">
        <v>1.00300902708124E-3</v>
      </c>
    </row>
    <row r="22824" spans="1:6" x14ac:dyDescent="0.25">
      <c r="A22824" s="1" t="str">
        <f t="shared" si="852"/>
        <v>35004</v>
      </c>
      <c r="B22824" s="1" t="str">
        <f>"11802"</f>
        <v>11802</v>
      </c>
      <c r="C22824" s="2">
        <v>2.22602739726027E-2</v>
      </c>
      <c r="D22824" s="2">
        <v>0</v>
      </c>
      <c r="E22824" s="2">
        <v>0</v>
      </c>
      <c r="F22824" s="2">
        <v>1.3039117352056101E-2</v>
      </c>
    </row>
    <row r="22825" spans="1:6" x14ac:dyDescent="0.25">
      <c r="A22825" s="1" t="str">
        <f t="shared" si="852"/>
        <v>35004</v>
      </c>
      <c r="B22825" s="1" t="str">
        <f>"11554"</f>
        <v>11554</v>
      </c>
      <c r="C22825" s="2">
        <v>2.6541095890410898E-2</v>
      </c>
      <c r="D22825" s="2">
        <v>2.6385224274406299E-2</v>
      </c>
      <c r="E22825" s="2">
        <v>3.33492139113863E-3</v>
      </c>
      <c r="F22825" s="2">
        <v>1.83884988298228E-2</v>
      </c>
    </row>
    <row r="22826" spans="1:6" x14ac:dyDescent="0.25">
      <c r="A22826" s="1" t="str">
        <f t="shared" si="852"/>
        <v>35004</v>
      </c>
      <c r="B22826" s="1" t="str">
        <f>"11559"</f>
        <v>11559</v>
      </c>
      <c r="C22826" s="2">
        <v>0</v>
      </c>
      <c r="D22826" s="2">
        <v>2.6385224274406301E-3</v>
      </c>
      <c r="E22826" s="2">
        <v>9.5283468318246704E-4</v>
      </c>
      <c r="F22826" s="2">
        <v>5.01504513540621E-4</v>
      </c>
    </row>
    <row r="22827" spans="1:6" x14ac:dyDescent="0.25">
      <c r="A22827" s="1" t="str">
        <f t="shared" si="852"/>
        <v>35004</v>
      </c>
      <c r="B22827" s="1" t="str">
        <f>"11758"</f>
        <v>11758</v>
      </c>
      <c r="C22827" s="2">
        <v>5.7077625570776198E-4</v>
      </c>
      <c r="D22827" s="2">
        <v>0</v>
      </c>
      <c r="E22827" s="2">
        <v>1.4292520247737E-3</v>
      </c>
      <c r="F22827" s="2">
        <v>8.3584085590103605E-4</v>
      </c>
    </row>
    <row r="22828" spans="1:6" x14ac:dyDescent="0.25">
      <c r="A22828" s="1" t="str">
        <f t="shared" si="852"/>
        <v>35004</v>
      </c>
      <c r="B22828" s="1" t="str">
        <f>"11980"</f>
        <v>11980</v>
      </c>
      <c r="C22828" s="2">
        <v>2.9109589041095799E-2</v>
      </c>
      <c r="D22828" s="2">
        <v>2.1108179419524999E-2</v>
      </c>
      <c r="E22828" s="2">
        <v>4.2877560743210998E-3</v>
      </c>
      <c r="F22828" s="2">
        <v>1.98930123704446E-2</v>
      </c>
    </row>
    <row r="22829" spans="1:6" x14ac:dyDescent="0.25">
      <c r="A22829" s="1" t="str">
        <f t="shared" si="852"/>
        <v>35004</v>
      </c>
      <c r="B22829" s="1" t="str">
        <f>"11960"</f>
        <v>11960</v>
      </c>
      <c r="C22829" s="2">
        <v>2.1404109589041001E-2</v>
      </c>
      <c r="D22829" s="2">
        <v>0</v>
      </c>
      <c r="E22829" s="2">
        <v>0</v>
      </c>
      <c r="F22829" s="2">
        <v>1.25376128385155E-2</v>
      </c>
    </row>
    <row r="22830" spans="1:6" x14ac:dyDescent="0.25">
      <c r="A22830" s="1" t="str">
        <f t="shared" si="852"/>
        <v>35004</v>
      </c>
      <c r="B22830" s="1" t="str">
        <f>"11518"</f>
        <v>11518</v>
      </c>
      <c r="C22830" s="2">
        <v>0</v>
      </c>
      <c r="D22830" s="2">
        <v>0</v>
      </c>
      <c r="E22830" s="2">
        <v>6.24106717484516E-2</v>
      </c>
      <c r="F22830" s="2">
        <v>2.1899030424607099E-2</v>
      </c>
    </row>
    <row r="22831" spans="1:6" x14ac:dyDescent="0.25">
      <c r="A22831" s="1" t="str">
        <f t="shared" si="852"/>
        <v>35004</v>
      </c>
      <c r="B22831" s="1" t="str">
        <f>"11798"</f>
        <v>11798</v>
      </c>
      <c r="C22831" s="2">
        <v>0</v>
      </c>
      <c r="D22831" s="2">
        <v>0</v>
      </c>
      <c r="E22831" s="2">
        <v>4.4783230109575897E-2</v>
      </c>
      <c r="F22831" s="2">
        <v>1.5713808090939401E-2</v>
      </c>
    </row>
    <row r="22832" spans="1:6" x14ac:dyDescent="0.25">
      <c r="A22832" s="1" t="str">
        <f t="shared" si="852"/>
        <v>35004</v>
      </c>
      <c r="B22832" s="1" t="str">
        <f>"11959"</f>
        <v>11959</v>
      </c>
      <c r="C22832" s="2">
        <v>0.123858447488584</v>
      </c>
      <c r="D22832" s="2">
        <v>0</v>
      </c>
      <c r="E22832" s="2">
        <v>0</v>
      </c>
      <c r="F22832" s="2">
        <v>7.2550986292209907E-2</v>
      </c>
    </row>
    <row r="22833" spans="1:6" x14ac:dyDescent="0.25">
      <c r="A22833" s="1" t="str">
        <f t="shared" si="852"/>
        <v>35004</v>
      </c>
      <c r="B22833" s="1" t="str">
        <f>"11530"</f>
        <v>11530</v>
      </c>
      <c r="C22833" s="2">
        <v>5.7077625570776198E-4</v>
      </c>
      <c r="D22833" s="2">
        <v>2.37467018469656E-2</v>
      </c>
      <c r="E22833" s="2">
        <v>2.0962363030014201E-2</v>
      </c>
      <c r="F22833" s="2">
        <v>9.1942494149114002E-3</v>
      </c>
    </row>
    <row r="22834" spans="1:6" x14ac:dyDescent="0.25">
      <c r="A22834" s="1" t="str">
        <f t="shared" si="852"/>
        <v>35004</v>
      </c>
      <c r="B22834" s="1" t="str">
        <f>"11934"</f>
        <v>11934</v>
      </c>
      <c r="C22834" s="2">
        <v>5.7077625570776198E-4</v>
      </c>
      <c r="D22834" s="2">
        <v>0</v>
      </c>
      <c r="E22834" s="2">
        <v>4.7641734159123298E-4</v>
      </c>
      <c r="F22834" s="2">
        <v>5.01504513540621E-4</v>
      </c>
    </row>
    <row r="22835" spans="1:6" x14ac:dyDescent="0.25">
      <c r="A22835" s="1" t="str">
        <f t="shared" si="852"/>
        <v>35004</v>
      </c>
      <c r="B22835" s="1" t="str">
        <f>"11961"</f>
        <v>11961</v>
      </c>
      <c r="C22835" s="2">
        <v>0</v>
      </c>
      <c r="D22835" s="2">
        <v>0</v>
      </c>
      <c r="E22835" s="2">
        <v>4.7641734159123298E-4</v>
      </c>
      <c r="F22835" s="2">
        <v>1.6716817118020701E-4</v>
      </c>
    </row>
    <row r="22836" spans="1:6" x14ac:dyDescent="0.25">
      <c r="A22836" s="1" t="str">
        <f t="shared" si="852"/>
        <v>35004</v>
      </c>
      <c r="B22836" s="1" t="str">
        <f>"11756"</f>
        <v>11756</v>
      </c>
      <c r="C22836" s="2">
        <v>0</v>
      </c>
      <c r="D22836" s="2">
        <v>5.2770448548812602E-3</v>
      </c>
      <c r="E22836" s="2">
        <v>9.5283468318246704E-4</v>
      </c>
      <c r="F22836" s="2">
        <v>6.6867268472082901E-4</v>
      </c>
    </row>
    <row r="22837" spans="1:6" x14ac:dyDescent="0.25">
      <c r="A22837" s="1" t="str">
        <f t="shared" si="852"/>
        <v>35004</v>
      </c>
      <c r="B22837" s="1" t="str">
        <f>"11946"</f>
        <v>11946</v>
      </c>
      <c r="C22837" s="2">
        <v>2.2831050228310501E-3</v>
      </c>
      <c r="D22837" s="2">
        <v>0</v>
      </c>
      <c r="E22837" s="2">
        <v>1.4292520247737E-3</v>
      </c>
      <c r="F22837" s="2">
        <v>1.83884988298228E-3</v>
      </c>
    </row>
    <row r="22838" spans="1:6" x14ac:dyDescent="0.25">
      <c r="A22838" s="1" t="str">
        <f t="shared" si="852"/>
        <v>35004</v>
      </c>
      <c r="B22838" s="1" t="str">
        <f>"11501"</f>
        <v>11501</v>
      </c>
      <c r="C22838" s="2">
        <v>5.5079908675798997E-2</v>
      </c>
      <c r="D22838" s="2">
        <v>1.8469656992084402E-2</v>
      </c>
      <c r="E22838" s="2">
        <v>2.28680323963792E-2</v>
      </c>
      <c r="F22838" s="2">
        <v>4.1457706452691402E-2</v>
      </c>
    </row>
    <row r="22839" spans="1:6" x14ac:dyDescent="0.25">
      <c r="A22839" s="1" t="str">
        <f t="shared" si="852"/>
        <v>35004</v>
      </c>
      <c r="B22839" s="1" t="str">
        <f>"11557"</f>
        <v>11557</v>
      </c>
      <c r="C22839" s="2">
        <v>5.7077625570776198E-4</v>
      </c>
      <c r="D22839" s="2">
        <v>2.6385224274406301E-3</v>
      </c>
      <c r="E22839" s="2">
        <v>2.8585040495474E-3</v>
      </c>
      <c r="F22839" s="2">
        <v>1.5045135406218601E-3</v>
      </c>
    </row>
    <row r="22840" spans="1:6" x14ac:dyDescent="0.25">
      <c r="A22840" s="1" t="str">
        <f t="shared" si="852"/>
        <v>35004</v>
      </c>
      <c r="B22840" s="1" t="str">
        <f>"11550"</f>
        <v>11550</v>
      </c>
      <c r="C22840" s="2">
        <v>0</v>
      </c>
      <c r="D22840" s="2">
        <v>0</v>
      </c>
      <c r="E22840" s="2">
        <v>2.3820867079561601E-3</v>
      </c>
      <c r="F22840" s="2">
        <v>8.3584085590103605E-4</v>
      </c>
    </row>
    <row r="22841" spans="1:6" x14ac:dyDescent="0.25">
      <c r="A22841" s="1" t="str">
        <f t="shared" si="852"/>
        <v>35004</v>
      </c>
      <c r="B22841" s="1" t="str">
        <f>"11709"</f>
        <v>11709</v>
      </c>
      <c r="C22841" s="2">
        <v>2.2831050228310501E-3</v>
      </c>
      <c r="D22841" s="2">
        <v>0</v>
      </c>
      <c r="E22841" s="2">
        <v>0</v>
      </c>
      <c r="F22841" s="2">
        <v>1.33734536944165E-3</v>
      </c>
    </row>
    <row r="22842" spans="1:6" x14ac:dyDescent="0.25">
      <c r="A22842" s="1" t="str">
        <f t="shared" si="852"/>
        <v>35004</v>
      </c>
      <c r="B22842" s="1" t="str">
        <f>"11944"</f>
        <v>11944</v>
      </c>
      <c r="C22842" s="2">
        <v>2.85388127853881E-3</v>
      </c>
      <c r="D22842" s="2">
        <v>5.2770448548812602E-3</v>
      </c>
      <c r="E22842" s="2">
        <v>1.90566936636493E-3</v>
      </c>
      <c r="F22842" s="2">
        <v>2.67469073888331E-3</v>
      </c>
    </row>
    <row r="22843" spans="1:6" x14ac:dyDescent="0.25">
      <c r="A22843" s="1" t="str">
        <f t="shared" si="852"/>
        <v>35004</v>
      </c>
      <c r="B22843" s="1" t="str">
        <f>"11765"</f>
        <v>11765</v>
      </c>
      <c r="C22843" s="2">
        <v>8.5616438356164303E-4</v>
      </c>
      <c r="D22843" s="2">
        <v>0</v>
      </c>
      <c r="E22843" s="2">
        <v>1.4292520247737E-3</v>
      </c>
      <c r="F22843" s="2">
        <v>1.00300902708124E-3</v>
      </c>
    </row>
    <row r="22844" spans="1:6" x14ac:dyDescent="0.25">
      <c r="A22844" s="1" t="str">
        <f t="shared" si="852"/>
        <v>35004</v>
      </c>
      <c r="B22844" s="1" t="str">
        <f>"11720"</f>
        <v>11720</v>
      </c>
      <c r="C22844" s="2">
        <v>2.8538812785388099E-4</v>
      </c>
      <c r="D22844" s="2">
        <v>0</v>
      </c>
      <c r="E22844" s="2">
        <v>4.7641734159123298E-4</v>
      </c>
      <c r="F22844" s="2">
        <v>3.3433634236041402E-4</v>
      </c>
    </row>
    <row r="22845" spans="1:6" x14ac:dyDescent="0.25">
      <c r="A22845" s="1" t="str">
        <f t="shared" si="852"/>
        <v>35004</v>
      </c>
      <c r="B22845" s="1" t="str">
        <f>"11768"</f>
        <v>11768</v>
      </c>
      <c r="C22845" s="2">
        <v>1.4269406392694E-3</v>
      </c>
      <c r="D22845" s="2">
        <v>1.05540897097625E-2</v>
      </c>
      <c r="E22845" s="2">
        <v>4.2877560743210998E-3</v>
      </c>
      <c r="F22845" s="2">
        <v>3.0090270812437301E-3</v>
      </c>
    </row>
    <row r="22846" spans="1:6" x14ac:dyDescent="0.25">
      <c r="A22846" s="1" t="str">
        <f t="shared" si="852"/>
        <v>35004</v>
      </c>
      <c r="B22846" s="1" t="str">
        <f>"11763"</f>
        <v>11763</v>
      </c>
      <c r="C22846" s="2">
        <v>1.4554794520547899E-2</v>
      </c>
      <c r="D22846" s="2">
        <v>0</v>
      </c>
      <c r="E22846" s="2">
        <v>3.33492139113863E-3</v>
      </c>
      <c r="F22846" s="2">
        <v>9.6957539284520198E-3</v>
      </c>
    </row>
    <row r="22847" spans="1:6" x14ac:dyDescent="0.25">
      <c r="A22847" s="1" t="str">
        <f t="shared" si="852"/>
        <v>35004</v>
      </c>
      <c r="B22847" s="1" t="str">
        <f>"11733"</f>
        <v>11733</v>
      </c>
      <c r="C22847" s="2">
        <v>5.7077625570776198E-4</v>
      </c>
      <c r="D22847" s="2">
        <v>2.6385224274406301E-3</v>
      </c>
      <c r="E22847" s="2">
        <v>1.4292520247737E-3</v>
      </c>
      <c r="F22847" s="2">
        <v>1.00300902708124E-3</v>
      </c>
    </row>
    <row r="22848" spans="1:6" x14ac:dyDescent="0.25">
      <c r="A22848" s="1" t="str">
        <f t="shared" si="852"/>
        <v>35004</v>
      </c>
      <c r="B22848" s="1" t="str">
        <f>"11977"</f>
        <v>11977</v>
      </c>
      <c r="C22848" s="2">
        <v>8.5616438356164303E-4</v>
      </c>
      <c r="D22848" s="2">
        <v>0</v>
      </c>
      <c r="E22848" s="2">
        <v>2.1438780371605501E-2</v>
      </c>
      <c r="F22848" s="2">
        <v>8.0240722166499395E-3</v>
      </c>
    </row>
    <row r="22849" spans="1:6" x14ac:dyDescent="0.25">
      <c r="A22849" s="1" t="str">
        <f t="shared" si="852"/>
        <v>35004</v>
      </c>
      <c r="B22849" s="1" t="str">
        <f>"11801"</f>
        <v>11801</v>
      </c>
      <c r="C22849" s="2">
        <v>2.8538812785388099E-4</v>
      </c>
      <c r="D22849" s="2">
        <v>0</v>
      </c>
      <c r="E22849" s="2">
        <v>2.3820867079561601E-3</v>
      </c>
      <c r="F22849" s="2">
        <v>1.00300902708124E-3</v>
      </c>
    </row>
    <row r="22850" spans="1:6" x14ac:dyDescent="0.25">
      <c r="A22850" s="1" t="str">
        <f t="shared" si="852"/>
        <v>35004</v>
      </c>
      <c r="B22850" s="1" t="str">
        <f>"11721"</f>
        <v>11721</v>
      </c>
      <c r="C22850" s="2">
        <v>2.8538812785388099E-4</v>
      </c>
      <c r="D22850" s="2">
        <v>0</v>
      </c>
      <c r="E22850" s="2">
        <v>0</v>
      </c>
      <c r="F22850" s="2">
        <v>1.6716817118020701E-4</v>
      </c>
    </row>
    <row r="22851" spans="1:6" x14ac:dyDescent="0.25">
      <c r="A22851" s="1" t="str">
        <f t="shared" si="852"/>
        <v>35004</v>
      </c>
      <c r="B22851" s="1" t="str">
        <f>"11568"</f>
        <v>11568</v>
      </c>
      <c r="C22851" s="2">
        <v>2.8538812785388099E-4</v>
      </c>
      <c r="D22851" s="2">
        <v>0</v>
      </c>
      <c r="E22851" s="2">
        <v>1.90566936636493E-3</v>
      </c>
      <c r="F22851" s="2">
        <v>8.3584085590103605E-4</v>
      </c>
    </row>
    <row r="22852" spans="1:6" x14ac:dyDescent="0.25">
      <c r="A22852" s="1" t="str">
        <f t="shared" ref="A22852:A22883" si="853">"35004"</f>
        <v>35004</v>
      </c>
      <c r="B22852" s="1" t="str">
        <f>"11793"</f>
        <v>11793</v>
      </c>
      <c r="C22852" s="2">
        <v>2.8538812785388099E-4</v>
      </c>
      <c r="D22852" s="2">
        <v>0</v>
      </c>
      <c r="E22852" s="2">
        <v>0</v>
      </c>
      <c r="F22852" s="2">
        <v>1.6716817118020701E-4</v>
      </c>
    </row>
    <row r="22853" spans="1:6" x14ac:dyDescent="0.25">
      <c r="A22853" s="1" t="str">
        <f t="shared" si="853"/>
        <v>35004</v>
      </c>
      <c r="B22853" s="1" t="str">
        <f>"11731"</f>
        <v>11731</v>
      </c>
      <c r="C22853" s="2">
        <v>1.6552511415525099E-2</v>
      </c>
      <c r="D22853" s="2">
        <v>0</v>
      </c>
      <c r="E22853" s="2">
        <v>4.7641734159123298E-4</v>
      </c>
      <c r="F22853" s="2">
        <v>9.8629220996322292E-3</v>
      </c>
    </row>
    <row r="22854" spans="1:6" x14ac:dyDescent="0.25">
      <c r="A22854" s="1" t="str">
        <f t="shared" si="853"/>
        <v>35004</v>
      </c>
      <c r="B22854" s="1" t="str">
        <f>"11777"</f>
        <v>11777</v>
      </c>
      <c r="C22854" s="2">
        <v>0</v>
      </c>
      <c r="D22854" s="2">
        <v>0</v>
      </c>
      <c r="E22854" s="2">
        <v>9.5283468318246704E-4</v>
      </c>
      <c r="F22854" s="2">
        <v>3.3433634236041402E-4</v>
      </c>
    </row>
    <row r="22855" spans="1:6" x14ac:dyDescent="0.25">
      <c r="A22855" s="1" t="str">
        <f t="shared" si="853"/>
        <v>35004</v>
      </c>
      <c r="B22855" s="1" t="str">
        <f>"11948"</f>
        <v>11948</v>
      </c>
      <c r="C22855" s="2">
        <v>2.8538812785388099E-4</v>
      </c>
      <c r="D22855" s="2">
        <v>0</v>
      </c>
      <c r="E22855" s="2">
        <v>4.7641734159123298E-4</v>
      </c>
      <c r="F22855" s="2">
        <v>3.3433634236041402E-4</v>
      </c>
    </row>
    <row r="22856" spans="1:6" x14ac:dyDescent="0.25">
      <c r="A22856" s="1" t="str">
        <f t="shared" si="853"/>
        <v>35004</v>
      </c>
      <c r="B22856" s="1" t="str">
        <f>"11598"</f>
        <v>11598</v>
      </c>
      <c r="C22856" s="2">
        <v>0</v>
      </c>
      <c r="D22856" s="2">
        <v>0</v>
      </c>
      <c r="E22856" s="2">
        <v>2.8585040495474E-3</v>
      </c>
      <c r="F22856" s="2">
        <v>1.00300902708124E-3</v>
      </c>
    </row>
    <row r="22857" spans="1:6" x14ac:dyDescent="0.25">
      <c r="A22857" s="1" t="str">
        <f t="shared" si="853"/>
        <v>35004</v>
      </c>
      <c r="B22857" s="1" t="str">
        <f>"11804"</f>
        <v>11804</v>
      </c>
      <c r="C22857" s="2">
        <v>0</v>
      </c>
      <c r="D22857" s="2">
        <v>0</v>
      </c>
      <c r="E22857" s="2">
        <v>4.7641734159123298E-4</v>
      </c>
      <c r="F22857" s="2">
        <v>1.6716817118020701E-4</v>
      </c>
    </row>
    <row r="22858" spans="1:6" x14ac:dyDescent="0.25">
      <c r="A22858" s="1" t="str">
        <f t="shared" si="853"/>
        <v>35004</v>
      </c>
      <c r="B22858" s="1" t="str">
        <f>"11023"</f>
        <v>11023</v>
      </c>
      <c r="C22858" s="2">
        <v>0</v>
      </c>
      <c r="D22858" s="2">
        <v>0</v>
      </c>
      <c r="E22858" s="2">
        <v>4.7641734159123298E-4</v>
      </c>
      <c r="F22858" s="2">
        <v>1.6716817118020701E-4</v>
      </c>
    </row>
    <row r="22859" spans="1:6" x14ac:dyDescent="0.25">
      <c r="A22859" s="1" t="str">
        <f t="shared" si="853"/>
        <v>35004</v>
      </c>
      <c r="B22859" s="1" t="str">
        <f>"11937"</f>
        <v>11937</v>
      </c>
      <c r="C22859" s="2">
        <v>1.1415525114155201E-3</v>
      </c>
      <c r="D22859" s="2">
        <v>2.6385224274406301E-3</v>
      </c>
      <c r="E22859" s="2">
        <v>0</v>
      </c>
      <c r="F22859" s="2">
        <v>8.3584085590103605E-4</v>
      </c>
    </row>
    <row r="22860" spans="1:6" x14ac:dyDescent="0.25">
      <c r="A22860" s="1" t="str">
        <f t="shared" si="853"/>
        <v>35004</v>
      </c>
      <c r="B22860" s="1" t="str">
        <f>"11730"</f>
        <v>11730</v>
      </c>
      <c r="C22860" s="2">
        <v>1.54109589041095E-2</v>
      </c>
      <c r="D22860" s="2">
        <v>0</v>
      </c>
      <c r="E22860" s="2">
        <v>1.4292520247737E-3</v>
      </c>
      <c r="F22860" s="2">
        <v>9.5285857572718104E-3</v>
      </c>
    </row>
    <row r="22861" spans="1:6" x14ac:dyDescent="0.25">
      <c r="A22861" s="1" t="str">
        <f t="shared" si="853"/>
        <v>35004</v>
      </c>
      <c r="B22861" s="1" t="str">
        <f>"11050"</f>
        <v>11050</v>
      </c>
      <c r="C22861" s="2">
        <v>1.1415525114155201E-3</v>
      </c>
      <c r="D22861" s="2">
        <v>1.58311345646437E-2</v>
      </c>
      <c r="E22861" s="2">
        <v>0</v>
      </c>
      <c r="F22861" s="2">
        <v>1.6716817118020699E-3</v>
      </c>
    </row>
    <row r="22862" spans="1:6" x14ac:dyDescent="0.25">
      <c r="A22862" s="1" t="str">
        <f t="shared" si="853"/>
        <v>35004</v>
      </c>
      <c r="B22862" s="1" t="str">
        <f>"11764"</f>
        <v>11764</v>
      </c>
      <c r="C22862" s="2">
        <v>0</v>
      </c>
      <c r="D22862" s="2">
        <v>0</v>
      </c>
      <c r="E22862" s="2">
        <v>4.7641734159123298E-4</v>
      </c>
      <c r="F22862" s="2">
        <v>1.6716817118020701E-4</v>
      </c>
    </row>
    <row r="22863" spans="1:6" x14ac:dyDescent="0.25">
      <c r="A22863" s="1" t="str">
        <f t="shared" si="853"/>
        <v>35004</v>
      </c>
      <c r="B22863" s="1" t="str">
        <f>"11782"</f>
        <v>11782</v>
      </c>
      <c r="C22863" s="2">
        <v>5.7077625570776198E-4</v>
      </c>
      <c r="D22863" s="2">
        <v>0</v>
      </c>
      <c r="E22863" s="2">
        <v>2.42972844211529E-2</v>
      </c>
      <c r="F22863" s="2">
        <v>8.8599130725509796E-3</v>
      </c>
    </row>
    <row r="22864" spans="1:6" x14ac:dyDescent="0.25">
      <c r="A22864" s="1" t="str">
        <f t="shared" si="853"/>
        <v>35004</v>
      </c>
      <c r="B22864" s="1" t="str">
        <f>"11553"</f>
        <v>11553</v>
      </c>
      <c r="C22864" s="2">
        <v>0</v>
      </c>
      <c r="D22864" s="2">
        <v>0</v>
      </c>
      <c r="E22864" s="2">
        <v>1.4292520247737E-3</v>
      </c>
      <c r="F22864" s="2">
        <v>5.01504513540621E-4</v>
      </c>
    </row>
    <row r="22865" spans="1:6" x14ac:dyDescent="0.25">
      <c r="A22865" s="1" t="str">
        <f t="shared" si="853"/>
        <v>35004</v>
      </c>
      <c r="B22865" s="1" t="str">
        <f>"11701"</f>
        <v>11701</v>
      </c>
      <c r="C22865" s="2">
        <v>0</v>
      </c>
      <c r="D22865" s="2">
        <v>7.9155672823218899E-3</v>
      </c>
      <c r="E22865" s="2">
        <v>3.6684135302524998E-2</v>
      </c>
      <c r="F22865" s="2">
        <v>1.33734536944165E-2</v>
      </c>
    </row>
    <row r="22866" spans="1:6" x14ac:dyDescent="0.25">
      <c r="A22866" s="1" t="str">
        <f t="shared" si="853"/>
        <v>35004</v>
      </c>
      <c r="B22866" s="1" t="str">
        <f>"11769"</f>
        <v>11769</v>
      </c>
      <c r="C22866" s="2">
        <v>5.9931506849314996E-3</v>
      </c>
      <c r="D22866" s="2">
        <v>5.2770448548812602E-3</v>
      </c>
      <c r="E22866" s="2">
        <v>4.7641734159123298E-4</v>
      </c>
      <c r="F22866" s="2">
        <v>4.0120361083249697E-3</v>
      </c>
    </row>
    <row r="22867" spans="1:6" x14ac:dyDescent="0.25">
      <c r="A22867" s="1" t="str">
        <f t="shared" si="853"/>
        <v>35004</v>
      </c>
      <c r="B22867" s="1" t="str">
        <f>"11575"</f>
        <v>11575</v>
      </c>
      <c r="C22867" s="2">
        <v>0</v>
      </c>
      <c r="D22867" s="2">
        <v>7.9155672823218899E-3</v>
      </c>
      <c r="E22867" s="2">
        <v>4.7641734159123298E-4</v>
      </c>
      <c r="F22867" s="2">
        <v>6.6867268472082901E-4</v>
      </c>
    </row>
    <row r="22868" spans="1:6" x14ac:dyDescent="0.25">
      <c r="A22868" s="1" t="str">
        <f t="shared" si="853"/>
        <v>35004</v>
      </c>
      <c r="B22868" s="1" t="str">
        <f>"11725"</f>
        <v>11725</v>
      </c>
      <c r="C22868" s="2">
        <v>0</v>
      </c>
      <c r="D22868" s="2">
        <v>2.6385224274406301E-3</v>
      </c>
      <c r="E22868" s="2">
        <v>1.90566936636493E-3</v>
      </c>
      <c r="F22868" s="2">
        <v>8.3584085590103605E-4</v>
      </c>
    </row>
    <row r="22869" spans="1:6" x14ac:dyDescent="0.25">
      <c r="A22869" s="1" t="str">
        <f t="shared" si="853"/>
        <v>35004</v>
      </c>
      <c r="B22869" s="1" t="str">
        <f>"11558"</f>
        <v>11558</v>
      </c>
      <c r="C22869" s="2">
        <v>2.48287671232876E-2</v>
      </c>
      <c r="D22869" s="2">
        <v>0</v>
      </c>
      <c r="E22869" s="2">
        <v>1.4292520247737E-3</v>
      </c>
      <c r="F22869" s="2">
        <v>1.50451354062186E-2</v>
      </c>
    </row>
    <row r="22870" spans="1:6" x14ac:dyDescent="0.25">
      <c r="A22870" s="1" t="str">
        <f t="shared" si="853"/>
        <v>35004</v>
      </c>
      <c r="B22870" s="1" t="str">
        <f>"11755"</f>
        <v>11755</v>
      </c>
      <c r="C22870" s="2">
        <v>1.71232876712328E-3</v>
      </c>
      <c r="D22870" s="2">
        <v>0</v>
      </c>
      <c r="E22870" s="2">
        <v>4.7641734159123298E-4</v>
      </c>
      <c r="F22870" s="2">
        <v>1.1701771982614499E-3</v>
      </c>
    </row>
    <row r="22871" spans="1:6" x14ac:dyDescent="0.25">
      <c r="A22871" s="1" t="str">
        <f t="shared" si="853"/>
        <v>35004</v>
      </c>
      <c r="B22871" s="1" t="str">
        <f>"11968"</f>
        <v>11968</v>
      </c>
      <c r="C22871" s="2">
        <v>1.56963470319634E-2</v>
      </c>
      <c r="D22871" s="2">
        <v>1.3192612137203101E-2</v>
      </c>
      <c r="E22871" s="2">
        <v>4.7641734159123298E-3</v>
      </c>
      <c r="F22871" s="2">
        <v>1.17017719826145E-2</v>
      </c>
    </row>
    <row r="22872" spans="1:6" x14ac:dyDescent="0.25">
      <c r="A22872" s="1" t="str">
        <f t="shared" si="853"/>
        <v>35004</v>
      </c>
      <c r="B22872" s="1" t="str">
        <f>"11020"</f>
        <v>11020</v>
      </c>
      <c r="C22872" s="2">
        <v>5.7077625570776198E-4</v>
      </c>
      <c r="D22872" s="2">
        <v>2.6385224274406301E-3</v>
      </c>
      <c r="E22872" s="2">
        <v>4.7641734159123298E-4</v>
      </c>
      <c r="F22872" s="2">
        <v>6.6867268472082901E-4</v>
      </c>
    </row>
    <row r="22873" spans="1:6" x14ac:dyDescent="0.25">
      <c r="A22873" s="1" t="str">
        <f t="shared" si="853"/>
        <v>35004</v>
      </c>
      <c r="B22873" s="1" t="str">
        <f>"11590"</f>
        <v>11590</v>
      </c>
      <c r="C22873" s="2">
        <v>7.7054794520547898E-3</v>
      </c>
      <c r="D22873" s="2">
        <v>1.3192612137203101E-2</v>
      </c>
      <c r="E22873" s="2">
        <v>6.6698427822772704E-3</v>
      </c>
      <c r="F22873" s="2">
        <v>7.6897358742895302E-3</v>
      </c>
    </row>
    <row r="22874" spans="1:6" x14ac:dyDescent="0.25">
      <c r="A22874" s="1" t="str">
        <f t="shared" si="853"/>
        <v>35004</v>
      </c>
      <c r="B22874" s="1" t="str">
        <f>"11795"</f>
        <v>11795</v>
      </c>
      <c r="C22874" s="2">
        <v>0</v>
      </c>
      <c r="D22874" s="2">
        <v>5.2770448548812602E-3</v>
      </c>
      <c r="E22874" s="2">
        <v>9.5283468318246704E-4</v>
      </c>
      <c r="F22874" s="2">
        <v>6.6867268472082901E-4</v>
      </c>
    </row>
    <row r="22875" spans="1:6" x14ac:dyDescent="0.25">
      <c r="A22875" s="1" t="str">
        <f t="shared" si="853"/>
        <v>35004</v>
      </c>
      <c r="B22875" s="1" t="str">
        <f>"11001"</f>
        <v>11001</v>
      </c>
      <c r="C22875" s="2">
        <v>2.2831050228310501E-3</v>
      </c>
      <c r="D22875" s="2">
        <v>7.9155672823218899E-3</v>
      </c>
      <c r="E22875" s="2">
        <v>1.90566936636493E-3</v>
      </c>
      <c r="F22875" s="2">
        <v>2.5075225677031001E-3</v>
      </c>
    </row>
    <row r="22876" spans="1:6" x14ac:dyDescent="0.25">
      <c r="A22876" s="1" t="str">
        <f t="shared" si="853"/>
        <v>35004</v>
      </c>
      <c r="B22876" s="1" t="str">
        <f>"11710"</f>
        <v>11710</v>
      </c>
      <c r="C22876" s="2">
        <v>0</v>
      </c>
      <c r="D22876" s="2">
        <v>0</v>
      </c>
      <c r="E22876" s="2">
        <v>3.33492139113863E-3</v>
      </c>
      <c r="F22876" s="2">
        <v>1.1701771982614499E-3</v>
      </c>
    </row>
    <row r="22877" spans="1:6" x14ac:dyDescent="0.25">
      <c r="A22877" s="1" t="str">
        <f t="shared" si="853"/>
        <v>35004</v>
      </c>
      <c r="B22877" s="1" t="str">
        <f>"11967"</f>
        <v>11967</v>
      </c>
      <c r="C22877" s="2">
        <v>5.7077625570776198E-4</v>
      </c>
      <c r="D22877" s="2">
        <v>1.05540897097625E-2</v>
      </c>
      <c r="E22877" s="2">
        <v>2.8585040495474E-3</v>
      </c>
      <c r="F22877" s="2">
        <v>2.0060180541624801E-3</v>
      </c>
    </row>
    <row r="22878" spans="1:6" x14ac:dyDescent="0.25">
      <c r="A22878" s="1" t="str">
        <f t="shared" si="853"/>
        <v>35004</v>
      </c>
      <c r="B22878" s="1" t="str">
        <f>"11933"</f>
        <v>11933</v>
      </c>
      <c r="C22878" s="2">
        <v>0</v>
      </c>
      <c r="D22878" s="2">
        <v>1.58311345646437E-2</v>
      </c>
      <c r="E22878" s="2">
        <v>9.5283468318246704E-4</v>
      </c>
      <c r="F22878" s="2">
        <v>1.33734536944165E-3</v>
      </c>
    </row>
    <row r="22879" spans="1:6" x14ac:dyDescent="0.25">
      <c r="A22879" s="1" t="str">
        <f t="shared" si="853"/>
        <v>35004</v>
      </c>
      <c r="B22879" s="1" t="str">
        <f>"11566"</f>
        <v>11566</v>
      </c>
      <c r="C22879" s="2">
        <v>2.8538812785388099E-4</v>
      </c>
      <c r="D22879" s="2">
        <v>0</v>
      </c>
      <c r="E22879" s="2">
        <v>1.4292520247737E-3</v>
      </c>
      <c r="F22879" s="2">
        <v>6.6867268472082901E-4</v>
      </c>
    </row>
    <row r="22880" spans="1:6" x14ac:dyDescent="0.25">
      <c r="A22880" s="1" t="str">
        <f t="shared" si="853"/>
        <v>35004</v>
      </c>
      <c r="B22880" s="1" t="str">
        <f>"11704"</f>
        <v>11704</v>
      </c>
      <c r="C22880" s="2">
        <v>0</v>
      </c>
      <c r="D22880" s="2">
        <v>0</v>
      </c>
      <c r="E22880" s="2">
        <v>2.3820867079561601E-3</v>
      </c>
      <c r="F22880" s="2">
        <v>8.3584085590103605E-4</v>
      </c>
    </row>
    <row r="22881" spans="1:6" x14ac:dyDescent="0.25">
      <c r="A22881" s="1" t="str">
        <f t="shared" si="853"/>
        <v>35004</v>
      </c>
      <c r="B22881" s="1" t="str">
        <f>"11580"</f>
        <v>11580</v>
      </c>
      <c r="C22881" s="2">
        <v>2.8538812785388099E-4</v>
      </c>
      <c r="D22881" s="2">
        <v>5.2770448548812602E-3</v>
      </c>
      <c r="E22881" s="2">
        <v>9.7665555026202902E-2</v>
      </c>
      <c r="F22881" s="2">
        <v>3.4770979605483102E-2</v>
      </c>
    </row>
    <row r="22882" spans="1:6" x14ac:dyDescent="0.25">
      <c r="A22882" s="1" t="str">
        <f t="shared" si="853"/>
        <v>35004</v>
      </c>
      <c r="B22882" s="1" t="str">
        <f>"11935"</f>
        <v>11935</v>
      </c>
      <c r="C22882" s="2">
        <v>2.8538812785388099E-4</v>
      </c>
      <c r="D22882" s="2">
        <v>0</v>
      </c>
      <c r="E22882" s="2">
        <v>1.4292520247737E-3</v>
      </c>
      <c r="F22882" s="2">
        <v>6.6867268472082901E-4</v>
      </c>
    </row>
    <row r="22883" spans="1:6" x14ac:dyDescent="0.25">
      <c r="A22883" s="1" t="str">
        <f t="shared" si="853"/>
        <v>35004</v>
      </c>
      <c r="B22883" s="1" t="str">
        <f>"11957"</f>
        <v>11957</v>
      </c>
      <c r="C22883" s="2">
        <v>1.1415525114155201E-3</v>
      </c>
      <c r="D22883" s="2">
        <v>0</v>
      </c>
      <c r="E22883" s="2">
        <v>0</v>
      </c>
      <c r="F22883" s="2">
        <v>6.6867268472082901E-4</v>
      </c>
    </row>
    <row r="22884" spans="1:6" x14ac:dyDescent="0.25">
      <c r="A22884" s="1" t="str">
        <f t="shared" ref="A22884:A22905" si="854">"35004"</f>
        <v>35004</v>
      </c>
      <c r="B22884" s="1" t="str">
        <f>"11932"</f>
        <v>11932</v>
      </c>
      <c r="C22884" s="2">
        <v>4.5091324200913198E-2</v>
      </c>
      <c r="D22884" s="2">
        <v>0</v>
      </c>
      <c r="E22884" s="2">
        <v>0</v>
      </c>
      <c r="F22884" s="2">
        <v>2.64125710464727E-2</v>
      </c>
    </row>
    <row r="22885" spans="1:6" x14ac:dyDescent="0.25">
      <c r="A22885" s="1" t="str">
        <f t="shared" si="854"/>
        <v>35004</v>
      </c>
      <c r="B22885" s="1" t="str">
        <f>"11510"</f>
        <v>11510</v>
      </c>
      <c r="C22885" s="2">
        <v>6.8493150684931503E-3</v>
      </c>
      <c r="D22885" s="2">
        <v>5.2770448548812602E-3</v>
      </c>
      <c r="E22885" s="2">
        <v>3.8113387327298699E-3</v>
      </c>
      <c r="F22885" s="2">
        <v>5.6837178201270397E-3</v>
      </c>
    </row>
    <row r="22886" spans="1:6" x14ac:dyDescent="0.25">
      <c r="A22886" s="1" t="str">
        <f t="shared" si="854"/>
        <v>35004</v>
      </c>
      <c r="B22886" s="1" t="str">
        <f>"11942"</f>
        <v>11942</v>
      </c>
      <c r="C22886" s="2">
        <v>2.2831050228310501E-3</v>
      </c>
      <c r="D22886" s="2">
        <v>0</v>
      </c>
      <c r="E22886" s="2">
        <v>1.90566936636493E-3</v>
      </c>
      <c r="F22886" s="2">
        <v>2.0060180541624801E-3</v>
      </c>
    </row>
    <row r="22887" spans="1:6" x14ac:dyDescent="0.25">
      <c r="A22887" s="1" t="str">
        <f t="shared" si="854"/>
        <v>35004</v>
      </c>
      <c r="B22887" s="1" t="str">
        <f>"11716"</f>
        <v>11716</v>
      </c>
      <c r="C22887" s="2">
        <v>2.8538812785388099E-4</v>
      </c>
      <c r="D22887" s="2">
        <v>5.0131926121372003E-2</v>
      </c>
      <c r="E22887" s="2">
        <v>3.8113387327298699E-3</v>
      </c>
      <c r="F22887" s="2">
        <v>4.6807087930457996E-3</v>
      </c>
    </row>
    <row r="22888" spans="1:6" x14ac:dyDescent="0.25">
      <c r="A22888" s="1" t="str">
        <f t="shared" si="854"/>
        <v>35004</v>
      </c>
      <c r="B22888" s="1" t="str">
        <f>"11954"</f>
        <v>11954</v>
      </c>
      <c r="C22888" s="2">
        <v>5.1369863013698601E-3</v>
      </c>
      <c r="D22888" s="2">
        <v>1.3192612137203101E-2</v>
      </c>
      <c r="E22888" s="2">
        <v>9.5283468318246704E-4</v>
      </c>
      <c r="F22888" s="2">
        <v>4.17920427950518E-3</v>
      </c>
    </row>
    <row r="22889" spans="1:6" x14ac:dyDescent="0.25">
      <c r="A22889" s="1" t="str">
        <f t="shared" si="854"/>
        <v>35004</v>
      </c>
      <c r="B22889" s="1" t="str">
        <f>"11751"</f>
        <v>11751</v>
      </c>
      <c r="C22889" s="2">
        <v>2.8538812785388099E-4</v>
      </c>
      <c r="D22889" s="2">
        <v>0</v>
      </c>
      <c r="E22889" s="2">
        <v>2.3820867079561601E-3</v>
      </c>
      <c r="F22889" s="2">
        <v>1.00300902708124E-3</v>
      </c>
    </row>
    <row r="22890" spans="1:6" x14ac:dyDescent="0.25">
      <c r="A22890" s="1" t="str">
        <f t="shared" si="854"/>
        <v>35004</v>
      </c>
      <c r="B22890" s="1" t="str">
        <f>"11762"</f>
        <v>11762</v>
      </c>
      <c r="C22890" s="2">
        <v>5.4223744292237397E-3</v>
      </c>
      <c r="D22890" s="2">
        <v>0</v>
      </c>
      <c r="E22890" s="2">
        <v>1.90566936636493E-3</v>
      </c>
      <c r="F22890" s="2">
        <v>3.8448679371447599E-3</v>
      </c>
    </row>
    <row r="22891" spans="1:6" x14ac:dyDescent="0.25">
      <c r="A22891" s="1" t="str">
        <f t="shared" si="854"/>
        <v>35004</v>
      </c>
      <c r="B22891" s="1" t="str">
        <f>"11796"</f>
        <v>11796</v>
      </c>
      <c r="C22891" s="2">
        <v>8.5616438356164303E-4</v>
      </c>
      <c r="D22891" s="2">
        <v>0</v>
      </c>
      <c r="E22891" s="2">
        <v>4.7641734159123298E-4</v>
      </c>
      <c r="F22891" s="2">
        <v>6.6867268472082901E-4</v>
      </c>
    </row>
    <row r="22892" spans="1:6" x14ac:dyDescent="0.25">
      <c r="A22892" s="1" t="str">
        <f t="shared" si="854"/>
        <v>35004</v>
      </c>
      <c r="B22892" s="1" t="str">
        <f>"11003"</f>
        <v>11003</v>
      </c>
      <c r="C22892" s="2">
        <v>2.8538812785388099E-4</v>
      </c>
      <c r="D22892" s="2">
        <v>7.3878627968337704E-2</v>
      </c>
      <c r="E22892" s="2">
        <v>4.7641734159123298E-4</v>
      </c>
      <c r="F22892" s="2">
        <v>5.0150451354062098E-3</v>
      </c>
    </row>
    <row r="22893" spans="1:6" x14ac:dyDescent="0.25">
      <c r="A22893" s="1" t="str">
        <f t="shared" si="854"/>
        <v>35004</v>
      </c>
      <c r="B22893" s="1" t="str">
        <f>"11901"</f>
        <v>11901</v>
      </c>
      <c r="C22893" s="2">
        <v>7.4200913242009102E-3</v>
      </c>
      <c r="D22893" s="2">
        <v>2.6385224274406301E-3</v>
      </c>
      <c r="E22893" s="2">
        <v>0.183420676512625</v>
      </c>
      <c r="F22893" s="2">
        <v>6.88732865262454E-2</v>
      </c>
    </row>
    <row r="22894" spans="1:6" x14ac:dyDescent="0.25">
      <c r="A22894" s="1" t="str">
        <f t="shared" si="854"/>
        <v>35004</v>
      </c>
      <c r="B22894" s="1" t="str">
        <f>"11771"</f>
        <v>11771</v>
      </c>
      <c r="C22894" s="2">
        <v>8.5616438356164303E-4</v>
      </c>
      <c r="D22894" s="2">
        <v>0</v>
      </c>
      <c r="E22894" s="2">
        <v>5.7170080990948001E-3</v>
      </c>
      <c r="F22894" s="2">
        <v>2.5075225677031001E-3</v>
      </c>
    </row>
    <row r="22895" spans="1:6" x14ac:dyDescent="0.25">
      <c r="A22895" s="1" t="str">
        <f t="shared" si="854"/>
        <v>35004</v>
      </c>
      <c r="B22895" s="1" t="str">
        <f>"11976"</f>
        <v>11976</v>
      </c>
      <c r="C22895" s="2">
        <v>1.1415525114155201E-3</v>
      </c>
      <c r="D22895" s="2">
        <v>3.4300791556728202E-2</v>
      </c>
      <c r="E22895" s="2">
        <v>1.4292520247737E-3</v>
      </c>
      <c r="F22895" s="2">
        <v>3.3433634236041399E-3</v>
      </c>
    </row>
    <row r="22896" spans="1:6" x14ac:dyDescent="0.25">
      <c r="A22896" s="1" t="str">
        <f t="shared" si="854"/>
        <v>35004</v>
      </c>
      <c r="B22896" s="1" t="str">
        <f>"11743"</f>
        <v>11743</v>
      </c>
      <c r="C22896" s="2">
        <v>2.11187214611872E-2</v>
      </c>
      <c r="D22896" s="2">
        <v>4.4854881266490697E-2</v>
      </c>
      <c r="E22896" s="2">
        <v>1.09575988565983E-2</v>
      </c>
      <c r="F22896" s="2">
        <v>1.90571715145436E-2</v>
      </c>
    </row>
    <row r="22897" spans="1:6" x14ac:dyDescent="0.25">
      <c r="A22897" s="1" t="str">
        <f t="shared" si="854"/>
        <v>35004</v>
      </c>
      <c r="B22897" s="1" t="str">
        <f>"11772"</f>
        <v>11772</v>
      </c>
      <c r="C22897" s="2">
        <v>1.05593607305936E-2</v>
      </c>
      <c r="D22897" s="2">
        <v>5.0131926121372003E-2</v>
      </c>
      <c r="E22897" s="2">
        <v>5.2405907575035701E-3</v>
      </c>
      <c r="F22897" s="2">
        <v>1.12002674690738E-2</v>
      </c>
    </row>
    <row r="22898" spans="1:6" x14ac:dyDescent="0.25">
      <c r="A22898" s="1" t="str">
        <f t="shared" si="854"/>
        <v>35004</v>
      </c>
      <c r="B22898" s="1" t="str">
        <f>"11706"</f>
        <v>11706</v>
      </c>
      <c r="C22898" s="2">
        <v>3.7100456621004499E-3</v>
      </c>
      <c r="D22898" s="2">
        <v>1.58311345646437E-2</v>
      </c>
      <c r="E22898" s="2">
        <v>1.4292520247737E-3</v>
      </c>
      <c r="F22898" s="2">
        <v>3.67769976596456E-3</v>
      </c>
    </row>
    <row r="22899" spans="1:6" x14ac:dyDescent="0.25">
      <c r="A22899" s="1" t="str">
        <f t="shared" si="854"/>
        <v>35004</v>
      </c>
      <c r="B22899" s="1" t="str">
        <f>"11953"</f>
        <v>11953</v>
      </c>
      <c r="C22899" s="2">
        <v>7.4200913242009102E-3</v>
      </c>
      <c r="D22899" s="2">
        <v>0</v>
      </c>
      <c r="E22899" s="2">
        <v>9.5283468318246704E-4</v>
      </c>
      <c r="F22899" s="2">
        <v>4.6807087930457996E-3</v>
      </c>
    </row>
    <row r="22900" spans="1:6" x14ac:dyDescent="0.25">
      <c r="A22900" s="1" t="str">
        <f t="shared" si="854"/>
        <v>35004</v>
      </c>
      <c r="B22900" s="1" t="str">
        <f>"11560"</f>
        <v>11560</v>
      </c>
      <c r="C22900" s="2">
        <v>1.1415525114155201E-3</v>
      </c>
      <c r="D22900" s="2">
        <v>0</v>
      </c>
      <c r="E22900" s="2">
        <v>1.90566936636493E-3</v>
      </c>
      <c r="F22900" s="2">
        <v>1.33734536944165E-3</v>
      </c>
    </row>
    <row r="22901" spans="1:6" x14ac:dyDescent="0.25">
      <c r="A22901" s="1" t="str">
        <f t="shared" si="854"/>
        <v>35004</v>
      </c>
      <c r="B22901" s="1" t="str">
        <f>"11787"</f>
        <v>11787</v>
      </c>
      <c r="C22901" s="2">
        <v>4.7374429223744199E-2</v>
      </c>
      <c r="D22901" s="2">
        <v>2.37467018469656E-2</v>
      </c>
      <c r="E22901" s="2">
        <v>3.8113387327298699E-3</v>
      </c>
      <c r="F22901" s="2">
        <v>3.0591775325977899E-2</v>
      </c>
    </row>
    <row r="22902" spans="1:6" x14ac:dyDescent="0.25">
      <c r="A22902" s="1" t="str">
        <f t="shared" si="854"/>
        <v>35004</v>
      </c>
      <c r="B22902" s="1" t="str">
        <f>"11576"</f>
        <v>11576</v>
      </c>
      <c r="C22902" s="2">
        <v>0</v>
      </c>
      <c r="D22902" s="2">
        <v>2.6385224274406301E-3</v>
      </c>
      <c r="E22902" s="2">
        <v>9.5283468318246704E-4</v>
      </c>
      <c r="F22902" s="2">
        <v>5.01504513540621E-4</v>
      </c>
    </row>
    <row r="22903" spans="1:6" x14ac:dyDescent="0.25">
      <c r="A22903" s="1" t="str">
        <f t="shared" si="854"/>
        <v>35004</v>
      </c>
      <c r="B22903" s="1" t="str">
        <f>"11952"</f>
        <v>11952</v>
      </c>
      <c r="C22903" s="2">
        <v>8.5616438356164303E-4</v>
      </c>
      <c r="D22903" s="2">
        <v>2.6385224274406301E-3</v>
      </c>
      <c r="E22903" s="2">
        <v>0</v>
      </c>
      <c r="F22903" s="2">
        <v>6.6867268472082901E-4</v>
      </c>
    </row>
    <row r="22904" spans="1:6" x14ac:dyDescent="0.25">
      <c r="A22904" s="1" t="str">
        <f t="shared" si="854"/>
        <v>35004</v>
      </c>
      <c r="B22904" s="1" t="str">
        <f>"11939"</f>
        <v>11939</v>
      </c>
      <c r="C22904" s="2">
        <v>1.1415525114155201E-3</v>
      </c>
      <c r="D22904" s="2">
        <v>0</v>
      </c>
      <c r="E22904" s="2">
        <v>0</v>
      </c>
      <c r="F22904" s="2">
        <v>6.6867268472082901E-4</v>
      </c>
    </row>
    <row r="22905" spans="1:6" x14ac:dyDescent="0.25">
      <c r="A22905" s="1" t="str">
        <f t="shared" si="854"/>
        <v>35004</v>
      </c>
      <c r="B22905" s="1" t="str">
        <f>"11778"</f>
        <v>11778</v>
      </c>
      <c r="C22905" s="2">
        <v>0</v>
      </c>
      <c r="D22905" s="2">
        <v>0</v>
      </c>
      <c r="E22905" s="2">
        <v>9.5283468318246704E-4</v>
      </c>
      <c r="F22905" s="2">
        <v>3.3433634236041402E-4</v>
      </c>
    </row>
    <row r="22906" spans="1:6" x14ac:dyDescent="0.25">
      <c r="A22906" s="1" t="str">
        <f t="shared" ref="A22906:A22917" si="855">"35020"</f>
        <v>35020</v>
      </c>
      <c r="B22906" s="1" t="str">
        <f>"39122"</f>
        <v>39122</v>
      </c>
      <c r="C22906" s="2">
        <v>3.1482541499713697E-2</v>
      </c>
      <c r="D22906" s="2">
        <v>4.61721775394697E-2</v>
      </c>
      <c r="E22906" s="2">
        <v>6.5573770491803201E-3</v>
      </c>
      <c r="F22906" s="2">
        <v>3.2732831749647702E-2</v>
      </c>
    </row>
    <row r="22907" spans="1:6" x14ac:dyDescent="0.25">
      <c r="A22907" s="1" t="str">
        <f t="shared" si="855"/>
        <v>35020</v>
      </c>
      <c r="B22907" s="1" t="str">
        <f>"39661"</f>
        <v>39661</v>
      </c>
      <c r="C22907" s="2">
        <v>1.2458331930367999E-2</v>
      </c>
      <c r="D22907" s="2">
        <v>5.9577003276735103E-4</v>
      </c>
      <c r="E22907" s="2">
        <v>0</v>
      </c>
      <c r="F22907" s="2">
        <v>1.1150744881748101E-2</v>
      </c>
    </row>
    <row r="22908" spans="1:6" x14ac:dyDescent="0.25">
      <c r="A22908" s="1" t="str">
        <f t="shared" si="855"/>
        <v>35020</v>
      </c>
      <c r="B22908" s="1" t="str">
        <f>"71334"</f>
        <v>71334</v>
      </c>
      <c r="C22908" s="2">
        <v>0.14226068217785101</v>
      </c>
      <c r="D22908" s="2">
        <v>0.11349419124218001</v>
      </c>
      <c r="E22908" s="2">
        <v>0.118032786885245</v>
      </c>
      <c r="F22908" s="2">
        <v>0.13914451005665199</v>
      </c>
    </row>
    <row r="22909" spans="1:6" x14ac:dyDescent="0.25">
      <c r="A22909" s="1" t="str">
        <f t="shared" si="855"/>
        <v>35020</v>
      </c>
      <c r="B22909" s="1" t="str">
        <f>"39120"</f>
        <v>39120</v>
      </c>
      <c r="C22909" s="2">
        <v>0.54378935317687405</v>
      </c>
      <c r="D22909" s="2">
        <v>0.55168305034256704</v>
      </c>
      <c r="E22909" s="2">
        <v>0.66229508196721298</v>
      </c>
      <c r="F22909" s="2">
        <v>0.54566709631006205</v>
      </c>
    </row>
    <row r="22910" spans="1:6" x14ac:dyDescent="0.25">
      <c r="A22910" s="1" t="str">
        <f t="shared" si="855"/>
        <v>35020</v>
      </c>
      <c r="B22910" s="1" t="str">
        <f>"71373"</f>
        <v>71373</v>
      </c>
      <c r="C22910" s="2">
        <v>0.130913498771002</v>
      </c>
      <c r="D22910" s="2">
        <v>0.15102770330652299</v>
      </c>
      <c r="E22910" s="2">
        <v>0.190163934426229</v>
      </c>
      <c r="F22910" s="2">
        <v>0.133479212253829</v>
      </c>
    </row>
    <row r="22911" spans="1:6" x14ac:dyDescent="0.25">
      <c r="A22911" s="1" t="str">
        <f t="shared" si="855"/>
        <v>35020</v>
      </c>
      <c r="B22911" s="1" t="str">
        <f>"39165"</f>
        <v>39165</v>
      </c>
      <c r="C22911" s="2">
        <v>0</v>
      </c>
      <c r="D22911" s="2">
        <v>2.9788501638367497E-4</v>
      </c>
      <c r="E22911" s="2">
        <v>0</v>
      </c>
      <c r="F22911" s="2">
        <v>2.9975120649860599E-5</v>
      </c>
    </row>
    <row r="22912" spans="1:6" x14ac:dyDescent="0.25">
      <c r="A22912" s="1" t="str">
        <f t="shared" si="855"/>
        <v>35020</v>
      </c>
      <c r="B22912" s="1" t="str">
        <f>"71343"</f>
        <v>71343</v>
      </c>
      <c r="C22912" s="2">
        <v>1.8586484393413899E-2</v>
      </c>
      <c r="D22912" s="2">
        <v>4.76616026213881E-3</v>
      </c>
      <c r="E22912" s="2">
        <v>0</v>
      </c>
      <c r="F22912" s="2">
        <v>1.7025868529120799E-2</v>
      </c>
    </row>
    <row r="22913" spans="1:6" x14ac:dyDescent="0.25">
      <c r="A22913" s="1" t="str">
        <f t="shared" si="855"/>
        <v>35020</v>
      </c>
      <c r="B22913" s="1" t="str">
        <f>"39190"</f>
        <v>39190</v>
      </c>
      <c r="C22913" s="2">
        <v>4.4883666116704198E-2</v>
      </c>
      <c r="D22913" s="2">
        <v>1.6979445933869498E-2</v>
      </c>
      <c r="E22913" s="2">
        <v>3.27868852459016E-3</v>
      </c>
      <c r="F22913" s="2">
        <v>4.1695392823956103E-2</v>
      </c>
    </row>
    <row r="22914" spans="1:6" x14ac:dyDescent="0.25">
      <c r="A22914" s="1" t="str">
        <f t="shared" si="855"/>
        <v>35020</v>
      </c>
      <c r="B22914" s="1" t="str">
        <f>"71326"</f>
        <v>71326</v>
      </c>
      <c r="C22914" s="2">
        <v>8.8891881881544808E-3</v>
      </c>
      <c r="D22914" s="2">
        <v>3.8725052129877798E-3</v>
      </c>
      <c r="E22914" s="2">
        <v>9.8360655737704892E-3</v>
      </c>
      <c r="F22914" s="2">
        <v>8.3930337819609693E-3</v>
      </c>
    </row>
    <row r="22915" spans="1:6" x14ac:dyDescent="0.25">
      <c r="A22915" s="1" t="str">
        <f t="shared" si="855"/>
        <v>35020</v>
      </c>
      <c r="B22915" s="1" t="str">
        <f>"71354"</f>
        <v>71354</v>
      </c>
      <c r="C22915" s="2">
        <v>2.2997407320111699E-2</v>
      </c>
      <c r="D22915" s="2">
        <v>2.0851951146857299E-3</v>
      </c>
      <c r="E22915" s="2">
        <v>3.27868852459016E-3</v>
      </c>
      <c r="F22915" s="2">
        <v>2.0712808369053599E-2</v>
      </c>
    </row>
    <row r="22916" spans="1:6" x14ac:dyDescent="0.25">
      <c r="A22916" s="1" t="str">
        <f t="shared" si="855"/>
        <v>35020</v>
      </c>
      <c r="B22916" s="1" t="str">
        <f>"39121"</f>
        <v>39121</v>
      </c>
      <c r="C22916" s="2">
        <v>4.20889592242163E-2</v>
      </c>
      <c r="D22916" s="2">
        <v>0.108728030980041</v>
      </c>
      <c r="E22916" s="2">
        <v>3.27868852459016E-3</v>
      </c>
      <c r="F22916" s="2">
        <v>4.8439794970174699E-2</v>
      </c>
    </row>
    <row r="22917" spans="1:6" x14ac:dyDescent="0.25">
      <c r="A22917" s="1" t="str">
        <f t="shared" si="855"/>
        <v>35020</v>
      </c>
      <c r="B22917" s="1" t="str">
        <f>"71316"</f>
        <v>71316</v>
      </c>
      <c r="C22917" s="2">
        <v>1.6498872015892701E-3</v>
      </c>
      <c r="D22917" s="2">
        <v>2.9788501638367497E-4</v>
      </c>
      <c r="E22917" s="2">
        <v>3.27868852459016E-3</v>
      </c>
      <c r="F22917" s="2">
        <v>1.52873115314289E-3</v>
      </c>
    </row>
    <row r="22918" spans="1:6" x14ac:dyDescent="0.25">
      <c r="A22918" s="1" t="str">
        <f t="shared" ref="A22918:A22941" si="856">"35060"</f>
        <v>35060</v>
      </c>
      <c r="B22918" s="1" t="str">
        <f>"71002"</f>
        <v>71002</v>
      </c>
      <c r="C22918" s="2">
        <v>7.0180604632901402E-3</v>
      </c>
      <c r="D22918" s="2">
        <v>0</v>
      </c>
      <c r="E22918" s="2">
        <v>2.32018561484918E-3</v>
      </c>
      <c r="F22918" s="2">
        <v>6.3556516749790296E-3</v>
      </c>
    </row>
    <row r="22919" spans="1:6" x14ac:dyDescent="0.25">
      <c r="A22919" s="1" t="str">
        <f t="shared" si="856"/>
        <v>35060</v>
      </c>
      <c r="B22919" s="1" t="str">
        <f>"71497"</f>
        <v>71497</v>
      </c>
      <c r="C22919" s="2">
        <v>0</v>
      </c>
      <c r="D22919" s="2">
        <v>5.4054054054054001E-4</v>
      </c>
      <c r="E22919" s="2">
        <v>0</v>
      </c>
      <c r="F22919" s="2">
        <v>4.4136469965132097E-5</v>
      </c>
    </row>
    <row r="22920" spans="1:6" x14ac:dyDescent="0.25">
      <c r="A22920" s="1" t="str">
        <f t="shared" si="856"/>
        <v>35060</v>
      </c>
      <c r="B22920" s="1" t="str">
        <f>"71016"</f>
        <v>71016</v>
      </c>
      <c r="C22920" s="2">
        <v>4.4169611307420402E-4</v>
      </c>
      <c r="D22920" s="2">
        <v>0</v>
      </c>
      <c r="E22920" s="2">
        <v>0</v>
      </c>
      <c r="F22920" s="2">
        <v>3.9722822968618903E-4</v>
      </c>
    </row>
    <row r="22921" spans="1:6" x14ac:dyDescent="0.25">
      <c r="A22921" s="1" t="str">
        <f t="shared" si="856"/>
        <v>35060</v>
      </c>
      <c r="B22921" s="1" t="str">
        <f>"71019"</f>
        <v>71019</v>
      </c>
      <c r="C22921" s="2">
        <v>1.06988614055751E-2</v>
      </c>
      <c r="D22921" s="2">
        <v>3.7837837837837798E-3</v>
      </c>
      <c r="E22921" s="2">
        <v>4.6403712296983696E-3</v>
      </c>
      <c r="F22921" s="2">
        <v>1.0018978682084999E-2</v>
      </c>
    </row>
    <row r="22922" spans="1:6" x14ac:dyDescent="0.25">
      <c r="A22922" s="1" t="str">
        <f t="shared" si="856"/>
        <v>35060</v>
      </c>
      <c r="B22922" s="1" t="str">
        <f>"71447"</f>
        <v>71447</v>
      </c>
      <c r="C22922" s="2">
        <v>1.34962701217118E-2</v>
      </c>
      <c r="D22922" s="2">
        <v>2.16216216216216E-3</v>
      </c>
      <c r="E22922" s="2">
        <v>0</v>
      </c>
      <c r="F22922" s="2">
        <v>1.23140751202718E-2</v>
      </c>
    </row>
    <row r="22923" spans="1:6" x14ac:dyDescent="0.25">
      <c r="A22923" s="1" t="str">
        <f t="shared" si="856"/>
        <v>35060</v>
      </c>
      <c r="B22923" s="1" t="str">
        <f>"71427"</f>
        <v>71427</v>
      </c>
      <c r="C22923" s="2">
        <v>1.71770710639968E-3</v>
      </c>
      <c r="D22923" s="2">
        <v>0</v>
      </c>
      <c r="E22923" s="2">
        <v>0</v>
      </c>
      <c r="F22923" s="2">
        <v>1.5447764487796199E-3</v>
      </c>
    </row>
    <row r="22924" spans="1:6" x14ac:dyDescent="0.25">
      <c r="A22924" s="1" t="str">
        <f t="shared" si="856"/>
        <v>35060</v>
      </c>
      <c r="B22924" s="1" t="str">
        <f>"71450"</f>
        <v>71450</v>
      </c>
      <c r="C22924" s="2">
        <v>1.6882606988614001E-2</v>
      </c>
      <c r="D22924" s="2">
        <v>3.24324324324324E-3</v>
      </c>
      <c r="E22924" s="2">
        <v>0</v>
      </c>
      <c r="F22924" s="2">
        <v>1.54477644877962E-2</v>
      </c>
    </row>
    <row r="22925" spans="1:6" x14ac:dyDescent="0.25">
      <c r="A22925" s="1" t="str">
        <f t="shared" si="856"/>
        <v>35060</v>
      </c>
      <c r="B22925" s="1" t="str">
        <f>"71031"</f>
        <v>71031</v>
      </c>
      <c r="C22925" s="2">
        <v>1.7716921868865299E-2</v>
      </c>
      <c r="D22925" s="2">
        <v>3.7837837837837798E-3</v>
      </c>
      <c r="E22925" s="2">
        <v>2.32018561484918E-3</v>
      </c>
      <c r="F22925" s="2">
        <v>1.62863574171337E-2</v>
      </c>
    </row>
    <row r="22926" spans="1:6" x14ac:dyDescent="0.25">
      <c r="A22926" s="1" t="str">
        <f t="shared" si="856"/>
        <v>35060</v>
      </c>
      <c r="B22926" s="1" t="str">
        <f>"71456"</f>
        <v>71456</v>
      </c>
      <c r="C22926" s="2">
        <v>2.7532391048292099E-2</v>
      </c>
      <c r="D22926" s="2">
        <v>3.24324324324324E-3</v>
      </c>
      <c r="E22926" s="2">
        <v>2.08816705336426E-2</v>
      </c>
      <c r="F22926" s="2">
        <v>2.5422606699916101E-2</v>
      </c>
    </row>
    <row r="22927" spans="1:6" x14ac:dyDescent="0.25">
      <c r="A22927" s="1" t="str">
        <f t="shared" si="856"/>
        <v>35060</v>
      </c>
      <c r="B22927" s="1" t="str">
        <f>"71066"</f>
        <v>71066</v>
      </c>
      <c r="C22927" s="2">
        <v>0</v>
      </c>
      <c r="D22927" s="2">
        <v>0</v>
      </c>
      <c r="E22927" s="2">
        <v>2.32018561484918E-3</v>
      </c>
      <c r="F22927" s="2">
        <v>4.4136469965132097E-5</v>
      </c>
    </row>
    <row r="22928" spans="1:6" x14ac:dyDescent="0.25">
      <c r="A22928" s="1" t="str">
        <f t="shared" si="856"/>
        <v>35060</v>
      </c>
      <c r="B22928" s="1" t="str">
        <f>"71070"</f>
        <v>71070</v>
      </c>
      <c r="C22928" s="2">
        <v>1.8992932862190798E-2</v>
      </c>
      <c r="D22928" s="2">
        <v>1.2972972972972899E-2</v>
      </c>
      <c r="E22928" s="2">
        <v>1.3921113689095099E-2</v>
      </c>
      <c r="F22928" s="2">
        <v>1.84049079754601E-2</v>
      </c>
    </row>
    <row r="22929" spans="1:6" x14ac:dyDescent="0.25">
      <c r="A22929" s="1" t="str">
        <f t="shared" si="856"/>
        <v>35060</v>
      </c>
      <c r="B22929" s="1" t="str">
        <f>"71469"</f>
        <v>71469</v>
      </c>
      <c r="C22929" s="2">
        <v>5.9089124460149099E-2</v>
      </c>
      <c r="D22929" s="2">
        <v>1.02702702702702E-2</v>
      </c>
      <c r="E22929" s="2">
        <v>1.3921113689095099E-2</v>
      </c>
      <c r="F22929" s="2">
        <v>5.4243721587147402E-2</v>
      </c>
    </row>
    <row r="22930" spans="1:6" x14ac:dyDescent="0.25">
      <c r="A22930" s="1" t="str">
        <f t="shared" si="856"/>
        <v>35060</v>
      </c>
      <c r="B22930" s="1" t="str">
        <f>"71452"</f>
        <v>71452</v>
      </c>
      <c r="C22930" s="2">
        <v>1.9140164899882201E-3</v>
      </c>
      <c r="D22930" s="2">
        <v>1.08108108108108E-3</v>
      </c>
      <c r="E22930" s="2">
        <v>0</v>
      </c>
      <c r="F22930" s="2">
        <v>1.80959526857041E-3</v>
      </c>
    </row>
    <row r="22931" spans="1:6" x14ac:dyDescent="0.25">
      <c r="A22931" s="1" t="str">
        <f t="shared" si="856"/>
        <v>35060</v>
      </c>
      <c r="B22931" s="1" t="str">
        <f>"71414"</f>
        <v>71414</v>
      </c>
      <c r="C22931" s="2">
        <v>0</v>
      </c>
      <c r="D22931" s="2">
        <v>0</v>
      </c>
      <c r="E22931" s="2">
        <v>2.32018561484918E-3</v>
      </c>
      <c r="F22931" s="2">
        <v>4.4136469965132097E-5</v>
      </c>
    </row>
    <row r="22932" spans="1:6" x14ac:dyDescent="0.25">
      <c r="A22932" s="1" t="str">
        <f t="shared" si="856"/>
        <v>35060</v>
      </c>
      <c r="B22932" s="1" t="str">
        <f>"71428"</f>
        <v>71428</v>
      </c>
      <c r="C22932" s="2">
        <v>0</v>
      </c>
      <c r="D22932" s="2">
        <v>0</v>
      </c>
      <c r="E22932" s="2">
        <v>2.32018561484918E-3</v>
      </c>
      <c r="F22932" s="2">
        <v>4.4136469965132097E-5</v>
      </c>
    </row>
    <row r="22933" spans="1:6" x14ac:dyDescent="0.25">
      <c r="A22933" s="1" t="str">
        <f t="shared" si="856"/>
        <v>35060</v>
      </c>
      <c r="B22933" s="1" t="str">
        <f>"71416"</f>
        <v>71416</v>
      </c>
      <c r="C22933" s="2">
        <v>2.2526501766784401E-2</v>
      </c>
      <c r="D22933" s="2">
        <v>7.0270270270270203E-3</v>
      </c>
      <c r="E22933" s="2">
        <v>2.08816705336426E-2</v>
      </c>
      <c r="F22933" s="2">
        <v>2.1229642053228501E-2</v>
      </c>
    </row>
    <row r="22934" spans="1:6" x14ac:dyDescent="0.25">
      <c r="A22934" s="1" t="str">
        <f t="shared" si="856"/>
        <v>35060</v>
      </c>
      <c r="B22934" s="1" t="str">
        <f>"71455"</f>
        <v>71455</v>
      </c>
      <c r="C22934" s="2">
        <v>1.27601099332548E-3</v>
      </c>
      <c r="D22934" s="2">
        <v>0</v>
      </c>
      <c r="E22934" s="2">
        <v>2.32018561484918E-3</v>
      </c>
      <c r="F22934" s="2">
        <v>1.1916846890585599E-3</v>
      </c>
    </row>
    <row r="22935" spans="1:6" x14ac:dyDescent="0.25">
      <c r="A22935" s="1" t="str">
        <f t="shared" si="856"/>
        <v>35060</v>
      </c>
      <c r="B22935" s="1" t="str">
        <f>"71457"</f>
        <v>71457</v>
      </c>
      <c r="C22935" s="2">
        <v>0.67834707499018398</v>
      </c>
      <c r="D22935" s="2">
        <v>0.80378378378378301</v>
      </c>
      <c r="E22935" s="2">
        <v>0.86078886310904801</v>
      </c>
      <c r="F22935" s="2">
        <v>0.692059849053272</v>
      </c>
    </row>
    <row r="22936" spans="1:6" x14ac:dyDescent="0.25">
      <c r="A22936" s="1" t="str">
        <f t="shared" si="856"/>
        <v>35060</v>
      </c>
      <c r="B22936" s="1" t="str">
        <f>"71063"</f>
        <v>71063</v>
      </c>
      <c r="C22936" s="2">
        <v>9.81546917942677E-5</v>
      </c>
      <c r="D22936" s="2">
        <v>0</v>
      </c>
      <c r="E22936" s="2">
        <v>0</v>
      </c>
      <c r="F22936" s="2">
        <v>8.8272939930264302E-5</v>
      </c>
    </row>
    <row r="22937" spans="1:6" x14ac:dyDescent="0.25">
      <c r="A22937" s="1" t="str">
        <f t="shared" si="856"/>
        <v>35060</v>
      </c>
      <c r="B22937" s="1" t="str">
        <f>"71434"</f>
        <v>71434</v>
      </c>
      <c r="C22937" s="2">
        <v>0</v>
      </c>
      <c r="D22937" s="2">
        <v>0</v>
      </c>
      <c r="E22937" s="2">
        <v>2.32018561484918E-3</v>
      </c>
      <c r="F22937" s="2">
        <v>4.4136469965132097E-5</v>
      </c>
    </row>
    <row r="22938" spans="1:6" x14ac:dyDescent="0.25">
      <c r="A22938" s="1" t="str">
        <f t="shared" si="856"/>
        <v>35060</v>
      </c>
      <c r="B22938" s="1" t="str">
        <f>"71411"</f>
        <v>71411</v>
      </c>
      <c r="C22938" s="2">
        <v>7.3174322732626598E-2</v>
      </c>
      <c r="D22938" s="2">
        <v>3.29729729729729E-2</v>
      </c>
      <c r="E22938" s="2">
        <v>4.1763341067285298E-2</v>
      </c>
      <c r="F22938" s="2">
        <v>6.9294257845257501E-2</v>
      </c>
    </row>
    <row r="22939" spans="1:6" x14ac:dyDescent="0.25">
      <c r="A22939" s="1" t="str">
        <f t="shared" si="856"/>
        <v>35060</v>
      </c>
      <c r="B22939" s="1" t="str">
        <f>"71065"</f>
        <v>71065</v>
      </c>
      <c r="C22939" s="2">
        <v>8.3431488025127601E-4</v>
      </c>
      <c r="D22939" s="2">
        <v>0</v>
      </c>
      <c r="E22939" s="2">
        <v>0</v>
      </c>
      <c r="F22939" s="2">
        <v>7.5031998940724705E-4</v>
      </c>
    </row>
    <row r="22940" spans="1:6" x14ac:dyDescent="0.25">
      <c r="A22940" s="1" t="str">
        <f t="shared" si="856"/>
        <v>35060</v>
      </c>
      <c r="B22940" s="1" t="str">
        <f>"71458"</f>
        <v>71458</v>
      </c>
      <c r="C22940" s="2">
        <v>3.75932469572045E-2</v>
      </c>
      <c r="D22940" s="2">
        <v>0.11027027027027</v>
      </c>
      <c r="E22940" s="2">
        <v>4.6403712296983696E-3</v>
      </c>
      <c r="F22940" s="2">
        <v>4.2900648806108402E-2</v>
      </c>
    </row>
    <row r="22941" spans="1:6" x14ac:dyDescent="0.25">
      <c r="A22941" s="1" t="str">
        <f t="shared" si="856"/>
        <v>35060</v>
      </c>
      <c r="B22941" s="1" t="str">
        <f>"71468"</f>
        <v>71468</v>
      </c>
      <c r="C22941" s="2">
        <v>1.0649784059677999E-2</v>
      </c>
      <c r="D22941" s="2">
        <v>4.8648648648648603E-3</v>
      </c>
      <c r="E22941" s="2">
        <v>2.32018561484918E-3</v>
      </c>
      <c r="F22941" s="2">
        <v>1.0018978682084999E-2</v>
      </c>
    </row>
    <row r="22942" spans="1:6" x14ac:dyDescent="0.25">
      <c r="A22942" s="1" t="str">
        <f t="shared" ref="A22942:A22973" si="857">"35084"</f>
        <v>35084</v>
      </c>
      <c r="B22942" s="1" t="str">
        <f>"07043"</f>
        <v>07043</v>
      </c>
      <c r="C22942" s="2">
        <v>3.0579885231048001E-3</v>
      </c>
      <c r="D22942" s="2">
        <v>0</v>
      </c>
      <c r="E22942" s="2">
        <v>3.0249295921560399E-3</v>
      </c>
      <c r="F22942" s="2">
        <v>3.0039050765995699E-3</v>
      </c>
    </row>
    <row r="22943" spans="1:6" x14ac:dyDescent="0.25">
      <c r="A22943" s="1" t="str">
        <f t="shared" si="857"/>
        <v>35084</v>
      </c>
      <c r="B22943" s="1" t="str">
        <f>"07205"</f>
        <v>07205</v>
      </c>
      <c r="C22943" s="2">
        <v>2.0386590154031999E-3</v>
      </c>
      <c r="D22943" s="2">
        <v>1.8382352941176401E-3</v>
      </c>
      <c r="E22943" s="2">
        <v>2.0861583394179601E-4</v>
      </c>
      <c r="F22943" s="2">
        <v>1.5565689942379599E-3</v>
      </c>
    </row>
    <row r="22944" spans="1:6" x14ac:dyDescent="0.25">
      <c r="A22944" s="1" t="str">
        <f t="shared" si="857"/>
        <v>35084</v>
      </c>
      <c r="B22944" s="1" t="str">
        <f>"07935"</f>
        <v>07935</v>
      </c>
      <c r="C22944" s="2">
        <v>1.5101177891875501E-4</v>
      </c>
      <c r="D22944" s="2">
        <v>0</v>
      </c>
      <c r="E22944" s="2">
        <v>0</v>
      </c>
      <c r="F22944" s="2">
        <v>1.09232911876348E-4</v>
      </c>
    </row>
    <row r="22945" spans="1:6" x14ac:dyDescent="0.25">
      <c r="A22945" s="1" t="str">
        <f t="shared" si="857"/>
        <v>35084</v>
      </c>
      <c r="B22945" s="1" t="str">
        <f>"07422"</f>
        <v>07422</v>
      </c>
      <c r="C22945" s="2">
        <v>0</v>
      </c>
      <c r="D22945" s="2">
        <v>0</v>
      </c>
      <c r="E22945" s="2">
        <v>1.0430791697089801E-4</v>
      </c>
      <c r="F22945" s="2">
        <v>2.7308227969087001E-5</v>
      </c>
    </row>
    <row r="22946" spans="1:6" x14ac:dyDescent="0.25">
      <c r="A22946" s="1" t="str">
        <f t="shared" si="857"/>
        <v>35084</v>
      </c>
      <c r="B22946" s="1" t="str">
        <f>"07856"</f>
        <v>07856</v>
      </c>
      <c r="C22946" s="2">
        <v>1.13258834189066E-4</v>
      </c>
      <c r="D22946" s="2">
        <v>0</v>
      </c>
      <c r="E22946" s="2">
        <v>6.2584750182538801E-4</v>
      </c>
      <c r="F22946" s="2">
        <v>2.4577405172178298E-4</v>
      </c>
    </row>
    <row r="22947" spans="1:6" x14ac:dyDescent="0.25">
      <c r="A22947" s="1" t="str">
        <f t="shared" si="857"/>
        <v>35084</v>
      </c>
      <c r="B22947" s="1" t="str">
        <f>"07827"</f>
        <v>07827</v>
      </c>
      <c r="C22947" s="2">
        <v>7.5505889459377804E-5</v>
      </c>
      <c r="D22947" s="2">
        <v>1.8382352941176401E-3</v>
      </c>
      <c r="E22947" s="2">
        <v>0</v>
      </c>
      <c r="F22947" s="2">
        <v>8.1924683907261196E-5</v>
      </c>
    </row>
    <row r="22948" spans="1:6" x14ac:dyDescent="0.25">
      <c r="A22948" s="1" t="str">
        <f t="shared" si="857"/>
        <v>35084</v>
      </c>
      <c r="B22948" s="1" t="str">
        <f>"07439"</f>
        <v>07439</v>
      </c>
      <c r="C22948" s="2">
        <v>7.5505889459377804E-5</v>
      </c>
      <c r="D22948" s="2">
        <v>1.8382352941176401E-3</v>
      </c>
      <c r="E22948" s="2">
        <v>0</v>
      </c>
      <c r="F22948" s="2">
        <v>8.1924683907261196E-5</v>
      </c>
    </row>
    <row r="22949" spans="1:6" x14ac:dyDescent="0.25">
      <c r="A22949" s="1" t="str">
        <f t="shared" si="857"/>
        <v>35084</v>
      </c>
      <c r="B22949" s="1" t="str">
        <f>"08827"</f>
        <v>08827</v>
      </c>
      <c r="C22949" s="2">
        <v>7.5505889459377804E-5</v>
      </c>
      <c r="D22949" s="2">
        <v>0</v>
      </c>
      <c r="E22949" s="2">
        <v>1.0430791697089801E-4</v>
      </c>
      <c r="F22949" s="2">
        <v>8.1924683907261196E-5</v>
      </c>
    </row>
    <row r="22950" spans="1:6" x14ac:dyDescent="0.25">
      <c r="A22950" s="1" t="str">
        <f t="shared" si="857"/>
        <v>35084</v>
      </c>
      <c r="B22950" s="1" t="str">
        <f>"07836"</f>
        <v>07836</v>
      </c>
      <c r="C22950" s="2">
        <v>1.1703412866203499E-3</v>
      </c>
      <c r="D22950" s="2">
        <v>7.3529411764705803E-3</v>
      </c>
      <c r="E22950" s="2">
        <v>2.0861583394179601E-4</v>
      </c>
      <c r="F22950" s="2">
        <v>1.0104044348562199E-3</v>
      </c>
    </row>
    <row r="22951" spans="1:6" x14ac:dyDescent="0.25">
      <c r="A22951" s="1" t="str">
        <f t="shared" si="857"/>
        <v>35084</v>
      </c>
      <c r="B22951" s="1" t="str">
        <f>"08804"</f>
        <v>08804</v>
      </c>
      <c r="C22951" s="2">
        <v>5.2854122621564398E-4</v>
      </c>
      <c r="D22951" s="2">
        <v>0</v>
      </c>
      <c r="E22951" s="2">
        <v>2.0861583394179601E-4</v>
      </c>
      <c r="F22951" s="2">
        <v>4.3693164750539299E-4</v>
      </c>
    </row>
    <row r="22952" spans="1:6" x14ac:dyDescent="0.25">
      <c r="A22952" s="1" t="str">
        <f t="shared" si="857"/>
        <v>35084</v>
      </c>
      <c r="B22952" s="1" t="str">
        <f>"07060"</f>
        <v>07060</v>
      </c>
      <c r="C22952" s="2">
        <v>1.9858048927816299E-2</v>
      </c>
      <c r="D22952" s="2">
        <v>1.8382352941176398E-2</v>
      </c>
      <c r="E22952" s="2">
        <v>1.89840408887034E-2</v>
      </c>
      <c r="F22952" s="2">
        <v>1.9607307681804499E-2</v>
      </c>
    </row>
    <row r="22953" spans="1:6" x14ac:dyDescent="0.25">
      <c r="A22953" s="1" t="str">
        <f t="shared" si="857"/>
        <v>35084</v>
      </c>
      <c r="B22953" s="1" t="str">
        <f>"07042"</f>
        <v>07042</v>
      </c>
      <c r="C22953" s="2">
        <v>2.1594684385382E-2</v>
      </c>
      <c r="D22953" s="2">
        <v>2.5735294117646999E-2</v>
      </c>
      <c r="E22953" s="2">
        <v>1.9714196307499699E-2</v>
      </c>
      <c r="F22953" s="2">
        <v>2.1163876676042401E-2</v>
      </c>
    </row>
    <row r="22954" spans="1:6" x14ac:dyDescent="0.25">
      <c r="A22954" s="1" t="str">
        <f t="shared" si="857"/>
        <v>35084</v>
      </c>
      <c r="B22954" s="1" t="str">
        <f>"07111"</f>
        <v>07111</v>
      </c>
      <c r="C22954" s="2">
        <v>6.2405617638175703E-2</v>
      </c>
      <c r="D22954" s="2">
        <v>0</v>
      </c>
      <c r="E22954" s="2">
        <v>5.7682278084906599E-2</v>
      </c>
      <c r="F22954" s="2">
        <v>6.02419508998061E-2</v>
      </c>
    </row>
    <row r="22955" spans="1:6" x14ac:dyDescent="0.25">
      <c r="A22955" s="1" t="str">
        <f t="shared" si="857"/>
        <v>35084</v>
      </c>
      <c r="B22955" s="1" t="str">
        <f>"07801"</f>
        <v>07801</v>
      </c>
      <c r="C22955" s="2">
        <v>2.0764119601328901E-3</v>
      </c>
      <c r="D22955" s="2">
        <v>0</v>
      </c>
      <c r="E22955" s="2">
        <v>1.5959111296547399E-2</v>
      </c>
      <c r="F22955" s="2">
        <v>5.6801114175701103E-3</v>
      </c>
    </row>
    <row r="22956" spans="1:6" x14ac:dyDescent="0.25">
      <c r="A22956" s="1" t="str">
        <f t="shared" si="857"/>
        <v>35084</v>
      </c>
      <c r="B22956" s="1" t="str">
        <f>"07980"</f>
        <v>07980</v>
      </c>
      <c r="C22956" s="2">
        <v>0</v>
      </c>
      <c r="D22956" s="2">
        <v>1.8382352941176401E-3</v>
      </c>
      <c r="E22956" s="2">
        <v>3.12923750912694E-4</v>
      </c>
      <c r="F22956" s="2">
        <v>1.09232911876348E-4</v>
      </c>
    </row>
    <row r="22957" spans="1:6" x14ac:dyDescent="0.25">
      <c r="A22957" s="1" t="str">
        <f t="shared" si="857"/>
        <v>35084</v>
      </c>
      <c r="B22957" s="1" t="str">
        <f>"07046"</f>
        <v>07046</v>
      </c>
      <c r="C22957" s="2">
        <v>1.5478707339172399E-3</v>
      </c>
      <c r="D22957" s="2">
        <v>0</v>
      </c>
      <c r="E22957" s="2">
        <v>1.0430791697089801E-4</v>
      </c>
      <c r="F22957" s="2">
        <v>1.1469455747016499E-3</v>
      </c>
    </row>
    <row r="22958" spans="1:6" x14ac:dyDescent="0.25">
      <c r="A22958" s="1" t="str">
        <f t="shared" si="857"/>
        <v>35084</v>
      </c>
      <c r="B22958" s="1" t="str">
        <f>"07866"</f>
        <v>07866</v>
      </c>
      <c r="C22958" s="2">
        <v>1.4346118997281699E-3</v>
      </c>
      <c r="D22958" s="2">
        <v>0</v>
      </c>
      <c r="E22958" s="2">
        <v>8.3446333576718405E-4</v>
      </c>
      <c r="F22958" s="2">
        <v>1.2561784865780001E-3</v>
      </c>
    </row>
    <row r="22959" spans="1:6" x14ac:dyDescent="0.25">
      <c r="A22959" s="1" t="str">
        <f t="shared" si="857"/>
        <v>35084</v>
      </c>
      <c r="B22959" s="1" t="str">
        <f>"07930"</f>
        <v>07930</v>
      </c>
      <c r="C22959" s="2">
        <v>2.6427061310782199E-4</v>
      </c>
      <c r="D22959" s="2">
        <v>3.6764705882352902E-3</v>
      </c>
      <c r="E22959" s="2">
        <v>1.14738708667987E-3</v>
      </c>
      <c r="F22959" s="2">
        <v>5.4616455938174104E-4</v>
      </c>
    </row>
    <row r="22960" spans="1:6" x14ac:dyDescent="0.25">
      <c r="A22960" s="1" t="str">
        <f t="shared" si="857"/>
        <v>35084</v>
      </c>
      <c r="B22960" s="1" t="str">
        <f>"07869"</f>
        <v>07869</v>
      </c>
      <c r="C22960" s="2">
        <v>0</v>
      </c>
      <c r="D22960" s="2">
        <v>0</v>
      </c>
      <c r="E22960" s="2">
        <v>2.0861583394179601E-4</v>
      </c>
      <c r="F22960" s="2">
        <v>5.4616455938174097E-5</v>
      </c>
    </row>
    <row r="22961" spans="1:6" x14ac:dyDescent="0.25">
      <c r="A22961" s="1" t="str">
        <f t="shared" si="857"/>
        <v>35084</v>
      </c>
      <c r="B22961" s="1" t="str">
        <f>"07851"</f>
        <v>07851</v>
      </c>
      <c r="C22961" s="2">
        <v>0</v>
      </c>
      <c r="D22961" s="2">
        <v>0</v>
      </c>
      <c r="E22961" s="2">
        <v>1.0430791697089801E-4</v>
      </c>
      <c r="F22961" s="2">
        <v>2.7308227969087001E-5</v>
      </c>
    </row>
    <row r="22962" spans="1:6" x14ac:dyDescent="0.25">
      <c r="A22962" s="1" t="str">
        <f t="shared" si="857"/>
        <v>35084</v>
      </c>
      <c r="B22962" s="1" t="str">
        <f>"07885"</f>
        <v>07885</v>
      </c>
      <c r="C22962" s="2">
        <v>7.5505889459377804E-5</v>
      </c>
      <c r="D22962" s="2">
        <v>1.8382352941176401E-3</v>
      </c>
      <c r="E22962" s="2">
        <v>2.0861583394179601E-4</v>
      </c>
      <c r="F22962" s="2">
        <v>1.3654113984543499E-4</v>
      </c>
    </row>
    <row r="22963" spans="1:6" x14ac:dyDescent="0.25">
      <c r="A22963" s="1" t="str">
        <f t="shared" si="857"/>
        <v>35084</v>
      </c>
      <c r="B22963" s="1" t="str">
        <f>"08822"</f>
        <v>08822</v>
      </c>
      <c r="C22963" s="2">
        <v>3.7752944729688902E-5</v>
      </c>
      <c r="D22963" s="2">
        <v>0</v>
      </c>
      <c r="E22963" s="2">
        <v>1.3560029206216701E-3</v>
      </c>
      <c r="F22963" s="2">
        <v>3.82315191567219E-4</v>
      </c>
    </row>
    <row r="22964" spans="1:6" x14ac:dyDescent="0.25">
      <c r="A22964" s="1" t="str">
        <f t="shared" si="857"/>
        <v>35084</v>
      </c>
      <c r="B22964" s="1" t="str">
        <f>"08825"</f>
        <v>08825</v>
      </c>
      <c r="C22964" s="2">
        <v>0</v>
      </c>
      <c r="D22964" s="2">
        <v>0</v>
      </c>
      <c r="E22964" s="2">
        <v>2.0861583394179601E-4</v>
      </c>
      <c r="F22964" s="2">
        <v>5.4616455938174097E-5</v>
      </c>
    </row>
    <row r="22965" spans="1:6" x14ac:dyDescent="0.25">
      <c r="A22965" s="1" t="str">
        <f t="shared" si="857"/>
        <v>35084</v>
      </c>
      <c r="B22965" s="1" t="str">
        <f>"07457"</f>
        <v>07457</v>
      </c>
      <c r="C22965" s="2">
        <v>7.5505889459377804E-5</v>
      </c>
      <c r="D22965" s="2">
        <v>0</v>
      </c>
      <c r="E22965" s="2">
        <v>1.0430791697089801E-4</v>
      </c>
      <c r="F22965" s="2">
        <v>8.1924683907261196E-5</v>
      </c>
    </row>
    <row r="22966" spans="1:6" x14ac:dyDescent="0.25">
      <c r="A22966" s="1" t="str">
        <f t="shared" si="857"/>
        <v>35084</v>
      </c>
      <c r="B22966" s="1" t="str">
        <f>"07974"</f>
        <v>07974</v>
      </c>
      <c r="C22966" s="2">
        <v>0</v>
      </c>
      <c r="D22966" s="2">
        <v>0</v>
      </c>
      <c r="E22966" s="2">
        <v>1.0430791697089801E-4</v>
      </c>
      <c r="F22966" s="2">
        <v>2.7308227969087001E-5</v>
      </c>
    </row>
    <row r="22967" spans="1:6" x14ac:dyDescent="0.25">
      <c r="A22967" s="1" t="str">
        <f t="shared" si="857"/>
        <v>35084</v>
      </c>
      <c r="B22967" s="1" t="str">
        <f>"18328"</f>
        <v>18328</v>
      </c>
      <c r="C22967" s="2">
        <v>3.3977650256720001E-4</v>
      </c>
      <c r="D22967" s="2">
        <v>0</v>
      </c>
      <c r="E22967" s="2">
        <v>0</v>
      </c>
      <c r="F22967" s="2">
        <v>2.4577405172178298E-4</v>
      </c>
    </row>
    <row r="22968" spans="1:6" x14ac:dyDescent="0.25">
      <c r="A22968" s="1" t="str">
        <f t="shared" si="857"/>
        <v>35084</v>
      </c>
      <c r="B22968" s="1" t="str">
        <f>"07017"</f>
        <v>07017</v>
      </c>
      <c r="C22968" s="2">
        <v>4.9871639987918999E-2</v>
      </c>
      <c r="D22968" s="2">
        <v>3.6764705882352902E-3</v>
      </c>
      <c r="E22968" s="2">
        <v>3.9741316365912098E-2</v>
      </c>
      <c r="F22968" s="2">
        <v>4.6533220459324301E-2</v>
      </c>
    </row>
    <row r="22969" spans="1:6" x14ac:dyDescent="0.25">
      <c r="A22969" s="1" t="str">
        <f t="shared" si="857"/>
        <v>35084</v>
      </c>
      <c r="B22969" s="1" t="str">
        <f>"07083"</f>
        <v>07083</v>
      </c>
      <c r="C22969" s="2">
        <v>4.3415886439142201E-3</v>
      </c>
      <c r="D22969" s="2">
        <v>2.5735294117646999E-2</v>
      </c>
      <c r="E22969" s="2">
        <v>4.9024720976322102E-3</v>
      </c>
      <c r="F22969" s="2">
        <v>4.8062481225593203E-3</v>
      </c>
    </row>
    <row r="22970" spans="1:6" x14ac:dyDescent="0.25">
      <c r="A22970" s="1" t="str">
        <f t="shared" si="857"/>
        <v>35084</v>
      </c>
      <c r="B22970" s="1" t="str">
        <f>"07950"</f>
        <v>07950</v>
      </c>
      <c r="C22970" s="2">
        <v>3.7752944729688902E-5</v>
      </c>
      <c r="D22970" s="2">
        <v>0</v>
      </c>
      <c r="E22970" s="2">
        <v>6.3627829352247804E-3</v>
      </c>
      <c r="F22970" s="2">
        <v>1.6931101340833901E-3</v>
      </c>
    </row>
    <row r="22971" spans="1:6" x14ac:dyDescent="0.25">
      <c r="A22971" s="1" t="str">
        <f t="shared" si="857"/>
        <v>35084</v>
      </c>
      <c r="B22971" s="1" t="str">
        <f>"07208"</f>
        <v>07208</v>
      </c>
      <c r="C22971" s="2">
        <v>8.6831772878284501E-4</v>
      </c>
      <c r="D22971" s="2">
        <v>1.47058823529411E-2</v>
      </c>
      <c r="E22971" s="2">
        <v>1.3664337123187599E-2</v>
      </c>
      <c r="F22971" s="2">
        <v>4.4239329309920996E-3</v>
      </c>
    </row>
    <row r="22972" spans="1:6" x14ac:dyDescent="0.25">
      <c r="A22972" s="1" t="str">
        <f t="shared" si="857"/>
        <v>35084</v>
      </c>
      <c r="B22972" s="1" t="str">
        <f>"07102"</f>
        <v>07102</v>
      </c>
      <c r="C22972" s="2">
        <v>1.69510721836303E-2</v>
      </c>
      <c r="D22972" s="2">
        <v>0.19301470588235201</v>
      </c>
      <c r="E22972" s="2">
        <v>1.54375717116929E-2</v>
      </c>
      <c r="F22972" s="2">
        <v>1.9170376034299101E-2</v>
      </c>
    </row>
    <row r="22973" spans="1:6" x14ac:dyDescent="0.25">
      <c r="A22973" s="1" t="str">
        <f t="shared" si="857"/>
        <v>35084</v>
      </c>
      <c r="B22973" s="1" t="str">
        <f>"07940"</f>
        <v>07940</v>
      </c>
      <c r="C22973" s="2">
        <v>8.3056478405315595E-4</v>
      </c>
      <c r="D22973" s="2">
        <v>5.5147058823529398E-3</v>
      </c>
      <c r="E22973" s="2">
        <v>2.8163137582142401E-3</v>
      </c>
      <c r="F22973" s="2">
        <v>1.42002785439252E-3</v>
      </c>
    </row>
    <row r="22974" spans="1:6" x14ac:dyDescent="0.25">
      <c r="A22974" s="1" t="str">
        <f t="shared" ref="A22974:A23005" si="858">"35084"</f>
        <v>35084</v>
      </c>
      <c r="B22974" s="1" t="str">
        <f>"07004"</f>
        <v>07004</v>
      </c>
      <c r="C22974" s="2">
        <v>9.4382361824222195E-4</v>
      </c>
      <c r="D22974" s="2">
        <v>1.6544117647058799E-2</v>
      </c>
      <c r="E22974" s="2">
        <v>2.6076979242724502E-3</v>
      </c>
      <c r="F22974" s="2">
        <v>1.6111854501761301E-3</v>
      </c>
    </row>
    <row r="22975" spans="1:6" x14ac:dyDescent="0.25">
      <c r="A22975" s="1" t="str">
        <f t="shared" si="858"/>
        <v>35084</v>
      </c>
      <c r="B22975" s="1" t="str">
        <f>"07090"</f>
        <v>07090</v>
      </c>
      <c r="C22975" s="2">
        <v>3.5865297493204401E-3</v>
      </c>
      <c r="D22975" s="2">
        <v>7.3529411764705803E-3</v>
      </c>
      <c r="E22975" s="2">
        <v>2.92062167518514E-3</v>
      </c>
      <c r="F22975" s="2">
        <v>3.4681449520740501E-3</v>
      </c>
    </row>
    <row r="22976" spans="1:6" x14ac:dyDescent="0.25">
      <c r="A22976" s="1" t="str">
        <f t="shared" si="858"/>
        <v>35084</v>
      </c>
      <c r="B22976" s="1" t="str">
        <f>"18435"</f>
        <v>18435</v>
      </c>
      <c r="C22976" s="2">
        <v>1.5101177891875501E-4</v>
      </c>
      <c r="D22976" s="2">
        <v>0</v>
      </c>
      <c r="E22976" s="2">
        <v>0</v>
      </c>
      <c r="F22976" s="2">
        <v>1.09232911876348E-4</v>
      </c>
    </row>
    <row r="22977" spans="1:6" x14ac:dyDescent="0.25">
      <c r="A22977" s="1" t="str">
        <f t="shared" si="858"/>
        <v>35084</v>
      </c>
      <c r="B22977" s="1" t="str">
        <f>"07206"</f>
        <v>07206</v>
      </c>
      <c r="C22977" s="2">
        <v>3.0277861673210501E-2</v>
      </c>
      <c r="D22977" s="2">
        <v>3.6764705882352902E-3</v>
      </c>
      <c r="E22977" s="2">
        <v>2.7954521748200602E-2</v>
      </c>
      <c r="F22977" s="2">
        <v>2.9274420382861301E-2</v>
      </c>
    </row>
    <row r="22978" spans="1:6" x14ac:dyDescent="0.25">
      <c r="A22978" s="1" t="str">
        <f t="shared" si="858"/>
        <v>35084</v>
      </c>
      <c r="B22978" s="1" t="str">
        <f>"07103"</f>
        <v>07103</v>
      </c>
      <c r="C22978" s="2">
        <v>5.5685593476291102E-2</v>
      </c>
      <c r="D22978" s="2">
        <v>5.5147058823529398E-3</v>
      </c>
      <c r="E22978" s="2">
        <v>6.1228747261917099E-2</v>
      </c>
      <c r="F22978" s="2">
        <v>5.63914907561648E-2</v>
      </c>
    </row>
    <row r="22979" spans="1:6" x14ac:dyDescent="0.25">
      <c r="A22979" s="1" t="str">
        <f t="shared" si="858"/>
        <v>35084</v>
      </c>
      <c r="B22979" s="1" t="str">
        <f>"18326"</f>
        <v>18326</v>
      </c>
      <c r="C22979" s="2">
        <v>3.7752944729688902E-5</v>
      </c>
      <c r="D22979" s="2">
        <v>0</v>
      </c>
      <c r="E22979" s="2">
        <v>0</v>
      </c>
      <c r="F22979" s="2">
        <v>2.7308227969087001E-5</v>
      </c>
    </row>
    <row r="22980" spans="1:6" x14ac:dyDescent="0.25">
      <c r="A22980" s="1" t="str">
        <f t="shared" si="858"/>
        <v>35084</v>
      </c>
      <c r="B22980" s="1" t="str">
        <f>"07852"</f>
        <v>07852</v>
      </c>
      <c r="C22980" s="2">
        <v>1.39685895499848E-3</v>
      </c>
      <c r="D22980" s="2">
        <v>3.6764705882352902E-3</v>
      </c>
      <c r="E22980" s="2">
        <v>2.0861583394179601E-4</v>
      </c>
      <c r="F22980" s="2">
        <v>1.1196373467325701E-3</v>
      </c>
    </row>
    <row r="22981" spans="1:6" x14ac:dyDescent="0.25">
      <c r="A22981" s="1" t="str">
        <f t="shared" si="858"/>
        <v>35084</v>
      </c>
      <c r="B22981" s="1" t="str">
        <f>"07044"</f>
        <v>07044</v>
      </c>
      <c r="C22981" s="2">
        <v>3.02023557837511E-4</v>
      </c>
      <c r="D22981" s="2">
        <v>0</v>
      </c>
      <c r="E22981" s="2">
        <v>0</v>
      </c>
      <c r="F22981" s="2">
        <v>2.1846582375269601E-4</v>
      </c>
    </row>
    <row r="22982" spans="1:6" x14ac:dyDescent="0.25">
      <c r="A22982" s="1" t="str">
        <f t="shared" si="858"/>
        <v>35084</v>
      </c>
      <c r="B22982" s="1" t="str">
        <f>"07926"</f>
        <v>07926</v>
      </c>
      <c r="C22982" s="2">
        <v>0</v>
      </c>
      <c r="D22982" s="2">
        <v>3.6764705882352902E-3</v>
      </c>
      <c r="E22982" s="2">
        <v>0</v>
      </c>
      <c r="F22982" s="2">
        <v>5.4616455938174097E-5</v>
      </c>
    </row>
    <row r="22983" spans="1:6" x14ac:dyDescent="0.25">
      <c r="A22983" s="1" t="str">
        <f t="shared" si="858"/>
        <v>35084</v>
      </c>
      <c r="B22983" s="1" t="str">
        <f>"07066"</f>
        <v>07066</v>
      </c>
      <c r="C22983" s="2">
        <v>1.13258834189066E-4</v>
      </c>
      <c r="D22983" s="2">
        <v>2.38970588235294E-2</v>
      </c>
      <c r="E22983" s="2">
        <v>1.3560029206216701E-3</v>
      </c>
      <c r="F22983" s="2">
        <v>7.9193861110352505E-4</v>
      </c>
    </row>
    <row r="22984" spans="1:6" x14ac:dyDescent="0.25">
      <c r="A22984" s="1" t="str">
        <f t="shared" si="858"/>
        <v>35084</v>
      </c>
      <c r="B22984" s="1" t="str">
        <f>"07076"</f>
        <v>07076</v>
      </c>
      <c r="C22984" s="2">
        <v>1.13258834189066E-4</v>
      </c>
      <c r="D22984" s="2">
        <v>0</v>
      </c>
      <c r="E22984" s="2">
        <v>3.12923750912694E-4</v>
      </c>
      <c r="F22984" s="2">
        <v>1.6384936781452201E-4</v>
      </c>
    </row>
    <row r="22985" spans="1:6" x14ac:dyDescent="0.25">
      <c r="A22985" s="1" t="str">
        <f t="shared" si="858"/>
        <v>35084</v>
      </c>
      <c r="B22985" s="1" t="str">
        <f>"07927"</f>
        <v>07927</v>
      </c>
      <c r="C22985" s="2">
        <v>0</v>
      </c>
      <c r="D22985" s="2">
        <v>9.1911764705882304E-3</v>
      </c>
      <c r="E22985" s="2">
        <v>3.0249295921560399E-3</v>
      </c>
      <c r="F22985" s="2">
        <v>9.2847975094895998E-4</v>
      </c>
    </row>
    <row r="22986" spans="1:6" x14ac:dyDescent="0.25">
      <c r="A22986" s="1" t="str">
        <f t="shared" si="858"/>
        <v>35084</v>
      </c>
      <c r="B22986" s="1" t="str">
        <f>"07065"</f>
        <v>07065</v>
      </c>
      <c r="C22986" s="2">
        <v>1.55542132286318E-2</v>
      </c>
      <c r="D22986" s="2">
        <v>9.1911764705882304E-3</v>
      </c>
      <c r="E22986" s="2">
        <v>6.5713987691665698E-3</v>
      </c>
      <c r="F22986" s="2">
        <v>1.3107949425161801E-2</v>
      </c>
    </row>
    <row r="22987" spans="1:6" x14ac:dyDescent="0.25">
      <c r="A22987" s="1" t="str">
        <f t="shared" si="858"/>
        <v>35084</v>
      </c>
      <c r="B22987" s="1" t="str">
        <f>"08801"</f>
        <v>08801</v>
      </c>
      <c r="C22987" s="2">
        <v>2.49169435215946E-3</v>
      </c>
      <c r="D22987" s="2">
        <v>1.8382352941176401E-3</v>
      </c>
      <c r="E22987" s="2">
        <v>2.0861583394179601E-4</v>
      </c>
      <c r="F22987" s="2">
        <v>1.884267729867E-3</v>
      </c>
    </row>
    <row r="22988" spans="1:6" x14ac:dyDescent="0.25">
      <c r="A22988" s="1" t="str">
        <f t="shared" si="858"/>
        <v>35084</v>
      </c>
      <c r="B22988" s="1" t="str">
        <f>"18337"</f>
        <v>18337</v>
      </c>
      <c r="C22988" s="2">
        <v>9.62700090607067E-3</v>
      </c>
      <c r="D22988" s="2">
        <v>0</v>
      </c>
      <c r="E22988" s="2">
        <v>0</v>
      </c>
      <c r="F22988" s="2">
        <v>6.9635981321171997E-3</v>
      </c>
    </row>
    <row r="22989" spans="1:6" x14ac:dyDescent="0.25">
      <c r="A22989" s="1" t="str">
        <f t="shared" si="858"/>
        <v>35084</v>
      </c>
      <c r="B22989" s="1" t="str">
        <f>"07460"</f>
        <v>07460</v>
      </c>
      <c r="C22989" s="2">
        <v>0</v>
      </c>
      <c r="D22989" s="2">
        <v>0</v>
      </c>
      <c r="E22989" s="2">
        <v>2.0861583394179601E-4</v>
      </c>
      <c r="F22989" s="2">
        <v>5.4616455938174097E-5</v>
      </c>
    </row>
    <row r="22990" spans="1:6" x14ac:dyDescent="0.25">
      <c r="A22990" s="1" t="str">
        <f t="shared" si="858"/>
        <v>35084</v>
      </c>
      <c r="B22990" s="1" t="str">
        <f>"07928"</f>
        <v>07928</v>
      </c>
      <c r="C22990" s="2">
        <v>3.7752944729688902E-5</v>
      </c>
      <c r="D22990" s="2">
        <v>0</v>
      </c>
      <c r="E22990" s="2">
        <v>3.02492959215604E-2</v>
      </c>
      <c r="F22990" s="2">
        <v>7.9466943390043392E-3</v>
      </c>
    </row>
    <row r="22991" spans="1:6" x14ac:dyDescent="0.25">
      <c r="A22991" s="1" t="str">
        <f t="shared" si="858"/>
        <v>35084</v>
      </c>
      <c r="B22991" s="1" t="str">
        <f>"07878"</f>
        <v>07878</v>
      </c>
      <c r="C22991" s="2">
        <v>6.9087888855330704E-3</v>
      </c>
      <c r="D22991" s="2">
        <v>0</v>
      </c>
      <c r="E22991" s="2">
        <v>2.0861583394179601E-4</v>
      </c>
      <c r="F22991" s="2">
        <v>5.0520221742811101E-3</v>
      </c>
    </row>
    <row r="22992" spans="1:6" x14ac:dyDescent="0.25">
      <c r="A22992" s="1" t="str">
        <f t="shared" si="858"/>
        <v>35084</v>
      </c>
      <c r="B22992" s="1" t="str">
        <f>"07018"</f>
        <v>07018</v>
      </c>
      <c r="C22992" s="2">
        <v>4.19057686499546E-2</v>
      </c>
      <c r="D22992" s="2">
        <v>5.5147058823529403E-2</v>
      </c>
      <c r="E22992" s="2">
        <v>3.32742255137164E-2</v>
      </c>
      <c r="F22992" s="2">
        <v>3.9842704606897997E-2</v>
      </c>
    </row>
    <row r="22993" spans="1:6" x14ac:dyDescent="0.25">
      <c r="A22993" s="1" t="str">
        <f t="shared" si="858"/>
        <v>35084</v>
      </c>
      <c r="B22993" s="1" t="str">
        <f>"08833"</f>
        <v>08833</v>
      </c>
      <c r="C22993" s="2">
        <v>1.13258834189066E-4</v>
      </c>
      <c r="D22993" s="2">
        <v>0</v>
      </c>
      <c r="E22993" s="2">
        <v>1.0430791697089801E-4</v>
      </c>
      <c r="F22993" s="2">
        <v>1.09232911876348E-4</v>
      </c>
    </row>
    <row r="22994" spans="1:6" x14ac:dyDescent="0.25">
      <c r="A22994" s="1" t="str">
        <f t="shared" si="858"/>
        <v>35084</v>
      </c>
      <c r="B22994" s="1" t="str">
        <f>"18371"</f>
        <v>18371</v>
      </c>
      <c r="C22994" s="2">
        <v>1.5101177891875501E-4</v>
      </c>
      <c r="D22994" s="2">
        <v>0</v>
      </c>
      <c r="E22994" s="2">
        <v>2.0861583394179601E-4</v>
      </c>
      <c r="F22994" s="2">
        <v>1.6384936781452201E-4</v>
      </c>
    </row>
    <row r="22995" spans="1:6" x14ac:dyDescent="0.25">
      <c r="A22995" s="1" t="str">
        <f t="shared" si="858"/>
        <v>35084</v>
      </c>
      <c r="B22995" s="1" t="str">
        <f>"07068"</f>
        <v>07068</v>
      </c>
      <c r="C22995" s="2">
        <v>1.1703412866203499E-3</v>
      </c>
      <c r="D22995" s="2">
        <v>5.5147058823529398E-3</v>
      </c>
      <c r="E22995" s="2">
        <v>2.0861583394179601E-4</v>
      </c>
      <c r="F22995" s="2">
        <v>9.8309620688713495E-4</v>
      </c>
    </row>
    <row r="22996" spans="1:6" x14ac:dyDescent="0.25">
      <c r="A22996" s="1" t="str">
        <f t="shared" si="858"/>
        <v>35084</v>
      </c>
      <c r="B22996" s="1" t="str">
        <f>"07054"</f>
        <v>07054</v>
      </c>
      <c r="C22996" s="2">
        <v>3.7752944729688902E-5</v>
      </c>
      <c r="D22996" s="2">
        <v>4.2279411764705802E-2</v>
      </c>
      <c r="E22996" s="2">
        <v>2.8163137582142401E-3</v>
      </c>
      <c r="F22996" s="2">
        <v>1.39271962642344E-3</v>
      </c>
    </row>
    <row r="22997" spans="1:6" x14ac:dyDescent="0.25">
      <c r="A22997" s="1" t="str">
        <f t="shared" si="858"/>
        <v>35084</v>
      </c>
      <c r="B22997" s="1" t="str">
        <f>"08867"</f>
        <v>08867</v>
      </c>
      <c r="C22997" s="2">
        <v>0</v>
      </c>
      <c r="D22997" s="2">
        <v>0</v>
      </c>
      <c r="E22997" s="2">
        <v>1.0430791697089801E-4</v>
      </c>
      <c r="F22997" s="2">
        <v>2.7308227969087001E-5</v>
      </c>
    </row>
    <row r="22998" spans="1:6" x14ac:dyDescent="0.25">
      <c r="A22998" s="1" t="str">
        <f t="shared" si="858"/>
        <v>35084</v>
      </c>
      <c r="B22998" s="1" t="str">
        <f>"08826"</f>
        <v>08826</v>
      </c>
      <c r="C22998" s="2">
        <v>0</v>
      </c>
      <c r="D22998" s="2">
        <v>1.8382352941176401E-3</v>
      </c>
      <c r="E22998" s="2">
        <v>4.1723166788359202E-4</v>
      </c>
      <c r="F22998" s="2">
        <v>1.3654113984543499E-4</v>
      </c>
    </row>
    <row r="22999" spans="1:6" x14ac:dyDescent="0.25">
      <c r="A22999" s="1" t="str">
        <f t="shared" si="858"/>
        <v>35084</v>
      </c>
      <c r="B22999" s="1" t="str">
        <f>"07848"</f>
        <v>07848</v>
      </c>
      <c r="C22999" s="2">
        <v>3.7752944729688902E-5</v>
      </c>
      <c r="D22999" s="2">
        <v>2.38970588235294E-2</v>
      </c>
      <c r="E22999" s="2">
        <v>0</v>
      </c>
      <c r="F22999" s="2">
        <v>3.82315191567219E-4</v>
      </c>
    </row>
    <row r="23000" spans="1:6" x14ac:dyDescent="0.25">
      <c r="A23000" s="1" t="str">
        <f t="shared" si="858"/>
        <v>35084</v>
      </c>
      <c r="B23000" s="1" t="str">
        <f>"07033"</f>
        <v>07033</v>
      </c>
      <c r="C23000" s="2">
        <v>0</v>
      </c>
      <c r="D23000" s="2">
        <v>5.5147058823529398E-3</v>
      </c>
      <c r="E23000" s="2">
        <v>3.12923750912694E-4</v>
      </c>
      <c r="F23000" s="2">
        <v>1.6384936781452201E-4</v>
      </c>
    </row>
    <row r="23001" spans="1:6" x14ac:dyDescent="0.25">
      <c r="A23001" s="1" t="str">
        <f t="shared" si="858"/>
        <v>35084</v>
      </c>
      <c r="B23001" s="1" t="str">
        <f>"07803"</f>
        <v>07803</v>
      </c>
      <c r="C23001" s="2">
        <v>0</v>
      </c>
      <c r="D23001" s="2">
        <v>0</v>
      </c>
      <c r="E23001" s="2">
        <v>1.0430791697089801E-4</v>
      </c>
      <c r="F23001" s="2">
        <v>2.7308227969087001E-5</v>
      </c>
    </row>
    <row r="23002" spans="1:6" x14ac:dyDescent="0.25">
      <c r="A23002" s="1" t="str">
        <f t="shared" si="858"/>
        <v>35084</v>
      </c>
      <c r="B23002" s="1" t="str">
        <f>"07945"</f>
        <v>07945</v>
      </c>
      <c r="C23002" s="2">
        <v>0</v>
      </c>
      <c r="D23002" s="2">
        <v>0</v>
      </c>
      <c r="E23002" s="2">
        <v>4.2766245958068203E-3</v>
      </c>
      <c r="F23002" s="2">
        <v>1.1196373467325701E-3</v>
      </c>
    </row>
    <row r="23003" spans="1:6" x14ac:dyDescent="0.25">
      <c r="A23003" s="1" t="str">
        <f t="shared" si="858"/>
        <v>35084</v>
      </c>
      <c r="B23003" s="1" t="str">
        <f>"07204"</f>
        <v>07204</v>
      </c>
      <c r="C23003" s="2">
        <v>2.26517668378133E-4</v>
      </c>
      <c r="D23003" s="2">
        <v>0</v>
      </c>
      <c r="E23003" s="2">
        <v>0</v>
      </c>
      <c r="F23003" s="2">
        <v>1.6384936781452201E-4</v>
      </c>
    </row>
    <row r="23004" spans="1:6" x14ac:dyDescent="0.25">
      <c r="A23004" s="1" t="str">
        <f t="shared" si="858"/>
        <v>35084</v>
      </c>
      <c r="B23004" s="1" t="str">
        <f>"07023"</f>
        <v>07023</v>
      </c>
      <c r="C23004" s="2">
        <v>7.1730594986408897E-4</v>
      </c>
      <c r="D23004" s="2">
        <v>4.4117647058823498E-2</v>
      </c>
      <c r="E23004" s="2">
        <v>5.2153958485449004E-4</v>
      </c>
      <c r="F23004" s="2">
        <v>1.31079494251618E-3</v>
      </c>
    </row>
    <row r="23005" spans="1:6" x14ac:dyDescent="0.25">
      <c r="A23005" s="1" t="str">
        <f t="shared" si="858"/>
        <v>35084</v>
      </c>
      <c r="B23005" s="1" t="str">
        <f>"07201"</f>
        <v>07201</v>
      </c>
      <c r="C23005" s="2">
        <v>3.1825732407127702E-2</v>
      </c>
      <c r="D23005" s="2">
        <v>1.8382352941176401E-3</v>
      </c>
      <c r="E23005" s="2">
        <v>2.9414832585793201E-2</v>
      </c>
      <c r="F23005" s="2">
        <v>3.0749064693192E-2</v>
      </c>
    </row>
    <row r="23006" spans="1:6" x14ac:dyDescent="0.25">
      <c r="A23006" s="1" t="str">
        <f t="shared" ref="A23006:A23037" si="859">"35084"</f>
        <v>35084</v>
      </c>
      <c r="B23006" s="1" t="str">
        <f>"07104"</f>
        <v>07104</v>
      </c>
      <c r="C23006" s="2">
        <v>7.49773482331621E-2</v>
      </c>
      <c r="D23006" s="2">
        <v>5.5147058823529398E-3</v>
      </c>
      <c r="E23006" s="2">
        <v>7.1346615208094197E-2</v>
      </c>
      <c r="F23006" s="2">
        <v>7.2994893361369703E-2</v>
      </c>
    </row>
    <row r="23007" spans="1:6" x14ac:dyDescent="0.25">
      <c r="A23007" s="1" t="str">
        <f t="shared" si="859"/>
        <v>35084</v>
      </c>
      <c r="B23007" s="1" t="str">
        <f>"07834"</f>
        <v>07834</v>
      </c>
      <c r="C23007" s="2">
        <v>0</v>
      </c>
      <c r="D23007" s="2">
        <v>0</v>
      </c>
      <c r="E23007" s="2">
        <v>7.3015541879628597E-4</v>
      </c>
      <c r="F23007" s="2">
        <v>1.9115759578360901E-4</v>
      </c>
    </row>
    <row r="23008" spans="1:6" x14ac:dyDescent="0.25">
      <c r="A23008" s="1" t="str">
        <f t="shared" si="859"/>
        <v>35084</v>
      </c>
      <c r="B23008" s="1" t="str">
        <f>"07826"</f>
        <v>07826</v>
      </c>
      <c r="C23008" s="2">
        <v>1.13258834189066E-4</v>
      </c>
      <c r="D23008" s="2">
        <v>0</v>
      </c>
      <c r="E23008" s="2">
        <v>3.12923750912694E-4</v>
      </c>
      <c r="F23008" s="2">
        <v>1.6384936781452201E-4</v>
      </c>
    </row>
    <row r="23009" spans="1:6" x14ac:dyDescent="0.25">
      <c r="A23009" s="1" t="str">
        <f t="shared" si="859"/>
        <v>35084</v>
      </c>
      <c r="B23009" s="1" t="str">
        <f>"07961"</f>
        <v>07961</v>
      </c>
      <c r="C23009" s="2">
        <v>0</v>
      </c>
      <c r="D23009" s="2">
        <v>0</v>
      </c>
      <c r="E23009" s="2">
        <v>1.0430791697089801E-4</v>
      </c>
      <c r="F23009" s="2">
        <v>2.7308227969087001E-5</v>
      </c>
    </row>
    <row r="23010" spans="1:6" x14ac:dyDescent="0.25">
      <c r="A23010" s="1" t="str">
        <f t="shared" si="859"/>
        <v>35084</v>
      </c>
      <c r="B23010" s="1" t="str">
        <f>"07405"</f>
        <v>07405</v>
      </c>
      <c r="C23010" s="2">
        <v>0</v>
      </c>
      <c r="D23010" s="2">
        <v>0</v>
      </c>
      <c r="E23010" s="2">
        <v>1.77323458850526E-3</v>
      </c>
      <c r="F23010" s="2">
        <v>4.6423987547447999E-4</v>
      </c>
    </row>
    <row r="23011" spans="1:6" x14ac:dyDescent="0.25">
      <c r="A23011" s="1" t="str">
        <f t="shared" si="859"/>
        <v>35084</v>
      </c>
      <c r="B23011" s="1" t="str">
        <f>"07876"</f>
        <v>07876</v>
      </c>
      <c r="C23011" s="2">
        <v>0</v>
      </c>
      <c r="D23011" s="2">
        <v>0</v>
      </c>
      <c r="E23011" s="2">
        <v>4.1723166788359202E-4</v>
      </c>
      <c r="F23011" s="2">
        <v>1.09232911876348E-4</v>
      </c>
    </row>
    <row r="23012" spans="1:6" x14ac:dyDescent="0.25">
      <c r="A23012" s="1" t="str">
        <f t="shared" si="859"/>
        <v>35084</v>
      </c>
      <c r="B23012" s="1" t="str">
        <f>"07981"</f>
        <v>07981</v>
      </c>
      <c r="C23012" s="2">
        <v>0</v>
      </c>
      <c r="D23012" s="2">
        <v>0</v>
      </c>
      <c r="E23012" s="2">
        <v>2.0861583394179601E-4</v>
      </c>
      <c r="F23012" s="2">
        <v>5.4616455938174097E-5</v>
      </c>
    </row>
    <row r="23013" spans="1:6" x14ac:dyDescent="0.25">
      <c r="A23013" s="1" t="str">
        <f t="shared" si="859"/>
        <v>35084</v>
      </c>
      <c r="B23013" s="1" t="str">
        <f>"07438"</f>
        <v>07438</v>
      </c>
      <c r="C23013" s="2">
        <v>1.13258834189066E-4</v>
      </c>
      <c r="D23013" s="2">
        <v>0</v>
      </c>
      <c r="E23013" s="2">
        <v>3.12923750912694E-4</v>
      </c>
      <c r="F23013" s="2">
        <v>1.6384936781452201E-4</v>
      </c>
    </row>
    <row r="23014" spans="1:6" x14ac:dyDescent="0.25">
      <c r="A23014" s="1" t="str">
        <f t="shared" si="859"/>
        <v>35084</v>
      </c>
      <c r="B23014" s="1" t="str">
        <f>"07857"</f>
        <v>07857</v>
      </c>
      <c r="C23014" s="2">
        <v>1.13258834189066E-4</v>
      </c>
      <c r="D23014" s="2">
        <v>0</v>
      </c>
      <c r="E23014" s="2">
        <v>4.1723166788359202E-4</v>
      </c>
      <c r="F23014" s="2">
        <v>1.9115759578360901E-4</v>
      </c>
    </row>
    <row r="23015" spans="1:6" x14ac:dyDescent="0.25">
      <c r="A23015" s="1" t="str">
        <f t="shared" si="859"/>
        <v>35084</v>
      </c>
      <c r="B23015" s="1" t="str">
        <f>"07922"</f>
        <v>07922</v>
      </c>
      <c r="C23015" s="2">
        <v>0</v>
      </c>
      <c r="D23015" s="2">
        <v>1.8382352941176401E-3</v>
      </c>
      <c r="E23015" s="2">
        <v>2.7120058412433501E-3</v>
      </c>
      <c r="F23015" s="2">
        <v>7.3732215516535105E-4</v>
      </c>
    </row>
    <row r="23016" spans="1:6" x14ac:dyDescent="0.25">
      <c r="A23016" s="1" t="str">
        <f t="shared" si="859"/>
        <v>35084</v>
      </c>
      <c r="B23016" s="1" t="str">
        <f>"08530"</f>
        <v>08530</v>
      </c>
      <c r="C23016" s="2">
        <v>3.24675324675324E-3</v>
      </c>
      <c r="D23016" s="2">
        <v>3.86029411764705E-2</v>
      </c>
      <c r="E23016" s="2">
        <v>3.7550850109523302E-3</v>
      </c>
      <c r="F23016" s="2">
        <v>3.9050765995794498E-3</v>
      </c>
    </row>
    <row r="23017" spans="1:6" x14ac:dyDescent="0.25">
      <c r="A23017" s="1" t="str">
        <f t="shared" si="859"/>
        <v>35084</v>
      </c>
      <c r="B23017" s="1" t="str">
        <f>"07860"</f>
        <v>07860</v>
      </c>
      <c r="C23017" s="2">
        <v>1.5856236786469301E-3</v>
      </c>
      <c r="D23017" s="2">
        <v>0</v>
      </c>
      <c r="E23017" s="2">
        <v>2.0965891311150502E-2</v>
      </c>
      <c r="F23017" s="2">
        <v>6.6358993964881598E-3</v>
      </c>
    </row>
    <row r="23018" spans="1:6" x14ac:dyDescent="0.25">
      <c r="A23018" s="1" t="str">
        <f t="shared" si="859"/>
        <v>35084</v>
      </c>
      <c r="B23018" s="1" t="str">
        <f>"07003"</f>
        <v>07003</v>
      </c>
      <c r="C23018" s="2">
        <v>4.4170945333736004E-3</v>
      </c>
      <c r="D23018" s="2">
        <v>7.3529411764705803E-3</v>
      </c>
      <c r="E23018" s="2">
        <v>5.1110879315739996E-3</v>
      </c>
      <c r="F23018" s="2">
        <v>4.6423987547448003E-3</v>
      </c>
    </row>
    <row r="23019" spans="1:6" x14ac:dyDescent="0.25">
      <c r="A23019" s="1" t="str">
        <f t="shared" si="859"/>
        <v>35084</v>
      </c>
      <c r="B23019" s="1" t="str">
        <f>"07040"</f>
        <v>07040</v>
      </c>
      <c r="C23019" s="2">
        <v>1.3402295379039499E-2</v>
      </c>
      <c r="D23019" s="2">
        <v>1.6544117647058799E-2</v>
      </c>
      <c r="E23019" s="2">
        <v>7.5101700219046604E-3</v>
      </c>
      <c r="F23019" s="2">
        <v>1.19063873945219E-2</v>
      </c>
    </row>
    <row r="23020" spans="1:6" x14ac:dyDescent="0.25">
      <c r="A23020" s="1" t="str">
        <f t="shared" si="859"/>
        <v>35084</v>
      </c>
      <c r="B23020" s="1" t="str">
        <f>"07052"</f>
        <v>07052</v>
      </c>
      <c r="C23020" s="2">
        <v>2.88432497734823E-2</v>
      </c>
      <c r="D23020" s="2">
        <v>2.38970588235294E-2</v>
      </c>
      <c r="E23020" s="2">
        <v>1.9818504224470599E-2</v>
      </c>
      <c r="F23020" s="2">
        <v>2.6407056446107201E-2</v>
      </c>
    </row>
    <row r="23021" spans="1:6" x14ac:dyDescent="0.25">
      <c r="A23021" s="1" t="str">
        <f t="shared" si="859"/>
        <v>35084</v>
      </c>
      <c r="B23021" s="1" t="str">
        <f>"07202"</f>
        <v>07202</v>
      </c>
      <c r="C23021" s="2">
        <v>3.3675626698882501E-2</v>
      </c>
      <c r="D23021" s="2">
        <v>1.6544117647058799E-2</v>
      </c>
      <c r="E23021" s="2">
        <v>3.1605298842182099E-2</v>
      </c>
      <c r="F23021" s="2">
        <v>3.2879106474780803E-2</v>
      </c>
    </row>
    <row r="23022" spans="1:6" x14ac:dyDescent="0.25">
      <c r="A23022" s="1" t="str">
        <f t="shared" si="859"/>
        <v>35084</v>
      </c>
      <c r="B23022" s="1" t="str">
        <f>"07107"</f>
        <v>07107</v>
      </c>
      <c r="C23022" s="2">
        <v>7.6260948353971597E-2</v>
      </c>
      <c r="D23022" s="2">
        <v>9.1911764705882304E-3</v>
      </c>
      <c r="E23022" s="2">
        <v>7.0825075623239794E-2</v>
      </c>
      <c r="F23022" s="2">
        <v>7.3841448428411394E-2</v>
      </c>
    </row>
    <row r="23023" spans="1:6" x14ac:dyDescent="0.25">
      <c r="A23023" s="1" t="str">
        <f t="shared" si="859"/>
        <v>35084</v>
      </c>
      <c r="B23023" s="1" t="str">
        <f>"07110"</f>
        <v>07110</v>
      </c>
      <c r="C23023" s="2">
        <v>3.7752944729688902E-4</v>
      </c>
      <c r="D23023" s="2">
        <v>0</v>
      </c>
      <c r="E23023" s="2">
        <v>9.3877125273808201E-4</v>
      </c>
      <c r="F23023" s="2">
        <v>5.1885633141265399E-4</v>
      </c>
    </row>
    <row r="23024" spans="1:6" x14ac:dyDescent="0.25">
      <c r="A23024" s="1" t="str">
        <f t="shared" si="859"/>
        <v>35084</v>
      </c>
      <c r="B23024" s="1" t="str">
        <f>"07849"</f>
        <v>07849</v>
      </c>
      <c r="C23024" s="2">
        <v>1.5101177891875501E-4</v>
      </c>
      <c r="D23024" s="2">
        <v>0</v>
      </c>
      <c r="E23024" s="2">
        <v>2.0861583394179601E-4</v>
      </c>
      <c r="F23024" s="2">
        <v>1.6384936781452201E-4</v>
      </c>
    </row>
    <row r="23025" spans="1:6" x14ac:dyDescent="0.25">
      <c r="A23025" s="1" t="str">
        <f t="shared" si="859"/>
        <v>35084</v>
      </c>
      <c r="B23025" s="1" t="str">
        <f>"07114"</f>
        <v>07114</v>
      </c>
      <c r="C23025" s="2">
        <v>6.7955300513440002E-4</v>
      </c>
      <c r="D23025" s="2">
        <v>1.47058823529411E-2</v>
      </c>
      <c r="E23025" s="2">
        <v>1.14738708667987E-3</v>
      </c>
      <c r="F23025" s="2">
        <v>1.0104044348562199E-3</v>
      </c>
    </row>
    <row r="23026" spans="1:6" x14ac:dyDescent="0.25">
      <c r="A23026" s="1" t="str">
        <f t="shared" si="859"/>
        <v>35084</v>
      </c>
      <c r="B23026" s="1" t="str">
        <f>"07039"</f>
        <v>07039</v>
      </c>
      <c r="C23026" s="2">
        <v>7.3618242222893296E-3</v>
      </c>
      <c r="D23026" s="2">
        <v>7.3529411764705802E-2</v>
      </c>
      <c r="E23026" s="2">
        <v>1.2516950036507699E-3</v>
      </c>
      <c r="F23026" s="2">
        <v>6.7451323083645102E-3</v>
      </c>
    </row>
    <row r="23027" spans="1:6" x14ac:dyDescent="0.25">
      <c r="A23027" s="1" t="str">
        <f t="shared" si="859"/>
        <v>35084</v>
      </c>
      <c r="B23027" s="1" t="str">
        <f>"07092"</f>
        <v>07092</v>
      </c>
      <c r="C23027" s="2">
        <v>1.13258834189066E-3</v>
      </c>
      <c r="D23027" s="2">
        <v>3.6764705882352901E-2</v>
      </c>
      <c r="E23027" s="2">
        <v>1.3560029206216701E-3</v>
      </c>
      <c r="F23027" s="2">
        <v>1.72041836205248E-3</v>
      </c>
    </row>
    <row r="23028" spans="1:6" x14ac:dyDescent="0.25">
      <c r="A23028" s="1" t="str">
        <f t="shared" si="859"/>
        <v>35084</v>
      </c>
      <c r="B23028" s="1" t="str">
        <f>"07901"</f>
        <v>07901</v>
      </c>
      <c r="C23028" s="2">
        <v>0</v>
      </c>
      <c r="D23028" s="2">
        <v>0</v>
      </c>
      <c r="E23028" s="2">
        <v>1.0430791697089801E-2</v>
      </c>
      <c r="F23028" s="2">
        <v>2.7308227969087E-3</v>
      </c>
    </row>
    <row r="23029" spans="1:6" x14ac:dyDescent="0.25">
      <c r="A23029" s="1" t="str">
        <f t="shared" si="859"/>
        <v>35084</v>
      </c>
      <c r="B23029" s="1" t="str">
        <f>"07081"</f>
        <v>07081</v>
      </c>
      <c r="C23029" s="2">
        <v>8.6831772878284501E-4</v>
      </c>
      <c r="D23029" s="2">
        <v>1.8382352941176401E-3</v>
      </c>
      <c r="E23029" s="2">
        <v>8.3446333576718405E-4</v>
      </c>
      <c r="F23029" s="2">
        <v>8.7386329501078599E-4</v>
      </c>
    </row>
    <row r="23030" spans="1:6" x14ac:dyDescent="0.25">
      <c r="A23030" s="1" t="str">
        <f t="shared" si="859"/>
        <v>35084</v>
      </c>
      <c r="B23030" s="1" t="str">
        <f>"07036"</f>
        <v>07036</v>
      </c>
      <c r="C23030" s="2">
        <v>1.2458471760797301E-2</v>
      </c>
      <c r="D23030" s="2">
        <v>1.2867647058823499E-2</v>
      </c>
      <c r="E23030" s="2">
        <v>1.87754250547616E-2</v>
      </c>
      <c r="F23030" s="2">
        <v>1.4118353860018E-2</v>
      </c>
    </row>
    <row r="23031" spans="1:6" x14ac:dyDescent="0.25">
      <c r="A23031" s="1" t="str">
        <f t="shared" si="859"/>
        <v>35084</v>
      </c>
      <c r="B23031" s="1" t="str">
        <f>"07806"</f>
        <v>07806</v>
      </c>
      <c r="C23031" s="2">
        <v>0</v>
      </c>
      <c r="D23031" s="2">
        <v>0</v>
      </c>
      <c r="E23031" s="2">
        <v>1.0430791697089801E-4</v>
      </c>
      <c r="F23031" s="2">
        <v>2.7308227969087001E-5</v>
      </c>
    </row>
    <row r="23032" spans="1:6" x14ac:dyDescent="0.25">
      <c r="A23032" s="1" t="str">
        <f t="shared" si="859"/>
        <v>35084</v>
      </c>
      <c r="B23032" s="1" t="str">
        <f>"07843"</f>
        <v>07843</v>
      </c>
      <c r="C23032" s="2">
        <v>3.7752944729688902E-4</v>
      </c>
      <c r="D23032" s="2">
        <v>0</v>
      </c>
      <c r="E23032" s="2">
        <v>0</v>
      </c>
      <c r="F23032" s="2">
        <v>2.7308227969086998E-4</v>
      </c>
    </row>
    <row r="23033" spans="1:6" x14ac:dyDescent="0.25">
      <c r="A23033" s="1" t="str">
        <f t="shared" si="859"/>
        <v>35084</v>
      </c>
      <c r="B23033" s="1" t="str">
        <f>"18464"</f>
        <v>18464</v>
      </c>
      <c r="C23033" s="2">
        <v>3.7752944729688902E-5</v>
      </c>
      <c r="D23033" s="2">
        <v>0</v>
      </c>
      <c r="E23033" s="2">
        <v>0</v>
      </c>
      <c r="F23033" s="2">
        <v>2.7308227969087001E-5</v>
      </c>
    </row>
    <row r="23034" spans="1:6" x14ac:dyDescent="0.25">
      <c r="A23034" s="1" t="str">
        <f t="shared" si="859"/>
        <v>35084</v>
      </c>
      <c r="B23034" s="1" t="str">
        <f>"07461"</f>
        <v>07461</v>
      </c>
      <c r="C23034" s="2">
        <v>3.7752944729688902E-5</v>
      </c>
      <c r="D23034" s="2">
        <v>0</v>
      </c>
      <c r="E23034" s="2">
        <v>1.0430791697089801E-4</v>
      </c>
      <c r="F23034" s="2">
        <v>5.4616455938174097E-5</v>
      </c>
    </row>
    <row r="23035" spans="1:6" x14ac:dyDescent="0.25">
      <c r="A23035" s="1" t="str">
        <f t="shared" si="859"/>
        <v>35084</v>
      </c>
      <c r="B23035" s="1" t="str">
        <f>"07088"</f>
        <v>07088</v>
      </c>
      <c r="C23035" s="2">
        <v>1.13258834189066E-4</v>
      </c>
      <c r="D23035" s="2">
        <v>0</v>
      </c>
      <c r="E23035" s="2">
        <v>1.0430791697089801E-4</v>
      </c>
      <c r="F23035" s="2">
        <v>1.09232911876348E-4</v>
      </c>
    </row>
    <row r="23036" spans="1:6" x14ac:dyDescent="0.25">
      <c r="A23036" s="1" t="str">
        <f t="shared" si="859"/>
        <v>35084</v>
      </c>
      <c r="B23036" s="1" t="str">
        <f>"07830"</f>
        <v>07830</v>
      </c>
      <c r="C23036" s="2">
        <v>0</v>
      </c>
      <c r="D23036" s="2">
        <v>1.8382352941176401E-3</v>
      </c>
      <c r="E23036" s="2">
        <v>7.3015541879628597E-4</v>
      </c>
      <c r="F23036" s="2">
        <v>2.1846582375269601E-4</v>
      </c>
    </row>
    <row r="23037" spans="1:6" x14ac:dyDescent="0.25">
      <c r="A23037" s="1" t="str">
        <f t="shared" si="859"/>
        <v>35084</v>
      </c>
      <c r="B23037" s="1" t="str">
        <f>"08559"</f>
        <v>08559</v>
      </c>
      <c r="C23037" s="2">
        <v>1.13258834189066E-4</v>
      </c>
      <c r="D23037" s="2">
        <v>0</v>
      </c>
      <c r="E23037" s="2">
        <v>1.0430791697089801E-4</v>
      </c>
      <c r="F23037" s="2">
        <v>1.09232911876348E-4</v>
      </c>
    </row>
    <row r="23038" spans="1:6" x14ac:dyDescent="0.25">
      <c r="A23038" s="1" t="str">
        <f t="shared" ref="A23038:A23069" si="860">"35084"</f>
        <v>35084</v>
      </c>
      <c r="B23038" s="1" t="str">
        <f>"07416"</f>
        <v>07416</v>
      </c>
      <c r="C23038" s="2">
        <v>0</v>
      </c>
      <c r="D23038" s="2">
        <v>0</v>
      </c>
      <c r="E23038" s="2">
        <v>3.12923750912694E-4</v>
      </c>
      <c r="F23038" s="2">
        <v>8.1924683907261196E-5</v>
      </c>
    </row>
    <row r="23039" spans="1:6" x14ac:dyDescent="0.25">
      <c r="A23039" s="1" t="str">
        <f t="shared" si="860"/>
        <v>35084</v>
      </c>
      <c r="B23039" s="1" t="str">
        <f>"18458"</f>
        <v>18458</v>
      </c>
      <c r="C23039" s="2">
        <v>7.5505889459377804E-5</v>
      </c>
      <c r="D23039" s="2">
        <v>1.8382352941176401E-3</v>
      </c>
      <c r="E23039" s="2">
        <v>0</v>
      </c>
      <c r="F23039" s="2">
        <v>8.1924683907261196E-5</v>
      </c>
    </row>
    <row r="23040" spans="1:6" x14ac:dyDescent="0.25">
      <c r="A23040" s="1" t="str">
        <f t="shared" si="860"/>
        <v>35084</v>
      </c>
      <c r="B23040" s="1" t="str">
        <f>"07062"</f>
        <v>07062</v>
      </c>
      <c r="C23040" s="2">
        <v>0</v>
      </c>
      <c r="D23040" s="2">
        <v>5.5147058823529398E-3</v>
      </c>
      <c r="E23040" s="2">
        <v>1.0430791697089801E-4</v>
      </c>
      <c r="F23040" s="2">
        <v>1.09232911876348E-4</v>
      </c>
    </row>
    <row r="23041" spans="1:6" x14ac:dyDescent="0.25">
      <c r="A23041" s="1" t="str">
        <f t="shared" si="860"/>
        <v>35084</v>
      </c>
      <c r="B23041" s="1" t="str">
        <f>"07082"</f>
        <v>07082</v>
      </c>
      <c r="C23041" s="2">
        <v>1.8876472364844399E-4</v>
      </c>
      <c r="D23041" s="2">
        <v>0</v>
      </c>
      <c r="E23041" s="2">
        <v>1.0430791697089801E-4</v>
      </c>
      <c r="F23041" s="2">
        <v>1.6384936781452201E-4</v>
      </c>
    </row>
    <row r="23042" spans="1:6" x14ac:dyDescent="0.25">
      <c r="A23042" s="1" t="str">
        <f t="shared" si="860"/>
        <v>35084</v>
      </c>
      <c r="B23042" s="1" t="str">
        <f>"07078"</f>
        <v>07078</v>
      </c>
      <c r="C23042" s="2">
        <v>2.6427061310782199E-4</v>
      </c>
      <c r="D23042" s="2">
        <v>9.1911764705882304E-3</v>
      </c>
      <c r="E23042" s="2">
        <v>1.0430791697089801E-4</v>
      </c>
      <c r="F23042" s="2">
        <v>3.55006963598132E-4</v>
      </c>
    </row>
    <row r="23043" spans="1:6" x14ac:dyDescent="0.25">
      <c r="A23043" s="1" t="str">
        <f t="shared" si="860"/>
        <v>35084</v>
      </c>
      <c r="B23043" s="1" t="str">
        <f>"07203"</f>
        <v>07203</v>
      </c>
      <c r="C23043" s="2">
        <v>6.3802476593174196E-3</v>
      </c>
      <c r="D23043" s="2">
        <v>0</v>
      </c>
      <c r="E23043" s="2">
        <v>2.0861583394179601E-4</v>
      </c>
      <c r="F23043" s="2">
        <v>4.6697069827138903E-3</v>
      </c>
    </row>
    <row r="23044" spans="1:6" x14ac:dyDescent="0.25">
      <c r="A23044" s="1" t="str">
        <f t="shared" si="860"/>
        <v>35084</v>
      </c>
      <c r="B23044" s="1" t="str">
        <f>"07050"</f>
        <v>07050</v>
      </c>
      <c r="C23044" s="2">
        <v>2.4916943521594601E-2</v>
      </c>
      <c r="D23044" s="2">
        <v>1.8382352941176401E-3</v>
      </c>
      <c r="E23044" s="2">
        <v>2.5555439657870001E-2</v>
      </c>
      <c r="F23044" s="2">
        <v>2.4741254539992801E-2</v>
      </c>
    </row>
    <row r="23045" spans="1:6" x14ac:dyDescent="0.25">
      <c r="A23045" s="1" t="str">
        <f t="shared" si="860"/>
        <v>35084</v>
      </c>
      <c r="B23045" s="1" t="str">
        <f>"07112"</f>
        <v>07112</v>
      </c>
      <c r="C23045" s="2">
        <v>5.35336756266988E-2</v>
      </c>
      <c r="D23045" s="2">
        <v>0</v>
      </c>
      <c r="E23045" s="2">
        <v>4.7773025972671301E-2</v>
      </c>
      <c r="F23045" s="2">
        <v>5.1230235670007299E-2</v>
      </c>
    </row>
    <row r="23046" spans="1:6" x14ac:dyDescent="0.25">
      <c r="A23046" s="1" t="str">
        <f t="shared" si="860"/>
        <v>35084</v>
      </c>
      <c r="B23046" s="1" t="str">
        <f>"07871"</f>
        <v>07871</v>
      </c>
      <c r="C23046" s="2">
        <v>4.2660827544548398E-3</v>
      </c>
      <c r="D23046" s="2">
        <v>5.5147058823529398E-3</v>
      </c>
      <c r="E23046" s="2">
        <v>7.3015541879628597E-4</v>
      </c>
      <c r="F23046" s="2">
        <v>3.3589120401977101E-3</v>
      </c>
    </row>
    <row r="23047" spans="1:6" x14ac:dyDescent="0.25">
      <c r="A23047" s="1" t="str">
        <f t="shared" si="860"/>
        <v>35084</v>
      </c>
      <c r="B23047" s="1" t="str">
        <f>"07932"</f>
        <v>07932</v>
      </c>
      <c r="C23047" s="2">
        <v>6.04047115675022E-3</v>
      </c>
      <c r="D23047" s="2">
        <v>3.6764705882352902E-3</v>
      </c>
      <c r="E23047" s="2">
        <v>5.2153958485449004E-4</v>
      </c>
      <c r="F23047" s="2">
        <v>4.56047407083754E-3</v>
      </c>
    </row>
    <row r="23048" spans="1:6" x14ac:dyDescent="0.25">
      <c r="A23048" s="1" t="str">
        <f t="shared" si="860"/>
        <v>35084</v>
      </c>
      <c r="B23048" s="1" t="str">
        <f>"07847"</f>
        <v>07847</v>
      </c>
      <c r="C23048" s="2">
        <v>0</v>
      </c>
      <c r="D23048" s="2">
        <v>0</v>
      </c>
      <c r="E23048" s="2">
        <v>1.0430791697089801E-4</v>
      </c>
      <c r="F23048" s="2">
        <v>2.7308227969087001E-5</v>
      </c>
    </row>
    <row r="23049" spans="1:6" x14ac:dyDescent="0.25">
      <c r="A23049" s="1" t="str">
        <f t="shared" si="860"/>
        <v>35084</v>
      </c>
      <c r="B23049" s="1" t="str">
        <f>"18324"</f>
        <v>18324</v>
      </c>
      <c r="C23049" s="2">
        <v>2.7559649652672902E-3</v>
      </c>
      <c r="D23049" s="2">
        <v>0</v>
      </c>
      <c r="E23049" s="2">
        <v>0</v>
      </c>
      <c r="F23049" s="2">
        <v>1.9935006417433499E-3</v>
      </c>
    </row>
    <row r="23050" spans="1:6" x14ac:dyDescent="0.25">
      <c r="A23050" s="1" t="str">
        <f t="shared" si="860"/>
        <v>35084</v>
      </c>
      <c r="B23050" s="1" t="str">
        <f>"07936"</f>
        <v>07936</v>
      </c>
      <c r="C23050" s="2">
        <v>3.7752944729688902E-5</v>
      </c>
      <c r="D23050" s="2">
        <v>4.2279411764705802E-2</v>
      </c>
      <c r="E23050" s="2">
        <v>3.44216126003963E-3</v>
      </c>
      <c r="F23050" s="2">
        <v>1.5565689942379599E-3</v>
      </c>
    </row>
    <row r="23051" spans="1:6" x14ac:dyDescent="0.25">
      <c r="A23051" s="1" t="str">
        <f t="shared" si="860"/>
        <v>35084</v>
      </c>
      <c r="B23051" s="1" t="str">
        <f>"07853"</f>
        <v>07853</v>
      </c>
      <c r="C23051" s="2">
        <v>1.13258834189066E-4</v>
      </c>
      <c r="D23051" s="2">
        <v>0</v>
      </c>
      <c r="E23051" s="2">
        <v>3.12923750912694E-4</v>
      </c>
      <c r="F23051" s="2">
        <v>1.6384936781452201E-4</v>
      </c>
    </row>
    <row r="23052" spans="1:6" x14ac:dyDescent="0.25">
      <c r="A23052" s="1" t="str">
        <f t="shared" si="860"/>
        <v>35084</v>
      </c>
      <c r="B23052" s="1" t="str">
        <f>"07831"</f>
        <v>07831</v>
      </c>
      <c r="C23052" s="2">
        <v>1.28360012080942E-3</v>
      </c>
      <c r="D23052" s="2">
        <v>0</v>
      </c>
      <c r="E23052" s="2">
        <v>1.0430791697089801E-4</v>
      </c>
      <c r="F23052" s="2">
        <v>9.5578797891804801E-4</v>
      </c>
    </row>
    <row r="23053" spans="1:6" x14ac:dyDescent="0.25">
      <c r="A23053" s="1" t="str">
        <f t="shared" si="860"/>
        <v>35084</v>
      </c>
      <c r="B23053" s="1" t="str">
        <f>"07006"</f>
        <v>07006</v>
      </c>
      <c r="C23053" s="2">
        <v>4.3415886439142201E-3</v>
      </c>
      <c r="D23053" s="2">
        <v>3.6764705882352902E-3</v>
      </c>
      <c r="E23053" s="2">
        <v>3.12923750912694E-4</v>
      </c>
      <c r="F23053" s="2">
        <v>3.2769873562904501E-3</v>
      </c>
    </row>
    <row r="23054" spans="1:6" x14ac:dyDescent="0.25">
      <c r="A23054" s="1" t="str">
        <f t="shared" si="860"/>
        <v>35084</v>
      </c>
      <c r="B23054" s="1" t="str">
        <f>"07079"</f>
        <v>07079</v>
      </c>
      <c r="C23054" s="2">
        <v>3.5487768045907499E-3</v>
      </c>
      <c r="D23054" s="2">
        <v>1.8382352941176401E-3</v>
      </c>
      <c r="E23054" s="2">
        <v>1.9818504224470598E-3</v>
      </c>
      <c r="F23054" s="2">
        <v>3.1131379884759198E-3</v>
      </c>
    </row>
    <row r="23055" spans="1:6" x14ac:dyDescent="0.25">
      <c r="A23055" s="1" t="str">
        <f t="shared" si="860"/>
        <v>35084</v>
      </c>
      <c r="B23055" s="1" t="str">
        <f>"07933"</f>
        <v>07933</v>
      </c>
      <c r="C23055" s="2">
        <v>0</v>
      </c>
      <c r="D23055" s="2">
        <v>0</v>
      </c>
      <c r="E23055" s="2">
        <v>1.2516950036507699E-3</v>
      </c>
      <c r="F23055" s="2">
        <v>3.27698735629045E-4</v>
      </c>
    </row>
    <row r="23056" spans="1:6" x14ac:dyDescent="0.25">
      <c r="A23056" s="1" t="str">
        <f t="shared" si="860"/>
        <v>35084</v>
      </c>
      <c r="B23056" s="1" t="str">
        <f>"07874"</f>
        <v>07874</v>
      </c>
      <c r="C23056" s="2">
        <v>0</v>
      </c>
      <c r="D23056" s="2">
        <v>1.10294117647058E-2</v>
      </c>
      <c r="E23056" s="2">
        <v>2.3990820903306499E-3</v>
      </c>
      <c r="F23056" s="2">
        <v>7.9193861110352505E-4</v>
      </c>
    </row>
    <row r="23057" spans="1:6" x14ac:dyDescent="0.25">
      <c r="A23057" s="1" t="str">
        <f t="shared" si="860"/>
        <v>35084</v>
      </c>
      <c r="B23057" s="1" t="str">
        <f>"07009"</f>
        <v>07009</v>
      </c>
      <c r="C23057" s="2">
        <v>2.1896707943219501E-3</v>
      </c>
      <c r="D23057" s="2">
        <v>1.6544117647058799E-2</v>
      </c>
      <c r="E23057" s="2">
        <v>1.0430791697089801E-4</v>
      </c>
      <c r="F23057" s="2">
        <v>1.85695950189792E-3</v>
      </c>
    </row>
    <row r="23058" spans="1:6" x14ac:dyDescent="0.25">
      <c r="A23058" s="1" t="str">
        <f t="shared" si="860"/>
        <v>35084</v>
      </c>
      <c r="B23058" s="1" t="str">
        <f>"08551"</f>
        <v>08551</v>
      </c>
      <c r="C23058" s="2">
        <v>1.13258834189066E-4</v>
      </c>
      <c r="D23058" s="2">
        <v>0</v>
      </c>
      <c r="E23058" s="2">
        <v>1.0430791697089801E-4</v>
      </c>
      <c r="F23058" s="2">
        <v>1.09232911876348E-4</v>
      </c>
    </row>
    <row r="23059" spans="1:6" x14ac:dyDescent="0.25">
      <c r="A23059" s="1" t="str">
        <f t="shared" si="860"/>
        <v>35084</v>
      </c>
      <c r="B23059" s="1" t="str">
        <f>"07058"</f>
        <v>07058</v>
      </c>
      <c r="C23059" s="2">
        <v>0</v>
      </c>
      <c r="D23059" s="2">
        <v>1.8382352941176401E-3</v>
      </c>
      <c r="E23059" s="2">
        <v>2.0861583394179601E-4</v>
      </c>
      <c r="F23059" s="2">
        <v>8.1924683907261196E-5</v>
      </c>
    </row>
    <row r="23060" spans="1:6" x14ac:dyDescent="0.25">
      <c r="A23060" s="1" t="str">
        <f t="shared" si="860"/>
        <v>35084</v>
      </c>
      <c r="B23060" s="1" t="str">
        <f>"07108"</f>
        <v>07108</v>
      </c>
      <c r="C23060" s="2">
        <v>5.2287828450619099E-2</v>
      </c>
      <c r="D23060" s="2">
        <v>0</v>
      </c>
      <c r="E23060" s="2">
        <v>4.8503181391467601E-2</v>
      </c>
      <c r="F23060" s="2">
        <v>5.0520221742811101E-2</v>
      </c>
    </row>
    <row r="23061" spans="1:6" x14ac:dyDescent="0.25">
      <c r="A23061" s="1" t="str">
        <f t="shared" si="860"/>
        <v>35084</v>
      </c>
      <c r="B23061" s="1" t="str">
        <f>"07105"</f>
        <v>07105</v>
      </c>
      <c r="C23061" s="2">
        <v>0.12243279975838101</v>
      </c>
      <c r="D23061" s="2">
        <v>1.2867647058823499E-2</v>
      </c>
      <c r="E23061" s="2">
        <v>0.10712423072911199</v>
      </c>
      <c r="F23061" s="2">
        <v>0.116797291023785</v>
      </c>
    </row>
    <row r="23062" spans="1:6" x14ac:dyDescent="0.25">
      <c r="A23062" s="1" t="str">
        <f t="shared" si="860"/>
        <v>35084</v>
      </c>
      <c r="B23062" s="1" t="str">
        <f>"07106"</f>
        <v>07106</v>
      </c>
      <c r="C23062" s="2">
        <v>3.4128662035638697E-2</v>
      </c>
      <c r="D23062" s="2">
        <v>0</v>
      </c>
      <c r="E23062" s="2">
        <v>3.1709606759152999E-2</v>
      </c>
      <c r="F23062" s="2">
        <v>3.2988339386657101E-2</v>
      </c>
    </row>
    <row r="23063" spans="1:6" x14ac:dyDescent="0.25">
      <c r="A23063" s="1" t="str">
        <f t="shared" si="860"/>
        <v>35084</v>
      </c>
      <c r="B23063" s="1" t="str">
        <f>"07960"</f>
        <v>07960</v>
      </c>
      <c r="C23063" s="2">
        <v>4.64361220175173E-3</v>
      </c>
      <c r="D23063" s="2">
        <v>3.125E-2</v>
      </c>
      <c r="E23063" s="2">
        <v>3.2439762177949298E-2</v>
      </c>
      <c r="F23063" s="2">
        <v>1.23160108140582E-2</v>
      </c>
    </row>
    <row r="23064" spans="1:6" x14ac:dyDescent="0.25">
      <c r="A23064" s="1" t="str">
        <f t="shared" si="860"/>
        <v>35084</v>
      </c>
      <c r="B23064" s="1" t="str">
        <f>"07016"</f>
        <v>07016</v>
      </c>
      <c r="C23064" s="2">
        <v>3.6242826940501298E-3</v>
      </c>
      <c r="D23064" s="2">
        <v>5.5147058823529398E-3</v>
      </c>
      <c r="E23064" s="2">
        <v>2.7120058412433501E-3</v>
      </c>
      <c r="F23064" s="2">
        <v>3.4135284961358801E-3</v>
      </c>
    </row>
    <row r="23065" spans="1:6" x14ac:dyDescent="0.25">
      <c r="A23065" s="1" t="str">
        <f t="shared" si="860"/>
        <v>35084</v>
      </c>
      <c r="B23065" s="1" t="str">
        <f>"07462"</f>
        <v>07462</v>
      </c>
      <c r="C23065" s="2">
        <v>4.7568710359408E-3</v>
      </c>
      <c r="D23065" s="2">
        <v>0</v>
      </c>
      <c r="E23065" s="2">
        <v>1.8775425054761599E-3</v>
      </c>
      <c r="F23065" s="2">
        <v>3.9323848275485398E-3</v>
      </c>
    </row>
    <row r="23066" spans="1:6" x14ac:dyDescent="0.25">
      <c r="A23066" s="1" t="str">
        <f t="shared" si="860"/>
        <v>35084</v>
      </c>
      <c r="B23066" s="1" t="str">
        <f>"18336"</f>
        <v>18336</v>
      </c>
      <c r="C23066" s="2">
        <v>2.26517668378133E-4</v>
      </c>
      <c r="D23066" s="2">
        <v>0</v>
      </c>
      <c r="E23066" s="2">
        <v>2.0861583394179601E-4</v>
      </c>
      <c r="F23066" s="2">
        <v>2.1846582375269601E-4</v>
      </c>
    </row>
    <row r="23067" spans="1:6" x14ac:dyDescent="0.25">
      <c r="A23067" s="1" t="str">
        <f t="shared" si="860"/>
        <v>35084</v>
      </c>
      <c r="B23067" s="1" t="str">
        <f>"07821"</f>
        <v>07821</v>
      </c>
      <c r="C23067" s="2">
        <v>3.7752944729688902E-4</v>
      </c>
      <c r="D23067" s="2">
        <v>0</v>
      </c>
      <c r="E23067" s="2">
        <v>3.12923750912694E-4</v>
      </c>
      <c r="F23067" s="2">
        <v>3.55006963598132E-4</v>
      </c>
    </row>
    <row r="23068" spans="1:6" x14ac:dyDescent="0.25">
      <c r="A23068" s="1" t="str">
        <f t="shared" si="860"/>
        <v>35084</v>
      </c>
      <c r="B23068" s="1" t="str">
        <f>"07109"</f>
        <v>07109</v>
      </c>
      <c r="C23068" s="2">
        <v>3.7752944729688902E-5</v>
      </c>
      <c r="D23068" s="2">
        <v>7.3529411764705803E-3</v>
      </c>
      <c r="E23068" s="2">
        <v>4.1723166788359202E-4</v>
      </c>
      <c r="F23068" s="2">
        <v>2.4577405172178298E-4</v>
      </c>
    </row>
    <row r="23069" spans="1:6" x14ac:dyDescent="0.25">
      <c r="A23069" s="1" t="str">
        <f t="shared" si="860"/>
        <v>35084</v>
      </c>
      <c r="B23069" s="1" t="str">
        <f>"07828"</f>
        <v>07828</v>
      </c>
      <c r="C23069" s="2">
        <v>0</v>
      </c>
      <c r="D23069" s="2">
        <v>1.8382352941176401E-3</v>
      </c>
      <c r="E23069" s="2">
        <v>1.0430791697089801E-4</v>
      </c>
      <c r="F23069" s="2">
        <v>5.4616455938174097E-5</v>
      </c>
    </row>
    <row r="23070" spans="1:6" x14ac:dyDescent="0.25">
      <c r="A23070" s="1" t="str">
        <f t="shared" ref="A23070:A23076" si="861">"35084"</f>
        <v>35084</v>
      </c>
      <c r="B23070" s="1" t="str">
        <f>"07850"</f>
        <v>07850</v>
      </c>
      <c r="C23070" s="2">
        <v>3.7752944729688902E-5</v>
      </c>
      <c r="D23070" s="2">
        <v>0</v>
      </c>
      <c r="E23070" s="2">
        <v>3.12923750912694E-4</v>
      </c>
      <c r="F23070" s="2">
        <v>1.09232911876348E-4</v>
      </c>
    </row>
    <row r="23071" spans="1:6" x14ac:dyDescent="0.25">
      <c r="A23071" s="1" t="str">
        <f t="shared" si="861"/>
        <v>35084</v>
      </c>
      <c r="B23071" s="1" t="str">
        <f>"07027"</f>
        <v>07027</v>
      </c>
      <c r="C23071" s="2">
        <v>2.6427061310782199E-4</v>
      </c>
      <c r="D23071" s="2">
        <v>1.8382352941176401E-3</v>
      </c>
      <c r="E23071" s="2">
        <v>1.0430791697089801E-4</v>
      </c>
      <c r="F23071" s="2">
        <v>2.4577405172178298E-4</v>
      </c>
    </row>
    <row r="23072" spans="1:6" x14ac:dyDescent="0.25">
      <c r="A23072" s="1" t="str">
        <f t="shared" si="861"/>
        <v>35084</v>
      </c>
      <c r="B23072" s="1" t="str">
        <f>"07005"</f>
        <v>07005</v>
      </c>
      <c r="C23072" s="2">
        <v>1.32890365448504E-2</v>
      </c>
      <c r="D23072" s="2">
        <v>1.8382352941176401E-3</v>
      </c>
      <c r="E23072" s="2">
        <v>2.0861583394179601E-4</v>
      </c>
      <c r="F23072" s="2">
        <v>9.6944209290259105E-3</v>
      </c>
    </row>
    <row r="23073" spans="1:6" x14ac:dyDescent="0.25">
      <c r="A23073" s="1" t="str">
        <f t="shared" si="861"/>
        <v>35084</v>
      </c>
      <c r="B23073" s="1" t="str">
        <f>"08889"</f>
        <v>08889</v>
      </c>
      <c r="C23073" s="2">
        <v>0</v>
      </c>
      <c r="D23073" s="2">
        <v>0</v>
      </c>
      <c r="E23073" s="2">
        <v>4.1723166788359202E-4</v>
      </c>
      <c r="F23073" s="2">
        <v>1.09232911876348E-4</v>
      </c>
    </row>
    <row r="23074" spans="1:6" x14ac:dyDescent="0.25">
      <c r="A23074" s="1" t="str">
        <f t="shared" si="861"/>
        <v>35084</v>
      </c>
      <c r="B23074" s="1" t="str">
        <f>"18425"</f>
        <v>18425</v>
      </c>
      <c r="C23074" s="2">
        <v>3.7752944729688902E-5</v>
      </c>
      <c r="D23074" s="2">
        <v>0</v>
      </c>
      <c r="E23074" s="2">
        <v>0</v>
      </c>
      <c r="F23074" s="2">
        <v>2.7308227969087001E-5</v>
      </c>
    </row>
    <row r="23075" spans="1:6" x14ac:dyDescent="0.25">
      <c r="A23075" s="1" t="str">
        <f t="shared" si="861"/>
        <v>35084</v>
      </c>
      <c r="B23075" s="1" t="str">
        <f>"07419"</f>
        <v>07419</v>
      </c>
      <c r="C23075" s="2">
        <v>0</v>
      </c>
      <c r="D23075" s="2">
        <v>0</v>
      </c>
      <c r="E23075" s="2">
        <v>5.2153958485449004E-4</v>
      </c>
      <c r="F23075" s="2">
        <v>1.3654113984543499E-4</v>
      </c>
    </row>
    <row r="23076" spans="1:6" x14ac:dyDescent="0.25">
      <c r="A23076" s="1" t="str">
        <f t="shared" si="861"/>
        <v>35084</v>
      </c>
      <c r="B23076" s="1" t="str">
        <f>"18426"</f>
        <v>18426</v>
      </c>
      <c r="C23076" s="2">
        <v>3.7752944729688902E-5</v>
      </c>
      <c r="D23076" s="2">
        <v>0</v>
      </c>
      <c r="E23076" s="2">
        <v>0</v>
      </c>
      <c r="F23076" s="2">
        <v>2.7308227969087001E-5</v>
      </c>
    </row>
    <row r="23077" spans="1:6" x14ac:dyDescent="0.25">
      <c r="A23077" s="1" t="str">
        <f t="shared" ref="A23077:A23107" si="862">"35100"</f>
        <v>35100</v>
      </c>
      <c r="B23077" s="1" t="str">
        <f>"28574"</f>
        <v>28574</v>
      </c>
      <c r="C23077" s="2">
        <v>8.17098868963144E-4</v>
      </c>
      <c r="D23077" s="2">
        <v>5.2029136316337099E-4</v>
      </c>
      <c r="E23077" s="2">
        <v>0</v>
      </c>
      <c r="F23077" s="2">
        <v>7.8596785391477401E-4</v>
      </c>
    </row>
    <row r="23078" spans="1:6" x14ac:dyDescent="0.25">
      <c r="A23078" s="1" t="str">
        <f t="shared" si="862"/>
        <v>35100</v>
      </c>
      <c r="B23078" s="1" t="str">
        <f>"28533"</f>
        <v>28533</v>
      </c>
      <c r="C23078" s="2">
        <v>0</v>
      </c>
      <c r="D23078" s="2">
        <v>1.04058272632674E-2</v>
      </c>
      <c r="E23078" s="2">
        <v>1.22850122850122E-3</v>
      </c>
      <c r="F23078" s="2">
        <v>7.9906731814668704E-4</v>
      </c>
    </row>
    <row r="23079" spans="1:6" x14ac:dyDescent="0.25">
      <c r="A23079" s="1" t="str">
        <f t="shared" si="862"/>
        <v>35100</v>
      </c>
      <c r="B23079" s="1" t="str">
        <f>"28552"</f>
        <v>28552</v>
      </c>
      <c r="C23079" s="2">
        <v>1.9639042990868502E-3</v>
      </c>
      <c r="D23079" s="2">
        <v>6.93721817551161E-4</v>
      </c>
      <c r="E23079" s="2">
        <v>1.22850122850122E-3</v>
      </c>
      <c r="F23079" s="2">
        <v>1.86012392093163E-3</v>
      </c>
    </row>
    <row r="23080" spans="1:6" x14ac:dyDescent="0.25">
      <c r="A23080" s="1" t="str">
        <f t="shared" si="862"/>
        <v>35100</v>
      </c>
      <c r="B23080" s="1" t="str">
        <f>"28572"</f>
        <v>28572</v>
      </c>
      <c r="C23080" s="2">
        <v>2.5516420820252501E-3</v>
      </c>
      <c r="D23080" s="2">
        <v>1.04058272632674E-3</v>
      </c>
      <c r="E23080" s="2">
        <v>0</v>
      </c>
      <c r="F23080" s="2">
        <v>2.41030141867197E-3</v>
      </c>
    </row>
    <row r="23081" spans="1:6" x14ac:dyDescent="0.25">
      <c r="A23081" s="1" t="str">
        <f t="shared" si="862"/>
        <v>35100</v>
      </c>
      <c r="B23081" s="1" t="str">
        <f>"28555"</f>
        <v>28555</v>
      </c>
      <c r="C23081" s="2">
        <v>1.30305766997806E-2</v>
      </c>
      <c r="D23081" s="2">
        <v>2.0811654526534801E-3</v>
      </c>
      <c r="E23081" s="2">
        <v>4.9140049140049104E-3</v>
      </c>
      <c r="F23081" s="2">
        <v>1.21170044145194E-2</v>
      </c>
    </row>
    <row r="23082" spans="1:6" x14ac:dyDescent="0.25">
      <c r="A23082" s="1" t="str">
        <f t="shared" si="862"/>
        <v>35100</v>
      </c>
      <c r="B23082" s="1" t="str">
        <f>"28571"</f>
        <v>28571</v>
      </c>
      <c r="C23082" s="2">
        <v>2.33088203672644E-2</v>
      </c>
      <c r="D23082" s="2">
        <v>1.17932708983697E-2</v>
      </c>
      <c r="E23082" s="2">
        <v>1.1056511056511001E-2</v>
      </c>
      <c r="F23082" s="2">
        <v>2.2308387586947601E-2</v>
      </c>
    </row>
    <row r="23083" spans="1:6" x14ac:dyDescent="0.25">
      <c r="A23083" s="1" t="str">
        <f t="shared" si="862"/>
        <v>35100</v>
      </c>
      <c r="B23083" s="1" t="str">
        <f>"28562"</f>
        <v>28562</v>
      </c>
      <c r="C23083" s="2">
        <v>0.28402069983801298</v>
      </c>
      <c r="D23083" s="2">
        <v>0.276101283385362</v>
      </c>
      <c r="E23083" s="2">
        <v>0.325552825552825</v>
      </c>
      <c r="F23083" s="2">
        <v>0.28386538990555199</v>
      </c>
    </row>
    <row r="23084" spans="1:6" x14ac:dyDescent="0.25">
      <c r="A23084" s="1" t="str">
        <f t="shared" si="862"/>
        <v>35100</v>
      </c>
      <c r="B23084" s="1" t="str">
        <f>"28532"</f>
        <v>28532</v>
      </c>
      <c r="C23084" s="2">
        <v>0.17977608623976801</v>
      </c>
      <c r="D23084" s="2">
        <v>0.17134928893513701</v>
      </c>
      <c r="E23084" s="2">
        <v>0.28255528255528201</v>
      </c>
      <c r="F23084" s="2">
        <v>0.180235528366889</v>
      </c>
    </row>
    <row r="23085" spans="1:6" x14ac:dyDescent="0.25">
      <c r="A23085" s="1" t="str">
        <f t="shared" si="862"/>
        <v>35100</v>
      </c>
      <c r="B23085" s="1" t="str">
        <f>"28519"</f>
        <v>28519</v>
      </c>
      <c r="C23085" s="2">
        <v>1.3933685976003E-2</v>
      </c>
      <c r="D23085" s="2">
        <v>1.7689906347554601E-2</v>
      </c>
      <c r="E23085" s="2">
        <v>2.45700245700245E-3</v>
      </c>
      <c r="F23085" s="2">
        <v>1.40950235135382E-2</v>
      </c>
    </row>
    <row r="23086" spans="1:6" x14ac:dyDescent="0.25">
      <c r="A23086" s="1" t="str">
        <f t="shared" si="862"/>
        <v>35100</v>
      </c>
      <c r="B23086" s="1" t="str">
        <f>"28560"</f>
        <v>28560</v>
      </c>
      <c r="C23086" s="2">
        <v>0.22546194756232099</v>
      </c>
      <c r="D23086" s="2">
        <v>0.23551855705861899</v>
      </c>
      <c r="E23086" s="2">
        <v>0.28132678132678102</v>
      </c>
      <c r="F23086" s="2">
        <v>0.22681722317557201</v>
      </c>
    </row>
    <row r="23087" spans="1:6" x14ac:dyDescent="0.25">
      <c r="A23087" s="1" t="str">
        <f t="shared" si="862"/>
        <v>35100</v>
      </c>
      <c r="B23087" s="1" t="str">
        <f>"28587"</f>
        <v>28587</v>
      </c>
      <c r="C23087" s="2">
        <v>1.70587307730902E-3</v>
      </c>
      <c r="D23087" s="2">
        <v>8.6715227193895198E-4</v>
      </c>
      <c r="E23087" s="2">
        <v>1.22850122850122E-3</v>
      </c>
      <c r="F23087" s="2">
        <v>1.6374330289891099E-3</v>
      </c>
    </row>
    <row r="23088" spans="1:6" x14ac:dyDescent="0.25">
      <c r="A23088" s="1" t="str">
        <f t="shared" si="862"/>
        <v>35100</v>
      </c>
      <c r="B23088" s="1" t="str">
        <f>"28501"</f>
        <v>28501</v>
      </c>
      <c r="C23088" s="2">
        <v>4.7305723992603103E-3</v>
      </c>
      <c r="D23088" s="2">
        <v>3.1217481789802201E-3</v>
      </c>
      <c r="E23088" s="2">
        <v>0</v>
      </c>
      <c r="F23088" s="2">
        <v>4.5586135527056898E-3</v>
      </c>
    </row>
    <row r="23089" spans="1:6" x14ac:dyDescent="0.25">
      <c r="A23089" s="1" t="str">
        <f t="shared" si="862"/>
        <v>35100</v>
      </c>
      <c r="B23089" s="1" t="str">
        <f>"28583"</f>
        <v>28583</v>
      </c>
      <c r="C23089" s="2">
        <v>0</v>
      </c>
      <c r="D23089" s="2">
        <v>0</v>
      </c>
      <c r="E23089" s="2">
        <v>1.22850122850122E-3</v>
      </c>
      <c r="F23089" s="2">
        <v>1.30994642319129E-5</v>
      </c>
    </row>
    <row r="23090" spans="1:6" x14ac:dyDescent="0.25">
      <c r="A23090" s="1" t="str">
        <f t="shared" si="862"/>
        <v>35100</v>
      </c>
      <c r="B23090" s="1" t="str">
        <f>"28537"</f>
        <v>28537</v>
      </c>
      <c r="C23090" s="2">
        <v>6.1640791869149497E-4</v>
      </c>
      <c r="D23090" s="2">
        <v>1.7343045438779001E-4</v>
      </c>
      <c r="E23090" s="2">
        <v>0</v>
      </c>
      <c r="F23090" s="2">
        <v>5.7637642620416796E-4</v>
      </c>
    </row>
    <row r="23091" spans="1:6" x14ac:dyDescent="0.25">
      <c r="A23091" s="1" t="str">
        <f t="shared" si="862"/>
        <v>35100</v>
      </c>
      <c r="B23091" s="1" t="str">
        <f>"28523"</f>
        <v>28523</v>
      </c>
      <c r="C23091" s="2">
        <v>1.8836279189781899E-2</v>
      </c>
      <c r="D23091" s="2">
        <v>8.3246618106139394E-3</v>
      </c>
      <c r="E23091" s="2">
        <v>0</v>
      </c>
      <c r="F23091" s="2">
        <v>1.7841470283865301E-2</v>
      </c>
    </row>
    <row r="23092" spans="1:6" x14ac:dyDescent="0.25">
      <c r="A23092" s="1" t="str">
        <f t="shared" si="862"/>
        <v>35100</v>
      </c>
      <c r="B23092" s="1" t="str">
        <f>"28530"</f>
        <v>28530</v>
      </c>
      <c r="C23092" s="2">
        <v>4.3435255665935498E-3</v>
      </c>
      <c r="D23092" s="2">
        <v>2.0811654526534801E-3</v>
      </c>
      <c r="E23092" s="2">
        <v>0</v>
      </c>
      <c r="F23092" s="2">
        <v>4.1263312330525603E-3</v>
      </c>
    </row>
    <row r="23093" spans="1:6" x14ac:dyDescent="0.25">
      <c r="A23093" s="1" t="str">
        <f t="shared" si="862"/>
        <v>35100</v>
      </c>
      <c r="B23093" s="1" t="str">
        <f>"28510"</f>
        <v>28510</v>
      </c>
      <c r="C23093" s="2">
        <v>1.3173927378546099E-2</v>
      </c>
      <c r="D23093" s="2">
        <v>1.9077349982656901E-3</v>
      </c>
      <c r="E23093" s="2">
        <v>1.4742014742014699E-2</v>
      </c>
      <c r="F23093" s="2">
        <v>1.23396953064619E-2</v>
      </c>
    </row>
    <row r="23094" spans="1:6" x14ac:dyDescent="0.25">
      <c r="A23094" s="1" t="str">
        <f t="shared" si="862"/>
        <v>35100</v>
      </c>
      <c r="B23094" s="1" t="str">
        <f>"28515"</f>
        <v>28515</v>
      </c>
      <c r="C23094" s="2">
        <v>1.6901045026448201E-2</v>
      </c>
      <c r="D23094" s="2">
        <v>1.37010058966354E-2</v>
      </c>
      <c r="E23094" s="2">
        <v>1.7199017199017098E-2</v>
      </c>
      <c r="F23094" s="2">
        <v>1.66625185029932E-2</v>
      </c>
    </row>
    <row r="23095" spans="1:6" x14ac:dyDescent="0.25">
      <c r="A23095" s="1" t="str">
        <f t="shared" si="862"/>
        <v>35100</v>
      </c>
      <c r="B23095" s="1" t="str">
        <f>"28586"</f>
        <v>28586</v>
      </c>
      <c r="C23095" s="2">
        <v>4.94129789704554E-2</v>
      </c>
      <c r="D23095" s="2">
        <v>2.54942767950052E-2</v>
      </c>
      <c r="E23095" s="2">
        <v>1.7199017199017098E-2</v>
      </c>
      <c r="F23095" s="2">
        <v>4.7262866948741697E-2</v>
      </c>
    </row>
    <row r="23096" spans="1:6" x14ac:dyDescent="0.25">
      <c r="A23096" s="1" t="str">
        <f t="shared" si="862"/>
        <v>35100</v>
      </c>
      <c r="B23096" s="1" t="str">
        <f>"28563"</f>
        <v>28563</v>
      </c>
      <c r="C23096" s="2">
        <v>1.44784185553118E-2</v>
      </c>
      <c r="D23096" s="2">
        <v>5.3763440860214999E-2</v>
      </c>
      <c r="E23096" s="2">
        <v>1.22850122850122E-3</v>
      </c>
      <c r="F23096" s="2">
        <v>1.73043922503569E-2</v>
      </c>
    </row>
    <row r="23097" spans="1:6" x14ac:dyDescent="0.25">
      <c r="A23097" s="1" t="str">
        <f t="shared" si="862"/>
        <v>35100</v>
      </c>
      <c r="B23097" s="1" t="str">
        <f>"28504"</f>
        <v>28504</v>
      </c>
      <c r="C23097" s="2">
        <v>3.7271176479020601E-4</v>
      </c>
      <c r="D23097" s="2">
        <v>1.7343045438779001E-4</v>
      </c>
      <c r="E23097" s="2">
        <v>0</v>
      </c>
      <c r="F23097" s="2">
        <v>3.5368553426164801E-4</v>
      </c>
    </row>
    <row r="23098" spans="1:6" x14ac:dyDescent="0.25">
      <c r="A23098" s="1" t="str">
        <f t="shared" si="862"/>
        <v>35100</v>
      </c>
      <c r="B23098" s="1" t="str">
        <f>"28556"</f>
        <v>28556</v>
      </c>
      <c r="C23098" s="2">
        <v>1.0206568328101E-2</v>
      </c>
      <c r="D23098" s="2">
        <v>2.9483177245924301E-3</v>
      </c>
      <c r="E23098" s="2">
        <v>0</v>
      </c>
      <c r="F23098" s="2">
        <v>9.5495094250645108E-3</v>
      </c>
    </row>
    <row r="23099" spans="1:6" x14ac:dyDescent="0.25">
      <c r="A23099" s="1" t="str">
        <f t="shared" si="862"/>
        <v>35100</v>
      </c>
      <c r="B23099" s="1" t="str">
        <f>"28561"</f>
        <v>28561</v>
      </c>
      <c r="C23099" s="2">
        <v>2.9272208603907699E-2</v>
      </c>
      <c r="D23099" s="2">
        <v>9.1918140825528905E-2</v>
      </c>
      <c r="E23099" s="2">
        <v>1.22850122850122E-3</v>
      </c>
      <c r="F23099" s="2">
        <v>3.3704921468711901E-2</v>
      </c>
    </row>
    <row r="23100" spans="1:6" x14ac:dyDescent="0.25">
      <c r="A23100" s="1" t="str">
        <f t="shared" si="862"/>
        <v>35100</v>
      </c>
      <c r="B23100" s="1" t="str">
        <f>"28585"</f>
        <v>28585</v>
      </c>
      <c r="C23100" s="2">
        <v>2.8412104531314899E-2</v>
      </c>
      <c r="D23100" s="2">
        <v>2.4453694068678401E-2</v>
      </c>
      <c r="E23100" s="2">
        <v>2.2113022113022102E-2</v>
      </c>
      <c r="F23100" s="2">
        <v>2.8045952920525499E-2</v>
      </c>
    </row>
    <row r="23101" spans="1:6" x14ac:dyDescent="0.25">
      <c r="A23101" s="1" t="str">
        <f t="shared" si="862"/>
        <v>35100</v>
      </c>
      <c r="B23101" s="1" t="str">
        <f>"28509"</f>
        <v>28509</v>
      </c>
      <c r="C23101" s="2">
        <v>0</v>
      </c>
      <c r="D23101" s="2">
        <v>0</v>
      </c>
      <c r="E23101" s="2">
        <v>1.22850122850122E-3</v>
      </c>
      <c r="F23101" s="2">
        <v>1.30994642319129E-5</v>
      </c>
    </row>
    <row r="23102" spans="1:6" x14ac:dyDescent="0.25">
      <c r="A23102" s="1" t="str">
        <f t="shared" si="862"/>
        <v>35100</v>
      </c>
      <c r="B23102" s="1" t="str">
        <f>"28564"</f>
        <v>28564</v>
      </c>
      <c r="C23102" s="2">
        <v>6.5797961553347899E-3</v>
      </c>
      <c r="D23102" s="2">
        <v>2.1331945889698199E-2</v>
      </c>
      <c r="E23102" s="2">
        <v>2.45700245700245E-3</v>
      </c>
      <c r="F23102" s="2">
        <v>7.6500871114371398E-3</v>
      </c>
    </row>
    <row r="23103" spans="1:6" x14ac:dyDescent="0.25">
      <c r="A23103" s="1" t="str">
        <f t="shared" si="862"/>
        <v>35100</v>
      </c>
      <c r="B23103" s="1" t="str">
        <f>"28526"</f>
        <v>28526</v>
      </c>
      <c r="C23103" s="2">
        <v>1.7073065840966701E-2</v>
      </c>
      <c r="D23103" s="2">
        <v>8.3246618106139394E-3</v>
      </c>
      <c r="E23103" s="2">
        <v>0</v>
      </c>
      <c r="F23103" s="2">
        <v>1.6230236183340099E-2</v>
      </c>
    </row>
    <row r="23104" spans="1:6" x14ac:dyDescent="0.25">
      <c r="A23104" s="1" t="str">
        <f t="shared" si="862"/>
        <v>35100</v>
      </c>
      <c r="B23104" s="1" t="str">
        <f>"28522"</f>
        <v>28522</v>
      </c>
      <c r="C23104" s="2">
        <v>0</v>
      </c>
      <c r="D23104" s="2">
        <v>0</v>
      </c>
      <c r="E23104" s="2">
        <v>1.22850122850122E-3</v>
      </c>
      <c r="F23104" s="2">
        <v>1.30994642319129E-5</v>
      </c>
    </row>
    <row r="23105" spans="1:6" x14ac:dyDescent="0.25">
      <c r="A23105" s="1" t="str">
        <f t="shared" si="862"/>
        <v>35100</v>
      </c>
      <c r="B23105" s="1" t="str">
        <f>"28573"</f>
        <v>28573</v>
      </c>
      <c r="C23105" s="2">
        <v>1.48654653879786E-2</v>
      </c>
      <c r="D23105" s="2">
        <v>6.0700659035726598E-3</v>
      </c>
      <c r="E23105" s="2">
        <v>1.22850122850122E-3</v>
      </c>
      <c r="F23105" s="2">
        <v>1.4055725120842501E-2</v>
      </c>
    </row>
    <row r="23106" spans="1:6" x14ac:dyDescent="0.25">
      <c r="A23106" s="1" t="str">
        <f t="shared" si="862"/>
        <v>35100</v>
      </c>
      <c r="B23106" s="1" t="str">
        <f>"28529"</f>
        <v>28529</v>
      </c>
      <c r="C23106" s="2">
        <v>1.55965538496824E-2</v>
      </c>
      <c r="D23106" s="2">
        <v>7.1106486298994102E-3</v>
      </c>
      <c r="E23106" s="2">
        <v>6.1425061425061404E-3</v>
      </c>
      <c r="F23106" s="2">
        <v>1.48547924389892E-2</v>
      </c>
    </row>
    <row r="23107" spans="1:6" x14ac:dyDescent="0.25">
      <c r="A23107" s="1" t="str">
        <f t="shared" si="862"/>
        <v>35100</v>
      </c>
      <c r="B23107" s="1" t="str">
        <f>"28527"</f>
        <v>28527</v>
      </c>
      <c r="C23107" s="2">
        <v>8.5580355222981894E-3</v>
      </c>
      <c r="D23107" s="2">
        <v>1.04058272632674E-3</v>
      </c>
      <c r="E23107" s="2">
        <v>1.22850122850122E-3</v>
      </c>
      <c r="F23107" s="2">
        <v>7.9120763960754004E-3</v>
      </c>
    </row>
    <row r="23108" spans="1:6" x14ac:dyDescent="0.25">
      <c r="A23108" s="1" t="str">
        <f t="shared" ref="A23108:A23118" si="863">"35140"</f>
        <v>35140</v>
      </c>
      <c r="B23108" s="1" t="str">
        <f>"29037"</f>
        <v>29037</v>
      </c>
      <c r="C23108" s="2">
        <v>1.7869621643206501E-2</v>
      </c>
      <c r="D23108" s="2">
        <v>8.9020771513353102E-3</v>
      </c>
      <c r="E23108" s="2">
        <v>2.5179856115107899E-2</v>
      </c>
      <c r="F23108" s="2">
        <v>1.72750829658589E-2</v>
      </c>
    </row>
    <row r="23109" spans="1:6" x14ac:dyDescent="0.25">
      <c r="A23109" s="1" t="str">
        <f t="shared" si="863"/>
        <v>35140</v>
      </c>
      <c r="B23109" s="1" t="str">
        <f>"29127"</f>
        <v>29127</v>
      </c>
      <c r="C23109" s="2">
        <v>0.22596585804132899</v>
      </c>
      <c r="D23109" s="2">
        <v>0.124629080118694</v>
      </c>
      <c r="E23109" s="2">
        <v>2.5179856115107899E-2</v>
      </c>
      <c r="F23109" s="2">
        <v>0.21566577260535499</v>
      </c>
    </row>
    <row r="23110" spans="1:6" x14ac:dyDescent="0.25">
      <c r="A23110" s="1" t="str">
        <f t="shared" si="863"/>
        <v>35140</v>
      </c>
      <c r="B23110" s="1" t="str">
        <f>"29332"</f>
        <v>29332</v>
      </c>
      <c r="C23110" s="2">
        <v>6.0896475990815596E-3</v>
      </c>
      <c r="D23110" s="2">
        <v>0</v>
      </c>
      <c r="E23110" s="2">
        <v>0</v>
      </c>
      <c r="F23110" s="2">
        <v>5.5462108469336701E-3</v>
      </c>
    </row>
    <row r="23111" spans="1:6" x14ac:dyDescent="0.25">
      <c r="A23111" s="1" t="str">
        <f t="shared" si="863"/>
        <v>35140</v>
      </c>
      <c r="B23111" s="1" t="str">
        <f>"29355"</f>
        <v>29355</v>
      </c>
      <c r="C23111" s="2">
        <v>1.03324348607367E-2</v>
      </c>
      <c r="D23111" s="2">
        <v>4.1543026706231398E-3</v>
      </c>
      <c r="E23111" s="2">
        <v>0</v>
      </c>
      <c r="F23111" s="2">
        <v>9.7285993544574192E-3</v>
      </c>
    </row>
    <row r="23112" spans="1:6" x14ac:dyDescent="0.25">
      <c r="A23112" s="1" t="str">
        <f t="shared" si="863"/>
        <v>35140</v>
      </c>
      <c r="B23112" s="1" t="str">
        <f>"29145"</f>
        <v>29145</v>
      </c>
      <c r="C23112" s="2">
        <v>2.4408505540581001E-2</v>
      </c>
      <c r="D23112" s="2">
        <v>1.24629080118694E-2</v>
      </c>
      <c r="E23112" s="2">
        <v>7.1942446043165402E-3</v>
      </c>
      <c r="F23112" s="2">
        <v>2.3275901259262599E-2</v>
      </c>
    </row>
    <row r="23113" spans="1:6" x14ac:dyDescent="0.25">
      <c r="A23113" s="1" t="str">
        <f t="shared" si="863"/>
        <v>35140</v>
      </c>
      <c r="B23113" s="1" t="str">
        <f>"29126"</f>
        <v>29126</v>
      </c>
      <c r="C23113" s="2">
        <v>6.4240790655884894E-2</v>
      </c>
      <c r="D23113" s="2">
        <v>1.8397626112759601E-2</v>
      </c>
      <c r="E23113" s="2">
        <v>3.5971223021582701E-3</v>
      </c>
      <c r="F23113" s="2">
        <v>5.9962722189389403E-2</v>
      </c>
    </row>
    <row r="23114" spans="1:6" x14ac:dyDescent="0.25">
      <c r="A23114" s="1" t="str">
        <f t="shared" si="863"/>
        <v>35140</v>
      </c>
      <c r="B23114" s="1" t="str">
        <f>"29075"</f>
        <v>29075</v>
      </c>
      <c r="C23114" s="2">
        <v>4.65209144454427E-2</v>
      </c>
      <c r="D23114" s="2">
        <v>2.19584569732937E-2</v>
      </c>
      <c r="E23114" s="2">
        <v>2.15827338129496E-2</v>
      </c>
      <c r="F23114" s="2">
        <v>4.4324226030822297E-2</v>
      </c>
    </row>
    <row r="23115" spans="1:6" x14ac:dyDescent="0.25">
      <c r="A23115" s="1" t="str">
        <f t="shared" si="863"/>
        <v>35140</v>
      </c>
      <c r="B23115" s="1" t="str">
        <f>"29178"</f>
        <v>29178</v>
      </c>
      <c r="C23115" s="2">
        <v>0.12154337626035699</v>
      </c>
      <c r="D23115" s="2">
        <v>0.12997032640949499</v>
      </c>
      <c r="E23115" s="2">
        <v>0.18705035971223</v>
      </c>
      <c r="F23115" s="2">
        <v>0.123016775014774</v>
      </c>
    </row>
    <row r="23116" spans="1:6" x14ac:dyDescent="0.25">
      <c r="A23116" s="1" t="str">
        <f t="shared" si="863"/>
        <v>35140</v>
      </c>
      <c r="B23116" s="1" t="str">
        <f>"29122"</f>
        <v>29122</v>
      </c>
      <c r="C23116" s="2">
        <v>4.9915144254766802E-5</v>
      </c>
      <c r="D23116" s="2">
        <v>5.9347181008901999E-4</v>
      </c>
      <c r="E23116" s="2">
        <v>0</v>
      </c>
      <c r="F23116" s="2">
        <v>9.0921489293994596E-5</v>
      </c>
    </row>
    <row r="23117" spans="1:6" x14ac:dyDescent="0.25">
      <c r="A23117" s="1" t="str">
        <f t="shared" si="863"/>
        <v>35140</v>
      </c>
      <c r="B23117" s="1" t="str">
        <f>"29036"</f>
        <v>29036</v>
      </c>
      <c r="C23117" s="2">
        <v>7.7867625037436302E-3</v>
      </c>
      <c r="D23117" s="2">
        <v>4.7477744807121599E-3</v>
      </c>
      <c r="E23117" s="2">
        <v>0</v>
      </c>
      <c r="F23117" s="2">
        <v>7.45556212210756E-3</v>
      </c>
    </row>
    <row r="23118" spans="1:6" x14ac:dyDescent="0.25">
      <c r="A23118" s="1" t="str">
        <f t="shared" si="863"/>
        <v>35140</v>
      </c>
      <c r="B23118" s="1" t="str">
        <f>"29108"</f>
        <v>29108</v>
      </c>
      <c r="C23118" s="2">
        <v>0.47519217330537999</v>
      </c>
      <c r="D23118" s="2">
        <v>0.67418397626112703</v>
      </c>
      <c r="E23118" s="2">
        <v>0.73021582733812895</v>
      </c>
      <c r="F23118" s="2">
        <v>0.49365822612174298</v>
      </c>
    </row>
    <row r="23119" spans="1:6" x14ac:dyDescent="0.25">
      <c r="A23119" s="1" t="str">
        <f t="shared" ref="A23119:A23150" si="864">"35154"</f>
        <v>35154</v>
      </c>
      <c r="B23119" s="1" t="str">
        <f>"08735"</f>
        <v>08735</v>
      </c>
      <c r="C23119" s="2">
        <v>7.8125000000000004E-4</v>
      </c>
      <c r="D23119" s="2">
        <v>0</v>
      </c>
      <c r="E23119" s="2">
        <v>3.8277511961722402E-4</v>
      </c>
      <c r="F23119" s="2">
        <v>5.76923076923076E-4</v>
      </c>
    </row>
    <row r="23120" spans="1:6" x14ac:dyDescent="0.25">
      <c r="A23120" s="1" t="str">
        <f t="shared" si="864"/>
        <v>35154</v>
      </c>
      <c r="B23120" s="1" t="str">
        <f>"08830"</f>
        <v>08830</v>
      </c>
      <c r="C23120" s="2">
        <v>6.4732142857142801E-3</v>
      </c>
      <c r="D23120" s="2">
        <v>0</v>
      </c>
      <c r="E23120" s="2">
        <v>9.5693779904306201E-4</v>
      </c>
      <c r="F23120" s="2">
        <v>4.0384615384615298E-3</v>
      </c>
    </row>
    <row r="23121" spans="1:6" x14ac:dyDescent="0.25">
      <c r="A23121" s="1" t="str">
        <f t="shared" si="864"/>
        <v>35154</v>
      </c>
      <c r="B23121" s="1" t="str">
        <f>"08723"</f>
        <v>08723</v>
      </c>
      <c r="C23121" s="2">
        <v>1.2276785714285701E-3</v>
      </c>
      <c r="D23121" s="2">
        <v>1.5547703180211999E-2</v>
      </c>
      <c r="E23121" s="2">
        <v>1.53110047846889E-3</v>
      </c>
      <c r="F23121" s="2">
        <v>2.6282051282051199E-3</v>
      </c>
    </row>
    <row r="23122" spans="1:6" x14ac:dyDescent="0.25">
      <c r="A23122" s="1" t="str">
        <f t="shared" si="864"/>
        <v>35154</v>
      </c>
      <c r="B23122" s="1" t="str">
        <f>"08840"</f>
        <v>08840</v>
      </c>
      <c r="C23122" s="2">
        <v>4.7991071428571397E-3</v>
      </c>
      <c r="D23122" s="2">
        <v>6.3604240282685498E-3</v>
      </c>
      <c r="E23122" s="2">
        <v>2.1052631578947299E-3</v>
      </c>
      <c r="F23122" s="2">
        <v>4.0384615384615298E-3</v>
      </c>
    </row>
    <row r="23123" spans="1:6" x14ac:dyDescent="0.25">
      <c r="A23123" s="1" t="str">
        <f t="shared" si="864"/>
        <v>35154</v>
      </c>
      <c r="B23123" s="1" t="str">
        <f>"08824"</f>
        <v>08824</v>
      </c>
      <c r="C23123" s="2">
        <v>0</v>
      </c>
      <c r="D23123" s="2">
        <v>7.0671378091872702E-4</v>
      </c>
      <c r="E23123" s="2">
        <v>0</v>
      </c>
      <c r="F23123" s="2">
        <v>6.4102564102564103E-5</v>
      </c>
    </row>
    <row r="23124" spans="1:6" x14ac:dyDescent="0.25">
      <c r="A23124" s="1" t="str">
        <f t="shared" si="864"/>
        <v>35154</v>
      </c>
      <c r="B23124" s="1" t="str">
        <f>"08816"</f>
        <v>08816</v>
      </c>
      <c r="C23124" s="2">
        <v>1.00446428571428E-3</v>
      </c>
      <c r="D23124" s="2">
        <v>7.0671378091872704E-3</v>
      </c>
      <c r="E23124" s="2">
        <v>5.7416267942583701E-4</v>
      </c>
      <c r="F23124" s="2">
        <v>1.4102564102564099E-3</v>
      </c>
    </row>
    <row r="23125" spans="1:6" x14ac:dyDescent="0.25">
      <c r="A23125" s="1" t="str">
        <f t="shared" si="864"/>
        <v>35154</v>
      </c>
      <c r="B23125" s="1" t="str">
        <f>"08828"</f>
        <v>08828</v>
      </c>
      <c r="C23125" s="2">
        <v>0</v>
      </c>
      <c r="D23125" s="2">
        <v>7.0671378091872702E-4</v>
      </c>
      <c r="E23125" s="2">
        <v>0</v>
      </c>
      <c r="F23125" s="2">
        <v>6.4102564102564103E-5</v>
      </c>
    </row>
    <row r="23126" spans="1:6" x14ac:dyDescent="0.25">
      <c r="A23126" s="1" t="str">
        <f t="shared" si="864"/>
        <v>35154</v>
      </c>
      <c r="B23126" s="1" t="str">
        <f>"08092"</f>
        <v>08092</v>
      </c>
      <c r="C23126" s="2">
        <v>2.23214285714285E-4</v>
      </c>
      <c r="D23126" s="2">
        <v>0</v>
      </c>
      <c r="E23126" s="2">
        <v>0</v>
      </c>
      <c r="F23126" s="2">
        <v>1.2820512820512799E-4</v>
      </c>
    </row>
    <row r="23127" spans="1:6" x14ac:dyDescent="0.25">
      <c r="A23127" s="1" t="str">
        <f t="shared" si="864"/>
        <v>35154</v>
      </c>
      <c r="B23127" s="1" t="str">
        <f>"07727"</f>
        <v>07727</v>
      </c>
      <c r="C23127" s="2">
        <v>2.5669642857142801E-3</v>
      </c>
      <c r="D23127" s="2">
        <v>6.3604240282685498E-3</v>
      </c>
      <c r="E23127" s="2">
        <v>5.7416267942583701E-4</v>
      </c>
      <c r="F23127" s="2">
        <v>2.24358974358974E-3</v>
      </c>
    </row>
    <row r="23128" spans="1:6" x14ac:dyDescent="0.25">
      <c r="A23128" s="1" t="str">
        <f t="shared" si="864"/>
        <v>35154</v>
      </c>
      <c r="B23128" s="1" t="str">
        <f>"07064"</f>
        <v>07064</v>
      </c>
      <c r="C23128" s="2">
        <v>1.6517857142857102E-2</v>
      </c>
      <c r="D23128" s="2">
        <v>0</v>
      </c>
      <c r="E23128" s="2">
        <v>2.2966507177033398E-3</v>
      </c>
      <c r="F23128" s="2">
        <v>1.0256410256410199E-2</v>
      </c>
    </row>
    <row r="23129" spans="1:6" x14ac:dyDescent="0.25">
      <c r="A23129" s="1" t="str">
        <f t="shared" si="864"/>
        <v>35154</v>
      </c>
      <c r="B23129" s="1" t="str">
        <f>"07716"</f>
        <v>07716</v>
      </c>
      <c r="C23129" s="2">
        <v>3.4598214285714202E-3</v>
      </c>
      <c r="D23129" s="2">
        <v>6.3604240282685498E-3</v>
      </c>
      <c r="E23129" s="2">
        <v>2.1052631578947299E-3</v>
      </c>
      <c r="F23129" s="2">
        <v>3.26923076923076E-3</v>
      </c>
    </row>
    <row r="23130" spans="1:6" x14ac:dyDescent="0.25">
      <c r="A23130" s="1" t="str">
        <f t="shared" si="864"/>
        <v>35154</v>
      </c>
      <c r="B23130" s="1" t="str">
        <f>"08902"</f>
        <v>08902</v>
      </c>
      <c r="C23130" s="2">
        <v>1.11607142857142E-4</v>
      </c>
      <c r="D23130" s="2">
        <v>1.62544169611307E-2</v>
      </c>
      <c r="E23130" s="2">
        <v>2.2966507177033398E-3</v>
      </c>
      <c r="F23130" s="2">
        <v>2.3076923076923001E-3</v>
      </c>
    </row>
    <row r="23131" spans="1:6" x14ac:dyDescent="0.25">
      <c r="A23131" s="1" t="str">
        <f t="shared" si="864"/>
        <v>35154</v>
      </c>
      <c r="B23131" s="1" t="str">
        <f>"08861"</f>
        <v>08861</v>
      </c>
      <c r="C23131" s="2">
        <v>8.4821428571428506E-2</v>
      </c>
      <c r="D23131" s="2">
        <v>1.06007067137809E-2</v>
      </c>
      <c r="E23131" s="2">
        <v>5.4354066985645898E-2</v>
      </c>
      <c r="F23131" s="2">
        <v>6.7884615384615293E-2</v>
      </c>
    </row>
    <row r="23132" spans="1:6" x14ac:dyDescent="0.25">
      <c r="A23132" s="1" t="str">
        <f t="shared" si="864"/>
        <v>35154</v>
      </c>
      <c r="B23132" s="1" t="str">
        <f>"08854"</f>
        <v>08854</v>
      </c>
      <c r="C23132" s="2">
        <v>5.5803571428571404E-4</v>
      </c>
      <c r="D23132" s="2">
        <v>3.53356890459363E-3</v>
      </c>
      <c r="E23132" s="2">
        <v>9.5502392344497603E-2</v>
      </c>
      <c r="F23132" s="2">
        <v>3.26282051282051E-2</v>
      </c>
    </row>
    <row r="23133" spans="1:6" x14ac:dyDescent="0.25">
      <c r="A23133" s="1" t="str">
        <f t="shared" si="864"/>
        <v>35154</v>
      </c>
      <c r="B23133" s="1" t="str">
        <f>"07733"</f>
        <v>07733</v>
      </c>
      <c r="C23133" s="2">
        <v>0</v>
      </c>
      <c r="D23133" s="2">
        <v>1.34275618374558E-2</v>
      </c>
      <c r="E23133" s="2">
        <v>7.6555023923444902E-4</v>
      </c>
      <c r="F23133" s="2">
        <v>1.4743589743589701E-3</v>
      </c>
    </row>
    <row r="23134" spans="1:6" x14ac:dyDescent="0.25">
      <c r="A23134" s="1" t="str">
        <f t="shared" si="864"/>
        <v>35154</v>
      </c>
      <c r="B23134" s="1" t="str">
        <f>"07764"</f>
        <v>07764</v>
      </c>
      <c r="C23134" s="2">
        <v>3.0133928571428499E-3</v>
      </c>
      <c r="D23134" s="2">
        <v>5.6537102473498196E-3</v>
      </c>
      <c r="E23134" s="2">
        <v>1.53110047846889E-3</v>
      </c>
      <c r="F23134" s="2">
        <v>2.7564102564102502E-3</v>
      </c>
    </row>
    <row r="23135" spans="1:6" x14ac:dyDescent="0.25">
      <c r="A23135" s="1" t="str">
        <f t="shared" si="864"/>
        <v>35154</v>
      </c>
      <c r="B23135" s="1" t="str">
        <f>"08008"</f>
        <v>08008</v>
      </c>
      <c r="C23135" s="2">
        <v>4.9107142857142804E-3</v>
      </c>
      <c r="D23135" s="2">
        <v>7.0671378091872704E-3</v>
      </c>
      <c r="E23135" s="2">
        <v>1.9138755980861199E-3</v>
      </c>
      <c r="F23135" s="2">
        <v>4.1025641025641E-3</v>
      </c>
    </row>
    <row r="23136" spans="1:6" x14ac:dyDescent="0.25">
      <c r="A23136" s="1" t="str">
        <f t="shared" si="864"/>
        <v>35154</v>
      </c>
      <c r="B23136" s="1" t="str">
        <f>"08536"</f>
        <v>08536</v>
      </c>
      <c r="C23136" s="2">
        <v>7.8125000000000004E-4</v>
      </c>
      <c r="D23136" s="2">
        <v>9.1872791519434591E-3</v>
      </c>
      <c r="E23136" s="2">
        <v>9.5693779904306201E-4</v>
      </c>
      <c r="F23136" s="2">
        <v>1.6025641025640999E-3</v>
      </c>
    </row>
    <row r="23137" spans="1:6" x14ac:dyDescent="0.25">
      <c r="A23137" s="1" t="str">
        <f t="shared" si="864"/>
        <v>35154</v>
      </c>
      <c r="B23137" s="1" t="str">
        <f>"08757"</f>
        <v>08757</v>
      </c>
      <c r="C23137" s="2">
        <v>1.1160714285714201E-3</v>
      </c>
      <c r="D23137" s="2">
        <v>0</v>
      </c>
      <c r="E23137" s="2">
        <v>5.7416267942583701E-4</v>
      </c>
      <c r="F23137" s="2">
        <v>8.3333333333333295E-4</v>
      </c>
    </row>
    <row r="23138" spans="1:6" x14ac:dyDescent="0.25">
      <c r="A23138" s="1" t="str">
        <f t="shared" si="864"/>
        <v>35154</v>
      </c>
      <c r="B23138" s="1" t="str">
        <f>"08823"</f>
        <v>08823</v>
      </c>
      <c r="C23138" s="2">
        <v>1.11607142857142E-4</v>
      </c>
      <c r="D23138" s="2">
        <v>0</v>
      </c>
      <c r="E23138" s="2">
        <v>0</v>
      </c>
      <c r="F23138" s="2">
        <v>6.4102564102564103E-5</v>
      </c>
    </row>
    <row r="23139" spans="1:6" x14ac:dyDescent="0.25">
      <c r="A23139" s="1" t="str">
        <f t="shared" si="864"/>
        <v>35154</v>
      </c>
      <c r="B23139" s="1" t="str">
        <f>"08528"</f>
        <v>08528</v>
      </c>
      <c r="C23139" s="2">
        <v>1.0602678571428501E-2</v>
      </c>
      <c r="D23139" s="2">
        <v>2.1201413427561801E-3</v>
      </c>
      <c r="E23139" s="2">
        <v>0</v>
      </c>
      <c r="F23139" s="2">
        <v>6.2820512820512802E-3</v>
      </c>
    </row>
    <row r="23140" spans="1:6" x14ac:dyDescent="0.25">
      <c r="A23140" s="1" t="str">
        <f t="shared" si="864"/>
        <v>35154</v>
      </c>
      <c r="B23140" s="1" t="str">
        <f>"07730"</f>
        <v>07730</v>
      </c>
      <c r="C23140" s="2">
        <v>0</v>
      </c>
      <c r="D23140" s="2">
        <v>7.0671378091872702E-4</v>
      </c>
      <c r="E23140" s="2">
        <v>2.64114832535885E-2</v>
      </c>
      <c r="F23140" s="2">
        <v>8.9102564102564105E-3</v>
      </c>
    </row>
    <row r="23141" spans="1:6" x14ac:dyDescent="0.25">
      <c r="A23141" s="1" t="str">
        <f t="shared" si="864"/>
        <v>35154</v>
      </c>
      <c r="B23141" s="1" t="str">
        <f>"08514"</f>
        <v>08514</v>
      </c>
      <c r="C23141" s="2">
        <v>6.6964285714285704E-4</v>
      </c>
      <c r="D23141" s="2">
        <v>0</v>
      </c>
      <c r="E23141" s="2">
        <v>3.8277511961722402E-4</v>
      </c>
      <c r="F23141" s="2">
        <v>5.1282051282051195E-4</v>
      </c>
    </row>
    <row r="23142" spans="1:6" x14ac:dyDescent="0.25">
      <c r="A23142" s="1" t="str">
        <f t="shared" si="864"/>
        <v>35154</v>
      </c>
      <c r="B23142" s="1" t="str">
        <f>"07001"</f>
        <v>07001</v>
      </c>
      <c r="C23142" s="2">
        <v>6.9196428571428499E-3</v>
      </c>
      <c r="D23142" s="2">
        <v>0</v>
      </c>
      <c r="E23142" s="2">
        <v>1.9138755980861201E-4</v>
      </c>
      <c r="F23142" s="2">
        <v>4.0384615384615298E-3</v>
      </c>
    </row>
    <row r="23143" spans="1:6" x14ac:dyDescent="0.25">
      <c r="A23143" s="1" t="str">
        <f t="shared" si="864"/>
        <v>35154</v>
      </c>
      <c r="B23143" s="1" t="str">
        <f>"08533"</f>
        <v>08533</v>
      </c>
      <c r="C23143" s="2">
        <v>2.0089285714285699E-3</v>
      </c>
      <c r="D23143" s="2">
        <v>0</v>
      </c>
      <c r="E23143" s="2">
        <v>1.1483253588516699E-3</v>
      </c>
      <c r="F23143" s="2">
        <v>1.53846153846153E-3</v>
      </c>
    </row>
    <row r="23144" spans="1:6" x14ac:dyDescent="0.25">
      <c r="A23144" s="1" t="str">
        <f t="shared" si="864"/>
        <v>35154</v>
      </c>
      <c r="B23144" s="1" t="str">
        <f>"08844"</f>
        <v>08844</v>
      </c>
      <c r="C23144" s="2">
        <v>5.1339285714285697E-3</v>
      </c>
      <c r="D23144" s="2">
        <v>4.2402826855123602E-3</v>
      </c>
      <c r="E23144" s="2">
        <v>5.7416267942583697E-3</v>
      </c>
      <c r="F23144" s="2">
        <v>5.2564102564102502E-3</v>
      </c>
    </row>
    <row r="23145" spans="1:6" x14ac:dyDescent="0.25">
      <c r="A23145" s="1" t="str">
        <f t="shared" si="864"/>
        <v>35154</v>
      </c>
      <c r="B23145" s="1" t="str">
        <f>"08753"</f>
        <v>08753</v>
      </c>
      <c r="C23145" s="2">
        <v>3.6830357142857099E-3</v>
      </c>
      <c r="D23145" s="2">
        <v>2.19081272084805E-2</v>
      </c>
      <c r="E23145" s="2">
        <v>3.4449760765550199E-3</v>
      </c>
      <c r="F23145" s="2">
        <v>5.2564102564102502E-3</v>
      </c>
    </row>
    <row r="23146" spans="1:6" x14ac:dyDescent="0.25">
      <c r="A23146" s="1" t="str">
        <f t="shared" si="864"/>
        <v>35154</v>
      </c>
      <c r="B23146" s="1" t="str">
        <f>"08553"</f>
        <v>08553</v>
      </c>
      <c r="C23146" s="2">
        <v>1.00446428571428E-3</v>
      </c>
      <c r="D23146" s="2">
        <v>0</v>
      </c>
      <c r="E23146" s="2">
        <v>0</v>
      </c>
      <c r="F23146" s="2">
        <v>5.76923076923076E-4</v>
      </c>
    </row>
    <row r="23147" spans="1:6" x14ac:dyDescent="0.25">
      <c r="A23147" s="1" t="str">
        <f t="shared" si="864"/>
        <v>35154</v>
      </c>
      <c r="B23147" s="1" t="str">
        <f>"08512"</f>
        <v>08512</v>
      </c>
      <c r="C23147" s="2">
        <v>2.8348214285714199E-2</v>
      </c>
      <c r="D23147" s="2">
        <v>8.4805653710247307E-3</v>
      </c>
      <c r="E23147" s="2">
        <v>1.1483253588516699E-2</v>
      </c>
      <c r="F23147" s="2">
        <v>2.0897435897435802E-2</v>
      </c>
    </row>
    <row r="23148" spans="1:6" x14ac:dyDescent="0.25">
      <c r="A23148" s="1" t="str">
        <f t="shared" si="864"/>
        <v>35154</v>
      </c>
      <c r="B23148" s="1" t="str">
        <f>"07702"</f>
        <v>07702</v>
      </c>
      <c r="C23148" s="2">
        <v>1.38392857142857E-2</v>
      </c>
      <c r="D23148" s="2">
        <v>1.1307420494699599E-2</v>
      </c>
      <c r="E23148" s="2">
        <v>1.1483253588516699E-3</v>
      </c>
      <c r="F23148" s="2">
        <v>9.3589743589743493E-3</v>
      </c>
    </row>
    <row r="23149" spans="1:6" x14ac:dyDescent="0.25">
      <c r="A23149" s="1" t="str">
        <f t="shared" si="864"/>
        <v>35154</v>
      </c>
      <c r="B23149" s="1" t="str">
        <f>"08857"</f>
        <v>08857</v>
      </c>
      <c r="C23149" s="2">
        <v>7.8125000000000004E-4</v>
      </c>
      <c r="D23149" s="2">
        <v>7.0671378091872702E-4</v>
      </c>
      <c r="E23149" s="2">
        <v>5.7416267942583701E-4</v>
      </c>
      <c r="F23149" s="2">
        <v>7.0512820512820496E-4</v>
      </c>
    </row>
    <row r="23150" spans="1:6" x14ac:dyDescent="0.25">
      <c r="A23150" s="1" t="str">
        <f t="shared" si="864"/>
        <v>35154</v>
      </c>
      <c r="B23150" s="1" t="str">
        <f>"07724"</f>
        <v>07724</v>
      </c>
      <c r="C23150" s="2">
        <v>6.6964285714285704E-4</v>
      </c>
      <c r="D23150" s="2">
        <v>7.7738515901059997E-3</v>
      </c>
      <c r="E23150" s="2">
        <v>1.72248803827751E-3</v>
      </c>
      <c r="F23150" s="2">
        <v>1.6666666666666601E-3</v>
      </c>
    </row>
    <row r="23151" spans="1:6" x14ac:dyDescent="0.25">
      <c r="A23151" s="1" t="str">
        <f t="shared" ref="A23151:A23182" si="865">"35154"</f>
        <v>35154</v>
      </c>
      <c r="B23151" s="1" t="str">
        <f>"07938"</f>
        <v>07938</v>
      </c>
      <c r="C23151" s="2">
        <v>0</v>
      </c>
      <c r="D23151" s="2">
        <v>1.90812720848056E-2</v>
      </c>
      <c r="E23151" s="2">
        <v>1.53110047846889E-3</v>
      </c>
      <c r="F23151" s="2">
        <v>2.24358974358974E-3</v>
      </c>
    </row>
    <row r="23152" spans="1:6" x14ac:dyDescent="0.25">
      <c r="A23152" s="1" t="str">
        <f t="shared" si="865"/>
        <v>35154</v>
      </c>
      <c r="B23152" s="1" t="str">
        <f>"07711"</f>
        <v>07711</v>
      </c>
      <c r="C23152" s="2">
        <v>1.00446428571428E-3</v>
      </c>
      <c r="D23152" s="2">
        <v>0</v>
      </c>
      <c r="E23152" s="2">
        <v>5.7416267942583701E-4</v>
      </c>
      <c r="F23152" s="2">
        <v>7.6923076923076901E-4</v>
      </c>
    </row>
    <row r="23153" spans="1:6" x14ac:dyDescent="0.25">
      <c r="A23153" s="1" t="str">
        <f t="shared" si="865"/>
        <v>35154</v>
      </c>
      <c r="B23153" s="1" t="str">
        <f>"07920"</f>
        <v>07920</v>
      </c>
      <c r="C23153" s="2">
        <v>0</v>
      </c>
      <c r="D23153" s="2">
        <v>0</v>
      </c>
      <c r="E23153" s="2">
        <v>1.53110047846889E-3</v>
      </c>
      <c r="F23153" s="2">
        <v>5.1282051282051195E-4</v>
      </c>
    </row>
    <row r="23154" spans="1:6" x14ac:dyDescent="0.25">
      <c r="A23154" s="1" t="str">
        <f t="shared" si="865"/>
        <v>35154</v>
      </c>
      <c r="B23154" s="1" t="str">
        <f>"07734"</f>
        <v>07734</v>
      </c>
      <c r="C23154" s="2">
        <v>2.77901785714285E-2</v>
      </c>
      <c r="D23154" s="2">
        <v>2.1201413427561801E-3</v>
      </c>
      <c r="E23154" s="2">
        <v>5.1674641148325299E-3</v>
      </c>
      <c r="F23154" s="2">
        <v>1.7884615384615301E-2</v>
      </c>
    </row>
    <row r="23155" spans="1:6" x14ac:dyDescent="0.25">
      <c r="A23155" s="1" t="str">
        <f t="shared" si="865"/>
        <v>35154</v>
      </c>
      <c r="B23155" s="1" t="str">
        <f>"07735"</f>
        <v>07735</v>
      </c>
      <c r="C23155" s="2">
        <v>1.0267857142857099E-2</v>
      </c>
      <c r="D23155" s="2">
        <v>1.5547703180211999E-2</v>
      </c>
      <c r="E23155" s="2">
        <v>3.90430622009569E-2</v>
      </c>
      <c r="F23155" s="2">
        <v>2.03846153846153E-2</v>
      </c>
    </row>
    <row r="23156" spans="1:6" x14ac:dyDescent="0.25">
      <c r="A23156" s="1" t="str">
        <f t="shared" si="865"/>
        <v>35154</v>
      </c>
      <c r="B23156" s="1" t="str">
        <f>"07762"</f>
        <v>07762</v>
      </c>
      <c r="C23156" s="2">
        <v>1.33928571428571E-3</v>
      </c>
      <c r="D23156" s="2">
        <v>1.1307420494699599E-2</v>
      </c>
      <c r="E23156" s="2">
        <v>3.0813397129186602E-2</v>
      </c>
      <c r="F23156" s="2">
        <v>1.2115384615384601E-2</v>
      </c>
    </row>
    <row r="23157" spans="1:6" x14ac:dyDescent="0.25">
      <c r="A23157" s="1" t="str">
        <f t="shared" si="865"/>
        <v>35154</v>
      </c>
      <c r="B23157" s="1" t="str">
        <f>"08701"</f>
        <v>08701</v>
      </c>
      <c r="C23157" s="2">
        <v>2.9687499999999999E-2</v>
      </c>
      <c r="D23157" s="2">
        <v>0.17314487632508799</v>
      </c>
      <c r="E23157" s="2">
        <v>2.2775119617224799E-2</v>
      </c>
      <c r="F23157" s="2">
        <v>4.0384615384615297E-2</v>
      </c>
    </row>
    <row r="23158" spans="1:6" x14ac:dyDescent="0.25">
      <c r="A23158" s="1" t="str">
        <f t="shared" si="865"/>
        <v>35154</v>
      </c>
      <c r="B23158" s="1" t="str">
        <f>"07755"</f>
        <v>07755</v>
      </c>
      <c r="C23158" s="2">
        <v>3.3482142857142798E-4</v>
      </c>
      <c r="D23158" s="2">
        <v>7.0671378091872702E-4</v>
      </c>
      <c r="E23158" s="2">
        <v>3.8277511961722402E-4</v>
      </c>
      <c r="F23158" s="2">
        <v>3.8461538461538402E-4</v>
      </c>
    </row>
    <row r="23159" spans="1:6" x14ac:dyDescent="0.25">
      <c r="A23159" s="1" t="str">
        <f t="shared" si="865"/>
        <v>35154</v>
      </c>
      <c r="B23159" s="1" t="str">
        <f>"08904"</f>
        <v>08904</v>
      </c>
      <c r="C23159" s="2">
        <v>1.81919642857142E-2</v>
      </c>
      <c r="D23159" s="2">
        <v>2.8268551236749098E-3</v>
      </c>
      <c r="E23159" s="2">
        <v>1.9138755980861201E-4</v>
      </c>
      <c r="F23159" s="2">
        <v>1.0769230769230699E-2</v>
      </c>
    </row>
    <row r="23160" spans="1:6" x14ac:dyDescent="0.25">
      <c r="A23160" s="1" t="str">
        <f t="shared" si="865"/>
        <v>35154</v>
      </c>
      <c r="B23160" s="1" t="str">
        <f>"08810"</f>
        <v>08810</v>
      </c>
      <c r="C23160" s="2">
        <v>0</v>
      </c>
      <c r="D23160" s="2">
        <v>2.8268551236749098E-3</v>
      </c>
      <c r="E23160" s="2">
        <v>7.65550239234449E-3</v>
      </c>
      <c r="F23160" s="2">
        <v>2.8205128205128199E-3</v>
      </c>
    </row>
    <row r="23161" spans="1:6" x14ac:dyDescent="0.25">
      <c r="A23161" s="1" t="str">
        <f t="shared" si="865"/>
        <v>35154</v>
      </c>
      <c r="B23161" s="1" t="str">
        <f>"08750"</f>
        <v>08750</v>
      </c>
      <c r="C23161" s="2">
        <v>4.4642857142857098E-4</v>
      </c>
      <c r="D23161" s="2">
        <v>0</v>
      </c>
      <c r="E23161" s="2">
        <v>5.7416267942583701E-4</v>
      </c>
      <c r="F23161" s="2">
        <v>4.4871794871794801E-4</v>
      </c>
    </row>
    <row r="23162" spans="1:6" x14ac:dyDescent="0.25">
      <c r="A23162" s="1" t="str">
        <f t="shared" si="865"/>
        <v>35154</v>
      </c>
      <c r="B23162" s="1" t="str">
        <f>"08873"</f>
        <v>08873</v>
      </c>
      <c r="C23162" s="2">
        <v>1.26116071428571E-2</v>
      </c>
      <c r="D23162" s="2">
        <v>5.6537102473498196E-3</v>
      </c>
      <c r="E23162" s="2">
        <v>5.5502392344497602E-3</v>
      </c>
      <c r="F23162" s="2">
        <v>9.6153846153846107E-3</v>
      </c>
    </row>
    <row r="23163" spans="1:6" x14ac:dyDescent="0.25">
      <c r="A23163" s="1" t="str">
        <f t="shared" si="865"/>
        <v>35154</v>
      </c>
      <c r="B23163" s="1" t="str">
        <f>"08050"</f>
        <v>08050</v>
      </c>
      <c r="C23163" s="2">
        <v>6.6964285714285704E-4</v>
      </c>
      <c r="D23163" s="2">
        <v>1.1307420494699599E-2</v>
      </c>
      <c r="E23163" s="2">
        <v>1.3397129186602801E-3</v>
      </c>
      <c r="F23163" s="2">
        <v>1.85897435897435E-3</v>
      </c>
    </row>
    <row r="23164" spans="1:6" x14ac:dyDescent="0.25">
      <c r="A23164" s="1" t="str">
        <f t="shared" si="865"/>
        <v>35154</v>
      </c>
      <c r="B23164" s="1" t="str">
        <f>"07059"</f>
        <v>07059</v>
      </c>
      <c r="C23164" s="2">
        <v>4.4642857142857098E-4</v>
      </c>
      <c r="D23164" s="2">
        <v>0</v>
      </c>
      <c r="E23164" s="2">
        <v>1.9138755980861201E-4</v>
      </c>
      <c r="F23164" s="2">
        <v>3.2051282051282002E-4</v>
      </c>
    </row>
    <row r="23165" spans="1:6" x14ac:dyDescent="0.25">
      <c r="A23165" s="1" t="str">
        <f t="shared" si="865"/>
        <v>35154</v>
      </c>
      <c r="B23165" s="1" t="str">
        <f>"08722"</f>
        <v>08722</v>
      </c>
      <c r="C23165" s="2">
        <v>2.2321428571428501E-3</v>
      </c>
      <c r="D23165" s="2">
        <v>2.8268551236749098E-3</v>
      </c>
      <c r="E23165" s="2">
        <v>1.53110047846889E-3</v>
      </c>
      <c r="F23165" s="2">
        <v>2.05128205128205E-3</v>
      </c>
    </row>
    <row r="23166" spans="1:6" x14ac:dyDescent="0.25">
      <c r="A23166" s="1" t="str">
        <f t="shared" si="865"/>
        <v>35154</v>
      </c>
      <c r="B23166" s="1" t="str">
        <f>"07934"</f>
        <v>07934</v>
      </c>
      <c r="C23166" s="2">
        <v>1.11607142857142E-4</v>
      </c>
      <c r="D23166" s="2">
        <v>0</v>
      </c>
      <c r="E23166" s="2">
        <v>1.9138755980861201E-4</v>
      </c>
      <c r="F23166" s="2">
        <v>1.2820512820512799E-4</v>
      </c>
    </row>
    <row r="23167" spans="1:6" x14ac:dyDescent="0.25">
      <c r="A23167" s="1" t="str">
        <f t="shared" si="865"/>
        <v>35154</v>
      </c>
      <c r="B23167" s="1" t="str">
        <f>"07723"</f>
        <v>07723</v>
      </c>
      <c r="C23167" s="2">
        <v>1.11607142857142E-4</v>
      </c>
      <c r="D23167" s="2">
        <v>0</v>
      </c>
      <c r="E23167" s="2">
        <v>0</v>
      </c>
      <c r="F23167" s="2">
        <v>6.4102564102564103E-5</v>
      </c>
    </row>
    <row r="23168" spans="1:6" x14ac:dyDescent="0.25">
      <c r="A23168" s="1" t="str">
        <f t="shared" si="865"/>
        <v>35154</v>
      </c>
      <c r="B23168" s="1" t="str">
        <f>"07748"</f>
        <v>07748</v>
      </c>
      <c r="C23168" s="2">
        <v>1.33928571428571E-3</v>
      </c>
      <c r="D23168" s="2">
        <v>0</v>
      </c>
      <c r="E23168" s="2">
        <v>7.6555023923444902E-4</v>
      </c>
      <c r="F23168" s="2">
        <v>1.02564102564102E-3</v>
      </c>
    </row>
    <row r="23169" spans="1:6" x14ac:dyDescent="0.25">
      <c r="A23169" s="1" t="str">
        <f t="shared" si="865"/>
        <v>35154</v>
      </c>
      <c r="B23169" s="1" t="str">
        <f>"08558"</f>
        <v>08558</v>
      </c>
      <c r="C23169" s="2">
        <v>2.23214285714285E-4</v>
      </c>
      <c r="D23169" s="2">
        <v>2.8268551236749098E-3</v>
      </c>
      <c r="E23169" s="2">
        <v>0</v>
      </c>
      <c r="F23169" s="2">
        <v>3.8461538461538402E-4</v>
      </c>
    </row>
    <row r="23170" spans="1:6" x14ac:dyDescent="0.25">
      <c r="A23170" s="1" t="str">
        <f t="shared" si="865"/>
        <v>35154</v>
      </c>
      <c r="B23170" s="1" t="str">
        <f>"08720"</f>
        <v>08720</v>
      </c>
      <c r="C23170" s="2">
        <v>2.23214285714285E-4</v>
      </c>
      <c r="D23170" s="2">
        <v>0</v>
      </c>
      <c r="E23170" s="2">
        <v>0</v>
      </c>
      <c r="F23170" s="2">
        <v>1.2820512820512799E-4</v>
      </c>
    </row>
    <row r="23171" spans="1:6" x14ac:dyDescent="0.25">
      <c r="A23171" s="1" t="str">
        <f t="shared" si="865"/>
        <v>35154</v>
      </c>
      <c r="B23171" s="1" t="str">
        <f>"07069"</f>
        <v>07069</v>
      </c>
      <c r="C23171" s="2">
        <v>0</v>
      </c>
      <c r="D23171" s="2">
        <v>0</v>
      </c>
      <c r="E23171" s="2">
        <v>1.9138755980861201E-4</v>
      </c>
      <c r="F23171" s="2">
        <v>6.4102564102564103E-5</v>
      </c>
    </row>
    <row r="23172" spans="1:6" x14ac:dyDescent="0.25">
      <c r="A23172" s="1" t="str">
        <f t="shared" si="865"/>
        <v>35154</v>
      </c>
      <c r="B23172" s="1" t="str">
        <f>"08501"</f>
        <v>08501</v>
      </c>
      <c r="C23172" s="2">
        <v>1.11607142857142E-4</v>
      </c>
      <c r="D23172" s="2">
        <v>2.1201413427561801E-3</v>
      </c>
      <c r="E23172" s="2">
        <v>1.9138755980861201E-4</v>
      </c>
      <c r="F23172" s="2">
        <v>3.2051282051282002E-4</v>
      </c>
    </row>
    <row r="23173" spans="1:6" x14ac:dyDescent="0.25">
      <c r="A23173" s="1" t="str">
        <f t="shared" si="865"/>
        <v>35154</v>
      </c>
      <c r="B23173" s="1" t="str">
        <f>"07751"</f>
        <v>07751</v>
      </c>
      <c r="C23173" s="2">
        <v>2.23214285714285E-4</v>
      </c>
      <c r="D23173" s="2">
        <v>2.1201413427561801E-3</v>
      </c>
      <c r="E23173" s="2">
        <v>3.8277511961722402E-4</v>
      </c>
      <c r="F23173" s="2">
        <v>4.4871794871794801E-4</v>
      </c>
    </row>
    <row r="23174" spans="1:6" x14ac:dyDescent="0.25">
      <c r="A23174" s="1" t="str">
        <f t="shared" si="865"/>
        <v>35154</v>
      </c>
      <c r="B23174" s="1" t="str">
        <f>"08733"</f>
        <v>08733</v>
      </c>
      <c r="C23174" s="2">
        <v>1.8973214285714201E-3</v>
      </c>
      <c r="D23174" s="2">
        <v>4.2402826855123602E-3</v>
      </c>
      <c r="E23174" s="2">
        <v>1.53110047846889E-3</v>
      </c>
      <c r="F23174" s="2">
        <v>1.9871794871794799E-3</v>
      </c>
    </row>
    <row r="23175" spans="1:6" x14ac:dyDescent="0.25">
      <c r="A23175" s="1" t="str">
        <f t="shared" si="865"/>
        <v>35154</v>
      </c>
      <c r="B23175" s="1" t="str">
        <f>"08807"</f>
        <v>08807</v>
      </c>
      <c r="C23175" s="2">
        <v>1.328125E-2</v>
      </c>
      <c r="D23175" s="2">
        <v>7.0671378091872702E-4</v>
      </c>
      <c r="E23175" s="2">
        <v>4.7081339712918599E-2</v>
      </c>
      <c r="F23175" s="2">
        <v>2.3461538461538398E-2</v>
      </c>
    </row>
    <row r="23176" spans="1:6" x14ac:dyDescent="0.25">
      <c r="A23176" s="1" t="str">
        <f t="shared" si="865"/>
        <v>35154</v>
      </c>
      <c r="B23176" s="1" t="str">
        <f>"07753"</f>
        <v>07753</v>
      </c>
      <c r="C23176" s="2">
        <v>9.6316964285714193E-2</v>
      </c>
      <c r="D23176" s="2">
        <v>2.1201413427561801E-3</v>
      </c>
      <c r="E23176" s="2">
        <v>2.1052631578947299E-3</v>
      </c>
      <c r="F23176" s="2">
        <v>5.6217948717948697E-2</v>
      </c>
    </row>
    <row r="23177" spans="1:6" x14ac:dyDescent="0.25">
      <c r="A23177" s="1" t="str">
        <f t="shared" si="865"/>
        <v>35154</v>
      </c>
      <c r="B23177" s="1" t="str">
        <f>"07726"</f>
        <v>07726</v>
      </c>
      <c r="C23177" s="2">
        <v>0</v>
      </c>
      <c r="D23177" s="2">
        <v>0</v>
      </c>
      <c r="E23177" s="2">
        <v>1.41626794258373E-2</v>
      </c>
      <c r="F23177" s="2">
        <v>4.7435897435897396E-3</v>
      </c>
    </row>
    <row r="23178" spans="1:6" x14ac:dyDescent="0.25">
      <c r="A23178" s="1" t="str">
        <f t="shared" si="865"/>
        <v>35154</v>
      </c>
      <c r="B23178" s="1" t="str">
        <f>"07746"</f>
        <v>07746</v>
      </c>
      <c r="C23178" s="2">
        <v>0</v>
      </c>
      <c r="D23178" s="2">
        <v>4.2402826855123602E-3</v>
      </c>
      <c r="E23178" s="2">
        <v>3.8277511961722402E-4</v>
      </c>
      <c r="F23178" s="2">
        <v>5.1282051282051195E-4</v>
      </c>
    </row>
    <row r="23179" spans="1:6" x14ac:dyDescent="0.25">
      <c r="A23179" s="1" t="str">
        <f t="shared" si="865"/>
        <v>35154</v>
      </c>
      <c r="B23179" s="1" t="str">
        <f>"07721"</f>
        <v>07721</v>
      </c>
      <c r="C23179" s="2">
        <v>1.20535714285714E-2</v>
      </c>
      <c r="D23179" s="2">
        <v>0</v>
      </c>
      <c r="E23179" s="2">
        <v>7.6555023923444902E-4</v>
      </c>
      <c r="F23179" s="2">
        <v>7.1794871794871699E-3</v>
      </c>
    </row>
    <row r="23180" spans="1:6" x14ac:dyDescent="0.25">
      <c r="A23180" s="1" t="str">
        <f t="shared" si="865"/>
        <v>35154</v>
      </c>
      <c r="B23180" s="1" t="str">
        <f>"07738"</f>
        <v>07738</v>
      </c>
      <c r="C23180" s="2">
        <v>8.9285714285714194E-3</v>
      </c>
      <c r="D23180" s="2">
        <v>0</v>
      </c>
      <c r="E23180" s="2">
        <v>3.8277511961722402E-4</v>
      </c>
      <c r="F23180" s="2">
        <v>5.2564102564102502E-3</v>
      </c>
    </row>
    <row r="23181" spans="1:6" x14ac:dyDescent="0.25">
      <c r="A23181" s="1" t="str">
        <f t="shared" si="865"/>
        <v>35154</v>
      </c>
      <c r="B23181" s="1" t="str">
        <f>"07717"</f>
        <v>07717</v>
      </c>
      <c r="C23181" s="2">
        <v>4.4642857142857097E-3</v>
      </c>
      <c r="D23181" s="2">
        <v>7.0671378091872702E-4</v>
      </c>
      <c r="E23181" s="2">
        <v>5.7416267942583701E-4</v>
      </c>
      <c r="F23181" s="2">
        <v>2.8205128205128199E-3</v>
      </c>
    </row>
    <row r="23182" spans="1:6" x14ac:dyDescent="0.25">
      <c r="A23182" s="1" t="str">
        <f t="shared" si="865"/>
        <v>35154</v>
      </c>
      <c r="B23182" s="1" t="str">
        <f>"07720"</f>
        <v>07720</v>
      </c>
      <c r="C23182" s="2">
        <v>1.33928571428571E-3</v>
      </c>
      <c r="D23182" s="2">
        <v>0</v>
      </c>
      <c r="E23182" s="2">
        <v>7.6555023923444902E-4</v>
      </c>
      <c r="F23182" s="2">
        <v>1.02564102564102E-3</v>
      </c>
    </row>
    <row r="23183" spans="1:6" x14ac:dyDescent="0.25">
      <c r="A23183" s="1" t="str">
        <f t="shared" ref="A23183:A23214" si="866">"35154"</f>
        <v>35154</v>
      </c>
      <c r="B23183" s="1" t="str">
        <f>"08751"</f>
        <v>08751</v>
      </c>
      <c r="C23183" s="2">
        <v>6.80803571428571E-3</v>
      </c>
      <c r="D23183" s="2">
        <v>7.0671378091872702E-4</v>
      </c>
      <c r="E23183" s="2">
        <v>3.8277511961722398E-3</v>
      </c>
      <c r="F23183" s="2">
        <v>5.2564102564102502E-3</v>
      </c>
    </row>
    <row r="23184" spans="1:6" x14ac:dyDescent="0.25">
      <c r="A23184" s="1" t="str">
        <f t="shared" si="866"/>
        <v>35154</v>
      </c>
      <c r="B23184" s="1" t="str">
        <f>"07095"</f>
        <v>07095</v>
      </c>
      <c r="C23184" s="2">
        <v>3.54910714285714E-2</v>
      </c>
      <c r="D23184" s="2">
        <v>0.115901060070671</v>
      </c>
      <c r="E23184" s="2">
        <v>1.35885167464114E-2</v>
      </c>
      <c r="F23184" s="2">
        <v>3.54487179487179E-2</v>
      </c>
    </row>
    <row r="23185" spans="1:6" x14ac:dyDescent="0.25">
      <c r="A23185" s="1" t="str">
        <f t="shared" si="866"/>
        <v>35154</v>
      </c>
      <c r="B23185" s="1" t="str">
        <f>"08742"</f>
        <v>08742</v>
      </c>
      <c r="C23185" s="2">
        <v>9.7098214285714201E-3</v>
      </c>
      <c r="D23185" s="2">
        <v>2.7561837455830299E-2</v>
      </c>
      <c r="E23185" s="2">
        <v>7.8468899521531108E-3</v>
      </c>
      <c r="F23185" s="2">
        <v>1.07051282051282E-2</v>
      </c>
    </row>
    <row r="23186" spans="1:6" x14ac:dyDescent="0.25">
      <c r="A23186" s="1" t="str">
        <f t="shared" si="866"/>
        <v>35154</v>
      </c>
      <c r="B23186" s="1" t="str">
        <f>"07757"</f>
        <v>07757</v>
      </c>
      <c r="C23186" s="2">
        <v>0</v>
      </c>
      <c r="D23186" s="2">
        <v>7.0671378091872702E-4</v>
      </c>
      <c r="E23186" s="2">
        <v>1.9138755980861201E-4</v>
      </c>
      <c r="F23186" s="2">
        <v>1.2820512820512799E-4</v>
      </c>
    </row>
    <row r="23187" spans="1:6" x14ac:dyDescent="0.25">
      <c r="A23187" s="1" t="str">
        <f t="shared" si="866"/>
        <v>35154</v>
      </c>
      <c r="B23187" s="1" t="str">
        <f>"07067"</f>
        <v>07067</v>
      </c>
      <c r="C23187" s="2">
        <v>2.23214285714285E-4</v>
      </c>
      <c r="D23187" s="2">
        <v>0</v>
      </c>
      <c r="E23187" s="2">
        <v>0</v>
      </c>
      <c r="F23187" s="2">
        <v>1.2820512820512799E-4</v>
      </c>
    </row>
    <row r="23188" spans="1:6" x14ac:dyDescent="0.25">
      <c r="A23188" s="1" t="str">
        <f t="shared" si="866"/>
        <v>35154</v>
      </c>
      <c r="B23188" s="1" t="str">
        <f>"08738"</f>
        <v>08738</v>
      </c>
      <c r="C23188" s="2">
        <v>3.3482142857142798E-4</v>
      </c>
      <c r="D23188" s="2">
        <v>0</v>
      </c>
      <c r="E23188" s="2">
        <v>1.9138755980861201E-4</v>
      </c>
      <c r="F23188" s="2">
        <v>2.5641025641025598E-4</v>
      </c>
    </row>
    <row r="23189" spans="1:6" x14ac:dyDescent="0.25">
      <c r="A23189" s="1" t="str">
        <f t="shared" si="866"/>
        <v>35154</v>
      </c>
      <c r="B23189" s="1" t="str">
        <f>"08527"</f>
        <v>08527</v>
      </c>
      <c r="C23189" s="2">
        <v>7.8125000000000004E-4</v>
      </c>
      <c r="D23189" s="2">
        <v>4.9469964664310903E-3</v>
      </c>
      <c r="E23189" s="2">
        <v>7.6555023923444902E-4</v>
      </c>
      <c r="F23189" s="2">
        <v>1.1538461538461501E-3</v>
      </c>
    </row>
    <row r="23190" spans="1:6" x14ac:dyDescent="0.25">
      <c r="A23190" s="1" t="str">
        <f t="shared" si="866"/>
        <v>35154</v>
      </c>
      <c r="B23190" s="1" t="str">
        <f>"08882"</f>
        <v>08882</v>
      </c>
      <c r="C23190" s="2">
        <v>1.26116071428571E-2</v>
      </c>
      <c r="D23190" s="2">
        <v>2.8268551236749098E-3</v>
      </c>
      <c r="E23190" s="2">
        <v>8.2296650717703299E-3</v>
      </c>
      <c r="F23190" s="2">
        <v>1.0256410256410199E-2</v>
      </c>
    </row>
    <row r="23191" spans="1:6" x14ac:dyDescent="0.25">
      <c r="A23191" s="1" t="str">
        <f t="shared" si="866"/>
        <v>35154</v>
      </c>
      <c r="B23191" s="1" t="str">
        <f>"08005"</f>
        <v>08005</v>
      </c>
      <c r="C23191" s="2">
        <v>9.5982142857142794E-3</v>
      </c>
      <c r="D23191" s="2">
        <v>1.20141342756183E-2</v>
      </c>
      <c r="E23191" s="2">
        <v>7.6555023923444902E-4</v>
      </c>
      <c r="F23191" s="2">
        <v>6.8589743589743497E-3</v>
      </c>
    </row>
    <row r="23192" spans="1:6" x14ac:dyDescent="0.25">
      <c r="A23192" s="1" t="str">
        <f t="shared" si="866"/>
        <v>35154</v>
      </c>
      <c r="B23192" s="1" t="str">
        <f>"08755"</f>
        <v>08755</v>
      </c>
      <c r="C23192" s="2">
        <v>1.1495535714285699E-2</v>
      </c>
      <c r="D23192" s="2">
        <v>1.7667844522968101E-2</v>
      </c>
      <c r="E23192" s="2">
        <v>2.6794258373205701E-3</v>
      </c>
      <c r="F23192" s="2">
        <v>9.1025641025641001E-3</v>
      </c>
    </row>
    <row r="23193" spans="1:6" x14ac:dyDescent="0.25">
      <c r="A23193" s="1" t="str">
        <f t="shared" si="866"/>
        <v>35154</v>
      </c>
      <c r="B23193" s="1" t="str">
        <f>"08859"</f>
        <v>08859</v>
      </c>
      <c r="C23193" s="2">
        <v>1.31696428571428E-2</v>
      </c>
      <c r="D23193" s="2">
        <v>7.0671378091872702E-4</v>
      </c>
      <c r="E23193" s="2">
        <v>1.1483253588516699E-2</v>
      </c>
      <c r="F23193" s="2">
        <v>1.14743589743589E-2</v>
      </c>
    </row>
    <row r="23194" spans="1:6" x14ac:dyDescent="0.25">
      <c r="A23194" s="1" t="str">
        <f t="shared" si="866"/>
        <v>35154</v>
      </c>
      <c r="B23194" s="1" t="str">
        <f>"08876"</f>
        <v>08876</v>
      </c>
      <c r="C23194" s="2">
        <v>1.4508928571428501E-2</v>
      </c>
      <c r="D23194" s="2">
        <v>1.34275618374558E-2</v>
      </c>
      <c r="E23194" s="2">
        <v>6.3157894736842104E-3</v>
      </c>
      <c r="F23194" s="2">
        <v>1.16666666666666E-2</v>
      </c>
    </row>
    <row r="23195" spans="1:6" x14ac:dyDescent="0.25">
      <c r="A23195" s="1" t="str">
        <f t="shared" si="866"/>
        <v>35154</v>
      </c>
      <c r="B23195" s="1" t="str">
        <f>"08759"</f>
        <v>08759</v>
      </c>
      <c r="C23195" s="2">
        <v>7.9799107142857095E-2</v>
      </c>
      <c r="D23195" s="2">
        <v>0</v>
      </c>
      <c r="E23195" s="2">
        <v>0.209377990430622</v>
      </c>
      <c r="F23195" s="2">
        <v>0.11596153846153801</v>
      </c>
    </row>
    <row r="23196" spans="1:6" x14ac:dyDescent="0.25">
      <c r="A23196" s="1" t="str">
        <f t="shared" si="866"/>
        <v>35154</v>
      </c>
      <c r="B23196" s="1" t="str">
        <f>"07080"</f>
        <v>07080</v>
      </c>
      <c r="C23196" s="2">
        <v>7.5892857142857099E-3</v>
      </c>
      <c r="D23196" s="2">
        <v>1.4134275618374499E-3</v>
      </c>
      <c r="E23196" s="2">
        <v>3.25358851674641E-3</v>
      </c>
      <c r="F23196" s="2">
        <v>5.5769230769230696E-3</v>
      </c>
    </row>
    <row r="23197" spans="1:6" x14ac:dyDescent="0.25">
      <c r="A23197" s="1" t="str">
        <f t="shared" si="866"/>
        <v>35154</v>
      </c>
      <c r="B23197" s="1" t="str">
        <f>"08730"</f>
        <v>08730</v>
      </c>
      <c r="C23197" s="2">
        <v>6.6964285714285704E-4</v>
      </c>
      <c r="D23197" s="2">
        <v>8.4805653710247307E-3</v>
      </c>
      <c r="E23197" s="2">
        <v>1.1483253588516699E-3</v>
      </c>
      <c r="F23197" s="2">
        <v>1.53846153846153E-3</v>
      </c>
    </row>
    <row r="23198" spans="1:6" x14ac:dyDescent="0.25">
      <c r="A23198" s="1" t="str">
        <f t="shared" si="866"/>
        <v>35154</v>
      </c>
      <c r="B23198" s="1" t="str">
        <f>"07008"</f>
        <v>07008</v>
      </c>
      <c r="C23198" s="2">
        <v>8.0357142857142797E-3</v>
      </c>
      <c r="D23198" s="2">
        <v>7.0671378091872702E-4</v>
      </c>
      <c r="E23198" s="2">
        <v>1.72248803827751E-3</v>
      </c>
      <c r="F23198" s="2">
        <v>5.2564102564102502E-3</v>
      </c>
    </row>
    <row r="23199" spans="1:6" x14ac:dyDescent="0.25">
      <c r="A23199" s="1" t="str">
        <f t="shared" si="866"/>
        <v>35154</v>
      </c>
      <c r="B23199" s="1" t="str">
        <f>"07703"</f>
        <v>07703</v>
      </c>
      <c r="C23199" s="2">
        <v>0</v>
      </c>
      <c r="D23199" s="2">
        <v>0</v>
      </c>
      <c r="E23199" s="2">
        <v>1.9138755980861201E-4</v>
      </c>
      <c r="F23199" s="2">
        <v>6.4102564102564103E-5</v>
      </c>
    </row>
    <row r="23200" spans="1:6" x14ac:dyDescent="0.25">
      <c r="A23200" s="1" t="str">
        <f t="shared" si="866"/>
        <v>35154</v>
      </c>
      <c r="B23200" s="1" t="str">
        <f>"07731"</f>
        <v>07731</v>
      </c>
      <c r="C23200" s="2">
        <v>1.33928571428571E-3</v>
      </c>
      <c r="D23200" s="2">
        <v>4.2402826855123602E-3</v>
      </c>
      <c r="E23200" s="2">
        <v>1.1483253588516699E-3</v>
      </c>
      <c r="F23200" s="2">
        <v>1.53846153846153E-3</v>
      </c>
    </row>
    <row r="23201" spans="1:6" x14ac:dyDescent="0.25">
      <c r="A23201" s="1" t="str">
        <f t="shared" si="866"/>
        <v>35154</v>
      </c>
      <c r="B23201" s="1" t="str">
        <f>"07704"</f>
        <v>07704</v>
      </c>
      <c r="C23201" s="2">
        <v>0</v>
      </c>
      <c r="D23201" s="2">
        <v>6.3604240282685498E-3</v>
      </c>
      <c r="E23201" s="2">
        <v>7.6555023923444902E-4</v>
      </c>
      <c r="F23201" s="2">
        <v>8.3333333333333295E-4</v>
      </c>
    </row>
    <row r="23202" spans="1:6" x14ac:dyDescent="0.25">
      <c r="A23202" s="1" t="str">
        <f t="shared" si="866"/>
        <v>35154</v>
      </c>
      <c r="B23202" s="1" t="str">
        <f>"08758"</f>
        <v>08758</v>
      </c>
      <c r="C23202" s="2">
        <v>4.4642857142857098E-4</v>
      </c>
      <c r="D23202" s="2">
        <v>0</v>
      </c>
      <c r="E23202" s="2">
        <v>1.9138755980861201E-4</v>
      </c>
      <c r="F23202" s="2">
        <v>3.2051282051282002E-4</v>
      </c>
    </row>
    <row r="23203" spans="1:6" x14ac:dyDescent="0.25">
      <c r="A23203" s="1" t="str">
        <f t="shared" si="866"/>
        <v>35154</v>
      </c>
      <c r="B23203" s="1" t="str">
        <f>"08721"</f>
        <v>08721</v>
      </c>
      <c r="C23203" s="2">
        <v>1.6741071428571399E-3</v>
      </c>
      <c r="D23203" s="2">
        <v>1.8374558303886901E-2</v>
      </c>
      <c r="E23203" s="2">
        <v>1.9138755980861199E-3</v>
      </c>
      <c r="F23203" s="2">
        <v>3.26923076923076E-3</v>
      </c>
    </row>
    <row r="23204" spans="1:6" x14ac:dyDescent="0.25">
      <c r="A23204" s="1" t="str">
        <f t="shared" si="866"/>
        <v>35154</v>
      </c>
      <c r="B23204" s="1" t="str">
        <f>"08837"</f>
        <v>08837</v>
      </c>
      <c r="C23204" s="2">
        <v>2.4441964285714199E-2</v>
      </c>
      <c r="D23204" s="2">
        <v>2.8268551236749098E-3</v>
      </c>
      <c r="E23204" s="2">
        <v>5.1291866028708097E-2</v>
      </c>
      <c r="F23204" s="2">
        <v>3.14743589743589E-2</v>
      </c>
    </row>
    <row r="23205" spans="1:6" x14ac:dyDescent="0.25">
      <c r="A23205" s="1" t="str">
        <f t="shared" si="866"/>
        <v>35154</v>
      </c>
      <c r="B23205" s="1" t="str">
        <f>"08805"</f>
        <v>08805</v>
      </c>
      <c r="C23205" s="2">
        <v>3.3482142857142798E-4</v>
      </c>
      <c r="D23205" s="2">
        <v>0</v>
      </c>
      <c r="E23205" s="2">
        <v>1.9138755980861201E-4</v>
      </c>
      <c r="F23205" s="2">
        <v>2.5641025641025598E-4</v>
      </c>
    </row>
    <row r="23206" spans="1:6" x14ac:dyDescent="0.25">
      <c r="A23206" s="1" t="str">
        <f t="shared" si="866"/>
        <v>35154</v>
      </c>
      <c r="B23206" s="1" t="str">
        <f>"08540"</f>
        <v>08540</v>
      </c>
      <c r="C23206" s="2">
        <v>0</v>
      </c>
      <c r="D23206" s="2">
        <v>2.8268551236749098E-3</v>
      </c>
      <c r="E23206" s="2">
        <v>0</v>
      </c>
      <c r="F23206" s="2">
        <v>2.5641025641025598E-4</v>
      </c>
    </row>
    <row r="23207" spans="1:6" x14ac:dyDescent="0.25">
      <c r="A23207" s="1" t="str">
        <f t="shared" si="866"/>
        <v>35154</v>
      </c>
      <c r="B23207" s="1" t="str">
        <f>"07758"</f>
        <v>07758</v>
      </c>
      <c r="C23207" s="2">
        <v>2.23214285714285E-4</v>
      </c>
      <c r="D23207" s="2">
        <v>1.4134275618374499E-3</v>
      </c>
      <c r="E23207" s="2">
        <v>1.9138755980861201E-4</v>
      </c>
      <c r="F23207" s="2">
        <v>3.2051282051282002E-4</v>
      </c>
    </row>
    <row r="23208" spans="1:6" x14ac:dyDescent="0.25">
      <c r="A23208" s="1" t="str">
        <f t="shared" si="866"/>
        <v>35154</v>
      </c>
      <c r="B23208" s="1" t="str">
        <f>"07712"</f>
        <v>07712</v>
      </c>
      <c r="C23208" s="2">
        <v>7.2544642857142794E-2</v>
      </c>
      <c r="D23208" s="2">
        <v>4.3109540636042401E-2</v>
      </c>
      <c r="E23208" s="2">
        <v>2.2966507177033399E-2</v>
      </c>
      <c r="F23208" s="2">
        <v>5.3269230769230701E-2</v>
      </c>
    </row>
    <row r="23209" spans="1:6" x14ac:dyDescent="0.25">
      <c r="A23209" s="1" t="str">
        <f t="shared" si="866"/>
        <v>35154</v>
      </c>
      <c r="B23209" s="1" t="str">
        <f>"07718"</f>
        <v>07718</v>
      </c>
      <c r="C23209" s="2">
        <v>0</v>
      </c>
      <c r="D23209" s="2">
        <v>2.1201413427561801E-3</v>
      </c>
      <c r="E23209" s="2">
        <v>1.9138755980861201E-4</v>
      </c>
      <c r="F23209" s="2">
        <v>2.5641025641025598E-4</v>
      </c>
    </row>
    <row r="23210" spans="1:6" x14ac:dyDescent="0.25">
      <c r="A23210" s="1" t="str">
        <f t="shared" si="866"/>
        <v>35154</v>
      </c>
      <c r="B23210" s="1" t="str">
        <f>"07924"</f>
        <v>07924</v>
      </c>
      <c r="C23210" s="2">
        <v>8.9285714285714196E-4</v>
      </c>
      <c r="D23210" s="2">
        <v>0</v>
      </c>
      <c r="E23210" s="2">
        <v>2.4880382775119602E-3</v>
      </c>
      <c r="F23210" s="2">
        <v>1.34615384615384E-3</v>
      </c>
    </row>
    <row r="23211" spans="1:6" x14ac:dyDescent="0.25">
      <c r="A23211" s="1" t="str">
        <f t="shared" si="866"/>
        <v>35154</v>
      </c>
      <c r="B23211" s="1" t="str">
        <f>"07760"</f>
        <v>07760</v>
      </c>
      <c r="C23211" s="2">
        <v>5.9151785714285704E-3</v>
      </c>
      <c r="D23211" s="2">
        <v>3.53356890459363E-3</v>
      </c>
      <c r="E23211" s="2">
        <v>2.2966507177033398E-3</v>
      </c>
      <c r="F23211" s="2">
        <v>4.4871794871794799E-3</v>
      </c>
    </row>
    <row r="23212" spans="1:6" x14ac:dyDescent="0.25">
      <c r="A23212" s="1" t="str">
        <f t="shared" si="866"/>
        <v>35154</v>
      </c>
      <c r="B23212" s="1" t="str">
        <f>"07750"</f>
        <v>07750</v>
      </c>
      <c r="C23212" s="2">
        <v>7.8125000000000004E-4</v>
      </c>
      <c r="D23212" s="2">
        <v>0</v>
      </c>
      <c r="E23212" s="2">
        <v>7.6555023923444902E-4</v>
      </c>
      <c r="F23212" s="2">
        <v>7.0512820512820496E-4</v>
      </c>
    </row>
    <row r="23213" spans="1:6" x14ac:dyDescent="0.25">
      <c r="A23213" s="1" t="str">
        <f t="shared" si="866"/>
        <v>35154</v>
      </c>
      <c r="B23213" s="1" t="str">
        <f>"07921"</f>
        <v>07921</v>
      </c>
      <c r="C23213" s="2">
        <v>0</v>
      </c>
      <c r="D23213" s="2">
        <v>0</v>
      </c>
      <c r="E23213" s="2">
        <v>1.9138755980861201E-4</v>
      </c>
      <c r="F23213" s="2">
        <v>6.4102564102564103E-5</v>
      </c>
    </row>
    <row r="23214" spans="1:6" x14ac:dyDescent="0.25">
      <c r="A23214" s="1" t="str">
        <f t="shared" si="866"/>
        <v>35154</v>
      </c>
      <c r="B23214" s="1" t="str">
        <f>"07756"</f>
        <v>07756</v>
      </c>
      <c r="C23214" s="2">
        <v>3.1250000000000002E-3</v>
      </c>
      <c r="D23214" s="2">
        <v>2.8268551236749098E-3</v>
      </c>
      <c r="E23214" s="2">
        <v>1.72248803827751E-3</v>
      </c>
      <c r="F23214" s="2">
        <v>2.6282051282051199E-3</v>
      </c>
    </row>
    <row r="23215" spans="1:6" x14ac:dyDescent="0.25">
      <c r="A23215" s="1" t="str">
        <f t="shared" ref="A23215:A23242" si="867">"35154"</f>
        <v>35154</v>
      </c>
      <c r="B23215" s="1" t="str">
        <f>"07728"</f>
        <v>07728</v>
      </c>
      <c r="C23215" s="2">
        <v>1.7299107142857099E-2</v>
      </c>
      <c r="D23215" s="2">
        <v>5.5830388692579502E-2</v>
      </c>
      <c r="E23215" s="2">
        <v>1.5693779904306201E-2</v>
      </c>
      <c r="F23215" s="2">
        <v>2.0256410256410201E-2</v>
      </c>
    </row>
    <row r="23216" spans="1:6" x14ac:dyDescent="0.25">
      <c r="A23216" s="1" t="str">
        <f t="shared" si="867"/>
        <v>35154</v>
      </c>
      <c r="B23216" s="1" t="str">
        <f>"07732"</f>
        <v>07732</v>
      </c>
      <c r="C23216" s="2">
        <v>4.1294642857142797E-3</v>
      </c>
      <c r="D23216" s="2">
        <v>3.53356890459363E-3</v>
      </c>
      <c r="E23216" s="2">
        <v>6.6985645933014303E-3</v>
      </c>
      <c r="F23216" s="2">
        <v>4.93589743589743E-3</v>
      </c>
    </row>
    <row r="23217" spans="1:6" x14ac:dyDescent="0.25">
      <c r="A23217" s="1" t="str">
        <f t="shared" si="867"/>
        <v>35154</v>
      </c>
      <c r="B23217" s="1" t="str">
        <f>"08724"</f>
        <v>08724</v>
      </c>
      <c r="C23217" s="2">
        <v>1.6852678571428501E-2</v>
      </c>
      <c r="D23217" s="2">
        <v>1.27208480565371E-2</v>
      </c>
      <c r="E23217" s="2">
        <v>1.0334928229665001E-2</v>
      </c>
      <c r="F23217" s="2">
        <v>1.42948717948717E-2</v>
      </c>
    </row>
    <row r="23218" spans="1:6" x14ac:dyDescent="0.25">
      <c r="A23218" s="1" t="str">
        <f t="shared" si="867"/>
        <v>35154</v>
      </c>
      <c r="B23218" s="1" t="str">
        <f>"07722"</f>
        <v>07722</v>
      </c>
      <c r="C23218" s="2">
        <v>0</v>
      </c>
      <c r="D23218" s="2">
        <v>1.34275618374558E-2</v>
      </c>
      <c r="E23218" s="2">
        <v>1.3397129186602801E-3</v>
      </c>
      <c r="F23218" s="2">
        <v>1.6666666666666601E-3</v>
      </c>
    </row>
    <row r="23219" spans="1:6" x14ac:dyDescent="0.25">
      <c r="A23219" s="1" t="str">
        <f t="shared" si="867"/>
        <v>35154</v>
      </c>
      <c r="B23219" s="1" t="str">
        <f>"08832"</f>
        <v>08832</v>
      </c>
      <c r="C23219" s="2">
        <v>0</v>
      </c>
      <c r="D23219" s="2">
        <v>7.0671378091872702E-4</v>
      </c>
      <c r="E23219" s="2">
        <v>0</v>
      </c>
      <c r="F23219" s="2">
        <v>6.4102564102564103E-5</v>
      </c>
    </row>
    <row r="23220" spans="1:6" x14ac:dyDescent="0.25">
      <c r="A23220" s="1" t="str">
        <f t="shared" si="867"/>
        <v>35154</v>
      </c>
      <c r="B23220" s="1" t="str">
        <f>"08850"</f>
        <v>08850</v>
      </c>
      <c r="C23220" s="2">
        <v>6.6964285714285704E-4</v>
      </c>
      <c r="D23220" s="2">
        <v>0</v>
      </c>
      <c r="E23220" s="2">
        <v>1.9138755980861201E-4</v>
      </c>
      <c r="F23220" s="2">
        <v>4.4871794871794801E-4</v>
      </c>
    </row>
    <row r="23221" spans="1:6" x14ac:dyDescent="0.25">
      <c r="A23221" s="1" t="str">
        <f t="shared" si="867"/>
        <v>35154</v>
      </c>
      <c r="B23221" s="1" t="str">
        <f>"07931"</f>
        <v>07931</v>
      </c>
      <c r="C23221" s="2">
        <v>1.11607142857142E-4</v>
      </c>
      <c r="D23221" s="2">
        <v>0</v>
      </c>
      <c r="E23221" s="2">
        <v>5.7416267942583701E-4</v>
      </c>
      <c r="F23221" s="2">
        <v>2.5641025641025598E-4</v>
      </c>
    </row>
    <row r="23222" spans="1:6" x14ac:dyDescent="0.25">
      <c r="A23222" s="1" t="str">
        <f t="shared" si="867"/>
        <v>35154</v>
      </c>
      <c r="B23222" s="1" t="str">
        <f>"07747"</f>
        <v>07747</v>
      </c>
      <c r="C23222" s="2">
        <v>2.9575892857142801E-2</v>
      </c>
      <c r="D23222" s="2">
        <v>2.0494699646643098E-2</v>
      </c>
      <c r="E23222" s="2">
        <v>2.71770334928229E-2</v>
      </c>
      <c r="F23222" s="2">
        <v>2.7948717948717901E-2</v>
      </c>
    </row>
    <row r="23223" spans="1:6" x14ac:dyDescent="0.25">
      <c r="A23223" s="1" t="str">
        <f t="shared" si="867"/>
        <v>35154</v>
      </c>
      <c r="B23223" s="1" t="str">
        <f>"07740"</f>
        <v>07740</v>
      </c>
      <c r="C23223" s="2">
        <v>4.1852678571428499E-2</v>
      </c>
      <c r="D23223" s="2">
        <v>4.5229681978798501E-2</v>
      </c>
      <c r="E23223" s="2">
        <v>8.0382775119617195E-2</v>
      </c>
      <c r="F23223" s="2">
        <v>5.5064102564102498E-2</v>
      </c>
    </row>
    <row r="23224" spans="1:6" x14ac:dyDescent="0.25">
      <c r="A23224" s="1" t="str">
        <f t="shared" si="867"/>
        <v>35154</v>
      </c>
      <c r="B23224" s="1" t="str">
        <f>"08901"</f>
        <v>08901</v>
      </c>
      <c r="C23224" s="2">
        <v>9.0401785714285705E-3</v>
      </c>
      <c r="D23224" s="2">
        <v>1.27208480565371E-2</v>
      </c>
      <c r="E23224" s="2">
        <v>1.43540669856459E-2</v>
      </c>
      <c r="F23224" s="2">
        <v>1.1153846153846099E-2</v>
      </c>
    </row>
    <row r="23225" spans="1:6" x14ac:dyDescent="0.25">
      <c r="A23225" s="1" t="str">
        <f t="shared" si="867"/>
        <v>35154</v>
      </c>
      <c r="B23225" s="1" t="str">
        <f>"08817"</f>
        <v>08817</v>
      </c>
      <c r="C23225" s="2">
        <v>1.45089285714285E-3</v>
      </c>
      <c r="D23225" s="2">
        <v>2.1201413427561801E-3</v>
      </c>
      <c r="E23225" s="2">
        <v>3.3110047846889902E-2</v>
      </c>
      <c r="F23225" s="2">
        <v>1.2115384615384601E-2</v>
      </c>
    </row>
    <row r="23226" spans="1:6" x14ac:dyDescent="0.25">
      <c r="A23226" s="1" t="str">
        <f t="shared" si="867"/>
        <v>35154</v>
      </c>
      <c r="B23226" s="1" t="str">
        <f>"08872"</f>
        <v>08872</v>
      </c>
      <c r="C23226" s="2">
        <v>4.2410714285714196E-3</v>
      </c>
      <c r="D23226" s="2">
        <v>4.9469964664310903E-3</v>
      </c>
      <c r="E23226" s="2">
        <v>1.1483253588516699E-3</v>
      </c>
      <c r="F23226" s="2">
        <v>3.26923076923076E-3</v>
      </c>
    </row>
    <row r="23227" spans="1:6" x14ac:dyDescent="0.25">
      <c r="A23227" s="1" t="str">
        <f t="shared" si="867"/>
        <v>35154</v>
      </c>
      <c r="B23227" s="1" t="str">
        <f>"08820"</f>
        <v>08820</v>
      </c>
      <c r="C23227" s="2">
        <v>2.3437499999999999E-3</v>
      </c>
      <c r="D23227" s="2">
        <v>3.53356890459363E-3</v>
      </c>
      <c r="E23227" s="2">
        <v>9.5693779904306201E-4</v>
      </c>
      <c r="F23227" s="2">
        <v>1.9871794871794799E-3</v>
      </c>
    </row>
    <row r="23228" spans="1:6" x14ac:dyDescent="0.25">
      <c r="A23228" s="1" t="str">
        <f t="shared" si="867"/>
        <v>35154</v>
      </c>
      <c r="B23228" s="1" t="str">
        <f>"08752"</f>
        <v>08752</v>
      </c>
      <c r="C23228" s="2">
        <v>4.9107142857142804E-3</v>
      </c>
      <c r="D23228" s="2">
        <v>7.0671378091872702E-4</v>
      </c>
      <c r="E23228" s="2">
        <v>2.4880382775119602E-3</v>
      </c>
      <c r="F23228" s="2">
        <v>3.71794871794871E-3</v>
      </c>
    </row>
    <row r="23229" spans="1:6" x14ac:dyDescent="0.25">
      <c r="A23229" s="1" t="str">
        <f t="shared" si="867"/>
        <v>35154</v>
      </c>
      <c r="B23229" s="1" t="str">
        <f>"08736"</f>
        <v>08736</v>
      </c>
      <c r="C23229" s="2">
        <v>4.9107142857142804E-3</v>
      </c>
      <c r="D23229" s="2">
        <v>1.48409893992932E-2</v>
      </c>
      <c r="E23229" s="2">
        <v>3.25358851674641E-3</v>
      </c>
      <c r="F23229" s="2">
        <v>5.2564102564102502E-3</v>
      </c>
    </row>
    <row r="23230" spans="1:6" x14ac:dyDescent="0.25">
      <c r="A23230" s="1" t="str">
        <f t="shared" si="867"/>
        <v>35154</v>
      </c>
      <c r="B23230" s="1" t="str">
        <f>"08734"</f>
        <v>08734</v>
      </c>
      <c r="C23230" s="2">
        <v>0</v>
      </c>
      <c r="D23230" s="2">
        <v>4.2402826855123602E-3</v>
      </c>
      <c r="E23230" s="2">
        <v>3.8277511961722402E-4</v>
      </c>
      <c r="F23230" s="2">
        <v>5.1282051282051195E-4</v>
      </c>
    </row>
    <row r="23231" spans="1:6" x14ac:dyDescent="0.25">
      <c r="A23231" s="1" t="str">
        <f t="shared" si="867"/>
        <v>35154</v>
      </c>
      <c r="B23231" s="1" t="str">
        <f>"08510"</f>
        <v>08510</v>
      </c>
      <c r="C23231" s="2">
        <v>2.23214285714285E-4</v>
      </c>
      <c r="D23231" s="2">
        <v>0</v>
      </c>
      <c r="E23231" s="2">
        <v>0</v>
      </c>
      <c r="F23231" s="2">
        <v>1.2820512820512799E-4</v>
      </c>
    </row>
    <row r="23232" spans="1:6" x14ac:dyDescent="0.25">
      <c r="A23232" s="1" t="str">
        <f t="shared" si="867"/>
        <v>35154</v>
      </c>
      <c r="B23232" s="1" t="str">
        <f>"08835"</f>
        <v>08835</v>
      </c>
      <c r="C23232" s="2">
        <v>0</v>
      </c>
      <c r="D23232" s="2">
        <v>2.1201413427561801E-3</v>
      </c>
      <c r="E23232" s="2">
        <v>5.7416267942583701E-4</v>
      </c>
      <c r="F23232" s="2">
        <v>3.8461538461538402E-4</v>
      </c>
    </row>
    <row r="23233" spans="1:6" x14ac:dyDescent="0.25">
      <c r="A23233" s="1" t="str">
        <f t="shared" si="867"/>
        <v>35154</v>
      </c>
      <c r="B23233" s="1" t="str">
        <f>"08087"</f>
        <v>08087</v>
      </c>
      <c r="C23233" s="2">
        <v>4.6874999999999998E-3</v>
      </c>
      <c r="D23233" s="2">
        <v>4.2402826855123602E-3</v>
      </c>
      <c r="E23233" s="2">
        <v>1.1483253588516699E-3</v>
      </c>
      <c r="F23233" s="2">
        <v>3.4615384615384599E-3</v>
      </c>
    </row>
    <row r="23234" spans="1:6" x14ac:dyDescent="0.25">
      <c r="A23234" s="1" t="str">
        <f t="shared" si="867"/>
        <v>35154</v>
      </c>
      <c r="B23234" s="1" t="str">
        <f>"08741"</f>
        <v>08741</v>
      </c>
      <c r="C23234" s="2">
        <v>8.9285714285714196E-4</v>
      </c>
      <c r="D23234" s="2">
        <v>0</v>
      </c>
      <c r="E23234" s="2">
        <v>1.9138755980861201E-4</v>
      </c>
      <c r="F23234" s="2">
        <v>5.76923076923076E-4</v>
      </c>
    </row>
    <row r="23235" spans="1:6" x14ac:dyDescent="0.25">
      <c r="A23235" s="1" t="str">
        <f t="shared" si="867"/>
        <v>35154</v>
      </c>
      <c r="B23235" s="1" t="str">
        <f>"08879"</f>
        <v>08879</v>
      </c>
      <c r="C23235" s="2">
        <v>5.3571428571428503E-3</v>
      </c>
      <c r="D23235" s="2">
        <v>2.8268551236749098E-3</v>
      </c>
      <c r="E23235" s="2">
        <v>7.2727272727272701E-3</v>
      </c>
      <c r="F23235" s="2">
        <v>5.76923076923076E-3</v>
      </c>
    </row>
    <row r="23236" spans="1:6" x14ac:dyDescent="0.25">
      <c r="A23236" s="1" t="str">
        <f t="shared" si="867"/>
        <v>35154</v>
      </c>
      <c r="B23236" s="1" t="str">
        <f>"07060"</f>
        <v>07060</v>
      </c>
      <c r="C23236" s="2">
        <v>1.0044642857142801E-2</v>
      </c>
      <c r="D23236" s="2">
        <v>0</v>
      </c>
      <c r="E23236" s="2">
        <v>5.7416267942583697E-3</v>
      </c>
      <c r="F23236" s="2">
        <v>7.6923076923076901E-3</v>
      </c>
    </row>
    <row r="23237" spans="1:6" x14ac:dyDescent="0.25">
      <c r="A23237" s="1" t="str">
        <f t="shared" si="867"/>
        <v>35154</v>
      </c>
      <c r="B23237" s="1" t="str">
        <f>"08846"</f>
        <v>08846</v>
      </c>
      <c r="C23237" s="2">
        <v>1.13839285714285E-2</v>
      </c>
      <c r="D23237" s="2">
        <v>0</v>
      </c>
      <c r="E23237" s="2">
        <v>9.5693779904306201E-4</v>
      </c>
      <c r="F23237" s="2">
        <v>6.8589743589743497E-3</v>
      </c>
    </row>
    <row r="23238" spans="1:6" x14ac:dyDescent="0.25">
      <c r="A23238" s="1" t="str">
        <f t="shared" si="867"/>
        <v>35154</v>
      </c>
      <c r="B23238" s="1" t="str">
        <f>"07701"</f>
        <v>07701</v>
      </c>
      <c r="C23238" s="2">
        <v>1.3950892857142801E-2</v>
      </c>
      <c r="D23238" s="2">
        <v>4.3816254416961103E-2</v>
      </c>
      <c r="E23238" s="2">
        <v>8.0382775119617195E-3</v>
      </c>
      <c r="F23238" s="2">
        <v>1.46794871794871E-2</v>
      </c>
    </row>
    <row r="23239" spans="1:6" x14ac:dyDescent="0.25">
      <c r="A23239" s="1" t="str">
        <f t="shared" si="867"/>
        <v>35154</v>
      </c>
      <c r="B23239" s="1" t="str">
        <f>"08831"</f>
        <v>08831</v>
      </c>
      <c r="C23239" s="2">
        <v>1.8303571428571402E-2</v>
      </c>
      <c r="D23239" s="2">
        <v>5.6537102473498196E-3</v>
      </c>
      <c r="E23239" s="2">
        <v>1.53110047846889E-3</v>
      </c>
      <c r="F23239" s="2">
        <v>1.1538461538461499E-2</v>
      </c>
    </row>
    <row r="23240" spans="1:6" x14ac:dyDescent="0.25">
      <c r="A23240" s="1" t="str">
        <f t="shared" si="867"/>
        <v>35154</v>
      </c>
      <c r="B23240" s="1" t="str">
        <f>"08869"</f>
        <v>08869</v>
      </c>
      <c r="C23240" s="2">
        <v>8.3705357142857106E-3</v>
      </c>
      <c r="D23240" s="2">
        <v>0</v>
      </c>
      <c r="E23240" s="2">
        <v>5.9330143540669801E-3</v>
      </c>
      <c r="F23240" s="2">
        <v>6.79487179487179E-3</v>
      </c>
    </row>
    <row r="23241" spans="1:6" x14ac:dyDescent="0.25">
      <c r="A23241" s="1" t="str">
        <f t="shared" si="867"/>
        <v>35154</v>
      </c>
      <c r="B23241" s="1" t="str">
        <f>"07719"</f>
        <v>07719</v>
      </c>
      <c r="C23241" s="2">
        <v>1.47321428571428E-2</v>
      </c>
      <c r="D23241" s="2">
        <v>1.27208480565371E-2</v>
      </c>
      <c r="E23241" s="2">
        <v>2.8708133971291801E-3</v>
      </c>
      <c r="F23241" s="2">
        <v>1.0576923076922999E-2</v>
      </c>
    </row>
    <row r="23242" spans="1:6" x14ac:dyDescent="0.25">
      <c r="A23242" s="1" t="str">
        <f t="shared" si="867"/>
        <v>35154</v>
      </c>
      <c r="B23242" s="1" t="str">
        <f>"08731"</f>
        <v>08731</v>
      </c>
      <c r="C23242" s="2">
        <v>3.3482142857142798E-4</v>
      </c>
      <c r="D23242" s="2">
        <v>6.3604240282685498E-3</v>
      </c>
      <c r="E23242" s="2">
        <v>7.6555023923444902E-4</v>
      </c>
      <c r="F23242" s="2">
        <v>1.02564102564102E-3</v>
      </c>
    </row>
    <row r="23243" spans="1:6" x14ac:dyDescent="0.25">
      <c r="A23243" s="1" t="str">
        <f t="shared" ref="A23243:A23265" si="868">"35220"</f>
        <v>35220</v>
      </c>
      <c r="B23243" s="1" t="str">
        <f>"47352"</f>
        <v>47352</v>
      </c>
      <c r="C23243" s="2">
        <v>1.16702455419662E-2</v>
      </c>
      <c r="D23243" s="2">
        <v>4.5016077170418004E-3</v>
      </c>
      <c r="E23243" s="2">
        <v>2.27272727272727E-2</v>
      </c>
      <c r="F23243" s="2">
        <v>1.1401972925652299E-2</v>
      </c>
    </row>
    <row r="23244" spans="1:6" x14ac:dyDescent="0.25">
      <c r="A23244" s="1" t="str">
        <f t="shared" si="868"/>
        <v>35220</v>
      </c>
      <c r="B23244" s="1" t="str">
        <f>"47344"</f>
        <v>47344</v>
      </c>
      <c r="C23244" s="2">
        <v>0</v>
      </c>
      <c r="D23244" s="2">
        <v>0</v>
      </c>
      <c r="E23244" s="2">
        <v>4.54545454545454E-3</v>
      </c>
      <c r="F23244" s="2">
        <v>8.5408036896271906E-5</v>
      </c>
    </row>
    <row r="23245" spans="1:6" x14ac:dyDescent="0.25">
      <c r="A23245" s="1" t="str">
        <f t="shared" si="868"/>
        <v>35220</v>
      </c>
      <c r="B23245" s="1" t="str">
        <f>"47334"</f>
        <v>47334</v>
      </c>
      <c r="C23245" s="2">
        <v>2.1940061618896398E-3</v>
      </c>
      <c r="D23245" s="2">
        <v>0</v>
      </c>
      <c r="E23245" s="2">
        <v>0</v>
      </c>
      <c r="F23245" s="2">
        <v>2.00708886706239E-3</v>
      </c>
    </row>
    <row r="23246" spans="1:6" x14ac:dyDescent="0.25">
      <c r="A23246" s="1" t="str">
        <f t="shared" si="868"/>
        <v>35220</v>
      </c>
      <c r="B23246" s="1" t="str">
        <f>"47360"</f>
        <v>47360</v>
      </c>
      <c r="C23246" s="2">
        <v>2.23135094762393E-2</v>
      </c>
      <c r="D23246" s="2">
        <v>1.2861736334405099E-3</v>
      </c>
      <c r="E23246" s="2">
        <v>1.8181818181818101E-2</v>
      </c>
      <c r="F23246" s="2">
        <v>2.0839561002690299E-2</v>
      </c>
    </row>
    <row r="23247" spans="1:6" x14ac:dyDescent="0.25">
      <c r="A23247" s="1" t="str">
        <f t="shared" si="868"/>
        <v>35220</v>
      </c>
      <c r="B23247" s="1" t="str">
        <f>"47351"</f>
        <v>47351</v>
      </c>
      <c r="C23247" s="2">
        <v>6.8154233965082604E-3</v>
      </c>
      <c r="D23247" s="2">
        <v>6.4308681672025703E-4</v>
      </c>
      <c r="E23247" s="2">
        <v>0</v>
      </c>
      <c r="F23247" s="2">
        <v>6.2774907118759802E-3</v>
      </c>
    </row>
    <row r="23248" spans="1:6" x14ac:dyDescent="0.25">
      <c r="A23248" s="1" t="str">
        <f t="shared" si="868"/>
        <v>35220</v>
      </c>
      <c r="B23248" s="1" t="str">
        <f>"47356"</f>
        <v>47356</v>
      </c>
      <c r="C23248" s="2">
        <v>0.114695173186443</v>
      </c>
      <c r="D23248" s="2">
        <v>8.6173633440514402E-2</v>
      </c>
      <c r="E23248" s="2">
        <v>0.11590909090909</v>
      </c>
      <c r="F23248" s="2">
        <v>0.112824016739975</v>
      </c>
    </row>
    <row r="23249" spans="1:6" x14ac:dyDescent="0.25">
      <c r="A23249" s="1" t="str">
        <f t="shared" si="868"/>
        <v>35220</v>
      </c>
      <c r="B23249" s="1" t="str">
        <f>"46148"</f>
        <v>46148</v>
      </c>
      <c r="C23249" s="2">
        <v>9.8496872374194702E-2</v>
      </c>
      <c r="D23249" s="2">
        <v>0.15369774919614099</v>
      </c>
      <c r="E23249" s="2">
        <v>0.138636363636363</v>
      </c>
      <c r="F23249" s="2">
        <v>0.102916684460007</v>
      </c>
    </row>
    <row r="23250" spans="1:6" x14ac:dyDescent="0.25">
      <c r="A23250" s="1" t="str">
        <f t="shared" si="868"/>
        <v>35220</v>
      </c>
      <c r="B23250" s="1" t="str">
        <f>"47387"</f>
        <v>47387</v>
      </c>
      <c r="C23250" s="2">
        <v>1.50779572402203E-2</v>
      </c>
      <c r="D23250" s="2">
        <v>1.02893890675241E-2</v>
      </c>
      <c r="E23250" s="2">
        <v>2.27272727272727E-3</v>
      </c>
      <c r="F23250" s="2">
        <v>1.45193662723662E-2</v>
      </c>
    </row>
    <row r="23251" spans="1:6" x14ac:dyDescent="0.25">
      <c r="A23251" s="1" t="str">
        <f t="shared" si="868"/>
        <v>35220</v>
      </c>
      <c r="B23251" s="1" t="str">
        <f>"47361"</f>
        <v>47361</v>
      </c>
      <c r="C23251" s="2">
        <v>0</v>
      </c>
      <c r="D23251" s="2">
        <v>6.4308681672025703E-4</v>
      </c>
      <c r="E23251" s="2">
        <v>2.27272727272727E-3</v>
      </c>
      <c r="F23251" s="2">
        <v>8.5408036896271906E-5</v>
      </c>
    </row>
    <row r="23252" spans="1:6" x14ac:dyDescent="0.25">
      <c r="A23252" s="1" t="str">
        <f t="shared" si="868"/>
        <v>35220</v>
      </c>
      <c r="B23252" s="1" t="str">
        <f>"46186"</f>
        <v>46186</v>
      </c>
      <c r="C23252" s="2">
        <v>4.2012883951078302E-4</v>
      </c>
      <c r="D23252" s="2">
        <v>0</v>
      </c>
      <c r="E23252" s="2">
        <v>0</v>
      </c>
      <c r="F23252" s="2">
        <v>3.8433616603322302E-4</v>
      </c>
    </row>
    <row r="23253" spans="1:6" x14ac:dyDescent="0.25">
      <c r="A23253" s="1" t="str">
        <f t="shared" si="868"/>
        <v>35220</v>
      </c>
      <c r="B23253" s="1" t="str">
        <f>"46117"</f>
        <v>46117</v>
      </c>
      <c r="C23253" s="2">
        <v>8.4025767902156604E-4</v>
      </c>
      <c r="D23253" s="2">
        <v>0</v>
      </c>
      <c r="E23253" s="2">
        <v>0</v>
      </c>
      <c r="F23253" s="2">
        <v>7.6867233206644701E-4</v>
      </c>
    </row>
    <row r="23254" spans="1:6" x14ac:dyDescent="0.25">
      <c r="A23254" s="1" t="str">
        <f t="shared" si="868"/>
        <v>35220</v>
      </c>
      <c r="B23254" s="1" t="str">
        <f>"47337"</f>
        <v>47337</v>
      </c>
      <c r="C23254" s="2">
        <v>4.66809821678648E-5</v>
      </c>
      <c r="D23254" s="2">
        <v>0</v>
      </c>
      <c r="E23254" s="2">
        <v>2.27272727272727E-3</v>
      </c>
      <c r="F23254" s="2">
        <v>8.5408036896271906E-5</v>
      </c>
    </row>
    <row r="23255" spans="1:6" x14ac:dyDescent="0.25">
      <c r="A23255" s="1" t="str">
        <f t="shared" si="868"/>
        <v>35220</v>
      </c>
      <c r="B23255" s="1" t="str">
        <f>"47386"</f>
        <v>47386</v>
      </c>
      <c r="C23255" s="2">
        <v>2.41807487629539E-2</v>
      </c>
      <c r="D23255" s="2">
        <v>3.2154340836012801E-3</v>
      </c>
      <c r="E23255" s="2">
        <v>6.81818181818181E-3</v>
      </c>
      <c r="F23255" s="2">
        <v>2.24623137037195E-2</v>
      </c>
    </row>
    <row r="23256" spans="1:6" x14ac:dyDescent="0.25">
      <c r="A23256" s="1" t="str">
        <f t="shared" si="868"/>
        <v>35220</v>
      </c>
      <c r="B23256" s="1" t="str">
        <f>"47302"</f>
        <v>47302</v>
      </c>
      <c r="C23256" s="2">
        <v>1.5404724115395301E-3</v>
      </c>
      <c r="D23256" s="2">
        <v>0</v>
      </c>
      <c r="E23256" s="2">
        <v>0</v>
      </c>
      <c r="F23256" s="2">
        <v>1.40923260878848E-3</v>
      </c>
    </row>
    <row r="23257" spans="1:6" x14ac:dyDescent="0.25">
      <c r="A23257" s="1" t="str">
        <f t="shared" si="868"/>
        <v>35220</v>
      </c>
      <c r="B23257" s="1" t="str">
        <f>"47362"</f>
        <v>47362</v>
      </c>
      <c r="C23257" s="2">
        <v>0.63868919802072599</v>
      </c>
      <c r="D23257" s="2">
        <v>0.70353697749196098</v>
      </c>
      <c r="E23257" s="2">
        <v>0.60909090909090902</v>
      </c>
      <c r="F23257" s="2">
        <v>0.64243925353375697</v>
      </c>
    </row>
    <row r="23258" spans="1:6" x14ac:dyDescent="0.25">
      <c r="A23258" s="1" t="str">
        <f t="shared" si="868"/>
        <v>35220</v>
      </c>
      <c r="B23258" s="1" t="str">
        <f>"47366"</f>
        <v>47366</v>
      </c>
      <c r="C23258" s="2">
        <v>4.66809821678648E-5</v>
      </c>
      <c r="D23258" s="2">
        <v>0</v>
      </c>
      <c r="E23258" s="2">
        <v>2.27272727272727E-3</v>
      </c>
      <c r="F23258" s="2">
        <v>8.5408036896271906E-5</v>
      </c>
    </row>
    <row r="23259" spans="1:6" x14ac:dyDescent="0.25">
      <c r="A23259" s="1" t="str">
        <f t="shared" si="868"/>
        <v>35220</v>
      </c>
      <c r="B23259" s="1" t="str">
        <f>"46056"</f>
        <v>46056</v>
      </c>
      <c r="C23259" s="2">
        <v>3.2676687517505301E-4</v>
      </c>
      <c r="D23259" s="2">
        <v>0</v>
      </c>
      <c r="E23259" s="2">
        <v>0</v>
      </c>
      <c r="F23259" s="2">
        <v>2.9892812913695098E-4</v>
      </c>
    </row>
    <row r="23260" spans="1:6" x14ac:dyDescent="0.25">
      <c r="A23260" s="1" t="str">
        <f t="shared" si="868"/>
        <v>35220</v>
      </c>
      <c r="B23260" s="1" t="str">
        <f>"47346"</f>
        <v>47346</v>
      </c>
      <c r="C23260" s="2">
        <v>3.3610307160862598E-3</v>
      </c>
      <c r="D23260" s="2">
        <v>6.4308681672025703E-4</v>
      </c>
      <c r="E23260" s="2">
        <v>0</v>
      </c>
      <c r="F23260" s="2">
        <v>3.1173933467139201E-3</v>
      </c>
    </row>
    <row r="23261" spans="1:6" x14ac:dyDescent="0.25">
      <c r="A23261" s="1" t="str">
        <f t="shared" si="868"/>
        <v>35220</v>
      </c>
      <c r="B23261" s="1" t="str">
        <f>"47388"</f>
        <v>47388</v>
      </c>
      <c r="C23261" s="2">
        <v>4.66809821678648E-5</v>
      </c>
      <c r="D23261" s="2">
        <v>0</v>
      </c>
      <c r="E23261" s="2">
        <v>2.27272727272727E-3</v>
      </c>
      <c r="F23261" s="2">
        <v>8.5408036896271906E-5</v>
      </c>
    </row>
    <row r="23262" spans="1:6" x14ac:dyDescent="0.25">
      <c r="A23262" s="1" t="str">
        <f t="shared" si="868"/>
        <v>35220</v>
      </c>
      <c r="B23262" s="1" t="str">
        <f>"47385"</f>
        <v>47385</v>
      </c>
      <c r="C23262" s="2">
        <v>1.8719073849313698E-2</v>
      </c>
      <c r="D23262" s="2">
        <v>2.4437299035369699E-2</v>
      </c>
      <c r="E23262" s="2">
        <v>5.6818181818181802E-2</v>
      </c>
      <c r="F23262" s="2">
        <v>1.9814664559935E-2</v>
      </c>
    </row>
    <row r="23263" spans="1:6" x14ac:dyDescent="0.25">
      <c r="A23263" s="1" t="str">
        <f t="shared" si="868"/>
        <v>35220</v>
      </c>
      <c r="B23263" s="1" t="str">
        <f>"47327"</f>
        <v>47327</v>
      </c>
      <c r="C23263" s="2">
        <v>6.4886565213332003E-3</v>
      </c>
      <c r="D23263" s="2">
        <v>2.5723472668810199E-3</v>
      </c>
      <c r="E23263" s="2">
        <v>2.27272727272727E-3</v>
      </c>
      <c r="F23263" s="2">
        <v>6.14937865653157E-3</v>
      </c>
    </row>
    <row r="23264" spans="1:6" x14ac:dyDescent="0.25">
      <c r="A23264" s="1" t="str">
        <f t="shared" si="868"/>
        <v>35220</v>
      </c>
      <c r="B23264" s="1" t="str">
        <f>"47354"</f>
        <v>47354</v>
      </c>
      <c r="C23264" s="2">
        <v>8.5426197367192598E-3</v>
      </c>
      <c r="D23264" s="2">
        <v>2.5723472668810199E-3</v>
      </c>
      <c r="E23264" s="2">
        <v>0</v>
      </c>
      <c r="F23264" s="2">
        <v>7.9856514498014199E-3</v>
      </c>
    </row>
    <row r="23265" spans="1:6" x14ac:dyDescent="0.25">
      <c r="A23265" s="1" t="str">
        <f t="shared" si="868"/>
        <v>35220</v>
      </c>
      <c r="B23265" s="1" t="str">
        <f>"47384"</f>
        <v>47384</v>
      </c>
      <c r="C23265" s="2">
        <v>2.5487816263654098E-2</v>
      </c>
      <c r="D23265" s="2">
        <v>5.7877813504823104E-3</v>
      </c>
      <c r="E23265" s="2">
        <v>1.3636363636363599E-2</v>
      </c>
      <c r="F23265" s="2">
        <v>2.3956954349404199E-2</v>
      </c>
    </row>
    <row r="23266" spans="1:6" x14ac:dyDescent="0.25">
      <c r="A23266" s="1" t="str">
        <f t="shared" ref="A23266:A23290" si="869">"35260"</f>
        <v>35260</v>
      </c>
      <c r="B23266" s="1" t="str">
        <f>"16132"</f>
        <v>16132</v>
      </c>
      <c r="C23266" s="2">
        <v>1.9851609221072401E-4</v>
      </c>
      <c r="D23266" s="2">
        <v>0</v>
      </c>
      <c r="E23266" s="2">
        <v>6.1652281134401898E-4</v>
      </c>
      <c r="F23266" s="2">
        <v>1.9970266492111701E-4</v>
      </c>
    </row>
    <row r="23267" spans="1:6" x14ac:dyDescent="0.25">
      <c r="A23267" s="1" t="str">
        <f t="shared" si="869"/>
        <v>35260</v>
      </c>
      <c r="B23267" s="1" t="str">
        <f>"16157"</f>
        <v>16157</v>
      </c>
      <c r="C23267" s="2">
        <v>2.5856721010446899E-2</v>
      </c>
      <c r="D23267" s="2">
        <v>1.4303877940241501E-2</v>
      </c>
      <c r="E23267" s="2">
        <v>6.7817509247842097E-3</v>
      </c>
      <c r="F23267" s="2">
        <v>2.4363725120376298E-2</v>
      </c>
    </row>
    <row r="23268" spans="1:6" x14ac:dyDescent="0.25">
      <c r="A23268" s="1" t="str">
        <f t="shared" si="869"/>
        <v>35260</v>
      </c>
      <c r="B23268" s="1" t="str">
        <f>"16143"</f>
        <v>16143</v>
      </c>
      <c r="C23268" s="2">
        <v>2.4789697014814201E-2</v>
      </c>
      <c r="D23268" s="2">
        <v>1.0807374443737999E-2</v>
      </c>
      <c r="E23268" s="2">
        <v>6.1652281134401898E-4</v>
      </c>
      <c r="F23268" s="2">
        <v>2.29436172809372E-2</v>
      </c>
    </row>
    <row r="23269" spans="1:6" x14ac:dyDescent="0.25">
      <c r="A23269" s="1" t="str">
        <f t="shared" si="869"/>
        <v>35260</v>
      </c>
      <c r="B23269" s="1" t="str">
        <f>"16105"</f>
        <v>16105</v>
      </c>
      <c r="C23269" s="2">
        <v>0.18030224075039</v>
      </c>
      <c r="D23269" s="2">
        <v>0.18531468531468501</v>
      </c>
      <c r="E23269" s="2">
        <v>0.27127003699136798</v>
      </c>
      <c r="F23269" s="2">
        <v>0.18392615439234899</v>
      </c>
    </row>
    <row r="23270" spans="1:6" x14ac:dyDescent="0.25">
      <c r="A23270" s="1" t="str">
        <f t="shared" si="869"/>
        <v>35260</v>
      </c>
      <c r="B23270" s="1" t="str">
        <f>"16140"</f>
        <v>16140</v>
      </c>
      <c r="C23270" s="2">
        <v>0</v>
      </c>
      <c r="D23270" s="2">
        <v>0</v>
      </c>
      <c r="E23270" s="2">
        <v>1.2330456226880299E-3</v>
      </c>
      <c r="F23270" s="2">
        <v>4.4378369982470497E-5</v>
      </c>
    </row>
    <row r="23271" spans="1:6" x14ac:dyDescent="0.25">
      <c r="A23271" s="1" t="str">
        <f t="shared" si="869"/>
        <v>35260</v>
      </c>
      <c r="B23271" s="1" t="str">
        <f>"16123"</f>
        <v>16123</v>
      </c>
      <c r="C23271" s="2">
        <v>2.23330603737065E-3</v>
      </c>
      <c r="D23271" s="2">
        <v>3.1786395422759E-4</v>
      </c>
      <c r="E23271" s="2">
        <v>0</v>
      </c>
      <c r="F23271" s="2">
        <v>2.0192158342023999E-3</v>
      </c>
    </row>
    <row r="23272" spans="1:6" x14ac:dyDescent="0.25">
      <c r="A23272" s="1" t="str">
        <f t="shared" si="869"/>
        <v>35260</v>
      </c>
      <c r="B23272" s="1" t="str">
        <f>"16159"</f>
        <v>16159</v>
      </c>
      <c r="C23272" s="2">
        <v>3.4244025906350001E-3</v>
      </c>
      <c r="D23272" s="2">
        <v>0</v>
      </c>
      <c r="E23272" s="2">
        <v>0</v>
      </c>
      <c r="F23272" s="2">
        <v>3.0621075287904599E-3</v>
      </c>
    </row>
    <row r="23273" spans="1:6" x14ac:dyDescent="0.25">
      <c r="A23273" s="1" t="str">
        <f t="shared" si="869"/>
        <v>35260</v>
      </c>
      <c r="B23273" s="1" t="str">
        <f>"16057"</f>
        <v>16057</v>
      </c>
      <c r="C23273" s="2">
        <v>8.4369339189557992E-3</v>
      </c>
      <c r="D23273" s="2">
        <v>6.6751430387794004E-3</v>
      </c>
      <c r="E23273" s="2">
        <v>6.1652281134401898E-4</v>
      </c>
      <c r="F23273" s="2">
        <v>8.0324849668271595E-3</v>
      </c>
    </row>
    <row r="23274" spans="1:6" x14ac:dyDescent="0.25">
      <c r="A23274" s="1" t="str">
        <f t="shared" si="869"/>
        <v>35260</v>
      </c>
      <c r="B23274" s="1" t="str">
        <f>"16051"</f>
        <v>16051</v>
      </c>
      <c r="C23274" s="2">
        <v>1.29531750167497E-2</v>
      </c>
      <c r="D23274" s="2">
        <v>6.6751430387794004E-3</v>
      </c>
      <c r="E23274" s="2">
        <v>0</v>
      </c>
      <c r="F23274" s="2">
        <v>1.2048727450240699E-2</v>
      </c>
    </row>
    <row r="23275" spans="1:6" x14ac:dyDescent="0.25">
      <c r="A23275" s="1" t="str">
        <f t="shared" si="869"/>
        <v>35260</v>
      </c>
      <c r="B23275" s="1" t="str">
        <f>"16101"</f>
        <v>16101</v>
      </c>
      <c r="C23275" s="2">
        <v>0.396089232983448</v>
      </c>
      <c r="D23275" s="2">
        <v>0.50572155117609596</v>
      </c>
      <c r="E23275" s="2">
        <v>0.42170160295930897</v>
      </c>
      <c r="F23275" s="2">
        <v>0.40466416668515698</v>
      </c>
    </row>
    <row r="23276" spans="1:6" x14ac:dyDescent="0.25">
      <c r="A23276" s="1" t="str">
        <f t="shared" si="869"/>
        <v>35260</v>
      </c>
      <c r="B23276" s="1" t="str">
        <f>"16141"</f>
        <v>16141</v>
      </c>
      <c r="C23276" s="2">
        <v>1.1662820417379999E-2</v>
      </c>
      <c r="D23276" s="2">
        <v>1.90718372536554E-3</v>
      </c>
      <c r="E23276" s="2">
        <v>0</v>
      </c>
      <c r="F23276" s="2">
        <v>1.05620520558279E-2</v>
      </c>
    </row>
    <row r="23277" spans="1:6" x14ac:dyDescent="0.25">
      <c r="A23277" s="1" t="str">
        <f t="shared" si="869"/>
        <v>35260</v>
      </c>
      <c r="B23277" s="1" t="str">
        <f>"16102"</f>
        <v>16102</v>
      </c>
      <c r="C23277" s="2">
        <v>6.3326633415221198E-2</v>
      </c>
      <c r="D23277" s="2">
        <v>4.2911633820724701E-2</v>
      </c>
      <c r="E23277" s="2">
        <v>4.3156596794081299E-2</v>
      </c>
      <c r="F23277" s="2">
        <v>6.1175583020835603E-2</v>
      </c>
    </row>
    <row r="23278" spans="1:6" x14ac:dyDescent="0.25">
      <c r="A23278" s="1" t="str">
        <f t="shared" si="869"/>
        <v>35260</v>
      </c>
      <c r="B23278" s="1" t="str">
        <f>"16120"</f>
        <v>16120</v>
      </c>
      <c r="C23278" s="2">
        <v>1.9851609221072399E-2</v>
      </c>
      <c r="D23278" s="2">
        <v>5.08582326764144E-3</v>
      </c>
      <c r="E23278" s="2">
        <v>6.1652281134401898E-4</v>
      </c>
      <c r="F23278" s="2">
        <v>1.8128564137839202E-2</v>
      </c>
    </row>
    <row r="23279" spans="1:6" x14ac:dyDescent="0.25">
      <c r="A23279" s="1" t="str">
        <f t="shared" si="869"/>
        <v>35260</v>
      </c>
      <c r="B23279" s="1" t="str">
        <f>"16112"</f>
        <v>16112</v>
      </c>
      <c r="C23279" s="2">
        <v>1.5633142261594499E-2</v>
      </c>
      <c r="D23279" s="2">
        <v>8.9001907183725304E-3</v>
      </c>
      <c r="E23279" s="2">
        <v>3.08261405672009E-3</v>
      </c>
      <c r="F23279" s="2">
        <v>1.47114296491889E-2</v>
      </c>
    </row>
    <row r="23280" spans="1:6" x14ac:dyDescent="0.25">
      <c r="A23280" s="1" t="str">
        <f t="shared" si="869"/>
        <v>35260</v>
      </c>
      <c r="B23280" s="1" t="str">
        <f>"16116"</f>
        <v>16116</v>
      </c>
      <c r="C23280" s="2">
        <v>3.2556639122558802E-2</v>
      </c>
      <c r="D23280" s="2">
        <v>1.4303877940241501E-2</v>
      </c>
      <c r="E23280" s="2">
        <v>3.08261405672009E-3</v>
      </c>
      <c r="F23280" s="2">
        <v>3.02216699580624E-2</v>
      </c>
    </row>
    <row r="23281" spans="1:6" x14ac:dyDescent="0.25">
      <c r="A23281" s="1" t="str">
        <f t="shared" si="869"/>
        <v>35260</v>
      </c>
      <c r="B23281" s="1" t="str">
        <f>"16155"</f>
        <v>16155</v>
      </c>
      <c r="C23281" s="2">
        <v>0</v>
      </c>
      <c r="D23281" s="2">
        <v>0</v>
      </c>
      <c r="E23281" s="2">
        <v>6.1652281134401898E-4</v>
      </c>
      <c r="F23281" s="2">
        <v>2.2189184991235201E-5</v>
      </c>
    </row>
    <row r="23282" spans="1:6" x14ac:dyDescent="0.25">
      <c r="A23282" s="1" t="str">
        <f t="shared" si="869"/>
        <v>35260</v>
      </c>
      <c r="B23282" s="1" t="str">
        <f>"16108"</f>
        <v>16108</v>
      </c>
      <c r="C23282" s="2">
        <v>0</v>
      </c>
      <c r="D23282" s="2">
        <v>3.1786395422759E-4</v>
      </c>
      <c r="E23282" s="2">
        <v>6.1652281134401898E-4</v>
      </c>
      <c r="F23282" s="2">
        <v>4.4378369982470497E-5</v>
      </c>
    </row>
    <row r="23283" spans="1:6" x14ac:dyDescent="0.25">
      <c r="A23283" s="1" t="str">
        <f t="shared" si="869"/>
        <v>35260</v>
      </c>
      <c r="B23283" s="1" t="str">
        <f>"16127"</f>
        <v>16127</v>
      </c>
      <c r="C23283" s="2">
        <v>4.2184669594778998E-4</v>
      </c>
      <c r="D23283" s="2">
        <v>3.1786395422759E-4</v>
      </c>
      <c r="E23283" s="2">
        <v>0</v>
      </c>
      <c r="F23283" s="2">
        <v>3.9940532984223401E-4</v>
      </c>
    </row>
    <row r="23284" spans="1:6" x14ac:dyDescent="0.25">
      <c r="A23284" s="1" t="str">
        <f t="shared" si="869"/>
        <v>35260</v>
      </c>
      <c r="B23284" s="1" t="str">
        <f>"16160"</f>
        <v>16160</v>
      </c>
      <c r="C23284" s="2">
        <v>2.4814511526340599E-5</v>
      </c>
      <c r="D23284" s="2">
        <v>0</v>
      </c>
      <c r="E23284" s="2">
        <v>6.1652281134401898E-4</v>
      </c>
      <c r="F23284" s="2">
        <v>4.4378369982470497E-5</v>
      </c>
    </row>
    <row r="23285" spans="1:6" x14ac:dyDescent="0.25">
      <c r="A23285" s="1" t="str">
        <f t="shared" si="869"/>
        <v>35260</v>
      </c>
      <c r="B23285" s="1" t="str">
        <f>"16037"</f>
        <v>16037</v>
      </c>
      <c r="C23285" s="2">
        <v>2.0347899451599199E-3</v>
      </c>
      <c r="D23285" s="2">
        <v>0</v>
      </c>
      <c r="E23285" s="2">
        <v>0</v>
      </c>
      <c r="F23285" s="2">
        <v>1.81951316928129E-3</v>
      </c>
    </row>
    <row r="23286" spans="1:6" x14ac:dyDescent="0.25">
      <c r="A23286" s="1" t="str">
        <f t="shared" si="869"/>
        <v>35260</v>
      </c>
      <c r="B23286" s="1" t="str">
        <f>"16117"</f>
        <v>16117</v>
      </c>
      <c r="C23286" s="2">
        <v>0.13955681282413901</v>
      </c>
      <c r="D23286" s="2">
        <v>0.145899554990464</v>
      </c>
      <c r="E23286" s="2">
        <v>0.178791615289765</v>
      </c>
      <c r="F23286" s="2">
        <v>0.141411675949142</v>
      </c>
    </row>
    <row r="23287" spans="1:6" x14ac:dyDescent="0.25">
      <c r="A23287" s="1" t="str">
        <f t="shared" si="869"/>
        <v>35260</v>
      </c>
      <c r="B23287" s="1" t="str">
        <f>"16601"</f>
        <v>16601</v>
      </c>
      <c r="C23287" s="2">
        <v>2.4814511526340599E-5</v>
      </c>
      <c r="D23287" s="2">
        <v>0</v>
      </c>
      <c r="E23287" s="2">
        <v>0</v>
      </c>
      <c r="F23287" s="2">
        <v>2.2189184991235201E-5</v>
      </c>
    </row>
    <row r="23288" spans="1:6" x14ac:dyDescent="0.25">
      <c r="A23288" s="1" t="str">
        <f t="shared" si="869"/>
        <v>35260</v>
      </c>
      <c r="B23288" s="1" t="str">
        <f>"16142"</f>
        <v>16142</v>
      </c>
      <c r="C23288" s="2">
        <v>3.4889203206034801E-2</v>
      </c>
      <c r="D23288" s="2">
        <v>4.0050858232676401E-2</v>
      </c>
      <c r="E23288" s="2">
        <v>6.1652281134401903E-2</v>
      </c>
      <c r="F23288" s="2">
        <v>3.6212749905695903E-2</v>
      </c>
    </row>
    <row r="23289" spans="1:6" x14ac:dyDescent="0.25">
      <c r="A23289" s="1" t="str">
        <f t="shared" si="869"/>
        <v>35260</v>
      </c>
      <c r="B23289" s="1" t="str">
        <f>"16156"</f>
        <v>16156</v>
      </c>
      <c r="C23289" s="2">
        <v>2.5732648452815199E-2</v>
      </c>
      <c r="D23289" s="2">
        <v>9.5359186268277104E-3</v>
      </c>
      <c r="E23289" s="2">
        <v>4.9321824907521501E-3</v>
      </c>
      <c r="F23289" s="2">
        <v>2.3853373865577902E-2</v>
      </c>
    </row>
    <row r="23290" spans="1:6" x14ac:dyDescent="0.25">
      <c r="A23290" s="1" t="str">
        <f t="shared" si="869"/>
        <v>35260</v>
      </c>
      <c r="B23290" s="1" t="str">
        <f>"16172"</f>
        <v>16172</v>
      </c>
      <c r="C23290" s="2">
        <v>0</v>
      </c>
      <c r="D23290" s="2">
        <v>9.5359186268277097E-4</v>
      </c>
      <c r="E23290" s="2">
        <v>0</v>
      </c>
      <c r="F23290" s="2">
        <v>6.65675549737058E-5</v>
      </c>
    </row>
    <row r="23291" spans="1:6" x14ac:dyDescent="0.25">
      <c r="A23291" s="1" t="str">
        <f t="shared" ref="A23291:A23322" si="870">"35300"</f>
        <v>35300</v>
      </c>
      <c r="B23291" s="1" t="str">
        <f>"06477"</f>
        <v>06477</v>
      </c>
      <c r="C23291" s="2">
        <v>1.4832021968111699E-2</v>
      </c>
      <c r="D23291" s="2">
        <v>2.3936788287241401E-2</v>
      </c>
      <c r="E23291" s="2">
        <v>5.6278438572683002E-3</v>
      </c>
      <c r="F23291" s="2">
        <v>1.5098084115716301E-2</v>
      </c>
    </row>
    <row r="23292" spans="1:6" x14ac:dyDescent="0.25">
      <c r="A23292" s="1" t="str">
        <f t="shared" si="870"/>
        <v>35300</v>
      </c>
      <c r="B23292" s="1" t="str">
        <f>"06483"</f>
        <v>06483</v>
      </c>
      <c r="C23292" s="2">
        <v>1.7897222067414099E-2</v>
      </c>
      <c r="D23292" s="2">
        <v>1.1568156583262299E-2</v>
      </c>
      <c r="E23292" s="2">
        <v>1.12956015007583E-2</v>
      </c>
      <c r="F23292" s="2">
        <v>1.70019736770366E-2</v>
      </c>
    </row>
    <row r="23293" spans="1:6" x14ac:dyDescent="0.25">
      <c r="A23293" s="1" t="str">
        <f t="shared" si="870"/>
        <v>35300</v>
      </c>
      <c r="B23293" s="1" t="str">
        <f>"06443"</f>
        <v>06443</v>
      </c>
      <c r="C23293" s="2">
        <v>2.2064374268531702E-2</v>
      </c>
      <c r="D23293" s="2">
        <v>2.5253698969711001E-2</v>
      </c>
      <c r="E23293" s="2">
        <v>7.7831883132433903E-3</v>
      </c>
      <c r="F23293" s="2">
        <v>2.1553425583652201E-2</v>
      </c>
    </row>
    <row r="23294" spans="1:6" x14ac:dyDescent="0.25">
      <c r="A23294" s="1" t="str">
        <f t="shared" si="870"/>
        <v>35300</v>
      </c>
      <c r="B23294" s="1" t="str">
        <f>"06403"</f>
        <v>06403</v>
      </c>
      <c r="C23294" s="2">
        <v>6.6851760843462003E-3</v>
      </c>
      <c r="D23294" s="2">
        <v>2.89203914581558E-3</v>
      </c>
      <c r="E23294" s="2">
        <v>1.5366807695377901E-2</v>
      </c>
      <c r="F23294" s="2">
        <v>6.8391725822456303E-3</v>
      </c>
    </row>
    <row r="23295" spans="1:6" x14ac:dyDescent="0.25">
      <c r="A23295" s="1" t="str">
        <f t="shared" si="870"/>
        <v>35300</v>
      </c>
      <c r="B23295" s="1" t="str">
        <f>"06708"</f>
        <v>06708</v>
      </c>
      <c r="C23295" s="2">
        <v>3.2351793775363798E-2</v>
      </c>
      <c r="D23295" s="2">
        <v>2.1767758927879698E-2</v>
      </c>
      <c r="E23295" s="2">
        <v>3.9474734573321603E-2</v>
      </c>
      <c r="F23295" s="2">
        <v>3.1847078194685199E-2</v>
      </c>
    </row>
    <row r="23296" spans="1:6" x14ac:dyDescent="0.25">
      <c r="A23296" s="1" t="str">
        <f t="shared" si="870"/>
        <v>35300</v>
      </c>
      <c r="B23296" s="1" t="str">
        <f>"06494"</f>
        <v>06494</v>
      </c>
      <c r="C23296" s="2">
        <v>0</v>
      </c>
      <c r="D23296" s="2">
        <v>5.1643556175278203E-5</v>
      </c>
      <c r="E23296" s="2">
        <v>0</v>
      </c>
      <c r="F23296" s="2">
        <v>4.3617172080648097E-6</v>
      </c>
    </row>
    <row r="23297" spans="1:6" x14ac:dyDescent="0.25">
      <c r="A23297" s="1" t="str">
        <f t="shared" si="870"/>
        <v>35300</v>
      </c>
      <c r="B23297" s="1" t="str">
        <f>"06479"</f>
        <v>06479</v>
      </c>
      <c r="C23297" s="2">
        <v>2.7865455448203099E-5</v>
      </c>
      <c r="D23297" s="2">
        <v>2.06574224701112E-4</v>
      </c>
      <c r="E23297" s="2">
        <v>1.1974135866528199E-4</v>
      </c>
      <c r="F23297" s="2">
        <v>4.79788892887129E-5</v>
      </c>
    </row>
    <row r="23298" spans="1:6" x14ac:dyDescent="0.25">
      <c r="A23298" s="1" t="str">
        <f t="shared" si="870"/>
        <v>35300</v>
      </c>
      <c r="B23298" s="1" t="str">
        <f>"06532"</f>
        <v>06532</v>
      </c>
      <c r="C23298" s="2">
        <v>5.1171109095791295E-4</v>
      </c>
      <c r="D23298" s="2">
        <v>2.0140986908358501E-3</v>
      </c>
      <c r="E23298" s="2">
        <v>3.9913786221760902E-5</v>
      </c>
      <c r="F23298" s="2">
        <v>6.1282126773310602E-4</v>
      </c>
    </row>
    <row r="23299" spans="1:6" x14ac:dyDescent="0.25">
      <c r="A23299" s="1" t="str">
        <f t="shared" si="870"/>
        <v>35300</v>
      </c>
      <c r="B23299" s="1" t="str">
        <f>"06779"</f>
        <v>06779</v>
      </c>
      <c r="C23299" s="2">
        <v>5.0664464451278496E-6</v>
      </c>
      <c r="D23299" s="2">
        <v>2.5821778087639101E-5</v>
      </c>
      <c r="E23299" s="2">
        <v>0</v>
      </c>
      <c r="F23299" s="2">
        <v>6.5425758120972197E-6</v>
      </c>
    </row>
    <row r="23300" spans="1:6" x14ac:dyDescent="0.25">
      <c r="A23300" s="1" t="str">
        <f t="shared" si="870"/>
        <v>35300</v>
      </c>
      <c r="B23300" s="1" t="str">
        <f>"06487"</f>
        <v>06487</v>
      </c>
      <c r="C23300" s="2">
        <v>5.5730910896406301E-5</v>
      </c>
      <c r="D23300" s="2">
        <v>7.7465334262917304E-5</v>
      </c>
      <c r="E23300" s="2">
        <v>7.9827572443521899E-5</v>
      </c>
      <c r="F23300" s="2">
        <v>5.8883182308874999E-5</v>
      </c>
    </row>
    <row r="23301" spans="1:6" x14ac:dyDescent="0.25">
      <c r="A23301" s="1" t="str">
        <f t="shared" si="870"/>
        <v>35300</v>
      </c>
      <c r="B23301" s="1" t="str">
        <f>"06509"</f>
        <v>06509</v>
      </c>
      <c r="C23301" s="2">
        <v>2.7865455448203099E-5</v>
      </c>
      <c r="D23301" s="2">
        <v>5.4225733984042098E-4</v>
      </c>
      <c r="E23301" s="2">
        <v>3.9913786221760902E-5</v>
      </c>
      <c r="F23301" s="2">
        <v>7.1968333933069401E-5</v>
      </c>
    </row>
    <row r="23302" spans="1:6" x14ac:dyDescent="0.25">
      <c r="A23302" s="1" t="str">
        <f t="shared" si="870"/>
        <v>35300</v>
      </c>
      <c r="B23302" s="1" t="str">
        <f>"06540"</f>
        <v>06540</v>
      </c>
      <c r="C23302" s="2">
        <v>0</v>
      </c>
      <c r="D23302" s="2">
        <v>5.1643556175278203E-5</v>
      </c>
      <c r="E23302" s="2">
        <v>0</v>
      </c>
      <c r="F23302" s="2">
        <v>4.3617172080648097E-6</v>
      </c>
    </row>
    <row r="23303" spans="1:6" x14ac:dyDescent="0.25">
      <c r="A23303" s="1" t="str">
        <f t="shared" si="870"/>
        <v>35300</v>
      </c>
      <c r="B23303" s="1" t="str">
        <f>"06461"</f>
        <v>06461</v>
      </c>
      <c r="C23303" s="2">
        <v>1.52930685946184E-2</v>
      </c>
      <c r="D23303" s="2">
        <v>9.3733054458129891E-3</v>
      </c>
      <c r="E23303" s="2">
        <v>4.1111199808413802E-3</v>
      </c>
      <c r="F23303" s="2">
        <v>1.4182123502022701E-2</v>
      </c>
    </row>
    <row r="23304" spans="1:6" x14ac:dyDescent="0.25">
      <c r="A23304" s="1" t="str">
        <f t="shared" si="870"/>
        <v>35300</v>
      </c>
      <c r="B23304" s="1" t="str">
        <f>"06405"</f>
        <v>06405</v>
      </c>
      <c r="C23304" s="2">
        <v>3.8208605865931597E-2</v>
      </c>
      <c r="D23304" s="2">
        <v>4.6169339220698699E-2</v>
      </c>
      <c r="E23304" s="2">
        <v>5.8832920890875703E-2</v>
      </c>
      <c r="F23304" s="2">
        <v>4.0007851090974503E-2</v>
      </c>
    </row>
    <row r="23305" spans="1:6" x14ac:dyDescent="0.25">
      <c r="A23305" s="1" t="str">
        <f t="shared" si="870"/>
        <v>35300</v>
      </c>
      <c r="B23305" s="1" t="str">
        <f>"06704"</f>
        <v>06704</v>
      </c>
      <c r="C23305" s="2">
        <v>2.8919276308789699E-2</v>
      </c>
      <c r="D23305" s="2">
        <v>2.0270095798796701E-2</v>
      </c>
      <c r="E23305" s="2">
        <v>2.8538357148559099E-2</v>
      </c>
      <c r="F23305" s="2">
        <v>2.8167969729682499E-2</v>
      </c>
    </row>
    <row r="23306" spans="1:6" x14ac:dyDescent="0.25">
      <c r="A23306" s="1" t="str">
        <f t="shared" si="870"/>
        <v>35300</v>
      </c>
      <c r="B23306" s="1" t="str">
        <f>"06495"</f>
        <v>06495</v>
      </c>
      <c r="C23306" s="2">
        <v>0</v>
      </c>
      <c r="D23306" s="2">
        <v>5.1643556175278203E-5</v>
      </c>
      <c r="E23306" s="2">
        <v>0</v>
      </c>
      <c r="F23306" s="2">
        <v>4.3617172080648097E-6</v>
      </c>
    </row>
    <row r="23307" spans="1:6" x14ac:dyDescent="0.25">
      <c r="A23307" s="1" t="str">
        <f t="shared" si="870"/>
        <v>35300</v>
      </c>
      <c r="B23307" s="1" t="str">
        <f>"06501"</f>
        <v>06501</v>
      </c>
      <c r="C23307" s="2">
        <v>2.9892034026254301E-4</v>
      </c>
      <c r="D23307" s="2">
        <v>4.9061378366514296E-4</v>
      </c>
      <c r="E23307" s="2">
        <v>3.9913786221760902E-5</v>
      </c>
      <c r="F23307" s="2">
        <v>3.0095848735647201E-4</v>
      </c>
    </row>
    <row r="23308" spans="1:6" x14ac:dyDescent="0.25">
      <c r="A23308" s="1" t="str">
        <f t="shared" si="870"/>
        <v>35300</v>
      </c>
      <c r="B23308" s="1" t="str">
        <f>"06706"</f>
        <v>06706</v>
      </c>
      <c r="C23308" s="2">
        <v>1.5049879165252199E-2</v>
      </c>
      <c r="D23308" s="2">
        <v>1.4201977948201499E-2</v>
      </c>
      <c r="E23308" s="2">
        <v>3.3008701205396299E-2</v>
      </c>
      <c r="F23308" s="2">
        <v>1.5959523264309099E-2</v>
      </c>
    </row>
    <row r="23309" spans="1:6" x14ac:dyDescent="0.25">
      <c r="A23309" s="1" t="str">
        <f t="shared" si="870"/>
        <v>35300</v>
      </c>
      <c r="B23309" s="1" t="str">
        <f>"06507"</f>
        <v>06507</v>
      </c>
      <c r="C23309" s="2">
        <v>1.21594714683068E-4</v>
      </c>
      <c r="D23309" s="2">
        <v>1.2910889043819501E-3</v>
      </c>
      <c r="E23309" s="2">
        <v>3.9913786221760902E-5</v>
      </c>
      <c r="F23309" s="2">
        <v>2.1590500179920801E-4</v>
      </c>
    </row>
    <row r="23310" spans="1:6" x14ac:dyDescent="0.25">
      <c r="A23310" s="1" t="str">
        <f t="shared" si="870"/>
        <v>35300</v>
      </c>
      <c r="B23310" s="1" t="str">
        <f>"06535"</f>
        <v>06535</v>
      </c>
      <c r="C23310" s="2">
        <v>8.8662812789737396E-5</v>
      </c>
      <c r="D23310" s="2">
        <v>5.6807911792805998E-4</v>
      </c>
      <c r="E23310" s="2">
        <v>3.9913786221760902E-5</v>
      </c>
      <c r="F23310" s="2">
        <v>1.2648979903387899E-4</v>
      </c>
    </row>
    <row r="23311" spans="1:6" x14ac:dyDescent="0.25">
      <c r="A23311" s="1" t="str">
        <f t="shared" si="870"/>
        <v>35300</v>
      </c>
      <c r="B23311" s="1" t="str">
        <f>"06701"</f>
        <v>06701</v>
      </c>
      <c r="C23311" s="2">
        <v>0</v>
      </c>
      <c r="D23311" s="2">
        <v>0</v>
      </c>
      <c r="E23311" s="2">
        <v>1.1974135866528199E-4</v>
      </c>
      <c r="F23311" s="2">
        <v>6.5425758120972197E-6</v>
      </c>
    </row>
    <row r="23312" spans="1:6" x14ac:dyDescent="0.25">
      <c r="A23312" s="1" t="str">
        <f t="shared" si="870"/>
        <v>35300</v>
      </c>
      <c r="B23312" s="1" t="str">
        <f>"06515"</f>
        <v>06515</v>
      </c>
      <c r="C23312" s="2">
        <v>1.88978452403268E-2</v>
      </c>
      <c r="D23312" s="2">
        <v>1.2265344591628501E-2</v>
      </c>
      <c r="E23312" s="2">
        <v>2.0196375828210999E-2</v>
      </c>
      <c r="F23312" s="2">
        <v>1.8408627476637501E-2</v>
      </c>
    </row>
    <row r="23313" spans="1:6" x14ac:dyDescent="0.25">
      <c r="A23313" s="1" t="str">
        <f t="shared" si="870"/>
        <v>35300</v>
      </c>
      <c r="B23313" s="1" t="str">
        <f>"06525"</f>
        <v>06525</v>
      </c>
      <c r="C23313" s="2">
        <v>9.9884991665695495E-3</v>
      </c>
      <c r="D23313" s="2">
        <v>1.4227799726289099E-2</v>
      </c>
      <c r="E23313" s="2">
        <v>4.1510337670631397E-3</v>
      </c>
      <c r="F23313" s="2">
        <v>1.0027587861341E-2</v>
      </c>
    </row>
    <row r="23314" spans="1:6" x14ac:dyDescent="0.25">
      <c r="A23314" s="1" t="str">
        <f t="shared" si="870"/>
        <v>35300</v>
      </c>
      <c r="B23314" s="1" t="str">
        <f>"06450"</f>
        <v>06450</v>
      </c>
      <c r="C23314" s="2">
        <v>4.4326339948423499E-2</v>
      </c>
      <c r="D23314" s="2">
        <v>3.9662251142613597E-2</v>
      </c>
      <c r="E23314" s="2">
        <v>3.6361459248024197E-2</v>
      </c>
      <c r="F23314" s="2">
        <v>4.3497224857426298E-2</v>
      </c>
    </row>
    <row r="23315" spans="1:6" x14ac:dyDescent="0.25">
      <c r="A23315" s="1" t="str">
        <f t="shared" si="870"/>
        <v>35300</v>
      </c>
      <c r="B23315" s="1" t="str">
        <f>"06478"</f>
        <v>06478</v>
      </c>
      <c r="C23315" s="2">
        <v>1.2620518094813399E-2</v>
      </c>
      <c r="D23315" s="2">
        <v>1.01221370103545E-2</v>
      </c>
      <c r="E23315" s="2">
        <v>3.23301668396264E-3</v>
      </c>
      <c r="F23315" s="2">
        <v>1.18965836849967E-2</v>
      </c>
    </row>
    <row r="23316" spans="1:6" x14ac:dyDescent="0.25">
      <c r="A23316" s="1" t="str">
        <f t="shared" si="870"/>
        <v>35300</v>
      </c>
      <c r="B23316" s="1" t="str">
        <f>"06762"</f>
        <v>06762</v>
      </c>
      <c r="C23316" s="2">
        <v>9.7833080855418801E-3</v>
      </c>
      <c r="D23316" s="2">
        <v>1.20587703669274E-2</v>
      </c>
      <c r="E23316" s="2">
        <v>9.3797397621138302E-3</v>
      </c>
      <c r="F23316" s="2">
        <v>9.9534386688038996E-3</v>
      </c>
    </row>
    <row r="23317" spans="1:6" x14ac:dyDescent="0.25">
      <c r="A23317" s="1" t="str">
        <f t="shared" si="870"/>
        <v>35300</v>
      </c>
      <c r="B23317" s="1" t="str">
        <f>"06702"</f>
        <v>06702</v>
      </c>
      <c r="C23317" s="2">
        <v>5.5654914199729398E-3</v>
      </c>
      <c r="D23317" s="2">
        <v>2.0812353138637101E-2</v>
      </c>
      <c r="E23317" s="2">
        <v>2.1393789414863799E-2</v>
      </c>
      <c r="F23317" s="2">
        <v>7.7180585996706897E-3</v>
      </c>
    </row>
    <row r="23318" spans="1:6" x14ac:dyDescent="0.25">
      <c r="A23318" s="1" t="str">
        <f t="shared" si="870"/>
        <v>35300</v>
      </c>
      <c r="B23318" s="1" t="str">
        <f>"06521"</f>
        <v>06521</v>
      </c>
      <c r="C23318" s="2">
        <v>8.3596366344609505E-5</v>
      </c>
      <c r="D23318" s="2">
        <v>8.0047512071681202E-4</v>
      </c>
      <c r="E23318" s="2">
        <v>7.9827572443521899E-5</v>
      </c>
      <c r="F23318" s="2">
        <v>1.4393666786613799E-4</v>
      </c>
    </row>
    <row r="23319" spans="1:6" x14ac:dyDescent="0.25">
      <c r="A23319" s="1" t="str">
        <f t="shared" si="870"/>
        <v>35300</v>
      </c>
      <c r="B23319" s="1" t="str">
        <f>"06489"</f>
        <v>06489</v>
      </c>
      <c r="C23319" s="2">
        <v>4.8131241228714498E-5</v>
      </c>
      <c r="D23319" s="2">
        <v>0</v>
      </c>
      <c r="E23319" s="2">
        <v>0</v>
      </c>
      <c r="F23319" s="2">
        <v>4.1436313476615699E-5</v>
      </c>
    </row>
    <row r="23320" spans="1:6" x14ac:dyDescent="0.25">
      <c r="A23320" s="1" t="str">
        <f t="shared" si="870"/>
        <v>35300</v>
      </c>
      <c r="B23320" s="1" t="str">
        <f>"06408"</f>
        <v>06408</v>
      </c>
      <c r="C23320" s="2">
        <v>0</v>
      </c>
      <c r="D23320" s="2">
        <v>2.5821778087639101E-5</v>
      </c>
      <c r="E23320" s="2">
        <v>0</v>
      </c>
      <c r="F23320" s="2">
        <v>2.1808586040324002E-6</v>
      </c>
    </row>
    <row r="23321" spans="1:6" x14ac:dyDescent="0.25">
      <c r="A23321" s="1" t="str">
        <f t="shared" si="870"/>
        <v>35300</v>
      </c>
      <c r="B23321" s="1" t="str">
        <f>"06422"</f>
        <v>06422</v>
      </c>
      <c r="C23321" s="2">
        <v>4.8131241228714498E-5</v>
      </c>
      <c r="D23321" s="2">
        <v>0</v>
      </c>
      <c r="E23321" s="2">
        <v>3.9913786221760902E-5</v>
      </c>
      <c r="F23321" s="2">
        <v>4.3617172080648097E-5</v>
      </c>
    </row>
    <row r="23322" spans="1:6" x14ac:dyDescent="0.25">
      <c r="A23322" s="1" t="str">
        <f t="shared" si="870"/>
        <v>35300</v>
      </c>
      <c r="B23322" s="1" t="str">
        <f>"06037"</f>
        <v>06037</v>
      </c>
      <c r="C23322" s="2">
        <v>2.0265785780511398E-5</v>
      </c>
      <c r="D23322" s="2">
        <v>0</v>
      </c>
      <c r="E23322" s="2">
        <v>0</v>
      </c>
      <c r="F23322" s="2">
        <v>1.7446868832259202E-5</v>
      </c>
    </row>
    <row r="23323" spans="1:6" x14ac:dyDescent="0.25">
      <c r="A23323" s="1" t="str">
        <f t="shared" ref="A23323:A23354" si="871">"35300"</f>
        <v>35300</v>
      </c>
      <c r="B23323" s="1" t="str">
        <f>"06516"</f>
        <v>06516</v>
      </c>
      <c r="C23323" s="2">
        <v>6.0485770885158802E-2</v>
      </c>
      <c r="D23323" s="2">
        <v>4.3044904072094402E-2</v>
      </c>
      <c r="E23323" s="2">
        <v>7.3161970144487901E-2</v>
      </c>
      <c r="F23323" s="2">
        <v>5.9705366002595198E-2</v>
      </c>
    </row>
    <row r="23324" spans="1:6" x14ac:dyDescent="0.25">
      <c r="A23324" s="1" t="str">
        <f t="shared" si="871"/>
        <v>35300</v>
      </c>
      <c r="B23324" s="1" t="str">
        <f>"06511"</f>
        <v>06511</v>
      </c>
      <c r="C23324" s="2">
        <v>5.7739756911899497E-2</v>
      </c>
      <c r="D23324" s="2">
        <v>5.9415911379657599E-2</v>
      </c>
      <c r="E23324" s="2">
        <v>0.105492136984114</v>
      </c>
      <c r="F23324" s="2">
        <v>6.0490475100046799E-2</v>
      </c>
    </row>
    <row r="23325" spans="1:6" x14ac:dyDescent="0.25">
      <c r="A23325" s="1" t="str">
        <f t="shared" si="871"/>
        <v>35300</v>
      </c>
      <c r="B23325" s="1" t="str">
        <f>"06472"</f>
        <v>06472</v>
      </c>
      <c r="C23325" s="2">
        <v>7.2576845326456398E-3</v>
      </c>
      <c r="D23325" s="2">
        <v>5.4483951764918498E-3</v>
      </c>
      <c r="E23325" s="2">
        <v>1.7961203799792399E-3</v>
      </c>
      <c r="F23325" s="2">
        <v>6.8064597031851403E-3</v>
      </c>
    </row>
    <row r="23326" spans="1:6" x14ac:dyDescent="0.25">
      <c r="A23326" s="1" t="str">
        <f t="shared" si="871"/>
        <v>35300</v>
      </c>
      <c r="B23326" s="1" t="str">
        <f>"06508"</f>
        <v>06508</v>
      </c>
      <c r="C23326" s="2">
        <v>5.8264134118970199E-5</v>
      </c>
      <c r="D23326" s="2">
        <v>9.2958401115500802E-4</v>
      </c>
      <c r="E23326" s="2">
        <v>3.9913786221760902E-5</v>
      </c>
      <c r="F23326" s="2">
        <v>1.3085151624194399E-4</v>
      </c>
    </row>
    <row r="23327" spans="1:6" x14ac:dyDescent="0.25">
      <c r="A23327" s="1" t="str">
        <f t="shared" si="871"/>
        <v>35300</v>
      </c>
      <c r="B23327" s="1" t="str">
        <f>"06534"</f>
        <v>06534</v>
      </c>
      <c r="C23327" s="2">
        <v>2.17857197140497E-4</v>
      </c>
      <c r="D23327" s="2">
        <v>6.7136623027861601E-4</v>
      </c>
      <c r="E23327" s="2">
        <v>3.9913786221760902E-5</v>
      </c>
      <c r="F23327" s="2">
        <v>2.4643702225566201E-4</v>
      </c>
    </row>
    <row r="23328" spans="1:6" x14ac:dyDescent="0.25">
      <c r="A23328" s="1" t="str">
        <f t="shared" si="871"/>
        <v>35300</v>
      </c>
      <c r="B23328" s="1" t="str">
        <f>"06536"</f>
        <v>06536</v>
      </c>
      <c r="C23328" s="2">
        <v>1.8239207202460199E-4</v>
      </c>
      <c r="D23328" s="2">
        <v>7.48831564541534E-4</v>
      </c>
      <c r="E23328" s="2">
        <v>3.9913786221760902E-5</v>
      </c>
      <c r="F23328" s="2">
        <v>2.22447577611305E-4</v>
      </c>
    </row>
    <row r="23329" spans="1:6" x14ac:dyDescent="0.25">
      <c r="A23329" s="1" t="str">
        <f t="shared" si="871"/>
        <v>35300</v>
      </c>
      <c r="B23329" s="1" t="str">
        <f>"06506"</f>
        <v>06506</v>
      </c>
      <c r="C23329" s="2">
        <v>2.60921991924084E-4</v>
      </c>
      <c r="D23329" s="2">
        <v>5.4225733984042098E-4</v>
      </c>
      <c r="E23329" s="2">
        <v>3.9913786221760902E-5</v>
      </c>
      <c r="F23329" s="2">
        <v>2.7260732550405E-4</v>
      </c>
    </row>
    <row r="23330" spans="1:6" x14ac:dyDescent="0.25">
      <c r="A23330" s="1" t="str">
        <f t="shared" si="871"/>
        <v>35300</v>
      </c>
      <c r="B23330" s="1" t="str">
        <f>"06537"</f>
        <v>06537</v>
      </c>
      <c r="C23330" s="2">
        <v>0</v>
      </c>
      <c r="D23330" s="2">
        <v>2.5821778087639101E-5</v>
      </c>
      <c r="E23330" s="2">
        <v>3.9913786221760902E-5</v>
      </c>
      <c r="F23330" s="2">
        <v>4.3617172080648097E-6</v>
      </c>
    </row>
    <row r="23331" spans="1:6" x14ac:dyDescent="0.25">
      <c r="A23331" s="1" t="str">
        <f t="shared" si="871"/>
        <v>35300</v>
      </c>
      <c r="B23331" s="1" t="str">
        <f>"06749"</f>
        <v>06749</v>
      </c>
      <c r="C23331" s="2">
        <v>0</v>
      </c>
      <c r="D23331" s="2">
        <v>2.5821778087639101E-5</v>
      </c>
      <c r="E23331" s="2">
        <v>0</v>
      </c>
      <c r="F23331" s="2">
        <v>2.1808586040324002E-6</v>
      </c>
    </row>
    <row r="23332" spans="1:6" x14ac:dyDescent="0.25">
      <c r="A23332" s="1" t="str">
        <f t="shared" si="871"/>
        <v>35300</v>
      </c>
      <c r="B23332" s="1" t="str">
        <f>"06401"</f>
        <v>06401</v>
      </c>
      <c r="C23332" s="2">
        <v>2.13094737482077E-2</v>
      </c>
      <c r="D23332" s="2">
        <v>1.7739561546208E-2</v>
      </c>
      <c r="E23332" s="2">
        <v>1.66041350682525E-2</v>
      </c>
      <c r="F23332" s="2">
        <v>2.07508696173683E-2</v>
      </c>
    </row>
    <row r="23333" spans="1:6" x14ac:dyDescent="0.25">
      <c r="A23333" s="1" t="str">
        <f t="shared" si="871"/>
        <v>35300</v>
      </c>
      <c r="B23333" s="1" t="str">
        <f>"06514"</f>
        <v>06514</v>
      </c>
      <c r="C23333" s="2">
        <v>2.9519650212537399E-2</v>
      </c>
      <c r="D23333" s="2">
        <v>2.8016629225088401E-2</v>
      </c>
      <c r="E23333" s="2">
        <v>1.97573241797716E-2</v>
      </c>
      <c r="F23333" s="2">
        <v>2.8859301907160798E-2</v>
      </c>
    </row>
    <row r="23334" spans="1:6" x14ac:dyDescent="0.25">
      <c r="A23334" s="1" t="str">
        <f t="shared" si="871"/>
        <v>35300</v>
      </c>
      <c r="B23334" s="1" t="str">
        <f>"06524"</f>
        <v>06524</v>
      </c>
      <c r="C23334" s="2">
        <v>5.2108401688139901E-3</v>
      </c>
      <c r="D23334" s="2">
        <v>3.1244351486043299E-3</v>
      </c>
      <c r="E23334" s="2">
        <v>9.1801708310050199E-4</v>
      </c>
      <c r="F23334" s="2">
        <v>4.8000697874753199E-3</v>
      </c>
    </row>
    <row r="23335" spans="1:6" x14ac:dyDescent="0.25">
      <c r="A23335" s="1" t="str">
        <f t="shared" si="871"/>
        <v>35300</v>
      </c>
      <c r="B23335" s="1" t="str">
        <f>"06488"</f>
        <v>06488</v>
      </c>
      <c r="C23335" s="2">
        <v>2.4665994518104899E-2</v>
      </c>
      <c r="D23335" s="2">
        <v>2.38593229529785E-2</v>
      </c>
      <c r="E23335" s="2">
        <v>7.0248263750299304E-3</v>
      </c>
      <c r="F23335" s="2">
        <v>2.3633964691899201E-2</v>
      </c>
    </row>
    <row r="23336" spans="1:6" x14ac:dyDescent="0.25">
      <c r="A23336" s="1" t="str">
        <f t="shared" si="871"/>
        <v>35300</v>
      </c>
      <c r="B23336" s="1" t="str">
        <f>"06716"</f>
        <v>06716</v>
      </c>
      <c r="C23336" s="2">
        <v>1.6623010786464401E-2</v>
      </c>
      <c r="D23336" s="2">
        <v>1.4899165956567701E-2</v>
      </c>
      <c r="E23336" s="2">
        <v>5.9072403608206201E-3</v>
      </c>
      <c r="F23336" s="2">
        <v>1.58919166475841E-2</v>
      </c>
    </row>
    <row r="23337" spans="1:6" x14ac:dyDescent="0.25">
      <c r="A23337" s="1" t="str">
        <f t="shared" si="871"/>
        <v>35300</v>
      </c>
      <c r="B23337" s="1" t="str">
        <f>"06710"</f>
        <v>06710</v>
      </c>
      <c r="C23337" s="2">
        <v>1.1571763680672E-2</v>
      </c>
      <c r="D23337" s="2">
        <v>3.8474449350582199E-3</v>
      </c>
      <c r="E23337" s="2">
        <v>1.9398100103775798E-2</v>
      </c>
      <c r="F23337" s="2">
        <v>1.1347007316780599E-2</v>
      </c>
    </row>
    <row r="23338" spans="1:6" x14ac:dyDescent="0.25">
      <c r="A23338" s="1" t="str">
        <f t="shared" si="871"/>
        <v>35300</v>
      </c>
      <c r="B23338" s="1" t="str">
        <f>"06493"</f>
        <v>06493</v>
      </c>
      <c r="C23338" s="2">
        <v>0</v>
      </c>
      <c r="D23338" s="2">
        <v>1.5493066852583401E-4</v>
      </c>
      <c r="E23338" s="2">
        <v>0</v>
      </c>
      <c r="F23338" s="2">
        <v>1.30851516241944E-5</v>
      </c>
    </row>
    <row r="23339" spans="1:6" x14ac:dyDescent="0.25">
      <c r="A23339" s="1" t="str">
        <f t="shared" si="871"/>
        <v>35300</v>
      </c>
      <c r="B23339" s="1" t="str">
        <f>"06721"</f>
        <v>06721</v>
      </c>
      <c r="C23339" s="2">
        <v>1.26407838805939E-3</v>
      </c>
      <c r="D23339" s="2">
        <v>2.1173858031864E-3</v>
      </c>
      <c r="E23339" s="2">
        <v>7.9827572443521899E-5</v>
      </c>
      <c r="F23339" s="2">
        <v>1.27144056615089E-3</v>
      </c>
    </row>
    <row r="23340" spans="1:6" x14ac:dyDescent="0.25">
      <c r="A23340" s="1" t="str">
        <f t="shared" si="871"/>
        <v>35300</v>
      </c>
      <c r="B23340" s="1" t="str">
        <f>"06720"</f>
        <v>06720</v>
      </c>
      <c r="C23340" s="2">
        <v>1.6009970766604001E-3</v>
      </c>
      <c r="D23340" s="2">
        <v>2.0915640250987601E-3</v>
      </c>
      <c r="E23340" s="2">
        <v>3.9913786221760902E-5</v>
      </c>
      <c r="F23340" s="2">
        <v>1.5571330432791301E-3</v>
      </c>
    </row>
    <row r="23341" spans="1:6" x14ac:dyDescent="0.25">
      <c r="A23341" s="1" t="str">
        <f t="shared" si="871"/>
        <v>35300</v>
      </c>
      <c r="B23341" s="1" t="str">
        <f>"06503"</f>
        <v>06503</v>
      </c>
      <c r="C23341" s="2">
        <v>3.9518282271997201E-4</v>
      </c>
      <c r="D23341" s="2">
        <v>6.19722674103338E-4</v>
      </c>
      <c r="E23341" s="2">
        <v>3.9913786221760902E-5</v>
      </c>
      <c r="F23341" s="2">
        <v>3.94735407329865E-4</v>
      </c>
    </row>
    <row r="23342" spans="1:6" x14ac:dyDescent="0.25">
      <c r="A23342" s="1" t="str">
        <f t="shared" si="871"/>
        <v>35300</v>
      </c>
      <c r="B23342" s="1" t="str">
        <f>"06533"</f>
        <v>06533</v>
      </c>
      <c r="C23342" s="2">
        <v>3.0652000993023498E-4</v>
      </c>
      <c r="D23342" s="2">
        <v>1.0070493454179201E-3</v>
      </c>
      <c r="E23342" s="2">
        <v>3.9913786221760902E-5</v>
      </c>
      <c r="F23342" s="2">
        <v>3.5111823524921701E-4</v>
      </c>
    </row>
    <row r="23343" spans="1:6" x14ac:dyDescent="0.25">
      <c r="A23343" s="1" t="str">
        <f t="shared" si="871"/>
        <v>35300</v>
      </c>
      <c r="B23343" s="1" t="str">
        <f>"06538"</f>
        <v>06538</v>
      </c>
      <c r="C23343" s="2">
        <v>0</v>
      </c>
      <c r="D23343" s="2">
        <v>2.5821778087639101E-5</v>
      </c>
      <c r="E23343" s="2">
        <v>3.9913786221760902E-5</v>
      </c>
      <c r="F23343" s="2">
        <v>4.3617172080648097E-6</v>
      </c>
    </row>
    <row r="23344" spans="1:6" x14ac:dyDescent="0.25">
      <c r="A23344" s="1" t="str">
        <f t="shared" si="871"/>
        <v>35300</v>
      </c>
      <c r="B23344" s="1" t="str">
        <f>"06519"</f>
        <v>06519</v>
      </c>
      <c r="C23344" s="2">
        <v>1.68282018674921E-2</v>
      </c>
      <c r="D23344" s="2">
        <v>1.6551759754176599E-2</v>
      </c>
      <c r="E23344" s="2">
        <v>1.2173704797637099E-2</v>
      </c>
      <c r="F23344" s="2">
        <v>1.65505359460019E-2</v>
      </c>
    </row>
    <row r="23345" spans="1:6" x14ac:dyDescent="0.25">
      <c r="A23345" s="1" t="str">
        <f t="shared" si="871"/>
        <v>35300</v>
      </c>
      <c r="B23345" s="1" t="str">
        <f>"06513"</f>
        <v>06513</v>
      </c>
      <c r="C23345" s="2">
        <v>3.84923268668588E-2</v>
      </c>
      <c r="D23345" s="2">
        <v>2.2671521160947099E-2</v>
      </c>
      <c r="E23345" s="2">
        <v>0.100582741278837</v>
      </c>
      <c r="F23345" s="2">
        <v>4.05487040247745E-2</v>
      </c>
    </row>
    <row r="23346" spans="1:6" x14ac:dyDescent="0.25">
      <c r="A23346" s="1" t="str">
        <f t="shared" si="871"/>
        <v>35300</v>
      </c>
      <c r="B23346" s="1" t="str">
        <f>"06518"</f>
        <v>06518</v>
      </c>
      <c r="C23346" s="2">
        <v>2.1598261195580001E-2</v>
      </c>
      <c r="D23346" s="2">
        <v>2.9720866578872601E-2</v>
      </c>
      <c r="E23346" s="2">
        <v>1.08166360660972E-2</v>
      </c>
      <c r="F23346" s="2">
        <v>2.1695181392914299E-2</v>
      </c>
    </row>
    <row r="23347" spans="1:6" x14ac:dyDescent="0.25">
      <c r="A23347" s="1" t="str">
        <f t="shared" si="871"/>
        <v>35300</v>
      </c>
      <c r="B23347" s="1" t="str">
        <f>"06460"</f>
        <v>06460</v>
      </c>
      <c r="C23347" s="2">
        <v>4.7224347315036698E-2</v>
      </c>
      <c r="D23347" s="2">
        <v>7.4805691119890494E-2</v>
      </c>
      <c r="E23347" s="2">
        <v>4.5541630079029199E-2</v>
      </c>
      <c r="F23347" s="2">
        <v>4.9461873139455E-2</v>
      </c>
    </row>
    <row r="23348" spans="1:6" x14ac:dyDescent="0.25">
      <c r="A23348" s="1" t="str">
        <f t="shared" si="871"/>
        <v>35300</v>
      </c>
      <c r="B23348" s="1" t="str">
        <f>"06473"</f>
        <v>06473</v>
      </c>
      <c r="C23348" s="2">
        <v>2.6956028311302699E-2</v>
      </c>
      <c r="D23348" s="2">
        <v>4.2451003176078701E-2</v>
      </c>
      <c r="E23348" s="2">
        <v>1.08964636385407E-2</v>
      </c>
      <c r="F23348" s="2">
        <v>2.7387222349438901E-2</v>
      </c>
    </row>
    <row r="23349" spans="1:6" x14ac:dyDescent="0.25">
      <c r="A23349" s="1" t="str">
        <f t="shared" si="871"/>
        <v>35300</v>
      </c>
      <c r="B23349" s="1" t="str">
        <f>"06705"</f>
        <v>06705</v>
      </c>
      <c r="C23349" s="2">
        <v>3.0459476028108601E-2</v>
      </c>
      <c r="D23349" s="2">
        <v>2.4995481188834601E-2</v>
      </c>
      <c r="E23349" s="2">
        <v>5.3125249461163801E-2</v>
      </c>
      <c r="F23349" s="2">
        <v>3.1236437785556102E-2</v>
      </c>
    </row>
    <row r="23350" spans="1:6" x14ac:dyDescent="0.25">
      <c r="A23350" s="1" t="str">
        <f t="shared" si="871"/>
        <v>35300</v>
      </c>
      <c r="B23350" s="1" t="str">
        <f>"06505"</f>
        <v>06505</v>
      </c>
      <c r="C23350" s="2">
        <v>4.0024926916510002E-4</v>
      </c>
      <c r="D23350" s="2">
        <v>8.2629689880445102E-4</v>
      </c>
      <c r="E23350" s="2">
        <v>3.9913786221760902E-5</v>
      </c>
      <c r="F23350" s="2">
        <v>4.1654399337018902E-4</v>
      </c>
    </row>
    <row r="23351" spans="1:6" x14ac:dyDescent="0.25">
      <c r="A23351" s="1" t="str">
        <f t="shared" si="871"/>
        <v>35300</v>
      </c>
      <c r="B23351" s="1" t="str">
        <f>"06517"</f>
        <v>06517</v>
      </c>
      <c r="C23351" s="2">
        <v>1.8900378463549399E-2</v>
      </c>
      <c r="D23351" s="2">
        <v>1.3788829498799201E-2</v>
      </c>
      <c r="E23351" s="2">
        <v>1.37303424602857E-2</v>
      </c>
      <c r="F23351" s="2">
        <v>1.8186179899026201E-2</v>
      </c>
    </row>
    <row r="23352" spans="1:6" x14ac:dyDescent="0.25">
      <c r="A23352" s="1" t="str">
        <f t="shared" si="871"/>
        <v>35300</v>
      </c>
      <c r="B23352" s="1" t="str">
        <f>"06512"</f>
        <v>06512</v>
      </c>
      <c r="C23352" s="2">
        <v>3.3821063244450902E-2</v>
      </c>
      <c r="D23352" s="2">
        <v>2.26973429390347E-2</v>
      </c>
      <c r="E23352" s="2">
        <v>2.1832841063303202E-2</v>
      </c>
      <c r="F23352" s="2">
        <v>3.2226547591786801E-2</v>
      </c>
    </row>
    <row r="23353" spans="1:6" x14ac:dyDescent="0.25">
      <c r="A23353" s="1" t="str">
        <f t="shared" si="871"/>
        <v>35300</v>
      </c>
      <c r="B23353" s="1" t="str">
        <f>"06451"</f>
        <v>06451</v>
      </c>
      <c r="C23353" s="2">
        <v>2.6142863656859701E-2</v>
      </c>
      <c r="D23353" s="2">
        <v>1.8617502001187801E-2</v>
      </c>
      <c r="E23353" s="2">
        <v>2.7740081424123798E-2</v>
      </c>
      <c r="F23353" s="2">
        <v>2.5594556576924301E-2</v>
      </c>
    </row>
    <row r="23354" spans="1:6" x14ac:dyDescent="0.25">
      <c r="A23354" s="1" t="str">
        <f t="shared" si="871"/>
        <v>35300</v>
      </c>
      <c r="B23354" s="1" t="str">
        <f>"06410"</f>
        <v>06410</v>
      </c>
      <c r="C23354" s="2">
        <v>2.84480967893928E-2</v>
      </c>
      <c r="D23354" s="2">
        <v>3.2896945283652203E-2</v>
      </c>
      <c r="E23354" s="2">
        <v>1.5286980122934401E-2</v>
      </c>
      <c r="F23354" s="2">
        <v>2.8104724830165601E-2</v>
      </c>
    </row>
    <row r="23355" spans="1:6" x14ac:dyDescent="0.25">
      <c r="A23355" s="1" t="str">
        <f t="shared" ref="A23355:A23371" si="872">"35300"</f>
        <v>35300</v>
      </c>
      <c r="B23355" s="1" t="str">
        <f>"06437"</f>
        <v>06437</v>
      </c>
      <c r="C23355" s="2">
        <v>2.48914513849131E-2</v>
      </c>
      <c r="D23355" s="2">
        <v>2.8094094559351301E-2</v>
      </c>
      <c r="E23355" s="2">
        <v>8.4617226790133296E-3</v>
      </c>
      <c r="F23355" s="2">
        <v>2.4264232828464499E-2</v>
      </c>
    </row>
    <row r="23356" spans="1:6" x14ac:dyDescent="0.25">
      <c r="A23356" s="1" t="str">
        <f t="shared" si="872"/>
        <v>35300</v>
      </c>
      <c r="B23356" s="1" t="str">
        <f>"06712"</f>
        <v>06712</v>
      </c>
      <c r="C23356" s="2">
        <v>1.0327951078393099E-2</v>
      </c>
      <c r="D23356" s="2">
        <v>1.1180829911947699E-2</v>
      </c>
      <c r="E23356" s="2">
        <v>5.5879300710465303E-3</v>
      </c>
      <c r="F23356" s="2">
        <v>1.01409925087506E-2</v>
      </c>
    </row>
    <row r="23357" spans="1:6" x14ac:dyDescent="0.25">
      <c r="A23357" s="1" t="str">
        <f t="shared" si="872"/>
        <v>35300</v>
      </c>
      <c r="B23357" s="1" t="str">
        <f>"06724"</f>
        <v>06724</v>
      </c>
      <c r="C23357" s="2">
        <v>9.5249193168403599E-4</v>
      </c>
      <c r="D23357" s="2">
        <v>4.1314844940222502E-4</v>
      </c>
      <c r="E23357" s="2">
        <v>3.9913786221760902E-5</v>
      </c>
      <c r="F23357" s="2">
        <v>8.5707743138473602E-4</v>
      </c>
    </row>
    <row r="23358" spans="1:6" x14ac:dyDescent="0.25">
      <c r="A23358" s="1" t="str">
        <f t="shared" si="872"/>
        <v>35300</v>
      </c>
      <c r="B23358" s="1" t="str">
        <f>"06723"</f>
        <v>06723</v>
      </c>
      <c r="C23358" s="2">
        <v>7.7516630610456095E-4</v>
      </c>
      <c r="D23358" s="2">
        <v>2.19485113744932E-3</v>
      </c>
      <c r="E23358" s="2">
        <v>3.9913786221760902E-5</v>
      </c>
      <c r="F23358" s="2">
        <v>8.5489657278070303E-4</v>
      </c>
    </row>
    <row r="23359" spans="1:6" x14ac:dyDescent="0.25">
      <c r="A23359" s="1" t="str">
        <f t="shared" si="872"/>
        <v>35300</v>
      </c>
      <c r="B23359" s="1" t="str">
        <f>"06411"</f>
        <v>06411</v>
      </c>
      <c r="C23359" s="2">
        <v>0</v>
      </c>
      <c r="D23359" s="2">
        <v>2.5821778087639101E-5</v>
      </c>
      <c r="E23359" s="2">
        <v>0</v>
      </c>
      <c r="F23359" s="2">
        <v>2.1808586040324002E-6</v>
      </c>
    </row>
    <row r="23360" spans="1:6" x14ac:dyDescent="0.25">
      <c r="A23360" s="1" t="str">
        <f t="shared" si="872"/>
        <v>35300</v>
      </c>
      <c r="B23360" s="1" t="str">
        <f>"06502"</f>
        <v>06502</v>
      </c>
      <c r="C23360" s="2">
        <v>4.4078084072612299E-4</v>
      </c>
      <c r="D23360" s="2">
        <v>5.1643556175278197E-4</v>
      </c>
      <c r="E23360" s="2">
        <v>3.9913786221760902E-5</v>
      </c>
      <c r="F23360" s="2">
        <v>4.2526742778631902E-4</v>
      </c>
    </row>
    <row r="23361" spans="1:6" x14ac:dyDescent="0.25">
      <c r="A23361" s="1" t="str">
        <f t="shared" si="872"/>
        <v>35300</v>
      </c>
      <c r="B23361" s="1" t="str">
        <f>"06520"</f>
        <v>06520</v>
      </c>
      <c r="C23361" s="2">
        <v>1.9044772187235499E-2</v>
      </c>
      <c r="D23361" s="2">
        <v>4.38970227489864E-3</v>
      </c>
      <c r="E23361" s="2">
        <v>7.9827572443521899E-5</v>
      </c>
      <c r="F23361" s="2">
        <v>1.6770802665009198E-2</v>
      </c>
    </row>
    <row r="23362" spans="1:6" x14ac:dyDescent="0.25">
      <c r="A23362" s="1" t="str">
        <f t="shared" si="872"/>
        <v>35300</v>
      </c>
      <c r="B23362" s="1" t="str">
        <f>"06530"</f>
        <v>06530</v>
      </c>
      <c r="C23362" s="2">
        <v>4.6611307295176202E-4</v>
      </c>
      <c r="D23362" s="2">
        <v>1.85916802231001E-3</v>
      </c>
      <c r="E23362" s="2">
        <v>3.9913786221760902E-5</v>
      </c>
      <c r="F23362" s="2">
        <v>5.6048066123632798E-4</v>
      </c>
    </row>
    <row r="23363" spans="1:6" x14ac:dyDescent="0.25">
      <c r="A23363" s="1" t="str">
        <f t="shared" si="872"/>
        <v>35300</v>
      </c>
      <c r="B23363" s="1" t="str">
        <f>"06510"</f>
        <v>06510</v>
      </c>
      <c r="C23363" s="2">
        <v>6.5686478161082499E-3</v>
      </c>
      <c r="D23363" s="2">
        <v>3.2483796834249998E-2</v>
      </c>
      <c r="E23363" s="2">
        <v>1.5845773130039102E-2</v>
      </c>
      <c r="F23363" s="2">
        <v>9.2642873499296594E-3</v>
      </c>
    </row>
    <row r="23364" spans="1:6" x14ac:dyDescent="0.25">
      <c r="A23364" s="1" t="str">
        <f t="shared" si="872"/>
        <v>35300</v>
      </c>
      <c r="B23364" s="1" t="str">
        <f>"06703"</f>
        <v>06703</v>
      </c>
      <c r="C23364" s="2">
        <v>0</v>
      </c>
      <c r="D23364" s="2">
        <v>0</v>
      </c>
      <c r="E23364" s="2">
        <v>3.9913786221760902E-5</v>
      </c>
      <c r="F23364" s="2">
        <v>2.1808586040324002E-6</v>
      </c>
    </row>
    <row r="23365" spans="1:6" x14ac:dyDescent="0.25">
      <c r="A23365" s="1" t="str">
        <f t="shared" si="872"/>
        <v>35300</v>
      </c>
      <c r="B23365" s="1" t="str">
        <f>"06504"</f>
        <v>06504</v>
      </c>
      <c r="C23365" s="2">
        <v>5.3451009996098803E-4</v>
      </c>
      <c r="D23365" s="2">
        <v>6.7136623027861601E-4</v>
      </c>
      <c r="E23365" s="2">
        <v>3.9913786221760902E-5</v>
      </c>
      <c r="F23365" s="2">
        <v>5.1904434775971195E-4</v>
      </c>
    </row>
    <row r="23366" spans="1:6" x14ac:dyDescent="0.25">
      <c r="A23366" s="1" t="str">
        <f t="shared" si="872"/>
        <v>35300</v>
      </c>
      <c r="B23366" s="1" t="str">
        <f>"06471"</f>
        <v>06471</v>
      </c>
      <c r="C23366" s="2">
        <v>9.9201021395603304E-3</v>
      </c>
      <c r="D23366" s="2">
        <v>1.1981305032664501E-2</v>
      </c>
      <c r="E23366" s="2">
        <v>4.0312924083978604E-3</v>
      </c>
      <c r="F23366" s="2">
        <v>9.7724274046692098E-3</v>
      </c>
    </row>
    <row r="23367" spans="1:6" x14ac:dyDescent="0.25">
      <c r="A23367" s="1" t="str">
        <f t="shared" si="872"/>
        <v>35300</v>
      </c>
      <c r="B23367" s="1" t="str">
        <f>"06492"</f>
        <v>06492</v>
      </c>
      <c r="C23367" s="2">
        <v>5.1606823490072201E-2</v>
      </c>
      <c r="D23367" s="2">
        <v>6.4038009657345005E-2</v>
      </c>
      <c r="E23367" s="2">
        <v>3.28091322742875E-2</v>
      </c>
      <c r="F23367" s="2">
        <v>5.1629646591863199E-2</v>
      </c>
    </row>
    <row r="23368" spans="1:6" x14ac:dyDescent="0.25">
      <c r="A23368" s="1" t="str">
        <f t="shared" si="872"/>
        <v>35300</v>
      </c>
      <c r="B23368" s="1" t="str">
        <f>"06418"</f>
        <v>06418</v>
      </c>
      <c r="C23368" s="2">
        <v>1.5708517203118898E-2</v>
      </c>
      <c r="D23368" s="2">
        <v>1.47958788442172E-2</v>
      </c>
      <c r="E23368" s="2">
        <v>3.0094994811207702E-2</v>
      </c>
      <c r="F23368" s="2">
        <v>1.64175035711559E-2</v>
      </c>
    </row>
    <row r="23369" spans="1:6" x14ac:dyDescent="0.25">
      <c r="A23369" s="1" t="str">
        <f t="shared" si="872"/>
        <v>35300</v>
      </c>
      <c r="B23369" s="1" t="str">
        <f>"06770"</f>
        <v>06770</v>
      </c>
      <c r="C23369" s="2">
        <v>3.5824842813499E-2</v>
      </c>
      <c r="D23369" s="2">
        <v>2.3936788287241401E-2</v>
      </c>
      <c r="E23369" s="2">
        <v>4.1111199808413802E-2</v>
      </c>
      <c r="F23369" s="2">
        <v>3.5109642666317699E-2</v>
      </c>
    </row>
    <row r="23370" spans="1:6" x14ac:dyDescent="0.25">
      <c r="A23370" s="1" t="str">
        <f t="shared" si="872"/>
        <v>35300</v>
      </c>
      <c r="B23370" s="1" t="str">
        <f>"06722"</f>
        <v>06722</v>
      </c>
      <c r="C23370" s="2">
        <v>8.8916135111993702E-4</v>
      </c>
      <c r="D23370" s="2">
        <v>2.7629302553773801E-3</v>
      </c>
      <c r="E23370" s="2">
        <v>3.9913786221760902E-5</v>
      </c>
      <c r="F23370" s="2">
        <v>1.00101409925087E-3</v>
      </c>
    </row>
    <row r="23371" spans="1:6" x14ac:dyDescent="0.25">
      <c r="A23371" s="1" t="str">
        <f t="shared" si="872"/>
        <v>35300</v>
      </c>
      <c r="B23371" s="1" t="str">
        <f>"06531"</f>
        <v>06531</v>
      </c>
      <c r="C23371" s="2">
        <v>2.8625422414972298E-4</v>
      </c>
      <c r="D23371" s="2">
        <v>1.49766312908306E-3</v>
      </c>
      <c r="E23371" s="2">
        <v>3.9913786221760902E-5</v>
      </c>
      <c r="F23371" s="2">
        <v>3.7510767989357402E-4</v>
      </c>
    </row>
    <row r="23372" spans="1:6" x14ac:dyDescent="0.25">
      <c r="A23372" s="1" t="str">
        <f t="shared" ref="A23372:A23403" si="873">"35380"</f>
        <v>35380</v>
      </c>
      <c r="B23372" s="1" t="str">
        <f>"70176"</f>
        <v>70176</v>
      </c>
      <c r="C23372" s="2">
        <v>7.5732194753286004E-4</v>
      </c>
      <c r="D23372" s="2">
        <v>1.0242458189965501E-3</v>
      </c>
      <c r="E23372" s="2">
        <v>8.3668005354752299E-5</v>
      </c>
      <c r="F23372" s="2">
        <v>7.58112629167559E-4</v>
      </c>
    </row>
    <row r="23373" spans="1:6" x14ac:dyDescent="0.25">
      <c r="A23373" s="1" t="str">
        <f t="shared" si="873"/>
        <v>35380</v>
      </c>
      <c r="B23373" s="1" t="str">
        <f>"70051"</f>
        <v>70051</v>
      </c>
      <c r="C23373" s="2">
        <v>6.5915058396378505E-4</v>
      </c>
      <c r="D23373" s="2">
        <v>8.0019204609106101E-5</v>
      </c>
      <c r="E23373" s="2">
        <v>4.1834002677376102E-5</v>
      </c>
      <c r="F23373" s="2">
        <v>5.8918535853783103E-4</v>
      </c>
    </row>
    <row r="23374" spans="1:6" x14ac:dyDescent="0.25">
      <c r="A23374" s="1" t="str">
        <f t="shared" si="873"/>
        <v>35380</v>
      </c>
      <c r="B23374" s="1" t="str">
        <f>"70148"</f>
        <v>70148</v>
      </c>
      <c r="C23374" s="2">
        <v>0</v>
      </c>
      <c r="D23374" s="2">
        <v>1.60038409218212E-5</v>
      </c>
      <c r="E23374" s="2">
        <v>0</v>
      </c>
      <c r="F23374" s="2">
        <v>1.3733924441441201E-6</v>
      </c>
    </row>
    <row r="23375" spans="1:6" x14ac:dyDescent="0.25">
      <c r="A23375" s="1" t="str">
        <f t="shared" si="873"/>
        <v>35380</v>
      </c>
      <c r="B23375" s="1" t="str">
        <f>"70175"</f>
        <v>70175</v>
      </c>
      <c r="C23375" s="2">
        <v>2.4402596087169902E-3</v>
      </c>
      <c r="D23375" s="2">
        <v>3.1527566615987801E-3</v>
      </c>
      <c r="E23375" s="2">
        <v>8.3668005354752299E-5</v>
      </c>
      <c r="F23375" s="2">
        <v>2.42403766391438E-3</v>
      </c>
    </row>
    <row r="23376" spans="1:6" x14ac:dyDescent="0.25">
      <c r="A23376" s="1" t="str">
        <f t="shared" si="873"/>
        <v>35380</v>
      </c>
      <c r="B23376" s="1" t="str">
        <f>"70165"</f>
        <v>70165</v>
      </c>
      <c r="C23376" s="2">
        <v>0</v>
      </c>
      <c r="D23376" s="2">
        <v>1.60038409218212E-5</v>
      </c>
      <c r="E23376" s="2">
        <v>0</v>
      </c>
      <c r="F23376" s="2">
        <v>1.3733924441441201E-6</v>
      </c>
    </row>
    <row r="23377" spans="1:6" x14ac:dyDescent="0.25">
      <c r="A23377" s="1" t="str">
        <f t="shared" si="873"/>
        <v>35380</v>
      </c>
      <c r="B23377" s="1" t="str">
        <f>"70141"</f>
        <v>70141</v>
      </c>
      <c r="C23377" s="2">
        <v>0</v>
      </c>
      <c r="D23377" s="2">
        <v>1.60038409218212E-5</v>
      </c>
      <c r="E23377" s="2">
        <v>0</v>
      </c>
      <c r="F23377" s="2">
        <v>1.3733924441441201E-6</v>
      </c>
    </row>
    <row r="23378" spans="1:6" x14ac:dyDescent="0.25">
      <c r="A23378" s="1" t="str">
        <f t="shared" si="873"/>
        <v>35380</v>
      </c>
      <c r="B23378" s="1" t="str">
        <f>"70116"</f>
        <v>70116</v>
      </c>
      <c r="C23378" s="2">
        <v>1.4071228778234E-2</v>
      </c>
      <c r="D23378" s="2">
        <v>1.5731775626150201E-2</v>
      </c>
      <c r="E23378" s="2">
        <v>3.7064926372155201E-2</v>
      </c>
      <c r="F23378" s="2">
        <v>1.49686042487268E-2</v>
      </c>
    </row>
    <row r="23379" spans="1:6" x14ac:dyDescent="0.25">
      <c r="A23379" s="1" t="str">
        <f t="shared" si="873"/>
        <v>35380</v>
      </c>
      <c r="B23379" s="1" t="str">
        <f>"70037"</f>
        <v>70037</v>
      </c>
      <c r="C23379" s="2">
        <v>1.19457408431829E-2</v>
      </c>
      <c r="D23379" s="2">
        <v>1.42754261022645E-2</v>
      </c>
      <c r="E23379" s="2">
        <v>9.0779785809906206E-3</v>
      </c>
      <c r="F23379" s="2">
        <v>1.20515186973647E-2</v>
      </c>
    </row>
    <row r="23380" spans="1:6" x14ac:dyDescent="0.25">
      <c r="A23380" s="1" t="str">
        <f t="shared" si="873"/>
        <v>35380</v>
      </c>
      <c r="B23380" s="1" t="str">
        <f>"70006"</f>
        <v>70006</v>
      </c>
      <c r="C23380" s="2">
        <v>1.07801506852517E-2</v>
      </c>
      <c r="D23380" s="2">
        <v>1.9204609106185402E-2</v>
      </c>
      <c r="E23380" s="2">
        <v>4.0035140562248897E-2</v>
      </c>
      <c r="F23380" s="2">
        <v>1.2463536430607901E-2</v>
      </c>
    </row>
    <row r="23381" spans="1:6" x14ac:dyDescent="0.25">
      <c r="A23381" s="1" t="str">
        <f t="shared" si="873"/>
        <v>35380</v>
      </c>
      <c r="B23381" s="1" t="str">
        <f>"70470"</f>
        <v>70470</v>
      </c>
      <c r="C23381" s="2">
        <v>2.65841819442604E-3</v>
      </c>
      <c r="D23381" s="2">
        <v>1.28190765783788E-2</v>
      </c>
      <c r="E23381" s="2">
        <v>8.3668005354752299E-5</v>
      </c>
      <c r="F23381" s="2">
        <v>3.4458416423576201E-3</v>
      </c>
    </row>
    <row r="23382" spans="1:6" x14ac:dyDescent="0.25">
      <c r="A23382" s="1" t="str">
        <f t="shared" si="873"/>
        <v>35380</v>
      </c>
      <c r="B23382" s="1" t="str">
        <f>"70183"</f>
        <v>70183</v>
      </c>
      <c r="C23382" s="2">
        <v>1.3556997826205501E-3</v>
      </c>
      <c r="D23382" s="2">
        <v>4.3850524125790104E-3</v>
      </c>
      <c r="E23382" s="2">
        <v>8.3668005354752299E-5</v>
      </c>
      <c r="F23382" s="2">
        <v>1.57390774098917E-3</v>
      </c>
    </row>
    <row r="23383" spans="1:6" x14ac:dyDescent="0.25">
      <c r="A23383" s="1" t="str">
        <f t="shared" si="873"/>
        <v>35380</v>
      </c>
      <c r="B23383" s="1" t="str">
        <f>"70458"</f>
        <v>70458</v>
      </c>
      <c r="C23383" s="2">
        <v>2.6844413971499101E-2</v>
      </c>
      <c r="D23383" s="2">
        <v>3.3336000640153601E-2</v>
      </c>
      <c r="E23383" s="2">
        <v>2.11261713520749E-2</v>
      </c>
      <c r="F23383" s="2">
        <v>2.72137712807159E-2</v>
      </c>
    </row>
    <row r="23384" spans="1:6" x14ac:dyDescent="0.25">
      <c r="A23384" s="1" t="str">
        <f t="shared" si="873"/>
        <v>35380</v>
      </c>
      <c r="B23384" s="1" t="str">
        <f>"70033"</f>
        <v>70033</v>
      </c>
      <c r="C23384" s="2">
        <v>1.9384948615861601E-3</v>
      </c>
      <c r="D23384" s="2">
        <v>9.6663199167800196E-3</v>
      </c>
      <c r="E23384" s="2">
        <v>8.3668005354752299E-5</v>
      </c>
      <c r="F23384" s="2">
        <v>2.5407760216666301E-3</v>
      </c>
    </row>
    <row r="23385" spans="1:6" x14ac:dyDescent="0.25">
      <c r="A23385" s="1" t="str">
        <f t="shared" si="873"/>
        <v>35380</v>
      </c>
      <c r="B23385" s="1" t="str">
        <f>"70723"</f>
        <v>70723</v>
      </c>
      <c r="C23385" s="2">
        <v>1.25441186782706E-3</v>
      </c>
      <c r="D23385" s="2">
        <v>5.6013443226374303E-4</v>
      </c>
      <c r="E23385" s="2">
        <v>8.7851405622489903E-4</v>
      </c>
      <c r="F23385" s="2">
        <v>1.1824908944080899E-3</v>
      </c>
    </row>
    <row r="23386" spans="1:6" x14ac:dyDescent="0.25">
      <c r="A23386" s="1" t="str">
        <f t="shared" si="873"/>
        <v>35380</v>
      </c>
      <c r="B23386" s="1" t="str">
        <f>"70463"</f>
        <v>70463</v>
      </c>
      <c r="C23386" s="2">
        <v>0</v>
      </c>
      <c r="D23386" s="2">
        <v>0</v>
      </c>
      <c r="E23386" s="2">
        <v>4.1834002677376102E-5</v>
      </c>
      <c r="F23386" s="2">
        <v>1.3733924441441201E-6</v>
      </c>
    </row>
    <row r="23387" spans="1:6" x14ac:dyDescent="0.25">
      <c r="A23387" s="1" t="str">
        <f t="shared" si="873"/>
        <v>35380</v>
      </c>
      <c r="B23387" s="1" t="str">
        <f>"70457"</f>
        <v>70457</v>
      </c>
      <c r="C23387" s="2">
        <v>0</v>
      </c>
      <c r="D23387" s="2">
        <v>0</v>
      </c>
      <c r="E23387" s="2">
        <v>4.1834002677376102E-5</v>
      </c>
      <c r="F23387" s="2">
        <v>1.3733924441441201E-6</v>
      </c>
    </row>
    <row r="23388" spans="1:6" x14ac:dyDescent="0.25">
      <c r="A23388" s="1" t="str">
        <f t="shared" si="873"/>
        <v>35380</v>
      </c>
      <c r="B23388" s="1" t="str">
        <f>"70076"</f>
        <v>70076</v>
      </c>
      <c r="C23388" s="2">
        <v>1.8855134907711101E-4</v>
      </c>
      <c r="D23388" s="2">
        <v>6.4015363687284894E-5</v>
      </c>
      <c r="E23388" s="2">
        <v>4.1834002677376102E-5</v>
      </c>
      <c r="F23388" s="2">
        <v>1.7304744796216E-4</v>
      </c>
    </row>
    <row r="23389" spans="1:6" x14ac:dyDescent="0.25">
      <c r="A23389" s="1" t="str">
        <f t="shared" si="873"/>
        <v>35380</v>
      </c>
      <c r="B23389" s="1" t="str">
        <f>"70079"</f>
        <v>70079</v>
      </c>
      <c r="C23389" s="2">
        <v>2.01796691780875E-3</v>
      </c>
      <c r="D23389" s="2">
        <v>1.9524685924621899E-3</v>
      </c>
      <c r="E23389" s="2">
        <v>7.9484605087014695E-4</v>
      </c>
      <c r="F23389" s="2">
        <v>1.97219154979096E-3</v>
      </c>
    </row>
    <row r="23390" spans="1:6" x14ac:dyDescent="0.25">
      <c r="A23390" s="1" t="str">
        <f t="shared" si="873"/>
        <v>35380</v>
      </c>
      <c r="B23390" s="1" t="str">
        <f>"70053"</f>
        <v>70053</v>
      </c>
      <c r="C23390" s="2">
        <v>1.22792118241953E-2</v>
      </c>
      <c r="D23390" s="2">
        <v>2.1605185244458602E-2</v>
      </c>
      <c r="E23390" s="2">
        <v>1.6649933065595701E-2</v>
      </c>
      <c r="F23390" s="2">
        <v>1.32230224522196E-2</v>
      </c>
    </row>
    <row r="23391" spans="1:6" x14ac:dyDescent="0.25">
      <c r="A23391" s="1" t="str">
        <f t="shared" si="873"/>
        <v>35380</v>
      </c>
      <c r="B23391" s="1" t="str">
        <f>"70112"</f>
        <v>70112</v>
      </c>
      <c r="C23391" s="2">
        <v>7.3285702042120097E-3</v>
      </c>
      <c r="D23391" s="2">
        <v>2.17652236536768E-2</v>
      </c>
      <c r="E23391" s="2">
        <v>1.35542168674698E-2</v>
      </c>
      <c r="F23391" s="2">
        <v>8.7718575407485493E-3</v>
      </c>
    </row>
    <row r="23392" spans="1:6" x14ac:dyDescent="0.25">
      <c r="A23392" s="1" t="str">
        <f t="shared" si="873"/>
        <v>35380</v>
      </c>
      <c r="B23392" s="1" t="str">
        <f>"70039"</f>
        <v>70039</v>
      </c>
      <c r="C23392" s="2">
        <v>1.07209362119878E-3</v>
      </c>
      <c r="D23392" s="2">
        <v>1.2963111146675199E-3</v>
      </c>
      <c r="E23392" s="2">
        <v>1.6733601070950399E-3</v>
      </c>
      <c r="F23392" s="2">
        <v>1.1110744873126001E-3</v>
      </c>
    </row>
    <row r="23393" spans="1:6" x14ac:dyDescent="0.25">
      <c r="A23393" s="1" t="str">
        <f t="shared" si="873"/>
        <v>35380</v>
      </c>
      <c r="B23393" s="1" t="str">
        <f>"70031"</f>
        <v>70031</v>
      </c>
      <c r="C23393" s="2">
        <v>1.5426928560854499E-3</v>
      </c>
      <c r="D23393" s="2">
        <v>5.1212290949827904E-4</v>
      </c>
      <c r="E23393" s="2">
        <v>1.67336010709504E-4</v>
      </c>
      <c r="F23393" s="2">
        <v>1.4091006476918699E-3</v>
      </c>
    </row>
    <row r="23394" spans="1:6" x14ac:dyDescent="0.25">
      <c r="A23394" s="1" t="str">
        <f t="shared" si="873"/>
        <v>35380</v>
      </c>
      <c r="B23394" s="1" t="str">
        <f>"70002"</f>
        <v>70002</v>
      </c>
      <c r="C23394" s="2">
        <v>1.54051127022836E-2</v>
      </c>
      <c r="D23394" s="2">
        <v>4.6859246219092501E-2</v>
      </c>
      <c r="E23394" s="2">
        <v>3.8445448460508701E-2</v>
      </c>
      <c r="F23394" s="2">
        <v>1.88607984354313E-2</v>
      </c>
    </row>
    <row r="23395" spans="1:6" x14ac:dyDescent="0.25">
      <c r="A23395" s="1" t="str">
        <f t="shared" si="873"/>
        <v>35380</v>
      </c>
      <c r="B23395" s="1" t="str">
        <f>"70461"</f>
        <v>70461</v>
      </c>
      <c r="C23395" s="2">
        <v>2.01905771073729E-2</v>
      </c>
      <c r="D23395" s="2">
        <v>1.23549651916459E-2</v>
      </c>
      <c r="E23395" s="2">
        <v>9.3708165997322592E-3</v>
      </c>
      <c r="F23395" s="2">
        <v>1.9162944773142999E-2</v>
      </c>
    </row>
    <row r="23396" spans="1:6" x14ac:dyDescent="0.25">
      <c r="A23396" s="1" t="str">
        <f t="shared" si="873"/>
        <v>35380</v>
      </c>
      <c r="B23396" s="1" t="str">
        <f>"70447"</f>
        <v>70447</v>
      </c>
      <c r="C23396" s="2">
        <v>1.1300614739729001E-2</v>
      </c>
      <c r="D23396" s="2">
        <v>7.6018244378650802E-3</v>
      </c>
      <c r="E23396" s="2">
        <v>1.9243641231593001E-3</v>
      </c>
      <c r="F23396" s="2">
        <v>1.06753794683323E-2</v>
      </c>
    </row>
    <row r="23397" spans="1:6" x14ac:dyDescent="0.25">
      <c r="A23397" s="1" t="str">
        <f t="shared" si="873"/>
        <v>35380</v>
      </c>
      <c r="B23397" s="1" t="str">
        <f>"70190"</f>
        <v>70190</v>
      </c>
      <c r="C23397" s="2">
        <v>8.05628491511293E-4</v>
      </c>
      <c r="D23397" s="2">
        <v>3.0727374569896699E-3</v>
      </c>
      <c r="E23397" s="2">
        <v>8.3668005354752299E-5</v>
      </c>
      <c r="F23397" s="2">
        <v>9.7648202778647503E-4</v>
      </c>
    </row>
    <row r="23398" spans="1:6" x14ac:dyDescent="0.25">
      <c r="A23398" s="1" t="str">
        <f t="shared" si="873"/>
        <v>35380</v>
      </c>
      <c r="B23398" s="1" t="str">
        <f>"70163"</f>
        <v>70163</v>
      </c>
      <c r="C23398" s="2">
        <v>0</v>
      </c>
      <c r="D23398" s="2">
        <v>1.8884532287749001E-3</v>
      </c>
      <c r="E23398" s="2">
        <v>1.2550200803212799E-4</v>
      </c>
      <c r="F23398" s="2">
        <v>1.66180485741439E-4</v>
      </c>
    </row>
    <row r="23399" spans="1:6" x14ac:dyDescent="0.25">
      <c r="A23399" s="1" t="str">
        <f t="shared" si="873"/>
        <v>35380</v>
      </c>
      <c r="B23399" s="1" t="str">
        <f>"70459"</f>
        <v>70459</v>
      </c>
      <c r="C23399" s="2">
        <v>3.47495461522279E-3</v>
      </c>
      <c r="D23399" s="2">
        <v>8.6420740977834597E-3</v>
      </c>
      <c r="E23399" s="2">
        <v>8.3668005354752299E-5</v>
      </c>
      <c r="F23399" s="2">
        <v>3.8070438551675201E-3</v>
      </c>
    </row>
    <row r="23400" spans="1:6" x14ac:dyDescent="0.25">
      <c r="A23400" s="1" t="str">
        <f t="shared" si="873"/>
        <v>35380</v>
      </c>
      <c r="B23400" s="1" t="str">
        <f>"70179"</f>
        <v>70179</v>
      </c>
      <c r="C23400" s="2">
        <v>2.5119402868785399E-3</v>
      </c>
      <c r="D23400" s="2">
        <v>5.6013443226374301E-3</v>
      </c>
      <c r="E23400" s="2">
        <v>8.3668005354752299E-5</v>
      </c>
      <c r="F23400" s="2">
        <v>2.69734276029906E-3</v>
      </c>
    </row>
    <row r="23401" spans="1:6" x14ac:dyDescent="0.25">
      <c r="A23401" s="1" t="str">
        <f t="shared" si="873"/>
        <v>35380</v>
      </c>
      <c r="B23401" s="1" t="str">
        <f>"70743"</f>
        <v>70743</v>
      </c>
      <c r="C23401" s="2">
        <v>0</v>
      </c>
      <c r="D23401" s="2">
        <v>0</v>
      </c>
      <c r="E23401" s="2">
        <v>4.1834002677376102E-5</v>
      </c>
      <c r="F23401" s="2">
        <v>1.3733924441441201E-6</v>
      </c>
    </row>
    <row r="23402" spans="1:6" x14ac:dyDescent="0.25">
      <c r="A23402" s="1" t="str">
        <f t="shared" si="873"/>
        <v>35380</v>
      </c>
      <c r="B23402" s="1" t="str">
        <f>"70186"</f>
        <v>70186</v>
      </c>
      <c r="C23402" s="2">
        <v>1.33544219966185E-3</v>
      </c>
      <c r="D23402" s="2">
        <v>1.3923341601984401E-3</v>
      </c>
      <c r="E23402" s="2">
        <v>8.3668005354752299E-5</v>
      </c>
      <c r="F23402" s="2">
        <v>1.29922925216034E-3</v>
      </c>
    </row>
    <row r="23403" spans="1:6" x14ac:dyDescent="0.25">
      <c r="A23403" s="1" t="str">
        <f t="shared" si="873"/>
        <v>35380</v>
      </c>
      <c r="B23403" s="1" t="str">
        <f>"70064"</f>
        <v>70064</v>
      </c>
      <c r="C23403" s="2">
        <v>2.0288748470941999E-3</v>
      </c>
      <c r="D23403" s="2">
        <v>3.50484116187885E-3</v>
      </c>
      <c r="E23403" s="2">
        <v>8.3668005354752299E-5</v>
      </c>
      <c r="F23403" s="2">
        <v>2.0916766924314999E-3</v>
      </c>
    </row>
    <row r="23404" spans="1:6" x14ac:dyDescent="0.25">
      <c r="A23404" s="1" t="str">
        <f t="shared" ref="A23404:A23435" si="874">"35380"</f>
        <v>35380</v>
      </c>
      <c r="B23404" s="1" t="str">
        <f>"70011"</f>
        <v>70011</v>
      </c>
      <c r="C23404" s="2">
        <v>1.3245342703763999E-3</v>
      </c>
      <c r="D23404" s="2">
        <v>4.1129871169080503E-3</v>
      </c>
      <c r="E23404" s="2">
        <v>8.3668005354752299E-5</v>
      </c>
      <c r="F23404" s="2">
        <v>1.5230922205558301E-3</v>
      </c>
    </row>
    <row r="23405" spans="1:6" x14ac:dyDescent="0.25">
      <c r="A23405" s="1" t="str">
        <f t="shared" si="874"/>
        <v>35380</v>
      </c>
      <c r="B23405" s="1" t="str">
        <f>"70185"</f>
        <v>70185</v>
      </c>
      <c r="C23405" s="2">
        <v>2.1067886277045798E-3</v>
      </c>
      <c r="D23405" s="2">
        <v>3.3287989117388099E-3</v>
      </c>
      <c r="E23405" s="2">
        <v>8.3668005354752299E-5</v>
      </c>
      <c r="F23405" s="2">
        <v>2.14523899775312E-3</v>
      </c>
    </row>
    <row r="23406" spans="1:6" x14ac:dyDescent="0.25">
      <c r="A23406" s="1" t="str">
        <f t="shared" si="874"/>
        <v>35380</v>
      </c>
      <c r="B23406" s="1" t="str">
        <f>"70071"</f>
        <v>70071</v>
      </c>
      <c r="C23406" s="2">
        <v>1.3042766874177001E-3</v>
      </c>
      <c r="D23406" s="2">
        <v>8.0019204609106101E-4</v>
      </c>
      <c r="E23406" s="2">
        <v>2.9283801874163299E-4</v>
      </c>
      <c r="F23406" s="2">
        <v>1.2278128450648499E-3</v>
      </c>
    </row>
    <row r="23407" spans="1:6" x14ac:dyDescent="0.25">
      <c r="A23407" s="1" t="str">
        <f t="shared" si="874"/>
        <v>35380</v>
      </c>
      <c r="B23407" s="1" t="str">
        <f>"70113"</f>
        <v>70113</v>
      </c>
      <c r="C23407" s="2">
        <v>8.8042572089725504E-3</v>
      </c>
      <c r="D23407" s="2">
        <v>1.1634792350164E-2</v>
      </c>
      <c r="E23407" s="2">
        <v>1.3930722891566201E-2</v>
      </c>
      <c r="F23407" s="2">
        <v>9.2154633002071006E-3</v>
      </c>
    </row>
    <row r="23408" spans="1:6" x14ac:dyDescent="0.25">
      <c r="A23408" s="1" t="str">
        <f t="shared" si="874"/>
        <v>35380</v>
      </c>
      <c r="B23408" s="1" t="str">
        <f>"70115"</f>
        <v>70115</v>
      </c>
      <c r="C23408" s="2">
        <v>3.0031087598463499E-2</v>
      </c>
      <c r="D23408" s="2">
        <v>2.2773465631751599E-2</v>
      </c>
      <c r="E23408" s="2">
        <v>4.6142904953145901E-2</v>
      </c>
      <c r="F23408" s="2">
        <v>2.99372084974537E-2</v>
      </c>
    </row>
    <row r="23409" spans="1:6" x14ac:dyDescent="0.25">
      <c r="A23409" s="1" t="str">
        <f t="shared" si="874"/>
        <v>35380</v>
      </c>
      <c r="B23409" s="1" t="str">
        <f>"70177"</f>
        <v>70177</v>
      </c>
      <c r="C23409" s="2">
        <v>2.5711547601424199E-3</v>
      </c>
      <c r="D23409" s="2">
        <v>1.6003840921821201E-3</v>
      </c>
      <c r="E23409" s="2">
        <v>8.3668005354752299E-5</v>
      </c>
      <c r="F23409" s="2">
        <v>2.40618356214051E-3</v>
      </c>
    </row>
    <row r="23410" spans="1:6" x14ac:dyDescent="0.25">
      <c r="A23410" s="1" t="str">
        <f t="shared" si="874"/>
        <v>35380</v>
      </c>
      <c r="B23410" s="1" t="str">
        <f>"70092"</f>
        <v>70092</v>
      </c>
      <c r="C23410" s="2">
        <v>6.0648086827117097E-3</v>
      </c>
      <c r="D23410" s="2">
        <v>1.74441866047851E-3</v>
      </c>
      <c r="E23410" s="2">
        <v>3.8068942436412299E-3</v>
      </c>
      <c r="F23410" s="2">
        <v>5.6199218814377699E-3</v>
      </c>
    </row>
    <row r="23411" spans="1:6" x14ac:dyDescent="0.25">
      <c r="A23411" s="1" t="str">
        <f t="shared" si="874"/>
        <v>35380</v>
      </c>
      <c r="B23411" s="1" t="str">
        <f>"70043"</f>
        <v>70043</v>
      </c>
      <c r="C23411" s="2">
        <v>1.5761957817479098E-2</v>
      </c>
      <c r="D23411" s="2">
        <v>1.88045130831399E-2</v>
      </c>
      <c r="E23411" s="2">
        <v>2.0540495314591699E-2</v>
      </c>
      <c r="F23411" s="2">
        <v>1.6179936384461899E-2</v>
      </c>
    </row>
    <row r="23412" spans="1:6" x14ac:dyDescent="0.25">
      <c r="A23412" s="1" t="str">
        <f t="shared" si="874"/>
        <v>35380</v>
      </c>
      <c r="B23412" s="1" t="str">
        <f>"70085"</f>
        <v>70085</v>
      </c>
      <c r="C23412" s="2">
        <v>5.05816263722564E-3</v>
      </c>
      <c r="D23412" s="2">
        <v>1.7924301832439699E-3</v>
      </c>
      <c r="E23412" s="2">
        <v>4.6017402945113699E-4</v>
      </c>
      <c r="F23412" s="2">
        <v>4.6269591443215703E-3</v>
      </c>
    </row>
    <row r="23413" spans="1:6" x14ac:dyDescent="0.25">
      <c r="A23413" s="1" t="str">
        <f t="shared" si="874"/>
        <v>35380</v>
      </c>
      <c r="B23413" s="1" t="str">
        <f>"70065"</f>
        <v>70065</v>
      </c>
      <c r="C23413" s="2">
        <v>3.5524009131494998E-2</v>
      </c>
      <c r="D23413" s="2">
        <v>1.8580459310234401E-2</v>
      </c>
      <c r="E23413" s="2">
        <v>7.1619812583667994E-2</v>
      </c>
      <c r="F23413" s="2">
        <v>3.5254984041179702E-2</v>
      </c>
    </row>
    <row r="23414" spans="1:6" x14ac:dyDescent="0.25">
      <c r="A23414" s="1" t="str">
        <f t="shared" si="874"/>
        <v>35380</v>
      </c>
      <c r="B23414" s="1" t="str">
        <f>"70073"</f>
        <v>70073</v>
      </c>
      <c r="C23414" s="2">
        <v>3.2521212026771101E-3</v>
      </c>
      <c r="D23414" s="2">
        <v>4.5610946627190497E-3</v>
      </c>
      <c r="E23414" s="2">
        <v>8.3668005354752299E-5</v>
      </c>
      <c r="F23414" s="2">
        <v>3.2604336623981598E-3</v>
      </c>
    </row>
    <row r="23415" spans="1:6" x14ac:dyDescent="0.25">
      <c r="A23415" s="1" t="str">
        <f t="shared" si="874"/>
        <v>35380</v>
      </c>
      <c r="B23415" s="1" t="str">
        <f>"70127"</f>
        <v>70127</v>
      </c>
      <c r="C23415" s="2">
        <v>1.6003490537371299E-2</v>
      </c>
      <c r="D23415" s="2">
        <v>1.06585580539329E-2</v>
      </c>
      <c r="E23415" s="2">
        <v>1.6984605087014701E-2</v>
      </c>
      <c r="F23415" s="2">
        <v>1.5577017101482699E-2</v>
      </c>
    </row>
    <row r="23416" spans="1:6" x14ac:dyDescent="0.25">
      <c r="A23416" s="1" t="str">
        <f t="shared" si="874"/>
        <v>35380</v>
      </c>
      <c r="B23416" s="1" t="str">
        <f>"70084"</f>
        <v>70084</v>
      </c>
      <c r="C23416" s="2">
        <v>4.1372217504109902E-3</v>
      </c>
      <c r="D23416" s="2">
        <v>2.4645915019604701E-3</v>
      </c>
      <c r="E23416" s="2">
        <v>1.6315261044176699E-3</v>
      </c>
      <c r="F23416" s="2">
        <v>3.9114216809224799E-3</v>
      </c>
    </row>
    <row r="23417" spans="1:6" x14ac:dyDescent="0.25">
      <c r="A23417" s="1" t="str">
        <f t="shared" si="874"/>
        <v>35380</v>
      </c>
      <c r="B23417" s="1" t="str">
        <f>"70172"</f>
        <v>70172</v>
      </c>
      <c r="C23417" s="2">
        <v>1.18428946527772E-4</v>
      </c>
      <c r="D23417" s="2">
        <v>1.28030727374569E-4</v>
      </c>
      <c r="E23417" s="2">
        <v>8.3668005354752299E-5</v>
      </c>
      <c r="F23417" s="2">
        <v>1.18111750196395E-4</v>
      </c>
    </row>
    <row r="23418" spans="1:6" x14ac:dyDescent="0.25">
      <c r="A23418" s="1" t="str">
        <f t="shared" si="874"/>
        <v>35380</v>
      </c>
      <c r="B23418" s="1" t="str">
        <f>"70152"</f>
        <v>70152</v>
      </c>
      <c r="C23418" s="2">
        <v>8.1186159396012304E-4</v>
      </c>
      <c r="D23418" s="2">
        <v>2.1925262062895E-3</v>
      </c>
      <c r="E23418" s="2">
        <v>8.3668005354752299E-5</v>
      </c>
      <c r="F23418" s="2">
        <v>9.0643901313512503E-4</v>
      </c>
    </row>
    <row r="23419" spans="1:6" x14ac:dyDescent="0.25">
      <c r="A23419" s="1" t="str">
        <f t="shared" si="874"/>
        <v>35380</v>
      </c>
      <c r="B23419" s="1" t="str">
        <f>"70055"</f>
        <v>70055</v>
      </c>
      <c r="C23419" s="2">
        <v>1.7421521344480101E-3</v>
      </c>
      <c r="D23419" s="2">
        <v>6.27350564135392E-3</v>
      </c>
      <c r="E23419" s="2">
        <v>8.3668005354752299E-5</v>
      </c>
      <c r="F23419" s="2">
        <v>2.0765693755459202E-3</v>
      </c>
    </row>
    <row r="23420" spans="1:6" x14ac:dyDescent="0.25">
      <c r="A23420" s="1" t="str">
        <f t="shared" si="874"/>
        <v>35380</v>
      </c>
      <c r="B23420" s="1" t="str">
        <f>"70091"</f>
        <v>70091</v>
      </c>
      <c r="C23420" s="2">
        <v>1.0440446601790401E-4</v>
      </c>
      <c r="D23420" s="2">
        <v>9.2822277346563098E-4</v>
      </c>
      <c r="E23420" s="2">
        <v>4.1834002677376102E-5</v>
      </c>
      <c r="F23420" s="2">
        <v>1.7304744796216E-4</v>
      </c>
    </row>
    <row r="23421" spans="1:6" x14ac:dyDescent="0.25">
      <c r="A23421" s="1" t="str">
        <f t="shared" si="874"/>
        <v>35380</v>
      </c>
      <c r="B23421" s="1" t="str">
        <f>"70420"</f>
        <v>70420</v>
      </c>
      <c r="C23421" s="2">
        <v>8.7247851527499608E-3</v>
      </c>
      <c r="D23421" s="2">
        <v>5.2812675042009996E-3</v>
      </c>
      <c r="E23421" s="2">
        <v>1.8825301204819199E-3</v>
      </c>
      <c r="F23421" s="2">
        <v>8.2046464613170205E-3</v>
      </c>
    </row>
    <row r="23422" spans="1:6" x14ac:dyDescent="0.25">
      <c r="A23422" s="1" t="str">
        <f t="shared" si="874"/>
        <v>35380</v>
      </c>
      <c r="B23422" s="1" t="str">
        <f>"70431"</f>
        <v>70431</v>
      </c>
      <c r="C23422" s="2">
        <v>3.8863393768455799E-3</v>
      </c>
      <c r="D23422" s="2">
        <v>4.8011522765463698E-4</v>
      </c>
      <c r="E23422" s="2">
        <v>1.67336010709504E-4</v>
      </c>
      <c r="F23422" s="2">
        <v>3.4719360987963501E-3</v>
      </c>
    </row>
    <row r="23423" spans="1:6" x14ac:dyDescent="0.25">
      <c r="A23423" s="1" t="str">
        <f t="shared" si="874"/>
        <v>35380</v>
      </c>
      <c r="B23423" s="1" t="str">
        <f>"70150"</f>
        <v>70150</v>
      </c>
      <c r="C23423" s="2">
        <v>1.0159956991593101E-3</v>
      </c>
      <c r="D23423" s="2">
        <v>1.74441866047851E-3</v>
      </c>
      <c r="E23423" s="2">
        <v>8.3668005354752299E-5</v>
      </c>
      <c r="F23423" s="2">
        <v>1.0478984348819701E-3</v>
      </c>
    </row>
    <row r="23424" spans="1:6" x14ac:dyDescent="0.25">
      <c r="A23424" s="1" t="str">
        <f t="shared" si="874"/>
        <v>35380</v>
      </c>
      <c r="B23424" s="1" t="str">
        <f>"70448"</f>
        <v>70448</v>
      </c>
      <c r="C23424" s="2">
        <v>1.6255931186548899E-2</v>
      </c>
      <c r="D23424" s="2">
        <v>1.4115387693046299E-2</v>
      </c>
      <c r="E23424" s="2">
        <v>7.5719544846050797E-3</v>
      </c>
      <c r="F23424" s="2">
        <v>1.5787146145436699E-2</v>
      </c>
    </row>
    <row r="23425" spans="1:6" x14ac:dyDescent="0.25">
      <c r="A23425" s="1" t="str">
        <f t="shared" si="874"/>
        <v>35380</v>
      </c>
      <c r="B23425" s="1" t="str">
        <f>"70145"</f>
        <v>70145</v>
      </c>
      <c r="C23425" s="2">
        <v>0</v>
      </c>
      <c r="D23425" s="2">
        <v>0</v>
      </c>
      <c r="E23425" s="2">
        <v>4.1834002677376102E-5</v>
      </c>
      <c r="F23425" s="2">
        <v>1.3733924441441201E-6</v>
      </c>
    </row>
    <row r="23426" spans="1:6" x14ac:dyDescent="0.25">
      <c r="A23426" s="1" t="str">
        <f t="shared" si="874"/>
        <v>35380</v>
      </c>
      <c r="B23426" s="1" t="str">
        <f>"70178"</f>
        <v>70178</v>
      </c>
      <c r="C23426" s="2">
        <v>4.3475889580590102E-4</v>
      </c>
      <c r="D23426" s="2">
        <v>1.0242458189965501E-3</v>
      </c>
      <c r="E23426" s="2">
        <v>8.3668005354752299E-5</v>
      </c>
      <c r="F23426" s="2">
        <v>4.7382039322972402E-4</v>
      </c>
    </row>
    <row r="23427" spans="1:6" x14ac:dyDescent="0.25">
      <c r="A23427" s="1" t="str">
        <f t="shared" si="874"/>
        <v>35380</v>
      </c>
      <c r="B23427" s="1" t="str">
        <f>"70346"</f>
        <v>70346</v>
      </c>
      <c r="C23427" s="2">
        <v>7.7913780610376493E-6</v>
      </c>
      <c r="D23427" s="2">
        <v>3.20076818436424E-5</v>
      </c>
      <c r="E23427" s="2">
        <v>0</v>
      </c>
      <c r="F23427" s="2">
        <v>9.6137471090088994E-6</v>
      </c>
    </row>
    <row r="23428" spans="1:6" x14ac:dyDescent="0.25">
      <c r="A23428" s="1" t="str">
        <f t="shared" si="874"/>
        <v>35380</v>
      </c>
      <c r="B23428" s="1" t="str">
        <f>"70792"</f>
        <v>70792</v>
      </c>
      <c r="C23428" s="2">
        <v>0</v>
      </c>
      <c r="D23428" s="2">
        <v>0</v>
      </c>
      <c r="E23428" s="2">
        <v>4.1834002677376102E-5</v>
      </c>
      <c r="F23428" s="2">
        <v>1.3733924441441201E-6</v>
      </c>
    </row>
    <row r="23429" spans="1:6" x14ac:dyDescent="0.25">
      <c r="A23429" s="1" t="str">
        <f t="shared" si="874"/>
        <v>35380</v>
      </c>
      <c r="B23429" s="1" t="str">
        <f>"70057"</f>
        <v>70057</v>
      </c>
      <c r="C23429" s="2">
        <v>3.3487342906339799E-3</v>
      </c>
      <c r="D23429" s="2">
        <v>1.7604225014003301E-3</v>
      </c>
      <c r="E23429" s="2">
        <v>6.6934404283801796E-4</v>
      </c>
      <c r="F23429" s="2">
        <v>3.1244678104278899E-3</v>
      </c>
    </row>
    <row r="23430" spans="1:6" x14ac:dyDescent="0.25">
      <c r="A23430" s="1" t="str">
        <f t="shared" si="874"/>
        <v>35380</v>
      </c>
      <c r="B23430" s="1" t="str">
        <f>"70094"</f>
        <v>70094</v>
      </c>
      <c r="C23430" s="2">
        <v>2.1024254559904001E-2</v>
      </c>
      <c r="D23430" s="2">
        <v>9.5222853484836292E-3</v>
      </c>
      <c r="E23430" s="2">
        <v>2.1377175368139201E-2</v>
      </c>
      <c r="F23430" s="2">
        <v>2.00487828996159E-2</v>
      </c>
    </row>
    <row r="23431" spans="1:6" x14ac:dyDescent="0.25">
      <c r="A23431" s="1" t="str">
        <f t="shared" si="874"/>
        <v>35380</v>
      </c>
      <c r="B23431" s="1" t="str">
        <f>"70118"</f>
        <v>70118</v>
      </c>
      <c r="C23431" s="2">
        <v>2.5833093099176401E-2</v>
      </c>
      <c r="D23431" s="2">
        <v>1.37953108746099E-2</v>
      </c>
      <c r="E23431" s="2">
        <v>2.4849397590361401E-2</v>
      </c>
      <c r="F23431" s="2">
        <v>2.4767759337695198E-2</v>
      </c>
    </row>
    <row r="23432" spans="1:6" x14ac:dyDescent="0.25">
      <c r="A23432" s="1" t="str">
        <f t="shared" si="874"/>
        <v>35380</v>
      </c>
      <c r="B23432" s="1" t="str">
        <f>"70036"</f>
        <v>70036</v>
      </c>
      <c r="C23432" s="2">
        <v>1.201430497012E-3</v>
      </c>
      <c r="D23432" s="2">
        <v>1.7604225014003299E-4</v>
      </c>
      <c r="E23432" s="2">
        <v>1.2550200803212799E-4</v>
      </c>
      <c r="F23432" s="2">
        <v>1.0781130686531399E-3</v>
      </c>
    </row>
    <row r="23433" spans="1:6" x14ac:dyDescent="0.25">
      <c r="A23433" s="1" t="str">
        <f t="shared" si="874"/>
        <v>35380</v>
      </c>
      <c r="B23433" s="1" t="str">
        <f>"70114"</f>
        <v>70114</v>
      </c>
      <c r="C23433" s="2">
        <v>1.8571528746289302E-2</v>
      </c>
      <c r="D23433" s="2">
        <v>1.4227414579499E-2</v>
      </c>
      <c r="E23433" s="2">
        <v>2.07914993306559E-2</v>
      </c>
      <c r="F23433" s="2">
        <v>1.82716130768934E-2</v>
      </c>
    </row>
    <row r="23434" spans="1:6" x14ac:dyDescent="0.25">
      <c r="A23434" s="1" t="str">
        <f t="shared" si="874"/>
        <v>35380</v>
      </c>
      <c r="B23434" s="1" t="str">
        <f>"70096"</f>
        <v>70096</v>
      </c>
      <c r="C23434" s="2">
        <v>1.6159318098592E-3</v>
      </c>
      <c r="D23434" s="2">
        <v>2.0644954789149298E-3</v>
      </c>
      <c r="E23434" s="2">
        <v>1.67336010709504E-4</v>
      </c>
      <c r="F23434" s="2">
        <v>1.60686915964863E-3</v>
      </c>
    </row>
    <row r="23435" spans="1:6" x14ac:dyDescent="0.25">
      <c r="A23435" s="1" t="str">
        <f t="shared" si="874"/>
        <v>35380</v>
      </c>
      <c r="B23435" s="1" t="str">
        <f>"70040"</f>
        <v>70040</v>
      </c>
      <c r="C23435" s="2">
        <v>1.73591903199918E-3</v>
      </c>
      <c r="D23435" s="2">
        <v>6.4015363687284902E-4</v>
      </c>
      <c r="E23435" s="2">
        <v>1.2550200803212799E-4</v>
      </c>
      <c r="F23435" s="2">
        <v>1.58901505787475E-3</v>
      </c>
    </row>
    <row r="23436" spans="1:6" x14ac:dyDescent="0.25">
      <c r="A23436" s="1" t="str">
        <f t="shared" ref="A23436:A23467" si="875">"35380"</f>
        <v>35380</v>
      </c>
      <c r="B23436" s="1" t="str">
        <f>"70435"</f>
        <v>70435</v>
      </c>
      <c r="C23436" s="2">
        <v>1.38951436340545E-2</v>
      </c>
      <c r="D23436" s="2">
        <v>4.0489717532207698E-3</v>
      </c>
      <c r="E23436" s="2">
        <v>1.42235609103078E-3</v>
      </c>
      <c r="F23436" s="2">
        <v>1.2640704055902501E-2</v>
      </c>
    </row>
    <row r="23437" spans="1:6" x14ac:dyDescent="0.25">
      <c r="A23437" s="1" t="str">
        <f t="shared" si="875"/>
        <v>35380</v>
      </c>
      <c r="B23437" s="1" t="str">
        <f>"70437"</f>
        <v>70437</v>
      </c>
      <c r="C23437" s="2">
        <v>4.5875634023389697E-3</v>
      </c>
      <c r="D23437" s="2">
        <v>1.6804032967912201E-3</v>
      </c>
      <c r="E23437" s="2">
        <v>8.7851405622489903E-4</v>
      </c>
      <c r="F23437" s="2">
        <v>4.2163148035224696E-3</v>
      </c>
    </row>
    <row r="23438" spans="1:6" x14ac:dyDescent="0.25">
      <c r="A23438" s="1" t="str">
        <f t="shared" si="875"/>
        <v>35380</v>
      </c>
      <c r="B23438" s="1" t="str">
        <f>"70182"</f>
        <v>70182</v>
      </c>
      <c r="C23438" s="2">
        <v>1.66268007822543E-3</v>
      </c>
      <c r="D23438" s="2">
        <v>2.3685684564295401E-3</v>
      </c>
      <c r="E23438" s="2">
        <v>8.3668005354752299E-5</v>
      </c>
      <c r="F23438" s="2">
        <v>1.6714186045233999E-3</v>
      </c>
    </row>
    <row r="23439" spans="1:6" x14ac:dyDescent="0.25">
      <c r="A23439" s="1" t="str">
        <f t="shared" si="875"/>
        <v>35380</v>
      </c>
      <c r="B23439" s="1" t="str">
        <f>"70438"</f>
        <v>70438</v>
      </c>
      <c r="C23439" s="2">
        <v>2.8360616142176999E-4</v>
      </c>
      <c r="D23439" s="2">
        <v>1.60038409218212E-5</v>
      </c>
      <c r="E23439" s="2">
        <v>0</v>
      </c>
      <c r="F23439" s="2">
        <v>2.5133081727837499E-4</v>
      </c>
    </row>
    <row r="23440" spans="1:6" x14ac:dyDescent="0.25">
      <c r="A23440" s="1" t="str">
        <f t="shared" si="875"/>
        <v>35380</v>
      </c>
      <c r="B23440" s="1" t="str">
        <f>"70445"</f>
        <v>70445</v>
      </c>
      <c r="C23440" s="2">
        <v>7.3270119285998104E-3</v>
      </c>
      <c r="D23440" s="2">
        <v>2.4165799791950001E-3</v>
      </c>
      <c r="E23440" s="2">
        <v>1.0458500669343999E-3</v>
      </c>
      <c r="F23440" s="2">
        <v>6.6994083425350598E-3</v>
      </c>
    </row>
    <row r="23441" spans="1:6" x14ac:dyDescent="0.25">
      <c r="A23441" s="1" t="str">
        <f t="shared" si="875"/>
        <v>35380</v>
      </c>
      <c r="B23441" s="1" t="str">
        <f>"70464"</f>
        <v>70464</v>
      </c>
      <c r="C23441" s="2">
        <v>0</v>
      </c>
      <c r="D23441" s="2">
        <v>0</v>
      </c>
      <c r="E23441" s="2">
        <v>4.1834002677376102E-5</v>
      </c>
      <c r="F23441" s="2">
        <v>1.3733924441441201E-6</v>
      </c>
    </row>
    <row r="23442" spans="1:6" x14ac:dyDescent="0.25">
      <c r="A23442" s="1" t="str">
        <f t="shared" si="875"/>
        <v>35380</v>
      </c>
      <c r="B23442" s="1" t="str">
        <f>"70009"</f>
        <v>70009</v>
      </c>
      <c r="C23442" s="2">
        <v>6.2642679610742697E-4</v>
      </c>
      <c r="D23442" s="2">
        <v>4.0009602304553003E-3</v>
      </c>
      <c r="E23442" s="2">
        <v>8.3668005354752299E-5</v>
      </c>
      <c r="F23442" s="2">
        <v>8.9819865847025999E-4</v>
      </c>
    </row>
    <row r="23443" spans="1:6" x14ac:dyDescent="0.25">
      <c r="A23443" s="1" t="str">
        <f t="shared" si="875"/>
        <v>35380</v>
      </c>
      <c r="B23443" s="1" t="str">
        <f>"70153"</f>
        <v>70153</v>
      </c>
      <c r="C23443" s="2">
        <v>1.3463501289473E-3</v>
      </c>
      <c r="D23443" s="2">
        <v>1.98447627430583E-3</v>
      </c>
      <c r="E23443" s="2">
        <v>8.3668005354752299E-5</v>
      </c>
      <c r="F23443" s="2">
        <v>1.3596585197026799E-3</v>
      </c>
    </row>
    <row r="23444" spans="1:6" x14ac:dyDescent="0.25">
      <c r="A23444" s="1" t="str">
        <f t="shared" si="875"/>
        <v>35380</v>
      </c>
      <c r="B23444" s="1" t="str">
        <f>"70056"</f>
        <v>70056</v>
      </c>
      <c r="C23444" s="2">
        <v>2.47796987853241E-2</v>
      </c>
      <c r="D23444" s="2">
        <v>2.0500920220853001E-2</v>
      </c>
      <c r="E23444" s="2">
        <v>4.1039156626506E-2</v>
      </c>
      <c r="F23444" s="2">
        <v>2.4946300355433899E-2</v>
      </c>
    </row>
    <row r="23445" spans="1:6" x14ac:dyDescent="0.25">
      <c r="A23445" s="1" t="str">
        <f t="shared" si="875"/>
        <v>35380</v>
      </c>
      <c r="B23445" s="1" t="str">
        <f>"70068"</f>
        <v>70068</v>
      </c>
      <c r="C23445" s="2">
        <v>2.1466804833770899E-2</v>
      </c>
      <c r="D23445" s="2">
        <v>1.66760022405377E-2</v>
      </c>
      <c r="E23445" s="2">
        <v>1.6817269076305201E-2</v>
      </c>
      <c r="F23445" s="2">
        <v>2.0903032999873599E-2</v>
      </c>
    </row>
    <row r="23446" spans="1:6" x14ac:dyDescent="0.25">
      <c r="A23446" s="1" t="str">
        <f t="shared" si="875"/>
        <v>35380</v>
      </c>
      <c r="B23446" s="1" t="str">
        <f>"70049"</f>
        <v>70049</v>
      </c>
      <c r="C23446" s="2">
        <v>1.2419456629293999E-3</v>
      </c>
      <c r="D23446" s="2">
        <v>3.2007681843642402E-4</v>
      </c>
      <c r="E23446" s="2">
        <v>2.0917001338687999E-4</v>
      </c>
      <c r="F23446" s="2">
        <v>1.1289285890864701E-3</v>
      </c>
    </row>
    <row r="23447" spans="1:6" x14ac:dyDescent="0.25">
      <c r="A23447" s="1" t="str">
        <f t="shared" si="875"/>
        <v>35380</v>
      </c>
      <c r="B23447" s="1" t="str">
        <f>"70062"</f>
        <v>70062</v>
      </c>
      <c r="C23447" s="2">
        <v>1.1196210273711101E-2</v>
      </c>
      <c r="D23447" s="2">
        <v>3.5320476914459401E-2</v>
      </c>
      <c r="E23447" s="2">
        <v>2.8237951807228899E-2</v>
      </c>
      <c r="F23447" s="2">
        <v>1.38259417351989E-2</v>
      </c>
    </row>
    <row r="23448" spans="1:6" x14ac:dyDescent="0.25">
      <c r="A23448" s="1" t="str">
        <f t="shared" si="875"/>
        <v>35380</v>
      </c>
      <c r="B23448" s="1" t="str">
        <f>"70130"</f>
        <v>70130</v>
      </c>
      <c r="C23448" s="2">
        <v>1.8613602187818899E-2</v>
      </c>
      <c r="D23448" s="2">
        <v>4.9115787789069297E-2</v>
      </c>
      <c r="E23448" s="2">
        <v>4.8694779116465803E-2</v>
      </c>
      <c r="F23448" s="2">
        <v>2.22187429613637E-2</v>
      </c>
    </row>
    <row r="23449" spans="1:6" x14ac:dyDescent="0.25">
      <c r="A23449" s="1" t="str">
        <f t="shared" si="875"/>
        <v>35380</v>
      </c>
      <c r="B23449" s="1" t="str">
        <f>"70083"</f>
        <v>70083</v>
      </c>
      <c r="C23449" s="2">
        <v>1.2871356556834199E-3</v>
      </c>
      <c r="D23449" s="2">
        <v>7.52180523325598E-4</v>
      </c>
      <c r="E23449" s="2">
        <v>1.2550200803212799E-4</v>
      </c>
      <c r="F23449" s="2">
        <v>1.20309178107025E-3</v>
      </c>
    </row>
    <row r="23450" spans="1:6" x14ac:dyDescent="0.25">
      <c r="A23450" s="1" t="str">
        <f t="shared" si="875"/>
        <v>35380</v>
      </c>
      <c r="B23450" s="1" t="str">
        <f>"70032"</f>
        <v>70032</v>
      </c>
      <c r="C23450" s="2">
        <v>3.49521219818149E-3</v>
      </c>
      <c r="D23450" s="2">
        <v>4.08097943506441E-3</v>
      </c>
      <c r="E23450" s="2">
        <v>3.72322623828647E-3</v>
      </c>
      <c r="F23450" s="2">
        <v>3.5529662530008601E-3</v>
      </c>
    </row>
    <row r="23451" spans="1:6" x14ac:dyDescent="0.25">
      <c r="A23451" s="1" t="str">
        <f t="shared" si="875"/>
        <v>35380</v>
      </c>
      <c r="B23451" s="1" t="str">
        <f>"70003"</f>
        <v>70003</v>
      </c>
      <c r="C23451" s="2">
        <v>2.6927002578946101E-2</v>
      </c>
      <c r="D23451" s="2">
        <v>1.32671841241898E-2</v>
      </c>
      <c r="E23451" s="2">
        <v>1.67754350736278E-2</v>
      </c>
      <c r="F23451" s="2">
        <v>2.5421494141107798E-2</v>
      </c>
    </row>
    <row r="23452" spans="1:6" x14ac:dyDescent="0.25">
      <c r="A23452" s="1" t="str">
        <f t="shared" si="875"/>
        <v>35380</v>
      </c>
      <c r="B23452" s="1" t="str">
        <f>"70151"</f>
        <v>70151</v>
      </c>
      <c r="C23452" s="2">
        <v>9.4119846977334801E-4</v>
      </c>
      <c r="D23452" s="2">
        <v>1.72841481955669E-3</v>
      </c>
      <c r="E23452" s="2">
        <v>8.3668005354752299E-5</v>
      </c>
      <c r="F23452" s="2">
        <v>9.8060220511890809E-4</v>
      </c>
    </row>
    <row r="23453" spans="1:6" x14ac:dyDescent="0.25">
      <c r="A23453" s="1" t="str">
        <f t="shared" si="875"/>
        <v>35380</v>
      </c>
      <c r="B23453" s="1" t="str">
        <f>"70157"</f>
        <v>70157</v>
      </c>
      <c r="C23453" s="2">
        <v>8.8354227212167E-4</v>
      </c>
      <c r="D23453" s="2">
        <v>1.5203648875730101E-3</v>
      </c>
      <c r="E23453" s="2">
        <v>8.3668005354752299E-5</v>
      </c>
      <c r="F23453" s="2">
        <v>9.1193258291170096E-4</v>
      </c>
    </row>
    <row r="23454" spans="1:6" x14ac:dyDescent="0.25">
      <c r="A23454" s="1" t="str">
        <f t="shared" si="875"/>
        <v>35380</v>
      </c>
      <c r="B23454" s="1" t="str">
        <f>"70170"</f>
        <v>70170</v>
      </c>
      <c r="C23454" s="2">
        <v>0</v>
      </c>
      <c r="D23454" s="2">
        <v>1.9204609106185399E-3</v>
      </c>
      <c r="E23454" s="2">
        <v>1.67336010709504E-4</v>
      </c>
      <c r="F23454" s="2">
        <v>1.7030066307387201E-4</v>
      </c>
    </row>
    <row r="23455" spans="1:6" x14ac:dyDescent="0.25">
      <c r="A23455" s="1" t="str">
        <f t="shared" si="875"/>
        <v>35380</v>
      </c>
      <c r="B23455" s="1" t="str">
        <f>"70181"</f>
        <v>70181</v>
      </c>
      <c r="C23455" s="2">
        <v>1.2201298043584901E-3</v>
      </c>
      <c r="D23455" s="2">
        <v>3.9529487076898403E-3</v>
      </c>
      <c r="E23455" s="2">
        <v>8.3668005354752299E-5</v>
      </c>
      <c r="F23455" s="2">
        <v>1.4173410023567399E-3</v>
      </c>
    </row>
    <row r="23456" spans="1:6" x14ac:dyDescent="0.25">
      <c r="A23456" s="1" t="str">
        <f t="shared" si="875"/>
        <v>35380</v>
      </c>
      <c r="B23456" s="1" t="str">
        <f>"70358"</f>
        <v>70358</v>
      </c>
      <c r="C23456" s="2">
        <v>2.04134105199186E-4</v>
      </c>
      <c r="D23456" s="2">
        <v>1.9204609106185399E-4</v>
      </c>
      <c r="E23456" s="2">
        <v>4.1834002677376102E-5</v>
      </c>
      <c r="F23456" s="2">
        <v>1.97768511956754E-4</v>
      </c>
    </row>
    <row r="23457" spans="1:6" x14ac:dyDescent="0.25">
      <c r="A23457" s="1" t="str">
        <f t="shared" si="875"/>
        <v>35380</v>
      </c>
      <c r="B23457" s="1" t="str">
        <f>"70010"</f>
        <v>70010</v>
      </c>
      <c r="C23457" s="2">
        <v>6.6850023763702999E-4</v>
      </c>
      <c r="D23457" s="2">
        <v>3.2167720252860598E-3</v>
      </c>
      <c r="E23457" s="2">
        <v>8.3668005354752299E-5</v>
      </c>
      <c r="F23457" s="2">
        <v>8.6798402469908905E-4</v>
      </c>
    </row>
    <row r="23458" spans="1:6" x14ac:dyDescent="0.25">
      <c r="A23458" s="1" t="str">
        <f t="shared" si="875"/>
        <v>35380</v>
      </c>
      <c r="B23458" s="1" t="str">
        <f>"70184"</f>
        <v>70184</v>
      </c>
      <c r="C23458" s="2">
        <v>9.3652364293672597E-4</v>
      </c>
      <c r="D23458" s="2">
        <v>3.8249179803152701E-3</v>
      </c>
      <c r="E23458" s="2">
        <v>8.3668005354752299E-5</v>
      </c>
      <c r="F23458" s="2">
        <v>1.1563964379693501E-3</v>
      </c>
    </row>
    <row r="23459" spans="1:6" x14ac:dyDescent="0.25">
      <c r="A23459" s="1" t="str">
        <f t="shared" si="875"/>
        <v>35380</v>
      </c>
      <c r="B23459" s="1" t="str">
        <f>"70093"</f>
        <v>70093</v>
      </c>
      <c r="C23459" s="2">
        <v>1.5582756122075301E-6</v>
      </c>
      <c r="D23459" s="2">
        <v>0</v>
      </c>
      <c r="E23459" s="2">
        <v>0</v>
      </c>
      <c r="F23459" s="2">
        <v>1.3733924441441201E-6</v>
      </c>
    </row>
    <row r="23460" spans="1:6" x14ac:dyDescent="0.25">
      <c r="A23460" s="1" t="str">
        <f t="shared" si="875"/>
        <v>35380</v>
      </c>
      <c r="B23460" s="1" t="str">
        <f>"70030"</f>
        <v>70030</v>
      </c>
      <c r="C23460" s="2">
        <v>2.0989972496435398E-3</v>
      </c>
      <c r="D23460" s="2">
        <v>3.0407297751460302E-4</v>
      </c>
      <c r="E23460" s="2">
        <v>4.6017402945113699E-4</v>
      </c>
      <c r="F23460" s="2">
        <v>1.89116139558646E-3</v>
      </c>
    </row>
    <row r="23461" spans="1:6" x14ac:dyDescent="0.25">
      <c r="A23461" s="1" t="str">
        <f t="shared" si="875"/>
        <v>35380</v>
      </c>
      <c r="B23461" s="1" t="str">
        <f>"70126"</f>
        <v>70126</v>
      </c>
      <c r="C23461" s="2">
        <v>1.9416114128105798E-2</v>
      </c>
      <c r="D23461" s="2">
        <v>1.15867808273985E-2</v>
      </c>
      <c r="E23461" s="2">
        <v>1.7528447121820601E-2</v>
      </c>
      <c r="F23461" s="2">
        <v>1.8682257417692499E-2</v>
      </c>
    </row>
    <row r="23462" spans="1:6" x14ac:dyDescent="0.25">
      <c r="A23462" s="1" t="str">
        <f t="shared" si="875"/>
        <v>35380</v>
      </c>
      <c r="B23462" s="1" t="str">
        <f>"70047"</f>
        <v>70047</v>
      </c>
      <c r="C23462" s="2">
        <v>8.8556803041753892E-3</v>
      </c>
      <c r="D23462" s="2">
        <v>6.0174441866047796E-3</v>
      </c>
      <c r="E23462" s="2">
        <v>1.26757028112449E-2</v>
      </c>
      <c r="F23462" s="2">
        <v>8.7375227296449497E-3</v>
      </c>
    </row>
    <row r="23463" spans="1:6" x14ac:dyDescent="0.25">
      <c r="A23463" s="1" t="str">
        <f t="shared" si="875"/>
        <v>35380</v>
      </c>
      <c r="B23463" s="1" t="str">
        <f>"70075"</f>
        <v>70075</v>
      </c>
      <c r="C23463" s="2">
        <v>4.2790248311218798E-3</v>
      </c>
      <c r="D23463" s="2">
        <v>1.6643994558694E-3</v>
      </c>
      <c r="E23463" s="2">
        <v>1.7151941097724201E-3</v>
      </c>
      <c r="F23463" s="2">
        <v>3.9704775560206696E-3</v>
      </c>
    </row>
    <row r="23464" spans="1:6" x14ac:dyDescent="0.25">
      <c r="A23464" s="1" t="str">
        <f t="shared" si="875"/>
        <v>35380</v>
      </c>
      <c r="B23464" s="1" t="str">
        <f>"70004"</f>
        <v>70004</v>
      </c>
      <c r="C23464" s="2">
        <v>1.82785729311943E-3</v>
      </c>
      <c r="D23464" s="2">
        <v>4.6571177082499696E-3</v>
      </c>
      <c r="E23464" s="2">
        <v>8.3668005354752299E-5</v>
      </c>
      <c r="F23464" s="2">
        <v>2.0133933231152902E-3</v>
      </c>
    </row>
    <row r="23465" spans="1:6" x14ac:dyDescent="0.25">
      <c r="A23465" s="1" t="str">
        <f t="shared" si="875"/>
        <v>35380</v>
      </c>
      <c r="B23465" s="1" t="str">
        <f>"70005"</f>
        <v>70005</v>
      </c>
      <c r="C23465" s="2">
        <v>2.0658059791035199E-2</v>
      </c>
      <c r="D23465" s="2">
        <v>1.7460190445706899E-2</v>
      </c>
      <c r="E23465" s="2">
        <v>2.9241967871485901E-2</v>
      </c>
      <c r="F23465" s="2">
        <v>2.0665436107036701E-2</v>
      </c>
    </row>
    <row r="23466" spans="1:6" x14ac:dyDescent="0.25">
      <c r="A23466" s="1" t="str">
        <f t="shared" si="875"/>
        <v>35380</v>
      </c>
      <c r="B23466" s="1" t="str">
        <f>"70471"</f>
        <v>70471</v>
      </c>
      <c r="C23466" s="2">
        <v>1.48254341745424E-2</v>
      </c>
      <c r="D23466" s="2">
        <v>2.3845722973513599E-2</v>
      </c>
      <c r="E23466" s="2">
        <v>1.78212851405622E-2</v>
      </c>
      <c r="F23466" s="2">
        <v>1.5697875636567299E-2</v>
      </c>
    </row>
    <row r="23467" spans="1:6" x14ac:dyDescent="0.25">
      <c r="A23467" s="1" t="str">
        <f t="shared" si="875"/>
        <v>35380</v>
      </c>
      <c r="B23467" s="1" t="str">
        <f>"70156"</f>
        <v>70156</v>
      </c>
      <c r="C23467" s="2">
        <v>8.1497814518453795E-4</v>
      </c>
      <c r="D23467" s="2">
        <v>1.8404417060094401E-3</v>
      </c>
      <c r="E23467" s="2">
        <v>8.3668005354752299E-5</v>
      </c>
      <c r="F23467" s="2">
        <v>8.78971164252242E-4</v>
      </c>
    </row>
    <row r="23468" spans="1:6" x14ac:dyDescent="0.25">
      <c r="A23468" s="1" t="str">
        <f t="shared" ref="A23468:A23499" si="876">"35380"</f>
        <v>35380</v>
      </c>
      <c r="B23468" s="1" t="str">
        <f>"70460"</f>
        <v>70460</v>
      </c>
      <c r="C23468" s="2">
        <v>1.5392646497385899E-2</v>
      </c>
      <c r="D23468" s="2">
        <v>1.1970873009522201E-2</v>
      </c>
      <c r="E23468" s="2">
        <v>5.5220883534136504E-3</v>
      </c>
      <c r="F23468" s="2">
        <v>1.47749559141025E-2</v>
      </c>
    </row>
    <row r="23469" spans="1:6" x14ac:dyDescent="0.25">
      <c r="A23469" s="1" t="str">
        <f t="shared" si="876"/>
        <v>35380</v>
      </c>
      <c r="B23469" s="1" t="str">
        <f>"70146"</f>
        <v>70146</v>
      </c>
      <c r="C23469" s="2">
        <v>0</v>
      </c>
      <c r="D23469" s="2">
        <v>1.6003840921821201E-4</v>
      </c>
      <c r="E23469" s="2">
        <v>1.2550200803212799E-4</v>
      </c>
      <c r="F23469" s="2">
        <v>1.7854101773873599E-5</v>
      </c>
    </row>
    <row r="23470" spans="1:6" x14ac:dyDescent="0.25">
      <c r="A23470" s="1" t="str">
        <f t="shared" si="876"/>
        <v>35380</v>
      </c>
      <c r="B23470" s="1" t="str">
        <f>"70174"</f>
        <v>70174</v>
      </c>
      <c r="C23470" s="2">
        <v>2.99968055349949E-3</v>
      </c>
      <c r="D23470" s="2">
        <v>4.6571177082499696E-3</v>
      </c>
      <c r="E23470" s="2">
        <v>8.3668005354752299E-5</v>
      </c>
      <c r="F23470" s="2">
        <v>3.0461844411116702E-3</v>
      </c>
    </row>
    <row r="23471" spans="1:6" x14ac:dyDescent="0.25">
      <c r="A23471" s="1" t="str">
        <f t="shared" si="876"/>
        <v>35380</v>
      </c>
      <c r="B23471" s="1" t="str">
        <f>"70058"</f>
        <v>70058</v>
      </c>
      <c r="C23471" s="2">
        <v>2.5226923886027701E-2</v>
      </c>
      <c r="D23471" s="2">
        <v>2.8918940545730899E-2</v>
      </c>
      <c r="E23471" s="2">
        <v>4.7941767068273002E-2</v>
      </c>
      <c r="F23471" s="2">
        <v>2.6289478165806901E-2</v>
      </c>
    </row>
    <row r="23472" spans="1:6" x14ac:dyDescent="0.25">
      <c r="A23472" s="1" t="str">
        <f t="shared" si="876"/>
        <v>35380</v>
      </c>
      <c r="B23472" s="1" t="str">
        <f>"70131"</f>
        <v>70131</v>
      </c>
      <c r="C23472" s="2">
        <v>1.9144974171581699E-2</v>
      </c>
      <c r="D23472" s="2">
        <v>4.5290869808754103E-3</v>
      </c>
      <c r="E23472" s="2">
        <v>1.2801204819277099E-2</v>
      </c>
      <c r="F23472" s="2">
        <v>1.7682427718355601E-2</v>
      </c>
    </row>
    <row r="23473" spans="1:6" x14ac:dyDescent="0.25">
      <c r="A23473" s="1" t="str">
        <f t="shared" si="876"/>
        <v>35380</v>
      </c>
      <c r="B23473" s="1" t="str">
        <f>"70070"</f>
        <v>70070</v>
      </c>
      <c r="C23473" s="2">
        <v>9.8124615300708203E-3</v>
      </c>
      <c r="D23473" s="2">
        <v>5.9694326638393197E-3</v>
      </c>
      <c r="E23473" s="2">
        <v>2.5100401606425698E-3</v>
      </c>
      <c r="F23473" s="2">
        <v>9.2429311490899897E-3</v>
      </c>
    </row>
    <row r="23474" spans="1:6" x14ac:dyDescent="0.25">
      <c r="A23474" s="1" t="str">
        <f t="shared" si="876"/>
        <v>35380</v>
      </c>
      <c r="B23474" s="1" t="str">
        <f>"70123"</f>
        <v>70123</v>
      </c>
      <c r="C23474" s="2">
        <v>2.1628865497440499E-2</v>
      </c>
      <c r="D23474" s="2">
        <v>3.0327278546851199E-2</v>
      </c>
      <c r="E23474" s="2">
        <v>4.0620816599732198E-2</v>
      </c>
      <c r="F23474" s="2">
        <v>2.2998829869637499E-2</v>
      </c>
    </row>
    <row r="23475" spans="1:6" x14ac:dyDescent="0.25">
      <c r="A23475" s="1" t="str">
        <f t="shared" si="876"/>
        <v>35380</v>
      </c>
      <c r="B23475" s="1" t="str">
        <f>"70080"</f>
        <v>70080</v>
      </c>
      <c r="C23475" s="2">
        <v>6.8564126937131298E-4</v>
      </c>
      <c r="D23475" s="2">
        <v>3.6808834120188801E-4</v>
      </c>
      <c r="E23475" s="2">
        <v>2.9283801874163299E-4</v>
      </c>
      <c r="F23475" s="2">
        <v>6.4549444874773996E-4</v>
      </c>
    </row>
    <row r="23476" spans="1:6" x14ac:dyDescent="0.25">
      <c r="A23476" s="1" t="str">
        <f t="shared" si="876"/>
        <v>35380</v>
      </c>
      <c r="B23476" s="1" t="str">
        <f>"70059"</f>
        <v>70059</v>
      </c>
      <c r="C23476" s="2">
        <v>3.9284128183751802E-3</v>
      </c>
      <c r="D23476" s="2">
        <v>6.2094902776666299E-3</v>
      </c>
      <c r="E23476" s="2">
        <v>8.3668005354752299E-5</v>
      </c>
      <c r="F23476" s="2">
        <v>3.9979454049035596E-3</v>
      </c>
    </row>
    <row r="23477" spans="1:6" x14ac:dyDescent="0.25">
      <c r="A23477" s="1" t="str">
        <f t="shared" si="876"/>
        <v>35380</v>
      </c>
      <c r="B23477" s="1" t="str">
        <f>"70001"</f>
        <v>70001</v>
      </c>
      <c r="C23477" s="2">
        <v>3.1171745346599399E-2</v>
      </c>
      <c r="D23477" s="2">
        <v>2.9014963591261898E-2</v>
      </c>
      <c r="E23477" s="2">
        <v>4.7063253012048098E-2</v>
      </c>
      <c r="F23477" s="2">
        <v>3.1508369453554598E-2</v>
      </c>
    </row>
    <row r="23478" spans="1:6" x14ac:dyDescent="0.25">
      <c r="A23478" s="1" t="str">
        <f t="shared" si="876"/>
        <v>35380</v>
      </c>
      <c r="B23478" s="1" t="str">
        <f>"70763"</f>
        <v>70763</v>
      </c>
      <c r="C23478" s="2">
        <v>2.2906651499450701E-3</v>
      </c>
      <c r="D23478" s="2">
        <v>6.7216131871649103E-4</v>
      </c>
      <c r="E23478" s="2">
        <v>1.4641900937081599E-3</v>
      </c>
      <c r="F23478" s="2">
        <v>2.1246381110909601E-3</v>
      </c>
    </row>
    <row r="23479" spans="1:6" x14ac:dyDescent="0.25">
      <c r="A23479" s="1" t="str">
        <f t="shared" si="876"/>
        <v>35380</v>
      </c>
      <c r="B23479" s="1" t="str">
        <f>"70433"</f>
        <v>70433</v>
      </c>
      <c r="C23479" s="2">
        <v>3.0710495765385998E-2</v>
      </c>
      <c r="D23479" s="2">
        <v>4.3370408898135503E-2</v>
      </c>
      <c r="E23479" s="2">
        <v>2.3301539491298501E-2</v>
      </c>
      <c r="F23479" s="2">
        <v>3.1553691404211298E-2</v>
      </c>
    </row>
    <row r="23480" spans="1:6" x14ac:dyDescent="0.25">
      <c r="A23480" s="1" t="str">
        <f t="shared" si="876"/>
        <v>35380</v>
      </c>
      <c r="B23480" s="1" t="str">
        <f>"70050"</f>
        <v>70050</v>
      </c>
      <c r="C23480" s="2">
        <v>0</v>
      </c>
      <c r="D23480" s="2">
        <v>0</v>
      </c>
      <c r="E23480" s="2">
        <v>4.1834002677376102E-5</v>
      </c>
      <c r="F23480" s="2">
        <v>1.3733924441441201E-6</v>
      </c>
    </row>
    <row r="23481" spans="1:6" x14ac:dyDescent="0.25">
      <c r="A23481" s="1" t="str">
        <f t="shared" si="876"/>
        <v>35380</v>
      </c>
      <c r="B23481" s="1" t="str">
        <f>"70082"</f>
        <v>70082</v>
      </c>
      <c r="C23481" s="2">
        <v>0</v>
      </c>
      <c r="D23481" s="2">
        <v>0</v>
      </c>
      <c r="E23481" s="2">
        <v>8.3668005354752299E-5</v>
      </c>
      <c r="F23481" s="2">
        <v>2.7467848882882499E-6</v>
      </c>
    </row>
    <row r="23482" spans="1:6" x14ac:dyDescent="0.25">
      <c r="A23482" s="1" t="str">
        <f t="shared" si="876"/>
        <v>35380</v>
      </c>
      <c r="B23482" s="1" t="str">
        <f>"70078"</f>
        <v>70078</v>
      </c>
      <c r="C23482" s="2">
        <v>0</v>
      </c>
      <c r="D23482" s="2">
        <v>0</v>
      </c>
      <c r="E23482" s="2">
        <v>4.1834002677376102E-5</v>
      </c>
      <c r="F23482" s="2">
        <v>1.3733924441441201E-6</v>
      </c>
    </row>
    <row r="23483" spans="1:6" x14ac:dyDescent="0.25">
      <c r="A23483" s="1" t="str">
        <f t="shared" si="876"/>
        <v>35380</v>
      </c>
      <c r="B23483" s="1" t="str">
        <f>"70063"</f>
        <v>70063</v>
      </c>
      <c r="C23483" s="2">
        <v>2.8064543775857599E-3</v>
      </c>
      <c r="D23483" s="2">
        <v>5.1692406177482504E-3</v>
      </c>
      <c r="E23483" s="2">
        <v>8.3668005354752299E-5</v>
      </c>
      <c r="F23483" s="2">
        <v>2.9198323362504101E-3</v>
      </c>
    </row>
    <row r="23484" spans="1:6" x14ac:dyDescent="0.25">
      <c r="A23484" s="1" t="str">
        <f t="shared" si="876"/>
        <v>35380</v>
      </c>
      <c r="B23484" s="1" t="str">
        <f>"70054"</f>
        <v>70054</v>
      </c>
      <c r="C23484" s="2">
        <v>2.94514090707223E-3</v>
      </c>
      <c r="D23484" s="2">
        <v>5.2812675042009996E-3</v>
      </c>
      <c r="E23484" s="2">
        <v>1.67336010709504E-4</v>
      </c>
      <c r="F23484" s="2">
        <v>3.0544247957765402E-3</v>
      </c>
    </row>
    <row r="23485" spans="1:6" x14ac:dyDescent="0.25">
      <c r="A23485" s="1" t="str">
        <f t="shared" si="876"/>
        <v>35380</v>
      </c>
      <c r="B23485" s="1" t="str">
        <f>"70469"</f>
        <v>70469</v>
      </c>
      <c r="C23485" s="2">
        <v>2.46986684534893E-3</v>
      </c>
      <c r="D23485" s="2">
        <v>3.0087220933023898E-3</v>
      </c>
      <c r="E23485" s="2">
        <v>8.3668005354752299E-5</v>
      </c>
      <c r="F23485" s="2">
        <v>2.4377715883558198E-3</v>
      </c>
    </row>
    <row r="23486" spans="1:6" x14ac:dyDescent="0.25">
      <c r="A23486" s="1" t="str">
        <f t="shared" si="876"/>
        <v>35380</v>
      </c>
      <c r="B23486" s="1" t="str">
        <f>"70427"</f>
        <v>70427</v>
      </c>
      <c r="C23486" s="2">
        <v>5.0643957396744705E-4</v>
      </c>
      <c r="D23486" s="2">
        <v>1.7604225014003299E-4</v>
      </c>
      <c r="E23486" s="2">
        <v>8.3668005354752299E-5</v>
      </c>
      <c r="F23486" s="2">
        <v>4.6420664612071498E-4</v>
      </c>
    </row>
    <row r="23487" spans="1:6" x14ac:dyDescent="0.25">
      <c r="A23487" s="1" t="str">
        <f t="shared" si="876"/>
        <v>35380</v>
      </c>
      <c r="B23487" s="1" t="str">
        <f>"70158"</f>
        <v>70158</v>
      </c>
      <c r="C23487" s="2">
        <v>1.0393698333424201E-3</v>
      </c>
      <c r="D23487" s="2">
        <v>1.90445706969672E-3</v>
      </c>
      <c r="E23487" s="2">
        <v>8.3668005354752299E-5</v>
      </c>
      <c r="F23487" s="2">
        <v>1.08223324598557E-3</v>
      </c>
    </row>
    <row r="23488" spans="1:6" x14ac:dyDescent="0.25">
      <c r="A23488" s="1" t="str">
        <f t="shared" si="876"/>
        <v>35380</v>
      </c>
      <c r="B23488" s="1" t="str">
        <f>"70072"</f>
        <v>70072</v>
      </c>
      <c r="C23488" s="2">
        <v>3.5642438078022802E-2</v>
      </c>
      <c r="D23488" s="2">
        <v>2.54301032247739E-2</v>
      </c>
      <c r="E23488" s="2">
        <v>1.9452811244979901E-2</v>
      </c>
      <c r="F23488" s="2">
        <v>3.42345534551807E-2</v>
      </c>
    </row>
    <row r="23489" spans="1:6" x14ac:dyDescent="0.25">
      <c r="A23489" s="1" t="str">
        <f t="shared" si="876"/>
        <v>35380</v>
      </c>
      <c r="B23489" s="1" t="str">
        <f>"70117"</f>
        <v>70117</v>
      </c>
      <c r="C23489" s="2">
        <v>2.61447482216179E-2</v>
      </c>
      <c r="D23489" s="2">
        <v>1.31231495558934E-2</v>
      </c>
      <c r="E23489" s="2">
        <v>1.4181726907630501E-2</v>
      </c>
      <c r="F23489" s="2">
        <v>2.4634540270613198E-2</v>
      </c>
    </row>
    <row r="23490" spans="1:6" x14ac:dyDescent="0.25">
      <c r="A23490" s="1" t="str">
        <f t="shared" si="876"/>
        <v>35380</v>
      </c>
      <c r="B23490" s="1" t="str">
        <f>"70087"</f>
        <v>70087</v>
      </c>
      <c r="C23490" s="2">
        <v>5.5786266917029603E-3</v>
      </c>
      <c r="D23490" s="2">
        <v>6.32151716411938E-3</v>
      </c>
      <c r="E23490" s="2">
        <v>6.1495983935742904E-3</v>
      </c>
      <c r="F23490" s="2">
        <v>5.6611236547621001E-3</v>
      </c>
    </row>
    <row r="23491" spans="1:6" x14ac:dyDescent="0.25">
      <c r="A23491" s="1" t="str">
        <f t="shared" si="876"/>
        <v>35380</v>
      </c>
      <c r="B23491" s="1" t="str">
        <f>"70124"</f>
        <v>70124</v>
      </c>
      <c r="C23491" s="2">
        <v>1.6163992925428701E-2</v>
      </c>
      <c r="D23491" s="2">
        <v>5.6493558454028901E-3</v>
      </c>
      <c r="E23491" s="2">
        <v>6.4424364123159298E-3</v>
      </c>
      <c r="F23491" s="2">
        <v>1.4942509792288099E-2</v>
      </c>
    </row>
    <row r="23492" spans="1:6" x14ac:dyDescent="0.25">
      <c r="A23492" s="1" t="str">
        <f t="shared" si="876"/>
        <v>35380</v>
      </c>
      <c r="B23492" s="1" t="str">
        <f>"70125"</f>
        <v>70125</v>
      </c>
      <c r="C23492" s="2">
        <v>1.30630244571357E-2</v>
      </c>
      <c r="D23492" s="2">
        <v>1.01464351444346E-2</v>
      </c>
      <c r="E23492" s="2">
        <v>9.6636546184738908E-3</v>
      </c>
      <c r="F23492" s="2">
        <v>1.2701133323444899E-2</v>
      </c>
    </row>
    <row r="23493" spans="1:6" x14ac:dyDescent="0.25">
      <c r="A23493" s="1" t="str">
        <f t="shared" si="876"/>
        <v>35380</v>
      </c>
      <c r="B23493" s="1" t="str">
        <f>"70128"</f>
        <v>70128</v>
      </c>
      <c r="C23493" s="2">
        <v>1.1543705735233299E-2</v>
      </c>
      <c r="D23493" s="2">
        <v>2.35256461550772E-3</v>
      </c>
      <c r="E23493" s="2">
        <v>2.13353413654618E-3</v>
      </c>
      <c r="F23493" s="2">
        <v>1.04460229301602E-2</v>
      </c>
    </row>
    <row r="23494" spans="1:6" x14ac:dyDescent="0.25">
      <c r="A23494" s="1" t="str">
        <f t="shared" si="876"/>
        <v>35380</v>
      </c>
      <c r="B23494" s="1" t="str">
        <f>"70139"</f>
        <v>70139</v>
      </c>
      <c r="C23494" s="2">
        <v>0</v>
      </c>
      <c r="D23494" s="2">
        <v>1.44034568296391E-3</v>
      </c>
      <c r="E23494" s="2">
        <v>1.2550200803212799E-4</v>
      </c>
      <c r="F23494" s="2">
        <v>1.27725497305404E-4</v>
      </c>
    </row>
    <row r="23495" spans="1:6" x14ac:dyDescent="0.25">
      <c r="A23495" s="1" t="str">
        <f t="shared" si="876"/>
        <v>35380</v>
      </c>
      <c r="B23495" s="1" t="str">
        <f>"70452"</f>
        <v>70452</v>
      </c>
      <c r="C23495" s="2">
        <v>1.26064497027589E-2</v>
      </c>
      <c r="D23495" s="2">
        <v>5.6333520044810704E-3</v>
      </c>
      <c r="E23495" s="2">
        <v>2.5937081659973202E-3</v>
      </c>
      <c r="F23495" s="2">
        <v>1.1679329345001601E-2</v>
      </c>
    </row>
    <row r="23496" spans="1:6" x14ac:dyDescent="0.25">
      <c r="A23496" s="1" t="str">
        <f t="shared" si="876"/>
        <v>35380</v>
      </c>
      <c r="B23496" s="1" t="str">
        <f>"70434"</f>
        <v>70434</v>
      </c>
      <c r="C23496" s="2">
        <v>5.4851301549705004E-3</v>
      </c>
      <c r="D23496" s="2">
        <v>1.0562535008401999E-2</v>
      </c>
      <c r="E23496" s="2">
        <v>8.3668005354752299E-5</v>
      </c>
      <c r="F23496" s="2">
        <v>5.7435272014107397E-3</v>
      </c>
    </row>
    <row r="23497" spans="1:6" x14ac:dyDescent="0.25">
      <c r="A23497" s="1" t="str">
        <f t="shared" si="876"/>
        <v>35380</v>
      </c>
      <c r="B23497" s="1" t="str">
        <f>"70143"</f>
        <v>70143</v>
      </c>
      <c r="C23497" s="2">
        <v>0</v>
      </c>
      <c r="D23497" s="2">
        <v>1.60038409218212E-5</v>
      </c>
      <c r="E23497" s="2">
        <v>0</v>
      </c>
      <c r="F23497" s="2">
        <v>1.3733924441441201E-6</v>
      </c>
    </row>
    <row r="23498" spans="1:6" x14ac:dyDescent="0.25">
      <c r="A23498" s="1" t="str">
        <f t="shared" si="876"/>
        <v>35380</v>
      </c>
      <c r="B23498" s="1" t="str">
        <f>"70119"</f>
        <v>70119</v>
      </c>
      <c r="C23498" s="2">
        <v>3.3622912884601799E-2</v>
      </c>
      <c r="D23498" s="2">
        <v>3.2167720252860597E-2</v>
      </c>
      <c r="E23498" s="2">
        <v>4.1039156626506E-2</v>
      </c>
      <c r="F23498" s="2">
        <v>3.37415055677329E-2</v>
      </c>
    </row>
    <row r="23499" spans="1:6" x14ac:dyDescent="0.25">
      <c r="A23499" s="1" t="str">
        <f t="shared" si="876"/>
        <v>35380</v>
      </c>
      <c r="B23499" s="1" t="str">
        <f>"70122"</f>
        <v>70122</v>
      </c>
      <c r="C23499" s="2">
        <v>2.5664799333058E-2</v>
      </c>
      <c r="D23499" s="2">
        <v>8.8821317116107804E-3</v>
      </c>
      <c r="E23499" s="2">
        <v>1.21736947791164E-2</v>
      </c>
      <c r="F23499" s="2">
        <v>2.3781663562799701E-2</v>
      </c>
    </row>
    <row r="23500" spans="1:6" x14ac:dyDescent="0.25">
      <c r="A23500" s="1" t="str">
        <f t="shared" ref="A23500:A23507" si="877">"35380"</f>
        <v>35380</v>
      </c>
      <c r="B23500" s="1" t="str">
        <f>"70052"</f>
        <v>70052</v>
      </c>
      <c r="C23500" s="2">
        <v>1.3479084045595099E-3</v>
      </c>
      <c r="D23500" s="2">
        <v>8.8021125070016797E-4</v>
      </c>
      <c r="E23500" s="2">
        <v>9.62182061579651E-4</v>
      </c>
      <c r="F23500" s="2">
        <v>1.2951090748279099E-3</v>
      </c>
    </row>
    <row r="23501" spans="1:6" x14ac:dyDescent="0.25">
      <c r="A23501" s="1" t="str">
        <f t="shared" si="877"/>
        <v>35380</v>
      </c>
      <c r="B23501" s="1" t="str">
        <f>"70069"</f>
        <v>70069</v>
      </c>
      <c r="C23501" s="2">
        <v>3.2022563830864702E-3</v>
      </c>
      <c r="D23501" s="2">
        <v>4.7531407537809E-3</v>
      </c>
      <c r="E23501" s="2">
        <v>8.3668005354752299E-5</v>
      </c>
      <c r="F23501" s="2">
        <v>3.2329658135152799E-3</v>
      </c>
    </row>
    <row r="23502" spans="1:6" x14ac:dyDescent="0.25">
      <c r="A23502" s="1" t="str">
        <f t="shared" si="877"/>
        <v>35380</v>
      </c>
      <c r="B23502" s="1" t="str">
        <f>"70090"</f>
        <v>70090</v>
      </c>
      <c r="C23502" s="2">
        <v>4.4332941167304204E-3</v>
      </c>
      <c r="D23502" s="2">
        <v>1.1362727054492999E-3</v>
      </c>
      <c r="E23502" s="2">
        <v>5.4384203480589005E-4</v>
      </c>
      <c r="F23502" s="2">
        <v>4.0226664688981497E-3</v>
      </c>
    </row>
    <row r="23503" spans="1:6" x14ac:dyDescent="0.25">
      <c r="A23503" s="1" t="str">
        <f t="shared" si="877"/>
        <v>35380</v>
      </c>
      <c r="B23503" s="1" t="str">
        <f>"70129"</f>
        <v>70129</v>
      </c>
      <c r="C23503" s="2">
        <v>6.1785628024028597E-3</v>
      </c>
      <c r="D23503" s="2">
        <v>4.9291830039209401E-3</v>
      </c>
      <c r="E23503" s="2">
        <v>2.4682061579651901E-3</v>
      </c>
      <c r="F23503" s="2">
        <v>5.9495360680323602E-3</v>
      </c>
    </row>
    <row r="23504" spans="1:6" x14ac:dyDescent="0.25">
      <c r="A23504" s="1" t="str">
        <f t="shared" si="877"/>
        <v>35380</v>
      </c>
      <c r="B23504" s="1" t="str">
        <f>"70121"</f>
        <v>70121</v>
      </c>
      <c r="C23504" s="2">
        <v>9.9714056425159892E-3</v>
      </c>
      <c r="D23504" s="2">
        <v>1.18428422821477E-2</v>
      </c>
      <c r="E23504" s="2">
        <v>1.3345046854082899E-2</v>
      </c>
      <c r="F23504" s="2">
        <v>1.02427608484269E-2</v>
      </c>
    </row>
    <row r="23505" spans="1:6" x14ac:dyDescent="0.25">
      <c r="A23505" s="1" t="str">
        <f t="shared" si="877"/>
        <v>35380</v>
      </c>
      <c r="B23505" s="1" t="str">
        <f>"70041"</f>
        <v>70041</v>
      </c>
      <c r="C23505" s="2">
        <v>2.0958806984191199E-3</v>
      </c>
      <c r="D23505" s="2">
        <v>1.64839561494758E-3</v>
      </c>
      <c r="E23505" s="2">
        <v>2.0917001338687999E-4</v>
      </c>
      <c r="F23505" s="2">
        <v>1.9955392213414102E-3</v>
      </c>
    </row>
    <row r="23506" spans="1:6" x14ac:dyDescent="0.25">
      <c r="A23506" s="1" t="str">
        <f t="shared" si="877"/>
        <v>35380</v>
      </c>
      <c r="B23506" s="1" t="str">
        <f>"70086"</f>
        <v>70086</v>
      </c>
      <c r="C23506" s="2">
        <v>1.2061053238486201E-3</v>
      </c>
      <c r="D23506" s="2">
        <v>5.2812675042010005E-4</v>
      </c>
      <c r="E23506" s="2">
        <v>4.1834002677376102E-5</v>
      </c>
      <c r="F23506" s="2">
        <v>1.1097010948684499E-3</v>
      </c>
    </row>
    <row r="23507" spans="1:6" x14ac:dyDescent="0.25">
      <c r="A23507" s="1" t="str">
        <f t="shared" si="877"/>
        <v>35380</v>
      </c>
      <c r="B23507" s="1" t="str">
        <f>"70067"</f>
        <v>70067</v>
      </c>
      <c r="C23507" s="2">
        <v>2.35611272565778E-3</v>
      </c>
      <c r="D23507" s="2">
        <v>9.2822277346563098E-4</v>
      </c>
      <c r="E23507" s="2">
        <v>3.7650602409638502E-4</v>
      </c>
      <c r="F23507" s="2">
        <v>2.1685866693035801E-3</v>
      </c>
    </row>
    <row r="23508" spans="1:6" x14ac:dyDescent="0.25">
      <c r="A23508" s="1" t="str">
        <f t="shared" ref="A23508:A23535" si="878">"35420"</f>
        <v>35420</v>
      </c>
      <c r="B23508" s="1" t="str">
        <f>"44612"</f>
        <v>44612</v>
      </c>
      <c r="C23508" s="2">
        <v>5.1215988442090001E-2</v>
      </c>
      <c r="D23508" s="2">
        <v>2.98551581436594E-2</v>
      </c>
      <c r="E23508" s="2">
        <v>0.22859664607237401</v>
      </c>
      <c r="F23508" s="2">
        <v>5.4011206185119197E-2</v>
      </c>
    </row>
    <row r="23509" spans="1:6" x14ac:dyDescent="0.25">
      <c r="A23509" s="1" t="str">
        <f t="shared" si="878"/>
        <v>35420</v>
      </c>
      <c r="B23509" s="1" t="str">
        <f>"44678"</f>
        <v>44678</v>
      </c>
      <c r="C23509" s="2">
        <v>0</v>
      </c>
      <c r="D23509" s="2">
        <v>0</v>
      </c>
      <c r="E23509" s="2">
        <v>8.8261253309796905E-4</v>
      </c>
      <c r="F23509" s="2">
        <v>2.17174130217608E-5</v>
      </c>
    </row>
    <row r="23510" spans="1:6" x14ac:dyDescent="0.25">
      <c r="A23510" s="1" t="str">
        <f t="shared" si="878"/>
        <v>35420</v>
      </c>
      <c r="B23510" s="1" t="str">
        <f>"44680"</f>
        <v>44680</v>
      </c>
      <c r="C23510" s="2">
        <v>4.6111244883216898E-2</v>
      </c>
      <c r="D23510" s="2">
        <v>4.2861365651788302E-2</v>
      </c>
      <c r="E23510" s="2">
        <v>5.5604589585172101E-2</v>
      </c>
      <c r="F23510" s="2">
        <v>4.6106067845198197E-2</v>
      </c>
    </row>
    <row r="23511" spans="1:6" x14ac:dyDescent="0.25">
      <c r="A23511" s="1" t="str">
        <f t="shared" si="878"/>
        <v>35420</v>
      </c>
      <c r="B23511" s="1" t="str">
        <f>"44624"</f>
        <v>44624</v>
      </c>
      <c r="C23511" s="2">
        <v>1.6951601252106901E-2</v>
      </c>
      <c r="D23511" s="2">
        <v>8.5722731303576691E-3</v>
      </c>
      <c r="E23511" s="2">
        <v>4.41306266548984E-3</v>
      </c>
      <c r="F23511" s="2">
        <v>1.6027450810059501E-2</v>
      </c>
    </row>
    <row r="23512" spans="1:6" x14ac:dyDescent="0.25">
      <c r="A23512" s="1" t="str">
        <f t="shared" si="878"/>
        <v>35420</v>
      </c>
      <c r="B23512" s="1" t="str">
        <f>"44622"</f>
        <v>44622</v>
      </c>
      <c r="C23512" s="2">
        <v>0.21521791476041399</v>
      </c>
      <c r="D23512" s="2">
        <v>0.276381909547738</v>
      </c>
      <c r="E23512" s="2">
        <v>0.17652250661959301</v>
      </c>
      <c r="F23512" s="2">
        <v>0.218759501368197</v>
      </c>
    </row>
    <row r="23513" spans="1:6" x14ac:dyDescent="0.25">
      <c r="A23513" s="1" t="str">
        <f t="shared" si="878"/>
        <v>35420</v>
      </c>
      <c r="B23513" s="1" t="str">
        <f>"44626"</f>
        <v>44626</v>
      </c>
      <c r="C23513" s="2">
        <v>8.1868528774379904E-4</v>
      </c>
      <c r="D23513" s="2">
        <v>0</v>
      </c>
      <c r="E23513" s="2">
        <v>0</v>
      </c>
      <c r="F23513" s="2">
        <v>7.38392042739868E-4</v>
      </c>
    </row>
    <row r="23514" spans="1:6" x14ac:dyDescent="0.25">
      <c r="A23514" s="1" t="str">
        <f t="shared" si="878"/>
        <v>35420</v>
      </c>
      <c r="B23514" s="1" t="str">
        <f>"43749"</f>
        <v>43749</v>
      </c>
      <c r="C23514" s="2">
        <v>2.40789790512882E-4</v>
      </c>
      <c r="D23514" s="2">
        <v>0</v>
      </c>
      <c r="E23514" s="2">
        <v>0</v>
      </c>
      <c r="F23514" s="2">
        <v>2.1717413021760801E-4</v>
      </c>
    </row>
    <row r="23515" spans="1:6" x14ac:dyDescent="0.25">
      <c r="A23515" s="1" t="str">
        <f t="shared" si="878"/>
        <v>35420</v>
      </c>
      <c r="B23515" s="1" t="str">
        <f>"44682"</f>
        <v>44682</v>
      </c>
      <c r="C23515" s="2">
        <v>2.4078979051288201E-5</v>
      </c>
      <c r="D23515" s="2">
        <v>0</v>
      </c>
      <c r="E23515" s="2">
        <v>8.8261253309796905E-4</v>
      </c>
      <c r="F23515" s="2">
        <v>4.34348260435216E-5</v>
      </c>
    </row>
    <row r="23516" spans="1:6" x14ac:dyDescent="0.25">
      <c r="A23516" s="1" t="str">
        <f t="shared" si="878"/>
        <v>35420</v>
      </c>
      <c r="B23516" s="1" t="str">
        <f>"43832"</f>
        <v>43832</v>
      </c>
      <c r="C23516" s="2">
        <v>7.2236937153864603E-2</v>
      </c>
      <c r="D23516" s="2">
        <v>6.5622228791013801E-2</v>
      </c>
      <c r="E23516" s="2">
        <v>7.0609002647837496E-2</v>
      </c>
      <c r="F23516" s="2">
        <v>7.1710897797854306E-2</v>
      </c>
    </row>
    <row r="23517" spans="1:6" x14ac:dyDescent="0.25">
      <c r="A23517" s="1" t="str">
        <f t="shared" si="878"/>
        <v>35420</v>
      </c>
      <c r="B23517" s="1" t="str">
        <f>"44621"</f>
        <v>44621</v>
      </c>
      <c r="C23517" s="2">
        <v>4.9265591138935701E-2</v>
      </c>
      <c r="D23517" s="2">
        <v>2.83771800177357E-2</v>
      </c>
      <c r="E23517" s="2">
        <v>2.2065313327449199E-2</v>
      </c>
      <c r="F23517" s="2">
        <v>4.7061634018155697E-2</v>
      </c>
    </row>
    <row r="23518" spans="1:6" x14ac:dyDescent="0.25">
      <c r="A23518" s="1" t="str">
        <f t="shared" si="878"/>
        <v>35420</v>
      </c>
      <c r="B23518" s="1" t="str">
        <f>"43840"</f>
        <v>43840</v>
      </c>
      <c r="C23518" s="2">
        <v>1.24969901276185E-2</v>
      </c>
      <c r="D23518" s="2">
        <v>5.6163168785101896E-3</v>
      </c>
      <c r="E23518" s="2">
        <v>0</v>
      </c>
      <c r="F23518" s="2">
        <v>1.16839682057073E-2</v>
      </c>
    </row>
    <row r="23519" spans="1:6" x14ac:dyDescent="0.25">
      <c r="A23519" s="1" t="str">
        <f t="shared" si="878"/>
        <v>35420</v>
      </c>
      <c r="B23519" s="1" t="str">
        <f>"43837"</f>
        <v>43837</v>
      </c>
      <c r="C23519" s="2">
        <v>1.9142788345774101E-2</v>
      </c>
      <c r="D23519" s="2">
        <v>2.66036062666272E-3</v>
      </c>
      <c r="E23519" s="2">
        <v>3.5304501323918701E-3</v>
      </c>
      <c r="F23519" s="2">
        <v>1.7547669721582702E-2</v>
      </c>
    </row>
    <row r="23520" spans="1:6" x14ac:dyDescent="0.25">
      <c r="A23520" s="1" t="str">
        <f t="shared" si="878"/>
        <v>35420</v>
      </c>
      <c r="B23520" s="1" t="str">
        <f>"44683"</f>
        <v>44683</v>
      </c>
      <c r="C23520" s="2">
        <v>9.0898145918613005E-2</v>
      </c>
      <c r="D23520" s="2">
        <v>7.3603310671001995E-2</v>
      </c>
      <c r="E23520" s="2">
        <v>4.23654015887025E-2</v>
      </c>
      <c r="F23520" s="2">
        <v>8.8433305824610106E-2</v>
      </c>
    </row>
    <row r="23521" spans="1:6" x14ac:dyDescent="0.25">
      <c r="A23521" s="1" t="str">
        <f t="shared" si="878"/>
        <v>35420</v>
      </c>
      <c r="B23521" s="1" t="str">
        <f>"44643"</f>
        <v>44643</v>
      </c>
      <c r="C23521" s="2">
        <v>1.2882253792439201E-2</v>
      </c>
      <c r="D23521" s="2">
        <v>7.9810818799881701E-3</v>
      </c>
      <c r="E23521" s="2">
        <v>7.0609002647837498E-3</v>
      </c>
      <c r="F23521" s="2">
        <v>1.2378925422403601E-2</v>
      </c>
    </row>
    <row r="23522" spans="1:6" x14ac:dyDescent="0.25">
      <c r="A23522" s="1" t="str">
        <f t="shared" si="878"/>
        <v>35420</v>
      </c>
      <c r="B23522" s="1" t="str">
        <f>"44679"</f>
        <v>44679</v>
      </c>
      <c r="C23522" s="2">
        <v>0</v>
      </c>
      <c r="D23522" s="2">
        <v>0</v>
      </c>
      <c r="E23522" s="2">
        <v>8.8261253309796905E-4</v>
      </c>
      <c r="F23522" s="2">
        <v>2.17174130217608E-5</v>
      </c>
    </row>
    <row r="23523" spans="1:6" x14ac:dyDescent="0.25">
      <c r="A23523" s="1" t="str">
        <f t="shared" si="878"/>
        <v>35420</v>
      </c>
      <c r="B23523" s="1" t="str">
        <f>"44681"</f>
        <v>44681</v>
      </c>
      <c r="C23523" s="2">
        <v>4.6448350589934899E-2</v>
      </c>
      <c r="D23523" s="2">
        <v>3.7245048773278097E-2</v>
      </c>
      <c r="E23523" s="2">
        <v>2.2065313327449199E-2</v>
      </c>
      <c r="F23523" s="2">
        <v>4.5172219085262498E-2</v>
      </c>
    </row>
    <row r="23524" spans="1:6" x14ac:dyDescent="0.25">
      <c r="A23524" s="1" t="str">
        <f t="shared" si="878"/>
        <v>35420</v>
      </c>
      <c r="B23524" s="1" t="str">
        <f>"44653"</f>
        <v>44653</v>
      </c>
      <c r="C23524" s="2">
        <v>0</v>
      </c>
      <c r="D23524" s="2">
        <v>0</v>
      </c>
      <c r="E23524" s="2">
        <v>8.8261253309796905E-4</v>
      </c>
      <c r="F23524" s="2">
        <v>2.17174130217608E-5</v>
      </c>
    </row>
    <row r="23525" spans="1:6" x14ac:dyDescent="0.25">
      <c r="A23525" s="1" t="str">
        <f t="shared" si="878"/>
        <v>35420</v>
      </c>
      <c r="B23525" s="1" t="str">
        <f>"44629"</f>
        <v>44629</v>
      </c>
      <c r="C23525" s="2">
        <v>1.5121598844209E-2</v>
      </c>
      <c r="D23525" s="2">
        <v>6.5031037540644304E-3</v>
      </c>
      <c r="E23525" s="2">
        <v>2.6478375992939002E-3</v>
      </c>
      <c r="F23525" s="2">
        <v>1.4181470703209799E-2</v>
      </c>
    </row>
    <row r="23526" spans="1:6" x14ac:dyDescent="0.25">
      <c r="A23526" s="1" t="str">
        <f t="shared" si="878"/>
        <v>35420</v>
      </c>
      <c r="B23526" s="1" t="str">
        <f>"43973"</f>
        <v>43973</v>
      </c>
      <c r="C23526" s="2">
        <v>1.20394895256441E-4</v>
      </c>
      <c r="D23526" s="2">
        <v>0</v>
      </c>
      <c r="E23526" s="2">
        <v>0</v>
      </c>
      <c r="F23526" s="2">
        <v>1.08587065108804E-4</v>
      </c>
    </row>
    <row r="23527" spans="1:6" x14ac:dyDescent="0.25">
      <c r="A23527" s="1" t="str">
        <f t="shared" si="878"/>
        <v>35420</v>
      </c>
      <c r="B23527" s="1" t="str">
        <f>"43804"</f>
        <v>43804</v>
      </c>
      <c r="C23527" s="2">
        <v>8.6443534794124702E-3</v>
      </c>
      <c r="D23527" s="2">
        <v>1.77357375110848E-3</v>
      </c>
      <c r="E23527" s="2">
        <v>8.8261253309796905E-3</v>
      </c>
      <c r="F23527" s="2">
        <v>8.1440298831603093E-3</v>
      </c>
    </row>
    <row r="23528" spans="1:6" x14ac:dyDescent="0.25">
      <c r="A23528" s="1" t="str">
        <f t="shared" si="878"/>
        <v>35420</v>
      </c>
      <c r="B23528" s="1" t="str">
        <f>"44675"</f>
        <v>44675</v>
      </c>
      <c r="C23528" s="2">
        <v>4.2138213339754302E-3</v>
      </c>
      <c r="D23528" s="2">
        <v>1.47797812592373E-3</v>
      </c>
      <c r="E23528" s="2">
        <v>0</v>
      </c>
      <c r="F23528" s="2">
        <v>3.9091343439169503E-3</v>
      </c>
    </row>
    <row r="23529" spans="1:6" x14ac:dyDescent="0.25">
      <c r="A23529" s="1" t="str">
        <f t="shared" si="878"/>
        <v>35420</v>
      </c>
      <c r="B23529" s="1" t="str">
        <f>"44663"</f>
        <v>44663</v>
      </c>
      <c r="C23529" s="2">
        <v>0.303082109318564</v>
      </c>
      <c r="D23529" s="2">
        <v>0.399054093999408</v>
      </c>
      <c r="E23529" s="2">
        <v>0.33892321270962</v>
      </c>
      <c r="F23529" s="2">
        <v>0.31101507188463701</v>
      </c>
    </row>
    <row r="23530" spans="1:6" x14ac:dyDescent="0.25">
      <c r="A23530" s="1" t="str">
        <f t="shared" si="878"/>
        <v>35420</v>
      </c>
      <c r="B23530" s="1" t="str">
        <f>"44671"</f>
        <v>44671</v>
      </c>
      <c r="C23530" s="2">
        <v>4.8157958102576402E-5</v>
      </c>
      <c r="D23530" s="2">
        <v>2.9559562518474702E-4</v>
      </c>
      <c r="E23530" s="2">
        <v>8.8261253309796905E-4</v>
      </c>
      <c r="F23530" s="2">
        <v>8.6869652087043296E-5</v>
      </c>
    </row>
    <row r="23531" spans="1:6" x14ac:dyDescent="0.25">
      <c r="A23531" s="1" t="str">
        <f t="shared" si="878"/>
        <v>35420</v>
      </c>
      <c r="B23531" s="1" t="str">
        <f>"44608"</f>
        <v>44608</v>
      </c>
      <c r="C23531" s="2">
        <v>4.59908499879605E-3</v>
      </c>
      <c r="D23531" s="2">
        <v>2.95595625184747E-3</v>
      </c>
      <c r="E23531" s="2">
        <v>1.7652250661959301E-3</v>
      </c>
      <c r="F23531" s="2">
        <v>4.4086348434174503E-3</v>
      </c>
    </row>
    <row r="23532" spans="1:6" x14ac:dyDescent="0.25">
      <c r="A23532" s="1" t="str">
        <f t="shared" si="878"/>
        <v>35420</v>
      </c>
      <c r="B23532" s="1" t="str">
        <f>"44656"</f>
        <v>44656</v>
      </c>
      <c r="C23532" s="2">
        <v>2.4271610883698499E-2</v>
      </c>
      <c r="D23532" s="2">
        <v>7.0942950044339302E-3</v>
      </c>
      <c r="E23532" s="2">
        <v>9.7087378640776604E-3</v>
      </c>
      <c r="F23532" s="2">
        <v>2.2651261781696502E-2</v>
      </c>
    </row>
    <row r="23533" spans="1:6" x14ac:dyDescent="0.25">
      <c r="A23533" s="1" t="str">
        <f t="shared" si="878"/>
        <v>35420</v>
      </c>
      <c r="B23533" s="1" t="str">
        <f>"43824"</f>
        <v>43824</v>
      </c>
      <c r="C23533" s="2">
        <v>2.45605586323139E-3</v>
      </c>
      <c r="D23533" s="2">
        <v>0</v>
      </c>
      <c r="E23533" s="2">
        <v>0</v>
      </c>
      <c r="F23533" s="2">
        <v>2.2151761282196E-3</v>
      </c>
    </row>
    <row r="23534" spans="1:6" x14ac:dyDescent="0.25">
      <c r="A23534" s="1" t="str">
        <f t="shared" si="878"/>
        <v>35420</v>
      </c>
      <c r="B23534" s="1" t="str">
        <f>"44697"</f>
        <v>44697</v>
      </c>
      <c r="C23534" s="2">
        <v>2.4078979051288201E-5</v>
      </c>
      <c r="D23534" s="2">
        <v>2.9559562518474702E-4</v>
      </c>
      <c r="E23534" s="2">
        <v>8.8261253309796905E-4</v>
      </c>
      <c r="F23534" s="2">
        <v>6.5152239065282506E-5</v>
      </c>
    </row>
    <row r="23535" spans="1:6" x14ac:dyDescent="0.25">
      <c r="A23535" s="1" t="str">
        <f t="shared" si="878"/>
        <v>35420</v>
      </c>
      <c r="B23535" s="1" t="str">
        <f>"44699"</f>
        <v>44699</v>
      </c>
      <c r="C23535" s="2">
        <v>3.4673729833855E-3</v>
      </c>
      <c r="D23535" s="2">
        <v>1.77357375110848E-3</v>
      </c>
      <c r="E23535" s="2">
        <v>0</v>
      </c>
      <c r="F23535" s="2">
        <v>3.2576119532641201E-3</v>
      </c>
    </row>
    <row r="23536" spans="1:6" x14ac:dyDescent="0.25">
      <c r="A23536" s="1" t="str">
        <f t="shared" ref="A23536:A23553" si="879">"35440"</f>
        <v>35440</v>
      </c>
      <c r="B23536" s="1" t="str">
        <f>"97341"</f>
        <v>97341</v>
      </c>
      <c r="C23536" s="2">
        <v>7.1631819868860497E-2</v>
      </c>
      <c r="D23536" s="2">
        <v>1.35265700483091E-2</v>
      </c>
      <c r="E23536" s="2">
        <v>4.3478260869565202E-2</v>
      </c>
      <c r="F23536" s="2">
        <v>6.5690058161656698E-2</v>
      </c>
    </row>
    <row r="23537" spans="1:6" x14ac:dyDescent="0.25">
      <c r="A23537" s="1" t="str">
        <f t="shared" si="879"/>
        <v>35440</v>
      </c>
      <c r="B23537" s="1" t="str">
        <f>"97365"</f>
        <v>97365</v>
      </c>
      <c r="C23537" s="2">
        <v>0.21443152294939899</v>
      </c>
      <c r="D23537" s="2">
        <v>0.43285024154589302</v>
      </c>
      <c r="E23537" s="2">
        <v>0.464259395725865</v>
      </c>
      <c r="F23537" s="2">
        <v>0.24207751263793001</v>
      </c>
    </row>
    <row r="23538" spans="1:6" x14ac:dyDescent="0.25">
      <c r="A23538" s="1" t="str">
        <f t="shared" si="879"/>
        <v>35440</v>
      </c>
      <c r="B23538" s="1" t="str">
        <f>"97343"</f>
        <v>97343</v>
      </c>
      <c r="C23538" s="2">
        <v>9.1859458121984396E-3</v>
      </c>
      <c r="D23538" s="2">
        <v>1.9323671497584499E-3</v>
      </c>
      <c r="E23538" s="2">
        <v>4.42151805453205E-3</v>
      </c>
      <c r="F23538" s="2">
        <v>8.3981083872370407E-3</v>
      </c>
    </row>
    <row r="23539" spans="1:6" x14ac:dyDescent="0.25">
      <c r="A23539" s="1" t="str">
        <f t="shared" si="879"/>
        <v>35440</v>
      </c>
      <c r="B23539" s="1" t="str">
        <f>"97498"</f>
        <v>97498</v>
      </c>
      <c r="C23539" s="2">
        <v>4.5960658171470901E-2</v>
      </c>
      <c r="D23539" s="2">
        <v>1.8679549114331701E-2</v>
      </c>
      <c r="E23539" s="2">
        <v>8.1061164333087604E-3</v>
      </c>
      <c r="F23539" s="2">
        <v>4.2262325379137898E-2</v>
      </c>
    </row>
    <row r="23540" spans="1:6" x14ac:dyDescent="0.25">
      <c r="A23540" s="1" t="str">
        <f t="shared" si="879"/>
        <v>35440</v>
      </c>
      <c r="B23540" s="1" t="str">
        <f>"97390"</f>
        <v>97390</v>
      </c>
      <c r="C23540" s="2">
        <v>1.62996412223184E-2</v>
      </c>
      <c r="D23540" s="2">
        <v>1.6103059581320401E-3</v>
      </c>
      <c r="E23540" s="2">
        <v>7.3691967575534203E-4</v>
      </c>
      <c r="F23540" s="2">
        <v>1.4486057509376499E-2</v>
      </c>
    </row>
    <row r="23541" spans="1:6" x14ac:dyDescent="0.25">
      <c r="A23541" s="1" t="str">
        <f t="shared" si="879"/>
        <v>35440</v>
      </c>
      <c r="B23541" s="1" t="str">
        <f>"97368"</f>
        <v>97368</v>
      </c>
      <c r="C23541" s="2">
        <v>4.8713349004082598E-2</v>
      </c>
      <c r="D23541" s="2">
        <v>8.6956521739130401E-3</v>
      </c>
      <c r="E23541" s="2">
        <v>1.03168754605747E-2</v>
      </c>
      <c r="F23541" s="2">
        <v>4.3920204381149103E-2</v>
      </c>
    </row>
    <row r="23542" spans="1:6" x14ac:dyDescent="0.25">
      <c r="A23542" s="1" t="str">
        <f t="shared" si="879"/>
        <v>35440</v>
      </c>
      <c r="B23542" s="1" t="str">
        <f>"97326"</f>
        <v>97326</v>
      </c>
      <c r="C23542" s="2">
        <v>6.8044043053321701E-3</v>
      </c>
      <c r="D23542" s="2">
        <v>2.5764895330112701E-3</v>
      </c>
      <c r="E23542" s="2">
        <v>2.9476787030213699E-3</v>
      </c>
      <c r="F23542" s="2">
        <v>6.3053758765015998E-3</v>
      </c>
    </row>
    <row r="23543" spans="1:6" x14ac:dyDescent="0.25">
      <c r="A23543" s="1" t="str">
        <f t="shared" si="879"/>
        <v>35440</v>
      </c>
      <c r="B23543" s="1" t="str">
        <f>"97380"</f>
        <v>97380</v>
      </c>
      <c r="C23543" s="2">
        <v>3.0341457379685698E-2</v>
      </c>
      <c r="D23543" s="2">
        <v>9.6618357487922703E-4</v>
      </c>
      <c r="E23543" s="2">
        <v>8.1061164333087604E-3</v>
      </c>
      <c r="F23543" s="2">
        <v>2.7042452573789202E-2</v>
      </c>
    </row>
    <row r="23544" spans="1:6" x14ac:dyDescent="0.25">
      <c r="A23544" s="1" t="str">
        <f t="shared" si="879"/>
        <v>35440</v>
      </c>
      <c r="B23544" s="1" t="str">
        <f>"97394"</f>
        <v>97394</v>
      </c>
      <c r="C23544" s="2">
        <v>6.5971792651243297E-2</v>
      </c>
      <c r="D23544" s="2">
        <v>8.7278582930756798E-2</v>
      </c>
      <c r="E23544" s="2">
        <v>2.8739867354458298E-2</v>
      </c>
      <c r="F23544" s="2">
        <v>6.6396695113333598E-2</v>
      </c>
    </row>
    <row r="23545" spans="1:6" x14ac:dyDescent="0.25">
      <c r="A23545" s="1" t="str">
        <f t="shared" si="879"/>
        <v>35440</v>
      </c>
      <c r="B23545" s="1" t="str">
        <f>"97324"</f>
        <v>97324</v>
      </c>
      <c r="C23545" s="2">
        <v>2.0413212915996498E-3</v>
      </c>
      <c r="D23545" s="2">
        <v>1.6103059581320401E-3</v>
      </c>
      <c r="E23545" s="2">
        <v>0</v>
      </c>
      <c r="F23545" s="2">
        <v>1.92966244496385E-3</v>
      </c>
    </row>
    <row r="23546" spans="1:6" x14ac:dyDescent="0.25">
      <c r="A23546" s="1" t="str">
        <f t="shared" si="879"/>
        <v>35440</v>
      </c>
      <c r="B23546" s="1" t="str">
        <f>"97367"</f>
        <v>97367</v>
      </c>
      <c r="C23546" s="2">
        <v>0.26162934554002198</v>
      </c>
      <c r="D23546" s="2">
        <v>0.28438003220611902</v>
      </c>
      <c r="E23546" s="2">
        <v>0.33235077376565902</v>
      </c>
      <c r="F23546" s="2">
        <v>0.26615752568353501</v>
      </c>
    </row>
    <row r="23547" spans="1:6" x14ac:dyDescent="0.25">
      <c r="A23547" s="1" t="str">
        <f t="shared" si="879"/>
        <v>35440</v>
      </c>
      <c r="B23547" s="1" t="str">
        <f>"97364"</f>
        <v>97364</v>
      </c>
      <c r="C23547" s="2">
        <v>3.68056414697513E-2</v>
      </c>
      <c r="D23547" s="2">
        <v>9.9838969404186708E-3</v>
      </c>
      <c r="E23547" s="2">
        <v>1.03168754605747E-2</v>
      </c>
      <c r="F23547" s="2">
        <v>3.3565255204652901E-2</v>
      </c>
    </row>
    <row r="23548" spans="1:6" x14ac:dyDescent="0.25">
      <c r="A23548" s="1" t="str">
        <f t="shared" si="879"/>
        <v>35440</v>
      </c>
      <c r="B23548" s="1" t="str">
        <f>"97369"</f>
        <v>97369</v>
      </c>
      <c r="C23548" s="2">
        <v>7.2683409625139096E-3</v>
      </c>
      <c r="D23548" s="2">
        <v>9.6618357487922703E-4</v>
      </c>
      <c r="E23548" s="2">
        <v>7.3691967575534203E-4</v>
      </c>
      <c r="F23548" s="2">
        <v>6.4956242865684601E-3</v>
      </c>
    </row>
    <row r="23549" spans="1:6" x14ac:dyDescent="0.25">
      <c r="A23549" s="1" t="str">
        <f t="shared" si="879"/>
        <v>35440</v>
      </c>
      <c r="B23549" s="1" t="str">
        <f>"97376"</f>
        <v>97376</v>
      </c>
      <c r="C23549" s="2">
        <v>1.6547074106148699E-2</v>
      </c>
      <c r="D23549" s="2">
        <v>6.4412238325281795E-4</v>
      </c>
      <c r="E23549" s="2">
        <v>2.9476787030213699E-3</v>
      </c>
      <c r="F23549" s="2">
        <v>1.47034842637386E-2</v>
      </c>
    </row>
    <row r="23550" spans="1:6" x14ac:dyDescent="0.25">
      <c r="A23550" s="1" t="str">
        <f t="shared" si="879"/>
        <v>35440</v>
      </c>
      <c r="B23550" s="1" t="str">
        <f>"97391"</f>
        <v>97391</v>
      </c>
      <c r="C23550" s="2">
        <v>0.103612520103921</v>
      </c>
      <c r="D23550" s="2">
        <v>9.1465378421900098E-2</v>
      </c>
      <c r="E23550" s="2">
        <v>5.0110537951363297E-2</v>
      </c>
      <c r="F23550" s="2">
        <v>0.10061423058107299</v>
      </c>
    </row>
    <row r="23551" spans="1:6" x14ac:dyDescent="0.25">
      <c r="A23551" s="1" t="str">
        <f t="shared" si="879"/>
        <v>35440</v>
      </c>
      <c r="B23551" s="1" t="str">
        <f>"97366"</f>
        <v>97366</v>
      </c>
      <c r="C23551" s="2">
        <v>5.7095137943832697E-2</v>
      </c>
      <c r="D23551" s="2">
        <v>4.2512077294685903E-2</v>
      </c>
      <c r="E23551" s="2">
        <v>3.09506263817243E-2</v>
      </c>
      <c r="F23551" s="2">
        <v>5.4900255476436302E-2</v>
      </c>
    </row>
    <row r="23552" spans="1:6" x14ac:dyDescent="0.25">
      <c r="A23552" s="1" t="str">
        <f t="shared" si="879"/>
        <v>35440</v>
      </c>
      <c r="B23552" s="1" t="str">
        <f>"97357"</f>
        <v>97357</v>
      </c>
      <c r="C23552" s="2">
        <v>5.1651614499566897E-3</v>
      </c>
      <c r="D23552" s="2">
        <v>3.2206119162640897E-4</v>
      </c>
      <c r="E23552" s="2">
        <v>7.3691967575534203E-4</v>
      </c>
      <c r="F23552" s="2">
        <v>4.59314018589987E-3</v>
      </c>
    </row>
    <row r="23553" spans="1:6" x14ac:dyDescent="0.25">
      <c r="A23553" s="1" t="str">
        <f t="shared" si="879"/>
        <v>35440</v>
      </c>
      <c r="B23553" s="1" t="str">
        <f>"97388"</f>
        <v>97388</v>
      </c>
      <c r="C23553" s="2">
        <v>4.94865767660522E-4</v>
      </c>
      <c r="D23553" s="2">
        <v>0</v>
      </c>
      <c r="E23553" s="2">
        <v>7.3691967575534203E-4</v>
      </c>
      <c r="F23553" s="2">
        <v>4.6203185301951397E-4</v>
      </c>
    </row>
    <row r="23554" spans="1:6" x14ac:dyDescent="0.25">
      <c r="A23554" s="1" t="str">
        <f t="shared" ref="A23554:A23560" si="880">"35460"</f>
        <v>35460</v>
      </c>
      <c r="B23554" s="1" t="str">
        <f>"37843"</f>
        <v>37843</v>
      </c>
      <c r="C23554" s="2">
        <v>0.10836882343886201</v>
      </c>
      <c r="D23554" s="2">
        <v>4.1095890410958902E-2</v>
      </c>
      <c r="E23554" s="2">
        <v>7.7253218884120095E-2</v>
      </c>
      <c r="F23554" s="2">
        <v>0.10404045222534899</v>
      </c>
    </row>
    <row r="23555" spans="1:6" x14ac:dyDescent="0.25">
      <c r="A23555" s="1" t="str">
        <f t="shared" si="880"/>
        <v>35460</v>
      </c>
      <c r="B23555" s="1" t="str">
        <f>"37713"</f>
        <v>37713</v>
      </c>
      <c r="C23555" s="2">
        <v>4.1151418749037903E-2</v>
      </c>
      <c r="D23555" s="2">
        <v>1.9339242546333599E-2</v>
      </c>
      <c r="E23555" s="2">
        <v>0</v>
      </c>
      <c r="F23555" s="2">
        <v>3.9402757238944798E-2</v>
      </c>
    </row>
    <row r="23556" spans="1:6" x14ac:dyDescent="0.25">
      <c r="A23556" s="1" t="str">
        <f t="shared" si="880"/>
        <v>35460</v>
      </c>
      <c r="B23556" s="1" t="str">
        <f>"37821"</f>
        <v>37821</v>
      </c>
      <c r="C23556" s="2">
        <v>0.60747088100979996</v>
      </c>
      <c r="D23556" s="2">
        <v>0.80902497985495503</v>
      </c>
      <c r="E23556" s="2">
        <v>0.84978540772532096</v>
      </c>
      <c r="F23556" s="2">
        <v>0.62209607403520395</v>
      </c>
    </row>
    <row r="23557" spans="1:6" x14ac:dyDescent="0.25">
      <c r="A23557" s="1" t="str">
        <f t="shared" si="880"/>
        <v>35460</v>
      </c>
      <c r="B23557" s="1" t="str">
        <f>"37727"</f>
        <v>37727</v>
      </c>
      <c r="C23557" s="2">
        <v>6.8910667556057195E-2</v>
      </c>
      <c r="D23557" s="2">
        <v>2.9814665592264301E-2</v>
      </c>
      <c r="E23557" s="2">
        <v>0</v>
      </c>
      <c r="F23557" s="2">
        <v>6.5830272384677702E-2</v>
      </c>
    </row>
    <row r="23558" spans="1:6" x14ac:dyDescent="0.25">
      <c r="A23558" s="1" t="str">
        <f t="shared" si="880"/>
        <v>35460</v>
      </c>
      <c r="B23558" s="1" t="str">
        <f>"37753"</f>
        <v>37753</v>
      </c>
      <c r="C23558" s="2">
        <v>2.5552875981322699E-2</v>
      </c>
      <c r="D23558" s="2">
        <v>2.3368251410153099E-2</v>
      </c>
      <c r="E23558" s="2">
        <v>0</v>
      </c>
      <c r="F23558" s="2">
        <v>2.5139531555597901E-2</v>
      </c>
    </row>
    <row r="23559" spans="1:6" x14ac:dyDescent="0.25">
      <c r="A23559" s="1" t="str">
        <f t="shared" si="880"/>
        <v>35460</v>
      </c>
      <c r="B23559" s="1" t="str">
        <f>"37722"</f>
        <v>37722</v>
      </c>
      <c r="C23559" s="2">
        <v>0.14597978346759699</v>
      </c>
      <c r="D23559" s="2">
        <v>7.7356970185334398E-2</v>
      </c>
      <c r="E23559" s="2">
        <v>7.2961373390557901E-2</v>
      </c>
      <c r="F23559" s="2">
        <v>0.14110575776367801</v>
      </c>
    </row>
    <row r="23560" spans="1:6" x14ac:dyDescent="0.25">
      <c r="A23560" s="1" t="str">
        <f t="shared" si="880"/>
        <v>35460</v>
      </c>
      <c r="B23560" s="1" t="str">
        <f>"37743"</f>
        <v>37743</v>
      </c>
      <c r="C23560" s="2">
        <v>2.5655497973215602E-3</v>
      </c>
      <c r="D23560" s="2">
        <v>0</v>
      </c>
      <c r="E23560" s="2">
        <v>0</v>
      </c>
      <c r="F23560" s="2">
        <v>2.3851547965462899E-3</v>
      </c>
    </row>
    <row r="23561" spans="1:6" x14ac:dyDescent="0.25">
      <c r="A23561" s="1" t="str">
        <f t="shared" ref="A23561:A23571" si="881">"35580"</f>
        <v>35580</v>
      </c>
      <c r="B23561" s="1" t="str">
        <f>"56085"</f>
        <v>56085</v>
      </c>
      <c r="C23561" s="2">
        <v>0.20440200679721601</v>
      </c>
      <c r="D23561" s="2">
        <v>0.18503118503118501</v>
      </c>
      <c r="E23561" s="2">
        <v>0.18413597733711001</v>
      </c>
      <c r="F23561" s="2">
        <v>0.202515907262488</v>
      </c>
    </row>
    <row r="23562" spans="1:6" x14ac:dyDescent="0.25">
      <c r="A23562" s="1" t="str">
        <f t="shared" si="881"/>
        <v>35580</v>
      </c>
      <c r="B23562" s="1" t="str">
        <f>"55333"</f>
        <v>55333</v>
      </c>
      <c r="C23562" s="2">
        <v>4.04596212979446E-4</v>
      </c>
      <c r="D23562" s="2">
        <v>0</v>
      </c>
      <c r="E23562" s="2">
        <v>0</v>
      </c>
      <c r="F23562" s="2">
        <v>3.6568419512908598E-4</v>
      </c>
    </row>
    <row r="23563" spans="1:6" x14ac:dyDescent="0.25">
      <c r="A23563" s="1" t="str">
        <f t="shared" si="881"/>
        <v>35580</v>
      </c>
      <c r="B23563" s="1" t="str">
        <f>"56041"</f>
        <v>56041</v>
      </c>
      <c r="C23563" s="2">
        <v>4.03787020553487E-2</v>
      </c>
      <c r="D23563" s="2">
        <v>5.19750519750519E-3</v>
      </c>
      <c r="E23563" s="2">
        <v>2.8328611898016899E-3</v>
      </c>
      <c r="F23563" s="2">
        <v>3.6934103708037701E-2</v>
      </c>
    </row>
    <row r="23564" spans="1:6" x14ac:dyDescent="0.25">
      <c r="A23564" s="1" t="str">
        <f t="shared" si="881"/>
        <v>35580</v>
      </c>
      <c r="B23564" s="1" t="str">
        <f>"56083"</f>
        <v>56083</v>
      </c>
      <c r="C23564" s="2">
        <v>2.91309273345201E-3</v>
      </c>
      <c r="D23564" s="2">
        <v>0</v>
      </c>
      <c r="E23564" s="2">
        <v>0</v>
      </c>
      <c r="F23564" s="2">
        <v>2.6329262049294201E-3</v>
      </c>
    </row>
    <row r="23565" spans="1:6" x14ac:dyDescent="0.25">
      <c r="A23565" s="1" t="str">
        <f t="shared" si="881"/>
        <v>35580</v>
      </c>
      <c r="B23565" s="1" t="str">
        <f>"56073"</f>
        <v>56073</v>
      </c>
      <c r="C23565" s="2">
        <v>0.60179640718562799</v>
      </c>
      <c r="D23565" s="2">
        <v>0.64241164241164195</v>
      </c>
      <c r="E23565" s="2">
        <v>0.60906515580736498</v>
      </c>
      <c r="F23565" s="2">
        <v>0.60484165874350904</v>
      </c>
    </row>
    <row r="23566" spans="1:6" x14ac:dyDescent="0.25">
      <c r="A23566" s="1" t="str">
        <f t="shared" si="881"/>
        <v>35580</v>
      </c>
      <c r="B23566" s="1" t="str">
        <f>"56084"</f>
        <v>56084</v>
      </c>
      <c r="C23566" s="2">
        <v>0</v>
      </c>
      <c r="D23566" s="2">
        <v>0</v>
      </c>
      <c r="E23566" s="2">
        <v>2.8328611898016899E-3</v>
      </c>
      <c r="F23566" s="2">
        <v>7.3136839025817301E-5</v>
      </c>
    </row>
    <row r="23567" spans="1:6" x14ac:dyDescent="0.25">
      <c r="A23567" s="1" t="str">
        <f t="shared" si="881"/>
        <v>35580</v>
      </c>
      <c r="B23567" s="1" t="str">
        <f>"56081"</f>
        <v>56081</v>
      </c>
      <c r="C23567" s="2">
        <v>2.2657387926849001E-3</v>
      </c>
      <c r="D23567" s="2">
        <v>1.03950103950103E-3</v>
      </c>
      <c r="E23567" s="2">
        <v>0</v>
      </c>
      <c r="F23567" s="2">
        <v>2.1209683317487001E-3</v>
      </c>
    </row>
    <row r="23568" spans="1:6" x14ac:dyDescent="0.25">
      <c r="A23568" s="1" t="str">
        <f t="shared" si="881"/>
        <v>35580</v>
      </c>
      <c r="B23568" s="1" t="str">
        <f>"56062"</f>
        <v>56062</v>
      </c>
      <c r="C23568" s="2">
        <v>2.02298106489723E-3</v>
      </c>
      <c r="D23568" s="2">
        <v>0</v>
      </c>
      <c r="E23568" s="2">
        <v>2.8328611898016899E-3</v>
      </c>
      <c r="F23568" s="2">
        <v>1.9015578146712401E-3</v>
      </c>
    </row>
    <row r="23569" spans="1:6" x14ac:dyDescent="0.25">
      <c r="A23569" s="1" t="str">
        <f t="shared" si="881"/>
        <v>35580</v>
      </c>
      <c r="B23569" s="1" t="str">
        <f>"56266"</f>
        <v>56266</v>
      </c>
      <c r="C23569" s="2">
        <v>7.9300857743971505E-3</v>
      </c>
      <c r="D23569" s="2">
        <v>5.19750519750519E-3</v>
      </c>
      <c r="E23569" s="2">
        <v>0</v>
      </c>
      <c r="F23569" s="2">
        <v>7.5330944196591804E-3</v>
      </c>
    </row>
    <row r="23570" spans="1:6" x14ac:dyDescent="0.25">
      <c r="A23570" s="1" t="str">
        <f t="shared" si="881"/>
        <v>35580</v>
      </c>
      <c r="B23570" s="1" t="str">
        <f>"56087"</f>
        <v>56087</v>
      </c>
      <c r="C23570" s="2">
        <v>0.11061660462858</v>
      </c>
      <c r="D23570" s="2">
        <v>0.151767151767151</v>
      </c>
      <c r="E23570" s="2">
        <v>0.18413597733711001</v>
      </c>
      <c r="F23570" s="2">
        <v>0.11540993198273899</v>
      </c>
    </row>
    <row r="23571" spans="1:6" x14ac:dyDescent="0.25">
      <c r="A23571" s="1" t="str">
        <f t="shared" si="881"/>
        <v>35580</v>
      </c>
      <c r="B23571" s="1" t="str">
        <f>"56019"</f>
        <v>56019</v>
      </c>
      <c r="C23571" s="2">
        <v>2.7269784754814601E-2</v>
      </c>
      <c r="D23571" s="2">
        <v>9.3555093555093508E-3</v>
      </c>
      <c r="E23571" s="2">
        <v>1.41643059490084E-2</v>
      </c>
      <c r="F23571" s="2">
        <v>2.5671030498061801E-2</v>
      </c>
    </row>
    <row r="23572" spans="1:6" x14ac:dyDescent="0.25">
      <c r="A23572" s="1" t="str">
        <f t="shared" ref="A23572:A23635" si="882">"35614"</f>
        <v>35614</v>
      </c>
      <c r="B23572" s="1" t="str">
        <f>"10125"</f>
        <v>10125</v>
      </c>
      <c r="C23572" s="2">
        <v>0</v>
      </c>
      <c r="D23572" s="2">
        <v>0</v>
      </c>
      <c r="E23572" s="2">
        <v>3.84408395479357E-5</v>
      </c>
      <c r="F23572" s="2">
        <v>7.8141482969063694E-6</v>
      </c>
    </row>
    <row r="23573" spans="1:6" x14ac:dyDescent="0.25">
      <c r="A23573" s="1" t="str">
        <f t="shared" si="882"/>
        <v>35614</v>
      </c>
      <c r="B23573" s="1" t="str">
        <f>"11241"</f>
        <v>11241</v>
      </c>
      <c r="C23573" s="2">
        <v>0</v>
      </c>
      <c r="D23573" s="2">
        <v>0</v>
      </c>
      <c r="E23573" s="2">
        <v>3.84408395479357E-5</v>
      </c>
      <c r="F23573" s="2">
        <v>7.8141482969063694E-6</v>
      </c>
    </row>
    <row r="23574" spans="1:6" x14ac:dyDescent="0.25">
      <c r="A23574" s="1" t="str">
        <f t="shared" si="882"/>
        <v>35614</v>
      </c>
      <c r="B23574" s="1" t="str">
        <f>"10169"</f>
        <v>10169</v>
      </c>
      <c r="C23574" s="2">
        <v>0</v>
      </c>
      <c r="D23574" s="2">
        <v>4.8867893793777398E-4</v>
      </c>
      <c r="E23574" s="2">
        <v>3.84408395479357E-5</v>
      </c>
      <c r="F23574" s="2">
        <v>3.1256593187625498E-5</v>
      </c>
    </row>
    <row r="23575" spans="1:6" x14ac:dyDescent="0.25">
      <c r="A23575" s="1" t="str">
        <f t="shared" si="882"/>
        <v>35614</v>
      </c>
      <c r="B23575" s="1" t="str">
        <f>"10211"</f>
        <v>10211</v>
      </c>
      <c r="C23575" s="2">
        <v>0</v>
      </c>
      <c r="D23575" s="2">
        <v>0</v>
      </c>
      <c r="E23575" s="2">
        <v>3.84408395479357E-5</v>
      </c>
      <c r="F23575" s="2">
        <v>7.8141482969063694E-6</v>
      </c>
    </row>
    <row r="23576" spans="1:6" x14ac:dyDescent="0.25">
      <c r="A23576" s="1" t="str">
        <f t="shared" si="882"/>
        <v>35614</v>
      </c>
      <c r="B23576" s="1" t="str">
        <f>"10281"</f>
        <v>10281</v>
      </c>
      <c r="C23576" s="2">
        <v>0</v>
      </c>
      <c r="D23576" s="2">
        <v>3.2578595862518302E-4</v>
      </c>
      <c r="E23576" s="2">
        <v>3.84408395479357E-5</v>
      </c>
      <c r="F23576" s="2">
        <v>2.34424448907191E-5</v>
      </c>
    </row>
    <row r="23577" spans="1:6" x14ac:dyDescent="0.25">
      <c r="A23577" s="1" t="str">
        <f t="shared" si="882"/>
        <v>35614</v>
      </c>
      <c r="B23577" s="1" t="str">
        <f>"11415"</f>
        <v>11415</v>
      </c>
      <c r="C23577" s="2">
        <v>9.3926111458985496E-5</v>
      </c>
      <c r="D23577" s="2">
        <v>4.8867893793777398E-4</v>
      </c>
      <c r="E23577" s="2">
        <v>2.3064503728761399E-4</v>
      </c>
      <c r="F23577" s="2">
        <v>1.4065466934431401E-4</v>
      </c>
    </row>
    <row r="23578" spans="1:6" x14ac:dyDescent="0.25">
      <c r="A23578" s="1" t="str">
        <f t="shared" si="882"/>
        <v>35614</v>
      </c>
      <c r="B23578" s="1" t="str">
        <f>"07648"</f>
        <v>07648</v>
      </c>
      <c r="C23578" s="2">
        <v>1.35671049885201E-4</v>
      </c>
      <c r="D23578" s="2">
        <v>0</v>
      </c>
      <c r="E23578" s="2">
        <v>1.15322518643807E-4</v>
      </c>
      <c r="F23578" s="2">
        <v>1.2502637275050199E-4</v>
      </c>
    </row>
    <row r="23579" spans="1:6" x14ac:dyDescent="0.25">
      <c r="A23579" s="1" t="str">
        <f t="shared" si="882"/>
        <v>35614</v>
      </c>
      <c r="B23579" s="1" t="str">
        <f>"10528"</f>
        <v>10528</v>
      </c>
      <c r="C23579" s="2">
        <v>2.0872469213107901E-5</v>
      </c>
      <c r="D23579" s="2">
        <v>3.2578595862518302E-4</v>
      </c>
      <c r="E23579" s="2">
        <v>3.84408395479357E-5</v>
      </c>
      <c r="F23579" s="2">
        <v>3.9070741484531798E-5</v>
      </c>
    </row>
    <row r="23580" spans="1:6" x14ac:dyDescent="0.25">
      <c r="A23580" s="1" t="str">
        <f t="shared" si="882"/>
        <v>35614</v>
      </c>
      <c r="B23580" s="1" t="str">
        <f>"10538"</f>
        <v>10538</v>
      </c>
      <c r="C23580" s="2">
        <v>1.04362346065539E-5</v>
      </c>
      <c r="D23580" s="2">
        <v>0</v>
      </c>
      <c r="E23580" s="2">
        <v>3.84408395479357E-5</v>
      </c>
      <c r="F23580" s="2">
        <v>1.5628296593812702E-5</v>
      </c>
    </row>
    <row r="23581" spans="1:6" x14ac:dyDescent="0.25">
      <c r="A23581" s="1" t="str">
        <f t="shared" si="882"/>
        <v>35614</v>
      </c>
      <c r="B23581" s="1" t="str">
        <f>"10456"</f>
        <v>10456</v>
      </c>
      <c r="C23581" s="2">
        <v>1.9620121060321401E-3</v>
      </c>
      <c r="D23581" s="2">
        <v>1.6289297931259099E-4</v>
      </c>
      <c r="E23581" s="2">
        <v>1.5376335819174201E-4</v>
      </c>
      <c r="F23581" s="2">
        <v>1.50813062130293E-3</v>
      </c>
    </row>
    <row r="23582" spans="1:6" x14ac:dyDescent="0.25">
      <c r="A23582" s="1" t="str">
        <f t="shared" si="882"/>
        <v>35614</v>
      </c>
      <c r="B23582" s="1" t="str">
        <f>"07430"</f>
        <v>07430</v>
      </c>
      <c r="C23582" s="2">
        <v>0</v>
      </c>
      <c r="D23582" s="2">
        <v>4.8867893793777398E-4</v>
      </c>
      <c r="E23582" s="2">
        <v>3.07526716383485E-4</v>
      </c>
      <c r="F23582" s="2">
        <v>8.5955631265970106E-5</v>
      </c>
    </row>
    <row r="23583" spans="1:6" x14ac:dyDescent="0.25">
      <c r="A23583" s="1" t="str">
        <f t="shared" si="882"/>
        <v>35614</v>
      </c>
      <c r="B23583" s="1" t="str">
        <f>"11370"</f>
        <v>11370</v>
      </c>
      <c r="C23583" s="2">
        <v>4.8006679190148099E-4</v>
      </c>
      <c r="D23583" s="2">
        <v>3.2578595862518302E-4</v>
      </c>
      <c r="E23583" s="2">
        <v>6.1505343276697098E-4</v>
      </c>
      <c r="F23583" s="2">
        <v>5.0010549100200797E-4</v>
      </c>
    </row>
    <row r="23584" spans="1:6" x14ac:dyDescent="0.25">
      <c r="A23584" s="1" t="str">
        <f t="shared" si="882"/>
        <v>35614</v>
      </c>
      <c r="B23584" s="1" t="str">
        <f>"10271"</f>
        <v>10271</v>
      </c>
      <c r="C23584" s="2">
        <v>0</v>
      </c>
      <c r="D23584" s="2">
        <v>9.7735787587554905E-4</v>
      </c>
      <c r="E23584" s="2">
        <v>7.6881679095871399E-5</v>
      </c>
      <c r="F23584" s="2">
        <v>6.2513186375250996E-5</v>
      </c>
    </row>
    <row r="23585" spans="1:6" x14ac:dyDescent="0.25">
      <c r="A23585" s="1" t="str">
        <f t="shared" si="882"/>
        <v>35614</v>
      </c>
      <c r="B23585" s="1" t="str">
        <f>"10927"</f>
        <v>10927</v>
      </c>
      <c r="C23585" s="2">
        <v>2.02462951367146E-3</v>
      </c>
      <c r="D23585" s="2">
        <v>4.7238964000651503E-3</v>
      </c>
      <c r="E23585" s="2">
        <v>2.3064503728761399E-3</v>
      </c>
      <c r="F23585" s="2">
        <v>2.2114039680245002E-3</v>
      </c>
    </row>
    <row r="23586" spans="1:6" x14ac:dyDescent="0.25">
      <c r="A23586" s="1" t="str">
        <f t="shared" si="882"/>
        <v>35614</v>
      </c>
      <c r="B23586" s="1" t="str">
        <f>"10920"</f>
        <v>10920</v>
      </c>
      <c r="C23586" s="2">
        <v>2.9221456898351E-4</v>
      </c>
      <c r="D23586" s="2">
        <v>1.9547157517510899E-3</v>
      </c>
      <c r="E23586" s="2">
        <v>4.9973091412316398E-4</v>
      </c>
      <c r="F23586" s="2">
        <v>4.14149859736038E-4</v>
      </c>
    </row>
    <row r="23587" spans="1:6" x14ac:dyDescent="0.25">
      <c r="A23587" s="1" t="str">
        <f t="shared" si="882"/>
        <v>35614</v>
      </c>
      <c r="B23587" s="1" t="str">
        <f>"10705"</f>
        <v>10705</v>
      </c>
      <c r="C23587" s="2">
        <v>6.2095595908996E-3</v>
      </c>
      <c r="D23587" s="2">
        <v>1.7918227724385001E-3</v>
      </c>
      <c r="E23587" s="2">
        <v>7.7650495886830099E-3</v>
      </c>
      <c r="F23587" s="2">
        <v>6.3138318239003496E-3</v>
      </c>
    </row>
    <row r="23588" spans="1:6" x14ac:dyDescent="0.25">
      <c r="A23588" s="1" t="str">
        <f t="shared" si="882"/>
        <v>35614</v>
      </c>
      <c r="B23588" s="1" t="str">
        <f>"07002"</f>
        <v>07002</v>
      </c>
      <c r="C23588" s="2">
        <v>5.9799624295554096E-3</v>
      </c>
      <c r="D23588" s="2">
        <v>1.7918227724385001E-3</v>
      </c>
      <c r="E23588" s="2">
        <v>2.1142461751364602E-3</v>
      </c>
      <c r="F23588" s="2">
        <v>4.9932407617231701E-3</v>
      </c>
    </row>
    <row r="23589" spans="1:6" x14ac:dyDescent="0.25">
      <c r="A23589" s="1" t="str">
        <f t="shared" si="882"/>
        <v>35614</v>
      </c>
      <c r="B23589" s="1" t="str">
        <f>"11222"</f>
        <v>11222</v>
      </c>
      <c r="C23589" s="2">
        <v>1.55708620329785E-2</v>
      </c>
      <c r="D23589" s="2">
        <v>1.40087962208828E-2</v>
      </c>
      <c r="E23589" s="2">
        <v>1.27239178903667E-2</v>
      </c>
      <c r="F23589" s="2">
        <v>1.4917209098794199E-2</v>
      </c>
    </row>
    <row r="23590" spans="1:6" x14ac:dyDescent="0.25">
      <c r="A23590" s="1" t="str">
        <f t="shared" si="882"/>
        <v>35614</v>
      </c>
      <c r="B23590" s="1" t="str">
        <f>"11219"</f>
        <v>11219</v>
      </c>
      <c r="C23590" s="2">
        <v>2.3481527864746301E-2</v>
      </c>
      <c r="D23590" s="2">
        <v>1.82440136830102E-2</v>
      </c>
      <c r="E23590" s="2">
        <v>2.9407242254170799E-2</v>
      </c>
      <c r="F23590" s="2">
        <v>2.4434841724426198E-2</v>
      </c>
    </row>
    <row r="23591" spans="1:6" x14ac:dyDescent="0.25">
      <c r="A23591" s="1" t="str">
        <f t="shared" si="882"/>
        <v>35614</v>
      </c>
      <c r="B23591" s="1" t="str">
        <f>"11379"</f>
        <v>11379</v>
      </c>
      <c r="C23591" s="2">
        <v>5.1972448340638598E-3</v>
      </c>
      <c r="D23591" s="2">
        <v>3.09496660693924E-3</v>
      </c>
      <c r="E23591" s="2">
        <v>6.6118244022449401E-3</v>
      </c>
      <c r="F23591" s="2">
        <v>5.3839481765684902E-3</v>
      </c>
    </row>
    <row r="23592" spans="1:6" x14ac:dyDescent="0.25">
      <c r="A23592" s="1" t="str">
        <f t="shared" si="882"/>
        <v>35614</v>
      </c>
      <c r="B23592" s="1" t="str">
        <f>"11372"</f>
        <v>11372</v>
      </c>
      <c r="C23592" s="2">
        <v>2.76560217073679E-3</v>
      </c>
      <c r="D23592" s="2">
        <v>1.4334582179508001E-2</v>
      </c>
      <c r="E23592" s="2">
        <v>2.3833320519720102E-3</v>
      </c>
      <c r="F23592" s="2">
        <v>3.2428715432161401E-3</v>
      </c>
    </row>
    <row r="23593" spans="1:6" x14ac:dyDescent="0.25">
      <c r="A23593" s="1" t="str">
        <f t="shared" si="882"/>
        <v>35614</v>
      </c>
      <c r="B23593" s="1" t="str">
        <f>"10016"</f>
        <v>10016</v>
      </c>
      <c r="C23593" s="2">
        <v>8.0985180546858607E-3</v>
      </c>
      <c r="D23593" s="2">
        <v>1.0913829613943601E-2</v>
      </c>
      <c r="E23593" s="2">
        <v>6.5349427231490697E-4</v>
      </c>
      <c r="F23593" s="2">
        <v>6.7201675353394802E-3</v>
      </c>
    </row>
    <row r="23594" spans="1:6" x14ac:dyDescent="0.25">
      <c r="A23594" s="1" t="str">
        <f t="shared" si="882"/>
        <v>35614</v>
      </c>
      <c r="B23594" s="1" t="str">
        <f>"10956"</f>
        <v>10956</v>
      </c>
      <c r="C23594" s="2">
        <v>2.1916092673763301E-4</v>
      </c>
      <c r="D23594" s="2">
        <v>4.5610034207525596E-3</v>
      </c>
      <c r="E23594" s="2">
        <v>5.7661259321903499E-4</v>
      </c>
      <c r="F23594" s="2">
        <v>5.0010549100200797E-4</v>
      </c>
    </row>
    <row r="23595" spans="1:6" x14ac:dyDescent="0.25">
      <c r="A23595" s="1" t="str">
        <f t="shared" si="882"/>
        <v>35614</v>
      </c>
      <c r="B23595" s="1" t="str">
        <f>"11210"</f>
        <v>11210</v>
      </c>
      <c r="C23595" s="2">
        <v>3.36046754331037E-3</v>
      </c>
      <c r="D23595" s="2">
        <v>9.6106857794428999E-3</v>
      </c>
      <c r="E23595" s="2">
        <v>4.1516106711770497E-3</v>
      </c>
      <c r="F23595" s="2">
        <v>3.8211185171872098E-3</v>
      </c>
    </row>
    <row r="23596" spans="1:6" x14ac:dyDescent="0.25">
      <c r="A23596" s="1" t="str">
        <f t="shared" si="882"/>
        <v>35614</v>
      </c>
      <c r="B23596" s="1" t="str">
        <f>"11426"</f>
        <v>11426</v>
      </c>
      <c r="C23596" s="2">
        <v>6.2617407639323704E-5</v>
      </c>
      <c r="D23596" s="2">
        <v>4.8867893793777398E-4</v>
      </c>
      <c r="E23596" s="2">
        <v>4.1900515107249903E-3</v>
      </c>
      <c r="F23596" s="2">
        <v>9.22069499034952E-4</v>
      </c>
    </row>
    <row r="23597" spans="1:6" x14ac:dyDescent="0.25">
      <c r="A23597" s="1" t="str">
        <f t="shared" si="882"/>
        <v>35614</v>
      </c>
      <c r="B23597" s="1" t="str">
        <f>"07607"</f>
        <v>07607</v>
      </c>
      <c r="C23597" s="2">
        <v>0</v>
      </c>
      <c r="D23597" s="2">
        <v>1.6289297931259099E-4</v>
      </c>
      <c r="E23597" s="2">
        <v>2.3064503728761399E-4</v>
      </c>
      <c r="F23597" s="2">
        <v>5.4699038078344601E-5</v>
      </c>
    </row>
    <row r="23598" spans="1:6" x14ac:dyDescent="0.25">
      <c r="A23598" s="1" t="str">
        <f t="shared" si="882"/>
        <v>35614</v>
      </c>
      <c r="B23598" s="1" t="str">
        <f>"10037"</f>
        <v>10037</v>
      </c>
      <c r="C23598" s="2">
        <v>4.27885618868712E-4</v>
      </c>
      <c r="D23598" s="2">
        <v>0</v>
      </c>
      <c r="E23598" s="2">
        <v>1.5376335819174201E-4</v>
      </c>
      <c r="F23598" s="2">
        <v>3.51636673360787E-4</v>
      </c>
    </row>
    <row r="23599" spans="1:6" x14ac:dyDescent="0.25">
      <c r="A23599" s="1" t="str">
        <f t="shared" si="882"/>
        <v>35614</v>
      </c>
      <c r="B23599" s="1" t="str">
        <f>"10566"</f>
        <v>10566</v>
      </c>
      <c r="C23599" s="2">
        <v>5.21811730327697E-5</v>
      </c>
      <c r="D23599" s="2">
        <v>3.2578595862518302E-4</v>
      </c>
      <c r="E23599" s="2">
        <v>2.6908587683554998E-4</v>
      </c>
      <c r="F23599" s="2">
        <v>1.09398076156689E-4</v>
      </c>
    </row>
    <row r="23600" spans="1:6" x14ac:dyDescent="0.25">
      <c r="A23600" s="1" t="str">
        <f t="shared" si="882"/>
        <v>35614</v>
      </c>
      <c r="B23600" s="1" t="str">
        <f>"07407"</f>
        <v>07407</v>
      </c>
      <c r="C23600" s="2">
        <v>2.1916092673763301E-4</v>
      </c>
      <c r="D23600" s="2">
        <v>0</v>
      </c>
      <c r="E23600" s="2">
        <v>5.3817175367109997E-4</v>
      </c>
      <c r="F23600" s="2">
        <v>2.7349519039172301E-4</v>
      </c>
    </row>
    <row r="23601" spans="1:6" x14ac:dyDescent="0.25">
      <c r="A23601" s="1" t="str">
        <f t="shared" si="882"/>
        <v>35614</v>
      </c>
      <c r="B23601" s="1" t="str">
        <f>"10285"</f>
        <v>10285</v>
      </c>
      <c r="C23601" s="2">
        <v>0</v>
      </c>
      <c r="D23601" s="2">
        <v>0</v>
      </c>
      <c r="E23601" s="2">
        <v>3.84408395479357E-5</v>
      </c>
      <c r="F23601" s="2">
        <v>7.8141482969063694E-6</v>
      </c>
    </row>
    <row r="23602" spans="1:6" x14ac:dyDescent="0.25">
      <c r="A23602" s="1" t="str">
        <f t="shared" si="882"/>
        <v>35614</v>
      </c>
      <c r="B23602" s="1" t="str">
        <f>"10020"</f>
        <v>10020</v>
      </c>
      <c r="C23602" s="2">
        <v>0</v>
      </c>
      <c r="D23602" s="2">
        <v>1.6289297931259101E-3</v>
      </c>
      <c r="E23602" s="2">
        <v>7.6881679095871399E-5</v>
      </c>
      <c r="F23602" s="2">
        <v>9.3769779562876494E-5</v>
      </c>
    </row>
    <row r="23603" spans="1:6" x14ac:dyDescent="0.25">
      <c r="A23603" s="1" t="str">
        <f t="shared" si="882"/>
        <v>35614</v>
      </c>
      <c r="B23603" s="1" t="str">
        <f>"11418"</f>
        <v>11418</v>
      </c>
      <c r="C23603" s="2">
        <v>0</v>
      </c>
      <c r="D23603" s="2">
        <v>1.4660368138133201E-3</v>
      </c>
      <c r="E23603" s="2">
        <v>1.5376335819174201E-4</v>
      </c>
      <c r="F23603" s="2">
        <v>1.01583927859782E-4</v>
      </c>
    </row>
    <row r="23604" spans="1:6" x14ac:dyDescent="0.25">
      <c r="A23604" s="1" t="str">
        <f t="shared" si="882"/>
        <v>35614</v>
      </c>
      <c r="B23604" s="1" t="str">
        <f>"10282"</f>
        <v>10282</v>
      </c>
      <c r="C23604" s="2">
        <v>0</v>
      </c>
      <c r="D23604" s="2">
        <v>0</v>
      </c>
      <c r="E23604" s="2">
        <v>3.84408395479357E-5</v>
      </c>
      <c r="F23604" s="2">
        <v>7.8141482969063694E-6</v>
      </c>
    </row>
    <row r="23605" spans="1:6" x14ac:dyDescent="0.25">
      <c r="A23605" s="1" t="str">
        <f t="shared" si="882"/>
        <v>35614</v>
      </c>
      <c r="B23605" s="1" t="str">
        <f>"11368"</f>
        <v>11368</v>
      </c>
      <c r="C23605" s="2">
        <v>5.9173450219160897E-3</v>
      </c>
      <c r="D23605" s="2">
        <v>1.14025085518814E-2</v>
      </c>
      <c r="E23605" s="2">
        <v>5.9583301299300298E-3</v>
      </c>
      <c r="F23605" s="2">
        <v>6.1888054511498496E-3</v>
      </c>
    </row>
    <row r="23606" spans="1:6" x14ac:dyDescent="0.25">
      <c r="A23606" s="1" t="str">
        <f t="shared" si="882"/>
        <v>35614</v>
      </c>
      <c r="B23606" s="1" t="str">
        <f>"07446"</f>
        <v>07446</v>
      </c>
      <c r="C23606" s="2">
        <v>3.6526821122938801E-4</v>
      </c>
      <c r="D23606" s="2">
        <v>1.6289297931259099E-4</v>
      </c>
      <c r="E23606" s="2">
        <v>3.84408395479357E-5</v>
      </c>
      <c r="F23606" s="2">
        <v>2.8912348698553601E-4</v>
      </c>
    </row>
    <row r="23607" spans="1:6" x14ac:dyDescent="0.25">
      <c r="A23607" s="1" t="str">
        <f t="shared" si="882"/>
        <v>35614</v>
      </c>
      <c r="B23607" s="1" t="str">
        <f>"07480"</f>
        <v>07480</v>
      </c>
      <c r="C23607" s="2">
        <v>2.0872469213107901E-5</v>
      </c>
      <c r="D23607" s="2">
        <v>0</v>
      </c>
      <c r="E23607" s="2">
        <v>3.84408395479357E-5</v>
      </c>
      <c r="F23607" s="2">
        <v>2.34424448907191E-5</v>
      </c>
    </row>
    <row r="23608" spans="1:6" x14ac:dyDescent="0.25">
      <c r="A23608" s="1" t="str">
        <f t="shared" si="882"/>
        <v>35614</v>
      </c>
      <c r="B23608" s="1" t="str">
        <f>"07626"</f>
        <v>07626</v>
      </c>
      <c r="C23608" s="2">
        <v>2.0872469213107901E-5</v>
      </c>
      <c r="D23608" s="2">
        <v>0</v>
      </c>
      <c r="E23608" s="2">
        <v>3.84408395479357E-5</v>
      </c>
      <c r="F23608" s="2">
        <v>2.34424448907191E-5</v>
      </c>
    </row>
    <row r="23609" spans="1:6" x14ac:dyDescent="0.25">
      <c r="A23609" s="1" t="str">
        <f t="shared" si="882"/>
        <v>35614</v>
      </c>
      <c r="B23609" s="1" t="str">
        <f>"10506"</f>
        <v>10506</v>
      </c>
      <c r="C23609" s="2">
        <v>0</v>
      </c>
      <c r="D23609" s="2">
        <v>0</v>
      </c>
      <c r="E23609" s="2">
        <v>7.6881679095871399E-5</v>
      </c>
      <c r="F23609" s="2">
        <v>1.5628296593812702E-5</v>
      </c>
    </row>
    <row r="23610" spans="1:6" x14ac:dyDescent="0.25">
      <c r="A23610" s="1" t="str">
        <f t="shared" si="882"/>
        <v>35614</v>
      </c>
      <c r="B23610" s="1" t="str">
        <f>"10547"</f>
        <v>10547</v>
      </c>
      <c r="C23610" s="2">
        <v>8.3489876852431606E-5</v>
      </c>
      <c r="D23610" s="2">
        <v>6.5157191725036603E-4</v>
      </c>
      <c r="E23610" s="2">
        <v>1.15322518643807E-4</v>
      </c>
      <c r="F23610" s="2">
        <v>1.1721222445359499E-4</v>
      </c>
    </row>
    <row r="23611" spans="1:6" x14ac:dyDescent="0.25">
      <c r="A23611" s="1" t="str">
        <f t="shared" si="882"/>
        <v>35614</v>
      </c>
      <c r="B23611" s="1" t="str">
        <f>"10301"</f>
        <v>10301</v>
      </c>
      <c r="C23611" s="2">
        <v>5.0093926111458899E-4</v>
      </c>
      <c r="D23611" s="2">
        <v>1.4334582179508001E-2</v>
      </c>
      <c r="E23611" s="2">
        <v>7.6881679095871396E-4</v>
      </c>
      <c r="F23611" s="2">
        <v>1.2190071343173899E-3</v>
      </c>
    </row>
    <row r="23612" spans="1:6" x14ac:dyDescent="0.25">
      <c r="A23612" s="1" t="str">
        <f t="shared" si="882"/>
        <v>35614</v>
      </c>
      <c r="B23612" s="1" t="str">
        <f>"11413"</f>
        <v>11413</v>
      </c>
      <c r="C23612" s="2">
        <v>2.8595282821957798E-3</v>
      </c>
      <c r="D23612" s="2">
        <v>5.3754683173155198E-3</v>
      </c>
      <c r="E23612" s="2">
        <v>3.9594064734373704E-3</v>
      </c>
      <c r="F23612" s="2">
        <v>3.2038008017316101E-3</v>
      </c>
    </row>
    <row r="23613" spans="1:6" x14ac:dyDescent="0.25">
      <c r="A23613" s="1" t="str">
        <f t="shared" si="882"/>
        <v>35614</v>
      </c>
      <c r="B23613" s="1" t="str">
        <f>"10131"</f>
        <v>10131</v>
      </c>
      <c r="C23613" s="2">
        <v>0</v>
      </c>
      <c r="D23613" s="2">
        <v>0</v>
      </c>
      <c r="E23613" s="2">
        <v>3.84408395479357E-5</v>
      </c>
      <c r="F23613" s="2">
        <v>7.8141482969063694E-6</v>
      </c>
    </row>
    <row r="23614" spans="1:6" x14ac:dyDescent="0.25">
      <c r="A23614" s="1" t="str">
        <f t="shared" si="882"/>
        <v>35614</v>
      </c>
      <c r="B23614" s="1" t="str">
        <f>"10154"</f>
        <v>10154</v>
      </c>
      <c r="C23614" s="2">
        <v>0</v>
      </c>
      <c r="D23614" s="2">
        <v>0</v>
      </c>
      <c r="E23614" s="2">
        <v>7.6881679095871399E-5</v>
      </c>
      <c r="F23614" s="2">
        <v>1.5628296593812702E-5</v>
      </c>
    </row>
    <row r="23615" spans="1:6" x14ac:dyDescent="0.25">
      <c r="A23615" s="1" t="str">
        <f t="shared" si="882"/>
        <v>35614</v>
      </c>
      <c r="B23615" s="1" t="str">
        <f>"11420"</f>
        <v>11420</v>
      </c>
      <c r="C23615" s="2">
        <v>0</v>
      </c>
      <c r="D23615" s="2">
        <v>0</v>
      </c>
      <c r="E23615" s="2">
        <v>3.84408395479357E-5</v>
      </c>
      <c r="F23615" s="2">
        <v>7.8141482969063694E-6</v>
      </c>
    </row>
    <row r="23616" spans="1:6" x14ac:dyDescent="0.25">
      <c r="A23616" s="1" t="str">
        <f t="shared" si="882"/>
        <v>35614</v>
      </c>
      <c r="B23616" s="1" t="str">
        <f>"10577"</f>
        <v>10577</v>
      </c>
      <c r="C23616" s="2">
        <v>0</v>
      </c>
      <c r="D23616" s="2">
        <v>1.6289297931259099E-4</v>
      </c>
      <c r="E23616" s="2">
        <v>0</v>
      </c>
      <c r="F23616" s="2">
        <v>7.8141482969063694E-6</v>
      </c>
    </row>
    <row r="23617" spans="1:6" x14ac:dyDescent="0.25">
      <c r="A23617" s="1" t="str">
        <f t="shared" si="882"/>
        <v>35614</v>
      </c>
      <c r="B23617" s="1" t="str">
        <f>"07403"</f>
        <v>07403</v>
      </c>
      <c r="C23617" s="2">
        <v>0</v>
      </c>
      <c r="D23617" s="2">
        <v>0</v>
      </c>
      <c r="E23617" s="2">
        <v>7.6881679095871399E-5</v>
      </c>
      <c r="F23617" s="2">
        <v>1.5628296593812702E-5</v>
      </c>
    </row>
    <row r="23618" spans="1:6" x14ac:dyDescent="0.25">
      <c r="A23618" s="1" t="str">
        <f t="shared" si="882"/>
        <v>35614</v>
      </c>
      <c r="B23618" s="1" t="str">
        <f>"10110"</f>
        <v>10110</v>
      </c>
      <c r="C23618" s="2">
        <v>0</v>
      </c>
      <c r="D23618" s="2">
        <v>1.6289297931259099E-4</v>
      </c>
      <c r="E23618" s="2">
        <v>3.84408395479357E-5</v>
      </c>
      <c r="F23618" s="2">
        <v>1.5628296593812702E-5</v>
      </c>
    </row>
    <row r="23619" spans="1:6" x14ac:dyDescent="0.25">
      <c r="A23619" s="1" t="str">
        <f t="shared" si="882"/>
        <v>35614</v>
      </c>
      <c r="B23619" s="1" t="str">
        <f>"10152"</f>
        <v>10152</v>
      </c>
      <c r="C23619" s="2">
        <v>0</v>
      </c>
      <c r="D23619" s="2">
        <v>1.6289297931259099E-4</v>
      </c>
      <c r="E23619" s="2">
        <v>3.84408395479357E-5</v>
      </c>
      <c r="F23619" s="2">
        <v>1.5628296593812702E-5</v>
      </c>
    </row>
    <row r="23620" spans="1:6" x14ac:dyDescent="0.25">
      <c r="A23620" s="1" t="str">
        <f t="shared" si="882"/>
        <v>35614</v>
      </c>
      <c r="B23620" s="1" t="str">
        <f>"10989"</f>
        <v>10989</v>
      </c>
      <c r="C23620" s="2">
        <v>7.3053642245877594E-5</v>
      </c>
      <c r="D23620" s="2">
        <v>3.2578595862518302E-4</v>
      </c>
      <c r="E23620" s="2">
        <v>1.92204197739678E-4</v>
      </c>
      <c r="F23620" s="2">
        <v>1.09398076156689E-4</v>
      </c>
    </row>
    <row r="23621" spans="1:6" x14ac:dyDescent="0.25">
      <c r="A23621" s="1" t="str">
        <f t="shared" si="882"/>
        <v>35614</v>
      </c>
      <c r="B23621" s="1" t="str">
        <f>"10175"</f>
        <v>10175</v>
      </c>
      <c r="C23621" s="2">
        <v>0</v>
      </c>
      <c r="D23621" s="2">
        <v>1.6289297931259099E-4</v>
      </c>
      <c r="E23621" s="2">
        <v>3.84408395479357E-5</v>
      </c>
      <c r="F23621" s="2">
        <v>1.5628296593812702E-5</v>
      </c>
    </row>
    <row r="23622" spans="1:6" x14ac:dyDescent="0.25">
      <c r="A23622" s="1" t="str">
        <f t="shared" si="882"/>
        <v>35614</v>
      </c>
      <c r="B23622" s="1" t="str">
        <f>"11109"</f>
        <v>11109</v>
      </c>
      <c r="C23622" s="2">
        <v>0</v>
      </c>
      <c r="D23622" s="2">
        <v>0</v>
      </c>
      <c r="E23622" s="2">
        <v>3.84408395479357E-5</v>
      </c>
      <c r="F23622" s="2">
        <v>7.8141482969063694E-6</v>
      </c>
    </row>
    <row r="23623" spans="1:6" x14ac:dyDescent="0.25">
      <c r="A23623" s="1" t="str">
        <f t="shared" si="882"/>
        <v>35614</v>
      </c>
      <c r="B23623" s="1" t="str">
        <f>"10923"</f>
        <v>10923</v>
      </c>
      <c r="C23623" s="2">
        <v>1.35671049885201E-4</v>
      </c>
      <c r="D23623" s="2">
        <v>9.7735787587554905E-4</v>
      </c>
      <c r="E23623" s="2">
        <v>2.3064503728761399E-4</v>
      </c>
      <c r="F23623" s="2">
        <v>1.95353707422659E-4</v>
      </c>
    </row>
    <row r="23624" spans="1:6" x14ac:dyDescent="0.25">
      <c r="A23624" s="1" t="str">
        <f t="shared" si="882"/>
        <v>35614</v>
      </c>
      <c r="B23624" s="1" t="str">
        <f>"11417"</f>
        <v>11417</v>
      </c>
      <c r="C23624" s="2">
        <v>1.04362346065539E-5</v>
      </c>
      <c r="D23624" s="2">
        <v>0</v>
      </c>
      <c r="E23624" s="2">
        <v>3.84408395479357E-5</v>
      </c>
      <c r="F23624" s="2">
        <v>1.5628296593812702E-5</v>
      </c>
    </row>
    <row r="23625" spans="1:6" x14ac:dyDescent="0.25">
      <c r="A23625" s="1" t="str">
        <f t="shared" si="882"/>
        <v>35614</v>
      </c>
      <c r="B23625" s="1" t="str">
        <f>"10462"</f>
        <v>10462</v>
      </c>
      <c r="C23625" s="2">
        <v>1.9828845752452499E-4</v>
      </c>
      <c r="D23625" s="2">
        <v>0</v>
      </c>
      <c r="E23625" s="2">
        <v>7.6881679095871399E-5</v>
      </c>
      <c r="F23625" s="2">
        <v>1.6409711423503301E-4</v>
      </c>
    </row>
    <row r="23626" spans="1:6" x14ac:dyDescent="0.25">
      <c r="A23626" s="1" t="str">
        <f t="shared" si="882"/>
        <v>35614</v>
      </c>
      <c r="B23626" s="1" t="str">
        <f>"10970"</f>
        <v>10970</v>
      </c>
      <c r="C23626" s="2">
        <v>5.6355666875391303E-4</v>
      </c>
      <c r="D23626" s="2">
        <v>4.7238964000651503E-3</v>
      </c>
      <c r="E23626" s="2">
        <v>3.4596755593142099E-4</v>
      </c>
      <c r="F23626" s="2">
        <v>7.1890164331538597E-4</v>
      </c>
    </row>
    <row r="23627" spans="1:6" x14ac:dyDescent="0.25">
      <c r="A23627" s="1" t="str">
        <f t="shared" si="882"/>
        <v>35614</v>
      </c>
      <c r="B23627" s="1" t="str">
        <f>"10080"</f>
        <v>10080</v>
      </c>
      <c r="C23627" s="2">
        <v>0</v>
      </c>
      <c r="D23627" s="2">
        <v>0</v>
      </c>
      <c r="E23627" s="2">
        <v>3.84408395479357E-5</v>
      </c>
      <c r="F23627" s="2">
        <v>7.8141482969063694E-6</v>
      </c>
    </row>
    <row r="23628" spans="1:6" x14ac:dyDescent="0.25">
      <c r="A23628" s="1" t="str">
        <f t="shared" si="882"/>
        <v>35614</v>
      </c>
      <c r="B23628" s="1" t="str">
        <f>"10055"</f>
        <v>10055</v>
      </c>
      <c r="C23628" s="2">
        <v>0</v>
      </c>
      <c r="D23628" s="2">
        <v>0</v>
      </c>
      <c r="E23628" s="2">
        <v>3.84408395479357E-5</v>
      </c>
      <c r="F23628" s="2">
        <v>7.8141482969063694E-6</v>
      </c>
    </row>
    <row r="23629" spans="1:6" x14ac:dyDescent="0.25">
      <c r="A23629" s="1" t="str">
        <f t="shared" si="882"/>
        <v>35614</v>
      </c>
      <c r="B23629" s="1" t="str">
        <f>"10458"</f>
        <v>10458</v>
      </c>
      <c r="C23629" s="2">
        <v>1.1062408682947101E-3</v>
      </c>
      <c r="D23629" s="2">
        <v>4.8867893793777398E-4</v>
      </c>
      <c r="E23629" s="2">
        <v>4.22849235027292E-4</v>
      </c>
      <c r="F23629" s="2">
        <v>9.3769779562876505E-4</v>
      </c>
    </row>
    <row r="23630" spans="1:6" x14ac:dyDescent="0.25">
      <c r="A23630" s="1" t="str">
        <f t="shared" si="882"/>
        <v>35614</v>
      </c>
      <c r="B23630" s="1" t="str">
        <f>"10579"</f>
        <v>10579</v>
      </c>
      <c r="C23630" s="2">
        <v>1.7741598831141699E-4</v>
      </c>
      <c r="D23630" s="2">
        <v>6.5157191725036603E-4</v>
      </c>
      <c r="E23630" s="2">
        <v>3.07526716383485E-4</v>
      </c>
      <c r="F23630" s="2">
        <v>2.2661030061028401E-4</v>
      </c>
    </row>
    <row r="23631" spans="1:6" x14ac:dyDescent="0.25">
      <c r="A23631" s="1" t="str">
        <f t="shared" si="882"/>
        <v>35614</v>
      </c>
      <c r="B23631" s="1" t="str">
        <f>"10258"</f>
        <v>10258</v>
      </c>
      <c r="C23631" s="2">
        <v>0</v>
      </c>
      <c r="D23631" s="2">
        <v>0</v>
      </c>
      <c r="E23631" s="2">
        <v>3.84408395479357E-5</v>
      </c>
      <c r="F23631" s="2">
        <v>7.8141482969063694E-6</v>
      </c>
    </row>
    <row r="23632" spans="1:6" x14ac:dyDescent="0.25">
      <c r="A23632" s="1" t="str">
        <f t="shared" si="882"/>
        <v>35614</v>
      </c>
      <c r="B23632" s="1" t="str">
        <f>"07656"</f>
        <v>07656</v>
      </c>
      <c r="C23632" s="2">
        <v>1.8785222291797099E-4</v>
      </c>
      <c r="D23632" s="2">
        <v>3.2578595862518302E-4</v>
      </c>
      <c r="E23632" s="2">
        <v>2.6908587683554998E-4</v>
      </c>
      <c r="F23632" s="2">
        <v>2.1098200401647199E-4</v>
      </c>
    </row>
    <row r="23633" spans="1:6" x14ac:dyDescent="0.25">
      <c r="A23633" s="1" t="str">
        <f t="shared" si="882"/>
        <v>35614</v>
      </c>
      <c r="B23633" s="1" t="str">
        <f>"07632"</f>
        <v>07632</v>
      </c>
      <c r="C23633" s="2">
        <v>3.1308703819661798E-5</v>
      </c>
      <c r="D23633" s="2">
        <v>1.6289297931259099E-4</v>
      </c>
      <c r="E23633" s="2">
        <v>8.8413930960252096E-4</v>
      </c>
      <c r="F23633" s="2">
        <v>2.1098200401647199E-4</v>
      </c>
    </row>
    <row r="23634" spans="1:6" x14ac:dyDescent="0.25">
      <c r="A23634" s="1" t="str">
        <f t="shared" si="882"/>
        <v>35614</v>
      </c>
      <c r="B23634" s="1" t="str">
        <f>"11693"</f>
        <v>11693</v>
      </c>
      <c r="C23634" s="2">
        <v>3.1308703819661798E-5</v>
      </c>
      <c r="D23634" s="2">
        <v>0</v>
      </c>
      <c r="E23634" s="2">
        <v>1.5376335819174201E-4</v>
      </c>
      <c r="F23634" s="2">
        <v>5.4699038078344601E-5</v>
      </c>
    </row>
    <row r="23635" spans="1:6" x14ac:dyDescent="0.25">
      <c r="A23635" s="1" t="str">
        <f t="shared" si="882"/>
        <v>35614</v>
      </c>
      <c r="B23635" s="1" t="str">
        <f>"10514"</f>
        <v>10514</v>
      </c>
      <c r="C23635" s="2">
        <v>1.04362346065539E-5</v>
      </c>
      <c r="D23635" s="2">
        <v>0</v>
      </c>
      <c r="E23635" s="2">
        <v>7.6881679095871399E-5</v>
      </c>
      <c r="F23635" s="2">
        <v>2.34424448907191E-5</v>
      </c>
    </row>
    <row r="23636" spans="1:6" x14ac:dyDescent="0.25">
      <c r="A23636" s="1" t="str">
        <f t="shared" ref="A23636:A23699" si="883">"35614"</f>
        <v>35614</v>
      </c>
      <c r="B23636" s="1" t="str">
        <f>"10302"</f>
        <v>10302</v>
      </c>
      <c r="C23636" s="2">
        <v>0</v>
      </c>
      <c r="D23636" s="2">
        <v>0</v>
      </c>
      <c r="E23636" s="2">
        <v>3.84408395479357E-5</v>
      </c>
      <c r="F23636" s="2">
        <v>7.8141482969063694E-6</v>
      </c>
    </row>
    <row r="23637" spans="1:6" x14ac:dyDescent="0.25">
      <c r="A23637" s="1" t="str">
        <f t="shared" si="883"/>
        <v>35614</v>
      </c>
      <c r="B23637" s="1" t="str">
        <f>"07452"</f>
        <v>07452</v>
      </c>
      <c r="C23637" s="2">
        <v>0</v>
      </c>
      <c r="D23637" s="2">
        <v>0</v>
      </c>
      <c r="E23637" s="2">
        <v>3.84408395479357E-5</v>
      </c>
      <c r="F23637" s="2">
        <v>7.8141482969063694E-6</v>
      </c>
    </row>
    <row r="23638" spans="1:6" x14ac:dyDescent="0.25">
      <c r="A23638" s="1" t="str">
        <f t="shared" si="883"/>
        <v>35614</v>
      </c>
      <c r="B23638" s="1" t="str">
        <f>"07442"</f>
        <v>07442</v>
      </c>
      <c r="C23638" s="2">
        <v>1.04362346065539E-5</v>
      </c>
      <c r="D23638" s="2">
        <v>4.8867893793777398E-4</v>
      </c>
      <c r="E23638" s="2">
        <v>4.6129007457522799E-4</v>
      </c>
      <c r="F23638" s="2">
        <v>1.2502637275050199E-4</v>
      </c>
    </row>
    <row r="23639" spans="1:6" x14ac:dyDescent="0.25">
      <c r="A23639" s="1" t="str">
        <f t="shared" si="883"/>
        <v>35614</v>
      </c>
      <c r="B23639" s="1" t="str">
        <f>"10001"</f>
        <v>10001</v>
      </c>
      <c r="C23639" s="2">
        <v>1.71154247547484E-3</v>
      </c>
      <c r="D23639" s="2">
        <v>5.3428897214530001E-2</v>
      </c>
      <c r="E23639" s="2">
        <v>3.3443530406704002E-3</v>
      </c>
      <c r="F23639" s="2">
        <v>4.52439186390879E-3</v>
      </c>
    </row>
    <row r="23640" spans="1:6" x14ac:dyDescent="0.25">
      <c r="A23640" s="1" t="str">
        <f t="shared" si="883"/>
        <v>35614</v>
      </c>
      <c r="B23640" s="1" t="str">
        <f>"10003"</f>
        <v>10003</v>
      </c>
      <c r="C23640" s="2">
        <v>2.1603005635566601E-3</v>
      </c>
      <c r="D23640" s="2">
        <v>1.1402508551881399E-3</v>
      </c>
      <c r="E23640" s="2">
        <v>2.3064503728761399E-4</v>
      </c>
      <c r="F23640" s="2">
        <v>1.7191126253194001E-3</v>
      </c>
    </row>
    <row r="23641" spans="1:6" x14ac:dyDescent="0.25">
      <c r="A23641" s="1" t="str">
        <f t="shared" si="883"/>
        <v>35614</v>
      </c>
      <c r="B23641" s="1" t="str">
        <f>"10454"</f>
        <v>10454</v>
      </c>
      <c r="C23641" s="2">
        <v>1.1166771029012699E-3</v>
      </c>
      <c r="D23641" s="2">
        <v>1.22169734484443E-2</v>
      </c>
      <c r="E23641" s="2">
        <v>6.5349427231490697E-4</v>
      </c>
      <c r="F23641" s="2">
        <v>1.55501551108436E-3</v>
      </c>
    </row>
    <row r="23642" spans="1:6" x14ac:dyDescent="0.25">
      <c r="A23642" s="1" t="str">
        <f t="shared" si="883"/>
        <v>35614</v>
      </c>
      <c r="B23642" s="1" t="str">
        <f>"10543"</f>
        <v>10543</v>
      </c>
      <c r="C23642" s="2">
        <v>3.0578167397202999E-3</v>
      </c>
      <c r="D23642" s="2">
        <v>9.1220068415051297E-3</v>
      </c>
      <c r="E23642" s="2">
        <v>4.5744599062043497E-3</v>
      </c>
      <c r="F23642" s="2">
        <v>3.6570214029521802E-3</v>
      </c>
    </row>
    <row r="23643" spans="1:6" x14ac:dyDescent="0.25">
      <c r="A23643" s="1" t="str">
        <f t="shared" si="883"/>
        <v>35614</v>
      </c>
      <c r="B23643" s="1" t="str">
        <f>"10703"</f>
        <v>10703</v>
      </c>
      <c r="C23643" s="2">
        <v>3.78835316217908E-3</v>
      </c>
      <c r="D23643" s="2">
        <v>1.9547157517510899E-3</v>
      </c>
      <c r="E23643" s="2">
        <v>4.7282232643960902E-3</v>
      </c>
      <c r="F23643" s="2">
        <v>3.8914458518593698E-3</v>
      </c>
    </row>
    <row r="23644" spans="1:6" x14ac:dyDescent="0.25">
      <c r="A23644" s="1" t="str">
        <f t="shared" si="883"/>
        <v>35614</v>
      </c>
      <c r="B23644" s="1" t="str">
        <f>"10604"</f>
        <v>10604</v>
      </c>
      <c r="C23644" s="2">
        <v>1.3462742642454601E-3</v>
      </c>
      <c r="D23644" s="2">
        <v>3.7465385241895999E-3</v>
      </c>
      <c r="E23644" s="2">
        <v>1.7298377796571001E-3</v>
      </c>
      <c r="F23644" s="2">
        <v>1.53938721449055E-3</v>
      </c>
    </row>
    <row r="23645" spans="1:6" x14ac:dyDescent="0.25">
      <c r="A23645" s="1" t="str">
        <f t="shared" si="883"/>
        <v>35614</v>
      </c>
      <c r="B23645" s="1" t="str">
        <f>"07010"</f>
        <v>07010</v>
      </c>
      <c r="C23645" s="2">
        <v>9.8413692339803707E-3</v>
      </c>
      <c r="D23645" s="2">
        <v>9.7735787587554905E-4</v>
      </c>
      <c r="E23645" s="2">
        <v>8.0341354655185607E-3</v>
      </c>
      <c r="F23645" s="2">
        <v>9.04878372781758E-3</v>
      </c>
    </row>
    <row r="23646" spans="1:6" x14ac:dyDescent="0.25">
      <c r="A23646" s="1" t="str">
        <f t="shared" si="883"/>
        <v>35614</v>
      </c>
      <c r="B23646" s="1" t="str">
        <f>"07032"</f>
        <v>07032</v>
      </c>
      <c r="C23646" s="2">
        <v>1.37236485076184E-2</v>
      </c>
      <c r="D23646" s="2">
        <v>4.8867893793777398E-4</v>
      </c>
      <c r="E23646" s="2">
        <v>1.7029291919735502E-2</v>
      </c>
      <c r="F23646" s="2">
        <v>1.37607151508521E-2</v>
      </c>
    </row>
    <row r="23647" spans="1:6" x14ac:dyDescent="0.25">
      <c r="A23647" s="1" t="str">
        <f t="shared" si="883"/>
        <v>35614</v>
      </c>
      <c r="B23647" s="1" t="str">
        <f>"07522"</f>
        <v>07522</v>
      </c>
      <c r="C23647" s="2">
        <v>8.9125443539970692E-3</v>
      </c>
      <c r="D23647" s="2">
        <v>1.6289297931259099E-4</v>
      </c>
      <c r="E23647" s="2">
        <v>1.1147843468901301E-2</v>
      </c>
      <c r="F23647" s="2">
        <v>8.9471997999578008E-3</v>
      </c>
    </row>
    <row r="23648" spans="1:6" x14ac:dyDescent="0.25">
      <c r="A23648" s="1" t="str">
        <f t="shared" si="883"/>
        <v>35614</v>
      </c>
      <c r="B23648" s="1" t="str">
        <f>"07514"</f>
        <v>07514</v>
      </c>
      <c r="C23648" s="2">
        <v>5.4164057608014999E-3</v>
      </c>
      <c r="D23648" s="2">
        <v>0</v>
      </c>
      <c r="E23648" s="2">
        <v>6.6887060813408099E-3</v>
      </c>
      <c r="F23648" s="2">
        <v>5.4152047697561198E-3</v>
      </c>
    </row>
    <row r="23649" spans="1:6" x14ac:dyDescent="0.25">
      <c r="A23649" s="1" t="str">
        <f t="shared" si="883"/>
        <v>35614</v>
      </c>
      <c r="B23649" s="1" t="str">
        <f>"07662"</f>
        <v>07662</v>
      </c>
      <c r="C23649" s="2">
        <v>2.8177833437695603E-4</v>
      </c>
      <c r="D23649" s="2">
        <v>4.8867893793777398E-4</v>
      </c>
      <c r="E23649" s="2">
        <v>3.4596755593142099E-4</v>
      </c>
      <c r="F23649" s="2">
        <v>3.0475178357934802E-4</v>
      </c>
    </row>
    <row r="23650" spans="1:6" x14ac:dyDescent="0.25">
      <c r="A23650" s="1" t="str">
        <f t="shared" si="883"/>
        <v>35614</v>
      </c>
      <c r="B23650" s="1" t="str">
        <f>"11214"</f>
        <v>11214</v>
      </c>
      <c r="C23650" s="2">
        <v>3.6589438530578097E-2</v>
      </c>
      <c r="D23650" s="2">
        <v>1.17282945105065E-2</v>
      </c>
      <c r="E23650" s="2">
        <v>4.4283847159221901E-2</v>
      </c>
      <c r="F23650" s="2">
        <v>3.6960921444367099E-2</v>
      </c>
    </row>
    <row r="23651" spans="1:6" x14ac:dyDescent="0.25">
      <c r="A23651" s="1" t="str">
        <f t="shared" si="883"/>
        <v>35614</v>
      </c>
      <c r="B23651" s="1" t="str">
        <f>"11232"</f>
        <v>11232</v>
      </c>
      <c r="C23651" s="2">
        <v>2.96389062826132E-3</v>
      </c>
      <c r="D23651" s="2">
        <v>5.9781723407721102E-2</v>
      </c>
      <c r="E23651" s="2">
        <v>3.9209656338894403E-3</v>
      </c>
      <c r="F23651" s="2">
        <v>5.8840536675704999E-3</v>
      </c>
    </row>
    <row r="23652" spans="1:6" x14ac:dyDescent="0.25">
      <c r="A23652" s="1" t="str">
        <f t="shared" si="883"/>
        <v>35614</v>
      </c>
      <c r="B23652" s="1" t="str">
        <f>"11221"</f>
        <v>11221</v>
      </c>
      <c r="C23652" s="2">
        <v>3.6526821122938799E-2</v>
      </c>
      <c r="D23652" s="2">
        <v>4.7238964000651503E-3</v>
      </c>
      <c r="E23652" s="2">
        <v>3.8094871992004301E-2</v>
      </c>
      <c r="F23652" s="2">
        <v>3.5319950302016803E-2</v>
      </c>
    </row>
    <row r="23653" spans="1:6" x14ac:dyDescent="0.25">
      <c r="A23653" s="1" t="str">
        <f t="shared" si="883"/>
        <v>35614</v>
      </c>
      <c r="B23653" s="1" t="str">
        <f>"11225"</f>
        <v>11225</v>
      </c>
      <c r="C23653" s="2">
        <v>4.5188895846378597E-3</v>
      </c>
      <c r="D23653" s="2">
        <v>5.21257533800293E-3</v>
      </c>
      <c r="E23653" s="2">
        <v>5.1510724994233799E-3</v>
      </c>
      <c r="F23653" s="2">
        <v>4.6806748298469196E-3</v>
      </c>
    </row>
    <row r="23654" spans="1:6" x14ac:dyDescent="0.25">
      <c r="A23654" s="1" t="str">
        <f t="shared" si="883"/>
        <v>35614</v>
      </c>
      <c r="B23654" s="1" t="str">
        <f>"11216"</f>
        <v>11216</v>
      </c>
      <c r="C23654" s="2">
        <v>1.81590482154038E-2</v>
      </c>
      <c r="D23654" s="2">
        <v>5.7012542759407002E-3</v>
      </c>
      <c r="E23654" s="2">
        <v>1.67986468824479E-2</v>
      </c>
      <c r="F23654" s="2">
        <v>1.7284896032756899E-2</v>
      </c>
    </row>
    <row r="23655" spans="1:6" x14ac:dyDescent="0.25">
      <c r="A23655" s="1" t="str">
        <f t="shared" si="883"/>
        <v>35614</v>
      </c>
      <c r="B23655" s="1" t="str">
        <f>"11358"</f>
        <v>11358</v>
      </c>
      <c r="C23655" s="2">
        <v>2.0141932790649101E-3</v>
      </c>
      <c r="D23655" s="2">
        <v>5.0496823586903402E-3</v>
      </c>
      <c r="E23655" s="2">
        <v>3.15214884293072E-3</v>
      </c>
      <c r="F23655" s="2">
        <v>2.3911293788533498E-3</v>
      </c>
    </row>
    <row r="23656" spans="1:6" x14ac:dyDescent="0.25">
      <c r="A23656" s="1" t="str">
        <f t="shared" si="883"/>
        <v>35614</v>
      </c>
      <c r="B23656" s="1" t="str">
        <f>"11238"</f>
        <v>11238</v>
      </c>
      <c r="C23656" s="2">
        <v>2.2563139219369598E-2</v>
      </c>
      <c r="D23656" s="2">
        <v>9.9364717380680794E-3</v>
      </c>
      <c r="E23656" s="2">
        <v>1.8105635427077701E-2</v>
      </c>
      <c r="F23656" s="2">
        <v>2.10513155118657E-2</v>
      </c>
    </row>
    <row r="23657" spans="1:6" x14ac:dyDescent="0.25">
      <c r="A23657" s="1" t="str">
        <f t="shared" si="883"/>
        <v>35614</v>
      </c>
      <c r="B23657" s="1" t="str">
        <f>"11414"</f>
        <v>11414</v>
      </c>
      <c r="C23657" s="2">
        <v>7.4201628052598598E-3</v>
      </c>
      <c r="D23657" s="2">
        <v>2.11760873106369E-3</v>
      </c>
      <c r="E23657" s="2">
        <v>9.3026831706004409E-3</v>
      </c>
      <c r="F23657" s="2">
        <v>7.5484672548115604E-3</v>
      </c>
    </row>
    <row r="23658" spans="1:6" x14ac:dyDescent="0.25">
      <c r="A23658" s="1" t="str">
        <f t="shared" si="883"/>
        <v>35614</v>
      </c>
      <c r="B23658" s="1" t="str">
        <f>"10009"</f>
        <v>10009</v>
      </c>
      <c r="C23658" s="2">
        <v>1.1584220413274799E-3</v>
      </c>
      <c r="D23658" s="2">
        <v>3.2578595862518302E-4</v>
      </c>
      <c r="E23658" s="2">
        <v>3.84408395479357E-5</v>
      </c>
      <c r="F23658" s="2">
        <v>8.9081290584732699E-4</v>
      </c>
    </row>
    <row r="23659" spans="1:6" x14ac:dyDescent="0.25">
      <c r="A23659" s="1" t="str">
        <f t="shared" si="883"/>
        <v>35614</v>
      </c>
      <c r="B23659" s="1" t="str">
        <f>"11204"</f>
        <v>11204</v>
      </c>
      <c r="C23659" s="2">
        <v>1.56543519098309E-4</v>
      </c>
      <c r="D23659" s="2">
        <v>1.1402508551881399E-3</v>
      </c>
      <c r="E23659" s="2">
        <v>3.07526716383485E-4</v>
      </c>
      <c r="F23659" s="2">
        <v>2.3442444890719099E-4</v>
      </c>
    </row>
    <row r="23660" spans="1:6" x14ac:dyDescent="0.25">
      <c r="A23660" s="1" t="str">
        <f t="shared" si="883"/>
        <v>35614</v>
      </c>
      <c r="B23660" s="1" t="str">
        <f>"07644"</f>
        <v>07644</v>
      </c>
      <c r="C23660" s="2">
        <v>3.4022124817365798E-3</v>
      </c>
      <c r="D23660" s="2">
        <v>8.1446489656295798E-4</v>
      </c>
      <c r="E23660" s="2">
        <v>3.8056431152456299E-3</v>
      </c>
      <c r="F23660" s="2">
        <v>3.3600837676697401E-3</v>
      </c>
    </row>
    <row r="23661" spans="1:6" x14ac:dyDescent="0.25">
      <c r="A23661" s="1" t="str">
        <f t="shared" si="883"/>
        <v>35614</v>
      </c>
      <c r="B23661" s="1" t="str">
        <f>"11106"</f>
        <v>11106</v>
      </c>
      <c r="C23661" s="2">
        <v>1.4506366103109901E-3</v>
      </c>
      <c r="D23661" s="2">
        <v>1.7918227724385001E-3</v>
      </c>
      <c r="E23661" s="2">
        <v>2.6908587683554998E-4</v>
      </c>
      <c r="F23661" s="2">
        <v>1.2268212826142999E-3</v>
      </c>
    </row>
    <row r="23662" spans="1:6" x14ac:dyDescent="0.25">
      <c r="A23662" s="1" t="str">
        <f t="shared" si="883"/>
        <v>35614</v>
      </c>
      <c r="B23662" s="1" t="str">
        <f>"11362"</f>
        <v>11362</v>
      </c>
      <c r="C23662" s="2">
        <v>3.16217908578584E-3</v>
      </c>
      <c r="D23662" s="2">
        <v>1.4660368138133201E-3</v>
      </c>
      <c r="E23662" s="2">
        <v>3.9209656338894403E-3</v>
      </c>
      <c r="F23662" s="2">
        <v>3.2350573949192401E-3</v>
      </c>
    </row>
    <row r="23663" spans="1:6" x14ac:dyDescent="0.25">
      <c r="A23663" s="1" t="str">
        <f t="shared" si="883"/>
        <v>35614</v>
      </c>
      <c r="B23663" s="1" t="str">
        <f>"10466"</f>
        <v>10466</v>
      </c>
      <c r="C23663" s="2">
        <v>2.6090586516384798E-4</v>
      </c>
      <c r="D23663" s="2">
        <v>1.6289297931259099E-4</v>
      </c>
      <c r="E23663" s="2">
        <v>3.8440839547935698E-4</v>
      </c>
      <c r="F23663" s="2">
        <v>2.8130933868862899E-4</v>
      </c>
    </row>
    <row r="23664" spans="1:6" x14ac:dyDescent="0.25">
      <c r="A23664" s="1" t="str">
        <f t="shared" si="883"/>
        <v>35614</v>
      </c>
      <c r="B23664" s="1" t="str">
        <f>"11235"</f>
        <v>11235</v>
      </c>
      <c r="C23664" s="2">
        <v>1.35671049885201E-4</v>
      </c>
      <c r="D23664" s="2">
        <v>1.6289297931259099E-4</v>
      </c>
      <c r="E23664" s="2">
        <v>3.07526716383485E-4</v>
      </c>
      <c r="F23664" s="2">
        <v>1.7191126253194E-4</v>
      </c>
    </row>
    <row r="23665" spans="1:6" x14ac:dyDescent="0.25">
      <c r="A23665" s="1" t="str">
        <f t="shared" si="883"/>
        <v>35614</v>
      </c>
      <c r="B23665" s="1" t="str">
        <f>"10533"</f>
        <v>10533</v>
      </c>
      <c r="C23665" s="2">
        <v>6.2617407639323704E-5</v>
      </c>
      <c r="D23665" s="2">
        <v>0</v>
      </c>
      <c r="E23665" s="2">
        <v>3.84408395479357E-5</v>
      </c>
      <c r="F23665" s="2">
        <v>5.4699038078344601E-5</v>
      </c>
    </row>
    <row r="23666" spans="1:6" x14ac:dyDescent="0.25">
      <c r="A23666" s="1" t="str">
        <f t="shared" si="883"/>
        <v>35614</v>
      </c>
      <c r="B23666" s="1" t="str">
        <f>"10974"</f>
        <v>10974</v>
      </c>
      <c r="C23666" s="2">
        <v>4.4145272385723196E-3</v>
      </c>
      <c r="D23666" s="2">
        <v>1.6289297931259101E-3</v>
      </c>
      <c r="E23666" s="2">
        <v>4.9973091412316398E-4</v>
      </c>
      <c r="F23666" s="2">
        <v>3.4851101404202401E-3</v>
      </c>
    </row>
    <row r="23667" spans="1:6" x14ac:dyDescent="0.25">
      <c r="A23667" s="1" t="str">
        <f t="shared" si="883"/>
        <v>35614</v>
      </c>
      <c r="B23667" s="1" t="str">
        <f>"11208"</f>
        <v>11208</v>
      </c>
      <c r="C23667" s="2">
        <v>3.9657691504904998E-4</v>
      </c>
      <c r="D23667" s="2">
        <v>1.4660368138133201E-3</v>
      </c>
      <c r="E23667" s="2">
        <v>3.4596755593142099E-4</v>
      </c>
      <c r="F23667" s="2">
        <v>4.3759230462675697E-4</v>
      </c>
    </row>
    <row r="23668" spans="1:6" x14ac:dyDescent="0.25">
      <c r="A23668" s="1" t="str">
        <f t="shared" si="883"/>
        <v>35614</v>
      </c>
      <c r="B23668" s="1" t="str">
        <f>"07424"</f>
        <v>07424</v>
      </c>
      <c r="C23668" s="2">
        <v>5.5312043414735895E-4</v>
      </c>
      <c r="D23668" s="2">
        <v>0</v>
      </c>
      <c r="E23668" s="2">
        <v>9.2258014915045695E-4</v>
      </c>
      <c r="F23668" s="2">
        <v>6.0168941886179104E-4</v>
      </c>
    </row>
    <row r="23669" spans="1:6" x14ac:dyDescent="0.25">
      <c r="A23669" s="1" t="str">
        <f t="shared" si="883"/>
        <v>35614</v>
      </c>
      <c r="B23669" s="1" t="str">
        <f>"10310"</f>
        <v>10310</v>
      </c>
      <c r="C23669" s="2">
        <v>7.3053642245877594E-5</v>
      </c>
      <c r="D23669" s="2">
        <v>0</v>
      </c>
      <c r="E23669" s="2">
        <v>2.6908587683554998E-4</v>
      </c>
      <c r="F23669" s="2">
        <v>1.09398076156689E-4</v>
      </c>
    </row>
    <row r="23670" spans="1:6" x14ac:dyDescent="0.25">
      <c r="A23670" s="1" t="str">
        <f t="shared" si="883"/>
        <v>35614</v>
      </c>
      <c r="B23670" s="1" t="str">
        <f>"11375"</f>
        <v>11375</v>
      </c>
      <c r="C23670" s="2">
        <v>2.1916092673763301E-4</v>
      </c>
      <c r="D23670" s="2">
        <v>3.2578595862518302E-4</v>
      </c>
      <c r="E23670" s="2">
        <v>1.92204197739678E-4</v>
      </c>
      <c r="F23670" s="2">
        <v>2.18796152313378E-4</v>
      </c>
    </row>
    <row r="23671" spans="1:6" x14ac:dyDescent="0.25">
      <c r="A23671" s="1" t="str">
        <f t="shared" si="883"/>
        <v>35614</v>
      </c>
      <c r="B23671" s="1" t="str">
        <f>"10962"</f>
        <v>10962</v>
      </c>
      <c r="C23671" s="2">
        <v>2.0872469213107901E-5</v>
      </c>
      <c r="D23671" s="2">
        <v>1.4660368138133201E-3</v>
      </c>
      <c r="E23671" s="2">
        <v>0</v>
      </c>
      <c r="F23671" s="2">
        <v>8.5955631265970106E-5</v>
      </c>
    </row>
    <row r="23672" spans="1:6" x14ac:dyDescent="0.25">
      <c r="A23672" s="1" t="str">
        <f t="shared" si="883"/>
        <v>35614</v>
      </c>
      <c r="B23672" s="1" t="str">
        <f>"10308"</f>
        <v>10308</v>
      </c>
      <c r="C23672" s="2">
        <v>5.5312043414735895E-4</v>
      </c>
      <c r="D23672" s="2">
        <v>2.76918064831405E-3</v>
      </c>
      <c r="E23672" s="2">
        <v>9.6102098869839305E-4</v>
      </c>
      <c r="F23672" s="2">
        <v>7.42344088206105E-4</v>
      </c>
    </row>
    <row r="23673" spans="1:6" x14ac:dyDescent="0.25">
      <c r="A23673" s="1" t="str">
        <f t="shared" si="883"/>
        <v>35614</v>
      </c>
      <c r="B23673" s="1" t="str">
        <f>"10453"</f>
        <v>10453</v>
      </c>
      <c r="C23673" s="2">
        <v>2.2750991442287601E-3</v>
      </c>
      <c r="D23673" s="2">
        <v>1.6289297931259099E-4</v>
      </c>
      <c r="E23673" s="2">
        <v>4.6129007457522799E-4</v>
      </c>
      <c r="F23673" s="2">
        <v>1.8050682565853701E-3</v>
      </c>
    </row>
    <row r="23674" spans="1:6" x14ac:dyDescent="0.25">
      <c r="A23674" s="1" t="str">
        <f t="shared" si="883"/>
        <v>35614</v>
      </c>
      <c r="B23674" s="1" t="str">
        <f>"07506"</f>
        <v>07506</v>
      </c>
      <c r="C23674" s="2">
        <v>1.0331872260488401E-3</v>
      </c>
      <c r="D23674" s="2">
        <v>6.5157191725036603E-4</v>
      </c>
      <c r="E23674" s="2">
        <v>1.30698854462981E-3</v>
      </c>
      <c r="F23674" s="2">
        <v>1.0705383166761701E-3</v>
      </c>
    </row>
    <row r="23675" spans="1:6" x14ac:dyDescent="0.25">
      <c r="A23675" s="1" t="str">
        <f t="shared" si="883"/>
        <v>35614</v>
      </c>
      <c r="B23675" s="1" t="str">
        <f>"10199"</f>
        <v>10199</v>
      </c>
      <c r="C23675" s="2">
        <v>0</v>
      </c>
      <c r="D23675" s="2">
        <v>1.9547157517510899E-3</v>
      </c>
      <c r="E23675" s="2">
        <v>0</v>
      </c>
      <c r="F23675" s="2">
        <v>9.3769779562876494E-5</v>
      </c>
    </row>
    <row r="23676" spans="1:6" x14ac:dyDescent="0.25">
      <c r="A23676" s="1" t="str">
        <f t="shared" si="883"/>
        <v>35614</v>
      </c>
      <c r="B23676" s="1" t="str">
        <f>"07631"</f>
        <v>07631</v>
      </c>
      <c r="C23676" s="2">
        <v>1.8889584637862601E-3</v>
      </c>
      <c r="D23676" s="2">
        <v>1.6289297931259099E-4</v>
      </c>
      <c r="E23676" s="2">
        <v>4.2284923502729204E-3</v>
      </c>
      <c r="F23676" s="2">
        <v>2.2817313026966598E-3</v>
      </c>
    </row>
    <row r="23677" spans="1:6" x14ac:dyDescent="0.25">
      <c r="A23677" s="1" t="str">
        <f t="shared" si="883"/>
        <v>35614</v>
      </c>
      <c r="B23677" s="1" t="str">
        <f>"10522"</f>
        <v>10522</v>
      </c>
      <c r="C23677" s="2">
        <v>1.1479858067209301E-3</v>
      </c>
      <c r="D23677" s="2">
        <v>3.2578595862518302E-3</v>
      </c>
      <c r="E23677" s="2">
        <v>1.4607519028215501E-3</v>
      </c>
      <c r="F23677" s="2">
        <v>1.3127769138802699E-3</v>
      </c>
    </row>
    <row r="23678" spans="1:6" x14ac:dyDescent="0.25">
      <c r="A23678" s="1" t="str">
        <f t="shared" si="883"/>
        <v>35614</v>
      </c>
      <c r="B23678" s="1" t="str">
        <f>"10570"</f>
        <v>10570</v>
      </c>
      <c r="C23678" s="2">
        <v>1.04362346065539E-3</v>
      </c>
      <c r="D23678" s="2">
        <v>2.2805017103762798E-3</v>
      </c>
      <c r="E23678" s="2">
        <v>1.42231106327362E-3</v>
      </c>
      <c r="F23678" s="2">
        <v>1.1799363928328599E-3</v>
      </c>
    </row>
    <row r="23679" spans="1:6" x14ac:dyDescent="0.25">
      <c r="A23679" s="1" t="str">
        <f t="shared" si="883"/>
        <v>35614</v>
      </c>
      <c r="B23679" s="1" t="str">
        <f>"07645"</f>
        <v>07645</v>
      </c>
      <c r="C23679" s="2">
        <v>5.73992903360467E-4</v>
      </c>
      <c r="D23679" s="2">
        <v>1.6289297931259099E-4</v>
      </c>
      <c r="E23679" s="2">
        <v>3.4596755593142099E-4</v>
      </c>
      <c r="F23679" s="2">
        <v>5.0791963929891395E-4</v>
      </c>
    </row>
    <row r="23680" spans="1:6" x14ac:dyDescent="0.25">
      <c r="A23680" s="1" t="str">
        <f t="shared" si="883"/>
        <v>35614</v>
      </c>
      <c r="B23680" s="1" t="str">
        <f>"07470"</f>
        <v>07470</v>
      </c>
      <c r="C23680" s="2">
        <v>3.1308703819661798E-5</v>
      </c>
      <c r="D23680" s="2">
        <v>1.6289297931259099E-4</v>
      </c>
      <c r="E23680" s="2">
        <v>4.9973091412316398E-4</v>
      </c>
      <c r="F23680" s="2">
        <v>1.32840521047408E-4</v>
      </c>
    </row>
    <row r="23681" spans="1:6" x14ac:dyDescent="0.25">
      <c r="A23681" s="1" t="str">
        <f t="shared" si="883"/>
        <v>35614</v>
      </c>
      <c r="B23681" s="1" t="str">
        <f>"07501"</f>
        <v>07501</v>
      </c>
      <c r="C23681" s="2">
        <v>3.5170110624086798E-3</v>
      </c>
      <c r="D23681" s="2">
        <v>0</v>
      </c>
      <c r="E23681" s="2">
        <v>4.1516106711770497E-3</v>
      </c>
      <c r="F23681" s="2">
        <v>3.4772959921233301E-3</v>
      </c>
    </row>
    <row r="23682" spans="1:6" x14ac:dyDescent="0.25">
      <c r="A23682" s="1" t="str">
        <f t="shared" si="883"/>
        <v>35614</v>
      </c>
      <c r="B23682" s="1" t="str">
        <f>"07305"</f>
        <v>07305</v>
      </c>
      <c r="C23682" s="2">
        <v>1.6447505739929001E-2</v>
      </c>
      <c r="D23682" s="2">
        <v>1.4660368138133201E-3</v>
      </c>
      <c r="E23682" s="2">
        <v>1.94510648112554E-2</v>
      </c>
      <c r="F23682" s="2">
        <v>1.6339384088831201E-2</v>
      </c>
    </row>
    <row r="23683" spans="1:6" x14ac:dyDescent="0.25">
      <c r="A23683" s="1" t="str">
        <f t="shared" si="883"/>
        <v>35614</v>
      </c>
      <c r="B23683" s="1" t="str">
        <f>"07304"</f>
        <v>07304</v>
      </c>
      <c r="C23683" s="2">
        <v>1.23147568357336E-2</v>
      </c>
      <c r="D23683" s="2">
        <v>6.5157191725036603E-4</v>
      </c>
      <c r="E23683" s="2">
        <v>1.1686015222572401E-2</v>
      </c>
      <c r="F23683" s="2">
        <v>1.16274526657966E-2</v>
      </c>
    </row>
    <row r="23684" spans="1:6" x14ac:dyDescent="0.25">
      <c r="A23684" s="1" t="str">
        <f t="shared" si="883"/>
        <v>35614</v>
      </c>
      <c r="B23684" s="1" t="str">
        <f>"07663"</f>
        <v>07663</v>
      </c>
      <c r="C23684" s="2">
        <v>6.9922771863911498E-4</v>
      </c>
      <c r="D23684" s="2">
        <v>1.1402508551881399E-3</v>
      </c>
      <c r="E23684" s="2">
        <v>1.5376335819174199E-3</v>
      </c>
      <c r="F23684" s="2">
        <v>8.9081290584732699E-4</v>
      </c>
    </row>
    <row r="23685" spans="1:6" x14ac:dyDescent="0.25">
      <c r="A23685" s="1" t="str">
        <f t="shared" si="883"/>
        <v>35614</v>
      </c>
      <c r="B23685" s="1" t="str">
        <f>"07660"</f>
        <v>07660</v>
      </c>
      <c r="C23685" s="2">
        <v>1.01231475683573E-3</v>
      </c>
      <c r="D23685" s="2">
        <v>0</v>
      </c>
      <c r="E23685" s="2">
        <v>2.8446221265472399E-3</v>
      </c>
      <c r="F23685" s="2">
        <v>1.3362193587709899E-3</v>
      </c>
    </row>
    <row r="23686" spans="1:6" x14ac:dyDescent="0.25">
      <c r="A23686" s="1" t="str">
        <f t="shared" si="883"/>
        <v>35614</v>
      </c>
      <c r="B23686" s="1" t="str">
        <f>"07432"</f>
        <v>07432</v>
      </c>
      <c r="C23686" s="2">
        <v>0</v>
      </c>
      <c r="D23686" s="2">
        <v>0</v>
      </c>
      <c r="E23686" s="2">
        <v>3.8440839547935698E-4</v>
      </c>
      <c r="F23686" s="2">
        <v>7.8141482969063705E-5</v>
      </c>
    </row>
    <row r="23687" spans="1:6" x14ac:dyDescent="0.25">
      <c r="A23687" s="1" t="str">
        <f t="shared" si="883"/>
        <v>35614</v>
      </c>
      <c r="B23687" s="1" t="str">
        <f>"10107"</f>
        <v>10107</v>
      </c>
      <c r="C23687" s="2">
        <v>0</v>
      </c>
      <c r="D23687" s="2">
        <v>0</v>
      </c>
      <c r="E23687" s="2">
        <v>3.84408395479357E-5</v>
      </c>
      <c r="F23687" s="2">
        <v>7.8141482969063694E-6</v>
      </c>
    </row>
    <row r="23688" spans="1:6" x14ac:dyDescent="0.25">
      <c r="A23688" s="1" t="str">
        <f t="shared" si="883"/>
        <v>35614</v>
      </c>
      <c r="B23688" s="1" t="str">
        <f>"10526"</f>
        <v>10526</v>
      </c>
      <c r="C23688" s="2">
        <v>1.04362346065539E-5</v>
      </c>
      <c r="D23688" s="2">
        <v>0</v>
      </c>
      <c r="E23688" s="2">
        <v>0</v>
      </c>
      <c r="F23688" s="2">
        <v>7.8141482969063694E-6</v>
      </c>
    </row>
    <row r="23689" spans="1:6" x14ac:dyDescent="0.25">
      <c r="A23689" s="1" t="str">
        <f t="shared" si="883"/>
        <v>35614</v>
      </c>
      <c r="B23689" s="1" t="str">
        <f>"10203"</f>
        <v>10203</v>
      </c>
      <c r="C23689" s="2">
        <v>0</v>
      </c>
      <c r="D23689" s="2">
        <v>0</v>
      </c>
      <c r="E23689" s="2">
        <v>3.84408395479357E-5</v>
      </c>
      <c r="F23689" s="2">
        <v>7.8141482969063694E-6</v>
      </c>
    </row>
    <row r="23690" spans="1:6" x14ac:dyDescent="0.25">
      <c r="A23690" s="1" t="str">
        <f t="shared" si="883"/>
        <v>35614</v>
      </c>
      <c r="B23690" s="1" t="str">
        <f>"10474"</f>
        <v>10474</v>
      </c>
      <c r="C23690" s="2">
        <v>0</v>
      </c>
      <c r="D23690" s="2">
        <v>0</v>
      </c>
      <c r="E23690" s="2">
        <v>7.6881679095871399E-5</v>
      </c>
      <c r="F23690" s="2">
        <v>1.5628296593812702E-5</v>
      </c>
    </row>
    <row r="23691" spans="1:6" x14ac:dyDescent="0.25">
      <c r="A23691" s="1" t="str">
        <f t="shared" si="883"/>
        <v>35614</v>
      </c>
      <c r="B23691" s="1" t="str">
        <f>"10463"</f>
        <v>10463</v>
      </c>
      <c r="C23691" s="2">
        <v>1.04362346065539E-3</v>
      </c>
      <c r="D23691" s="2">
        <v>0</v>
      </c>
      <c r="E23691" s="2">
        <v>2.6908587683554998E-4</v>
      </c>
      <c r="F23691" s="2">
        <v>8.3611386776898198E-4</v>
      </c>
    </row>
    <row r="23692" spans="1:6" x14ac:dyDescent="0.25">
      <c r="A23692" s="1" t="str">
        <f t="shared" si="883"/>
        <v>35614</v>
      </c>
      <c r="B23692" s="1" t="str">
        <f>"10304"</f>
        <v>10304</v>
      </c>
      <c r="C23692" s="2">
        <v>2.0872469213107901E-5</v>
      </c>
      <c r="D23692" s="2">
        <v>1.6289297931259099E-4</v>
      </c>
      <c r="E23692" s="2">
        <v>1.5376335819174201E-4</v>
      </c>
      <c r="F23692" s="2">
        <v>5.4699038078344601E-5</v>
      </c>
    </row>
    <row r="23693" spans="1:6" x14ac:dyDescent="0.25">
      <c r="A23693" s="1" t="str">
        <f t="shared" si="883"/>
        <v>35614</v>
      </c>
      <c r="B23693" s="1" t="str">
        <f>"11412"</f>
        <v>11412</v>
      </c>
      <c r="C23693" s="2">
        <v>2.3794614902943002E-3</v>
      </c>
      <c r="D23693" s="2">
        <v>2.2805017103762798E-3</v>
      </c>
      <c r="E23693" s="2">
        <v>2.3448912124240701E-3</v>
      </c>
      <c r="F23693" s="2">
        <v>2.3676869339626298E-3</v>
      </c>
    </row>
    <row r="23694" spans="1:6" x14ac:dyDescent="0.25">
      <c r="A23694" s="1" t="str">
        <f t="shared" si="883"/>
        <v>35614</v>
      </c>
      <c r="B23694" s="1" t="str">
        <f>"10576"</f>
        <v>10576</v>
      </c>
      <c r="C23694" s="2">
        <v>2.0872469213107901E-5</v>
      </c>
      <c r="D23694" s="2">
        <v>6.5157191725036603E-4</v>
      </c>
      <c r="E23694" s="2">
        <v>7.6881679095871399E-5</v>
      </c>
      <c r="F23694" s="2">
        <v>6.2513186375250996E-5</v>
      </c>
    </row>
    <row r="23695" spans="1:6" x14ac:dyDescent="0.25">
      <c r="A23695" s="1" t="str">
        <f t="shared" si="883"/>
        <v>35614</v>
      </c>
      <c r="B23695" s="1" t="str">
        <f>"11252"</f>
        <v>11252</v>
      </c>
      <c r="C23695" s="2">
        <v>0</v>
      </c>
      <c r="D23695" s="2">
        <v>0</v>
      </c>
      <c r="E23695" s="2">
        <v>3.84408395479357E-5</v>
      </c>
      <c r="F23695" s="2">
        <v>7.8141482969063694E-6</v>
      </c>
    </row>
    <row r="23696" spans="1:6" x14ac:dyDescent="0.25">
      <c r="A23696" s="1" t="str">
        <f t="shared" si="883"/>
        <v>35614</v>
      </c>
      <c r="B23696" s="1" t="str">
        <f>"10041"</f>
        <v>10041</v>
      </c>
      <c r="C23696" s="2">
        <v>0</v>
      </c>
      <c r="D23696" s="2">
        <v>1.6289297931259099E-4</v>
      </c>
      <c r="E23696" s="2">
        <v>3.84408395479357E-5</v>
      </c>
      <c r="F23696" s="2">
        <v>1.5628296593812702E-5</v>
      </c>
    </row>
    <row r="23697" spans="1:6" x14ac:dyDescent="0.25">
      <c r="A23697" s="1" t="str">
        <f t="shared" si="883"/>
        <v>35614</v>
      </c>
      <c r="B23697" s="1" t="str">
        <f>"10104"</f>
        <v>10104</v>
      </c>
      <c r="C23697" s="2">
        <v>0</v>
      </c>
      <c r="D23697" s="2">
        <v>0</v>
      </c>
      <c r="E23697" s="2">
        <v>3.84408395479357E-5</v>
      </c>
      <c r="F23697" s="2">
        <v>7.8141482969063694E-6</v>
      </c>
    </row>
    <row r="23698" spans="1:6" x14ac:dyDescent="0.25">
      <c r="A23698" s="1" t="str">
        <f t="shared" si="883"/>
        <v>35614</v>
      </c>
      <c r="B23698" s="1" t="str">
        <f>"10105"</f>
        <v>10105</v>
      </c>
      <c r="C23698" s="2">
        <v>0</v>
      </c>
      <c r="D23698" s="2">
        <v>0</v>
      </c>
      <c r="E23698" s="2">
        <v>3.84408395479357E-5</v>
      </c>
      <c r="F23698" s="2">
        <v>7.8141482969063694E-6</v>
      </c>
    </row>
    <row r="23699" spans="1:6" x14ac:dyDescent="0.25">
      <c r="A23699" s="1" t="str">
        <f t="shared" si="883"/>
        <v>35614</v>
      </c>
      <c r="B23699" s="1" t="str">
        <f>"10524"</f>
        <v>10524</v>
      </c>
      <c r="C23699" s="2">
        <v>1.14798580672093E-4</v>
      </c>
      <c r="D23699" s="2">
        <v>3.2578595862518302E-4</v>
      </c>
      <c r="E23699" s="2">
        <v>1.15322518643807E-4</v>
      </c>
      <c r="F23699" s="2">
        <v>1.2502637275050199E-4</v>
      </c>
    </row>
    <row r="23700" spans="1:6" x14ac:dyDescent="0.25">
      <c r="A23700" s="1" t="str">
        <f t="shared" ref="A23700:A23763" si="884">"35614"</f>
        <v>35614</v>
      </c>
      <c r="B23700" s="1" t="str">
        <f>"11411"</f>
        <v>11411</v>
      </c>
      <c r="C23700" s="2">
        <v>9.3926111458985496E-5</v>
      </c>
      <c r="D23700" s="2">
        <v>1.4660368138133201E-3</v>
      </c>
      <c r="E23700" s="2">
        <v>2.6908587683554998E-4</v>
      </c>
      <c r="F23700" s="2">
        <v>1.95353707422659E-4</v>
      </c>
    </row>
    <row r="23701" spans="1:6" x14ac:dyDescent="0.25">
      <c r="A23701" s="1" t="str">
        <f t="shared" si="884"/>
        <v>35614</v>
      </c>
      <c r="B23701" s="1" t="str">
        <f>"11005"</f>
        <v>11005</v>
      </c>
      <c r="C23701" s="2">
        <v>0</v>
      </c>
      <c r="D23701" s="2">
        <v>0</v>
      </c>
      <c r="E23701" s="2">
        <v>3.84408395479357E-5</v>
      </c>
      <c r="F23701" s="2">
        <v>7.8141482969063694E-6</v>
      </c>
    </row>
    <row r="23702" spans="1:6" x14ac:dyDescent="0.25">
      <c r="A23702" s="1" t="str">
        <f t="shared" si="884"/>
        <v>35614</v>
      </c>
      <c r="B23702" s="1" t="str">
        <f>"07013"</f>
        <v>07013</v>
      </c>
      <c r="C23702" s="2">
        <v>0</v>
      </c>
      <c r="D23702" s="2">
        <v>1.6289297931259099E-4</v>
      </c>
      <c r="E23702" s="2">
        <v>7.6881679095871399E-5</v>
      </c>
      <c r="F23702" s="2">
        <v>2.34424448907191E-5</v>
      </c>
    </row>
    <row r="23703" spans="1:6" x14ac:dyDescent="0.25">
      <c r="A23703" s="1" t="str">
        <f t="shared" si="884"/>
        <v>35614</v>
      </c>
      <c r="B23703" s="1" t="str">
        <f>"10165"</f>
        <v>10165</v>
      </c>
      <c r="C23703" s="2">
        <v>0</v>
      </c>
      <c r="D23703" s="2">
        <v>3.2578595862518302E-4</v>
      </c>
      <c r="E23703" s="2">
        <v>3.84408395479357E-5</v>
      </c>
      <c r="F23703" s="2">
        <v>2.34424448907191E-5</v>
      </c>
    </row>
    <row r="23704" spans="1:6" x14ac:dyDescent="0.25">
      <c r="A23704" s="1" t="str">
        <f t="shared" si="884"/>
        <v>35614</v>
      </c>
      <c r="B23704" s="1" t="str">
        <f>"10123"</f>
        <v>10123</v>
      </c>
      <c r="C23704" s="2">
        <v>0</v>
      </c>
      <c r="D23704" s="2">
        <v>1.6289297931259099E-4</v>
      </c>
      <c r="E23704" s="2">
        <v>1.5376335819174201E-4</v>
      </c>
      <c r="F23704" s="2">
        <v>3.9070741484531798E-5</v>
      </c>
    </row>
    <row r="23705" spans="1:6" x14ac:dyDescent="0.25">
      <c r="A23705" s="1" t="str">
        <f t="shared" si="884"/>
        <v>35614</v>
      </c>
      <c r="B23705" s="1" t="str">
        <f>"10307"</f>
        <v>10307</v>
      </c>
      <c r="C23705" s="2">
        <v>3.1308703819661798E-5</v>
      </c>
      <c r="D23705" s="2">
        <v>0</v>
      </c>
      <c r="E23705" s="2">
        <v>3.84408395479357E-5</v>
      </c>
      <c r="F23705" s="2">
        <v>3.1256593187625498E-5</v>
      </c>
    </row>
    <row r="23706" spans="1:6" x14ac:dyDescent="0.25">
      <c r="A23706" s="1" t="str">
        <f t="shared" si="884"/>
        <v>35614</v>
      </c>
      <c r="B23706" s="1" t="str">
        <f>"11004"</f>
        <v>11004</v>
      </c>
      <c r="C23706" s="2">
        <v>0</v>
      </c>
      <c r="D23706" s="2">
        <v>0</v>
      </c>
      <c r="E23706" s="2">
        <v>3.84408395479357E-5</v>
      </c>
      <c r="F23706" s="2">
        <v>7.8141482969063694E-6</v>
      </c>
    </row>
    <row r="23707" spans="1:6" x14ac:dyDescent="0.25">
      <c r="A23707" s="1" t="str">
        <f t="shared" si="884"/>
        <v>35614</v>
      </c>
      <c r="B23707" s="1" t="str">
        <f>"10153"</f>
        <v>10153</v>
      </c>
      <c r="C23707" s="2">
        <v>0</v>
      </c>
      <c r="D23707" s="2">
        <v>1.6289297931259099E-4</v>
      </c>
      <c r="E23707" s="2">
        <v>3.84408395479357E-5</v>
      </c>
      <c r="F23707" s="2">
        <v>1.5628296593812702E-5</v>
      </c>
    </row>
    <row r="23708" spans="1:6" x14ac:dyDescent="0.25">
      <c r="A23708" s="1" t="str">
        <f t="shared" si="884"/>
        <v>35614</v>
      </c>
      <c r="B23708" s="1" t="str">
        <f>"10044"</f>
        <v>10044</v>
      </c>
      <c r="C23708" s="2">
        <v>0</v>
      </c>
      <c r="D23708" s="2">
        <v>3.2578595862518302E-4</v>
      </c>
      <c r="E23708" s="2">
        <v>2.6908587683554998E-4</v>
      </c>
      <c r="F23708" s="2">
        <v>7.0327334672157398E-5</v>
      </c>
    </row>
    <row r="23709" spans="1:6" x14ac:dyDescent="0.25">
      <c r="A23709" s="1" t="str">
        <f t="shared" si="884"/>
        <v>35614</v>
      </c>
      <c r="B23709" s="1" t="str">
        <f>"10172"</f>
        <v>10172</v>
      </c>
      <c r="C23709" s="2">
        <v>0</v>
      </c>
      <c r="D23709" s="2">
        <v>0</v>
      </c>
      <c r="E23709" s="2">
        <v>7.6881679095871399E-5</v>
      </c>
      <c r="F23709" s="2">
        <v>1.5628296593812702E-5</v>
      </c>
    </row>
    <row r="23710" spans="1:6" x14ac:dyDescent="0.25">
      <c r="A23710" s="1" t="str">
        <f t="shared" si="884"/>
        <v>35614</v>
      </c>
      <c r="B23710" s="1" t="str">
        <f>"11378"</f>
        <v>11378</v>
      </c>
      <c r="C23710" s="2">
        <v>4.9467752035065697E-3</v>
      </c>
      <c r="D23710" s="2">
        <v>7.0043981104414297E-3</v>
      </c>
      <c r="E23710" s="2">
        <v>6.6502652417928798E-3</v>
      </c>
      <c r="F23710" s="2">
        <v>5.3917623248653998E-3</v>
      </c>
    </row>
    <row r="23711" spans="1:6" x14ac:dyDescent="0.25">
      <c r="A23711" s="1" t="str">
        <f t="shared" si="884"/>
        <v>35614</v>
      </c>
      <c r="B23711" s="1" t="str">
        <f>"07031"</f>
        <v>07031</v>
      </c>
      <c r="C23711" s="2">
        <v>1.1897307451471501E-3</v>
      </c>
      <c r="D23711" s="2">
        <v>0</v>
      </c>
      <c r="E23711" s="2">
        <v>9.6102098869839305E-4</v>
      </c>
      <c r="F23711" s="2">
        <v>1.0861666132699799E-3</v>
      </c>
    </row>
    <row r="23712" spans="1:6" x14ac:dyDescent="0.25">
      <c r="A23712" s="1" t="str">
        <f t="shared" si="884"/>
        <v>35614</v>
      </c>
      <c r="B23712" s="1" t="str">
        <f>"07094"</f>
        <v>07094</v>
      </c>
      <c r="C23712" s="2">
        <v>1.4715090795240999E-3</v>
      </c>
      <c r="D23712" s="2">
        <v>5.0496823586903402E-3</v>
      </c>
      <c r="E23712" s="2">
        <v>4.2669331898208601E-3</v>
      </c>
      <c r="F23712" s="2">
        <v>2.2114039680245002E-3</v>
      </c>
    </row>
    <row r="23713" spans="1:6" x14ac:dyDescent="0.25">
      <c r="A23713" s="1" t="str">
        <f t="shared" si="884"/>
        <v>35614</v>
      </c>
      <c r="B23713" s="1" t="str">
        <f>"07087"</f>
        <v>07087</v>
      </c>
      <c r="C23713" s="2">
        <v>3.2874139010644898E-3</v>
      </c>
      <c r="D23713" s="2">
        <v>9.7735787587554905E-4</v>
      </c>
      <c r="E23713" s="2">
        <v>4.6897824248481497E-3</v>
      </c>
      <c r="F23713" s="2">
        <v>3.4616676955295201E-3</v>
      </c>
    </row>
    <row r="23714" spans="1:6" x14ac:dyDescent="0.25">
      <c r="A23714" s="1" t="str">
        <f t="shared" si="884"/>
        <v>35614</v>
      </c>
      <c r="B23714" s="1" t="str">
        <f>"07513"</f>
        <v>07513</v>
      </c>
      <c r="C23714" s="2">
        <v>4.1953663118346899E-3</v>
      </c>
      <c r="D23714" s="2">
        <v>1.6289297931259099E-4</v>
      </c>
      <c r="E23714" s="2">
        <v>5.1510724994233799E-3</v>
      </c>
      <c r="F23714" s="2">
        <v>4.1961976354387203E-3</v>
      </c>
    </row>
    <row r="23715" spans="1:6" x14ac:dyDescent="0.25">
      <c r="A23715" s="1" t="str">
        <f t="shared" si="884"/>
        <v>35614</v>
      </c>
      <c r="B23715" s="1" t="str">
        <f>"07601"</f>
        <v>07601</v>
      </c>
      <c r="C23715" s="2">
        <v>4.8319766228344802E-3</v>
      </c>
      <c r="D23715" s="2">
        <v>3.06238801107672E-2</v>
      </c>
      <c r="E23715" s="2">
        <v>9.1104789728607607E-3</v>
      </c>
      <c r="F23715" s="2">
        <v>6.9389636876528603E-3</v>
      </c>
    </row>
    <row r="23716" spans="1:6" x14ac:dyDescent="0.25">
      <c r="A23716" s="1" t="str">
        <f t="shared" si="884"/>
        <v>35614</v>
      </c>
      <c r="B23716" s="1" t="str">
        <f>"07657"</f>
        <v>07657</v>
      </c>
      <c r="C23716" s="2">
        <v>7.3053642245877602E-4</v>
      </c>
      <c r="D23716" s="2">
        <v>1.4660368138133201E-3</v>
      </c>
      <c r="E23716" s="2">
        <v>9.6102098869839305E-4</v>
      </c>
      <c r="F23716" s="2">
        <v>8.1267142287826295E-4</v>
      </c>
    </row>
    <row r="23717" spans="1:6" x14ac:dyDescent="0.25">
      <c r="A23717" s="1" t="str">
        <f t="shared" si="884"/>
        <v>35614</v>
      </c>
      <c r="B23717" s="1" t="str">
        <f>"10005"</f>
        <v>10005</v>
      </c>
      <c r="C23717" s="2">
        <v>3.7152995199331998E-3</v>
      </c>
      <c r="D23717" s="2">
        <v>4.2352174621273801E-3</v>
      </c>
      <c r="E23717" s="2">
        <v>6.5349427231490697E-4</v>
      </c>
      <c r="F23717" s="2">
        <v>3.11784517046564E-3</v>
      </c>
    </row>
    <row r="23718" spans="1:6" x14ac:dyDescent="0.25">
      <c r="A23718" s="1" t="str">
        <f t="shared" si="884"/>
        <v>35614</v>
      </c>
      <c r="B23718" s="1" t="str">
        <f>"10019"</f>
        <v>10019</v>
      </c>
      <c r="C23718" s="2">
        <v>3.0160718012940901E-3</v>
      </c>
      <c r="D23718" s="2">
        <v>1.1402508551881399E-3</v>
      </c>
      <c r="E23718" s="2">
        <v>7.6881679095871396E-4</v>
      </c>
      <c r="F23718" s="2">
        <v>2.4692708618224098E-3</v>
      </c>
    </row>
    <row r="23719" spans="1:6" x14ac:dyDescent="0.25">
      <c r="A23719" s="1" t="str">
        <f t="shared" si="884"/>
        <v>35614</v>
      </c>
      <c r="B23719" s="1" t="str">
        <f>"10119"</f>
        <v>10119</v>
      </c>
      <c r="C23719" s="2">
        <v>0</v>
      </c>
      <c r="D23719" s="2">
        <v>1.6289297931259101E-3</v>
      </c>
      <c r="E23719" s="2">
        <v>1.15322518643807E-4</v>
      </c>
      <c r="F23719" s="2">
        <v>1.01583927859782E-4</v>
      </c>
    </row>
    <row r="23720" spans="1:6" x14ac:dyDescent="0.25">
      <c r="A23720" s="1" t="str">
        <f t="shared" si="884"/>
        <v>35614</v>
      </c>
      <c r="B23720" s="1" t="str">
        <f>"10035"</f>
        <v>10035</v>
      </c>
      <c r="C23720" s="2">
        <v>5.78167397203089E-3</v>
      </c>
      <c r="D23720" s="2">
        <v>1.4660368138133201E-3</v>
      </c>
      <c r="E23720" s="2">
        <v>2.3064503728761399E-4</v>
      </c>
      <c r="F23720" s="2">
        <v>4.4462503809397204E-3</v>
      </c>
    </row>
    <row r="23721" spans="1:6" x14ac:dyDescent="0.25">
      <c r="A23721" s="1" t="str">
        <f t="shared" si="884"/>
        <v>35614</v>
      </c>
      <c r="B23721" s="1" t="str">
        <f>"10952"</f>
        <v>10952</v>
      </c>
      <c r="C23721" s="2">
        <v>2.0663744520976802E-3</v>
      </c>
      <c r="D23721" s="2">
        <v>3.4207525655644199E-3</v>
      </c>
      <c r="E23721" s="2">
        <v>2.3448912124240701E-3</v>
      </c>
      <c r="F23721" s="2">
        <v>2.1879615231337802E-3</v>
      </c>
    </row>
    <row r="23722" spans="1:6" x14ac:dyDescent="0.25">
      <c r="A23722" s="1" t="str">
        <f t="shared" si="884"/>
        <v>35614</v>
      </c>
      <c r="B23722" s="1" t="str">
        <f>"11206"</f>
        <v>11206</v>
      </c>
      <c r="C23722" s="2">
        <v>1.1688582759340401E-2</v>
      </c>
      <c r="D23722" s="2">
        <v>7.4930770483792103E-3</v>
      </c>
      <c r="E23722" s="2">
        <v>2.1526870146843999E-3</v>
      </c>
      <c r="F23722" s="2">
        <v>9.5488892188195906E-3</v>
      </c>
    </row>
    <row r="23723" spans="1:6" x14ac:dyDescent="0.25">
      <c r="A23723" s="1" t="str">
        <f t="shared" si="884"/>
        <v>35614</v>
      </c>
      <c r="B23723" s="1" t="str">
        <f>"11211"</f>
        <v>11211</v>
      </c>
      <c r="C23723" s="2">
        <v>1.81694844500104E-2</v>
      </c>
      <c r="D23723" s="2">
        <v>1.44974751588206E-2</v>
      </c>
      <c r="E23723" s="2">
        <v>1.9797032367186801E-2</v>
      </c>
      <c r="F23723" s="2">
        <v>1.83241777562454E-2</v>
      </c>
    </row>
    <row r="23724" spans="1:6" x14ac:dyDescent="0.25">
      <c r="A23724" s="1" t="str">
        <f t="shared" si="884"/>
        <v>35614</v>
      </c>
      <c r="B23724" s="1" t="str">
        <f>"11226"</f>
        <v>11226</v>
      </c>
      <c r="C23724" s="2">
        <v>1.17825088707994E-2</v>
      </c>
      <c r="D23724" s="2">
        <v>1.7755334745072401E-2</v>
      </c>
      <c r="E23724" s="2">
        <v>1.02637041592988E-2</v>
      </c>
      <c r="F23724" s="2">
        <v>1.1760293186844E-2</v>
      </c>
    </row>
    <row r="23725" spans="1:6" x14ac:dyDescent="0.25">
      <c r="A23725" s="1" t="str">
        <f t="shared" si="884"/>
        <v>35614</v>
      </c>
      <c r="B23725" s="1" t="str">
        <f>"07070"</f>
        <v>07070</v>
      </c>
      <c r="C23725" s="2">
        <v>5.5312043414735895E-4</v>
      </c>
      <c r="D23725" s="2">
        <v>6.5157191725036603E-4</v>
      </c>
      <c r="E23725" s="2">
        <v>3.4596755593142099E-4</v>
      </c>
      <c r="F23725" s="2">
        <v>5.1573378759582004E-4</v>
      </c>
    </row>
    <row r="23726" spans="1:6" x14ac:dyDescent="0.25">
      <c r="A23726" s="1" t="str">
        <f t="shared" si="884"/>
        <v>35614</v>
      </c>
      <c r="B23726" s="1" t="str">
        <f>"10171"</f>
        <v>10171</v>
      </c>
      <c r="C23726" s="2">
        <v>0</v>
      </c>
      <c r="D23726" s="2">
        <v>9.7735787587554905E-4</v>
      </c>
      <c r="E23726" s="2">
        <v>3.84408395479357E-5</v>
      </c>
      <c r="F23726" s="2">
        <v>5.4699038078344601E-5</v>
      </c>
    </row>
    <row r="23727" spans="1:6" x14ac:dyDescent="0.25">
      <c r="A23727" s="1" t="str">
        <f t="shared" si="884"/>
        <v>35614</v>
      </c>
      <c r="B23727" s="1" t="str">
        <f>"11356"</f>
        <v>11356</v>
      </c>
      <c r="C23727" s="2">
        <v>4.1744938426215803E-5</v>
      </c>
      <c r="D23727" s="2">
        <v>0</v>
      </c>
      <c r="E23727" s="2">
        <v>1.65295610056123E-3</v>
      </c>
      <c r="F23727" s="2">
        <v>3.6726496995459902E-4</v>
      </c>
    </row>
    <row r="23728" spans="1:6" x14ac:dyDescent="0.25">
      <c r="A23728" s="1" t="str">
        <f t="shared" si="884"/>
        <v>35614</v>
      </c>
      <c r="B23728" s="1" t="str">
        <f>"11242"</f>
        <v>11242</v>
      </c>
      <c r="C23728" s="2">
        <v>0</v>
      </c>
      <c r="D23728" s="2">
        <v>0</v>
      </c>
      <c r="E23728" s="2">
        <v>7.6881679095871399E-5</v>
      </c>
      <c r="F23728" s="2">
        <v>1.5628296593812702E-5</v>
      </c>
    </row>
    <row r="23729" spans="1:6" x14ac:dyDescent="0.25">
      <c r="A23729" s="1" t="str">
        <f t="shared" si="884"/>
        <v>35614</v>
      </c>
      <c r="B23729" s="1" t="str">
        <f>"11430"</f>
        <v>11430</v>
      </c>
      <c r="C23729" s="2">
        <v>0</v>
      </c>
      <c r="D23729" s="2">
        <v>4.8867893793777398E-4</v>
      </c>
      <c r="E23729" s="2">
        <v>3.84408395479357E-5</v>
      </c>
      <c r="F23729" s="2">
        <v>3.1256593187625498E-5</v>
      </c>
    </row>
    <row r="23730" spans="1:6" x14ac:dyDescent="0.25">
      <c r="A23730" s="1" t="str">
        <f t="shared" si="884"/>
        <v>35614</v>
      </c>
      <c r="B23730" s="1" t="str">
        <f>"07661"</f>
        <v>07661</v>
      </c>
      <c r="C23730" s="2">
        <v>8.4533500313087003E-4</v>
      </c>
      <c r="D23730" s="2">
        <v>0</v>
      </c>
      <c r="E23730" s="2">
        <v>1.92204197739678E-4</v>
      </c>
      <c r="F23730" s="2">
        <v>6.7201675353394802E-4</v>
      </c>
    </row>
    <row r="23731" spans="1:6" x14ac:dyDescent="0.25">
      <c r="A23731" s="1" t="str">
        <f t="shared" si="884"/>
        <v>35614</v>
      </c>
      <c r="B23731" s="1" t="str">
        <f>"10013"</f>
        <v>10013</v>
      </c>
      <c r="C23731" s="2">
        <v>4.5188895846378597E-3</v>
      </c>
      <c r="D23731" s="2">
        <v>1.6289297931259101E-3</v>
      </c>
      <c r="E23731" s="2">
        <v>7.3037595141077797E-4</v>
      </c>
      <c r="F23731" s="2">
        <v>3.6101365131707402E-3</v>
      </c>
    </row>
    <row r="23732" spans="1:6" x14ac:dyDescent="0.25">
      <c r="A23732" s="1" t="str">
        <f t="shared" si="884"/>
        <v>35614</v>
      </c>
      <c r="B23732" s="1" t="str">
        <f>"11233"</f>
        <v>11233</v>
      </c>
      <c r="C23732" s="2">
        <v>1.6280525986224099E-3</v>
      </c>
      <c r="D23732" s="2">
        <v>6.5157191725036603E-4</v>
      </c>
      <c r="E23732" s="2">
        <v>1.03790266779426E-3</v>
      </c>
      <c r="F23732" s="2">
        <v>1.46124573152149E-3</v>
      </c>
    </row>
    <row r="23733" spans="1:6" x14ac:dyDescent="0.25">
      <c r="A23733" s="1" t="str">
        <f t="shared" si="884"/>
        <v>35614</v>
      </c>
      <c r="B23733" s="1" t="str">
        <f>"11428"</f>
        <v>11428</v>
      </c>
      <c r="C23733" s="2">
        <v>7.9315383009809996E-4</v>
      </c>
      <c r="D23733" s="2">
        <v>1.3031438345007299E-3</v>
      </c>
      <c r="E23733" s="2">
        <v>1.1147843468901301E-3</v>
      </c>
      <c r="F23733" s="2">
        <v>8.8299875755042004E-4</v>
      </c>
    </row>
    <row r="23734" spans="1:6" x14ac:dyDescent="0.25">
      <c r="A23734" s="1" t="str">
        <f t="shared" si="884"/>
        <v>35614</v>
      </c>
      <c r="B23734" s="1" t="str">
        <f>"10024"</f>
        <v>10024</v>
      </c>
      <c r="C23734" s="2">
        <v>1.05405969526194E-3</v>
      </c>
      <c r="D23734" s="2">
        <v>8.1446489656295798E-4</v>
      </c>
      <c r="E23734" s="2">
        <v>3.07526716383485E-4</v>
      </c>
      <c r="F23734" s="2">
        <v>8.9081290584732699E-4</v>
      </c>
    </row>
    <row r="23735" spans="1:6" x14ac:dyDescent="0.25">
      <c r="A23735" s="1" t="str">
        <f t="shared" si="884"/>
        <v>35614</v>
      </c>
      <c r="B23735" s="1" t="str">
        <f>"10028"</f>
        <v>10028</v>
      </c>
      <c r="C23735" s="2">
        <v>0</v>
      </c>
      <c r="D23735" s="2">
        <v>4.8867893793777398E-4</v>
      </c>
      <c r="E23735" s="2">
        <v>4.9973091412316398E-4</v>
      </c>
      <c r="F23735" s="2">
        <v>1.2502637275050199E-4</v>
      </c>
    </row>
    <row r="23736" spans="1:6" x14ac:dyDescent="0.25">
      <c r="A23736" s="1" t="str">
        <f t="shared" si="884"/>
        <v>35614</v>
      </c>
      <c r="B23736" s="1" t="str">
        <f>"07055"</f>
        <v>07055</v>
      </c>
      <c r="C23736" s="2">
        <v>1.7845961177207199E-3</v>
      </c>
      <c r="D23736" s="2">
        <v>6.5157191725036603E-4</v>
      </c>
      <c r="E23736" s="2">
        <v>3.4596755593142099E-4</v>
      </c>
      <c r="F23736" s="2">
        <v>1.43780328663077E-3</v>
      </c>
    </row>
    <row r="23737" spans="1:6" x14ac:dyDescent="0.25">
      <c r="A23737" s="1" t="str">
        <f t="shared" si="884"/>
        <v>35614</v>
      </c>
      <c r="B23737" s="1" t="str">
        <f>"10451"</f>
        <v>10451</v>
      </c>
      <c r="C23737" s="2">
        <v>3.13087038196618E-3</v>
      </c>
      <c r="D23737" s="2">
        <v>2.11760873106369E-3</v>
      </c>
      <c r="E23737" s="2">
        <v>4.22849235027292E-4</v>
      </c>
      <c r="F23737" s="2">
        <v>2.5317840481976599E-3</v>
      </c>
    </row>
    <row r="23738" spans="1:6" x14ac:dyDescent="0.25">
      <c r="A23738" s="1" t="str">
        <f t="shared" si="884"/>
        <v>35614</v>
      </c>
      <c r="B23738" s="1" t="str">
        <f>"10034"</f>
        <v>10034</v>
      </c>
      <c r="C23738" s="2">
        <v>0</v>
      </c>
      <c r="D23738" s="2">
        <v>4.8867893793777398E-4</v>
      </c>
      <c r="E23738" s="2">
        <v>1.5376335819174201E-4</v>
      </c>
      <c r="F23738" s="2">
        <v>5.4699038078344601E-5</v>
      </c>
    </row>
    <row r="23739" spans="1:6" x14ac:dyDescent="0.25">
      <c r="A23739" s="1" t="str">
        <f t="shared" si="884"/>
        <v>35614</v>
      </c>
      <c r="B23739" s="1" t="str">
        <f>"10706"</f>
        <v>10706</v>
      </c>
      <c r="C23739" s="2">
        <v>9.3926111458985496E-5</v>
      </c>
      <c r="D23739" s="2">
        <v>1.6289297931259099E-4</v>
      </c>
      <c r="E23739" s="2">
        <v>1.92204197739678E-4</v>
      </c>
      <c r="F23739" s="2">
        <v>1.1721222445359499E-4</v>
      </c>
    </row>
    <row r="23740" spans="1:6" x14ac:dyDescent="0.25">
      <c r="A23740" s="1" t="str">
        <f t="shared" si="884"/>
        <v>35614</v>
      </c>
      <c r="B23740" s="1" t="str">
        <f>"07670"</f>
        <v>07670</v>
      </c>
      <c r="C23740" s="2">
        <v>1.66979753704863E-4</v>
      </c>
      <c r="D23740" s="2">
        <v>0</v>
      </c>
      <c r="E23740" s="2">
        <v>3.4596755593142099E-4</v>
      </c>
      <c r="F23740" s="2">
        <v>1.95353707422659E-4</v>
      </c>
    </row>
    <row r="23741" spans="1:6" x14ac:dyDescent="0.25">
      <c r="A23741" s="1" t="str">
        <f t="shared" si="884"/>
        <v>35614</v>
      </c>
      <c r="B23741" s="1" t="str">
        <f>"10010"</f>
        <v>10010</v>
      </c>
      <c r="C23741" s="2">
        <v>1.3045293258192401E-3</v>
      </c>
      <c r="D23741" s="2">
        <v>1.9547157517510899E-3</v>
      </c>
      <c r="E23741" s="2">
        <v>1.23010686553394E-3</v>
      </c>
      <c r="F23741" s="2">
        <v>1.32059106217717E-3</v>
      </c>
    </row>
    <row r="23742" spans="1:6" x14ac:dyDescent="0.25">
      <c r="A23742" s="1" t="str">
        <f t="shared" si="884"/>
        <v>35614</v>
      </c>
      <c r="B23742" s="1" t="str">
        <f>"10011"</f>
        <v>10011</v>
      </c>
      <c r="C23742" s="2">
        <v>2.4629513671467298E-3</v>
      </c>
      <c r="D23742" s="2">
        <v>1.1565401531194E-2</v>
      </c>
      <c r="E23742" s="2">
        <v>1.48381640655031E-2</v>
      </c>
      <c r="F23742" s="2">
        <v>5.4152047697561198E-3</v>
      </c>
    </row>
    <row r="23743" spans="1:6" x14ac:dyDescent="0.25">
      <c r="A23743" s="1" t="str">
        <f t="shared" si="884"/>
        <v>35614</v>
      </c>
      <c r="B23743" s="1" t="str">
        <f>"11205"</f>
        <v>11205</v>
      </c>
      <c r="C23743" s="2">
        <v>3.0369442705072002E-3</v>
      </c>
      <c r="D23743" s="2">
        <v>2.2805017103762798E-3</v>
      </c>
      <c r="E23743" s="2">
        <v>1.0763435073421999E-3</v>
      </c>
      <c r="F23743" s="2">
        <v>2.6021113828698199E-3</v>
      </c>
    </row>
    <row r="23744" spans="1:6" x14ac:dyDescent="0.25">
      <c r="A23744" s="1" t="str">
        <f t="shared" si="884"/>
        <v>35614</v>
      </c>
      <c r="B23744" s="1" t="str">
        <f>"11366"</f>
        <v>11366</v>
      </c>
      <c r="C23744" s="2">
        <v>5.2181173032769704E-4</v>
      </c>
      <c r="D23744" s="2">
        <v>3.4207525655644199E-3</v>
      </c>
      <c r="E23744" s="2">
        <v>1.15322518643807E-3</v>
      </c>
      <c r="F23744" s="2">
        <v>7.8922897798754403E-4</v>
      </c>
    </row>
    <row r="23745" spans="1:6" x14ac:dyDescent="0.25">
      <c r="A23745" s="1" t="str">
        <f t="shared" si="884"/>
        <v>35614</v>
      </c>
      <c r="B23745" s="1" t="str">
        <f>"10039"</f>
        <v>10039</v>
      </c>
      <c r="C23745" s="2">
        <v>2.0872469213107901E-5</v>
      </c>
      <c r="D23745" s="2">
        <v>0</v>
      </c>
      <c r="E23745" s="2">
        <v>1.5376335819174201E-4</v>
      </c>
      <c r="F23745" s="2">
        <v>4.68848897814382E-5</v>
      </c>
    </row>
    <row r="23746" spans="1:6" x14ac:dyDescent="0.25">
      <c r="A23746" s="1" t="str">
        <f t="shared" si="884"/>
        <v>35614</v>
      </c>
      <c r="B23746" s="1" t="str">
        <f>"11367"</f>
        <v>11367</v>
      </c>
      <c r="C23746" s="2">
        <v>0</v>
      </c>
      <c r="D23746" s="2">
        <v>0</v>
      </c>
      <c r="E23746" s="2">
        <v>3.84408395479357E-5</v>
      </c>
      <c r="F23746" s="2">
        <v>7.8141482969063694E-6</v>
      </c>
    </row>
    <row r="23747" spans="1:6" x14ac:dyDescent="0.25">
      <c r="A23747" s="1" t="str">
        <f t="shared" si="884"/>
        <v>35614</v>
      </c>
      <c r="B23747" s="1" t="str">
        <f>"10976"</f>
        <v>10976</v>
      </c>
      <c r="C23747" s="2">
        <v>3.1308703819661798E-5</v>
      </c>
      <c r="D23747" s="2">
        <v>0</v>
      </c>
      <c r="E23747" s="2">
        <v>3.84408395479357E-5</v>
      </c>
      <c r="F23747" s="2">
        <v>3.1256593187625498E-5</v>
      </c>
    </row>
    <row r="23748" spans="1:6" x14ac:dyDescent="0.25">
      <c r="A23748" s="1" t="str">
        <f t="shared" si="884"/>
        <v>35614</v>
      </c>
      <c r="B23748" s="1" t="str">
        <f>"10106"</f>
        <v>10106</v>
      </c>
      <c r="C23748" s="2">
        <v>0</v>
      </c>
      <c r="D23748" s="2">
        <v>1.6289297931259099E-4</v>
      </c>
      <c r="E23748" s="2">
        <v>3.84408395479357E-5</v>
      </c>
      <c r="F23748" s="2">
        <v>1.5628296593812702E-5</v>
      </c>
    </row>
    <row r="23749" spans="1:6" x14ac:dyDescent="0.25">
      <c r="A23749" s="1" t="str">
        <f t="shared" si="884"/>
        <v>35614</v>
      </c>
      <c r="B23749" s="1" t="str">
        <f>"10177"</f>
        <v>10177</v>
      </c>
      <c r="C23749" s="2">
        <v>0</v>
      </c>
      <c r="D23749" s="2">
        <v>0</v>
      </c>
      <c r="E23749" s="2">
        <v>7.6881679095871399E-5</v>
      </c>
      <c r="F23749" s="2">
        <v>1.5628296593812702E-5</v>
      </c>
    </row>
    <row r="23750" spans="1:6" x14ac:dyDescent="0.25">
      <c r="A23750" s="1" t="str">
        <f t="shared" si="884"/>
        <v>35614</v>
      </c>
      <c r="B23750" s="1" t="str">
        <f>"10158"</f>
        <v>10158</v>
      </c>
      <c r="C23750" s="2">
        <v>0</v>
      </c>
      <c r="D23750" s="2">
        <v>3.2578595862518302E-4</v>
      </c>
      <c r="E23750" s="2">
        <v>3.84408395479357E-5</v>
      </c>
      <c r="F23750" s="2">
        <v>2.34424448907191E-5</v>
      </c>
    </row>
    <row r="23751" spans="1:6" x14ac:dyDescent="0.25">
      <c r="A23751" s="1" t="str">
        <f t="shared" si="884"/>
        <v>35614</v>
      </c>
      <c r="B23751" s="1" t="str">
        <f>"10176"</f>
        <v>10176</v>
      </c>
      <c r="C23751" s="2">
        <v>0</v>
      </c>
      <c r="D23751" s="2">
        <v>0</v>
      </c>
      <c r="E23751" s="2">
        <v>3.84408395479357E-5</v>
      </c>
      <c r="F23751" s="2">
        <v>7.8141482969063694E-6</v>
      </c>
    </row>
    <row r="23752" spans="1:6" x14ac:dyDescent="0.25">
      <c r="A23752" s="1" t="str">
        <f t="shared" si="884"/>
        <v>35614</v>
      </c>
      <c r="B23752" s="1" t="str">
        <f>"10081"</f>
        <v>10081</v>
      </c>
      <c r="C23752" s="2">
        <v>0</v>
      </c>
      <c r="D23752" s="2">
        <v>0</v>
      </c>
      <c r="E23752" s="2">
        <v>3.84408395479357E-5</v>
      </c>
      <c r="F23752" s="2">
        <v>7.8141482969063694E-6</v>
      </c>
    </row>
    <row r="23753" spans="1:6" x14ac:dyDescent="0.25">
      <c r="A23753" s="1" t="str">
        <f t="shared" si="884"/>
        <v>35614</v>
      </c>
      <c r="B23753" s="1" t="str">
        <f>"11351"</f>
        <v>11351</v>
      </c>
      <c r="C23753" s="2">
        <v>0</v>
      </c>
      <c r="D23753" s="2">
        <v>0</v>
      </c>
      <c r="E23753" s="2">
        <v>3.84408395479357E-5</v>
      </c>
      <c r="F23753" s="2">
        <v>7.8141482969063694E-6</v>
      </c>
    </row>
    <row r="23754" spans="1:6" x14ac:dyDescent="0.25">
      <c r="A23754" s="1" t="str">
        <f t="shared" si="884"/>
        <v>35614</v>
      </c>
      <c r="B23754" s="1" t="str">
        <f>"10115"</f>
        <v>10115</v>
      </c>
      <c r="C23754" s="2">
        <v>0</v>
      </c>
      <c r="D23754" s="2">
        <v>4.8867893793777398E-4</v>
      </c>
      <c r="E23754" s="2">
        <v>3.84408395479357E-5</v>
      </c>
      <c r="F23754" s="2">
        <v>3.1256593187625498E-5</v>
      </c>
    </row>
    <row r="23755" spans="1:6" x14ac:dyDescent="0.25">
      <c r="A23755" s="1" t="str">
        <f t="shared" si="884"/>
        <v>35614</v>
      </c>
      <c r="B23755" s="1" t="str">
        <f>"07022"</f>
        <v>07022</v>
      </c>
      <c r="C23755" s="2">
        <v>2.4003339595074001E-4</v>
      </c>
      <c r="D23755" s="2">
        <v>1.6289297931259099E-4</v>
      </c>
      <c r="E23755" s="2">
        <v>3.07526716383485E-4</v>
      </c>
      <c r="F23755" s="2">
        <v>2.5005274550100398E-4</v>
      </c>
    </row>
    <row r="23756" spans="1:6" x14ac:dyDescent="0.25">
      <c r="A23756" s="1" t="str">
        <f t="shared" si="884"/>
        <v>35614</v>
      </c>
      <c r="B23756" s="1" t="str">
        <f>"11203"</f>
        <v>11203</v>
      </c>
      <c r="C23756" s="2">
        <v>7.3053642245877594E-5</v>
      </c>
      <c r="D23756" s="2">
        <v>1.6289297931259099E-4</v>
      </c>
      <c r="E23756" s="2">
        <v>2.3064503728761399E-4</v>
      </c>
      <c r="F23756" s="2">
        <v>1.09398076156689E-4</v>
      </c>
    </row>
    <row r="23757" spans="1:6" x14ac:dyDescent="0.25">
      <c r="A23757" s="1" t="str">
        <f t="shared" si="884"/>
        <v>35614</v>
      </c>
      <c r="B23757" s="1" t="str">
        <f>"10709"</f>
        <v>10709</v>
      </c>
      <c r="C23757" s="2">
        <v>1.2001669797537E-3</v>
      </c>
      <c r="D23757" s="2">
        <v>0</v>
      </c>
      <c r="E23757" s="2">
        <v>7.6881679095871399E-5</v>
      </c>
      <c r="F23757" s="2">
        <v>9.1425535073804602E-4</v>
      </c>
    </row>
    <row r="23758" spans="1:6" x14ac:dyDescent="0.25">
      <c r="A23758" s="1" t="str">
        <f t="shared" si="884"/>
        <v>35614</v>
      </c>
      <c r="B23758" s="1" t="str">
        <f>"10710"</f>
        <v>10710</v>
      </c>
      <c r="C23758" s="2">
        <v>5.2181173032769704E-4</v>
      </c>
      <c r="D23758" s="2">
        <v>6.3528261931910697E-3</v>
      </c>
      <c r="E23758" s="2">
        <v>1.1916660259860001E-3</v>
      </c>
      <c r="F23758" s="2">
        <v>9.3769779562876505E-4</v>
      </c>
    </row>
    <row r="23759" spans="1:6" x14ac:dyDescent="0.25">
      <c r="A23759" s="1" t="str">
        <f t="shared" si="884"/>
        <v>35614</v>
      </c>
      <c r="B23759" s="1" t="str">
        <f>"10523"</f>
        <v>10523</v>
      </c>
      <c r="C23759" s="2">
        <v>0</v>
      </c>
      <c r="D23759" s="2">
        <v>1.3031438345007299E-3</v>
      </c>
      <c r="E23759" s="2">
        <v>8.0725763050664995E-4</v>
      </c>
      <c r="F23759" s="2">
        <v>2.2661030061028401E-4</v>
      </c>
    </row>
    <row r="23760" spans="1:6" x14ac:dyDescent="0.25">
      <c r="A23760" s="1" t="str">
        <f t="shared" si="884"/>
        <v>35614</v>
      </c>
      <c r="B23760" s="1" t="str">
        <f>"10804"</f>
        <v>10804</v>
      </c>
      <c r="C23760" s="2">
        <v>6.2617407639323704E-5</v>
      </c>
      <c r="D23760" s="2">
        <v>1.4660368138133201E-3</v>
      </c>
      <c r="E23760" s="2">
        <v>2.3064503728761399E-4</v>
      </c>
      <c r="F23760" s="2">
        <v>1.6409711423503301E-4</v>
      </c>
    </row>
    <row r="23761" spans="1:6" x14ac:dyDescent="0.25">
      <c r="A23761" s="1" t="str">
        <f t="shared" si="884"/>
        <v>35614</v>
      </c>
      <c r="B23761" s="1" t="str">
        <f>"07495"</f>
        <v>07495</v>
      </c>
      <c r="C23761" s="2">
        <v>0</v>
      </c>
      <c r="D23761" s="2">
        <v>1.6289297931259099E-4</v>
      </c>
      <c r="E23761" s="2">
        <v>1.92204197739678E-4</v>
      </c>
      <c r="F23761" s="2">
        <v>4.68848897814382E-5</v>
      </c>
    </row>
    <row r="23762" spans="1:6" x14ac:dyDescent="0.25">
      <c r="A23762" s="1" t="str">
        <f t="shared" si="884"/>
        <v>35614</v>
      </c>
      <c r="B23762" s="1" t="str">
        <f>"11354"</f>
        <v>11354</v>
      </c>
      <c r="C23762" s="2">
        <v>4.3832185347526603E-4</v>
      </c>
      <c r="D23762" s="2">
        <v>7.4930770483792103E-3</v>
      </c>
      <c r="E23762" s="2">
        <v>3.4596755593142099E-4</v>
      </c>
      <c r="F23762" s="2">
        <v>7.5797238479991804E-4</v>
      </c>
    </row>
    <row r="23763" spans="1:6" x14ac:dyDescent="0.25">
      <c r="A23763" s="1" t="str">
        <f t="shared" si="884"/>
        <v>35614</v>
      </c>
      <c r="B23763" s="1" t="str">
        <f>"10452"</f>
        <v>10452</v>
      </c>
      <c r="C23763" s="2">
        <v>2.0350657482780198E-3</v>
      </c>
      <c r="D23763" s="2">
        <v>1.7918227724385001E-3</v>
      </c>
      <c r="E23763" s="2">
        <v>2.6908587683554998E-4</v>
      </c>
      <c r="F23763" s="2">
        <v>1.6644135872410501E-3</v>
      </c>
    </row>
    <row r="23764" spans="1:6" x14ac:dyDescent="0.25">
      <c r="A23764" s="1" t="str">
        <f t="shared" ref="A23764:A23827" si="885">"35614"</f>
        <v>35614</v>
      </c>
      <c r="B23764" s="1" t="str">
        <f>"10120"</f>
        <v>10120</v>
      </c>
      <c r="C23764" s="2">
        <v>0</v>
      </c>
      <c r="D23764" s="2">
        <v>3.2578595862518302E-4</v>
      </c>
      <c r="E23764" s="2">
        <v>3.84408395479357E-5</v>
      </c>
      <c r="F23764" s="2">
        <v>2.34424448907191E-5</v>
      </c>
    </row>
    <row r="23765" spans="1:6" x14ac:dyDescent="0.25">
      <c r="A23765" s="1" t="str">
        <f t="shared" si="885"/>
        <v>35614</v>
      </c>
      <c r="B23765" s="1" t="str">
        <f>"10002"</f>
        <v>10002</v>
      </c>
      <c r="C23765" s="2">
        <v>1.39010644959298E-2</v>
      </c>
      <c r="D23765" s="2">
        <v>9.2848998208177203E-3</v>
      </c>
      <c r="E23765" s="2">
        <v>6.9193511186284296E-4</v>
      </c>
      <c r="F23765" s="2">
        <v>1.09945066537472E-2</v>
      </c>
    </row>
    <row r="23766" spans="1:6" x14ac:dyDescent="0.25">
      <c r="A23766" s="1" t="str">
        <f t="shared" si="885"/>
        <v>35614</v>
      </c>
      <c r="B23766" s="1" t="str">
        <f>"07306"</f>
        <v>07306</v>
      </c>
      <c r="C23766" s="2">
        <v>1.41202254226675E-2</v>
      </c>
      <c r="D23766" s="2">
        <v>6.5157191725036603E-4</v>
      </c>
      <c r="E23766" s="2">
        <v>1.45690781886676E-2</v>
      </c>
      <c r="F23766" s="2">
        <v>1.3565361443429401E-2</v>
      </c>
    </row>
    <row r="23767" spans="1:6" x14ac:dyDescent="0.25">
      <c r="A23767" s="1" t="str">
        <f t="shared" si="885"/>
        <v>35614</v>
      </c>
      <c r="B23767" s="1" t="str">
        <f>"07307"</f>
        <v>07307</v>
      </c>
      <c r="C23767" s="2">
        <v>1.8680859945731501E-2</v>
      </c>
      <c r="D23767" s="2">
        <v>4.8867893793777398E-4</v>
      </c>
      <c r="E23767" s="2">
        <v>2.2872299531021701E-2</v>
      </c>
      <c r="F23767" s="2">
        <v>1.8660186133012398E-2</v>
      </c>
    </row>
    <row r="23768" spans="1:6" x14ac:dyDescent="0.25">
      <c r="A23768" s="1" t="str">
        <f t="shared" si="885"/>
        <v>35614</v>
      </c>
      <c r="B23768" s="1" t="str">
        <f>"07666"</f>
        <v>07666</v>
      </c>
      <c r="C23768" s="2">
        <v>5.0093926111458899E-4</v>
      </c>
      <c r="D23768" s="2">
        <v>0</v>
      </c>
      <c r="E23768" s="2">
        <v>8.4569847005458497E-4</v>
      </c>
      <c r="F23768" s="2">
        <v>5.4699038078344603E-4</v>
      </c>
    </row>
    <row r="23769" spans="1:6" x14ac:dyDescent="0.25">
      <c r="A23769" s="1" t="str">
        <f t="shared" si="885"/>
        <v>35614</v>
      </c>
      <c r="B23769" s="1" t="str">
        <f>"10502"</f>
        <v>10502</v>
      </c>
      <c r="C23769" s="2">
        <v>4.1744938426215803E-5</v>
      </c>
      <c r="D23769" s="2">
        <v>0</v>
      </c>
      <c r="E23769" s="2">
        <v>0</v>
      </c>
      <c r="F23769" s="2">
        <v>3.1256593187625498E-5</v>
      </c>
    </row>
    <row r="23770" spans="1:6" x14ac:dyDescent="0.25">
      <c r="A23770" s="1" t="str">
        <f t="shared" si="885"/>
        <v>35614</v>
      </c>
      <c r="B23770" s="1" t="str">
        <f>"07043"</f>
        <v>07043</v>
      </c>
      <c r="C23770" s="2">
        <v>3.1308703819661798E-5</v>
      </c>
      <c r="D23770" s="2">
        <v>0</v>
      </c>
      <c r="E23770" s="2">
        <v>3.84408395479357E-5</v>
      </c>
      <c r="F23770" s="2">
        <v>3.1256593187625498E-5</v>
      </c>
    </row>
    <row r="23771" spans="1:6" x14ac:dyDescent="0.25">
      <c r="A23771" s="1" t="str">
        <f t="shared" si="885"/>
        <v>35614</v>
      </c>
      <c r="B23771" s="1" t="str">
        <f>"07311"</f>
        <v>07311</v>
      </c>
      <c r="C23771" s="2">
        <v>0</v>
      </c>
      <c r="D23771" s="2">
        <v>4.8867893793777398E-4</v>
      </c>
      <c r="E23771" s="2">
        <v>1.15322518643807E-4</v>
      </c>
      <c r="F23771" s="2">
        <v>4.68848897814382E-5</v>
      </c>
    </row>
    <row r="23772" spans="1:6" x14ac:dyDescent="0.25">
      <c r="A23772" s="1" t="str">
        <f t="shared" si="885"/>
        <v>35614</v>
      </c>
      <c r="B23772" s="1" t="str">
        <f>"10157"</f>
        <v>10157</v>
      </c>
      <c r="C23772" s="2">
        <v>0</v>
      </c>
      <c r="D23772" s="2">
        <v>0</v>
      </c>
      <c r="E23772" s="2">
        <v>3.84408395479357E-5</v>
      </c>
      <c r="F23772" s="2">
        <v>7.8141482969063694E-6</v>
      </c>
    </row>
    <row r="23773" spans="1:6" x14ac:dyDescent="0.25">
      <c r="A23773" s="1" t="str">
        <f t="shared" si="885"/>
        <v>35614</v>
      </c>
      <c r="B23773" s="1" t="str">
        <f>"07642"</f>
        <v>07642</v>
      </c>
      <c r="C23773" s="2">
        <v>9.3926111458985496E-5</v>
      </c>
      <c r="D23773" s="2">
        <v>0</v>
      </c>
      <c r="E23773" s="2">
        <v>1.15322518643807E-4</v>
      </c>
      <c r="F23773" s="2">
        <v>9.3769779562876494E-5</v>
      </c>
    </row>
    <row r="23774" spans="1:6" x14ac:dyDescent="0.25">
      <c r="A23774" s="1" t="str">
        <f t="shared" si="885"/>
        <v>35614</v>
      </c>
      <c r="B23774" s="1" t="str">
        <f>"10122"</f>
        <v>10122</v>
      </c>
      <c r="C23774" s="2">
        <v>0</v>
      </c>
      <c r="D23774" s="2">
        <v>0</v>
      </c>
      <c r="E23774" s="2">
        <v>3.84408395479357E-5</v>
      </c>
      <c r="F23774" s="2">
        <v>7.8141482969063694E-6</v>
      </c>
    </row>
    <row r="23775" spans="1:6" x14ac:dyDescent="0.25">
      <c r="A23775" s="1" t="str">
        <f t="shared" si="885"/>
        <v>35614</v>
      </c>
      <c r="B23775" s="1" t="str">
        <f>"07641"</f>
        <v>07641</v>
      </c>
      <c r="C23775" s="2">
        <v>0</v>
      </c>
      <c r="D23775" s="2">
        <v>0</v>
      </c>
      <c r="E23775" s="2">
        <v>3.84408395479357E-5</v>
      </c>
      <c r="F23775" s="2">
        <v>7.8141482969063694E-6</v>
      </c>
    </row>
    <row r="23776" spans="1:6" x14ac:dyDescent="0.25">
      <c r="A23776" s="1" t="str">
        <f t="shared" si="885"/>
        <v>35614</v>
      </c>
      <c r="B23776" s="1" t="str">
        <f>"11371"</f>
        <v>11371</v>
      </c>
      <c r="C23776" s="2">
        <v>0</v>
      </c>
      <c r="D23776" s="2">
        <v>0</v>
      </c>
      <c r="E23776" s="2">
        <v>3.84408395479357E-5</v>
      </c>
      <c r="F23776" s="2">
        <v>7.8141482969063694E-6</v>
      </c>
    </row>
    <row r="23777" spans="1:6" x14ac:dyDescent="0.25">
      <c r="A23777" s="1" t="str">
        <f t="shared" si="885"/>
        <v>35614</v>
      </c>
      <c r="B23777" s="1" t="str">
        <f>"10312"</f>
        <v>10312</v>
      </c>
      <c r="C23777" s="2">
        <v>3.1308703819661798E-5</v>
      </c>
      <c r="D23777" s="2">
        <v>4.8867893793777398E-4</v>
      </c>
      <c r="E23777" s="2">
        <v>7.6881679095871399E-5</v>
      </c>
      <c r="F23777" s="2">
        <v>6.2513186375250996E-5</v>
      </c>
    </row>
    <row r="23778" spans="1:6" x14ac:dyDescent="0.25">
      <c r="A23778" s="1" t="str">
        <f t="shared" si="885"/>
        <v>35614</v>
      </c>
      <c r="B23778" s="1" t="str">
        <f>"10469"</f>
        <v>10469</v>
      </c>
      <c r="C23778" s="2">
        <v>1.7741598831141699E-4</v>
      </c>
      <c r="D23778" s="2">
        <v>3.2578595862518302E-4</v>
      </c>
      <c r="E23778" s="2">
        <v>3.4596755593142099E-4</v>
      </c>
      <c r="F23778" s="2">
        <v>2.18796152313378E-4</v>
      </c>
    </row>
    <row r="23779" spans="1:6" x14ac:dyDescent="0.25">
      <c r="A23779" s="1" t="str">
        <f t="shared" si="885"/>
        <v>35614</v>
      </c>
      <c r="B23779" s="1" t="str">
        <f>"10532"</f>
        <v>10532</v>
      </c>
      <c r="C23779" s="2">
        <v>0</v>
      </c>
      <c r="D23779" s="2">
        <v>4.8867893793777398E-4</v>
      </c>
      <c r="E23779" s="2">
        <v>2.6908587683554998E-4</v>
      </c>
      <c r="F23779" s="2">
        <v>7.8141482969063705E-5</v>
      </c>
    </row>
    <row r="23780" spans="1:6" x14ac:dyDescent="0.25">
      <c r="A23780" s="1" t="str">
        <f t="shared" si="885"/>
        <v>35614</v>
      </c>
      <c r="B23780" s="1" t="str">
        <f>"10213"</f>
        <v>10213</v>
      </c>
      <c r="C23780" s="2">
        <v>0</v>
      </c>
      <c r="D23780" s="2">
        <v>0</v>
      </c>
      <c r="E23780" s="2">
        <v>7.6881679095871399E-5</v>
      </c>
      <c r="F23780" s="2">
        <v>1.5628296593812702E-5</v>
      </c>
    </row>
    <row r="23781" spans="1:6" x14ac:dyDescent="0.25">
      <c r="A23781" s="1" t="str">
        <f t="shared" si="885"/>
        <v>35614</v>
      </c>
      <c r="B23781" s="1" t="str">
        <f>"07074"</f>
        <v>07074</v>
      </c>
      <c r="C23781" s="2">
        <v>0</v>
      </c>
      <c r="D23781" s="2">
        <v>4.8867893793777398E-4</v>
      </c>
      <c r="E23781" s="2">
        <v>7.6881679095871399E-5</v>
      </c>
      <c r="F23781" s="2">
        <v>3.9070741484531798E-5</v>
      </c>
    </row>
    <row r="23782" spans="1:6" x14ac:dyDescent="0.25">
      <c r="A23782" s="1" t="str">
        <f t="shared" si="885"/>
        <v>35614</v>
      </c>
      <c r="B23782" s="1" t="str">
        <f>"10045"</f>
        <v>10045</v>
      </c>
      <c r="C23782" s="2">
        <v>0</v>
      </c>
      <c r="D23782" s="2">
        <v>0</v>
      </c>
      <c r="E23782" s="2">
        <v>3.84408395479357E-5</v>
      </c>
      <c r="F23782" s="2">
        <v>7.8141482969063694E-6</v>
      </c>
    </row>
    <row r="23783" spans="1:6" x14ac:dyDescent="0.25">
      <c r="A23783" s="1" t="str">
        <f t="shared" si="885"/>
        <v>35614</v>
      </c>
      <c r="B23783" s="1" t="str">
        <f>"10138"</f>
        <v>10138</v>
      </c>
      <c r="C23783" s="2">
        <v>0</v>
      </c>
      <c r="D23783" s="2">
        <v>0</v>
      </c>
      <c r="E23783" s="2">
        <v>1.15322518643807E-4</v>
      </c>
      <c r="F23783" s="2">
        <v>2.34424448907191E-5</v>
      </c>
    </row>
    <row r="23784" spans="1:6" x14ac:dyDescent="0.25">
      <c r="A23784" s="1" t="str">
        <f t="shared" si="885"/>
        <v>35614</v>
      </c>
      <c r="B23784" s="1" t="str">
        <f>"10465"</f>
        <v>10465</v>
      </c>
      <c r="C23784" s="2">
        <v>1.25234815278647E-4</v>
      </c>
      <c r="D23784" s="2">
        <v>3.2578595862518302E-4</v>
      </c>
      <c r="E23784" s="2">
        <v>1.92204197739678E-4</v>
      </c>
      <c r="F23784" s="2">
        <v>1.4846881764122099E-4</v>
      </c>
    </row>
    <row r="23785" spans="1:6" x14ac:dyDescent="0.25">
      <c r="A23785" s="1" t="str">
        <f t="shared" si="885"/>
        <v>35614</v>
      </c>
      <c r="B23785" s="1" t="str">
        <f>"10168"</f>
        <v>10168</v>
      </c>
      <c r="C23785" s="2">
        <v>0</v>
      </c>
      <c r="D23785" s="2">
        <v>1.6289297931259099E-4</v>
      </c>
      <c r="E23785" s="2">
        <v>3.84408395479357E-5</v>
      </c>
      <c r="F23785" s="2">
        <v>1.5628296593812702E-5</v>
      </c>
    </row>
    <row r="23786" spans="1:6" x14ac:dyDescent="0.25">
      <c r="A23786" s="1" t="str">
        <f t="shared" si="885"/>
        <v>35614</v>
      </c>
      <c r="B23786" s="1" t="str">
        <f>"07675"</f>
        <v>07675</v>
      </c>
      <c r="C23786" s="2">
        <v>5.1137549572114296E-4</v>
      </c>
      <c r="D23786" s="2">
        <v>0</v>
      </c>
      <c r="E23786" s="2">
        <v>6.5349427231490697E-4</v>
      </c>
      <c r="F23786" s="2">
        <v>5.1573378759582004E-4</v>
      </c>
    </row>
    <row r="23787" spans="1:6" x14ac:dyDescent="0.25">
      <c r="A23787" s="1" t="str">
        <f t="shared" si="885"/>
        <v>35614</v>
      </c>
      <c r="B23787" s="1" t="str">
        <f>"10305"</f>
        <v>10305</v>
      </c>
      <c r="C23787" s="2">
        <v>0</v>
      </c>
      <c r="D23787" s="2">
        <v>1.6289297931259099E-4</v>
      </c>
      <c r="E23787" s="2">
        <v>2.6908587683554998E-4</v>
      </c>
      <c r="F23787" s="2">
        <v>6.2513186375250996E-5</v>
      </c>
    </row>
    <row r="23788" spans="1:6" x14ac:dyDescent="0.25">
      <c r="A23788" s="1" t="str">
        <f t="shared" si="885"/>
        <v>35614</v>
      </c>
      <c r="B23788" s="1" t="str">
        <f>"10006"</f>
        <v>10006</v>
      </c>
      <c r="C23788" s="2">
        <v>9.3926111458985501E-4</v>
      </c>
      <c r="D23788" s="2">
        <v>3.4207525655644199E-3</v>
      </c>
      <c r="E23788" s="2">
        <v>1.92204197739678E-4</v>
      </c>
      <c r="F23788" s="2">
        <v>9.0644120244113896E-4</v>
      </c>
    </row>
    <row r="23789" spans="1:6" x14ac:dyDescent="0.25">
      <c r="A23789" s="1" t="str">
        <f t="shared" si="885"/>
        <v>35614</v>
      </c>
      <c r="B23789" s="1" t="str">
        <f>"11419"</f>
        <v>11419</v>
      </c>
      <c r="C23789" s="2">
        <v>0</v>
      </c>
      <c r="D23789" s="2">
        <v>0</v>
      </c>
      <c r="E23789" s="2">
        <v>3.84408395479357E-5</v>
      </c>
      <c r="F23789" s="2">
        <v>7.8141482969063694E-6</v>
      </c>
    </row>
    <row r="23790" spans="1:6" x14ac:dyDescent="0.25">
      <c r="A23790" s="1" t="str">
        <f t="shared" si="885"/>
        <v>35614</v>
      </c>
      <c r="B23790" s="1" t="str">
        <f>"10155"</f>
        <v>10155</v>
      </c>
      <c r="C23790" s="2">
        <v>0</v>
      </c>
      <c r="D23790" s="2">
        <v>3.2578595862518302E-4</v>
      </c>
      <c r="E23790" s="2">
        <v>7.6881679095871399E-5</v>
      </c>
      <c r="F23790" s="2">
        <v>3.1256593187625498E-5</v>
      </c>
    </row>
    <row r="23791" spans="1:6" x14ac:dyDescent="0.25">
      <c r="A23791" s="1" t="str">
        <f t="shared" si="885"/>
        <v>35614</v>
      </c>
      <c r="B23791" s="1" t="str">
        <f>"10007"</f>
        <v>10007</v>
      </c>
      <c r="C23791" s="2">
        <v>2.9743268628678698E-3</v>
      </c>
      <c r="D23791" s="2">
        <v>7.4930770483792103E-3</v>
      </c>
      <c r="E23791" s="2">
        <v>6.9193511186284296E-4</v>
      </c>
      <c r="F23791" s="2">
        <v>2.7271377556203199E-3</v>
      </c>
    </row>
    <row r="23792" spans="1:6" x14ac:dyDescent="0.25">
      <c r="A23792" s="1" t="str">
        <f t="shared" si="885"/>
        <v>35614</v>
      </c>
      <c r="B23792" s="1" t="str">
        <f>"10030"</f>
        <v>10030</v>
      </c>
      <c r="C23792" s="2">
        <v>2.50469630557294E-4</v>
      </c>
      <c r="D23792" s="2">
        <v>1.6289297931259099E-4</v>
      </c>
      <c r="E23792" s="2">
        <v>3.84408395479357E-5</v>
      </c>
      <c r="F23792" s="2">
        <v>2.0316785571956501E-4</v>
      </c>
    </row>
    <row r="23793" spans="1:6" x14ac:dyDescent="0.25">
      <c r="A23793" s="1" t="str">
        <f t="shared" si="885"/>
        <v>35614</v>
      </c>
      <c r="B23793" s="1" t="str">
        <f>"10128"</f>
        <v>10128</v>
      </c>
      <c r="C23793" s="2">
        <v>2.6403673554581501E-3</v>
      </c>
      <c r="D23793" s="2">
        <v>8.1446489656295798E-4</v>
      </c>
      <c r="E23793" s="2">
        <v>1.3838702237256801E-3</v>
      </c>
      <c r="F23793" s="2">
        <v>2.2973595992904698E-3</v>
      </c>
    </row>
    <row r="23794" spans="1:6" x14ac:dyDescent="0.25">
      <c r="A23794" s="1" t="str">
        <f t="shared" si="885"/>
        <v>35614</v>
      </c>
      <c r="B23794" s="1" t="str">
        <f>"07071"</f>
        <v>07071</v>
      </c>
      <c r="C23794" s="2">
        <v>3.7987893967856299E-3</v>
      </c>
      <c r="D23794" s="2">
        <v>4.8867893793777398E-4</v>
      </c>
      <c r="E23794" s="2">
        <v>4.9973091412316402E-3</v>
      </c>
      <c r="F23794" s="2">
        <v>3.8836317035624698E-3</v>
      </c>
    </row>
    <row r="23795" spans="1:6" x14ac:dyDescent="0.25">
      <c r="A23795" s="1" t="str">
        <f t="shared" si="885"/>
        <v>35614</v>
      </c>
      <c r="B23795" s="1" t="str">
        <f>"07508"</f>
        <v>07508</v>
      </c>
      <c r="C23795" s="2">
        <v>3.4857023585890198E-3</v>
      </c>
      <c r="D23795" s="2">
        <v>9.7735787587554905E-4</v>
      </c>
      <c r="E23795" s="2">
        <v>4.4591373875605403E-3</v>
      </c>
      <c r="F23795" s="2">
        <v>3.5632516233893002E-3</v>
      </c>
    </row>
    <row r="23796" spans="1:6" x14ac:dyDescent="0.25">
      <c r="A23796" s="1" t="str">
        <f t="shared" si="885"/>
        <v>35614</v>
      </c>
      <c r="B23796" s="1" t="str">
        <f>"07512"</f>
        <v>07512</v>
      </c>
      <c r="C23796" s="2">
        <v>6.9922771863911498E-4</v>
      </c>
      <c r="D23796" s="2">
        <v>6.5157191725036603E-4</v>
      </c>
      <c r="E23796" s="2">
        <v>1.1147843468901301E-3</v>
      </c>
      <c r="F23796" s="2">
        <v>7.8141482969063696E-4</v>
      </c>
    </row>
    <row r="23797" spans="1:6" x14ac:dyDescent="0.25">
      <c r="A23797" s="1" t="str">
        <f t="shared" si="885"/>
        <v>35614</v>
      </c>
      <c r="B23797" s="1" t="str">
        <f>"07504"</f>
        <v>07504</v>
      </c>
      <c r="C23797" s="2">
        <v>5.0824462533917703E-3</v>
      </c>
      <c r="D23797" s="2">
        <v>0</v>
      </c>
      <c r="E23797" s="2">
        <v>6.6118244022449401E-3</v>
      </c>
      <c r="F23797" s="2">
        <v>5.1495237276612997E-3</v>
      </c>
    </row>
    <row r="23798" spans="1:6" x14ac:dyDescent="0.25">
      <c r="A23798" s="1" t="str">
        <f t="shared" si="885"/>
        <v>35614</v>
      </c>
      <c r="B23798" s="1" t="str">
        <f>"11213"</f>
        <v>11213</v>
      </c>
      <c r="C23798" s="2">
        <v>8.9647255270298397E-3</v>
      </c>
      <c r="D23798" s="2">
        <v>7.1672910897540298E-3</v>
      </c>
      <c r="E23798" s="2">
        <v>1.08787575920658E-2</v>
      </c>
      <c r="F23798" s="2">
        <v>9.2675798801309592E-3</v>
      </c>
    </row>
    <row r="23799" spans="1:6" x14ac:dyDescent="0.25">
      <c r="A23799" s="1" t="str">
        <f t="shared" si="885"/>
        <v>35614</v>
      </c>
      <c r="B23799" s="1" t="str">
        <f>"11220"</f>
        <v>11220</v>
      </c>
      <c r="C23799" s="2">
        <v>9.3404299728657905E-3</v>
      </c>
      <c r="D23799" s="2">
        <v>1.5474833034696199E-2</v>
      </c>
      <c r="E23799" s="2">
        <v>1.09556392711616E-2</v>
      </c>
      <c r="F23799" s="2">
        <v>9.9630390785556307E-3</v>
      </c>
    </row>
    <row r="23800" spans="1:6" x14ac:dyDescent="0.25">
      <c r="A23800" s="1" t="str">
        <f t="shared" si="885"/>
        <v>35614</v>
      </c>
      <c r="B23800" s="1" t="str">
        <f>"11432"</f>
        <v>11432</v>
      </c>
      <c r="C23800" s="2">
        <v>1.1406804424963401E-2</v>
      </c>
      <c r="D23800" s="2">
        <v>1.25427594070695E-2</v>
      </c>
      <c r="E23800" s="2">
        <v>7.3037595141077797E-3</v>
      </c>
      <c r="F23800" s="2">
        <v>1.06272416837926E-2</v>
      </c>
    </row>
    <row r="23801" spans="1:6" x14ac:dyDescent="0.25">
      <c r="A23801" s="1" t="str">
        <f t="shared" si="885"/>
        <v>35614</v>
      </c>
      <c r="B23801" s="1" t="str">
        <f>"11433"</f>
        <v>11433</v>
      </c>
      <c r="C23801" s="2">
        <v>4.72761427676894E-3</v>
      </c>
      <c r="D23801" s="2">
        <v>2.44339468968887E-3</v>
      </c>
      <c r="E23801" s="2">
        <v>6.0736526485738402E-3</v>
      </c>
      <c r="F23801" s="2">
        <v>4.8916568338633901E-3</v>
      </c>
    </row>
    <row r="23802" spans="1:6" x14ac:dyDescent="0.25">
      <c r="A23802" s="1" t="str">
        <f t="shared" si="885"/>
        <v>35614</v>
      </c>
      <c r="B23802" s="1" t="str">
        <f>"10459"</f>
        <v>10459</v>
      </c>
      <c r="C23802" s="2">
        <v>3.2665414318513802E-3</v>
      </c>
      <c r="D23802" s="2">
        <v>1.3031438345007299E-3</v>
      </c>
      <c r="E23802" s="2">
        <v>3.4596755593142099E-4</v>
      </c>
      <c r="F23802" s="2">
        <v>2.5786689379790999E-3</v>
      </c>
    </row>
    <row r="23803" spans="1:6" x14ac:dyDescent="0.25">
      <c r="A23803" s="1" t="str">
        <f t="shared" si="885"/>
        <v>35614</v>
      </c>
      <c r="B23803" s="1" t="str">
        <f>"11439"</f>
        <v>11439</v>
      </c>
      <c r="C23803" s="2">
        <v>0</v>
      </c>
      <c r="D23803" s="2">
        <v>0</v>
      </c>
      <c r="E23803" s="2">
        <v>1.92204197739678E-4</v>
      </c>
      <c r="F23803" s="2">
        <v>3.9070741484531798E-5</v>
      </c>
    </row>
    <row r="23804" spans="1:6" x14ac:dyDescent="0.25">
      <c r="A23804" s="1" t="str">
        <f t="shared" si="885"/>
        <v>35614</v>
      </c>
      <c r="B23804" s="1" t="str">
        <f>"11421"</f>
        <v>11421</v>
      </c>
      <c r="C23804" s="2">
        <v>1.7741598831141699E-4</v>
      </c>
      <c r="D23804" s="2">
        <v>6.5157191725036603E-4</v>
      </c>
      <c r="E23804" s="2">
        <v>4.6129007457522799E-4</v>
      </c>
      <c r="F23804" s="2">
        <v>2.5786689379791002E-4</v>
      </c>
    </row>
    <row r="23805" spans="1:6" x14ac:dyDescent="0.25">
      <c r="A23805" s="1" t="str">
        <f t="shared" si="885"/>
        <v>35614</v>
      </c>
      <c r="B23805" s="1" t="str">
        <f>"07012"</f>
        <v>07012</v>
      </c>
      <c r="C23805" s="2">
        <v>2.8699645168023301E-3</v>
      </c>
      <c r="D23805" s="2">
        <v>8.1446489656295798E-4</v>
      </c>
      <c r="E23805" s="2">
        <v>2.3064503728761399E-4</v>
      </c>
      <c r="F23805" s="2">
        <v>2.2348464129152202E-3</v>
      </c>
    </row>
    <row r="23806" spans="1:6" x14ac:dyDescent="0.25">
      <c r="A23806" s="1" t="str">
        <f t="shared" si="885"/>
        <v>35614</v>
      </c>
      <c r="B23806" s="1" t="str">
        <f>"07014"</f>
        <v>07014</v>
      </c>
      <c r="C23806" s="2">
        <v>3.1308703819661798E-5</v>
      </c>
      <c r="D23806" s="2">
        <v>4.8867893793777398E-4</v>
      </c>
      <c r="E23806" s="2">
        <v>7.6881679095871399E-5</v>
      </c>
      <c r="F23806" s="2">
        <v>6.2513186375250996E-5</v>
      </c>
    </row>
    <row r="23807" spans="1:6" x14ac:dyDescent="0.25">
      <c r="A23807" s="1" t="str">
        <f t="shared" si="885"/>
        <v>35614</v>
      </c>
      <c r="B23807" s="1" t="str">
        <f>"10707"</f>
        <v>10707</v>
      </c>
      <c r="C23807" s="2">
        <v>4.6963055729492702E-4</v>
      </c>
      <c r="D23807" s="2">
        <v>1.3031438345007299E-3</v>
      </c>
      <c r="E23807" s="2">
        <v>5.3817175367109997E-4</v>
      </c>
      <c r="F23807" s="2">
        <v>5.23547935892727E-4</v>
      </c>
    </row>
    <row r="23808" spans="1:6" x14ac:dyDescent="0.25">
      <c r="A23808" s="1" t="str">
        <f t="shared" si="885"/>
        <v>35614</v>
      </c>
      <c r="B23808" s="1" t="str">
        <f>"10509"</f>
        <v>10509</v>
      </c>
      <c r="C23808" s="2">
        <v>3.1308703819661798E-5</v>
      </c>
      <c r="D23808" s="2">
        <v>0</v>
      </c>
      <c r="E23808" s="2">
        <v>1.15322518643807E-4</v>
      </c>
      <c r="F23808" s="2">
        <v>4.68848897814382E-5</v>
      </c>
    </row>
    <row r="23809" spans="1:6" x14ac:dyDescent="0.25">
      <c r="A23809" s="1" t="str">
        <f t="shared" si="885"/>
        <v>35614</v>
      </c>
      <c r="B23809" s="1" t="str">
        <f>"10212"</f>
        <v>10212</v>
      </c>
      <c r="C23809" s="2">
        <v>0</v>
      </c>
      <c r="D23809" s="2">
        <v>0</v>
      </c>
      <c r="E23809" s="2">
        <v>3.84408395479357E-5</v>
      </c>
      <c r="F23809" s="2">
        <v>7.8141482969063694E-6</v>
      </c>
    </row>
    <row r="23810" spans="1:6" x14ac:dyDescent="0.25">
      <c r="A23810" s="1" t="str">
        <f t="shared" si="885"/>
        <v>35614</v>
      </c>
      <c r="B23810" s="1" t="str">
        <f>"11359"</f>
        <v>11359</v>
      </c>
      <c r="C23810" s="2">
        <v>0</v>
      </c>
      <c r="D23810" s="2">
        <v>0</v>
      </c>
      <c r="E23810" s="2">
        <v>3.84408395479357E-5</v>
      </c>
      <c r="F23810" s="2">
        <v>7.8141482969063694E-6</v>
      </c>
    </row>
    <row r="23811" spans="1:6" x14ac:dyDescent="0.25">
      <c r="A23811" s="1" t="str">
        <f t="shared" si="885"/>
        <v>35614</v>
      </c>
      <c r="B23811" s="1" t="str">
        <f>"07640"</f>
        <v>07640</v>
      </c>
      <c r="C23811" s="2">
        <v>1.25234815278647E-4</v>
      </c>
      <c r="D23811" s="2">
        <v>0</v>
      </c>
      <c r="E23811" s="2">
        <v>1.5376335819174201E-4</v>
      </c>
      <c r="F23811" s="2">
        <v>1.2502637275050199E-4</v>
      </c>
    </row>
    <row r="23812" spans="1:6" x14ac:dyDescent="0.25">
      <c r="A23812" s="1" t="str">
        <f t="shared" si="885"/>
        <v>35614</v>
      </c>
      <c r="B23812" s="1" t="str">
        <f>"07627"</f>
        <v>07627</v>
      </c>
      <c r="C23812" s="2">
        <v>3.1308703819661798E-5</v>
      </c>
      <c r="D23812" s="2">
        <v>0</v>
      </c>
      <c r="E23812" s="2">
        <v>3.84408395479357E-5</v>
      </c>
      <c r="F23812" s="2">
        <v>3.1256593187625498E-5</v>
      </c>
    </row>
    <row r="23813" spans="1:6" x14ac:dyDescent="0.25">
      <c r="A23813" s="1" t="str">
        <f t="shared" si="885"/>
        <v>35614</v>
      </c>
      <c r="B23813" s="1" t="str">
        <f>"07606"</f>
        <v>07606</v>
      </c>
      <c r="C23813" s="2">
        <v>9.3926111458985496E-5</v>
      </c>
      <c r="D23813" s="2">
        <v>0</v>
      </c>
      <c r="E23813" s="2">
        <v>1.5376335819174201E-4</v>
      </c>
      <c r="F23813" s="2">
        <v>1.01583927859782E-4</v>
      </c>
    </row>
    <row r="23814" spans="1:6" x14ac:dyDescent="0.25">
      <c r="A23814" s="1" t="str">
        <f t="shared" si="885"/>
        <v>35614</v>
      </c>
      <c r="B23814" s="1" t="str">
        <f>"11209"</f>
        <v>11209</v>
      </c>
      <c r="C23814" s="2">
        <v>8.3489876852431606E-5</v>
      </c>
      <c r="D23814" s="2">
        <v>1.3031438345007299E-3</v>
      </c>
      <c r="E23814" s="2">
        <v>3.07526716383485E-4</v>
      </c>
      <c r="F23814" s="2">
        <v>1.8753955912575299E-4</v>
      </c>
    </row>
    <row r="23815" spans="1:6" x14ac:dyDescent="0.25">
      <c r="A23815" s="1" t="str">
        <f t="shared" si="885"/>
        <v>35614</v>
      </c>
      <c r="B23815" s="1" t="str">
        <f>"07020"</f>
        <v>07020</v>
      </c>
      <c r="C23815" s="2">
        <v>3.1308703819661798E-5</v>
      </c>
      <c r="D23815" s="2">
        <v>1.6289297931259099E-4</v>
      </c>
      <c r="E23815" s="2">
        <v>1.92204197739678E-4</v>
      </c>
      <c r="F23815" s="2">
        <v>7.0327334672157398E-5</v>
      </c>
    </row>
    <row r="23816" spans="1:6" x14ac:dyDescent="0.25">
      <c r="A23816" s="1" t="str">
        <f t="shared" si="885"/>
        <v>35614</v>
      </c>
      <c r="B23816" s="1" t="str">
        <f>"10023"</f>
        <v>10023</v>
      </c>
      <c r="C23816" s="2">
        <v>3.2143602588186101E-3</v>
      </c>
      <c r="D23816" s="2">
        <v>9.7735787587554905E-4</v>
      </c>
      <c r="E23816" s="2">
        <v>5.7661259321903499E-4</v>
      </c>
      <c r="F23816" s="2">
        <v>2.5708547896821899E-3</v>
      </c>
    </row>
    <row r="23817" spans="1:6" x14ac:dyDescent="0.25">
      <c r="A23817" s="1" t="str">
        <f t="shared" si="885"/>
        <v>35614</v>
      </c>
      <c r="B23817" s="1" t="str">
        <f>"10512"</f>
        <v>10512</v>
      </c>
      <c r="C23817" s="2">
        <v>5.2181173032769704E-4</v>
      </c>
      <c r="D23817" s="2">
        <v>4.8867893793777398E-4</v>
      </c>
      <c r="E23817" s="2">
        <v>1.5376335819174201E-4</v>
      </c>
      <c r="F23817" s="2">
        <v>4.4540645292366301E-4</v>
      </c>
    </row>
    <row r="23818" spans="1:6" x14ac:dyDescent="0.25">
      <c r="A23818" s="1" t="str">
        <f t="shared" si="885"/>
        <v>35614</v>
      </c>
      <c r="B23818" s="1" t="str">
        <f>"10965"</f>
        <v>10965</v>
      </c>
      <c r="C23818" s="2">
        <v>7.2010018785222205E-4</v>
      </c>
      <c r="D23818" s="2">
        <v>2.6062876690014598E-3</v>
      </c>
      <c r="E23818" s="2">
        <v>1.03790266779426E-3</v>
      </c>
      <c r="F23818" s="2">
        <v>8.7518460925351395E-4</v>
      </c>
    </row>
    <row r="23819" spans="1:6" x14ac:dyDescent="0.25">
      <c r="A23819" s="1" t="str">
        <f t="shared" si="885"/>
        <v>35614</v>
      </c>
      <c r="B23819" s="1" t="str">
        <f>"10595"</f>
        <v>10595</v>
      </c>
      <c r="C23819" s="2">
        <v>2.0872469213107901E-5</v>
      </c>
      <c r="D23819" s="2">
        <v>1.6289297931259099E-4</v>
      </c>
      <c r="E23819" s="2">
        <v>5.3817175367109997E-4</v>
      </c>
      <c r="F23819" s="2">
        <v>1.32840521047408E-4</v>
      </c>
    </row>
    <row r="23820" spans="1:6" x14ac:dyDescent="0.25">
      <c r="A23820" s="1" t="str">
        <f t="shared" si="885"/>
        <v>35614</v>
      </c>
      <c r="B23820" s="1" t="str">
        <f>"07677"</f>
        <v>07677</v>
      </c>
      <c r="C23820" s="2">
        <v>5.21811730327697E-5</v>
      </c>
      <c r="D23820" s="2">
        <v>0</v>
      </c>
      <c r="E23820" s="2">
        <v>1.5376335819174201E-4</v>
      </c>
      <c r="F23820" s="2">
        <v>7.0327334672157398E-5</v>
      </c>
    </row>
    <row r="23821" spans="1:6" x14ac:dyDescent="0.25">
      <c r="A23821" s="1" t="str">
        <f t="shared" si="885"/>
        <v>35614</v>
      </c>
      <c r="B23821" s="1" t="str">
        <f>"10968"</f>
        <v>10968</v>
      </c>
      <c r="C23821" s="2">
        <v>3.1308703819661798E-5</v>
      </c>
      <c r="D23821" s="2">
        <v>0</v>
      </c>
      <c r="E23821" s="2">
        <v>3.84408395479357E-5</v>
      </c>
      <c r="F23821" s="2">
        <v>3.1256593187625498E-5</v>
      </c>
    </row>
    <row r="23822" spans="1:6" x14ac:dyDescent="0.25">
      <c r="A23822" s="1" t="str">
        <f t="shared" si="885"/>
        <v>35614</v>
      </c>
      <c r="B23822" s="1" t="str">
        <f>"10591"</f>
        <v>10591</v>
      </c>
      <c r="C23822" s="2">
        <v>2.0872469213107901E-5</v>
      </c>
      <c r="D23822" s="2">
        <v>1.6289297931259099E-4</v>
      </c>
      <c r="E23822" s="2">
        <v>3.84408395479357E-5</v>
      </c>
      <c r="F23822" s="2">
        <v>3.1256593187625498E-5</v>
      </c>
    </row>
    <row r="23823" spans="1:6" x14ac:dyDescent="0.25">
      <c r="A23823" s="1" t="str">
        <f t="shared" si="885"/>
        <v>35614</v>
      </c>
      <c r="B23823" s="1" t="str">
        <f>"10516"</f>
        <v>10516</v>
      </c>
      <c r="C23823" s="2">
        <v>5.21811730327697E-5</v>
      </c>
      <c r="D23823" s="2">
        <v>9.7735787587554905E-4</v>
      </c>
      <c r="E23823" s="2">
        <v>1.15322518643807E-4</v>
      </c>
      <c r="F23823" s="2">
        <v>1.09398076156689E-4</v>
      </c>
    </row>
    <row r="23824" spans="1:6" x14ac:dyDescent="0.25">
      <c r="A23824" s="1" t="str">
        <f t="shared" si="885"/>
        <v>35614</v>
      </c>
      <c r="B23824" s="1" t="str">
        <f>"10461"</f>
        <v>10461</v>
      </c>
      <c r="C23824" s="2">
        <v>6.2617407639323704E-5</v>
      </c>
      <c r="D23824" s="2">
        <v>4.3981104414399699E-3</v>
      </c>
      <c r="E23824" s="2">
        <v>1.5376335819174201E-4</v>
      </c>
      <c r="F23824" s="2">
        <v>2.8912348698553601E-4</v>
      </c>
    </row>
    <row r="23825" spans="1:6" x14ac:dyDescent="0.25">
      <c r="A23825" s="1" t="str">
        <f t="shared" si="885"/>
        <v>35614</v>
      </c>
      <c r="B23825" s="1" t="str">
        <f>"07436"</f>
        <v>07436</v>
      </c>
      <c r="C23825" s="2">
        <v>3.1308703819661798E-5</v>
      </c>
      <c r="D23825" s="2">
        <v>0</v>
      </c>
      <c r="E23825" s="2">
        <v>1.15322518643807E-4</v>
      </c>
      <c r="F23825" s="2">
        <v>4.68848897814382E-5</v>
      </c>
    </row>
    <row r="23826" spans="1:6" x14ac:dyDescent="0.25">
      <c r="A23826" s="1" t="str">
        <f t="shared" si="885"/>
        <v>35614</v>
      </c>
      <c r="B23826" s="1" t="str">
        <f>"07676"</f>
        <v>07676</v>
      </c>
      <c r="C23826" s="2">
        <v>6.2617407639323704E-5</v>
      </c>
      <c r="D23826" s="2">
        <v>0</v>
      </c>
      <c r="E23826" s="2">
        <v>7.6881679095871399E-5</v>
      </c>
      <c r="F23826" s="2">
        <v>6.2513186375250996E-5</v>
      </c>
    </row>
    <row r="23827" spans="1:6" x14ac:dyDescent="0.25">
      <c r="A23827" s="1" t="str">
        <f t="shared" si="885"/>
        <v>35614</v>
      </c>
      <c r="B23827" s="1" t="str">
        <f>"11697"</f>
        <v>11697</v>
      </c>
      <c r="C23827" s="2">
        <v>0</v>
      </c>
      <c r="D23827" s="2">
        <v>0</v>
      </c>
      <c r="E23827" s="2">
        <v>3.84408395479357E-5</v>
      </c>
      <c r="F23827" s="2">
        <v>7.8141482969063694E-6</v>
      </c>
    </row>
    <row r="23828" spans="1:6" x14ac:dyDescent="0.25">
      <c r="A23828" s="1" t="str">
        <f t="shared" ref="A23828:A23891" si="886">"35614"</f>
        <v>35614</v>
      </c>
      <c r="B23828" s="1" t="str">
        <f>"07647"</f>
        <v>07647</v>
      </c>
      <c r="C23828" s="2">
        <v>1.56543519098309E-4</v>
      </c>
      <c r="D23828" s="2">
        <v>0</v>
      </c>
      <c r="E23828" s="2">
        <v>1.92204197739678E-4</v>
      </c>
      <c r="F23828" s="2">
        <v>1.56282965938127E-4</v>
      </c>
    </row>
    <row r="23829" spans="1:6" x14ac:dyDescent="0.25">
      <c r="A23829" s="1" t="str">
        <f t="shared" si="886"/>
        <v>35614</v>
      </c>
      <c r="B23829" s="1" t="str">
        <f>"10036"</f>
        <v>10036</v>
      </c>
      <c r="C23829" s="2">
        <v>8.3489876852431606E-5</v>
      </c>
      <c r="D23829" s="2">
        <v>4.0723244828147903E-3</v>
      </c>
      <c r="E23829" s="2">
        <v>3.84408395479357E-5</v>
      </c>
      <c r="F23829" s="2">
        <v>2.65681042094816E-4</v>
      </c>
    </row>
    <row r="23830" spans="1:6" x14ac:dyDescent="0.25">
      <c r="A23830" s="1" t="str">
        <f t="shared" si="886"/>
        <v>35614</v>
      </c>
      <c r="B23830" s="1" t="str">
        <f>"11103"</f>
        <v>11103</v>
      </c>
      <c r="C23830" s="2">
        <v>7.3053642245877602E-4</v>
      </c>
      <c r="D23830" s="2">
        <v>2.44339468968887E-3</v>
      </c>
      <c r="E23830" s="2">
        <v>4.9973091412316398E-4</v>
      </c>
      <c r="F23830" s="2">
        <v>7.65786533096825E-4</v>
      </c>
    </row>
    <row r="23831" spans="1:6" x14ac:dyDescent="0.25">
      <c r="A23831" s="1" t="str">
        <f t="shared" si="886"/>
        <v>35614</v>
      </c>
      <c r="B23831" s="1" t="str">
        <f>"10901"</f>
        <v>10901</v>
      </c>
      <c r="C23831" s="2">
        <v>1.4715090795240999E-3</v>
      </c>
      <c r="D23831" s="2">
        <v>4.2352174621273801E-3</v>
      </c>
      <c r="E23831" s="2">
        <v>1.1147843468901301E-3</v>
      </c>
      <c r="F23831" s="2">
        <v>1.53157306619365E-3</v>
      </c>
    </row>
    <row r="23832" spans="1:6" x14ac:dyDescent="0.25">
      <c r="A23832" s="1" t="str">
        <f t="shared" si="886"/>
        <v>35614</v>
      </c>
      <c r="B23832" s="1" t="str">
        <f>"10314"</f>
        <v>10314</v>
      </c>
      <c r="C23832" s="2">
        <v>9.810060530160709E-4</v>
      </c>
      <c r="D23832" s="2">
        <v>4.8867893793777398E-4</v>
      </c>
      <c r="E23832" s="2">
        <v>3.4596755593142099E-4</v>
      </c>
      <c r="F23832" s="2">
        <v>8.28299719472076E-4</v>
      </c>
    </row>
    <row r="23833" spans="1:6" x14ac:dyDescent="0.25">
      <c r="A23833" s="1" t="str">
        <f t="shared" si="886"/>
        <v>35614</v>
      </c>
      <c r="B23833" s="1" t="str">
        <f>"11691"</f>
        <v>11691</v>
      </c>
      <c r="C23833" s="2">
        <v>2.5464412439991598E-3</v>
      </c>
      <c r="D23833" s="2">
        <v>1.6289297931259099E-4</v>
      </c>
      <c r="E23833" s="2">
        <v>1.03790266779426E-3</v>
      </c>
      <c r="F23833" s="2">
        <v>2.1254483367585302E-3</v>
      </c>
    </row>
    <row r="23834" spans="1:6" x14ac:dyDescent="0.25">
      <c r="A23834" s="1" t="str">
        <f t="shared" si="886"/>
        <v>35614</v>
      </c>
      <c r="B23834" s="1" t="str">
        <f>"10069"</f>
        <v>10069</v>
      </c>
      <c r="C23834" s="2">
        <v>0</v>
      </c>
      <c r="D23834" s="2">
        <v>9.7735787587554905E-4</v>
      </c>
      <c r="E23834" s="2">
        <v>3.84408395479357E-5</v>
      </c>
      <c r="F23834" s="2">
        <v>5.4699038078344601E-5</v>
      </c>
    </row>
    <row r="23835" spans="1:6" x14ac:dyDescent="0.25">
      <c r="A23835" s="1" t="str">
        <f t="shared" si="886"/>
        <v>35614</v>
      </c>
      <c r="B23835" s="1" t="str">
        <f>"11101"</f>
        <v>11101</v>
      </c>
      <c r="C23835" s="2">
        <v>7.0340221248173596E-3</v>
      </c>
      <c r="D23835" s="2">
        <v>8.4704349242547602E-3</v>
      </c>
      <c r="E23835" s="2">
        <v>6.9193511186284296E-4</v>
      </c>
      <c r="F23835" s="2">
        <v>5.8137263328983399E-3</v>
      </c>
    </row>
    <row r="23836" spans="1:6" x14ac:dyDescent="0.25">
      <c r="A23836" s="1" t="str">
        <f t="shared" si="886"/>
        <v>35614</v>
      </c>
      <c r="B23836" s="1" t="str">
        <f>"11102"</f>
        <v>11102</v>
      </c>
      <c r="C23836" s="2">
        <v>6.2408682947192604E-3</v>
      </c>
      <c r="D23836" s="2">
        <v>1.1402508551881399E-3</v>
      </c>
      <c r="E23836" s="2">
        <v>9.6102098869839305E-4</v>
      </c>
      <c r="F23836" s="2">
        <v>4.9229134270510101E-3</v>
      </c>
    </row>
    <row r="23837" spans="1:6" x14ac:dyDescent="0.25">
      <c r="A23837" s="1" t="str">
        <f t="shared" si="886"/>
        <v>35614</v>
      </c>
      <c r="B23837" s="1" t="str">
        <f>"11201"</f>
        <v>11201</v>
      </c>
      <c r="C23837" s="2">
        <v>5.4790231684408199E-3</v>
      </c>
      <c r="D23837" s="2">
        <v>8.1446489656295798E-4</v>
      </c>
      <c r="E23837" s="2">
        <v>6.9193511186284296E-4</v>
      </c>
      <c r="F23837" s="2">
        <v>4.2821532667046899E-3</v>
      </c>
    </row>
    <row r="23838" spans="1:6" x14ac:dyDescent="0.25">
      <c r="A23838" s="1" t="str">
        <f t="shared" si="886"/>
        <v>35614</v>
      </c>
      <c r="B23838" s="1" t="str">
        <f>"11692"</f>
        <v>11692</v>
      </c>
      <c r="C23838" s="2">
        <v>5.1137549572114296E-4</v>
      </c>
      <c r="D23838" s="2">
        <v>0</v>
      </c>
      <c r="E23838" s="2">
        <v>6.9193511186284296E-4</v>
      </c>
      <c r="F23838" s="2">
        <v>5.23547935892727E-4</v>
      </c>
    </row>
    <row r="23839" spans="1:6" x14ac:dyDescent="0.25">
      <c r="A23839" s="1" t="str">
        <f t="shared" si="886"/>
        <v>35614</v>
      </c>
      <c r="B23839" s="1" t="str">
        <f>"07047"</f>
        <v>07047</v>
      </c>
      <c r="C23839" s="2">
        <v>2.4733876017532801E-3</v>
      </c>
      <c r="D23839" s="2">
        <v>3.2578595862518302E-4</v>
      </c>
      <c r="E23839" s="2">
        <v>2.1373106788652198E-2</v>
      </c>
      <c r="F23839" s="2">
        <v>6.2122478960405696E-3</v>
      </c>
    </row>
    <row r="23840" spans="1:6" x14ac:dyDescent="0.25">
      <c r="A23840" s="1" t="str">
        <f t="shared" si="886"/>
        <v>35614</v>
      </c>
      <c r="B23840" s="1" t="str">
        <f>"07310"</f>
        <v>07310</v>
      </c>
      <c r="C23840" s="2">
        <v>3.47526612398246E-3</v>
      </c>
      <c r="D23840" s="2">
        <v>9.7735787587554905E-4</v>
      </c>
      <c r="E23840" s="2">
        <v>2.3064503728761399E-4</v>
      </c>
      <c r="F23840" s="2">
        <v>2.6958811624326999E-3</v>
      </c>
    </row>
    <row r="23841" spans="1:6" x14ac:dyDescent="0.25">
      <c r="A23841" s="1" t="str">
        <f t="shared" si="886"/>
        <v>35614</v>
      </c>
      <c r="B23841" s="1" t="str">
        <f>"07628"</f>
        <v>07628</v>
      </c>
      <c r="C23841" s="2">
        <v>3.7570444583594198E-4</v>
      </c>
      <c r="D23841" s="2">
        <v>0</v>
      </c>
      <c r="E23841" s="2">
        <v>4.6129007457522799E-4</v>
      </c>
      <c r="F23841" s="2">
        <v>3.7507911825150598E-4</v>
      </c>
    </row>
    <row r="23842" spans="1:6" x14ac:dyDescent="0.25">
      <c r="A23842" s="1" t="str">
        <f t="shared" si="886"/>
        <v>35614</v>
      </c>
      <c r="B23842" s="1" t="str">
        <f>"10553"</f>
        <v>10553</v>
      </c>
      <c r="C23842" s="2">
        <v>2.5568774786057101E-3</v>
      </c>
      <c r="D23842" s="2">
        <v>1.7918227724385001E-3</v>
      </c>
      <c r="E23842" s="2">
        <v>3.3059122011224701E-3</v>
      </c>
      <c r="F23842" s="2">
        <v>2.6724387175419799E-3</v>
      </c>
    </row>
    <row r="23843" spans="1:6" x14ac:dyDescent="0.25">
      <c r="A23843" s="1" t="str">
        <f t="shared" si="886"/>
        <v>35614</v>
      </c>
      <c r="B23843" s="1" t="str">
        <f>"10026"</f>
        <v>10026</v>
      </c>
      <c r="C23843" s="2">
        <v>3.5483197662283399E-4</v>
      </c>
      <c r="D23843" s="2">
        <v>1.6289297931259099E-4</v>
      </c>
      <c r="E23843" s="2">
        <v>3.07526716383485E-4</v>
      </c>
      <c r="F23843" s="2">
        <v>3.3600837676697401E-4</v>
      </c>
    </row>
    <row r="23844" spans="1:6" x14ac:dyDescent="0.25">
      <c r="A23844" s="1" t="str">
        <f t="shared" si="886"/>
        <v>35614</v>
      </c>
      <c r="B23844" s="1" t="str">
        <f>"10179"</f>
        <v>10179</v>
      </c>
      <c r="C23844" s="2">
        <v>0</v>
      </c>
      <c r="D23844" s="2">
        <v>0</v>
      </c>
      <c r="E23844" s="2">
        <v>3.84408395479357E-5</v>
      </c>
      <c r="F23844" s="2">
        <v>7.8141482969063694E-6</v>
      </c>
    </row>
    <row r="23845" spans="1:6" x14ac:dyDescent="0.25">
      <c r="A23845" s="1" t="str">
        <f t="shared" si="886"/>
        <v>35614</v>
      </c>
      <c r="B23845" s="1" t="str">
        <f>"07026"</f>
        <v>07026</v>
      </c>
      <c r="C23845" s="2">
        <v>1.90983093299937E-3</v>
      </c>
      <c r="D23845" s="2">
        <v>6.5157191725036603E-4</v>
      </c>
      <c r="E23845" s="2">
        <v>2.3833320519720102E-3</v>
      </c>
      <c r="F23845" s="2">
        <v>1.9457229259296799E-3</v>
      </c>
    </row>
    <row r="23846" spans="1:6" x14ac:dyDescent="0.25">
      <c r="A23846" s="1" t="str">
        <f t="shared" si="886"/>
        <v>35614</v>
      </c>
      <c r="B23846" s="1" t="str">
        <f>"10505"</f>
        <v>10505</v>
      </c>
      <c r="C23846" s="2">
        <v>0</v>
      </c>
      <c r="D23846" s="2">
        <v>2.44339468968887E-3</v>
      </c>
      <c r="E23846" s="2">
        <v>3.84408395479357E-5</v>
      </c>
      <c r="F23846" s="2">
        <v>1.2502637275050199E-4</v>
      </c>
    </row>
    <row r="23847" spans="1:6" x14ac:dyDescent="0.25">
      <c r="A23847" s="1" t="str">
        <f t="shared" si="886"/>
        <v>35614</v>
      </c>
      <c r="B23847" s="1" t="str">
        <f>"11424"</f>
        <v>11424</v>
      </c>
      <c r="C23847" s="2">
        <v>0</v>
      </c>
      <c r="D23847" s="2">
        <v>0</v>
      </c>
      <c r="E23847" s="2">
        <v>3.84408395479357E-5</v>
      </c>
      <c r="F23847" s="2">
        <v>7.8141482969063694E-6</v>
      </c>
    </row>
    <row r="23848" spans="1:6" x14ac:dyDescent="0.25">
      <c r="A23848" s="1" t="str">
        <f t="shared" si="886"/>
        <v>35614</v>
      </c>
      <c r="B23848" s="1" t="str">
        <f>"10278"</f>
        <v>10278</v>
      </c>
      <c r="C23848" s="2">
        <v>0</v>
      </c>
      <c r="D23848" s="2">
        <v>0</v>
      </c>
      <c r="E23848" s="2">
        <v>3.84408395479357E-5</v>
      </c>
      <c r="F23848" s="2">
        <v>7.8141482969063694E-6</v>
      </c>
    </row>
    <row r="23849" spans="1:6" x14ac:dyDescent="0.25">
      <c r="A23849" s="1" t="str">
        <f t="shared" si="886"/>
        <v>35614</v>
      </c>
      <c r="B23849" s="1" t="str">
        <f>"10032"</f>
        <v>10032</v>
      </c>
      <c r="C23849" s="2">
        <v>1.25234815278647E-4</v>
      </c>
      <c r="D23849" s="2">
        <v>0</v>
      </c>
      <c r="E23849" s="2">
        <v>3.84408395479357E-5</v>
      </c>
      <c r="F23849" s="2">
        <v>1.01583927859782E-4</v>
      </c>
    </row>
    <row r="23850" spans="1:6" x14ac:dyDescent="0.25">
      <c r="A23850" s="1" t="str">
        <f t="shared" si="886"/>
        <v>35614</v>
      </c>
      <c r="B23850" s="1" t="str">
        <f>"10803"</f>
        <v>10803</v>
      </c>
      <c r="C23850" s="2">
        <v>1.66979753704863E-4</v>
      </c>
      <c r="D23850" s="2">
        <v>0</v>
      </c>
      <c r="E23850" s="2">
        <v>7.6881679095871399E-5</v>
      </c>
      <c r="F23850" s="2">
        <v>1.4065466934431401E-4</v>
      </c>
    </row>
    <row r="23851" spans="1:6" x14ac:dyDescent="0.25">
      <c r="A23851" s="1" t="str">
        <f t="shared" si="886"/>
        <v>35614</v>
      </c>
      <c r="B23851" s="1" t="str">
        <f>"10043"</f>
        <v>10043</v>
      </c>
      <c r="C23851" s="2">
        <v>0</v>
      </c>
      <c r="D23851" s="2">
        <v>0</v>
      </c>
      <c r="E23851" s="2">
        <v>3.84408395479357E-5</v>
      </c>
      <c r="F23851" s="2">
        <v>7.8141482969063694E-6</v>
      </c>
    </row>
    <row r="23852" spans="1:6" x14ac:dyDescent="0.25">
      <c r="A23852" s="1" t="str">
        <f t="shared" si="886"/>
        <v>35614</v>
      </c>
      <c r="B23852" s="1" t="str">
        <f>"10269"</f>
        <v>10269</v>
      </c>
      <c r="C23852" s="2">
        <v>0</v>
      </c>
      <c r="D23852" s="2">
        <v>0</v>
      </c>
      <c r="E23852" s="2">
        <v>7.6881679095871399E-5</v>
      </c>
      <c r="F23852" s="2">
        <v>1.5628296593812702E-5</v>
      </c>
    </row>
    <row r="23853" spans="1:6" x14ac:dyDescent="0.25">
      <c r="A23853" s="1" t="str">
        <f t="shared" si="886"/>
        <v>35614</v>
      </c>
      <c r="B23853" s="1" t="str">
        <f>"07450"</f>
        <v>07450</v>
      </c>
      <c r="C23853" s="2">
        <v>0</v>
      </c>
      <c r="D23853" s="2">
        <v>1.4660368138133201E-3</v>
      </c>
      <c r="E23853" s="2">
        <v>7.6881679095871399E-5</v>
      </c>
      <c r="F23853" s="2">
        <v>8.5955631265970106E-5</v>
      </c>
    </row>
    <row r="23854" spans="1:6" x14ac:dyDescent="0.25">
      <c r="A23854" s="1" t="str">
        <f t="shared" si="886"/>
        <v>35614</v>
      </c>
      <c r="B23854" s="1" t="str">
        <f>"07608"</f>
        <v>07608</v>
      </c>
      <c r="C23854" s="2">
        <v>0</v>
      </c>
      <c r="D23854" s="2">
        <v>0</v>
      </c>
      <c r="E23854" s="2">
        <v>3.84408395479357E-5</v>
      </c>
      <c r="F23854" s="2">
        <v>7.8141482969063694E-6</v>
      </c>
    </row>
    <row r="23855" spans="1:6" x14ac:dyDescent="0.25">
      <c r="A23855" s="1" t="str">
        <f t="shared" si="886"/>
        <v>35614</v>
      </c>
      <c r="B23855" s="1" t="str">
        <f>"10708"</f>
        <v>10708</v>
      </c>
      <c r="C23855" s="2">
        <v>0</v>
      </c>
      <c r="D23855" s="2">
        <v>0</v>
      </c>
      <c r="E23855" s="2">
        <v>1.0763435073421999E-3</v>
      </c>
      <c r="F23855" s="2">
        <v>2.18796152313378E-4</v>
      </c>
    </row>
    <row r="23856" spans="1:6" x14ac:dyDescent="0.25">
      <c r="A23856" s="1" t="str">
        <f t="shared" si="886"/>
        <v>35614</v>
      </c>
      <c r="B23856" s="1" t="str">
        <f>"10541"</f>
        <v>10541</v>
      </c>
      <c r="C23856" s="2">
        <v>1.35671049885201E-4</v>
      </c>
      <c r="D23856" s="2">
        <v>0</v>
      </c>
      <c r="E23856" s="2">
        <v>3.84408395479357E-5</v>
      </c>
      <c r="F23856" s="2">
        <v>1.09398076156689E-4</v>
      </c>
    </row>
    <row r="23857" spans="1:6" x14ac:dyDescent="0.25">
      <c r="A23857" s="1" t="str">
        <f t="shared" si="886"/>
        <v>35614</v>
      </c>
      <c r="B23857" s="1" t="str">
        <f>"10279"</f>
        <v>10279</v>
      </c>
      <c r="C23857" s="2">
        <v>0</v>
      </c>
      <c r="D23857" s="2">
        <v>4.8867893793777398E-4</v>
      </c>
      <c r="E23857" s="2">
        <v>1.15322518643807E-4</v>
      </c>
      <c r="F23857" s="2">
        <v>4.68848897814382E-5</v>
      </c>
    </row>
    <row r="23858" spans="1:6" x14ac:dyDescent="0.25">
      <c r="A23858" s="1" t="str">
        <f t="shared" si="886"/>
        <v>35614</v>
      </c>
      <c r="B23858" s="1" t="str">
        <f>"10607"</f>
        <v>10607</v>
      </c>
      <c r="C23858" s="2">
        <v>3.1308703819661799E-4</v>
      </c>
      <c r="D23858" s="2">
        <v>1.9547157517510899E-3</v>
      </c>
      <c r="E23858" s="2">
        <v>3.4596755593142099E-4</v>
      </c>
      <c r="F23858" s="2">
        <v>3.9852156314222501E-4</v>
      </c>
    </row>
    <row r="23859" spans="1:6" x14ac:dyDescent="0.25">
      <c r="A23859" s="1" t="str">
        <f t="shared" si="886"/>
        <v>35614</v>
      </c>
      <c r="B23859" s="1" t="str">
        <f>"10103"</f>
        <v>10103</v>
      </c>
      <c r="C23859" s="2">
        <v>0</v>
      </c>
      <c r="D23859" s="2">
        <v>1.6289297931259099E-4</v>
      </c>
      <c r="E23859" s="2">
        <v>3.84408395479357E-5</v>
      </c>
      <c r="F23859" s="2">
        <v>1.5628296593812702E-5</v>
      </c>
    </row>
    <row r="23860" spans="1:6" x14ac:dyDescent="0.25">
      <c r="A23860" s="1" t="str">
        <f t="shared" si="886"/>
        <v>35614</v>
      </c>
      <c r="B23860" s="1" t="str">
        <f>"10112"</f>
        <v>10112</v>
      </c>
      <c r="C23860" s="2">
        <v>0</v>
      </c>
      <c r="D23860" s="2">
        <v>1.6289297931259099E-4</v>
      </c>
      <c r="E23860" s="2">
        <v>3.84408395479357E-5</v>
      </c>
      <c r="F23860" s="2">
        <v>1.5628296593812702E-5</v>
      </c>
    </row>
    <row r="23861" spans="1:6" x14ac:dyDescent="0.25">
      <c r="A23861" s="1" t="str">
        <f t="shared" si="886"/>
        <v>35614</v>
      </c>
      <c r="B23861" s="1" t="str">
        <f>"10174"</f>
        <v>10174</v>
      </c>
      <c r="C23861" s="2">
        <v>0</v>
      </c>
      <c r="D23861" s="2">
        <v>1.6289297931259099E-4</v>
      </c>
      <c r="E23861" s="2">
        <v>3.84408395479357E-5</v>
      </c>
      <c r="F23861" s="2">
        <v>1.5628296593812702E-5</v>
      </c>
    </row>
    <row r="23862" spans="1:6" x14ac:dyDescent="0.25">
      <c r="A23862" s="1" t="str">
        <f t="shared" si="886"/>
        <v>35614</v>
      </c>
      <c r="B23862" s="1" t="str">
        <f>"10173"</f>
        <v>10173</v>
      </c>
      <c r="C23862" s="2">
        <v>0</v>
      </c>
      <c r="D23862" s="2">
        <v>0</v>
      </c>
      <c r="E23862" s="2">
        <v>3.84408395479357E-5</v>
      </c>
      <c r="F23862" s="2">
        <v>7.8141482969063694E-6</v>
      </c>
    </row>
    <row r="23863" spans="1:6" x14ac:dyDescent="0.25">
      <c r="A23863" s="1" t="str">
        <f t="shared" si="886"/>
        <v>35614</v>
      </c>
      <c r="B23863" s="1" t="str">
        <f>"10027"</f>
        <v>10027</v>
      </c>
      <c r="C23863" s="2">
        <v>1.0331872260488401E-3</v>
      </c>
      <c r="D23863" s="2">
        <v>3.2578595862518302E-4</v>
      </c>
      <c r="E23863" s="2">
        <v>7.6881679095871396E-4</v>
      </c>
      <c r="F23863" s="2">
        <v>9.4551194392567103E-4</v>
      </c>
    </row>
    <row r="23864" spans="1:6" x14ac:dyDescent="0.25">
      <c r="A23864" s="1" t="str">
        <f t="shared" si="886"/>
        <v>35614</v>
      </c>
      <c r="B23864" s="1" t="str">
        <f>"07605"</f>
        <v>07605</v>
      </c>
      <c r="C23864" s="2">
        <v>0</v>
      </c>
      <c r="D23864" s="2">
        <v>0</v>
      </c>
      <c r="E23864" s="2">
        <v>6.0352118090258996E-3</v>
      </c>
      <c r="F23864" s="2">
        <v>1.2268212826142999E-3</v>
      </c>
    </row>
    <row r="23865" spans="1:6" x14ac:dyDescent="0.25">
      <c r="A23865" s="1" t="str">
        <f t="shared" si="886"/>
        <v>35614</v>
      </c>
      <c r="B23865" s="1" t="str">
        <f>"07621"</f>
        <v>07621</v>
      </c>
      <c r="C23865" s="2">
        <v>6.8879148403256101E-4</v>
      </c>
      <c r="D23865" s="2">
        <v>0</v>
      </c>
      <c r="E23865" s="2">
        <v>8.8413930960252096E-4</v>
      </c>
      <c r="F23865" s="2">
        <v>6.9545919842466705E-4</v>
      </c>
    </row>
    <row r="23866" spans="1:6" x14ac:dyDescent="0.25">
      <c r="A23866" s="1" t="str">
        <f t="shared" si="886"/>
        <v>35614</v>
      </c>
      <c r="B23866" s="1" t="str">
        <f>"10017"</f>
        <v>10017</v>
      </c>
      <c r="C23866" s="2">
        <v>4.38321853475266E-3</v>
      </c>
      <c r="D23866" s="2">
        <v>1.3194331324319899E-2</v>
      </c>
      <c r="E23866" s="2">
        <v>7.6881679095871396E-4</v>
      </c>
      <c r="F23866" s="2">
        <v>4.0711712626882203E-3</v>
      </c>
    </row>
    <row r="23867" spans="1:6" x14ac:dyDescent="0.25">
      <c r="A23867" s="1" t="str">
        <f t="shared" si="886"/>
        <v>35614</v>
      </c>
      <c r="B23867" s="1" t="str">
        <f>"07057"</f>
        <v>07057</v>
      </c>
      <c r="C23867" s="2">
        <v>1.24191191817992E-3</v>
      </c>
      <c r="D23867" s="2">
        <v>1.6289297931259099E-4</v>
      </c>
      <c r="E23867" s="2">
        <v>2.0758053355885201E-3</v>
      </c>
      <c r="F23867" s="2">
        <v>1.3596618036617E-3</v>
      </c>
    </row>
    <row r="23868" spans="1:6" x14ac:dyDescent="0.25">
      <c r="A23868" s="1" t="str">
        <f t="shared" si="886"/>
        <v>35614</v>
      </c>
      <c r="B23868" s="1" t="str">
        <f>"10468"</f>
        <v>10468</v>
      </c>
      <c r="C23868" s="2">
        <v>3.0578167397202999E-3</v>
      </c>
      <c r="D23868" s="2">
        <v>3.2578595862518302E-4</v>
      </c>
      <c r="E23868" s="2">
        <v>1.5376335819174201E-4</v>
      </c>
      <c r="F23868" s="2">
        <v>2.3364303407749998E-3</v>
      </c>
    </row>
    <row r="23869" spans="1:6" x14ac:dyDescent="0.25">
      <c r="A23869" s="1" t="str">
        <f t="shared" si="886"/>
        <v>35614</v>
      </c>
      <c r="B23869" s="1" t="str">
        <f>"10805"</f>
        <v>10805</v>
      </c>
      <c r="C23869" s="2">
        <v>3.9448966812773902E-3</v>
      </c>
      <c r="D23869" s="2">
        <v>1.1402508551881399E-3</v>
      </c>
      <c r="E23869" s="2">
        <v>4.4206965480125997E-3</v>
      </c>
      <c r="F23869" s="2">
        <v>3.9070741484531803E-3</v>
      </c>
    </row>
    <row r="23870" spans="1:6" x14ac:dyDescent="0.25">
      <c r="A23870" s="1" t="str">
        <f t="shared" si="886"/>
        <v>35614</v>
      </c>
      <c r="B23870" s="1" t="str">
        <f>"11212"</f>
        <v>11212</v>
      </c>
      <c r="C23870" s="2">
        <v>8.0359006470465399E-3</v>
      </c>
      <c r="D23870" s="2">
        <v>6.0270402345658902E-3</v>
      </c>
      <c r="E23870" s="2">
        <v>1.0148381640654999E-2</v>
      </c>
      <c r="F23870" s="2">
        <v>8.3689528259867293E-3</v>
      </c>
    </row>
    <row r="23871" spans="1:6" x14ac:dyDescent="0.25">
      <c r="A23871" s="1" t="str">
        <f t="shared" si="886"/>
        <v>35614</v>
      </c>
      <c r="B23871" s="1" t="str">
        <f>"11230"</f>
        <v>11230</v>
      </c>
      <c r="C23871" s="2">
        <v>9.9039866416197001E-3</v>
      </c>
      <c r="D23871" s="2">
        <v>1.6615083889884301E-2</v>
      </c>
      <c r="E23871" s="2">
        <v>1.0532790036134301E-2</v>
      </c>
      <c r="F23871" s="2">
        <v>1.03537464934009E-2</v>
      </c>
    </row>
    <row r="23872" spans="1:6" x14ac:dyDescent="0.25">
      <c r="A23872" s="1" t="str">
        <f t="shared" si="886"/>
        <v>35614</v>
      </c>
      <c r="B23872" s="1" t="str">
        <f>"11236"</f>
        <v>11236</v>
      </c>
      <c r="C23872" s="2">
        <v>1.04884157795867E-2</v>
      </c>
      <c r="D23872" s="2">
        <v>8.3075419449421695E-3</v>
      </c>
      <c r="E23872" s="2">
        <v>1.35696163604213E-2</v>
      </c>
      <c r="F23872" s="2">
        <v>1.1010134950341E-2</v>
      </c>
    </row>
    <row r="23873" spans="1:6" x14ac:dyDescent="0.25">
      <c r="A23873" s="1" t="str">
        <f t="shared" si="886"/>
        <v>35614</v>
      </c>
      <c r="B23873" s="1" t="str">
        <f>"11429"</f>
        <v>11429</v>
      </c>
      <c r="C23873" s="2">
        <v>1.1479858067209301E-3</v>
      </c>
      <c r="D23873" s="2">
        <v>1.1402508551881399E-3</v>
      </c>
      <c r="E23873" s="2">
        <v>1.5376335819174199E-3</v>
      </c>
      <c r="F23873" s="2">
        <v>1.2268212826142999E-3</v>
      </c>
    </row>
    <row r="23874" spans="1:6" x14ac:dyDescent="0.25">
      <c r="A23874" s="1" t="str">
        <f t="shared" si="886"/>
        <v>35614</v>
      </c>
      <c r="B23874" s="1" t="str">
        <f>"07086"</f>
        <v>07086</v>
      </c>
      <c r="C23874" s="2">
        <v>9.7787518263410499E-3</v>
      </c>
      <c r="D23874" s="2">
        <v>0</v>
      </c>
      <c r="E23874" s="2">
        <v>9.0720381333128305E-3</v>
      </c>
      <c r="F23874" s="2">
        <v>9.16599595227118E-3</v>
      </c>
    </row>
    <row r="23875" spans="1:6" x14ac:dyDescent="0.25">
      <c r="A23875" s="1" t="str">
        <f t="shared" si="886"/>
        <v>35614</v>
      </c>
      <c r="B23875" s="1" t="str">
        <f>"07643"</f>
        <v>07643</v>
      </c>
      <c r="C23875" s="2">
        <v>1.04362346065539E-5</v>
      </c>
      <c r="D23875" s="2">
        <v>0</v>
      </c>
      <c r="E23875" s="2">
        <v>9.03359729376489E-3</v>
      </c>
      <c r="F23875" s="2">
        <v>1.8441389980699001E-3</v>
      </c>
    </row>
    <row r="23876" spans="1:6" x14ac:dyDescent="0.25">
      <c r="A23876" s="1" t="str">
        <f t="shared" si="886"/>
        <v>35614</v>
      </c>
      <c r="B23876" s="1" t="str">
        <f>"10536"</f>
        <v>10536</v>
      </c>
      <c r="C23876" s="2">
        <v>0</v>
      </c>
      <c r="D23876" s="2">
        <v>2.11760873106369E-3</v>
      </c>
      <c r="E23876" s="2">
        <v>6.5349427231490697E-4</v>
      </c>
      <c r="F23876" s="2">
        <v>2.3442444890719099E-4</v>
      </c>
    </row>
    <row r="23877" spans="1:6" x14ac:dyDescent="0.25">
      <c r="A23877" s="1" t="str">
        <f t="shared" si="886"/>
        <v>35614</v>
      </c>
      <c r="B23877" s="1" t="str">
        <f>"10606"</f>
        <v>10606</v>
      </c>
      <c r="C23877" s="2">
        <v>1.7845961177207199E-3</v>
      </c>
      <c r="D23877" s="2">
        <v>1.6289297931259101E-3</v>
      </c>
      <c r="E23877" s="2">
        <v>2.3064503728761399E-3</v>
      </c>
      <c r="F23877" s="2">
        <v>1.8832097395544299E-3</v>
      </c>
    </row>
    <row r="23878" spans="1:6" x14ac:dyDescent="0.25">
      <c r="A23878" s="1" t="str">
        <f t="shared" si="886"/>
        <v>35614</v>
      </c>
      <c r="B23878" s="1" t="str">
        <f>"11385"</f>
        <v>11385</v>
      </c>
      <c r="C23878" s="2">
        <v>6.3347944061782503E-3</v>
      </c>
      <c r="D23878" s="2">
        <v>4.8867893793777401E-3</v>
      </c>
      <c r="E23878" s="2">
        <v>6.6887060813408099E-3</v>
      </c>
      <c r="F23878" s="2">
        <v>6.3372742687910696E-3</v>
      </c>
    </row>
    <row r="23879" spans="1:6" x14ac:dyDescent="0.25">
      <c r="A23879" s="1" t="str">
        <f t="shared" si="886"/>
        <v>35614</v>
      </c>
      <c r="B23879" s="1" t="str">
        <f>"11369"</f>
        <v>11369</v>
      </c>
      <c r="C23879" s="2">
        <v>2.5464412439991598E-3</v>
      </c>
      <c r="D23879" s="2">
        <v>3.2578595862518302E-4</v>
      </c>
      <c r="E23879" s="2">
        <v>3.0752671638348498E-3</v>
      </c>
      <c r="F23879" s="2">
        <v>2.5474123447914699E-3</v>
      </c>
    </row>
    <row r="23880" spans="1:6" x14ac:dyDescent="0.25">
      <c r="A23880" s="1" t="str">
        <f t="shared" si="886"/>
        <v>35614</v>
      </c>
      <c r="B23880" s="1" t="str">
        <f>"11239"</f>
        <v>11239</v>
      </c>
      <c r="C23880" s="2">
        <v>4.1744938426215798E-3</v>
      </c>
      <c r="D23880" s="2">
        <v>1.3031438345007299E-3</v>
      </c>
      <c r="E23880" s="2">
        <v>3.42123471976627E-3</v>
      </c>
      <c r="F23880" s="2">
        <v>3.8836317035624698E-3</v>
      </c>
    </row>
    <row r="23881" spans="1:6" x14ac:dyDescent="0.25">
      <c r="A23881" s="1" t="str">
        <f t="shared" si="886"/>
        <v>35614</v>
      </c>
      <c r="B23881" s="1" t="str">
        <f>"10470"</f>
        <v>10470</v>
      </c>
      <c r="C23881" s="2">
        <v>3.3395950740972599E-4</v>
      </c>
      <c r="D23881" s="2">
        <v>3.2578595862518302E-4</v>
      </c>
      <c r="E23881" s="2">
        <v>7.6881679095871399E-5</v>
      </c>
      <c r="F23881" s="2">
        <v>2.8130933868862899E-4</v>
      </c>
    </row>
    <row r="23882" spans="1:6" x14ac:dyDescent="0.25">
      <c r="A23882" s="1" t="str">
        <f t="shared" si="886"/>
        <v>35614</v>
      </c>
      <c r="B23882" s="1" t="str">
        <f>"11694"</f>
        <v>11694</v>
      </c>
      <c r="C23882" s="2">
        <v>6.4704654560634501E-4</v>
      </c>
      <c r="D23882" s="2">
        <v>1.3031438345007299E-3</v>
      </c>
      <c r="E23882" s="2">
        <v>1.92204197739678E-4</v>
      </c>
      <c r="F23882" s="2">
        <v>5.8606112226797799E-4</v>
      </c>
    </row>
    <row r="23883" spans="1:6" x14ac:dyDescent="0.25">
      <c r="A23883" s="1" t="str">
        <f t="shared" si="886"/>
        <v>35614</v>
      </c>
      <c r="B23883" s="1" t="str">
        <f>"10018"</f>
        <v>10018</v>
      </c>
      <c r="C23883" s="2">
        <v>9.9666040492590192E-3</v>
      </c>
      <c r="D23883" s="2">
        <v>1.1891187489819099E-2</v>
      </c>
      <c r="E23883" s="2">
        <v>1.15322518643807E-4</v>
      </c>
      <c r="F23883" s="2">
        <v>8.0563868941104701E-3</v>
      </c>
    </row>
    <row r="23884" spans="1:6" x14ac:dyDescent="0.25">
      <c r="A23884" s="1" t="str">
        <f t="shared" si="886"/>
        <v>35614</v>
      </c>
      <c r="B23884" s="1" t="str">
        <f>"10550"</f>
        <v>10550</v>
      </c>
      <c r="C23884" s="2">
        <v>1.49342517219787E-2</v>
      </c>
      <c r="D23884" s="2">
        <v>1.35201172829451E-2</v>
      </c>
      <c r="E23884" s="2">
        <v>1.92973014530637E-2</v>
      </c>
      <c r="F23884" s="2">
        <v>1.5753322966563201E-2</v>
      </c>
    </row>
    <row r="23885" spans="1:6" x14ac:dyDescent="0.25">
      <c r="A23885" s="1" t="str">
        <f t="shared" si="886"/>
        <v>35614</v>
      </c>
      <c r="B23885" s="1" t="str">
        <f>"10473"</f>
        <v>10473</v>
      </c>
      <c r="C23885" s="2">
        <v>5.8442913796702097E-4</v>
      </c>
      <c r="D23885" s="2">
        <v>1.6289297931259099E-4</v>
      </c>
      <c r="E23885" s="2">
        <v>1.15322518643807E-4</v>
      </c>
      <c r="F23885" s="2">
        <v>4.6884889781438198E-4</v>
      </c>
    </row>
    <row r="23886" spans="1:6" x14ac:dyDescent="0.25">
      <c r="A23886" s="1" t="str">
        <f t="shared" si="886"/>
        <v>35614</v>
      </c>
      <c r="B23886" s="1" t="str">
        <f>"10913"</f>
        <v>10913</v>
      </c>
      <c r="C23886" s="2">
        <v>9.3926111458985496E-5</v>
      </c>
      <c r="D23886" s="2">
        <v>4.8867893793777398E-4</v>
      </c>
      <c r="E23886" s="2">
        <v>1.5376335819174201E-4</v>
      </c>
      <c r="F23886" s="2">
        <v>1.2502637275050199E-4</v>
      </c>
    </row>
    <row r="23887" spans="1:6" x14ac:dyDescent="0.25">
      <c r="A23887" s="1" t="str">
        <f t="shared" si="886"/>
        <v>35614</v>
      </c>
      <c r="B23887" s="1" t="str">
        <f>"10704"</f>
        <v>10704</v>
      </c>
      <c r="C23887" s="2">
        <v>4.6963055729492702E-4</v>
      </c>
      <c r="D23887" s="2">
        <v>0</v>
      </c>
      <c r="E23887" s="2">
        <v>1.15322518643807E-4</v>
      </c>
      <c r="F23887" s="2">
        <v>3.7507911825150598E-4</v>
      </c>
    </row>
    <row r="23888" spans="1:6" x14ac:dyDescent="0.25">
      <c r="A23888" s="1" t="str">
        <f t="shared" si="886"/>
        <v>35614</v>
      </c>
      <c r="B23888" s="1" t="str">
        <f>"11224"</f>
        <v>11224</v>
      </c>
      <c r="C23888" s="2">
        <v>3.2978501356710401E-3</v>
      </c>
      <c r="D23888" s="2">
        <v>6.0270402345658902E-3</v>
      </c>
      <c r="E23888" s="2">
        <v>2.3448912124240701E-3</v>
      </c>
      <c r="F23888" s="2">
        <v>3.2350573949192401E-3</v>
      </c>
    </row>
    <row r="23889" spans="1:6" x14ac:dyDescent="0.25">
      <c r="A23889" s="1" t="str">
        <f t="shared" si="886"/>
        <v>35614</v>
      </c>
      <c r="B23889" s="1" t="str">
        <f>"11223"</f>
        <v>11223</v>
      </c>
      <c r="C23889" s="2">
        <v>1.30035483197662E-2</v>
      </c>
      <c r="D23889" s="2">
        <v>1.0913829613943601E-2</v>
      </c>
      <c r="E23889" s="2">
        <v>1.67986468824479E-2</v>
      </c>
      <c r="F23889" s="2">
        <v>1.36747595195861E-2</v>
      </c>
    </row>
    <row r="23890" spans="1:6" x14ac:dyDescent="0.25">
      <c r="A23890" s="1" t="str">
        <f t="shared" si="886"/>
        <v>35614</v>
      </c>
      <c r="B23890" s="1" t="str">
        <f>"11217"</f>
        <v>11217</v>
      </c>
      <c r="C23890" s="2">
        <v>9.17345021916092E-3</v>
      </c>
      <c r="D23890" s="2">
        <v>4.3981104414399699E-3</v>
      </c>
      <c r="E23890" s="2">
        <v>9.3795648496963098E-3</v>
      </c>
      <c r="F23890" s="2">
        <v>8.9862705414423295E-3</v>
      </c>
    </row>
    <row r="23891" spans="1:6" x14ac:dyDescent="0.25">
      <c r="A23891" s="1" t="str">
        <f t="shared" si="886"/>
        <v>35614</v>
      </c>
      <c r="B23891" s="1" t="str">
        <f>"11357"</f>
        <v>11357</v>
      </c>
      <c r="C23891" s="2">
        <v>3.7779169275725302E-3</v>
      </c>
      <c r="D23891" s="2">
        <v>7.3301840690666196E-3</v>
      </c>
      <c r="E23891" s="2">
        <v>5.3048358576151299E-3</v>
      </c>
      <c r="F23891" s="2">
        <v>4.2587108218139699E-3</v>
      </c>
    </row>
    <row r="23892" spans="1:6" x14ac:dyDescent="0.25">
      <c r="A23892" s="1" t="str">
        <f t="shared" ref="A23892:A23955" si="887">"35614"</f>
        <v>35614</v>
      </c>
      <c r="B23892" s="1" t="str">
        <f>"11373"</f>
        <v>11373</v>
      </c>
      <c r="C23892" s="2">
        <v>9.6326445418493008E-3</v>
      </c>
      <c r="D23892" s="2">
        <v>2.10131943313243E-2</v>
      </c>
      <c r="E23892" s="2">
        <v>1.2224186976243501E-2</v>
      </c>
      <c r="F23892" s="2">
        <v>1.0705383166761701E-2</v>
      </c>
    </row>
    <row r="23893" spans="1:6" x14ac:dyDescent="0.25">
      <c r="A23893" s="1" t="str">
        <f t="shared" si="887"/>
        <v>35614</v>
      </c>
      <c r="B23893" s="1" t="str">
        <f>"07093"</f>
        <v>07093</v>
      </c>
      <c r="C23893" s="2">
        <v>1.2314756835733599E-3</v>
      </c>
      <c r="D23893" s="2">
        <v>2.6062876690014598E-3</v>
      </c>
      <c r="E23893" s="2">
        <v>1.3454293841777499E-3</v>
      </c>
      <c r="F23893" s="2">
        <v>1.32059106217717E-3</v>
      </c>
    </row>
    <row r="23894" spans="1:6" x14ac:dyDescent="0.25">
      <c r="A23894" s="1" t="str">
        <f t="shared" si="887"/>
        <v>35614</v>
      </c>
      <c r="B23894" s="1" t="str">
        <f>"11231"</f>
        <v>11231</v>
      </c>
      <c r="C23894" s="2">
        <v>1.08954289292423E-2</v>
      </c>
      <c r="D23894" s="2">
        <v>9.4477928001303092E-3</v>
      </c>
      <c r="E23894" s="2">
        <v>1.4069347274544401E-2</v>
      </c>
      <c r="F23894" s="2">
        <v>1.1471169699858501E-2</v>
      </c>
    </row>
    <row r="23895" spans="1:6" x14ac:dyDescent="0.25">
      <c r="A23895" s="1" t="str">
        <f t="shared" si="887"/>
        <v>35614</v>
      </c>
      <c r="B23895" s="1" t="str">
        <f>"11229"</f>
        <v>11229</v>
      </c>
      <c r="C23895" s="2">
        <v>6.4600292214568901E-3</v>
      </c>
      <c r="D23895" s="2">
        <v>1.30314383450073E-2</v>
      </c>
      <c r="E23895" s="2">
        <v>8.6491888982855297E-3</v>
      </c>
      <c r="F23895" s="2">
        <v>7.2202730263414899E-3</v>
      </c>
    </row>
    <row r="23896" spans="1:6" x14ac:dyDescent="0.25">
      <c r="A23896" s="1" t="str">
        <f t="shared" si="887"/>
        <v>35614</v>
      </c>
      <c r="B23896" s="1" t="str">
        <f>"11249"</f>
        <v>11249</v>
      </c>
      <c r="C23896" s="2">
        <v>1.0738885410144E-2</v>
      </c>
      <c r="D23896" s="2">
        <v>2.44339468968887E-3</v>
      </c>
      <c r="E23896" s="2">
        <v>2.46021373106788E-3</v>
      </c>
      <c r="F23896" s="2">
        <v>8.6580763129722599E-3</v>
      </c>
    </row>
    <row r="23897" spans="1:6" x14ac:dyDescent="0.25">
      <c r="A23897" s="1" t="str">
        <f t="shared" si="887"/>
        <v>35614</v>
      </c>
      <c r="B23897" s="1" t="str">
        <f>"11427"</f>
        <v>11427</v>
      </c>
      <c r="C23897" s="2">
        <v>1.8889584637862601E-3</v>
      </c>
      <c r="D23897" s="2">
        <v>9.7735787587554905E-4</v>
      </c>
      <c r="E23897" s="2">
        <v>2.4217728915199499E-3</v>
      </c>
      <c r="F23897" s="2">
        <v>1.9535370742265901E-3</v>
      </c>
    </row>
    <row r="23898" spans="1:6" x14ac:dyDescent="0.25">
      <c r="A23898" s="1" t="str">
        <f t="shared" si="887"/>
        <v>35614</v>
      </c>
      <c r="B23898" s="1" t="str">
        <f>"10994"</f>
        <v>10994</v>
      </c>
      <c r="C23898" s="2">
        <v>1.56543519098309E-4</v>
      </c>
      <c r="D23898" s="2">
        <v>2.11760873106369E-3</v>
      </c>
      <c r="E23898" s="2">
        <v>3.4596755593142099E-4</v>
      </c>
      <c r="F23898" s="2">
        <v>2.8912348698553601E-4</v>
      </c>
    </row>
    <row r="23899" spans="1:6" x14ac:dyDescent="0.25">
      <c r="A23899" s="1" t="str">
        <f t="shared" si="887"/>
        <v>35614</v>
      </c>
      <c r="B23899" s="1" t="str">
        <f>"07649"</f>
        <v>07649</v>
      </c>
      <c r="C23899" s="2">
        <v>3.1308703819661798E-5</v>
      </c>
      <c r="D23899" s="2">
        <v>0</v>
      </c>
      <c r="E23899" s="2">
        <v>1.92204197739678E-4</v>
      </c>
      <c r="F23899" s="2">
        <v>6.2513186375250996E-5</v>
      </c>
    </row>
    <row r="23900" spans="1:6" x14ac:dyDescent="0.25">
      <c r="A23900" s="1" t="str">
        <f t="shared" si="887"/>
        <v>35614</v>
      </c>
      <c r="B23900" s="1" t="str">
        <f>"10029"</f>
        <v>10029</v>
      </c>
      <c r="C23900" s="2">
        <v>1.59674389480275E-3</v>
      </c>
      <c r="D23900" s="2">
        <v>6.5157191725036603E-4</v>
      </c>
      <c r="E23900" s="2">
        <v>1.15322518643807E-4</v>
      </c>
      <c r="F23900" s="2">
        <v>1.2502637275050199E-3</v>
      </c>
    </row>
    <row r="23901" spans="1:6" x14ac:dyDescent="0.25">
      <c r="A23901" s="1" t="str">
        <f t="shared" si="887"/>
        <v>35614</v>
      </c>
      <c r="B23901" s="1" t="str">
        <f>"10164"</f>
        <v>10164</v>
      </c>
      <c r="C23901" s="2">
        <v>0</v>
      </c>
      <c r="D23901" s="2">
        <v>0</v>
      </c>
      <c r="E23901" s="2">
        <v>3.07526716383485E-4</v>
      </c>
      <c r="F23901" s="2">
        <v>6.2513186375250996E-5</v>
      </c>
    </row>
    <row r="23902" spans="1:6" x14ac:dyDescent="0.25">
      <c r="A23902" s="1" t="str">
        <f t="shared" si="887"/>
        <v>35614</v>
      </c>
      <c r="B23902" s="1" t="str">
        <f>"10455"</f>
        <v>10455</v>
      </c>
      <c r="C23902" s="2">
        <v>5.8338551450636596E-3</v>
      </c>
      <c r="D23902" s="2">
        <v>4.8867893793777398E-4</v>
      </c>
      <c r="E23902" s="2">
        <v>1.92204197739678E-4</v>
      </c>
      <c r="F23902" s="2">
        <v>4.43062208434591E-3</v>
      </c>
    </row>
    <row r="23903" spans="1:6" x14ac:dyDescent="0.25">
      <c r="A23903" s="1" t="str">
        <f t="shared" si="887"/>
        <v>35614</v>
      </c>
      <c r="B23903" s="1" t="str">
        <f>"10603"</f>
        <v>10603</v>
      </c>
      <c r="C23903" s="2">
        <v>3.5796284700480002E-3</v>
      </c>
      <c r="D23903" s="2">
        <v>2.2805017103762798E-3</v>
      </c>
      <c r="E23903" s="2">
        <v>8.8413930960252096E-4</v>
      </c>
      <c r="F23903" s="2">
        <v>2.96937635282442E-3</v>
      </c>
    </row>
    <row r="23904" spans="1:6" x14ac:dyDescent="0.25">
      <c r="A23904" s="1" t="str">
        <f t="shared" si="887"/>
        <v>35614</v>
      </c>
      <c r="B23904" s="1" t="str">
        <f>"11105"</f>
        <v>11105</v>
      </c>
      <c r="C23904" s="2">
        <v>6.2617407639323696E-4</v>
      </c>
      <c r="D23904" s="2">
        <v>0</v>
      </c>
      <c r="E23904" s="2">
        <v>2.6908587683554998E-4</v>
      </c>
      <c r="F23904" s="2">
        <v>5.23547935892727E-4</v>
      </c>
    </row>
    <row r="23905" spans="1:6" x14ac:dyDescent="0.25">
      <c r="A23905" s="1" t="str">
        <f t="shared" si="887"/>
        <v>35614</v>
      </c>
      <c r="B23905" s="1" t="str">
        <f>"10601"</f>
        <v>10601</v>
      </c>
      <c r="C23905" s="2">
        <v>1.35671049885201E-4</v>
      </c>
      <c r="D23905" s="2">
        <v>6.8415051311288399E-3</v>
      </c>
      <c r="E23905" s="2">
        <v>1.6913969401091699E-3</v>
      </c>
      <c r="F23905" s="2">
        <v>7.7360068139373098E-4</v>
      </c>
    </row>
    <row r="23906" spans="1:6" x14ac:dyDescent="0.25">
      <c r="A23906" s="1" t="str">
        <f t="shared" si="887"/>
        <v>35614</v>
      </c>
      <c r="B23906" s="1" t="str">
        <f>"10567"</f>
        <v>10567</v>
      </c>
      <c r="C23906" s="2">
        <v>2.0872469213107901E-5</v>
      </c>
      <c r="D23906" s="2">
        <v>0</v>
      </c>
      <c r="E23906" s="2">
        <v>3.4596755593142099E-4</v>
      </c>
      <c r="F23906" s="2">
        <v>8.5955631265970106E-5</v>
      </c>
    </row>
    <row r="23907" spans="1:6" x14ac:dyDescent="0.25">
      <c r="A23907" s="1" t="str">
        <f t="shared" si="887"/>
        <v>35614</v>
      </c>
      <c r="B23907" s="1" t="str">
        <f>"11363"</f>
        <v>11363</v>
      </c>
      <c r="C23907" s="2">
        <v>1.09580463368816E-3</v>
      </c>
      <c r="D23907" s="2">
        <v>9.7735787587554905E-4</v>
      </c>
      <c r="E23907" s="2">
        <v>1.4607519028215501E-3</v>
      </c>
      <c r="F23907" s="2">
        <v>1.1643080962390499E-3</v>
      </c>
    </row>
    <row r="23908" spans="1:6" x14ac:dyDescent="0.25">
      <c r="A23908" s="1" t="str">
        <f t="shared" si="887"/>
        <v>35614</v>
      </c>
      <c r="B23908" s="1" t="str">
        <f>"10004"</f>
        <v>10004</v>
      </c>
      <c r="C23908" s="2">
        <v>0</v>
      </c>
      <c r="D23908" s="2">
        <v>4.8867893793777401E-3</v>
      </c>
      <c r="E23908" s="2">
        <v>3.4596755593142099E-4</v>
      </c>
      <c r="F23908" s="2">
        <v>3.0475178357934802E-4</v>
      </c>
    </row>
    <row r="23909" spans="1:6" x14ac:dyDescent="0.25">
      <c r="A23909" s="1" t="str">
        <f t="shared" si="887"/>
        <v>35614</v>
      </c>
      <c r="B23909" s="1" t="str">
        <f>"10065"</f>
        <v>10065</v>
      </c>
      <c r="C23909" s="2">
        <v>4.5919432268837402E-4</v>
      </c>
      <c r="D23909" s="2">
        <v>6.5157191725036603E-4</v>
      </c>
      <c r="E23909" s="2">
        <v>4.22849235027292E-4</v>
      </c>
      <c r="F23909" s="2">
        <v>4.61034749517476E-4</v>
      </c>
    </row>
    <row r="23910" spans="1:6" x14ac:dyDescent="0.25">
      <c r="A23910" s="1" t="str">
        <f t="shared" si="887"/>
        <v>35614</v>
      </c>
      <c r="B23910" s="1" t="str">
        <f>"07401"</f>
        <v>07401</v>
      </c>
      <c r="C23910" s="2">
        <v>1.04362346065539E-5</v>
      </c>
      <c r="D23910" s="2">
        <v>0</v>
      </c>
      <c r="E23910" s="2">
        <v>0</v>
      </c>
      <c r="F23910" s="2">
        <v>7.8141482969063694E-6</v>
      </c>
    </row>
    <row r="23911" spans="1:6" x14ac:dyDescent="0.25">
      <c r="A23911" s="1" t="str">
        <f t="shared" si="887"/>
        <v>35614</v>
      </c>
      <c r="B23911" s="1" t="str">
        <f>"07024"</f>
        <v>07024</v>
      </c>
      <c r="C23911" s="2">
        <v>2.7760384053433498E-3</v>
      </c>
      <c r="D23911" s="2">
        <v>1.36830102622576E-2</v>
      </c>
      <c r="E23911" s="2">
        <v>4.5360190666564101E-3</v>
      </c>
      <c r="F23911" s="2">
        <v>3.6570214029521802E-3</v>
      </c>
    </row>
    <row r="23912" spans="1:6" x14ac:dyDescent="0.25">
      <c r="A23912" s="1" t="str">
        <f t="shared" si="887"/>
        <v>35614</v>
      </c>
      <c r="B23912" s="1" t="str">
        <f>"10170"</f>
        <v>10170</v>
      </c>
      <c r="C23912" s="2">
        <v>0</v>
      </c>
      <c r="D23912" s="2">
        <v>0</v>
      </c>
      <c r="E23912" s="2">
        <v>3.84408395479357E-5</v>
      </c>
      <c r="F23912" s="2">
        <v>7.8141482969063694E-6</v>
      </c>
    </row>
    <row r="23913" spans="1:6" x14ac:dyDescent="0.25">
      <c r="A23913" s="1" t="str">
        <f t="shared" si="887"/>
        <v>35614</v>
      </c>
      <c r="B23913" s="1" t="str">
        <f>"10588"</f>
        <v>10588</v>
      </c>
      <c r="C23913" s="2">
        <v>0</v>
      </c>
      <c r="D23913" s="2">
        <v>4.8867893793777398E-4</v>
      </c>
      <c r="E23913" s="2">
        <v>3.84408395479357E-5</v>
      </c>
      <c r="F23913" s="2">
        <v>3.1256593187625498E-5</v>
      </c>
    </row>
    <row r="23914" spans="1:6" x14ac:dyDescent="0.25">
      <c r="A23914" s="1" t="str">
        <f t="shared" si="887"/>
        <v>35614</v>
      </c>
      <c r="B23914" s="1" t="str">
        <f>"10166"</f>
        <v>10166</v>
      </c>
      <c r="C23914" s="2">
        <v>0</v>
      </c>
      <c r="D23914" s="2">
        <v>0</v>
      </c>
      <c r="E23914" s="2">
        <v>3.84408395479357E-5</v>
      </c>
      <c r="F23914" s="2">
        <v>7.8141482969063694E-6</v>
      </c>
    </row>
    <row r="23915" spans="1:6" x14ac:dyDescent="0.25">
      <c r="A23915" s="1" t="str">
        <f t="shared" si="887"/>
        <v>35614</v>
      </c>
      <c r="B23915" s="1" t="str">
        <f>"11243"</f>
        <v>11243</v>
      </c>
      <c r="C23915" s="2">
        <v>0</v>
      </c>
      <c r="D23915" s="2">
        <v>0</v>
      </c>
      <c r="E23915" s="2">
        <v>3.84408395479357E-5</v>
      </c>
      <c r="F23915" s="2">
        <v>7.8141482969063694E-6</v>
      </c>
    </row>
    <row r="23916" spans="1:6" x14ac:dyDescent="0.25">
      <c r="A23916" s="1" t="str">
        <f t="shared" si="887"/>
        <v>35614</v>
      </c>
      <c r="B23916" s="1" t="str">
        <f>"10151"</f>
        <v>10151</v>
      </c>
      <c r="C23916" s="2">
        <v>0</v>
      </c>
      <c r="D23916" s="2">
        <v>4.8867893793777398E-4</v>
      </c>
      <c r="E23916" s="2">
        <v>1.5376335819174201E-4</v>
      </c>
      <c r="F23916" s="2">
        <v>5.4699038078344601E-5</v>
      </c>
    </row>
    <row r="23917" spans="1:6" x14ac:dyDescent="0.25">
      <c r="A23917" s="1" t="str">
        <f t="shared" si="887"/>
        <v>35614</v>
      </c>
      <c r="B23917" s="1" t="str">
        <f>"10130"</f>
        <v>10130</v>
      </c>
      <c r="C23917" s="2">
        <v>0</v>
      </c>
      <c r="D23917" s="2">
        <v>0</v>
      </c>
      <c r="E23917" s="2">
        <v>3.84408395479357E-5</v>
      </c>
      <c r="F23917" s="2">
        <v>7.8141482969063694E-6</v>
      </c>
    </row>
    <row r="23918" spans="1:6" x14ac:dyDescent="0.25">
      <c r="A23918" s="1" t="str">
        <f t="shared" si="887"/>
        <v>35614</v>
      </c>
      <c r="B23918" s="1" t="str">
        <f>"10162"</f>
        <v>10162</v>
      </c>
      <c r="C23918" s="2">
        <v>0</v>
      </c>
      <c r="D23918" s="2">
        <v>0</v>
      </c>
      <c r="E23918" s="2">
        <v>3.84408395479357E-5</v>
      </c>
      <c r="F23918" s="2">
        <v>7.8141482969063694E-6</v>
      </c>
    </row>
    <row r="23919" spans="1:6" x14ac:dyDescent="0.25">
      <c r="A23919" s="1" t="str">
        <f t="shared" si="887"/>
        <v>35614</v>
      </c>
      <c r="B23919" s="1" t="str">
        <f>"10311"</f>
        <v>10311</v>
      </c>
      <c r="C23919" s="2">
        <v>0</v>
      </c>
      <c r="D23919" s="2">
        <v>0</v>
      </c>
      <c r="E23919" s="2">
        <v>3.84408395479357E-5</v>
      </c>
      <c r="F23919" s="2">
        <v>7.8141482969063694E-6</v>
      </c>
    </row>
    <row r="23920" spans="1:6" x14ac:dyDescent="0.25">
      <c r="A23920" s="1" t="str">
        <f t="shared" si="887"/>
        <v>35614</v>
      </c>
      <c r="B23920" s="1" t="str">
        <f>"07646"</f>
        <v>07646</v>
      </c>
      <c r="C23920" s="2">
        <v>1.25234815278647E-4</v>
      </c>
      <c r="D23920" s="2">
        <v>0</v>
      </c>
      <c r="E23920" s="2">
        <v>1.5376335819174201E-4</v>
      </c>
      <c r="F23920" s="2">
        <v>1.2502637275050199E-4</v>
      </c>
    </row>
    <row r="23921" spans="1:6" x14ac:dyDescent="0.25">
      <c r="A23921" s="1" t="str">
        <f t="shared" si="887"/>
        <v>35614</v>
      </c>
      <c r="B23921" s="1" t="str">
        <f>"10562"</f>
        <v>10562</v>
      </c>
      <c r="C23921" s="2">
        <v>0</v>
      </c>
      <c r="D23921" s="2">
        <v>6.5157191725036603E-4</v>
      </c>
      <c r="E23921" s="2">
        <v>3.4596755593142099E-4</v>
      </c>
      <c r="F23921" s="2">
        <v>1.01583927859782E-4</v>
      </c>
    </row>
    <row r="23922" spans="1:6" x14ac:dyDescent="0.25">
      <c r="A23922" s="1" t="str">
        <f t="shared" si="887"/>
        <v>35614</v>
      </c>
      <c r="B23922" s="1" t="str">
        <f>"10275"</f>
        <v>10275</v>
      </c>
      <c r="C23922" s="2">
        <v>0</v>
      </c>
      <c r="D23922" s="2">
        <v>0</v>
      </c>
      <c r="E23922" s="2">
        <v>1.5376335819174201E-4</v>
      </c>
      <c r="F23922" s="2">
        <v>3.1256593187625498E-5</v>
      </c>
    </row>
    <row r="23923" spans="1:6" x14ac:dyDescent="0.25">
      <c r="A23923" s="1" t="str">
        <f t="shared" si="887"/>
        <v>35614</v>
      </c>
      <c r="B23923" s="1" t="str">
        <f>"10511"</f>
        <v>10511</v>
      </c>
      <c r="C23923" s="2">
        <v>6.2617407639323704E-5</v>
      </c>
      <c r="D23923" s="2">
        <v>5.0496823586903402E-3</v>
      </c>
      <c r="E23923" s="2">
        <v>7.6881679095871399E-5</v>
      </c>
      <c r="F23923" s="2">
        <v>3.0475178357934802E-4</v>
      </c>
    </row>
    <row r="23924" spans="1:6" x14ac:dyDescent="0.25">
      <c r="A23924" s="1" t="str">
        <f t="shared" si="887"/>
        <v>35614</v>
      </c>
      <c r="B23924" s="1" t="str">
        <f>"07417"</f>
        <v>07417</v>
      </c>
      <c r="C23924" s="2">
        <v>0</v>
      </c>
      <c r="D23924" s="2">
        <v>1.6289297931259099E-4</v>
      </c>
      <c r="E23924" s="2">
        <v>3.84408395479357E-5</v>
      </c>
      <c r="F23924" s="2">
        <v>1.5628296593812702E-5</v>
      </c>
    </row>
    <row r="23925" spans="1:6" x14ac:dyDescent="0.25">
      <c r="A23925" s="1" t="str">
        <f t="shared" si="887"/>
        <v>35614</v>
      </c>
      <c r="B23925" s="1" t="str">
        <f>"10460"</f>
        <v>10460</v>
      </c>
      <c r="C23925" s="2">
        <v>4.3727823001461002E-3</v>
      </c>
      <c r="D23925" s="2">
        <v>9.7735787587554905E-4</v>
      </c>
      <c r="E23925" s="2">
        <v>7.6881679095871399E-5</v>
      </c>
      <c r="F23925" s="2">
        <v>3.3366413227790201E-3</v>
      </c>
    </row>
    <row r="23926" spans="1:6" x14ac:dyDescent="0.25">
      <c r="A23926" s="1" t="str">
        <f t="shared" si="887"/>
        <v>35614</v>
      </c>
      <c r="B23926" s="1" t="str">
        <f>"10589"</f>
        <v>10589</v>
      </c>
      <c r="C23926" s="2">
        <v>5.8234189104570998E-3</v>
      </c>
      <c r="D23926" s="2">
        <v>2.6062876690014598E-3</v>
      </c>
      <c r="E23926" s="2">
        <v>6.6887060813408099E-3</v>
      </c>
      <c r="F23926" s="2">
        <v>5.8449829260859704E-3</v>
      </c>
    </row>
    <row r="23927" spans="1:6" x14ac:dyDescent="0.25">
      <c r="A23927" s="1" t="str">
        <f t="shared" si="887"/>
        <v>35614</v>
      </c>
      <c r="B23927" s="1" t="str">
        <f>"10977"</f>
        <v>10977</v>
      </c>
      <c r="C23927" s="2">
        <v>5.5103318722604802E-3</v>
      </c>
      <c r="D23927" s="2">
        <v>7.8188630070043907E-3</v>
      </c>
      <c r="E23927" s="2">
        <v>6.2274160067655798E-3</v>
      </c>
      <c r="F23927" s="2">
        <v>5.7668414431168999E-3</v>
      </c>
    </row>
    <row r="23928" spans="1:6" x14ac:dyDescent="0.25">
      <c r="A23928" s="1" t="str">
        <f t="shared" si="887"/>
        <v>35614</v>
      </c>
      <c r="B23928" s="1" t="str">
        <f>"10986"</f>
        <v>10986</v>
      </c>
      <c r="C23928" s="2">
        <v>3.1308703819661798E-5</v>
      </c>
      <c r="D23928" s="2">
        <v>0</v>
      </c>
      <c r="E23928" s="2">
        <v>3.84408395479357E-5</v>
      </c>
      <c r="F23928" s="2">
        <v>3.1256593187625498E-5</v>
      </c>
    </row>
    <row r="23929" spans="1:6" x14ac:dyDescent="0.25">
      <c r="A23929" s="1" t="str">
        <f t="shared" si="887"/>
        <v>35614</v>
      </c>
      <c r="B23929" s="1" t="str">
        <f>"11234"</f>
        <v>11234</v>
      </c>
      <c r="C23929" s="2">
        <v>9.9770402838655799E-3</v>
      </c>
      <c r="D23929" s="2">
        <v>5.86414725525329E-3</v>
      </c>
      <c r="E23929" s="2">
        <v>1.2762358729914601E-2</v>
      </c>
      <c r="F23929" s="2">
        <v>1.0345932345104E-2</v>
      </c>
    </row>
    <row r="23930" spans="1:6" x14ac:dyDescent="0.25">
      <c r="A23930" s="1" t="str">
        <f t="shared" si="887"/>
        <v>35614</v>
      </c>
      <c r="B23930" s="1" t="str">
        <f>"11228"</f>
        <v>11228</v>
      </c>
      <c r="C23930" s="2">
        <v>8.9647255270298397E-3</v>
      </c>
      <c r="D23930" s="2">
        <v>4.8867893793777401E-3</v>
      </c>
      <c r="E23930" s="2">
        <v>1.1455370185284801E-2</v>
      </c>
      <c r="F23930" s="2">
        <v>9.2753940284278705E-3</v>
      </c>
    </row>
    <row r="23931" spans="1:6" x14ac:dyDescent="0.25">
      <c r="A23931" s="1" t="str">
        <f t="shared" si="887"/>
        <v>35614</v>
      </c>
      <c r="B23931" s="1" t="str">
        <f>"11377"</f>
        <v>11377</v>
      </c>
      <c r="C23931" s="2">
        <v>8.9855979962429507E-3</v>
      </c>
      <c r="D23931" s="2">
        <v>7.0043981104414297E-3</v>
      </c>
      <c r="E23931" s="2">
        <v>1.17244560621203E-2</v>
      </c>
      <c r="F23931" s="2">
        <v>9.4473052909598097E-3</v>
      </c>
    </row>
    <row r="23932" spans="1:6" x14ac:dyDescent="0.25">
      <c r="A23932" s="1" t="str">
        <f t="shared" si="887"/>
        <v>35614</v>
      </c>
      <c r="B23932" s="1" t="str">
        <f>"11355"</f>
        <v>11355</v>
      </c>
      <c r="C23932" s="2">
        <v>3.1517428511792902E-3</v>
      </c>
      <c r="D23932" s="2">
        <v>3.4207525655644199E-3</v>
      </c>
      <c r="E23932" s="2">
        <v>4.9973091412316398E-4</v>
      </c>
      <c r="F23932" s="2">
        <v>2.6255538277605399E-3</v>
      </c>
    </row>
    <row r="23933" spans="1:6" x14ac:dyDescent="0.25">
      <c r="A23933" s="1" t="str">
        <f t="shared" si="887"/>
        <v>35614</v>
      </c>
      <c r="B23933" s="1" t="str">
        <f>"11361"</f>
        <v>11361</v>
      </c>
      <c r="C23933" s="2">
        <v>4.3623460655395499E-3</v>
      </c>
      <c r="D23933" s="2">
        <v>7.1672910897540298E-3</v>
      </c>
      <c r="E23933" s="2">
        <v>5.9583301299300298E-3</v>
      </c>
      <c r="F23933" s="2">
        <v>4.8213294991912301E-3</v>
      </c>
    </row>
    <row r="23934" spans="1:6" x14ac:dyDescent="0.25">
      <c r="A23934" s="1" t="str">
        <f t="shared" si="887"/>
        <v>35614</v>
      </c>
      <c r="B23934" s="1" t="str">
        <f>"11364"</f>
        <v>11364</v>
      </c>
      <c r="C23934" s="2">
        <v>5.3016071801294E-3</v>
      </c>
      <c r="D23934" s="2">
        <v>1.4660368138133201E-3</v>
      </c>
      <c r="E23934" s="2">
        <v>6.5349427231490703E-3</v>
      </c>
      <c r="F23934" s="2">
        <v>5.3683198799746798E-3</v>
      </c>
    </row>
    <row r="23935" spans="1:6" x14ac:dyDescent="0.25">
      <c r="A23935" s="1" t="str">
        <f t="shared" si="887"/>
        <v>35614</v>
      </c>
      <c r="B23935" s="1" t="str">
        <f>"11237"</f>
        <v>11237</v>
      </c>
      <c r="C23935" s="2">
        <v>1.4297641410978899E-3</v>
      </c>
      <c r="D23935" s="2">
        <v>5.0496823586903402E-3</v>
      </c>
      <c r="E23935" s="2">
        <v>1.0763435073421999E-3</v>
      </c>
      <c r="F23935" s="2">
        <v>1.53157306619365E-3</v>
      </c>
    </row>
    <row r="23936" spans="1:6" x14ac:dyDescent="0.25">
      <c r="A23936" s="1" t="str">
        <f t="shared" si="887"/>
        <v>35614</v>
      </c>
      <c r="B23936" s="1" t="str">
        <f>"11435"</f>
        <v>11435</v>
      </c>
      <c r="C23936" s="2">
        <v>4.2788561886871199E-3</v>
      </c>
      <c r="D23936" s="2">
        <v>9.6106857794428999E-3</v>
      </c>
      <c r="E23936" s="2">
        <v>5.61236257399861E-3</v>
      </c>
      <c r="F23936" s="2">
        <v>4.8057012025974196E-3</v>
      </c>
    </row>
    <row r="23937" spans="1:6" x14ac:dyDescent="0.25">
      <c r="A23937" s="1" t="str">
        <f t="shared" si="887"/>
        <v>35614</v>
      </c>
      <c r="B23937" s="1" t="str">
        <f>"11423"</f>
        <v>11423</v>
      </c>
      <c r="C23937" s="2">
        <v>1.16885827593404E-3</v>
      </c>
      <c r="D23937" s="2">
        <v>1.4660368138133201E-3</v>
      </c>
      <c r="E23937" s="2">
        <v>1.57607442146536E-3</v>
      </c>
      <c r="F23937" s="2">
        <v>1.2658920240988299E-3</v>
      </c>
    </row>
    <row r="23938" spans="1:6" x14ac:dyDescent="0.25">
      <c r="A23938" s="1" t="str">
        <f t="shared" si="887"/>
        <v>35614</v>
      </c>
      <c r="B23938" s="1" t="str">
        <f>"10012"</f>
        <v>10012</v>
      </c>
      <c r="C23938" s="2">
        <v>1.01231475683573E-3</v>
      </c>
      <c r="D23938" s="2">
        <v>1.9547157517510899E-3</v>
      </c>
      <c r="E23938" s="2">
        <v>7.3037595141077797E-4</v>
      </c>
      <c r="F23938" s="2">
        <v>1.0002109820040101E-3</v>
      </c>
    </row>
    <row r="23939" spans="1:6" x14ac:dyDescent="0.25">
      <c r="A23939" s="1" t="str">
        <f t="shared" si="887"/>
        <v>35614</v>
      </c>
      <c r="B23939" s="1" t="str">
        <f>"10031"</f>
        <v>10031</v>
      </c>
      <c r="C23939" s="2">
        <v>1.66979753704863E-4</v>
      </c>
      <c r="D23939" s="2">
        <v>0</v>
      </c>
      <c r="E23939" s="2">
        <v>1.15322518643807E-4</v>
      </c>
      <c r="F23939" s="2">
        <v>1.4846881764122099E-4</v>
      </c>
    </row>
    <row r="23940" spans="1:6" x14ac:dyDescent="0.25">
      <c r="A23940" s="1" t="str">
        <f t="shared" si="887"/>
        <v>35614</v>
      </c>
      <c r="B23940" s="1" t="str">
        <f>"10014"</f>
        <v>10014</v>
      </c>
      <c r="C23940" s="2">
        <v>9.810060530160709E-4</v>
      </c>
      <c r="D23940" s="2">
        <v>6.6786121518162501E-3</v>
      </c>
      <c r="E23940" s="2">
        <v>4.6129007457522799E-4</v>
      </c>
      <c r="F23940" s="2">
        <v>1.1486797996452299E-3</v>
      </c>
    </row>
    <row r="23941" spans="1:6" x14ac:dyDescent="0.25">
      <c r="A23941" s="1" t="str">
        <f t="shared" si="887"/>
        <v>35614</v>
      </c>
      <c r="B23941" s="1" t="str">
        <f>"10075"</f>
        <v>10075</v>
      </c>
      <c r="C23941" s="2">
        <v>4.5919432268837402E-4</v>
      </c>
      <c r="D23941" s="2">
        <v>1.1402508551881399E-3</v>
      </c>
      <c r="E23941" s="2">
        <v>1.1916660259860001E-3</v>
      </c>
      <c r="F23941" s="2">
        <v>6.4076016034632301E-4</v>
      </c>
    </row>
    <row r="23942" spans="1:6" x14ac:dyDescent="0.25">
      <c r="A23942" s="1" t="str">
        <f t="shared" si="887"/>
        <v>35614</v>
      </c>
      <c r="B23942" s="1" t="str">
        <f>"10472"</f>
        <v>10472</v>
      </c>
      <c r="C23942" s="2">
        <v>1.56543519098309E-4</v>
      </c>
      <c r="D23942" s="2">
        <v>1.6289297931259099E-4</v>
      </c>
      <c r="E23942" s="2">
        <v>7.6881679095871399E-5</v>
      </c>
      <c r="F23942" s="2">
        <v>1.4065466934431401E-4</v>
      </c>
    </row>
    <row r="23943" spans="1:6" x14ac:dyDescent="0.25">
      <c r="A23943" s="1" t="str">
        <f t="shared" si="887"/>
        <v>35614</v>
      </c>
      <c r="B23943" s="1" t="str">
        <f>"11207"</f>
        <v>11207</v>
      </c>
      <c r="C23943" s="2">
        <v>3.4126487163431401E-3</v>
      </c>
      <c r="D23943" s="2">
        <v>3.2578595862518302E-3</v>
      </c>
      <c r="E23943" s="2">
        <v>1.23010686553394E-3</v>
      </c>
      <c r="F23943" s="2">
        <v>2.96156220452751E-3</v>
      </c>
    </row>
    <row r="23944" spans="1:6" x14ac:dyDescent="0.25">
      <c r="A23944" s="1" t="str">
        <f t="shared" si="887"/>
        <v>35614</v>
      </c>
      <c r="B23944" s="1" t="str">
        <f>"11416"</f>
        <v>11416</v>
      </c>
      <c r="C23944" s="2">
        <v>1.95157587142558E-3</v>
      </c>
      <c r="D23944" s="2">
        <v>4.0723244828147903E-3</v>
      </c>
      <c r="E23944" s="2">
        <v>2.7677404474513701E-3</v>
      </c>
      <c r="F23944" s="2">
        <v>2.2192181163214102E-3</v>
      </c>
    </row>
    <row r="23945" spans="1:6" x14ac:dyDescent="0.25">
      <c r="A23945" s="1" t="str">
        <f t="shared" si="887"/>
        <v>35614</v>
      </c>
      <c r="B23945" s="1" t="str">
        <f>"10277"</f>
        <v>10277</v>
      </c>
      <c r="C23945" s="2">
        <v>0</v>
      </c>
      <c r="D23945" s="2">
        <v>0</v>
      </c>
      <c r="E23945" s="2">
        <v>3.84408395479357E-5</v>
      </c>
      <c r="F23945" s="2">
        <v>7.8141482969063694E-6</v>
      </c>
    </row>
    <row r="23946" spans="1:6" x14ac:dyDescent="0.25">
      <c r="A23946" s="1" t="str">
        <f t="shared" si="887"/>
        <v>35614</v>
      </c>
      <c r="B23946" s="1" t="str">
        <f>"10121"</f>
        <v>10121</v>
      </c>
      <c r="C23946" s="2">
        <v>0</v>
      </c>
      <c r="D23946" s="2">
        <v>1.6289297931259099E-4</v>
      </c>
      <c r="E23946" s="2">
        <v>7.6881679095871399E-5</v>
      </c>
      <c r="F23946" s="2">
        <v>2.34424448907191E-5</v>
      </c>
    </row>
    <row r="23947" spans="1:6" x14ac:dyDescent="0.25">
      <c r="A23947" s="1" t="str">
        <f t="shared" si="887"/>
        <v>35614</v>
      </c>
      <c r="B23947" s="1" t="str">
        <f>"07503"</f>
        <v>07503</v>
      </c>
      <c r="C23947" s="2">
        <v>5.8547276142767602E-3</v>
      </c>
      <c r="D23947" s="2">
        <v>2.9320736276266402E-3</v>
      </c>
      <c r="E23947" s="2">
        <v>7.9572537864226901E-3</v>
      </c>
      <c r="F23947" s="2">
        <v>6.1419205613684096E-3</v>
      </c>
    </row>
    <row r="23948" spans="1:6" x14ac:dyDescent="0.25">
      <c r="A23948" s="1" t="str">
        <f t="shared" si="887"/>
        <v>35614</v>
      </c>
      <c r="B23948" s="1" t="str">
        <f>"07650"</f>
        <v>07650</v>
      </c>
      <c r="C23948" s="2">
        <v>5.3955332915883898E-3</v>
      </c>
      <c r="D23948" s="2">
        <v>4.8867893793777398E-4</v>
      </c>
      <c r="E23948" s="2">
        <v>6.9577919581763599E-3</v>
      </c>
      <c r="F23948" s="2">
        <v>5.4777179561313703E-3</v>
      </c>
    </row>
    <row r="23949" spans="1:6" x14ac:dyDescent="0.25">
      <c r="A23949" s="1" t="str">
        <f t="shared" si="887"/>
        <v>35614</v>
      </c>
      <c r="B23949" s="1" t="str">
        <f>"07624"</f>
        <v>07624</v>
      </c>
      <c r="C23949" s="2">
        <v>2.1916092673763301E-4</v>
      </c>
      <c r="D23949" s="2">
        <v>0</v>
      </c>
      <c r="E23949" s="2">
        <v>4.22849235027292E-4</v>
      </c>
      <c r="F23949" s="2">
        <v>2.5005274550100398E-4</v>
      </c>
    </row>
    <row r="23950" spans="1:6" x14ac:dyDescent="0.25">
      <c r="A23950" s="1" t="str">
        <f t="shared" si="887"/>
        <v>35614</v>
      </c>
      <c r="B23950" s="1" t="str">
        <f>"07011"</f>
        <v>07011</v>
      </c>
      <c r="C23950" s="2">
        <v>5.8234189104570998E-3</v>
      </c>
      <c r="D23950" s="2">
        <v>3.2578595862518302E-4</v>
      </c>
      <c r="E23950" s="2">
        <v>7.1499961559160401E-3</v>
      </c>
      <c r="F23950" s="2">
        <v>5.8293546294921504E-3</v>
      </c>
    </row>
    <row r="23951" spans="1:6" x14ac:dyDescent="0.25">
      <c r="A23951" s="1" t="str">
        <f t="shared" si="887"/>
        <v>35614</v>
      </c>
      <c r="B23951" s="1" t="str">
        <f>"07073"</f>
        <v>07073</v>
      </c>
      <c r="C23951" s="2">
        <v>1.1062408682947101E-3</v>
      </c>
      <c r="D23951" s="2">
        <v>0</v>
      </c>
      <c r="E23951" s="2">
        <v>1.4607519028215501E-3</v>
      </c>
      <c r="F23951" s="2">
        <v>1.1252373547545099E-3</v>
      </c>
    </row>
    <row r="23952" spans="1:6" x14ac:dyDescent="0.25">
      <c r="A23952" s="1" t="str">
        <f t="shared" si="887"/>
        <v>35614</v>
      </c>
      <c r="B23952" s="1" t="str">
        <f>"10025"</f>
        <v>10025</v>
      </c>
      <c r="C23952" s="2">
        <v>2.5673137132122699E-3</v>
      </c>
      <c r="D23952" s="2">
        <v>2.2805017103762798E-3</v>
      </c>
      <c r="E23952" s="2">
        <v>8.4569847005458497E-4</v>
      </c>
      <c r="F23952" s="2">
        <v>2.2035898197275902E-3</v>
      </c>
    </row>
    <row r="23953" spans="1:6" x14ac:dyDescent="0.25">
      <c r="A23953" s="1" t="str">
        <f t="shared" si="887"/>
        <v>35614</v>
      </c>
      <c r="B23953" s="1" t="str">
        <f>"10022"</f>
        <v>10022</v>
      </c>
      <c r="C23953" s="2">
        <v>5.6460029221456799E-3</v>
      </c>
      <c r="D23953" s="2">
        <v>7.6559700276918E-3</v>
      </c>
      <c r="E23953" s="2">
        <v>1.76827861920504E-3</v>
      </c>
      <c r="F23953" s="2">
        <v>4.9541700202386397E-3</v>
      </c>
    </row>
    <row r="23954" spans="1:6" x14ac:dyDescent="0.25">
      <c r="A23954" s="1" t="str">
        <f t="shared" si="887"/>
        <v>35614</v>
      </c>
      <c r="B23954" s="1" t="str">
        <f>"10038"</f>
        <v>10038</v>
      </c>
      <c r="C23954" s="2">
        <v>3.5170110624086798E-3</v>
      </c>
      <c r="D23954" s="2">
        <v>2.76918064831405E-3</v>
      </c>
      <c r="E23954" s="2">
        <v>1.2685477050818699E-3</v>
      </c>
      <c r="F23954" s="2">
        <v>3.02407539090276E-3</v>
      </c>
    </row>
    <row r="23955" spans="1:6" x14ac:dyDescent="0.25">
      <c r="A23955" s="1" t="str">
        <f t="shared" si="887"/>
        <v>35614</v>
      </c>
      <c r="B23955" s="1" t="str">
        <f>"10701"</f>
        <v>10701</v>
      </c>
      <c r="C23955" s="2">
        <v>7.0131496556042503E-3</v>
      </c>
      <c r="D23955" s="2">
        <v>8.1446489656295798E-4</v>
      </c>
      <c r="E23955" s="2">
        <v>9.2258014915045695E-4</v>
      </c>
      <c r="F23955" s="2">
        <v>5.4777179561313703E-3</v>
      </c>
    </row>
    <row r="23956" spans="1:6" x14ac:dyDescent="0.25">
      <c r="A23956" s="1" t="str">
        <f t="shared" ref="A23956:A24010" si="888">"35614"</f>
        <v>35614</v>
      </c>
      <c r="B23956" s="1" t="str">
        <f>"10605"</f>
        <v>10605</v>
      </c>
      <c r="C23956" s="2">
        <v>2.6716760592778101E-3</v>
      </c>
      <c r="D23956" s="2">
        <v>1.6289297931259101E-3</v>
      </c>
      <c r="E23956" s="2">
        <v>9.6102098869839305E-4</v>
      </c>
      <c r="F23956" s="2">
        <v>2.2739171543997498E-3</v>
      </c>
    </row>
    <row r="23957" spans="1:6" x14ac:dyDescent="0.25">
      <c r="A23957" s="1" t="str">
        <f t="shared" si="888"/>
        <v>35614</v>
      </c>
      <c r="B23957" s="1" t="str">
        <f>"10801"</f>
        <v>10801</v>
      </c>
      <c r="C23957" s="2">
        <v>4.7589229805886004E-3</v>
      </c>
      <c r="D23957" s="2">
        <v>1.4660368138133201E-3</v>
      </c>
      <c r="E23957" s="2">
        <v>6.1505343276697098E-4</v>
      </c>
      <c r="F23957" s="2">
        <v>3.7586053308119598E-3</v>
      </c>
    </row>
    <row r="23958" spans="1:6" x14ac:dyDescent="0.25">
      <c r="A23958" s="1" t="str">
        <f t="shared" si="888"/>
        <v>35614</v>
      </c>
      <c r="B23958" s="1" t="str">
        <f>"10580"</f>
        <v>10580</v>
      </c>
      <c r="C23958" s="2">
        <v>1.7637236485076101E-3</v>
      </c>
      <c r="D23958" s="2">
        <v>4.0723244828147903E-3</v>
      </c>
      <c r="E23958" s="2">
        <v>1.3838702237256801E-3</v>
      </c>
      <c r="F23958" s="2">
        <v>1.7972541082884601E-3</v>
      </c>
    </row>
    <row r="23959" spans="1:6" x14ac:dyDescent="0.25">
      <c r="A23959" s="1" t="str">
        <f t="shared" si="888"/>
        <v>35614</v>
      </c>
      <c r="B23959" s="1" t="str">
        <f>"10573"</f>
        <v>10573</v>
      </c>
      <c r="C23959" s="2">
        <v>7.4097265706532999E-3</v>
      </c>
      <c r="D23959" s="2">
        <v>1.1565401531194E-2</v>
      </c>
      <c r="E23959" s="2">
        <v>8.1878988237103004E-3</v>
      </c>
      <c r="F23959" s="2">
        <v>7.7672634071249396E-3</v>
      </c>
    </row>
    <row r="23960" spans="1:6" x14ac:dyDescent="0.25">
      <c r="A23960" s="1" t="str">
        <f t="shared" si="888"/>
        <v>35614</v>
      </c>
      <c r="B23960" s="1" t="str">
        <f>"12563"</f>
        <v>12563</v>
      </c>
      <c r="C23960" s="2">
        <v>1.66979753704863E-4</v>
      </c>
      <c r="D23960" s="2">
        <v>9.7735787587554905E-4</v>
      </c>
      <c r="E23960" s="2">
        <v>2.3064503728761399E-4</v>
      </c>
      <c r="F23960" s="2">
        <v>2.18796152313378E-4</v>
      </c>
    </row>
    <row r="23961" spans="1:6" x14ac:dyDescent="0.25">
      <c r="A23961" s="1" t="str">
        <f t="shared" si="888"/>
        <v>35614</v>
      </c>
      <c r="B23961" s="1" t="str">
        <f>"10960"</f>
        <v>10960</v>
      </c>
      <c r="C23961" s="2">
        <v>4.1223126695888101E-3</v>
      </c>
      <c r="D23961" s="2">
        <v>6.5157191725036603E-3</v>
      </c>
      <c r="E23961" s="2">
        <v>4.1900515107249903E-3</v>
      </c>
      <c r="F23961" s="2">
        <v>4.2508966735170699E-3</v>
      </c>
    </row>
    <row r="23962" spans="1:6" x14ac:dyDescent="0.25">
      <c r="A23962" s="1" t="str">
        <f t="shared" si="888"/>
        <v>35614</v>
      </c>
      <c r="B23962" s="1" t="str">
        <f>"07030"</f>
        <v>07030</v>
      </c>
      <c r="C23962" s="2">
        <v>5.6877478605719001E-3</v>
      </c>
      <c r="D23962" s="2">
        <v>1.9547157517510899E-3</v>
      </c>
      <c r="E23962" s="2">
        <v>8.5723072191896607E-3</v>
      </c>
      <c r="F23962" s="2">
        <v>6.0950356715869696E-3</v>
      </c>
    </row>
    <row r="23963" spans="1:6" x14ac:dyDescent="0.25">
      <c r="A23963" s="1" t="str">
        <f t="shared" si="888"/>
        <v>35614</v>
      </c>
      <c r="B23963" s="1" t="str">
        <f>"07302"</f>
        <v>07302</v>
      </c>
      <c r="C23963" s="2">
        <v>2.0966395324566799E-2</v>
      </c>
      <c r="D23963" s="2">
        <v>9.7735787587554905E-4</v>
      </c>
      <c r="E23963" s="2">
        <v>6.9962327977242996E-3</v>
      </c>
      <c r="F23963" s="2">
        <v>1.7167683808303299E-2</v>
      </c>
    </row>
    <row r="23964" spans="1:6" x14ac:dyDescent="0.25">
      <c r="A23964" s="1" t="str">
        <f t="shared" si="888"/>
        <v>35614</v>
      </c>
      <c r="B23964" s="1" t="str">
        <f>"11215"</f>
        <v>11215</v>
      </c>
      <c r="C23964" s="2">
        <v>1.4558547276142701E-2</v>
      </c>
      <c r="D23964" s="2">
        <v>1.14025085518814E-2</v>
      </c>
      <c r="E23964" s="2">
        <v>1.69908510801875E-2</v>
      </c>
      <c r="F23964" s="2">
        <v>1.4901580802200399E-2</v>
      </c>
    </row>
    <row r="23965" spans="1:6" x14ac:dyDescent="0.25">
      <c r="A23965" s="1" t="str">
        <f t="shared" si="888"/>
        <v>35614</v>
      </c>
      <c r="B23965" s="1" t="str">
        <f>"11365"</f>
        <v>11365</v>
      </c>
      <c r="C23965" s="2">
        <v>6.8879148403256101E-4</v>
      </c>
      <c r="D23965" s="2">
        <v>1.7918227724385001E-3</v>
      </c>
      <c r="E23965" s="2">
        <v>5.2663950180671902E-3</v>
      </c>
      <c r="F23965" s="2">
        <v>1.6722277355379601E-3</v>
      </c>
    </row>
    <row r="23966" spans="1:6" x14ac:dyDescent="0.25">
      <c r="A23966" s="1" t="str">
        <f t="shared" si="888"/>
        <v>35614</v>
      </c>
      <c r="B23966" s="1" t="str">
        <f>"11434"</f>
        <v>11434</v>
      </c>
      <c r="C23966" s="2">
        <v>4.18493007722813E-3</v>
      </c>
      <c r="D23966" s="2">
        <v>1.6777976869196898E-2</v>
      </c>
      <c r="E23966" s="2">
        <v>6.3427385254093901E-3</v>
      </c>
      <c r="F23966" s="2">
        <v>5.2276652106303598E-3</v>
      </c>
    </row>
    <row r="23967" spans="1:6" x14ac:dyDescent="0.25">
      <c r="A23967" s="1" t="str">
        <f t="shared" si="888"/>
        <v>35614</v>
      </c>
      <c r="B23967" s="1" t="str">
        <f>"10520"</f>
        <v>10520</v>
      </c>
      <c r="C23967" s="2">
        <v>3.1308703819661798E-5</v>
      </c>
      <c r="D23967" s="2">
        <v>0</v>
      </c>
      <c r="E23967" s="2">
        <v>6.1505343276697098E-4</v>
      </c>
      <c r="F23967" s="2">
        <v>1.4846881764122099E-4</v>
      </c>
    </row>
    <row r="23968" spans="1:6" x14ac:dyDescent="0.25">
      <c r="A23968" s="1" t="str">
        <f t="shared" si="888"/>
        <v>35614</v>
      </c>
      <c r="B23968" s="1" t="str">
        <f>"10457"</f>
        <v>10457</v>
      </c>
      <c r="C23968" s="2">
        <v>9.2882487998330199E-3</v>
      </c>
      <c r="D23968" s="2">
        <v>0</v>
      </c>
      <c r="E23968" s="2">
        <v>3.8440839547935698E-4</v>
      </c>
      <c r="F23968" s="2">
        <v>7.0327334672157403E-3</v>
      </c>
    </row>
    <row r="23969" spans="1:6" x14ac:dyDescent="0.25">
      <c r="A23969" s="1" t="str">
        <f t="shared" si="888"/>
        <v>35614</v>
      </c>
      <c r="B23969" s="1" t="str">
        <f>"10040"</f>
        <v>10040</v>
      </c>
      <c r="C23969" s="2">
        <v>1.04362346065539E-5</v>
      </c>
      <c r="D23969" s="2">
        <v>0</v>
      </c>
      <c r="E23969" s="2">
        <v>2.6908587683554998E-4</v>
      </c>
      <c r="F23969" s="2">
        <v>6.2513186375250996E-5</v>
      </c>
    </row>
    <row r="23970" spans="1:6" x14ac:dyDescent="0.25">
      <c r="A23970" s="1" t="str">
        <f t="shared" si="888"/>
        <v>35614</v>
      </c>
      <c r="B23970" s="1" t="str">
        <f>"10552"</f>
        <v>10552</v>
      </c>
      <c r="C23970" s="2">
        <v>2.10811939052389E-3</v>
      </c>
      <c r="D23970" s="2">
        <v>3.2578595862518302E-4</v>
      </c>
      <c r="E23970" s="2">
        <v>2.6908587683554998E-3</v>
      </c>
      <c r="F23970" s="2">
        <v>2.1410766333523402E-3</v>
      </c>
    </row>
    <row r="23971" spans="1:6" x14ac:dyDescent="0.25">
      <c r="A23971" s="1" t="str">
        <f t="shared" si="888"/>
        <v>35614</v>
      </c>
      <c r="B23971" s="1" t="str">
        <f>"10954"</f>
        <v>10954</v>
      </c>
      <c r="C23971" s="2">
        <v>5.73992903360467E-4</v>
      </c>
      <c r="D23971" s="2">
        <v>5.21257533800293E-3</v>
      </c>
      <c r="E23971" s="2">
        <v>9.6102098869839305E-4</v>
      </c>
      <c r="F23971" s="2">
        <v>8.7518460925351395E-4</v>
      </c>
    </row>
    <row r="23972" spans="1:6" x14ac:dyDescent="0.25">
      <c r="A23972" s="1" t="str">
        <f t="shared" si="888"/>
        <v>35614</v>
      </c>
      <c r="B23972" s="1" t="str">
        <f>"10306"</f>
        <v>10306</v>
      </c>
      <c r="C23972" s="2">
        <v>6.2617407639323704E-5</v>
      </c>
      <c r="D23972" s="2">
        <v>1.6289297931259099E-4</v>
      </c>
      <c r="E23972" s="2">
        <v>7.6881679095871399E-5</v>
      </c>
      <c r="F23972" s="2">
        <v>7.0327334672157398E-5</v>
      </c>
    </row>
    <row r="23973" spans="1:6" x14ac:dyDescent="0.25">
      <c r="A23973" s="1" t="str">
        <f t="shared" si="888"/>
        <v>35614</v>
      </c>
      <c r="B23973" s="1" t="str">
        <f>"11218"</f>
        <v>11218</v>
      </c>
      <c r="C23973" s="2">
        <v>2.2437904404091001E-3</v>
      </c>
      <c r="D23973" s="2">
        <v>1.1402508551881399E-3</v>
      </c>
      <c r="E23973" s="2">
        <v>2.88306296609517E-3</v>
      </c>
      <c r="F23973" s="2">
        <v>2.3208020441811898E-3</v>
      </c>
    </row>
    <row r="23974" spans="1:6" x14ac:dyDescent="0.25">
      <c r="A23974" s="1" t="str">
        <f t="shared" si="888"/>
        <v>35614</v>
      </c>
      <c r="B23974" s="1" t="str">
        <f>"10510"</f>
        <v>10510</v>
      </c>
      <c r="C23974" s="2">
        <v>2.7134209977040199E-3</v>
      </c>
      <c r="D23974" s="2">
        <v>2.11760873106369E-3</v>
      </c>
      <c r="E23974" s="2">
        <v>1.92204197739678E-4</v>
      </c>
      <c r="F23974" s="2">
        <v>2.1723332265399702E-3</v>
      </c>
    </row>
    <row r="23975" spans="1:6" x14ac:dyDescent="0.25">
      <c r="A23975" s="1" t="str">
        <f t="shared" si="888"/>
        <v>35614</v>
      </c>
      <c r="B23975" s="1" t="str">
        <f>"10980"</f>
        <v>10980</v>
      </c>
      <c r="C23975" s="2">
        <v>4.9050302650803501E-4</v>
      </c>
      <c r="D23975" s="2">
        <v>1.6289297931259101E-3</v>
      </c>
      <c r="E23975" s="2">
        <v>8.0725763050664995E-4</v>
      </c>
      <c r="F23975" s="2">
        <v>6.0950356715869702E-4</v>
      </c>
    </row>
    <row r="23976" spans="1:6" x14ac:dyDescent="0.25">
      <c r="A23976" s="1" t="str">
        <f t="shared" si="888"/>
        <v>35614</v>
      </c>
      <c r="B23976" s="1" t="str">
        <f>"11436"</f>
        <v>11436</v>
      </c>
      <c r="C23976" s="2">
        <v>1.7324149446879501E-3</v>
      </c>
      <c r="D23976" s="2">
        <v>1.4660368138133201E-3</v>
      </c>
      <c r="E23976" s="2">
        <v>2.3448912124240701E-3</v>
      </c>
      <c r="F23976" s="2">
        <v>1.8441389980699001E-3</v>
      </c>
    </row>
    <row r="23977" spans="1:6" x14ac:dyDescent="0.25">
      <c r="A23977" s="1" t="str">
        <f t="shared" si="888"/>
        <v>35614</v>
      </c>
      <c r="B23977" s="1" t="str">
        <f>"07652"</f>
        <v>07652</v>
      </c>
      <c r="C23977" s="2">
        <v>1.0018785222291699E-3</v>
      </c>
      <c r="D23977" s="2">
        <v>3.2578595862518302E-4</v>
      </c>
      <c r="E23977" s="2">
        <v>3.9209656338894403E-3</v>
      </c>
      <c r="F23977" s="2">
        <v>1.56282965938127E-3</v>
      </c>
    </row>
    <row r="23978" spans="1:6" x14ac:dyDescent="0.25">
      <c r="A23978" s="1" t="str">
        <f t="shared" si="888"/>
        <v>35614</v>
      </c>
      <c r="B23978" s="1" t="str">
        <f>"10467"</f>
        <v>10467</v>
      </c>
      <c r="C23978" s="2">
        <v>4.9050302650803504E-3</v>
      </c>
      <c r="D23978" s="2">
        <v>6.5157191725036603E-4</v>
      </c>
      <c r="E23978" s="2">
        <v>1.03790266779426E-3</v>
      </c>
      <c r="F23978" s="2">
        <v>3.9148882967500898E-3</v>
      </c>
    </row>
    <row r="23979" spans="1:6" x14ac:dyDescent="0.25">
      <c r="A23979" s="1" t="str">
        <f t="shared" si="888"/>
        <v>35614</v>
      </c>
      <c r="B23979" s="1" t="str">
        <f>"10303"</f>
        <v>10303</v>
      </c>
      <c r="C23979" s="2">
        <v>0</v>
      </c>
      <c r="D23979" s="2">
        <v>0</v>
      </c>
      <c r="E23979" s="2">
        <v>7.6881679095871399E-5</v>
      </c>
      <c r="F23979" s="2">
        <v>1.5628296593812702E-5</v>
      </c>
    </row>
    <row r="23980" spans="1:6" x14ac:dyDescent="0.25">
      <c r="A23980" s="1" t="str">
        <f t="shared" si="888"/>
        <v>35614</v>
      </c>
      <c r="B23980" s="1" t="str">
        <f>"11360"</f>
        <v>11360</v>
      </c>
      <c r="C23980" s="2">
        <v>7.9837194740137694E-3</v>
      </c>
      <c r="D23980" s="2">
        <v>8.1446489656295798E-4</v>
      </c>
      <c r="E23980" s="2">
        <v>9.8792957638194796E-3</v>
      </c>
      <c r="F23980" s="2">
        <v>8.0251303009228492E-3</v>
      </c>
    </row>
    <row r="23981" spans="1:6" x14ac:dyDescent="0.25">
      <c r="A23981" s="1" t="str">
        <f t="shared" si="888"/>
        <v>35614</v>
      </c>
      <c r="B23981" s="1" t="str">
        <f>"11374"</f>
        <v>11374</v>
      </c>
      <c r="C23981" s="2">
        <v>1.2210394489668101E-3</v>
      </c>
      <c r="D23981" s="2">
        <v>1.4660368138133201E-3</v>
      </c>
      <c r="E23981" s="2">
        <v>1.57607442146536E-3</v>
      </c>
      <c r="F23981" s="2">
        <v>1.30496276558336E-3</v>
      </c>
    </row>
    <row r="23982" spans="1:6" x14ac:dyDescent="0.25">
      <c r="A23982" s="1" t="str">
        <f t="shared" si="888"/>
        <v>35614</v>
      </c>
      <c r="B23982" s="1" t="str">
        <f>"10124"</f>
        <v>10124</v>
      </c>
      <c r="C23982" s="2">
        <v>0</v>
      </c>
      <c r="D23982" s="2">
        <v>0</v>
      </c>
      <c r="E23982" s="2">
        <v>3.84408395479357E-5</v>
      </c>
      <c r="F23982" s="2">
        <v>7.8141482969063694E-6</v>
      </c>
    </row>
    <row r="23983" spans="1:6" x14ac:dyDescent="0.25">
      <c r="A23983" s="1" t="str">
        <f t="shared" si="888"/>
        <v>35614</v>
      </c>
      <c r="B23983" s="1" t="str">
        <f>"10280"</f>
        <v>10280</v>
      </c>
      <c r="C23983" s="2">
        <v>0</v>
      </c>
      <c r="D23983" s="2">
        <v>1.6289297931259099E-4</v>
      </c>
      <c r="E23983" s="2">
        <v>3.84408395479357E-5</v>
      </c>
      <c r="F23983" s="2">
        <v>1.5628296593812702E-5</v>
      </c>
    </row>
    <row r="23984" spans="1:6" x14ac:dyDescent="0.25">
      <c r="A23984" s="1" t="str">
        <f t="shared" si="888"/>
        <v>35614</v>
      </c>
      <c r="B23984" s="1" t="str">
        <f>"10471"</f>
        <v>10471</v>
      </c>
      <c r="C23984" s="2">
        <v>1.04362346065539E-5</v>
      </c>
      <c r="D23984" s="2">
        <v>0</v>
      </c>
      <c r="E23984" s="2">
        <v>0</v>
      </c>
      <c r="F23984" s="2">
        <v>7.8141482969063694E-6</v>
      </c>
    </row>
    <row r="23985" spans="1:6" x14ac:dyDescent="0.25">
      <c r="A23985" s="1" t="str">
        <f t="shared" si="888"/>
        <v>35614</v>
      </c>
      <c r="B23985" s="1" t="str">
        <f>"10111"</f>
        <v>10111</v>
      </c>
      <c r="C23985" s="2">
        <v>0</v>
      </c>
      <c r="D23985" s="2">
        <v>0</v>
      </c>
      <c r="E23985" s="2">
        <v>3.84408395479357E-5</v>
      </c>
      <c r="F23985" s="2">
        <v>7.8141482969063694E-6</v>
      </c>
    </row>
    <row r="23986" spans="1:6" x14ac:dyDescent="0.25">
      <c r="A23986" s="1" t="str">
        <f t="shared" si="888"/>
        <v>35614</v>
      </c>
      <c r="B23986" s="1" t="str">
        <f>"07075"</f>
        <v>07075</v>
      </c>
      <c r="C23986" s="2">
        <v>5.1137549572114296E-4</v>
      </c>
      <c r="D23986" s="2">
        <v>0</v>
      </c>
      <c r="E23986" s="2">
        <v>0</v>
      </c>
      <c r="F23986" s="2">
        <v>3.8289326654841201E-4</v>
      </c>
    </row>
    <row r="23987" spans="1:6" x14ac:dyDescent="0.25">
      <c r="A23987" s="1" t="str">
        <f t="shared" si="888"/>
        <v>35614</v>
      </c>
      <c r="B23987" s="1" t="str">
        <f>"10126"</f>
        <v>10126</v>
      </c>
      <c r="C23987" s="2">
        <v>0</v>
      </c>
      <c r="D23987" s="2">
        <v>0</v>
      </c>
      <c r="E23987" s="2">
        <v>1.92204197739678E-4</v>
      </c>
      <c r="F23987" s="2">
        <v>3.9070741484531798E-5</v>
      </c>
    </row>
    <row r="23988" spans="1:6" x14ac:dyDescent="0.25">
      <c r="A23988" s="1" t="str">
        <f t="shared" si="888"/>
        <v>35614</v>
      </c>
      <c r="B23988" s="1" t="str">
        <f>"10133"</f>
        <v>10133</v>
      </c>
      <c r="C23988" s="2">
        <v>0</v>
      </c>
      <c r="D23988" s="2">
        <v>0</v>
      </c>
      <c r="E23988" s="2">
        <v>3.84408395479357E-5</v>
      </c>
      <c r="F23988" s="2">
        <v>7.8141482969063694E-6</v>
      </c>
    </row>
    <row r="23989" spans="1:6" x14ac:dyDescent="0.25">
      <c r="A23989" s="1" t="str">
        <f t="shared" si="888"/>
        <v>35614</v>
      </c>
      <c r="B23989" s="1" t="str">
        <f>"10167"</f>
        <v>10167</v>
      </c>
      <c r="C23989" s="2">
        <v>0</v>
      </c>
      <c r="D23989" s="2">
        <v>1.6289297931259099E-4</v>
      </c>
      <c r="E23989" s="2">
        <v>1.15322518643807E-4</v>
      </c>
      <c r="F23989" s="2">
        <v>3.1256593187625498E-5</v>
      </c>
    </row>
    <row r="23990" spans="1:6" x14ac:dyDescent="0.25">
      <c r="A23990" s="1" t="str">
        <f t="shared" si="888"/>
        <v>35614</v>
      </c>
      <c r="B23990" s="1" t="str">
        <f>"11422"</f>
        <v>11422</v>
      </c>
      <c r="C23990" s="2">
        <v>2.0872469213107901E-5</v>
      </c>
      <c r="D23990" s="2">
        <v>0</v>
      </c>
      <c r="E23990" s="2">
        <v>7.6881679095871399E-5</v>
      </c>
      <c r="F23990" s="2">
        <v>3.1256593187625498E-5</v>
      </c>
    </row>
    <row r="23991" spans="1:6" x14ac:dyDescent="0.25">
      <c r="A23991" s="1" t="str">
        <f t="shared" si="888"/>
        <v>35614</v>
      </c>
      <c r="B23991" s="1" t="str">
        <f>"07505"</f>
        <v>07505</v>
      </c>
      <c r="C23991" s="2">
        <v>0</v>
      </c>
      <c r="D23991" s="2">
        <v>1.6289297931259099E-4</v>
      </c>
      <c r="E23991" s="2">
        <v>3.84408395479357E-5</v>
      </c>
      <c r="F23991" s="2">
        <v>1.5628296593812702E-5</v>
      </c>
    </row>
    <row r="23992" spans="1:6" x14ac:dyDescent="0.25">
      <c r="A23992" s="1" t="str">
        <f t="shared" si="888"/>
        <v>35614</v>
      </c>
      <c r="B23992" s="1" t="str">
        <f>"10160"</f>
        <v>10160</v>
      </c>
      <c r="C23992" s="2">
        <v>0</v>
      </c>
      <c r="D23992" s="2">
        <v>0</v>
      </c>
      <c r="E23992" s="2">
        <v>7.6881679095871399E-5</v>
      </c>
      <c r="F23992" s="2">
        <v>1.5628296593812702E-5</v>
      </c>
    </row>
    <row r="23993" spans="1:6" x14ac:dyDescent="0.25">
      <c r="A23993" s="1" t="str">
        <f t="shared" si="888"/>
        <v>35614</v>
      </c>
      <c r="B23993" s="1" t="str">
        <f>"10549"</f>
        <v>10549</v>
      </c>
      <c r="C23993" s="2">
        <v>2.0872469213107901E-5</v>
      </c>
      <c r="D23993" s="2">
        <v>6.5157191725036603E-4</v>
      </c>
      <c r="E23993" s="2">
        <v>3.84408395479357E-5</v>
      </c>
      <c r="F23993" s="2">
        <v>5.4699038078344601E-5</v>
      </c>
    </row>
    <row r="23994" spans="1:6" x14ac:dyDescent="0.25">
      <c r="A23994" s="1" t="str">
        <f t="shared" si="888"/>
        <v>35614</v>
      </c>
      <c r="B23994" s="1" t="str">
        <f>"10583"</f>
        <v>10583</v>
      </c>
      <c r="C23994" s="2">
        <v>1.46107284491755E-4</v>
      </c>
      <c r="D23994" s="2">
        <v>4.8867893793777398E-4</v>
      </c>
      <c r="E23994" s="2">
        <v>3.84408395479357E-5</v>
      </c>
      <c r="F23994" s="2">
        <v>1.4065466934431401E-4</v>
      </c>
    </row>
    <row r="23995" spans="1:6" x14ac:dyDescent="0.25">
      <c r="A23995" s="1" t="str">
        <f t="shared" si="888"/>
        <v>35614</v>
      </c>
      <c r="B23995" s="1" t="str">
        <f>"11104"</f>
        <v>11104</v>
      </c>
      <c r="C23995" s="2">
        <v>4.1744938426215803E-5</v>
      </c>
      <c r="D23995" s="2">
        <v>8.1446489656295798E-4</v>
      </c>
      <c r="E23995" s="2">
        <v>1.92204197739678E-4</v>
      </c>
      <c r="F23995" s="2">
        <v>1.09398076156689E-4</v>
      </c>
    </row>
    <row r="23996" spans="1:6" x14ac:dyDescent="0.25">
      <c r="A23996" s="1" t="str">
        <f t="shared" si="888"/>
        <v>35614</v>
      </c>
      <c r="B23996" s="1" t="str">
        <f>"10021"</f>
        <v>10021</v>
      </c>
      <c r="C23996" s="2">
        <v>0</v>
      </c>
      <c r="D23996" s="2">
        <v>1.6289297931259099E-4</v>
      </c>
      <c r="E23996" s="2">
        <v>7.6881679095871399E-5</v>
      </c>
      <c r="F23996" s="2">
        <v>2.34424448907191E-5</v>
      </c>
    </row>
    <row r="23997" spans="1:6" x14ac:dyDescent="0.25">
      <c r="A23997" s="1" t="str">
        <f t="shared" si="888"/>
        <v>35614</v>
      </c>
      <c r="B23997" s="1" t="str">
        <f>"10983"</f>
        <v>10983</v>
      </c>
      <c r="C23997" s="2">
        <v>5.21811730327697E-5</v>
      </c>
      <c r="D23997" s="2">
        <v>6.5157191725036603E-4</v>
      </c>
      <c r="E23997" s="2">
        <v>1.15322518643807E-4</v>
      </c>
      <c r="F23997" s="2">
        <v>9.3769779562876494E-5</v>
      </c>
    </row>
    <row r="23998" spans="1:6" x14ac:dyDescent="0.25">
      <c r="A23998" s="1" t="str">
        <f t="shared" si="888"/>
        <v>35614</v>
      </c>
      <c r="B23998" s="1" t="str">
        <f>"07481"</f>
        <v>07481</v>
      </c>
      <c r="C23998" s="2">
        <v>0</v>
      </c>
      <c r="D23998" s="2">
        <v>3.2578595862518302E-4</v>
      </c>
      <c r="E23998" s="2">
        <v>1.5376335819174201E-4</v>
      </c>
      <c r="F23998" s="2">
        <v>4.68848897814382E-5</v>
      </c>
    </row>
    <row r="23999" spans="1:6" x14ac:dyDescent="0.25">
      <c r="A23999" s="1" t="str">
        <f t="shared" si="888"/>
        <v>35614</v>
      </c>
      <c r="B23999" s="1" t="str">
        <f>"07604"</f>
        <v>07604</v>
      </c>
      <c r="C23999" s="2">
        <v>2.1916092673763301E-4</v>
      </c>
      <c r="D23999" s="2">
        <v>3.5836455448770102E-3</v>
      </c>
      <c r="E23999" s="2">
        <v>3.07526716383485E-4</v>
      </c>
      <c r="F23999" s="2">
        <v>3.9852156314222501E-4</v>
      </c>
    </row>
    <row r="24000" spans="1:6" x14ac:dyDescent="0.25">
      <c r="A24000" s="1" t="str">
        <f t="shared" si="888"/>
        <v>35614</v>
      </c>
      <c r="B24000" s="1" t="str">
        <f>"10309"</f>
        <v>10309</v>
      </c>
      <c r="C24000" s="2">
        <v>4.27885618868712E-4</v>
      </c>
      <c r="D24000" s="2">
        <v>0</v>
      </c>
      <c r="E24000" s="2">
        <v>1.15322518643807E-4</v>
      </c>
      <c r="F24000" s="2">
        <v>3.4382252506387999E-4</v>
      </c>
    </row>
    <row r="24001" spans="1:6" x14ac:dyDescent="0.25">
      <c r="A24001" s="1" t="str">
        <f t="shared" si="888"/>
        <v>35614</v>
      </c>
      <c r="B24001" s="1" t="str">
        <f>"10118"</f>
        <v>10118</v>
      </c>
      <c r="C24001" s="2">
        <v>0</v>
      </c>
      <c r="D24001" s="2">
        <v>8.1446489656295798E-4</v>
      </c>
      <c r="E24001" s="2">
        <v>3.84408395479357E-5</v>
      </c>
      <c r="F24001" s="2">
        <v>4.68848897814382E-5</v>
      </c>
    </row>
    <row r="24002" spans="1:6" x14ac:dyDescent="0.25">
      <c r="A24002" s="1" t="str">
        <f t="shared" si="888"/>
        <v>35614</v>
      </c>
      <c r="B24002" s="1" t="str">
        <f>"10033"</f>
        <v>10033</v>
      </c>
      <c r="C24002" s="2">
        <v>4.3832185347526603E-4</v>
      </c>
      <c r="D24002" s="2">
        <v>1.6289297931259099E-4</v>
      </c>
      <c r="E24002" s="2">
        <v>3.84408395479357E-5</v>
      </c>
      <c r="F24002" s="2">
        <v>3.4382252506387999E-4</v>
      </c>
    </row>
    <row r="24003" spans="1:6" x14ac:dyDescent="0.25">
      <c r="A24003" s="1" t="str">
        <f t="shared" si="888"/>
        <v>35614</v>
      </c>
      <c r="B24003" s="1" t="str">
        <f>"10598"</f>
        <v>10598</v>
      </c>
      <c r="C24003" s="2">
        <v>5.4268419954080498E-4</v>
      </c>
      <c r="D24003" s="2">
        <v>3.2578595862518302E-3</v>
      </c>
      <c r="E24003" s="2">
        <v>8.4569847005458497E-4</v>
      </c>
      <c r="F24003" s="2">
        <v>7.3452993990919902E-4</v>
      </c>
    </row>
    <row r="24004" spans="1:6" x14ac:dyDescent="0.25">
      <c r="A24004" s="1" t="str">
        <f t="shared" si="888"/>
        <v>35614</v>
      </c>
      <c r="B24004" s="1" t="str">
        <f>"10993"</f>
        <v>10993</v>
      </c>
      <c r="C24004" s="2">
        <v>5.5312043414735895E-4</v>
      </c>
      <c r="D24004" s="2">
        <v>8.1446489656295798E-4</v>
      </c>
      <c r="E24004" s="2">
        <v>7.3037595141077797E-4</v>
      </c>
      <c r="F24004" s="2">
        <v>6.0168941886179104E-4</v>
      </c>
    </row>
    <row r="24005" spans="1:6" x14ac:dyDescent="0.25">
      <c r="A24005" s="1" t="str">
        <f t="shared" si="888"/>
        <v>35614</v>
      </c>
      <c r="B24005" s="1" t="str">
        <f>"07524"</f>
        <v>07524</v>
      </c>
      <c r="C24005" s="2">
        <v>5.9173450219160897E-3</v>
      </c>
      <c r="D24005" s="2">
        <v>1.6289297931259099E-4</v>
      </c>
      <c r="E24005" s="2">
        <v>7.3422003536557203E-3</v>
      </c>
      <c r="F24005" s="2">
        <v>5.93093855735194E-3</v>
      </c>
    </row>
    <row r="24006" spans="1:6" x14ac:dyDescent="0.25">
      <c r="A24006" s="1" t="str">
        <f t="shared" si="888"/>
        <v>35614</v>
      </c>
      <c r="B24006" s="1" t="str">
        <f>"07410"</f>
        <v>07410</v>
      </c>
      <c r="C24006" s="2">
        <v>5.1137549572114296E-4</v>
      </c>
      <c r="D24006" s="2">
        <v>2.9320736276266402E-3</v>
      </c>
      <c r="E24006" s="2">
        <v>6.5349427231490697E-4</v>
      </c>
      <c r="F24006" s="2">
        <v>6.5638845694013497E-4</v>
      </c>
    </row>
    <row r="24007" spans="1:6" x14ac:dyDescent="0.25">
      <c r="A24007" s="1" t="str">
        <f t="shared" si="888"/>
        <v>35614</v>
      </c>
      <c r="B24007" s="1" t="str">
        <f>"07502"</f>
        <v>07502</v>
      </c>
      <c r="C24007" s="2">
        <v>2.6612398246712498E-3</v>
      </c>
      <c r="D24007" s="2">
        <v>0</v>
      </c>
      <c r="E24007" s="2">
        <v>3.3059122011224701E-3</v>
      </c>
      <c r="F24007" s="2">
        <v>2.6646245692450699E-3</v>
      </c>
    </row>
    <row r="24008" spans="1:6" x14ac:dyDescent="0.25">
      <c r="A24008" s="1" t="str">
        <f t="shared" si="888"/>
        <v>35614</v>
      </c>
      <c r="B24008" s="1" t="str">
        <f>"07029"</f>
        <v>07029</v>
      </c>
      <c r="C24008" s="2">
        <v>7.8584846587351192E-3</v>
      </c>
      <c r="D24008" s="2">
        <v>8.1446489656295798E-4</v>
      </c>
      <c r="E24008" s="2">
        <v>7.0731144768201703E-3</v>
      </c>
      <c r="F24008" s="2">
        <v>7.3609276956858004E-3</v>
      </c>
    </row>
    <row r="24009" spans="1:6" x14ac:dyDescent="0.25">
      <c r="A24009" s="1" t="str">
        <f t="shared" si="888"/>
        <v>35614</v>
      </c>
      <c r="B24009" s="1" t="str">
        <f>"10178"</f>
        <v>10178</v>
      </c>
      <c r="C24009" s="2">
        <v>0</v>
      </c>
      <c r="D24009" s="2">
        <v>0</v>
      </c>
      <c r="E24009" s="2">
        <v>7.6881679095871399E-5</v>
      </c>
      <c r="F24009" s="2">
        <v>1.5628296593812702E-5</v>
      </c>
    </row>
    <row r="24010" spans="1:6" x14ac:dyDescent="0.25">
      <c r="A24010" s="1" t="str">
        <f t="shared" si="888"/>
        <v>35614</v>
      </c>
      <c r="B24010" s="1" t="str">
        <f>"10117"</f>
        <v>10117</v>
      </c>
      <c r="C24010" s="2">
        <v>0</v>
      </c>
      <c r="D24010" s="2">
        <v>0</v>
      </c>
      <c r="E24010" s="2">
        <v>1.92204197739678E-4</v>
      </c>
      <c r="F24010" s="2">
        <v>3.9070741484531798E-5</v>
      </c>
    </row>
    <row r="24011" spans="1:6" x14ac:dyDescent="0.25">
      <c r="A24011" s="1" t="str">
        <f t="shared" ref="A24011:A24074" si="889">"35620"</f>
        <v>35620</v>
      </c>
      <c r="B24011" s="1" t="str">
        <f>"07074"</f>
        <v>07074</v>
      </c>
      <c r="C24011" s="2">
        <v>1.39852079628167E-4</v>
      </c>
      <c r="D24011" s="2">
        <v>3.9752814276337699E-4</v>
      </c>
      <c r="E24011" s="2">
        <v>5.7635981619361397E-5</v>
      </c>
      <c r="F24011" s="2">
        <v>1.57145287746663E-4</v>
      </c>
    </row>
    <row r="24012" spans="1:6" x14ac:dyDescent="0.25">
      <c r="A24012" s="1" t="str">
        <f t="shared" si="889"/>
        <v>35620</v>
      </c>
      <c r="B24012" s="1" t="str">
        <f>"07036"</f>
        <v>07036</v>
      </c>
      <c r="C24012" s="2">
        <v>2.1117790130327201E-3</v>
      </c>
      <c r="D24012" s="2">
        <v>2.43965869546372E-3</v>
      </c>
      <c r="E24012" s="2">
        <v>2.1115727811456902E-3</v>
      </c>
      <c r="F24012" s="2">
        <v>2.14020496127974E-3</v>
      </c>
    </row>
    <row r="24013" spans="1:6" x14ac:dyDescent="0.25">
      <c r="A24013" s="1" t="str">
        <f t="shared" si="889"/>
        <v>35620</v>
      </c>
      <c r="B24013" s="1" t="str">
        <f>"07202"</f>
        <v>07202</v>
      </c>
      <c r="C24013" s="2">
        <v>1.7941168051126501E-3</v>
      </c>
      <c r="D24013" s="2">
        <v>1.11951850796913E-3</v>
      </c>
      <c r="E24013" s="2">
        <v>3.5699377706053001E-3</v>
      </c>
      <c r="F24013" s="2">
        <v>1.8448190820566899E-3</v>
      </c>
    </row>
    <row r="24014" spans="1:6" x14ac:dyDescent="0.25">
      <c r="A24014" s="1" t="str">
        <f t="shared" si="889"/>
        <v>35620</v>
      </c>
      <c r="B24014" s="1" t="str">
        <f>"07086"</f>
        <v>07086</v>
      </c>
      <c r="C24014" s="2">
        <v>1.00645576872173E-3</v>
      </c>
      <c r="D24014" s="2">
        <v>4.3096508935095101E-4</v>
      </c>
      <c r="E24014" s="2">
        <v>1.9177062975169301E-3</v>
      </c>
      <c r="F24014" s="2">
        <v>1.0125827939766201E-3</v>
      </c>
    </row>
    <row r="24015" spans="1:6" x14ac:dyDescent="0.25">
      <c r="A24015" s="1" t="str">
        <f t="shared" si="889"/>
        <v>35620</v>
      </c>
      <c r="B24015" s="1" t="str">
        <f>"07505"</f>
        <v>07505</v>
      </c>
      <c r="C24015" s="2">
        <v>1.5359768529044901E-4</v>
      </c>
      <c r="D24015" s="2">
        <v>1.07741272337737E-3</v>
      </c>
      <c r="E24015" s="2">
        <v>6.3923543250564495E-4</v>
      </c>
      <c r="F24015" s="2">
        <v>2.6359161731395199E-4</v>
      </c>
    </row>
    <row r="24016" spans="1:6" x14ac:dyDescent="0.25">
      <c r="A24016" s="1" t="str">
        <f t="shared" si="889"/>
        <v>35620</v>
      </c>
      <c r="B24016" s="1" t="str">
        <f>"07601"</f>
        <v>07601</v>
      </c>
      <c r="C24016" s="2">
        <v>2.4879546248729599E-3</v>
      </c>
      <c r="D24016" s="2">
        <v>4.08426110540068E-3</v>
      </c>
      <c r="E24016" s="2">
        <v>4.1253390480282303E-3</v>
      </c>
      <c r="F24016" s="2">
        <v>2.7271098500341998E-3</v>
      </c>
    </row>
    <row r="24017" spans="1:6" x14ac:dyDescent="0.25">
      <c r="A24017" s="1" t="str">
        <f t="shared" si="889"/>
        <v>35620</v>
      </c>
      <c r="B24017" s="1" t="str">
        <f>"07603"</f>
        <v>07603</v>
      </c>
      <c r="C24017" s="2">
        <v>3.6318664502175101E-4</v>
      </c>
      <c r="D24017" s="2">
        <v>2.6749557270058999E-4</v>
      </c>
      <c r="E24017" s="2">
        <v>3.0739190196992698E-4</v>
      </c>
      <c r="F24017" s="2">
        <v>3.5145548975193598E-4</v>
      </c>
    </row>
    <row r="24018" spans="1:6" x14ac:dyDescent="0.25">
      <c r="A24018" s="1" t="str">
        <f t="shared" si="889"/>
        <v>35620</v>
      </c>
      <c r="B24018" s="1" t="str">
        <f>"07605"</f>
        <v>07605</v>
      </c>
      <c r="C24018" s="2">
        <v>4.3317573807281798E-4</v>
      </c>
      <c r="D24018" s="2">
        <v>2.4520427497554099E-4</v>
      </c>
      <c r="E24018" s="2">
        <v>7.0909722840790197E-4</v>
      </c>
      <c r="F24018" s="2">
        <v>4.3384129679341902E-4</v>
      </c>
    </row>
    <row r="24019" spans="1:6" x14ac:dyDescent="0.25">
      <c r="A24019" s="1" t="str">
        <f t="shared" si="889"/>
        <v>35620</v>
      </c>
      <c r="B24019" s="1" t="str">
        <f>"07423"</f>
        <v>07423</v>
      </c>
      <c r="C24019" s="2">
        <v>1.87394220313306E-4</v>
      </c>
      <c r="D24019" s="2">
        <v>2.4768108583388002E-4</v>
      </c>
      <c r="E24019" s="2">
        <v>1.04792693853384E-4</v>
      </c>
      <c r="F24019" s="2">
        <v>1.8754318004489E-4</v>
      </c>
    </row>
    <row r="24020" spans="1:6" x14ac:dyDescent="0.25">
      <c r="A24020" s="1" t="str">
        <f t="shared" si="889"/>
        <v>35620</v>
      </c>
      <c r="B24020" s="1" t="str">
        <f>"07311"</f>
        <v>07311</v>
      </c>
      <c r="C24020" s="2">
        <v>1.38464908414542E-4</v>
      </c>
      <c r="D24020" s="2">
        <v>3.9752814276337699E-4</v>
      </c>
      <c r="E24020" s="2">
        <v>1.0304614895582799E-4</v>
      </c>
      <c r="F24020" s="2">
        <v>1.5875648345151601E-4</v>
      </c>
    </row>
    <row r="24021" spans="1:6" x14ac:dyDescent="0.25">
      <c r="A24021" s="1" t="str">
        <f t="shared" si="889"/>
        <v>35620</v>
      </c>
      <c r="B24021" s="1" t="str">
        <f>"07481"</f>
        <v>07481</v>
      </c>
      <c r="C24021" s="2">
        <v>7.59665399170496E-4</v>
      </c>
      <c r="D24021" s="2">
        <v>8.7183742213525805E-4</v>
      </c>
      <c r="E24021" s="2">
        <v>3.1961771625282199E-4</v>
      </c>
      <c r="F24021" s="2">
        <v>7.4233156774927505E-4</v>
      </c>
    </row>
    <row r="24022" spans="1:6" x14ac:dyDescent="0.25">
      <c r="A24022" s="1" t="str">
        <f t="shared" si="889"/>
        <v>35620</v>
      </c>
      <c r="B24022" s="1" t="str">
        <f>"07461"</f>
        <v>07461</v>
      </c>
      <c r="C24022" s="2">
        <v>9.6723665531834495E-4</v>
      </c>
      <c r="D24022" s="2">
        <v>4.3220349478012099E-4</v>
      </c>
      <c r="E24022" s="2">
        <v>3.7725369787218401E-4</v>
      </c>
      <c r="F24022" s="2">
        <v>8.8454644196430104E-4</v>
      </c>
    </row>
    <row r="24023" spans="1:6" x14ac:dyDescent="0.25">
      <c r="A24023" s="1" t="str">
        <f t="shared" si="889"/>
        <v>35620</v>
      </c>
      <c r="B24023" s="1" t="str">
        <f>"07450"</f>
        <v>07450</v>
      </c>
      <c r="C24023" s="2">
        <v>1.1099891838477201E-3</v>
      </c>
      <c r="D24023" s="2">
        <v>1.4563647847032101E-3</v>
      </c>
      <c r="E24023" s="2">
        <v>1.02172876507049E-3</v>
      </c>
      <c r="F24023" s="2">
        <v>1.13460401535748E-3</v>
      </c>
    </row>
    <row r="24024" spans="1:6" x14ac:dyDescent="0.25">
      <c r="A24024" s="1" t="str">
        <f t="shared" si="889"/>
        <v>35620</v>
      </c>
      <c r="B24024" s="1" t="str">
        <f>"07458"</f>
        <v>07458</v>
      </c>
      <c r="C24024" s="2">
        <v>5.9774468659829904E-4</v>
      </c>
      <c r="D24024" s="2">
        <v>5.7338171370543197E-4</v>
      </c>
      <c r="E24024" s="2">
        <v>1.72907944858084E-4</v>
      </c>
      <c r="F24024" s="2">
        <v>5.6950397514204303E-4</v>
      </c>
    </row>
    <row r="24025" spans="1:6" x14ac:dyDescent="0.25">
      <c r="A24025" s="1" t="str">
        <f t="shared" si="889"/>
        <v>35620</v>
      </c>
      <c r="B24025" s="1" t="str">
        <f>"07502"</f>
        <v>07502</v>
      </c>
      <c r="C24025" s="2">
        <v>5.1262281667132596E-4</v>
      </c>
      <c r="D24025" s="2">
        <v>3.1083976272151901E-4</v>
      </c>
      <c r="E24025" s="2">
        <v>8.47074275314858E-4</v>
      </c>
      <c r="F24025" s="2">
        <v>5.1569003859995197E-4</v>
      </c>
    </row>
    <row r="24026" spans="1:6" x14ac:dyDescent="0.25">
      <c r="A24026" s="1" t="str">
        <f t="shared" si="889"/>
        <v>35620</v>
      </c>
      <c r="B24026" s="1" t="str">
        <f>"07456"</f>
        <v>07456</v>
      </c>
      <c r="C24026" s="2">
        <v>5.5133750417885301E-4</v>
      </c>
      <c r="D24026" s="2">
        <v>3.35607871304907E-4</v>
      </c>
      <c r="E24026" s="2">
        <v>1.57189040780076E-4</v>
      </c>
      <c r="F24026" s="2">
        <v>5.0838595140461804E-4</v>
      </c>
    </row>
    <row r="24027" spans="1:6" x14ac:dyDescent="0.25">
      <c r="A24027" s="1" t="str">
        <f t="shared" si="889"/>
        <v>35620</v>
      </c>
      <c r="B24027" s="1" t="str">
        <f>"07474"</f>
        <v>07474</v>
      </c>
      <c r="C24027" s="2">
        <v>2.25352268977038E-4</v>
      </c>
      <c r="D24027" s="2">
        <v>7.57904122651673E-4</v>
      </c>
      <c r="E24027" s="2">
        <v>1.04792693853384E-5</v>
      </c>
      <c r="F24027" s="2">
        <v>2.58328378011432E-4</v>
      </c>
    </row>
    <row r="24028" spans="1:6" x14ac:dyDescent="0.25">
      <c r="A24028" s="1" t="str">
        <f t="shared" si="889"/>
        <v>35620</v>
      </c>
      <c r="B24028" s="1" t="str">
        <f>"07306"</f>
        <v>07306</v>
      </c>
      <c r="C24028" s="2">
        <v>2.8349996412270801E-3</v>
      </c>
      <c r="D24028" s="2">
        <v>2.9313056508439698E-3</v>
      </c>
      <c r="E24028" s="2">
        <v>6.8482025433186699E-3</v>
      </c>
      <c r="F24028" s="2">
        <v>3.0901659488610702E-3</v>
      </c>
    </row>
    <row r="24029" spans="1:6" x14ac:dyDescent="0.25">
      <c r="A24029" s="1" t="str">
        <f t="shared" si="889"/>
        <v>35620</v>
      </c>
      <c r="B24029" s="1" t="str">
        <f>"07307"</f>
        <v>07307</v>
      </c>
      <c r="C24029" s="2">
        <v>1.9615862025393498E-3</v>
      </c>
      <c r="D24029" s="2">
        <v>1.2346902128818899E-3</v>
      </c>
      <c r="E24029" s="2">
        <v>5.95222501087224E-3</v>
      </c>
      <c r="F24029" s="2">
        <v>2.1439644179243999E-3</v>
      </c>
    </row>
    <row r="24030" spans="1:6" x14ac:dyDescent="0.25">
      <c r="A24030" s="1" t="str">
        <f t="shared" si="889"/>
        <v>35620</v>
      </c>
      <c r="B24030" s="1" t="str">
        <f>"07920"</f>
        <v>07920</v>
      </c>
      <c r="C24030" s="2">
        <v>1.37846986692109E-3</v>
      </c>
      <c r="D24030" s="2">
        <v>7.25705581493269E-4</v>
      </c>
      <c r="E24030" s="2">
        <v>6.0605107945207299E-4</v>
      </c>
      <c r="F24030" s="2">
        <v>1.2743483894917299E-3</v>
      </c>
    </row>
    <row r="24031" spans="1:6" x14ac:dyDescent="0.25">
      <c r="A24031" s="1" t="str">
        <f t="shared" si="889"/>
        <v>35620</v>
      </c>
      <c r="B24031" s="1" t="str">
        <f>"07922"</f>
        <v>07922</v>
      </c>
      <c r="C24031" s="2">
        <v>5.9232210821776596E-4</v>
      </c>
      <c r="D24031" s="2">
        <v>7.1332152720157498E-4</v>
      </c>
      <c r="E24031" s="2">
        <v>4.9776529580357603E-4</v>
      </c>
      <c r="F24031" s="2">
        <v>5.9700171517153397E-4</v>
      </c>
    </row>
    <row r="24032" spans="1:6" x14ac:dyDescent="0.25">
      <c r="A24032" s="1" t="str">
        <f t="shared" si="889"/>
        <v>35620</v>
      </c>
      <c r="B24032" s="1" t="str">
        <f>"07931"</f>
        <v>07931</v>
      </c>
      <c r="C24032" s="2">
        <v>2.19929690596505E-4</v>
      </c>
      <c r="D24032" s="2">
        <v>2.16720950104645E-4</v>
      </c>
      <c r="E24032" s="2">
        <v>1.3623050200939899E-4</v>
      </c>
      <c r="F24032" s="2">
        <v>2.1450385483943001E-4</v>
      </c>
    </row>
    <row r="24033" spans="1:6" x14ac:dyDescent="0.25">
      <c r="A24033" s="1" t="str">
        <f t="shared" si="889"/>
        <v>35620</v>
      </c>
      <c r="B24033" s="1" t="str">
        <f>"07932"</f>
        <v>07932</v>
      </c>
      <c r="C24033" s="2">
        <v>6.1993942601629496E-4</v>
      </c>
      <c r="D24033" s="2">
        <v>1.1492402382692001E-3</v>
      </c>
      <c r="E24033" s="2">
        <v>4.9601875090601996E-4</v>
      </c>
      <c r="F24033" s="2">
        <v>6.5822715195594799E-4</v>
      </c>
    </row>
    <row r="24034" spans="1:6" x14ac:dyDescent="0.25">
      <c r="A24034" s="1" t="str">
        <f t="shared" si="889"/>
        <v>35620</v>
      </c>
      <c r="B24034" s="1" t="str">
        <f>"07927"</f>
        <v>07927</v>
      </c>
      <c r="C24034" s="2">
        <v>2.1841641290891399E-4</v>
      </c>
      <c r="D24034" s="2">
        <v>4.5944841422184698E-4</v>
      </c>
      <c r="E24034" s="2">
        <v>2.2181120198966299E-4</v>
      </c>
      <c r="F24034" s="2">
        <v>2.39531094788147E-4</v>
      </c>
    </row>
    <row r="24035" spans="1:6" x14ac:dyDescent="0.25">
      <c r="A24035" s="1" t="str">
        <f t="shared" si="889"/>
        <v>35620</v>
      </c>
      <c r="B24035" s="1" t="str">
        <f>"07803"</f>
        <v>07803</v>
      </c>
      <c r="C24035" s="2">
        <v>1.8209774840673899E-4</v>
      </c>
      <c r="D24035" s="2">
        <v>1.21363732058601E-4</v>
      </c>
      <c r="E24035" s="2">
        <v>1.10032328546053E-4</v>
      </c>
      <c r="F24035" s="2">
        <v>1.7239794041927099E-4</v>
      </c>
    </row>
    <row r="24036" spans="1:6" x14ac:dyDescent="0.25">
      <c r="A24036" s="1" t="str">
        <f t="shared" si="889"/>
        <v>35620</v>
      </c>
      <c r="B24036" s="1" t="str">
        <f>"07660"</f>
        <v>07660</v>
      </c>
      <c r="C24036" s="2">
        <v>6.0480664914038798E-4</v>
      </c>
      <c r="D24036" s="2">
        <v>5.3994476711785903E-4</v>
      </c>
      <c r="E24036" s="2">
        <v>5.9906489986184797E-4</v>
      </c>
      <c r="F24036" s="2">
        <v>5.9882773697036702E-4</v>
      </c>
    </row>
    <row r="24037" spans="1:6" x14ac:dyDescent="0.25">
      <c r="A24037" s="1" t="str">
        <f t="shared" si="889"/>
        <v>35620</v>
      </c>
      <c r="B24037" s="1" t="str">
        <f>"07848"</f>
        <v>07848</v>
      </c>
      <c r="C24037" s="2">
        <v>2.2043411649236801E-4</v>
      </c>
      <c r="D24037" s="2">
        <v>2.2538978810883101E-4</v>
      </c>
      <c r="E24037" s="2">
        <v>1.7465448975564001E-4</v>
      </c>
      <c r="F24037" s="2">
        <v>2.18048485390107E-4</v>
      </c>
    </row>
    <row r="24038" spans="1:6" x14ac:dyDescent="0.25">
      <c r="A24038" s="1" t="str">
        <f t="shared" si="889"/>
        <v>35620</v>
      </c>
      <c r="B24038" s="1" t="str">
        <f>"07866"</f>
        <v>07866</v>
      </c>
      <c r="C24038" s="2">
        <v>1.1519826396783599E-3</v>
      </c>
      <c r="D24038" s="2">
        <v>1.45141116298653E-3</v>
      </c>
      <c r="E24038" s="2">
        <v>7.6498666512970701E-4</v>
      </c>
      <c r="F24038" s="2">
        <v>1.1541531899096999E-3</v>
      </c>
    </row>
    <row r="24039" spans="1:6" x14ac:dyDescent="0.25">
      <c r="A24039" s="1" t="str">
        <f t="shared" si="889"/>
        <v>35620</v>
      </c>
      <c r="B24039" s="1" t="str">
        <f>"07850"</f>
        <v>07850</v>
      </c>
      <c r="C24039" s="2">
        <v>3.1425733312298701E-4</v>
      </c>
      <c r="D24039" s="2">
        <v>2.0929051752962801E-4</v>
      </c>
      <c r="E24039" s="2">
        <v>2.74207548916356E-4</v>
      </c>
      <c r="F24039" s="2">
        <v>3.0268996641838399E-4</v>
      </c>
    </row>
    <row r="24040" spans="1:6" x14ac:dyDescent="0.25">
      <c r="A24040" s="1" t="str">
        <f t="shared" si="889"/>
        <v>35620</v>
      </c>
      <c r="B24040" s="1" t="str">
        <f>"07843"</f>
        <v>07843</v>
      </c>
      <c r="C24040" s="2">
        <v>7.0455687004740398E-4</v>
      </c>
      <c r="D24040" s="2">
        <v>2.9474049214231701E-4</v>
      </c>
      <c r="E24040" s="2">
        <v>1.88626848936092E-4</v>
      </c>
      <c r="F24040" s="2">
        <v>6.3728160779285897E-4</v>
      </c>
    </row>
    <row r="24041" spans="1:6" x14ac:dyDescent="0.25">
      <c r="A24041" s="1" t="str">
        <f t="shared" si="889"/>
        <v>35620</v>
      </c>
      <c r="B24041" s="1" t="str">
        <f>"07856"</f>
        <v>07856</v>
      </c>
      <c r="C24041" s="2">
        <v>3.2258036040473599E-4</v>
      </c>
      <c r="D24041" s="2">
        <v>2.1424413924630599E-4</v>
      </c>
      <c r="E24041" s="2">
        <v>1.8338721424342199E-4</v>
      </c>
      <c r="F24041" s="2">
        <v>3.0462340126420802E-4</v>
      </c>
    </row>
    <row r="24042" spans="1:6" x14ac:dyDescent="0.25">
      <c r="A24042" s="1" t="str">
        <f t="shared" si="889"/>
        <v>35620</v>
      </c>
      <c r="B24042" s="1" t="str">
        <f>"07632"</f>
        <v>07632</v>
      </c>
      <c r="C24042" s="2">
        <v>2.8752276064221899E-4</v>
      </c>
      <c r="D24042" s="2">
        <v>1.2730807811861401E-3</v>
      </c>
      <c r="E24042" s="2">
        <v>5.0475147539380202E-4</v>
      </c>
      <c r="F24042" s="2">
        <v>3.8636473002375102E-4</v>
      </c>
    </row>
    <row r="24043" spans="1:6" x14ac:dyDescent="0.25">
      <c r="A24043" s="1" t="str">
        <f t="shared" si="889"/>
        <v>35620</v>
      </c>
      <c r="B24043" s="1" t="str">
        <f>"08901"</f>
        <v>08901</v>
      </c>
      <c r="C24043" s="2">
        <v>2.0433031976692401E-3</v>
      </c>
      <c r="D24043" s="2">
        <v>1.0801372153215499E-2</v>
      </c>
      <c r="E24043" s="2">
        <v>2.6582413340808502E-3</v>
      </c>
      <c r="F24043" s="2">
        <v>2.8407528537498302E-3</v>
      </c>
    </row>
    <row r="24044" spans="1:6" x14ac:dyDescent="0.25">
      <c r="A24044" s="1" t="str">
        <f t="shared" si="889"/>
        <v>35620</v>
      </c>
      <c r="B24044" s="1" t="str">
        <f>"08880"</f>
        <v>08880</v>
      </c>
      <c r="C24044" s="2">
        <v>2.4452045301985202E-4</v>
      </c>
      <c r="D24044" s="2">
        <v>1.2507894834610901E-4</v>
      </c>
      <c r="E24044" s="2">
        <v>1.3448395711184301E-4</v>
      </c>
      <c r="F24044" s="2">
        <v>2.2739342047825399E-4</v>
      </c>
    </row>
    <row r="24045" spans="1:6" x14ac:dyDescent="0.25">
      <c r="A24045" s="1" t="str">
        <f t="shared" si="889"/>
        <v>35620</v>
      </c>
      <c r="B24045" s="1" t="str">
        <f>"08823"</f>
        <v>08823</v>
      </c>
      <c r="C24045" s="2">
        <v>5.26494528807573E-4</v>
      </c>
      <c r="D24045" s="2">
        <v>2.7987962699228401E-4</v>
      </c>
      <c r="E24045" s="2">
        <v>5.2396346926692199E-5</v>
      </c>
      <c r="F24045" s="2">
        <v>4.7594721121357799E-4</v>
      </c>
    </row>
    <row r="24046" spans="1:6" x14ac:dyDescent="0.25">
      <c r="A24046" s="1" t="str">
        <f t="shared" si="889"/>
        <v>35620</v>
      </c>
      <c r="B24046" s="1" t="str">
        <f>"08848"</f>
        <v>08848</v>
      </c>
      <c r="C24046" s="2">
        <v>4.09341614493265E-4</v>
      </c>
      <c r="D24046" s="2">
        <v>1.2260213748777001E-4</v>
      </c>
      <c r="E24046" s="2">
        <v>8.5580699980263996E-5</v>
      </c>
      <c r="F24046" s="2">
        <v>3.6455988148474E-4</v>
      </c>
    </row>
    <row r="24047" spans="1:6" x14ac:dyDescent="0.25">
      <c r="A24047" s="1" t="str">
        <f t="shared" si="889"/>
        <v>35620</v>
      </c>
      <c r="B24047" s="1" t="str">
        <f>"08824"</f>
        <v>08824</v>
      </c>
      <c r="C24047" s="2">
        <v>6.1741729653697704E-4</v>
      </c>
      <c r="D24047" s="2">
        <v>4.2105784591759603E-4</v>
      </c>
      <c r="E24047" s="2">
        <v>1.2400468772650499E-4</v>
      </c>
      <c r="F24047" s="2">
        <v>5.7004104037699404E-4</v>
      </c>
    </row>
    <row r="24048" spans="1:6" x14ac:dyDescent="0.25">
      <c r="A24048" s="1" t="str">
        <f t="shared" si="889"/>
        <v>35620</v>
      </c>
      <c r="B24048" s="1" t="str">
        <f>"08802"</f>
        <v>08802</v>
      </c>
      <c r="C24048" s="2">
        <v>1.34807820669532E-4</v>
      </c>
      <c r="D24048" s="2">
        <v>6.8112298604317001E-5</v>
      </c>
      <c r="E24048" s="2">
        <v>2.0958538770676901E-5</v>
      </c>
      <c r="F24048" s="2">
        <v>1.22021221380867E-4</v>
      </c>
    </row>
    <row r="24049" spans="1:6" x14ac:dyDescent="0.25">
      <c r="A24049" s="1" t="str">
        <f t="shared" si="889"/>
        <v>35620</v>
      </c>
      <c r="B24049" s="1" t="str">
        <f>"07756"</f>
        <v>07756</v>
      </c>
      <c r="C24049" s="2">
        <v>3.9723539299254E-4</v>
      </c>
      <c r="D24049" s="2">
        <v>1.72138354654546E-4</v>
      </c>
      <c r="E24049" s="2">
        <v>6.2700961822275E-4</v>
      </c>
      <c r="F24049" s="2">
        <v>3.9184279542025098E-4</v>
      </c>
    </row>
    <row r="24050" spans="1:6" x14ac:dyDescent="0.25">
      <c r="A24050" s="1" t="str">
        <f t="shared" si="889"/>
        <v>35620</v>
      </c>
      <c r="B24050" s="1" t="str">
        <f>"07737"</f>
        <v>07737</v>
      </c>
      <c r="C24050" s="2">
        <v>1.99122122392133E-4</v>
      </c>
      <c r="D24050" s="2">
        <v>5.9443460600131203E-5</v>
      </c>
      <c r="E24050" s="2">
        <v>1.5718904078007601E-5</v>
      </c>
      <c r="F24050" s="2">
        <v>1.7572774487596799E-4</v>
      </c>
    </row>
    <row r="24051" spans="1:6" x14ac:dyDescent="0.25">
      <c r="A24051" s="1" t="str">
        <f t="shared" si="889"/>
        <v>35620</v>
      </c>
      <c r="B24051" s="1" t="str">
        <f>"07732"</f>
        <v>07732</v>
      </c>
      <c r="C24051" s="2">
        <v>3.83237574382327E-4</v>
      </c>
      <c r="D24051" s="2">
        <v>1.5603908407534401E-4</v>
      </c>
      <c r="E24051" s="2">
        <v>3.1961771625282199E-4</v>
      </c>
      <c r="F24051" s="2">
        <v>3.5961888132319099E-4</v>
      </c>
    </row>
    <row r="24052" spans="1:6" x14ac:dyDescent="0.25">
      <c r="A24052" s="1" t="str">
        <f t="shared" si="889"/>
        <v>35620</v>
      </c>
      <c r="B24052" s="1" t="str">
        <f>"08087"</f>
        <v>08087</v>
      </c>
      <c r="C24052" s="2">
        <v>1.6787293814338701E-3</v>
      </c>
      <c r="D24052" s="2">
        <v>6.2539474173054703E-4</v>
      </c>
      <c r="E24052" s="2">
        <v>1.7989412444831E-4</v>
      </c>
      <c r="F24052" s="2">
        <v>1.4951896141035901E-3</v>
      </c>
    </row>
    <row r="24053" spans="1:6" x14ac:dyDescent="0.25">
      <c r="A24053" s="1" t="str">
        <f t="shared" si="889"/>
        <v>35620</v>
      </c>
      <c r="B24053" s="1" t="str">
        <f>"07004"</f>
        <v>07004</v>
      </c>
      <c r="C24053" s="2">
        <v>3.5915123785484302E-4</v>
      </c>
      <c r="D24053" s="2">
        <v>2.8285180002229101E-3</v>
      </c>
      <c r="E24053" s="2">
        <v>6.2176998353008104E-4</v>
      </c>
      <c r="F24053" s="2">
        <v>5.8948280188222003E-4</v>
      </c>
    </row>
    <row r="24054" spans="1:6" x14ac:dyDescent="0.25">
      <c r="A24054" s="1" t="str">
        <f t="shared" si="889"/>
        <v>35620</v>
      </c>
      <c r="B24054" s="1" t="str">
        <f>"07065"</f>
        <v>07065</v>
      </c>
      <c r="C24054" s="2">
        <v>1.57633092457357E-3</v>
      </c>
      <c r="D24054" s="2">
        <v>1.3300474309279301E-3</v>
      </c>
      <c r="E24054" s="2">
        <v>8.2436919164662504E-4</v>
      </c>
      <c r="F24054" s="2">
        <v>1.5087236580243501E-3</v>
      </c>
    </row>
    <row r="24055" spans="1:6" x14ac:dyDescent="0.25">
      <c r="A24055" s="1" t="str">
        <f t="shared" si="889"/>
        <v>35620</v>
      </c>
      <c r="B24055" s="1" t="str">
        <f>"07060"</f>
        <v>07060</v>
      </c>
      <c r="C24055" s="2">
        <v>1.86007049099681E-3</v>
      </c>
      <c r="D24055" s="2">
        <v>1.81921757544985E-3</v>
      </c>
      <c r="E24055" s="2">
        <v>2.3927665096522802E-3</v>
      </c>
      <c r="F24055" s="2">
        <v>1.8892880835106301E-3</v>
      </c>
    </row>
    <row r="24056" spans="1:6" x14ac:dyDescent="0.25">
      <c r="A24056" s="1" t="str">
        <f t="shared" si="889"/>
        <v>35620</v>
      </c>
      <c r="B24056" s="1" t="str">
        <f>"07070"</f>
        <v>07070</v>
      </c>
      <c r="C24056" s="2">
        <v>9.4466359647845104E-4</v>
      </c>
      <c r="D24056" s="2">
        <v>1.11084966996495E-3</v>
      </c>
      <c r="E24056" s="2">
        <v>6.9861795902256298E-4</v>
      </c>
      <c r="F24056" s="2">
        <v>9.4394585694988103E-4</v>
      </c>
    </row>
    <row r="24057" spans="1:6" x14ac:dyDescent="0.25">
      <c r="A24057" s="1" t="str">
        <f t="shared" si="889"/>
        <v>35620</v>
      </c>
      <c r="B24057" s="1" t="str">
        <f>"07068"</f>
        <v>07068</v>
      </c>
      <c r="C24057" s="2">
        <v>4.02279651951176E-4</v>
      </c>
      <c r="D24057" s="2">
        <v>6.4025560688058003E-4</v>
      </c>
      <c r="E24057" s="2">
        <v>1.8513375914097901E-4</v>
      </c>
      <c r="F24057" s="2">
        <v>4.0956594817363398E-4</v>
      </c>
    </row>
    <row r="24058" spans="1:6" x14ac:dyDescent="0.25">
      <c r="A24058" s="1" t="str">
        <f t="shared" si="889"/>
        <v>35620</v>
      </c>
      <c r="B24058" s="1" t="str">
        <f>"11590"</f>
        <v>11590</v>
      </c>
      <c r="C24058" s="2">
        <v>1.94721006450724E-3</v>
      </c>
      <c r="D24058" s="2">
        <v>2.6749557270059001E-3</v>
      </c>
      <c r="E24058" s="2">
        <v>1.6924020057321599E-3</v>
      </c>
      <c r="F24058" s="2">
        <v>1.99466028260802E-3</v>
      </c>
    </row>
    <row r="24059" spans="1:6" x14ac:dyDescent="0.25">
      <c r="A24059" s="1" t="str">
        <f t="shared" si="889"/>
        <v>35620</v>
      </c>
      <c r="B24059" s="1" t="str">
        <f>"11796"</f>
        <v>11796</v>
      </c>
      <c r="C24059" s="2">
        <v>1.7238754991136601E-4</v>
      </c>
      <c r="D24059" s="2">
        <v>1.33747786350295E-4</v>
      </c>
      <c r="E24059" s="2">
        <v>1.64175220370302E-4</v>
      </c>
      <c r="F24059" s="2">
        <v>1.6853107072762401E-4</v>
      </c>
    </row>
    <row r="24060" spans="1:6" x14ac:dyDescent="0.25">
      <c r="A24060" s="1" t="str">
        <f t="shared" si="889"/>
        <v>35620</v>
      </c>
      <c r="B24060" s="1" t="str">
        <f>"11950"</f>
        <v>11950</v>
      </c>
      <c r="C24060" s="2">
        <v>6.8891966727563402E-4</v>
      </c>
      <c r="D24060" s="2">
        <v>3.3684627673407703E-4</v>
      </c>
      <c r="E24060" s="2">
        <v>5.4142891824248603E-5</v>
      </c>
      <c r="F24060" s="2">
        <v>6.1934362894549601E-4</v>
      </c>
    </row>
    <row r="24061" spans="1:6" x14ac:dyDescent="0.25">
      <c r="A24061" s="1" t="str">
        <f t="shared" si="889"/>
        <v>35620</v>
      </c>
      <c r="B24061" s="1" t="str">
        <f>"11932"</f>
        <v>11932</v>
      </c>
      <c r="C24061" s="2">
        <v>2.2598280134686699E-4</v>
      </c>
      <c r="D24061" s="2">
        <v>4.6440203593852499E-4</v>
      </c>
      <c r="E24061" s="2">
        <v>3.49308979511281E-6</v>
      </c>
      <c r="F24061" s="2">
        <v>2.3297889892174401E-4</v>
      </c>
    </row>
    <row r="24062" spans="1:6" x14ac:dyDescent="0.25">
      <c r="A24062" s="1" t="str">
        <f t="shared" si="889"/>
        <v>35620</v>
      </c>
      <c r="B24062" s="1" t="str">
        <f>"11786"</f>
        <v>11786</v>
      </c>
      <c r="C24062" s="2">
        <v>2.5574392920281599E-4</v>
      </c>
      <c r="D24062" s="2">
        <v>4.3344190020929002E-5</v>
      </c>
      <c r="E24062" s="2">
        <v>1.3972359180451199E-5</v>
      </c>
      <c r="F24062" s="2">
        <v>2.2245242031670499E-4</v>
      </c>
    </row>
    <row r="24063" spans="1:6" x14ac:dyDescent="0.25">
      <c r="A24063" s="1" t="str">
        <f t="shared" si="889"/>
        <v>35620</v>
      </c>
      <c r="B24063" s="1" t="str">
        <f>"11783"</f>
        <v>11783</v>
      </c>
      <c r="C24063" s="2">
        <v>9.8438713577770503E-4</v>
      </c>
      <c r="D24063" s="2">
        <v>6.6378531003479901E-4</v>
      </c>
      <c r="E24063" s="2">
        <v>1.53695950984963E-4</v>
      </c>
      <c r="F24063" s="2">
        <v>9.0549198612739005E-4</v>
      </c>
    </row>
    <row r="24064" spans="1:6" x14ac:dyDescent="0.25">
      <c r="A24064" s="1" t="str">
        <f t="shared" si="889"/>
        <v>35620</v>
      </c>
      <c r="B24064" s="1" t="str">
        <f>"11778"</f>
        <v>11778</v>
      </c>
      <c r="C24064" s="2">
        <v>5.9988849665571897E-4</v>
      </c>
      <c r="D24064" s="2">
        <v>4.3220349478012099E-4</v>
      </c>
      <c r="E24064" s="2">
        <v>2.2530429178477601E-4</v>
      </c>
      <c r="F24064" s="2">
        <v>5.6230730099369899E-4</v>
      </c>
    </row>
    <row r="24065" spans="1:6" x14ac:dyDescent="0.25">
      <c r="A24065" s="1" t="str">
        <f t="shared" si="889"/>
        <v>35620</v>
      </c>
      <c r="B24065" s="1" t="str">
        <f>"08558"</f>
        <v>08558</v>
      </c>
      <c r="C24065" s="2">
        <v>3.6167336733416002E-4</v>
      </c>
      <c r="D24065" s="2">
        <v>3.2693903330072101E-4</v>
      </c>
      <c r="E24065" s="2">
        <v>1.69414855062971E-4</v>
      </c>
      <c r="F24065" s="2">
        <v>3.4683672873135699E-4</v>
      </c>
    </row>
    <row r="24066" spans="1:6" x14ac:dyDescent="0.25">
      <c r="A24066" s="1" t="str">
        <f t="shared" si="889"/>
        <v>35620</v>
      </c>
      <c r="B24066" s="1" t="str">
        <f>"08536"</f>
        <v>08536</v>
      </c>
      <c r="C24066" s="2">
        <v>1.18111323516448E-3</v>
      </c>
      <c r="D24066" s="2">
        <v>5.23845496538656E-4</v>
      </c>
      <c r="E24066" s="2">
        <v>1.10032328546053E-4</v>
      </c>
      <c r="F24066" s="2">
        <v>1.05823333894745E-3</v>
      </c>
    </row>
    <row r="24067" spans="1:6" x14ac:dyDescent="0.25">
      <c r="A24067" s="1" t="str">
        <f t="shared" si="889"/>
        <v>35620</v>
      </c>
      <c r="B24067" s="1" t="str">
        <f>"08502"</f>
        <v>08502</v>
      </c>
      <c r="C24067" s="2">
        <v>5.9610530243674198E-4</v>
      </c>
      <c r="D24067" s="2">
        <v>3.8885930475919197E-4</v>
      </c>
      <c r="E24067" s="2">
        <v>3.1437808156015298E-5</v>
      </c>
      <c r="F24067" s="2">
        <v>5.4340260472342402E-4</v>
      </c>
    </row>
    <row r="24068" spans="1:6" x14ac:dyDescent="0.25">
      <c r="A24068" s="1" t="str">
        <f t="shared" si="889"/>
        <v>35620</v>
      </c>
      <c r="B24068" s="1" t="str">
        <f>"08528"</f>
        <v>08528</v>
      </c>
      <c r="C24068" s="2">
        <v>5.78828715503416E-5</v>
      </c>
      <c r="D24068" s="2">
        <v>2.3034340982550799E-4</v>
      </c>
      <c r="E24068" s="2">
        <v>8.7327244877820399E-6</v>
      </c>
      <c r="F24068" s="2">
        <v>6.9818480543630293E-5</v>
      </c>
    </row>
    <row r="24069" spans="1:6" x14ac:dyDescent="0.25">
      <c r="A24069" s="1" t="str">
        <f t="shared" si="889"/>
        <v>35620</v>
      </c>
      <c r="B24069" s="1" t="str">
        <f>"08742"</f>
        <v>08742</v>
      </c>
      <c r="C24069" s="2">
        <v>1.8029442582902699E-3</v>
      </c>
      <c r="D24069" s="2">
        <v>1.74243643884134E-3</v>
      </c>
      <c r="E24069" s="2">
        <v>6.8813868963722496E-4</v>
      </c>
      <c r="F24069" s="2">
        <v>1.7291352304482401E-3</v>
      </c>
    </row>
    <row r="24070" spans="1:6" x14ac:dyDescent="0.25">
      <c r="A24070" s="1" t="str">
        <f t="shared" si="889"/>
        <v>35620</v>
      </c>
      <c r="B24070" s="1" t="str">
        <f>"08723"</f>
        <v>08723</v>
      </c>
      <c r="C24070" s="2">
        <v>2.06738953419673E-3</v>
      </c>
      <c r="D24070" s="2">
        <v>1.7461516551288501E-3</v>
      </c>
      <c r="E24070" s="2">
        <v>4.3139658969643298E-4</v>
      </c>
      <c r="F24070" s="2">
        <v>1.9389129112200999E-3</v>
      </c>
    </row>
    <row r="24071" spans="1:6" x14ac:dyDescent="0.25">
      <c r="A24071" s="1" t="str">
        <f t="shared" si="889"/>
        <v>35620</v>
      </c>
      <c r="B24071" s="1" t="str">
        <f>"08738"</f>
        <v>08738</v>
      </c>
      <c r="C24071" s="2">
        <v>2.4817754076486299E-4</v>
      </c>
      <c r="D24071" s="2">
        <v>2.2291297725049201E-5</v>
      </c>
      <c r="E24071" s="2">
        <v>6.9861795902256301E-6</v>
      </c>
      <c r="F24071" s="2">
        <v>2.1375196351049801E-4</v>
      </c>
    </row>
    <row r="24072" spans="1:6" x14ac:dyDescent="0.25">
      <c r="A24072" s="1" t="str">
        <f t="shared" si="889"/>
        <v>35620</v>
      </c>
      <c r="B24072" s="1" t="str">
        <f>"10011"</f>
        <v>10011</v>
      </c>
      <c r="C24072" s="2">
        <v>4.8477850721965797E-3</v>
      </c>
      <c r="D24072" s="2">
        <v>5.3201897237117402E-3</v>
      </c>
      <c r="E24072" s="2">
        <v>6.2473910985592698E-3</v>
      </c>
      <c r="F24072" s="2">
        <v>4.9748352713511303E-3</v>
      </c>
    </row>
    <row r="24073" spans="1:6" x14ac:dyDescent="0.25">
      <c r="A24073" s="1" t="str">
        <f t="shared" si="889"/>
        <v>35620</v>
      </c>
      <c r="B24073" s="1" t="str">
        <f>"10006"</f>
        <v>10006</v>
      </c>
      <c r="C24073" s="2">
        <v>3.4855829404170798E-4</v>
      </c>
      <c r="D24073" s="2">
        <v>1.39568291867391E-3</v>
      </c>
      <c r="E24073" s="2">
        <v>3.2311080604793498E-4</v>
      </c>
      <c r="F24073" s="2">
        <v>4.3781557953205698E-4</v>
      </c>
    </row>
    <row r="24074" spans="1:6" x14ac:dyDescent="0.25">
      <c r="A24074" s="1" t="str">
        <f t="shared" si="889"/>
        <v>35620</v>
      </c>
      <c r="B24074" s="1" t="str">
        <f>"10007"</f>
        <v>10007</v>
      </c>
      <c r="C24074" s="2">
        <v>4.9421127147230605E-4</v>
      </c>
      <c r="D24074" s="2">
        <v>2.8978687042563898E-3</v>
      </c>
      <c r="E24074" s="2">
        <v>1.0496734834314E-3</v>
      </c>
      <c r="F24074" s="2">
        <v>7.3685350235277503E-4</v>
      </c>
    </row>
    <row r="24075" spans="1:6" x14ac:dyDescent="0.25">
      <c r="A24075" s="1" t="str">
        <f t="shared" ref="A24075:A24138" si="890">"35620"</f>
        <v>35620</v>
      </c>
      <c r="B24075" s="1" t="str">
        <f>"10018"</f>
        <v>10018</v>
      </c>
      <c r="C24075" s="2">
        <v>9.6799329416213996E-4</v>
      </c>
      <c r="D24075" s="2">
        <v>1.1803242145413499E-2</v>
      </c>
      <c r="E24075" s="2">
        <v>1.87054958528291E-3</v>
      </c>
      <c r="F24075" s="2">
        <v>1.9632956728868802E-3</v>
      </c>
    </row>
    <row r="24076" spans="1:6" x14ac:dyDescent="0.25">
      <c r="A24076" s="1" t="str">
        <f t="shared" si="890"/>
        <v>35620</v>
      </c>
      <c r="B24076" s="1" t="str">
        <f>"10025"</f>
        <v>10025</v>
      </c>
      <c r="C24076" s="2">
        <v>6.5184436392966404E-3</v>
      </c>
      <c r="D24076" s="2">
        <v>2.2687587462383398E-3</v>
      </c>
      <c r="E24076" s="2">
        <v>4.8396759111287999E-3</v>
      </c>
      <c r="F24076" s="2">
        <v>6.0466026542193496E-3</v>
      </c>
    </row>
    <row r="24077" spans="1:6" x14ac:dyDescent="0.25">
      <c r="A24077" s="1" t="str">
        <f t="shared" si="890"/>
        <v>35620</v>
      </c>
      <c r="B24077" s="1" t="str">
        <f>"10458"</f>
        <v>10458</v>
      </c>
      <c r="C24077" s="2">
        <v>3.9747499529307496E-3</v>
      </c>
      <c r="D24077" s="2">
        <v>2.17463993362146E-3</v>
      </c>
      <c r="E24077" s="2">
        <v>4.4781411173346296E-3</v>
      </c>
      <c r="F24077" s="2">
        <v>3.8495761910817901E-3</v>
      </c>
    </row>
    <row r="24078" spans="1:6" x14ac:dyDescent="0.25">
      <c r="A24078" s="1" t="str">
        <f t="shared" si="890"/>
        <v>35620</v>
      </c>
      <c r="B24078" s="1" t="str">
        <f>"10459"</f>
        <v>10459</v>
      </c>
      <c r="C24078" s="2">
        <v>2.4507532150530201E-3</v>
      </c>
      <c r="D24078" s="2">
        <v>1.55296040817842E-3</v>
      </c>
      <c r="E24078" s="2">
        <v>3.8843158521654499E-3</v>
      </c>
      <c r="F24078" s="2">
        <v>2.46104773263947E-3</v>
      </c>
    </row>
    <row r="24079" spans="1:6" x14ac:dyDescent="0.25">
      <c r="A24079" s="1" t="str">
        <f t="shared" si="890"/>
        <v>35620</v>
      </c>
      <c r="B24079" s="1" t="str">
        <f>"10128"</f>
        <v>10128</v>
      </c>
      <c r="C24079" s="2">
        <v>4.6480324174346197E-3</v>
      </c>
      <c r="D24079" s="2">
        <v>1.8291248188832001E-3</v>
      </c>
      <c r="E24079" s="2">
        <v>4.1724957602622603E-3</v>
      </c>
      <c r="F24079" s="2">
        <v>4.3742889256289203E-3</v>
      </c>
    </row>
    <row r="24080" spans="1:6" x14ac:dyDescent="0.25">
      <c r="A24080" s="1" t="str">
        <f t="shared" si="890"/>
        <v>35620</v>
      </c>
      <c r="B24080" s="1" t="str">
        <f>"10040"</f>
        <v>10040</v>
      </c>
      <c r="C24080" s="2">
        <v>2.44507842372456E-3</v>
      </c>
      <c r="D24080" s="2">
        <v>9.44903342456253E-4</v>
      </c>
      <c r="E24080" s="2">
        <v>1.5456922343374199E-3</v>
      </c>
      <c r="F24080" s="2">
        <v>2.25964826953284E-3</v>
      </c>
    </row>
    <row r="24081" spans="1:6" x14ac:dyDescent="0.25">
      <c r="A24081" s="1" t="str">
        <f t="shared" si="890"/>
        <v>35620</v>
      </c>
      <c r="B24081" s="1" t="str">
        <f>"10113"</f>
        <v>10113</v>
      </c>
      <c r="C24081" s="2">
        <v>1.6646054563496901E-4</v>
      </c>
      <c r="D24081" s="2">
        <v>4.0000495362171602E-4</v>
      </c>
      <c r="E24081" s="2">
        <v>3.49308979511281E-6</v>
      </c>
      <c r="F24081" s="2">
        <v>1.76694462298879E-4</v>
      </c>
    </row>
    <row r="24082" spans="1:6" x14ac:dyDescent="0.25">
      <c r="A24082" s="1" t="str">
        <f t="shared" si="890"/>
        <v>35620</v>
      </c>
      <c r="B24082" s="1" t="str">
        <f>"10278"</f>
        <v>10278</v>
      </c>
      <c r="C24082" s="2">
        <v>0</v>
      </c>
      <c r="D24082" s="2">
        <v>7.1827514891825196E-5</v>
      </c>
      <c r="E24082" s="2">
        <v>1.5718904078007601E-5</v>
      </c>
      <c r="F24082" s="2">
        <v>7.1966741483434302E-6</v>
      </c>
    </row>
    <row r="24083" spans="1:6" x14ac:dyDescent="0.25">
      <c r="A24083" s="1" t="str">
        <f t="shared" si="890"/>
        <v>35620</v>
      </c>
      <c r="B24083" s="1" t="str">
        <f>"10156"</f>
        <v>10156</v>
      </c>
      <c r="C24083" s="2">
        <v>2.1110223741889299E-4</v>
      </c>
      <c r="D24083" s="2">
        <v>3.6656800703414199E-4</v>
      </c>
      <c r="E24083" s="2">
        <v>3.49308979511281E-6</v>
      </c>
      <c r="F24083" s="2">
        <v>2.1181852866467501E-4</v>
      </c>
    </row>
    <row r="24084" spans="1:6" x14ac:dyDescent="0.25">
      <c r="A24084" s="1" t="str">
        <f t="shared" si="890"/>
        <v>35620</v>
      </c>
      <c r="B24084" s="1" t="str">
        <f>"10173"</f>
        <v>10173</v>
      </c>
      <c r="C24084" s="2">
        <v>0</v>
      </c>
      <c r="D24084" s="2">
        <v>8.4211569183519297E-5</v>
      </c>
      <c r="E24084" s="2">
        <v>1.9211993873120399E-5</v>
      </c>
      <c r="F24084" s="2">
        <v>8.4856307122258301E-6</v>
      </c>
    </row>
    <row r="24085" spans="1:6" x14ac:dyDescent="0.25">
      <c r="A24085" s="1" t="str">
        <f t="shared" si="890"/>
        <v>35620</v>
      </c>
      <c r="B24085" s="1" t="str">
        <f>"10165"</f>
        <v>10165</v>
      </c>
      <c r="C24085" s="2">
        <v>0</v>
      </c>
      <c r="D24085" s="2">
        <v>1.08608156138156E-3</v>
      </c>
      <c r="E24085" s="2">
        <v>1.7465448975564001E-4</v>
      </c>
      <c r="F24085" s="2">
        <v>1.04942546909425E-4</v>
      </c>
    </row>
    <row r="24086" spans="1:6" x14ac:dyDescent="0.25">
      <c r="A24086" s="1" t="str">
        <f t="shared" si="890"/>
        <v>35620</v>
      </c>
      <c r="B24086" s="1" t="str">
        <f>"10549"</f>
        <v>10549</v>
      </c>
      <c r="C24086" s="2">
        <v>9.48194577749496E-4</v>
      </c>
      <c r="D24086" s="2">
        <v>1.81797917002068E-3</v>
      </c>
      <c r="E24086" s="2">
        <v>1.0653923875094001E-3</v>
      </c>
      <c r="F24086" s="2">
        <v>1.0308430119649499E-3</v>
      </c>
    </row>
    <row r="24087" spans="1:6" x14ac:dyDescent="0.25">
      <c r="A24087" s="1" t="str">
        <f t="shared" si="890"/>
        <v>35620</v>
      </c>
      <c r="B24087" s="1" t="str">
        <f>"10528"</f>
        <v>10528</v>
      </c>
      <c r="C24087" s="2">
        <v>6.91946222650816E-4</v>
      </c>
      <c r="D24087" s="2">
        <v>7.9753309638509403E-4</v>
      </c>
      <c r="E24087" s="2">
        <v>6.7067324066166095E-4</v>
      </c>
      <c r="F24087" s="2">
        <v>6.99796001141156E-4</v>
      </c>
    </row>
    <row r="24088" spans="1:6" x14ac:dyDescent="0.25">
      <c r="A24088" s="1" t="str">
        <f t="shared" si="890"/>
        <v>35620</v>
      </c>
      <c r="B24088" s="1" t="str">
        <f>"10469"</f>
        <v>10469</v>
      </c>
      <c r="C24088" s="2">
        <v>2.5444503252096801E-3</v>
      </c>
      <c r="D24088" s="2">
        <v>1.39320610781557E-3</v>
      </c>
      <c r="E24088" s="2">
        <v>2.3578356117011502E-3</v>
      </c>
      <c r="F24088" s="2">
        <v>2.43312034042202E-3</v>
      </c>
    </row>
    <row r="24089" spans="1:6" x14ac:dyDescent="0.25">
      <c r="A24089" s="1" t="str">
        <f t="shared" si="890"/>
        <v>35620</v>
      </c>
      <c r="B24089" s="1" t="str">
        <f>"10473"</f>
        <v>10473</v>
      </c>
      <c r="C24089" s="2">
        <v>2.8645085561350898E-3</v>
      </c>
      <c r="D24089" s="2">
        <v>6.7988458061400095E-4</v>
      </c>
      <c r="E24089" s="2">
        <v>9.4837387937313005E-4</v>
      </c>
      <c r="F24089" s="2">
        <v>2.5571824096957E-3</v>
      </c>
    </row>
    <row r="24090" spans="1:6" x14ac:dyDescent="0.25">
      <c r="A24090" s="1" t="str">
        <f t="shared" si="890"/>
        <v>35620</v>
      </c>
      <c r="B24090" s="1" t="str">
        <f>"10952"</f>
        <v>10952</v>
      </c>
      <c r="C24090" s="2">
        <v>1.41554517026706E-3</v>
      </c>
      <c r="D24090" s="2">
        <v>2.0730906884295699E-3</v>
      </c>
      <c r="E24090" s="2">
        <v>2.1395174995066002E-3</v>
      </c>
      <c r="F24090" s="2">
        <v>1.5171018756895899E-3</v>
      </c>
    </row>
    <row r="24091" spans="1:6" x14ac:dyDescent="0.25">
      <c r="A24091" s="1" t="str">
        <f t="shared" si="890"/>
        <v>35620</v>
      </c>
      <c r="B24091" s="1" t="str">
        <f>"10607"</f>
        <v>10607</v>
      </c>
      <c r="C24091" s="2">
        <v>3.15770610810578E-4</v>
      </c>
      <c r="D24091" s="2">
        <v>4.0000495362171602E-4</v>
      </c>
      <c r="E24091" s="2">
        <v>1.1876505303383501E-4</v>
      </c>
      <c r="F24091" s="2">
        <v>3.1096077103662999E-4</v>
      </c>
    </row>
    <row r="24092" spans="1:6" x14ac:dyDescent="0.25">
      <c r="A24092" s="1" t="str">
        <f t="shared" si="890"/>
        <v>35620</v>
      </c>
      <c r="B24092" s="1" t="str">
        <f>"10595"</f>
        <v>10595</v>
      </c>
      <c r="C24092" s="2">
        <v>2.9761127855949002E-4</v>
      </c>
      <c r="D24092" s="2">
        <v>6.42732417738919E-4</v>
      </c>
      <c r="E24092" s="2">
        <v>1.6592176526785801E-4</v>
      </c>
      <c r="F24092" s="2">
        <v>3.19446401748856E-4</v>
      </c>
    </row>
    <row r="24093" spans="1:6" x14ac:dyDescent="0.25">
      <c r="A24093" s="1" t="str">
        <f t="shared" si="890"/>
        <v>35620</v>
      </c>
      <c r="B24093" s="1" t="str">
        <f>"10804"</f>
        <v>10804</v>
      </c>
      <c r="C24093" s="2">
        <v>6.5941075236761702E-4</v>
      </c>
      <c r="D24093" s="2">
        <v>1.9814486866710399E-4</v>
      </c>
      <c r="E24093" s="2">
        <v>6.6368706107143498E-5</v>
      </c>
      <c r="F24093" s="2">
        <v>5.8293060601581799E-4</v>
      </c>
    </row>
    <row r="24094" spans="1:6" x14ac:dyDescent="0.25">
      <c r="A24094" s="1" t="str">
        <f t="shared" si="890"/>
        <v>35620</v>
      </c>
      <c r="B24094" s="1" t="str">
        <f>"10805"</f>
        <v>10805</v>
      </c>
      <c r="C24094" s="2">
        <v>9.7795570560544492E-4</v>
      </c>
      <c r="D24094" s="2">
        <v>2.4644268040470999E-4</v>
      </c>
      <c r="E24094" s="2">
        <v>1.4286737262011399E-3</v>
      </c>
      <c r="F24094" s="2">
        <v>9.4222724819803799E-4</v>
      </c>
    </row>
    <row r="24095" spans="1:6" x14ac:dyDescent="0.25">
      <c r="A24095" s="1" t="str">
        <f t="shared" si="890"/>
        <v>35620</v>
      </c>
      <c r="B24095" s="1" t="str">
        <f>"12563"</f>
        <v>12563</v>
      </c>
      <c r="C24095" s="2">
        <v>3.0984360653418097E-4</v>
      </c>
      <c r="D24095" s="2">
        <v>2.5758832926723501E-4</v>
      </c>
      <c r="E24095" s="2">
        <v>5.9382526516917903E-5</v>
      </c>
      <c r="F24095" s="2">
        <v>2.8990781382655102E-4</v>
      </c>
    </row>
    <row r="24096" spans="1:6" x14ac:dyDescent="0.25">
      <c r="A24096" s="1" t="str">
        <f t="shared" si="890"/>
        <v>35620</v>
      </c>
      <c r="B24096" s="1" t="str">
        <f>"10962"</f>
        <v>10962</v>
      </c>
      <c r="C24096" s="2">
        <v>3.04294921679682E-4</v>
      </c>
      <c r="D24096" s="2">
        <v>6.4520922859725798E-4</v>
      </c>
      <c r="E24096" s="2">
        <v>1.3972359180451199E-4</v>
      </c>
      <c r="F24096" s="2">
        <v>3.2374292362846399E-4</v>
      </c>
    </row>
    <row r="24097" spans="1:6" x14ac:dyDescent="0.25">
      <c r="A24097" s="1" t="str">
        <f t="shared" si="890"/>
        <v>35620</v>
      </c>
      <c r="B24097" s="1" t="str">
        <f>"10965"</f>
        <v>10965</v>
      </c>
      <c r="C24097" s="2">
        <v>7.9686680899043304E-4</v>
      </c>
      <c r="D24097" s="2">
        <v>1.07865112880654E-3</v>
      </c>
      <c r="E24097" s="2">
        <v>5.9906489986184797E-4</v>
      </c>
      <c r="F24097" s="2">
        <v>8.0914248297717995E-4</v>
      </c>
    </row>
    <row r="24098" spans="1:6" x14ac:dyDescent="0.25">
      <c r="A24098" s="1" t="str">
        <f t="shared" si="890"/>
        <v>35620</v>
      </c>
      <c r="B24098" s="1" t="str">
        <f>"10980"</f>
        <v>10980</v>
      </c>
      <c r="C24098" s="2">
        <v>6.9068515791115704E-4</v>
      </c>
      <c r="D24098" s="2">
        <v>5.4118317254702797E-4</v>
      </c>
      <c r="E24098" s="2">
        <v>1.6592176526785801E-4</v>
      </c>
      <c r="F24098" s="2">
        <v>6.4544499936411404E-4</v>
      </c>
    </row>
    <row r="24099" spans="1:6" x14ac:dyDescent="0.25">
      <c r="A24099" s="1" t="str">
        <f t="shared" si="890"/>
        <v>35620</v>
      </c>
      <c r="B24099" s="1" t="str">
        <f>"07035"</f>
        <v>07035</v>
      </c>
      <c r="C24099" s="2">
        <v>5.4112287978761602E-4</v>
      </c>
      <c r="D24099" s="2">
        <v>3.70283223321651E-4</v>
      </c>
      <c r="E24099" s="2">
        <v>1.6242867547274601E-4</v>
      </c>
      <c r="F24099" s="2">
        <v>5.0301529905510804E-4</v>
      </c>
    </row>
    <row r="24100" spans="1:6" x14ac:dyDescent="0.25">
      <c r="A24100" s="1" t="str">
        <f t="shared" si="890"/>
        <v>35620</v>
      </c>
      <c r="B24100" s="1" t="str">
        <f>"07031"</f>
        <v>07031</v>
      </c>
      <c r="C24100" s="2">
        <v>8.2599740447655205E-4</v>
      </c>
      <c r="D24100" s="2">
        <v>5.1022303681779303E-4</v>
      </c>
      <c r="E24100" s="2">
        <v>6.58447426378766E-4</v>
      </c>
      <c r="F24100" s="2">
        <v>7.8830435186108105E-4</v>
      </c>
    </row>
    <row r="24101" spans="1:6" x14ac:dyDescent="0.25">
      <c r="A24101" s="1" t="str">
        <f t="shared" si="890"/>
        <v>35620</v>
      </c>
      <c r="B24101" s="1" t="str">
        <f>"07054"</f>
        <v>07054</v>
      </c>
      <c r="C24101" s="2">
        <v>1.6474549758903299E-3</v>
      </c>
      <c r="D24101" s="2">
        <v>3.2087084669779101E-3</v>
      </c>
      <c r="E24101" s="2">
        <v>1.2260745180845899E-3</v>
      </c>
      <c r="F24101" s="2">
        <v>1.7569552096186999E-3</v>
      </c>
    </row>
    <row r="24102" spans="1:6" x14ac:dyDescent="0.25">
      <c r="A24102" s="1" t="str">
        <f t="shared" si="890"/>
        <v>35620</v>
      </c>
      <c r="B24102" s="1" t="str">
        <f>"07045"</f>
        <v>07045</v>
      </c>
      <c r="C24102" s="2">
        <v>5.5915610556473805E-4</v>
      </c>
      <c r="D24102" s="2">
        <v>5.3499114540118096E-4</v>
      </c>
      <c r="E24102" s="2">
        <v>1.17018508136279E-4</v>
      </c>
      <c r="F24102" s="2">
        <v>5.2986856080265905E-4</v>
      </c>
    </row>
    <row r="24103" spans="1:6" x14ac:dyDescent="0.25">
      <c r="A24103" s="1" t="str">
        <f t="shared" si="890"/>
        <v>35620</v>
      </c>
      <c r="B24103" s="1" t="str">
        <f>"07023"</f>
        <v>07023</v>
      </c>
      <c r="C24103" s="2">
        <v>3.9105617576821197E-4</v>
      </c>
      <c r="D24103" s="2">
        <v>3.7523684503832798E-4</v>
      </c>
      <c r="E24103" s="2">
        <v>1.0304614895582799E-4</v>
      </c>
      <c r="F24103" s="2">
        <v>3.7197138172706399E-4</v>
      </c>
    </row>
    <row r="24104" spans="1:6" x14ac:dyDescent="0.25">
      <c r="A24104" s="1" t="str">
        <f t="shared" si="890"/>
        <v>35620</v>
      </c>
      <c r="B24104" s="1" t="str">
        <f>"07024"</f>
        <v>07024</v>
      </c>
      <c r="C24104" s="2">
        <v>2.6126739276252199E-3</v>
      </c>
      <c r="D24104" s="2">
        <v>2.7034390518767999E-3</v>
      </c>
      <c r="E24104" s="2">
        <v>1.92119938731204E-3</v>
      </c>
      <c r="F24104" s="2">
        <v>2.5780205408118002E-3</v>
      </c>
    </row>
    <row r="24105" spans="1:6" x14ac:dyDescent="0.25">
      <c r="A24105" s="1" t="str">
        <f t="shared" si="890"/>
        <v>35620</v>
      </c>
      <c r="B24105" s="1" t="str">
        <f>"07017"</f>
        <v>07017</v>
      </c>
      <c r="C24105" s="2">
        <v>1.8540173802464499E-3</v>
      </c>
      <c r="D24105" s="2">
        <v>8.40877286406023E-4</v>
      </c>
      <c r="E24105" s="2">
        <v>2.47310757493987E-3</v>
      </c>
      <c r="F24105" s="2">
        <v>1.80421695029439E-3</v>
      </c>
    </row>
    <row r="24106" spans="1:6" x14ac:dyDescent="0.25">
      <c r="A24106" s="1" t="str">
        <f t="shared" si="890"/>
        <v>35620</v>
      </c>
      <c r="B24106" s="1" t="str">
        <f>"07018"</f>
        <v>07018</v>
      </c>
      <c r="C24106" s="2">
        <v>1.4854081568441699E-3</v>
      </c>
      <c r="D24106" s="2">
        <v>1.4167358109697899E-3</v>
      </c>
      <c r="E24106" s="2">
        <v>2.1639691280723899E-3</v>
      </c>
      <c r="F24106" s="2">
        <v>1.52118357147521E-3</v>
      </c>
    </row>
    <row r="24107" spans="1:6" x14ac:dyDescent="0.25">
      <c r="A24107" s="1" t="str">
        <f t="shared" si="890"/>
        <v>35620</v>
      </c>
      <c r="B24107" s="1" t="str">
        <f>"07112"</f>
        <v>07112</v>
      </c>
      <c r="C24107" s="2">
        <v>1.15475698210561E-3</v>
      </c>
      <c r="D24107" s="2">
        <v>6.6378531003479901E-4</v>
      </c>
      <c r="E24107" s="2">
        <v>3.5664446808101801E-3</v>
      </c>
      <c r="F24107" s="2">
        <v>1.26049210643E-3</v>
      </c>
    </row>
    <row r="24108" spans="1:6" x14ac:dyDescent="0.25">
      <c r="A24108" s="1" t="str">
        <f t="shared" si="890"/>
        <v>35620</v>
      </c>
      <c r="B24108" s="1" t="str">
        <f>"18337"</f>
        <v>18337</v>
      </c>
      <c r="C24108" s="2">
        <v>8.9510375220985805E-4</v>
      </c>
      <c r="D24108" s="2">
        <v>7.1455993263074404E-4</v>
      </c>
      <c r="E24108" s="2">
        <v>3.9821223664286102E-4</v>
      </c>
      <c r="F24108" s="2">
        <v>8.4888531036355405E-4</v>
      </c>
    </row>
    <row r="24109" spans="1:6" x14ac:dyDescent="0.25">
      <c r="A24109" s="1" t="str">
        <f t="shared" si="890"/>
        <v>35620</v>
      </c>
      <c r="B24109" s="1" t="str">
        <f>"10312"</f>
        <v>10312</v>
      </c>
      <c r="C24109" s="2">
        <v>2.4033371808418499E-3</v>
      </c>
      <c r="D24109" s="2">
        <v>8.8422147642695196E-4</v>
      </c>
      <c r="E24109" s="2">
        <v>3.52802069306394E-4</v>
      </c>
      <c r="F24109" s="2">
        <v>2.1454682005822602E-3</v>
      </c>
    </row>
    <row r="24110" spans="1:6" x14ac:dyDescent="0.25">
      <c r="A24110" s="1" t="str">
        <f t="shared" si="890"/>
        <v>35620</v>
      </c>
      <c r="B24110" s="1" t="str">
        <f>"11216"</f>
        <v>11216</v>
      </c>
      <c r="C24110" s="2">
        <v>2.9148250392474801E-3</v>
      </c>
      <c r="D24110" s="2">
        <v>2.0124088224002701E-3</v>
      </c>
      <c r="E24110" s="2">
        <v>8.2262264674906795E-3</v>
      </c>
      <c r="F24110" s="2">
        <v>3.1632068208144099E-3</v>
      </c>
    </row>
    <row r="24111" spans="1:6" x14ac:dyDescent="0.25">
      <c r="A24111" s="1" t="str">
        <f t="shared" si="890"/>
        <v>35620</v>
      </c>
      <c r="B24111" s="1" t="str">
        <f>"11209"</f>
        <v>11209</v>
      </c>
      <c r="C24111" s="2">
        <v>4.0161128763915597E-3</v>
      </c>
      <c r="D24111" s="2">
        <v>2.8198491622187199E-3</v>
      </c>
      <c r="E24111" s="2">
        <v>4.7366297621729801E-3</v>
      </c>
      <c r="F24111" s="2">
        <v>3.9566669989310197E-3</v>
      </c>
    </row>
    <row r="24112" spans="1:6" x14ac:dyDescent="0.25">
      <c r="A24112" s="1" t="str">
        <f t="shared" si="890"/>
        <v>35620</v>
      </c>
      <c r="B24112" s="1" t="str">
        <f>"11105"</f>
        <v>11105</v>
      </c>
      <c r="C24112" s="2">
        <v>1.7724264915905199E-3</v>
      </c>
      <c r="D24112" s="2">
        <v>1.71147630311211E-3</v>
      </c>
      <c r="E24112" s="2">
        <v>3.4983294298054799E-3</v>
      </c>
      <c r="F24112" s="2">
        <v>1.8732835395090901E-3</v>
      </c>
    </row>
    <row r="24113" spans="1:6" x14ac:dyDescent="0.25">
      <c r="A24113" s="1" t="str">
        <f t="shared" si="890"/>
        <v>35620</v>
      </c>
      <c r="B24113" s="1" t="str">
        <f>"11234"</f>
        <v>11234</v>
      </c>
      <c r="C24113" s="2">
        <v>3.4754944224998099E-3</v>
      </c>
      <c r="D24113" s="2">
        <v>2.6662868890017198E-3</v>
      </c>
      <c r="E24113" s="2">
        <v>2.2635221872331001E-3</v>
      </c>
      <c r="F24113" s="2">
        <v>3.3307711741191199E-3</v>
      </c>
    </row>
    <row r="24114" spans="1:6" x14ac:dyDescent="0.25">
      <c r="A24114" s="1" t="str">
        <f t="shared" si="890"/>
        <v>35620</v>
      </c>
      <c r="B24114" s="1" t="str">
        <f>"11385"</f>
        <v>11385</v>
      </c>
      <c r="C24114" s="2">
        <v>3.4265651106010499E-3</v>
      </c>
      <c r="D24114" s="2">
        <v>3.63471993461219E-3</v>
      </c>
      <c r="E24114" s="2">
        <v>8.4550238490705698E-3</v>
      </c>
      <c r="F24114" s="2">
        <v>3.7538711662135201E-3</v>
      </c>
    </row>
    <row r="24115" spans="1:6" x14ac:dyDescent="0.25">
      <c r="A24115" s="1" t="str">
        <f t="shared" si="890"/>
        <v>35620</v>
      </c>
      <c r="B24115" s="1" t="str">
        <f>"11375"</f>
        <v>11375</v>
      </c>
      <c r="C24115" s="2">
        <v>4.40918675574323E-3</v>
      </c>
      <c r="D24115" s="2">
        <v>2.7975578644936698E-3</v>
      </c>
      <c r="E24115" s="2">
        <v>2.12554514032614E-3</v>
      </c>
      <c r="F24115" s="2">
        <v>4.1289575263033004E-3</v>
      </c>
    </row>
    <row r="24116" spans="1:6" x14ac:dyDescent="0.25">
      <c r="A24116" s="1" t="str">
        <f t="shared" si="890"/>
        <v>35620</v>
      </c>
      <c r="B24116" s="1" t="str">
        <f>"11377"</f>
        <v>11377</v>
      </c>
      <c r="C24116" s="2">
        <v>3.6608709392296599E-3</v>
      </c>
      <c r="D24116" s="2">
        <v>2.6910549975851E-3</v>
      </c>
      <c r="E24116" s="2">
        <v>4.5183116499784301E-3</v>
      </c>
      <c r="F24116" s="2">
        <v>3.62948685779887E-3</v>
      </c>
    </row>
    <row r="24117" spans="1:6" x14ac:dyDescent="0.25">
      <c r="A24117" s="1" t="str">
        <f t="shared" si="890"/>
        <v>35620</v>
      </c>
      <c r="B24117" s="1" t="str">
        <f>"11363"</f>
        <v>11363</v>
      </c>
      <c r="C24117" s="2">
        <v>3.4817997461981102E-4</v>
      </c>
      <c r="D24117" s="2">
        <v>2.37773842400525E-4</v>
      </c>
      <c r="E24117" s="2">
        <v>1.44963226497181E-4</v>
      </c>
      <c r="F24117" s="2">
        <v>3.2610601066224799E-4</v>
      </c>
    </row>
    <row r="24118" spans="1:6" x14ac:dyDescent="0.25">
      <c r="A24118" s="1" t="str">
        <f t="shared" si="890"/>
        <v>35620</v>
      </c>
      <c r="B24118" s="1" t="str">
        <f>"11372"</f>
        <v>11372</v>
      </c>
      <c r="C24118" s="2">
        <v>3.2937749935149701E-3</v>
      </c>
      <c r="D24118" s="2">
        <v>2.97217303000656E-3</v>
      </c>
      <c r="E24118" s="2">
        <v>2.64077588510529E-3</v>
      </c>
      <c r="F24118" s="2">
        <v>3.2257212141627101E-3</v>
      </c>
    </row>
    <row r="24119" spans="1:6" x14ac:dyDescent="0.25">
      <c r="A24119" s="1" t="str">
        <f t="shared" si="890"/>
        <v>35620</v>
      </c>
      <c r="B24119" s="1" t="str">
        <f>"11247"</f>
        <v>11247</v>
      </c>
      <c r="C24119" s="2">
        <v>4.2069119715019499E-4</v>
      </c>
      <c r="D24119" s="2">
        <v>1.4241662435448101E-4</v>
      </c>
      <c r="E24119" s="2">
        <v>3.49308979511281E-6</v>
      </c>
      <c r="F24119" s="2">
        <v>3.7089725125716202E-4</v>
      </c>
    </row>
    <row r="24120" spans="1:6" x14ac:dyDescent="0.25">
      <c r="A24120" s="1" t="str">
        <f t="shared" si="890"/>
        <v>35620</v>
      </c>
      <c r="B24120" s="1" t="str">
        <f>"11572"</f>
        <v>11572</v>
      </c>
      <c r="C24120" s="2">
        <v>1.4302996277210699E-3</v>
      </c>
      <c r="D24120" s="2">
        <v>1.48608651500328E-3</v>
      </c>
      <c r="E24120" s="2">
        <v>6.9512486922744998E-4</v>
      </c>
      <c r="F24120" s="2">
        <v>1.3899248280531901E-3</v>
      </c>
    </row>
    <row r="24121" spans="1:6" x14ac:dyDescent="0.25">
      <c r="A24121" s="1" t="str">
        <f t="shared" si="890"/>
        <v>35620</v>
      </c>
      <c r="B24121" s="1" t="str">
        <f>"11435"</f>
        <v>11435</v>
      </c>
      <c r="C24121" s="2">
        <v>2.2433080653791399E-3</v>
      </c>
      <c r="D24121" s="2">
        <v>1.57772851676181E-3</v>
      </c>
      <c r="E24121" s="2">
        <v>1.70113473021994E-3</v>
      </c>
      <c r="F24121" s="2">
        <v>2.1522352225426399E-3</v>
      </c>
    </row>
    <row r="24122" spans="1:6" x14ac:dyDescent="0.25">
      <c r="A24122" s="1" t="str">
        <f t="shared" si="890"/>
        <v>35620</v>
      </c>
      <c r="B24122" s="1" t="str">
        <f>"11692"</f>
        <v>11692</v>
      </c>
      <c r="C24122" s="2">
        <v>1.00847347230518E-3</v>
      </c>
      <c r="D24122" s="2">
        <v>1.8452240894624E-4</v>
      </c>
      <c r="E24122" s="2">
        <v>4.1043805092575602E-4</v>
      </c>
      <c r="F24122" s="2">
        <v>9.0022874682487005E-4</v>
      </c>
    </row>
    <row r="24123" spans="1:6" x14ac:dyDescent="0.25">
      <c r="A24123" s="1" t="str">
        <f t="shared" si="890"/>
        <v>35620</v>
      </c>
      <c r="B24123" s="1" t="str">
        <f>"11433"</f>
        <v>11433</v>
      </c>
      <c r="C24123" s="2">
        <v>1.1336972009533099E-3</v>
      </c>
      <c r="D24123" s="2">
        <v>8.6564539498941104E-4</v>
      </c>
      <c r="E24123" s="2">
        <v>8.4358118551974501E-4</v>
      </c>
      <c r="F24123" s="2">
        <v>1.0926055139843099E-3</v>
      </c>
    </row>
    <row r="24124" spans="1:6" x14ac:dyDescent="0.25">
      <c r="A24124" s="1" t="str">
        <f t="shared" si="890"/>
        <v>35620</v>
      </c>
      <c r="B24124" s="1" t="str">
        <f>"11514"</f>
        <v>11514</v>
      </c>
      <c r="C24124" s="2">
        <v>2.5322179972349802E-4</v>
      </c>
      <c r="D24124" s="2">
        <v>7.1332152720157498E-4</v>
      </c>
      <c r="E24124" s="2">
        <v>3.8947951215507901E-4</v>
      </c>
      <c r="F24124" s="2">
        <v>3.0150842290149201E-4</v>
      </c>
    </row>
    <row r="24125" spans="1:6" x14ac:dyDescent="0.25">
      <c r="A24125" s="1" t="str">
        <f t="shared" si="890"/>
        <v>35620</v>
      </c>
      <c r="B24125" s="1" t="str">
        <f>"11693"</f>
        <v>11693</v>
      </c>
      <c r="C24125" s="2">
        <v>6.9762101397928002E-4</v>
      </c>
      <c r="D24125" s="2">
        <v>3.1083976272151901E-4</v>
      </c>
      <c r="E24125" s="2">
        <v>3.9471914684774802E-4</v>
      </c>
      <c r="F24125" s="2">
        <v>6.4544499936411404E-4</v>
      </c>
    </row>
    <row r="24126" spans="1:6" x14ac:dyDescent="0.25">
      <c r="A24126" s="1" t="str">
        <f t="shared" si="890"/>
        <v>35620</v>
      </c>
      <c r="B24126" s="1" t="str">
        <f>"11553"</f>
        <v>11553</v>
      </c>
      <c r="C24126" s="2">
        <v>8.3003281164346096E-4</v>
      </c>
      <c r="D24126" s="2">
        <v>8.3963888097685405E-4</v>
      </c>
      <c r="E24126" s="2">
        <v>4.0345187133553002E-4</v>
      </c>
      <c r="F24126" s="2">
        <v>8.0463113500359098E-4</v>
      </c>
    </row>
    <row r="24127" spans="1:6" x14ac:dyDescent="0.25">
      <c r="A24127" s="1" t="str">
        <f t="shared" si="890"/>
        <v>35620</v>
      </c>
      <c r="B24127" s="1" t="str">
        <f>"11429"</f>
        <v>11429</v>
      </c>
      <c r="C24127" s="2">
        <v>7.7441985662450499E-4</v>
      </c>
      <c r="D24127" s="2">
        <v>4.4830276535932299E-4</v>
      </c>
      <c r="E24127" s="2">
        <v>2.1307847750188101E-4</v>
      </c>
      <c r="F24127" s="2">
        <v>7.1161143631007803E-4</v>
      </c>
    </row>
    <row r="24128" spans="1:6" x14ac:dyDescent="0.25">
      <c r="A24128" s="1" t="str">
        <f t="shared" si="890"/>
        <v>35620</v>
      </c>
      <c r="B24128" s="1" t="str">
        <f>"11758"</f>
        <v>11758</v>
      </c>
      <c r="C24128" s="2">
        <v>2.4074986944827201E-3</v>
      </c>
      <c r="D24128" s="2">
        <v>2.1981696367756802E-3</v>
      </c>
      <c r="E24128" s="2">
        <v>6.61940516173879E-4</v>
      </c>
      <c r="F24128" s="2">
        <v>2.2819901833068001E-3</v>
      </c>
    </row>
    <row r="24129" spans="1:6" x14ac:dyDescent="0.25">
      <c r="A24129" s="1" t="str">
        <f t="shared" si="890"/>
        <v>35620</v>
      </c>
      <c r="B24129" s="1" t="str">
        <f>"11762"</f>
        <v>11762</v>
      </c>
      <c r="C24129" s="2">
        <v>9.7656853439182E-4</v>
      </c>
      <c r="D24129" s="2">
        <v>5.7214330827626302E-4</v>
      </c>
      <c r="E24129" s="2">
        <v>1.2051159793139201E-4</v>
      </c>
      <c r="F24129" s="2">
        <v>8.8884296384390902E-4</v>
      </c>
    </row>
    <row r="24130" spans="1:6" x14ac:dyDescent="0.25">
      <c r="A24130" s="1" t="str">
        <f t="shared" si="890"/>
        <v>35620</v>
      </c>
      <c r="B24130" s="1" t="str">
        <f>"11763"</f>
        <v>11763</v>
      </c>
      <c r="C24130" s="2">
        <v>1.29587012647344E-3</v>
      </c>
      <c r="D24130" s="2">
        <v>1.4749408661407499E-3</v>
      </c>
      <c r="E24130" s="2">
        <v>3.9646569174530398E-4</v>
      </c>
      <c r="F24130" s="2">
        <v>1.2560881715034001E-3</v>
      </c>
    </row>
    <row r="24131" spans="1:6" x14ac:dyDescent="0.25">
      <c r="A24131" s="1" t="str">
        <f t="shared" si="890"/>
        <v>35620</v>
      </c>
      <c r="B24131" s="1" t="str">
        <f>"11757"</f>
        <v>11757</v>
      </c>
      <c r="C24131" s="2">
        <v>1.9245108991933801E-3</v>
      </c>
      <c r="D24131" s="2">
        <v>1.9467733346542899E-3</v>
      </c>
      <c r="E24131" s="2">
        <v>1.95787683016073E-3</v>
      </c>
      <c r="F24131" s="2">
        <v>1.92849384566205E-3</v>
      </c>
    </row>
    <row r="24132" spans="1:6" x14ac:dyDescent="0.25">
      <c r="A24132" s="1" t="str">
        <f t="shared" si="890"/>
        <v>35620</v>
      </c>
      <c r="B24132" s="1" t="str">
        <f>"11721"</f>
        <v>11721</v>
      </c>
      <c r="C24132" s="2">
        <v>3.7516676004850999E-4</v>
      </c>
      <c r="D24132" s="2">
        <v>2.5882673469640401E-4</v>
      </c>
      <c r="E24132" s="2">
        <v>4.0170532643797399E-5</v>
      </c>
      <c r="F24132" s="2">
        <v>3.4447364169757201E-4</v>
      </c>
    </row>
    <row r="24133" spans="1:6" x14ac:dyDescent="0.25">
      <c r="A24133" s="1" t="str">
        <f t="shared" si="890"/>
        <v>35620</v>
      </c>
      <c r="B24133" s="1" t="str">
        <f>"11729"</f>
        <v>11729</v>
      </c>
      <c r="C24133" s="2">
        <v>1.21339649249975E-3</v>
      </c>
      <c r="D24133" s="2">
        <v>2.72201513331434E-3</v>
      </c>
      <c r="E24133" s="2">
        <v>1.06888547730452E-3</v>
      </c>
      <c r="F24133" s="2">
        <v>1.33535900018217E-3</v>
      </c>
    </row>
    <row r="24134" spans="1:6" x14ac:dyDescent="0.25">
      <c r="A24134" s="1" t="str">
        <f t="shared" si="890"/>
        <v>35620</v>
      </c>
      <c r="B24134" s="1" t="str">
        <f>"11715"</f>
        <v>11715</v>
      </c>
      <c r="C24134" s="2">
        <v>2.1652481579942601E-4</v>
      </c>
      <c r="D24134" s="2">
        <v>1.34986191779464E-4</v>
      </c>
      <c r="E24134" s="2">
        <v>4.5410167336466597E-5</v>
      </c>
      <c r="F24134" s="2">
        <v>1.98928963025851E-4</v>
      </c>
    </row>
    <row r="24135" spans="1:6" x14ac:dyDescent="0.25">
      <c r="A24135" s="1" t="str">
        <f t="shared" si="890"/>
        <v>35620</v>
      </c>
      <c r="B24135" s="1" t="str">
        <f>"11964"</f>
        <v>11964</v>
      </c>
      <c r="C24135" s="2">
        <v>1.51327768759063E-6</v>
      </c>
      <c r="D24135" s="2">
        <v>0</v>
      </c>
      <c r="E24135" s="2">
        <v>1.7465448975563999E-6</v>
      </c>
      <c r="F24135" s="2">
        <v>1.3963696108726E-6</v>
      </c>
    </row>
    <row r="24136" spans="1:6" x14ac:dyDescent="0.25">
      <c r="A24136" s="1" t="str">
        <f t="shared" si="890"/>
        <v>35620</v>
      </c>
      <c r="B24136" s="1" t="str">
        <f>"08888"</f>
        <v>08888</v>
      </c>
      <c r="C24136" s="2">
        <v>4.7542140685138899E-5</v>
      </c>
      <c r="D24136" s="2">
        <v>1.3250938092112499E-4</v>
      </c>
      <c r="E24136" s="2">
        <v>1.3972359180451199E-5</v>
      </c>
      <c r="F24136" s="2">
        <v>5.2847219119178603E-5</v>
      </c>
    </row>
    <row r="24137" spans="1:6" x14ac:dyDescent="0.25">
      <c r="A24137" s="1" t="str">
        <f t="shared" si="890"/>
        <v>35620</v>
      </c>
      <c r="B24137" s="1" t="str">
        <f>"10104"</f>
        <v>10104</v>
      </c>
      <c r="C24137" s="2">
        <v>0</v>
      </c>
      <c r="D24137" s="2">
        <v>5.9443460600131203E-5</v>
      </c>
      <c r="E24137" s="2">
        <v>1.04792693853384E-5</v>
      </c>
      <c r="F24137" s="2">
        <v>5.8003045374708199E-6</v>
      </c>
    </row>
    <row r="24138" spans="1:6" x14ac:dyDescent="0.25">
      <c r="A24138" s="1" t="str">
        <f t="shared" si="890"/>
        <v>35620</v>
      </c>
      <c r="B24138" s="1" t="str">
        <f>"11351"</f>
        <v>11351</v>
      </c>
      <c r="C24138" s="2">
        <v>0</v>
      </c>
      <c r="D24138" s="2">
        <v>1.8576081437540999E-5</v>
      </c>
      <c r="E24138" s="2">
        <v>5.2396346926692202E-6</v>
      </c>
      <c r="F24138" s="2">
        <v>1.9334348458235999E-6</v>
      </c>
    </row>
    <row r="24139" spans="1:6" x14ac:dyDescent="0.25">
      <c r="A24139" s="1" t="str">
        <f t="shared" ref="A24139:A24202" si="891">"35620"</f>
        <v>35620</v>
      </c>
      <c r="B24139" s="1" t="str">
        <f>"07051"</f>
        <v>07051</v>
      </c>
      <c r="C24139" s="2">
        <v>1.50066704019404E-4</v>
      </c>
      <c r="D24139" s="2">
        <v>2.1548254467547499E-4</v>
      </c>
      <c r="E24139" s="2">
        <v>3.49308979511281E-6</v>
      </c>
      <c r="F24139" s="2">
        <v>1.4672622218861301E-4</v>
      </c>
    </row>
    <row r="24140" spans="1:6" x14ac:dyDescent="0.25">
      <c r="A24140" s="1" t="str">
        <f t="shared" si="891"/>
        <v>35620</v>
      </c>
      <c r="B24140" s="1" t="str">
        <f>"10153"</f>
        <v>10153</v>
      </c>
      <c r="C24140" s="2">
        <v>0</v>
      </c>
      <c r="D24140" s="2">
        <v>9.6595623475213304E-5</v>
      </c>
      <c r="E24140" s="2">
        <v>2.2705083668233298E-5</v>
      </c>
      <c r="F24140" s="2">
        <v>9.7745872761082402E-6</v>
      </c>
    </row>
    <row r="24141" spans="1:6" x14ac:dyDescent="0.25">
      <c r="A24141" s="1" t="str">
        <f t="shared" si="891"/>
        <v>35620</v>
      </c>
      <c r="B24141" s="1" t="str">
        <f>"10505"</f>
        <v>10505</v>
      </c>
      <c r="C24141" s="2">
        <v>1.9533892817315699E-4</v>
      </c>
      <c r="D24141" s="2">
        <v>2.1424413924630599E-4</v>
      </c>
      <c r="E24141" s="2">
        <v>4.8903257131579398E-5</v>
      </c>
      <c r="F24141" s="2">
        <v>1.8797283223285E-4</v>
      </c>
    </row>
    <row r="24142" spans="1:6" x14ac:dyDescent="0.25">
      <c r="A24142" s="1" t="str">
        <f t="shared" si="891"/>
        <v>35620</v>
      </c>
      <c r="B24142" s="1" t="str">
        <f>"07063"</f>
        <v>07063</v>
      </c>
      <c r="C24142" s="2">
        <v>5.23089654010494E-4</v>
      </c>
      <c r="D24142" s="2">
        <v>1.4613184064198899E-4</v>
      </c>
      <c r="E24142" s="2">
        <v>3.5804170399906301E-4</v>
      </c>
      <c r="F24142" s="2">
        <v>4.8024373309318603E-4</v>
      </c>
    </row>
    <row r="24143" spans="1:6" x14ac:dyDescent="0.25">
      <c r="A24143" s="1" t="str">
        <f t="shared" si="891"/>
        <v>35620</v>
      </c>
      <c r="B24143" s="1" t="str">
        <f>"07511"</f>
        <v>07511</v>
      </c>
      <c r="C24143" s="2">
        <v>5.0190376638422503E-5</v>
      </c>
      <c r="D24143" s="2">
        <v>2.0557530124212E-4</v>
      </c>
      <c r="E24143" s="2">
        <v>3.49308979511281E-6</v>
      </c>
      <c r="F24143" s="2">
        <v>6.0795784596453403E-5</v>
      </c>
    </row>
    <row r="24144" spans="1:6" x14ac:dyDescent="0.25">
      <c r="A24144" s="1" t="str">
        <f t="shared" si="891"/>
        <v>35620</v>
      </c>
      <c r="B24144" s="1" t="str">
        <f>"07457"</f>
        <v>07457</v>
      </c>
      <c r="C24144" s="2">
        <v>2.5309569324953298E-4</v>
      </c>
      <c r="D24144" s="2">
        <v>3.4427670930909298E-4</v>
      </c>
      <c r="E24144" s="2">
        <v>2.2530429178477601E-4</v>
      </c>
      <c r="F24144" s="2">
        <v>2.5929509543434298E-4</v>
      </c>
    </row>
    <row r="24145" spans="1:6" x14ac:dyDescent="0.25">
      <c r="A24145" s="1" t="str">
        <f t="shared" si="891"/>
        <v>35620</v>
      </c>
      <c r="B24145" s="1" t="str">
        <f>"07979"</f>
        <v>07979</v>
      </c>
      <c r="C24145" s="2">
        <v>0</v>
      </c>
      <c r="D24145" s="2">
        <v>1.2384054291694E-6</v>
      </c>
      <c r="E24145" s="2">
        <v>1.7465448975563999E-6</v>
      </c>
      <c r="F24145" s="2">
        <v>2.1482609398039999E-7</v>
      </c>
    </row>
    <row r="24146" spans="1:6" x14ac:dyDescent="0.25">
      <c r="A24146" s="1" t="str">
        <f t="shared" si="891"/>
        <v>35620</v>
      </c>
      <c r="B24146" s="1" t="str">
        <f>"08551"</f>
        <v>08551</v>
      </c>
      <c r="C24146" s="2">
        <v>3.3140781358234801E-4</v>
      </c>
      <c r="D24146" s="2">
        <v>2.89786870425639E-4</v>
      </c>
      <c r="E24146" s="2">
        <v>4.7156712234023001E-5</v>
      </c>
      <c r="F24146" s="2">
        <v>3.1031629275468902E-4</v>
      </c>
    </row>
    <row r="24147" spans="1:6" x14ac:dyDescent="0.25">
      <c r="A24147" s="1" t="str">
        <f t="shared" si="891"/>
        <v>35620</v>
      </c>
      <c r="B24147" s="1" t="str">
        <f>"10152"</f>
        <v>10152</v>
      </c>
      <c r="C24147" s="2">
        <v>0</v>
      </c>
      <c r="D24147" s="2">
        <v>9.0403596329366294E-5</v>
      </c>
      <c r="E24147" s="2">
        <v>1.5718904078007601E-5</v>
      </c>
      <c r="F24147" s="2">
        <v>8.8078698531964394E-6</v>
      </c>
    </row>
    <row r="24148" spans="1:6" x14ac:dyDescent="0.25">
      <c r="A24148" s="1" t="str">
        <f t="shared" si="891"/>
        <v>35620</v>
      </c>
      <c r="B24148" s="1" t="str">
        <f>"10167"</f>
        <v>10167</v>
      </c>
      <c r="C24148" s="2">
        <v>0</v>
      </c>
      <c r="D24148" s="2">
        <v>1.08979677766907E-4</v>
      </c>
      <c r="E24148" s="2">
        <v>8.7327244877820399E-6</v>
      </c>
      <c r="F24148" s="2">
        <v>9.9894133700886408E-6</v>
      </c>
    </row>
    <row r="24149" spans="1:6" x14ac:dyDescent="0.25">
      <c r="A24149" s="1" t="str">
        <f t="shared" si="891"/>
        <v>35620</v>
      </c>
      <c r="B24149" s="1" t="str">
        <f>"10166"</f>
        <v>10166</v>
      </c>
      <c r="C24149" s="2">
        <v>0</v>
      </c>
      <c r="D24149" s="2">
        <v>8.4211569183519297E-5</v>
      </c>
      <c r="E24149" s="2">
        <v>5.2396346926692202E-6</v>
      </c>
      <c r="F24149" s="2">
        <v>7.6263263363042296E-6</v>
      </c>
    </row>
    <row r="24150" spans="1:6" x14ac:dyDescent="0.25">
      <c r="A24150" s="1" t="str">
        <f t="shared" si="891"/>
        <v>35620</v>
      </c>
      <c r="B24150" s="1" t="str">
        <f>"10517"</f>
        <v>10517</v>
      </c>
      <c r="C24150" s="2">
        <v>7.5285564957633798E-5</v>
      </c>
      <c r="D24150" s="2">
        <v>9.9072434333552105E-5</v>
      </c>
      <c r="E24150" s="2">
        <v>3.49308979511281E-6</v>
      </c>
      <c r="F24150" s="2">
        <v>7.2933458906346098E-5</v>
      </c>
    </row>
    <row r="24151" spans="1:6" x14ac:dyDescent="0.25">
      <c r="A24151" s="1" t="str">
        <f t="shared" si="891"/>
        <v>35620</v>
      </c>
      <c r="B24151" s="1" t="str">
        <f>"08885"</f>
        <v>08885</v>
      </c>
      <c r="C24151" s="2">
        <v>0</v>
      </c>
      <c r="D24151" s="2">
        <v>0</v>
      </c>
      <c r="E24151" s="2">
        <v>1.7465448975563999E-6</v>
      </c>
      <c r="F24151" s="2">
        <v>1.074130469902E-7</v>
      </c>
    </row>
    <row r="24152" spans="1:6" x14ac:dyDescent="0.25">
      <c r="A24152" s="1" t="str">
        <f t="shared" si="891"/>
        <v>35620</v>
      </c>
      <c r="B24152" s="1" t="str">
        <f>"07099"</f>
        <v>07099</v>
      </c>
      <c r="C24152" s="2">
        <v>0</v>
      </c>
      <c r="D24152" s="2">
        <v>0</v>
      </c>
      <c r="E24152" s="2">
        <v>1.7465448975563999E-6</v>
      </c>
      <c r="F24152" s="2">
        <v>1.074130469902E-7</v>
      </c>
    </row>
    <row r="24153" spans="1:6" x14ac:dyDescent="0.25">
      <c r="A24153" s="1" t="str">
        <f t="shared" si="891"/>
        <v>35620</v>
      </c>
      <c r="B24153" s="1" t="str">
        <f>"18302"</f>
        <v>18302</v>
      </c>
      <c r="C24153" s="2">
        <v>6.9358560681237196E-6</v>
      </c>
      <c r="D24153" s="2">
        <v>6.1920271458469998E-6</v>
      </c>
      <c r="E24153" s="2">
        <v>3.49308979511281E-6</v>
      </c>
      <c r="F24153" s="2">
        <v>6.6596089133924297E-6</v>
      </c>
    </row>
    <row r="24154" spans="1:6" x14ac:dyDescent="0.25">
      <c r="A24154" s="1" t="str">
        <f t="shared" si="891"/>
        <v>35620</v>
      </c>
      <c r="B24154" s="1" t="str">
        <f>"07710"</f>
        <v>07710</v>
      </c>
      <c r="C24154" s="2">
        <v>2.3581910631620599E-5</v>
      </c>
      <c r="D24154" s="2">
        <v>1.5975430036285201E-4</v>
      </c>
      <c r="E24154" s="2">
        <v>3.49308979511281E-6</v>
      </c>
      <c r="F24154" s="2">
        <v>3.4157348942883701E-5</v>
      </c>
    </row>
    <row r="24155" spans="1:6" x14ac:dyDescent="0.25">
      <c r="A24155" s="1" t="str">
        <f t="shared" si="891"/>
        <v>35620</v>
      </c>
      <c r="B24155" s="1" t="str">
        <f>"07504"</f>
        <v>07504</v>
      </c>
      <c r="C24155" s="2">
        <v>4.1135931807671902E-4</v>
      </c>
      <c r="D24155" s="2">
        <v>2.37773842400525E-4</v>
      </c>
      <c r="E24155" s="2">
        <v>1.04094075894361E-3</v>
      </c>
      <c r="F24155" s="2">
        <v>4.35022840310311E-4</v>
      </c>
    </row>
    <row r="24156" spans="1:6" x14ac:dyDescent="0.25">
      <c r="A24156" s="1" t="str">
        <f t="shared" si="891"/>
        <v>35620</v>
      </c>
      <c r="B24156" s="1" t="str">
        <f>"07508"</f>
        <v>07508</v>
      </c>
      <c r="C24156" s="2">
        <v>9.4226757347309897E-4</v>
      </c>
      <c r="D24156" s="2">
        <v>6.3777879602224105E-4</v>
      </c>
      <c r="E24156" s="2">
        <v>7.6847975492481903E-4</v>
      </c>
      <c r="F24156" s="2">
        <v>9.0516974698641895E-4</v>
      </c>
    </row>
    <row r="24157" spans="1:6" x14ac:dyDescent="0.25">
      <c r="A24157" s="1" t="str">
        <f t="shared" si="891"/>
        <v>35620</v>
      </c>
      <c r="B24157" s="1" t="str">
        <f>"07608"</f>
        <v>07608</v>
      </c>
      <c r="C24157" s="2">
        <v>3.5309812710448001E-6</v>
      </c>
      <c r="D24157" s="2">
        <v>3.7647525046749801E-4</v>
      </c>
      <c r="E24157" s="2">
        <v>1.4845631629229399E-4</v>
      </c>
      <c r="F24157" s="2">
        <v>4.4791240594913599E-5</v>
      </c>
    </row>
    <row r="24158" spans="1:6" x14ac:dyDescent="0.25">
      <c r="A24158" s="1" t="str">
        <f t="shared" si="891"/>
        <v>35620</v>
      </c>
      <c r="B24158" s="1" t="str">
        <f>"07436"</f>
        <v>07436</v>
      </c>
      <c r="C24158" s="2">
        <v>6.1514738000559104E-4</v>
      </c>
      <c r="D24158" s="2">
        <v>7.5171209550582599E-4</v>
      </c>
      <c r="E24158" s="2">
        <v>2.86433363199251E-4</v>
      </c>
      <c r="F24158" s="2">
        <v>6.0677630244764197E-4</v>
      </c>
    </row>
    <row r="24159" spans="1:6" x14ac:dyDescent="0.25">
      <c r="A24159" s="1" t="str">
        <f t="shared" si="891"/>
        <v>35620</v>
      </c>
      <c r="B24159" s="1" t="str">
        <f>"07424"</f>
        <v>07424</v>
      </c>
      <c r="C24159" s="2">
        <v>1.4281558176636501E-3</v>
      </c>
      <c r="D24159" s="2">
        <v>1.6916618162453999E-3</v>
      </c>
      <c r="E24159" s="2">
        <v>1.9805819138289599E-3</v>
      </c>
      <c r="F24159" s="2">
        <v>1.48498537463952E-3</v>
      </c>
    </row>
    <row r="24160" spans="1:6" x14ac:dyDescent="0.25">
      <c r="A24160" s="1" t="str">
        <f t="shared" si="891"/>
        <v>35620</v>
      </c>
      <c r="B24160" s="1" t="str">
        <f>"07420"</f>
        <v>07420</v>
      </c>
      <c r="C24160" s="2">
        <v>2.3695406458189899E-4</v>
      </c>
      <c r="D24160" s="2">
        <v>1.88237625233749E-4</v>
      </c>
      <c r="E24160" s="2">
        <v>1.7814757955075301E-4</v>
      </c>
      <c r="F24160" s="2">
        <v>2.2911202923009701E-4</v>
      </c>
    </row>
    <row r="24161" spans="1:6" x14ac:dyDescent="0.25">
      <c r="A24161" s="1" t="str">
        <f t="shared" si="891"/>
        <v>35620</v>
      </c>
      <c r="B24161" s="1" t="str">
        <f>"07418"</f>
        <v>07418</v>
      </c>
      <c r="C24161" s="2">
        <v>1.7440525349482001E-4</v>
      </c>
      <c r="D24161" s="2">
        <v>1.18886921200262E-4</v>
      </c>
      <c r="E24161" s="2">
        <v>8.0341065287594797E-5</v>
      </c>
      <c r="F24161" s="2">
        <v>1.6380489666005499E-4</v>
      </c>
    </row>
    <row r="24162" spans="1:6" x14ac:dyDescent="0.25">
      <c r="A24162" s="1" t="str">
        <f t="shared" si="891"/>
        <v>35620</v>
      </c>
      <c r="B24162" s="1" t="str">
        <f>"07462"</f>
        <v>07462</v>
      </c>
      <c r="C24162" s="2">
        <v>3.8992121750251898E-4</v>
      </c>
      <c r="D24162" s="2">
        <v>2.5387311297972697E-4</v>
      </c>
      <c r="E24162" s="2">
        <v>9.5361351406579901E-4</v>
      </c>
      <c r="F24162" s="2">
        <v>4.1278833958334E-4</v>
      </c>
    </row>
    <row r="24163" spans="1:6" x14ac:dyDescent="0.25">
      <c r="A24163" s="1" t="str">
        <f t="shared" si="891"/>
        <v>35620</v>
      </c>
      <c r="B24163" s="1" t="str">
        <f>"07310"</f>
        <v>07310</v>
      </c>
      <c r="C24163" s="2">
        <v>1.4497200247118201E-3</v>
      </c>
      <c r="D24163" s="2">
        <v>7.0960631091406695E-4</v>
      </c>
      <c r="E24163" s="2">
        <v>3.56295159101507E-4</v>
      </c>
      <c r="F24163" s="2">
        <v>1.3182803257107301E-3</v>
      </c>
    </row>
    <row r="24164" spans="1:6" x14ac:dyDescent="0.25">
      <c r="A24164" s="1" t="str">
        <f t="shared" si="891"/>
        <v>35620</v>
      </c>
      <c r="B24164" s="1" t="str">
        <f>"07950"</f>
        <v>07950</v>
      </c>
      <c r="C24164" s="2">
        <v>1.07077007044433E-3</v>
      </c>
      <c r="D24164" s="2">
        <v>8.1858598868097404E-4</v>
      </c>
      <c r="E24164" s="2">
        <v>6.3923543250564495E-4</v>
      </c>
      <c r="F24164" s="2">
        <v>1.0223573812527199E-3</v>
      </c>
    </row>
    <row r="24165" spans="1:6" x14ac:dyDescent="0.25">
      <c r="A24165" s="1" t="str">
        <f t="shared" si="891"/>
        <v>35620</v>
      </c>
      <c r="B24165" s="1" t="str">
        <f>"07960"</f>
        <v>07960</v>
      </c>
      <c r="C24165" s="2">
        <v>2.3189719497586701E-3</v>
      </c>
      <c r="D24165" s="2">
        <v>2.65637964556836E-3</v>
      </c>
      <c r="E24165" s="2">
        <v>4.9130307968261698E-3</v>
      </c>
      <c r="F24165" s="2">
        <v>2.5077724080802099E-3</v>
      </c>
    </row>
    <row r="24166" spans="1:6" x14ac:dyDescent="0.25">
      <c r="A24166" s="1" t="str">
        <f t="shared" si="891"/>
        <v>35620</v>
      </c>
      <c r="B24166" s="1" t="str">
        <f>"07822"</f>
        <v>07822</v>
      </c>
      <c r="C24166" s="2">
        <v>4.3632839992196498E-5</v>
      </c>
      <c r="D24166" s="2">
        <v>1.4489343521281901E-4</v>
      </c>
      <c r="E24166" s="2">
        <v>7.8594520390038393E-5</v>
      </c>
      <c r="F24166" s="2">
        <v>5.45658278710218E-5</v>
      </c>
    </row>
    <row r="24167" spans="1:6" x14ac:dyDescent="0.25">
      <c r="A24167" s="1" t="str">
        <f t="shared" si="891"/>
        <v>35620</v>
      </c>
      <c r="B24167" s="1" t="str">
        <f>"07657"</f>
        <v>07657</v>
      </c>
      <c r="C24167" s="2">
        <v>5.4301447689710403E-4</v>
      </c>
      <c r="D24167" s="2">
        <v>1.14428661655252E-3</v>
      </c>
      <c r="E24167" s="2">
        <v>6.5320779168609596E-4</v>
      </c>
      <c r="F24167" s="2">
        <v>6.0194271533308297E-4</v>
      </c>
    </row>
    <row r="24168" spans="1:6" x14ac:dyDescent="0.25">
      <c r="A24168" s="1" t="str">
        <f t="shared" si="891"/>
        <v>35620</v>
      </c>
      <c r="B24168" s="1" t="str">
        <f>"07828"</f>
        <v>07828</v>
      </c>
      <c r="C24168" s="2">
        <v>8.0052389673544299E-4</v>
      </c>
      <c r="D24168" s="2">
        <v>4.8669333366357399E-4</v>
      </c>
      <c r="E24168" s="2">
        <v>8.7501899367576003E-4</v>
      </c>
      <c r="F24168" s="2">
        <v>7.7788528630303095E-4</v>
      </c>
    </row>
    <row r="24169" spans="1:6" x14ac:dyDescent="0.25">
      <c r="A24169" s="1" t="str">
        <f t="shared" si="891"/>
        <v>35620</v>
      </c>
      <c r="B24169" s="1" t="str">
        <f>"07656"</f>
        <v>07656</v>
      </c>
      <c r="C24169" s="2">
        <v>4.3544565460420397E-4</v>
      </c>
      <c r="D24169" s="2">
        <v>3.18270195296536E-4</v>
      </c>
      <c r="E24169" s="2">
        <v>3.65027883589289E-4</v>
      </c>
      <c r="F24169" s="2">
        <v>4.2095173115459501E-4</v>
      </c>
    </row>
    <row r="24170" spans="1:6" x14ac:dyDescent="0.25">
      <c r="A24170" s="1" t="str">
        <f t="shared" si="891"/>
        <v>35620</v>
      </c>
      <c r="B24170" s="1" t="str">
        <f>"07670"</f>
        <v>07670</v>
      </c>
      <c r="C24170" s="2">
        <v>7.3179586842403595E-4</v>
      </c>
      <c r="D24170" s="2">
        <v>7.8391063666423096E-4</v>
      </c>
      <c r="E24170" s="2">
        <v>4.9776529580357603E-4</v>
      </c>
      <c r="F24170" s="2">
        <v>7.2192308882113704E-4</v>
      </c>
    </row>
    <row r="24171" spans="1:6" x14ac:dyDescent="0.25">
      <c r="A24171" s="1" t="str">
        <f t="shared" si="891"/>
        <v>35620</v>
      </c>
      <c r="B24171" s="1" t="str">
        <f>"07840"</f>
        <v>07840</v>
      </c>
      <c r="C24171" s="2">
        <v>3.4010916028599401E-4</v>
      </c>
      <c r="D24171" s="2">
        <v>3.39323087592416E-4</v>
      </c>
      <c r="E24171" s="2">
        <v>3.6153479379417601E-4</v>
      </c>
      <c r="F24171" s="2">
        <v>3.4135866333485698E-4</v>
      </c>
    </row>
    <row r="24172" spans="1:6" x14ac:dyDescent="0.25">
      <c r="A24172" s="1" t="str">
        <f t="shared" si="891"/>
        <v>35620</v>
      </c>
      <c r="B24172" s="1" t="str">
        <f>"07851"</f>
        <v>07851</v>
      </c>
      <c r="C24172" s="2">
        <v>9.8363049693390994E-6</v>
      </c>
      <c r="D24172" s="2">
        <v>4.9536217166776E-6</v>
      </c>
      <c r="E24172" s="2">
        <v>2.79447183609025E-5</v>
      </c>
      <c r="F24172" s="2">
        <v>1.05264786050396E-5</v>
      </c>
    </row>
    <row r="24173" spans="1:6" x14ac:dyDescent="0.25">
      <c r="A24173" s="1" t="str">
        <f t="shared" si="891"/>
        <v>35620</v>
      </c>
      <c r="B24173" s="1" t="str">
        <f>"07857"</f>
        <v>07857</v>
      </c>
      <c r="C24173" s="2">
        <v>1.83484919620364E-4</v>
      </c>
      <c r="D24173" s="2">
        <v>1.6099270579202199E-4</v>
      </c>
      <c r="E24173" s="2">
        <v>3.0215226727725797E-4</v>
      </c>
      <c r="F24173" s="2">
        <v>1.8883213660877201E-4</v>
      </c>
    </row>
    <row r="24174" spans="1:6" x14ac:dyDescent="0.25">
      <c r="A24174" s="1" t="str">
        <f t="shared" si="891"/>
        <v>35620</v>
      </c>
      <c r="B24174" s="1" t="str">
        <f>"07847"</f>
        <v>07847</v>
      </c>
      <c r="C24174" s="2">
        <v>8.43652310831776E-5</v>
      </c>
      <c r="D24174" s="2">
        <v>2.17959355533814E-4</v>
      </c>
      <c r="E24174" s="2">
        <v>6.4622161209587094E-5</v>
      </c>
      <c r="F24174" s="2">
        <v>9.4738307445356798E-5</v>
      </c>
    </row>
    <row r="24175" spans="1:6" x14ac:dyDescent="0.25">
      <c r="A24175" s="1" t="str">
        <f t="shared" si="891"/>
        <v>35620</v>
      </c>
      <c r="B24175" s="1" t="str">
        <f>"07646"</f>
        <v>07646</v>
      </c>
      <c r="C24175" s="2">
        <v>8.0985577580891901E-4</v>
      </c>
      <c r="D24175" s="2">
        <v>2.4520427497554099E-4</v>
      </c>
      <c r="E24175" s="2">
        <v>1.7971946995855399E-3</v>
      </c>
      <c r="F24175" s="2">
        <v>8.2160239642804301E-4</v>
      </c>
    </row>
    <row r="24176" spans="1:6" x14ac:dyDescent="0.25">
      <c r="A24176" s="1" t="str">
        <f t="shared" si="891"/>
        <v>35620</v>
      </c>
      <c r="B24176" s="1" t="str">
        <f>"07640"</f>
        <v>07640</v>
      </c>
      <c r="C24176" s="2">
        <v>2.05931871986291E-4</v>
      </c>
      <c r="D24176" s="2">
        <v>9.0403596329366294E-5</v>
      </c>
      <c r="E24176" s="2">
        <v>7.6847975492481895E-5</v>
      </c>
      <c r="F24176" s="2">
        <v>1.8797283223285E-4</v>
      </c>
    </row>
    <row r="24177" spans="1:6" x14ac:dyDescent="0.25">
      <c r="A24177" s="1" t="str">
        <f t="shared" si="891"/>
        <v>35620</v>
      </c>
      <c r="B24177" s="1" t="str">
        <f>"07712"</f>
        <v>07712</v>
      </c>
      <c r="C24177" s="2">
        <v>2.5003130593216202E-3</v>
      </c>
      <c r="D24177" s="2">
        <v>2.2018848530631898E-3</v>
      </c>
      <c r="E24177" s="2">
        <v>2.6722136932613E-3</v>
      </c>
      <c r="F24177" s="2">
        <v>2.4850008421182799E-3</v>
      </c>
    </row>
    <row r="24178" spans="1:6" x14ac:dyDescent="0.25">
      <c r="A24178" s="1" t="str">
        <f t="shared" si="891"/>
        <v>35620</v>
      </c>
      <c r="B24178" s="1" t="str">
        <f>"08852"</f>
        <v>08852</v>
      </c>
      <c r="C24178" s="2">
        <v>9.2171221821666001E-4</v>
      </c>
      <c r="D24178" s="2">
        <v>7.3932804121413197E-4</v>
      </c>
      <c r="E24178" s="2">
        <v>2.27050836682333E-4</v>
      </c>
      <c r="F24178" s="2">
        <v>8.6317124561325102E-4</v>
      </c>
    </row>
    <row r="24179" spans="1:6" x14ac:dyDescent="0.25">
      <c r="A24179" s="1" t="str">
        <f t="shared" si="891"/>
        <v>35620</v>
      </c>
      <c r="B24179" s="1" t="str">
        <f>"08854"</f>
        <v>08854</v>
      </c>
      <c r="C24179" s="2">
        <v>2.4086336527484199E-3</v>
      </c>
      <c r="D24179" s="2">
        <v>1.1975380500068101E-2</v>
      </c>
      <c r="E24179" s="2">
        <v>1.44089954048403E-3</v>
      </c>
      <c r="F24179" s="2">
        <v>3.1788891256749798E-3</v>
      </c>
    </row>
    <row r="24180" spans="1:6" x14ac:dyDescent="0.25">
      <c r="A24180" s="1" t="str">
        <f t="shared" si="891"/>
        <v>35620</v>
      </c>
      <c r="B24180" s="1" t="str">
        <f>"08828"</f>
        <v>08828</v>
      </c>
      <c r="C24180" s="2">
        <v>1.37960482518679E-4</v>
      </c>
      <c r="D24180" s="2">
        <v>2.72449194417268E-5</v>
      </c>
      <c r="E24180" s="2">
        <v>1.5718904078007601E-5</v>
      </c>
      <c r="F24180" s="2">
        <v>1.2083967786397499E-4</v>
      </c>
    </row>
    <row r="24181" spans="1:6" x14ac:dyDescent="0.25">
      <c r="A24181" s="1" t="str">
        <f t="shared" si="891"/>
        <v>35620</v>
      </c>
      <c r="B24181" s="1" t="str">
        <f>"08873"</f>
        <v>08873</v>
      </c>
      <c r="C24181" s="2">
        <v>2.7872052875940099E-3</v>
      </c>
      <c r="D24181" s="2">
        <v>2.2353217996507599E-3</v>
      </c>
      <c r="E24181" s="2">
        <v>1.9002408485413701E-3</v>
      </c>
      <c r="F24181" s="2">
        <v>2.68478910952006E-3</v>
      </c>
    </row>
    <row r="24182" spans="1:6" x14ac:dyDescent="0.25">
      <c r="A24182" s="1" t="str">
        <f t="shared" si="891"/>
        <v>35620</v>
      </c>
      <c r="B24182" s="1" t="str">
        <f>"07740"</f>
        <v>07740</v>
      </c>
      <c r="C24182" s="2">
        <v>1.9024422662493501E-3</v>
      </c>
      <c r="D24182" s="2">
        <v>1.35357713408215E-3</v>
      </c>
      <c r="E24182" s="2">
        <v>1.94041138118517E-3</v>
      </c>
      <c r="F24182" s="2">
        <v>1.8571715824605599E-3</v>
      </c>
    </row>
    <row r="24183" spans="1:6" x14ac:dyDescent="0.25">
      <c r="A24183" s="1" t="str">
        <f t="shared" si="891"/>
        <v>35620</v>
      </c>
      <c r="B24183" s="1" t="str">
        <f>"08005"</f>
        <v>08005</v>
      </c>
      <c r="C24183" s="2">
        <v>1.4924701193862501E-3</v>
      </c>
      <c r="D24183" s="2">
        <v>4.1734262963008799E-4</v>
      </c>
      <c r="E24183" s="2">
        <v>1.44963226497181E-4</v>
      </c>
      <c r="F24183" s="2">
        <v>1.3163468908649E-3</v>
      </c>
    </row>
    <row r="24184" spans="1:6" x14ac:dyDescent="0.25">
      <c r="A24184" s="1" t="str">
        <f t="shared" si="891"/>
        <v>35620</v>
      </c>
      <c r="B24184" s="1" t="str">
        <f>"07728"</f>
        <v>07728</v>
      </c>
      <c r="C24184" s="2">
        <v>2.8249111233098101E-3</v>
      </c>
      <c r="D24184" s="2">
        <v>3.2433838189946601E-3</v>
      </c>
      <c r="E24184" s="2">
        <v>2.7979649258853601E-3</v>
      </c>
      <c r="F24184" s="2">
        <v>2.8595501369731101E-3</v>
      </c>
    </row>
    <row r="24185" spans="1:6" x14ac:dyDescent="0.25">
      <c r="A24185" s="1" t="str">
        <f t="shared" si="891"/>
        <v>35620</v>
      </c>
      <c r="B24185" s="1" t="str">
        <f>"07726"</f>
        <v>07726</v>
      </c>
      <c r="C24185" s="2">
        <v>2.1610866443533801E-3</v>
      </c>
      <c r="D24185" s="2">
        <v>2.0235544712627999E-3</v>
      </c>
      <c r="E24185" s="2">
        <v>1.23655378746993E-3</v>
      </c>
      <c r="F24185" s="2">
        <v>2.0922987423221098E-3</v>
      </c>
    </row>
    <row r="24186" spans="1:6" x14ac:dyDescent="0.25">
      <c r="A24186" s="1" t="str">
        <f t="shared" si="891"/>
        <v>35620</v>
      </c>
      <c r="B24186" s="1" t="str">
        <f>"08050"</f>
        <v>08050</v>
      </c>
      <c r="C24186" s="2">
        <v>1.82576953007809E-3</v>
      </c>
      <c r="D24186" s="2">
        <v>1.29661048434036E-3</v>
      </c>
      <c r="E24186" s="2">
        <v>3.0040572237970202E-4</v>
      </c>
      <c r="F24186" s="2">
        <v>1.6860625986051701E-3</v>
      </c>
    </row>
    <row r="24187" spans="1:6" x14ac:dyDescent="0.25">
      <c r="A24187" s="1" t="str">
        <f t="shared" si="891"/>
        <v>35620</v>
      </c>
      <c r="B24187" s="1" t="str">
        <f>"08757"</f>
        <v>08757</v>
      </c>
      <c r="C24187" s="2">
        <v>2.38757387159611E-3</v>
      </c>
      <c r="D24187" s="2">
        <v>3.4551511473826301E-4</v>
      </c>
      <c r="E24187" s="2">
        <v>2.20064657092107E-4</v>
      </c>
      <c r="F24187" s="2">
        <v>2.0771535026964899E-3</v>
      </c>
    </row>
    <row r="24188" spans="1:6" x14ac:dyDescent="0.25">
      <c r="A24188" s="1" t="str">
        <f t="shared" si="891"/>
        <v>35620</v>
      </c>
      <c r="B24188" s="1" t="str">
        <f>"08720"</f>
        <v>08720</v>
      </c>
      <c r="C24188" s="2">
        <v>1.04920586339617E-4</v>
      </c>
      <c r="D24188" s="2">
        <v>1.7585357094205501E-4</v>
      </c>
      <c r="E24188" s="2">
        <v>5.2396346926692202E-6</v>
      </c>
      <c r="F24188" s="2">
        <v>1.04942546909425E-4</v>
      </c>
    </row>
    <row r="24189" spans="1:6" x14ac:dyDescent="0.25">
      <c r="A24189" s="1" t="str">
        <f t="shared" si="891"/>
        <v>35620</v>
      </c>
      <c r="B24189" s="1" t="str">
        <f>"08739"</f>
        <v>08739</v>
      </c>
      <c r="C24189" s="2">
        <v>1.6873046216635501E-4</v>
      </c>
      <c r="D24189" s="2">
        <v>6.0681866029300597E-5</v>
      </c>
      <c r="E24189" s="2">
        <v>6.9861795902256301E-6</v>
      </c>
      <c r="F24189" s="2">
        <v>1.4941154836336799E-4</v>
      </c>
    </row>
    <row r="24190" spans="1:6" x14ac:dyDescent="0.25">
      <c r="A24190" s="1" t="str">
        <f t="shared" si="891"/>
        <v>35620</v>
      </c>
      <c r="B24190" s="1" t="str">
        <f>"07008"</f>
        <v>07008</v>
      </c>
      <c r="C24190" s="2">
        <v>1.13949809875574E-3</v>
      </c>
      <c r="D24190" s="2">
        <v>6.9350704033486403E-4</v>
      </c>
      <c r="E24190" s="2">
        <v>7.3180231207613505E-4</v>
      </c>
      <c r="F24190" s="2">
        <v>1.0757416656068501E-3</v>
      </c>
    </row>
    <row r="24191" spans="1:6" x14ac:dyDescent="0.25">
      <c r="A24191" s="1" t="str">
        <f t="shared" si="891"/>
        <v>35620</v>
      </c>
      <c r="B24191" s="1" t="str">
        <f>"07010"</f>
        <v>07010</v>
      </c>
      <c r="C24191" s="2">
        <v>1.40621329119359E-3</v>
      </c>
      <c r="D24191" s="2">
        <v>7.5542731179333402E-4</v>
      </c>
      <c r="E24191" s="2">
        <v>1.80942051386843E-3</v>
      </c>
      <c r="F24191" s="2">
        <v>1.3745647623335899E-3</v>
      </c>
    </row>
    <row r="24192" spans="1:6" x14ac:dyDescent="0.25">
      <c r="A24192" s="1" t="str">
        <f t="shared" si="891"/>
        <v>35620</v>
      </c>
      <c r="B24192" s="1" t="str">
        <f>"07002"</f>
        <v>07002</v>
      </c>
      <c r="C24192" s="2">
        <v>3.5279547156696202E-3</v>
      </c>
      <c r="D24192" s="2">
        <v>2.5164398320722198E-3</v>
      </c>
      <c r="E24192" s="2">
        <v>5.6500727435949798E-3</v>
      </c>
      <c r="F24192" s="2">
        <v>3.5707319210952302E-3</v>
      </c>
    </row>
    <row r="24193" spans="1:6" x14ac:dyDescent="0.25">
      <c r="A24193" s="1" t="str">
        <f t="shared" si="891"/>
        <v>35620</v>
      </c>
      <c r="B24193" s="1" t="str">
        <f>"07001"</f>
        <v>07001</v>
      </c>
      <c r="C24193" s="2">
        <v>6.9156790322891801E-4</v>
      </c>
      <c r="D24193" s="2">
        <v>5.4861360512204404E-4</v>
      </c>
      <c r="E24193" s="2">
        <v>2.7246100401879901E-4</v>
      </c>
      <c r="F24193" s="2">
        <v>6.5339356484138899E-4</v>
      </c>
    </row>
    <row r="24194" spans="1:6" x14ac:dyDescent="0.25">
      <c r="A24194" s="1" t="str">
        <f t="shared" si="891"/>
        <v>35620</v>
      </c>
      <c r="B24194" s="1" t="str">
        <f>"07009"</f>
        <v>07009</v>
      </c>
      <c r="C24194" s="2">
        <v>6.9736880103134897E-4</v>
      </c>
      <c r="D24194" s="2">
        <v>6.6378531003479901E-4</v>
      </c>
      <c r="E24194" s="2">
        <v>2.4451628565789698E-4</v>
      </c>
      <c r="F24194" s="2">
        <v>6.6660536962118405E-4</v>
      </c>
    </row>
    <row r="24195" spans="1:6" x14ac:dyDescent="0.25">
      <c r="A24195" s="1" t="str">
        <f t="shared" si="891"/>
        <v>35620</v>
      </c>
      <c r="B24195" s="1" t="str">
        <f>"07057"</f>
        <v>07057</v>
      </c>
      <c r="C24195" s="2">
        <v>5.4440164811072895E-4</v>
      </c>
      <c r="D24195" s="2">
        <v>4.02481764480055E-4</v>
      </c>
      <c r="E24195" s="2">
        <v>7.4926776105169895E-4</v>
      </c>
      <c r="F24195" s="2">
        <v>5.4469156128730595E-4</v>
      </c>
    </row>
    <row r="24196" spans="1:6" x14ac:dyDescent="0.25">
      <c r="A24196" s="1" t="str">
        <f t="shared" si="891"/>
        <v>35620</v>
      </c>
      <c r="B24196" s="1" t="str">
        <f>"07030"</f>
        <v>07030</v>
      </c>
      <c r="C24196" s="2">
        <v>3.8502828631264202E-3</v>
      </c>
      <c r="D24196" s="2">
        <v>2.95607375942736E-3</v>
      </c>
      <c r="E24196" s="2">
        <v>8.6488903326993292E-3</v>
      </c>
      <c r="F24196" s="2">
        <v>4.0678395025658797E-3</v>
      </c>
    </row>
    <row r="24197" spans="1:6" x14ac:dyDescent="0.25">
      <c r="A24197" s="1" t="str">
        <f t="shared" si="891"/>
        <v>35620</v>
      </c>
      <c r="B24197" s="1" t="str">
        <f>"07041"</f>
        <v>07041</v>
      </c>
      <c r="C24197" s="2">
        <v>4.09846040389129E-4</v>
      </c>
      <c r="D24197" s="2">
        <v>8.94128719860307E-4</v>
      </c>
      <c r="E24197" s="2">
        <v>5.2920310395959105E-4</v>
      </c>
      <c r="F24197" s="2">
        <v>4.59190775883107E-4</v>
      </c>
    </row>
    <row r="24198" spans="1:6" x14ac:dyDescent="0.25">
      <c r="A24198" s="1" t="str">
        <f t="shared" si="891"/>
        <v>35620</v>
      </c>
      <c r="B24198" s="1" t="str">
        <f>"07044"</f>
        <v>07044</v>
      </c>
      <c r="C24198" s="2">
        <v>7.7505038899433403E-4</v>
      </c>
      <c r="D24198" s="2">
        <v>6.4768603945559598E-4</v>
      </c>
      <c r="E24198" s="2">
        <v>6.5146124678854E-4</v>
      </c>
      <c r="F24198" s="2">
        <v>7.5640267690499103E-4</v>
      </c>
    </row>
    <row r="24199" spans="1:6" x14ac:dyDescent="0.25">
      <c r="A24199" s="1" t="str">
        <f t="shared" si="891"/>
        <v>35620</v>
      </c>
      <c r="B24199" s="1" t="str">
        <f>"07302"</f>
        <v>07302</v>
      </c>
      <c r="C24199" s="2">
        <v>3.6941630483566601E-3</v>
      </c>
      <c r="D24199" s="2">
        <v>1.9789718758127001E-3</v>
      </c>
      <c r="E24199" s="2">
        <v>5.8736304904822003E-3</v>
      </c>
      <c r="F24199" s="2">
        <v>3.67943392464931E-3</v>
      </c>
    </row>
    <row r="24200" spans="1:6" x14ac:dyDescent="0.25">
      <c r="A24200" s="1" t="str">
        <f t="shared" si="891"/>
        <v>35620</v>
      </c>
      <c r="B24200" s="1" t="str">
        <f>"07094"</f>
        <v>07094</v>
      </c>
      <c r="C24200" s="2">
        <v>1.06862626038691E-3</v>
      </c>
      <c r="D24200" s="2">
        <v>1.41797421639896E-3</v>
      </c>
      <c r="E24200" s="2">
        <v>1.0584062079191799E-3</v>
      </c>
      <c r="F24200" s="2">
        <v>1.0982984054747999E-3</v>
      </c>
    </row>
    <row r="24201" spans="1:6" x14ac:dyDescent="0.25">
      <c r="A24201" s="1" t="str">
        <f t="shared" si="891"/>
        <v>35620</v>
      </c>
      <c r="B24201" s="1" t="str">
        <f>"10545"</f>
        <v>10545</v>
      </c>
      <c r="C24201" s="2">
        <v>0</v>
      </c>
      <c r="D24201" s="2">
        <v>0</v>
      </c>
      <c r="E24201" s="2">
        <v>1.7465448975563999E-6</v>
      </c>
      <c r="F24201" s="2">
        <v>1.074130469902E-7</v>
      </c>
    </row>
    <row r="24202" spans="1:6" x14ac:dyDescent="0.25">
      <c r="A24202" s="1" t="str">
        <f t="shared" si="891"/>
        <v>35620</v>
      </c>
      <c r="B24202" s="1" t="str">
        <f>"08730"</f>
        <v>08730</v>
      </c>
      <c r="C24202" s="2">
        <v>3.3481268837942701E-4</v>
      </c>
      <c r="D24202" s="2">
        <v>3.4427670930909298E-4</v>
      </c>
      <c r="E24202" s="2">
        <v>2.6023518973590401E-4</v>
      </c>
      <c r="F24202" s="2">
        <v>3.3104701082379699E-4</v>
      </c>
    </row>
    <row r="24203" spans="1:6" x14ac:dyDescent="0.25">
      <c r="A24203" s="1" t="str">
        <f t="shared" ref="A24203:A24266" si="892">"35620"</f>
        <v>35620</v>
      </c>
      <c r="B24203" s="1" t="str">
        <f>"10013"</f>
        <v>10013</v>
      </c>
      <c r="C24203" s="2">
        <v>2.3986712413051098E-3</v>
      </c>
      <c r="D24203" s="2">
        <v>8.8285923045486603E-3</v>
      </c>
      <c r="E24203" s="2">
        <v>5.6500727435949798E-3</v>
      </c>
      <c r="F24203" s="2">
        <v>3.1563323858070399E-3</v>
      </c>
    </row>
    <row r="24204" spans="1:6" x14ac:dyDescent="0.25">
      <c r="A24204" s="1" t="str">
        <f t="shared" si="892"/>
        <v>35620</v>
      </c>
      <c r="B24204" s="1" t="str">
        <f>"10010"</f>
        <v>10010</v>
      </c>
      <c r="C24204" s="2">
        <v>2.8295770628465398E-3</v>
      </c>
      <c r="D24204" s="2">
        <v>5.2607462631116099E-3</v>
      </c>
      <c r="E24204" s="2">
        <v>2.5220108320714498E-3</v>
      </c>
      <c r="F24204" s="2">
        <v>3.0215290118343302E-3</v>
      </c>
    </row>
    <row r="24205" spans="1:6" x14ac:dyDescent="0.25">
      <c r="A24205" s="1" t="str">
        <f t="shared" si="892"/>
        <v>35620</v>
      </c>
      <c r="B24205" s="1" t="str">
        <f>"10009"</f>
        <v>10009</v>
      </c>
      <c r="C24205" s="2">
        <v>4.6004902767494797E-3</v>
      </c>
      <c r="D24205" s="2">
        <v>2.0198392549752898E-3</v>
      </c>
      <c r="E24205" s="2">
        <v>4.4274913153054896E-3</v>
      </c>
      <c r="F24205" s="2">
        <v>4.3660181210106704E-3</v>
      </c>
    </row>
    <row r="24206" spans="1:6" x14ac:dyDescent="0.25">
      <c r="A24206" s="1" t="str">
        <f t="shared" si="892"/>
        <v>35620</v>
      </c>
      <c r="B24206" s="1" t="str">
        <f>"10004"</f>
        <v>10004</v>
      </c>
      <c r="C24206" s="2">
        <v>3.0517766699744302E-4</v>
      </c>
      <c r="D24206" s="2">
        <v>2.5362543189389299E-3</v>
      </c>
      <c r="E24206" s="2">
        <v>5.7112018150094496E-4</v>
      </c>
      <c r="F24206" s="2">
        <v>5.1504556031801096E-4</v>
      </c>
    </row>
    <row r="24207" spans="1:6" x14ac:dyDescent="0.25">
      <c r="A24207" s="1" t="str">
        <f t="shared" si="892"/>
        <v>35620</v>
      </c>
      <c r="B24207" s="1" t="str">
        <f>"10014"</f>
        <v>10014</v>
      </c>
      <c r="C24207" s="2">
        <v>3.24333240392862E-3</v>
      </c>
      <c r="D24207" s="2">
        <v>3.21985411584044E-3</v>
      </c>
      <c r="E24207" s="2">
        <v>4.6405697928073699E-3</v>
      </c>
      <c r="F24207" s="2">
        <v>3.3272265435684502E-3</v>
      </c>
    </row>
    <row r="24208" spans="1:6" x14ac:dyDescent="0.25">
      <c r="A24208" s="1" t="str">
        <f t="shared" si="892"/>
        <v>35620</v>
      </c>
      <c r="B24208" s="1" t="str">
        <f>"10456"</f>
        <v>10456</v>
      </c>
      <c r="C24208" s="2">
        <v>4.2879984342620104E-3</v>
      </c>
      <c r="D24208" s="2">
        <v>1.6545096533703201E-3</v>
      </c>
      <c r="E24208" s="2">
        <v>4.2388644663693999E-3</v>
      </c>
      <c r="F24208" s="2">
        <v>4.05656113263191E-3</v>
      </c>
    </row>
    <row r="24209" spans="1:6" x14ac:dyDescent="0.25">
      <c r="A24209" s="1" t="str">
        <f t="shared" si="892"/>
        <v>35620</v>
      </c>
      <c r="B24209" s="1" t="str">
        <f>"10150"</f>
        <v>10150</v>
      </c>
      <c r="C24209" s="2">
        <v>3.8260704201249697E-4</v>
      </c>
      <c r="D24209" s="2">
        <v>8.9041350357279897E-4</v>
      </c>
      <c r="E24209" s="2">
        <v>5.2396346926692202E-6</v>
      </c>
      <c r="F24209" s="2">
        <v>4.03443404495193E-4</v>
      </c>
    </row>
    <row r="24210" spans="1:6" x14ac:dyDescent="0.25">
      <c r="A24210" s="1" t="str">
        <f t="shared" si="892"/>
        <v>35620</v>
      </c>
      <c r="B24210" s="1" t="str">
        <f>"10065"</f>
        <v>10065</v>
      </c>
      <c r="C24210" s="2">
        <v>3.01255755657104E-3</v>
      </c>
      <c r="D24210" s="2">
        <v>2.3430630719885001E-3</v>
      </c>
      <c r="E24210" s="2">
        <v>2.6547482442857398E-3</v>
      </c>
      <c r="F24210" s="2">
        <v>2.93248359587946E-3</v>
      </c>
    </row>
    <row r="24211" spans="1:6" x14ac:dyDescent="0.25">
      <c r="A24211" s="1" t="str">
        <f t="shared" si="892"/>
        <v>35620</v>
      </c>
      <c r="B24211" s="1" t="str">
        <f>"10451"</f>
        <v>10451</v>
      </c>
      <c r="C24211" s="2">
        <v>2.6251584685478401E-3</v>
      </c>
      <c r="D24211" s="2">
        <v>1.7362444116955E-3</v>
      </c>
      <c r="E24211" s="2">
        <v>1.79195506489287E-3</v>
      </c>
      <c r="F24211" s="2">
        <v>2.4968162772872099E-3</v>
      </c>
    </row>
    <row r="24212" spans="1:6" x14ac:dyDescent="0.25">
      <c r="A24212" s="1" t="str">
        <f t="shared" si="892"/>
        <v>35620</v>
      </c>
      <c r="B24212" s="1" t="str">
        <f>"10282"</f>
        <v>10282</v>
      </c>
      <c r="C24212" s="2">
        <v>3.5952955727673998E-4</v>
      </c>
      <c r="D24212" s="2">
        <v>3.4427670930909298E-4</v>
      </c>
      <c r="E24212" s="2">
        <v>3.7376060807707101E-4</v>
      </c>
      <c r="F24212" s="2">
        <v>3.5908181608823998E-4</v>
      </c>
    </row>
    <row r="24213" spans="1:6" x14ac:dyDescent="0.25">
      <c r="A24213" s="1" t="str">
        <f t="shared" si="892"/>
        <v>35620</v>
      </c>
      <c r="B24213" s="1" t="str">
        <f>"10268"</f>
        <v>10268</v>
      </c>
      <c r="C24213" s="2">
        <v>1.41617570263689E-4</v>
      </c>
      <c r="D24213" s="2">
        <v>1.00310839762721E-4</v>
      </c>
      <c r="E24213" s="2">
        <v>3.49308979511281E-6</v>
      </c>
      <c r="F24213" s="2">
        <v>1.29540134670181E-4</v>
      </c>
    </row>
    <row r="24214" spans="1:6" x14ac:dyDescent="0.25">
      <c r="A24214" s="1" t="str">
        <f t="shared" si="892"/>
        <v>35620</v>
      </c>
      <c r="B24214" s="1" t="str">
        <f>"10035"</f>
        <v>10035</v>
      </c>
      <c r="C24214" s="2">
        <v>2.1455755480555799E-3</v>
      </c>
      <c r="D24214" s="2">
        <v>1.5554372190367601E-3</v>
      </c>
      <c r="E24214" s="2">
        <v>3.07391901969927E-3</v>
      </c>
      <c r="F24214" s="2">
        <v>2.1514833312137101E-3</v>
      </c>
    </row>
    <row r="24215" spans="1:6" x14ac:dyDescent="0.25">
      <c r="A24215" s="1" t="str">
        <f t="shared" si="892"/>
        <v>35620</v>
      </c>
      <c r="B24215" s="1" t="str">
        <f>"10543"</f>
        <v>10543</v>
      </c>
      <c r="C24215" s="2">
        <v>1.0460532015470201E-3</v>
      </c>
      <c r="D24215" s="2">
        <v>1.50094738015331E-3</v>
      </c>
      <c r="E24215" s="2">
        <v>1.3099086731672999E-3</v>
      </c>
      <c r="F24215" s="2">
        <v>1.10173562297848E-3</v>
      </c>
    </row>
    <row r="24216" spans="1:6" x14ac:dyDescent="0.25">
      <c r="A24216" s="1" t="str">
        <f t="shared" si="892"/>
        <v>35620</v>
      </c>
      <c r="B24216" s="1" t="str">
        <f>"10553"</f>
        <v>10553</v>
      </c>
      <c r="C24216" s="2">
        <v>4.9736393332145399E-4</v>
      </c>
      <c r="D24216" s="2">
        <v>4.39633927355137E-4</v>
      </c>
      <c r="E24216" s="2">
        <v>6.0779762434963003E-4</v>
      </c>
      <c r="F24216" s="2">
        <v>4.9914842936346095E-4</v>
      </c>
    </row>
    <row r="24217" spans="1:6" x14ac:dyDescent="0.25">
      <c r="A24217" s="1" t="str">
        <f t="shared" si="892"/>
        <v>35620</v>
      </c>
      <c r="B24217" s="1" t="str">
        <f>"10522"</f>
        <v>10522</v>
      </c>
      <c r="C24217" s="2">
        <v>5.4314058337106999E-4</v>
      </c>
      <c r="D24217" s="2">
        <v>5.0898463138862398E-4</v>
      </c>
      <c r="E24217" s="2">
        <v>8.8899135285621202E-4</v>
      </c>
      <c r="F24217" s="2">
        <v>5.6144799661777699E-4</v>
      </c>
    </row>
    <row r="24218" spans="1:6" x14ac:dyDescent="0.25">
      <c r="A24218" s="1" t="str">
        <f t="shared" si="892"/>
        <v>35620</v>
      </c>
      <c r="B24218" s="1" t="str">
        <f>"10502"</f>
        <v>10502</v>
      </c>
      <c r="C24218" s="2">
        <v>2.6860678954733702E-4</v>
      </c>
      <c r="D24218" s="2">
        <v>3.8142887218417499E-4</v>
      </c>
      <c r="E24218" s="2">
        <v>1.3448395711184301E-4</v>
      </c>
      <c r="F24218" s="2">
        <v>2.7014381318035398E-4</v>
      </c>
    </row>
    <row r="24219" spans="1:6" x14ac:dyDescent="0.25">
      <c r="A24219" s="1" t="str">
        <f t="shared" si="892"/>
        <v>35620</v>
      </c>
      <c r="B24219" s="1" t="str">
        <f>"10509"</f>
        <v>10509</v>
      </c>
      <c r="C24219" s="2">
        <v>1.06900457980881E-3</v>
      </c>
      <c r="D24219" s="2">
        <v>1.43531189240733E-3</v>
      </c>
      <c r="E24219" s="2">
        <v>6.7940596514944301E-4</v>
      </c>
      <c r="F24219" s="2">
        <v>1.0768157960767499E-3</v>
      </c>
    </row>
    <row r="24220" spans="1:6" x14ac:dyDescent="0.25">
      <c r="A24220" s="1" t="str">
        <f t="shared" si="892"/>
        <v>35620</v>
      </c>
      <c r="B24220" s="1" t="str">
        <f>"10507"</f>
        <v>10507</v>
      </c>
      <c r="C24220" s="2">
        <v>3.45279525718595E-4</v>
      </c>
      <c r="D24220" s="2">
        <v>6.3777879602224105E-4</v>
      </c>
      <c r="E24220" s="2">
        <v>3.52802069306394E-4</v>
      </c>
      <c r="F24220" s="2">
        <v>3.7111207735114198E-4</v>
      </c>
    </row>
    <row r="24221" spans="1:6" x14ac:dyDescent="0.25">
      <c r="A24221" s="1" t="str">
        <f t="shared" si="892"/>
        <v>35620</v>
      </c>
      <c r="B24221" s="1" t="str">
        <f>"10461"</f>
        <v>10461</v>
      </c>
      <c r="C24221" s="2">
        <v>2.4499965762092299E-3</v>
      </c>
      <c r="D24221" s="2">
        <v>2.3331558285551498E-3</v>
      </c>
      <c r="E24221" s="2">
        <v>3.1647393543722101E-3</v>
      </c>
      <c r="F24221" s="2">
        <v>2.4838192986013901E-3</v>
      </c>
    </row>
    <row r="24222" spans="1:6" x14ac:dyDescent="0.25">
      <c r="A24222" s="1" t="str">
        <f t="shared" si="892"/>
        <v>35620</v>
      </c>
      <c r="B24222" s="1" t="str">
        <f>"10462"</f>
        <v>10462</v>
      </c>
      <c r="C24222" s="2">
        <v>4.05671916100858E-3</v>
      </c>
      <c r="D24222" s="2">
        <v>2.2105536910673801E-3</v>
      </c>
      <c r="E24222" s="2">
        <v>4.1235925031306801E-3</v>
      </c>
      <c r="F24222" s="2">
        <v>3.9007048014491302E-3</v>
      </c>
    </row>
    <row r="24223" spans="1:6" x14ac:dyDescent="0.25">
      <c r="A24223" s="1" t="str">
        <f t="shared" si="892"/>
        <v>35620</v>
      </c>
      <c r="B24223" s="1" t="str">
        <f>"10923"</f>
        <v>10923</v>
      </c>
      <c r="C24223" s="2">
        <v>4.47299663156997E-4</v>
      </c>
      <c r="D24223" s="2">
        <v>2.7864122156311501E-4</v>
      </c>
      <c r="E24223" s="2">
        <v>4.3314313459398899E-4</v>
      </c>
      <c r="F24223" s="2">
        <v>4.3180044890060498E-4</v>
      </c>
    </row>
    <row r="24224" spans="1:6" x14ac:dyDescent="0.25">
      <c r="A24224" s="1" t="str">
        <f t="shared" si="892"/>
        <v>35620</v>
      </c>
      <c r="B24224" s="1" t="str">
        <f>"10913"</f>
        <v>10913</v>
      </c>
      <c r="C24224" s="2">
        <v>2.0517523314249599E-4</v>
      </c>
      <c r="D24224" s="2">
        <v>2.8111803242145399E-4</v>
      </c>
      <c r="E24224" s="2">
        <v>6.6368706107143498E-5</v>
      </c>
      <c r="F24224" s="2">
        <v>2.0322548490545899E-4</v>
      </c>
    </row>
    <row r="24225" spans="1:6" x14ac:dyDescent="0.25">
      <c r="A24225" s="1" t="str">
        <f t="shared" si="892"/>
        <v>35620</v>
      </c>
      <c r="B24225" s="1" t="str">
        <f>"10594"</f>
        <v>10594</v>
      </c>
      <c r="C24225" s="2">
        <v>2.1135445036682399E-4</v>
      </c>
      <c r="D24225" s="2">
        <v>4.07435386196733E-4</v>
      </c>
      <c r="E24225" s="2">
        <v>1.7814757955075301E-4</v>
      </c>
      <c r="F24225" s="2">
        <v>2.2631929000835199E-4</v>
      </c>
    </row>
    <row r="24226" spans="1:6" x14ac:dyDescent="0.25">
      <c r="A24226" s="1" t="str">
        <f t="shared" si="892"/>
        <v>35620</v>
      </c>
      <c r="B24226" s="1" t="str">
        <f>"10704"</f>
        <v>10704</v>
      </c>
      <c r="C24226" s="2">
        <v>1.76448178373067E-3</v>
      </c>
      <c r="D24226" s="2">
        <v>1.72633716826214E-3</v>
      </c>
      <c r="E24226" s="2">
        <v>1.5439456894398599E-3</v>
      </c>
      <c r="F24226" s="2">
        <v>1.7476102745305601E-3</v>
      </c>
    </row>
    <row r="24227" spans="1:6" x14ac:dyDescent="0.25">
      <c r="A24227" s="1" t="str">
        <f t="shared" si="892"/>
        <v>35620</v>
      </c>
      <c r="B24227" s="1" t="str">
        <f>"10605"</f>
        <v>10605</v>
      </c>
      <c r="C24227" s="2">
        <v>1.02890272108766E-3</v>
      </c>
      <c r="D24227" s="2">
        <v>8.4335409726436197E-4</v>
      </c>
      <c r="E24227" s="2">
        <v>5.1697728967669697E-4</v>
      </c>
      <c r="F24227" s="2">
        <v>9.8132559730247106E-4</v>
      </c>
    </row>
    <row r="24228" spans="1:6" x14ac:dyDescent="0.25">
      <c r="A24228" s="1" t="str">
        <f t="shared" si="892"/>
        <v>35620</v>
      </c>
      <c r="B24228" s="1" t="str">
        <f>"10706"</f>
        <v>10706</v>
      </c>
      <c r="C24228" s="2">
        <v>5.20063098635313E-4</v>
      </c>
      <c r="D24228" s="2">
        <v>4.8297811737606602E-4</v>
      </c>
      <c r="E24228" s="2">
        <v>4.6458094275000401E-4</v>
      </c>
      <c r="F24228" s="2">
        <v>5.1343436461315803E-4</v>
      </c>
    </row>
    <row r="24229" spans="1:6" x14ac:dyDescent="0.25">
      <c r="A24229" s="1" t="str">
        <f t="shared" si="892"/>
        <v>35620</v>
      </c>
      <c r="B24229" s="1" t="str">
        <f>"10708"</f>
        <v>10708</v>
      </c>
      <c r="C24229" s="2">
        <v>1.3651025806807101E-3</v>
      </c>
      <c r="D24229" s="2">
        <v>9.6471782932296298E-4</v>
      </c>
      <c r="E24229" s="2">
        <v>1.84085832202445E-3</v>
      </c>
      <c r="F24229" s="2">
        <v>1.35963434880195E-3</v>
      </c>
    </row>
    <row r="24230" spans="1:6" x14ac:dyDescent="0.25">
      <c r="A24230" s="1" t="str">
        <f t="shared" si="892"/>
        <v>35620</v>
      </c>
      <c r="B24230" s="1" t="str">
        <f>"10976"</f>
        <v>10976</v>
      </c>
      <c r="C24230" s="2">
        <v>8.9661702989744807E-5</v>
      </c>
      <c r="D24230" s="2">
        <v>1.8576081437540999E-5</v>
      </c>
      <c r="E24230" s="2">
        <v>2.79447183609025E-5</v>
      </c>
      <c r="F24230" s="2">
        <v>7.9700480866728705E-5</v>
      </c>
    </row>
    <row r="24231" spans="1:6" x14ac:dyDescent="0.25">
      <c r="A24231" s="1" t="str">
        <f t="shared" si="892"/>
        <v>35620</v>
      </c>
      <c r="B24231" s="1" t="str">
        <f>"10956"</f>
        <v>10956</v>
      </c>
      <c r="C24231" s="2">
        <v>1.4461890434407699E-3</v>
      </c>
      <c r="D24231" s="2">
        <v>1.85265452203742E-3</v>
      </c>
      <c r="E24231" s="2">
        <v>6.1827689373496805E-4</v>
      </c>
      <c r="F24231" s="2">
        <v>1.43052695981549E-3</v>
      </c>
    </row>
    <row r="24232" spans="1:6" x14ac:dyDescent="0.25">
      <c r="A24232" s="1" t="str">
        <f t="shared" si="892"/>
        <v>35620</v>
      </c>
      <c r="B24232" s="1" t="str">
        <f>"11004"</f>
        <v>11004</v>
      </c>
      <c r="C24232" s="2">
        <v>6.7176918681627405E-4</v>
      </c>
      <c r="D24232" s="2">
        <v>4.1981944048842702E-4</v>
      </c>
      <c r="E24232" s="2">
        <v>2.0085266321898701E-4</v>
      </c>
      <c r="F24232" s="2">
        <v>6.2095482465034904E-4</v>
      </c>
    </row>
    <row r="24233" spans="1:6" x14ac:dyDescent="0.25">
      <c r="A24233" s="1" t="str">
        <f t="shared" si="892"/>
        <v>35620</v>
      </c>
      <c r="B24233" s="1" t="str">
        <f>"10314"</f>
        <v>10314</v>
      </c>
      <c r="C24233" s="2">
        <v>3.5478795385562299E-3</v>
      </c>
      <c r="D24233" s="2">
        <v>2.6749557270059001E-3</v>
      </c>
      <c r="E24233" s="2">
        <v>1.7308259934784001E-3</v>
      </c>
      <c r="F24233" s="2">
        <v>3.36041717508842E-3</v>
      </c>
    </row>
    <row r="24234" spans="1:6" x14ac:dyDescent="0.25">
      <c r="A24234" s="1" t="str">
        <f t="shared" si="892"/>
        <v>35620</v>
      </c>
      <c r="B24234" s="1" t="str">
        <f>"11001"</f>
        <v>11001</v>
      </c>
      <c r="C24234" s="2">
        <v>1.10456660546719E-3</v>
      </c>
      <c r="D24234" s="2">
        <v>9.4861855874376103E-4</v>
      </c>
      <c r="E24234" s="2">
        <v>4.5235512846710901E-4</v>
      </c>
      <c r="F24234" s="2">
        <v>1.0509292517521199E-3</v>
      </c>
    </row>
    <row r="24235" spans="1:6" x14ac:dyDescent="0.25">
      <c r="A24235" s="1" t="str">
        <f t="shared" si="892"/>
        <v>35620</v>
      </c>
      <c r="B24235" s="1" t="str">
        <f>"11201"</f>
        <v>11201</v>
      </c>
      <c r="C24235" s="2">
        <v>4.61726243778694E-3</v>
      </c>
      <c r="D24235" s="2">
        <v>5.44650707748702E-3</v>
      </c>
      <c r="E24235" s="2">
        <v>5.1627867171767398E-3</v>
      </c>
      <c r="F24235" s="2">
        <v>4.7227368500651302E-3</v>
      </c>
    </row>
    <row r="24236" spans="1:6" x14ac:dyDescent="0.25">
      <c r="A24236" s="1" t="str">
        <f t="shared" si="892"/>
        <v>35620</v>
      </c>
      <c r="B24236" s="1" t="str">
        <f>"11226"</f>
        <v>11226</v>
      </c>
      <c r="C24236" s="2">
        <v>5.0448894910052602E-3</v>
      </c>
      <c r="D24236" s="2">
        <v>2.5288238863639101E-3</v>
      </c>
      <c r="E24236" s="2">
        <v>5.2326485130789998E-3</v>
      </c>
      <c r="F24236" s="2">
        <v>4.8382058755796001E-3</v>
      </c>
    </row>
    <row r="24237" spans="1:6" x14ac:dyDescent="0.25">
      <c r="A24237" s="1" t="str">
        <f t="shared" si="892"/>
        <v>35620</v>
      </c>
      <c r="B24237" s="1" t="str">
        <f>"11360"</f>
        <v>11360</v>
      </c>
      <c r="C24237" s="2">
        <v>1.1348321592190001E-3</v>
      </c>
      <c r="D24237" s="2">
        <v>5.2632230739699498E-4</v>
      </c>
      <c r="E24237" s="2">
        <v>8.0515719777350398E-4</v>
      </c>
      <c r="F24237" s="2">
        <v>1.0617779694981301E-3</v>
      </c>
    </row>
    <row r="24238" spans="1:6" x14ac:dyDescent="0.25">
      <c r="A24238" s="1" t="str">
        <f t="shared" si="892"/>
        <v>35620</v>
      </c>
      <c r="B24238" s="1" t="str">
        <f>"11366"</f>
        <v>11366</v>
      </c>
      <c r="C24238" s="2">
        <v>5.4831094880367201E-4</v>
      </c>
      <c r="D24238" s="2">
        <v>5.7090490284709397E-4</v>
      </c>
      <c r="E24238" s="2">
        <v>3.1263153666259702E-4</v>
      </c>
      <c r="F24238" s="2">
        <v>5.3577627838711996E-4</v>
      </c>
    </row>
    <row r="24239" spans="1:6" x14ac:dyDescent="0.25">
      <c r="A24239" s="1" t="str">
        <f t="shared" si="892"/>
        <v>35620</v>
      </c>
      <c r="B24239" s="1" t="str">
        <f>"11563"</f>
        <v>11563</v>
      </c>
      <c r="C24239" s="2">
        <v>1.07467937113727E-3</v>
      </c>
      <c r="D24239" s="2">
        <v>1.55172200274926E-3</v>
      </c>
      <c r="E24239" s="2">
        <v>1.59110240167388E-3</v>
      </c>
      <c r="F24239" s="2">
        <v>1.1478158201372801E-3</v>
      </c>
    </row>
    <row r="24240" spans="1:6" x14ac:dyDescent="0.25">
      <c r="A24240" s="1" t="str">
        <f t="shared" si="892"/>
        <v>35620</v>
      </c>
      <c r="B24240" s="1" t="str">
        <f>"11565"</f>
        <v>11565</v>
      </c>
      <c r="C24240" s="2">
        <v>4.0770223033170902E-4</v>
      </c>
      <c r="D24240" s="2">
        <v>1.9690646323793399E-4</v>
      </c>
      <c r="E24240" s="2">
        <v>1.64175220370302E-4</v>
      </c>
      <c r="F24240" s="2">
        <v>3.74441881807838E-4</v>
      </c>
    </row>
    <row r="24241" spans="1:6" x14ac:dyDescent="0.25">
      <c r="A24241" s="1" t="str">
        <f t="shared" si="892"/>
        <v>35620</v>
      </c>
      <c r="B24241" s="1" t="str">
        <f>"11580"</f>
        <v>11580</v>
      </c>
      <c r="C24241" s="2">
        <v>1.54858750030107E-3</v>
      </c>
      <c r="D24241" s="2">
        <v>1.6247879230702499E-3</v>
      </c>
      <c r="E24241" s="2">
        <v>1.9613699199558399E-3</v>
      </c>
      <c r="F24241" s="2">
        <v>1.5805829864608001E-3</v>
      </c>
    </row>
    <row r="24242" spans="1:6" x14ac:dyDescent="0.25">
      <c r="A24242" s="1" t="str">
        <f t="shared" si="892"/>
        <v>35620</v>
      </c>
      <c r="B24242" s="1" t="str">
        <f>"11569"</f>
        <v>11569</v>
      </c>
      <c r="C24242" s="2">
        <v>1.00002433854947E-4</v>
      </c>
      <c r="D24242" s="2">
        <v>2.4768108583388E-6</v>
      </c>
      <c r="E24242" s="2">
        <v>0</v>
      </c>
      <c r="F24242" s="2">
        <v>8.5393372357209303E-5</v>
      </c>
    </row>
    <row r="24243" spans="1:6" x14ac:dyDescent="0.25">
      <c r="A24243" s="1" t="str">
        <f t="shared" si="892"/>
        <v>35620</v>
      </c>
      <c r="B24243" s="1" t="str">
        <f>"11520"</f>
        <v>11520</v>
      </c>
      <c r="C24243" s="2">
        <v>1.90105509503573E-3</v>
      </c>
      <c r="D24243" s="2">
        <v>2.2179841236423898E-3</v>
      </c>
      <c r="E24243" s="2">
        <v>1.94041138118517E-3</v>
      </c>
      <c r="F24243" s="2">
        <v>1.9309643457428301E-3</v>
      </c>
    </row>
    <row r="24244" spans="1:6" x14ac:dyDescent="0.25">
      <c r="A24244" s="1" t="str">
        <f t="shared" si="892"/>
        <v>35620</v>
      </c>
      <c r="B24244" s="1" t="str">
        <f>"11518"</f>
        <v>11518</v>
      </c>
      <c r="C24244" s="2">
        <v>5.7290171122701902E-4</v>
      </c>
      <c r="D24244" s="2">
        <v>4.5201798164683102E-4</v>
      </c>
      <c r="E24244" s="2">
        <v>5.72866726398502E-4</v>
      </c>
      <c r="F24244" s="2">
        <v>5.62414714040689E-4</v>
      </c>
    </row>
    <row r="24245" spans="1:6" x14ac:dyDescent="0.25">
      <c r="A24245" s="1" t="str">
        <f t="shared" si="892"/>
        <v>35620</v>
      </c>
      <c r="B24245" s="1" t="str">
        <f>"11552"</f>
        <v>11552</v>
      </c>
      <c r="C24245" s="2">
        <v>9.9523229253877096E-4</v>
      </c>
      <c r="D24245" s="2">
        <v>1.1331409676900001E-3</v>
      </c>
      <c r="E24245" s="2">
        <v>3.9297260195019201E-4</v>
      </c>
      <c r="F24245" s="2">
        <v>9.7015464041549004E-4</v>
      </c>
    </row>
    <row r="24246" spans="1:6" x14ac:dyDescent="0.25">
      <c r="A24246" s="1" t="str">
        <f t="shared" si="892"/>
        <v>35620</v>
      </c>
      <c r="B24246" s="1" t="str">
        <f>"11551"</f>
        <v>11551</v>
      </c>
      <c r="C24246" s="2">
        <v>3.6003398317260399E-4</v>
      </c>
      <c r="D24246" s="2">
        <v>3.0836295186317998E-4</v>
      </c>
      <c r="E24246" s="2">
        <v>3.49308979511281E-6</v>
      </c>
      <c r="F24246" s="2">
        <v>3.3362492395156199E-4</v>
      </c>
    </row>
    <row r="24247" spans="1:6" x14ac:dyDescent="0.25">
      <c r="A24247" s="1" t="str">
        <f t="shared" si="892"/>
        <v>35620</v>
      </c>
      <c r="B24247" s="1" t="str">
        <f>"11547"</f>
        <v>11547</v>
      </c>
      <c r="C24247" s="2">
        <v>4.8046566581002499E-5</v>
      </c>
      <c r="D24247" s="2">
        <v>1.2384054291694E-6</v>
      </c>
      <c r="E24247" s="2">
        <v>0</v>
      </c>
      <c r="F24247" s="2">
        <v>4.1031783950256498E-5</v>
      </c>
    </row>
    <row r="24248" spans="1:6" x14ac:dyDescent="0.25">
      <c r="A24248" s="1" t="str">
        <f t="shared" si="892"/>
        <v>35620</v>
      </c>
      <c r="B24248" s="1" t="str">
        <f>"11432"</f>
        <v>11432</v>
      </c>
      <c r="C24248" s="2">
        <v>2.29248959022584E-3</v>
      </c>
      <c r="D24248" s="2">
        <v>2.3864072620094299E-3</v>
      </c>
      <c r="E24248" s="2">
        <v>1.73955871796618E-3</v>
      </c>
      <c r="F24248" s="2">
        <v>2.2666301175872099E-3</v>
      </c>
    </row>
    <row r="24249" spans="1:6" x14ac:dyDescent="0.25">
      <c r="A24249" s="1" t="str">
        <f t="shared" si="892"/>
        <v>35620</v>
      </c>
      <c r="B24249" s="1" t="str">
        <f>"07095"</f>
        <v>07095</v>
      </c>
      <c r="C24249" s="2">
        <v>1.1567746856890699E-3</v>
      </c>
      <c r="D24249" s="2">
        <v>1.6545096533703201E-3</v>
      </c>
      <c r="E24249" s="2">
        <v>1.80942051386843E-3</v>
      </c>
      <c r="F24249" s="2">
        <v>1.24008362750186E-3</v>
      </c>
    </row>
    <row r="24250" spans="1:6" x14ac:dyDescent="0.25">
      <c r="A24250" s="1" t="str">
        <f t="shared" si="892"/>
        <v>35620</v>
      </c>
      <c r="B24250" s="1" t="str">
        <f>"07101"</f>
        <v>07101</v>
      </c>
      <c r="C24250" s="2">
        <v>4.6003641702755099E-4</v>
      </c>
      <c r="D24250" s="2">
        <v>5.2013028025114797E-4</v>
      </c>
      <c r="E24250" s="2">
        <v>3.49308979511281E-6</v>
      </c>
      <c r="F24250" s="2">
        <v>4.3717110125011602E-4</v>
      </c>
    </row>
    <row r="24251" spans="1:6" x14ac:dyDescent="0.25">
      <c r="A24251" s="1" t="str">
        <f t="shared" si="892"/>
        <v>35620</v>
      </c>
      <c r="B24251" s="1" t="str">
        <f>"07109"</f>
        <v>07109</v>
      </c>
      <c r="C24251" s="2">
        <v>1.8651147499554499E-3</v>
      </c>
      <c r="D24251" s="2">
        <v>1.4910401367199499E-3</v>
      </c>
      <c r="E24251" s="2">
        <v>3.0127899482848002E-3</v>
      </c>
      <c r="F24251" s="2">
        <v>1.9032517796193601E-3</v>
      </c>
    </row>
    <row r="24252" spans="1:6" x14ac:dyDescent="0.25">
      <c r="A24252" s="1" t="str">
        <f t="shared" si="892"/>
        <v>35620</v>
      </c>
      <c r="B24252" s="1" t="str">
        <f>"07604"</f>
        <v>07604</v>
      </c>
      <c r="C24252" s="2">
        <v>5.7340613712288297E-4</v>
      </c>
      <c r="D24252" s="2">
        <v>7.9753309638509403E-4</v>
      </c>
      <c r="E24252" s="2">
        <v>4.1043805092575602E-4</v>
      </c>
      <c r="F24252" s="2">
        <v>5.8282319296882701E-4</v>
      </c>
    </row>
    <row r="24253" spans="1:6" x14ac:dyDescent="0.25">
      <c r="A24253" s="1" t="str">
        <f t="shared" si="892"/>
        <v>35620</v>
      </c>
      <c r="B24253" s="1" t="str">
        <f>"11380"</f>
        <v>11380</v>
      </c>
      <c r="C24253" s="2">
        <v>3.3039896179062099E-5</v>
      </c>
      <c r="D24253" s="2">
        <v>4.0867379162590201E-5</v>
      </c>
      <c r="E24253" s="2">
        <v>3.49308979511281E-6</v>
      </c>
      <c r="F24253" s="2">
        <v>3.1901674956089498E-5</v>
      </c>
    </row>
    <row r="24254" spans="1:6" x14ac:dyDescent="0.25">
      <c r="A24254" s="1" t="str">
        <f t="shared" si="892"/>
        <v>35620</v>
      </c>
      <c r="B24254" s="1" t="str">
        <f>"11242"</f>
        <v>11242</v>
      </c>
      <c r="C24254" s="2">
        <v>0</v>
      </c>
      <c r="D24254" s="2">
        <v>3.2941584415905999E-4</v>
      </c>
      <c r="E24254" s="2">
        <v>5.2396346926692202E-6</v>
      </c>
      <c r="F24254" s="2">
        <v>2.8894109640363901E-5</v>
      </c>
    </row>
    <row r="24255" spans="1:6" x14ac:dyDescent="0.25">
      <c r="A24255" s="1" t="str">
        <f t="shared" si="892"/>
        <v>35620</v>
      </c>
      <c r="B24255" s="1" t="str">
        <f>"11571"</f>
        <v>11571</v>
      </c>
      <c r="C24255" s="2">
        <v>6.3053236982942894E-5</v>
      </c>
      <c r="D24255" s="2">
        <v>3.3313106044656802E-4</v>
      </c>
      <c r="E24255" s="2">
        <v>3.49308979511281E-6</v>
      </c>
      <c r="F24255" s="2">
        <v>8.2815459229444496E-5</v>
      </c>
    </row>
    <row r="24256" spans="1:6" x14ac:dyDescent="0.25">
      <c r="A24256" s="1" t="str">
        <f t="shared" si="892"/>
        <v>35620</v>
      </c>
      <c r="B24256" s="1" t="str">
        <f>"18435"</f>
        <v>18435</v>
      </c>
      <c r="C24256" s="2">
        <v>9.6093133162004999E-5</v>
      </c>
      <c r="D24256" s="2">
        <v>1.6099270579202201E-5</v>
      </c>
      <c r="E24256" s="2">
        <v>1.22258142828948E-5</v>
      </c>
      <c r="F24256" s="2">
        <v>8.3997002746336703E-5</v>
      </c>
    </row>
    <row r="24257" spans="1:6" x14ac:dyDescent="0.25">
      <c r="A24257" s="1" t="str">
        <f t="shared" si="892"/>
        <v>35620</v>
      </c>
      <c r="B24257" s="1" t="str">
        <f>"11420"</f>
        <v>11420</v>
      </c>
      <c r="C24257" s="2">
        <v>1.3681291360558899E-3</v>
      </c>
      <c r="D24257" s="2">
        <v>8.4459250269353103E-4</v>
      </c>
      <c r="E24257" s="2">
        <v>2.35783561170115E-4</v>
      </c>
      <c r="F24257" s="2">
        <v>1.2530806061876701E-3</v>
      </c>
    </row>
    <row r="24258" spans="1:6" x14ac:dyDescent="0.25">
      <c r="A24258" s="1" t="str">
        <f t="shared" si="892"/>
        <v>35620</v>
      </c>
      <c r="B24258" s="1" t="str">
        <f>"11428"</f>
        <v>11428</v>
      </c>
      <c r="C24258" s="2">
        <v>6.95351097447895E-4</v>
      </c>
      <c r="D24258" s="2">
        <v>6.9598385119320301E-4</v>
      </c>
      <c r="E24258" s="2">
        <v>2.1307847750188101E-4</v>
      </c>
      <c r="F24258" s="2">
        <v>6.6574606524526204E-4</v>
      </c>
    </row>
    <row r="24259" spans="1:6" x14ac:dyDescent="0.25">
      <c r="A24259" s="1" t="str">
        <f t="shared" si="892"/>
        <v>35620</v>
      </c>
      <c r="B24259" s="1" t="str">
        <f>"11764"</f>
        <v>11764</v>
      </c>
      <c r="C24259" s="2">
        <v>7.5651273732134903E-4</v>
      </c>
      <c r="D24259" s="2">
        <v>8.1734758325180401E-4</v>
      </c>
      <c r="E24259" s="2">
        <v>1.25751232624061E-4</v>
      </c>
      <c r="F24259" s="2">
        <v>7.2299721929103896E-4</v>
      </c>
    </row>
    <row r="24260" spans="1:6" x14ac:dyDescent="0.25">
      <c r="A24260" s="1" t="str">
        <f t="shared" si="892"/>
        <v>35620</v>
      </c>
      <c r="B24260" s="1" t="str">
        <f>"11767"</f>
        <v>11767</v>
      </c>
      <c r="C24260" s="2">
        <v>6.9699048160945098E-4</v>
      </c>
      <c r="D24260" s="2">
        <v>6.7864617518483201E-4</v>
      </c>
      <c r="E24260" s="2">
        <v>2.1482502239943799E-4</v>
      </c>
      <c r="F24260" s="2">
        <v>6.6574606524526204E-4</v>
      </c>
    </row>
    <row r="24261" spans="1:6" x14ac:dyDescent="0.25">
      <c r="A24261" s="1" t="str">
        <f t="shared" si="892"/>
        <v>35620</v>
      </c>
      <c r="B24261" s="1" t="str">
        <f>"11713"</f>
        <v>11713</v>
      </c>
      <c r="C24261" s="2">
        <v>5.8790838162896004E-4</v>
      </c>
      <c r="D24261" s="2">
        <v>6.6997733718064602E-4</v>
      </c>
      <c r="E24261" s="2">
        <v>2.0259920811654299E-4</v>
      </c>
      <c r="F24261" s="2">
        <v>5.7132999694087597E-4</v>
      </c>
    </row>
    <row r="24262" spans="1:6" x14ac:dyDescent="0.25">
      <c r="A24262" s="1" t="str">
        <f t="shared" si="892"/>
        <v>35620</v>
      </c>
      <c r="B24262" s="1" t="str">
        <f>"11735"</f>
        <v>11735</v>
      </c>
      <c r="C24262" s="2">
        <v>1.48389487915657E-3</v>
      </c>
      <c r="D24262" s="2">
        <v>3.8378184249959701E-3</v>
      </c>
      <c r="E24262" s="2">
        <v>2.24256364846242E-3</v>
      </c>
      <c r="F24262" s="2">
        <v>1.73472070889173E-3</v>
      </c>
    </row>
    <row r="24263" spans="1:6" x14ac:dyDescent="0.25">
      <c r="A24263" s="1" t="str">
        <f t="shared" si="892"/>
        <v>35620</v>
      </c>
      <c r="B24263" s="1" t="str">
        <f>"11741"</f>
        <v>11741</v>
      </c>
      <c r="C24263" s="2">
        <v>1.3345848139809701E-3</v>
      </c>
      <c r="D24263" s="2">
        <v>1.7077610868245999E-3</v>
      </c>
      <c r="E24263" s="2">
        <v>6.2351652842763798E-4</v>
      </c>
      <c r="F24263" s="2">
        <v>1.32322132587227E-3</v>
      </c>
    </row>
    <row r="24264" spans="1:6" x14ac:dyDescent="0.25">
      <c r="A24264" s="1" t="str">
        <f t="shared" si="892"/>
        <v>35620</v>
      </c>
      <c r="B24264" s="1" t="str">
        <f>"11792"</f>
        <v>11792</v>
      </c>
      <c r="C24264" s="2">
        <v>4.1930402593657001E-4</v>
      </c>
      <c r="D24264" s="2">
        <v>2.6378035641308202E-4</v>
      </c>
      <c r="E24264" s="2">
        <v>1.88626848936092E-4</v>
      </c>
      <c r="F24264" s="2">
        <v>3.9162796932626999E-4</v>
      </c>
    </row>
    <row r="24265" spans="1:6" x14ac:dyDescent="0.25">
      <c r="A24265" s="1" t="str">
        <f t="shared" si="892"/>
        <v>35620</v>
      </c>
      <c r="B24265" s="1" t="str">
        <f>"11953"</f>
        <v>11953</v>
      </c>
      <c r="C24265" s="2">
        <v>7.9384025361525095E-4</v>
      </c>
      <c r="D24265" s="2">
        <v>6.0805706572217603E-4</v>
      </c>
      <c r="E24265" s="2">
        <v>6.2875616312030704E-5</v>
      </c>
      <c r="F24265" s="2">
        <v>7.3277180656714696E-4</v>
      </c>
    </row>
    <row r="24266" spans="1:6" x14ac:dyDescent="0.25">
      <c r="A24266" s="1" t="str">
        <f t="shared" si="892"/>
        <v>35620</v>
      </c>
      <c r="B24266" s="1" t="str">
        <f>"11946"</f>
        <v>11946</v>
      </c>
      <c r="C24266" s="2">
        <v>1.0673651956472499E-3</v>
      </c>
      <c r="D24266" s="2">
        <v>9.2261204473120405E-4</v>
      </c>
      <c r="E24266" s="2">
        <v>3.8423987746240903E-4</v>
      </c>
      <c r="F24266" s="2">
        <v>1.0127976200706001E-3</v>
      </c>
    </row>
    <row r="24267" spans="1:6" x14ac:dyDescent="0.25">
      <c r="A24267" s="1" t="str">
        <f t="shared" ref="A24267:A24330" si="893">"35620"</f>
        <v>35620</v>
      </c>
      <c r="B24267" s="1" t="str">
        <f>"11930"</f>
        <v>11930</v>
      </c>
      <c r="C24267" s="2">
        <v>3.1627503670644098E-4</v>
      </c>
      <c r="D24267" s="2">
        <v>5.1765346939280899E-4</v>
      </c>
      <c r="E24267" s="2">
        <v>6.9861795902256301E-6</v>
      </c>
      <c r="F24267" s="2">
        <v>3.1472022768128701E-4</v>
      </c>
    </row>
    <row r="24268" spans="1:6" x14ac:dyDescent="0.25">
      <c r="A24268" s="1" t="str">
        <f t="shared" si="893"/>
        <v>35620</v>
      </c>
      <c r="B24268" s="1" t="str">
        <f>"11772"</f>
        <v>11772</v>
      </c>
      <c r="C24268" s="2">
        <v>2.3928703435026799E-3</v>
      </c>
      <c r="D24268" s="2">
        <v>2.5981745903974002E-3</v>
      </c>
      <c r="E24268" s="2">
        <v>2.5918726279737102E-3</v>
      </c>
      <c r="F24268" s="2">
        <v>2.4229161009579501E-3</v>
      </c>
    </row>
    <row r="24269" spans="1:6" x14ac:dyDescent="0.25">
      <c r="A24269" s="1" t="str">
        <f t="shared" si="893"/>
        <v>35620</v>
      </c>
      <c r="B24269" s="1" t="str">
        <f>"18405"</f>
        <v>18405</v>
      </c>
      <c r="C24269" s="2">
        <v>1.6898267511428699E-5</v>
      </c>
      <c r="D24269" s="2">
        <v>3.7152162875082002E-6</v>
      </c>
      <c r="E24269" s="2">
        <v>3.49308979511281E-6</v>
      </c>
      <c r="F24269" s="2">
        <v>1.4930413531637799E-5</v>
      </c>
    </row>
    <row r="24270" spans="1:6" x14ac:dyDescent="0.25">
      <c r="A24270" s="1" t="str">
        <f t="shared" si="893"/>
        <v>35620</v>
      </c>
      <c r="B24270" s="1" t="str">
        <f>"07703"</f>
        <v>07703</v>
      </c>
      <c r="C24270" s="2">
        <v>0</v>
      </c>
      <c r="D24270" s="2">
        <v>0</v>
      </c>
      <c r="E24270" s="2">
        <v>2.2705083668233298E-5</v>
      </c>
      <c r="F24270" s="2">
        <v>1.3963696108726E-6</v>
      </c>
    </row>
    <row r="24271" spans="1:6" x14ac:dyDescent="0.25">
      <c r="A24271" s="1" t="str">
        <f t="shared" si="893"/>
        <v>35620</v>
      </c>
      <c r="B24271" s="1" t="str">
        <f>"11739"</f>
        <v>11739</v>
      </c>
      <c r="C24271" s="2">
        <v>5.9648362185863998E-5</v>
      </c>
      <c r="D24271" s="2">
        <v>5.6966649741792402E-5</v>
      </c>
      <c r="E24271" s="2">
        <v>3.49308979511281E-6</v>
      </c>
      <c r="F24271" s="2">
        <v>5.5962197481894401E-5</v>
      </c>
    </row>
    <row r="24272" spans="1:6" x14ac:dyDescent="0.25">
      <c r="A24272" s="1" t="str">
        <f t="shared" si="893"/>
        <v>35620</v>
      </c>
      <c r="B24272" s="1" t="str">
        <f>"11381"</f>
        <v>11381</v>
      </c>
      <c r="C24272" s="2">
        <v>0</v>
      </c>
      <c r="D24272" s="2">
        <v>1.2384054291694E-6</v>
      </c>
      <c r="E24272" s="2">
        <v>3.49308979511281E-6</v>
      </c>
      <c r="F24272" s="2">
        <v>3.2223914097060098E-7</v>
      </c>
    </row>
    <row r="24273" spans="1:6" x14ac:dyDescent="0.25">
      <c r="A24273" s="1" t="str">
        <f t="shared" si="893"/>
        <v>35620</v>
      </c>
      <c r="B24273" s="1" t="str">
        <f>"07878"</f>
        <v>07878</v>
      </c>
      <c r="C24273" s="2">
        <v>1.0088517917270801E-6</v>
      </c>
      <c r="D24273" s="2">
        <v>1.2384054291694E-6</v>
      </c>
      <c r="E24273" s="2">
        <v>0</v>
      </c>
      <c r="F24273" s="2">
        <v>9.6671742291180395E-7</v>
      </c>
    </row>
    <row r="24274" spans="1:6" x14ac:dyDescent="0.25">
      <c r="A24274" s="1" t="str">
        <f t="shared" si="893"/>
        <v>35620</v>
      </c>
      <c r="B24274" s="1" t="str">
        <f>"11965"</f>
        <v>11965</v>
      </c>
      <c r="C24274" s="2">
        <v>4.2876201148401196E-6</v>
      </c>
      <c r="D24274" s="2">
        <v>1.6099270579202201E-5</v>
      </c>
      <c r="E24274" s="2">
        <v>1.7465448975563999E-6</v>
      </c>
      <c r="F24274" s="2">
        <v>5.1558262555296199E-6</v>
      </c>
    </row>
    <row r="24275" spans="1:6" x14ac:dyDescent="0.25">
      <c r="A24275" s="1" t="str">
        <f t="shared" si="893"/>
        <v>35620</v>
      </c>
      <c r="B24275" s="1" t="str">
        <f>"08875"</f>
        <v>08875</v>
      </c>
      <c r="C24275" s="2">
        <v>1.9231237279797601E-4</v>
      </c>
      <c r="D24275" s="2">
        <v>5.8081214628044901E-4</v>
      </c>
      <c r="E24275" s="2">
        <v>6.9861795902256301E-6</v>
      </c>
      <c r="F24275" s="2">
        <v>2.1461126788641999E-4</v>
      </c>
    </row>
    <row r="24276" spans="1:6" x14ac:dyDescent="0.25">
      <c r="A24276" s="1" t="str">
        <f t="shared" si="893"/>
        <v>35620</v>
      </c>
      <c r="B24276" s="1" t="str">
        <f>"10171"</f>
        <v>10171</v>
      </c>
      <c r="C24276" s="2">
        <v>0</v>
      </c>
      <c r="D24276" s="2">
        <v>4.5821000879267803E-5</v>
      </c>
      <c r="E24276" s="2">
        <v>3.49308979511281E-6</v>
      </c>
      <c r="F24276" s="2">
        <v>4.1891088326178099E-6</v>
      </c>
    </row>
    <row r="24277" spans="1:6" x14ac:dyDescent="0.25">
      <c r="A24277" s="1" t="str">
        <f t="shared" si="893"/>
        <v>35620</v>
      </c>
      <c r="B24277" s="1" t="str">
        <f>"08858"</f>
        <v>08858</v>
      </c>
      <c r="C24277" s="2">
        <v>5.7252339180512202E-5</v>
      </c>
      <c r="D24277" s="2">
        <v>1.67184732937869E-4</v>
      </c>
      <c r="E24277" s="2">
        <v>3.1437808156015298E-5</v>
      </c>
      <c r="F24277" s="2">
        <v>6.5199719523051597E-5</v>
      </c>
    </row>
    <row r="24278" spans="1:6" x14ac:dyDescent="0.25">
      <c r="A24278" s="1" t="str">
        <f t="shared" si="893"/>
        <v>35620</v>
      </c>
      <c r="B24278" s="1" t="str">
        <f>"07752"</f>
        <v>07752</v>
      </c>
      <c r="C24278" s="2">
        <v>4.4893904731855303E-5</v>
      </c>
      <c r="D24278" s="2">
        <v>7.3065920320994603E-5</v>
      </c>
      <c r="E24278" s="2">
        <v>3.49308979511281E-6</v>
      </c>
      <c r="F24278" s="2">
        <v>4.4791240594913599E-5</v>
      </c>
    </row>
    <row r="24279" spans="1:6" x14ac:dyDescent="0.25">
      <c r="A24279" s="1" t="str">
        <f t="shared" si="893"/>
        <v>35620</v>
      </c>
      <c r="B24279" s="1" t="str">
        <f>"10272"</f>
        <v>10272</v>
      </c>
      <c r="C24279" s="2">
        <v>1.0302898923012801E-4</v>
      </c>
      <c r="D24279" s="2">
        <v>2.8854846499647E-4</v>
      </c>
      <c r="E24279" s="2">
        <v>3.49308979511281E-6</v>
      </c>
      <c r="F24279" s="2">
        <v>1.1299852543369E-4</v>
      </c>
    </row>
    <row r="24280" spans="1:6" x14ac:dyDescent="0.25">
      <c r="A24280" s="1" t="str">
        <f t="shared" si="893"/>
        <v>35620</v>
      </c>
      <c r="B24280" s="1" t="str">
        <f>"10986"</f>
        <v>10986</v>
      </c>
      <c r="C24280" s="2">
        <v>8.5374082874904706E-5</v>
      </c>
      <c r="D24280" s="2">
        <v>1.1145648862524601E-5</v>
      </c>
      <c r="E24280" s="2">
        <v>2.2705083668233298E-5</v>
      </c>
      <c r="F24280" s="2">
        <v>7.5081719846150104E-5</v>
      </c>
    </row>
    <row r="24281" spans="1:6" x14ac:dyDescent="0.25">
      <c r="A24281" s="1" t="str">
        <f t="shared" si="893"/>
        <v>35620</v>
      </c>
      <c r="B24281" s="1" t="str">
        <f>"07727"</f>
        <v>07727</v>
      </c>
      <c r="C24281" s="2">
        <v>4.6482846303825501E-4</v>
      </c>
      <c r="D24281" s="2">
        <v>9.6843304561047101E-4</v>
      </c>
      <c r="E24281" s="2">
        <v>2.8468681830169402E-4</v>
      </c>
      <c r="F24281" s="2">
        <v>4.9742982061161802E-4</v>
      </c>
    </row>
    <row r="24282" spans="1:6" x14ac:dyDescent="0.25">
      <c r="A24282" s="1" t="str">
        <f t="shared" si="893"/>
        <v>35620</v>
      </c>
      <c r="B24282" s="1" t="str">
        <f>"07724"</f>
        <v>07724</v>
      </c>
      <c r="C24282" s="2">
        <v>1.4024300969746101E-3</v>
      </c>
      <c r="D24282" s="2">
        <v>1.97401825409602E-3</v>
      </c>
      <c r="E24282" s="2">
        <v>7.7721247941260195E-4</v>
      </c>
      <c r="F24282" s="2">
        <v>1.4135556983910301E-3</v>
      </c>
    </row>
    <row r="24283" spans="1:6" x14ac:dyDescent="0.25">
      <c r="A24283" s="1" t="str">
        <f t="shared" si="893"/>
        <v>35620</v>
      </c>
      <c r="B24283" s="1" t="str">
        <f>"07723"</f>
        <v>07723</v>
      </c>
      <c r="C24283" s="2">
        <v>1.5574149534786899E-4</v>
      </c>
      <c r="D24283" s="2">
        <v>1.20125326629431E-4</v>
      </c>
      <c r="E24283" s="2">
        <v>7.6847975492481895E-5</v>
      </c>
      <c r="F24283" s="2">
        <v>1.4780035265851501E-4</v>
      </c>
    </row>
    <row r="24284" spans="1:6" x14ac:dyDescent="0.25">
      <c r="A24284" s="1" t="str">
        <f t="shared" si="893"/>
        <v>35620</v>
      </c>
      <c r="B24284" s="1" t="str">
        <f>"08092"</f>
        <v>08092</v>
      </c>
      <c r="C24284" s="2">
        <v>2.02526997189212E-4</v>
      </c>
      <c r="D24284" s="2">
        <v>2.04336895812951E-4</v>
      </c>
      <c r="E24284" s="2">
        <v>4.7156712234023001E-5</v>
      </c>
      <c r="F24284" s="2">
        <v>1.9312865848837999E-4</v>
      </c>
    </row>
    <row r="24285" spans="1:6" x14ac:dyDescent="0.25">
      <c r="A24285" s="1" t="str">
        <f t="shared" si="893"/>
        <v>35620</v>
      </c>
      <c r="B24285" s="1" t="str">
        <f>"07062"</f>
        <v>07062</v>
      </c>
      <c r="C24285" s="2">
        <v>6.2725360150631604E-4</v>
      </c>
      <c r="D24285" s="2">
        <v>3.6409119617580399E-4</v>
      </c>
      <c r="E24285" s="2">
        <v>4.7331366723778602E-4</v>
      </c>
      <c r="F24285" s="2">
        <v>5.9496086727872004E-4</v>
      </c>
    </row>
    <row r="24286" spans="1:6" x14ac:dyDescent="0.25">
      <c r="A24286" s="1" t="str">
        <f t="shared" si="893"/>
        <v>35620</v>
      </c>
      <c r="B24286" s="1" t="str">
        <f>"07071"</f>
        <v>07071</v>
      </c>
      <c r="C24286" s="2">
        <v>1.10418828604529E-3</v>
      </c>
      <c r="D24286" s="2">
        <v>1.3077561332028799E-3</v>
      </c>
      <c r="E24286" s="2">
        <v>1.02347530996805E-3</v>
      </c>
      <c r="F24286" s="2">
        <v>1.1168808626040999E-3</v>
      </c>
    </row>
    <row r="24287" spans="1:6" x14ac:dyDescent="0.25">
      <c r="A24287" s="1" t="str">
        <f t="shared" si="893"/>
        <v>35620</v>
      </c>
      <c r="B24287" s="1" t="str">
        <f>"07939"</f>
        <v>07939</v>
      </c>
      <c r="C24287" s="2">
        <v>0</v>
      </c>
      <c r="D24287" s="2">
        <v>1.2384054291694E-6</v>
      </c>
      <c r="E24287" s="2">
        <v>1.7465448975563999E-6</v>
      </c>
      <c r="F24287" s="2">
        <v>2.1482609398039999E-7</v>
      </c>
    </row>
    <row r="24288" spans="1:6" x14ac:dyDescent="0.25">
      <c r="A24288" s="1" t="str">
        <f t="shared" si="893"/>
        <v>35620</v>
      </c>
      <c r="B24288" s="1" t="str">
        <f>"07765"</f>
        <v>07765</v>
      </c>
      <c r="C24288" s="2">
        <v>0</v>
      </c>
      <c r="D24288" s="2">
        <v>0</v>
      </c>
      <c r="E24288" s="2">
        <v>1.7465448975563999E-6</v>
      </c>
      <c r="F24288" s="2">
        <v>1.074130469902E-7</v>
      </c>
    </row>
    <row r="24289" spans="1:6" x14ac:dyDescent="0.25">
      <c r="A24289" s="1" t="str">
        <f t="shared" si="893"/>
        <v>35620</v>
      </c>
      <c r="B24289" s="1" t="str">
        <f>"07877"</f>
        <v>07877</v>
      </c>
      <c r="C24289" s="2">
        <v>0</v>
      </c>
      <c r="D24289" s="2">
        <v>0</v>
      </c>
      <c r="E24289" s="2">
        <v>1.7465448975563999E-6</v>
      </c>
      <c r="F24289" s="2">
        <v>1.074130469902E-7</v>
      </c>
    </row>
    <row r="24290" spans="1:6" x14ac:dyDescent="0.25">
      <c r="A24290" s="1" t="str">
        <f t="shared" si="893"/>
        <v>35620</v>
      </c>
      <c r="B24290" s="1" t="str">
        <f>"08868"</f>
        <v>08868</v>
      </c>
      <c r="C24290" s="2">
        <v>0</v>
      </c>
      <c r="D24290" s="2">
        <v>0</v>
      </c>
      <c r="E24290" s="2">
        <v>1.7465448975563999E-6</v>
      </c>
      <c r="F24290" s="2">
        <v>1.074130469902E-7</v>
      </c>
    </row>
    <row r="24291" spans="1:6" x14ac:dyDescent="0.25">
      <c r="A24291" s="1" t="str">
        <f t="shared" si="893"/>
        <v>35620</v>
      </c>
      <c r="B24291" s="1" t="str">
        <f>"07977"</f>
        <v>07977</v>
      </c>
      <c r="C24291" s="2">
        <v>1.2610647396588501E-7</v>
      </c>
      <c r="D24291" s="2">
        <v>1.7337676008371599E-5</v>
      </c>
      <c r="E24291" s="2">
        <v>6.9861795902256301E-6</v>
      </c>
      <c r="F24291" s="2">
        <v>2.0408478928138001E-6</v>
      </c>
    </row>
    <row r="24292" spans="1:6" x14ac:dyDescent="0.25">
      <c r="A24292" s="1" t="str">
        <f t="shared" si="893"/>
        <v>35620</v>
      </c>
      <c r="B24292" s="1" t="str">
        <f>"08562"</f>
        <v>08562</v>
      </c>
      <c r="C24292" s="2">
        <v>1.0088517917270801E-6</v>
      </c>
      <c r="D24292" s="2">
        <v>0</v>
      </c>
      <c r="E24292" s="2">
        <v>0</v>
      </c>
      <c r="F24292" s="2">
        <v>8.5930437592160304E-7</v>
      </c>
    </row>
    <row r="24293" spans="1:6" x14ac:dyDescent="0.25">
      <c r="A24293" s="1" t="str">
        <f t="shared" si="893"/>
        <v>35620</v>
      </c>
      <c r="B24293" s="1" t="str">
        <f>"10466"</f>
        <v>10466</v>
      </c>
      <c r="C24293" s="2">
        <v>2.8064995781107902E-3</v>
      </c>
      <c r="D24293" s="2">
        <v>1.44521913584069E-3</v>
      </c>
      <c r="E24293" s="2">
        <v>3.1071033727528498E-3</v>
      </c>
      <c r="F24293" s="2">
        <v>2.7069161972000399E-3</v>
      </c>
    </row>
    <row r="24294" spans="1:6" x14ac:dyDescent="0.25">
      <c r="A24294" s="1" t="str">
        <f t="shared" si="893"/>
        <v>35620</v>
      </c>
      <c r="B24294" s="1" t="str">
        <f>"10931"</f>
        <v>10931</v>
      </c>
      <c r="C24294" s="2">
        <v>4.28762011484012E-5</v>
      </c>
      <c r="D24294" s="2">
        <v>3.2198541158404403E-5</v>
      </c>
      <c r="E24294" s="2">
        <v>2.9691263258458901E-5</v>
      </c>
      <c r="F24294" s="2">
        <v>4.1139196997246702E-5</v>
      </c>
    </row>
    <row r="24295" spans="1:6" x14ac:dyDescent="0.25">
      <c r="A24295" s="1" t="str">
        <f t="shared" si="893"/>
        <v>35620</v>
      </c>
      <c r="B24295" s="1" t="str">
        <f>"10602"</f>
        <v>10602</v>
      </c>
      <c r="C24295" s="2">
        <v>1.8953803037072601E-4</v>
      </c>
      <c r="D24295" s="2">
        <v>4.6068681965101701E-4</v>
      </c>
      <c r="E24295" s="2">
        <v>6.9861795902256301E-6</v>
      </c>
      <c r="F24295" s="2">
        <v>2.0182911529458599E-4</v>
      </c>
    </row>
    <row r="24296" spans="1:6" x14ac:dyDescent="0.25">
      <c r="A24296" s="1" t="str">
        <f t="shared" si="893"/>
        <v>35620</v>
      </c>
      <c r="B24296" s="1" t="str">
        <f>"10604"</f>
        <v>10604</v>
      </c>
      <c r="C24296" s="2">
        <v>4.83744434133138E-4</v>
      </c>
      <c r="D24296" s="2">
        <v>9.9939318133970595E-4</v>
      </c>
      <c r="E24296" s="2">
        <v>6.1653034883741198E-4</v>
      </c>
      <c r="F24296" s="2">
        <v>5.3663558276304099E-4</v>
      </c>
    </row>
    <row r="24297" spans="1:6" x14ac:dyDescent="0.25">
      <c r="A24297" s="1" t="str">
        <f t="shared" si="893"/>
        <v>35620</v>
      </c>
      <c r="B24297" s="1" t="str">
        <f>"10702"</f>
        <v>10702</v>
      </c>
      <c r="C24297" s="2">
        <v>1.37077737200918E-4</v>
      </c>
      <c r="D24297" s="2">
        <v>1.88237625233749E-4</v>
      </c>
      <c r="E24297" s="2">
        <v>3.49308979511281E-6</v>
      </c>
      <c r="F24297" s="2">
        <v>1.3329959131483799E-4</v>
      </c>
    </row>
    <row r="24298" spans="1:6" x14ac:dyDescent="0.25">
      <c r="A24298" s="1" t="str">
        <f t="shared" si="893"/>
        <v>35620</v>
      </c>
      <c r="B24298" s="1" t="str">
        <f>"10803"</f>
        <v>10803</v>
      </c>
      <c r="C24298" s="2">
        <v>6.32676179886849E-4</v>
      </c>
      <c r="D24298" s="2">
        <v>8.2849323211432898E-4</v>
      </c>
      <c r="E24298" s="2">
        <v>2.6722136932613E-4</v>
      </c>
      <c r="F24298" s="2">
        <v>6.2718478137577997E-4</v>
      </c>
    </row>
    <row r="24299" spans="1:6" x14ac:dyDescent="0.25">
      <c r="A24299" s="1" t="str">
        <f t="shared" si="893"/>
        <v>35620</v>
      </c>
      <c r="B24299" s="1" t="str">
        <f>"10570"</f>
        <v>10570</v>
      </c>
      <c r="C24299" s="2">
        <v>5.9005219168637997E-4</v>
      </c>
      <c r="D24299" s="2">
        <v>8.1610917782263496E-4</v>
      </c>
      <c r="E24299" s="2">
        <v>6.58447426378766E-4</v>
      </c>
      <c r="F24299" s="2">
        <v>6.1386556354899502E-4</v>
      </c>
    </row>
    <row r="24300" spans="1:6" x14ac:dyDescent="0.25">
      <c r="A24300" s="1" t="str">
        <f t="shared" si="893"/>
        <v>35620</v>
      </c>
      <c r="B24300" s="1" t="str">
        <f>"10989"</f>
        <v>10989</v>
      </c>
      <c r="C24300" s="2">
        <v>4.9509401679006799E-4</v>
      </c>
      <c r="D24300" s="2">
        <v>4.6316363050935599E-4</v>
      </c>
      <c r="E24300" s="2">
        <v>1.8688030403853499E-4</v>
      </c>
      <c r="F24300" s="2">
        <v>4.7336929808581299E-4</v>
      </c>
    </row>
    <row r="24301" spans="1:6" x14ac:dyDescent="0.25">
      <c r="A24301" s="1" t="str">
        <f t="shared" si="893"/>
        <v>35620</v>
      </c>
      <c r="B24301" s="1" t="str">
        <f>"11096"</f>
        <v>11096</v>
      </c>
      <c r="C24301" s="2">
        <v>3.5410697889620701E-4</v>
      </c>
      <c r="D24301" s="2">
        <v>5.91957795142973E-4</v>
      </c>
      <c r="E24301" s="2">
        <v>2.6372827953101701E-4</v>
      </c>
      <c r="F24301" s="2">
        <v>3.6917864250531898E-4</v>
      </c>
    </row>
    <row r="24302" spans="1:6" x14ac:dyDescent="0.25">
      <c r="A24302" s="1" t="str">
        <f t="shared" si="893"/>
        <v>35620</v>
      </c>
      <c r="B24302" s="1" t="str">
        <f>"10305"</f>
        <v>10305</v>
      </c>
      <c r="C24302" s="2">
        <v>1.8333359185160401E-3</v>
      </c>
      <c r="D24302" s="2">
        <v>1.3089945386320499E-3</v>
      </c>
      <c r="E24302" s="2">
        <v>1.4059686425329E-3</v>
      </c>
      <c r="F24302" s="2">
        <v>1.7615739706392801E-3</v>
      </c>
    </row>
    <row r="24303" spans="1:6" x14ac:dyDescent="0.25">
      <c r="A24303" s="1" t="str">
        <f t="shared" si="893"/>
        <v>35620</v>
      </c>
      <c r="B24303" s="1" t="str">
        <f>"11106"</f>
        <v>11106</v>
      </c>
      <c r="C24303" s="2">
        <v>2.4178394253479298E-3</v>
      </c>
      <c r="D24303" s="2">
        <v>1.83655525145822E-3</v>
      </c>
      <c r="E24303" s="2">
        <v>3.9576707378628203E-3</v>
      </c>
      <c r="F24303" s="2">
        <v>2.4621218631093698E-3</v>
      </c>
    </row>
    <row r="24304" spans="1:6" x14ac:dyDescent="0.25">
      <c r="A24304" s="1" t="str">
        <f t="shared" si="893"/>
        <v>35620</v>
      </c>
      <c r="B24304" s="1" t="str">
        <f>"11223"</f>
        <v>11223</v>
      </c>
      <c r="C24304" s="2">
        <v>3.07977230719486E-3</v>
      </c>
      <c r="D24304" s="2">
        <v>2.8272795947937401E-3</v>
      </c>
      <c r="E24304" s="2">
        <v>3.7847627930047301E-3</v>
      </c>
      <c r="F24304" s="2">
        <v>3.1012294927010601E-3</v>
      </c>
    </row>
    <row r="24305" spans="1:6" x14ac:dyDescent="0.25">
      <c r="A24305" s="1" t="str">
        <f t="shared" si="893"/>
        <v>35620</v>
      </c>
      <c r="B24305" s="1" t="str">
        <f>"11224"</f>
        <v>11224</v>
      </c>
      <c r="C24305" s="2">
        <v>3.3172307976726198E-3</v>
      </c>
      <c r="D24305" s="2">
        <v>1.12694894054415E-3</v>
      </c>
      <c r="E24305" s="2">
        <v>1.5474387792349701E-3</v>
      </c>
      <c r="F24305" s="2">
        <v>3.0184140334716201E-3</v>
      </c>
    </row>
    <row r="24306" spans="1:6" x14ac:dyDescent="0.25">
      <c r="A24306" s="1" t="str">
        <f t="shared" si="893"/>
        <v>35620</v>
      </c>
      <c r="B24306" s="1" t="str">
        <f>"11222"</f>
        <v>11222</v>
      </c>
      <c r="C24306" s="2">
        <v>2.5082577671814701E-3</v>
      </c>
      <c r="D24306" s="2">
        <v>4.0966451596923803E-3</v>
      </c>
      <c r="E24306" s="2">
        <v>8.1528715817933105E-3</v>
      </c>
      <c r="F24306" s="2">
        <v>2.9931719674289202E-3</v>
      </c>
    </row>
    <row r="24307" spans="1:6" x14ac:dyDescent="0.25">
      <c r="A24307" s="1" t="str">
        <f t="shared" si="893"/>
        <v>35620</v>
      </c>
      <c r="B24307" s="1" t="str">
        <f>"11217"</f>
        <v>11217</v>
      </c>
      <c r="C24307" s="2">
        <v>2.4162000411863701E-3</v>
      </c>
      <c r="D24307" s="2">
        <v>2.1213885001671799E-3</v>
      </c>
      <c r="E24307" s="2">
        <v>5.00035804170399E-3</v>
      </c>
      <c r="F24307" s="2">
        <v>2.5495560833593898E-3</v>
      </c>
    </row>
    <row r="24308" spans="1:6" x14ac:dyDescent="0.25">
      <c r="A24308" s="1" t="str">
        <f t="shared" si="893"/>
        <v>35620</v>
      </c>
      <c r="B24308" s="1" t="str">
        <f>"11365"</f>
        <v>11365</v>
      </c>
      <c r="C24308" s="2">
        <v>1.9792411088945701E-3</v>
      </c>
      <c r="D24308" s="2">
        <v>8.4211569183519303E-4</v>
      </c>
      <c r="E24308" s="2">
        <v>1.4967889772058401E-3</v>
      </c>
      <c r="F24308" s="2">
        <v>1.85094162573513E-3</v>
      </c>
    </row>
    <row r="24309" spans="1:6" x14ac:dyDescent="0.25">
      <c r="A24309" s="1" t="str">
        <f t="shared" si="893"/>
        <v>35620</v>
      </c>
      <c r="B24309" s="1" t="str">
        <f>"11362"</f>
        <v>11362</v>
      </c>
      <c r="C24309" s="2">
        <v>7.1931132750141296E-4</v>
      </c>
      <c r="D24309" s="2">
        <v>5.1641506396364004E-4</v>
      </c>
      <c r="E24309" s="2">
        <v>4.9077911621335003E-4</v>
      </c>
      <c r="F24309" s="2">
        <v>6.8765832683126296E-4</v>
      </c>
    </row>
    <row r="24310" spans="1:6" x14ac:dyDescent="0.25">
      <c r="A24310" s="1" t="str">
        <f t="shared" si="893"/>
        <v>35620</v>
      </c>
      <c r="B24310" s="1" t="str">
        <f>"07016"</f>
        <v>07016</v>
      </c>
      <c r="C24310" s="2">
        <v>1.1877968782846699E-3</v>
      </c>
      <c r="D24310" s="2">
        <v>1.49475535300746E-3</v>
      </c>
      <c r="E24310" s="2">
        <v>7.3529540187124804E-4</v>
      </c>
      <c r="F24310" s="2">
        <v>1.18659193010074E-3</v>
      </c>
    </row>
    <row r="24311" spans="1:6" x14ac:dyDescent="0.25">
      <c r="A24311" s="1" t="str">
        <f t="shared" si="893"/>
        <v>35620</v>
      </c>
      <c r="B24311" s="1" t="str">
        <f>"07013"</f>
        <v>07013</v>
      </c>
      <c r="C24311" s="2">
        <v>1.39246768553131E-3</v>
      </c>
      <c r="D24311" s="2">
        <v>1.32633221464042E-3</v>
      </c>
      <c r="E24311" s="2">
        <v>8.5930008959775295E-4</v>
      </c>
      <c r="F24311" s="2">
        <v>1.3539414573114699E-3</v>
      </c>
    </row>
    <row r="24312" spans="1:6" x14ac:dyDescent="0.25">
      <c r="A24312" s="1" t="str">
        <f t="shared" si="893"/>
        <v>35620</v>
      </c>
      <c r="B24312" s="1" t="str">
        <f>"07111"</f>
        <v>07111</v>
      </c>
      <c r="C24312" s="2">
        <v>2.7428158087580098E-3</v>
      </c>
      <c r="D24312" s="2">
        <v>2.0681370667128998E-3</v>
      </c>
      <c r="E24312" s="2">
        <v>6.4045801393393499E-3</v>
      </c>
      <c r="F24312" s="2">
        <v>2.9094972038235601E-3</v>
      </c>
    </row>
    <row r="24313" spans="1:6" x14ac:dyDescent="0.25">
      <c r="A24313" s="1" t="str">
        <f t="shared" si="893"/>
        <v>35620</v>
      </c>
      <c r="B24313" s="1" t="str">
        <f>"07114"</f>
        <v>07114</v>
      </c>
      <c r="C24313" s="2">
        <v>6.3406335110047403E-4</v>
      </c>
      <c r="D24313" s="2">
        <v>1.5740133004742999E-3</v>
      </c>
      <c r="E24313" s="2">
        <v>1.9334252015949401E-3</v>
      </c>
      <c r="F24313" s="2">
        <v>7.95501026009424E-4</v>
      </c>
    </row>
    <row r="24314" spans="1:6" x14ac:dyDescent="0.25">
      <c r="A24314" s="1" t="str">
        <f t="shared" si="893"/>
        <v>35620</v>
      </c>
      <c r="B24314" s="1" t="str">
        <f>"07092"</f>
        <v>07092</v>
      </c>
      <c r="C24314" s="2">
        <v>3.3002064236872298E-4</v>
      </c>
      <c r="D24314" s="2">
        <v>4.3096508935095101E-4</v>
      </c>
      <c r="E24314" s="2">
        <v>1.53695950984963E-4</v>
      </c>
      <c r="F24314" s="2">
        <v>3.2793203246108202E-4</v>
      </c>
    </row>
    <row r="24315" spans="1:6" x14ac:dyDescent="0.25">
      <c r="A24315" s="1" t="str">
        <f t="shared" si="893"/>
        <v>35620</v>
      </c>
      <c r="B24315" s="1" t="str">
        <f>"07076"</f>
        <v>07076</v>
      </c>
      <c r="C24315" s="2">
        <v>1.22625935284427E-3</v>
      </c>
      <c r="D24315" s="2">
        <v>8.8422147642695196E-4</v>
      </c>
      <c r="E24315" s="2">
        <v>3.0040572237970202E-4</v>
      </c>
      <c r="F24315" s="2">
        <v>1.13965242856602E-3</v>
      </c>
    </row>
    <row r="24316" spans="1:6" x14ac:dyDescent="0.25">
      <c r="A24316" s="1" t="str">
        <f t="shared" si="893"/>
        <v>35620</v>
      </c>
      <c r="B24316" s="1" t="str">
        <f>"07522"</f>
        <v>07522</v>
      </c>
      <c r="C24316" s="2">
        <v>8.3078945048725597E-4</v>
      </c>
      <c r="D24316" s="2">
        <v>4.7430927937187997E-4</v>
      </c>
      <c r="E24316" s="2">
        <v>1.60682130575189E-3</v>
      </c>
      <c r="F24316" s="2">
        <v>8.4759635379967201E-4</v>
      </c>
    </row>
    <row r="24317" spans="1:6" x14ac:dyDescent="0.25">
      <c r="A24317" s="1" t="str">
        <f t="shared" si="893"/>
        <v>35620</v>
      </c>
      <c r="B24317" s="1" t="str">
        <f>"07444"</f>
        <v>07444</v>
      </c>
      <c r="C24317" s="2">
        <v>6.6823820554522898E-4</v>
      </c>
      <c r="D24317" s="2">
        <v>6.8236139147234004E-4</v>
      </c>
      <c r="E24317" s="2">
        <v>1.9386648362876101E-4</v>
      </c>
      <c r="F24317" s="2">
        <v>6.4028917310858502E-4</v>
      </c>
    </row>
    <row r="24318" spans="1:6" x14ac:dyDescent="0.25">
      <c r="A24318" s="1" t="str">
        <f t="shared" si="893"/>
        <v>35620</v>
      </c>
      <c r="B24318" s="1" t="str">
        <f>"07419"</f>
        <v>07419</v>
      </c>
      <c r="C24318" s="2">
        <v>5.3973570857399099E-4</v>
      </c>
      <c r="D24318" s="2">
        <v>3.0960135729235001E-4</v>
      </c>
      <c r="E24318" s="2">
        <v>5.1348419988158397E-4</v>
      </c>
      <c r="F24318" s="2">
        <v>5.1816053868072702E-4</v>
      </c>
    </row>
    <row r="24319" spans="1:6" x14ac:dyDescent="0.25">
      <c r="A24319" s="1" t="str">
        <f t="shared" si="893"/>
        <v>35620</v>
      </c>
      <c r="B24319" s="1" t="str">
        <f>"07421"</f>
        <v>07421</v>
      </c>
      <c r="C24319" s="2">
        <v>5.3279985250586802E-4</v>
      </c>
      <c r="D24319" s="2">
        <v>3.1703178986736602E-4</v>
      </c>
      <c r="E24319" s="2">
        <v>9.6059969365602405E-5</v>
      </c>
      <c r="F24319" s="2">
        <v>4.8722558114754901E-4</v>
      </c>
    </row>
    <row r="24320" spans="1:6" x14ac:dyDescent="0.25">
      <c r="A24320" s="1" t="str">
        <f t="shared" si="893"/>
        <v>35620</v>
      </c>
      <c r="B24320" s="1" t="str">
        <f>"07438"</f>
        <v>07438</v>
      </c>
      <c r="C24320" s="2">
        <v>5.4528439342849003E-4</v>
      </c>
      <c r="D24320" s="2">
        <v>2.39012247829694E-4</v>
      </c>
      <c r="E24320" s="2">
        <v>2.3753010606767099E-4</v>
      </c>
      <c r="F24320" s="2">
        <v>4.9979290764540197E-4</v>
      </c>
    </row>
    <row r="24321" spans="1:6" x14ac:dyDescent="0.25">
      <c r="A24321" s="1" t="str">
        <f t="shared" si="893"/>
        <v>35620</v>
      </c>
      <c r="B24321" s="1" t="str">
        <f>"07480"</f>
        <v>07480</v>
      </c>
      <c r="C24321" s="2">
        <v>8.7026077683857804E-4</v>
      </c>
      <c r="D24321" s="2">
        <v>5.1393825310530096E-4</v>
      </c>
      <c r="E24321" s="2">
        <v>4.1043805092575602E-4</v>
      </c>
      <c r="F24321" s="2">
        <v>8.1107591782300301E-4</v>
      </c>
    </row>
    <row r="24322" spans="1:6" x14ac:dyDescent="0.25">
      <c r="A24322" s="1" t="str">
        <f t="shared" si="893"/>
        <v>35620</v>
      </c>
      <c r="B24322" s="1" t="str">
        <f>"07463"</f>
        <v>07463</v>
      </c>
      <c r="C24322" s="2">
        <v>4.9471569736817E-4</v>
      </c>
      <c r="D24322" s="2">
        <v>5.6595128113041601E-4</v>
      </c>
      <c r="E24322" s="2">
        <v>2.0259920811654299E-4</v>
      </c>
      <c r="F24322" s="2">
        <v>4.8292905926794098E-4</v>
      </c>
    </row>
    <row r="24323" spans="1:6" x14ac:dyDescent="0.25">
      <c r="A24323" s="1" t="str">
        <f t="shared" si="893"/>
        <v>35620</v>
      </c>
      <c r="B24323" s="1" t="str">
        <f>"07933"</f>
        <v>07933</v>
      </c>
      <c r="C24323" s="2">
        <v>1.5435432413424399E-4</v>
      </c>
      <c r="D24323" s="2">
        <v>1.18886921200262E-4</v>
      </c>
      <c r="E24323" s="2">
        <v>7.8594520390038393E-5</v>
      </c>
      <c r="F24323" s="2">
        <v>1.4661880914162301E-4</v>
      </c>
    </row>
    <row r="24324" spans="1:6" x14ac:dyDescent="0.25">
      <c r="A24324" s="1" t="str">
        <f t="shared" si="893"/>
        <v>35620</v>
      </c>
      <c r="B24324" s="1" t="str">
        <f>"07928"</f>
        <v>07928</v>
      </c>
      <c r="C24324" s="2">
        <v>9.7656853439182E-4</v>
      </c>
      <c r="D24324" s="2">
        <v>8.8545988185612199E-4</v>
      </c>
      <c r="E24324" s="2">
        <v>1.1282680038214401E-3</v>
      </c>
      <c r="F24324" s="2">
        <v>9.7799579284577509E-4</v>
      </c>
    </row>
    <row r="24325" spans="1:6" x14ac:dyDescent="0.25">
      <c r="A24325" s="1" t="str">
        <f t="shared" si="893"/>
        <v>35620</v>
      </c>
      <c r="B24325" s="1" t="str">
        <f>"07934"</f>
        <v>07934</v>
      </c>
      <c r="C24325" s="2">
        <v>6.7845282993646595E-5</v>
      </c>
      <c r="D24325" s="2">
        <v>4.5821000879267803E-5</v>
      </c>
      <c r="E24325" s="2">
        <v>2.79447183609025E-5</v>
      </c>
      <c r="F24325" s="2">
        <v>6.3481110771208406E-5</v>
      </c>
    </row>
    <row r="24326" spans="1:6" x14ac:dyDescent="0.25">
      <c r="A24326" s="1" t="str">
        <f t="shared" si="893"/>
        <v>35620</v>
      </c>
      <c r="B24326" s="1" t="str">
        <f>"07801"</f>
        <v>07801</v>
      </c>
      <c r="C24326" s="2">
        <v>1.06711298269932E-3</v>
      </c>
      <c r="D24326" s="2">
        <v>1.0675054799440199E-3</v>
      </c>
      <c r="E24326" s="2">
        <v>1.9805819138289599E-3</v>
      </c>
      <c r="F24326" s="2">
        <v>1.1233256454235101E-3</v>
      </c>
    </row>
    <row r="24327" spans="1:6" x14ac:dyDescent="0.25">
      <c r="A24327" s="1" t="str">
        <f t="shared" si="893"/>
        <v>35620</v>
      </c>
      <c r="B24327" s="1" t="str">
        <f>"07853"</f>
        <v>07853</v>
      </c>
      <c r="C24327" s="2">
        <v>6.2019163896422601E-4</v>
      </c>
      <c r="D24327" s="2">
        <v>3.8514408847168302E-4</v>
      </c>
      <c r="E24327" s="2">
        <v>1.7116139996052799E-4</v>
      </c>
      <c r="F24327" s="2">
        <v>5.7218930131679798E-4</v>
      </c>
    </row>
    <row r="24328" spans="1:6" x14ac:dyDescent="0.25">
      <c r="A24328" s="1" t="str">
        <f t="shared" si="893"/>
        <v>35620</v>
      </c>
      <c r="B24328" s="1" t="str">
        <f>"07624"</f>
        <v>07624</v>
      </c>
      <c r="C24328" s="2">
        <v>4.0076637426358501E-4</v>
      </c>
      <c r="D24328" s="2">
        <v>7.9753309638509403E-4</v>
      </c>
      <c r="E24328" s="2">
        <v>2.9691263258458902E-4</v>
      </c>
      <c r="F24328" s="2">
        <v>4.2879288358488001E-4</v>
      </c>
    </row>
    <row r="24329" spans="1:6" x14ac:dyDescent="0.25">
      <c r="A24329" s="1" t="str">
        <f t="shared" si="893"/>
        <v>35620</v>
      </c>
      <c r="B24329" s="1" t="str">
        <f>"07648"</f>
        <v>07648</v>
      </c>
      <c r="C24329" s="2">
        <v>2.6280589174490601E-4</v>
      </c>
      <c r="D24329" s="2">
        <v>2.9721730300065599E-4</v>
      </c>
      <c r="E24329" s="2">
        <v>1.29244322419174E-4</v>
      </c>
      <c r="F24329" s="2">
        <v>2.5757648668249999E-4</v>
      </c>
    </row>
    <row r="24330" spans="1:6" x14ac:dyDescent="0.25">
      <c r="A24330" s="1" t="str">
        <f t="shared" si="893"/>
        <v>35620</v>
      </c>
      <c r="B24330" s="1" t="str">
        <f>"07627"</f>
        <v>07627</v>
      </c>
      <c r="C24330" s="2">
        <v>2.1425489926804001E-4</v>
      </c>
      <c r="D24330" s="2">
        <v>4.0867379162590201E-5</v>
      </c>
      <c r="E24330" s="2">
        <v>4.8903257131579398E-5</v>
      </c>
      <c r="F24330" s="2">
        <v>1.8904696270275199E-4</v>
      </c>
    </row>
    <row r="24331" spans="1:6" x14ac:dyDescent="0.25">
      <c r="A24331" s="1" t="str">
        <f t="shared" ref="A24331:A24394" si="894">"35620"</f>
        <v>35620</v>
      </c>
      <c r="B24331" s="1" t="str">
        <f>"07641"</f>
        <v>07641</v>
      </c>
      <c r="C24331" s="2">
        <v>1.43256954425246E-4</v>
      </c>
      <c r="D24331" s="2">
        <v>8.0496352896010994E-5</v>
      </c>
      <c r="E24331" s="2">
        <v>4.1917077541353803E-5</v>
      </c>
      <c r="F24331" s="2">
        <v>1.3158098256299501E-4</v>
      </c>
    </row>
    <row r="24332" spans="1:6" x14ac:dyDescent="0.25">
      <c r="A24332" s="1" t="str">
        <f t="shared" si="894"/>
        <v>35620</v>
      </c>
      <c r="B24332" s="1" t="str">
        <f>"08902"</f>
        <v>08902</v>
      </c>
      <c r="C24332" s="2">
        <v>2.0501129472633999E-3</v>
      </c>
      <c r="D24332" s="2">
        <v>1.83407844059988E-3</v>
      </c>
      <c r="E24332" s="2">
        <v>8.4532773041730096E-4</v>
      </c>
      <c r="F24332" s="2">
        <v>1.9572805422554298E-3</v>
      </c>
    </row>
    <row r="24333" spans="1:6" x14ac:dyDescent="0.25">
      <c r="A24333" s="1" t="str">
        <f t="shared" si="894"/>
        <v>35620</v>
      </c>
      <c r="B24333" s="1" t="str">
        <f>"08879"</f>
        <v>08879</v>
      </c>
      <c r="C24333" s="2">
        <v>1.1775822538934401E-3</v>
      </c>
      <c r="D24333" s="2">
        <v>6.57593282888952E-4</v>
      </c>
      <c r="E24333" s="2">
        <v>6.8464559984211196E-4</v>
      </c>
      <c r="F24333" s="2">
        <v>1.10216527516644E-3</v>
      </c>
    </row>
    <row r="24334" spans="1:6" x14ac:dyDescent="0.25">
      <c r="A24334" s="1" t="str">
        <f t="shared" si="894"/>
        <v>35620</v>
      </c>
      <c r="B24334" s="1" t="str">
        <f>"08906"</f>
        <v>08906</v>
      </c>
      <c r="C24334" s="2">
        <v>1.3720384367488299E-4</v>
      </c>
      <c r="D24334" s="2">
        <v>2.0805211210045901E-4</v>
      </c>
      <c r="E24334" s="2">
        <v>3.49308979511281E-6</v>
      </c>
      <c r="F24334" s="2">
        <v>1.3512561311367199E-4</v>
      </c>
    </row>
    <row r="24335" spans="1:6" x14ac:dyDescent="0.25">
      <c r="A24335" s="1" t="str">
        <f t="shared" si="894"/>
        <v>35620</v>
      </c>
      <c r="B24335" s="1" t="str">
        <f>"08837"</f>
        <v>08837</v>
      </c>
      <c r="C24335" s="2">
        <v>9.0720997371058305E-4</v>
      </c>
      <c r="D24335" s="2">
        <v>2.0607066341378801E-3</v>
      </c>
      <c r="E24335" s="2">
        <v>1.2767243201137299E-3</v>
      </c>
      <c r="F24335" s="2">
        <v>1.0299837075890301E-3</v>
      </c>
    </row>
    <row r="24336" spans="1:6" x14ac:dyDescent="0.25">
      <c r="A24336" s="1" t="str">
        <f t="shared" si="894"/>
        <v>35620</v>
      </c>
      <c r="B24336" s="1" t="str">
        <f>"08825"</f>
        <v>08825</v>
      </c>
      <c r="C24336" s="2">
        <v>2.4578151775951098E-4</v>
      </c>
      <c r="D24336" s="2">
        <v>2.6997238355892903E-4</v>
      </c>
      <c r="E24336" s="2">
        <v>2.7944718360902501E-4</v>
      </c>
      <c r="F24336" s="2">
        <v>2.4995016034619599E-4</v>
      </c>
    </row>
    <row r="24337" spans="1:6" x14ac:dyDescent="0.25">
      <c r="A24337" s="1" t="str">
        <f t="shared" si="894"/>
        <v>35620</v>
      </c>
      <c r="B24337" s="1" t="str">
        <f>"08872"</f>
        <v>08872</v>
      </c>
      <c r="C24337" s="2">
        <v>9.6925435890179903E-4</v>
      </c>
      <c r="D24337" s="2">
        <v>4.9783898252609901E-4</v>
      </c>
      <c r="E24337" s="2">
        <v>8.2960882633929399E-4</v>
      </c>
      <c r="F24337" s="2">
        <v>9.1977792137708605E-4</v>
      </c>
    </row>
    <row r="24338" spans="1:6" x14ac:dyDescent="0.25">
      <c r="A24338" s="1" t="str">
        <f t="shared" si="894"/>
        <v>35620</v>
      </c>
      <c r="B24338" s="1" t="str">
        <f>"08861"</f>
        <v>08861</v>
      </c>
      <c r="C24338" s="2">
        <v>2.0763430938483098E-3</v>
      </c>
      <c r="D24338" s="2">
        <v>1.94925014551263E-3</v>
      </c>
      <c r="E24338" s="2">
        <v>2.3071858096720098E-3</v>
      </c>
      <c r="F24338" s="2">
        <v>2.0795165897302798E-3</v>
      </c>
    </row>
    <row r="24339" spans="1:6" x14ac:dyDescent="0.25">
      <c r="A24339" s="1" t="str">
        <f t="shared" si="894"/>
        <v>35620</v>
      </c>
      <c r="B24339" s="1" t="str">
        <f>"08869"</f>
        <v>08869</v>
      </c>
      <c r="C24339" s="2">
        <v>3.9773981888840401E-4</v>
      </c>
      <c r="D24339" s="2">
        <v>5.0031579338443799E-4</v>
      </c>
      <c r="E24339" s="2">
        <v>8.1388992226128604E-4</v>
      </c>
      <c r="F24339" s="2">
        <v>4.3223010108856599E-4</v>
      </c>
    </row>
    <row r="24340" spans="1:6" x14ac:dyDescent="0.25">
      <c r="A24340" s="1" t="str">
        <f t="shared" si="894"/>
        <v>35620</v>
      </c>
      <c r="B24340" s="1" t="str">
        <f>"08820"</f>
        <v>08820</v>
      </c>
      <c r="C24340" s="2">
        <v>1.7290458645462599E-3</v>
      </c>
      <c r="D24340" s="2">
        <v>1.1009424265315899E-3</v>
      </c>
      <c r="E24340" s="2">
        <v>6.7765942025188597E-4</v>
      </c>
      <c r="F24340" s="2">
        <v>1.60990674828912E-3</v>
      </c>
    </row>
    <row r="24341" spans="1:6" x14ac:dyDescent="0.25">
      <c r="A24341" s="1" t="str">
        <f t="shared" si="894"/>
        <v>35620</v>
      </c>
      <c r="B24341" s="1" t="str">
        <f>"08817"</f>
        <v>08817</v>
      </c>
      <c r="C24341" s="2">
        <v>2.15730345013441E-3</v>
      </c>
      <c r="D24341" s="2">
        <v>1.94925014551263E-3</v>
      </c>
      <c r="E24341" s="2">
        <v>1.42168754661091E-3</v>
      </c>
      <c r="F24341" s="2">
        <v>2.09401735107395E-3</v>
      </c>
    </row>
    <row r="24342" spans="1:6" x14ac:dyDescent="0.25">
      <c r="A24342" s="1" t="str">
        <f t="shared" si="894"/>
        <v>35620</v>
      </c>
      <c r="B24342" s="1" t="str">
        <f>"07970"</f>
        <v>07970</v>
      </c>
      <c r="C24342" s="2">
        <v>5.0694802534286103E-5</v>
      </c>
      <c r="D24342" s="2">
        <v>2.1548254467547499E-4</v>
      </c>
      <c r="E24342" s="2">
        <v>6.9861795902256301E-6</v>
      </c>
      <c r="F24342" s="2">
        <v>6.22995672543162E-5</v>
      </c>
    </row>
    <row r="24343" spans="1:6" x14ac:dyDescent="0.25">
      <c r="A24343" s="1" t="str">
        <f t="shared" si="894"/>
        <v>35620</v>
      </c>
      <c r="B24343" s="1" t="str">
        <f>"07974"</f>
        <v>07974</v>
      </c>
      <c r="C24343" s="2">
        <v>5.8954776579051601E-4</v>
      </c>
      <c r="D24343" s="2">
        <v>4.3096508935095101E-4</v>
      </c>
      <c r="E24343" s="2">
        <v>9.2217570590978301E-4</v>
      </c>
      <c r="F24343" s="2">
        <v>5.9624982384260197E-4</v>
      </c>
    </row>
    <row r="24344" spans="1:6" x14ac:dyDescent="0.25">
      <c r="A24344" s="1" t="str">
        <f t="shared" si="894"/>
        <v>35620</v>
      </c>
      <c r="B24344" s="1" t="str">
        <f>"18324"</f>
        <v>18324</v>
      </c>
      <c r="C24344" s="2">
        <v>6.1628233827128404E-4</v>
      </c>
      <c r="D24344" s="2">
        <v>2.72449194417268E-5</v>
      </c>
      <c r="E24344" s="2">
        <v>1.7465448975563999E-6</v>
      </c>
      <c r="F24344" s="2">
        <v>5.27398060721884E-4</v>
      </c>
    </row>
    <row r="24345" spans="1:6" x14ac:dyDescent="0.25">
      <c r="A24345" s="1" t="str">
        <f t="shared" si="894"/>
        <v>35620</v>
      </c>
      <c r="B24345" s="1" t="str">
        <f>"18458"</f>
        <v>18458</v>
      </c>
      <c r="C24345" s="2">
        <v>2.53978438567294E-4</v>
      </c>
      <c r="D24345" s="2">
        <v>8.7926785471027506E-5</v>
      </c>
      <c r="E24345" s="2">
        <v>2.6198173463346099E-5</v>
      </c>
      <c r="F24345" s="2">
        <v>2.25567398679421E-4</v>
      </c>
    </row>
    <row r="24346" spans="1:6" x14ac:dyDescent="0.25">
      <c r="A24346" s="1" t="str">
        <f t="shared" si="894"/>
        <v>35620</v>
      </c>
      <c r="B24346" s="1" t="str">
        <f>"18451"</f>
        <v>18451</v>
      </c>
      <c r="C24346" s="2">
        <v>4.1110710512878802E-5</v>
      </c>
      <c r="D24346" s="2">
        <v>4.9536217166776E-6</v>
      </c>
      <c r="E24346" s="2">
        <v>2.4451628565789699E-5</v>
      </c>
      <c r="F24346" s="2">
        <v>3.6950088164628901E-5</v>
      </c>
    </row>
    <row r="24347" spans="1:6" x14ac:dyDescent="0.25">
      <c r="A24347" s="1" t="str">
        <f t="shared" si="894"/>
        <v>35620</v>
      </c>
      <c r="B24347" s="1" t="str">
        <f>"18371"</f>
        <v>18371</v>
      </c>
      <c r="C24347" s="2">
        <v>6.1792172243284096E-5</v>
      </c>
      <c r="D24347" s="2">
        <v>2.4768108583388E-6</v>
      </c>
      <c r="E24347" s="2">
        <v>1.3972359180451199E-5</v>
      </c>
      <c r="F24347" s="2">
        <v>5.3706523495100198E-5</v>
      </c>
    </row>
    <row r="24348" spans="1:6" x14ac:dyDescent="0.25">
      <c r="A24348" s="1" t="str">
        <f t="shared" si="894"/>
        <v>35620</v>
      </c>
      <c r="B24348" s="1" t="str">
        <f>"11356"</f>
        <v>11356</v>
      </c>
      <c r="C24348" s="2">
        <v>9.4567244827017797E-4</v>
      </c>
      <c r="D24348" s="2">
        <v>1.18763080657345E-3</v>
      </c>
      <c r="E24348" s="2">
        <v>7.1433686310057103E-4</v>
      </c>
      <c r="F24348" s="2">
        <v>9.5243148766210699E-4</v>
      </c>
    </row>
    <row r="24349" spans="1:6" x14ac:dyDescent="0.25">
      <c r="A24349" s="1" t="str">
        <f t="shared" si="894"/>
        <v>35620</v>
      </c>
      <c r="B24349" s="1" t="str">
        <f>"11370"</f>
        <v>11370</v>
      </c>
      <c r="C24349" s="2">
        <v>9.2385602827408004E-4</v>
      </c>
      <c r="D24349" s="2">
        <v>3.8514408847168302E-4</v>
      </c>
      <c r="E24349" s="2">
        <v>5.6238745701316301E-4</v>
      </c>
      <c r="F24349" s="2">
        <v>8.5490044099500496E-4</v>
      </c>
    </row>
    <row r="24350" spans="1:6" x14ac:dyDescent="0.25">
      <c r="A24350" s="1" t="str">
        <f t="shared" si="894"/>
        <v>35620</v>
      </c>
      <c r="B24350" s="1" t="str">
        <f>"11369"</f>
        <v>11369</v>
      </c>
      <c r="C24350" s="2">
        <v>1.04479213680736E-3</v>
      </c>
      <c r="D24350" s="2">
        <v>5.4489838883453601E-4</v>
      </c>
      <c r="E24350" s="2">
        <v>7.6847975492481903E-4</v>
      </c>
      <c r="F24350" s="2">
        <v>9.8444057566518701E-4</v>
      </c>
    </row>
    <row r="24351" spans="1:6" x14ac:dyDescent="0.25">
      <c r="A24351" s="1" t="str">
        <f t="shared" si="894"/>
        <v>35620</v>
      </c>
      <c r="B24351" s="1" t="str">
        <f>"11570"</f>
        <v>11570</v>
      </c>
      <c r="C24351" s="2">
        <v>1.35148308149239E-3</v>
      </c>
      <c r="D24351" s="2">
        <v>1.62602632849942E-3</v>
      </c>
      <c r="E24351" s="2">
        <v>1.4828166180253901E-3</v>
      </c>
      <c r="F24351" s="2">
        <v>1.38337263218679E-3</v>
      </c>
    </row>
    <row r="24352" spans="1:6" x14ac:dyDescent="0.25">
      <c r="A24352" s="1" t="str">
        <f t="shared" si="894"/>
        <v>35620</v>
      </c>
      <c r="B24352" s="1" t="str">
        <f>"11566"</f>
        <v>11566</v>
      </c>
      <c r="C24352" s="2">
        <v>1.6450589528849799E-3</v>
      </c>
      <c r="D24352" s="2">
        <v>1.2247829694485299E-3</v>
      </c>
      <c r="E24352" s="2">
        <v>4.8553948152068102E-4</v>
      </c>
      <c r="F24352" s="2">
        <v>1.5372955285237399E-3</v>
      </c>
    </row>
    <row r="24353" spans="1:6" x14ac:dyDescent="0.25">
      <c r="A24353" s="1" t="str">
        <f t="shared" si="894"/>
        <v>35620</v>
      </c>
      <c r="B24353" s="1" t="str">
        <f>"11576"</f>
        <v>11576</v>
      </c>
      <c r="C24353" s="2">
        <v>6.3078458277736099E-4</v>
      </c>
      <c r="D24353" s="2">
        <v>5.8328895713878799E-4</v>
      </c>
      <c r="E24353" s="2">
        <v>3.5105552440883799E-4</v>
      </c>
      <c r="F24353" s="2">
        <v>6.0946162862239703E-4</v>
      </c>
    </row>
    <row r="24354" spans="1:6" x14ac:dyDescent="0.25">
      <c r="A24354" s="1" t="str">
        <f t="shared" si="894"/>
        <v>35620</v>
      </c>
      <c r="B24354" s="1" t="str">
        <f>"11560"</f>
        <v>11560</v>
      </c>
      <c r="C24354" s="2">
        <v>3.8790351391906501E-4</v>
      </c>
      <c r="D24354" s="2">
        <v>6.1424909286802304E-4</v>
      </c>
      <c r="E24354" s="2">
        <v>2.9516608768703301E-4</v>
      </c>
      <c r="F24354" s="2">
        <v>4.0183220879034002E-4</v>
      </c>
    </row>
    <row r="24355" spans="1:6" x14ac:dyDescent="0.25">
      <c r="A24355" s="1" t="str">
        <f t="shared" si="894"/>
        <v>35620</v>
      </c>
      <c r="B24355" s="1" t="str">
        <f>"11559"</f>
        <v>11559</v>
      </c>
      <c r="C24355" s="2">
        <v>4.0089248073755097E-4</v>
      </c>
      <c r="D24355" s="2">
        <v>7.2322877063493002E-4</v>
      </c>
      <c r="E24355" s="2">
        <v>5.5714782232049395E-4</v>
      </c>
      <c r="F24355" s="2">
        <v>4.38460057813998E-4</v>
      </c>
    </row>
    <row r="24356" spans="1:6" x14ac:dyDescent="0.25">
      <c r="A24356" s="1" t="str">
        <f t="shared" si="894"/>
        <v>35620</v>
      </c>
      <c r="B24356" s="1" t="str">
        <f>"11558"</f>
        <v>11558</v>
      </c>
      <c r="C24356" s="2">
        <v>4.1375534108207098E-4</v>
      </c>
      <c r="D24356" s="2">
        <v>5.9071938971380405E-4</v>
      </c>
      <c r="E24356" s="2">
        <v>8.0515719777350398E-4</v>
      </c>
      <c r="F24356" s="2">
        <v>4.53175645251655E-4</v>
      </c>
    </row>
    <row r="24357" spans="1:6" x14ac:dyDescent="0.25">
      <c r="A24357" s="1" t="str">
        <f t="shared" si="894"/>
        <v>35620</v>
      </c>
      <c r="B24357" s="1" t="str">
        <f>"11426"</f>
        <v>11426</v>
      </c>
      <c r="C24357" s="2">
        <v>7.7088887535346003E-4</v>
      </c>
      <c r="D24357" s="2">
        <v>3.87620899330022E-4</v>
      </c>
      <c r="E24357" s="2">
        <v>2.6722136932613E-4</v>
      </c>
      <c r="F24357" s="2">
        <v>7.0667043614852903E-4</v>
      </c>
    </row>
    <row r="24358" spans="1:6" x14ac:dyDescent="0.25">
      <c r="A24358" s="1" t="str">
        <f t="shared" si="894"/>
        <v>35620</v>
      </c>
      <c r="B24358" s="1" t="str">
        <f>"11419"</f>
        <v>11419</v>
      </c>
      <c r="C24358" s="2">
        <v>1.2150358766613099E-3</v>
      </c>
      <c r="D24358" s="2">
        <v>1.36843799923218E-3</v>
      </c>
      <c r="E24358" s="2">
        <v>6.6892669576410402E-4</v>
      </c>
      <c r="F24358" s="2">
        <v>1.1947553216720001E-3</v>
      </c>
    </row>
    <row r="24359" spans="1:6" x14ac:dyDescent="0.25">
      <c r="A24359" s="1" t="str">
        <f t="shared" si="894"/>
        <v>35620</v>
      </c>
      <c r="B24359" s="1" t="str">
        <f>"11731"</f>
        <v>11731</v>
      </c>
      <c r="C24359" s="2">
        <v>1.4265164335021E-3</v>
      </c>
      <c r="D24359" s="2">
        <v>1.286703240907E-3</v>
      </c>
      <c r="E24359" s="2">
        <v>4.34889679491545E-4</v>
      </c>
      <c r="F24359" s="2">
        <v>1.35340439207652E-3</v>
      </c>
    </row>
    <row r="24360" spans="1:6" x14ac:dyDescent="0.25">
      <c r="A24360" s="1" t="str">
        <f t="shared" si="894"/>
        <v>35620</v>
      </c>
      <c r="B24360" s="1" t="str">
        <f>"11710"</f>
        <v>11710</v>
      </c>
      <c r="C24360" s="2">
        <v>1.53774234354001E-3</v>
      </c>
      <c r="D24360" s="2">
        <v>1.60125821991603E-3</v>
      </c>
      <c r="E24360" s="2">
        <v>8.1214337736372998E-4</v>
      </c>
      <c r="F24360" s="2">
        <v>1.4986268316072701E-3</v>
      </c>
    </row>
    <row r="24361" spans="1:6" x14ac:dyDescent="0.25">
      <c r="A24361" s="1" t="str">
        <f t="shared" si="894"/>
        <v>35620</v>
      </c>
      <c r="B24361" s="1" t="str">
        <f>"11703"</f>
        <v>11703</v>
      </c>
      <c r="C24361" s="2">
        <v>8.2624961742448397E-4</v>
      </c>
      <c r="D24361" s="2">
        <v>5.9814982228882001E-4</v>
      </c>
      <c r="E24361" s="2">
        <v>4.1043805092575602E-4</v>
      </c>
      <c r="F24361" s="2">
        <v>7.80892851618757E-4</v>
      </c>
    </row>
    <row r="24362" spans="1:6" x14ac:dyDescent="0.25">
      <c r="A24362" s="1" t="str">
        <f t="shared" si="894"/>
        <v>35620</v>
      </c>
      <c r="B24362" s="1" t="str">
        <f>"11705"</f>
        <v>11705</v>
      </c>
      <c r="C24362" s="2">
        <v>4.3695893229179399E-4</v>
      </c>
      <c r="D24362" s="2">
        <v>4.2724987306344298E-4</v>
      </c>
      <c r="E24362" s="2">
        <v>8.3834155082707605E-5</v>
      </c>
      <c r="F24362" s="2">
        <v>4.1439953528819298E-4</v>
      </c>
    </row>
    <row r="24363" spans="1:6" x14ac:dyDescent="0.25">
      <c r="A24363" s="1" t="str">
        <f t="shared" si="894"/>
        <v>35620</v>
      </c>
      <c r="B24363" s="1" t="str">
        <f>"11791"</f>
        <v>11791</v>
      </c>
      <c r="C24363" s="2">
        <v>1.12512196072363E-3</v>
      </c>
      <c r="D24363" s="2">
        <v>1.7808270071455899E-3</v>
      </c>
      <c r="E24363" s="2">
        <v>4.4886203867199699E-4</v>
      </c>
      <c r="F24363" s="2">
        <v>1.14040431989495E-3</v>
      </c>
    </row>
    <row r="24364" spans="1:6" x14ac:dyDescent="0.25">
      <c r="A24364" s="1" t="str">
        <f t="shared" si="894"/>
        <v>35620</v>
      </c>
      <c r="B24364" s="1" t="str">
        <f>"11793"</f>
        <v>11793</v>
      </c>
      <c r="C24364" s="2">
        <v>1.40898763362084E-3</v>
      </c>
      <c r="D24364" s="2">
        <v>1.0972272102440801E-3</v>
      </c>
      <c r="E24364" s="2">
        <v>3.4232279992105598E-4</v>
      </c>
      <c r="F24364" s="2">
        <v>1.3163468908649E-3</v>
      </c>
    </row>
    <row r="24365" spans="1:6" x14ac:dyDescent="0.25">
      <c r="A24365" s="1" t="str">
        <f t="shared" si="894"/>
        <v>35620</v>
      </c>
      <c r="B24365" s="1" t="str">
        <f>"11794"</f>
        <v>11794</v>
      </c>
      <c r="C24365" s="2">
        <v>0</v>
      </c>
      <c r="D24365" s="2">
        <v>5.8328895713878799E-4</v>
      </c>
      <c r="E24365" s="2">
        <v>0</v>
      </c>
      <c r="F24365" s="2">
        <v>5.05915451323844E-5</v>
      </c>
    </row>
    <row r="24366" spans="1:6" x14ac:dyDescent="0.25">
      <c r="A24366" s="1" t="str">
        <f t="shared" si="894"/>
        <v>35620</v>
      </c>
      <c r="B24366" s="1" t="str">
        <f>"11802"</f>
        <v>11802</v>
      </c>
      <c r="C24366" s="2">
        <v>1.15261317204819E-4</v>
      </c>
      <c r="D24366" s="2">
        <v>5.2013028025114797E-4</v>
      </c>
      <c r="E24366" s="2">
        <v>3.49308979511281E-6</v>
      </c>
      <c r="F24366" s="2">
        <v>1.43503830778907E-4</v>
      </c>
    </row>
    <row r="24367" spans="1:6" x14ac:dyDescent="0.25">
      <c r="A24367" s="1" t="str">
        <f t="shared" si="894"/>
        <v>35620</v>
      </c>
      <c r="B24367" s="1" t="str">
        <f>"11952"</f>
        <v>11952</v>
      </c>
      <c r="C24367" s="2">
        <v>2.8676612179842398E-4</v>
      </c>
      <c r="D24367" s="2">
        <v>1.6470792207952999E-4</v>
      </c>
      <c r="E24367" s="2">
        <v>5.0649802029135802E-5</v>
      </c>
      <c r="F24367" s="2">
        <v>2.6165818246812802E-4</v>
      </c>
    </row>
    <row r="24368" spans="1:6" x14ac:dyDescent="0.25">
      <c r="A24368" s="1" t="str">
        <f t="shared" si="894"/>
        <v>35620</v>
      </c>
      <c r="B24368" s="1" t="str">
        <f>"11951"</f>
        <v>11951</v>
      </c>
      <c r="C24368" s="2">
        <v>7.1060998079776696E-4</v>
      </c>
      <c r="D24368" s="2">
        <v>2.73687599846437E-4</v>
      </c>
      <c r="E24368" s="2">
        <v>2.4451628565789699E-5</v>
      </c>
      <c r="F24368" s="2">
        <v>6.3051458583247605E-4</v>
      </c>
    </row>
    <row r="24369" spans="1:6" x14ac:dyDescent="0.25">
      <c r="A24369" s="1" t="str">
        <f t="shared" si="894"/>
        <v>35620</v>
      </c>
      <c r="B24369" s="1" t="str">
        <f>"11949"</f>
        <v>11949</v>
      </c>
      <c r="C24369" s="2">
        <v>6.9787322692721205E-4</v>
      </c>
      <c r="D24369" s="2">
        <v>1.7956878722956299E-4</v>
      </c>
      <c r="E24369" s="2">
        <v>3.7376060807707101E-4</v>
      </c>
      <c r="F24369" s="2">
        <v>6.3298508591325099E-4</v>
      </c>
    </row>
    <row r="24370" spans="1:6" x14ac:dyDescent="0.25">
      <c r="A24370" s="1" t="str">
        <f t="shared" si="894"/>
        <v>35620</v>
      </c>
      <c r="B24370" s="1" t="str">
        <f>"11942"</f>
        <v>11942</v>
      </c>
      <c r="C24370" s="2">
        <v>4.9559844268593097E-4</v>
      </c>
      <c r="D24370" s="2">
        <v>3.8019046675500599E-4</v>
      </c>
      <c r="E24370" s="2">
        <v>5.9382526516917903E-5</v>
      </c>
      <c r="F24370" s="2">
        <v>4.58761123695146E-4</v>
      </c>
    </row>
    <row r="24371" spans="1:6" x14ac:dyDescent="0.25">
      <c r="A24371" s="1" t="str">
        <f t="shared" si="894"/>
        <v>35620</v>
      </c>
      <c r="B24371" s="1" t="str">
        <f>"11784"</f>
        <v>11784</v>
      </c>
      <c r="C24371" s="2">
        <v>1.0944780875499201E-3</v>
      </c>
      <c r="D24371" s="2">
        <v>8.0496352896010999E-4</v>
      </c>
      <c r="E24371" s="2">
        <v>2.3403701627255799E-4</v>
      </c>
      <c r="F24371" s="2">
        <v>1.0164496636682601E-3</v>
      </c>
    </row>
    <row r="24372" spans="1:6" x14ac:dyDescent="0.25">
      <c r="A24372" s="1" t="str">
        <f t="shared" si="894"/>
        <v>35620</v>
      </c>
      <c r="B24372" s="1" t="str">
        <f>"08736"</f>
        <v>08736</v>
      </c>
      <c r="C24372" s="2">
        <v>8.4743550505075296E-4</v>
      </c>
      <c r="D24372" s="2">
        <v>1.3312858363571001E-3</v>
      </c>
      <c r="E24372" s="2">
        <v>3.9297260195019201E-4</v>
      </c>
      <c r="F24372" s="2">
        <v>8.61452636861407E-4</v>
      </c>
    </row>
    <row r="24373" spans="1:6" x14ac:dyDescent="0.25">
      <c r="A24373" s="1" t="str">
        <f t="shared" si="894"/>
        <v>35620</v>
      </c>
      <c r="B24373" s="1" t="str">
        <f>"10012"</f>
        <v>10012</v>
      </c>
      <c r="C24373" s="2">
        <v>2.1922349434229599E-3</v>
      </c>
      <c r="D24373" s="2">
        <v>5.0526941510111497E-3</v>
      </c>
      <c r="E24373" s="2">
        <v>4.0537307072284201E-3</v>
      </c>
      <c r="F24373" s="2">
        <v>2.5548193226619101E-3</v>
      </c>
    </row>
    <row r="24374" spans="1:6" x14ac:dyDescent="0.25">
      <c r="A24374" s="1" t="str">
        <f t="shared" si="894"/>
        <v>35620</v>
      </c>
      <c r="B24374" s="1" t="str">
        <f>"10005"</f>
        <v>10005</v>
      </c>
      <c r="C24374" s="2">
        <v>8.5336250932714999E-4</v>
      </c>
      <c r="D24374" s="2">
        <v>2.30591090911342E-3</v>
      </c>
      <c r="E24374" s="2">
        <v>5.0300493049624498E-4</v>
      </c>
      <c r="F24374" s="2">
        <v>9.5780214001161699E-4</v>
      </c>
    </row>
    <row r="24375" spans="1:6" x14ac:dyDescent="0.25">
      <c r="A24375" s="1" t="str">
        <f t="shared" si="894"/>
        <v>35620</v>
      </c>
      <c r="B24375" s="1" t="str">
        <f>"10024"</f>
        <v>10024</v>
      </c>
      <c r="C24375" s="2">
        <v>4.1678189645725202E-3</v>
      </c>
      <c r="D24375" s="2">
        <v>2.0025015789669198E-3</v>
      </c>
      <c r="E24375" s="2">
        <v>5.1942245253327598E-3</v>
      </c>
      <c r="F24375" s="2">
        <v>4.0431345017581301E-3</v>
      </c>
    </row>
    <row r="24376" spans="1:6" x14ac:dyDescent="0.25">
      <c r="A24376" s="1" t="str">
        <f t="shared" si="894"/>
        <v>35620</v>
      </c>
      <c r="B24376" s="1" t="str">
        <f>"10026"</f>
        <v>10026</v>
      </c>
      <c r="C24376" s="2">
        <v>2.30686572825795E-3</v>
      </c>
      <c r="D24376" s="2">
        <v>9.2385045016037299E-4</v>
      </c>
      <c r="E24376" s="2">
        <v>2.9237161585094198E-3</v>
      </c>
      <c r="F24376" s="2">
        <v>2.22484644230802E-3</v>
      </c>
    </row>
    <row r="24377" spans="1:6" x14ac:dyDescent="0.25">
      <c r="A24377" s="1" t="str">
        <f t="shared" si="894"/>
        <v>35620</v>
      </c>
      <c r="B24377" s="1" t="str">
        <f>"10105"</f>
        <v>10105</v>
      </c>
      <c r="C24377" s="2">
        <v>0</v>
      </c>
      <c r="D24377" s="2">
        <v>6.0681866029300597E-5</v>
      </c>
      <c r="E24377" s="2">
        <v>8.7327244877820399E-6</v>
      </c>
      <c r="F24377" s="2">
        <v>5.8003045374708199E-6</v>
      </c>
    </row>
    <row r="24378" spans="1:6" x14ac:dyDescent="0.25">
      <c r="A24378" s="1" t="str">
        <f t="shared" si="894"/>
        <v>35620</v>
      </c>
      <c r="B24378" s="1" t="str">
        <f>"10454"</f>
        <v>10454</v>
      </c>
      <c r="C24378" s="2">
        <v>2.2120336598356002E-3</v>
      </c>
      <c r="D24378" s="2">
        <v>1.37834524266554E-3</v>
      </c>
      <c r="E24378" s="2">
        <v>1.95263719546806E-3</v>
      </c>
      <c r="F24378" s="2">
        <v>2.1237707650902399E-3</v>
      </c>
    </row>
    <row r="24379" spans="1:6" x14ac:dyDescent="0.25">
      <c r="A24379" s="1" t="str">
        <f t="shared" si="894"/>
        <v>35620</v>
      </c>
      <c r="B24379" s="1" t="str">
        <f>"10159"</f>
        <v>10159</v>
      </c>
      <c r="C24379" s="2">
        <v>1.66838865056867E-4</v>
      </c>
      <c r="D24379" s="2">
        <v>4.24773062205104E-4</v>
      </c>
      <c r="E24379" s="2">
        <v>3.49308979511281E-6</v>
      </c>
      <c r="F24379" s="2">
        <v>1.7916496237965399E-4</v>
      </c>
    </row>
    <row r="24380" spans="1:6" x14ac:dyDescent="0.25">
      <c r="A24380" s="1" t="str">
        <f t="shared" si="894"/>
        <v>35620</v>
      </c>
      <c r="B24380" s="1" t="str">
        <f>"10281"</f>
        <v>10281</v>
      </c>
      <c r="C24380" s="2">
        <v>0</v>
      </c>
      <c r="D24380" s="2">
        <v>3.3808468216324603E-4</v>
      </c>
      <c r="E24380" s="2">
        <v>1.0653923875094E-4</v>
      </c>
      <c r="F24380" s="2">
        <v>3.5875957694726898E-5</v>
      </c>
    </row>
    <row r="24381" spans="1:6" x14ac:dyDescent="0.25">
      <c r="A24381" s="1" t="str">
        <f t="shared" si="894"/>
        <v>35620</v>
      </c>
      <c r="B24381" s="1" t="str">
        <f>"10037"</f>
        <v>10037</v>
      </c>
      <c r="C24381" s="2">
        <v>1.6270257271078601E-3</v>
      </c>
      <c r="D24381" s="2">
        <v>7.2446717606409897E-4</v>
      </c>
      <c r="E24381" s="2">
        <v>9.5012042427068601E-4</v>
      </c>
      <c r="F24381" s="2">
        <v>1.5071124623195001E-3</v>
      </c>
    </row>
    <row r="24382" spans="1:6" x14ac:dyDescent="0.25">
      <c r="A24382" s="1" t="str">
        <f t="shared" si="894"/>
        <v>35620</v>
      </c>
      <c r="B24382" s="1" t="str">
        <f>"10547"</f>
        <v>10547</v>
      </c>
      <c r="C24382" s="2">
        <v>4.5196560269373501E-4</v>
      </c>
      <c r="D24382" s="2">
        <v>4.3468030563845899E-4</v>
      </c>
      <c r="E24382" s="2">
        <v>2.4626283055545299E-4</v>
      </c>
      <c r="F24382" s="2">
        <v>4.3781557953205698E-4</v>
      </c>
    </row>
    <row r="24383" spans="1:6" x14ac:dyDescent="0.25">
      <c r="A24383" s="1" t="str">
        <f t="shared" si="894"/>
        <v>35620</v>
      </c>
      <c r="B24383" s="1" t="str">
        <f>"10537"</f>
        <v>10537</v>
      </c>
      <c r="C24383" s="2">
        <v>1.2761975165347599E-4</v>
      </c>
      <c r="D24383" s="2">
        <v>4.9536217166776E-6</v>
      </c>
      <c r="E24383" s="2">
        <v>5.7635981619361397E-5</v>
      </c>
      <c r="F24383" s="2">
        <v>1.1267628629272E-4</v>
      </c>
    </row>
    <row r="24384" spans="1:6" x14ac:dyDescent="0.25">
      <c r="A24384" s="1" t="str">
        <f t="shared" si="894"/>
        <v>35620</v>
      </c>
      <c r="B24384" s="1" t="str">
        <f>"10532"</f>
        <v>10532</v>
      </c>
      <c r="C24384" s="2">
        <v>2.1677702874735701E-4</v>
      </c>
      <c r="D24384" s="2">
        <v>6.4768603945559598E-4</v>
      </c>
      <c r="E24384" s="2">
        <v>2.4276974076034E-4</v>
      </c>
      <c r="F24384" s="2">
        <v>2.55750464883667E-4</v>
      </c>
    </row>
    <row r="24385" spans="1:6" x14ac:dyDescent="0.25">
      <c r="A24385" s="1" t="str">
        <f t="shared" si="894"/>
        <v>35620</v>
      </c>
      <c r="B24385" s="1" t="str">
        <f>"10467"</f>
        <v>10467</v>
      </c>
      <c r="C24385" s="2">
        <v>4.9861238741371596E-3</v>
      </c>
      <c r="D24385" s="2">
        <v>2.4012681271594599E-3</v>
      </c>
      <c r="E24385" s="2">
        <v>5.6954829109314396E-3</v>
      </c>
      <c r="F24385" s="2">
        <v>4.8055523092945703E-3</v>
      </c>
    </row>
    <row r="24386" spans="1:6" x14ac:dyDescent="0.25">
      <c r="A24386" s="1" t="str">
        <f t="shared" si="894"/>
        <v>35620</v>
      </c>
      <c r="B24386" s="1" t="str">
        <f>"10471"</f>
        <v>10471</v>
      </c>
      <c r="C24386" s="2">
        <v>1.41403189257947E-3</v>
      </c>
      <c r="D24386" s="2">
        <v>5.9567301143048201E-4</v>
      </c>
      <c r="E24386" s="2">
        <v>9.4313424468046002E-4</v>
      </c>
      <c r="F24386" s="2">
        <v>1.31409121687811E-3</v>
      </c>
    </row>
    <row r="24387" spans="1:6" x14ac:dyDescent="0.25">
      <c r="A24387" s="1" t="str">
        <f t="shared" si="894"/>
        <v>35620</v>
      </c>
      <c r="B24387" s="1" t="str">
        <f>"10516"</f>
        <v>10516</v>
      </c>
      <c r="C24387" s="2">
        <v>3.5814238606311598E-4</v>
      </c>
      <c r="D24387" s="2">
        <v>5.2632230739699498E-4</v>
      </c>
      <c r="E24387" s="2">
        <v>3.68520973384402E-4</v>
      </c>
      <c r="F24387" s="2">
        <v>3.7336775133793598E-4</v>
      </c>
    </row>
    <row r="24388" spans="1:6" x14ac:dyDescent="0.25">
      <c r="A24388" s="1" t="str">
        <f t="shared" si="894"/>
        <v>35620</v>
      </c>
      <c r="B24388" s="1" t="str">
        <f>"10506"</f>
        <v>10506</v>
      </c>
      <c r="C24388" s="2">
        <v>3.5801627958915002E-4</v>
      </c>
      <c r="D24388" s="2">
        <v>3.8142887218417499E-4</v>
      </c>
      <c r="E24388" s="2">
        <v>4.0170532643797399E-5</v>
      </c>
      <c r="F24388" s="2">
        <v>3.4049935895893503E-4</v>
      </c>
    </row>
    <row r="24389" spans="1:6" x14ac:dyDescent="0.25">
      <c r="A24389" s="1" t="str">
        <f t="shared" si="894"/>
        <v>35620</v>
      </c>
      <c r="B24389" s="1" t="str">
        <f>"10512"</f>
        <v>10512</v>
      </c>
      <c r="C24389" s="2">
        <v>1.4281558176636501E-3</v>
      </c>
      <c r="D24389" s="2">
        <v>1.16286269799006E-3</v>
      </c>
      <c r="E24389" s="2">
        <v>6.3224925291542004E-4</v>
      </c>
      <c r="F24389" s="2">
        <v>1.35619713129827E-3</v>
      </c>
    </row>
    <row r="24390" spans="1:6" x14ac:dyDescent="0.25">
      <c r="A24390" s="1" t="str">
        <f t="shared" si="894"/>
        <v>35620</v>
      </c>
      <c r="B24390" s="1" t="str">
        <f>"10504"</f>
        <v>10504</v>
      </c>
      <c r="C24390" s="2">
        <v>4.3355405749471499E-4</v>
      </c>
      <c r="D24390" s="2">
        <v>7.5666571722250405E-4</v>
      </c>
      <c r="E24390" s="2">
        <v>2.2879738157988901E-4</v>
      </c>
      <c r="F24390" s="2">
        <v>4.48986536419038E-4</v>
      </c>
    </row>
    <row r="24391" spans="1:6" x14ac:dyDescent="0.25">
      <c r="A24391" s="1" t="str">
        <f t="shared" si="894"/>
        <v>35620</v>
      </c>
      <c r="B24391" s="1" t="str">
        <f>"10514"</f>
        <v>10514</v>
      </c>
      <c r="C24391" s="2">
        <v>5.9206989526983404E-4</v>
      </c>
      <c r="D24391" s="2">
        <v>5.3499114540118096E-4</v>
      </c>
      <c r="E24391" s="2">
        <v>1.5194940608740699E-4</v>
      </c>
      <c r="F24391" s="2">
        <v>5.6005162700690505E-4</v>
      </c>
    </row>
    <row r="24392" spans="1:6" x14ac:dyDescent="0.25">
      <c r="A24392" s="1" t="str">
        <f t="shared" si="894"/>
        <v>35620</v>
      </c>
      <c r="B24392" s="1" t="str">
        <f>"11582"</f>
        <v>11582</v>
      </c>
      <c r="C24392" s="2">
        <v>1.09838738824286E-4</v>
      </c>
      <c r="D24392" s="2">
        <v>4.3344190020928999E-4</v>
      </c>
      <c r="E24392" s="2">
        <v>1.7465448975563999E-6</v>
      </c>
      <c r="F24392" s="2">
        <v>1.3125874342202501E-4</v>
      </c>
    </row>
    <row r="24393" spans="1:6" x14ac:dyDescent="0.25">
      <c r="A24393" s="1" t="str">
        <f t="shared" si="894"/>
        <v>35620</v>
      </c>
      <c r="B24393" s="1" t="str">
        <f>"18445"</f>
        <v>18445</v>
      </c>
      <c r="C24393" s="2">
        <v>3.2283257335266698E-5</v>
      </c>
      <c r="D24393" s="2">
        <v>1.2384054291694E-6</v>
      </c>
      <c r="E24393" s="2">
        <v>6.9861795902256301E-6</v>
      </c>
      <c r="F24393" s="2">
        <v>2.8034805264442299E-5</v>
      </c>
    </row>
    <row r="24394" spans="1:6" x14ac:dyDescent="0.25">
      <c r="A24394" s="1" t="str">
        <f t="shared" si="894"/>
        <v>35620</v>
      </c>
      <c r="B24394" s="1" t="str">
        <f>"07007"</f>
        <v>07007</v>
      </c>
      <c r="C24394" s="2">
        <v>1.2547594159605601E-4</v>
      </c>
      <c r="D24394" s="2">
        <v>5.1889187482197902E-4</v>
      </c>
      <c r="E24394" s="2">
        <v>3.49308979511281E-6</v>
      </c>
      <c r="F24394" s="2">
        <v>1.5209687453812299E-4</v>
      </c>
    </row>
    <row r="24395" spans="1:6" x14ac:dyDescent="0.25">
      <c r="A24395" s="1" t="str">
        <f t="shared" ref="A24395:A24458" si="895">"35620"</f>
        <v>35620</v>
      </c>
      <c r="B24395" s="1" t="str">
        <f>"07602"</f>
        <v>07602</v>
      </c>
      <c r="C24395" s="2">
        <v>6.7214750623817196E-5</v>
      </c>
      <c r="D24395" s="2">
        <v>2.2291297725049201E-4</v>
      </c>
      <c r="E24395" s="2">
        <v>3.49308979511281E-6</v>
      </c>
      <c r="F24395" s="2">
        <v>7.6800328597993294E-5</v>
      </c>
    </row>
    <row r="24396" spans="1:6" x14ac:dyDescent="0.25">
      <c r="A24396" s="1" t="str">
        <f t="shared" si="895"/>
        <v>35620</v>
      </c>
      <c r="B24396" s="1" t="str">
        <f>"07935"</f>
        <v>07935</v>
      </c>
      <c r="C24396" s="2">
        <v>2.95089149080173E-5</v>
      </c>
      <c r="D24396" s="2">
        <v>4.3344190020929002E-5</v>
      </c>
      <c r="E24396" s="2">
        <v>4.5410167336466597E-5</v>
      </c>
      <c r="F24396" s="2">
        <v>3.1686848862109098E-5</v>
      </c>
    </row>
    <row r="24397" spans="1:6" x14ac:dyDescent="0.25">
      <c r="A24397" s="1" t="str">
        <f t="shared" si="895"/>
        <v>35620</v>
      </c>
      <c r="B24397" s="1" t="str">
        <f>"08887"</f>
        <v>08887</v>
      </c>
      <c r="C24397" s="2">
        <v>6.3431556404840601E-5</v>
      </c>
      <c r="D24397" s="2">
        <v>1.1145648862524601E-5</v>
      </c>
      <c r="E24397" s="2">
        <v>1.22258142828948E-5</v>
      </c>
      <c r="F24397" s="2">
        <v>5.5747371387914E-5</v>
      </c>
    </row>
    <row r="24398" spans="1:6" x14ac:dyDescent="0.25">
      <c r="A24398" s="1" t="str">
        <f t="shared" si="895"/>
        <v>35620</v>
      </c>
      <c r="B24398" s="1" t="str">
        <f>"08006"</f>
        <v>08006</v>
      </c>
      <c r="C24398" s="2">
        <v>8.1590888655928097E-5</v>
      </c>
      <c r="D24398" s="2">
        <v>3.2198541158404403E-5</v>
      </c>
      <c r="E24398" s="2">
        <v>5.2396346926692202E-6</v>
      </c>
      <c r="F24398" s="2">
        <v>7.2611219765375494E-5</v>
      </c>
    </row>
    <row r="24399" spans="1:6" x14ac:dyDescent="0.25">
      <c r="A24399" s="1" t="str">
        <f t="shared" si="895"/>
        <v>35620</v>
      </c>
      <c r="B24399" s="1" t="str">
        <f>"08553"</f>
        <v>08553</v>
      </c>
      <c r="C24399" s="2">
        <v>9.57148137401074E-5</v>
      </c>
      <c r="D24399" s="2">
        <v>1.72138354654546E-4</v>
      </c>
      <c r="E24399" s="2">
        <v>1.04792693853384E-5</v>
      </c>
      <c r="F24399" s="2">
        <v>9.7101394479141197E-5</v>
      </c>
    </row>
    <row r="24400" spans="1:6" x14ac:dyDescent="0.25">
      <c r="A24400" s="1" t="str">
        <f t="shared" si="895"/>
        <v>35620</v>
      </c>
      <c r="B24400" s="1" t="str">
        <f>"12582"</f>
        <v>12582</v>
      </c>
      <c r="C24400" s="2">
        <v>3.1526618491471401E-6</v>
      </c>
      <c r="D24400" s="2">
        <v>0</v>
      </c>
      <c r="E24400" s="2">
        <v>0</v>
      </c>
      <c r="F24400" s="2">
        <v>2.6853261747550098E-6</v>
      </c>
    </row>
    <row r="24401" spans="1:6" x14ac:dyDescent="0.25">
      <c r="A24401" s="1" t="str">
        <f t="shared" si="895"/>
        <v>35620</v>
      </c>
      <c r="B24401" s="1" t="str">
        <f>"11970"</f>
        <v>11970</v>
      </c>
      <c r="C24401" s="2">
        <v>1.16017956048615E-5</v>
      </c>
      <c r="D24401" s="2">
        <v>0</v>
      </c>
      <c r="E24401" s="2">
        <v>1.7465448975563999E-6</v>
      </c>
      <c r="F24401" s="2">
        <v>9.9894133700886408E-6</v>
      </c>
    </row>
    <row r="24402" spans="1:6" x14ac:dyDescent="0.25">
      <c r="A24402" s="1" t="str">
        <f t="shared" si="895"/>
        <v>35620</v>
      </c>
      <c r="B24402" s="1" t="str">
        <f>"10311"</f>
        <v>10311</v>
      </c>
      <c r="C24402" s="2">
        <v>0</v>
      </c>
      <c r="D24402" s="2">
        <v>4.0867379162590201E-5</v>
      </c>
      <c r="E24402" s="2">
        <v>8.7327244877820399E-6</v>
      </c>
      <c r="F24402" s="2">
        <v>4.0816957856276104E-6</v>
      </c>
    </row>
    <row r="24403" spans="1:6" x14ac:dyDescent="0.25">
      <c r="A24403" s="1" t="str">
        <f t="shared" si="895"/>
        <v>35620</v>
      </c>
      <c r="B24403" s="1" t="str">
        <f>"11773"</f>
        <v>11773</v>
      </c>
      <c r="C24403" s="2">
        <v>0</v>
      </c>
      <c r="D24403" s="2">
        <v>0</v>
      </c>
      <c r="E24403" s="2">
        <v>2.77700638711469E-4</v>
      </c>
      <c r="F24403" s="2">
        <v>1.70786744714418E-5</v>
      </c>
    </row>
    <row r="24404" spans="1:6" x14ac:dyDescent="0.25">
      <c r="A24404" s="1" t="str">
        <f t="shared" si="895"/>
        <v>35620</v>
      </c>
      <c r="B24404" s="1" t="str">
        <f>"10119"</f>
        <v>10119</v>
      </c>
      <c r="C24404" s="2">
        <v>0</v>
      </c>
      <c r="D24404" s="2">
        <v>4.1115060248424098E-4</v>
      </c>
      <c r="E24404" s="2">
        <v>2.0958538770676901E-5</v>
      </c>
      <c r="F24404" s="2">
        <v>3.6950088164628901E-5</v>
      </c>
    </row>
    <row r="24405" spans="1:6" x14ac:dyDescent="0.25">
      <c r="A24405" s="1" t="str">
        <f t="shared" si="895"/>
        <v>35620</v>
      </c>
      <c r="B24405" s="1" t="str">
        <f>"07015"</f>
        <v>07015</v>
      </c>
      <c r="C24405" s="2">
        <v>1.81719428984841E-4</v>
      </c>
      <c r="D24405" s="2">
        <v>5.23845496538656E-4</v>
      </c>
      <c r="E24405" s="2">
        <v>3.49308979511281E-6</v>
      </c>
      <c r="F24405" s="2">
        <v>2.00432745683714E-4</v>
      </c>
    </row>
    <row r="24406" spans="1:6" x14ac:dyDescent="0.25">
      <c r="A24406" s="1" t="str">
        <f t="shared" si="895"/>
        <v>35620</v>
      </c>
      <c r="B24406" s="1" t="str">
        <f>"07103"</f>
        <v>07103</v>
      </c>
      <c r="C24406" s="2">
        <v>1.61618057034679E-3</v>
      </c>
      <c r="D24406" s="2">
        <v>1.4501727575573599E-3</v>
      </c>
      <c r="E24406" s="2">
        <v>4.3384175255301201E-3</v>
      </c>
      <c r="F24406" s="2">
        <v>1.76920029697559E-3</v>
      </c>
    </row>
    <row r="24407" spans="1:6" x14ac:dyDescent="0.25">
      <c r="A24407" s="1" t="str">
        <f t="shared" si="895"/>
        <v>35620</v>
      </c>
      <c r="B24407" s="1" t="str">
        <f>"07106"</f>
        <v>07106</v>
      </c>
      <c r="C24407" s="2">
        <v>1.34643882253376E-3</v>
      </c>
      <c r="D24407" s="2">
        <v>6.2910995801805495E-4</v>
      </c>
      <c r="E24407" s="2">
        <v>3.0826517441870601E-3</v>
      </c>
      <c r="F24407" s="2">
        <v>1.39099895852309E-3</v>
      </c>
    </row>
    <row r="24408" spans="1:6" x14ac:dyDescent="0.25">
      <c r="A24408" s="1" t="str">
        <f t="shared" si="895"/>
        <v>35620</v>
      </c>
      <c r="B24408" s="1" t="str">
        <f>"07879"</f>
        <v>07879</v>
      </c>
      <c r="C24408" s="2">
        <v>0</v>
      </c>
      <c r="D24408" s="2">
        <v>0</v>
      </c>
      <c r="E24408" s="2">
        <v>1.7465448975563999E-6</v>
      </c>
      <c r="F24408" s="2">
        <v>1.074130469902E-7</v>
      </c>
    </row>
    <row r="24409" spans="1:6" x14ac:dyDescent="0.25">
      <c r="A24409" s="1" t="str">
        <f t="shared" si="895"/>
        <v>35620</v>
      </c>
      <c r="B24409" s="1" t="str">
        <f>"07842"</f>
        <v>07842</v>
      </c>
      <c r="C24409" s="2">
        <v>0</v>
      </c>
      <c r="D24409" s="2">
        <v>0</v>
      </c>
      <c r="E24409" s="2">
        <v>1.7465448975563999E-6</v>
      </c>
      <c r="F24409" s="2">
        <v>1.074130469902E-7</v>
      </c>
    </row>
    <row r="24410" spans="1:6" x14ac:dyDescent="0.25">
      <c r="A24410" s="1" t="str">
        <f t="shared" si="895"/>
        <v>35620</v>
      </c>
      <c r="B24410" s="1" t="str">
        <f>"08560"</f>
        <v>08560</v>
      </c>
      <c r="C24410" s="2">
        <v>2.5221294793177103E-7</v>
      </c>
      <c r="D24410" s="2">
        <v>0</v>
      </c>
      <c r="E24410" s="2">
        <v>0</v>
      </c>
      <c r="F24410" s="2">
        <v>2.1482609398039999E-7</v>
      </c>
    </row>
    <row r="24411" spans="1:6" x14ac:dyDescent="0.25">
      <c r="A24411" s="1" t="str">
        <f t="shared" si="895"/>
        <v>35620</v>
      </c>
      <c r="B24411" s="1" t="str">
        <f>"08557"</f>
        <v>08557</v>
      </c>
      <c r="C24411" s="2">
        <v>0</v>
      </c>
      <c r="D24411" s="2">
        <v>0</v>
      </c>
      <c r="E24411" s="2">
        <v>1.7465448975563999E-6</v>
      </c>
      <c r="F24411" s="2">
        <v>1.074130469902E-7</v>
      </c>
    </row>
    <row r="24412" spans="1:6" x14ac:dyDescent="0.25">
      <c r="A24412" s="1" t="str">
        <f t="shared" si="895"/>
        <v>35620</v>
      </c>
      <c r="B24412" s="1" t="str">
        <f>"00501"</f>
        <v>00501</v>
      </c>
      <c r="C24412" s="2">
        <v>0</v>
      </c>
      <c r="D24412" s="2">
        <v>1.2384054291694E-6</v>
      </c>
      <c r="E24412" s="2">
        <v>0</v>
      </c>
      <c r="F24412" s="2">
        <v>1.074130469902E-7</v>
      </c>
    </row>
    <row r="24413" spans="1:6" x14ac:dyDescent="0.25">
      <c r="A24413" s="1" t="str">
        <f t="shared" si="895"/>
        <v>35620</v>
      </c>
      <c r="B24413" s="1" t="str">
        <f>"10080"</f>
        <v>10080</v>
      </c>
      <c r="C24413" s="2">
        <v>0</v>
      </c>
      <c r="D24413" s="2">
        <v>2.4768108583388E-6</v>
      </c>
      <c r="E24413" s="2">
        <v>5.2396346926692202E-6</v>
      </c>
      <c r="F24413" s="2">
        <v>5.3706523495100201E-7</v>
      </c>
    </row>
    <row r="24414" spans="1:6" x14ac:dyDescent="0.25">
      <c r="A24414" s="1" t="str">
        <f t="shared" si="895"/>
        <v>35620</v>
      </c>
      <c r="B24414" s="1" t="str">
        <f>"11425"</f>
        <v>11425</v>
      </c>
      <c r="C24414" s="2">
        <v>0</v>
      </c>
      <c r="D24414" s="2">
        <v>1.2384054291694E-6</v>
      </c>
      <c r="E24414" s="2">
        <v>0</v>
      </c>
      <c r="F24414" s="2">
        <v>1.074130469902E-7</v>
      </c>
    </row>
    <row r="24415" spans="1:6" x14ac:dyDescent="0.25">
      <c r="A24415" s="1" t="str">
        <f t="shared" si="895"/>
        <v>35620</v>
      </c>
      <c r="B24415" s="1" t="str">
        <f>"07837"</f>
        <v>07837</v>
      </c>
      <c r="C24415" s="2">
        <v>0</v>
      </c>
      <c r="D24415" s="2">
        <v>0</v>
      </c>
      <c r="E24415" s="2">
        <v>1.22258142828948E-5</v>
      </c>
      <c r="F24415" s="2">
        <v>7.5189132893140298E-7</v>
      </c>
    </row>
    <row r="24416" spans="1:6" x14ac:dyDescent="0.25">
      <c r="A24416" s="1" t="str">
        <f t="shared" si="895"/>
        <v>35620</v>
      </c>
      <c r="B24416" s="1" t="str">
        <f>"18326"</f>
        <v>18326</v>
      </c>
      <c r="C24416" s="2">
        <v>3.9093006929424601E-6</v>
      </c>
      <c r="D24416" s="2">
        <v>2.4768108583388E-6</v>
      </c>
      <c r="E24416" s="2">
        <v>0</v>
      </c>
      <c r="F24416" s="2">
        <v>3.5446305506766099E-6</v>
      </c>
    </row>
    <row r="24417" spans="1:6" x14ac:dyDescent="0.25">
      <c r="A24417" s="1" t="str">
        <f t="shared" si="895"/>
        <v>35620</v>
      </c>
      <c r="B24417" s="1" t="str">
        <f>"07699"</f>
        <v>07699</v>
      </c>
      <c r="C24417" s="2">
        <v>0</v>
      </c>
      <c r="D24417" s="2">
        <v>0</v>
      </c>
      <c r="E24417" s="2">
        <v>1.7465448975563999E-6</v>
      </c>
      <c r="F24417" s="2">
        <v>1.074130469902E-7</v>
      </c>
    </row>
    <row r="24418" spans="1:6" x14ac:dyDescent="0.25">
      <c r="A24418" s="1" t="str">
        <f t="shared" si="895"/>
        <v>35620</v>
      </c>
      <c r="B24418" s="1" t="str">
        <f>"07399"</f>
        <v>07399</v>
      </c>
      <c r="C24418" s="2">
        <v>0</v>
      </c>
      <c r="D24418" s="2">
        <v>1.2384054291694E-6</v>
      </c>
      <c r="E24418" s="2">
        <v>0</v>
      </c>
      <c r="F24418" s="2">
        <v>1.074130469902E-7</v>
      </c>
    </row>
    <row r="24419" spans="1:6" x14ac:dyDescent="0.25">
      <c r="A24419" s="1" t="str">
        <f t="shared" si="895"/>
        <v>35620</v>
      </c>
      <c r="B24419" s="1" t="str">
        <f>"07407"</f>
        <v>07407</v>
      </c>
      <c r="C24419" s="2">
        <v>1.00405974571638E-3</v>
      </c>
      <c r="D24419" s="2">
        <v>9.2508885558954205E-4</v>
      </c>
      <c r="E24419" s="2">
        <v>6.7765942025188597E-4</v>
      </c>
      <c r="F24419" s="2">
        <v>9.7713648846985308E-4</v>
      </c>
    </row>
    <row r="24420" spans="1:6" x14ac:dyDescent="0.25">
      <c r="A24420" s="1" t="str">
        <f t="shared" si="895"/>
        <v>35620</v>
      </c>
      <c r="B24420" s="1" t="str">
        <f>"07440"</f>
        <v>07440</v>
      </c>
      <c r="C24420" s="2">
        <v>2.1362436689820999E-4</v>
      </c>
      <c r="D24420" s="2">
        <v>1.49847056929497E-4</v>
      </c>
      <c r="E24420" s="2">
        <v>1.92119938731204E-4</v>
      </c>
      <c r="F24420" s="2">
        <v>2.06770115456135E-4</v>
      </c>
    </row>
    <row r="24421" spans="1:6" x14ac:dyDescent="0.25">
      <c r="A24421" s="1" t="str">
        <f t="shared" si="895"/>
        <v>35620</v>
      </c>
      <c r="B24421" s="1" t="str">
        <f>"07435"</f>
        <v>07435</v>
      </c>
      <c r="C24421" s="2">
        <v>1.47796787488018E-4</v>
      </c>
      <c r="D24421" s="2">
        <v>2.7987962699228401E-4</v>
      </c>
      <c r="E24421" s="2">
        <v>1.6242867547274601E-4</v>
      </c>
      <c r="F24421" s="2">
        <v>1.60152853062388E-4</v>
      </c>
    </row>
    <row r="24422" spans="1:6" x14ac:dyDescent="0.25">
      <c r="A24422" s="1" t="str">
        <f t="shared" si="895"/>
        <v>35620</v>
      </c>
      <c r="B24422" s="1" t="str">
        <f>"07452"</f>
        <v>07452</v>
      </c>
      <c r="C24422" s="2">
        <v>5.1010068719200804E-4</v>
      </c>
      <c r="D24422" s="2">
        <v>5.0155419881360705E-4</v>
      </c>
      <c r="E24422" s="2">
        <v>2.1657156729699401E-4</v>
      </c>
      <c r="F24422" s="2">
        <v>4.9130727693317698E-4</v>
      </c>
    </row>
    <row r="24423" spans="1:6" x14ac:dyDescent="0.25">
      <c r="A24423" s="1" t="str">
        <f t="shared" si="895"/>
        <v>35620</v>
      </c>
      <c r="B24423" s="1" t="str">
        <f>"07924"</f>
        <v>07924</v>
      </c>
      <c r="C24423" s="2">
        <v>4.16655789983287E-4</v>
      </c>
      <c r="D24423" s="2">
        <v>6.6626212089313701E-4</v>
      </c>
      <c r="E24423" s="2">
        <v>8.6803281408553501E-4</v>
      </c>
      <c r="F24423" s="2">
        <v>4.6606521089047901E-4</v>
      </c>
    </row>
    <row r="24424" spans="1:6" x14ac:dyDescent="0.25">
      <c r="A24424" s="1" t="str">
        <f t="shared" si="895"/>
        <v>35620</v>
      </c>
      <c r="B24424" s="1" t="str">
        <f>"07945"</f>
        <v>07945</v>
      </c>
      <c r="C24424" s="2">
        <v>4.72016532054311E-4</v>
      </c>
      <c r="D24424" s="2">
        <v>3.9009771018836098E-4</v>
      </c>
      <c r="E24424" s="2">
        <v>2.0958538770676901E-4</v>
      </c>
      <c r="F24424" s="2">
        <v>4.4877171032505701E-4</v>
      </c>
    </row>
    <row r="24425" spans="1:6" x14ac:dyDescent="0.25">
      <c r="A24425" s="1" t="str">
        <f t="shared" si="895"/>
        <v>35620</v>
      </c>
      <c r="B24425" s="1" t="str">
        <f>"07677"</f>
        <v>07677</v>
      </c>
      <c r="C24425" s="2">
        <v>2.7390326145390397E-4</v>
      </c>
      <c r="D24425" s="2">
        <v>2.9969411385899502E-4</v>
      </c>
      <c r="E24425" s="2">
        <v>1.3448395711184301E-4</v>
      </c>
      <c r="F24425" s="2">
        <v>2.6756590005258898E-4</v>
      </c>
    </row>
    <row r="24426" spans="1:6" x14ac:dyDescent="0.25">
      <c r="A24426" s="1" t="str">
        <f t="shared" si="895"/>
        <v>35620</v>
      </c>
      <c r="B24426" s="1" t="str">
        <f>"07869"</f>
        <v>07869</v>
      </c>
      <c r="C24426" s="2">
        <v>1.1914539660296899E-3</v>
      </c>
      <c r="D24426" s="2">
        <v>9.6347942389379403E-4</v>
      </c>
      <c r="E24426" s="2">
        <v>6.8639214473966803E-4</v>
      </c>
      <c r="F24426" s="2">
        <v>1.14061914598893E-3</v>
      </c>
    </row>
    <row r="24427" spans="1:6" x14ac:dyDescent="0.25">
      <c r="A24427" s="1" t="str">
        <f t="shared" si="895"/>
        <v>35620</v>
      </c>
      <c r="B24427" s="1" t="str">
        <f>"07871"</f>
        <v>07871</v>
      </c>
      <c r="C24427" s="2">
        <v>1.1415158023391899E-3</v>
      </c>
      <c r="D24427" s="2">
        <v>1.4043517566781E-3</v>
      </c>
      <c r="E24427" s="2">
        <v>6.6543360596899102E-4</v>
      </c>
      <c r="F24427" s="2">
        <v>1.1350336675454401E-3</v>
      </c>
    </row>
    <row r="24428" spans="1:6" x14ac:dyDescent="0.25">
      <c r="A24428" s="1" t="str">
        <f t="shared" si="895"/>
        <v>35620</v>
      </c>
      <c r="B24428" s="1" t="str">
        <f>"07852"</f>
        <v>07852</v>
      </c>
      <c r="C24428" s="2">
        <v>1.9281679869383899E-4</v>
      </c>
      <c r="D24428" s="2">
        <v>3.2941584415905999E-4</v>
      </c>
      <c r="E24428" s="2">
        <v>1.4845631629229399E-4</v>
      </c>
      <c r="F24428" s="2">
        <v>2.01936528341576E-4</v>
      </c>
    </row>
    <row r="24429" spans="1:6" x14ac:dyDescent="0.25">
      <c r="A24429" s="1" t="str">
        <f t="shared" si="895"/>
        <v>35620</v>
      </c>
      <c r="B24429" s="1" t="str">
        <f>"07643"</f>
        <v>07643</v>
      </c>
      <c r="C24429" s="2">
        <v>6.2901909214183895E-4</v>
      </c>
      <c r="D24429" s="2">
        <v>7.0093747290988096E-4</v>
      </c>
      <c r="E24429" s="2">
        <v>5.6937363660338901E-4</v>
      </c>
      <c r="F24429" s="2">
        <v>6.3158871630237797E-4</v>
      </c>
    </row>
    <row r="24430" spans="1:6" x14ac:dyDescent="0.25">
      <c r="A24430" s="1" t="str">
        <f t="shared" si="895"/>
        <v>35620</v>
      </c>
      <c r="B24430" s="1" t="str">
        <f>"08884"</f>
        <v>08884</v>
      </c>
      <c r="C24430" s="2">
        <v>4.1829517414484297E-4</v>
      </c>
      <c r="D24430" s="2">
        <v>2.5634992383806601E-4</v>
      </c>
      <c r="E24430" s="2">
        <v>1.0653923875094E-4</v>
      </c>
      <c r="F24430" s="2">
        <v>3.8507577345986801E-4</v>
      </c>
    </row>
    <row r="24431" spans="1:6" x14ac:dyDescent="0.25">
      <c r="A24431" s="1" t="str">
        <f t="shared" si="895"/>
        <v>35620</v>
      </c>
      <c r="B24431" s="1" t="str">
        <f>"08840"</f>
        <v>08840</v>
      </c>
      <c r="C24431" s="2">
        <v>9.1401972330474104E-4</v>
      </c>
      <c r="D24431" s="2">
        <v>1.3572923503696599E-3</v>
      </c>
      <c r="E24431" s="2">
        <v>6.9512486922744998E-4</v>
      </c>
      <c r="F24431" s="2">
        <v>9.3900485678833202E-4</v>
      </c>
    </row>
    <row r="24432" spans="1:6" x14ac:dyDescent="0.25">
      <c r="A24432" s="1" t="str">
        <f t="shared" si="895"/>
        <v>35620</v>
      </c>
      <c r="B24432" s="1" t="str">
        <f>"08831"</f>
        <v>08831</v>
      </c>
      <c r="C24432" s="2">
        <v>3.2700669764093799E-3</v>
      </c>
      <c r="D24432" s="2">
        <v>1.51704665073251E-3</v>
      </c>
      <c r="E24432" s="2">
        <v>9.9553059160715292E-4</v>
      </c>
      <c r="F24432" s="2">
        <v>2.9781341408502901E-3</v>
      </c>
    </row>
    <row r="24433" spans="1:6" x14ac:dyDescent="0.25">
      <c r="A24433" s="1" t="str">
        <f t="shared" si="895"/>
        <v>35620</v>
      </c>
      <c r="B24433" s="1" t="str">
        <f>"08844"</f>
        <v>08844</v>
      </c>
      <c r="C24433" s="2">
        <v>2.1443144833159199E-3</v>
      </c>
      <c r="D24433" s="2">
        <v>1.96039579437516E-3</v>
      </c>
      <c r="E24433" s="2">
        <v>1.3448395711184299E-3</v>
      </c>
      <c r="F24433" s="2">
        <v>2.0791943505893101E-3</v>
      </c>
    </row>
    <row r="24434" spans="1:6" x14ac:dyDescent="0.25">
      <c r="A24434" s="1" t="str">
        <f t="shared" si="895"/>
        <v>35620</v>
      </c>
      <c r="B24434" s="1" t="str">
        <f>"08850"</f>
        <v>08850</v>
      </c>
      <c r="C24434" s="2">
        <v>4.7655636511708202E-4</v>
      </c>
      <c r="D24434" s="2">
        <v>4.9288536080942095E-4</v>
      </c>
      <c r="E24434" s="2">
        <v>1.44963226497181E-4</v>
      </c>
      <c r="F24434" s="2">
        <v>4.5757958017825402E-4</v>
      </c>
    </row>
    <row r="24435" spans="1:6" x14ac:dyDescent="0.25">
      <c r="A24435" s="1" t="str">
        <f t="shared" si="895"/>
        <v>35620</v>
      </c>
      <c r="B24435" s="1" t="str">
        <f>"08836"</f>
        <v>08836</v>
      </c>
      <c r="C24435" s="2">
        <v>2.2963988909187799E-4</v>
      </c>
      <c r="D24435" s="2">
        <v>3.1207816815068899E-4</v>
      </c>
      <c r="E24435" s="2">
        <v>5.4142891824248603E-5</v>
      </c>
      <c r="F24435" s="2">
        <v>2.25997050867381E-4</v>
      </c>
    </row>
    <row r="24436" spans="1:6" x14ac:dyDescent="0.25">
      <c r="A24436" s="1" t="str">
        <f t="shared" si="895"/>
        <v>35620</v>
      </c>
      <c r="B24436" s="1" t="str">
        <f>"08859"</f>
        <v>08859</v>
      </c>
      <c r="C24436" s="2">
        <v>1.14227244118299E-3</v>
      </c>
      <c r="D24436" s="2">
        <v>4.6192522508018601E-4</v>
      </c>
      <c r="E24436" s="2">
        <v>2.9865917748214498E-4</v>
      </c>
      <c r="F24436" s="2">
        <v>1.0313800771999E-3</v>
      </c>
    </row>
    <row r="24437" spans="1:6" x14ac:dyDescent="0.25">
      <c r="A24437" s="1" t="str">
        <f t="shared" si="895"/>
        <v>35620</v>
      </c>
      <c r="B24437" s="1" t="str">
        <f>"08807"</f>
        <v>08807</v>
      </c>
      <c r="C24437" s="2">
        <v>1.8863006375817201E-3</v>
      </c>
      <c r="D24437" s="2">
        <v>1.8860914686249901E-3</v>
      </c>
      <c r="E24437" s="2">
        <v>9.1868261611467098E-4</v>
      </c>
      <c r="F24437" s="2">
        <v>1.8267736901623299E-3</v>
      </c>
    </row>
    <row r="24438" spans="1:6" x14ac:dyDescent="0.25">
      <c r="A24438" s="1" t="str">
        <f t="shared" si="895"/>
        <v>35620</v>
      </c>
      <c r="B24438" s="1" t="str">
        <f>"07735"</f>
        <v>07735</v>
      </c>
      <c r="C24438" s="2">
        <v>1.0929648098623301E-3</v>
      </c>
      <c r="D24438" s="2">
        <v>9.0032074700615401E-4</v>
      </c>
      <c r="E24438" s="2">
        <v>4.8903257131579397E-4</v>
      </c>
      <c r="F24438" s="2">
        <v>1.0391138165831901E-3</v>
      </c>
    </row>
    <row r="24439" spans="1:6" x14ac:dyDescent="0.25">
      <c r="A24439" s="1" t="str">
        <f t="shared" si="895"/>
        <v>35620</v>
      </c>
      <c r="B24439" s="1" t="str">
        <f>"07733"</f>
        <v>07733</v>
      </c>
      <c r="C24439" s="2">
        <v>8.0733364632960098E-4</v>
      </c>
      <c r="D24439" s="2">
        <v>8.91651909001969E-4</v>
      </c>
      <c r="E24439" s="2">
        <v>1.9386648362876101E-4</v>
      </c>
      <c r="F24439" s="2">
        <v>7.7691856888012002E-4</v>
      </c>
    </row>
    <row r="24440" spans="1:6" x14ac:dyDescent="0.25">
      <c r="A24440" s="1" t="str">
        <f t="shared" si="895"/>
        <v>35620</v>
      </c>
      <c r="B24440" s="1" t="str">
        <f>"07750"</f>
        <v>07750</v>
      </c>
      <c r="C24440" s="2">
        <v>2.5536560978091897E-4</v>
      </c>
      <c r="D24440" s="2">
        <v>9.4118812616874502E-5</v>
      </c>
      <c r="E24440" s="2">
        <v>5.9207872027162197E-4</v>
      </c>
      <c r="F24440" s="2">
        <v>2.6208783465608902E-4</v>
      </c>
    </row>
    <row r="24441" spans="1:6" x14ac:dyDescent="0.25">
      <c r="A24441" s="1" t="str">
        <f t="shared" si="895"/>
        <v>35620</v>
      </c>
      <c r="B24441" s="1" t="str">
        <f>"08691"</f>
        <v>08691</v>
      </c>
      <c r="C24441" s="2">
        <v>1.08451567610661E-5</v>
      </c>
      <c r="D24441" s="2">
        <v>3.7152162875082002E-6</v>
      </c>
      <c r="E24441" s="2">
        <v>0</v>
      </c>
      <c r="F24441" s="2">
        <v>9.5597611821278397E-6</v>
      </c>
    </row>
    <row r="24442" spans="1:6" x14ac:dyDescent="0.25">
      <c r="A24442" s="1" t="str">
        <f t="shared" si="895"/>
        <v>35620</v>
      </c>
      <c r="B24442" s="1" t="str">
        <f>"08540"</f>
        <v>08540</v>
      </c>
      <c r="C24442" s="2">
        <v>7.35452956169046E-4</v>
      </c>
      <c r="D24442" s="2">
        <v>1.01920766820641E-3</v>
      </c>
      <c r="E24442" s="2">
        <v>2.2530429178477601E-4</v>
      </c>
      <c r="F24442" s="2">
        <v>7.2869011078151996E-4</v>
      </c>
    </row>
    <row r="24443" spans="1:6" x14ac:dyDescent="0.25">
      <c r="A24443" s="1" t="str">
        <f t="shared" si="895"/>
        <v>35620</v>
      </c>
      <c r="B24443" s="1" t="str">
        <f>"08535"</f>
        <v>08535</v>
      </c>
      <c r="C24443" s="2">
        <v>2.26487227242731E-4</v>
      </c>
      <c r="D24443" s="2">
        <v>1.7956878722956299E-4</v>
      </c>
      <c r="E24443" s="2">
        <v>6.9861795902256306E-5</v>
      </c>
      <c r="F24443" s="2">
        <v>2.12785246087587E-4</v>
      </c>
    </row>
    <row r="24444" spans="1:6" x14ac:dyDescent="0.25">
      <c r="A24444" s="1" t="str">
        <f t="shared" si="895"/>
        <v>35620</v>
      </c>
      <c r="B24444" s="1" t="str">
        <f>"08510"</f>
        <v>08510</v>
      </c>
      <c r="C24444" s="2">
        <v>2.14885431637869E-4</v>
      </c>
      <c r="D24444" s="2">
        <v>7.3065920320994603E-5</v>
      </c>
      <c r="E24444" s="2">
        <v>2.9691263258458901E-5</v>
      </c>
      <c r="F24444" s="2">
        <v>1.9119522364255599E-4</v>
      </c>
    </row>
    <row r="24445" spans="1:6" x14ac:dyDescent="0.25">
      <c r="A24445" s="1" t="str">
        <f t="shared" si="895"/>
        <v>35620</v>
      </c>
      <c r="B24445" s="1" t="str">
        <f>"08755"</f>
        <v>08755</v>
      </c>
      <c r="C24445" s="2">
        <v>1.4213460680695001E-3</v>
      </c>
      <c r="D24445" s="2">
        <v>1.6966154379620801E-3</v>
      </c>
      <c r="E24445" s="2">
        <v>4.4187585908177099E-4</v>
      </c>
      <c r="F24445" s="2">
        <v>1.38498382789164E-3</v>
      </c>
    </row>
    <row r="24446" spans="1:6" x14ac:dyDescent="0.25">
      <c r="A24446" s="1" t="str">
        <f t="shared" si="895"/>
        <v>35620</v>
      </c>
      <c r="B24446" s="1" t="str">
        <f>"08751"</f>
        <v>08751</v>
      </c>
      <c r="C24446" s="2">
        <v>6.5701472936226496E-4</v>
      </c>
      <c r="D24446" s="2">
        <v>3.20747006154874E-4</v>
      </c>
      <c r="E24446" s="2">
        <v>8.2087610185151204E-4</v>
      </c>
      <c r="F24446" s="2">
        <v>6.3792608607479999E-4</v>
      </c>
    </row>
    <row r="24447" spans="1:6" x14ac:dyDescent="0.25">
      <c r="A24447" s="1" t="str">
        <f t="shared" si="895"/>
        <v>35620</v>
      </c>
      <c r="B24447" s="1" t="str">
        <f>"08731"</f>
        <v>08731</v>
      </c>
      <c r="C24447" s="2">
        <v>1.2792240719099401E-3</v>
      </c>
      <c r="D24447" s="2">
        <v>9.2756566644788103E-4</v>
      </c>
      <c r="E24447" s="2">
        <v>2.6198173463346099E-4</v>
      </c>
      <c r="F24447" s="2">
        <v>1.18616227791278E-3</v>
      </c>
    </row>
    <row r="24448" spans="1:6" x14ac:dyDescent="0.25">
      <c r="A24448" s="1" t="str">
        <f t="shared" si="895"/>
        <v>35620</v>
      </c>
      <c r="B24448" s="1" t="str">
        <f>"08735"</f>
        <v>08735</v>
      </c>
      <c r="C24448" s="2">
        <v>9.1780291752371695E-4</v>
      </c>
      <c r="D24448" s="2">
        <v>2.6254195098391302E-4</v>
      </c>
      <c r="E24448" s="2">
        <v>1.95613028526317E-4</v>
      </c>
      <c r="F24448" s="2">
        <v>8.16553983219504E-4</v>
      </c>
    </row>
    <row r="24449" spans="1:6" x14ac:dyDescent="0.25">
      <c r="A24449" s="1" t="str">
        <f t="shared" si="895"/>
        <v>35620</v>
      </c>
      <c r="B24449" s="1" t="str">
        <f>"08722"</f>
        <v>08722</v>
      </c>
      <c r="C24449" s="2">
        <v>4.8765373482607998E-4</v>
      </c>
      <c r="D24449" s="2">
        <v>1.5851589493368301E-4</v>
      </c>
      <c r="E24449" s="2">
        <v>4.36636224389102E-5</v>
      </c>
      <c r="F24449" s="2">
        <v>4.3180044890060498E-4</v>
      </c>
    </row>
    <row r="24450" spans="1:6" x14ac:dyDescent="0.25">
      <c r="A24450" s="1" t="str">
        <f t="shared" si="895"/>
        <v>35620</v>
      </c>
      <c r="B24450" s="1" t="str">
        <f>"08732"</f>
        <v>08732</v>
      </c>
      <c r="C24450" s="2">
        <v>1.3468171419556599E-4</v>
      </c>
      <c r="D24450" s="2">
        <v>1.88237625233749E-4</v>
      </c>
      <c r="E24450" s="2">
        <v>1.5474387792349701E-3</v>
      </c>
      <c r="F24450" s="2">
        <v>2.2621187696136199E-4</v>
      </c>
    </row>
    <row r="24451" spans="1:6" x14ac:dyDescent="0.25">
      <c r="A24451" s="1" t="str">
        <f t="shared" si="895"/>
        <v>35620</v>
      </c>
      <c r="B24451" s="1" t="str">
        <f>"10001"</f>
        <v>10001</v>
      </c>
      <c r="C24451" s="2">
        <v>2.3820251867416099E-3</v>
      </c>
      <c r="D24451" s="2">
        <v>1.48955405020495E-2</v>
      </c>
      <c r="E24451" s="2">
        <v>4.2842746337058701E-3</v>
      </c>
      <c r="F24451" s="2">
        <v>3.5843733780629898E-3</v>
      </c>
    </row>
    <row r="24452" spans="1:6" x14ac:dyDescent="0.25">
      <c r="A24452" s="1" t="str">
        <f t="shared" si="895"/>
        <v>35620</v>
      </c>
      <c r="B24452" s="1" t="str">
        <f>"10002"</f>
        <v>10002</v>
      </c>
      <c r="C24452" s="2">
        <v>5.9586570013620702E-3</v>
      </c>
      <c r="D24452" s="2">
        <v>4.5598087902017298E-3</v>
      </c>
      <c r="E24452" s="2">
        <v>5.3950771885517401E-3</v>
      </c>
      <c r="F24452" s="2">
        <v>5.8026676245046104E-3</v>
      </c>
    </row>
    <row r="24453" spans="1:6" x14ac:dyDescent="0.25">
      <c r="A24453" s="1" t="str">
        <f t="shared" si="895"/>
        <v>35620</v>
      </c>
      <c r="B24453" s="1" t="str">
        <f>"10027"</f>
        <v>10027</v>
      </c>
      <c r="C24453" s="2">
        <v>3.7715924233717099E-3</v>
      </c>
      <c r="D24453" s="2">
        <v>2.32448699055096E-3</v>
      </c>
      <c r="E24453" s="2">
        <v>4.9095377070310598E-3</v>
      </c>
      <c r="F24453" s="2">
        <v>3.71606177367297E-3</v>
      </c>
    </row>
    <row r="24454" spans="1:6" x14ac:dyDescent="0.25">
      <c r="A24454" s="1" t="str">
        <f t="shared" si="895"/>
        <v>35620</v>
      </c>
      <c r="B24454" s="1" t="str">
        <f>"10274"</f>
        <v>10274</v>
      </c>
      <c r="C24454" s="2">
        <v>1.8209774840673899E-4</v>
      </c>
      <c r="D24454" s="2">
        <v>3.6656800703414199E-4</v>
      </c>
      <c r="E24454" s="2">
        <v>3.49308979511281E-6</v>
      </c>
      <c r="F24454" s="2">
        <v>1.8711352785692899E-4</v>
      </c>
    </row>
    <row r="24455" spans="1:6" x14ac:dyDescent="0.25">
      <c r="A24455" s="1" t="str">
        <f t="shared" si="895"/>
        <v>35620</v>
      </c>
      <c r="B24455" s="1" t="str">
        <f>"10158"</f>
        <v>10158</v>
      </c>
      <c r="C24455" s="2">
        <v>0</v>
      </c>
      <c r="D24455" s="2">
        <v>3.3436946587573797E-5</v>
      </c>
      <c r="E24455" s="2">
        <v>3.49308979511281E-6</v>
      </c>
      <c r="F24455" s="2">
        <v>3.1149783627158101E-6</v>
      </c>
    </row>
    <row r="24456" spans="1:6" x14ac:dyDescent="0.25">
      <c r="A24456" s="1" t="str">
        <f t="shared" si="895"/>
        <v>35620</v>
      </c>
      <c r="B24456" s="1" t="str">
        <f>"10163"</f>
        <v>10163</v>
      </c>
      <c r="C24456" s="2">
        <v>4.5297445448546199E-4</v>
      </c>
      <c r="D24456" s="2">
        <v>1.2408822400277401E-3</v>
      </c>
      <c r="E24456" s="2">
        <v>3.49308979511281E-6</v>
      </c>
      <c r="F24456" s="2">
        <v>4.9367036396696104E-4</v>
      </c>
    </row>
    <row r="24457" spans="1:6" x14ac:dyDescent="0.25">
      <c r="A24457" s="1" t="str">
        <f t="shared" si="895"/>
        <v>35620</v>
      </c>
      <c r="B24457" s="1" t="str">
        <f>"10185"</f>
        <v>10185</v>
      </c>
      <c r="C24457" s="2">
        <v>4.7907849459639999E-4</v>
      </c>
      <c r="D24457" s="2">
        <v>8.0496352896010999E-4</v>
      </c>
      <c r="E24457" s="2">
        <v>3.49308979511281E-6</v>
      </c>
      <c r="F24457" s="2">
        <v>4.7809547215338198E-4</v>
      </c>
    </row>
    <row r="24458" spans="1:6" x14ac:dyDescent="0.25">
      <c r="A24458" s="1" t="str">
        <f t="shared" si="895"/>
        <v>35620</v>
      </c>
      <c r="B24458" s="1" t="str">
        <f>"07055"</f>
        <v>07055</v>
      </c>
      <c r="C24458" s="2">
        <v>2.82150624851273E-3</v>
      </c>
      <c r="D24458" s="2">
        <v>3.30406568502396E-3</v>
      </c>
      <c r="E24458" s="2">
        <v>5.3060033987763697E-3</v>
      </c>
      <c r="F24458" s="2">
        <v>3.0161583594848201E-3</v>
      </c>
    </row>
    <row r="24459" spans="1:6" x14ac:dyDescent="0.25">
      <c r="A24459" s="1" t="str">
        <f t="shared" ref="A24459:A24522" si="896">"35620"</f>
        <v>35620</v>
      </c>
      <c r="B24459" s="1" t="str">
        <f>"07058"</f>
        <v>07058</v>
      </c>
      <c r="C24459" s="2">
        <v>2.9937676919501298E-4</v>
      </c>
      <c r="D24459" s="2">
        <v>6.8236139147234004E-4</v>
      </c>
      <c r="E24459" s="2">
        <v>1.58935585677633E-3</v>
      </c>
      <c r="F24459" s="2">
        <v>4.1192903520741799E-4</v>
      </c>
    </row>
    <row r="24460" spans="1:6" x14ac:dyDescent="0.25">
      <c r="A24460" s="1" t="str">
        <f t="shared" si="896"/>
        <v>35620</v>
      </c>
      <c r="B24460" s="1" t="str">
        <f>"07073"</f>
        <v>07073</v>
      </c>
      <c r="C24460" s="2">
        <v>5.9925796428588905E-4</v>
      </c>
      <c r="D24460" s="2">
        <v>1.26936556489863E-3</v>
      </c>
      <c r="E24460" s="2">
        <v>5.4317546314004304E-4</v>
      </c>
      <c r="F24460" s="2">
        <v>6.5393063007634E-4</v>
      </c>
    </row>
    <row r="24461" spans="1:6" x14ac:dyDescent="0.25">
      <c r="A24461" s="1" t="str">
        <f t="shared" si="896"/>
        <v>35620</v>
      </c>
      <c r="B24461" s="1" t="str">
        <f>"07059"</f>
        <v>07059</v>
      </c>
      <c r="C24461" s="2">
        <v>7.6672736171258602E-4</v>
      </c>
      <c r="D24461" s="2">
        <v>1.0068236139147201E-3</v>
      </c>
      <c r="E24461" s="2">
        <v>3.9122605705263502E-4</v>
      </c>
      <c r="F24461" s="2">
        <v>7.6445865542925599E-4</v>
      </c>
    </row>
    <row r="24462" spans="1:6" x14ac:dyDescent="0.25">
      <c r="A24462" s="1" t="str">
        <f t="shared" si="896"/>
        <v>35620</v>
      </c>
      <c r="B24462" s="1" t="str">
        <f>"07033"</f>
        <v>07033</v>
      </c>
      <c r="C24462" s="2">
        <v>4.2825758558814799E-4</v>
      </c>
      <c r="D24462" s="2">
        <v>1.02168447906475E-3</v>
      </c>
      <c r="E24462" s="2">
        <v>3.3533662033082999E-4</v>
      </c>
      <c r="F24462" s="2">
        <v>4.7401377636775401E-4</v>
      </c>
    </row>
    <row r="24463" spans="1:6" x14ac:dyDescent="0.25">
      <c r="A24463" s="1" t="str">
        <f t="shared" si="896"/>
        <v>35620</v>
      </c>
      <c r="B24463" s="1" t="str">
        <f>"07043"</f>
        <v>07043</v>
      </c>
      <c r="C24463" s="2">
        <v>6.0909426925522903E-4</v>
      </c>
      <c r="D24463" s="2">
        <v>6.9969906748071104E-4</v>
      </c>
      <c r="E24463" s="2">
        <v>3.0739190196992698E-4</v>
      </c>
      <c r="F24463" s="2">
        <v>5.9839808478240602E-4</v>
      </c>
    </row>
    <row r="24464" spans="1:6" x14ac:dyDescent="0.25">
      <c r="A24464" s="1" t="str">
        <f t="shared" si="896"/>
        <v>35620</v>
      </c>
      <c r="B24464" s="1" t="str">
        <f>"07047"</f>
        <v>07047</v>
      </c>
      <c r="C24464" s="2">
        <v>2.9145728262995499E-3</v>
      </c>
      <c r="D24464" s="2">
        <v>2.2204609345007299E-3</v>
      </c>
      <c r="E24464" s="2">
        <v>3.6642511950733402E-3</v>
      </c>
      <c r="F24464" s="2">
        <v>2.9004745078763799E-3</v>
      </c>
    </row>
    <row r="24465" spans="1:6" x14ac:dyDescent="0.25">
      <c r="A24465" s="1" t="str">
        <f t="shared" si="896"/>
        <v>35620</v>
      </c>
      <c r="B24465" s="1" t="str">
        <f>"07027"</f>
        <v>07027</v>
      </c>
      <c r="C24465" s="2">
        <v>2.4792532781693101E-4</v>
      </c>
      <c r="D24465" s="2">
        <v>3.0960135729235001E-4</v>
      </c>
      <c r="E24465" s="2">
        <v>2.2355774688722E-4</v>
      </c>
      <c r="F24465" s="2">
        <v>2.5177618214502898E-4</v>
      </c>
    </row>
    <row r="24466" spans="1:6" x14ac:dyDescent="0.25">
      <c r="A24466" s="1" t="str">
        <f t="shared" si="896"/>
        <v>35620</v>
      </c>
      <c r="B24466" s="1" t="str">
        <f>"10530"</f>
        <v>10530</v>
      </c>
      <c r="C24466" s="2">
        <v>8.8324974365706498E-4</v>
      </c>
      <c r="D24466" s="2">
        <v>7.7771860951838395E-4</v>
      </c>
      <c r="E24466" s="2">
        <v>7.2656267738346598E-4</v>
      </c>
      <c r="F24466" s="2">
        <v>8.6446020217713295E-4</v>
      </c>
    </row>
    <row r="24467" spans="1:6" x14ac:dyDescent="0.25">
      <c r="A24467" s="1" t="str">
        <f t="shared" si="896"/>
        <v>35620</v>
      </c>
      <c r="B24467" s="1" t="str">
        <f>"10472"</f>
        <v>10472</v>
      </c>
      <c r="C24467" s="2">
        <v>2.9044843083822799E-3</v>
      </c>
      <c r="D24467" s="2">
        <v>1.2978488897695301E-3</v>
      </c>
      <c r="E24467" s="2">
        <v>4.3908138724568103E-3</v>
      </c>
      <c r="F24467" s="2">
        <v>2.8565425716573899E-3</v>
      </c>
    </row>
    <row r="24468" spans="1:6" x14ac:dyDescent="0.25">
      <c r="A24468" s="1" t="str">
        <f t="shared" si="896"/>
        <v>35620</v>
      </c>
      <c r="B24468" s="1" t="str">
        <f>"10468"</f>
        <v>10468</v>
      </c>
      <c r="C24468" s="2">
        <v>3.6640236010788102E-3</v>
      </c>
      <c r="D24468" s="2">
        <v>1.4080669729655999E-3</v>
      </c>
      <c r="E24468" s="2">
        <v>2.7350893095733301E-3</v>
      </c>
      <c r="F24468" s="2">
        <v>3.41122354631478E-3</v>
      </c>
    </row>
    <row r="24469" spans="1:6" x14ac:dyDescent="0.25">
      <c r="A24469" s="1" t="str">
        <f t="shared" si="896"/>
        <v>35620</v>
      </c>
      <c r="B24469" s="1" t="str">
        <f>"10465"</f>
        <v>10465</v>
      </c>
      <c r="C24469" s="2">
        <v>2.2177084511640602E-3</v>
      </c>
      <c r="D24469" s="2">
        <v>9.4366493702708297E-4</v>
      </c>
      <c r="E24469" s="2">
        <v>1.5614111384154199E-3</v>
      </c>
      <c r="F24469" s="2">
        <v>2.0668418501854301E-3</v>
      </c>
    </row>
    <row r="24470" spans="1:6" x14ac:dyDescent="0.25">
      <c r="A24470" s="1" t="str">
        <f t="shared" si="896"/>
        <v>35620</v>
      </c>
      <c r="B24470" s="1" t="str">
        <f>"10591"</f>
        <v>10591</v>
      </c>
      <c r="C24470" s="2">
        <v>1.3395029664656399E-3</v>
      </c>
      <c r="D24470" s="2">
        <v>1.9690646323793398E-3</v>
      </c>
      <c r="E24470" s="2">
        <v>1.89150812405359E-3</v>
      </c>
      <c r="F24470" s="2">
        <v>1.42805645973471E-3</v>
      </c>
    </row>
    <row r="24471" spans="1:6" x14ac:dyDescent="0.25">
      <c r="A24471" s="1" t="str">
        <f t="shared" si="896"/>
        <v>35620</v>
      </c>
      <c r="B24471" s="1" t="str">
        <f>"10603"</f>
        <v>10603</v>
      </c>
      <c r="C24471" s="2">
        <v>1.0307943181971501E-3</v>
      </c>
      <c r="D24471" s="2">
        <v>8.3963888097685405E-4</v>
      </c>
      <c r="E24471" s="2">
        <v>1.1457334527970001E-3</v>
      </c>
      <c r="F24471" s="2">
        <v>1.0212832507828201E-3</v>
      </c>
    </row>
    <row r="24472" spans="1:6" x14ac:dyDescent="0.25">
      <c r="A24472" s="1" t="str">
        <f t="shared" si="896"/>
        <v>35620</v>
      </c>
      <c r="B24472" s="1" t="str">
        <f>"10710"</f>
        <v>10710</v>
      </c>
      <c r="C24472" s="2">
        <v>1.4180672997463799E-3</v>
      </c>
      <c r="D24472" s="2">
        <v>1.32014018749458E-3</v>
      </c>
      <c r="E24472" s="2">
        <v>2.0714022485019E-3</v>
      </c>
      <c r="F24472" s="2">
        <v>1.44975389522673E-3</v>
      </c>
    </row>
    <row r="24473" spans="1:6" x14ac:dyDescent="0.25">
      <c r="A24473" s="1" t="str">
        <f t="shared" si="896"/>
        <v>35620</v>
      </c>
      <c r="B24473" s="1" t="str">
        <f>"10576"</f>
        <v>10576</v>
      </c>
      <c r="C24473" s="2">
        <v>3.0379049578381902E-4</v>
      </c>
      <c r="D24473" s="2">
        <v>2.5758832926723501E-4</v>
      </c>
      <c r="E24473" s="2">
        <v>4.36636224389102E-5</v>
      </c>
      <c r="F24473" s="2">
        <v>2.8378527014810901E-4</v>
      </c>
    </row>
    <row r="24474" spans="1:6" x14ac:dyDescent="0.25">
      <c r="A24474" s="1" t="str">
        <f t="shared" si="896"/>
        <v>35620</v>
      </c>
      <c r="B24474" s="1" t="str">
        <f>"10566"</f>
        <v>10566</v>
      </c>
      <c r="C24474" s="2">
        <v>1.4300474147731399E-3</v>
      </c>
      <c r="D24474" s="2">
        <v>1.46998724442407E-3</v>
      </c>
      <c r="E24474" s="2">
        <v>1.6958950955272699E-3</v>
      </c>
      <c r="F24474" s="2">
        <v>1.4498613082737199E-3</v>
      </c>
    </row>
    <row r="24475" spans="1:6" x14ac:dyDescent="0.25">
      <c r="A24475" s="1" t="str">
        <f t="shared" si="896"/>
        <v>35620</v>
      </c>
      <c r="B24475" s="1" t="str">
        <f>"10588"</f>
        <v>10588</v>
      </c>
      <c r="C24475" s="2">
        <v>2.0744514967388199E-4</v>
      </c>
      <c r="D24475" s="2">
        <v>2.1424413924630599E-4</v>
      </c>
      <c r="E24475" s="2">
        <v>8.3834155082707605E-5</v>
      </c>
      <c r="F24475" s="2">
        <v>2.00432745683714E-4</v>
      </c>
    </row>
    <row r="24476" spans="1:6" x14ac:dyDescent="0.25">
      <c r="A24476" s="1" t="str">
        <f t="shared" si="896"/>
        <v>35620</v>
      </c>
      <c r="B24476" s="1" t="str">
        <f>"10960"</f>
        <v>10960</v>
      </c>
      <c r="C24476" s="2">
        <v>9.1944230168527401E-4</v>
      </c>
      <c r="D24476" s="2">
        <v>1.1566706708442201E-3</v>
      </c>
      <c r="E24476" s="2">
        <v>1.2610054160357199E-3</v>
      </c>
      <c r="F24476" s="2">
        <v>9.6102453142132296E-4</v>
      </c>
    </row>
    <row r="24477" spans="1:6" x14ac:dyDescent="0.25">
      <c r="A24477" s="1" t="str">
        <f t="shared" si="896"/>
        <v>35620</v>
      </c>
      <c r="B24477" s="1" t="str">
        <f>"10964"</f>
        <v>10964</v>
      </c>
      <c r="C24477" s="2">
        <v>6.6332005306055902E-5</v>
      </c>
      <c r="D24477" s="2">
        <v>2.60065140125574E-5</v>
      </c>
      <c r="E24477" s="2">
        <v>6.9861795902256301E-6</v>
      </c>
      <c r="F24477" s="2">
        <v>5.9184588891600402E-5</v>
      </c>
    </row>
    <row r="24478" spans="1:6" x14ac:dyDescent="0.25">
      <c r="A24478" s="1" t="str">
        <f t="shared" si="896"/>
        <v>35620</v>
      </c>
      <c r="B24478" s="1" t="str">
        <f>"11103"</f>
        <v>11103</v>
      </c>
      <c r="C24478" s="2">
        <v>2.0242611201004E-3</v>
      </c>
      <c r="D24478" s="2">
        <v>2.0334617146961502E-3</v>
      </c>
      <c r="E24478" s="2">
        <v>5.7845567007068204E-3</v>
      </c>
      <c r="F24478" s="2">
        <v>2.2563184650761501E-3</v>
      </c>
    </row>
    <row r="24479" spans="1:6" x14ac:dyDescent="0.25">
      <c r="A24479" s="1" t="str">
        <f t="shared" si="896"/>
        <v>35620</v>
      </c>
      <c r="B24479" s="1" t="str">
        <f>"11021"</f>
        <v>11021</v>
      </c>
      <c r="C24479" s="2">
        <v>1.07858867183022E-3</v>
      </c>
      <c r="D24479" s="2">
        <v>2.68981659215594E-3</v>
      </c>
      <c r="E24479" s="2">
        <v>1.0985767405629801E-3</v>
      </c>
      <c r="F24479" s="2">
        <v>1.21956773552673E-3</v>
      </c>
    </row>
    <row r="24480" spans="1:6" x14ac:dyDescent="0.25">
      <c r="A24480" s="1" t="str">
        <f t="shared" si="896"/>
        <v>35620</v>
      </c>
      <c r="B24480" s="1" t="str">
        <f>"10309"</f>
        <v>10309</v>
      </c>
      <c r="C24480" s="2">
        <v>1.3161732687819499E-3</v>
      </c>
      <c r="D24480" s="2">
        <v>1.5826821384784899E-3</v>
      </c>
      <c r="E24480" s="2">
        <v>3.5804170399906301E-4</v>
      </c>
      <c r="F24480" s="2">
        <v>1.2803635201231801E-3</v>
      </c>
    </row>
    <row r="24481" spans="1:6" x14ac:dyDescent="0.25">
      <c r="A24481" s="1" t="str">
        <f t="shared" si="896"/>
        <v>35620</v>
      </c>
      <c r="B24481" s="1" t="str">
        <f>"10307"</f>
        <v>10307</v>
      </c>
      <c r="C24481" s="2">
        <v>5.3670915319880999E-4</v>
      </c>
      <c r="D24481" s="2">
        <v>3.19508600725705E-4</v>
      </c>
      <c r="E24481" s="2">
        <v>1.4670977139473801E-4</v>
      </c>
      <c r="F24481" s="2">
        <v>4.9388519006094095E-4</v>
      </c>
    </row>
    <row r="24482" spans="1:6" x14ac:dyDescent="0.25">
      <c r="A24482" s="1" t="str">
        <f t="shared" si="896"/>
        <v>35620</v>
      </c>
      <c r="B24482" s="1" t="str">
        <f>"11206"</f>
        <v>11206</v>
      </c>
      <c r="C24482" s="2">
        <v>4.3017440399242997E-3</v>
      </c>
      <c r="D24482" s="2">
        <v>2.7294455658893602E-3</v>
      </c>
      <c r="E24482" s="2">
        <v>9.2514483223562899E-3</v>
      </c>
      <c r="F24482" s="2">
        <v>4.4697791244032101E-3</v>
      </c>
    </row>
    <row r="24483" spans="1:6" x14ac:dyDescent="0.25">
      <c r="A24483" s="1" t="str">
        <f t="shared" si="896"/>
        <v>35620</v>
      </c>
      <c r="B24483" s="1" t="str">
        <f>"11230"</f>
        <v>11230</v>
      </c>
      <c r="C24483" s="2">
        <v>4.0229226259857198E-3</v>
      </c>
      <c r="D24483" s="2">
        <v>2.57216807638484E-3</v>
      </c>
      <c r="E24483" s="2">
        <v>3.5175414236785999E-3</v>
      </c>
      <c r="F24483" s="2">
        <v>3.8660103872712901E-3</v>
      </c>
    </row>
    <row r="24484" spans="1:6" x14ac:dyDescent="0.25">
      <c r="A24484" s="1" t="str">
        <f t="shared" si="896"/>
        <v>35620</v>
      </c>
      <c r="B24484" s="1" t="str">
        <f>"11378"</f>
        <v>11378</v>
      </c>
      <c r="C24484" s="2">
        <v>1.18590528117519E-3</v>
      </c>
      <c r="D24484" s="2">
        <v>1.81054873744566E-3</v>
      </c>
      <c r="E24484" s="2">
        <v>1.2540192364455E-3</v>
      </c>
      <c r="F24484" s="2">
        <v>1.24427273633448E-3</v>
      </c>
    </row>
    <row r="24485" spans="1:6" x14ac:dyDescent="0.25">
      <c r="A24485" s="1" t="str">
        <f t="shared" si="896"/>
        <v>35620</v>
      </c>
      <c r="B24485" s="1" t="str">
        <f>"11386"</f>
        <v>11386</v>
      </c>
      <c r="C24485" s="2">
        <v>1.5183219465492599E-4</v>
      </c>
      <c r="D24485" s="2">
        <v>1.10218083196076E-4</v>
      </c>
      <c r="E24485" s="2">
        <v>3.49308979511281E-6</v>
      </c>
      <c r="F24485" s="2">
        <v>1.3909989585230901E-4</v>
      </c>
    </row>
    <row r="24486" spans="1:6" x14ac:dyDescent="0.25">
      <c r="A24486" s="1" t="str">
        <f t="shared" si="896"/>
        <v>35620</v>
      </c>
      <c r="B24486" s="1" t="str">
        <f>"11355"</f>
        <v>11355</v>
      </c>
      <c r="C24486" s="2">
        <v>3.6222823581961001E-3</v>
      </c>
      <c r="D24486" s="2">
        <v>2.25761309737581E-3</v>
      </c>
      <c r="E24486" s="2">
        <v>2.17619494235528E-3</v>
      </c>
      <c r="F24486" s="2">
        <v>3.4149830029594399E-3</v>
      </c>
    </row>
    <row r="24487" spans="1:6" x14ac:dyDescent="0.25">
      <c r="A24487" s="1" t="str">
        <f t="shared" si="896"/>
        <v>35620</v>
      </c>
      <c r="B24487" s="1" t="str">
        <f>"11368"</f>
        <v>11368</v>
      </c>
      <c r="C24487" s="2">
        <v>3.0240332457019399E-3</v>
      </c>
      <c r="D24487" s="2">
        <v>3.0489541666150598E-3</v>
      </c>
      <c r="E24487" s="2">
        <v>4.8466620907190302E-3</v>
      </c>
      <c r="F24487" s="2">
        <v>3.1382869939126801E-3</v>
      </c>
    </row>
    <row r="24488" spans="1:6" x14ac:dyDescent="0.25">
      <c r="A24488" s="1" t="str">
        <f t="shared" si="896"/>
        <v>35620</v>
      </c>
      <c r="B24488" s="1" t="str">
        <f>"11239"</f>
        <v>11239</v>
      </c>
      <c r="C24488" s="2">
        <v>9.7858623797527407E-4</v>
      </c>
      <c r="D24488" s="2">
        <v>1.7709197637122401E-4</v>
      </c>
      <c r="E24488" s="2">
        <v>3.45815889716168E-4</v>
      </c>
      <c r="F24488" s="2">
        <v>8.7015309366761395E-4</v>
      </c>
    </row>
    <row r="24489" spans="1:6" x14ac:dyDescent="0.25">
      <c r="A24489" s="1" t="str">
        <f t="shared" si="896"/>
        <v>35620</v>
      </c>
      <c r="B24489" s="1" t="str">
        <f>"11577"</f>
        <v>11577</v>
      </c>
      <c r="C24489" s="2">
        <v>5.9282653411362905E-4</v>
      </c>
      <c r="D24489" s="2">
        <v>7.8019542037672195E-4</v>
      </c>
      <c r="E24489" s="2">
        <v>6.3224925291542004E-4</v>
      </c>
      <c r="F24489" s="2">
        <v>6.1150247651521096E-4</v>
      </c>
    </row>
    <row r="24490" spans="1:6" x14ac:dyDescent="0.25">
      <c r="A24490" s="1" t="str">
        <f t="shared" si="896"/>
        <v>35620</v>
      </c>
      <c r="B24490" s="1" t="str">
        <f>"11557"</f>
        <v>11557</v>
      </c>
      <c r="C24490" s="2">
        <v>4.1627747056138901E-4</v>
      </c>
      <c r="D24490" s="2">
        <v>8.5078452983937804E-4</v>
      </c>
      <c r="E24490" s="2">
        <v>5.0649802029135798E-4</v>
      </c>
      <c r="F24490" s="2">
        <v>4.5951301502407702E-4</v>
      </c>
    </row>
    <row r="24491" spans="1:6" x14ac:dyDescent="0.25">
      <c r="A24491" s="1" t="str">
        <f t="shared" si="896"/>
        <v>35620</v>
      </c>
      <c r="B24491" s="1" t="str">
        <f>"11423"</f>
        <v>11423</v>
      </c>
      <c r="C24491" s="2">
        <v>1.0672390891732901E-3</v>
      </c>
      <c r="D24491" s="2">
        <v>7.8019542037672195E-4</v>
      </c>
      <c r="E24491" s="2">
        <v>4.2790349990131998E-4</v>
      </c>
      <c r="F24491" s="2">
        <v>1.00302303279449E-3</v>
      </c>
    </row>
    <row r="24492" spans="1:6" x14ac:dyDescent="0.25">
      <c r="A24492" s="1" t="str">
        <f t="shared" si="896"/>
        <v>35620</v>
      </c>
      <c r="B24492" s="1" t="str">
        <f>"11421"</f>
        <v>11421</v>
      </c>
      <c r="C24492" s="2">
        <v>1.23962663908465E-3</v>
      </c>
      <c r="D24492" s="2">
        <v>8.4211569183519303E-4</v>
      </c>
      <c r="E24492" s="2">
        <v>5.3618928354981705E-4</v>
      </c>
      <c r="F24492" s="2">
        <v>1.16188692929299E-3</v>
      </c>
    </row>
    <row r="24493" spans="1:6" x14ac:dyDescent="0.25">
      <c r="A24493" s="1" t="str">
        <f t="shared" si="896"/>
        <v>35620</v>
      </c>
      <c r="B24493" s="1" t="str">
        <f>"11431"</f>
        <v>11431</v>
      </c>
      <c r="C24493" s="2">
        <v>2.5044745729624899E-4</v>
      </c>
      <c r="D24493" s="2">
        <v>1.6346951665035999E-4</v>
      </c>
      <c r="E24493" s="2">
        <v>3.49308979511281E-6</v>
      </c>
      <c r="F24493" s="2">
        <v>2.2771565961922499E-4</v>
      </c>
    </row>
    <row r="24494" spans="1:6" x14ac:dyDescent="0.25">
      <c r="A24494" s="1" t="str">
        <f t="shared" si="896"/>
        <v>35620</v>
      </c>
      <c r="B24494" s="1" t="str">
        <f>"11756"</f>
        <v>11756</v>
      </c>
      <c r="C24494" s="2">
        <v>1.7852893519350399E-3</v>
      </c>
      <c r="D24494" s="2">
        <v>1.14676342741086E-3</v>
      </c>
      <c r="E24494" s="2">
        <v>3.9995878154041703E-4</v>
      </c>
      <c r="F24494" s="2">
        <v>1.64470857551394E-3</v>
      </c>
    </row>
    <row r="24495" spans="1:6" x14ac:dyDescent="0.25">
      <c r="A24495" s="1" t="str">
        <f t="shared" si="896"/>
        <v>35620</v>
      </c>
      <c r="B24495" s="1" t="str">
        <f>"11765"</f>
        <v>11765</v>
      </c>
      <c r="C24495" s="2">
        <v>3.1022192595607901E-5</v>
      </c>
      <c r="D24495" s="2">
        <v>2.4768108583388E-6</v>
      </c>
      <c r="E24495" s="2">
        <v>1.04792693853384E-5</v>
      </c>
      <c r="F24495" s="2">
        <v>2.72829139355109E-5</v>
      </c>
    </row>
    <row r="24496" spans="1:6" x14ac:dyDescent="0.25">
      <c r="A24496" s="1" t="str">
        <f t="shared" si="896"/>
        <v>35620</v>
      </c>
      <c r="B24496" s="1" t="str">
        <f>"11726"</f>
        <v>11726</v>
      </c>
      <c r="C24496" s="2">
        <v>8.24610233262928E-4</v>
      </c>
      <c r="D24496" s="2">
        <v>9.4366493702708297E-4</v>
      </c>
      <c r="E24496" s="2">
        <v>6.0255798965696097E-4</v>
      </c>
      <c r="F24496" s="2">
        <v>8.2128015728707201E-4</v>
      </c>
    </row>
    <row r="24497" spans="1:6" x14ac:dyDescent="0.25">
      <c r="A24497" s="1" t="str">
        <f t="shared" si="896"/>
        <v>35620</v>
      </c>
      <c r="B24497" s="1" t="str">
        <f>"11714"</f>
        <v>11714</v>
      </c>
      <c r="C24497" s="2">
        <v>1.0772015006165899E-3</v>
      </c>
      <c r="D24497" s="2">
        <v>1.1096112645357799E-3</v>
      </c>
      <c r="E24497" s="2">
        <v>5.6588054680827601E-4</v>
      </c>
      <c r="F24497" s="2">
        <v>1.04856616471833E-3</v>
      </c>
    </row>
    <row r="24498" spans="1:6" x14ac:dyDescent="0.25">
      <c r="A24498" s="1" t="str">
        <f t="shared" si="896"/>
        <v>35620</v>
      </c>
      <c r="B24498" s="1" t="str">
        <f>"11718"</f>
        <v>11718</v>
      </c>
      <c r="C24498" s="2">
        <v>1.7869287360966E-4</v>
      </c>
      <c r="D24498" s="2">
        <v>3.0836295186317998E-4</v>
      </c>
      <c r="E24498" s="2">
        <v>7.5101430594925504E-5</v>
      </c>
      <c r="F24498" s="2">
        <v>1.8356889730625201E-4</v>
      </c>
    </row>
    <row r="24499" spans="1:6" x14ac:dyDescent="0.25">
      <c r="A24499" s="1" t="str">
        <f t="shared" si="896"/>
        <v>35620</v>
      </c>
      <c r="B24499" s="1" t="str">
        <f>"11743"</f>
        <v>11743</v>
      </c>
      <c r="C24499" s="2">
        <v>2.17735437949498E-3</v>
      </c>
      <c r="D24499" s="2">
        <v>3.00560997659413E-3</v>
      </c>
      <c r="E24499" s="2">
        <v>2.02075244647276E-3</v>
      </c>
      <c r="F24499" s="2">
        <v>2.2395620297456799E-3</v>
      </c>
    </row>
    <row r="24500" spans="1:6" x14ac:dyDescent="0.25">
      <c r="A24500" s="1" t="str">
        <f t="shared" si="896"/>
        <v>35620</v>
      </c>
      <c r="B24500" s="1" t="str">
        <f>"11740"</f>
        <v>11740</v>
      </c>
      <c r="C24500" s="2">
        <v>4.8576213771659202E-4</v>
      </c>
      <c r="D24500" s="2">
        <v>4.5325638707600002E-4</v>
      </c>
      <c r="E24500" s="2">
        <v>1.17018508136279E-4</v>
      </c>
      <c r="F24500" s="2">
        <v>4.6026490635300903E-4</v>
      </c>
    </row>
    <row r="24501" spans="1:6" x14ac:dyDescent="0.25">
      <c r="A24501" s="1" t="str">
        <f t="shared" si="896"/>
        <v>35620</v>
      </c>
      <c r="B24501" s="1" t="str">
        <f>"11968"</f>
        <v>11968</v>
      </c>
      <c r="C24501" s="2">
        <v>1.1400025246515999E-3</v>
      </c>
      <c r="D24501" s="2">
        <v>1.4798944878574301E-3</v>
      </c>
      <c r="E24501" s="2">
        <v>7.1084377330545804E-4</v>
      </c>
      <c r="F24501" s="2">
        <v>1.14308964606971E-3</v>
      </c>
    </row>
    <row r="24502" spans="1:6" x14ac:dyDescent="0.25">
      <c r="A24502" s="1" t="str">
        <f t="shared" si="896"/>
        <v>35620</v>
      </c>
      <c r="B24502" s="1" t="str">
        <f>"11976"</f>
        <v>11976</v>
      </c>
      <c r="C24502" s="2">
        <v>3.8424642617405398E-4</v>
      </c>
      <c r="D24502" s="2">
        <v>3.70283223321651E-4</v>
      </c>
      <c r="E24502" s="2">
        <v>6.11290714144743E-5</v>
      </c>
      <c r="F24502" s="2">
        <v>3.6316351187386697E-4</v>
      </c>
    </row>
    <row r="24503" spans="1:6" x14ac:dyDescent="0.25">
      <c r="A24503" s="1" t="str">
        <f t="shared" si="896"/>
        <v>35620</v>
      </c>
      <c r="B24503" s="1" t="str">
        <f>"11787"</f>
        <v>11787</v>
      </c>
      <c r="C24503" s="2">
        <v>1.64430231404118E-3</v>
      </c>
      <c r="D24503" s="2">
        <v>2.1956928259173401E-3</v>
      </c>
      <c r="E24503" s="2">
        <v>8.8025862836842996E-4</v>
      </c>
      <c r="F24503" s="2">
        <v>1.64513822770191E-3</v>
      </c>
    </row>
    <row r="24504" spans="1:6" x14ac:dyDescent="0.25">
      <c r="A24504" s="1" t="str">
        <f t="shared" si="896"/>
        <v>35620</v>
      </c>
      <c r="B24504" s="1" t="str">
        <f>"11798"</f>
        <v>11798</v>
      </c>
      <c r="C24504" s="2">
        <v>6.4806116971068703E-4</v>
      </c>
      <c r="D24504" s="2">
        <v>5.2508390196782603E-4</v>
      </c>
      <c r="E24504" s="2">
        <v>2.0259920811654299E-4</v>
      </c>
      <c r="F24504" s="2">
        <v>6.0999869385734804E-4</v>
      </c>
    </row>
    <row r="24505" spans="1:6" x14ac:dyDescent="0.25">
      <c r="A24505" s="1" t="str">
        <f t="shared" si="896"/>
        <v>35620</v>
      </c>
      <c r="B24505" s="1" t="str">
        <f>"11803"</f>
        <v>11803</v>
      </c>
      <c r="C24505" s="2">
        <v>1.3842707647235199E-3</v>
      </c>
      <c r="D24505" s="2">
        <v>2.0520377961336898E-3</v>
      </c>
      <c r="E24505" s="2">
        <v>6.2176998353008104E-4</v>
      </c>
      <c r="F24505" s="2">
        <v>1.3952954804027E-3</v>
      </c>
    </row>
    <row r="24506" spans="1:6" x14ac:dyDescent="0.25">
      <c r="A24506" s="1" t="str">
        <f t="shared" si="896"/>
        <v>35620</v>
      </c>
      <c r="B24506" s="1" t="str">
        <f>"11797"</f>
        <v>11797</v>
      </c>
      <c r="C24506" s="2">
        <v>5.0820909008252003E-4</v>
      </c>
      <c r="D24506" s="2">
        <v>8.5202293526854796E-4</v>
      </c>
      <c r="E24506" s="2">
        <v>2.3403701627255799E-4</v>
      </c>
      <c r="F24506" s="2">
        <v>5.2116810399645199E-4</v>
      </c>
    </row>
    <row r="24507" spans="1:6" x14ac:dyDescent="0.25">
      <c r="A24507" s="1" t="str">
        <f t="shared" si="896"/>
        <v>35620</v>
      </c>
      <c r="B24507" s="1" t="str">
        <f>"11935"</f>
        <v>11935</v>
      </c>
      <c r="C24507" s="2">
        <v>2.8323514052737902E-4</v>
      </c>
      <c r="D24507" s="2">
        <v>1.7461516551288501E-4</v>
      </c>
      <c r="E24507" s="2">
        <v>5.2396346926692199E-5</v>
      </c>
      <c r="F24507" s="2">
        <v>2.5961733457531398E-4</v>
      </c>
    </row>
    <row r="24508" spans="1:6" x14ac:dyDescent="0.25">
      <c r="A24508" s="1" t="str">
        <f t="shared" si="896"/>
        <v>35620</v>
      </c>
      <c r="B24508" s="1" t="str">
        <f>"11937"</f>
        <v>11937</v>
      </c>
      <c r="C24508" s="2">
        <v>2.0009314224167102E-3</v>
      </c>
      <c r="D24508" s="2">
        <v>1.35481553951132E-3</v>
      </c>
      <c r="E24508" s="2">
        <v>5.5714782232049395E-4</v>
      </c>
      <c r="F24508" s="2">
        <v>1.8560974519906601E-3</v>
      </c>
    </row>
    <row r="24509" spans="1:6" x14ac:dyDescent="0.25">
      <c r="A24509" s="1" t="str">
        <f t="shared" si="896"/>
        <v>35620</v>
      </c>
      <c r="B24509" s="1" t="str">
        <f>"11940"</f>
        <v>11940</v>
      </c>
      <c r="C24509" s="2">
        <v>2.7453379382373302E-4</v>
      </c>
      <c r="D24509" s="2">
        <v>1.4241662435448101E-4</v>
      </c>
      <c r="E24509" s="2">
        <v>5.4142891824248603E-5</v>
      </c>
      <c r="F24509" s="2">
        <v>2.4952050815823498E-4</v>
      </c>
    </row>
    <row r="24510" spans="1:6" x14ac:dyDescent="0.25">
      <c r="A24510" s="1" t="str">
        <f t="shared" si="896"/>
        <v>35620</v>
      </c>
      <c r="B24510" s="1" t="str">
        <f>"11933"</f>
        <v>11933</v>
      </c>
      <c r="C24510" s="2">
        <v>5.1363166846305299E-4</v>
      </c>
      <c r="D24510" s="2">
        <v>3.87620899330022E-4</v>
      </c>
      <c r="E24510" s="2">
        <v>1.72907944858084E-4</v>
      </c>
      <c r="F24510" s="2">
        <v>4.81747515751049E-4</v>
      </c>
    </row>
    <row r="24511" spans="1:6" x14ac:dyDescent="0.25">
      <c r="A24511" s="1" t="str">
        <f t="shared" si="896"/>
        <v>35620</v>
      </c>
      <c r="B24511" s="1" t="str">
        <f>"11777"</f>
        <v>11777</v>
      </c>
      <c r="C24511" s="2">
        <v>5.6924462348200897E-4</v>
      </c>
      <c r="D24511" s="2">
        <v>9.0527436872283196E-4</v>
      </c>
      <c r="E24511" s="2">
        <v>5.0300493049624498E-4</v>
      </c>
      <c r="F24511" s="2">
        <v>5.9431638899677902E-4</v>
      </c>
    </row>
    <row r="24512" spans="1:6" x14ac:dyDescent="0.25">
      <c r="A24512" s="1" t="str">
        <f t="shared" si="896"/>
        <v>35620</v>
      </c>
      <c r="B24512" s="1" t="str">
        <f>"11768"</f>
        <v>11768</v>
      </c>
      <c r="C24512" s="2">
        <v>1.07934531067401E-3</v>
      </c>
      <c r="D24512" s="2">
        <v>9.8824753247718196E-4</v>
      </c>
      <c r="E24512" s="2">
        <v>6.8289905494455503E-4</v>
      </c>
      <c r="F24512" s="2">
        <v>1.0470623820604699E-3</v>
      </c>
    </row>
    <row r="24513" spans="1:6" x14ac:dyDescent="0.25">
      <c r="A24513" s="1" t="str">
        <f t="shared" si="896"/>
        <v>35620</v>
      </c>
      <c r="B24513" s="1" t="str">
        <f>"07087"</f>
        <v>07087</v>
      </c>
      <c r="C24513" s="2">
        <v>3.14736537724058E-3</v>
      </c>
      <c r="D24513" s="2">
        <v>3.21985411584044E-3</v>
      </c>
      <c r="E24513" s="2">
        <v>8.7327244877820395E-3</v>
      </c>
      <c r="F24513" s="2">
        <v>3.4971539839069401E-3</v>
      </c>
    </row>
    <row r="24514" spans="1:6" x14ac:dyDescent="0.25">
      <c r="A24514" s="1" t="str">
        <f t="shared" si="896"/>
        <v>35620</v>
      </c>
      <c r="B24514" s="1" t="str">
        <f>"07079"</f>
        <v>07079</v>
      </c>
      <c r="C24514" s="2">
        <v>9.1969451463320604E-4</v>
      </c>
      <c r="D24514" s="2">
        <v>9.4366493702708297E-4</v>
      </c>
      <c r="E24514" s="2">
        <v>4.8903257131579397E-4</v>
      </c>
      <c r="F24514" s="2">
        <v>8.9528774666332105E-4</v>
      </c>
    </row>
    <row r="24515" spans="1:6" x14ac:dyDescent="0.25">
      <c r="A24515" s="1" t="str">
        <f t="shared" si="896"/>
        <v>35620</v>
      </c>
      <c r="B24515" s="1" t="str">
        <f>"07081"</f>
        <v>07081</v>
      </c>
      <c r="C24515" s="2">
        <v>9.9031414005410195E-4</v>
      </c>
      <c r="D24515" s="2">
        <v>1.3312858363571001E-3</v>
      </c>
      <c r="E24515" s="2">
        <v>1.6924020057321599E-3</v>
      </c>
      <c r="F24515" s="2">
        <v>1.0630669260620099E-3</v>
      </c>
    </row>
    <row r="24516" spans="1:6" x14ac:dyDescent="0.25">
      <c r="A24516" s="1" t="str">
        <f t="shared" si="896"/>
        <v>35620</v>
      </c>
      <c r="B24516" s="1" t="str">
        <f>"07606"</f>
        <v>07606</v>
      </c>
      <c r="C24516" s="2">
        <v>1.63181777311856E-4</v>
      </c>
      <c r="D24516" s="2">
        <v>7.2942079778077703E-4</v>
      </c>
      <c r="E24516" s="2">
        <v>2.3229047137500201E-4</v>
      </c>
      <c r="F24516" s="2">
        <v>2.16544702732244E-4</v>
      </c>
    </row>
    <row r="24517" spans="1:6" x14ac:dyDescent="0.25">
      <c r="A24517" s="1" t="str">
        <f t="shared" si="896"/>
        <v>35620</v>
      </c>
      <c r="B24517" s="1" t="str">
        <f>"08818"</f>
        <v>08818</v>
      </c>
      <c r="C24517" s="2">
        <v>1.1614406252258E-4</v>
      </c>
      <c r="D24517" s="2">
        <v>4.91646955380252E-4</v>
      </c>
      <c r="E24517" s="2">
        <v>1.04792693853384E-5</v>
      </c>
      <c r="F24517" s="2">
        <v>1.4221487421502499E-4</v>
      </c>
    </row>
    <row r="24518" spans="1:6" x14ac:dyDescent="0.25">
      <c r="A24518" s="1" t="str">
        <f t="shared" si="896"/>
        <v>35620</v>
      </c>
      <c r="B24518" s="1" t="str">
        <f>"08733"</f>
        <v>08733</v>
      </c>
      <c r="C24518" s="2">
        <v>1.2421487685639699E-4</v>
      </c>
      <c r="D24518" s="2">
        <v>1.2507894834610901E-4</v>
      </c>
      <c r="E24518" s="2">
        <v>4.7156712234023001E-5</v>
      </c>
      <c r="F24518" s="2">
        <v>1.19550721300093E-4</v>
      </c>
    </row>
    <row r="24519" spans="1:6" x14ac:dyDescent="0.25">
      <c r="A24519" s="1" t="str">
        <f t="shared" si="896"/>
        <v>35620</v>
      </c>
      <c r="B24519" s="1" t="str">
        <f>"10115"</f>
        <v>10115</v>
      </c>
      <c r="C24519" s="2">
        <v>0</v>
      </c>
      <c r="D24519" s="2">
        <v>1.68423138367038E-4</v>
      </c>
      <c r="E24519" s="2">
        <v>5.2396346926692202E-6</v>
      </c>
      <c r="F24519" s="2">
        <v>1.4930413531637799E-5</v>
      </c>
    </row>
    <row r="24520" spans="1:6" x14ac:dyDescent="0.25">
      <c r="A24520" s="1" t="str">
        <f t="shared" si="896"/>
        <v>35620</v>
      </c>
      <c r="B24520" s="1" t="str">
        <f>"10170"</f>
        <v>10170</v>
      </c>
      <c r="C24520" s="2">
        <v>0</v>
      </c>
      <c r="D24520" s="2">
        <v>3.1083976272151901E-4</v>
      </c>
      <c r="E24520" s="2">
        <v>2.79447183609025E-5</v>
      </c>
      <c r="F24520" s="2">
        <v>2.86792835463835E-5</v>
      </c>
    </row>
    <row r="24521" spans="1:6" x14ac:dyDescent="0.25">
      <c r="A24521" s="1" t="str">
        <f t="shared" si="896"/>
        <v>35620</v>
      </c>
      <c r="B24521" s="1" t="str">
        <f>"10519"</f>
        <v>10519</v>
      </c>
      <c r="C24521" s="2">
        <v>9.2940471312857897E-5</v>
      </c>
      <c r="D24521" s="2">
        <v>1.3127097549195599E-4</v>
      </c>
      <c r="E24521" s="2">
        <v>3.49308979511281E-6</v>
      </c>
      <c r="F24521" s="2">
        <v>9.0764024706719405E-5</v>
      </c>
    </row>
    <row r="24522" spans="1:6" x14ac:dyDescent="0.25">
      <c r="A24522" s="1" t="str">
        <f t="shared" si="896"/>
        <v>35620</v>
      </c>
      <c r="B24522" s="1" t="str">
        <f>"10596"</f>
        <v>10596</v>
      </c>
      <c r="C24522" s="2">
        <v>3.9597432825288103E-5</v>
      </c>
      <c r="D24522" s="2">
        <v>0</v>
      </c>
      <c r="E24522" s="2">
        <v>1.7465448975563999E-6</v>
      </c>
      <c r="F24522" s="2">
        <v>3.3835109801913103E-5</v>
      </c>
    </row>
    <row r="24523" spans="1:6" x14ac:dyDescent="0.25">
      <c r="A24523" s="1" t="str">
        <f t="shared" ref="A24523:A24586" si="897">"35620"</f>
        <v>35620</v>
      </c>
      <c r="B24523" s="1" t="str">
        <f>"10597"</f>
        <v>10597</v>
      </c>
      <c r="C24523" s="2">
        <v>8.6887360562495398E-5</v>
      </c>
      <c r="D24523" s="2">
        <v>1.98144868667104E-5</v>
      </c>
      <c r="E24523" s="2">
        <v>5.2396346926692202E-6</v>
      </c>
      <c r="F24523" s="2">
        <v>7.6048437269061903E-5</v>
      </c>
    </row>
    <row r="24524" spans="1:6" x14ac:dyDescent="0.25">
      <c r="A24524" s="1" t="str">
        <f t="shared" si="897"/>
        <v>35620</v>
      </c>
      <c r="B24524" s="1" t="str">
        <f>"10276"</f>
        <v>10276</v>
      </c>
      <c r="C24524" s="2">
        <v>1.1614406252258E-4</v>
      </c>
      <c r="D24524" s="2">
        <v>4.7926290108855798E-4</v>
      </c>
      <c r="E24524" s="2">
        <v>3.49308979511281E-6</v>
      </c>
      <c r="F24524" s="2">
        <v>1.4071109155716199E-4</v>
      </c>
    </row>
    <row r="24525" spans="1:6" x14ac:dyDescent="0.25">
      <c r="A24525" s="1" t="str">
        <f t="shared" si="897"/>
        <v>35620</v>
      </c>
      <c r="B24525" s="1" t="str">
        <f>"11256"</f>
        <v>11256</v>
      </c>
      <c r="C24525" s="2">
        <v>0</v>
      </c>
      <c r="D24525" s="2">
        <v>4.8297811737606598E-5</v>
      </c>
      <c r="E24525" s="2">
        <v>1.7465448975563999E-6</v>
      </c>
      <c r="F24525" s="2">
        <v>4.2965218796080101E-6</v>
      </c>
    </row>
    <row r="24526" spans="1:6" x14ac:dyDescent="0.25">
      <c r="A24526" s="1" t="str">
        <f t="shared" si="897"/>
        <v>35620</v>
      </c>
      <c r="B24526" s="1" t="str">
        <f>"08525"</f>
        <v>08525</v>
      </c>
      <c r="C24526" s="2">
        <v>3.4427067392686803E-5</v>
      </c>
      <c r="D24526" s="2">
        <v>6.1920271458469998E-6</v>
      </c>
      <c r="E24526" s="2">
        <v>6.9861795902256301E-6</v>
      </c>
      <c r="F24526" s="2">
        <v>3.0290479251236501E-5</v>
      </c>
    </row>
    <row r="24527" spans="1:6" x14ac:dyDescent="0.25">
      <c r="A24527" s="1" t="str">
        <f t="shared" si="897"/>
        <v>35620</v>
      </c>
      <c r="B24527" s="1" t="str">
        <f>"10041"</f>
        <v>10041</v>
      </c>
      <c r="C24527" s="2">
        <v>0</v>
      </c>
      <c r="D24527" s="2">
        <v>7.0589109462655802E-5</v>
      </c>
      <c r="E24527" s="2">
        <v>6.9861795902256301E-6</v>
      </c>
      <c r="F24527" s="2">
        <v>6.5521958664022303E-6</v>
      </c>
    </row>
    <row r="24528" spans="1:6" x14ac:dyDescent="0.25">
      <c r="A24528" s="1" t="str">
        <f t="shared" si="897"/>
        <v>35620</v>
      </c>
      <c r="B24528" s="1" t="str">
        <f>"10162"</f>
        <v>10162</v>
      </c>
      <c r="C24528" s="2">
        <v>3.1766220792006601E-4</v>
      </c>
      <c r="D24528" s="2">
        <v>1.6099270579202201E-5</v>
      </c>
      <c r="E24528" s="2">
        <v>1.22258142828948E-5</v>
      </c>
      <c r="F24528" s="2">
        <v>2.7272172630811897E-4</v>
      </c>
    </row>
    <row r="24529" spans="1:6" x14ac:dyDescent="0.25">
      <c r="A24529" s="1" t="str">
        <f t="shared" si="897"/>
        <v>35620</v>
      </c>
      <c r="B24529" s="1" t="str">
        <f>"12531"</f>
        <v>12531</v>
      </c>
      <c r="C24529" s="2">
        <v>2.68606789547337E-5</v>
      </c>
      <c r="D24529" s="2">
        <v>1.36224597208634E-5</v>
      </c>
      <c r="E24529" s="2">
        <v>8.7327244877820399E-6</v>
      </c>
      <c r="F24529" s="2">
        <v>2.45975877607559E-5</v>
      </c>
    </row>
    <row r="24530" spans="1:6" x14ac:dyDescent="0.25">
      <c r="A24530" s="1" t="str">
        <f t="shared" si="897"/>
        <v>35620</v>
      </c>
      <c r="B24530" s="1" t="str">
        <f>"11732"</f>
        <v>11732</v>
      </c>
      <c r="C24530" s="2">
        <v>1.7793623476586499E-4</v>
      </c>
      <c r="D24530" s="2">
        <v>1.1517170491275399E-4</v>
      </c>
      <c r="E24530" s="2">
        <v>8.2087610185151201E-5</v>
      </c>
      <c r="F24530" s="2">
        <v>1.6659763588180001E-4</v>
      </c>
    </row>
    <row r="24531" spans="1:6" x14ac:dyDescent="0.25">
      <c r="A24531" s="1" t="str">
        <f t="shared" si="897"/>
        <v>35620</v>
      </c>
      <c r="B24531" s="1" t="str">
        <f>"11960"</f>
        <v>11960</v>
      </c>
      <c r="C24531" s="2">
        <v>6.8475815363475994E-5</v>
      </c>
      <c r="D24531" s="2">
        <v>0</v>
      </c>
      <c r="E24531" s="2">
        <v>1.7465448975563999E-6</v>
      </c>
      <c r="F24531" s="2">
        <v>5.8432697562668997E-5</v>
      </c>
    </row>
    <row r="24532" spans="1:6" x14ac:dyDescent="0.25">
      <c r="A24532" s="1" t="str">
        <f t="shared" si="897"/>
        <v>35620</v>
      </c>
      <c r="B24532" s="1" t="str">
        <f>"07061"</f>
        <v>07061</v>
      </c>
      <c r="C24532" s="2">
        <v>1.7036984632791101E-4</v>
      </c>
      <c r="D24532" s="2">
        <v>2.1052892295879801E-4</v>
      </c>
      <c r="E24532" s="2">
        <v>3.49308979511281E-6</v>
      </c>
      <c r="F24532" s="2">
        <v>1.6359007056607501E-4</v>
      </c>
    </row>
    <row r="24533" spans="1:6" x14ac:dyDescent="0.25">
      <c r="A24533" s="1" t="str">
        <f t="shared" si="897"/>
        <v>35620</v>
      </c>
      <c r="B24533" s="1" t="str">
        <f>"10055"</f>
        <v>10055</v>
      </c>
      <c r="C24533" s="2">
        <v>0</v>
      </c>
      <c r="D24533" s="2">
        <v>3.4675352016743197E-5</v>
      </c>
      <c r="E24533" s="2">
        <v>5.2396346926692202E-6</v>
      </c>
      <c r="F24533" s="2">
        <v>3.3298044566962102E-6</v>
      </c>
    </row>
    <row r="24534" spans="1:6" x14ac:dyDescent="0.25">
      <c r="A24534" s="1" t="str">
        <f t="shared" si="897"/>
        <v>35620</v>
      </c>
      <c r="B24534" s="1" t="str">
        <f>"07422"</f>
        <v>07422</v>
      </c>
      <c r="C24534" s="2">
        <v>5.1413609435891597E-4</v>
      </c>
      <c r="D24534" s="2">
        <v>1.12694894054415E-4</v>
      </c>
      <c r="E24534" s="2">
        <v>1.3972359180451199E-5</v>
      </c>
      <c r="F24534" s="2">
        <v>4.48556884231077E-4</v>
      </c>
    </row>
    <row r="24535" spans="1:6" x14ac:dyDescent="0.25">
      <c r="A24535" s="1" t="str">
        <f t="shared" si="897"/>
        <v>35620</v>
      </c>
      <c r="B24535" s="1" t="str">
        <f>"07428"</f>
        <v>07428</v>
      </c>
      <c r="C24535" s="2">
        <v>1.60155221936675E-4</v>
      </c>
      <c r="D24535" s="2">
        <v>1.3993981349614201E-4</v>
      </c>
      <c r="E24535" s="2">
        <v>3.49308979511281E-6</v>
      </c>
      <c r="F24535" s="2">
        <v>1.48767070081427E-4</v>
      </c>
    </row>
    <row r="24536" spans="1:6" x14ac:dyDescent="0.25">
      <c r="A24536" s="1" t="str">
        <f t="shared" si="897"/>
        <v>35620</v>
      </c>
      <c r="B24536" s="1" t="str">
        <f>"07460"</f>
        <v>07460</v>
      </c>
      <c r="C24536" s="2">
        <v>1.68856568640321E-4</v>
      </c>
      <c r="D24536" s="2">
        <v>6.4397082316808806E-5</v>
      </c>
      <c r="E24536" s="2">
        <v>3.3184353053571702E-5</v>
      </c>
      <c r="F24536" s="2">
        <v>1.51452396256182E-4</v>
      </c>
    </row>
    <row r="24537" spans="1:6" x14ac:dyDescent="0.25">
      <c r="A24537" s="1" t="str">
        <f t="shared" si="897"/>
        <v>35620</v>
      </c>
      <c r="B24537" s="1" t="str">
        <f>"07885"</f>
        <v>07885</v>
      </c>
      <c r="C24537" s="2">
        <v>7.8993095292230898E-4</v>
      </c>
      <c r="D24537" s="2">
        <v>6.2663314715971695E-4</v>
      </c>
      <c r="E24537" s="2">
        <v>5.3618928354981705E-4</v>
      </c>
      <c r="F24537" s="2">
        <v>7.60162133549648E-4</v>
      </c>
    </row>
    <row r="24538" spans="1:6" x14ac:dyDescent="0.25">
      <c r="A24538" s="1" t="str">
        <f t="shared" si="897"/>
        <v>35620</v>
      </c>
      <c r="B24538" s="1" t="str">
        <f>"07921"</f>
        <v>07921</v>
      </c>
      <c r="C24538" s="2">
        <v>6.5033108624207303E-4</v>
      </c>
      <c r="D24538" s="2">
        <v>4.9783898252609901E-4</v>
      </c>
      <c r="E24538" s="2">
        <v>2.51502465248122E-4</v>
      </c>
      <c r="F24538" s="2">
        <v>6.1257660698511298E-4</v>
      </c>
    </row>
    <row r="24539" spans="1:6" x14ac:dyDescent="0.25">
      <c r="A24539" s="1" t="str">
        <f t="shared" si="897"/>
        <v>35620</v>
      </c>
      <c r="B24539" s="1" t="str">
        <f>"07675"</f>
        <v>07675</v>
      </c>
      <c r="C24539" s="2">
        <v>1.3639676224150199E-3</v>
      </c>
      <c r="D24539" s="2">
        <v>1.3659611883738399E-3</v>
      </c>
      <c r="E24539" s="2">
        <v>9.6583932834869396E-4</v>
      </c>
      <c r="F24539" s="2">
        <v>1.33965552206178E-3</v>
      </c>
    </row>
    <row r="24540" spans="1:6" x14ac:dyDescent="0.25">
      <c r="A24540" s="1" t="str">
        <f t="shared" si="897"/>
        <v>35620</v>
      </c>
      <c r="B24540" s="1" t="str">
        <f>"07652"</f>
        <v>07652</v>
      </c>
      <c r="C24540" s="2">
        <v>1.1219692988744801E-3</v>
      </c>
      <c r="D24540" s="2">
        <v>2.6786709432934101E-3</v>
      </c>
      <c r="E24540" s="2">
        <v>1.0741251119971899E-3</v>
      </c>
      <c r="F24540" s="2">
        <v>1.25404732361059E-3</v>
      </c>
    </row>
    <row r="24541" spans="1:6" x14ac:dyDescent="0.25">
      <c r="A24541" s="1" t="str">
        <f t="shared" si="897"/>
        <v>35620</v>
      </c>
      <c r="B24541" s="1" t="str">
        <f>"11251"</f>
        <v>11251</v>
      </c>
      <c r="C24541" s="2">
        <v>0</v>
      </c>
      <c r="D24541" s="2">
        <v>1.2384054291694E-6</v>
      </c>
      <c r="E24541" s="2">
        <v>0</v>
      </c>
      <c r="F24541" s="2">
        <v>1.074130469902E-7</v>
      </c>
    </row>
    <row r="24542" spans="1:6" x14ac:dyDescent="0.25">
      <c r="A24542" s="1" t="str">
        <f t="shared" si="897"/>
        <v>35620</v>
      </c>
      <c r="B24542" s="1" t="str">
        <f>"11815"</f>
        <v>11815</v>
      </c>
      <c r="C24542" s="2">
        <v>0</v>
      </c>
      <c r="D24542" s="2">
        <v>1.2384054291694E-6</v>
      </c>
      <c r="E24542" s="2">
        <v>0</v>
      </c>
      <c r="F24542" s="2">
        <v>1.074130469902E-7</v>
      </c>
    </row>
    <row r="24543" spans="1:6" x14ac:dyDescent="0.25">
      <c r="A24543" s="1" t="str">
        <f t="shared" si="897"/>
        <v>35620</v>
      </c>
      <c r="B24543" s="1" t="str">
        <f>"11405"</f>
        <v>11405</v>
      </c>
      <c r="C24543" s="2">
        <v>0</v>
      </c>
      <c r="D24543" s="2">
        <v>1.2384054291694E-6</v>
      </c>
      <c r="E24543" s="2">
        <v>0</v>
      </c>
      <c r="F24543" s="2">
        <v>1.074130469902E-7</v>
      </c>
    </row>
    <row r="24544" spans="1:6" x14ac:dyDescent="0.25">
      <c r="A24544" s="1" t="str">
        <f t="shared" si="897"/>
        <v>35620</v>
      </c>
      <c r="B24544" s="1" t="str">
        <f>"08520"</f>
        <v>08520</v>
      </c>
      <c r="C24544" s="2">
        <v>8.8274531776120097E-7</v>
      </c>
      <c r="D24544" s="2">
        <v>1.2384054291694E-6</v>
      </c>
      <c r="E24544" s="2">
        <v>0</v>
      </c>
      <c r="F24544" s="2">
        <v>8.5930437592160304E-7</v>
      </c>
    </row>
    <row r="24545" spans="1:6" x14ac:dyDescent="0.25">
      <c r="A24545" s="1" t="str">
        <f t="shared" si="897"/>
        <v>35620</v>
      </c>
      <c r="B24545" s="1" t="str">
        <f>"10503"</f>
        <v>10503</v>
      </c>
      <c r="C24545" s="2">
        <v>0</v>
      </c>
      <c r="D24545" s="2">
        <v>0</v>
      </c>
      <c r="E24545" s="2">
        <v>1.7465448975563999E-6</v>
      </c>
      <c r="F24545" s="2">
        <v>1.074130469902E-7</v>
      </c>
    </row>
    <row r="24546" spans="1:6" x14ac:dyDescent="0.25">
      <c r="A24546" s="1" t="str">
        <f t="shared" si="897"/>
        <v>35620</v>
      </c>
      <c r="B24546" s="1" t="str">
        <f>"10610"</f>
        <v>10610</v>
      </c>
      <c r="C24546" s="2">
        <v>0</v>
      </c>
      <c r="D24546" s="2">
        <v>3.7152162875082002E-6</v>
      </c>
      <c r="E24546" s="2">
        <v>0</v>
      </c>
      <c r="F24546" s="2">
        <v>3.2223914097060098E-7</v>
      </c>
    </row>
    <row r="24547" spans="1:6" x14ac:dyDescent="0.25">
      <c r="A24547" s="1" t="str">
        <f t="shared" si="897"/>
        <v>35620</v>
      </c>
      <c r="B24547" s="1" t="str">
        <f>"10911"</f>
        <v>10911</v>
      </c>
      <c r="C24547" s="2">
        <v>1.7654906355224E-6</v>
      </c>
      <c r="D24547" s="2">
        <v>1.2384054291694E-6</v>
      </c>
      <c r="E24547" s="2">
        <v>1.7465448975563999E-6</v>
      </c>
      <c r="F24547" s="2">
        <v>1.7186087518431999E-6</v>
      </c>
    </row>
    <row r="24548" spans="1:6" x14ac:dyDescent="0.25">
      <c r="A24548" s="1" t="str">
        <f t="shared" si="897"/>
        <v>35620</v>
      </c>
      <c r="B24548" s="1" t="str">
        <f>"11252"</f>
        <v>11252</v>
      </c>
      <c r="C24548" s="2">
        <v>0</v>
      </c>
      <c r="D24548" s="2">
        <v>4.5821000879267803E-5</v>
      </c>
      <c r="E24548" s="2">
        <v>0</v>
      </c>
      <c r="F24548" s="2">
        <v>3.9742827386374101E-6</v>
      </c>
    </row>
    <row r="24549" spans="1:6" x14ac:dyDescent="0.25">
      <c r="A24549" s="1" t="str">
        <f t="shared" si="897"/>
        <v>35620</v>
      </c>
      <c r="B24549" s="1" t="str">
        <f>"07510"</f>
        <v>07510</v>
      </c>
      <c r="C24549" s="2">
        <v>0</v>
      </c>
      <c r="D24549" s="2">
        <v>1.2384054291694E-6</v>
      </c>
      <c r="E24549" s="2">
        <v>0</v>
      </c>
      <c r="F24549" s="2">
        <v>1.074130469902E-7</v>
      </c>
    </row>
    <row r="24550" spans="1:6" x14ac:dyDescent="0.25">
      <c r="A24550" s="1" t="str">
        <f t="shared" si="897"/>
        <v>35620</v>
      </c>
      <c r="B24550" s="1" t="str">
        <f>"11973"</f>
        <v>11973</v>
      </c>
      <c r="C24550" s="2">
        <v>0</v>
      </c>
      <c r="D24550" s="2">
        <v>0</v>
      </c>
      <c r="E24550" s="2">
        <v>1.7465448975563999E-6</v>
      </c>
      <c r="F24550" s="2">
        <v>1.074130469902E-7</v>
      </c>
    </row>
    <row r="24551" spans="1:6" x14ac:dyDescent="0.25">
      <c r="A24551" s="1" t="str">
        <f t="shared" si="897"/>
        <v>35620</v>
      </c>
      <c r="B24551" s="1" t="str">
        <f>"08501"</f>
        <v>08501</v>
      </c>
      <c r="C24551" s="2">
        <v>3.3002064236872298E-4</v>
      </c>
      <c r="D24551" s="2">
        <v>2.9226368128397798E-4</v>
      </c>
      <c r="E24551" s="2">
        <v>5.7635981619361397E-5</v>
      </c>
      <c r="F24551" s="2">
        <v>3.0999405361371803E-4</v>
      </c>
    </row>
    <row r="24552" spans="1:6" x14ac:dyDescent="0.25">
      <c r="A24552" s="1" t="str">
        <f t="shared" si="897"/>
        <v>35620</v>
      </c>
      <c r="B24552" s="1" t="str">
        <f>"08753"</f>
        <v>08753</v>
      </c>
      <c r="C24552" s="2">
        <v>3.4148372085222199E-3</v>
      </c>
      <c r="D24552" s="2">
        <v>2.7009622410184599E-3</v>
      </c>
      <c r="E24552" s="2">
        <v>1.3762773792744499E-3</v>
      </c>
      <c r="F24552" s="2">
        <v>3.2275472359615401E-3</v>
      </c>
    </row>
    <row r="24553" spans="1:6" x14ac:dyDescent="0.25">
      <c r="A24553" s="1" t="str">
        <f t="shared" si="897"/>
        <v>35620</v>
      </c>
      <c r="B24553" s="1" t="str">
        <f>"08750"</f>
        <v>08750</v>
      </c>
      <c r="C24553" s="2">
        <v>2.8083911752202701E-4</v>
      </c>
      <c r="D24553" s="2">
        <v>3.4923033102577099E-4</v>
      </c>
      <c r="E24553" s="2">
        <v>1.32737412214287E-4</v>
      </c>
      <c r="F24553" s="2">
        <v>2.7766272646966798E-4</v>
      </c>
    </row>
    <row r="24554" spans="1:6" x14ac:dyDescent="0.25">
      <c r="A24554" s="1" t="str">
        <f t="shared" si="897"/>
        <v>35620</v>
      </c>
      <c r="B24554" s="1" t="str">
        <f>"10030"</f>
        <v>10030</v>
      </c>
      <c r="C24554" s="2">
        <v>1.9473361709812099E-3</v>
      </c>
      <c r="D24554" s="2">
        <v>7.1208312177240495E-4</v>
      </c>
      <c r="E24554" s="2">
        <v>2.3141719892622401E-3</v>
      </c>
      <c r="F24554" s="2">
        <v>1.8627570609040501E-3</v>
      </c>
    </row>
    <row r="24555" spans="1:6" x14ac:dyDescent="0.25">
      <c r="A24555" s="1" t="str">
        <f t="shared" si="897"/>
        <v>35620</v>
      </c>
      <c r="B24555" s="1" t="str">
        <f>"10028"</f>
        <v>10028</v>
      </c>
      <c r="C24555" s="2">
        <v>3.62846157542043E-3</v>
      </c>
      <c r="D24555" s="2">
        <v>2.1350109598880398E-3</v>
      </c>
      <c r="E24555" s="2">
        <v>3.8057213317754099E-3</v>
      </c>
      <c r="F24555" s="2">
        <v>3.5098287234517898E-3</v>
      </c>
    </row>
    <row r="24556" spans="1:6" x14ac:dyDescent="0.25">
      <c r="A24556" s="1" t="str">
        <f t="shared" si="897"/>
        <v>35620</v>
      </c>
      <c r="B24556" s="1" t="str">
        <f>"10016"</f>
        <v>10016</v>
      </c>
      <c r="C24556" s="2">
        <v>4.8548470347386701E-3</v>
      </c>
      <c r="D24556" s="2">
        <v>7.5332202256374603E-3</v>
      </c>
      <c r="E24556" s="2">
        <v>4.3192055316569897E-3</v>
      </c>
      <c r="F24556" s="2">
        <v>5.0542135130768901E-3</v>
      </c>
    </row>
    <row r="24557" spans="1:6" x14ac:dyDescent="0.25">
      <c r="A24557" s="1" t="str">
        <f t="shared" si="897"/>
        <v>35620</v>
      </c>
      <c r="B24557" s="1" t="str">
        <f>"10460"</f>
        <v>10460</v>
      </c>
      <c r="C24557" s="2">
        <v>2.9592145180834702E-3</v>
      </c>
      <c r="D24557" s="2">
        <v>1.29537207891119E-3</v>
      </c>
      <c r="E24557" s="2">
        <v>2.9796055952312299E-3</v>
      </c>
      <c r="F24557" s="2">
        <v>2.8161552659890701E-3</v>
      </c>
    </row>
    <row r="24558" spans="1:6" x14ac:dyDescent="0.25">
      <c r="A24558" s="1" t="str">
        <f t="shared" si="897"/>
        <v>35620</v>
      </c>
      <c r="B24558" s="1" t="str">
        <f>"10123"</f>
        <v>10123</v>
      </c>
      <c r="C24558" s="2">
        <v>0</v>
      </c>
      <c r="D24558" s="2">
        <v>2.2910500439633899E-4</v>
      </c>
      <c r="E24558" s="2">
        <v>3.6677442848684503E-5</v>
      </c>
      <c r="F24558" s="2">
        <v>2.2127087679981301E-5</v>
      </c>
    </row>
    <row r="24559" spans="1:6" x14ac:dyDescent="0.25">
      <c r="A24559" s="1" t="str">
        <f t="shared" si="897"/>
        <v>35620</v>
      </c>
      <c r="B24559" s="1" t="str">
        <f>"10044"</f>
        <v>10044</v>
      </c>
      <c r="C24559" s="2">
        <v>8.8791568319380196E-4</v>
      </c>
      <c r="D24559" s="2">
        <v>1.2507894834610901E-4</v>
      </c>
      <c r="E24559" s="2">
        <v>2.6198173463346099E-4</v>
      </c>
      <c r="F24559" s="2">
        <v>7.8325593865254096E-4</v>
      </c>
    </row>
    <row r="24560" spans="1:6" x14ac:dyDescent="0.25">
      <c r="A24560" s="1" t="str">
        <f t="shared" si="897"/>
        <v>35620</v>
      </c>
      <c r="B24560" s="1" t="str">
        <f>"10279"</f>
        <v>10279</v>
      </c>
      <c r="C24560" s="2">
        <v>0</v>
      </c>
      <c r="D24560" s="2">
        <v>1.34986191779464E-4</v>
      </c>
      <c r="E24560" s="2">
        <v>8.7327244877820399E-6</v>
      </c>
      <c r="F24560" s="2">
        <v>1.2245087356882801E-5</v>
      </c>
    </row>
    <row r="24561" spans="1:6" x14ac:dyDescent="0.25">
      <c r="A24561" s="1" t="str">
        <f t="shared" si="897"/>
        <v>35620</v>
      </c>
      <c r="B24561" s="1" t="str">
        <f>"10155"</f>
        <v>10155</v>
      </c>
      <c r="C24561" s="2">
        <v>0</v>
      </c>
      <c r="D24561" s="2">
        <v>1.38701408066972E-4</v>
      </c>
      <c r="E24561" s="2">
        <v>2.79447183609025E-5</v>
      </c>
      <c r="F24561" s="2">
        <v>1.37488700147456E-5</v>
      </c>
    </row>
    <row r="24562" spans="1:6" x14ac:dyDescent="0.25">
      <c r="A24562" s="1" t="str">
        <f t="shared" si="897"/>
        <v>35620</v>
      </c>
      <c r="B24562" s="1" t="str">
        <f>"10174"</f>
        <v>10174</v>
      </c>
      <c r="C24562" s="2">
        <v>0</v>
      </c>
      <c r="D24562" s="2">
        <v>4.3468030563845899E-4</v>
      </c>
      <c r="E24562" s="2">
        <v>1.7465448975563999E-5</v>
      </c>
      <c r="F24562" s="2">
        <v>3.8776109963462302E-5</v>
      </c>
    </row>
    <row r="24563" spans="1:6" x14ac:dyDescent="0.25">
      <c r="A24563" s="1" t="str">
        <f t="shared" si="897"/>
        <v>35620</v>
      </c>
      <c r="B24563" s="1" t="str">
        <f>"10176"</f>
        <v>10176</v>
      </c>
      <c r="C24563" s="2">
        <v>0</v>
      </c>
      <c r="D24563" s="2">
        <v>2.3034340982550799E-4</v>
      </c>
      <c r="E24563" s="2">
        <v>1.7465448975563999E-5</v>
      </c>
      <c r="F24563" s="2">
        <v>2.10529572100792E-5</v>
      </c>
    </row>
    <row r="24564" spans="1:6" x14ac:dyDescent="0.25">
      <c r="A24564" s="1" t="str">
        <f t="shared" si="897"/>
        <v>35620</v>
      </c>
      <c r="B24564" s="1" t="str">
        <f>"10178"</f>
        <v>10178</v>
      </c>
      <c r="C24564" s="2">
        <v>0</v>
      </c>
      <c r="D24564" s="2">
        <v>7.0589109462655802E-5</v>
      </c>
      <c r="E24564" s="2">
        <v>8.7327244877820399E-6</v>
      </c>
      <c r="F24564" s="2">
        <v>6.6596089133924297E-6</v>
      </c>
    </row>
    <row r="24565" spans="1:6" x14ac:dyDescent="0.25">
      <c r="A24565" s="1" t="str">
        <f t="shared" si="897"/>
        <v>35620</v>
      </c>
      <c r="B24565" s="1" t="str">
        <f>"10034"</f>
        <v>10034</v>
      </c>
      <c r="C24565" s="2">
        <v>2.3102706030550301E-3</v>
      </c>
      <c r="D24565" s="2">
        <v>1.22849818573604E-3</v>
      </c>
      <c r="E24565" s="2">
        <v>1.6644572873712501E-3</v>
      </c>
      <c r="F24565" s="2">
        <v>2.1767253972564101E-3</v>
      </c>
    </row>
    <row r="24566" spans="1:6" x14ac:dyDescent="0.25">
      <c r="A24566" s="1" t="str">
        <f t="shared" si="897"/>
        <v>35620</v>
      </c>
      <c r="B24566" s="1" t="str">
        <f>"10032"</f>
        <v>10032</v>
      </c>
      <c r="C24566" s="2">
        <v>3.23198282127169E-3</v>
      </c>
      <c r="D24566" s="2">
        <v>1.3993981349614199E-3</v>
      </c>
      <c r="E24566" s="2">
        <v>2.7403289442659998E-3</v>
      </c>
      <c r="F24566" s="2">
        <v>3.04279679513839E-3</v>
      </c>
    </row>
    <row r="24567" spans="1:6" x14ac:dyDescent="0.25">
      <c r="A24567" s="1" t="str">
        <f t="shared" si="897"/>
        <v>35620</v>
      </c>
      <c r="B24567" s="1" t="str">
        <f>"10033"</f>
        <v>10033</v>
      </c>
      <c r="C24567" s="2">
        <v>2.7091453802091199E-3</v>
      </c>
      <c r="D24567" s="2">
        <v>1.6235495176410799E-3</v>
      </c>
      <c r="E24567" s="2">
        <v>2.34037016272558E-3</v>
      </c>
      <c r="F24567" s="2">
        <v>2.5923064760614901E-3</v>
      </c>
    </row>
    <row r="24568" spans="1:6" x14ac:dyDescent="0.25">
      <c r="A24568" s="1" t="str">
        <f t="shared" si="897"/>
        <v>35620</v>
      </c>
      <c r="B24568" s="1" t="str">
        <f>"10542"</f>
        <v>10542</v>
      </c>
      <c r="C24568" s="2">
        <v>5.6495700336716801E-5</v>
      </c>
      <c r="D24568" s="2">
        <v>9.1642001758535701E-5</v>
      </c>
      <c r="E24568" s="2">
        <v>3.49308979511281E-6</v>
      </c>
      <c r="F24568" s="2">
        <v>5.6284436622864998E-5</v>
      </c>
    </row>
    <row r="24569" spans="1:6" x14ac:dyDescent="0.25">
      <c r="A24569" s="1" t="str">
        <f t="shared" si="897"/>
        <v>35620</v>
      </c>
      <c r="B24569" s="1" t="str">
        <f>"10475"</f>
        <v>10475</v>
      </c>
      <c r="C24569" s="2">
        <v>2.68455461778577E-3</v>
      </c>
      <c r="D24569" s="2">
        <v>9.8824753247718196E-4</v>
      </c>
      <c r="E24569" s="2">
        <v>1.27148468542106E-3</v>
      </c>
      <c r="F24569" s="2">
        <v>2.45052125403443E-3</v>
      </c>
    </row>
    <row r="24570" spans="1:6" x14ac:dyDescent="0.25">
      <c r="A24570" s="1" t="str">
        <f t="shared" si="897"/>
        <v>35620</v>
      </c>
      <c r="B24570" s="1" t="str">
        <f>"10511"</f>
        <v>10511</v>
      </c>
      <c r="C24570" s="2">
        <v>1.2017946968948901E-4</v>
      </c>
      <c r="D24570" s="2">
        <v>2.8607165413813102E-4</v>
      </c>
      <c r="E24570" s="2">
        <v>1.6242867547274601E-4</v>
      </c>
      <c r="F24570" s="2">
        <v>1.37166461006486E-4</v>
      </c>
    </row>
    <row r="24571" spans="1:6" x14ac:dyDescent="0.25">
      <c r="A24571" s="1" t="str">
        <f t="shared" si="897"/>
        <v>35620</v>
      </c>
      <c r="B24571" s="1" t="str">
        <f>"10523"</f>
        <v>10523</v>
      </c>
      <c r="C24571" s="2">
        <v>5.0366925701974803E-4</v>
      </c>
      <c r="D24571" s="2">
        <v>1.66813211309118E-3</v>
      </c>
      <c r="E24571" s="2">
        <v>6.8464559984211196E-4</v>
      </c>
      <c r="F24571" s="2">
        <v>6.1579899839481905E-4</v>
      </c>
    </row>
    <row r="24572" spans="1:6" x14ac:dyDescent="0.25">
      <c r="A24572" s="1" t="str">
        <f t="shared" si="897"/>
        <v>35620</v>
      </c>
      <c r="B24572" s="1" t="str">
        <f>"10501"</f>
        <v>10501</v>
      </c>
      <c r="C24572" s="2">
        <v>5.2964719065671999E-5</v>
      </c>
      <c r="D24572" s="2">
        <v>2.4768108583388E-6</v>
      </c>
      <c r="E24572" s="2">
        <v>5.2396346926692202E-6</v>
      </c>
      <c r="F24572" s="2">
        <v>4.5650544970835201E-5</v>
      </c>
    </row>
    <row r="24573" spans="1:6" x14ac:dyDescent="0.25">
      <c r="A24573" s="1" t="str">
        <f t="shared" si="897"/>
        <v>35620</v>
      </c>
      <c r="B24573" s="1" t="str">
        <f>"10463"</f>
        <v>10463</v>
      </c>
      <c r="C24573" s="2">
        <v>4.3429808569111399E-3</v>
      </c>
      <c r="D24573" s="2">
        <v>1.6161190850660599E-3</v>
      </c>
      <c r="E24573" s="2">
        <v>2.4504024912716401E-3</v>
      </c>
      <c r="F24573" s="2">
        <v>3.9900724565449701E-3</v>
      </c>
    </row>
    <row r="24574" spans="1:6" x14ac:dyDescent="0.25">
      <c r="A24574" s="1" t="str">
        <f t="shared" si="897"/>
        <v>35620</v>
      </c>
      <c r="B24574" s="1" t="str">
        <f>"10703"</f>
        <v>10703</v>
      </c>
      <c r="C24574" s="2">
        <v>1.0229757168112601E-3</v>
      </c>
      <c r="D24574" s="2">
        <v>6.0929547115134498E-4</v>
      </c>
      <c r="E24574" s="2">
        <v>1.5928489465714399E-3</v>
      </c>
      <c r="F24574" s="2">
        <v>1.0221425551587399E-3</v>
      </c>
    </row>
    <row r="24575" spans="1:6" x14ac:dyDescent="0.25">
      <c r="A24575" s="1" t="str">
        <f t="shared" si="897"/>
        <v>35620</v>
      </c>
      <c r="B24575" s="1" t="str">
        <f>"10598"</f>
        <v>10598</v>
      </c>
      <c r="C24575" s="2">
        <v>1.4207155356996701E-3</v>
      </c>
      <c r="D24575" s="2">
        <v>1.18639240114428E-3</v>
      </c>
      <c r="E24575" s="2">
        <v>7.5800048553948101E-4</v>
      </c>
      <c r="F24575" s="2">
        <v>1.35963434880195E-3</v>
      </c>
    </row>
    <row r="24576" spans="1:6" x14ac:dyDescent="0.25">
      <c r="A24576" s="1" t="str">
        <f t="shared" si="897"/>
        <v>35620</v>
      </c>
      <c r="B24576" s="1" t="str">
        <f>"10707"</f>
        <v>10707</v>
      </c>
      <c r="C24576" s="2">
        <v>6.0442832971849096E-4</v>
      </c>
      <c r="D24576" s="2">
        <v>5.7090490284709397E-4</v>
      </c>
      <c r="E24576" s="2">
        <v>4.8204639172556802E-4</v>
      </c>
      <c r="F24576" s="2">
        <v>5.9399414985580803E-4</v>
      </c>
    </row>
    <row r="24577" spans="1:6" x14ac:dyDescent="0.25">
      <c r="A24577" s="1" t="str">
        <f t="shared" si="897"/>
        <v>35620</v>
      </c>
      <c r="B24577" s="1" t="str">
        <f>"10589"</f>
        <v>10589</v>
      </c>
      <c r="C24577" s="2">
        <v>5.1047900661390603E-4</v>
      </c>
      <c r="D24577" s="2">
        <v>4.6440203593852499E-4</v>
      </c>
      <c r="E24577" s="2">
        <v>1.35182575070866E-3</v>
      </c>
      <c r="F24577" s="2">
        <v>5.5822560520807103E-4</v>
      </c>
    </row>
    <row r="24578" spans="1:6" x14ac:dyDescent="0.25">
      <c r="A24578" s="1" t="str">
        <f t="shared" si="897"/>
        <v>35620</v>
      </c>
      <c r="B24578" s="1" t="str">
        <f>"07003"</f>
        <v>07003</v>
      </c>
      <c r="C24578" s="2">
        <v>2.7376454433254102E-3</v>
      </c>
      <c r="D24578" s="2">
        <v>2.3220101796926199E-3</v>
      </c>
      <c r="E24578" s="2">
        <v>3.1298084564210802E-3</v>
      </c>
      <c r="F24578" s="2">
        <v>2.7257134804233199E-3</v>
      </c>
    </row>
    <row r="24579" spans="1:6" x14ac:dyDescent="0.25">
      <c r="A24579" s="1" t="str">
        <f t="shared" si="897"/>
        <v>35620</v>
      </c>
      <c r="B24579" s="1" t="str">
        <f>"07006"</f>
        <v>07006</v>
      </c>
      <c r="C24579" s="2">
        <v>1.2888081639313501E-3</v>
      </c>
      <c r="D24579" s="2">
        <v>1.11084966996495E-3</v>
      </c>
      <c r="E24579" s="2">
        <v>7.8245211410527102E-4</v>
      </c>
      <c r="F24579" s="2">
        <v>1.24223188844166E-3</v>
      </c>
    </row>
    <row r="24580" spans="1:6" x14ac:dyDescent="0.25">
      <c r="A24580" s="1" t="str">
        <f t="shared" si="897"/>
        <v>35620</v>
      </c>
      <c r="B24580" s="1" t="str">
        <f>"07072"</f>
        <v>07072</v>
      </c>
      <c r="C24580" s="2">
        <v>3.15770610810578E-4</v>
      </c>
      <c r="D24580" s="2">
        <v>1.0105388302022299E-3</v>
      </c>
      <c r="E24580" s="2">
        <v>3.1437808156015298E-4</v>
      </c>
      <c r="F24580" s="2">
        <v>3.7594566446570097E-4</v>
      </c>
    </row>
    <row r="24581" spans="1:6" x14ac:dyDescent="0.25">
      <c r="A24581" s="1" t="str">
        <f t="shared" si="897"/>
        <v>35620</v>
      </c>
      <c r="B24581" s="1" t="str">
        <f>"07069"</f>
        <v>07069</v>
      </c>
      <c r="C24581" s="2">
        <v>3.1211352306556703E-4</v>
      </c>
      <c r="D24581" s="2">
        <v>3.9752814276337699E-4</v>
      </c>
      <c r="E24581" s="2">
        <v>1.53695950984963E-4</v>
      </c>
      <c r="F24581" s="2">
        <v>3.0977922751973801E-4</v>
      </c>
    </row>
    <row r="24582" spans="1:6" x14ac:dyDescent="0.25">
      <c r="A24582" s="1" t="str">
        <f t="shared" si="897"/>
        <v>35620</v>
      </c>
      <c r="B24582" s="1" t="str">
        <f>"07032"</f>
        <v>07032</v>
      </c>
      <c r="C24582" s="2">
        <v>1.5502268844626299E-3</v>
      </c>
      <c r="D24582" s="2">
        <v>2.1003356078712998E-3</v>
      </c>
      <c r="E24582" s="2">
        <v>2.6722136932613E-3</v>
      </c>
      <c r="F24582" s="2">
        <v>1.66694307624092E-3</v>
      </c>
    </row>
    <row r="24583" spans="1:6" x14ac:dyDescent="0.25">
      <c r="A24583" s="1" t="str">
        <f t="shared" si="897"/>
        <v>35620</v>
      </c>
      <c r="B24583" s="1" t="str">
        <f>"07050"</f>
        <v>07050</v>
      </c>
      <c r="C24583" s="2">
        <v>1.5759526051516699E-3</v>
      </c>
      <c r="D24583" s="2">
        <v>1.2247829694485299E-3</v>
      </c>
      <c r="E24583" s="2">
        <v>2.3281443484426899E-3</v>
      </c>
      <c r="F24583" s="2">
        <v>1.5917539433477801E-3</v>
      </c>
    </row>
    <row r="24584" spans="1:6" x14ac:dyDescent="0.25">
      <c r="A24584" s="1" t="str">
        <f t="shared" si="897"/>
        <v>35620</v>
      </c>
      <c r="B24584" s="1" t="str">
        <f>"07020"</f>
        <v>07020</v>
      </c>
      <c r="C24584" s="2">
        <v>1.06093376547499E-3</v>
      </c>
      <c r="D24584" s="2">
        <v>8.9041350357279897E-4</v>
      </c>
      <c r="E24584" s="2">
        <v>1.80942051386843E-3</v>
      </c>
      <c r="F24584" s="2">
        <v>1.0921758617963499E-3</v>
      </c>
    </row>
    <row r="24585" spans="1:6" x14ac:dyDescent="0.25">
      <c r="A24585" s="1" t="str">
        <f t="shared" si="897"/>
        <v>35620</v>
      </c>
      <c r="B24585" s="1" t="str">
        <f>"07026"</f>
        <v>07026</v>
      </c>
      <c r="C24585" s="2">
        <v>1.44896338586802E-3</v>
      </c>
      <c r="D24585" s="2">
        <v>1.4006365403905899E-3</v>
      </c>
      <c r="E24585" s="2">
        <v>2.2443101933599802E-3</v>
      </c>
      <c r="F24585" s="2">
        <v>1.49368583144572E-3</v>
      </c>
    </row>
    <row r="24586" spans="1:6" x14ac:dyDescent="0.25">
      <c r="A24586" s="1" t="str">
        <f t="shared" si="897"/>
        <v>35620</v>
      </c>
      <c r="B24586" s="1" t="str">
        <f>"07208"</f>
        <v>07208</v>
      </c>
      <c r="C24586" s="2">
        <v>1.6082358624869399E-3</v>
      </c>
      <c r="D24586" s="2">
        <v>8.8174466556861298E-4</v>
      </c>
      <c r="E24586" s="2">
        <v>2.7193704054953201E-3</v>
      </c>
      <c r="F24586" s="2">
        <v>1.61355879188679E-3</v>
      </c>
    </row>
    <row r="24587" spans="1:6" x14ac:dyDescent="0.25">
      <c r="A24587" s="1" t="str">
        <f t="shared" ref="A24587:A24650" si="898">"35620"</f>
        <v>35620</v>
      </c>
      <c r="B24587" s="1" t="str">
        <f>"07110"</f>
        <v>07110</v>
      </c>
      <c r="C24587" s="2">
        <v>1.57002560087527E-3</v>
      </c>
      <c r="D24587" s="2">
        <v>1.37958364809471E-3</v>
      </c>
      <c r="E24587" s="2">
        <v>1.6103143955469999E-3</v>
      </c>
      <c r="F24587" s="2">
        <v>1.55598539870004E-3</v>
      </c>
    </row>
    <row r="24588" spans="1:6" x14ac:dyDescent="0.25">
      <c r="A24588" s="1" t="str">
        <f t="shared" si="898"/>
        <v>35620</v>
      </c>
      <c r="B24588" s="1" t="str">
        <f>"07107"</f>
        <v>07107</v>
      </c>
      <c r="C24588" s="2">
        <v>1.4593041167332301E-3</v>
      </c>
      <c r="D24588" s="2">
        <v>9.5357218046043899E-4</v>
      </c>
      <c r="E24588" s="2">
        <v>4.7174177682998602E-3</v>
      </c>
      <c r="F24588" s="2">
        <v>1.6158144658735801E-3</v>
      </c>
    </row>
    <row r="24589" spans="1:6" x14ac:dyDescent="0.25">
      <c r="A24589" s="1" t="str">
        <f t="shared" si="898"/>
        <v>35620</v>
      </c>
      <c r="B24589" s="1" t="str">
        <f>"07078"</f>
        <v>07078</v>
      </c>
      <c r="C24589" s="2">
        <v>6.1817393538077204E-4</v>
      </c>
      <c r="D24589" s="2">
        <v>9.6719464018130195E-4</v>
      </c>
      <c r="E24589" s="2">
        <v>2.2530429178477601E-4</v>
      </c>
      <c r="F24589" s="2">
        <v>6.2428462910704501E-4</v>
      </c>
    </row>
    <row r="24590" spans="1:6" x14ac:dyDescent="0.25">
      <c r="A24590" s="1" t="str">
        <f t="shared" si="898"/>
        <v>35620</v>
      </c>
      <c r="B24590" s="1" t="str">
        <f>"07082"</f>
        <v>07082</v>
      </c>
      <c r="C24590" s="2">
        <v>2.88783825381878E-4</v>
      </c>
      <c r="D24590" s="2">
        <v>2.4272746411720201E-4</v>
      </c>
      <c r="E24590" s="2">
        <v>4.7156712234023001E-5</v>
      </c>
      <c r="F24590" s="2">
        <v>2.6992898708637299E-4</v>
      </c>
    </row>
    <row r="24591" spans="1:6" x14ac:dyDescent="0.25">
      <c r="A24591" s="1" t="str">
        <f t="shared" si="898"/>
        <v>35620</v>
      </c>
      <c r="B24591" s="1" t="str">
        <f>"07524"</f>
        <v>07524</v>
      </c>
      <c r="C24591" s="2">
        <v>4.1879960004070698E-4</v>
      </c>
      <c r="D24591" s="2">
        <v>6.21679525443039E-4</v>
      </c>
      <c r="E24591" s="2">
        <v>1.29069667929418E-3</v>
      </c>
      <c r="F24591" s="2">
        <v>4.9001832036929397E-4</v>
      </c>
    </row>
    <row r="24592" spans="1:6" x14ac:dyDescent="0.25">
      <c r="A24592" s="1" t="str">
        <f t="shared" si="898"/>
        <v>35620</v>
      </c>
      <c r="B24592" s="1" t="str">
        <f>"07607"</f>
        <v>07607</v>
      </c>
      <c r="C24592" s="2">
        <v>5.1930645979151799E-4</v>
      </c>
      <c r="D24592" s="2">
        <v>4.5449479250517E-4</v>
      </c>
      <c r="E24592" s="2">
        <v>2.5324901014567899E-4</v>
      </c>
      <c r="F24592" s="2">
        <v>4.9732240756462801E-4</v>
      </c>
    </row>
    <row r="24593" spans="1:6" x14ac:dyDescent="0.25">
      <c r="A24593" s="1" t="str">
        <f t="shared" si="898"/>
        <v>35620</v>
      </c>
      <c r="B24593" s="1" t="str">
        <f>"07410"</f>
        <v>07410</v>
      </c>
      <c r="C24593" s="2">
        <v>2.6541629575599999E-3</v>
      </c>
      <c r="D24593" s="2">
        <v>2.1189116893088398E-3</v>
      </c>
      <c r="E24593" s="2">
        <v>1.2155952486992601E-3</v>
      </c>
      <c r="F24593" s="2">
        <v>2.5192656041081599E-3</v>
      </c>
    </row>
    <row r="24594" spans="1:6" x14ac:dyDescent="0.25">
      <c r="A24594" s="1" t="str">
        <f t="shared" si="898"/>
        <v>35620</v>
      </c>
      <c r="B24594" s="1" t="str">
        <f>"07405"</f>
        <v>07405</v>
      </c>
      <c r="C24594" s="2">
        <v>9.2612594480546604E-4</v>
      </c>
      <c r="D24594" s="2">
        <v>9.8824753247718196E-4</v>
      </c>
      <c r="E24594" s="2">
        <v>6.6718015086654795E-4</v>
      </c>
      <c r="F24594" s="2">
        <v>9.1558881254446905E-4</v>
      </c>
    </row>
    <row r="24595" spans="1:6" x14ac:dyDescent="0.25">
      <c r="A24595" s="1" t="str">
        <f t="shared" si="898"/>
        <v>35620</v>
      </c>
      <c r="B24595" s="1" t="str">
        <f>"07432"</f>
        <v>07432</v>
      </c>
      <c r="C24595" s="2">
        <v>3.5864681195897901E-4</v>
      </c>
      <c r="D24595" s="2">
        <v>6.1177228200968395E-4</v>
      </c>
      <c r="E24595" s="2">
        <v>3.3533662033082999E-4</v>
      </c>
      <c r="F24595" s="2">
        <v>3.7916805587540699E-4</v>
      </c>
    </row>
    <row r="24596" spans="1:6" x14ac:dyDescent="0.25">
      <c r="A24596" s="1" t="str">
        <f t="shared" si="898"/>
        <v>35620</v>
      </c>
      <c r="B24596" s="1" t="str">
        <f>"07439"</f>
        <v>07439</v>
      </c>
      <c r="C24596" s="2">
        <v>1.1463078483499E-4</v>
      </c>
      <c r="D24596" s="2">
        <v>5.0774622595945399E-5</v>
      </c>
      <c r="E24596" s="2">
        <v>7.33548856973691E-5</v>
      </c>
      <c r="F24596" s="2">
        <v>1.0655374261427799E-4</v>
      </c>
    </row>
    <row r="24597" spans="1:6" x14ac:dyDescent="0.25">
      <c r="A24597" s="1" t="str">
        <f t="shared" si="898"/>
        <v>35620</v>
      </c>
      <c r="B24597" s="1" t="str">
        <f>"11101"</f>
        <v>11101</v>
      </c>
      <c r="C24597" s="2">
        <v>3.0672877662722398E-3</v>
      </c>
      <c r="D24597" s="2">
        <v>6.3530198516390203E-3</v>
      </c>
      <c r="E24597" s="2">
        <v>3.32716802984495E-3</v>
      </c>
      <c r="F24597" s="2">
        <v>3.3682583275186999E-3</v>
      </c>
    </row>
    <row r="24598" spans="1:6" x14ac:dyDescent="0.25">
      <c r="A24598" s="1" t="str">
        <f t="shared" si="898"/>
        <v>35620</v>
      </c>
      <c r="B24598" s="1" t="str">
        <f>"11104"</f>
        <v>11104</v>
      </c>
      <c r="C24598" s="2">
        <v>1.6369881385511599E-3</v>
      </c>
      <c r="D24598" s="2">
        <v>9.3251928816455898E-4</v>
      </c>
      <c r="E24598" s="2">
        <v>1.6330194792152401E-3</v>
      </c>
      <c r="F24598" s="2">
        <v>1.57564198629925E-3</v>
      </c>
    </row>
    <row r="24599" spans="1:6" x14ac:dyDescent="0.25">
      <c r="A24599" s="1" t="str">
        <f t="shared" si="898"/>
        <v>35620</v>
      </c>
      <c r="B24599" s="1" t="str">
        <f>"11042"</f>
        <v>11042</v>
      </c>
      <c r="C24599" s="2">
        <v>0</v>
      </c>
      <c r="D24599" s="2">
        <v>7.3932804121413197E-4</v>
      </c>
      <c r="E24599" s="2">
        <v>9.9553059160715295E-5</v>
      </c>
      <c r="F24599" s="2">
        <v>7.0248132731591095E-5</v>
      </c>
    </row>
    <row r="24600" spans="1:6" x14ac:dyDescent="0.25">
      <c r="A24600" s="1" t="str">
        <f t="shared" si="898"/>
        <v>35620</v>
      </c>
      <c r="B24600" s="1" t="str">
        <f>"10304"</f>
        <v>10304</v>
      </c>
      <c r="C24600" s="2">
        <v>2.03598902217922E-3</v>
      </c>
      <c r="D24600" s="2">
        <v>1.11332648082329E-3</v>
      </c>
      <c r="E24600" s="2">
        <v>1.35357229560621E-3</v>
      </c>
      <c r="F24600" s="2">
        <v>1.9139930843183801E-3</v>
      </c>
    </row>
    <row r="24601" spans="1:6" x14ac:dyDescent="0.25">
      <c r="A24601" s="1" t="str">
        <f t="shared" si="898"/>
        <v>35620</v>
      </c>
      <c r="B24601" s="1" t="str">
        <f>"10310"</f>
        <v>10310</v>
      </c>
      <c r="C24601" s="2">
        <v>1.07707539414263E-3</v>
      </c>
      <c r="D24601" s="2">
        <v>9.6595623475213301E-4</v>
      </c>
      <c r="E24601" s="2">
        <v>8.0515719777350398E-4</v>
      </c>
      <c r="F24601" s="2">
        <v>1.0507144256581399E-3</v>
      </c>
    </row>
    <row r="24602" spans="1:6" x14ac:dyDescent="0.25">
      <c r="A24602" s="1" t="str">
        <f t="shared" si="898"/>
        <v>35620</v>
      </c>
      <c r="B24602" s="1" t="str">
        <f>"11003"</f>
        <v>11003</v>
      </c>
      <c r="C24602" s="2">
        <v>1.36648975189433E-3</v>
      </c>
      <c r="D24602" s="2">
        <v>1.07741272337737E-3</v>
      </c>
      <c r="E24602" s="2">
        <v>2.6722136932613E-4</v>
      </c>
      <c r="F24602" s="2">
        <v>1.27381132425678E-3</v>
      </c>
    </row>
    <row r="24603" spans="1:6" x14ac:dyDescent="0.25">
      <c r="A24603" s="1" t="str">
        <f t="shared" si="898"/>
        <v>35620</v>
      </c>
      <c r="B24603" s="1" t="str">
        <f>"11010"</f>
        <v>11010</v>
      </c>
      <c r="C24603" s="2">
        <v>9.8539598756943207E-4</v>
      </c>
      <c r="D24603" s="2">
        <v>1.0179692627772399E-3</v>
      </c>
      <c r="E24603" s="2">
        <v>1.92119938731204E-4</v>
      </c>
      <c r="F24603" s="2">
        <v>9.3943450897629303E-4</v>
      </c>
    </row>
    <row r="24604" spans="1:6" x14ac:dyDescent="0.25">
      <c r="A24604" s="1" t="str">
        <f t="shared" si="898"/>
        <v>35620</v>
      </c>
      <c r="B24604" s="1" t="str">
        <f>"11215"</f>
        <v>11215</v>
      </c>
      <c r="C24604" s="2">
        <v>3.5707048103440601E-3</v>
      </c>
      <c r="D24604" s="2">
        <v>3.3300721990365198E-3</v>
      </c>
      <c r="E24604" s="2">
        <v>9.3859322794681392E-3</v>
      </c>
      <c r="F24604" s="2">
        <v>3.9074718234095099E-3</v>
      </c>
    </row>
    <row r="24605" spans="1:6" x14ac:dyDescent="0.25">
      <c r="A24605" s="1" t="str">
        <f t="shared" si="898"/>
        <v>35620</v>
      </c>
      <c r="B24605" s="1" t="str">
        <f>"11213"</f>
        <v>11213</v>
      </c>
      <c r="C24605" s="2">
        <v>3.0981838523938799E-3</v>
      </c>
      <c r="D24605" s="2">
        <v>1.6346951665036E-3</v>
      </c>
      <c r="E24605" s="2">
        <v>4.3279382561447798E-3</v>
      </c>
      <c r="F24605" s="2">
        <v>3.04687849092402E-3</v>
      </c>
    </row>
    <row r="24606" spans="1:6" x14ac:dyDescent="0.25">
      <c r="A24606" s="1" t="str">
        <f t="shared" si="898"/>
        <v>35620</v>
      </c>
      <c r="B24606" s="1" t="str">
        <f>"11214"</f>
        <v>11214</v>
      </c>
      <c r="C24606" s="2">
        <v>3.5472490061864001E-3</v>
      </c>
      <c r="D24606" s="2">
        <v>2.2972420711092302E-3</v>
      </c>
      <c r="E24606" s="2">
        <v>7.1870322534446198E-3</v>
      </c>
      <c r="F24606" s="2">
        <v>3.6626774893188398E-3</v>
      </c>
    </row>
    <row r="24607" spans="1:6" x14ac:dyDescent="0.25">
      <c r="A24607" s="1" t="str">
        <f t="shared" si="898"/>
        <v>35620</v>
      </c>
      <c r="B24607" s="1" t="str">
        <f>"11212"</f>
        <v>11212</v>
      </c>
      <c r="C24607" s="2">
        <v>4.0777789421608803E-3</v>
      </c>
      <c r="D24607" s="2">
        <v>2.0607066341378801E-3</v>
      </c>
      <c r="E24607" s="2">
        <v>6.9879261351231898E-3</v>
      </c>
      <c r="F24607" s="2">
        <v>4.0818031986746004E-3</v>
      </c>
    </row>
    <row r="24608" spans="1:6" x14ac:dyDescent="0.25">
      <c r="A24608" s="1" t="str">
        <f t="shared" si="898"/>
        <v>35620</v>
      </c>
      <c r="B24608" s="1" t="str">
        <f>"11207"</f>
        <v>11207</v>
      </c>
      <c r="C24608" s="2">
        <v>3.9079135217288301E-3</v>
      </c>
      <c r="D24608" s="2">
        <v>2.7579288907602501E-3</v>
      </c>
      <c r="E24608" s="2">
        <v>8.8113190081720808E-3</v>
      </c>
      <c r="F24608" s="2">
        <v>4.1097305908920599E-3</v>
      </c>
    </row>
    <row r="24609" spans="1:6" x14ac:dyDescent="0.25">
      <c r="A24609" s="1" t="str">
        <f t="shared" si="898"/>
        <v>35620</v>
      </c>
      <c r="B24609" s="1" t="str">
        <f>"11203"</f>
        <v>11203</v>
      </c>
      <c r="C24609" s="2">
        <v>2.97636499854283E-3</v>
      </c>
      <c r="D24609" s="2">
        <v>2.2204609345007299E-3</v>
      </c>
      <c r="E24609" s="2">
        <v>4.1166063235404497E-3</v>
      </c>
      <c r="F24609" s="2">
        <v>2.98092688007204E-3</v>
      </c>
    </row>
    <row r="24610" spans="1:6" x14ac:dyDescent="0.25">
      <c r="A24610" s="1" t="str">
        <f t="shared" si="898"/>
        <v>35620</v>
      </c>
      <c r="B24610" s="1" t="str">
        <f>"11221"</f>
        <v>11221</v>
      </c>
      <c r="C24610" s="2">
        <v>3.8232960776977201E-3</v>
      </c>
      <c r="D24610" s="2">
        <v>1.7486284659871899E-3</v>
      </c>
      <c r="E24610" s="2">
        <v>1.03552646976119E-2</v>
      </c>
      <c r="F24610" s="2">
        <v>4.0450679366039596E-3</v>
      </c>
    </row>
    <row r="24611" spans="1:6" x14ac:dyDescent="0.25">
      <c r="A24611" s="1" t="str">
        <f t="shared" si="898"/>
        <v>35620</v>
      </c>
      <c r="B24611" s="1" t="str">
        <f>"11228"</f>
        <v>11228</v>
      </c>
      <c r="C24611" s="2">
        <v>1.4294168824033099E-3</v>
      </c>
      <c r="D24611" s="2">
        <v>9.9691637048136806E-4</v>
      </c>
      <c r="E24611" s="2">
        <v>1.7517845322490701E-3</v>
      </c>
      <c r="F24611" s="2">
        <v>1.4117296765922E-3</v>
      </c>
    </row>
    <row r="24612" spans="1:6" x14ac:dyDescent="0.25">
      <c r="A24612" s="1" t="str">
        <f t="shared" si="898"/>
        <v>35620</v>
      </c>
      <c r="B24612" s="1" t="str">
        <f>"11229"</f>
        <v>11229</v>
      </c>
      <c r="C24612" s="2">
        <v>3.6796608038505798E-3</v>
      </c>
      <c r="D24612" s="2">
        <v>2.5548304003764699E-3</v>
      </c>
      <c r="E24612" s="2">
        <v>2.5447159157396802E-3</v>
      </c>
      <c r="F24612" s="2">
        <v>3.5122992235325601E-3</v>
      </c>
    </row>
    <row r="24613" spans="1:6" x14ac:dyDescent="0.25">
      <c r="A24613" s="1" t="str">
        <f t="shared" si="898"/>
        <v>35620</v>
      </c>
      <c r="B24613" s="1" t="str">
        <f>"11411"</f>
        <v>11411</v>
      </c>
      <c r="C24613" s="2">
        <v>7.5222511720650896E-4</v>
      </c>
      <c r="D24613" s="2">
        <v>4.3591871106762902E-4</v>
      </c>
      <c r="E24613" s="2">
        <v>7.33548856973691E-5</v>
      </c>
      <c r="F24613" s="2">
        <v>6.8303956581068398E-4</v>
      </c>
    </row>
    <row r="24614" spans="1:6" x14ac:dyDescent="0.25">
      <c r="A24614" s="1" t="str">
        <f t="shared" si="898"/>
        <v>35620</v>
      </c>
      <c r="B24614" s="1" t="str">
        <f>"11364"</f>
        <v>11364</v>
      </c>
      <c r="C24614" s="2">
        <v>1.6174416350864501E-3</v>
      </c>
      <c r="D24614" s="2">
        <v>5.8205055170961796E-4</v>
      </c>
      <c r="E24614" s="2">
        <v>5.2920310395959105E-4</v>
      </c>
      <c r="F24614" s="2">
        <v>1.46071002601973E-3</v>
      </c>
    </row>
    <row r="24615" spans="1:6" x14ac:dyDescent="0.25">
      <c r="A24615" s="1" t="str">
        <f t="shared" si="898"/>
        <v>35620</v>
      </c>
      <c r="B24615" s="1" t="str">
        <f>"11373"</f>
        <v>11373</v>
      </c>
      <c r="C24615" s="2">
        <v>3.3942818532657799E-3</v>
      </c>
      <c r="D24615" s="2">
        <v>2.4037449380177999E-3</v>
      </c>
      <c r="E24615" s="2">
        <v>3.4005229155423199E-3</v>
      </c>
      <c r="F24615" s="2">
        <v>3.3087514994861299E-3</v>
      </c>
    </row>
    <row r="24616" spans="1:6" x14ac:dyDescent="0.25">
      <c r="A24616" s="1" t="str">
        <f t="shared" si="898"/>
        <v>35620</v>
      </c>
      <c r="B24616" s="1" t="str">
        <f>"11691"</f>
        <v>11691</v>
      </c>
      <c r="C24616" s="2">
        <v>2.7484906000864802E-3</v>
      </c>
      <c r="D24616" s="2">
        <v>9.59764207606286E-4</v>
      </c>
      <c r="E24616" s="2">
        <v>1.1928901650310199E-3</v>
      </c>
      <c r="F24616" s="2">
        <v>2.49767558166313E-3</v>
      </c>
    </row>
    <row r="24617" spans="1:6" x14ac:dyDescent="0.25">
      <c r="A24617" s="1" t="str">
        <f t="shared" si="898"/>
        <v>35620</v>
      </c>
      <c r="B24617" s="1" t="str">
        <f>"11545"</f>
        <v>11545</v>
      </c>
      <c r="C24617" s="2">
        <v>5.7012736879977005E-4</v>
      </c>
      <c r="D24617" s="2">
        <v>6.2910995801805495E-4</v>
      </c>
      <c r="E24617" s="2">
        <v>3.45815889716168E-4</v>
      </c>
      <c r="F24617" s="2">
        <v>5.6144799661777699E-4</v>
      </c>
    </row>
    <row r="24618" spans="1:6" x14ac:dyDescent="0.25">
      <c r="A24618" s="1" t="str">
        <f t="shared" si="898"/>
        <v>35620</v>
      </c>
      <c r="B24618" s="1" t="str">
        <f>"11556"</f>
        <v>11556</v>
      </c>
      <c r="C24618" s="2">
        <v>1.2610647396588501E-7</v>
      </c>
      <c r="D24618" s="2">
        <v>1.49847056929497E-4</v>
      </c>
      <c r="E24618" s="2">
        <v>1.7465448975563999E-6</v>
      </c>
      <c r="F24618" s="2">
        <v>1.32118047797946E-5</v>
      </c>
    </row>
    <row r="24619" spans="1:6" x14ac:dyDescent="0.25">
      <c r="A24619" s="1" t="str">
        <f t="shared" si="898"/>
        <v>35620</v>
      </c>
      <c r="B24619" s="1" t="str">
        <f>"11415"</f>
        <v>11415</v>
      </c>
      <c r="C24619" s="2">
        <v>1.1690070136637599E-3</v>
      </c>
      <c r="D24619" s="2">
        <v>6.7740776975566198E-4</v>
      </c>
      <c r="E24619" s="2">
        <v>6.8813868963722496E-4</v>
      </c>
      <c r="F24619" s="2">
        <v>1.0967946228169301E-3</v>
      </c>
    </row>
    <row r="24620" spans="1:6" x14ac:dyDescent="0.25">
      <c r="A24620" s="1" t="str">
        <f t="shared" si="898"/>
        <v>35620</v>
      </c>
      <c r="B24620" s="1" t="str">
        <f>"11416"</f>
        <v>11416</v>
      </c>
      <c r="C24620" s="2">
        <v>5.9774468659829904E-4</v>
      </c>
      <c r="D24620" s="2">
        <v>7.1951355434742199E-4</v>
      </c>
      <c r="E24620" s="2">
        <v>6.7940596514944301E-4</v>
      </c>
      <c r="F24620" s="2">
        <v>6.1332849831404401E-4</v>
      </c>
    </row>
    <row r="24621" spans="1:6" x14ac:dyDescent="0.25">
      <c r="A24621" s="1" t="str">
        <f t="shared" si="898"/>
        <v>35620</v>
      </c>
      <c r="B24621" s="1" t="str">
        <f>"11414"</f>
        <v>11414</v>
      </c>
      <c r="C24621" s="2">
        <v>1.2260071398963401E-3</v>
      </c>
      <c r="D24621" s="2">
        <v>6.5883168831812095E-4</v>
      </c>
      <c r="E24621" s="2">
        <v>9.4138769978290395E-4</v>
      </c>
      <c r="F24621" s="2">
        <v>1.15930901616523E-3</v>
      </c>
    </row>
    <row r="24622" spans="1:6" x14ac:dyDescent="0.25">
      <c r="A24622" s="1" t="str">
        <f t="shared" si="898"/>
        <v>35620</v>
      </c>
      <c r="B24622" s="1" t="str">
        <f>"11417"</f>
        <v>11417</v>
      </c>
      <c r="C24622" s="2">
        <v>9.6509284526092502E-4</v>
      </c>
      <c r="D24622" s="2">
        <v>8.8545988185612199E-4</v>
      </c>
      <c r="E24622" s="2">
        <v>5.6762709170583197E-4</v>
      </c>
      <c r="F24622" s="2">
        <v>9.3374161748581202E-4</v>
      </c>
    </row>
    <row r="24623" spans="1:6" x14ac:dyDescent="0.25">
      <c r="A24623" s="1" t="str">
        <f t="shared" si="898"/>
        <v>35620</v>
      </c>
      <c r="B24623" s="1" t="str">
        <f>"11733"</f>
        <v>11733</v>
      </c>
      <c r="C24623" s="2">
        <v>9.2953081960254504E-4</v>
      </c>
      <c r="D24623" s="2">
        <v>1.2668887540402899E-3</v>
      </c>
      <c r="E24623" s="2">
        <v>4.3838276928665799E-4</v>
      </c>
      <c r="F24623" s="2">
        <v>9.2858579123028301E-4</v>
      </c>
    </row>
    <row r="24624" spans="1:6" x14ac:dyDescent="0.25">
      <c r="A24624" s="1" t="str">
        <f t="shared" si="898"/>
        <v>35620</v>
      </c>
      <c r="B24624" s="1" t="str">
        <f>"11738"</f>
        <v>11738</v>
      </c>
      <c r="C24624" s="2">
        <v>7.18050262761754E-4</v>
      </c>
      <c r="D24624" s="2">
        <v>6.5387806660144299E-4</v>
      </c>
      <c r="E24624" s="2">
        <v>1.41470136702069E-4</v>
      </c>
      <c r="F24624" s="2">
        <v>6.7702443517923296E-4</v>
      </c>
    </row>
    <row r="24625" spans="1:6" x14ac:dyDescent="0.25">
      <c r="A24625" s="1" t="str">
        <f t="shared" si="898"/>
        <v>35620</v>
      </c>
      <c r="B24625" s="1" t="str">
        <f>"11706"</f>
        <v>11706</v>
      </c>
      <c r="C24625" s="2">
        <v>2.42591023968174E-3</v>
      </c>
      <c r="D24625" s="2">
        <v>3.0526693829025699E-3</v>
      </c>
      <c r="E24625" s="2">
        <v>1.7605172567368599E-3</v>
      </c>
      <c r="F24625" s="2">
        <v>2.4393502971474502E-3</v>
      </c>
    </row>
    <row r="24626" spans="1:6" x14ac:dyDescent="0.25">
      <c r="A24626" s="1" t="str">
        <f t="shared" si="898"/>
        <v>35620</v>
      </c>
      <c r="B24626" s="1" t="str">
        <f>"11709"</f>
        <v>11709</v>
      </c>
      <c r="C24626" s="2">
        <v>3.3178613300424503E-4</v>
      </c>
      <c r="D24626" s="2">
        <v>1.17648515771093E-4</v>
      </c>
      <c r="E24626" s="2">
        <v>1.13525418341166E-4</v>
      </c>
      <c r="F24626" s="2">
        <v>2.9978981414964902E-4</v>
      </c>
    </row>
    <row r="24627" spans="1:6" x14ac:dyDescent="0.25">
      <c r="A24627" s="1" t="str">
        <f t="shared" si="898"/>
        <v>35620</v>
      </c>
      <c r="B24627" s="1" t="str">
        <f>"11701"</f>
        <v>11701</v>
      </c>
      <c r="C24627" s="2">
        <v>1.28994312219704E-3</v>
      </c>
      <c r="D24627" s="2">
        <v>1.4823712987157699E-3</v>
      </c>
      <c r="E24627" s="2">
        <v>1.2487796017528301E-3</v>
      </c>
      <c r="F24627" s="2">
        <v>1.3041018035080201E-3</v>
      </c>
    </row>
    <row r="24628" spans="1:6" x14ac:dyDescent="0.25">
      <c r="A24628" s="1" t="str">
        <f t="shared" si="898"/>
        <v>35620</v>
      </c>
      <c r="B24628" s="1" t="str">
        <f>"11704"</f>
        <v>11704</v>
      </c>
      <c r="C24628" s="2">
        <v>1.6868001957676901E-3</v>
      </c>
      <c r="D24628" s="2">
        <v>2.15730225761309E-3</v>
      </c>
      <c r="E24628" s="2">
        <v>1.53695950984963E-3</v>
      </c>
      <c r="F24628" s="2">
        <v>1.71839392574922E-3</v>
      </c>
    </row>
    <row r="24629" spans="1:6" x14ac:dyDescent="0.25">
      <c r="A24629" s="1" t="str">
        <f t="shared" si="898"/>
        <v>35620</v>
      </c>
      <c r="B24629" s="1" t="str">
        <f>"11702"</f>
        <v>11702</v>
      </c>
      <c r="C24629" s="2">
        <v>7.8501280043763899E-4</v>
      </c>
      <c r="D24629" s="2">
        <v>1.1046576428191E-3</v>
      </c>
      <c r="E24629" s="2">
        <v>8.1563646715884298E-4</v>
      </c>
      <c r="F24629" s="2">
        <v>8.1462054837367996E-4</v>
      </c>
    </row>
    <row r="24630" spans="1:6" x14ac:dyDescent="0.25">
      <c r="A24630" s="1" t="str">
        <f t="shared" si="898"/>
        <v>35620</v>
      </c>
      <c r="B24630" s="1" t="str">
        <f>"11971"</f>
        <v>11971</v>
      </c>
      <c r="C24630" s="2">
        <v>4.5247002858959798E-4</v>
      </c>
      <c r="D24630" s="2">
        <v>1.6099270579202199E-4</v>
      </c>
      <c r="E24630" s="2">
        <v>1.2051159793139201E-4</v>
      </c>
      <c r="F24630" s="2">
        <v>4.0677320895188902E-4</v>
      </c>
    </row>
    <row r="24631" spans="1:6" x14ac:dyDescent="0.25">
      <c r="A24631" s="1" t="str">
        <f t="shared" si="898"/>
        <v>35620</v>
      </c>
      <c r="B24631" s="1" t="str">
        <f>"11969"</f>
        <v>11969</v>
      </c>
      <c r="C24631" s="2">
        <v>2.6091429463541698E-4</v>
      </c>
      <c r="D24631" s="2">
        <v>7.8391063666423096E-4</v>
      </c>
      <c r="E24631" s="2">
        <v>3.49308979511281E-6</v>
      </c>
      <c r="F24631" s="2">
        <v>2.9044487906150198E-4</v>
      </c>
    </row>
    <row r="24632" spans="1:6" x14ac:dyDescent="0.25">
      <c r="A24632" s="1" t="str">
        <f t="shared" si="898"/>
        <v>35620</v>
      </c>
      <c r="B24632" s="1" t="str">
        <f>"11980"</f>
        <v>11980</v>
      </c>
      <c r="C24632" s="2">
        <v>3.4893661346360603E-4</v>
      </c>
      <c r="D24632" s="2">
        <v>4.8050130651772698E-4</v>
      </c>
      <c r="E24632" s="2">
        <v>3.4406934481861199E-4</v>
      </c>
      <c r="F24632" s="2">
        <v>3.60048533511152E-4</v>
      </c>
    </row>
    <row r="24633" spans="1:6" x14ac:dyDescent="0.25">
      <c r="A24633" s="1" t="str">
        <f t="shared" si="898"/>
        <v>35620</v>
      </c>
      <c r="B24633" s="1" t="str">
        <f>"11788"</f>
        <v>11788</v>
      </c>
      <c r="C24633" s="2">
        <v>8.5651517117629695E-4</v>
      </c>
      <c r="D24633" s="2">
        <v>2.8842462445355299E-3</v>
      </c>
      <c r="E24633" s="2">
        <v>1.25576578134305E-3</v>
      </c>
      <c r="F24633" s="2">
        <v>1.0569443823835701E-3</v>
      </c>
    </row>
    <row r="24634" spans="1:6" x14ac:dyDescent="0.25">
      <c r="A24634" s="1" t="str">
        <f t="shared" si="898"/>
        <v>35620</v>
      </c>
      <c r="B24634" s="1" t="str">
        <f>"11804"</f>
        <v>11804</v>
      </c>
      <c r="C24634" s="2">
        <v>2.6116650758334901E-4</v>
      </c>
      <c r="D24634" s="2">
        <v>2.35297031542186E-4</v>
      </c>
      <c r="E24634" s="2">
        <v>5.7635981619361397E-5</v>
      </c>
      <c r="F24634" s="2">
        <v>2.4640552979551898E-4</v>
      </c>
    </row>
    <row r="24635" spans="1:6" x14ac:dyDescent="0.25">
      <c r="A24635" s="1" t="str">
        <f t="shared" si="898"/>
        <v>35620</v>
      </c>
      <c r="B24635" s="1" t="str">
        <f>"11769"</f>
        <v>11769</v>
      </c>
      <c r="C24635" s="2">
        <v>5.6773134579441798E-4</v>
      </c>
      <c r="D24635" s="2">
        <v>4.5697160336350898E-4</v>
      </c>
      <c r="E24635" s="2">
        <v>7.3878849166636104E-4</v>
      </c>
      <c r="F24635" s="2">
        <v>5.6864467076612102E-4</v>
      </c>
    </row>
    <row r="24636" spans="1:6" x14ac:dyDescent="0.25">
      <c r="A24636" s="1" t="str">
        <f t="shared" si="898"/>
        <v>35620</v>
      </c>
      <c r="B24636" s="1" t="str">
        <f>"07876"</f>
        <v>07876</v>
      </c>
      <c r="C24636" s="2">
        <v>4.5852313933996102E-4</v>
      </c>
      <c r="D24636" s="2">
        <v>3.9505133190503898E-4</v>
      </c>
      <c r="E24636" s="2">
        <v>1.9037339383364799E-4</v>
      </c>
      <c r="F24636" s="2">
        <v>4.3652662296817402E-4</v>
      </c>
    </row>
    <row r="24637" spans="1:6" x14ac:dyDescent="0.25">
      <c r="A24637" s="1" t="str">
        <f t="shared" si="898"/>
        <v>35620</v>
      </c>
      <c r="B24637" s="1" t="str">
        <f>"07834"</f>
        <v>07834</v>
      </c>
      <c r="C24637" s="2">
        <v>1.00469027808621E-3</v>
      </c>
      <c r="D24637" s="2">
        <v>1.4675104335657399E-3</v>
      </c>
      <c r="E24637" s="2">
        <v>7.4926776105169895E-4</v>
      </c>
      <c r="F24637" s="2">
        <v>1.02912440321311E-3</v>
      </c>
    </row>
    <row r="24638" spans="1:6" x14ac:dyDescent="0.25">
      <c r="A24638" s="1" t="str">
        <f t="shared" si="898"/>
        <v>35620</v>
      </c>
      <c r="B24638" s="1" t="str">
        <f>"07874"</f>
        <v>07874</v>
      </c>
      <c r="C24638" s="2">
        <v>4.9761614626938505E-4</v>
      </c>
      <c r="D24638" s="2">
        <v>3.4179989845075401E-4</v>
      </c>
      <c r="E24638" s="2">
        <v>6.4796815699342701E-4</v>
      </c>
      <c r="F24638" s="2">
        <v>4.9334812482599005E-4</v>
      </c>
    </row>
    <row r="24639" spans="1:6" x14ac:dyDescent="0.25">
      <c r="A24639" s="1" t="str">
        <f t="shared" si="898"/>
        <v>35620</v>
      </c>
      <c r="B24639" s="1" t="str">
        <f>"07644"</f>
        <v>07644</v>
      </c>
      <c r="C24639" s="2">
        <v>1.1949849473007299E-3</v>
      </c>
      <c r="D24639" s="2">
        <v>1.17153153599425E-3</v>
      </c>
      <c r="E24639" s="2">
        <v>1.75702416694174E-3</v>
      </c>
      <c r="F24639" s="2">
        <v>1.22751630100401E-3</v>
      </c>
    </row>
    <row r="24640" spans="1:6" x14ac:dyDescent="0.25">
      <c r="A24640" s="1" t="str">
        <f t="shared" si="898"/>
        <v>35620</v>
      </c>
      <c r="B24640" s="1" t="str">
        <f>"07702"</f>
        <v>07702</v>
      </c>
      <c r="C24640" s="2">
        <v>2.00004867709895E-4</v>
      </c>
      <c r="D24640" s="2">
        <v>9.4985696417292998E-4</v>
      </c>
      <c r="E24640" s="2">
        <v>2.2355774688722E-4</v>
      </c>
      <c r="F24640" s="2">
        <v>2.6649176958268701E-4</v>
      </c>
    </row>
    <row r="24641" spans="1:6" x14ac:dyDescent="0.25">
      <c r="A24641" s="1" t="str">
        <f t="shared" si="898"/>
        <v>35620</v>
      </c>
      <c r="B24641" s="1" t="str">
        <f>"08835"</f>
        <v>08835</v>
      </c>
      <c r="C24641" s="2">
        <v>5.9799689954623096E-4</v>
      </c>
      <c r="D24641" s="2">
        <v>4.5325638707600002E-4</v>
      </c>
      <c r="E24641" s="2">
        <v>3.8947951215507901E-4</v>
      </c>
      <c r="F24641" s="2">
        <v>5.72618953504758E-4</v>
      </c>
    </row>
    <row r="24642" spans="1:6" x14ac:dyDescent="0.25">
      <c r="A24642" s="1" t="str">
        <f t="shared" si="898"/>
        <v>35620</v>
      </c>
      <c r="B24642" s="1" t="str">
        <f>"08853"</f>
        <v>08853</v>
      </c>
      <c r="C24642" s="2">
        <v>2.3670185163396701E-4</v>
      </c>
      <c r="D24642" s="2">
        <v>3.0960135729235002E-5</v>
      </c>
      <c r="E24642" s="2">
        <v>2.2705083668233298E-5</v>
      </c>
      <c r="F24642" s="2">
        <v>2.05695984986233E-4</v>
      </c>
    </row>
    <row r="24643" spans="1:6" x14ac:dyDescent="0.25">
      <c r="A24643" s="1" t="str">
        <f t="shared" si="898"/>
        <v>35620</v>
      </c>
      <c r="B24643" s="1" t="str">
        <f>"08857"</f>
        <v>08857</v>
      </c>
      <c r="C24643" s="2">
        <v>2.0599492522327401E-3</v>
      </c>
      <c r="D24643" s="2">
        <v>1.53686113759922E-3</v>
      </c>
      <c r="E24643" s="2">
        <v>2.0032869974971998E-3</v>
      </c>
      <c r="F24643" s="2">
        <v>2.01109447879752E-3</v>
      </c>
    </row>
    <row r="24644" spans="1:6" x14ac:dyDescent="0.25">
      <c r="A24644" s="1" t="str">
        <f t="shared" si="898"/>
        <v>35620</v>
      </c>
      <c r="B24644" s="1" t="str">
        <f>"08816"</f>
        <v>08816</v>
      </c>
      <c r="C24644" s="2">
        <v>2.3860605939085202E-3</v>
      </c>
      <c r="D24644" s="2">
        <v>2.7356375930351999E-3</v>
      </c>
      <c r="E24644" s="2">
        <v>1.0933371058703099E-3</v>
      </c>
      <c r="F24644" s="2">
        <v>2.3368782503188001E-3</v>
      </c>
    </row>
    <row r="24645" spans="1:6" x14ac:dyDescent="0.25">
      <c r="A24645" s="1" t="str">
        <f t="shared" si="898"/>
        <v>35620</v>
      </c>
      <c r="B24645" s="1" t="str">
        <f>"07963"</f>
        <v>07963</v>
      </c>
      <c r="C24645" s="2">
        <v>7.9699291546439901E-5</v>
      </c>
      <c r="D24645" s="2">
        <v>1.53562273217005E-4</v>
      </c>
      <c r="E24645" s="2">
        <v>3.49308979511281E-6</v>
      </c>
      <c r="F24645" s="2">
        <v>8.1419089618571896E-5</v>
      </c>
    </row>
    <row r="24646" spans="1:6" x14ac:dyDescent="0.25">
      <c r="A24646" s="1" t="str">
        <f t="shared" si="898"/>
        <v>35620</v>
      </c>
      <c r="B24646" s="1" t="str">
        <f>"08804"</f>
        <v>08804</v>
      </c>
      <c r="C24646" s="2">
        <v>1.04794479865651E-4</v>
      </c>
      <c r="D24646" s="2">
        <v>2.60065140125574E-5</v>
      </c>
      <c r="E24646" s="2">
        <v>5.7635981619361397E-5</v>
      </c>
      <c r="F24646" s="2">
        <v>9.5060546586327402E-5</v>
      </c>
    </row>
    <row r="24647" spans="1:6" x14ac:dyDescent="0.25">
      <c r="A24647" s="1" t="str">
        <f t="shared" si="898"/>
        <v>35620</v>
      </c>
      <c r="B24647" s="1" t="str">
        <f>"07746"</f>
        <v>07746</v>
      </c>
      <c r="C24647" s="2">
        <v>8.2612351095051801E-4</v>
      </c>
      <c r="D24647" s="2">
        <v>7.2942079778077703E-4</v>
      </c>
      <c r="E24647" s="2">
        <v>1.0129960405827099E-4</v>
      </c>
      <c r="F24647" s="2">
        <v>7.7315911223546304E-4</v>
      </c>
    </row>
    <row r="24648" spans="1:6" x14ac:dyDescent="0.25">
      <c r="A24648" s="1" t="str">
        <f t="shared" si="898"/>
        <v>35620</v>
      </c>
      <c r="B24648" s="1" t="str">
        <f>"07760"</f>
        <v>07760</v>
      </c>
      <c r="C24648" s="2">
        <v>6.0417611677055904E-4</v>
      </c>
      <c r="D24648" s="2">
        <v>4.71832468513541E-4</v>
      </c>
      <c r="E24648" s="2">
        <v>2.4102319586278401E-4</v>
      </c>
      <c r="F24648" s="2">
        <v>5.7036327951796395E-4</v>
      </c>
    </row>
    <row r="24649" spans="1:6" x14ac:dyDescent="0.25">
      <c r="A24649" s="1" t="str">
        <f t="shared" si="898"/>
        <v>35620</v>
      </c>
      <c r="B24649" s="1" t="str">
        <f>"07720"</f>
        <v>07720</v>
      </c>
      <c r="C24649" s="2">
        <v>4.01396906633414E-4</v>
      </c>
      <c r="D24649" s="2">
        <v>2.03098490383781E-4</v>
      </c>
      <c r="E24649" s="2">
        <v>5.37935828447373E-4</v>
      </c>
      <c r="F24649" s="2">
        <v>3.9259468674918201E-4</v>
      </c>
    </row>
    <row r="24650" spans="1:6" x14ac:dyDescent="0.25">
      <c r="A24650" s="1" t="str">
        <f t="shared" si="898"/>
        <v>35620</v>
      </c>
      <c r="B24650" s="1" t="str">
        <f>"07717"</f>
        <v>07717</v>
      </c>
      <c r="C24650" s="2">
        <v>1.73900827598956E-4</v>
      </c>
      <c r="D24650" s="2">
        <v>1.3127097549195599E-4</v>
      </c>
      <c r="E24650" s="2">
        <v>1.2749777752161701E-4</v>
      </c>
      <c r="F24650" s="2">
        <v>1.6734952721073201E-4</v>
      </c>
    </row>
    <row r="24651" spans="1:6" x14ac:dyDescent="0.25">
      <c r="A24651" s="1" t="str">
        <f t="shared" ref="A24651:A24714" si="899">"35620"</f>
        <v>35620</v>
      </c>
      <c r="B24651" s="1" t="str">
        <f>"08559"</f>
        <v>08559</v>
      </c>
      <c r="C24651" s="2">
        <v>2.5826605868213402E-4</v>
      </c>
      <c r="D24651" s="2">
        <v>3.8390568304251399E-5</v>
      </c>
      <c r="E24651" s="2">
        <v>6.9861795902256306E-5</v>
      </c>
      <c r="F24651" s="2">
        <v>2.2760824657223401E-4</v>
      </c>
    </row>
    <row r="24652" spans="1:6" x14ac:dyDescent="0.25">
      <c r="A24652" s="1" t="str">
        <f t="shared" si="899"/>
        <v>35620</v>
      </c>
      <c r="B24652" s="1" t="str">
        <f>"08533"</f>
        <v>08533</v>
      </c>
      <c r="C24652" s="2">
        <v>3.1753610144609999E-4</v>
      </c>
      <c r="D24652" s="2">
        <v>1.34986191779464E-4</v>
      </c>
      <c r="E24652" s="2">
        <v>6.9861795902256306E-5</v>
      </c>
      <c r="F24652" s="2">
        <v>2.8647059632286401E-4</v>
      </c>
    </row>
    <row r="24653" spans="1:6" x14ac:dyDescent="0.25">
      <c r="A24653" s="1" t="str">
        <f t="shared" si="899"/>
        <v>35620</v>
      </c>
      <c r="B24653" s="1" t="str">
        <f>"10968"</f>
        <v>10968</v>
      </c>
      <c r="C24653" s="2">
        <v>1.61794606098231E-4</v>
      </c>
      <c r="D24653" s="2">
        <v>1.34986191779464E-4</v>
      </c>
      <c r="E24653" s="2">
        <v>1.8338721424342199E-4</v>
      </c>
      <c r="F24653" s="2">
        <v>1.6079733134433E-4</v>
      </c>
    </row>
    <row r="24654" spans="1:6" x14ac:dyDescent="0.25">
      <c r="A24654" s="1" t="str">
        <f t="shared" si="899"/>
        <v>35620</v>
      </c>
      <c r="B24654" s="1" t="str">
        <f>"11005"</f>
        <v>11005</v>
      </c>
      <c r="C24654" s="2">
        <v>2.48681966660727E-4</v>
      </c>
      <c r="D24654" s="2">
        <v>2.8483324870896201E-5</v>
      </c>
      <c r="E24654" s="2">
        <v>4.1917077541353803E-5</v>
      </c>
      <c r="F24654" s="2">
        <v>2.1686694187321399E-4</v>
      </c>
    </row>
    <row r="24655" spans="1:6" x14ac:dyDescent="0.25">
      <c r="A24655" s="1" t="str">
        <f t="shared" si="899"/>
        <v>35620</v>
      </c>
      <c r="B24655" s="1" t="str">
        <f>"11962"</f>
        <v>11962</v>
      </c>
      <c r="C24655" s="2">
        <v>2.3203591209723001E-5</v>
      </c>
      <c r="D24655" s="2">
        <v>1.2384054291694E-6</v>
      </c>
      <c r="E24655" s="2">
        <v>1.7465448975563999E-6</v>
      </c>
      <c r="F24655" s="2">
        <v>1.99788267401772E-5</v>
      </c>
    </row>
    <row r="24656" spans="1:6" x14ac:dyDescent="0.25">
      <c r="A24656" s="1" t="str">
        <f t="shared" si="899"/>
        <v>35620</v>
      </c>
      <c r="B24656" s="1" t="str">
        <f>"18325"</f>
        <v>18325</v>
      </c>
      <c r="C24656" s="2">
        <v>3.1400512017505499E-5</v>
      </c>
      <c r="D24656" s="2">
        <v>2.4768108583388E-6</v>
      </c>
      <c r="E24656" s="2">
        <v>0</v>
      </c>
      <c r="F24656" s="2">
        <v>2.6960674794540299E-5</v>
      </c>
    </row>
    <row r="24657" spans="1:6" x14ac:dyDescent="0.25">
      <c r="A24657" s="1" t="str">
        <f t="shared" si="899"/>
        <v>35620</v>
      </c>
      <c r="B24657" s="1" t="str">
        <f>"07091"</f>
        <v>07091</v>
      </c>
      <c r="C24657" s="2">
        <v>1.2913302934106701E-4</v>
      </c>
      <c r="D24657" s="2">
        <v>4.1734262963008799E-4</v>
      </c>
      <c r="E24657" s="2">
        <v>3.49308979511281E-6</v>
      </c>
      <c r="F24657" s="2">
        <v>1.4640398304764299E-4</v>
      </c>
    </row>
    <row r="24658" spans="1:6" x14ac:dyDescent="0.25">
      <c r="A24658" s="1" t="str">
        <f t="shared" si="899"/>
        <v>35620</v>
      </c>
      <c r="B24658" s="1" t="str">
        <f>"18426"</f>
        <v>18426</v>
      </c>
      <c r="C24658" s="2">
        <v>3.9395662466942702E-4</v>
      </c>
      <c r="D24658" s="2">
        <v>1.3127097549195599E-4</v>
      </c>
      <c r="E24658" s="2">
        <v>4.36636224389102E-5</v>
      </c>
      <c r="F24658" s="2">
        <v>3.49629467953102E-4</v>
      </c>
    </row>
    <row r="24659" spans="1:6" x14ac:dyDescent="0.25">
      <c r="A24659" s="1" t="str">
        <f t="shared" si="899"/>
        <v>35620</v>
      </c>
      <c r="B24659" s="1" t="str">
        <f>"18425"</f>
        <v>18425</v>
      </c>
      <c r="C24659" s="2">
        <v>8.1338675707996405E-5</v>
      </c>
      <c r="D24659" s="2">
        <v>4.3344190020929002E-5</v>
      </c>
      <c r="E24659" s="2">
        <v>1.04792693853384E-5</v>
      </c>
      <c r="F24659" s="2">
        <v>7.3685350235277503E-5</v>
      </c>
    </row>
    <row r="24660" spans="1:6" x14ac:dyDescent="0.25">
      <c r="A24660" s="1" t="str">
        <f t="shared" si="899"/>
        <v>35620</v>
      </c>
      <c r="B24660" s="1" t="str">
        <f>"10577"</f>
        <v>10577</v>
      </c>
      <c r="C24660" s="2">
        <v>1.6986542043204801E-4</v>
      </c>
      <c r="D24660" s="2">
        <v>6.3282517430556396E-4</v>
      </c>
      <c r="E24660" s="2">
        <v>8.5580699980263996E-5</v>
      </c>
      <c r="F24660" s="2">
        <v>2.0483668061031199E-4</v>
      </c>
    </row>
    <row r="24661" spans="1:6" x14ac:dyDescent="0.25">
      <c r="A24661" s="1" t="str">
        <f t="shared" si="899"/>
        <v>35620</v>
      </c>
      <c r="B24661" s="1" t="str">
        <f>"10970"</f>
        <v>10970</v>
      </c>
      <c r="C24661" s="2">
        <v>5.8967387226448197E-4</v>
      </c>
      <c r="D24661" s="2">
        <v>6.3406357973473302E-4</v>
      </c>
      <c r="E24661" s="2">
        <v>3.0913844686748402E-4</v>
      </c>
      <c r="F24661" s="2">
        <v>5.7627099710242497E-4</v>
      </c>
    </row>
    <row r="24662" spans="1:6" x14ac:dyDescent="0.25">
      <c r="A24662" s="1" t="str">
        <f t="shared" si="899"/>
        <v>35620</v>
      </c>
      <c r="B24662" s="1" t="str">
        <f>"10974"</f>
        <v>10974</v>
      </c>
      <c r="C24662" s="2">
        <v>1.4741846806612001E-4</v>
      </c>
      <c r="D24662" s="2">
        <v>1.10218083196076E-4</v>
      </c>
      <c r="E24662" s="2">
        <v>6.6368706107143498E-5</v>
      </c>
      <c r="F24662" s="2">
        <v>1.3920730889929901E-4</v>
      </c>
    </row>
    <row r="24663" spans="1:6" x14ac:dyDescent="0.25">
      <c r="A24663" s="1" t="str">
        <f t="shared" si="899"/>
        <v>35620</v>
      </c>
      <c r="B24663" s="1" t="str">
        <f>"11030"</f>
        <v>11030</v>
      </c>
      <c r="C24663" s="2">
        <v>8.7921433649015596E-4</v>
      </c>
      <c r="D24663" s="2">
        <v>1.22725978030687E-3</v>
      </c>
      <c r="E24663" s="2">
        <v>2.0958538770676901E-4</v>
      </c>
      <c r="F24663" s="2">
        <v>8.6821965882179003E-4</v>
      </c>
    </row>
    <row r="24664" spans="1:6" x14ac:dyDescent="0.25">
      <c r="A24664" s="1" t="str">
        <f t="shared" si="899"/>
        <v>35620</v>
      </c>
      <c r="B24664" s="1" t="str">
        <f>"11040"</f>
        <v>11040</v>
      </c>
      <c r="C24664" s="2">
        <v>1.8020615129725E-3</v>
      </c>
      <c r="D24664" s="2">
        <v>1.84274727860406E-3</v>
      </c>
      <c r="E24664" s="2">
        <v>3.0389881217481501E-4</v>
      </c>
      <c r="F24664" s="2">
        <v>1.71345292558767E-3</v>
      </c>
    </row>
    <row r="24665" spans="1:6" x14ac:dyDescent="0.25">
      <c r="A24665" s="1" t="str">
        <f t="shared" si="899"/>
        <v>35620</v>
      </c>
      <c r="B24665" s="1" t="str">
        <f>"07882"</f>
        <v>07882</v>
      </c>
      <c r="C24665" s="2">
        <v>1.8915971094882802E-5</v>
      </c>
      <c r="D24665" s="2">
        <v>1.2384054291694E-6</v>
      </c>
      <c r="E24665" s="2">
        <v>1.22258142828948E-5</v>
      </c>
      <c r="F24665" s="2">
        <v>1.6971261424451599E-5</v>
      </c>
    </row>
    <row r="24666" spans="1:6" x14ac:dyDescent="0.25">
      <c r="A24666" s="1" t="str">
        <f t="shared" si="899"/>
        <v>35620</v>
      </c>
      <c r="B24666" s="1" t="str">
        <f>"11243"</f>
        <v>11243</v>
      </c>
      <c r="C24666" s="2">
        <v>2.3077484735757101E-5</v>
      </c>
      <c r="D24666" s="2">
        <v>2.2291297725049201E-5</v>
      </c>
      <c r="E24666" s="2">
        <v>3.49308979511281E-6</v>
      </c>
      <c r="F24666" s="2">
        <v>2.18048485390107E-5</v>
      </c>
    </row>
    <row r="24667" spans="1:6" x14ac:dyDescent="0.25">
      <c r="A24667" s="1" t="str">
        <f t="shared" si="899"/>
        <v>35620</v>
      </c>
      <c r="B24667" s="1" t="str">
        <f>"07096"</f>
        <v>07096</v>
      </c>
      <c r="C24667" s="2">
        <v>3.05177666997443E-5</v>
      </c>
      <c r="D24667" s="2">
        <v>1.83284003517071E-4</v>
      </c>
      <c r="E24667" s="2">
        <v>3.49308979511281E-6</v>
      </c>
      <c r="F24667" s="2">
        <v>4.2105914420158501E-5</v>
      </c>
    </row>
    <row r="24668" spans="1:6" x14ac:dyDescent="0.25">
      <c r="A24668" s="1" t="str">
        <f t="shared" si="899"/>
        <v>35620</v>
      </c>
      <c r="B24668" s="1" t="str">
        <f>"10587"</f>
        <v>10587</v>
      </c>
      <c r="C24668" s="2">
        <v>7.0241305998998405E-5</v>
      </c>
      <c r="D24668" s="2">
        <v>1.6099270579202201E-5</v>
      </c>
      <c r="E24668" s="2">
        <v>3.49308979511281E-6</v>
      </c>
      <c r="F24668" s="2">
        <v>6.1440262878394598E-5</v>
      </c>
    </row>
    <row r="24669" spans="1:6" x14ac:dyDescent="0.25">
      <c r="A24669" s="1" t="str">
        <f t="shared" si="899"/>
        <v>35620</v>
      </c>
      <c r="B24669" s="1" t="str">
        <f>"11947"</f>
        <v>11947</v>
      </c>
      <c r="C24669" s="2">
        <v>3.7831942189765702E-6</v>
      </c>
      <c r="D24669" s="2">
        <v>0</v>
      </c>
      <c r="E24669" s="2">
        <v>1.7465448975563999E-6</v>
      </c>
      <c r="F24669" s="2">
        <v>3.3298044566962102E-6</v>
      </c>
    </row>
    <row r="24670" spans="1:6" x14ac:dyDescent="0.25">
      <c r="A24670" s="1" t="str">
        <f t="shared" si="899"/>
        <v>35620</v>
      </c>
      <c r="B24670" s="1" t="str">
        <f>"11371"</f>
        <v>11371</v>
      </c>
      <c r="C24670" s="2">
        <v>3.65708774501069E-6</v>
      </c>
      <c r="D24670" s="2">
        <v>1.67184732937869E-4</v>
      </c>
      <c r="E24670" s="2">
        <v>4.5410167336466597E-5</v>
      </c>
      <c r="F24670" s="2">
        <v>2.0408478928138001E-5</v>
      </c>
    </row>
    <row r="24671" spans="1:6" x14ac:dyDescent="0.25">
      <c r="A24671" s="1" t="str">
        <f t="shared" si="899"/>
        <v>35620</v>
      </c>
      <c r="B24671" s="1" t="str">
        <f>"07207"</f>
        <v>07207</v>
      </c>
      <c r="C24671" s="2">
        <v>3.6860922340228402E-4</v>
      </c>
      <c r="D24671" s="2">
        <v>4.0991219705507101E-4</v>
      </c>
      <c r="E24671" s="2">
        <v>3.49308979511281E-6</v>
      </c>
      <c r="F24671" s="2">
        <v>3.4973688100009201E-4</v>
      </c>
    </row>
    <row r="24672" spans="1:6" x14ac:dyDescent="0.25">
      <c r="A24672" s="1" t="str">
        <f t="shared" si="899"/>
        <v>35620</v>
      </c>
      <c r="B24672" s="1" t="str">
        <f>"07303"</f>
        <v>07303</v>
      </c>
      <c r="C24672" s="2">
        <v>1.6444284205151499E-4</v>
      </c>
      <c r="D24672" s="2">
        <v>3.5913757445912598E-4</v>
      </c>
      <c r="E24672" s="2">
        <v>3.49308979511281E-6</v>
      </c>
      <c r="F24672" s="2">
        <v>1.71431222996359E-4</v>
      </c>
    </row>
    <row r="24673" spans="1:6" x14ac:dyDescent="0.25">
      <c r="A24673" s="1" t="str">
        <f t="shared" si="899"/>
        <v>35620</v>
      </c>
      <c r="B24673" s="1" t="str">
        <f>"10101"</f>
        <v>10101</v>
      </c>
      <c r="C24673" s="2">
        <v>1.3417728829970201E-4</v>
      </c>
      <c r="D24673" s="2">
        <v>3.6285279074663401E-4</v>
      </c>
      <c r="E24673" s="2">
        <v>3.49308979511281E-6</v>
      </c>
      <c r="F24673" s="2">
        <v>1.4597433085968201E-4</v>
      </c>
    </row>
    <row r="24674" spans="1:6" x14ac:dyDescent="0.25">
      <c r="A24674" s="1" t="str">
        <f t="shared" si="899"/>
        <v>35620</v>
      </c>
      <c r="B24674" s="1" t="str">
        <f>"11430"</f>
        <v>11430</v>
      </c>
      <c r="C24674" s="2">
        <v>1.2749364517951E-4</v>
      </c>
      <c r="D24674" s="2">
        <v>7.6904977151419796E-4</v>
      </c>
      <c r="E24674" s="2">
        <v>1.5194940608740699E-4</v>
      </c>
      <c r="F24674" s="2">
        <v>1.84643027776154E-4</v>
      </c>
    </row>
    <row r="24675" spans="1:6" x14ac:dyDescent="0.25">
      <c r="A24675" s="1" t="str">
        <f t="shared" si="899"/>
        <v>35620</v>
      </c>
      <c r="B24675" s="1" t="str">
        <f>"07980"</f>
        <v>07980</v>
      </c>
      <c r="C24675" s="2">
        <v>1.1538742367878501E-4</v>
      </c>
      <c r="D24675" s="2">
        <v>1.9319124695042601E-4</v>
      </c>
      <c r="E24675" s="2">
        <v>3.5804170399906301E-4</v>
      </c>
      <c r="F24675" s="2">
        <v>1.3705904795949499E-4</v>
      </c>
    </row>
    <row r="24676" spans="1:6" x14ac:dyDescent="0.25">
      <c r="A24676" s="1" t="str">
        <f t="shared" si="899"/>
        <v>35620</v>
      </c>
      <c r="B24676" s="1" t="str">
        <f>"07976"</f>
        <v>07976</v>
      </c>
      <c r="C24676" s="2">
        <v>9.1553300099233098E-5</v>
      </c>
      <c r="D24676" s="2">
        <v>1.0526446147939901E-4</v>
      </c>
      <c r="E24676" s="2">
        <v>1.8688030403853499E-4</v>
      </c>
      <c r="F24676" s="2">
        <v>9.8605177137003994E-5</v>
      </c>
    </row>
    <row r="24677" spans="1:6" x14ac:dyDescent="0.25">
      <c r="A24677" s="1" t="str">
        <f t="shared" si="899"/>
        <v>35620</v>
      </c>
      <c r="B24677" s="1" t="str">
        <f>"07845"</f>
        <v>07845</v>
      </c>
      <c r="C24677" s="2">
        <v>0</v>
      </c>
      <c r="D24677" s="2">
        <v>0</v>
      </c>
      <c r="E24677" s="2">
        <v>1.7465448975563999E-6</v>
      </c>
      <c r="F24677" s="2">
        <v>1.074130469902E-7</v>
      </c>
    </row>
    <row r="24678" spans="1:6" x14ac:dyDescent="0.25">
      <c r="A24678" s="1" t="str">
        <f t="shared" si="899"/>
        <v>35620</v>
      </c>
      <c r="B24678" s="1" t="str">
        <f>"07799"</f>
        <v>07799</v>
      </c>
      <c r="C24678" s="2">
        <v>0</v>
      </c>
      <c r="D24678" s="2">
        <v>1.2384054291694E-6</v>
      </c>
      <c r="E24678" s="2">
        <v>0</v>
      </c>
      <c r="F24678" s="2">
        <v>1.074130469902E-7</v>
      </c>
    </row>
    <row r="24679" spans="1:6" x14ac:dyDescent="0.25">
      <c r="A24679" s="1" t="str">
        <f t="shared" si="899"/>
        <v>35620</v>
      </c>
      <c r="B24679" s="1" t="str">
        <f>"07890"</f>
        <v>07890</v>
      </c>
      <c r="C24679" s="2">
        <v>0</v>
      </c>
      <c r="D24679" s="2">
        <v>1.2384054291694E-6</v>
      </c>
      <c r="E24679" s="2">
        <v>0</v>
      </c>
      <c r="F24679" s="2">
        <v>1.074130469902E-7</v>
      </c>
    </row>
    <row r="24680" spans="1:6" x14ac:dyDescent="0.25">
      <c r="A24680" s="1" t="str">
        <f t="shared" si="899"/>
        <v>35620</v>
      </c>
      <c r="B24680" s="1" t="str">
        <f>"08899"</f>
        <v>08899</v>
      </c>
      <c r="C24680" s="2">
        <v>0</v>
      </c>
      <c r="D24680" s="2">
        <v>1.2384054291694E-6</v>
      </c>
      <c r="E24680" s="2">
        <v>0</v>
      </c>
      <c r="F24680" s="2">
        <v>1.074130469902E-7</v>
      </c>
    </row>
    <row r="24681" spans="1:6" x14ac:dyDescent="0.25">
      <c r="A24681" s="1" t="str">
        <f t="shared" si="899"/>
        <v>35620</v>
      </c>
      <c r="B24681" s="1" t="str">
        <f>"10285"</f>
        <v>10285</v>
      </c>
      <c r="C24681" s="2">
        <v>0</v>
      </c>
      <c r="D24681" s="2">
        <v>1.2384054291694E-6</v>
      </c>
      <c r="E24681" s="2">
        <v>0</v>
      </c>
      <c r="F24681" s="2">
        <v>1.074130469902E-7</v>
      </c>
    </row>
    <row r="24682" spans="1:6" x14ac:dyDescent="0.25">
      <c r="A24682" s="1" t="str">
        <f t="shared" si="899"/>
        <v>35620</v>
      </c>
      <c r="B24682" s="1" t="str">
        <f>"12564"</f>
        <v>12564</v>
      </c>
      <c r="C24682" s="2">
        <v>1.51327768759063E-6</v>
      </c>
      <c r="D24682" s="2">
        <v>0</v>
      </c>
      <c r="E24682" s="2">
        <v>0</v>
      </c>
      <c r="F24682" s="2">
        <v>1.2889565638823999E-6</v>
      </c>
    </row>
    <row r="24683" spans="1:6" x14ac:dyDescent="0.25">
      <c r="A24683" s="1" t="str">
        <f t="shared" si="899"/>
        <v>35620</v>
      </c>
      <c r="B24683" s="1" t="str">
        <f>"07875"</f>
        <v>07875</v>
      </c>
      <c r="C24683" s="2">
        <v>0</v>
      </c>
      <c r="D24683" s="2">
        <v>3.7152162875082002E-6</v>
      </c>
      <c r="E24683" s="2">
        <v>1.7465448975563999E-6</v>
      </c>
      <c r="F24683" s="2">
        <v>4.2965218796080099E-7</v>
      </c>
    </row>
    <row r="24684" spans="1:6" x14ac:dyDescent="0.25">
      <c r="A24684" s="1" t="str">
        <f t="shared" si="899"/>
        <v>35620</v>
      </c>
      <c r="B24684" s="1" t="str">
        <f>"07832"</f>
        <v>07832</v>
      </c>
      <c r="C24684" s="2">
        <v>2.0177035834541699E-6</v>
      </c>
      <c r="D24684" s="2">
        <v>2.4768108583388E-6</v>
      </c>
      <c r="E24684" s="2">
        <v>1.7465448975563999E-5</v>
      </c>
      <c r="F24684" s="2">
        <v>3.0075653157256098E-6</v>
      </c>
    </row>
    <row r="24685" spans="1:6" x14ac:dyDescent="0.25">
      <c r="A24685" s="1" t="str">
        <f t="shared" si="899"/>
        <v>35620</v>
      </c>
      <c r="B24685" s="1" t="str">
        <f>"07839"</f>
        <v>07839</v>
      </c>
      <c r="C24685" s="2">
        <v>0</v>
      </c>
      <c r="D24685" s="2">
        <v>0</v>
      </c>
      <c r="E24685" s="2">
        <v>1.7465448975563999E-6</v>
      </c>
      <c r="F24685" s="2">
        <v>1.074130469902E-7</v>
      </c>
    </row>
    <row r="24686" spans="1:6" x14ac:dyDescent="0.25">
      <c r="A24686" s="1" t="str">
        <f t="shared" si="899"/>
        <v>35620</v>
      </c>
      <c r="B24686" s="1" t="str">
        <f>"11218"</f>
        <v>11218</v>
      </c>
      <c r="C24686" s="2">
        <v>3.3116821128181301E-3</v>
      </c>
      <c r="D24686" s="2">
        <v>2.5659760492389898E-3</v>
      </c>
      <c r="E24686" s="2">
        <v>3.9349656541945799E-3</v>
      </c>
      <c r="F24686" s="2">
        <v>3.28533545524227E-3</v>
      </c>
    </row>
    <row r="24687" spans="1:6" x14ac:dyDescent="0.25">
      <c r="A24687" s="1" t="str">
        <f t="shared" si="899"/>
        <v>35620</v>
      </c>
      <c r="B24687" s="1" t="str">
        <f>"11379"</f>
        <v>11379</v>
      </c>
      <c r="C24687" s="2">
        <v>1.40886152714687E-3</v>
      </c>
      <c r="D24687" s="2">
        <v>8.3097004297266795E-4</v>
      </c>
      <c r="E24687" s="2">
        <v>1.05491311812407E-3</v>
      </c>
      <c r="F24687" s="2">
        <v>1.33697019588702E-3</v>
      </c>
    </row>
    <row r="24688" spans="1:6" x14ac:dyDescent="0.25">
      <c r="A24688" s="1" t="str">
        <f t="shared" si="899"/>
        <v>35620</v>
      </c>
      <c r="B24688" s="1" t="str">
        <f>"11361"</f>
        <v>11361</v>
      </c>
      <c r="C24688" s="2">
        <v>1.2316819312248001E-3</v>
      </c>
      <c r="D24688" s="2">
        <v>1.4402655141240099E-3</v>
      </c>
      <c r="E24688" s="2">
        <v>1.3623050200939899E-3</v>
      </c>
      <c r="F24688" s="2">
        <v>1.25780678025524E-3</v>
      </c>
    </row>
    <row r="24689" spans="1:6" x14ac:dyDescent="0.25">
      <c r="A24689" s="1" t="str">
        <f t="shared" si="899"/>
        <v>35620</v>
      </c>
      <c r="B24689" s="1" t="str">
        <f>"11367"</f>
        <v>11367</v>
      </c>
      <c r="C24689" s="2">
        <v>1.99853539941136E-3</v>
      </c>
      <c r="D24689" s="2">
        <v>7.6409614979752001E-4</v>
      </c>
      <c r="E24689" s="2">
        <v>1.9142132077218199E-3</v>
      </c>
      <c r="F24689" s="2">
        <v>1.8862805181949101E-3</v>
      </c>
    </row>
    <row r="24690" spans="1:6" x14ac:dyDescent="0.25">
      <c r="A24690" s="1" t="str">
        <f t="shared" si="899"/>
        <v>35620</v>
      </c>
      <c r="B24690" s="1" t="str">
        <f>"07028"</f>
        <v>07028</v>
      </c>
      <c r="C24690" s="2">
        <v>3.7050082051177198E-4</v>
      </c>
      <c r="D24690" s="2">
        <v>2.6501876184225102E-4</v>
      </c>
      <c r="E24690" s="2">
        <v>1.0304614895582799E-4</v>
      </c>
      <c r="F24690" s="2">
        <v>3.4490329388553302E-4</v>
      </c>
    </row>
    <row r="24691" spans="1:6" x14ac:dyDescent="0.25">
      <c r="A24691" s="1" t="str">
        <f t="shared" si="899"/>
        <v>35620</v>
      </c>
      <c r="B24691" s="1" t="str">
        <f>"07014"</f>
        <v>07014</v>
      </c>
      <c r="C24691" s="2">
        <v>2.5864437810403201E-4</v>
      </c>
      <c r="D24691" s="2">
        <v>3.5418395274244803E-4</v>
      </c>
      <c r="E24691" s="2">
        <v>2.1482502239943799E-4</v>
      </c>
      <c r="F24691" s="2">
        <v>2.6423609559589301E-4</v>
      </c>
    </row>
    <row r="24692" spans="1:6" x14ac:dyDescent="0.25">
      <c r="A24692" s="1" t="str">
        <f t="shared" si="899"/>
        <v>35620</v>
      </c>
      <c r="B24692" s="1" t="str">
        <f>"07090"</f>
        <v>07090</v>
      </c>
      <c r="C24692" s="2">
        <v>1.4169323414806899E-3</v>
      </c>
      <c r="D24692" s="2">
        <v>1.3139481603487301E-3</v>
      </c>
      <c r="E24692" s="2">
        <v>7.9991756308083503E-4</v>
      </c>
      <c r="F24692" s="2">
        <v>1.3700534143600001E-3</v>
      </c>
    </row>
    <row r="24693" spans="1:6" x14ac:dyDescent="0.25">
      <c r="A24693" s="1" t="str">
        <f t="shared" si="899"/>
        <v>35620</v>
      </c>
      <c r="B24693" s="1" t="str">
        <f>"07105"</f>
        <v>07105</v>
      </c>
      <c r="C24693" s="2">
        <v>1.8414067328498601E-3</v>
      </c>
      <c r="D24693" s="2">
        <v>3.30406568502396E-3</v>
      </c>
      <c r="E24693" s="2">
        <v>9.4540475304728394E-3</v>
      </c>
      <c r="F24693" s="2">
        <v>2.4364501448787099E-3</v>
      </c>
    </row>
    <row r="24694" spans="1:6" x14ac:dyDescent="0.25">
      <c r="A24694" s="1" t="str">
        <f t="shared" si="899"/>
        <v>35620</v>
      </c>
      <c r="B24694" s="1" t="str">
        <f>"07102"</f>
        <v>07102</v>
      </c>
      <c r="C24694" s="2">
        <v>8.4819214389454797E-4</v>
      </c>
      <c r="D24694" s="2">
        <v>3.3994229030699999E-3</v>
      </c>
      <c r="E24694" s="2">
        <v>2.8084441952707E-3</v>
      </c>
      <c r="F24694" s="2">
        <v>1.19002914760443E-3</v>
      </c>
    </row>
    <row r="24695" spans="1:6" x14ac:dyDescent="0.25">
      <c r="A24695" s="1" t="str">
        <f t="shared" si="899"/>
        <v>35620</v>
      </c>
      <c r="B24695" s="1" t="str">
        <f>"07104"</f>
        <v>07104</v>
      </c>
      <c r="C24695" s="2">
        <v>2.4136779117070501E-3</v>
      </c>
      <c r="D24695" s="2">
        <v>1.5405763538867299E-3</v>
      </c>
      <c r="E24695" s="2">
        <v>5.8247272333506201E-3</v>
      </c>
      <c r="F24695" s="2">
        <v>2.5477300615605598E-3</v>
      </c>
    </row>
    <row r="24696" spans="1:6" x14ac:dyDescent="0.25">
      <c r="A24696" s="1" t="str">
        <f t="shared" si="899"/>
        <v>35620</v>
      </c>
      <c r="B24696" s="1" t="str">
        <f>"07108"</f>
        <v>07108</v>
      </c>
      <c r="C24696" s="2">
        <v>1.2075955946973199E-3</v>
      </c>
      <c r="D24696" s="2">
        <v>6.6378531003479901E-4</v>
      </c>
      <c r="E24696" s="2">
        <v>3.9367121990921397E-3</v>
      </c>
      <c r="F24696" s="2">
        <v>1.32826973908081E-3</v>
      </c>
    </row>
    <row r="24697" spans="1:6" x14ac:dyDescent="0.25">
      <c r="A24697" s="1" t="str">
        <f t="shared" si="899"/>
        <v>35620</v>
      </c>
      <c r="B24697" s="1" t="str">
        <f>"07083"</f>
        <v>07083</v>
      </c>
      <c r="C24697" s="2">
        <v>2.52931754833377E-3</v>
      </c>
      <c r="D24697" s="2">
        <v>3.2074700615487401E-3</v>
      </c>
      <c r="E24697" s="2">
        <v>2.42245777291073E-3</v>
      </c>
      <c r="F24697" s="2">
        <v>2.5815651713624699E-3</v>
      </c>
    </row>
    <row r="24698" spans="1:6" x14ac:dyDescent="0.25">
      <c r="A24698" s="1" t="str">
        <f t="shared" si="899"/>
        <v>35620</v>
      </c>
      <c r="B24698" s="1" t="str">
        <f>"07080"</f>
        <v>07080</v>
      </c>
      <c r="C24698" s="2">
        <v>1.1248697477757E-3</v>
      </c>
      <c r="D24698" s="2">
        <v>2.2477058539424602E-3</v>
      </c>
      <c r="E24698" s="2">
        <v>6.0081144475940403E-4</v>
      </c>
      <c r="F24698" s="2">
        <v>1.19002914760443E-3</v>
      </c>
    </row>
    <row r="24699" spans="1:6" x14ac:dyDescent="0.25">
      <c r="A24699" s="1" t="str">
        <f t="shared" si="899"/>
        <v>35620</v>
      </c>
      <c r="B24699" s="1" t="str">
        <f>"07506"</f>
        <v>07506</v>
      </c>
      <c r="C24699" s="2">
        <v>9.60300799250221E-4</v>
      </c>
      <c r="D24699" s="2">
        <v>8.2849323211432898E-4</v>
      </c>
      <c r="E24699" s="2">
        <v>5.4317546314004304E-4</v>
      </c>
      <c r="F24699" s="2">
        <v>9.23215138880773E-4</v>
      </c>
    </row>
    <row r="24700" spans="1:6" x14ac:dyDescent="0.25">
      <c r="A24700" s="1" t="str">
        <f t="shared" si="899"/>
        <v>35620</v>
      </c>
      <c r="B24700" s="1" t="str">
        <f>"07514"</f>
        <v>07514</v>
      </c>
      <c r="C24700" s="2">
        <v>7.35452956169046E-4</v>
      </c>
      <c r="D24700" s="2">
        <v>7.0217587833905002E-4</v>
      </c>
      <c r="E24700" s="2">
        <v>2.0224989913703202E-3</v>
      </c>
      <c r="F24700" s="2">
        <v>8.11720396104945E-4</v>
      </c>
    </row>
    <row r="24701" spans="1:6" x14ac:dyDescent="0.25">
      <c r="A24701" s="1" t="str">
        <f t="shared" si="899"/>
        <v>35620</v>
      </c>
      <c r="B24701" s="1" t="str">
        <f>"07507"</f>
        <v>07507</v>
      </c>
      <c r="C24701" s="2">
        <v>4.9685950742558997E-5</v>
      </c>
      <c r="D24701" s="2">
        <v>2.6501876184225102E-4</v>
      </c>
      <c r="E24701" s="2">
        <v>3.49308979511281E-6</v>
      </c>
      <c r="F24701" s="2">
        <v>6.5521958664022296E-5</v>
      </c>
    </row>
    <row r="24702" spans="1:6" x14ac:dyDescent="0.25">
      <c r="A24702" s="1" t="str">
        <f t="shared" si="899"/>
        <v>35620</v>
      </c>
      <c r="B24702" s="1" t="str">
        <f>"07430"</f>
        <v>07430</v>
      </c>
      <c r="C24702" s="2">
        <v>1.3369808369863201E-3</v>
      </c>
      <c r="D24702" s="2">
        <v>1.07741272337737E-3</v>
      </c>
      <c r="E24702" s="2">
        <v>7.2306958758835299E-4</v>
      </c>
      <c r="F24702" s="2">
        <v>1.27671147652552E-3</v>
      </c>
    </row>
    <row r="24703" spans="1:6" x14ac:dyDescent="0.25">
      <c r="A24703" s="1" t="str">
        <f t="shared" si="899"/>
        <v>35620</v>
      </c>
      <c r="B24703" s="1" t="str">
        <f>"07417"</f>
        <v>07417</v>
      </c>
      <c r="C24703" s="2">
        <v>5.9963628370778704E-4</v>
      </c>
      <c r="D24703" s="2">
        <v>6.9598385119320301E-4</v>
      </c>
      <c r="E24703" s="2">
        <v>2.1307847750188101E-4</v>
      </c>
      <c r="F24703" s="2">
        <v>5.8421956257970003E-4</v>
      </c>
    </row>
    <row r="24704" spans="1:6" x14ac:dyDescent="0.25">
      <c r="A24704" s="1" t="str">
        <f t="shared" si="899"/>
        <v>35620</v>
      </c>
      <c r="B24704" s="1" t="str">
        <f>"07442"</f>
        <v>07442</v>
      </c>
      <c r="C24704" s="2">
        <v>5.4213173157934295E-4</v>
      </c>
      <c r="D24704" s="2">
        <v>4.8297811737606602E-4</v>
      </c>
      <c r="E24704" s="2">
        <v>3.0215226727725797E-4</v>
      </c>
      <c r="F24704" s="2">
        <v>5.2224223446635401E-4</v>
      </c>
    </row>
    <row r="24705" spans="1:6" x14ac:dyDescent="0.25">
      <c r="A24705" s="1" t="str">
        <f t="shared" si="899"/>
        <v>35620</v>
      </c>
      <c r="B24705" s="1" t="str">
        <f>"07470"</f>
        <v>07470</v>
      </c>
      <c r="C24705" s="2">
        <v>2.4576890711211501E-3</v>
      </c>
      <c r="D24705" s="2">
        <v>2.5325391026514198E-3</v>
      </c>
      <c r="E24705" s="2">
        <v>1.3640515649915501E-3</v>
      </c>
      <c r="F24705" s="2">
        <v>2.39692214358632E-3</v>
      </c>
    </row>
    <row r="24706" spans="1:6" x14ac:dyDescent="0.25">
      <c r="A24706" s="1" t="str">
        <f t="shared" si="899"/>
        <v>35620</v>
      </c>
      <c r="B24706" s="1" t="str">
        <f>"07451"</f>
        <v>07451</v>
      </c>
      <c r="C24706" s="2">
        <v>1.2913302934106701E-4</v>
      </c>
      <c r="D24706" s="2">
        <v>3.5418395274244803E-4</v>
      </c>
      <c r="E24706" s="2">
        <v>3.49308979511281E-6</v>
      </c>
      <c r="F24706" s="2">
        <v>1.40925917651143E-4</v>
      </c>
    </row>
    <row r="24707" spans="1:6" x14ac:dyDescent="0.25">
      <c r="A24707" s="1" t="str">
        <f t="shared" si="899"/>
        <v>35620</v>
      </c>
      <c r="B24707" s="1" t="str">
        <f>"07305"</f>
        <v>07305</v>
      </c>
      <c r="C24707" s="2">
        <v>2.8256677621535998E-3</v>
      </c>
      <c r="D24707" s="2">
        <v>1.51952346159085E-3</v>
      </c>
      <c r="E24707" s="2">
        <v>4.8257035519483496E-3</v>
      </c>
      <c r="F24707" s="2">
        <v>2.83538220140032E-3</v>
      </c>
    </row>
    <row r="24708" spans="1:6" x14ac:dyDescent="0.25">
      <c r="A24708" s="1" t="str">
        <f t="shared" si="899"/>
        <v>35620</v>
      </c>
      <c r="B24708" s="1" t="str">
        <f>"07901"</f>
        <v>07901</v>
      </c>
      <c r="C24708" s="2">
        <v>1.11326795217084E-3</v>
      </c>
      <c r="D24708" s="2">
        <v>1.2569815106069401E-3</v>
      </c>
      <c r="E24708" s="2">
        <v>2.3159185341597899E-3</v>
      </c>
      <c r="F24708" s="2">
        <v>1.1996963218335399E-3</v>
      </c>
    </row>
    <row r="24709" spans="1:6" x14ac:dyDescent="0.25">
      <c r="A24709" s="1" t="str">
        <f t="shared" si="899"/>
        <v>35620</v>
      </c>
      <c r="B24709" s="1" t="str">
        <f>"07930"</f>
        <v>07930</v>
      </c>
      <c r="C24709" s="2">
        <v>4.53731093329257E-4</v>
      </c>
      <c r="D24709" s="2">
        <v>9.4118812616874497E-4</v>
      </c>
      <c r="E24709" s="2">
        <v>3.7550715297462702E-4</v>
      </c>
      <c r="F24709" s="2">
        <v>4.91199863886186E-4</v>
      </c>
    </row>
    <row r="24710" spans="1:6" x14ac:dyDescent="0.25">
      <c r="A24710" s="1" t="str">
        <f t="shared" si="899"/>
        <v>35620</v>
      </c>
      <c r="B24710" s="1" t="str">
        <f>"07830"</f>
        <v>07830</v>
      </c>
      <c r="C24710" s="2">
        <v>3.0984360653418097E-4</v>
      </c>
      <c r="D24710" s="2">
        <v>1.5727748950451301E-4</v>
      </c>
      <c r="E24710" s="2">
        <v>1.1527196323872199E-4</v>
      </c>
      <c r="F24710" s="2">
        <v>2.8464457452403102E-4</v>
      </c>
    </row>
    <row r="24711" spans="1:6" x14ac:dyDescent="0.25">
      <c r="A24711" s="1" t="str">
        <f t="shared" si="899"/>
        <v>35620</v>
      </c>
      <c r="B24711" s="1" t="str">
        <f>"07626"</f>
        <v>07626</v>
      </c>
      <c r="C24711" s="2">
        <v>4.02279651951176E-4</v>
      </c>
      <c r="D24711" s="2">
        <v>2.73687599846437E-4</v>
      </c>
      <c r="E24711" s="2">
        <v>1.4321668159962501E-4</v>
      </c>
      <c r="F24711" s="2">
        <v>3.7519377313677E-4</v>
      </c>
    </row>
    <row r="24712" spans="1:6" x14ac:dyDescent="0.25">
      <c r="A24712" s="1" t="str">
        <f t="shared" si="899"/>
        <v>35620</v>
      </c>
      <c r="B24712" s="1" t="str">
        <f>"07642"</f>
        <v>07642</v>
      </c>
      <c r="C24712" s="2">
        <v>4.5410941275115499E-4</v>
      </c>
      <c r="D24712" s="2">
        <v>2.7987962699228401E-4</v>
      </c>
      <c r="E24712" s="2">
        <v>1.0129960405827099E-4</v>
      </c>
      <c r="F24712" s="2">
        <v>4.1729968755692799E-4</v>
      </c>
    </row>
    <row r="24713" spans="1:6" x14ac:dyDescent="0.25">
      <c r="A24713" s="1" t="str">
        <f t="shared" si="899"/>
        <v>35620</v>
      </c>
      <c r="B24713" s="1" t="str">
        <f>"07647"</f>
        <v>07647</v>
      </c>
      <c r="C24713" s="2">
        <v>2.2396509776341299E-4</v>
      </c>
      <c r="D24713" s="2">
        <v>5.21368685680318E-4</v>
      </c>
      <c r="E24713" s="2">
        <v>2.6896791422368601E-4</v>
      </c>
      <c r="F24713" s="2">
        <v>2.5252807347396098E-4</v>
      </c>
    </row>
    <row r="24714" spans="1:6" x14ac:dyDescent="0.25">
      <c r="A24714" s="1" t="str">
        <f t="shared" si="899"/>
        <v>35620</v>
      </c>
      <c r="B24714" s="1" t="str">
        <f>"07649"</f>
        <v>07649</v>
      </c>
      <c r="C24714" s="2">
        <v>3.5826849253708102E-4</v>
      </c>
      <c r="D24714" s="2">
        <v>4.0124335905088599E-4</v>
      </c>
      <c r="E24714" s="2">
        <v>2.35783561170115E-4</v>
      </c>
      <c r="F24714" s="2">
        <v>3.54463055067661E-4</v>
      </c>
    </row>
    <row r="24715" spans="1:6" x14ac:dyDescent="0.25">
      <c r="A24715" s="1" t="str">
        <f t="shared" ref="A24715:A24778" si="900">"35620"</f>
        <v>35620</v>
      </c>
      <c r="B24715" s="1" t="str">
        <f>"07628"</f>
        <v>07628</v>
      </c>
      <c r="C24715" s="2">
        <v>8.0884692401719197E-4</v>
      </c>
      <c r="D24715" s="2">
        <v>4.7802449565938801E-4</v>
      </c>
      <c r="E24715" s="2">
        <v>3.4406934481861199E-4</v>
      </c>
      <c r="F24715" s="2">
        <v>7.5156908979043203E-4</v>
      </c>
    </row>
    <row r="24716" spans="1:6" x14ac:dyDescent="0.25">
      <c r="A24716" s="1" t="str">
        <f t="shared" si="900"/>
        <v>35620</v>
      </c>
      <c r="B24716" s="1" t="str">
        <f>"07716"</f>
        <v>07716</v>
      </c>
      <c r="C24716" s="2">
        <v>5.4440164811072895E-4</v>
      </c>
      <c r="D24716" s="2">
        <v>5.5480563226789105E-4</v>
      </c>
      <c r="E24716" s="2">
        <v>2.04345753014099E-4</v>
      </c>
      <c r="F24716" s="2">
        <v>5.2439049540615795E-4</v>
      </c>
    </row>
    <row r="24717" spans="1:6" x14ac:dyDescent="0.25">
      <c r="A24717" s="1" t="str">
        <f t="shared" si="900"/>
        <v>35620</v>
      </c>
      <c r="B24717" s="1" t="str">
        <f>"07701"</f>
        <v>07701</v>
      </c>
      <c r="C24717" s="2">
        <v>1.4862909021619299E-3</v>
      </c>
      <c r="D24717" s="2">
        <v>2.88919986625221E-3</v>
      </c>
      <c r="E24717" s="2">
        <v>1.2924432241917399E-3</v>
      </c>
      <c r="F24717" s="2">
        <v>1.59605046522738E-3</v>
      </c>
    </row>
    <row r="24718" spans="1:6" x14ac:dyDescent="0.25">
      <c r="A24718" s="1" t="str">
        <f t="shared" si="900"/>
        <v>35620</v>
      </c>
      <c r="B24718" s="1" t="str">
        <f>"07704"</f>
        <v>07704</v>
      </c>
      <c r="C24718" s="2">
        <v>2.66841298911814E-4</v>
      </c>
      <c r="D24718" s="2">
        <v>2.37773842400525E-4</v>
      </c>
      <c r="E24718" s="2">
        <v>6.8115251004699902E-5</v>
      </c>
      <c r="F24718" s="2">
        <v>2.5209842128599998E-4</v>
      </c>
    </row>
    <row r="24719" spans="1:6" x14ac:dyDescent="0.25">
      <c r="A24719" s="1" t="str">
        <f t="shared" si="900"/>
        <v>35620</v>
      </c>
      <c r="B24719" s="1" t="str">
        <f>"08826"</f>
        <v>08826</v>
      </c>
      <c r="C24719" s="2">
        <v>2.7516432619356299E-4</v>
      </c>
      <c r="D24719" s="2">
        <v>1.17648515771093E-4</v>
      </c>
      <c r="E24719" s="2">
        <v>6.8115251004699902E-5</v>
      </c>
      <c r="F24719" s="2">
        <v>2.4876861682930401E-4</v>
      </c>
    </row>
    <row r="24720" spans="1:6" x14ac:dyDescent="0.25">
      <c r="A24720" s="1" t="str">
        <f t="shared" si="900"/>
        <v>35620</v>
      </c>
      <c r="B24720" s="1" t="str">
        <f>"08833"</f>
        <v>08833</v>
      </c>
      <c r="C24720" s="2">
        <v>4.5751428754823399E-4</v>
      </c>
      <c r="D24720" s="2">
        <v>4.5697160336350898E-4</v>
      </c>
      <c r="E24720" s="2">
        <v>2.04345753014099E-4</v>
      </c>
      <c r="F24720" s="2">
        <v>4.4189727531768398E-4</v>
      </c>
    </row>
    <row r="24721" spans="1:6" x14ac:dyDescent="0.25">
      <c r="A24721" s="1" t="str">
        <f t="shared" si="900"/>
        <v>35620</v>
      </c>
      <c r="B24721" s="1" t="str">
        <f>"08867"</f>
        <v>08867</v>
      </c>
      <c r="C24721" s="2">
        <v>3.0971750006021501E-4</v>
      </c>
      <c r="D24721" s="2">
        <v>2.37773842400525E-4</v>
      </c>
      <c r="E24721" s="2">
        <v>3.8598642235996601E-4</v>
      </c>
      <c r="F24721" s="2">
        <v>3.0816803181488498E-4</v>
      </c>
    </row>
    <row r="24722" spans="1:6" x14ac:dyDescent="0.25">
      <c r="A24722" s="1" t="str">
        <f t="shared" si="900"/>
        <v>35620</v>
      </c>
      <c r="B24722" s="1" t="str">
        <f>"08876"</f>
        <v>08876</v>
      </c>
      <c r="C24722" s="2">
        <v>1.28931258982721E-3</v>
      </c>
      <c r="D24722" s="2">
        <v>2.38888407286777E-3</v>
      </c>
      <c r="E24722" s="2">
        <v>1.1003232854605301E-3</v>
      </c>
      <c r="F24722" s="2">
        <v>1.37306097967573E-3</v>
      </c>
    </row>
    <row r="24723" spans="1:6" x14ac:dyDescent="0.25">
      <c r="A24723" s="1" t="str">
        <f t="shared" si="900"/>
        <v>35620</v>
      </c>
      <c r="B24723" s="1" t="str">
        <f>"08822"</f>
        <v>08822</v>
      </c>
      <c r="C24723" s="2">
        <v>1.67141520594385E-3</v>
      </c>
      <c r="D24723" s="2">
        <v>2.6514260238516799E-3</v>
      </c>
      <c r="E24723" s="2">
        <v>1.0793647466898601E-3</v>
      </c>
      <c r="F24723" s="2">
        <v>1.72000512145408E-3</v>
      </c>
    </row>
    <row r="24724" spans="1:6" x14ac:dyDescent="0.25">
      <c r="A24724" s="1" t="str">
        <f t="shared" si="900"/>
        <v>35620</v>
      </c>
      <c r="B24724" s="1" t="str">
        <f>"07962"</f>
        <v>07962</v>
      </c>
      <c r="C24724" s="2">
        <v>7.1754583686589002E-5</v>
      </c>
      <c r="D24724" s="2">
        <v>2.7987962699228401E-4</v>
      </c>
      <c r="E24724" s="2">
        <v>3.49308979511281E-6</v>
      </c>
      <c r="F24724" s="2">
        <v>8.5608198451189697E-5</v>
      </c>
    </row>
    <row r="24725" spans="1:6" x14ac:dyDescent="0.25">
      <c r="A24725" s="1" t="str">
        <f t="shared" si="900"/>
        <v>35620</v>
      </c>
      <c r="B24725" s="1" t="str">
        <f>"07981"</f>
        <v>07981</v>
      </c>
      <c r="C24725" s="2">
        <v>5.00390488696635E-4</v>
      </c>
      <c r="D24725" s="2">
        <v>7.4923528464748701E-4</v>
      </c>
      <c r="E24725" s="2">
        <v>3.7900024276974002E-4</v>
      </c>
      <c r="F24725" s="2">
        <v>5.1450849508306005E-4</v>
      </c>
    </row>
    <row r="24726" spans="1:6" x14ac:dyDescent="0.25">
      <c r="A24726" s="1" t="str">
        <f t="shared" si="900"/>
        <v>35620</v>
      </c>
      <c r="B24726" s="1" t="str">
        <f>"07734"</f>
        <v>07734</v>
      </c>
      <c r="C24726" s="2">
        <v>6.9207232912478099E-4</v>
      </c>
      <c r="D24726" s="2">
        <v>2.8607165413813102E-4</v>
      </c>
      <c r="E24726" s="2">
        <v>3.3533662033082999E-4</v>
      </c>
      <c r="F24726" s="2">
        <v>6.3491852075907502E-4</v>
      </c>
    </row>
    <row r="24727" spans="1:6" x14ac:dyDescent="0.25">
      <c r="A24727" s="1" t="str">
        <f t="shared" si="900"/>
        <v>35620</v>
      </c>
      <c r="B24727" s="1" t="str">
        <f>"07739"</f>
        <v>07739</v>
      </c>
      <c r="C24727" s="2">
        <v>2.9597189439793399E-4</v>
      </c>
      <c r="D24727" s="2">
        <v>3.5418395274244803E-4</v>
      </c>
      <c r="E24727" s="2">
        <v>8.7327244877820399E-5</v>
      </c>
      <c r="F24727" s="2">
        <v>2.88189205074707E-4</v>
      </c>
    </row>
    <row r="24728" spans="1:6" x14ac:dyDescent="0.25">
      <c r="A24728" s="1" t="str">
        <f t="shared" si="900"/>
        <v>35620</v>
      </c>
      <c r="B24728" s="1" t="str">
        <f>"07748"</f>
        <v>07748</v>
      </c>
      <c r="C24728" s="2">
        <v>1.35816672461259E-3</v>
      </c>
      <c r="D24728" s="2">
        <v>9.44903342456253E-4</v>
      </c>
      <c r="E24728" s="2">
        <v>1.25751232624061E-4</v>
      </c>
      <c r="F24728" s="2">
        <v>1.24652841032127E-3</v>
      </c>
    </row>
    <row r="24729" spans="1:6" x14ac:dyDescent="0.25">
      <c r="A24729" s="1" t="str">
        <f t="shared" si="900"/>
        <v>35620</v>
      </c>
      <c r="B24729" s="1" t="str">
        <f>"07757"</f>
        <v>07757</v>
      </c>
      <c r="C24729" s="2">
        <v>3.4149633149961899E-4</v>
      </c>
      <c r="D24729" s="2">
        <v>2.50157896692219E-4</v>
      </c>
      <c r="E24729" s="2">
        <v>7.33548856973691E-5</v>
      </c>
      <c r="F24729" s="2">
        <v>3.1708331471507102E-4</v>
      </c>
    </row>
    <row r="24730" spans="1:6" x14ac:dyDescent="0.25">
      <c r="A24730" s="1" t="str">
        <f t="shared" si="900"/>
        <v>35620</v>
      </c>
      <c r="B24730" s="1" t="str">
        <f>"07764"</f>
        <v>07764</v>
      </c>
      <c r="C24730" s="2">
        <v>4.2258279425968299E-4</v>
      </c>
      <c r="D24730" s="2">
        <v>6.8483820233067902E-4</v>
      </c>
      <c r="E24730" s="2">
        <v>2.11331932604325E-4</v>
      </c>
      <c r="F24730" s="2">
        <v>4.3233751413555599E-4</v>
      </c>
    </row>
    <row r="24731" spans="1:6" x14ac:dyDescent="0.25">
      <c r="A24731" s="1" t="str">
        <f t="shared" si="900"/>
        <v>35620</v>
      </c>
      <c r="B24731" s="1" t="str">
        <f>"07721"</f>
        <v>07721</v>
      </c>
      <c r="C24731" s="2">
        <v>2.4540319833761401E-4</v>
      </c>
      <c r="D24731" s="2">
        <v>1.3127097549195599E-4</v>
      </c>
      <c r="E24731" s="2">
        <v>1.1177887344361E-4</v>
      </c>
      <c r="F24731" s="2">
        <v>2.2728600743126401E-4</v>
      </c>
    </row>
    <row r="24732" spans="1:6" x14ac:dyDescent="0.25">
      <c r="A24732" s="1" t="str">
        <f t="shared" si="900"/>
        <v>35620</v>
      </c>
      <c r="B24732" s="1" t="str">
        <f>"07718"</f>
        <v>07718</v>
      </c>
      <c r="C24732" s="2">
        <v>2.9206259370499098E-4</v>
      </c>
      <c r="D24732" s="2">
        <v>1.86999219804579E-4</v>
      </c>
      <c r="E24732" s="2">
        <v>1.9211993873120399E-5</v>
      </c>
      <c r="F24732" s="2">
        <v>2.6616953044171602E-4</v>
      </c>
    </row>
    <row r="24733" spans="1:6" x14ac:dyDescent="0.25">
      <c r="A24733" s="1" t="str">
        <f t="shared" si="900"/>
        <v>35620</v>
      </c>
      <c r="B24733" s="1" t="str">
        <f>"06390"</f>
        <v>06390</v>
      </c>
      <c r="C24733" s="2">
        <v>0</v>
      </c>
      <c r="D24733" s="2">
        <v>1.2384054291694E-6</v>
      </c>
      <c r="E24733" s="2">
        <v>7.4577467125658595E-4</v>
      </c>
      <c r="F24733" s="2">
        <v>4.5972784111805799E-5</v>
      </c>
    </row>
    <row r="24734" spans="1:6" x14ac:dyDescent="0.25">
      <c r="A24734" s="1" t="str">
        <f t="shared" si="900"/>
        <v>35620</v>
      </c>
      <c r="B24734" s="1" t="str">
        <f>"11422"</f>
        <v>11422</v>
      </c>
      <c r="C24734" s="2">
        <v>1.0006548709192999E-3</v>
      </c>
      <c r="D24734" s="2">
        <v>6.8483820233067902E-4</v>
      </c>
      <c r="E24734" s="2">
        <v>9.6059969365602405E-5</v>
      </c>
      <c r="F24734" s="2">
        <v>9.17629660437282E-4</v>
      </c>
    </row>
    <row r="24735" spans="1:6" x14ac:dyDescent="0.25">
      <c r="A24735" s="1" t="str">
        <f t="shared" si="900"/>
        <v>35620</v>
      </c>
      <c r="B24735" s="1" t="str">
        <f>"11752"</f>
        <v>11752</v>
      </c>
      <c r="C24735" s="2">
        <v>4.6621563425187999E-4</v>
      </c>
      <c r="D24735" s="2">
        <v>4.07435386196733E-4</v>
      </c>
      <c r="E24735" s="2">
        <v>1.29244322419174E-4</v>
      </c>
      <c r="F24735" s="2">
        <v>4.4039349265982198E-4</v>
      </c>
    </row>
    <row r="24736" spans="1:6" x14ac:dyDescent="0.25">
      <c r="A24736" s="1" t="str">
        <f t="shared" si="900"/>
        <v>35620</v>
      </c>
      <c r="B24736" s="1" t="str">
        <f>"11753"</f>
        <v>11753</v>
      </c>
      <c r="C24736" s="2">
        <v>5.9913185781192396E-4</v>
      </c>
      <c r="D24736" s="2">
        <v>1.30404091691537E-3</v>
      </c>
      <c r="E24736" s="2">
        <v>5.1523074477914004E-4</v>
      </c>
      <c r="F24736" s="2">
        <v>6.5511217359323203E-4</v>
      </c>
    </row>
    <row r="24737" spans="1:6" x14ac:dyDescent="0.25">
      <c r="A24737" s="1" t="str">
        <f t="shared" si="900"/>
        <v>35620</v>
      </c>
      <c r="B24737" s="1" t="str">
        <f>"11754"</f>
        <v>11754</v>
      </c>
      <c r="C24737" s="2">
        <v>9.2146000526872798E-4</v>
      </c>
      <c r="D24737" s="2">
        <v>6.6007009374729E-4</v>
      </c>
      <c r="E24737" s="2">
        <v>2.6547482442857399E-4</v>
      </c>
      <c r="F24737" s="2">
        <v>8.5844507154568203E-4</v>
      </c>
    </row>
    <row r="24738" spans="1:6" x14ac:dyDescent="0.25">
      <c r="A24738" s="1" t="str">
        <f t="shared" si="900"/>
        <v>35620</v>
      </c>
      <c r="B24738" s="1" t="str">
        <f>"11751"</f>
        <v>11751</v>
      </c>
      <c r="C24738" s="2">
        <v>7.2927373894471803E-4</v>
      </c>
      <c r="D24738" s="2">
        <v>6.7369255346815405E-4</v>
      </c>
      <c r="E24738" s="2">
        <v>5.9382526516917901E-4</v>
      </c>
      <c r="F24738" s="2">
        <v>7.1612278428366603E-4</v>
      </c>
    </row>
    <row r="24739" spans="1:6" x14ac:dyDescent="0.25">
      <c r="A24739" s="1" t="str">
        <f t="shared" si="900"/>
        <v>35620</v>
      </c>
      <c r="B24739" s="1" t="str">
        <f>"11720"</f>
        <v>11720</v>
      </c>
      <c r="C24739" s="2">
        <v>1.20078584510316E-3</v>
      </c>
      <c r="D24739" s="2">
        <v>8.8422147642695196E-4</v>
      </c>
      <c r="E24739" s="2">
        <v>2.4451628565789698E-4</v>
      </c>
      <c r="F24739" s="2">
        <v>1.11451777557032E-3</v>
      </c>
    </row>
    <row r="24740" spans="1:6" x14ac:dyDescent="0.25">
      <c r="A24740" s="1" t="str">
        <f t="shared" si="900"/>
        <v>35620</v>
      </c>
      <c r="B24740" s="1" t="str">
        <f>"11716"</f>
        <v>11716</v>
      </c>
      <c r="C24740" s="2">
        <v>5.2699895470343695E-4</v>
      </c>
      <c r="D24740" s="2">
        <v>2.6935318084434401E-3</v>
      </c>
      <c r="E24740" s="2">
        <v>1.02172876507049E-3</v>
      </c>
      <c r="F24740" s="2">
        <v>7.4533913306500099E-4</v>
      </c>
    </row>
    <row r="24741" spans="1:6" x14ac:dyDescent="0.25">
      <c r="A24741" s="1" t="str">
        <f t="shared" si="900"/>
        <v>35620</v>
      </c>
      <c r="B24741" s="1" t="str">
        <f>"11719"</f>
        <v>11719</v>
      </c>
      <c r="C24741" s="2">
        <v>1.9849159002230401E-4</v>
      </c>
      <c r="D24741" s="2">
        <v>2.39012247829694E-4</v>
      </c>
      <c r="E24741" s="2">
        <v>5.2396346926692199E-5</v>
      </c>
      <c r="F24741" s="2">
        <v>1.9302124544139001E-4</v>
      </c>
    </row>
    <row r="24742" spans="1:6" x14ac:dyDescent="0.25">
      <c r="A24742" s="1" t="str">
        <f t="shared" si="900"/>
        <v>35620</v>
      </c>
      <c r="B24742" s="1" t="str">
        <f>"11742"</f>
        <v>11742</v>
      </c>
      <c r="C24742" s="2">
        <v>6.8299266299923797E-4</v>
      </c>
      <c r="D24742" s="2">
        <v>5.3003752368450301E-4</v>
      </c>
      <c r="E24742" s="2">
        <v>2.51502465248122E-4</v>
      </c>
      <c r="F24742" s="2">
        <v>6.4318932537731999E-4</v>
      </c>
    </row>
    <row r="24743" spans="1:6" x14ac:dyDescent="0.25">
      <c r="A24743" s="1" t="str">
        <f t="shared" si="900"/>
        <v>35620</v>
      </c>
      <c r="B24743" s="1" t="str">
        <f>"11749"</f>
        <v>11749</v>
      </c>
      <c r="C24743" s="2">
        <v>1.35060033617463E-4</v>
      </c>
      <c r="D24743" s="2">
        <v>7.57904122651673E-4</v>
      </c>
      <c r="E24743" s="2">
        <v>2.6896791422368601E-4</v>
      </c>
      <c r="F24743" s="2">
        <v>1.97317767320998E-4</v>
      </c>
    </row>
    <row r="24744" spans="1:6" x14ac:dyDescent="0.25">
      <c r="A24744" s="1" t="str">
        <f t="shared" si="900"/>
        <v>35620</v>
      </c>
      <c r="B24744" s="1" t="str">
        <f>"11598"</f>
        <v>11598</v>
      </c>
      <c r="C24744" s="2">
        <v>5.9774468659829904E-4</v>
      </c>
      <c r="D24744" s="2">
        <v>5.23845496538656E-4</v>
      </c>
      <c r="E24744" s="2">
        <v>3.1787117135526597E-4</v>
      </c>
      <c r="F24744" s="2">
        <v>5.7412273616262103E-4</v>
      </c>
    </row>
    <row r="24745" spans="1:6" x14ac:dyDescent="0.25">
      <c r="A24745" s="1" t="str">
        <f t="shared" si="900"/>
        <v>35620</v>
      </c>
      <c r="B24745" s="1" t="str">
        <f>"11596"</f>
        <v>11596</v>
      </c>
      <c r="C24745" s="2">
        <v>4.9635508152972695E-4</v>
      </c>
      <c r="D24745" s="2">
        <v>7.0465268919738899E-4</v>
      </c>
      <c r="E24745" s="2">
        <v>3.80746787667297E-4</v>
      </c>
      <c r="F24745" s="2">
        <v>5.0731182093471602E-4</v>
      </c>
    </row>
    <row r="24746" spans="1:6" x14ac:dyDescent="0.25">
      <c r="A24746" s="1" t="str">
        <f t="shared" si="900"/>
        <v>35620</v>
      </c>
      <c r="B24746" s="1" t="str">
        <f>"11977"</f>
        <v>11977</v>
      </c>
      <c r="C24746" s="2">
        <v>2.0214867776731501E-4</v>
      </c>
      <c r="D24746" s="2">
        <v>4.0867379162590201E-5</v>
      </c>
      <c r="E24746" s="2">
        <v>2.79447183609025E-5</v>
      </c>
      <c r="F24746" s="2">
        <v>1.77446353627811E-4</v>
      </c>
    </row>
    <row r="24747" spans="1:6" x14ac:dyDescent="0.25">
      <c r="A24747" s="1" t="str">
        <f t="shared" si="900"/>
        <v>35620</v>
      </c>
      <c r="B24747" s="1" t="str">
        <f>"11795"</f>
        <v>11795</v>
      </c>
      <c r="C24747" s="2">
        <v>1.0628253625844799E-3</v>
      </c>
      <c r="D24747" s="2">
        <v>7.5418890636416496E-4</v>
      </c>
      <c r="E24747" s="2">
        <v>1.95613028526317E-4</v>
      </c>
      <c r="F24747" s="2">
        <v>9.8272196691334408E-4</v>
      </c>
    </row>
    <row r="24748" spans="1:6" x14ac:dyDescent="0.25">
      <c r="A24748" s="1" t="str">
        <f t="shared" si="900"/>
        <v>35620</v>
      </c>
      <c r="B24748" s="1" t="str">
        <f>"11939"</f>
        <v>11939</v>
      </c>
      <c r="C24748" s="2">
        <v>1.1538742367878501E-4</v>
      </c>
      <c r="D24748" s="2">
        <v>1.6099270579202201E-5</v>
      </c>
      <c r="E24748" s="2">
        <v>2.0958538770676901E-5</v>
      </c>
      <c r="F24748" s="2">
        <v>1.00968264170788E-4</v>
      </c>
    </row>
    <row r="24749" spans="1:6" x14ac:dyDescent="0.25">
      <c r="A24749" s="1" t="str">
        <f t="shared" si="900"/>
        <v>35620</v>
      </c>
      <c r="B24749" s="1" t="str">
        <f>"11961"</f>
        <v>11961</v>
      </c>
      <c r="C24749" s="2">
        <v>7.8854378170868395E-4</v>
      </c>
      <c r="D24749" s="2">
        <v>1.1517170491275399E-4</v>
      </c>
      <c r="E24749" s="2">
        <v>2.20413966071618E-3</v>
      </c>
      <c r="F24749" s="2">
        <v>8.1719846150144501E-4</v>
      </c>
    </row>
    <row r="24750" spans="1:6" x14ac:dyDescent="0.25">
      <c r="A24750" s="1" t="str">
        <f t="shared" si="900"/>
        <v>35620</v>
      </c>
      <c r="B24750" s="1" t="str">
        <f>"11956"</f>
        <v>11956</v>
      </c>
      <c r="C24750" s="2">
        <v>1.6393841615565098E-5</v>
      </c>
      <c r="D24750" s="2">
        <v>0</v>
      </c>
      <c r="E24750" s="2">
        <v>1.7465448975563999E-6</v>
      </c>
      <c r="F24750" s="2">
        <v>1.40711091557162E-5</v>
      </c>
    </row>
    <row r="24751" spans="1:6" x14ac:dyDescent="0.25">
      <c r="A24751" s="1" t="str">
        <f t="shared" si="900"/>
        <v>35620</v>
      </c>
      <c r="B24751" s="1" t="str">
        <f>"11944"</f>
        <v>11944</v>
      </c>
      <c r="C24751" s="2">
        <v>3.3733481785874401E-4</v>
      </c>
      <c r="D24751" s="2">
        <v>3.72760034179989E-4</v>
      </c>
      <c r="E24751" s="2">
        <v>8.1039683246617305E-4</v>
      </c>
      <c r="F24751" s="2">
        <v>3.69500881646289E-4</v>
      </c>
    </row>
    <row r="24752" spans="1:6" x14ac:dyDescent="0.25">
      <c r="A24752" s="1" t="str">
        <f t="shared" si="900"/>
        <v>35620</v>
      </c>
      <c r="B24752" s="1" t="str">
        <f>"11957"</f>
        <v>11957</v>
      </c>
      <c r="C24752" s="2">
        <v>6.3305449930874694E-5</v>
      </c>
      <c r="D24752" s="2">
        <v>9.9072434333552101E-6</v>
      </c>
      <c r="E24752" s="2">
        <v>1.7465448975563999E-5</v>
      </c>
      <c r="F24752" s="2">
        <v>5.5854784434904197E-5</v>
      </c>
    </row>
    <row r="24753" spans="1:6" x14ac:dyDescent="0.25">
      <c r="A24753" s="1" t="str">
        <f t="shared" si="900"/>
        <v>35620</v>
      </c>
      <c r="B24753" s="1" t="str">
        <f>"11954"</f>
        <v>11954</v>
      </c>
      <c r="C24753" s="2">
        <v>3.9105617576821197E-4</v>
      </c>
      <c r="D24753" s="2">
        <v>3.5294554731327902E-4</v>
      </c>
      <c r="E24753" s="2">
        <v>2.04345753014099E-4</v>
      </c>
      <c r="F24753" s="2">
        <v>3.7626790360667203E-4</v>
      </c>
    </row>
    <row r="24754" spans="1:6" x14ac:dyDescent="0.25">
      <c r="A24754" s="1" t="str">
        <f t="shared" si="900"/>
        <v>35620</v>
      </c>
      <c r="B24754" s="1" t="str">
        <f>"11780"</f>
        <v>11780</v>
      </c>
      <c r="C24754" s="2">
        <v>8.5777623591595602E-4</v>
      </c>
      <c r="D24754" s="2">
        <v>1.0229228844939201E-3</v>
      </c>
      <c r="E24754" s="2">
        <v>3.2311080604793498E-4</v>
      </c>
      <c r="F24754" s="2">
        <v>8.3921813613443595E-4</v>
      </c>
    </row>
    <row r="24755" spans="1:6" x14ac:dyDescent="0.25">
      <c r="A24755" s="1" t="str">
        <f t="shared" si="900"/>
        <v>35620</v>
      </c>
      <c r="B24755" s="1" t="str">
        <f>"08701"</f>
        <v>08701</v>
      </c>
      <c r="C24755" s="2">
        <v>3.9314954323604497E-3</v>
      </c>
      <c r="D24755" s="2">
        <v>3.9406060756170301E-3</v>
      </c>
      <c r="E24755" s="2">
        <v>2.3351305280329099E-3</v>
      </c>
      <c r="F24755" s="2">
        <v>3.8341087123152E-3</v>
      </c>
    </row>
    <row r="24756" spans="1:6" x14ac:dyDescent="0.25">
      <c r="A24756" s="1" t="str">
        <f t="shared" si="900"/>
        <v>35620</v>
      </c>
      <c r="B24756" s="1" t="str">
        <f>"08512"</f>
        <v>08512</v>
      </c>
      <c r="C24756" s="2">
        <v>3.2636355462371201E-4</v>
      </c>
      <c r="D24756" s="2">
        <v>7.6904977151419796E-4</v>
      </c>
      <c r="E24756" s="2">
        <v>2.58488644838348E-4</v>
      </c>
      <c r="F24756" s="2">
        <v>3.6058559874610301E-4</v>
      </c>
    </row>
    <row r="24757" spans="1:6" x14ac:dyDescent="0.25">
      <c r="A24757" s="1" t="str">
        <f t="shared" si="900"/>
        <v>35620</v>
      </c>
      <c r="B24757" s="1" t="str">
        <f>"08527"</f>
        <v>08527</v>
      </c>
      <c r="C24757" s="2">
        <v>2.82150624851273E-3</v>
      </c>
      <c r="D24757" s="2">
        <v>1.4798944878574301E-3</v>
      </c>
      <c r="E24757" s="2">
        <v>4.4187585908177099E-4</v>
      </c>
      <c r="F24757" s="2">
        <v>2.5587936054005502E-3</v>
      </c>
    </row>
    <row r="24758" spans="1:6" x14ac:dyDescent="0.25">
      <c r="A24758" s="1" t="str">
        <f t="shared" si="900"/>
        <v>35620</v>
      </c>
      <c r="B24758" s="1" t="str">
        <f>"08514"</f>
        <v>08514</v>
      </c>
      <c r="C24758" s="2">
        <v>2.3241423151912699E-4</v>
      </c>
      <c r="D24758" s="2">
        <v>1.34986191779464E-4</v>
      </c>
      <c r="E24758" s="2">
        <v>2.4451628565789699E-5</v>
      </c>
      <c r="F24758" s="2">
        <v>2.1117405038273399E-4</v>
      </c>
    </row>
    <row r="24759" spans="1:6" x14ac:dyDescent="0.25">
      <c r="A24759" s="1" t="str">
        <f t="shared" si="900"/>
        <v>35620</v>
      </c>
      <c r="B24759" s="1" t="str">
        <f>"08741"</f>
        <v>08741</v>
      </c>
      <c r="C24759" s="2">
        <v>1.4678793569629099E-4</v>
      </c>
      <c r="D24759" s="2">
        <v>2.9721730300065602E-5</v>
      </c>
      <c r="E24759" s="2">
        <v>1.3972359180451199E-5</v>
      </c>
      <c r="F24759" s="2">
        <v>1.28466004200279E-4</v>
      </c>
    </row>
    <row r="24760" spans="1:6" x14ac:dyDescent="0.25">
      <c r="A24760" s="1" t="str">
        <f t="shared" si="900"/>
        <v>35620</v>
      </c>
      <c r="B24760" s="1" t="str">
        <f>"08721"</f>
        <v>08721</v>
      </c>
      <c r="C24760" s="2">
        <v>1.19838982209781E-3</v>
      </c>
      <c r="D24760" s="2">
        <v>6.6873893175147599E-4</v>
      </c>
      <c r="E24760" s="2">
        <v>1.7989412444831E-4</v>
      </c>
      <c r="F24760" s="2">
        <v>1.08981277476257E-3</v>
      </c>
    </row>
    <row r="24761" spans="1:6" x14ac:dyDescent="0.25">
      <c r="A24761" s="1" t="str">
        <f t="shared" si="900"/>
        <v>35620</v>
      </c>
      <c r="B24761" s="1" t="str">
        <f>"10020"</f>
        <v>10020</v>
      </c>
      <c r="C24761" s="2">
        <v>0</v>
      </c>
      <c r="D24761" s="2">
        <v>8.9536712528947703E-4</v>
      </c>
      <c r="E24761" s="2">
        <v>1.2749777752161701E-4</v>
      </c>
      <c r="F24761" s="2">
        <v>8.55007854041995E-5</v>
      </c>
    </row>
    <row r="24762" spans="1:6" x14ac:dyDescent="0.25">
      <c r="A24762" s="1" t="str">
        <f t="shared" si="900"/>
        <v>35620</v>
      </c>
      <c r="B24762" s="1" t="str">
        <f>"10023"</f>
        <v>10023</v>
      </c>
      <c r="C24762" s="2">
        <v>6.0316726497883196E-3</v>
      </c>
      <c r="D24762" s="2">
        <v>2.7579288907602501E-3</v>
      </c>
      <c r="E24762" s="2">
        <v>4.2213990173938397E-3</v>
      </c>
      <c r="F24762" s="2">
        <v>5.6363922277637797E-3</v>
      </c>
    </row>
    <row r="24763" spans="1:6" x14ac:dyDescent="0.25">
      <c r="A24763" s="1" t="str">
        <f t="shared" si="900"/>
        <v>35620</v>
      </c>
      <c r="B24763" s="1" t="str">
        <f>"10017"</f>
        <v>10017</v>
      </c>
      <c r="C24763" s="2">
        <v>1.7639773578348101E-3</v>
      </c>
      <c r="D24763" s="2">
        <v>7.7685172571796499E-3</v>
      </c>
      <c r="E24763" s="2">
        <v>2.09061424237502E-3</v>
      </c>
      <c r="F24763" s="2">
        <v>2.3048691623157201E-3</v>
      </c>
    </row>
    <row r="24764" spans="1:6" x14ac:dyDescent="0.25">
      <c r="A24764" s="1" t="str">
        <f t="shared" si="900"/>
        <v>35620</v>
      </c>
      <c r="B24764" s="1" t="str">
        <f>"10039"</f>
        <v>10039</v>
      </c>
      <c r="C24764" s="2">
        <v>1.9149268071719701E-3</v>
      </c>
      <c r="D24764" s="2">
        <v>5.3251433454284199E-4</v>
      </c>
      <c r="E24764" s="2">
        <v>1.18765053033835E-3</v>
      </c>
      <c r="F24764" s="2">
        <v>1.7502956007053099E-3</v>
      </c>
    </row>
    <row r="24765" spans="1:6" x14ac:dyDescent="0.25">
      <c r="A24765" s="1" t="str">
        <f t="shared" si="900"/>
        <v>35620</v>
      </c>
      <c r="B24765" s="1" t="str">
        <f>"10118"</f>
        <v>10118</v>
      </c>
      <c r="C24765" s="2">
        <v>0</v>
      </c>
      <c r="D24765" s="2">
        <v>4.1981944048842702E-4</v>
      </c>
      <c r="E24765" s="2">
        <v>2.6198173463346099E-5</v>
      </c>
      <c r="F24765" s="2">
        <v>3.8024218634530897E-5</v>
      </c>
    </row>
    <row r="24766" spans="1:6" x14ac:dyDescent="0.25">
      <c r="A24766" s="1" t="str">
        <f t="shared" si="900"/>
        <v>35620</v>
      </c>
      <c r="B24766" s="1" t="str">
        <f>"10562"</f>
        <v>10562</v>
      </c>
      <c r="C24766" s="2">
        <v>1.69991526906014E-3</v>
      </c>
      <c r="D24766" s="2">
        <v>1.21859094230269E-3</v>
      </c>
      <c r="E24766" s="2">
        <v>1.5928489465714399E-3</v>
      </c>
      <c r="F24766" s="2">
        <v>1.65158301052132E-3</v>
      </c>
    </row>
    <row r="24767" spans="1:6" x14ac:dyDescent="0.25">
      <c r="A24767" s="1" t="str">
        <f t="shared" si="900"/>
        <v>35620</v>
      </c>
      <c r="B24767" s="1" t="str">
        <f>"10538"</f>
        <v>10538</v>
      </c>
      <c r="C24767" s="2">
        <v>9.5298662376019905E-4</v>
      </c>
      <c r="D24767" s="2">
        <v>1.1319025622608301E-3</v>
      </c>
      <c r="E24767" s="2">
        <v>8.9423098754888098E-4</v>
      </c>
      <c r="F24767" s="2">
        <v>9.6489140111297102E-4</v>
      </c>
    </row>
    <row r="24768" spans="1:6" x14ac:dyDescent="0.25">
      <c r="A24768" s="1" t="str">
        <f t="shared" si="900"/>
        <v>35620</v>
      </c>
      <c r="B24768" s="1" t="str">
        <f>"10552"</f>
        <v>10552</v>
      </c>
      <c r="C24768" s="2">
        <v>1.23975274555862E-3</v>
      </c>
      <c r="D24768" s="2">
        <v>4.38395521925968E-4</v>
      </c>
      <c r="E24768" s="2">
        <v>8.4532773041730096E-4</v>
      </c>
      <c r="F24768" s="2">
        <v>1.1459897983384401E-3</v>
      </c>
    </row>
    <row r="24769" spans="1:6" x14ac:dyDescent="0.25">
      <c r="A24769" s="1" t="str">
        <f t="shared" si="900"/>
        <v>35620</v>
      </c>
      <c r="B24769" s="1" t="str">
        <f>"10533"</f>
        <v>10533</v>
      </c>
      <c r="C24769" s="2">
        <v>3.8651634270543998E-4</v>
      </c>
      <c r="D24769" s="2">
        <v>3.19508600725705E-4</v>
      </c>
      <c r="E24769" s="2">
        <v>3.1437808156015298E-4</v>
      </c>
      <c r="F24769" s="2">
        <v>3.7626790360667203E-4</v>
      </c>
    </row>
    <row r="24770" spans="1:6" x14ac:dyDescent="0.25">
      <c r="A24770" s="1" t="str">
        <f t="shared" si="900"/>
        <v>35620</v>
      </c>
      <c r="B24770" s="1" t="str">
        <f>"10470"</f>
        <v>10470</v>
      </c>
      <c r="C24770" s="2">
        <v>8.1527835418945197E-4</v>
      </c>
      <c r="D24770" s="2">
        <v>6.4149401230974897E-4</v>
      </c>
      <c r="E24770" s="2">
        <v>8.3484846103196305E-4</v>
      </c>
      <c r="F24770" s="2">
        <v>8.0140874359388502E-4</v>
      </c>
    </row>
    <row r="24771" spans="1:6" x14ac:dyDescent="0.25">
      <c r="A24771" s="1" t="str">
        <f t="shared" si="900"/>
        <v>35620</v>
      </c>
      <c r="B24771" s="1" t="str">
        <f>"10520"</f>
        <v>10520</v>
      </c>
      <c r="C24771" s="2">
        <v>7.4364987697682903E-4</v>
      </c>
      <c r="D24771" s="2">
        <v>6.21679525443039E-4</v>
      </c>
      <c r="E24771" s="2">
        <v>5.48415097832712E-4</v>
      </c>
      <c r="F24771" s="2">
        <v>7.2106378444521503E-4</v>
      </c>
    </row>
    <row r="24772" spans="1:6" x14ac:dyDescent="0.25">
      <c r="A24772" s="1" t="str">
        <f t="shared" si="900"/>
        <v>35620</v>
      </c>
      <c r="B24772" s="1" t="str">
        <f>"10464"</f>
        <v>10464</v>
      </c>
      <c r="C24772" s="2">
        <v>3.0114225983053497E-4</v>
      </c>
      <c r="D24772" s="2">
        <v>2.4768108583388002E-4</v>
      </c>
      <c r="E24772" s="2">
        <v>2.3403701627255799E-4</v>
      </c>
      <c r="F24772" s="2">
        <v>2.9237831390732498E-4</v>
      </c>
    </row>
    <row r="24773" spans="1:6" x14ac:dyDescent="0.25">
      <c r="A24773" s="1" t="str">
        <f t="shared" si="900"/>
        <v>35620</v>
      </c>
      <c r="B24773" s="1" t="str">
        <f>"10927"</f>
        <v>10927</v>
      </c>
      <c r="C24773" s="2">
        <v>5.2573788996377799E-4</v>
      </c>
      <c r="D24773" s="2">
        <v>5.4118317254702797E-4</v>
      </c>
      <c r="E24773" s="2">
        <v>5.9207872027162197E-4</v>
      </c>
      <c r="F24773" s="2">
        <v>5.3115751736654098E-4</v>
      </c>
    </row>
    <row r="24774" spans="1:6" x14ac:dyDescent="0.25">
      <c r="A24774" s="1" t="str">
        <f t="shared" si="900"/>
        <v>35620</v>
      </c>
      <c r="B24774" s="1" t="str">
        <f>"10920"</f>
        <v>10920</v>
      </c>
      <c r="C24774" s="2">
        <v>4.0644116559205001E-4</v>
      </c>
      <c r="D24774" s="2">
        <v>6.3034836344722498E-4</v>
      </c>
      <c r="E24774" s="2">
        <v>2.4626283055545299E-4</v>
      </c>
      <c r="F24774" s="2">
        <v>4.1601073099304601E-4</v>
      </c>
    </row>
    <row r="24775" spans="1:6" x14ac:dyDescent="0.25">
      <c r="A24775" s="1" t="str">
        <f t="shared" si="900"/>
        <v>35620</v>
      </c>
      <c r="B24775" s="1" t="str">
        <f>"10705"</f>
        <v>10705</v>
      </c>
      <c r="C24775" s="2">
        <v>1.91757504312526E-3</v>
      </c>
      <c r="D24775" s="2">
        <v>1.1232337242566401E-3</v>
      </c>
      <c r="E24775" s="2">
        <v>3.2433338747622502E-3</v>
      </c>
      <c r="F24775" s="2">
        <v>1.9302124544138999E-3</v>
      </c>
    </row>
    <row r="24776" spans="1:6" x14ac:dyDescent="0.25">
      <c r="A24776" s="1" t="str">
        <f t="shared" si="900"/>
        <v>35620</v>
      </c>
      <c r="B24776" s="1" t="str">
        <f>"10709"</f>
        <v>10709</v>
      </c>
      <c r="C24776" s="2">
        <v>5.0316483112388397E-4</v>
      </c>
      <c r="D24776" s="2">
        <v>4.1734262963008799E-4</v>
      </c>
      <c r="E24776" s="2">
        <v>8.2960882633929399E-4</v>
      </c>
      <c r="F24776" s="2">
        <v>5.1579745164694198E-4</v>
      </c>
    </row>
    <row r="24777" spans="1:6" x14ac:dyDescent="0.25">
      <c r="A24777" s="1" t="str">
        <f t="shared" si="900"/>
        <v>35620</v>
      </c>
      <c r="B24777" s="1" t="str">
        <f>"10579"</f>
        <v>10579</v>
      </c>
      <c r="C24777" s="2">
        <v>5.0493032175940699E-4</v>
      </c>
      <c r="D24777" s="2">
        <v>2.5634992383806601E-4</v>
      </c>
      <c r="E24777" s="2">
        <v>7.1608340799812696E-5</v>
      </c>
      <c r="F24777" s="2">
        <v>4.5672027580233201E-4</v>
      </c>
    </row>
    <row r="24778" spans="1:6" x14ac:dyDescent="0.25">
      <c r="A24778" s="1" t="str">
        <f t="shared" si="900"/>
        <v>35620</v>
      </c>
      <c r="B24778" s="1" t="str">
        <f>"10578"</f>
        <v>10578</v>
      </c>
      <c r="C24778" s="2">
        <v>3.1274405543539701E-5</v>
      </c>
      <c r="D24778" s="2">
        <v>8.6688380041858095E-6</v>
      </c>
      <c r="E24778" s="2">
        <v>5.2396346926692202E-6</v>
      </c>
      <c r="F24778" s="2">
        <v>2.7712566123471701E-5</v>
      </c>
    </row>
    <row r="24779" spans="1:6" x14ac:dyDescent="0.25">
      <c r="A24779" s="1" t="str">
        <f t="shared" ref="A24779:A24842" si="901">"35620"</f>
        <v>35620</v>
      </c>
      <c r="B24779" s="1" t="str">
        <f>"11050"</f>
        <v>11050</v>
      </c>
      <c r="C24779" s="2">
        <v>1.6826386821268101E-3</v>
      </c>
      <c r="D24779" s="2">
        <v>1.90962117177921E-3</v>
      </c>
      <c r="E24779" s="2">
        <v>9.4138769978290395E-4</v>
      </c>
      <c r="F24779" s="2">
        <v>1.6567388367768499E-3</v>
      </c>
    </row>
    <row r="24780" spans="1:6" x14ac:dyDescent="0.25">
      <c r="A24780" s="1" t="str">
        <f t="shared" si="901"/>
        <v>35620</v>
      </c>
      <c r="B24780" s="1" t="str">
        <f>"10306"</f>
        <v>10306</v>
      </c>
      <c r="C24780" s="2">
        <v>2.5830389062432399E-3</v>
      </c>
      <c r="D24780" s="2">
        <v>1.6322183556452699E-3</v>
      </c>
      <c r="E24780" s="2">
        <v>9.1868261611467098E-4</v>
      </c>
      <c r="F24780" s="2">
        <v>2.3982111001502001E-3</v>
      </c>
    </row>
    <row r="24781" spans="1:6" x14ac:dyDescent="0.25">
      <c r="A24781" s="1" t="str">
        <f t="shared" si="901"/>
        <v>35620</v>
      </c>
      <c r="B24781" s="1" t="str">
        <f>"10303"</f>
        <v>10303</v>
      </c>
      <c r="C24781" s="2">
        <v>1.0691306862827799E-3</v>
      </c>
      <c r="D24781" s="2">
        <v>8.6936061127691896E-4</v>
      </c>
      <c r="E24781" s="2">
        <v>4.5759476315977899E-4</v>
      </c>
      <c r="F24781" s="2">
        <v>1.0141939896814701E-3</v>
      </c>
    </row>
    <row r="24782" spans="1:6" x14ac:dyDescent="0.25">
      <c r="A24782" s="1" t="str">
        <f t="shared" si="901"/>
        <v>35620</v>
      </c>
      <c r="B24782" s="1" t="str">
        <f>"11024"</f>
        <v>11024</v>
      </c>
      <c r="C24782" s="2">
        <v>3.1009581948211301E-4</v>
      </c>
      <c r="D24782" s="2">
        <v>1.2631735377527801E-4</v>
      </c>
      <c r="E24782" s="2">
        <v>9.9553059160715295E-5</v>
      </c>
      <c r="F24782" s="2">
        <v>2.8120735702034401E-4</v>
      </c>
    </row>
    <row r="24783" spans="1:6" x14ac:dyDescent="0.25">
      <c r="A24783" s="1" t="str">
        <f t="shared" si="901"/>
        <v>35620</v>
      </c>
      <c r="B24783" s="1" t="str">
        <f>"11020"</f>
        <v>11020</v>
      </c>
      <c r="C24783" s="2">
        <v>2.5561782272884997E-4</v>
      </c>
      <c r="D24783" s="2">
        <v>4.7059406308437197E-5</v>
      </c>
      <c r="E24783" s="2">
        <v>3.49308979511281E-6</v>
      </c>
      <c r="F24783" s="2">
        <v>2.2202276812874401E-4</v>
      </c>
    </row>
    <row r="24784" spans="1:6" x14ac:dyDescent="0.25">
      <c r="A24784" s="1" t="str">
        <f t="shared" si="901"/>
        <v>35620</v>
      </c>
      <c r="B24784" s="1" t="str">
        <f>"11208"</f>
        <v>11208</v>
      </c>
      <c r="C24784" s="2">
        <v>3.1300887903072498E-3</v>
      </c>
      <c r="D24784" s="2">
        <v>2.02603128212114E-3</v>
      </c>
      <c r="E24784" s="2">
        <v>5.7234276292923497E-3</v>
      </c>
      <c r="F24784" s="2">
        <v>3.19381953920662E-3</v>
      </c>
    </row>
    <row r="24785" spans="1:6" x14ac:dyDescent="0.25">
      <c r="A24785" s="1" t="str">
        <f t="shared" si="901"/>
        <v>35620</v>
      </c>
      <c r="B24785" s="1" t="str">
        <f>"11205"</f>
        <v>11205</v>
      </c>
      <c r="C24785" s="2">
        <v>2.3786203119445402E-3</v>
      </c>
      <c r="D24785" s="2">
        <v>5.7115258393292704E-3</v>
      </c>
      <c r="E24785" s="2">
        <v>4.6283439785244802E-3</v>
      </c>
      <c r="F24785" s="2">
        <v>2.8060584395719901E-3</v>
      </c>
    </row>
    <row r="24786" spans="1:6" x14ac:dyDescent="0.25">
      <c r="A24786" s="1" t="str">
        <f t="shared" si="901"/>
        <v>35620</v>
      </c>
      <c r="B24786" s="1" t="str">
        <f>"11210"</f>
        <v>11210</v>
      </c>
      <c r="C24786" s="2">
        <v>2.6663952855346899E-3</v>
      </c>
      <c r="D24786" s="2">
        <v>1.72757557369131E-3</v>
      </c>
      <c r="E24786" s="2">
        <v>1.50901479148873E-3</v>
      </c>
      <c r="F24786" s="2">
        <v>2.5137875387116599E-3</v>
      </c>
    </row>
    <row r="24787" spans="1:6" x14ac:dyDescent="0.25">
      <c r="A24787" s="1" t="str">
        <f t="shared" si="901"/>
        <v>35620</v>
      </c>
      <c r="B24787" s="1" t="str">
        <f>"11109"</f>
        <v>11109</v>
      </c>
      <c r="C24787" s="2">
        <v>5.4427554163676299E-4</v>
      </c>
      <c r="D24787" s="2">
        <v>3.2198541158404403E-5</v>
      </c>
      <c r="E24787" s="2">
        <v>4.1917077541353803E-5</v>
      </c>
      <c r="F24787" s="2">
        <v>4.68965363159215E-4</v>
      </c>
    </row>
    <row r="24788" spans="1:6" x14ac:dyDescent="0.25">
      <c r="A24788" s="1" t="str">
        <f t="shared" si="901"/>
        <v>35620</v>
      </c>
      <c r="B24788" s="1" t="str">
        <f>"11232"</f>
        <v>11232</v>
      </c>
      <c r="C24788" s="2">
        <v>1.04416160443753E-3</v>
      </c>
      <c r="D24788" s="2">
        <v>3.3548403076199E-3</v>
      </c>
      <c r="E24788" s="2">
        <v>2.6896791422368598E-3</v>
      </c>
      <c r="F24788" s="2">
        <v>1.3457780657402201E-3</v>
      </c>
    </row>
    <row r="24789" spans="1:6" x14ac:dyDescent="0.25">
      <c r="A24789" s="1" t="str">
        <f t="shared" si="901"/>
        <v>35620</v>
      </c>
      <c r="B24789" s="1" t="str">
        <f>"07543"</f>
        <v>07543</v>
      </c>
      <c r="C24789" s="2">
        <v>7.7051055593156304E-5</v>
      </c>
      <c r="D24789" s="2">
        <v>8.0496352896010994E-5</v>
      </c>
      <c r="E24789" s="2">
        <v>3.49308979511281E-6</v>
      </c>
      <c r="F24789" s="2">
        <v>7.2826045859355901E-5</v>
      </c>
    </row>
    <row r="24790" spans="1:6" x14ac:dyDescent="0.25">
      <c r="A24790" s="1" t="str">
        <f t="shared" si="901"/>
        <v>35620</v>
      </c>
      <c r="B24790" s="1" t="str">
        <f>"07802"</f>
        <v>07802</v>
      </c>
      <c r="C24790" s="2">
        <v>1.5611981476976601E-4</v>
      </c>
      <c r="D24790" s="2">
        <v>2.0929051752962801E-4</v>
      </c>
      <c r="E24790" s="2">
        <v>3.49308979511281E-6</v>
      </c>
      <c r="F24790" s="2">
        <v>1.5134498320919199E-4</v>
      </c>
    </row>
    <row r="24791" spans="1:6" x14ac:dyDescent="0.25">
      <c r="A24791" s="1" t="str">
        <f t="shared" si="901"/>
        <v>35620</v>
      </c>
      <c r="B24791" s="1" t="str">
        <f>"07711"</f>
        <v>07711</v>
      </c>
      <c r="C24791" s="2">
        <v>1.11982548881706E-4</v>
      </c>
      <c r="D24791" s="2">
        <v>1.16410110341923E-4</v>
      </c>
      <c r="E24791" s="2">
        <v>5.4142891824248603E-5</v>
      </c>
      <c r="F24791" s="2">
        <v>1.08809416601073E-4</v>
      </c>
    </row>
    <row r="24792" spans="1:6" x14ac:dyDescent="0.25">
      <c r="A24792" s="1" t="str">
        <f t="shared" si="901"/>
        <v>35620</v>
      </c>
      <c r="B24792" s="1" t="str">
        <f>"08862"</f>
        <v>08862</v>
      </c>
      <c r="C24792" s="2">
        <v>2.25604481924969E-4</v>
      </c>
      <c r="D24792" s="2">
        <v>2.40250653258863E-4</v>
      </c>
      <c r="E24792" s="2">
        <v>3.49308979511281E-6</v>
      </c>
      <c r="F24792" s="2">
        <v>2.13214898275547E-4</v>
      </c>
    </row>
    <row r="24793" spans="1:6" x14ac:dyDescent="0.25">
      <c r="A24793" s="1" t="str">
        <f t="shared" si="901"/>
        <v>35620</v>
      </c>
      <c r="B24793" s="1" t="str">
        <f>"10116"</f>
        <v>10116</v>
      </c>
      <c r="C24793" s="2">
        <v>3.0114225983053497E-4</v>
      </c>
      <c r="D24793" s="2">
        <v>6.4892444488476601E-4</v>
      </c>
      <c r="E24793" s="2">
        <v>3.49308979511281E-6</v>
      </c>
      <c r="F24793" s="2">
        <v>3.1300161892944403E-4</v>
      </c>
    </row>
    <row r="24794" spans="1:6" x14ac:dyDescent="0.25">
      <c r="A24794" s="1" t="str">
        <f t="shared" si="901"/>
        <v>35620</v>
      </c>
      <c r="B24794" s="1" t="str">
        <f>"10199"</f>
        <v>10199</v>
      </c>
      <c r="C24794" s="2">
        <v>0</v>
      </c>
      <c r="D24794" s="2">
        <v>1.20125326629431E-4</v>
      </c>
      <c r="E24794" s="2">
        <v>1.9211993873120399E-5</v>
      </c>
      <c r="F24794" s="2">
        <v>1.1600609074941601E-5</v>
      </c>
    </row>
    <row r="24795" spans="1:6" x14ac:dyDescent="0.25">
      <c r="A24795" s="1" t="str">
        <f t="shared" si="901"/>
        <v>35620</v>
      </c>
      <c r="B24795" s="1" t="str">
        <f>"10551"</f>
        <v>10551</v>
      </c>
      <c r="C24795" s="2">
        <v>1.4741846806612001E-4</v>
      </c>
      <c r="D24795" s="2">
        <v>1.4860865150032799E-4</v>
      </c>
      <c r="E24795" s="2">
        <v>3.49308979511281E-6</v>
      </c>
      <c r="F24795" s="2">
        <v>1.38670243664348E-4</v>
      </c>
    </row>
    <row r="24796" spans="1:6" x14ac:dyDescent="0.25">
      <c r="A24796" s="1" t="str">
        <f t="shared" si="901"/>
        <v>35620</v>
      </c>
      <c r="B24796" s="1" t="str">
        <f>"10802"</f>
        <v>10802</v>
      </c>
      <c r="C24796" s="2">
        <v>1.6305567083788999E-4</v>
      </c>
      <c r="D24796" s="2">
        <v>1.8947603066291801E-4</v>
      </c>
      <c r="E24796" s="2">
        <v>3.49308979511281E-6</v>
      </c>
      <c r="F24796" s="2">
        <v>1.5553409204181E-4</v>
      </c>
    </row>
    <row r="24797" spans="1:6" x14ac:dyDescent="0.25">
      <c r="A24797" s="1" t="str">
        <f t="shared" si="901"/>
        <v>35620</v>
      </c>
      <c r="B24797" s="1" t="str">
        <f>"18428"</f>
        <v>18428</v>
      </c>
      <c r="C24797" s="2">
        <v>6.7958778820215897E-4</v>
      </c>
      <c r="D24797" s="2">
        <v>3.3313106044656802E-4</v>
      </c>
      <c r="E24797" s="2">
        <v>8.9073789775376803E-5</v>
      </c>
      <c r="F24797" s="2">
        <v>6.13221085267054E-4</v>
      </c>
    </row>
    <row r="24798" spans="1:6" x14ac:dyDescent="0.25">
      <c r="A24798" s="1" t="str">
        <f t="shared" si="901"/>
        <v>35620</v>
      </c>
      <c r="B24798" s="1" t="str">
        <f>"11238"</f>
        <v>11238</v>
      </c>
      <c r="C24798" s="2">
        <v>3.5805411153133899E-3</v>
      </c>
      <c r="D24798" s="2">
        <v>1.9715414432376799E-3</v>
      </c>
      <c r="E24798" s="2">
        <v>7.0455621167425497E-3</v>
      </c>
      <c r="F24798" s="2">
        <v>3.6540844455596301E-3</v>
      </c>
    </row>
    <row r="24799" spans="1:6" x14ac:dyDescent="0.25">
      <c r="A24799" s="1" t="str">
        <f t="shared" si="901"/>
        <v>35620</v>
      </c>
      <c r="B24799" s="1" t="str">
        <f>"11237"</f>
        <v>11237</v>
      </c>
      <c r="C24799" s="2">
        <v>2.1102657353451299E-3</v>
      </c>
      <c r="D24799" s="2">
        <v>2.2960036656800701E-3</v>
      </c>
      <c r="E24799" s="2">
        <v>7.0001519494060803E-3</v>
      </c>
      <c r="F24799" s="2">
        <v>2.42710520979057E-3</v>
      </c>
    </row>
    <row r="24800" spans="1:6" x14ac:dyDescent="0.25">
      <c r="A24800" s="1" t="str">
        <f t="shared" si="901"/>
        <v>35620</v>
      </c>
      <c r="B24800" s="1" t="str">
        <f>"11352"</f>
        <v>11352</v>
      </c>
      <c r="C24800" s="2">
        <v>2.6167093347921302E-4</v>
      </c>
      <c r="D24800" s="2">
        <v>3.0093251928816402E-4</v>
      </c>
      <c r="E24800" s="2">
        <v>3.49308979511281E-6</v>
      </c>
      <c r="F24800" s="2">
        <v>2.4919826901726502E-4</v>
      </c>
    </row>
    <row r="24801" spans="1:6" x14ac:dyDescent="0.25">
      <c r="A24801" s="1" t="str">
        <f t="shared" si="901"/>
        <v>35620</v>
      </c>
      <c r="B24801" s="1" t="str">
        <f>"11575"</f>
        <v>11575</v>
      </c>
      <c r="C24801" s="2">
        <v>5.7302781770098498E-4</v>
      </c>
      <c r="D24801" s="2">
        <v>4.02481764480055E-4</v>
      </c>
      <c r="E24801" s="2">
        <v>2.04345753014099E-4</v>
      </c>
      <c r="F24801" s="2">
        <v>5.3556145229313897E-4</v>
      </c>
    </row>
    <row r="24802" spans="1:6" x14ac:dyDescent="0.25">
      <c r="A24802" s="1" t="str">
        <f t="shared" si="901"/>
        <v>35620</v>
      </c>
      <c r="B24802" s="1" t="str">
        <f>"11579"</f>
        <v>11579</v>
      </c>
      <c r="C24802" s="2">
        <v>2.9357587139258197E-4</v>
      </c>
      <c r="D24802" s="2">
        <v>3.7523684503832798E-4</v>
      </c>
      <c r="E24802" s="2">
        <v>3.6153479379417601E-4</v>
      </c>
      <c r="F24802" s="2">
        <v>3.0483822735818798E-4</v>
      </c>
    </row>
    <row r="24803" spans="1:6" x14ac:dyDescent="0.25">
      <c r="A24803" s="1" t="str">
        <f t="shared" si="901"/>
        <v>35620</v>
      </c>
      <c r="B24803" s="1" t="str">
        <f>"11581"</f>
        <v>11581</v>
      </c>
      <c r="C24803" s="2">
        <v>9.0229182122591295E-4</v>
      </c>
      <c r="D24803" s="2">
        <v>8.0620193438928002E-4</v>
      </c>
      <c r="E24803" s="2">
        <v>8.0515719777350398E-4</v>
      </c>
      <c r="F24803" s="2">
        <v>8.8798365946798701E-4</v>
      </c>
    </row>
    <row r="24804" spans="1:6" x14ac:dyDescent="0.25">
      <c r="A24804" s="1" t="str">
        <f t="shared" si="901"/>
        <v>35620</v>
      </c>
      <c r="B24804" s="1" t="str">
        <f>"11697"</f>
        <v>11697</v>
      </c>
      <c r="C24804" s="2">
        <v>3.7239241762126101E-4</v>
      </c>
      <c r="D24804" s="2">
        <v>5.0774622595945399E-5</v>
      </c>
      <c r="E24804" s="2">
        <v>1.7465448975563999E-5</v>
      </c>
      <c r="F24804" s="2">
        <v>3.2266879315856202E-4</v>
      </c>
    </row>
    <row r="24805" spans="1:6" x14ac:dyDescent="0.25">
      <c r="A24805" s="1" t="str">
        <f t="shared" si="901"/>
        <v>35620</v>
      </c>
      <c r="B24805" s="1" t="str">
        <f>"11501"</f>
        <v>11501</v>
      </c>
      <c r="C24805" s="2">
        <v>1.09409976812802E-3</v>
      </c>
      <c r="D24805" s="2">
        <v>2.5028173723513599E-3</v>
      </c>
      <c r="E24805" s="2">
        <v>2.4486559463740799E-3</v>
      </c>
      <c r="F24805" s="2">
        <v>1.29959045553443E-3</v>
      </c>
    </row>
    <row r="24806" spans="1:6" x14ac:dyDescent="0.25">
      <c r="A24806" s="1" t="str">
        <f t="shared" si="901"/>
        <v>35620</v>
      </c>
      <c r="B24806" s="1" t="str">
        <f>"11434"</f>
        <v>11434</v>
      </c>
      <c r="C24806" s="2">
        <v>2.5638707222004199E-3</v>
      </c>
      <c r="D24806" s="2">
        <v>2.0322233092669802E-3</v>
      </c>
      <c r="E24806" s="2">
        <v>1.05142002832895E-3</v>
      </c>
      <c r="F24806" s="2">
        <v>2.4247421227567801E-3</v>
      </c>
    </row>
    <row r="24807" spans="1:6" x14ac:dyDescent="0.25">
      <c r="A24807" s="1" t="str">
        <f t="shared" si="901"/>
        <v>35620</v>
      </c>
      <c r="B24807" s="1" t="str">
        <f>"11694"</f>
        <v>11694</v>
      </c>
      <c r="C24807" s="2">
        <v>1.12423921540587E-3</v>
      </c>
      <c r="D24807" s="2">
        <v>5.5852084855539995E-4</v>
      </c>
      <c r="E24807" s="2">
        <v>7.0909722840790197E-4</v>
      </c>
      <c r="F24807" s="2">
        <v>1.0496402951882301E-3</v>
      </c>
    </row>
    <row r="24808" spans="1:6" x14ac:dyDescent="0.25">
      <c r="A24808" s="1" t="str">
        <f t="shared" si="901"/>
        <v>35620</v>
      </c>
      <c r="B24808" s="1" t="str">
        <f>"11516"</f>
        <v>11516</v>
      </c>
      <c r="C24808" s="2">
        <v>3.6482602918330698E-4</v>
      </c>
      <c r="D24808" s="2">
        <v>1.13561777854834E-3</v>
      </c>
      <c r="E24808" s="2">
        <v>6.7940596514944301E-4</v>
      </c>
      <c r="F24808" s="2">
        <v>4.5102738431185101E-4</v>
      </c>
    </row>
    <row r="24809" spans="1:6" x14ac:dyDescent="0.25">
      <c r="A24809" s="1" t="str">
        <f t="shared" si="901"/>
        <v>35620</v>
      </c>
      <c r="B24809" s="1" t="str">
        <f>"10151"</f>
        <v>10151</v>
      </c>
      <c r="C24809" s="2">
        <v>0</v>
      </c>
      <c r="D24809" s="2">
        <v>6.1920271458470005E-5</v>
      </c>
      <c r="E24809" s="2">
        <v>2.4451628565789699E-5</v>
      </c>
      <c r="F24809" s="2">
        <v>6.8744350073728303E-6</v>
      </c>
    </row>
    <row r="24810" spans="1:6" x14ac:dyDescent="0.25">
      <c r="A24810" s="1" t="str">
        <f t="shared" si="901"/>
        <v>35620</v>
      </c>
      <c r="B24810" s="1" t="str">
        <f>"12524"</f>
        <v>12524</v>
      </c>
      <c r="C24810" s="2">
        <v>1.7654906355224E-6</v>
      </c>
      <c r="D24810" s="2">
        <v>1.2384054291694E-6</v>
      </c>
      <c r="E24810" s="2">
        <v>0</v>
      </c>
      <c r="F24810" s="2">
        <v>1.6111957048530001E-6</v>
      </c>
    </row>
    <row r="24811" spans="1:6" x14ac:dyDescent="0.25">
      <c r="A24811" s="1" t="str">
        <f t="shared" si="901"/>
        <v>35620</v>
      </c>
      <c r="B24811" s="1" t="str">
        <f>"11549"</f>
        <v>11549</v>
      </c>
      <c r="C24811" s="2">
        <v>0</v>
      </c>
      <c r="D24811" s="2">
        <v>9.6595623475213304E-5</v>
      </c>
      <c r="E24811" s="2">
        <v>0</v>
      </c>
      <c r="F24811" s="2">
        <v>8.3782176652356299E-6</v>
      </c>
    </row>
    <row r="24812" spans="1:6" x14ac:dyDescent="0.25">
      <c r="A24812" s="1" t="str">
        <f t="shared" si="901"/>
        <v>35620</v>
      </c>
      <c r="B24812" s="1" t="str">
        <f>"08555"</f>
        <v>08555</v>
      </c>
      <c r="C24812" s="2">
        <v>4.4389478835991797E-5</v>
      </c>
      <c r="D24812" s="2">
        <v>0</v>
      </c>
      <c r="E24812" s="2">
        <v>1.7465448975563999E-6</v>
      </c>
      <c r="F24812" s="2">
        <v>3.79168055875407E-5</v>
      </c>
    </row>
    <row r="24813" spans="1:6" x14ac:dyDescent="0.25">
      <c r="A24813" s="1" t="str">
        <f t="shared" si="901"/>
        <v>35620</v>
      </c>
      <c r="B24813" s="1" t="str">
        <f>"07495"</f>
        <v>07495</v>
      </c>
      <c r="C24813" s="2">
        <v>1.2610647396588501E-7</v>
      </c>
      <c r="D24813" s="2">
        <v>1.0154924519189E-4</v>
      </c>
      <c r="E24813" s="2">
        <v>2.0958538770676901E-5</v>
      </c>
      <c r="F24813" s="2">
        <v>1.0204239464069001E-5</v>
      </c>
    </row>
    <row r="24814" spans="1:6" x14ac:dyDescent="0.25">
      <c r="A24814" s="1" t="str">
        <f t="shared" si="901"/>
        <v>35620</v>
      </c>
      <c r="B24814" s="1" t="str">
        <f>"11972"</f>
        <v>11972</v>
      </c>
      <c r="C24814" s="2">
        <v>1.5384989823837999E-5</v>
      </c>
      <c r="D24814" s="2">
        <v>1.2384054291694E-6</v>
      </c>
      <c r="E24814" s="2">
        <v>5.2396346926692202E-6</v>
      </c>
      <c r="F24814" s="2">
        <v>1.3534043920765201E-5</v>
      </c>
    </row>
    <row r="24815" spans="1:6" x14ac:dyDescent="0.25">
      <c r="A24815" s="1" t="str">
        <f t="shared" si="901"/>
        <v>35620</v>
      </c>
      <c r="B24815" s="1" t="str">
        <f>"11770"</f>
        <v>11770</v>
      </c>
      <c r="C24815" s="2">
        <v>3.4679280340618603E-5</v>
      </c>
      <c r="D24815" s="2">
        <v>6.1920271458469998E-6</v>
      </c>
      <c r="E24815" s="2">
        <v>1.7465448975563999E-6</v>
      </c>
      <c r="F24815" s="2">
        <v>3.0183066204246301E-5</v>
      </c>
    </row>
    <row r="24816" spans="1:6" x14ac:dyDescent="0.25">
      <c r="A24816" s="1" t="str">
        <f t="shared" si="901"/>
        <v>35620</v>
      </c>
      <c r="B24816" s="1" t="str">
        <f>"07088"</f>
        <v>07088</v>
      </c>
      <c r="C24816" s="2">
        <v>2.0971506620526799E-4</v>
      </c>
      <c r="D24816" s="2">
        <v>2.50157896692219E-4</v>
      </c>
      <c r="E24816" s="2">
        <v>2.04345753014099E-4</v>
      </c>
      <c r="F24816" s="2">
        <v>2.12892659134577E-4</v>
      </c>
    </row>
    <row r="24817" spans="1:6" x14ac:dyDescent="0.25">
      <c r="A24817" s="1" t="str">
        <f t="shared" si="901"/>
        <v>35620</v>
      </c>
      <c r="B24817" s="1" t="str">
        <f>"07620"</f>
        <v>07620</v>
      </c>
      <c r="C24817" s="2">
        <v>7.89426527026445E-5</v>
      </c>
      <c r="D24817" s="2">
        <v>2.4768108583388E-6</v>
      </c>
      <c r="E24817" s="2">
        <v>0</v>
      </c>
      <c r="F24817" s="2">
        <v>6.7455393509845894E-5</v>
      </c>
    </row>
    <row r="24818" spans="1:6" x14ac:dyDescent="0.25">
      <c r="A24818" s="1" t="str">
        <f t="shared" si="901"/>
        <v>35620</v>
      </c>
      <c r="B24818" s="1" t="str">
        <f>"10121"</f>
        <v>10121</v>
      </c>
      <c r="C24818" s="2">
        <v>0</v>
      </c>
      <c r="D24818" s="2">
        <v>8.5449974612688705E-5</v>
      </c>
      <c r="E24818" s="2">
        <v>1.9211993873120399E-5</v>
      </c>
      <c r="F24818" s="2">
        <v>8.5930437592160304E-6</v>
      </c>
    </row>
    <row r="24819" spans="1:6" x14ac:dyDescent="0.25">
      <c r="A24819" s="1" t="str">
        <f t="shared" si="901"/>
        <v>35620</v>
      </c>
      <c r="B24819" s="1" t="str">
        <f>"10177"</f>
        <v>10177</v>
      </c>
      <c r="C24819" s="2">
        <v>0</v>
      </c>
      <c r="D24819" s="2">
        <v>8.2973163754349795E-5</v>
      </c>
      <c r="E24819" s="2">
        <v>1.04792693853384E-5</v>
      </c>
      <c r="F24819" s="2">
        <v>7.8411524302846302E-6</v>
      </c>
    </row>
    <row r="24820" spans="1:6" x14ac:dyDescent="0.25">
      <c r="A24820" s="1" t="str">
        <f t="shared" si="901"/>
        <v>35620</v>
      </c>
      <c r="B24820" s="1" t="str">
        <f>"10982"</f>
        <v>10982</v>
      </c>
      <c r="C24820" s="2">
        <v>4.9559844268593097E-5</v>
      </c>
      <c r="D24820" s="2">
        <v>3.0217092471733302E-4</v>
      </c>
      <c r="E24820" s="2">
        <v>5.2396346926692202E-6</v>
      </c>
      <c r="F24820" s="2">
        <v>6.8744350073728298E-5</v>
      </c>
    </row>
    <row r="24821" spans="1:6" x14ac:dyDescent="0.25">
      <c r="A24821" s="1" t="str">
        <f t="shared" si="901"/>
        <v>35620</v>
      </c>
      <c r="B24821" s="1" t="str">
        <f>"07849"</f>
        <v>07849</v>
      </c>
      <c r="C24821" s="2">
        <v>5.3708747262070798E-4</v>
      </c>
      <c r="D24821" s="2">
        <v>5.1146144224696198E-4</v>
      </c>
      <c r="E24821" s="2">
        <v>1.7989412444831E-4</v>
      </c>
      <c r="F24821" s="2">
        <v>5.1289729937820702E-4</v>
      </c>
    </row>
    <row r="24822" spans="1:6" x14ac:dyDescent="0.25">
      <c r="A24822" s="1" t="str">
        <f t="shared" si="901"/>
        <v>35620</v>
      </c>
      <c r="B24822" s="1" t="str">
        <f>"07630"</f>
        <v>07630</v>
      </c>
      <c r="C24822" s="2">
        <v>3.2636355462371201E-4</v>
      </c>
      <c r="D24822" s="2">
        <v>2.9226368128397798E-4</v>
      </c>
      <c r="E24822" s="2">
        <v>1.76401034653197E-4</v>
      </c>
      <c r="F24822" s="2">
        <v>3.14183162446336E-4</v>
      </c>
    </row>
    <row r="24823" spans="1:6" x14ac:dyDescent="0.25">
      <c r="A24823" s="1" t="str">
        <f t="shared" si="901"/>
        <v>35620</v>
      </c>
      <c r="B24823" s="1" t="str">
        <f>"08904"</f>
        <v>08904</v>
      </c>
      <c r="C24823" s="2">
        <v>8.9560817810572103E-4</v>
      </c>
      <c r="D24823" s="2">
        <v>8.0124831267260196E-4</v>
      </c>
      <c r="E24823" s="2">
        <v>1.5596645935178699E-3</v>
      </c>
      <c r="F24823" s="2">
        <v>9.2826355208931201E-4</v>
      </c>
    </row>
    <row r="24824" spans="1:6" x14ac:dyDescent="0.25">
      <c r="A24824" s="1" t="str">
        <f t="shared" si="901"/>
        <v>35620</v>
      </c>
      <c r="B24824" s="1" t="str">
        <f>"11451"</f>
        <v>11451</v>
      </c>
      <c r="C24824" s="2">
        <v>0</v>
      </c>
      <c r="D24824" s="2">
        <v>1.2384054291694E-6</v>
      </c>
      <c r="E24824" s="2">
        <v>0</v>
      </c>
      <c r="F24824" s="2">
        <v>1.074130469902E-7</v>
      </c>
    </row>
    <row r="24825" spans="1:6" x14ac:dyDescent="0.25">
      <c r="A24825" s="1" t="str">
        <f t="shared" si="901"/>
        <v>35620</v>
      </c>
      <c r="B24825" s="1" t="str">
        <f>"07855"</f>
        <v>07855</v>
      </c>
      <c r="C24825" s="2">
        <v>0</v>
      </c>
      <c r="D24825" s="2">
        <v>0</v>
      </c>
      <c r="E24825" s="2">
        <v>1.7465448975563999E-6</v>
      </c>
      <c r="F24825" s="2">
        <v>1.074130469902E-7</v>
      </c>
    </row>
    <row r="24826" spans="1:6" x14ac:dyDescent="0.25">
      <c r="A24826" s="1" t="str">
        <f t="shared" si="901"/>
        <v>35620</v>
      </c>
      <c r="B24826" s="1" t="str">
        <f>"10179"</f>
        <v>10179</v>
      </c>
      <c r="C24826" s="2">
        <v>0</v>
      </c>
      <c r="D24826" s="2">
        <v>1.2384054291694E-6</v>
      </c>
      <c r="E24826" s="2">
        <v>0</v>
      </c>
      <c r="F24826" s="2">
        <v>1.074130469902E-7</v>
      </c>
    </row>
    <row r="24827" spans="1:6" x14ac:dyDescent="0.25">
      <c r="A24827" s="1" t="str">
        <f t="shared" si="901"/>
        <v>35620</v>
      </c>
      <c r="B24827" s="1" t="str">
        <f>"11499"</f>
        <v>11499</v>
      </c>
      <c r="C24827" s="2">
        <v>0</v>
      </c>
      <c r="D24827" s="2">
        <v>1.2384054291694E-6</v>
      </c>
      <c r="E24827" s="2">
        <v>0</v>
      </c>
      <c r="F24827" s="2">
        <v>1.074130469902E-7</v>
      </c>
    </row>
    <row r="24828" spans="1:6" x14ac:dyDescent="0.25">
      <c r="A24828" s="1" t="str">
        <f t="shared" si="901"/>
        <v>35620</v>
      </c>
      <c r="B24828" s="1" t="str">
        <f>"08933"</f>
        <v>08933</v>
      </c>
      <c r="C24828" s="2">
        <v>0</v>
      </c>
      <c r="D24828" s="2">
        <v>1.2384054291694E-6</v>
      </c>
      <c r="E24828" s="2">
        <v>0</v>
      </c>
      <c r="F24828" s="2">
        <v>1.074130469902E-7</v>
      </c>
    </row>
    <row r="24829" spans="1:6" x14ac:dyDescent="0.25">
      <c r="A24829" s="1" t="str">
        <f t="shared" si="901"/>
        <v>35620</v>
      </c>
      <c r="B24829" s="1" t="str">
        <f>"18340"</f>
        <v>18340</v>
      </c>
      <c r="C24829" s="2">
        <v>1.2610647396588501E-7</v>
      </c>
      <c r="D24829" s="2">
        <v>1.2384054291694E-6</v>
      </c>
      <c r="E24829" s="2">
        <v>0</v>
      </c>
      <c r="F24829" s="2">
        <v>2.1482609398039999E-7</v>
      </c>
    </row>
    <row r="24830" spans="1:6" x14ac:dyDescent="0.25">
      <c r="A24830" s="1" t="str">
        <f t="shared" si="901"/>
        <v>35620</v>
      </c>
      <c r="B24830" s="1" t="str">
        <f>"07763"</f>
        <v>07763</v>
      </c>
      <c r="C24830" s="2">
        <v>3.9849645773219903E-5</v>
      </c>
      <c r="D24830" s="2">
        <v>1.4365502978365001E-4</v>
      </c>
      <c r="E24830" s="2">
        <v>3.49308979511281E-6</v>
      </c>
      <c r="F24830" s="2">
        <v>4.6617262393747E-5</v>
      </c>
    </row>
    <row r="24831" spans="1:6" x14ac:dyDescent="0.25">
      <c r="A24831" s="1" t="str">
        <f t="shared" si="901"/>
        <v>35620</v>
      </c>
      <c r="B24831" s="1" t="str">
        <f>"08734"</f>
        <v>08734</v>
      </c>
      <c r="C24831" s="2">
        <v>4.56757648704438E-4</v>
      </c>
      <c r="D24831" s="2">
        <v>3.0960135729235001E-4</v>
      </c>
      <c r="E24831" s="2">
        <v>5.2396346926692199E-5</v>
      </c>
      <c r="F24831" s="2">
        <v>4.1912570935576202E-4</v>
      </c>
    </row>
    <row r="24832" spans="1:6" x14ac:dyDescent="0.25">
      <c r="A24832" s="1" t="str">
        <f t="shared" si="901"/>
        <v>35620</v>
      </c>
      <c r="B24832" s="1" t="str">
        <f>"08740"</f>
        <v>08740</v>
      </c>
      <c r="C24832" s="2">
        <v>1.452746580087E-4</v>
      </c>
      <c r="D24832" s="2">
        <v>0</v>
      </c>
      <c r="E24832" s="2">
        <v>2.6198173463346099E-5</v>
      </c>
      <c r="F24832" s="2">
        <v>1.2535102583756299E-4</v>
      </c>
    </row>
    <row r="24833" spans="1:6" x14ac:dyDescent="0.25">
      <c r="A24833" s="1" t="str">
        <f t="shared" si="901"/>
        <v>35620</v>
      </c>
      <c r="B24833" s="1" t="str">
        <f>"10029"</f>
        <v>10029</v>
      </c>
      <c r="C24833" s="2">
        <v>4.5100719349159398E-3</v>
      </c>
      <c r="D24833" s="2">
        <v>2.1498718250380802E-3</v>
      </c>
      <c r="E24833" s="2">
        <v>4.6038923499586897E-3</v>
      </c>
      <c r="F24833" s="2">
        <v>4.3111300539986804E-3</v>
      </c>
    </row>
    <row r="24834" spans="1:6" x14ac:dyDescent="0.25">
      <c r="A24834" s="1" t="str">
        <f t="shared" si="901"/>
        <v>35620</v>
      </c>
      <c r="B24834" s="1" t="str">
        <f>"10021"</f>
        <v>10021</v>
      </c>
      <c r="C24834" s="2">
        <v>4.1094316671263197E-3</v>
      </c>
      <c r="D24834" s="2">
        <v>2.6452339967058401E-3</v>
      </c>
      <c r="E24834" s="2">
        <v>3.1822048033477699E-3</v>
      </c>
      <c r="F24834" s="2">
        <v>3.9254098022568698E-3</v>
      </c>
    </row>
    <row r="24835" spans="1:6" x14ac:dyDescent="0.25">
      <c r="A24835" s="1" t="str">
        <f t="shared" si="901"/>
        <v>35620</v>
      </c>
      <c r="B24835" s="1" t="str">
        <f>"10022"</f>
        <v>10022</v>
      </c>
      <c r="C24835" s="2">
        <v>3.2913789705096199E-3</v>
      </c>
      <c r="D24835" s="2">
        <v>8.8025857905361E-3</v>
      </c>
      <c r="E24835" s="2">
        <v>3.1874444380404401E-3</v>
      </c>
      <c r="F24835" s="2">
        <v>3.7630012752076902E-3</v>
      </c>
    </row>
    <row r="24836" spans="1:6" x14ac:dyDescent="0.25">
      <c r="A24836" s="1" t="str">
        <f t="shared" si="901"/>
        <v>35620</v>
      </c>
      <c r="B24836" s="1" t="str">
        <f>"10107"</f>
        <v>10107</v>
      </c>
      <c r="C24836" s="2">
        <v>0</v>
      </c>
      <c r="D24836" s="2">
        <v>1.33747786350295E-4</v>
      </c>
      <c r="E24836" s="2">
        <v>2.4451628565789699E-5</v>
      </c>
      <c r="F24836" s="2">
        <v>1.31043917328044E-5</v>
      </c>
    </row>
    <row r="24837" spans="1:6" x14ac:dyDescent="0.25">
      <c r="A24837" s="1" t="str">
        <f t="shared" si="901"/>
        <v>35620</v>
      </c>
      <c r="B24837" s="1" t="str">
        <f>"10110"</f>
        <v>10110</v>
      </c>
      <c r="C24837" s="2">
        <v>0</v>
      </c>
      <c r="D24837" s="2">
        <v>1.36224597208634E-4</v>
      </c>
      <c r="E24837" s="2">
        <v>5.2396346926692202E-6</v>
      </c>
      <c r="F24837" s="2">
        <v>1.2137674309892601E-5</v>
      </c>
    </row>
    <row r="24838" spans="1:6" x14ac:dyDescent="0.25">
      <c r="A24838" s="1" t="str">
        <f t="shared" si="901"/>
        <v>35620</v>
      </c>
      <c r="B24838" s="1" t="str">
        <f>"10120"</f>
        <v>10120</v>
      </c>
      <c r="C24838" s="2">
        <v>0</v>
      </c>
      <c r="D24838" s="2">
        <v>9.6595623475213304E-5</v>
      </c>
      <c r="E24838" s="2">
        <v>8.7327244877820399E-6</v>
      </c>
      <c r="F24838" s="2">
        <v>8.9152829001866397E-6</v>
      </c>
    </row>
    <row r="24839" spans="1:6" x14ac:dyDescent="0.25">
      <c r="A24839" s="1" t="str">
        <f t="shared" si="901"/>
        <v>35620</v>
      </c>
      <c r="B24839" s="1" t="str">
        <f>"10453"</f>
        <v>10453</v>
      </c>
      <c r="C24839" s="2">
        <v>3.78760794556538E-3</v>
      </c>
      <c r="D24839" s="2">
        <v>1.3250938092112499E-3</v>
      </c>
      <c r="E24839" s="2">
        <v>2.60584498715416E-3</v>
      </c>
      <c r="F24839" s="2">
        <v>3.50134309273956E-3</v>
      </c>
    </row>
    <row r="24840" spans="1:6" x14ac:dyDescent="0.25">
      <c r="A24840" s="1" t="str">
        <f t="shared" si="901"/>
        <v>35620</v>
      </c>
      <c r="B24840" s="1" t="str">
        <f>"10452"</f>
        <v>10452</v>
      </c>
      <c r="C24840" s="2">
        <v>3.7057648439615199E-3</v>
      </c>
      <c r="D24840" s="2">
        <v>1.68299297824121E-3</v>
      </c>
      <c r="E24840" s="2">
        <v>2.53947628104701E-3</v>
      </c>
      <c r="F24840" s="2">
        <v>3.4585927000374602E-3</v>
      </c>
    </row>
    <row r="24841" spans="1:6" x14ac:dyDescent="0.25">
      <c r="A24841" s="1" t="str">
        <f t="shared" si="901"/>
        <v>35620</v>
      </c>
      <c r="B24841" s="1" t="str">
        <f>"10036"</f>
        <v>10036</v>
      </c>
      <c r="C24841" s="2">
        <v>3.1274405543539698E-3</v>
      </c>
      <c r="D24841" s="2">
        <v>1.04670026873397E-2</v>
      </c>
      <c r="E24841" s="2">
        <v>3.1088499176504E-3</v>
      </c>
      <c r="F24841" s="2">
        <v>3.7628938621606998E-3</v>
      </c>
    </row>
    <row r="24842" spans="1:6" x14ac:dyDescent="0.25">
      <c r="A24842" s="1" t="str">
        <f t="shared" si="901"/>
        <v>35620</v>
      </c>
      <c r="B24842" s="1" t="str">
        <f>"10550"</f>
        <v>10550</v>
      </c>
      <c r="C24842" s="2">
        <v>1.7613291218815199E-3</v>
      </c>
      <c r="D24842" s="2">
        <v>2.7331607821768598E-3</v>
      </c>
      <c r="E24842" s="2">
        <v>4.0537307072284201E-3</v>
      </c>
      <c r="F24842" s="2">
        <v>1.9866043040837498E-3</v>
      </c>
    </row>
    <row r="24843" spans="1:6" x14ac:dyDescent="0.25">
      <c r="A24843" s="1" t="str">
        <f t="shared" ref="A24843:A24906" si="902">"35620"</f>
        <v>35620</v>
      </c>
      <c r="B24843" s="1" t="str">
        <f>"10541"</f>
        <v>10541</v>
      </c>
      <c r="C24843" s="2">
        <v>1.27140547052406E-3</v>
      </c>
      <c r="D24843" s="2">
        <v>9.5728739674794702E-4</v>
      </c>
      <c r="E24843" s="2">
        <v>4.50608583569553E-4</v>
      </c>
      <c r="F24843" s="2">
        <v>1.19368119120209E-3</v>
      </c>
    </row>
    <row r="24844" spans="1:6" x14ac:dyDescent="0.25">
      <c r="A24844" s="1" t="str">
        <f t="shared" si="902"/>
        <v>35620</v>
      </c>
      <c r="B24844" s="1" t="str">
        <f>"10560"</f>
        <v>10560</v>
      </c>
      <c r="C24844" s="2">
        <v>3.0000730156484198E-4</v>
      </c>
      <c r="D24844" s="2">
        <v>2.2538978810883101E-4</v>
      </c>
      <c r="E24844" s="2">
        <v>2.79447183609025E-5</v>
      </c>
      <c r="F24844" s="2">
        <v>2.7680342209374602E-4</v>
      </c>
    </row>
    <row r="24845" spans="1:6" x14ac:dyDescent="0.25">
      <c r="A24845" s="1" t="str">
        <f t="shared" si="902"/>
        <v>35620</v>
      </c>
      <c r="B24845" s="1" t="str">
        <f>"10526"</f>
        <v>10526</v>
      </c>
      <c r="C24845" s="2">
        <v>1.8461987788605599E-4</v>
      </c>
      <c r="D24845" s="2">
        <v>1.2879416463361699E-4</v>
      </c>
      <c r="E24845" s="2">
        <v>1.7465448975563999E-5</v>
      </c>
      <c r="F24845" s="2">
        <v>1.69497788150536E-4</v>
      </c>
    </row>
    <row r="24846" spans="1:6" x14ac:dyDescent="0.25">
      <c r="A24846" s="1" t="str">
        <f t="shared" si="902"/>
        <v>35620</v>
      </c>
      <c r="B24846" s="1" t="str">
        <f>"10527"</f>
        <v>10527</v>
      </c>
      <c r="C24846" s="2">
        <v>3.6444770976141001E-5</v>
      </c>
      <c r="D24846" s="2">
        <v>2.4768108583388E-6</v>
      </c>
      <c r="E24846" s="2">
        <v>8.7327244877820399E-6</v>
      </c>
      <c r="F24846" s="2">
        <v>3.1794261909099302E-5</v>
      </c>
    </row>
    <row r="24847" spans="1:6" x14ac:dyDescent="0.25">
      <c r="A24847" s="1" t="str">
        <f t="shared" si="902"/>
        <v>35620</v>
      </c>
      <c r="B24847" s="1" t="str">
        <f>"10901"</f>
        <v>10901</v>
      </c>
      <c r="C24847" s="2">
        <v>1.2778369006963199E-3</v>
      </c>
      <c r="D24847" s="2">
        <v>1.3151865657779001E-3</v>
      </c>
      <c r="E24847" s="2">
        <v>1.41994100171336E-3</v>
      </c>
      <c r="F24847" s="2">
        <v>1.28981586825832E-3</v>
      </c>
    </row>
    <row r="24848" spans="1:6" x14ac:dyDescent="0.25">
      <c r="A24848" s="1" t="str">
        <f t="shared" si="902"/>
        <v>35620</v>
      </c>
      <c r="B24848" s="1" t="str">
        <f>"10701"</f>
        <v>10701</v>
      </c>
      <c r="C24848" s="2">
        <v>3.4554434931392398E-3</v>
      </c>
      <c r="D24848" s="2">
        <v>2.8706237848146699E-3</v>
      </c>
      <c r="E24848" s="2">
        <v>4.8536482703092597E-3</v>
      </c>
      <c r="F24848" s="2">
        <v>3.4907092010875301E-3</v>
      </c>
    </row>
    <row r="24849" spans="1:6" x14ac:dyDescent="0.25">
      <c r="A24849" s="1" t="str">
        <f t="shared" si="902"/>
        <v>35620</v>
      </c>
      <c r="B24849" s="1" t="str">
        <f>"10801"</f>
        <v>10801</v>
      </c>
      <c r="C24849" s="2">
        <v>1.9314467552614999E-3</v>
      </c>
      <c r="D24849" s="2">
        <v>2.7517368636144099E-3</v>
      </c>
      <c r="E24849" s="2">
        <v>2.0609229791165602E-3</v>
      </c>
      <c r="F24849" s="2">
        <v>2.0105574135625701E-3</v>
      </c>
    </row>
    <row r="24850" spans="1:6" x14ac:dyDescent="0.25">
      <c r="A24850" s="1" t="str">
        <f t="shared" si="902"/>
        <v>35620</v>
      </c>
      <c r="B24850" s="1" t="str">
        <f>"10583"</f>
        <v>10583</v>
      </c>
      <c r="C24850" s="2">
        <v>1.9240064732975199E-3</v>
      </c>
      <c r="D24850" s="2">
        <v>1.87494581976247E-3</v>
      </c>
      <c r="E24850" s="2">
        <v>6.4447506719831401E-4</v>
      </c>
      <c r="F24850" s="2">
        <v>1.84105962541203E-3</v>
      </c>
    </row>
    <row r="24851" spans="1:6" x14ac:dyDescent="0.25">
      <c r="A24851" s="1" t="str">
        <f t="shared" si="902"/>
        <v>35620</v>
      </c>
      <c r="B24851" s="1" t="str">
        <f>"07005"</f>
        <v>07005</v>
      </c>
      <c r="C24851" s="2">
        <v>8.3621202886778904E-4</v>
      </c>
      <c r="D24851" s="2">
        <v>1.0328301279272801E-3</v>
      </c>
      <c r="E24851" s="2">
        <v>5.0475147539380202E-4</v>
      </c>
      <c r="F24851" s="2">
        <v>8.3288076636201403E-4</v>
      </c>
    </row>
    <row r="24852" spans="1:6" x14ac:dyDescent="0.25">
      <c r="A24852" s="1" t="str">
        <f t="shared" si="902"/>
        <v>35620</v>
      </c>
      <c r="B24852" s="1" t="str">
        <f>"07075"</f>
        <v>07075</v>
      </c>
      <c r="C24852" s="2">
        <v>5.1716264973409795E-4</v>
      </c>
      <c r="D24852" s="2">
        <v>2.6749557270058999E-4</v>
      </c>
      <c r="E24852" s="2">
        <v>3.2311080604793498E-4</v>
      </c>
      <c r="F24852" s="2">
        <v>4.8357353754988199E-4</v>
      </c>
    </row>
    <row r="24853" spans="1:6" x14ac:dyDescent="0.25">
      <c r="A24853" s="1" t="str">
        <f t="shared" si="902"/>
        <v>35620</v>
      </c>
      <c r="B24853" s="1" t="str">
        <f>"07064"</f>
        <v>07064</v>
      </c>
      <c r="C24853" s="2">
        <v>1.6646054563496901E-4</v>
      </c>
      <c r="D24853" s="2">
        <v>1.0278765062106E-4</v>
      </c>
      <c r="E24853" s="2">
        <v>4.36636224389102E-5</v>
      </c>
      <c r="F24853" s="2">
        <v>1.5338583110200601E-4</v>
      </c>
    </row>
    <row r="24854" spans="1:6" x14ac:dyDescent="0.25">
      <c r="A24854" s="1" t="str">
        <f t="shared" si="902"/>
        <v>35620</v>
      </c>
      <c r="B24854" s="1" t="str">
        <f>"07066"</f>
        <v>07066</v>
      </c>
      <c r="C24854" s="2">
        <v>8.4327399140987896E-4</v>
      </c>
      <c r="D24854" s="2">
        <v>9.98154775910537E-4</v>
      </c>
      <c r="E24854" s="2">
        <v>4.1218459582331198E-4</v>
      </c>
      <c r="F24854" s="2">
        <v>8.3019544018725897E-4</v>
      </c>
    </row>
    <row r="24855" spans="1:6" x14ac:dyDescent="0.25">
      <c r="A24855" s="1" t="str">
        <f t="shared" si="902"/>
        <v>35620</v>
      </c>
      <c r="B24855" s="1" t="str">
        <f>"07067"</f>
        <v>07067</v>
      </c>
      <c r="C24855" s="2">
        <v>8.7643999406290698E-4</v>
      </c>
      <c r="D24855" s="2">
        <v>4.6811725222603302E-4</v>
      </c>
      <c r="E24855" s="2">
        <v>1.53695950984963E-4</v>
      </c>
      <c r="F24855" s="2">
        <v>7.9657515647932602E-4</v>
      </c>
    </row>
    <row r="24856" spans="1:6" x14ac:dyDescent="0.25">
      <c r="A24856" s="1" t="str">
        <f t="shared" si="902"/>
        <v>35620</v>
      </c>
      <c r="B24856" s="1" t="str">
        <f>"07039"</f>
        <v>07039</v>
      </c>
      <c r="C24856" s="2">
        <v>1.4338306089921201E-3</v>
      </c>
      <c r="D24856" s="2">
        <v>2.05946822870871E-3</v>
      </c>
      <c r="E24856" s="2">
        <v>4.66327487647561E-4</v>
      </c>
      <c r="F24856" s="2">
        <v>1.4285935249696599E-3</v>
      </c>
    </row>
    <row r="24857" spans="1:6" x14ac:dyDescent="0.25">
      <c r="A24857" s="1" t="str">
        <f t="shared" si="902"/>
        <v>35620</v>
      </c>
      <c r="B24857" s="1" t="str">
        <f>"07046"</f>
        <v>07046</v>
      </c>
      <c r="C24857" s="2">
        <v>1.8310660019846601E-4</v>
      </c>
      <c r="D24857" s="2">
        <v>2.2538978810883101E-4</v>
      </c>
      <c r="E24857" s="2">
        <v>6.6368706107143498E-5</v>
      </c>
      <c r="F24857" s="2">
        <v>1.7959461456761499E-4</v>
      </c>
    </row>
    <row r="24858" spans="1:6" x14ac:dyDescent="0.25">
      <c r="A24858" s="1" t="str">
        <f t="shared" si="902"/>
        <v>35620</v>
      </c>
      <c r="B24858" s="1" t="str">
        <f>"07204"</f>
        <v>07204</v>
      </c>
      <c r="C24858" s="2">
        <v>7.4074942807561301E-4</v>
      </c>
      <c r="D24858" s="2">
        <v>5.21368685680318E-4</v>
      </c>
      <c r="E24858" s="2">
        <v>5.3094964885714799E-4</v>
      </c>
      <c r="F24858" s="2">
        <v>7.0881869708833297E-4</v>
      </c>
    </row>
    <row r="24859" spans="1:6" x14ac:dyDescent="0.25">
      <c r="A24859" s="1" t="str">
        <f t="shared" si="902"/>
        <v>35620</v>
      </c>
      <c r="B24859" s="1" t="str">
        <f>"07621"</f>
        <v>07621</v>
      </c>
      <c r="C24859" s="2">
        <v>1.21251374718199E-3</v>
      </c>
      <c r="D24859" s="2">
        <v>1.02168447906475E-3</v>
      </c>
      <c r="E24859" s="2">
        <v>7.7546593451504502E-4</v>
      </c>
      <c r="F24859" s="2">
        <v>1.1690836034413401E-3</v>
      </c>
    </row>
    <row r="24860" spans="1:6" x14ac:dyDescent="0.25">
      <c r="A24860" s="1" t="str">
        <f t="shared" si="902"/>
        <v>35620</v>
      </c>
      <c r="B24860" s="1" t="str">
        <f>"07513"</f>
        <v>07513</v>
      </c>
      <c r="C24860" s="2">
        <v>3.2068876329524701E-4</v>
      </c>
      <c r="D24860" s="2">
        <v>3.6285279074663401E-4</v>
      </c>
      <c r="E24860" s="2">
        <v>8.0341065287594803E-4</v>
      </c>
      <c r="F24860" s="2">
        <v>3.540334028797E-4</v>
      </c>
    </row>
    <row r="24861" spans="1:6" x14ac:dyDescent="0.25">
      <c r="A24861" s="1" t="str">
        <f t="shared" si="902"/>
        <v>35620</v>
      </c>
      <c r="B24861" s="1" t="str">
        <f>"07538"</f>
        <v>07538</v>
      </c>
      <c r="C24861" s="2">
        <v>6.5323153514328905E-5</v>
      </c>
      <c r="D24861" s="2">
        <v>2.0557530124212E-4</v>
      </c>
      <c r="E24861" s="2">
        <v>3.49308979511281E-6</v>
      </c>
      <c r="F24861" s="2">
        <v>7.3685350235277503E-5</v>
      </c>
    </row>
    <row r="24862" spans="1:6" x14ac:dyDescent="0.25">
      <c r="A24862" s="1" t="str">
        <f t="shared" si="902"/>
        <v>35620</v>
      </c>
      <c r="B24862" s="1" t="str">
        <f>"07509"</f>
        <v>07509</v>
      </c>
      <c r="C24862" s="2">
        <v>3.4061358618185699E-4</v>
      </c>
      <c r="D24862" s="2">
        <v>3.5418395274244803E-4</v>
      </c>
      <c r="E24862" s="2">
        <v>3.49308979511281E-6</v>
      </c>
      <c r="F24862" s="2">
        <v>3.2105759745370898E-4</v>
      </c>
    </row>
    <row r="24863" spans="1:6" x14ac:dyDescent="0.25">
      <c r="A24863" s="1" t="str">
        <f t="shared" si="902"/>
        <v>35620</v>
      </c>
      <c r="B24863" s="1" t="str">
        <f>"07401"</f>
        <v>07401</v>
      </c>
      <c r="C24863" s="2">
        <v>3.48684400515674E-4</v>
      </c>
      <c r="D24863" s="2">
        <v>4.7430927937187997E-4</v>
      </c>
      <c r="E24863" s="2">
        <v>2.2181120198966299E-4</v>
      </c>
      <c r="F24863" s="2">
        <v>3.51777728892906E-4</v>
      </c>
    </row>
    <row r="24864" spans="1:6" x14ac:dyDescent="0.25">
      <c r="A24864" s="1" t="str">
        <f t="shared" si="902"/>
        <v>35620</v>
      </c>
      <c r="B24864" s="1" t="str">
        <f>"07501"</f>
        <v>07501</v>
      </c>
      <c r="C24864" s="2">
        <v>1.5424082830767501E-3</v>
      </c>
      <c r="D24864" s="2">
        <v>1.4254046489739799E-3</v>
      </c>
      <c r="E24864" s="2">
        <v>4.7663210254314404E-3</v>
      </c>
      <c r="F24864" s="2">
        <v>1.73053160005912E-3</v>
      </c>
    </row>
    <row r="24865" spans="1:6" x14ac:dyDescent="0.25">
      <c r="A24865" s="1" t="str">
        <f t="shared" si="902"/>
        <v>35620</v>
      </c>
      <c r="B24865" s="1" t="str">
        <f>"07465"</f>
        <v>07465</v>
      </c>
      <c r="C24865" s="2">
        <v>3.4200075739548202E-4</v>
      </c>
      <c r="D24865" s="2">
        <v>9.2880407187705095E-5</v>
      </c>
      <c r="E24865" s="2">
        <v>1.5194940608740699E-4</v>
      </c>
      <c r="F24865" s="2">
        <v>3.0870509704983599E-4</v>
      </c>
    </row>
    <row r="24866" spans="1:6" x14ac:dyDescent="0.25">
      <c r="A24866" s="1" t="str">
        <f t="shared" si="902"/>
        <v>35620</v>
      </c>
      <c r="B24866" s="1" t="str">
        <f>"07304"</f>
        <v>07304</v>
      </c>
      <c r="C24866" s="2">
        <v>2.3180892044409101E-3</v>
      </c>
      <c r="D24866" s="2">
        <v>1.4241662435448099E-3</v>
      </c>
      <c r="E24866" s="2">
        <v>4.0153067194821802E-3</v>
      </c>
      <c r="F24866" s="2">
        <v>2.3449342288430599E-3</v>
      </c>
    </row>
    <row r="24867" spans="1:6" x14ac:dyDescent="0.25">
      <c r="A24867" s="1" t="str">
        <f t="shared" si="902"/>
        <v>35620</v>
      </c>
      <c r="B24867" s="1" t="str">
        <f>"07663"</f>
        <v>07663</v>
      </c>
      <c r="C24867" s="2">
        <v>7.5928707974859898E-4</v>
      </c>
      <c r="D24867" s="2">
        <v>1.0885583722399E-3</v>
      </c>
      <c r="E24867" s="2">
        <v>3.8249333256485301E-4</v>
      </c>
      <c r="F24867" s="2">
        <v>7.6467348152323698E-4</v>
      </c>
    </row>
    <row r="24868" spans="1:6" x14ac:dyDescent="0.25">
      <c r="A24868" s="1" t="str">
        <f t="shared" si="902"/>
        <v>35620</v>
      </c>
      <c r="B24868" s="1" t="str">
        <f>"07666"</f>
        <v>07666</v>
      </c>
      <c r="C24868" s="2">
        <v>1.92324983445372E-3</v>
      </c>
      <c r="D24868" s="2">
        <v>1.97525665952519E-3</v>
      </c>
      <c r="E24868" s="2">
        <v>2.1447571341992699E-3</v>
      </c>
      <c r="F24868" s="2">
        <v>1.9413834113008799E-3</v>
      </c>
    </row>
    <row r="24869" spans="1:6" x14ac:dyDescent="0.25">
      <c r="A24869" s="1" t="str">
        <f t="shared" si="902"/>
        <v>35620</v>
      </c>
      <c r="B24869" s="1" t="str">
        <f>"07821"</f>
        <v>07821</v>
      </c>
      <c r="C24869" s="2">
        <v>5.6886630406011098E-4</v>
      </c>
      <c r="D24869" s="2">
        <v>3.4551511473826301E-4</v>
      </c>
      <c r="E24869" s="2">
        <v>2.6372827953101701E-4</v>
      </c>
      <c r="F24869" s="2">
        <v>5.3072786517857997E-4</v>
      </c>
    </row>
    <row r="24870" spans="1:6" x14ac:dyDescent="0.25">
      <c r="A24870" s="1" t="str">
        <f t="shared" si="902"/>
        <v>35620</v>
      </c>
      <c r="B24870" s="1" t="str">
        <f>"07826"</f>
        <v>07826</v>
      </c>
      <c r="C24870" s="2">
        <v>2.9975508861691E-4</v>
      </c>
      <c r="D24870" s="2">
        <v>1.6470792207952999E-4</v>
      </c>
      <c r="E24870" s="2">
        <v>2.8468681830169402E-4</v>
      </c>
      <c r="F24870" s="2">
        <v>2.8711507460480498E-4</v>
      </c>
    </row>
    <row r="24871" spans="1:6" x14ac:dyDescent="0.25">
      <c r="A24871" s="1" t="str">
        <f t="shared" si="902"/>
        <v>35620</v>
      </c>
      <c r="B24871" s="1" t="str">
        <f>"07860"</f>
        <v>07860</v>
      </c>
      <c r="C24871" s="2">
        <v>1.31768654646954E-3</v>
      </c>
      <c r="D24871" s="2">
        <v>1.2483126726027501E-3</v>
      </c>
      <c r="E24871" s="2">
        <v>1.6277798445225699E-3</v>
      </c>
      <c r="F24871" s="2">
        <v>1.33074023916159E-3</v>
      </c>
    </row>
    <row r="24872" spans="1:6" x14ac:dyDescent="0.25">
      <c r="A24872" s="1" t="str">
        <f t="shared" si="902"/>
        <v>35620</v>
      </c>
      <c r="B24872" s="1" t="str">
        <f>"18328"</f>
        <v>18328</v>
      </c>
      <c r="C24872" s="2">
        <v>4.8109619817985401E-4</v>
      </c>
      <c r="D24872" s="2">
        <v>1.34986191779464E-4</v>
      </c>
      <c r="E24872" s="2">
        <v>4.0170532643797399E-5</v>
      </c>
      <c r="F24872" s="2">
        <v>4.2395929647032101E-4</v>
      </c>
    </row>
    <row r="24873" spans="1:6" x14ac:dyDescent="0.25">
      <c r="A24873" s="1" t="str">
        <f t="shared" si="902"/>
        <v>35620</v>
      </c>
      <c r="B24873" s="1" t="str">
        <f>"18336"</f>
        <v>18336</v>
      </c>
      <c r="C24873" s="2">
        <v>2.3644963868603601E-4</v>
      </c>
      <c r="D24873" s="2">
        <v>1.9690646323793399E-4</v>
      </c>
      <c r="E24873" s="2">
        <v>1.2749777752161701E-4</v>
      </c>
      <c r="F24873" s="2">
        <v>2.2631929000835199E-4</v>
      </c>
    </row>
    <row r="24874" spans="1:6" x14ac:dyDescent="0.25">
      <c r="A24874" s="1" t="str">
        <f t="shared" si="902"/>
        <v>35620</v>
      </c>
      <c r="B24874" s="1" t="str">
        <f>"10993"</f>
        <v>10993</v>
      </c>
      <c r="C24874" s="2">
        <v>2.0177035834541699E-4</v>
      </c>
      <c r="D24874" s="2">
        <v>2.4891949126304902E-4</v>
      </c>
      <c r="E24874" s="2">
        <v>1.1527196323872199E-4</v>
      </c>
      <c r="F24874" s="2">
        <v>2.0054015873070401E-4</v>
      </c>
    </row>
    <row r="24875" spans="1:6" x14ac:dyDescent="0.25">
      <c r="A24875" s="1" t="str">
        <f t="shared" si="902"/>
        <v>35620</v>
      </c>
      <c r="B24875" s="1" t="str">
        <f>"10977"</f>
        <v>10977</v>
      </c>
      <c r="C24875" s="2">
        <v>2.3189719497586701E-3</v>
      </c>
      <c r="D24875" s="2">
        <v>2.1312957436005302E-3</v>
      </c>
      <c r="E24875" s="2">
        <v>2.7665271177293501E-3</v>
      </c>
      <c r="F24875" s="2">
        <v>2.3302186414053999E-3</v>
      </c>
    </row>
    <row r="24876" spans="1:6" x14ac:dyDescent="0.25">
      <c r="A24876" s="1" t="str">
        <f t="shared" si="902"/>
        <v>35620</v>
      </c>
      <c r="B24876" s="1" t="str">
        <f>"10302"</f>
        <v>10302</v>
      </c>
      <c r="C24876" s="2">
        <v>7.6899727824397202E-4</v>
      </c>
      <c r="D24876" s="2">
        <v>8.8793669271445999E-4</v>
      </c>
      <c r="E24876" s="2">
        <v>4.8204639172556802E-4</v>
      </c>
      <c r="F24876" s="2">
        <v>7.6166591620751103E-4</v>
      </c>
    </row>
    <row r="24877" spans="1:6" x14ac:dyDescent="0.25">
      <c r="A24877" s="1" t="str">
        <f t="shared" si="902"/>
        <v>35620</v>
      </c>
      <c r="B24877" s="1" t="str">
        <f>"10313"</f>
        <v>10313</v>
      </c>
      <c r="C24877" s="2">
        <v>5.5991274440853303E-5</v>
      </c>
      <c r="D24877" s="2">
        <v>9.4118812616874502E-5</v>
      </c>
      <c r="E24877" s="2">
        <v>3.49308979511281E-6</v>
      </c>
      <c r="F24877" s="2">
        <v>5.6069610528884597E-5</v>
      </c>
    </row>
    <row r="24878" spans="1:6" x14ac:dyDescent="0.25">
      <c r="A24878" s="1" t="str">
        <f t="shared" si="902"/>
        <v>35620</v>
      </c>
      <c r="B24878" s="1" t="str">
        <f>"11023"</f>
        <v>11023</v>
      </c>
      <c r="C24878" s="2">
        <v>5.2384629285428998E-4</v>
      </c>
      <c r="D24878" s="2">
        <v>6.8731501318901702E-4</v>
      </c>
      <c r="E24878" s="2">
        <v>1.2051159793139201E-4</v>
      </c>
      <c r="F24878" s="2">
        <v>5.1321953851917704E-4</v>
      </c>
    </row>
    <row r="24879" spans="1:6" x14ac:dyDescent="0.25">
      <c r="A24879" s="1" t="str">
        <f t="shared" si="902"/>
        <v>35620</v>
      </c>
      <c r="B24879" s="1" t="str">
        <f>"11202"</f>
        <v>11202</v>
      </c>
      <c r="C24879" s="2">
        <v>5.5158971712678505E-4</v>
      </c>
      <c r="D24879" s="2">
        <v>5.7585852456377095E-4</v>
      </c>
      <c r="E24879" s="2">
        <v>3.49308979511281E-6</v>
      </c>
      <c r="F24879" s="2">
        <v>5.1998656047955996E-4</v>
      </c>
    </row>
    <row r="24880" spans="1:6" x14ac:dyDescent="0.25">
      <c r="A24880" s="1" t="str">
        <f t="shared" si="902"/>
        <v>35620</v>
      </c>
      <c r="B24880" s="1" t="str">
        <f>"11236"</f>
        <v>11236</v>
      </c>
      <c r="C24880" s="2">
        <v>3.1845667870605099E-3</v>
      </c>
      <c r="D24880" s="2">
        <v>2.04336895812951E-3</v>
      </c>
      <c r="E24880" s="2">
        <v>2.65998787897841E-3</v>
      </c>
      <c r="F24880" s="2">
        <v>3.05332327374343E-3</v>
      </c>
    </row>
    <row r="24881" spans="1:6" x14ac:dyDescent="0.25">
      <c r="A24881" s="1" t="str">
        <f t="shared" si="902"/>
        <v>35620</v>
      </c>
      <c r="B24881" s="1" t="str">
        <f>"11231"</f>
        <v>11231</v>
      </c>
      <c r="C24881" s="2">
        <v>2.01291153744347E-3</v>
      </c>
      <c r="D24881" s="2">
        <v>2.1721631227631299E-3</v>
      </c>
      <c r="E24881" s="2">
        <v>5.5871971272829501E-3</v>
      </c>
      <c r="F24881" s="2">
        <v>2.2465438778000398E-3</v>
      </c>
    </row>
    <row r="24882" spans="1:6" x14ac:dyDescent="0.25">
      <c r="A24882" s="1" t="str">
        <f t="shared" si="902"/>
        <v>35620</v>
      </c>
      <c r="B24882" s="1" t="str">
        <f>"11233"</f>
        <v>11233</v>
      </c>
      <c r="C24882" s="2">
        <v>3.55166273277521E-3</v>
      </c>
      <c r="D24882" s="2">
        <v>1.4798944878574301E-3</v>
      </c>
      <c r="E24882" s="2">
        <v>6.4115663189295699E-3</v>
      </c>
      <c r="F24882" s="2">
        <v>3.5478529420863202E-3</v>
      </c>
    </row>
    <row r="24883" spans="1:6" x14ac:dyDescent="0.25">
      <c r="A24883" s="1" t="str">
        <f t="shared" si="902"/>
        <v>35620</v>
      </c>
      <c r="B24883" s="1" t="str">
        <f>"11225"</f>
        <v>11225</v>
      </c>
      <c r="C24883" s="2">
        <v>3.20449160994712E-3</v>
      </c>
      <c r="D24883" s="2">
        <v>1.60992705792022E-3</v>
      </c>
      <c r="E24883" s="2">
        <v>3.1071033727528498E-3</v>
      </c>
      <c r="F24883" s="2">
        <v>3.06019770875081E-3</v>
      </c>
    </row>
    <row r="24884" spans="1:6" x14ac:dyDescent="0.25">
      <c r="A24884" s="1" t="str">
        <f t="shared" si="902"/>
        <v>35620</v>
      </c>
      <c r="B24884" s="1" t="str">
        <f>"11413"</f>
        <v>11413</v>
      </c>
      <c r="C24884" s="2">
        <v>1.3627065576753601E-3</v>
      </c>
      <c r="D24884" s="2">
        <v>1.00558520848555E-3</v>
      </c>
      <c r="E24884" s="2">
        <v>4.2615695500376299E-4</v>
      </c>
      <c r="F24884" s="2">
        <v>1.2741335633977501E-3</v>
      </c>
    </row>
    <row r="24885" spans="1:6" x14ac:dyDescent="0.25">
      <c r="A24885" s="1" t="str">
        <f t="shared" si="902"/>
        <v>35620</v>
      </c>
      <c r="B24885" s="1" t="str">
        <f>"11354"</f>
        <v>11354</v>
      </c>
      <c r="C24885" s="2">
        <v>2.84861914041539E-3</v>
      </c>
      <c r="D24885" s="2">
        <v>4.9796282306901604E-3</v>
      </c>
      <c r="E24885" s="2">
        <v>2.5499555504323499E-3</v>
      </c>
      <c r="F24885" s="2">
        <v>3.0150842290149202E-3</v>
      </c>
    </row>
    <row r="24886" spans="1:6" x14ac:dyDescent="0.25">
      <c r="A24886" s="1" t="str">
        <f t="shared" si="902"/>
        <v>35620</v>
      </c>
      <c r="B24886" s="1" t="str">
        <f>"11249"</f>
        <v>11249</v>
      </c>
      <c r="C24886" s="2">
        <v>2.2564231386715899E-3</v>
      </c>
      <c r="D24886" s="2">
        <v>1.41921262182813E-3</v>
      </c>
      <c r="E24886" s="2">
        <v>2.7141307708026499E-3</v>
      </c>
      <c r="F24886" s="2">
        <v>2.2119568766691901E-3</v>
      </c>
    </row>
    <row r="24887" spans="1:6" x14ac:dyDescent="0.25">
      <c r="A24887" s="1" t="str">
        <f t="shared" si="902"/>
        <v>35620</v>
      </c>
      <c r="B24887" s="1" t="str">
        <f>"11561"</f>
        <v>11561</v>
      </c>
      <c r="C24887" s="2">
        <v>2.2517571991348502E-3</v>
      </c>
      <c r="D24887" s="2">
        <v>1.17153153599425E-3</v>
      </c>
      <c r="E24887" s="2">
        <v>3.00755031359213E-3</v>
      </c>
      <c r="F24887" s="2">
        <v>2.2045453764268702E-3</v>
      </c>
    </row>
    <row r="24888" spans="1:6" x14ac:dyDescent="0.25">
      <c r="A24888" s="1" t="str">
        <f t="shared" si="902"/>
        <v>35620</v>
      </c>
      <c r="B24888" s="1" t="str">
        <f>"11510"</f>
        <v>11510</v>
      </c>
      <c r="C24888" s="2">
        <v>1.5659901937083701E-3</v>
      </c>
      <c r="D24888" s="2">
        <v>1.6210727067827401E-3</v>
      </c>
      <c r="E24888" s="2">
        <v>7.1957649779323999E-4</v>
      </c>
      <c r="F24888" s="2">
        <v>1.5187130713944399E-3</v>
      </c>
    </row>
    <row r="24889" spans="1:6" x14ac:dyDescent="0.25">
      <c r="A24889" s="1" t="str">
        <f t="shared" si="902"/>
        <v>35620</v>
      </c>
      <c r="B24889" s="1" t="str">
        <f>"11436"</f>
        <v>11436</v>
      </c>
      <c r="C24889" s="2">
        <v>5.9383538590535598E-4</v>
      </c>
      <c r="D24889" s="2">
        <v>1.9319124695042601E-4</v>
      </c>
      <c r="E24889" s="2">
        <v>1.7465448975564001E-4</v>
      </c>
      <c r="F24889" s="2">
        <v>5.3330577830634502E-4</v>
      </c>
    </row>
    <row r="24890" spans="1:6" x14ac:dyDescent="0.25">
      <c r="A24890" s="1" t="str">
        <f t="shared" si="902"/>
        <v>35620</v>
      </c>
      <c r="B24890" s="1" t="str">
        <f>"11554"</f>
        <v>11554</v>
      </c>
      <c r="C24890" s="2">
        <v>1.6311872407487301E-3</v>
      </c>
      <c r="D24890" s="2">
        <v>1.2817496191903301E-3</v>
      </c>
      <c r="E24890" s="2">
        <v>4.66327487647561E-4</v>
      </c>
      <c r="F24890" s="2">
        <v>1.5292395499994799E-3</v>
      </c>
    </row>
    <row r="24891" spans="1:6" x14ac:dyDescent="0.25">
      <c r="A24891" s="1" t="str">
        <f t="shared" si="902"/>
        <v>35620</v>
      </c>
      <c r="B24891" s="1" t="str">
        <f>"11550"</f>
        <v>11550</v>
      </c>
      <c r="C24891" s="2">
        <v>2.1066086476001201E-3</v>
      </c>
      <c r="D24891" s="2">
        <v>2.22293774535907E-3</v>
      </c>
      <c r="E24891" s="2">
        <v>3.1979237074257799E-3</v>
      </c>
      <c r="F24891" s="2">
        <v>2.1838146583577599E-3</v>
      </c>
    </row>
    <row r="24892" spans="1:6" x14ac:dyDescent="0.25">
      <c r="A24892" s="1" t="str">
        <f t="shared" si="902"/>
        <v>35620</v>
      </c>
      <c r="B24892" s="1" t="str">
        <f>"11542"</f>
        <v>11542</v>
      </c>
      <c r="C24892" s="2">
        <v>1.34492554484617E-3</v>
      </c>
      <c r="D24892" s="2">
        <v>1.59258938191185E-3</v>
      </c>
      <c r="E24892" s="2">
        <v>5.0789525620940296E-3</v>
      </c>
      <c r="F24892" s="2">
        <v>1.59605046522738E-3</v>
      </c>
    </row>
    <row r="24893" spans="1:6" x14ac:dyDescent="0.25">
      <c r="A24893" s="1" t="str">
        <f t="shared" si="902"/>
        <v>35620</v>
      </c>
      <c r="B24893" s="1" t="str">
        <f>"11548"</f>
        <v>11548</v>
      </c>
      <c r="C24893" s="2">
        <v>8.97878094637107E-5</v>
      </c>
      <c r="D24893" s="2">
        <v>5.4861360512204404E-4</v>
      </c>
      <c r="E24893" s="2">
        <v>1.64175220370302E-4</v>
      </c>
      <c r="F24893" s="2">
        <v>1.3415889569076E-4</v>
      </c>
    </row>
    <row r="24894" spans="1:6" x14ac:dyDescent="0.25">
      <c r="A24894" s="1" t="str">
        <f t="shared" si="902"/>
        <v>35620</v>
      </c>
      <c r="B24894" s="1" t="str">
        <f>"11766"</f>
        <v>11766</v>
      </c>
      <c r="C24894" s="2">
        <v>6.1691287064111297E-4</v>
      </c>
      <c r="D24894" s="2">
        <v>6.0929547115134498E-4</v>
      </c>
      <c r="E24894" s="2">
        <v>1.3972359180451199E-4</v>
      </c>
      <c r="F24894" s="2">
        <v>5.8690488875445498E-4</v>
      </c>
    </row>
    <row r="24895" spans="1:6" x14ac:dyDescent="0.25">
      <c r="A24895" s="1" t="str">
        <f t="shared" si="902"/>
        <v>35620</v>
      </c>
      <c r="B24895" s="1" t="str">
        <f>"11717"</f>
        <v>11717</v>
      </c>
      <c r="C24895" s="2">
        <v>1.61580225092489E-3</v>
      </c>
      <c r="D24895" s="2">
        <v>1.3969213241030801E-3</v>
      </c>
      <c r="E24895" s="2">
        <v>4.78553301930456E-4</v>
      </c>
      <c r="F24895" s="2">
        <v>1.5268764629657E-3</v>
      </c>
    </row>
    <row r="24896" spans="1:6" x14ac:dyDescent="0.25">
      <c r="A24896" s="1" t="str">
        <f t="shared" si="902"/>
        <v>35620</v>
      </c>
      <c r="B24896" s="1" t="str">
        <f>"11724"</f>
        <v>11724</v>
      </c>
      <c r="C24896" s="2">
        <v>1.7314418875516099E-4</v>
      </c>
      <c r="D24896" s="2">
        <v>2.72449194417268E-4</v>
      </c>
      <c r="E24896" s="2">
        <v>9.7806514263158904E-5</v>
      </c>
      <c r="F24896" s="2">
        <v>1.7712411448684E-4</v>
      </c>
    </row>
    <row r="24897" spans="1:6" x14ac:dyDescent="0.25">
      <c r="A24897" s="1" t="str">
        <f t="shared" si="902"/>
        <v>35620</v>
      </c>
      <c r="B24897" s="1" t="str">
        <f>"11967"</f>
        <v>11967</v>
      </c>
      <c r="C24897" s="2">
        <v>1.1330666685834801E-3</v>
      </c>
      <c r="D24897" s="2">
        <v>7.5171209550582599E-4</v>
      </c>
      <c r="E24897" s="2">
        <v>2.07838842809212E-4</v>
      </c>
      <c r="F24897" s="2">
        <v>1.04308809932183E-3</v>
      </c>
    </row>
    <row r="24898" spans="1:6" x14ac:dyDescent="0.25">
      <c r="A24898" s="1" t="str">
        <f t="shared" si="902"/>
        <v>35620</v>
      </c>
      <c r="B24898" s="1" t="str">
        <f>"11975"</f>
        <v>11975</v>
      </c>
      <c r="C24898" s="2">
        <v>1.5221051407682401E-4</v>
      </c>
      <c r="D24898" s="2">
        <v>2.5634992383806601E-4</v>
      </c>
      <c r="E24898" s="2">
        <v>5.2396346926692202E-6</v>
      </c>
      <c r="F24898" s="2">
        <v>1.52204287585114E-4</v>
      </c>
    </row>
    <row r="24899" spans="1:6" x14ac:dyDescent="0.25">
      <c r="A24899" s="1" t="str">
        <f t="shared" si="902"/>
        <v>35620</v>
      </c>
      <c r="B24899" s="1" t="str">
        <f>"11801"</f>
        <v>11801</v>
      </c>
      <c r="C24899" s="2">
        <v>1.58150129000617E-3</v>
      </c>
      <c r="D24899" s="2">
        <v>2.95607375942736E-3</v>
      </c>
      <c r="E24899" s="2">
        <v>1.47233734864005E-3</v>
      </c>
      <c r="F24899" s="2">
        <v>1.6940111640824499E-3</v>
      </c>
    </row>
    <row r="24900" spans="1:6" x14ac:dyDescent="0.25">
      <c r="A24900" s="1" t="str">
        <f t="shared" si="902"/>
        <v>35620</v>
      </c>
      <c r="B24900" s="1" t="str">
        <f>"11789"</f>
        <v>11789</v>
      </c>
      <c r="C24900" s="2">
        <v>5.0253429875405503E-4</v>
      </c>
      <c r="D24900" s="2">
        <v>1.6223111122119099E-4</v>
      </c>
      <c r="E24900" s="2">
        <v>4.8903257131579398E-5</v>
      </c>
      <c r="F24900" s="2">
        <v>4.4511966672738999E-4</v>
      </c>
    </row>
    <row r="24901" spans="1:6" x14ac:dyDescent="0.25">
      <c r="A24901" s="1" t="str">
        <f t="shared" si="902"/>
        <v>35620</v>
      </c>
      <c r="B24901" s="1" t="str">
        <f>"11955"</f>
        <v>11955</v>
      </c>
      <c r="C24901" s="2">
        <v>2.5662667452057701E-4</v>
      </c>
      <c r="D24901" s="2">
        <v>2.3158181525467799E-4</v>
      </c>
      <c r="E24901" s="2">
        <v>2.6547482442857399E-4</v>
      </c>
      <c r="F24901" s="2">
        <v>2.54998573554735E-4</v>
      </c>
    </row>
    <row r="24902" spans="1:6" x14ac:dyDescent="0.25">
      <c r="A24902" s="1" t="str">
        <f t="shared" si="902"/>
        <v>35620</v>
      </c>
      <c r="B24902" s="1" t="str">
        <f>"11941"</f>
        <v>11941</v>
      </c>
      <c r="C24902" s="2">
        <v>1.4199588968558699E-4</v>
      </c>
      <c r="D24902" s="2">
        <v>1.12694894054415E-4</v>
      </c>
      <c r="E24902" s="2">
        <v>7.33548856973691E-5</v>
      </c>
      <c r="F24902" s="2">
        <v>1.35233026160662E-4</v>
      </c>
    </row>
    <row r="24903" spans="1:6" x14ac:dyDescent="0.25">
      <c r="A24903" s="1" t="str">
        <f t="shared" si="902"/>
        <v>35620</v>
      </c>
      <c r="B24903" s="1" t="str">
        <f>"11958"</f>
        <v>11958</v>
      </c>
      <c r="C24903" s="2">
        <v>4.8424886002900098E-5</v>
      </c>
      <c r="D24903" s="2">
        <v>1.98144868667104E-5</v>
      </c>
      <c r="E24903" s="2">
        <v>1.7465448975563999E-6</v>
      </c>
      <c r="F24903" s="2">
        <v>4.30726318430703E-5</v>
      </c>
    </row>
    <row r="24904" spans="1:6" x14ac:dyDescent="0.25">
      <c r="A24904" s="1" t="str">
        <f t="shared" si="902"/>
        <v>35620</v>
      </c>
      <c r="B24904" s="1" t="str">
        <f>"11779"</f>
        <v>11779</v>
      </c>
      <c r="C24904" s="2">
        <v>1.8390107098445101E-3</v>
      </c>
      <c r="D24904" s="2">
        <v>3.1480266009486098E-3</v>
      </c>
      <c r="E24904" s="2">
        <v>1.92119938731204E-3</v>
      </c>
      <c r="F24904" s="2">
        <v>1.9576027813964E-3</v>
      </c>
    </row>
    <row r="24905" spans="1:6" x14ac:dyDescent="0.25">
      <c r="A24905" s="1" t="str">
        <f t="shared" si="902"/>
        <v>35620</v>
      </c>
      <c r="B24905" s="1" t="str">
        <f>"11771"</f>
        <v>11771</v>
      </c>
      <c r="C24905" s="2">
        <v>5.5701229550731801E-4</v>
      </c>
      <c r="D24905" s="2">
        <v>7.7028817694336702E-4</v>
      </c>
      <c r="E24905" s="2">
        <v>7.5974703043703697E-4</v>
      </c>
      <c r="F24905" s="2">
        <v>5.87979019224357E-4</v>
      </c>
    </row>
    <row r="24906" spans="1:6" x14ac:dyDescent="0.25">
      <c r="A24906" s="1" t="str">
        <f t="shared" si="902"/>
        <v>35620</v>
      </c>
      <c r="B24906" s="1" t="str">
        <f>"08829"</f>
        <v>08829</v>
      </c>
      <c r="C24906" s="2">
        <v>1.9710441880867901E-4</v>
      </c>
      <c r="D24906" s="2">
        <v>8.4211569183519297E-5</v>
      </c>
      <c r="E24906" s="2">
        <v>8.3834155082707605E-5</v>
      </c>
      <c r="F24906" s="2">
        <v>1.8034650589654599E-4</v>
      </c>
    </row>
    <row r="24907" spans="1:6" x14ac:dyDescent="0.25">
      <c r="A24907" s="1" t="str">
        <f t="shared" ref="A24907:A24970" si="903">"35620"</f>
        <v>35620</v>
      </c>
      <c r="B24907" s="1" t="str">
        <f>"08863"</f>
        <v>08863</v>
      </c>
      <c r="C24907" s="2">
        <v>6.4856559560655099E-4</v>
      </c>
      <c r="D24907" s="2">
        <v>4.3344190020928999E-4</v>
      </c>
      <c r="E24907" s="2">
        <v>1.8688030403853499E-4</v>
      </c>
      <c r="F24907" s="2">
        <v>6.0151306314512197E-4</v>
      </c>
    </row>
    <row r="24908" spans="1:6" x14ac:dyDescent="0.25">
      <c r="A24908" s="1" t="str">
        <f t="shared" si="903"/>
        <v>35620</v>
      </c>
      <c r="B24908" s="1" t="str">
        <f>"08805"</f>
        <v>08805</v>
      </c>
      <c r="C24908" s="2">
        <v>6.9396392623426997E-4</v>
      </c>
      <c r="D24908" s="2">
        <v>7.8514904209340001E-4</v>
      </c>
      <c r="E24908" s="2">
        <v>8.7501899367576003E-4</v>
      </c>
      <c r="F24908" s="2">
        <v>7.1300780592094997E-4</v>
      </c>
    </row>
    <row r="24909" spans="1:6" x14ac:dyDescent="0.25">
      <c r="A24909" s="1" t="str">
        <f t="shared" si="903"/>
        <v>35620</v>
      </c>
      <c r="B24909" s="1" t="str">
        <f>"08809"</f>
        <v>08809</v>
      </c>
      <c r="C24909" s="2">
        <v>3.4515341924462898E-4</v>
      </c>
      <c r="D24909" s="2">
        <v>8.1239396153512703E-4</v>
      </c>
      <c r="E24909" s="2">
        <v>2.4800937545300998E-4</v>
      </c>
      <c r="F24909" s="2">
        <v>3.79705121110358E-4</v>
      </c>
    </row>
    <row r="24910" spans="1:6" x14ac:dyDescent="0.25">
      <c r="A24910" s="1" t="str">
        <f t="shared" si="903"/>
        <v>35620</v>
      </c>
      <c r="B24910" s="1" t="str">
        <f>"07747"</f>
        <v>07747</v>
      </c>
      <c r="C24910" s="2">
        <v>1.7454397061618201E-3</v>
      </c>
      <c r="D24910" s="2">
        <v>1.6743241402370299E-3</v>
      </c>
      <c r="E24910" s="2">
        <v>1.1911436201334699E-3</v>
      </c>
      <c r="F24910" s="2">
        <v>1.70518212096943E-3</v>
      </c>
    </row>
    <row r="24911" spans="1:6" x14ac:dyDescent="0.25">
      <c r="A24911" s="1" t="str">
        <f t="shared" si="903"/>
        <v>35620</v>
      </c>
      <c r="B24911" s="1" t="str">
        <f>"07753"</f>
        <v>07753</v>
      </c>
      <c r="C24911" s="2">
        <v>2.0745776032127798E-3</v>
      </c>
      <c r="D24911" s="2">
        <v>1.7808270071455899E-3</v>
      </c>
      <c r="E24911" s="2">
        <v>8.9248444265132502E-4</v>
      </c>
      <c r="F24911" s="2">
        <v>1.97640006461968E-3</v>
      </c>
    </row>
    <row r="24912" spans="1:6" x14ac:dyDescent="0.25">
      <c r="A24912" s="1" t="str">
        <f t="shared" si="903"/>
        <v>35620</v>
      </c>
      <c r="B24912" s="1" t="str">
        <f>"07755"</f>
        <v>07755</v>
      </c>
      <c r="C24912" s="2">
        <v>4.2800537264021601E-4</v>
      </c>
      <c r="D24912" s="2">
        <v>6.8236139147234004E-4</v>
      </c>
      <c r="E24912" s="2">
        <v>1.60682130575189E-4</v>
      </c>
      <c r="F24912" s="2">
        <v>4.3362647069943901E-4</v>
      </c>
    </row>
    <row r="24913" spans="1:6" x14ac:dyDescent="0.25">
      <c r="A24913" s="1" t="str">
        <f t="shared" si="903"/>
        <v>35620</v>
      </c>
      <c r="B24913" s="1" t="str">
        <f>"07751"</f>
        <v>07751</v>
      </c>
      <c r="C24913" s="2">
        <v>9.4453749000448497E-4</v>
      </c>
      <c r="D24913" s="2">
        <v>7.3065920320994598E-4</v>
      </c>
      <c r="E24913" s="2">
        <v>1.7814757955075301E-4</v>
      </c>
      <c r="F24913" s="2">
        <v>8.7885355047382003E-4</v>
      </c>
    </row>
    <row r="24914" spans="1:6" x14ac:dyDescent="0.25">
      <c r="A24914" s="1" t="str">
        <f t="shared" si="903"/>
        <v>35620</v>
      </c>
      <c r="B24914" s="1" t="str">
        <f>"07738"</f>
        <v>07738</v>
      </c>
      <c r="C24914" s="2">
        <v>3.6785258455848902E-4</v>
      </c>
      <c r="D24914" s="2">
        <v>3.7523684503832798E-4</v>
      </c>
      <c r="E24914" s="2">
        <v>5.4142891824248603E-5</v>
      </c>
      <c r="F24914" s="2">
        <v>3.49199815765141E-4</v>
      </c>
    </row>
    <row r="24915" spans="1:6" x14ac:dyDescent="0.25">
      <c r="A24915" s="1" t="str">
        <f t="shared" si="903"/>
        <v>35620</v>
      </c>
      <c r="B24915" s="1" t="str">
        <f>"07754"</f>
        <v>07754</v>
      </c>
      <c r="C24915" s="2">
        <v>8.46174440311094E-5</v>
      </c>
      <c r="D24915" s="2">
        <v>2.5387311297972697E-4</v>
      </c>
      <c r="E24915" s="2">
        <v>3.49308979511281E-6</v>
      </c>
      <c r="F24915" s="2">
        <v>9.4308655257395997E-5</v>
      </c>
    </row>
    <row r="24916" spans="1:6" x14ac:dyDescent="0.25">
      <c r="A24916" s="1" t="str">
        <f t="shared" si="903"/>
        <v>35620</v>
      </c>
      <c r="B24916" s="1" t="str">
        <f>"07730"</f>
        <v>07730</v>
      </c>
      <c r="C24916" s="2">
        <v>7.9661459604250101E-4</v>
      </c>
      <c r="D24916" s="2">
        <v>8.4583090812270095E-4</v>
      </c>
      <c r="E24916" s="2">
        <v>1.2400468772650499E-4</v>
      </c>
      <c r="F24916" s="2">
        <v>7.5951765526770698E-4</v>
      </c>
    </row>
    <row r="24917" spans="1:6" x14ac:dyDescent="0.25">
      <c r="A24917" s="1" t="str">
        <f t="shared" si="903"/>
        <v>35620</v>
      </c>
      <c r="B24917" s="1" t="str">
        <f>"07731"</f>
        <v>07731</v>
      </c>
      <c r="C24917" s="2">
        <v>1.8354797285734599E-3</v>
      </c>
      <c r="D24917" s="2">
        <v>1.46874883899491E-3</v>
      </c>
      <c r="E24917" s="2">
        <v>7.1608340799812696E-5</v>
      </c>
      <c r="F24917" s="2">
        <v>1.6951927075993399E-3</v>
      </c>
    </row>
    <row r="24918" spans="1:6" x14ac:dyDescent="0.25">
      <c r="A24918" s="1" t="str">
        <f t="shared" si="903"/>
        <v>35620</v>
      </c>
      <c r="B24918" s="1" t="str">
        <f>"07722"</f>
        <v>07722</v>
      </c>
      <c r="C24918" s="2">
        <v>5.1539715909857504E-4</v>
      </c>
      <c r="D24918" s="2">
        <v>3.6409119617580399E-4</v>
      </c>
      <c r="E24918" s="2">
        <v>4.2441041010620698E-4</v>
      </c>
      <c r="F24918" s="2">
        <v>4.9667792928268699E-4</v>
      </c>
    </row>
    <row r="24919" spans="1:6" x14ac:dyDescent="0.25">
      <c r="A24919" s="1" t="str">
        <f t="shared" si="903"/>
        <v>35620</v>
      </c>
      <c r="B24919" s="1" t="str">
        <f>"08759"</f>
        <v>08759</v>
      </c>
      <c r="C24919" s="2">
        <v>2.8930086192513801E-3</v>
      </c>
      <c r="D24919" s="2">
        <v>5.2260709110948705E-4</v>
      </c>
      <c r="E24919" s="2">
        <v>2.9167299789192001E-4</v>
      </c>
      <c r="F24919" s="2">
        <v>2.52742899567941E-3</v>
      </c>
    </row>
    <row r="24920" spans="1:6" x14ac:dyDescent="0.25">
      <c r="A24920" s="1" t="str">
        <f t="shared" si="903"/>
        <v>35620</v>
      </c>
      <c r="B24920" s="1" t="str">
        <f>"08758"</f>
        <v>08758</v>
      </c>
      <c r="C24920" s="2">
        <v>6.1287746347420504E-4</v>
      </c>
      <c r="D24920" s="2">
        <v>2.4644268040470999E-4</v>
      </c>
      <c r="E24920" s="2">
        <v>5.5889436721805E-5</v>
      </c>
      <c r="F24920" s="2">
        <v>5.4683982222710999E-4</v>
      </c>
    </row>
    <row r="24921" spans="1:6" x14ac:dyDescent="0.25">
      <c r="A24921" s="1" t="str">
        <f t="shared" si="903"/>
        <v>35620</v>
      </c>
      <c r="B24921" s="1" t="str">
        <f>"08754"</f>
        <v>08754</v>
      </c>
      <c r="C24921" s="2">
        <v>1.86007049099681E-4</v>
      </c>
      <c r="D24921" s="2">
        <v>5.4118317254702797E-4</v>
      </c>
      <c r="E24921" s="2">
        <v>3.49308979511281E-6</v>
      </c>
      <c r="F24921" s="2">
        <v>2.0558857193924299E-4</v>
      </c>
    </row>
    <row r="24922" spans="1:6" x14ac:dyDescent="0.25">
      <c r="A24922" s="1" t="str">
        <f t="shared" si="903"/>
        <v>35620</v>
      </c>
      <c r="B24922" s="1" t="str">
        <f>"08724"</f>
        <v>08724</v>
      </c>
      <c r="C24922" s="2">
        <v>2.2748346838706102E-3</v>
      </c>
      <c r="D24922" s="2">
        <v>9.9567796505219803E-4</v>
      </c>
      <c r="E24922" s="2">
        <v>4.0869150602819898E-4</v>
      </c>
      <c r="F24922" s="2">
        <v>2.04911869743205E-3</v>
      </c>
    </row>
    <row r="24923" spans="1:6" x14ac:dyDescent="0.25">
      <c r="A24923" s="1" t="str">
        <f t="shared" si="903"/>
        <v>35620</v>
      </c>
      <c r="B24923" s="1" t="str">
        <f>"08556"</f>
        <v>08556</v>
      </c>
      <c r="C24923" s="2">
        <v>6.3053236982942899E-7</v>
      </c>
      <c r="D24923" s="2">
        <v>1.2384054291694E-6</v>
      </c>
      <c r="E24923" s="2">
        <v>1.7465448975563999E-6</v>
      </c>
      <c r="F24923" s="2">
        <v>7.5189132893140298E-7</v>
      </c>
    </row>
    <row r="24924" spans="1:6" x14ac:dyDescent="0.25">
      <c r="A24924" s="1" t="str">
        <f t="shared" si="903"/>
        <v>35620</v>
      </c>
      <c r="B24924" s="1" t="str">
        <f>"10271"</f>
        <v>10271</v>
      </c>
      <c r="C24924" s="2">
        <v>0</v>
      </c>
      <c r="D24924" s="2">
        <v>1.49847056929497E-4</v>
      </c>
      <c r="E24924" s="2">
        <v>5.2396346926692202E-6</v>
      </c>
      <c r="F24924" s="2">
        <v>1.33192178267848E-5</v>
      </c>
    </row>
    <row r="24925" spans="1:6" x14ac:dyDescent="0.25">
      <c r="A24925" s="1" t="str">
        <f t="shared" si="903"/>
        <v>35620</v>
      </c>
      <c r="B24925" s="1" t="str">
        <f>"10172"</f>
        <v>10172</v>
      </c>
      <c r="C24925" s="2">
        <v>0</v>
      </c>
      <c r="D24925" s="2">
        <v>6.6873893175147593E-5</v>
      </c>
      <c r="E24925" s="2">
        <v>8.7327244877820399E-6</v>
      </c>
      <c r="F24925" s="2">
        <v>6.3373697724218204E-6</v>
      </c>
    </row>
    <row r="24926" spans="1:6" x14ac:dyDescent="0.25">
      <c r="A24926" s="1" t="str">
        <f t="shared" si="903"/>
        <v>35620</v>
      </c>
      <c r="B24926" s="1" t="str">
        <f>"10175"</f>
        <v>10175</v>
      </c>
      <c r="C24926" s="2">
        <v>0</v>
      </c>
      <c r="D24926" s="2">
        <v>2.4768108583388002E-4</v>
      </c>
      <c r="E24926" s="2">
        <v>1.04792693853384E-5</v>
      </c>
      <c r="F24926" s="2">
        <v>2.2127087679981301E-5</v>
      </c>
    </row>
    <row r="24927" spans="1:6" x14ac:dyDescent="0.25">
      <c r="A24927" s="1" t="str">
        <f t="shared" si="903"/>
        <v>35620</v>
      </c>
      <c r="B24927" s="1" t="str">
        <f>"10518"</f>
        <v>10518</v>
      </c>
      <c r="C24927" s="2">
        <v>1.25602048070022E-4</v>
      </c>
      <c r="D24927" s="2">
        <v>2.2291297725049201E-4</v>
      </c>
      <c r="E24927" s="2">
        <v>3.4930897951128099E-5</v>
      </c>
      <c r="F24927" s="2">
        <v>1.28466004200279E-4</v>
      </c>
    </row>
    <row r="24928" spans="1:6" x14ac:dyDescent="0.25">
      <c r="A24928" s="1" t="str">
        <f t="shared" si="903"/>
        <v>35620</v>
      </c>
      <c r="B24928" s="1" t="str">
        <f>"11568"</f>
        <v>11568</v>
      </c>
      <c r="C24928" s="2">
        <v>1.7957561892742099E-4</v>
      </c>
      <c r="D24928" s="2">
        <v>1.72138354654546E-4</v>
      </c>
      <c r="E24928" s="2">
        <v>2.9691263258458901E-5</v>
      </c>
      <c r="F24928" s="2">
        <v>1.6971261424451601E-4</v>
      </c>
    </row>
    <row r="24929" spans="1:6" x14ac:dyDescent="0.25">
      <c r="A24929" s="1" t="str">
        <f t="shared" si="903"/>
        <v>35620</v>
      </c>
      <c r="B24929" s="1" t="str">
        <f>"07175"</f>
        <v>07175</v>
      </c>
      <c r="C24929" s="2">
        <v>0</v>
      </c>
      <c r="D24929" s="2">
        <v>1.2384054291694E-6</v>
      </c>
      <c r="E24929" s="2">
        <v>0</v>
      </c>
      <c r="F24929" s="2">
        <v>1.074130469902E-7</v>
      </c>
    </row>
    <row r="24930" spans="1:6" x14ac:dyDescent="0.25">
      <c r="A24930" s="1" t="str">
        <f t="shared" si="903"/>
        <v>35620</v>
      </c>
      <c r="B24930" s="1" t="str">
        <f>"07097"</f>
        <v>07097</v>
      </c>
      <c r="C24930" s="2">
        <v>0</v>
      </c>
      <c r="D24930" s="2">
        <v>0</v>
      </c>
      <c r="E24930" s="2">
        <v>1.7465448975563999E-6</v>
      </c>
      <c r="F24930" s="2">
        <v>1.074130469902E-7</v>
      </c>
    </row>
    <row r="24931" spans="1:6" x14ac:dyDescent="0.25">
      <c r="A24931" s="1" t="str">
        <f t="shared" si="903"/>
        <v>35620</v>
      </c>
      <c r="B24931" s="1" t="str">
        <f>"10081"</f>
        <v>10081</v>
      </c>
      <c r="C24931" s="2">
        <v>0</v>
      </c>
      <c r="D24931" s="2">
        <v>1.2384054291694E-6</v>
      </c>
      <c r="E24931" s="2">
        <v>3.49308979511281E-6</v>
      </c>
      <c r="F24931" s="2">
        <v>3.2223914097060098E-7</v>
      </c>
    </row>
    <row r="24932" spans="1:6" x14ac:dyDescent="0.25">
      <c r="A24932" s="1" t="str">
        <f t="shared" si="903"/>
        <v>35620</v>
      </c>
      <c r="B24932" s="1" t="str">
        <f>"10106"</f>
        <v>10106</v>
      </c>
      <c r="C24932" s="2">
        <v>0</v>
      </c>
      <c r="D24932" s="2">
        <v>1.13933299483584E-4</v>
      </c>
      <c r="E24932" s="2">
        <v>1.22258142828948E-5</v>
      </c>
      <c r="F24932" s="2">
        <v>1.06338916520298E-5</v>
      </c>
    </row>
    <row r="24933" spans="1:6" x14ac:dyDescent="0.25">
      <c r="A24933" s="1" t="str">
        <f t="shared" si="903"/>
        <v>35620</v>
      </c>
      <c r="B24933" s="1" t="str">
        <f>"07926"</f>
        <v>07926</v>
      </c>
      <c r="C24933" s="2">
        <v>5.9900575133795798E-5</v>
      </c>
      <c r="D24933" s="2">
        <v>6.4397082316808806E-5</v>
      </c>
      <c r="E24933" s="2">
        <v>3.49308979511281E-6</v>
      </c>
      <c r="F24933" s="2">
        <v>5.6821501857816003E-5</v>
      </c>
    </row>
    <row r="24934" spans="1:6" x14ac:dyDescent="0.25">
      <c r="A24934" s="1" t="str">
        <f t="shared" si="903"/>
        <v>35620</v>
      </c>
      <c r="B24934" s="1" t="str">
        <f>"10154"</f>
        <v>10154</v>
      </c>
      <c r="C24934" s="2">
        <v>0</v>
      </c>
      <c r="D24934" s="2">
        <v>6.4397082316808806E-5</v>
      </c>
      <c r="E24934" s="2">
        <v>1.3972359180451199E-5</v>
      </c>
      <c r="F24934" s="2">
        <v>6.4447828194120198E-6</v>
      </c>
    </row>
    <row r="24935" spans="1:6" x14ac:dyDescent="0.25">
      <c r="A24935" s="1" t="str">
        <f t="shared" si="903"/>
        <v>35620</v>
      </c>
      <c r="B24935" s="1" t="str">
        <f>"07865"</f>
        <v>07865</v>
      </c>
      <c r="C24935" s="2">
        <v>5.1073121956183803E-5</v>
      </c>
      <c r="D24935" s="2">
        <v>4.9536217166776E-6</v>
      </c>
      <c r="E24935" s="2">
        <v>1.22258142828948E-5</v>
      </c>
      <c r="F24935" s="2">
        <v>4.4683827547923402E-5</v>
      </c>
    </row>
    <row r="24936" spans="1:6" x14ac:dyDescent="0.25">
      <c r="A24936" s="1" t="str">
        <f t="shared" si="903"/>
        <v>35620</v>
      </c>
      <c r="B24936" s="1" t="str">
        <f>"11959"</f>
        <v>11959</v>
      </c>
      <c r="C24936" s="2">
        <v>1.1980115026759101E-5</v>
      </c>
      <c r="D24936" s="2">
        <v>3.7152162875082002E-6</v>
      </c>
      <c r="E24936" s="2">
        <v>3.84239877462409E-5</v>
      </c>
      <c r="F24936" s="2">
        <v>1.2889565638824001E-5</v>
      </c>
    </row>
    <row r="24937" spans="1:6" x14ac:dyDescent="0.25">
      <c r="A24937" s="1" t="str">
        <f t="shared" si="903"/>
        <v>35620</v>
      </c>
      <c r="B24937" s="1" t="str">
        <f>"08855"</f>
        <v>08855</v>
      </c>
      <c r="C24937" s="2">
        <v>1.2799807107537401E-4</v>
      </c>
      <c r="D24937" s="2">
        <v>2.16720950104645E-4</v>
      </c>
      <c r="E24937" s="2">
        <v>3.49308979511281E-6</v>
      </c>
      <c r="F24937" s="2">
        <v>1.28036352012318E-4</v>
      </c>
    </row>
    <row r="24938" spans="1:6" x14ac:dyDescent="0.25">
      <c r="A24938" s="1" t="str">
        <f t="shared" si="903"/>
        <v>35620</v>
      </c>
      <c r="B24938" s="1" t="str">
        <f>"07961"</f>
        <v>07961</v>
      </c>
      <c r="C24938" s="2">
        <v>5.78828715503416E-5</v>
      </c>
      <c r="D24938" s="2">
        <v>1.2507894834610901E-4</v>
      </c>
      <c r="E24938" s="2">
        <v>1.7465448975563999E-6</v>
      </c>
      <c r="F24938" s="2">
        <v>6.0258719361502398E-5</v>
      </c>
    </row>
    <row r="24939" spans="1:6" x14ac:dyDescent="0.25">
      <c r="A24939" s="1" t="str">
        <f t="shared" si="903"/>
        <v>35620</v>
      </c>
      <c r="B24939" s="1" t="str">
        <f>"07446"</f>
        <v>07446</v>
      </c>
      <c r="C24939" s="2">
        <v>7.8085128679676499E-4</v>
      </c>
      <c r="D24939" s="2">
        <v>1.29289526805285E-3</v>
      </c>
      <c r="E24939" s="2">
        <v>6.7765942025188597E-4</v>
      </c>
      <c r="F24939" s="2">
        <v>8.1891707025328795E-4</v>
      </c>
    </row>
    <row r="24940" spans="1:6" x14ac:dyDescent="0.25">
      <c r="A24940" s="1" t="str">
        <f t="shared" si="903"/>
        <v>35620</v>
      </c>
      <c r="B24940" s="1" t="str">
        <f>"07416"</f>
        <v>07416</v>
      </c>
      <c r="C24940" s="2">
        <v>3.2258036040473599E-4</v>
      </c>
      <c r="D24940" s="2">
        <v>3.5913757445912598E-4</v>
      </c>
      <c r="E24940" s="2">
        <v>4.2790349990131998E-4</v>
      </c>
      <c r="F24940" s="2">
        <v>3.3222855434069E-4</v>
      </c>
    </row>
    <row r="24941" spans="1:6" x14ac:dyDescent="0.25">
      <c r="A24941" s="1" t="str">
        <f t="shared" si="903"/>
        <v>35620</v>
      </c>
      <c r="B24941" s="1" t="str">
        <f>"07940"</f>
        <v>07940</v>
      </c>
      <c r="C24941" s="2">
        <v>8.4062575545659497E-4</v>
      </c>
      <c r="D24941" s="2">
        <v>8.3716207011851496E-4</v>
      </c>
      <c r="E24941" s="2">
        <v>1.4147013670206901E-3</v>
      </c>
      <c r="F24941" s="2">
        <v>8.7563115906411396E-4</v>
      </c>
    </row>
    <row r="24942" spans="1:6" x14ac:dyDescent="0.25">
      <c r="A24942" s="1" t="str">
        <f t="shared" si="903"/>
        <v>35620</v>
      </c>
      <c r="B24942" s="1" t="str">
        <f>"07936"</f>
        <v>07936</v>
      </c>
      <c r="C24942" s="2">
        <v>5.6117380914819201E-4</v>
      </c>
      <c r="D24942" s="2">
        <v>1.27679599747365E-3</v>
      </c>
      <c r="E24942" s="2">
        <v>5.3094964885714799E-4</v>
      </c>
      <c r="F24942" s="2">
        <v>6.2138447683830896E-4</v>
      </c>
    </row>
    <row r="24943" spans="1:6" x14ac:dyDescent="0.25">
      <c r="A24943" s="1" t="str">
        <f t="shared" si="903"/>
        <v>35620</v>
      </c>
      <c r="B24943" s="1" t="str">
        <f>"07946"</f>
        <v>07946</v>
      </c>
      <c r="C24943" s="2">
        <v>1.39095440784372E-4</v>
      </c>
      <c r="D24943" s="2">
        <v>1.4365502978365001E-4</v>
      </c>
      <c r="E24943" s="2">
        <v>3.3184353053571702E-5</v>
      </c>
      <c r="F24943" s="2">
        <v>1.32977352173868E-4</v>
      </c>
    </row>
    <row r="24944" spans="1:6" x14ac:dyDescent="0.25">
      <c r="A24944" s="1" t="str">
        <f t="shared" si="903"/>
        <v>35620</v>
      </c>
      <c r="B24944" s="1" t="str">
        <f>"07902"</f>
        <v>07902</v>
      </c>
      <c r="C24944" s="2">
        <v>1.29259135815033E-4</v>
      </c>
      <c r="D24944" s="2">
        <v>4.0000495362171602E-4</v>
      </c>
      <c r="E24944" s="2">
        <v>3.49308979511281E-6</v>
      </c>
      <c r="F24944" s="2">
        <v>1.4500761343677E-4</v>
      </c>
    </row>
    <row r="24945" spans="1:6" x14ac:dyDescent="0.25">
      <c r="A24945" s="1" t="str">
        <f t="shared" si="903"/>
        <v>35620</v>
      </c>
      <c r="B24945" s="1" t="str">
        <f>"07661"</f>
        <v>07661</v>
      </c>
      <c r="C24945" s="2">
        <v>5.3721357909467405E-4</v>
      </c>
      <c r="D24945" s="2">
        <v>3.8266727761334502E-4</v>
      </c>
      <c r="E24945" s="2">
        <v>9.32654975295122E-4</v>
      </c>
      <c r="F24945" s="2">
        <v>5.4812877879099301E-4</v>
      </c>
    </row>
    <row r="24946" spans="1:6" x14ac:dyDescent="0.25">
      <c r="A24946" s="1" t="str">
        <f t="shared" si="903"/>
        <v>35620</v>
      </c>
      <c r="B24946" s="1" t="str">
        <f>"07676"</f>
        <v>07676</v>
      </c>
      <c r="C24946" s="2">
        <v>4.21952261889854E-4</v>
      </c>
      <c r="D24946" s="2">
        <v>9.4118812616874502E-5</v>
      </c>
      <c r="E24946" s="2">
        <v>3.3184353053571702E-5</v>
      </c>
      <c r="F24946" s="2">
        <v>3.69608294693279E-4</v>
      </c>
    </row>
    <row r="24947" spans="1:6" x14ac:dyDescent="0.25">
      <c r="A24947" s="1" t="str">
        <f t="shared" si="903"/>
        <v>35620</v>
      </c>
      <c r="B24947" s="1" t="str">
        <f>"07825"</f>
        <v>07825</v>
      </c>
      <c r="C24947" s="2">
        <v>1.00885179172708E-5</v>
      </c>
      <c r="D24947" s="2">
        <v>0</v>
      </c>
      <c r="E24947" s="2">
        <v>0</v>
      </c>
      <c r="F24947" s="2">
        <v>8.5930437592160304E-6</v>
      </c>
    </row>
    <row r="24948" spans="1:6" x14ac:dyDescent="0.25">
      <c r="A24948" s="1" t="str">
        <f t="shared" si="903"/>
        <v>35620</v>
      </c>
      <c r="B24948" s="1" t="str">
        <f>"07662"</f>
        <v>07662</v>
      </c>
      <c r="C24948" s="2">
        <v>2.7819088156874399E-4</v>
      </c>
      <c r="D24948" s="2">
        <v>5.6595128113041601E-4</v>
      </c>
      <c r="E24948" s="2">
        <v>2.8817990809680701E-4</v>
      </c>
      <c r="F24948" s="2">
        <v>3.0376409688828601E-4</v>
      </c>
    </row>
    <row r="24949" spans="1:6" x14ac:dyDescent="0.25">
      <c r="A24949" s="1" t="str">
        <f t="shared" si="903"/>
        <v>35620</v>
      </c>
      <c r="B24949" s="1" t="str">
        <f>"07827"</f>
        <v>07827</v>
      </c>
      <c r="C24949" s="2">
        <v>1.55363175925971E-4</v>
      </c>
      <c r="D24949" s="2">
        <v>7.6781136608502799E-5</v>
      </c>
      <c r="E24949" s="2">
        <v>5.4142891824248603E-5</v>
      </c>
      <c r="F24949" s="2">
        <v>1.4232228726201499E-4</v>
      </c>
    </row>
    <row r="24950" spans="1:6" x14ac:dyDescent="0.25">
      <c r="A24950" s="1" t="str">
        <f t="shared" si="903"/>
        <v>35620</v>
      </c>
      <c r="B24950" s="1" t="str">
        <f>"07836"</f>
        <v>07836</v>
      </c>
      <c r="C24950" s="2">
        <v>6.0493275561435405E-4</v>
      </c>
      <c r="D24950" s="2">
        <v>5.6471287570124696E-4</v>
      </c>
      <c r="E24950" s="2">
        <v>6.61940516173879E-4</v>
      </c>
      <c r="F24950" s="2">
        <v>6.0495028064880903E-4</v>
      </c>
    </row>
    <row r="24951" spans="1:6" x14ac:dyDescent="0.25">
      <c r="A24951" s="1" t="str">
        <f t="shared" si="903"/>
        <v>35620</v>
      </c>
      <c r="B24951" s="1" t="str">
        <f>"07645"</f>
        <v>07645</v>
      </c>
      <c r="C24951" s="2">
        <v>3.9395662466942702E-4</v>
      </c>
      <c r="D24951" s="2">
        <v>6.0805706572217603E-4</v>
      </c>
      <c r="E24951" s="2">
        <v>3.8947951215507901E-4</v>
      </c>
      <c r="F24951" s="2">
        <v>4.1225127434838898E-4</v>
      </c>
    </row>
    <row r="24952" spans="1:6" x14ac:dyDescent="0.25">
      <c r="A24952" s="1" t="str">
        <f t="shared" si="903"/>
        <v>35620</v>
      </c>
      <c r="B24952" s="1" t="str">
        <f>"07938"</f>
        <v>07938</v>
      </c>
      <c r="C24952" s="2">
        <v>0</v>
      </c>
      <c r="D24952" s="2">
        <v>0</v>
      </c>
      <c r="E24952" s="2">
        <v>1.7465448975563999E-6</v>
      </c>
      <c r="F24952" s="2">
        <v>1.074130469902E-7</v>
      </c>
    </row>
    <row r="24953" spans="1:6" x14ac:dyDescent="0.25">
      <c r="A24953" s="1" t="str">
        <f t="shared" si="903"/>
        <v>35620</v>
      </c>
      <c r="B24953" s="1" t="str">
        <f>"10045"</f>
        <v>10045</v>
      </c>
      <c r="C24953" s="2">
        <v>0</v>
      </c>
      <c r="D24953" s="2">
        <v>2.4768108583388E-6</v>
      </c>
      <c r="E24953" s="2">
        <v>0</v>
      </c>
      <c r="F24953" s="2">
        <v>2.1482609398039999E-7</v>
      </c>
    </row>
    <row r="24954" spans="1:6" x14ac:dyDescent="0.25">
      <c r="A24954" s="1" t="str">
        <f t="shared" si="903"/>
        <v>35620</v>
      </c>
      <c r="B24954" s="1" t="str">
        <f>"07831"</f>
        <v>07831</v>
      </c>
      <c r="C24954" s="2">
        <v>0</v>
      </c>
      <c r="D24954" s="2">
        <v>0</v>
      </c>
      <c r="E24954" s="2">
        <v>1.7465448975563999E-6</v>
      </c>
      <c r="F24954" s="2">
        <v>1.074130469902E-7</v>
      </c>
    </row>
    <row r="24955" spans="1:6" x14ac:dyDescent="0.25">
      <c r="A24955" s="1" t="str">
        <f t="shared" si="903"/>
        <v>35620</v>
      </c>
      <c r="B24955" s="1" t="str">
        <f>"08803"</f>
        <v>08803</v>
      </c>
      <c r="C24955" s="2">
        <v>0</v>
      </c>
      <c r="D24955" s="2">
        <v>1.2384054291694E-6</v>
      </c>
      <c r="E24955" s="2">
        <v>0</v>
      </c>
      <c r="F24955" s="2">
        <v>1.074130469902E-7</v>
      </c>
    </row>
    <row r="24956" spans="1:6" x14ac:dyDescent="0.25">
      <c r="A24956" s="1" t="str">
        <f t="shared" si="903"/>
        <v>35620</v>
      </c>
      <c r="B24956" s="1" t="str">
        <f>"10457"</f>
        <v>10457</v>
      </c>
      <c r="C24956" s="2">
        <v>3.4946626065426299E-3</v>
      </c>
      <c r="D24956" s="2">
        <v>1.9777334703835301E-3</v>
      </c>
      <c r="E24956" s="2">
        <v>3.00755031359213E-3</v>
      </c>
      <c r="F24956" s="2">
        <v>3.3331342611529098E-3</v>
      </c>
    </row>
    <row r="24957" spans="1:6" x14ac:dyDescent="0.25">
      <c r="A24957" s="1" t="str">
        <f t="shared" si="903"/>
        <v>35620</v>
      </c>
      <c r="B24957" s="1" t="str">
        <f>"10038"</f>
        <v>10038</v>
      </c>
      <c r="C24957" s="2">
        <v>1.7941168051126501E-3</v>
      </c>
      <c r="D24957" s="2">
        <v>3.5232634459869401E-3</v>
      </c>
      <c r="E24957" s="2">
        <v>1.2243279731870399E-3</v>
      </c>
      <c r="F24957" s="2">
        <v>1.90905208415683E-3</v>
      </c>
    </row>
    <row r="24958" spans="1:6" x14ac:dyDescent="0.25">
      <c r="A24958" s="1" t="str">
        <f t="shared" si="903"/>
        <v>35620</v>
      </c>
      <c r="B24958" s="1" t="str">
        <f>"10075"</f>
        <v>10075</v>
      </c>
      <c r="C24958" s="2">
        <v>2.2904718866423798E-3</v>
      </c>
      <c r="D24958" s="2">
        <v>1.17153153599425E-3</v>
      </c>
      <c r="E24958" s="2">
        <v>2.0836280627847901E-3</v>
      </c>
      <c r="F24958" s="2">
        <v>2.1806996799950502E-3</v>
      </c>
    </row>
    <row r="24959" spans="1:6" x14ac:dyDescent="0.25">
      <c r="A24959" s="1" t="str">
        <f t="shared" si="903"/>
        <v>35620</v>
      </c>
      <c r="B24959" s="1" t="str">
        <f>"10069"</f>
        <v>10069</v>
      </c>
      <c r="C24959" s="2">
        <v>5.1905424684358596E-4</v>
      </c>
      <c r="D24959" s="2">
        <v>5.4489838883453601E-5</v>
      </c>
      <c r="E24959" s="2">
        <v>6.2875616312030704E-5</v>
      </c>
      <c r="F24959" s="2">
        <v>4.5070514517088099E-4</v>
      </c>
    </row>
    <row r="24960" spans="1:6" x14ac:dyDescent="0.25">
      <c r="A24960" s="1" t="str">
        <f t="shared" si="903"/>
        <v>35620</v>
      </c>
      <c r="B24960" s="1" t="str">
        <f>"10122"</f>
        <v>10122</v>
      </c>
      <c r="C24960" s="2">
        <v>0</v>
      </c>
      <c r="D24960" s="2">
        <v>2.9845570842982499E-4</v>
      </c>
      <c r="E24960" s="2">
        <v>1.9211993873120399E-5</v>
      </c>
      <c r="F24960" s="2">
        <v>2.70680878415305E-5</v>
      </c>
    </row>
    <row r="24961" spans="1:6" x14ac:dyDescent="0.25">
      <c r="A24961" s="1" t="str">
        <f t="shared" si="903"/>
        <v>35620</v>
      </c>
      <c r="B24961" s="1" t="str">
        <f>"10455"</f>
        <v>10455</v>
      </c>
      <c r="C24961" s="2">
        <v>2.0593187198629098E-3</v>
      </c>
      <c r="D24961" s="2">
        <v>1.74119803341217E-3</v>
      </c>
      <c r="E24961" s="2">
        <v>2.3229047137500198E-3</v>
      </c>
      <c r="F24961" s="2">
        <v>2.0479371539151598E-3</v>
      </c>
    </row>
    <row r="24962" spans="1:6" x14ac:dyDescent="0.25">
      <c r="A24962" s="1" t="str">
        <f t="shared" si="903"/>
        <v>35620</v>
      </c>
      <c r="B24962" s="1" t="str">
        <f>"10168"</f>
        <v>10168</v>
      </c>
      <c r="C24962" s="2">
        <v>0</v>
      </c>
      <c r="D24962" s="2">
        <v>4.1734262963008799E-4</v>
      </c>
      <c r="E24962" s="2">
        <v>1.7465448975563999E-5</v>
      </c>
      <c r="F24962" s="2">
        <v>3.7272327305599499E-5</v>
      </c>
    </row>
    <row r="24963" spans="1:6" x14ac:dyDescent="0.25">
      <c r="A24963" s="1" t="str">
        <f t="shared" si="903"/>
        <v>35620</v>
      </c>
      <c r="B24963" s="1" t="str">
        <f>"10169"</f>
        <v>10169</v>
      </c>
      <c r="C24963" s="2">
        <v>0</v>
      </c>
      <c r="D24963" s="2">
        <v>3.0093251928816402E-4</v>
      </c>
      <c r="E24963" s="2">
        <v>5.4142891824248603E-5</v>
      </c>
      <c r="F24963" s="2">
        <v>2.9431174875314899E-5</v>
      </c>
    </row>
    <row r="24964" spans="1:6" x14ac:dyDescent="0.25">
      <c r="A24964" s="1" t="str">
        <f t="shared" si="903"/>
        <v>35620</v>
      </c>
      <c r="B24964" s="1" t="str">
        <f>"10536"</f>
        <v>10536</v>
      </c>
      <c r="C24964" s="2">
        <v>5.6836187816424702E-4</v>
      </c>
      <c r="D24964" s="2">
        <v>4.9783898252609901E-4</v>
      </c>
      <c r="E24964" s="2">
        <v>2.7246100401879901E-4</v>
      </c>
      <c r="F24964" s="2">
        <v>5.4404708300536504E-4</v>
      </c>
    </row>
    <row r="24965" spans="1:6" x14ac:dyDescent="0.25">
      <c r="A24965" s="1" t="str">
        <f t="shared" si="903"/>
        <v>35620</v>
      </c>
      <c r="B24965" s="1" t="str">
        <f>"10548"</f>
        <v>10548</v>
      </c>
      <c r="C24965" s="2">
        <v>1.5586760182183501E-4</v>
      </c>
      <c r="D24965" s="2">
        <v>1.2384054291694001E-4</v>
      </c>
      <c r="E24965" s="2">
        <v>1.22258142828948E-4</v>
      </c>
      <c r="F24965" s="2">
        <v>1.51022744068221E-4</v>
      </c>
    </row>
    <row r="24966" spans="1:6" x14ac:dyDescent="0.25">
      <c r="A24966" s="1" t="str">
        <f t="shared" si="903"/>
        <v>35620</v>
      </c>
      <c r="B24966" s="1" t="str">
        <f>"10546"</f>
        <v>10546</v>
      </c>
      <c r="C24966" s="2">
        <v>1.3329454298194099E-4</v>
      </c>
      <c r="D24966" s="2">
        <v>2.6873397812976003E-4</v>
      </c>
      <c r="E24966" s="2">
        <v>4.5410167336466597E-5</v>
      </c>
      <c r="F24966" s="2">
        <v>1.3963696108725999E-4</v>
      </c>
    </row>
    <row r="24967" spans="1:6" x14ac:dyDescent="0.25">
      <c r="A24967" s="1" t="str">
        <f t="shared" si="903"/>
        <v>35620</v>
      </c>
      <c r="B24967" s="1" t="str">
        <f>"10535"</f>
        <v>10535</v>
      </c>
      <c r="C24967" s="2">
        <v>1.07821035240832E-4</v>
      </c>
      <c r="D24967" s="2">
        <v>2.3282022068384699E-4</v>
      </c>
      <c r="E24967" s="2">
        <v>2.0958538770676901E-5</v>
      </c>
      <c r="F24967" s="2">
        <v>1.1332076457466099E-4</v>
      </c>
    </row>
    <row r="24968" spans="1:6" x14ac:dyDescent="0.25">
      <c r="A24968" s="1" t="str">
        <f t="shared" si="903"/>
        <v>35620</v>
      </c>
      <c r="B24968" s="1" t="str">
        <f>"10474"</f>
        <v>10474</v>
      </c>
      <c r="C24968" s="2">
        <v>5.3733968556863904E-4</v>
      </c>
      <c r="D24968" s="2">
        <v>1.77835019628726E-3</v>
      </c>
      <c r="E24968" s="2">
        <v>6.9687141412500702E-4</v>
      </c>
      <c r="F24968" s="2">
        <v>6.5478993445226201E-4</v>
      </c>
    </row>
    <row r="24969" spans="1:6" x14ac:dyDescent="0.25">
      <c r="A24969" s="1" t="str">
        <f t="shared" si="903"/>
        <v>35620</v>
      </c>
      <c r="B24969" s="1" t="str">
        <f>"10510"</f>
        <v>10510</v>
      </c>
      <c r="C24969" s="2">
        <v>5.2523346406791404E-4</v>
      </c>
      <c r="D24969" s="2">
        <v>7.5295050093499602E-4</v>
      </c>
      <c r="E24969" s="2">
        <v>2.6722136932613E-4</v>
      </c>
      <c r="F24969" s="2">
        <v>5.2911666947372705E-4</v>
      </c>
    </row>
    <row r="24970" spans="1:6" x14ac:dyDescent="0.25">
      <c r="A24970" s="1" t="str">
        <f t="shared" si="903"/>
        <v>35620</v>
      </c>
      <c r="B24970" s="1" t="str">
        <f>"10524"</f>
        <v>10524</v>
      </c>
      <c r="C24970" s="2">
        <v>2.6280589174490601E-4</v>
      </c>
      <c r="D24970" s="2">
        <v>1.88237625233749E-4</v>
      </c>
      <c r="E24970" s="2">
        <v>5.2396346926692199E-5</v>
      </c>
      <c r="F24970" s="2">
        <v>2.43397964479794E-4</v>
      </c>
    </row>
    <row r="24971" spans="1:6" x14ac:dyDescent="0.25">
      <c r="A24971" s="1" t="str">
        <f t="shared" ref="A24971:A25034" si="904">"35620"</f>
        <v>35620</v>
      </c>
      <c r="B24971" s="1" t="str">
        <f>"10601"</f>
        <v>10601</v>
      </c>
      <c r="C24971" s="2">
        <v>7.8148181916659501E-4</v>
      </c>
      <c r="D24971" s="2">
        <v>3.0984903837818398E-3</v>
      </c>
      <c r="E24971" s="2">
        <v>9.2217570590978301E-4</v>
      </c>
      <c r="F24971" s="2">
        <v>9.9110018457857895E-4</v>
      </c>
    </row>
    <row r="24972" spans="1:6" x14ac:dyDescent="0.25">
      <c r="A24972" s="1" t="str">
        <f t="shared" si="904"/>
        <v>35620</v>
      </c>
      <c r="B24972" s="1" t="str">
        <f>"10606"</f>
        <v>10606</v>
      </c>
      <c r="C24972" s="2">
        <v>7.8450837454177602E-4</v>
      </c>
      <c r="D24972" s="2">
        <v>6.4644763402642704E-4</v>
      </c>
      <c r="E24972" s="2">
        <v>1.13525418341166E-3</v>
      </c>
      <c r="F24972" s="2">
        <v>7.9410465639855195E-4</v>
      </c>
    </row>
    <row r="24973" spans="1:6" x14ac:dyDescent="0.25">
      <c r="A24973" s="1" t="str">
        <f t="shared" si="904"/>
        <v>35620</v>
      </c>
      <c r="B24973" s="1" t="str">
        <f>"10573"</f>
        <v>10573</v>
      </c>
      <c r="C24973" s="2">
        <v>1.7622118671992799E-3</v>
      </c>
      <c r="D24973" s="2">
        <v>2.4817644800554802E-3</v>
      </c>
      <c r="E24973" s="2">
        <v>2.4294439525009599E-3</v>
      </c>
      <c r="F24973" s="2">
        <v>1.8656572131727899E-3</v>
      </c>
    </row>
    <row r="24974" spans="1:6" x14ac:dyDescent="0.25">
      <c r="A24974" s="1" t="str">
        <f t="shared" si="904"/>
        <v>35620</v>
      </c>
      <c r="B24974" s="1" t="str">
        <f>"10580"</f>
        <v>10580</v>
      </c>
      <c r="C24974" s="2">
        <v>9.2587373185753401E-4</v>
      </c>
      <c r="D24974" s="2">
        <v>9.6595623475213301E-4</v>
      </c>
      <c r="E24974" s="2">
        <v>6.3224925291542004E-4</v>
      </c>
      <c r="F24974" s="2">
        <v>9.1129229066485998E-4</v>
      </c>
    </row>
    <row r="24975" spans="1:6" x14ac:dyDescent="0.25">
      <c r="A24975" s="1" t="str">
        <f t="shared" si="904"/>
        <v>35620</v>
      </c>
      <c r="B24975" s="1" t="str">
        <f>"10567"</f>
        <v>10567</v>
      </c>
      <c r="C24975" s="2">
        <v>8.77953271750497E-4</v>
      </c>
      <c r="D24975" s="2">
        <v>4.5201798164683102E-4</v>
      </c>
      <c r="E24975" s="2">
        <v>2.1831811219455099E-4</v>
      </c>
      <c r="F24975" s="2">
        <v>8.0044202617097398E-4</v>
      </c>
    </row>
    <row r="24976" spans="1:6" x14ac:dyDescent="0.25">
      <c r="A24976" s="1" t="str">
        <f t="shared" si="904"/>
        <v>35620</v>
      </c>
      <c r="B24976" s="1" t="str">
        <f>"07011"</f>
        <v>07011</v>
      </c>
      <c r="C24976" s="2">
        <v>1.57431322099011E-3</v>
      </c>
      <c r="D24976" s="2">
        <v>1.7709197637122401E-3</v>
      </c>
      <c r="E24976" s="2">
        <v>1.8303790526391099E-3</v>
      </c>
      <c r="F24976" s="2">
        <v>1.6071140090673701E-3</v>
      </c>
    </row>
    <row r="24977" spans="1:6" x14ac:dyDescent="0.25">
      <c r="A24977" s="1" t="str">
        <f t="shared" si="904"/>
        <v>35620</v>
      </c>
      <c r="B24977" s="1" t="str">
        <f>"07012"</f>
        <v>07012</v>
      </c>
      <c r="C24977" s="2">
        <v>7.3835340507026202E-4</v>
      </c>
      <c r="D24977" s="2">
        <v>8.7183742213525805E-4</v>
      </c>
      <c r="E24977" s="2">
        <v>1.15795926707989E-3</v>
      </c>
      <c r="F24977" s="2">
        <v>7.7573702536322701E-4</v>
      </c>
    </row>
    <row r="24978" spans="1:6" x14ac:dyDescent="0.25">
      <c r="A24978" s="1" t="str">
        <f t="shared" si="904"/>
        <v>35620</v>
      </c>
      <c r="B24978" s="1" t="str">
        <f>"07029"</f>
        <v>07029</v>
      </c>
      <c r="C24978" s="2">
        <v>1.0314248505669801E-3</v>
      </c>
      <c r="D24978" s="2">
        <v>7.25705581493269E-4</v>
      </c>
      <c r="E24978" s="2">
        <v>1.8548306812049E-3</v>
      </c>
      <c r="F24978" s="2">
        <v>1.0555480127726999E-3</v>
      </c>
    </row>
    <row r="24979" spans="1:6" x14ac:dyDescent="0.25">
      <c r="A24979" s="1" t="str">
        <f t="shared" si="904"/>
        <v>35620</v>
      </c>
      <c r="B24979" s="1" t="str">
        <f>"07040"</f>
        <v>07040</v>
      </c>
      <c r="C24979" s="2">
        <v>1.20772170117128E-3</v>
      </c>
      <c r="D24979" s="2">
        <v>1.27803440290282E-3</v>
      </c>
      <c r="E24979" s="2">
        <v>7.7371938961748896E-4</v>
      </c>
      <c r="F24979" s="2">
        <v>1.1871289953356899E-3</v>
      </c>
    </row>
    <row r="24980" spans="1:6" x14ac:dyDescent="0.25">
      <c r="A24980" s="1" t="str">
        <f t="shared" si="904"/>
        <v>35620</v>
      </c>
      <c r="B24980" s="1" t="str">
        <f>"07034"</f>
        <v>07034</v>
      </c>
      <c r="C24980" s="2">
        <v>4.80970091705888E-4</v>
      </c>
      <c r="D24980" s="2">
        <v>1.9319124695042601E-4</v>
      </c>
      <c r="E24980" s="2">
        <v>1.13525418341166E-4</v>
      </c>
      <c r="F24980" s="2">
        <v>4.3341164460545802E-4</v>
      </c>
    </row>
    <row r="24981" spans="1:6" x14ac:dyDescent="0.25">
      <c r="A24981" s="1" t="str">
        <f t="shared" si="904"/>
        <v>35620</v>
      </c>
      <c r="B24981" s="1" t="str">
        <f>"07052"</f>
        <v>07052</v>
      </c>
      <c r="C24981" s="2">
        <v>2.2453257689625901E-3</v>
      </c>
      <c r="D24981" s="2">
        <v>1.9343892803626E-3</v>
      </c>
      <c r="E24981" s="2">
        <v>1.68716237103949E-3</v>
      </c>
      <c r="F24981" s="2">
        <v>2.1840294844517401E-3</v>
      </c>
    </row>
    <row r="24982" spans="1:6" x14ac:dyDescent="0.25">
      <c r="A24982" s="1" t="str">
        <f t="shared" si="904"/>
        <v>35620</v>
      </c>
      <c r="B24982" s="1" t="str">
        <f>"07042"</f>
        <v>07042</v>
      </c>
      <c r="C24982" s="2">
        <v>1.52399673787773E-3</v>
      </c>
      <c r="D24982" s="2">
        <v>2.0978587970129602E-3</v>
      </c>
      <c r="E24982" s="2">
        <v>2.4346835871936301E-3</v>
      </c>
      <c r="F24982" s="2">
        <v>1.6297781619823101E-3</v>
      </c>
    </row>
    <row r="24983" spans="1:6" x14ac:dyDescent="0.25">
      <c r="A24983" s="1" t="str">
        <f t="shared" si="904"/>
        <v>35620</v>
      </c>
      <c r="B24983" s="1" t="str">
        <f>"07022"</f>
        <v>07022</v>
      </c>
      <c r="C24983" s="2">
        <v>6.7895725583232895E-4</v>
      </c>
      <c r="D24983" s="2">
        <v>7.8638744752256896E-4</v>
      </c>
      <c r="E24983" s="2">
        <v>1.7151070894003901E-3</v>
      </c>
      <c r="F24983" s="2">
        <v>7.5199874197839304E-4</v>
      </c>
    </row>
    <row r="24984" spans="1:6" x14ac:dyDescent="0.25">
      <c r="A24984" s="1" t="str">
        <f t="shared" si="904"/>
        <v>35620</v>
      </c>
      <c r="B24984" s="1" t="str">
        <f>"07019"</f>
        <v>07019</v>
      </c>
      <c r="C24984" s="2">
        <v>2.0164425187145101E-4</v>
      </c>
      <c r="D24984" s="2">
        <v>2.7864122156311501E-4</v>
      </c>
      <c r="E24984" s="2">
        <v>6.9861795902256301E-6</v>
      </c>
      <c r="F24984" s="2">
        <v>1.9635104989808601E-4</v>
      </c>
    </row>
    <row r="24985" spans="1:6" x14ac:dyDescent="0.25">
      <c r="A24985" s="1" t="str">
        <f t="shared" si="904"/>
        <v>35620</v>
      </c>
      <c r="B24985" s="1" t="str">
        <f>"07021"</f>
        <v>07021</v>
      </c>
      <c r="C24985" s="2">
        <v>1.02524563334265E-4</v>
      </c>
      <c r="D24985" s="2">
        <v>1.36224597208634E-5</v>
      </c>
      <c r="E24985" s="2">
        <v>6.9861795902256301E-6</v>
      </c>
      <c r="F24985" s="2">
        <v>8.8938002907886003E-5</v>
      </c>
    </row>
    <row r="24986" spans="1:6" x14ac:dyDescent="0.25">
      <c r="A24986" s="1" t="str">
        <f t="shared" si="904"/>
        <v>35620</v>
      </c>
      <c r="B24986" s="1" t="str">
        <f>"07203"</f>
        <v>07203</v>
      </c>
      <c r="C24986" s="2">
        <v>1.1243653218798301E-3</v>
      </c>
      <c r="D24986" s="2">
        <v>8.3840047554768402E-4</v>
      </c>
      <c r="E24986" s="2">
        <v>1.30117594867952E-3</v>
      </c>
      <c r="F24986" s="2">
        <v>1.1104360797846899E-3</v>
      </c>
    </row>
    <row r="24987" spans="1:6" x14ac:dyDescent="0.25">
      <c r="A24987" s="1" t="str">
        <f t="shared" si="904"/>
        <v>35620</v>
      </c>
      <c r="B24987" s="1" t="str">
        <f>"07206"</f>
        <v>07206</v>
      </c>
      <c r="C24987" s="2">
        <v>1.02083190675384E-3</v>
      </c>
      <c r="D24987" s="2">
        <v>9.6719464018130195E-4</v>
      </c>
      <c r="E24987" s="2">
        <v>2.2512963729502101E-3</v>
      </c>
      <c r="F24987" s="2">
        <v>1.09185362265538E-3</v>
      </c>
    </row>
    <row r="24988" spans="1:6" x14ac:dyDescent="0.25">
      <c r="A24988" s="1" t="str">
        <f t="shared" si="904"/>
        <v>35620</v>
      </c>
      <c r="B24988" s="1" t="str">
        <f>"07201"</f>
        <v>07201</v>
      </c>
      <c r="C24988" s="2">
        <v>1.0546284417767E-3</v>
      </c>
      <c r="D24988" s="2">
        <v>2.1337725544588698E-3</v>
      </c>
      <c r="E24988" s="2">
        <v>3.0809051992894999E-3</v>
      </c>
      <c r="F24988" s="2">
        <v>1.27284460683387E-3</v>
      </c>
    </row>
    <row r="24989" spans="1:6" x14ac:dyDescent="0.25">
      <c r="A24989" s="1" t="str">
        <f t="shared" si="904"/>
        <v>35620</v>
      </c>
      <c r="B24989" s="1" t="str">
        <f>"07205"</f>
        <v>07205</v>
      </c>
      <c r="C24989" s="2">
        <v>1.0610598719489599E-3</v>
      </c>
      <c r="D24989" s="2">
        <v>1.20249167172348E-3</v>
      </c>
      <c r="E24989" s="2">
        <v>1.2138487038017001E-3</v>
      </c>
      <c r="F24989" s="2">
        <v>1.08272351366122E-3</v>
      </c>
    </row>
    <row r="24990" spans="1:6" x14ac:dyDescent="0.25">
      <c r="A24990" s="1" t="str">
        <f t="shared" si="904"/>
        <v>35620</v>
      </c>
      <c r="B24990" s="1" t="str">
        <f>"07093"</f>
        <v>07093</v>
      </c>
      <c r="C24990" s="2">
        <v>3.36716896136312E-3</v>
      </c>
      <c r="D24990" s="2">
        <v>2.3517319099926898E-3</v>
      </c>
      <c r="E24990" s="2">
        <v>4.9409755151870799E-3</v>
      </c>
      <c r="F24990" s="2">
        <v>3.3758846538550101E-3</v>
      </c>
    </row>
    <row r="24991" spans="1:6" x14ac:dyDescent="0.25">
      <c r="A24991" s="1" t="str">
        <f t="shared" si="904"/>
        <v>35620</v>
      </c>
      <c r="B24991" s="1" t="str">
        <f>"07077"</f>
        <v>07077</v>
      </c>
      <c r="C24991" s="2">
        <v>1.3014188113279399E-4</v>
      </c>
      <c r="D24991" s="2">
        <v>4.2105784591759601E-5</v>
      </c>
      <c r="E24991" s="2">
        <v>6.4622161209587094E-5</v>
      </c>
      <c r="F24991" s="2">
        <v>1.18476590830191E-4</v>
      </c>
    </row>
    <row r="24992" spans="1:6" x14ac:dyDescent="0.25">
      <c r="A24992" s="1" t="str">
        <f t="shared" si="904"/>
        <v>35620</v>
      </c>
      <c r="B24992" s="1" t="str">
        <f>"07512"</f>
        <v>07512</v>
      </c>
      <c r="C24992" s="2">
        <v>4.7630415216915102E-4</v>
      </c>
      <c r="D24992" s="2">
        <v>9.8453231618967404E-4</v>
      </c>
      <c r="E24992" s="2">
        <v>5.0125838559868902E-4</v>
      </c>
      <c r="F24992" s="2">
        <v>5.2191999532538399E-4</v>
      </c>
    </row>
    <row r="24993" spans="1:6" x14ac:dyDescent="0.25">
      <c r="A24993" s="1" t="str">
        <f t="shared" si="904"/>
        <v>35620</v>
      </c>
      <c r="B24993" s="1" t="str">
        <f>"07503"</f>
        <v>07503</v>
      </c>
      <c r="C24993" s="2">
        <v>6.6382447895642295E-4</v>
      </c>
      <c r="D24993" s="2">
        <v>9.4985696417292998E-4</v>
      </c>
      <c r="E24993" s="2">
        <v>1.91945284241449E-3</v>
      </c>
      <c r="F24993" s="2">
        <v>7.6585502504012901E-4</v>
      </c>
    </row>
    <row r="24994" spans="1:6" x14ac:dyDescent="0.25">
      <c r="A24994" s="1" t="str">
        <f t="shared" si="904"/>
        <v>35620</v>
      </c>
      <c r="B24994" s="1" t="str">
        <f>"07544"</f>
        <v>07544</v>
      </c>
      <c r="C24994" s="2">
        <v>7.9699291546439901E-5</v>
      </c>
      <c r="D24994" s="2">
        <v>3.8390568304251399E-5</v>
      </c>
      <c r="E24994" s="2">
        <v>3.49308979511281E-6</v>
      </c>
      <c r="F24994" s="2">
        <v>7.1429676248483301E-5</v>
      </c>
    </row>
    <row r="24995" spans="1:6" x14ac:dyDescent="0.25">
      <c r="A24995" s="1" t="str">
        <f t="shared" si="904"/>
        <v>35620</v>
      </c>
      <c r="B24995" s="1" t="str">
        <f>"07403"</f>
        <v>07403</v>
      </c>
      <c r="C24995" s="2">
        <v>3.9458715703925699E-4</v>
      </c>
      <c r="D24995" s="2">
        <v>2.36535436971355E-4</v>
      </c>
      <c r="E24995" s="2">
        <v>3.1088499176503998E-4</v>
      </c>
      <c r="F24995" s="2">
        <v>3.7573083837172101E-4</v>
      </c>
    </row>
    <row r="24996" spans="1:6" x14ac:dyDescent="0.25">
      <c r="A24996" s="1" t="str">
        <f t="shared" si="904"/>
        <v>35620</v>
      </c>
      <c r="B24996" s="1" t="str">
        <f>"11211"</f>
        <v>11211</v>
      </c>
      <c r="C24996" s="2">
        <v>3.63363194085303E-3</v>
      </c>
      <c r="D24996" s="2">
        <v>3.8130503164125799E-3</v>
      </c>
      <c r="E24996" s="2">
        <v>8.6908074102406904E-3</v>
      </c>
      <c r="F24996" s="2">
        <v>3.9602116294817002E-3</v>
      </c>
    </row>
    <row r="24997" spans="1:6" x14ac:dyDescent="0.25">
      <c r="A24997" s="1" t="str">
        <f t="shared" si="904"/>
        <v>35620</v>
      </c>
      <c r="B24997" s="1" t="str">
        <f>"11235"</f>
        <v>11235</v>
      </c>
      <c r="C24997" s="2">
        <v>4.62155005790178E-3</v>
      </c>
      <c r="D24997" s="2">
        <v>3.0006563548774499E-3</v>
      </c>
      <c r="E24997" s="2">
        <v>3.2433338747622502E-3</v>
      </c>
      <c r="F24997" s="2">
        <v>4.3962011872149204E-3</v>
      </c>
    </row>
    <row r="24998" spans="1:6" x14ac:dyDescent="0.25">
      <c r="A24998" s="1" t="str">
        <f t="shared" si="904"/>
        <v>35620</v>
      </c>
      <c r="B24998" s="1" t="str">
        <f>"11220"</f>
        <v>11220</v>
      </c>
      <c r="C24998" s="2">
        <v>3.0341217636192098E-3</v>
      </c>
      <c r="D24998" s="2">
        <v>4.0570161859589497E-3</v>
      </c>
      <c r="E24998" s="2">
        <v>6.5582760903243097E-3</v>
      </c>
      <c r="F24998" s="2">
        <v>3.3395790439723202E-3</v>
      </c>
    </row>
    <row r="24999" spans="1:6" x14ac:dyDescent="0.25">
      <c r="A24999" s="1" t="str">
        <f t="shared" si="904"/>
        <v>35620</v>
      </c>
      <c r="B24999" s="1" t="str">
        <f>"11219"</f>
        <v>11219</v>
      </c>
      <c r="C24999" s="2">
        <v>3.0614868684698099E-3</v>
      </c>
      <c r="D24999" s="2">
        <v>3.9121227507461298E-3</v>
      </c>
      <c r="E24999" s="2">
        <v>7.2691198636297702E-3</v>
      </c>
      <c r="F24999" s="2">
        <v>3.3940374587963498E-3</v>
      </c>
    </row>
    <row r="25000" spans="1:6" x14ac:dyDescent="0.25">
      <c r="A25000" s="1" t="str">
        <f t="shared" si="904"/>
        <v>35620</v>
      </c>
      <c r="B25000" s="1" t="str">
        <f>"11412"</f>
        <v>11412</v>
      </c>
      <c r="C25000" s="2">
        <v>1.2748103453211401E-3</v>
      </c>
      <c r="D25000" s="2">
        <v>9.9443955962302908E-4</v>
      </c>
      <c r="E25000" s="2">
        <v>3.0040572237970202E-4</v>
      </c>
      <c r="F25000" s="2">
        <v>1.1905662128393799E-3</v>
      </c>
    </row>
    <row r="25001" spans="1:6" x14ac:dyDescent="0.25">
      <c r="A25001" s="1" t="str">
        <f t="shared" si="904"/>
        <v>35620</v>
      </c>
      <c r="B25001" s="1" t="str">
        <f>"11358"</f>
        <v>11358</v>
      </c>
      <c r="C25001" s="2">
        <v>1.5953730021424199E-3</v>
      </c>
      <c r="D25001" s="2">
        <v>1.6210727067827401E-3</v>
      </c>
      <c r="E25001" s="2">
        <v>1.5945954914689999E-3</v>
      </c>
      <c r="F25001" s="2">
        <v>1.59755424788525E-3</v>
      </c>
    </row>
    <row r="25002" spans="1:6" x14ac:dyDescent="0.25">
      <c r="A25002" s="1" t="str">
        <f t="shared" si="904"/>
        <v>35620</v>
      </c>
      <c r="B25002" s="1" t="str">
        <f>"11357"</f>
        <v>11357</v>
      </c>
      <c r="C25002" s="2">
        <v>1.7753269404917401E-3</v>
      </c>
      <c r="D25002" s="2">
        <v>1.24335905088607E-3</v>
      </c>
      <c r="E25002" s="2">
        <v>8.2436919164662504E-4</v>
      </c>
      <c r="F25002" s="2">
        <v>1.6707025328855699E-3</v>
      </c>
    </row>
    <row r="25003" spans="1:6" x14ac:dyDescent="0.25">
      <c r="A25003" s="1" t="str">
        <f t="shared" si="904"/>
        <v>35620</v>
      </c>
      <c r="B25003" s="1" t="str">
        <f>"11374"</f>
        <v>11374</v>
      </c>
      <c r="C25003" s="2">
        <v>2.6933820709633899E-3</v>
      </c>
      <c r="D25003" s="2">
        <v>1.50218578558248E-3</v>
      </c>
      <c r="E25003" s="2">
        <v>1.14049381810433E-3</v>
      </c>
      <c r="F25003" s="2">
        <v>2.4945606033004099E-3</v>
      </c>
    </row>
    <row r="25004" spans="1:6" x14ac:dyDescent="0.25">
      <c r="A25004" s="1" t="str">
        <f t="shared" si="904"/>
        <v>35620</v>
      </c>
      <c r="B25004" s="1" t="str">
        <f>"11507"</f>
        <v>11507</v>
      </c>
      <c r="C25004" s="2">
        <v>3.3695649843684699E-4</v>
      </c>
      <c r="D25004" s="2">
        <v>4.5201798164683102E-4</v>
      </c>
      <c r="E25004" s="2">
        <v>1.4321668159962501E-4</v>
      </c>
      <c r="F25004" s="2">
        <v>3.3502129356243501E-4</v>
      </c>
    </row>
    <row r="25005" spans="1:6" x14ac:dyDescent="0.25">
      <c r="A25005" s="1" t="str">
        <f t="shared" si="904"/>
        <v>35620</v>
      </c>
      <c r="B25005" s="1" t="str">
        <f>"11509"</f>
        <v>11509</v>
      </c>
      <c r="C25005" s="2">
        <v>1.5662424066563001E-4</v>
      </c>
      <c r="D25005" s="2">
        <v>5.9443460600131203E-5</v>
      </c>
      <c r="E25005" s="2">
        <v>5.9382526516917903E-5</v>
      </c>
      <c r="F25005" s="2">
        <v>1.4221487421502499E-4</v>
      </c>
    </row>
    <row r="25006" spans="1:6" x14ac:dyDescent="0.25">
      <c r="A25006" s="1" t="str">
        <f t="shared" si="904"/>
        <v>35620</v>
      </c>
      <c r="B25006" s="1" t="str">
        <f>"11530"</f>
        <v>11530</v>
      </c>
      <c r="C25006" s="2">
        <v>1.3639676224150199E-3</v>
      </c>
      <c r="D25006" s="2">
        <v>3.4997337428327199E-3</v>
      </c>
      <c r="E25006" s="2">
        <v>1.65397801798591E-3</v>
      </c>
      <c r="F25006" s="2">
        <v>1.5670489425400301E-3</v>
      </c>
    </row>
    <row r="25007" spans="1:6" x14ac:dyDescent="0.25">
      <c r="A25007" s="1" t="str">
        <f t="shared" si="904"/>
        <v>35620</v>
      </c>
      <c r="B25007" s="1" t="str">
        <f>"11418"</f>
        <v>11418</v>
      </c>
      <c r="C25007" s="2">
        <v>1.1773300409455101E-3</v>
      </c>
      <c r="D25007" s="2">
        <v>1.32757062006959E-3</v>
      </c>
      <c r="E25007" s="2">
        <v>9.29161885500009E-4</v>
      </c>
      <c r="F25007" s="2">
        <v>1.17509873407279E-3</v>
      </c>
    </row>
    <row r="25008" spans="1:6" x14ac:dyDescent="0.25">
      <c r="A25008" s="1" t="str">
        <f t="shared" si="904"/>
        <v>35620</v>
      </c>
      <c r="B25008" s="1" t="str">
        <f>"11427"</f>
        <v>11427</v>
      </c>
      <c r="C25008" s="2">
        <v>9.0847103845024201E-4</v>
      </c>
      <c r="D25008" s="2">
        <v>2.72449194417268E-4</v>
      </c>
      <c r="E25008" s="2">
        <v>3.7026751828195801E-4</v>
      </c>
      <c r="F25008" s="2">
        <v>8.2020602681716999E-4</v>
      </c>
    </row>
    <row r="25009" spans="1:6" x14ac:dyDescent="0.25">
      <c r="A25009" s="1" t="str">
        <f t="shared" si="904"/>
        <v>35620</v>
      </c>
      <c r="B25009" s="1" t="str">
        <f>"11755"</f>
        <v>11755</v>
      </c>
      <c r="C25009" s="2">
        <v>6.2120049075595402E-4</v>
      </c>
      <c r="D25009" s="2">
        <v>6.9969906748071104E-4</v>
      </c>
      <c r="E25009" s="2">
        <v>1.5020286118985101E-4</v>
      </c>
      <c r="F25009" s="2">
        <v>5.9904256306434801E-4</v>
      </c>
    </row>
    <row r="25010" spans="1:6" x14ac:dyDescent="0.25">
      <c r="A25010" s="1" t="str">
        <f t="shared" si="904"/>
        <v>35620</v>
      </c>
      <c r="B25010" s="1" t="str">
        <f>"11725"</f>
        <v>11725</v>
      </c>
      <c r="C25010" s="2">
        <v>1.3160471623079801E-3</v>
      </c>
      <c r="D25010" s="2">
        <v>2.07432909385874E-3</v>
      </c>
      <c r="E25010" s="2">
        <v>6.9337832432989402E-4</v>
      </c>
      <c r="F25010" s="2">
        <v>1.3435223917534201E-3</v>
      </c>
    </row>
    <row r="25011" spans="1:6" x14ac:dyDescent="0.25">
      <c r="A25011" s="1" t="str">
        <f t="shared" si="904"/>
        <v>35620</v>
      </c>
      <c r="B25011" s="1" t="str">
        <f>"11730"</f>
        <v>11730</v>
      </c>
      <c r="C25011" s="2">
        <v>7.0682678657878997E-4</v>
      </c>
      <c r="D25011" s="2">
        <v>6.5883168831812095E-4</v>
      </c>
      <c r="E25011" s="2">
        <v>3.2311080604793498E-4</v>
      </c>
      <c r="F25011" s="2">
        <v>6.7906528307204699E-4</v>
      </c>
    </row>
    <row r="25012" spans="1:6" x14ac:dyDescent="0.25">
      <c r="A25012" s="1" t="str">
        <f t="shared" si="904"/>
        <v>35620</v>
      </c>
      <c r="B25012" s="1" t="str">
        <f>"11722"</f>
        <v>11722</v>
      </c>
      <c r="C25012" s="2">
        <v>1.35930168287828E-3</v>
      </c>
      <c r="D25012" s="2">
        <v>9.919627487646901E-4</v>
      </c>
      <c r="E25012" s="2">
        <v>5.2396346926692199E-4</v>
      </c>
      <c r="F25012" s="2">
        <v>1.27606699824358E-3</v>
      </c>
    </row>
    <row r="25013" spans="1:6" x14ac:dyDescent="0.25">
      <c r="A25013" s="1" t="str">
        <f t="shared" si="904"/>
        <v>35620</v>
      </c>
      <c r="B25013" s="1" t="str">
        <f>"11727"</f>
        <v>11727</v>
      </c>
      <c r="C25013" s="2">
        <v>1.51895247891909E-3</v>
      </c>
      <c r="D25013" s="2">
        <v>8.6688380041858096E-4</v>
      </c>
      <c r="E25013" s="2">
        <v>1.0461803936362799E-3</v>
      </c>
      <c r="F25013" s="2">
        <v>1.43331969903723E-3</v>
      </c>
    </row>
    <row r="25014" spans="1:6" x14ac:dyDescent="0.25">
      <c r="A25014" s="1" t="str">
        <f t="shared" si="904"/>
        <v>35620</v>
      </c>
      <c r="B25014" s="1" t="str">
        <f>"11746"</f>
        <v>11746</v>
      </c>
      <c r="C25014" s="2">
        <v>2.74735564182079E-3</v>
      </c>
      <c r="D25014" s="2">
        <v>2.3542087208510299E-3</v>
      </c>
      <c r="E25014" s="2">
        <v>1.1090560099483099E-3</v>
      </c>
      <c r="F25014" s="2">
        <v>2.61250012889565E-3</v>
      </c>
    </row>
    <row r="25015" spans="1:6" x14ac:dyDescent="0.25">
      <c r="A25015" s="1" t="str">
        <f t="shared" si="904"/>
        <v>35620</v>
      </c>
      <c r="B25015" s="1" t="str">
        <f>"11747"</f>
        <v>11747</v>
      </c>
      <c r="C25015" s="2">
        <v>1.0732921999236499E-3</v>
      </c>
      <c r="D25015" s="2">
        <v>2.7826969993436398E-3</v>
      </c>
      <c r="E25015" s="2">
        <v>1.0741251119971899E-3</v>
      </c>
      <c r="F25015" s="2">
        <v>1.22160858341955E-3</v>
      </c>
    </row>
    <row r="25016" spans="1:6" x14ac:dyDescent="0.25">
      <c r="A25016" s="1" t="str">
        <f t="shared" si="904"/>
        <v>35620</v>
      </c>
      <c r="B25016" s="1" t="str">
        <f>"11963"</f>
        <v>11963</v>
      </c>
      <c r="C25016" s="2">
        <v>9.7379419196457102E-4</v>
      </c>
      <c r="D25016" s="2">
        <v>6.9846066205154198E-4</v>
      </c>
      <c r="E25016" s="2">
        <v>1.37977046906956E-4</v>
      </c>
      <c r="F25016" s="2">
        <v>8.9851013807302701E-4</v>
      </c>
    </row>
    <row r="25017" spans="1:6" x14ac:dyDescent="0.25">
      <c r="A25017" s="1" t="str">
        <f t="shared" si="904"/>
        <v>35620</v>
      </c>
      <c r="B25017" s="1" t="str">
        <f>"11978"</f>
        <v>11978</v>
      </c>
      <c r="C25017" s="2">
        <v>5.7164064648735995E-4</v>
      </c>
      <c r="D25017" s="2">
        <v>8.5326134069771702E-4</v>
      </c>
      <c r="E25017" s="2">
        <v>2.6023518973590401E-4</v>
      </c>
      <c r="F25017" s="2">
        <v>5.7691547538436599E-4</v>
      </c>
    </row>
    <row r="25018" spans="1:6" x14ac:dyDescent="0.25">
      <c r="A25018" s="1" t="str">
        <f t="shared" si="904"/>
        <v>35620</v>
      </c>
      <c r="B25018" s="1" t="str">
        <f>"11901"</f>
        <v>11901</v>
      </c>
      <c r="C25018" s="2">
        <v>1.6966365007370201E-3</v>
      </c>
      <c r="D25018" s="2">
        <v>2.6687636998600599E-3</v>
      </c>
      <c r="E25018" s="2">
        <v>9.5012042427068601E-4</v>
      </c>
      <c r="F25018" s="2">
        <v>1.7350429480327001E-3</v>
      </c>
    </row>
    <row r="25019" spans="1:6" x14ac:dyDescent="0.25">
      <c r="A25019" s="1" t="str">
        <f t="shared" si="904"/>
        <v>35620</v>
      </c>
      <c r="B25019" s="1" t="str">
        <f>"11790"</f>
        <v>11790</v>
      </c>
      <c r="C25019" s="2">
        <v>7.4011889570578396E-4</v>
      </c>
      <c r="D25019" s="2">
        <v>8.5449974612688705E-4</v>
      </c>
      <c r="E25019" s="2">
        <v>1.3623050200939899E-4</v>
      </c>
      <c r="F25019" s="2">
        <v>7.1290039287395996E-4</v>
      </c>
    </row>
    <row r="25020" spans="1:6" x14ac:dyDescent="0.25">
      <c r="A25020" s="1" t="str">
        <f t="shared" si="904"/>
        <v>35620</v>
      </c>
      <c r="B25020" s="1" t="str">
        <f>"11948"</f>
        <v>11948</v>
      </c>
      <c r="C25020" s="2">
        <v>7.4024500217975E-5</v>
      </c>
      <c r="D25020" s="2">
        <v>1.4860865150032801E-5</v>
      </c>
      <c r="E25020" s="2">
        <v>1.7465448975563999E-6</v>
      </c>
      <c r="F25020" s="2">
        <v>6.4447828194120205E-5</v>
      </c>
    </row>
    <row r="25021" spans="1:6" x14ac:dyDescent="0.25">
      <c r="A25021" s="1" t="str">
        <f t="shared" si="904"/>
        <v>35620</v>
      </c>
      <c r="B25021" s="1" t="str">
        <f>"11934"</f>
        <v>11934</v>
      </c>
      <c r="C25021" s="2">
        <v>4.90554183727296E-4</v>
      </c>
      <c r="D25021" s="2">
        <v>7.3685123035579299E-4</v>
      </c>
      <c r="E25021" s="2">
        <v>1.7989412444831E-4</v>
      </c>
      <c r="F25021" s="2">
        <v>4.9281105959103903E-4</v>
      </c>
    </row>
    <row r="25022" spans="1:6" x14ac:dyDescent="0.25">
      <c r="A25022" s="1" t="str">
        <f t="shared" si="904"/>
        <v>35620</v>
      </c>
      <c r="B25022" s="1" t="str">
        <f>"11931"</f>
        <v>11931</v>
      </c>
      <c r="C25022" s="2">
        <v>2.0177035834541699E-4</v>
      </c>
      <c r="D25022" s="2">
        <v>1.8204559808790199E-4</v>
      </c>
      <c r="E25022" s="2">
        <v>3.49308979511281E-6</v>
      </c>
      <c r="F25022" s="2">
        <v>1.8786541918585999E-4</v>
      </c>
    </row>
    <row r="25023" spans="1:6" x14ac:dyDescent="0.25">
      <c r="A25023" s="1" t="str">
        <f t="shared" si="904"/>
        <v>35620</v>
      </c>
      <c r="B25023" s="1" t="str">
        <f>"11782"</f>
        <v>11782</v>
      </c>
      <c r="C25023" s="2">
        <v>8.2145757141377995E-4</v>
      </c>
      <c r="D25023" s="2">
        <v>9.9320115419385905E-4</v>
      </c>
      <c r="E25023" s="2">
        <v>6.8639214473966803E-4</v>
      </c>
      <c r="F25023" s="2">
        <v>8.2804717924745504E-4</v>
      </c>
    </row>
    <row r="25024" spans="1:6" x14ac:dyDescent="0.25">
      <c r="A25024" s="1" t="str">
        <f t="shared" si="904"/>
        <v>35620</v>
      </c>
      <c r="B25024" s="1" t="str">
        <f>"11776"</f>
        <v>11776</v>
      </c>
      <c r="C25024" s="2">
        <v>1.11566397517619E-3</v>
      </c>
      <c r="D25024" s="2">
        <v>1.1802003739984301E-3</v>
      </c>
      <c r="E25024" s="2">
        <v>5.6762709170583197E-4</v>
      </c>
      <c r="F25024" s="2">
        <v>1.08755710077577E-3</v>
      </c>
    </row>
    <row r="25025" spans="1:6" x14ac:dyDescent="0.25">
      <c r="A25025" s="1" t="str">
        <f t="shared" si="904"/>
        <v>35620</v>
      </c>
      <c r="B25025" s="1" t="str">
        <f>"07631"</f>
        <v>07631</v>
      </c>
      <c r="C25025" s="2">
        <v>1.48666922158382E-3</v>
      </c>
      <c r="D25025" s="2">
        <v>2.1944544204881701E-3</v>
      </c>
      <c r="E25025" s="2">
        <v>1.8478445016146801E-3</v>
      </c>
      <c r="F25025" s="2">
        <v>1.5702713339497401E-3</v>
      </c>
    </row>
    <row r="25026" spans="1:6" x14ac:dyDescent="0.25">
      <c r="A25026" s="1" t="str">
        <f t="shared" si="904"/>
        <v>35620</v>
      </c>
      <c r="B25026" s="1" t="str">
        <f>"07650"</f>
        <v>07650</v>
      </c>
      <c r="C25026" s="2">
        <v>9.2335160237821598E-4</v>
      </c>
      <c r="D25026" s="2">
        <v>1.16162429256089E-3</v>
      </c>
      <c r="E25026" s="2">
        <v>3.8039747868778501E-3</v>
      </c>
      <c r="F25026" s="2">
        <v>1.12117738448371E-3</v>
      </c>
    </row>
    <row r="25027" spans="1:6" x14ac:dyDescent="0.25">
      <c r="A25027" s="1" t="str">
        <f t="shared" si="904"/>
        <v>35620</v>
      </c>
      <c r="B25027" s="1" t="str">
        <f>"08882"</f>
        <v>08882</v>
      </c>
      <c r="C25027" s="2">
        <v>7.9938893846974999E-4</v>
      </c>
      <c r="D25027" s="2">
        <v>6.7121574260981497E-4</v>
      </c>
      <c r="E25027" s="2">
        <v>9.0471025693421899E-4</v>
      </c>
      <c r="F25027" s="2">
        <v>7.9474913468049297E-4</v>
      </c>
    </row>
    <row r="25028" spans="1:6" x14ac:dyDescent="0.25">
      <c r="A25028" s="1" t="str">
        <f t="shared" si="904"/>
        <v>35620</v>
      </c>
      <c r="B25028" s="1" t="str">
        <f>"08889"</f>
        <v>08889</v>
      </c>
      <c r="C25028" s="2">
        <v>6.0064513549951397E-4</v>
      </c>
      <c r="D25028" s="2">
        <v>4.4954117078849199E-4</v>
      </c>
      <c r="E25028" s="2">
        <v>1.37977046906956E-4</v>
      </c>
      <c r="F25028" s="2">
        <v>5.5908490958399303E-4</v>
      </c>
    </row>
    <row r="25029" spans="1:6" x14ac:dyDescent="0.25">
      <c r="A25029" s="1" t="str">
        <f t="shared" si="904"/>
        <v>35620</v>
      </c>
      <c r="B25029" s="1" t="str">
        <f>"08903"</f>
        <v>08903</v>
      </c>
      <c r="C25029" s="2">
        <v>2.9420640376241102E-4</v>
      </c>
      <c r="D25029" s="2">
        <v>3.9876654819254702E-4</v>
      </c>
      <c r="E25029" s="2">
        <v>6.9861795902256301E-6</v>
      </c>
      <c r="F25029" s="2">
        <v>2.8561129194694298E-4</v>
      </c>
    </row>
    <row r="25030" spans="1:6" x14ac:dyDescent="0.25">
      <c r="A25030" s="1" t="str">
        <f t="shared" si="904"/>
        <v>35620</v>
      </c>
      <c r="B25030" s="1" t="str">
        <f>"08830"</f>
        <v>08830</v>
      </c>
      <c r="C25030" s="2">
        <v>9.3533171740497502E-4</v>
      </c>
      <c r="D25030" s="2">
        <v>1.37834524266554E-3</v>
      </c>
      <c r="E25030" s="2">
        <v>4.8029984682801201E-4</v>
      </c>
      <c r="F25030" s="2">
        <v>9.4577187874871505E-4</v>
      </c>
    </row>
    <row r="25031" spans="1:6" x14ac:dyDescent="0.25">
      <c r="A25031" s="1" t="str">
        <f t="shared" si="904"/>
        <v>35620</v>
      </c>
      <c r="B25031" s="1" t="str">
        <f>"08846"</f>
        <v>08846</v>
      </c>
      <c r="C25031" s="2">
        <v>7.0367412472964301E-4</v>
      </c>
      <c r="D25031" s="2">
        <v>1.0749359125190401E-3</v>
      </c>
      <c r="E25031" s="2">
        <v>3.1263153666259702E-4</v>
      </c>
      <c r="F25031" s="2">
        <v>7.1182626240405805E-4</v>
      </c>
    </row>
    <row r="25032" spans="1:6" x14ac:dyDescent="0.25">
      <c r="A25032" s="1" t="str">
        <f t="shared" si="904"/>
        <v>35620</v>
      </c>
      <c r="B25032" s="1" t="str">
        <f>"08827"</f>
        <v>08827</v>
      </c>
      <c r="C25032" s="2">
        <v>2.1311994100234701E-4</v>
      </c>
      <c r="D25032" s="2">
        <v>1.51085462358666E-4</v>
      </c>
      <c r="E25032" s="2">
        <v>3.52802069306394E-4</v>
      </c>
      <c r="F25032" s="2">
        <v>2.1632987663826301E-4</v>
      </c>
    </row>
    <row r="25033" spans="1:6" x14ac:dyDescent="0.25">
      <c r="A25033" s="1" t="str">
        <f t="shared" si="904"/>
        <v>35620</v>
      </c>
      <c r="B25033" s="1" t="str">
        <f>"08812"</f>
        <v>08812</v>
      </c>
      <c r="C25033" s="2">
        <v>6.9673826866151905E-4</v>
      </c>
      <c r="D25033" s="2">
        <v>9.0279755786449299E-4</v>
      </c>
      <c r="E25033" s="2">
        <v>4.3838276928665799E-4</v>
      </c>
      <c r="F25033" s="2">
        <v>6.9872187067125397E-4</v>
      </c>
    </row>
    <row r="25034" spans="1:6" x14ac:dyDescent="0.25">
      <c r="A25034" s="1" t="str">
        <f t="shared" si="904"/>
        <v>35620</v>
      </c>
      <c r="B25034" s="1" t="str">
        <f>"08810"</f>
        <v>08810</v>
      </c>
      <c r="C25034" s="2">
        <v>4.1262038281637798E-4</v>
      </c>
      <c r="D25034" s="2">
        <v>5.4985201055121396E-4</v>
      </c>
      <c r="E25034" s="2">
        <v>2.27050836682333E-4</v>
      </c>
      <c r="F25034" s="2">
        <v>4.1311057872431099E-4</v>
      </c>
    </row>
    <row r="25035" spans="1:6" x14ac:dyDescent="0.25">
      <c r="A25035" s="1" t="str">
        <f t="shared" ref="A25035:A25083" si="905">"35620"</f>
        <v>35620</v>
      </c>
      <c r="B25035" s="1" t="str">
        <f>"08801"</f>
        <v>08801</v>
      </c>
      <c r="C25035" s="2">
        <v>4.4793019552682599E-4</v>
      </c>
      <c r="D25035" s="2">
        <v>2.6006514012557398E-4</v>
      </c>
      <c r="E25035" s="2">
        <v>1.1177887344361E-4</v>
      </c>
      <c r="F25035" s="2">
        <v>4.10962317784507E-4</v>
      </c>
    </row>
    <row r="25036" spans="1:6" x14ac:dyDescent="0.25">
      <c r="A25036" s="1" t="str">
        <f t="shared" si="905"/>
        <v>35620</v>
      </c>
      <c r="B25036" s="1" t="str">
        <f>"08008"</f>
        <v>08008</v>
      </c>
      <c r="C25036" s="2">
        <v>1.9607034572215899E-3</v>
      </c>
      <c r="D25036" s="2">
        <v>8.4583090812270095E-4</v>
      </c>
      <c r="E25036" s="2">
        <v>3.8773296725752202E-4</v>
      </c>
      <c r="F25036" s="2">
        <v>1.7672668621297599E-3</v>
      </c>
    </row>
    <row r="25037" spans="1:6" x14ac:dyDescent="0.25">
      <c r="A25037" s="1" t="str">
        <f t="shared" si="905"/>
        <v>35620</v>
      </c>
      <c r="B25037" s="1" t="str">
        <f>"07762"</f>
        <v>07762</v>
      </c>
      <c r="C25037" s="2">
        <v>7.7492428252036905E-4</v>
      </c>
      <c r="D25037" s="2">
        <v>6.4520922859725798E-4</v>
      </c>
      <c r="E25037" s="2">
        <v>3.8773296725752202E-4</v>
      </c>
      <c r="F25037" s="2">
        <v>7.398610676685E-4</v>
      </c>
    </row>
    <row r="25038" spans="1:6" x14ac:dyDescent="0.25">
      <c r="A25038" s="1" t="str">
        <f t="shared" si="905"/>
        <v>35620</v>
      </c>
      <c r="B25038" s="1" t="str">
        <f>"07758"</f>
        <v>07758</v>
      </c>
      <c r="C25038" s="2">
        <v>2.55113396832987E-4</v>
      </c>
      <c r="D25038" s="2">
        <v>1.00310839762721E-4</v>
      </c>
      <c r="E25038" s="2">
        <v>2.9691263258458901E-5</v>
      </c>
      <c r="F25038" s="2">
        <v>2.27823072666215E-4</v>
      </c>
    </row>
    <row r="25039" spans="1:6" x14ac:dyDescent="0.25">
      <c r="A25039" s="1" t="str">
        <f t="shared" si="905"/>
        <v>35620</v>
      </c>
      <c r="B25039" s="1" t="str">
        <f>"07719"</f>
        <v>07719</v>
      </c>
      <c r="C25039" s="2">
        <v>1.50608961857457E-3</v>
      </c>
      <c r="D25039" s="2">
        <v>1.6210727067827401E-3</v>
      </c>
      <c r="E25039" s="2">
        <v>9.4313424468046002E-4</v>
      </c>
      <c r="F25039" s="2">
        <v>1.4814407440888399E-3</v>
      </c>
    </row>
    <row r="25040" spans="1:6" x14ac:dyDescent="0.25">
      <c r="A25040" s="1" t="str">
        <f t="shared" si="905"/>
        <v>35620</v>
      </c>
      <c r="B25040" s="1" t="str">
        <f>"08530"</f>
        <v>08530</v>
      </c>
      <c r="C25040" s="2">
        <v>4.2157394246795601E-4</v>
      </c>
      <c r="D25040" s="2">
        <v>4.8050130651772698E-4</v>
      </c>
      <c r="E25040" s="2">
        <v>3.5978824889661999E-4</v>
      </c>
      <c r="F25040" s="2">
        <v>4.2288516600041899E-4</v>
      </c>
    </row>
    <row r="25041" spans="1:6" x14ac:dyDescent="0.25">
      <c r="A25041" s="1" t="str">
        <f t="shared" si="905"/>
        <v>35620</v>
      </c>
      <c r="B25041" s="1" t="str">
        <f>"08752"</f>
        <v>08752</v>
      </c>
      <c r="C25041" s="2">
        <v>4.18925706514673E-4</v>
      </c>
      <c r="D25041" s="2">
        <v>1.49847056929497E-4</v>
      </c>
      <c r="E25041" s="2">
        <v>2.2879738157988901E-4</v>
      </c>
      <c r="F25041" s="2">
        <v>3.8389422994297598E-4</v>
      </c>
    </row>
    <row r="25042" spans="1:6" x14ac:dyDescent="0.25">
      <c r="A25042" s="1" t="str">
        <f t="shared" si="905"/>
        <v>35620</v>
      </c>
      <c r="B25042" s="1" t="str">
        <f>"10003"</f>
        <v>10003</v>
      </c>
      <c r="C25042" s="2">
        <v>4.45887270648579E-3</v>
      </c>
      <c r="D25042" s="2">
        <v>5.91090911342555E-3</v>
      </c>
      <c r="E25042" s="2">
        <v>6.0151006271842696E-3</v>
      </c>
      <c r="F25042" s="2">
        <v>4.6805235225979803E-3</v>
      </c>
    </row>
    <row r="25043" spans="1:6" x14ac:dyDescent="0.25">
      <c r="A25043" s="1" t="str">
        <f t="shared" si="905"/>
        <v>35620</v>
      </c>
      <c r="B25043" s="1" t="str">
        <f>"10031"</f>
        <v>10031</v>
      </c>
      <c r="C25043" s="2">
        <v>3.0210066903267599E-3</v>
      </c>
      <c r="D25043" s="2">
        <v>1.3151865657779001E-3</v>
      </c>
      <c r="E25043" s="2">
        <v>3.56120504611751E-3</v>
      </c>
      <c r="F25043" s="2">
        <v>2.9062748124138501E-3</v>
      </c>
    </row>
    <row r="25044" spans="1:6" x14ac:dyDescent="0.25">
      <c r="A25044" s="1" t="str">
        <f t="shared" si="905"/>
        <v>35620</v>
      </c>
      <c r="B25044" s="1" t="str">
        <f>"10019"</f>
        <v>10019</v>
      </c>
      <c r="C25044" s="2">
        <v>4.2798015134542303E-3</v>
      </c>
      <c r="D25044" s="2">
        <v>6.5424958823019396E-3</v>
      </c>
      <c r="E25044" s="2">
        <v>3.58041703999063E-3</v>
      </c>
      <c r="F25044" s="2">
        <v>4.4330438623325598E-3</v>
      </c>
    </row>
    <row r="25045" spans="1:6" x14ac:dyDescent="0.25">
      <c r="A25045" s="1" t="str">
        <f t="shared" si="905"/>
        <v>35620</v>
      </c>
      <c r="B25045" s="1" t="str">
        <f>"07653"</f>
        <v>07653</v>
      </c>
      <c r="C25045" s="2">
        <v>1.06307757553241E-4</v>
      </c>
      <c r="D25045" s="2">
        <v>5.7957374085127898E-4</v>
      </c>
      <c r="E25045" s="2">
        <v>3.49308979511281E-6</v>
      </c>
      <c r="F25045" s="2">
        <v>1.4103333069813301E-4</v>
      </c>
    </row>
    <row r="25046" spans="1:6" x14ac:dyDescent="0.25">
      <c r="A25046" s="1" t="str">
        <f t="shared" si="905"/>
        <v>35620</v>
      </c>
      <c r="B25046" s="1" t="str">
        <f>"08832"</f>
        <v>08832</v>
      </c>
      <c r="C25046" s="2">
        <v>1.3859101488850799E-4</v>
      </c>
      <c r="D25046" s="2">
        <v>7.92579474668416E-5</v>
      </c>
      <c r="E25046" s="2">
        <v>3.1437808156015298E-5</v>
      </c>
      <c r="F25046" s="2">
        <v>1.2685480849542599E-4</v>
      </c>
    </row>
    <row r="25047" spans="1:6" x14ac:dyDescent="0.25">
      <c r="A25047" s="1" t="str">
        <f t="shared" si="905"/>
        <v>35620</v>
      </c>
      <c r="B25047" s="1" t="str">
        <f>"10112"</f>
        <v>10112</v>
      </c>
      <c r="C25047" s="2">
        <v>0</v>
      </c>
      <c r="D25047" s="2">
        <v>1.2384054291694001E-4</v>
      </c>
      <c r="E25047" s="2">
        <v>1.22258142828948E-5</v>
      </c>
      <c r="F25047" s="2">
        <v>1.1493196027951401E-5</v>
      </c>
    </row>
    <row r="25048" spans="1:6" x14ac:dyDescent="0.25">
      <c r="A25048" s="1" t="str">
        <f t="shared" si="905"/>
        <v>35620</v>
      </c>
      <c r="B25048" s="1" t="str">
        <f>"10129"</f>
        <v>10129</v>
      </c>
      <c r="C25048" s="2">
        <v>1.1412635893912601E-4</v>
      </c>
      <c r="D25048" s="2">
        <v>7.3065920320994603E-5</v>
      </c>
      <c r="E25048" s="2">
        <v>3.49308979511281E-6</v>
      </c>
      <c r="F25048" s="2">
        <v>1.03761003392533E-4</v>
      </c>
    </row>
    <row r="25049" spans="1:6" x14ac:dyDescent="0.25">
      <c r="A25049" s="1" t="str">
        <f t="shared" si="905"/>
        <v>35620</v>
      </c>
      <c r="B25049" s="1" t="str">
        <f>"10280"</f>
        <v>10280</v>
      </c>
      <c r="C25049" s="2">
        <v>6.21704916651817E-4</v>
      </c>
      <c r="D25049" s="2">
        <v>8.91651909001969E-5</v>
      </c>
      <c r="E25049" s="2">
        <v>8.5580699980263996E-5</v>
      </c>
      <c r="F25049" s="2">
        <v>5.4254330034750201E-4</v>
      </c>
    </row>
    <row r="25050" spans="1:6" x14ac:dyDescent="0.25">
      <c r="A25050" s="1" t="str">
        <f t="shared" si="905"/>
        <v>35620</v>
      </c>
      <c r="B25050" s="1" t="str">
        <f>"11241"</f>
        <v>11241</v>
      </c>
      <c r="C25050" s="2">
        <v>0</v>
      </c>
      <c r="D25050" s="2">
        <v>1.8452240894624E-4</v>
      </c>
      <c r="E25050" s="2">
        <v>6.9861795902256301E-6</v>
      </c>
      <c r="F25050" s="2">
        <v>1.6434196189500601E-5</v>
      </c>
    </row>
    <row r="25051" spans="1:6" x14ac:dyDescent="0.25">
      <c r="A25051" s="1" t="str">
        <f t="shared" si="905"/>
        <v>35620</v>
      </c>
      <c r="B25051" s="1" t="str">
        <f>"11531"</f>
        <v>11531</v>
      </c>
      <c r="C25051" s="2">
        <v>3.8084155137697498E-5</v>
      </c>
      <c r="D25051" s="2">
        <v>5.32514334542842E-5</v>
      </c>
      <c r="E25051" s="2">
        <v>3.49308979511281E-6</v>
      </c>
      <c r="F25051" s="2">
        <v>3.7272327305599499E-5</v>
      </c>
    </row>
    <row r="25052" spans="1:6" x14ac:dyDescent="0.25">
      <c r="A25052" s="1" t="str">
        <f t="shared" si="905"/>
        <v>35620</v>
      </c>
      <c r="B25052" s="1" t="str">
        <f>"18464"</f>
        <v>18464</v>
      </c>
      <c r="C25052" s="2">
        <v>1.00885179172708E-4</v>
      </c>
      <c r="D25052" s="2">
        <v>2.3529703154218598E-5</v>
      </c>
      <c r="E25052" s="2">
        <v>1.3972359180451199E-5</v>
      </c>
      <c r="F25052" s="2">
        <v>8.8830589860895806E-5</v>
      </c>
    </row>
    <row r="25053" spans="1:6" x14ac:dyDescent="0.25">
      <c r="A25053" s="1" t="str">
        <f t="shared" si="905"/>
        <v>35620</v>
      </c>
      <c r="B25053" s="1" t="str">
        <f>"10590"</f>
        <v>10590</v>
      </c>
      <c r="C25053" s="2">
        <v>3.7428401473074902E-4</v>
      </c>
      <c r="D25053" s="2">
        <v>2.0929051752962801E-4</v>
      </c>
      <c r="E25053" s="2">
        <v>3.3184353053571702E-5</v>
      </c>
      <c r="F25053" s="2">
        <v>3.38995576301072E-4</v>
      </c>
    </row>
    <row r="25054" spans="1:6" x14ac:dyDescent="0.25">
      <c r="A25054" s="1" t="str">
        <f t="shared" si="905"/>
        <v>35620</v>
      </c>
      <c r="B25054" s="1" t="str">
        <f>"10994"</f>
        <v>10994</v>
      </c>
      <c r="C25054" s="2">
        <v>3.2018433739938398E-4</v>
      </c>
      <c r="D25054" s="2">
        <v>1.0414989659314599E-3</v>
      </c>
      <c r="E25054" s="2">
        <v>1.7814757955075301E-4</v>
      </c>
      <c r="F25054" s="2">
        <v>3.7401222961987803E-4</v>
      </c>
    </row>
    <row r="25055" spans="1:6" x14ac:dyDescent="0.25">
      <c r="A25055" s="1" t="str">
        <f t="shared" si="905"/>
        <v>35620</v>
      </c>
      <c r="B25055" s="1" t="str">
        <f>"12533"</f>
        <v>12533</v>
      </c>
      <c r="C25055" s="2">
        <v>9.9624114433049808E-6</v>
      </c>
      <c r="D25055" s="2">
        <v>0</v>
      </c>
      <c r="E25055" s="2">
        <v>1.7465448975563999E-6</v>
      </c>
      <c r="F25055" s="2">
        <v>8.5930437592160304E-6</v>
      </c>
    </row>
    <row r="25056" spans="1:6" x14ac:dyDescent="0.25">
      <c r="A25056" s="1" t="str">
        <f t="shared" si="905"/>
        <v>35620</v>
      </c>
      <c r="B25056" s="1" t="str">
        <f>"10954"</f>
        <v>10954</v>
      </c>
      <c r="C25056" s="2">
        <v>1.18048270279465E-3</v>
      </c>
      <c r="D25056" s="2">
        <v>1.7238603574037999E-3</v>
      </c>
      <c r="E25056" s="2">
        <v>6.6718015086654795E-4</v>
      </c>
      <c r="F25056" s="2">
        <v>1.1960442782358799E-3</v>
      </c>
    </row>
    <row r="25057" spans="1:6" x14ac:dyDescent="0.25">
      <c r="A25057" s="1" t="str">
        <f t="shared" si="905"/>
        <v>35620</v>
      </c>
      <c r="B25057" s="1" t="str">
        <f>"10983"</f>
        <v>10983</v>
      </c>
      <c r="C25057" s="2">
        <v>2.6457138238042801E-4</v>
      </c>
      <c r="D25057" s="2">
        <v>2.3034340982550799E-4</v>
      </c>
      <c r="E25057" s="2">
        <v>4.7156712234023001E-5</v>
      </c>
      <c r="F25057" s="2">
        <v>2.48231551594353E-4</v>
      </c>
    </row>
    <row r="25058" spans="1:6" x14ac:dyDescent="0.25">
      <c r="A25058" s="1" t="str">
        <f t="shared" si="905"/>
        <v>35620</v>
      </c>
      <c r="B25058" s="1" t="str">
        <f>"10984"</f>
        <v>10984</v>
      </c>
      <c r="C25058" s="2">
        <v>1.0819935466273E-4</v>
      </c>
      <c r="D25058" s="2">
        <v>1.8576081437540999E-5</v>
      </c>
      <c r="E25058" s="2">
        <v>1.1527196323872199E-4</v>
      </c>
      <c r="F25058" s="2">
        <v>1.0086085112379801E-4</v>
      </c>
    </row>
    <row r="25059" spans="1:6" x14ac:dyDescent="0.25">
      <c r="A25059" s="1" t="str">
        <f t="shared" si="905"/>
        <v>35620</v>
      </c>
      <c r="B25059" s="1" t="str">
        <f>"11102"</f>
        <v>11102</v>
      </c>
      <c r="C25059" s="2">
        <v>2.0130376439174299E-3</v>
      </c>
      <c r="D25059" s="2">
        <v>1.35110032322381E-3</v>
      </c>
      <c r="E25059" s="2">
        <v>4.0904081500771003E-3</v>
      </c>
      <c r="F25059" s="2">
        <v>2.0833834594219201E-3</v>
      </c>
    </row>
    <row r="25060" spans="1:6" x14ac:dyDescent="0.25">
      <c r="A25060" s="1" t="str">
        <f t="shared" si="905"/>
        <v>35620</v>
      </c>
      <c r="B25060" s="1" t="str">
        <f>"10301"</f>
        <v>10301</v>
      </c>
      <c r="C25060" s="2">
        <v>1.9222409826619899E-3</v>
      </c>
      <c r="D25060" s="2">
        <v>1.4489343521281899E-3</v>
      </c>
      <c r="E25060" s="2">
        <v>1.9805819138289599E-3</v>
      </c>
      <c r="F25060" s="2">
        <v>1.88477673553704E-3</v>
      </c>
    </row>
    <row r="25061" spans="1:6" x14ac:dyDescent="0.25">
      <c r="A25061" s="1" t="str">
        <f t="shared" si="905"/>
        <v>35620</v>
      </c>
      <c r="B25061" s="1" t="str">
        <f>"10308"</f>
        <v>10308</v>
      </c>
      <c r="C25061" s="2">
        <v>1.17594286973188E-3</v>
      </c>
      <c r="D25061" s="2">
        <v>5.38706361688689E-4</v>
      </c>
      <c r="E25061" s="2">
        <v>2.9167299789192001E-4</v>
      </c>
      <c r="F25061" s="2">
        <v>1.0662893174717199E-3</v>
      </c>
    </row>
    <row r="25062" spans="1:6" x14ac:dyDescent="0.25">
      <c r="A25062" s="1" t="str">
        <f t="shared" si="905"/>
        <v>35620</v>
      </c>
      <c r="B25062" s="1" t="str">
        <f>"11204"</f>
        <v>11204</v>
      </c>
      <c r="C25062" s="2">
        <v>3.13601579458365E-3</v>
      </c>
      <c r="D25062" s="2">
        <v>2.5325391026514198E-3</v>
      </c>
      <c r="E25062" s="2">
        <v>6.82200436985533E-3</v>
      </c>
      <c r="F25062" s="2">
        <v>3.3103626951909802E-3</v>
      </c>
    </row>
    <row r="25063" spans="1:6" x14ac:dyDescent="0.25">
      <c r="A25063" s="1" t="str">
        <f t="shared" si="905"/>
        <v>35620</v>
      </c>
      <c r="B25063" s="1" t="str">
        <f>"10103"</f>
        <v>10103</v>
      </c>
      <c r="C25063" s="2">
        <v>0</v>
      </c>
      <c r="D25063" s="2">
        <v>1.17648515771093E-4</v>
      </c>
      <c r="E25063" s="2">
        <v>8.7327244877820399E-6</v>
      </c>
      <c r="F25063" s="2">
        <v>1.074130469902E-5</v>
      </c>
    </row>
    <row r="25064" spans="1:6" x14ac:dyDescent="0.25">
      <c r="A25064" s="1" t="str">
        <f t="shared" si="905"/>
        <v>35620</v>
      </c>
      <c r="B25064" s="1" t="str">
        <f>"11359"</f>
        <v>11359</v>
      </c>
      <c r="C25064" s="2">
        <v>0</v>
      </c>
      <c r="D25064" s="2">
        <v>1.7833038180039301E-4</v>
      </c>
      <c r="E25064" s="2">
        <v>6.9861795902256301E-6</v>
      </c>
      <c r="F25064" s="2">
        <v>1.58971309545496E-5</v>
      </c>
    </row>
    <row r="25065" spans="1:6" x14ac:dyDescent="0.25">
      <c r="A25065" s="1" t="str">
        <f t="shared" si="905"/>
        <v>35620</v>
      </c>
      <c r="B25065" s="1" t="str">
        <f>"11002"</f>
        <v>11002</v>
      </c>
      <c r="C25065" s="2">
        <v>8.1843101603859897E-5</v>
      </c>
      <c r="D25065" s="2">
        <v>2.2662819353800001E-4</v>
      </c>
      <c r="E25065" s="2">
        <v>3.49308979511281E-6</v>
      </c>
      <c r="F25065" s="2">
        <v>8.9582481189827198E-5</v>
      </c>
    </row>
    <row r="25066" spans="1:6" x14ac:dyDescent="0.25">
      <c r="A25066" s="1" t="str">
        <f t="shared" si="905"/>
        <v>35620</v>
      </c>
      <c r="B25066" s="1" t="str">
        <f>"11599"</f>
        <v>11599</v>
      </c>
      <c r="C25066" s="2">
        <v>0</v>
      </c>
      <c r="D25066" s="2">
        <v>2.4768108583388E-6</v>
      </c>
      <c r="E25066" s="2">
        <v>0</v>
      </c>
      <c r="F25066" s="2">
        <v>2.1482609398039999E-7</v>
      </c>
    </row>
    <row r="25067" spans="1:6" x14ac:dyDescent="0.25">
      <c r="A25067" s="1" t="str">
        <f t="shared" si="905"/>
        <v>35620</v>
      </c>
      <c r="B25067" s="1" t="str">
        <f>"10008"</f>
        <v>10008</v>
      </c>
      <c r="C25067" s="2">
        <v>3.3582154017115399E-4</v>
      </c>
      <c r="D25067" s="2">
        <v>6.2044112001387005E-4</v>
      </c>
      <c r="E25067" s="2">
        <v>3.49308979511281E-6</v>
      </c>
      <c r="F25067" s="2">
        <v>3.4006970677097402E-4</v>
      </c>
    </row>
    <row r="25068" spans="1:6" x14ac:dyDescent="0.25">
      <c r="A25068" s="1" t="str">
        <f t="shared" si="905"/>
        <v>35620</v>
      </c>
      <c r="B25068" s="1" t="str">
        <f>"10108"</f>
        <v>10108</v>
      </c>
      <c r="C25068" s="2">
        <v>1.61290180202368E-4</v>
      </c>
      <c r="D25068" s="2">
        <v>3.8142887218417499E-4</v>
      </c>
      <c r="E25068" s="2">
        <v>3.49308979511281E-6</v>
      </c>
      <c r="F25068" s="2">
        <v>1.70679331667428E-4</v>
      </c>
    </row>
    <row r="25069" spans="1:6" x14ac:dyDescent="0.25">
      <c r="A25069" s="1" t="str">
        <f t="shared" si="905"/>
        <v>35620</v>
      </c>
      <c r="B25069" s="1" t="str">
        <f>"10111"</f>
        <v>10111</v>
      </c>
      <c r="C25069" s="2">
        <v>0</v>
      </c>
      <c r="D25069" s="2">
        <v>3.9009771018836098E-4</v>
      </c>
      <c r="E25069" s="2">
        <v>8.7327244877820399E-6</v>
      </c>
      <c r="F25069" s="2">
        <v>3.4372175036864101E-5</v>
      </c>
    </row>
    <row r="25070" spans="1:6" x14ac:dyDescent="0.25">
      <c r="A25070" s="1" t="str">
        <f t="shared" si="905"/>
        <v>35620</v>
      </c>
      <c r="B25070" s="1" t="str">
        <f>"10540"</f>
        <v>10540</v>
      </c>
      <c r="C25070" s="2">
        <v>6.1161639873454603E-5</v>
      </c>
      <c r="D25070" s="2">
        <v>9.5357218046043896E-5</v>
      </c>
      <c r="E25070" s="2">
        <v>3.49308979511281E-6</v>
      </c>
      <c r="F25070" s="2">
        <v>6.0580958502473002E-5</v>
      </c>
    </row>
    <row r="25071" spans="1:6" x14ac:dyDescent="0.25">
      <c r="A25071" s="1" t="str">
        <f t="shared" si="905"/>
        <v>35620</v>
      </c>
      <c r="B25071" s="1" t="str">
        <f>"11022"</f>
        <v>11022</v>
      </c>
      <c r="C25071" s="2">
        <v>6.0152788081727497E-5</v>
      </c>
      <c r="D25071" s="2">
        <v>3.3808468216324603E-4</v>
      </c>
      <c r="E25071" s="2">
        <v>3.49308979511281E-6</v>
      </c>
      <c r="F25071" s="2">
        <v>8.0774611336630701E-5</v>
      </c>
    </row>
    <row r="25072" spans="1:6" x14ac:dyDescent="0.25">
      <c r="A25072" s="1" t="str">
        <f t="shared" si="905"/>
        <v>35620</v>
      </c>
      <c r="B25072" s="1" t="str">
        <f>"08504"</f>
        <v>08504</v>
      </c>
      <c r="C25072" s="2">
        <v>0</v>
      </c>
      <c r="D25072" s="2">
        <v>0</v>
      </c>
      <c r="E25072" s="2">
        <v>1.7465448975563999E-6</v>
      </c>
      <c r="F25072" s="2">
        <v>1.074130469902E-7</v>
      </c>
    </row>
    <row r="25073" spans="1:6" x14ac:dyDescent="0.25">
      <c r="A25073" s="1" t="str">
        <f t="shared" si="905"/>
        <v>35620</v>
      </c>
      <c r="B25073" s="1" t="str">
        <f>"07806"</f>
        <v>07806</v>
      </c>
      <c r="C25073" s="2">
        <v>0</v>
      </c>
      <c r="D25073" s="2">
        <v>1.2384054291694E-6</v>
      </c>
      <c r="E25073" s="2">
        <v>0</v>
      </c>
      <c r="F25073" s="2">
        <v>1.074130469902E-7</v>
      </c>
    </row>
    <row r="25074" spans="1:6" x14ac:dyDescent="0.25">
      <c r="A25074" s="1" t="str">
        <f t="shared" si="905"/>
        <v>35620</v>
      </c>
      <c r="B25074" s="1" t="str">
        <f>"08620"</f>
        <v>08620</v>
      </c>
      <c r="C25074" s="2">
        <v>1.2610647396588501E-7</v>
      </c>
      <c r="D25074" s="2">
        <v>0</v>
      </c>
      <c r="E25074" s="2">
        <v>0</v>
      </c>
      <c r="F25074" s="2">
        <v>1.074130469902E-7</v>
      </c>
    </row>
    <row r="25075" spans="1:6" x14ac:dyDescent="0.25">
      <c r="A25075" s="1" t="str">
        <f t="shared" si="905"/>
        <v>35620</v>
      </c>
      <c r="B25075" s="1" t="str">
        <f>"07870"</f>
        <v>07870</v>
      </c>
      <c r="C25075" s="2">
        <v>0</v>
      </c>
      <c r="D25075" s="2">
        <v>0</v>
      </c>
      <c r="E25075" s="2">
        <v>1.7465448975563999E-6</v>
      </c>
      <c r="F25075" s="2">
        <v>1.074130469902E-7</v>
      </c>
    </row>
    <row r="25076" spans="1:6" x14ac:dyDescent="0.25">
      <c r="A25076" s="1" t="str">
        <f t="shared" si="905"/>
        <v>35620</v>
      </c>
      <c r="B25076" s="1" t="str">
        <f>"11424"</f>
        <v>11424</v>
      </c>
      <c r="C25076" s="2">
        <v>0</v>
      </c>
      <c r="D25076" s="2">
        <v>3.96289737334208E-5</v>
      </c>
      <c r="E25076" s="2">
        <v>1.22258142828948E-5</v>
      </c>
      <c r="F25076" s="2">
        <v>4.1891088326178099E-6</v>
      </c>
    </row>
    <row r="25077" spans="1:6" x14ac:dyDescent="0.25">
      <c r="A25077" s="1" t="str">
        <f t="shared" si="905"/>
        <v>35620</v>
      </c>
      <c r="B25077" s="1" t="str">
        <f>"07978"</f>
        <v>07978</v>
      </c>
      <c r="C25077" s="2">
        <v>0</v>
      </c>
      <c r="D25077" s="2">
        <v>0</v>
      </c>
      <c r="E25077" s="2">
        <v>1.7465448975563999E-6</v>
      </c>
      <c r="F25077" s="2">
        <v>1.074130469902E-7</v>
      </c>
    </row>
    <row r="25078" spans="1:6" x14ac:dyDescent="0.25">
      <c r="A25078" s="1" t="str">
        <f t="shared" si="905"/>
        <v>35620</v>
      </c>
      <c r="B25078" s="1" t="str">
        <f>"10043"</f>
        <v>10043</v>
      </c>
      <c r="C25078" s="2">
        <v>0</v>
      </c>
      <c r="D25078" s="2">
        <v>1.2384054291694E-6</v>
      </c>
      <c r="E25078" s="2">
        <v>1.7465448975563999E-6</v>
      </c>
      <c r="F25078" s="2">
        <v>2.1482609398039999E-7</v>
      </c>
    </row>
    <row r="25079" spans="1:6" x14ac:dyDescent="0.25">
      <c r="A25079" s="1" t="str">
        <f t="shared" si="905"/>
        <v>35620</v>
      </c>
      <c r="B25079" s="1" t="str">
        <f>"08870"</f>
        <v>08870</v>
      </c>
      <c r="C25079" s="2">
        <v>0</v>
      </c>
      <c r="D25079" s="2">
        <v>0</v>
      </c>
      <c r="E25079" s="2">
        <v>1.7465448975563999E-6</v>
      </c>
      <c r="F25079" s="2">
        <v>1.074130469902E-7</v>
      </c>
    </row>
    <row r="25080" spans="1:6" x14ac:dyDescent="0.25">
      <c r="A25080" s="1" t="str">
        <f t="shared" si="905"/>
        <v>35620</v>
      </c>
      <c r="B25080" s="1" t="str">
        <f>"11245"</f>
        <v>11245</v>
      </c>
      <c r="C25080" s="2">
        <v>0</v>
      </c>
      <c r="D25080" s="2">
        <v>3.7152162875082002E-6</v>
      </c>
      <c r="E25080" s="2">
        <v>0</v>
      </c>
      <c r="F25080" s="2">
        <v>3.2223914097060098E-7</v>
      </c>
    </row>
    <row r="25081" spans="1:6" x14ac:dyDescent="0.25">
      <c r="A25081" s="1" t="str">
        <f t="shared" si="905"/>
        <v>35620</v>
      </c>
      <c r="B25081" s="1" t="str">
        <f>"08821"</f>
        <v>08821</v>
      </c>
      <c r="C25081" s="2">
        <v>0</v>
      </c>
      <c r="D25081" s="2">
        <v>1.2384054291694E-6</v>
      </c>
      <c r="E25081" s="2">
        <v>2.0259920811654299E-4</v>
      </c>
      <c r="F25081" s="2">
        <v>1.25673264978534E-5</v>
      </c>
    </row>
    <row r="25082" spans="1:6" x14ac:dyDescent="0.25">
      <c r="A25082" s="1" t="str">
        <f t="shared" si="905"/>
        <v>35620</v>
      </c>
      <c r="B25082" s="1" t="str">
        <f>"18457"</f>
        <v>18457</v>
      </c>
      <c r="C25082" s="2">
        <v>2.5221294793177103E-7</v>
      </c>
      <c r="D25082" s="2">
        <v>1.2384054291694E-6</v>
      </c>
      <c r="E25082" s="2">
        <v>0</v>
      </c>
      <c r="F25082" s="2">
        <v>3.2223914097060098E-7</v>
      </c>
    </row>
    <row r="25083" spans="1:6" x14ac:dyDescent="0.25">
      <c r="A25083" s="1" t="str">
        <f t="shared" si="905"/>
        <v>35620</v>
      </c>
      <c r="B25083" s="1" t="str">
        <f>"11439"</f>
        <v>11439</v>
      </c>
      <c r="C25083" s="2">
        <v>1.9294290516780498E-5</v>
      </c>
      <c r="D25083" s="2">
        <v>3.7152162875082002E-6</v>
      </c>
      <c r="E25083" s="2">
        <v>5.2396346926692202E-6</v>
      </c>
      <c r="F25083" s="2">
        <v>1.70786744714418E-5</v>
      </c>
    </row>
    <row r="25084" spans="1:6" x14ac:dyDescent="0.25">
      <c r="A25084" s="1" t="str">
        <f t="shared" ref="A25084:A25109" si="906">"35660"</f>
        <v>35660</v>
      </c>
      <c r="B25084" s="1" t="str">
        <f>"49127"</f>
        <v>49127</v>
      </c>
      <c r="C25084" s="2">
        <v>7.0055376877130995E-2</v>
      </c>
      <c r="D25084" s="2">
        <v>7.9624336463862799E-2</v>
      </c>
      <c r="E25084" s="2">
        <v>2.46960486322188E-2</v>
      </c>
      <c r="F25084" s="2">
        <v>6.9525813238387996E-2</v>
      </c>
    </row>
    <row r="25085" spans="1:6" x14ac:dyDescent="0.25">
      <c r="A25085" s="1" t="str">
        <f t="shared" si="906"/>
        <v>35660</v>
      </c>
      <c r="B25085" s="1" t="str">
        <f>"49084"</f>
        <v>49084</v>
      </c>
      <c r="C25085" s="2">
        <v>1.20910212076511E-5</v>
      </c>
      <c r="D25085" s="2">
        <v>8.1665986116782299E-4</v>
      </c>
      <c r="E25085" s="2">
        <v>0</v>
      </c>
      <c r="F25085" s="2">
        <v>7.5524626422829994E-5</v>
      </c>
    </row>
    <row r="25086" spans="1:6" x14ac:dyDescent="0.25">
      <c r="A25086" s="1" t="str">
        <f t="shared" si="906"/>
        <v>35660</v>
      </c>
      <c r="B25086" s="1" t="str">
        <f>"49128"</f>
        <v>49128</v>
      </c>
      <c r="C25086" s="2">
        <v>2.5415326578482798E-2</v>
      </c>
      <c r="D25086" s="2">
        <v>1.93276167143051E-2</v>
      </c>
      <c r="E25086" s="2">
        <v>1.93768996960486E-2</v>
      </c>
      <c r="F25086" s="2">
        <v>2.4761288234342101E-2</v>
      </c>
    </row>
    <row r="25087" spans="1:6" x14ac:dyDescent="0.25">
      <c r="A25087" s="1" t="str">
        <f t="shared" si="906"/>
        <v>35660</v>
      </c>
      <c r="B25087" s="1" t="str">
        <f>"49115"</f>
        <v>49115</v>
      </c>
      <c r="C25087" s="2">
        <v>1.9587454356394902E-3</v>
      </c>
      <c r="D25087" s="2">
        <v>6.8054988430651898E-4</v>
      </c>
      <c r="E25087" s="2">
        <v>0</v>
      </c>
      <c r="F25087" s="2">
        <v>1.8018018018018001E-3</v>
      </c>
    </row>
    <row r="25088" spans="1:6" x14ac:dyDescent="0.25">
      <c r="A25088" s="1" t="str">
        <f t="shared" si="906"/>
        <v>35660</v>
      </c>
      <c r="B25088" s="1" t="str">
        <f>"49104"</f>
        <v>49104</v>
      </c>
      <c r="C25088" s="2">
        <v>1.20910212076511E-5</v>
      </c>
      <c r="D25088" s="2">
        <v>5.03606914386824E-3</v>
      </c>
      <c r="E25088" s="2">
        <v>0</v>
      </c>
      <c r="F25088" s="2">
        <v>4.0999082915250501E-4</v>
      </c>
    </row>
    <row r="25089" spans="1:6" x14ac:dyDescent="0.25">
      <c r="A25089" s="1" t="str">
        <f t="shared" si="906"/>
        <v>35660</v>
      </c>
      <c r="B25089" s="1" t="str">
        <f>"49129"</f>
        <v>49129</v>
      </c>
      <c r="C25089" s="2">
        <v>8.3186225908640204E-3</v>
      </c>
      <c r="D25089" s="2">
        <v>4.7638491901456298E-3</v>
      </c>
      <c r="E25089" s="2">
        <v>3.79939209726443E-3</v>
      </c>
      <c r="F25089" s="2">
        <v>7.9085073097049097E-3</v>
      </c>
    </row>
    <row r="25090" spans="1:6" x14ac:dyDescent="0.25">
      <c r="A25090" s="1" t="str">
        <f t="shared" si="906"/>
        <v>35660</v>
      </c>
      <c r="B25090" s="1" t="str">
        <f>"49085"</f>
        <v>49085</v>
      </c>
      <c r="C25090" s="2">
        <v>0.150110028292989</v>
      </c>
      <c r="D25090" s="2">
        <v>0.20702327480604299</v>
      </c>
      <c r="E25090" s="2">
        <v>0.21998480243161</v>
      </c>
      <c r="F25090" s="2">
        <v>0.15660570750391101</v>
      </c>
    </row>
    <row r="25091" spans="1:6" x14ac:dyDescent="0.25">
      <c r="A25091" s="1" t="str">
        <f t="shared" si="906"/>
        <v>35660</v>
      </c>
      <c r="B25091" s="1" t="str">
        <f>"49119"</f>
        <v>49119</v>
      </c>
      <c r="C25091" s="2">
        <v>6.2873310279786205E-4</v>
      </c>
      <c r="D25091" s="2">
        <v>4.0832993058391101E-4</v>
      </c>
      <c r="E25091" s="2">
        <v>0</v>
      </c>
      <c r="F25091" s="2">
        <v>5.9340777903652095E-4</v>
      </c>
    </row>
    <row r="25092" spans="1:6" x14ac:dyDescent="0.25">
      <c r="A25092" s="1" t="str">
        <f t="shared" si="906"/>
        <v>35660</v>
      </c>
      <c r="B25092" s="1" t="str">
        <f>"49126"</f>
        <v>49126</v>
      </c>
      <c r="C25092" s="2">
        <v>8.0768021667110002E-3</v>
      </c>
      <c r="D25092" s="2">
        <v>4.7638491901456298E-3</v>
      </c>
      <c r="E25092" s="2">
        <v>2.6595744680850998E-3</v>
      </c>
      <c r="F25092" s="2">
        <v>7.6603549657441802E-3</v>
      </c>
    </row>
    <row r="25093" spans="1:6" x14ac:dyDescent="0.25">
      <c r="A25093" s="1" t="str">
        <f t="shared" si="906"/>
        <v>35660</v>
      </c>
      <c r="B25093" s="1" t="str">
        <f>"49106"</f>
        <v>49106</v>
      </c>
      <c r="C25093" s="2">
        <v>3.67808865136749E-2</v>
      </c>
      <c r="D25093" s="2">
        <v>3.28025044235742E-2</v>
      </c>
      <c r="E25093" s="2">
        <v>1.93768996960486E-2</v>
      </c>
      <c r="F25093" s="2">
        <v>3.5971300641959303E-2</v>
      </c>
    </row>
    <row r="25094" spans="1:6" x14ac:dyDescent="0.25">
      <c r="A25094" s="1" t="str">
        <f t="shared" si="906"/>
        <v>35660</v>
      </c>
      <c r="B25094" s="1" t="str">
        <f>"49022"</f>
        <v>49022</v>
      </c>
      <c r="C25094" s="2">
        <v>0.18071240296955399</v>
      </c>
      <c r="D25094" s="2">
        <v>0.21110657411188199</v>
      </c>
      <c r="E25094" s="2">
        <v>0.20098784194528799</v>
      </c>
      <c r="F25094" s="2">
        <v>0.18369746992501401</v>
      </c>
    </row>
    <row r="25095" spans="1:6" x14ac:dyDescent="0.25">
      <c r="A25095" s="1" t="str">
        <f t="shared" si="906"/>
        <v>35660</v>
      </c>
      <c r="B25095" s="1" t="str">
        <f>"49111"</f>
        <v>49111</v>
      </c>
      <c r="C25095" s="2">
        <v>1.7943075472154301E-2</v>
      </c>
      <c r="D25095" s="2">
        <v>8.3027085885395303E-3</v>
      </c>
      <c r="E25095" s="2">
        <v>4.1793313069908803E-3</v>
      </c>
      <c r="F25095" s="2">
        <v>1.67880455305605E-2</v>
      </c>
    </row>
    <row r="25096" spans="1:6" x14ac:dyDescent="0.25">
      <c r="A25096" s="1" t="str">
        <f t="shared" si="906"/>
        <v>35660</v>
      </c>
      <c r="B25096" s="1" t="str">
        <f>"49116"</f>
        <v>49116</v>
      </c>
      <c r="C25096" s="2">
        <v>3.5063961502188401E-3</v>
      </c>
      <c r="D25096" s="2">
        <v>2.3138696066421602E-3</v>
      </c>
      <c r="E25096" s="2">
        <v>0</v>
      </c>
      <c r="F25096" s="2">
        <v>3.3122943302584E-3</v>
      </c>
    </row>
    <row r="25097" spans="1:6" x14ac:dyDescent="0.25">
      <c r="A25097" s="1" t="str">
        <f t="shared" si="906"/>
        <v>35660</v>
      </c>
      <c r="B25097" s="1" t="str">
        <f>"49102"</f>
        <v>49102</v>
      </c>
      <c r="C25097" s="2">
        <v>6.8314269823229199E-3</v>
      </c>
      <c r="D25097" s="2">
        <v>3.1305294678099899E-3</v>
      </c>
      <c r="E25097" s="2">
        <v>5.31914893617021E-3</v>
      </c>
      <c r="F25097" s="2">
        <v>6.4951178723633802E-3</v>
      </c>
    </row>
    <row r="25098" spans="1:6" x14ac:dyDescent="0.25">
      <c r="A25098" s="1" t="str">
        <f t="shared" si="906"/>
        <v>35660</v>
      </c>
      <c r="B25098" s="1" t="str">
        <f>"49103"</f>
        <v>49103</v>
      </c>
      <c r="C25098" s="2">
        <v>6.6004884772567801E-2</v>
      </c>
      <c r="D25098" s="2">
        <v>5.6213420443718499E-2</v>
      </c>
      <c r="E25098" s="2">
        <v>0.100683890577507</v>
      </c>
      <c r="F25098" s="2">
        <v>6.6213518908129598E-2</v>
      </c>
    </row>
    <row r="25099" spans="1:6" x14ac:dyDescent="0.25">
      <c r="A25099" s="1" t="str">
        <f t="shared" si="906"/>
        <v>35660</v>
      </c>
      <c r="B25099" s="1" t="str">
        <f>"49107"</f>
        <v>49107</v>
      </c>
      <c r="C25099" s="2">
        <v>5.91250937054143E-2</v>
      </c>
      <c r="D25099" s="2">
        <v>4.1513542942697601E-2</v>
      </c>
      <c r="E25099" s="2">
        <v>6.2310030395136697E-2</v>
      </c>
      <c r="F25099" s="2">
        <v>5.7819496142849397E-2</v>
      </c>
    </row>
    <row r="25100" spans="1:6" x14ac:dyDescent="0.25">
      <c r="A25100" s="1" t="str">
        <f t="shared" si="906"/>
        <v>35660</v>
      </c>
      <c r="B25100" s="1" t="str">
        <f>"49117"</f>
        <v>49117</v>
      </c>
      <c r="C25100" s="2">
        <v>4.6622977776702997E-2</v>
      </c>
      <c r="D25100" s="2">
        <v>4.2057982850142901E-2</v>
      </c>
      <c r="E25100" s="2">
        <v>5.3571428571428499E-2</v>
      </c>
      <c r="F25100" s="2">
        <v>4.6458434482386499E-2</v>
      </c>
    </row>
    <row r="25101" spans="1:6" x14ac:dyDescent="0.25">
      <c r="A25101" s="1" t="str">
        <f t="shared" si="906"/>
        <v>35660</v>
      </c>
      <c r="B25101" s="1" t="str">
        <f>"49098"</f>
        <v>49098</v>
      </c>
      <c r="C25101" s="2">
        <v>3.4157134911614602E-2</v>
      </c>
      <c r="D25101" s="2">
        <v>2.2866476112699E-2</v>
      </c>
      <c r="E25101" s="2">
        <v>3.0015197568388999E-2</v>
      </c>
      <c r="F25101" s="2">
        <v>3.3144521767276197E-2</v>
      </c>
    </row>
    <row r="25102" spans="1:6" x14ac:dyDescent="0.25">
      <c r="A25102" s="1" t="str">
        <f t="shared" si="906"/>
        <v>35660</v>
      </c>
      <c r="B25102" s="1" t="str">
        <f>"49043"</f>
        <v>49043</v>
      </c>
      <c r="C25102" s="2">
        <v>1.6927429690711599E-4</v>
      </c>
      <c r="D25102" s="2">
        <v>1.3610997686130301E-4</v>
      </c>
      <c r="E25102" s="2">
        <v>0</v>
      </c>
      <c r="F25102" s="2">
        <v>1.6183848519177801E-4</v>
      </c>
    </row>
    <row r="25103" spans="1:6" x14ac:dyDescent="0.25">
      <c r="A25103" s="1" t="str">
        <f t="shared" si="906"/>
        <v>35660</v>
      </c>
      <c r="B25103" s="1" t="str">
        <f>"49047"</f>
        <v>49047</v>
      </c>
      <c r="C25103" s="2">
        <v>5.1991391192900095E-4</v>
      </c>
      <c r="D25103" s="2">
        <v>0</v>
      </c>
      <c r="E25103" s="2">
        <v>0</v>
      </c>
      <c r="F25103" s="2">
        <v>4.6393699088309798E-4</v>
      </c>
    </row>
    <row r="25104" spans="1:6" x14ac:dyDescent="0.25">
      <c r="A25104" s="1" t="str">
        <f t="shared" si="906"/>
        <v>35660</v>
      </c>
      <c r="B25104" s="1" t="str">
        <f>"49120"</f>
        <v>49120</v>
      </c>
      <c r="C25104" s="2">
        <v>0.164135612893865</v>
      </c>
      <c r="D25104" s="2">
        <v>0.182931808901592</v>
      </c>
      <c r="E25104" s="2">
        <v>0.180851063829787</v>
      </c>
      <c r="F25104" s="2">
        <v>0.16610023196849499</v>
      </c>
    </row>
    <row r="25105" spans="1:6" x14ac:dyDescent="0.25">
      <c r="A25105" s="1" t="str">
        <f t="shared" si="906"/>
        <v>35660</v>
      </c>
      <c r="B25105" s="1" t="str">
        <f>"49038"</f>
        <v>49038</v>
      </c>
      <c r="C25105" s="2">
        <v>5.8327086305709298E-2</v>
      </c>
      <c r="D25105" s="2">
        <v>3.02164148632094E-2</v>
      </c>
      <c r="E25105" s="2">
        <v>5.6990881458966497E-2</v>
      </c>
      <c r="F25105" s="2">
        <v>5.6060851270432102E-2</v>
      </c>
    </row>
    <row r="25106" spans="1:6" x14ac:dyDescent="0.25">
      <c r="A25106" s="1" t="str">
        <f t="shared" si="906"/>
        <v>35660</v>
      </c>
      <c r="B25106" s="1" t="str">
        <f>"49101"</f>
        <v>49101</v>
      </c>
      <c r="C25106" s="2">
        <v>1.8136531811476699E-2</v>
      </c>
      <c r="D25106" s="2">
        <v>4.7638491901456298E-3</v>
      </c>
      <c r="E25106" s="2">
        <v>6.8389057750759801E-3</v>
      </c>
      <c r="F25106" s="2">
        <v>1.6755677833522099E-2</v>
      </c>
    </row>
    <row r="25107" spans="1:6" x14ac:dyDescent="0.25">
      <c r="A25107" s="1" t="str">
        <f t="shared" si="906"/>
        <v>35660</v>
      </c>
      <c r="B25107" s="1" t="str">
        <f>"49113"</f>
        <v>49113</v>
      </c>
      <c r="C25107" s="2">
        <v>1.14260150412303E-2</v>
      </c>
      <c r="D25107" s="2">
        <v>3.5388593983939E-3</v>
      </c>
      <c r="E25107" s="2">
        <v>3.7993920972644301E-4</v>
      </c>
      <c r="F25107" s="2">
        <v>1.0487133840427199E-2</v>
      </c>
    </row>
    <row r="25108" spans="1:6" x14ac:dyDescent="0.25">
      <c r="A25108" s="1" t="str">
        <f t="shared" si="906"/>
        <v>35660</v>
      </c>
      <c r="B25108" s="1" t="str">
        <f>"49023"</f>
        <v>49023</v>
      </c>
      <c r="C25108" s="2">
        <v>1.18129277198752E-2</v>
      </c>
      <c r="D25108" s="2">
        <v>2.5997005580508999E-2</v>
      </c>
      <c r="E25108" s="2">
        <v>7.5987841945288699E-4</v>
      </c>
      <c r="F25108" s="2">
        <v>1.26234018449587E-2</v>
      </c>
    </row>
    <row r="25109" spans="1:6" x14ac:dyDescent="0.25">
      <c r="A25109" s="1" t="str">
        <f t="shared" si="906"/>
        <v>35660</v>
      </c>
      <c r="B25109" s="1" t="str">
        <f>"49125"</f>
        <v>49125</v>
      </c>
      <c r="C25109" s="2">
        <v>1.9200541677750101E-2</v>
      </c>
      <c r="D25109" s="2">
        <v>9.6638083571525708E-3</v>
      </c>
      <c r="E25109" s="2">
        <v>7.21884498480243E-3</v>
      </c>
      <c r="F25109" s="2">
        <v>1.8104331876786901E-2</v>
      </c>
    </row>
    <row r="25110" spans="1:6" x14ac:dyDescent="0.25">
      <c r="A25110" s="1" t="str">
        <f t="shared" ref="A25110:A25119" si="907">"35700"</f>
        <v>35700</v>
      </c>
      <c r="B25110" s="1" t="str">
        <f>"85614"</f>
        <v>85614</v>
      </c>
      <c r="C25110" s="2">
        <v>5.9910134797803202E-4</v>
      </c>
      <c r="D25110" s="2">
        <v>8.3717036416910799E-4</v>
      </c>
      <c r="E25110" s="2">
        <v>1.08108108108108E-3</v>
      </c>
      <c r="F25110" s="2">
        <v>6.59277267295727E-4</v>
      </c>
    </row>
    <row r="25111" spans="1:6" x14ac:dyDescent="0.25">
      <c r="A25111" s="1" t="str">
        <f t="shared" si="907"/>
        <v>35700</v>
      </c>
      <c r="B25111" s="1" t="str">
        <f>"85648"</f>
        <v>85648</v>
      </c>
      <c r="C25111" s="2">
        <v>0.36625062406390402</v>
      </c>
      <c r="D25111" s="2">
        <v>0.15278359146086201</v>
      </c>
      <c r="E25111" s="2">
        <v>0.267567567567567</v>
      </c>
      <c r="F25111" s="2">
        <v>0.337714780172236</v>
      </c>
    </row>
    <row r="25112" spans="1:6" x14ac:dyDescent="0.25">
      <c r="A25112" s="1" t="str">
        <f t="shared" si="907"/>
        <v>35700</v>
      </c>
      <c r="B25112" s="1" t="str">
        <f>"85624"</f>
        <v>85624</v>
      </c>
      <c r="C25112" s="2">
        <v>1.8572141787318999E-2</v>
      </c>
      <c r="D25112" s="2">
        <v>1.08832147341984E-2</v>
      </c>
      <c r="E25112" s="2">
        <v>1.2972972972972899E-2</v>
      </c>
      <c r="F25112" s="2">
        <v>1.73884379249248E-2</v>
      </c>
    </row>
    <row r="25113" spans="1:6" x14ac:dyDescent="0.25">
      <c r="A25113" s="1" t="str">
        <f t="shared" si="907"/>
        <v>35700</v>
      </c>
      <c r="B25113" s="1" t="str">
        <f>"85611"</f>
        <v>85611</v>
      </c>
      <c r="C25113" s="2">
        <v>3.7194208686969502E-2</v>
      </c>
      <c r="D25113" s="2">
        <v>7.1159480954374197E-3</v>
      </c>
      <c r="E25113" s="2">
        <v>1.08108108108108E-3</v>
      </c>
      <c r="F25113" s="2">
        <v>3.1480489513370902E-2</v>
      </c>
    </row>
    <row r="25114" spans="1:6" x14ac:dyDescent="0.25">
      <c r="A25114" s="1" t="str">
        <f t="shared" si="907"/>
        <v>35700</v>
      </c>
      <c r="B25114" s="1" t="str">
        <f>"85621"</f>
        <v>85621</v>
      </c>
      <c r="C25114" s="2">
        <v>0.42021967049425801</v>
      </c>
      <c r="D25114" s="2">
        <v>0.65592298032649599</v>
      </c>
      <c r="E25114" s="2">
        <v>0.71135135135135097</v>
      </c>
      <c r="F25114" s="2">
        <v>0.46561457002760698</v>
      </c>
    </row>
    <row r="25115" spans="1:6" x14ac:dyDescent="0.25">
      <c r="A25115" s="1" t="str">
        <f t="shared" si="907"/>
        <v>35700</v>
      </c>
      <c r="B25115" s="1" t="str">
        <f>"85640"</f>
        <v>85640</v>
      </c>
      <c r="C25115" s="2">
        <v>3.84423364952571E-3</v>
      </c>
      <c r="D25115" s="2">
        <v>1.25575554625366E-3</v>
      </c>
      <c r="E25115" s="2">
        <v>5.4054054054054001E-4</v>
      </c>
      <c r="F25115" s="2">
        <v>3.3375911656846101E-3</v>
      </c>
    </row>
    <row r="25116" spans="1:6" x14ac:dyDescent="0.25">
      <c r="A25116" s="1" t="str">
        <f t="shared" si="907"/>
        <v>35700</v>
      </c>
      <c r="B25116" s="1" t="str">
        <f>"85637"</f>
        <v>85637</v>
      </c>
      <c r="C25116" s="2">
        <v>1.27808287568647E-2</v>
      </c>
      <c r="D25116" s="2">
        <v>8.7902888237756296E-3</v>
      </c>
      <c r="E25116" s="2">
        <v>4.3243243243243201E-3</v>
      </c>
      <c r="F25116" s="2">
        <v>1.1743376323705101E-2</v>
      </c>
    </row>
    <row r="25117" spans="1:6" x14ac:dyDescent="0.25">
      <c r="A25117" s="1" t="str">
        <f t="shared" si="907"/>
        <v>35700</v>
      </c>
      <c r="B25117" s="1" t="str">
        <f>"85628"</f>
        <v>85628</v>
      </c>
      <c r="C25117" s="2">
        <v>0.12960559161258101</v>
      </c>
      <c r="D25117" s="2">
        <v>0.158643784010046</v>
      </c>
      <c r="E25117" s="2">
        <v>1.08108108108108E-3</v>
      </c>
      <c r="F25117" s="2">
        <v>0.122666776546211</v>
      </c>
    </row>
    <row r="25118" spans="1:6" x14ac:dyDescent="0.25">
      <c r="A25118" s="1" t="str">
        <f t="shared" si="907"/>
        <v>35700</v>
      </c>
      <c r="B25118" s="1" t="str">
        <f>"85646"</f>
        <v>85646</v>
      </c>
      <c r="C25118" s="2">
        <v>1.0833749375936E-2</v>
      </c>
      <c r="D25118" s="2">
        <v>3.3486814566764298E-3</v>
      </c>
      <c r="E25118" s="2">
        <v>0</v>
      </c>
      <c r="F25118" s="2">
        <v>9.2710865713461592E-3</v>
      </c>
    </row>
    <row r="25119" spans="1:6" x14ac:dyDescent="0.25">
      <c r="A25119" s="1" t="str">
        <f t="shared" si="907"/>
        <v>35700</v>
      </c>
      <c r="B25119" s="1" t="str">
        <f>"85645"</f>
        <v>85645</v>
      </c>
      <c r="C25119" s="2">
        <v>9.9850224663005404E-5</v>
      </c>
      <c r="D25119" s="2">
        <v>4.18585182084554E-4</v>
      </c>
      <c r="E25119" s="2">
        <v>0</v>
      </c>
      <c r="F25119" s="2">
        <v>1.23614487617948E-4</v>
      </c>
    </row>
    <row r="25120" spans="1:6" x14ac:dyDescent="0.25">
      <c r="A25120" s="1" t="str">
        <f t="shared" ref="A25120:A25143" si="908">"35740"</f>
        <v>35740</v>
      </c>
      <c r="B25120" s="1" t="str">
        <f>"68729"</f>
        <v>68729</v>
      </c>
      <c r="C25120" s="2">
        <v>4.2810051800162601E-5</v>
      </c>
      <c r="D25120" s="2">
        <v>0</v>
      </c>
      <c r="E25120" s="2">
        <v>0</v>
      </c>
      <c r="F25120" s="2">
        <v>3.7189928967235601E-5</v>
      </c>
    </row>
    <row r="25121" spans="1:6" x14ac:dyDescent="0.25">
      <c r="A25121" s="1" t="str">
        <f t="shared" si="908"/>
        <v>35740</v>
      </c>
      <c r="B25121" s="1" t="str">
        <f>"68765"</f>
        <v>68765</v>
      </c>
      <c r="C25121" s="2">
        <v>3.0523566933515899E-2</v>
      </c>
      <c r="D25121" s="2">
        <v>6.8935803532959904E-3</v>
      </c>
      <c r="E25121" s="2">
        <v>7.4441687344913099E-3</v>
      </c>
      <c r="F25121" s="2">
        <v>2.74461675778199E-2</v>
      </c>
    </row>
    <row r="25122" spans="1:6" x14ac:dyDescent="0.25">
      <c r="A25122" s="1" t="str">
        <f t="shared" si="908"/>
        <v>35740</v>
      </c>
      <c r="B25122" s="1" t="str">
        <f>"68767"</f>
        <v>68767</v>
      </c>
      <c r="C25122" s="2">
        <v>6.1603664540433999E-2</v>
      </c>
      <c r="D25122" s="2">
        <v>5.4286945282205901E-2</v>
      </c>
      <c r="E25122" s="2">
        <v>3.5566583953680703E-2</v>
      </c>
      <c r="F25122" s="2">
        <v>5.9801405779314899E-2</v>
      </c>
    </row>
    <row r="25123" spans="1:6" x14ac:dyDescent="0.25">
      <c r="A25123" s="1" t="str">
        <f t="shared" si="908"/>
        <v>35740</v>
      </c>
      <c r="B25123" s="1" t="str">
        <f>"68779"</f>
        <v>68779</v>
      </c>
      <c r="C25123" s="2">
        <v>4.9959330450789798E-2</v>
      </c>
      <c r="D25123" s="2">
        <v>8.6169754416199895E-3</v>
      </c>
      <c r="E25123" s="2">
        <v>1.24069478908188E-2</v>
      </c>
      <c r="F25123" s="2">
        <v>4.4702294618617203E-2</v>
      </c>
    </row>
    <row r="25124" spans="1:6" x14ac:dyDescent="0.25">
      <c r="A25124" s="1" t="str">
        <f t="shared" si="908"/>
        <v>35740</v>
      </c>
      <c r="B25124" s="1" t="str">
        <f>"68771"</f>
        <v>68771</v>
      </c>
      <c r="C25124" s="2">
        <v>5.0515861124191897E-3</v>
      </c>
      <c r="D25124" s="2">
        <v>3.01594140456699E-3</v>
      </c>
      <c r="E25124" s="2">
        <v>0</v>
      </c>
      <c r="F25124" s="2">
        <v>4.6487411209044502E-3</v>
      </c>
    </row>
    <row r="25125" spans="1:6" x14ac:dyDescent="0.25">
      <c r="A25125" s="1" t="str">
        <f t="shared" si="908"/>
        <v>35740</v>
      </c>
      <c r="B25125" s="1" t="str">
        <f>"68629"</f>
        <v>68629</v>
      </c>
      <c r="C25125" s="2">
        <v>2.9110835224110598E-3</v>
      </c>
      <c r="D25125" s="2">
        <v>4.3084877208099902E-4</v>
      </c>
      <c r="E25125" s="2">
        <v>0</v>
      </c>
      <c r="F25125" s="2">
        <v>2.5661050987392602E-3</v>
      </c>
    </row>
    <row r="25126" spans="1:6" x14ac:dyDescent="0.25">
      <c r="A25126" s="1" t="str">
        <f t="shared" si="908"/>
        <v>35740</v>
      </c>
      <c r="B25126" s="1" t="str">
        <f>"68643"</f>
        <v>68643</v>
      </c>
      <c r="C25126" s="2">
        <v>1.7124020720065E-3</v>
      </c>
      <c r="D25126" s="2">
        <v>4.3084877208099902E-4</v>
      </c>
      <c r="E25126" s="2">
        <v>0</v>
      </c>
      <c r="F25126" s="2">
        <v>1.52478708765666E-3</v>
      </c>
    </row>
    <row r="25127" spans="1:6" x14ac:dyDescent="0.25">
      <c r="A25127" s="1" t="str">
        <f t="shared" si="908"/>
        <v>35740</v>
      </c>
      <c r="B25127" s="1" t="str">
        <f>"68758"</f>
        <v>68758</v>
      </c>
      <c r="C25127" s="2">
        <v>1.9692623828074799E-2</v>
      </c>
      <c r="D25127" s="2">
        <v>2.3265833692373901E-2</v>
      </c>
      <c r="E25127" s="2">
        <v>1.3234077750206699E-2</v>
      </c>
      <c r="F25127" s="2">
        <v>1.9710662352634901E-2</v>
      </c>
    </row>
    <row r="25128" spans="1:6" x14ac:dyDescent="0.25">
      <c r="A25128" s="1" t="str">
        <f t="shared" si="908"/>
        <v>35740</v>
      </c>
      <c r="B25128" s="1" t="str">
        <f>"68644"</f>
        <v>68644</v>
      </c>
      <c r="C25128" s="2">
        <v>1.66959202020634E-3</v>
      </c>
      <c r="D25128" s="2">
        <v>4.3084877208099902E-4</v>
      </c>
      <c r="E25128" s="2">
        <v>0</v>
      </c>
      <c r="F25128" s="2">
        <v>1.4875971586894199E-3</v>
      </c>
    </row>
    <row r="25129" spans="1:6" x14ac:dyDescent="0.25">
      <c r="A25129" s="1" t="str">
        <f t="shared" si="908"/>
        <v>35740</v>
      </c>
      <c r="B25129" s="1" t="str">
        <f>"68768"</f>
        <v>68768</v>
      </c>
      <c r="C25129" s="2">
        <v>1.7594931289866798E-2</v>
      </c>
      <c r="D25129" s="2">
        <v>4.7393364928909904E-3</v>
      </c>
      <c r="E25129" s="2">
        <v>1.0752688172042999E-2</v>
      </c>
      <c r="F25129" s="2">
        <v>1.6177619100747501E-2</v>
      </c>
    </row>
    <row r="25130" spans="1:6" x14ac:dyDescent="0.25">
      <c r="A25130" s="1" t="str">
        <f t="shared" si="908"/>
        <v>35740</v>
      </c>
      <c r="B25130" s="1" t="str">
        <f>"68701"</f>
        <v>68701</v>
      </c>
      <c r="C25130" s="2">
        <v>0.60546256260969999</v>
      </c>
      <c r="D25130" s="2">
        <v>0.66824644549763001</v>
      </c>
      <c r="E25130" s="2">
        <v>0.87841191066997504</v>
      </c>
      <c r="F25130" s="2">
        <v>0.62315444977500001</v>
      </c>
    </row>
    <row r="25131" spans="1:6" x14ac:dyDescent="0.25">
      <c r="A25131" s="1" t="str">
        <f t="shared" si="908"/>
        <v>35740</v>
      </c>
      <c r="B25131" s="1" t="str">
        <f>"68641"</f>
        <v>68641</v>
      </c>
      <c r="C25131" s="2">
        <v>2.7826533670105699E-3</v>
      </c>
      <c r="D25131" s="2">
        <v>4.3084877208099902E-4</v>
      </c>
      <c r="E25131" s="2">
        <v>0</v>
      </c>
      <c r="F25131" s="2">
        <v>2.45453531183755E-3</v>
      </c>
    </row>
    <row r="25132" spans="1:6" x14ac:dyDescent="0.25">
      <c r="A25132" s="1" t="str">
        <f t="shared" si="908"/>
        <v>35740</v>
      </c>
      <c r="B25132" s="1" t="str">
        <f>"68747"</f>
        <v>68747</v>
      </c>
      <c r="C25132" s="2">
        <v>3.3819940922128499E-3</v>
      </c>
      <c r="D25132" s="2">
        <v>4.3084877208099902E-4</v>
      </c>
      <c r="E25132" s="2">
        <v>0</v>
      </c>
      <c r="F25132" s="2">
        <v>2.9751943173788502E-3</v>
      </c>
    </row>
    <row r="25133" spans="1:6" x14ac:dyDescent="0.25">
      <c r="A25133" s="1" t="str">
        <f t="shared" si="908"/>
        <v>35740</v>
      </c>
      <c r="B25133" s="1" t="str">
        <f>"68702"</f>
        <v>68702</v>
      </c>
      <c r="C25133" s="2">
        <v>3.2920929834325E-2</v>
      </c>
      <c r="D25133" s="2">
        <v>0.16846186988367001</v>
      </c>
      <c r="E25133" s="2">
        <v>1.65425971877584E-3</v>
      </c>
      <c r="F25133" s="2">
        <v>4.3214697459927801E-2</v>
      </c>
    </row>
    <row r="25134" spans="1:6" x14ac:dyDescent="0.25">
      <c r="A25134" s="1" t="str">
        <f t="shared" si="908"/>
        <v>35740</v>
      </c>
      <c r="B25134" s="1" t="str">
        <f>"68781"</f>
        <v>68781</v>
      </c>
      <c r="C25134" s="2">
        <v>1.7338070979065801E-2</v>
      </c>
      <c r="D25134" s="2">
        <v>5.1701852649719904E-3</v>
      </c>
      <c r="E25134" s="2">
        <v>3.30851943755169E-3</v>
      </c>
      <c r="F25134" s="2">
        <v>1.5656960095206202E-2</v>
      </c>
    </row>
    <row r="25135" spans="1:6" x14ac:dyDescent="0.25">
      <c r="A25135" s="1" t="str">
        <f t="shared" si="908"/>
        <v>35740</v>
      </c>
      <c r="B25135" s="1" t="str">
        <f>"68642"</f>
        <v>68642</v>
      </c>
      <c r="C25135" s="2">
        <v>1.1986814504045501E-3</v>
      </c>
      <c r="D25135" s="2">
        <v>4.3084877208099902E-4</v>
      </c>
      <c r="E25135" s="2">
        <v>0</v>
      </c>
      <c r="F25135" s="2">
        <v>1.0785079400498299E-3</v>
      </c>
    </row>
    <row r="25136" spans="1:6" x14ac:dyDescent="0.25">
      <c r="A25136" s="1" t="str">
        <f t="shared" si="908"/>
        <v>35740</v>
      </c>
      <c r="B25136" s="1" t="str">
        <f>"68738"</f>
        <v>68738</v>
      </c>
      <c r="C25136" s="2">
        <v>0</v>
      </c>
      <c r="D25136" s="2">
        <v>0</v>
      </c>
      <c r="E25136" s="2">
        <v>8.2712985938792304E-4</v>
      </c>
      <c r="F25136" s="2">
        <v>3.7189928967235601E-5</v>
      </c>
    </row>
    <row r="25137" spans="1:6" x14ac:dyDescent="0.25">
      <c r="A25137" s="1" t="str">
        <f t="shared" si="908"/>
        <v>35740</v>
      </c>
      <c r="B25137" s="1" t="str">
        <f>"68740"</f>
        <v>68740</v>
      </c>
      <c r="C25137" s="2">
        <v>1.2843015540048801E-4</v>
      </c>
      <c r="D25137" s="2">
        <v>0</v>
      </c>
      <c r="E25137" s="2">
        <v>0</v>
      </c>
      <c r="F25137" s="2">
        <v>1.11569786901707E-4</v>
      </c>
    </row>
    <row r="25138" spans="1:6" x14ac:dyDescent="0.25">
      <c r="A25138" s="1" t="str">
        <f t="shared" si="908"/>
        <v>35740</v>
      </c>
      <c r="B25138" s="1" t="str">
        <f>"68748"</f>
        <v>68748</v>
      </c>
      <c r="C25138" s="2">
        <v>6.0019692623828003E-2</v>
      </c>
      <c r="D25138" s="2">
        <v>2.1542438604049901E-2</v>
      </c>
      <c r="E25138" s="2">
        <v>2.39867659222497E-2</v>
      </c>
      <c r="F25138" s="2">
        <v>5.5078284800476003E-2</v>
      </c>
    </row>
    <row r="25139" spans="1:6" x14ac:dyDescent="0.25">
      <c r="A25139" s="1" t="str">
        <f t="shared" si="908"/>
        <v>35740</v>
      </c>
      <c r="B25139" s="1" t="str">
        <f>"68752"</f>
        <v>68752</v>
      </c>
      <c r="C25139" s="2">
        <v>1.6139389528661299E-2</v>
      </c>
      <c r="D25139" s="2">
        <v>4.3084877208099904E-3</v>
      </c>
      <c r="E25139" s="2">
        <v>0</v>
      </c>
      <c r="F25139" s="2">
        <v>1.4392502510320201E-2</v>
      </c>
    </row>
    <row r="25140" spans="1:6" x14ac:dyDescent="0.25">
      <c r="A25140" s="1" t="str">
        <f t="shared" si="908"/>
        <v>35740</v>
      </c>
      <c r="B25140" s="1" t="str">
        <f>"68769"</f>
        <v>68769</v>
      </c>
      <c r="C25140" s="2">
        <v>3.8143756153944899E-2</v>
      </c>
      <c r="D25140" s="2">
        <v>1.2063765618267899E-2</v>
      </c>
      <c r="E25140" s="2">
        <v>4.96277915632754E-3</v>
      </c>
      <c r="F25140" s="2">
        <v>3.4400684294692903E-2</v>
      </c>
    </row>
    <row r="25141" spans="1:6" x14ac:dyDescent="0.25">
      <c r="A25141" s="1" t="str">
        <f t="shared" si="908"/>
        <v>35740</v>
      </c>
      <c r="B25141" s="1" t="str">
        <f>"68786"</f>
        <v>68786</v>
      </c>
      <c r="C25141" s="2">
        <v>8.5620103600325296E-5</v>
      </c>
      <c r="D25141" s="2">
        <v>0</v>
      </c>
      <c r="E25141" s="2">
        <v>0</v>
      </c>
      <c r="F25141" s="2">
        <v>7.4379857934471296E-5</v>
      </c>
    </row>
    <row r="25142" spans="1:6" x14ac:dyDescent="0.25">
      <c r="A25142" s="1" t="str">
        <f t="shared" si="908"/>
        <v>35740</v>
      </c>
      <c r="B25142" s="1" t="str">
        <f>"68715"</f>
        <v>68715</v>
      </c>
      <c r="C25142" s="2">
        <v>3.12085277623185E-2</v>
      </c>
      <c r="D25142" s="2">
        <v>1.6803102111158898E-2</v>
      </c>
      <c r="E25142" s="2">
        <v>7.4441687344913099E-3</v>
      </c>
      <c r="F25142" s="2">
        <v>2.88965748075421E-2</v>
      </c>
    </row>
    <row r="25143" spans="1:6" x14ac:dyDescent="0.25">
      <c r="A25143" s="1" t="str">
        <f t="shared" si="908"/>
        <v>35740</v>
      </c>
      <c r="B25143" s="1" t="str">
        <f>"68631"</f>
        <v>68631</v>
      </c>
      <c r="C25143" s="2">
        <v>4.2810051800162602E-4</v>
      </c>
      <c r="D25143" s="2">
        <v>0</v>
      </c>
      <c r="E25143" s="2">
        <v>0</v>
      </c>
      <c r="F25143" s="2">
        <v>3.7189928967235601E-4</v>
      </c>
    </row>
    <row r="25144" spans="1:6" x14ac:dyDescent="0.25">
      <c r="A25144" s="1" t="str">
        <f t="shared" ref="A25144:A25162" si="909">"35820"</f>
        <v>35820</v>
      </c>
      <c r="B25144" s="1" t="str">
        <f>"69155"</f>
        <v>69155</v>
      </c>
      <c r="C25144" s="2">
        <v>3.1201248049921899E-4</v>
      </c>
      <c r="D25144" s="2">
        <v>0</v>
      </c>
      <c r="E25144" s="2">
        <v>0</v>
      </c>
      <c r="F25144" s="2">
        <v>2.7555800496004401E-4</v>
      </c>
    </row>
    <row r="25145" spans="1:6" x14ac:dyDescent="0.25">
      <c r="A25145" s="1" t="str">
        <f t="shared" si="909"/>
        <v>35820</v>
      </c>
      <c r="B25145" s="1" t="str">
        <f>"69143"</f>
        <v>69143</v>
      </c>
      <c r="C25145" s="2">
        <v>3.38013520540821E-2</v>
      </c>
      <c r="D25145" s="2">
        <v>3.8929440389294401E-3</v>
      </c>
      <c r="E25145" s="2">
        <v>6.13496932515337E-3</v>
      </c>
      <c r="F25145" s="2">
        <v>3.03573068797648E-2</v>
      </c>
    </row>
    <row r="25146" spans="1:6" x14ac:dyDescent="0.25">
      <c r="A25146" s="1" t="str">
        <f t="shared" si="909"/>
        <v>35820</v>
      </c>
      <c r="B25146" s="1" t="str">
        <f>"69038"</f>
        <v>69038</v>
      </c>
      <c r="C25146" s="2">
        <v>3.1201248049921898E-3</v>
      </c>
      <c r="D25146" s="2">
        <v>4.8661800486618002E-4</v>
      </c>
      <c r="E25146" s="2">
        <v>0</v>
      </c>
      <c r="F25146" s="2">
        <v>2.8015063837604401E-3</v>
      </c>
    </row>
    <row r="25147" spans="1:6" x14ac:dyDescent="0.25">
      <c r="A25147" s="1" t="str">
        <f t="shared" si="909"/>
        <v>35820</v>
      </c>
      <c r="B25147" s="1" t="str">
        <f>"69025"</f>
        <v>69025</v>
      </c>
      <c r="C25147" s="2">
        <v>9.3603744149765898E-4</v>
      </c>
      <c r="D25147" s="2">
        <v>0</v>
      </c>
      <c r="E25147" s="2">
        <v>0</v>
      </c>
      <c r="F25147" s="2">
        <v>8.2667401488013196E-4</v>
      </c>
    </row>
    <row r="25148" spans="1:6" x14ac:dyDescent="0.25">
      <c r="A25148" s="1" t="str">
        <f t="shared" si="909"/>
        <v>35820</v>
      </c>
      <c r="B25148" s="1" t="str">
        <f>"69039"</f>
        <v>69039</v>
      </c>
      <c r="C25148" s="2">
        <v>7.8003120124804897E-4</v>
      </c>
      <c r="D25148" s="2">
        <v>0</v>
      </c>
      <c r="E25148" s="2">
        <v>0</v>
      </c>
      <c r="F25148" s="2">
        <v>6.8889501240011004E-4</v>
      </c>
    </row>
    <row r="25149" spans="1:6" x14ac:dyDescent="0.25">
      <c r="A25149" s="1" t="str">
        <f t="shared" si="909"/>
        <v>35820</v>
      </c>
      <c r="B25149" s="1" t="str">
        <f>"69138"</f>
        <v>69138</v>
      </c>
      <c r="C25149" s="2">
        <v>2.9121164846593801E-3</v>
      </c>
      <c r="D25149" s="2">
        <v>0</v>
      </c>
      <c r="E25149" s="2">
        <v>0</v>
      </c>
      <c r="F25149" s="2">
        <v>2.5718747129604099E-3</v>
      </c>
    </row>
    <row r="25150" spans="1:6" x14ac:dyDescent="0.25">
      <c r="A25150" s="1" t="str">
        <f t="shared" si="909"/>
        <v>35820</v>
      </c>
      <c r="B25150" s="1" t="str">
        <f>"69165"</f>
        <v>69165</v>
      </c>
      <c r="C25150" s="2">
        <v>4.1445657826313001E-2</v>
      </c>
      <c r="D25150" s="2">
        <v>1.7031630170316302E-2</v>
      </c>
      <c r="E25150" s="2">
        <v>2.04498977505112E-2</v>
      </c>
      <c r="F25150" s="2">
        <v>3.8669973362726102E-2</v>
      </c>
    </row>
    <row r="25151" spans="1:6" x14ac:dyDescent="0.25">
      <c r="A25151" s="1" t="str">
        <f t="shared" si="909"/>
        <v>35820</v>
      </c>
      <c r="B25151" s="1" t="str">
        <f>"69123"</f>
        <v>69123</v>
      </c>
      <c r="C25151" s="2">
        <v>2.3660946437857499E-2</v>
      </c>
      <c r="D25151" s="2">
        <v>4.8661800486617997E-3</v>
      </c>
      <c r="E25151" s="2">
        <v>2.0449897750511202E-3</v>
      </c>
      <c r="F25151" s="2">
        <v>2.14016717185634E-2</v>
      </c>
    </row>
    <row r="25152" spans="1:6" x14ac:dyDescent="0.25">
      <c r="A25152" s="1" t="str">
        <f t="shared" si="909"/>
        <v>35820</v>
      </c>
      <c r="B25152" s="1" t="str">
        <f>"69163"</f>
        <v>69163</v>
      </c>
      <c r="C25152" s="2">
        <v>2.20488819552782E-2</v>
      </c>
      <c r="D25152" s="2">
        <v>7.7858880778588803E-3</v>
      </c>
      <c r="E25152" s="2">
        <v>2.0449897750511202E-3</v>
      </c>
      <c r="F25152" s="2">
        <v>2.02535133645632E-2</v>
      </c>
    </row>
    <row r="25153" spans="1:6" x14ac:dyDescent="0.25">
      <c r="A25153" s="1" t="str">
        <f t="shared" si="909"/>
        <v>35820</v>
      </c>
      <c r="B25153" s="1" t="str">
        <f>"69120"</f>
        <v>69120</v>
      </c>
      <c r="C25153" s="2">
        <v>2.0280811232449201E-3</v>
      </c>
      <c r="D25153" s="2">
        <v>0</v>
      </c>
      <c r="E25153" s="2">
        <v>0</v>
      </c>
      <c r="F25153" s="2">
        <v>1.7911270322402801E-3</v>
      </c>
    </row>
    <row r="25154" spans="1:6" x14ac:dyDescent="0.25">
      <c r="A25154" s="1" t="str">
        <f t="shared" si="909"/>
        <v>35820</v>
      </c>
      <c r="B25154" s="1" t="str">
        <f>"69029"</f>
        <v>69029</v>
      </c>
      <c r="C25154" s="2">
        <v>1.3000520020800799E-3</v>
      </c>
      <c r="D25154" s="2">
        <v>0</v>
      </c>
      <c r="E25154" s="2">
        <v>0</v>
      </c>
      <c r="F25154" s="2">
        <v>1.1481583540001799E-3</v>
      </c>
    </row>
    <row r="25155" spans="1:6" x14ac:dyDescent="0.25">
      <c r="A25155" s="1" t="str">
        <f t="shared" si="909"/>
        <v>35820</v>
      </c>
      <c r="B25155" s="1" t="str">
        <f>"69151"</f>
        <v>69151</v>
      </c>
      <c r="C25155" s="2">
        <v>1.8772750910036402E-2</v>
      </c>
      <c r="D25155" s="2">
        <v>2.4330900243309E-2</v>
      </c>
      <c r="E25155" s="2">
        <v>4.0899795501022403E-3</v>
      </c>
      <c r="F25155" s="2">
        <v>1.8967576008082999E-2</v>
      </c>
    </row>
    <row r="25156" spans="1:6" x14ac:dyDescent="0.25">
      <c r="A25156" s="1" t="str">
        <f t="shared" si="909"/>
        <v>35820</v>
      </c>
      <c r="B25156" s="1" t="str">
        <f>"69167"</f>
        <v>69167</v>
      </c>
      <c r="C25156" s="2">
        <v>9.5163806552261993E-3</v>
      </c>
      <c r="D25156" s="2">
        <v>5.3527980535279804E-3</v>
      </c>
      <c r="E25156" s="2">
        <v>0</v>
      </c>
      <c r="F25156" s="2">
        <v>8.9097088270414203E-3</v>
      </c>
    </row>
    <row r="25157" spans="1:6" x14ac:dyDescent="0.25">
      <c r="A25157" s="1" t="str">
        <f t="shared" si="909"/>
        <v>35820</v>
      </c>
      <c r="B25157" s="1" t="str">
        <f>"69103"</f>
        <v>69103</v>
      </c>
      <c r="C25157" s="2">
        <v>6.4014560582423205E-2</v>
      </c>
      <c r="D25157" s="2">
        <v>0.210705596107055</v>
      </c>
      <c r="E25157" s="2">
        <v>4.0899795501022403E-3</v>
      </c>
      <c r="F25157" s="2">
        <v>7.6513272710572205E-2</v>
      </c>
    </row>
    <row r="25158" spans="1:6" x14ac:dyDescent="0.25">
      <c r="A25158" s="1" t="str">
        <f t="shared" si="909"/>
        <v>35820</v>
      </c>
      <c r="B25158" s="1" t="str">
        <f>"69170"</f>
        <v>69170</v>
      </c>
      <c r="C25158" s="2">
        <v>9.3603744149765907E-3</v>
      </c>
      <c r="D25158" s="2">
        <v>3.4063260340632599E-3</v>
      </c>
      <c r="E25158" s="2">
        <v>1.02249488752556E-2</v>
      </c>
      <c r="F25158" s="2">
        <v>8.8178561587214099E-3</v>
      </c>
    </row>
    <row r="25159" spans="1:6" x14ac:dyDescent="0.25">
      <c r="A25159" s="1" t="str">
        <f t="shared" si="909"/>
        <v>35820</v>
      </c>
      <c r="B25159" s="1" t="str">
        <f>"69169"</f>
        <v>69169</v>
      </c>
      <c r="C25159" s="2">
        <v>1.4612584503380099E-2</v>
      </c>
      <c r="D25159" s="2">
        <v>1.8491484184914801E-2</v>
      </c>
      <c r="E25159" s="2">
        <v>6.13496932515337E-3</v>
      </c>
      <c r="F25159" s="2">
        <v>1.47882795995223E-2</v>
      </c>
    </row>
    <row r="25160" spans="1:6" x14ac:dyDescent="0.25">
      <c r="A25160" s="1" t="str">
        <f t="shared" si="909"/>
        <v>35820</v>
      </c>
      <c r="B25160" s="1" t="str">
        <f>"68833"</f>
        <v>68833</v>
      </c>
      <c r="C25160" s="2">
        <v>7.28029121164846E-4</v>
      </c>
      <c r="D25160" s="2">
        <v>0</v>
      </c>
      <c r="E25160" s="2">
        <v>0</v>
      </c>
      <c r="F25160" s="2">
        <v>6.4296867824010205E-4</v>
      </c>
    </row>
    <row r="25161" spans="1:6" x14ac:dyDescent="0.25">
      <c r="A25161" s="1" t="str">
        <f t="shared" si="909"/>
        <v>35820</v>
      </c>
      <c r="B25161" s="1" t="str">
        <f>"69132"</f>
        <v>69132</v>
      </c>
      <c r="C25161" s="2">
        <v>2.7561102444097702E-3</v>
      </c>
      <c r="D25161" s="2">
        <v>9.7323600973236004E-4</v>
      </c>
      <c r="E25161" s="2">
        <v>0</v>
      </c>
      <c r="F25161" s="2">
        <v>2.5259483788004E-3</v>
      </c>
    </row>
    <row r="25162" spans="1:6" x14ac:dyDescent="0.25">
      <c r="A25162" s="1" t="str">
        <f t="shared" si="909"/>
        <v>35820</v>
      </c>
      <c r="B25162" s="1" t="str">
        <f>"69101"</f>
        <v>69101</v>
      </c>
      <c r="C25162" s="2">
        <v>0.74789391575663</v>
      </c>
      <c r="D25162" s="2">
        <v>0.70267639902676304</v>
      </c>
      <c r="E25162" s="2">
        <v>0.94478527607361895</v>
      </c>
      <c r="F25162" s="2">
        <v>0.74804813079819898</v>
      </c>
    </row>
    <row r="25163" spans="1:6" x14ac:dyDescent="0.25">
      <c r="A25163" s="1" t="str">
        <f t="shared" ref="A25163:A25194" si="910">"35840"</f>
        <v>35840</v>
      </c>
      <c r="B25163" s="1" t="str">
        <f>"34205"</f>
        <v>34205</v>
      </c>
      <c r="C25163" s="2">
        <v>3.5418289297625402E-2</v>
      </c>
      <c r="D25163" s="2">
        <v>4.5315752949340697E-2</v>
      </c>
      <c r="E25163" s="2">
        <v>5.31542056074766E-2</v>
      </c>
      <c r="F25163" s="2">
        <v>3.6772022345733402E-2</v>
      </c>
    </row>
    <row r="25164" spans="1:6" x14ac:dyDescent="0.25">
      <c r="A25164" s="1" t="str">
        <f t="shared" si="910"/>
        <v>35840</v>
      </c>
      <c r="B25164" s="1" t="str">
        <f>"34222"</f>
        <v>34222</v>
      </c>
      <c r="C25164" s="2">
        <v>1.76462364947177E-2</v>
      </c>
      <c r="D25164" s="2">
        <v>1.7487855655794499E-2</v>
      </c>
      <c r="E25164" s="2">
        <v>9.29269328802039E-3</v>
      </c>
      <c r="F25164" s="2">
        <v>1.7354546617578001E-2</v>
      </c>
    </row>
    <row r="25165" spans="1:6" x14ac:dyDescent="0.25">
      <c r="A25165" s="1" t="str">
        <f t="shared" si="910"/>
        <v>35840</v>
      </c>
      <c r="B25165" s="1" t="str">
        <f>"34215"</f>
        <v>34215</v>
      </c>
      <c r="C25165" s="2">
        <v>2.5842270285383298E-3</v>
      </c>
      <c r="D25165" s="2">
        <v>2.0818875780707802E-3</v>
      </c>
      <c r="E25165" s="2">
        <v>1.85853865760407E-3</v>
      </c>
      <c r="F25165" s="2">
        <v>2.5213578018166501E-3</v>
      </c>
    </row>
    <row r="25166" spans="1:6" x14ac:dyDescent="0.25">
      <c r="A25166" s="1" t="str">
        <f t="shared" si="910"/>
        <v>35840</v>
      </c>
      <c r="B25166" s="1" t="str">
        <f>"34280"</f>
        <v>34280</v>
      </c>
      <c r="C25166" s="2">
        <v>1.74345455634773E-3</v>
      </c>
      <c r="D25166" s="2">
        <v>6.7314365024288602E-3</v>
      </c>
      <c r="E25166" s="2">
        <v>1.06202209005947E-4</v>
      </c>
      <c r="F25166" s="2">
        <v>2.0718133875392598E-3</v>
      </c>
    </row>
    <row r="25167" spans="1:6" x14ac:dyDescent="0.25">
      <c r="A25167" s="1" t="str">
        <f t="shared" si="910"/>
        <v>35840</v>
      </c>
      <c r="B25167" s="1" t="str">
        <f>"33598"</f>
        <v>33598</v>
      </c>
      <c r="C25167" s="2">
        <v>1.8972300441355599E-4</v>
      </c>
      <c r="D25167" s="2">
        <v>2.31320842007864E-5</v>
      </c>
      <c r="E25167" s="2">
        <v>0</v>
      </c>
      <c r="F25167" s="2">
        <v>1.70578117670471E-4</v>
      </c>
    </row>
    <row r="25168" spans="1:6" x14ac:dyDescent="0.25">
      <c r="A25168" s="1" t="str">
        <f t="shared" si="910"/>
        <v>35840</v>
      </c>
      <c r="B25168" s="1" t="str">
        <f>"34208"</f>
        <v>34208</v>
      </c>
      <c r="C25168" s="2">
        <v>3.4355840472909502E-2</v>
      </c>
      <c r="D25168" s="2">
        <v>2.9840388619014498E-2</v>
      </c>
      <c r="E25168" s="2">
        <v>4.7100679694137601E-2</v>
      </c>
      <c r="F25168" s="2">
        <v>3.4435457504726402E-2</v>
      </c>
    </row>
    <row r="25169" spans="1:6" x14ac:dyDescent="0.25">
      <c r="A25169" s="1" t="str">
        <f t="shared" si="910"/>
        <v>35840</v>
      </c>
      <c r="B25169" s="1" t="str">
        <f>"34219"</f>
        <v>34219</v>
      </c>
      <c r="C25169" s="2">
        <v>2.5287080861941501E-2</v>
      </c>
      <c r="D25169" s="2">
        <v>5.4823039555863904E-3</v>
      </c>
      <c r="E25169" s="2">
        <v>2.9736618521665199E-3</v>
      </c>
      <c r="F25169" s="2">
        <v>2.3019161608551601E-2</v>
      </c>
    </row>
    <row r="25170" spans="1:6" x14ac:dyDescent="0.25">
      <c r="A25170" s="1" t="str">
        <f t="shared" si="910"/>
        <v>35840</v>
      </c>
      <c r="B25170" s="1" t="str">
        <f>"34235"</f>
        <v>34235</v>
      </c>
      <c r="C25170" s="2">
        <v>1.7304735086773299E-2</v>
      </c>
      <c r="D25170" s="2">
        <v>3.9555863983344796E-3</v>
      </c>
      <c r="E25170" s="2">
        <v>7.5934579439252302E-3</v>
      </c>
      <c r="F25170" s="2">
        <v>1.59543845683662E-2</v>
      </c>
    </row>
    <row r="25171" spans="1:6" x14ac:dyDescent="0.25">
      <c r="A25171" s="1" t="str">
        <f t="shared" si="910"/>
        <v>35840</v>
      </c>
      <c r="B25171" s="1" t="str">
        <f>"34228"</f>
        <v>34228</v>
      </c>
      <c r="C25171" s="2">
        <v>2.2790725540710498E-2</v>
      </c>
      <c r="D25171" s="2">
        <v>1.07795512375665E-2</v>
      </c>
      <c r="E25171" s="2">
        <v>4.1206457094307501E-2</v>
      </c>
      <c r="F25171" s="2">
        <v>2.2484328135439002E-2</v>
      </c>
    </row>
    <row r="25172" spans="1:6" x14ac:dyDescent="0.25">
      <c r="A25172" s="1" t="str">
        <f t="shared" si="910"/>
        <v>35840</v>
      </c>
      <c r="B25172" s="1" t="str">
        <f>"34276"</f>
        <v>34276</v>
      </c>
      <c r="C25172" s="2">
        <v>5.5638767399596497E-3</v>
      </c>
      <c r="D25172" s="2">
        <v>1.3671061762664799E-2</v>
      </c>
      <c r="E25172" s="2">
        <v>1.06202209005947E-4</v>
      </c>
      <c r="F25172" s="2">
        <v>6.0039943709221102E-3</v>
      </c>
    </row>
    <row r="25173" spans="1:6" x14ac:dyDescent="0.25">
      <c r="A25173" s="1" t="str">
        <f t="shared" si="910"/>
        <v>35840</v>
      </c>
      <c r="B25173" s="1" t="str">
        <f>"34286"</f>
        <v>34286</v>
      </c>
      <c r="C25173" s="2">
        <v>1.7069079144449099E-2</v>
      </c>
      <c r="D25173" s="2">
        <v>1.4573213046495401E-3</v>
      </c>
      <c r="E25173" s="2">
        <v>3.7170773152081499E-4</v>
      </c>
      <c r="F25173" s="2">
        <v>1.5311162916317201E-2</v>
      </c>
    </row>
    <row r="25174" spans="1:6" x14ac:dyDescent="0.25">
      <c r="A25174" s="1" t="str">
        <f t="shared" si="910"/>
        <v>35840</v>
      </c>
      <c r="B25174" s="1" t="str">
        <f>"34289"</f>
        <v>34289</v>
      </c>
      <c r="C25174" s="2">
        <v>4.5613404429532796E-3</v>
      </c>
      <c r="D25174" s="2">
        <v>7.3328706916493099E-3</v>
      </c>
      <c r="E25174" s="2">
        <v>6.5314358538657597E-3</v>
      </c>
      <c r="F25174" s="2">
        <v>4.8401540888996196E-3</v>
      </c>
    </row>
    <row r="25175" spans="1:6" x14ac:dyDescent="0.25">
      <c r="A25175" s="1" t="str">
        <f t="shared" si="910"/>
        <v>35840</v>
      </c>
      <c r="B25175" s="1" t="str">
        <f>"34295"</f>
        <v>34295</v>
      </c>
      <c r="C25175" s="2">
        <v>2.88179258282906E-3</v>
      </c>
      <c r="D25175" s="2">
        <v>7.44853111265325E-3</v>
      </c>
      <c r="E25175" s="2">
        <v>1.06202209005947E-4</v>
      </c>
      <c r="F25175" s="2">
        <v>3.1397034783721099E-3</v>
      </c>
    </row>
    <row r="25176" spans="1:6" x14ac:dyDescent="0.25">
      <c r="A25176" s="1" t="str">
        <f t="shared" si="910"/>
        <v>35840</v>
      </c>
      <c r="B25176" s="1" t="str">
        <f>"34249"</f>
        <v>34249</v>
      </c>
      <c r="C25176" s="2">
        <v>0</v>
      </c>
      <c r="D25176" s="2">
        <v>2.7758501040943699E-4</v>
      </c>
      <c r="E25176" s="2">
        <v>2.12404418011894E-4</v>
      </c>
      <c r="F25176" s="2">
        <v>2.8429686278411901E-5</v>
      </c>
    </row>
    <row r="25177" spans="1:6" x14ac:dyDescent="0.25">
      <c r="A25177" s="1" t="str">
        <f t="shared" si="910"/>
        <v>35840</v>
      </c>
      <c r="B25177" s="1" t="str">
        <f>"34241"</f>
        <v>34241</v>
      </c>
      <c r="C25177" s="2">
        <v>1.41113973598546E-2</v>
      </c>
      <c r="D25177" s="2">
        <v>2.4057367568817902E-3</v>
      </c>
      <c r="E25177" s="2">
        <v>3.0267629566694898E-3</v>
      </c>
      <c r="F25177" s="2">
        <v>1.28413339208801E-2</v>
      </c>
    </row>
    <row r="25178" spans="1:6" x14ac:dyDescent="0.25">
      <c r="A25178" s="1" t="str">
        <f t="shared" si="910"/>
        <v>35840</v>
      </c>
      <c r="B25178" s="1" t="str">
        <f>"34242"</f>
        <v>34242</v>
      </c>
      <c r="C25178" s="2">
        <v>1.9737183711780799E-2</v>
      </c>
      <c r="D25178" s="2">
        <v>7.44853111265325E-3</v>
      </c>
      <c r="E25178" s="2">
        <v>3.3135089209855501E-2</v>
      </c>
      <c r="F25178" s="2">
        <v>1.92415670443076E-2</v>
      </c>
    </row>
    <row r="25179" spans="1:6" x14ac:dyDescent="0.25">
      <c r="A25179" s="1" t="str">
        <f t="shared" si="910"/>
        <v>35840</v>
      </c>
      <c r="B25179" s="1" t="str">
        <f>"34220"</f>
        <v>34220</v>
      </c>
      <c r="C25179" s="2">
        <v>2.6321570507059598E-3</v>
      </c>
      <c r="D25179" s="2">
        <v>6.96275734443673E-3</v>
      </c>
      <c r="E25179" s="2">
        <v>1.06202209005947E-4</v>
      </c>
      <c r="F25179" s="2">
        <v>2.8802825910816E-3</v>
      </c>
    </row>
    <row r="25180" spans="1:6" x14ac:dyDescent="0.25">
      <c r="A25180" s="1" t="str">
        <f t="shared" si="910"/>
        <v>35840</v>
      </c>
      <c r="B25180" s="1" t="str">
        <f>"34233"</f>
        <v>34233</v>
      </c>
      <c r="C25180" s="2">
        <v>1.92239330577357E-2</v>
      </c>
      <c r="D25180" s="2">
        <v>4.0365486930372403E-2</v>
      </c>
      <c r="E25180" s="2">
        <v>2.04439252336448E-2</v>
      </c>
      <c r="F25180" s="2">
        <v>2.0888711993063101E-2</v>
      </c>
    </row>
    <row r="25181" spans="1:6" x14ac:dyDescent="0.25">
      <c r="A25181" s="1" t="str">
        <f t="shared" si="910"/>
        <v>35840</v>
      </c>
      <c r="B25181" s="1" t="str">
        <f>"34274"</f>
        <v>34274</v>
      </c>
      <c r="C25181" s="2">
        <v>2.9756555429073499E-3</v>
      </c>
      <c r="D25181" s="2">
        <v>4.6726810085588703E-3</v>
      </c>
      <c r="E25181" s="2">
        <v>1.06202209005947E-4</v>
      </c>
      <c r="F25181" s="2">
        <v>3.0099930347268601E-3</v>
      </c>
    </row>
    <row r="25182" spans="1:6" x14ac:dyDescent="0.25">
      <c r="A25182" s="1" t="str">
        <f t="shared" si="910"/>
        <v>35840</v>
      </c>
      <c r="B25182" s="1" t="str">
        <f>"34206"</f>
        <v>34206</v>
      </c>
      <c r="C25182" s="2">
        <v>2.5203203323148201E-3</v>
      </c>
      <c r="D25182" s="2">
        <v>7.5179273652555998E-3</v>
      </c>
      <c r="E25182" s="2">
        <v>1.06202209005947E-4</v>
      </c>
      <c r="F25182" s="2">
        <v>2.8234232185247801E-3</v>
      </c>
    </row>
    <row r="25183" spans="1:6" x14ac:dyDescent="0.25">
      <c r="A25183" s="1" t="str">
        <f t="shared" si="910"/>
        <v>35840</v>
      </c>
      <c r="B25183" s="1" t="str">
        <f>"34260"</f>
        <v>34260</v>
      </c>
      <c r="C25183" s="2">
        <v>0</v>
      </c>
      <c r="D25183" s="2">
        <v>0</v>
      </c>
      <c r="E25183" s="2">
        <v>1.4337298215802801E-3</v>
      </c>
      <c r="F25183" s="2">
        <v>4.7975095594820099E-5</v>
      </c>
    </row>
    <row r="25184" spans="1:6" x14ac:dyDescent="0.25">
      <c r="A25184" s="1" t="str">
        <f t="shared" si="910"/>
        <v>35840</v>
      </c>
      <c r="B25184" s="1" t="str">
        <f>"34203"</f>
        <v>34203</v>
      </c>
      <c r="C25184" s="2">
        <v>3.7537195694286297E-2</v>
      </c>
      <c r="D25184" s="2">
        <v>3.60860513532269E-2</v>
      </c>
      <c r="E25184" s="2">
        <v>2.97366185216652E-2</v>
      </c>
      <c r="F25184" s="2">
        <v>3.7164707387453901E-2</v>
      </c>
    </row>
    <row r="25185" spans="1:6" x14ac:dyDescent="0.25">
      <c r="A25185" s="1" t="str">
        <f t="shared" si="910"/>
        <v>35840</v>
      </c>
      <c r="B25185" s="1" t="str">
        <f>"34201"</f>
        <v>34201</v>
      </c>
      <c r="C25185" s="2">
        <v>4.77702554270764E-3</v>
      </c>
      <c r="D25185" s="2">
        <v>8.5588711542909993E-3</v>
      </c>
      <c r="E25185" s="2">
        <v>2.8143585386576002E-3</v>
      </c>
      <c r="F25185" s="2">
        <v>5.0018479296080904E-3</v>
      </c>
    </row>
    <row r="25186" spans="1:6" x14ac:dyDescent="0.25">
      <c r="A25186" s="1" t="str">
        <f t="shared" si="910"/>
        <v>35840</v>
      </c>
      <c r="B25186" s="1" t="str">
        <f>"34211"</f>
        <v>34211</v>
      </c>
      <c r="C25186" s="2">
        <v>2.0773670441155901E-2</v>
      </c>
      <c r="D25186" s="2">
        <v>2.3294008790191899E-2</v>
      </c>
      <c r="E25186" s="2">
        <v>1.9010195412064501E-2</v>
      </c>
      <c r="F25186" s="2">
        <v>2.0908257402379501E-2</v>
      </c>
    </row>
    <row r="25187" spans="1:6" x14ac:dyDescent="0.25">
      <c r="A25187" s="1" t="str">
        <f t="shared" si="910"/>
        <v>35840</v>
      </c>
      <c r="B25187" s="1" t="str">
        <f>"34250"</f>
        <v>34250</v>
      </c>
      <c r="C25187" s="2">
        <v>0</v>
      </c>
      <c r="D25187" s="2">
        <v>0</v>
      </c>
      <c r="E25187" s="2">
        <v>1.06202209005947E-4</v>
      </c>
      <c r="F25187" s="2">
        <v>3.5537107848014801E-6</v>
      </c>
    </row>
    <row r="25188" spans="1:6" x14ac:dyDescent="0.25">
      <c r="A25188" s="1" t="str">
        <f t="shared" si="910"/>
        <v>35840</v>
      </c>
      <c r="B25188" s="1" t="str">
        <f>"34204"</f>
        <v>34204</v>
      </c>
      <c r="C25188" s="2">
        <v>1.4319094122580999E-3</v>
      </c>
      <c r="D25188" s="2">
        <v>7.9805690492713299E-3</v>
      </c>
      <c r="E25188" s="2">
        <v>1.06202209005947E-4</v>
      </c>
      <c r="F25188" s="2">
        <v>1.89057413751439E-3</v>
      </c>
    </row>
    <row r="25189" spans="1:6" x14ac:dyDescent="0.25">
      <c r="A25189" s="1" t="str">
        <f t="shared" si="910"/>
        <v>35840</v>
      </c>
      <c r="B25189" s="1" t="str">
        <f>"34210"</f>
        <v>34210</v>
      </c>
      <c r="C25189" s="2">
        <v>2.2065783955425002E-2</v>
      </c>
      <c r="D25189" s="2">
        <v>1.7002081887577999E-2</v>
      </c>
      <c r="E25189" s="2">
        <v>3.0480033984706799E-2</v>
      </c>
      <c r="F25189" s="2">
        <v>2.1958378939288401E-2</v>
      </c>
    </row>
    <row r="25190" spans="1:6" x14ac:dyDescent="0.25">
      <c r="A25190" s="1" t="str">
        <f t="shared" si="910"/>
        <v>35840</v>
      </c>
      <c r="B25190" s="1" t="str">
        <f>"34292"</f>
        <v>34292</v>
      </c>
      <c r="C25190" s="2">
        <v>2.14047490663631E-2</v>
      </c>
      <c r="D25190" s="2">
        <v>1.4850798056904899E-2</v>
      </c>
      <c r="E25190" s="2">
        <v>2.3045879354290501E-2</v>
      </c>
      <c r="F25190" s="2">
        <v>2.0956232497974299E-2</v>
      </c>
    </row>
    <row r="25191" spans="1:6" x14ac:dyDescent="0.25">
      <c r="A25191" s="1" t="str">
        <f t="shared" si="910"/>
        <v>35840</v>
      </c>
      <c r="B25191" s="1" t="str">
        <f>"34229"</f>
        <v>34229</v>
      </c>
      <c r="C25191" s="2">
        <v>1.07283366285223E-2</v>
      </c>
      <c r="D25191" s="2">
        <v>1.43650242886884E-2</v>
      </c>
      <c r="E25191" s="2">
        <v>3.8763806287170702E-3</v>
      </c>
      <c r="F25191" s="2">
        <v>1.07784048103029E-2</v>
      </c>
    </row>
    <row r="25192" spans="1:6" x14ac:dyDescent="0.25">
      <c r="A25192" s="1" t="str">
        <f t="shared" si="910"/>
        <v>35840</v>
      </c>
      <c r="B25192" s="1" t="str">
        <f>"34284"</f>
        <v>34284</v>
      </c>
      <c r="C25192" s="2">
        <v>2.5602620174545098E-3</v>
      </c>
      <c r="D25192" s="2">
        <v>7.5641915336571797E-3</v>
      </c>
      <c r="E25192" s="2">
        <v>1.06202209005947E-4</v>
      </c>
      <c r="F25192" s="2">
        <v>2.86251403715759E-3</v>
      </c>
    </row>
    <row r="25193" spans="1:6" x14ac:dyDescent="0.25">
      <c r="A25193" s="1" t="str">
        <f t="shared" si="910"/>
        <v>35840</v>
      </c>
      <c r="B25193" s="1" t="str">
        <f>"34209"</f>
        <v>34209</v>
      </c>
      <c r="C25193" s="2">
        <v>3.7896670860543602E-2</v>
      </c>
      <c r="D25193" s="2">
        <v>1.77191764978024E-2</v>
      </c>
      <c r="E25193" s="2">
        <v>3.4568819031435799E-2</v>
      </c>
      <c r="F25193" s="2">
        <v>3.6235412017228297E-2</v>
      </c>
    </row>
    <row r="25194" spans="1:6" x14ac:dyDescent="0.25">
      <c r="A25194" s="1" t="str">
        <f t="shared" si="910"/>
        <v>35840</v>
      </c>
      <c r="B25194" s="1" t="str">
        <f>"34217"</f>
        <v>34217</v>
      </c>
      <c r="C25194" s="2">
        <v>1.21402751982106E-2</v>
      </c>
      <c r="D25194" s="2">
        <v>8.8827203331020097E-3</v>
      </c>
      <c r="E25194" s="2">
        <v>2.2833474936278599E-2</v>
      </c>
      <c r="F25194" s="2">
        <v>1.22478642198183E-2</v>
      </c>
    </row>
    <row r="25195" spans="1:6" x14ac:dyDescent="0.25">
      <c r="A25195" s="1" t="str">
        <f t="shared" ref="A25195:A25225" si="911">"35840"</f>
        <v>35840</v>
      </c>
      <c r="B25195" s="1" t="str">
        <f>"34232"</f>
        <v>34232</v>
      </c>
      <c r="C25195" s="2">
        <v>3.8116350128811899E-2</v>
      </c>
      <c r="D25195" s="2">
        <v>3.8491788110108699E-2</v>
      </c>
      <c r="E25195" s="2">
        <v>3.6905267629566599E-2</v>
      </c>
      <c r="F25195" s="2">
        <v>3.8104663890033898E-2</v>
      </c>
    </row>
    <row r="25196" spans="1:6" x14ac:dyDescent="0.25">
      <c r="A25196" s="1" t="str">
        <f t="shared" si="911"/>
        <v>35840</v>
      </c>
      <c r="B25196" s="1" t="str">
        <f>"34239"</f>
        <v>34239</v>
      </c>
      <c r="C25196" s="2">
        <v>1.67235835679907E-2</v>
      </c>
      <c r="D25196" s="2">
        <v>3.1459634513069601E-2</v>
      </c>
      <c r="E25196" s="2">
        <v>2.1399745114698301E-2</v>
      </c>
      <c r="F25196" s="2">
        <v>1.8011983112766299E-2</v>
      </c>
    </row>
    <row r="25197" spans="1:6" x14ac:dyDescent="0.25">
      <c r="A25197" s="1" t="str">
        <f t="shared" si="911"/>
        <v>35840</v>
      </c>
      <c r="B25197" s="1" t="str">
        <f>"34238"</f>
        <v>34238</v>
      </c>
      <c r="C25197" s="2">
        <v>3.0159966448984402E-2</v>
      </c>
      <c r="D25197" s="2">
        <v>1.8852648623640899E-2</v>
      </c>
      <c r="E25197" s="2">
        <v>2.5807136788445099E-2</v>
      </c>
      <c r="F25197" s="2">
        <v>2.91457590015494E-2</v>
      </c>
    </row>
    <row r="25198" spans="1:6" x14ac:dyDescent="0.25">
      <c r="A25198" s="1" t="str">
        <f t="shared" si="911"/>
        <v>35840</v>
      </c>
      <c r="B25198" s="1" t="str">
        <f>"34282"</f>
        <v>34282</v>
      </c>
      <c r="C25198" s="2">
        <v>1.3919677271184E-3</v>
      </c>
      <c r="D25198" s="2">
        <v>4.0712468193384197E-3</v>
      </c>
      <c r="E25198" s="2">
        <v>1.06202209005947E-4</v>
      </c>
      <c r="F25198" s="2">
        <v>1.55474846835065E-3</v>
      </c>
    </row>
    <row r="25199" spans="1:6" x14ac:dyDescent="0.25">
      <c r="A25199" s="1" t="str">
        <f t="shared" si="911"/>
        <v>35840</v>
      </c>
      <c r="B25199" s="1" t="str">
        <f>"34266"</f>
        <v>34266</v>
      </c>
      <c r="C25199" s="2">
        <v>4.7930022167635203E-5</v>
      </c>
      <c r="D25199" s="2">
        <v>4.6264168401572902E-5</v>
      </c>
      <c r="E25199" s="2">
        <v>5.3101104502973602E-5</v>
      </c>
      <c r="F25199" s="2">
        <v>4.7975095594820099E-5</v>
      </c>
    </row>
    <row r="25200" spans="1:6" x14ac:dyDescent="0.25">
      <c r="A25200" s="1" t="str">
        <f t="shared" si="911"/>
        <v>35840</v>
      </c>
      <c r="B25200" s="1" t="str">
        <f>"34216"</f>
        <v>34216</v>
      </c>
      <c r="C25200" s="2">
        <v>3.9901743454556302E-3</v>
      </c>
      <c r="D25200" s="2">
        <v>3.2384917881101002E-3</v>
      </c>
      <c r="E25200" s="2">
        <v>1.5930331350892001E-4</v>
      </c>
      <c r="F25200" s="2">
        <v>3.8042473951299901E-3</v>
      </c>
    </row>
    <row r="25201" spans="1:6" x14ac:dyDescent="0.25">
      <c r="A25201" s="1" t="str">
        <f t="shared" si="911"/>
        <v>35840</v>
      </c>
      <c r="B25201" s="1" t="str">
        <f>"34290"</f>
        <v>34290</v>
      </c>
      <c r="C25201" s="2">
        <v>2.0989355540910202E-3</v>
      </c>
      <c r="D25201" s="2">
        <v>4.0943789035392001E-3</v>
      </c>
      <c r="E25201" s="2">
        <v>1.06202209005947E-4</v>
      </c>
      <c r="F25201" s="2">
        <v>2.1855321326529099E-3</v>
      </c>
    </row>
    <row r="25202" spans="1:6" x14ac:dyDescent="0.25">
      <c r="A25202" s="1" t="str">
        <f t="shared" si="911"/>
        <v>35840</v>
      </c>
      <c r="B25202" s="1" t="str">
        <f>"34224"</f>
        <v>34224</v>
      </c>
      <c r="C25202" s="2">
        <v>4.9927106424620003E-5</v>
      </c>
      <c r="D25202" s="2">
        <v>0</v>
      </c>
      <c r="E25202" s="2">
        <v>0</v>
      </c>
      <c r="F25202" s="2">
        <v>4.4421384810018601E-5</v>
      </c>
    </row>
    <row r="25203" spans="1:6" x14ac:dyDescent="0.25">
      <c r="A25203" s="1" t="str">
        <f t="shared" si="911"/>
        <v>35840</v>
      </c>
      <c r="B25203" s="1" t="str">
        <f>"34223"</f>
        <v>34223</v>
      </c>
      <c r="C25203" s="2">
        <v>2.2423262037425298E-2</v>
      </c>
      <c r="D25203" s="2">
        <v>1.57992135091371E-2</v>
      </c>
      <c r="E25203" s="2">
        <v>2.6338147833474899E-2</v>
      </c>
      <c r="F25203" s="2">
        <v>2.2045444853515998E-2</v>
      </c>
    </row>
    <row r="25204" spans="1:6" x14ac:dyDescent="0.25">
      <c r="A25204" s="1" t="str">
        <f t="shared" si="911"/>
        <v>35840</v>
      </c>
      <c r="B25204" s="1" t="str">
        <f>"34221"</f>
        <v>34221</v>
      </c>
      <c r="C25204" s="2">
        <v>4.75805324226629E-2</v>
      </c>
      <c r="D25204" s="2">
        <v>4.0735600277585E-2</v>
      </c>
      <c r="E25204" s="2">
        <v>4.9596431605777397E-2</v>
      </c>
      <c r="F25204" s="2">
        <v>4.7122205006467702E-2</v>
      </c>
    </row>
    <row r="25205" spans="1:6" x14ac:dyDescent="0.25">
      <c r="A25205" s="1" t="str">
        <f t="shared" si="911"/>
        <v>35840</v>
      </c>
      <c r="B25205" s="1" t="str">
        <f>"34230"</f>
        <v>34230</v>
      </c>
      <c r="C25205" s="2">
        <v>7.1036287020949402E-3</v>
      </c>
      <c r="D25205" s="2">
        <v>1.9107101549849601E-2</v>
      </c>
      <c r="E25205" s="2">
        <v>1.06202209005947E-4</v>
      </c>
      <c r="F25205" s="2">
        <v>7.7915108956772604E-3</v>
      </c>
    </row>
    <row r="25206" spans="1:6" x14ac:dyDescent="0.25">
      <c r="A25206" s="1" t="str">
        <f t="shared" si="911"/>
        <v>35840</v>
      </c>
      <c r="B25206" s="1" t="str">
        <f>"34234"</f>
        <v>34234</v>
      </c>
      <c r="C25206" s="2">
        <v>2.1141133944441101E-2</v>
      </c>
      <c r="D25206" s="2">
        <v>3.0187369882026301E-2</v>
      </c>
      <c r="E25206" s="2">
        <v>1.9381903143585299E-2</v>
      </c>
      <c r="F25206" s="2">
        <v>2.1777139689263501E-2</v>
      </c>
    </row>
    <row r="25207" spans="1:6" x14ac:dyDescent="0.25">
      <c r="A25207" s="1" t="str">
        <f t="shared" si="911"/>
        <v>35840</v>
      </c>
      <c r="B25207" s="1" t="str">
        <f>"34264"</f>
        <v>34264</v>
      </c>
      <c r="C25207" s="2">
        <v>4.3077107423162104E-3</v>
      </c>
      <c r="D25207" s="2">
        <v>3.5623409669211098E-3</v>
      </c>
      <c r="E25207" s="2">
        <v>1.5930331350892001E-4</v>
      </c>
      <c r="F25207" s="2">
        <v>4.1116433780153203E-3</v>
      </c>
    </row>
    <row r="25208" spans="1:6" x14ac:dyDescent="0.25">
      <c r="A25208" s="1" t="str">
        <f t="shared" si="911"/>
        <v>35840</v>
      </c>
      <c r="B25208" s="1" t="str">
        <f>"34288"</f>
        <v>34288</v>
      </c>
      <c r="C25208" s="2">
        <v>1.15371557526012E-2</v>
      </c>
      <c r="D25208" s="2">
        <v>4.0018505667360604E-3</v>
      </c>
      <c r="E25208" s="2">
        <v>4.4073916737468102E-3</v>
      </c>
      <c r="F25208" s="2">
        <v>1.07197685823536E-2</v>
      </c>
    </row>
    <row r="25209" spans="1:6" x14ac:dyDescent="0.25">
      <c r="A25209" s="1" t="str">
        <f t="shared" si="911"/>
        <v>35840</v>
      </c>
      <c r="B25209" s="1" t="str">
        <f>"34291"</f>
        <v>34291</v>
      </c>
      <c r="C25209" s="2">
        <v>6.3766900325524702E-3</v>
      </c>
      <c r="D25209" s="2">
        <v>3.70113347212583E-4</v>
      </c>
      <c r="E25209" s="2">
        <v>1.06202209005947E-4</v>
      </c>
      <c r="F25209" s="2">
        <v>5.70548266499879E-3</v>
      </c>
    </row>
    <row r="25210" spans="1:6" x14ac:dyDescent="0.25">
      <c r="A25210" s="1" t="str">
        <f t="shared" si="911"/>
        <v>35840</v>
      </c>
      <c r="B25210" s="1" t="str">
        <f>"34207"</f>
        <v>34207</v>
      </c>
      <c r="C25210" s="2">
        <v>3.5897589519301797E-2</v>
      </c>
      <c r="D25210" s="2">
        <v>2.7735368956743001E-2</v>
      </c>
      <c r="E25210" s="2">
        <v>2.4851316907391601E-2</v>
      </c>
      <c r="F25210" s="2">
        <v>3.4900993617535403E-2</v>
      </c>
    </row>
    <row r="25211" spans="1:6" x14ac:dyDescent="0.25">
      <c r="A25211" s="1" t="str">
        <f t="shared" si="911"/>
        <v>35840</v>
      </c>
      <c r="B25211" s="1" t="str">
        <f>"34212"</f>
        <v>34212</v>
      </c>
      <c r="C25211" s="2">
        <v>2.1800171749246099E-2</v>
      </c>
      <c r="D25211" s="2">
        <v>2.8452463566967299E-3</v>
      </c>
      <c r="E25211" s="2">
        <v>2.4054800339846999E-2</v>
      </c>
      <c r="F25211" s="2">
        <v>2.0419622169469302E-2</v>
      </c>
    </row>
    <row r="25212" spans="1:6" x14ac:dyDescent="0.25">
      <c r="A25212" s="1" t="str">
        <f t="shared" si="911"/>
        <v>35840</v>
      </c>
      <c r="B25212" s="1" t="str">
        <f>"34240"</f>
        <v>34240</v>
      </c>
      <c r="C25212" s="2">
        <v>1.49302019052183E-2</v>
      </c>
      <c r="D25212" s="2">
        <v>3.9833448993754302E-2</v>
      </c>
      <c r="E25212" s="2">
        <v>1.57710280373831E-2</v>
      </c>
      <c r="F25212" s="2">
        <v>1.6871241950844999E-2</v>
      </c>
    </row>
    <row r="25213" spans="1:6" x14ac:dyDescent="0.25">
      <c r="A25213" s="1" t="str">
        <f t="shared" si="911"/>
        <v>35840</v>
      </c>
      <c r="B25213" s="1" t="str">
        <f>"34243"</f>
        <v>34243</v>
      </c>
      <c r="C25213" s="2">
        <v>3.2189004054080997E-2</v>
      </c>
      <c r="D25213" s="2">
        <v>5.7321304649548897E-2</v>
      </c>
      <c r="E25213" s="2">
        <v>4.5720050977060299E-2</v>
      </c>
      <c r="F25213" s="2">
        <v>3.4572275369941202E-2</v>
      </c>
    </row>
    <row r="25214" spans="1:6" x14ac:dyDescent="0.25">
      <c r="A25214" s="1" t="str">
        <f t="shared" si="911"/>
        <v>35840</v>
      </c>
      <c r="B25214" s="1" t="str">
        <f>"34251"</f>
        <v>34251</v>
      </c>
      <c r="C25214" s="2">
        <v>5.4520400215684996E-3</v>
      </c>
      <c r="D25214" s="2">
        <v>1.34166088364561E-3</v>
      </c>
      <c r="E25214" s="2">
        <v>2.6550552251486799E-4</v>
      </c>
      <c r="F25214" s="2">
        <v>4.9627571109752801E-3</v>
      </c>
    </row>
    <row r="25215" spans="1:6" x14ac:dyDescent="0.25">
      <c r="A25215" s="1" t="str">
        <f t="shared" si="911"/>
        <v>35840</v>
      </c>
      <c r="B25215" s="1" t="str">
        <f>"34285"</f>
        <v>34285</v>
      </c>
      <c r="C25215" s="2">
        <v>3.2342779541868802E-2</v>
      </c>
      <c r="D25215" s="2">
        <v>5.1168170252139697E-2</v>
      </c>
      <c r="E25215" s="2">
        <v>5.1561172472387402E-2</v>
      </c>
      <c r="F25215" s="2">
        <v>3.44319037939416E-2</v>
      </c>
    </row>
    <row r="25216" spans="1:6" x14ac:dyDescent="0.25">
      <c r="A25216" s="1" t="str">
        <f t="shared" si="911"/>
        <v>35840</v>
      </c>
      <c r="B25216" s="1" t="str">
        <f>"34236"</f>
        <v>34236</v>
      </c>
      <c r="C25216" s="2">
        <v>2.4432328799952E-2</v>
      </c>
      <c r="D25216" s="2">
        <v>6.6921119592875306E-2</v>
      </c>
      <c r="E25216" s="2">
        <v>7.5031860662701705E-2</v>
      </c>
      <c r="F25216" s="2">
        <v>2.93891881903083E-2</v>
      </c>
    </row>
    <row r="25217" spans="1:6" x14ac:dyDescent="0.25">
      <c r="A25217" s="1" t="str">
        <f t="shared" si="911"/>
        <v>35840</v>
      </c>
      <c r="B25217" s="1" t="str">
        <f>"34277"</f>
        <v>34277</v>
      </c>
      <c r="C25217" s="2">
        <v>2.8158888023485699E-3</v>
      </c>
      <c r="D25217" s="2">
        <v>1.1635438352995599E-2</v>
      </c>
      <c r="E25217" s="2">
        <v>1.06202209005947E-4</v>
      </c>
      <c r="F25217" s="2">
        <v>3.4026780764474201E-3</v>
      </c>
    </row>
    <row r="25218" spans="1:6" x14ac:dyDescent="0.25">
      <c r="A25218" s="1" t="str">
        <f t="shared" si="911"/>
        <v>35840</v>
      </c>
      <c r="B25218" s="1" t="str">
        <f>"34272"</f>
        <v>34272</v>
      </c>
      <c r="C25218" s="2">
        <v>1.0105246340342999E-3</v>
      </c>
      <c r="D25218" s="2">
        <v>1.2028683784408899E-3</v>
      </c>
      <c r="E25218" s="2">
        <v>1.5930331350892001E-4</v>
      </c>
      <c r="F25218" s="2">
        <v>9.9681587513681703E-4</v>
      </c>
    </row>
    <row r="25219" spans="1:6" x14ac:dyDescent="0.25">
      <c r="A25219" s="1" t="str">
        <f t="shared" si="911"/>
        <v>35840</v>
      </c>
      <c r="B25219" s="1" t="str">
        <f>"34270"</f>
        <v>34270</v>
      </c>
      <c r="C25219" s="2">
        <v>2.3246060751302999E-3</v>
      </c>
      <c r="D25219" s="2">
        <v>4.9040018505667297E-3</v>
      </c>
      <c r="E25219" s="2">
        <v>1.5930331350892001E-4</v>
      </c>
      <c r="F25219" s="2">
        <v>2.4502835861206201E-3</v>
      </c>
    </row>
    <row r="25220" spans="1:6" x14ac:dyDescent="0.25">
      <c r="A25220" s="1" t="str">
        <f t="shared" si="911"/>
        <v>35840</v>
      </c>
      <c r="B25220" s="1" t="str">
        <f>"34275"</f>
        <v>34275</v>
      </c>
      <c r="C25220" s="2">
        <v>2.6535258522557E-2</v>
      </c>
      <c r="D25220" s="2">
        <v>1.7210270645385099E-2</v>
      </c>
      <c r="E25220" s="2">
        <v>1.8479184367034801E-2</v>
      </c>
      <c r="F25220" s="2">
        <v>2.5549403687330299E-2</v>
      </c>
    </row>
    <row r="25221" spans="1:6" x14ac:dyDescent="0.25">
      <c r="A25221" s="1" t="str">
        <f t="shared" si="911"/>
        <v>35840</v>
      </c>
      <c r="B25221" s="1" t="str">
        <f>"34231"</f>
        <v>34231</v>
      </c>
      <c r="C25221" s="2">
        <v>3.9174804785013798E-2</v>
      </c>
      <c r="D25221" s="2">
        <v>4.3349525792273802E-2</v>
      </c>
      <c r="E25221" s="2">
        <v>4.7631690739167301E-2</v>
      </c>
      <c r="F25221" s="2">
        <v>3.97784616696754E-2</v>
      </c>
    </row>
    <row r="25222" spans="1:6" x14ac:dyDescent="0.25">
      <c r="A25222" s="1" t="str">
        <f t="shared" si="911"/>
        <v>35840</v>
      </c>
      <c r="B25222" s="1" t="str">
        <f>"34287"</f>
        <v>34287</v>
      </c>
      <c r="C25222" s="2">
        <v>2.9932298843688199E-2</v>
      </c>
      <c r="D25222" s="2">
        <v>1.5105250983113499E-2</v>
      </c>
      <c r="E25222" s="2">
        <v>1.7895072217502101E-2</v>
      </c>
      <c r="F25222" s="2">
        <v>2.8390595459779101E-2</v>
      </c>
    </row>
    <row r="25223" spans="1:6" x14ac:dyDescent="0.25">
      <c r="A25223" s="1" t="str">
        <f t="shared" si="911"/>
        <v>35840</v>
      </c>
      <c r="B25223" s="1" t="str">
        <f>"34237"</f>
        <v>34237</v>
      </c>
      <c r="C25223" s="2">
        <v>1.7081061649991E-2</v>
      </c>
      <c r="D25223" s="2">
        <v>3.01642377978255E-2</v>
      </c>
      <c r="E25223" s="2">
        <v>4.2374681393372901E-2</v>
      </c>
      <c r="F25223" s="2">
        <v>1.89323942060299E-2</v>
      </c>
    </row>
    <row r="25224" spans="1:6" x14ac:dyDescent="0.25">
      <c r="A25224" s="1" t="str">
        <f t="shared" si="911"/>
        <v>35840</v>
      </c>
      <c r="B25224" s="1" t="str">
        <f>"34293"</f>
        <v>34293</v>
      </c>
      <c r="C25224" s="2">
        <v>5.4160925049427801E-2</v>
      </c>
      <c r="D25224" s="2">
        <v>1.7418459403192199E-2</v>
      </c>
      <c r="E25224" s="2">
        <v>2.97366185216652E-2</v>
      </c>
      <c r="F25224" s="2">
        <v>5.0521329372130303E-2</v>
      </c>
    </row>
    <row r="25225" spans="1:6" x14ac:dyDescent="0.25">
      <c r="A25225" s="1" t="str">
        <f t="shared" si="911"/>
        <v>35840</v>
      </c>
      <c r="B25225" s="1" t="str">
        <f>"34202"</f>
        <v>34202</v>
      </c>
      <c r="C25225" s="2">
        <v>2.6958640385037799E-2</v>
      </c>
      <c r="D25225" s="2">
        <v>2.0263705759888902E-2</v>
      </c>
      <c r="E25225" s="2">
        <v>2.5913338997451098E-2</v>
      </c>
      <c r="F25225" s="2">
        <v>2.6409401697252199E-2</v>
      </c>
    </row>
    <row r="25226" spans="1:6" x14ac:dyDescent="0.25">
      <c r="A25226" s="1" t="str">
        <f t="shared" ref="A25226:A25239" si="912">"35860"</f>
        <v>35860</v>
      </c>
      <c r="B25226" s="1" t="str">
        <f>"47232"</f>
        <v>47232</v>
      </c>
      <c r="C25226" s="2">
        <v>3.4842121636335301E-2</v>
      </c>
      <c r="D25226" s="2">
        <v>5.8823529411764696E-3</v>
      </c>
      <c r="E25226" s="2">
        <v>9.0909090909090905E-3</v>
      </c>
      <c r="F25226" s="2">
        <v>3.3191676436107799E-2</v>
      </c>
    </row>
    <row r="25227" spans="1:6" x14ac:dyDescent="0.25">
      <c r="A25227" s="1" t="str">
        <f t="shared" si="912"/>
        <v>35860</v>
      </c>
      <c r="B25227" s="1" t="str">
        <f>"47245"</f>
        <v>47245</v>
      </c>
      <c r="C25227" s="2">
        <v>0</v>
      </c>
      <c r="D25227" s="2">
        <v>0</v>
      </c>
      <c r="E25227" s="2">
        <v>9.0909090909090905E-3</v>
      </c>
      <c r="F25227" s="2">
        <v>7.3270808909730304E-5</v>
      </c>
    </row>
    <row r="25228" spans="1:6" x14ac:dyDescent="0.25">
      <c r="A25228" s="1" t="str">
        <f t="shared" si="912"/>
        <v>35860</v>
      </c>
      <c r="B25228" s="1" t="str">
        <f>"47229"</f>
        <v>47229</v>
      </c>
      <c r="C25228" s="2">
        <v>7.9328044797013497E-3</v>
      </c>
      <c r="D25228" s="2">
        <v>1.47058823529411E-3</v>
      </c>
      <c r="E25228" s="2">
        <v>0</v>
      </c>
      <c r="F25228" s="2">
        <v>7.5468933177022203E-3</v>
      </c>
    </row>
    <row r="25229" spans="1:6" x14ac:dyDescent="0.25">
      <c r="A25229" s="1" t="str">
        <f t="shared" si="912"/>
        <v>35860</v>
      </c>
      <c r="B25229" s="1" t="str">
        <f>"47274"</f>
        <v>47274</v>
      </c>
      <c r="C25229" s="2">
        <v>1.1821434126613699E-2</v>
      </c>
      <c r="D25229" s="2">
        <v>5.8823529411764696E-3</v>
      </c>
      <c r="E25229" s="2">
        <v>0</v>
      </c>
      <c r="F25229" s="2">
        <v>1.1430246189917901E-2</v>
      </c>
    </row>
    <row r="25230" spans="1:6" x14ac:dyDescent="0.25">
      <c r="A25230" s="1" t="str">
        <f t="shared" si="912"/>
        <v>35860</v>
      </c>
      <c r="B25230" s="1" t="str">
        <f>"47037"</f>
        <v>47037</v>
      </c>
      <c r="C25230" s="2">
        <v>6.9995333644423696E-4</v>
      </c>
      <c r="D25230" s="2">
        <v>0</v>
      </c>
      <c r="E25230" s="2">
        <v>0</v>
      </c>
      <c r="F25230" s="2">
        <v>6.5943728018757304E-4</v>
      </c>
    </row>
    <row r="25231" spans="1:6" x14ac:dyDescent="0.25">
      <c r="A25231" s="1" t="str">
        <f t="shared" si="912"/>
        <v>35860</v>
      </c>
      <c r="B25231" s="1" t="str">
        <f>"47223"</f>
        <v>47223</v>
      </c>
      <c r="C25231" s="2">
        <v>5.8873852854254102E-2</v>
      </c>
      <c r="D25231" s="2">
        <v>3.2352941176470501E-2</v>
      </c>
      <c r="E25231" s="2">
        <v>9.0909090909090905E-3</v>
      </c>
      <c r="F25231" s="2">
        <v>5.7151230949589599E-2</v>
      </c>
    </row>
    <row r="25232" spans="1:6" x14ac:dyDescent="0.25">
      <c r="A25232" s="1" t="str">
        <f t="shared" si="912"/>
        <v>35860</v>
      </c>
      <c r="B25232" s="1" t="str">
        <f>"47270"</f>
        <v>47270</v>
      </c>
      <c r="C25232" s="2">
        <v>2.5431637890807199E-2</v>
      </c>
      <c r="D25232" s="2">
        <v>1.0294117647058801E-2</v>
      </c>
      <c r="E25232" s="2">
        <v>9.0909090909090905E-3</v>
      </c>
      <c r="F25232" s="2">
        <v>2.45457209847596E-2</v>
      </c>
    </row>
    <row r="25233" spans="1:6" x14ac:dyDescent="0.25">
      <c r="A25233" s="1" t="str">
        <f t="shared" si="912"/>
        <v>35860</v>
      </c>
      <c r="B25233" s="1" t="str">
        <f>"47231"</f>
        <v>47231</v>
      </c>
      <c r="C25233" s="2">
        <v>7.8550318867631006E-3</v>
      </c>
      <c r="D25233" s="2">
        <v>2.94117647058823E-3</v>
      </c>
      <c r="E25233" s="2">
        <v>0</v>
      </c>
      <c r="F25233" s="2">
        <v>7.5468933177022203E-3</v>
      </c>
    </row>
    <row r="25234" spans="1:6" x14ac:dyDescent="0.25">
      <c r="A25234" s="1" t="str">
        <f t="shared" si="912"/>
        <v>35860</v>
      </c>
      <c r="B25234" s="1" t="str">
        <f>"47282"</f>
        <v>47282</v>
      </c>
      <c r="C25234" s="2">
        <v>3.88862964691242E-4</v>
      </c>
      <c r="D25234" s="2">
        <v>0</v>
      </c>
      <c r="E25234" s="2">
        <v>9.0909090909090905E-3</v>
      </c>
      <c r="F25234" s="2">
        <v>4.3962485345838199E-4</v>
      </c>
    </row>
    <row r="25235" spans="1:6" x14ac:dyDescent="0.25">
      <c r="A25235" s="1" t="str">
        <f t="shared" si="912"/>
        <v>35860</v>
      </c>
      <c r="B25235" s="1" t="str">
        <f>"47230"</f>
        <v>47230</v>
      </c>
      <c r="C25235" s="2">
        <v>9.7993467102193092E-3</v>
      </c>
      <c r="D25235" s="2">
        <v>1.47058823529411E-3</v>
      </c>
      <c r="E25235" s="2">
        <v>0</v>
      </c>
      <c r="F25235" s="2">
        <v>9.3053927315357495E-3</v>
      </c>
    </row>
    <row r="25236" spans="1:6" x14ac:dyDescent="0.25">
      <c r="A25236" s="1" t="str">
        <f t="shared" si="912"/>
        <v>35860</v>
      </c>
      <c r="B25236" s="1" t="str">
        <f>"47283"</f>
        <v>47283</v>
      </c>
      <c r="C25236" s="2">
        <v>8.9438481878985794E-3</v>
      </c>
      <c r="D25236" s="2">
        <v>1.47058823529411E-3</v>
      </c>
      <c r="E25236" s="2">
        <v>0</v>
      </c>
      <c r="F25236" s="2">
        <v>8.4994138335287208E-3</v>
      </c>
    </row>
    <row r="25237" spans="1:6" x14ac:dyDescent="0.25">
      <c r="A25237" s="1" t="str">
        <f t="shared" si="912"/>
        <v>35860</v>
      </c>
      <c r="B25237" s="1" t="str">
        <f>"47265"</f>
        <v>47265</v>
      </c>
      <c r="C25237" s="2">
        <v>0.73129569139835104</v>
      </c>
      <c r="D25237" s="2">
        <v>0.91617647058823504</v>
      </c>
      <c r="E25237" s="2">
        <v>0.91818181818181799</v>
      </c>
      <c r="F25237" s="2">
        <v>0.74201348182883897</v>
      </c>
    </row>
    <row r="25238" spans="1:6" x14ac:dyDescent="0.25">
      <c r="A25238" s="1" t="str">
        <f t="shared" si="912"/>
        <v>35860</v>
      </c>
      <c r="B25238" s="1" t="str">
        <f>"47273"</f>
        <v>47273</v>
      </c>
      <c r="C25238" s="2">
        <v>6.0040441748327802E-2</v>
      </c>
      <c r="D25238" s="2">
        <v>1.7647058823529401E-2</v>
      </c>
      <c r="E25238" s="2">
        <v>9.0909090909090905E-3</v>
      </c>
      <c r="F25238" s="2">
        <v>5.7517584994138303E-2</v>
      </c>
    </row>
    <row r="25239" spans="1:6" x14ac:dyDescent="0.25">
      <c r="A25239" s="1" t="str">
        <f t="shared" si="912"/>
        <v>35860</v>
      </c>
      <c r="B25239" s="1" t="str">
        <f>"47227"</f>
        <v>47227</v>
      </c>
      <c r="C25239" s="2">
        <v>4.20749727795924E-2</v>
      </c>
      <c r="D25239" s="2">
        <v>4.4117647058823503E-3</v>
      </c>
      <c r="E25239" s="2">
        <v>2.7272727272727199E-2</v>
      </c>
      <c r="F25239" s="2">
        <v>4.0079132473622499E-2</v>
      </c>
    </row>
    <row r="25240" spans="1:6" x14ac:dyDescent="0.25">
      <c r="A25240" s="1" t="str">
        <f t="shared" ref="A25240:A25262" si="913">"35900"</f>
        <v>35900</v>
      </c>
      <c r="B25240" s="1" t="str">
        <f>"28651"</f>
        <v>28651</v>
      </c>
      <c r="C25240" s="2">
        <v>0.11230029471071799</v>
      </c>
      <c r="D25240" s="2">
        <v>4.30607187112763E-2</v>
      </c>
      <c r="E25240" s="2">
        <v>4.2808219178082099E-2</v>
      </c>
      <c r="F25240" s="2">
        <v>0.106085565020944</v>
      </c>
    </row>
    <row r="25241" spans="1:6" x14ac:dyDescent="0.25">
      <c r="A25241" s="1" t="str">
        <f t="shared" si="913"/>
        <v>35900</v>
      </c>
      <c r="B25241" s="1" t="str">
        <f>"28689"</f>
        <v>28689</v>
      </c>
      <c r="C25241" s="2">
        <v>3.6451062509694401E-3</v>
      </c>
      <c r="D25241" s="2">
        <v>6.1957868649318399E-4</v>
      </c>
      <c r="E25241" s="2">
        <v>0</v>
      </c>
      <c r="F25241" s="2">
        <v>3.36518096672471E-3</v>
      </c>
    </row>
    <row r="25242" spans="1:6" x14ac:dyDescent="0.25">
      <c r="A25242" s="1" t="str">
        <f t="shared" si="913"/>
        <v>35900</v>
      </c>
      <c r="B25242" s="1" t="str">
        <f>"28618"</f>
        <v>28618</v>
      </c>
      <c r="C25242" s="2">
        <v>1.0082208779277099E-3</v>
      </c>
      <c r="D25242" s="2">
        <v>3.09789343246592E-4</v>
      </c>
      <c r="E25242" s="2">
        <v>0</v>
      </c>
      <c r="F25242" s="2">
        <v>9.4130936132159795E-4</v>
      </c>
    </row>
    <row r="25243" spans="1:6" x14ac:dyDescent="0.25">
      <c r="A25243" s="1" t="str">
        <f t="shared" si="913"/>
        <v>35900</v>
      </c>
      <c r="B25243" s="1" t="str">
        <f>"28656"</f>
        <v>28656</v>
      </c>
      <c r="C25243" s="2">
        <v>0</v>
      </c>
      <c r="D25243" s="2">
        <v>0</v>
      </c>
      <c r="E25243" s="2">
        <v>1.71232876712328E-3</v>
      </c>
      <c r="F25243" s="2">
        <v>2.3532734033039901E-5</v>
      </c>
    </row>
    <row r="25244" spans="1:6" x14ac:dyDescent="0.25">
      <c r="A25244" s="1" t="str">
        <f t="shared" si="913"/>
        <v>35900</v>
      </c>
      <c r="B25244" s="1" t="str">
        <f>"28683"</f>
        <v>28683</v>
      </c>
      <c r="C25244" s="2">
        <v>1.27707977870844E-2</v>
      </c>
      <c r="D25244" s="2">
        <v>7.1251548946716196E-3</v>
      </c>
      <c r="E25244" s="2">
        <v>0</v>
      </c>
      <c r="F25244" s="2">
        <v>1.21664234950816E-2</v>
      </c>
    </row>
    <row r="25245" spans="1:6" x14ac:dyDescent="0.25">
      <c r="A25245" s="1" t="str">
        <f t="shared" si="913"/>
        <v>35900</v>
      </c>
      <c r="B25245" s="1" t="str">
        <f>"28606"</f>
        <v>28606</v>
      </c>
      <c r="C25245" s="2">
        <v>2.35510056356961E-2</v>
      </c>
      <c r="D25245" s="2">
        <v>6.8153655514250301E-3</v>
      </c>
      <c r="E25245" s="2">
        <v>1.71232876712328E-3</v>
      </c>
      <c r="F25245" s="2">
        <v>2.19795735868593E-2</v>
      </c>
    </row>
    <row r="25246" spans="1:6" x14ac:dyDescent="0.25">
      <c r="A25246" s="1" t="str">
        <f t="shared" si="913"/>
        <v>35900</v>
      </c>
      <c r="B25246" s="1" t="str">
        <f>"28665"</f>
        <v>28665</v>
      </c>
      <c r="C25246" s="2">
        <v>3.7381727935473799E-2</v>
      </c>
      <c r="D25246" s="2">
        <v>7.1251548946716196E-3</v>
      </c>
      <c r="E25246" s="2">
        <v>1.71232876712328E-3</v>
      </c>
      <c r="F25246" s="2">
        <v>3.4593119028568702E-2</v>
      </c>
    </row>
    <row r="25247" spans="1:6" x14ac:dyDescent="0.25">
      <c r="A25247" s="1" t="str">
        <f t="shared" si="913"/>
        <v>35900</v>
      </c>
      <c r="B25247" s="1" t="str">
        <f>"28635"</f>
        <v>28635</v>
      </c>
      <c r="C25247" s="2">
        <v>4.8058528514554499E-2</v>
      </c>
      <c r="D25247" s="2">
        <v>8.6741016109045804E-3</v>
      </c>
      <c r="E25247" s="2">
        <v>3.08219178082191E-2</v>
      </c>
      <c r="F25247" s="2">
        <v>4.4829858332941099E-2</v>
      </c>
    </row>
    <row r="25248" spans="1:6" x14ac:dyDescent="0.25">
      <c r="A25248" s="1" t="str">
        <f t="shared" si="913"/>
        <v>35900</v>
      </c>
      <c r="B25248" s="1" t="str">
        <f>"28649"</f>
        <v>28649</v>
      </c>
      <c r="C25248" s="2">
        <v>1.21762059872809E-2</v>
      </c>
      <c r="D25248" s="2">
        <v>6.1957868649318399E-4</v>
      </c>
      <c r="E25248" s="2">
        <v>5.1369863013698601E-3</v>
      </c>
      <c r="F25248" s="2">
        <v>1.1201581399727E-2</v>
      </c>
    </row>
    <row r="25249" spans="1:6" x14ac:dyDescent="0.25">
      <c r="A25249" s="1" t="str">
        <f t="shared" si="913"/>
        <v>35900</v>
      </c>
      <c r="B25249" s="1" t="str">
        <f>"28644"</f>
        <v>28644</v>
      </c>
      <c r="C25249" s="2">
        <v>4.6533271288971601E-4</v>
      </c>
      <c r="D25249" s="2">
        <v>0</v>
      </c>
      <c r="E25249" s="2">
        <v>0</v>
      </c>
      <c r="F25249" s="2">
        <v>4.23589212594719E-4</v>
      </c>
    </row>
    <row r="25250" spans="1:6" x14ac:dyDescent="0.25">
      <c r="A25250" s="1" t="str">
        <f t="shared" si="913"/>
        <v>35900</v>
      </c>
      <c r="B25250" s="1" t="str">
        <f>"28697"</f>
        <v>28697</v>
      </c>
      <c r="C25250" s="2">
        <v>0.18786515692053099</v>
      </c>
      <c r="D25250" s="2">
        <v>0.36183395291201897</v>
      </c>
      <c r="E25250" s="2">
        <v>0.306506849315068</v>
      </c>
      <c r="F25250" s="2">
        <v>0.202710970960606</v>
      </c>
    </row>
    <row r="25251" spans="1:6" x14ac:dyDescent="0.25">
      <c r="A25251" s="1" t="str">
        <f t="shared" si="913"/>
        <v>35900</v>
      </c>
      <c r="B25251" s="1" t="str">
        <f>"28685"</f>
        <v>28685</v>
      </c>
      <c r="C25251" s="2">
        <v>2.7325370973579399E-2</v>
      </c>
      <c r="D25251" s="2">
        <v>7.7447335811647996E-3</v>
      </c>
      <c r="E25251" s="2">
        <v>3.4246575342465699E-3</v>
      </c>
      <c r="F25251" s="2">
        <v>2.5509483691815299E-2</v>
      </c>
    </row>
    <row r="25252" spans="1:6" x14ac:dyDescent="0.25">
      <c r="A25252" s="1" t="str">
        <f t="shared" si="913"/>
        <v>35900</v>
      </c>
      <c r="B25252" s="1" t="str">
        <f>"28676"</f>
        <v>28676</v>
      </c>
      <c r="C25252" s="2">
        <v>1.22020578046636E-2</v>
      </c>
      <c r="D25252" s="2">
        <v>3.0978934324659198E-3</v>
      </c>
      <c r="E25252" s="2">
        <v>1.71232876712328E-3</v>
      </c>
      <c r="F25252" s="2">
        <v>1.13663105379582E-2</v>
      </c>
    </row>
    <row r="25253" spans="1:6" x14ac:dyDescent="0.25">
      <c r="A25253" s="1" t="str">
        <f t="shared" si="913"/>
        <v>35900</v>
      </c>
      <c r="B25253" s="1" t="str">
        <f>"28670"</f>
        <v>28670</v>
      </c>
      <c r="C25253" s="2">
        <v>3.5597952536063203E-2</v>
      </c>
      <c r="D25253" s="2">
        <v>1.9516728624535299E-2</v>
      </c>
      <c r="E25253" s="2">
        <v>1.0273972602739699E-2</v>
      </c>
      <c r="F25253" s="2">
        <v>3.4028333411775698E-2</v>
      </c>
    </row>
    <row r="25254" spans="1:6" x14ac:dyDescent="0.25">
      <c r="A25254" s="1" t="str">
        <f t="shared" si="913"/>
        <v>35900</v>
      </c>
      <c r="B25254" s="1" t="str">
        <f>"28669"</f>
        <v>28669</v>
      </c>
      <c r="C25254" s="2">
        <v>3.63993588749289E-2</v>
      </c>
      <c r="D25254" s="2">
        <v>6.1957868649318397E-3</v>
      </c>
      <c r="E25254" s="2">
        <v>1.71232876712328E-3</v>
      </c>
      <c r="F25254" s="2">
        <v>3.3628276933214102E-2</v>
      </c>
    </row>
    <row r="25255" spans="1:6" x14ac:dyDescent="0.25">
      <c r="A25255" s="1" t="str">
        <f t="shared" si="913"/>
        <v>35900</v>
      </c>
      <c r="B25255" s="1" t="str">
        <f>"28645"</f>
        <v>28645</v>
      </c>
      <c r="C25255" s="2">
        <v>6.7214725195181195E-4</v>
      </c>
      <c r="D25255" s="2">
        <v>0</v>
      </c>
      <c r="E25255" s="2">
        <v>0</v>
      </c>
      <c r="F25255" s="2">
        <v>6.1185108485903804E-4</v>
      </c>
    </row>
    <row r="25256" spans="1:6" x14ac:dyDescent="0.25">
      <c r="A25256" s="1" t="str">
        <f t="shared" si="913"/>
        <v>35900</v>
      </c>
      <c r="B25256" s="1" t="str">
        <f>"28624"</f>
        <v>28624</v>
      </c>
      <c r="C25256" s="2">
        <v>2.27495992968305E-2</v>
      </c>
      <c r="D25256" s="2">
        <v>5.5762081784386597E-3</v>
      </c>
      <c r="E25256" s="2">
        <v>0</v>
      </c>
      <c r="F25256" s="2">
        <v>2.1132395161669801E-2</v>
      </c>
    </row>
    <row r="25257" spans="1:6" x14ac:dyDescent="0.25">
      <c r="A25257" s="1" t="str">
        <f t="shared" si="913"/>
        <v>35900</v>
      </c>
      <c r="B25257" s="1" t="str">
        <f>"28659"</f>
        <v>28659</v>
      </c>
      <c r="C25257" s="2">
        <v>0.31435809937438602</v>
      </c>
      <c r="D25257" s="2">
        <v>0.47242874845105298</v>
      </c>
      <c r="E25257" s="2">
        <v>0.57191780821917804</v>
      </c>
      <c r="F25257" s="2">
        <v>0.32990539840918698</v>
      </c>
    </row>
    <row r="25258" spans="1:6" x14ac:dyDescent="0.25">
      <c r="A25258" s="1" t="str">
        <f t="shared" si="913"/>
        <v>35900</v>
      </c>
      <c r="B25258" s="1" t="str">
        <f>"28694"</f>
        <v>28694</v>
      </c>
      <c r="C25258" s="2">
        <v>4.3948089550695398E-4</v>
      </c>
      <c r="D25258" s="2">
        <v>3.09789343246592E-4</v>
      </c>
      <c r="E25258" s="2">
        <v>0</v>
      </c>
      <c r="F25258" s="2">
        <v>4.23589212594719E-4</v>
      </c>
    </row>
    <row r="25259" spans="1:6" x14ac:dyDescent="0.25">
      <c r="A25259" s="1" t="str">
        <f t="shared" si="913"/>
        <v>35900</v>
      </c>
      <c r="B25259" s="1" t="str">
        <f>"28654"</f>
        <v>28654</v>
      </c>
      <c r="C25259" s="2">
        <v>6.23287317098392E-2</v>
      </c>
      <c r="D25259" s="2">
        <v>2.7571251548946699E-2</v>
      </c>
      <c r="E25259" s="2">
        <v>1.0273972602739699E-2</v>
      </c>
      <c r="F25259" s="2">
        <v>5.8973031486798097E-2</v>
      </c>
    </row>
    <row r="25260" spans="1:6" x14ac:dyDescent="0.25">
      <c r="A25260" s="1" t="str">
        <f t="shared" si="913"/>
        <v>35900</v>
      </c>
      <c r="B25260" s="1" t="str">
        <f>"27020"</f>
        <v>27020</v>
      </c>
      <c r="C25260" s="2">
        <v>6.1010289023318296E-3</v>
      </c>
      <c r="D25260" s="2">
        <v>1.5489467162329599E-3</v>
      </c>
      <c r="E25260" s="2">
        <v>0</v>
      </c>
      <c r="F25260" s="2">
        <v>5.6713889019626299E-3</v>
      </c>
    </row>
    <row r="25261" spans="1:6" x14ac:dyDescent="0.25">
      <c r="A25261" s="1" t="str">
        <f t="shared" si="913"/>
        <v>35900</v>
      </c>
      <c r="B25261" s="1" t="str">
        <f>"28642"</f>
        <v>28642</v>
      </c>
      <c r="C25261" s="2">
        <v>3.5158471640556301E-3</v>
      </c>
      <c r="D25261" s="2">
        <v>6.1957868649318399E-4</v>
      </c>
      <c r="E25261" s="2">
        <v>0</v>
      </c>
      <c r="F25261" s="2">
        <v>3.2475172965595101E-3</v>
      </c>
    </row>
    <row r="25262" spans="1:6" x14ac:dyDescent="0.25">
      <c r="A25262" s="1" t="str">
        <f t="shared" si="913"/>
        <v>35900</v>
      </c>
      <c r="B25262" s="1" t="str">
        <f>"28621"</f>
        <v>28621</v>
      </c>
      <c r="C25262" s="2">
        <v>3.9087947882736097E-2</v>
      </c>
      <c r="D25262" s="2">
        <v>1.92069392812887E-2</v>
      </c>
      <c r="E25262" s="2">
        <v>1.0273972602739699E-2</v>
      </c>
      <c r="F25262" s="2">
        <v>3.7181719772203102E-2</v>
      </c>
    </row>
    <row r="25263" spans="1:6" x14ac:dyDescent="0.25">
      <c r="A25263" s="1" t="str">
        <f t="shared" ref="A25263:A25278" si="914">"35940"</f>
        <v>35940</v>
      </c>
      <c r="B25263" s="1" t="str">
        <f>"44855"</f>
        <v>44855</v>
      </c>
      <c r="C25263" s="2">
        <v>1.9872010778039701E-2</v>
      </c>
      <c r="D25263" s="2">
        <v>5.7372346528973004E-3</v>
      </c>
      <c r="E25263" s="2">
        <v>3.0000000000000001E-3</v>
      </c>
      <c r="F25263" s="2">
        <v>1.84632093402117E-2</v>
      </c>
    </row>
    <row r="25264" spans="1:6" x14ac:dyDescent="0.25">
      <c r="A25264" s="1" t="str">
        <f t="shared" si="914"/>
        <v>35940</v>
      </c>
      <c r="B25264" s="1" t="str">
        <f>"44857"</f>
        <v>44857</v>
      </c>
      <c r="C25264" s="2">
        <v>0.40069608173346799</v>
      </c>
      <c r="D25264" s="2">
        <v>0.49627079747561598</v>
      </c>
      <c r="E25264" s="2">
        <v>0.68300000000000005</v>
      </c>
      <c r="F25264" s="2">
        <v>0.41593130600054301</v>
      </c>
    </row>
    <row r="25265" spans="1:6" x14ac:dyDescent="0.25">
      <c r="A25265" s="1" t="str">
        <f t="shared" si="914"/>
        <v>35940</v>
      </c>
      <c r="B25265" s="1" t="str">
        <f>"44888"</f>
        <v>44888</v>
      </c>
      <c r="C25265" s="2">
        <v>0</v>
      </c>
      <c r="D25265" s="2">
        <v>5.7372346528972997E-4</v>
      </c>
      <c r="E25265" s="2">
        <v>0</v>
      </c>
      <c r="F25265" s="2">
        <v>3.3939723051859801E-5</v>
      </c>
    </row>
    <row r="25266" spans="1:6" x14ac:dyDescent="0.25">
      <c r="A25266" s="1" t="str">
        <f t="shared" si="914"/>
        <v>35940</v>
      </c>
      <c r="B25266" s="1" t="str">
        <f>"44878"</f>
        <v>44878</v>
      </c>
      <c r="C25266" s="2">
        <v>1.7963399573369199E-3</v>
      </c>
      <c r="D25266" s="2">
        <v>0</v>
      </c>
      <c r="E25266" s="2">
        <v>0</v>
      </c>
      <c r="F25266" s="2">
        <v>1.62910670648927E-3</v>
      </c>
    </row>
    <row r="25267" spans="1:6" x14ac:dyDescent="0.25">
      <c r="A25267" s="1" t="str">
        <f t="shared" si="914"/>
        <v>35940</v>
      </c>
      <c r="B25267" s="1" t="str">
        <f>"44889"</f>
        <v>44889</v>
      </c>
      <c r="C25267" s="2">
        <v>7.2227835784588898E-2</v>
      </c>
      <c r="D25267" s="2">
        <v>2.5243832472748098E-2</v>
      </c>
      <c r="E25267" s="2">
        <v>3.3000000000000002E-2</v>
      </c>
      <c r="F25267" s="2">
        <v>6.8117024165082807E-2</v>
      </c>
    </row>
    <row r="25268" spans="1:6" x14ac:dyDescent="0.25">
      <c r="A25268" s="1" t="str">
        <f t="shared" si="914"/>
        <v>35940</v>
      </c>
      <c r="B25268" s="1" t="str">
        <f>"44854"</f>
        <v>44854</v>
      </c>
      <c r="C25268" s="2">
        <v>7.4847498222371898E-5</v>
      </c>
      <c r="D25268" s="2">
        <v>0</v>
      </c>
      <c r="E25268" s="2">
        <v>0</v>
      </c>
      <c r="F25268" s="2">
        <v>6.7879446103719698E-5</v>
      </c>
    </row>
    <row r="25269" spans="1:6" x14ac:dyDescent="0.25">
      <c r="A25269" s="1" t="str">
        <f t="shared" si="914"/>
        <v>35940</v>
      </c>
      <c r="B25269" s="1" t="str">
        <f>"44826"</f>
        <v>44826</v>
      </c>
      <c r="C25269" s="2">
        <v>2.3951199431159E-2</v>
      </c>
      <c r="D25269" s="2">
        <v>7.4584050487664904E-3</v>
      </c>
      <c r="E25269" s="2">
        <v>5.0000000000000001E-3</v>
      </c>
      <c r="F25269" s="2">
        <v>2.2332337768123801E-2</v>
      </c>
    </row>
    <row r="25270" spans="1:6" x14ac:dyDescent="0.25">
      <c r="A25270" s="1" t="str">
        <f t="shared" si="914"/>
        <v>35940</v>
      </c>
      <c r="B25270" s="1" t="str">
        <f>"44807"</f>
        <v>44807</v>
      </c>
      <c r="C25270" s="2">
        <v>3.1810186744508002E-3</v>
      </c>
      <c r="D25270" s="2">
        <v>5.7372346528972997E-4</v>
      </c>
      <c r="E25270" s="2">
        <v>0</v>
      </c>
      <c r="F25270" s="2">
        <v>2.9188161824599498E-3</v>
      </c>
    </row>
    <row r="25271" spans="1:6" x14ac:dyDescent="0.25">
      <c r="A25271" s="1" t="str">
        <f t="shared" si="914"/>
        <v>35940</v>
      </c>
      <c r="B25271" s="1" t="str">
        <f>"44811"</f>
        <v>44811</v>
      </c>
      <c r="C25271" s="2">
        <v>8.2070281800830799E-2</v>
      </c>
      <c r="D25271" s="2">
        <v>0.116465863453815</v>
      </c>
      <c r="E25271" s="2">
        <v>7.4999999999999997E-2</v>
      </c>
      <c r="F25271" s="2">
        <v>8.3865055661145799E-2</v>
      </c>
    </row>
    <row r="25272" spans="1:6" x14ac:dyDescent="0.25">
      <c r="A25272" s="1" t="str">
        <f t="shared" si="914"/>
        <v>35940</v>
      </c>
      <c r="B25272" s="1" t="str">
        <f>"44846"</f>
        <v>44846</v>
      </c>
      <c r="C25272" s="2">
        <v>5.5761386175666996E-3</v>
      </c>
      <c r="D25272" s="2">
        <v>5.7372346528972997E-4</v>
      </c>
      <c r="E25272" s="2">
        <v>0</v>
      </c>
      <c r="F25272" s="2">
        <v>5.0909584577789801E-3</v>
      </c>
    </row>
    <row r="25273" spans="1:6" x14ac:dyDescent="0.25">
      <c r="A25273" s="1" t="str">
        <f t="shared" si="914"/>
        <v>35940</v>
      </c>
      <c r="B25273" s="1" t="str">
        <f>"44837"</f>
        <v>44837</v>
      </c>
      <c r="C25273" s="2">
        <v>5.0634332547434602E-2</v>
      </c>
      <c r="D25273" s="2">
        <v>4.0160642570281103E-2</v>
      </c>
      <c r="E25273" s="2">
        <v>2.9000000000000001E-2</v>
      </c>
      <c r="F25273" s="2">
        <v>4.92804778713005E-2</v>
      </c>
    </row>
    <row r="25274" spans="1:6" x14ac:dyDescent="0.25">
      <c r="A25274" s="1" t="str">
        <f t="shared" si="914"/>
        <v>35940</v>
      </c>
      <c r="B25274" s="1" t="str">
        <f>"44865"</f>
        <v>44865</v>
      </c>
      <c r="C25274" s="2">
        <v>2.7918116836944701E-2</v>
      </c>
      <c r="D25274" s="2">
        <v>2.63912794033275E-2</v>
      </c>
      <c r="E25274" s="2">
        <v>4.0000000000000001E-3</v>
      </c>
      <c r="F25274" s="2">
        <v>2.7016019549280401E-2</v>
      </c>
    </row>
    <row r="25275" spans="1:6" x14ac:dyDescent="0.25">
      <c r="A25275" s="1" t="str">
        <f t="shared" si="914"/>
        <v>35940</v>
      </c>
      <c r="B25275" s="1" t="str">
        <f>"44890"</f>
        <v>44890</v>
      </c>
      <c r="C25275" s="2">
        <v>0.18719359305415201</v>
      </c>
      <c r="D25275" s="2">
        <v>0.16982214572575999</v>
      </c>
      <c r="E25275" s="2">
        <v>7.6999999999999999E-2</v>
      </c>
      <c r="F25275" s="2">
        <v>0.18242601140374601</v>
      </c>
    </row>
    <row r="25276" spans="1:6" x14ac:dyDescent="0.25">
      <c r="A25276" s="1" t="str">
        <f t="shared" si="914"/>
        <v>35940</v>
      </c>
      <c r="B25276" s="1" t="str">
        <f>"44851"</f>
        <v>44851</v>
      </c>
      <c r="C25276" s="2">
        <v>7.6494143183264002E-2</v>
      </c>
      <c r="D25276" s="2">
        <v>7.8026391279403307E-2</v>
      </c>
      <c r="E25276" s="2">
        <v>6.2E-2</v>
      </c>
      <c r="F25276" s="2">
        <v>7.6092859082269801E-2</v>
      </c>
    </row>
    <row r="25277" spans="1:6" x14ac:dyDescent="0.25">
      <c r="A25277" s="1" t="str">
        <f t="shared" si="914"/>
        <v>35940</v>
      </c>
      <c r="B25277" s="1" t="str">
        <f>"44850"</f>
        <v>44850</v>
      </c>
      <c r="C25277" s="2">
        <v>7.1105123311253305E-4</v>
      </c>
      <c r="D25277" s="2">
        <v>0</v>
      </c>
      <c r="E25277" s="2">
        <v>1E-3</v>
      </c>
      <c r="F25277" s="2">
        <v>6.7879446103719695E-4</v>
      </c>
    </row>
    <row r="25278" spans="1:6" x14ac:dyDescent="0.25">
      <c r="A25278" s="1" t="str">
        <f t="shared" si="914"/>
        <v>35940</v>
      </c>
      <c r="B25278" s="1" t="str">
        <f>"44847"</f>
        <v>44847</v>
      </c>
      <c r="C25278" s="2">
        <v>4.7603008869428497E-2</v>
      </c>
      <c r="D25278" s="2">
        <v>3.2702237521514597E-2</v>
      </c>
      <c r="E25278" s="2">
        <v>2.8000000000000001E-2</v>
      </c>
      <c r="F25278" s="2">
        <v>4.6056204181373801E-2</v>
      </c>
    </row>
    <row r="25279" spans="1:6" x14ac:dyDescent="0.25">
      <c r="A25279" s="1" t="str">
        <f t="shared" ref="A25279:A25317" si="915">"35980"</f>
        <v>35980</v>
      </c>
      <c r="B25279" s="1" t="str">
        <f>"06376"</f>
        <v>06376</v>
      </c>
      <c r="C25279" s="2">
        <v>0</v>
      </c>
      <c r="D25279" s="2">
        <v>8.0775444264943394E-5</v>
      </c>
      <c r="E25279" s="2">
        <v>0</v>
      </c>
      <c r="F25279" s="2">
        <v>6.42900768266418E-6</v>
      </c>
    </row>
    <row r="25280" spans="1:6" x14ac:dyDescent="0.25">
      <c r="A25280" s="1" t="str">
        <f t="shared" si="915"/>
        <v>35980</v>
      </c>
      <c r="B25280" s="1" t="str">
        <f>"06249"</f>
        <v>06249</v>
      </c>
      <c r="C25280" s="2">
        <v>2.21695605953224E-2</v>
      </c>
      <c r="D25280" s="2">
        <v>3.39256865912762E-3</v>
      </c>
      <c r="E25280" s="2">
        <v>3.8915553249448602E-3</v>
      </c>
      <c r="F25280" s="2">
        <v>1.97691986241923E-2</v>
      </c>
    </row>
    <row r="25281" spans="1:6" x14ac:dyDescent="0.25">
      <c r="A25281" s="1" t="str">
        <f t="shared" si="915"/>
        <v>35980</v>
      </c>
      <c r="B25281" s="1" t="str">
        <f>"06375"</f>
        <v>06375</v>
      </c>
      <c r="C25281" s="2">
        <v>1.4425348452634001E-2</v>
      </c>
      <c r="D25281" s="2">
        <v>8.9660743134087201E-3</v>
      </c>
      <c r="E25281" s="2">
        <v>3.8915553249448602E-3</v>
      </c>
      <c r="F25281" s="2">
        <v>1.34687710951814E-2</v>
      </c>
    </row>
    <row r="25282" spans="1:6" x14ac:dyDescent="0.25">
      <c r="A25282" s="1" t="str">
        <f t="shared" si="915"/>
        <v>35980</v>
      </c>
      <c r="B25282" s="1" t="str">
        <f>"06370"</f>
        <v>06370</v>
      </c>
      <c r="C25282" s="2">
        <v>2.1955468934561701E-2</v>
      </c>
      <c r="D25282" s="2">
        <v>9.28917609046849E-3</v>
      </c>
      <c r="E25282" s="2">
        <v>1.18043844856661E-2</v>
      </c>
      <c r="F25282" s="2">
        <v>2.0444244430872002E-2</v>
      </c>
    </row>
    <row r="25283" spans="1:6" x14ac:dyDescent="0.25">
      <c r="A25283" s="1" t="str">
        <f t="shared" si="915"/>
        <v>35980</v>
      </c>
      <c r="B25283" s="1" t="str">
        <f>"06382"</f>
        <v>06382</v>
      </c>
      <c r="C25283" s="2">
        <v>3.5553980628395897E-2</v>
      </c>
      <c r="D25283" s="2">
        <v>2.9725363489499099E-2</v>
      </c>
      <c r="E25283" s="2">
        <v>4.8774160072642299E-2</v>
      </c>
      <c r="F25283" s="2">
        <v>3.5745282715612801E-2</v>
      </c>
    </row>
    <row r="25284" spans="1:6" x14ac:dyDescent="0.25">
      <c r="A25284" s="1" t="str">
        <f t="shared" si="915"/>
        <v>35980</v>
      </c>
      <c r="B25284" s="1" t="str">
        <f>"06359"</f>
        <v>06359</v>
      </c>
      <c r="C25284" s="2">
        <v>1.6211906449326699E-2</v>
      </c>
      <c r="D25284" s="2">
        <v>6.8659127625201903E-3</v>
      </c>
      <c r="E25284" s="2">
        <v>4.54014787910234E-3</v>
      </c>
      <c r="F25284" s="2">
        <v>1.4889581793050201E-2</v>
      </c>
    </row>
    <row r="25285" spans="1:6" x14ac:dyDescent="0.25">
      <c r="A25285" s="1" t="str">
        <f t="shared" si="915"/>
        <v>35980</v>
      </c>
      <c r="B25285" s="1" t="str">
        <f>"06415"</f>
        <v>06415</v>
      </c>
      <c r="C25285" s="2">
        <v>5.2319572407276103E-2</v>
      </c>
      <c r="D25285" s="2">
        <v>4.4911147011308501E-2</v>
      </c>
      <c r="E25285" s="2">
        <v>5.1757685821766701E-2</v>
      </c>
      <c r="F25285" s="2">
        <v>5.1702079783985298E-2</v>
      </c>
    </row>
    <row r="25286" spans="1:6" x14ac:dyDescent="0.25">
      <c r="A25286" s="1" t="str">
        <f t="shared" si="915"/>
        <v>35980</v>
      </c>
      <c r="B25286" s="1" t="str">
        <f>"06439"</f>
        <v>06439</v>
      </c>
      <c r="C25286" s="2">
        <v>0</v>
      </c>
      <c r="D25286" s="2">
        <v>0</v>
      </c>
      <c r="E25286" s="2">
        <v>1.2971851083149499E-4</v>
      </c>
      <c r="F25286" s="2">
        <v>6.42900768266418E-6</v>
      </c>
    </row>
    <row r="25287" spans="1:6" x14ac:dyDescent="0.25">
      <c r="A25287" s="1" t="str">
        <f t="shared" si="915"/>
        <v>35980</v>
      </c>
      <c r="B25287" s="1" t="str">
        <f>"06336"</f>
        <v>06336</v>
      </c>
      <c r="C25287" s="2">
        <v>2.5838648712497002E-4</v>
      </c>
      <c r="D25287" s="2">
        <v>1.61550888529886E-4</v>
      </c>
      <c r="E25287" s="2">
        <v>1.2971851083149499E-4</v>
      </c>
      <c r="F25287" s="2">
        <v>2.4430229194123801E-4</v>
      </c>
    </row>
    <row r="25288" spans="1:6" x14ac:dyDescent="0.25">
      <c r="A25288" s="1" t="str">
        <f t="shared" si="915"/>
        <v>35980</v>
      </c>
      <c r="B25288" s="1" t="str">
        <f>"06351"</f>
        <v>06351</v>
      </c>
      <c r="C25288" s="2">
        <v>5.4246397354122303E-2</v>
      </c>
      <c r="D25288" s="2">
        <v>2.65751211631663E-2</v>
      </c>
      <c r="E25288" s="2">
        <v>5.11090932676092E-2</v>
      </c>
      <c r="F25288" s="2">
        <v>5.1888521006782602E-2</v>
      </c>
    </row>
    <row r="25289" spans="1:6" x14ac:dyDescent="0.25">
      <c r="A25289" s="1" t="str">
        <f t="shared" si="915"/>
        <v>35980</v>
      </c>
      <c r="B25289" s="1" t="str">
        <f>"06357"</f>
        <v>06357</v>
      </c>
      <c r="C25289" s="2">
        <v>5.17732695487833E-2</v>
      </c>
      <c r="D25289" s="2">
        <v>4.4264943457189003E-2</v>
      </c>
      <c r="E25289" s="2">
        <v>2.2311583863017199E-2</v>
      </c>
      <c r="F25289" s="2">
        <v>4.9715516410042099E-2</v>
      </c>
    </row>
    <row r="25290" spans="1:6" x14ac:dyDescent="0.25">
      <c r="A25290" s="1" t="str">
        <f t="shared" si="915"/>
        <v>35980</v>
      </c>
      <c r="B25290" s="1" t="str">
        <f>"06380"</f>
        <v>06380</v>
      </c>
      <c r="C25290" s="2">
        <v>1.13468580203165E-2</v>
      </c>
      <c r="D25290" s="2">
        <v>9.28917609046849E-3</v>
      </c>
      <c r="E25290" s="2">
        <v>1.94577766247243E-2</v>
      </c>
      <c r="F25290" s="2">
        <v>1.1585071844160799E-2</v>
      </c>
    </row>
    <row r="25291" spans="1:6" x14ac:dyDescent="0.25">
      <c r="A25291" s="1" t="str">
        <f t="shared" si="915"/>
        <v>35980</v>
      </c>
      <c r="B25291" s="1" t="str">
        <f>"06338"</f>
        <v>06338</v>
      </c>
      <c r="C25291" s="2">
        <v>1.7274982282069399E-3</v>
      </c>
      <c r="D25291" s="2">
        <v>2.4232633279483001E-4</v>
      </c>
      <c r="E25291" s="2">
        <v>1.2971851083149499E-4</v>
      </c>
      <c r="F25291" s="2">
        <v>1.5301038284740701E-3</v>
      </c>
    </row>
    <row r="25292" spans="1:6" x14ac:dyDescent="0.25">
      <c r="A25292" s="1" t="str">
        <f t="shared" si="915"/>
        <v>35980</v>
      </c>
      <c r="B25292" s="1" t="str">
        <f>"06420"</f>
        <v>06420</v>
      </c>
      <c r="C25292" s="2">
        <v>1.3687101346562701E-2</v>
      </c>
      <c r="D25292" s="2">
        <v>8.6429725363489397E-3</v>
      </c>
      <c r="E25292" s="2">
        <v>7.6533921390582399E-3</v>
      </c>
      <c r="F25292" s="2">
        <v>1.2986595518981601E-2</v>
      </c>
    </row>
    <row r="25293" spans="1:6" x14ac:dyDescent="0.25">
      <c r="A25293" s="1" t="str">
        <f t="shared" si="915"/>
        <v>35980</v>
      </c>
      <c r="B25293" s="1" t="str">
        <f>"06340"</f>
        <v>06340</v>
      </c>
      <c r="C25293" s="2">
        <v>0.11394105835105101</v>
      </c>
      <c r="D25293" s="2">
        <v>8.6591276252019303E-2</v>
      </c>
      <c r="E25293" s="2">
        <v>8.3149565442988696E-2</v>
      </c>
      <c r="F25293" s="2">
        <v>0.110238194734642</v>
      </c>
    </row>
    <row r="25294" spans="1:6" x14ac:dyDescent="0.25">
      <c r="A25294" s="1" t="str">
        <f t="shared" si="915"/>
        <v>35980</v>
      </c>
      <c r="B25294" s="1" t="str">
        <f>"06333"</f>
        <v>06333</v>
      </c>
      <c r="C25294" s="2">
        <v>2.61856248523505E-2</v>
      </c>
      <c r="D25294" s="2">
        <v>2.5848142164781901E-2</v>
      </c>
      <c r="E25294" s="2">
        <v>8.6911402257102005E-3</v>
      </c>
      <c r="F25294" s="2">
        <v>2.52917162236008E-2</v>
      </c>
    </row>
    <row r="25295" spans="1:6" x14ac:dyDescent="0.25">
      <c r="A25295" s="1" t="str">
        <f t="shared" si="915"/>
        <v>35980</v>
      </c>
      <c r="B25295" s="1" t="str">
        <f>"06385"</f>
        <v>06385</v>
      </c>
      <c r="C25295" s="2">
        <v>6.2426175289392802E-2</v>
      </c>
      <c r="D25295" s="2">
        <v>6.7932148626817401E-2</v>
      </c>
      <c r="E25295" s="2">
        <v>2.0754961733039302E-2</v>
      </c>
      <c r="F25295" s="2">
        <v>6.07991256549551E-2</v>
      </c>
    </row>
    <row r="25296" spans="1:6" x14ac:dyDescent="0.25">
      <c r="A25296" s="1" t="str">
        <f t="shared" si="915"/>
        <v>35980</v>
      </c>
      <c r="B25296" s="1" t="str">
        <f>"06389"</f>
        <v>06389</v>
      </c>
      <c r="C25296" s="2">
        <v>7.8992440349633802E-4</v>
      </c>
      <c r="D25296" s="2">
        <v>1.6155088852988599E-3</v>
      </c>
      <c r="E25296" s="2">
        <v>1.1674665974834601E-3</v>
      </c>
      <c r="F25296" s="2">
        <v>8.7434504484232799E-4</v>
      </c>
    </row>
    <row r="25297" spans="1:6" x14ac:dyDescent="0.25">
      <c r="A25297" s="1" t="str">
        <f t="shared" si="915"/>
        <v>35980</v>
      </c>
      <c r="B25297" s="1" t="str">
        <f>"06320"</f>
        <v>06320</v>
      </c>
      <c r="C25297" s="2">
        <v>0.10587201748169101</v>
      </c>
      <c r="D25297" s="2">
        <v>0.27802907915993502</v>
      </c>
      <c r="E25297" s="2">
        <v>0.16642884939680799</v>
      </c>
      <c r="F25297" s="2">
        <v>0.12257546047767499</v>
      </c>
    </row>
    <row r="25298" spans="1:6" x14ac:dyDescent="0.25">
      <c r="A25298" s="1" t="str">
        <f t="shared" si="915"/>
        <v>35980</v>
      </c>
      <c r="B25298" s="1" t="str">
        <f>"06335"</f>
        <v>06335</v>
      </c>
      <c r="C25298" s="2">
        <v>1.9954819277108401E-2</v>
      </c>
      <c r="D25298" s="2">
        <v>1.0096930533117899E-2</v>
      </c>
      <c r="E25298" s="2">
        <v>9.8586068231936597E-3</v>
      </c>
      <c r="F25298" s="2">
        <v>1.86698383104567E-2</v>
      </c>
    </row>
    <row r="25299" spans="1:6" x14ac:dyDescent="0.25">
      <c r="A25299" s="1" t="str">
        <f t="shared" si="915"/>
        <v>35980</v>
      </c>
      <c r="B25299" s="1" t="str">
        <f>"06383"</f>
        <v>06383</v>
      </c>
      <c r="C25299" s="2">
        <v>7.3824710607134403E-6</v>
      </c>
      <c r="D25299" s="2">
        <v>8.0775444264943394E-5</v>
      </c>
      <c r="E25299" s="2">
        <v>2.5943702166299101E-4</v>
      </c>
      <c r="F25299" s="2">
        <v>2.57160307306567E-5</v>
      </c>
    </row>
    <row r="25300" spans="1:6" x14ac:dyDescent="0.25">
      <c r="A25300" s="1" t="str">
        <f t="shared" si="915"/>
        <v>35980</v>
      </c>
      <c r="B25300" s="1" t="str">
        <f>"06388"</f>
        <v>06388</v>
      </c>
      <c r="C25300" s="2">
        <v>0</v>
      </c>
      <c r="D25300" s="2">
        <v>8.0775444264943394E-5</v>
      </c>
      <c r="E25300" s="2">
        <v>0</v>
      </c>
      <c r="F25300" s="2">
        <v>6.42900768266418E-6</v>
      </c>
    </row>
    <row r="25301" spans="1:6" x14ac:dyDescent="0.25">
      <c r="A25301" s="1" t="str">
        <f t="shared" si="915"/>
        <v>35980</v>
      </c>
      <c r="B25301" s="1" t="str">
        <f>"06379"</f>
        <v>06379</v>
      </c>
      <c r="C25301" s="2">
        <v>3.7451275690999201E-2</v>
      </c>
      <c r="D25301" s="2">
        <v>2.80290791599353E-2</v>
      </c>
      <c r="E25301" s="2">
        <v>6.9658840316513093E-2</v>
      </c>
      <c r="F25301" s="2">
        <v>3.8297598765630499E-2</v>
      </c>
    </row>
    <row r="25302" spans="1:6" x14ac:dyDescent="0.25">
      <c r="A25302" s="1" t="str">
        <f t="shared" si="915"/>
        <v>35980</v>
      </c>
      <c r="B25302" s="1" t="str">
        <f>"06360"</f>
        <v>06360</v>
      </c>
      <c r="C25302" s="2">
        <v>0.133128100637845</v>
      </c>
      <c r="D25302" s="2">
        <v>0.115508885298869</v>
      </c>
      <c r="E25302" s="2">
        <v>0.18212478920741901</v>
      </c>
      <c r="F25302" s="2">
        <v>0.13415410331415301</v>
      </c>
    </row>
    <row r="25303" spans="1:6" x14ac:dyDescent="0.25">
      <c r="A25303" s="1" t="str">
        <f t="shared" si="915"/>
        <v>35980</v>
      </c>
      <c r="B25303" s="1" t="str">
        <f>"06378"</f>
        <v>06378</v>
      </c>
      <c r="C25303" s="2">
        <v>2.4701748169147102E-2</v>
      </c>
      <c r="D25303" s="2">
        <v>3.65912762520193E-2</v>
      </c>
      <c r="E25303" s="2">
        <v>2.4387080036321101E-2</v>
      </c>
      <c r="F25303" s="2">
        <v>2.5632453630781999E-2</v>
      </c>
    </row>
    <row r="25304" spans="1:6" x14ac:dyDescent="0.25">
      <c r="A25304" s="1" t="str">
        <f t="shared" si="915"/>
        <v>35980</v>
      </c>
      <c r="B25304" s="1" t="str">
        <f>"06254"</f>
        <v>06254</v>
      </c>
      <c r="C25304" s="2">
        <v>5.8690644932671799E-3</v>
      </c>
      <c r="D25304" s="2">
        <v>1.09046849757673E-2</v>
      </c>
      <c r="E25304" s="2">
        <v>3.6321183032818698E-3</v>
      </c>
      <c r="F25304" s="2">
        <v>6.15898935999228E-3</v>
      </c>
    </row>
    <row r="25305" spans="1:6" x14ac:dyDescent="0.25">
      <c r="A25305" s="1" t="str">
        <f t="shared" si="915"/>
        <v>35980</v>
      </c>
      <c r="B25305" s="1" t="str">
        <f>"06350"</f>
        <v>06350</v>
      </c>
      <c r="C25305" s="2">
        <v>1.1221356012284401E-3</v>
      </c>
      <c r="D25305" s="2">
        <v>8.0775444264943394E-5</v>
      </c>
      <c r="E25305" s="2">
        <v>0</v>
      </c>
      <c r="F25305" s="2">
        <v>9.8363817544761889E-4</v>
      </c>
    </row>
    <row r="25306" spans="1:6" x14ac:dyDescent="0.25">
      <c r="A25306" s="1" t="str">
        <f t="shared" si="915"/>
        <v>35980</v>
      </c>
      <c r="B25306" s="1" t="str">
        <f>"06330"</f>
        <v>06330</v>
      </c>
      <c r="C25306" s="2">
        <v>1.1354240491377199E-2</v>
      </c>
      <c r="D25306" s="2">
        <v>4.6042003231017703E-3</v>
      </c>
      <c r="E25306" s="2">
        <v>4.6309508366843902E-2</v>
      </c>
      <c r="F25306" s="2">
        <v>1.2549422996560399E-2</v>
      </c>
    </row>
    <row r="25307" spans="1:6" x14ac:dyDescent="0.25">
      <c r="A25307" s="1" t="str">
        <f t="shared" si="915"/>
        <v>35980</v>
      </c>
      <c r="B25307" s="1" t="str">
        <f>"06349"</f>
        <v>06349</v>
      </c>
      <c r="C25307" s="2">
        <v>5.9059768485707502E-5</v>
      </c>
      <c r="D25307" s="2">
        <v>3.2310177705977298E-4</v>
      </c>
      <c r="E25307" s="2">
        <v>1.2971851083149499E-4</v>
      </c>
      <c r="F25307" s="2">
        <v>8.3577099874634296E-5</v>
      </c>
    </row>
    <row r="25308" spans="1:6" x14ac:dyDescent="0.25">
      <c r="A25308" s="1" t="str">
        <f t="shared" si="915"/>
        <v>35980</v>
      </c>
      <c r="B25308" s="1" t="str">
        <f>"06353"</f>
        <v>06353</v>
      </c>
      <c r="C25308" s="2">
        <v>4.2080085046066601E-4</v>
      </c>
      <c r="D25308" s="2">
        <v>0</v>
      </c>
      <c r="E25308" s="2">
        <v>9.0802957582046897E-4</v>
      </c>
      <c r="F25308" s="2">
        <v>4.1145649169050698E-4</v>
      </c>
    </row>
    <row r="25309" spans="1:6" x14ac:dyDescent="0.25">
      <c r="A25309" s="1" t="str">
        <f t="shared" si="915"/>
        <v>35980</v>
      </c>
      <c r="B25309" s="1" t="str">
        <f>"06334"</f>
        <v>06334</v>
      </c>
      <c r="C25309" s="2">
        <v>8.1502480510276306E-3</v>
      </c>
      <c r="D25309" s="2">
        <v>6.7043618739903001E-3</v>
      </c>
      <c r="E25309" s="2">
        <v>3.5023997924503798E-3</v>
      </c>
      <c r="F25309" s="2">
        <v>7.8048153267543099E-3</v>
      </c>
    </row>
    <row r="25310" spans="1:6" x14ac:dyDescent="0.25">
      <c r="A25310" s="1" t="str">
        <f t="shared" si="915"/>
        <v>35980</v>
      </c>
      <c r="B25310" s="1" t="str">
        <f>"06339"</f>
        <v>06339</v>
      </c>
      <c r="C25310" s="2">
        <v>2.8931904086935901E-2</v>
      </c>
      <c r="D25310" s="2">
        <v>1.1389337641357E-2</v>
      </c>
      <c r="E25310" s="2">
        <v>1.56959398106109E-2</v>
      </c>
      <c r="F25310" s="2">
        <v>2.6879681121218899E-2</v>
      </c>
    </row>
    <row r="25311" spans="1:6" x14ac:dyDescent="0.25">
      <c r="A25311" s="1" t="str">
        <f t="shared" si="915"/>
        <v>35980</v>
      </c>
      <c r="B25311" s="1" t="str">
        <f>"06384"</f>
        <v>06384</v>
      </c>
      <c r="C25311" s="2">
        <v>7.9361563902669505E-3</v>
      </c>
      <c r="D25311" s="2">
        <v>1.9386106623586401E-3</v>
      </c>
      <c r="E25311" s="2">
        <v>2.3349331949669202E-3</v>
      </c>
      <c r="F25311" s="2">
        <v>7.1812015815358801E-3</v>
      </c>
    </row>
    <row r="25312" spans="1:6" x14ac:dyDescent="0.25">
      <c r="A25312" s="1" t="str">
        <f t="shared" si="915"/>
        <v>35980</v>
      </c>
      <c r="B25312" s="1" t="str">
        <f>"06355"</f>
        <v>06355</v>
      </c>
      <c r="C25312" s="2">
        <v>5.1957831325301199E-2</v>
      </c>
      <c r="D25312" s="2">
        <v>7.3101777059773804E-2</v>
      </c>
      <c r="E25312" s="2">
        <v>6.35620703074328E-2</v>
      </c>
      <c r="F25312" s="2">
        <v>5.4215821787907001E-2</v>
      </c>
    </row>
    <row r="25313" spans="1:6" x14ac:dyDescent="0.25">
      <c r="A25313" s="1" t="str">
        <f t="shared" si="915"/>
        <v>35980</v>
      </c>
      <c r="B25313" s="1" t="str">
        <f>"06365"</f>
        <v>06365</v>
      </c>
      <c r="C25313" s="2">
        <v>1.52300377982518E-2</v>
      </c>
      <c r="D25313" s="2">
        <v>6.46203554119547E-3</v>
      </c>
      <c r="E25313" s="2">
        <v>6.6156440524062698E-3</v>
      </c>
      <c r="F25313" s="2">
        <v>1.41052428557652E-2</v>
      </c>
    </row>
    <row r="25314" spans="1:6" x14ac:dyDescent="0.25">
      <c r="A25314" s="1" t="str">
        <f t="shared" si="915"/>
        <v>35980</v>
      </c>
      <c r="B25314" s="1" t="str">
        <f>"06231"</f>
        <v>06231</v>
      </c>
      <c r="C25314" s="2">
        <v>1.18119536971415E-4</v>
      </c>
      <c r="D25314" s="2">
        <v>0</v>
      </c>
      <c r="E25314" s="2">
        <v>0</v>
      </c>
      <c r="F25314" s="2">
        <v>1.02864122922626E-4</v>
      </c>
    </row>
    <row r="25315" spans="1:6" x14ac:dyDescent="0.25">
      <c r="A25315" s="1" t="str">
        <f t="shared" si="915"/>
        <v>35980</v>
      </c>
      <c r="B25315" s="1" t="str">
        <f>"06372"</f>
        <v>06372</v>
      </c>
      <c r="C25315" s="2">
        <v>2.9234585400425201E-3</v>
      </c>
      <c r="D25315" s="2">
        <v>5.5735056542810897E-3</v>
      </c>
      <c r="E25315" s="2">
        <v>1.2971851083149499E-4</v>
      </c>
      <c r="F25315" s="2">
        <v>2.9959175801215002E-3</v>
      </c>
    </row>
    <row r="25316" spans="1:6" x14ac:dyDescent="0.25">
      <c r="A25316" s="1" t="str">
        <f t="shared" si="915"/>
        <v>35980</v>
      </c>
      <c r="B25316" s="1" t="str">
        <f>"06371"</f>
        <v>06371</v>
      </c>
      <c r="C25316" s="2">
        <v>4.5719643278998301E-2</v>
      </c>
      <c r="D25316" s="2">
        <v>3.6106623586429701E-2</v>
      </c>
      <c r="E25316" s="2">
        <v>6.5118692437410794E-2</v>
      </c>
      <c r="F25316" s="2">
        <v>4.5915972869587499E-2</v>
      </c>
    </row>
    <row r="25317" spans="1:6" x14ac:dyDescent="0.25">
      <c r="A25317" s="1" t="str">
        <f t="shared" si="915"/>
        <v>35980</v>
      </c>
      <c r="B25317" s="1" t="str">
        <f>"06374"</f>
        <v>06374</v>
      </c>
      <c r="C25317" s="2">
        <v>7.3824710607134404E-5</v>
      </c>
      <c r="D25317" s="2">
        <v>0</v>
      </c>
      <c r="E25317" s="2">
        <v>0</v>
      </c>
      <c r="F25317" s="2">
        <v>6.4290076826641805E-5</v>
      </c>
    </row>
    <row r="25318" spans="1:6" x14ac:dyDescent="0.25">
      <c r="A25318" s="1" t="str">
        <f t="shared" ref="A25318:A25325" si="916">"36020"</f>
        <v>36020</v>
      </c>
      <c r="B25318" s="1" t="str">
        <f>"98253"</f>
        <v>98253</v>
      </c>
      <c r="C25318" s="2">
        <v>2.8139579067361802E-2</v>
      </c>
      <c r="D25318" s="2">
        <v>8.6890819795995399E-3</v>
      </c>
      <c r="E25318" s="2">
        <v>4.1512915129151198E-3</v>
      </c>
      <c r="F25318" s="2">
        <v>2.61564404246349E-2</v>
      </c>
    </row>
    <row r="25319" spans="1:6" x14ac:dyDescent="0.25">
      <c r="A25319" s="1" t="str">
        <f t="shared" si="916"/>
        <v>36020</v>
      </c>
      <c r="B25319" s="1" t="str">
        <f>"98239"</f>
        <v>98239</v>
      </c>
      <c r="C25319" s="2">
        <v>8.1020033353739598E-2</v>
      </c>
      <c r="D25319" s="2">
        <v>5.0245561012466897E-2</v>
      </c>
      <c r="E25319" s="2">
        <v>4.1051660516605103E-2</v>
      </c>
      <c r="F25319" s="2">
        <v>7.7798643314298796E-2</v>
      </c>
    </row>
    <row r="25320" spans="1:6" x14ac:dyDescent="0.25">
      <c r="A25320" s="1" t="str">
        <f t="shared" si="916"/>
        <v>36020</v>
      </c>
      <c r="B25320" s="1" t="str">
        <f>"98236"</f>
        <v>98236</v>
      </c>
      <c r="C25320" s="2">
        <v>8.9696227649827903E-2</v>
      </c>
      <c r="D25320" s="2">
        <v>0.103135625236116</v>
      </c>
      <c r="E25320" s="2">
        <v>9.6863468634686301E-3</v>
      </c>
      <c r="F25320" s="2">
        <v>8.7053999156861905E-2</v>
      </c>
    </row>
    <row r="25321" spans="1:6" x14ac:dyDescent="0.25">
      <c r="A25321" s="1" t="str">
        <f t="shared" si="916"/>
        <v>36020</v>
      </c>
      <c r="B25321" s="1" t="str">
        <f>"98282"</f>
        <v>98282</v>
      </c>
      <c r="C25321" s="2">
        <v>0.18825863925186201</v>
      </c>
      <c r="D25321" s="2">
        <v>5.3267850396675399E-2</v>
      </c>
      <c r="E25321" s="2">
        <v>0.34271217712177099</v>
      </c>
      <c r="F25321" s="2">
        <v>0.187828153144521</v>
      </c>
    </row>
    <row r="25322" spans="1:6" x14ac:dyDescent="0.25">
      <c r="A25322" s="1" t="str">
        <f t="shared" si="916"/>
        <v>36020</v>
      </c>
      <c r="B25322" s="1" t="str">
        <f>"98277"</f>
        <v>98277</v>
      </c>
      <c r="C25322" s="2">
        <v>0.43264866690591203</v>
      </c>
      <c r="D25322" s="2">
        <v>0.52852285606346805</v>
      </c>
      <c r="E25322" s="2">
        <v>0.52629151291512899</v>
      </c>
      <c r="F25322" s="2">
        <v>0.44140190855785</v>
      </c>
    </row>
    <row r="25323" spans="1:6" x14ac:dyDescent="0.25">
      <c r="A25323" s="1" t="str">
        <f t="shared" si="916"/>
        <v>36020</v>
      </c>
      <c r="B25323" s="1" t="str">
        <f>"98260"</f>
        <v>98260</v>
      </c>
      <c r="C25323" s="2">
        <v>9.2862721918473307E-2</v>
      </c>
      <c r="D25323" s="2">
        <v>9.8979977332829594E-2</v>
      </c>
      <c r="E25323" s="2">
        <v>3.18265682656826E-2</v>
      </c>
      <c r="F25323" s="2">
        <v>9.0637335683899797E-2</v>
      </c>
    </row>
    <row r="25324" spans="1:6" x14ac:dyDescent="0.25">
      <c r="A25324" s="1" t="str">
        <f t="shared" si="916"/>
        <v>36020</v>
      </c>
      <c r="B25324" s="1" t="str">
        <f>"98249"</f>
        <v>98249</v>
      </c>
      <c r="C25324" s="2">
        <v>8.7374131852821293E-2</v>
      </c>
      <c r="D25324" s="2">
        <v>0.156403475632791</v>
      </c>
      <c r="E25324" s="2">
        <v>2.1217712177121699E-2</v>
      </c>
      <c r="F25324" s="2">
        <v>8.8127083892231603E-2</v>
      </c>
    </row>
    <row r="25325" spans="1:6" x14ac:dyDescent="0.25">
      <c r="A25325" s="1" t="str">
        <f t="shared" si="916"/>
        <v>36020</v>
      </c>
      <c r="B25325" s="1" t="str">
        <f>"98278"</f>
        <v>98278</v>
      </c>
      <c r="C25325" s="2">
        <v>0</v>
      </c>
      <c r="D25325" s="2">
        <v>7.5557234605213403E-4</v>
      </c>
      <c r="E25325" s="2">
        <v>2.30627306273062E-2</v>
      </c>
      <c r="F25325" s="2">
        <v>9.9643582570037911E-4</v>
      </c>
    </row>
    <row r="25326" spans="1:6" x14ac:dyDescent="0.25">
      <c r="A25326" s="1" t="str">
        <f t="shared" ref="A25326:A25357" si="917">"36084"</f>
        <v>36084</v>
      </c>
      <c r="B25326" s="1" t="str">
        <f>"94507"</f>
        <v>94507</v>
      </c>
      <c r="C25326" s="2">
        <v>4.5228403437358602E-4</v>
      </c>
      <c r="D25326" s="2">
        <v>0</v>
      </c>
      <c r="E25326" s="2">
        <v>0</v>
      </c>
      <c r="F25326" s="2">
        <v>3.7234702742956402E-4</v>
      </c>
    </row>
    <row r="25327" spans="1:6" x14ac:dyDescent="0.25">
      <c r="A25327" s="1" t="str">
        <f t="shared" si="917"/>
        <v>36084</v>
      </c>
      <c r="B25327" s="1" t="str">
        <f>"94610"</f>
        <v>94610</v>
      </c>
      <c r="C25327" s="2">
        <v>0</v>
      </c>
      <c r="D25327" s="2">
        <v>0</v>
      </c>
      <c r="E25327" s="2">
        <v>1.44230769230769E-2</v>
      </c>
      <c r="F25327" s="2">
        <v>7.4469405485912805E-4</v>
      </c>
    </row>
    <row r="25328" spans="1:6" x14ac:dyDescent="0.25">
      <c r="A25328" s="1" t="str">
        <f t="shared" si="917"/>
        <v>36084</v>
      </c>
      <c r="B25328" s="1" t="str">
        <f>"94509"</f>
        <v>94509</v>
      </c>
      <c r="C25328" s="2">
        <v>4.5228403437358602E-4</v>
      </c>
      <c r="D25328" s="2">
        <v>9.9206349206349201E-3</v>
      </c>
      <c r="E25328" s="2">
        <v>7.2115384615384602E-3</v>
      </c>
      <c r="F25328" s="2">
        <v>1.9858508129576699E-3</v>
      </c>
    </row>
    <row r="25329" spans="1:6" x14ac:dyDescent="0.25">
      <c r="A25329" s="1" t="str">
        <f t="shared" si="917"/>
        <v>36084</v>
      </c>
      <c r="B25329" s="1" t="str">
        <f>"94553"</f>
        <v>94553</v>
      </c>
      <c r="C25329" s="2">
        <v>7.5380672395597697E-4</v>
      </c>
      <c r="D25329" s="2">
        <v>5.9523809523809503E-3</v>
      </c>
      <c r="E25329" s="2">
        <v>4.8076923076923002E-3</v>
      </c>
      <c r="F25329" s="2">
        <v>1.6135037855281101E-3</v>
      </c>
    </row>
    <row r="25330" spans="1:6" x14ac:dyDescent="0.25">
      <c r="A25330" s="1" t="str">
        <f t="shared" si="917"/>
        <v>36084</v>
      </c>
      <c r="B25330" s="1" t="str">
        <f>"94545"</f>
        <v>94545</v>
      </c>
      <c r="C25330" s="2">
        <v>0</v>
      </c>
      <c r="D25330" s="2">
        <v>4.96031746031746E-3</v>
      </c>
      <c r="E25330" s="2">
        <v>2.4038461538461501E-3</v>
      </c>
      <c r="F25330" s="2">
        <v>7.4469405485912805E-4</v>
      </c>
    </row>
    <row r="25331" spans="1:6" x14ac:dyDescent="0.25">
      <c r="A25331" s="1" t="str">
        <f t="shared" si="917"/>
        <v>36084</v>
      </c>
      <c r="B25331" s="1" t="str">
        <f>"94530"</f>
        <v>94530</v>
      </c>
      <c r="C25331" s="2">
        <v>1.02517714458012E-2</v>
      </c>
      <c r="D25331" s="2">
        <v>9.9206349206349201E-4</v>
      </c>
      <c r="E25331" s="2">
        <v>7.2115384615384602E-3</v>
      </c>
      <c r="F25331" s="2">
        <v>8.9363286583095392E-3</v>
      </c>
    </row>
    <row r="25332" spans="1:6" x14ac:dyDescent="0.25">
      <c r="A25332" s="1" t="str">
        <f t="shared" si="917"/>
        <v>36084</v>
      </c>
      <c r="B25332" s="1" t="str">
        <f>"94544"</f>
        <v>94544</v>
      </c>
      <c r="C25332" s="2">
        <v>9.7994874114277E-3</v>
      </c>
      <c r="D25332" s="2">
        <v>1.9841269841269801E-3</v>
      </c>
      <c r="E25332" s="2">
        <v>4.8076923076923002E-3</v>
      </c>
      <c r="F25332" s="2">
        <v>8.5639816308799802E-3</v>
      </c>
    </row>
    <row r="25333" spans="1:6" x14ac:dyDescent="0.25">
      <c r="A25333" s="1" t="str">
        <f t="shared" si="917"/>
        <v>36084</v>
      </c>
      <c r="B25333" s="1" t="str">
        <f>"94605"</f>
        <v>94605</v>
      </c>
      <c r="C25333" s="2">
        <v>0</v>
      </c>
      <c r="D25333" s="2">
        <v>0</v>
      </c>
      <c r="E25333" s="2">
        <v>1.44230769230769E-2</v>
      </c>
      <c r="F25333" s="2">
        <v>7.4469405485912805E-4</v>
      </c>
    </row>
    <row r="25334" spans="1:6" x14ac:dyDescent="0.25">
      <c r="A25334" s="1" t="str">
        <f t="shared" si="917"/>
        <v>36084</v>
      </c>
      <c r="B25334" s="1" t="str">
        <f>"94707"</f>
        <v>94707</v>
      </c>
      <c r="C25334" s="2">
        <v>0</v>
      </c>
      <c r="D25334" s="2">
        <v>6.9444444444444397E-3</v>
      </c>
      <c r="E25334" s="2">
        <v>2.4038461538461501E-3</v>
      </c>
      <c r="F25334" s="2">
        <v>9.9292540647883797E-4</v>
      </c>
    </row>
    <row r="25335" spans="1:6" x14ac:dyDescent="0.25">
      <c r="A25335" s="1" t="str">
        <f t="shared" si="917"/>
        <v>36084</v>
      </c>
      <c r="B25335" s="1" t="str">
        <f>"94801"</f>
        <v>94801</v>
      </c>
      <c r="C25335" s="2">
        <v>1.68852706166139E-2</v>
      </c>
      <c r="D25335" s="2">
        <v>1.9841269841269801E-3</v>
      </c>
      <c r="E25335" s="2">
        <v>2.4038461538461502E-2</v>
      </c>
      <c r="F25335" s="2">
        <v>1.53903438004219E-2</v>
      </c>
    </row>
    <row r="25336" spans="1:6" x14ac:dyDescent="0.25">
      <c r="A25336" s="1" t="str">
        <f t="shared" si="917"/>
        <v>36084</v>
      </c>
      <c r="B25336" s="1" t="str">
        <f>"94520"</f>
        <v>94520</v>
      </c>
      <c r="C25336" s="2">
        <v>1.95989748228554E-3</v>
      </c>
      <c r="D25336" s="2">
        <v>2.6785714285714201E-2</v>
      </c>
      <c r="E25336" s="2">
        <v>4.8076923076923002E-3</v>
      </c>
      <c r="F25336" s="2">
        <v>5.2128583840138996E-3</v>
      </c>
    </row>
    <row r="25337" spans="1:6" x14ac:dyDescent="0.25">
      <c r="A25337" s="1" t="str">
        <f t="shared" si="917"/>
        <v>36084</v>
      </c>
      <c r="B25337" s="1" t="str">
        <f>"94612"</f>
        <v>94612</v>
      </c>
      <c r="C25337" s="2">
        <v>2.7137042062415101E-2</v>
      </c>
      <c r="D25337" s="2">
        <v>0.25297619047619002</v>
      </c>
      <c r="E25337" s="2">
        <v>2.4038461538461502E-2</v>
      </c>
      <c r="F25337" s="2">
        <v>5.5231475735385303E-2</v>
      </c>
    </row>
    <row r="25338" spans="1:6" x14ac:dyDescent="0.25">
      <c r="A25338" s="1" t="str">
        <f t="shared" si="917"/>
        <v>36084</v>
      </c>
      <c r="B25338" s="1" t="str">
        <f>"94568"</f>
        <v>94568</v>
      </c>
      <c r="C25338" s="2">
        <v>8.8949193426805295E-2</v>
      </c>
      <c r="D25338" s="2">
        <v>9.9206349206349201E-4</v>
      </c>
      <c r="E25338" s="2">
        <v>2.4038461538461501E-3</v>
      </c>
      <c r="F25338" s="2">
        <v>7.3476480079433998E-2</v>
      </c>
    </row>
    <row r="25339" spans="1:6" x14ac:dyDescent="0.25">
      <c r="A25339" s="1" t="str">
        <f t="shared" si="917"/>
        <v>36084</v>
      </c>
      <c r="B25339" s="1" t="str">
        <f>"94603"</f>
        <v>94603</v>
      </c>
      <c r="C25339" s="2">
        <v>0</v>
      </c>
      <c r="D25339" s="2">
        <v>0</v>
      </c>
      <c r="E25339" s="2">
        <v>4.8076923076923002E-3</v>
      </c>
      <c r="F25339" s="2">
        <v>2.4823135161970901E-4</v>
      </c>
    </row>
    <row r="25340" spans="1:6" x14ac:dyDescent="0.25">
      <c r="A25340" s="1" t="str">
        <f t="shared" si="917"/>
        <v>36084</v>
      </c>
      <c r="B25340" s="1" t="str">
        <f>"94506"</f>
        <v>94506</v>
      </c>
      <c r="C25340" s="2">
        <v>0</v>
      </c>
      <c r="D25340" s="2">
        <v>0</v>
      </c>
      <c r="E25340" s="2">
        <v>2.4038461538461501E-3</v>
      </c>
      <c r="F25340" s="2">
        <v>1.2411567580985399E-4</v>
      </c>
    </row>
    <row r="25341" spans="1:6" x14ac:dyDescent="0.25">
      <c r="A25341" s="1" t="str">
        <f t="shared" si="917"/>
        <v>36084</v>
      </c>
      <c r="B25341" s="1" t="str">
        <f>"94546"</f>
        <v>94546</v>
      </c>
      <c r="C25341" s="2">
        <v>2.5629428614503198E-3</v>
      </c>
      <c r="D25341" s="2">
        <v>2.97619047619047E-3</v>
      </c>
      <c r="E25341" s="2">
        <v>4.8076923076923002E-3</v>
      </c>
      <c r="F25341" s="2">
        <v>2.7305448678167999E-3</v>
      </c>
    </row>
    <row r="25342" spans="1:6" x14ac:dyDescent="0.25">
      <c r="A25342" s="1" t="str">
        <f t="shared" si="917"/>
        <v>36084</v>
      </c>
      <c r="B25342" s="1" t="str">
        <f>"94706"</f>
        <v>94706</v>
      </c>
      <c r="C25342" s="2">
        <v>0</v>
      </c>
      <c r="D25342" s="2">
        <v>2.0833333333333301E-2</v>
      </c>
      <c r="E25342" s="2">
        <v>2.4038461538461501E-3</v>
      </c>
      <c r="F25342" s="2">
        <v>2.7305448678167999E-3</v>
      </c>
    </row>
    <row r="25343" spans="1:6" x14ac:dyDescent="0.25">
      <c r="A25343" s="1" t="str">
        <f t="shared" si="917"/>
        <v>36084</v>
      </c>
      <c r="B25343" s="1" t="str">
        <f>"94565"</f>
        <v>94565</v>
      </c>
      <c r="C25343" s="2">
        <v>3.12075983717774E-2</v>
      </c>
      <c r="D25343" s="2">
        <v>1.88492063492063E-2</v>
      </c>
      <c r="E25343" s="2">
        <v>4.8076923076923003E-2</v>
      </c>
      <c r="F25343" s="2">
        <v>3.05324562492242E-2</v>
      </c>
    </row>
    <row r="25344" spans="1:6" x14ac:dyDescent="0.25">
      <c r="A25344" s="1" t="str">
        <f t="shared" si="917"/>
        <v>36084</v>
      </c>
      <c r="B25344" s="1" t="str">
        <f>"94621"</f>
        <v>94621</v>
      </c>
      <c r="C25344" s="2">
        <v>0</v>
      </c>
      <c r="D25344" s="2">
        <v>1.9841269841269801E-3</v>
      </c>
      <c r="E25344" s="2">
        <v>2.4038461538461501E-3</v>
      </c>
      <c r="F25344" s="2">
        <v>3.7234702742956402E-4</v>
      </c>
    </row>
    <row r="25345" spans="1:6" x14ac:dyDescent="0.25">
      <c r="A25345" s="1" t="str">
        <f t="shared" si="917"/>
        <v>36084</v>
      </c>
      <c r="B25345" s="1" t="str">
        <f>"94704"</f>
        <v>94704</v>
      </c>
      <c r="C25345" s="2">
        <v>1.0553294135383601E-3</v>
      </c>
      <c r="D25345" s="2">
        <v>2.97619047619047E-3</v>
      </c>
      <c r="E25345" s="2">
        <v>2.4038461538461501E-3</v>
      </c>
      <c r="F25345" s="2">
        <v>1.3652724339083999E-3</v>
      </c>
    </row>
    <row r="25346" spans="1:6" x14ac:dyDescent="0.25">
      <c r="A25346" s="1" t="str">
        <f t="shared" si="917"/>
        <v>36084</v>
      </c>
      <c r="B25346" s="1" t="str">
        <f>"94608"</f>
        <v>94608</v>
      </c>
      <c r="C25346" s="2">
        <v>6.1058344640434102E-2</v>
      </c>
      <c r="D25346" s="2">
        <v>1.6865079365079302E-2</v>
      </c>
      <c r="E25346" s="2">
        <v>5.2884615384615301E-2</v>
      </c>
      <c r="F25346" s="2">
        <v>5.5107360059575498E-2</v>
      </c>
    </row>
    <row r="25347" spans="1:6" x14ac:dyDescent="0.25">
      <c r="A25347" s="1" t="str">
        <f t="shared" si="917"/>
        <v>36084</v>
      </c>
      <c r="B25347" s="1" t="str">
        <f>"94513"</f>
        <v>94513</v>
      </c>
      <c r="C25347" s="2">
        <v>4.5077642092567399E-2</v>
      </c>
      <c r="D25347" s="2">
        <v>9.9206349206349201E-3</v>
      </c>
      <c r="E25347" s="2">
        <v>2.4038461538461501E-3</v>
      </c>
      <c r="F25347" s="2">
        <v>3.84758595010549E-2</v>
      </c>
    </row>
    <row r="25348" spans="1:6" x14ac:dyDescent="0.25">
      <c r="A25348" s="1" t="str">
        <f t="shared" si="917"/>
        <v>36084</v>
      </c>
      <c r="B25348" s="1" t="str">
        <f>"94597"</f>
        <v>94597</v>
      </c>
      <c r="C25348" s="2">
        <v>0</v>
      </c>
      <c r="D25348" s="2">
        <v>2.97619047619047E-3</v>
      </c>
      <c r="E25348" s="2">
        <v>2.4038461538461501E-3</v>
      </c>
      <c r="F25348" s="2">
        <v>4.9646270323941899E-4</v>
      </c>
    </row>
    <row r="25349" spans="1:6" x14ac:dyDescent="0.25">
      <c r="A25349" s="1" t="str">
        <f t="shared" si="917"/>
        <v>36084</v>
      </c>
      <c r="B25349" s="1" t="str">
        <f>"94611"</f>
        <v>94611</v>
      </c>
      <c r="C25349" s="2">
        <v>0.11050806573194601</v>
      </c>
      <c r="D25349" s="2">
        <v>6.9444444444444397E-3</v>
      </c>
      <c r="E25349" s="2">
        <v>2.4038461538461502E-2</v>
      </c>
      <c r="F25349" s="2">
        <v>9.3086756857390998E-2</v>
      </c>
    </row>
    <row r="25350" spans="1:6" x14ac:dyDescent="0.25">
      <c r="A25350" s="1" t="str">
        <f t="shared" si="917"/>
        <v>36084</v>
      </c>
      <c r="B25350" s="1" t="str">
        <f>"94607"</f>
        <v>94607</v>
      </c>
      <c r="C25350" s="2">
        <v>3.3469018543645403E-2</v>
      </c>
      <c r="D25350" s="2">
        <v>1.9841269841269799E-2</v>
      </c>
      <c r="E25350" s="2">
        <v>2.4038461538461502E-2</v>
      </c>
      <c r="F25350" s="2">
        <v>3.1277150304083401E-2</v>
      </c>
    </row>
    <row r="25351" spans="1:6" x14ac:dyDescent="0.25">
      <c r="A25351" s="1" t="str">
        <f t="shared" si="917"/>
        <v>36084</v>
      </c>
      <c r="B25351" s="1" t="str">
        <f>"94501"</f>
        <v>94501</v>
      </c>
      <c r="C25351" s="2">
        <v>3.6182722749886899E-3</v>
      </c>
      <c r="D25351" s="2">
        <v>1.6865079365079302E-2</v>
      </c>
      <c r="E25351" s="2">
        <v>7.2115384615384595E-2</v>
      </c>
      <c r="F25351" s="2">
        <v>8.8122129824996804E-3</v>
      </c>
    </row>
    <row r="25352" spans="1:6" x14ac:dyDescent="0.25">
      <c r="A25352" s="1" t="str">
        <f t="shared" si="917"/>
        <v>36084</v>
      </c>
      <c r="B25352" s="1" t="str">
        <f>"94579"</f>
        <v>94579</v>
      </c>
      <c r="C25352" s="2">
        <v>0</v>
      </c>
      <c r="D25352" s="2">
        <v>0</v>
      </c>
      <c r="E25352" s="2">
        <v>2.4038461538461501E-3</v>
      </c>
      <c r="F25352" s="2">
        <v>1.2411567580985399E-4</v>
      </c>
    </row>
    <row r="25353" spans="1:6" x14ac:dyDescent="0.25">
      <c r="A25353" s="1" t="str">
        <f t="shared" si="917"/>
        <v>36084</v>
      </c>
      <c r="B25353" s="1" t="str">
        <f>"94564"</f>
        <v>94564</v>
      </c>
      <c r="C25353" s="2">
        <v>0</v>
      </c>
      <c r="D25353" s="2">
        <v>0</v>
      </c>
      <c r="E25353" s="2">
        <v>2.4038461538461501E-3</v>
      </c>
      <c r="F25353" s="2">
        <v>1.2411567580985399E-4</v>
      </c>
    </row>
    <row r="25354" spans="1:6" x14ac:dyDescent="0.25">
      <c r="A25354" s="1" t="str">
        <f t="shared" si="917"/>
        <v>36084</v>
      </c>
      <c r="B25354" s="1" t="str">
        <f>"94517"</f>
        <v>94517</v>
      </c>
      <c r="C25354" s="2">
        <v>6.0304537916478201E-4</v>
      </c>
      <c r="D25354" s="2">
        <v>0</v>
      </c>
      <c r="E25354" s="2">
        <v>0</v>
      </c>
      <c r="F25354" s="2">
        <v>4.9646270323941899E-4</v>
      </c>
    </row>
    <row r="25355" spans="1:6" x14ac:dyDescent="0.25">
      <c r="A25355" s="1" t="str">
        <f t="shared" si="917"/>
        <v>36084</v>
      </c>
      <c r="B25355" s="1" t="str">
        <f>"94606"</f>
        <v>94606</v>
      </c>
      <c r="C25355" s="2">
        <v>3.6333484094678098E-2</v>
      </c>
      <c r="D25355" s="2">
        <v>9.9206349206349201E-4</v>
      </c>
      <c r="E25355" s="2">
        <v>2.1634615384615301E-2</v>
      </c>
      <c r="F25355" s="2">
        <v>3.1153034628273499E-2</v>
      </c>
    </row>
    <row r="25356" spans="1:6" x14ac:dyDescent="0.25">
      <c r="A25356" s="1" t="str">
        <f t="shared" si="917"/>
        <v>36084</v>
      </c>
      <c r="B25356" s="1" t="str">
        <f>"94803"</f>
        <v>94803</v>
      </c>
      <c r="C25356" s="2">
        <v>4.5228403437358602E-4</v>
      </c>
      <c r="D25356" s="2">
        <v>0</v>
      </c>
      <c r="E25356" s="2">
        <v>1.44230769230769E-2</v>
      </c>
      <c r="F25356" s="2">
        <v>1.11704108228869E-3</v>
      </c>
    </row>
    <row r="25357" spans="1:6" x14ac:dyDescent="0.25">
      <c r="A25357" s="1" t="str">
        <f t="shared" si="917"/>
        <v>36084</v>
      </c>
      <c r="B25357" s="1" t="str">
        <f>"94615"</f>
        <v>94615</v>
      </c>
      <c r="C25357" s="2">
        <v>0</v>
      </c>
      <c r="D25357" s="2">
        <v>0</v>
      </c>
      <c r="E25357" s="2">
        <v>2.4038461538461501E-3</v>
      </c>
      <c r="F25357" s="2">
        <v>1.2411567580985399E-4</v>
      </c>
    </row>
    <row r="25358" spans="1:6" x14ac:dyDescent="0.25">
      <c r="A25358" s="1" t="str">
        <f t="shared" ref="A25358:A25389" si="918">"36084"</f>
        <v>36084</v>
      </c>
      <c r="B25358" s="1" t="str">
        <f>"94531"</f>
        <v>94531</v>
      </c>
      <c r="C25358" s="2">
        <v>1.7639077340569801E-2</v>
      </c>
      <c r="D25358" s="2">
        <v>0</v>
      </c>
      <c r="E25358" s="2">
        <v>2.4038461538461501E-3</v>
      </c>
      <c r="F25358" s="2">
        <v>1.4645649745562799E-2</v>
      </c>
    </row>
    <row r="25359" spans="1:6" x14ac:dyDescent="0.25">
      <c r="A25359" s="1" t="str">
        <f t="shared" si="918"/>
        <v>36084</v>
      </c>
      <c r="B25359" s="1" t="str">
        <f>"94560"</f>
        <v>94560</v>
      </c>
      <c r="C25359" s="2">
        <v>0</v>
      </c>
      <c r="D25359" s="2">
        <v>1.09126984126984E-2</v>
      </c>
      <c r="E25359" s="2">
        <v>2.4038461538461501E-3</v>
      </c>
      <c r="F25359" s="2">
        <v>1.48938810971825E-3</v>
      </c>
    </row>
    <row r="25360" spans="1:6" x14ac:dyDescent="0.25">
      <c r="A25360" s="1" t="str">
        <f t="shared" si="918"/>
        <v>36084</v>
      </c>
      <c r="B25360" s="1" t="str">
        <f>"94577"</f>
        <v>94577</v>
      </c>
      <c r="C25360" s="2">
        <v>1.2814714307251601E-2</v>
      </c>
      <c r="D25360" s="2">
        <v>9.9206349206349201E-4</v>
      </c>
      <c r="E25360" s="2">
        <v>7.2115384615384602E-3</v>
      </c>
      <c r="F25360" s="2">
        <v>1.1046295147076999E-2</v>
      </c>
    </row>
    <row r="25361" spans="1:6" x14ac:dyDescent="0.25">
      <c r="A25361" s="1" t="str">
        <f t="shared" si="918"/>
        <v>36084</v>
      </c>
      <c r="B25361" s="1" t="str">
        <f>"94710"</f>
        <v>94710</v>
      </c>
      <c r="C25361" s="2">
        <v>0</v>
      </c>
      <c r="D25361" s="2">
        <v>0</v>
      </c>
      <c r="E25361" s="2">
        <v>4.8076923076923002E-3</v>
      </c>
      <c r="F25361" s="2">
        <v>2.4823135161970901E-4</v>
      </c>
    </row>
    <row r="25362" spans="1:6" x14ac:dyDescent="0.25">
      <c r="A25362" s="1" t="str">
        <f t="shared" si="918"/>
        <v>36084</v>
      </c>
      <c r="B25362" s="1" t="str">
        <f>"94542"</f>
        <v>94542</v>
      </c>
      <c r="C25362" s="2">
        <v>1.1608623548922E-2</v>
      </c>
      <c r="D25362" s="2">
        <v>0</v>
      </c>
      <c r="E25362" s="2">
        <v>2.4038461538461501E-3</v>
      </c>
      <c r="F25362" s="2">
        <v>9.6810227131686691E-3</v>
      </c>
    </row>
    <row r="25363" spans="1:6" x14ac:dyDescent="0.25">
      <c r="A25363" s="1" t="str">
        <f t="shared" si="918"/>
        <v>36084</v>
      </c>
      <c r="B25363" s="1" t="str">
        <f>"94505"</f>
        <v>94505</v>
      </c>
      <c r="C25363" s="2">
        <v>1.5076134479119499E-4</v>
      </c>
      <c r="D25363" s="2">
        <v>0</v>
      </c>
      <c r="E25363" s="2">
        <v>2.4038461538461501E-3</v>
      </c>
      <c r="F25363" s="2">
        <v>2.4823135161970901E-4</v>
      </c>
    </row>
    <row r="25364" spans="1:6" x14ac:dyDescent="0.25">
      <c r="A25364" s="1" t="str">
        <f t="shared" si="918"/>
        <v>36084</v>
      </c>
      <c r="B25364" s="1" t="str">
        <f>"94709"</f>
        <v>94709</v>
      </c>
      <c r="C25364" s="2">
        <v>0</v>
      </c>
      <c r="D25364" s="2">
        <v>0</v>
      </c>
      <c r="E25364" s="2">
        <v>4.8076923076923002E-3</v>
      </c>
      <c r="F25364" s="2">
        <v>2.4823135161970901E-4</v>
      </c>
    </row>
    <row r="25365" spans="1:6" x14ac:dyDescent="0.25">
      <c r="A25365" s="1" t="str">
        <f t="shared" si="918"/>
        <v>36084</v>
      </c>
      <c r="B25365" s="1" t="str">
        <f>"94519"</f>
        <v>94519</v>
      </c>
      <c r="C25365" s="2">
        <v>0</v>
      </c>
      <c r="D25365" s="2">
        <v>0</v>
      </c>
      <c r="E25365" s="2">
        <v>7.2115384615384602E-3</v>
      </c>
      <c r="F25365" s="2">
        <v>3.7234702742956402E-4</v>
      </c>
    </row>
    <row r="25366" spans="1:6" x14ac:dyDescent="0.25">
      <c r="A25366" s="1" t="str">
        <f t="shared" si="918"/>
        <v>36084</v>
      </c>
      <c r="B25366" s="1" t="str">
        <f>"94578"</f>
        <v>94578</v>
      </c>
      <c r="C25366" s="2">
        <v>8.5933966530981395E-3</v>
      </c>
      <c r="D25366" s="2">
        <v>1.9841269841269801E-3</v>
      </c>
      <c r="E25366" s="2">
        <v>7.2115384615384595E-2</v>
      </c>
      <c r="F25366" s="2">
        <v>1.1046295147076999E-2</v>
      </c>
    </row>
    <row r="25367" spans="1:6" x14ac:dyDescent="0.25">
      <c r="A25367" s="1" t="str">
        <f t="shared" si="918"/>
        <v>36084</v>
      </c>
      <c r="B25367" s="1" t="str">
        <f>"94550"</f>
        <v>94550</v>
      </c>
      <c r="C25367" s="2">
        <v>0</v>
      </c>
      <c r="D25367" s="2">
        <v>1.9841269841269801E-3</v>
      </c>
      <c r="E25367" s="2">
        <v>4.8076923076923002E-3</v>
      </c>
      <c r="F25367" s="2">
        <v>4.9646270323941899E-4</v>
      </c>
    </row>
    <row r="25368" spans="1:6" x14ac:dyDescent="0.25">
      <c r="A25368" s="1" t="str">
        <f t="shared" si="918"/>
        <v>36084</v>
      </c>
      <c r="B25368" s="1" t="str">
        <f>"94596"</f>
        <v>94596</v>
      </c>
      <c r="C25368" s="2">
        <v>1.8543645409317001E-2</v>
      </c>
      <c r="D25368" s="2">
        <v>2.18253968253968E-2</v>
      </c>
      <c r="E25368" s="2">
        <v>4.8076923076923003E-2</v>
      </c>
      <c r="F25368" s="2">
        <v>2.0479086508625999E-2</v>
      </c>
    </row>
    <row r="25369" spans="1:6" x14ac:dyDescent="0.25">
      <c r="A25369" s="1" t="str">
        <f t="shared" si="918"/>
        <v>36084</v>
      </c>
      <c r="B25369" s="1" t="str">
        <f>"94720"</f>
        <v>94720</v>
      </c>
      <c r="C25369" s="2">
        <v>0</v>
      </c>
      <c r="D25369" s="2">
        <v>1.9841269841269801E-3</v>
      </c>
      <c r="E25369" s="2">
        <v>0</v>
      </c>
      <c r="F25369" s="2">
        <v>2.4823135161970901E-4</v>
      </c>
    </row>
    <row r="25370" spans="1:6" x14ac:dyDescent="0.25">
      <c r="A25370" s="1" t="str">
        <f t="shared" si="918"/>
        <v>36084</v>
      </c>
      <c r="B25370" s="1" t="str">
        <f>"94547"</f>
        <v>94547</v>
      </c>
      <c r="C25370" s="2">
        <v>0</v>
      </c>
      <c r="D25370" s="2">
        <v>0</v>
      </c>
      <c r="E25370" s="2">
        <v>4.8076923076923002E-3</v>
      </c>
      <c r="F25370" s="2">
        <v>2.4823135161970901E-4</v>
      </c>
    </row>
    <row r="25371" spans="1:6" x14ac:dyDescent="0.25">
      <c r="A25371" s="1" t="str">
        <f t="shared" si="918"/>
        <v>36084</v>
      </c>
      <c r="B25371" s="1" t="str">
        <f>"94598"</f>
        <v>94598</v>
      </c>
      <c r="C25371" s="2">
        <v>1.5076134479119499E-4</v>
      </c>
      <c r="D25371" s="2">
        <v>0</v>
      </c>
      <c r="E25371" s="2">
        <v>1.2019230769230701E-2</v>
      </c>
      <c r="F25371" s="2">
        <v>7.4469405485912805E-4</v>
      </c>
    </row>
    <row r="25372" spans="1:6" x14ac:dyDescent="0.25">
      <c r="A25372" s="1" t="str">
        <f t="shared" si="918"/>
        <v>36084</v>
      </c>
      <c r="B25372" s="1" t="str">
        <f>"94703"</f>
        <v>94703</v>
      </c>
      <c r="C25372" s="2">
        <v>0</v>
      </c>
      <c r="D25372" s="2">
        <v>0</v>
      </c>
      <c r="E25372" s="2">
        <v>2.4038461538461501E-3</v>
      </c>
      <c r="F25372" s="2">
        <v>1.2411567580985399E-4</v>
      </c>
    </row>
    <row r="25373" spans="1:6" x14ac:dyDescent="0.25">
      <c r="A25373" s="1" t="str">
        <f t="shared" si="918"/>
        <v>36084</v>
      </c>
      <c r="B25373" s="1" t="str">
        <f>"94552"</f>
        <v>94552</v>
      </c>
      <c r="C25373" s="2">
        <v>0</v>
      </c>
      <c r="D25373" s="2">
        <v>0</v>
      </c>
      <c r="E25373" s="2">
        <v>2.4038461538461501E-3</v>
      </c>
      <c r="F25373" s="2">
        <v>1.2411567580985399E-4</v>
      </c>
    </row>
    <row r="25374" spans="1:6" x14ac:dyDescent="0.25">
      <c r="A25374" s="1" t="str">
        <f t="shared" si="918"/>
        <v>36084</v>
      </c>
      <c r="B25374" s="1" t="str">
        <f>"94806"</f>
        <v>94806</v>
      </c>
      <c r="C25374" s="2">
        <v>1.5076134479119499E-4</v>
      </c>
      <c r="D25374" s="2">
        <v>0</v>
      </c>
      <c r="E25374" s="2">
        <v>1.6826923076923E-2</v>
      </c>
      <c r="F25374" s="2">
        <v>9.9292540647883797E-4</v>
      </c>
    </row>
    <row r="25375" spans="1:6" x14ac:dyDescent="0.25">
      <c r="A25375" s="1" t="str">
        <f t="shared" si="918"/>
        <v>36084</v>
      </c>
      <c r="B25375" s="1" t="str">
        <f>"94850"</f>
        <v>94850</v>
      </c>
      <c r="C25375" s="2">
        <v>0</v>
      </c>
      <c r="D25375" s="2">
        <v>0</v>
      </c>
      <c r="E25375" s="2">
        <v>4.8076923076923002E-3</v>
      </c>
      <c r="F25375" s="2">
        <v>2.4823135161970901E-4</v>
      </c>
    </row>
    <row r="25376" spans="1:6" x14ac:dyDescent="0.25">
      <c r="A25376" s="1" t="str">
        <f t="shared" si="918"/>
        <v>36084</v>
      </c>
      <c r="B25376" s="1" t="str">
        <f>"94569"</f>
        <v>94569</v>
      </c>
      <c r="C25376" s="2">
        <v>1.43223277551635E-2</v>
      </c>
      <c r="D25376" s="2">
        <v>0</v>
      </c>
      <c r="E25376" s="2">
        <v>1.44230769230769E-2</v>
      </c>
      <c r="F25376" s="2">
        <v>1.2535683256795299E-2</v>
      </c>
    </row>
    <row r="25377" spans="1:6" x14ac:dyDescent="0.25">
      <c r="A25377" s="1" t="str">
        <f t="shared" si="918"/>
        <v>36084</v>
      </c>
      <c r="B25377" s="1" t="str">
        <f>"94502"</f>
        <v>94502</v>
      </c>
      <c r="C25377" s="2">
        <v>0</v>
      </c>
      <c r="D25377" s="2">
        <v>4.96031746031746E-3</v>
      </c>
      <c r="E25377" s="2">
        <v>9.6153846153846107E-3</v>
      </c>
      <c r="F25377" s="2">
        <v>1.11704108228869E-3</v>
      </c>
    </row>
    <row r="25378" spans="1:6" x14ac:dyDescent="0.25">
      <c r="A25378" s="1" t="str">
        <f t="shared" si="918"/>
        <v>36084</v>
      </c>
      <c r="B25378" s="1" t="str">
        <f>"94804"</f>
        <v>94804</v>
      </c>
      <c r="C25378" s="2">
        <v>2.4121815166591198E-3</v>
      </c>
      <c r="D25378" s="2">
        <v>1.88492063492063E-2</v>
      </c>
      <c r="E25378" s="2">
        <v>2.6442307692307598E-2</v>
      </c>
      <c r="F25378" s="2">
        <v>5.7093210872533199E-3</v>
      </c>
    </row>
    <row r="25379" spans="1:6" x14ac:dyDescent="0.25">
      <c r="A25379" s="1" t="str">
        <f t="shared" si="918"/>
        <v>36084</v>
      </c>
      <c r="B25379" s="1" t="str">
        <f>"94521"</f>
        <v>94521</v>
      </c>
      <c r="C25379" s="2">
        <v>9.0456806874717301E-4</v>
      </c>
      <c r="D25379" s="2">
        <v>0.199404761904761</v>
      </c>
      <c r="E25379" s="2">
        <v>1.2019230769230701E-2</v>
      </c>
      <c r="F25379" s="2">
        <v>2.63125232716892E-2</v>
      </c>
    </row>
    <row r="25380" spans="1:6" x14ac:dyDescent="0.25">
      <c r="A25380" s="1" t="str">
        <f t="shared" si="918"/>
        <v>36084</v>
      </c>
      <c r="B25380" s="1" t="str">
        <f>"94705"</f>
        <v>94705</v>
      </c>
      <c r="C25380" s="2">
        <v>1.07040554801748E-2</v>
      </c>
      <c r="D25380" s="2">
        <v>1.9841269841269801E-3</v>
      </c>
      <c r="E25380" s="2">
        <v>1.44230769230769E-2</v>
      </c>
      <c r="F25380" s="2">
        <v>9.8051383889785192E-3</v>
      </c>
    </row>
    <row r="25381" spans="1:6" x14ac:dyDescent="0.25">
      <c r="A25381" s="1" t="str">
        <f t="shared" si="918"/>
        <v>36084</v>
      </c>
      <c r="B25381" s="1" t="str">
        <f>"94526"</f>
        <v>94526</v>
      </c>
      <c r="C25381" s="2">
        <v>1.35685210312075E-3</v>
      </c>
      <c r="D25381" s="2">
        <v>8.9285714285714194E-3</v>
      </c>
      <c r="E25381" s="2">
        <v>9.6153846153846107E-3</v>
      </c>
      <c r="F25381" s="2">
        <v>2.7305448678167999E-3</v>
      </c>
    </row>
    <row r="25382" spans="1:6" x14ac:dyDescent="0.25">
      <c r="A25382" s="1" t="str">
        <f t="shared" si="918"/>
        <v>36084</v>
      </c>
      <c r="B25382" s="1" t="str">
        <f>"94523"</f>
        <v>94523</v>
      </c>
      <c r="C25382" s="2">
        <v>8.8949193426805292E-3</v>
      </c>
      <c r="D25382" s="2">
        <v>1.88492063492063E-2</v>
      </c>
      <c r="E25382" s="2">
        <v>7.2115384615384602E-3</v>
      </c>
      <c r="F25382" s="2">
        <v>1.00533697405982E-2</v>
      </c>
    </row>
    <row r="25383" spans="1:6" x14ac:dyDescent="0.25">
      <c r="A25383" s="1" t="str">
        <f t="shared" si="918"/>
        <v>36084</v>
      </c>
      <c r="B25383" s="1" t="str">
        <f>"94551"</f>
        <v>94551</v>
      </c>
      <c r="C25383" s="2">
        <v>0</v>
      </c>
      <c r="D25383" s="2">
        <v>9.9206349206349201E-4</v>
      </c>
      <c r="E25383" s="2">
        <v>9.6153846153846107E-3</v>
      </c>
      <c r="F25383" s="2">
        <v>6.2057837904927297E-4</v>
      </c>
    </row>
    <row r="25384" spans="1:6" x14ac:dyDescent="0.25">
      <c r="A25384" s="1" t="str">
        <f t="shared" si="918"/>
        <v>36084</v>
      </c>
      <c r="B25384" s="1" t="str">
        <f>"94541"</f>
        <v>94541</v>
      </c>
      <c r="C25384" s="2">
        <v>6.1812151364390097E-3</v>
      </c>
      <c r="D25384" s="2">
        <v>9.9206349206349201E-4</v>
      </c>
      <c r="E25384" s="2">
        <v>7.2115384615384602E-3</v>
      </c>
      <c r="F25384" s="2">
        <v>5.5852054114434602E-3</v>
      </c>
    </row>
    <row r="25385" spans="1:6" x14ac:dyDescent="0.25">
      <c r="A25385" s="1" t="str">
        <f t="shared" si="918"/>
        <v>36084</v>
      </c>
      <c r="B25385" s="1" t="str">
        <f>"94618"</f>
        <v>94618</v>
      </c>
      <c r="C25385" s="2">
        <v>4.82436303331825E-3</v>
      </c>
      <c r="D25385" s="2">
        <v>0</v>
      </c>
      <c r="E25385" s="2">
        <v>7.2115384615384602E-3</v>
      </c>
      <c r="F25385" s="2">
        <v>4.34404865334491E-3</v>
      </c>
    </row>
    <row r="25386" spans="1:6" x14ac:dyDescent="0.25">
      <c r="A25386" s="1" t="str">
        <f t="shared" si="918"/>
        <v>36084</v>
      </c>
      <c r="B25386" s="1" t="str">
        <f>"94549"</f>
        <v>94549</v>
      </c>
      <c r="C25386" s="2">
        <v>3.6182722749886899E-3</v>
      </c>
      <c r="D25386" s="2">
        <v>0</v>
      </c>
      <c r="E25386" s="2">
        <v>4.8076923076923002E-3</v>
      </c>
      <c r="F25386" s="2">
        <v>3.2270075710562202E-3</v>
      </c>
    </row>
    <row r="25387" spans="1:6" x14ac:dyDescent="0.25">
      <c r="A25387" s="1" t="str">
        <f t="shared" si="918"/>
        <v>36084</v>
      </c>
      <c r="B25387" s="1" t="str">
        <f>"94539"</f>
        <v>94539</v>
      </c>
      <c r="C25387" s="2">
        <v>8.4727875772651798E-2</v>
      </c>
      <c r="D25387" s="2">
        <v>5.9523809523809503E-3</v>
      </c>
      <c r="E25387" s="2">
        <v>2.8846153846153799E-2</v>
      </c>
      <c r="F25387" s="2">
        <v>7.19870919697157E-2</v>
      </c>
    </row>
    <row r="25388" spans="1:6" x14ac:dyDescent="0.25">
      <c r="A25388" s="1" t="str">
        <f t="shared" si="918"/>
        <v>36084</v>
      </c>
      <c r="B25388" s="1" t="str">
        <f>"94805"</f>
        <v>94805</v>
      </c>
      <c r="C25388" s="2">
        <v>0</v>
      </c>
      <c r="D25388" s="2">
        <v>0</v>
      </c>
      <c r="E25388" s="2">
        <v>1.9230769230769201E-2</v>
      </c>
      <c r="F25388" s="2">
        <v>9.9292540647883797E-4</v>
      </c>
    </row>
    <row r="25389" spans="1:6" x14ac:dyDescent="0.25">
      <c r="A25389" s="1" t="str">
        <f t="shared" si="918"/>
        <v>36084</v>
      </c>
      <c r="B25389" s="1" t="str">
        <f>"94702"</f>
        <v>94702</v>
      </c>
      <c r="C25389" s="2">
        <v>0</v>
      </c>
      <c r="D25389" s="2">
        <v>0</v>
      </c>
      <c r="E25389" s="2">
        <v>4.8076923076923002E-3</v>
      </c>
      <c r="F25389" s="2">
        <v>2.4823135161970901E-4</v>
      </c>
    </row>
    <row r="25390" spans="1:6" x14ac:dyDescent="0.25">
      <c r="A25390" s="1" t="str">
        <f t="shared" ref="A25390:A25408" si="919">"36084"</f>
        <v>36084</v>
      </c>
      <c r="B25390" s="1" t="str">
        <f>"94708"</f>
        <v>94708</v>
      </c>
      <c r="C25390" s="2">
        <v>0</v>
      </c>
      <c r="D25390" s="2">
        <v>9.9206349206349201E-4</v>
      </c>
      <c r="E25390" s="2">
        <v>2.4038461538461501E-3</v>
      </c>
      <c r="F25390" s="2">
        <v>2.4823135161970901E-4</v>
      </c>
    </row>
    <row r="25391" spans="1:6" x14ac:dyDescent="0.25">
      <c r="A25391" s="1" t="str">
        <f t="shared" si="919"/>
        <v>36084</v>
      </c>
      <c r="B25391" s="1" t="str">
        <f>"94536"</f>
        <v>94536</v>
      </c>
      <c r="C25391" s="2">
        <v>1.6583747927031501E-3</v>
      </c>
      <c r="D25391" s="2">
        <v>0</v>
      </c>
      <c r="E25391" s="2">
        <v>2.4038461538461501E-3</v>
      </c>
      <c r="F25391" s="2">
        <v>1.48938810971825E-3</v>
      </c>
    </row>
    <row r="25392" spans="1:6" x14ac:dyDescent="0.25">
      <c r="A25392" s="1" t="str">
        <f t="shared" si="919"/>
        <v>36084</v>
      </c>
      <c r="B25392" s="1" t="str">
        <f>"94566"</f>
        <v>94566</v>
      </c>
      <c r="C25392" s="2">
        <v>8.2918739635157498E-3</v>
      </c>
      <c r="D25392" s="2">
        <v>7.9365079365079309E-3</v>
      </c>
      <c r="E25392" s="2">
        <v>1.6826923076923E-2</v>
      </c>
      <c r="F25392" s="2">
        <v>8.6880973066898303E-3</v>
      </c>
    </row>
    <row r="25393" spans="1:6" x14ac:dyDescent="0.25">
      <c r="A25393" s="1" t="str">
        <f t="shared" si="919"/>
        <v>36084</v>
      </c>
      <c r="B25393" s="1" t="str">
        <f>"94548"</f>
        <v>94548</v>
      </c>
      <c r="C25393" s="2">
        <v>1.8091361374943399E-3</v>
      </c>
      <c r="D25393" s="2">
        <v>0</v>
      </c>
      <c r="E25393" s="2">
        <v>0</v>
      </c>
      <c r="F25393" s="2">
        <v>1.48938810971825E-3</v>
      </c>
    </row>
    <row r="25394" spans="1:6" x14ac:dyDescent="0.25">
      <c r="A25394" s="1" t="str">
        <f t="shared" si="919"/>
        <v>36084</v>
      </c>
      <c r="B25394" s="1" t="str">
        <f>"94601"</f>
        <v>94601</v>
      </c>
      <c r="C25394" s="2">
        <v>0</v>
      </c>
      <c r="D25394" s="2">
        <v>0.11706349206349199</v>
      </c>
      <c r="E25394" s="2">
        <v>2.6442307692307598E-2</v>
      </c>
      <c r="F25394" s="2">
        <v>1.6010922179471199E-2</v>
      </c>
    </row>
    <row r="25395" spans="1:6" x14ac:dyDescent="0.25">
      <c r="A25395" s="1" t="str">
        <f t="shared" si="919"/>
        <v>36084</v>
      </c>
      <c r="B25395" s="1" t="str">
        <f>"94518"</f>
        <v>94518</v>
      </c>
      <c r="C25395" s="2">
        <v>0</v>
      </c>
      <c r="D25395" s="2">
        <v>1.1904761904761901E-2</v>
      </c>
      <c r="E25395" s="2">
        <v>2.4038461538461501E-3</v>
      </c>
      <c r="F25395" s="2">
        <v>1.6135037855281101E-3</v>
      </c>
    </row>
    <row r="25396" spans="1:6" x14ac:dyDescent="0.25">
      <c r="A25396" s="1" t="str">
        <f t="shared" si="919"/>
        <v>36084</v>
      </c>
      <c r="B25396" s="1" t="str">
        <f>"94525"</f>
        <v>94525</v>
      </c>
      <c r="C25396" s="2">
        <v>0</v>
      </c>
      <c r="D25396" s="2">
        <v>0</v>
      </c>
      <c r="E25396" s="2">
        <v>7.2115384615384602E-3</v>
      </c>
      <c r="F25396" s="2">
        <v>3.7234702742956402E-4</v>
      </c>
    </row>
    <row r="25397" spans="1:6" x14ac:dyDescent="0.25">
      <c r="A25397" s="1" t="str">
        <f t="shared" si="919"/>
        <v>36084</v>
      </c>
      <c r="B25397" s="1" t="str">
        <f>"94583"</f>
        <v>94583</v>
      </c>
      <c r="C25397" s="2">
        <v>2.23126790290969E-2</v>
      </c>
      <c r="D25397" s="2">
        <v>9.9206349206349201E-2</v>
      </c>
      <c r="E25397" s="2">
        <v>2.4038461538461501E-3</v>
      </c>
      <c r="F25397" s="2">
        <v>3.0904803276653799E-2</v>
      </c>
    </row>
    <row r="25398" spans="1:6" x14ac:dyDescent="0.25">
      <c r="A25398" s="1" t="str">
        <f t="shared" si="919"/>
        <v>36084</v>
      </c>
      <c r="B25398" s="1" t="str">
        <f>"94561"</f>
        <v>94561</v>
      </c>
      <c r="C25398" s="2">
        <v>1.86944067541082E-2</v>
      </c>
      <c r="D25398" s="2">
        <v>2.97619047619047E-3</v>
      </c>
      <c r="E25398" s="2">
        <v>4.8076923076923002E-3</v>
      </c>
      <c r="F25398" s="2">
        <v>1.6010922179471199E-2</v>
      </c>
    </row>
    <row r="25399" spans="1:6" x14ac:dyDescent="0.25">
      <c r="A25399" s="1" t="str">
        <f t="shared" si="919"/>
        <v>36084</v>
      </c>
      <c r="B25399" s="1" t="str">
        <f>"94609"</f>
        <v>94609</v>
      </c>
      <c r="C25399" s="2">
        <v>6.8144127845620295E-2</v>
      </c>
      <c r="D25399" s="2">
        <v>9.9206349206349201E-4</v>
      </c>
      <c r="E25399" s="2">
        <v>2.6442307692307598E-2</v>
      </c>
      <c r="F25399" s="2">
        <v>5.7589673575772597E-2</v>
      </c>
    </row>
    <row r="25400" spans="1:6" x14ac:dyDescent="0.25">
      <c r="A25400" s="1" t="str">
        <f t="shared" si="919"/>
        <v>36084</v>
      </c>
      <c r="B25400" s="1" t="str">
        <f>"94602"</f>
        <v>94602</v>
      </c>
      <c r="C25400" s="2">
        <v>0</v>
      </c>
      <c r="D25400" s="2">
        <v>0</v>
      </c>
      <c r="E25400" s="2">
        <v>4.8076923076923002E-3</v>
      </c>
      <c r="F25400" s="2">
        <v>2.4823135161970901E-4</v>
      </c>
    </row>
    <row r="25401" spans="1:6" x14ac:dyDescent="0.25">
      <c r="A25401" s="1" t="str">
        <f t="shared" si="919"/>
        <v>36084</v>
      </c>
      <c r="B25401" s="1" t="str">
        <f>"94555"</f>
        <v>94555</v>
      </c>
      <c r="C25401" s="2">
        <v>0</v>
      </c>
      <c r="D25401" s="2">
        <v>0</v>
      </c>
      <c r="E25401" s="2">
        <v>2.4038461538461501E-3</v>
      </c>
      <c r="F25401" s="2">
        <v>1.2411567580985399E-4</v>
      </c>
    </row>
    <row r="25402" spans="1:6" x14ac:dyDescent="0.25">
      <c r="A25402" s="1" t="str">
        <f t="shared" si="919"/>
        <v>36084</v>
      </c>
      <c r="B25402" s="1" t="str">
        <f>"94588"</f>
        <v>94588</v>
      </c>
      <c r="C25402" s="2">
        <v>0</v>
      </c>
      <c r="D25402" s="2">
        <v>9.9206349206349201E-4</v>
      </c>
      <c r="E25402" s="2">
        <v>2.4038461538461501E-3</v>
      </c>
      <c r="F25402" s="2">
        <v>2.4823135161970901E-4</v>
      </c>
    </row>
    <row r="25403" spans="1:6" x14ac:dyDescent="0.25">
      <c r="A25403" s="1" t="str">
        <f t="shared" si="919"/>
        <v>36084</v>
      </c>
      <c r="B25403" s="1" t="str">
        <f>"94511"</f>
        <v>94511</v>
      </c>
      <c r="C25403" s="2">
        <v>7.0857832051861901E-3</v>
      </c>
      <c r="D25403" s="2">
        <v>0</v>
      </c>
      <c r="E25403" s="2">
        <v>0</v>
      </c>
      <c r="F25403" s="2">
        <v>5.8334367630631699E-3</v>
      </c>
    </row>
    <row r="25404" spans="1:6" x14ac:dyDescent="0.25">
      <c r="A25404" s="1" t="str">
        <f t="shared" si="919"/>
        <v>36084</v>
      </c>
      <c r="B25404" s="1" t="str">
        <f>"94619"</f>
        <v>94619</v>
      </c>
      <c r="C25404" s="2">
        <v>4.2213176541534697E-3</v>
      </c>
      <c r="D25404" s="2">
        <v>0</v>
      </c>
      <c r="E25404" s="2">
        <v>1.2019230769230701E-2</v>
      </c>
      <c r="F25404" s="2">
        <v>4.0958173017252002E-3</v>
      </c>
    </row>
    <row r="25405" spans="1:6" x14ac:dyDescent="0.25">
      <c r="A25405" s="1" t="str">
        <f t="shared" si="919"/>
        <v>36084</v>
      </c>
      <c r="B25405" s="1" t="str">
        <f>"94538"</f>
        <v>94538</v>
      </c>
      <c r="C25405" s="2">
        <v>0.142921754862053</v>
      </c>
      <c r="D25405" s="2">
        <v>2.0833333333333301E-2</v>
      </c>
      <c r="E25405" s="2">
        <v>0.103365384615384</v>
      </c>
      <c r="F25405" s="2">
        <v>0.12560506391957299</v>
      </c>
    </row>
    <row r="25406" spans="1:6" x14ac:dyDescent="0.25">
      <c r="A25406" s="1" t="str">
        <f t="shared" si="919"/>
        <v>36084</v>
      </c>
      <c r="B25406" s="1" t="str">
        <f>"94514"</f>
        <v>94514</v>
      </c>
      <c r="C25406" s="2">
        <v>1.86944067541082E-2</v>
      </c>
      <c r="D25406" s="2">
        <v>9.9206349206349201E-4</v>
      </c>
      <c r="E25406" s="2">
        <v>0</v>
      </c>
      <c r="F25406" s="2">
        <v>1.55144594762318E-2</v>
      </c>
    </row>
    <row r="25407" spans="1:6" x14ac:dyDescent="0.25">
      <c r="A25407" s="1" t="str">
        <f t="shared" si="919"/>
        <v>36084</v>
      </c>
      <c r="B25407" s="1" t="str">
        <f>"94595"</f>
        <v>94595</v>
      </c>
      <c r="C25407" s="2">
        <v>0</v>
      </c>
      <c r="D25407" s="2">
        <v>0</v>
      </c>
      <c r="E25407" s="2">
        <v>2.4038461538461501E-3</v>
      </c>
      <c r="F25407" s="2">
        <v>1.2411567580985399E-4</v>
      </c>
    </row>
    <row r="25408" spans="1:6" x14ac:dyDescent="0.25">
      <c r="A25408" s="1" t="str">
        <f t="shared" si="919"/>
        <v>36084</v>
      </c>
      <c r="B25408" s="1" t="str">
        <f>"94582"</f>
        <v>94582</v>
      </c>
      <c r="C25408" s="2">
        <v>1.5980702547866699E-2</v>
      </c>
      <c r="D25408" s="2">
        <v>0</v>
      </c>
      <c r="E25408" s="2">
        <v>2.4038461538461501E-3</v>
      </c>
      <c r="F25408" s="2">
        <v>1.32803773116544E-2</v>
      </c>
    </row>
    <row r="25409" spans="1:6" x14ac:dyDescent="0.25">
      <c r="A25409" s="1" t="str">
        <f t="shared" ref="A25409:A25451" si="920">"36100"</f>
        <v>36100</v>
      </c>
      <c r="B25409" s="1" t="str">
        <f>"32134"</f>
        <v>32134</v>
      </c>
      <c r="C25409" s="2">
        <v>2.45044797098386E-2</v>
      </c>
      <c r="D25409" s="2">
        <v>7.46118168985682E-3</v>
      </c>
      <c r="E25409" s="2">
        <v>6.6456221963781302E-3</v>
      </c>
      <c r="F25409" s="2">
        <v>2.28953197634254E-2</v>
      </c>
    </row>
    <row r="25410" spans="1:6" x14ac:dyDescent="0.25">
      <c r="A25410" s="1" t="str">
        <f t="shared" si="920"/>
        <v>36100</v>
      </c>
      <c r="B25410" s="1" t="str">
        <f>"32179"</f>
        <v>32179</v>
      </c>
      <c r="C25410" s="2">
        <v>2.41309657792434E-2</v>
      </c>
      <c r="D25410" s="2">
        <v>4.9069032735094397E-3</v>
      </c>
      <c r="E25410" s="2">
        <v>8.4731683003821199E-3</v>
      </c>
      <c r="F25410" s="2">
        <v>2.2436254562796101E-2</v>
      </c>
    </row>
    <row r="25411" spans="1:6" x14ac:dyDescent="0.25">
      <c r="A25411" s="1" t="str">
        <f t="shared" si="920"/>
        <v>36100</v>
      </c>
      <c r="B25411" s="1" t="str">
        <f>"34489"</f>
        <v>34489</v>
      </c>
      <c r="C25411" s="2">
        <v>1.00504735272001E-2</v>
      </c>
      <c r="D25411" s="2">
        <v>1.04187672245748E-2</v>
      </c>
      <c r="E25411" s="2">
        <v>3.32281109818906E-4</v>
      </c>
      <c r="F25411" s="2">
        <v>9.8141900173375103E-3</v>
      </c>
    </row>
    <row r="25412" spans="1:6" x14ac:dyDescent="0.25">
      <c r="A25412" s="1" t="str">
        <f t="shared" si="920"/>
        <v>36100</v>
      </c>
      <c r="B25412" s="1" t="str">
        <f>"34432"</f>
        <v>34432</v>
      </c>
      <c r="C25412" s="2">
        <v>3.4554953237038798E-2</v>
      </c>
      <c r="D25412" s="2">
        <v>2.8097062579821201E-2</v>
      </c>
      <c r="E25412" s="2">
        <v>1.4454228277122399E-2</v>
      </c>
      <c r="F25412" s="2">
        <v>3.3587527688762699E-2</v>
      </c>
    </row>
    <row r="25413" spans="1:6" x14ac:dyDescent="0.25">
      <c r="A25413" s="1" t="str">
        <f t="shared" si="920"/>
        <v>36100</v>
      </c>
      <c r="B25413" s="1" t="str">
        <f>"34431"</f>
        <v>34431</v>
      </c>
      <c r="C25413" s="2">
        <v>1.9697945181916001E-2</v>
      </c>
      <c r="D25413" s="2">
        <v>7.86448880822746E-3</v>
      </c>
      <c r="E25413" s="2">
        <v>4.4857949825552398E-3</v>
      </c>
      <c r="F25413" s="2">
        <v>1.8505230223426501E-2</v>
      </c>
    </row>
    <row r="25414" spans="1:6" x14ac:dyDescent="0.25">
      <c r="A25414" s="1" t="str">
        <f t="shared" si="920"/>
        <v>36100</v>
      </c>
      <c r="B25414" s="1" t="str">
        <f>"32617"</f>
        <v>32617</v>
      </c>
      <c r="C25414" s="2">
        <v>1.55352307185719E-2</v>
      </c>
      <c r="D25414" s="2">
        <v>9.7465886939571093E-3</v>
      </c>
      <c r="E25414" s="2">
        <v>1.99368665891344E-3</v>
      </c>
      <c r="F25414" s="2">
        <v>1.47881391814377E-2</v>
      </c>
    </row>
    <row r="25415" spans="1:6" x14ac:dyDescent="0.25">
      <c r="A25415" s="1" t="str">
        <f t="shared" si="920"/>
        <v>36100</v>
      </c>
      <c r="B25415" s="1" t="str">
        <f>"34481"</f>
        <v>34481</v>
      </c>
      <c r="C25415" s="2">
        <v>7.0677682051181204E-2</v>
      </c>
      <c r="D25415" s="2">
        <v>3.7843651273778298E-2</v>
      </c>
      <c r="E25415" s="2">
        <v>0.188071108157501</v>
      </c>
      <c r="F25415" s="2">
        <v>7.1649826847737394E-2</v>
      </c>
    </row>
    <row r="25416" spans="1:6" x14ac:dyDescent="0.25">
      <c r="A25416" s="1" t="str">
        <f t="shared" si="920"/>
        <v>36100</v>
      </c>
      <c r="B25416" s="1" t="str">
        <f>"34488"</f>
        <v>34488</v>
      </c>
      <c r="C25416" s="2">
        <v>3.7793712187857799E-2</v>
      </c>
      <c r="D25416" s="2">
        <v>1.5997849028702001E-2</v>
      </c>
      <c r="E25416" s="2">
        <v>3.6384781525170197E-2</v>
      </c>
      <c r="F25416" s="2">
        <v>3.6310720286670602E-2</v>
      </c>
    </row>
    <row r="25417" spans="1:6" x14ac:dyDescent="0.25">
      <c r="A25417" s="1" t="str">
        <f t="shared" si="920"/>
        <v>36100</v>
      </c>
      <c r="B25417" s="1" t="str">
        <f>"32668"</f>
        <v>32668</v>
      </c>
      <c r="C25417" s="2">
        <v>2.8947329621128999E-3</v>
      </c>
      <c r="D25417" s="2">
        <v>4.0330711837063902E-4</v>
      </c>
      <c r="E25417" s="2">
        <v>3.32281109818906E-4</v>
      </c>
      <c r="F25417" s="2">
        <v>2.6607953861718802E-3</v>
      </c>
    </row>
    <row r="25418" spans="1:6" x14ac:dyDescent="0.25">
      <c r="A25418" s="1" t="str">
        <f t="shared" si="920"/>
        <v>36100</v>
      </c>
      <c r="B25418" s="1" t="str">
        <f>"32195"</f>
        <v>32195</v>
      </c>
      <c r="C25418" s="2">
        <v>1.3795442147115301E-2</v>
      </c>
      <c r="D25418" s="2">
        <v>7.86448880822746E-3</v>
      </c>
      <c r="E25418" s="2">
        <v>2.6582488785512502E-3</v>
      </c>
      <c r="F25418" s="2">
        <v>1.3103414464565E-2</v>
      </c>
    </row>
    <row r="25419" spans="1:6" x14ac:dyDescent="0.25">
      <c r="A25419" s="1" t="str">
        <f t="shared" si="920"/>
        <v>36100</v>
      </c>
      <c r="B25419" s="1" t="str">
        <f>"32681"</f>
        <v>32681</v>
      </c>
      <c r="C25419" s="2">
        <v>0</v>
      </c>
      <c r="D25419" s="2">
        <v>0</v>
      </c>
      <c r="E25419" s="2">
        <v>1.66140554909453E-4</v>
      </c>
      <c r="F25419" s="2">
        <v>4.4569436954302896E-6</v>
      </c>
    </row>
    <row r="25420" spans="1:6" x14ac:dyDescent="0.25">
      <c r="A25420" s="1" t="str">
        <f t="shared" si="920"/>
        <v>36100</v>
      </c>
      <c r="B25420" s="1" t="str">
        <f>"32182"</f>
        <v>32182</v>
      </c>
      <c r="C25420" s="2">
        <v>0</v>
      </c>
      <c r="D25420" s="2">
        <v>0</v>
      </c>
      <c r="E25420" s="2">
        <v>3.32281109818906E-4</v>
      </c>
      <c r="F25420" s="2">
        <v>8.9138873908605894E-6</v>
      </c>
    </row>
    <row r="25421" spans="1:6" x14ac:dyDescent="0.25">
      <c r="A25421" s="1" t="str">
        <f t="shared" si="920"/>
        <v>36100</v>
      </c>
      <c r="B25421" s="1" t="str">
        <f>"34491"</f>
        <v>34491</v>
      </c>
      <c r="C25421" s="2">
        <v>8.2925007249118998E-2</v>
      </c>
      <c r="D25421" s="2">
        <v>3.3205619412515902E-2</v>
      </c>
      <c r="E25421" s="2">
        <v>1.6115633826216901E-2</v>
      </c>
      <c r="F25421" s="2">
        <v>7.7836064696994597E-2</v>
      </c>
    </row>
    <row r="25422" spans="1:6" x14ac:dyDescent="0.25">
      <c r="A25422" s="1" t="str">
        <f t="shared" si="920"/>
        <v>36100</v>
      </c>
      <c r="B25422" s="1" t="str">
        <f>"34492"</f>
        <v>34492</v>
      </c>
      <c r="C25422" s="2">
        <v>6.79697060543659E-3</v>
      </c>
      <c r="D25422" s="2">
        <v>8.67110304496874E-3</v>
      </c>
      <c r="E25422" s="2">
        <v>3.32281109818906E-4</v>
      </c>
      <c r="F25422" s="2">
        <v>6.74781275488146E-3</v>
      </c>
    </row>
    <row r="25423" spans="1:6" x14ac:dyDescent="0.25">
      <c r="A25423" s="1" t="str">
        <f t="shared" si="920"/>
        <v>36100</v>
      </c>
      <c r="B25423" s="1" t="str">
        <f>"34483"</f>
        <v>34483</v>
      </c>
      <c r="C25423" s="2">
        <v>9.02822487504484E-3</v>
      </c>
      <c r="D25423" s="2">
        <v>1.47879276735901E-2</v>
      </c>
      <c r="E25423" s="2">
        <v>3.32281109818906E-4</v>
      </c>
      <c r="F25423" s="2">
        <v>9.1768470688909694E-3</v>
      </c>
    </row>
    <row r="25424" spans="1:6" x14ac:dyDescent="0.25">
      <c r="A25424" s="1" t="str">
        <f t="shared" si="920"/>
        <v>36100</v>
      </c>
      <c r="B25424" s="1" t="str">
        <f>"32111"</f>
        <v>32111</v>
      </c>
      <c r="C25424" s="2">
        <v>0</v>
      </c>
      <c r="D25424" s="2">
        <v>0</v>
      </c>
      <c r="E25424" s="2">
        <v>1.66140554909453E-4</v>
      </c>
      <c r="F25424" s="2">
        <v>4.4569436954302896E-6</v>
      </c>
    </row>
    <row r="25425" spans="1:6" x14ac:dyDescent="0.25">
      <c r="A25425" s="1" t="str">
        <f t="shared" si="920"/>
        <v>36100</v>
      </c>
      <c r="B25425" s="1" t="str">
        <f>"34474"</f>
        <v>34474</v>
      </c>
      <c r="C25425" s="2">
        <v>4.2128439645554898E-2</v>
      </c>
      <c r="D25425" s="2">
        <v>9.0273576661961397E-2</v>
      </c>
      <c r="E25425" s="2">
        <v>5.6986210333942501E-2</v>
      </c>
      <c r="F25425" s="2">
        <v>4.5719328427723901E-2</v>
      </c>
    </row>
    <row r="25426" spans="1:6" x14ac:dyDescent="0.25">
      <c r="A25426" s="1" t="str">
        <f t="shared" si="920"/>
        <v>36100</v>
      </c>
      <c r="B25426" s="1" t="str">
        <f>"34475"</f>
        <v>34475</v>
      </c>
      <c r="C25426" s="2">
        <v>3.0932851041661501E-2</v>
      </c>
      <c r="D25426" s="2">
        <v>7.95187201720777E-2</v>
      </c>
      <c r="E25426" s="2">
        <v>5.1835853131749397E-2</v>
      </c>
      <c r="F25426" s="2">
        <v>3.4715134443706497E-2</v>
      </c>
    </row>
    <row r="25427" spans="1:6" x14ac:dyDescent="0.25">
      <c r="A25427" s="1" t="str">
        <f t="shared" si="920"/>
        <v>36100</v>
      </c>
      <c r="B25427" s="1" t="str">
        <f>"32696"</f>
        <v>32696</v>
      </c>
      <c r="C25427" s="2">
        <v>2.4622431477395001E-3</v>
      </c>
      <c r="D25427" s="2">
        <v>3.36089265308866E-4</v>
      </c>
      <c r="E25427" s="2">
        <v>1.66140554909453E-4</v>
      </c>
      <c r="F25427" s="2">
        <v>2.2596704535831499E-3</v>
      </c>
    </row>
    <row r="25428" spans="1:6" x14ac:dyDescent="0.25">
      <c r="A25428" s="1" t="str">
        <f t="shared" si="920"/>
        <v>36100</v>
      </c>
      <c r="B25428" s="1" t="str">
        <f>"32664"</f>
        <v>32664</v>
      </c>
      <c r="C25428" s="2">
        <v>0</v>
      </c>
      <c r="D25428" s="2">
        <v>6.7217853061773202E-5</v>
      </c>
      <c r="E25428" s="2">
        <v>1.66140554909453E-4</v>
      </c>
      <c r="F25428" s="2">
        <v>8.9138873908605894E-6</v>
      </c>
    </row>
    <row r="25429" spans="1:6" x14ac:dyDescent="0.25">
      <c r="A25429" s="1" t="str">
        <f t="shared" si="920"/>
        <v>36100</v>
      </c>
      <c r="B25429" s="1" t="str">
        <f>"32133"</f>
        <v>32133</v>
      </c>
      <c r="C25429" s="2">
        <v>0</v>
      </c>
      <c r="D25429" s="2">
        <v>0</v>
      </c>
      <c r="E25429" s="2">
        <v>3.32281109818906E-4</v>
      </c>
      <c r="F25429" s="2">
        <v>8.9138873908605894E-6</v>
      </c>
    </row>
    <row r="25430" spans="1:6" x14ac:dyDescent="0.25">
      <c r="A25430" s="1" t="str">
        <f t="shared" si="920"/>
        <v>36100</v>
      </c>
      <c r="B25430" s="1" t="str">
        <f>"34472"</f>
        <v>34472</v>
      </c>
      <c r="C25430" s="2">
        <v>6.8677416659704199E-2</v>
      </c>
      <c r="D25430" s="2">
        <v>2.7357666196141599E-2</v>
      </c>
      <c r="E25430" s="2">
        <v>0.112809436783518</v>
      </c>
      <c r="F25430" s="2">
        <v>6.7121572053180201E-2</v>
      </c>
    </row>
    <row r="25431" spans="1:6" x14ac:dyDescent="0.25">
      <c r="A25431" s="1" t="str">
        <f t="shared" si="920"/>
        <v>36100</v>
      </c>
      <c r="B25431" s="1" t="str">
        <f>"34473"</f>
        <v>34473</v>
      </c>
      <c r="C25431" s="2">
        <v>4.2659222599558601E-2</v>
      </c>
      <c r="D25431" s="2">
        <v>1.47879276735901E-2</v>
      </c>
      <c r="E25431" s="2">
        <v>5.3164977571025004E-3</v>
      </c>
      <c r="F25431" s="2">
        <v>3.9809421087583403E-2</v>
      </c>
    </row>
    <row r="25432" spans="1:6" x14ac:dyDescent="0.25">
      <c r="A25432" s="1" t="str">
        <f t="shared" si="920"/>
        <v>36100</v>
      </c>
      <c r="B25432" s="1" t="str">
        <f>"32192"</f>
        <v>32192</v>
      </c>
      <c r="C25432" s="2">
        <v>0</v>
      </c>
      <c r="D25432" s="2">
        <v>0</v>
      </c>
      <c r="E25432" s="2">
        <v>1.66140554909453E-4</v>
      </c>
      <c r="F25432" s="2">
        <v>4.4569436954302896E-6</v>
      </c>
    </row>
    <row r="25433" spans="1:6" x14ac:dyDescent="0.25">
      <c r="A25433" s="1" t="str">
        <f t="shared" si="920"/>
        <v>36100</v>
      </c>
      <c r="B25433" s="1" t="str">
        <f>"34480"</f>
        <v>34480</v>
      </c>
      <c r="C25433" s="2">
        <v>4.7121731138775103E-2</v>
      </c>
      <c r="D25433" s="2">
        <v>4.8329636351414899E-2</v>
      </c>
      <c r="E25433" s="2">
        <v>9.7690646286758498E-2</v>
      </c>
      <c r="F25433" s="2">
        <v>4.8558401561712997E-2</v>
      </c>
    </row>
    <row r="25434" spans="1:6" x14ac:dyDescent="0.25">
      <c r="A25434" s="1" t="str">
        <f t="shared" si="920"/>
        <v>36100</v>
      </c>
      <c r="B25434" s="1" t="str">
        <f>"34482"</f>
        <v>34482</v>
      </c>
      <c r="C25434" s="2">
        <v>5.4498631268030603E-2</v>
      </c>
      <c r="D25434" s="2">
        <v>3.6095987094172201E-2</v>
      </c>
      <c r="E25434" s="2">
        <v>1.7444758265492601E-2</v>
      </c>
      <c r="F25434" s="2">
        <v>5.22844064910927E-2</v>
      </c>
    </row>
    <row r="25435" spans="1:6" x14ac:dyDescent="0.25">
      <c r="A25435" s="1" t="str">
        <f t="shared" si="920"/>
        <v>36100</v>
      </c>
      <c r="B25435" s="1" t="str">
        <f>"34420"</f>
        <v>34420</v>
      </c>
      <c r="C25435" s="2">
        <v>4.31949202105439E-2</v>
      </c>
      <c r="D25435" s="2">
        <v>5.7471264367816001E-2</v>
      </c>
      <c r="E25435" s="2">
        <v>4.85130420335603E-2</v>
      </c>
      <c r="F25435" s="2">
        <v>4.42841925577954E-2</v>
      </c>
    </row>
    <row r="25436" spans="1:6" x14ac:dyDescent="0.25">
      <c r="A25436" s="1" t="str">
        <f t="shared" si="920"/>
        <v>36100</v>
      </c>
      <c r="B25436" s="1" t="str">
        <f>"34430"</f>
        <v>34430</v>
      </c>
      <c r="C25436" s="2">
        <v>1.0772928103482999E-2</v>
      </c>
      <c r="D25436" s="2">
        <v>1.4384620555219401E-2</v>
      </c>
      <c r="E25436" s="2">
        <v>3.32281109818906E-4</v>
      </c>
      <c r="F25436" s="2">
        <v>1.0732320418596101E-2</v>
      </c>
    </row>
    <row r="25437" spans="1:6" x14ac:dyDescent="0.25">
      <c r="A25437" s="1" t="str">
        <f t="shared" si="920"/>
        <v>36100</v>
      </c>
      <c r="B25437" s="1" t="str">
        <f>"32113"</f>
        <v>32113</v>
      </c>
      <c r="C25437" s="2">
        <v>1.5687585084998901E-2</v>
      </c>
      <c r="D25437" s="2">
        <v>7.3267459837332701E-3</v>
      </c>
      <c r="E25437" s="2">
        <v>1.0134573849476599E-2</v>
      </c>
      <c r="F25437" s="2">
        <v>1.4984244704036601E-2</v>
      </c>
    </row>
    <row r="25438" spans="1:6" x14ac:dyDescent="0.25">
      <c r="A25438" s="1" t="str">
        <f t="shared" si="920"/>
        <v>36100</v>
      </c>
      <c r="B25438" s="1" t="str">
        <f>"32162"</f>
        <v>32162</v>
      </c>
      <c r="C25438" s="2">
        <v>2.5472667135197202E-2</v>
      </c>
      <c r="D25438" s="2">
        <v>2.8903676816562402E-3</v>
      </c>
      <c r="E25438" s="2">
        <v>1.11314171789333E-2</v>
      </c>
      <c r="F25438" s="2">
        <v>2.3590602979912501E-2</v>
      </c>
    </row>
    <row r="25439" spans="1:6" x14ac:dyDescent="0.25">
      <c r="A25439" s="1" t="str">
        <f t="shared" si="920"/>
        <v>36100</v>
      </c>
      <c r="B25439" s="1" t="str">
        <f>"34471"</f>
        <v>34471</v>
      </c>
      <c r="C25439" s="2">
        <v>6.2578327345642906E-2</v>
      </c>
      <c r="D25439" s="2">
        <v>0.15083686227061899</v>
      </c>
      <c r="E25439" s="2">
        <v>0.11829207509553</v>
      </c>
      <c r="F25439" s="2">
        <v>6.9924989637605905E-2</v>
      </c>
    </row>
    <row r="25440" spans="1:6" x14ac:dyDescent="0.25">
      <c r="A25440" s="1" t="str">
        <f t="shared" si="920"/>
        <v>36100</v>
      </c>
      <c r="B25440" s="1" t="str">
        <f>"34477"</f>
        <v>34477</v>
      </c>
      <c r="C25440" s="2">
        <v>1.09154531559469E-2</v>
      </c>
      <c r="D25440" s="2">
        <v>2.7828191167574099E-2</v>
      </c>
      <c r="E25440" s="2">
        <v>3.32281109818906E-4</v>
      </c>
      <c r="F25440" s="2">
        <v>1.1752960524849599E-2</v>
      </c>
    </row>
    <row r="25441" spans="1:6" x14ac:dyDescent="0.25">
      <c r="A25441" s="1" t="str">
        <f t="shared" si="920"/>
        <v>36100</v>
      </c>
      <c r="B25441" s="1" t="str">
        <f>"32702"</f>
        <v>32702</v>
      </c>
      <c r="C25441" s="2">
        <v>6.73308006467688E-4</v>
      </c>
      <c r="D25441" s="2">
        <v>6.7217853061773202E-5</v>
      </c>
      <c r="E25441" s="2">
        <v>1.66140554909453E-4</v>
      </c>
      <c r="F25441" s="2">
        <v>6.19515173664811E-4</v>
      </c>
    </row>
    <row r="25442" spans="1:6" x14ac:dyDescent="0.25">
      <c r="A25442" s="1" t="str">
        <f t="shared" si="920"/>
        <v>36100</v>
      </c>
      <c r="B25442" s="1" t="str">
        <f>"34476"</f>
        <v>34476</v>
      </c>
      <c r="C25442" s="2">
        <v>6.3241806038147497E-2</v>
      </c>
      <c r="D25442" s="2">
        <v>2.41312092491765E-2</v>
      </c>
      <c r="E25442" s="2">
        <v>2.2096693802957298E-2</v>
      </c>
      <c r="F25442" s="2">
        <v>5.9544767770948699E-2</v>
      </c>
    </row>
    <row r="25443" spans="1:6" x14ac:dyDescent="0.25">
      <c r="A25443" s="1" t="str">
        <f t="shared" si="920"/>
        <v>36100</v>
      </c>
      <c r="B25443" s="1" t="str">
        <f>"34479"</f>
        <v>34479</v>
      </c>
      <c r="C25443" s="2">
        <v>3.1340767571127297E-2</v>
      </c>
      <c r="D25443" s="2">
        <v>2.32573771593735E-2</v>
      </c>
      <c r="E25443" s="2">
        <v>2.0435288253862701E-2</v>
      </c>
      <c r="F25443" s="2">
        <v>3.0512236538915799E-2</v>
      </c>
    </row>
    <row r="25444" spans="1:6" x14ac:dyDescent="0.25">
      <c r="A25444" s="1" t="str">
        <f t="shared" si="920"/>
        <v>36100</v>
      </c>
      <c r="B25444" s="1" t="str">
        <f>"32686"</f>
        <v>32686</v>
      </c>
      <c r="C25444" s="2">
        <v>1.40706629380802E-2</v>
      </c>
      <c r="D25444" s="2">
        <v>5.9823889224978099E-3</v>
      </c>
      <c r="E25444" s="2">
        <v>3.3228110981890599E-3</v>
      </c>
      <c r="F25444" s="2">
        <v>1.3246036662818801E-2</v>
      </c>
    </row>
    <row r="25445" spans="1:6" x14ac:dyDescent="0.25">
      <c r="A25445" s="1" t="str">
        <f t="shared" si="920"/>
        <v>36100</v>
      </c>
      <c r="B25445" s="1" t="str">
        <f>"34470"</f>
        <v>34470</v>
      </c>
      <c r="C25445" s="2">
        <v>4.9932914932202303E-2</v>
      </c>
      <c r="D25445" s="2">
        <v>0.13571284533172001</v>
      </c>
      <c r="E25445" s="2">
        <v>0.129589632829373</v>
      </c>
      <c r="F25445" s="2">
        <v>5.7757533349081201E-2</v>
      </c>
    </row>
    <row r="25446" spans="1:6" x14ac:dyDescent="0.25">
      <c r="A25446" s="1" t="str">
        <f t="shared" si="920"/>
        <v>36100</v>
      </c>
      <c r="B25446" s="1" t="str">
        <f>"32784"</f>
        <v>32784</v>
      </c>
      <c r="C25446" s="2">
        <v>8.5023565780226306E-3</v>
      </c>
      <c r="D25446" s="2">
        <v>1.3443570612354601E-3</v>
      </c>
      <c r="E25446" s="2">
        <v>9.6361521847482898E-3</v>
      </c>
      <c r="F25446" s="2">
        <v>8.0581542013379703E-3</v>
      </c>
    </row>
    <row r="25447" spans="1:6" x14ac:dyDescent="0.25">
      <c r="A25447" s="1" t="str">
        <f t="shared" si="920"/>
        <v>36100</v>
      </c>
      <c r="B25447" s="1" t="str">
        <f>"32634"</f>
        <v>32634</v>
      </c>
      <c r="C25447" s="2">
        <v>0</v>
      </c>
      <c r="D25447" s="2">
        <v>0</v>
      </c>
      <c r="E25447" s="2">
        <v>1.66140554909453E-4</v>
      </c>
      <c r="F25447" s="2">
        <v>4.4569436954302896E-6</v>
      </c>
    </row>
    <row r="25448" spans="1:6" x14ac:dyDescent="0.25">
      <c r="A25448" s="1" t="str">
        <f t="shared" si="920"/>
        <v>36100</v>
      </c>
      <c r="B25448" s="1" t="str">
        <f>"32663"</f>
        <v>32663</v>
      </c>
      <c r="C25448" s="2">
        <v>0</v>
      </c>
      <c r="D25448" s="2">
        <v>0</v>
      </c>
      <c r="E25448" s="2">
        <v>1.66140554909453E-4</v>
      </c>
      <c r="F25448" s="2">
        <v>4.4569436954302896E-6</v>
      </c>
    </row>
    <row r="25449" spans="1:6" x14ac:dyDescent="0.25">
      <c r="A25449" s="1" t="str">
        <f t="shared" si="920"/>
        <v>36100</v>
      </c>
      <c r="B25449" s="1" t="str">
        <f>"32667"</f>
        <v>32667</v>
      </c>
      <c r="C25449" s="2">
        <v>5.0817553188875096E-3</v>
      </c>
      <c r="D25449" s="2">
        <v>1.7476641796061001E-3</v>
      </c>
      <c r="E25449" s="2">
        <v>1.16298388436617E-3</v>
      </c>
      <c r="F25449" s="2">
        <v>4.7555589230241198E-3</v>
      </c>
    </row>
    <row r="25450" spans="1:6" x14ac:dyDescent="0.25">
      <c r="A25450" s="1" t="str">
        <f t="shared" si="920"/>
        <v>36100</v>
      </c>
      <c r="B25450" s="1" t="str">
        <f>"34484"</f>
        <v>34484</v>
      </c>
      <c r="C25450" s="2">
        <v>7.8634511704255594E-5</v>
      </c>
      <c r="D25450" s="2">
        <v>0</v>
      </c>
      <c r="E25450" s="2">
        <v>0</v>
      </c>
      <c r="F25450" s="2">
        <v>7.1311099126884702E-5</v>
      </c>
    </row>
    <row r="25451" spans="1:6" x14ac:dyDescent="0.25">
      <c r="A25451" s="1" t="str">
        <f t="shared" si="920"/>
        <v>36100</v>
      </c>
      <c r="B25451" s="1" t="str">
        <f>"34478"</f>
        <v>34478</v>
      </c>
      <c r="C25451" s="2">
        <v>1.7589557336845599E-2</v>
      </c>
      <c r="D25451" s="2">
        <v>6.2983128318881407E-2</v>
      </c>
      <c r="E25451" s="2">
        <v>3.32281109818906E-4</v>
      </c>
      <c r="F25451" s="2">
        <v>2.0136471615953999E-2</v>
      </c>
    </row>
    <row r="25452" spans="1:6" x14ac:dyDescent="0.25">
      <c r="A25452" s="1" t="str">
        <f t="shared" ref="A25452:A25473" si="921">"36140"</f>
        <v>36140</v>
      </c>
      <c r="B25452" s="1" t="str">
        <f>"08226"</f>
        <v>08226</v>
      </c>
      <c r="C25452" s="2">
        <v>0.21145109968180201</v>
      </c>
      <c r="D25452" s="2">
        <v>0.17826393789696501</v>
      </c>
      <c r="E25452" s="2">
        <v>0.197287615148413</v>
      </c>
      <c r="F25452" s="2">
        <v>0.208832517510885</v>
      </c>
    </row>
    <row r="25453" spans="1:6" x14ac:dyDescent="0.25">
      <c r="A25453" s="1" t="str">
        <f t="shared" si="921"/>
        <v>36140</v>
      </c>
      <c r="B25453" s="1" t="str">
        <f>"08219"</f>
        <v>08219</v>
      </c>
      <c r="C25453" s="2">
        <v>3.2019852308431198E-4</v>
      </c>
      <c r="D25453" s="2">
        <v>2.8228652081863E-4</v>
      </c>
      <c r="E25453" s="2">
        <v>4.8618219037871004E-3</v>
      </c>
      <c r="F25453" s="2">
        <v>4.7777447241979202E-4</v>
      </c>
    </row>
    <row r="25454" spans="1:6" x14ac:dyDescent="0.25">
      <c r="A25454" s="1" t="str">
        <f t="shared" si="921"/>
        <v>36140</v>
      </c>
      <c r="B25454" s="1" t="str">
        <f>"08214"</f>
        <v>08214</v>
      </c>
      <c r="C25454" s="2">
        <v>1.4008685384938601E-4</v>
      </c>
      <c r="D25454" s="2">
        <v>0</v>
      </c>
      <c r="E25454" s="2">
        <v>2.55885363357215E-4</v>
      </c>
      <c r="F25454" s="2">
        <v>1.3521919030748801E-4</v>
      </c>
    </row>
    <row r="25455" spans="1:6" x14ac:dyDescent="0.25">
      <c r="A25455" s="1" t="str">
        <f t="shared" si="921"/>
        <v>36140</v>
      </c>
      <c r="B25455" s="1" t="str">
        <f>"08202"</f>
        <v>08202</v>
      </c>
      <c r="C25455" s="2">
        <v>5.6204847005143103E-2</v>
      </c>
      <c r="D25455" s="2">
        <v>3.4438955539872897E-2</v>
      </c>
      <c r="E25455" s="2">
        <v>3.5568065506653E-2</v>
      </c>
      <c r="F25455" s="2">
        <v>5.4087676122995303E-2</v>
      </c>
    </row>
    <row r="25456" spans="1:6" x14ac:dyDescent="0.25">
      <c r="A25456" s="1" t="str">
        <f t="shared" si="921"/>
        <v>36140</v>
      </c>
      <c r="B25456" s="1" t="str">
        <f>"08243"</f>
        <v>08243</v>
      </c>
      <c r="C25456" s="2">
        <v>6.8162260601572905E-2</v>
      </c>
      <c r="D25456" s="2">
        <v>3.8532110091743101E-2</v>
      </c>
      <c r="E25456" s="2">
        <v>7.8300921187307998E-2</v>
      </c>
      <c r="F25456" s="2">
        <v>6.6627002370843097E-2</v>
      </c>
    </row>
    <row r="25457" spans="1:6" x14ac:dyDescent="0.25">
      <c r="A25457" s="1" t="str">
        <f t="shared" si="921"/>
        <v>36140</v>
      </c>
      <c r="B25457" s="1" t="str">
        <f>"08246"</f>
        <v>08246</v>
      </c>
      <c r="C25457" s="2">
        <v>2.3014268846684901E-4</v>
      </c>
      <c r="D25457" s="2">
        <v>0</v>
      </c>
      <c r="E25457" s="2">
        <v>2.55885363357215E-4</v>
      </c>
      <c r="F25457" s="2">
        <v>2.16350704491981E-4</v>
      </c>
    </row>
    <row r="25458" spans="1:6" x14ac:dyDescent="0.25">
      <c r="A25458" s="1" t="str">
        <f t="shared" si="921"/>
        <v>36140</v>
      </c>
      <c r="B25458" s="1" t="str">
        <f>"08223"</f>
        <v>08223</v>
      </c>
      <c r="C25458" s="2">
        <v>2.6416378154455699E-2</v>
      </c>
      <c r="D25458" s="2">
        <v>7.17007762879322E-2</v>
      </c>
      <c r="E25458" s="2">
        <v>1.3050153531218E-2</v>
      </c>
      <c r="F25458" s="2">
        <v>2.8837745986243699E-2</v>
      </c>
    </row>
    <row r="25459" spans="1:6" x14ac:dyDescent="0.25">
      <c r="A25459" s="1" t="str">
        <f t="shared" si="921"/>
        <v>36140</v>
      </c>
      <c r="B25459" s="1" t="str">
        <f>"08260"</f>
        <v>08260</v>
      </c>
      <c r="C25459" s="2">
        <v>0.220356621105085</v>
      </c>
      <c r="D25459" s="2">
        <v>0.25264643613267401</v>
      </c>
      <c r="E25459" s="2">
        <v>0.41837256908904802</v>
      </c>
      <c r="F25459" s="2">
        <v>0.22939484905030999</v>
      </c>
    </row>
    <row r="25460" spans="1:6" x14ac:dyDescent="0.25">
      <c r="A25460" s="1" t="str">
        <f t="shared" si="921"/>
        <v>36140</v>
      </c>
      <c r="B25460" s="1" t="str">
        <f>"08251"</f>
        <v>08251</v>
      </c>
      <c r="C25460" s="2">
        <v>6.4520002401488905E-2</v>
      </c>
      <c r="D25460" s="2">
        <v>2.21594918842625E-2</v>
      </c>
      <c r="E25460" s="2">
        <v>1.4329580348004E-2</v>
      </c>
      <c r="F25460" s="2">
        <v>6.0046335109212E-2</v>
      </c>
    </row>
    <row r="25461" spans="1:6" x14ac:dyDescent="0.25">
      <c r="A25461" s="1" t="str">
        <f t="shared" si="921"/>
        <v>36140</v>
      </c>
      <c r="B25461" s="1" t="str">
        <f>"08242"</f>
        <v>08242</v>
      </c>
      <c r="C25461" s="2">
        <v>2.7447017150633302E-2</v>
      </c>
      <c r="D25461" s="2">
        <v>5.5892731122088903E-2</v>
      </c>
      <c r="E25461" s="2">
        <v>2.5844421699078801E-2</v>
      </c>
      <c r="F25461" s="2">
        <v>2.9207345106417499E-2</v>
      </c>
    </row>
    <row r="25462" spans="1:6" x14ac:dyDescent="0.25">
      <c r="A25462" s="1" t="str">
        <f t="shared" si="921"/>
        <v>36140</v>
      </c>
      <c r="B25462" s="1" t="str">
        <f>"08245"</f>
        <v>08245</v>
      </c>
      <c r="C25462" s="2">
        <v>1.00062038463847E-5</v>
      </c>
      <c r="D25462" s="2">
        <v>0</v>
      </c>
      <c r="E25462" s="2">
        <v>2.55885363357215E-4</v>
      </c>
      <c r="F25462" s="2">
        <v>1.8029225374331702E-5</v>
      </c>
    </row>
    <row r="25463" spans="1:6" x14ac:dyDescent="0.25">
      <c r="A25463" s="1" t="str">
        <f t="shared" si="921"/>
        <v>36140</v>
      </c>
      <c r="B25463" s="1" t="str">
        <f>"08314"</f>
        <v>08314</v>
      </c>
      <c r="C25463" s="2">
        <v>6.0037223078308499E-5</v>
      </c>
      <c r="D25463" s="2">
        <v>2.8228652081863E-4</v>
      </c>
      <c r="E25463" s="2">
        <v>0</v>
      </c>
      <c r="F25463" s="2">
        <v>7.2116901497327104E-5</v>
      </c>
    </row>
    <row r="25464" spans="1:6" x14ac:dyDescent="0.25">
      <c r="A25464" s="1" t="str">
        <f t="shared" si="921"/>
        <v>36140</v>
      </c>
      <c r="B25464" s="1" t="str">
        <f>"08250"</f>
        <v>08250</v>
      </c>
      <c r="C25464" s="2">
        <v>3.0018611539154199E-5</v>
      </c>
      <c r="D25464" s="2">
        <v>0</v>
      </c>
      <c r="E25464" s="2">
        <v>2.55885363357215E-4</v>
      </c>
      <c r="F25464" s="2">
        <v>3.6058450748663498E-5</v>
      </c>
    </row>
    <row r="25465" spans="1:6" x14ac:dyDescent="0.25">
      <c r="A25465" s="1" t="str">
        <f t="shared" si="921"/>
        <v>36140</v>
      </c>
      <c r="B25465" s="1" t="str">
        <f>"08210"</f>
        <v>08210</v>
      </c>
      <c r="C25465" s="2">
        <v>8.7043967259700997E-2</v>
      </c>
      <c r="D25465" s="2">
        <v>0.11841919548341499</v>
      </c>
      <c r="E25465" s="2">
        <v>5.0153531218014302E-2</v>
      </c>
      <c r="F25465" s="2">
        <v>8.7748239896872804E-2</v>
      </c>
    </row>
    <row r="25466" spans="1:6" x14ac:dyDescent="0.25">
      <c r="A25466" s="1" t="str">
        <f t="shared" si="921"/>
        <v>36140</v>
      </c>
      <c r="B25466" s="1" t="str">
        <f>"08212"</f>
        <v>08212</v>
      </c>
      <c r="C25466" s="2">
        <v>3.6422582000840498E-3</v>
      </c>
      <c r="D25466" s="2">
        <v>1.41143260409315E-4</v>
      </c>
      <c r="E25466" s="2">
        <v>5.1177072671443097E-4</v>
      </c>
      <c r="F25466" s="2">
        <v>3.3083628561898799E-3</v>
      </c>
    </row>
    <row r="25467" spans="1:6" x14ac:dyDescent="0.25">
      <c r="A25467" s="1" t="str">
        <f t="shared" si="921"/>
        <v>36140</v>
      </c>
      <c r="B25467" s="1" t="str">
        <f>"08248"</f>
        <v>08248</v>
      </c>
      <c r="C25467" s="2">
        <v>5.1031639616562203E-4</v>
      </c>
      <c r="D25467" s="2">
        <v>0</v>
      </c>
      <c r="E25467" s="2">
        <v>2.55885363357215E-4</v>
      </c>
      <c r="F25467" s="2">
        <v>4.6875985973262598E-4</v>
      </c>
    </row>
    <row r="25468" spans="1:6" x14ac:dyDescent="0.25">
      <c r="A25468" s="1" t="str">
        <f t="shared" si="921"/>
        <v>36140</v>
      </c>
      <c r="B25468" s="1" t="str">
        <f>"08204"</f>
        <v>08204</v>
      </c>
      <c r="C25468" s="2">
        <v>0.13483359683003401</v>
      </c>
      <c r="D25468" s="2">
        <v>0.12293577981651301</v>
      </c>
      <c r="E25468" s="2">
        <v>0.10568065506653</v>
      </c>
      <c r="F25468" s="2">
        <v>0.13304666864988099</v>
      </c>
    </row>
    <row r="25469" spans="1:6" x14ac:dyDescent="0.25">
      <c r="A25469" s="1" t="str">
        <f t="shared" si="921"/>
        <v>36140</v>
      </c>
      <c r="B25469" s="1" t="str">
        <f>"08252"</f>
        <v>08252</v>
      </c>
      <c r="C25469" s="2">
        <v>0</v>
      </c>
      <c r="D25469" s="2">
        <v>0</v>
      </c>
      <c r="E25469" s="2">
        <v>2.55885363357215E-4</v>
      </c>
      <c r="F25469" s="2">
        <v>9.0146126871658897E-6</v>
      </c>
    </row>
    <row r="25470" spans="1:6" x14ac:dyDescent="0.25">
      <c r="A25470" s="1" t="str">
        <f t="shared" si="921"/>
        <v>36140</v>
      </c>
      <c r="B25470" s="1" t="str">
        <f>"08230"</f>
        <v>08230</v>
      </c>
      <c r="C25470" s="2">
        <v>2.97584502391482E-2</v>
      </c>
      <c r="D25470" s="2">
        <v>3.8814396612561697E-2</v>
      </c>
      <c r="E25470" s="2">
        <v>1.9447287615148402E-2</v>
      </c>
      <c r="F25470" s="2">
        <v>2.9973587184826601E-2</v>
      </c>
    </row>
    <row r="25471" spans="1:6" x14ac:dyDescent="0.25">
      <c r="A25471" s="1" t="str">
        <f t="shared" si="921"/>
        <v>36140</v>
      </c>
      <c r="B25471" s="1" t="str">
        <f>"08270"</f>
        <v>08270</v>
      </c>
      <c r="C25471" s="2">
        <v>3.6522644039304303E-2</v>
      </c>
      <c r="D25471" s="2">
        <v>3.091037402964E-2</v>
      </c>
      <c r="E25471" s="2">
        <v>2.81473899692937E-3</v>
      </c>
      <c r="F25471" s="2">
        <v>3.4976697226203599E-2</v>
      </c>
    </row>
    <row r="25472" spans="1:6" x14ac:dyDescent="0.25">
      <c r="A25472" s="1" t="str">
        <f t="shared" si="921"/>
        <v>36140</v>
      </c>
      <c r="B25472" s="1" t="str">
        <f>"08247"</f>
        <v>08247</v>
      </c>
      <c r="C25472" s="2">
        <v>3.2340050831515497E-2</v>
      </c>
      <c r="D25472" s="2">
        <v>3.4580098800282198E-2</v>
      </c>
      <c r="E25472" s="2">
        <v>3.1985670419651897E-2</v>
      </c>
      <c r="F25472" s="2">
        <v>3.2470634899171499E-2</v>
      </c>
    </row>
    <row r="25473" spans="1:6" x14ac:dyDescent="0.25">
      <c r="A25473" s="1" t="str">
        <f t="shared" si="921"/>
        <v>36140</v>
      </c>
      <c r="B25473" s="1" t="str">
        <f>"08218"</f>
        <v>08218</v>
      </c>
      <c r="C25473" s="2">
        <v>0</v>
      </c>
      <c r="D25473" s="2">
        <v>0</v>
      </c>
      <c r="E25473" s="2">
        <v>2.55885363357215E-4</v>
      </c>
      <c r="F25473" s="2">
        <v>9.0146126871658897E-6</v>
      </c>
    </row>
    <row r="25474" spans="1:6" x14ac:dyDescent="0.25">
      <c r="A25474" s="1" t="str">
        <f t="shared" ref="A25474:A25487" si="922">"36220"</f>
        <v>36220</v>
      </c>
      <c r="B25474" s="1" t="str">
        <f>"79763"</f>
        <v>79763</v>
      </c>
      <c r="C25474" s="2">
        <v>0.21108222075524999</v>
      </c>
      <c r="D25474" s="2">
        <v>0.10788026878436099</v>
      </c>
      <c r="E25474" s="2">
        <v>0.296064400715563</v>
      </c>
      <c r="F25474" s="2">
        <v>0.20334798223230299</v>
      </c>
    </row>
    <row r="25475" spans="1:6" x14ac:dyDescent="0.25">
      <c r="A25475" s="1" t="str">
        <f t="shared" si="922"/>
        <v>36220</v>
      </c>
      <c r="B25475" s="1" t="str">
        <f>"79762"</f>
        <v>79762</v>
      </c>
      <c r="C25475" s="2">
        <v>0.23546687862907001</v>
      </c>
      <c r="D25475" s="2">
        <v>0.18900427611484399</v>
      </c>
      <c r="E25475" s="2">
        <v>0.139982110912343</v>
      </c>
      <c r="F25475" s="2">
        <v>0.22845194216047601</v>
      </c>
    </row>
    <row r="25476" spans="1:6" x14ac:dyDescent="0.25">
      <c r="A25476" s="1" t="str">
        <f t="shared" si="922"/>
        <v>36220</v>
      </c>
      <c r="B25476" s="1" t="str">
        <f>"79764"</f>
        <v>79764</v>
      </c>
      <c r="C25476" s="2">
        <v>0.143748231775499</v>
      </c>
      <c r="D25476" s="2">
        <v>0.126450824679291</v>
      </c>
      <c r="E25476" s="2">
        <v>0.26296958855098301</v>
      </c>
      <c r="F25476" s="2">
        <v>0.145224931480956</v>
      </c>
    </row>
    <row r="25477" spans="1:6" x14ac:dyDescent="0.25">
      <c r="A25477" s="1" t="str">
        <f t="shared" si="922"/>
        <v>36220</v>
      </c>
      <c r="B25477" s="1" t="str">
        <f>"79741"</f>
        <v>79741</v>
      </c>
      <c r="C25477" s="2">
        <v>6.6013714686030602E-4</v>
      </c>
      <c r="D25477" s="2">
        <v>1.83262064752596E-3</v>
      </c>
      <c r="E25477" s="2">
        <v>1.78890876565295E-3</v>
      </c>
      <c r="F25477" s="2">
        <v>8.0332671770153995E-4</v>
      </c>
    </row>
    <row r="25478" spans="1:6" x14ac:dyDescent="0.25">
      <c r="A25478" s="1" t="str">
        <f t="shared" si="922"/>
        <v>36220</v>
      </c>
      <c r="B25478" s="1" t="str">
        <f>"79765"</f>
        <v>79765</v>
      </c>
      <c r="C25478" s="2">
        <v>9.01424010131084E-2</v>
      </c>
      <c r="D25478" s="2">
        <v>3.4086744043982799E-2</v>
      </c>
      <c r="E25478" s="2">
        <v>1.8336314847942702E-2</v>
      </c>
      <c r="F25478" s="2">
        <v>8.2825347320669096E-2</v>
      </c>
    </row>
    <row r="25479" spans="1:6" x14ac:dyDescent="0.25">
      <c r="A25479" s="1" t="str">
        <f t="shared" si="922"/>
        <v>36220</v>
      </c>
      <c r="B25479" s="1" t="str">
        <f>"79761"</f>
        <v>79761</v>
      </c>
      <c r="C25479" s="2">
        <v>0.17771161437212801</v>
      </c>
      <c r="D25479" s="2">
        <v>0.29028711056811202</v>
      </c>
      <c r="E25479" s="2">
        <v>0.19096601073345201</v>
      </c>
      <c r="F25479" s="2">
        <v>0.18894716945468201</v>
      </c>
    </row>
    <row r="25480" spans="1:6" x14ac:dyDescent="0.25">
      <c r="A25480" s="1" t="str">
        <f t="shared" si="922"/>
        <v>36220</v>
      </c>
      <c r="B25480" s="1" t="str">
        <f>"79758"</f>
        <v>79758</v>
      </c>
      <c r="C25480" s="2">
        <v>2.45463241138669E-2</v>
      </c>
      <c r="D25480" s="2">
        <v>1.01405009163103E-2</v>
      </c>
      <c r="E25480" s="2">
        <v>1.6994633273703E-2</v>
      </c>
      <c r="F25480" s="2">
        <v>2.2953879595501301E-2</v>
      </c>
    </row>
    <row r="25481" spans="1:6" x14ac:dyDescent="0.25">
      <c r="A25481" s="1" t="str">
        <f t="shared" si="922"/>
        <v>36220</v>
      </c>
      <c r="B25481" s="1" t="str">
        <f>"79759"</f>
        <v>79759</v>
      </c>
      <c r="C25481" s="2">
        <v>1.3472186670618501E-4</v>
      </c>
      <c r="D25481" s="2">
        <v>4.8869883934025602E-4</v>
      </c>
      <c r="E25481" s="2">
        <v>0</v>
      </c>
      <c r="F25481" s="2">
        <v>1.6539079482090499E-4</v>
      </c>
    </row>
    <row r="25482" spans="1:6" x14ac:dyDescent="0.25">
      <c r="A25482" s="1" t="str">
        <f t="shared" si="922"/>
        <v>36220</v>
      </c>
      <c r="B25482" s="1" t="str">
        <f>"79769"</f>
        <v>79769</v>
      </c>
      <c r="C25482" s="2">
        <v>1.6705511471566899E-2</v>
      </c>
      <c r="D25482" s="2">
        <v>3.1521075137446501E-2</v>
      </c>
      <c r="E25482" s="2">
        <v>8.9445438282647499E-4</v>
      </c>
      <c r="F25482" s="2">
        <v>1.7720442302239799E-2</v>
      </c>
    </row>
    <row r="25483" spans="1:6" x14ac:dyDescent="0.25">
      <c r="A25483" s="1" t="str">
        <f t="shared" si="922"/>
        <v>36220</v>
      </c>
      <c r="B25483" s="1" t="str">
        <f>"79707"</f>
        <v>79707</v>
      </c>
      <c r="C25483" s="2">
        <v>1.34721866706185E-5</v>
      </c>
      <c r="D25483" s="2">
        <v>0</v>
      </c>
      <c r="E25483" s="2">
        <v>0</v>
      </c>
      <c r="F25483" s="2">
        <v>1.18136282014932E-5</v>
      </c>
    </row>
    <row r="25484" spans="1:6" x14ac:dyDescent="0.25">
      <c r="A25484" s="1" t="str">
        <f t="shared" si="922"/>
        <v>36220</v>
      </c>
      <c r="B25484" s="1" t="str">
        <f>"79766"</f>
        <v>79766</v>
      </c>
      <c r="C25484" s="2">
        <v>4.3151413905990997E-2</v>
      </c>
      <c r="D25484" s="2">
        <v>3.1521075137446501E-2</v>
      </c>
      <c r="E25484" s="2">
        <v>7.1109123434704796E-2</v>
      </c>
      <c r="F25484" s="2">
        <v>4.2765334089405499E-2</v>
      </c>
    </row>
    <row r="25485" spans="1:6" x14ac:dyDescent="0.25">
      <c r="A25485" s="1" t="str">
        <f t="shared" si="922"/>
        <v>36220</v>
      </c>
      <c r="B25485" s="1" t="str">
        <f>"79760"</f>
        <v>79760</v>
      </c>
      <c r="C25485" s="2">
        <v>3.9123230091476099E-2</v>
      </c>
      <c r="D25485" s="2">
        <v>8.6621869273060398E-2</v>
      </c>
      <c r="E25485" s="2">
        <v>4.4722719141323701E-4</v>
      </c>
      <c r="F25485" s="2">
        <v>4.2694452320196502E-2</v>
      </c>
    </row>
    <row r="25486" spans="1:6" x14ac:dyDescent="0.25">
      <c r="A25486" s="1" t="str">
        <f t="shared" si="922"/>
        <v>36220</v>
      </c>
      <c r="B25486" s="1" t="str">
        <f>"79768"</f>
        <v>79768</v>
      </c>
      <c r="C25486" s="2">
        <v>1.7513842671804E-2</v>
      </c>
      <c r="D25486" s="2">
        <v>9.0042761148442202E-2</v>
      </c>
      <c r="E25486" s="2">
        <v>4.4722719141323701E-4</v>
      </c>
      <c r="F25486" s="2">
        <v>2.4076174274643199E-2</v>
      </c>
    </row>
    <row r="25487" spans="1:6" x14ac:dyDescent="0.25">
      <c r="A25487" s="1" t="str">
        <f t="shared" si="922"/>
        <v>36220</v>
      </c>
      <c r="B25487" s="1" t="str">
        <f>"79776"</f>
        <v>79776</v>
      </c>
      <c r="C25487" s="2">
        <v>0</v>
      </c>
      <c r="D25487" s="2">
        <v>1.22174709835064E-4</v>
      </c>
      <c r="E25487" s="2">
        <v>0</v>
      </c>
      <c r="F25487" s="2">
        <v>1.18136282014932E-5</v>
      </c>
    </row>
    <row r="25488" spans="1:6" x14ac:dyDescent="0.25">
      <c r="A25488" s="1" t="str">
        <f t="shared" ref="A25488:A25519" si="923">"36260"</f>
        <v>36260</v>
      </c>
      <c r="B25488" s="1" t="str">
        <f>"84314"</f>
        <v>84314</v>
      </c>
      <c r="C25488" s="2">
        <v>1.68622689869148E-3</v>
      </c>
      <c r="D25488" s="2">
        <v>3.9234919077979399E-4</v>
      </c>
      <c r="E25488" s="2">
        <v>9.6506465933217505E-5</v>
      </c>
      <c r="F25488" s="2">
        <v>1.5346860258704199E-3</v>
      </c>
    </row>
    <row r="25489" spans="1:6" x14ac:dyDescent="0.25">
      <c r="A25489" s="1" t="str">
        <f t="shared" si="923"/>
        <v>36260</v>
      </c>
      <c r="B25489" s="1" t="str">
        <f>"84037"</f>
        <v>84037</v>
      </c>
      <c r="C25489" s="2">
        <v>4.7872973552027E-2</v>
      </c>
      <c r="D25489" s="2">
        <v>4.6297204512015598E-2</v>
      </c>
      <c r="E25489" s="2">
        <v>1.9494306118509899E-2</v>
      </c>
      <c r="F25489" s="2">
        <v>4.6719520216128997E-2</v>
      </c>
    </row>
    <row r="25490" spans="1:6" x14ac:dyDescent="0.25">
      <c r="A25490" s="1" t="str">
        <f t="shared" si="923"/>
        <v>36260</v>
      </c>
      <c r="B25490" s="1" t="str">
        <f>"84075"</f>
        <v>84075</v>
      </c>
      <c r="C25490" s="2">
        <v>3.5811491735504401E-2</v>
      </c>
      <c r="D25490" s="2">
        <v>1.19666503187837E-2</v>
      </c>
      <c r="E25490" s="2">
        <v>1.2256321173518599E-2</v>
      </c>
      <c r="F25490" s="2">
        <v>3.3229134988719697E-2</v>
      </c>
    </row>
    <row r="25491" spans="1:6" x14ac:dyDescent="0.25">
      <c r="A25491" s="1" t="str">
        <f t="shared" si="923"/>
        <v>36260</v>
      </c>
      <c r="B25491" s="1" t="str">
        <f>"84403"</f>
        <v>84403</v>
      </c>
      <c r="C25491" s="2">
        <v>5.8629117369327299E-2</v>
      </c>
      <c r="D25491" s="2">
        <v>5.1201569396763097E-2</v>
      </c>
      <c r="E25491" s="2">
        <v>6.1281605867593097E-2</v>
      </c>
      <c r="F25491" s="2">
        <v>5.81907678380729E-2</v>
      </c>
    </row>
    <row r="25492" spans="1:6" x14ac:dyDescent="0.25">
      <c r="A25492" s="1" t="str">
        <f t="shared" si="923"/>
        <v>36260</v>
      </c>
      <c r="B25492" s="1" t="str">
        <f>"84414"</f>
        <v>84414</v>
      </c>
      <c r="C25492" s="2">
        <v>4.2219153950532003E-2</v>
      </c>
      <c r="D25492" s="2">
        <v>9.9558607160372698E-3</v>
      </c>
      <c r="E25492" s="2">
        <v>1.8915267322910601E-2</v>
      </c>
      <c r="F25492" s="2">
        <v>3.9039017800943397E-2</v>
      </c>
    </row>
    <row r="25493" spans="1:6" x14ac:dyDescent="0.25">
      <c r="A25493" s="1" t="str">
        <f t="shared" si="923"/>
        <v>36260</v>
      </c>
      <c r="B25493" s="1" t="str">
        <f>"84336"</f>
        <v>84336</v>
      </c>
      <c r="C25493" s="2">
        <v>7.5781020623546798E-4</v>
      </c>
      <c r="D25493" s="2">
        <v>0</v>
      </c>
      <c r="E25493" s="2">
        <v>2.8951939779965201E-4</v>
      </c>
      <c r="F25493" s="2">
        <v>6.8601172584991103E-4</v>
      </c>
    </row>
    <row r="25494" spans="1:6" x14ac:dyDescent="0.25">
      <c r="A25494" s="1" t="str">
        <f t="shared" si="923"/>
        <v>36260</v>
      </c>
      <c r="B25494" s="1" t="str">
        <f>"84329"</f>
        <v>84329</v>
      </c>
      <c r="C25494" s="2">
        <v>1.35294911165599E-3</v>
      </c>
      <c r="D25494" s="2">
        <v>0</v>
      </c>
      <c r="E25494" s="2">
        <v>9.6506465933217505E-5</v>
      </c>
      <c r="F25494" s="2">
        <v>1.2093608775292199E-3</v>
      </c>
    </row>
    <row r="25495" spans="1:6" x14ac:dyDescent="0.25">
      <c r="A25495" s="1" t="str">
        <f t="shared" si="923"/>
        <v>36260</v>
      </c>
      <c r="B25495" s="1" t="str">
        <f>"84016"</f>
        <v>84016</v>
      </c>
      <c r="C25495" s="2">
        <v>1.1783750327326299E-3</v>
      </c>
      <c r="D25495" s="2">
        <v>1.1034820990681701E-2</v>
      </c>
      <c r="E25495" s="2">
        <v>2.8951939779965201E-4</v>
      </c>
      <c r="F25495" s="2">
        <v>1.8564750312948599E-3</v>
      </c>
    </row>
    <row r="25496" spans="1:6" x14ac:dyDescent="0.25">
      <c r="A25496" s="1" t="str">
        <f t="shared" si="923"/>
        <v>36260</v>
      </c>
      <c r="B25496" s="1" t="str">
        <f>"84330"</f>
        <v>84330</v>
      </c>
      <c r="C25496" s="2">
        <v>5.8720372001491803E-4</v>
      </c>
      <c r="D25496" s="2">
        <v>0</v>
      </c>
      <c r="E25496" s="2">
        <v>9.6506465933217505E-5</v>
      </c>
      <c r="F25496" s="2">
        <v>5.2688529459606601E-4</v>
      </c>
    </row>
    <row r="25497" spans="1:6" x14ac:dyDescent="0.25">
      <c r="A25497" s="1" t="str">
        <f t="shared" si="923"/>
        <v>36260</v>
      </c>
      <c r="B25497" s="1" t="str">
        <f>"84315"</f>
        <v>84315</v>
      </c>
      <c r="C25497" s="2">
        <v>1.1160838272986201E-2</v>
      </c>
      <c r="D25497" s="2">
        <v>1.5203531142717001E-3</v>
      </c>
      <c r="E25497" s="2">
        <v>1.73711638679791E-3</v>
      </c>
      <c r="F25497" s="2">
        <v>1.01204410277445E-2</v>
      </c>
    </row>
    <row r="25498" spans="1:6" x14ac:dyDescent="0.25">
      <c r="A25498" s="1" t="str">
        <f t="shared" si="923"/>
        <v>36260</v>
      </c>
      <c r="B25498" s="1" t="str">
        <f>"84409"</f>
        <v>84409</v>
      </c>
      <c r="C25498" s="2">
        <v>4.41593067822029E-3</v>
      </c>
      <c r="D25498" s="2">
        <v>1.6282491417361399E-2</v>
      </c>
      <c r="E25498" s="2">
        <v>1.9301293186643501E-4</v>
      </c>
      <c r="F25498" s="2">
        <v>5.1167988005403203E-3</v>
      </c>
    </row>
    <row r="25499" spans="1:6" x14ac:dyDescent="0.25">
      <c r="A25499" s="1" t="str">
        <f t="shared" si="923"/>
        <v>36260</v>
      </c>
      <c r="B25499" s="1" t="str">
        <f>"84337"</f>
        <v>84337</v>
      </c>
      <c r="C25499" s="2">
        <v>2.0020472778346399E-2</v>
      </c>
      <c r="D25499" s="2">
        <v>1.8195193722412899E-2</v>
      </c>
      <c r="E25499" s="2">
        <v>2.6056745801968699E-2</v>
      </c>
      <c r="F25499" s="2">
        <v>2.01100447675693E-2</v>
      </c>
    </row>
    <row r="25500" spans="1:6" x14ac:dyDescent="0.25">
      <c r="A25500" s="1" t="str">
        <f t="shared" si="923"/>
        <v>36260</v>
      </c>
      <c r="B25500" s="1" t="str">
        <f>"84404"</f>
        <v>84404</v>
      </c>
      <c r="C25500" s="2">
        <v>9.2540132200188793E-2</v>
      </c>
      <c r="D25500" s="2">
        <v>6.8955370279548706E-2</v>
      </c>
      <c r="E25500" s="2">
        <v>8.3671105964099504E-2</v>
      </c>
      <c r="F25500" s="2">
        <v>9.0514650240104105E-2</v>
      </c>
    </row>
    <row r="25501" spans="1:6" x14ac:dyDescent="0.25">
      <c r="A25501" s="1" t="str">
        <f t="shared" si="923"/>
        <v>36260</v>
      </c>
      <c r="B25501" s="1" t="str">
        <f>"84405"</f>
        <v>84405</v>
      </c>
      <c r="C25501" s="2">
        <v>5.0281302322628701E-2</v>
      </c>
      <c r="D25501" s="2">
        <v>5.4144188327611503E-2</v>
      </c>
      <c r="E25501" s="2">
        <v>4.6612623045743998E-2</v>
      </c>
      <c r="F25501" s="2">
        <v>5.0425397992885201E-2</v>
      </c>
    </row>
    <row r="25502" spans="1:6" x14ac:dyDescent="0.25">
      <c r="A25502" s="1" t="str">
        <f t="shared" si="923"/>
        <v>36260</v>
      </c>
      <c r="B25502" s="1" t="str">
        <f>"84041"</f>
        <v>84041</v>
      </c>
      <c r="C25502" s="2">
        <v>7.85702382936177E-2</v>
      </c>
      <c r="D25502" s="2">
        <v>0.11319274153997</v>
      </c>
      <c r="E25502" s="2">
        <v>9.7085504728816802E-2</v>
      </c>
      <c r="F25502" s="2">
        <v>8.1745015806558796E-2</v>
      </c>
    </row>
    <row r="25503" spans="1:6" x14ac:dyDescent="0.25">
      <c r="A25503" s="1" t="str">
        <f t="shared" si="923"/>
        <v>36260</v>
      </c>
      <c r="B25503" s="1" t="str">
        <f>"84040"</f>
        <v>84040</v>
      </c>
      <c r="C25503" s="2">
        <v>3.4708500964124998E-2</v>
      </c>
      <c r="D25503" s="2">
        <v>7.3565473271211303E-3</v>
      </c>
      <c r="E25503" s="2">
        <v>9.4576336614553107E-3</v>
      </c>
      <c r="F25503" s="2">
        <v>3.1811141679102102E-2</v>
      </c>
    </row>
    <row r="25504" spans="1:6" x14ac:dyDescent="0.25">
      <c r="A25504" s="1" t="str">
        <f t="shared" si="923"/>
        <v>36260</v>
      </c>
      <c r="B25504" s="1" t="str">
        <f>"84309"</f>
        <v>84309</v>
      </c>
      <c r="C25504" s="2">
        <v>1.0633148443513301E-3</v>
      </c>
      <c r="D25504" s="2">
        <v>9.8087297694948497E-5</v>
      </c>
      <c r="E25504" s="2">
        <v>4.82532329666087E-4</v>
      </c>
      <c r="F25504" s="2">
        <v>9.72439302106833E-4</v>
      </c>
    </row>
    <row r="25505" spans="1:6" x14ac:dyDescent="0.25">
      <c r="A25505" s="1" t="str">
        <f t="shared" si="923"/>
        <v>36260</v>
      </c>
      <c r="B25505" s="1" t="str">
        <f>"84011"</f>
        <v>84011</v>
      </c>
      <c r="C25505" s="2">
        <v>3.5311575054951098E-3</v>
      </c>
      <c r="D25505" s="2">
        <v>1.9421284943599799E-2</v>
      </c>
      <c r="E25505" s="2">
        <v>1.9301293186643501E-4</v>
      </c>
      <c r="F25505" s="2">
        <v>4.5545520767767298E-3</v>
      </c>
    </row>
    <row r="25506" spans="1:6" x14ac:dyDescent="0.25">
      <c r="A25506" s="1" t="str">
        <f t="shared" si="923"/>
        <v>36260</v>
      </c>
      <c r="B25506" s="1" t="str">
        <f>"84311"</f>
        <v>84311</v>
      </c>
      <c r="C25506" s="2">
        <v>1.2180509597606701E-3</v>
      </c>
      <c r="D25506" s="2">
        <v>0</v>
      </c>
      <c r="E25506" s="2">
        <v>4.82532329666087E-4</v>
      </c>
      <c r="F25506" s="2">
        <v>1.1032765900266599E-3</v>
      </c>
    </row>
    <row r="25507" spans="1:6" x14ac:dyDescent="0.25">
      <c r="A25507" s="1" t="str">
        <f t="shared" si="923"/>
        <v>36260</v>
      </c>
      <c r="B25507" s="1" t="str">
        <f>"84402"</f>
        <v>84402</v>
      </c>
      <c r="C25507" s="2">
        <v>6.7726807436855703E-3</v>
      </c>
      <c r="D25507" s="2">
        <v>1.2162824914173601E-2</v>
      </c>
      <c r="E25507" s="2">
        <v>1.9301293186643501E-4</v>
      </c>
      <c r="F25507" s="2">
        <v>6.9202316880839004E-3</v>
      </c>
    </row>
    <row r="25508" spans="1:6" x14ac:dyDescent="0.25">
      <c r="A25508" s="1" t="str">
        <f t="shared" si="923"/>
        <v>36260</v>
      </c>
      <c r="B25508" s="1" t="str">
        <f>"84302"</f>
        <v>84302</v>
      </c>
      <c r="C25508" s="2">
        <v>4.0540862237246102E-2</v>
      </c>
      <c r="D25508" s="2">
        <v>4.86022560078469E-2</v>
      </c>
      <c r="E25508" s="2">
        <v>4.2752364408415303E-2</v>
      </c>
      <c r="F25508" s="2">
        <v>4.1203137265995698E-2</v>
      </c>
    </row>
    <row r="25509" spans="1:6" x14ac:dyDescent="0.25">
      <c r="A25509" s="1" t="str">
        <f t="shared" si="923"/>
        <v>36260</v>
      </c>
      <c r="B25509" s="1" t="str">
        <f>"84056"</f>
        <v>84056</v>
      </c>
      <c r="C25509" s="2">
        <v>1.22638290443656E-2</v>
      </c>
      <c r="D25509" s="2">
        <v>5.3948013732221605E-4</v>
      </c>
      <c r="E25509" s="2">
        <v>0.101717815093611</v>
      </c>
      <c r="F25509" s="2">
        <v>1.4696209962021801E-2</v>
      </c>
    </row>
    <row r="25510" spans="1:6" x14ac:dyDescent="0.25">
      <c r="A25510" s="1" t="str">
        <f t="shared" si="923"/>
        <v>36260</v>
      </c>
      <c r="B25510" s="1" t="str">
        <f>"84312"</f>
        <v>84312</v>
      </c>
      <c r="C25510" s="2">
        <v>6.3917918442164398E-3</v>
      </c>
      <c r="D25510" s="2">
        <v>1.5203531142717001E-3</v>
      </c>
      <c r="E25510" s="2">
        <v>6.9484655471916601E-3</v>
      </c>
      <c r="F25510" s="2">
        <v>6.0609489593131298E-3</v>
      </c>
    </row>
    <row r="25511" spans="1:6" x14ac:dyDescent="0.25">
      <c r="A25511" s="1" t="str">
        <f t="shared" si="923"/>
        <v>36260</v>
      </c>
      <c r="B25511" s="1" t="str">
        <f>"84089"</f>
        <v>84089</v>
      </c>
      <c r="C25511" s="2">
        <v>3.9794954809119097E-3</v>
      </c>
      <c r="D25511" s="2">
        <v>7.7979401667484004E-3</v>
      </c>
      <c r="E25511" s="2">
        <v>1.9301293186643501E-4</v>
      </c>
      <c r="F25511" s="2">
        <v>4.1160703550994701E-3</v>
      </c>
    </row>
    <row r="25512" spans="1:6" x14ac:dyDescent="0.25">
      <c r="A25512" s="1" t="str">
        <f t="shared" si="923"/>
        <v>36260</v>
      </c>
      <c r="B25512" s="1" t="str">
        <f>"84301"</f>
        <v>84301</v>
      </c>
      <c r="C25512" s="2">
        <v>9.5222224867284004E-5</v>
      </c>
      <c r="D25512" s="2">
        <v>0</v>
      </c>
      <c r="E25512" s="2">
        <v>9.6506465933217505E-5</v>
      </c>
      <c r="F25512" s="2">
        <v>8.8403572918803003E-5</v>
      </c>
    </row>
    <row r="25513" spans="1:6" x14ac:dyDescent="0.25">
      <c r="A25513" s="1" t="str">
        <f t="shared" si="923"/>
        <v>36260</v>
      </c>
      <c r="B25513" s="1" t="str">
        <f>"84310"</f>
        <v>84310</v>
      </c>
      <c r="C25513" s="2">
        <v>1.1184643829203001E-2</v>
      </c>
      <c r="D25513" s="2">
        <v>5.14958312898479E-3</v>
      </c>
      <c r="E25513" s="2">
        <v>8.1065431383902705E-3</v>
      </c>
      <c r="F25513" s="2">
        <v>1.0636717893590299E-2</v>
      </c>
    </row>
    <row r="25514" spans="1:6" x14ac:dyDescent="0.25">
      <c r="A25514" s="1" t="str">
        <f t="shared" si="923"/>
        <v>36260</v>
      </c>
      <c r="B25514" s="1" t="str">
        <f>"84340"</f>
        <v>84340</v>
      </c>
      <c r="C25514" s="2">
        <v>5.4356020028407904E-3</v>
      </c>
      <c r="D25514" s="2">
        <v>1.81461500735654E-3</v>
      </c>
      <c r="E25514" s="2">
        <v>2.219648716464E-3</v>
      </c>
      <c r="F25514" s="2">
        <v>5.0566843709555298E-3</v>
      </c>
    </row>
    <row r="25515" spans="1:6" x14ac:dyDescent="0.25">
      <c r="A25515" s="1" t="str">
        <f t="shared" si="923"/>
        <v>36260</v>
      </c>
      <c r="B25515" s="1" t="str">
        <f>"84412"</f>
        <v>84412</v>
      </c>
      <c r="C25515" s="2">
        <v>5.1221621793193098E-3</v>
      </c>
      <c r="D25515" s="2">
        <v>1.37322216772927E-2</v>
      </c>
      <c r="E25515" s="2">
        <v>1.9301293186643501E-4</v>
      </c>
      <c r="F25515" s="2">
        <v>5.56235280805109E-3</v>
      </c>
    </row>
    <row r="25516" spans="1:6" x14ac:dyDescent="0.25">
      <c r="A25516" s="1" t="str">
        <f t="shared" si="923"/>
        <v>36260</v>
      </c>
      <c r="B25516" s="1" t="str">
        <f>"84054"</f>
        <v>84054</v>
      </c>
      <c r="C25516" s="2">
        <v>3.2716769427317598E-2</v>
      </c>
      <c r="D25516" s="2">
        <v>5.4242275625306501E-2</v>
      </c>
      <c r="E25516" s="2">
        <v>2.49951746767033E-2</v>
      </c>
      <c r="F25516" s="2">
        <v>3.3985869572904601E-2</v>
      </c>
    </row>
    <row r="25517" spans="1:6" x14ac:dyDescent="0.25">
      <c r="A25517" s="1" t="str">
        <f t="shared" si="923"/>
        <v>36260</v>
      </c>
      <c r="B25517" s="1" t="str">
        <f>"84014"</f>
        <v>84014</v>
      </c>
      <c r="C25517" s="2">
        <v>2.5773482197411501E-2</v>
      </c>
      <c r="D25517" s="2">
        <v>3.6929867582148099E-2</v>
      </c>
      <c r="E25517" s="2">
        <v>1.52480216174483E-2</v>
      </c>
      <c r="F25517" s="2">
        <v>2.61922105843829E-2</v>
      </c>
    </row>
    <row r="25518" spans="1:6" x14ac:dyDescent="0.25">
      <c r="A25518" s="1" t="str">
        <f t="shared" si="923"/>
        <v>36260</v>
      </c>
      <c r="B25518" s="1" t="str">
        <f>"84017"</f>
        <v>84017</v>
      </c>
      <c r="C25518" s="2">
        <v>2.3805556216821001E-5</v>
      </c>
      <c r="D25518" s="2">
        <v>0</v>
      </c>
      <c r="E25518" s="2">
        <v>0</v>
      </c>
      <c r="F25518" s="2">
        <v>2.1216857500512699E-5</v>
      </c>
    </row>
    <row r="25519" spans="1:6" x14ac:dyDescent="0.25">
      <c r="A25519" s="1" t="str">
        <f t="shared" si="923"/>
        <v>36260</v>
      </c>
      <c r="B25519" s="1" t="str">
        <f>"84067"</f>
        <v>84067</v>
      </c>
      <c r="C25519" s="2">
        <v>5.6474714531705002E-2</v>
      </c>
      <c r="D25519" s="2">
        <v>3.5507601765571301E-2</v>
      </c>
      <c r="E25519" s="2">
        <v>4.1883806215016403E-2</v>
      </c>
      <c r="F25519" s="2">
        <v>5.4428311774648602E-2</v>
      </c>
    </row>
    <row r="25520" spans="1:6" x14ac:dyDescent="0.25">
      <c r="A25520" s="1" t="str">
        <f t="shared" ref="A25520:A25538" si="924">"36260"</f>
        <v>36260</v>
      </c>
      <c r="B25520" s="1" t="str">
        <f>"84015"</f>
        <v>84015</v>
      </c>
      <c r="C25520" s="2">
        <v>9.0195284912831894E-2</v>
      </c>
      <c r="D25520" s="2">
        <v>5.9146640510053902E-2</v>
      </c>
      <c r="E25520" s="2">
        <v>0.13626712989770301</v>
      </c>
      <c r="F25520" s="2">
        <v>8.9644759082583E-2</v>
      </c>
    </row>
    <row r="25521" spans="1:6" x14ac:dyDescent="0.25">
      <c r="A25521" s="1" t="str">
        <f t="shared" si="924"/>
        <v>36260</v>
      </c>
      <c r="B25521" s="1" t="str">
        <f>"84010"</f>
        <v>84010</v>
      </c>
      <c r="C25521" s="2">
        <v>6.6036612945461398E-2</v>
      </c>
      <c r="D25521" s="2">
        <v>7.5527219225110298E-2</v>
      </c>
      <c r="E25521" s="2">
        <v>7.6047095155375402E-2</v>
      </c>
      <c r="F25521" s="2">
        <v>6.7087703416621194E-2</v>
      </c>
    </row>
    <row r="25522" spans="1:6" x14ac:dyDescent="0.25">
      <c r="A25522" s="1" t="str">
        <f t="shared" si="924"/>
        <v>36260</v>
      </c>
      <c r="B25522" s="1" t="str">
        <f>"84407"</f>
        <v>84407</v>
      </c>
      <c r="C25522" s="2">
        <v>0</v>
      </c>
      <c r="D25522" s="2">
        <v>4.9043648847474201E-5</v>
      </c>
      <c r="E25522" s="2">
        <v>0</v>
      </c>
      <c r="F25522" s="2">
        <v>3.5361429167521201E-6</v>
      </c>
    </row>
    <row r="25523" spans="1:6" x14ac:dyDescent="0.25">
      <c r="A25523" s="1" t="str">
        <f t="shared" si="924"/>
        <v>36260</v>
      </c>
      <c r="B25523" s="1" t="str">
        <f>"84415"</f>
        <v>84415</v>
      </c>
      <c r="C25523" s="2">
        <v>1.83302782869521E-3</v>
      </c>
      <c r="D25523" s="2">
        <v>1.53997057381069E-2</v>
      </c>
      <c r="E25523" s="2">
        <v>1.9301293186643501E-4</v>
      </c>
      <c r="F25523" s="2">
        <v>2.7511191892331502E-3</v>
      </c>
    </row>
    <row r="25524" spans="1:6" x14ac:dyDescent="0.25">
      <c r="A25524" s="1" t="str">
        <f t="shared" si="924"/>
        <v>36260</v>
      </c>
      <c r="B25524" s="1" t="str">
        <f>"84306"</f>
        <v>84306</v>
      </c>
      <c r="C25524" s="2">
        <v>8.6890280191396596E-4</v>
      </c>
      <c r="D25524" s="2">
        <v>2.4521824423737101E-4</v>
      </c>
      <c r="E25524" s="2">
        <v>4.82532329666087E-4</v>
      </c>
      <c r="F25524" s="2">
        <v>8.0977672793623604E-4</v>
      </c>
    </row>
    <row r="25525" spans="1:6" x14ac:dyDescent="0.25">
      <c r="A25525" s="1" t="str">
        <f t="shared" si="924"/>
        <v>36260</v>
      </c>
      <c r="B25525" s="1" t="str">
        <f>"84025"</f>
        <v>84025</v>
      </c>
      <c r="C25525" s="2">
        <v>3.16891629172915E-2</v>
      </c>
      <c r="D25525" s="2">
        <v>3.00147130946542E-2</v>
      </c>
      <c r="E25525" s="2">
        <v>1.41864504921829E-2</v>
      </c>
      <c r="F25525" s="2">
        <v>3.0927105949914001E-2</v>
      </c>
    </row>
    <row r="25526" spans="1:6" x14ac:dyDescent="0.25">
      <c r="A25526" s="1" t="str">
        <f t="shared" si="924"/>
        <v>36260</v>
      </c>
      <c r="B25526" s="1" t="str">
        <f>"84087"</f>
        <v>84087</v>
      </c>
      <c r="C25526" s="2">
        <v>1.9405495909411902E-2</v>
      </c>
      <c r="D25526" s="2">
        <v>2.4963217263364298E-2</v>
      </c>
      <c r="E25526" s="2">
        <v>8.7820883999227897E-3</v>
      </c>
      <c r="F25526" s="2">
        <v>1.9416960755885899E-2</v>
      </c>
    </row>
    <row r="25527" spans="1:6" x14ac:dyDescent="0.25">
      <c r="A25527" s="1" t="str">
        <f t="shared" si="924"/>
        <v>36260</v>
      </c>
      <c r="B25527" s="1" t="str">
        <f>"84307"</f>
        <v>84307</v>
      </c>
      <c r="C25527" s="2">
        <v>2.9003102657493502E-3</v>
      </c>
      <c r="D25527" s="2">
        <v>1.3241785188818E-3</v>
      </c>
      <c r="E25527" s="2">
        <v>1.44759698899826E-3</v>
      </c>
      <c r="F25527" s="2">
        <v>2.73343847464939E-3</v>
      </c>
    </row>
    <row r="25528" spans="1:6" x14ac:dyDescent="0.25">
      <c r="A25528" s="1" t="str">
        <f t="shared" si="924"/>
        <v>36260</v>
      </c>
      <c r="B25528" s="1" t="str">
        <f>"84018"</f>
        <v>84018</v>
      </c>
      <c r="C25528" s="2">
        <v>2.3805556216821E-4</v>
      </c>
      <c r="D25528" s="2">
        <v>4.9043648847474201E-5</v>
      </c>
      <c r="E25528" s="2">
        <v>2.8951939779965201E-4</v>
      </c>
      <c r="F25528" s="2">
        <v>2.2631314667213501E-4</v>
      </c>
    </row>
    <row r="25529" spans="1:6" x14ac:dyDescent="0.25">
      <c r="A25529" s="1" t="str">
        <f t="shared" si="924"/>
        <v>36260</v>
      </c>
      <c r="B25529" s="1" t="str">
        <f>"84316"</f>
        <v>84316</v>
      </c>
      <c r="C25529" s="2">
        <v>1.1902778108410501E-5</v>
      </c>
      <c r="D25529" s="2">
        <v>9.8087297694948497E-5</v>
      </c>
      <c r="E25529" s="2">
        <v>9.6506465933217505E-5</v>
      </c>
      <c r="F25529" s="2">
        <v>2.1216857500512699E-5</v>
      </c>
    </row>
    <row r="25530" spans="1:6" x14ac:dyDescent="0.25">
      <c r="A25530" s="1" t="str">
        <f t="shared" si="924"/>
        <v>36260</v>
      </c>
      <c r="B25530" s="1" t="str">
        <f>"84201"</f>
        <v>84201</v>
      </c>
      <c r="C25530" s="2">
        <v>0</v>
      </c>
      <c r="D25530" s="2">
        <v>2.4521824423737101E-4</v>
      </c>
      <c r="E25530" s="2">
        <v>0</v>
      </c>
      <c r="F25530" s="2">
        <v>1.7680714583760599E-5</v>
      </c>
    </row>
    <row r="25531" spans="1:6" x14ac:dyDescent="0.25">
      <c r="A25531" s="1" t="str">
        <f t="shared" si="924"/>
        <v>36260</v>
      </c>
      <c r="B25531" s="1" t="str">
        <f>"84313"</f>
        <v>84313</v>
      </c>
      <c r="C25531" s="2">
        <v>5.2372223677006201E-4</v>
      </c>
      <c r="D25531" s="2">
        <v>0</v>
      </c>
      <c r="E25531" s="2">
        <v>9.6506465933217505E-5</v>
      </c>
      <c r="F25531" s="2">
        <v>4.7030700792803198E-4</v>
      </c>
    </row>
    <row r="25532" spans="1:6" x14ac:dyDescent="0.25">
      <c r="A25532" s="1" t="str">
        <f t="shared" si="924"/>
        <v>36260</v>
      </c>
      <c r="B25532" s="1" t="str">
        <f>"84050"</f>
        <v>84050</v>
      </c>
      <c r="C25532" s="2">
        <v>1.50689170852476E-2</v>
      </c>
      <c r="D25532" s="2">
        <v>6.3756743501716499E-3</v>
      </c>
      <c r="E25532" s="2">
        <v>5.69388149005983E-3</v>
      </c>
      <c r="F25532" s="2">
        <v>1.4098601809090699E-2</v>
      </c>
    </row>
    <row r="25533" spans="1:6" x14ac:dyDescent="0.25">
      <c r="A25533" s="1" t="str">
        <f t="shared" si="924"/>
        <v>36260</v>
      </c>
      <c r="B25533" s="1" t="str">
        <f>"84317"</f>
        <v>84317</v>
      </c>
      <c r="C25533" s="2">
        <v>4.2294538211885297E-3</v>
      </c>
      <c r="D25533" s="2">
        <v>4.9043648847474201E-4</v>
      </c>
      <c r="E25533" s="2">
        <v>1.15807759119861E-3</v>
      </c>
      <c r="F25533" s="2">
        <v>3.8473234934263099E-3</v>
      </c>
    </row>
    <row r="25534" spans="1:6" x14ac:dyDescent="0.25">
      <c r="A25534" s="1" t="str">
        <f t="shared" si="924"/>
        <v>36260</v>
      </c>
      <c r="B25534" s="1" t="str">
        <f>"84334"</f>
        <v>84334</v>
      </c>
      <c r="C25534" s="2">
        <v>4.0072686298315299E-4</v>
      </c>
      <c r="D25534" s="2">
        <v>0</v>
      </c>
      <c r="E25534" s="2">
        <v>9.6506465933217505E-5</v>
      </c>
      <c r="F25534" s="2">
        <v>3.6068657750871602E-4</v>
      </c>
    </row>
    <row r="25535" spans="1:6" x14ac:dyDescent="0.25">
      <c r="A25535" s="1" t="str">
        <f t="shared" si="924"/>
        <v>36260</v>
      </c>
      <c r="B25535" s="1" t="str">
        <f>"84401"</f>
        <v>84401</v>
      </c>
      <c r="C25535" s="2">
        <v>6.7405432427928597E-2</v>
      </c>
      <c r="D25535" s="2">
        <v>0.126581657675331</v>
      </c>
      <c r="E25535" s="2">
        <v>0.122852731132985</v>
      </c>
      <c r="F25535" s="2">
        <v>7.3703826813864504E-2</v>
      </c>
    </row>
    <row r="25536" spans="1:6" x14ac:dyDescent="0.25">
      <c r="A25536" s="1" t="str">
        <f t="shared" si="924"/>
        <v>36260</v>
      </c>
      <c r="B25536" s="1" t="str">
        <f>"84331"</f>
        <v>84331</v>
      </c>
      <c r="C25536" s="2">
        <v>9.4825465597003604E-4</v>
      </c>
      <c r="D25536" s="2">
        <v>1.4713094654242201E-4</v>
      </c>
      <c r="E25536" s="2">
        <v>2.219648716464E-3</v>
      </c>
      <c r="F25536" s="2">
        <v>9.3707787293931201E-4</v>
      </c>
    </row>
    <row r="25537" spans="1:6" x14ac:dyDescent="0.25">
      <c r="A25537" s="1" t="str">
        <f t="shared" si="924"/>
        <v>36260</v>
      </c>
      <c r="B25537" s="1" t="str">
        <f>"84324"</f>
        <v>84324</v>
      </c>
      <c r="C25537" s="2">
        <v>1.74970838193634E-3</v>
      </c>
      <c r="D25537" s="2">
        <v>1.9617459538989699E-4</v>
      </c>
      <c r="E25537" s="2">
        <v>9.6506465933217505E-5</v>
      </c>
      <c r="F25537" s="2">
        <v>1.57711974087144E-3</v>
      </c>
    </row>
    <row r="25538" spans="1:6" x14ac:dyDescent="0.25">
      <c r="A25538" s="1" t="str">
        <f t="shared" si="924"/>
        <v>36260</v>
      </c>
      <c r="B25538" s="1" t="str">
        <f>"84408"</f>
        <v>84408</v>
      </c>
      <c r="C25538" s="2">
        <v>2.1147269105942601E-3</v>
      </c>
      <c r="D25538" s="2">
        <v>1.1132908288376601E-2</v>
      </c>
      <c r="E25538" s="2">
        <v>6.6589461493920003E-3</v>
      </c>
      <c r="F25538" s="2">
        <v>2.9314624779875099E-3</v>
      </c>
    </row>
    <row r="25539" spans="1:6" x14ac:dyDescent="0.25">
      <c r="A25539" s="1" t="str">
        <f t="shared" ref="A25539:A25570" si="925">"36300"</f>
        <v>36300</v>
      </c>
      <c r="B25539" s="1" t="str">
        <f>"13617"</f>
        <v>13617</v>
      </c>
      <c r="C25539" s="2">
        <v>7.8739713673768405E-2</v>
      </c>
      <c r="D25539" s="2">
        <v>0.11283804787068601</v>
      </c>
      <c r="E25539" s="2">
        <v>0.126386554621848</v>
      </c>
      <c r="F25539" s="2">
        <v>8.2971490120838806E-2</v>
      </c>
    </row>
    <row r="25540" spans="1:6" x14ac:dyDescent="0.25">
      <c r="A25540" s="1" t="str">
        <f t="shared" si="925"/>
        <v>36300</v>
      </c>
      <c r="B25540" s="1" t="str">
        <f>"13681"</f>
        <v>13681</v>
      </c>
      <c r="C25540" s="2">
        <v>7.2708826513358102E-3</v>
      </c>
      <c r="D25540" s="2">
        <v>1.2433944668946201E-3</v>
      </c>
      <c r="E25540" s="2">
        <v>2.0168067226890699E-3</v>
      </c>
      <c r="F25540" s="2">
        <v>6.6814769935036496E-3</v>
      </c>
    </row>
    <row r="25541" spans="1:6" x14ac:dyDescent="0.25">
      <c r="A25541" s="1" t="str">
        <f t="shared" si="925"/>
        <v>36300</v>
      </c>
      <c r="B25541" s="1" t="str">
        <f>"13646"</f>
        <v>13646</v>
      </c>
      <c r="C25541" s="2">
        <v>2.3522338706647099E-2</v>
      </c>
      <c r="D25541" s="2">
        <v>4.9735778675784803E-3</v>
      </c>
      <c r="E25541" s="2">
        <v>5.3781512605042001E-3</v>
      </c>
      <c r="F25541" s="2">
        <v>2.16096132485105E-2</v>
      </c>
    </row>
    <row r="25542" spans="1:6" x14ac:dyDescent="0.25">
      <c r="A25542" s="1" t="str">
        <f t="shared" si="925"/>
        <v>36300</v>
      </c>
      <c r="B25542" s="1" t="str">
        <f>"13680"</f>
        <v>13680</v>
      </c>
      <c r="C25542" s="2">
        <v>8.3042122271070502E-3</v>
      </c>
      <c r="D25542" s="2">
        <v>2.4867889337892401E-3</v>
      </c>
      <c r="E25542" s="2">
        <v>1.6806722689075601E-3</v>
      </c>
      <c r="F25542" s="2">
        <v>7.65761217139587E-3</v>
      </c>
    </row>
    <row r="25543" spans="1:6" x14ac:dyDescent="0.25">
      <c r="A25543" s="1" t="str">
        <f t="shared" si="925"/>
        <v>36300</v>
      </c>
      <c r="B25543" s="1" t="str">
        <f>"12922"</f>
        <v>12922</v>
      </c>
      <c r="C25543" s="2">
        <v>7.1393679780558297E-4</v>
      </c>
      <c r="D25543" s="2">
        <v>1.2433944668946201E-3</v>
      </c>
      <c r="E25543" s="2">
        <v>3.3613445378151202E-4</v>
      </c>
      <c r="F25543" s="2">
        <v>7.2368642498905997E-4</v>
      </c>
    </row>
    <row r="25544" spans="1:6" x14ac:dyDescent="0.25">
      <c r="A25544" s="1" t="str">
        <f t="shared" si="925"/>
        <v>36300</v>
      </c>
      <c r="B25544" s="1" t="str">
        <f>"13630"</f>
        <v>13630</v>
      </c>
      <c r="C25544" s="2">
        <v>1.05399616728666E-2</v>
      </c>
      <c r="D25544" s="2">
        <v>4.0410320174075198E-3</v>
      </c>
      <c r="E25544" s="2">
        <v>1.6806722689075601E-3</v>
      </c>
      <c r="F25544" s="2">
        <v>9.7445218620620007E-3</v>
      </c>
    </row>
    <row r="25545" spans="1:6" x14ac:dyDescent="0.25">
      <c r="A25545" s="1" t="str">
        <f t="shared" si="925"/>
        <v>36300</v>
      </c>
      <c r="B25545" s="1" t="str">
        <f>"13645"</f>
        <v>13645</v>
      </c>
      <c r="C25545" s="2">
        <v>2.44241536091383E-4</v>
      </c>
      <c r="D25545" s="2">
        <v>0</v>
      </c>
      <c r="E25545" s="2">
        <v>3.3613445378151202E-4</v>
      </c>
      <c r="F25545" s="2">
        <v>2.35618836042949E-4</v>
      </c>
    </row>
    <row r="25546" spans="1:6" x14ac:dyDescent="0.25">
      <c r="A25546" s="1" t="str">
        <f t="shared" si="925"/>
        <v>36300</v>
      </c>
      <c r="B25546" s="1" t="str">
        <f>"12986"</f>
        <v>12986</v>
      </c>
      <c r="C25546" s="2">
        <v>2.1042347724796102E-3</v>
      </c>
      <c r="D25546" s="2">
        <v>0</v>
      </c>
      <c r="E25546" s="2">
        <v>0</v>
      </c>
      <c r="F25546" s="2">
        <v>1.8849506883435901E-3</v>
      </c>
    </row>
    <row r="25547" spans="1:6" x14ac:dyDescent="0.25">
      <c r="A25547" s="1" t="str">
        <f t="shared" si="925"/>
        <v>36300</v>
      </c>
      <c r="B25547" s="1" t="str">
        <f>"13670"</f>
        <v>13670</v>
      </c>
      <c r="C25547" s="2">
        <v>4.3399842182392E-3</v>
      </c>
      <c r="D25547" s="2">
        <v>1.86509170034193E-3</v>
      </c>
      <c r="E25547" s="2">
        <v>0</v>
      </c>
      <c r="F25547" s="2">
        <v>3.9886902958699297E-3</v>
      </c>
    </row>
    <row r="25548" spans="1:6" x14ac:dyDescent="0.25">
      <c r="A25548" s="1" t="str">
        <f t="shared" si="925"/>
        <v>36300</v>
      </c>
      <c r="B25548" s="1" t="str">
        <f>"13694"</f>
        <v>13694</v>
      </c>
      <c r="C25548" s="2">
        <v>1.14042009544207E-2</v>
      </c>
      <c r="D25548" s="2">
        <v>4.3518806341311701E-3</v>
      </c>
      <c r="E25548" s="2">
        <v>3.69747899159663E-3</v>
      </c>
      <c r="F25548" s="2">
        <v>1.06365074556531E-2</v>
      </c>
    </row>
    <row r="25549" spans="1:6" x14ac:dyDescent="0.25">
      <c r="A25549" s="1" t="str">
        <f t="shared" si="925"/>
        <v>36300</v>
      </c>
      <c r="B25549" s="1" t="str">
        <f>"12965"</f>
        <v>12965</v>
      </c>
      <c r="C25549" s="2">
        <v>3.41938150527937E-3</v>
      </c>
      <c r="D25549" s="2">
        <v>3.1084861672365498E-3</v>
      </c>
      <c r="E25549" s="2">
        <v>1.00840336134453E-3</v>
      </c>
      <c r="F25549" s="2">
        <v>3.2818337877410799E-3</v>
      </c>
    </row>
    <row r="25550" spans="1:6" x14ac:dyDescent="0.25">
      <c r="A25550" s="1" t="str">
        <f t="shared" si="925"/>
        <v>36300</v>
      </c>
      <c r="B25550" s="1" t="str">
        <f>"13662"</f>
        <v>13662</v>
      </c>
      <c r="C25550" s="2">
        <v>0.150077030022921</v>
      </c>
      <c r="D25550" s="2">
        <v>0.231893068075847</v>
      </c>
      <c r="E25550" s="2">
        <v>0.22554621848739401</v>
      </c>
      <c r="F25550" s="2">
        <v>0.15828536807028101</v>
      </c>
    </row>
    <row r="25551" spans="1:6" x14ac:dyDescent="0.25">
      <c r="A25551" s="1" t="str">
        <f t="shared" si="925"/>
        <v>36300</v>
      </c>
      <c r="B25551" s="1" t="str">
        <f>"13669"</f>
        <v>13669</v>
      </c>
      <c r="C25551" s="2">
        <v>0.14635704355014401</v>
      </c>
      <c r="D25551" s="2">
        <v>0.20951196767174299</v>
      </c>
      <c r="E25551" s="2">
        <v>0.20436974789915899</v>
      </c>
      <c r="F25551" s="2">
        <v>0.15268100575583099</v>
      </c>
    </row>
    <row r="25552" spans="1:6" x14ac:dyDescent="0.25">
      <c r="A25552" s="1" t="str">
        <f t="shared" si="925"/>
        <v>36300</v>
      </c>
      <c r="B25552" s="1" t="str">
        <f>"13623"</f>
        <v>13623</v>
      </c>
      <c r="C25552" s="2">
        <v>0</v>
      </c>
      <c r="D25552" s="2">
        <v>0</v>
      </c>
      <c r="E25552" s="2">
        <v>3.3613445378151202E-4</v>
      </c>
      <c r="F25552" s="2">
        <v>1.68299168602107E-5</v>
      </c>
    </row>
    <row r="25553" spans="1:6" x14ac:dyDescent="0.25">
      <c r="A25553" s="1" t="str">
        <f t="shared" si="925"/>
        <v>36300</v>
      </c>
      <c r="B25553" s="1" t="str">
        <f>"13677"</f>
        <v>13677</v>
      </c>
      <c r="C25553" s="2">
        <v>0</v>
      </c>
      <c r="D25553" s="2">
        <v>0</v>
      </c>
      <c r="E25553" s="2">
        <v>3.3613445378151202E-4</v>
      </c>
      <c r="F25553" s="2">
        <v>1.68299168602107E-5</v>
      </c>
    </row>
    <row r="25554" spans="1:6" x14ac:dyDescent="0.25">
      <c r="A25554" s="1" t="str">
        <f t="shared" si="925"/>
        <v>36300</v>
      </c>
      <c r="B25554" s="1" t="str">
        <f>"13691"</f>
        <v>13691</v>
      </c>
      <c r="C25554" s="2">
        <v>1.6909029421711101E-4</v>
      </c>
      <c r="D25554" s="2">
        <v>0</v>
      </c>
      <c r="E25554" s="2">
        <v>6.7226890756302501E-4</v>
      </c>
      <c r="F25554" s="2">
        <v>1.8512908546231699E-4</v>
      </c>
    </row>
    <row r="25555" spans="1:6" x14ac:dyDescent="0.25">
      <c r="A25555" s="1" t="str">
        <f t="shared" si="925"/>
        <v>36300</v>
      </c>
      <c r="B25555" s="1" t="str">
        <f>"12949"</f>
        <v>12949</v>
      </c>
      <c r="C25555" s="2">
        <v>3.7575620937135902E-5</v>
      </c>
      <c r="D25555" s="2">
        <v>0</v>
      </c>
      <c r="E25555" s="2">
        <v>3.3613445378151202E-4</v>
      </c>
      <c r="F25555" s="2">
        <v>5.0489750580632102E-5</v>
      </c>
    </row>
    <row r="25556" spans="1:6" x14ac:dyDescent="0.25">
      <c r="A25556" s="1" t="str">
        <f t="shared" si="925"/>
        <v>36300</v>
      </c>
      <c r="B25556" s="1" t="str">
        <f>"13679"</f>
        <v>13679</v>
      </c>
      <c r="C25556" s="2">
        <v>2.0854469620110402E-3</v>
      </c>
      <c r="D25556" s="2">
        <v>6.2169723344731101E-4</v>
      </c>
      <c r="E25556" s="2">
        <v>1.34453781512605E-3</v>
      </c>
      <c r="F25556" s="2">
        <v>1.96910027264465E-3</v>
      </c>
    </row>
    <row r="25557" spans="1:6" x14ac:dyDescent="0.25">
      <c r="A25557" s="1" t="str">
        <f t="shared" si="925"/>
        <v>36300</v>
      </c>
      <c r="B25557" s="1" t="str">
        <f>"13614"</f>
        <v>13614</v>
      </c>
      <c r="C25557" s="2">
        <v>2.3484763085709899E-3</v>
      </c>
      <c r="D25557" s="2">
        <v>0</v>
      </c>
      <c r="E25557" s="2">
        <v>3.3613445378151202E-4</v>
      </c>
      <c r="F25557" s="2">
        <v>2.1205695243865399E-3</v>
      </c>
    </row>
    <row r="25558" spans="1:6" x14ac:dyDescent="0.25">
      <c r="A25558" s="1" t="str">
        <f t="shared" si="925"/>
        <v>36300</v>
      </c>
      <c r="B25558" s="1" t="str">
        <f>"13608"</f>
        <v>13608</v>
      </c>
      <c r="C25558" s="2">
        <v>2.3296884981024299E-3</v>
      </c>
      <c r="D25558" s="2">
        <v>6.2169723344731101E-4</v>
      </c>
      <c r="E25558" s="2">
        <v>1.34453781512605E-3</v>
      </c>
      <c r="F25558" s="2">
        <v>2.1878891918273901E-3</v>
      </c>
    </row>
    <row r="25559" spans="1:6" x14ac:dyDescent="0.25">
      <c r="A25559" s="1" t="str">
        <f t="shared" si="925"/>
        <v>36300</v>
      </c>
      <c r="B25559" s="1" t="str">
        <f>"13642"</f>
        <v>13642</v>
      </c>
      <c r="C25559" s="2">
        <v>7.7631232856122903E-2</v>
      </c>
      <c r="D25559" s="2">
        <v>9.3565433633820305E-2</v>
      </c>
      <c r="E25559" s="2">
        <v>0.12672268907563</v>
      </c>
      <c r="F25559" s="2">
        <v>8.0951900097613494E-2</v>
      </c>
    </row>
    <row r="25560" spans="1:6" x14ac:dyDescent="0.25">
      <c r="A25560" s="1" t="str">
        <f t="shared" si="925"/>
        <v>36300</v>
      </c>
      <c r="B25560" s="1" t="str">
        <f>"13625"</f>
        <v>13625</v>
      </c>
      <c r="C25560" s="2">
        <v>1.7435088114831E-2</v>
      </c>
      <c r="D25560" s="2">
        <v>4.0410320174075198E-3</v>
      </c>
      <c r="E25560" s="2">
        <v>3.0252100840336099E-3</v>
      </c>
      <c r="F25560" s="2">
        <v>1.5988421017200102E-2</v>
      </c>
    </row>
    <row r="25561" spans="1:6" x14ac:dyDescent="0.25">
      <c r="A25561" s="1" t="str">
        <f t="shared" si="925"/>
        <v>36300</v>
      </c>
      <c r="B25561" s="1" t="str">
        <f>"13667"</f>
        <v>13667</v>
      </c>
      <c r="C25561" s="2">
        <v>2.7110810506143598E-2</v>
      </c>
      <c r="D25561" s="2">
        <v>9.0146098849860096E-3</v>
      </c>
      <c r="E25561" s="2">
        <v>1.7815126050420099E-2</v>
      </c>
      <c r="F25561" s="2">
        <v>2.5665623211821299E-2</v>
      </c>
    </row>
    <row r="25562" spans="1:6" x14ac:dyDescent="0.25">
      <c r="A25562" s="1" t="str">
        <f t="shared" si="925"/>
        <v>36300</v>
      </c>
      <c r="B25562" s="1" t="str">
        <f>"12973"</f>
        <v>12973</v>
      </c>
      <c r="C25562" s="2">
        <v>0</v>
      </c>
      <c r="D25562" s="2">
        <v>0</v>
      </c>
      <c r="E25562" s="2">
        <v>3.3613445378151202E-4</v>
      </c>
      <c r="F25562" s="2">
        <v>1.68299168602107E-5</v>
      </c>
    </row>
    <row r="25563" spans="1:6" x14ac:dyDescent="0.25">
      <c r="A25563" s="1" t="str">
        <f t="shared" si="925"/>
        <v>36300</v>
      </c>
      <c r="B25563" s="1" t="str">
        <f>"13639"</f>
        <v>13639</v>
      </c>
      <c r="C25563" s="2">
        <v>3.56968398902791E-4</v>
      </c>
      <c r="D25563" s="2">
        <v>0</v>
      </c>
      <c r="E25563" s="2">
        <v>3.3613445378151202E-4</v>
      </c>
      <c r="F25563" s="2">
        <v>3.3659833720421401E-4</v>
      </c>
    </row>
    <row r="25564" spans="1:6" x14ac:dyDescent="0.25">
      <c r="A25564" s="1" t="str">
        <f t="shared" si="925"/>
        <v>36300</v>
      </c>
      <c r="B25564" s="1" t="str">
        <f>"13649"</f>
        <v>13649</v>
      </c>
      <c r="C25564" s="2">
        <v>1.4466614060797301E-3</v>
      </c>
      <c r="D25564" s="2">
        <v>0</v>
      </c>
      <c r="E25564" s="2">
        <v>3.3613445378151202E-4</v>
      </c>
      <c r="F25564" s="2">
        <v>1.3127335150964301E-3</v>
      </c>
    </row>
    <row r="25565" spans="1:6" x14ac:dyDescent="0.25">
      <c r="A25565" s="1" t="str">
        <f t="shared" si="925"/>
        <v>36300</v>
      </c>
      <c r="B25565" s="1" t="str">
        <f>"13613"</f>
        <v>13613</v>
      </c>
      <c r="C25565" s="2">
        <v>2.1230225829481801E-2</v>
      </c>
      <c r="D25565" s="2">
        <v>6.8386695679204202E-3</v>
      </c>
      <c r="E25565" s="2">
        <v>6.0504201680672198E-3</v>
      </c>
      <c r="F25565" s="2">
        <v>1.9691002726446499E-2</v>
      </c>
    </row>
    <row r="25566" spans="1:6" x14ac:dyDescent="0.25">
      <c r="A25566" s="1" t="str">
        <f t="shared" si="925"/>
        <v>36300</v>
      </c>
      <c r="B25566" s="1" t="str">
        <f>"13654"</f>
        <v>13654</v>
      </c>
      <c r="C25566" s="2">
        <v>1.8130237102168101E-2</v>
      </c>
      <c r="D25566" s="2">
        <v>9.6363071184333206E-3</v>
      </c>
      <c r="E25566" s="2">
        <v>6.0504201680672198E-3</v>
      </c>
      <c r="F25566" s="2">
        <v>1.70655356962536E-2</v>
      </c>
    </row>
    <row r="25567" spans="1:6" x14ac:dyDescent="0.25">
      <c r="A25567" s="1" t="str">
        <f t="shared" si="925"/>
        <v>36300</v>
      </c>
      <c r="B25567" s="1" t="str">
        <f>"13676"</f>
        <v>13676</v>
      </c>
      <c r="C25567" s="2">
        <v>0.21094953594108101</v>
      </c>
      <c r="D25567" s="2">
        <v>0.22660864159154401</v>
      </c>
      <c r="E25567" s="2">
        <v>0.19764705882352901</v>
      </c>
      <c r="F25567" s="2">
        <v>0.211131307011343</v>
      </c>
    </row>
    <row r="25568" spans="1:6" x14ac:dyDescent="0.25">
      <c r="A25568" s="1" t="str">
        <f t="shared" si="925"/>
        <v>36300</v>
      </c>
      <c r="B25568" s="1" t="str">
        <f>"13690"</f>
        <v>13690</v>
      </c>
      <c r="C25568" s="2">
        <v>7.2896704618043802E-3</v>
      </c>
      <c r="D25568" s="2">
        <v>6.2169723344731101E-3</v>
      </c>
      <c r="E25568" s="2">
        <v>2.3529411764705798E-3</v>
      </c>
      <c r="F25568" s="2">
        <v>6.9844154969874398E-3</v>
      </c>
    </row>
    <row r="25569" spans="1:6" x14ac:dyDescent="0.25">
      <c r="A25569" s="1" t="str">
        <f t="shared" si="925"/>
        <v>36300</v>
      </c>
      <c r="B25569" s="1" t="str">
        <f>"13633"</f>
        <v>13633</v>
      </c>
      <c r="C25569" s="2">
        <v>1.9163566677939301E-3</v>
      </c>
      <c r="D25569" s="2">
        <v>0</v>
      </c>
      <c r="E25569" s="2">
        <v>3.3613445378151202E-4</v>
      </c>
      <c r="F25569" s="2">
        <v>1.7334814366016999E-3</v>
      </c>
    </row>
    <row r="25570" spans="1:6" x14ac:dyDescent="0.25">
      <c r="A25570" s="1" t="str">
        <f t="shared" si="925"/>
        <v>36300</v>
      </c>
      <c r="B25570" s="1" t="str">
        <f>"12927"</f>
        <v>12927</v>
      </c>
      <c r="C25570" s="2">
        <v>3.9830158193364098E-3</v>
      </c>
      <c r="D25570" s="2">
        <v>1.86509170034193E-3</v>
      </c>
      <c r="E25570" s="2">
        <v>6.7226890756302501E-4</v>
      </c>
      <c r="F25570" s="2">
        <v>3.7025817092463499E-3</v>
      </c>
    </row>
    <row r="25571" spans="1:6" x14ac:dyDescent="0.25">
      <c r="A25571" s="1" t="str">
        <f t="shared" ref="A25571:A25592" si="926">"36300"</f>
        <v>36300</v>
      </c>
      <c r="B25571" s="1" t="str">
        <f>"13668"</f>
        <v>13668</v>
      </c>
      <c r="C25571" s="2">
        <v>2.82192913237891E-2</v>
      </c>
      <c r="D25571" s="2">
        <v>2.2691949020826802E-2</v>
      </c>
      <c r="E25571" s="2">
        <v>3.2605042016806703E-2</v>
      </c>
      <c r="F25571" s="2">
        <v>2.8139620990272299E-2</v>
      </c>
    </row>
    <row r="25572" spans="1:6" x14ac:dyDescent="0.25">
      <c r="A25572" s="1" t="str">
        <f t="shared" si="926"/>
        <v>36300</v>
      </c>
      <c r="B25572" s="1" t="str">
        <f>"13699"</f>
        <v>13699</v>
      </c>
      <c r="C25572" s="2">
        <v>0</v>
      </c>
      <c r="D25572" s="2">
        <v>9.3254585017096597E-4</v>
      </c>
      <c r="E25572" s="2">
        <v>0</v>
      </c>
      <c r="F25572" s="2">
        <v>5.0489750580632102E-5</v>
      </c>
    </row>
    <row r="25573" spans="1:6" x14ac:dyDescent="0.25">
      <c r="A25573" s="1" t="str">
        <f t="shared" si="926"/>
        <v>36300</v>
      </c>
      <c r="B25573" s="1" t="str">
        <f>"12980"</f>
        <v>12980</v>
      </c>
      <c r="C25573" s="2">
        <v>2.8745350016909001E-3</v>
      </c>
      <c r="D25573" s="2">
        <v>0</v>
      </c>
      <c r="E25573" s="2">
        <v>0</v>
      </c>
      <c r="F25573" s="2">
        <v>2.5749772796122301E-3</v>
      </c>
    </row>
    <row r="25574" spans="1:6" x14ac:dyDescent="0.25">
      <c r="A25574" s="1" t="str">
        <f t="shared" si="926"/>
        <v>36300</v>
      </c>
      <c r="B25574" s="1" t="str">
        <f>"12930"</f>
        <v>12930</v>
      </c>
      <c r="C25574" s="2">
        <v>1.3151467327997499E-4</v>
      </c>
      <c r="D25574" s="2">
        <v>0</v>
      </c>
      <c r="E25574" s="2">
        <v>0</v>
      </c>
      <c r="F25574" s="2">
        <v>1.17809418021474E-4</v>
      </c>
    </row>
    <row r="25575" spans="1:6" x14ac:dyDescent="0.25">
      <c r="A25575" s="1" t="str">
        <f t="shared" si="926"/>
        <v>36300</v>
      </c>
      <c r="B25575" s="1" t="str">
        <f>"12967"</f>
        <v>12967</v>
      </c>
      <c r="C25575" s="2">
        <v>8.1351219328899393E-3</v>
      </c>
      <c r="D25575" s="2">
        <v>3.1084861672365498E-3</v>
      </c>
      <c r="E25575" s="2">
        <v>1.00840336134453E-3</v>
      </c>
      <c r="F25575" s="2">
        <v>7.5061429196539697E-3</v>
      </c>
    </row>
    <row r="25576" spans="1:6" x14ac:dyDescent="0.25">
      <c r="A25576" s="1" t="str">
        <f t="shared" si="926"/>
        <v>36300</v>
      </c>
      <c r="B25576" s="1" t="str">
        <f>"13660"</f>
        <v>13660</v>
      </c>
      <c r="C25576" s="2">
        <v>1.55375192575057E-2</v>
      </c>
      <c r="D25576" s="2">
        <v>3.1084861672365498E-3</v>
      </c>
      <c r="E25576" s="2">
        <v>7.7310924369747803E-3</v>
      </c>
      <c r="F25576" s="2">
        <v>1.4473728499781201E-2</v>
      </c>
    </row>
    <row r="25577" spans="1:6" x14ac:dyDescent="0.25">
      <c r="A25577" s="1" t="str">
        <f t="shared" si="926"/>
        <v>36300</v>
      </c>
      <c r="B25577" s="1" t="str">
        <f>"13635"</f>
        <v>13635</v>
      </c>
      <c r="C25577" s="2">
        <v>7.90966820726712E-3</v>
      </c>
      <c r="D25577" s="2">
        <v>2.7976375505129E-3</v>
      </c>
      <c r="E25577" s="2">
        <v>1.00840336134453E-3</v>
      </c>
      <c r="F25577" s="2">
        <v>7.2873540004712301E-3</v>
      </c>
    </row>
    <row r="25578" spans="1:6" x14ac:dyDescent="0.25">
      <c r="A25578" s="1" t="str">
        <f t="shared" si="926"/>
        <v>36300</v>
      </c>
      <c r="B25578" s="1" t="str">
        <f>"13684"</f>
        <v>13684</v>
      </c>
      <c r="C25578" s="2">
        <v>1.00326907902153E-2</v>
      </c>
      <c r="D25578" s="2">
        <v>3.4193347839602101E-3</v>
      </c>
      <c r="E25578" s="2">
        <v>2.0168067226890699E-3</v>
      </c>
      <c r="F25578" s="2">
        <v>9.2732841899761005E-3</v>
      </c>
    </row>
    <row r="25579" spans="1:6" x14ac:dyDescent="0.25">
      <c r="A25579" s="1" t="str">
        <f t="shared" si="926"/>
        <v>36300</v>
      </c>
      <c r="B25579" s="1" t="str">
        <f>"13678"</f>
        <v>13678</v>
      </c>
      <c r="C25579" s="2">
        <v>3.7575620937135902E-5</v>
      </c>
      <c r="D25579" s="2">
        <v>0</v>
      </c>
      <c r="E25579" s="2">
        <v>3.3613445378151202E-4</v>
      </c>
      <c r="F25579" s="2">
        <v>5.0489750580632102E-5</v>
      </c>
    </row>
    <row r="25580" spans="1:6" x14ac:dyDescent="0.25">
      <c r="A25580" s="1" t="str">
        <f t="shared" si="926"/>
        <v>36300</v>
      </c>
      <c r="B25580" s="1" t="str">
        <f>"13695"</f>
        <v>13695</v>
      </c>
      <c r="C25580" s="2">
        <v>1.9727200991996301E-3</v>
      </c>
      <c r="D25580" s="2">
        <v>6.2169723344731101E-4</v>
      </c>
      <c r="E25580" s="2">
        <v>3.3613445378151202E-4</v>
      </c>
      <c r="F25580" s="2">
        <v>1.8176310209027499E-3</v>
      </c>
    </row>
    <row r="25581" spans="1:6" x14ac:dyDescent="0.25">
      <c r="A25581" s="1" t="str">
        <f t="shared" si="926"/>
        <v>36300</v>
      </c>
      <c r="B25581" s="1" t="str">
        <f>"13666"</f>
        <v>13666</v>
      </c>
      <c r="C25581" s="2">
        <v>1.9163566677939301E-3</v>
      </c>
      <c r="D25581" s="2">
        <v>0</v>
      </c>
      <c r="E25581" s="2">
        <v>3.3613445378151202E-4</v>
      </c>
      <c r="F25581" s="2">
        <v>1.7334814366016999E-3</v>
      </c>
    </row>
    <row r="25582" spans="1:6" x14ac:dyDescent="0.25">
      <c r="A25582" s="1" t="str">
        <f t="shared" si="926"/>
        <v>36300</v>
      </c>
      <c r="B25582" s="1" t="str">
        <f>"13664"</f>
        <v>13664</v>
      </c>
      <c r="C25582" s="2">
        <v>2.55514222372524E-3</v>
      </c>
      <c r="D25582" s="2">
        <v>1.5542430836182699E-3</v>
      </c>
      <c r="E25582" s="2">
        <v>1.00840336134453E-3</v>
      </c>
      <c r="F25582" s="2">
        <v>2.4235080278703401E-3</v>
      </c>
    </row>
    <row r="25583" spans="1:6" x14ac:dyDescent="0.25">
      <c r="A25583" s="1" t="str">
        <f t="shared" si="926"/>
        <v>36300</v>
      </c>
      <c r="B25583" s="1" t="str">
        <f>"12914"</f>
        <v>12914</v>
      </c>
      <c r="C25583" s="2">
        <v>7.3272460827415102E-4</v>
      </c>
      <c r="D25583" s="2">
        <v>0</v>
      </c>
      <c r="E25583" s="2">
        <v>0</v>
      </c>
      <c r="F25583" s="2">
        <v>6.56366757548217E-4</v>
      </c>
    </row>
    <row r="25584" spans="1:6" x14ac:dyDescent="0.25">
      <c r="A25584" s="1" t="str">
        <f t="shared" si="926"/>
        <v>36300</v>
      </c>
      <c r="B25584" s="1" t="str">
        <f>"13697"</f>
        <v>13697</v>
      </c>
      <c r="C25584" s="2">
        <v>1.9013264194190801E-2</v>
      </c>
      <c r="D25584" s="2">
        <v>4.3518806341311701E-3</v>
      </c>
      <c r="E25584" s="2">
        <v>3.0252100840336099E-3</v>
      </c>
      <c r="F25584" s="2">
        <v>1.7418963950318E-2</v>
      </c>
    </row>
    <row r="25585" spans="1:6" x14ac:dyDescent="0.25">
      <c r="A25585" s="1" t="str">
        <f t="shared" si="926"/>
        <v>36300</v>
      </c>
      <c r="B25585" s="1" t="str">
        <f>"13652"</f>
        <v>13652</v>
      </c>
      <c r="C25585" s="2">
        <v>1.7059331905459701E-2</v>
      </c>
      <c r="D25585" s="2">
        <v>4.0410320174075198E-3</v>
      </c>
      <c r="E25585" s="2">
        <v>2.3529411764705798E-3</v>
      </c>
      <c r="F25585" s="2">
        <v>1.5618162846275501E-2</v>
      </c>
    </row>
    <row r="25586" spans="1:6" x14ac:dyDescent="0.25">
      <c r="A25586" s="1" t="str">
        <f t="shared" si="926"/>
        <v>36300</v>
      </c>
      <c r="B25586" s="1" t="str">
        <f>"13687"</f>
        <v>13687</v>
      </c>
      <c r="C25586" s="2">
        <v>2.7430203284109201E-3</v>
      </c>
      <c r="D25586" s="2">
        <v>3.1084861672365502E-4</v>
      </c>
      <c r="E25586" s="2">
        <v>3.3613445378151202E-4</v>
      </c>
      <c r="F25586" s="2">
        <v>2.4908276953111799E-3</v>
      </c>
    </row>
    <row r="25587" spans="1:6" x14ac:dyDescent="0.25">
      <c r="A25587" s="1" t="str">
        <f t="shared" si="926"/>
        <v>36300</v>
      </c>
      <c r="B25587" s="1" t="str">
        <f>"13648"</f>
        <v>13648</v>
      </c>
      <c r="C25587" s="2">
        <v>8.6236050050727004E-3</v>
      </c>
      <c r="D25587" s="2">
        <v>3.1084861672365498E-3</v>
      </c>
      <c r="E25587" s="2">
        <v>3.3613445378151202E-4</v>
      </c>
      <c r="F25587" s="2">
        <v>7.9100609242990297E-3</v>
      </c>
    </row>
    <row r="25588" spans="1:6" x14ac:dyDescent="0.25">
      <c r="A25588" s="1" t="str">
        <f t="shared" si="926"/>
        <v>36300</v>
      </c>
      <c r="B25588" s="1" t="str">
        <f>"13672"</f>
        <v>13672</v>
      </c>
      <c r="C25588" s="2">
        <v>4.8284672904219698E-3</v>
      </c>
      <c r="D25588" s="2">
        <v>7.1495181846440697E-3</v>
      </c>
      <c r="E25588" s="2">
        <v>6.7226890756302501E-4</v>
      </c>
      <c r="F25588" s="2">
        <v>4.7460365545794201E-3</v>
      </c>
    </row>
    <row r="25589" spans="1:6" x14ac:dyDescent="0.25">
      <c r="A25589" s="1" t="str">
        <f t="shared" si="926"/>
        <v>36300</v>
      </c>
      <c r="B25589" s="1" t="str">
        <f>"13647"</f>
        <v>13647</v>
      </c>
      <c r="C25589" s="2">
        <v>1.87878104685679E-5</v>
      </c>
      <c r="D25589" s="2">
        <v>0</v>
      </c>
      <c r="E25589" s="2">
        <v>3.3613445378151202E-4</v>
      </c>
      <c r="F25589" s="2">
        <v>3.3659833720421399E-5</v>
      </c>
    </row>
    <row r="25590" spans="1:6" x14ac:dyDescent="0.25">
      <c r="A25590" s="1" t="str">
        <f t="shared" si="926"/>
        <v>36300</v>
      </c>
      <c r="B25590" s="1" t="str">
        <f>"13696"</f>
        <v>13696</v>
      </c>
      <c r="C25590" s="2">
        <v>1.31514673279975E-3</v>
      </c>
      <c r="D25590" s="2">
        <v>3.1084861672365502E-4</v>
      </c>
      <c r="E25590" s="2">
        <v>3.3613445378151202E-4</v>
      </c>
      <c r="F25590" s="2">
        <v>1.2117540139351701E-3</v>
      </c>
    </row>
    <row r="25591" spans="1:6" x14ac:dyDescent="0.25">
      <c r="A25591" s="1" t="str">
        <f t="shared" si="926"/>
        <v>36300</v>
      </c>
      <c r="B25591" s="1" t="str">
        <f>"13621"</f>
        <v>13621</v>
      </c>
      <c r="C25591" s="2">
        <v>5.5424040882275502E-3</v>
      </c>
      <c r="D25591" s="2">
        <v>1.86509170034193E-3</v>
      </c>
      <c r="E25591" s="2">
        <v>1.00840336134453E-3</v>
      </c>
      <c r="F25591" s="2">
        <v>5.1162947255040496E-3</v>
      </c>
    </row>
    <row r="25592" spans="1:6" x14ac:dyDescent="0.25">
      <c r="A25592" s="1" t="str">
        <f t="shared" si="926"/>
        <v>36300</v>
      </c>
      <c r="B25592" s="1" t="str">
        <f>"13658"</f>
        <v>13658</v>
      </c>
      <c r="C25592" s="2">
        <v>1.9313869161687799E-2</v>
      </c>
      <c r="D25592" s="2">
        <v>4.0410320174075198E-3</v>
      </c>
      <c r="E25592" s="2">
        <v>6.3865546218487296E-3</v>
      </c>
      <c r="F25592" s="2">
        <v>1.7839711871823299E-2</v>
      </c>
    </row>
    <row r="25593" spans="1:6" x14ac:dyDescent="0.25">
      <c r="A25593" s="1" t="str">
        <f t="shared" ref="A25593:A25615" si="927">"36340"</f>
        <v>36340</v>
      </c>
      <c r="B25593" s="1" t="str">
        <f>"16353"</f>
        <v>16353</v>
      </c>
      <c r="C25593" s="2">
        <v>4.1537282735814801E-3</v>
      </c>
      <c r="D25593" s="2">
        <v>5.4734537493158098E-4</v>
      </c>
      <c r="E25593" s="2">
        <v>9.6061479346781905E-4</v>
      </c>
      <c r="F25593" s="2">
        <v>3.7954093620097499E-3</v>
      </c>
    </row>
    <row r="25594" spans="1:6" x14ac:dyDescent="0.25">
      <c r="A25594" s="1" t="str">
        <f t="shared" si="927"/>
        <v>36340</v>
      </c>
      <c r="B25594" s="1" t="str">
        <f>"16364"</f>
        <v>16364</v>
      </c>
      <c r="C25594" s="2">
        <v>1.53647618663548E-2</v>
      </c>
      <c r="D25594" s="2">
        <v>4.9261083743842296E-3</v>
      </c>
      <c r="E25594" s="2">
        <v>9.6061479346781905E-4</v>
      </c>
      <c r="F25594" s="2">
        <v>1.4133381529007699E-2</v>
      </c>
    </row>
    <row r="25595" spans="1:6" x14ac:dyDescent="0.25">
      <c r="A25595" s="1" t="str">
        <f t="shared" si="927"/>
        <v>36340</v>
      </c>
      <c r="B25595" s="1" t="str">
        <f>"16317"</f>
        <v>16317</v>
      </c>
      <c r="C25595" s="2">
        <v>2.3147961446949201E-2</v>
      </c>
      <c r="D25595" s="2">
        <v>5.4734537493158096E-3</v>
      </c>
      <c r="E25595" s="2">
        <v>9.6061479346781905E-4</v>
      </c>
      <c r="F25595" s="2">
        <v>2.1145852159768601E-2</v>
      </c>
    </row>
    <row r="25596" spans="1:6" x14ac:dyDescent="0.25">
      <c r="A25596" s="1" t="str">
        <f t="shared" si="927"/>
        <v>36340</v>
      </c>
      <c r="B25596" s="1" t="str">
        <f>"16327"</f>
        <v>16327</v>
      </c>
      <c r="C25596" s="2">
        <v>1.2098237690043101E-4</v>
      </c>
      <c r="D25596" s="2">
        <v>5.4734537493158098E-4</v>
      </c>
      <c r="E25596" s="2">
        <v>0</v>
      </c>
      <c r="F25596" s="2">
        <v>1.4458702331465701E-4</v>
      </c>
    </row>
    <row r="25597" spans="1:6" x14ac:dyDescent="0.25">
      <c r="A25597" s="1" t="str">
        <f t="shared" si="927"/>
        <v>36340</v>
      </c>
      <c r="B25597" s="1" t="str">
        <f>"16153"</f>
        <v>16153</v>
      </c>
      <c r="C25597" s="2">
        <v>2.8632495866435402E-3</v>
      </c>
      <c r="D25597" s="2">
        <v>1.09469074986316E-3</v>
      </c>
      <c r="E25597" s="2">
        <v>0</v>
      </c>
      <c r="F25597" s="2">
        <v>2.6387131754924899E-3</v>
      </c>
    </row>
    <row r="25598" spans="1:6" x14ac:dyDescent="0.25">
      <c r="A25598" s="1" t="str">
        <f t="shared" si="927"/>
        <v>36340</v>
      </c>
      <c r="B25598" s="1" t="str">
        <f>"16373"</f>
        <v>16373</v>
      </c>
      <c r="C25598" s="2">
        <v>3.75448642981005E-2</v>
      </c>
      <c r="D25598" s="2">
        <v>1.8609742747673699E-2</v>
      </c>
      <c r="E25598" s="2">
        <v>6.7243035542747303E-3</v>
      </c>
      <c r="F25598" s="2">
        <v>3.5134646665461698E-2</v>
      </c>
    </row>
    <row r="25599" spans="1:6" x14ac:dyDescent="0.25">
      <c r="A25599" s="1" t="str">
        <f t="shared" si="927"/>
        <v>36340</v>
      </c>
      <c r="B25599" s="1" t="str">
        <f>"16232"</f>
        <v>16232</v>
      </c>
      <c r="C25599" s="2">
        <v>2.4196475380086299E-4</v>
      </c>
      <c r="D25599" s="2">
        <v>0</v>
      </c>
      <c r="E25599" s="2">
        <v>0</v>
      </c>
      <c r="F25599" s="2">
        <v>2.1688053497198601E-4</v>
      </c>
    </row>
    <row r="25600" spans="1:6" x14ac:dyDescent="0.25">
      <c r="A25600" s="1" t="str">
        <f t="shared" si="927"/>
        <v>36340</v>
      </c>
      <c r="B25600" s="1" t="str">
        <f>"16319"</f>
        <v>16319</v>
      </c>
      <c r="C25600" s="2">
        <v>1.73811348146953E-2</v>
      </c>
      <c r="D25600" s="2">
        <v>6.7870826491516101E-2</v>
      </c>
      <c r="E25600" s="2">
        <v>6.7243035542747303E-3</v>
      </c>
      <c r="F25600" s="2">
        <v>2.03144767757093E-2</v>
      </c>
    </row>
    <row r="25601" spans="1:6" x14ac:dyDescent="0.25">
      <c r="A25601" s="1" t="str">
        <f t="shared" si="927"/>
        <v>36340</v>
      </c>
      <c r="B25601" s="1" t="str">
        <f>"16372"</f>
        <v>16372</v>
      </c>
      <c r="C25601" s="2">
        <v>0</v>
      </c>
      <c r="D25601" s="2">
        <v>0</v>
      </c>
      <c r="E25601" s="2">
        <v>2.8818443804034498E-3</v>
      </c>
      <c r="F25601" s="2">
        <v>1.08440267485993E-4</v>
      </c>
    </row>
    <row r="25602" spans="1:6" x14ac:dyDescent="0.25">
      <c r="A25602" s="1" t="str">
        <f t="shared" si="927"/>
        <v>36340</v>
      </c>
      <c r="B25602" s="1" t="str">
        <f>"16362"</f>
        <v>16362</v>
      </c>
      <c r="C25602" s="2">
        <v>1.6897205307093599E-2</v>
      </c>
      <c r="D25602" s="2">
        <v>2.18938149972632E-3</v>
      </c>
      <c r="E25602" s="2">
        <v>9.6061479346781905E-4</v>
      </c>
      <c r="F25602" s="2">
        <v>1.53262244713536E-2</v>
      </c>
    </row>
    <row r="25603" spans="1:6" x14ac:dyDescent="0.25">
      <c r="A25603" s="1" t="str">
        <f t="shared" si="927"/>
        <v>36340</v>
      </c>
      <c r="B25603" s="1" t="str">
        <f>"16311"</f>
        <v>16311</v>
      </c>
      <c r="C25603" s="2">
        <v>6.0491188450215703E-4</v>
      </c>
      <c r="D25603" s="2">
        <v>0</v>
      </c>
      <c r="E25603" s="2">
        <v>0</v>
      </c>
      <c r="F25603" s="2">
        <v>5.4220133742996501E-4</v>
      </c>
    </row>
    <row r="25604" spans="1:6" x14ac:dyDescent="0.25">
      <c r="A25604" s="1" t="str">
        <f t="shared" si="927"/>
        <v>36340</v>
      </c>
      <c r="B25604" s="1" t="str">
        <f>"16344"</f>
        <v>16344</v>
      </c>
      <c r="C25604" s="2">
        <v>8.5090938419970091E-3</v>
      </c>
      <c r="D25604" s="2">
        <v>0</v>
      </c>
      <c r="E25604" s="2">
        <v>9.6061479346781905E-4</v>
      </c>
      <c r="F25604" s="2">
        <v>7.6631122356768397E-3</v>
      </c>
    </row>
    <row r="25605" spans="1:6" x14ac:dyDescent="0.25">
      <c r="A25605" s="1" t="str">
        <f t="shared" si="927"/>
        <v>36340</v>
      </c>
      <c r="B25605" s="1" t="str">
        <f>"16127"</f>
        <v>16127</v>
      </c>
      <c r="C25605" s="2">
        <v>3.3875065532120801E-3</v>
      </c>
      <c r="D25605" s="2">
        <v>7.11548987411056E-3</v>
      </c>
      <c r="E25605" s="2">
        <v>0</v>
      </c>
      <c r="F25605" s="2">
        <v>3.50623531538044E-3</v>
      </c>
    </row>
    <row r="25606" spans="1:6" x14ac:dyDescent="0.25">
      <c r="A25606" s="1" t="str">
        <f t="shared" si="927"/>
        <v>36340</v>
      </c>
      <c r="B25606" s="1" t="str">
        <f>"16354"</f>
        <v>16354</v>
      </c>
      <c r="C25606" s="2">
        <v>4.9683429447110503E-2</v>
      </c>
      <c r="D25606" s="2">
        <v>3.1198686371100098E-2</v>
      </c>
      <c r="E25606" s="2">
        <v>1.0566762728146E-2</v>
      </c>
      <c r="F25606" s="2">
        <v>4.69907825772636E-2</v>
      </c>
    </row>
    <row r="25607" spans="1:6" x14ac:dyDescent="0.25">
      <c r="A25607" s="1" t="str">
        <f t="shared" si="927"/>
        <v>36340</v>
      </c>
      <c r="B25607" s="1" t="str">
        <f>"16374"</f>
        <v>16374</v>
      </c>
      <c r="C25607" s="2">
        <v>3.8875670444005299E-2</v>
      </c>
      <c r="D25607" s="2">
        <v>1.20415982484948E-2</v>
      </c>
      <c r="E25607" s="2">
        <v>2.8818443804034498E-3</v>
      </c>
      <c r="F25607" s="2">
        <v>3.5749141514548999E-2</v>
      </c>
    </row>
    <row r="25608" spans="1:6" x14ac:dyDescent="0.25">
      <c r="A25608" s="1" t="str">
        <f t="shared" si="927"/>
        <v>36340</v>
      </c>
      <c r="B25608" s="1" t="str">
        <f>"16323"</f>
        <v>16323</v>
      </c>
      <c r="C25608" s="2">
        <v>0.30939226519336999</v>
      </c>
      <c r="D25608" s="2">
        <v>0.420908593322386</v>
      </c>
      <c r="E25608" s="2">
        <v>0.40057636887608</v>
      </c>
      <c r="F25608" s="2">
        <v>0.32018796313030901</v>
      </c>
    </row>
    <row r="25609" spans="1:6" x14ac:dyDescent="0.25">
      <c r="A25609" s="1" t="str">
        <f t="shared" si="927"/>
        <v>36340</v>
      </c>
      <c r="B25609" s="1" t="str">
        <f>"16341"</f>
        <v>16341</v>
      </c>
      <c r="C25609" s="2">
        <v>3.1697382747912999E-2</v>
      </c>
      <c r="D25609" s="2">
        <v>1.1494252873563199E-2</v>
      </c>
      <c r="E25609" s="2">
        <v>6.7243035542747303E-3</v>
      </c>
      <c r="F25609" s="2">
        <v>2.9423459244532799E-2</v>
      </c>
    </row>
    <row r="25610" spans="1:6" x14ac:dyDescent="0.25">
      <c r="A25610" s="1" t="str">
        <f t="shared" si="927"/>
        <v>36340</v>
      </c>
      <c r="B25610" s="1" t="str">
        <f>"16343"</f>
        <v>16343</v>
      </c>
      <c r="C25610" s="2">
        <v>4.0327458966810502E-5</v>
      </c>
      <c r="D25610" s="2">
        <v>1.64203612479474E-3</v>
      </c>
      <c r="E25610" s="2">
        <v>9.6061479346781905E-4</v>
      </c>
      <c r="F25610" s="2">
        <v>1.8073377914332099E-4</v>
      </c>
    </row>
    <row r="25611" spans="1:6" x14ac:dyDescent="0.25">
      <c r="A25611" s="1" t="str">
        <f t="shared" si="927"/>
        <v>36340</v>
      </c>
      <c r="B25611" s="1" t="str">
        <f>"16038"</f>
        <v>16038</v>
      </c>
      <c r="C25611" s="2">
        <v>2.0284711860305601E-2</v>
      </c>
      <c r="D25611" s="2">
        <v>2.40831964969896E-2</v>
      </c>
      <c r="E25611" s="2">
        <v>0</v>
      </c>
      <c r="F25611" s="2">
        <v>1.9772275438279401E-2</v>
      </c>
    </row>
    <row r="25612" spans="1:6" x14ac:dyDescent="0.25">
      <c r="A25612" s="1" t="str">
        <f t="shared" si="927"/>
        <v>36340</v>
      </c>
      <c r="B25612" s="1" t="str">
        <f>"16342"</f>
        <v>16342</v>
      </c>
      <c r="C25612" s="2">
        <v>3.8190103641569502E-2</v>
      </c>
      <c r="D25612" s="2">
        <v>1.1494252873563199E-2</v>
      </c>
      <c r="E25612" s="2">
        <v>4.8030739673390896E-3</v>
      </c>
      <c r="F25612" s="2">
        <v>3.5170793421290397E-2</v>
      </c>
    </row>
    <row r="25613" spans="1:6" x14ac:dyDescent="0.25">
      <c r="A25613" s="1" t="str">
        <f t="shared" si="927"/>
        <v>36340</v>
      </c>
      <c r="B25613" s="1" t="str">
        <f>"16346"</f>
        <v>16346</v>
      </c>
      <c r="C25613" s="2">
        <v>5.9120054845344099E-2</v>
      </c>
      <c r="D25613" s="2">
        <v>8.8669950738916203E-2</v>
      </c>
      <c r="E25613" s="2">
        <v>7.7809798270893293E-2</v>
      </c>
      <c r="F25613" s="2">
        <v>6.1774805711187403E-2</v>
      </c>
    </row>
    <row r="25614" spans="1:6" x14ac:dyDescent="0.25">
      <c r="A25614" s="1" t="str">
        <f t="shared" si="927"/>
        <v>36340</v>
      </c>
      <c r="B25614" s="1" t="str">
        <f>"16301"</f>
        <v>16301</v>
      </c>
      <c r="C25614" s="2">
        <v>0.31564302133322503</v>
      </c>
      <c r="D25614" s="2">
        <v>0.29009304871373798</v>
      </c>
      <c r="E25614" s="2">
        <v>0.47454370797310202</v>
      </c>
      <c r="F25614" s="2">
        <v>0.31993493583950799</v>
      </c>
    </row>
    <row r="25615" spans="1:6" x14ac:dyDescent="0.25">
      <c r="A25615" s="1" t="str">
        <f t="shared" si="927"/>
        <v>36340</v>
      </c>
      <c r="B25615" s="1" t="str">
        <f>"16314"</f>
        <v>16314</v>
      </c>
      <c r="C25615" s="2">
        <v>6.8556680243577802E-3</v>
      </c>
      <c r="D25615" s="2">
        <v>0</v>
      </c>
      <c r="E25615" s="2">
        <v>0</v>
      </c>
      <c r="F25615" s="2">
        <v>6.1449484908729403E-3</v>
      </c>
    </row>
    <row r="25616" spans="1:6" x14ac:dyDescent="0.25">
      <c r="A25616" s="1" t="str">
        <f>"36380"</f>
        <v>36380</v>
      </c>
      <c r="B25616" s="1" t="str">
        <f>"34972"</f>
        <v>34972</v>
      </c>
      <c r="C25616" s="2">
        <v>0.35567479518995798</v>
      </c>
      <c r="D25616" s="2">
        <v>0.48040712468193297</v>
      </c>
      <c r="E25616" s="2">
        <v>0.473007712082262</v>
      </c>
      <c r="F25616" s="2">
        <v>0.36819219012356302</v>
      </c>
    </row>
    <row r="25617" spans="1:6" x14ac:dyDescent="0.25">
      <c r="A25617" s="1" t="str">
        <f>"36380"</f>
        <v>36380</v>
      </c>
      <c r="B25617" s="1" t="str">
        <f>"34974"</f>
        <v>34974</v>
      </c>
      <c r="C25617" s="2">
        <v>0.52618214918794604</v>
      </c>
      <c r="D25617" s="2">
        <v>0.34198473282442698</v>
      </c>
      <c r="E25617" s="2">
        <v>0.52185089974292997</v>
      </c>
      <c r="F25617" s="2">
        <v>0.51052654238601602</v>
      </c>
    </row>
    <row r="25618" spans="1:6" x14ac:dyDescent="0.25">
      <c r="A25618" s="1" t="str">
        <f>"36380"</f>
        <v>36380</v>
      </c>
      <c r="B25618" s="1" t="str">
        <f>"34973"</f>
        <v>34973</v>
      </c>
      <c r="C25618" s="2">
        <v>0.118143055622095</v>
      </c>
      <c r="D25618" s="2">
        <v>0.17760814249363799</v>
      </c>
      <c r="E25618" s="2">
        <v>5.1413881748071898E-3</v>
      </c>
      <c r="F25618" s="2">
        <v>0.12128126749041999</v>
      </c>
    </row>
    <row r="25619" spans="1:6" x14ac:dyDescent="0.25">
      <c r="A25619" s="1" t="str">
        <f t="shared" ref="A25619:A25650" si="928">"36420"</f>
        <v>36420</v>
      </c>
      <c r="B25619" s="1" t="str">
        <f>"73079"</f>
        <v>73079</v>
      </c>
      <c r="C25619" s="2">
        <v>4.1448349499691297E-4</v>
      </c>
      <c r="D25619" s="2">
        <v>1.95722074653991E-4</v>
      </c>
      <c r="E25619" s="2">
        <v>9.2575448990927595E-5</v>
      </c>
      <c r="F25619" s="2">
        <v>3.84705074813279E-4</v>
      </c>
    </row>
    <row r="25620" spans="1:6" x14ac:dyDescent="0.25">
      <c r="A25620" s="1" t="str">
        <f t="shared" si="928"/>
        <v>36420</v>
      </c>
      <c r="B25620" s="1" t="str">
        <f>"73025"</f>
        <v>73025</v>
      </c>
      <c r="C25620" s="2">
        <v>8.51793617254527E-3</v>
      </c>
      <c r="D25620" s="2">
        <v>1.5098560044736399E-3</v>
      </c>
      <c r="E25620" s="2">
        <v>8.33179040918348E-4</v>
      </c>
      <c r="F25620" s="2">
        <v>7.6387672046828604E-3</v>
      </c>
    </row>
    <row r="25621" spans="1:6" x14ac:dyDescent="0.25">
      <c r="A25621" s="1" t="str">
        <f t="shared" si="928"/>
        <v>36420</v>
      </c>
      <c r="B25621" s="1" t="str">
        <f>"74851"</f>
        <v>74851</v>
      </c>
      <c r="C25621" s="2">
        <v>1.46120449504346E-3</v>
      </c>
      <c r="D25621" s="2">
        <v>1.53781630085278E-4</v>
      </c>
      <c r="E25621" s="2">
        <v>0</v>
      </c>
      <c r="F25621" s="2">
        <v>1.29640340279543E-3</v>
      </c>
    </row>
    <row r="25622" spans="1:6" x14ac:dyDescent="0.25">
      <c r="A25622" s="1" t="str">
        <f t="shared" si="928"/>
        <v>36420</v>
      </c>
      <c r="B25622" s="1" t="str">
        <f>"74832"</f>
        <v>74832</v>
      </c>
      <c r="C25622" s="2">
        <v>7.4486888955967103E-4</v>
      </c>
      <c r="D25622" s="2">
        <v>1.3980148189570799E-4</v>
      </c>
      <c r="E25622" s="2">
        <v>4.6287724495463797E-5</v>
      </c>
      <c r="F25622" s="2">
        <v>6.6796394839155001E-4</v>
      </c>
    </row>
    <row r="25623" spans="1:6" x14ac:dyDescent="0.25">
      <c r="A25623" s="1" t="str">
        <f t="shared" si="928"/>
        <v>36420</v>
      </c>
      <c r="B25623" s="1" t="str">
        <f>"74857"</f>
        <v>74857</v>
      </c>
      <c r="C25623" s="2">
        <v>6.2082419141929E-3</v>
      </c>
      <c r="D25623" s="2">
        <v>7.4094785404725202E-4</v>
      </c>
      <c r="E25623" s="2">
        <v>2.31438622477319E-4</v>
      </c>
      <c r="F25623" s="2">
        <v>5.5228892932098197E-3</v>
      </c>
    </row>
    <row r="25624" spans="1:6" x14ac:dyDescent="0.25">
      <c r="A25624" s="1" t="str">
        <f t="shared" si="928"/>
        <v>36420</v>
      </c>
      <c r="B25624" s="1" t="str">
        <f>"74079"</f>
        <v>74079</v>
      </c>
      <c r="C25624" s="2">
        <v>3.4915729198109501E-3</v>
      </c>
      <c r="D25624" s="2">
        <v>3.4530966028239801E-3</v>
      </c>
      <c r="E25624" s="2">
        <v>1.3886317348639099E-3</v>
      </c>
      <c r="F25624" s="2">
        <v>3.42809111186354E-3</v>
      </c>
    </row>
    <row r="25625" spans="1:6" x14ac:dyDescent="0.25">
      <c r="A25625" s="1" t="str">
        <f t="shared" si="928"/>
        <v>36420</v>
      </c>
      <c r="B25625" s="1" t="str">
        <f>"73131"</f>
        <v>73131</v>
      </c>
      <c r="C25625" s="2">
        <v>1.8516599613449E-3</v>
      </c>
      <c r="D25625" s="2">
        <v>2.68418845239759E-3</v>
      </c>
      <c r="E25625" s="2">
        <v>1.3423440103684499E-3</v>
      </c>
      <c r="F25625" s="2">
        <v>1.9156204752688599E-3</v>
      </c>
    </row>
    <row r="25626" spans="1:6" x14ac:dyDescent="0.25">
      <c r="A25626" s="1" t="str">
        <f t="shared" si="928"/>
        <v>36420</v>
      </c>
      <c r="B25626" s="1" t="str">
        <f>"73136"</f>
        <v>73136</v>
      </c>
      <c r="C25626" s="2">
        <v>1.1233103415133701E-3</v>
      </c>
      <c r="D25626" s="2">
        <v>2.1110023766251901E-3</v>
      </c>
      <c r="E25626" s="2">
        <v>4.6287724495463797E-5</v>
      </c>
      <c r="F25626" s="2">
        <v>1.1857348196299699E-3</v>
      </c>
    </row>
    <row r="25627" spans="1:6" x14ac:dyDescent="0.25">
      <c r="A25627" s="1" t="str">
        <f t="shared" si="928"/>
        <v>36420</v>
      </c>
      <c r="B25627" s="1" t="str">
        <f>"73122"</f>
        <v>73122</v>
      </c>
      <c r="C25627" s="2">
        <v>9.0510580592260796E-3</v>
      </c>
      <c r="D25627" s="2">
        <v>6.7803718719418402E-3</v>
      </c>
      <c r="E25627" s="2">
        <v>2.3051286798740901E-2</v>
      </c>
      <c r="F25627" s="2">
        <v>9.2355567617845493E-3</v>
      </c>
    </row>
    <row r="25628" spans="1:6" x14ac:dyDescent="0.25">
      <c r="A25628" s="1" t="str">
        <f t="shared" si="928"/>
        <v>36420</v>
      </c>
      <c r="B25628" s="1" t="str">
        <f>"73130"</f>
        <v>73130</v>
      </c>
      <c r="C25628" s="2">
        <v>1.4218585980546299E-2</v>
      </c>
      <c r="D25628" s="2">
        <v>6.7104711309939804E-3</v>
      </c>
      <c r="E25628" s="2">
        <v>4.3510461025735902E-3</v>
      </c>
      <c r="F25628" s="2">
        <v>1.3230165620804601E-2</v>
      </c>
    </row>
    <row r="25629" spans="1:6" x14ac:dyDescent="0.25">
      <c r="A25629" s="1" t="str">
        <f t="shared" si="928"/>
        <v>36420</v>
      </c>
      <c r="B25629" s="1" t="str">
        <f>"73173"</f>
        <v>73173</v>
      </c>
      <c r="C25629" s="2">
        <v>2.3006837475915598E-3</v>
      </c>
      <c r="D25629" s="2">
        <v>1.1743324479239401E-3</v>
      </c>
      <c r="E25629" s="2">
        <v>5.0916496945010103E-4</v>
      </c>
      <c r="F25629" s="2">
        <v>2.1435450572644E-3</v>
      </c>
    </row>
    <row r="25630" spans="1:6" x14ac:dyDescent="0.25">
      <c r="A25630" s="1" t="str">
        <f t="shared" si="928"/>
        <v>36420</v>
      </c>
      <c r="B25630" s="1" t="str">
        <f>"73089"</f>
        <v>73089</v>
      </c>
      <c r="C25630" s="2">
        <v>8.1409964723850297E-3</v>
      </c>
      <c r="D25630" s="2">
        <v>2.44652593317489E-3</v>
      </c>
      <c r="E25630" s="2">
        <v>1.1109053878911299E-3</v>
      </c>
      <c r="F25630" s="2">
        <v>7.40425520702271E-3</v>
      </c>
    </row>
    <row r="25631" spans="1:6" x14ac:dyDescent="0.25">
      <c r="A25631" s="1" t="str">
        <f t="shared" si="928"/>
        <v>36420</v>
      </c>
      <c r="B25631" s="1" t="str">
        <f>"73070"</f>
        <v>73070</v>
      </c>
      <c r="C25631" s="2">
        <v>4.36859596719573E-3</v>
      </c>
      <c r="D25631" s="2">
        <v>2.1543408360128601E-2</v>
      </c>
      <c r="E25631" s="2">
        <v>1.85150897981855E-4</v>
      </c>
      <c r="F25631" s="2">
        <v>5.86806987403543E-3</v>
      </c>
    </row>
    <row r="25632" spans="1:6" x14ac:dyDescent="0.25">
      <c r="A25632" s="1" t="str">
        <f t="shared" si="928"/>
        <v>36420</v>
      </c>
      <c r="B25632" s="1" t="str">
        <f>"73082"</f>
        <v>73082</v>
      </c>
      <c r="C25632" s="2">
        <v>1.4086431822721199E-3</v>
      </c>
      <c r="D25632" s="2">
        <v>3.9144414930798201E-4</v>
      </c>
      <c r="E25632" s="2">
        <v>1.38863173486391E-4</v>
      </c>
      <c r="F25632" s="2">
        <v>1.2766411558015999E-3</v>
      </c>
    </row>
    <row r="25633" spans="1:6" x14ac:dyDescent="0.25">
      <c r="A25633" s="1" t="str">
        <f t="shared" si="928"/>
        <v>36420</v>
      </c>
      <c r="B25633" s="1" t="str">
        <f>"73103"</f>
        <v>73103</v>
      </c>
      <c r="C25633" s="2">
        <v>5.1540121551790097E-3</v>
      </c>
      <c r="D25633" s="2">
        <v>9.0451558786523098E-3</v>
      </c>
      <c r="E25633" s="2">
        <v>1.9255693390112901E-2</v>
      </c>
      <c r="F25633" s="2">
        <v>5.9220866824852402E-3</v>
      </c>
    </row>
    <row r="25634" spans="1:6" x14ac:dyDescent="0.25">
      <c r="A25634" s="1" t="str">
        <f t="shared" si="928"/>
        <v>36420</v>
      </c>
      <c r="B25634" s="1" t="str">
        <f>"74852"</f>
        <v>74852</v>
      </c>
      <c r="C25634" s="2">
        <v>6.90805824994856E-5</v>
      </c>
      <c r="D25634" s="2">
        <v>0</v>
      </c>
      <c r="E25634" s="2">
        <v>0</v>
      </c>
      <c r="F25634" s="2">
        <v>6.0604224114420697E-5</v>
      </c>
    </row>
    <row r="25635" spans="1:6" x14ac:dyDescent="0.25">
      <c r="A25635" s="1" t="str">
        <f t="shared" si="928"/>
        <v>36420</v>
      </c>
      <c r="B25635" s="1" t="str">
        <f>"73132"</f>
        <v>73132</v>
      </c>
      <c r="C25635" s="2">
        <v>2.0024358414090001E-2</v>
      </c>
      <c r="D25635" s="2">
        <v>1.5587865231371401E-2</v>
      </c>
      <c r="E25635" s="2">
        <v>5.2119977781892202E-2</v>
      </c>
      <c r="F25635" s="2">
        <v>2.05197997952631E-2</v>
      </c>
    </row>
    <row r="25636" spans="1:6" x14ac:dyDescent="0.25">
      <c r="A25636" s="1" t="str">
        <f t="shared" si="928"/>
        <v>36420</v>
      </c>
      <c r="B25636" s="1" t="str">
        <f>"73162"</f>
        <v>73162</v>
      </c>
      <c r="C25636" s="2">
        <v>1.9132317848770501E-2</v>
      </c>
      <c r="D25636" s="2">
        <v>6.5566895009087E-3</v>
      </c>
      <c r="E25636" s="2">
        <v>1.32845769301981E-2</v>
      </c>
      <c r="F25636" s="2">
        <v>1.7780752361917802E-2</v>
      </c>
    </row>
    <row r="25637" spans="1:6" x14ac:dyDescent="0.25">
      <c r="A25637" s="1" t="str">
        <f t="shared" si="928"/>
        <v>36420</v>
      </c>
      <c r="B25637" s="1" t="str">
        <f>"73118"</f>
        <v>73118</v>
      </c>
      <c r="C25637" s="2">
        <v>1.12421139258945E-2</v>
      </c>
      <c r="D25637" s="2">
        <v>2.5010485111142101E-2</v>
      </c>
      <c r="E25637" s="2">
        <v>2.27735604517681E-2</v>
      </c>
      <c r="F25637" s="2">
        <v>1.2867857759251001E-2</v>
      </c>
    </row>
    <row r="25638" spans="1:6" x14ac:dyDescent="0.25">
      <c r="A25638" s="1" t="str">
        <f t="shared" si="928"/>
        <v>36420</v>
      </c>
      <c r="B25638" s="1" t="str">
        <f>"73134"</f>
        <v>73134</v>
      </c>
      <c r="C25638" s="2">
        <v>7.6273973590192902E-3</v>
      </c>
      <c r="D25638" s="2">
        <v>1.17153641828603E-2</v>
      </c>
      <c r="E25638" s="2">
        <v>1.2127383817811499E-2</v>
      </c>
      <c r="F25638" s="2">
        <v>8.1407282783262092E-3</v>
      </c>
    </row>
    <row r="25639" spans="1:6" x14ac:dyDescent="0.25">
      <c r="A25639" s="1" t="str">
        <f t="shared" si="928"/>
        <v>36420</v>
      </c>
      <c r="B25639" s="1" t="str">
        <f>"73142"</f>
        <v>73142</v>
      </c>
      <c r="C25639" s="2">
        <v>1.25291152128958E-2</v>
      </c>
      <c r="D25639" s="2">
        <v>4.7951908290227796E-3</v>
      </c>
      <c r="E25639" s="2">
        <v>6.3414182558785403E-3</v>
      </c>
      <c r="F25639" s="2">
        <v>1.1624153681772401E-2</v>
      </c>
    </row>
    <row r="25640" spans="1:6" x14ac:dyDescent="0.25">
      <c r="A25640" s="1" t="str">
        <f t="shared" si="928"/>
        <v>36420</v>
      </c>
      <c r="B25640" s="1" t="str">
        <f>"73146"</f>
        <v>73146</v>
      </c>
      <c r="C25640" s="2">
        <v>1.1818786614585901E-3</v>
      </c>
      <c r="D25640" s="2">
        <v>1.7195582273171999E-3</v>
      </c>
      <c r="E25640" s="2">
        <v>9.2575448990927595E-5</v>
      </c>
      <c r="F25640" s="2">
        <v>1.2015446172250299E-3</v>
      </c>
    </row>
    <row r="25641" spans="1:6" x14ac:dyDescent="0.25">
      <c r="A25641" s="1" t="str">
        <f t="shared" si="928"/>
        <v>36420</v>
      </c>
      <c r="B25641" s="1" t="str">
        <f>"73054"</f>
        <v>73054</v>
      </c>
      <c r="C25641" s="2">
        <v>3.0440508853577602E-3</v>
      </c>
      <c r="D25641" s="2">
        <v>5.7318607577240305E-4</v>
      </c>
      <c r="E25641" s="2">
        <v>4.6287724495463797E-5</v>
      </c>
      <c r="F25641" s="2">
        <v>2.7258726020160098E-3</v>
      </c>
    </row>
    <row r="25642" spans="1:6" x14ac:dyDescent="0.25">
      <c r="A25642" s="1" t="str">
        <f t="shared" si="928"/>
        <v>36420</v>
      </c>
      <c r="B25642" s="1" t="str">
        <f>"73080"</f>
        <v>73080</v>
      </c>
      <c r="C25642" s="2">
        <v>7.3480715254344098E-3</v>
      </c>
      <c r="D25642" s="2">
        <v>9.5764015098559994E-3</v>
      </c>
      <c r="E25642" s="2">
        <v>3.0549898167006101E-3</v>
      </c>
      <c r="F25642" s="2">
        <v>7.4358748022128399E-3</v>
      </c>
    </row>
    <row r="25643" spans="1:6" x14ac:dyDescent="0.25">
      <c r="A25643" s="1" t="str">
        <f t="shared" si="928"/>
        <v>36420</v>
      </c>
      <c r="B25643" s="1" t="str">
        <f>"73109"</f>
        <v>73109</v>
      </c>
      <c r="C25643" s="2">
        <v>1.2578673022080201E-2</v>
      </c>
      <c r="D25643" s="2">
        <v>1.9278624353418101E-2</v>
      </c>
      <c r="E25643" s="2">
        <v>1.8561377522680899E-2</v>
      </c>
      <c r="F25643" s="2">
        <v>1.33803586979577E-2</v>
      </c>
    </row>
    <row r="25644" spans="1:6" x14ac:dyDescent="0.25">
      <c r="A25644" s="1" t="str">
        <f t="shared" si="928"/>
        <v>36420</v>
      </c>
      <c r="B25644" s="1" t="str">
        <f>"73057"</f>
        <v>73057</v>
      </c>
      <c r="C25644" s="2">
        <v>3.1686962842155303E-4</v>
      </c>
      <c r="D25644" s="2">
        <v>2.79602963791416E-5</v>
      </c>
      <c r="E25644" s="2">
        <v>0</v>
      </c>
      <c r="F25644" s="2">
        <v>2.8062390731242601E-4</v>
      </c>
    </row>
    <row r="25645" spans="1:6" x14ac:dyDescent="0.25">
      <c r="A25645" s="1" t="str">
        <f t="shared" si="928"/>
        <v>36420</v>
      </c>
      <c r="B25645" s="1" t="str">
        <f>"73055"</f>
        <v>73055</v>
      </c>
      <c r="C25645" s="2">
        <v>5.2411137592001003E-4</v>
      </c>
      <c r="D25645" s="2">
        <v>2.09702222843562E-4</v>
      </c>
      <c r="E25645" s="2">
        <v>0</v>
      </c>
      <c r="F25645" s="2">
        <v>4.7956386038367703E-4</v>
      </c>
    </row>
    <row r="25646" spans="1:6" x14ac:dyDescent="0.25">
      <c r="A25646" s="1" t="str">
        <f t="shared" si="928"/>
        <v>36420</v>
      </c>
      <c r="B25646" s="1" t="str">
        <f>"73016"</f>
        <v>73016</v>
      </c>
      <c r="C25646" s="2">
        <v>5.4063064564814796E-4</v>
      </c>
      <c r="D25646" s="2">
        <v>8.3880889137424796E-5</v>
      </c>
      <c r="E25646" s="2">
        <v>0</v>
      </c>
      <c r="F25646" s="2">
        <v>4.82198826649521E-4</v>
      </c>
    </row>
    <row r="25647" spans="1:6" x14ac:dyDescent="0.25">
      <c r="A25647" s="1" t="str">
        <f t="shared" si="928"/>
        <v>36420</v>
      </c>
      <c r="B25647" s="1" t="str">
        <f>"73067"</f>
        <v>73067</v>
      </c>
      <c r="C25647" s="2">
        <v>1.2644750100992801E-3</v>
      </c>
      <c r="D25647" s="2">
        <v>2.9358311198098599E-4</v>
      </c>
      <c r="E25647" s="2">
        <v>2.77726346972782E-4</v>
      </c>
      <c r="F25647" s="2">
        <v>1.14489284250938E-3</v>
      </c>
    </row>
    <row r="25648" spans="1:6" x14ac:dyDescent="0.25">
      <c r="A25648" s="1" t="str">
        <f t="shared" si="928"/>
        <v>36420</v>
      </c>
      <c r="B25648" s="1" t="str">
        <f>"73125"</f>
        <v>73125</v>
      </c>
      <c r="C25648" s="2">
        <v>0</v>
      </c>
      <c r="D25648" s="2">
        <v>2.79602963791416E-5</v>
      </c>
      <c r="E25648" s="2">
        <v>4.6287724495463797E-5</v>
      </c>
      <c r="F25648" s="2">
        <v>3.9524493987665702E-6</v>
      </c>
    </row>
    <row r="25649" spans="1:6" x14ac:dyDescent="0.25">
      <c r="A25649" s="1" t="str">
        <f t="shared" si="928"/>
        <v>36420</v>
      </c>
      <c r="B25649" s="1" t="str">
        <f>"73190"</f>
        <v>73190</v>
      </c>
      <c r="C25649" s="2">
        <v>0</v>
      </c>
      <c r="D25649" s="2">
        <v>0</v>
      </c>
      <c r="E25649" s="2">
        <v>9.2575448990927595E-5</v>
      </c>
      <c r="F25649" s="2">
        <v>2.6349662658443801E-6</v>
      </c>
    </row>
    <row r="25650" spans="1:6" x14ac:dyDescent="0.25">
      <c r="A25650" s="1" t="str">
        <f t="shared" si="928"/>
        <v>36420</v>
      </c>
      <c r="B25650" s="1" t="str">
        <f>"73050"</f>
        <v>73050</v>
      </c>
      <c r="C25650" s="2">
        <v>1.50175179346707E-6</v>
      </c>
      <c r="D25650" s="2">
        <v>2.79602963791416E-5</v>
      </c>
      <c r="E25650" s="2">
        <v>4.6287724495463797E-5</v>
      </c>
      <c r="F25650" s="2">
        <v>5.2699325316887603E-6</v>
      </c>
    </row>
    <row r="25651" spans="1:6" x14ac:dyDescent="0.25">
      <c r="A25651" s="1" t="str">
        <f t="shared" ref="A25651:A25682" si="929">"36420"</f>
        <v>36420</v>
      </c>
      <c r="B25651" s="1" t="str">
        <f>"73002"</f>
        <v>73002</v>
      </c>
      <c r="C25651" s="2">
        <v>4.2649750934464997E-4</v>
      </c>
      <c r="D25651" s="2">
        <v>2.79602963791416E-5</v>
      </c>
      <c r="E25651" s="2">
        <v>4.6287724495463797E-5</v>
      </c>
      <c r="F25651" s="2">
        <v>3.7811765914866802E-4</v>
      </c>
    </row>
    <row r="25652" spans="1:6" x14ac:dyDescent="0.25">
      <c r="A25652" s="1" t="str">
        <f t="shared" si="929"/>
        <v>36420</v>
      </c>
      <c r="B25652" s="1" t="str">
        <f>"73140"</f>
        <v>73140</v>
      </c>
      <c r="C25652" s="2">
        <v>2.3382275424282399E-3</v>
      </c>
      <c r="D25652" s="2">
        <v>5.0608136446246297E-3</v>
      </c>
      <c r="E25652" s="2">
        <v>9.2575448990927595E-5</v>
      </c>
      <c r="F25652" s="2">
        <v>2.53088509834352E-3</v>
      </c>
    </row>
    <row r="25653" spans="1:6" x14ac:dyDescent="0.25">
      <c r="A25653" s="1" t="str">
        <f t="shared" si="929"/>
        <v>36420</v>
      </c>
      <c r="B25653" s="1" t="str">
        <f>"74026"</f>
        <v>74026</v>
      </c>
      <c r="C25653" s="2">
        <v>3.0035035869341501E-6</v>
      </c>
      <c r="D25653" s="2">
        <v>0</v>
      </c>
      <c r="E25653" s="2">
        <v>4.6287724495463797E-5</v>
      </c>
      <c r="F25653" s="2">
        <v>3.9524493987665702E-6</v>
      </c>
    </row>
    <row r="25654" spans="1:6" x14ac:dyDescent="0.25">
      <c r="A25654" s="1" t="str">
        <f t="shared" si="929"/>
        <v>36420</v>
      </c>
      <c r="B25654" s="1" t="str">
        <f>"73074"</f>
        <v>73074</v>
      </c>
      <c r="C25654" s="2">
        <v>6.6077078912551404E-5</v>
      </c>
      <c r="D25654" s="2">
        <v>0</v>
      </c>
      <c r="E25654" s="2">
        <v>0</v>
      </c>
      <c r="F25654" s="2">
        <v>5.7969257848576299E-5</v>
      </c>
    </row>
    <row r="25655" spans="1:6" x14ac:dyDescent="0.25">
      <c r="A25655" s="1" t="str">
        <f t="shared" si="929"/>
        <v>36420</v>
      </c>
      <c r="B25655" s="1" t="str">
        <f>"73172"</f>
        <v>73172</v>
      </c>
      <c r="C25655" s="2">
        <v>1.2089101937409899E-3</v>
      </c>
      <c r="D25655" s="2">
        <v>8.1644065427093505E-3</v>
      </c>
      <c r="E25655" s="2">
        <v>9.2575448990927595E-5</v>
      </c>
      <c r="F25655" s="2">
        <v>1.83261903789476E-3</v>
      </c>
    </row>
    <row r="25656" spans="1:6" x14ac:dyDescent="0.25">
      <c r="A25656" s="1" t="str">
        <f t="shared" si="929"/>
        <v>36420</v>
      </c>
      <c r="B25656" s="1" t="str">
        <f>"73003"</f>
        <v>73003</v>
      </c>
      <c r="C25656" s="2">
        <v>1.5805937626240999E-2</v>
      </c>
      <c r="D25656" s="2">
        <v>2.1096043618062301E-2</v>
      </c>
      <c r="E25656" s="2">
        <v>8.7483799296426499E-3</v>
      </c>
      <c r="F25656" s="2">
        <v>1.6103596333707899E-2</v>
      </c>
    </row>
    <row r="25657" spans="1:6" x14ac:dyDescent="0.25">
      <c r="A25657" s="1" t="str">
        <f t="shared" si="929"/>
        <v>36420</v>
      </c>
      <c r="B25657" s="1" t="str">
        <f>"73008"</f>
        <v>73008</v>
      </c>
      <c r="C25657" s="2">
        <v>1.5891537478468599E-2</v>
      </c>
      <c r="D25657" s="2">
        <v>1.59094086397315E-2</v>
      </c>
      <c r="E25657" s="2">
        <v>2.8420662840214699E-2</v>
      </c>
      <c r="F25657" s="2">
        <v>1.6249836961462299E-2</v>
      </c>
    </row>
    <row r="25658" spans="1:6" x14ac:dyDescent="0.25">
      <c r="A25658" s="1" t="str">
        <f t="shared" si="929"/>
        <v>36420</v>
      </c>
      <c r="B25658" s="1" t="str">
        <f>"73034"</f>
        <v>73034</v>
      </c>
      <c r="C25658" s="2">
        <v>3.0632733083141399E-2</v>
      </c>
      <c r="D25658" s="2">
        <v>2.4017894589682599E-2</v>
      </c>
      <c r="E25658" s="2">
        <v>1.7959637104239898E-2</v>
      </c>
      <c r="F25658" s="2">
        <v>2.96486404232809E-2</v>
      </c>
    </row>
    <row r="25659" spans="1:6" x14ac:dyDescent="0.25">
      <c r="A25659" s="1" t="str">
        <f t="shared" si="929"/>
        <v>36420</v>
      </c>
      <c r="B25659" s="1" t="str">
        <f>"73014"</f>
        <v>73014</v>
      </c>
      <c r="C25659" s="2">
        <v>6.3524100863657403E-4</v>
      </c>
      <c r="D25659" s="2">
        <v>6.5706696490982802E-4</v>
      </c>
      <c r="E25659" s="2">
        <v>2.31438622477319E-4</v>
      </c>
      <c r="F25659" s="2">
        <v>6.2580448813803996E-4</v>
      </c>
    </row>
    <row r="25660" spans="1:6" x14ac:dyDescent="0.25">
      <c r="A25660" s="1" t="str">
        <f t="shared" si="929"/>
        <v>36420</v>
      </c>
      <c r="B25660" s="1" t="str">
        <f>"73027"</f>
        <v>73027</v>
      </c>
      <c r="C25660" s="2">
        <v>5.4964115640895102E-4</v>
      </c>
      <c r="D25660" s="2">
        <v>1.1184118551656601E-4</v>
      </c>
      <c r="E25660" s="2">
        <v>4.6287724495463797E-5</v>
      </c>
      <c r="F25660" s="2">
        <v>4.9405617484582097E-4</v>
      </c>
    </row>
    <row r="25661" spans="1:6" x14ac:dyDescent="0.25">
      <c r="A25661" s="1" t="str">
        <f t="shared" si="929"/>
        <v>36420</v>
      </c>
      <c r="B25661" s="1" t="str">
        <f>"74834"</f>
        <v>74834</v>
      </c>
      <c r="C25661" s="2">
        <v>6.4785572370169801E-3</v>
      </c>
      <c r="D25661" s="2">
        <v>4.9210121627289204E-3</v>
      </c>
      <c r="E25661" s="2">
        <v>2.7309757452323598E-3</v>
      </c>
      <c r="F25661" s="2">
        <v>6.2251078030573503E-3</v>
      </c>
    </row>
    <row r="25662" spans="1:6" x14ac:dyDescent="0.25">
      <c r="A25662" s="1" t="str">
        <f t="shared" si="929"/>
        <v>36420</v>
      </c>
      <c r="B25662" s="1" t="str">
        <f>"73135"</f>
        <v>73135</v>
      </c>
      <c r="C25662" s="2">
        <v>1.41570141570141E-2</v>
      </c>
      <c r="D25662" s="2">
        <v>6.2491262407381497E-3</v>
      </c>
      <c r="E25662" s="2">
        <v>1.67561562673578E-2</v>
      </c>
      <c r="F25662" s="2">
        <v>1.34857573485915E-2</v>
      </c>
    </row>
    <row r="25663" spans="1:6" x14ac:dyDescent="0.25">
      <c r="A25663" s="1" t="str">
        <f t="shared" si="929"/>
        <v>36420</v>
      </c>
      <c r="B25663" s="1" t="str">
        <f>"73116"</f>
        <v>73116</v>
      </c>
      <c r="C25663" s="2">
        <v>7.6243938554323596E-3</v>
      </c>
      <c r="D25663" s="2">
        <v>2.7568852229833601E-2</v>
      </c>
      <c r="E25663" s="2">
        <v>1.7681910757267098E-2</v>
      </c>
      <c r="F25663" s="2">
        <v>9.7902171607447894E-3</v>
      </c>
    </row>
    <row r="25664" spans="1:6" x14ac:dyDescent="0.25">
      <c r="A25664" s="1" t="str">
        <f t="shared" si="929"/>
        <v>36420</v>
      </c>
      <c r="B25664" s="1" t="str">
        <f>"73127"</f>
        <v>73127</v>
      </c>
      <c r="C25664" s="2">
        <v>1.9193889672302698E-2</v>
      </c>
      <c r="D25664" s="2">
        <v>2.4367398294421899E-2</v>
      </c>
      <c r="E25664" s="2">
        <v>7.19311238659507E-2</v>
      </c>
      <c r="F25664" s="2">
        <v>2.1182493811122902E-2</v>
      </c>
    </row>
    <row r="25665" spans="1:6" x14ac:dyDescent="0.25">
      <c r="A25665" s="1" t="str">
        <f t="shared" si="929"/>
        <v>36420</v>
      </c>
      <c r="B25665" s="1" t="str">
        <f>"73144"</f>
        <v>73144</v>
      </c>
      <c r="C25665" s="2">
        <v>4.8806933287680001E-4</v>
      </c>
      <c r="D25665" s="2">
        <v>9.7861037326995594E-4</v>
      </c>
      <c r="E25665" s="2">
        <v>1.85150897981855E-4</v>
      </c>
      <c r="F25665" s="2">
        <v>5.2567577003595403E-4</v>
      </c>
    </row>
    <row r="25666" spans="1:6" x14ac:dyDescent="0.25">
      <c r="A25666" s="1" t="str">
        <f t="shared" si="929"/>
        <v>36420</v>
      </c>
      <c r="B25666" s="1" t="str">
        <f>"73072"</f>
        <v>73072</v>
      </c>
      <c r="C25666" s="2">
        <v>3.1392619490635799E-2</v>
      </c>
      <c r="D25666" s="2">
        <v>1.79505102754089E-2</v>
      </c>
      <c r="E25666" s="2">
        <v>3.3142010738751997E-2</v>
      </c>
      <c r="F25666" s="2">
        <v>3.0175633676449799E-2</v>
      </c>
    </row>
    <row r="25667" spans="1:6" x14ac:dyDescent="0.25">
      <c r="A25667" s="1" t="str">
        <f t="shared" si="929"/>
        <v>36420</v>
      </c>
      <c r="B25667" s="1" t="str">
        <f>"73078"</f>
        <v>73078</v>
      </c>
      <c r="C25667" s="2">
        <v>6.6557639486460899E-3</v>
      </c>
      <c r="D25667" s="2">
        <v>1.1883125961135101E-3</v>
      </c>
      <c r="E25667" s="2">
        <v>8.33179040918348E-4</v>
      </c>
      <c r="F25667" s="2">
        <v>5.9747860078021298E-3</v>
      </c>
    </row>
    <row r="25668" spans="1:6" x14ac:dyDescent="0.25">
      <c r="A25668" s="1" t="str">
        <f t="shared" si="929"/>
        <v>36420</v>
      </c>
      <c r="B25668" s="1" t="str">
        <f>"73044"</f>
        <v>73044</v>
      </c>
      <c r="C25668" s="2">
        <v>1.6595859069604601E-2</v>
      </c>
      <c r="D25668" s="2">
        <v>1.21068083321683E-2</v>
      </c>
      <c r="E25668" s="2">
        <v>4.9064987965191601E-3</v>
      </c>
      <c r="F25668" s="2">
        <v>1.5840099707123401E-2</v>
      </c>
    </row>
    <row r="25669" spans="1:6" x14ac:dyDescent="0.25">
      <c r="A25669" s="1" t="str">
        <f t="shared" si="929"/>
        <v>36420</v>
      </c>
      <c r="B25669" s="1" t="str">
        <f>"73045"</f>
        <v>73045</v>
      </c>
      <c r="C25669" s="2">
        <v>7.2339383891309198E-3</v>
      </c>
      <c r="D25669" s="2">
        <v>2.7680693415350201E-3</v>
      </c>
      <c r="E25669" s="2">
        <v>5.0453619700055498E-3</v>
      </c>
      <c r="F25669" s="2">
        <v>6.7507835730933E-3</v>
      </c>
    </row>
    <row r="25670" spans="1:6" x14ac:dyDescent="0.25">
      <c r="A25670" s="1" t="str">
        <f t="shared" si="929"/>
        <v>36420</v>
      </c>
      <c r="B25670" s="1" t="str">
        <f>"73052"</f>
        <v>73052</v>
      </c>
      <c r="C25670" s="2">
        <v>1.18488216504552E-3</v>
      </c>
      <c r="D25670" s="2">
        <v>2.2368237103313201E-4</v>
      </c>
      <c r="E25670" s="2">
        <v>0</v>
      </c>
      <c r="F25670" s="2">
        <v>1.0605739220023601E-3</v>
      </c>
    </row>
    <row r="25671" spans="1:6" x14ac:dyDescent="0.25">
      <c r="A25671" s="1" t="str">
        <f t="shared" si="929"/>
        <v>36420</v>
      </c>
      <c r="B25671" s="1" t="str">
        <f>"73097"</f>
        <v>73097</v>
      </c>
      <c r="C25671" s="2">
        <v>8.0493896129835401E-4</v>
      </c>
      <c r="D25671" s="2">
        <v>1.34209422619879E-3</v>
      </c>
      <c r="E25671" s="2">
        <v>9.2575448990927595E-5</v>
      </c>
      <c r="F25671" s="2">
        <v>8.3528430627266797E-4</v>
      </c>
    </row>
    <row r="25672" spans="1:6" x14ac:dyDescent="0.25">
      <c r="A25672" s="1" t="str">
        <f t="shared" si="929"/>
        <v>36420</v>
      </c>
      <c r="B25672" s="1" t="str">
        <f>"73169"</f>
        <v>73169</v>
      </c>
      <c r="C25672" s="2">
        <v>1.7210075553132701E-3</v>
      </c>
      <c r="D25672" s="2">
        <v>1.38403467076751E-3</v>
      </c>
      <c r="E25672" s="2">
        <v>7.4060359192742E-4</v>
      </c>
      <c r="F25672" s="2">
        <v>1.66134623061488E-3</v>
      </c>
    </row>
    <row r="25673" spans="1:6" x14ac:dyDescent="0.25">
      <c r="A25673" s="1" t="str">
        <f t="shared" si="929"/>
        <v>36420</v>
      </c>
      <c r="B25673" s="1" t="str">
        <f>"73149"</f>
        <v>73149</v>
      </c>
      <c r="C25673" s="2">
        <v>3.4510256213873399E-3</v>
      </c>
      <c r="D25673" s="2">
        <v>9.6183419544247101E-3</v>
      </c>
      <c r="E25673" s="2">
        <v>2.96241436770968E-3</v>
      </c>
      <c r="F25673" s="2">
        <v>4.0183235554126801E-3</v>
      </c>
    </row>
    <row r="25674" spans="1:6" x14ac:dyDescent="0.25">
      <c r="A25674" s="1" t="str">
        <f t="shared" si="929"/>
        <v>36420</v>
      </c>
      <c r="B25674" s="1" t="str">
        <f>"73051"</f>
        <v>73051</v>
      </c>
      <c r="C25674" s="2">
        <v>7.1888858353269004E-3</v>
      </c>
      <c r="D25674" s="2">
        <v>1.9851810429190502E-3</v>
      </c>
      <c r="E25674" s="2">
        <v>7.4060359192742E-4</v>
      </c>
      <c r="F25674" s="2">
        <v>6.5149540923002298E-3</v>
      </c>
    </row>
    <row r="25675" spans="1:6" x14ac:dyDescent="0.25">
      <c r="A25675" s="1" t="str">
        <f t="shared" si="929"/>
        <v>36420</v>
      </c>
      <c r="B25675" s="1" t="str">
        <f>"73010"</f>
        <v>73010</v>
      </c>
      <c r="C25675" s="2">
        <v>1.23609190120275E-2</v>
      </c>
      <c r="D25675" s="2">
        <v>2.5723472668810199E-3</v>
      </c>
      <c r="E25675" s="2">
        <v>1.8977967043140101E-3</v>
      </c>
      <c r="F25675" s="2">
        <v>1.114063737199E-2</v>
      </c>
    </row>
    <row r="25676" spans="1:6" x14ac:dyDescent="0.25">
      <c r="A25676" s="1" t="str">
        <f t="shared" si="929"/>
        <v>36420</v>
      </c>
      <c r="B25676" s="1" t="str">
        <f>"73004"</f>
        <v>73004</v>
      </c>
      <c r="C25676" s="2">
        <v>5.4813940461548305E-4</v>
      </c>
      <c r="D25676" s="2">
        <v>1.25821333706137E-4</v>
      </c>
      <c r="E25676" s="2">
        <v>4.6287724495463797E-5</v>
      </c>
      <c r="F25676" s="2">
        <v>4.9405617484582097E-4</v>
      </c>
    </row>
    <row r="25677" spans="1:6" x14ac:dyDescent="0.25">
      <c r="A25677" s="1" t="str">
        <f t="shared" si="929"/>
        <v>36420</v>
      </c>
      <c r="B25677" s="1" t="str">
        <f>"73020"</f>
        <v>73020</v>
      </c>
      <c r="C25677" s="2">
        <v>1.4799763924618001E-2</v>
      </c>
      <c r="D25677" s="2">
        <v>4.2080246050608099E-3</v>
      </c>
      <c r="E25677" s="2">
        <v>2.7309757452323598E-3</v>
      </c>
      <c r="F25677" s="2">
        <v>1.34580902028001E-2</v>
      </c>
    </row>
    <row r="25678" spans="1:6" x14ac:dyDescent="0.25">
      <c r="A25678" s="1" t="str">
        <f t="shared" si="929"/>
        <v>36420</v>
      </c>
      <c r="B25678" s="1" t="str">
        <f>"73036"</f>
        <v>73036</v>
      </c>
      <c r="C25678" s="2">
        <v>1.25351222200697E-2</v>
      </c>
      <c r="D25678" s="2">
        <v>1.2875716482594699E-2</v>
      </c>
      <c r="E25678" s="2">
        <v>8.1929272356970895E-3</v>
      </c>
      <c r="F25678" s="2">
        <v>1.244362819045E-2</v>
      </c>
    </row>
    <row r="25679" spans="1:6" x14ac:dyDescent="0.25">
      <c r="A25679" s="1" t="str">
        <f t="shared" si="929"/>
        <v>36420</v>
      </c>
      <c r="B25679" s="1" t="str">
        <f>"74059"</f>
        <v>74059</v>
      </c>
      <c r="C25679" s="2">
        <v>2.40280286954732E-4</v>
      </c>
      <c r="D25679" s="2">
        <v>8.3880889137424796E-5</v>
      </c>
      <c r="E25679" s="2">
        <v>0</v>
      </c>
      <c r="F25679" s="2">
        <v>2.18702200065083E-4</v>
      </c>
    </row>
    <row r="25680" spans="1:6" x14ac:dyDescent="0.25">
      <c r="A25680" s="1" t="str">
        <f t="shared" si="929"/>
        <v>36420</v>
      </c>
      <c r="B25680" s="1" t="str">
        <f>"74855"</f>
        <v>74855</v>
      </c>
      <c r="C25680" s="2">
        <v>3.85199335024305E-3</v>
      </c>
      <c r="D25680" s="2">
        <v>1.4539354117153601E-3</v>
      </c>
      <c r="E25680" s="2">
        <v>5.0916496945010103E-4</v>
      </c>
      <c r="F25680" s="2">
        <v>3.53085479623147E-3</v>
      </c>
    </row>
    <row r="25681" spans="1:6" x14ac:dyDescent="0.25">
      <c r="A25681" s="1" t="str">
        <f t="shared" si="929"/>
        <v>36420</v>
      </c>
      <c r="B25681" s="1" t="str">
        <f>"73128"</f>
        <v>73128</v>
      </c>
      <c r="C25681" s="2">
        <v>3.8474880948626499E-3</v>
      </c>
      <c r="D25681" s="2">
        <v>1.0373269956661499E-2</v>
      </c>
      <c r="E25681" s="2">
        <v>3.51786706165524E-3</v>
      </c>
      <c r="F25681" s="2">
        <v>4.4530929892770002E-3</v>
      </c>
    </row>
    <row r="25682" spans="1:6" x14ac:dyDescent="0.25">
      <c r="A25682" s="1" t="str">
        <f t="shared" si="929"/>
        <v>36420</v>
      </c>
      <c r="B25682" s="1" t="str">
        <f>"73150"</f>
        <v>73150</v>
      </c>
      <c r="C25682" s="2">
        <v>3.6627726242661998E-3</v>
      </c>
      <c r="D25682" s="2">
        <v>1.07647141059695E-3</v>
      </c>
      <c r="E25682" s="2">
        <v>8.7946676541381195E-4</v>
      </c>
      <c r="F25682" s="2">
        <v>3.33981974195775E-3</v>
      </c>
    </row>
    <row r="25683" spans="1:6" x14ac:dyDescent="0.25">
      <c r="A25683" s="1" t="str">
        <f t="shared" ref="A25683:A25714" si="930">"36420"</f>
        <v>36420</v>
      </c>
      <c r="B25683" s="1" t="str">
        <f>"73066"</f>
        <v>73066</v>
      </c>
      <c r="C25683" s="2">
        <v>0</v>
      </c>
      <c r="D25683" s="2">
        <v>0</v>
      </c>
      <c r="E25683" s="2">
        <v>4.6287724495463797E-5</v>
      </c>
      <c r="F25683" s="2">
        <v>1.3174831329221901E-6</v>
      </c>
    </row>
    <row r="25684" spans="1:6" x14ac:dyDescent="0.25">
      <c r="A25684" s="1" t="str">
        <f t="shared" si="930"/>
        <v>36420</v>
      </c>
      <c r="B25684" s="1" t="str">
        <f>"73011"</f>
        <v>73011</v>
      </c>
      <c r="C25684" s="2">
        <v>1.98231236737654E-4</v>
      </c>
      <c r="D25684" s="2">
        <v>1.1184118551656601E-4</v>
      </c>
      <c r="E25684" s="2">
        <v>4.6287724495463797E-5</v>
      </c>
      <c r="F25684" s="2">
        <v>1.8576512174202801E-4</v>
      </c>
    </row>
    <row r="25685" spans="1:6" x14ac:dyDescent="0.25">
      <c r="A25685" s="1" t="str">
        <f t="shared" si="930"/>
        <v>36420</v>
      </c>
      <c r="B25685" s="1" t="str">
        <f>"73017"</f>
        <v>73017</v>
      </c>
      <c r="C25685" s="2">
        <v>4.8206232570293203E-4</v>
      </c>
      <c r="D25685" s="2">
        <v>4.1940444568712398E-5</v>
      </c>
      <c r="E25685" s="2">
        <v>4.6287724495463797E-5</v>
      </c>
      <c r="F25685" s="2">
        <v>4.2818201819971099E-4</v>
      </c>
    </row>
    <row r="25686" spans="1:6" x14ac:dyDescent="0.25">
      <c r="A25686" s="1" t="str">
        <f t="shared" si="930"/>
        <v>36420</v>
      </c>
      <c r="B25686" s="1" t="str">
        <f>"73195"</f>
        <v>73195</v>
      </c>
      <c r="C25686" s="2">
        <v>7.4036363417927004E-4</v>
      </c>
      <c r="D25686" s="2">
        <v>1.0205508178386599E-3</v>
      </c>
      <c r="E25686" s="2">
        <v>9.2575448990927595E-5</v>
      </c>
      <c r="F25686" s="2">
        <v>7.4833041949980399E-4</v>
      </c>
    </row>
    <row r="25687" spans="1:6" x14ac:dyDescent="0.25">
      <c r="A25687" s="1" t="str">
        <f t="shared" si="930"/>
        <v>36420</v>
      </c>
      <c r="B25687" s="1" t="str">
        <f>"73112"</f>
        <v>73112</v>
      </c>
      <c r="C25687" s="2">
        <v>2.5330047500409202E-2</v>
      </c>
      <c r="D25687" s="2">
        <v>3.7536697888997599E-2</v>
      </c>
      <c r="E25687" s="2">
        <v>5.7581929272356898E-2</v>
      </c>
      <c r="F25687" s="2">
        <v>2.73983792322498E-2</v>
      </c>
    </row>
    <row r="25688" spans="1:6" x14ac:dyDescent="0.25">
      <c r="A25688" s="1" t="str">
        <f t="shared" si="930"/>
        <v>36420</v>
      </c>
      <c r="B25688" s="1" t="str">
        <f>"73114"</f>
        <v>73114</v>
      </c>
      <c r="C25688" s="2">
        <v>1.34001312531067E-2</v>
      </c>
      <c r="D25688" s="2">
        <v>1.5056619600167701E-2</v>
      </c>
      <c r="E25688" s="2">
        <v>1.39326050731346E-2</v>
      </c>
      <c r="F25688" s="2">
        <v>1.35713937522314E-2</v>
      </c>
    </row>
    <row r="25689" spans="1:6" x14ac:dyDescent="0.25">
      <c r="A25689" s="1" t="str">
        <f t="shared" si="930"/>
        <v>36420</v>
      </c>
      <c r="B25689" s="1" t="str">
        <f>"73115"</f>
        <v>73115</v>
      </c>
      <c r="C25689" s="2">
        <v>1.4090937078101599E-2</v>
      </c>
      <c r="D25689" s="2">
        <v>1.08346148469173E-2</v>
      </c>
      <c r="E25689" s="2">
        <v>1.3099426032216199E-2</v>
      </c>
      <c r="F25689" s="2">
        <v>1.37558413908405E-2</v>
      </c>
    </row>
    <row r="25690" spans="1:6" x14ac:dyDescent="0.25">
      <c r="A25690" s="1" t="str">
        <f t="shared" si="930"/>
        <v>36420</v>
      </c>
      <c r="B25690" s="1" t="str">
        <f>"73117"</f>
        <v>73117</v>
      </c>
      <c r="C25690" s="2">
        <v>5.3342223703950597E-3</v>
      </c>
      <c r="D25690" s="2">
        <v>4.9210121627289204E-3</v>
      </c>
      <c r="E25690" s="2">
        <v>3.1475652656915301E-3</v>
      </c>
      <c r="F25690" s="2">
        <v>5.2330430039669402E-3</v>
      </c>
    </row>
    <row r="25691" spans="1:6" x14ac:dyDescent="0.25">
      <c r="A25691" s="1" t="str">
        <f t="shared" si="930"/>
        <v>36420</v>
      </c>
      <c r="B25691" s="1" t="str">
        <f>"73129"</f>
        <v>73129</v>
      </c>
      <c r="C25691" s="2">
        <v>1.25110941913742E-2</v>
      </c>
      <c r="D25691" s="2">
        <v>1.9502306724451201E-2</v>
      </c>
      <c r="E25691" s="2">
        <v>9.4889835215700696E-3</v>
      </c>
      <c r="F25691" s="2">
        <v>1.30839249930502E-2</v>
      </c>
    </row>
    <row r="25692" spans="1:6" x14ac:dyDescent="0.25">
      <c r="A25692" s="1" t="str">
        <f t="shared" si="930"/>
        <v>36420</v>
      </c>
      <c r="B25692" s="1" t="str">
        <f>"73179"</f>
        <v>73179</v>
      </c>
      <c r="C25692" s="2">
        <v>4.3175364062178496E-3</v>
      </c>
      <c r="D25692" s="2">
        <v>6.58464979728785E-3</v>
      </c>
      <c r="E25692" s="2">
        <v>2.4532493982595801E-3</v>
      </c>
      <c r="F25692" s="2">
        <v>4.47812516880252E-3</v>
      </c>
    </row>
    <row r="25693" spans="1:6" x14ac:dyDescent="0.25">
      <c r="A25693" s="1" t="str">
        <f t="shared" si="930"/>
        <v>36420</v>
      </c>
      <c r="B25693" s="1" t="str">
        <f>"73145"</f>
        <v>73145</v>
      </c>
      <c r="C25693" s="2">
        <v>2.7286830087296801E-3</v>
      </c>
      <c r="D25693" s="2">
        <v>1.0373269956661499E-2</v>
      </c>
      <c r="E25693" s="2">
        <v>8.4243658581744096E-3</v>
      </c>
      <c r="F25693" s="2">
        <v>3.6112212673397202E-3</v>
      </c>
    </row>
    <row r="25694" spans="1:6" x14ac:dyDescent="0.25">
      <c r="A25694" s="1" t="str">
        <f t="shared" si="930"/>
        <v>36420</v>
      </c>
      <c r="B25694" s="1" t="str">
        <f>"73141"</f>
        <v>73141</v>
      </c>
      <c r="C25694" s="2">
        <v>2.0949437518865701E-3</v>
      </c>
      <c r="D25694" s="2">
        <v>2.97777156437858E-3</v>
      </c>
      <c r="E25694" s="2">
        <v>5.0916496945010103E-4</v>
      </c>
      <c r="F25694" s="2">
        <v>2.1330051922010202E-3</v>
      </c>
    </row>
    <row r="25695" spans="1:6" x14ac:dyDescent="0.25">
      <c r="A25695" s="1" t="str">
        <f t="shared" si="930"/>
        <v>36420</v>
      </c>
      <c r="B25695" s="1" t="str">
        <f>"73068"</f>
        <v>73068</v>
      </c>
      <c r="C25695" s="2">
        <v>8.0478878611900707E-3</v>
      </c>
      <c r="D25695" s="2">
        <v>2.29274430308961E-3</v>
      </c>
      <c r="E25695" s="2">
        <v>1.75893353082762E-3</v>
      </c>
      <c r="F25695" s="2">
        <v>7.3265237021802997E-3</v>
      </c>
    </row>
    <row r="25696" spans="1:6" x14ac:dyDescent="0.25">
      <c r="A25696" s="1" t="str">
        <f t="shared" si="930"/>
        <v>36420</v>
      </c>
      <c r="B25696" s="1" t="str">
        <f>"73071"</f>
        <v>73071</v>
      </c>
      <c r="C25696" s="2">
        <v>3.1646415543731703E-2</v>
      </c>
      <c r="D25696" s="2">
        <v>1.17293443310499E-2</v>
      </c>
      <c r="E25696" s="2">
        <v>5.8877985558229901E-2</v>
      </c>
      <c r="F25696" s="2">
        <v>3.0544528953668E-2</v>
      </c>
    </row>
    <row r="25697" spans="1:6" x14ac:dyDescent="0.25">
      <c r="A25697" s="1" t="str">
        <f t="shared" si="930"/>
        <v>36420</v>
      </c>
      <c r="B25697" s="1" t="str">
        <f>"73083"</f>
        <v>73083</v>
      </c>
      <c r="C25697" s="2">
        <v>4.6509253043675401E-3</v>
      </c>
      <c r="D25697" s="2">
        <v>2.2312316510555E-2</v>
      </c>
      <c r="E25697" s="2">
        <v>1.85150897981855E-4</v>
      </c>
      <c r="F25697" s="2">
        <v>6.1882182753355301E-3</v>
      </c>
    </row>
    <row r="25698" spans="1:6" x14ac:dyDescent="0.25">
      <c r="A25698" s="1" t="str">
        <f t="shared" si="930"/>
        <v>36420</v>
      </c>
      <c r="B25698" s="1" t="str">
        <f>"73099"</f>
        <v>73099</v>
      </c>
      <c r="C25698" s="2">
        <v>5.1451518195975599E-2</v>
      </c>
      <c r="D25698" s="2">
        <v>2.1543408360128601E-2</v>
      </c>
      <c r="E25698" s="2">
        <v>1.36548787261618E-2</v>
      </c>
      <c r="F25698" s="2">
        <v>4.7557188649092301E-2</v>
      </c>
    </row>
    <row r="25699" spans="1:6" x14ac:dyDescent="0.25">
      <c r="A25699" s="1" t="str">
        <f t="shared" si="930"/>
        <v>36420</v>
      </c>
      <c r="B25699" s="1" t="str">
        <f>"73106"</f>
        <v>73106</v>
      </c>
      <c r="C25699" s="2">
        <v>1.01293158469354E-2</v>
      </c>
      <c r="D25699" s="2">
        <v>1.65524954564518E-2</v>
      </c>
      <c r="E25699" s="2">
        <v>2.1986669135345301E-2</v>
      </c>
      <c r="F25699" s="2">
        <v>1.1072128249078E-2</v>
      </c>
    </row>
    <row r="25700" spans="1:6" x14ac:dyDescent="0.25">
      <c r="A25700" s="1" t="str">
        <f t="shared" si="930"/>
        <v>36420</v>
      </c>
      <c r="B25700" s="1" t="str">
        <f>"73056"</f>
        <v>73056</v>
      </c>
      <c r="C25700" s="2">
        <v>1.30652406031635E-4</v>
      </c>
      <c r="D25700" s="2">
        <v>1.3980148189570799E-4</v>
      </c>
      <c r="E25700" s="2">
        <v>4.6287724495463797E-5</v>
      </c>
      <c r="F25700" s="2">
        <v>1.2911334702637401E-4</v>
      </c>
    </row>
    <row r="25701" spans="1:6" x14ac:dyDescent="0.25">
      <c r="A25701" s="1" t="str">
        <f t="shared" si="930"/>
        <v>36420</v>
      </c>
      <c r="B25701" s="1" t="str">
        <f>"73101"</f>
        <v>73101</v>
      </c>
      <c r="C25701" s="2">
        <v>2.0033368924850799E-3</v>
      </c>
      <c r="D25701" s="2">
        <v>9.4645603243394306E-3</v>
      </c>
      <c r="E25701" s="2">
        <v>9.2575448990927595E-5</v>
      </c>
      <c r="F25701" s="2">
        <v>2.6520935465723702E-3</v>
      </c>
    </row>
    <row r="25702" spans="1:6" x14ac:dyDescent="0.25">
      <c r="A25702" s="1" t="str">
        <f t="shared" si="930"/>
        <v>36420</v>
      </c>
      <c r="B25702" s="1" t="str">
        <f>"73019"</f>
        <v>73019</v>
      </c>
      <c r="C25702" s="2">
        <v>0</v>
      </c>
      <c r="D25702" s="2">
        <v>2.9358311198098598E-3</v>
      </c>
      <c r="E25702" s="2">
        <v>6.2488428068876098E-3</v>
      </c>
      <c r="F25702" s="2">
        <v>4.54531680858155E-4</v>
      </c>
    </row>
    <row r="25703" spans="1:6" x14ac:dyDescent="0.25">
      <c r="A25703" s="1" t="str">
        <f t="shared" si="930"/>
        <v>36420</v>
      </c>
      <c r="B25703" s="1" t="str">
        <f>"74872"</f>
        <v>74872</v>
      </c>
      <c r="C25703" s="2">
        <v>8.2596348640689296E-5</v>
      </c>
      <c r="D25703" s="2">
        <v>2.79602963791416E-5</v>
      </c>
      <c r="E25703" s="2">
        <v>0</v>
      </c>
      <c r="F25703" s="2">
        <v>7.5096538576564803E-5</v>
      </c>
    </row>
    <row r="25704" spans="1:6" x14ac:dyDescent="0.25">
      <c r="A25704" s="1" t="str">
        <f t="shared" si="930"/>
        <v>36420</v>
      </c>
      <c r="B25704" s="1" t="str">
        <f>"73137"</f>
        <v>73137</v>
      </c>
      <c r="C25704" s="2">
        <v>1.5888533974881601E-3</v>
      </c>
      <c r="D25704" s="2">
        <v>3.4530966028239801E-3</v>
      </c>
      <c r="E25704" s="2">
        <v>9.2575448990927595E-5</v>
      </c>
      <c r="F25704" s="2">
        <v>1.7219504547293001E-3</v>
      </c>
    </row>
    <row r="25705" spans="1:6" x14ac:dyDescent="0.25">
      <c r="A25705" s="1" t="str">
        <f t="shared" si="930"/>
        <v>36420</v>
      </c>
      <c r="B25705" s="1" t="str">
        <f>"73155"</f>
        <v>73155</v>
      </c>
      <c r="C25705" s="2">
        <v>1.10228581640483E-3</v>
      </c>
      <c r="D25705" s="2">
        <v>2.2787641549000398E-3</v>
      </c>
      <c r="E25705" s="2">
        <v>9.2575448990927595E-5</v>
      </c>
      <c r="F25705" s="2">
        <v>1.18441733649704E-3</v>
      </c>
    </row>
    <row r="25706" spans="1:6" x14ac:dyDescent="0.25">
      <c r="A25706" s="1" t="str">
        <f t="shared" si="930"/>
        <v>36420</v>
      </c>
      <c r="B25706" s="1" t="str">
        <f>"73157"</f>
        <v>73157</v>
      </c>
      <c r="C25706" s="2">
        <v>1.2915065423816799E-3</v>
      </c>
      <c r="D25706" s="2">
        <v>8.0805256535719204E-3</v>
      </c>
      <c r="E25706" s="2">
        <v>9.2575448990927595E-5</v>
      </c>
      <c r="F25706" s="2">
        <v>1.89717571140795E-3</v>
      </c>
    </row>
    <row r="25707" spans="1:6" x14ac:dyDescent="0.25">
      <c r="A25707" s="1" t="str">
        <f t="shared" si="930"/>
        <v>36420</v>
      </c>
      <c r="B25707" s="1" t="str">
        <f>"73113"</f>
        <v>73113</v>
      </c>
      <c r="C25707" s="2">
        <v>1.6744532497157899E-3</v>
      </c>
      <c r="D25707" s="2">
        <v>7.42345868866209E-3</v>
      </c>
      <c r="E25707" s="2">
        <v>9.2575448990927595E-5</v>
      </c>
      <c r="F25707" s="2">
        <v>2.1712122030557702E-3</v>
      </c>
    </row>
    <row r="25708" spans="1:6" x14ac:dyDescent="0.25">
      <c r="A25708" s="1" t="str">
        <f t="shared" si="930"/>
        <v>36420</v>
      </c>
      <c r="B25708" s="1" t="str">
        <f>"73040"</f>
        <v>73040</v>
      </c>
      <c r="C25708" s="2">
        <v>6.8329706602752104E-4</v>
      </c>
      <c r="D25708" s="2">
        <v>1.25821333706137E-4</v>
      </c>
      <c r="E25708" s="2">
        <v>9.2575448990927595E-5</v>
      </c>
      <c r="F25708" s="2">
        <v>6.1394713994174005E-4</v>
      </c>
    </row>
    <row r="25709" spans="1:6" x14ac:dyDescent="0.25">
      <c r="A25709" s="1" t="str">
        <f t="shared" si="930"/>
        <v>36420</v>
      </c>
      <c r="B25709" s="1" t="str">
        <f>"74864"</f>
        <v>74864</v>
      </c>
      <c r="C25709" s="2">
        <v>3.73786021393956E-3</v>
      </c>
      <c r="D25709" s="2">
        <v>1.80343911645463E-3</v>
      </c>
      <c r="E25709" s="2">
        <v>1.6200703573412301E-3</v>
      </c>
      <c r="F25709" s="2">
        <v>3.49528275164257E-3</v>
      </c>
    </row>
    <row r="25710" spans="1:6" x14ac:dyDescent="0.25">
      <c r="A25710" s="1" t="str">
        <f t="shared" si="930"/>
        <v>36420</v>
      </c>
      <c r="B25710" s="1" t="str">
        <f>"74869"</f>
        <v>74869</v>
      </c>
      <c r="C25710" s="2">
        <v>5.2711487950694402E-4</v>
      </c>
      <c r="D25710" s="2">
        <v>1.39801481895708E-5</v>
      </c>
      <c r="E25710" s="2">
        <v>4.6287724495463797E-5</v>
      </c>
      <c r="F25710" s="2">
        <v>4.6507154592153298E-4</v>
      </c>
    </row>
    <row r="25711" spans="1:6" x14ac:dyDescent="0.25">
      <c r="A25711" s="1" t="str">
        <f t="shared" si="930"/>
        <v>36420</v>
      </c>
      <c r="B25711" s="1" t="str">
        <f>"74875"</f>
        <v>74875</v>
      </c>
      <c r="C25711" s="2">
        <v>6.3974626401697501E-4</v>
      </c>
      <c r="D25711" s="2">
        <v>2.09702222843562E-4</v>
      </c>
      <c r="E25711" s="2">
        <v>4.6287724495463797E-5</v>
      </c>
      <c r="F25711" s="2">
        <v>5.8232754475160797E-4</v>
      </c>
    </row>
    <row r="25712" spans="1:6" x14ac:dyDescent="0.25">
      <c r="A25712" s="1" t="str">
        <f t="shared" si="930"/>
        <v>36420</v>
      </c>
      <c r="B25712" s="1" t="str">
        <f>"73059"</f>
        <v>73059</v>
      </c>
      <c r="C25712" s="2">
        <v>1.3245450818379599E-3</v>
      </c>
      <c r="D25712" s="2">
        <v>2.09702222843562E-4</v>
      </c>
      <c r="E25712" s="2">
        <v>2.77726346972782E-4</v>
      </c>
      <c r="F25712" s="2">
        <v>1.1896872690287301E-3</v>
      </c>
    </row>
    <row r="25713" spans="1:6" x14ac:dyDescent="0.25">
      <c r="A25713" s="1" t="str">
        <f t="shared" si="930"/>
        <v>36420</v>
      </c>
      <c r="B25713" s="1" t="str">
        <f>"73069"</f>
        <v>73069</v>
      </c>
      <c r="C25713" s="2">
        <v>1.9938758561862401E-2</v>
      </c>
      <c r="D25713" s="2">
        <v>3.6194603662798801E-2</v>
      </c>
      <c r="E25713" s="2">
        <v>4.6982040362895702E-2</v>
      </c>
      <c r="F25713" s="2">
        <v>2.22404327668595E-2</v>
      </c>
    </row>
    <row r="25714" spans="1:6" x14ac:dyDescent="0.25">
      <c r="A25714" s="1" t="str">
        <f t="shared" si="930"/>
        <v>36420</v>
      </c>
      <c r="B25714" s="1" t="str">
        <f>"73049"</f>
        <v>73049</v>
      </c>
      <c r="C25714" s="2">
        <v>4.2109120288816903E-3</v>
      </c>
      <c r="D25714" s="2">
        <v>8.2482874318467699E-4</v>
      </c>
      <c r="E25714" s="2">
        <v>6.4802814293649297E-4</v>
      </c>
      <c r="F25714" s="2">
        <v>3.7903989734171398E-3</v>
      </c>
    </row>
    <row r="25715" spans="1:6" x14ac:dyDescent="0.25">
      <c r="A25715" s="1" t="str">
        <f t="shared" ref="A25715:A25746" si="931">"36420"</f>
        <v>36420</v>
      </c>
      <c r="B25715" s="1" t="str">
        <f>"73105"</f>
        <v>73105</v>
      </c>
      <c r="C25715" s="2">
        <v>5.1585174105594099E-3</v>
      </c>
      <c r="D25715" s="2">
        <v>1.45952747099119E-2</v>
      </c>
      <c r="E25715" s="2">
        <v>9.7667098685428593E-3</v>
      </c>
      <c r="F25715" s="2">
        <v>6.17899589340507E-3</v>
      </c>
    </row>
    <row r="25716" spans="1:6" x14ac:dyDescent="0.25">
      <c r="A25716" s="1" t="str">
        <f t="shared" si="931"/>
        <v>36420</v>
      </c>
      <c r="B25716" s="1" t="str">
        <f>"73013"</f>
        <v>73013</v>
      </c>
      <c r="C25716" s="2">
        <v>3.6406968729022403E-2</v>
      </c>
      <c r="D25716" s="2">
        <v>3.6809730183139898E-2</v>
      </c>
      <c r="E25716" s="2">
        <v>2.1570079614886099E-2</v>
      </c>
      <c r="F25716" s="2">
        <v>3.60226238203585E-2</v>
      </c>
    </row>
    <row r="25717" spans="1:6" x14ac:dyDescent="0.25">
      <c r="A25717" s="1" t="str">
        <f t="shared" si="931"/>
        <v>36420</v>
      </c>
      <c r="B25717" s="1" t="str">
        <f>"73018"</f>
        <v>73018</v>
      </c>
      <c r="C25717" s="2">
        <v>1.4071414304786501E-2</v>
      </c>
      <c r="D25717" s="2">
        <v>1.78246889417027E-2</v>
      </c>
      <c r="E25717" s="2">
        <v>8.9798185521199701E-3</v>
      </c>
      <c r="F25717" s="2">
        <v>1.4280199677743599E-2</v>
      </c>
    </row>
    <row r="25718" spans="1:6" x14ac:dyDescent="0.25">
      <c r="A25718" s="1" t="str">
        <f t="shared" si="931"/>
        <v>36420</v>
      </c>
      <c r="B25718" s="1" t="str">
        <f>"73031"</f>
        <v>73031</v>
      </c>
      <c r="C25718" s="2">
        <v>1.50175179346707E-6</v>
      </c>
      <c r="D25718" s="2">
        <v>0</v>
      </c>
      <c r="E25718" s="2">
        <v>4.6287724495463797E-5</v>
      </c>
      <c r="F25718" s="2">
        <v>2.6349662658443801E-6</v>
      </c>
    </row>
    <row r="25719" spans="1:6" x14ac:dyDescent="0.25">
      <c r="A25719" s="1" t="str">
        <f t="shared" si="931"/>
        <v>36420</v>
      </c>
      <c r="B25719" s="1" t="str">
        <f>"74028"</f>
        <v>74028</v>
      </c>
      <c r="C25719" s="2">
        <v>4.5052553804012304E-6</v>
      </c>
      <c r="D25719" s="2">
        <v>0</v>
      </c>
      <c r="E25719" s="2">
        <v>0</v>
      </c>
      <c r="F25719" s="2">
        <v>3.9524493987665702E-6</v>
      </c>
    </row>
    <row r="25720" spans="1:6" x14ac:dyDescent="0.25">
      <c r="A25720" s="1" t="str">
        <f t="shared" si="931"/>
        <v>36420</v>
      </c>
      <c r="B25720" s="1" t="str">
        <f>"73184"</f>
        <v>73184</v>
      </c>
      <c r="C25720" s="2">
        <v>0</v>
      </c>
      <c r="D25720" s="2">
        <v>0</v>
      </c>
      <c r="E25720" s="2">
        <v>4.6287724495463797E-5</v>
      </c>
      <c r="F25720" s="2">
        <v>1.3174831329221901E-6</v>
      </c>
    </row>
    <row r="25721" spans="1:6" x14ac:dyDescent="0.25">
      <c r="A25721" s="1" t="str">
        <f t="shared" si="931"/>
        <v>36420</v>
      </c>
      <c r="B25721" s="1" t="str">
        <f>"73073"</f>
        <v>73073</v>
      </c>
      <c r="C25721" s="2">
        <v>2.29768024400463E-4</v>
      </c>
      <c r="D25721" s="2">
        <v>1.39801481895708E-5</v>
      </c>
      <c r="E25721" s="2">
        <v>4.6287724495463797E-5</v>
      </c>
      <c r="F25721" s="2">
        <v>2.04209885602939E-4</v>
      </c>
    </row>
    <row r="25722" spans="1:6" x14ac:dyDescent="0.25">
      <c r="A25722" s="1" t="str">
        <f t="shared" si="931"/>
        <v>36420</v>
      </c>
      <c r="B25722" s="1" t="str">
        <f>"73007"</f>
        <v>73007</v>
      </c>
      <c r="C25722" s="2">
        <v>2.13999630569058E-3</v>
      </c>
      <c r="D25722" s="2">
        <v>1.95722074653991E-4</v>
      </c>
      <c r="E25722" s="2">
        <v>1.38863173486391E-4</v>
      </c>
      <c r="F25722" s="2">
        <v>1.89981067767379E-3</v>
      </c>
    </row>
    <row r="25723" spans="1:6" x14ac:dyDescent="0.25">
      <c r="A25723" s="1" t="str">
        <f t="shared" si="931"/>
        <v>36420</v>
      </c>
      <c r="B25723" s="1" t="str">
        <f>"73026"</f>
        <v>73026</v>
      </c>
      <c r="C25723" s="2">
        <v>7.6484218841278298E-3</v>
      </c>
      <c r="D25723" s="2">
        <v>1.10443170697609E-3</v>
      </c>
      <c r="E25723" s="2">
        <v>1.85150897981855E-4</v>
      </c>
      <c r="F25723" s="2">
        <v>6.8192926960052502E-3</v>
      </c>
    </row>
    <row r="25724" spans="1:6" x14ac:dyDescent="0.25">
      <c r="A25724" s="1" t="str">
        <f t="shared" si="931"/>
        <v>36420</v>
      </c>
      <c r="B25724" s="1" t="str">
        <f>"73028"</f>
        <v>73028</v>
      </c>
      <c r="C25724" s="2">
        <v>2.3622555711237101E-3</v>
      </c>
      <c r="D25724" s="2">
        <v>4.1940444568712399E-4</v>
      </c>
      <c r="E25724" s="2">
        <v>7.8689131642288395E-4</v>
      </c>
      <c r="F25724" s="2">
        <v>2.1343226753339399E-3</v>
      </c>
    </row>
    <row r="25725" spans="1:6" x14ac:dyDescent="0.25">
      <c r="A25725" s="1" t="str">
        <f t="shared" si="931"/>
        <v>36420</v>
      </c>
      <c r="B25725" s="1" t="str">
        <f>"74824"</f>
        <v>74824</v>
      </c>
      <c r="C25725" s="2">
        <v>9.5211063705812797E-4</v>
      </c>
      <c r="D25725" s="2">
        <v>5.5920592758283199E-5</v>
      </c>
      <c r="E25725" s="2">
        <v>4.6287724495463797E-5</v>
      </c>
      <c r="F25725" s="2">
        <v>8.4187172193727895E-4</v>
      </c>
    </row>
    <row r="25726" spans="1:6" x14ac:dyDescent="0.25">
      <c r="A25726" s="1" t="str">
        <f t="shared" si="931"/>
        <v>36420</v>
      </c>
      <c r="B25726" s="1" t="str">
        <f>"74831"</f>
        <v>74831</v>
      </c>
      <c r="C25726" s="2">
        <v>5.9018845483256198E-4</v>
      </c>
      <c r="D25726" s="2">
        <v>1.95722074653991E-4</v>
      </c>
      <c r="E25726" s="2">
        <v>4.6287724495463797E-5</v>
      </c>
      <c r="F25726" s="2">
        <v>5.3753311823225296E-4</v>
      </c>
    </row>
    <row r="25727" spans="1:6" x14ac:dyDescent="0.25">
      <c r="A25727" s="1" t="str">
        <f t="shared" si="931"/>
        <v>36420</v>
      </c>
      <c r="B25727" s="1" t="str">
        <f>"73148"</f>
        <v>73148</v>
      </c>
      <c r="C25727" s="2">
        <v>1.0827630430897601E-3</v>
      </c>
      <c r="D25727" s="2">
        <v>1.9152803019712001E-3</v>
      </c>
      <c r="E25727" s="2">
        <v>9.2575448990927595E-5</v>
      </c>
      <c r="F25727" s="2">
        <v>1.13303549431308E-3</v>
      </c>
    </row>
    <row r="25728" spans="1:6" x14ac:dyDescent="0.25">
      <c r="A25728" s="1" t="str">
        <f t="shared" si="931"/>
        <v>36420</v>
      </c>
      <c r="B25728" s="1" t="str">
        <f>"73121"</f>
        <v>73121</v>
      </c>
      <c r="C25728" s="2">
        <v>2.3502415567759698E-3</v>
      </c>
      <c r="D25728" s="2">
        <v>2.1669229693834701E-3</v>
      </c>
      <c r="E25728" s="2">
        <v>3.24014071468246E-4</v>
      </c>
      <c r="F25728" s="2">
        <v>2.27529337055662E-3</v>
      </c>
    </row>
    <row r="25729" spans="1:6" x14ac:dyDescent="0.25">
      <c r="A25729" s="1" t="str">
        <f t="shared" si="931"/>
        <v>36420</v>
      </c>
      <c r="B25729" s="1" t="str">
        <f>"73152"</f>
        <v>73152</v>
      </c>
      <c r="C25729" s="2">
        <v>1.8171196700951601E-4</v>
      </c>
      <c r="D25729" s="2">
        <v>7.68908150426394E-4</v>
      </c>
      <c r="E25729" s="2">
        <v>4.6287724495463797E-5</v>
      </c>
      <c r="F25729" s="2">
        <v>2.3319451452722699E-4</v>
      </c>
    </row>
    <row r="25730" spans="1:6" x14ac:dyDescent="0.25">
      <c r="A25730" s="1" t="str">
        <f t="shared" si="931"/>
        <v>36420</v>
      </c>
      <c r="B25730" s="1" t="str">
        <f>"73153"</f>
        <v>73153</v>
      </c>
      <c r="C25730" s="2">
        <v>1.64291646205298E-3</v>
      </c>
      <c r="D25730" s="2">
        <v>6.2631063889277199E-3</v>
      </c>
      <c r="E25730" s="2">
        <v>9.2575448990927595E-5</v>
      </c>
      <c r="F25730" s="2">
        <v>2.0341939572318599E-3</v>
      </c>
    </row>
    <row r="25731" spans="1:6" x14ac:dyDescent="0.25">
      <c r="A25731" s="1" t="str">
        <f t="shared" si="931"/>
        <v>36420</v>
      </c>
      <c r="B25731" s="1" t="str">
        <f>"73065"</f>
        <v>73065</v>
      </c>
      <c r="C25731" s="2">
        <v>5.9184038180537498E-3</v>
      </c>
      <c r="D25731" s="2">
        <v>4.7951908290227796E-3</v>
      </c>
      <c r="E25731" s="2">
        <v>1.9440844288094699E-3</v>
      </c>
      <c r="F25731" s="2">
        <v>5.6994320330213902E-3</v>
      </c>
    </row>
    <row r="25732" spans="1:6" x14ac:dyDescent="0.25">
      <c r="A25732" s="1" t="str">
        <f t="shared" si="931"/>
        <v>36420</v>
      </c>
      <c r="B25732" s="1" t="str">
        <f>"73093"</f>
        <v>73093</v>
      </c>
      <c r="C25732" s="2">
        <v>2.4478554233513302E-3</v>
      </c>
      <c r="D25732" s="2">
        <v>1.31413392981965E-3</v>
      </c>
      <c r="E25732" s="2">
        <v>1.38863173486391E-4</v>
      </c>
      <c r="F25732" s="2">
        <v>2.27529337055662E-3</v>
      </c>
    </row>
    <row r="25733" spans="1:6" x14ac:dyDescent="0.25">
      <c r="A25733" s="1" t="str">
        <f t="shared" si="931"/>
        <v>36420</v>
      </c>
      <c r="B25733" s="1" t="str">
        <f>"73063"</f>
        <v>73063</v>
      </c>
      <c r="C25733" s="2">
        <v>3.6492568581249999E-4</v>
      </c>
      <c r="D25733" s="2">
        <v>1.39801481895708E-5</v>
      </c>
      <c r="E25733" s="2">
        <v>4.6287724495463797E-5</v>
      </c>
      <c r="F25733" s="2">
        <v>3.2278336756593601E-4</v>
      </c>
    </row>
    <row r="25734" spans="1:6" x14ac:dyDescent="0.25">
      <c r="A25734" s="1" t="str">
        <f t="shared" si="931"/>
        <v>36420</v>
      </c>
      <c r="B25734" s="1" t="str">
        <f>"73058"</f>
        <v>73058</v>
      </c>
      <c r="C25734" s="2">
        <v>3.4089765711702702E-4</v>
      </c>
      <c r="D25734" s="2">
        <v>1.39801481895708E-5</v>
      </c>
      <c r="E25734" s="2">
        <v>4.6287724495463797E-5</v>
      </c>
      <c r="F25734" s="2">
        <v>3.0170363743918098E-4</v>
      </c>
    </row>
    <row r="25735" spans="1:6" x14ac:dyDescent="0.25">
      <c r="A25735" s="1" t="str">
        <f t="shared" si="931"/>
        <v>36420</v>
      </c>
      <c r="B25735" s="1" t="str">
        <f>"73139"</f>
        <v>73139</v>
      </c>
      <c r="C25735" s="2">
        <v>1.3065240603163501E-2</v>
      </c>
      <c r="D25735" s="2">
        <v>1.42737313015517E-2</v>
      </c>
      <c r="E25735" s="2">
        <v>4.0733197556008099E-2</v>
      </c>
      <c r="F25735" s="2">
        <v>1.39666386921081E-2</v>
      </c>
    </row>
    <row r="25736" spans="1:6" x14ac:dyDescent="0.25">
      <c r="A25736" s="1" t="str">
        <f t="shared" si="931"/>
        <v>36420</v>
      </c>
      <c r="B25736" s="1" t="str">
        <f>"73159"</f>
        <v>73159</v>
      </c>
      <c r="C25736" s="2">
        <v>2.0312694758435699E-2</v>
      </c>
      <c r="D25736" s="2">
        <v>1.3728505522158501E-2</v>
      </c>
      <c r="E25736" s="2">
        <v>2.38381781151638E-2</v>
      </c>
      <c r="F25736" s="2">
        <v>1.9792549105890001E-2</v>
      </c>
    </row>
    <row r="25737" spans="1:6" x14ac:dyDescent="0.25">
      <c r="A25737" s="1" t="str">
        <f t="shared" si="931"/>
        <v>36420</v>
      </c>
      <c r="B25737" s="1" t="str">
        <f>"73160"</f>
        <v>73160</v>
      </c>
      <c r="C25737" s="2">
        <v>3.6552638652988703E-2</v>
      </c>
      <c r="D25737" s="2">
        <v>2.7680693415350201E-2</v>
      </c>
      <c r="E25737" s="2">
        <v>2.8004073319755601E-2</v>
      </c>
      <c r="F25737" s="2">
        <v>3.5473233353929899E-2</v>
      </c>
    </row>
    <row r="25738" spans="1:6" x14ac:dyDescent="0.25">
      <c r="A25738" s="1" t="str">
        <f t="shared" si="931"/>
        <v>36420</v>
      </c>
      <c r="B25738" s="1" t="str">
        <f>"73119"</f>
        <v>73119</v>
      </c>
      <c r="C25738" s="2">
        <v>1.79354216693773E-2</v>
      </c>
      <c r="D25738" s="2">
        <v>1.3840346707675101E-2</v>
      </c>
      <c r="E25738" s="2">
        <v>1.67098685428624E-2</v>
      </c>
      <c r="F25738" s="2">
        <v>1.7514620769067599E-2</v>
      </c>
    </row>
    <row r="25739" spans="1:6" x14ac:dyDescent="0.25">
      <c r="A25739" s="1" t="str">
        <f t="shared" si="931"/>
        <v>36420</v>
      </c>
      <c r="B25739" s="1" t="str">
        <f>"73170"</f>
        <v>73170</v>
      </c>
      <c r="C25739" s="2">
        <v>2.5055226922204701E-2</v>
      </c>
      <c r="D25739" s="2">
        <v>8.0945058017614906E-3</v>
      </c>
      <c r="E25739" s="2">
        <v>1.38400296241436E-2</v>
      </c>
      <c r="F25739" s="2">
        <v>2.3137638780379499E-2</v>
      </c>
    </row>
    <row r="25740" spans="1:6" x14ac:dyDescent="0.25">
      <c r="A25740" s="1" t="str">
        <f t="shared" si="931"/>
        <v>36420</v>
      </c>
      <c r="B25740" s="1" t="str">
        <f>"73143"</f>
        <v>73143</v>
      </c>
      <c r="C25740" s="2">
        <v>2.0348736801478898E-3</v>
      </c>
      <c r="D25740" s="2">
        <v>5.39633720117433E-3</v>
      </c>
      <c r="E25740" s="2">
        <v>9.2575448990927595E-5</v>
      </c>
      <c r="F25740" s="2">
        <v>2.2963731006833701E-3</v>
      </c>
    </row>
    <row r="25741" spans="1:6" x14ac:dyDescent="0.25">
      <c r="A25741" s="1" t="str">
        <f t="shared" si="931"/>
        <v>36420</v>
      </c>
      <c r="B25741" s="1" t="str">
        <f>"73189"</f>
        <v>73189</v>
      </c>
      <c r="C25741" s="2">
        <v>2.5725008222091E-3</v>
      </c>
      <c r="D25741" s="2">
        <v>7.9826646162449305E-3</v>
      </c>
      <c r="E25741" s="2">
        <v>9.2575448990927595E-5</v>
      </c>
      <c r="F25741" s="2">
        <v>3.01176644186012E-3</v>
      </c>
    </row>
    <row r="25742" spans="1:6" x14ac:dyDescent="0.25">
      <c r="A25742" s="1" t="str">
        <f t="shared" si="931"/>
        <v>36420</v>
      </c>
      <c r="B25742" s="1" t="str">
        <f>"73090"</f>
        <v>73090</v>
      </c>
      <c r="C25742" s="2">
        <v>6.2623049787577205E-4</v>
      </c>
      <c r="D25742" s="2">
        <v>3.4950370473927001E-4</v>
      </c>
      <c r="E25742" s="2">
        <v>2.31438622477319E-4</v>
      </c>
      <c r="F25742" s="2">
        <v>5.8891496041621905E-4</v>
      </c>
    </row>
    <row r="25743" spans="1:6" x14ac:dyDescent="0.25">
      <c r="A25743" s="1" t="str">
        <f t="shared" si="931"/>
        <v>36420</v>
      </c>
      <c r="B25743" s="1" t="str">
        <f>"73102"</f>
        <v>73102</v>
      </c>
      <c r="C25743" s="2">
        <v>2.0063403960720099E-3</v>
      </c>
      <c r="D25743" s="2">
        <v>3.4964350622116502E-2</v>
      </c>
      <c r="E25743" s="2">
        <v>1.04147380114793E-2</v>
      </c>
      <c r="F25743" s="2">
        <v>5.35161648592993E-3</v>
      </c>
    </row>
    <row r="25744" spans="1:6" x14ac:dyDescent="0.25">
      <c r="A25744" s="1" t="str">
        <f t="shared" si="931"/>
        <v>36420</v>
      </c>
      <c r="B25744" s="1" t="str">
        <f>"73107"</f>
        <v>73107</v>
      </c>
      <c r="C25744" s="2">
        <v>1.8816949972142501E-2</v>
      </c>
      <c r="D25744" s="2">
        <v>2.1277785544526698E-2</v>
      </c>
      <c r="E25744" s="2">
        <v>1.9764858359563001E-2</v>
      </c>
      <c r="F25744" s="2">
        <v>1.9075838281580399E-2</v>
      </c>
    </row>
    <row r="25745" spans="1:6" x14ac:dyDescent="0.25">
      <c r="A25745" s="1" t="str">
        <f t="shared" si="931"/>
        <v>36420</v>
      </c>
      <c r="B25745" s="1" t="str">
        <f>"73095"</f>
        <v>73095</v>
      </c>
      <c r="C25745" s="2">
        <v>8.8903706173251002E-4</v>
      </c>
      <c r="D25745" s="2">
        <v>3.3552355654969902E-4</v>
      </c>
      <c r="E25745" s="2">
        <v>4.6287724495463797E-5</v>
      </c>
      <c r="F25745" s="2">
        <v>8.1288709301299096E-4</v>
      </c>
    </row>
    <row r="25746" spans="1:6" x14ac:dyDescent="0.25">
      <c r="A25746" s="1" t="str">
        <f t="shared" si="931"/>
        <v>36420</v>
      </c>
      <c r="B25746" s="1" t="str">
        <f>"73110"</f>
        <v>73110</v>
      </c>
      <c r="C25746" s="2">
        <v>2.3948435850419499E-2</v>
      </c>
      <c r="D25746" s="2">
        <v>1.8425835313854302E-2</v>
      </c>
      <c r="E25746" s="2">
        <v>4.3001296056285797E-2</v>
      </c>
      <c r="F25746" s="2">
        <v>2.3970288120386301E-2</v>
      </c>
    </row>
    <row r="25747" spans="1:6" x14ac:dyDescent="0.25">
      <c r="A25747" s="1" t="str">
        <f t="shared" ref="A25747:A25769" si="932">"36420"</f>
        <v>36420</v>
      </c>
      <c r="B25747" s="1" t="str">
        <f>"73111"</f>
        <v>73111</v>
      </c>
      <c r="C25747" s="2">
        <v>9.2537945513441397E-3</v>
      </c>
      <c r="D25747" s="2">
        <v>7.8848035789179302E-3</v>
      </c>
      <c r="E25747" s="2">
        <v>7.8226254397333796E-3</v>
      </c>
      <c r="F25747" s="2">
        <v>9.0840462014985003E-3</v>
      </c>
    </row>
    <row r="25748" spans="1:6" x14ac:dyDescent="0.25">
      <c r="A25748" s="1" t="str">
        <f t="shared" si="932"/>
        <v>36420</v>
      </c>
      <c r="B25748" s="1" t="str">
        <f>"73012"</f>
        <v>73012</v>
      </c>
      <c r="C25748" s="2">
        <v>2.32050687126533E-2</v>
      </c>
      <c r="D25748" s="2">
        <v>4.8231511254019201E-3</v>
      </c>
      <c r="E25748" s="2">
        <v>2.36067394926865E-3</v>
      </c>
      <c r="F25748" s="2">
        <v>2.08794726905508E-2</v>
      </c>
    </row>
    <row r="25749" spans="1:6" x14ac:dyDescent="0.25">
      <c r="A25749" s="1" t="str">
        <f t="shared" si="932"/>
        <v>36420</v>
      </c>
      <c r="B25749" s="1" t="str">
        <f>"73022"</f>
        <v>73022</v>
      </c>
      <c r="C25749" s="2">
        <v>0</v>
      </c>
      <c r="D25749" s="2">
        <v>1.39801481895708E-5</v>
      </c>
      <c r="E25749" s="2">
        <v>4.6287724495463797E-5</v>
      </c>
      <c r="F25749" s="2">
        <v>2.6349662658443801E-6</v>
      </c>
    </row>
    <row r="25750" spans="1:6" x14ac:dyDescent="0.25">
      <c r="A25750" s="1" t="str">
        <f t="shared" si="932"/>
        <v>36420</v>
      </c>
      <c r="B25750" s="1" t="str">
        <f>"73194"</f>
        <v>73194</v>
      </c>
      <c r="C25750" s="2">
        <v>0</v>
      </c>
      <c r="D25750" s="2">
        <v>0</v>
      </c>
      <c r="E25750" s="2">
        <v>9.2575448990927595E-5</v>
      </c>
      <c r="F25750" s="2">
        <v>2.6349662658443801E-6</v>
      </c>
    </row>
    <row r="25751" spans="1:6" x14ac:dyDescent="0.25">
      <c r="A25751" s="1" t="str">
        <f t="shared" si="932"/>
        <v>36420</v>
      </c>
      <c r="B25751" s="1" t="str">
        <f>"73023"</f>
        <v>73023</v>
      </c>
      <c r="C25751" s="2">
        <v>1.99282462993081E-3</v>
      </c>
      <c r="D25751" s="2">
        <v>5.2844960156577603E-3</v>
      </c>
      <c r="E25751" s="2">
        <v>4.6287724495463797E-5</v>
      </c>
      <c r="F25751" s="2">
        <v>2.2476262247652502E-3</v>
      </c>
    </row>
    <row r="25752" spans="1:6" x14ac:dyDescent="0.25">
      <c r="A25752" s="1" t="str">
        <f t="shared" si="932"/>
        <v>36420</v>
      </c>
      <c r="B25752" s="1" t="str">
        <f>"73092"</f>
        <v>73092</v>
      </c>
      <c r="C25752" s="2">
        <v>2.52294301302469E-4</v>
      </c>
      <c r="D25752" s="2">
        <v>5.5920592758283199E-5</v>
      </c>
      <c r="E25752" s="2">
        <v>4.6287724495463797E-5</v>
      </c>
      <c r="F25752" s="2">
        <v>2.2792458199553901E-4</v>
      </c>
    </row>
    <row r="25753" spans="1:6" x14ac:dyDescent="0.25">
      <c r="A25753" s="1" t="str">
        <f t="shared" si="932"/>
        <v>36420</v>
      </c>
      <c r="B25753" s="1" t="str">
        <f>"73154"</f>
        <v>73154</v>
      </c>
      <c r="C25753" s="2">
        <v>6.5926903733204705E-4</v>
      </c>
      <c r="D25753" s="2">
        <v>8.6676918775338996E-3</v>
      </c>
      <c r="E25753" s="2">
        <v>9.2575448990927595E-5</v>
      </c>
      <c r="F25753" s="2">
        <v>1.3978496040304401E-3</v>
      </c>
    </row>
    <row r="25754" spans="1:6" x14ac:dyDescent="0.25">
      <c r="A25754" s="1" t="str">
        <f t="shared" si="932"/>
        <v>36420</v>
      </c>
      <c r="B25754" s="1" t="str">
        <f>"73156"</f>
        <v>73156</v>
      </c>
      <c r="C25754" s="2">
        <v>1.0827630430897601E-3</v>
      </c>
      <c r="D25754" s="2">
        <v>7.87082343072836E-3</v>
      </c>
      <c r="E25754" s="2">
        <v>9.2575448990927595E-5</v>
      </c>
      <c r="F25754" s="2">
        <v>1.6942833089379299E-3</v>
      </c>
    </row>
    <row r="25755" spans="1:6" x14ac:dyDescent="0.25">
      <c r="A25755" s="1" t="str">
        <f t="shared" si="932"/>
        <v>36420</v>
      </c>
      <c r="B25755" s="1" t="str">
        <f>"73151"</f>
        <v>73151</v>
      </c>
      <c r="C25755" s="2">
        <v>1.00617370162294E-3</v>
      </c>
      <c r="D25755" s="2">
        <v>1.39801481895708E-5</v>
      </c>
      <c r="E25755" s="2">
        <v>4.6287724495463797E-5</v>
      </c>
      <c r="F25755" s="2">
        <v>8.8534866532371203E-4</v>
      </c>
    </row>
    <row r="25756" spans="1:6" x14ac:dyDescent="0.25">
      <c r="A25756" s="1" t="str">
        <f t="shared" si="932"/>
        <v>36420</v>
      </c>
      <c r="B25756" s="1" t="str">
        <f>"73147"</f>
        <v>73147</v>
      </c>
      <c r="C25756" s="2">
        <v>9.0255282787371396E-4</v>
      </c>
      <c r="D25756" s="2">
        <v>1.6915979309380599E-3</v>
      </c>
      <c r="E25756" s="2">
        <v>9.2575448990927595E-5</v>
      </c>
      <c r="F25756" s="2">
        <v>9.5385778823566599E-4</v>
      </c>
    </row>
    <row r="25757" spans="1:6" x14ac:dyDescent="0.25">
      <c r="A25757" s="1" t="str">
        <f t="shared" si="932"/>
        <v>36420</v>
      </c>
      <c r="B25757" s="1" t="str">
        <f>"74023"</f>
        <v>74023</v>
      </c>
      <c r="C25757" s="2">
        <v>6.1872173890843598E-4</v>
      </c>
      <c r="D25757" s="2">
        <v>1.8174192646442001E-4</v>
      </c>
      <c r="E25757" s="2">
        <v>2.77726346972782E-4</v>
      </c>
      <c r="F25757" s="2">
        <v>5.6783523028946397E-4</v>
      </c>
    </row>
    <row r="25758" spans="1:6" x14ac:dyDescent="0.25">
      <c r="A25758" s="1" t="str">
        <f t="shared" si="932"/>
        <v>36420</v>
      </c>
      <c r="B25758" s="1" t="str">
        <f>"73762"</f>
        <v>73762</v>
      </c>
      <c r="C25758" s="2">
        <v>8.7101604021090596E-4</v>
      </c>
      <c r="D25758" s="2">
        <v>6.1512652034111505E-4</v>
      </c>
      <c r="E25758" s="2">
        <v>1.38863173486391E-4</v>
      </c>
      <c r="F25758" s="2">
        <v>8.2606192434221302E-4</v>
      </c>
    </row>
    <row r="25759" spans="1:6" x14ac:dyDescent="0.25">
      <c r="A25759" s="1" t="str">
        <f t="shared" si="932"/>
        <v>36420</v>
      </c>
      <c r="B25759" s="1" t="str">
        <f>"74881"</f>
        <v>74881</v>
      </c>
      <c r="C25759" s="2">
        <v>3.2512926328562199E-3</v>
      </c>
      <c r="D25759" s="2">
        <v>6.1512652034111505E-4</v>
      </c>
      <c r="E25759" s="2">
        <v>2.77726346972782E-4</v>
      </c>
      <c r="F25759" s="2">
        <v>2.9182251394226501E-3</v>
      </c>
    </row>
    <row r="25760" spans="1:6" x14ac:dyDescent="0.25">
      <c r="A25760" s="1" t="str">
        <f t="shared" si="932"/>
        <v>36420</v>
      </c>
      <c r="B25760" s="1" t="str">
        <f>"74878"</f>
        <v>74878</v>
      </c>
      <c r="C25760" s="2">
        <v>1.6819620086831199E-4</v>
      </c>
      <c r="D25760" s="2">
        <v>0</v>
      </c>
      <c r="E25760" s="2">
        <v>0</v>
      </c>
      <c r="F25760" s="2">
        <v>1.47558110887285E-4</v>
      </c>
    </row>
    <row r="25761" spans="1:6" x14ac:dyDescent="0.25">
      <c r="A25761" s="1" t="str">
        <f t="shared" si="932"/>
        <v>36420</v>
      </c>
      <c r="B25761" s="1" t="str">
        <f>"73120"</f>
        <v>73120</v>
      </c>
      <c r="C25761" s="2">
        <v>3.0488564910968598E-2</v>
      </c>
      <c r="D25761" s="2">
        <v>2.01733538375506E-2</v>
      </c>
      <c r="E25761" s="2">
        <v>4.5917422699499999E-2</v>
      </c>
      <c r="F25761" s="2">
        <v>2.9955613993251799E-2</v>
      </c>
    </row>
    <row r="25762" spans="1:6" x14ac:dyDescent="0.25">
      <c r="A25762" s="1" t="str">
        <f t="shared" si="932"/>
        <v>36420</v>
      </c>
      <c r="B25762" s="1" t="str">
        <f>"73085"</f>
        <v>73085</v>
      </c>
      <c r="C25762" s="2">
        <v>1.54380084368415E-3</v>
      </c>
      <c r="D25762" s="2">
        <v>7.0459946875436798E-3</v>
      </c>
      <c r="E25762" s="2">
        <v>9.2575448990927595E-5</v>
      </c>
      <c r="F25762" s="2">
        <v>2.0210191259026401E-3</v>
      </c>
    </row>
    <row r="25763" spans="1:6" x14ac:dyDescent="0.25">
      <c r="A25763" s="1" t="str">
        <f t="shared" si="932"/>
        <v>36420</v>
      </c>
      <c r="B25763" s="1" t="str">
        <f>"73064"</f>
        <v>73064</v>
      </c>
      <c r="C25763" s="2">
        <v>1.59050532446098E-2</v>
      </c>
      <c r="D25763" s="2">
        <v>1.30434782608695E-2</v>
      </c>
      <c r="E25763" s="2">
        <v>4.9064987965191601E-3</v>
      </c>
      <c r="F25763" s="2">
        <v>1.5322328835885E-2</v>
      </c>
    </row>
    <row r="25764" spans="1:6" x14ac:dyDescent="0.25">
      <c r="A25764" s="1" t="str">
        <f t="shared" si="932"/>
        <v>36420</v>
      </c>
      <c r="B25764" s="1" t="str">
        <f>"73084"</f>
        <v>73084</v>
      </c>
      <c r="C25764" s="2">
        <v>5.87785651963014E-3</v>
      </c>
      <c r="D25764" s="2">
        <v>3.8585209003215398E-3</v>
      </c>
      <c r="E25764" s="2">
        <v>2.8235511942232899E-3</v>
      </c>
      <c r="F25764" s="2">
        <v>5.6006207980522299E-3</v>
      </c>
    </row>
    <row r="25765" spans="1:6" x14ac:dyDescent="0.25">
      <c r="A25765" s="1" t="str">
        <f t="shared" si="932"/>
        <v>36420</v>
      </c>
      <c r="B25765" s="1" t="str">
        <f>"73104"</f>
        <v>73104</v>
      </c>
      <c r="C25765" s="2">
        <v>3.6222253258425901E-3</v>
      </c>
      <c r="D25765" s="2">
        <v>8.4579896546903306E-3</v>
      </c>
      <c r="E25765" s="2">
        <v>1.04147380114793E-2</v>
      </c>
      <c r="F25765" s="2">
        <v>4.2712803169337402E-3</v>
      </c>
    </row>
    <row r="25766" spans="1:6" x14ac:dyDescent="0.25">
      <c r="A25766" s="1" t="str">
        <f t="shared" si="932"/>
        <v>36420</v>
      </c>
      <c r="B25766" s="1" t="str">
        <f>"73108"</f>
        <v>73108</v>
      </c>
      <c r="C25766" s="2">
        <v>8.8978793762924408E-3</v>
      </c>
      <c r="D25766" s="2">
        <v>1.7768768348944398E-2</v>
      </c>
      <c r="E25766" s="2">
        <v>8.5169413071653297E-3</v>
      </c>
      <c r="F25766" s="2">
        <v>9.7230255209657598E-3</v>
      </c>
    </row>
    <row r="25767" spans="1:6" x14ac:dyDescent="0.25">
      <c r="A25767" s="1" t="str">
        <f t="shared" si="932"/>
        <v>36420</v>
      </c>
      <c r="B25767" s="1" t="str">
        <f>"73047"</f>
        <v>73047</v>
      </c>
      <c r="C25767" s="2">
        <v>8.3046874178729403E-4</v>
      </c>
      <c r="D25767" s="2">
        <v>1.95722074653991E-4</v>
      </c>
      <c r="E25767" s="2">
        <v>0</v>
      </c>
      <c r="F25767" s="2">
        <v>7.4701293636688195E-4</v>
      </c>
    </row>
    <row r="25768" spans="1:6" x14ac:dyDescent="0.25">
      <c r="A25768" s="1" t="str">
        <f t="shared" si="932"/>
        <v>36420</v>
      </c>
      <c r="B25768" s="1" t="str">
        <f>"73165"</f>
        <v>73165</v>
      </c>
      <c r="C25768" s="2">
        <v>4.54880618241178E-3</v>
      </c>
      <c r="D25768" s="2">
        <v>5.7318607577240305E-4</v>
      </c>
      <c r="E25768" s="2">
        <v>1.85150897981855E-4</v>
      </c>
      <c r="F25768" s="2">
        <v>4.04994315060281E-3</v>
      </c>
    </row>
    <row r="25769" spans="1:6" x14ac:dyDescent="0.25">
      <c r="A25769" s="1" t="str">
        <f t="shared" si="932"/>
        <v>36420</v>
      </c>
      <c r="B25769" s="1" t="str">
        <f>"73123"</f>
        <v>73123</v>
      </c>
      <c r="C25769" s="2">
        <v>1.7645583573238099E-3</v>
      </c>
      <c r="D25769" s="2">
        <v>4.7392702362644996E-3</v>
      </c>
      <c r="E25769" s="2">
        <v>9.2575448990927595E-5</v>
      </c>
      <c r="F25769" s="2">
        <v>1.99730442951004E-3</v>
      </c>
    </row>
    <row r="25770" spans="1:6" x14ac:dyDescent="0.25">
      <c r="A25770" s="1" t="str">
        <f t="shared" ref="A25770:A25809" si="933">"36460"</f>
        <v>36460</v>
      </c>
      <c r="B25770" s="1" t="str">
        <f>"14727"</f>
        <v>14727</v>
      </c>
      <c r="C25770" s="2">
        <v>2.00441790067904E-2</v>
      </c>
      <c r="D25770" s="2">
        <v>5.0977060322854699E-3</v>
      </c>
      <c r="E25770" s="2">
        <v>4.4642857142857097E-3</v>
      </c>
      <c r="F25770" s="2">
        <v>1.8498101188288599E-2</v>
      </c>
    </row>
    <row r="25771" spans="1:6" x14ac:dyDescent="0.25">
      <c r="A25771" s="1" t="str">
        <f t="shared" si="933"/>
        <v>36460</v>
      </c>
      <c r="B25771" s="1" t="str">
        <f>"14041"</f>
        <v>14041</v>
      </c>
      <c r="C25771" s="2">
        <v>6.2723281245738905E-4</v>
      </c>
      <c r="D25771" s="2">
        <v>4.2480883602378898E-4</v>
      </c>
      <c r="E25771" s="2">
        <v>2.5111607142857099E-2</v>
      </c>
      <c r="F25771" s="2">
        <v>1.69055494303564E-3</v>
      </c>
    </row>
    <row r="25772" spans="1:6" x14ac:dyDescent="0.25">
      <c r="A25772" s="1" t="str">
        <f t="shared" si="933"/>
        <v>36460</v>
      </c>
      <c r="B25772" s="1" t="str">
        <f>"14042"</f>
        <v>14042</v>
      </c>
      <c r="C25772" s="2">
        <v>5.0042270037361197E-2</v>
      </c>
      <c r="D25772" s="2">
        <v>2.1665250637213199E-2</v>
      </c>
      <c r="E25772" s="2">
        <v>4.9665178571428499E-2</v>
      </c>
      <c r="F25772" s="2">
        <v>4.8389072644860899E-2</v>
      </c>
    </row>
    <row r="25773" spans="1:6" x14ac:dyDescent="0.25">
      <c r="A25773" s="1" t="str">
        <f t="shared" si="933"/>
        <v>36460</v>
      </c>
      <c r="B25773" s="1" t="str">
        <f>"14747"</f>
        <v>14747</v>
      </c>
      <c r="C25773" s="2">
        <v>2.75437017644331E-3</v>
      </c>
      <c r="D25773" s="2">
        <v>0</v>
      </c>
      <c r="E25773" s="2">
        <v>0</v>
      </c>
      <c r="F25773" s="2">
        <v>2.4745804238637701E-3</v>
      </c>
    </row>
    <row r="25774" spans="1:6" x14ac:dyDescent="0.25">
      <c r="A25774" s="1" t="str">
        <f t="shared" si="933"/>
        <v>36460</v>
      </c>
      <c r="B25774" s="1" t="str">
        <f>"14173"</f>
        <v>14173</v>
      </c>
      <c r="C25774" s="2">
        <v>0</v>
      </c>
      <c r="D25774" s="2">
        <v>0</v>
      </c>
      <c r="E25774" s="2">
        <v>0.121651785714285</v>
      </c>
      <c r="F25774" s="2">
        <v>5.3411735881416103E-3</v>
      </c>
    </row>
    <row r="25775" spans="1:6" x14ac:dyDescent="0.25">
      <c r="A25775" s="1" t="str">
        <f t="shared" si="933"/>
        <v>36460</v>
      </c>
      <c r="B25775" s="1" t="str">
        <f>"14030"</f>
        <v>14030</v>
      </c>
      <c r="C25775" s="2">
        <v>2.9179961275191501E-3</v>
      </c>
      <c r="D25775" s="2">
        <v>4.2480883602378904E-3</v>
      </c>
      <c r="E25775" s="2">
        <v>2.2321428571428501E-3</v>
      </c>
      <c r="F25775" s="2">
        <v>2.9645963493813501E-3</v>
      </c>
    </row>
    <row r="25776" spans="1:6" x14ac:dyDescent="0.25">
      <c r="A25776" s="1" t="str">
        <f t="shared" si="933"/>
        <v>36460</v>
      </c>
      <c r="B25776" s="1" t="str">
        <f>"14772"</f>
        <v>14772</v>
      </c>
      <c r="C25776" s="2">
        <v>4.6906105975074303E-2</v>
      </c>
      <c r="D25776" s="2">
        <v>3.7807986406117197E-2</v>
      </c>
      <c r="E25776" s="2">
        <v>2.84598214285714E-2</v>
      </c>
      <c r="F25776" s="2">
        <v>4.5571481073134801E-2</v>
      </c>
    </row>
    <row r="25777" spans="1:6" x14ac:dyDescent="0.25">
      <c r="A25777" s="1" t="str">
        <f t="shared" si="933"/>
        <v>36460</v>
      </c>
      <c r="B25777" s="1" t="str">
        <f>"14726"</f>
        <v>14726</v>
      </c>
      <c r="C25777" s="2">
        <v>1.37445798903706E-2</v>
      </c>
      <c r="D25777" s="2">
        <v>8.4961767204757808E-3</v>
      </c>
      <c r="E25777" s="2">
        <v>2.7901785714285702E-3</v>
      </c>
      <c r="F25777" s="2">
        <v>1.2960921229939901E-2</v>
      </c>
    </row>
    <row r="25778" spans="1:6" x14ac:dyDescent="0.25">
      <c r="A25778" s="1" t="str">
        <f t="shared" si="933"/>
        <v>36460</v>
      </c>
      <c r="B25778" s="1" t="str">
        <f>"14755"</f>
        <v>14755</v>
      </c>
      <c r="C25778" s="2">
        <v>3.75248847800594E-2</v>
      </c>
      <c r="D25778" s="2">
        <v>3.9082412914188597E-2</v>
      </c>
      <c r="E25778" s="2">
        <v>1.953125E-2</v>
      </c>
      <c r="F25778" s="2">
        <v>3.6824696802646002E-2</v>
      </c>
    </row>
    <row r="25779" spans="1:6" x14ac:dyDescent="0.25">
      <c r="A25779" s="1" t="str">
        <f t="shared" si="933"/>
        <v>36460</v>
      </c>
      <c r="B25779" s="1" t="str">
        <f>"14081"</f>
        <v>14081</v>
      </c>
      <c r="C25779" s="2">
        <v>7.9085876353322902E-4</v>
      </c>
      <c r="D25779" s="2">
        <v>0</v>
      </c>
      <c r="E25779" s="2">
        <v>0</v>
      </c>
      <c r="F25779" s="2">
        <v>7.1052309200049003E-4</v>
      </c>
    </row>
    <row r="25780" spans="1:6" x14ac:dyDescent="0.25">
      <c r="A25780" s="1" t="str">
        <f t="shared" si="933"/>
        <v>36460</v>
      </c>
      <c r="B25780" s="1" t="str">
        <f>"14760"</f>
        <v>14760</v>
      </c>
      <c r="C25780" s="2">
        <v>0.24966593034988599</v>
      </c>
      <c r="D25780" s="2">
        <v>0.45199660152931098</v>
      </c>
      <c r="E25780" s="2">
        <v>0.29408482142857101</v>
      </c>
      <c r="F25780" s="2">
        <v>0.26328555678059501</v>
      </c>
    </row>
    <row r="25781" spans="1:6" x14ac:dyDescent="0.25">
      <c r="A25781" s="1" t="str">
        <f t="shared" si="933"/>
        <v>36460</v>
      </c>
      <c r="B25781" s="1" t="str">
        <f>"14731"</f>
        <v>14731</v>
      </c>
      <c r="C25781" s="2">
        <v>3.0379884916414399E-2</v>
      </c>
      <c r="D25781" s="2">
        <v>1.18946474086661E-2</v>
      </c>
      <c r="E25781" s="2">
        <v>1.171875E-2</v>
      </c>
      <c r="F25781" s="2">
        <v>2.8494426068847199E-2</v>
      </c>
    </row>
    <row r="25782" spans="1:6" x14ac:dyDescent="0.25">
      <c r="A25782" s="1" t="str">
        <f t="shared" si="933"/>
        <v>36460</v>
      </c>
      <c r="B25782" s="1" t="str">
        <f>"14070"</f>
        <v>14070</v>
      </c>
      <c r="C25782" s="2">
        <v>3.7443071804521499E-2</v>
      </c>
      <c r="D25782" s="2">
        <v>4.3330501274426503E-2</v>
      </c>
      <c r="E25782" s="2">
        <v>4.0736607142857102E-2</v>
      </c>
      <c r="F25782" s="2">
        <v>3.79272326350606E-2</v>
      </c>
    </row>
    <row r="25783" spans="1:6" x14ac:dyDescent="0.25">
      <c r="A25783" s="1" t="str">
        <f t="shared" si="933"/>
        <v>36460</v>
      </c>
      <c r="B25783" s="1" t="str">
        <f>"14751"</f>
        <v>14751</v>
      </c>
      <c r="C25783" s="2">
        <v>0</v>
      </c>
      <c r="D25783" s="2">
        <v>0</v>
      </c>
      <c r="E25783" s="2">
        <v>5.5803571428571404E-4</v>
      </c>
      <c r="F25783" s="2">
        <v>2.4500796275878899E-5</v>
      </c>
    </row>
    <row r="25784" spans="1:6" x14ac:dyDescent="0.25">
      <c r="A25784" s="1" t="str">
        <f t="shared" si="933"/>
        <v>36460</v>
      </c>
      <c r="B25784" s="1" t="str">
        <f>"14753"</f>
        <v>14753</v>
      </c>
      <c r="C25784" s="2">
        <v>1.4671793613133701E-2</v>
      </c>
      <c r="D25784" s="2">
        <v>1.10450297366185E-2</v>
      </c>
      <c r="E25784" s="2">
        <v>2.7901785714285702E-3</v>
      </c>
      <c r="F25784" s="2">
        <v>1.3940953080975101E-2</v>
      </c>
    </row>
    <row r="25785" spans="1:6" x14ac:dyDescent="0.25">
      <c r="A25785" s="1" t="str">
        <f t="shared" si="933"/>
        <v>36460</v>
      </c>
      <c r="B25785" s="1" t="str">
        <f>"14009"</f>
        <v>14009</v>
      </c>
      <c r="C25785" s="2">
        <v>5.9723472142681798E-3</v>
      </c>
      <c r="D25785" s="2">
        <v>1.6992353440951501E-3</v>
      </c>
      <c r="E25785" s="2">
        <v>2.7901785714285702E-3</v>
      </c>
      <c r="F25785" s="2">
        <v>5.5861815509003999E-3</v>
      </c>
    </row>
    <row r="25786" spans="1:6" x14ac:dyDescent="0.25">
      <c r="A25786" s="1" t="str">
        <f t="shared" si="933"/>
        <v>36460</v>
      </c>
      <c r="B25786" s="1" t="str">
        <f>"14171"</f>
        <v>14171</v>
      </c>
      <c r="C25786" s="2">
        <v>2.6071068204750601E-2</v>
      </c>
      <c r="D25786" s="2">
        <v>8.9209855564995697E-3</v>
      </c>
      <c r="E25786" s="2">
        <v>1.0602678571428501E-2</v>
      </c>
      <c r="F25786" s="2">
        <v>2.44027930907754E-2</v>
      </c>
    </row>
    <row r="25787" spans="1:6" x14ac:dyDescent="0.25">
      <c r="A25787" s="1" t="str">
        <f t="shared" si="933"/>
        <v>36460</v>
      </c>
      <c r="B25787" s="1" t="str">
        <f>"14101"</f>
        <v>14101</v>
      </c>
      <c r="C25787" s="2">
        <v>2.4053014808148501E-2</v>
      </c>
      <c r="D25787" s="2">
        <v>6.3721325403568304E-3</v>
      </c>
      <c r="E25787" s="2">
        <v>5.0223214285714203E-3</v>
      </c>
      <c r="F25787" s="2">
        <v>2.2197721425946299E-2</v>
      </c>
    </row>
    <row r="25788" spans="1:6" x14ac:dyDescent="0.25">
      <c r="A25788" s="1" t="str">
        <f t="shared" si="933"/>
        <v>36460</v>
      </c>
      <c r="B25788" s="1" t="str">
        <f>"14060"</f>
        <v>14060</v>
      </c>
      <c r="C25788" s="2">
        <v>2.9998091030570698E-3</v>
      </c>
      <c r="D25788" s="2">
        <v>0</v>
      </c>
      <c r="E25788" s="2">
        <v>5.5803571428571404E-4</v>
      </c>
      <c r="F25788" s="2">
        <v>2.7195883866225601E-3</v>
      </c>
    </row>
    <row r="25789" spans="1:6" x14ac:dyDescent="0.25">
      <c r="A25789" s="1" t="str">
        <f t="shared" si="933"/>
        <v>36460</v>
      </c>
      <c r="B25789" s="1" t="str">
        <f>"14748"</f>
        <v>14748</v>
      </c>
      <c r="C25789" s="2">
        <v>1.00629959911641E-2</v>
      </c>
      <c r="D25789" s="2">
        <v>2.5488530161427302E-3</v>
      </c>
      <c r="E25789" s="2">
        <v>5.0223214285714203E-3</v>
      </c>
      <c r="F25789" s="2">
        <v>9.4083057699375205E-3</v>
      </c>
    </row>
    <row r="25790" spans="1:6" x14ac:dyDescent="0.25">
      <c r="A25790" s="1" t="str">
        <f t="shared" si="933"/>
        <v>36460</v>
      </c>
      <c r="B25790" s="1" t="str">
        <f>"14729"</f>
        <v>14729</v>
      </c>
      <c r="C25790" s="2">
        <v>1.1617442526384599E-2</v>
      </c>
      <c r="D25790" s="2">
        <v>2.5488530161427302E-3</v>
      </c>
      <c r="E25790" s="2">
        <v>6.1383928571428501E-3</v>
      </c>
      <c r="F25790" s="2">
        <v>1.0853852750214299E-2</v>
      </c>
    </row>
    <row r="25791" spans="1:6" x14ac:dyDescent="0.25">
      <c r="A25791" s="1" t="str">
        <f t="shared" si="933"/>
        <v>36460</v>
      </c>
      <c r="B25791" s="1" t="str">
        <f>"14743"</f>
        <v>14743</v>
      </c>
      <c r="C25791" s="2">
        <v>2.79800376339687E-2</v>
      </c>
      <c r="D25791" s="2">
        <v>1.57179269328802E-2</v>
      </c>
      <c r="E25791" s="2">
        <v>7.2544642857142799E-3</v>
      </c>
      <c r="F25791" s="2">
        <v>2.6362856792845699E-2</v>
      </c>
    </row>
    <row r="25792" spans="1:6" x14ac:dyDescent="0.25">
      <c r="A25792" s="1" t="str">
        <f t="shared" si="933"/>
        <v>36460</v>
      </c>
      <c r="B25792" s="1" t="str">
        <f>"14062"</f>
        <v>14062</v>
      </c>
      <c r="C25792" s="2">
        <v>2.9998091030570699E-4</v>
      </c>
      <c r="D25792" s="2">
        <v>4.2480883602378898E-4</v>
      </c>
      <c r="E25792" s="2">
        <v>0</v>
      </c>
      <c r="F25792" s="2">
        <v>2.9400955531054703E-4</v>
      </c>
    </row>
    <row r="25793" spans="1:6" x14ac:dyDescent="0.25">
      <c r="A25793" s="1" t="str">
        <f t="shared" si="933"/>
        <v>36460</v>
      </c>
      <c r="B25793" s="1" t="str">
        <f>"14779"</f>
        <v>14779</v>
      </c>
      <c r="C25793" s="2">
        <v>9.6430227167362007E-2</v>
      </c>
      <c r="D25793" s="2">
        <v>0.13721325403568299</v>
      </c>
      <c r="E25793" s="2">
        <v>6.0825892857142801E-2</v>
      </c>
      <c r="F25793" s="2">
        <v>9.7219159622687706E-2</v>
      </c>
    </row>
    <row r="25794" spans="1:6" x14ac:dyDescent="0.25">
      <c r="A25794" s="1" t="str">
        <f t="shared" si="933"/>
        <v>36460</v>
      </c>
      <c r="B25794" s="1" t="str">
        <f>"14741"</f>
        <v>14741</v>
      </c>
      <c r="C25794" s="2">
        <v>2.67528430008999E-2</v>
      </c>
      <c r="D25794" s="2">
        <v>9.7706032285471492E-3</v>
      </c>
      <c r="E25794" s="2">
        <v>8.9285714285714194E-3</v>
      </c>
      <c r="F25794" s="2">
        <v>2.4990812201396501E-2</v>
      </c>
    </row>
    <row r="25795" spans="1:6" x14ac:dyDescent="0.25">
      <c r="A25795" s="1" t="str">
        <f t="shared" si="933"/>
        <v>36460</v>
      </c>
      <c r="B25795" s="1" t="str">
        <f>"14778"</f>
        <v>14778</v>
      </c>
      <c r="C25795" s="2">
        <v>0</v>
      </c>
      <c r="D25795" s="2">
        <v>4.2480883602378898E-4</v>
      </c>
      <c r="E25795" s="2">
        <v>0</v>
      </c>
      <c r="F25795" s="2">
        <v>2.4500796275878899E-5</v>
      </c>
    </row>
    <row r="25796" spans="1:6" x14ac:dyDescent="0.25">
      <c r="A25796" s="1" t="str">
        <f t="shared" si="933"/>
        <v>36460</v>
      </c>
      <c r="B25796" s="1" t="str">
        <f>"14129"</f>
        <v>14129</v>
      </c>
      <c r="C25796" s="2">
        <v>1.4071831792522201E-2</v>
      </c>
      <c r="D25796" s="2">
        <v>5.0977060322854699E-3</v>
      </c>
      <c r="E25796" s="2">
        <v>5.0223214285714203E-3</v>
      </c>
      <c r="F25796" s="2">
        <v>1.3156927600147E-2</v>
      </c>
    </row>
    <row r="25797" spans="1:6" x14ac:dyDescent="0.25">
      <c r="A25797" s="1" t="str">
        <f t="shared" si="933"/>
        <v>36460</v>
      </c>
      <c r="B25797" s="1" t="str">
        <f>"14065"</f>
        <v>14065</v>
      </c>
      <c r="C25797" s="2">
        <v>1.7344350814039101E-2</v>
      </c>
      <c r="D25797" s="2">
        <v>5.9473237043330502E-3</v>
      </c>
      <c r="E25797" s="2">
        <v>7.2544642857142799E-3</v>
      </c>
      <c r="F25797" s="2">
        <v>1.6244027930907699E-2</v>
      </c>
    </row>
    <row r="25798" spans="1:6" x14ac:dyDescent="0.25">
      <c r="A25798" s="1" t="str">
        <f t="shared" si="933"/>
        <v>36460</v>
      </c>
      <c r="B25798" s="1" t="str">
        <f>"14783"</f>
        <v>14783</v>
      </c>
      <c r="C25798" s="2">
        <v>0</v>
      </c>
      <c r="D25798" s="2">
        <v>0</v>
      </c>
      <c r="E25798" s="2">
        <v>7.1986607142857095E-2</v>
      </c>
      <c r="F25798" s="2">
        <v>3.16060271958838E-3</v>
      </c>
    </row>
    <row r="25799" spans="1:6" x14ac:dyDescent="0.25">
      <c r="A25799" s="1" t="str">
        <f t="shared" si="933"/>
        <v>36460</v>
      </c>
      <c r="B25799" s="1" t="str">
        <f>"14719"</f>
        <v>14719</v>
      </c>
      <c r="C25799" s="2">
        <v>4.5760724317543397E-2</v>
      </c>
      <c r="D25799" s="2">
        <v>2.3789294817332201E-2</v>
      </c>
      <c r="E25799" s="2">
        <v>2.2321428571428499E-2</v>
      </c>
      <c r="F25799" s="2">
        <v>4.3464412593409198E-2</v>
      </c>
    </row>
    <row r="25800" spans="1:6" x14ac:dyDescent="0.25">
      <c r="A25800" s="1" t="str">
        <f t="shared" si="933"/>
        <v>36460</v>
      </c>
      <c r="B25800" s="1" t="str">
        <f>"14788"</f>
        <v>14788</v>
      </c>
      <c r="C25800" s="2">
        <v>0</v>
      </c>
      <c r="D25800" s="2">
        <v>0</v>
      </c>
      <c r="E25800" s="2">
        <v>1.5625E-2</v>
      </c>
      <c r="F25800" s="2">
        <v>6.8602229572461103E-4</v>
      </c>
    </row>
    <row r="25801" spans="1:6" x14ac:dyDescent="0.25">
      <c r="A25801" s="1" t="str">
        <f t="shared" si="933"/>
        <v>36460</v>
      </c>
      <c r="B25801" s="1" t="str">
        <f>"14138"</f>
        <v>14138</v>
      </c>
      <c r="C25801" s="2">
        <v>1.29809921186833E-2</v>
      </c>
      <c r="D25801" s="2">
        <v>5.5225148683092596E-3</v>
      </c>
      <c r="E25801" s="2">
        <v>5.7477678571428499E-2</v>
      </c>
      <c r="F25801" s="2">
        <v>1.45044713953203E-2</v>
      </c>
    </row>
    <row r="25802" spans="1:6" x14ac:dyDescent="0.25">
      <c r="A25802" s="1" t="str">
        <f t="shared" si="933"/>
        <v>36460</v>
      </c>
      <c r="B25802" s="1" t="str">
        <f>"14770"</f>
        <v>14770</v>
      </c>
      <c r="C25802" s="2">
        <v>2.2171316370776399E-2</v>
      </c>
      <c r="D25802" s="2">
        <v>1.57179269328802E-2</v>
      </c>
      <c r="E25802" s="2">
        <v>2.1763392857142801E-2</v>
      </c>
      <c r="F25802" s="2">
        <v>2.1781207889256401E-2</v>
      </c>
    </row>
    <row r="25803" spans="1:6" x14ac:dyDescent="0.25">
      <c r="A25803" s="1" t="str">
        <f t="shared" si="933"/>
        <v>36460</v>
      </c>
      <c r="B25803" s="1" t="str">
        <f>"14706"</f>
        <v>14706</v>
      </c>
      <c r="C25803" s="2">
        <v>7.7858681720254105E-2</v>
      </c>
      <c r="D25803" s="2">
        <v>6.4570943075615894E-2</v>
      </c>
      <c r="E25803" s="2">
        <v>5.3571428571428499E-2</v>
      </c>
      <c r="F25803" s="2">
        <v>7.6025970844052396E-2</v>
      </c>
    </row>
    <row r="25804" spans="1:6" x14ac:dyDescent="0.25">
      <c r="A25804" s="1" t="str">
        <f t="shared" si="933"/>
        <v>36460</v>
      </c>
      <c r="B25804" s="1" t="str">
        <f>"14737"</f>
        <v>14737</v>
      </c>
      <c r="C25804" s="2">
        <v>5.9559846191605897E-2</v>
      </c>
      <c r="D25804" s="2">
        <v>5.0552251486830901E-2</v>
      </c>
      <c r="E25804" s="2">
        <v>2.734375E-2</v>
      </c>
      <c r="F25804" s="2">
        <v>5.7625872840867301E-2</v>
      </c>
    </row>
    <row r="25805" spans="1:6" x14ac:dyDescent="0.25">
      <c r="A25805" s="1" t="str">
        <f t="shared" si="933"/>
        <v>36460</v>
      </c>
      <c r="B25805" s="1" t="str">
        <f>"14766"</f>
        <v>14766</v>
      </c>
      <c r="C25805" s="2">
        <v>0</v>
      </c>
      <c r="D25805" s="2">
        <v>0</v>
      </c>
      <c r="E25805" s="2">
        <v>5.5803571428571404E-4</v>
      </c>
      <c r="F25805" s="2">
        <v>2.4500796275878899E-5</v>
      </c>
    </row>
    <row r="25806" spans="1:6" x14ac:dyDescent="0.25">
      <c r="A25806" s="1" t="str">
        <f t="shared" si="933"/>
        <v>36460</v>
      </c>
      <c r="B25806" s="1" t="str">
        <f>"14738"</f>
        <v>14738</v>
      </c>
      <c r="C25806" s="2">
        <v>4.99059150781313E-3</v>
      </c>
      <c r="D25806" s="2">
        <v>2.5488530161427302E-3</v>
      </c>
      <c r="E25806" s="2">
        <v>5.5803571428571404E-4</v>
      </c>
      <c r="F25806" s="2">
        <v>4.6551512924170001E-3</v>
      </c>
    </row>
    <row r="25807" spans="1:6" x14ac:dyDescent="0.25">
      <c r="A25807" s="1" t="str">
        <f t="shared" si="933"/>
        <v>36460</v>
      </c>
      <c r="B25807" s="1" t="str">
        <f>"14730"</f>
        <v>14730</v>
      </c>
      <c r="C25807" s="2">
        <v>0</v>
      </c>
      <c r="D25807" s="2">
        <v>0</v>
      </c>
      <c r="E25807" s="2">
        <v>5.5803571428571404E-4</v>
      </c>
      <c r="F25807" s="2">
        <v>2.4500796275878899E-5</v>
      </c>
    </row>
    <row r="25808" spans="1:6" x14ac:dyDescent="0.25">
      <c r="A25808" s="1" t="str">
        <f t="shared" si="933"/>
        <v>36460</v>
      </c>
      <c r="B25808" s="1" t="str">
        <f>"14168"</f>
        <v>14168</v>
      </c>
      <c r="C25808" s="2">
        <v>0</v>
      </c>
      <c r="D25808" s="2">
        <v>0</v>
      </c>
      <c r="E25808" s="2">
        <v>5.5803571428571404E-4</v>
      </c>
      <c r="F25808" s="2">
        <v>2.4500796275878899E-5</v>
      </c>
    </row>
    <row r="25809" spans="1:6" x14ac:dyDescent="0.25">
      <c r="A25809" s="1" t="str">
        <f t="shared" si="933"/>
        <v>36460</v>
      </c>
      <c r="B25809" s="1" t="str">
        <f>"14141"</f>
        <v>14141</v>
      </c>
      <c r="C25809" s="2">
        <v>5.5087403528866303E-3</v>
      </c>
      <c r="D25809" s="2">
        <v>5.5225148683092596E-3</v>
      </c>
      <c r="E25809" s="2">
        <v>4.4642857142857097E-3</v>
      </c>
      <c r="F25809" s="2">
        <v>5.4636775695209999E-3</v>
      </c>
    </row>
    <row r="25810" spans="1:6" x14ac:dyDescent="0.25">
      <c r="A25810" s="1" t="str">
        <f t="shared" ref="A25810:A25830" si="934">"36500"</f>
        <v>36500</v>
      </c>
      <c r="B25810" s="1" t="str">
        <f>"98540"</f>
        <v>98540</v>
      </c>
      <c r="C25810" s="2">
        <v>4.7685439254831503E-3</v>
      </c>
      <c r="D25810" s="2">
        <v>1.15662650602409E-2</v>
      </c>
      <c r="E25810" s="2">
        <v>1.7812611328820799E-4</v>
      </c>
      <c r="F25810" s="2">
        <v>5.0652717279604303E-3</v>
      </c>
    </row>
    <row r="25811" spans="1:6" x14ac:dyDescent="0.25">
      <c r="A25811" s="1" t="str">
        <f t="shared" si="934"/>
        <v>36500</v>
      </c>
      <c r="B25811" s="1" t="str">
        <f>"98508"</f>
        <v>98508</v>
      </c>
      <c r="C25811" s="2">
        <v>1.08349030717432E-2</v>
      </c>
      <c r="D25811" s="2">
        <v>2.9301204819277098E-2</v>
      </c>
      <c r="E25811" s="2">
        <v>1.7812611328820799E-4</v>
      </c>
      <c r="F25811" s="2">
        <v>1.1708468418295899E-2</v>
      </c>
    </row>
    <row r="25812" spans="1:6" x14ac:dyDescent="0.25">
      <c r="A25812" s="1" t="str">
        <f t="shared" si="934"/>
        <v>36500</v>
      </c>
      <c r="B25812" s="1" t="str">
        <f>"98505"</f>
        <v>98505</v>
      </c>
      <c r="C25812" s="2">
        <v>0</v>
      </c>
      <c r="D25812" s="2">
        <v>9.6385542168674599E-5</v>
      </c>
      <c r="E25812" s="2">
        <v>0</v>
      </c>
      <c r="F25812" s="2">
        <v>6.6299368167021297E-6</v>
      </c>
    </row>
    <row r="25813" spans="1:6" x14ac:dyDescent="0.25">
      <c r="A25813" s="1" t="str">
        <f t="shared" si="934"/>
        <v>36500</v>
      </c>
      <c r="B25813" s="1" t="str">
        <f>"98531"</f>
        <v>98531</v>
      </c>
      <c r="C25813" s="2">
        <v>6.3704187122706497E-3</v>
      </c>
      <c r="D25813" s="2">
        <v>3.7590361445783101E-3</v>
      </c>
      <c r="E25813" s="2">
        <v>6.4125400783754801E-3</v>
      </c>
      <c r="F25813" s="2">
        <v>6.1923609867997904E-3</v>
      </c>
    </row>
    <row r="25814" spans="1:6" x14ac:dyDescent="0.25">
      <c r="A25814" s="1" t="str">
        <f t="shared" si="934"/>
        <v>36500</v>
      </c>
      <c r="B25814" s="1" t="str">
        <f>"98503"</f>
        <v>98503</v>
      </c>
      <c r="C25814" s="2">
        <v>0.13045638599249401</v>
      </c>
      <c r="D25814" s="2">
        <v>0.110746987951807</v>
      </c>
      <c r="E25814" s="2">
        <v>0.16031350195938701</v>
      </c>
      <c r="F25814" s="2">
        <v>0.130211959080029</v>
      </c>
    </row>
    <row r="25815" spans="1:6" x14ac:dyDescent="0.25">
      <c r="A25815" s="1" t="str">
        <f t="shared" si="934"/>
        <v>36500</v>
      </c>
      <c r="B25815" s="1" t="str">
        <f>"98576"</f>
        <v>98576</v>
      </c>
      <c r="C25815" s="2">
        <v>1.40831491671734E-2</v>
      </c>
      <c r="D25815" s="2">
        <v>1.4457831325301201E-3</v>
      </c>
      <c r="E25815" s="2">
        <v>3.9187744923405701E-3</v>
      </c>
      <c r="F25815" s="2">
        <v>1.28355576771353E-2</v>
      </c>
    </row>
    <row r="25816" spans="1:6" x14ac:dyDescent="0.25">
      <c r="A25816" s="1" t="str">
        <f t="shared" si="934"/>
        <v>36500</v>
      </c>
      <c r="B25816" s="1" t="str">
        <f>"98530"</f>
        <v>98530</v>
      </c>
      <c r="C25816" s="2">
        <v>7.4160869758680503E-6</v>
      </c>
      <c r="D25816" s="2">
        <v>0</v>
      </c>
      <c r="E25816" s="2">
        <v>2.99251870324189E-2</v>
      </c>
      <c r="F25816" s="2">
        <v>1.1204593220226599E-3</v>
      </c>
    </row>
    <row r="25817" spans="1:6" x14ac:dyDescent="0.25">
      <c r="A25817" s="1" t="str">
        <f t="shared" si="934"/>
        <v>36500</v>
      </c>
      <c r="B25817" s="1" t="str">
        <f>"98511"</f>
        <v>98511</v>
      </c>
      <c r="C25817" s="2">
        <v>4.9539460998798499E-3</v>
      </c>
      <c r="D25817" s="2">
        <v>1.6578313253012001E-2</v>
      </c>
      <c r="E25817" s="2">
        <v>1.7812611328820799E-4</v>
      </c>
      <c r="F25817" s="2">
        <v>5.5757768628464897E-3</v>
      </c>
    </row>
    <row r="25818" spans="1:6" x14ac:dyDescent="0.25">
      <c r="A25818" s="1" t="str">
        <f t="shared" si="934"/>
        <v>36500</v>
      </c>
      <c r="B25818" s="1" t="str">
        <f>"98589"</f>
        <v>98589</v>
      </c>
      <c r="C25818" s="2">
        <v>2.4732650064519902E-2</v>
      </c>
      <c r="D25818" s="2">
        <v>5.5903614457831303E-3</v>
      </c>
      <c r="E25818" s="2">
        <v>6.5906661916636904E-3</v>
      </c>
      <c r="F25818" s="2">
        <v>2.2740683281288299E-2</v>
      </c>
    </row>
    <row r="25819" spans="1:6" x14ac:dyDescent="0.25">
      <c r="A25819" s="1" t="str">
        <f t="shared" si="934"/>
        <v>36500</v>
      </c>
      <c r="B25819" s="1" t="str">
        <f>"98512"</f>
        <v>98512</v>
      </c>
      <c r="C25819" s="2">
        <v>0.10208243722282299</v>
      </c>
      <c r="D25819" s="2">
        <v>6.7855421686746895E-2</v>
      </c>
      <c r="E25819" s="2">
        <v>0.11275382971143499</v>
      </c>
      <c r="F25819" s="2">
        <v>0.10012530580583499</v>
      </c>
    </row>
    <row r="25820" spans="1:6" x14ac:dyDescent="0.25">
      <c r="A25820" s="1" t="str">
        <f t="shared" si="934"/>
        <v>36500</v>
      </c>
      <c r="B25820" s="1" t="str">
        <f>"98507"</f>
        <v>98507</v>
      </c>
      <c r="C25820" s="2">
        <v>1.6040996128802502E-2</v>
      </c>
      <c r="D25820" s="2">
        <v>6.5349397590361402E-2</v>
      </c>
      <c r="E25820" s="2">
        <v>1.7812611328820799E-4</v>
      </c>
      <c r="F25820" s="2">
        <v>1.8842280433067401E-2</v>
      </c>
    </row>
    <row r="25821" spans="1:6" x14ac:dyDescent="0.25">
      <c r="A25821" s="1" t="str">
        <f t="shared" si="934"/>
        <v>36500</v>
      </c>
      <c r="B25821" s="1" t="str">
        <f>"98597"</f>
        <v>98597</v>
      </c>
      <c r="C25821" s="2">
        <v>9.3672594592189296E-2</v>
      </c>
      <c r="D25821" s="2">
        <v>8.2313253012048102E-2</v>
      </c>
      <c r="E25821" s="2">
        <v>2.8856430352689699E-2</v>
      </c>
      <c r="F25821" s="2">
        <v>9.0478747737534004E-2</v>
      </c>
    </row>
    <row r="25822" spans="1:6" x14ac:dyDescent="0.25">
      <c r="A25822" s="1" t="str">
        <f t="shared" si="934"/>
        <v>36500</v>
      </c>
      <c r="B25822" s="1" t="str">
        <f>"98556"</f>
        <v>98556</v>
      </c>
      <c r="C25822" s="2">
        <v>0</v>
      </c>
      <c r="D25822" s="2">
        <v>9.6385542168674599E-5</v>
      </c>
      <c r="E25822" s="2">
        <v>0</v>
      </c>
      <c r="F25822" s="2">
        <v>6.6299368167021297E-6</v>
      </c>
    </row>
    <row r="25823" spans="1:6" x14ac:dyDescent="0.25">
      <c r="A25823" s="1" t="str">
        <f t="shared" si="934"/>
        <v>36500</v>
      </c>
      <c r="B25823" s="1" t="str">
        <f>"98568"</f>
        <v>98568</v>
      </c>
      <c r="C25823" s="2">
        <v>1.4090565254149299E-4</v>
      </c>
      <c r="D25823" s="2">
        <v>3.8554216867469802E-4</v>
      </c>
      <c r="E25823" s="2">
        <v>0</v>
      </c>
      <c r="F25823" s="2">
        <v>1.5248854678414901E-4</v>
      </c>
    </row>
    <row r="25824" spans="1:6" x14ac:dyDescent="0.25">
      <c r="A25824" s="1" t="str">
        <f t="shared" si="934"/>
        <v>36500</v>
      </c>
      <c r="B25824" s="1" t="str">
        <f>"98579"</f>
        <v>98579</v>
      </c>
      <c r="C25824" s="2">
        <v>4.4637427507749801E-2</v>
      </c>
      <c r="D25824" s="2">
        <v>2.3036144578313201E-2</v>
      </c>
      <c r="E25824" s="2">
        <v>1.6743854649091498E-2</v>
      </c>
      <c r="F25824" s="2">
        <v>4.2113358659691902E-2</v>
      </c>
    </row>
    <row r="25825" spans="1:6" x14ac:dyDescent="0.25">
      <c r="A25825" s="1" t="str">
        <f t="shared" si="934"/>
        <v>36500</v>
      </c>
      <c r="B25825" s="1" t="str">
        <f>"98513"</f>
        <v>98513</v>
      </c>
      <c r="C25825" s="2">
        <v>0.10542709244894</v>
      </c>
      <c r="D25825" s="2">
        <v>1.14698795180722E-2</v>
      </c>
      <c r="E25825" s="2">
        <v>9.1734948343427103E-2</v>
      </c>
      <c r="F25825" s="2">
        <v>9.8454561728026704E-2</v>
      </c>
    </row>
    <row r="25826" spans="1:6" x14ac:dyDescent="0.25">
      <c r="A25826" s="1" t="str">
        <f t="shared" si="934"/>
        <v>36500</v>
      </c>
      <c r="B25826" s="1" t="str">
        <f>"98509"</f>
        <v>98509</v>
      </c>
      <c r="C25826" s="2">
        <v>1.20363091618338E-2</v>
      </c>
      <c r="D25826" s="2">
        <v>5.3686746987951797E-2</v>
      </c>
      <c r="E25826" s="2">
        <v>1.7812611328820799E-4</v>
      </c>
      <c r="F25826" s="2">
        <v>1.4459892197227301E-2</v>
      </c>
    </row>
    <row r="25827" spans="1:6" x14ac:dyDescent="0.25">
      <c r="A25827" s="1" t="str">
        <f t="shared" si="934"/>
        <v>36500</v>
      </c>
      <c r="B25827" s="1" t="str">
        <f>"98501"</f>
        <v>98501</v>
      </c>
      <c r="C25827" s="2">
        <v>0.14737989647142499</v>
      </c>
      <c r="D25827" s="2">
        <v>0.22592771084337299</v>
      </c>
      <c r="E25827" s="2">
        <v>0.21303883149269601</v>
      </c>
      <c r="F25827" s="2">
        <v>0.15522671068944699</v>
      </c>
    </row>
    <row r="25828" spans="1:6" x14ac:dyDescent="0.25">
      <c r="A25828" s="1" t="str">
        <f t="shared" si="934"/>
        <v>36500</v>
      </c>
      <c r="B25828" s="1" t="str">
        <f>"98502"</f>
        <v>98502</v>
      </c>
      <c r="C25828" s="2">
        <v>0.12209845597069099</v>
      </c>
      <c r="D25828" s="2">
        <v>0.12318072289156599</v>
      </c>
      <c r="E25828" s="2">
        <v>0.17438546490915499</v>
      </c>
      <c r="F25828" s="2">
        <v>0.12411904714548</v>
      </c>
    </row>
    <row r="25829" spans="1:6" x14ac:dyDescent="0.25">
      <c r="A25829" s="1" t="str">
        <f t="shared" si="934"/>
        <v>36500</v>
      </c>
      <c r="B25829" s="1" t="str">
        <f>"98516"</f>
        <v>98516</v>
      </c>
      <c r="C25829" s="2">
        <v>9.3123804155975098E-2</v>
      </c>
      <c r="D25829" s="2">
        <v>9.7156626506023996E-2</v>
      </c>
      <c r="E25829" s="2">
        <v>9.1200570003562506E-2</v>
      </c>
      <c r="F25829" s="2">
        <v>9.3329620568715896E-2</v>
      </c>
    </row>
    <row r="25830" spans="1:6" x14ac:dyDescent="0.25">
      <c r="A25830" s="1" t="str">
        <f t="shared" si="934"/>
        <v>36500</v>
      </c>
      <c r="B25830" s="1" t="str">
        <f>"98506"</f>
        <v>98506</v>
      </c>
      <c r="C25830" s="2">
        <v>6.7152667566485205E-2</v>
      </c>
      <c r="D25830" s="2">
        <v>7.0457831325301201E-2</v>
      </c>
      <c r="E25830" s="2">
        <v>6.3234770217313802E-2</v>
      </c>
      <c r="F25830" s="2">
        <v>6.72341892581763E-2</v>
      </c>
    </row>
    <row r="25831" spans="1:6" x14ac:dyDescent="0.25">
      <c r="A25831" s="1" t="str">
        <f t="shared" ref="A25831:A25862" si="935">"36540"</f>
        <v>36540</v>
      </c>
      <c r="B25831" s="1" t="str">
        <f>"51551"</f>
        <v>51551</v>
      </c>
      <c r="C25831" s="2">
        <v>2.01376616128732E-3</v>
      </c>
      <c r="D25831" s="2">
        <v>1.0534632604687899E-3</v>
      </c>
      <c r="E25831" s="2">
        <v>7.6847543013277501E-4</v>
      </c>
      <c r="F25831" s="2">
        <v>1.8802156143360299E-3</v>
      </c>
    </row>
    <row r="25832" spans="1:6" x14ac:dyDescent="0.25">
      <c r="A25832" s="1" t="str">
        <f t="shared" si="935"/>
        <v>36540</v>
      </c>
      <c r="B25832" s="1" t="str">
        <f>"51560"</f>
        <v>51560</v>
      </c>
      <c r="C25832" s="2">
        <v>2.39047530462282E-3</v>
      </c>
      <c r="D25832" s="2">
        <v>9.7445351593363101E-4</v>
      </c>
      <c r="E25832" s="2">
        <v>1.40887162191008E-3</v>
      </c>
      <c r="F25832" s="2">
        <v>2.2342821910616502E-3</v>
      </c>
    </row>
    <row r="25833" spans="1:6" x14ac:dyDescent="0.25">
      <c r="A25833" s="1" t="str">
        <f t="shared" si="935"/>
        <v>36540</v>
      </c>
      <c r="B25833" s="1" t="str">
        <f>"51529"</f>
        <v>51529</v>
      </c>
      <c r="C25833" s="2">
        <v>1.6928657799274399E-3</v>
      </c>
      <c r="D25833" s="2">
        <v>2.0015801948907001E-3</v>
      </c>
      <c r="E25833" s="2">
        <v>1.2380993041027999E-3</v>
      </c>
      <c r="F25833" s="2">
        <v>1.6950428644393E-3</v>
      </c>
    </row>
    <row r="25834" spans="1:6" x14ac:dyDescent="0.25">
      <c r="A25834" s="1" t="str">
        <f t="shared" si="935"/>
        <v>36540</v>
      </c>
      <c r="B25834" s="1" t="str">
        <f>"51554"</f>
        <v>51554</v>
      </c>
      <c r="C25834" s="2">
        <v>1.9300530183238699E-4</v>
      </c>
      <c r="D25834" s="2">
        <v>1.3168290755859801E-4</v>
      </c>
      <c r="E25834" s="2">
        <v>4.26930794518208E-5</v>
      </c>
      <c r="F25834" s="2">
        <v>1.8110301912976901E-4</v>
      </c>
    </row>
    <row r="25835" spans="1:6" x14ac:dyDescent="0.25">
      <c r="A25835" s="1" t="str">
        <f t="shared" si="935"/>
        <v>36540</v>
      </c>
      <c r="B25835" s="1" t="str">
        <f>"51563"</f>
        <v>51563</v>
      </c>
      <c r="C25835" s="2">
        <v>7.9992558831736504E-4</v>
      </c>
      <c r="D25835" s="2">
        <v>2.6336581511719701E-5</v>
      </c>
      <c r="E25835" s="2">
        <v>0</v>
      </c>
      <c r="F25835" s="2">
        <v>7.0202855730079096E-4</v>
      </c>
    </row>
    <row r="25836" spans="1:6" x14ac:dyDescent="0.25">
      <c r="A25836" s="1" t="str">
        <f t="shared" si="935"/>
        <v>36540</v>
      </c>
      <c r="B25836" s="1" t="str">
        <f>"68065"</f>
        <v>68065</v>
      </c>
      <c r="C25836" s="2">
        <v>1.31383127150962E-3</v>
      </c>
      <c r="D25836" s="2">
        <v>2.1069265209375799E-4</v>
      </c>
      <c r="E25836" s="2">
        <v>7.6847543013277501E-4</v>
      </c>
      <c r="F25836" s="2">
        <v>1.202605441637E-3</v>
      </c>
    </row>
    <row r="25837" spans="1:6" x14ac:dyDescent="0.25">
      <c r="A25837" s="1" t="str">
        <f t="shared" si="935"/>
        <v>36540</v>
      </c>
      <c r="B25837" s="1" t="str">
        <f>"68018"</f>
        <v>68018</v>
      </c>
      <c r="C25837" s="2">
        <v>5.1158031810994299E-4</v>
      </c>
      <c r="D25837" s="2">
        <v>3.4237555965235702E-4</v>
      </c>
      <c r="E25837" s="2">
        <v>4.26930794518208E-5</v>
      </c>
      <c r="F25837" s="2">
        <v>4.7615849973445002E-4</v>
      </c>
    </row>
    <row r="25838" spans="1:6" x14ac:dyDescent="0.25">
      <c r="A25838" s="1" t="str">
        <f t="shared" si="935"/>
        <v>36540</v>
      </c>
      <c r="B25838" s="1" t="str">
        <f>"68029"</f>
        <v>68029</v>
      </c>
      <c r="C25838" s="2">
        <v>8.9991628685703602E-4</v>
      </c>
      <c r="D25838" s="2">
        <v>7.9009744535159303E-5</v>
      </c>
      <c r="E25838" s="2">
        <v>1.2807923835546199E-4</v>
      </c>
      <c r="F25838" s="2">
        <v>7.9970209570785799E-4</v>
      </c>
    </row>
    <row r="25839" spans="1:6" x14ac:dyDescent="0.25">
      <c r="A25839" s="1" t="str">
        <f t="shared" si="935"/>
        <v>36540</v>
      </c>
      <c r="B25839" s="1" t="str">
        <f>"68117"</f>
        <v>68117</v>
      </c>
      <c r="C25839" s="2">
        <v>7.6783555018137802E-3</v>
      </c>
      <c r="D25839" s="2">
        <v>1.48274953910982E-2</v>
      </c>
      <c r="E25839" s="2">
        <v>3.1165947999829201E-3</v>
      </c>
      <c r="F25839" s="2">
        <v>8.0132998801464208E-3</v>
      </c>
    </row>
    <row r="25840" spans="1:6" x14ac:dyDescent="0.25">
      <c r="A25840" s="1" t="str">
        <f t="shared" si="935"/>
        <v>36540</v>
      </c>
      <c r="B25840" s="1" t="str">
        <f>"68122"</f>
        <v>68122</v>
      </c>
      <c r="C25840" s="2">
        <v>1.17965770625988E-2</v>
      </c>
      <c r="D25840" s="2">
        <v>9.1124572030550407E-3</v>
      </c>
      <c r="E25840" s="2">
        <v>8.1116850958459601E-3</v>
      </c>
      <c r="F25840" s="2">
        <v>1.14135599359424E-2</v>
      </c>
    </row>
    <row r="25841" spans="1:6" x14ac:dyDescent="0.25">
      <c r="A25841" s="1" t="str">
        <f t="shared" si="935"/>
        <v>36540</v>
      </c>
      <c r="B25841" s="1" t="str">
        <f>"68025"</f>
        <v>68025</v>
      </c>
      <c r="C25841" s="2">
        <v>1.7928564784671099E-3</v>
      </c>
      <c r="D25841" s="2">
        <v>4.47721885699236E-4</v>
      </c>
      <c r="E25841" s="2">
        <v>7.2578235068095401E-4</v>
      </c>
      <c r="F25841" s="2">
        <v>1.63806663370184E-3</v>
      </c>
    </row>
    <row r="25842" spans="1:6" x14ac:dyDescent="0.25">
      <c r="A25842" s="1" t="str">
        <f t="shared" si="935"/>
        <v>36540</v>
      </c>
      <c r="B25842" s="1" t="str">
        <f>"68015"</f>
        <v>68015</v>
      </c>
      <c r="C25842" s="2">
        <v>1.2045391126406799E-3</v>
      </c>
      <c r="D25842" s="2">
        <v>2.6336581511719701E-5</v>
      </c>
      <c r="E25842" s="2">
        <v>1.7077231780728301E-4</v>
      </c>
      <c r="F25842" s="2">
        <v>1.0642345955603301E-3</v>
      </c>
    </row>
    <row r="25843" spans="1:6" x14ac:dyDescent="0.25">
      <c r="A25843" s="1" t="str">
        <f t="shared" si="935"/>
        <v>36540</v>
      </c>
      <c r="B25843" s="1" t="str">
        <f>"68017"</f>
        <v>68017</v>
      </c>
      <c r="C25843" s="2">
        <v>1.3301088270858501E-3</v>
      </c>
      <c r="D25843" s="2">
        <v>1.0534632604687899E-4</v>
      </c>
      <c r="E25843" s="2">
        <v>3.4154463561456602E-4</v>
      </c>
      <c r="F25843" s="2">
        <v>1.1883613839526401E-3</v>
      </c>
    </row>
    <row r="25844" spans="1:6" x14ac:dyDescent="0.25">
      <c r="A25844" s="1" t="str">
        <f t="shared" si="935"/>
        <v>36540</v>
      </c>
      <c r="B25844" s="1" t="str">
        <f>"51552"</f>
        <v>51552</v>
      </c>
      <c r="C25844" s="2">
        <v>2.3253650823179198E-6</v>
      </c>
      <c r="D25844" s="2">
        <v>0</v>
      </c>
      <c r="E25844" s="2">
        <v>0</v>
      </c>
      <c r="F25844" s="2">
        <v>2.0348653834805498E-6</v>
      </c>
    </row>
    <row r="25845" spans="1:6" x14ac:dyDescent="0.25">
      <c r="A25845" s="1" t="str">
        <f t="shared" si="935"/>
        <v>36540</v>
      </c>
      <c r="B25845" s="1" t="str">
        <f>"68001"</f>
        <v>68001</v>
      </c>
      <c r="C25845" s="2">
        <v>4.6507301646358396E-6</v>
      </c>
      <c r="D25845" s="2">
        <v>0</v>
      </c>
      <c r="E25845" s="2">
        <v>0</v>
      </c>
      <c r="F25845" s="2">
        <v>4.0697307669611098E-6</v>
      </c>
    </row>
    <row r="25846" spans="1:6" x14ac:dyDescent="0.25">
      <c r="A25846" s="1" t="str">
        <f t="shared" si="935"/>
        <v>36540</v>
      </c>
      <c r="B25846" s="1" t="str">
        <f>"68175"</f>
        <v>68175</v>
      </c>
      <c r="C25846" s="2">
        <v>0</v>
      </c>
      <c r="D25846" s="2">
        <v>1.0534632604687899E-4</v>
      </c>
      <c r="E25846" s="2">
        <v>4.26930794518208E-5</v>
      </c>
      <c r="F25846" s="2">
        <v>1.0174326917402699E-5</v>
      </c>
    </row>
    <row r="25847" spans="1:6" x14ac:dyDescent="0.25">
      <c r="A25847" s="1" t="str">
        <f t="shared" si="935"/>
        <v>36540</v>
      </c>
      <c r="B25847" s="1" t="str">
        <f>"68183"</f>
        <v>68183</v>
      </c>
      <c r="C25847" s="2">
        <v>0</v>
      </c>
      <c r="D25847" s="2">
        <v>2.6336581511719701E-5</v>
      </c>
      <c r="E25847" s="2">
        <v>4.26930794518208E-5</v>
      </c>
      <c r="F25847" s="2">
        <v>4.0697307669611098E-6</v>
      </c>
    </row>
    <row r="25848" spans="1:6" x14ac:dyDescent="0.25">
      <c r="A25848" s="1" t="str">
        <f t="shared" si="935"/>
        <v>36540</v>
      </c>
      <c r="B25848" s="1" t="str">
        <f>"68418"</f>
        <v>68418</v>
      </c>
      <c r="C25848" s="2">
        <v>4.6507301646358396E-6</v>
      </c>
      <c r="D25848" s="2">
        <v>0</v>
      </c>
      <c r="E25848" s="2">
        <v>0</v>
      </c>
      <c r="F25848" s="2">
        <v>4.0697307669611098E-6</v>
      </c>
    </row>
    <row r="25849" spans="1:6" x14ac:dyDescent="0.25">
      <c r="A25849" s="1" t="str">
        <f t="shared" si="935"/>
        <v>36540</v>
      </c>
      <c r="B25849" s="1" t="str">
        <f>"68031"</f>
        <v>68031</v>
      </c>
      <c r="C25849" s="2">
        <v>9.7665333457352802E-5</v>
      </c>
      <c r="D25849" s="2">
        <v>5.2673163023439497E-5</v>
      </c>
      <c r="E25849" s="2">
        <v>0</v>
      </c>
      <c r="F25849" s="2">
        <v>8.9534076873144406E-5</v>
      </c>
    </row>
    <row r="25850" spans="1:6" x14ac:dyDescent="0.25">
      <c r="A25850" s="1" t="str">
        <f t="shared" si="935"/>
        <v>36540</v>
      </c>
      <c r="B25850" s="1" t="str">
        <f>"51561"</f>
        <v>51561</v>
      </c>
      <c r="C25850" s="2">
        <v>1.60217654171704E-3</v>
      </c>
      <c r="D25850" s="2">
        <v>6.3207795628127399E-4</v>
      </c>
      <c r="E25850" s="2">
        <v>8.5386158903641695E-5</v>
      </c>
      <c r="F25850" s="2">
        <v>1.4549287491885899E-3</v>
      </c>
    </row>
    <row r="25851" spans="1:6" x14ac:dyDescent="0.25">
      <c r="A25851" s="1" t="str">
        <f t="shared" si="935"/>
        <v>36540</v>
      </c>
      <c r="B25851" s="1" t="str">
        <f>"68042"</f>
        <v>68042</v>
      </c>
      <c r="C25851" s="2">
        <v>1.30220444609803E-4</v>
      </c>
      <c r="D25851" s="2">
        <v>1.0534632604687899E-4</v>
      </c>
      <c r="E25851" s="2">
        <v>4.26930794518208E-5</v>
      </c>
      <c r="F25851" s="2">
        <v>1.2412678839231301E-4</v>
      </c>
    </row>
    <row r="25852" spans="1:6" x14ac:dyDescent="0.25">
      <c r="A25852" s="1" t="str">
        <f t="shared" si="935"/>
        <v>36540</v>
      </c>
      <c r="B25852" s="1" t="str">
        <f>"68073"</f>
        <v>68073</v>
      </c>
      <c r="C25852" s="2">
        <v>2.0346944470281802E-3</v>
      </c>
      <c r="D25852" s="2">
        <v>5.0039504872267503E-4</v>
      </c>
      <c r="E25852" s="2">
        <v>5.55010032873671E-4</v>
      </c>
      <c r="F25852" s="2">
        <v>1.84562290281686E-3</v>
      </c>
    </row>
    <row r="25853" spans="1:6" x14ac:dyDescent="0.25">
      <c r="A25853" s="1" t="str">
        <f t="shared" si="935"/>
        <v>36540</v>
      </c>
      <c r="B25853" s="1" t="str">
        <f>"68135"</f>
        <v>68135</v>
      </c>
      <c r="C25853" s="2">
        <v>2.4730257650451101E-2</v>
      </c>
      <c r="D25853" s="2">
        <v>5.4253357914142699E-3</v>
      </c>
      <c r="E25853" s="2">
        <v>5.0377833753148596E-3</v>
      </c>
      <c r="F25853" s="2">
        <v>2.2300089737563401E-2</v>
      </c>
    </row>
    <row r="25854" spans="1:6" x14ac:dyDescent="0.25">
      <c r="A25854" s="1" t="str">
        <f t="shared" si="935"/>
        <v>36540</v>
      </c>
      <c r="B25854" s="1" t="str">
        <f>"68128"</f>
        <v>68128</v>
      </c>
      <c r="C25854" s="2">
        <v>1.9121477071900199E-2</v>
      </c>
      <c r="D25854" s="2">
        <v>2.2254411377403201E-2</v>
      </c>
      <c r="E25854" s="2">
        <v>3.0482858728600001E-2</v>
      </c>
      <c r="F25854" s="2">
        <v>1.9905053181206701E-2</v>
      </c>
    </row>
    <row r="25855" spans="1:6" x14ac:dyDescent="0.25">
      <c r="A25855" s="1" t="str">
        <f t="shared" si="935"/>
        <v>36540</v>
      </c>
      <c r="B25855" s="1" t="str">
        <f>"51534"</f>
        <v>51534</v>
      </c>
      <c r="C25855" s="2">
        <v>9.1270579480978494E-3</v>
      </c>
      <c r="D25855" s="2">
        <v>6.6104819594416603E-3</v>
      </c>
      <c r="E25855" s="2">
        <v>8.1116850958459601E-3</v>
      </c>
      <c r="F25855" s="2">
        <v>8.8842222642760999E-3</v>
      </c>
    </row>
    <row r="25856" spans="1:6" x14ac:dyDescent="0.25">
      <c r="A25856" s="1" t="str">
        <f t="shared" si="935"/>
        <v>36540</v>
      </c>
      <c r="B25856" s="1" t="str">
        <f>"51542"</f>
        <v>51542</v>
      </c>
      <c r="C25856" s="2">
        <v>9.8595479490279901E-4</v>
      </c>
      <c r="D25856" s="2">
        <v>1.0534632604687899E-4</v>
      </c>
      <c r="E25856" s="2">
        <v>8.5386158903641695E-5</v>
      </c>
      <c r="F25856" s="2">
        <v>8.7499211489663897E-4</v>
      </c>
    </row>
    <row r="25857" spans="1:6" x14ac:dyDescent="0.25">
      <c r="A25857" s="1" t="str">
        <f t="shared" si="935"/>
        <v>36540</v>
      </c>
      <c r="B25857" s="1" t="str">
        <f>"51557"</f>
        <v>51557</v>
      </c>
      <c r="C25857" s="2">
        <v>1.13942889033578E-3</v>
      </c>
      <c r="D25857" s="2">
        <v>2.1069265209375799E-4</v>
      </c>
      <c r="E25857" s="2">
        <v>2.1346539725910401E-4</v>
      </c>
      <c r="F25857" s="2">
        <v>1.0235372878907099E-3</v>
      </c>
    </row>
    <row r="25858" spans="1:6" x14ac:dyDescent="0.25">
      <c r="A25858" s="1" t="str">
        <f t="shared" si="935"/>
        <v>36540</v>
      </c>
      <c r="B25858" s="1" t="str">
        <f>"68008"</f>
        <v>68008</v>
      </c>
      <c r="C25858" s="2">
        <v>1.2763928936843E-2</v>
      </c>
      <c r="D25858" s="2">
        <v>1.3062944429812999E-2</v>
      </c>
      <c r="E25858" s="2">
        <v>1.0032873671177899E-2</v>
      </c>
      <c r="F25858" s="2">
        <v>1.2656862685249E-2</v>
      </c>
    </row>
    <row r="25859" spans="1:6" x14ac:dyDescent="0.25">
      <c r="A25859" s="1" t="str">
        <f t="shared" si="935"/>
        <v>36540</v>
      </c>
      <c r="B25859" s="1" t="str">
        <f>"68034"</f>
        <v>68034</v>
      </c>
      <c r="C25859" s="2">
        <v>8.2085387405822702E-4</v>
      </c>
      <c r="D25859" s="2">
        <v>1.5801948907031801E-4</v>
      </c>
      <c r="E25859" s="2">
        <v>1.7077231780728301E-4</v>
      </c>
      <c r="F25859" s="2">
        <v>7.3865613420344097E-4</v>
      </c>
    </row>
    <row r="25860" spans="1:6" x14ac:dyDescent="0.25">
      <c r="A25860" s="1" t="str">
        <f t="shared" si="935"/>
        <v>36540</v>
      </c>
      <c r="B25860" s="1" t="str">
        <f>"68111"</f>
        <v>68111</v>
      </c>
      <c r="C25860" s="2">
        <v>2.61533810808296E-2</v>
      </c>
      <c r="D25860" s="2">
        <v>1.33526468264419E-2</v>
      </c>
      <c r="E25860" s="2">
        <v>7.5566750629722903E-3</v>
      </c>
      <c r="F25860" s="2">
        <v>2.4277978890306501E-2</v>
      </c>
    </row>
    <row r="25861" spans="1:6" x14ac:dyDescent="0.25">
      <c r="A25861" s="1" t="str">
        <f t="shared" si="935"/>
        <v>36540</v>
      </c>
      <c r="B25861" s="1" t="str">
        <f>"68112"</f>
        <v>68112</v>
      </c>
      <c r="C25861" s="2">
        <v>1.1389638173193099E-2</v>
      </c>
      <c r="D25861" s="2">
        <v>6.2944429813010204E-3</v>
      </c>
      <c r="E25861" s="2">
        <v>4.8243179780557499E-3</v>
      </c>
      <c r="F25861" s="2">
        <v>1.06830432632729E-2</v>
      </c>
    </row>
    <row r="25862" spans="1:6" x14ac:dyDescent="0.25">
      <c r="A25862" s="1" t="str">
        <f t="shared" si="935"/>
        <v>36540</v>
      </c>
      <c r="B25862" s="1" t="str">
        <f>"68118"</f>
        <v>68118</v>
      </c>
      <c r="C25862" s="2">
        <v>8.6712863919635296E-3</v>
      </c>
      <c r="D25862" s="2">
        <v>9.1651303660784805E-3</v>
      </c>
      <c r="E25862" s="2">
        <v>6.9589719506468004E-3</v>
      </c>
      <c r="F25862" s="2">
        <v>8.6278292259575496E-3</v>
      </c>
    </row>
    <row r="25863" spans="1:6" x14ac:dyDescent="0.25">
      <c r="A25863" s="1" t="str">
        <f t="shared" ref="A25863:A25894" si="936">"36540"</f>
        <v>36540</v>
      </c>
      <c r="B25863" s="1" t="str">
        <f>"68138"</f>
        <v>68138</v>
      </c>
      <c r="C25863" s="2">
        <v>1.2673239698632601E-2</v>
      </c>
      <c r="D25863" s="2">
        <v>1.5222544113774E-2</v>
      </c>
      <c r="E25863" s="2">
        <v>1.51987362848482E-2</v>
      </c>
      <c r="F25863" s="2">
        <v>1.2990580608139801E-2</v>
      </c>
    </row>
    <row r="25864" spans="1:6" x14ac:dyDescent="0.25">
      <c r="A25864" s="1" t="str">
        <f t="shared" si="936"/>
        <v>36540</v>
      </c>
      <c r="B25864" s="1" t="str">
        <f>"68347"</f>
        <v>68347</v>
      </c>
      <c r="C25864" s="2">
        <v>2.0579480978513598E-3</v>
      </c>
      <c r="D25864" s="2">
        <v>6.0574137476955396E-4</v>
      </c>
      <c r="E25864" s="2">
        <v>3.4154463561456602E-4</v>
      </c>
      <c r="F25864" s="2">
        <v>1.8639366912681799E-3</v>
      </c>
    </row>
    <row r="25865" spans="1:6" x14ac:dyDescent="0.25">
      <c r="A25865" s="1" t="str">
        <f t="shared" si="936"/>
        <v>36540</v>
      </c>
      <c r="B25865" s="1" t="str">
        <f>"68407"</f>
        <v>68407</v>
      </c>
      <c r="C25865" s="2">
        <v>8.4178215979908804E-4</v>
      </c>
      <c r="D25865" s="2">
        <v>1.5801948907031801E-4</v>
      </c>
      <c r="E25865" s="2">
        <v>8.5386158903641695E-5</v>
      </c>
      <c r="F25865" s="2">
        <v>7.5290019188780505E-4</v>
      </c>
    </row>
    <row r="25866" spans="1:6" x14ac:dyDescent="0.25">
      <c r="A25866" s="1" t="str">
        <f t="shared" si="936"/>
        <v>36540</v>
      </c>
      <c r="B25866" s="1" t="str">
        <f>"68463"</f>
        <v>68463</v>
      </c>
      <c r="C25866" s="2">
        <v>1.6603106687749899E-3</v>
      </c>
      <c r="D25866" s="2">
        <v>9.4811693442191196E-4</v>
      </c>
      <c r="E25866" s="2">
        <v>8.53861589036417E-4</v>
      </c>
      <c r="F25866" s="2">
        <v>1.5668463452800201E-3</v>
      </c>
    </row>
    <row r="25867" spans="1:6" x14ac:dyDescent="0.25">
      <c r="A25867" s="1" t="str">
        <f t="shared" si="936"/>
        <v>36540</v>
      </c>
      <c r="B25867" s="1" t="str">
        <f>"51566"</f>
        <v>51566</v>
      </c>
      <c r="C25867" s="2">
        <v>1.6277555576225399E-5</v>
      </c>
      <c r="D25867" s="2">
        <v>0</v>
      </c>
      <c r="E25867" s="2">
        <v>0</v>
      </c>
      <c r="F25867" s="2">
        <v>1.4244057684363801E-5</v>
      </c>
    </row>
    <row r="25868" spans="1:6" x14ac:dyDescent="0.25">
      <c r="A25868" s="1" t="str">
        <f t="shared" si="936"/>
        <v>36540</v>
      </c>
      <c r="B25868" s="1" t="str">
        <f>"68109"</f>
        <v>68109</v>
      </c>
      <c r="C25868" s="2">
        <v>2.0928285740861301E-5</v>
      </c>
      <c r="D25868" s="2">
        <v>7.9009744535159303E-5</v>
      </c>
      <c r="E25868" s="2">
        <v>4.26930794518208E-5</v>
      </c>
      <c r="F25868" s="2">
        <v>2.64532499852472E-5</v>
      </c>
    </row>
    <row r="25869" spans="1:6" x14ac:dyDescent="0.25">
      <c r="A25869" s="1" t="str">
        <f t="shared" si="936"/>
        <v>36540</v>
      </c>
      <c r="B25869" s="1" t="str">
        <f>"68178"</f>
        <v>68178</v>
      </c>
      <c r="C25869" s="2">
        <v>0</v>
      </c>
      <c r="D25869" s="2">
        <v>5.2673163023439497E-5</v>
      </c>
      <c r="E25869" s="2">
        <v>3.7142979123084099E-3</v>
      </c>
      <c r="F25869" s="2">
        <v>1.8110301912976901E-4</v>
      </c>
    </row>
    <row r="25870" spans="1:6" x14ac:dyDescent="0.25">
      <c r="A25870" s="1" t="str">
        <f t="shared" si="936"/>
        <v>36540</v>
      </c>
      <c r="B25870" s="1" t="str">
        <f>"51558"</f>
        <v>51558</v>
      </c>
      <c r="C25870" s="2">
        <v>6.9760952469537699E-5</v>
      </c>
      <c r="D25870" s="2">
        <v>5.2673163023439497E-5</v>
      </c>
      <c r="E25870" s="2">
        <v>0</v>
      </c>
      <c r="F25870" s="2">
        <v>6.5115692271377703E-5</v>
      </c>
    </row>
    <row r="25871" spans="1:6" x14ac:dyDescent="0.25">
      <c r="A25871" s="1" t="str">
        <f t="shared" si="936"/>
        <v>36540</v>
      </c>
      <c r="B25871" s="1" t="str">
        <f>"51570"</f>
        <v>51570</v>
      </c>
      <c r="C25871" s="2">
        <v>2.0463212724397699E-4</v>
      </c>
      <c r="D25871" s="2">
        <v>5.2673163023439497E-5</v>
      </c>
      <c r="E25871" s="2">
        <v>0</v>
      </c>
      <c r="F25871" s="2">
        <v>1.8313788451324999E-4</v>
      </c>
    </row>
    <row r="25872" spans="1:6" x14ac:dyDescent="0.25">
      <c r="A25872" s="1" t="str">
        <f t="shared" si="936"/>
        <v>36540</v>
      </c>
      <c r="B25872" s="1" t="str">
        <f>"68527"</f>
        <v>68527</v>
      </c>
      <c r="C25872" s="2">
        <v>2.3253650823179199E-5</v>
      </c>
      <c r="D25872" s="2">
        <v>0</v>
      </c>
      <c r="E25872" s="2">
        <v>0</v>
      </c>
      <c r="F25872" s="2">
        <v>2.03486538348055E-5</v>
      </c>
    </row>
    <row r="25873" spans="1:6" x14ac:dyDescent="0.25">
      <c r="A25873" s="1" t="str">
        <f t="shared" si="936"/>
        <v>36540</v>
      </c>
      <c r="B25873" s="1" t="str">
        <f>"68180"</f>
        <v>68180</v>
      </c>
      <c r="C25873" s="2">
        <v>0</v>
      </c>
      <c r="D25873" s="2">
        <v>7.9009744535159303E-5</v>
      </c>
      <c r="E25873" s="2">
        <v>0</v>
      </c>
      <c r="F25873" s="2">
        <v>6.1045961504416597E-6</v>
      </c>
    </row>
    <row r="25874" spans="1:6" x14ac:dyDescent="0.25">
      <c r="A25874" s="1" t="str">
        <f t="shared" si="936"/>
        <v>36540</v>
      </c>
      <c r="B25874" s="1" t="str">
        <f>"68409"</f>
        <v>68409</v>
      </c>
      <c r="C25874" s="2">
        <v>9.0456701702167205E-4</v>
      </c>
      <c r="D25874" s="2">
        <v>1.5801948907031801E-4</v>
      </c>
      <c r="E25874" s="2">
        <v>8.5386158903641695E-5</v>
      </c>
      <c r="F25874" s="2">
        <v>8.0784155724177996E-4</v>
      </c>
    </row>
    <row r="25875" spans="1:6" x14ac:dyDescent="0.25">
      <c r="A25875" s="1" t="str">
        <f t="shared" si="936"/>
        <v>36540</v>
      </c>
      <c r="B25875" s="1" t="str">
        <f>"68131"</f>
        <v>68131</v>
      </c>
      <c r="C25875" s="2">
        <v>1.9249372151427701E-2</v>
      </c>
      <c r="D25875" s="2">
        <v>2.39926257571767E-2</v>
      </c>
      <c r="E25875" s="2">
        <v>5.1189002262733201E-2</v>
      </c>
      <c r="F25875" s="2">
        <v>2.1138181603595999E-2</v>
      </c>
    </row>
    <row r="25876" spans="1:6" x14ac:dyDescent="0.25">
      <c r="A25876" s="1" t="str">
        <f t="shared" si="936"/>
        <v>36540</v>
      </c>
      <c r="B25876" s="1" t="str">
        <f>"68304"</f>
        <v>68304</v>
      </c>
      <c r="C25876" s="2">
        <v>3.6275695284159598E-4</v>
      </c>
      <c r="D25876" s="2">
        <v>2.6336581511719701E-5</v>
      </c>
      <c r="E25876" s="2">
        <v>0</v>
      </c>
      <c r="F25876" s="2">
        <v>3.1947386520644698E-4</v>
      </c>
    </row>
    <row r="25877" spans="1:6" x14ac:dyDescent="0.25">
      <c r="A25877" s="1" t="str">
        <f t="shared" si="936"/>
        <v>36540</v>
      </c>
      <c r="B25877" s="1" t="str">
        <f>"51501"</f>
        <v>51501</v>
      </c>
      <c r="C25877" s="2">
        <v>3.63315040461352E-2</v>
      </c>
      <c r="D25877" s="2">
        <v>3.2025283118251202E-2</v>
      </c>
      <c r="E25877" s="2">
        <v>3.5435255945011297E-2</v>
      </c>
      <c r="F25877" s="2">
        <v>3.5956071326101402E-2</v>
      </c>
    </row>
    <row r="25878" spans="1:6" x14ac:dyDescent="0.25">
      <c r="A25878" s="1" t="str">
        <f t="shared" si="936"/>
        <v>36540</v>
      </c>
      <c r="B25878" s="1" t="str">
        <f>"51535"</f>
        <v>51535</v>
      </c>
      <c r="C25878" s="2">
        <v>3.4415403218305201E-4</v>
      </c>
      <c r="D25878" s="2">
        <v>1.0534632604687899E-4</v>
      </c>
      <c r="E25878" s="2">
        <v>8.5386158903641695E-5</v>
      </c>
      <c r="F25878" s="2">
        <v>3.1336926905600499E-4</v>
      </c>
    </row>
    <row r="25879" spans="1:6" x14ac:dyDescent="0.25">
      <c r="A25879" s="1" t="str">
        <f t="shared" si="936"/>
        <v>36540</v>
      </c>
      <c r="B25879" s="1" t="str">
        <f>"51526"</f>
        <v>51526</v>
      </c>
      <c r="C25879" s="2">
        <v>1.7626267323969801E-3</v>
      </c>
      <c r="D25879" s="2">
        <v>3.4237555965235702E-4</v>
      </c>
      <c r="E25879" s="2">
        <v>4.26930794518208E-5</v>
      </c>
      <c r="F25879" s="2">
        <v>1.57091607604698E-3</v>
      </c>
    </row>
    <row r="25880" spans="1:6" x14ac:dyDescent="0.25">
      <c r="A25880" s="1" t="str">
        <f t="shared" si="936"/>
        <v>36540</v>
      </c>
      <c r="B25880" s="1" t="str">
        <f>"51653"</f>
        <v>51653</v>
      </c>
      <c r="C25880" s="2">
        <v>2.5811552413728902E-4</v>
      </c>
      <c r="D25880" s="2">
        <v>5.2673163023439497E-5</v>
      </c>
      <c r="E25880" s="2">
        <v>8.5386158903641695E-5</v>
      </c>
      <c r="F25880" s="2">
        <v>2.3400951910026299E-4</v>
      </c>
    </row>
    <row r="25881" spans="1:6" x14ac:dyDescent="0.25">
      <c r="A25881" s="1" t="str">
        <f t="shared" si="936"/>
        <v>36540</v>
      </c>
      <c r="B25881" s="1" t="str">
        <f>"51571"</f>
        <v>51571</v>
      </c>
      <c r="C25881" s="2">
        <v>6.88308064366105E-4</v>
      </c>
      <c r="D25881" s="2">
        <v>2.1069265209375799E-4</v>
      </c>
      <c r="E25881" s="2">
        <v>4.26930794518208E-5</v>
      </c>
      <c r="F25881" s="2">
        <v>6.2063394196156896E-4</v>
      </c>
    </row>
    <row r="25882" spans="1:6" x14ac:dyDescent="0.25">
      <c r="A25882" s="1" t="str">
        <f t="shared" si="936"/>
        <v>36540</v>
      </c>
      <c r="B25882" s="1" t="str">
        <f>"51564"</f>
        <v>51564</v>
      </c>
      <c r="C25882" s="2">
        <v>5.9994419123802405E-4</v>
      </c>
      <c r="D25882" s="2">
        <v>2.1069265209375799E-4</v>
      </c>
      <c r="E25882" s="2">
        <v>2.56158476710925E-4</v>
      </c>
      <c r="F25882" s="2">
        <v>5.5348338430671103E-4</v>
      </c>
    </row>
    <row r="25883" spans="1:6" x14ac:dyDescent="0.25">
      <c r="A25883" s="1" t="str">
        <f t="shared" si="936"/>
        <v>36540</v>
      </c>
      <c r="B25883" s="1" t="str">
        <f>"68005"</f>
        <v>68005</v>
      </c>
      <c r="C25883" s="2">
        <v>2.6071993302948501E-2</v>
      </c>
      <c r="D25883" s="2">
        <v>2.6889649723465799E-2</v>
      </c>
      <c r="E25883" s="2">
        <v>3.4965632071041197E-2</v>
      </c>
      <c r="F25883" s="2">
        <v>2.65590629851882E-2</v>
      </c>
    </row>
    <row r="25884" spans="1:6" x14ac:dyDescent="0.25">
      <c r="A25884" s="1" t="str">
        <f t="shared" si="936"/>
        <v>36540</v>
      </c>
      <c r="B25884" s="1" t="str">
        <f>"68007"</f>
        <v>68007</v>
      </c>
      <c r="C25884" s="2">
        <v>1.5177657892289E-2</v>
      </c>
      <c r="D25884" s="2">
        <v>1.7908875427969399E-3</v>
      </c>
      <c r="E25884" s="2">
        <v>9.8194082739187891E-4</v>
      </c>
      <c r="F25884" s="2">
        <v>1.34667391078743E-2</v>
      </c>
    </row>
    <row r="25885" spans="1:6" x14ac:dyDescent="0.25">
      <c r="A25885" s="1" t="str">
        <f t="shared" si="936"/>
        <v>36540</v>
      </c>
      <c r="B25885" s="1" t="str">
        <f>"68022"</f>
        <v>68022</v>
      </c>
      <c r="C25885" s="2">
        <v>3.49897683936378E-2</v>
      </c>
      <c r="D25885" s="2">
        <v>2.14906505135633E-2</v>
      </c>
      <c r="E25885" s="2">
        <v>2.4932758399863302E-2</v>
      </c>
      <c r="F25885" s="2">
        <v>3.3467430962104701E-2</v>
      </c>
    </row>
    <row r="25886" spans="1:6" x14ac:dyDescent="0.25">
      <c r="A25886" s="1" t="str">
        <f t="shared" si="936"/>
        <v>36540</v>
      </c>
      <c r="B25886" s="1" t="str">
        <f>"68028"</f>
        <v>68028</v>
      </c>
      <c r="C25886" s="2">
        <v>1.3701051065017201E-2</v>
      </c>
      <c r="D25886" s="2">
        <v>1.3457993152488801E-2</v>
      </c>
      <c r="E25886" s="2">
        <v>7.3859027451649998E-3</v>
      </c>
      <c r="F25886" s="2">
        <v>1.33812747617681E-2</v>
      </c>
    </row>
    <row r="25887" spans="1:6" x14ac:dyDescent="0.25">
      <c r="A25887" s="1" t="str">
        <f t="shared" si="936"/>
        <v>36540</v>
      </c>
      <c r="B25887" s="1" t="str">
        <f>"68046"</f>
        <v>68046</v>
      </c>
      <c r="C25887" s="2">
        <v>2.95949214026602E-2</v>
      </c>
      <c r="D25887" s="2">
        <v>2.93916249670792E-2</v>
      </c>
      <c r="E25887" s="2">
        <v>1.7632241813602002E-2</v>
      </c>
      <c r="F25887" s="2">
        <v>2.9009040906898799E-2</v>
      </c>
    </row>
    <row r="25888" spans="1:6" x14ac:dyDescent="0.25">
      <c r="A25888" s="1" t="str">
        <f t="shared" si="936"/>
        <v>36540</v>
      </c>
      <c r="B25888" s="1" t="str">
        <f>"68023"</f>
        <v>68023</v>
      </c>
      <c r="C25888" s="2">
        <v>2.6578922890893798E-3</v>
      </c>
      <c r="D25888" s="2">
        <v>8.6910718988675198E-4</v>
      </c>
      <c r="E25888" s="2">
        <v>1.1100200657473401E-3</v>
      </c>
      <c r="F25888" s="2">
        <v>2.44590819094362E-3</v>
      </c>
    </row>
    <row r="25889" spans="1:6" x14ac:dyDescent="0.25">
      <c r="A25889" s="1" t="str">
        <f t="shared" si="936"/>
        <v>36540</v>
      </c>
      <c r="B25889" s="1" t="str">
        <f>"68127"</f>
        <v>68127</v>
      </c>
      <c r="C25889" s="2">
        <v>2.68974979071714E-2</v>
      </c>
      <c r="D25889" s="2">
        <v>5.50434553594943E-2</v>
      </c>
      <c r="E25889" s="2">
        <v>5.5927934081885303E-2</v>
      </c>
      <c r="F25889" s="2">
        <v>3.0455830194553401E-2</v>
      </c>
    </row>
    <row r="25890" spans="1:6" x14ac:dyDescent="0.25">
      <c r="A25890" s="1" t="str">
        <f t="shared" si="936"/>
        <v>36540</v>
      </c>
      <c r="B25890" s="1" t="str">
        <f>"68197"</f>
        <v>68197</v>
      </c>
      <c r="C25890" s="2">
        <v>0</v>
      </c>
      <c r="D25890" s="2">
        <v>6.5578087964182196E-3</v>
      </c>
      <c r="E25890" s="2">
        <v>4.26930794518208E-5</v>
      </c>
      <c r="F25890" s="2">
        <v>5.0871634587013796E-4</v>
      </c>
    </row>
    <row r="25891" spans="1:6" x14ac:dyDescent="0.25">
      <c r="A25891" s="1" t="str">
        <f t="shared" si="936"/>
        <v>36540</v>
      </c>
      <c r="B25891" s="1" t="str">
        <f>"68366"</f>
        <v>68366</v>
      </c>
      <c r="C25891" s="2">
        <v>9.789786996558449E-4</v>
      </c>
      <c r="D25891" s="2">
        <v>4.47721885699236E-4</v>
      </c>
      <c r="E25891" s="2">
        <v>0</v>
      </c>
      <c r="F25891" s="2">
        <v>8.9127103796448302E-4</v>
      </c>
    </row>
    <row r="25892" spans="1:6" x14ac:dyDescent="0.25">
      <c r="A25892" s="1" t="str">
        <f t="shared" si="936"/>
        <v>36540</v>
      </c>
      <c r="B25892" s="1" t="str">
        <f>"51510"</f>
        <v>51510</v>
      </c>
      <c r="C25892" s="2">
        <v>3.62989489349827E-3</v>
      </c>
      <c r="D25892" s="2">
        <v>2.50197524361337E-3</v>
      </c>
      <c r="E25892" s="2">
        <v>8.1116850958459601E-4</v>
      </c>
      <c r="F25892" s="2">
        <v>3.4083995173299301E-3</v>
      </c>
    </row>
    <row r="25893" spans="1:6" x14ac:dyDescent="0.25">
      <c r="A25893" s="1" t="str">
        <f t="shared" si="936"/>
        <v>36540</v>
      </c>
      <c r="B25893" s="1" t="str">
        <f>"51546"</f>
        <v>51546</v>
      </c>
      <c r="C25893" s="2">
        <v>3.0322760673425699E-3</v>
      </c>
      <c r="D25893" s="2">
        <v>3.2657361074532498E-3</v>
      </c>
      <c r="E25893" s="2">
        <v>2.1346539725910401E-3</v>
      </c>
      <c r="F25893" s="2">
        <v>3.00753103678426E-3</v>
      </c>
    </row>
    <row r="25894" spans="1:6" x14ac:dyDescent="0.25">
      <c r="A25894" s="1" t="str">
        <f t="shared" si="936"/>
        <v>36540</v>
      </c>
      <c r="B25894" s="1" t="str">
        <f>"51559"</f>
        <v>51559</v>
      </c>
      <c r="C25894" s="2">
        <v>1.9463305739001E-3</v>
      </c>
      <c r="D25894" s="2">
        <v>2.8970239662891702E-4</v>
      </c>
      <c r="E25894" s="2">
        <v>8.96554668488238E-4</v>
      </c>
      <c r="F25894" s="2">
        <v>1.7682980182446E-3</v>
      </c>
    </row>
    <row r="25895" spans="1:6" x14ac:dyDescent="0.25">
      <c r="A25895" s="1" t="str">
        <f t="shared" ref="A25895:A25926" si="937">"36540"</f>
        <v>36540</v>
      </c>
      <c r="B25895" s="1" t="str">
        <f>"51553"</f>
        <v>51553</v>
      </c>
      <c r="C25895" s="2">
        <v>9.9758162031438904E-4</v>
      </c>
      <c r="D25895" s="2">
        <v>1.5801948907031801E-4</v>
      </c>
      <c r="E25895" s="2">
        <v>2.56158476710925E-4</v>
      </c>
      <c r="F25895" s="2">
        <v>8.9737563411492502E-4</v>
      </c>
    </row>
    <row r="25896" spans="1:6" x14ac:dyDescent="0.25">
      <c r="A25896" s="1" t="str">
        <f t="shared" si="937"/>
        <v>36540</v>
      </c>
      <c r="B25896" s="1" t="str">
        <f>"51548"</f>
        <v>51548</v>
      </c>
      <c r="C25896" s="2">
        <v>4.5112082596967699E-4</v>
      </c>
      <c r="D25896" s="2">
        <v>1.8435607058203801E-4</v>
      </c>
      <c r="E25896" s="2">
        <v>8.5386158903641695E-5</v>
      </c>
      <c r="F25896" s="2">
        <v>4.13077672846552E-4</v>
      </c>
    </row>
    <row r="25897" spans="1:6" x14ac:dyDescent="0.25">
      <c r="A25897" s="1" t="str">
        <f t="shared" si="937"/>
        <v>36540</v>
      </c>
      <c r="B25897" s="1" t="str">
        <f>"51545"</f>
        <v>51545</v>
      </c>
      <c r="C25897" s="2">
        <v>4.9530276253371703E-4</v>
      </c>
      <c r="D25897" s="2">
        <v>2.8970239662891702E-4</v>
      </c>
      <c r="E25897" s="2">
        <v>1.7077231780728301E-4</v>
      </c>
      <c r="F25897" s="2">
        <v>4.6394930743356598E-4</v>
      </c>
    </row>
    <row r="25898" spans="1:6" x14ac:dyDescent="0.25">
      <c r="A25898" s="1" t="str">
        <f t="shared" si="937"/>
        <v>36540</v>
      </c>
      <c r="B25898" s="1" t="str">
        <f>"51565"</f>
        <v>51565</v>
      </c>
      <c r="C25898" s="2">
        <v>6.0459492140265997E-5</v>
      </c>
      <c r="D25898" s="2">
        <v>0</v>
      </c>
      <c r="E25898" s="2">
        <v>0</v>
      </c>
      <c r="F25898" s="2">
        <v>5.2906499970494399E-5</v>
      </c>
    </row>
    <row r="25899" spans="1:6" x14ac:dyDescent="0.25">
      <c r="A25899" s="1" t="str">
        <f t="shared" si="937"/>
        <v>36540</v>
      </c>
      <c r="B25899" s="1" t="str">
        <f>"68048"</f>
        <v>68048</v>
      </c>
      <c r="C25899" s="2">
        <v>1.34871174774439E-2</v>
      </c>
      <c r="D25899" s="2">
        <v>9.2441401106136394E-3</v>
      </c>
      <c r="E25899" s="2">
        <v>6.7028134739358699E-3</v>
      </c>
      <c r="F25899" s="2">
        <v>1.2835930838995299E-2</v>
      </c>
    </row>
    <row r="25900" spans="1:6" x14ac:dyDescent="0.25">
      <c r="A25900" s="1" t="str">
        <f t="shared" si="937"/>
        <v>36540</v>
      </c>
      <c r="B25900" s="1" t="str">
        <f>"68070"</f>
        <v>68070</v>
      </c>
      <c r="C25900" s="2">
        <v>8.1620314389359099E-4</v>
      </c>
      <c r="D25900" s="2">
        <v>2.1069265209375799E-4</v>
      </c>
      <c r="E25900" s="2">
        <v>0</v>
      </c>
      <c r="F25900" s="2">
        <v>7.30516672669519E-4</v>
      </c>
    </row>
    <row r="25901" spans="1:6" x14ac:dyDescent="0.25">
      <c r="A25901" s="1" t="str">
        <f t="shared" si="937"/>
        <v>36540</v>
      </c>
      <c r="B25901" s="1" t="str">
        <f>"68110"</f>
        <v>68110</v>
      </c>
      <c r="C25901" s="2">
        <v>8.5596688680122691E-3</v>
      </c>
      <c r="D25901" s="2">
        <v>1.5090861206215399E-2</v>
      </c>
      <c r="E25901" s="2">
        <v>9.4778636383042302E-3</v>
      </c>
      <c r="F25901" s="2">
        <v>9.1080574564589602E-3</v>
      </c>
    </row>
    <row r="25902" spans="1:6" x14ac:dyDescent="0.25">
      <c r="A25902" s="1" t="str">
        <f t="shared" si="937"/>
        <v>36540</v>
      </c>
      <c r="B25902" s="1" t="str">
        <f>"68113"</f>
        <v>68113</v>
      </c>
      <c r="C25902" s="2">
        <v>3.3462003534554898E-3</v>
      </c>
      <c r="D25902" s="2">
        <v>1.1140373979457399E-2</v>
      </c>
      <c r="E25902" s="2">
        <v>1.57964393971737E-3</v>
      </c>
      <c r="F25902" s="2">
        <v>3.8642093632295701E-3</v>
      </c>
    </row>
    <row r="25903" spans="1:6" x14ac:dyDescent="0.25">
      <c r="A25903" s="1" t="str">
        <f t="shared" si="937"/>
        <v>36540</v>
      </c>
      <c r="B25903" s="1" t="str">
        <f>"68114"</f>
        <v>68114</v>
      </c>
      <c r="C25903" s="2">
        <v>2.2097944377267201E-2</v>
      </c>
      <c r="D25903" s="2">
        <v>4.5562286015275198E-2</v>
      </c>
      <c r="E25903" s="2">
        <v>4.4230030312086402E-2</v>
      </c>
      <c r="F25903" s="2">
        <v>2.4965763389922901E-2</v>
      </c>
    </row>
    <row r="25904" spans="1:6" x14ac:dyDescent="0.25">
      <c r="A25904" s="1" t="str">
        <f t="shared" si="937"/>
        <v>36540</v>
      </c>
      <c r="B25904" s="1" t="str">
        <f>"51649"</f>
        <v>51649</v>
      </c>
      <c r="C25904" s="2">
        <v>4.6507301646358396E-6</v>
      </c>
      <c r="D25904" s="2">
        <v>0</v>
      </c>
      <c r="E25904" s="2">
        <v>0</v>
      </c>
      <c r="F25904" s="2">
        <v>4.0697307669611098E-6</v>
      </c>
    </row>
    <row r="25905" spans="1:6" x14ac:dyDescent="0.25">
      <c r="A25905" s="1" t="str">
        <f t="shared" si="937"/>
        <v>36540</v>
      </c>
      <c r="B25905" s="1" t="str">
        <f>"51562"</f>
        <v>51562</v>
      </c>
      <c r="C25905" s="2">
        <v>2.3253650823179198E-6</v>
      </c>
      <c r="D25905" s="2">
        <v>0</v>
      </c>
      <c r="E25905" s="2">
        <v>0</v>
      </c>
      <c r="F25905" s="2">
        <v>2.0348653834805498E-6</v>
      </c>
    </row>
    <row r="25906" spans="1:6" x14ac:dyDescent="0.25">
      <c r="A25906" s="1" t="str">
        <f t="shared" si="937"/>
        <v>36540</v>
      </c>
      <c r="B25906" s="1" t="str">
        <f>"68626"</f>
        <v>68626</v>
      </c>
      <c r="C25906" s="2">
        <v>4.6507301646358396E-6</v>
      </c>
      <c r="D25906" s="2">
        <v>0</v>
      </c>
      <c r="E25906" s="2">
        <v>0</v>
      </c>
      <c r="F25906" s="2">
        <v>4.0697307669611098E-6</v>
      </c>
    </row>
    <row r="25907" spans="1:6" x14ac:dyDescent="0.25">
      <c r="A25907" s="1" t="str">
        <f t="shared" si="937"/>
        <v>36540</v>
      </c>
      <c r="B25907" s="1" t="str">
        <f>"51540"</f>
        <v>51540</v>
      </c>
      <c r="C25907" s="2">
        <v>5.1855641335689698E-4</v>
      </c>
      <c r="D25907" s="2">
        <v>1.3168290755859801E-4</v>
      </c>
      <c r="E25907" s="2">
        <v>4.26930794518208E-5</v>
      </c>
      <c r="F25907" s="2">
        <v>4.6598417281704698E-4</v>
      </c>
    </row>
    <row r="25908" spans="1:6" x14ac:dyDescent="0.25">
      <c r="A25908" s="1" t="str">
        <f t="shared" si="937"/>
        <v>36540</v>
      </c>
      <c r="B25908" s="1" t="str">
        <f>"68157"</f>
        <v>68157</v>
      </c>
      <c r="C25908" s="2">
        <v>5.2413728955445996E-3</v>
      </c>
      <c r="D25908" s="2">
        <v>5.5306821174611498E-4</v>
      </c>
      <c r="E25908" s="2">
        <v>2.4335055287537802E-3</v>
      </c>
      <c r="F25908" s="2">
        <v>4.7453060742766503E-3</v>
      </c>
    </row>
    <row r="25909" spans="1:6" x14ac:dyDescent="0.25">
      <c r="A25909" s="1" t="str">
        <f t="shared" si="937"/>
        <v>36540</v>
      </c>
      <c r="B25909" s="1" t="str">
        <f>"68144"</f>
        <v>68144</v>
      </c>
      <c r="C25909" s="2">
        <v>2.5327876476606798E-2</v>
      </c>
      <c r="D25909" s="2">
        <v>5.6360284435080302E-2</v>
      </c>
      <c r="E25909" s="2">
        <v>2.8775135550527201E-2</v>
      </c>
      <c r="F25909" s="2">
        <v>2.7889864945984399E-2</v>
      </c>
    </row>
    <row r="25910" spans="1:6" x14ac:dyDescent="0.25">
      <c r="A25910" s="1" t="str">
        <f t="shared" si="937"/>
        <v>36540</v>
      </c>
      <c r="B25910" s="1" t="str">
        <f>"68044"</f>
        <v>68044</v>
      </c>
      <c r="C25910" s="2">
        <v>2.6044088921960699E-4</v>
      </c>
      <c r="D25910" s="2">
        <v>7.9009744535159303E-5</v>
      </c>
      <c r="E25910" s="2">
        <v>0</v>
      </c>
      <c r="F25910" s="2">
        <v>2.3400951910026299E-4</v>
      </c>
    </row>
    <row r="25911" spans="1:6" x14ac:dyDescent="0.25">
      <c r="A25911" s="1" t="str">
        <f t="shared" si="937"/>
        <v>36540</v>
      </c>
      <c r="B25911" s="1" t="str">
        <f>"51502"</f>
        <v>51502</v>
      </c>
      <c r="C25911" s="2">
        <v>0</v>
      </c>
      <c r="D25911" s="2">
        <v>0</v>
      </c>
      <c r="E25911" s="2">
        <v>8.5386158903641695E-5</v>
      </c>
      <c r="F25911" s="2">
        <v>4.0697307669611098E-6</v>
      </c>
    </row>
    <row r="25912" spans="1:6" x14ac:dyDescent="0.25">
      <c r="A25912" s="1" t="str">
        <f t="shared" si="937"/>
        <v>36540</v>
      </c>
      <c r="B25912" s="1" t="str">
        <f>"68040"</f>
        <v>68040</v>
      </c>
      <c r="C25912" s="2">
        <v>3.8833596874709298E-4</v>
      </c>
      <c r="D25912" s="2">
        <v>2.6336581511719701E-5</v>
      </c>
      <c r="E25912" s="2">
        <v>4.26930794518208E-5</v>
      </c>
      <c r="F25912" s="2">
        <v>3.4389224980821301E-4</v>
      </c>
    </row>
    <row r="25913" spans="1:6" x14ac:dyDescent="0.25">
      <c r="A25913" s="1" t="str">
        <f t="shared" si="937"/>
        <v>36540</v>
      </c>
      <c r="B25913" s="1" t="str">
        <f>"68182"</f>
        <v>68182</v>
      </c>
      <c r="C25913" s="2">
        <v>0</v>
      </c>
      <c r="D25913" s="2">
        <v>3.2920726889649699E-2</v>
      </c>
      <c r="E25913" s="2">
        <v>1.7077231780728301E-4</v>
      </c>
      <c r="F25913" s="2">
        <v>2.5517211908846101E-3</v>
      </c>
    </row>
    <row r="25914" spans="1:6" x14ac:dyDescent="0.25">
      <c r="A25914" s="1" t="str">
        <f t="shared" si="937"/>
        <v>36540</v>
      </c>
      <c r="B25914" s="1" t="str">
        <f>"68462"</f>
        <v>68462</v>
      </c>
      <c r="C25914" s="2">
        <v>2.3253650823179199E-5</v>
      </c>
      <c r="D25914" s="2">
        <v>0</v>
      </c>
      <c r="E25914" s="2">
        <v>0</v>
      </c>
      <c r="F25914" s="2">
        <v>2.03486538348055E-5</v>
      </c>
    </row>
    <row r="25915" spans="1:6" x14ac:dyDescent="0.25">
      <c r="A25915" s="1" t="str">
        <f t="shared" si="937"/>
        <v>36540</v>
      </c>
      <c r="B25915" s="1" t="str">
        <f>"51549"</f>
        <v>51549</v>
      </c>
      <c r="C25915" s="2">
        <v>5.4878615942702995E-4</v>
      </c>
      <c r="D25915" s="2">
        <v>2.1069265209375799E-4</v>
      </c>
      <c r="E25915" s="2">
        <v>1.2807923835546199E-4</v>
      </c>
      <c r="F25915" s="2">
        <v>5.0261174971969705E-4</v>
      </c>
    </row>
    <row r="25916" spans="1:6" x14ac:dyDescent="0.25">
      <c r="A25916" s="1" t="str">
        <f t="shared" si="937"/>
        <v>36540</v>
      </c>
      <c r="B25916" s="1" t="str">
        <f>"68033"</f>
        <v>68033</v>
      </c>
      <c r="C25916" s="2">
        <v>4.2321644498186198E-4</v>
      </c>
      <c r="D25916" s="2">
        <v>2.1069265209375799E-4</v>
      </c>
      <c r="E25916" s="2">
        <v>1.2807923835546199E-4</v>
      </c>
      <c r="F25916" s="2">
        <v>3.9272901901174701E-4</v>
      </c>
    </row>
    <row r="25917" spans="1:6" x14ac:dyDescent="0.25">
      <c r="A25917" s="1" t="str">
        <f t="shared" si="937"/>
        <v>36540</v>
      </c>
      <c r="B25917" s="1" t="str">
        <f>"68041"</f>
        <v>68041</v>
      </c>
      <c r="C25917" s="2">
        <v>9.3712212817412298E-4</v>
      </c>
      <c r="D25917" s="2">
        <v>6.8475111930471405E-4</v>
      </c>
      <c r="E25917" s="2">
        <v>2.1346539725910401E-4</v>
      </c>
      <c r="F25917" s="2">
        <v>8.8313157643056105E-4</v>
      </c>
    </row>
    <row r="25918" spans="1:6" x14ac:dyDescent="0.25">
      <c r="A25918" s="1" t="str">
        <f t="shared" si="937"/>
        <v>36540</v>
      </c>
      <c r="B25918" s="1" t="str">
        <f>"68102"</f>
        <v>68102</v>
      </c>
      <c r="C25918" s="2">
        <v>1.48032741140359E-2</v>
      </c>
      <c r="D25918" s="2">
        <v>3.8925467474321802E-2</v>
      </c>
      <c r="E25918" s="2">
        <v>2.0321905819066701E-2</v>
      </c>
      <c r="F25918" s="2">
        <v>1.6930079990558199E-2</v>
      </c>
    </row>
    <row r="25919" spans="1:6" x14ac:dyDescent="0.25">
      <c r="A25919" s="1" t="str">
        <f t="shared" si="937"/>
        <v>36540</v>
      </c>
      <c r="B25919" s="1" t="str">
        <f>"68104"</f>
        <v>68104</v>
      </c>
      <c r="C25919" s="2">
        <v>3.6940749697702502E-2</v>
      </c>
      <c r="D25919" s="2">
        <v>2.0331840927047599E-2</v>
      </c>
      <c r="E25919" s="2">
        <v>3.0098621013533701E-2</v>
      </c>
      <c r="F25919" s="2">
        <v>3.5331367653372803E-2</v>
      </c>
    </row>
    <row r="25920" spans="1:6" x14ac:dyDescent="0.25">
      <c r="A25920" s="1" t="str">
        <f t="shared" si="937"/>
        <v>36540</v>
      </c>
      <c r="B25920" s="1" t="str">
        <f>"68050"</f>
        <v>68050</v>
      </c>
      <c r="C25920" s="2">
        <v>7.3714073109478102E-4</v>
      </c>
      <c r="D25920" s="2">
        <v>2.1069265209375799E-4</v>
      </c>
      <c r="E25920" s="2">
        <v>1.2807923835546199E-4</v>
      </c>
      <c r="F25920" s="2">
        <v>6.6743584578162201E-4</v>
      </c>
    </row>
    <row r="25921" spans="1:6" x14ac:dyDescent="0.25">
      <c r="A25921" s="1" t="str">
        <f t="shared" si="937"/>
        <v>36540</v>
      </c>
      <c r="B25921" s="1" t="str">
        <f>"68123"</f>
        <v>68123</v>
      </c>
      <c r="C25921" s="2">
        <v>3.14249837224444E-2</v>
      </c>
      <c r="D25921" s="2">
        <v>1.27205688701606E-2</v>
      </c>
      <c r="E25921" s="2">
        <v>2.97143832984673E-2</v>
      </c>
      <c r="F25921" s="2">
        <v>2.9898277079479799E-2</v>
      </c>
    </row>
    <row r="25922" spans="1:6" x14ac:dyDescent="0.25">
      <c r="A25922" s="1" t="str">
        <f t="shared" si="937"/>
        <v>36540</v>
      </c>
      <c r="B25922" s="1" t="str">
        <f>"68106"</f>
        <v>68106</v>
      </c>
      <c r="C25922" s="2">
        <v>2.5990605525067399E-2</v>
      </c>
      <c r="D25922" s="2">
        <v>2.4993415854622E-2</v>
      </c>
      <c r="E25922" s="2">
        <v>2.3395807539597802E-2</v>
      </c>
      <c r="F25922" s="2">
        <v>2.57898838702325E-2</v>
      </c>
    </row>
    <row r="25923" spans="1:6" x14ac:dyDescent="0.25">
      <c r="A25923" s="1" t="str">
        <f t="shared" si="937"/>
        <v>36540</v>
      </c>
      <c r="B25923" s="1" t="str">
        <f>"68107"</f>
        <v>68107</v>
      </c>
      <c r="C25923" s="2">
        <v>2.4604687936005901E-2</v>
      </c>
      <c r="D25923" s="2">
        <v>2.44403476428759E-2</v>
      </c>
      <c r="E25923" s="2">
        <v>1.8699568799897499E-2</v>
      </c>
      <c r="F25923" s="2">
        <v>2.43105367364422E-2</v>
      </c>
    </row>
    <row r="25924" spans="1:6" x14ac:dyDescent="0.25">
      <c r="A25924" s="1" t="str">
        <f t="shared" si="937"/>
        <v>36540</v>
      </c>
      <c r="B25924" s="1" t="str">
        <f>"68002"</f>
        <v>68002</v>
      </c>
      <c r="C25924" s="2">
        <v>2.19049390754348E-3</v>
      </c>
      <c r="D25924" s="2">
        <v>6.0574137476955396E-4</v>
      </c>
      <c r="E25924" s="2">
        <v>9.3924774794005802E-4</v>
      </c>
      <c r="F25924" s="2">
        <v>2.0084121334953001E-3</v>
      </c>
    </row>
    <row r="25925" spans="1:6" x14ac:dyDescent="0.25">
      <c r="A25925" s="1" t="str">
        <f t="shared" si="937"/>
        <v>36540</v>
      </c>
      <c r="B25925" s="1" t="str">
        <f>"68037"</f>
        <v>68037</v>
      </c>
      <c r="C25925" s="2">
        <v>2.71602641614733E-3</v>
      </c>
      <c r="D25925" s="2">
        <v>1.6328680537266199E-3</v>
      </c>
      <c r="E25925" s="2">
        <v>9.3924774794005802E-4</v>
      </c>
      <c r="F25925" s="2">
        <v>2.5476514601176499E-3</v>
      </c>
    </row>
    <row r="25926" spans="1:6" x14ac:dyDescent="0.25">
      <c r="A25926" s="1" t="str">
        <f t="shared" si="937"/>
        <v>36540</v>
      </c>
      <c r="B25926" s="1" t="str">
        <f>"68152"</f>
        <v>68152</v>
      </c>
      <c r="C25926" s="2">
        <v>6.55752953213654E-3</v>
      </c>
      <c r="D25926" s="2">
        <v>3.5291019225704499E-3</v>
      </c>
      <c r="E25926" s="2">
        <v>1.49425778081373E-3</v>
      </c>
      <c r="F25926" s="2">
        <v>6.08221263122338E-3</v>
      </c>
    </row>
    <row r="25927" spans="1:6" x14ac:dyDescent="0.25">
      <c r="A25927" s="1" t="str">
        <f t="shared" ref="A25927:A25958" si="938">"36540"</f>
        <v>36540</v>
      </c>
      <c r="B25927" s="1" t="str">
        <f>"68154"</f>
        <v>68154</v>
      </c>
      <c r="C25927" s="2">
        <v>2.5309273555948201E-2</v>
      </c>
      <c r="D25927" s="2">
        <v>4.1559125625493798E-2</v>
      </c>
      <c r="E25927" s="2">
        <v>4.5596208854544601E-2</v>
      </c>
      <c r="F25927" s="2">
        <v>2.75317286384919E-2</v>
      </c>
    </row>
    <row r="25928" spans="1:6" x14ac:dyDescent="0.25">
      <c r="A25928" s="1" t="str">
        <f t="shared" si="938"/>
        <v>36540</v>
      </c>
      <c r="B25928" s="1" t="str">
        <f>"68198"</f>
        <v>68198</v>
      </c>
      <c r="C25928" s="2">
        <v>0</v>
      </c>
      <c r="D25928" s="2">
        <v>2.7390044772188501E-3</v>
      </c>
      <c r="E25928" s="2">
        <v>3.74418306792468E-2</v>
      </c>
      <c r="F25928" s="2">
        <v>1.99620294119442E-3</v>
      </c>
    </row>
    <row r="25929" spans="1:6" x14ac:dyDescent="0.25">
      <c r="A25929" s="1" t="str">
        <f t="shared" si="938"/>
        <v>36540</v>
      </c>
      <c r="B25929" s="1" t="str">
        <f>"68147"</f>
        <v>68147</v>
      </c>
      <c r="C25929" s="2">
        <v>1.0064180076271899E-2</v>
      </c>
      <c r="D25929" s="2">
        <v>3.21306294442981E-3</v>
      </c>
      <c r="E25929" s="2">
        <v>2.94582248217563E-3</v>
      </c>
      <c r="F25929" s="2">
        <v>9.1955566679486293E-3</v>
      </c>
    </row>
    <row r="25930" spans="1:6" x14ac:dyDescent="0.25">
      <c r="A25930" s="1" t="str">
        <f t="shared" si="938"/>
        <v>36540</v>
      </c>
      <c r="B25930" s="1" t="str">
        <f>"51550"</f>
        <v>51550</v>
      </c>
      <c r="C25930" s="2">
        <v>2.3021114314947401E-4</v>
      </c>
      <c r="D25930" s="2">
        <v>1.0534632604687899E-4</v>
      </c>
      <c r="E25930" s="2">
        <v>4.26930794518208E-5</v>
      </c>
      <c r="F25930" s="2">
        <v>2.11625999881977E-4</v>
      </c>
    </row>
    <row r="25931" spans="1:6" x14ac:dyDescent="0.25">
      <c r="A25931" s="1" t="str">
        <f t="shared" si="938"/>
        <v>36540</v>
      </c>
      <c r="B25931" s="1" t="str">
        <f>"51576"</f>
        <v>51576</v>
      </c>
      <c r="C25931" s="2">
        <v>1.9974886057110902E-3</v>
      </c>
      <c r="D25931" s="2">
        <v>7.1108770081643397E-4</v>
      </c>
      <c r="E25931" s="2">
        <v>6.4039619177731202E-4</v>
      </c>
      <c r="F25931" s="2">
        <v>1.8334137105159799E-3</v>
      </c>
    </row>
    <row r="25932" spans="1:6" x14ac:dyDescent="0.25">
      <c r="A25932" s="1" t="str">
        <f t="shared" si="938"/>
        <v>36540</v>
      </c>
      <c r="B25932" s="1" t="str">
        <f>"51533"</f>
        <v>51533</v>
      </c>
      <c r="C25932" s="2">
        <v>6.9993488977769503E-4</v>
      </c>
      <c r="D25932" s="2">
        <v>4.47721885699236E-4</v>
      </c>
      <c r="E25932" s="2">
        <v>2.1346539725910401E-4</v>
      </c>
      <c r="F25932" s="2">
        <v>6.5726151886421897E-4</v>
      </c>
    </row>
    <row r="25933" spans="1:6" x14ac:dyDescent="0.25">
      <c r="A25933" s="1" t="str">
        <f t="shared" si="938"/>
        <v>36540</v>
      </c>
      <c r="B25933" s="1" t="str">
        <f>"51577"</f>
        <v>51577</v>
      </c>
      <c r="C25933" s="2">
        <v>1.23941958887545E-3</v>
      </c>
      <c r="D25933" s="2">
        <v>1.6328680537266199E-3</v>
      </c>
      <c r="E25933" s="2">
        <v>3.4154463561456602E-4</v>
      </c>
      <c r="F25933" s="2">
        <v>1.2270238262387699E-3</v>
      </c>
    </row>
    <row r="25934" spans="1:6" x14ac:dyDescent="0.25">
      <c r="A25934" s="1" t="str">
        <f t="shared" si="938"/>
        <v>36540</v>
      </c>
      <c r="B25934" s="1" t="str">
        <f>"51579"</f>
        <v>51579</v>
      </c>
      <c r="C25934" s="2">
        <v>2.6253371779369301E-3</v>
      </c>
      <c r="D25934" s="2">
        <v>2.9760337108243298E-3</v>
      </c>
      <c r="E25934" s="2">
        <v>3.2019809588865601E-3</v>
      </c>
      <c r="F25934" s="2">
        <v>2.67991771004389E-3</v>
      </c>
    </row>
    <row r="25935" spans="1:6" x14ac:dyDescent="0.25">
      <c r="A25935" s="1" t="str">
        <f t="shared" si="938"/>
        <v>36540</v>
      </c>
      <c r="B25935" s="1" t="str">
        <f>"68069"</f>
        <v>68069</v>
      </c>
      <c r="C25935" s="2">
        <v>3.32992279787926E-3</v>
      </c>
      <c r="D25935" s="2">
        <v>3.1340531998946498E-3</v>
      </c>
      <c r="E25935" s="2">
        <v>1.6223370191691901E-3</v>
      </c>
      <c r="F25935" s="2">
        <v>3.2334010943506001E-3</v>
      </c>
    </row>
    <row r="25936" spans="1:6" x14ac:dyDescent="0.25">
      <c r="A25936" s="1" t="str">
        <f t="shared" si="938"/>
        <v>36540</v>
      </c>
      <c r="B25936" s="1" t="str">
        <f>"68105"</f>
        <v>68105</v>
      </c>
      <c r="C25936" s="2">
        <v>2.5595293461073299E-2</v>
      </c>
      <c r="D25936" s="2">
        <v>1.3431656570977E-2</v>
      </c>
      <c r="E25936" s="2">
        <v>5.7507578021602598E-2</v>
      </c>
      <c r="F25936" s="2">
        <v>2.61765082930938E-2</v>
      </c>
    </row>
    <row r="25937" spans="1:6" x14ac:dyDescent="0.25">
      <c r="A25937" s="1" t="str">
        <f t="shared" si="938"/>
        <v>36540</v>
      </c>
      <c r="B25937" s="1" t="str">
        <f>"68116"</f>
        <v>68116</v>
      </c>
      <c r="C25937" s="2">
        <v>3.2031904008929399E-2</v>
      </c>
      <c r="D25937" s="2">
        <v>1.18777982617856E-2</v>
      </c>
      <c r="E25937" s="2">
        <v>1.90411134355121E-2</v>
      </c>
      <c r="F25937" s="2">
        <v>2.9855544906426699E-2</v>
      </c>
    </row>
    <row r="25938" spans="1:6" x14ac:dyDescent="0.25">
      <c r="A25938" s="1" t="str">
        <f t="shared" si="938"/>
        <v>36540</v>
      </c>
      <c r="B25938" s="1" t="str">
        <f>"68058"</f>
        <v>68058</v>
      </c>
      <c r="C25938" s="2">
        <v>3.9763742907636401E-4</v>
      </c>
      <c r="D25938" s="2">
        <v>2.6336581511719701E-5</v>
      </c>
      <c r="E25938" s="2">
        <v>0</v>
      </c>
      <c r="F25938" s="2">
        <v>3.49996845958655E-4</v>
      </c>
    </row>
    <row r="25939" spans="1:6" x14ac:dyDescent="0.25">
      <c r="A25939" s="1" t="str">
        <f t="shared" si="938"/>
        <v>36540</v>
      </c>
      <c r="B25939" s="1" t="str">
        <f>"68454"</f>
        <v>68454</v>
      </c>
      <c r="C25939" s="2">
        <v>2.3253650823179198E-6</v>
      </c>
      <c r="D25939" s="2">
        <v>0</v>
      </c>
      <c r="E25939" s="2">
        <v>0</v>
      </c>
      <c r="F25939" s="2">
        <v>2.0348653834805498E-6</v>
      </c>
    </row>
    <row r="25940" spans="1:6" x14ac:dyDescent="0.25">
      <c r="A25940" s="1" t="str">
        <f t="shared" si="938"/>
        <v>36540</v>
      </c>
      <c r="B25940" s="1" t="str">
        <f>"51645"</f>
        <v>51645</v>
      </c>
      <c r="C25940" s="2">
        <v>7.90624127988094E-5</v>
      </c>
      <c r="D25940" s="2">
        <v>0</v>
      </c>
      <c r="E25940" s="2">
        <v>0</v>
      </c>
      <c r="F25940" s="2">
        <v>6.9185423038338798E-5</v>
      </c>
    </row>
    <row r="25941" spans="1:6" x14ac:dyDescent="0.25">
      <c r="A25941" s="1" t="str">
        <f t="shared" si="938"/>
        <v>36540</v>
      </c>
      <c r="B25941" s="1" t="str">
        <f>"51541"</f>
        <v>51541</v>
      </c>
      <c r="C25941" s="2">
        <v>3.9763742907636401E-4</v>
      </c>
      <c r="D25941" s="2">
        <v>1.5801948907031801E-4</v>
      </c>
      <c r="E25941" s="2">
        <v>1.2807923835546199E-4</v>
      </c>
      <c r="F25941" s="2">
        <v>3.6627576902649998E-4</v>
      </c>
    </row>
    <row r="25942" spans="1:6" x14ac:dyDescent="0.25">
      <c r="A25942" s="1" t="str">
        <f t="shared" si="938"/>
        <v>36540</v>
      </c>
      <c r="B25942" s="1" t="str">
        <f>"68413"</f>
        <v>68413</v>
      </c>
      <c r="C25942" s="2">
        <v>5.7203981025020904E-4</v>
      </c>
      <c r="D25942" s="2">
        <v>1.5801948907031801E-4</v>
      </c>
      <c r="E25942" s="2">
        <v>5.55010032873671E-4</v>
      </c>
      <c r="F25942" s="2">
        <v>5.3923932662234696E-4</v>
      </c>
    </row>
    <row r="25943" spans="1:6" x14ac:dyDescent="0.25">
      <c r="A25943" s="1" t="str">
        <f t="shared" si="938"/>
        <v>36540</v>
      </c>
      <c r="B25943" s="1" t="str">
        <f>"68648"</f>
        <v>68648</v>
      </c>
      <c r="C25943" s="2">
        <v>5.8134127057948002E-4</v>
      </c>
      <c r="D25943" s="2">
        <v>5.2673163023439497E-5</v>
      </c>
      <c r="E25943" s="2">
        <v>3.8423771506638702E-4</v>
      </c>
      <c r="F25943" s="2">
        <v>5.3109986508842499E-4</v>
      </c>
    </row>
    <row r="25944" spans="1:6" x14ac:dyDescent="0.25">
      <c r="A25944" s="1" t="str">
        <f t="shared" si="938"/>
        <v>36540</v>
      </c>
      <c r="B25944" s="1" t="str">
        <f>"68124"</f>
        <v>68124</v>
      </c>
      <c r="C25944" s="2">
        <v>1.8305273928006599E-2</v>
      </c>
      <c r="D25944" s="2">
        <v>2.5704503555438501E-2</v>
      </c>
      <c r="E25944" s="2">
        <v>2.8647056312171699E-2</v>
      </c>
      <c r="F25944" s="2">
        <v>1.93698835853514E-2</v>
      </c>
    </row>
    <row r="25945" spans="1:6" x14ac:dyDescent="0.25">
      <c r="A25945" s="1" t="str">
        <f t="shared" si="938"/>
        <v>36540</v>
      </c>
      <c r="B25945" s="1" t="str">
        <f>"68349"</f>
        <v>68349</v>
      </c>
      <c r="C25945" s="2">
        <v>1.1673332713235899E-3</v>
      </c>
      <c r="D25945" s="2">
        <v>4.7405846721095598E-4</v>
      </c>
      <c r="E25945" s="2">
        <v>2.98851556162746E-4</v>
      </c>
      <c r="F25945" s="2">
        <v>1.07237405709425E-3</v>
      </c>
    </row>
    <row r="25946" spans="1:6" x14ac:dyDescent="0.25">
      <c r="A25946" s="1" t="str">
        <f t="shared" si="938"/>
        <v>36540</v>
      </c>
      <c r="B25946" s="1" t="str">
        <f>"51536"</f>
        <v>51536</v>
      </c>
      <c r="C25946" s="2">
        <v>4.9995349269835296E-4</v>
      </c>
      <c r="D25946" s="2">
        <v>1.5801948907031801E-4</v>
      </c>
      <c r="E25946" s="2">
        <v>8.5386158903641695E-5</v>
      </c>
      <c r="F25946" s="2">
        <v>4.53774980516163E-4</v>
      </c>
    </row>
    <row r="25947" spans="1:6" x14ac:dyDescent="0.25">
      <c r="A25947" s="1" t="str">
        <f t="shared" si="938"/>
        <v>36540</v>
      </c>
      <c r="B25947" s="1" t="str">
        <f>"51523"</f>
        <v>51523</v>
      </c>
      <c r="C25947" s="2">
        <v>1.1626825411589599E-5</v>
      </c>
      <c r="D25947" s="2">
        <v>0</v>
      </c>
      <c r="E25947" s="2">
        <v>0</v>
      </c>
      <c r="F25947" s="2">
        <v>1.0174326917402699E-5</v>
      </c>
    </row>
    <row r="25948" spans="1:6" x14ac:dyDescent="0.25">
      <c r="A25948" s="1" t="str">
        <f t="shared" si="938"/>
        <v>36540</v>
      </c>
      <c r="B25948" s="1" t="str">
        <f>"51525"</f>
        <v>51525</v>
      </c>
      <c r="C25948" s="2">
        <v>1.29057762068644E-3</v>
      </c>
      <c r="D25948" s="2">
        <v>2.1069265209375799E-4</v>
      </c>
      <c r="E25948" s="2">
        <v>5.55010032873671E-4</v>
      </c>
      <c r="F25948" s="2">
        <v>1.1720824608848E-3</v>
      </c>
    </row>
    <row r="25949" spans="1:6" x14ac:dyDescent="0.25">
      <c r="A25949" s="1" t="str">
        <f t="shared" si="938"/>
        <v>36540</v>
      </c>
      <c r="B25949" s="1" t="str">
        <f>"68455"</f>
        <v>68455</v>
      </c>
      <c r="C25949" s="2">
        <v>7.2086317551855604E-4</v>
      </c>
      <c r="D25949" s="2">
        <v>1.0534632604687899E-4</v>
      </c>
      <c r="E25949" s="2">
        <v>5.55010032873671E-4</v>
      </c>
      <c r="F25949" s="2">
        <v>6.6540098039814105E-4</v>
      </c>
    </row>
    <row r="25950" spans="1:6" x14ac:dyDescent="0.25">
      <c r="A25950" s="1" t="str">
        <f t="shared" si="938"/>
        <v>36540</v>
      </c>
      <c r="B25950" s="1" t="str">
        <f>"68139"</f>
        <v>68139</v>
      </c>
      <c r="C25950" s="2">
        <v>1.50916193842433E-3</v>
      </c>
      <c r="D25950" s="2">
        <v>5.7677113510666298E-3</v>
      </c>
      <c r="E25950" s="2">
        <v>8.5386158903641695E-5</v>
      </c>
      <c r="F25950" s="2">
        <v>1.7703328836280801E-3</v>
      </c>
    </row>
    <row r="25951" spans="1:6" x14ac:dyDescent="0.25">
      <c r="A25951" s="1" t="str">
        <f t="shared" si="938"/>
        <v>36540</v>
      </c>
      <c r="B25951" s="1" t="str">
        <f>"51503"</f>
        <v>51503</v>
      </c>
      <c r="C25951" s="2">
        <v>3.7854618175053402E-2</v>
      </c>
      <c r="D25951" s="2">
        <v>3.00500395048722E-2</v>
      </c>
      <c r="E25951" s="2">
        <v>3.65879690902104E-2</v>
      </c>
      <c r="F25951" s="2">
        <v>3.7191234613874101E-2</v>
      </c>
    </row>
    <row r="25952" spans="1:6" x14ac:dyDescent="0.25">
      <c r="A25952" s="1" t="str">
        <f t="shared" si="938"/>
        <v>36540</v>
      </c>
      <c r="B25952" s="1" t="str">
        <f>"51555"</f>
        <v>51555</v>
      </c>
      <c r="C25952" s="2">
        <v>5.6366849595386398E-3</v>
      </c>
      <c r="D25952" s="2">
        <v>5.2936528838556703E-3</v>
      </c>
      <c r="E25952" s="2">
        <v>5.6354864876403503E-3</v>
      </c>
      <c r="F25952" s="2">
        <v>5.6101238622558898E-3</v>
      </c>
    </row>
    <row r="25953" spans="1:6" x14ac:dyDescent="0.25">
      <c r="A25953" s="1" t="str">
        <f t="shared" si="938"/>
        <v>36540</v>
      </c>
      <c r="B25953" s="1" t="str">
        <f>"51575"</f>
        <v>51575</v>
      </c>
      <c r="C25953" s="2">
        <v>1.82076085945493E-3</v>
      </c>
      <c r="D25953" s="2">
        <v>3.95048722675796E-4</v>
      </c>
      <c r="E25953" s="2">
        <v>1.40887162191008E-3</v>
      </c>
      <c r="F25953" s="2">
        <v>1.69097313367234E-3</v>
      </c>
    </row>
    <row r="25954" spans="1:6" x14ac:dyDescent="0.25">
      <c r="A25954" s="1" t="str">
        <f t="shared" si="938"/>
        <v>36540</v>
      </c>
      <c r="B25954" s="1" t="str">
        <f>"51521"</f>
        <v>51521</v>
      </c>
      <c r="C25954" s="2">
        <v>2.4788391777509E-3</v>
      </c>
      <c r="D25954" s="2">
        <v>5.5306821174611498E-4</v>
      </c>
      <c r="E25954" s="2">
        <v>1.7931093369764699E-3</v>
      </c>
      <c r="F25954" s="2">
        <v>2.29736301794954E-3</v>
      </c>
    </row>
    <row r="25955" spans="1:6" x14ac:dyDescent="0.25">
      <c r="A25955" s="1" t="str">
        <f t="shared" si="938"/>
        <v>36540</v>
      </c>
      <c r="B25955" s="1" t="str">
        <f>"51556"</f>
        <v>51556</v>
      </c>
      <c r="C25955" s="2">
        <v>5.39484699097758E-4</v>
      </c>
      <c r="D25955" s="2">
        <v>1.8435607058203801E-4</v>
      </c>
      <c r="E25955" s="2">
        <v>1.2807923835546199E-4</v>
      </c>
      <c r="F25955" s="2">
        <v>4.9243742280229402E-4</v>
      </c>
    </row>
    <row r="25956" spans="1:6" x14ac:dyDescent="0.25">
      <c r="A25956" s="1" t="str">
        <f t="shared" si="938"/>
        <v>36540</v>
      </c>
      <c r="B25956" s="1" t="str">
        <f>"68059"</f>
        <v>68059</v>
      </c>
      <c r="C25956" s="2">
        <v>3.39270765510185E-3</v>
      </c>
      <c r="D25956" s="2">
        <v>2.34395575454306E-3</v>
      </c>
      <c r="E25956" s="2">
        <v>1.6650300986210101E-3</v>
      </c>
      <c r="F25956" s="2">
        <v>3.22933136358364E-3</v>
      </c>
    </row>
    <row r="25957" spans="1:6" x14ac:dyDescent="0.25">
      <c r="A25957" s="1" t="str">
        <f t="shared" si="938"/>
        <v>36540</v>
      </c>
      <c r="B25957" s="1" t="str">
        <f>"68164"</f>
        <v>68164</v>
      </c>
      <c r="C25957" s="2">
        <v>3.0922704864663701E-2</v>
      </c>
      <c r="D25957" s="2">
        <v>1.9383723992625699E-2</v>
      </c>
      <c r="E25957" s="2">
        <v>2.8220125517653499E-2</v>
      </c>
      <c r="F25957" s="2">
        <v>2.9902346810246699E-2</v>
      </c>
    </row>
    <row r="25958" spans="1:6" x14ac:dyDescent="0.25">
      <c r="A25958" s="1" t="str">
        <f t="shared" si="938"/>
        <v>36540</v>
      </c>
      <c r="B25958" s="1" t="str">
        <f>"68136"</f>
        <v>68136</v>
      </c>
      <c r="C25958" s="2">
        <v>1.9054041484513E-2</v>
      </c>
      <c r="D25958" s="2">
        <v>5.5570186989728704E-3</v>
      </c>
      <c r="E25958" s="2">
        <v>4.3120010246339002E-3</v>
      </c>
      <c r="F25958" s="2">
        <v>1.73085649518856E-2</v>
      </c>
    </row>
    <row r="25959" spans="1:6" x14ac:dyDescent="0.25">
      <c r="A25959" s="1" t="str">
        <f t="shared" ref="A25959:A25980" si="939">"36540"</f>
        <v>36540</v>
      </c>
      <c r="B25959" s="1" t="str">
        <f>"68003"</f>
        <v>68003</v>
      </c>
      <c r="C25959" s="2">
        <v>6.5807831829597201E-3</v>
      </c>
      <c r="D25959" s="2">
        <v>4.2928627864103203E-3</v>
      </c>
      <c r="E25959" s="2">
        <v>3.2873671177902001E-3</v>
      </c>
      <c r="F25959" s="2">
        <v>6.2470367272852998E-3</v>
      </c>
    </row>
    <row r="25960" spans="1:6" x14ac:dyDescent="0.25">
      <c r="A25960" s="1" t="str">
        <f t="shared" si="939"/>
        <v>36540</v>
      </c>
      <c r="B25960" s="1" t="str">
        <f>"68064"</f>
        <v>68064</v>
      </c>
      <c r="C25960" s="2">
        <v>5.3343874988373103E-3</v>
      </c>
      <c r="D25960" s="2">
        <v>2.34395575454306E-3</v>
      </c>
      <c r="E25960" s="2">
        <v>2.0492678136874E-3</v>
      </c>
      <c r="F25960" s="2">
        <v>4.9467577472412302E-3</v>
      </c>
    </row>
    <row r="25961" spans="1:6" x14ac:dyDescent="0.25">
      <c r="A25961" s="1" t="str">
        <f t="shared" si="939"/>
        <v>36540</v>
      </c>
      <c r="B25961" s="1" t="str">
        <f>"68066"</f>
        <v>68066</v>
      </c>
      <c r="C25961" s="2">
        <v>5.8134127057947998E-3</v>
      </c>
      <c r="D25961" s="2">
        <v>8.2696865946800101E-3</v>
      </c>
      <c r="E25961" s="2">
        <v>5.0804764547666796E-3</v>
      </c>
      <c r="F25961" s="2">
        <v>5.96826016974847E-3</v>
      </c>
    </row>
    <row r="25962" spans="1:6" x14ac:dyDescent="0.25">
      <c r="A25962" s="1" t="str">
        <f t="shared" si="939"/>
        <v>36540</v>
      </c>
      <c r="B25962" s="1" t="str">
        <f>"68108"</f>
        <v>68108</v>
      </c>
      <c r="C25962" s="2">
        <v>1.56055250674355E-2</v>
      </c>
      <c r="D25962" s="2">
        <v>1.8172241243086602E-2</v>
      </c>
      <c r="E25962" s="2">
        <v>1.8059172608120198E-2</v>
      </c>
      <c r="F25962" s="2">
        <v>1.5920786760351802E-2</v>
      </c>
    </row>
    <row r="25963" spans="1:6" x14ac:dyDescent="0.25">
      <c r="A25963" s="1" t="str">
        <f t="shared" si="939"/>
        <v>36540</v>
      </c>
      <c r="B25963" s="1" t="str">
        <f>"68010"</f>
        <v>68010</v>
      </c>
      <c r="C25963" s="2">
        <v>1.0673425727839201E-3</v>
      </c>
      <c r="D25963" s="2">
        <v>8.5593889913089197E-3</v>
      </c>
      <c r="E25963" s="2">
        <v>5.55010032873671E-4</v>
      </c>
      <c r="F25963" s="2">
        <v>1.621787710634E-3</v>
      </c>
    </row>
    <row r="25964" spans="1:6" x14ac:dyDescent="0.25">
      <c r="A25964" s="1" t="str">
        <f t="shared" si="939"/>
        <v>36540</v>
      </c>
      <c r="B25964" s="1" t="str">
        <f>"68134"</f>
        <v>68134</v>
      </c>
      <c r="C25964" s="2">
        <v>3.2215607850432502E-2</v>
      </c>
      <c r="D25964" s="2">
        <v>3.83460626810639E-2</v>
      </c>
      <c r="E25964" s="2">
        <v>4.1497673227169803E-2</v>
      </c>
      <c r="F25964" s="2">
        <v>3.3131678173830399E-2</v>
      </c>
    </row>
    <row r="25965" spans="1:6" x14ac:dyDescent="0.25">
      <c r="A25965" s="1" t="str">
        <f t="shared" si="939"/>
        <v>36540</v>
      </c>
      <c r="B25965" s="1" t="str">
        <f>"51532"</f>
        <v>51532</v>
      </c>
      <c r="C25965" s="2">
        <v>4.6507301646358398E-5</v>
      </c>
      <c r="D25965" s="2">
        <v>0</v>
      </c>
      <c r="E25965" s="2">
        <v>0</v>
      </c>
      <c r="F25965" s="2">
        <v>4.0697307669611102E-5</v>
      </c>
    </row>
    <row r="25966" spans="1:6" x14ac:dyDescent="0.25">
      <c r="A25966" s="1" t="str">
        <f t="shared" si="939"/>
        <v>36540</v>
      </c>
      <c r="B25966" s="1" t="str">
        <f>"68179"</f>
        <v>68179</v>
      </c>
      <c r="C25966" s="2">
        <v>0</v>
      </c>
      <c r="D25966" s="2">
        <v>1.0534632604687899E-4</v>
      </c>
      <c r="E25966" s="2">
        <v>4.26930794518208E-5</v>
      </c>
      <c r="F25966" s="2">
        <v>1.0174326917402699E-5</v>
      </c>
    </row>
    <row r="25967" spans="1:6" x14ac:dyDescent="0.25">
      <c r="A25967" s="1" t="str">
        <f t="shared" si="939"/>
        <v>36540</v>
      </c>
      <c r="B25967" s="1" t="str">
        <f>"68056"</f>
        <v>68056</v>
      </c>
      <c r="C25967" s="2">
        <v>0</v>
      </c>
      <c r="D25967" s="2">
        <v>0</v>
      </c>
      <c r="E25967" s="2">
        <v>8.5386158903641695E-5</v>
      </c>
      <c r="F25967" s="2">
        <v>4.0697307669611098E-6</v>
      </c>
    </row>
    <row r="25968" spans="1:6" x14ac:dyDescent="0.25">
      <c r="A25968" s="1" t="str">
        <f t="shared" si="939"/>
        <v>36540</v>
      </c>
      <c r="B25968" s="1" t="str">
        <f>"68016"</f>
        <v>68016</v>
      </c>
      <c r="C25968" s="2">
        <v>5.2088177843921397E-4</v>
      </c>
      <c r="D25968" s="2">
        <v>1.0534632604687899E-4</v>
      </c>
      <c r="E25968" s="2">
        <v>0</v>
      </c>
      <c r="F25968" s="2">
        <v>4.6394930743356598E-4</v>
      </c>
    </row>
    <row r="25969" spans="1:6" x14ac:dyDescent="0.25">
      <c r="A25969" s="1" t="str">
        <f t="shared" si="939"/>
        <v>36540</v>
      </c>
      <c r="B25969" s="1" t="str">
        <f>"68068"</f>
        <v>68068</v>
      </c>
      <c r="C25969" s="2">
        <v>1.37196539856757E-4</v>
      </c>
      <c r="D25969" s="2">
        <v>7.9009744535159303E-5</v>
      </c>
      <c r="E25969" s="2">
        <v>0</v>
      </c>
      <c r="F25969" s="2">
        <v>1.2616165377579399E-4</v>
      </c>
    </row>
    <row r="25970" spans="1:6" x14ac:dyDescent="0.25">
      <c r="A25970" s="1" t="str">
        <f t="shared" si="939"/>
        <v>36540</v>
      </c>
      <c r="B25970" s="1" t="str">
        <f>"68036"</f>
        <v>68036</v>
      </c>
      <c r="C25970" s="2">
        <v>5.5808761975630099E-5</v>
      </c>
      <c r="D25970" s="2">
        <v>5.2673163023439497E-5</v>
      </c>
      <c r="E25970" s="2">
        <v>8.5386158903641695E-5</v>
      </c>
      <c r="F25970" s="2">
        <v>5.6976230737455501E-5</v>
      </c>
    </row>
    <row r="25971" spans="1:6" x14ac:dyDescent="0.25">
      <c r="A25971" s="1" t="str">
        <f t="shared" si="939"/>
        <v>36540</v>
      </c>
      <c r="B25971" s="1" t="str">
        <f>"51544"</f>
        <v>51544</v>
      </c>
      <c r="C25971" s="2">
        <v>5.5808761975630099E-5</v>
      </c>
      <c r="D25971" s="2">
        <v>2.6336581511719701E-5</v>
      </c>
      <c r="E25971" s="2">
        <v>0</v>
      </c>
      <c r="F25971" s="2">
        <v>5.0871634587013798E-5</v>
      </c>
    </row>
    <row r="25972" spans="1:6" x14ac:dyDescent="0.25">
      <c r="A25972" s="1" t="str">
        <f t="shared" si="939"/>
        <v>36540</v>
      </c>
      <c r="B25972" s="1" t="str">
        <f>"68403"</f>
        <v>68403</v>
      </c>
      <c r="C25972" s="2">
        <v>1.7905311133848E-4</v>
      </c>
      <c r="D25972" s="2">
        <v>0</v>
      </c>
      <c r="E25972" s="2">
        <v>4.26930794518208E-5</v>
      </c>
      <c r="F25972" s="2">
        <v>1.5871949991148299E-4</v>
      </c>
    </row>
    <row r="25973" spans="1:6" x14ac:dyDescent="0.25">
      <c r="A25973" s="1" t="str">
        <f t="shared" si="939"/>
        <v>36540</v>
      </c>
      <c r="B25973" s="1" t="str">
        <f>"68103"</f>
        <v>68103</v>
      </c>
      <c r="C25973" s="2">
        <v>6.46451492884382E-4</v>
      </c>
      <c r="D25973" s="2">
        <v>6.6631551224651002E-3</v>
      </c>
      <c r="E25973" s="2">
        <v>4.26930794518208E-5</v>
      </c>
      <c r="F25973" s="2">
        <v>1.08254838401165E-3</v>
      </c>
    </row>
    <row r="25974" spans="1:6" x14ac:dyDescent="0.25">
      <c r="A25974" s="1" t="str">
        <f t="shared" si="939"/>
        <v>36540</v>
      </c>
      <c r="B25974" s="1" t="str">
        <f>"68137"</f>
        <v>68137</v>
      </c>
      <c r="C25974" s="2">
        <v>2.6934703748488501E-2</v>
      </c>
      <c r="D25974" s="2">
        <v>4.9381090334474499E-2</v>
      </c>
      <c r="E25974" s="2">
        <v>3.1208641079281001E-2</v>
      </c>
      <c r="F25974" s="2">
        <v>2.8872704926205601E-2</v>
      </c>
    </row>
    <row r="25975" spans="1:6" x14ac:dyDescent="0.25">
      <c r="A25975" s="1" t="str">
        <f t="shared" si="939"/>
        <v>36540</v>
      </c>
      <c r="B25975" s="1" t="str">
        <f>"68142"</f>
        <v>68142</v>
      </c>
      <c r="C25975" s="2">
        <v>5.72039810250209E-3</v>
      </c>
      <c r="D25975" s="2">
        <v>7.9009744535159297E-4</v>
      </c>
      <c r="E25975" s="2">
        <v>2.1346539725910401E-4</v>
      </c>
      <c r="F25975" s="2">
        <v>5.0769891317839801E-3</v>
      </c>
    </row>
    <row r="25976" spans="1:6" x14ac:dyDescent="0.25">
      <c r="A25976" s="1" t="str">
        <f t="shared" si="939"/>
        <v>36540</v>
      </c>
      <c r="B25976" s="1" t="str">
        <f>"68130"</f>
        <v>68130</v>
      </c>
      <c r="C25976" s="2">
        <v>1.9533066691470501E-2</v>
      </c>
      <c r="D25976" s="2">
        <v>2.0331840927047599E-2</v>
      </c>
      <c r="E25976" s="2">
        <v>1.5796439397173699E-2</v>
      </c>
      <c r="F25976" s="2">
        <v>1.9416685489171401E-2</v>
      </c>
    </row>
    <row r="25977" spans="1:6" x14ac:dyDescent="0.25">
      <c r="A25977" s="1" t="str">
        <f t="shared" si="939"/>
        <v>36540</v>
      </c>
      <c r="B25977" s="1" t="str">
        <f>"68132"</f>
        <v>68132</v>
      </c>
      <c r="C25977" s="2">
        <v>1.6282206306390101E-2</v>
      </c>
      <c r="D25977" s="2">
        <v>8.4277060837503193E-3</v>
      </c>
      <c r="E25977" s="2">
        <v>3.2660205780642902E-2</v>
      </c>
      <c r="F25977" s="2">
        <v>1.64559563562072E-2</v>
      </c>
    </row>
    <row r="25978" spans="1:6" x14ac:dyDescent="0.25">
      <c r="A25978" s="1" t="str">
        <f t="shared" si="939"/>
        <v>36540</v>
      </c>
      <c r="B25978" s="1" t="str">
        <f>"68133"</f>
        <v>68133</v>
      </c>
      <c r="C25978" s="2">
        <v>1.1966328713608001E-2</v>
      </c>
      <c r="D25978" s="2">
        <v>3.2393995259415299E-3</v>
      </c>
      <c r="E25978" s="2">
        <v>3.88507023011569E-3</v>
      </c>
      <c r="F25978" s="2">
        <v>1.0906878455455699E-2</v>
      </c>
    </row>
    <row r="25979" spans="1:6" x14ac:dyDescent="0.25">
      <c r="A25979" s="1" t="str">
        <f t="shared" si="939"/>
        <v>36540</v>
      </c>
      <c r="B25979" s="1" t="str">
        <f>"68145"</f>
        <v>68145</v>
      </c>
      <c r="C25979" s="2">
        <v>1.3882429541438E-3</v>
      </c>
      <c r="D25979" s="2">
        <v>8.0589939425862508E-3</v>
      </c>
      <c r="E25979" s="2">
        <v>4.26930794518208E-5</v>
      </c>
      <c r="F25979" s="2">
        <v>1.83951830666642E-3</v>
      </c>
    </row>
    <row r="25980" spans="1:6" x14ac:dyDescent="0.25">
      <c r="A25980" s="1" t="str">
        <f t="shared" si="939"/>
        <v>36540</v>
      </c>
      <c r="B25980" s="1" t="str">
        <f>"68307"</f>
        <v>68307</v>
      </c>
      <c r="C25980" s="2">
        <v>4.5577155613431302E-4</v>
      </c>
      <c r="D25980" s="2">
        <v>1.3168290755859801E-4</v>
      </c>
      <c r="E25980" s="2">
        <v>8.5386158903641695E-5</v>
      </c>
      <c r="F25980" s="2">
        <v>4.13077672846552E-4</v>
      </c>
    </row>
    <row r="25981" spans="1:6" x14ac:dyDescent="0.25">
      <c r="A25981" s="1" t="str">
        <f t="shared" ref="A25981:A26026" si="940">"36580"</f>
        <v>36580</v>
      </c>
      <c r="B25981" s="1" t="str">
        <f>"12116"</f>
        <v>12116</v>
      </c>
      <c r="C25981" s="2">
        <v>3.4537237755814298E-2</v>
      </c>
      <c r="D25981" s="2">
        <v>5.17866390471258E-3</v>
      </c>
      <c r="E25981" s="2">
        <v>6.7829457364340998E-3</v>
      </c>
      <c r="F25981" s="2">
        <v>3.1709741550695801E-2</v>
      </c>
    </row>
    <row r="25982" spans="1:6" x14ac:dyDescent="0.25">
      <c r="A25982" s="1" t="str">
        <f t="shared" si="940"/>
        <v>36580</v>
      </c>
      <c r="B25982" s="1" t="str">
        <f>"13861"</f>
        <v>13861</v>
      </c>
      <c r="C25982" s="2">
        <v>4.9233934673182196E-3</v>
      </c>
      <c r="D25982" s="2">
        <v>2.07146556188503E-3</v>
      </c>
      <c r="E25982" s="2">
        <v>9.6899224806201495E-4</v>
      </c>
      <c r="F25982" s="2">
        <v>4.6056991385023099E-3</v>
      </c>
    </row>
    <row r="25983" spans="1:6" x14ac:dyDescent="0.25">
      <c r="A25983" s="1" t="str">
        <f t="shared" si="940"/>
        <v>36580</v>
      </c>
      <c r="B25983" s="1" t="str">
        <f>"13411"</f>
        <v>13411</v>
      </c>
      <c r="C25983" s="2">
        <v>2.4176066429070001E-2</v>
      </c>
      <c r="D25983" s="2">
        <v>8.8037286380113905E-3</v>
      </c>
      <c r="E25983" s="2">
        <v>7.7519379844961196E-3</v>
      </c>
      <c r="F25983" s="2">
        <v>2.2630881378396198E-2</v>
      </c>
    </row>
    <row r="25984" spans="1:6" x14ac:dyDescent="0.25">
      <c r="A25984" s="1" t="str">
        <f t="shared" si="940"/>
        <v>36580</v>
      </c>
      <c r="B25984" s="1" t="str">
        <f>"13485"</f>
        <v>13485</v>
      </c>
      <c r="C25984" s="2">
        <v>3.7843994562222101E-3</v>
      </c>
      <c r="D25984" s="2">
        <v>2.07146556188503E-3</v>
      </c>
      <c r="E25984" s="2">
        <v>9.6899224806201495E-4</v>
      </c>
      <c r="F25984" s="2">
        <v>3.57852882703777E-3</v>
      </c>
    </row>
    <row r="25985" spans="1:6" x14ac:dyDescent="0.25">
      <c r="A25985" s="1" t="str">
        <f t="shared" si="940"/>
        <v>36580</v>
      </c>
      <c r="B25985" s="1" t="str">
        <f>"13820"</f>
        <v>13820</v>
      </c>
      <c r="C25985" s="2">
        <v>0.328103758680236</v>
      </c>
      <c r="D25985" s="2">
        <v>0.639047125841532</v>
      </c>
      <c r="E25985" s="2">
        <v>0.53972868217054204</v>
      </c>
      <c r="F25985" s="2">
        <v>0.35523525513585102</v>
      </c>
    </row>
    <row r="25986" spans="1:6" x14ac:dyDescent="0.25">
      <c r="A25986" s="1" t="str">
        <f t="shared" si="940"/>
        <v>36580</v>
      </c>
      <c r="B25986" s="1" t="str">
        <f>"13439"</f>
        <v>13439</v>
      </c>
      <c r="C25986" s="2">
        <v>5.0078994745930798E-2</v>
      </c>
      <c r="D25986" s="2">
        <v>2.3303987571206601E-2</v>
      </c>
      <c r="E25986" s="2">
        <v>3.9728682170542602E-2</v>
      </c>
      <c r="F25986" s="2">
        <v>4.8011928429423402E-2</v>
      </c>
    </row>
    <row r="25987" spans="1:6" x14ac:dyDescent="0.25">
      <c r="A25987" s="1" t="str">
        <f t="shared" si="940"/>
        <v>36580</v>
      </c>
      <c r="B25987" s="1" t="str">
        <f>"13468"</f>
        <v>13468</v>
      </c>
      <c r="C25987" s="2">
        <v>4.2987838483300803E-3</v>
      </c>
      <c r="D25987" s="2">
        <v>5.17866390471258E-3</v>
      </c>
      <c r="E25987" s="2">
        <v>9.6899224806201495E-4</v>
      </c>
      <c r="F25987" s="2">
        <v>4.2412193505632799E-3</v>
      </c>
    </row>
    <row r="25988" spans="1:6" x14ac:dyDescent="0.25">
      <c r="A25988" s="1" t="str">
        <f t="shared" si="940"/>
        <v>36580</v>
      </c>
      <c r="B25988" s="1" t="str">
        <f>"12064"</f>
        <v>12064</v>
      </c>
      <c r="C25988" s="2">
        <v>5.69497005548003E-3</v>
      </c>
      <c r="D25988" s="2">
        <v>1.03573278094251E-3</v>
      </c>
      <c r="E25988" s="2">
        <v>9.6899224806201495E-4</v>
      </c>
      <c r="F25988" s="2">
        <v>5.2352551358515499E-3</v>
      </c>
    </row>
    <row r="25989" spans="1:6" x14ac:dyDescent="0.25">
      <c r="A25989" s="1" t="str">
        <f t="shared" si="940"/>
        <v>36580</v>
      </c>
      <c r="B25989" s="1" t="str">
        <f>"12197"</f>
        <v>12197</v>
      </c>
      <c r="C25989" s="2">
        <v>3.6962192747180003E-2</v>
      </c>
      <c r="D25989" s="2">
        <v>9.3215950284826505E-3</v>
      </c>
      <c r="E25989" s="2">
        <v>1.0658914728682099E-2</v>
      </c>
      <c r="F25989" s="2">
        <v>3.4294234592445301E-2</v>
      </c>
    </row>
    <row r="25990" spans="1:6" x14ac:dyDescent="0.25">
      <c r="A25990" s="1" t="str">
        <f t="shared" si="940"/>
        <v>36580</v>
      </c>
      <c r="B25990" s="1" t="str">
        <f>"13335"</f>
        <v>13335</v>
      </c>
      <c r="C25990" s="2">
        <v>2.21552706029319E-2</v>
      </c>
      <c r="D25990" s="2">
        <v>1.5018125323666399E-2</v>
      </c>
      <c r="E25990" s="2">
        <v>1.8410852713178199E-2</v>
      </c>
      <c r="F25990" s="2">
        <v>2.15705765407554E-2</v>
      </c>
    </row>
    <row r="25991" spans="1:6" x14ac:dyDescent="0.25">
      <c r="A25991" s="1" t="str">
        <f t="shared" si="940"/>
        <v>36580</v>
      </c>
      <c r="B25991" s="1" t="str">
        <f>"13342"</f>
        <v>13342</v>
      </c>
      <c r="C25991" s="2">
        <v>3.4169820332880102E-3</v>
      </c>
      <c r="D25991" s="2">
        <v>2.07146556188503E-3</v>
      </c>
      <c r="E25991" s="2">
        <v>9.6899224806201495E-4</v>
      </c>
      <c r="F25991" s="2">
        <v>3.2471835652750098E-3</v>
      </c>
    </row>
    <row r="25992" spans="1:6" x14ac:dyDescent="0.25">
      <c r="A25992" s="1" t="str">
        <f t="shared" si="940"/>
        <v>36580</v>
      </c>
      <c r="B25992" s="1" t="str">
        <f>"13315"</f>
        <v>13315</v>
      </c>
      <c r="C25992" s="2">
        <v>2.2559429768159601E-2</v>
      </c>
      <c r="D25992" s="2">
        <v>8.2858622475401305E-3</v>
      </c>
      <c r="E25992" s="2">
        <v>9.6899224806201495E-4</v>
      </c>
      <c r="F25992" s="2">
        <v>2.0907886017229899E-2</v>
      </c>
    </row>
    <row r="25993" spans="1:6" x14ac:dyDescent="0.25">
      <c r="A25993" s="1" t="str">
        <f t="shared" si="940"/>
        <v>36580</v>
      </c>
      <c r="B25993" s="1" t="str">
        <f>"13807"</f>
        <v>13807</v>
      </c>
      <c r="C25993" s="2">
        <v>1.7048168424146599E-2</v>
      </c>
      <c r="D25993" s="2">
        <v>8.2858622475401305E-3</v>
      </c>
      <c r="E25993" s="2">
        <v>4.8449612403100696E-3</v>
      </c>
      <c r="F25993" s="2">
        <v>1.6070245195493701E-2</v>
      </c>
    </row>
    <row r="25994" spans="1:6" x14ac:dyDescent="0.25">
      <c r="A25994" s="1" t="str">
        <f t="shared" si="940"/>
        <v>36580</v>
      </c>
      <c r="B25994" s="1" t="str">
        <f>"13459"</f>
        <v>13459</v>
      </c>
      <c r="C25994" s="2">
        <v>1.46966969173678E-4</v>
      </c>
      <c r="D25994" s="2">
        <v>0</v>
      </c>
      <c r="E25994" s="2">
        <v>0</v>
      </c>
      <c r="F25994" s="2">
        <v>1.3253810470510201E-4</v>
      </c>
    </row>
    <row r="25995" spans="1:6" x14ac:dyDescent="0.25">
      <c r="A25995" s="1" t="str">
        <f t="shared" si="940"/>
        <v>36580</v>
      </c>
      <c r="B25995" s="1" t="str">
        <f>"12149"</f>
        <v>12149</v>
      </c>
      <c r="C25995" s="2">
        <v>1.24921923797626E-3</v>
      </c>
      <c r="D25995" s="2">
        <v>0</v>
      </c>
      <c r="E25995" s="2">
        <v>0</v>
      </c>
      <c r="F25995" s="2">
        <v>1.1265738899933701E-3</v>
      </c>
    </row>
    <row r="25996" spans="1:6" x14ac:dyDescent="0.25">
      <c r="A25996" s="1" t="str">
        <f t="shared" si="940"/>
        <v>36580</v>
      </c>
      <c r="B25996" s="1" t="str">
        <f>"13482"</f>
        <v>13482</v>
      </c>
      <c r="C25996" s="2">
        <v>9.1854355733548805E-4</v>
      </c>
      <c r="D25996" s="2">
        <v>3.10719834282755E-3</v>
      </c>
      <c r="E25996" s="2">
        <v>0</v>
      </c>
      <c r="F25996" s="2">
        <v>1.0271703114645399E-3</v>
      </c>
    </row>
    <row r="25997" spans="1:6" x14ac:dyDescent="0.25">
      <c r="A25997" s="1" t="str">
        <f t="shared" si="940"/>
        <v>36580</v>
      </c>
      <c r="B25997" s="1" t="str">
        <f>"13333"</f>
        <v>13333</v>
      </c>
      <c r="C25997" s="2">
        <v>1.7636036300841299E-3</v>
      </c>
      <c r="D25997" s="2">
        <v>3.10719834282755E-3</v>
      </c>
      <c r="E25997" s="2">
        <v>9.6899224806201495E-4</v>
      </c>
      <c r="F25997" s="2">
        <v>1.82239893969516E-3</v>
      </c>
    </row>
    <row r="25998" spans="1:6" x14ac:dyDescent="0.25">
      <c r="A25998" s="1" t="str">
        <f t="shared" si="940"/>
        <v>36580</v>
      </c>
      <c r="B25998" s="1" t="str">
        <f>"13776"</f>
        <v>13776</v>
      </c>
      <c r="C25998" s="2">
        <v>3.0128228680604001E-3</v>
      </c>
      <c r="D25998" s="2">
        <v>1.03573278094251E-3</v>
      </c>
      <c r="E25998" s="2">
        <v>9.6899224806201495E-4</v>
      </c>
      <c r="F25998" s="2">
        <v>2.8164347249834301E-3</v>
      </c>
    </row>
    <row r="25999" spans="1:6" x14ac:dyDescent="0.25">
      <c r="A25999" s="1" t="str">
        <f t="shared" si="940"/>
        <v>36580</v>
      </c>
      <c r="B25999" s="1" t="str">
        <f>"13491"</f>
        <v>13491</v>
      </c>
      <c r="C25999" s="2">
        <v>2.0354925230554401E-2</v>
      </c>
      <c r="D25999" s="2">
        <v>3.10719834282755E-3</v>
      </c>
      <c r="E25999" s="2">
        <v>5.8139534883720903E-3</v>
      </c>
      <c r="F25999" s="2">
        <v>1.8754141815772001E-2</v>
      </c>
    </row>
    <row r="26000" spans="1:6" x14ac:dyDescent="0.25">
      <c r="A26000" s="1" t="str">
        <f t="shared" si="940"/>
        <v>36580</v>
      </c>
      <c r="B26000" s="1" t="str">
        <f>"13843"</f>
        <v>13843</v>
      </c>
      <c r="C26000" s="2">
        <v>1.4806922144248001E-2</v>
      </c>
      <c r="D26000" s="2">
        <v>0</v>
      </c>
      <c r="E26000" s="2">
        <v>5.8139534883720903E-3</v>
      </c>
      <c r="F26000" s="2">
        <v>1.35520212060967E-2</v>
      </c>
    </row>
    <row r="26001" spans="1:6" x14ac:dyDescent="0.25">
      <c r="A26001" s="1" t="str">
        <f t="shared" si="940"/>
        <v>36580</v>
      </c>
      <c r="B26001" s="1" t="str">
        <f>"12043"</f>
        <v>12043</v>
      </c>
      <c r="C26001" s="2">
        <v>1.10225226880258E-4</v>
      </c>
      <c r="D26001" s="2">
        <v>0</v>
      </c>
      <c r="E26001" s="2">
        <v>0</v>
      </c>
      <c r="F26001" s="2">
        <v>9.9403578528827E-5</v>
      </c>
    </row>
    <row r="26002" spans="1:6" x14ac:dyDescent="0.25">
      <c r="A26002" s="1" t="str">
        <f t="shared" si="940"/>
        <v>36580</v>
      </c>
      <c r="B26002" s="1" t="str">
        <f>"13750"</f>
        <v>13750</v>
      </c>
      <c r="C26002" s="2">
        <v>4.77642649814454E-4</v>
      </c>
      <c r="D26002" s="2">
        <v>0</v>
      </c>
      <c r="E26002" s="2">
        <v>0</v>
      </c>
      <c r="F26002" s="2">
        <v>4.3074884029158301E-4</v>
      </c>
    </row>
    <row r="26003" spans="1:6" x14ac:dyDescent="0.25">
      <c r="A26003" s="1" t="str">
        <f t="shared" si="940"/>
        <v>36580</v>
      </c>
      <c r="B26003" s="1" t="str">
        <f>"13849"</f>
        <v>13849</v>
      </c>
      <c r="C26003" s="2">
        <v>5.2687658448763601E-2</v>
      </c>
      <c r="D26003" s="2">
        <v>1.8643190056965301E-2</v>
      </c>
      <c r="E26003" s="2">
        <v>3.2945736434108502E-2</v>
      </c>
      <c r="F26003" s="2">
        <v>4.9834327369118601E-2</v>
      </c>
    </row>
    <row r="26004" spans="1:6" x14ac:dyDescent="0.25">
      <c r="A26004" s="1" t="str">
        <f t="shared" si="940"/>
        <v>36580</v>
      </c>
      <c r="B26004" s="1" t="str">
        <f>"13747"</f>
        <v>13747</v>
      </c>
      <c r="C26004" s="2">
        <v>0</v>
      </c>
      <c r="D26004" s="2">
        <v>0</v>
      </c>
      <c r="E26004" s="2">
        <v>9.6899224806201495E-4</v>
      </c>
      <c r="F26004" s="2">
        <v>3.3134526176275597E-5</v>
      </c>
    </row>
    <row r="26005" spans="1:6" x14ac:dyDescent="0.25">
      <c r="A26005" s="1" t="str">
        <f t="shared" si="940"/>
        <v>36580</v>
      </c>
      <c r="B26005" s="1" t="str">
        <f>"13457"</f>
        <v>13457</v>
      </c>
      <c r="C26005" s="2">
        <v>3.1597898372340799E-3</v>
      </c>
      <c r="D26005" s="2">
        <v>0</v>
      </c>
      <c r="E26005" s="2">
        <v>9.6899224806201495E-4</v>
      </c>
      <c r="F26005" s="2">
        <v>2.8827037773359798E-3</v>
      </c>
    </row>
    <row r="26006" spans="1:6" x14ac:dyDescent="0.25">
      <c r="A26006" s="1" t="str">
        <f t="shared" si="940"/>
        <v>36580</v>
      </c>
      <c r="B26006" s="1" t="str">
        <f>"13838"</f>
        <v>13838</v>
      </c>
      <c r="C26006" s="2">
        <v>3.4169820332880102E-3</v>
      </c>
      <c r="D26006" s="2">
        <v>9.8394614189539001E-3</v>
      </c>
      <c r="E26006" s="2">
        <v>5.8139534883720903E-3</v>
      </c>
      <c r="F26006" s="2">
        <v>3.9098740888005301E-3</v>
      </c>
    </row>
    <row r="26007" spans="1:6" x14ac:dyDescent="0.25">
      <c r="A26007" s="1" t="str">
        <f t="shared" si="940"/>
        <v>36580</v>
      </c>
      <c r="B26007" s="1" t="str">
        <f>"13450"</f>
        <v>13450</v>
      </c>
      <c r="C26007" s="2">
        <v>3.67417422934195E-3</v>
      </c>
      <c r="D26007" s="2">
        <v>0</v>
      </c>
      <c r="E26007" s="2">
        <v>9.6899224806201495E-4</v>
      </c>
      <c r="F26007" s="2">
        <v>3.3465871438038402E-3</v>
      </c>
    </row>
    <row r="26008" spans="1:6" x14ac:dyDescent="0.25">
      <c r="A26008" s="1" t="str">
        <f t="shared" si="940"/>
        <v>36580</v>
      </c>
      <c r="B26008" s="1" t="str">
        <f>"13488"</f>
        <v>13488</v>
      </c>
      <c r="C26008" s="2">
        <v>2.8291141565933002E-3</v>
      </c>
      <c r="D26008" s="2">
        <v>1.03573278094251E-3</v>
      </c>
      <c r="E26008" s="2">
        <v>9.6899224806201495E-4</v>
      </c>
      <c r="F26008" s="2">
        <v>2.65076209410205E-3</v>
      </c>
    </row>
    <row r="26009" spans="1:6" x14ac:dyDescent="0.25">
      <c r="A26009" s="1" t="str">
        <f t="shared" si="940"/>
        <v>36580</v>
      </c>
      <c r="B26009" s="1" t="str">
        <f>"13326"</f>
        <v>13326</v>
      </c>
      <c r="C26009" s="2">
        <v>0.10361171326744301</v>
      </c>
      <c r="D26009" s="2">
        <v>0.18280683583635399</v>
      </c>
      <c r="E26009" s="2">
        <v>0.21802325581395299</v>
      </c>
      <c r="F26009" s="2">
        <v>0.11259111994698399</v>
      </c>
    </row>
    <row r="26010" spans="1:6" x14ac:dyDescent="0.25">
      <c r="A26010" s="1" t="str">
        <f t="shared" si="940"/>
        <v>36580</v>
      </c>
      <c r="B26010" s="1" t="str">
        <f>"13337"</f>
        <v>13337</v>
      </c>
      <c r="C26010" s="2">
        <v>1.2712642833523099E-2</v>
      </c>
      <c r="D26010" s="2">
        <v>7.2501294665976096E-3</v>
      </c>
      <c r="E26010" s="2">
        <v>3.8759689922480598E-3</v>
      </c>
      <c r="F26010" s="2">
        <v>1.2060967528164299E-2</v>
      </c>
    </row>
    <row r="26011" spans="1:6" x14ac:dyDescent="0.25">
      <c r="A26011" s="1" t="str">
        <f t="shared" si="940"/>
        <v>36580</v>
      </c>
      <c r="B26011" s="1" t="str">
        <f>"13320"</f>
        <v>13320</v>
      </c>
      <c r="C26011" s="2">
        <v>3.0018003453723699E-2</v>
      </c>
      <c r="D26011" s="2">
        <v>5.17866390471258E-3</v>
      </c>
      <c r="E26011" s="2">
        <v>6.7829457364340998E-3</v>
      </c>
      <c r="F26011" s="2">
        <v>2.7634194831013901E-2</v>
      </c>
    </row>
    <row r="26012" spans="1:6" x14ac:dyDescent="0.25">
      <c r="A26012" s="1" t="str">
        <f t="shared" si="940"/>
        <v>36580</v>
      </c>
      <c r="B26012" s="1" t="str">
        <f>"13825"</f>
        <v>13825</v>
      </c>
      <c r="C26012" s="2">
        <v>5.1071021787853103E-2</v>
      </c>
      <c r="D26012" s="2">
        <v>9.8394614189539001E-3</v>
      </c>
      <c r="E26012" s="2">
        <v>1.4534883720930199E-2</v>
      </c>
      <c r="F26012" s="2">
        <v>4.7183565275016499E-2</v>
      </c>
    </row>
    <row r="26013" spans="1:6" x14ac:dyDescent="0.25">
      <c r="A26013" s="1" t="str">
        <f t="shared" si="940"/>
        <v>36580</v>
      </c>
      <c r="B26013" s="1" t="str">
        <f>"12155"</f>
        <v>12155</v>
      </c>
      <c r="C26013" s="2">
        <v>2.6123378770621299E-2</v>
      </c>
      <c r="D26013" s="2">
        <v>3.10719834282755E-3</v>
      </c>
      <c r="E26013" s="2">
        <v>1.25968992248062E-2</v>
      </c>
      <c r="F26013" s="2">
        <v>2.4188204108681201E-2</v>
      </c>
    </row>
    <row r="26014" spans="1:6" x14ac:dyDescent="0.25">
      <c r="A26014" s="1" t="str">
        <f t="shared" si="940"/>
        <v>36580</v>
      </c>
      <c r="B26014" s="1" t="str">
        <f>"13859"</f>
        <v>13859</v>
      </c>
      <c r="C26014" s="2">
        <v>1.9473123415512301E-3</v>
      </c>
      <c r="D26014" s="2">
        <v>0</v>
      </c>
      <c r="E26014" s="2">
        <v>4.8449612403100696E-3</v>
      </c>
      <c r="F26014" s="2">
        <v>1.92180251822398E-3</v>
      </c>
    </row>
    <row r="26015" spans="1:6" x14ac:dyDescent="0.25">
      <c r="A26015" s="1" t="str">
        <f t="shared" si="940"/>
        <v>36580</v>
      </c>
      <c r="B26015" s="1" t="str">
        <f>"13317"</f>
        <v>13317</v>
      </c>
      <c r="C26015" s="2">
        <v>9.1854355733548805E-4</v>
      </c>
      <c r="D26015" s="2">
        <v>0</v>
      </c>
      <c r="E26015" s="2">
        <v>0</v>
      </c>
      <c r="F26015" s="2">
        <v>8.2836315440689096E-4</v>
      </c>
    </row>
    <row r="26016" spans="1:6" x14ac:dyDescent="0.25">
      <c r="A26016" s="1" t="str">
        <f t="shared" si="940"/>
        <v>36580</v>
      </c>
      <c r="B26016" s="1" t="str">
        <f>"13415"</f>
        <v>13415</v>
      </c>
      <c r="C26016" s="2">
        <v>1.5798949186170399E-3</v>
      </c>
      <c r="D26016" s="2">
        <v>0</v>
      </c>
      <c r="E26016" s="2">
        <v>9.6899224806201495E-4</v>
      </c>
      <c r="F26016" s="2">
        <v>1.4579191517561201E-3</v>
      </c>
    </row>
    <row r="26017" spans="1:6" x14ac:dyDescent="0.25">
      <c r="A26017" s="1" t="str">
        <f t="shared" si="940"/>
        <v>36580</v>
      </c>
      <c r="B26017" s="1" t="str">
        <f>"13361"</f>
        <v>13361</v>
      </c>
      <c r="C26017" s="2">
        <v>2.5351802182459401E-3</v>
      </c>
      <c r="D26017" s="2">
        <v>5.1786639047125805E-4</v>
      </c>
      <c r="E26017" s="2">
        <v>0</v>
      </c>
      <c r="F26017" s="2">
        <v>2.3194168323392899E-3</v>
      </c>
    </row>
    <row r="26018" spans="1:6" x14ac:dyDescent="0.25">
      <c r="A26018" s="1" t="str">
        <f t="shared" si="940"/>
        <v>36580</v>
      </c>
      <c r="B26018" s="1" t="str">
        <f>"13809"</f>
        <v>13809</v>
      </c>
      <c r="C26018" s="2">
        <v>9.6630782231693392E-3</v>
      </c>
      <c r="D26018" s="2">
        <v>1.03573278094251E-3</v>
      </c>
      <c r="E26018" s="2">
        <v>1.9379844961240299E-3</v>
      </c>
      <c r="F26018" s="2">
        <v>8.8469184890655993E-3</v>
      </c>
    </row>
    <row r="26019" spans="1:6" x14ac:dyDescent="0.25">
      <c r="A26019" s="1" t="str">
        <f t="shared" si="940"/>
        <v>36580</v>
      </c>
      <c r="B26019" s="1" t="str">
        <f>"13796"</f>
        <v>13796</v>
      </c>
      <c r="C26019" s="2">
        <v>1.83341294044163E-2</v>
      </c>
      <c r="D26019" s="2">
        <v>5.17866390471258E-3</v>
      </c>
      <c r="E26019" s="2">
        <v>1.4534883720930199E-2</v>
      </c>
      <c r="F26019" s="2">
        <v>1.7362491716368399E-2</v>
      </c>
    </row>
    <row r="26020" spans="1:6" x14ac:dyDescent="0.25">
      <c r="A26020" s="1" t="str">
        <f t="shared" si="940"/>
        <v>36580</v>
      </c>
      <c r="B26020" s="1" t="str">
        <f>"13808"</f>
        <v>13808</v>
      </c>
      <c r="C26020" s="2">
        <v>2.5425285667046299E-2</v>
      </c>
      <c r="D26020" s="2">
        <v>3.10719834282755E-3</v>
      </c>
      <c r="E26020" s="2">
        <v>4.8449612403100696E-3</v>
      </c>
      <c r="F26020" s="2">
        <v>2.32935719019218E-2</v>
      </c>
    </row>
    <row r="26021" spans="1:6" x14ac:dyDescent="0.25">
      <c r="A26021" s="1" t="str">
        <f t="shared" si="940"/>
        <v>36580</v>
      </c>
      <c r="B26021" s="1" t="str">
        <f>"13810"</f>
        <v>13810</v>
      </c>
      <c r="C26021" s="2">
        <v>1.8848513796524202E-2</v>
      </c>
      <c r="D26021" s="2">
        <v>3.10719834282755E-3</v>
      </c>
      <c r="E26021" s="2">
        <v>1.35658914728682E-2</v>
      </c>
      <c r="F26021" s="2">
        <v>1.7660702451954901E-2</v>
      </c>
    </row>
    <row r="26022" spans="1:6" x14ac:dyDescent="0.25">
      <c r="A26022" s="1" t="str">
        <f t="shared" si="940"/>
        <v>36580</v>
      </c>
      <c r="B26022" s="1" t="str">
        <f>"13834"</f>
        <v>13834</v>
      </c>
      <c r="C26022" s="2">
        <v>3.7843994562222101E-3</v>
      </c>
      <c r="D26022" s="2">
        <v>1.03573278094251E-3</v>
      </c>
      <c r="E26022" s="2">
        <v>8.7209302325581307E-3</v>
      </c>
      <c r="F26022" s="2">
        <v>3.7773359840954199E-3</v>
      </c>
    </row>
    <row r="26023" spans="1:6" x14ac:dyDescent="0.25">
      <c r="A26023" s="1" t="str">
        <f t="shared" si="940"/>
        <v>36580</v>
      </c>
      <c r="B26023" s="1" t="str">
        <f>"13733"</f>
        <v>13733</v>
      </c>
      <c r="C26023" s="2">
        <v>3.1965315795275001E-3</v>
      </c>
      <c r="D26023" s="2">
        <v>2.07146556188503E-3</v>
      </c>
      <c r="E26023" s="2">
        <v>0</v>
      </c>
      <c r="F26023" s="2">
        <v>3.01524188204108E-3</v>
      </c>
    </row>
    <row r="26024" spans="1:6" x14ac:dyDescent="0.25">
      <c r="A26024" s="1" t="str">
        <f t="shared" si="940"/>
        <v>36580</v>
      </c>
      <c r="B26024" s="1" t="str">
        <f>"12036"</f>
        <v>12036</v>
      </c>
      <c r="C26024" s="2">
        <v>8.8180181504206897E-4</v>
      </c>
      <c r="D26024" s="2">
        <v>0</v>
      </c>
      <c r="E26024" s="2">
        <v>0</v>
      </c>
      <c r="F26024" s="2">
        <v>7.95228628230616E-4</v>
      </c>
    </row>
    <row r="26025" spans="1:6" x14ac:dyDescent="0.25">
      <c r="A26025" s="1" t="str">
        <f t="shared" si="940"/>
        <v>36580</v>
      </c>
      <c r="B26025" s="1" t="str">
        <f>"13775"</f>
        <v>13775</v>
      </c>
      <c r="C26025" s="2">
        <v>7.3483484586839095E-5</v>
      </c>
      <c r="D26025" s="2">
        <v>0</v>
      </c>
      <c r="E26025" s="2">
        <v>0</v>
      </c>
      <c r="F26025" s="2">
        <v>6.6269052352551302E-5</v>
      </c>
    </row>
    <row r="26026" spans="1:6" x14ac:dyDescent="0.25">
      <c r="A26026" s="1" t="str">
        <f t="shared" si="940"/>
        <v>36580</v>
      </c>
      <c r="B26026" s="1" t="str">
        <f>"13348"</f>
        <v>13348</v>
      </c>
      <c r="C26026" s="2">
        <v>2.2926847191093801E-2</v>
      </c>
      <c r="D26026" s="2">
        <v>6.2143966856551E-3</v>
      </c>
      <c r="E26026" s="2">
        <v>4.8449612403100696E-3</v>
      </c>
      <c r="F26026" s="2">
        <v>2.1239231278992701E-2</v>
      </c>
    </row>
    <row r="26027" spans="1:6" x14ac:dyDescent="0.25">
      <c r="A26027" s="1" t="str">
        <f t="shared" ref="A26027:A26045" si="941">"36620"</f>
        <v>36620</v>
      </c>
      <c r="B26027" s="1" t="str">
        <f>"97913"</f>
        <v>97913</v>
      </c>
      <c r="C26027" s="2">
        <v>8.6655929606787904E-2</v>
      </c>
      <c r="D26027" s="2">
        <v>6.6467513069454795E-2</v>
      </c>
      <c r="E26027" s="2">
        <v>7.1428571428571397E-2</v>
      </c>
      <c r="F26027" s="2">
        <v>8.4423924740514397E-2</v>
      </c>
    </row>
    <row r="26028" spans="1:6" x14ac:dyDescent="0.25">
      <c r="A26028" s="1" t="str">
        <f t="shared" si="941"/>
        <v>36620</v>
      </c>
      <c r="B26028" s="1" t="str">
        <f>"97918"</f>
        <v>97918</v>
      </c>
      <c r="C26028" s="2">
        <v>8.33955297167773E-2</v>
      </c>
      <c r="D26028" s="2">
        <v>5.8999253174010398E-2</v>
      </c>
      <c r="E26028" s="2">
        <v>6.3988095238095205E-2</v>
      </c>
      <c r="F26028" s="2">
        <v>8.0674835977366605E-2</v>
      </c>
    </row>
    <row r="26029" spans="1:6" x14ac:dyDescent="0.25">
      <c r="A26029" s="1" t="str">
        <f t="shared" si="941"/>
        <v>36620</v>
      </c>
      <c r="B26029" s="1" t="str">
        <f>"97917"</f>
        <v>97917</v>
      </c>
      <c r="C26029" s="2">
        <v>3.53537337471029E-4</v>
      </c>
      <c r="D26029" s="2">
        <v>3.7341299477221799E-4</v>
      </c>
      <c r="E26029" s="2">
        <v>1.48809523809523E-3</v>
      </c>
      <c r="F26029" s="2">
        <v>3.8185163328357602E-4</v>
      </c>
    </row>
    <row r="26030" spans="1:6" x14ac:dyDescent="0.25">
      <c r="A26030" s="1" t="str">
        <f t="shared" si="941"/>
        <v>36620</v>
      </c>
      <c r="B26030" s="1" t="str">
        <f>"97907"</f>
        <v>97907</v>
      </c>
      <c r="C26030" s="2">
        <v>8.6420238048473801E-4</v>
      </c>
      <c r="D26030" s="2">
        <v>1.86706497386109E-3</v>
      </c>
      <c r="E26030" s="2">
        <v>0</v>
      </c>
      <c r="F26030" s="2">
        <v>9.3727219078696105E-4</v>
      </c>
    </row>
    <row r="26031" spans="1:6" x14ac:dyDescent="0.25">
      <c r="A26031" s="1" t="str">
        <f t="shared" si="941"/>
        <v>36620</v>
      </c>
      <c r="B26031" s="1" t="str">
        <f>"97920"</f>
        <v>97920</v>
      </c>
      <c r="C26031" s="2">
        <v>1.06061201241308E-3</v>
      </c>
      <c r="D26031" s="2">
        <v>0</v>
      </c>
      <c r="E26031" s="2">
        <v>1.48809523809523E-3</v>
      </c>
      <c r="F26031" s="2">
        <v>9.7198597563092303E-4</v>
      </c>
    </row>
    <row r="26032" spans="1:6" x14ac:dyDescent="0.25">
      <c r="A26032" s="1" t="str">
        <f t="shared" si="941"/>
        <v>36620</v>
      </c>
      <c r="B26032" s="1" t="str">
        <f>"97903"</f>
        <v>97903</v>
      </c>
      <c r="C26032" s="2">
        <v>2.8282986997682298E-3</v>
      </c>
      <c r="D26032" s="2">
        <v>1.49365197908887E-3</v>
      </c>
      <c r="E26032" s="2">
        <v>2.97619047619047E-3</v>
      </c>
      <c r="F26032" s="2">
        <v>2.7076752178289902E-3</v>
      </c>
    </row>
    <row r="26033" spans="1:6" x14ac:dyDescent="0.25">
      <c r="A26033" s="1" t="str">
        <f t="shared" si="941"/>
        <v>36620</v>
      </c>
      <c r="B26033" s="1" t="str">
        <f>"97909"</f>
        <v>97909</v>
      </c>
      <c r="C26033" s="2">
        <v>1.8069686137408101E-3</v>
      </c>
      <c r="D26033" s="2">
        <v>3.7341299477221799E-4</v>
      </c>
      <c r="E26033" s="2">
        <v>1.48809523809523E-3</v>
      </c>
      <c r="F26033" s="2">
        <v>1.66626167251015E-3</v>
      </c>
    </row>
    <row r="26034" spans="1:6" x14ac:dyDescent="0.25">
      <c r="A26034" s="1" t="str">
        <f t="shared" si="941"/>
        <v>36620</v>
      </c>
      <c r="B26034" s="1" t="str">
        <f>"97914"</f>
        <v>97914</v>
      </c>
      <c r="C26034" s="2">
        <v>0.33079310209372598</v>
      </c>
      <c r="D26034" s="2">
        <v>0.48842419716206098</v>
      </c>
      <c r="E26034" s="2">
        <v>0.483630952380952</v>
      </c>
      <c r="F26034" s="2">
        <v>0.34901239282118901</v>
      </c>
    </row>
    <row r="26035" spans="1:6" x14ac:dyDescent="0.25">
      <c r="A26035" s="1" t="str">
        <f t="shared" si="941"/>
        <v>36620</v>
      </c>
      <c r="B26035" s="1" t="str">
        <f>"97911"</f>
        <v>97911</v>
      </c>
      <c r="C26035" s="2">
        <v>2.00337824566916E-3</v>
      </c>
      <c r="D26035" s="2">
        <v>3.7341299477221799E-4</v>
      </c>
      <c r="E26035" s="2">
        <v>0</v>
      </c>
      <c r="F26035" s="2">
        <v>1.8051168118859899E-3</v>
      </c>
    </row>
    <row r="26036" spans="1:6" x14ac:dyDescent="0.25">
      <c r="A26036" s="1" t="str">
        <f t="shared" si="941"/>
        <v>36620</v>
      </c>
      <c r="B26036" s="1" t="str">
        <f>"83607"</f>
        <v>83607</v>
      </c>
      <c r="C26036" s="2">
        <v>8.1706406882193494E-3</v>
      </c>
      <c r="D26036" s="2">
        <v>3.36071695294996E-3</v>
      </c>
      <c r="E26036" s="2">
        <v>0</v>
      </c>
      <c r="F26036" s="2">
        <v>7.5328913111396504E-3</v>
      </c>
    </row>
    <row r="26037" spans="1:6" x14ac:dyDescent="0.25">
      <c r="A26037" s="1" t="str">
        <f t="shared" si="941"/>
        <v>36620</v>
      </c>
      <c r="B26037" s="1" t="str">
        <f>"97902"</f>
        <v>97902</v>
      </c>
      <c r="C26037" s="2">
        <v>0</v>
      </c>
      <c r="D26037" s="2">
        <v>0</v>
      </c>
      <c r="E26037" s="2">
        <v>1.48809523809523E-3</v>
      </c>
      <c r="F26037" s="2">
        <v>3.47137848439615E-5</v>
      </c>
    </row>
    <row r="26038" spans="1:6" x14ac:dyDescent="0.25">
      <c r="A26038" s="1" t="str">
        <f t="shared" si="941"/>
        <v>36620</v>
      </c>
      <c r="B26038" s="1" t="str">
        <f>"97908"</f>
        <v>97908</v>
      </c>
      <c r="C26038" s="2">
        <v>3.2211179636249302E-3</v>
      </c>
      <c r="D26038" s="2">
        <v>7.4682598954443598E-4</v>
      </c>
      <c r="E26038" s="2">
        <v>1.48809523809523E-3</v>
      </c>
      <c r="F26038" s="2">
        <v>2.9506717117367301E-3</v>
      </c>
    </row>
    <row r="26039" spans="1:6" x14ac:dyDescent="0.25">
      <c r="A26039" s="1" t="str">
        <f t="shared" si="941"/>
        <v>36620</v>
      </c>
      <c r="B26039" s="1" t="str">
        <f>"97906"</f>
        <v>97906</v>
      </c>
      <c r="C26039" s="2">
        <v>5.69587932592214E-3</v>
      </c>
      <c r="D26039" s="2">
        <v>1.1202389843166501E-3</v>
      </c>
      <c r="E26039" s="2">
        <v>0</v>
      </c>
      <c r="F26039" s="2">
        <v>5.1376401569063002E-3</v>
      </c>
    </row>
    <row r="26040" spans="1:6" x14ac:dyDescent="0.25">
      <c r="A26040" s="1" t="str">
        <f t="shared" si="941"/>
        <v>36620</v>
      </c>
      <c r="B26040" s="1" t="str">
        <f>"83660"</f>
        <v>83660</v>
      </c>
      <c r="C26040" s="2">
        <v>1.06846839769022E-2</v>
      </c>
      <c r="D26040" s="2">
        <v>2.6138909634055201E-3</v>
      </c>
      <c r="E26040" s="2">
        <v>1.48809523809523E-3</v>
      </c>
      <c r="F26040" s="2">
        <v>9.7198597563092296E-3</v>
      </c>
    </row>
    <row r="26041" spans="1:6" x14ac:dyDescent="0.25">
      <c r="A26041" s="1" t="str">
        <f t="shared" si="941"/>
        <v>36620</v>
      </c>
      <c r="B26041" s="1" t="str">
        <f>"83655"</f>
        <v>83655</v>
      </c>
      <c r="C26041" s="2">
        <v>7.1846643359390297E-2</v>
      </c>
      <c r="D26041" s="2">
        <v>1.23226288274831E-2</v>
      </c>
      <c r="E26041" s="2">
        <v>4.1666666666666602E-2</v>
      </c>
      <c r="F26041" s="2">
        <v>6.5609053355087293E-2</v>
      </c>
    </row>
    <row r="26042" spans="1:6" x14ac:dyDescent="0.25">
      <c r="A26042" s="1" t="str">
        <f t="shared" si="941"/>
        <v>36620</v>
      </c>
      <c r="B26042" s="1" t="str">
        <f>"83619"</f>
        <v>83619</v>
      </c>
      <c r="C26042" s="2">
        <v>0.16840161841536699</v>
      </c>
      <c r="D26042" s="2">
        <v>0.16019417475728101</v>
      </c>
      <c r="E26042" s="2">
        <v>0.120535714285714</v>
      </c>
      <c r="F26042" s="2">
        <v>0.16652202589648299</v>
      </c>
    </row>
    <row r="26043" spans="1:6" x14ac:dyDescent="0.25">
      <c r="A26043" s="1" t="str">
        <f t="shared" si="941"/>
        <v>36620</v>
      </c>
      <c r="B26043" s="1" t="str">
        <f>"83661"</f>
        <v>83661</v>
      </c>
      <c r="C26043" s="2">
        <v>0.19405271634520899</v>
      </c>
      <c r="D26043" s="2">
        <v>0.19492158327109699</v>
      </c>
      <c r="E26043" s="2">
        <v>0.202380952380952</v>
      </c>
      <c r="F26043" s="2">
        <v>0.194327767556496</v>
      </c>
    </row>
    <row r="26044" spans="1:6" x14ac:dyDescent="0.25">
      <c r="A26044" s="1" t="str">
        <f t="shared" si="941"/>
        <v>36620</v>
      </c>
      <c r="B26044" s="1" t="str">
        <f>"97910"</f>
        <v>97910</v>
      </c>
      <c r="C26044" s="2">
        <v>1.8698196959578799E-2</v>
      </c>
      <c r="D26044" s="2">
        <v>5.6011949215832701E-3</v>
      </c>
      <c r="E26044" s="2">
        <v>2.97619047619047E-3</v>
      </c>
      <c r="F26044" s="2">
        <v>1.7113895928073001E-2</v>
      </c>
    </row>
    <row r="26045" spans="1:6" x14ac:dyDescent="0.25">
      <c r="A26045" s="1" t="str">
        <f t="shared" si="941"/>
        <v>36620</v>
      </c>
      <c r="B26045" s="1" t="str">
        <f>"97901"</f>
        <v>97901</v>
      </c>
      <c r="C26045" s="2">
        <v>9.4669442589464508E-3</v>
      </c>
      <c r="D26045" s="2">
        <v>7.4682598954443598E-4</v>
      </c>
      <c r="E26045" s="2">
        <v>1.48809523809523E-3</v>
      </c>
      <c r="F26045" s="2">
        <v>8.4701635019266107E-3</v>
      </c>
    </row>
    <row r="26046" spans="1:6" x14ac:dyDescent="0.25">
      <c r="A26046" s="1" t="str">
        <f t="shared" ref="A26046:A26065" si="942">"36660"</f>
        <v>36660</v>
      </c>
      <c r="B26046" s="1" t="str">
        <f>"71353"</f>
        <v>71353</v>
      </c>
      <c r="C26046" s="2">
        <v>9.1227125941872895E-3</v>
      </c>
      <c r="D26046" s="2">
        <v>1.4275517487508901E-3</v>
      </c>
      <c r="E26046" s="2">
        <v>6.9637883008356501E-3</v>
      </c>
      <c r="F26046" s="2">
        <v>8.5545722713864306E-3</v>
      </c>
    </row>
    <row r="26047" spans="1:6" x14ac:dyDescent="0.25">
      <c r="A26047" s="1" t="str">
        <f t="shared" si="942"/>
        <v>36660</v>
      </c>
      <c r="B26047" s="1" t="str">
        <f>"70520"</f>
        <v>70520</v>
      </c>
      <c r="C26047" s="2">
        <v>4.6824542518837404E-3</v>
      </c>
      <c r="D26047" s="2">
        <v>1.0706638115631599E-3</v>
      </c>
      <c r="E26047" s="2">
        <v>8.3565459610027808E-3</v>
      </c>
      <c r="F26047" s="2">
        <v>4.49852507374631E-3</v>
      </c>
    </row>
    <row r="26048" spans="1:6" x14ac:dyDescent="0.25">
      <c r="A26048" s="1" t="str">
        <f t="shared" si="942"/>
        <v>36660</v>
      </c>
      <c r="B26048" s="1" t="str">
        <f>"70577"</f>
        <v>70577</v>
      </c>
      <c r="C26048" s="2">
        <v>3.4768568353067797E-2</v>
      </c>
      <c r="D26048" s="2">
        <v>2.1770164168451098E-2</v>
      </c>
      <c r="E26048" s="2">
        <v>1.8105849582172699E-2</v>
      </c>
      <c r="F26048" s="2">
        <v>3.3579154375614498E-2</v>
      </c>
    </row>
    <row r="26049" spans="1:6" x14ac:dyDescent="0.25">
      <c r="A26049" s="1" t="str">
        <f t="shared" si="942"/>
        <v>36660</v>
      </c>
      <c r="B26049" s="1" t="str">
        <f>"70570"</f>
        <v>70570</v>
      </c>
      <c r="C26049" s="2">
        <v>0.48641011840688902</v>
      </c>
      <c r="D26049" s="2">
        <v>0.53104925053533103</v>
      </c>
      <c r="E26049" s="2">
        <v>0.628133704735376</v>
      </c>
      <c r="F26049" s="2">
        <v>0.491986234021632</v>
      </c>
    </row>
    <row r="26050" spans="1:6" x14ac:dyDescent="0.25">
      <c r="A26050" s="1" t="str">
        <f t="shared" si="942"/>
        <v>36660</v>
      </c>
      <c r="B26050" s="1" t="str">
        <f>"71345"</f>
        <v>71345</v>
      </c>
      <c r="C26050" s="2">
        <v>0</v>
      </c>
      <c r="D26050" s="2">
        <v>0</v>
      </c>
      <c r="E26050" s="2">
        <v>1.3927576601671301E-3</v>
      </c>
      <c r="F26050" s="2">
        <v>2.4582104228121901E-5</v>
      </c>
    </row>
    <row r="26051" spans="1:6" x14ac:dyDescent="0.25">
      <c r="A26051" s="1" t="str">
        <f t="shared" si="942"/>
        <v>36660</v>
      </c>
      <c r="B26051" s="1" t="str">
        <f>"70541"</f>
        <v>70541</v>
      </c>
      <c r="C26051" s="2">
        <v>0</v>
      </c>
      <c r="D26051" s="2">
        <v>0</v>
      </c>
      <c r="E26051" s="2">
        <v>1.3927576601671301E-3</v>
      </c>
      <c r="F26051" s="2">
        <v>2.4582104228121901E-5</v>
      </c>
    </row>
    <row r="26052" spans="1:6" x14ac:dyDescent="0.25">
      <c r="A26052" s="1" t="str">
        <f t="shared" si="942"/>
        <v>36660</v>
      </c>
      <c r="B26052" s="1" t="str">
        <f>"70571"</f>
        <v>70571</v>
      </c>
      <c r="C26052" s="2">
        <v>5.0026910656620002E-2</v>
      </c>
      <c r="D26052" s="2">
        <v>0.119557458957887</v>
      </c>
      <c r="E26052" s="2">
        <v>2.7855153203342601E-3</v>
      </c>
      <c r="F26052" s="2">
        <v>5.3982300884955703E-2</v>
      </c>
    </row>
    <row r="26053" spans="1:6" x14ac:dyDescent="0.25">
      <c r="A26053" s="1" t="str">
        <f t="shared" si="942"/>
        <v>36660</v>
      </c>
      <c r="B26053" s="1" t="str">
        <f>"70586"</f>
        <v>70586</v>
      </c>
      <c r="C26053" s="2">
        <v>1.4800861141011799E-3</v>
      </c>
      <c r="D26053" s="2">
        <v>3.56887937187723E-4</v>
      </c>
      <c r="E26053" s="2">
        <v>0</v>
      </c>
      <c r="F26053" s="2">
        <v>1.37659783677482E-3</v>
      </c>
    </row>
    <row r="26054" spans="1:6" x14ac:dyDescent="0.25">
      <c r="A26054" s="1" t="str">
        <f t="shared" si="942"/>
        <v>36660</v>
      </c>
      <c r="B26054" s="1" t="str">
        <f>"71322"</f>
        <v>71322</v>
      </c>
      <c r="C26054" s="2">
        <v>7.2389666307857902E-3</v>
      </c>
      <c r="D26054" s="2">
        <v>2.4982155603140602E-3</v>
      </c>
      <c r="E26054" s="2">
        <v>0</v>
      </c>
      <c r="F26054" s="2">
        <v>6.7846607669616501E-3</v>
      </c>
    </row>
    <row r="26055" spans="1:6" x14ac:dyDescent="0.25">
      <c r="A26055" s="1" t="str">
        <f t="shared" si="942"/>
        <v>36660</v>
      </c>
      <c r="B26055" s="1" t="str">
        <f>"70512"</f>
        <v>70512</v>
      </c>
      <c r="C26055" s="2">
        <v>6.3643702906350894E-2</v>
      </c>
      <c r="D26055" s="2">
        <v>7.1377587437544601E-3</v>
      </c>
      <c r="E26055" s="2">
        <v>8.3565459610027808E-3</v>
      </c>
      <c r="F26055" s="2">
        <v>5.8775811209439498E-2</v>
      </c>
    </row>
    <row r="26056" spans="1:6" x14ac:dyDescent="0.25">
      <c r="A26056" s="1" t="str">
        <f t="shared" si="942"/>
        <v>36660</v>
      </c>
      <c r="B26056" s="1" t="str">
        <f>"71362"</f>
        <v>71362</v>
      </c>
      <c r="C26056" s="2">
        <v>1.2917115177610301E-3</v>
      </c>
      <c r="D26056" s="2">
        <v>3.56887937187723E-4</v>
      </c>
      <c r="E26056" s="2">
        <v>0</v>
      </c>
      <c r="F26056" s="2">
        <v>1.2045231071779699E-3</v>
      </c>
    </row>
    <row r="26057" spans="1:6" x14ac:dyDescent="0.25">
      <c r="A26057" s="1" t="str">
        <f t="shared" si="942"/>
        <v>36660</v>
      </c>
      <c r="B26057" s="1" t="str">
        <f>"70551"</f>
        <v>70551</v>
      </c>
      <c r="C26057" s="2">
        <v>0</v>
      </c>
      <c r="D26057" s="2">
        <v>0</v>
      </c>
      <c r="E26057" s="2">
        <v>1.3927576601671301E-3</v>
      </c>
      <c r="F26057" s="2">
        <v>2.4582104228121901E-5</v>
      </c>
    </row>
    <row r="26058" spans="1:6" x14ac:dyDescent="0.25">
      <c r="A26058" s="1" t="str">
        <f t="shared" si="942"/>
        <v>36660</v>
      </c>
      <c r="B26058" s="1" t="str">
        <f>"70750"</f>
        <v>70750</v>
      </c>
      <c r="C26058" s="2">
        <v>5.70505920344456E-3</v>
      </c>
      <c r="D26058" s="2">
        <v>2.8551034975017801E-3</v>
      </c>
      <c r="E26058" s="2">
        <v>2.7855153203342601E-3</v>
      </c>
      <c r="F26058" s="2">
        <v>5.45722713864306E-3</v>
      </c>
    </row>
    <row r="26059" spans="1:6" x14ac:dyDescent="0.25">
      <c r="A26059" s="1" t="str">
        <f t="shared" si="942"/>
        <v>36660</v>
      </c>
      <c r="B26059" s="1" t="str">
        <f>"70584"</f>
        <v>70584</v>
      </c>
      <c r="C26059" s="2">
        <v>7.9924650161463898E-2</v>
      </c>
      <c r="D26059" s="2">
        <v>4.1399000713775801E-2</v>
      </c>
      <c r="E26059" s="2">
        <v>4.5961002785515299E-2</v>
      </c>
      <c r="F26059" s="2">
        <v>7.6671583087512193E-2</v>
      </c>
    </row>
    <row r="26060" spans="1:6" x14ac:dyDescent="0.25">
      <c r="A26060" s="1" t="str">
        <f t="shared" si="942"/>
        <v>36660</v>
      </c>
      <c r="B26060" s="1" t="str">
        <f>"70589"</f>
        <v>70589</v>
      </c>
      <c r="C26060" s="2">
        <v>3.1969860064585499E-2</v>
      </c>
      <c r="D26060" s="2">
        <v>9.6359743040685206E-3</v>
      </c>
      <c r="E26060" s="2">
        <v>6.9637883008356501E-3</v>
      </c>
      <c r="F26060" s="2">
        <v>2.9990167158308701E-2</v>
      </c>
    </row>
    <row r="26061" spans="1:6" x14ac:dyDescent="0.25">
      <c r="A26061" s="1" t="str">
        <f t="shared" si="942"/>
        <v>36660</v>
      </c>
      <c r="B26061" s="1" t="str">
        <f>"70525"</f>
        <v>70525</v>
      </c>
      <c r="C26061" s="2">
        <v>4.2761033369214198E-2</v>
      </c>
      <c r="D26061" s="2">
        <v>5.7102069950035602E-3</v>
      </c>
      <c r="E26061" s="2">
        <v>1.6713091922005499E-2</v>
      </c>
      <c r="F26061" s="2">
        <v>3.9749262536873102E-2</v>
      </c>
    </row>
    <row r="26062" spans="1:6" x14ac:dyDescent="0.25">
      <c r="A26062" s="1" t="str">
        <f t="shared" si="942"/>
        <v>36660</v>
      </c>
      <c r="B26062" s="1" t="str">
        <f>"71358"</f>
        <v>71358</v>
      </c>
      <c r="C26062" s="2">
        <v>1.07911733046286E-2</v>
      </c>
      <c r="D26062" s="2">
        <v>0</v>
      </c>
      <c r="E26062" s="2">
        <v>1.3927576601671301E-3</v>
      </c>
      <c r="F26062" s="2">
        <v>9.8820058997050094E-3</v>
      </c>
    </row>
    <row r="26063" spans="1:6" x14ac:dyDescent="0.25">
      <c r="A26063" s="1" t="str">
        <f t="shared" si="942"/>
        <v>36660</v>
      </c>
      <c r="B26063" s="1" t="str">
        <f>"71356"</f>
        <v>71356</v>
      </c>
      <c r="C26063" s="2">
        <v>2.8256189451022601E-3</v>
      </c>
      <c r="D26063" s="2">
        <v>3.56887937187723E-4</v>
      </c>
      <c r="E26063" s="2">
        <v>1.3927576601671301E-3</v>
      </c>
      <c r="F26063" s="2">
        <v>2.6302851524090398E-3</v>
      </c>
    </row>
    <row r="26064" spans="1:6" x14ac:dyDescent="0.25">
      <c r="A26064" s="1" t="str">
        <f t="shared" si="942"/>
        <v>36660</v>
      </c>
      <c r="B26064" s="1" t="str">
        <f>"70535"</f>
        <v>70535</v>
      </c>
      <c r="C26064" s="2">
        <v>0.16735737351991301</v>
      </c>
      <c r="D26064" s="2">
        <v>0.25481798715203402</v>
      </c>
      <c r="E26064" s="2">
        <v>0.246518105849582</v>
      </c>
      <c r="F26064" s="2">
        <v>0.17477876106194601</v>
      </c>
    </row>
    <row r="26065" spans="1:6" x14ac:dyDescent="0.25">
      <c r="A26065" s="1" t="str">
        <f t="shared" si="942"/>
        <v>36660</v>
      </c>
      <c r="B26065" s="1" t="str">
        <f>"70550"</f>
        <v>70550</v>
      </c>
      <c r="C26065" s="2">
        <v>0</v>
      </c>
      <c r="D26065" s="2">
        <v>0</v>
      </c>
      <c r="E26065" s="2">
        <v>1.3927576601671301E-3</v>
      </c>
      <c r="F26065" s="2">
        <v>2.4582104228121901E-5</v>
      </c>
    </row>
    <row r="26066" spans="1:6" x14ac:dyDescent="0.25">
      <c r="A26066" s="1" t="str">
        <f t="shared" ref="A26066:A26090" si="943">"36700"</f>
        <v>36700</v>
      </c>
      <c r="B26066" s="1" t="str">
        <f>"29477"</f>
        <v>29477</v>
      </c>
      <c r="C26066" s="2">
        <v>4.3876968978982897E-4</v>
      </c>
      <c r="D26066" s="2">
        <v>2.6260504201680601E-4</v>
      </c>
      <c r="E26066" s="2">
        <v>0</v>
      </c>
      <c r="F26066" s="2">
        <v>4.2250120714630601E-4</v>
      </c>
    </row>
    <row r="26067" spans="1:6" x14ac:dyDescent="0.25">
      <c r="A26067" s="1" t="str">
        <f t="shared" si="943"/>
        <v>36700</v>
      </c>
      <c r="B26067" s="1" t="str">
        <f>"29436"</f>
        <v>29436</v>
      </c>
      <c r="C26067" s="2">
        <v>2.3693563248650702E-3</v>
      </c>
      <c r="D26067" s="2">
        <v>7.8781512605041997E-4</v>
      </c>
      <c r="E26067" s="2">
        <v>0</v>
      </c>
      <c r="F26067" s="2">
        <v>2.2332206663447599E-3</v>
      </c>
    </row>
    <row r="26068" spans="1:6" x14ac:dyDescent="0.25">
      <c r="A26068" s="1" t="str">
        <f t="shared" si="943"/>
        <v>36700</v>
      </c>
      <c r="B26068" s="1" t="str">
        <f>"29030"</f>
        <v>29030</v>
      </c>
      <c r="C26068" s="2">
        <v>5.8795138431837098E-3</v>
      </c>
      <c r="D26068" s="2">
        <v>3.9390756302520999E-3</v>
      </c>
      <c r="E26068" s="2">
        <v>3.1847133757961698E-3</v>
      </c>
      <c r="F26068" s="2">
        <v>5.71382584902623E-3</v>
      </c>
    </row>
    <row r="26069" spans="1:6" x14ac:dyDescent="0.25">
      <c r="A26069" s="1" t="str">
        <f t="shared" si="943"/>
        <v>36700</v>
      </c>
      <c r="B26069" s="1" t="str">
        <f>"29432"</f>
        <v>29432</v>
      </c>
      <c r="C26069" s="2">
        <v>2.7949629239612101E-2</v>
      </c>
      <c r="D26069" s="2">
        <v>1.96953781512605E-2</v>
      </c>
      <c r="E26069" s="2">
        <v>3.8216560509554097E-2</v>
      </c>
      <c r="F26069" s="2">
        <v>2.7382102044100999E-2</v>
      </c>
    </row>
    <row r="26070" spans="1:6" x14ac:dyDescent="0.25">
      <c r="A26070" s="1" t="str">
        <f t="shared" si="943"/>
        <v>36700</v>
      </c>
      <c r="B26070" s="1" t="str">
        <f>"29160"</f>
        <v>29160</v>
      </c>
      <c r="C26070" s="2">
        <v>3.0713878285288E-4</v>
      </c>
      <c r="D26070" s="2">
        <v>0</v>
      </c>
      <c r="E26070" s="2">
        <v>0</v>
      </c>
      <c r="F26070" s="2">
        <v>2.8166747143087002E-4</v>
      </c>
    </row>
    <row r="26071" spans="1:6" x14ac:dyDescent="0.25">
      <c r="A26071" s="1" t="str">
        <f t="shared" si="943"/>
        <v>36700</v>
      </c>
      <c r="B26071" s="1" t="str">
        <f>"29471"</f>
        <v>29471</v>
      </c>
      <c r="C26071" s="2">
        <v>4.6070817427931997E-4</v>
      </c>
      <c r="D26071" s="2">
        <v>2.6260504201680601E-4</v>
      </c>
      <c r="E26071" s="2">
        <v>0</v>
      </c>
      <c r="F26071" s="2">
        <v>4.4262031224851102E-4</v>
      </c>
    </row>
    <row r="26072" spans="1:6" x14ac:dyDescent="0.25">
      <c r="A26072" s="1" t="str">
        <f t="shared" si="943"/>
        <v>36700</v>
      </c>
      <c r="B26072" s="1" t="str">
        <f>"29047"</f>
        <v>29047</v>
      </c>
      <c r="C26072" s="2">
        <v>2.0205344214821602E-2</v>
      </c>
      <c r="D26072" s="2">
        <v>7.6155462184873896E-3</v>
      </c>
      <c r="E26072" s="2">
        <v>3.1847133757961698E-3</v>
      </c>
      <c r="F26072" s="2">
        <v>1.9133268952197E-2</v>
      </c>
    </row>
    <row r="26073" spans="1:6" x14ac:dyDescent="0.25">
      <c r="A26073" s="1" t="str">
        <f t="shared" si="943"/>
        <v>36700</v>
      </c>
      <c r="B26073" s="1" t="str">
        <f>"29163"</f>
        <v>29163</v>
      </c>
      <c r="C26073" s="2">
        <v>2.10390066254223E-2</v>
      </c>
      <c r="D26073" s="2">
        <v>6.5651260504201604E-3</v>
      </c>
      <c r="E26073" s="2">
        <v>0</v>
      </c>
      <c r="F26073" s="2">
        <v>1.9797199420569699E-2</v>
      </c>
    </row>
    <row r="26074" spans="1:6" x14ac:dyDescent="0.25">
      <c r="A26074" s="1" t="str">
        <f t="shared" si="943"/>
        <v>36700</v>
      </c>
      <c r="B26074" s="1" t="str">
        <f>"29107"</f>
        <v>29107</v>
      </c>
      <c r="C26074" s="2">
        <v>3.3258742486068998E-2</v>
      </c>
      <c r="D26074" s="2">
        <v>9.7163865546218402E-3</v>
      </c>
      <c r="E26074" s="2">
        <v>6.3694267515923501E-3</v>
      </c>
      <c r="F26074" s="2">
        <v>3.1285208433928798E-2</v>
      </c>
    </row>
    <row r="26075" spans="1:6" x14ac:dyDescent="0.25">
      <c r="A26075" s="1" t="str">
        <f t="shared" si="943"/>
        <v>36700</v>
      </c>
      <c r="B26075" s="1" t="str">
        <f>"29142"</f>
        <v>29142</v>
      </c>
      <c r="C26075" s="2">
        <v>5.1621254003773397E-2</v>
      </c>
      <c r="D26075" s="2">
        <v>5.6197478991596599E-2</v>
      </c>
      <c r="E26075" s="2">
        <v>6.3694267515923497E-2</v>
      </c>
      <c r="F26075" s="2">
        <v>5.2048124899404399E-2</v>
      </c>
    </row>
    <row r="26076" spans="1:6" x14ac:dyDescent="0.25">
      <c r="A26076" s="1" t="str">
        <f t="shared" si="943"/>
        <v>36700</v>
      </c>
      <c r="B26076" s="1" t="str">
        <f>"29137"</f>
        <v>29137</v>
      </c>
      <c r="C26076" s="2">
        <v>2.7861875301654101E-3</v>
      </c>
      <c r="D26076" s="2">
        <v>2.6260504201680601E-4</v>
      </c>
      <c r="E26076" s="2">
        <v>0</v>
      </c>
      <c r="F26076" s="2">
        <v>2.57524545308224E-3</v>
      </c>
    </row>
    <row r="26077" spans="1:6" x14ac:dyDescent="0.25">
      <c r="A26077" s="1" t="str">
        <f t="shared" si="943"/>
        <v>36700</v>
      </c>
      <c r="B26077" s="1" t="str">
        <f>"29112"</f>
        <v>29112</v>
      </c>
      <c r="C26077" s="2">
        <v>4.4535123513667597E-2</v>
      </c>
      <c r="D26077" s="2">
        <v>1.33928571428571E-2</v>
      </c>
      <c r="E26077" s="2">
        <v>4.1401273885350302E-2</v>
      </c>
      <c r="F26077" s="2">
        <v>4.2129406084017301E-2</v>
      </c>
    </row>
    <row r="26078" spans="1:6" x14ac:dyDescent="0.25">
      <c r="A26078" s="1" t="str">
        <f t="shared" si="943"/>
        <v>36700</v>
      </c>
      <c r="B26078" s="1" t="str">
        <f>"29059"</f>
        <v>29059</v>
      </c>
      <c r="C26078" s="2">
        <v>5.1928392786626199E-2</v>
      </c>
      <c r="D26078" s="2">
        <v>3.4138655462184801E-2</v>
      </c>
      <c r="E26078" s="2">
        <v>5.7324840764331197E-2</v>
      </c>
      <c r="F26078" s="2">
        <v>5.0599549332045697E-2</v>
      </c>
    </row>
    <row r="26079" spans="1:6" x14ac:dyDescent="0.25">
      <c r="A26079" s="1" t="str">
        <f t="shared" si="943"/>
        <v>36700</v>
      </c>
      <c r="B26079" s="1" t="str">
        <f>"29018"</f>
        <v>29018</v>
      </c>
      <c r="C26079" s="2">
        <v>3.3258742486068998E-2</v>
      </c>
      <c r="D26079" s="2">
        <v>1.10294117647058E-2</v>
      </c>
      <c r="E26079" s="2">
        <v>0</v>
      </c>
      <c r="F26079" s="2">
        <v>3.1345565749235402E-2</v>
      </c>
    </row>
    <row r="26080" spans="1:6" x14ac:dyDescent="0.25">
      <c r="A26080" s="1" t="str">
        <f t="shared" si="943"/>
        <v>36700</v>
      </c>
      <c r="B26080" s="1" t="str">
        <f>"29113"</f>
        <v>29113</v>
      </c>
      <c r="C26080" s="2">
        <v>1.5400816111623E-2</v>
      </c>
      <c r="D26080" s="2">
        <v>1.8382352941176401E-3</v>
      </c>
      <c r="E26080" s="2">
        <v>0</v>
      </c>
      <c r="F26080" s="2">
        <v>1.42644455174633E-2</v>
      </c>
    </row>
    <row r="26081" spans="1:6" x14ac:dyDescent="0.25">
      <c r="A26081" s="1" t="str">
        <f t="shared" si="943"/>
        <v>36700</v>
      </c>
      <c r="B26081" s="1" t="str">
        <f>"29038"</f>
        <v>29038</v>
      </c>
      <c r="C26081" s="2">
        <v>2.8125137115527998E-2</v>
      </c>
      <c r="D26081" s="2">
        <v>6.3025210084033598E-3</v>
      </c>
      <c r="E26081" s="2">
        <v>3.8216560509554097E-2</v>
      </c>
      <c r="F26081" s="2">
        <v>2.6516980524706201E-2</v>
      </c>
    </row>
    <row r="26082" spans="1:6" x14ac:dyDescent="0.25">
      <c r="A26082" s="1" t="str">
        <f t="shared" si="943"/>
        <v>36700</v>
      </c>
      <c r="B26082" s="1" t="str">
        <f>"29115"</f>
        <v>29115</v>
      </c>
      <c r="C26082" s="2">
        <v>0.34366635952788299</v>
      </c>
      <c r="D26082" s="2">
        <v>0.52626050420168002</v>
      </c>
      <c r="E26082" s="2">
        <v>0.563694267515923</v>
      </c>
      <c r="F26082" s="2">
        <v>0.35904554965395102</v>
      </c>
    </row>
    <row r="26083" spans="1:6" x14ac:dyDescent="0.25">
      <c r="A26083" s="1" t="str">
        <f t="shared" si="943"/>
        <v>36700</v>
      </c>
      <c r="B26083" s="1" t="str">
        <f>"29118"</f>
        <v>29118</v>
      </c>
      <c r="C26083" s="2">
        <v>0.16045807555614</v>
      </c>
      <c r="D26083" s="2">
        <v>0.11659663865546201</v>
      </c>
      <c r="E26083" s="2">
        <v>0.162420382165605</v>
      </c>
      <c r="F26083" s="2">
        <v>0.15711009174311899</v>
      </c>
    </row>
    <row r="26084" spans="1:6" x14ac:dyDescent="0.25">
      <c r="A26084" s="1" t="str">
        <f t="shared" si="943"/>
        <v>36700</v>
      </c>
      <c r="B26084" s="1" t="str">
        <f>"29116"</f>
        <v>29116</v>
      </c>
      <c r="C26084" s="2">
        <v>3.57377912333815E-2</v>
      </c>
      <c r="D26084" s="2">
        <v>0.14443277310924299</v>
      </c>
      <c r="E26084" s="2">
        <v>6.3694267515923501E-3</v>
      </c>
      <c r="F26084" s="2">
        <v>4.3879768227909198E-2</v>
      </c>
    </row>
    <row r="26085" spans="1:6" x14ac:dyDescent="0.25">
      <c r="A26085" s="1" t="str">
        <f t="shared" si="943"/>
        <v>36700</v>
      </c>
      <c r="B26085" s="1" t="str">
        <f>"29135"</f>
        <v>29135</v>
      </c>
      <c r="C26085" s="2">
        <v>3.4224035803606602E-3</v>
      </c>
      <c r="D26085" s="2">
        <v>5.2521008403361299E-4</v>
      </c>
      <c r="E26085" s="2">
        <v>0</v>
      </c>
      <c r="F26085" s="2">
        <v>3.1788186061483901E-3</v>
      </c>
    </row>
    <row r="26086" spans="1:6" x14ac:dyDescent="0.25">
      <c r="A26086" s="1" t="str">
        <f t="shared" si="943"/>
        <v>36700</v>
      </c>
      <c r="B26086" s="1" t="str">
        <f>"29039"</f>
        <v>29039</v>
      </c>
      <c r="C26086" s="2">
        <v>4.2275459611250003E-2</v>
      </c>
      <c r="D26086" s="2">
        <v>8.6659663865546206E-3</v>
      </c>
      <c r="E26086" s="2">
        <v>0</v>
      </c>
      <c r="F26086" s="2">
        <v>3.9433446000321899E-2</v>
      </c>
    </row>
    <row r="26087" spans="1:6" x14ac:dyDescent="0.25">
      <c r="A26087" s="1" t="str">
        <f t="shared" si="943"/>
        <v>36700</v>
      </c>
      <c r="B26087" s="1" t="str">
        <f>"29048"</f>
        <v>29048</v>
      </c>
      <c r="C26087" s="2">
        <v>5.5219165460049999E-2</v>
      </c>
      <c r="D26087" s="2">
        <v>2.3109243697478899E-2</v>
      </c>
      <c r="E26087" s="2">
        <v>6.3694267515923501E-3</v>
      </c>
      <c r="F26087" s="2">
        <v>5.2450507001448501E-2</v>
      </c>
    </row>
    <row r="26088" spans="1:6" x14ac:dyDescent="0.25">
      <c r="A26088" s="1" t="str">
        <f t="shared" si="943"/>
        <v>36700</v>
      </c>
      <c r="B26088" s="1" t="str">
        <f>"29133"</f>
        <v>29133</v>
      </c>
      <c r="C26088" s="2">
        <v>1.1517704356983001E-2</v>
      </c>
      <c r="D26088" s="2">
        <v>5.5147058823529398E-3</v>
      </c>
      <c r="E26088" s="2">
        <v>6.3694267515923501E-3</v>
      </c>
      <c r="F26088" s="2">
        <v>1.1025269596008301E-2</v>
      </c>
    </row>
    <row r="26089" spans="1:6" x14ac:dyDescent="0.25">
      <c r="A26089" s="1" t="str">
        <f t="shared" si="943"/>
        <v>36700</v>
      </c>
      <c r="B26089" s="1" t="str">
        <f>"29146"</f>
        <v>29146</v>
      </c>
      <c r="C26089" s="2">
        <v>8.1391777456013299E-3</v>
      </c>
      <c r="D26089" s="2">
        <v>2.3634453781512599E-3</v>
      </c>
      <c r="E26089" s="2">
        <v>0</v>
      </c>
      <c r="F26089" s="2">
        <v>7.6452599388379203E-3</v>
      </c>
    </row>
    <row r="26090" spans="1:6" x14ac:dyDescent="0.25">
      <c r="A26090" s="1" t="str">
        <f t="shared" si="943"/>
        <v>36700</v>
      </c>
      <c r="B26090" s="1" t="str">
        <f>"29117"</f>
        <v>29117</v>
      </c>
      <c r="C26090" s="2">
        <v>0</v>
      </c>
      <c r="D26090" s="2">
        <v>5.2521008403361299E-4</v>
      </c>
      <c r="E26090" s="2">
        <v>3.1847133757961698E-3</v>
      </c>
      <c r="F26090" s="2">
        <v>6.0357315306615098E-5</v>
      </c>
    </row>
    <row r="26091" spans="1:6" x14ac:dyDescent="0.25">
      <c r="A26091" s="1" t="str">
        <f t="shared" ref="A26091:A26122" si="944">"36740"</f>
        <v>36740</v>
      </c>
      <c r="B26091" s="1" t="str">
        <f>"32861"</f>
        <v>32861</v>
      </c>
      <c r="C26091" s="2">
        <v>1.32367709637255E-3</v>
      </c>
      <c r="D26091" s="2">
        <v>3.3253218318901601E-3</v>
      </c>
      <c r="E26091" s="2">
        <v>3.1422331851246601E-5</v>
      </c>
      <c r="F26091" s="2">
        <v>1.4402064513139199E-3</v>
      </c>
    </row>
    <row r="26092" spans="1:6" x14ac:dyDescent="0.25">
      <c r="A26092" s="1" t="str">
        <f t="shared" si="944"/>
        <v>36740</v>
      </c>
      <c r="B26092" s="1" t="str">
        <f>"32831"</f>
        <v>32831</v>
      </c>
      <c r="C26092" s="2">
        <v>8.3618262563016804E-5</v>
      </c>
      <c r="D26092" s="2">
        <v>4.1154973166957398E-5</v>
      </c>
      <c r="E26092" s="2">
        <v>3.1422331851246601E-5</v>
      </c>
      <c r="F26092" s="2">
        <v>7.7477169577973805E-5</v>
      </c>
    </row>
    <row r="26093" spans="1:6" x14ac:dyDescent="0.25">
      <c r="A26093" s="1" t="str">
        <f t="shared" si="944"/>
        <v>36740</v>
      </c>
      <c r="B26093" s="1" t="str">
        <f>"34740"</f>
        <v>34740</v>
      </c>
      <c r="C26093" s="2">
        <v>2.84302092714257E-5</v>
      </c>
      <c r="D26093" s="2">
        <v>7.4078951700523406E-5</v>
      </c>
      <c r="E26093" s="2">
        <v>3.1422331851246601E-5</v>
      </c>
      <c r="F26093" s="2">
        <v>3.2583856364568399E-5</v>
      </c>
    </row>
    <row r="26094" spans="1:6" x14ac:dyDescent="0.25">
      <c r="A26094" s="1" t="str">
        <f t="shared" si="944"/>
        <v>36740</v>
      </c>
      <c r="B26094" s="1" t="str">
        <f>"33897"</f>
        <v>33897</v>
      </c>
      <c r="C26094" s="2">
        <v>1.4298722898275801E-4</v>
      </c>
      <c r="D26094" s="2">
        <v>3.2923978533565899E-5</v>
      </c>
      <c r="E26094" s="2">
        <v>3.14223318512466E-4</v>
      </c>
      <c r="F26094" s="2">
        <v>1.4119671091312899E-4</v>
      </c>
    </row>
    <row r="26095" spans="1:6" x14ac:dyDescent="0.25">
      <c r="A26095" s="1" t="str">
        <f t="shared" si="944"/>
        <v>36740</v>
      </c>
      <c r="B26095" s="1" t="str">
        <f>"34777"</f>
        <v>34777</v>
      </c>
      <c r="C26095" s="2">
        <v>8.4203590400957898E-4</v>
      </c>
      <c r="D26095" s="2">
        <v>2.0989036315148301E-3</v>
      </c>
      <c r="E26095" s="2">
        <v>3.1422331851246601E-5</v>
      </c>
      <c r="F26095" s="2">
        <v>9.1524432099587805E-4</v>
      </c>
    </row>
    <row r="26096" spans="1:6" x14ac:dyDescent="0.25">
      <c r="A26096" s="1" t="str">
        <f t="shared" si="944"/>
        <v>36740</v>
      </c>
      <c r="B26096" s="1" t="str">
        <f>"32833"</f>
        <v>32833</v>
      </c>
      <c r="C26096" s="2">
        <v>3.28118062297277E-3</v>
      </c>
      <c r="D26096" s="2">
        <v>2.4692983900174401E-4</v>
      </c>
      <c r="E26096" s="2">
        <v>3.1422331851246601E-5</v>
      </c>
      <c r="F26096" s="2">
        <v>2.86448301729406E-3</v>
      </c>
    </row>
    <row r="26097" spans="1:6" x14ac:dyDescent="0.25">
      <c r="A26097" s="1" t="str">
        <f t="shared" si="944"/>
        <v>36740</v>
      </c>
      <c r="B26097" s="1" t="str">
        <f>"32835"</f>
        <v>32835</v>
      </c>
      <c r="C26097" s="2">
        <v>1.6681843381321799E-2</v>
      </c>
      <c r="D26097" s="2">
        <v>9.1364040430645596E-3</v>
      </c>
      <c r="E26097" s="2">
        <v>2.35981712202862E-2</v>
      </c>
      <c r="F26097" s="2">
        <v>1.6336821495497599E-2</v>
      </c>
    </row>
    <row r="26098" spans="1:6" x14ac:dyDescent="0.25">
      <c r="A26098" s="1" t="str">
        <f t="shared" si="944"/>
        <v>36740</v>
      </c>
      <c r="B26098" s="1" t="str">
        <f>"32827"</f>
        <v>32827</v>
      </c>
      <c r="C26098" s="2">
        <v>6.6066789251039504E-3</v>
      </c>
      <c r="D26098" s="2">
        <v>5.3172225331708997E-3</v>
      </c>
      <c r="E26098" s="2">
        <v>3.8963691495545799E-3</v>
      </c>
      <c r="F26098" s="2">
        <v>6.3683337050306496E-3</v>
      </c>
    </row>
    <row r="26099" spans="1:6" x14ac:dyDescent="0.25">
      <c r="A26099" s="1" t="str">
        <f t="shared" si="944"/>
        <v>36740</v>
      </c>
      <c r="B26099" s="1" t="str">
        <f>"32862"</f>
        <v>32862</v>
      </c>
      <c r="C26099" s="2">
        <v>7.2246178854446495E-4</v>
      </c>
      <c r="D26099" s="2">
        <v>3.8521054884272199E-3</v>
      </c>
      <c r="E26099" s="2">
        <v>4.713349777687E-5</v>
      </c>
      <c r="F26099" s="2">
        <v>9.6665440548219703E-4</v>
      </c>
    </row>
    <row r="26100" spans="1:6" x14ac:dyDescent="0.25">
      <c r="A26100" s="1" t="str">
        <f t="shared" si="944"/>
        <v>36740</v>
      </c>
      <c r="B26100" s="1" t="str">
        <f>"32820"</f>
        <v>32820</v>
      </c>
      <c r="C26100" s="2">
        <v>2.9107517198186101E-3</v>
      </c>
      <c r="D26100" s="2">
        <v>1.0041813452737599E-3</v>
      </c>
      <c r="E26100" s="2">
        <v>2.5137865480997303E-4</v>
      </c>
      <c r="F26100" s="2">
        <v>2.6204661374082902E-3</v>
      </c>
    </row>
    <row r="26101" spans="1:6" x14ac:dyDescent="0.25">
      <c r="A26101" s="1" t="str">
        <f t="shared" si="944"/>
        <v>36740</v>
      </c>
      <c r="B26101" s="1" t="str">
        <f>"34753"</f>
        <v>34753</v>
      </c>
      <c r="C26101" s="2">
        <v>1.86385107252964E-3</v>
      </c>
      <c r="D26101" s="2">
        <v>6.9963454383827701E-4</v>
      </c>
      <c r="E26101" s="2">
        <v>2.5137865480997303E-4</v>
      </c>
      <c r="F26101" s="2">
        <v>1.6871196739876499E-3</v>
      </c>
    </row>
    <row r="26102" spans="1:6" x14ac:dyDescent="0.25">
      <c r="A26102" s="1" t="str">
        <f t="shared" si="944"/>
        <v>36740</v>
      </c>
      <c r="B26102" s="1" t="str">
        <f>"34758"</f>
        <v>34758</v>
      </c>
      <c r="C26102" s="2">
        <v>1.3808719879656499E-2</v>
      </c>
      <c r="D26102" s="2">
        <v>3.0125440358212802E-3</v>
      </c>
      <c r="E26102" s="2">
        <v>6.5986896887618E-4</v>
      </c>
      <c r="F26102" s="2">
        <v>1.22529781644717E-2</v>
      </c>
    </row>
    <row r="26103" spans="1:6" x14ac:dyDescent="0.25">
      <c r="A26103" s="1" t="str">
        <f t="shared" si="944"/>
        <v>36740</v>
      </c>
      <c r="B26103" s="1" t="str">
        <f>"34761"</f>
        <v>34761</v>
      </c>
      <c r="C26103" s="2">
        <v>1.5295452588027E-2</v>
      </c>
      <c r="D26103" s="2">
        <v>1.35152931880288E-2</v>
      </c>
      <c r="E26103" s="2">
        <v>6.5044226932080597E-3</v>
      </c>
      <c r="F26103" s="2">
        <v>1.4733695762360799E-2</v>
      </c>
    </row>
    <row r="26104" spans="1:6" x14ac:dyDescent="0.25">
      <c r="A26104" s="1" t="str">
        <f t="shared" si="944"/>
        <v>36740</v>
      </c>
      <c r="B26104" s="1" t="str">
        <f>"34786"</f>
        <v>34786</v>
      </c>
      <c r="C26104" s="2">
        <v>1.5915063913618899E-2</v>
      </c>
      <c r="D26104" s="2">
        <v>1.0239357323939E-2</v>
      </c>
      <c r="E26104" s="2">
        <v>5.2161070873069397E-3</v>
      </c>
      <c r="F26104" s="2">
        <v>1.49226821292753E-2</v>
      </c>
    </row>
    <row r="26105" spans="1:6" x14ac:dyDescent="0.25">
      <c r="A26105" s="1" t="str">
        <f t="shared" si="944"/>
        <v>36740</v>
      </c>
      <c r="B26105" s="1" t="str">
        <f>"34745"</f>
        <v>34745</v>
      </c>
      <c r="C26105" s="2">
        <v>2.1431360694901202E-3</v>
      </c>
      <c r="D26105" s="2">
        <v>2.5680703256181401E-3</v>
      </c>
      <c r="E26105" s="2">
        <v>3.1422331851246601E-5</v>
      </c>
      <c r="F26105" s="2">
        <v>2.0831945502414102E-3</v>
      </c>
    </row>
    <row r="26106" spans="1:6" x14ac:dyDescent="0.25">
      <c r="A26106" s="1" t="str">
        <f t="shared" si="944"/>
        <v>36740</v>
      </c>
      <c r="B26106" s="1" t="str">
        <f>"34734"</f>
        <v>34734</v>
      </c>
      <c r="C26106" s="2">
        <v>1.6974507300292401E-3</v>
      </c>
      <c r="D26106" s="2">
        <v>2.63391828268527E-3</v>
      </c>
      <c r="E26106" s="2">
        <v>6.2844663702493297E-5</v>
      </c>
      <c r="F26106" s="2">
        <v>1.7044977307154199E-3</v>
      </c>
    </row>
    <row r="26107" spans="1:6" x14ac:dyDescent="0.25">
      <c r="A26107" s="1" t="str">
        <f t="shared" si="944"/>
        <v>36740</v>
      </c>
      <c r="B26107" s="1" t="str">
        <f>"32162"</f>
        <v>32162</v>
      </c>
      <c r="C26107" s="2">
        <v>8.3618262563016796E-7</v>
      </c>
      <c r="D26107" s="2">
        <v>0</v>
      </c>
      <c r="E26107" s="2">
        <v>0</v>
      </c>
      <c r="F26107" s="2">
        <v>7.2408569699040997E-7</v>
      </c>
    </row>
    <row r="26108" spans="1:6" x14ac:dyDescent="0.25">
      <c r="A26108" s="1" t="str">
        <f t="shared" si="944"/>
        <v>36740</v>
      </c>
      <c r="B26108" s="1" t="str">
        <f>"32794"</f>
        <v>32794</v>
      </c>
      <c r="C26108" s="2">
        <v>1.42067428094565E-3</v>
      </c>
      <c r="D26108" s="2">
        <v>4.2389622361966202E-3</v>
      </c>
      <c r="E26108" s="2">
        <v>3.1422331851246601E-5</v>
      </c>
      <c r="F26108" s="2">
        <v>1.60457390453074E-3</v>
      </c>
    </row>
    <row r="26109" spans="1:6" x14ac:dyDescent="0.25">
      <c r="A26109" s="1" t="str">
        <f t="shared" si="944"/>
        <v>36740</v>
      </c>
      <c r="B26109" s="1" t="str">
        <f>"32793"</f>
        <v>32793</v>
      </c>
      <c r="C26109" s="2">
        <v>1.11546762259064E-3</v>
      </c>
      <c r="D26109" s="2">
        <v>2.3376024758831799E-3</v>
      </c>
      <c r="E26109" s="2">
        <v>3.1422331851246601E-5</v>
      </c>
      <c r="F26109" s="2">
        <v>1.1730188291244599E-3</v>
      </c>
    </row>
    <row r="26110" spans="1:6" x14ac:dyDescent="0.25">
      <c r="A26110" s="1" t="str">
        <f t="shared" si="944"/>
        <v>36740</v>
      </c>
      <c r="B26110" s="1" t="str">
        <f>"34770"</f>
        <v>34770</v>
      </c>
      <c r="C26110" s="2">
        <v>1.5979449975792499E-3</v>
      </c>
      <c r="D26110" s="2">
        <v>3.9508774240279102E-3</v>
      </c>
      <c r="E26110" s="2">
        <v>3.1422331851246601E-5</v>
      </c>
      <c r="F26110" s="2">
        <v>1.73273707289805E-3</v>
      </c>
    </row>
    <row r="26111" spans="1:6" x14ac:dyDescent="0.25">
      <c r="A26111" s="1" t="str">
        <f t="shared" si="944"/>
        <v>36740</v>
      </c>
      <c r="B26111" s="1" t="str">
        <f>"32816"</f>
        <v>32816</v>
      </c>
      <c r="C26111" s="2">
        <v>0</v>
      </c>
      <c r="D26111" s="2">
        <v>8.2309946333914901E-6</v>
      </c>
      <c r="E26111" s="2">
        <v>3.2522113466040298E-3</v>
      </c>
      <c r="F26111" s="2">
        <v>1.50609824974005E-4</v>
      </c>
    </row>
    <row r="26112" spans="1:6" x14ac:dyDescent="0.25">
      <c r="A26112" s="1" t="str">
        <f t="shared" si="944"/>
        <v>36740</v>
      </c>
      <c r="B26112" s="1" t="str">
        <f>"32756"</f>
        <v>32756</v>
      </c>
      <c r="C26112" s="2">
        <v>1.0335217252788801E-3</v>
      </c>
      <c r="D26112" s="2">
        <v>2.8396931485200599E-3</v>
      </c>
      <c r="E26112" s="2">
        <v>3.1422331851246601E-5</v>
      </c>
      <c r="F26112" s="2">
        <v>1.14622765833581E-3</v>
      </c>
    </row>
    <row r="26113" spans="1:6" x14ac:dyDescent="0.25">
      <c r="A26113" s="1" t="str">
        <f t="shared" si="944"/>
        <v>36740</v>
      </c>
      <c r="B26113" s="1" t="str">
        <f>"32872"</f>
        <v>32872</v>
      </c>
      <c r="C26113" s="2">
        <v>1.03603027315577E-3</v>
      </c>
      <c r="D26113" s="2">
        <v>2.6421492773186701E-3</v>
      </c>
      <c r="E26113" s="2">
        <v>3.1422331851246601E-5</v>
      </c>
      <c r="F26113" s="2">
        <v>1.1310218586990199E-3</v>
      </c>
    </row>
    <row r="26114" spans="1:6" x14ac:dyDescent="0.25">
      <c r="A26114" s="1" t="str">
        <f t="shared" si="944"/>
        <v>36740</v>
      </c>
      <c r="B26114" s="1" t="str">
        <f>"32771"</f>
        <v>32771</v>
      </c>
      <c r="C26114" s="2">
        <v>2.0563403129497001E-2</v>
      </c>
      <c r="D26114" s="2">
        <v>2.7359826161393298E-2</v>
      </c>
      <c r="E26114" s="2">
        <v>1.4045782337507201E-2</v>
      </c>
      <c r="F26114" s="2">
        <v>2.0860908930293701E-2</v>
      </c>
    </row>
    <row r="26115" spans="1:6" x14ac:dyDescent="0.25">
      <c r="A26115" s="1" t="str">
        <f t="shared" si="944"/>
        <v>36740</v>
      </c>
      <c r="B26115" s="1" t="str">
        <f>"32801"</f>
        <v>32801</v>
      </c>
      <c r="C26115" s="2">
        <v>1.01153012222481E-2</v>
      </c>
      <c r="D26115" s="2">
        <v>2.33184077963981E-2</v>
      </c>
      <c r="E26115" s="2">
        <v>1.22704205879118E-2</v>
      </c>
      <c r="F26115" s="2">
        <v>1.13761103854163E-2</v>
      </c>
    </row>
    <row r="26116" spans="1:6" x14ac:dyDescent="0.25">
      <c r="A26116" s="1" t="str">
        <f t="shared" si="944"/>
        <v>36740</v>
      </c>
      <c r="B26116" s="1" t="str">
        <f>"32812"</f>
        <v>32812</v>
      </c>
      <c r="C26116" s="2">
        <v>1.24616296697663E-2</v>
      </c>
      <c r="D26116" s="2">
        <v>5.23491258683699E-3</v>
      </c>
      <c r="E26116" s="2">
        <v>1.6339612562648199E-2</v>
      </c>
      <c r="F26116" s="2">
        <v>1.2004616770404E-2</v>
      </c>
    </row>
    <row r="26117" spans="1:6" x14ac:dyDescent="0.25">
      <c r="A26117" s="1" t="str">
        <f t="shared" si="944"/>
        <v>36740</v>
      </c>
      <c r="B26117" s="1" t="str">
        <f>"32159"</f>
        <v>32159</v>
      </c>
      <c r="C26117" s="2">
        <v>1.0775885496495901E-2</v>
      </c>
      <c r="D26117" s="2">
        <v>6.6341816745135399E-3</v>
      </c>
      <c r="E26117" s="2">
        <v>2.63947587550472E-3</v>
      </c>
      <c r="F26117" s="2">
        <v>1.0036551845983999E-2</v>
      </c>
    </row>
    <row r="26118" spans="1:6" x14ac:dyDescent="0.25">
      <c r="A26118" s="1" t="str">
        <f t="shared" si="944"/>
        <v>36740</v>
      </c>
      <c r="B26118" s="1" t="str">
        <f>"32746"</f>
        <v>32746</v>
      </c>
      <c r="C26118" s="2">
        <v>1.6208564015215102E-2</v>
      </c>
      <c r="D26118" s="2">
        <v>1.6684226121884499E-2</v>
      </c>
      <c r="E26118" s="2">
        <v>2.5687756288394099E-2</v>
      </c>
      <c r="F26118" s="2">
        <v>1.6687278972840901E-2</v>
      </c>
    </row>
    <row r="26119" spans="1:6" x14ac:dyDescent="0.25">
      <c r="A26119" s="1" t="str">
        <f t="shared" si="944"/>
        <v>36740</v>
      </c>
      <c r="B26119" s="1" t="str">
        <f>"32727"</f>
        <v>32727</v>
      </c>
      <c r="C26119" s="2">
        <v>1.18487078051794E-3</v>
      </c>
      <c r="D26119" s="2">
        <v>2.4199124222171E-3</v>
      </c>
      <c r="E26119" s="2">
        <v>3.1422331851246601E-5</v>
      </c>
      <c r="F26119" s="2">
        <v>1.24035879894457E-3</v>
      </c>
    </row>
    <row r="26120" spans="1:6" x14ac:dyDescent="0.25">
      <c r="A26120" s="1" t="str">
        <f t="shared" si="944"/>
        <v>36740</v>
      </c>
      <c r="B26120" s="1" t="str">
        <f>"32836"</f>
        <v>32836</v>
      </c>
      <c r="C26120" s="2">
        <v>7.9671480570042402E-3</v>
      </c>
      <c r="D26120" s="2">
        <v>1.9260527442136099E-3</v>
      </c>
      <c r="E26120" s="2">
        <v>3.4564565036371299E-3</v>
      </c>
      <c r="F26120" s="2">
        <v>7.2278234273582698E-3</v>
      </c>
    </row>
    <row r="26121" spans="1:6" x14ac:dyDescent="0.25">
      <c r="A26121" s="1" t="str">
        <f t="shared" si="944"/>
        <v>36740</v>
      </c>
      <c r="B26121" s="1" t="str">
        <f>"32839"</f>
        <v>32839</v>
      </c>
      <c r="C26121" s="2">
        <v>1.9093394073639199E-2</v>
      </c>
      <c r="D26121" s="2">
        <v>1.0560366114641199E-2</v>
      </c>
      <c r="E26121" s="2">
        <v>4.0471963424405698E-2</v>
      </c>
      <c r="F26121" s="2">
        <v>1.9328019509764999E-2</v>
      </c>
    </row>
    <row r="26122" spans="1:6" x14ac:dyDescent="0.25">
      <c r="A26122" s="1" t="str">
        <f t="shared" si="944"/>
        <v>36740</v>
      </c>
      <c r="B26122" s="1" t="str">
        <f>"32829"</f>
        <v>32829</v>
      </c>
      <c r="C26122" s="2">
        <v>6.2671887790981097E-3</v>
      </c>
      <c r="D26122" s="2">
        <v>1.2017252164751499E-3</v>
      </c>
      <c r="E26122" s="2">
        <v>3.1108108532734201E-3</v>
      </c>
      <c r="F26122" s="2">
        <v>5.6761077787078201E-3</v>
      </c>
    </row>
    <row r="26123" spans="1:6" x14ac:dyDescent="0.25">
      <c r="A26123" s="1" t="str">
        <f t="shared" ref="A26123:A26154" si="945">"36740"</f>
        <v>36740</v>
      </c>
      <c r="B26123" s="1" t="str">
        <f>"32859"</f>
        <v>32859</v>
      </c>
      <c r="C26123" s="2">
        <v>1.31531527011625E-3</v>
      </c>
      <c r="D26123" s="2">
        <v>3.1195469660553702E-3</v>
      </c>
      <c r="E26123" s="2">
        <v>3.1422331851246601E-5</v>
      </c>
      <c r="F26123" s="2">
        <v>1.41486345191926E-3</v>
      </c>
    </row>
    <row r="26124" spans="1:6" x14ac:dyDescent="0.25">
      <c r="A26124" s="1" t="str">
        <f t="shared" si="945"/>
        <v>36740</v>
      </c>
      <c r="B26124" s="1" t="str">
        <f>"32856"</f>
        <v>32856</v>
      </c>
      <c r="C26124" s="2">
        <v>9.4990346271586995E-4</v>
      </c>
      <c r="D26124" s="2">
        <v>4.1813452737628799E-3</v>
      </c>
      <c r="E26124" s="2">
        <v>3.1422331851246601E-5</v>
      </c>
      <c r="F26124" s="2">
        <v>1.1918450572462099E-3</v>
      </c>
    </row>
    <row r="26125" spans="1:6" x14ac:dyDescent="0.25">
      <c r="A26125" s="1" t="str">
        <f t="shared" si="945"/>
        <v>36740</v>
      </c>
      <c r="B26125" s="1" t="str">
        <f>"34756"</f>
        <v>34756</v>
      </c>
      <c r="C26125" s="2">
        <v>1.7534749659464601E-3</v>
      </c>
      <c r="D26125" s="2">
        <v>7.1609653310506004E-4</v>
      </c>
      <c r="E26125" s="2">
        <v>1.72822825181856E-4</v>
      </c>
      <c r="F26125" s="2">
        <v>1.5893681048939499E-3</v>
      </c>
    </row>
    <row r="26126" spans="1:6" x14ac:dyDescent="0.25">
      <c r="A26126" s="1" t="str">
        <f t="shared" si="945"/>
        <v>36740</v>
      </c>
      <c r="B26126" s="1" t="str">
        <f>"34714"</f>
        <v>34714</v>
      </c>
      <c r="C26126" s="2">
        <v>9.2807909618692307E-3</v>
      </c>
      <c r="D26126" s="2">
        <v>2.2635235241826599E-3</v>
      </c>
      <c r="E26126" s="2">
        <v>5.2946629169350603E-3</v>
      </c>
      <c r="F26126" s="2">
        <v>8.4797675974546908E-3</v>
      </c>
    </row>
    <row r="26127" spans="1:6" x14ac:dyDescent="0.25">
      <c r="A26127" s="1" t="str">
        <f t="shared" si="945"/>
        <v>36740</v>
      </c>
      <c r="B26127" s="1" t="str">
        <f>"32779"</f>
        <v>32779</v>
      </c>
      <c r="C26127" s="2">
        <v>1.0426361158982499E-2</v>
      </c>
      <c r="D26127" s="2">
        <v>5.8357751950745699E-3</v>
      </c>
      <c r="E26127" s="2">
        <v>1.27888890634573E-2</v>
      </c>
      <c r="F26127" s="2">
        <v>1.0131407072289799E-2</v>
      </c>
    </row>
    <row r="26128" spans="1:6" x14ac:dyDescent="0.25">
      <c r="A26128" s="1" t="str">
        <f t="shared" si="945"/>
        <v>36740</v>
      </c>
      <c r="B26128" s="1" t="str">
        <f>"32789"</f>
        <v>32789</v>
      </c>
      <c r="C26128" s="2">
        <v>1.15317945900656E-2</v>
      </c>
      <c r="D26128" s="2">
        <v>3.2528890791163202E-2</v>
      </c>
      <c r="E26128" s="2">
        <v>2.5122154315071699E-2</v>
      </c>
      <c r="F26128" s="2">
        <v>1.40052655511885E-2</v>
      </c>
    </row>
    <row r="26129" spans="1:6" x14ac:dyDescent="0.25">
      <c r="A26129" s="1" t="str">
        <f t="shared" si="945"/>
        <v>36740</v>
      </c>
      <c r="B26129" s="1" t="str">
        <f>"32795"</f>
        <v>32795</v>
      </c>
      <c r="C26129" s="2">
        <v>1.65564159874773E-3</v>
      </c>
      <c r="D26129" s="2">
        <v>7.4243571593191303E-3</v>
      </c>
      <c r="E26129" s="2">
        <v>3.1422331851246601E-5</v>
      </c>
      <c r="F26129" s="2">
        <v>2.0882631501203401E-3</v>
      </c>
    </row>
    <row r="26130" spans="1:6" x14ac:dyDescent="0.25">
      <c r="A26130" s="1" t="str">
        <f t="shared" si="945"/>
        <v>36740</v>
      </c>
      <c r="B26130" s="1" t="str">
        <f>"32803"</f>
        <v>32803</v>
      </c>
      <c r="C26130" s="2">
        <v>9.5065602707893795E-3</v>
      </c>
      <c r="D26130" s="2">
        <v>2.25693872847594E-2</v>
      </c>
      <c r="E26130" s="2">
        <v>1.3275935207151699E-2</v>
      </c>
      <c r="F26130" s="2">
        <v>1.0829425684188499E-2</v>
      </c>
    </row>
    <row r="26131" spans="1:6" x14ac:dyDescent="0.25">
      <c r="A26131" s="1" t="str">
        <f t="shared" si="945"/>
        <v>36740</v>
      </c>
      <c r="B26131" s="1" t="str">
        <f>"32757"</f>
        <v>32757</v>
      </c>
      <c r="C26131" s="2">
        <v>1.1811915769651699E-2</v>
      </c>
      <c r="D26131" s="2">
        <v>1.08319889375432E-2</v>
      </c>
      <c r="E26131" s="2">
        <v>8.4840295998365994E-3</v>
      </c>
      <c r="F26131" s="2">
        <v>1.15723376093007E-2</v>
      </c>
    </row>
    <row r="26132" spans="1:6" x14ac:dyDescent="0.25">
      <c r="A26132" s="1" t="str">
        <f t="shared" si="945"/>
        <v>36740</v>
      </c>
      <c r="B26132" s="1" t="str">
        <f>"32810"</f>
        <v>32810</v>
      </c>
      <c r="C26132" s="2">
        <v>1.23387108237987E-2</v>
      </c>
      <c r="D26132" s="2">
        <v>1.24946498534882E-2</v>
      </c>
      <c r="E26132" s="2">
        <v>1.3794403682697199E-2</v>
      </c>
      <c r="F26132" s="2">
        <v>1.24195178747795E-2</v>
      </c>
    </row>
    <row r="26133" spans="1:6" x14ac:dyDescent="0.25">
      <c r="A26133" s="1" t="str">
        <f t="shared" si="945"/>
        <v>36740</v>
      </c>
      <c r="B26133" s="1" t="str">
        <f>"34972"</f>
        <v>34972</v>
      </c>
      <c r="C26133" s="2">
        <v>1.6221942937225199E-4</v>
      </c>
      <c r="D26133" s="2">
        <v>1.48157903401046E-4</v>
      </c>
      <c r="E26133" s="2">
        <v>1.5711165925623301E-5</v>
      </c>
      <c r="F26133" s="2">
        <v>1.5423025345895699E-4</v>
      </c>
    </row>
    <row r="26134" spans="1:6" x14ac:dyDescent="0.25">
      <c r="A26134" s="1" t="str">
        <f t="shared" si="945"/>
        <v>36740</v>
      </c>
      <c r="B26134" s="1" t="str">
        <f>"32703"</f>
        <v>32703</v>
      </c>
      <c r="C26134" s="2">
        <v>1.77371058548671E-2</v>
      </c>
      <c r="D26134" s="2">
        <v>1.9351068383103399E-2</v>
      </c>
      <c r="E26134" s="2">
        <v>1.6779525208565699E-2</v>
      </c>
      <c r="F26134" s="2">
        <v>1.7834954802570701E-2</v>
      </c>
    </row>
    <row r="26135" spans="1:6" x14ac:dyDescent="0.25">
      <c r="A26135" s="1" t="str">
        <f t="shared" si="945"/>
        <v>36740</v>
      </c>
      <c r="B26135" s="1" t="str">
        <f>"32702"</f>
        <v>32702</v>
      </c>
      <c r="C26135" s="2">
        <v>1.36046913190028E-3</v>
      </c>
      <c r="D26135" s="2">
        <v>3.4570177460244199E-4</v>
      </c>
      <c r="E26135" s="2">
        <v>7.3842479850429698E-4</v>
      </c>
      <c r="F26135" s="2">
        <v>1.24253105603554E-3</v>
      </c>
    </row>
    <row r="26136" spans="1:6" x14ac:dyDescent="0.25">
      <c r="A26136" s="1" t="str">
        <f t="shared" si="945"/>
        <v>36740</v>
      </c>
      <c r="B26136" s="1" t="str">
        <f>"32750"</f>
        <v>32750</v>
      </c>
      <c r="C26136" s="2">
        <v>8.7623577339785309E-3</v>
      </c>
      <c r="D26136" s="2">
        <v>2.5030454680143501E-2</v>
      </c>
      <c r="E26136" s="2">
        <v>2.1555719649955202E-2</v>
      </c>
      <c r="F26136" s="2">
        <v>1.07830841995811E-2</v>
      </c>
    </row>
    <row r="26137" spans="1:6" x14ac:dyDescent="0.25">
      <c r="A26137" s="1" t="str">
        <f t="shared" si="945"/>
        <v>36740</v>
      </c>
      <c r="B26137" s="1" t="str">
        <f>"32735"</f>
        <v>32735</v>
      </c>
      <c r="C26137" s="2">
        <v>2.9952061650072598E-3</v>
      </c>
      <c r="D26137" s="2">
        <v>5.7616962433740401E-4</v>
      </c>
      <c r="E26137" s="2">
        <v>4.713349777687E-4</v>
      </c>
      <c r="F26137" s="2">
        <v>2.6660835363186901E-3</v>
      </c>
    </row>
    <row r="26138" spans="1:6" x14ac:dyDescent="0.25">
      <c r="A26138" s="1" t="str">
        <f t="shared" si="945"/>
        <v>36740</v>
      </c>
      <c r="B26138" s="1" t="str">
        <f>"32830"</f>
        <v>32830</v>
      </c>
      <c r="C26138" s="2">
        <v>1.4298722898275801E-4</v>
      </c>
      <c r="D26138" s="2">
        <v>6.2555559213775297E-4</v>
      </c>
      <c r="E26138" s="2">
        <v>2.1838520636616402E-3</v>
      </c>
      <c r="F26138" s="2">
        <v>2.7949707903829801E-4</v>
      </c>
    </row>
    <row r="26139" spans="1:6" x14ac:dyDescent="0.25">
      <c r="A26139" s="1" t="str">
        <f t="shared" si="945"/>
        <v>36740</v>
      </c>
      <c r="B26139" s="1" t="str">
        <f>"34789"</f>
        <v>34789</v>
      </c>
      <c r="C26139" s="2">
        <v>7.7012419820538403E-4</v>
      </c>
      <c r="D26139" s="2">
        <v>5.3501465117044699E-4</v>
      </c>
      <c r="E26139" s="2">
        <v>3.1422331851246601E-5</v>
      </c>
      <c r="F26139" s="2">
        <v>7.15396668626525E-4</v>
      </c>
    </row>
    <row r="26140" spans="1:6" x14ac:dyDescent="0.25">
      <c r="A26140" s="1" t="str">
        <f t="shared" si="945"/>
        <v>36740</v>
      </c>
      <c r="B26140" s="1" t="str">
        <f>"34762"</f>
        <v>34762</v>
      </c>
      <c r="C26140" s="2">
        <v>2.9350010159618901E-4</v>
      </c>
      <c r="D26140" s="2">
        <v>2.9631580680209297E-4</v>
      </c>
      <c r="E26140" s="2">
        <v>3.1422331851246601E-5</v>
      </c>
      <c r="F26140" s="2">
        <v>2.8166933612926902E-4</v>
      </c>
    </row>
    <row r="26141" spans="1:6" x14ac:dyDescent="0.25">
      <c r="A26141" s="1" t="str">
        <f t="shared" si="945"/>
        <v>36740</v>
      </c>
      <c r="B26141" s="1" t="str">
        <f>"34737"</f>
        <v>34737</v>
      </c>
      <c r="C26141" s="2">
        <v>1.53188657015446E-3</v>
      </c>
      <c r="D26141" s="2">
        <v>4.8562868337009802E-4</v>
      </c>
      <c r="E26141" s="2">
        <v>4.8704614369432303E-4</v>
      </c>
      <c r="F26141" s="2">
        <v>1.39169270961556E-3</v>
      </c>
    </row>
    <row r="26142" spans="1:6" x14ac:dyDescent="0.25">
      <c r="A26142" s="1" t="str">
        <f t="shared" si="945"/>
        <v>36740</v>
      </c>
      <c r="B26142" s="1" t="str">
        <f>"34713"</f>
        <v>34713</v>
      </c>
      <c r="C26142" s="2">
        <v>1.8212057586225001E-3</v>
      </c>
      <c r="D26142" s="2">
        <v>1.1770322325749801E-3</v>
      </c>
      <c r="E26142" s="2">
        <v>3.1422331851246601E-5</v>
      </c>
      <c r="F26142" s="2">
        <v>1.68205107410872E-3</v>
      </c>
    </row>
    <row r="26143" spans="1:6" x14ac:dyDescent="0.25">
      <c r="A26143" s="1" t="str">
        <f t="shared" si="945"/>
        <v>36740</v>
      </c>
      <c r="B26143" s="1" t="str">
        <f>"32752"</f>
        <v>32752</v>
      </c>
      <c r="C26143" s="2">
        <v>1.2308608249276E-3</v>
      </c>
      <c r="D26143" s="2">
        <v>3.5887136601586902E-3</v>
      </c>
      <c r="E26143" s="2">
        <v>3.1422331851246601E-5</v>
      </c>
      <c r="F26143" s="2">
        <v>1.3830036812516799E-3</v>
      </c>
    </row>
    <row r="26144" spans="1:6" x14ac:dyDescent="0.25">
      <c r="A26144" s="1" t="str">
        <f t="shared" si="945"/>
        <v>36740</v>
      </c>
      <c r="B26144" s="1" t="str">
        <f>"34778"</f>
        <v>34778</v>
      </c>
      <c r="C26144" s="2">
        <v>5.76129829059185E-4</v>
      </c>
      <c r="D26144" s="2">
        <v>2.6256872880518799E-3</v>
      </c>
      <c r="E26144" s="2">
        <v>3.1422331851246601E-5</v>
      </c>
      <c r="F26144" s="2">
        <v>7.3132655396031395E-4</v>
      </c>
    </row>
    <row r="26145" spans="1:6" x14ac:dyDescent="0.25">
      <c r="A26145" s="1" t="str">
        <f t="shared" si="945"/>
        <v>36740</v>
      </c>
      <c r="B26145" s="1" t="str">
        <f>"32867"</f>
        <v>32867</v>
      </c>
      <c r="C26145" s="2">
        <v>1.1681471280053401E-3</v>
      </c>
      <c r="D26145" s="2">
        <v>2.6256872880518799E-3</v>
      </c>
      <c r="E26145" s="2">
        <v>3.1422331851246601E-5</v>
      </c>
      <c r="F26145" s="2">
        <v>1.24397922742952E-3</v>
      </c>
    </row>
    <row r="26146" spans="1:6" x14ac:dyDescent="0.25">
      <c r="A26146" s="1" t="str">
        <f t="shared" si="945"/>
        <v>36740</v>
      </c>
      <c r="B26146" s="1" t="str">
        <f>"32718"</f>
        <v>32718</v>
      </c>
      <c r="C26146" s="2">
        <v>1.02515989902258E-3</v>
      </c>
      <c r="D26146" s="2">
        <v>2.4034504329503098E-3</v>
      </c>
      <c r="E26146" s="2">
        <v>3.1422331851246601E-5</v>
      </c>
      <c r="F26146" s="2">
        <v>1.1006102594254201E-3</v>
      </c>
    </row>
    <row r="26147" spans="1:6" x14ac:dyDescent="0.25">
      <c r="A26147" s="1" t="str">
        <f t="shared" si="945"/>
        <v>36740</v>
      </c>
      <c r="B26147" s="1" t="str">
        <f>"33896"</f>
        <v>33896</v>
      </c>
      <c r="C26147" s="2">
        <v>3.1507361333744698E-3</v>
      </c>
      <c r="D26147" s="2">
        <v>1.3087281467092399E-3</v>
      </c>
      <c r="E26147" s="2">
        <v>2.6237647095790901E-3</v>
      </c>
      <c r="F26147" s="2">
        <v>2.9644068434787302E-3</v>
      </c>
    </row>
    <row r="26148" spans="1:6" x14ac:dyDescent="0.25">
      <c r="A26148" s="1" t="str">
        <f t="shared" si="945"/>
        <v>36740</v>
      </c>
      <c r="B26148" s="1" t="str">
        <f>"32825"</f>
        <v>32825</v>
      </c>
      <c r="C26148" s="2">
        <v>1.8891037878236702E-2</v>
      </c>
      <c r="D26148" s="2">
        <v>4.14842129522931E-3</v>
      </c>
      <c r="E26148" s="2">
        <v>9.6152335464814807E-3</v>
      </c>
      <c r="F26148" s="2">
        <v>1.7166623704248599E-2</v>
      </c>
    </row>
    <row r="26149" spans="1:6" x14ac:dyDescent="0.25">
      <c r="A26149" s="1" t="str">
        <f t="shared" si="945"/>
        <v>36740</v>
      </c>
      <c r="B26149" s="1" t="str">
        <f>"32857"</f>
        <v>32857</v>
      </c>
      <c r="C26149" s="2">
        <v>9.0725814880873203E-4</v>
      </c>
      <c r="D26149" s="2">
        <v>1.25934217890889E-3</v>
      </c>
      <c r="E26149" s="2">
        <v>3.1422331851246601E-5</v>
      </c>
      <c r="F26149" s="2">
        <v>8.9786626426810803E-4</v>
      </c>
    </row>
    <row r="26150" spans="1:6" x14ac:dyDescent="0.25">
      <c r="A26150" s="1" t="str">
        <f t="shared" si="945"/>
        <v>36740</v>
      </c>
      <c r="B26150" s="1" t="str">
        <f>"32818"</f>
        <v>32818</v>
      </c>
      <c r="C26150" s="2">
        <v>1.42560775843687E-2</v>
      </c>
      <c r="D26150" s="2">
        <v>5.3089915385375096E-3</v>
      </c>
      <c r="E26150" s="2">
        <v>1.11235054753413E-2</v>
      </c>
      <c r="F26150" s="2">
        <v>1.33246249960175E-2</v>
      </c>
    </row>
    <row r="26151" spans="1:6" x14ac:dyDescent="0.25">
      <c r="A26151" s="1" t="str">
        <f t="shared" si="945"/>
        <v>36740</v>
      </c>
      <c r="B26151" s="1" t="str">
        <f>"32877"</f>
        <v>32877</v>
      </c>
      <c r="C26151" s="2">
        <v>1.1865431457692001E-3</v>
      </c>
      <c r="D26151" s="2">
        <v>4.8727488229677596E-3</v>
      </c>
      <c r="E26151" s="2">
        <v>3.1422331851246601E-5</v>
      </c>
      <c r="F26151" s="2">
        <v>1.4575845080416899E-3</v>
      </c>
    </row>
    <row r="26152" spans="1:6" x14ac:dyDescent="0.25">
      <c r="A26152" s="1" t="str">
        <f t="shared" si="945"/>
        <v>36740</v>
      </c>
      <c r="B26152" s="1" t="str">
        <f>"32878"</f>
        <v>32878</v>
      </c>
      <c r="C26152" s="2">
        <v>1.05860720404779E-3</v>
      </c>
      <c r="D26152" s="2">
        <v>4.6587429624995796E-3</v>
      </c>
      <c r="E26152" s="2">
        <v>3.1422331851246601E-5</v>
      </c>
      <c r="F26152" s="2">
        <v>1.3279731682804101E-3</v>
      </c>
    </row>
    <row r="26153" spans="1:6" x14ac:dyDescent="0.25">
      <c r="A26153" s="1" t="str">
        <f t="shared" si="945"/>
        <v>36740</v>
      </c>
      <c r="B26153" s="1" t="str">
        <f>"32837"</f>
        <v>32837</v>
      </c>
      <c r="C26153" s="2">
        <v>1.6595716570881901E-2</v>
      </c>
      <c r="D26153" s="2">
        <v>1.54989628946761E-2</v>
      </c>
      <c r="E26153" s="2">
        <v>1.87748432811198E-2</v>
      </c>
      <c r="F26153" s="2">
        <v>1.65996646035051E-2</v>
      </c>
    </row>
    <row r="26154" spans="1:6" x14ac:dyDescent="0.25">
      <c r="A26154" s="1" t="str">
        <f t="shared" si="945"/>
        <v>36740</v>
      </c>
      <c r="B26154" s="1" t="str">
        <f>"32858"</f>
        <v>32858</v>
      </c>
      <c r="C26154" s="2">
        <v>9.2899889707511601E-4</v>
      </c>
      <c r="D26154" s="2">
        <v>1.7532018569123801E-3</v>
      </c>
      <c r="E26154" s="2">
        <v>3.1422331851246601E-5</v>
      </c>
      <c r="F26154" s="2">
        <v>9.6013763420928298E-4</v>
      </c>
    </row>
    <row r="26155" spans="1:6" x14ac:dyDescent="0.25">
      <c r="A26155" s="1" t="str">
        <f t="shared" ref="A26155:A26186" si="946">"36740"</f>
        <v>36740</v>
      </c>
      <c r="B26155" s="1" t="str">
        <f>"32860"</f>
        <v>32860</v>
      </c>
      <c r="C26155" s="2">
        <v>1.0452282820377101E-3</v>
      </c>
      <c r="D26155" s="2">
        <v>2.5763013202515302E-3</v>
      </c>
      <c r="E26155" s="2">
        <v>3.1422331851246601E-5</v>
      </c>
      <c r="F26155" s="2">
        <v>1.1331941157899899E-3</v>
      </c>
    </row>
    <row r="26156" spans="1:6" x14ac:dyDescent="0.25">
      <c r="A26156" s="1" t="str">
        <f t="shared" si="946"/>
        <v>36740</v>
      </c>
      <c r="B26156" s="1" t="str">
        <f>"32855"</f>
        <v>32855</v>
      </c>
      <c r="C26156" s="2">
        <v>1.6648396076296599E-3</v>
      </c>
      <c r="D26156" s="2">
        <v>1.9178217495802101E-3</v>
      </c>
      <c r="E26156" s="2">
        <v>3.1422331851246601E-5</v>
      </c>
      <c r="F26156" s="2">
        <v>1.6118147615006499E-3</v>
      </c>
    </row>
    <row r="26157" spans="1:6" x14ac:dyDescent="0.25">
      <c r="A26157" s="1" t="str">
        <f t="shared" si="946"/>
        <v>36740</v>
      </c>
      <c r="B26157" s="1" t="str">
        <f>"34748"</f>
        <v>34748</v>
      </c>
      <c r="C26157" s="2">
        <v>2.1463971817300701E-2</v>
      </c>
      <c r="D26157" s="2">
        <v>1.8503275935864E-2</v>
      </c>
      <c r="E26157" s="2">
        <v>2.2576945435120701E-2</v>
      </c>
      <c r="F26157" s="2">
        <v>2.12548115494565E-2</v>
      </c>
    </row>
    <row r="26158" spans="1:6" x14ac:dyDescent="0.25">
      <c r="A26158" s="1" t="str">
        <f t="shared" si="946"/>
        <v>36740</v>
      </c>
      <c r="B26158" s="1" t="str">
        <f>"34769"</f>
        <v>34769</v>
      </c>
      <c r="C26158" s="2">
        <v>9.8895319133279896E-3</v>
      </c>
      <c r="D26158" s="2">
        <v>9.0376321074638593E-3</v>
      </c>
      <c r="E26158" s="2">
        <v>9.7566340398120895E-3</v>
      </c>
      <c r="F26158" s="2">
        <v>9.8084648514320891E-3</v>
      </c>
    </row>
    <row r="26159" spans="1:6" x14ac:dyDescent="0.25">
      <c r="A26159" s="1" t="str">
        <f t="shared" si="946"/>
        <v>36740</v>
      </c>
      <c r="B26159" s="1" t="str">
        <f>"34743"</f>
        <v>34743</v>
      </c>
      <c r="C26159" s="2">
        <v>1.0888770150956E-2</v>
      </c>
      <c r="D26159" s="2">
        <v>2.2964475027162199E-3</v>
      </c>
      <c r="E26159" s="2">
        <v>5.4674857421169202E-3</v>
      </c>
      <c r="F26159" s="2">
        <v>9.8830456782221E-3</v>
      </c>
    </row>
    <row r="26160" spans="1:6" x14ac:dyDescent="0.25">
      <c r="A26160" s="1" t="str">
        <f t="shared" si="946"/>
        <v>36740</v>
      </c>
      <c r="B26160" s="1" t="str">
        <f>"32767"</f>
        <v>32767</v>
      </c>
      <c r="C26160" s="2">
        <v>1.1355360056057599E-3</v>
      </c>
      <c r="D26160" s="2">
        <v>1.1523392486748E-4</v>
      </c>
      <c r="E26160" s="2">
        <v>1.8853399110748E-4</v>
      </c>
      <c r="F26160" s="2">
        <v>1.0021346046347199E-3</v>
      </c>
    </row>
    <row r="26161" spans="1:6" x14ac:dyDescent="0.25">
      <c r="A26161" s="1" t="str">
        <f t="shared" si="946"/>
        <v>36740</v>
      </c>
      <c r="B26161" s="1" t="str">
        <f>"32798"</f>
        <v>32798</v>
      </c>
      <c r="C26161" s="2">
        <v>2.0820947378191101E-3</v>
      </c>
      <c r="D26161" s="2">
        <v>1.20995621110855E-3</v>
      </c>
      <c r="E26161" s="2">
        <v>5.0275730961994605E-4</v>
      </c>
      <c r="F26161" s="2">
        <v>1.9325847252674E-3</v>
      </c>
    </row>
    <row r="26162" spans="1:6" x14ac:dyDescent="0.25">
      <c r="A26162" s="1" t="str">
        <f t="shared" si="946"/>
        <v>36740</v>
      </c>
      <c r="B26162" s="1" t="str">
        <f>"32811"</f>
        <v>32811</v>
      </c>
      <c r="C26162" s="2">
        <v>1.3934147273501099E-2</v>
      </c>
      <c r="D26162" s="2">
        <v>1.18773252559839E-2</v>
      </c>
      <c r="E26162" s="2">
        <v>2.3315370233625E-2</v>
      </c>
      <c r="F26162" s="2">
        <v>1.4185562889739101E-2</v>
      </c>
    </row>
    <row r="26163" spans="1:6" x14ac:dyDescent="0.25">
      <c r="A26163" s="1" t="str">
        <f t="shared" si="946"/>
        <v>36740</v>
      </c>
      <c r="B26163" s="1" t="str">
        <f>"32802"</f>
        <v>32802</v>
      </c>
      <c r="C26163" s="2">
        <v>2.07958618994222E-3</v>
      </c>
      <c r="D26163" s="2">
        <v>4.9056728015013304E-3</v>
      </c>
      <c r="E26163" s="2">
        <v>3.1422331851246601E-5</v>
      </c>
      <c r="F26163" s="2">
        <v>2.2338043752154102E-3</v>
      </c>
    </row>
    <row r="26164" spans="1:6" x14ac:dyDescent="0.25">
      <c r="A26164" s="1" t="str">
        <f t="shared" si="946"/>
        <v>36740</v>
      </c>
      <c r="B26164" s="1" t="str">
        <f>"32791"</f>
        <v>32791</v>
      </c>
      <c r="C26164" s="2">
        <v>1.06613284767846E-3</v>
      </c>
      <c r="D26164" s="2">
        <v>3.17716392848911E-3</v>
      </c>
      <c r="E26164" s="2">
        <v>3.1422331851246601E-5</v>
      </c>
      <c r="F26164" s="2">
        <v>1.20415451409505E-3</v>
      </c>
    </row>
    <row r="26165" spans="1:6" x14ac:dyDescent="0.25">
      <c r="A26165" s="1" t="str">
        <f t="shared" si="946"/>
        <v>36740</v>
      </c>
      <c r="B26165" s="1" t="str">
        <f>"32704"</f>
        <v>32704</v>
      </c>
      <c r="C26165" s="2">
        <v>1.7275533045519201E-3</v>
      </c>
      <c r="D26165" s="2">
        <v>4.9468277746682896E-3</v>
      </c>
      <c r="E26165" s="2">
        <v>3.1422331851246601E-5</v>
      </c>
      <c r="F26165" s="2">
        <v>1.9325847252674E-3</v>
      </c>
    </row>
    <row r="26166" spans="1:6" x14ac:dyDescent="0.25">
      <c r="A26166" s="1" t="str">
        <f t="shared" si="946"/>
        <v>36740</v>
      </c>
      <c r="B26166" s="1" t="str">
        <f>"32730"</f>
        <v>32730</v>
      </c>
      <c r="C26166" s="2">
        <v>2.9132602676954999E-3</v>
      </c>
      <c r="D26166" s="2">
        <v>3.6874855957593901E-3</v>
      </c>
      <c r="E26166" s="2">
        <v>6.5672673569105496E-3</v>
      </c>
      <c r="F26166" s="2">
        <v>3.1497727819082802E-3</v>
      </c>
    </row>
    <row r="26167" spans="1:6" x14ac:dyDescent="0.25">
      <c r="A26167" s="1" t="str">
        <f t="shared" si="946"/>
        <v>36740</v>
      </c>
      <c r="B26167" s="1" t="str">
        <f>"32720"</f>
        <v>32720</v>
      </c>
      <c r="C26167" s="2">
        <v>1.0786755870629101E-3</v>
      </c>
      <c r="D26167" s="2">
        <v>5.7616962433740402E-5</v>
      </c>
      <c r="E26167" s="2">
        <v>1.72822825181856E-4</v>
      </c>
      <c r="F26167" s="2">
        <v>9.4710409166345595E-4</v>
      </c>
    </row>
    <row r="26168" spans="1:6" x14ac:dyDescent="0.25">
      <c r="A26168" s="1" t="str">
        <f t="shared" si="946"/>
        <v>36740</v>
      </c>
      <c r="B26168" s="1" t="str">
        <f>"32736"</f>
        <v>32736</v>
      </c>
      <c r="C26168" s="2">
        <v>4.12321652698235E-3</v>
      </c>
      <c r="D26168" s="2">
        <v>6.9963454383827701E-4</v>
      </c>
      <c r="E26168" s="2">
        <v>7.0700246665304995E-4</v>
      </c>
      <c r="F26168" s="2">
        <v>3.66459771246846E-3</v>
      </c>
    </row>
    <row r="26169" spans="1:6" x14ac:dyDescent="0.25">
      <c r="A26169" s="1" t="str">
        <f t="shared" si="946"/>
        <v>36740</v>
      </c>
      <c r="B26169" s="1" t="str">
        <f>"32751"</f>
        <v>32751</v>
      </c>
      <c r="C26169" s="2">
        <v>9.2690844051104108E-3</v>
      </c>
      <c r="D26169" s="2">
        <v>1.6807691041385402E-2</v>
      </c>
      <c r="E26169" s="2">
        <v>1.37786925167716E-2</v>
      </c>
      <c r="F26169" s="2">
        <v>1.01400961006537E-2</v>
      </c>
    </row>
    <row r="26170" spans="1:6" x14ac:dyDescent="0.25">
      <c r="A26170" s="1" t="str">
        <f t="shared" si="946"/>
        <v>36740</v>
      </c>
      <c r="B26170" s="1" t="str">
        <f>"32134"</f>
        <v>32134</v>
      </c>
      <c r="C26170" s="2">
        <v>0</v>
      </c>
      <c r="D26170" s="2">
        <v>8.2309946333914901E-6</v>
      </c>
      <c r="E26170" s="2">
        <v>0</v>
      </c>
      <c r="F26170" s="2">
        <v>7.2408569699040997E-7</v>
      </c>
    </row>
    <row r="26171" spans="1:6" x14ac:dyDescent="0.25">
      <c r="A26171" s="1" t="str">
        <f t="shared" si="946"/>
        <v>36740</v>
      </c>
      <c r="B26171" s="1" t="str">
        <f>"32834"</f>
        <v>32834</v>
      </c>
      <c r="C26171" s="2">
        <v>0</v>
      </c>
      <c r="D26171" s="2">
        <v>0</v>
      </c>
      <c r="E26171" s="2">
        <v>1.5711165925623301E-5</v>
      </c>
      <c r="F26171" s="2">
        <v>7.2408569699040997E-7</v>
      </c>
    </row>
    <row r="26172" spans="1:6" x14ac:dyDescent="0.25">
      <c r="A26172" s="1" t="str">
        <f t="shared" si="946"/>
        <v>36740</v>
      </c>
      <c r="B26172" s="1" t="str">
        <f>"32715"</f>
        <v>32715</v>
      </c>
      <c r="C26172" s="2">
        <v>9.7498894148477597E-4</v>
      </c>
      <c r="D26172" s="2">
        <v>1.5968129588779501E-3</v>
      </c>
      <c r="E26172" s="2">
        <v>1.5711165925623301E-5</v>
      </c>
      <c r="F26172" s="2">
        <v>9.854806336039479E-4</v>
      </c>
    </row>
    <row r="26173" spans="1:6" x14ac:dyDescent="0.25">
      <c r="A26173" s="1" t="str">
        <f t="shared" si="946"/>
        <v>36740</v>
      </c>
      <c r="B26173" s="1" t="str">
        <f>"32747"</f>
        <v>32747</v>
      </c>
      <c r="C26173" s="2">
        <v>7.7848602446168604E-4</v>
      </c>
      <c r="D26173" s="2">
        <v>2.1400586046817801E-3</v>
      </c>
      <c r="E26173" s="2">
        <v>1.5711165925623301E-5</v>
      </c>
      <c r="F26173" s="2">
        <v>8.63110150812568E-4</v>
      </c>
    </row>
    <row r="26174" spans="1:6" x14ac:dyDescent="0.25">
      <c r="A26174" s="1" t="str">
        <f t="shared" si="946"/>
        <v>36740</v>
      </c>
      <c r="B26174" s="1" t="str">
        <f>"32719"</f>
        <v>32719</v>
      </c>
      <c r="C26174" s="2">
        <v>9.9087641137174907E-4</v>
      </c>
      <c r="D26174" s="2">
        <v>2.4857603792842299E-3</v>
      </c>
      <c r="E26174" s="2">
        <v>3.1422331851246601E-5</v>
      </c>
      <c r="F26174" s="2">
        <v>1.0781636028187199E-3</v>
      </c>
    </row>
    <row r="26175" spans="1:6" x14ac:dyDescent="0.25">
      <c r="A26175" s="1" t="str">
        <f t="shared" si="946"/>
        <v>36740</v>
      </c>
      <c r="B26175" s="1" t="str">
        <f>"32832"</f>
        <v>32832</v>
      </c>
      <c r="C26175" s="2">
        <v>1.05559694659552E-2</v>
      </c>
      <c r="D26175" s="2">
        <v>2.1729825832153501E-3</v>
      </c>
      <c r="E26175" s="2">
        <v>5.4517745761912904E-3</v>
      </c>
      <c r="F26175" s="2">
        <v>9.5832741996680695E-3</v>
      </c>
    </row>
    <row r="26176" spans="1:6" x14ac:dyDescent="0.25">
      <c r="A26176" s="1" t="str">
        <f t="shared" si="946"/>
        <v>36740</v>
      </c>
      <c r="B26176" s="1" t="str">
        <f>"32819"</f>
        <v>32819</v>
      </c>
      <c r="C26176" s="2">
        <v>1.1096143442112299E-2</v>
      </c>
      <c r="D26176" s="2">
        <v>3.9533467224179303E-2</v>
      </c>
      <c r="E26176" s="2">
        <v>1.05893258338701E-2</v>
      </c>
      <c r="F26176" s="2">
        <v>1.35744345614792E-2</v>
      </c>
    </row>
    <row r="26177" spans="1:6" x14ac:dyDescent="0.25">
      <c r="A26177" s="1" t="str">
        <f t="shared" si="946"/>
        <v>36740</v>
      </c>
      <c r="B26177" s="1" t="str">
        <f>"34772"</f>
        <v>34772</v>
      </c>
      <c r="C26177" s="2">
        <v>1.0545935274447599E-2</v>
      </c>
      <c r="D26177" s="2">
        <v>1.4321930662101201E-3</v>
      </c>
      <c r="E26177" s="2">
        <v>3.7549686562239701E-3</v>
      </c>
      <c r="F26177" s="2">
        <v>9.4312162033000895E-3</v>
      </c>
    </row>
    <row r="26178" spans="1:6" x14ac:dyDescent="0.25">
      <c r="A26178" s="1" t="str">
        <f t="shared" si="946"/>
        <v>36740</v>
      </c>
      <c r="B26178" s="1" t="str">
        <f>"32784"</f>
        <v>32784</v>
      </c>
      <c r="C26178" s="2">
        <v>3.0478856704219599E-3</v>
      </c>
      <c r="D26178" s="2">
        <v>1.7532018569123801E-3</v>
      </c>
      <c r="E26178" s="2">
        <v>2.15242973181039E-3</v>
      </c>
      <c r="F26178" s="2">
        <v>2.8927223594766801E-3</v>
      </c>
    </row>
    <row r="26179" spans="1:6" x14ac:dyDescent="0.25">
      <c r="A26179" s="1" t="str">
        <f t="shared" si="946"/>
        <v>36740</v>
      </c>
      <c r="B26179" s="1" t="str">
        <f>"32792"</f>
        <v>32792</v>
      </c>
      <c r="C26179" s="2">
        <v>2.0800878995175999E-2</v>
      </c>
      <c r="D26179" s="2">
        <v>2.16639778750864E-2</v>
      </c>
      <c r="E26179" s="2">
        <v>4.1068987729579398E-2</v>
      </c>
      <c r="F26179" s="2">
        <v>2.1810909364745099E-2</v>
      </c>
    </row>
    <row r="26180" spans="1:6" x14ac:dyDescent="0.25">
      <c r="A26180" s="1" t="str">
        <f t="shared" si="946"/>
        <v>36740</v>
      </c>
      <c r="B26180" s="1" t="str">
        <f>"32762"</f>
        <v>32762</v>
      </c>
      <c r="C26180" s="2">
        <v>1.4691728732322E-3</v>
      </c>
      <c r="D26180" s="2">
        <v>5.9263161360418697E-3</v>
      </c>
      <c r="E26180" s="2">
        <v>3.1422331851246601E-5</v>
      </c>
      <c r="F26180" s="2">
        <v>1.79500844283922E-3</v>
      </c>
    </row>
    <row r="26181" spans="1:6" x14ac:dyDescent="0.25">
      <c r="A26181" s="1" t="str">
        <f t="shared" si="946"/>
        <v>36740</v>
      </c>
      <c r="B26181" s="1" t="str">
        <f>"32726"</f>
        <v>32726</v>
      </c>
      <c r="C26181" s="2">
        <v>1.00868710129767E-2</v>
      </c>
      <c r="D26181" s="2">
        <v>8.7083923221281997E-3</v>
      </c>
      <c r="E26181" s="2">
        <v>1.18619302738456E-2</v>
      </c>
      <c r="F26181" s="2">
        <v>1.00474131314389E-2</v>
      </c>
    </row>
    <row r="26182" spans="1:6" x14ac:dyDescent="0.25">
      <c r="A26182" s="1" t="str">
        <f t="shared" si="946"/>
        <v>36740</v>
      </c>
      <c r="B26182" s="1" t="str">
        <f>"34731"</f>
        <v>34731</v>
      </c>
      <c r="C26182" s="2">
        <v>6.1275462806178703E-3</v>
      </c>
      <c r="D26182" s="2">
        <v>3.7121785796595599E-3</v>
      </c>
      <c r="E26182" s="2">
        <v>2.7337428710584601E-3</v>
      </c>
      <c r="F26182" s="2">
        <v>5.7586535481647296E-3</v>
      </c>
    </row>
    <row r="26183" spans="1:6" x14ac:dyDescent="0.25">
      <c r="A26183" s="1" t="str">
        <f t="shared" si="946"/>
        <v>36740</v>
      </c>
      <c r="B26183" s="1" t="str">
        <f>"34736"</f>
        <v>34736</v>
      </c>
      <c r="C26183" s="2">
        <v>8.5190285899201506E-3</v>
      </c>
      <c r="D26183" s="2">
        <v>4.3871201395976602E-3</v>
      </c>
      <c r="E26183" s="2">
        <v>1.42971609923172E-3</v>
      </c>
      <c r="F26183" s="2">
        <v>7.8288145558603108E-3</v>
      </c>
    </row>
    <row r="26184" spans="1:6" x14ac:dyDescent="0.25">
      <c r="A26184" s="1" t="str">
        <f t="shared" si="946"/>
        <v>36740</v>
      </c>
      <c r="B26184" s="1" t="str">
        <f>"32805"</f>
        <v>32805</v>
      </c>
      <c r="C26184" s="2">
        <v>8.5374246076840108E-3</v>
      </c>
      <c r="D26184" s="2">
        <v>1.6461989266782901E-2</v>
      </c>
      <c r="E26184" s="2">
        <v>1.6559568885607001E-2</v>
      </c>
      <c r="F26184" s="2">
        <v>9.6042726848808001E-3</v>
      </c>
    </row>
    <row r="26185" spans="1:6" x14ac:dyDescent="0.25">
      <c r="A26185" s="1" t="str">
        <f t="shared" si="946"/>
        <v>36740</v>
      </c>
      <c r="B26185" s="1" t="str">
        <f>"32807"</f>
        <v>32807</v>
      </c>
      <c r="C26185" s="2">
        <v>1.13687389780677E-2</v>
      </c>
      <c r="D26185" s="2">
        <v>1.5252033055674401E-2</v>
      </c>
      <c r="E26185" s="2">
        <v>2.3551037722509299E-2</v>
      </c>
      <c r="F26185" s="2">
        <v>1.22718043925934E-2</v>
      </c>
    </row>
    <row r="26186" spans="1:6" x14ac:dyDescent="0.25">
      <c r="A26186" s="1" t="str">
        <f t="shared" si="946"/>
        <v>36740</v>
      </c>
      <c r="B26186" s="1" t="str">
        <f>"32809"</f>
        <v>32809</v>
      </c>
      <c r="C26186" s="2">
        <v>8.9212324328482601E-3</v>
      </c>
      <c r="D26186" s="2">
        <v>2.85121654100681E-2</v>
      </c>
      <c r="E26186" s="2">
        <v>2.3723860547691201E-2</v>
      </c>
      <c r="F26186" s="2">
        <v>1.13268725580209E-2</v>
      </c>
    </row>
    <row r="26187" spans="1:6" x14ac:dyDescent="0.25">
      <c r="A26187" s="1" t="str">
        <f t="shared" ref="A26187:A26218" si="947">"36740"</f>
        <v>36740</v>
      </c>
      <c r="B26187" s="1" t="str">
        <f>"32102"</f>
        <v>32102</v>
      </c>
      <c r="C26187" s="2">
        <v>1.1798536847641599E-3</v>
      </c>
      <c r="D26187" s="2">
        <v>6.3378658677114503E-4</v>
      </c>
      <c r="E26187" s="2">
        <v>2.67089820735596E-4</v>
      </c>
      <c r="F26187" s="2">
        <v>1.08974897397056E-3</v>
      </c>
    </row>
    <row r="26188" spans="1:6" x14ac:dyDescent="0.25">
      <c r="A26188" s="1" t="str">
        <f t="shared" si="947"/>
        <v>36740</v>
      </c>
      <c r="B26188" s="1" t="str">
        <f>"32163"</f>
        <v>32163</v>
      </c>
      <c r="C26188" s="2">
        <v>1.8655234377809001E-3</v>
      </c>
      <c r="D26188" s="2">
        <v>1.0700293023408899E-4</v>
      </c>
      <c r="E26188" s="2">
        <v>4.713349777687E-5</v>
      </c>
      <c r="F26188" s="2">
        <v>1.6270205611374499E-3</v>
      </c>
    </row>
    <row r="26189" spans="1:6" x14ac:dyDescent="0.25">
      <c r="A26189" s="1" t="str">
        <f t="shared" si="947"/>
        <v>36740</v>
      </c>
      <c r="B26189" s="1" t="str">
        <f>"32712"</f>
        <v>32712</v>
      </c>
      <c r="C26189" s="2">
        <v>1.53489682760673E-2</v>
      </c>
      <c r="D26189" s="2">
        <v>6.0168570770091799E-3</v>
      </c>
      <c r="E26189" s="2">
        <v>6.3787333658030703E-3</v>
      </c>
      <c r="F26189" s="2">
        <v>1.4114602491434E-2</v>
      </c>
    </row>
    <row r="26190" spans="1:6" x14ac:dyDescent="0.25">
      <c r="A26190" s="1" t="str">
        <f t="shared" si="947"/>
        <v>36740</v>
      </c>
      <c r="B26190" s="1" t="str">
        <f>"32709"</f>
        <v>32709</v>
      </c>
      <c r="C26190" s="2">
        <v>9.9422114187426905E-4</v>
      </c>
      <c r="D26190" s="2">
        <v>1.9754387120139499E-4</v>
      </c>
      <c r="E26190" s="2">
        <v>3.14223318512466E-4</v>
      </c>
      <c r="F26190" s="2">
        <v>8.9279766438917505E-4</v>
      </c>
    </row>
    <row r="26191" spans="1:6" x14ac:dyDescent="0.25">
      <c r="A26191" s="1" t="str">
        <f t="shared" si="947"/>
        <v>36740</v>
      </c>
      <c r="B26191" s="1" t="str">
        <f>"32732"</f>
        <v>32732</v>
      </c>
      <c r="C26191" s="2">
        <v>1.7986288277304901E-3</v>
      </c>
      <c r="D26191" s="2">
        <v>2.88084812168702E-4</v>
      </c>
      <c r="E26191" s="2">
        <v>6.7558013480180303E-4</v>
      </c>
      <c r="F26191" s="2">
        <v>1.6139870185916201E-3</v>
      </c>
    </row>
    <row r="26192" spans="1:6" x14ac:dyDescent="0.25">
      <c r="A26192" s="1" t="str">
        <f t="shared" si="947"/>
        <v>36740</v>
      </c>
      <c r="B26192" s="1" t="str">
        <f>"32778"</f>
        <v>32778</v>
      </c>
      <c r="C26192" s="2">
        <v>1.22818504052559E-2</v>
      </c>
      <c r="D26192" s="2">
        <v>1.19514042076844E-2</v>
      </c>
      <c r="E26192" s="2">
        <v>3.61356816289336E-3</v>
      </c>
      <c r="F26192" s="2">
        <v>1.1853282859733E-2</v>
      </c>
    </row>
    <row r="26193" spans="1:6" x14ac:dyDescent="0.25">
      <c r="A26193" s="1" t="str">
        <f t="shared" si="947"/>
        <v>36740</v>
      </c>
      <c r="B26193" s="1" t="str">
        <f>"32773"</f>
        <v>32773</v>
      </c>
      <c r="C26193" s="2">
        <v>1.12667246977408E-2</v>
      </c>
      <c r="D26193" s="2">
        <v>1.1918480229150799E-2</v>
      </c>
      <c r="E26193" s="2">
        <v>5.6560197332243996E-3</v>
      </c>
      <c r="F26193" s="2">
        <v>1.10654776214074E-2</v>
      </c>
    </row>
    <row r="26194" spans="1:6" x14ac:dyDescent="0.25">
      <c r="A26194" s="1" t="str">
        <f t="shared" si="947"/>
        <v>36740</v>
      </c>
      <c r="B26194" s="1" t="str">
        <f>"32716"</f>
        <v>32716</v>
      </c>
      <c r="C26194" s="2">
        <v>1.25594630369651E-3</v>
      </c>
      <c r="D26194" s="2">
        <v>5.23491258683699E-3</v>
      </c>
      <c r="E26194" s="2">
        <v>3.1422331851246601E-5</v>
      </c>
      <c r="F26194" s="2">
        <v>1.54954339155947E-3</v>
      </c>
    </row>
    <row r="26195" spans="1:6" x14ac:dyDescent="0.25">
      <c r="A26195" s="1" t="str">
        <f t="shared" si="947"/>
        <v>36740</v>
      </c>
      <c r="B26195" s="1" t="str">
        <f>"32822"</f>
        <v>32822</v>
      </c>
      <c r="C26195" s="2">
        <v>2.2459865324426301E-2</v>
      </c>
      <c r="D26195" s="2">
        <v>1.7597866526191001E-2</v>
      </c>
      <c r="E26195" s="2">
        <v>3.9780672123678203E-2</v>
      </c>
      <c r="F26195" s="2">
        <v>2.2830422026107602E-2</v>
      </c>
    </row>
    <row r="26196" spans="1:6" x14ac:dyDescent="0.25">
      <c r="A26196" s="1" t="str">
        <f t="shared" si="947"/>
        <v>36740</v>
      </c>
      <c r="B26196" s="1" t="str">
        <f>"32824"</f>
        <v>32824</v>
      </c>
      <c r="C26196" s="2">
        <v>1.56642091259299E-2</v>
      </c>
      <c r="D26196" s="2">
        <v>1.2889737595891E-2</v>
      </c>
      <c r="E26196" s="2">
        <v>7.0386023346792502E-3</v>
      </c>
      <c r="F26196" s="2">
        <v>1.5022605955460001E-2</v>
      </c>
    </row>
    <row r="26197" spans="1:6" x14ac:dyDescent="0.25">
      <c r="A26197" s="1" t="str">
        <f t="shared" si="947"/>
        <v>36740</v>
      </c>
      <c r="B26197" s="1" t="str">
        <f>"32828"</f>
        <v>32828</v>
      </c>
      <c r="C26197" s="2">
        <v>2.0624444461167998E-2</v>
      </c>
      <c r="D26197" s="2">
        <v>6.7823395779145904E-3</v>
      </c>
      <c r="E26197" s="2">
        <v>1.22389982560605E-2</v>
      </c>
      <c r="F26197" s="2">
        <v>1.9020283088544001E-2</v>
      </c>
    </row>
    <row r="26198" spans="1:6" x14ac:dyDescent="0.25">
      <c r="A26198" s="1" t="str">
        <f t="shared" si="947"/>
        <v>36740</v>
      </c>
      <c r="B26198" s="1" t="str">
        <f>"32821"</f>
        <v>32821</v>
      </c>
      <c r="C26198" s="2">
        <v>1.1629627957264301E-2</v>
      </c>
      <c r="D26198" s="2">
        <v>6.6671056530471099E-3</v>
      </c>
      <c r="E26198" s="2">
        <v>1.30245565523417E-2</v>
      </c>
      <c r="F26198" s="2">
        <v>1.1257360331109899E-2</v>
      </c>
    </row>
    <row r="26199" spans="1:6" x14ac:dyDescent="0.25">
      <c r="A26199" s="1" t="str">
        <f t="shared" si="947"/>
        <v>36740</v>
      </c>
      <c r="B26199" s="1" t="str">
        <f>"32853"</f>
        <v>32853</v>
      </c>
      <c r="C26199" s="2">
        <v>9.1311142718814302E-4</v>
      </c>
      <c r="D26199" s="2">
        <v>3.35824581042373E-3</v>
      </c>
      <c r="E26199" s="2">
        <v>3.1422331851246601E-5</v>
      </c>
      <c r="F26199" s="2">
        <v>1.08757671687959E-3</v>
      </c>
    </row>
    <row r="26200" spans="1:6" x14ac:dyDescent="0.25">
      <c r="A26200" s="1" t="str">
        <f t="shared" si="947"/>
        <v>36740</v>
      </c>
      <c r="B26200" s="1" t="str">
        <f>"32869"</f>
        <v>32869</v>
      </c>
      <c r="C26200" s="2">
        <v>1.2400588338095299E-3</v>
      </c>
      <c r="D26200" s="2">
        <v>3.75333355282652E-3</v>
      </c>
      <c r="E26200" s="2">
        <v>3.1422331851246601E-5</v>
      </c>
      <c r="F26200" s="2">
        <v>1.4054503378583801E-3</v>
      </c>
    </row>
    <row r="26201" spans="1:6" x14ac:dyDescent="0.25">
      <c r="A26201" s="1" t="str">
        <f t="shared" si="947"/>
        <v>36740</v>
      </c>
      <c r="B26201" s="1" t="str">
        <f>"34746"</f>
        <v>34746</v>
      </c>
      <c r="C26201" s="2">
        <v>2.1379517372112099E-2</v>
      </c>
      <c r="D26201" s="2">
        <v>1.1819708293550101E-2</v>
      </c>
      <c r="E26201" s="2">
        <v>2.99297710883124E-2</v>
      </c>
      <c r="F26201" s="2">
        <v>2.0932593414295701E-2</v>
      </c>
    </row>
    <row r="26202" spans="1:6" x14ac:dyDescent="0.25">
      <c r="A26202" s="1" t="str">
        <f t="shared" si="947"/>
        <v>36740</v>
      </c>
      <c r="B26202" s="1" t="str">
        <f>"34747"</f>
        <v>34747</v>
      </c>
      <c r="C26202" s="2">
        <v>1.6989558587553698E-2</v>
      </c>
      <c r="D26202" s="2">
        <v>1.12517696638461E-2</v>
      </c>
      <c r="E26202" s="2">
        <v>3.9120803154802097E-2</v>
      </c>
      <c r="F26202" s="2">
        <v>1.7504771724743101E-2</v>
      </c>
    </row>
    <row r="26203" spans="1:6" x14ac:dyDescent="0.25">
      <c r="A26203" s="1" t="str">
        <f t="shared" si="947"/>
        <v>36740</v>
      </c>
      <c r="B26203" s="1" t="str">
        <f>"34788"</f>
        <v>34788</v>
      </c>
      <c r="C26203" s="2">
        <v>8.9596968336272502E-3</v>
      </c>
      <c r="D26203" s="2">
        <v>4.6752049517663702E-3</v>
      </c>
      <c r="E26203" s="2">
        <v>4.2263036339926698E-3</v>
      </c>
      <c r="F26203" s="2">
        <v>8.3646379716332108E-3</v>
      </c>
    </row>
    <row r="26204" spans="1:6" x14ac:dyDescent="0.25">
      <c r="A26204" s="1" t="str">
        <f t="shared" si="947"/>
        <v>36740</v>
      </c>
      <c r="B26204" s="1" t="str">
        <f>"34755"</f>
        <v>34755</v>
      </c>
      <c r="C26204" s="2">
        <v>1.4407426639607699E-3</v>
      </c>
      <c r="D26204" s="2">
        <v>2.2799855134494401E-3</v>
      </c>
      <c r="E26204" s="2">
        <v>1.5711165925623301E-5</v>
      </c>
      <c r="F26204" s="2">
        <v>1.44889547967781E-3</v>
      </c>
    </row>
    <row r="26205" spans="1:6" x14ac:dyDescent="0.25">
      <c r="A26205" s="1" t="str">
        <f t="shared" si="947"/>
        <v>36740</v>
      </c>
      <c r="B26205" s="1" t="str">
        <f>"34749"</f>
        <v>34749</v>
      </c>
      <c r="C26205" s="2">
        <v>1.6054706412099199E-3</v>
      </c>
      <c r="D26205" s="2">
        <v>3.2594738748230301E-3</v>
      </c>
      <c r="E26205" s="2">
        <v>3.1422331851246601E-5</v>
      </c>
      <c r="F26205" s="2">
        <v>1.67843064562377E-3</v>
      </c>
    </row>
    <row r="26206" spans="1:6" x14ac:dyDescent="0.25">
      <c r="A26206" s="1" t="str">
        <f t="shared" si="947"/>
        <v>36740</v>
      </c>
      <c r="B26206" s="1" t="str">
        <f>"34760"</f>
        <v>34760</v>
      </c>
      <c r="C26206" s="2">
        <v>9.3401599282889696E-4</v>
      </c>
      <c r="D26206" s="2">
        <v>1.01241233990715E-3</v>
      </c>
      <c r="E26206" s="2">
        <v>4.713349777687E-5</v>
      </c>
      <c r="F26206" s="2">
        <v>9.0003852135907899E-4</v>
      </c>
    </row>
    <row r="26207" spans="1:6" x14ac:dyDescent="0.25">
      <c r="A26207" s="1" t="str">
        <f t="shared" si="947"/>
        <v>36740</v>
      </c>
      <c r="B26207" s="1" t="str">
        <f>"32799"</f>
        <v>32799</v>
      </c>
      <c r="C26207" s="2">
        <v>0</v>
      </c>
      <c r="D26207" s="2">
        <v>8.2309946333914901E-6</v>
      </c>
      <c r="E26207" s="2">
        <v>0</v>
      </c>
      <c r="F26207" s="2">
        <v>7.2408569699040997E-7</v>
      </c>
    </row>
    <row r="26208" spans="1:6" x14ac:dyDescent="0.25">
      <c r="A26208" s="1" t="str">
        <f t="shared" si="947"/>
        <v>36740</v>
      </c>
      <c r="B26208" s="1" t="str">
        <f>"32777"</f>
        <v>32777</v>
      </c>
      <c r="C26208" s="2">
        <v>3.2193031086761399E-4</v>
      </c>
      <c r="D26208" s="2">
        <v>4.0331873703618301E-4</v>
      </c>
      <c r="E26208" s="2">
        <v>3.1422331851246601E-5</v>
      </c>
      <c r="F26208" s="2">
        <v>3.1570136388781798E-4</v>
      </c>
    </row>
    <row r="26209" spans="1:6" x14ac:dyDescent="0.25">
      <c r="A26209" s="1" t="str">
        <f t="shared" si="947"/>
        <v>36740</v>
      </c>
      <c r="B26209" s="1" t="str">
        <f>"32772"</f>
        <v>32772</v>
      </c>
      <c r="C26209" s="2">
        <v>1.6456074072401701E-3</v>
      </c>
      <c r="D26209" s="2">
        <v>3.3500148157903399E-3</v>
      </c>
      <c r="E26209" s="2">
        <v>3.1422331851246601E-5</v>
      </c>
      <c r="F26209" s="2">
        <v>1.7211517017462E-3</v>
      </c>
    </row>
    <row r="26210" spans="1:6" x14ac:dyDescent="0.25">
      <c r="A26210" s="1" t="str">
        <f t="shared" si="947"/>
        <v>36740</v>
      </c>
      <c r="B26210" s="1" t="str">
        <f>"32868"</f>
        <v>32868</v>
      </c>
      <c r="C26210" s="2">
        <v>1.96921008335904E-3</v>
      </c>
      <c r="D26210" s="2">
        <v>3.4487867513910298E-3</v>
      </c>
      <c r="E26210" s="2">
        <v>3.1422331851246601E-5</v>
      </c>
      <c r="F26210" s="2">
        <v>2.0100618948453702E-3</v>
      </c>
    </row>
    <row r="26211" spans="1:6" x14ac:dyDescent="0.25">
      <c r="A26211" s="1" t="str">
        <f t="shared" si="947"/>
        <v>36740</v>
      </c>
      <c r="B26211" s="1" t="str">
        <f>"32714"</f>
        <v>32714</v>
      </c>
      <c r="C26211" s="2">
        <v>1.4955126259395501E-2</v>
      </c>
      <c r="D26211" s="2">
        <v>1.84374279787969E-2</v>
      </c>
      <c r="E26211" s="2">
        <v>3.3339094094172697E-2</v>
      </c>
      <c r="F26211" s="2">
        <v>1.6108734500945601E-2</v>
      </c>
    </row>
    <row r="26212" spans="1:6" x14ac:dyDescent="0.25">
      <c r="A26212" s="1" t="str">
        <f t="shared" si="947"/>
        <v>36740</v>
      </c>
      <c r="B26212" s="1" t="str">
        <f>"32195"</f>
        <v>32195</v>
      </c>
      <c r="C26212" s="2">
        <v>2.9266391897055799E-4</v>
      </c>
      <c r="D26212" s="2">
        <v>4.1154973166957398E-5</v>
      </c>
      <c r="E26212" s="2">
        <v>7.8555829628116703E-5</v>
      </c>
      <c r="F26212" s="2">
        <v>2.6067085091654698E-4</v>
      </c>
    </row>
    <row r="26213" spans="1:6" x14ac:dyDescent="0.25">
      <c r="A26213" s="1" t="str">
        <f t="shared" si="947"/>
        <v>36740</v>
      </c>
      <c r="B26213" s="1" t="str">
        <f>"32826"</f>
        <v>32826</v>
      </c>
      <c r="C26213" s="2">
        <v>9.4455189391183698E-3</v>
      </c>
      <c r="D26213" s="2">
        <v>5.3419155170710804E-3</v>
      </c>
      <c r="E26213" s="2">
        <v>8.9710757435309194E-3</v>
      </c>
      <c r="F26213" s="2">
        <v>9.0626565835319698E-3</v>
      </c>
    </row>
    <row r="26214" spans="1:6" x14ac:dyDescent="0.25">
      <c r="A26214" s="1" t="str">
        <f t="shared" si="947"/>
        <v>36740</v>
      </c>
      <c r="B26214" s="1" t="str">
        <f>"34741"</f>
        <v>34741</v>
      </c>
      <c r="C26214" s="2">
        <v>1.8651889647306501E-2</v>
      </c>
      <c r="D26214" s="2">
        <v>2.6322720837586001E-2</v>
      </c>
      <c r="E26214" s="2">
        <v>4.1807412528083697E-2</v>
      </c>
      <c r="F26214" s="2">
        <v>2.03938736557349E-2</v>
      </c>
    </row>
    <row r="26215" spans="1:6" x14ac:dyDescent="0.25">
      <c r="A26215" s="1" t="str">
        <f t="shared" si="947"/>
        <v>36740</v>
      </c>
      <c r="B26215" s="1" t="str">
        <f>"34744"</f>
        <v>34744</v>
      </c>
      <c r="C26215" s="2">
        <v>1.84244479731351E-2</v>
      </c>
      <c r="D26215" s="2">
        <v>2.1112501234649101E-2</v>
      </c>
      <c r="E26215" s="2">
        <v>1.67481028767144E-2</v>
      </c>
      <c r="F26215" s="2">
        <v>1.8583659413258801E-2</v>
      </c>
    </row>
    <row r="26216" spans="1:6" x14ac:dyDescent="0.25">
      <c r="A26216" s="1" t="str">
        <f t="shared" si="947"/>
        <v>36740</v>
      </c>
      <c r="B26216" s="1" t="str">
        <f>"34797"</f>
        <v>34797</v>
      </c>
      <c r="C26216" s="2">
        <v>6.4804153486337996E-4</v>
      </c>
      <c r="D26216" s="2">
        <v>3.21008790702268E-4</v>
      </c>
      <c r="E26216" s="2">
        <v>3.1422331851246601E-5</v>
      </c>
      <c r="F26216" s="2">
        <v>5.9085392874417403E-4</v>
      </c>
    </row>
    <row r="26217" spans="1:6" x14ac:dyDescent="0.25">
      <c r="A26217" s="1" t="str">
        <f t="shared" si="947"/>
        <v>36740</v>
      </c>
      <c r="B26217" s="1" t="str">
        <f>"34711"</f>
        <v>34711</v>
      </c>
      <c r="C26217" s="2">
        <v>2.2796010739929599E-2</v>
      </c>
      <c r="D26217" s="2">
        <v>1.5910512626345699E-2</v>
      </c>
      <c r="E26217" s="2">
        <v>1.0777859824977601E-2</v>
      </c>
      <c r="F26217" s="2">
        <v>2.1636404711770401E-2</v>
      </c>
    </row>
    <row r="26218" spans="1:6" x14ac:dyDescent="0.25">
      <c r="A26218" s="1" t="str">
        <f t="shared" si="947"/>
        <v>36740</v>
      </c>
      <c r="B26218" s="1" t="str">
        <f>"34715"</f>
        <v>34715</v>
      </c>
      <c r="C26218" s="2">
        <v>6.6501604216367199E-3</v>
      </c>
      <c r="D26218" s="2">
        <v>3.1607019392223298E-3</v>
      </c>
      <c r="E26218" s="2">
        <v>3.4407453377115101E-3</v>
      </c>
      <c r="F26218" s="2">
        <v>6.1952772234499399E-3</v>
      </c>
    </row>
    <row r="26219" spans="1:6" x14ac:dyDescent="0.25">
      <c r="A26219" s="1" t="str">
        <f t="shared" ref="A26219:A26245" si="948">"36740"</f>
        <v>36740</v>
      </c>
      <c r="B26219" s="1" t="str">
        <f>"32804"</f>
        <v>32804</v>
      </c>
      <c r="C26219" s="2">
        <v>8.2380712277084107E-3</v>
      </c>
      <c r="D26219" s="2">
        <v>1.9095907549468199E-2</v>
      </c>
      <c r="E26219" s="2">
        <v>1.0227969017580701E-2</v>
      </c>
      <c r="F26219" s="2">
        <v>9.2849508925080294E-3</v>
      </c>
    </row>
    <row r="26220" spans="1:6" x14ac:dyDescent="0.25">
      <c r="A26220" s="1" t="str">
        <f t="shared" si="948"/>
        <v>36740</v>
      </c>
      <c r="B26220" s="1" t="str">
        <f>"32765"</f>
        <v>32765</v>
      </c>
      <c r="C26220" s="2">
        <v>2.10701298006289E-2</v>
      </c>
      <c r="D26220" s="2">
        <v>1.6313831363381898E-2</v>
      </c>
      <c r="E26220" s="2">
        <v>2.3943816870649899E-2</v>
      </c>
      <c r="F26220" s="2">
        <v>2.0784155846412699E-2</v>
      </c>
    </row>
    <row r="26221" spans="1:6" x14ac:dyDescent="0.25">
      <c r="A26221" s="1" t="str">
        <f t="shared" si="948"/>
        <v>36740</v>
      </c>
      <c r="B26221" s="1" t="str">
        <f>"32806"</f>
        <v>32806</v>
      </c>
      <c r="C26221" s="2">
        <v>1.0523358343555601E-2</v>
      </c>
      <c r="D26221" s="2">
        <v>1.75731735422908E-2</v>
      </c>
      <c r="E26221" s="2">
        <v>1.45328284812015E-2</v>
      </c>
      <c r="F26221" s="2">
        <v>1.1328320729414899E-2</v>
      </c>
    </row>
    <row r="26222" spans="1:6" x14ac:dyDescent="0.25">
      <c r="A26222" s="1" t="str">
        <f t="shared" si="948"/>
        <v>36740</v>
      </c>
      <c r="B26222" s="1" t="str">
        <f>"32766"</f>
        <v>32766</v>
      </c>
      <c r="C26222" s="2">
        <v>4.5530143965562602E-3</v>
      </c>
      <c r="D26222" s="2">
        <v>6.5024857603792805E-4</v>
      </c>
      <c r="E26222" s="2">
        <v>7.8555829628116703E-4</v>
      </c>
      <c r="F26222" s="2">
        <v>4.0360536750245401E-3</v>
      </c>
    </row>
    <row r="26223" spans="1:6" x14ac:dyDescent="0.25">
      <c r="A26223" s="1" t="str">
        <f t="shared" si="948"/>
        <v>36740</v>
      </c>
      <c r="B26223" s="1" t="str">
        <f>"32776"</f>
        <v>32776</v>
      </c>
      <c r="C26223" s="2">
        <v>4.9535458742331097E-3</v>
      </c>
      <c r="D26223" s="2">
        <v>2.8561551377868501E-3</v>
      </c>
      <c r="E26223" s="2">
        <v>2.2152743955128899E-3</v>
      </c>
      <c r="F26223" s="2">
        <v>4.6428374891025097E-3</v>
      </c>
    </row>
    <row r="26224" spans="1:6" x14ac:dyDescent="0.25">
      <c r="A26224" s="1" t="str">
        <f t="shared" si="948"/>
        <v>36740</v>
      </c>
      <c r="B26224" s="1" t="str">
        <f>"32808"</f>
        <v>32808</v>
      </c>
      <c r="C26224" s="2">
        <v>1.59050297221114E-2</v>
      </c>
      <c r="D26224" s="2">
        <v>1.54989628946761E-2</v>
      </c>
      <c r="E26224" s="2">
        <v>2.46665305032286E-2</v>
      </c>
      <c r="F26224" s="2">
        <v>1.62731019541624E-2</v>
      </c>
    </row>
    <row r="26225" spans="1:6" x14ac:dyDescent="0.25">
      <c r="A26225" s="1" t="str">
        <f t="shared" si="948"/>
        <v>36740</v>
      </c>
      <c r="B26225" s="1" t="str">
        <f>"32790"</f>
        <v>32790</v>
      </c>
      <c r="C26225" s="2">
        <v>1.45412158597086E-3</v>
      </c>
      <c r="D26225" s="2">
        <v>7.0539624008165097E-3</v>
      </c>
      <c r="E26225" s="2">
        <v>3.1422331851246601E-5</v>
      </c>
      <c r="F26225" s="2">
        <v>1.8811746407810801E-3</v>
      </c>
    </row>
    <row r="26226" spans="1:6" x14ac:dyDescent="0.25">
      <c r="A26226" s="1" t="str">
        <f t="shared" si="948"/>
        <v>36740</v>
      </c>
      <c r="B26226" s="1" t="str">
        <f>"32814"</f>
        <v>32814</v>
      </c>
      <c r="C26226" s="2">
        <v>4.9577267873612604E-3</v>
      </c>
      <c r="D26226" s="2">
        <v>3.9426464293945201E-3</v>
      </c>
      <c r="E26226" s="2">
        <v>6.2373328724724597E-3</v>
      </c>
      <c r="F26226" s="2">
        <v>4.92740316801974E-3</v>
      </c>
    </row>
    <row r="26227" spans="1:6" x14ac:dyDescent="0.25">
      <c r="A26227" s="1" t="str">
        <f t="shared" si="948"/>
        <v>36740</v>
      </c>
      <c r="B26227" s="1" t="str">
        <f>"32817"</f>
        <v>32817</v>
      </c>
      <c r="C26227" s="2">
        <v>1.2707467361701599E-2</v>
      </c>
      <c r="D26227" s="2">
        <v>8.1816086655911498E-3</v>
      </c>
      <c r="E26227" s="2">
        <v>1.5286964445631501E-2</v>
      </c>
      <c r="F26227" s="2">
        <v>1.2428206903143399E-2</v>
      </c>
    </row>
    <row r="26228" spans="1:6" x14ac:dyDescent="0.25">
      <c r="A26228" s="1" t="str">
        <f t="shared" si="948"/>
        <v>36740</v>
      </c>
      <c r="B26228" s="1" t="str">
        <f>"32701"</f>
        <v>32701</v>
      </c>
      <c r="C26228" s="2">
        <v>9.9706416280141204E-3</v>
      </c>
      <c r="D26228" s="2">
        <v>1.9935469002074199E-2</v>
      </c>
      <c r="E26228" s="2">
        <v>2.5546355795063501E-2</v>
      </c>
      <c r="F26228" s="2">
        <v>1.15650967523308E-2</v>
      </c>
    </row>
    <row r="26229" spans="1:6" x14ac:dyDescent="0.25">
      <c r="A26229" s="1" t="str">
        <f t="shared" si="948"/>
        <v>36740</v>
      </c>
      <c r="B26229" s="1" t="str">
        <f>"32707"</f>
        <v>32707</v>
      </c>
      <c r="C26229" s="2">
        <v>1.3867252663450701E-2</v>
      </c>
      <c r="D26229" s="2">
        <v>1.20090211701181E-2</v>
      </c>
      <c r="E26229" s="2">
        <v>2.0895850681078999E-2</v>
      </c>
      <c r="F26229" s="2">
        <v>1.4027712207795201E-2</v>
      </c>
    </row>
    <row r="26230" spans="1:6" x14ac:dyDescent="0.25">
      <c r="A26230" s="1" t="str">
        <f t="shared" si="948"/>
        <v>36740</v>
      </c>
      <c r="B26230" s="1" t="str">
        <f>"34771"</f>
        <v>34771</v>
      </c>
      <c r="C26230" s="2">
        <v>8.8760785710642297E-3</v>
      </c>
      <c r="D26230" s="2">
        <v>3.1113159714219801E-3</v>
      </c>
      <c r="E26230" s="2">
        <v>8.3269179405803698E-4</v>
      </c>
      <c r="F26230" s="2">
        <v>7.9982506089560697E-3</v>
      </c>
    </row>
    <row r="26231" spans="1:6" x14ac:dyDescent="0.25">
      <c r="A26231" s="1" t="str">
        <f t="shared" si="948"/>
        <v>36740</v>
      </c>
      <c r="B26231" s="1" t="str">
        <f>"34787"</f>
        <v>34787</v>
      </c>
      <c r="C26231" s="2">
        <v>2.7520442574740001E-2</v>
      </c>
      <c r="D26231" s="2">
        <v>1.7449708622789901E-2</v>
      </c>
      <c r="E26231" s="2">
        <v>1.10606608116388E-2</v>
      </c>
      <c r="F26231" s="2">
        <v>2.5875926467649201E-2</v>
      </c>
    </row>
    <row r="26232" spans="1:6" x14ac:dyDescent="0.25">
      <c r="A26232" s="1" t="str">
        <f t="shared" si="948"/>
        <v>36740</v>
      </c>
      <c r="B26232" s="1" t="str">
        <f>"34773"</f>
        <v>34773</v>
      </c>
      <c r="C26232" s="2">
        <v>1.94663315246703E-3</v>
      </c>
      <c r="D26232" s="2">
        <v>3.0454680143548497E-4</v>
      </c>
      <c r="E26232" s="2">
        <v>1.5711165925623301E-5</v>
      </c>
      <c r="F26232" s="2">
        <v>1.71318675907931E-3</v>
      </c>
    </row>
    <row r="26233" spans="1:6" x14ac:dyDescent="0.25">
      <c r="A26233" s="1" t="str">
        <f t="shared" si="948"/>
        <v>36740</v>
      </c>
      <c r="B26233" s="1" t="str">
        <f>"34759"</f>
        <v>34759</v>
      </c>
      <c r="C26233" s="2">
        <v>2.0319237802812998E-3</v>
      </c>
      <c r="D26233" s="2">
        <v>1.7778948408125599E-3</v>
      </c>
      <c r="E26233" s="2">
        <v>2.67089820735596E-4</v>
      </c>
      <c r="F26233" s="2">
        <v>1.92824021108546E-3</v>
      </c>
    </row>
    <row r="26234" spans="1:6" x14ac:dyDescent="0.25">
      <c r="A26234" s="1" t="str">
        <f t="shared" si="948"/>
        <v>36740</v>
      </c>
      <c r="B26234" s="1" t="str">
        <f>"34705"</f>
        <v>34705</v>
      </c>
      <c r="C26234" s="2">
        <v>1.08034795231417E-3</v>
      </c>
      <c r="D26234" s="2">
        <v>3.12777796068876E-4</v>
      </c>
      <c r="E26234" s="2">
        <v>9.426699555374E-5</v>
      </c>
      <c r="F26234" s="2">
        <v>9.67378491179188E-4</v>
      </c>
    </row>
    <row r="26235" spans="1:6" x14ac:dyDescent="0.25">
      <c r="A26235" s="1" t="str">
        <f t="shared" si="948"/>
        <v>36740</v>
      </c>
      <c r="B26235" s="1" t="str">
        <f>"34739"</f>
        <v>34739</v>
      </c>
      <c r="C26235" s="2">
        <v>5.5188053291591E-4</v>
      </c>
      <c r="D26235" s="2">
        <v>1.23464919500872E-4</v>
      </c>
      <c r="E26235" s="2">
        <v>1.4140049333061E-4</v>
      </c>
      <c r="F26235" s="2">
        <v>4.9527461674144001E-4</v>
      </c>
    </row>
    <row r="26236" spans="1:6" x14ac:dyDescent="0.25">
      <c r="A26236" s="1" t="str">
        <f t="shared" si="948"/>
        <v>36740</v>
      </c>
      <c r="B26236" s="1" t="str">
        <f>"34729"</f>
        <v>34729</v>
      </c>
      <c r="C26236" s="2">
        <v>0</v>
      </c>
      <c r="D26236" s="2">
        <v>8.2309946333914901E-6</v>
      </c>
      <c r="E26236" s="2">
        <v>0</v>
      </c>
      <c r="F26236" s="2">
        <v>7.2408569699040997E-7</v>
      </c>
    </row>
    <row r="26237" spans="1:6" x14ac:dyDescent="0.25">
      <c r="A26237" s="1" t="str">
        <f t="shared" si="948"/>
        <v>36740</v>
      </c>
      <c r="B26237" s="1" t="str">
        <f>"32710"</f>
        <v>32710</v>
      </c>
      <c r="C26237" s="2">
        <v>4.4150442633272802E-4</v>
      </c>
      <c r="D26237" s="2">
        <v>1.1770322325749801E-3</v>
      </c>
      <c r="E26237" s="2">
        <v>1.5711165925623301E-5</v>
      </c>
      <c r="F26237" s="2">
        <v>4.86585588377555E-4</v>
      </c>
    </row>
    <row r="26238" spans="1:6" x14ac:dyDescent="0.25">
      <c r="A26238" s="1" t="str">
        <f t="shared" si="948"/>
        <v>36740</v>
      </c>
      <c r="B26238" s="1" t="str">
        <f>"32854"</f>
        <v>32854</v>
      </c>
      <c r="C26238" s="2">
        <v>8.9387922679864896E-4</v>
      </c>
      <c r="D26238" s="2">
        <v>3.89326046159417E-3</v>
      </c>
      <c r="E26238" s="2">
        <v>3.1422331851246601E-5</v>
      </c>
      <c r="F26238" s="2">
        <v>1.1179883161531901E-3</v>
      </c>
    </row>
    <row r="26239" spans="1:6" x14ac:dyDescent="0.25">
      <c r="A26239" s="1" t="str">
        <f t="shared" si="948"/>
        <v>36740</v>
      </c>
      <c r="B26239" s="1" t="str">
        <f>"32733"</f>
        <v>32733</v>
      </c>
      <c r="C26239" s="2">
        <v>1.2066115287843299E-3</v>
      </c>
      <c r="D26239" s="2">
        <v>3.0866229875218098E-3</v>
      </c>
      <c r="E26239" s="2">
        <v>1.5711165925623301E-5</v>
      </c>
      <c r="F26239" s="2">
        <v>1.31711188282555E-3</v>
      </c>
    </row>
    <row r="26240" spans="1:6" x14ac:dyDescent="0.25">
      <c r="A26240" s="1" t="str">
        <f t="shared" si="948"/>
        <v>36740</v>
      </c>
      <c r="B26240" s="1" t="str">
        <f>"33848"</f>
        <v>33848</v>
      </c>
      <c r="C26240" s="2">
        <v>7.5005581519026004E-4</v>
      </c>
      <c r="D26240" s="2">
        <v>3.5393276923583399E-4</v>
      </c>
      <c r="E26240" s="2">
        <v>6.2844663702493297E-5</v>
      </c>
      <c r="F26240" s="2">
        <v>6.83536897958947E-4</v>
      </c>
    </row>
    <row r="26241" spans="1:6" x14ac:dyDescent="0.25">
      <c r="A26241" s="1" t="str">
        <f t="shared" si="948"/>
        <v>36740</v>
      </c>
      <c r="B26241" s="1" t="str">
        <f>"32158"</f>
        <v>32158</v>
      </c>
      <c r="C26241" s="2">
        <v>1.3437454793876801E-3</v>
      </c>
      <c r="D26241" s="2">
        <v>2.3869884436835301E-3</v>
      </c>
      <c r="E26241" s="2">
        <v>3.1422331851246601E-5</v>
      </c>
      <c r="F26241" s="2">
        <v>1.37503873858478E-3</v>
      </c>
    </row>
    <row r="26242" spans="1:6" x14ac:dyDescent="0.25">
      <c r="A26242" s="1" t="str">
        <f t="shared" si="948"/>
        <v>36740</v>
      </c>
      <c r="B26242" s="1" t="str">
        <f>"34712"</f>
        <v>34712</v>
      </c>
      <c r="C26242" s="2">
        <v>7.4336635418521899E-4</v>
      </c>
      <c r="D26242" s="2">
        <v>3.4240937674908599E-3</v>
      </c>
      <c r="E26242" s="2">
        <v>3.1422331851246601E-5</v>
      </c>
      <c r="F26242" s="2">
        <v>9.4638000596646596E-4</v>
      </c>
    </row>
    <row r="26243" spans="1:6" x14ac:dyDescent="0.25">
      <c r="A26243" s="1" t="str">
        <f t="shared" si="948"/>
        <v>36740</v>
      </c>
      <c r="B26243" s="1" t="str">
        <f>"32768"</f>
        <v>32768</v>
      </c>
      <c r="C26243" s="2">
        <v>8.0022677272807003E-4</v>
      </c>
      <c r="D26243" s="2">
        <v>1.0041813452737599E-3</v>
      </c>
      <c r="E26243" s="2">
        <v>3.1422331851246601E-5</v>
      </c>
      <c r="F26243" s="2">
        <v>7.8273663844663304E-4</v>
      </c>
    </row>
    <row r="26244" spans="1:6" x14ac:dyDescent="0.25">
      <c r="A26244" s="1" t="str">
        <f t="shared" si="948"/>
        <v>36740</v>
      </c>
      <c r="B26244" s="1" t="str">
        <f>"34742"</f>
        <v>34742</v>
      </c>
      <c r="C26244" s="2">
        <v>2.0411217891632399E-3</v>
      </c>
      <c r="D26244" s="2">
        <v>2.8314621538866702E-3</v>
      </c>
      <c r="E26244" s="2">
        <v>3.1422331851246601E-5</v>
      </c>
      <c r="F26244" s="2">
        <v>2.0180268375122701E-3</v>
      </c>
    </row>
    <row r="26245" spans="1:6" x14ac:dyDescent="0.25">
      <c r="A26245" s="1" t="str">
        <f t="shared" si="948"/>
        <v>36740</v>
      </c>
      <c r="B26245" s="1" t="str">
        <f>"32708"</f>
        <v>32708</v>
      </c>
      <c r="C26245" s="2">
        <v>1.6444367515642801E-2</v>
      </c>
      <c r="D26245" s="2">
        <v>8.7824712738287201E-3</v>
      </c>
      <c r="E26245" s="2">
        <v>1.2804600229383E-2</v>
      </c>
      <c r="F26245" s="2">
        <v>1.5602598598749301E-2</v>
      </c>
    </row>
    <row r="26246" spans="1:6" x14ac:dyDescent="0.25">
      <c r="A26246" s="1" t="str">
        <f t="shared" ref="A26246:A26267" si="949">"36780"</f>
        <v>36780</v>
      </c>
      <c r="B26246" s="1" t="str">
        <f>"54906"</f>
        <v>54906</v>
      </c>
      <c r="C26246" s="2">
        <v>0</v>
      </c>
      <c r="D26246" s="2">
        <v>3.2041012495994802E-4</v>
      </c>
      <c r="E26246" s="2">
        <v>0</v>
      </c>
      <c r="F26246" s="2">
        <v>2.2026189138886101E-5</v>
      </c>
    </row>
    <row r="26247" spans="1:6" x14ac:dyDescent="0.25">
      <c r="A26247" s="1" t="str">
        <f t="shared" si="949"/>
        <v>36780</v>
      </c>
      <c r="B26247" s="1" t="str">
        <f>"54952"</f>
        <v>54952</v>
      </c>
      <c r="C26247" s="2">
        <v>0.12368593751934701</v>
      </c>
      <c r="D26247" s="2">
        <v>0.12047420698494</v>
      </c>
      <c r="E26247" s="2">
        <v>0.124539231174302</v>
      </c>
      <c r="F26247" s="2">
        <v>0.123500842501734</v>
      </c>
    </row>
    <row r="26248" spans="1:6" x14ac:dyDescent="0.25">
      <c r="A26248" s="1" t="str">
        <f t="shared" si="949"/>
        <v>36780</v>
      </c>
      <c r="B26248" s="1" t="str">
        <f>"54923"</f>
        <v>54923</v>
      </c>
      <c r="C26248" s="2">
        <v>1.56015898763016E-3</v>
      </c>
      <c r="D26248" s="2">
        <v>4.80615187439923E-4</v>
      </c>
      <c r="E26248" s="2">
        <v>0</v>
      </c>
      <c r="F26248" s="2">
        <v>1.42068919945815E-3</v>
      </c>
    </row>
    <row r="26249" spans="1:6" x14ac:dyDescent="0.25">
      <c r="A26249" s="1" t="str">
        <f t="shared" si="949"/>
        <v>36780</v>
      </c>
      <c r="B26249" s="1" t="str">
        <f>"54957"</f>
        <v>54957</v>
      </c>
      <c r="C26249" s="2">
        <v>6.0549027377075496E-3</v>
      </c>
      <c r="D26249" s="2">
        <v>4.7260493431592401E-2</v>
      </c>
      <c r="E26249" s="2">
        <v>5.2659294365455498E-4</v>
      </c>
      <c r="F26249" s="2">
        <v>8.6562923315822507E-3</v>
      </c>
    </row>
    <row r="26250" spans="1:6" x14ac:dyDescent="0.25">
      <c r="A26250" s="1" t="str">
        <f t="shared" si="949"/>
        <v>36780</v>
      </c>
      <c r="B26250" s="1" t="str">
        <f>"54915"</f>
        <v>54915</v>
      </c>
      <c r="C26250" s="2">
        <v>2.3154740530701701E-2</v>
      </c>
      <c r="D26250" s="2">
        <v>1.8423582185197001E-2</v>
      </c>
      <c r="E26250" s="2">
        <v>6.6614007372301207E-2</v>
      </c>
      <c r="F26250" s="2">
        <v>2.46473056464135E-2</v>
      </c>
    </row>
    <row r="26251" spans="1:6" x14ac:dyDescent="0.25">
      <c r="A26251" s="1" t="str">
        <f t="shared" si="949"/>
        <v>36780</v>
      </c>
      <c r="B26251" s="1" t="str">
        <f>"54940"</f>
        <v>54940</v>
      </c>
      <c r="C26251" s="2">
        <v>7.4664751550872297E-3</v>
      </c>
      <c r="D26251" s="2">
        <v>2.4030759371996102E-3</v>
      </c>
      <c r="E26251" s="2">
        <v>1.5797788309636601E-3</v>
      </c>
      <c r="F26251" s="2">
        <v>6.8721710113324704E-3</v>
      </c>
    </row>
    <row r="26252" spans="1:6" x14ac:dyDescent="0.25">
      <c r="A26252" s="1" t="str">
        <f t="shared" si="949"/>
        <v>36780</v>
      </c>
      <c r="B26252" s="1" t="str">
        <f>"54956"</f>
        <v>54956</v>
      </c>
      <c r="C26252" s="2">
        <v>0.24947685145057599</v>
      </c>
      <c r="D26252" s="2">
        <v>0.218359500160205</v>
      </c>
      <c r="E26252" s="2">
        <v>0.23354397051079501</v>
      </c>
      <c r="F26252" s="2">
        <v>0.246671292166385</v>
      </c>
    </row>
    <row r="26253" spans="1:6" x14ac:dyDescent="0.25">
      <c r="A26253" s="1" t="str">
        <f t="shared" si="949"/>
        <v>36780</v>
      </c>
      <c r="B26253" s="1" t="str">
        <f>"54964"</f>
        <v>54964</v>
      </c>
      <c r="C26253" s="2">
        <v>4.8042991047659101E-3</v>
      </c>
      <c r="D26253" s="2">
        <v>2.5632809996795798E-3</v>
      </c>
      <c r="E26253" s="2">
        <v>2.63296471827277E-4</v>
      </c>
      <c r="F26253" s="2">
        <v>4.4603033006244399E-3</v>
      </c>
    </row>
    <row r="26254" spans="1:6" x14ac:dyDescent="0.25">
      <c r="A26254" s="1" t="str">
        <f t="shared" si="949"/>
        <v>36780</v>
      </c>
      <c r="B26254" s="1" t="str">
        <f>"54901"</f>
        <v>54901</v>
      </c>
      <c r="C26254" s="2">
        <v>0.19251866618788699</v>
      </c>
      <c r="D26254" s="2">
        <v>0.17878884972765099</v>
      </c>
      <c r="E26254" s="2">
        <v>0.22959452343338499</v>
      </c>
      <c r="F26254" s="2">
        <v>0.193125626369753</v>
      </c>
    </row>
    <row r="26255" spans="1:6" x14ac:dyDescent="0.25">
      <c r="A26255" s="1" t="str">
        <f t="shared" si="949"/>
        <v>36780</v>
      </c>
      <c r="B26255" s="1" t="str">
        <f>"54985"</f>
        <v>54985</v>
      </c>
      <c r="C26255" s="2">
        <v>2.8479092631344299E-4</v>
      </c>
      <c r="D26255" s="2">
        <v>0</v>
      </c>
      <c r="E26255" s="2">
        <v>2.63296471827277E-4</v>
      </c>
      <c r="F26255" s="2">
        <v>2.6431426966663302E-4</v>
      </c>
    </row>
    <row r="26256" spans="1:6" x14ac:dyDescent="0.25">
      <c r="A26256" s="1" t="str">
        <f t="shared" si="949"/>
        <v>36780</v>
      </c>
      <c r="B26256" s="1" t="str">
        <f>"54944"</f>
        <v>54944</v>
      </c>
      <c r="C26256" s="2">
        <v>1.2382214187541E-5</v>
      </c>
      <c r="D26256" s="2">
        <v>0</v>
      </c>
      <c r="E26256" s="2">
        <v>0</v>
      </c>
      <c r="F26256" s="2">
        <v>1.1013094569443E-5</v>
      </c>
    </row>
    <row r="26257" spans="1:6" x14ac:dyDescent="0.25">
      <c r="A26257" s="1" t="str">
        <f t="shared" si="949"/>
        <v>36780</v>
      </c>
      <c r="B26257" s="1" t="str">
        <f>"54914"</f>
        <v>54914</v>
      </c>
      <c r="C26257" s="2">
        <v>5.07670781689181E-3</v>
      </c>
      <c r="D26257" s="2">
        <v>1.15347644985581E-2</v>
      </c>
      <c r="E26257" s="2">
        <v>5.2659294365455496E-3</v>
      </c>
      <c r="F26257" s="2">
        <v>5.5285734738604198E-3</v>
      </c>
    </row>
    <row r="26258" spans="1:6" x14ac:dyDescent="0.25">
      <c r="A26258" s="1" t="str">
        <f t="shared" si="949"/>
        <v>36780</v>
      </c>
      <c r="B26258" s="1" t="str">
        <f>"54903"</f>
        <v>54903</v>
      </c>
      <c r="C26258" s="2">
        <v>1.7991357214497E-2</v>
      </c>
      <c r="D26258" s="2">
        <v>9.0195450176225503E-2</v>
      </c>
      <c r="E26258" s="2">
        <v>1.05318588730911E-3</v>
      </c>
      <c r="F26258" s="2">
        <v>2.2246451030274901E-2</v>
      </c>
    </row>
    <row r="26259" spans="1:6" x14ac:dyDescent="0.25">
      <c r="A26259" s="1" t="str">
        <f t="shared" si="949"/>
        <v>36780</v>
      </c>
      <c r="B26259" s="1" t="str">
        <f>"54963"</f>
        <v>54963</v>
      </c>
      <c r="C26259" s="2">
        <v>4.1814737311325997E-2</v>
      </c>
      <c r="D26259" s="2">
        <v>2.5953220121755799E-2</v>
      </c>
      <c r="E26259" s="2">
        <v>1.1321748288572899E-2</v>
      </c>
      <c r="F26259" s="2">
        <v>3.9448904747744998E-2</v>
      </c>
    </row>
    <row r="26260" spans="1:6" x14ac:dyDescent="0.25">
      <c r="A26260" s="1" t="str">
        <f t="shared" si="949"/>
        <v>36780</v>
      </c>
      <c r="B26260" s="1" t="str">
        <f>"54947"</f>
        <v>54947</v>
      </c>
      <c r="C26260" s="2">
        <v>1.5267270093238E-2</v>
      </c>
      <c r="D26260" s="2">
        <v>5.4469721243191197E-3</v>
      </c>
      <c r="E26260" s="2">
        <v>2.1063717746182199E-3</v>
      </c>
      <c r="F26260" s="2">
        <v>1.40416955760399E-2</v>
      </c>
    </row>
    <row r="26261" spans="1:6" x14ac:dyDescent="0.25">
      <c r="A26261" s="1" t="str">
        <f t="shared" si="949"/>
        <v>36780</v>
      </c>
      <c r="B26261" s="1" t="str">
        <f>"54971"</f>
        <v>54971</v>
      </c>
      <c r="C26261" s="2">
        <v>2.5259716942583601E-3</v>
      </c>
      <c r="D26261" s="2">
        <v>8.0102531239987097E-4</v>
      </c>
      <c r="E26261" s="2">
        <v>0</v>
      </c>
      <c r="F26261" s="2">
        <v>2.3017367650136002E-3</v>
      </c>
    </row>
    <row r="26262" spans="1:6" x14ac:dyDescent="0.25">
      <c r="A26262" s="1" t="str">
        <f t="shared" si="949"/>
        <v>36780</v>
      </c>
      <c r="B26262" s="1" t="str">
        <f>"54902"</f>
        <v>54902</v>
      </c>
      <c r="C26262" s="2">
        <v>0.14458711506791599</v>
      </c>
      <c r="D26262" s="2">
        <v>0.144024351169496</v>
      </c>
      <c r="E26262" s="2">
        <v>0.124539231174302</v>
      </c>
      <c r="F26262" s="2">
        <v>0.143709871036662</v>
      </c>
    </row>
    <row r="26263" spans="1:6" x14ac:dyDescent="0.25">
      <c r="A26263" s="1" t="str">
        <f t="shared" si="949"/>
        <v>36780</v>
      </c>
      <c r="B26263" s="1" t="str">
        <f>"54986"</f>
        <v>54986</v>
      </c>
      <c r="C26263" s="2">
        <v>3.31595695942348E-2</v>
      </c>
      <c r="D26263" s="2">
        <v>1.6501121435437301E-2</v>
      </c>
      <c r="E26263" s="2">
        <v>1.3691416535018401E-2</v>
      </c>
      <c r="F26263" s="2">
        <v>3.1200096915232199E-2</v>
      </c>
    </row>
    <row r="26264" spans="1:6" x14ac:dyDescent="0.25">
      <c r="A26264" s="1" t="str">
        <f t="shared" si="949"/>
        <v>36780</v>
      </c>
      <c r="B26264" s="1" t="str">
        <f>"54927"</f>
        <v>54927</v>
      </c>
      <c r="C26264" s="2">
        <v>3.0584069043226299E-3</v>
      </c>
      <c r="D26264" s="2">
        <v>0</v>
      </c>
      <c r="E26264" s="2">
        <v>5.2659294365455498E-4</v>
      </c>
      <c r="F26264" s="2">
        <v>2.74226054779132E-3</v>
      </c>
    </row>
    <row r="26265" spans="1:6" x14ac:dyDescent="0.25">
      <c r="A26265" s="1" t="str">
        <f t="shared" si="949"/>
        <v>36780</v>
      </c>
      <c r="B26265" s="1" t="str">
        <f>"54904"</f>
        <v>54904</v>
      </c>
      <c r="C26265" s="2">
        <v>0.126756726637857</v>
      </c>
      <c r="D26265" s="2">
        <v>0.116148670297981</v>
      </c>
      <c r="E26265" s="2">
        <v>0.18404423380726601</v>
      </c>
      <c r="F26265" s="2">
        <v>0.12842369577427501</v>
      </c>
    </row>
    <row r="26266" spans="1:6" x14ac:dyDescent="0.25">
      <c r="A26266" s="1" t="str">
        <f t="shared" si="949"/>
        <v>36780</v>
      </c>
      <c r="B26266" s="1" t="str">
        <f>"54979"</f>
        <v>54979</v>
      </c>
      <c r="C26266" s="2">
        <v>5.2005299587672203E-4</v>
      </c>
      <c r="D26266" s="2">
        <v>3.2041012495994802E-4</v>
      </c>
      <c r="E26266" s="2">
        <v>0</v>
      </c>
      <c r="F26266" s="2">
        <v>4.8457616105549399E-4</v>
      </c>
    </row>
    <row r="26267" spans="1:6" x14ac:dyDescent="0.25">
      <c r="A26267" s="1" t="str">
        <f t="shared" si="949"/>
        <v>36780</v>
      </c>
      <c r="B26267" s="1" t="str">
        <f>"54980"</f>
        <v>54980</v>
      </c>
      <c r="C26267" s="2">
        <v>2.2287985537573801E-4</v>
      </c>
      <c r="D26267" s="2">
        <v>0</v>
      </c>
      <c r="E26267" s="2">
        <v>5.2659294365455498E-4</v>
      </c>
      <c r="F26267" s="2">
        <v>2.20261891388861E-4</v>
      </c>
    </row>
    <row r="26268" spans="1:6" x14ac:dyDescent="0.25">
      <c r="A26268" s="1" t="str">
        <f t="shared" ref="A26268:A26286" si="950">"36820"</f>
        <v>36820</v>
      </c>
      <c r="B26268" s="1" t="str">
        <f>"50104"</f>
        <v>50104</v>
      </c>
      <c r="C26268" s="2">
        <v>2.7535566773749401E-4</v>
      </c>
      <c r="D26268" s="2">
        <v>1.0351966873706001E-3</v>
      </c>
      <c r="E26268" s="2">
        <v>0</v>
      </c>
      <c r="F26268" s="2">
        <v>3.25653342017422E-4</v>
      </c>
    </row>
    <row r="26269" spans="1:6" x14ac:dyDescent="0.25">
      <c r="A26269" s="1" t="str">
        <f t="shared" si="950"/>
        <v>36820</v>
      </c>
      <c r="B26269" s="1" t="str">
        <f>"52550"</f>
        <v>52550</v>
      </c>
      <c r="C26269" s="2">
        <v>2.7535566773749401E-4</v>
      </c>
      <c r="D26269" s="2">
        <v>0</v>
      </c>
      <c r="E26269" s="2">
        <v>0</v>
      </c>
      <c r="F26269" s="2">
        <v>2.4424000651306603E-4</v>
      </c>
    </row>
    <row r="26270" spans="1:6" x14ac:dyDescent="0.25">
      <c r="A26270" s="1" t="str">
        <f t="shared" si="950"/>
        <v>36820</v>
      </c>
      <c r="B26270" s="1" t="str">
        <f>"52543"</f>
        <v>52543</v>
      </c>
      <c r="C26270" s="2">
        <v>9.82101881597062E-3</v>
      </c>
      <c r="D26270" s="2">
        <v>3.1055900621118002E-3</v>
      </c>
      <c r="E26270" s="2">
        <v>2.36966824644549E-3</v>
      </c>
      <c r="F26270" s="2">
        <v>9.0368802409834699E-3</v>
      </c>
    </row>
    <row r="26271" spans="1:6" x14ac:dyDescent="0.25">
      <c r="A26271" s="1" t="str">
        <f t="shared" si="950"/>
        <v>36820</v>
      </c>
      <c r="B26271" s="1" t="str">
        <f>"52534"</f>
        <v>52534</v>
      </c>
      <c r="C26271" s="2">
        <v>1.5052776502982999E-2</v>
      </c>
      <c r="D26271" s="2">
        <v>1.0351966873706001E-3</v>
      </c>
      <c r="E26271" s="2">
        <v>2.36966824644549E-3</v>
      </c>
      <c r="F26271" s="2">
        <v>1.3514613693722999E-2</v>
      </c>
    </row>
    <row r="26272" spans="1:6" x14ac:dyDescent="0.25">
      <c r="A26272" s="1" t="str">
        <f t="shared" si="950"/>
        <v>36820</v>
      </c>
      <c r="B26272" s="1" t="str">
        <f>"52501"</f>
        <v>52501</v>
      </c>
      <c r="C26272" s="2">
        <v>3.67140890316659E-4</v>
      </c>
      <c r="D26272" s="2">
        <v>0</v>
      </c>
      <c r="E26272" s="2">
        <v>0</v>
      </c>
      <c r="F26272" s="2">
        <v>3.25653342017422E-4</v>
      </c>
    </row>
    <row r="26273" spans="1:6" x14ac:dyDescent="0.25">
      <c r="A26273" s="1" t="str">
        <f t="shared" si="950"/>
        <v>36820</v>
      </c>
      <c r="B26273" s="1" t="str">
        <f>"50268"</f>
        <v>50268</v>
      </c>
      <c r="C26273" s="2">
        <v>2.3864157870582799E-3</v>
      </c>
      <c r="D26273" s="2">
        <v>0</v>
      </c>
      <c r="E26273" s="2">
        <v>0</v>
      </c>
      <c r="F26273" s="2">
        <v>2.1167467231132399E-3</v>
      </c>
    </row>
    <row r="26274" spans="1:6" x14ac:dyDescent="0.25">
      <c r="A26274" s="1" t="str">
        <f t="shared" si="950"/>
        <v>36820</v>
      </c>
      <c r="B26274" s="1" t="str">
        <f>"52577"</f>
        <v>52577</v>
      </c>
      <c r="C26274" s="2">
        <v>0.68572739788893899</v>
      </c>
      <c r="D26274" s="2">
        <v>0.89337474120082805</v>
      </c>
      <c r="E26274" s="2">
        <v>0.90284360189573398</v>
      </c>
      <c r="F26274" s="2">
        <v>0.70951721892045905</v>
      </c>
    </row>
    <row r="26275" spans="1:6" x14ac:dyDescent="0.25">
      <c r="A26275" s="1" t="str">
        <f t="shared" si="950"/>
        <v>36820</v>
      </c>
      <c r="B26275" s="1" t="str">
        <f>"50207"</f>
        <v>50207</v>
      </c>
      <c r="C26275" s="2">
        <v>0.110784763653051</v>
      </c>
      <c r="D26275" s="2">
        <v>3.9337474120082802E-2</v>
      </c>
      <c r="E26275" s="2">
        <v>4.5023696682464399E-2</v>
      </c>
      <c r="F26275" s="2">
        <v>0.102906456077505</v>
      </c>
    </row>
    <row r="26276" spans="1:6" x14ac:dyDescent="0.25">
      <c r="A26276" s="1" t="str">
        <f t="shared" si="950"/>
        <v>36820</v>
      </c>
      <c r="B26276" s="1" t="str">
        <f>"52586"</f>
        <v>52586</v>
      </c>
      <c r="C26276" s="2">
        <v>2.1018815970628699E-2</v>
      </c>
      <c r="D26276" s="2">
        <v>1.0351966873706001E-3</v>
      </c>
      <c r="E26276" s="2">
        <v>2.36966824644549E-3</v>
      </c>
      <c r="F26276" s="2">
        <v>1.8806480501506101E-2</v>
      </c>
    </row>
    <row r="26277" spans="1:6" x14ac:dyDescent="0.25">
      <c r="A26277" s="1" t="str">
        <f t="shared" si="950"/>
        <v>36820</v>
      </c>
      <c r="B26277" s="1" t="str">
        <f>"52561"</f>
        <v>52561</v>
      </c>
      <c r="C26277" s="2">
        <v>3.9559430931620003E-2</v>
      </c>
      <c r="D26277" s="2">
        <v>1.4492753623188401E-2</v>
      </c>
      <c r="E26277" s="2">
        <v>2.60663507109004E-2</v>
      </c>
      <c r="F26277" s="2">
        <v>3.7124480989986101E-2</v>
      </c>
    </row>
    <row r="26278" spans="1:6" x14ac:dyDescent="0.25">
      <c r="A26278" s="1" t="str">
        <f t="shared" si="950"/>
        <v>36820</v>
      </c>
      <c r="B26278" s="1" t="str">
        <f>"50044"</f>
        <v>50044</v>
      </c>
      <c r="C26278" s="2">
        <v>6.4249655805415301E-3</v>
      </c>
      <c r="D26278" s="2">
        <v>1.0351966873706001E-3</v>
      </c>
      <c r="E26278" s="2">
        <v>0</v>
      </c>
      <c r="F26278" s="2">
        <v>5.7803468208092396E-3</v>
      </c>
    </row>
    <row r="26279" spans="1:6" x14ac:dyDescent="0.25">
      <c r="A26279" s="1" t="str">
        <f t="shared" si="950"/>
        <v>36820</v>
      </c>
      <c r="B26279" s="1" t="str">
        <f>"50256"</f>
        <v>50256</v>
      </c>
      <c r="C26279" s="2">
        <v>2.8453418999540999E-3</v>
      </c>
      <c r="D26279" s="2">
        <v>0</v>
      </c>
      <c r="E26279" s="2">
        <v>0</v>
      </c>
      <c r="F26279" s="2">
        <v>2.5238134006350201E-3</v>
      </c>
    </row>
    <row r="26280" spans="1:6" x14ac:dyDescent="0.25">
      <c r="A26280" s="1" t="str">
        <f t="shared" si="950"/>
        <v>36820</v>
      </c>
      <c r="B26280" s="1" t="str">
        <f>"50251"</f>
        <v>50251</v>
      </c>
      <c r="C26280" s="2">
        <v>1.8357044515832899E-4</v>
      </c>
      <c r="D26280" s="2">
        <v>1.0351966873706001E-3</v>
      </c>
      <c r="E26280" s="2">
        <v>0</v>
      </c>
      <c r="F26280" s="2">
        <v>2.4424000651306603E-4</v>
      </c>
    </row>
    <row r="26281" spans="1:6" x14ac:dyDescent="0.25">
      <c r="A26281" s="1" t="str">
        <f t="shared" si="950"/>
        <v>36820</v>
      </c>
      <c r="B26281" s="1" t="str">
        <f>"52553"</f>
        <v>52553</v>
      </c>
      <c r="C26281" s="2">
        <v>2.05598898577329E-2</v>
      </c>
      <c r="D26281" s="2">
        <v>6.2111801242236003E-3</v>
      </c>
      <c r="E26281" s="2">
        <v>4.7393364928909904E-3</v>
      </c>
      <c r="F26281" s="2">
        <v>1.8887893837010498E-2</v>
      </c>
    </row>
    <row r="26282" spans="1:6" x14ac:dyDescent="0.25">
      <c r="A26282" s="1" t="str">
        <f t="shared" si="950"/>
        <v>36820</v>
      </c>
      <c r="B26282" s="1" t="str">
        <f>"50153"</f>
        <v>50153</v>
      </c>
      <c r="C26282" s="2">
        <v>1.10142267094997E-3</v>
      </c>
      <c r="D26282" s="2">
        <v>1.0351966873706001E-3</v>
      </c>
      <c r="E26282" s="2">
        <v>0</v>
      </c>
      <c r="F26282" s="2">
        <v>1.05837336155662E-3</v>
      </c>
    </row>
    <row r="26283" spans="1:6" x14ac:dyDescent="0.25">
      <c r="A26283" s="1" t="str">
        <f t="shared" si="950"/>
        <v>36820</v>
      </c>
      <c r="B26283" s="1" t="str">
        <f>"50143"</f>
        <v>50143</v>
      </c>
      <c r="C26283" s="2">
        <v>2.6250573657641101E-2</v>
      </c>
      <c r="D26283" s="2">
        <v>4.1407867494824002E-3</v>
      </c>
      <c r="E26283" s="2">
        <v>7.10900473933649E-3</v>
      </c>
      <c r="F26283" s="2">
        <v>2.3854107302776099E-2</v>
      </c>
    </row>
    <row r="26284" spans="1:6" x14ac:dyDescent="0.25">
      <c r="A26284" s="1" t="str">
        <f t="shared" si="950"/>
        <v>36820</v>
      </c>
      <c r="B26284" s="1" t="str">
        <f>"50219"</f>
        <v>50219</v>
      </c>
      <c r="C26284" s="2">
        <v>2.6342358880220199E-2</v>
      </c>
      <c r="D26284" s="2">
        <v>7.2463768115942004E-3</v>
      </c>
      <c r="E26284" s="2">
        <v>0</v>
      </c>
      <c r="F26284" s="2">
        <v>2.39355206382805E-2</v>
      </c>
    </row>
    <row r="26285" spans="1:6" x14ac:dyDescent="0.25">
      <c r="A26285" s="1" t="str">
        <f t="shared" si="950"/>
        <v>36820</v>
      </c>
      <c r="B26285" s="1" t="str">
        <f>"52595"</f>
        <v>52595</v>
      </c>
      <c r="C26285" s="2">
        <v>1.7255621844882899E-2</v>
      </c>
      <c r="D26285" s="2">
        <v>1.0351966873706001E-3</v>
      </c>
      <c r="E26285" s="2">
        <v>2.36966824644549E-3</v>
      </c>
      <c r="F26285" s="2">
        <v>1.54685337458275E-2</v>
      </c>
    </row>
    <row r="26286" spans="1:6" x14ac:dyDescent="0.25">
      <c r="A26286" s="1" t="str">
        <f t="shared" si="950"/>
        <v>36820</v>
      </c>
      <c r="B26286" s="1" t="str">
        <f>"50027"</f>
        <v>50027</v>
      </c>
      <c r="C26286" s="2">
        <v>1.3767783386874699E-2</v>
      </c>
      <c r="D26286" s="2">
        <v>2.4844720496894401E-2</v>
      </c>
      <c r="E26286" s="2">
        <v>4.7393364928909904E-3</v>
      </c>
      <c r="F26286" s="2">
        <v>1.4328747048766501E-2</v>
      </c>
    </row>
    <row r="26287" spans="1:6" x14ac:dyDescent="0.25">
      <c r="A26287" s="1" t="str">
        <f t="shared" ref="A26287:A26297" si="951">"36830"</f>
        <v>36830</v>
      </c>
      <c r="B26287" s="1" t="str">
        <f>"99125"</f>
        <v>99125</v>
      </c>
      <c r="C26287" s="2">
        <v>1.2334258402713499E-3</v>
      </c>
      <c r="D26287" s="2">
        <v>0</v>
      </c>
      <c r="E26287" s="2">
        <v>0</v>
      </c>
      <c r="F26287" s="2">
        <v>1.0575016523463299E-3</v>
      </c>
    </row>
    <row r="26288" spans="1:6" x14ac:dyDescent="0.25">
      <c r="A26288" s="1" t="str">
        <f t="shared" si="951"/>
        <v>36830</v>
      </c>
      <c r="B26288" s="1" t="str">
        <f>"99105"</f>
        <v>99105</v>
      </c>
      <c r="C26288" s="2">
        <v>4.9337033610854101E-3</v>
      </c>
      <c r="D26288" s="2">
        <v>4.8231511254019201E-3</v>
      </c>
      <c r="E26288" s="2">
        <v>4.3763676148796402E-3</v>
      </c>
      <c r="F26288" s="2">
        <v>4.8909451421017798E-3</v>
      </c>
    </row>
    <row r="26289" spans="1:6" x14ac:dyDescent="0.25">
      <c r="A26289" s="1" t="str">
        <f t="shared" si="951"/>
        <v>36830</v>
      </c>
      <c r="B26289" s="1" t="str">
        <f>"99159"</f>
        <v>99159</v>
      </c>
      <c r="C26289" s="2">
        <v>4.9337033610854101E-3</v>
      </c>
      <c r="D26289" s="2">
        <v>0</v>
      </c>
      <c r="E26289" s="2">
        <v>2.1881838074398201E-3</v>
      </c>
      <c r="F26289" s="2">
        <v>4.3621943159286103E-3</v>
      </c>
    </row>
    <row r="26290" spans="1:6" x14ac:dyDescent="0.25">
      <c r="A26290" s="1" t="str">
        <f t="shared" si="951"/>
        <v>36830</v>
      </c>
      <c r="B26290" s="1" t="str">
        <f>"99344"</f>
        <v>99344</v>
      </c>
      <c r="C26290" s="2">
        <v>0.75732346592661104</v>
      </c>
      <c r="D26290" s="2">
        <v>0.61575562700964603</v>
      </c>
      <c r="E26290" s="2">
        <v>0.35448577680525101</v>
      </c>
      <c r="F26290" s="2">
        <v>0.72134831460674098</v>
      </c>
    </row>
    <row r="26291" spans="1:6" x14ac:dyDescent="0.25">
      <c r="A26291" s="1" t="str">
        <f t="shared" si="951"/>
        <v>36830</v>
      </c>
      <c r="B26291" s="1" t="str">
        <f>"99341"</f>
        <v>99341</v>
      </c>
      <c r="C26291" s="2">
        <v>1.3413506012950899E-2</v>
      </c>
      <c r="D26291" s="2">
        <v>1.12540192926045E-2</v>
      </c>
      <c r="E26291" s="2">
        <v>0.40262582056892698</v>
      </c>
      <c r="F26291" s="2">
        <v>3.6748182419034998E-2</v>
      </c>
    </row>
    <row r="26292" spans="1:6" x14ac:dyDescent="0.25">
      <c r="A26292" s="1" t="str">
        <f t="shared" si="951"/>
        <v>36830</v>
      </c>
      <c r="B26292" s="1" t="str">
        <f>"99017"</f>
        <v>99017</v>
      </c>
      <c r="C26292" s="2">
        <v>3.0835646006783802E-4</v>
      </c>
      <c r="D26292" s="2">
        <v>0</v>
      </c>
      <c r="E26292" s="2">
        <v>0</v>
      </c>
      <c r="F26292" s="2">
        <v>2.6437541308658199E-4</v>
      </c>
    </row>
    <row r="26293" spans="1:6" x14ac:dyDescent="0.25">
      <c r="A26293" s="1" t="str">
        <f t="shared" si="951"/>
        <v>36830</v>
      </c>
      <c r="B26293" s="1" t="str">
        <f>"98857"</f>
        <v>98857</v>
      </c>
      <c r="C26293" s="2">
        <v>2.7752081406105401E-3</v>
      </c>
      <c r="D26293" s="2">
        <v>0</v>
      </c>
      <c r="E26293" s="2">
        <v>0</v>
      </c>
      <c r="F26293" s="2">
        <v>2.3793787177792398E-3</v>
      </c>
    </row>
    <row r="26294" spans="1:6" x14ac:dyDescent="0.25">
      <c r="A26294" s="1" t="str">
        <f t="shared" si="951"/>
        <v>36830</v>
      </c>
      <c r="B26294" s="1" t="str">
        <f>"99326"</f>
        <v>99326</v>
      </c>
      <c r="C26294" s="2">
        <v>6.1671292013567604E-4</v>
      </c>
      <c r="D26294" s="2">
        <v>3.2154340836012801E-3</v>
      </c>
      <c r="E26294" s="2">
        <v>4.3763676148796402E-3</v>
      </c>
      <c r="F26294" s="2">
        <v>1.0575016523463299E-3</v>
      </c>
    </row>
    <row r="26295" spans="1:6" x14ac:dyDescent="0.25">
      <c r="A26295" s="1" t="str">
        <f t="shared" si="951"/>
        <v>36830</v>
      </c>
      <c r="B26295" s="1" t="str">
        <f>"99169"</f>
        <v>99169</v>
      </c>
      <c r="C26295" s="2">
        <v>0.17992599444958299</v>
      </c>
      <c r="D26295" s="2">
        <v>0.27974276527331099</v>
      </c>
      <c r="E26295" s="2">
        <v>0.22975929978118101</v>
      </c>
      <c r="F26295" s="2">
        <v>0.191143423661599</v>
      </c>
    </row>
    <row r="26296" spans="1:6" x14ac:dyDescent="0.25">
      <c r="A26296" s="1" t="str">
        <f t="shared" si="951"/>
        <v>36830</v>
      </c>
      <c r="B26296" s="1" t="str">
        <f>"99371"</f>
        <v>99371</v>
      </c>
      <c r="C26296" s="2">
        <v>3.1606537156953399E-2</v>
      </c>
      <c r="D26296" s="2">
        <v>8.0385852090032101E-2</v>
      </c>
      <c r="E26296" s="2">
        <v>2.1881838074398201E-3</v>
      </c>
      <c r="F26296" s="2">
        <v>3.3840052875082599E-2</v>
      </c>
    </row>
    <row r="26297" spans="1:6" x14ac:dyDescent="0.25">
      <c r="A26297" s="1" t="str">
        <f t="shared" si="951"/>
        <v>36830</v>
      </c>
      <c r="B26297" s="1" t="str">
        <f>"99032"</f>
        <v>99032</v>
      </c>
      <c r="C26297" s="2">
        <v>2.92938637064446E-3</v>
      </c>
      <c r="D26297" s="2">
        <v>4.8231511254019201E-3</v>
      </c>
      <c r="E26297" s="2">
        <v>0</v>
      </c>
      <c r="F26297" s="2">
        <v>2.9081295439524102E-3</v>
      </c>
    </row>
    <row r="26298" spans="1:6" x14ac:dyDescent="0.25">
      <c r="A26298" s="1" t="str">
        <f t="shared" ref="A26298:A26329" si="952">"36837"</f>
        <v>36837</v>
      </c>
      <c r="B26298" s="1" t="str">
        <f>"61334"</f>
        <v>61334</v>
      </c>
      <c r="C26298" s="2">
        <v>4.3065081941462899E-3</v>
      </c>
      <c r="D26298" s="2">
        <v>2.38929595412551E-3</v>
      </c>
      <c r="E26298" s="2">
        <v>7.4589756340129201E-4</v>
      </c>
      <c r="F26298" s="2">
        <v>4.0024914644274196E-3</v>
      </c>
    </row>
    <row r="26299" spans="1:6" x14ac:dyDescent="0.25">
      <c r="A26299" s="1" t="str">
        <f t="shared" si="952"/>
        <v>36837</v>
      </c>
      <c r="B26299" s="1" t="str">
        <f>"61344"</f>
        <v>61344</v>
      </c>
      <c r="C26299" s="2">
        <v>2.4739515157861602E-3</v>
      </c>
      <c r="D26299" s="2">
        <v>1.7521503663587099E-3</v>
      </c>
      <c r="E26299" s="2">
        <v>4.9726504226752801E-4</v>
      </c>
      <c r="F26299" s="2">
        <v>2.3299806219433399E-3</v>
      </c>
    </row>
    <row r="26300" spans="1:6" x14ac:dyDescent="0.25">
      <c r="A26300" s="1" t="str">
        <f t="shared" si="952"/>
        <v>36837</v>
      </c>
      <c r="B26300" s="1" t="str">
        <f>"61336"</f>
        <v>61336</v>
      </c>
      <c r="C26300" s="2">
        <v>5.0657102466097701E-3</v>
      </c>
      <c r="D26300" s="2">
        <v>4.7785919082510303E-4</v>
      </c>
      <c r="E26300" s="2">
        <v>9.945300845350571E-4</v>
      </c>
      <c r="F26300" s="2">
        <v>4.5446156685429503E-3</v>
      </c>
    </row>
    <row r="26301" spans="1:6" x14ac:dyDescent="0.25">
      <c r="A26301" s="1" t="str">
        <f t="shared" si="952"/>
        <v>36837</v>
      </c>
      <c r="B26301" s="1" t="str">
        <f>"61358"</f>
        <v>61358</v>
      </c>
      <c r="C26301" s="2">
        <v>2.9059113042567601E-3</v>
      </c>
      <c r="D26301" s="2">
        <v>9.5571838165020703E-4</v>
      </c>
      <c r="E26301" s="2">
        <v>9.1994032819492696E-3</v>
      </c>
      <c r="F26301" s="2">
        <v>3.0566577466088398E-3</v>
      </c>
    </row>
    <row r="26302" spans="1:6" x14ac:dyDescent="0.25">
      <c r="A26302" s="1" t="str">
        <f t="shared" si="952"/>
        <v>36837</v>
      </c>
      <c r="B26302" s="1" t="str">
        <f>"61283"</f>
        <v>61283</v>
      </c>
      <c r="C26302" s="2">
        <v>2.09435048955442E-3</v>
      </c>
      <c r="D26302" s="2">
        <v>6.3714558776680396E-4</v>
      </c>
      <c r="E26302" s="2">
        <v>0</v>
      </c>
      <c r="F26302" s="2">
        <v>1.8916674356371599E-3</v>
      </c>
    </row>
    <row r="26303" spans="1:6" x14ac:dyDescent="0.25">
      <c r="A26303" s="1" t="str">
        <f t="shared" si="952"/>
        <v>36837</v>
      </c>
      <c r="B26303" s="1" t="str">
        <f>"61234"</f>
        <v>61234</v>
      </c>
      <c r="C26303" s="2">
        <v>1.3089690559715099E-5</v>
      </c>
      <c r="D26303" s="2">
        <v>0</v>
      </c>
      <c r="E26303" s="2">
        <v>0</v>
      </c>
      <c r="F26303" s="2">
        <v>1.15345575343729E-5</v>
      </c>
    </row>
    <row r="26304" spans="1:6" x14ac:dyDescent="0.25">
      <c r="A26304" s="1" t="str">
        <f t="shared" si="952"/>
        <v>36837</v>
      </c>
      <c r="B26304" s="1" t="str">
        <f>"61371"</f>
        <v>61371</v>
      </c>
      <c r="C26304" s="2">
        <v>7.3302267134404899E-4</v>
      </c>
      <c r="D26304" s="2">
        <v>1.5928639694170099E-4</v>
      </c>
      <c r="E26304" s="2">
        <v>4.9726504226752801E-4</v>
      </c>
      <c r="F26304" s="2">
        <v>6.8053889452800501E-4</v>
      </c>
    </row>
    <row r="26305" spans="1:6" x14ac:dyDescent="0.25">
      <c r="A26305" s="1" t="str">
        <f t="shared" si="952"/>
        <v>36837</v>
      </c>
      <c r="B26305" s="1" t="str">
        <f>"61328"</f>
        <v>61328</v>
      </c>
      <c r="C26305" s="2">
        <v>5.2358762238860601E-5</v>
      </c>
      <c r="D26305" s="2">
        <v>1.5928639694170099E-4</v>
      </c>
      <c r="E26305" s="2">
        <v>2.48632521133764E-4</v>
      </c>
      <c r="F26305" s="2">
        <v>6.9207345206237798E-5</v>
      </c>
    </row>
    <row r="26306" spans="1:6" x14ac:dyDescent="0.25">
      <c r="A26306" s="1" t="str">
        <f t="shared" si="952"/>
        <v>36837</v>
      </c>
      <c r="B26306" s="1" t="str">
        <f>"61346"</f>
        <v>61346</v>
      </c>
      <c r="C26306" s="2">
        <v>4.8431855070946102E-4</v>
      </c>
      <c r="D26306" s="2">
        <v>1.5928639694170099E-4</v>
      </c>
      <c r="E26306" s="2">
        <v>2.48632521133764E-4</v>
      </c>
      <c r="F26306" s="2">
        <v>4.4984774384054598E-4</v>
      </c>
    </row>
    <row r="26307" spans="1:6" x14ac:dyDescent="0.25">
      <c r="A26307" s="1" t="str">
        <f t="shared" si="952"/>
        <v>36837</v>
      </c>
      <c r="B26307" s="1" t="str">
        <f>"61316"</f>
        <v>61316</v>
      </c>
      <c r="C26307" s="2">
        <v>0</v>
      </c>
      <c r="D26307" s="2">
        <v>0</v>
      </c>
      <c r="E26307" s="2">
        <v>2.48632521133764E-4</v>
      </c>
      <c r="F26307" s="2">
        <v>1.15345575343729E-5</v>
      </c>
    </row>
    <row r="26308" spans="1:6" x14ac:dyDescent="0.25">
      <c r="A26308" s="1" t="str">
        <f t="shared" si="952"/>
        <v>36837</v>
      </c>
      <c r="B26308" s="1" t="str">
        <f>"61332"</f>
        <v>61332</v>
      </c>
      <c r="C26308" s="2">
        <v>7.1993298078433402E-4</v>
      </c>
      <c r="D26308" s="2">
        <v>4.7785919082510303E-4</v>
      </c>
      <c r="E26308" s="2">
        <v>2.48632521133764E-4</v>
      </c>
      <c r="F26308" s="2">
        <v>6.8053889452800501E-4</v>
      </c>
    </row>
    <row r="26309" spans="1:6" x14ac:dyDescent="0.25">
      <c r="A26309" s="1" t="str">
        <f t="shared" si="952"/>
        <v>36837</v>
      </c>
      <c r="B26309" s="1" t="str">
        <f>"61329"</f>
        <v>61329</v>
      </c>
      <c r="C26309" s="2">
        <v>8.3512225770982704E-3</v>
      </c>
      <c r="D26309" s="2">
        <v>5.8935966868429402E-3</v>
      </c>
      <c r="E26309" s="2">
        <v>9.9453008453505697E-3</v>
      </c>
      <c r="F26309" s="2">
        <v>8.2472086370766803E-3</v>
      </c>
    </row>
    <row r="26310" spans="1:6" x14ac:dyDescent="0.25">
      <c r="A26310" s="1" t="str">
        <f t="shared" si="952"/>
        <v>36837</v>
      </c>
      <c r="B26310" s="1" t="str">
        <f>"61340"</f>
        <v>61340</v>
      </c>
      <c r="C26310" s="2">
        <v>2.8666422325776199E-3</v>
      </c>
      <c r="D26310" s="2">
        <v>0</v>
      </c>
      <c r="E26310" s="2">
        <v>2.7349577324714E-3</v>
      </c>
      <c r="F26310" s="2">
        <v>2.6529482329057802E-3</v>
      </c>
    </row>
    <row r="26311" spans="1:6" x14ac:dyDescent="0.25">
      <c r="A26311" s="1" t="str">
        <f t="shared" si="952"/>
        <v>36837</v>
      </c>
      <c r="B26311" s="1" t="str">
        <f>"60531"</f>
        <v>60531</v>
      </c>
      <c r="C26311" s="2">
        <v>1.05241112100109E-2</v>
      </c>
      <c r="D26311" s="2">
        <v>2.8671551449506198E-3</v>
      </c>
      <c r="E26311" s="2">
        <v>4.9726504226752797E-3</v>
      </c>
      <c r="F26311" s="2">
        <v>9.7120974439420492E-3</v>
      </c>
    </row>
    <row r="26312" spans="1:6" x14ac:dyDescent="0.25">
      <c r="A26312" s="1" t="str">
        <f t="shared" si="952"/>
        <v>36837</v>
      </c>
      <c r="B26312" s="1" t="str">
        <f>"60549"</f>
        <v>60549</v>
      </c>
      <c r="C26312" s="2">
        <v>4.6599298392585899E-3</v>
      </c>
      <c r="D26312" s="2">
        <v>2.2300095571838102E-3</v>
      </c>
      <c r="E26312" s="2">
        <v>0</v>
      </c>
      <c r="F26312" s="2">
        <v>4.2677862877179996E-3</v>
      </c>
    </row>
    <row r="26313" spans="1:6" x14ac:dyDescent="0.25">
      <c r="A26313" s="1" t="str">
        <f t="shared" si="952"/>
        <v>36837</v>
      </c>
      <c r="B26313" s="1" t="str">
        <f>"61342"</f>
        <v>61342</v>
      </c>
      <c r="C26313" s="2">
        <v>5.14817529713597E-2</v>
      </c>
      <c r="D26313" s="2">
        <v>6.2918126791971896E-2</v>
      </c>
      <c r="E26313" s="2">
        <v>4.4753853804077502E-2</v>
      </c>
      <c r="F26313" s="2">
        <v>5.1997785364953399E-2</v>
      </c>
    </row>
    <row r="26314" spans="1:6" x14ac:dyDescent="0.25">
      <c r="A26314" s="1" t="str">
        <f t="shared" si="952"/>
        <v>36837</v>
      </c>
      <c r="B26314" s="1" t="str">
        <f>"60557"</f>
        <v>60557</v>
      </c>
      <c r="C26314" s="2">
        <v>4.5813916959002999E-4</v>
      </c>
      <c r="D26314" s="2">
        <v>0</v>
      </c>
      <c r="E26314" s="2">
        <v>1.2431626056688199E-3</v>
      </c>
      <c r="F26314" s="2">
        <v>4.6138230137491898E-4</v>
      </c>
    </row>
    <row r="26315" spans="1:6" x14ac:dyDescent="0.25">
      <c r="A26315" s="1" t="str">
        <f t="shared" si="952"/>
        <v>36837</v>
      </c>
      <c r="B26315" s="1" t="str">
        <f>"61373"</f>
        <v>61373</v>
      </c>
      <c r="C26315" s="2">
        <v>1.1977066862139301E-2</v>
      </c>
      <c r="D26315" s="2">
        <v>1.25836253583943E-2</v>
      </c>
      <c r="E26315" s="2">
        <v>7.2103431128791601E-3</v>
      </c>
      <c r="F26315" s="2">
        <v>1.1799852357663501E-2</v>
      </c>
    </row>
    <row r="26316" spans="1:6" x14ac:dyDescent="0.25">
      <c r="A26316" s="1" t="str">
        <f t="shared" si="952"/>
        <v>36837</v>
      </c>
      <c r="B26316" s="1" t="str">
        <f>"61560"</f>
        <v>61560</v>
      </c>
      <c r="C26316" s="2">
        <v>7.5789308340750801E-3</v>
      </c>
      <c r="D26316" s="2">
        <v>7.9643198470850495E-4</v>
      </c>
      <c r="E26316" s="2">
        <v>7.4589756340129201E-4</v>
      </c>
      <c r="F26316" s="2">
        <v>6.7707852726769397E-3</v>
      </c>
    </row>
    <row r="26317" spans="1:6" x14ac:dyDescent="0.25">
      <c r="A26317" s="1" t="str">
        <f t="shared" si="952"/>
        <v>36837</v>
      </c>
      <c r="B26317" s="1" t="str">
        <f>"61354"</f>
        <v>61354</v>
      </c>
      <c r="C26317" s="2">
        <v>6.9781140373841505E-2</v>
      </c>
      <c r="D26317" s="2">
        <v>0.13395985982797001</v>
      </c>
      <c r="E26317" s="2">
        <v>8.6275484833416197E-2</v>
      </c>
      <c r="F26317" s="2">
        <v>7.5193780566577398E-2</v>
      </c>
    </row>
    <row r="26318" spans="1:6" x14ac:dyDescent="0.25">
      <c r="A26318" s="1" t="str">
        <f t="shared" si="952"/>
        <v>36837</v>
      </c>
      <c r="B26318" s="1" t="str">
        <f>"61364"</f>
        <v>61364</v>
      </c>
      <c r="C26318" s="2">
        <v>0.111092203780302</v>
      </c>
      <c r="D26318" s="2">
        <v>0.119783370500159</v>
      </c>
      <c r="E26318" s="2">
        <v>0.13500745897563399</v>
      </c>
      <c r="F26318" s="2">
        <v>0.112831041801236</v>
      </c>
    </row>
    <row r="26319" spans="1:6" x14ac:dyDescent="0.25">
      <c r="A26319" s="1" t="str">
        <f t="shared" si="952"/>
        <v>36837</v>
      </c>
      <c r="B26319" s="1" t="str">
        <f>"61326"</f>
        <v>61326</v>
      </c>
      <c r="C26319" s="2">
        <v>1.7265301848264299E-2</v>
      </c>
      <c r="D26319" s="2">
        <v>9.8757566103854708E-3</v>
      </c>
      <c r="E26319" s="2">
        <v>8.4535057185479798E-3</v>
      </c>
      <c r="F26319" s="2">
        <v>1.6321398911137701E-2</v>
      </c>
    </row>
    <row r="26320" spans="1:6" x14ac:dyDescent="0.25">
      <c r="A26320" s="1" t="str">
        <f t="shared" si="952"/>
        <v>36837</v>
      </c>
      <c r="B26320" s="1" t="str">
        <f>"60552"</f>
        <v>60552</v>
      </c>
      <c r="C26320" s="2">
        <v>1.35740091104246E-2</v>
      </c>
      <c r="D26320" s="2">
        <v>3.02644154189232E-3</v>
      </c>
      <c r="E26320" s="2">
        <v>4.4753853804077497E-3</v>
      </c>
      <c r="F26320" s="2">
        <v>1.23881147919165E-2</v>
      </c>
    </row>
    <row r="26321" spans="1:6" x14ac:dyDescent="0.25">
      <c r="A26321" s="1" t="str">
        <f t="shared" si="952"/>
        <v>36837</v>
      </c>
      <c r="B26321" s="1" t="str">
        <f>"61341"</f>
        <v>61341</v>
      </c>
      <c r="C26321" s="2">
        <v>5.30394261479658E-2</v>
      </c>
      <c r="D26321" s="2">
        <v>3.5361580121057598E-2</v>
      </c>
      <c r="E26321" s="2">
        <v>5.3953257086026801E-2</v>
      </c>
      <c r="F26321" s="2">
        <v>5.1801697886869003E-2</v>
      </c>
    </row>
    <row r="26322" spans="1:6" x14ac:dyDescent="0.25">
      <c r="A26322" s="1" t="str">
        <f t="shared" si="952"/>
        <v>36837</v>
      </c>
      <c r="B26322" s="1" t="str">
        <f>"61243"</f>
        <v>61243</v>
      </c>
      <c r="C26322" s="2">
        <v>3.9269071679145502E-5</v>
      </c>
      <c r="D26322" s="2">
        <v>0</v>
      </c>
      <c r="E26322" s="2">
        <v>0</v>
      </c>
      <c r="F26322" s="2">
        <v>3.4603672603118899E-5</v>
      </c>
    </row>
    <row r="26323" spans="1:6" x14ac:dyDescent="0.25">
      <c r="A26323" s="1" t="str">
        <f t="shared" si="952"/>
        <v>36837</v>
      </c>
      <c r="B26323" s="1" t="str">
        <f>"60437"</f>
        <v>60437</v>
      </c>
      <c r="C26323" s="2">
        <v>1.3089690559715099E-5</v>
      </c>
      <c r="D26323" s="2">
        <v>0</v>
      </c>
      <c r="E26323" s="2">
        <v>0</v>
      </c>
      <c r="F26323" s="2">
        <v>1.15345575343729E-5</v>
      </c>
    </row>
    <row r="26324" spans="1:6" x14ac:dyDescent="0.25">
      <c r="A26324" s="1" t="str">
        <f t="shared" si="952"/>
        <v>36837</v>
      </c>
      <c r="B26324" s="1" t="str">
        <f>"61323"</f>
        <v>61323</v>
      </c>
      <c r="C26324" s="2">
        <v>5.3667731294832096E-4</v>
      </c>
      <c r="D26324" s="2">
        <v>4.7785919082510303E-4</v>
      </c>
      <c r="E26324" s="2">
        <v>2.48632521133764E-4</v>
      </c>
      <c r="F26324" s="2">
        <v>5.1905508904678398E-4</v>
      </c>
    </row>
    <row r="26325" spans="1:6" x14ac:dyDescent="0.25">
      <c r="A26325" s="1" t="str">
        <f t="shared" si="952"/>
        <v>36837</v>
      </c>
      <c r="B26325" s="1" t="str">
        <f>"61443"</f>
        <v>61443</v>
      </c>
      <c r="C26325" s="2">
        <v>1.17807215037436E-4</v>
      </c>
      <c r="D26325" s="2">
        <v>4.7785919082510303E-4</v>
      </c>
      <c r="E26325" s="2">
        <v>4.9726504226752801E-4</v>
      </c>
      <c r="F26325" s="2">
        <v>1.61483805481221E-4</v>
      </c>
    </row>
    <row r="26326" spans="1:6" x14ac:dyDescent="0.25">
      <c r="A26326" s="1" t="str">
        <f t="shared" si="952"/>
        <v>36837</v>
      </c>
      <c r="B26326" s="1" t="str">
        <f>"60548"</f>
        <v>60548</v>
      </c>
      <c r="C26326" s="2">
        <v>2.4215927535473001E-2</v>
      </c>
      <c r="D26326" s="2">
        <v>2.38929595412551E-3</v>
      </c>
      <c r="E26326" s="2">
        <v>2.4863252113376398E-3</v>
      </c>
      <c r="F26326" s="2">
        <v>2.1627295376949299E-2</v>
      </c>
    </row>
    <row r="26327" spans="1:6" x14ac:dyDescent="0.25">
      <c r="A26327" s="1" t="str">
        <f t="shared" si="952"/>
        <v>36837</v>
      </c>
      <c r="B26327" s="1" t="str">
        <f>"61301"</f>
        <v>61301</v>
      </c>
      <c r="C26327" s="2">
        <v>6.6796690926226504E-2</v>
      </c>
      <c r="D26327" s="2">
        <v>8.8881809493469202E-2</v>
      </c>
      <c r="E26327" s="2">
        <v>0.112381899552461</v>
      </c>
      <c r="F26327" s="2">
        <v>7.0510750207622E-2</v>
      </c>
    </row>
    <row r="26328" spans="1:6" x14ac:dyDescent="0.25">
      <c r="A26328" s="1" t="str">
        <f t="shared" si="952"/>
        <v>36837</v>
      </c>
      <c r="B26328" s="1" t="str">
        <f>"61325"</f>
        <v>61325</v>
      </c>
      <c r="C26328" s="2">
        <v>5.8772710613121098E-3</v>
      </c>
      <c r="D26328" s="2">
        <v>3.1857279388340198E-3</v>
      </c>
      <c r="E26328" s="2">
        <v>2.4863252113376398E-3</v>
      </c>
      <c r="F26328" s="2">
        <v>5.5250530589646503E-3</v>
      </c>
    </row>
    <row r="26329" spans="1:6" x14ac:dyDescent="0.25">
      <c r="A26329" s="1" t="str">
        <f t="shared" si="952"/>
        <v>36837</v>
      </c>
      <c r="B26329" s="1" t="str">
        <f>"61368"</f>
        <v>61368</v>
      </c>
      <c r="C26329" s="2">
        <v>1.3181318393633099E-2</v>
      </c>
      <c r="D26329" s="2">
        <v>4.1414463204842303E-3</v>
      </c>
      <c r="E26329" s="2">
        <v>3.72948781700646E-3</v>
      </c>
      <c r="F26329" s="2">
        <v>1.2088216296022801E-2</v>
      </c>
    </row>
    <row r="26330" spans="1:6" x14ac:dyDescent="0.25">
      <c r="A26330" s="1" t="str">
        <f t="shared" ref="A26330:A26365" si="953">"36837"</f>
        <v>36837</v>
      </c>
      <c r="B26330" s="1" t="str">
        <f>"60551"</f>
        <v>60551</v>
      </c>
      <c r="C26330" s="2">
        <v>2.1676527566888301E-2</v>
      </c>
      <c r="D26330" s="2">
        <v>4.3007327174259301E-3</v>
      </c>
      <c r="E26330" s="2">
        <v>1.3177523620089501E-2</v>
      </c>
      <c r="F26330" s="2">
        <v>2.00239918796714E-2</v>
      </c>
    </row>
    <row r="26331" spans="1:6" x14ac:dyDescent="0.25">
      <c r="A26331" s="1" t="str">
        <f t="shared" si="953"/>
        <v>36837</v>
      </c>
      <c r="B26331" s="1" t="str">
        <f>"60470"</f>
        <v>60470</v>
      </c>
      <c r="C26331" s="2">
        <v>3.6520236661605299E-3</v>
      </c>
      <c r="D26331" s="2">
        <v>2.07072316024211E-3</v>
      </c>
      <c r="E26331" s="2">
        <v>7.4589756340129201E-4</v>
      </c>
      <c r="F26331" s="2">
        <v>3.4026944726400199E-3</v>
      </c>
    </row>
    <row r="26332" spans="1:6" x14ac:dyDescent="0.25">
      <c r="A26332" s="1" t="str">
        <f t="shared" si="953"/>
        <v>36837</v>
      </c>
      <c r="B26332" s="1" t="str">
        <f>"61317"</f>
        <v>61317</v>
      </c>
      <c r="C26332" s="2">
        <v>2.5917587308236E-3</v>
      </c>
      <c r="D26332" s="2">
        <v>2.2300095571838102E-3</v>
      </c>
      <c r="E26332" s="2">
        <v>0</v>
      </c>
      <c r="F26332" s="2">
        <v>2.4453261972870702E-3</v>
      </c>
    </row>
    <row r="26333" spans="1:6" x14ac:dyDescent="0.25">
      <c r="A26333" s="1" t="str">
        <f t="shared" si="953"/>
        <v>36837</v>
      </c>
      <c r="B26333" s="1" t="str">
        <f>"61350"</f>
        <v>61350</v>
      </c>
      <c r="C26333" s="2">
        <v>0.170179066966856</v>
      </c>
      <c r="D26333" s="2">
        <v>0.24928321121376201</v>
      </c>
      <c r="E26333" s="2">
        <v>0.199651914470412</v>
      </c>
      <c r="F26333" s="2">
        <v>0.17727461474577799</v>
      </c>
    </row>
    <row r="26334" spans="1:6" x14ac:dyDescent="0.25">
      <c r="A26334" s="1" t="str">
        <f t="shared" si="953"/>
        <v>36837</v>
      </c>
      <c r="B26334" s="1" t="str">
        <f>"61360"</f>
        <v>61360</v>
      </c>
      <c r="C26334" s="2">
        <v>1.8888423477668899E-2</v>
      </c>
      <c r="D26334" s="2">
        <v>1.5132207709461601E-2</v>
      </c>
      <c r="E26334" s="2">
        <v>8.9507707608155098E-3</v>
      </c>
      <c r="F26334" s="2">
        <v>1.8155393559102999E-2</v>
      </c>
    </row>
    <row r="26335" spans="1:6" x14ac:dyDescent="0.25">
      <c r="A26335" s="1" t="str">
        <f t="shared" si="953"/>
        <v>36837</v>
      </c>
      <c r="B26335" s="1" t="str">
        <f>"61349"</f>
        <v>61349</v>
      </c>
      <c r="C26335" s="2">
        <v>6.41394837426043E-3</v>
      </c>
      <c r="D26335" s="2">
        <v>2.38929595412551E-3</v>
      </c>
      <c r="E26335" s="2">
        <v>3.23222277473893E-3</v>
      </c>
      <c r="F26335" s="2">
        <v>5.9749008028051999E-3</v>
      </c>
    </row>
    <row r="26336" spans="1:6" x14ac:dyDescent="0.25">
      <c r="A26336" s="1" t="str">
        <f t="shared" si="953"/>
        <v>36837</v>
      </c>
      <c r="B26336" s="1" t="str">
        <f>"61335"</f>
        <v>61335</v>
      </c>
      <c r="C26336" s="2">
        <v>5.5631184878789401E-3</v>
      </c>
      <c r="D26336" s="2">
        <v>3.8228735266008199E-3</v>
      </c>
      <c r="E26336" s="2">
        <v>7.4589756340129201E-4</v>
      </c>
      <c r="F26336" s="2">
        <v>5.2136200055365803E-3</v>
      </c>
    </row>
    <row r="26337" spans="1:6" x14ac:dyDescent="0.25">
      <c r="A26337" s="1" t="str">
        <f t="shared" si="953"/>
        <v>36837</v>
      </c>
      <c r="B26337" s="1" t="str">
        <f>"61379"</f>
        <v>61379</v>
      </c>
      <c r="C26337" s="2">
        <v>8.1548772187025401E-3</v>
      </c>
      <c r="D26337" s="2">
        <v>6.05288308378464E-3</v>
      </c>
      <c r="E26337" s="2">
        <v>3.4808552958727002E-3</v>
      </c>
      <c r="F26337" s="2">
        <v>7.7858263357017598E-3</v>
      </c>
    </row>
    <row r="26338" spans="1:6" x14ac:dyDescent="0.25">
      <c r="A26338" s="1" t="str">
        <f t="shared" si="953"/>
        <v>36837</v>
      </c>
      <c r="B26338" s="1" t="str">
        <f>"61359"</f>
        <v>61359</v>
      </c>
      <c r="C26338" s="2">
        <v>1.6754803916435401E-3</v>
      </c>
      <c r="D26338" s="2">
        <v>1.4335775724753099E-3</v>
      </c>
      <c r="E26338" s="2">
        <v>2.48632521133764E-4</v>
      </c>
      <c r="F26338" s="2">
        <v>1.59176893974347E-3</v>
      </c>
    </row>
    <row r="26339" spans="1:6" x14ac:dyDescent="0.25">
      <c r="A26339" s="1" t="str">
        <f t="shared" si="953"/>
        <v>36837</v>
      </c>
      <c r="B26339" s="1" t="str">
        <f>"61374"</f>
        <v>61374</v>
      </c>
      <c r="C26339" s="2">
        <v>7.7229174302319401E-4</v>
      </c>
      <c r="D26339" s="2">
        <v>7.9643198470850495E-4</v>
      </c>
      <c r="E26339" s="2">
        <v>0</v>
      </c>
      <c r="F26339" s="2">
        <v>7.3821168219986996E-4</v>
      </c>
    </row>
    <row r="26340" spans="1:6" x14ac:dyDescent="0.25">
      <c r="A26340" s="1" t="str">
        <f t="shared" si="953"/>
        <v>36837</v>
      </c>
      <c r="B26340" s="1" t="str">
        <f>"61315"</f>
        <v>61315</v>
      </c>
      <c r="C26340" s="2">
        <v>1.4529556521283801E-3</v>
      </c>
      <c r="D26340" s="2">
        <v>9.5571838165020703E-4</v>
      </c>
      <c r="E26340" s="2">
        <v>7.4589756340129201E-4</v>
      </c>
      <c r="F26340" s="2">
        <v>1.3841469041247501E-3</v>
      </c>
    </row>
    <row r="26341" spans="1:6" x14ac:dyDescent="0.25">
      <c r="A26341" s="1" t="str">
        <f t="shared" si="953"/>
        <v>36837</v>
      </c>
      <c r="B26341" s="1" t="str">
        <f>"61338"</f>
        <v>61338</v>
      </c>
      <c r="C26341" s="2">
        <v>2.2645164668307202E-3</v>
      </c>
      <c r="D26341" s="2">
        <v>6.3714558776680396E-4</v>
      </c>
      <c r="E26341" s="2">
        <v>7.4589756340129201E-4</v>
      </c>
      <c r="F26341" s="2">
        <v>2.0762203561871299E-3</v>
      </c>
    </row>
    <row r="26342" spans="1:6" x14ac:dyDescent="0.25">
      <c r="A26342" s="1" t="str">
        <f t="shared" si="953"/>
        <v>36837</v>
      </c>
      <c r="B26342" s="1" t="str">
        <f>"60541"</f>
        <v>60541</v>
      </c>
      <c r="C26342" s="2">
        <v>8.7700926750091605E-4</v>
      </c>
      <c r="D26342" s="2">
        <v>0</v>
      </c>
      <c r="E26342" s="2">
        <v>0</v>
      </c>
      <c r="F26342" s="2">
        <v>7.7281535480298901E-4</v>
      </c>
    </row>
    <row r="26343" spans="1:6" x14ac:dyDescent="0.25">
      <c r="A26343" s="1" t="str">
        <f t="shared" si="953"/>
        <v>36837</v>
      </c>
      <c r="B26343" s="1" t="str">
        <f>"61377"</f>
        <v>61377</v>
      </c>
      <c r="C26343" s="2">
        <v>1.1257133881355001E-3</v>
      </c>
      <c r="D26343" s="2">
        <v>6.3714558776680396E-4</v>
      </c>
      <c r="E26343" s="2">
        <v>0</v>
      </c>
      <c r="F26343" s="2">
        <v>1.0381101780935599E-3</v>
      </c>
    </row>
    <row r="26344" spans="1:6" x14ac:dyDescent="0.25">
      <c r="A26344" s="1" t="str">
        <f t="shared" si="953"/>
        <v>36837</v>
      </c>
      <c r="B26344" s="1" t="str">
        <f>"60537"</f>
        <v>60537</v>
      </c>
      <c r="C26344" s="2">
        <v>1.9241845122781201E-3</v>
      </c>
      <c r="D26344" s="2">
        <v>1.5928639694170099E-4</v>
      </c>
      <c r="E26344" s="2">
        <v>0</v>
      </c>
      <c r="F26344" s="2">
        <v>1.7071145150871999E-3</v>
      </c>
    </row>
    <row r="26345" spans="1:6" x14ac:dyDescent="0.25">
      <c r="A26345" s="1" t="str">
        <f t="shared" si="953"/>
        <v>36837</v>
      </c>
      <c r="B26345" s="1" t="str">
        <f>"61363"</f>
        <v>61363</v>
      </c>
      <c r="C26345" s="2">
        <v>1.93727420283784E-3</v>
      </c>
      <c r="D26345" s="2">
        <v>4.7785919082510303E-4</v>
      </c>
      <c r="E26345" s="2">
        <v>9.945300845350571E-4</v>
      </c>
      <c r="F26345" s="2">
        <v>1.7878564178278101E-3</v>
      </c>
    </row>
    <row r="26346" spans="1:6" x14ac:dyDescent="0.25">
      <c r="A26346" s="1" t="str">
        <f t="shared" si="953"/>
        <v>36837</v>
      </c>
      <c r="B26346" s="1" t="str">
        <f>"61348"</f>
        <v>61348</v>
      </c>
      <c r="C26346" s="2">
        <v>3.15199748677941E-2</v>
      </c>
      <c r="D26346" s="2">
        <v>2.9149410640331299E-2</v>
      </c>
      <c r="E26346" s="2">
        <v>3.2073595226255497E-2</v>
      </c>
      <c r="F26346" s="2">
        <v>3.1373996493494503E-2</v>
      </c>
    </row>
    <row r="26347" spans="1:6" x14ac:dyDescent="0.25">
      <c r="A26347" s="1" t="str">
        <f t="shared" si="953"/>
        <v>36837</v>
      </c>
      <c r="B26347" s="1" t="str">
        <f>"61321"</f>
        <v>61321</v>
      </c>
      <c r="C26347" s="2">
        <v>2.1990680140321398E-3</v>
      </c>
      <c r="D26347" s="2">
        <v>6.3714558776680396E-4</v>
      </c>
      <c r="E26347" s="2">
        <v>1.7404276479363501E-3</v>
      </c>
      <c r="F26347" s="2">
        <v>2.0646857986527599E-3</v>
      </c>
    </row>
    <row r="26348" spans="1:6" x14ac:dyDescent="0.25">
      <c r="A26348" s="1" t="str">
        <f t="shared" si="953"/>
        <v>36837</v>
      </c>
      <c r="B26348" s="1" t="str">
        <f>"61330"</f>
        <v>61330</v>
      </c>
      <c r="C26348" s="2">
        <v>1.07204565684067E-2</v>
      </c>
      <c r="D26348" s="2">
        <v>2.70786874800892E-3</v>
      </c>
      <c r="E26348" s="2">
        <v>3.23222277473893E-3</v>
      </c>
      <c r="F26348" s="2">
        <v>9.7928393466826594E-3</v>
      </c>
    </row>
    <row r="26349" spans="1:6" x14ac:dyDescent="0.25">
      <c r="A26349" s="1" t="str">
        <f t="shared" si="953"/>
        <v>36837</v>
      </c>
      <c r="B26349" s="1" t="str">
        <f>"61372"</f>
        <v>61372</v>
      </c>
      <c r="C26349" s="2">
        <v>1.1388030786952099E-3</v>
      </c>
      <c r="D26349" s="2">
        <v>2.5485823510672102E-3</v>
      </c>
      <c r="E26349" s="2">
        <v>1.4917951268025799E-3</v>
      </c>
      <c r="F26349" s="2">
        <v>1.25726677124665E-3</v>
      </c>
    </row>
    <row r="26350" spans="1:6" x14ac:dyDescent="0.25">
      <c r="A26350" s="1" t="str">
        <f t="shared" si="953"/>
        <v>36837</v>
      </c>
      <c r="B26350" s="1" t="str">
        <f>"60518"</f>
        <v>60518</v>
      </c>
      <c r="C26350" s="2">
        <v>1.91109482171841E-2</v>
      </c>
      <c r="D26350" s="2">
        <v>6.2121694807263398E-3</v>
      </c>
      <c r="E26350" s="2">
        <v>1.1188463451019299E-2</v>
      </c>
      <c r="F26350" s="2">
        <v>1.7809356833071801E-2</v>
      </c>
    </row>
    <row r="26351" spans="1:6" x14ac:dyDescent="0.25">
      <c r="A26351" s="1" t="str">
        <f t="shared" si="953"/>
        <v>36837</v>
      </c>
      <c r="B26351" s="1" t="str">
        <f>"61356"</f>
        <v>61356</v>
      </c>
      <c r="C26351" s="2">
        <v>8.5606576260537207E-2</v>
      </c>
      <c r="D26351" s="2">
        <v>0.113889773813316</v>
      </c>
      <c r="E26351" s="2">
        <v>0.11536548980606599</v>
      </c>
      <c r="F26351" s="2">
        <v>8.9035249607824996E-2</v>
      </c>
    </row>
    <row r="26352" spans="1:6" x14ac:dyDescent="0.25">
      <c r="A26352" s="1" t="str">
        <f t="shared" si="953"/>
        <v>36837</v>
      </c>
      <c r="B26352" s="1" t="str">
        <f>"61361"</f>
        <v>61361</v>
      </c>
      <c r="C26352" s="2">
        <v>9.8565369914655199E-3</v>
      </c>
      <c r="D26352" s="2">
        <v>7.3271742593182497E-3</v>
      </c>
      <c r="E26352" s="2">
        <v>9.945300845350571E-4</v>
      </c>
      <c r="F26352" s="2">
        <v>9.2622497001014995E-3</v>
      </c>
    </row>
    <row r="26353" spans="1:6" x14ac:dyDescent="0.25">
      <c r="A26353" s="1" t="str">
        <f t="shared" si="953"/>
        <v>36837</v>
      </c>
      <c r="B26353" s="1" t="str">
        <f>"61370"</f>
        <v>61370</v>
      </c>
      <c r="C26353" s="2">
        <v>8.4166710298968495E-3</v>
      </c>
      <c r="D26353" s="2">
        <v>4.1414463204842303E-3</v>
      </c>
      <c r="E26353" s="2">
        <v>4.7240179015415199E-3</v>
      </c>
      <c r="F26353" s="2">
        <v>7.9357755836486094E-3</v>
      </c>
    </row>
    <row r="26354" spans="1:6" x14ac:dyDescent="0.25">
      <c r="A26354" s="1" t="str">
        <f t="shared" si="953"/>
        <v>36837</v>
      </c>
      <c r="B26354" s="1" t="str">
        <f>"61376"</f>
        <v>61376</v>
      </c>
      <c r="C26354" s="2">
        <v>1.2409026650609899E-2</v>
      </c>
      <c r="D26354" s="2">
        <v>2.38929595412551E-3</v>
      </c>
      <c r="E26354" s="2">
        <v>4.9726504226752797E-3</v>
      </c>
      <c r="F26354" s="2">
        <v>1.13384700562886E-2</v>
      </c>
    </row>
    <row r="26355" spans="1:6" x14ac:dyDescent="0.25">
      <c r="A26355" s="1" t="str">
        <f t="shared" si="953"/>
        <v>36837</v>
      </c>
      <c r="B26355" s="1" t="str">
        <f>"61327"</f>
        <v>61327</v>
      </c>
      <c r="C26355" s="2">
        <v>7.6443792868736496E-3</v>
      </c>
      <c r="D26355" s="2">
        <v>5.5750238929595398E-3</v>
      </c>
      <c r="E26355" s="2">
        <v>5.7185479860765703E-3</v>
      </c>
      <c r="F26355" s="2">
        <v>7.4051859370674496E-3</v>
      </c>
    </row>
    <row r="26356" spans="1:6" x14ac:dyDescent="0.25">
      <c r="A26356" s="1" t="str">
        <f t="shared" si="953"/>
        <v>36837</v>
      </c>
      <c r="B26356" s="1" t="str">
        <f>"61311"</f>
        <v>61311</v>
      </c>
      <c r="C26356" s="2">
        <v>5.2358762238860601E-5</v>
      </c>
      <c r="D26356" s="2">
        <v>0</v>
      </c>
      <c r="E26356" s="2">
        <v>0</v>
      </c>
      <c r="F26356" s="2">
        <v>4.6138230137491899E-5</v>
      </c>
    </row>
    <row r="26357" spans="1:6" x14ac:dyDescent="0.25">
      <c r="A26357" s="1" t="str">
        <f t="shared" si="953"/>
        <v>36837</v>
      </c>
      <c r="B26357" s="1" t="str">
        <f>"61333"</f>
        <v>61333</v>
      </c>
      <c r="C26357" s="2">
        <v>1.3089690559715099E-5</v>
      </c>
      <c r="D26357" s="2">
        <v>0</v>
      </c>
      <c r="E26357" s="2">
        <v>0</v>
      </c>
      <c r="F26357" s="2">
        <v>1.15345575343729E-5</v>
      </c>
    </row>
    <row r="26358" spans="1:6" x14ac:dyDescent="0.25">
      <c r="A26358" s="1" t="str">
        <f t="shared" si="953"/>
        <v>36837</v>
      </c>
      <c r="B26358" s="1" t="str">
        <f>"61320"</f>
        <v>61320</v>
      </c>
      <c r="C26358" s="2">
        <v>4.0185350018325499E-3</v>
      </c>
      <c r="D26358" s="2">
        <v>3.1857279388340198E-4</v>
      </c>
      <c r="E26358" s="2">
        <v>1.4917951268025799E-3</v>
      </c>
      <c r="F26358" s="2">
        <v>3.6333856233274802E-3</v>
      </c>
    </row>
    <row r="26359" spans="1:6" x14ac:dyDescent="0.25">
      <c r="A26359" s="1" t="str">
        <f t="shared" si="953"/>
        <v>36837</v>
      </c>
      <c r="B26359" s="1" t="str">
        <f>"61312"</f>
        <v>61312</v>
      </c>
      <c r="C26359" s="2">
        <v>3.9923556207131202E-3</v>
      </c>
      <c r="D26359" s="2">
        <v>4.7785919082510303E-4</v>
      </c>
      <c r="E26359" s="2">
        <v>2.48632521133764E-4</v>
      </c>
      <c r="F26359" s="2">
        <v>3.5641782781212499E-3</v>
      </c>
    </row>
    <row r="26360" spans="1:6" x14ac:dyDescent="0.25">
      <c r="A26360" s="1" t="str">
        <f t="shared" si="953"/>
        <v>36837</v>
      </c>
      <c r="B26360" s="1" t="str">
        <f>"61337"</f>
        <v>61337</v>
      </c>
      <c r="C26360" s="2">
        <v>3.5603958322425202E-3</v>
      </c>
      <c r="D26360" s="2">
        <v>1.1150047785919001E-3</v>
      </c>
      <c r="E26360" s="2">
        <v>4.9726504226752801E-4</v>
      </c>
      <c r="F26360" s="2">
        <v>3.2412106671588E-3</v>
      </c>
    </row>
    <row r="26361" spans="1:6" x14ac:dyDescent="0.25">
      <c r="A26361" s="1" t="str">
        <f t="shared" si="953"/>
        <v>36837</v>
      </c>
      <c r="B26361" s="1" t="str">
        <f>"61421"</f>
        <v>61421</v>
      </c>
      <c r="C26361" s="2">
        <v>2.01581234619613E-3</v>
      </c>
      <c r="D26361" s="2">
        <v>4.7785919082510303E-4</v>
      </c>
      <c r="E26361" s="2">
        <v>4.9726504226752801E-4</v>
      </c>
      <c r="F26361" s="2">
        <v>1.8339946479652999E-3</v>
      </c>
    </row>
    <row r="26362" spans="1:6" x14ac:dyDescent="0.25">
      <c r="A26362" s="1" t="str">
        <f t="shared" si="953"/>
        <v>36837</v>
      </c>
      <c r="B26362" s="1" t="str">
        <f>"61314"</f>
        <v>61314</v>
      </c>
      <c r="C26362" s="2">
        <v>7.0684329022461896E-3</v>
      </c>
      <c r="D26362" s="2">
        <v>9.5571838165020703E-4</v>
      </c>
      <c r="E26362" s="2">
        <v>1.4917951268025799E-3</v>
      </c>
      <c r="F26362" s="2">
        <v>6.3670757589738801E-3</v>
      </c>
    </row>
    <row r="26363" spans="1:6" x14ac:dyDescent="0.25">
      <c r="A26363" s="1" t="str">
        <f t="shared" si="953"/>
        <v>36837</v>
      </c>
      <c r="B26363" s="1" t="str">
        <f>"61345"</f>
        <v>61345</v>
      </c>
      <c r="C26363" s="2">
        <v>5.5107597256400798E-3</v>
      </c>
      <c r="D26363" s="2">
        <v>7.9643198470850495E-4</v>
      </c>
      <c r="E26363" s="2">
        <v>4.5002486325211297E-2</v>
      </c>
      <c r="F26363" s="2">
        <v>7.00147642336439E-3</v>
      </c>
    </row>
    <row r="26364" spans="1:6" x14ac:dyDescent="0.25">
      <c r="A26364" s="1" t="str">
        <f t="shared" si="953"/>
        <v>36837</v>
      </c>
      <c r="B26364" s="1" t="str">
        <f>"61322"</f>
        <v>61322</v>
      </c>
      <c r="C26364" s="2">
        <v>6.7804597099324496E-3</v>
      </c>
      <c r="D26364" s="2">
        <v>2.2300095571838102E-3</v>
      </c>
      <c r="E26364" s="2">
        <v>4.7240179015415199E-3</v>
      </c>
      <c r="F26364" s="2">
        <v>6.3555412014395102E-3</v>
      </c>
    </row>
    <row r="26365" spans="1:6" x14ac:dyDescent="0.25">
      <c r="A26365" s="1" t="str">
        <f t="shared" si="953"/>
        <v>36837</v>
      </c>
      <c r="B26365" s="1" t="str">
        <f>"61362"</f>
        <v>61362</v>
      </c>
      <c r="C26365" s="2">
        <v>3.6939106759516199E-2</v>
      </c>
      <c r="D26365" s="2">
        <v>3.2653711373048698E-2</v>
      </c>
      <c r="E26365" s="2">
        <v>3.7294878170064598E-2</v>
      </c>
      <c r="F26365" s="2">
        <v>3.6645289286702902E-2</v>
      </c>
    </row>
    <row r="26366" spans="1:6" x14ac:dyDescent="0.25">
      <c r="A26366" s="1" t="str">
        <f t="shared" ref="A26366:A26378" si="954">"36840"</f>
        <v>36840</v>
      </c>
      <c r="B26366" s="1" t="str">
        <f>"66524"</f>
        <v>66524</v>
      </c>
      <c r="C26366" s="2">
        <v>1.1001100110011001E-3</v>
      </c>
      <c r="D26366" s="2">
        <v>0</v>
      </c>
      <c r="E26366" s="2">
        <v>0</v>
      </c>
      <c r="F26366" s="2">
        <v>1.0164190774042199E-3</v>
      </c>
    </row>
    <row r="26367" spans="1:6" x14ac:dyDescent="0.25">
      <c r="A26367" s="1" t="str">
        <f t="shared" si="954"/>
        <v>36840</v>
      </c>
      <c r="B26367" s="1" t="str">
        <f>"66528"</f>
        <v>66528</v>
      </c>
      <c r="C26367" s="2">
        <v>4.9081831260049001E-3</v>
      </c>
      <c r="D26367" s="2">
        <v>0</v>
      </c>
      <c r="E26367" s="2">
        <v>0</v>
      </c>
      <c r="F26367" s="2">
        <v>4.53479280688037E-3</v>
      </c>
    </row>
    <row r="26368" spans="1:6" x14ac:dyDescent="0.25">
      <c r="A26368" s="1" t="str">
        <f t="shared" si="954"/>
        <v>36840</v>
      </c>
      <c r="B26368" s="1" t="str">
        <f>"66067"</f>
        <v>66067</v>
      </c>
      <c r="C26368" s="2">
        <v>0.61106879918761103</v>
      </c>
      <c r="D26368" s="2">
        <v>0.88578680203045601</v>
      </c>
      <c r="E26368" s="2">
        <v>0.83243243243243203</v>
      </c>
      <c r="F26368" s="2">
        <v>0.63119624706802102</v>
      </c>
    </row>
    <row r="26369" spans="1:6" x14ac:dyDescent="0.25">
      <c r="A26369" s="1" t="str">
        <f t="shared" si="954"/>
        <v>36840</v>
      </c>
      <c r="B26369" s="1" t="str">
        <f>"66042"</f>
        <v>66042</v>
      </c>
      <c r="C26369" s="2">
        <v>2.3948548701023899E-2</v>
      </c>
      <c r="D26369" s="2">
        <v>0</v>
      </c>
      <c r="E26369" s="2">
        <v>2.1621621621621599E-2</v>
      </c>
      <c r="F26369" s="2">
        <v>2.2439405785770101E-2</v>
      </c>
    </row>
    <row r="26370" spans="1:6" x14ac:dyDescent="0.25">
      <c r="A26370" s="1" t="str">
        <f t="shared" si="954"/>
        <v>36840</v>
      </c>
      <c r="B26370" s="1" t="str">
        <f>"66064"</f>
        <v>66064</v>
      </c>
      <c r="C26370" s="2">
        <v>2.3694677160023599E-3</v>
      </c>
      <c r="D26370" s="2">
        <v>0</v>
      </c>
      <c r="E26370" s="2">
        <v>0</v>
      </c>
      <c r="F26370" s="2">
        <v>2.18921032056293E-3</v>
      </c>
    </row>
    <row r="26371" spans="1:6" x14ac:dyDescent="0.25">
      <c r="A26371" s="1" t="str">
        <f t="shared" si="954"/>
        <v>36840</v>
      </c>
      <c r="B26371" s="1" t="str">
        <f>"66095"</f>
        <v>66095</v>
      </c>
      <c r="C26371" s="2">
        <v>3.2664804942032603E-2</v>
      </c>
      <c r="D26371" s="2">
        <v>1.26903553299492E-2</v>
      </c>
      <c r="E26371" s="2">
        <v>1.0810810810810799E-2</v>
      </c>
      <c r="F26371" s="2">
        <v>3.1118060985144601E-2</v>
      </c>
    </row>
    <row r="26372" spans="1:6" x14ac:dyDescent="0.25">
      <c r="A26372" s="1" t="str">
        <f t="shared" si="954"/>
        <v>36840</v>
      </c>
      <c r="B26372" s="1" t="str">
        <f>"66078"</f>
        <v>66078</v>
      </c>
      <c r="C26372" s="2">
        <v>3.6219006516036198E-2</v>
      </c>
      <c r="D26372" s="2">
        <v>1.5228426395939E-2</v>
      </c>
      <c r="E26372" s="2">
        <v>3.24324324324324E-2</v>
      </c>
      <c r="F26372" s="2">
        <v>3.4870992963252502E-2</v>
      </c>
    </row>
    <row r="26373" spans="1:6" x14ac:dyDescent="0.25">
      <c r="A26373" s="1" t="str">
        <f t="shared" si="954"/>
        <v>36840</v>
      </c>
      <c r="B26373" s="1" t="str">
        <f>"66033"</f>
        <v>66033</v>
      </c>
      <c r="C26373" s="2">
        <v>3.8080731150037998E-3</v>
      </c>
      <c r="D26373" s="2">
        <v>0</v>
      </c>
      <c r="E26373" s="2">
        <v>0</v>
      </c>
      <c r="F26373" s="2">
        <v>3.51837372947615E-3</v>
      </c>
    </row>
    <row r="26374" spans="1:6" x14ac:dyDescent="0.25">
      <c r="A26374" s="1" t="str">
        <f t="shared" si="954"/>
        <v>36840</v>
      </c>
      <c r="B26374" s="1" t="str">
        <f>"66076"</f>
        <v>66076</v>
      </c>
      <c r="C26374" s="2">
        <v>0.101802487941101</v>
      </c>
      <c r="D26374" s="2">
        <v>2.2842639593908601E-2</v>
      </c>
      <c r="E26374" s="2">
        <v>2.1621621621621599E-2</v>
      </c>
      <c r="F26374" s="2">
        <v>9.5777951524628605E-2</v>
      </c>
    </row>
    <row r="26375" spans="1:6" x14ac:dyDescent="0.25">
      <c r="A26375" s="1" t="str">
        <f t="shared" si="954"/>
        <v>36840</v>
      </c>
      <c r="B26375" s="1" t="str">
        <f>"66006"</f>
        <v>66006</v>
      </c>
      <c r="C26375" s="2">
        <v>4.5696877380045596E-3</v>
      </c>
      <c r="D26375" s="2">
        <v>0</v>
      </c>
      <c r="E26375" s="2">
        <v>0</v>
      </c>
      <c r="F26375" s="2">
        <v>4.2220484753713802E-3</v>
      </c>
    </row>
    <row r="26376" spans="1:6" x14ac:dyDescent="0.25">
      <c r="A26376" s="1" t="str">
        <f t="shared" si="954"/>
        <v>36840</v>
      </c>
      <c r="B26376" s="1" t="str">
        <f>"66092"</f>
        <v>66092</v>
      </c>
      <c r="C26376" s="2">
        <v>0.113142083439113</v>
      </c>
      <c r="D26376" s="2">
        <v>3.5532994923857801E-2</v>
      </c>
      <c r="E26376" s="2">
        <v>4.8648648648648603E-2</v>
      </c>
      <c r="F26376" s="2">
        <v>0.107427677873338</v>
      </c>
    </row>
    <row r="26377" spans="1:6" x14ac:dyDescent="0.25">
      <c r="A26377" s="1" t="str">
        <f t="shared" si="954"/>
        <v>36840</v>
      </c>
      <c r="B26377" s="1" t="str">
        <f>"66079"</f>
        <v>66079</v>
      </c>
      <c r="C26377" s="2">
        <v>3.09723280020309E-2</v>
      </c>
      <c r="D26377" s="2">
        <v>8.8832487309644607E-3</v>
      </c>
      <c r="E26377" s="2">
        <v>1.62162162162162E-2</v>
      </c>
      <c r="F26377" s="2">
        <v>2.93979671618451E-2</v>
      </c>
    </row>
    <row r="26378" spans="1:6" x14ac:dyDescent="0.25">
      <c r="A26378" s="1" t="str">
        <f t="shared" si="954"/>
        <v>36840</v>
      </c>
      <c r="B26378" s="1" t="str">
        <f>"66080"</f>
        <v>66080</v>
      </c>
      <c r="C26378" s="2">
        <v>3.3426419565033401E-2</v>
      </c>
      <c r="D26378" s="2">
        <v>1.90355329949238E-2</v>
      </c>
      <c r="E26378" s="2">
        <v>1.62162162162162E-2</v>
      </c>
      <c r="F26378" s="2">
        <v>3.2290852228303302E-2</v>
      </c>
    </row>
    <row r="26379" spans="1:6" x14ac:dyDescent="0.25">
      <c r="A26379" s="1" t="str">
        <f t="shared" ref="A26379:A26391" si="955">"36900"</f>
        <v>36900</v>
      </c>
      <c r="B26379" s="1" t="str">
        <f>"52536"</f>
        <v>52536</v>
      </c>
      <c r="C26379" s="2">
        <v>2.3168103448275801E-2</v>
      </c>
      <c r="D26379" s="2">
        <v>5.81818181818181E-3</v>
      </c>
      <c r="E26379" s="2">
        <v>1.20068610634648E-2</v>
      </c>
      <c r="F26379" s="2">
        <v>2.1541099560604401E-2</v>
      </c>
    </row>
    <row r="26380" spans="1:6" x14ac:dyDescent="0.25">
      <c r="A26380" s="1" t="str">
        <f t="shared" si="955"/>
        <v>36900</v>
      </c>
      <c r="B26380" s="1" t="str">
        <f>"52553"</f>
        <v>52553</v>
      </c>
      <c r="C26380" s="2">
        <v>3.2387452107279599E-2</v>
      </c>
      <c r="D26380" s="2">
        <v>2.6181818181818101E-2</v>
      </c>
      <c r="E26380" s="2">
        <v>2.7444253859348101E-2</v>
      </c>
      <c r="F26380" s="2">
        <v>3.1775801093130399E-2</v>
      </c>
    </row>
    <row r="26381" spans="1:6" x14ac:dyDescent="0.25">
      <c r="A26381" s="1" t="str">
        <f t="shared" si="955"/>
        <v>36900</v>
      </c>
      <c r="B26381" s="1" t="str">
        <f>"52530"</f>
        <v>52530</v>
      </c>
      <c r="C26381" s="2">
        <v>3.0950670498084198E-2</v>
      </c>
      <c r="D26381" s="2">
        <v>1.1636363636363599E-2</v>
      </c>
      <c r="E26381" s="2">
        <v>1.7152658662092601E-2</v>
      </c>
      <c r="F26381" s="2">
        <v>2.90965598542492E-2</v>
      </c>
    </row>
    <row r="26382" spans="1:6" x14ac:dyDescent="0.25">
      <c r="A26382" s="1" t="str">
        <f t="shared" si="955"/>
        <v>36900</v>
      </c>
      <c r="B26382" s="1" t="str">
        <f>"52533"</f>
        <v>52533</v>
      </c>
      <c r="C26382" s="2">
        <v>5.0287356321839002E-3</v>
      </c>
      <c r="D26382" s="2">
        <v>2.1818181818181802E-3</v>
      </c>
      <c r="E26382" s="2">
        <v>0</v>
      </c>
      <c r="F26382" s="2">
        <v>4.66187975565319E-3</v>
      </c>
    </row>
    <row r="26383" spans="1:6" x14ac:dyDescent="0.25">
      <c r="A26383" s="1" t="str">
        <f t="shared" si="955"/>
        <v>36900</v>
      </c>
      <c r="B26383" s="1" t="str">
        <f>"52548"</f>
        <v>52548</v>
      </c>
      <c r="C26383" s="2">
        <v>2.0953065134099598E-3</v>
      </c>
      <c r="D26383" s="2">
        <v>0</v>
      </c>
      <c r="E26383" s="2">
        <v>1.71526586620926E-3</v>
      </c>
      <c r="F26383" s="2">
        <v>1.9290536919944199E-3</v>
      </c>
    </row>
    <row r="26384" spans="1:6" x14ac:dyDescent="0.25">
      <c r="A26384" s="1" t="str">
        <f t="shared" si="955"/>
        <v>36900</v>
      </c>
      <c r="B26384" s="1" t="str">
        <f>"52537"</f>
        <v>52537</v>
      </c>
      <c r="C26384" s="2">
        <v>9.9976053639846702E-3</v>
      </c>
      <c r="D26384" s="2">
        <v>2.9090909090908998E-3</v>
      </c>
      <c r="E26384" s="2">
        <v>0</v>
      </c>
      <c r="F26384" s="2">
        <v>9.1630050369735198E-3</v>
      </c>
    </row>
    <row r="26385" spans="1:6" x14ac:dyDescent="0.25">
      <c r="A26385" s="1" t="str">
        <f t="shared" si="955"/>
        <v>36900</v>
      </c>
      <c r="B26385" s="1" t="str">
        <f>"52563"</f>
        <v>52563</v>
      </c>
      <c r="C26385" s="2">
        <v>7.7227011494252797E-3</v>
      </c>
      <c r="D26385" s="2">
        <v>0</v>
      </c>
      <c r="E26385" s="2">
        <v>0</v>
      </c>
      <c r="F26385" s="2">
        <v>6.9124423963133601E-3</v>
      </c>
    </row>
    <row r="26386" spans="1:6" x14ac:dyDescent="0.25">
      <c r="A26386" s="1" t="str">
        <f t="shared" si="955"/>
        <v>36900</v>
      </c>
      <c r="B26386" s="1" t="str">
        <f>"52566"</f>
        <v>52566</v>
      </c>
      <c r="C26386" s="2">
        <v>4.9688697318007596E-3</v>
      </c>
      <c r="D26386" s="2">
        <v>7.2727272727272701E-4</v>
      </c>
      <c r="E26386" s="2">
        <v>0</v>
      </c>
      <c r="F26386" s="2">
        <v>4.5011252813203298E-3</v>
      </c>
    </row>
    <row r="26387" spans="1:6" x14ac:dyDescent="0.25">
      <c r="A26387" s="1" t="str">
        <f t="shared" si="955"/>
        <v>36900</v>
      </c>
      <c r="B26387" s="1" t="str">
        <f>"52501"</f>
        <v>52501</v>
      </c>
      <c r="C26387" s="2">
        <v>0.84315134099616795</v>
      </c>
      <c r="D26387" s="2">
        <v>0.92727272727272703</v>
      </c>
      <c r="E26387" s="2">
        <v>0.93310463121783804</v>
      </c>
      <c r="F26387" s="2">
        <v>0.85215946843853796</v>
      </c>
    </row>
    <row r="26388" spans="1:6" x14ac:dyDescent="0.25">
      <c r="A26388" s="1" t="str">
        <f t="shared" si="955"/>
        <v>36900</v>
      </c>
      <c r="B26388" s="1" t="str">
        <f>"52554"</f>
        <v>52554</v>
      </c>
      <c r="C26388" s="2">
        <v>3.89727011494252E-2</v>
      </c>
      <c r="D26388" s="2">
        <v>2.3272727272727198E-2</v>
      </c>
      <c r="E26388" s="2">
        <v>8.5763293310463107E-3</v>
      </c>
      <c r="F26388" s="2">
        <v>3.6866359447004601E-2</v>
      </c>
    </row>
    <row r="26389" spans="1:6" x14ac:dyDescent="0.25">
      <c r="A26389" s="1" t="str">
        <f t="shared" si="955"/>
        <v>36900</v>
      </c>
      <c r="B26389" s="1" t="str">
        <f>"52552"</f>
        <v>52552</v>
      </c>
      <c r="C26389" s="2">
        <v>1.19731800766283E-3</v>
      </c>
      <c r="D26389" s="2">
        <v>0</v>
      </c>
      <c r="E26389" s="2">
        <v>0</v>
      </c>
      <c r="F26389" s="2">
        <v>1.07169649555245E-3</v>
      </c>
    </row>
    <row r="26390" spans="1:6" x14ac:dyDescent="0.25">
      <c r="A26390" s="1" t="str">
        <f t="shared" si="955"/>
        <v>36900</v>
      </c>
      <c r="B26390" s="1" t="str">
        <f>"52561"</f>
        <v>52561</v>
      </c>
      <c r="C26390" s="2">
        <v>1.7959770114942499E-4</v>
      </c>
      <c r="D26390" s="2">
        <v>0</v>
      </c>
      <c r="E26390" s="2">
        <v>0</v>
      </c>
      <c r="F26390" s="2">
        <v>1.60754474332868E-4</v>
      </c>
    </row>
    <row r="26391" spans="1:6" x14ac:dyDescent="0.25">
      <c r="A26391" s="1" t="str">
        <f t="shared" si="955"/>
        <v>36900</v>
      </c>
      <c r="B26391" s="1" t="str">
        <f>"52531"</f>
        <v>52531</v>
      </c>
      <c r="C26391" s="2">
        <v>1.7959770114942499E-4</v>
      </c>
      <c r="D26391" s="2">
        <v>0</v>
      </c>
      <c r="E26391" s="2">
        <v>0</v>
      </c>
      <c r="F26391" s="2">
        <v>1.60754474332868E-4</v>
      </c>
    </row>
    <row r="26392" spans="1:6" x14ac:dyDescent="0.25">
      <c r="A26392" s="1" t="str">
        <f t="shared" ref="A26392:A26404" si="956">"36940"</f>
        <v>36940</v>
      </c>
      <c r="B26392" s="1" t="str">
        <f>"56042"</f>
        <v>56042</v>
      </c>
      <c r="C26392" s="2">
        <v>1.2061998673180099E-4</v>
      </c>
      <c r="D26392" s="2">
        <v>0</v>
      </c>
      <c r="E26392" s="2">
        <v>0</v>
      </c>
      <c r="F26392" s="2">
        <v>1.08974009698686E-4</v>
      </c>
    </row>
    <row r="26393" spans="1:6" x14ac:dyDescent="0.25">
      <c r="A26393" s="1" t="str">
        <f t="shared" si="956"/>
        <v>36940</v>
      </c>
      <c r="B26393" s="1" t="str">
        <f>"55052"</f>
        <v>55052</v>
      </c>
      <c r="C26393" s="2">
        <v>7.23719920390808E-4</v>
      </c>
      <c r="D26393" s="2">
        <v>0</v>
      </c>
      <c r="E26393" s="2">
        <v>0</v>
      </c>
      <c r="F26393" s="2">
        <v>6.5384405819212104E-4</v>
      </c>
    </row>
    <row r="26394" spans="1:6" x14ac:dyDescent="0.25">
      <c r="A26394" s="1" t="str">
        <f t="shared" si="956"/>
        <v>36940</v>
      </c>
      <c r="B26394" s="1" t="str">
        <f>"55946"</f>
        <v>55946</v>
      </c>
      <c r="C26394" s="2">
        <v>4.8247994692720501E-4</v>
      </c>
      <c r="D26394" s="2">
        <v>0</v>
      </c>
      <c r="E26394" s="2">
        <v>0</v>
      </c>
      <c r="F26394" s="2">
        <v>4.35896038794747E-4</v>
      </c>
    </row>
    <row r="26395" spans="1:6" x14ac:dyDescent="0.25">
      <c r="A26395" s="1" t="str">
        <f t="shared" si="956"/>
        <v>36940</v>
      </c>
      <c r="B26395" s="1" t="str">
        <f>"56046"</f>
        <v>56046</v>
      </c>
      <c r="C26395" s="2">
        <v>2.41239973463602E-3</v>
      </c>
      <c r="D26395" s="2">
        <v>7.4503311258278101E-3</v>
      </c>
      <c r="E26395" s="2">
        <v>0</v>
      </c>
      <c r="F26395" s="2">
        <v>2.6698632376178201E-3</v>
      </c>
    </row>
    <row r="26396" spans="1:6" x14ac:dyDescent="0.25">
      <c r="A26396" s="1" t="str">
        <f t="shared" si="956"/>
        <v>36940</v>
      </c>
      <c r="B26396" s="1" t="str">
        <f>"56072"</f>
        <v>56072</v>
      </c>
      <c r="C26396" s="2">
        <v>6.4531692901513699E-3</v>
      </c>
      <c r="D26396" s="2">
        <v>0</v>
      </c>
      <c r="E26396" s="2">
        <v>0</v>
      </c>
      <c r="F26396" s="2">
        <v>5.8301095188797404E-3</v>
      </c>
    </row>
    <row r="26397" spans="1:6" x14ac:dyDescent="0.25">
      <c r="A26397" s="1" t="str">
        <f t="shared" si="956"/>
        <v>36940</v>
      </c>
      <c r="B26397" s="1" t="str">
        <f>"55917"</f>
        <v>55917</v>
      </c>
      <c r="C26397" s="2">
        <v>7.4362221820155505E-2</v>
      </c>
      <c r="D26397" s="2">
        <v>3.8907284768211897E-2</v>
      </c>
      <c r="E26397" s="2">
        <v>5.1418439716311999E-2</v>
      </c>
      <c r="F26397" s="2">
        <v>7.1323489347790495E-2</v>
      </c>
    </row>
    <row r="26398" spans="1:6" x14ac:dyDescent="0.25">
      <c r="A26398" s="1" t="str">
        <f t="shared" si="956"/>
        <v>36940</v>
      </c>
      <c r="B26398" s="1" t="str">
        <f>"55924"</f>
        <v>55924</v>
      </c>
      <c r="C26398" s="2">
        <v>7.8402991375670899E-3</v>
      </c>
      <c r="D26398" s="2">
        <v>8.2781456953642297E-4</v>
      </c>
      <c r="E26398" s="2">
        <v>0</v>
      </c>
      <c r="F26398" s="2">
        <v>7.1377976352639799E-3</v>
      </c>
    </row>
    <row r="26399" spans="1:6" x14ac:dyDescent="0.25">
      <c r="A26399" s="1" t="str">
        <f t="shared" si="956"/>
        <v>36940</v>
      </c>
      <c r="B26399" s="1" t="str">
        <f>"55049"</f>
        <v>55049</v>
      </c>
      <c r="C26399" s="2">
        <v>6.3385803027561596E-2</v>
      </c>
      <c r="D26399" s="2">
        <v>7.5331125827814496E-2</v>
      </c>
      <c r="E26399" s="2">
        <v>3.0141843971631201E-2</v>
      </c>
      <c r="F26399" s="2">
        <v>6.3150438620388993E-2</v>
      </c>
    </row>
    <row r="26400" spans="1:6" x14ac:dyDescent="0.25">
      <c r="A26400" s="1" t="str">
        <f t="shared" si="956"/>
        <v>36940</v>
      </c>
      <c r="B26400" s="1" t="str">
        <f>"55985"</f>
        <v>55985</v>
      </c>
      <c r="C26400" s="2">
        <v>1.2665098606839101E-3</v>
      </c>
      <c r="D26400" s="2">
        <v>0</v>
      </c>
      <c r="E26400" s="2">
        <v>0</v>
      </c>
      <c r="F26400" s="2">
        <v>1.1442271018362101E-3</v>
      </c>
    </row>
    <row r="26401" spans="1:6" x14ac:dyDescent="0.25">
      <c r="A26401" s="1" t="str">
        <f t="shared" si="956"/>
        <v>36940</v>
      </c>
      <c r="B26401" s="1" t="str">
        <f>"55021"</f>
        <v>55021</v>
      </c>
      <c r="C26401" s="2">
        <v>3.0154996682950298E-4</v>
      </c>
      <c r="D26401" s="2">
        <v>0</v>
      </c>
      <c r="E26401" s="2">
        <v>0</v>
      </c>
      <c r="F26401" s="2">
        <v>2.7243502424671701E-4</v>
      </c>
    </row>
    <row r="26402" spans="1:6" x14ac:dyDescent="0.25">
      <c r="A26402" s="1" t="str">
        <f t="shared" si="956"/>
        <v>36940</v>
      </c>
      <c r="B26402" s="1" t="str">
        <f>"56026"</f>
        <v>56026</v>
      </c>
      <c r="C26402" s="2">
        <v>3.8417465774078702E-2</v>
      </c>
      <c r="D26402" s="2">
        <v>9.9337748344370796E-3</v>
      </c>
      <c r="E26402" s="2">
        <v>1.24113475177304E-2</v>
      </c>
      <c r="F26402" s="2">
        <v>3.5743475181169201E-2</v>
      </c>
    </row>
    <row r="26403" spans="1:6" x14ac:dyDescent="0.25">
      <c r="A26403" s="1" t="str">
        <f t="shared" si="956"/>
        <v>36940</v>
      </c>
      <c r="B26403" s="1" t="str">
        <f>"56093"</f>
        <v>56093</v>
      </c>
      <c r="C26403" s="2">
        <v>5.2469694228333601E-3</v>
      </c>
      <c r="D26403" s="2">
        <v>2.4834437086092699E-3</v>
      </c>
      <c r="E26403" s="2">
        <v>1.77304964539007E-3</v>
      </c>
      <c r="F26403" s="2">
        <v>4.9583174412902503E-3</v>
      </c>
    </row>
    <row r="26404" spans="1:6" x14ac:dyDescent="0.25">
      <c r="A26404" s="1" t="str">
        <f t="shared" si="956"/>
        <v>36940</v>
      </c>
      <c r="B26404" s="1" t="str">
        <f>"55060"</f>
        <v>55060</v>
      </c>
      <c r="C26404" s="2">
        <v>0.79898679211145196</v>
      </c>
      <c r="D26404" s="2">
        <v>0.86506622516556197</v>
      </c>
      <c r="E26404" s="2">
        <v>0.90425531914893598</v>
      </c>
      <c r="F26404" s="2">
        <v>0.80657113278482995</v>
      </c>
    </row>
    <row r="26405" spans="1:6" x14ac:dyDescent="0.25">
      <c r="A26405" s="1" t="str">
        <f t="shared" ref="A26405:A26426" si="957">"36980"</f>
        <v>36980</v>
      </c>
      <c r="B26405" s="1" t="str">
        <f>"42301"</f>
        <v>42301</v>
      </c>
      <c r="C26405" s="2">
        <v>0.35732365696079199</v>
      </c>
      <c r="D26405" s="2">
        <v>0.35314130188251303</v>
      </c>
      <c r="E26405" s="2">
        <v>0.50632215503023603</v>
      </c>
      <c r="F26405" s="2">
        <v>0.36135070069990199</v>
      </c>
    </row>
    <row r="26406" spans="1:6" x14ac:dyDescent="0.25">
      <c r="A26406" s="1" t="str">
        <f t="shared" si="957"/>
        <v>36980</v>
      </c>
      <c r="B26406" s="1" t="str">
        <f>"42356"</f>
        <v>42356</v>
      </c>
      <c r="C26406" s="2">
        <v>0</v>
      </c>
      <c r="D26406" s="2">
        <v>0</v>
      </c>
      <c r="E26406" s="2">
        <v>5.4975261132490295E-4</v>
      </c>
      <c r="F26406" s="2">
        <v>1.5943114965802001E-5</v>
      </c>
    </row>
    <row r="26407" spans="1:6" x14ac:dyDescent="0.25">
      <c r="A26407" s="1" t="str">
        <f t="shared" si="957"/>
        <v>36980</v>
      </c>
      <c r="B26407" s="1" t="str">
        <f>"42350"</f>
        <v>42350</v>
      </c>
      <c r="C26407" s="2">
        <v>1.2443579077794399E-2</v>
      </c>
      <c r="D26407" s="2">
        <v>2.0412792016330202E-3</v>
      </c>
      <c r="E26407" s="2">
        <v>2.7487630566245102E-3</v>
      </c>
      <c r="F26407" s="2">
        <v>1.143121343048E-2</v>
      </c>
    </row>
    <row r="26408" spans="1:6" x14ac:dyDescent="0.25">
      <c r="A26408" s="1" t="str">
        <f t="shared" si="957"/>
        <v>36980</v>
      </c>
      <c r="B26408" s="1" t="str">
        <f>"42420"</f>
        <v>42420</v>
      </c>
      <c r="C26408" s="2">
        <v>1.4160545180989399E-4</v>
      </c>
      <c r="D26408" s="2">
        <v>0</v>
      </c>
      <c r="E26408" s="2">
        <v>0</v>
      </c>
      <c r="F26408" s="2">
        <v>1.2754491972641601E-4</v>
      </c>
    </row>
    <row r="26409" spans="1:6" x14ac:dyDescent="0.25">
      <c r="A26409" s="1" t="str">
        <f t="shared" si="957"/>
        <v>36980</v>
      </c>
      <c r="B26409" s="1" t="str">
        <f>"42351"</f>
        <v>42351</v>
      </c>
      <c r="C26409" s="2">
        <v>3.4091512523232101E-2</v>
      </c>
      <c r="D26409" s="2">
        <v>1.85983216148786E-2</v>
      </c>
      <c r="E26409" s="2">
        <v>6.0472787245739396E-3</v>
      </c>
      <c r="F26409" s="2">
        <v>3.2189149115954198E-2</v>
      </c>
    </row>
    <row r="26410" spans="1:6" x14ac:dyDescent="0.25">
      <c r="A26410" s="1" t="str">
        <f t="shared" si="957"/>
        <v>36980</v>
      </c>
      <c r="B26410" s="1" t="str">
        <f>"42348"</f>
        <v>42348</v>
      </c>
      <c r="C26410" s="2">
        <v>3.7171431100097303E-2</v>
      </c>
      <c r="D26410" s="2">
        <v>1.2474484009979501E-2</v>
      </c>
      <c r="E26410" s="2">
        <v>4.3980208905992297E-3</v>
      </c>
      <c r="F26410" s="2">
        <v>3.4484957671029701E-2</v>
      </c>
    </row>
    <row r="26411" spans="1:6" x14ac:dyDescent="0.25">
      <c r="A26411" s="1" t="str">
        <f t="shared" si="957"/>
        <v>36980</v>
      </c>
      <c r="B26411" s="1" t="str">
        <f>"42343"</f>
        <v>42343</v>
      </c>
      <c r="C26411" s="2">
        <v>2.2656872289583099E-3</v>
      </c>
      <c r="D26411" s="2">
        <v>4.5361760036289402E-4</v>
      </c>
      <c r="E26411" s="2">
        <v>0</v>
      </c>
      <c r="F26411" s="2">
        <v>2.0726049455542599E-3</v>
      </c>
    </row>
    <row r="26412" spans="1:6" x14ac:dyDescent="0.25">
      <c r="A26412" s="1" t="str">
        <f t="shared" si="957"/>
        <v>36980</v>
      </c>
      <c r="B26412" s="1" t="str">
        <f>"42303"</f>
        <v>42303</v>
      </c>
      <c r="C26412" s="2">
        <v>0.32625896096999701</v>
      </c>
      <c r="D26412" s="2">
        <v>0.41914266273531398</v>
      </c>
      <c r="E26412" s="2">
        <v>0.41891148982957599</v>
      </c>
      <c r="F26412" s="2">
        <v>0.335475025110406</v>
      </c>
    </row>
    <row r="26413" spans="1:6" x14ac:dyDescent="0.25">
      <c r="A26413" s="1" t="str">
        <f t="shared" si="957"/>
        <v>36980</v>
      </c>
      <c r="B26413" s="1" t="str">
        <f>"42364"</f>
        <v>42364</v>
      </c>
      <c r="C26413" s="2">
        <v>0</v>
      </c>
      <c r="D26413" s="2">
        <v>0</v>
      </c>
      <c r="E26413" s="2">
        <v>5.4975261132490295E-4</v>
      </c>
      <c r="F26413" s="2">
        <v>1.5943114965802001E-5</v>
      </c>
    </row>
    <row r="26414" spans="1:6" x14ac:dyDescent="0.25">
      <c r="A26414" s="1" t="str">
        <f t="shared" si="957"/>
        <v>36980</v>
      </c>
      <c r="B26414" s="1" t="str">
        <f>"42371"</f>
        <v>42371</v>
      </c>
      <c r="C26414" s="2">
        <v>5.6465173909195504E-3</v>
      </c>
      <c r="D26414" s="2">
        <v>1.58766160127012E-3</v>
      </c>
      <c r="E26414" s="2">
        <v>5.4975261132490295E-4</v>
      </c>
      <c r="F26414" s="2">
        <v>5.2133985938172603E-3</v>
      </c>
    </row>
    <row r="26415" spans="1:6" x14ac:dyDescent="0.25">
      <c r="A26415" s="1" t="str">
        <f t="shared" si="957"/>
        <v>36980</v>
      </c>
      <c r="B26415" s="1" t="str">
        <f>"42330"</f>
        <v>42330</v>
      </c>
      <c r="C26415" s="2">
        <v>6.0182317019205199E-4</v>
      </c>
      <c r="D26415" s="2">
        <v>2.2680880018144701E-4</v>
      </c>
      <c r="E26415" s="2">
        <v>0</v>
      </c>
      <c r="F26415" s="2">
        <v>5.5800902380307002E-4</v>
      </c>
    </row>
    <row r="26416" spans="1:6" x14ac:dyDescent="0.25">
      <c r="A26416" s="1" t="str">
        <f t="shared" si="957"/>
        <v>36980</v>
      </c>
      <c r="B26416" s="1" t="str">
        <f>"42355"</f>
        <v>42355</v>
      </c>
      <c r="C26416" s="2">
        <v>1.42313479068944E-2</v>
      </c>
      <c r="D26416" s="2">
        <v>3.62894080290315E-3</v>
      </c>
      <c r="E26416" s="2">
        <v>1.6492578339747099E-3</v>
      </c>
      <c r="F26416" s="2">
        <v>1.3121183616854999E-2</v>
      </c>
    </row>
    <row r="26417" spans="1:6" x14ac:dyDescent="0.25">
      <c r="A26417" s="1" t="str">
        <f t="shared" si="957"/>
        <v>36980</v>
      </c>
      <c r="B26417" s="1" t="str">
        <f>"42304"</f>
        <v>42304</v>
      </c>
      <c r="C26417" s="2">
        <v>2.4249933622444399E-2</v>
      </c>
      <c r="D26417" s="2">
        <v>4.5134951236107897E-2</v>
      </c>
      <c r="E26417" s="2">
        <v>1.0995052226498E-3</v>
      </c>
      <c r="F26417" s="2">
        <v>2.5046633611274901E-2</v>
      </c>
    </row>
    <row r="26418" spans="1:6" x14ac:dyDescent="0.25">
      <c r="A26418" s="1" t="str">
        <f t="shared" si="957"/>
        <v>36980</v>
      </c>
      <c r="B26418" s="1" t="str">
        <f>"42368"</f>
        <v>42368</v>
      </c>
      <c r="C26418" s="2">
        <v>5.6996194353482604E-3</v>
      </c>
      <c r="D26418" s="2">
        <v>6.80426400544341E-4</v>
      </c>
      <c r="E26418" s="2">
        <v>3.2985156679494199E-3</v>
      </c>
      <c r="F26418" s="2">
        <v>5.27717105368046E-3</v>
      </c>
    </row>
    <row r="26419" spans="1:6" x14ac:dyDescent="0.25">
      <c r="A26419" s="1" t="str">
        <f t="shared" si="957"/>
        <v>36980</v>
      </c>
      <c r="B26419" s="1" t="str">
        <f>"42366"</f>
        <v>42366</v>
      </c>
      <c r="C26419" s="2">
        <v>4.2924152579874301E-2</v>
      </c>
      <c r="D26419" s="2">
        <v>6.5774552052619596E-3</v>
      </c>
      <c r="E26419" s="2">
        <v>1.48433205057724E-2</v>
      </c>
      <c r="F26419" s="2">
        <v>3.9554868230154798E-2</v>
      </c>
    </row>
    <row r="26420" spans="1:6" x14ac:dyDescent="0.25">
      <c r="A26420" s="1" t="str">
        <f t="shared" si="957"/>
        <v>36980</v>
      </c>
      <c r="B26420" s="1" t="str">
        <f>"42352"</f>
        <v>42352</v>
      </c>
      <c r="C26420" s="2">
        <v>1.50455792548013E-2</v>
      </c>
      <c r="D26420" s="2">
        <v>1.02063960081651E-2</v>
      </c>
      <c r="E26420" s="2">
        <v>7.6965365585486504E-3</v>
      </c>
      <c r="F26420" s="2">
        <v>1.4492291503914E-2</v>
      </c>
    </row>
    <row r="26421" spans="1:6" x14ac:dyDescent="0.25">
      <c r="A26421" s="1" t="str">
        <f t="shared" si="957"/>
        <v>36980</v>
      </c>
      <c r="B26421" s="1" t="str">
        <f>"42322"</f>
        <v>42322</v>
      </c>
      <c r="C26421" s="2">
        <v>0</v>
      </c>
      <c r="D26421" s="2">
        <v>0</v>
      </c>
      <c r="E26421" s="2">
        <v>5.4975261132490295E-4</v>
      </c>
      <c r="F26421" s="2">
        <v>1.5943114965802001E-5</v>
      </c>
    </row>
    <row r="26422" spans="1:6" x14ac:dyDescent="0.25">
      <c r="A26422" s="1" t="str">
        <f t="shared" si="957"/>
        <v>36980</v>
      </c>
      <c r="B26422" s="1" t="str">
        <f>"42372"</f>
        <v>42372</v>
      </c>
      <c r="C26422" s="2">
        <v>1.13992388706965E-2</v>
      </c>
      <c r="D26422" s="2">
        <v>5.2166024041732798E-3</v>
      </c>
      <c r="E26422" s="2">
        <v>5.4975261132490299E-3</v>
      </c>
      <c r="F26422" s="2">
        <v>1.07934888318479E-2</v>
      </c>
    </row>
    <row r="26423" spans="1:6" x14ac:dyDescent="0.25">
      <c r="A26423" s="1" t="str">
        <f t="shared" si="957"/>
        <v>36980</v>
      </c>
      <c r="B26423" s="1" t="str">
        <f>"42378"</f>
        <v>42378</v>
      </c>
      <c r="C26423" s="2">
        <v>1.71342596689972E-2</v>
      </c>
      <c r="D26423" s="2">
        <v>6.3506464050805097E-3</v>
      </c>
      <c r="E26423" s="2">
        <v>7.1467839472237399E-3</v>
      </c>
      <c r="F26423" s="2">
        <v>1.60866030004942E-2</v>
      </c>
    </row>
    <row r="26424" spans="1:6" x14ac:dyDescent="0.25">
      <c r="A26424" s="1" t="str">
        <f t="shared" si="957"/>
        <v>36980</v>
      </c>
      <c r="B26424" s="1" t="str">
        <f>"42376"</f>
        <v>42376</v>
      </c>
      <c r="C26424" s="2">
        <v>4.0941676254535701E-2</v>
      </c>
      <c r="D26424" s="2">
        <v>8.6187344068949807E-3</v>
      </c>
      <c r="E26424" s="2">
        <v>1.04452996151731E-2</v>
      </c>
      <c r="F26424" s="2">
        <v>3.7785182468950698E-2</v>
      </c>
    </row>
    <row r="26425" spans="1:6" x14ac:dyDescent="0.25">
      <c r="A26425" s="1" t="str">
        <f t="shared" si="957"/>
        <v>36980</v>
      </c>
      <c r="B26425" s="1" t="str">
        <f>"42302"</f>
        <v>42302</v>
      </c>
      <c r="C26425" s="2">
        <v>1.9205239401716898E-2</v>
      </c>
      <c r="D26425" s="2">
        <v>9.0723520072578806E-2</v>
      </c>
      <c r="E26425" s="2">
        <v>1.0995052226498E-3</v>
      </c>
      <c r="F26425" s="2">
        <v>2.3707411954147599E-2</v>
      </c>
    </row>
    <row r="26426" spans="1:6" x14ac:dyDescent="0.25">
      <c r="A26426" s="1" t="str">
        <f t="shared" si="957"/>
        <v>36980</v>
      </c>
      <c r="B26426" s="1" t="str">
        <f>"42327"</f>
        <v>42327</v>
      </c>
      <c r="C26426" s="2">
        <v>3.3224179130896501E-2</v>
      </c>
      <c r="D26426" s="2">
        <v>1.51961896121569E-2</v>
      </c>
      <c r="E26426" s="2">
        <v>6.5970313358988397E-3</v>
      </c>
      <c r="F26426" s="2">
        <v>3.11847328731087E-2</v>
      </c>
    </row>
    <row r="26427" spans="1:6" x14ac:dyDescent="0.25">
      <c r="A26427" s="1" t="str">
        <f t="shared" ref="A26427:A26440" si="958">"37060"</f>
        <v>37060</v>
      </c>
      <c r="B26427" s="1" t="str">
        <f>"38673"</f>
        <v>38673</v>
      </c>
      <c r="C26427" s="2">
        <v>1.6641080749155601E-2</v>
      </c>
      <c r="D26427" s="2">
        <v>6.765899864682E-4</v>
      </c>
      <c r="E26427" s="2">
        <v>0</v>
      </c>
      <c r="F26427" s="2">
        <v>1.5010209149605399E-2</v>
      </c>
    </row>
    <row r="26428" spans="1:6" x14ac:dyDescent="0.25">
      <c r="A26428" s="1" t="str">
        <f t="shared" si="958"/>
        <v>37060</v>
      </c>
      <c r="B26428" s="1" t="str">
        <f>"38627"</f>
        <v>38627</v>
      </c>
      <c r="C26428" s="2">
        <v>6.8160884249309104E-3</v>
      </c>
      <c r="D26428" s="2">
        <v>1.3531799729364E-3</v>
      </c>
      <c r="E26428" s="2">
        <v>0</v>
      </c>
      <c r="F26428" s="2">
        <v>6.2358589481816603E-3</v>
      </c>
    </row>
    <row r="26429" spans="1:6" x14ac:dyDescent="0.25">
      <c r="A26429" s="1" t="str">
        <f t="shared" si="958"/>
        <v>37060</v>
      </c>
      <c r="B26429" s="1" t="str">
        <f>"38677"</f>
        <v>38677</v>
      </c>
      <c r="C26429" s="2">
        <v>3.07031010132023E-5</v>
      </c>
      <c r="D26429" s="2">
        <v>2.0297699594045999E-3</v>
      </c>
      <c r="E26429" s="2">
        <v>0</v>
      </c>
      <c r="F26429" s="2">
        <v>1.9314607361624599E-4</v>
      </c>
    </row>
    <row r="26430" spans="1:6" x14ac:dyDescent="0.25">
      <c r="A26430" s="1" t="str">
        <f t="shared" si="958"/>
        <v>37060</v>
      </c>
      <c r="B26430" s="1" t="str">
        <f>"38871"</f>
        <v>38871</v>
      </c>
      <c r="C26430" s="2">
        <v>2.5176542830825902E-3</v>
      </c>
      <c r="D26430" s="2">
        <v>0</v>
      </c>
      <c r="E26430" s="2">
        <v>0</v>
      </c>
      <c r="F26430" s="2">
        <v>2.2625682909331699E-3</v>
      </c>
    </row>
    <row r="26431" spans="1:6" x14ac:dyDescent="0.25">
      <c r="A26431" s="1" t="str">
        <f t="shared" si="958"/>
        <v>37060</v>
      </c>
      <c r="B26431" s="1" t="str">
        <f>"38863"</f>
        <v>38863</v>
      </c>
      <c r="C26431" s="2">
        <v>9.8249923242247402E-4</v>
      </c>
      <c r="D26431" s="2">
        <v>3.382949932341E-4</v>
      </c>
      <c r="E26431" s="2">
        <v>0</v>
      </c>
      <c r="F26431" s="2">
        <v>9.1054577561944705E-4</v>
      </c>
    </row>
    <row r="26432" spans="1:6" x14ac:dyDescent="0.25">
      <c r="A26432" s="1" t="str">
        <f t="shared" si="958"/>
        <v>37060</v>
      </c>
      <c r="B26432" s="1" t="str">
        <f>"38913"</f>
        <v>38913</v>
      </c>
      <c r="C26432" s="2">
        <v>3.6843721215842797E-4</v>
      </c>
      <c r="D26432" s="2">
        <v>0</v>
      </c>
      <c r="E26432" s="2">
        <v>0</v>
      </c>
      <c r="F26432" s="2">
        <v>3.3110755477070802E-4</v>
      </c>
    </row>
    <row r="26433" spans="1:6" x14ac:dyDescent="0.25">
      <c r="A26433" s="1" t="str">
        <f t="shared" si="958"/>
        <v>37060</v>
      </c>
      <c r="B26433" s="1" t="str">
        <f>"38949"</f>
        <v>38949</v>
      </c>
      <c r="C26433" s="2">
        <v>4.0528093337427002E-3</v>
      </c>
      <c r="D26433" s="2">
        <v>0</v>
      </c>
      <c r="E26433" s="2">
        <v>1.3966480446927301E-3</v>
      </c>
      <c r="F26433" s="2">
        <v>3.6697753987086799E-3</v>
      </c>
    </row>
    <row r="26434" spans="1:6" x14ac:dyDescent="0.25">
      <c r="A26434" s="1" t="str">
        <f t="shared" si="958"/>
        <v>37060</v>
      </c>
      <c r="B26434" s="1" t="str">
        <f>"38685"</f>
        <v>38685</v>
      </c>
      <c r="C26434" s="2">
        <v>1.2281240405280899E-3</v>
      </c>
      <c r="D26434" s="2">
        <v>6.765899864682E-4</v>
      </c>
      <c r="E26434" s="2">
        <v>0</v>
      </c>
      <c r="F26434" s="2">
        <v>1.1588764416974699E-3</v>
      </c>
    </row>
    <row r="26435" spans="1:6" x14ac:dyDescent="0.25">
      <c r="A26435" s="1" t="str">
        <f t="shared" si="958"/>
        <v>37060</v>
      </c>
      <c r="B26435" s="1" t="str">
        <f>"38915"</f>
        <v>38915</v>
      </c>
      <c r="C26435" s="2">
        <v>2.4562480810561802E-4</v>
      </c>
      <c r="D26435" s="2">
        <v>3.382949932341E-4</v>
      </c>
      <c r="E26435" s="2">
        <v>0</v>
      </c>
      <c r="F26435" s="2">
        <v>2.48330666078031E-4</v>
      </c>
    </row>
    <row r="26436" spans="1:6" x14ac:dyDescent="0.25">
      <c r="A26436" s="1" t="str">
        <f t="shared" si="958"/>
        <v>37060</v>
      </c>
      <c r="B26436" s="1" t="str">
        <f>"38606"</f>
        <v>38606</v>
      </c>
      <c r="C26436" s="2">
        <v>1.9649984648449398E-3</v>
      </c>
      <c r="D26436" s="2">
        <v>0</v>
      </c>
      <c r="E26436" s="2">
        <v>0</v>
      </c>
      <c r="F26436" s="2">
        <v>1.7659069587771001E-3</v>
      </c>
    </row>
    <row r="26437" spans="1:6" x14ac:dyDescent="0.25">
      <c r="A26437" s="1" t="str">
        <f t="shared" si="958"/>
        <v>37060</v>
      </c>
      <c r="B26437" s="1" t="str">
        <f>"38601"</f>
        <v>38601</v>
      </c>
      <c r="C26437" s="2">
        <v>3.6966533619895603E-2</v>
      </c>
      <c r="D26437" s="2">
        <v>1.2178619756427599E-2</v>
      </c>
      <c r="E26437" s="2">
        <v>2.7932960893854702E-3</v>
      </c>
      <c r="F26437" s="2">
        <v>3.4269631918768202E-2</v>
      </c>
    </row>
    <row r="26438" spans="1:6" x14ac:dyDescent="0.25">
      <c r="A26438" s="1" t="str">
        <f t="shared" si="958"/>
        <v>37060</v>
      </c>
      <c r="B26438" s="1" t="str">
        <f>"38655"</f>
        <v>38655</v>
      </c>
      <c r="C26438" s="2">
        <v>0.88035001535155</v>
      </c>
      <c r="D26438" s="2">
        <v>0.97699594046008098</v>
      </c>
      <c r="E26438" s="2">
        <v>0.99581005586592097</v>
      </c>
      <c r="F26438" s="2">
        <v>0.89051376855581899</v>
      </c>
    </row>
    <row r="26439" spans="1:6" x14ac:dyDescent="0.25">
      <c r="A26439" s="1" t="str">
        <f t="shared" si="958"/>
        <v>37060</v>
      </c>
      <c r="B26439" s="1" t="str">
        <f>"38965"</f>
        <v>38965</v>
      </c>
      <c r="C26439" s="2">
        <v>2.3887012588271399E-2</v>
      </c>
      <c r="D26439" s="2">
        <v>3.3829499323410001E-3</v>
      </c>
      <c r="E26439" s="2">
        <v>0</v>
      </c>
      <c r="F26439" s="2">
        <v>2.1742729429943101E-2</v>
      </c>
    </row>
    <row r="26440" spans="1:6" x14ac:dyDescent="0.25">
      <c r="A26440" s="1" t="str">
        <f t="shared" si="958"/>
        <v>37060</v>
      </c>
      <c r="B26440" s="1" t="str">
        <f>"38619"</f>
        <v>38619</v>
      </c>
      <c r="C26440" s="2">
        <v>2.3948418790297799E-2</v>
      </c>
      <c r="D26440" s="2">
        <v>2.0297699594045999E-3</v>
      </c>
      <c r="E26440" s="2">
        <v>0</v>
      </c>
      <c r="F26440" s="2">
        <v>2.1687544837481299E-2</v>
      </c>
    </row>
    <row r="26441" spans="1:6" x14ac:dyDescent="0.25">
      <c r="A26441" s="1" t="str">
        <f t="shared" ref="A26441:A26472" si="959">"37100"</f>
        <v>37100</v>
      </c>
      <c r="B26441" s="1" t="str">
        <f>"93013"</f>
        <v>93013</v>
      </c>
      <c r="C26441" s="2">
        <v>1.58551976508939E-4</v>
      </c>
      <c r="D26441" s="2">
        <v>0</v>
      </c>
      <c r="E26441" s="2">
        <v>0</v>
      </c>
      <c r="F26441" s="2">
        <v>1.35478224584962E-4</v>
      </c>
    </row>
    <row r="26442" spans="1:6" x14ac:dyDescent="0.25">
      <c r="A26442" s="1" t="str">
        <f t="shared" si="959"/>
        <v>37100</v>
      </c>
      <c r="B26442" s="1" t="str">
        <f>"91359"</f>
        <v>91359</v>
      </c>
      <c r="C26442" s="2">
        <v>4.8960850345960401E-3</v>
      </c>
      <c r="D26442" s="2">
        <v>1.6792047286405098E-2</v>
      </c>
      <c r="E26442" s="2">
        <v>6.0646491600460902E-5</v>
      </c>
      <c r="F26442" s="2">
        <v>5.8797549469873697E-3</v>
      </c>
    </row>
    <row r="26443" spans="1:6" x14ac:dyDescent="0.25">
      <c r="A26443" s="1" t="str">
        <f t="shared" si="959"/>
        <v>37100</v>
      </c>
      <c r="B26443" s="1" t="str">
        <f>"93044"</f>
        <v>93044</v>
      </c>
      <c r="C26443" s="2">
        <v>4.65825706983263E-3</v>
      </c>
      <c r="D26443" s="2">
        <v>2.87479849543256E-3</v>
      </c>
      <c r="E26443" s="2">
        <v>1.2129298320092101E-4</v>
      </c>
      <c r="F26443" s="2">
        <v>4.2756927679014102E-3</v>
      </c>
    </row>
    <row r="26444" spans="1:6" x14ac:dyDescent="0.25">
      <c r="A26444" s="1" t="str">
        <f t="shared" si="959"/>
        <v>37100</v>
      </c>
      <c r="B26444" s="1" t="str">
        <f>"93094"</f>
        <v>93094</v>
      </c>
      <c r="C26444" s="2">
        <v>3.97965461037437E-3</v>
      </c>
      <c r="D26444" s="2">
        <v>1.0505104782374999E-2</v>
      </c>
      <c r="E26444" s="2">
        <v>1.2129298320092101E-4</v>
      </c>
      <c r="F26444" s="2">
        <v>4.4653622823203603E-3</v>
      </c>
    </row>
    <row r="26445" spans="1:6" x14ac:dyDescent="0.25">
      <c r="A26445" s="1" t="str">
        <f t="shared" si="959"/>
        <v>37100</v>
      </c>
      <c r="B26445" s="1" t="str">
        <f>"93011"</f>
        <v>93011</v>
      </c>
      <c r="C26445" s="2">
        <v>6.8494453851861703E-3</v>
      </c>
      <c r="D26445" s="2">
        <v>1.95056421278882E-2</v>
      </c>
      <c r="E26445" s="2">
        <v>1.2129298320092101E-4</v>
      </c>
      <c r="F26445" s="2">
        <v>7.8252222520274299E-3</v>
      </c>
    </row>
    <row r="26446" spans="1:6" x14ac:dyDescent="0.25">
      <c r="A26446" s="1" t="str">
        <f t="shared" si="959"/>
        <v>37100</v>
      </c>
      <c r="B26446" s="1" t="str">
        <f>"91377"</f>
        <v>91377</v>
      </c>
      <c r="C26446" s="2">
        <v>1.67843122332362E-2</v>
      </c>
      <c r="D26446" s="2">
        <v>2.20311660397635E-3</v>
      </c>
      <c r="E26446" s="2">
        <v>1.6556492206925798E-2</v>
      </c>
      <c r="F26446" s="2">
        <v>1.53036202491173E-2</v>
      </c>
    </row>
    <row r="26447" spans="1:6" x14ac:dyDescent="0.25">
      <c r="A26447" s="1" t="str">
        <f t="shared" si="959"/>
        <v>37100</v>
      </c>
      <c r="B26447" s="1" t="str">
        <f>"93040"</f>
        <v>93040</v>
      </c>
      <c r="C26447" s="2">
        <v>9.4814081952345603E-4</v>
      </c>
      <c r="D26447" s="2">
        <v>4.5674368619022E-4</v>
      </c>
      <c r="E26447" s="2">
        <v>4.85171932803687E-4</v>
      </c>
      <c r="F26447" s="2">
        <v>8.7789889531055595E-4</v>
      </c>
    </row>
    <row r="26448" spans="1:6" x14ac:dyDescent="0.25">
      <c r="A26448" s="1" t="str">
        <f t="shared" si="959"/>
        <v>37100</v>
      </c>
      <c r="B26448" s="1" t="str">
        <f>"93007"</f>
        <v>93007</v>
      </c>
      <c r="C26448" s="2">
        <v>1.5189279349556301E-3</v>
      </c>
      <c r="D26448" s="2">
        <v>4.9167114454594296E-3</v>
      </c>
      <c r="E26448" s="2">
        <v>1.2129298320092101E-4</v>
      </c>
      <c r="F26448" s="2">
        <v>1.7991508224882999E-3</v>
      </c>
    </row>
    <row r="26449" spans="1:6" x14ac:dyDescent="0.25">
      <c r="A26449" s="1" t="str">
        <f t="shared" si="959"/>
        <v>37100</v>
      </c>
      <c r="B26449" s="1" t="str">
        <f>"93002"</f>
        <v>93002</v>
      </c>
      <c r="C26449" s="2">
        <v>6.9984842431045696E-3</v>
      </c>
      <c r="D26449" s="2">
        <v>1.5797958087049899E-2</v>
      </c>
      <c r="E26449" s="2">
        <v>1.2129298320092101E-4</v>
      </c>
      <c r="F26449" s="2">
        <v>7.5786518832827903E-3</v>
      </c>
    </row>
    <row r="26450" spans="1:6" x14ac:dyDescent="0.25">
      <c r="A26450" s="1" t="str">
        <f t="shared" si="959"/>
        <v>37100</v>
      </c>
      <c r="B26450" s="1" t="str">
        <f>"93099"</f>
        <v>93099</v>
      </c>
      <c r="C26450" s="2">
        <v>0</v>
      </c>
      <c r="D26450" s="2">
        <v>0</v>
      </c>
      <c r="E26450" s="2">
        <v>6.0646491600460902E-5</v>
      </c>
      <c r="F26450" s="2">
        <v>2.70956449169924E-6</v>
      </c>
    </row>
    <row r="26451" spans="1:6" x14ac:dyDescent="0.25">
      <c r="A26451" s="1" t="str">
        <f t="shared" si="959"/>
        <v>37100</v>
      </c>
      <c r="B26451" s="1" t="str">
        <f>"93009"</f>
        <v>93009</v>
      </c>
      <c r="C26451" s="2">
        <v>0</v>
      </c>
      <c r="D26451" s="2">
        <v>0</v>
      </c>
      <c r="E26451" s="2">
        <v>1.2129298320092101E-4</v>
      </c>
      <c r="F26451" s="2">
        <v>5.4191289833984902E-6</v>
      </c>
    </row>
    <row r="26452" spans="1:6" x14ac:dyDescent="0.25">
      <c r="A26452" s="1" t="str">
        <f t="shared" si="959"/>
        <v>37100</v>
      </c>
      <c r="B26452" s="1" t="str">
        <f>"93063"</f>
        <v>93063</v>
      </c>
      <c r="C26452" s="2">
        <v>6.1800389403654302E-2</v>
      </c>
      <c r="D26452" s="2">
        <v>3.5464803868887597E-2</v>
      </c>
      <c r="E26452" s="2">
        <v>8.3813451391836893E-2</v>
      </c>
      <c r="F26452" s="2">
        <v>6.0127945635297997E-2</v>
      </c>
    </row>
    <row r="26453" spans="1:6" x14ac:dyDescent="0.25">
      <c r="A26453" s="1" t="str">
        <f t="shared" si="959"/>
        <v>37100</v>
      </c>
      <c r="B26453" s="1" t="str">
        <f>"93061"</f>
        <v>93061</v>
      </c>
      <c r="C26453" s="2">
        <v>1.5855197650893899E-3</v>
      </c>
      <c r="D26453" s="2">
        <v>5.80333154218162E-3</v>
      </c>
      <c r="E26453" s="2">
        <v>1.2129298320092101E-4</v>
      </c>
      <c r="F26453" s="2">
        <v>1.94546730504006E-3</v>
      </c>
    </row>
    <row r="26454" spans="1:6" x14ac:dyDescent="0.25">
      <c r="A26454" s="1" t="str">
        <f t="shared" si="959"/>
        <v>37100</v>
      </c>
      <c r="B26454" s="1" t="str">
        <f>"93031"</f>
        <v>93031</v>
      </c>
      <c r="C26454" s="2">
        <v>8.6252275220862901E-3</v>
      </c>
      <c r="D26454" s="2">
        <v>1.48038688876947E-2</v>
      </c>
      <c r="E26454" s="2">
        <v>1.2129298320092101E-4</v>
      </c>
      <c r="F26454" s="2">
        <v>8.8684045813316407E-3</v>
      </c>
    </row>
    <row r="26455" spans="1:6" x14ac:dyDescent="0.25">
      <c r="A26455" s="1" t="str">
        <f t="shared" si="959"/>
        <v>37100</v>
      </c>
      <c r="B26455" s="1" t="str">
        <f>"91360"</f>
        <v>91360</v>
      </c>
      <c r="C26455" s="2">
        <v>4.9233559745555697E-2</v>
      </c>
      <c r="D26455" s="2">
        <v>4.3095110155830098E-2</v>
      </c>
      <c r="E26455" s="2">
        <v>4.2755776578324897E-2</v>
      </c>
      <c r="F26455" s="2">
        <v>4.8325082709456103E-2</v>
      </c>
    </row>
    <row r="26456" spans="1:6" x14ac:dyDescent="0.25">
      <c r="A26456" s="1" t="str">
        <f t="shared" si="959"/>
        <v>37100</v>
      </c>
      <c r="B26456" s="1" t="str">
        <f>"93042"</f>
        <v>93042</v>
      </c>
      <c r="C26456" s="2">
        <v>0</v>
      </c>
      <c r="D26456" s="2">
        <v>2.68672756582482E-5</v>
      </c>
      <c r="E26456" s="2">
        <v>2.06198071441567E-3</v>
      </c>
      <c r="F26456" s="2">
        <v>9.4834757209473705E-5</v>
      </c>
    </row>
    <row r="26457" spans="1:6" x14ac:dyDescent="0.25">
      <c r="A26457" s="1" t="str">
        <f t="shared" si="959"/>
        <v>37100</v>
      </c>
      <c r="B26457" s="1" t="str">
        <f>"93043"</f>
        <v>93043</v>
      </c>
      <c r="C26457" s="2">
        <v>0</v>
      </c>
      <c r="D26457" s="2">
        <v>0</v>
      </c>
      <c r="E26457" s="2">
        <v>5.7007702104433199E-3</v>
      </c>
      <c r="F26457" s="2">
        <v>2.5469906221972898E-4</v>
      </c>
    </row>
    <row r="26458" spans="1:6" x14ac:dyDescent="0.25">
      <c r="A26458" s="1" t="str">
        <f t="shared" si="959"/>
        <v>37100</v>
      </c>
      <c r="B26458" s="1" t="str">
        <f>"91362"</f>
        <v>91362</v>
      </c>
      <c r="C26458" s="2">
        <v>4.36905826468032E-2</v>
      </c>
      <c r="D26458" s="2">
        <v>4.26383664696399E-2</v>
      </c>
      <c r="E26458" s="2">
        <v>4.3180302019528098E-2</v>
      </c>
      <c r="F26458" s="2">
        <v>4.3561668333048802E-2</v>
      </c>
    </row>
    <row r="26459" spans="1:6" x14ac:dyDescent="0.25">
      <c r="A26459" s="1" t="str">
        <f t="shared" si="959"/>
        <v>37100</v>
      </c>
      <c r="B26459" s="1" t="str">
        <f>"91304"</f>
        <v>91304</v>
      </c>
      <c r="C26459" s="2">
        <v>3.6466954597056002E-4</v>
      </c>
      <c r="D26459" s="2">
        <v>0</v>
      </c>
      <c r="E26459" s="2">
        <v>0</v>
      </c>
      <c r="F26459" s="2">
        <v>3.1159991654541299E-4</v>
      </c>
    </row>
    <row r="26460" spans="1:6" x14ac:dyDescent="0.25">
      <c r="A26460" s="1" t="str">
        <f t="shared" si="959"/>
        <v>37100</v>
      </c>
      <c r="B26460" s="1" t="str">
        <f>"93064"</f>
        <v>93064</v>
      </c>
      <c r="C26460" s="2">
        <v>0</v>
      </c>
      <c r="D26460" s="2">
        <v>0</v>
      </c>
      <c r="E26460" s="2">
        <v>1.2129298320092101E-4</v>
      </c>
      <c r="F26460" s="2">
        <v>5.4191289833984902E-6</v>
      </c>
    </row>
    <row r="26461" spans="1:6" x14ac:dyDescent="0.25">
      <c r="A26461" s="1" t="str">
        <f t="shared" si="959"/>
        <v>37100</v>
      </c>
      <c r="B26461" s="1" t="str">
        <f>"93032"</f>
        <v>93032</v>
      </c>
      <c r="C26461" s="2">
        <v>2.98077715836805E-3</v>
      </c>
      <c r="D26461" s="2">
        <v>5.1316496507254096E-3</v>
      </c>
      <c r="E26461" s="2">
        <v>1.2129298320092101E-4</v>
      </c>
      <c r="F26461" s="2">
        <v>3.0699365690952398E-3</v>
      </c>
    </row>
    <row r="26462" spans="1:6" x14ac:dyDescent="0.25">
      <c r="A26462" s="1" t="str">
        <f t="shared" si="959"/>
        <v>37100</v>
      </c>
      <c r="B26462" s="1" t="str">
        <f>"93010"</f>
        <v>93010</v>
      </c>
      <c r="C26462" s="2">
        <v>5.5610520240745302E-2</v>
      </c>
      <c r="D26462" s="2">
        <v>5.9242342826437297E-2</v>
      </c>
      <c r="E26462" s="2">
        <v>5.1610164351992199E-2</v>
      </c>
      <c r="F26462" s="2">
        <v>5.5798061577562598E-2</v>
      </c>
    </row>
    <row r="26463" spans="1:6" x14ac:dyDescent="0.25">
      <c r="A26463" s="1" t="str">
        <f t="shared" si="959"/>
        <v>37100</v>
      </c>
      <c r="B26463" s="1" t="str">
        <f>"93033"</f>
        <v>93033</v>
      </c>
      <c r="C26463" s="2">
        <v>5.5014364809071702E-2</v>
      </c>
      <c r="D26463" s="2">
        <v>3.7587318645889302E-2</v>
      </c>
      <c r="E26463" s="2">
        <v>6.9925404815331396E-2</v>
      </c>
      <c r="F26463" s="2">
        <v>5.39230429493067E-2</v>
      </c>
    </row>
    <row r="26464" spans="1:6" x14ac:dyDescent="0.25">
      <c r="A26464" s="1" t="str">
        <f t="shared" si="959"/>
        <v>37100</v>
      </c>
      <c r="B26464" s="1" t="str">
        <f>"93030"</f>
        <v>93030</v>
      </c>
      <c r="C26464" s="2">
        <v>5.0397331253131401E-2</v>
      </c>
      <c r="D26464" s="2">
        <v>6.8081676518000997E-2</v>
      </c>
      <c r="E26464" s="2">
        <v>7.1684153071744694E-2</v>
      </c>
      <c r="F26464" s="2">
        <v>5.31318501177305E-2</v>
      </c>
    </row>
    <row r="26465" spans="1:6" x14ac:dyDescent="0.25">
      <c r="A26465" s="1" t="str">
        <f t="shared" si="959"/>
        <v>37100</v>
      </c>
      <c r="B26465" s="1" t="str">
        <f>"93012"</f>
        <v>93012</v>
      </c>
      <c r="C26465" s="2">
        <v>4.5605890523031198E-2</v>
      </c>
      <c r="D26465" s="2">
        <v>4.2369693713057398E-2</v>
      </c>
      <c r="E26465" s="2">
        <v>3.2627812481047902E-2</v>
      </c>
      <c r="F26465" s="2">
        <v>4.4699685419562499E-2</v>
      </c>
    </row>
    <row r="26466" spans="1:6" x14ac:dyDescent="0.25">
      <c r="A26466" s="1" t="str">
        <f t="shared" si="959"/>
        <v>37100</v>
      </c>
      <c r="B26466" s="1" t="str">
        <f>"91307"</f>
        <v>91307</v>
      </c>
      <c r="C26466" s="2">
        <v>2.2894905407890801E-3</v>
      </c>
      <c r="D26466" s="2">
        <v>3.4927458355722701E-4</v>
      </c>
      <c r="E26466" s="2">
        <v>1.2129298320092101E-4</v>
      </c>
      <c r="F26466" s="2">
        <v>1.9969490303823399E-3</v>
      </c>
    </row>
    <row r="26467" spans="1:6" x14ac:dyDescent="0.25">
      <c r="A26467" s="1" t="str">
        <f t="shared" si="959"/>
        <v>37100</v>
      </c>
      <c r="B26467" s="1" t="str">
        <f>"93225"</f>
        <v>93225</v>
      </c>
      <c r="C26467" s="2">
        <v>5.3590568060021403E-4</v>
      </c>
      <c r="D26467" s="2">
        <v>5.3734551316496502E-5</v>
      </c>
      <c r="E26467" s="2">
        <v>0</v>
      </c>
      <c r="F26467" s="2">
        <v>4.6333552808057102E-4</v>
      </c>
    </row>
    <row r="26468" spans="1:6" x14ac:dyDescent="0.25">
      <c r="A26468" s="1" t="str">
        <f t="shared" si="959"/>
        <v>37100</v>
      </c>
      <c r="B26468" s="1" t="str">
        <f>"93022"</f>
        <v>93022</v>
      </c>
      <c r="C26468" s="2">
        <v>1.0413693817107101E-2</v>
      </c>
      <c r="D26468" s="2">
        <v>7.11982804943578E-3</v>
      </c>
      <c r="E26468" s="2">
        <v>1.33422281521014E-3</v>
      </c>
      <c r="F26468" s="2">
        <v>9.6758547998580108E-3</v>
      </c>
    </row>
    <row r="26469" spans="1:6" x14ac:dyDescent="0.25">
      <c r="A26469" s="1" t="str">
        <f t="shared" si="959"/>
        <v>37100</v>
      </c>
      <c r="B26469" s="1" t="str">
        <f>"91320"</f>
        <v>91320</v>
      </c>
      <c r="C26469" s="2">
        <v>5.02736607114544E-2</v>
      </c>
      <c r="D26469" s="2">
        <v>4.2020419129500199E-2</v>
      </c>
      <c r="E26469" s="2">
        <v>2.18933834677663E-2</v>
      </c>
      <c r="F26469" s="2">
        <v>4.8173347097920899E-2</v>
      </c>
    </row>
    <row r="26470" spans="1:6" x14ac:dyDescent="0.25">
      <c r="A26470" s="1" t="str">
        <f t="shared" si="959"/>
        <v>37100</v>
      </c>
      <c r="B26470" s="1" t="str">
        <f>"93065"</f>
        <v>93065</v>
      </c>
      <c r="C26470" s="2">
        <v>7.93172117683619E-2</v>
      </c>
      <c r="D26470" s="2">
        <v>6.8323481998925295E-2</v>
      </c>
      <c r="E26470" s="2">
        <v>0.101461580447571</v>
      </c>
      <c r="F26470" s="2">
        <v>7.9197860527877306E-2</v>
      </c>
    </row>
    <row r="26471" spans="1:6" x14ac:dyDescent="0.25">
      <c r="A26471" s="1" t="str">
        <f t="shared" si="959"/>
        <v>37100</v>
      </c>
      <c r="B26471" s="1" t="str">
        <f>"93021"</f>
        <v>93021</v>
      </c>
      <c r="C26471" s="2">
        <v>3.8937194391065202E-2</v>
      </c>
      <c r="D26471" s="2">
        <v>2.6732939279956999E-2</v>
      </c>
      <c r="E26471" s="2">
        <v>3.0990357207835498E-2</v>
      </c>
      <c r="F26471" s="2">
        <v>3.7351346518074098E-2</v>
      </c>
    </row>
    <row r="26472" spans="1:6" x14ac:dyDescent="0.25">
      <c r="A26472" s="1" t="str">
        <f t="shared" si="959"/>
        <v>37100</v>
      </c>
      <c r="B26472" s="1" t="str">
        <f>"91311"</f>
        <v>91311</v>
      </c>
      <c r="C26472" s="2">
        <v>3.7418266456109602E-4</v>
      </c>
      <c r="D26472" s="2">
        <v>2.68672756582482E-5</v>
      </c>
      <c r="E26472" s="2">
        <v>1.8193947480138199E-4</v>
      </c>
      <c r="F26472" s="2">
        <v>3.3056686798730802E-4</v>
      </c>
    </row>
    <row r="26473" spans="1:6" x14ac:dyDescent="0.25">
      <c r="A26473" s="1" t="str">
        <f t="shared" ref="A26473:A26494" si="960">"37100"</f>
        <v>37100</v>
      </c>
      <c r="B26473" s="1" t="str">
        <f>"93023"</f>
        <v>93023</v>
      </c>
      <c r="C26473" s="2">
        <v>2.7629267426447699E-2</v>
      </c>
      <c r="D26473" s="2">
        <v>2.2595378828586699E-2</v>
      </c>
      <c r="E26473" s="2">
        <v>2.5471526472193501E-2</v>
      </c>
      <c r="F26473" s="2">
        <v>2.7025196240208299E-2</v>
      </c>
    </row>
    <row r="26474" spans="1:6" x14ac:dyDescent="0.25">
      <c r="A26474" s="1" t="str">
        <f t="shared" si="960"/>
        <v>37100</v>
      </c>
      <c r="B26474" s="1" t="str">
        <f>"93024"</f>
        <v>93024</v>
      </c>
      <c r="C26474" s="2">
        <v>3.6276692225245201E-3</v>
      </c>
      <c r="D26474" s="2">
        <v>1.00483610961848E-2</v>
      </c>
      <c r="E26474" s="2">
        <v>6.0646491600460902E-5</v>
      </c>
      <c r="F26474" s="2">
        <v>4.1158284628911501E-3</v>
      </c>
    </row>
    <row r="26475" spans="1:6" x14ac:dyDescent="0.25">
      <c r="A26475" s="1" t="str">
        <f t="shared" si="960"/>
        <v>37100</v>
      </c>
      <c r="B26475" s="1" t="str">
        <f>"93035"</f>
        <v>93035</v>
      </c>
      <c r="C26475" s="2">
        <v>3.8740589940194102E-2</v>
      </c>
      <c r="D26475" s="2">
        <v>8.86620096722192E-3</v>
      </c>
      <c r="E26475" s="2">
        <v>2.5107647522590801E-2</v>
      </c>
      <c r="F26475" s="2">
        <v>3.5118665376913903E-2</v>
      </c>
    </row>
    <row r="26476" spans="1:6" x14ac:dyDescent="0.25">
      <c r="A26476" s="1" t="str">
        <f t="shared" si="960"/>
        <v>37100</v>
      </c>
      <c r="B26476" s="1" t="str">
        <f>"93062"</f>
        <v>93062</v>
      </c>
      <c r="C26476" s="2">
        <v>3.6910900131280999E-3</v>
      </c>
      <c r="D26476" s="2">
        <v>1.3917248790972499E-2</v>
      </c>
      <c r="E26476" s="2">
        <v>1.2129298320092101E-4</v>
      </c>
      <c r="F26476" s="2">
        <v>4.5629066040215301E-3</v>
      </c>
    </row>
    <row r="26477" spans="1:6" x14ac:dyDescent="0.25">
      <c r="A26477" s="1" t="str">
        <f t="shared" si="960"/>
        <v>37100</v>
      </c>
      <c r="B26477" s="1" t="str">
        <f>"93041"</f>
        <v>93041</v>
      </c>
      <c r="C26477" s="2">
        <v>2.8361777557919E-2</v>
      </c>
      <c r="D26477" s="2">
        <v>1.19022031166039E-2</v>
      </c>
      <c r="E26477" s="2">
        <v>4.2331251137121703E-2</v>
      </c>
      <c r="F26477" s="2">
        <v>2.73259578987869E-2</v>
      </c>
    </row>
    <row r="26478" spans="1:6" x14ac:dyDescent="0.25">
      <c r="A26478" s="1" t="str">
        <f t="shared" si="960"/>
        <v>37100</v>
      </c>
      <c r="B26478" s="1" t="str">
        <f>"93020"</f>
        <v>93020</v>
      </c>
      <c r="C26478" s="2">
        <v>2.3592534104530101E-3</v>
      </c>
      <c r="D26478" s="2">
        <v>5.48092423428264E-3</v>
      </c>
      <c r="E26478" s="2">
        <v>1.2129298320092101E-4</v>
      </c>
      <c r="F26478" s="2">
        <v>2.5740862671142801E-3</v>
      </c>
    </row>
    <row r="26479" spans="1:6" x14ac:dyDescent="0.25">
      <c r="A26479" s="1" t="str">
        <f t="shared" si="960"/>
        <v>37100</v>
      </c>
      <c r="B26479" s="1" t="str">
        <f>"93001"</f>
        <v>93001</v>
      </c>
      <c r="C26479" s="2">
        <v>4.5789810815781602E-2</v>
      </c>
      <c r="D26479" s="2">
        <v>5.4916711445459399E-2</v>
      </c>
      <c r="E26479" s="2">
        <v>7.0289283764934096E-2</v>
      </c>
      <c r="F26479" s="2">
        <v>4.7804846327049802E-2</v>
      </c>
    </row>
    <row r="26480" spans="1:6" x14ac:dyDescent="0.25">
      <c r="A26480" s="1" t="str">
        <f t="shared" si="960"/>
        <v>37100</v>
      </c>
      <c r="B26480" s="1" t="str">
        <f>"93003"</f>
        <v>93003</v>
      </c>
      <c r="C26480" s="2">
        <v>6.6626711568586405E-2</v>
      </c>
      <c r="D26480" s="2">
        <v>0.124099946265448</v>
      </c>
      <c r="E26480" s="2">
        <v>8.9696161077081601E-2</v>
      </c>
      <c r="F26480" s="2">
        <v>7.3453583805474898E-2</v>
      </c>
    </row>
    <row r="26481" spans="1:6" x14ac:dyDescent="0.25">
      <c r="A26481" s="1" t="str">
        <f t="shared" si="960"/>
        <v>37100</v>
      </c>
      <c r="B26481" s="1" t="str">
        <f>"93005"</f>
        <v>93005</v>
      </c>
      <c r="C26481" s="2">
        <v>2.0231232202540602E-3</v>
      </c>
      <c r="D26481" s="2">
        <v>4.4599677592692096E-3</v>
      </c>
      <c r="E26481" s="2">
        <v>1.2129298320092101E-4</v>
      </c>
      <c r="F26481" s="2">
        <v>2.18390898030959E-3</v>
      </c>
    </row>
    <row r="26482" spans="1:6" x14ac:dyDescent="0.25">
      <c r="A26482" s="1" t="str">
        <f t="shared" si="960"/>
        <v>37100</v>
      </c>
      <c r="B26482" s="1" t="str">
        <f>"93252"</f>
        <v>93252</v>
      </c>
      <c r="C26482" s="2">
        <v>1.8074925322019E-4</v>
      </c>
      <c r="D26482" s="2">
        <v>8.0601826974744702E-5</v>
      </c>
      <c r="E26482" s="2">
        <v>0</v>
      </c>
      <c r="F26482" s="2">
        <v>1.62573869501954E-4</v>
      </c>
    </row>
    <row r="26483" spans="1:6" x14ac:dyDescent="0.25">
      <c r="A26483" s="1" t="str">
        <f t="shared" si="960"/>
        <v>37100</v>
      </c>
      <c r="B26483" s="1" t="str">
        <f>"91319"</f>
        <v>91319</v>
      </c>
      <c r="C26483" s="2">
        <v>2.2102145525346099E-3</v>
      </c>
      <c r="D26483" s="2">
        <v>6.3675443310048296E-3</v>
      </c>
      <c r="E26483" s="2">
        <v>1.2129298320092101E-4</v>
      </c>
      <c r="F26483" s="2">
        <v>2.5361523642304898E-3</v>
      </c>
    </row>
    <row r="26484" spans="1:6" x14ac:dyDescent="0.25">
      <c r="A26484" s="1" t="str">
        <f t="shared" si="960"/>
        <v>37100</v>
      </c>
      <c r="B26484" s="1" t="str">
        <f>"93006"</f>
        <v>93006</v>
      </c>
      <c r="C26484" s="2">
        <v>4.9246243903676504E-3</v>
      </c>
      <c r="D26484" s="2">
        <v>1.3756045137023099E-2</v>
      </c>
      <c r="E26484" s="2">
        <v>1.2129298320092101E-4</v>
      </c>
      <c r="F26484" s="2">
        <v>5.6006698043423401E-3</v>
      </c>
    </row>
    <row r="26485" spans="1:6" x14ac:dyDescent="0.25">
      <c r="A26485" s="1" t="str">
        <f t="shared" si="960"/>
        <v>37100</v>
      </c>
      <c r="B26485" s="1" t="str">
        <f>"91361"</f>
        <v>91361</v>
      </c>
      <c r="C26485" s="2">
        <v>1.8461792144700801E-2</v>
      </c>
      <c r="D26485" s="2">
        <v>3.7641053197205801E-2</v>
      </c>
      <c r="E26485" s="2">
        <v>2.1711443992964999E-2</v>
      </c>
      <c r="F26485" s="2">
        <v>2.0541208411572E-2</v>
      </c>
    </row>
    <row r="26486" spans="1:6" x14ac:dyDescent="0.25">
      <c r="A26486" s="1" t="str">
        <f t="shared" si="960"/>
        <v>37100</v>
      </c>
      <c r="B26486" s="1" t="str">
        <f>"93034"</f>
        <v>93034</v>
      </c>
      <c r="C26486" s="2">
        <v>4.6043493978195904E-3</v>
      </c>
      <c r="D26486" s="2">
        <v>3.0091348737238E-3</v>
      </c>
      <c r="E26486" s="2">
        <v>1.8193947480138199E-4</v>
      </c>
      <c r="F26486" s="2">
        <v>4.2458875584927202E-3</v>
      </c>
    </row>
    <row r="26487" spans="1:6" x14ac:dyDescent="0.25">
      <c r="A26487" s="1" t="str">
        <f t="shared" si="960"/>
        <v>37100</v>
      </c>
      <c r="B26487" s="1" t="str">
        <f>"90265"</f>
        <v>90265</v>
      </c>
      <c r="C26487" s="2">
        <v>1.4428229862313399E-3</v>
      </c>
      <c r="D26487" s="2">
        <v>1.07469102632993E-4</v>
      </c>
      <c r="E26487" s="2">
        <v>1.21292983200921E-3</v>
      </c>
      <c r="F26487" s="2">
        <v>1.2978813915239401E-3</v>
      </c>
    </row>
    <row r="26488" spans="1:6" x14ac:dyDescent="0.25">
      <c r="A26488" s="1" t="str">
        <f t="shared" si="960"/>
        <v>37100</v>
      </c>
      <c r="B26488" s="1" t="str">
        <f>"93036"</f>
        <v>93036</v>
      </c>
      <c r="C26488" s="2">
        <v>4.5605890523031198E-2</v>
      </c>
      <c r="D26488" s="2">
        <v>4.7528210639441099E-2</v>
      </c>
      <c r="E26488" s="2">
        <v>4.4029352901934597E-2</v>
      </c>
      <c r="F26488" s="2">
        <v>4.5729319926408198E-2</v>
      </c>
    </row>
    <row r="26489" spans="1:6" x14ac:dyDescent="0.25">
      <c r="A26489" s="1" t="str">
        <f t="shared" si="960"/>
        <v>37100</v>
      </c>
      <c r="B26489" s="1" t="str">
        <f>"93060"</f>
        <v>93060</v>
      </c>
      <c r="C26489" s="2">
        <v>3.3115165813656998E-2</v>
      </c>
      <c r="D26489" s="2">
        <v>2.7135948414830701E-2</v>
      </c>
      <c r="E26489" s="2">
        <v>6.5376917945296806E-2</v>
      </c>
      <c r="F26489" s="2">
        <v>3.39535526454832E-2</v>
      </c>
    </row>
    <row r="26490" spans="1:6" x14ac:dyDescent="0.25">
      <c r="A26490" s="1" t="str">
        <f t="shared" si="960"/>
        <v>37100</v>
      </c>
      <c r="B26490" s="1" t="str">
        <f>"93015"</f>
        <v>93015</v>
      </c>
      <c r="C26490" s="2">
        <v>1.78783208711479E-2</v>
      </c>
      <c r="D26490" s="2">
        <v>9.4572810317033792E-3</v>
      </c>
      <c r="E26490" s="2">
        <v>1.1219600946085199E-2</v>
      </c>
      <c r="F26490" s="2">
        <v>1.6731560736242799E-2</v>
      </c>
    </row>
    <row r="26491" spans="1:6" x14ac:dyDescent="0.25">
      <c r="A26491" s="1" t="str">
        <f t="shared" si="960"/>
        <v>37100</v>
      </c>
      <c r="B26491" s="1" t="str">
        <f>"93066"</f>
        <v>93066</v>
      </c>
      <c r="C26491" s="2">
        <v>6.5703939065304296E-3</v>
      </c>
      <c r="D26491" s="2">
        <v>6.8242880171950496E-3</v>
      </c>
      <c r="E26491" s="2">
        <v>7.8840439080599101E-4</v>
      </c>
      <c r="F26491" s="2">
        <v>6.3376713460845399E-3</v>
      </c>
    </row>
    <row r="26492" spans="1:6" x14ac:dyDescent="0.25">
      <c r="A26492" s="1" t="str">
        <f t="shared" si="960"/>
        <v>37100</v>
      </c>
      <c r="B26492" s="1" t="str">
        <f>"93004"</f>
        <v>93004</v>
      </c>
      <c r="C26492" s="2">
        <v>3.7630726104631598E-2</v>
      </c>
      <c r="D26492" s="2">
        <v>1.0746910263299299E-2</v>
      </c>
      <c r="E26492" s="2">
        <v>2.4016010673782499E-2</v>
      </c>
      <c r="F26492" s="2">
        <v>3.4311215158387497E-2</v>
      </c>
    </row>
    <row r="26493" spans="1:6" x14ac:dyDescent="0.25">
      <c r="A26493" s="1" t="str">
        <f t="shared" si="960"/>
        <v>37100</v>
      </c>
      <c r="B26493" s="1" t="str">
        <f>"91358"</f>
        <v>91358</v>
      </c>
      <c r="C26493" s="2">
        <v>2.4543845963583698E-3</v>
      </c>
      <c r="D26493" s="2">
        <v>5.42718968296614E-3</v>
      </c>
      <c r="E26493" s="2">
        <v>1.2129298320092101E-4</v>
      </c>
      <c r="F26493" s="2">
        <v>2.6499540728818602E-3</v>
      </c>
    </row>
    <row r="26494" spans="1:6" x14ac:dyDescent="0.25">
      <c r="A26494" s="1" t="str">
        <f t="shared" si="960"/>
        <v>37100</v>
      </c>
      <c r="B26494" s="1" t="str">
        <f>"93016"</f>
        <v>93016</v>
      </c>
      <c r="C26494" s="2">
        <v>2.22924078971568E-3</v>
      </c>
      <c r="D26494" s="2">
        <v>3.70768404083825E-3</v>
      </c>
      <c r="E26494" s="2">
        <v>6.0646491600460902E-5</v>
      </c>
      <c r="F26494" s="2">
        <v>2.2814533020107598E-3</v>
      </c>
    </row>
    <row r="26495" spans="1:6" x14ac:dyDescent="0.25">
      <c r="A26495" s="1" t="str">
        <f t="shared" ref="A26495:A26509" si="961">"37120"</f>
        <v>37120</v>
      </c>
      <c r="B26495" s="1" t="str">
        <f>"36350"</f>
        <v>36350</v>
      </c>
      <c r="C26495" s="2">
        <v>0.10771530892528</v>
      </c>
      <c r="D26495" s="2">
        <v>4.2049299178347002E-2</v>
      </c>
      <c r="E26495" s="2">
        <v>0.14942528735632099</v>
      </c>
      <c r="F26495" s="2">
        <v>0.104201787588663</v>
      </c>
    </row>
    <row r="26496" spans="1:6" x14ac:dyDescent="0.25">
      <c r="A26496" s="1" t="str">
        <f t="shared" si="961"/>
        <v>37120</v>
      </c>
      <c r="B26496" s="1" t="str">
        <f>"36345"</f>
        <v>36345</v>
      </c>
      <c r="C26496" s="2">
        <v>6.8147839087653404E-3</v>
      </c>
      <c r="D26496" s="2">
        <v>1.9333011116481301E-3</v>
      </c>
      <c r="E26496" s="2">
        <v>0</v>
      </c>
      <c r="F26496" s="2">
        <v>6.3615254938134101E-3</v>
      </c>
    </row>
    <row r="26497" spans="1:6" x14ac:dyDescent="0.25">
      <c r="A26497" s="1" t="str">
        <f t="shared" si="961"/>
        <v>37120</v>
      </c>
      <c r="B26497" s="1" t="str">
        <f>"36353"</f>
        <v>36353</v>
      </c>
      <c r="C26497" s="2">
        <v>9.8397135009213807E-3</v>
      </c>
      <c r="D26497" s="2">
        <v>3.8666022232962702E-3</v>
      </c>
      <c r="E26497" s="2">
        <v>0</v>
      </c>
      <c r="F26497" s="2">
        <v>9.2560195934985202E-3</v>
      </c>
    </row>
    <row r="26498" spans="1:6" x14ac:dyDescent="0.25">
      <c r="A26498" s="1" t="str">
        <f t="shared" si="961"/>
        <v>37120</v>
      </c>
      <c r="B26498" s="1" t="str">
        <f>"36010"</f>
        <v>36010</v>
      </c>
      <c r="C26498" s="2">
        <v>5.5630889051145596E-4</v>
      </c>
      <c r="D26498" s="2">
        <v>0</v>
      </c>
      <c r="E26498" s="2">
        <v>3.28407224958949E-3</v>
      </c>
      <c r="F26498" s="2">
        <v>5.7253729444320704E-4</v>
      </c>
    </row>
    <row r="26499" spans="1:6" x14ac:dyDescent="0.25">
      <c r="A26499" s="1" t="str">
        <f t="shared" si="961"/>
        <v>37120</v>
      </c>
      <c r="B26499" s="1" t="str">
        <f>"36374"</f>
        <v>36374</v>
      </c>
      <c r="C26499" s="2">
        <v>2.0722506171551702E-2</v>
      </c>
      <c r="D26499" s="2">
        <v>1.15998066698888E-2</v>
      </c>
      <c r="E26499" s="2">
        <v>0</v>
      </c>
      <c r="F26499" s="2">
        <v>1.9720729030821501E-2</v>
      </c>
    </row>
    <row r="26500" spans="1:6" x14ac:dyDescent="0.25">
      <c r="A26500" s="1" t="str">
        <f t="shared" si="961"/>
        <v>37120</v>
      </c>
      <c r="B26500" s="1" t="str">
        <f>"36322"</f>
        <v>36322</v>
      </c>
      <c r="C26500" s="2">
        <v>0.16685789784777899</v>
      </c>
      <c r="D26500" s="2">
        <v>0.253745770903818</v>
      </c>
      <c r="E26500" s="2">
        <v>0.20525451559934299</v>
      </c>
      <c r="F26500" s="2">
        <v>0.173319762078946</v>
      </c>
    </row>
    <row r="26501" spans="1:6" x14ac:dyDescent="0.25">
      <c r="A26501" s="1" t="str">
        <f t="shared" si="961"/>
        <v>37120</v>
      </c>
      <c r="B26501" s="1" t="str">
        <f>"36362"</f>
        <v>36362</v>
      </c>
      <c r="C26501" s="2">
        <v>9.8675289454469503E-2</v>
      </c>
      <c r="D26501" s="2">
        <v>8.2165297245045902E-3</v>
      </c>
      <c r="E26501" s="2">
        <v>2.6272577996715899E-2</v>
      </c>
      <c r="F26501" s="2">
        <v>9.1319698463691507E-2</v>
      </c>
    </row>
    <row r="26502" spans="1:6" x14ac:dyDescent="0.25">
      <c r="A26502" s="1" t="str">
        <f t="shared" si="961"/>
        <v>37120</v>
      </c>
      <c r="B26502" s="1" t="str">
        <f>"36352"</f>
        <v>36352</v>
      </c>
      <c r="C26502" s="2">
        <v>3.05969889781301E-2</v>
      </c>
      <c r="D26502" s="2">
        <v>1.20831319478008E-2</v>
      </c>
      <c r="E26502" s="2">
        <v>3.28407224958949E-3</v>
      </c>
      <c r="F26502" s="2">
        <v>2.8849518114443799E-2</v>
      </c>
    </row>
    <row r="26503" spans="1:6" x14ac:dyDescent="0.25">
      <c r="A26503" s="1" t="str">
        <f t="shared" si="961"/>
        <v>37120</v>
      </c>
      <c r="B26503" s="1" t="str">
        <f>"36371"</f>
        <v>36371</v>
      </c>
      <c r="C26503" s="2">
        <v>0</v>
      </c>
      <c r="D26503" s="2">
        <v>4.8332527791203399E-4</v>
      </c>
      <c r="E26503" s="2">
        <v>0</v>
      </c>
      <c r="F26503" s="2">
        <v>3.1807627469067003E-5</v>
      </c>
    </row>
    <row r="26504" spans="1:6" x14ac:dyDescent="0.25">
      <c r="A26504" s="1" t="str">
        <f t="shared" si="961"/>
        <v>37120</v>
      </c>
      <c r="B26504" s="1" t="str">
        <f>"36303"</f>
        <v>36303</v>
      </c>
      <c r="C26504" s="2">
        <v>2.0548659643266898E-2</v>
      </c>
      <c r="D26504" s="2">
        <v>4.3982600289995101E-2</v>
      </c>
      <c r="E26504" s="2">
        <v>7.2249589490968796E-2</v>
      </c>
      <c r="F26504" s="2">
        <v>2.3092337542542699E-2</v>
      </c>
    </row>
    <row r="26505" spans="1:6" x14ac:dyDescent="0.25">
      <c r="A26505" s="1" t="str">
        <f t="shared" si="961"/>
        <v>37120</v>
      </c>
      <c r="B26505" s="1" t="str">
        <f>"36317"</f>
        <v>36317</v>
      </c>
      <c r="C26505" s="2">
        <v>5.5630889051145596E-4</v>
      </c>
      <c r="D26505" s="2">
        <v>4.8332527791203399E-4</v>
      </c>
      <c r="E26505" s="2">
        <v>0</v>
      </c>
      <c r="F26505" s="2">
        <v>5.4072966697413997E-4</v>
      </c>
    </row>
    <row r="26506" spans="1:6" x14ac:dyDescent="0.25">
      <c r="A26506" s="1" t="str">
        <f t="shared" si="961"/>
        <v>37120</v>
      </c>
      <c r="B26506" s="1" t="str">
        <f>"36360"</f>
        <v>36360</v>
      </c>
      <c r="C26506" s="2">
        <v>0.37995897221932401</v>
      </c>
      <c r="D26506" s="2">
        <v>0.45867568873852099</v>
      </c>
      <c r="E26506" s="2">
        <v>0.47783251231527002</v>
      </c>
      <c r="F26506" s="2">
        <v>0.387035211043608</v>
      </c>
    </row>
    <row r="26507" spans="1:6" x14ac:dyDescent="0.25">
      <c r="A26507" s="1" t="str">
        <f t="shared" si="961"/>
        <v>37120</v>
      </c>
      <c r="B26507" s="1" t="str">
        <f>"36311"</f>
        <v>36311</v>
      </c>
      <c r="C26507" s="2">
        <v>3.5568999687076198E-2</v>
      </c>
      <c r="D26507" s="2">
        <v>1.6433059449009101E-2</v>
      </c>
      <c r="E26507" s="2">
        <v>9.8522167487684695E-3</v>
      </c>
      <c r="F26507" s="2">
        <v>3.3811507999618302E-2</v>
      </c>
    </row>
    <row r="26508" spans="1:6" x14ac:dyDescent="0.25">
      <c r="A26508" s="1" t="str">
        <f t="shared" si="961"/>
        <v>37120</v>
      </c>
      <c r="B26508" s="1" t="str">
        <f>"36361"</f>
        <v>36361</v>
      </c>
      <c r="C26508" s="2">
        <v>5.6604429609540603E-2</v>
      </c>
      <c r="D26508" s="2">
        <v>0.116964717254712</v>
      </c>
      <c r="E26508" s="2">
        <v>3.28407224958949E-3</v>
      </c>
      <c r="F26508" s="2">
        <v>5.9543878622093503E-2</v>
      </c>
    </row>
    <row r="26509" spans="1:6" x14ac:dyDescent="0.25">
      <c r="A26509" s="1" t="str">
        <f t="shared" si="961"/>
        <v>37120</v>
      </c>
      <c r="B26509" s="1" t="str">
        <f>"36330"</f>
        <v>36330</v>
      </c>
      <c r="C26509" s="2">
        <v>6.4983832272869496E-2</v>
      </c>
      <c r="D26509" s="2">
        <v>2.9482841952634099E-2</v>
      </c>
      <c r="E26509" s="2">
        <v>4.9261083743842297E-2</v>
      </c>
      <c r="F26509" s="2">
        <v>6.23429498393714E-2</v>
      </c>
    </row>
    <row r="26510" spans="1:6" x14ac:dyDescent="0.25">
      <c r="A26510" s="1" t="str">
        <f t="shared" ref="A26510:A26539" si="962">"37140"</f>
        <v>37140</v>
      </c>
      <c r="B26510" s="1" t="str">
        <f>"62960"</f>
        <v>62960</v>
      </c>
      <c r="C26510" s="2">
        <v>0.111475720789074</v>
      </c>
      <c r="D26510" s="2">
        <v>9.4519317160826496E-2</v>
      </c>
      <c r="E26510" s="2">
        <v>6.3520871143375596E-2</v>
      </c>
      <c r="F26510" s="2">
        <v>0.108578864826987</v>
      </c>
    </row>
    <row r="26511" spans="1:6" x14ac:dyDescent="0.25">
      <c r="A26511" s="1" t="str">
        <f t="shared" si="962"/>
        <v>37140</v>
      </c>
      <c r="B26511" s="1" t="str">
        <f>"42024"</f>
        <v>42024</v>
      </c>
      <c r="C26511" s="2">
        <v>1.32966616084977E-2</v>
      </c>
      <c r="D26511" s="2">
        <v>2.6954177897574099E-3</v>
      </c>
      <c r="E26511" s="2">
        <v>6.65456745311554E-3</v>
      </c>
      <c r="F26511" s="2">
        <v>1.21292001735126E-2</v>
      </c>
    </row>
    <row r="26512" spans="1:6" x14ac:dyDescent="0.25">
      <c r="A26512" s="1" t="str">
        <f t="shared" si="962"/>
        <v>37140</v>
      </c>
      <c r="B26512" s="1" t="str">
        <f>"42081"</f>
        <v>42081</v>
      </c>
      <c r="C26512" s="2">
        <v>2.1756449165402099E-2</v>
      </c>
      <c r="D26512" s="2">
        <v>2.5157232704402501E-3</v>
      </c>
      <c r="E26512" s="2">
        <v>1.08892921960072E-2</v>
      </c>
      <c r="F26512" s="2">
        <v>1.9670326003536898E-2</v>
      </c>
    </row>
    <row r="26513" spans="1:6" x14ac:dyDescent="0.25">
      <c r="A26513" s="1" t="str">
        <f t="shared" si="962"/>
        <v>37140</v>
      </c>
      <c r="B26513" s="1" t="str">
        <f>"42083"</f>
        <v>42083</v>
      </c>
      <c r="C26513" s="2">
        <v>4.19195751138088E-3</v>
      </c>
      <c r="D26513" s="2">
        <v>5.3908355795148199E-4</v>
      </c>
      <c r="E26513" s="2">
        <v>6.0496067755595804E-4</v>
      </c>
      <c r="F26513" s="2">
        <v>3.7538790083085798E-3</v>
      </c>
    </row>
    <row r="26514" spans="1:6" x14ac:dyDescent="0.25">
      <c r="A26514" s="1" t="str">
        <f t="shared" si="962"/>
        <v>37140</v>
      </c>
      <c r="B26514" s="1" t="str">
        <f>"42027"</f>
        <v>42027</v>
      </c>
      <c r="C26514" s="2">
        <v>6.7147192716236698E-3</v>
      </c>
      <c r="D26514" s="2">
        <v>3.5938903863432098E-3</v>
      </c>
      <c r="E26514" s="2">
        <v>0</v>
      </c>
      <c r="F26514" s="2">
        <v>6.23978110714404E-3</v>
      </c>
    </row>
    <row r="26515" spans="1:6" x14ac:dyDescent="0.25">
      <c r="A26515" s="1" t="str">
        <f t="shared" si="962"/>
        <v>37140</v>
      </c>
      <c r="B26515" s="1" t="str">
        <f>"42086"</f>
        <v>42086</v>
      </c>
      <c r="C26515" s="2">
        <v>3.8296661608497699E-2</v>
      </c>
      <c r="D26515" s="2">
        <v>1.18598382749326E-2</v>
      </c>
      <c r="E26515" s="2">
        <v>1.02843315184513E-2</v>
      </c>
      <c r="F26515" s="2">
        <v>3.5069571890953902E-2</v>
      </c>
    </row>
    <row r="26516" spans="1:6" x14ac:dyDescent="0.25">
      <c r="A26516" s="1" t="str">
        <f t="shared" si="962"/>
        <v>37140</v>
      </c>
      <c r="B26516" s="1" t="str">
        <f>"62943"</f>
        <v>62943</v>
      </c>
      <c r="C26516" s="2">
        <v>1.4795144157814799E-3</v>
      </c>
      <c r="D26516" s="2">
        <v>1.7969451931716001E-4</v>
      </c>
      <c r="E26516" s="2">
        <v>0</v>
      </c>
      <c r="F26516" s="2">
        <v>1.3180286295838999E-3</v>
      </c>
    </row>
    <row r="26517" spans="1:6" x14ac:dyDescent="0.25">
      <c r="A26517" s="1" t="str">
        <f t="shared" si="962"/>
        <v>37140</v>
      </c>
      <c r="B26517" s="1" t="str">
        <f>"42045"</f>
        <v>42045</v>
      </c>
      <c r="C26517" s="2">
        <v>2.4924127465857301E-2</v>
      </c>
      <c r="D26517" s="2">
        <v>1.7250673854447399E-2</v>
      </c>
      <c r="E26517" s="2">
        <v>3.62976406533575E-3</v>
      </c>
      <c r="F26517" s="2">
        <v>2.3624411892288599E-2</v>
      </c>
    </row>
    <row r="26518" spans="1:6" x14ac:dyDescent="0.25">
      <c r="A26518" s="1" t="str">
        <f t="shared" si="962"/>
        <v>37140</v>
      </c>
      <c r="B26518" s="1" t="str">
        <f>"42087"</f>
        <v>42087</v>
      </c>
      <c r="C26518" s="2">
        <v>2.15288315629742E-2</v>
      </c>
      <c r="D26518" s="2">
        <v>6.8283917340521104E-3</v>
      </c>
      <c r="E26518" s="2">
        <v>6.04960677555958E-3</v>
      </c>
      <c r="F26518" s="2">
        <v>1.9737061630351299E-2</v>
      </c>
    </row>
    <row r="26519" spans="1:6" x14ac:dyDescent="0.25">
      <c r="A26519" s="1" t="str">
        <f t="shared" si="962"/>
        <v>37140</v>
      </c>
      <c r="B26519" s="1" t="str">
        <f>"62953"</f>
        <v>62953</v>
      </c>
      <c r="C26519" s="2">
        <v>0</v>
      </c>
      <c r="D26519" s="2">
        <v>0</v>
      </c>
      <c r="E26519" s="2">
        <v>6.0496067755595804E-4</v>
      </c>
      <c r="F26519" s="2">
        <v>1.6683906703593699E-5</v>
      </c>
    </row>
    <row r="26520" spans="1:6" x14ac:dyDescent="0.25">
      <c r="A26520" s="1" t="str">
        <f t="shared" si="962"/>
        <v>37140</v>
      </c>
      <c r="B26520" s="1" t="str">
        <f>"42078"</f>
        <v>42078</v>
      </c>
      <c r="C26520" s="2">
        <v>1.54210925644916E-2</v>
      </c>
      <c r="D26520" s="2">
        <v>8.9847259658580401E-3</v>
      </c>
      <c r="E26520" s="2">
        <v>3.62976406533575E-3</v>
      </c>
      <c r="F26520" s="2">
        <v>1.44983149254229E-2</v>
      </c>
    </row>
    <row r="26521" spans="1:6" x14ac:dyDescent="0.25">
      <c r="A26521" s="1" t="str">
        <f t="shared" si="962"/>
        <v>37140</v>
      </c>
      <c r="B26521" s="1" t="str">
        <f>"42028"</f>
        <v>42028</v>
      </c>
      <c r="C26521" s="2">
        <v>5.8042488619119799E-3</v>
      </c>
      <c r="D26521" s="2">
        <v>1.4375561545372801E-3</v>
      </c>
      <c r="E26521" s="2">
        <v>1.81488203266787E-3</v>
      </c>
      <c r="F26521" s="2">
        <v>5.2887984250392E-3</v>
      </c>
    </row>
    <row r="26522" spans="1:6" x14ac:dyDescent="0.25">
      <c r="A26522" s="1" t="str">
        <f t="shared" si="962"/>
        <v>37140</v>
      </c>
      <c r="B26522" s="1" t="str">
        <f>"62910"</f>
        <v>62910</v>
      </c>
      <c r="C26522" s="2">
        <v>2.61760242792109E-2</v>
      </c>
      <c r="D26522" s="2">
        <v>9.7035040431266793E-3</v>
      </c>
      <c r="E26522" s="2">
        <v>6.04960677555958E-3</v>
      </c>
      <c r="F26522" s="2">
        <v>2.40915612799893E-2</v>
      </c>
    </row>
    <row r="26523" spans="1:6" x14ac:dyDescent="0.25">
      <c r="A26523" s="1" t="str">
        <f t="shared" si="962"/>
        <v>37140</v>
      </c>
      <c r="B26523" s="1" t="str">
        <f>"42002"</f>
        <v>42002</v>
      </c>
      <c r="C26523" s="2">
        <v>5.0151745068285201E-2</v>
      </c>
      <c r="D26523" s="2">
        <v>0.17681940700808599</v>
      </c>
      <c r="E26523" s="2">
        <v>1.20992135511191E-3</v>
      </c>
      <c r="F26523" s="2">
        <v>6.0562581334045101E-2</v>
      </c>
    </row>
    <row r="26524" spans="1:6" x14ac:dyDescent="0.25">
      <c r="A26524" s="1" t="str">
        <f t="shared" si="962"/>
        <v>37140</v>
      </c>
      <c r="B26524" s="1" t="str">
        <f>"42001"</f>
        <v>42001</v>
      </c>
      <c r="C26524" s="2">
        <v>0.28909332321699499</v>
      </c>
      <c r="D26524" s="2">
        <v>0.34770889487870599</v>
      </c>
      <c r="E26524" s="2">
        <v>0.395039322444041</v>
      </c>
      <c r="F26524" s="2">
        <v>0.29745737261837202</v>
      </c>
    </row>
    <row r="26525" spans="1:6" x14ac:dyDescent="0.25">
      <c r="A26525" s="1" t="str">
        <f t="shared" si="962"/>
        <v>37140</v>
      </c>
      <c r="B26525" s="1" t="str">
        <f>"42047"</f>
        <v>42047</v>
      </c>
      <c r="C26525" s="2">
        <v>1.9347496206373199E-3</v>
      </c>
      <c r="D26525" s="2">
        <v>0</v>
      </c>
      <c r="E26525" s="2">
        <v>6.0496067755595804E-4</v>
      </c>
      <c r="F26525" s="2">
        <v>1.7184423904701501E-3</v>
      </c>
    </row>
    <row r="26526" spans="1:6" x14ac:dyDescent="0.25">
      <c r="A26526" s="1" t="str">
        <f t="shared" si="962"/>
        <v>37140</v>
      </c>
      <c r="B26526" s="1" t="str">
        <f>"62908"</f>
        <v>62908</v>
      </c>
      <c r="C26526" s="2">
        <v>2.5606980273141099E-3</v>
      </c>
      <c r="D26526" s="2">
        <v>1.6172506738544399E-3</v>
      </c>
      <c r="E26526" s="2">
        <v>0</v>
      </c>
      <c r="F26526" s="2">
        <v>2.4024825653174899E-3</v>
      </c>
    </row>
    <row r="26527" spans="1:6" x14ac:dyDescent="0.25">
      <c r="A26527" s="1" t="str">
        <f t="shared" si="962"/>
        <v>37140</v>
      </c>
      <c r="B26527" s="1" t="str">
        <f>"42058"</f>
        <v>42058</v>
      </c>
      <c r="C26527" s="2">
        <v>2.01631259484066E-2</v>
      </c>
      <c r="D26527" s="2">
        <v>7.9065588499550692E-3</v>
      </c>
      <c r="E26527" s="2">
        <v>5.44464609800362E-3</v>
      </c>
      <c r="F26527" s="2">
        <v>1.86192398812105E-2</v>
      </c>
    </row>
    <row r="26528" spans="1:6" x14ac:dyDescent="0.25">
      <c r="A26528" s="1" t="str">
        <f t="shared" si="962"/>
        <v>37140</v>
      </c>
      <c r="B26528" s="1" t="str">
        <f>"42064"</f>
        <v>42064</v>
      </c>
      <c r="C26528" s="2">
        <v>9.4840667678300404E-5</v>
      </c>
      <c r="D26528" s="2">
        <v>1.7969451931716001E-4</v>
      </c>
      <c r="E26528" s="2">
        <v>6.0496067755595804E-4</v>
      </c>
      <c r="F26528" s="2">
        <v>1.16787346925155E-4</v>
      </c>
    </row>
    <row r="26529" spans="1:6" x14ac:dyDescent="0.25">
      <c r="A26529" s="1" t="str">
        <f t="shared" si="962"/>
        <v>37140</v>
      </c>
      <c r="B26529" s="1" t="str">
        <f>"42060"</f>
        <v>42060</v>
      </c>
      <c r="C26529" s="2">
        <v>0</v>
      </c>
      <c r="D26529" s="2">
        <v>0</v>
      </c>
      <c r="E26529" s="2">
        <v>6.0496067755595804E-4</v>
      </c>
      <c r="F26529" s="2">
        <v>1.6683906703593699E-5</v>
      </c>
    </row>
    <row r="26530" spans="1:6" x14ac:dyDescent="0.25">
      <c r="A26530" s="1" t="str">
        <f t="shared" si="962"/>
        <v>37140</v>
      </c>
      <c r="B26530" s="1" t="str">
        <f>"62938"</f>
        <v>62938</v>
      </c>
      <c r="C26530" s="2">
        <v>3.7936267071320102E-4</v>
      </c>
      <c r="D26530" s="2">
        <v>1.7969451931716001E-4</v>
      </c>
      <c r="E26530" s="2">
        <v>0</v>
      </c>
      <c r="F26530" s="2">
        <v>3.5036204077546699E-4</v>
      </c>
    </row>
    <row r="26531" spans="1:6" x14ac:dyDescent="0.25">
      <c r="A26531" s="1" t="str">
        <f t="shared" si="962"/>
        <v>37140</v>
      </c>
      <c r="B26531" s="1" t="str">
        <f>"42022"</f>
        <v>42022</v>
      </c>
      <c r="C26531" s="2">
        <v>0</v>
      </c>
      <c r="D26531" s="2">
        <v>0</v>
      </c>
      <c r="E26531" s="2">
        <v>6.0496067755595804E-4</v>
      </c>
      <c r="F26531" s="2">
        <v>1.6683906703593699E-5</v>
      </c>
    </row>
    <row r="26532" spans="1:6" x14ac:dyDescent="0.25">
      <c r="A26532" s="1" t="str">
        <f t="shared" si="962"/>
        <v>37140</v>
      </c>
      <c r="B26532" s="1" t="str">
        <f>"42069"</f>
        <v>42069</v>
      </c>
      <c r="C26532" s="2">
        <v>2.3520485584218498E-3</v>
      </c>
      <c r="D26532" s="2">
        <v>0</v>
      </c>
      <c r="E26532" s="2">
        <v>1.20992135511191E-3</v>
      </c>
      <c r="F26532" s="2">
        <v>2.1021722446528E-3</v>
      </c>
    </row>
    <row r="26533" spans="1:6" x14ac:dyDescent="0.25">
      <c r="A26533" s="1" t="str">
        <f t="shared" si="962"/>
        <v>37140</v>
      </c>
      <c r="B26533" s="1" t="str">
        <f>"62941"</f>
        <v>62941</v>
      </c>
      <c r="C26533" s="2">
        <v>2.1813353566009098E-3</v>
      </c>
      <c r="D26533" s="2">
        <v>5.3908355795148199E-4</v>
      </c>
      <c r="E26533" s="2">
        <v>0</v>
      </c>
      <c r="F26533" s="2">
        <v>1.96870099102405E-3</v>
      </c>
    </row>
    <row r="26534" spans="1:6" x14ac:dyDescent="0.25">
      <c r="A26534" s="1" t="str">
        <f t="shared" si="962"/>
        <v>37140</v>
      </c>
      <c r="B26534" s="1" t="str">
        <f>"42003"</f>
        <v>42003</v>
      </c>
      <c r="C26534" s="2">
        <v>0.27676403641881597</v>
      </c>
      <c r="D26534" s="2">
        <v>0.284636118598382</v>
      </c>
      <c r="E26534" s="2">
        <v>0.45977011494252801</v>
      </c>
      <c r="F26534" s="2">
        <v>0.28254196002535897</v>
      </c>
    </row>
    <row r="26535" spans="1:6" x14ac:dyDescent="0.25">
      <c r="A26535" s="1" t="str">
        <f t="shared" si="962"/>
        <v>37140</v>
      </c>
      <c r="B26535" s="1" t="str">
        <f>"42056"</f>
        <v>42056</v>
      </c>
      <c r="C26535" s="2">
        <v>1.15326251896813E-2</v>
      </c>
      <c r="D26535" s="2">
        <v>3.05480682839173E-3</v>
      </c>
      <c r="E26535" s="2">
        <v>8.4694494857834209E-3</v>
      </c>
      <c r="F26535" s="2">
        <v>1.0661016383596299E-2</v>
      </c>
    </row>
    <row r="26536" spans="1:6" x14ac:dyDescent="0.25">
      <c r="A26536" s="1" t="str">
        <f t="shared" si="962"/>
        <v>37140</v>
      </c>
      <c r="B26536" s="1" t="str">
        <f>"42082"</f>
        <v>42082</v>
      </c>
      <c r="C26536" s="2">
        <v>7.9666160849772296E-4</v>
      </c>
      <c r="D26536" s="2">
        <v>1.7969451931716001E-4</v>
      </c>
      <c r="E26536" s="2">
        <v>0</v>
      </c>
      <c r="F26536" s="2">
        <v>7.1740798825452898E-4</v>
      </c>
    </row>
    <row r="26537" spans="1:6" x14ac:dyDescent="0.25">
      <c r="A26537" s="1" t="str">
        <f t="shared" si="962"/>
        <v>37140</v>
      </c>
      <c r="B26537" s="1" t="str">
        <f>"42029"</f>
        <v>42029</v>
      </c>
      <c r="C26537" s="2">
        <v>1.1380880121396E-4</v>
      </c>
      <c r="D26537" s="2">
        <v>0</v>
      </c>
      <c r="E26537" s="2">
        <v>0</v>
      </c>
      <c r="F26537" s="2">
        <v>1.00103440221562E-4</v>
      </c>
    </row>
    <row r="26538" spans="1:6" x14ac:dyDescent="0.25">
      <c r="A26538" s="1" t="str">
        <f t="shared" si="962"/>
        <v>37140</v>
      </c>
      <c r="B26538" s="1" t="str">
        <f>"62956"</f>
        <v>62956</v>
      </c>
      <c r="C26538" s="2">
        <v>2.8452200303490101E-3</v>
      </c>
      <c r="D26538" s="2">
        <v>3.59389038634321E-4</v>
      </c>
      <c r="E26538" s="2">
        <v>0</v>
      </c>
      <c r="F26538" s="2">
        <v>2.5359538189462399E-3</v>
      </c>
    </row>
    <row r="26539" spans="1:6" x14ac:dyDescent="0.25">
      <c r="A26539" s="1" t="str">
        <f t="shared" si="962"/>
        <v>37140</v>
      </c>
      <c r="B26539" s="1" t="str">
        <f>"42053"</f>
        <v>42053</v>
      </c>
      <c r="C26539" s="2">
        <v>4.79704097116843E-2</v>
      </c>
      <c r="D26539" s="2">
        <v>1.6711590296495899E-2</v>
      </c>
      <c r="E26539" s="2">
        <v>1.27041742286751E-2</v>
      </c>
      <c r="F26539" s="2">
        <v>4.4095565417598098E-2</v>
      </c>
    </row>
    <row r="26540" spans="1:6" x14ac:dyDescent="0.25">
      <c r="A26540" s="1" t="str">
        <f t="shared" ref="A26540:A26550" si="963">"37220"</f>
        <v>37220</v>
      </c>
      <c r="B26540" s="1" t="str">
        <f>"89003"</f>
        <v>89003</v>
      </c>
      <c r="C26540" s="2">
        <v>7.3669122304076797E-3</v>
      </c>
      <c r="D26540" s="2">
        <v>0</v>
      </c>
      <c r="E26540" s="2">
        <v>0.117964071856287</v>
      </c>
      <c r="F26540" s="2">
        <v>1.23332939926826E-2</v>
      </c>
    </row>
    <row r="26541" spans="1:6" x14ac:dyDescent="0.25">
      <c r="A26541" s="1" t="str">
        <f t="shared" si="963"/>
        <v>37220</v>
      </c>
      <c r="B26541" s="1" t="str">
        <f>"89060"</f>
        <v>89060</v>
      </c>
      <c r="C26541" s="2">
        <v>0.196939897996599</v>
      </c>
      <c r="D26541" s="2">
        <v>0.109311740890688</v>
      </c>
      <c r="E26541" s="2">
        <v>0.119161676646706</v>
      </c>
      <c r="F26541" s="2">
        <v>0.187359848931901</v>
      </c>
    </row>
    <row r="26542" spans="1:6" x14ac:dyDescent="0.25">
      <c r="A26542" s="1" t="str">
        <f t="shared" si="963"/>
        <v>37220</v>
      </c>
      <c r="B26542" s="1" t="str">
        <f>"89041"</f>
        <v>89041</v>
      </c>
      <c r="C26542" s="2">
        <v>0.15800526684222799</v>
      </c>
      <c r="D26542" s="2">
        <v>0.117858749437696</v>
      </c>
      <c r="E26542" s="2">
        <v>2.3952095808383199E-3</v>
      </c>
      <c r="F26542" s="2">
        <v>0.147704473031983</v>
      </c>
    </row>
    <row r="26543" spans="1:6" x14ac:dyDescent="0.25">
      <c r="A26543" s="1" t="str">
        <f t="shared" si="963"/>
        <v>37220</v>
      </c>
      <c r="B26543" s="1" t="str">
        <f>"89020"</f>
        <v>89020</v>
      </c>
      <c r="C26543" s="2">
        <v>8.53028434281142E-2</v>
      </c>
      <c r="D26543" s="2">
        <v>4.1835357624831301E-2</v>
      </c>
      <c r="E26543" s="2">
        <v>8.9820359281437105E-3</v>
      </c>
      <c r="F26543" s="2">
        <v>7.8691136551398505E-2</v>
      </c>
    </row>
    <row r="26544" spans="1:6" x14ac:dyDescent="0.25">
      <c r="A26544" s="1" t="str">
        <f t="shared" si="963"/>
        <v>37220</v>
      </c>
      <c r="B26544" s="1" t="str">
        <f>"89061"</f>
        <v>89061</v>
      </c>
      <c r="C26544" s="2">
        <v>0.15307176905896799</v>
      </c>
      <c r="D26544" s="2">
        <v>2.2042285200179899E-2</v>
      </c>
      <c r="E26544" s="2">
        <v>1.73652694610778E-2</v>
      </c>
      <c r="F26544" s="2">
        <v>0.13779062905700401</v>
      </c>
    </row>
    <row r="26545" spans="1:6" x14ac:dyDescent="0.25">
      <c r="A26545" s="1" t="str">
        <f t="shared" si="963"/>
        <v>37220</v>
      </c>
      <c r="B26545" s="1" t="str">
        <f>"89045"</f>
        <v>89045</v>
      </c>
      <c r="C26545" s="2">
        <v>3.5134504483482702E-2</v>
      </c>
      <c r="D26545" s="2">
        <v>7.1974808816913996E-3</v>
      </c>
      <c r="E26545" s="2">
        <v>0.21976047904191601</v>
      </c>
      <c r="F26545" s="2">
        <v>4.2399386285849099E-2</v>
      </c>
    </row>
    <row r="26546" spans="1:6" x14ac:dyDescent="0.25">
      <c r="A26546" s="1" t="str">
        <f t="shared" si="963"/>
        <v>37220</v>
      </c>
      <c r="B26546" s="1" t="str">
        <f>"89049"</f>
        <v>89049</v>
      </c>
      <c r="C26546" s="2">
        <v>4.2001400046668197E-3</v>
      </c>
      <c r="D26546" s="2">
        <v>1.7993702204228499E-2</v>
      </c>
      <c r="E26546" s="2">
        <v>1.25748502994011E-2</v>
      </c>
      <c r="F26546" s="2">
        <v>5.5175262598843302E-3</v>
      </c>
    </row>
    <row r="26547" spans="1:6" x14ac:dyDescent="0.25">
      <c r="A26547" s="1" t="str">
        <f t="shared" si="963"/>
        <v>37220</v>
      </c>
      <c r="B26547" s="1" t="str">
        <f>"89409"</f>
        <v>89409</v>
      </c>
      <c r="C26547" s="2">
        <v>0</v>
      </c>
      <c r="D26547" s="2">
        <v>4.4984255510571302E-4</v>
      </c>
      <c r="E26547" s="2">
        <v>0</v>
      </c>
      <c r="F26547" s="2">
        <v>2.95054880207718E-5</v>
      </c>
    </row>
    <row r="26548" spans="1:6" x14ac:dyDescent="0.25">
      <c r="A26548" s="1" t="str">
        <f t="shared" si="963"/>
        <v>37220</v>
      </c>
      <c r="B26548" s="1" t="str">
        <f>"89023"</f>
        <v>89023</v>
      </c>
      <c r="C26548" s="2">
        <v>0</v>
      </c>
      <c r="D26548" s="2">
        <v>0</v>
      </c>
      <c r="E26548" s="2">
        <v>5.9880239520957996E-4</v>
      </c>
      <c r="F26548" s="2">
        <v>2.95054880207718E-5</v>
      </c>
    </row>
    <row r="26549" spans="1:6" x14ac:dyDescent="0.25">
      <c r="A26549" s="1" t="str">
        <f t="shared" si="963"/>
        <v>37220</v>
      </c>
      <c r="B26549" s="1" t="str">
        <f>"89022"</f>
        <v>89022</v>
      </c>
      <c r="C26549" s="2">
        <v>0</v>
      </c>
      <c r="D26549" s="2">
        <v>0</v>
      </c>
      <c r="E26549" s="2">
        <v>1.1976047904191599E-3</v>
      </c>
      <c r="F26549" s="2">
        <v>5.9010976041543702E-5</v>
      </c>
    </row>
    <row r="26550" spans="1:6" x14ac:dyDescent="0.25">
      <c r="A26550" s="1" t="str">
        <f t="shared" si="963"/>
        <v>37220</v>
      </c>
      <c r="B26550" s="1" t="str">
        <f>"89048"</f>
        <v>89048</v>
      </c>
      <c r="C26550" s="2">
        <v>0.35997866595553102</v>
      </c>
      <c r="D26550" s="2">
        <v>0.68331084120557795</v>
      </c>
      <c r="E26550" s="2">
        <v>0.5</v>
      </c>
      <c r="F26550" s="2">
        <v>0.38808568393721199</v>
      </c>
    </row>
    <row r="26551" spans="1:6" x14ac:dyDescent="0.25">
      <c r="A26551" s="1" t="str">
        <f t="shared" ref="A26551:A26570" si="964">"37260"</f>
        <v>37260</v>
      </c>
      <c r="B26551" s="1" t="str">
        <f>"32145"</f>
        <v>32145</v>
      </c>
      <c r="C26551" s="2">
        <v>2.5568908207619499E-4</v>
      </c>
      <c r="D26551" s="2">
        <v>0</v>
      </c>
      <c r="E26551" s="2">
        <v>0</v>
      </c>
      <c r="F26551" s="2">
        <v>2.3463713367277499E-4</v>
      </c>
    </row>
    <row r="26552" spans="1:6" x14ac:dyDescent="0.25">
      <c r="A26552" s="1" t="str">
        <f t="shared" si="964"/>
        <v>37260</v>
      </c>
      <c r="B26552" s="1" t="str">
        <f>"32147"</f>
        <v>32147</v>
      </c>
      <c r="C26552" s="2">
        <v>0</v>
      </c>
      <c r="D26552" s="2">
        <v>4.0322580645161198E-4</v>
      </c>
      <c r="E26552" s="2">
        <v>0</v>
      </c>
      <c r="F26552" s="2">
        <v>2.34637133672775E-5</v>
      </c>
    </row>
    <row r="26553" spans="1:6" x14ac:dyDescent="0.25">
      <c r="A26553" s="1" t="str">
        <f t="shared" si="964"/>
        <v>37260</v>
      </c>
      <c r="B26553" s="1" t="str">
        <f>"32138"</f>
        <v>32138</v>
      </c>
      <c r="C26553" s="2">
        <v>0</v>
      </c>
      <c r="D26553" s="2">
        <v>4.0322580645161198E-4</v>
      </c>
      <c r="E26553" s="2">
        <v>0</v>
      </c>
      <c r="F26553" s="2">
        <v>2.34637133672775E-5</v>
      </c>
    </row>
    <row r="26554" spans="1:6" x14ac:dyDescent="0.25">
      <c r="A26554" s="1" t="str">
        <f t="shared" si="964"/>
        <v>37260</v>
      </c>
      <c r="B26554" s="1" t="str">
        <f>"32007"</f>
        <v>32007</v>
      </c>
      <c r="C26554" s="2">
        <v>0</v>
      </c>
      <c r="D26554" s="2">
        <v>0</v>
      </c>
      <c r="E26554" s="2">
        <v>9.7181729834791E-4</v>
      </c>
      <c r="F26554" s="2">
        <v>2.34637133672775E-5</v>
      </c>
    </row>
    <row r="26555" spans="1:6" x14ac:dyDescent="0.25">
      <c r="A26555" s="1" t="str">
        <f t="shared" si="964"/>
        <v>37260</v>
      </c>
      <c r="B26555" s="1" t="str">
        <f>"32666"</f>
        <v>32666</v>
      </c>
      <c r="C26555" s="2">
        <v>3.9810790079263601E-2</v>
      </c>
      <c r="D26555" s="2">
        <v>2.9032258064516099E-2</v>
      </c>
      <c r="E26555" s="2">
        <v>1.9436345966958202E-2</v>
      </c>
      <c r="F26555" s="2">
        <v>3.8691663342640598E-2</v>
      </c>
    </row>
    <row r="26556" spans="1:6" x14ac:dyDescent="0.25">
      <c r="A26556" s="1" t="str">
        <f t="shared" si="964"/>
        <v>37260</v>
      </c>
      <c r="B26556" s="1" t="str">
        <f>"32189"</f>
        <v>32189</v>
      </c>
      <c r="C26556" s="2">
        <v>9.5960112503196096E-2</v>
      </c>
      <c r="D26556" s="2">
        <v>1.7338709677419298E-2</v>
      </c>
      <c r="E26556" s="2">
        <v>2.5267249757045598E-2</v>
      </c>
      <c r="F26556" s="2">
        <v>8.9678312489734596E-2</v>
      </c>
    </row>
    <row r="26557" spans="1:6" x14ac:dyDescent="0.25">
      <c r="A26557" s="1" t="str">
        <f t="shared" si="964"/>
        <v>37260</v>
      </c>
      <c r="B26557" s="1" t="str">
        <f>"32181"</f>
        <v>32181</v>
      </c>
      <c r="C26557" s="2">
        <v>3.0375862950652002E-2</v>
      </c>
      <c r="D26557" s="2">
        <v>8.8709677419354805E-3</v>
      </c>
      <c r="E26557" s="2">
        <v>2.8182701652089401E-2</v>
      </c>
      <c r="F26557" s="2">
        <v>2.9071540862056801E-2</v>
      </c>
    </row>
    <row r="26558" spans="1:6" x14ac:dyDescent="0.25">
      <c r="A26558" s="1" t="str">
        <f t="shared" si="964"/>
        <v>37260</v>
      </c>
      <c r="B26558" s="1" t="str">
        <f>"32656"</f>
        <v>32656</v>
      </c>
      <c r="C26558" s="2">
        <v>7.6706724622858604E-5</v>
      </c>
      <c r="D26558" s="2">
        <v>0</v>
      </c>
      <c r="E26558" s="2">
        <v>0</v>
      </c>
      <c r="F26558" s="2">
        <v>7.0391140101832504E-5</v>
      </c>
    </row>
    <row r="26559" spans="1:6" x14ac:dyDescent="0.25">
      <c r="A26559" s="1" t="str">
        <f t="shared" si="964"/>
        <v>37260</v>
      </c>
      <c r="B26559" s="1" t="str">
        <f>"32112"</f>
        <v>32112</v>
      </c>
      <c r="C26559" s="2">
        <v>0.104704679110201</v>
      </c>
      <c r="D26559" s="2">
        <v>0.11330645161290299</v>
      </c>
      <c r="E26559" s="2">
        <v>6.6083576287657902E-2</v>
      </c>
      <c r="F26559" s="2">
        <v>0.10427274220418099</v>
      </c>
    </row>
    <row r="26560" spans="1:6" x14ac:dyDescent="0.25">
      <c r="A26560" s="1" t="str">
        <f t="shared" si="964"/>
        <v>37260</v>
      </c>
      <c r="B26560" s="1" t="str">
        <f>"32131"</f>
        <v>32131</v>
      </c>
      <c r="C26560" s="2">
        <v>5.6558424955254399E-2</v>
      </c>
      <c r="D26560" s="2">
        <v>8.2661290322580599E-2</v>
      </c>
      <c r="E26560" s="2">
        <v>5.4421768707482901E-2</v>
      </c>
      <c r="F26560" s="2">
        <v>5.8025763157277199E-2</v>
      </c>
    </row>
    <row r="26561" spans="1:6" x14ac:dyDescent="0.25">
      <c r="A26561" s="1" t="str">
        <f t="shared" si="964"/>
        <v>37260</v>
      </c>
      <c r="B26561" s="1" t="str">
        <f>"32185"</f>
        <v>32185</v>
      </c>
      <c r="C26561" s="2">
        <v>0</v>
      </c>
      <c r="D26561" s="2">
        <v>4.0322580645161198E-4</v>
      </c>
      <c r="E26561" s="2">
        <v>0</v>
      </c>
      <c r="F26561" s="2">
        <v>2.34637133672775E-5</v>
      </c>
    </row>
    <row r="26562" spans="1:6" x14ac:dyDescent="0.25">
      <c r="A26562" s="1" t="str">
        <f t="shared" si="964"/>
        <v>37260</v>
      </c>
      <c r="B26562" s="1" t="str">
        <f>"32187"</f>
        <v>32187</v>
      </c>
      <c r="C26562" s="2">
        <v>2.3958066990539501E-2</v>
      </c>
      <c r="D26562" s="2">
        <v>2.0161290322580599E-2</v>
      </c>
      <c r="E26562" s="2">
        <v>1.1661807580174899E-2</v>
      </c>
      <c r="F26562" s="2">
        <v>2.34402496539102E-2</v>
      </c>
    </row>
    <row r="26563" spans="1:6" x14ac:dyDescent="0.25">
      <c r="A26563" s="1" t="str">
        <f t="shared" si="964"/>
        <v>37260</v>
      </c>
      <c r="B26563" s="1" t="str">
        <f>"32640"</f>
        <v>32640</v>
      </c>
      <c r="C26563" s="2">
        <v>8.67297366402454E-2</v>
      </c>
      <c r="D26563" s="2">
        <v>2.05645161290322E-2</v>
      </c>
      <c r="E26563" s="2">
        <v>1.6520894071914399E-2</v>
      </c>
      <c r="F26563" s="2">
        <v>8.1184448250780097E-2</v>
      </c>
    </row>
    <row r="26564" spans="1:6" x14ac:dyDescent="0.25">
      <c r="A26564" s="1" t="str">
        <f t="shared" si="964"/>
        <v>37260</v>
      </c>
      <c r="B26564" s="1" t="str">
        <f>"32193"</f>
        <v>32193</v>
      </c>
      <c r="C26564" s="2">
        <v>1.4062899514190701E-2</v>
      </c>
      <c r="D26564" s="2">
        <v>6.0483870967741899E-3</v>
      </c>
      <c r="E26564" s="2">
        <v>2.04081632653061E-2</v>
      </c>
      <c r="F26564" s="2">
        <v>1.37497360332246E-2</v>
      </c>
    </row>
    <row r="26565" spans="1:6" x14ac:dyDescent="0.25">
      <c r="A26565" s="1" t="str">
        <f t="shared" si="964"/>
        <v>37260</v>
      </c>
      <c r="B26565" s="1" t="str">
        <f>"32177"</f>
        <v>32177</v>
      </c>
      <c r="C26565" s="2">
        <v>0.34612631040654501</v>
      </c>
      <c r="D26565" s="2">
        <v>0.61774193548387002</v>
      </c>
      <c r="E26565" s="2">
        <v>0.65597667638483903</v>
      </c>
      <c r="F26565" s="2">
        <v>0.369412703254417</v>
      </c>
    </row>
    <row r="26566" spans="1:6" x14ac:dyDescent="0.25">
      <c r="A26566" s="1" t="str">
        <f t="shared" si="964"/>
        <v>37260</v>
      </c>
      <c r="B26566" s="1" t="str">
        <f>"32134"</f>
        <v>32134</v>
      </c>
      <c r="C26566" s="2">
        <v>4.7558169266172304E-3</v>
      </c>
      <c r="D26566" s="2">
        <v>8.0645161290322505E-4</v>
      </c>
      <c r="E26566" s="2">
        <v>2.91545189504373E-3</v>
      </c>
      <c r="F26566" s="2">
        <v>4.4815692531499996E-3</v>
      </c>
    </row>
    <row r="26567" spans="1:6" x14ac:dyDescent="0.25">
      <c r="A26567" s="1" t="str">
        <f t="shared" si="964"/>
        <v>37260</v>
      </c>
      <c r="B26567" s="1" t="str">
        <f>"32043"</f>
        <v>32043</v>
      </c>
      <c r="C26567" s="2">
        <v>3.45180260802863E-3</v>
      </c>
      <c r="D26567" s="2">
        <v>1.6129032258064501E-3</v>
      </c>
      <c r="E26567" s="2">
        <v>0</v>
      </c>
      <c r="F26567" s="2">
        <v>3.2614561580515699E-3</v>
      </c>
    </row>
    <row r="26568" spans="1:6" x14ac:dyDescent="0.25">
      <c r="A26568" s="1" t="str">
        <f t="shared" si="964"/>
        <v>37260</v>
      </c>
      <c r="B26568" s="1" t="str">
        <f>"32139"</f>
        <v>32139</v>
      </c>
      <c r="C26568" s="2">
        <v>2.10432114548708E-2</v>
      </c>
      <c r="D26568" s="2">
        <v>6.85483870967741E-3</v>
      </c>
      <c r="E26568" s="2">
        <v>2.62390670553935E-2</v>
      </c>
      <c r="F26568" s="2">
        <v>2.0343039489429501E-2</v>
      </c>
    </row>
    <row r="26569" spans="1:6" x14ac:dyDescent="0.25">
      <c r="A26569" s="1" t="str">
        <f t="shared" si="964"/>
        <v>37260</v>
      </c>
      <c r="B26569" s="1" t="str">
        <f>"32148"</f>
        <v>32148</v>
      </c>
      <c r="C26569" s="2">
        <v>0.15029404244438699</v>
      </c>
      <c r="D26569" s="2">
        <v>6.6532258064516098E-2</v>
      </c>
      <c r="E26569" s="2">
        <v>6.1224489795918297E-2</v>
      </c>
      <c r="F26569" s="2">
        <v>0.14326943382059601</v>
      </c>
    </row>
    <row r="26570" spans="1:6" x14ac:dyDescent="0.25">
      <c r="A26570" s="1" t="str">
        <f t="shared" si="964"/>
        <v>37260</v>
      </c>
      <c r="B26570" s="1" t="str">
        <f>"32140"</f>
        <v>32140</v>
      </c>
      <c r="C26570" s="2">
        <v>2.1835847609306999E-2</v>
      </c>
      <c r="D26570" s="2">
        <v>7.25806451612903E-3</v>
      </c>
      <c r="E26570" s="2">
        <v>1.0689990281826999E-2</v>
      </c>
      <c r="F26570" s="2">
        <v>2.0718458903306002E-2</v>
      </c>
    </row>
    <row r="26571" spans="1:6" x14ac:dyDescent="0.25">
      <c r="A26571" s="1" t="str">
        <f t="shared" ref="A26571:A26587" si="965">"37300"</f>
        <v>37300</v>
      </c>
      <c r="B26571" s="1" t="str">
        <f>"75839"</f>
        <v>75839</v>
      </c>
      <c r="C26571" s="2">
        <v>0.11013872434746</v>
      </c>
      <c r="D26571" s="2">
        <v>4.5595854922279702E-2</v>
      </c>
      <c r="E26571" s="2">
        <v>3.1746031746031703E-2</v>
      </c>
      <c r="F26571" s="2">
        <v>0.104723441615452</v>
      </c>
    </row>
    <row r="26572" spans="1:6" x14ac:dyDescent="0.25">
      <c r="A26572" s="1" t="str">
        <f t="shared" si="965"/>
        <v>37300</v>
      </c>
      <c r="B26572" s="1" t="str">
        <f>"75763"</f>
        <v>75763</v>
      </c>
      <c r="C26572" s="2">
        <v>5.6177628310467298E-2</v>
      </c>
      <c r="D26572" s="2">
        <v>1.13989637305699E-2</v>
      </c>
      <c r="E26572" s="2">
        <v>4.2328042328042298E-2</v>
      </c>
      <c r="F26572" s="2">
        <v>5.2958735733099199E-2</v>
      </c>
    </row>
    <row r="26573" spans="1:6" x14ac:dyDescent="0.25">
      <c r="A26573" s="1" t="str">
        <f t="shared" si="965"/>
        <v>37300</v>
      </c>
      <c r="B26573" s="1" t="str">
        <f>"75770"</f>
        <v>75770</v>
      </c>
      <c r="C26573" s="2">
        <v>8.0253754729239096E-4</v>
      </c>
      <c r="D26573" s="2">
        <v>0</v>
      </c>
      <c r="E26573" s="2">
        <v>0</v>
      </c>
      <c r="F26573" s="2">
        <v>7.3748902546093005E-4</v>
      </c>
    </row>
    <row r="26574" spans="1:6" x14ac:dyDescent="0.25">
      <c r="A26574" s="1" t="str">
        <f t="shared" si="965"/>
        <v>37300</v>
      </c>
      <c r="B26574" s="1" t="str">
        <f>"75751"</f>
        <v>75751</v>
      </c>
      <c r="C26574" s="2">
        <v>5.5795467573661398E-3</v>
      </c>
      <c r="D26574" s="2">
        <v>1.5544041450777199E-3</v>
      </c>
      <c r="E26574" s="2">
        <v>0</v>
      </c>
      <c r="F26574" s="2">
        <v>5.2326602282704096E-3</v>
      </c>
    </row>
    <row r="26575" spans="1:6" x14ac:dyDescent="0.25">
      <c r="A26575" s="1" t="str">
        <f t="shared" si="965"/>
        <v>37300</v>
      </c>
      <c r="B26575" s="1" t="str">
        <f>"75882"</f>
        <v>75882</v>
      </c>
      <c r="C26575" s="2">
        <v>0</v>
      </c>
      <c r="D26575" s="2">
        <v>1.03626943005181E-3</v>
      </c>
      <c r="E26575" s="2">
        <v>2.6455026455026402E-3</v>
      </c>
      <c r="F26575" s="2">
        <v>1.05355575065847E-4</v>
      </c>
    </row>
    <row r="26576" spans="1:6" x14ac:dyDescent="0.25">
      <c r="A26576" s="1" t="str">
        <f t="shared" si="965"/>
        <v>37300</v>
      </c>
      <c r="B26576" s="1" t="str">
        <f>"75832"</f>
        <v>75832</v>
      </c>
      <c r="C26576" s="2">
        <v>3.8216073680589998E-5</v>
      </c>
      <c r="D26576" s="2">
        <v>0</v>
      </c>
      <c r="E26576" s="2">
        <v>2.6455026455026402E-3</v>
      </c>
      <c r="F26576" s="2">
        <v>7.0237050043898101E-5</v>
      </c>
    </row>
    <row r="26577" spans="1:6" x14ac:dyDescent="0.25">
      <c r="A26577" s="1" t="str">
        <f t="shared" si="965"/>
        <v>37300</v>
      </c>
      <c r="B26577" s="1" t="str">
        <f>"75802"</f>
        <v>75802</v>
      </c>
      <c r="C26577" s="2">
        <v>0.10872472962127799</v>
      </c>
      <c r="D26577" s="2">
        <v>0.224870466321243</v>
      </c>
      <c r="E26577" s="2">
        <v>5.2910052910052898E-3</v>
      </c>
      <c r="F26577" s="2">
        <v>0.11522388059701399</v>
      </c>
    </row>
    <row r="26578" spans="1:6" x14ac:dyDescent="0.25">
      <c r="A26578" s="1" t="str">
        <f t="shared" si="965"/>
        <v>37300</v>
      </c>
      <c r="B26578" s="1" t="str">
        <f>"75752"</f>
        <v>75752</v>
      </c>
      <c r="C26578" s="2">
        <v>7.2610539993121098E-4</v>
      </c>
      <c r="D26578" s="2">
        <v>0</v>
      </c>
      <c r="E26578" s="2">
        <v>0</v>
      </c>
      <c r="F26578" s="2">
        <v>6.6725197541703197E-4</v>
      </c>
    </row>
    <row r="26579" spans="1:6" x14ac:dyDescent="0.25">
      <c r="A26579" s="1" t="str">
        <f t="shared" si="965"/>
        <v>37300</v>
      </c>
      <c r="B26579" s="1" t="str">
        <f>"75884"</f>
        <v>75884</v>
      </c>
      <c r="C26579" s="2">
        <v>0</v>
      </c>
      <c r="D26579" s="2">
        <v>1.03626943005181E-3</v>
      </c>
      <c r="E26579" s="2">
        <v>0</v>
      </c>
      <c r="F26579" s="2">
        <v>7.0237050043898101E-5</v>
      </c>
    </row>
    <row r="26580" spans="1:6" x14ac:dyDescent="0.25">
      <c r="A26580" s="1" t="str">
        <f t="shared" si="965"/>
        <v>37300</v>
      </c>
      <c r="B26580" s="1" t="str">
        <f>"75779"</f>
        <v>75779</v>
      </c>
      <c r="C26580" s="2">
        <v>3.8216073680589998E-5</v>
      </c>
      <c r="D26580" s="2">
        <v>0</v>
      </c>
      <c r="E26580" s="2">
        <v>2.6455026455026402E-3</v>
      </c>
      <c r="F26580" s="2">
        <v>7.0237050043898101E-5</v>
      </c>
    </row>
    <row r="26581" spans="1:6" x14ac:dyDescent="0.25">
      <c r="A26581" s="1" t="str">
        <f t="shared" si="965"/>
        <v>37300</v>
      </c>
      <c r="B26581" s="1" t="str">
        <f>"75803"</f>
        <v>75803</v>
      </c>
      <c r="C26581" s="2">
        <v>0.32139717965376202</v>
      </c>
      <c r="D26581" s="2">
        <v>6.5284974093264198E-2</v>
      </c>
      <c r="E26581" s="2">
        <v>0.206349206349206</v>
      </c>
      <c r="F26581" s="2">
        <v>0.302510974539069</v>
      </c>
    </row>
    <row r="26582" spans="1:6" x14ac:dyDescent="0.25">
      <c r="A26582" s="1" t="str">
        <f t="shared" si="965"/>
        <v>37300</v>
      </c>
      <c r="B26582" s="1" t="str">
        <f>"75853"</f>
        <v>75853</v>
      </c>
      <c r="C26582" s="2">
        <v>2.02163029770321E-2</v>
      </c>
      <c r="D26582" s="2">
        <v>8.2901554404145004E-3</v>
      </c>
      <c r="E26582" s="2">
        <v>2.6455026455026402E-3</v>
      </c>
      <c r="F26582" s="2">
        <v>1.9174714661984098E-2</v>
      </c>
    </row>
    <row r="26583" spans="1:6" x14ac:dyDescent="0.25">
      <c r="A26583" s="1" t="str">
        <f t="shared" si="965"/>
        <v>37300</v>
      </c>
      <c r="B26583" s="1" t="str">
        <f>"75801"</f>
        <v>75801</v>
      </c>
      <c r="C26583" s="2">
        <v>0.31906599915924599</v>
      </c>
      <c r="D26583" s="2">
        <v>0.63108808290155405</v>
      </c>
      <c r="E26583" s="2">
        <v>0.62962962962962898</v>
      </c>
      <c r="F26583" s="2">
        <v>0.34433713784020997</v>
      </c>
    </row>
    <row r="26584" spans="1:6" x14ac:dyDescent="0.25">
      <c r="A26584" s="1" t="str">
        <f t="shared" si="965"/>
        <v>37300</v>
      </c>
      <c r="B26584" s="1" t="str">
        <f>"75844"</f>
        <v>75844</v>
      </c>
      <c r="C26584" s="2">
        <v>1.6815072419459599E-2</v>
      </c>
      <c r="D26584" s="2">
        <v>0</v>
      </c>
      <c r="E26584" s="2">
        <v>5.2910052910052898E-3</v>
      </c>
      <c r="F26584" s="2">
        <v>1.55223880597014E-2</v>
      </c>
    </row>
    <row r="26585" spans="1:6" x14ac:dyDescent="0.25">
      <c r="A26585" s="1" t="str">
        <f t="shared" si="965"/>
        <v>37300</v>
      </c>
      <c r="B26585" s="1" t="str">
        <f>"75880"</f>
        <v>75880</v>
      </c>
      <c r="C26585" s="2">
        <v>0</v>
      </c>
      <c r="D26585" s="2">
        <v>1.03626943005181E-3</v>
      </c>
      <c r="E26585" s="2">
        <v>0</v>
      </c>
      <c r="F26585" s="2">
        <v>7.0237050043898101E-5</v>
      </c>
    </row>
    <row r="26586" spans="1:6" x14ac:dyDescent="0.25">
      <c r="A26586" s="1" t="str">
        <f t="shared" si="965"/>
        <v>37300</v>
      </c>
      <c r="B26586" s="1" t="str">
        <f>"75861"</f>
        <v>75861</v>
      </c>
      <c r="C26586" s="2">
        <v>4.0279741659341901E-2</v>
      </c>
      <c r="D26586" s="2">
        <v>8.2901554404145004E-3</v>
      </c>
      <c r="E26586" s="2">
        <v>6.8783068783068696E-2</v>
      </c>
      <c r="F26586" s="2">
        <v>3.8489903424056102E-2</v>
      </c>
    </row>
    <row r="26587" spans="1:6" x14ac:dyDescent="0.25">
      <c r="A26587" s="1" t="str">
        <f t="shared" si="965"/>
        <v>37300</v>
      </c>
      <c r="B26587" s="1" t="str">
        <f>"75886"</f>
        <v>75886</v>
      </c>
      <c r="C26587" s="2">
        <v>0</v>
      </c>
      <c r="D26587" s="2">
        <v>5.1813471502590595E-4</v>
      </c>
      <c r="E26587" s="2">
        <v>0</v>
      </c>
      <c r="F26587" s="2">
        <v>3.5118525021949003E-5</v>
      </c>
    </row>
    <row r="26588" spans="1:6" x14ac:dyDescent="0.25">
      <c r="A26588" s="1" t="str">
        <f t="shared" ref="A26588:A26633" si="966">"37340"</f>
        <v>37340</v>
      </c>
      <c r="B26588" s="1" t="str">
        <f>"32936"</f>
        <v>32936</v>
      </c>
      <c r="C26588" s="2">
        <v>3.4997839639528401E-3</v>
      </c>
      <c r="D26588" s="2">
        <v>8.7685364281108891E-3</v>
      </c>
      <c r="E26588" s="2">
        <v>1.3990905911157701E-4</v>
      </c>
      <c r="F26588" s="2">
        <v>3.8122571649044901E-3</v>
      </c>
    </row>
    <row r="26589" spans="1:6" x14ac:dyDescent="0.25">
      <c r="A26589" s="1" t="str">
        <f t="shared" si="966"/>
        <v>37340</v>
      </c>
      <c r="B26589" s="1" t="str">
        <f>"32910"</f>
        <v>32910</v>
      </c>
      <c r="C26589" s="2">
        <v>2.8640207394605198E-3</v>
      </c>
      <c r="D26589" s="2">
        <v>8.5428755641521505E-3</v>
      </c>
      <c r="E26589" s="2">
        <v>1.3990905911157701E-4</v>
      </c>
      <c r="F26589" s="2">
        <v>3.2355449659523098E-3</v>
      </c>
    </row>
    <row r="26590" spans="1:6" x14ac:dyDescent="0.25">
      <c r="A26590" s="1" t="str">
        <f t="shared" si="966"/>
        <v>37340</v>
      </c>
      <c r="B26590" s="1" t="str">
        <f>"32952"</f>
        <v>32952</v>
      </c>
      <c r="C26590" s="2">
        <v>3.1174001604839199E-2</v>
      </c>
      <c r="D26590" s="2">
        <v>3.00451321727917E-2</v>
      </c>
      <c r="E26590" s="2">
        <v>2.0286813571178699E-2</v>
      </c>
      <c r="F26590" s="2">
        <v>3.0657803890776599E-2</v>
      </c>
    </row>
    <row r="26591" spans="1:6" x14ac:dyDescent="0.25">
      <c r="A26591" s="1" t="str">
        <f t="shared" si="966"/>
        <v>37340</v>
      </c>
      <c r="B26591" s="1" t="str">
        <f>"32940"</f>
        <v>32940</v>
      </c>
      <c r="C26591" s="2">
        <v>6.4921918400098699E-2</v>
      </c>
      <c r="D26591" s="2">
        <v>5.7350096711798797E-2</v>
      </c>
      <c r="E26591" s="2">
        <v>3.9804127317243698E-2</v>
      </c>
      <c r="F26591" s="2">
        <v>6.3313793710317104E-2</v>
      </c>
    </row>
    <row r="26592" spans="1:6" x14ac:dyDescent="0.25">
      <c r="A26592" s="1" t="str">
        <f t="shared" si="966"/>
        <v>37340</v>
      </c>
      <c r="B26592" s="1" t="str">
        <f>"32903"</f>
        <v>32903</v>
      </c>
      <c r="C26592" s="2">
        <v>2.4557126103326901E-2</v>
      </c>
      <c r="D26592" s="2">
        <v>2.00515796260477E-2</v>
      </c>
      <c r="E26592" s="2">
        <v>2.7841902763203901E-2</v>
      </c>
      <c r="F26592" s="2">
        <v>2.4305846995275202E-2</v>
      </c>
    </row>
    <row r="26593" spans="1:6" x14ac:dyDescent="0.25">
      <c r="A26593" s="1" t="str">
        <f t="shared" si="966"/>
        <v>37340</v>
      </c>
      <c r="B26593" s="1" t="str">
        <f>"32907"</f>
        <v>32907</v>
      </c>
      <c r="C26593" s="2">
        <v>5.4329979630886899E-2</v>
      </c>
      <c r="D26593" s="2">
        <v>1.6537717601547298E-2</v>
      </c>
      <c r="E26593" s="2">
        <v>1.21720881427072E-2</v>
      </c>
      <c r="F26593" s="2">
        <v>4.9524144746639201E-2</v>
      </c>
    </row>
    <row r="26594" spans="1:6" x14ac:dyDescent="0.25">
      <c r="A26594" s="1" t="str">
        <f t="shared" si="966"/>
        <v>37340</v>
      </c>
      <c r="B26594" s="1" t="str">
        <f>"32783"</f>
        <v>32783</v>
      </c>
      <c r="C26594" s="2">
        <v>4.4133078205048999E-4</v>
      </c>
      <c r="D26594" s="2">
        <v>1.4184397163120499E-3</v>
      </c>
      <c r="E26594" s="2">
        <v>1.3990905911157701E-4</v>
      </c>
      <c r="F26594" s="2">
        <v>5.11730542732207E-4</v>
      </c>
    </row>
    <row r="26595" spans="1:6" x14ac:dyDescent="0.25">
      <c r="A26595" s="1" t="str">
        <f t="shared" si="966"/>
        <v>37340</v>
      </c>
      <c r="B26595" s="1" t="str">
        <f>"32953"</f>
        <v>32953</v>
      </c>
      <c r="C26595" s="2">
        <v>3.5741620887599503E-2</v>
      </c>
      <c r="D26595" s="2">
        <v>4.2295293359123097E-2</v>
      </c>
      <c r="E26595" s="2">
        <v>2.9031129765652301E-2</v>
      </c>
      <c r="F26595" s="2">
        <v>3.6032328373969399E-2</v>
      </c>
    </row>
    <row r="26596" spans="1:6" x14ac:dyDescent="0.25">
      <c r="A26596" s="1" t="str">
        <f t="shared" si="966"/>
        <v>37340</v>
      </c>
      <c r="B26596" s="1" t="str">
        <f>"32935"</f>
        <v>32935</v>
      </c>
      <c r="C26596" s="2">
        <v>6.4141102401086295E-2</v>
      </c>
      <c r="D26596" s="2">
        <v>8.3687943262411302E-2</v>
      </c>
      <c r="E26596" s="2">
        <v>0.100314795383001</v>
      </c>
      <c r="F26596" s="2">
        <v>6.7182909824414105E-2</v>
      </c>
    </row>
    <row r="26597" spans="1:6" x14ac:dyDescent="0.25">
      <c r="A26597" s="1" t="str">
        <f t="shared" si="966"/>
        <v>37340</v>
      </c>
      <c r="B26597" s="1" t="str">
        <f>"32924"</f>
        <v>32924</v>
      </c>
      <c r="C26597" s="2">
        <v>2.6294673168322899E-3</v>
      </c>
      <c r="D26597" s="2">
        <v>3.9329464861379698E-3</v>
      </c>
      <c r="E26597" s="2">
        <v>1.3990905911157701E-4</v>
      </c>
      <c r="F26597" s="2">
        <v>2.6425873529451502E-3</v>
      </c>
    </row>
    <row r="26598" spans="1:6" x14ac:dyDescent="0.25">
      <c r="A26598" s="1" t="str">
        <f t="shared" si="966"/>
        <v>37340</v>
      </c>
      <c r="B26598" s="1" t="str">
        <f>"32932"</f>
        <v>32932</v>
      </c>
      <c r="C26598" s="2">
        <v>2.2591198074192898E-3</v>
      </c>
      <c r="D26598" s="2">
        <v>5.9638942617665997E-3</v>
      </c>
      <c r="E26598" s="2">
        <v>1.3990905911157701E-4</v>
      </c>
      <c r="F26598" s="2">
        <v>2.4882559194227402E-3</v>
      </c>
    </row>
    <row r="26599" spans="1:6" x14ac:dyDescent="0.25">
      <c r="A26599" s="1" t="str">
        <f t="shared" si="966"/>
        <v>37340</v>
      </c>
      <c r="B26599" s="1" t="str">
        <f>"32955"</f>
        <v>32955</v>
      </c>
      <c r="C26599" s="2">
        <v>5.6317511264736698E-2</v>
      </c>
      <c r="D26599" s="2">
        <v>6.0122501611863298E-2</v>
      </c>
      <c r="E26599" s="2">
        <v>7.0234347674011793E-2</v>
      </c>
      <c r="F26599" s="2">
        <v>5.7175734766539803E-2</v>
      </c>
    </row>
    <row r="26600" spans="1:6" x14ac:dyDescent="0.25">
      <c r="A26600" s="1" t="str">
        <f t="shared" si="966"/>
        <v>37340</v>
      </c>
      <c r="B26600" s="1" t="str">
        <f>"32951"</f>
        <v>32951</v>
      </c>
      <c r="C26600" s="2">
        <v>2.5004629343867601E-2</v>
      </c>
      <c r="D26600" s="2">
        <v>1.5892972275950899E-2</v>
      </c>
      <c r="E26600" s="2">
        <v>1.6859041622944999E-2</v>
      </c>
      <c r="F26600" s="2">
        <v>2.3924079764983001E-2</v>
      </c>
    </row>
    <row r="26601" spans="1:6" x14ac:dyDescent="0.25">
      <c r="A26601" s="1" t="str">
        <f t="shared" si="966"/>
        <v>37340</v>
      </c>
      <c r="B26601" s="1" t="str">
        <f>"32922"</f>
        <v>32922</v>
      </c>
      <c r="C26601" s="2">
        <v>2.5106474908956199E-2</v>
      </c>
      <c r="D26601" s="2">
        <v>5.0870406189555101E-2</v>
      </c>
      <c r="E26601" s="2">
        <v>4.8688352570828902E-2</v>
      </c>
      <c r="F26601" s="2">
        <v>2.8183085816399701E-2</v>
      </c>
    </row>
    <row r="26602" spans="1:6" x14ac:dyDescent="0.25">
      <c r="A26602" s="1" t="str">
        <f t="shared" si="966"/>
        <v>37340</v>
      </c>
      <c r="B26602" s="1" t="str">
        <f>"32923"</f>
        <v>32923</v>
      </c>
      <c r="C26602" s="2">
        <v>2.2961545583605899E-3</v>
      </c>
      <c r="D26602" s="2">
        <v>5.22243713733075E-3</v>
      </c>
      <c r="E26602" s="2">
        <v>1.3990905911157701E-4</v>
      </c>
      <c r="F26602" s="2">
        <v>2.4584726603219201E-3</v>
      </c>
    </row>
    <row r="26603" spans="1:6" x14ac:dyDescent="0.25">
      <c r="A26603" s="1" t="str">
        <f t="shared" si="966"/>
        <v>37340</v>
      </c>
      <c r="B26603" s="1" t="str">
        <f>"32925"</f>
        <v>32925</v>
      </c>
      <c r="C26603" s="2">
        <v>7.0952410345040398E-3</v>
      </c>
      <c r="D26603" s="2">
        <v>6.4796905222437098E-3</v>
      </c>
      <c r="E26603" s="2">
        <v>5.8761804826862503E-3</v>
      </c>
      <c r="F26603" s="2">
        <v>6.9963583196826704E-3</v>
      </c>
    </row>
    <row r="26604" spans="1:6" x14ac:dyDescent="0.25">
      <c r="A26604" s="1" t="str">
        <f t="shared" si="966"/>
        <v>37340</v>
      </c>
      <c r="B26604" s="1" t="str">
        <f>"32909"</f>
        <v>32909</v>
      </c>
      <c r="C26604" s="2">
        <v>4.3750385778655601E-2</v>
      </c>
      <c r="D26604" s="2">
        <v>1.45390070921985E-2</v>
      </c>
      <c r="E26604" s="2">
        <v>2.3434767401189199E-2</v>
      </c>
      <c r="F26604" s="2">
        <v>4.0510647515128499E-2</v>
      </c>
    </row>
    <row r="26605" spans="1:6" x14ac:dyDescent="0.25">
      <c r="A26605" s="1" t="str">
        <f t="shared" si="966"/>
        <v>37340</v>
      </c>
      <c r="B26605" s="1" t="str">
        <f>"32899"</f>
        <v>32899</v>
      </c>
      <c r="C26605" s="2">
        <v>0</v>
      </c>
      <c r="D26605" s="2">
        <v>0</v>
      </c>
      <c r="E26605" s="2">
        <v>6.9954529555788693E-5</v>
      </c>
      <c r="F26605" s="2">
        <v>2.70756900916512E-6</v>
      </c>
    </row>
    <row r="26606" spans="1:6" x14ac:dyDescent="0.25">
      <c r="A26606" s="1" t="str">
        <f t="shared" si="966"/>
        <v>37340</v>
      </c>
      <c r="B26606" s="1" t="str">
        <f>"32949"</f>
        <v>32949</v>
      </c>
      <c r="C26606" s="2">
        <v>6.5181161656687799E-3</v>
      </c>
      <c r="D26606" s="2">
        <v>3.5138620245003202E-3</v>
      </c>
      <c r="E26606" s="2">
        <v>4.89681706890521E-4</v>
      </c>
      <c r="F26606" s="2">
        <v>6.0324637524198799E-3</v>
      </c>
    </row>
    <row r="26607" spans="1:6" x14ac:dyDescent="0.25">
      <c r="A26607" s="1" t="str">
        <f t="shared" si="966"/>
        <v>37340</v>
      </c>
      <c r="B26607" s="1" t="str">
        <f>"32976"</f>
        <v>32976</v>
      </c>
      <c r="C26607" s="2">
        <v>2.1480155545953901E-2</v>
      </c>
      <c r="D26607" s="2">
        <v>4.5132172791747197E-3</v>
      </c>
      <c r="E26607" s="2">
        <v>3.56768100734522E-3</v>
      </c>
      <c r="F26607" s="2">
        <v>1.9361825984539699E-2</v>
      </c>
    </row>
    <row r="26608" spans="1:6" x14ac:dyDescent="0.25">
      <c r="A26608" s="1" t="str">
        <f t="shared" si="966"/>
        <v>37340</v>
      </c>
      <c r="B26608" s="1" t="str">
        <f>"32905"</f>
        <v>32905</v>
      </c>
      <c r="C26608" s="2">
        <v>4.2287513116474197E-2</v>
      </c>
      <c r="D26608" s="2">
        <v>4.9645390070921898E-2</v>
      </c>
      <c r="E26608" s="2">
        <v>9.7026932493878906E-2</v>
      </c>
      <c r="F26608" s="2">
        <v>4.5024165053406701E-2</v>
      </c>
    </row>
    <row r="26609" spans="1:6" x14ac:dyDescent="0.25">
      <c r="A26609" s="1" t="str">
        <f t="shared" si="966"/>
        <v>37340</v>
      </c>
      <c r="B26609" s="1" t="str">
        <f>"32926"</f>
        <v>32926</v>
      </c>
      <c r="C26609" s="2">
        <v>3.2612184433059598E-2</v>
      </c>
      <c r="D26609" s="2">
        <v>2.6273372018052799E-2</v>
      </c>
      <c r="E26609" s="2">
        <v>2.2315494928296601E-2</v>
      </c>
      <c r="F26609" s="2">
        <v>3.1681264976240998E-2</v>
      </c>
    </row>
    <row r="26610" spans="1:6" x14ac:dyDescent="0.25">
      <c r="A26610" s="1" t="str">
        <f t="shared" si="966"/>
        <v>37340</v>
      </c>
      <c r="B26610" s="1" t="str">
        <f>"32775"</f>
        <v>32775</v>
      </c>
      <c r="C26610" s="2">
        <v>0</v>
      </c>
      <c r="D26610" s="2">
        <v>3.2237266279819398E-5</v>
      </c>
      <c r="E26610" s="2">
        <v>0</v>
      </c>
      <c r="F26610" s="2">
        <v>2.70756900916512E-6</v>
      </c>
    </row>
    <row r="26611" spans="1:6" x14ac:dyDescent="0.25">
      <c r="A26611" s="1" t="str">
        <f t="shared" si="966"/>
        <v>37340</v>
      </c>
      <c r="B26611" s="1" t="str">
        <f>"32901"</f>
        <v>32901</v>
      </c>
      <c r="C26611" s="2">
        <v>4.9608048885871198E-2</v>
      </c>
      <c r="D26611" s="2">
        <v>7.6434558349451898E-2</v>
      </c>
      <c r="E26611" s="2">
        <v>8.9681706890521101E-2</v>
      </c>
      <c r="F26611" s="2">
        <v>5.3412213843800301E-2</v>
      </c>
    </row>
    <row r="26612" spans="1:6" x14ac:dyDescent="0.25">
      <c r="A26612" s="1" t="str">
        <f t="shared" si="966"/>
        <v>37340</v>
      </c>
      <c r="B26612" s="1" t="str">
        <f>"32920"</f>
        <v>32920</v>
      </c>
      <c r="C26612" s="2">
        <v>3.83649157459416E-2</v>
      </c>
      <c r="D26612" s="2">
        <v>3.70406189555125E-2</v>
      </c>
      <c r="E26612" s="2">
        <v>5.9601259181532001E-2</v>
      </c>
      <c r="F26612" s="2">
        <v>3.9075635940270997E-2</v>
      </c>
    </row>
    <row r="26613" spans="1:6" x14ac:dyDescent="0.25">
      <c r="A26613" s="1" t="str">
        <f t="shared" si="966"/>
        <v>37340</v>
      </c>
      <c r="B26613" s="1" t="str">
        <f>"32902"</f>
        <v>32902</v>
      </c>
      <c r="C26613" s="2">
        <v>5.4009011789395702E-3</v>
      </c>
      <c r="D26613" s="2">
        <v>1.93101225016118E-2</v>
      </c>
      <c r="E26613" s="2">
        <v>1.3990905911157701E-4</v>
      </c>
      <c r="F26613" s="2">
        <v>6.3654947405471897E-3</v>
      </c>
    </row>
    <row r="26614" spans="1:6" x14ac:dyDescent="0.25">
      <c r="A26614" s="1" t="str">
        <f t="shared" si="966"/>
        <v>37340</v>
      </c>
      <c r="B26614" s="1" t="str">
        <f>"32815"</f>
        <v>32815</v>
      </c>
      <c r="C26614" s="2">
        <v>0</v>
      </c>
      <c r="D26614" s="2">
        <v>3.2237266279819398E-5</v>
      </c>
      <c r="E26614" s="2">
        <v>0</v>
      </c>
      <c r="F26614" s="2">
        <v>2.70756900916512E-6</v>
      </c>
    </row>
    <row r="26615" spans="1:6" x14ac:dyDescent="0.25">
      <c r="A26615" s="1" t="str">
        <f t="shared" si="966"/>
        <v>37340</v>
      </c>
      <c r="B26615" s="1" t="str">
        <f>"32912"</f>
        <v>32912</v>
      </c>
      <c r="C26615" s="2">
        <v>3.23745447811863E-3</v>
      </c>
      <c r="D26615" s="2">
        <v>8.9619600257898092E-3</v>
      </c>
      <c r="E26615" s="2">
        <v>1.3990905911157701E-4</v>
      </c>
      <c r="F26615" s="2">
        <v>3.5983592131804401E-3</v>
      </c>
    </row>
    <row r="26616" spans="1:6" x14ac:dyDescent="0.25">
      <c r="A26616" s="1" t="str">
        <f t="shared" si="966"/>
        <v>37340</v>
      </c>
      <c r="B26616" s="1" t="str">
        <f>"32796"</f>
        <v>32796</v>
      </c>
      <c r="C26616" s="2">
        <v>3.1056724893525001E-2</v>
      </c>
      <c r="D26616" s="2">
        <v>2.6692456479690499E-2</v>
      </c>
      <c r="E26616" s="2">
        <v>2.2245540398740798E-2</v>
      </c>
      <c r="F26616" s="2">
        <v>3.0349141023731801E-2</v>
      </c>
    </row>
    <row r="26617" spans="1:6" x14ac:dyDescent="0.25">
      <c r="A26617" s="1" t="str">
        <f t="shared" si="966"/>
        <v>37340</v>
      </c>
      <c r="B26617" s="1" t="str">
        <f>"32911"</f>
        <v>32911</v>
      </c>
      <c r="C26617" s="2">
        <v>3.6324918214925002E-3</v>
      </c>
      <c r="D26617" s="2">
        <v>5.1901998710509297E-3</v>
      </c>
      <c r="E26617" s="2">
        <v>1.3990905911157701E-4</v>
      </c>
      <c r="F26617" s="2">
        <v>3.6281424722812601E-3</v>
      </c>
    </row>
    <row r="26618" spans="1:6" x14ac:dyDescent="0.25">
      <c r="A26618" s="1" t="str">
        <f t="shared" si="966"/>
        <v>37340</v>
      </c>
      <c r="B26618" s="1" t="str">
        <f>"32959"</f>
        <v>32959</v>
      </c>
      <c r="C26618" s="2">
        <v>0</v>
      </c>
      <c r="D26618" s="2">
        <v>6.4474532559638905E-5</v>
      </c>
      <c r="E26618" s="2">
        <v>0</v>
      </c>
      <c r="F26618" s="2">
        <v>5.41513801833024E-6</v>
      </c>
    </row>
    <row r="26619" spans="1:6" x14ac:dyDescent="0.25">
      <c r="A26619" s="1" t="str">
        <f t="shared" si="966"/>
        <v>37340</v>
      </c>
      <c r="B26619" s="1" t="str">
        <f>"32780"</f>
        <v>32780</v>
      </c>
      <c r="C26619" s="2">
        <v>6.3196716252083202E-2</v>
      </c>
      <c r="D26619" s="2">
        <v>5.3868471953578301E-2</v>
      </c>
      <c r="E26619" s="2">
        <v>6.8625393494228706E-2</v>
      </c>
      <c r="F26619" s="2">
        <v>6.2623363612980001E-2</v>
      </c>
    </row>
    <row r="26620" spans="1:6" x14ac:dyDescent="0.25">
      <c r="A26620" s="1" t="str">
        <f t="shared" si="966"/>
        <v>37340</v>
      </c>
      <c r="B26620" s="1" t="str">
        <f>"32906"</f>
        <v>32906</v>
      </c>
      <c r="C26620" s="2">
        <v>4.2312202950435104E-3</v>
      </c>
      <c r="D26620" s="2">
        <v>6.9632495164409997E-3</v>
      </c>
      <c r="E26620" s="2">
        <v>1.3990905911157701E-4</v>
      </c>
      <c r="F26620" s="2">
        <v>4.3023271555633702E-3</v>
      </c>
    </row>
    <row r="26621" spans="1:6" x14ac:dyDescent="0.25">
      <c r="A26621" s="1" t="str">
        <f t="shared" si="966"/>
        <v>37340</v>
      </c>
      <c r="B26621" s="1" t="str">
        <f>"32934"</f>
        <v>32934</v>
      </c>
      <c r="C26621" s="2">
        <v>2.63996049626566E-2</v>
      </c>
      <c r="D26621" s="2">
        <v>2.80464216634429E-2</v>
      </c>
      <c r="E26621" s="2">
        <v>2.0356768100734501E-2</v>
      </c>
      <c r="F26621" s="2">
        <v>2.63040329240391E-2</v>
      </c>
    </row>
    <row r="26622" spans="1:6" x14ac:dyDescent="0.25">
      <c r="A26622" s="1" t="str">
        <f t="shared" si="966"/>
        <v>37340</v>
      </c>
      <c r="B26622" s="1" t="str">
        <f>"32931"</f>
        <v>32931</v>
      </c>
      <c r="C26622" s="2">
        <v>3.5682982531942402E-2</v>
      </c>
      <c r="D26622" s="2">
        <v>3.3494519664732401E-2</v>
      </c>
      <c r="E26622" s="2">
        <v>8.2546344875830693E-2</v>
      </c>
      <c r="F26622" s="2">
        <v>3.7313008515304502E-2</v>
      </c>
    </row>
    <row r="26623" spans="1:6" x14ac:dyDescent="0.25">
      <c r="A26623" s="1" t="str">
        <f t="shared" si="966"/>
        <v>37340</v>
      </c>
      <c r="B26623" s="1" t="str">
        <f>"32904"</f>
        <v>32904</v>
      </c>
      <c r="C26623" s="2">
        <v>4.9030924017035897E-2</v>
      </c>
      <c r="D26623" s="2">
        <v>7.0793036750483498E-2</v>
      </c>
      <c r="E26623" s="2">
        <v>6.5757257782441403E-2</v>
      </c>
      <c r="F26623" s="2">
        <v>5.1506085261347999E-2</v>
      </c>
    </row>
    <row r="26624" spans="1:6" x14ac:dyDescent="0.25">
      <c r="A26624" s="1" t="str">
        <f t="shared" si="966"/>
        <v>37340</v>
      </c>
      <c r="B26624" s="1" t="str">
        <f>"32950"</f>
        <v>32950</v>
      </c>
      <c r="C26624" s="2">
        <v>1.0212332572063399E-2</v>
      </c>
      <c r="D26624" s="2">
        <v>7.7369439071566697E-3</v>
      </c>
      <c r="E26624" s="2">
        <v>6.2959076600209798E-4</v>
      </c>
      <c r="F26624" s="2">
        <v>9.6335305346095003E-3</v>
      </c>
    </row>
    <row r="26625" spans="1:6" x14ac:dyDescent="0.25">
      <c r="A26625" s="1" t="str">
        <f t="shared" si="966"/>
        <v>37340</v>
      </c>
      <c r="B26625" s="1" t="str">
        <f>"32754"</f>
        <v>32754</v>
      </c>
      <c r="C26625" s="2">
        <v>1.7730387013147299E-2</v>
      </c>
      <c r="D26625" s="2">
        <v>5.5125725338491197E-3</v>
      </c>
      <c r="E26625" s="2">
        <v>4.4770898915704703E-3</v>
      </c>
      <c r="F26625" s="2">
        <v>1.6191262674807399E-2</v>
      </c>
    </row>
    <row r="26626" spans="1:6" x14ac:dyDescent="0.25">
      <c r="A26626" s="1" t="str">
        <f t="shared" si="966"/>
        <v>37340</v>
      </c>
      <c r="B26626" s="1" t="str">
        <f>"32941"</f>
        <v>32941</v>
      </c>
      <c r="C26626" s="2">
        <v>3.7837170545028001E-3</v>
      </c>
      <c r="D26626" s="2">
        <v>1.1798839458413901E-2</v>
      </c>
      <c r="E26626" s="2">
        <v>1.3990905911157701E-4</v>
      </c>
      <c r="F26626" s="2">
        <v>4.3158650006091996E-3</v>
      </c>
    </row>
    <row r="26627" spans="1:6" x14ac:dyDescent="0.25">
      <c r="A26627" s="1" t="str">
        <f t="shared" si="966"/>
        <v>37340</v>
      </c>
      <c r="B26627" s="1" t="str">
        <f>"32948"</f>
        <v>32948</v>
      </c>
      <c r="C26627" s="2">
        <v>2.4689833960866598E-5</v>
      </c>
      <c r="D26627" s="2">
        <v>1.6118633139909701E-4</v>
      </c>
      <c r="E26627" s="2">
        <v>0</v>
      </c>
      <c r="F26627" s="2">
        <v>3.5198397119146497E-5</v>
      </c>
    </row>
    <row r="26628" spans="1:6" x14ac:dyDescent="0.25">
      <c r="A26628" s="1" t="str">
        <f t="shared" si="966"/>
        <v>37340</v>
      </c>
      <c r="B26628" s="1" t="str">
        <f>"32927"</f>
        <v>32927</v>
      </c>
      <c r="C26628" s="2">
        <v>3.4917597679155601E-2</v>
      </c>
      <c r="D26628" s="2">
        <v>1.16698903932946E-2</v>
      </c>
      <c r="E26628" s="2">
        <v>1.47604057362714E-2</v>
      </c>
      <c r="F26628" s="2">
        <v>3.2184872811945701E-2</v>
      </c>
    </row>
    <row r="26629" spans="1:6" x14ac:dyDescent="0.25">
      <c r="A26629" s="1" t="str">
        <f t="shared" si="966"/>
        <v>37340</v>
      </c>
      <c r="B26629" s="1" t="str">
        <f>"32908"</f>
        <v>32908</v>
      </c>
      <c r="C26629" s="2">
        <v>1.58014937349546E-2</v>
      </c>
      <c r="D26629" s="2">
        <v>5.8027079303675001E-4</v>
      </c>
      <c r="E26629" s="2">
        <v>1.74886323889471E-3</v>
      </c>
      <c r="F26629" s="2">
        <v>1.3979178794319499E-2</v>
      </c>
    </row>
    <row r="26630" spans="1:6" x14ac:dyDescent="0.25">
      <c r="A26630" s="1" t="str">
        <f t="shared" si="966"/>
        <v>37340</v>
      </c>
      <c r="B26630" s="1" t="str">
        <f>"32956"</f>
        <v>32956</v>
      </c>
      <c r="C26630" s="2">
        <v>3.1849885809517899E-3</v>
      </c>
      <c r="D26630" s="2">
        <v>1.0799484203739501E-2</v>
      </c>
      <c r="E26630" s="2">
        <v>1.3990905911157701E-4</v>
      </c>
      <c r="F26630" s="2">
        <v>3.7066619735470498E-3</v>
      </c>
    </row>
    <row r="26631" spans="1:6" x14ac:dyDescent="0.25">
      <c r="A26631" s="1" t="str">
        <f t="shared" si="966"/>
        <v>37340</v>
      </c>
      <c r="B26631" s="1" t="str">
        <f>"32937"</f>
        <v>32937</v>
      </c>
      <c r="C26631" s="2">
        <v>4.4469477192765797E-2</v>
      </c>
      <c r="D26631" s="2">
        <v>4.6679561573178499E-2</v>
      </c>
      <c r="E26631" s="2">
        <v>4.95977614550542E-2</v>
      </c>
      <c r="F26631" s="2">
        <v>4.4853588205829298E-2</v>
      </c>
    </row>
    <row r="26632" spans="1:6" x14ac:dyDescent="0.25">
      <c r="A26632" s="1" t="str">
        <f t="shared" si="966"/>
        <v>37340</v>
      </c>
      <c r="B26632" s="1" t="str">
        <f>"32781"</f>
        <v>32781</v>
      </c>
      <c r="C26632" s="2">
        <v>4.6571199308684599E-3</v>
      </c>
      <c r="D26632" s="2">
        <v>8.5751128304319708E-3</v>
      </c>
      <c r="E26632" s="2">
        <v>1.3990905911157701E-4</v>
      </c>
      <c r="F26632" s="2">
        <v>4.8113501292864199E-3</v>
      </c>
    </row>
    <row r="26633" spans="1:6" x14ac:dyDescent="0.25">
      <c r="A26633" s="1" t="str">
        <f t="shared" si="966"/>
        <v>37340</v>
      </c>
      <c r="B26633" s="1" t="str">
        <f>"32954"</f>
        <v>32954</v>
      </c>
      <c r="C26633" s="2">
        <v>6.3483735571878202E-3</v>
      </c>
      <c r="D26633" s="2">
        <v>1.3894261766602099E-2</v>
      </c>
      <c r="E26633" s="2">
        <v>1.3990905911157701E-4</v>
      </c>
      <c r="F26633" s="2">
        <v>6.7418468328211498E-3</v>
      </c>
    </row>
    <row r="26634" spans="1:6" x14ac:dyDescent="0.25">
      <c r="A26634" s="1" t="str">
        <f t="shared" ref="A26634:A26644" si="967">"37420"</f>
        <v>37420</v>
      </c>
      <c r="B26634" s="1" t="str">
        <f>"79081"</f>
        <v>79081</v>
      </c>
      <c r="C26634" s="2">
        <v>2.38644499244292E-4</v>
      </c>
      <c r="D26634" s="2">
        <v>0</v>
      </c>
      <c r="E26634" s="2">
        <v>0</v>
      </c>
      <c r="F26634" s="2">
        <v>2.0678246484698E-4</v>
      </c>
    </row>
    <row r="26635" spans="1:6" x14ac:dyDescent="0.25">
      <c r="A26635" s="1" t="str">
        <f t="shared" si="967"/>
        <v>37420</v>
      </c>
      <c r="B26635" s="1" t="str">
        <f>"79057"</f>
        <v>79057</v>
      </c>
      <c r="C26635" s="2">
        <v>1.92506562723729E-2</v>
      </c>
      <c r="D26635" s="2">
        <v>2.9256875365710898E-3</v>
      </c>
      <c r="E26635" s="2">
        <v>2.1929824561403501E-2</v>
      </c>
      <c r="F26635" s="2">
        <v>1.7369727047146399E-2</v>
      </c>
    </row>
    <row r="26636" spans="1:6" x14ac:dyDescent="0.25">
      <c r="A26636" s="1" t="str">
        <f t="shared" si="967"/>
        <v>37420</v>
      </c>
      <c r="B26636" s="1" t="str">
        <f>"79065"</f>
        <v>79065</v>
      </c>
      <c r="C26636" s="2">
        <v>0.83302839869541001</v>
      </c>
      <c r="D26636" s="2">
        <v>0.74312463428905695</v>
      </c>
      <c r="E26636" s="2">
        <v>0.90350877192982404</v>
      </c>
      <c r="F26636" s="2">
        <v>0.82354562999724201</v>
      </c>
    </row>
    <row r="26637" spans="1:6" x14ac:dyDescent="0.25">
      <c r="A26637" s="1" t="str">
        <f t="shared" si="967"/>
        <v>37420</v>
      </c>
      <c r="B26637" s="1" t="str">
        <f>"79039"</f>
        <v>79039</v>
      </c>
      <c r="C26637" s="2">
        <v>3.5001193222496201E-3</v>
      </c>
      <c r="D26637" s="2">
        <v>4.6811000585137499E-3</v>
      </c>
      <c r="E26637" s="2">
        <v>2.1929824561403501E-2</v>
      </c>
      <c r="F26637" s="2">
        <v>3.9288668320926297E-3</v>
      </c>
    </row>
    <row r="26638" spans="1:6" x14ac:dyDescent="0.25">
      <c r="A26638" s="1" t="str">
        <f t="shared" si="967"/>
        <v>37420</v>
      </c>
      <c r="B26638" s="1" t="str">
        <f>"79061"</f>
        <v>79061</v>
      </c>
      <c r="C26638" s="2">
        <v>2.38644499244292E-4</v>
      </c>
      <c r="D26638" s="2">
        <v>0</v>
      </c>
      <c r="E26638" s="2">
        <v>0</v>
      </c>
      <c r="F26638" s="2">
        <v>2.0678246484698E-4</v>
      </c>
    </row>
    <row r="26639" spans="1:6" x14ac:dyDescent="0.25">
      <c r="A26639" s="1" t="str">
        <f t="shared" si="967"/>
        <v>37420</v>
      </c>
      <c r="B26639" s="1" t="str">
        <f>"79066"</f>
        <v>79066</v>
      </c>
      <c r="C26639" s="2">
        <v>0.11256065547689099</v>
      </c>
      <c r="D26639" s="2">
        <v>0.24107665301345799</v>
      </c>
      <c r="E26639" s="2">
        <v>4.3859649122806998E-3</v>
      </c>
      <c r="F26639" s="2">
        <v>0.12599944858009299</v>
      </c>
    </row>
    <row r="26640" spans="1:6" x14ac:dyDescent="0.25">
      <c r="A26640" s="1" t="str">
        <f t="shared" si="967"/>
        <v>37420</v>
      </c>
      <c r="B26640" s="1" t="str">
        <f>"79059"</f>
        <v>79059</v>
      </c>
      <c r="C26640" s="2">
        <v>3.05464959032694E-2</v>
      </c>
      <c r="D26640" s="2">
        <v>8.1919251023990607E-3</v>
      </c>
      <c r="E26640" s="2">
        <v>3.94736842105263E-2</v>
      </c>
      <c r="F26640" s="2">
        <v>2.8053487730907E-2</v>
      </c>
    </row>
    <row r="26641" spans="1:6" x14ac:dyDescent="0.25">
      <c r="A26641" s="1" t="str">
        <f t="shared" si="967"/>
        <v>37420</v>
      </c>
      <c r="B26641" s="1" t="str">
        <f>"79097"</f>
        <v>79097</v>
      </c>
      <c r="C26641" s="2">
        <v>3.18192665659056E-4</v>
      </c>
      <c r="D26641" s="2">
        <v>0</v>
      </c>
      <c r="E26641" s="2">
        <v>0</v>
      </c>
      <c r="F26641" s="2">
        <v>2.7570995312930699E-4</v>
      </c>
    </row>
    <row r="26642" spans="1:6" x14ac:dyDescent="0.25">
      <c r="A26642" s="1" t="str">
        <f t="shared" si="967"/>
        <v>37420</v>
      </c>
      <c r="B26642" s="1" t="str">
        <f>"79070"</f>
        <v>79070</v>
      </c>
      <c r="C26642" s="2">
        <v>3.18192665659056E-4</v>
      </c>
      <c r="D26642" s="2">
        <v>0</v>
      </c>
      <c r="E26642" s="2">
        <v>0</v>
      </c>
      <c r="F26642" s="2">
        <v>2.7570995312930699E-4</v>
      </c>
    </row>
    <row r="26643" spans="1:6" x14ac:dyDescent="0.25">
      <c r="A26643" s="1" t="str">
        <f t="shared" si="967"/>
        <v>37420</v>
      </c>
      <c r="B26643" s="1" t="str">
        <f>"79054"</f>
        <v>79054</v>
      </c>
      <c r="C26643" s="2">
        <v>0</v>
      </c>
      <c r="D26643" s="2">
        <v>0</v>
      </c>
      <c r="E26643" s="2">
        <v>4.3859649122806998E-3</v>
      </c>
      <c r="F26643" s="2">
        <v>6.8927488282326897E-5</v>
      </c>
    </row>
    <row r="26644" spans="1:6" x14ac:dyDescent="0.25">
      <c r="A26644" s="1" t="str">
        <f t="shared" si="967"/>
        <v>37420</v>
      </c>
      <c r="B26644" s="1" t="str">
        <f>"79002"</f>
        <v>79002</v>
      </c>
      <c r="C26644" s="2">
        <v>0</v>
      </c>
      <c r="D26644" s="2">
        <v>0</v>
      </c>
      <c r="E26644" s="2">
        <v>4.3859649122806998E-3</v>
      </c>
      <c r="F26644" s="2">
        <v>6.8927488282326897E-5</v>
      </c>
    </row>
    <row r="26645" spans="1:6" x14ac:dyDescent="0.25">
      <c r="A26645" s="1" t="str">
        <f t="shared" ref="A26645:A26665" si="968">"37460"</f>
        <v>37460</v>
      </c>
      <c r="B26645" s="1" t="str">
        <f>"32407"</f>
        <v>32407</v>
      </c>
      <c r="C26645" s="2">
        <v>9.2969987410144894E-2</v>
      </c>
      <c r="D26645" s="2">
        <v>9.1762737076980197E-2</v>
      </c>
      <c r="E26645" s="2">
        <v>8.4401451027811297E-2</v>
      </c>
      <c r="F26645" s="2">
        <v>9.2619161485732501E-2</v>
      </c>
    </row>
    <row r="26646" spans="1:6" x14ac:dyDescent="0.25">
      <c r="A26646" s="1" t="str">
        <f t="shared" si="968"/>
        <v>37460</v>
      </c>
      <c r="B26646" s="1" t="str">
        <f>"32404"</f>
        <v>32404</v>
      </c>
      <c r="C26646" s="2">
        <v>0.162401007188401</v>
      </c>
      <c r="D26646" s="2">
        <v>8.2837486054295195E-2</v>
      </c>
      <c r="E26646" s="2">
        <v>0.15308343409915301</v>
      </c>
      <c r="F26646" s="2">
        <v>0.15592075706853301</v>
      </c>
    </row>
    <row r="26647" spans="1:6" x14ac:dyDescent="0.25">
      <c r="A26647" s="1" t="str">
        <f t="shared" si="968"/>
        <v>37460</v>
      </c>
      <c r="B26647" s="1" t="str">
        <f>"32401"</f>
        <v>32401</v>
      </c>
      <c r="C26647" s="2">
        <v>0.108353977988059</v>
      </c>
      <c r="D26647" s="2">
        <v>0.19486798066195599</v>
      </c>
      <c r="E26647" s="2">
        <v>0.16227327690447399</v>
      </c>
      <c r="F26647" s="2">
        <v>0.11671231685578801</v>
      </c>
    </row>
    <row r="26648" spans="1:6" x14ac:dyDescent="0.25">
      <c r="A26648" s="1" t="str">
        <f t="shared" si="968"/>
        <v>37460</v>
      </c>
      <c r="B26648" s="1" t="str">
        <f>"32456"</f>
        <v>32456</v>
      </c>
      <c r="C26648" s="2">
        <v>1.47910490192096E-2</v>
      </c>
      <c r="D26648" s="2">
        <v>5.6712532539977597E-3</v>
      </c>
      <c r="E26648" s="2">
        <v>1.4268440145102699E-2</v>
      </c>
      <c r="F26648" s="2">
        <v>1.40646058867005E-2</v>
      </c>
    </row>
    <row r="26649" spans="1:6" x14ac:dyDescent="0.25">
      <c r="A26649" s="1" t="str">
        <f t="shared" si="968"/>
        <v>37460</v>
      </c>
      <c r="B26649" s="1" t="str">
        <f>"32409"</f>
        <v>32409</v>
      </c>
      <c r="C26649" s="2">
        <v>4.3374081143646097E-2</v>
      </c>
      <c r="D26649" s="2">
        <v>1.7571587950911099E-2</v>
      </c>
      <c r="E26649" s="2">
        <v>1.01571946795646E-2</v>
      </c>
      <c r="F26649" s="2">
        <v>4.0367810095213202E-2</v>
      </c>
    </row>
    <row r="26650" spans="1:6" x14ac:dyDescent="0.25">
      <c r="A26650" s="1" t="str">
        <f t="shared" si="968"/>
        <v>37460</v>
      </c>
      <c r="B26650" s="1" t="str">
        <f>"32437"</f>
        <v>32437</v>
      </c>
      <c r="C26650" s="2">
        <v>5.1983917475530996E-4</v>
      </c>
      <c r="D26650" s="2">
        <v>9.2971364819635494E-5</v>
      </c>
      <c r="E26650" s="2">
        <v>0</v>
      </c>
      <c r="F26650" s="2">
        <v>4.7099401475298098E-4</v>
      </c>
    </row>
    <row r="26651" spans="1:6" x14ac:dyDescent="0.25">
      <c r="A26651" s="1" t="str">
        <f t="shared" si="968"/>
        <v>37460</v>
      </c>
      <c r="B26651" s="1" t="str">
        <f>"32444"</f>
        <v>32444</v>
      </c>
      <c r="C26651" s="2">
        <v>8.7674125817325199E-2</v>
      </c>
      <c r="D26651" s="2">
        <v>7.8653774637411605E-2</v>
      </c>
      <c r="E26651" s="2">
        <v>5.0785973397823397E-2</v>
      </c>
      <c r="F26651" s="2">
        <v>8.5865831920351202E-2</v>
      </c>
    </row>
    <row r="26652" spans="1:6" x14ac:dyDescent="0.25">
      <c r="A26652" s="1" t="str">
        <f t="shared" si="968"/>
        <v>37460</v>
      </c>
      <c r="B26652" s="1" t="str">
        <f>"32466"</f>
        <v>32466</v>
      </c>
      <c r="C26652" s="2">
        <v>2.3717662348210999E-2</v>
      </c>
      <c r="D26652" s="2">
        <v>5.2993677947192203E-3</v>
      </c>
      <c r="E26652" s="2">
        <v>2.4183796856106399E-3</v>
      </c>
      <c r="F26652" s="2">
        <v>2.1643986493340799E-2</v>
      </c>
    </row>
    <row r="26653" spans="1:6" x14ac:dyDescent="0.25">
      <c r="A26653" s="1" t="str">
        <f t="shared" si="968"/>
        <v>37460</v>
      </c>
      <c r="B26653" s="1" t="str">
        <f>"32417"</f>
        <v>32417</v>
      </c>
      <c r="C26653" s="2">
        <v>1.8389310806969001E-2</v>
      </c>
      <c r="D26653" s="2">
        <v>4.9739680178504997E-2</v>
      </c>
      <c r="E26653" s="2">
        <v>4.8367593712212798E-4</v>
      </c>
      <c r="F26653" s="2">
        <v>2.0296219004970702E-2</v>
      </c>
    </row>
    <row r="26654" spans="1:6" x14ac:dyDescent="0.25">
      <c r="A26654" s="1" t="str">
        <f t="shared" si="968"/>
        <v>37460</v>
      </c>
      <c r="B26654" s="1" t="str">
        <f>"32402"</f>
        <v>32402</v>
      </c>
      <c r="C26654" s="2">
        <v>1.03480485724728E-2</v>
      </c>
      <c r="D26654" s="2">
        <v>4.8902937895128298E-2</v>
      </c>
      <c r="E26654" s="2">
        <v>4.8367593712212798E-4</v>
      </c>
      <c r="F26654" s="2">
        <v>1.30574033013057E-2</v>
      </c>
    </row>
    <row r="26655" spans="1:6" x14ac:dyDescent="0.25">
      <c r="A26655" s="1" t="str">
        <f t="shared" si="968"/>
        <v>37460</v>
      </c>
      <c r="B26655" s="1" t="str">
        <f>"32438"</f>
        <v>32438</v>
      </c>
      <c r="C26655" s="2">
        <v>1.6699833489014299E-2</v>
      </c>
      <c r="D26655" s="2">
        <v>3.25399776868724E-3</v>
      </c>
      <c r="E26655" s="2">
        <v>9.6735187424425596E-4</v>
      </c>
      <c r="F26655" s="2">
        <v>1.51804993985768E-2</v>
      </c>
    </row>
    <row r="26656" spans="1:6" x14ac:dyDescent="0.25">
      <c r="A26656" s="1" t="str">
        <f t="shared" si="968"/>
        <v>37460</v>
      </c>
      <c r="B26656" s="1" t="str">
        <f>"32428"</f>
        <v>32428</v>
      </c>
      <c r="C26656" s="2">
        <v>8.1224871055517097E-6</v>
      </c>
      <c r="D26656" s="2">
        <v>0</v>
      </c>
      <c r="E26656" s="2">
        <v>0</v>
      </c>
      <c r="F26656" s="2">
        <v>7.24606176543048E-6</v>
      </c>
    </row>
    <row r="26657" spans="1:6" x14ac:dyDescent="0.25">
      <c r="A26657" s="1" t="str">
        <f t="shared" si="968"/>
        <v>37460</v>
      </c>
      <c r="B26657" s="1" t="str">
        <f>"32405"</f>
        <v>32405</v>
      </c>
      <c r="C26657" s="2">
        <v>0.11970109247451501</v>
      </c>
      <c r="D26657" s="2">
        <v>0.21020825585719499</v>
      </c>
      <c r="E26657" s="2">
        <v>0.159613059250302</v>
      </c>
      <c r="F26657" s="2">
        <v>0.12795095865397099</v>
      </c>
    </row>
    <row r="26658" spans="1:6" x14ac:dyDescent="0.25">
      <c r="A26658" s="1" t="str">
        <f t="shared" si="968"/>
        <v>37460</v>
      </c>
      <c r="B26658" s="1" t="str">
        <f>"32403"</f>
        <v>32403</v>
      </c>
      <c r="C26658" s="2">
        <v>9.1540429679567801E-3</v>
      </c>
      <c r="D26658" s="2">
        <v>9.5760505764224593E-3</v>
      </c>
      <c r="E26658" s="2">
        <v>9.0205562273276904E-2</v>
      </c>
      <c r="F26658" s="2">
        <v>1.1615437009985E-2</v>
      </c>
    </row>
    <row r="26659" spans="1:6" x14ac:dyDescent="0.25">
      <c r="A26659" s="1" t="str">
        <f t="shared" si="968"/>
        <v>37460</v>
      </c>
      <c r="B26659" s="1" t="str">
        <f>"32413"</f>
        <v>32413</v>
      </c>
      <c r="C26659" s="2">
        <v>0.13722941964829599</v>
      </c>
      <c r="D26659" s="2">
        <v>0.102082558571959</v>
      </c>
      <c r="E26659" s="2">
        <v>0.110036275695284</v>
      </c>
      <c r="F26659" s="2">
        <v>0.133675347448661</v>
      </c>
    </row>
    <row r="26660" spans="1:6" x14ac:dyDescent="0.25">
      <c r="A26660" s="1" t="str">
        <f t="shared" si="968"/>
        <v>37460</v>
      </c>
      <c r="B26660" s="1" t="str">
        <f>"32406"</f>
        <v>32406</v>
      </c>
      <c r="C26660" s="2">
        <v>7.2046460626243704E-3</v>
      </c>
      <c r="D26660" s="2">
        <v>2.48233544068426E-2</v>
      </c>
      <c r="E26660" s="2">
        <v>4.8367593712212798E-4</v>
      </c>
      <c r="F26660" s="2">
        <v>8.3764474008376395E-3</v>
      </c>
    </row>
    <row r="26661" spans="1:6" x14ac:dyDescent="0.25">
      <c r="A26661" s="1" t="str">
        <f t="shared" si="968"/>
        <v>37460</v>
      </c>
      <c r="B26661" s="1" t="str">
        <f>"32462"</f>
        <v>32462</v>
      </c>
      <c r="C26661" s="2">
        <v>2.03062177638792E-4</v>
      </c>
      <c r="D26661" s="2">
        <v>0</v>
      </c>
      <c r="E26661" s="2">
        <v>0</v>
      </c>
      <c r="F26661" s="2">
        <v>1.81151544135762E-4</v>
      </c>
    </row>
    <row r="26662" spans="1:6" x14ac:dyDescent="0.25">
      <c r="A26662" s="1" t="str">
        <f t="shared" si="968"/>
        <v>37460</v>
      </c>
      <c r="B26662" s="1" t="str">
        <f>"32411"</f>
        <v>32411</v>
      </c>
      <c r="C26662" s="2">
        <v>9.1134305324290198E-3</v>
      </c>
      <c r="D26662" s="2">
        <v>3.5329118631461502E-3</v>
      </c>
      <c r="E26662" s="2">
        <v>4.8367593712212798E-4</v>
      </c>
      <c r="F26662" s="2">
        <v>8.4199237714302193E-3</v>
      </c>
    </row>
    <row r="26663" spans="1:6" x14ac:dyDescent="0.25">
      <c r="A26663" s="1" t="str">
        <f t="shared" si="968"/>
        <v>37460</v>
      </c>
      <c r="B26663" s="1" t="str">
        <f>"32410"</f>
        <v>32410</v>
      </c>
      <c r="C26663" s="2">
        <v>0</v>
      </c>
      <c r="D26663" s="2">
        <v>9.2971364819635494E-5</v>
      </c>
      <c r="E26663" s="2">
        <v>0</v>
      </c>
      <c r="F26663" s="2">
        <v>7.24606176543048E-6</v>
      </c>
    </row>
    <row r="26664" spans="1:6" x14ac:dyDescent="0.25">
      <c r="A26664" s="1" t="str">
        <f t="shared" si="968"/>
        <v>37460</v>
      </c>
      <c r="B26664" s="1" t="str">
        <f>"32461"</f>
        <v>32461</v>
      </c>
      <c r="C26664" s="2">
        <v>4.8734922633310302E-4</v>
      </c>
      <c r="D26664" s="2">
        <v>0</v>
      </c>
      <c r="E26664" s="2">
        <v>6.5296251511487297E-3</v>
      </c>
      <c r="F26664" s="2">
        <v>6.3040737359245204E-4</v>
      </c>
    </row>
    <row r="26665" spans="1:6" x14ac:dyDescent="0.25">
      <c r="A26665" s="1" t="str">
        <f t="shared" si="968"/>
        <v>37460</v>
      </c>
      <c r="B26665" s="1" t="str">
        <f>"32408"</f>
        <v>32408</v>
      </c>
      <c r="C26665" s="2">
        <v>0.13765991146489001</v>
      </c>
      <c r="D26665" s="2">
        <v>7.1030122722201494E-2</v>
      </c>
      <c r="E26665" s="2">
        <v>0.15332527206771401</v>
      </c>
      <c r="F26665" s="2">
        <v>0.13293624914858701</v>
      </c>
    </row>
    <row r="26666" spans="1:6" x14ac:dyDescent="0.25">
      <c r="A26666" s="1" t="str">
        <f t="shared" ref="A26666:A26677" si="969">"37500"</f>
        <v>37500</v>
      </c>
      <c r="B26666" s="1" t="str">
        <f>"72450"</f>
        <v>72450</v>
      </c>
      <c r="C26666" s="2">
        <v>0.82423580786026196</v>
      </c>
      <c r="D26666" s="2">
        <v>0.79881070366699702</v>
      </c>
      <c r="E26666" s="2">
        <v>0.93122676579925601</v>
      </c>
      <c r="F26666" s="2">
        <v>0.82449062754686198</v>
      </c>
    </row>
    <row r="26667" spans="1:6" x14ac:dyDescent="0.25">
      <c r="A26667" s="1" t="str">
        <f t="shared" si="969"/>
        <v>37500</v>
      </c>
      <c r="B26667" s="1" t="str">
        <f>"72412"</f>
        <v>72412</v>
      </c>
      <c r="C26667" s="2">
        <v>1.4828966521106201E-2</v>
      </c>
      <c r="D26667" s="2">
        <v>4.9554013875123797E-3</v>
      </c>
      <c r="E26667" s="2">
        <v>3.7174721189590998E-3</v>
      </c>
      <c r="F26667" s="2">
        <v>1.3773431132844301E-2</v>
      </c>
    </row>
    <row r="26668" spans="1:6" x14ac:dyDescent="0.25">
      <c r="A26668" s="1" t="str">
        <f t="shared" si="969"/>
        <v>37500</v>
      </c>
      <c r="B26668" s="1" t="str">
        <f>"72425"</f>
        <v>72425</v>
      </c>
      <c r="C26668" s="2">
        <v>8.5516739446870396E-3</v>
      </c>
      <c r="D26668" s="2">
        <v>4.9554013875123797E-3</v>
      </c>
      <c r="E26668" s="2">
        <v>1.8587360594795499E-3</v>
      </c>
      <c r="F26668" s="2">
        <v>8.1092094539527305E-3</v>
      </c>
    </row>
    <row r="26669" spans="1:6" x14ac:dyDescent="0.25">
      <c r="A26669" s="1" t="str">
        <f t="shared" si="969"/>
        <v>37500</v>
      </c>
      <c r="B26669" s="1" t="str">
        <f>"72451"</f>
        <v>72451</v>
      </c>
      <c r="C26669" s="2">
        <v>3.37518195050946E-2</v>
      </c>
      <c r="D26669" s="2">
        <v>0.150644202180376</v>
      </c>
      <c r="E26669" s="2">
        <v>3.7174721189590998E-3</v>
      </c>
      <c r="F26669" s="2">
        <v>4.2705786471067597E-2</v>
      </c>
    </row>
    <row r="26670" spans="1:6" x14ac:dyDescent="0.25">
      <c r="A26670" s="1" t="str">
        <f t="shared" si="969"/>
        <v>37500</v>
      </c>
      <c r="B26670" s="1" t="str">
        <f>"72461"</f>
        <v>72461</v>
      </c>
      <c r="C26670" s="2">
        <v>5.1855895196506498E-3</v>
      </c>
      <c r="D26670" s="2">
        <v>1.9821605550049502E-3</v>
      </c>
      <c r="E26670" s="2">
        <v>0</v>
      </c>
      <c r="F26670" s="2">
        <v>4.8084759576202101E-3</v>
      </c>
    </row>
    <row r="26671" spans="1:6" x14ac:dyDescent="0.25">
      <c r="A26671" s="1" t="str">
        <f t="shared" si="969"/>
        <v>37500</v>
      </c>
      <c r="B26671" s="1" t="str">
        <f>"72453"</f>
        <v>72453</v>
      </c>
      <c r="C26671" s="2">
        <v>6.3682678311499197E-4</v>
      </c>
      <c r="D26671" s="2">
        <v>4.9554013875123797E-4</v>
      </c>
      <c r="E26671" s="2">
        <v>0</v>
      </c>
      <c r="F26671" s="2">
        <v>6.1124694376528095E-4</v>
      </c>
    </row>
    <row r="26672" spans="1:6" x14ac:dyDescent="0.25">
      <c r="A26672" s="1" t="str">
        <f t="shared" si="969"/>
        <v>37500</v>
      </c>
      <c r="B26672" s="1" t="str">
        <f>"72401"</f>
        <v>72401</v>
      </c>
      <c r="C26672" s="2">
        <v>9.8708151382823801E-3</v>
      </c>
      <c r="D26672" s="2">
        <v>9.9108027750247703E-4</v>
      </c>
      <c r="E26672" s="2">
        <v>0</v>
      </c>
      <c r="F26672" s="2">
        <v>8.9242053789731005E-3</v>
      </c>
    </row>
    <row r="26673" spans="1:6" x14ac:dyDescent="0.25">
      <c r="A26673" s="1" t="str">
        <f t="shared" si="969"/>
        <v>37500</v>
      </c>
      <c r="B26673" s="1" t="str">
        <f>"72416"</f>
        <v>72416</v>
      </c>
      <c r="C26673" s="2">
        <v>1.1235443959243E-2</v>
      </c>
      <c r="D26673" s="2">
        <v>1.2884043607532199E-2</v>
      </c>
      <c r="E26673" s="2">
        <v>0</v>
      </c>
      <c r="F26673" s="2">
        <v>1.11246943765281E-2</v>
      </c>
    </row>
    <row r="26674" spans="1:6" x14ac:dyDescent="0.25">
      <c r="A26674" s="1" t="str">
        <f t="shared" si="969"/>
        <v>37500</v>
      </c>
      <c r="B26674" s="1" t="str">
        <f>"72443"</f>
        <v>72443</v>
      </c>
      <c r="C26674" s="2">
        <v>6.9823508005822404E-2</v>
      </c>
      <c r="D26674" s="2">
        <v>2.0812685827552E-2</v>
      </c>
      <c r="E26674" s="2">
        <v>5.5762081784386602E-2</v>
      </c>
      <c r="F26674" s="2">
        <v>6.54849225753871E-2</v>
      </c>
    </row>
    <row r="26675" spans="1:6" x14ac:dyDescent="0.25">
      <c r="A26675" s="1" t="str">
        <f t="shared" si="969"/>
        <v>37500</v>
      </c>
      <c r="B26675" s="1" t="str">
        <f>"72436"</f>
        <v>72436</v>
      </c>
      <c r="C26675" s="2">
        <v>2.1606622998544298E-2</v>
      </c>
      <c r="D26675" s="2">
        <v>3.4687809712586701E-3</v>
      </c>
      <c r="E26675" s="2">
        <v>1.8587360594795499E-3</v>
      </c>
      <c r="F26675" s="2">
        <v>1.9682151589242001E-2</v>
      </c>
    </row>
    <row r="26676" spans="1:6" x14ac:dyDescent="0.25">
      <c r="A26676" s="1" t="str">
        <f t="shared" si="969"/>
        <v>37500</v>
      </c>
      <c r="B26676" s="1" t="str">
        <f>"72417"</f>
        <v>72417</v>
      </c>
      <c r="C26676" s="2">
        <v>2.7292576419213902E-4</v>
      </c>
      <c r="D26676" s="2">
        <v>0</v>
      </c>
      <c r="E26676" s="2">
        <v>0</v>
      </c>
      <c r="F26676" s="2">
        <v>2.4449877750611201E-4</v>
      </c>
    </row>
    <row r="26677" spans="1:6" x14ac:dyDescent="0.25">
      <c r="A26677" s="1" t="str">
        <f t="shared" si="969"/>
        <v>37500</v>
      </c>
      <c r="B26677" s="1" t="str">
        <f>"72474"</f>
        <v>72474</v>
      </c>
      <c r="C26677" s="2">
        <v>0</v>
      </c>
      <c r="D26677" s="2">
        <v>0</v>
      </c>
      <c r="E26677" s="2">
        <v>1.8587360594795499E-3</v>
      </c>
      <c r="F26677" s="2">
        <v>4.0749796251018698E-5</v>
      </c>
    </row>
    <row r="26678" spans="1:6" x14ac:dyDescent="0.25">
      <c r="A26678" s="1" t="str">
        <f t="shared" ref="A26678:A26687" si="970">"37540"</f>
        <v>37540</v>
      </c>
      <c r="B26678" s="1" t="str">
        <f>"38224"</f>
        <v>38224</v>
      </c>
      <c r="C26678" s="2">
        <v>2.3406697609422499E-2</v>
      </c>
      <c r="D26678" s="2">
        <v>1.9371727748691E-2</v>
      </c>
      <c r="E26678" s="2">
        <v>0</v>
      </c>
      <c r="F26678" s="2">
        <v>2.2339955849889601E-2</v>
      </c>
    </row>
    <row r="26679" spans="1:6" x14ac:dyDescent="0.25">
      <c r="A26679" s="1" t="str">
        <f t="shared" si="970"/>
        <v>37540</v>
      </c>
      <c r="B26679" s="1" t="str">
        <f>"38223"</f>
        <v>38223</v>
      </c>
      <c r="C26679" s="2">
        <v>0</v>
      </c>
      <c r="D26679" s="2">
        <v>5.2356020942408296E-4</v>
      </c>
      <c r="E26679" s="2">
        <v>0</v>
      </c>
      <c r="F26679" s="2">
        <v>4.4150110375275897E-5</v>
      </c>
    </row>
    <row r="26680" spans="1:6" x14ac:dyDescent="0.25">
      <c r="A26680" s="1" t="str">
        <f t="shared" si="970"/>
        <v>37540</v>
      </c>
      <c r="B26680" s="1" t="str">
        <f>"38236"</f>
        <v>38236</v>
      </c>
      <c r="C26680" s="2">
        <v>1.78669461496231E-2</v>
      </c>
      <c r="D26680" s="2">
        <v>4.7120418848167504E-3</v>
      </c>
      <c r="E26680" s="2">
        <v>0</v>
      </c>
      <c r="F26680" s="2">
        <v>1.6203090507726201E-2</v>
      </c>
    </row>
    <row r="26681" spans="1:6" x14ac:dyDescent="0.25">
      <c r="A26681" s="1" t="str">
        <f t="shared" si="970"/>
        <v>37540</v>
      </c>
      <c r="B26681" s="1" t="str">
        <f>"38229"</f>
        <v>38229</v>
      </c>
      <c r="C26681" s="2">
        <v>9.9815341618006594E-5</v>
      </c>
      <c r="D26681" s="2">
        <v>0</v>
      </c>
      <c r="E26681" s="2">
        <v>1.42247510668563E-3</v>
      </c>
      <c r="F26681" s="2">
        <v>1.32450331125827E-4</v>
      </c>
    </row>
    <row r="26682" spans="1:6" x14ac:dyDescent="0.25">
      <c r="A26682" s="1" t="str">
        <f t="shared" si="970"/>
        <v>37540</v>
      </c>
      <c r="B26682" s="1" t="str">
        <f>"38256"</f>
        <v>38256</v>
      </c>
      <c r="C26682" s="2">
        <v>0.157957778110495</v>
      </c>
      <c r="D26682" s="2">
        <v>4.1361256544502602E-2</v>
      </c>
      <c r="E26682" s="2">
        <v>8.1081081081081002E-2</v>
      </c>
      <c r="F26682" s="2">
        <v>0.14573951434878499</v>
      </c>
    </row>
    <row r="26683" spans="1:6" x14ac:dyDescent="0.25">
      <c r="A26683" s="1" t="str">
        <f t="shared" si="970"/>
        <v>37540</v>
      </c>
      <c r="B26683" s="1" t="str">
        <f>"38201"</f>
        <v>38201</v>
      </c>
      <c r="C26683" s="2">
        <v>1.6768977391825101E-2</v>
      </c>
      <c r="D26683" s="2">
        <v>1.51832460732984E-2</v>
      </c>
      <c r="E26683" s="2">
        <v>0</v>
      </c>
      <c r="F26683" s="2">
        <v>1.6114790286975701E-2</v>
      </c>
    </row>
    <row r="26684" spans="1:6" x14ac:dyDescent="0.25">
      <c r="A26684" s="1" t="str">
        <f t="shared" si="970"/>
        <v>37540</v>
      </c>
      <c r="B26684" s="1" t="str">
        <f>"38242"</f>
        <v>38242</v>
      </c>
      <c r="C26684" s="2">
        <v>0.56794929380645798</v>
      </c>
      <c r="D26684" s="2">
        <v>0.81832460732984202</v>
      </c>
      <c r="E26684" s="2">
        <v>0.840682788051209</v>
      </c>
      <c r="F26684" s="2">
        <v>0.59752759381898402</v>
      </c>
    </row>
    <row r="26685" spans="1:6" x14ac:dyDescent="0.25">
      <c r="A26685" s="1" t="str">
        <f t="shared" si="970"/>
        <v>37540</v>
      </c>
      <c r="B26685" s="1" t="str">
        <f>"38251"</f>
        <v>38251</v>
      </c>
      <c r="C26685" s="2">
        <v>7.3963168138942895E-2</v>
      </c>
      <c r="D26685" s="2">
        <v>3.5602094240837601E-2</v>
      </c>
      <c r="E26685" s="2">
        <v>1.1379800853485E-2</v>
      </c>
      <c r="F26685" s="2">
        <v>6.8785871964679904E-2</v>
      </c>
    </row>
    <row r="26686" spans="1:6" x14ac:dyDescent="0.25">
      <c r="A26686" s="1" t="str">
        <f t="shared" si="970"/>
        <v>37540</v>
      </c>
      <c r="B26686" s="1" t="str">
        <f>"38231"</f>
        <v>38231</v>
      </c>
      <c r="C26686" s="2">
        <v>4.9907670809003303E-2</v>
      </c>
      <c r="D26686" s="2">
        <v>1.9895287958115099E-2</v>
      </c>
      <c r="E26686" s="2">
        <v>1.4224751066856301E-2</v>
      </c>
      <c r="F26686" s="2">
        <v>4.6269315673289103E-2</v>
      </c>
    </row>
    <row r="26687" spans="1:6" x14ac:dyDescent="0.25">
      <c r="A26687" s="1" t="str">
        <f t="shared" si="970"/>
        <v>37540</v>
      </c>
      <c r="B26687" s="1" t="str">
        <f>"38222"</f>
        <v>38222</v>
      </c>
      <c r="C26687" s="2">
        <v>9.2079652642611101E-2</v>
      </c>
      <c r="D26687" s="2">
        <v>4.50261780104712E-2</v>
      </c>
      <c r="E26687" s="2">
        <v>5.1209103840682703E-2</v>
      </c>
      <c r="F26687" s="2">
        <v>8.6843267108167699E-2</v>
      </c>
    </row>
    <row r="26688" spans="1:6" x14ac:dyDescent="0.25">
      <c r="A26688" s="1" t="str">
        <f t="shared" ref="A26688:A26704" si="971">"37580"</f>
        <v>37580</v>
      </c>
      <c r="B26688" s="1" t="str">
        <f>"75460"</f>
        <v>75460</v>
      </c>
      <c r="C26688" s="2">
        <v>0.41325672645739903</v>
      </c>
      <c r="D26688" s="2">
        <v>0.68771266540642695</v>
      </c>
      <c r="E26688" s="2">
        <v>0.34001572327044</v>
      </c>
      <c r="F26688" s="2">
        <v>0.42925325349064702</v>
      </c>
    </row>
    <row r="26689" spans="1:6" x14ac:dyDescent="0.25">
      <c r="A26689" s="1" t="str">
        <f t="shared" si="971"/>
        <v>37580</v>
      </c>
      <c r="B26689" s="1" t="str">
        <f>"75421"</f>
        <v>75421</v>
      </c>
      <c r="C26689" s="2">
        <v>2.5784753363228601E-2</v>
      </c>
      <c r="D26689" s="2">
        <v>2.2684310018903499E-3</v>
      </c>
      <c r="E26689" s="2">
        <v>7.8616352201257801E-4</v>
      </c>
      <c r="F26689" s="2">
        <v>2.2055553908635402E-2</v>
      </c>
    </row>
    <row r="26690" spans="1:6" x14ac:dyDescent="0.25">
      <c r="A26690" s="1" t="str">
        <f t="shared" si="971"/>
        <v>37580</v>
      </c>
      <c r="B26690" s="1" t="str">
        <f>"75473"</f>
        <v>75473</v>
      </c>
      <c r="C26690" s="2">
        <v>9.2663957399103103E-2</v>
      </c>
      <c r="D26690" s="2">
        <v>2.87334593572778E-2</v>
      </c>
      <c r="E26690" s="2">
        <v>2.3584905660377301E-3</v>
      </c>
      <c r="F26690" s="2">
        <v>8.08407197699582E-2</v>
      </c>
    </row>
    <row r="26691" spans="1:6" x14ac:dyDescent="0.25">
      <c r="A26691" s="1" t="str">
        <f t="shared" si="971"/>
        <v>37580</v>
      </c>
      <c r="B26691" s="1" t="str">
        <f>"75486"</f>
        <v>75486</v>
      </c>
      <c r="C26691" s="2">
        <v>6.8105381165919202E-2</v>
      </c>
      <c r="D26691" s="2">
        <v>1.20982986767485E-2</v>
      </c>
      <c r="E26691" s="2">
        <v>7.8616352201257801E-4</v>
      </c>
      <c r="F26691" s="2">
        <v>5.8636943052796903E-2</v>
      </c>
    </row>
    <row r="26692" spans="1:6" x14ac:dyDescent="0.25">
      <c r="A26692" s="1" t="str">
        <f t="shared" si="971"/>
        <v>37580</v>
      </c>
      <c r="B26692" s="1" t="str">
        <f>"75468"</f>
        <v>75468</v>
      </c>
      <c r="C26692" s="2">
        <v>1.6886210762331801E-2</v>
      </c>
      <c r="D26692" s="2">
        <v>3.0245746691871401E-3</v>
      </c>
      <c r="E26692" s="2">
        <v>8.8836477987421295E-2</v>
      </c>
      <c r="F26692" s="2">
        <v>2.1225506180891099E-2</v>
      </c>
    </row>
    <row r="26693" spans="1:6" x14ac:dyDescent="0.25">
      <c r="A26693" s="1" t="str">
        <f t="shared" si="971"/>
        <v>37580</v>
      </c>
      <c r="B26693" s="1" t="str">
        <f>"75462"</f>
        <v>75462</v>
      </c>
      <c r="C26693" s="2">
        <v>0.189321748878923</v>
      </c>
      <c r="D26693" s="2">
        <v>0.112287334593572</v>
      </c>
      <c r="E26693" s="2">
        <v>0.52240566037735803</v>
      </c>
      <c r="F26693" s="2">
        <v>0.20840126878724</v>
      </c>
    </row>
    <row r="26694" spans="1:6" x14ac:dyDescent="0.25">
      <c r="A26694" s="1" t="str">
        <f t="shared" si="971"/>
        <v>37580</v>
      </c>
      <c r="B26694" s="1" t="str">
        <f>"75477"</f>
        <v>75477</v>
      </c>
      <c r="C26694" s="2">
        <v>7.5672645739910298E-3</v>
      </c>
      <c r="D26694" s="2">
        <v>0</v>
      </c>
      <c r="E26694" s="2">
        <v>3.1839622641509399E-2</v>
      </c>
      <c r="F26694" s="2">
        <v>8.8044348264310901E-3</v>
      </c>
    </row>
    <row r="26695" spans="1:6" x14ac:dyDescent="0.25">
      <c r="A26695" s="1" t="str">
        <f t="shared" si="971"/>
        <v>37580</v>
      </c>
      <c r="B26695" s="1" t="str">
        <f>"75425"</f>
        <v>75425</v>
      </c>
      <c r="C26695" s="2">
        <v>0</v>
      </c>
      <c r="D26695" s="2">
        <v>0</v>
      </c>
      <c r="E26695" s="2">
        <v>3.93081761006289E-4</v>
      </c>
      <c r="F26695" s="2">
        <v>2.9644561705155099E-5</v>
      </c>
    </row>
    <row r="26696" spans="1:6" x14ac:dyDescent="0.25">
      <c r="A26696" s="1" t="str">
        <f t="shared" si="971"/>
        <v>37580</v>
      </c>
      <c r="B26696" s="1" t="str">
        <f>"75417"</f>
        <v>75417</v>
      </c>
      <c r="C26696" s="2">
        <v>3.5033632286995502E-5</v>
      </c>
      <c r="D26696" s="2">
        <v>0</v>
      </c>
      <c r="E26696" s="2">
        <v>0</v>
      </c>
      <c r="F26696" s="2">
        <v>2.9644561705155099E-5</v>
      </c>
    </row>
    <row r="26697" spans="1:6" x14ac:dyDescent="0.25">
      <c r="A26697" s="1" t="str">
        <f t="shared" si="971"/>
        <v>37580</v>
      </c>
      <c r="B26697" s="1" t="str">
        <f>"75435"</f>
        <v>75435</v>
      </c>
      <c r="C26697" s="2">
        <v>1.67110426008968E-2</v>
      </c>
      <c r="D26697" s="2">
        <v>2.64650283553875E-3</v>
      </c>
      <c r="E26697" s="2">
        <v>1.5723270440251499E-3</v>
      </c>
      <c r="F26697" s="2">
        <v>1.4466546112115701E-2</v>
      </c>
    </row>
    <row r="26698" spans="1:6" x14ac:dyDescent="0.25">
      <c r="A26698" s="1" t="str">
        <f t="shared" si="971"/>
        <v>37580</v>
      </c>
      <c r="B26698" s="1" t="str">
        <f>"75470"</f>
        <v>75470</v>
      </c>
      <c r="C26698" s="2">
        <v>4.4142376681614304E-3</v>
      </c>
      <c r="D26698" s="2">
        <v>1.51228733459357E-3</v>
      </c>
      <c r="E26698" s="2">
        <v>1.1792452830188601E-3</v>
      </c>
      <c r="F26698" s="2">
        <v>3.9427267067856401E-3</v>
      </c>
    </row>
    <row r="26699" spans="1:6" x14ac:dyDescent="0.25">
      <c r="A26699" s="1" t="str">
        <f t="shared" si="971"/>
        <v>37580</v>
      </c>
      <c r="B26699" s="1" t="str">
        <f>"75411"</f>
        <v>75411</v>
      </c>
      <c r="C26699" s="2">
        <v>3.2511210762331801E-2</v>
      </c>
      <c r="D26699" s="2">
        <v>5.2930056710774999E-3</v>
      </c>
      <c r="E26699" s="2">
        <v>2.3584905660377301E-3</v>
      </c>
      <c r="F26699" s="2">
        <v>2.8103044496487099E-2</v>
      </c>
    </row>
    <row r="26700" spans="1:6" x14ac:dyDescent="0.25">
      <c r="A26700" s="1" t="str">
        <f t="shared" si="971"/>
        <v>37580</v>
      </c>
      <c r="B26700" s="1" t="str">
        <f>"75436"</f>
        <v>75436</v>
      </c>
      <c r="C26700" s="2">
        <v>4.0288677130044803E-3</v>
      </c>
      <c r="D26700" s="2">
        <v>1.89035916824196E-3</v>
      </c>
      <c r="E26700" s="2">
        <v>0</v>
      </c>
      <c r="F26700" s="2">
        <v>3.5573474046186201E-3</v>
      </c>
    </row>
    <row r="26701" spans="1:6" x14ac:dyDescent="0.25">
      <c r="A26701" s="1" t="str">
        <f t="shared" si="971"/>
        <v>37580</v>
      </c>
      <c r="B26701" s="1" t="str">
        <f>"75446"</f>
        <v>75446</v>
      </c>
      <c r="C26701" s="2">
        <v>7.2519618834080701E-3</v>
      </c>
      <c r="D26701" s="2">
        <v>1.89035916824196E-3</v>
      </c>
      <c r="E26701" s="2">
        <v>0</v>
      </c>
      <c r="F26701" s="2">
        <v>6.2846470814929001E-3</v>
      </c>
    </row>
    <row r="26702" spans="1:6" x14ac:dyDescent="0.25">
      <c r="A26702" s="1" t="str">
        <f t="shared" si="971"/>
        <v>37580</v>
      </c>
      <c r="B26702" s="1" t="str">
        <f>"75416"</f>
        <v>75416</v>
      </c>
      <c r="C26702" s="2">
        <v>6.12738228699551E-2</v>
      </c>
      <c r="D26702" s="2">
        <v>1.5879017013232501E-2</v>
      </c>
      <c r="E26702" s="2">
        <v>6.2893081761006197E-3</v>
      </c>
      <c r="F26702" s="2">
        <v>5.35677230012154E-2</v>
      </c>
    </row>
    <row r="26703" spans="1:6" x14ac:dyDescent="0.25">
      <c r="A26703" s="1" t="str">
        <f t="shared" si="971"/>
        <v>37580</v>
      </c>
      <c r="B26703" s="1" t="str">
        <f>"75461"</f>
        <v>75461</v>
      </c>
      <c r="C26703" s="2">
        <v>6.0187780269058203E-2</v>
      </c>
      <c r="D26703" s="2">
        <v>0.124763705103969</v>
      </c>
      <c r="E26703" s="2">
        <v>7.8616352201257801E-4</v>
      </c>
      <c r="F26703" s="2">
        <v>6.0771351495568102E-2</v>
      </c>
    </row>
    <row r="26704" spans="1:6" x14ac:dyDescent="0.25">
      <c r="A26704" s="1" t="str">
        <f t="shared" si="971"/>
        <v>37580</v>
      </c>
      <c r="B26704" s="1" t="str">
        <f>"75434"</f>
        <v>75434</v>
      </c>
      <c r="C26704" s="2">
        <v>0</v>
      </c>
      <c r="D26704" s="2">
        <v>0</v>
      </c>
      <c r="E26704" s="2">
        <v>3.93081761006289E-4</v>
      </c>
      <c r="F26704" s="2">
        <v>2.9644561705155099E-5</v>
      </c>
    </row>
    <row r="26705" spans="1:6" x14ac:dyDescent="0.25">
      <c r="A26705" s="1" t="str">
        <f t="shared" ref="A26705:A26732" si="972">"37620"</f>
        <v>37620</v>
      </c>
      <c r="B26705" s="1" t="str">
        <f>"26142"</f>
        <v>26142</v>
      </c>
      <c r="C26705" s="2">
        <v>2.2302230223022301E-2</v>
      </c>
      <c r="D26705" s="2">
        <v>5.9273894788836696E-3</v>
      </c>
      <c r="E26705" s="2">
        <v>2.6863666890530498E-3</v>
      </c>
      <c r="F26705" s="2">
        <v>2.0582356436713301E-2</v>
      </c>
    </row>
    <row r="26706" spans="1:6" x14ac:dyDescent="0.25">
      <c r="A26706" s="1" t="str">
        <f t="shared" si="972"/>
        <v>37620</v>
      </c>
      <c r="B26706" s="1" t="str">
        <f>"26160"</f>
        <v>26160</v>
      </c>
      <c r="C26706" s="2">
        <v>1.4001400140013999E-2</v>
      </c>
      <c r="D26706" s="2">
        <v>7.4092368486045903E-4</v>
      </c>
      <c r="E26706" s="2">
        <v>0</v>
      </c>
      <c r="F26706" s="2">
        <v>1.2659139610681901E-2</v>
      </c>
    </row>
    <row r="26707" spans="1:6" x14ac:dyDescent="0.25">
      <c r="A26707" s="1" t="str">
        <f t="shared" si="972"/>
        <v>37620</v>
      </c>
      <c r="B26707" s="1" t="str">
        <f>"26120"</f>
        <v>26120</v>
      </c>
      <c r="C26707" s="2">
        <v>0</v>
      </c>
      <c r="D26707" s="2">
        <v>4.9394912324030602E-4</v>
      </c>
      <c r="E26707" s="2">
        <v>0</v>
      </c>
      <c r="F26707" s="2">
        <v>3.6014621936506199E-5</v>
      </c>
    </row>
    <row r="26708" spans="1:6" x14ac:dyDescent="0.25">
      <c r="A26708" s="1" t="str">
        <f t="shared" si="972"/>
        <v>37620</v>
      </c>
      <c r="B26708" s="1" t="str">
        <f>"26106"</f>
        <v>26106</v>
      </c>
      <c r="C26708" s="2">
        <v>0</v>
      </c>
      <c r="D26708" s="2">
        <v>2.4697456162015301E-4</v>
      </c>
      <c r="E26708" s="2">
        <v>0</v>
      </c>
      <c r="F26708" s="2">
        <v>1.80073109682531E-5</v>
      </c>
    </row>
    <row r="26709" spans="1:6" x14ac:dyDescent="0.25">
      <c r="A26709" s="1" t="str">
        <f t="shared" si="972"/>
        <v>37620</v>
      </c>
      <c r="B26709" s="1" t="str">
        <f>"26141"</f>
        <v>26141</v>
      </c>
      <c r="C26709" s="2">
        <v>3.5203520352035198E-3</v>
      </c>
      <c r="D26709" s="2">
        <v>1.2348728081007601E-3</v>
      </c>
      <c r="E26709" s="2">
        <v>6.7159167226326299E-4</v>
      </c>
      <c r="F26709" s="2">
        <v>3.2773305962220602E-3</v>
      </c>
    </row>
    <row r="26710" spans="1:6" x14ac:dyDescent="0.25">
      <c r="A26710" s="1" t="str">
        <f t="shared" si="972"/>
        <v>37620</v>
      </c>
      <c r="B26710" s="1" t="str">
        <f>"26133"</f>
        <v>26133</v>
      </c>
      <c r="C26710" s="2">
        <v>2.1702170217021699E-2</v>
      </c>
      <c r="D26710" s="2">
        <v>3.45764386268214E-3</v>
      </c>
      <c r="E26710" s="2">
        <v>6.7159167226326299E-4</v>
      </c>
      <c r="F26710" s="2">
        <v>1.9808042065078399E-2</v>
      </c>
    </row>
    <row r="26711" spans="1:6" x14ac:dyDescent="0.25">
      <c r="A26711" s="1" t="str">
        <f t="shared" si="972"/>
        <v>37620</v>
      </c>
      <c r="B26711" s="1" t="str">
        <f>"26105"</f>
        <v>26105</v>
      </c>
      <c r="C26711" s="2">
        <v>0.13451345134513401</v>
      </c>
      <c r="D26711" s="2">
        <v>0.166954803655223</v>
      </c>
      <c r="E26711" s="2">
        <v>0.13700470114170499</v>
      </c>
      <c r="F26711" s="2">
        <v>0.136945599913564</v>
      </c>
    </row>
    <row r="26712" spans="1:6" x14ac:dyDescent="0.25">
      <c r="A26712" s="1" t="str">
        <f t="shared" si="972"/>
        <v>37620</v>
      </c>
      <c r="B26712" s="1" t="str">
        <f>"26184"</f>
        <v>26184</v>
      </c>
      <c r="C26712" s="2">
        <v>1.7841784178417801E-2</v>
      </c>
      <c r="D26712" s="2">
        <v>4.6925166707828996E-3</v>
      </c>
      <c r="E26712" s="2">
        <v>2.6863666890530498E-3</v>
      </c>
      <c r="F26712" s="2">
        <v>1.6476689535951501E-2</v>
      </c>
    </row>
    <row r="26713" spans="1:6" x14ac:dyDescent="0.25">
      <c r="A26713" s="1" t="str">
        <f t="shared" si="972"/>
        <v>37620</v>
      </c>
      <c r="B26713" s="1" t="str">
        <f>"26150"</f>
        <v>26150</v>
      </c>
      <c r="C26713" s="2">
        <v>5.4385438543854303E-2</v>
      </c>
      <c r="D26713" s="2">
        <v>2.0251914052852499E-2</v>
      </c>
      <c r="E26713" s="2">
        <v>7.7904633982538607E-2</v>
      </c>
      <c r="F26713" s="2">
        <v>5.2527326094394297E-2</v>
      </c>
    </row>
    <row r="26714" spans="1:6" x14ac:dyDescent="0.25">
      <c r="A26714" s="1" t="str">
        <f t="shared" si="972"/>
        <v>37620</v>
      </c>
      <c r="B26714" s="1" t="str">
        <f>"26102"</f>
        <v>26102</v>
      </c>
      <c r="C26714" s="2">
        <v>2.9342934293429299E-2</v>
      </c>
      <c r="D26714" s="2">
        <v>0.10125957026426199</v>
      </c>
      <c r="E26714" s="2">
        <v>1.3431833445265199E-3</v>
      </c>
      <c r="F26714" s="2">
        <v>3.3835737309347497E-2</v>
      </c>
    </row>
    <row r="26715" spans="1:6" x14ac:dyDescent="0.25">
      <c r="A26715" s="1" t="str">
        <f t="shared" si="972"/>
        <v>37620</v>
      </c>
      <c r="B26715" s="1" t="str">
        <f>"26187"</f>
        <v>26187</v>
      </c>
      <c r="C26715" s="2">
        <v>5.8485848584858398E-2</v>
      </c>
      <c r="D26715" s="2">
        <v>3.9515929859224398E-2</v>
      </c>
      <c r="E26715" s="2">
        <v>5.23841504365345E-2</v>
      </c>
      <c r="F26715" s="2">
        <v>5.6939117281616297E-2</v>
      </c>
    </row>
    <row r="26716" spans="1:6" x14ac:dyDescent="0.25">
      <c r="A26716" s="1" t="str">
        <f t="shared" si="972"/>
        <v>37620</v>
      </c>
      <c r="B26716" s="1" t="str">
        <f>"26121"</f>
        <v>26121</v>
      </c>
      <c r="C26716" s="2">
        <v>0</v>
      </c>
      <c r="D26716" s="2">
        <v>0</v>
      </c>
      <c r="E26716" s="2">
        <v>1.3431833445265199E-3</v>
      </c>
      <c r="F26716" s="2">
        <v>3.6014621936506199E-5</v>
      </c>
    </row>
    <row r="26717" spans="1:6" x14ac:dyDescent="0.25">
      <c r="A26717" s="1" t="str">
        <f t="shared" si="972"/>
        <v>37620</v>
      </c>
      <c r="B26717" s="1" t="str">
        <f>"25270"</f>
        <v>25270</v>
      </c>
      <c r="C26717" s="2">
        <v>1.6001600160015999E-4</v>
      </c>
      <c r="D26717" s="2">
        <v>0</v>
      </c>
      <c r="E26717" s="2">
        <v>0</v>
      </c>
      <c r="F26717" s="2">
        <v>1.4405848774602401E-4</v>
      </c>
    </row>
    <row r="26718" spans="1:6" x14ac:dyDescent="0.25">
      <c r="A26718" s="1" t="str">
        <f t="shared" si="972"/>
        <v>37620</v>
      </c>
      <c r="B26718" s="1" t="str">
        <f>"26181"</f>
        <v>26181</v>
      </c>
      <c r="C26718" s="2">
        <v>5.3825382538253801E-2</v>
      </c>
      <c r="D26718" s="2">
        <v>1.25957026426278E-2</v>
      </c>
      <c r="E26718" s="2">
        <v>1.88045668233713E-2</v>
      </c>
      <c r="F26718" s="2">
        <v>4.9880251382061098E-2</v>
      </c>
    </row>
    <row r="26719" spans="1:6" x14ac:dyDescent="0.25">
      <c r="A26719" s="1" t="str">
        <f t="shared" si="972"/>
        <v>37620</v>
      </c>
      <c r="B26719" s="1" t="str">
        <f>"26101"</f>
        <v>26101</v>
      </c>
      <c r="C26719" s="2">
        <v>0.31049104910490999</v>
      </c>
      <c r="D26719" s="2">
        <v>0.46678192146208902</v>
      </c>
      <c r="E26719" s="2">
        <v>0.48623237071860298</v>
      </c>
      <c r="F26719" s="2">
        <v>0.32659859903120603</v>
      </c>
    </row>
    <row r="26720" spans="1:6" x14ac:dyDescent="0.25">
      <c r="A26720" s="1" t="str">
        <f t="shared" si="972"/>
        <v>37620</v>
      </c>
      <c r="B26720" s="1" t="str">
        <f>"26104"</f>
        <v>26104</v>
      </c>
      <c r="C26720" s="2">
        <v>0.19841984198419799</v>
      </c>
      <c r="D26720" s="2">
        <v>0.14793776241047099</v>
      </c>
      <c r="E26720" s="2">
        <v>0.19744795164539899</v>
      </c>
      <c r="F26720" s="2">
        <v>0.19471305349972001</v>
      </c>
    </row>
    <row r="26721" spans="1:6" x14ac:dyDescent="0.25">
      <c r="A26721" s="1" t="str">
        <f t="shared" si="972"/>
        <v>37620</v>
      </c>
      <c r="B26721" s="1" t="str">
        <f>"26170"</f>
        <v>26170</v>
      </c>
      <c r="C26721" s="2">
        <v>2.0002000200019999E-5</v>
      </c>
      <c r="D26721" s="2">
        <v>0</v>
      </c>
      <c r="E26721" s="2">
        <v>0</v>
      </c>
      <c r="F26721" s="2">
        <v>1.80073109682531E-5</v>
      </c>
    </row>
    <row r="26722" spans="1:6" x14ac:dyDescent="0.25">
      <c r="A26722" s="1" t="str">
        <f t="shared" si="972"/>
        <v>37620</v>
      </c>
      <c r="B26722" s="1" t="str">
        <f>"25252"</f>
        <v>25252</v>
      </c>
      <c r="C26722" s="2">
        <v>1.26012601260126E-3</v>
      </c>
      <c r="D26722" s="2">
        <v>0</v>
      </c>
      <c r="E26722" s="2">
        <v>0</v>
      </c>
      <c r="F26722" s="2">
        <v>1.1344605909999401E-3</v>
      </c>
    </row>
    <row r="26723" spans="1:6" x14ac:dyDescent="0.25">
      <c r="A26723" s="1" t="str">
        <f t="shared" si="972"/>
        <v>37620</v>
      </c>
      <c r="B26723" s="1" t="str">
        <f>"26164"</f>
        <v>26164</v>
      </c>
      <c r="C26723" s="2">
        <v>9.800980098009799E-4</v>
      </c>
      <c r="D26723" s="2">
        <v>0</v>
      </c>
      <c r="E26723" s="2">
        <v>0</v>
      </c>
      <c r="F26723" s="2">
        <v>8.82358237444402E-4</v>
      </c>
    </row>
    <row r="26724" spans="1:6" x14ac:dyDescent="0.25">
      <c r="A26724" s="1" t="str">
        <f t="shared" si="972"/>
        <v>37620</v>
      </c>
      <c r="B26724" s="1" t="str">
        <f>"26169"</f>
        <v>26169</v>
      </c>
      <c r="C26724" s="2">
        <v>7.0207020702070201E-3</v>
      </c>
      <c r="D26724" s="2">
        <v>1.2348728081007601E-3</v>
      </c>
      <c r="E26724" s="2">
        <v>6.7159167226326299E-4</v>
      </c>
      <c r="F26724" s="2">
        <v>6.4286100156663601E-3</v>
      </c>
    </row>
    <row r="26725" spans="1:6" x14ac:dyDescent="0.25">
      <c r="A26725" s="1" t="str">
        <f t="shared" si="972"/>
        <v>37620</v>
      </c>
      <c r="B26725" s="1" t="str">
        <f>"25275"</f>
        <v>25275</v>
      </c>
      <c r="C26725" s="2">
        <v>5.0005000500050005E-4</v>
      </c>
      <c r="D26725" s="2">
        <v>0</v>
      </c>
      <c r="E26725" s="2">
        <v>0</v>
      </c>
      <c r="F26725" s="2">
        <v>4.5018277420632701E-4</v>
      </c>
    </row>
    <row r="26726" spans="1:6" x14ac:dyDescent="0.25">
      <c r="A26726" s="1" t="str">
        <f t="shared" si="972"/>
        <v>37620</v>
      </c>
      <c r="B26726" s="1" t="str">
        <f>"26138"</f>
        <v>26138</v>
      </c>
      <c r="C26726" s="2">
        <v>1.3801380138013799E-3</v>
      </c>
      <c r="D26726" s="2">
        <v>2.4697456162015301E-4</v>
      </c>
      <c r="E26726" s="2">
        <v>6.7159167226326299E-4</v>
      </c>
      <c r="F26726" s="2">
        <v>1.2785190787459699E-3</v>
      </c>
    </row>
    <row r="26727" spans="1:6" x14ac:dyDescent="0.25">
      <c r="A26727" s="1" t="str">
        <f t="shared" si="972"/>
        <v>37620</v>
      </c>
      <c r="B26727" s="1" t="str">
        <f>"26337"</f>
        <v>26337</v>
      </c>
      <c r="C26727" s="2">
        <v>6.0006000600060001E-5</v>
      </c>
      <c r="D26727" s="2">
        <v>0</v>
      </c>
      <c r="E26727" s="2">
        <v>0</v>
      </c>
      <c r="F26727" s="2">
        <v>5.4021932904759299E-5</v>
      </c>
    </row>
    <row r="26728" spans="1:6" x14ac:dyDescent="0.25">
      <c r="A26728" s="1" t="str">
        <f t="shared" si="972"/>
        <v>37620</v>
      </c>
      <c r="B26728" s="1" t="str">
        <f>"26152"</f>
        <v>26152</v>
      </c>
      <c r="C26728" s="2">
        <v>2.6002600260026002E-4</v>
      </c>
      <c r="D26728" s="2">
        <v>0</v>
      </c>
      <c r="E26728" s="2">
        <v>6.7159167226326299E-4</v>
      </c>
      <c r="F26728" s="2">
        <v>2.52102353555543E-4</v>
      </c>
    </row>
    <row r="26729" spans="1:6" x14ac:dyDescent="0.25">
      <c r="A26729" s="1" t="str">
        <f t="shared" si="972"/>
        <v>37620</v>
      </c>
      <c r="B26729" s="1" t="str">
        <f>"26103"</f>
        <v>26103</v>
      </c>
      <c r="C26729" s="2">
        <v>1.2081208120812001E-2</v>
      </c>
      <c r="D26729" s="2">
        <v>1.8770066683131598E-2</v>
      </c>
      <c r="E26729" s="2">
        <v>1.3431833445265199E-3</v>
      </c>
      <c r="F26729" s="2">
        <v>1.22809860803486E-2</v>
      </c>
    </row>
    <row r="26730" spans="1:6" x14ac:dyDescent="0.25">
      <c r="A26730" s="1" t="str">
        <f t="shared" si="972"/>
        <v>37620</v>
      </c>
      <c r="B26730" s="1" t="str">
        <f>"26161"</f>
        <v>26161</v>
      </c>
      <c r="C26730" s="2">
        <v>2.000200020002E-4</v>
      </c>
      <c r="D26730" s="2">
        <v>0</v>
      </c>
      <c r="E26730" s="2">
        <v>0</v>
      </c>
      <c r="F26730" s="2">
        <v>1.8007310968253101E-4</v>
      </c>
    </row>
    <row r="26731" spans="1:6" x14ac:dyDescent="0.25">
      <c r="A26731" s="1" t="str">
        <f t="shared" si="972"/>
        <v>37620</v>
      </c>
      <c r="B26731" s="1" t="str">
        <f>"26180"</f>
        <v>26180</v>
      </c>
      <c r="C26731" s="2">
        <v>2.2982298229822899E-2</v>
      </c>
      <c r="D26731" s="2">
        <v>4.4455421091627503E-3</v>
      </c>
      <c r="E26731" s="2">
        <v>6.0443250503693698E-3</v>
      </c>
      <c r="F26731" s="2">
        <v>2.1176597698665599E-2</v>
      </c>
    </row>
    <row r="26732" spans="1:6" x14ac:dyDescent="0.25">
      <c r="A26732" s="1" t="str">
        <f t="shared" si="972"/>
        <v>37620</v>
      </c>
      <c r="B26732" s="1" t="str">
        <f>"26143"</f>
        <v>26143</v>
      </c>
      <c r="C26732" s="2">
        <v>3.4263426342634198E-2</v>
      </c>
      <c r="D26732" s="2">
        <v>3.2106693010619902E-3</v>
      </c>
      <c r="E26732" s="2">
        <v>1.14170584284754E-2</v>
      </c>
      <c r="F26732" s="2">
        <v>3.13867430176651E-2</v>
      </c>
    </row>
    <row r="26733" spans="1:6" x14ac:dyDescent="0.25">
      <c r="A26733" s="1" t="str">
        <f t="shared" ref="A26733:A26745" si="973">"37660"</f>
        <v>37660</v>
      </c>
      <c r="B26733" s="1" t="str">
        <f>"67332"</f>
        <v>67332</v>
      </c>
      <c r="C26733" s="2">
        <v>1.09869646182495E-2</v>
      </c>
      <c r="D26733" s="2">
        <v>1.07411385606874E-2</v>
      </c>
      <c r="E26733" s="2">
        <v>0</v>
      </c>
      <c r="F26733" s="2">
        <v>1.07077128994478E-2</v>
      </c>
    </row>
    <row r="26734" spans="1:6" x14ac:dyDescent="0.25">
      <c r="A26734" s="1" t="str">
        <f t="shared" si="973"/>
        <v>37660</v>
      </c>
      <c r="B26734" s="1" t="str">
        <f>"67342"</f>
        <v>67342</v>
      </c>
      <c r="C26734" s="2">
        <v>4.0968342644320199E-2</v>
      </c>
      <c r="D26734" s="2">
        <v>2.3630504833512301E-2</v>
      </c>
      <c r="E26734" s="2">
        <v>1.4134275618374499E-2</v>
      </c>
      <c r="F26734" s="2">
        <v>3.8982767274552403E-2</v>
      </c>
    </row>
    <row r="26735" spans="1:6" x14ac:dyDescent="0.25">
      <c r="A26735" s="1" t="str">
        <f t="shared" si="973"/>
        <v>37660</v>
      </c>
      <c r="B26735" s="1" t="str">
        <f>"66753"</f>
        <v>66753</v>
      </c>
      <c r="C26735" s="2">
        <v>3.25884543761638E-3</v>
      </c>
      <c r="D26735" s="2">
        <v>4.2964554242749704E-3</v>
      </c>
      <c r="E26735" s="2">
        <v>0</v>
      </c>
      <c r="F26735" s="2">
        <v>3.2625062740505202E-3</v>
      </c>
    </row>
    <row r="26736" spans="1:6" x14ac:dyDescent="0.25">
      <c r="A26736" s="1" t="str">
        <f t="shared" si="973"/>
        <v>37660</v>
      </c>
      <c r="B26736" s="1" t="str">
        <f>"67351"</f>
        <v>67351</v>
      </c>
      <c r="C26736" s="2">
        <v>9.96275605214152E-3</v>
      </c>
      <c r="D26736" s="2">
        <v>2.14822771213748E-3</v>
      </c>
      <c r="E26736" s="2">
        <v>0</v>
      </c>
      <c r="F26736" s="2">
        <v>9.1182867659360799E-3</v>
      </c>
    </row>
    <row r="26737" spans="1:6" x14ac:dyDescent="0.25">
      <c r="A26737" s="1" t="str">
        <f t="shared" si="973"/>
        <v>37660</v>
      </c>
      <c r="B26737" s="1" t="str">
        <f>"67356"</f>
        <v>67356</v>
      </c>
      <c r="C26737" s="2">
        <v>0.12746741154562299</v>
      </c>
      <c r="D26737" s="2">
        <v>0.186895810955961</v>
      </c>
      <c r="E26737" s="2">
        <v>0.22261484098939899</v>
      </c>
      <c r="F26737" s="2">
        <v>0.13434833528526</v>
      </c>
    </row>
    <row r="26738" spans="1:6" x14ac:dyDescent="0.25">
      <c r="A26738" s="1" t="str">
        <f t="shared" si="973"/>
        <v>37660</v>
      </c>
      <c r="B26738" s="1" t="str">
        <f>"67354"</f>
        <v>67354</v>
      </c>
      <c r="C26738" s="2">
        <v>3.54748603351955E-2</v>
      </c>
      <c r="D26738" s="2">
        <v>1.6111707841031098E-2</v>
      </c>
      <c r="E26738" s="2">
        <v>7.0671378091872704E-3</v>
      </c>
      <c r="F26738" s="2">
        <v>3.3294294796720698E-2</v>
      </c>
    </row>
    <row r="26739" spans="1:6" x14ac:dyDescent="0.25">
      <c r="A26739" s="1" t="str">
        <f t="shared" si="973"/>
        <v>37660</v>
      </c>
      <c r="B26739" s="1" t="str">
        <f>"67337"</f>
        <v>67337</v>
      </c>
      <c r="C26739" s="2">
        <v>1.41527001862197E-2</v>
      </c>
      <c r="D26739" s="2">
        <v>4.2964554242749704E-3</v>
      </c>
      <c r="E26739" s="2">
        <v>7.0671378091872704E-3</v>
      </c>
      <c r="F26739" s="2">
        <v>1.3217333110255899E-2</v>
      </c>
    </row>
    <row r="26740" spans="1:6" x14ac:dyDescent="0.25">
      <c r="A26740" s="1" t="str">
        <f t="shared" si="973"/>
        <v>37660</v>
      </c>
      <c r="B26740" s="1" t="str">
        <f>"67330"</f>
        <v>67330</v>
      </c>
      <c r="C26740" s="2">
        <v>6.4152700186219699E-2</v>
      </c>
      <c r="D26740" s="2">
        <v>5.3705692803437101E-2</v>
      </c>
      <c r="E26740" s="2">
        <v>2.47349823321554E-2</v>
      </c>
      <c r="F26740" s="2">
        <v>6.24058892420946E-2</v>
      </c>
    </row>
    <row r="26741" spans="1:6" x14ac:dyDescent="0.25">
      <c r="A26741" s="1" t="str">
        <f t="shared" si="973"/>
        <v>37660</v>
      </c>
      <c r="B26741" s="1" t="str">
        <f>"67341"</f>
        <v>67341</v>
      </c>
      <c r="C26741" s="2">
        <v>1.69459962756052E-2</v>
      </c>
      <c r="D26741" s="2">
        <v>6.4446831364124496E-3</v>
      </c>
      <c r="E26741" s="2">
        <v>1.4134275618374499E-2</v>
      </c>
      <c r="F26741" s="2">
        <v>1.60615693491718E-2</v>
      </c>
    </row>
    <row r="26742" spans="1:6" x14ac:dyDescent="0.25">
      <c r="A26742" s="1" t="str">
        <f t="shared" si="973"/>
        <v>37660</v>
      </c>
      <c r="B26742" s="1" t="str">
        <f>"67336"</f>
        <v>67336</v>
      </c>
      <c r="C26742" s="2">
        <v>6.4897579143389103E-2</v>
      </c>
      <c r="D26742" s="2">
        <v>4.08163265306122E-2</v>
      </c>
      <c r="E26742" s="2">
        <v>3.8869257950529999E-2</v>
      </c>
      <c r="F26742" s="2">
        <v>6.24058892420946E-2</v>
      </c>
    </row>
    <row r="26743" spans="1:6" x14ac:dyDescent="0.25">
      <c r="A26743" s="1" t="str">
        <f t="shared" si="973"/>
        <v>37660</v>
      </c>
      <c r="B26743" s="1" t="str">
        <f>"66776"</f>
        <v>66776</v>
      </c>
      <c r="C26743" s="2">
        <v>2.2346368715083702E-3</v>
      </c>
      <c r="D26743" s="2">
        <v>0</v>
      </c>
      <c r="E26743" s="2">
        <v>0</v>
      </c>
      <c r="F26743" s="2">
        <v>2.0076961686464698E-3</v>
      </c>
    </row>
    <row r="26744" spans="1:6" x14ac:dyDescent="0.25">
      <c r="A26744" s="1" t="str">
        <f t="shared" si="973"/>
        <v>37660</v>
      </c>
      <c r="B26744" s="1" t="str">
        <f>"67335"</f>
        <v>67335</v>
      </c>
      <c r="C26744" s="2">
        <v>3.5754189944133999E-2</v>
      </c>
      <c r="D26744" s="2">
        <v>1.07411385606874E-2</v>
      </c>
      <c r="E26744" s="2">
        <v>5.6537102473498198E-2</v>
      </c>
      <c r="F26744" s="2">
        <v>3.4298142881043998E-2</v>
      </c>
    </row>
    <row r="26745" spans="1:6" x14ac:dyDescent="0.25">
      <c r="A26745" s="1" t="str">
        <f t="shared" si="973"/>
        <v>37660</v>
      </c>
      <c r="B26745" s="1" t="str">
        <f>"67357"</f>
        <v>67357</v>
      </c>
      <c r="C26745" s="2">
        <v>0.57374301675977601</v>
      </c>
      <c r="D26745" s="2">
        <v>0.64017185821696998</v>
      </c>
      <c r="E26745" s="2">
        <v>0.61484098939929299</v>
      </c>
      <c r="F26745" s="2">
        <v>0.57988957671072405</v>
      </c>
    </row>
    <row r="26746" spans="1:6" x14ac:dyDescent="0.25">
      <c r="A26746" s="1" t="str">
        <f t="shared" ref="A26746:A26757" si="974">"37740"</f>
        <v>37740</v>
      </c>
      <c r="B26746" s="1" t="str">
        <f>"85539"</f>
        <v>85539</v>
      </c>
      <c r="C26746" s="2">
        <v>4.92188111322674E-2</v>
      </c>
      <c r="D26746" s="2">
        <v>9.2951541850220198E-2</v>
      </c>
      <c r="E26746" s="2">
        <v>4.4021024967148402E-2</v>
      </c>
      <c r="F26746" s="2">
        <v>5.1387339488737499E-2</v>
      </c>
    </row>
    <row r="26747" spans="1:6" x14ac:dyDescent="0.25">
      <c r="A26747" s="1" t="str">
        <f t="shared" si="974"/>
        <v>37740</v>
      </c>
      <c r="B26747" s="1" t="str">
        <f>"85554"</f>
        <v>85554</v>
      </c>
      <c r="C26747" s="2">
        <v>2.1049062312527698E-2</v>
      </c>
      <c r="D26747" s="2">
        <v>0</v>
      </c>
      <c r="E26747" s="2">
        <v>3.2851511169513701E-3</v>
      </c>
      <c r="F26747" s="2">
        <v>1.92732192447366E-2</v>
      </c>
    </row>
    <row r="26748" spans="1:6" x14ac:dyDescent="0.25">
      <c r="A26748" s="1" t="str">
        <f t="shared" si="974"/>
        <v>37740</v>
      </c>
      <c r="B26748" s="1" t="str">
        <f>"85547"</f>
        <v>85547</v>
      </c>
      <c r="C26748" s="2">
        <v>8.3857168940243601E-2</v>
      </c>
      <c r="D26748" s="2">
        <v>0.15947136563876599</v>
      </c>
      <c r="E26748" s="2">
        <v>1.31406044678055E-3</v>
      </c>
      <c r="F26748" s="2">
        <v>8.4949324725261594E-2</v>
      </c>
    </row>
    <row r="26749" spans="1:6" x14ac:dyDescent="0.25">
      <c r="A26749" s="1" t="str">
        <f t="shared" si="974"/>
        <v>37740</v>
      </c>
      <c r="B26749" s="1" t="str">
        <f>"85501"</f>
        <v>85501</v>
      </c>
      <c r="C26749" s="2">
        <v>0.16867941260857</v>
      </c>
      <c r="D26749" s="2">
        <v>0.23215859030836999</v>
      </c>
      <c r="E26749" s="2">
        <v>0.32588699080157602</v>
      </c>
      <c r="F26749" s="2">
        <v>0.17777883268851899</v>
      </c>
    </row>
    <row r="26750" spans="1:6" x14ac:dyDescent="0.25">
      <c r="A26750" s="1" t="str">
        <f t="shared" si="974"/>
        <v>37740</v>
      </c>
      <c r="B26750" s="1" t="str">
        <f>"85541"</f>
        <v>85541</v>
      </c>
      <c r="C26750" s="2">
        <v>0.46203604684524802</v>
      </c>
      <c r="D26750" s="2">
        <v>0.50748898678414001</v>
      </c>
      <c r="E26750" s="2">
        <v>0.58869908015768702</v>
      </c>
      <c r="F26750" s="2">
        <v>0.46906078659419398</v>
      </c>
    </row>
    <row r="26751" spans="1:6" x14ac:dyDescent="0.25">
      <c r="A26751" s="1" t="str">
        <f t="shared" si="974"/>
        <v>37740</v>
      </c>
      <c r="B26751" s="1" t="str">
        <f>"85545"</f>
        <v>85545</v>
      </c>
      <c r="C26751" s="2">
        <v>1.6823599989566701E-2</v>
      </c>
      <c r="D26751" s="2">
        <v>1.7621145374449301E-3</v>
      </c>
      <c r="E26751" s="2">
        <v>7.2273324572930302E-3</v>
      </c>
      <c r="F26751" s="2">
        <v>1.5665424509268701E-2</v>
      </c>
    </row>
    <row r="26752" spans="1:6" x14ac:dyDescent="0.25">
      <c r="A26752" s="1" t="str">
        <f t="shared" si="974"/>
        <v>37740</v>
      </c>
      <c r="B26752" s="1" t="str">
        <f>"85532"</f>
        <v>85532</v>
      </c>
      <c r="C26752" s="2">
        <v>1.63019379743863E-2</v>
      </c>
      <c r="D26752" s="2">
        <v>0</v>
      </c>
      <c r="E26752" s="2">
        <v>3.9421813403416502E-3</v>
      </c>
      <c r="F26752" s="2">
        <v>1.4977095250528099E-2</v>
      </c>
    </row>
    <row r="26753" spans="1:6" x14ac:dyDescent="0.25">
      <c r="A26753" s="1" t="str">
        <f t="shared" si="974"/>
        <v>37740</v>
      </c>
      <c r="B26753" s="1" t="str">
        <f>"85192"</f>
        <v>85192</v>
      </c>
      <c r="C26753" s="2">
        <v>6.2599441821643703E-3</v>
      </c>
      <c r="D26753" s="2">
        <v>0</v>
      </c>
      <c r="E26753" s="2">
        <v>3.2851511169513701E-3</v>
      </c>
      <c r="F26753" s="2">
        <v>5.8151954617739901E-3</v>
      </c>
    </row>
    <row r="26754" spans="1:6" x14ac:dyDescent="0.25">
      <c r="A26754" s="1" t="str">
        <f t="shared" si="974"/>
        <v>37740</v>
      </c>
      <c r="B26754" s="1" t="str">
        <f>"85542"</f>
        <v>85542</v>
      </c>
      <c r="C26754" s="2">
        <v>1.8519001538902899E-3</v>
      </c>
      <c r="D26754" s="2">
        <v>8.8105726872246602E-4</v>
      </c>
      <c r="E26754" s="2">
        <v>1.9710906701708199E-3</v>
      </c>
      <c r="F26754" s="2">
        <v>1.8038973677339701E-3</v>
      </c>
    </row>
    <row r="26755" spans="1:6" x14ac:dyDescent="0.25">
      <c r="A26755" s="1" t="str">
        <f t="shared" si="974"/>
        <v>37740</v>
      </c>
      <c r="B26755" s="1" t="str">
        <f>"85553"</f>
        <v>85553</v>
      </c>
      <c r="C26755" s="2">
        <v>3.8524739821069902E-2</v>
      </c>
      <c r="D26755" s="2">
        <v>0</v>
      </c>
      <c r="E26755" s="2">
        <v>5.9132720105124796E-3</v>
      </c>
      <c r="F26755" s="2">
        <v>3.5270940637535303E-2</v>
      </c>
    </row>
    <row r="26756" spans="1:6" x14ac:dyDescent="0.25">
      <c r="A26756" s="1" t="str">
        <f t="shared" si="974"/>
        <v>37740</v>
      </c>
      <c r="B26756" s="1" t="str">
        <f>"85135"</f>
        <v>85135</v>
      </c>
      <c r="C26756" s="2">
        <v>1.33806306893763E-2</v>
      </c>
      <c r="D26756" s="2">
        <v>0</v>
      </c>
      <c r="E26756" s="2">
        <v>1.31406044678055E-3</v>
      </c>
      <c r="F26756" s="2">
        <v>1.22237782155657E-2</v>
      </c>
    </row>
    <row r="26757" spans="1:6" x14ac:dyDescent="0.25">
      <c r="A26757" s="1" t="str">
        <f t="shared" si="974"/>
        <v>37740</v>
      </c>
      <c r="B26757" s="1" t="str">
        <f>"85544"</f>
        <v>85544</v>
      </c>
      <c r="C26757" s="2">
        <v>0.122016745350687</v>
      </c>
      <c r="D26757" s="2">
        <v>5.2863436123347998E-3</v>
      </c>
      <c r="E26757" s="2">
        <v>1.3140604467805499E-2</v>
      </c>
      <c r="F26757" s="2">
        <v>0.111794165816144</v>
      </c>
    </row>
    <row r="26758" spans="1:6" x14ac:dyDescent="0.25">
      <c r="A26758" s="1" t="str">
        <f>"37770"</f>
        <v>37770</v>
      </c>
      <c r="B26758" s="1" t="str">
        <f>"78005"</f>
        <v>78005</v>
      </c>
      <c r="C26758" s="2">
        <v>5.0847457627118599E-2</v>
      </c>
      <c r="D26758" s="2">
        <v>3.1152647975077798E-3</v>
      </c>
      <c r="E26758" s="2">
        <v>3.6496350364963501E-2</v>
      </c>
      <c r="F26758" s="2">
        <v>4.5447446509448597E-2</v>
      </c>
    </row>
    <row r="26759" spans="1:6" x14ac:dyDescent="0.25">
      <c r="A26759" s="1" t="str">
        <f>"37770"</f>
        <v>37770</v>
      </c>
      <c r="B26759" s="1" t="str">
        <f>"78061"</f>
        <v>78061</v>
      </c>
      <c r="C26759" s="2">
        <v>0.64607253508292295</v>
      </c>
      <c r="D26759" s="2">
        <v>0.66510903426791201</v>
      </c>
      <c r="E26759" s="2">
        <v>0.613138686131386</v>
      </c>
      <c r="F26759" s="2">
        <v>0.64657191941277503</v>
      </c>
    </row>
    <row r="26760" spans="1:6" x14ac:dyDescent="0.25">
      <c r="A26760" s="1" t="str">
        <f>"37770"</f>
        <v>37770</v>
      </c>
      <c r="B26760" s="1" t="str">
        <f>"78016"</f>
        <v>78016</v>
      </c>
      <c r="C26760" s="2">
        <v>1.6402405686167299E-3</v>
      </c>
      <c r="D26760" s="2">
        <v>0</v>
      </c>
      <c r="E26760" s="2">
        <v>0</v>
      </c>
      <c r="F26760" s="2">
        <v>1.4055911291582001E-3</v>
      </c>
    </row>
    <row r="26761" spans="1:6" x14ac:dyDescent="0.25">
      <c r="A26761" s="1" t="str">
        <f>"37770"</f>
        <v>37770</v>
      </c>
      <c r="B26761" s="1" t="str">
        <f>"78057"</f>
        <v>78057</v>
      </c>
      <c r="C26761" s="2">
        <v>7.9096045197740106E-2</v>
      </c>
      <c r="D26761" s="2">
        <v>4.67289719626168E-2</v>
      </c>
      <c r="E26761" s="2">
        <v>8.0291970802919693E-2</v>
      </c>
      <c r="F26761" s="2">
        <v>7.5901920974543097E-2</v>
      </c>
    </row>
    <row r="26762" spans="1:6" x14ac:dyDescent="0.25">
      <c r="A26762" s="1" t="str">
        <f>"37770"</f>
        <v>37770</v>
      </c>
      <c r="B26762" s="1" t="str">
        <f>"78017"</f>
        <v>78017</v>
      </c>
      <c r="C26762" s="2">
        <v>0.22234372152360099</v>
      </c>
      <c r="D26762" s="2">
        <v>0.28504672897196198</v>
      </c>
      <c r="E26762" s="2">
        <v>0.27007299270072899</v>
      </c>
      <c r="F26762" s="2">
        <v>0.230673121974074</v>
      </c>
    </row>
    <row r="26763" spans="1:6" x14ac:dyDescent="0.25">
      <c r="A26763" s="1" t="str">
        <f t="shared" ref="A26763:A26768" si="975">"37780"</f>
        <v>37780</v>
      </c>
      <c r="B26763" s="1" t="str">
        <f>"79770"</f>
        <v>79770</v>
      </c>
      <c r="C26763" s="2">
        <v>0</v>
      </c>
      <c r="D26763" s="2">
        <v>4.0404040404040404E-3</v>
      </c>
      <c r="E26763" s="2">
        <v>0</v>
      </c>
      <c r="F26763" s="2">
        <v>3.5106196243637003E-4</v>
      </c>
    </row>
    <row r="26764" spans="1:6" x14ac:dyDescent="0.25">
      <c r="A26764" s="1" t="str">
        <f t="shared" si="975"/>
        <v>37780</v>
      </c>
      <c r="B26764" s="1" t="str">
        <f>"79754"</f>
        <v>79754</v>
      </c>
      <c r="C26764" s="2">
        <v>0</v>
      </c>
      <c r="D26764" s="2">
        <v>2.0202020202020202E-3</v>
      </c>
      <c r="E26764" s="2">
        <v>0</v>
      </c>
      <c r="F26764" s="2">
        <v>1.7553098121818501E-4</v>
      </c>
    </row>
    <row r="26765" spans="1:6" x14ac:dyDescent="0.25">
      <c r="A26765" s="1" t="str">
        <f t="shared" si="975"/>
        <v>37780</v>
      </c>
      <c r="B26765" s="1" t="str">
        <f>"79780"</f>
        <v>79780</v>
      </c>
      <c r="C26765" s="2">
        <v>0</v>
      </c>
      <c r="D26765" s="2">
        <v>2.0202020202020202E-3</v>
      </c>
      <c r="E26765" s="2">
        <v>0</v>
      </c>
      <c r="F26765" s="2">
        <v>1.7553098121818501E-4</v>
      </c>
    </row>
    <row r="26766" spans="1:6" x14ac:dyDescent="0.25">
      <c r="A26766" s="1" t="str">
        <f t="shared" si="975"/>
        <v>37780</v>
      </c>
      <c r="B26766" s="1" t="str">
        <f>"79785"</f>
        <v>79785</v>
      </c>
      <c r="C26766" s="2">
        <v>0</v>
      </c>
      <c r="D26766" s="2">
        <v>2.0202020202020202E-3</v>
      </c>
      <c r="E26766" s="2">
        <v>0</v>
      </c>
      <c r="F26766" s="2">
        <v>1.7553098121818501E-4</v>
      </c>
    </row>
    <row r="26767" spans="1:6" x14ac:dyDescent="0.25">
      <c r="A26767" s="1" t="str">
        <f t="shared" si="975"/>
        <v>37780</v>
      </c>
      <c r="B26767" s="1" t="str">
        <f>"79772"</f>
        <v>79772</v>
      </c>
      <c r="C26767" s="2">
        <v>0.98091133004926101</v>
      </c>
      <c r="D26767" s="2">
        <v>0.97777777777777697</v>
      </c>
      <c r="E26767" s="2">
        <v>0.98787878787878702</v>
      </c>
      <c r="F26767" s="2">
        <v>0.98104265402843605</v>
      </c>
    </row>
    <row r="26768" spans="1:6" x14ac:dyDescent="0.25">
      <c r="A26768" s="1" t="str">
        <f t="shared" si="975"/>
        <v>37780</v>
      </c>
      <c r="B26768" s="1" t="str">
        <f>"79718"</f>
        <v>79718</v>
      </c>
      <c r="C26768" s="2">
        <v>1.90886699507389E-2</v>
      </c>
      <c r="D26768" s="2">
        <v>1.21212121212121E-2</v>
      </c>
      <c r="E26768" s="2">
        <v>1.21212121212121E-2</v>
      </c>
      <c r="F26768" s="2">
        <v>1.8079691065473E-2</v>
      </c>
    </row>
    <row r="26769" spans="1:6" x14ac:dyDescent="0.25">
      <c r="A26769" s="1" t="str">
        <f t="shared" ref="A26769:A26787" si="976">"37800"</f>
        <v>37800</v>
      </c>
      <c r="B26769" s="1" t="str">
        <f>"50256"</f>
        <v>50256</v>
      </c>
      <c r="C26769" s="2">
        <v>1.4571466419393201E-2</v>
      </c>
      <c r="D26769" s="2">
        <v>3.4662045060658499E-3</v>
      </c>
      <c r="E26769" s="2">
        <v>2.18340611353711E-3</v>
      </c>
      <c r="F26769" s="2">
        <v>1.34649910233393E-2</v>
      </c>
    </row>
    <row r="26770" spans="1:6" x14ac:dyDescent="0.25">
      <c r="A26770" s="1" t="str">
        <f t="shared" si="976"/>
        <v>37800</v>
      </c>
      <c r="B26770" s="1" t="str">
        <f>"50044"</f>
        <v>50044</v>
      </c>
      <c r="C26770" s="2">
        <v>2.50364286660484E-2</v>
      </c>
      <c r="D26770" s="2">
        <v>6.9324090121317102E-3</v>
      </c>
      <c r="E26770" s="2">
        <v>8.7336244541484694E-3</v>
      </c>
      <c r="F26770" s="2">
        <v>2.3339317773788101E-2</v>
      </c>
    </row>
    <row r="26771" spans="1:6" x14ac:dyDescent="0.25">
      <c r="A26771" s="1" t="str">
        <f t="shared" si="976"/>
        <v>37800</v>
      </c>
      <c r="B26771" s="1" t="str">
        <f>"50057"</f>
        <v>50057</v>
      </c>
      <c r="C26771" s="2">
        <v>6.3584580739170704E-3</v>
      </c>
      <c r="D26771" s="2">
        <v>6.0658578856152504E-3</v>
      </c>
      <c r="E26771" s="2">
        <v>2.18340611353711E-3</v>
      </c>
      <c r="F26771" s="2">
        <v>6.2238180730101698E-3</v>
      </c>
    </row>
    <row r="26772" spans="1:6" x14ac:dyDescent="0.25">
      <c r="A26772" s="1" t="str">
        <f t="shared" si="976"/>
        <v>37800</v>
      </c>
      <c r="B26772" s="1" t="str">
        <f>"50170"</f>
        <v>50170</v>
      </c>
      <c r="C26772" s="2">
        <v>8.4117101602861292E-3</v>
      </c>
      <c r="D26772" s="2">
        <v>0</v>
      </c>
      <c r="E26772" s="2">
        <v>0</v>
      </c>
      <c r="F26772" s="2">
        <v>7.6002393776181901E-3</v>
      </c>
    </row>
    <row r="26773" spans="1:6" x14ac:dyDescent="0.25">
      <c r="A26773" s="1" t="str">
        <f t="shared" si="976"/>
        <v>37800</v>
      </c>
      <c r="B26773" s="1" t="str">
        <f>"50252"</f>
        <v>50252</v>
      </c>
      <c r="C26773" s="2">
        <v>9.7363889256855199E-3</v>
      </c>
      <c r="D26773" s="2">
        <v>2.5996533795493901E-3</v>
      </c>
      <c r="E26773" s="2">
        <v>2.18340611353711E-3</v>
      </c>
      <c r="F26773" s="2">
        <v>9.0365050867743796E-3</v>
      </c>
    </row>
    <row r="26774" spans="1:6" x14ac:dyDescent="0.25">
      <c r="A26774" s="1" t="str">
        <f t="shared" si="976"/>
        <v>37800</v>
      </c>
      <c r="B26774" s="1" t="str">
        <f>"50150"</f>
        <v>50150</v>
      </c>
      <c r="C26774" s="2">
        <v>6.6233938269969506E-5</v>
      </c>
      <c r="D26774" s="2">
        <v>0</v>
      </c>
      <c r="E26774" s="2">
        <v>0</v>
      </c>
      <c r="F26774" s="2">
        <v>5.9844404548174702E-5</v>
      </c>
    </row>
    <row r="26775" spans="1:6" x14ac:dyDescent="0.25">
      <c r="A26775" s="1" t="str">
        <f t="shared" si="976"/>
        <v>37800</v>
      </c>
      <c r="B26775" s="1" t="str">
        <f>"50138"</f>
        <v>50138</v>
      </c>
      <c r="C26775" s="2">
        <v>0.35739833090475498</v>
      </c>
      <c r="D26775" s="2">
        <v>0.37954939341421101</v>
      </c>
      <c r="E26775" s="2">
        <v>0.41484716157205198</v>
      </c>
      <c r="F26775" s="2">
        <v>0.36050269299820398</v>
      </c>
    </row>
    <row r="26776" spans="1:6" x14ac:dyDescent="0.25">
      <c r="A26776" s="1" t="str">
        <f t="shared" si="976"/>
        <v>37800</v>
      </c>
      <c r="B26776" s="1" t="str">
        <f>"50214"</f>
        <v>50214</v>
      </c>
      <c r="C26776" s="2">
        <v>2.31156444562193E-2</v>
      </c>
      <c r="D26776" s="2">
        <v>6.0658578856152504E-3</v>
      </c>
      <c r="E26776" s="2">
        <v>0</v>
      </c>
      <c r="F26776" s="2">
        <v>2.1304608019150201E-2</v>
      </c>
    </row>
    <row r="26777" spans="1:6" x14ac:dyDescent="0.25">
      <c r="A26777" s="1" t="str">
        <f t="shared" si="976"/>
        <v>37800</v>
      </c>
      <c r="B26777" s="1" t="str">
        <f>"50225"</f>
        <v>50225</v>
      </c>
      <c r="C26777" s="2">
        <v>8.2196317393032098E-2</v>
      </c>
      <c r="D26777" s="2">
        <v>1.55979202772963E-2</v>
      </c>
      <c r="E26777" s="2">
        <v>5.0218340611353697E-2</v>
      </c>
      <c r="F26777" s="2">
        <v>7.6720526630759997E-2</v>
      </c>
    </row>
    <row r="26778" spans="1:6" x14ac:dyDescent="0.25">
      <c r="A26778" s="1" t="str">
        <f t="shared" si="976"/>
        <v>37800</v>
      </c>
      <c r="B26778" s="1" t="str">
        <f>"50228"</f>
        <v>50228</v>
      </c>
      <c r="C26778" s="2">
        <v>1.58961451847926E-3</v>
      </c>
      <c r="D26778" s="2">
        <v>0</v>
      </c>
      <c r="E26778" s="2">
        <v>0</v>
      </c>
      <c r="F26778" s="2">
        <v>1.4362657091561901E-3</v>
      </c>
    </row>
    <row r="26779" spans="1:6" x14ac:dyDescent="0.25">
      <c r="A26779" s="1" t="str">
        <f t="shared" si="976"/>
        <v>37800</v>
      </c>
      <c r="B26779" s="1" t="str">
        <f>"50143"</f>
        <v>50143</v>
      </c>
      <c r="C26779" s="2">
        <v>6.6233938269969506E-5</v>
      </c>
      <c r="D26779" s="2">
        <v>0</v>
      </c>
      <c r="E26779" s="2">
        <v>0</v>
      </c>
      <c r="F26779" s="2">
        <v>5.9844404548174702E-5</v>
      </c>
    </row>
    <row r="26780" spans="1:6" x14ac:dyDescent="0.25">
      <c r="A26780" s="1" t="str">
        <f t="shared" si="976"/>
        <v>37800</v>
      </c>
      <c r="B26780" s="1" t="str">
        <f>"50116"</f>
        <v>50116</v>
      </c>
      <c r="C26780" s="2">
        <v>9.9350907404954208E-3</v>
      </c>
      <c r="D26780" s="2">
        <v>1.73310225303292E-3</v>
      </c>
      <c r="E26780" s="2">
        <v>2.18340611353711E-3</v>
      </c>
      <c r="F26780" s="2">
        <v>9.15619389587073E-3</v>
      </c>
    </row>
    <row r="26781" spans="1:6" x14ac:dyDescent="0.25">
      <c r="A26781" s="1" t="str">
        <f t="shared" si="976"/>
        <v>37800</v>
      </c>
      <c r="B26781" s="1" t="str">
        <f>"50049"</f>
        <v>50049</v>
      </c>
      <c r="C26781" s="2">
        <v>1.3246787653993901E-4</v>
      </c>
      <c r="D26781" s="2">
        <v>0</v>
      </c>
      <c r="E26781" s="2">
        <v>0</v>
      </c>
      <c r="F26781" s="2">
        <v>1.19688809096349E-4</v>
      </c>
    </row>
    <row r="26782" spans="1:6" x14ac:dyDescent="0.25">
      <c r="A26782" s="1" t="str">
        <f t="shared" si="976"/>
        <v>37800</v>
      </c>
      <c r="B26782" s="1" t="str">
        <f>"50219"</f>
        <v>50219</v>
      </c>
      <c r="C26782" s="2">
        <v>0.38534905285468202</v>
      </c>
      <c r="D26782" s="2">
        <v>0.5684575389948</v>
      </c>
      <c r="E26782" s="2">
        <v>0.48253275109170302</v>
      </c>
      <c r="F26782" s="2">
        <v>0.40065828845002899</v>
      </c>
    </row>
    <row r="26783" spans="1:6" x14ac:dyDescent="0.25">
      <c r="A26783" s="1" t="str">
        <f t="shared" si="976"/>
        <v>37800</v>
      </c>
      <c r="B26783" s="1" t="str">
        <f>"50163"</f>
        <v>50163</v>
      </c>
      <c r="C26783" s="2">
        <v>2.31156444562193E-2</v>
      </c>
      <c r="D26783" s="2">
        <v>0</v>
      </c>
      <c r="E26783" s="2">
        <v>8.7336244541484694E-3</v>
      </c>
      <c r="F26783" s="2">
        <v>2.11250748055056E-2</v>
      </c>
    </row>
    <row r="26784" spans="1:6" x14ac:dyDescent="0.25">
      <c r="A26784" s="1" t="str">
        <f t="shared" si="976"/>
        <v>37800</v>
      </c>
      <c r="B26784" s="1" t="str">
        <f>"50139"</f>
        <v>50139</v>
      </c>
      <c r="C26784" s="2">
        <v>6.4909259504570098E-3</v>
      </c>
      <c r="D26784" s="2">
        <v>8.6655112651646399E-4</v>
      </c>
      <c r="E26784" s="2">
        <v>0</v>
      </c>
      <c r="F26784" s="2">
        <v>5.9245960502692903E-3</v>
      </c>
    </row>
    <row r="26785" spans="1:6" x14ac:dyDescent="0.25">
      <c r="A26785" s="1" t="str">
        <f t="shared" si="976"/>
        <v>37800</v>
      </c>
      <c r="B26785" s="1" t="str">
        <f>"50119"</f>
        <v>50119</v>
      </c>
      <c r="C26785" s="2">
        <v>1.47701682342032E-2</v>
      </c>
      <c r="D26785" s="2">
        <v>6.0658578856152504E-3</v>
      </c>
      <c r="E26785" s="2">
        <v>2.18340611353711E-3</v>
      </c>
      <c r="F26785" s="2">
        <v>1.3824057450628299E-2</v>
      </c>
    </row>
    <row r="26786" spans="1:6" x14ac:dyDescent="0.25">
      <c r="A26786" s="1" t="str">
        <f t="shared" si="976"/>
        <v>37800</v>
      </c>
      <c r="B26786" s="1" t="str">
        <f>"50062"</f>
        <v>50062</v>
      </c>
      <c r="C26786" s="2">
        <v>2.69572128758775E-2</v>
      </c>
      <c r="D26786" s="2">
        <v>2.5996533795493901E-3</v>
      </c>
      <c r="E26786" s="2">
        <v>2.40174672489082E-2</v>
      </c>
      <c r="F26786" s="2">
        <v>2.5194494314781501E-2</v>
      </c>
    </row>
    <row r="26787" spans="1:6" x14ac:dyDescent="0.25">
      <c r="A26787" s="1" t="str">
        <f t="shared" si="976"/>
        <v>37800</v>
      </c>
      <c r="B26787" s="1" t="str">
        <f>"50237"</f>
        <v>50237</v>
      </c>
      <c r="C26787" s="2">
        <v>4.7026096171678298E-3</v>
      </c>
      <c r="D26787" s="2">
        <v>0</v>
      </c>
      <c r="E26787" s="2">
        <v>0</v>
      </c>
      <c r="F26787" s="2">
        <v>4.2489527229204E-3</v>
      </c>
    </row>
    <row r="26788" spans="1:6" x14ac:dyDescent="0.25">
      <c r="A26788" s="1" t="str">
        <f t="shared" ref="A26788:A26827" si="977">"37860"</f>
        <v>37860</v>
      </c>
      <c r="B26788" s="1" t="str">
        <f>"32560"</f>
        <v>32560</v>
      </c>
      <c r="C26788" s="2">
        <v>3.5023192615845902E-3</v>
      </c>
      <c r="D26788" s="2">
        <v>5.4318034584143098E-3</v>
      </c>
      <c r="E26788" s="2">
        <v>3.5267148651031498E-4</v>
      </c>
      <c r="F26788" s="2">
        <v>3.5763196548567601E-3</v>
      </c>
    </row>
    <row r="26789" spans="1:6" x14ac:dyDescent="0.25">
      <c r="A26789" s="1" t="str">
        <f t="shared" si="977"/>
        <v>37860</v>
      </c>
      <c r="B26789" s="1" t="str">
        <f>"32534"</f>
        <v>32534</v>
      </c>
      <c r="C26789" s="2">
        <v>3.1048431179621701E-2</v>
      </c>
      <c r="D26789" s="2">
        <v>4.2756764837793303E-2</v>
      </c>
      <c r="E26789" s="2">
        <v>4.9021336624933798E-2</v>
      </c>
      <c r="F26789" s="2">
        <v>3.2243643872359402E-2</v>
      </c>
    </row>
    <row r="26790" spans="1:6" x14ac:dyDescent="0.25">
      <c r="A26790" s="1" t="str">
        <f t="shared" si="977"/>
        <v>37860</v>
      </c>
      <c r="B26790" s="1" t="str">
        <f>"32569"</f>
        <v>32569</v>
      </c>
      <c r="C26790" s="2">
        <v>3.9044807821455902E-5</v>
      </c>
      <c r="D26790" s="2">
        <v>0</v>
      </c>
      <c r="E26790" s="2">
        <v>0</v>
      </c>
      <c r="F26790" s="2">
        <v>3.5479361655325001E-5</v>
      </c>
    </row>
    <row r="26791" spans="1:6" x14ac:dyDescent="0.25">
      <c r="A26791" s="1" t="str">
        <f t="shared" si="977"/>
        <v>37860</v>
      </c>
      <c r="B26791" s="1" t="str">
        <f>"32516"</f>
        <v>32516</v>
      </c>
      <c r="C26791" s="2">
        <v>3.8849583782348601E-3</v>
      </c>
      <c r="D26791" s="2">
        <v>9.6177804355409308E-3</v>
      </c>
      <c r="E26791" s="2">
        <v>3.5267148651031498E-4</v>
      </c>
      <c r="F26791" s="2">
        <v>4.2220440369836803E-3</v>
      </c>
    </row>
    <row r="26792" spans="1:6" x14ac:dyDescent="0.25">
      <c r="A26792" s="1" t="str">
        <f t="shared" si="977"/>
        <v>37860</v>
      </c>
      <c r="B26792" s="1" t="str">
        <f>"32507"</f>
        <v>32507</v>
      </c>
      <c r="C26792" s="2">
        <v>8.4442205875462598E-2</v>
      </c>
      <c r="D26792" s="2">
        <v>5.8553844620521198E-2</v>
      </c>
      <c r="E26792" s="2">
        <v>9.0460236289895898E-2</v>
      </c>
      <c r="F26792" s="2">
        <v>8.2720131699390395E-2</v>
      </c>
    </row>
    <row r="26793" spans="1:6" x14ac:dyDescent="0.25">
      <c r="A26793" s="1" t="str">
        <f t="shared" si="977"/>
        <v>37860</v>
      </c>
      <c r="B26793" s="1" t="str">
        <f>"32502"</f>
        <v>32502</v>
      </c>
      <c r="C26793" s="2">
        <v>1.09130237860969E-2</v>
      </c>
      <c r="D26793" s="2">
        <v>7.8736233617381704E-2</v>
      </c>
      <c r="E26793" s="2">
        <v>4.7786986422147702E-2</v>
      </c>
      <c r="F26793" s="2">
        <v>1.6483711425063999E-2</v>
      </c>
    </row>
    <row r="26794" spans="1:6" x14ac:dyDescent="0.25">
      <c r="A26794" s="1" t="str">
        <f t="shared" si="977"/>
        <v>37860</v>
      </c>
      <c r="B26794" s="1" t="str">
        <f>"32508"</f>
        <v>32508</v>
      </c>
      <c r="C26794" s="2">
        <v>2.35049743085164E-3</v>
      </c>
      <c r="D26794" s="2">
        <v>6.12946628793541E-3</v>
      </c>
      <c r="E26794" s="2">
        <v>1.55175454064538E-2</v>
      </c>
      <c r="F26794" s="2">
        <v>2.88447210257793E-3</v>
      </c>
    </row>
    <row r="26795" spans="1:6" x14ac:dyDescent="0.25">
      <c r="A26795" s="1" t="str">
        <f t="shared" si="977"/>
        <v>37860</v>
      </c>
      <c r="B26795" s="1" t="str">
        <f>"32559"</f>
        <v>32559</v>
      </c>
      <c r="C26795" s="2">
        <v>0</v>
      </c>
      <c r="D26795" s="2">
        <v>4.9833059251507403E-5</v>
      </c>
      <c r="E26795" s="2">
        <v>0</v>
      </c>
      <c r="F26795" s="2">
        <v>3.5479361655325001E-6</v>
      </c>
    </row>
    <row r="26796" spans="1:6" x14ac:dyDescent="0.25">
      <c r="A26796" s="1" t="str">
        <f t="shared" si="977"/>
        <v>37860</v>
      </c>
      <c r="B26796" s="1" t="str">
        <f>"32512"</f>
        <v>32512</v>
      </c>
      <c r="C26796" s="2">
        <v>0</v>
      </c>
      <c r="D26796" s="2">
        <v>1.49499177754522E-4</v>
      </c>
      <c r="E26796" s="2">
        <v>1.76335743255157E-4</v>
      </c>
      <c r="F26796" s="2">
        <v>1.4191744662130001E-5</v>
      </c>
    </row>
    <row r="26797" spans="1:6" x14ac:dyDescent="0.25">
      <c r="A26797" s="1" t="str">
        <f t="shared" si="977"/>
        <v>37860</v>
      </c>
      <c r="B26797" s="1" t="str">
        <f>"32523"</f>
        <v>32523</v>
      </c>
      <c r="C26797" s="2">
        <v>2.4403004888409901E-3</v>
      </c>
      <c r="D26797" s="2">
        <v>1.0016444909552899E-2</v>
      </c>
      <c r="E26797" s="2">
        <v>3.5267148651031498E-4</v>
      </c>
      <c r="F26797" s="2">
        <v>2.93769114506091E-3</v>
      </c>
    </row>
    <row r="26798" spans="1:6" x14ac:dyDescent="0.25">
      <c r="A26798" s="1" t="str">
        <f t="shared" si="977"/>
        <v>37860</v>
      </c>
      <c r="B26798" s="1" t="str">
        <f>"32504"</f>
        <v>32504</v>
      </c>
      <c r="C26798" s="2">
        <v>4.3374877008855298E-2</v>
      </c>
      <c r="D26798" s="2">
        <v>8.1477051876214596E-2</v>
      </c>
      <c r="E26798" s="2">
        <v>8.4817492505730896E-2</v>
      </c>
      <c r="F26798" s="2">
        <v>4.6921455789167399E-2</v>
      </c>
    </row>
    <row r="26799" spans="1:6" x14ac:dyDescent="0.25">
      <c r="A26799" s="1" t="str">
        <f t="shared" si="977"/>
        <v>37860</v>
      </c>
      <c r="B26799" s="1" t="str">
        <f>"32561"</f>
        <v>32561</v>
      </c>
      <c r="C26799" s="2">
        <v>2.6612941011104299E-2</v>
      </c>
      <c r="D26799" s="2">
        <v>2.9102506602880301E-2</v>
      </c>
      <c r="E26799" s="2">
        <v>3.19167695291835E-2</v>
      </c>
      <c r="F26799" s="2">
        <v>2.6896904070901902E-2</v>
      </c>
    </row>
    <row r="26800" spans="1:6" x14ac:dyDescent="0.25">
      <c r="A26800" s="1" t="str">
        <f t="shared" si="977"/>
        <v>37860</v>
      </c>
      <c r="B26800" s="1" t="str">
        <f>"32570"</f>
        <v>32570</v>
      </c>
      <c r="C26800" s="2">
        <v>5.8133814365365598E-2</v>
      </c>
      <c r="D26800" s="2">
        <v>4.6843075696416998E-2</v>
      </c>
      <c r="E26800" s="2">
        <v>4.7786986422147702E-2</v>
      </c>
      <c r="F26800" s="2">
        <v>5.7121772265073402E-2</v>
      </c>
    </row>
    <row r="26801" spans="1:6" x14ac:dyDescent="0.25">
      <c r="A26801" s="1" t="str">
        <f t="shared" si="977"/>
        <v>37860</v>
      </c>
      <c r="B26801" s="1" t="str">
        <f>"32591"</f>
        <v>32591</v>
      </c>
      <c r="C26801" s="2">
        <v>5.2827624982429797E-3</v>
      </c>
      <c r="D26801" s="2">
        <v>2.80560123585986E-2</v>
      </c>
      <c r="E26801" s="2">
        <v>3.5267148651031498E-4</v>
      </c>
      <c r="F26801" s="2">
        <v>6.80494156549135E-3</v>
      </c>
    </row>
    <row r="26802" spans="1:6" x14ac:dyDescent="0.25">
      <c r="A26802" s="1" t="str">
        <f t="shared" si="977"/>
        <v>37860</v>
      </c>
      <c r="B26802" s="1" t="str">
        <f>"32514"</f>
        <v>32514</v>
      </c>
      <c r="C26802" s="2">
        <v>7.96865482828093E-2</v>
      </c>
      <c r="D26802" s="2">
        <v>5.2324712214082802E-2</v>
      </c>
      <c r="E26802" s="2">
        <v>9.9100687709398602E-2</v>
      </c>
      <c r="F26802" s="2">
        <v>7.81291023011913E-2</v>
      </c>
    </row>
    <row r="26803" spans="1:6" x14ac:dyDescent="0.25">
      <c r="A26803" s="1" t="str">
        <f t="shared" si="977"/>
        <v>37860</v>
      </c>
      <c r="B26803" s="1" t="str">
        <f>"32568"</f>
        <v>32568</v>
      </c>
      <c r="C26803" s="2">
        <v>6.4892470599259696E-3</v>
      </c>
      <c r="D26803" s="2">
        <v>2.9899835550904401E-3</v>
      </c>
      <c r="E26803" s="2">
        <v>1.0580144595309399E-3</v>
      </c>
      <c r="F26803" s="2">
        <v>6.1308336940401704E-3</v>
      </c>
    </row>
    <row r="26804" spans="1:6" x14ac:dyDescent="0.25">
      <c r="A26804" s="1" t="str">
        <f t="shared" si="977"/>
        <v>37860</v>
      </c>
      <c r="B26804" s="1" t="str">
        <f>"32571"</f>
        <v>32571</v>
      </c>
      <c r="C26804" s="2">
        <v>6.4498118040262994E-2</v>
      </c>
      <c r="D26804" s="2">
        <v>4.0912941645487602E-2</v>
      </c>
      <c r="E26804" s="2">
        <v>3.4209134191500602E-2</v>
      </c>
      <c r="F26804" s="2">
        <v>6.2209512726447001E-2</v>
      </c>
    </row>
    <row r="26805" spans="1:6" x14ac:dyDescent="0.25">
      <c r="A26805" s="1" t="str">
        <f t="shared" si="977"/>
        <v>37860</v>
      </c>
      <c r="B26805" s="1" t="str">
        <f>"32503"</f>
        <v>32503</v>
      </c>
      <c r="C26805" s="2">
        <v>6.4693342079370206E-2</v>
      </c>
      <c r="D26805" s="2">
        <v>7.9782727861663405E-2</v>
      </c>
      <c r="E26805" s="2">
        <v>0.103861752777287</v>
      </c>
      <c r="F26805" s="2">
        <v>6.6555734529224295E-2</v>
      </c>
    </row>
    <row r="26806" spans="1:6" x14ac:dyDescent="0.25">
      <c r="A26806" s="1" t="str">
        <f t="shared" si="977"/>
        <v>37860</v>
      </c>
      <c r="B26806" s="1" t="str">
        <f>"32513"</f>
        <v>32513</v>
      </c>
      <c r="C26806" s="2">
        <v>4.8220337659498E-3</v>
      </c>
      <c r="D26806" s="2">
        <v>1.2059600338864799E-2</v>
      </c>
      <c r="E26806" s="2">
        <v>3.5267148651031498E-4</v>
      </c>
      <c r="F26806" s="2">
        <v>5.2473975888225801E-3</v>
      </c>
    </row>
    <row r="26807" spans="1:6" x14ac:dyDescent="0.25">
      <c r="A26807" s="1" t="str">
        <f t="shared" si="977"/>
        <v>37860</v>
      </c>
      <c r="B26807" s="1" t="str">
        <f>"32563"</f>
        <v>32563</v>
      </c>
      <c r="C26807" s="2">
        <v>5.0379515532024501E-2</v>
      </c>
      <c r="D26807" s="2">
        <v>3.4883141476055202E-2</v>
      </c>
      <c r="E26807" s="2">
        <v>5.3077058719802499E-2</v>
      </c>
      <c r="F26807" s="2">
        <v>4.9330504445564E-2</v>
      </c>
    </row>
    <row r="26808" spans="1:6" x14ac:dyDescent="0.25">
      <c r="A26808" s="1" t="str">
        <f t="shared" si="977"/>
        <v>37860</v>
      </c>
      <c r="B26808" s="1" t="str">
        <f>"32524"</f>
        <v>32524</v>
      </c>
      <c r="C26808" s="2">
        <v>4.9040278623748599E-3</v>
      </c>
      <c r="D26808" s="2">
        <v>1.89365625155728E-2</v>
      </c>
      <c r="E26808" s="2">
        <v>3.5267148651031498E-4</v>
      </c>
      <c r="F26808" s="2">
        <v>5.8115194391422497E-3</v>
      </c>
    </row>
    <row r="26809" spans="1:6" x14ac:dyDescent="0.25">
      <c r="A26809" s="1" t="str">
        <f t="shared" si="977"/>
        <v>37860</v>
      </c>
      <c r="B26809" s="1" t="str">
        <f>"32520"</f>
        <v>32520</v>
      </c>
      <c r="C26809" s="2">
        <v>0</v>
      </c>
      <c r="D26809" s="2">
        <v>4.9833059251507403E-5</v>
      </c>
      <c r="E26809" s="2">
        <v>0</v>
      </c>
      <c r="F26809" s="2">
        <v>3.5479361655325001E-6</v>
      </c>
    </row>
    <row r="26810" spans="1:6" x14ac:dyDescent="0.25">
      <c r="A26810" s="1" t="str">
        <f t="shared" si="977"/>
        <v>37860</v>
      </c>
      <c r="B26810" s="1" t="str">
        <f>"32526"</f>
        <v>32526</v>
      </c>
      <c r="C26810" s="2">
        <v>7.5684455481110094E-2</v>
      </c>
      <c r="D26810" s="2">
        <v>2.7408182588329E-2</v>
      </c>
      <c r="E26810" s="2">
        <v>5.5545759125374697E-2</v>
      </c>
      <c r="F26810" s="2">
        <v>7.1842159415867704E-2</v>
      </c>
    </row>
    <row r="26811" spans="1:6" x14ac:dyDescent="0.25">
      <c r="A26811" s="1" t="str">
        <f t="shared" si="977"/>
        <v>37860</v>
      </c>
      <c r="B26811" s="1" t="str">
        <f>"32566"</f>
        <v>32566</v>
      </c>
      <c r="C26811" s="2">
        <v>8.1943338174889496E-2</v>
      </c>
      <c r="D26811" s="2">
        <v>4.9035730303483301E-2</v>
      </c>
      <c r="E26811" s="2">
        <v>3.5443484394286698E-2</v>
      </c>
      <c r="F26811" s="2">
        <v>7.8664840662186805E-2</v>
      </c>
    </row>
    <row r="26812" spans="1:6" x14ac:dyDescent="0.25">
      <c r="A26812" s="1" t="str">
        <f t="shared" si="977"/>
        <v>37860</v>
      </c>
      <c r="B26812" s="1" t="str">
        <f>"32533"</f>
        <v>32533</v>
      </c>
      <c r="C26812" s="2">
        <v>5.5994158896749899E-2</v>
      </c>
      <c r="D26812" s="2">
        <v>2.6660686699556398E-2</v>
      </c>
      <c r="E26812" s="2">
        <v>1.4988538176688399E-2</v>
      </c>
      <c r="F26812" s="2">
        <v>5.3080672972531801E-2</v>
      </c>
    </row>
    <row r="26813" spans="1:6" x14ac:dyDescent="0.25">
      <c r="A26813" s="1" t="str">
        <f t="shared" si="977"/>
        <v>37860</v>
      </c>
      <c r="B26813" s="1" t="str">
        <f>"32565"</f>
        <v>32565</v>
      </c>
      <c r="C26813" s="2">
        <v>1.1549454153586601E-2</v>
      </c>
      <c r="D26813" s="2">
        <v>8.3719539542532508E-3</v>
      </c>
      <c r="E26813" s="2">
        <v>1.2343502027860999E-3</v>
      </c>
      <c r="F26813" s="2">
        <v>1.1115684006613301E-2</v>
      </c>
    </row>
    <row r="26814" spans="1:6" x14ac:dyDescent="0.25">
      <c r="A26814" s="1" t="str">
        <f t="shared" si="977"/>
        <v>37860</v>
      </c>
      <c r="B26814" s="1" t="str">
        <f>"32572"</f>
        <v>32572</v>
      </c>
      <c r="C26814" s="2">
        <v>5.9699511159006001E-3</v>
      </c>
      <c r="D26814" s="2">
        <v>1.3953256590422E-2</v>
      </c>
      <c r="E26814" s="2">
        <v>3.5267148651031498E-4</v>
      </c>
      <c r="F26814" s="2">
        <v>6.4253123957793701E-3</v>
      </c>
    </row>
    <row r="26815" spans="1:6" x14ac:dyDescent="0.25">
      <c r="A26815" s="1" t="str">
        <f t="shared" si="977"/>
        <v>37860</v>
      </c>
      <c r="B26815" s="1" t="str">
        <f>"32522"</f>
        <v>32522</v>
      </c>
      <c r="C26815" s="2">
        <v>1.9639538334192299E-3</v>
      </c>
      <c r="D26815" s="2">
        <v>6.2291324064384299E-3</v>
      </c>
      <c r="E26815" s="2">
        <v>3.5267148651031498E-4</v>
      </c>
      <c r="F26815" s="2">
        <v>2.2351997842854801E-3</v>
      </c>
    </row>
    <row r="26816" spans="1:6" x14ac:dyDescent="0.25">
      <c r="A26816" s="1" t="str">
        <f t="shared" si="977"/>
        <v>37860</v>
      </c>
      <c r="B26816" s="1" t="str">
        <f>"32509"</f>
        <v>32509</v>
      </c>
      <c r="C26816" s="2">
        <v>0</v>
      </c>
      <c r="D26816" s="2">
        <v>9.4682812577864101E-4</v>
      </c>
      <c r="E26816" s="2">
        <v>7.0534297302063105E-4</v>
      </c>
      <c r="F26816" s="2">
        <v>8.1602531807247703E-5</v>
      </c>
    </row>
    <row r="26817" spans="1:6" x14ac:dyDescent="0.25">
      <c r="A26817" s="1" t="str">
        <f t="shared" si="977"/>
        <v>37860</v>
      </c>
      <c r="B26817" s="1" t="str">
        <f>"32531"</f>
        <v>32531</v>
      </c>
      <c r="C26817" s="2">
        <v>1.9912851988942499E-4</v>
      </c>
      <c r="D26817" s="2">
        <v>0</v>
      </c>
      <c r="E26817" s="2">
        <v>0</v>
      </c>
      <c r="F26817" s="2">
        <v>1.80944744442157E-4</v>
      </c>
    </row>
    <row r="26818" spans="1:6" x14ac:dyDescent="0.25">
      <c r="A26818" s="1" t="str">
        <f t="shared" si="977"/>
        <v>37860</v>
      </c>
      <c r="B26818" s="1" t="str">
        <f>"32505"</f>
        <v>32505</v>
      </c>
      <c r="C26818" s="2">
        <v>5.5135173124677798E-2</v>
      </c>
      <c r="D26818" s="2">
        <v>9.1642995963522197E-2</v>
      </c>
      <c r="E26818" s="2">
        <v>6.1012167166284603E-2</v>
      </c>
      <c r="F26818" s="2">
        <v>5.78526471151731E-2</v>
      </c>
    </row>
    <row r="26819" spans="1:6" x14ac:dyDescent="0.25">
      <c r="A26819" s="1" t="str">
        <f t="shared" si="977"/>
        <v>37860</v>
      </c>
      <c r="B26819" s="1" t="str">
        <f>"32564"</f>
        <v>32564</v>
      </c>
      <c r="C26819" s="2">
        <v>7.8870511799340899E-4</v>
      </c>
      <c r="D26819" s="2">
        <v>2.98998355509044E-4</v>
      </c>
      <c r="E26819" s="2">
        <v>1.0580144595309399E-3</v>
      </c>
      <c r="F26819" s="2">
        <v>7.59258339423957E-4</v>
      </c>
    </row>
    <row r="26820" spans="1:6" x14ac:dyDescent="0.25">
      <c r="A26820" s="1" t="str">
        <f t="shared" si="977"/>
        <v>37860</v>
      </c>
      <c r="B26820" s="1" t="str">
        <f>"32577"</f>
        <v>32577</v>
      </c>
      <c r="C26820" s="2">
        <v>9.4761748582673395E-3</v>
      </c>
      <c r="D26820" s="2">
        <v>2.9401504958389301E-3</v>
      </c>
      <c r="E26820" s="2">
        <v>2.6450361488273601E-3</v>
      </c>
      <c r="F26820" s="2">
        <v>8.8733883499968001E-3</v>
      </c>
    </row>
    <row r="26821" spans="1:6" x14ac:dyDescent="0.25">
      <c r="A26821" s="1" t="str">
        <f t="shared" si="977"/>
        <v>37860</v>
      </c>
      <c r="B26821" s="1" t="str">
        <f>"32501"</f>
        <v>32501</v>
      </c>
      <c r="C26821" s="2">
        <v>2.3723625232316602E-2</v>
      </c>
      <c r="D26821" s="2">
        <v>5.4367867643394602E-2</v>
      </c>
      <c r="E26821" s="2">
        <v>5.2371715746781802E-2</v>
      </c>
      <c r="F26821" s="2">
        <v>2.64817955395346E-2</v>
      </c>
    </row>
    <row r="26822" spans="1:6" x14ac:dyDescent="0.25">
      <c r="A26822" s="1" t="str">
        <f t="shared" si="977"/>
        <v>37860</v>
      </c>
      <c r="B26822" s="1" t="str">
        <f>"32583"</f>
        <v>32583</v>
      </c>
      <c r="C26822" s="2">
        <v>4.6959190366865002E-2</v>
      </c>
      <c r="D26822" s="2">
        <v>2.0581053470872499E-2</v>
      </c>
      <c r="E26822" s="2">
        <v>9.1694586492682001E-3</v>
      </c>
      <c r="F26822" s="2">
        <v>4.4320818579832097E-2</v>
      </c>
    </row>
    <row r="26823" spans="1:6" x14ac:dyDescent="0.25">
      <c r="A26823" s="1" t="str">
        <f t="shared" si="977"/>
        <v>37860</v>
      </c>
      <c r="B26823" s="1" t="str">
        <f>"32562"</f>
        <v>32562</v>
      </c>
      <c r="C26823" s="2">
        <v>3.24462352996298E-3</v>
      </c>
      <c r="D26823" s="2">
        <v>1.48502516569492E-2</v>
      </c>
      <c r="E26823" s="2">
        <v>3.5267148651031498E-4</v>
      </c>
      <c r="F26823" s="2">
        <v>4.0127158032172601E-3</v>
      </c>
    </row>
    <row r="26824" spans="1:6" x14ac:dyDescent="0.25">
      <c r="A26824" s="1" t="str">
        <f t="shared" si="977"/>
        <v>37860</v>
      </c>
      <c r="B26824" s="1" t="str">
        <f>"32530"</f>
        <v>32530</v>
      </c>
      <c r="C26824" s="2">
        <v>2.9322650673913298E-3</v>
      </c>
      <c r="D26824" s="2">
        <v>2.64115214032989E-3</v>
      </c>
      <c r="E26824" s="2">
        <v>3.5267148651031498E-4</v>
      </c>
      <c r="F26824" s="2">
        <v>2.8596365494191998E-3</v>
      </c>
    </row>
    <row r="26825" spans="1:6" x14ac:dyDescent="0.25">
      <c r="A26825" s="1" t="str">
        <f t="shared" si="977"/>
        <v>37860</v>
      </c>
      <c r="B26825" s="1" t="str">
        <f>"32511"</f>
        <v>32511</v>
      </c>
      <c r="C26825" s="2">
        <v>0</v>
      </c>
      <c r="D26825" s="2">
        <v>9.96661185030149E-4</v>
      </c>
      <c r="E26825" s="2">
        <v>5.2900722976547299E-4</v>
      </c>
      <c r="F26825" s="2">
        <v>8.1602531807247703E-5</v>
      </c>
    </row>
    <row r="26826" spans="1:6" x14ac:dyDescent="0.25">
      <c r="A26826" s="1" t="str">
        <f t="shared" si="977"/>
        <v>37860</v>
      </c>
      <c r="B26826" s="1" t="str">
        <f>"32535"</f>
        <v>32535</v>
      </c>
      <c r="C26826" s="2">
        <v>9.6401630511174594E-3</v>
      </c>
      <c r="D26826" s="2">
        <v>7.4251258284746104E-3</v>
      </c>
      <c r="E26826" s="2">
        <v>4.9374008111444101E-3</v>
      </c>
      <c r="F26826" s="2">
        <v>9.3878390939990206E-3</v>
      </c>
    </row>
    <row r="26827" spans="1:6" x14ac:dyDescent="0.25">
      <c r="A26827" s="1" t="str">
        <f t="shared" si="977"/>
        <v>37860</v>
      </c>
      <c r="B26827" s="1" t="str">
        <f>"32506"</f>
        <v>32506</v>
      </c>
      <c r="C26827" s="2">
        <v>6.7297630761061294E-2</v>
      </c>
      <c r="D26827" s="2">
        <v>3.2790152987491897E-2</v>
      </c>
      <c r="E26827" s="2">
        <v>9.8042673249867707E-2</v>
      </c>
      <c r="F26827" s="2">
        <v>6.5459422254074806E-2</v>
      </c>
    </row>
    <row r="26828" spans="1:6" x14ac:dyDescent="0.25">
      <c r="A26828" s="1" t="str">
        <f t="shared" ref="A26828:A26859" si="978">"37900"</f>
        <v>37900</v>
      </c>
      <c r="B26828" s="1" t="str">
        <f>"61774"</f>
        <v>61774</v>
      </c>
      <c r="C26828" s="2">
        <v>4.9336911904010103E-6</v>
      </c>
      <c r="D26828" s="2">
        <v>0</v>
      </c>
      <c r="E26828" s="2">
        <v>0</v>
      </c>
      <c r="F26828" s="2">
        <v>4.3522350903306296E-6</v>
      </c>
    </row>
    <row r="26829" spans="1:6" x14ac:dyDescent="0.25">
      <c r="A26829" s="1" t="str">
        <f t="shared" si="978"/>
        <v>37900</v>
      </c>
      <c r="B26829" s="1" t="str">
        <f>"61637"</f>
        <v>61637</v>
      </c>
      <c r="C26829" s="2">
        <v>0</v>
      </c>
      <c r="D26829" s="2">
        <v>5.8166589111214501E-5</v>
      </c>
      <c r="E26829" s="2">
        <v>0</v>
      </c>
      <c r="F26829" s="2">
        <v>4.3522350903306296E-6</v>
      </c>
    </row>
    <row r="26830" spans="1:6" x14ac:dyDescent="0.25">
      <c r="A26830" s="1" t="str">
        <f t="shared" si="978"/>
        <v>37900</v>
      </c>
      <c r="B26830" s="1" t="str">
        <f>"61634"</f>
        <v>61634</v>
      </c>
      <c r="C26830" s="2">
        <v>0</v>
      </c>
      <c r="D26830" s="2">
        <v>5.8166589111214501E-5</v>
      </c>
      <c r="E26830" s="2">
        <v>0</v>
      </c>
      <c r="F26830" s="2">
        <v>4.3522350903306296E-6</v>
      </c>
    </row>
    <row r="26831" spans="1:6" x14ac:dyDescent="0.25">
      <c r="A26831" s="1" t="str">
        <f t="shared" si="978"/>
        <v>37900</v>
      </c>
      <c r="B26831" s="1" t="str">
        <f>"61336"</f>
        <v>61336</v>
      </c>
      <c r="C26831" s="2">
        <v>1.87480265235238E-4</v>
      </c>
      <c r="D26831" s="2">
        <v>1.16333178222429E-4</v>
      </c>
      <c r="E26831" s="2">
        <v>2.02285829877617E-4</v>
      </c>
      <c r="F26831" s="2">
        <v>1.8279387379388601E-4</v>
      </c>
    </row>
    <row r="26832" spans="1:6" x14ac:dyDescent="0.25">
      <c r="A26832" s="1" t="str">
        <f t="shared" si="978"/>
        <v>37900</v>
      </c>
      <c r="B26832" s="1" t="str">
        <f>"61474"</f>
        <v>61474</v>
      </c>
      <c r="C26832" s="2">
        <v>2.9602147142405999E-5</v>
      </c>
      <c r="D26832" s="2">
        <v>0</v>
      </c>
      <c r="E26832" s="2">
        <v>0</v>
      </c>
      <c r="F26832" s="2">
        <v>2.61134105419838E-5</v>
      </c>
    </row>
    <row r="26833" spans="1:6" x14ac:dyDescent="0.25">
      <c r="A26833" s="1" t="str">
        <f t="shared" si="978"/>
        <v>37900</v>
      </c>
      <c r="B26833" s="1" t="str">
        <f>"61541"</f>
        <v>61541</v>
      </c>
      <c r="C26833" s="2">
        <v>3.1082254499526299E-4</v>
      </c>
      <c r="D26833" s="2">
        <v>5.8166589111214501E-5</v>
      </c>
      <c r="E26833" s="2">
        <v>0</v>
      </c>
      <c r="F26833" s="2">
        <v>2.7854304578116002E-4</v>
      </c>
    </row>
    <row r="26834" spans="1:6" x14ac:dyDescent="0.25">
      <c r="A26834" s="1" t="str">
        <f t="shared" si="978"/>
        <v>37900</v>
      </c>
      <c r="B26834" s="1" t="str">
        <f>"61725"</f>
        <v>61725</v>
      </c>
      <c r="C26834" s="2">
        <v>1.10021313545942E-3</v>
      </c>
      <c r="D26834" s="2">
        <v>2.9083294555607201E-4</v>
      </c>
      <c r="E26834" s="2">
        <v>0</v>
      </c>
      <c r="F26834" s="2">
        <v>9.9230960059538509E-4</v>
      </c>
    </row>
    <row r="26835" spans="1:6" x14ac:dyDescent="0.25">
      <c r="A26835" s="1" t="str">
        <f t="shared" si="978"/>
        <v>37900</v>
      </c>
      <c r="B26835" s="1" t="str">
        <f>"61742"</f>
        <v>61742</v>
      </c>
      <c r="C26835" s="2">
        <v>3.0440874644774201E-3</v>
      </c>
      <c r="D26835" s="2">
        <v>3.8971614704513698E-3</v>
      </c>
      <c r="E26835" s="2">
        <v>4.0457165975523401E-4</v>
      </c>
      <c r="F26835" s="2">
        <v>2.9943377421474699E-3</v>
      </c>
    </row>
    <row r="26836" spans="1:6" x14ac:dyDescent="0.25">
      <c r="A26836" s="1" t="str">
        <f t="shared" si="978"/>
        <v>37900</v>
      </c>
      <c r="B26836" s="1" t="str">
        <f>"61484"</f>
        <v>61484</v>
      </c>
      <c r="C26836" s="2">
        <v>1.74159299021155E-3</v>
      </c>
      <c r="D26836" s="2">
        <v>1.16333178222429E-4</v>
      </c>
      <c r="E26836" s="2">
        <v>6.0685748963285101E-4</v>
      </c>
      <c r="F26836" s="2">
        <v>1.57115686760936E-3</v>
      </c>
    </row>
    <row r="26837" spans="1:6" x14ac:dyDescent="0.25">
      <c r="A26837" s="1" t="str">
        <f t="shared" si="978"/>
        <v>37900</v>
      </c>
      <c r="B26837" s="1" t="str">
        <f>"61501"</f>
        <v>61501</v>
      </c>
      <c r="C26837" s="2">
        <v>5.2346463530154701E-3</v>
      </c>
      <c r="D26837" s="2">
        <v>2.15216379711493E-3</v>
      </c>
      <c r="E26837" s="2">
        <v>1.29462931121674E-2</v>
      </c>
      <c r="F26837" s="2">
        <v>5.33584022074536E-3</v>
      </c>
    </row>
    <row r="26838" spans="1:6" x14ac:dyDescent="0.25">
      <c r="A26838" s="1" t="str">
        <f t="shared" si="978"/>
        <v>37900</v>
      </c>
      <c r="B26838" s="1" t="str">
        <f>"61520"</f>
        <v>61520</v>
      </c>
      <c r="C26838" s="2">
        <v>3.8093029681086202E-2</v>
      </c>
      <c r="D26838" s="2">
        <v>3.7168450442066001E-2</v>
      </c>
      <c r="E26838" s="2">
        <v>3.0848589056336601E-2</v>
      </c>
      <c r="F26838" s="2">
        <v>3.7712117057714899E-2</v>
      </c>
    </row>
    <row r="26839" spans="1:6" x14ac:dyDescent="0.25">
      <c r="A26839" s="1" t="str">
        <f t="shared" si="978"/>
        <v>37900</v>
      </c>
      <c r="B26839" s="1" t="str">
        <f>"61528"</f>
        <v>61528</v>
      </c>
      <c r="C26839" s="2">
        <v>6.3891300915692997E-3</v>
      </c>
      <c r="D26839" s="2">
        <v>3.3736621684504402E-3</v>
      </c>
      <c r="E26839" s="2">
        <v>1.41600080914331E-3</v>
      </c>
      <c r="F26839" s="2">
        <v>5.9495053684819801E-3</v>
      </c>
    </row>
    <row r="26840" spans="1:6" x14ac:dyDescent="0.25">
      <c r="A26840" s="1" t="str">
        <f t="shared" si="978"/>
        <v>37900</v>
      </c>
      <c r="B26840" s="1" t="str">
        <f>"61605"</f>
        <v>61605</v>
      </c>
      <c r="C26840" s="2">
        <v>3.78759472687085E-2</v>
      </c>
      <c r="D26840" s="2">
        <v>2.3906468124709101E-2</v>
      </c>
      <c r="E26840" s="2">
        <v>3.2365732780418703E-2</v>
      </c>
      <c r="F26840" s="2">
        <v>3.6593592639500003E-2</v>
      </c>
    </row>
    <row r="26841" spans="1:6" x14ac:dyDescent="0.25">
      <c r="A26841" s="1" t="str">
        <f t="shared" si="978"/>
        <v>37900</v>
      </c>
      <c r="B26841" s="1" t="str">
        <f>"61547"</f>
        <v>61547</v>
      </c>
      <c r="C26841" s="2">
        <v>7.3511998736974999E-3</v>
      </c>
      <c r="D26841" s="2">
        <v>1.5123313168915701E-3</v>
      </c>
      <c r="E26841" s="2">
        <v>3.0342874481642502E-4</v>
      </c>
      <c r="F26841" s="2">
        <v>6.6110451022122398E-3</v>
      </c>
    </row>
    <row r="26842" spans="1:6" x14ac:dyDescent="0.25">
      <c r="A26842" s="1" t="str">
        <f t="shared" si="978"/>
        <v>37900</v>
      </c>
      <c r="B26842" s="1" t="str">
        <f>"61610"</f>
        <v>61610</v>
      </c>
      <c r="C26842" s="2">
        <v>1.2575978844332101E-2</v>
      </c>
      <c r="D26842" s="2">
        <v>1.00046533271288E-2</v>
      </c>
      <c r="E26842" s="2">
        <v>1.33508647719227E-2</v>
      </c>
      <c r="F26842" s="2">
        <v>1.24169267127133E-2</v>
      </c>
    </row>
    <row r="26843" spans="1:6" x14ac:dyDescent="0.25">
      <c r="A26843" s="1" t="str">
        <f t="shared" si="978"/>
        <v>37900</v>
      </c>
      <c r="B26843" s="1" t="str">
        <f>"61441"</f>
        <v>61441</v>
      </c>
      <c r="C26843" s="2">
        <v>2.4224423744868902E-3</v>
      </c>
      <c r="D26843" s="2">
        <v>1.45416472778036E-3</v>
      </c>
      <c r="E26843" s="2">
        <v>9.1028623444927602E-4</v>
      </c>
      <c r="F26843" s="2">
        <v>2.28492342242358E-3</v>
      </c>
    </row>
    <row r="26844" spans="1:6" x14ac:dyDescent="0.25">
      <c r="A26844" s="1" t="str">
        <f t="shared" si="978"/>
        <v>37900</v>
      </c>
      <c r="B26844" s="1" t="str">
        <f>"61459"</f>
        <v>61459</v>
      </c>
      <c r="C26844" s="2">
        <v>7.4992106094095299E-4</v>
      </c>
      <c r="D26844" s="2">
        <v>1.7449976733364299E-4</v>
      </c>
      <c r="E26844" s="2">
        <v>0</v>
      </c>
      <c r="F26844" s="2">
        <v>6.7459643900124905E-4</v>
      </c>
    </row>
    <row r="26845" spans="1:6" x14ac:dyDescent="0.25">
      <c r="A26845" s="1" t="str">
        <f t="shared" si="978"/>
        <v>37900</v>
      </c>
      <c r="B26845" s="1" t="str">
        <f>"61734"</f>
        <v>61734</v>
      </c>
      <c r="C26845" s="2">
        <v>6.1079096937164496E-3</v>
      </c>
      <c r="D26845" s="2">
        <v>3.0246626337831501E-3</v>
      </c>
      <c r="E26845" s="2">
        <v>3.9445736826135298E-3</v>
      </c>
      <c r="F26845" s="2">
        <v>5.7841204350494099E-3</v>
      </c>
    </row>
    <row r="26846" spans="1:6" x14ac:dyDescent="0.25">
      <c r="A26846" s="1" t="str">
        <f t="shared" si="978"/>
        <v>37900</v>
      </c>
      <c r="B26846" s="1" t="str">
        <f>"61738"</f>
        <v>61738</v>
      </c>
      <c r="C26846" s="2">
        <v>9.2704057467634902E-3</v>
      </c>
      <c r="D26846" s="2">
        <v>1.00046533271288E-2</v>
      </c>
      <c r="E26846" s="2">
        <v>1.0013148578942E-2</v>
      </c>
      <c r="F26846" s="2">
        <v>9.3573054442108693E-3</v>
      </c>
    </row>
    <row r="26847" spans="1:6" x14ac:dyDescent="0.25">
      <c r="A26847" s="1" t="str">
        <f t="shared" si="978"/>
        <v>37900</v>
      </c>
      <c r="B26847" s="1" t="str">
        <f>"61377"</f>
        <v>61377</v>
      </c>
      <c r="C26847" s="2">
        <v>3.22170034733185E-3</v>
      </c>
      <c r="D26847" s="2">
        <v>1.9194974406700699E-3</v>
      </c>
      <c r="E26847" s="2">
        <v>3.2365732780418699E-3</v>
      </c>
      <c r="F26847" s="2">
        <v>3.1249047948573899E-3</v>
      </c>
    </row>
    <row r="26848" spans="1:6" x14ac:dyDescent="0.25">
      <c r="A26848" s="1" t="str">
        <f t="shared" si="978"/>
        <v>37900</v>
      </c>
      <c r="B26848" s="1" t="str">
        <f>"62644"</f>
        <v>62644</v>
      </c>
      <c r="C26848" s="2">
        <v>4.0949636880328302E-4</v>
      </c>
      <c r="D26848" s="2">
        <v>1.7449976733364299E-4</v>
      </c>
      <c r="E26848" s="2">
        <v>0</v>
      </c>
      <c r="F26848" s="2">
        <v>3.7429221776843401E-4</v>
      </c>
    </row>
    <row r="26849" spans="1:6" x14ac:dyDescent="0.25">
      <c r="A26849" s="1" t="str">
        <f t="shared" si="978"/>
        <v>37900</v>
      </c>
      <c r="B26849" s="1" t="str">
        <f>"61426"</f>
        <v>61426</v>
      </c>
      <c r="C26849" s="2">
        <v>0</v>
      </c>
      <c r="D26849" s="2">
        <v>5.8166589111214501E-5</v>
      </c>
      <c r="E26849" s="2">
        <v>0</v>
      </c>
      <c r="F26849" s="2">
        <v>4.3522350903306296E-6</v>
      </c>
    </row>
    <row r="26850" spans="1:6" x14ac:dyDescent="0.25">
      <c r="A26850" s="1" t="str">
        <f t="shared" si="978"/>
        <v>37900</v>
      </c>
      <c r="B26850" s="1" t="str">
        <f>"61656"</f>
        <v>61656</v>
      </c>
      <c r="C26850" s="2">
        <v>2.0721502999684199E-4</v>
      </c>
      <c r="D26850" s="2">
        <v>6.3983248022335903E-4</v>
      </c>
      <c r="E26850" s="2">
        <v>2.02285829877617E-4</v>
      </c>
      <c r="F26850" s="2">
        <v>2.3937292996818499E-4</v>
      </c>
    </row>
    <row r="26851" spans="1:6" x14ac:dyDescent="0.25">
      <c r="A26851" s="1" t="str">
        <f t="shared" si="978"/>
        <v>37900</v>
      </c>
      <c r="B26851" s="1" t="str">
        <f>"61655"</f>
        <v>61655</v>
      </c>
      <c r="C26851" s="2">
        <v>4.63766971897694E-4</v>
      </c>
      <c r="D26851" s="2">
        <v>2.442996742671E-3</v>
      </c>
      <c r="E26851" s="2">
        <v>2.02285829877617E-4</v>
      </c>
      <c r="F26851" s="2">
        <v>6.0060844246562803E-4</v>
      </c>
    </row>
    <row r="26852" spans="1:6" x14ac:dyDescent="0.25">
      <c r="A26852" s="1" t="str">
        <f t="shared" si="978"/>
        <v>37900</v>
      </c>
      <c r="B26852" s="1" t="str">
        <f>"62635"</f>
        <v>62635</v>
      </c>
      <c r="C26852" s="2">
        <v>3.9469529523208001E-5</v>
      </c>
      <c r="D26852" s="2">
        <v>0</v>
      </c>
      <c r="E26852" s="2">
        <v>0</v>
      </c>
      <c r="F26852" s="2">
        <v>3.4817880722645098E-5</v>
      </c>
    </row>
    <row r="26853" spans="1:6" x14ac:dyDescent="0.25">
      <c r="A26853" s="1" t="str">
        <f t="shared" si="978"/>
        <v>37900</v>
      </c>
      <c r="B26853" s="1" t="str">
        <f>"61477"</f>
        <v>61477</v>
      </c>
      <c r="C26853" s="2">
        <v>1.52451057783391E-3</v>
      </c>
      <c r="D26853" s="2">
        <v>2.9083294555607201E-4</v>
      </c>
      <c r="E26853" s="2">
        <v>1.01142914938808E-4</v>
      </c>
      <c r="F26853" s="2">
        <v>1.3709540534541499E-3</v>
      </c>
    </row>
    <row r="26854" spans="1:6" x14ac:dyDescent="0.25">
      <c r="A26854" s="1" t="str">
        <f t="shared" si="978"/>
        <v>37900</v>
      </c>
      <c r="B26854" s="1" t="str">
        <f>"61530"</f>
        <v>61530</v>
      </c>
      <c r="C26854" s="2">
        <v>1.58075465740448E-2</v>
      </c>
      <c r="D26854" s="2">
        <v>1.6344811540251199E-2</v>
      </c>
      <c r="E26854" s="2">
        <v>1.71942955395974E-2</v>
      </c>
      <c r="F26854" s="2">
        <v>1.59074192551584E-2</v>
      </c>
    </row>
    <row r="26855" spans="1:6" x14ac:dyDescent="0.25">
      <c r="A26855" s="1" t="str">
        <f t="shared" si="978"/>
        <v>37900</v>
      </c>
      <c r="B26855" s="1" t="str">
        <f>"61602"</f>
        <v>61602</v>
      </c>
      <c r="C26855" s="2">
        <v>4.24790811493526E-3</v>
      </c>
      <c r="D26855" s="2">
        <v>8.1491391344811495E-2</v>
      </c>
      <c r="E26855" s="2">
        <v>2.29594416911095E-2</v>
      </c>
      <c r="F26855" s="2">
        <v>1.0832713139832899E-2</v>
      </c>
    </row>
    <row r="26856" spans="1:6" x14ac:dyDescent="0.25">
      <c r="A26856" s="1" t="str">
        <f t="shared" si="978"/>
        <v>37900</v>
      </c>
      <c r="B26856" s="1" t="str">
        <f>"61563"</f>
        <v>61563</v>
      </c>
      <c r="C26856" s="2">
        <v>1.1495500473634301E-3</v>
      </c>
      <c r="D26856" s="2">
        <v>1.16333178222429E-4</v>
      </c>
      <c r="E26856" s="2">
        <v>0</v>
      </c>
      <c r="F26856" s="2">
        <v>1.0227752462277E-3</v>
      </c>
    </row>
    <row r="26857" spans="1:6" x14ac:dyDescent="0.25">
      <c r="A26857" s="1" t="str">
        <f t="shared" si="978"/>
        <v>37900</v>
      </c>
      <c r="B26857" s="1" t="str">
        <f>"61568"</f>
        <v>61568</v>
      </c>
      <c r="C26857" s="2">
        <v>9.3690795705715108E-3</v>
      </c>
      <c r="D26857" s="2">
        <v>4.9441600744532296E-3</v>
      </c>
      <c r="E26857" s="2">
        <v>4.7537170021239999E-3</v>
      </c>
      <c r="F26857" s="2">
        <v>8.8393894684615192E-3</v>
      </c>
    </row>
    <row r="26858" spans="1:6" x14ac:dyDescent="0.25">
      <c r="A26858" s="1" t="str">
        <f t="shared" si="978"/>
        <v>37900</v>
      </c>
      <c r="B26858" s="1" t="str">
        <f>"61449"</f>
        <v>61449</v>
      </c>
      <c r="C26858" s="2">
        <v>1.39130091569308E-3</v>
      </c>
      <c r="D26858" s="2">
        <v>5.8166589111214499E-4</v>
      </c>
      <c r="E26858" s="2">
        <v>1.01142914938808E-4</v>
      </c>
      <c r="F26858" s="2">
        <v>1.27520488146687E-3</v>
      </c>
    </row>
    <row r="26859" spans="1:6" x14ac:dyDescent="0.25">
      <c r="A26859" s="1" t="str">
        <f t="shared" si="978"/>
        <v>37900</v>
      </c>
      <c r="B26859" s="1" t="str">
        <f>"61526"</f>
        <v>61526</v>
      </c>
      <c r="C26859" s="2">
        <v>2.20042627091885E-3</v>
      </c>
      <c r="D26859" s="2">
        <v>4.6533271288971601E-4</v>
      </c>
      <c r="E26859" s="2">
        <v>3.3377161929806802E-3</v>
      </c>
      <c r="F26859" s="2">
        <v>2.1195384889910198E-3</v>
      </c>
    </row>
    <row r="26860" spans="1:6" x14ac:dyDescent="0.25">
      <c r="A26860" s="1" t="str">
        <f t="shared" ref="A26860:A26891" si="979">"37900"</f>
        <v>37900</v>
      </c>
      <c r="B26860" s="1" t="str">
        <f>"61558"</f>
        <v>61558</v>
      </c>
      <c r="C26860" s="2">
        <v>0</v>
      </c>
      <c r="D26860" s="2">
        <v>5.8166589111214501E-5</v>
      </c>
      <c r="E26860" s="2">
        <v>0</v>
      </c>
      <c r="F26860" s="2">
        <v>4.3522350903306296E-6</v>
      </c>
    </row>
    <row r="26861" spans="1:6" x14ac:dyDescent="0.25">
      <c r="A26861" s="1" t="str">
        <f t="shared" si="979"/>
        <v>37900</v>
      </c>
      <c r="B26861" s="1" t="str">
        <f>"61629"</f>
        <v>61629</v>
      </c>
      <c r="C26861" s="2">
        <v>0</v>
      </c>
      <c r="D26861" s="2">
        <v>5.8166589111214501E-5</v>
      </c>
      <c r="E26861" s="2">
        <v>0</v>
      </c>
      <c r="F26861" s="2">
        <v>4.3522350903306296E-6</v>
      </c>
    </row>
    <row r="26862" spans="1:6" x14ac:dyDescent="0.25">
      <c r="A26862" s="1" t="str">
        <f t="shared" si="979"/>
        <v>37900</v>
      </c>
      <c r="B26862" s="1" t="str">
        <f>"61552"</f>
        <v>61552</v>
      </c>
      <c r="C26862" s="2">
        <v>5.0817019261130403E-4</v>
      </c>
      <c r="D26862" s="2">
        <v>1.8031642624476501E-3</v>
      </c>
      <c r="E26862" s="2">
        <v>6.0685748963285101E-4</v>
      </c>
      <c r="F26862" s="2">
        <v>6.0931291264628904E-4</v>
      </c>
    </row>
    <row r="26863" spans="1:6" x14ac:dyDescent="0.25">
      <c r="A26863" s="1" t="str">
        <f t="shared" si="979"/>
        <v>37900</v>
      </c>
      <c r="B26863" s="1" t="str">
        <f>"61489"</f>
        <v>61489</v>
      </c>
      <c r="C26863" s="2">
        <v>6.9071676665614102E-5</v>
      </c>
      <c r="D26863" s="2">
        <v>0</v>
      </c>
      <c r="E26863" s="2">
        <v>0</v>
      </c>
      <c r="F26863" s="2">
        <v>6.0931291264628901E-5</v>
      </c>
    </row>
    <row r="26864" spans="1:6" x14ac:dyDescent="0.25">
      <c r="A26864" s="1" t="str">
        <f t="shared" si="979"/>
        <v>37900</v>
      </c>
      <c r="B26864" s="1" t="str">
        <f>"61601"</f>
        <v>61601</v>
      </c>
      <c r="C26864" s="2">
        <v>4.2824439532680699E-3</v>
      </c>
      <c r="D26864" s="2">
        <v>1.1342484876686799E-2</v>
      </c>
      <c r="E26864" s="2">
        <v>3.0342874481642502E-4</v>
      </c>
      <c r="F26864" s="2">
        <v>4.6394826062924601E-3</v>
      </c>
    </row>
    <row r="26865" spans="1:6" x14ac:dyDescent="0.25">
      <c r="A26865" s="1" t="str">
        <f t="shared" si="979"/>
        <v>37900</v>
      </c>
      <c r="B26865" s="1" t="str">
        <f>"61721"</f>
        <v>61721</v>
      </c>
      <c r="C26865" s="2">
        <v>1.2975607830754601E-3</v>
      </c>
      <c r="D26865" s="2">
        <v>2.9083294555607201E-4</v>
      </c>
      <c r="E26865" s="2">
        <v>0</v>
      </c>
      <c r="F26865" s="2">
        <v>1.1663990042086101E-3</v>
      </c>
    </row>
    <row r="26866" spans="1:6" x14ac:dyDescent="0.25">
      <c r="A26866" s="1" t="str">
        <f t="shared" si="979"/>
        <v>37900</v>
      </c>
      <c r="B26866" s="1" t="str">
        <f>"61535"</f>
        <v>61535</v>
      </c>
      <c r="C26866" s="2">
        <v>3.8186769813703799E-3</v>
      </c>
      <c r="D26866" s="2">
        <v>9.3066542577943201E-4</v>
      </c>
      <c r="E26866" s="2">
        <v>2.02285829877617E-4</v>
      </c>
      <c r="F26866" s="2">
        <v>3.4469701915418598E-3</v>
      </c>
    </row>
    <row r="26867" spans="1:6" x14ac:dyDescent="0.25">
      <c r="A26867" s="1" t="str">
        <f t="shared" si="979"/>
        <v>37900</v>
      </c>
      <c r="B26867" s="1" t="str">
        <f>"61534"</f>
        <v>61534</v>
      </c>
      <c r="C26867" s="2">
        <v>3.49798705399431E-3</v>
      </c>
      <c r="D26867" s="2">
        <v>1.10516519311307E-3</v>
      </c>
      <c r="E26867" s="2">
        <v>1.0114291493880799E-3</v>
      </c>
      <c r="F26867" s="2">
        <v>3.2119494966640098E-3</v>
      </c>
    </row>
    <row r="26868" spans="1:6" x14ac:dyDescent="0.25">
      <c r="A26868" s="1" t="str">
        <f t="shared" si="979"/>
        <v>37900</v>
      </c>
      <c r="B26868" s="1" t="str">
        <f>"61544"</f>
        <v>61544</v>
      </c>
      <c r="C26868" s="2">
        <v>1.4258367540258901E-3</v>
      </c>
      <c r="D26868" s="2">
        <v>3.4899953466728702E-4</v>
      </c>
      <c r="E26868" s="2">
        <v>0</v>
      </c>
      <c r="F26868" s="2">
        <v>1.2839093516475301E-3</v>
      </c>
    </row>
    <row r="26869" spans="1:6" x14ac:dyDescent="0.25">
      <c r="A26869" s="1" t="str">
        <f t="shared" si="979"/>
        <v>37900</v>
      </c>
      <c r="B26869" s="1" t="str">
        <f>"61607"</f>
        <v>61607</v>
      </c>
      <c r="C26869" s="2">
        <v>2.4184954215345701E-2</v>
      </c>
      <c r="D26869" s="2">
        <v>2.7687296416938099E-2</v>
      </c>
      <c r="E26869" s="2">
        <v>2.67017295438454E-2</v>
      </c>
      <c r="F26869" s="2">
        <v>2.4555310379645399E-2</v>
      </c>
    </row>
    <row r="26870" spans="1:6" x14ac:dyDescent="0.25">
      <c r="A26870" s="1" t="str">
        <f t="shared" si="979"/>
        <v>37900</v>
      </c>
      <c r="B26870" s="1" t="str">
        <f>"61561"</f>
        <v>61561</v>
      </c>
      <c r="C26870" s="2">
        <v>6.7640906220397803E-3</v>
      </c>
      <c r="D26870" s="2">
        <v>2.9664960446719401E-3</v>
      </c>
      <c r="E26870" s="2">
        <v>3.8434307676747199E-3</v>
      </c>
      <c r="F26870" s="2">
        <v>6.3542632318827298E-3</v>
      </c>
    </row>
    <row r="26871" spans="1:6" x14ac:dyDescent="0.25">
      <c r="A26871" s="1" t="str">
        <f t="shared" si="979"/>
        <v>37900</v>
      </c>
      <c r="B26871" s="1" t="str">
        <f>"61564"</f>
        <v>61564</v>
      </c>
      <c r="C26871" s="2">
        <v>2.2398958004420499E-3</v>
      </c>
      <c r="D26871" s="2">
        <v>2.32666356444858E-4</v>
      </c>
      <c r="E26871" s="2">
        <v>1.3148578942045099E-3</v>
      </c>
      <c r="F26871" s="2">
        <v>2.04990272754573E-3</v>
      </c>
    </row>
    <row r="26872" spans="1:6" x14ac:dyDescent="0.25">
      <c r="A26872" s="1" t="str">
        <f t="shared" si="979"/>
        <v>37900</v>
      </c>
      <c r="B26872" s="1" t="str">
        <f>"61569"</f>
        <v>61569</v>
      </c>
      <c r="C26872" s="2">
        <v>2.6493921692453399E-3</v>
      </c>
      <c r="D26872" s="2">
        <v>4.07166123778501E-4</v>
      </c>
      <c r="E26872" s="2">
        <v>4.0457165975523401E-4</v>
      </c>
      <c r="F26872" s="2">
        <v>2.3850248295011899E-3</v>
      </c>
    </row>
    <row r="26873" spans="1:6" x14ac:dyDescent="0.25">
      <c r="A26873" s="1" t="str">
        <f t="shared" si="979"/>
        <v>37900</v>
      </c>
      <c r="B26873" s="1" t="str">
        <f>"61729"</f>
        <v>61729</v>
      </c>
      <c r="C26873" s="2">
        <v>3.4239816861382998E-3</v>
      </c>
      <c r="D26873" s="2">
        <v>1.2214983713355E-3</v>
      </c>
      <c r="E26873" s="2">
        <v>3.0342874481642502E-4</v>
      </c>
      <c r="F26873" s="2">
        <v>3.1249047948573899E-3</v>
      </c>
    </row>
    <row r="26874" spans="1:6" x14ac:dyDescent="0.25">
      <c r="A26874" s="1" t="str">
        <f t="shared" si="979"/>
        <v>37900</v>
      </c>
      <c r="B26874" s="1" t="str">
        <f>"61625"</f>
        <v>61625</v>
      </c>
      <c r="C26874" s="2">
        <v>0</v>
      </c>
      <c r="D26874" s="2">
        <v>5.8166589111214501E-5</v>
      </c>
      <c r="E26874" s="2">
        <v>0</v>
      </c>
      <c r="F26874" s="2">
        <v>4.3522350903306296E-6</v>
      </c>
    </row>
    <row r="26875" spans="1:6" x14ac:dyDescent="0.25">
      <c r="A26875" s="1" t="str">
        <f t="shared" si="979"/>
        <v>37900</v>
      </c>
      <c r="B26875" s="1" t="str">
        <f>"61543"</f>
        <v>61543</v>
      </c>
      <c r="C26875" s="2">
        <v>4.9336911904010103E-6</v>
      </c>
      <c r="D26875" s="2">
        <v>5.8166589111214501E-5</v>
      </c>
      <c r="E26875" s="2">
        <v>0</v>
      </c>
      <c r="F26875" s="2">
        <v>8.7044701806612694E-6</v>
      </c>
    </row>
    <row r="26876" spans="1:6" x14ac:dyDescent="0.25">
      <c r="A26876" s="1" t="str">
        <f t="shared" si="979"/>
        <v>37900</v>
      </c>
      <c r="B26876" s="1" t="str">
        <f>"61638"</f>
        <v>61638</v>
      </c>
      <c r="C26876" s="2">
        <v>0</v>
      </c>
      <c r="D26876" s="2">
        <v>5.8166589111214501E-5</v>
      </c>
      <c r="E26876" s="2">
        <v>0</v>
      </c>
      <c r="F26876" s="2">
        <v>4.3522350903306296E-6</v>
      </c>
    </row>
    <row r="26877" spans="1:6" x14ac:dyDescent="0.25">
      <c r="A26877" s="1" t="str">
        <f t="shared" si="979"/>
        <v>37900</v>
      </c>
      <c r="B26877" s="1" t="str">
        <f>"61519"</f>
        <v>61519</v>
      </c>
      <c r="C26877" s="2">
        <v>5.1803757499210596E-4</v>
      </c>
      <c r="D26877" s="2">
        <v>5.8166589111214501E-5</v>
      </c>
      <c r="E26877" s="2">
        <v>0</v>
      </c>
      <c r="F26877" s="2">
        <v>4.6133691957504698E-4</v>
      </c>
    </row>
    <row r="26878" spans="1:6" x14ac:dyDescent="0.25">
      <c r="A26878" s="1" t="str">
        <f t="shared" si="979"/>
        <v>37900</v>
      </c>
      <c r="B26878" s="1" t="str">
        <f>"61654"</f>
        <v>61654</v>
      </c>
      <c r="C26878" s="2">
        <v>4.19363751184085E-4</v>
      </c>
      <c r="D26878" s="2">
        <v>1.8613308515588599E-3</v>
      </c>
      <c r="E26878" s="2">
        <v>2.02285829877617E-4</v>
      </c>
      <c r="F26878" s="2">
        <v>5.1791597574934599E-4</v>
      </c>
    </row>
    <row r="26879" spans="1:6" x14ac:dyDescent="0.25">
      <c r="A26879" s="1" t="str">
        <f t="shared" si="979"/>
        <v>37900</v>
      </c>
      <c r="B26879" s="1" t="str">
        <f>"61491"</f>
        <v>61491</v>
      </c>
      <c r="C26879" s="2">
        <v>6.6555494158509598E-3</v>
      </c>
      <c r="D26879" s="2">
        <v>7.73615635179153E-3</v>
      </c>
      <c r="E26879" s="2">
        <v>8.7994335996763404E-3</v>
      </c>
      <c r="F26879" s="2">
        <v>6.8286568567287702E-3</v>
      </c>
    </row>
    <row r="26880" spans="1:6" x14ac:dyDescent="0.25">
      <c r="A26880" s="1" t="str">
        <f t="shared" si="979"/>
        <v>37900</v>
      </c>
      <c r="B26880" s="1" t="str">
        <f>"61537"</f>
        <v>61537</v>
      </c>
      <c r="C26880" s="2">
        <v>7.5880170508367496E-3</v>
      </c>
      <c r="D26880" s="2">
        <v>9.1321544904606703E-3</v>
      </c>
      <c r="E26880" s="2">
        <v>2.5589157479518499E-2</v>
      </c>
      <c r="F26880" s="2">
        <v>8.4781539559640792E-3</v>
      </c>
    </row>
    <row r="26881" spans="1:6" x14ac:dyDescent="0.25">
      <c r="A26881" s="1" t="str">
        <f t="shared" si="979"/>
        <v>37900</v>
      </c>
      <c r="B26881" s="1" t="str">
        <f>"61550"</f>
        <v>61550</v>
      </c>
      <c r="C26881" s="2">
        <v>4.1921574044837297E-2</v>
      </c>
      <c r="D26881" s="2">
        <v>4.7929269427640697E-2</v>
      </c>
      <c r="E26881" s="2">
        <v>2.4780014160007999E-2</v>
      </c>
      <c r="F26881" s="2">
        <v>4.1633480874102798E-2</v>
      </c>
    </row>
    <row r="26882" spans="1:6" x14ac:dyDescent="0.25">
      <c r="A26882" s="1" t="str">
        <f t="shared" si="979"/>
        <v>37900</v>
      </c>
      <c r="B26882" s="1" t="str">
        <f>"61415"</f>
        <v>61415</v>
      </c>
      <c r="C26882" s="2">
        <v>3.0194190085254102E-3</v>
      </c>
      <c r="D26882" s="2">
        <v>5.2349930200092998E-4</v>
      </c>
      <c r="E26882" s="2">
        <v>9.1028623444927602E-4</v>
      </c>
      <c r="F26882" s="2">
        <v>2.7419081069082999E-3</v>
      </c>
    </row>
    <row r="26883" spans="1:6" x14ac:dyDescent="0.25">
      <c r="A26883" s="1" t="str">
        <f t="shared" si="979"/>
        <v>37900</v>
      </c>
      <c r="B26883" s="1" t="str">
        <f>"61732"</f>
        <v>61732</v>
      </c>
      <c r="C26883" s="2">
        <v>2.8122039785285699E-4</v>
      </c>
      <c r="D26883" s="2">
        <v>0</v>
      </c>
      <c r="E26883" s="2">
        <v>0</v>
      </c>
      <c r="F26883" s="2">
        <v>2.48077400148846E-4</v>
      </c>
    </row>
    <row r="26884" spans="1:6" x14ac:dyDescent="0.25">
      <c r="A26884" s="1" t="str">
        <f t="shared" si="979"/>
        <v>37900</v>
      </c>
      <c r="B26884" s="1" t="str">
        <f>"61525"</f>
        <v>61525</v>
      </c>
      <c r="C26884" s="2">
        <v>2.12296731922955E-2</v>
      </c>
      <c r="D26884" s="2">
        <v>4.6533271288971599E-3</v>
      </c>
      <c r="E26884" s="2">
        <v>5.8662890664508902E-3</v>
      </c>
      <c r="F26884" s="2">
        <v>1.93282760361583E-2</v>
      </c>
    </row>
    <row r="26885" spans="1:6" x14ac:dyDescent="0.25">
      <c r="A26885" s="1" t="str">
        <f t="shared" si="979"/>
        <v>37900</v>
      </c>
      <c r="B26885" s="1" t="str">
        <f>"61531"</f>
        <v>61531</v>
      </c>
      <c r="C26885" s="2">
        <v>8.3823413324913103E-3</v>
      </c>
      <c r="D26885" s="2">
        <v>9.6556537924616104E-3</v>
      </c>
      <c r="E26885" s="2">
        <v>5.3605744917568504E-3</v>
      </c>
      <c r="F26885" s="2">
        <v>8.3475869032541596E-3</v>
      </c>
    </row>
    <row r="26886" spans="1:6" x14ac:dyDescent="0.25">
      <c r="A26886" s="1" t="str">
        <f t="shared" si="979"/>
        <v>37900</v>
      </c>
      <c r="B26886" s="1" t="str">
        <f>"61653"</f>
        <v>61653</v>
      </c>
      <c r="C26886" s="2">
        <v>7.9925797284496295E-4</v>
      </c>
      <c r="D26886" s="2">
        <v>1.9776640297812899E-3</v>
      </c>
      <c r="E26886" s="2">
        <v>2.02285829877617E-4</v>
      </c>
      <c r="F26886" s="2">
        <v>8.6174254788546603E-4</v>
      </c>
    </row>
    <row r="26887" spans="1:6" x14ac:dyDescent="0.25">
      <c r="A26887" s="1" t="str">
        <f t="shared" si="979"/>
        <v>37900</v>
      </c>
      <c r="B26887" s="1" t="str">
        <f>"61424"</f>
        <v>61424</v>
      </c>
      <c r="C26887" s="2">
        <v>0</v>
      </c>
      <c r="D26887" s="2">
        <v>5.8166589111214501E-5</v>
      </c>
      <c r="E26887" s="2">
        <v>0</v>
      </c>
      <c r="F26887" s="2">
        <v>4.3522350903306296E-6</v>
      </c>
    </row>
    <row r="26888" spans="1:6" x14ac:dyDescent="0.25">
      <c r="A26888" s="1" t="str">
        <f t="shared" si="979"/>
        <v>37900</v>
      </c>
      <c r="B26888" s="1" t="str">
        <f>"61611"</f>
        <v>61611</v>
      </c>
      <c r="C26888" s="2">
        <v>6.2060901484054298E-2</v>
      </c>
      <c r="D26888" s="2">
        <v>7.2417403443461995E-2</v>
      </c>
      <c r="E26888" s="2">
        <v>5.7651461515120801E-2</v>
      </c>
      <c r="F26888" s="2">
        <v>6.2646071890219202E-2</v>
      </c>
    </row>
    <row r="26889" spans="1:6" x14ac:dyDescent="0.25">
      <c r="A26889" s="1" t="str">
        <f t="shared" si="979"/>
        <v>37900</v>
      </c>
      <c r="B26889" s="1" t="str">
        <f>"61559"</f>
        <v>61559</v>
      </c>
      <c r="C26889" s="2">
        <v>7.4104041679823101E-3</v>
      </c>
      <c r="D26889" s="2">
        <v>3.7226617031177198E-3</v>
      </c>
      <c r="E26889" s="2">
        <v>2.83200161828663E-3</v>
      </c>
      <c r="F26889" s="2">
        <v>6.9374627339870302E-3</v>
      </c>
    </row>
    <row r="26890" spans="1:6" x14ac:dyDescent="0.25">
      <c r="A26890" s="1" t="str">
        <f t="shared" si="979"/>
        <v>37900</v>
      </c>
      <c r="B26890" s="1" t="str">
        <f>"61482"</f>
        <v>61482</v>
      </c>
      <c r="C26890" s="2">
        <v>1.46037259235869E-3</v>
      </c>
      <c r="D26890" s="2">
        <v>1.2214983713355E-3</v>
      </c>
      <c r="E26890" s="2">
        <v>1.3148578942045099E-3</v>
      </c>
      <c r="F26890" s="2">
        <v>1.4362375798091099E-3</v>
      </c>
    </row>
    <row r="26891" spans="1:6" x14ac:dyDescent="0.25">
      <c r="A26891" s="1" t="str">
        <f t="shared" si="979"/>
        <v>37900</v>
      </c>
      <c r="B26891" s="1" t="str">
        <f>"61612"</f>
        <v>61612</v>
      </c>
      <c r="C26891" s="2">
        <v>4.9534259551626096E-3</v>
      </c>
      <c r="D26891" s="2">
        <v>2.5767798976267998E-2</v>
      </c>
      <c r="E26891" s="2">
        <v>2.02285829877617E-4</v>
      </c>
      <c r="F26891" s="2">
        <v>6.3063886458890901E-3</v>
      </c>
    </row>
    <row r="26892" spans="1:6" x14ac:dyDescent="0.25">
      <c r="A26892" s="1" t="str">
        <f t="shared" ref="A26892:A26923" si="980">"37900"</f>
        <v>37900</v>
      </c>
      <c r="B26892" s="1" t="str">
        <f>"61760"</f>
        <v>61760</v>
      </c>
      <c r="C26892" s="2">
        <v>5.97470003157562E-3</v>
      </c>
      <c r="D26892" s="2">
        <v>6.5146579804560203E-3</v>
      </c>
      <c r="E26892" s="2">
        <v>5.7651461515120803E-3</v>
      </c>
      <c r="F26892" s="2">
        <v>6.0060844246562798E-3</v>
      </c>
    </row>
    <row r="26893" spans="1:6" x14ac:dyDescent="0.25">
      <c r="A26893" s="1" t="str">
        <f t="shared" si="980"/>
        <v>37900</v>
      </c>
      <c r="B26893" s="1" t="str">
        <f>"61615"</f>
        <v>61615</v>
      </c>
      <c r="C26893" s="2">
        <v>6.0565993053362799E-2</v>
      </c>
      <c r="D26893" s="2">
        <v>8.3701721731037598E-2</v>
      </c>
      <c r="E26893" s="2">
        <v>7.6666329523616794E-2</v>
      </c>
      <c r="F26893" s="2">
        <v>6.2989898462355295E-2</v>
      </c>
    </row>
    <row r="26894" spans="1:6" x14ac:dyDescent="0.25">
      <c r="A26894" s="1" t="str">
        <f t="shared" si="980"/>
        <v>37900</v>
      </c>
      <c r="B26894" s="1" t="str">
        <f>"61747"</f>
        <v>61747</v>
      </c>
      <c r="C26894" s="2">
        <v>2.9602147142405999E-3</v>
      </c>
      <c r="D26894" s="2">
        <v>1.8031642624476501E-3</v>
      </c>
      <c r="E26894" s="2">
        <v>1.41600080914331E-3</v>
      </c>
      <c r="F26894" s="2">
        <v>2.8071916332632601E-3</v>
      </c>
    </row>
    <row r="26895" spans="1:6" x14ac:dyDescent="0.25">
      <c r="A26895" s="1" t="str">
        <f t="shared" si="980"/>
        <v>37900</v>
      </c>
      <c r="B26895" s="1" t="str">
        <f>"61375"</f>
        <v>61375</v>
      </c>
      <c r="C26895" s="2">
        <v>4.5587306599305299E-3</v>
      </c>
      <c r="D26895" s="2">
        <v>1.39599813866914E-3</v>
      </c>
      <c r="E26895" s="2">
        <v>3.43885910791949E-3</v>
      </c>
      <c r="F26895" s="2">
        <v>4.2738948587046797E-3</v>
      </c>
    </row>
    <row r="26896" spans="1:6" x14ac:dyDescent="0.25">
      <c r="A26896" s="1" t="str">
        <f t="shared" si="980"/>
        <v>37900</v>
      </c>
      <c r="B26896" s="1" t="str">
        <f>"61636"</f>
        <v>61636</v>
      </c>
      <c r="C26896" s="2">
        <v>0</v>
      </c>
      <c r="D26896" s="2">
        <v>5.8166589111214501E-5</v>
      </c>
      <c r="E26896" s="2">
        <v>0</v>
      </c>
      <c r="F26896" s="2">
        <v>4.3522350903306296E-6</v>
      </c>
    </row>
    <row r="26897" spans="1:6" x14ac:dyDescent="0.25">
      <c r="A26897" s="1" t="str">
        <f t="shared" si="980"/>
        <v>37900</v>
      </c>
      <c r="B26897" s="1" t="str">
        <f>"61639"</f>
        <v>61639</v>
      </c>
      <c r="C26897" s="2">
        <v>0</v>
      </c>
      <c r="D26897" s="2">
        <v>5.8166589111214501E-5</v>
      </c>
      <c r="E26897" s="2">
        <v>0</v>
      </c>
      <c r="F26897" s="2">
        <v>4.3522350903306296E-6</v>
      </c>
    </row>
    <row r="26898" spans="1:6" x14ac:dyDescent="0.25">
      <c r="A26898" s="1" t="str">
        <f t="shared" si="980"/>
        <v>37900</v>
      </c>
      <c r="B26898" s="1" t="str">
        <f>"61443"</f>
        <v>61443</v>
      </c>
      <c r="C26898" s="2">
        <v>4.9336911904010103E-6</v>
      </c>
      <c r="D26898" s="2">
        <v>0</v>
      </c>
      <c r="E26898" s="2">
        <v>0</v>
      </c>
      <c r="F26898" s="2">
        <v>4.3522350903306296E-6</v>
      </c>
    </row>
    <row r="26899" spans="1:6" x14ac:dyDescent="0.25">
      <c r="A26899" s="1" t="str">
        <f t="shared" si="980"/>
        <v>37900</v>
      </c>
      <c r="B26899" s="1" t="str">
        <f>"61524"</f>
        <v>61524</v>
      </c>
      <c r="C26899" s="2">
        <v>0</v>
      </c>
      <c r="D26899" s="2">
        <v>0</v>
      </c>
      <c r="E26899" s="2">
        <v>1.01142914938808E-4</v>
      </c>
      <c r="F26899" s="2">
        <v>4.3522350903306296E-6</v>
      </c>
    </row>
    <row r="26900" spans="1:6" x14ac:dyDescent="0.25">
      <c r="A26900" s="1" t="str">
        <f t="shared" si="980"/>
        <v>37900</v>
      </c>
      <c r="B26900" s="1" t="str">
        <f>"61641"</f>
        <v>61641</v>
      </c>
      <c r="C26900" s="2">
        <v>0</v>
      </c>
      <c r="D26900" s="2">
        <v>5.8166589111214501E-5</v>
      </c>
      <c r="E26900" s="2">
        <v>0</v>
      </c>
      <c r="F26900" s="2">
        <v>4.3522350903306296E-6</v>
      </c>
    </row>
    <row r="26901" spans="1:6" x14ac:dyDescent="0.25">
      <c r="A26901" s="1" t="str">
        <f t="shared" si="980"/>
        <v>37900</v>
      </c>
      <c r="B26901" s="1" t="str">
        <f>"61560"</f>
        <v>61560</v>
      </c>
      <c r="C26901" s="2">
        <v>4.4403220713608998E-5</v>
      </c>
      <c r="D26901" s="2">
        <v>0</v>
      </c>
      <c r="E26901" s="2">
        <v>0</v>
      </c>
      <c r="F26901" s="2">
        <v>3.9170115812975698E-5</v>
      </c>
    </row>
    <row r="26902" spans="1:6" x14ac:dyDescent="0.25">
      <c r="A26902" s="1" t="str">
        <f t="shared" si="980"/>
        <v>37900</v>
      </c>
      <c r="B26902" s="1" t="str">
        <f>"61651"</f>
        <v>61651</v>
      </c>
      <c r="C26902" s="2">
        <v>6.1671139880012599E-4</v>
      </c>
      <c r="D26902" s="2">
        <v>2.9083294555607201E-3</v>
      </c>
      <c r="E26902" s="2">
        <v>2.02285829877617E-4</v>
      </c>
      <c r="F26902" s="2">
        <v>7.7034561098852298E-4</v>
      </c>
    </row>
    <row r="26903" spans="1:6" x14ac:dyDescent="0.25">
      <c r="A26903" s="1" t="str">
        <f t="shared" si="980"/>
        <v>37900</v>
      </c>
      <c r="B26903" s="1" t="str">
        <f>"61555"</f>
        <v>61555</v>
      </c>
      <c r="C26903" s="2">
        <v>4.6228686454057397E-3</v>
      </c>
      <c r="D26903" s="2">
        <v>1.3727315030246601E-2</v>
      </c>
      <c r="E26903" s="2">
        <v>2.02285829877617E-4</v>
      </c>
      <c r="F26903" s="2">
        <v>5.1138762311384997E-3</v>
      </c>
    </row>
    <row r="26904" spans="1:6" x14ac:dyDescent="0.25">
      <c r="A26904" s="1" t="str">
        <f t="shared" si="980"/>
        <v>37900</v>
      </c>
      <c r="B26904" s="1" t="str">
        <f>"61652"</f>
        <v>61652</v>
      </c>
      <c r="C26904" s="2">
        <v>7.5485475213135395E-4</v>
      </c>
      <c r="D26904" s="2">
        <v>2.38483015355979E-3</v>
      </c>
      <c r="E26904" s="2">
        <v>2.02285829877617E-4</v>
      </c>
      <c r="F26904" s="2">
        <v>8.5303807770480502E-4</v>
      </c>
    </row>
    <row r="26905" spans="1:6" x14ac:dyDescent="0.25">
      <c r="A26905" s="1" t="str">
        <f t="shared" si="980"/>
        <v>37900</v>
      </c>
      <c r="B26905" s="1" t="str">
        <f>"61358"</f>
        <v>61358</v>
      </c>
      <c r="C26905" s="2">
        <v>2.0721502999684199E-4</v>
      </c>
      <c r="D26905" s="2">
        <v>0</v>
      </c>
      <c r="E26905" s="2">
        <v>0</v>
      </c>
      <c r="F26905" s="2">
        <v>1.8279387379388601E-4</v>
      </c>
    </row>
    <row r="26906" spans="1:6" x14ac:dyDescent="0.25">
      <c r="A26906" s="1" t="str">
        <f t="shared" si="980"/>
        <v>37900</v>
      </c>
      <c r="B26906" s="1" t="str">
        <f>"62682"</f>
        <v>62682</v>
      </c>
      <c r="C26906" s="2">
        <v>1.72679191664035E-4</v>
      </c>
      <c r="D26906" s="2">
        <v>1.16333178222429E-4</v>
      </c>
      <c r="E26906" s="2">
        <v>0</v>
      </c>
      <c r="F26906" s="2">
        <v>1.61032698342233E-4</v>
      </c>
    </row>
    <row r="26907" spans="1:6" x14ac:dyDescent="0.25">
      <c r="A26907" s="1" t="str">
        <f t="shared" si="980"/>
        <v>37900</v>
      </c>
      <c r="B26907" s="1" t="str">
        <f>"61483"</f>
        <v>61483</v>
      </c>
      <c r="C26907" s="2">
        <v>6.3200584149036903E-3</v>
      </c>
      <c r="D26907" s="2">
        <v>4.3624941833410799E-3</v>
      </c>
      <c r="E26907" s="2">
        <v>4.7537170021239999E-3</v>
      </c>
      <c r="F26907" s="2">
        <v>6.1061858317338798E-3</v>
      </c>
    </row>
    <row r="26908" spans="1:6" x14ac:dyDescent="0.25">
      <c r="A26908" s="1" t="str">
        <f t="shared" si="980"/>
        <v>37900</v>
      </c>
      <c r="B26908" s="1" t="str">
        <f>"61523"</f>
        <v>61523</v>
      </c>
      <c r="C26908" s="2">
        <v>2.5462780233659599E-2</v>
      </c>
      <c r="D26908" s="2">
        <v>1.8671475104699801E-2</v>
      </c>
      <c r="E26908" s="2">
        <v>1.8408010518863101E-2</v>
      </c>
      <c r="F26908" s="2">
        <v>2.4651059551632701E-2</v>
      </c>
    </row>
    <row r="26909" spans="1:6" x14ac:dyDescent="0.25">
      <c r="A26909" s="1" t="str">
        <f t="shared" si="980"/>
        <v>37900</v>
      </c>
      <c r="B26909" s="1" t="str">
        <f>"61533"</f>
        <v>61533</v>
      </c>
      <c r="C26909" s="2">
        <v>4.9632933375434096E-3</v>
      </c>
      <c r="D26909" s="2">
        <v>9.3066542577943201E-4</v>
      </c>
      <c r="E26909" s="2">
        <v>1.8205724688985501E-3</v>
      </c>
      <c r="F26909" s="2">
        <v>4.5263244939438597E-3</v>
      </c>
    </row>
    <row r="26910" spans="1:6" x14ac:dyDescent="0.25">
      <c r="A26910" s="1" t="str">
        <f t="shared" si="980"/>
        <v>37900</v>
      </c>
      <c r="B26910" s="1" t="str">
        <f>"61536"</f>
        <v>61536</v>
      </c>
      <c r="C26910" s="2">
        <v>7.0551784022734399E-3</v>
      </c>
      <c r="D26910" s="2">
        <v>1.6286644951140001E-3</v>
      </c>
      <c r="E26910" s="2">
        <v>4.2480024274299498E-3</v>
      </c>
      <c r="F26910" s="2">
        <v>6.5283526354959504E-3</v>
      </c>
    </row>
    <row r="26911" spans="1:6" x14ac:dyDescent="0.25">
      <c r="A26911" s="1" t="str">
        <f t="shared" si="980"/>
        <v>37900</v>
      </c>
      <c r="B26911" s="1" t="str">
        <f>"61546"</f>
        <v>61546</v>
      </c>
      <c r="C26911" s="2">
        <v>4.6327360277865397E-3</v>
      </c>
      <c r="D26911" s="2">
        <v>1.04699860400186E-3</v>
      </c>
      <c r="E26911" s="2">
        <v>8.0914331951046801E-4</v>
      </c>
      <c r="F26911" s="2">
        <v>4.1999068621690599E-3</v>
      </c>
    </row>
    <row r="26912" spans="1:6" x14ac:dyDescent="0.25">
      <c r="A26912" s="1" t="str">
        <f t="shared" si="980"/>
        <v>37900</v>
      </c>
      <c r="B26912" s="1" t="str">
        <f>"61421"</f>
        <v>61421</v>
      </c>
      <c r="C26912" s="2">
        <v>3.5917271866119302E-3</v>
      </c>
      <c r="D26912" s="2">
        <v>1.8031642624476501E-3</v>
      </c>
      <c r="E26912" s="2">
        <v>1.3148578942045099E-3</v>
      </c>
      <c r="F26912" s="2">
        <v>3.3599254897352499E-3</v>
      </c>
    </row>
    <row r="26913" spans="1:6" x14ac:dyDescent="0.25">
      <c r="A26913" s="1" t="str">
        <f t="shared" si="980"/>
        <v>37900</v>
      </c>
      <c r="B26913" s="1" t="str">
        <f>"61516"</f>
        <v>61516</v>
      </c>
      <c r="C26913" s="2">
        <v>1.9734764761603998E-3</v>
      </c>
      <c r="D26913" s="2">
        <v>1.2214983713355E-3</v>
      </c>
      <c r="E26913" s="2">
        <v>4.0457165975523401E-4</v>
      </c>
      <c r="F26913" s="2">
        <v>1.8496999133905199E-3</v>
      </c>
    </row>
    <row r="26914" spans="1:6" x14ac:dyDescent="0.25">
      <c r="A26914" s="1" t="str">
        <f t="shared" si="980"/>
        <v>37900</v>
      </c>
      <c r="B26914" s="1" t="str">
        <f>"61565"</f>
        <v>61565</v>
      </c>
      <c r="C26914" s="2">
        <v>3.4091806125670899E-3</v>
      </c>
      <c r="D26914" s="2">
        <v>1.16333178222429E-3</v>
      </c>
      <c r="E26914" s="2">
        <v>7.0800040457165902E-4</v>
      </c>
      <c r="F26914" s="2">
        <v>3.1249047948573899E-3</v>
      </c>
    </row>
    <row r="26915" spans="1:6" x14ac:dyDescent="0.25">
      <c r="A26915" s="1" t="str">
        <f t="shared" si="980"/>
        <v>37900</v>
      </c>
      <c r="B26915" s="1" t="str">
        <f>"61427"</f>
        <v>61427</v>
      </c>
      <c r="C26915" s="2">
        <v>5.5306678244395301E-3</v>
      </c>
      <c r="D26915" s="2">
        <v>1.8031642624476501E-3</v>
      </c>
      <c r="E26915" s="2">
        <v>3.0342874481642502E-4</v>
      </c>
      <c r="F26915" s="2">
        <v>5.0268315293318802E-3</v>
      </c>
    </row>
    <row r="26916" spans="1:6" x14ac:dyDescent="0.25">
      <c r="A26916" s="1" t="str">
        <f t="shared" si="980"/>
        <v>37900</v>
      </c>
      <c r="B26916" s="1" t="str">
        <f>"61570"</f>
        <v>61570</v>
      </c>
      <c r="C26916" s="2">
        <v>4.81034891064098E-3</v>
      </c>
      <c r="D26916" s="2">
        <v>1.27966496044671E-3</v>
      </c>
      <c r="E26916" s="2">
        <v>1.3755436431677899E-2</v>
      </c>
      <c r="F26916" s="2">
        <v>4.9310823573446103E-3</v>
      </c>
    </row>
    <row r="26917" spans="1:6" x14ac:dyDescent="0.25">
      <c r="A26917" s="1" t="str">
        <f t="shared" si="980"/>
        <v>37900</v>
      </c>
      <c r="B26917" s="1" t="str">
        <f>"61759"</f>
        <v>61759</v>
      </c>
      <c r="C26917" s="2">
        <v>3.7792074518471701E-3</v>
      </c>
      <c r="D26917" s="2">
        <v>5.2349930200092998E-4</v>
      </c>
      <c r="E26917" s="2">
        <v>2.4274299585314001E-3</v>
      </c>
      <c r="F26917" s="2">
        <v>3.4774358371741799E-3</v>
      </c>
    </row>
    <row r="26918" spans="1:6" x14ac:dyDescent="0.25">
      <c r="A26918" s="1" t="str">
        <f t="shared" si="980"/>
        <v>37900</v>
      </c>
      <c r="B26918" s="1" t="str">
        <f>"61369"</f>
        <v>61369</v>
      </c>
      <c r="C26918" s="2">
        <v>4.6031338806441398E-3</v>
      </c>
      <c r="D26918" s="2">
        <v>1.2214983713355E-3</v>
      </c>
      <c r="E26918" s="2">
        <v>3.43885910791949E-3</v>
      </c>
      <c r="F26918" s="2">
        <v>4.3000082692466702E-3</v>
      </c>
    </row>
    <row r="26919" spans="1:6" x14ac:dyDescent="0.25">
      <c r="A26919" s="1" t="str">
        <f t="shared" si="980"/>
        <v>37900</v>
      </c>
      <c r="B26919" s="1" t="str">
        <f>"61635"</f>
        <v>61635</v>
      </c>
      <c r="C26919" s="2">
        <v>0</v>
      </c>
      <c r="D26919" s="2">
        <v>5.8166589111214501E-5</v>
      </c>
      <c r="E26919" s="2">
        <v>0</v>
      </c>
      <c r="F26919" s="2">
        <v>4.3522350903306296E-6</v>
      </c>
    </row>
    <row r="26920" spans="1:6" x14ac:dyDescent="0.25">
      <c r="A26920" s="1" t="str">
        <f t="shared" si="980"/>
        <v>37900</v>
      </c>
      <c r="B26920" s="1" t="str">
        <f>"61433"</f>
        <v>61433</v>
      </c>
      <c r="C26920" s="2">
        <v>0</v>
      </c>
      <c r="D26920" s="2">
        <v>5.8166589111214501E-5</v>
      </c>
      <c r="E26920" s="2">
        <v>0</v>
      </c>
      <c r="F26920" s="2">
        <v>4.3522350903306296E-6</v>
      </c>
    </row>
    <row r="26921" spans="1:6" x14ac:dyDescent="0.25">
      <c r="A26921" s="1" t="str">
        <f t="shared" si="980"/>
        <v>37900</v>
      </c>
      <c r="B26921" s="1" t="str">
        <f>"61633"</f>
        <v>61633</v>
      </c>
      <c r="C26921" s="2">
        <v>0</v>
      </c>
      <c r="D26921" s="2">
        <v>5.8166589111214501E-5</v>
      </c>
      <c r="E26921" s="2">
        <v>0</v>
      </c>
      <c r="F26921" s="2">
        <v>4.3522350903306296E-6</v>
      </c>
    </row>
    <row r="26922" spans="1:6" x14ac:dyDescent="0.25">
      <c r="A26922" s="1" t="str">
        <f t="shared" si="980"/>
        <v>37900</v>
      </c>
      <c r="B26922" s="1" t="str">
        <f>"61321"</f>
        <v>61321</v>
      </c>
      <c r="C26922" s="2">
        <v>1.4801073571202999E-5</v>
      </c>
      <c r="D26922" s="2">
        <v>0</v>
      </c>
      <c r="E26922" s="2">
        <v>0</v>
      </c>
      <c r="F26922" s="2">
        <v>1.30567052709919E-5</v>
      </c>
    </row>
    <row r="26923" spans="1:6" x14ac:dyDescent="0.25">
      <c r="A26923" s="1" t="str">
        <f t="shared" si="980"/>
        <v>37900</v>
      </c>
      <c r="B26923" s="1" t="str">
        <f>"61451"</f>
        <v>61451</v>
      </c>
      <c r="C26923" s="2">
        <v>8.6832964951057698E-4</v>
      </c>
      <c r="D26923" s="2">
        <v>2.32666356444858E-4</v>
      </c>
      <c r="E26923" s="2">
        <v>1.01142914938808E-4</v>
      </c>
      <c r="F26923" s="2">
        <v>7.87754551349845E-4</v>
      </c>
    </row>
    <row r="26924" spans="1:6" x14ac:dyDescent="0.25">
      <c r="A26924" s="1" t="str">
        <f t="shared" ref="A26924:A26951" si="981">"37900"</f>
        <v>37900</v>
      </c>
      <c r="B26924" s="1" t="str">
        <f>"61540"</f>
        <v>61540</v>
      </c>
      <c r="C26924" s="2">
        <v>8.1356567729712597E-3</v>
      </c>
      <c r="D26924" s="2">
        <v>1.0760818985574599E-2</v>
      </c>
      <c r="E26924" s="2">
        <v>5.4617174066956603E-3</v>
      </c>
      <c r="F26924" s="2">
        <v>8.21701985054424E-3</v>
      </c>
    </row>
    <row r="26925" spans="1:6" x14ac:dyDescent="0.25">
      <c r="A26925" s="1" t="str">
        <f t="shared" si="981"/>
        <v>37900</v>
      </c>
      <c r="B26925" s="1" t="str">
        <f>"61554"</f>
        <v>61554</v>
      </c>
      <c r="C26925" s="2">
        <v>9.6384591095674099E-2</v>
      </c>
      <c r="D26925" s="2">
        <v>9.2194043741275003E-2</v>
      </c>
      <c r="E26925" s="2">
        <v>9.9929199959542803E-2</v>
      </c>
      <c r="F26925" s="2">
        <v>9.6223565612120102E-2</v>
      </c>
    </row>
    <row r="26926" spans="1:6" x14ac:dyDescent="0.25">
      <c r="A26926" s="1" t="str">
        <f t="shared" si="981"/>
        <v>37900</v>
      </c>
      <c r="B26926" s="1" t="str">
        <f>"61614"</f>
        <v>61614</v>
      </c>
      <c r="C26926" s="2">
        <v>7.2100963056520306E-2</v>
      </c>
      <c r="D26926" s="2">
        <v>8.7540716612377806E-2</v>
      </c>
      <c r="E26926" s="2">
        <v>9.2040052594315705E-2</v>
      </c>
      <c r="F26926" s="2">
        <v>7.4114211353240395E-2</v>
      </c>
    </row>
    <row r="26927" spans="1:6" x14ac:dyDescent="0.25">
      <c r="A26927" s="1" t="str">
        <f t="shared" si="981"/>
        <v>37900</v>
      </c>
      <c r="B26927" s="1" t="str">
        <f>"61603"</f>
        <v>61603</v>
      </c>
      <c r="C26927" s="2">
        <v>3.8951491948215899E-2</v>
      </c>
      <c r="D26927" s="2">
        <v>4.5428106095858498E-2</v>
      </c>
      <c r="E26927" s="2">
        <v>8.8297764741579798E-2</v>
      </c>
      <c r="F26927" s="2">
        <v>4.1559492877567203E-2</v>
      </c>
    </row>
    <row r="26928" spans="1:6" x14ac:dyDescent="0.25">
      <c r="A26928" s="1" t="str">
        <f t="shared" si="981"/>
        <v>37900</v>
      </c>
      <c r="B26928" s="1" t="str">
        <f>"61431"</f>
        <v>61431</v>
      </c>
      <c r="C26928" s="2">
        <v>9.9167192927060292E-4</v>
      </c>
      <c r="D26928" s="2">
        <v>2.9083294555607201E-4</v>
      </c>
      <c r="E26928" s="2">
        <v>0</v>
      </c>
      <c r="F26928" s="2">
        <v>8.9656042860811105E-4</v>
      </c>
    </row>
    <row r="26929" spans="1:6" x14ac:dyDescent="0.25">
      <c r="A26929" s="1" t="str">
        <f t="shared" si="981"/>
        <v>37900</v>
      </c>
      <c r="B26929" s="1" t="str">
        <f>"61606"</f>
        <v>61606</v>
      </c>
      <c r="C26929" s="2">
        <v>1.6468661193558502E-2</v>
      </c>
      <c r="D26929" s="2">
        <v>1.5181479758026899E-2</v>
      </c>
      <c r="E26929" s="2">
        <v>6.6855466774552397E-2</v>
      </c>
      <c r="F26929" s="2">
        <v>1.85405214848085E-2</v>
      </c>
    </row>
    <row r="26930" spans="1:6" x14ac:dyDescent="0.25">
      <c r="A26930" s="1" t="str">
        <f t="shared" si="981"/>
        <v>37900</v>
      </c>
      <c r="B26930" s="1" t="str">
        <f>"61613"</f>
        <v>61613</v>
      </c>
      <c r="C26930" s="2">
        <v>0</v>
      </c>
      <c r="D26930" s="2">
        <v>7.0963238715681699E-3</v>
      </c>
      <c r="E26930" s="2">
        <v>3.0342874481642502E-4</v>
      </c>
      <c r="F26930" s="2">
        <v>5.4402938629132902E-4</v>
      </c>
    </row>
    <row r="26931" spans="1:6" x14ac:dyDescent="0.25">
      <c r="A26931" s="1" t="str">
        <f t="shared" si="981"/>
        <v>37900</v>
      </c>
      <c r="B26931" s="1" t="str">
        <f>"61771"</f>
        <v>61771</v>
      </c>
      <c r="C26931" s="2">
        <v>2.7085964635301502E-3</v>
      </c>
      <c r="D26931" s="2">
        <v>6.3983248022335903E-4</v>
      </c>
      <c r="E26931" s="2">
        <v>2.02285829877617E-4</v>
      </c>
      <c r="F26931" s="2">
        <v>2.4459561207658101E-3</v>
      </c>
    </row>
    <row r="26932" spans="1:6" x14ac:dyDescent="0.25">
      <c r="A26932" s="1" t="str">
        <f t="shared" si="981"/>
        <v>37900</v>
      </c>
      <c r="B26932" s="1" t="str">
        <f>"61616"</f>
        <v>61616</v>
      </c>
      <c r="C26932" s="2">
        <v>1.6443992737606501E-2</v>
      </c>
      <c r="D26932" s="2">
        <v>2.4080967892042799E-2</v>
      </c>
      <c r="E26932" s="2">
        <v>2.3465156265803502E-2</v>
      </c>
      <c r="F26932" s="2">
        <v>1.73175434244256E-2</v>
      </c>
    </row>
    <row r="26933" spans="1:6" x14ac:dyDescent="0.25">
      <c r="A26933" s="1" t="str">
        <f t="shared" si="981"/>
        <v>37900</v>
      </c>
      <c r="B26933" s="1" t="str">
        <f>"61630"</f>
        <v>61630</v>
      </c>
      <c r="C26933" s="2">
        <v>0</v>
      </c>
      <c r="D26933" s="2">
        <v>5.8166589111214501E-5</v>
      </c>
      <c r="E26933" s="2">
        <v>1.01142914938808E-4</v>
      </c>
      <c r="F26933" s="2">
        <v>8.7044701806612694E-6</v>
      </c>
    </row>
    <row r="26934" spans="1:6" x14ac:dyDescent="0.25">
      <c r="A26934" s="1" t="str">
        <f t="shared" si="981"/>
        <v>37900</v>
      </c>
      <c r="B26934" s="1" t="str">
        <f>"61562"</f>
        <v>61562</v>
      </c>
      <c r="C26934" s="2">
        <v>0</v>
      </c>
      <c r="D26934" s="2">
        <v>5.8166589111214501E-5</v>
      </c>
      <c r="E26934" s="2">
        <v>0</v>
      </c>
      <c r="F26934" s="2">
        <v>4.3522350903306296E-6</v>
      </c>
    </row>
    <row r="26935" spans="1:6" x14ac:dyDescent="0.25">
      <c r="A26935" s="1" t="str">
        <f t="shared" si="981"/>
        <v>37900</v>
      </c>
      <c r="B26935" s="1" t="str">
        <f>"61643"</f>
        <v>61643</v>
      </c>
      <c r="C26935" s="2">
        <v>0</v>
      </c>
      <c r="D26935" s="2">
        <v>5.8166589111214501E-5</v>
      </c>
      <c r="E26935" s="2">
        <v>0</v>
      </c>
      <c r="F26935" s="2">
        <v>4.3522350903306296E-6</v>
      </c>
    </row>
    <row r="26936" spans="1:6" x14ac:dyDescent="0.25">
      <c r="A26936" s="1" t="str">
        <f t="shared" si="981"/>
        <v>37900</v>
      </c>
      <c r="B26936" s="1" t="str">
        <f>"61539"</f>
        <v>61539</v>
      </c>
      <c r="C26936" s="2">
        <v>0</v>
      </c>
      <c r="D26936" s="2">
        <v>5.8166589111214501E-5</v>
      </c>
      <c r="E26936" s="2">
        <v>0</v>
      </c>
      <c r="F26936" s="2">
        <v>4.3522350903306296E-6</v>
      </c>
    </row>
    <row r="26937" spans="1:6" x14ac:dyDescent="0.25">
      <c r="A26937" s="1" t="str">
        <f t="shared" si="981"/>
        <v>37900</v>
      </c>
      <c r="B26937" s="1" t="str">
        <f>"61553"</f>
        <v>61553</v>
      </c>
      <c r="C26937" s="2">
        <v>1.6281180928323299E-4</v>
      </c>
      <c r="D26937" s="2">
        <v>0</v>
      </c>
      <c r="E26937" s="2">
        <v>1.01142914938808E-4</v>
      </c>
      <c r="F26937" s="2">
        <v>1.47975993071241E-4</v>
      </c>
    </row>
    <row r="26938" spans="1:6" x14ac:dyDescent="0.25">
      <c r="A26938" s="1" t="str">
        <f t="shared" si="981"/>
        <v>37900</v>
      </c>
      <c r="B26938" s="1" t="str">
        <f>"61545"</f>
        <v>61545</v>
      </c>
      <c r="C26938" s="2">
        <v>2.34843700663088E-3</v>
      </c>
      <c r="D26938" s="2">
        <v>7.5616565844578796E-4</v>
      </c>
      <c r="E26938" s="2">
        <v>6.0685748963285101E-4</v>
      </c>
      <c r="F26938" s="2">
        <v>2.1543563697136599E-3</v>
      </c>
    </row>
    <row r="26939" spans="1:6" x14ac:dyDescent="0.25">
      <c r="A26939" s="1" t="str">
        <f t="shared" si="981"/>
        <v>37900</v>
      </c>
      <c r="B26939" s="1" t="str">
        <f>"61604"</f>
        <v>61604</v>
      </c>
      <c r="C26939" s="2">
        <v>7.1893748026523499E-2</v>
      </c>
      <c r="D26939" s="2">
        <v>4.9732433690088403E-2</v>
      </c>
      <c r="E26939" s="2">
        <v>8.7690907251947003E-2</v>
      </c>
      <c r="F26939" s="2">
        <v>7.0915318561847407E-2</v>
      </c>
    </row>
    <row r="26940" spans="1:6" x14ac:dyDescent="0.25">
      <c r="A26940" s="1" t="str">
        <f t="shared" si="981"/>
        <v>37900</v>
      </c>
      <c r="B26940" s="1" t="str">
        <f>"61748"</f>
        <v>61748</v>
      </c>
      <c r="C26940" s="2">
        <v>6.4137985475213097E-5</v>
      </c>
      <c r="D26940" s="2">
        <v>0</v>
      </c>
      <c r="E26940" s="2">
        <v>0</v>
      </c>
      <c r="F26940" s="2">
        <v>5.6579056174298301E-5</v>
      </c>
    </row>
    <row r="26941" spans="1:6" x14ac:dyDescent="0.25">
      <c r="A26941" s="1" t="str">
        <f t="shared" si="981"/>
        <v>37900</v>
      </c>
      <c r="B26941" s="1" t="str">
        <f>"61434"</f>
        <v>61434</v>
      </c>
      <c r="C26941" s="2">
        <v>1.4801073571202999E-5</v>
      </c>
      <c r="D26941" s="2">
        <v>5.8166589111214501E-5</v>
      </c>
      <c r="E26941" s="2">
        <v>0</v>
      </c>
      <c r="F26941" s="2">
        <v>1.7408940361322502E-5</v>
      </c>
    </row>
    <row r="26942" spans="1:6" x14ac:dyDescent="0.25">
      <c r="A26942" s="1" t="str">
        <f t="shared" si="981"/>
        <v>37900</v>
      </c>
      <c r="B26942" s="1" t="str">
        <f>"61479"</f>
        <v>61479</v>
      </c>
      <c r="C26942" s="2">
        <v>4.63766971897694E-4</v>
      </c>
      <c r="D26942" s="2">
        <v>2.32666356444858E-4</v>
      </c>
      <c r="E26942" s="2">
        <v>0</v>
      </c>
      <c r="F26942" s="2">
        <v>4.2651903885240202E-4</v>
      </c>
    </row>
    <row r="26943" spans="1:6" x14ac:dyDescent="0.25">
      <c r="A26943" s="1" t="str">
        <f t="shared" si="981"/>
        <v>37900</v>
      </c>
      <c r="B26943" s="1" t="str">
        <f>"61542"</f>
        <v>61542</v>
      </c>
      <c r="C26943" s="2">
        <v>9.6157641300915597E-3</v>
      </c>
      <c r="D26943" s="2">
        <v>1.07026523964634E-2</v>
      </c>
      <c r="E26943" s="2">
        <v>6.0685748963285099E-3</v>
      </c>
      <c r="F26943" s="2">
        <v>9.5444515530950895E-3</v>
      </c>
    </row>
    <row r="26944" spans="1:6" x14ac:dyDescent="0.25">
      <c r="A26944" s="1" t="str">
        <f t="shared" si="981"/>
        <v>37900</v>
      </c>
      <c r="B26944" s="1" t="str">
        <f>"61548"</f>
        <v>61548</v>
      </c>
      <c r="C26944" s="2">
        <v>3.03718029681086E-2</v>
      </c>
      <c r="D26944" s="2">
        <v>1.3145649139134401E-2</v>
      </c>
      <c r="E26944" s="2">
        <v>9.7097198341256092E-3</v>
      </c>
      <c r="F26944" s="2">
        <v>2.81937789151618E-2</v>
      </c>
    </row>
    <row r="26945" spans="1:6" x14ac:dyDescent="0.25">
      <c r="A26945" s="1" t="str">
        <f t="shared" si="981"/>
        <v>37900</v>
      </c>
      <c r="B26945" s="1" t="str">
        <f>"61571"</f>
        <v>61571</v>
      </c>
      <c r="C26945" s="2">
        <v>5.5079728449636801E-2</v>
      </c>
      <c r="D26945" s="2">
        <v>3.9436947417403397E-2</v>
      </c>
      <c r="E26945" s="2">
        <v>3.8636593506624801E-2</v>
      </c>
      <c r="F26945" s="2">
        <v>5.3201721744201701E-2</v>
      </c>
    </row>
    <row r="26946" spans="1:6" x14ac:dyDescent="0.25">
      <c r="A26946" s="1" t="str">
        <f t="shared" si="981"/>
        <v>37900</v>
      </c>
      <c r="B26946" s="1" t="str">
        <f>"61517"</f>
        <v>61517</v>
      </c>
      <c r="C26946" s="2">
        <v>6.8676981370381996E-3</v>
      </c>
      <c r="D26946" s="2">
        <v>2.38483015355979E-3</v>
      </c>
      <c r="E26946" s="2">
        <v>2.52857287347021E-3</v>
      </c>
      <c r="F26946" s="2">
        <v>6.3455587617020697E-3</v>
      </c>
    </row>
    <row r="26947" spans="1:6" x14ac:dyDescent="0.25">
      <c r="A26947" s="1" t="str">
        <f t="shared" si="981"/>
        <v>37900</v>
      </c>
      <c r="B26947" s="1" t="str">
        <f>"61529"</f>
        <v>61529</v>
      </c>
      <c r="C26947" s="2">
        <v>6.4730028418061199E-3</v>
      </c>
      <c r="D26947" s="2">
        <v>3.2573289902280101E-3</v>
      </c>
      <c r="E26947" s="2">
        <v>4.0457165975523396E-3</v>
      </c>
      <c r="F26947" s="2">
        <v>6.1279470071855403E-3</v>
      </c>
    </row>
    <row r="26948" spans="1:6" x14ac:dyDescent="0.25">
      <c r="A26948" s="1" t="str">
        <f t="shared" si="981"/>
        <v>37900</v>
      </c>
      <c r="B26948" s="1" t="str">
        <f>"61432"</f>
        <v>61432</v>
      </c>
      <c r="C26948" s="2">
        <v>1.61331701926113E-3</v>
      </c>
      <c r="D26948" s="2">
        <v>6.3983248022335903E-4</v>
      </c>
      <c r="E26948" s="2">
        <v>3.0342874481642502E-4</v>
      </c>
      <c r="F26948" s="2">
        <v>1.4841121658027399E-3</v>
      </c>
    </row>
    <row r="26949" spans="1:6" x14ac:dyDescent="0.25">
      <c r="A26949" s="1" t="str">
        <f t="shared" si="981"/>
        <v>37900</v>
      </c>
      <c r="B26949" s="1" t="str">
        <f>"61744"</f>
        <v>61744</v>
      </c>
      <c r="C26949" s="2">
        <v>4.9336911904010098E-5</v>
      </c>
      <c r="D26949" s="2">
        <v>0</v>
      </c>
      <c r="E26949" s="2">
        <v>0</v>
      </c>
      <c r="F26949" s="2">
        <v>4.3522350903306298E-5</v>
      </c>
    </row>
    <row r="26950" spans="1:6" x14ac:dyDescent="0.25">
      <c r="A26950" s="1" t="str">
        <f t="shared" si="981"/>
        <v>37900</v>
      </c>
      <c r="B26950" s="1" t="str">
        <f>"61755"</f>
        <v>61755</v>
      </c>
      <c r="C26950" s="2">
        <v>9.2309362172402903E-3</v>
      </c>
      <c r="D26950" s="2">
        <v>4.1298278268962303E-3</v>
      </c>
      <c r="E26950" s="2">
        <v>3.8434307676747199E-3</v>
      </c>
      <c r="F26950" s="2">
        <v>8.6174254788546605E-3</v>
      </c>
    </row>
    <row r="26951" spans="1:6" x14ac:dyDescent="0.25">
      <c r="A26951" s="1" t="str">
        <f t="shared" si="981"/>
        <v>37900</v>
      </c>
      <c r="B26951" s="1" t="str">
        <f>"61733"</f>
        <v>61733</v>
      </c>
      <c r="C26951" s="2">
        <v>2.6789943163877399E-3</v>
      </c>
      <c r="D26951" s="2">
        <v>1.10516519311307E-3</v>
      </c>
      <c r="E26951" s="2">
        <v>1.5171437240821201E-3</v>
      </c>
      <c r="F26951" s="2">
        <v>2.5112396471207699E-3</v>
      </c>
    </row>
    <row r="26952" spans="1:6" x14ac:dyDescent="0.25">
      <c r="A26952" s="1" t="str">
        <f t="shared" ref="A26952:A26970" si="982">"37940"</f>
        <v>37940</v>
      </c>
      <c r="B26952" s="1" t="str">
        <f>"46914"</f>
        <v>46914</v>
      </c>
      <c r="C26952" s="2">
        <v>5.7833222309695301E-2</v>
      </c>
      <c r="D26952" s="2">
        <v>2.8492647058823501E-2</v>
      </c>
      <c r="E26952" s="2">
        <v>7.7170418006430805E-2</v>
      </c>
      <c r="F26952" s="2">
        <v>5.6386779812416202E-2</v>
      </c>
    </row>
    <row r="26953" spans="1:6" x14ac:dyDescent="0.25">
      <c r="A26953" s="1" t="str">
        <f t="shared" si="982"/>
        <v>37940</v>
      </c>
      <c r="B26953" s="1" t="str">
        <f>"46951"</f>
        <v>46951</v>
      </c>
      <c r="C26953" s="2">
        <v>3.93629261793738E-2</v>
      </c>
      <c r="D26953" s="2">
        <v>1.7463235294117599E-2</v>
      </c>
      <c r="E26953" s="2">
        <v>9.6463022508038506E-3</v>
      </c>
      <c r="F26953" s="2">
        <v>3.75167485484591E-2</v>
      </c>
    </row>
    <row r="26954" spans="1:6" x14ac:dyDescent="0.25">
      <c r="A26954" s="1" t="str">
        <f t="shared" si="982"/>
        <v>37940</v>
      </c>
      <c r="B26954" s="1" t="str">
        <f>"46936"</f>
        <v>46936</v>
      </c>
      <c r="C26954" s="2">
        <v>2.42233391873069E-4</v>
      </c>
      <c r="D26954" s="2">
        <v>0</v>
      </c>
      <c r="E26954" s="2">
        <v>0</v>
      </c>
      <c r="F26954" s="2">
        <v>2.2331397945511301E-4</v>
      </c>
    </row>
    <row r="26955" spans="1:6" x14ac:dyDescent="0.25">
      <c r="A26955" s="1" t="str">
        <f t="shared" si="982"/>
        <v>37940</v>
      </c>
      <c r="B26955" s="1" t="str">
        <f>"46958"</f>
        <v>46958</v>
      </c>
      <c r="C26955" s="2">
        <v>1.35650699448919E-2</v>
      </c>
      <c r="D26955" s="2">
        <v>1.0110294117647E-2</v>
      </c>
      <c r="E26955" s="2">
        <v>3.2154340836012801E-3</v>
      </c>
      <c r="F26955" s="2">
        <v>1.31755247878517E-2</v>
      </c>
    </row>
    <row r="26956" spans="1:6" x14ac:dyDescent="0.25">
      <c r="A26956" s="1" t="str">
        <f t="shared" si="982"/>
        <v>37940</v>
      </c>
      <c r="B26956" s="1" t="str">
        <f>"46901"</f>
        <v>46901</v>
      </c>
      <c r="C26956" s="2">
        <v>5.58347968267425E-2</v>
      </c>
      <c r="D26956" s="2">
        <v>1.37867647058823E-2</v>
      </c>
      <c r="E26956" s="2">
        <v>1.9292604501607701E-2</v>
      </c>
      <c r="F26956" s="2">
        <v>5.2646270656543002E-2</v>
      </c>
    </row>
    <row r="26957" spans="1:6" x14ac:dyDescent="0.25">
      <c r="A26957" s="1" t="str">
        <f t="shared" si="982"/>
        <v>37940</v>
      </c>
      <c r="B26957" s="1" t="str">
        <f>"46911"</f>
        <v>46911</v>
      </c>
      <c r="C26957" s="2">
        <v>3.3852116514261399E-2</v>
      </c>
      <c r="D26957" s="2">
        <v>1.47058823529411E-2</v>
      </c>
      <c r="E26957" s="2">
        <v>3.2154340836012801E-3</v>
      </c>
      <c r="F26957" s="2">
        <v>3.2157213041536403E-2</v>
      </c>
    </row>
    <row r="26958" spans="1:6" x14ac:dyDescent="0.25">
      <c r="A26958" s="1" t="str">
        <f t="shared" si="982"/>
        <v>37940</v>
      </c>
      <c r="B26958" s="1" t="str">
        <f>"46982"</f>
        <v>46982</v>
      </c>
      <c r="C26958" s="2">
        <v>2.42233391873069E-4</v>
      </c>
      <c r="D26958" s="2">
        <v>0</v>
      </c>
      <c r="E26958" s="2">
        <v>0</v>
      </c>
      <c r="F26958" s="2">
        <v>2.2331397945511301E-4</v>
      </c>
    </row>
    <row r="26959" spans="1:6" x14ac:dyDescent="0.25">
      <c r="A26959" s="1" t="str">
        <f t="shared" si="982"/>
        <v>37940</v>
      </c>
      <c r="B26959" s="1" t="str">
        <f>"46932"</f>
        <v>46932</v>
      </c>
      <c r="C26959" s="2">
        <v>1.2111669593653401E-3</v>
      </c>
      <c r="D26959" s="2">
        <v>0</v>
      </c>
      <c r="E26959" s="2">
        <v>0</v>
      </c>
      <c r="F26959" s="2">
        <v>1.11656989727556E-3</v>
      </c>
    </row>
    <row r="26960" spans="1:6" x14ac:dyDescent="0.25">
      <c r="A26960" s="1" t="str">
        <f t="shared" si="982"/>
        <v>37940</v>
      </c>
      <c r="B26960" s="1" t="str">
        <f>"46970"</f>
        <v>46970</v>
      </c>
      <c r="C26960" s="2">
        <v>0.69484648458789999</v>
      </c>
      <c r="D26960" s="2">
        <v>0.82628676470588203</v>
      </c>
      <c r="E26960" s="2">
        <v>0.83279742765273301</v>
      </c>
      <c r="F26960" s="2">
        <v>0.70522554711924901</v>
      </c>
    </row>
    <row r="26961" spans="1:6" x14ac:dyDescent="0.25">
      <c r="A26961" s="1" t="str">
        <f t="shared" si="982"/>
        <v>37940</v>
      </c>
      <c r="B26961" s="1" t="str">
        <f>"46998"</f>
        <v>46998</v>
      </c>
      <c r="C26961" s="2">
        <v>4.7235511415248503E-3</v>
      </c>
      <c r="D26961" s="2">
        <v>9.1911764705882297E-4</v>
      </c>
      <c r="E26961" s="2">
        <v>0</v>
      </c>
      <c r="F26961" s="2">
        <v>4.4104510942384904E-3</v>
      </c>
    </row>
    <row r="26962" spans="1:6" x14ac:dyDescent="0.25">
      <c r="A26962" s="1" t="str">
        <f t="shared" si="982"/>
        <v>37940</v>
      </c>
      <c r="B26962" s="1" t="str">
        <f>"46959"</f>
        <v>46959</v>
      </c>
      <c r="C26962" s="2">
        <v>6.5403015805728798E-3</v>
      </c>
      <c r="D26962" s="2">
        <v>5.5147058823529398E-3</v>
      </c>
      <c r="E26962" s="2">
        <v>6.4308681672025697E-3</v>
      </c>
      <c r="F26962" s="2">
        <v>6.4761054041983001E-3</v>
      </c>
    </row>
    <row r="26963" spans="1:6" x14ac:dyDescent="0.25">
      <c r="A26963" s="1" t="str">
        <f t="shared" si="982"/>
        <v>37940</v>
      </c>
      <c r="B26963" s="1" t="str">
        <f>"46926"</f>
        <v>46926</v>
      </c>
      <c r="C26963" s="2">
        <v>4.1603585054199699E-2</v>
      </c>
      <c r="D26963" s="2">
        <v>2.5735294117646999E-2</v>
      </c>
      <c r="E26963" s="2">
        <v>3.2154340836012801E-3</v>
      </c>
      <c r="F26963" s="2">
        <v>3.9973202322465297E-2</v>
      </c>
    </row>
    <row r="26964" spans="1:6" x14ac:dyDescent="0.25">
      <c r="A26964" s="1" t="str">
        <f t="shared" si="982"/>
        <v>37940</v>
      </c>
      <c r="B26964" s="1" t="str">
        <f>"46974"</f>
        <v>46974</v>
      </c>
      <c r="C26964" s="2">
        <v>9.5682189789862496E-3</v>
      </c>
      <c r="D26964" s="2">
        <v>3.6764705882352902E-3</v>
      </c>
      <c r="E26964" s="2">
        <v>3.2154340836012801E-3</v>
      </c>
      <c r="F26964" s="2">
        <v>9.1000446627958892E-3</v>
      </c>
    </row>
    <row r="26965" spans="1:6" x14ac:dyDescent="0.25">
      <c r="A26965" s="1" t="str">
        <f t="shared" si="982"/>
        <v>37940</v>
      </c>
      <c r="B26965" s="1" t="str">
        <f>"46971"</f>
        <v>46971</v>
      </c>
      <c r="C26965" s="2">
        <v>6.0558347968267399E-5</v>
      </c>
      <c r="D26965" s="2">
        <v>4.5036764705882297E-2</v>
      </c>
      <c r="E26965" s="2">
        <v>0</v>
      </c>
      <c r="F26965" s="2">
        <v>2.7914247431889199E-3</v>
      </c>
    </row>
    <row r="26966" spans="1:6" x14ac:dyDescent="0.25">
      <c r="A26966" s="1" t="str">
        <f t="shared" si="982"/>
        <v>37940</v>
      </c>
      <c r="B26966" s="1" t="str">
        <f>"46992"</f>
        <v>46992</v>
      </c>
      <c r="C26966" s="2">
        <v>8.4781687155574298E-4</v>
      </c>
      <c r="D26966" s="2">
        <v>9.1911764705882297E-4</v>
      </c>
      <c r="E26966" s="2">
        <v>0</v>
      </c>
      <c r="F26966" s="2">
        <v>8.3742742295667702E-4</v>
      </c>
    </row>
    <row r="26967" spans="1:6" x14ac:dyDescent="0.25">
      <c r="A26967" s="1" t="str">
        <f t="shared" si="982"/>
        <v>37940</v>
      </c>
      <c r="B26967" s="1" t="str">
        <f>"46975"</f>
        <v>46975</v>
      </c>
      <c r="C26967" s="2">
        <v>1.21116695936534E-4</v>
      </c>
      <c r="D26967" s="2">
        <v>0</v>
      </c>
      <c r="E26967" s="2">
        <v>0</v>
      </c>
      <c r="F26967" s="2">
        <v>1.11656989727556E-4</v>
      </c>
    </row>
    <row r="26968" spans="1:6" x14ac:dyDescent="0.25">
      <c r="A26968" s="1" t="str">
        <f t="shared" si="982"/>
        <v>37940</v>
      </c>
      <c r="B26968" s="1" t="str">
        <f>"46910"</f>
        <v>46910</v>
      </c>
      <c r="C26968" s="2">
        <v>2.7251256585720299E-3</v>
      </c>
      <c r="D26968" s="2">
        <v>1.8382352941176401E-3</v>
      </c>
      <c r="E26968" s="2">
        <v>0</v>
      </c>
      <c r="F26968" s="2">
        <v>2.62393925859758E-3</v>
      </c>
    </row>
    <row r="26969" spans="1:6" x14ac:dyDescent="0.25">
      <c r="A26969" s="1" t="str">
        <f t="shared" si="982"/>
        <v>37940</v>
      </c>
      <c r="B26969" s="1" t="str">
        <f>"46919"</f>
        <v>46919</v>
      </c>
      <c r="C26969" s="2">
        <v>3.6819475564706501E-2</v>
      </c>
      <c r="D26969" s="2">
        <v>5.5147058823529398E-3</v>
      </c>
      <c r="E26969" s="2">
        <v>3.8585209003215402E-2</v>
      </c>
      <c r="F26969" s="2">
        <v>3.4948637784725303E-2</v>
      </c>
    </row>
    <row r="26970" spans="1:6" x14ac:dyDescent="0.25">
      <c r="A26970" s="1" t="str">
        <f t="shared" si="982"/>
        <v>37940</v>
      </c>
      <c r="B26970" s="1" t="str">
        <f>"46921"</f>
        <v>46921</v>
      </c>
      <c r="C26970" s="2">
        <v>0</v>
      </c>
      <c r="D26970" s="2">
        <v>0</v>
      </c>
      <c r="E26970" s="2">
        <v>3.2154340836012801E-3</v>
      </c>
      <c r="F26970" s="2">
        <v>5.5828494863778402E-5</v>
      </c>
    </row>
    <row r="26971" spans="1:6" x14ac:dyDescent="0.25">
      <c r="A26971" s="1" t="str">
        <f t="shared" ref="A26971:A27002" si="983">"37964"</f>
        <v>37964</v>
      </c>
      <c r="B26971" s="1" t="str">
        <f>"19147"</f>
        <v>19147</v>
      </c>
      <c r="C26971" s="2">
        <v>3.95004356665698E-2</v>
      </c>
      <c r="D26971" s="2">
        <v>7.3811931243680406E-2</v>
      </c>
      <c r="E26971" s="2">
        <v>9.62072155411655E-2</v>
      </c>
      <c r="F26971" s="2">
        <v>5.0133988387673002E-2</v>
      </c>
    </row>
    <row r="26972" spans="1:6" x14ac:dyDescent="0.25">
      <c r="A26972" s="1" t="str">
        <f t="shared" si="983"/>
        <v>37964</v>
      </c>
      <c r="B26972" s="1" t="str">
        <f>"19146"</f>
        <v>19146</v>
      </c>
      <c r="C26972" s="2">
        <v>8.2776648271855897E-3</v>
      </c>
      <c r="D26972" s="2">
        <v>5.0556117290192102E-3</v>
      </c>
      <c r="E26972" s="2">
        <v>9.2506938020351492E-3</v>
      </c>
      <c r="F26972" s="2">
        <v>8.0393032603841008E-3</v>
      </c>
    </row>
    <row r="26973" spans="1:6" x14ac:dyDescent="0.25">
      <c r="A26973" s="1" t="str">
        <f t="shared" si="983"/>
        <v>37964</v>
      </c>
      <c r="B26973" s="1" t="str">
        <f>"19141"</f>
        <v>19141</v>
      </c>
      <c r="C26973" s="2">
        <v>1.5974440894568599E-2</v>
      </c>
      <c r="D26973" s="2">
        <v>5.9656218402426603E-2</v>
      </c>
      <c r="E26973" s="2">
        <v>5.2728954671600298E-2</v>
      </c>
      <c r="F26973" s="2">
        <v>2.5234479678427801E-2</v>
      </c>
    </row>
    <row r="26974" spans="1:6" x14ac:dyDescent="0.25">
      <c r="A26974" s="1" t="str">
        <f t="shared" si="983"/>
        <v>37964</v>
      </c>
      <c r="B26974" s="1" t="str">
        <f>"19115"</f>
        <v>19115</v>
      </c>
      <c r="C26974" s="2">
        <v>1.45222189950624E-4</v>
      </c>
      <c r="D26974" s="2">
        <v>0</v>
      </c>
      <c r="E26974" s="2">
        <v>0</v>
      </c>
      <c r="F26974" s="2">
        <v>1.11656989727556E-4</v>
      </c>
    </row>
    <row r="26975" spans="1:6" x14ac:dyDescent="0.25">
      <c r="A26975" s="1" t="str">
        <f t="shared" si="983"/>
        <v>37964</v>
      </c>
      <c r="B26975" s="1" t="str">
        <f>"19108"</f>
        <v>19108</v>
      </c>
      <c r="C26975" s="2">
        <v>0</v>
      </c>
      <c r="D26975" s="2">
        <v>0</v>
      </c>
      <c r="E26975" s="2">
        <v>9.2506938020351498E-4</v>
      </c>
      <c r="F26975" s="2">
        <v>1.11656989727556E-4</v>
      </c>
    </row>
    <row r="26976" spans="1:6" x14ac:dyDescent="0.25">
      <c r="A26976" s="1" t="str">
        <f t="shared" si="983"/>
        <v>37964</v>
      </c>
      <c r="B26976" s="1" t="str">
        <f>"19029"</f>
        <v>19029</v>
      </c>
      <c r="C26976" s="2">
        <v>4.3566656985187302E-4</v>
      </c>
      <c r="D26976" s="2">
        <v>1.0111223458038399E-3</v>
      </c>
      <c r="E26976" s="2">
        <v>9.2506938020351498E-4</v>
      </c>
      <c r="F26976" s="2">
        <v>5.5828494863778403E-4</v>
      </c>
    </row>
    <row r="26977" spans="1:6" x14ac:dyDescent="0.25">
      <c r="A26977" s="1" t="str">
        <f t="shared" si="983"/>
        <v>37964</v>
      </c>
      <c r="B26977" s="1" t="str">
        <f>"19126"</f>
        <v>19126</v>
      </c>
      <c r="C26977" s="2">
        <v>5.2279988382224803E-3</v>
      </c>
      <c r="D26977" s="2">
        <v>9.1001011122345803E-3</v>
      </c>
      <c r="E26977" s="2">
        <v>1.5726179463459701E-2</v>
      </c>
      <c r="F26977" s="2">
        <v>6.9227333631085297E-3</v>
      </c>
    </row>
    <row r="26978" spans="1:6" x14ac:dyDescent="0.25">
      <c r="A26978" s="1" t="str">
        <f t="shared" si="983"/>
        <v>37964</v>
      </c>
      <c r="B26978" s="1" t="str">
        <f>"19131"</f>
        <v>19131</v>
      </c>
      <c r="C26978" s="2">
        <v>5.2279988382224803E-3</v>
      </c>
      <c r="D26978" s="2">
        <v>1.01112234580384E-2</v>
      </c>
      <c r="E26978" s="2">
        <v>8.3256244218316306E-3</v>
      </c>
      <c r="F26978" s="2">
        <v>6.1411344350156298E-3</v>
      </c>
    </row>
    <row r="26979" spans="1:6" x14ac:dyDescent="0.25">
      <c r="A26979" s="1" t="str">
        <f t="shared" si="983"/>
        <v>37964</v>
      </c>
      <c r="B26979" s="1" t="str">
        <f>"19128"</f>
        <v>19128</v>
      </c>
      <c r="C26979" s="2">
        <v>8.1324426372349594E-3</v>
      </c>
      <c r="D26979" s="2">
        <v>5.0556117290192102E-3</v>
      </c>
      <c r="E26979" s="2">
        <v>4.6253469010175702E-3</v>
      </c>
      <c r="F26979" s="2">
        <v>7.3693613220187498E-3</v>
      </c>
    </row>
    <row r="26980" spans="1:6" x14ac:dyDescent="0.25">
      <c r="A26980" s="1" t="str">
        <f t="shared" si="983"/>
        <v>37964</v>
      </c>
      <c r="B26980" s="1" t="str">
        <f>"19123"</f>
        <v>19123</v>
      </c>
      <c r="C26980" s="2">
        <v>5.2279988382224803E-3</v>
      </c>
      <c r="D26980" s="2">
        <v>2.0222446916076799E-2</v>
      </c>
      <c r="E26980" s="2">
        <v>8.3256244218316306E-3</v>
      </c>
      <c r="F26980" s="2">
        <v>7.2577043322912E-3</v>
      </c>
    </row>
    <row r="26981" spans="1:6" x14ac:dyDescent="0.25">
      <c r="A26981" s="1" t="str">
        <f t="shared" si="983"/>
        <v>37964</v>
      </c>
      <c r="B26981" s="1" t="str">
        <f>"19151"</f>
        <v>19151</v>
      </c>
      <c r="C26981" s="2">
        <v>6.5349985477781E-3</v>
      </c>
      <c r="D26981" s="2">
        <v>2.4266936299292202E-2</v>
      </c>
      <c r="E26981" s="2">
        <v>2.0351526364477301E-2</v>
      </c>
      <c r="F26981" s="2">
        <v>1.01607860652076E-2</v>
      </c>
    </row>
    <row r="26982" spans="1:6" x14ac:dyDescent="0.25">
      <c r="A26982" s="1" t="str">
        <f t="shared" si="983"/>
        <v>37964</v>
      </c>
      <c r="B26982" s="1" t="str">
        <f>"19106"</f>
        <v>19106</v>
      </c>
      <c r="C26982" s="2">
        <v>2.7011327330816098E-2</v>
      </c>
      <c r="D26982" s="2">
        <v>2.22446916076845E-2</v>
      </c>
      <c r="E26982" s="2">
        <v>1.38760407030527E-2</v>
      </c>
      <c r="F26982" s="2">
        <v>2.4899508709245101E-2</v>
      </c>
    </row>
    <row r="26983" spans="1:6" x14ac:dyDescent="0.25">
      <c r="A26983" s="1" t="str">
        <f t="shared" si="983"/>
        <v>37964</v>
      </c>
      <c r="B26983" s="1" t="str">
        <f>"19133"</f>
        <v>19133</v>
      </c>
      <c r="C26983" s="2">
        <v>1.24891083357537E-2</v>
      </c>
      <c r="D26983" s="2">
        <v>5.0556117290192102E-3</v>
      </c>
      <c r="E26983" s="2">
        <v>9.2506938020351492E-3</v>
      </c>
      <c r="F26983" s="2">
        <v>1.12773559624832E-2</v>
      </c>
    </row>
    <row r="26984" spans="1:6" x14ac:dyDescent="0.25">
      <c r="A26984" s="1" t="str">
        <f t="shared" si="983"/>
        <v>37964</v>
      </c>
      <c r="B26984" s="1" t="str">
        <f>"19078"</f>
        <v>19078</v>
      </c>
      <c r="C26984" s="2">
        <v>1.88788846935811E-3</v>
      </c>
      <c r="D26984" s="2">
        <v>5.0556117290192102E-3</v>
      </c>
      <c r="E26984" s="2">
        <v>5.5504162812210897E-3</v>
      </c>
      <c r="F26984" s="2">
        <v>2.6797677534613601E-3</v>
      </c>
    </row>
    <row r="26985" spans="1:6" x14ac:dyDescent="0.25">
      <c r="A26985" s="1" t="str">
        <f t="shared" si="983"/>
        <v>37964</v>
      </c>
      <c r="B26985" s="1" t="str">
        <f>"19107"</f>
        <v>19107</v>
      </c>
      <c r="C26985" s="2">
        <v>4.2985768225384802E-2</v>
      </c>
      <c r="D26985" s="2">
        <v>4.24671385237613E-2</v>
      </c>
      <c r="E26985" s="2">
        <v>1.38760407030527E-2</v>
      </c>
      <c r="F26985" s="2">
        <v>3.9414917373827602E-2</v>
      </c>
    </row>
    <row r="26986" spans="1:6" x14ac:dyDescent="0.25">
      <c r="A26986" s="1" t="str">
        <f t="shared" si="983"/>
        <v>37964</v>
      </c>
      <c r="B26986" s="1" t="str">
        <f>"19104"</f>
        <v>19104</v>
      </c>
      <c r="C26986" s="2">
        <v>7.7403427243682807E-2</v>
      </c>
      <c r="D26986" s="2">
        <v>4.4489383215369001E-2</v>
      </c>
      <c r="E26986" s="2">
        <v>6.0129509713228398E-2</v>
      </c>
      <c r="F26986" s="2">
        <v>7.1683787405091501E-2</v>
      </c>
    </row>
    <row r="26987" spans="1:6" x14ac:dyDescent="0.25">
      <c r="A26987" s="1" t="str">
        <f t="shared" si="983"/>
        <v>37964</v>
      </c>
      <c r="B26987" s="1" t="str">
        <f>"19136"</f>
        <v>19136</v>
      </c>
      <c r="C26987" s="2">
        <v>4.64711007841998E-3</v>
      </c>
      <c r="D26987" s="2">
        <v>1.8200202224469102E-2</v>
      </c>
      <c r="E26987" s="2">
        <v>1.48011100832562E-2</v>
      </c>
      <c r="F26987" s="2">
        <v>7.3693613220187498E-3</v>
      </c>
    </row>
    <row r="26988" spans="1:6" x14ac:dyDescent="0.25">
      <c r="A26988" s="1" t="str">
        <f t="shared" si="983"/>
        <v>37964</v>
      </c>
      <c r="B26988" s="1" t="str">
        <f>"19121"</f>
        <v>19121</v>
      </c>
      <c r="C26988" s="2">
        <v>9.8170200406622096E-2</v>
      </c>
      <c r="D26988" s="2">
        <v>1.2133468149646101E-2</v>
      </c>
      <c r="E26988" s="2">
        <v>4.5328399629972198E-2</v>
      </c>
      <c r="F26988" s="2">
        <v>8.2291201429209399E-2</v>
      </c>
    </row>
    <row r="26989" spans="1:6" x14ac:dyDescent="0.25">
      <c r="A26989" s="1" t="str">
        <f t="shared" si="983"/>
        <v>37964</v>
      </c>
      <c r="B26989" s="1" t="str">
        <f>"19070"</f>
        <v>19070</v>
      </c>
      <c r="C26989" s="2">
        <v>1.5974440894568601E-3</v>
      </c>
      <c r="D26989" s="2">
        <v>7.0778564206268896E-3</v>
      </c>
      <c r="E26989" s="2">
        <v>5.5504162812210897E-3</v>
      </c>
      <c r="F26989" s="2">
        <v>2.6797677534613601E-3</v>
      </c>
    </row>
    <row r="26990" spans="1:6" x14ac:dyDescent="0.25">
      <c r="A26990" s="1" t="str">
        <f t="shared" si="983"/>
        <v>37964</v>
      </c>
      <c r="B26990" s="1" t="str">
        <f>"19149"</f>
        <v>19149</v>
      </c>
      <c r="C26990" s="2">
        <v>8.2776648271855897E-3</v>
      </c>
      <c r="D26990" s="2">
        <v>3.13447927199191E-2</v>
      </c>
      <c r="E26990" s="2">
        <v>2.6827012025901899E-2</v>
      </c>
      <c r="F26990" s="2">
        <v>1.30638677981241E-2</v>
      </c>
    </row>
    <row r="26991" spans="1:6" x14ac:dyDescent="0.25">
      <c r="A26991" s="1" t="str">
        <f t="shared" si="983"/>
        <v>37964</v>
      </c>
      <c r="B26991" s="1" t="str">
        <f>"19137"</f>
        <v>19137</v>
      </c>
      <c r="C26991" s="2">
        <v>0</v>
      </c>
      <c r="D26991" s="2">
        <v>1.0111223458038399E-3</v>
      </c>
      <c r="E26991" s="2">
        <v>0</v>
      </c>
      <c r="F26991" s="2">
        <v>1.11656989727556E-4</v>
      </c>
    </row>
    <row r="26992" spans="1:6" x14ac:dyDescent="0.25">
      <c r="A26992" s="1" t="str">
        <f t="shared" si="983"/>
        <v>37964</v>
      </c>
      <c r="B26992" s="1" t="str">
        <f>"19142"</f>
        <v>19142</v>
      </c>
      <c r="C26992" s="2">
        <v>1.45222189950624E-4</v>
      </c>
      <c r="D26992" s="2">
        <v>0</v>
      </c>
      <c r="E26992" s="2">
        <v>0</v>
      </c>
      <c r="F26992" s="2">
        <v>1.11656989727556E-4</v>
      </c>
    </row>
    <row r="26993" spans="1:6" x14ac:dyDescent="0.25">
      <c r="A26993" s="1" t="str">
        <f t="shared" si="983"/>
        <v>37964</v>
      </c>
      <c r="B26993" s="1" t="str">
        <f>"19116"</f>
        <v>19116</v>
      </c>
      <c r="C26993" s="2">
        <v>0</v>
      </c>
      <c r="D26993" s="2">
        <v>3.03336703741152E-3</v>
      </c>
      <c r="E26993" s="2">
        <v>9.2506938020351498E-4</v>
      </c>
      <c r="F26993" s="2">
        <v>4.46627958910227E-4</v>
      </c>
    </row>
    <row r="26994" spans="1:6" x14ac:dyDescent="0.25">
      <c r="A26994" s="1" t="str">
        <f t="shared" si="983"/>
        <v>37964</v>
      </c>
      <c r="B26994" s="1" t="str">
        <f>"19112"</f>
        <v>19112</v>
      </c>
      <c r="C26994" s="2">
        <v>0</v>
      </c>
      <c r="D26994" s="2">
        <v>0</v>
      </c>
      <c r="E26994" s="2">
        <v>9.2506938020351498E-4</v>
      </c>
      <c r="F26994" s="2">
        <v>1.11656989727556E-4</v>
      </c>
    </row>
    <row r="26995" spans="1:6" x14ac:dyDescent="0.25">
      <c r="A26995" s="1" t="str">
        <f t="shared" si="983"/>
        <v>37964</v>
      </c>
      <c r="B26995" s="1" t="str">
        <f>"19140"</f>
        <v>19140</v>
      </c>
      <c r="C26995" s="2">
        <v>1.45222189950624E-4</v>
      </c>
      <c r="D26995" s="2">
        <v>0</v>
      </c>
      <c r="E26995" s="2">
        <v>9.2506938020351498E-4</v>
      </c>
      <c r="F26995" s="2">
        <v>2.2331397945511301E-4</v>
      </c>
    </row>
    <row r="26996" spans="1:6" x14ac:dyDescent="0.25">
      <c r="A26996" s="1" t="str">
        <f t="shared" si="983"/>
        <v>37964</v>
      </c>
      <c r="B26996" s="1" t="str">
        <f>"19190"</f>
        <v>19190</v>
      </c>
      <c r="C26996" s="2">
        <v>0</v>
      </c>
      <c r="D26996" s="2">
        <v>0</v>
      </c>
      <c r="E26996" s="2">
        <v>9.2506938020351498E-4</v>
      </c>
      <c r="F26996" s="2">
        <v>1.11656989727556E-4</v>
      </c>
    </row>
    <row r="26997" spans="1:6" x14ac:dyDescent="0.25">
      <c r="A26997" s="1" t="str">
        <f t="shared" si="983"/>
        <v>37964</v>
      </c>
      <c r="B26997" s="1" t="str">
        <f>"19014"</f>
        <v>19014</v>
      </c>
      <c r="C26997" s="2">
        <v>2.1783328492593602E-3</v>
      </c>
      <c r="D26997" s="2">
        <v>3.03336703741152E-3</v>
      </c>
      <c r="E26997" s="2">
        <v>1.85013876040703E-3</v>
      </c>
      <c r="F26997" s="2">
        <v>2.2331397945511301E-3</v>
      </c>
    </row>
    <row r="26998" spans="1:6" x14ac:dyDescent="0.25">
      <c r="A26998" s="1" t="str">
        <f t="shared" si="983"/>
        <v>37964</v>
      </c>
      <c r="B26998" s="1" t="str">
        <f>"19015"</f>
        <v>19015</v>
      </c>
      <c r="C26998" s="2">
        <v>0</v>
      </c>
      <c r="D26998" s="2">
        <v>4.0444893832153597E-3</v>
      </c>
      <c r="E26998" s="2">
        <v>9.2506938020351498E-4</v>
      </c>
      <c r="F26998" s="2">
        <v>5.5828494863778403E-4</v>
      </c>
    </row>
    <row r="26999" spans="1:6" x14ac:dyDescent="0.25">
      <c r="A26999" s="1" t="str">
        <f t="shared" si="983"/>
        <v>37964</v>
      </c>
      <c r="B26999" s="1" t="str">
        <f>"19132"</f>
        <v>19132</v>
      </c>
      <c r="C26999" s="2">
        <v>1.7426662794074899E-3</v>
      </c>
      <c r="D26999" s="2">
        <v>5.0556117290192102E-3</v>
      </c>
      <c r="E26999" s="2">
        <v>6.4754856614246004E-3</v>
      </c>
      <c r="F26999" s="2">
        <v>2.6797677534613601E-3</v>
      </c>
    </row>
    <row r="27000" spans="1:6" x14ac:dyDescent="0.25">
      <c r="A27000" s="1" t="str">
        <f t="shared" si="983"/>
        <v>37964</v>
      </c>
      <c r="B27000" s="1" t="str">
        <f>"19041"</f>
        <v>19041</v>
      </c>
      <c r="C27000" s="2">
        <v>1.45222189950624E-4</v>
      </c>
      <c r="D27000" s="2">
        <v>0</v>
      </c>
      <c r="E27000" s="2">
        <v>1.85013876040703E-3</v>
      </c>
      <c r="F27000" s="2">
        <v>3.3497096918267002E-4</v>
      </c>
    </row>
    <row r="27001" spans="1:6" x14ac:dyDescent="0.25">
      <c r="A27001" s="1" t="str">
        <f t="shared" si="983"/>
        <v>37964</v>
      </c>
      <c r="B27001" s="1" t="str">
        <f>"19061"</f>
        <v>19061</v>
      </c>
      <c r="C27001" s="2">
        <v>1.45222189950624E-4</v>
      </c>
      <c r="D27001" s="2">
        <v>0</v>
      </c>
      <c r="E27001" s="2">
        <v>0</v>
      </c>
      <c r="F27001" s="2">
        <v>1.11656989727556E-4</v>
      </c>
    </row>
    <row r="27002" spans="1:6" x14ac:dyDescent="0.25">
      <c r="A27002" s="1" t="str">
        <f t="shared" si="983"/>
        <v>37964</v>
      </c>
      <c r="B27002" s="1" t="str">
        <f>"19064"</f>
        <v>19064</v>
      </c>
      <c r="C27002" s="2">
        <v>0</v>
      </c>
      <c r="D27002" s="2">
        <v>1.0111223458038399E-3</v>
      </c>
      <c r="E27002" s="2">
        <v>0</v>
      </c>
      <c r="F27002" s="2">
        <v>1.11656989727556E-4</v>
      </c>
    </row>
    <row r="27003" spans="1:6" x14ac:dyDescent="0.25">
      <c r="A27003" s="1" t="str">
        <f t="shared" ref="A27003:A27034" si="984">"37964"</f>
        <v>37964</v>
      </c>
      <c r="B27003" s="1" t="str">
        <f>"19150"</f>
        <v>19150</v>
      </c>
      <c r="C27003" s="2">
        <v>0</v>
      </c>
      <c r="D27003" s="2">
        <v>0</v>
      </c>
      <c r="E27003" s="2">
        <v>9.2506938020351498E-4</v>
      </c>
      <c r="F27003" s="2">
        <v>1.11656989727556E-4</v>
      </c>
    </row>
    <row r="27004" spans="1:6" x14ac:dyDescent="0.25">
      <c r="A27004" s="1" t="str">
        <f t="shared" si="984"/>
        <v>37964</v>
      </c>
      <c r="B27004" s="1" t="str">
        <f>"19013"</f>
        <v>19013</v>
      </c>
      <c r="C27004" s="2">
        <v>2.75922160906186E-3</v>
      </c>
      <c r="D27004" s="2">
        <v>1.01112234580384E-2</v>
      </c>
      <c r="E27004" s="2">
        <v>8.3256244218316306E-3</v>
      </c>
      <c r="F27004" s="2">
        <v>4.2429656096471596E-3</v>
      </c>
    </row>
    <row r="27005" spans="1:6" x14ac:dyDescent="0.25">
      <c r="A27005" s="1" t="str">
        <f t="shared" si="984"/>
        <v>37964</v>
      </c>
      <c r="B27005" s="1" t="str">
        <f>"19023"</f>
        <v>19023</v>
      </c>
      <c r="C27005" s="2">
        <v>0</v>
      </c>
      <c r="D27005" s="2">
        <v>1.0111223458038399E-3</v>
      </c>
      <c r="E27005" s="2">
        <v>0</v>
      </c>
      <c r="F27005" s="2">
        <v>1.11656989727556E-4</v>
      </c>
    </row>
    <row r="27006" spans="1:6" x14ac:dyDescent="0.25">
      <c r="A27006" s="1" t="str">
        <f t="shared" si="984"/>
        <v>37964</v>
      </c>
      <c r="B27006" s="1" t="str">
        <f>"19154"</f>
        <v>19154</v>
      </c>
      <c r="C27006" s="2">
        <v>2.9044437990124799E-3</v>
      </c>
      <c r="D27006" s="2">
        <v>1.0111223458038399E-3</v>
      </c>
      <c r="E27006" s="2">
        <v>6.4754856614246004E-3</v>
      </c>
      <c r="F27006" s="2">
        <v>3.1263957123715898E-3</v>
      </c>
    </row>
    <row r="27007" spans="1:6" x14ac:dyDescent="0.25">
      <c r="A27007" s="1" t="str">
        <f t="shared" si="984"/>
        <v>37964</v>
      </c>
      <c r="B27007" s="1" t="str">
        <f>"19103"</f>
        <v>19103</v>
      </c>
      <c r="C27007" s="2">
        <v>2.6285216381063001E-2</v>
      </c>
      <c r="D27007" s="2">
        <v>2.3255813953488299E-2</v>
      </c>
      <c r="E27007" s="2">
        <v>3.6077705827936998E-2</v>
      </c>
      <c r="F27007" s="2">
        <v>2.7132648503796299E-2</v>
      </c>
    </row>
    <row r="27008" spans="1:6" x14ac:dyDescent="0.25">
      <c r="A27008" s="1" t="str">
        <f t="shared" si="984"/>
        <v>37964</v>
      </c>
      <c r="B27008" s="1" t="str">
        <f>"19148"</f>
        <v>19148</v>
      </c>
      <c r="C27008" s="2">
        <v>5.0101655532965403E-2</v>
      </c>
      <c r="D27008" s="2">
        <v>0.15975733063700701</v>
      </c>
      <c r="E27008" s="2">
        <v>5.5504162812210898E-2</v>
      </c>
      <c r="F27008" s="2">
        <v>6.2862885216614497E-2</v>
      </c>
    </row>
    <row r="27009" spans="1:6" x14ac:dyDescent="0.25">
      <c r="A27009" s="1" t="str">
        <f t="shared" si="984"/>
        <v>37964</v>
      </c>
      <c r="B27009" s="1" t="str">
        <f>"19026"</f>
        <v>19026</v>
      </c>
      <c r="C27009" s="2">
        <v>9.1054313099041495E-2</v>
      </c>
      <c r="D27009" s="2">
        <v>1.71890798786653E-2</v>
      </c>
      <c r="E27009" s="2">
        <v>9.80573543015726E-2</v>
      </c>
      <c r="F27009" s="2">
        <v>8.3742742295667694E-2</v>
      </c>
    </row>
    <row r="27010" spans="1:6" x14ac:dyDescent="0.25">
      <c r="A27010" s="1" t="str">
        <f t="shared" si="984"/>
        <v>37964</v>
      </c>
      <c r="B27010" s="1" t="str">
        <f>"19143"</f>
        <v>19143</v>
      </c>
      <c r="C27010" s="2">
        <v>4.3566656985187302E-2</v>
      </c>
      <c r="D27010" s="2">
        <v>9.1001011122345803E-3</v>
      </c>
      <c r="E27010" s="2">
        <v>2.22016651248843E-2</v>
      </c>
      <c r="F27010" s="2">
        <v>3.7181777579276397E-2</v>
      </c>
    </row>
    <row r="27011" spans="1:6" x14ac:dyDescent="0.25">
      <c r="A27011" s="1" t="str">
        <f t="shared" si="984"/>
        <v>37964</v>
      </c>
      <c r="B27011" s="1" t="str">
        <f>"19074"</f>
        <v>19074</v>
      </c>
      <c r="C27011" s="2">
        <v>4.3566656985187302E-4</v>
      </c>
      <c r="D27011" s="2">
        <v>1.0111223458038399E-3</v>
      </c>
      <c r="E27011" s="2">
        <v>9.2506938020351498E-4</v>
      </c>
      <c r="F27011" s="2">
        <v>5.5828494863778403E-4</v>
      </c>
    </row>
    <row r="27012" spans="1:6" x14ac:dyDescent="0.25">
      <c r="A27012" s="1" t="str">
        <f t="shared" si="984"/>
        <v>37964</v>
      </c>
      <c r="B27012" s="1" t="str">
        <f>"19120"</f>
        <v>19120</v>
      </c>
      <c r="C27012" s="2">
        <v>2.9044437990124799E-4</v>
      </c>
      <c r="D27012" s="2">
        <v>0</v>
      </c>
      <c r="E27012" s="2">
        <v>0</v>
      </c>
      <c r="F27012" s="2">
        <v>2.2331397945511301E-4</v>
      </c>
    </row>
    <row r="27013" spans="1:6" x14ac:dyDescent="0.25">
      <c r="A27013" s="1" t="str">
        <f t="shared" si="984"/>
        <v>37964</v>
      </c>
      <c r="B27013" s="1" t="str">
        <f>"19114"</f>
        <v>19114</v>
      </c>
      <c r="C27013" s="2">
        <v>0</v>
      </c>
      <c r="D27013" s="2">
        <v>3.03336703741152E-3</v>
      </c>
      <c r="E27013" s="2">
        <v>9.2506938020351498E-4</v>
      </c>
      <c r="F27013" s="2">
        <v>4.46627958910227E-4</v>
      </c>
    </row>
    <row r="27014" spans="1:6" x14ac:dyDescent="0.25">
      <c r="A27014" s="1" t="str">
        <f t="shared" si="984"/>
        <v>37964</v>
      </c>
      <c r="B27014" s="1" t="str">
        <f>"19373"</f>
        <v>19373</v>
      </c>
      <c r="C27014" s="2">
        <v>0</v>
      </c>
      <c r="D27014" s="2">
        <v>1.01112234580384E-2</v>
      </c>
      <c r="E27014" s="2">
        <v>1.85013876040703E-3</v>
      </c>
      <c r="F27014" s="2">
        <v>1.3398838767306801E-3</v>
      </c>
    </row>
    <row r="27015" spans="1:6" x14ac:dyDescent="0.25">
      <c r="A27015" s="1" t="str">
        <f t="shared" si="984"/>
        <v>37964</v>
      </c>
      <c r="B27015" s="1" t="str">
        <f>"19113"</f>
        <v>19113</v>
      </c>
      <c r="C27015" s="2">
        <v>0</v>
      </c>
      <c r="D27015" s="2">
        <v>0</v>
      </c>
      <c r="E27015" s="2">
        <v>9.2506938020351498E-4</v>
      </c>
      <c r="F27015" s="2">
        <v>1.11656989727556E-4</v>
      </c>
    </row>
    <row r="27016" spans="1:6" x14ac:dyDescent="0.25">
      <c r="A27016" s="1" t="str">
        <f t="shared" si="984"/>
        <v>37964</v>
      </c>
      <c r="B27016" s="1" t="str">
        <f>"19043"</f>
        <v>19043</v>
      </c>
      <c r="C27016" s="2">
        <v>4.3566656985187302E-4</v>
      </c>
      <c r="D27016" s="2">
        <v>3.03336703741152E-3</v>
      </c>
      <c r="E27016" s="2">
        <v>9.2506938020351498E-4</v>
      </c>
      <c r="F27016" s="2">
        <v>7.8159892809289799E-4</v>
      </c>
    </row>
    <row r="27017" spans="1:6" x14ac:dyDescent="0.25">
      <c r="A27017" s="1" t="str">
        <f t="shared" si="984"/>
        <v>37964</v>
      </c>
      <c r="B27017" s="1" t="str">
        <f>"19018"</f>
        <v>19018</v>
      </c>
      <c r="C27017" s="2">
        <v>8.7133313970374604E-4</v>
      </c>
      <c r="D27017" s="2">
        <v>6.0667340748230504E-3</v>
      </c>
      <c r="E27017" s="2">
        <v>3.7002775208140599E-3</v>
      </c>
      <c r="F27017" s="2">
        <v>1.7865118356409099E-3</v>
      </c>
    </row>
    <row r="27018" spans="1:6" x14ac:dyDescent="0.25">
      <c r="A27018" s="1" t="str">
        <f t="shared" si="984"/>
        <v>37964</v>
      </c>
      <c r="B27018" s="1" t="str">
        <f>"19110"</f>
        <v>19110</v>
      </c>
      <c r="C27018" s="2">
        <v>0</v>
      </c>
      <c r="D27018" s="2">
        <v>1.0111223458038399E-3</v>
      </c>
      <c r="E27018" s="2">
        <v>9.2506938020351498E-4</v>
      </c>
      <c r="F27018" s="2">
        <v>2.2331397945511301E-4</v>
      </c>
    </row>
    <row r="27019" spans="1:6" x14ac:dyDescent="0.25">
      <c r="A27019" s="1" t="str">
        <f t="shared" si="984"/>
        <v>37964</v>
      </c>
      <c r="B27019" s="1" t="str">
        <f>"19134"</f>
        <v>19134</v>
      </c>
      <c r="C27019" s="2">
        <v>9.7298867266918301E-3</v>
      </c>
      <c r="D27019" s="2">
        <v>1.2133468149646101E-2</v>
      </c>
      <c r="E27019" s="2">
        <v>1.38760407030527E-2</v>
      </c>
      <c r="F27019" s="2">
        <v>1.0495757034390299E-2</v>
      </c>
    </row>
    <row r="27020" spans="1:6" x14ac:dyDescent="0.25">
      <c r="A27020" s="1" t="str">
        <f t="shared" si="984"/>
        <v>37964</v>
      </c>
      <c r="B27020" s="1" t="str">
        <f>"19138"</f>
        <v>19138</v>
      </c>
      <c r="C27020" s="2">
        <v>2.75922160906186E-3</v>
      </c>
      <c r="D27020" s="2">
        <v>8.0889787664307298E-3</v>
      </c>
      <c r="E27020" s="2">
        <v>8.3256244218316306E-3</v>
      </c>
      <c r="F27020" s="2">
        <v>4.0196516301920504E-3</v>
      </c>
    </row>
    <row r="27021" spans="1:6" x14ac:dyDescent="0.25">
      <c r="A27021" s="1" t="str">
        <f t="shared" si="984"/>
        <v>37964</v>
      </c>
      <c r="B27021" s="1" t="str">
        <f>"19342"</f>
        <v>19342</v>
      </c>
      <c r="C27021" s="2">
        <v>3.95004356665698E-2</v>
      </c>
      <c r="D27021" s="2">
        <v>0.15065722952477201</v>
      </c>
      <c r="E27021" s="2">
        <v>2.3126734505087801E-2</v>
      </c>
      <c r="F27021" s="2">
        <v>4.9799017418490299E-2</v>
      </c>
    </row>
    <row r="27022" spans="1:6" x14ac:dyDescent="0.25">
      <c r="A27022" s="1" t="str">
        <f t="shared" si="984"/>
        <v>37964</v>
      </c>
      <c r="B27022" s="1" t="str">
        <f>"19145"</f>
        <v>19145</v>
      </c>
      <c r="C27022" s="2">
        <v>1.3069997095556201E-3</v>
      </c>
      <c r="D27022" s="2">
        <v>1.0111223458038399E-3</v>
      </c>
      <c r="E27022" s="2">
        <v>2.7752081406105401E-3</v>
      </c>
      <c r="F27022" s="2">
        <v>1.4515408664582401E-3</v>
      </c>
    </row>
    <row r="27023" spans="1:6" x14ac:dyDescent="0.25">
      <c r="A27023" s="1" t="str">
        <f t="shared" si="984"/>
        <v>37964</v>
      </c>
      <c r="B27023" s="1" t="str">
        <f>"19130"</f>
        <v>19130</v>
      </c>
      <c r="C27023" s="2">
        <v>7.3918094684867805E-2</v>
      </c>
      <c r="D27023" s="2">
        <v>2.22446916076845E-2</v>
      </c>
      <c r="E27023" s="2">
        <v>6.5679925994449495E-2</v>
      </c>
      <c r="F27023" s="2">
        <v>6.7217507815989203E-2</v>
      </c>
    </row>
    <row r="27024" spans="1:6" x14ac:dyDescent="0.25">
      <c r="A27024" s="1" t="str">
        <f t="shared" si="984"/>
        <v>37964</v>
      </c>
      <c r="B27024" s="1" t="str">
        <f>"19118"</f>
        <v>19118</v>
      </c>
      <c r="C27024" s="2">
        <v>0</v>
      </c>
      <c r="D27024" s="2">
        <v>1.0111223458038399E-3</v>
      </c>
      <c r="E27024" s="2">
        <v>0</v>
      </c>
      <c r="F27024" s="2">
        <v>1.11656989727556E-4</v>
      </c>
    </row>
    <row r="27025" spans="1:6" x14ac:dyDescent="0.25">
      <c r="A27025" s="1" t="str">
        <f t="shared" si="984"/>
        <v>37964</v>
      </c>
      <c r="B27025" s="1" t="str">
        <f>"19129"</f>
        <v>19129</v>
      </c>
      <c r="C27025" s="2">
        <v>1.88788846935811E-3</v>
      </c>
      <c r="D27025" s="2">
        <v>1.4155712841253699E-2</v>
      </c>
      <c r="E27025" s="2">
        <v>0</v>
      </c>
      <c r="F27025" s="2">
        <v>3.01473872264403E-3</v>
      </c>
    </row>
    <row r="27026" spans="1:6" x14ac:dyDescent="0.25">
      <c r="A27026" s="1" t="str">
        <f t="shared" si="984"/>
        <v>37964</v>
      </c>
      <c r="B27026" s="1" t="str">
        <f>"19063"</f>
        <v>19063</v>
      </c>
      <c r="C27026" s="2">
        <v>3.4272436828347297E-2</v>
      </c>
      <c r="D27026" s="2">
        <v>3.13447927199191E-2</v>
      </c>
      <c r="E27026" s="2">
        <v>2.7752081406105401E-2</v>
      </c>
      <c r="F27026" s="2">
        <v>3.3162125949084402E-2</v>
      </c>
    </row>
    <row r="27027" spans="1:6" x14ac:dyDescent="0.25">
      <c r="A27027" s="1" t="str">
        <f t="shared" si="984"/>
        <v>37964</v>
      </c>
      <c r="B27027" s="1" t="str">
        <f>"19109"</f>
        <v>19109</v>
      </c>
      <c r="C27027" s="2">
        <v>0</v>
      </c>
      <c r="D27027" s="2">
        <v>0</v>
      </c>
      <c r="E27027" s="2">
        <v>9.2506938020351498E-4</v>
      </c>
      <c r="F27027" s="2">
        <v>1.11656989727556E-4</v>
      </c>
    </row>
    <row r="27028" spans="1:6" x14ac:dyDescent="0.25">
      <c r="A27028" s="1" t="str">
        <f t="shared" si="984"/>
        <v>37964</v>
      </c>
      <c r="B27028" s="1" t="str">
        <f>"19382"</f>
        <v>19382</v>
      </c>
      <c r="C27028" s="2">
        <v>4.3566656985187302E-4</v>
      </c>
      <c r="D27028" s="2">
        <v>0</v>
      </c>
      <c r="E27028" s="2">
        <v>9.2506938020351498E-4</v>
      </c>
      <c r="F27028" s="2">
        <v>4.46627958910227E-4</v>
      </c>
    </row>
    <row r="27029" spans="1:6" x14ac:dyDescent="0.25">
      <c r="A27029" s="1" t="str">
        <f t="shared" si="984"/>
        <v>37964</v>
      </c>
      <c r="B27029" s="1" t="str">
        <f>"19153"</f>
        <v>19153</v>
      </c>
      <c r="C27029" s="2">
        <v>0</v>
      </c>
      <c r="D27029" s="2">
        <v>0</v>
      </c>
      <c r="E27029" s="2">
        <v>9.2506938020351498E-4</v>
      </c>
      <c r="F27029" s="2">
        <v>1.11656989727556E-4</v>
      </c>
    </row>
    <row r="27030" spans="1:6" x14ac:dyDescent="0.25">
      <c r="A27030" s="1" t="str">
        <f t="shared" si="984"/>
        <v>37964</v>
      </c>
      <c r="B27030" s="1" t="str">
        <f>"19008"</f>
        <v>19008</v>
      </c>
      <c r="C27030" s="2">
        <v>0</v>
      </c>
      <c r="D27030" s="2">
        <v>0</v>
      </c>
      <c r="E27030" s="2">
        <v>3.7002775208140599E-3</v>
      </c>
      <c r="F27030" s="2">
        <v>4.46627958910227E-4</v>
      </c>
    </row>
    <row r="27031" spans="1:6" x14ac:dyDescent="0.25">
      <c r="A27031" s="1" t="str">
        <f t="shared" si="984"/>
        <v>37964</v>
      </c>
      <c r="B27031" s="1" t="str">
        <f>"19094"</f>
        <v>19094</v>
      </c>
      <c r="C27031" s="2">
        <v>5.8088875980249702E-3</v>
      </c>
      <c r="D27031" s="2">
        <v>1.0111223458038399E-3</v>
      </c>
      <c r="E27031" s="2">
        <v>0</v>
      </c>
      <c r="F27031" s="2">
        <v>4.5779365788298299E-3</v>
      </c>
    </row>
    <row r="27032" spans="1:6" x14ac:dyDescent="0.25">
      <c r="A27032" s="1" t="str">
        <f t="shared" si="984"/>
        <v>37964</v>
      </c>
      <c r="B27032" s="1" t="str">
        <f>"19050"</f>
        <v>19050</v>
      </c>
      <c r="C27032" s="2">
        <v>2.9044437990124799E-4</v>
      </c>
      <c r="D27032" s="2">
        <v>1.0111223458038399E-3</v>
      </c>
      <c r="E27032" s="2">
        <v>9.2506938020351498E-4</v>
      </c>
      <c r="F27032" s="2">
        <v>4.46627958910227E-4</v>
      </c>
    </row>
    <row r="27033" spans="1:6" x14ac:dyDescent="0.25">
      <c r="A27033" s="1" t="str">
        <f t="shared" si="984"/>
        <v>37964</v>
      </c>
      <c r="B27033" s="1" t="str">
        <f>"19081"</f>
        <v>19081</v>
      </c>
      <c r="C27033" s="2">
        <v>2.9044437990124799E-4</v>
      </c>
      <c r="D27033" s="2">
        <v>5.0556117290192102E-3</v>
      </c>
      <c r="E27033" s="2">
        <v>1.85013876040703E-3</v>
      </c>
      <c r="F27033" s="2">
        <v>1.00491290754801E-3</v>
      </c>
    </row>
    <row r="27034" spans="1:6" x14ac:dyDescent="0.25">
      <c r="A27034" s="1" t="str">
        <f t="shared" si="984"/>
        <v>37964</v>
      </c>
      <c r="B27034" s="1" t="str">
        <f>"19127"</f>
        <v>19127</v>
      </c>
      <c r="C27034" s="2">
        <v>9.7298867266918301E-3</v>
      </c>
      <c r="D27034" s="2">
        <v>1.0111223458038399E-3</v>
      </c>
      <c r="E27034" s="2">
        <v>3.7002775208140599E-3</v>
      </c>
      <c r="F27034" s="2">
        <v>8.0393032603841008E-3</v>
      </c>
    </row>
    <row r="27035" spans="1:6" x14ac:dyDescent="0.25">
      <c r="A27035" s="1" t="str">
        <f t="shared" ref="A27035:A27051" si="985">"37964"</f>
        <v>37964</v>
      </c>
      <c r="B27035" s="1" t="str">
        <f>"19317"</f>
        <v>19317</v>
      </c>
      <c r="C27035" s="2">
        <v>0</v>
      </c>
      <c r="D27035" s="2">
        <v>0</v>
      </c>
      <c r="E27035" s="2">
        <v>9.2506938020351498E-4</v>
      </c>
      <c r="F27035" s="2">
        <v>1.11656989727556E-4</v>
      </c>
    </row>
    <row r="27036" spans="1:6" x14ac:dyDescent="0.25">
      <c r="A27036" s="1" t="str">
        <f t="shared" si="985"/>
        <v>37964</v>
      </c>
      <c r="B27036" s="1" t="str">
        <f>"19125"</f>
        <v>19125</v>
      </c>
      <c r="C27036" s="2">
        <v>3.8338658146964799E-2</v>
      </c>
      <c r="D27036" s="2">
        <v>2.3255813953488299E-2</v>
      </c>
      <c r="E27036" s="2">
        <v>4.9953746530989801E-2</v>
      </c>
      <c r="F27036" s="2">
        <v>3.80750334970969E-2</v>
      </c>
    </row>
    <row r="27037" spans="1:6" x14ac:dyDescent="0.25">
      <c r="A27037" s="1" t="str">
        <f t="shared" si="985"/>
        <v>37964</v>
      </c>
      <c r="B27037" s="1" t="str">
        <f>"19119"</f>
        <v>19119</v>
      </c>
      <c r="C27037" s="2">
        <v>5.3732210281731002E-3</v>
      </c>
      <c r="D27037" s="2">
        <v>1.0111223458038399E-3</v>
      </c>
      <c r="E27037" s="2">
        <v>2.7752081406105401E-3</v>
      </c>
      <c r="F27037" s="2">
        <v>4.5779365788298299E-3</v>
      </c>
    </row>
    <row r="27038" spans="1:6" x14ac:dyDescent="0.25">
      <c r="A27038" s="1" t="str">
        <f t="shared" si="985"/>
        <v>37964</v>
      </c>
      <c r="B27038" s="1" t="str">
        <f>"19139"</f>
        <v>19139</v>
      </c>
      <c r="C27038" s="2">
        <v>3.0932326459483E-2</v>
      </c>
      <c r="D27038" s="2">
        <v>1.2133468149646101E-2</v>
      </c>
      <c r="E27038" s="2">
        <v>5.5504162812210898E-2</v>
      </c>
      <c r="F27038" s="2">
        <v>3.18222420723537E-2</v>
      </c>
    </row>
    <row r="27039" spans="1:6" x14ac:dyDescent="0.25">
      <c r="A27039" s="1" t="str">
        <f t="shared" si="985"/>
        <v>37964</v>
      </c>
      <c r="B27039" s="1" t="str">
        <f>"19036"</f>
        <v>19036</v>
      </c>
      <c r="C27039" s="2">
        <v>4.3566656985187302E-4</v>
      </c>
      <c r="D27039" s="2">
        <v>0</v>
      </c>
      <c r="E27039" s="2">
        <v>0</v>
      </c>
      <c r="F27039" s="2">
        <v>3.3497096918267002E-4</v>
      </c>
    </row>
    <row r="27040" spans="1:6" x14ac:dyDescent="0.25">
      <c r="A27040" s="1" t="str">
        <f t="shared" si="985"/>
        <v>37964</v>
      </c>
      <c r="B27040" s="1" t="str">
        <f>"19144"</f>
        <v>19144</v>
      </c>
      <c r="C27040" s="2">
        <v>3.77577693871623E-3</v>
      </c>
      <c r="D27040" s="2">
        <v>3.03336703741152E-3</v>
      </c>
      <c r="E27040" s="2">
        <v>1.01757631822386E-2</v>
      </c>
      <c r="F27040" s="2">
        <v>4.4662795891022697E-3</v>
      </c>
    </row>
    <row r="27041" spans="1:6" x14ac:dyDescent="0.25">
      <c r="A27041" s="1" t="str">
        <f t="shared" si="985"/>
        <v>37964</v>
      </c>
      <c r="B27041" s="1" t="str">
        <f>"19033"</f>
        <v>19033</v>
      </c>
      <c r="C27041" s="2">
        <v>1.45222189950624E-3</v>
      </c>
      <c r="D27041" s="2">
        <v>7.0778564206268896E-3</v>
      </c>
      <c r="E27041" s="2">
        <v>4.6253469010175702E-3</v>
      </c>
      <c r="F27041" s="2">
        <v>2.4564537740062501E-3</v>
      </c>
    </row>
    <row r="27042" spans="1:6" x14ac:dyDescent="0.25">
      <c r="A27042" s="1" t="str">
        <f t="shared" si="985"/>
        <v>37964</v>
      </c>
      <c r="B27042" s="1" t="str">
        <f>"19102"</f>
        <v>19102</v>
      </c>
      <c r="C27042" s="2">
        <v>2.93348823700261E-2</v>
      </c>
      <c r="D27042" s="2">
        <v>1.4155712841253699E-2</v>
      </c>
      <c r="E27042" s="2">
        <v>1.01757631822386E-2</v>
      </c>
      <c r="F27042" s="2">
        <v>2.5346136668155401E-2</v>
      </c>
    </row>
    <row r="27043" spans="1:6" x14ac:dyDescent="0.25">
      <c r="A27043" s="1" t="str">
        <f t="shared" si="985"/>
        <v>37964</v>
      </c>
      <c r="B27043" s="1" t="str">
        <f>"19122"</f>
        <v>19122</v>
      </c>
      <c r="C27043" s="2">
        <v>0.104414754574498</v>
      </c>
      <c r="D27043" s="2">
        <v>1.51668351870576E-2</v>
      </c>
      <c r="E27043" s="2">
        <v>3.3302497687326502E-2</v>
      </c>
      <c r="F27043" s="2">
        <v>8.5975882090218794E-2</v>
      </c>
    </row>
    <row r="27044" spans="1:6" x14ac:dyDescent="0.25">
      <c r="A27044" s="1" t="str">
        <f t="shared" si="985"/>
        <v>37964</v>
      </c>
      <c r="B27044" s="1" t="str">
        <f>"19124"</f>
        <v>19124</v>
      </c>
      <c r="C27044" s="2">
        <v>2.9044437990124799E-4</v>
      </c>
      <c r="D27044" s="2">
        <v>1.0111223458038399E-3</v>
      </c>
      <c r="E27044" s="2">
        <v>0</v>
      </c>
      <c r="F27044" s="2">
        <v>3.3497096918267002E-4</v>
      </c>
    </row>
    <row r="27045" spans="1:6" x14ac:dyDescent="0.25">
      <c r="A27045" s="1" t="str">
        <f t="shared" si="985"/>
        <v>37964</v>
      </c>
      <c r="B27045" s="1" t="str">
        <f>"19010"</f>
        <v>19010</v>
      </c>
      <c r="C27045" s="2">
        <v>1.7426662794074899E-3</v>
      </c>
      <c r="D27045" s="2">
        <v>0</v>
      </c>
      <c r="E27045" s="2">
        <v>1.85013876040703E-3</v>
      </c>
      <c r="F27045" s="2">
        <v>1.5631978561857899E-3</v>
      </c>
    </row>
    <row r="27046" spans="1:6" x14ac:dyDescent="0.25">
      <c r="A27046" s="1" t="str">
        <f t="shared" si="985"/>
        <v>37964</v>
      </c>
      <c r="B27046" s="1" t="str">
        <f>"19135"</f>
        <v>19135</v>
      </c>
      <c r="C27046" s="2">
        <v>2.1783328492593602E-3</v>
      </c>
      <c r="D27046" s="2">
        <v>6.0667340748230504E-3</v>
      </c>
      <c r="E27046" s="2">
        <v>7.4005550416281199E-3</v>
      </c>
      <c r="F27046" s="2">
        <v>3.23805270209915E-3</v>
      </c>
    </row>
    <row r="27047" spans="1:6" x14ac:dyDescent="0.25">
      <c r="A27047" s="1" t="str">
        <f t="shared" si="985"/>
        <v>37964</v>
      </c>
      <c r="B27047" s="1" t="str">
        <f>"19079"</f>
        <v>19079</v>
      </c>
      <c r="C27047" s="2">
        <v>5.8088875980249696E-4</v>
      </c>
      <c r="D27047" s="2">
        <v>0</v>
      </c>
      <c r="E27047" s="2">
        <v>9.2506938020351498E-4</v>
      </c>
      <c r="F27047" s="2">
        <v>5.5828494863778403E-4</v>
      </c>
    </row>
    <row r="27048" spans="1:6" x14ac:dyDescent="0.25">
      <c r="A27048" s="1" t="str">
        <f t="shared" si="985"/>
        <v>37964</v>
      </c>
      <c r="B27048" s="1" t="str">
        <f>"19073"</f>
        <v>19073</v>
      </c>
      <c r="C27048" s="2">
        <v>5.3732210281731002E-3</v>
      </c>
      <c r="D27048" s="2">
        <v>7.0778564206268896E-3</v>
      </c>
      <c r="E27048" s="2">
        <v>1.85013876040703E-3</v>
      </c>
      <c r="F27048" s="2">
        <v>5.1362215274676102E-3</v>
      </c>
    </row>
    <row r="27049" spans="1:6" x14ac:dyDescent="0.25">
      <c r="A27049" s="1" t="str">
        <f t="shared" si="985"/>
        <v>37964</v>
      </c>
      <c r="B27049" s="1" t="str">
        <f>"19060"</f>
        <v>19060</v>
      </c>
      <c r="C27049" s="2">
        <v>3.3401103688643599E-3</v>
      </c>
      <c r="D27049" s="2">
        <v>0</v>
      </c>
      <c r="E27049" s="2">
        <v>9.2506938020351498E-4</v>
      </c>
      <c r="F27049" s="2">
        <v>2.6797677534613601E-3</v>
      </c>
    </row>
    <row r="27050" spans="1:6" x14ac:dyDescent="0.25">
      <c r="A27050" s="1" t="str">
        <f t="shared" si="985"/>
        <v>37964</v>
      </c>
      <c r="B27050" s="1" t="str">
        <f>"19111"</f>
        <v>19111</v>
      </c>
      <c r="C27050" s="2">
        <v>1.45222189950624E-4</v>
      </c>
      <c r="D27050" s="2">
        <v>1.0111223458038399E-3</v>
      </c>
      <c r="E27050" s="2">
        <v>0</v>
      </c>
      <c r="F27050" s="2">
        <v>2.2331397945511301E-4</v>
      </c>
    </row>
    <row r="27051" spans="1:6" x14ac:dyDescent="0.25">
      <c r="A27051" s="1" t="str">
        <f t="shared" si="985"/>
        <v>37964</v>
      </c>
      <c r="B27051" s="1" t="str">
        <f>"19085"</f>
        <v>19085</v>
      </c>
      <c r="C27051" s="2">
        <v>0</v>
      </c>
      <c r="D27051" s="2">
        <v>1.0111223458038399E-3</v>
      </c>
      <c r="E27051" s="2">
        <v>0</v>
      </c>
      <c r="F27051" s="2">
        <v>1.11656989727556E-4</v>
      </c>
    </row>
    <row r="27052" spans="1:6" x14ac:dyDescent="0.25">
      <c r="A27052" s="1" t="str">
        <f t="shared" ref="A27052:A27115" si="986">"37980"</f>
        <v>37980</v>
      </c>
      <c r="B27052" s="1" t="str">
        <f>"19355"</f>
        <v>19355</v>
      </c>
      <c r="C27052" s="2">
        <v>4.7541313093557103E-3</v>
      </c>
      <c r="D27052" s="2">
        <v>7.1482333005671601E-3</v>
      </c>
      <c r="E27052" s="2">
        <v>4.3061376815754704E-3</v>
      </c>
      <c r="F27052" s="2">
        <v>4.92797056857751E-3</v>
      </c>
    </row>
    <row r="27053" spans="1:6" x14ac:dyDescent="0.25">
      <c r="A27053" s="1" t="str">
        <f t="shared" si="986"/>
        <v>37980</v>
      </c>
      <c r="B27053" s="1" t="str">
        <f>"19348"</f>
        <v>19348</v>
      </c>
      <c r="C27053" s="2">
        <v>3.4061633838168401E-3</v>
      </c>
      <c r="D27053" s="2">
        <v>3.61524572566084E-3</v>
      </c>
      <c r="E27053" s="2">
        <v>3.5980172628275E-3</v>
      </c>
      <c r="F27053" s="2">
        <v>3.4291842120475701E-3</v>
      </c>
    </row>
    <row r="27054" spans="1:6" x14ac:dyDescent="0.25">
      <c r="A27054" s="1" t="str">
        <f t="shared" si="986"/>
        <v>37980</v>
      </c>
      <c r="B27054" s="1" t="str">
        <f>"19474"</f>
        <v>19474</v>
      </c>
      <c r="C27054" s="2">
        <v>3.5438157303683399E-4</v>
      </c>
      <c r="D27054" s="2">
        <v>1.11048503518592E-3</v>
      </c>
      <c r="E27054" s="2">
        <v>1.9138389695890902E-5</v>
      </c>
      <c r="F27054" s="2">
        <v>4.0270749341216001E-4</v>
      </c>
    </row>
    <row r="27055" spans="1:6" x14ac:dyDescent="0.25">
      <c r="A27055" s="1" t="str">
        <f t="shared" si="986"/>
        <v>37980</v>
      </c>
      <c r="B27055" s="1" t="str">
        <f>"19464"</f>
        <v>19464</v>
      </c>
      <c r="C27055" s="2">
        <v>7.8055470234693501E-3</v>
      </c>
      <c r="D27055" s="2">
        <v>8.6247671066106701E-3</v>
      </c>
      <c r="E27055" s="2">
        <v>1.19519243650839E-2</v>
      </c>
      <c r="F27055" s="2">
        <v>8.0109562419336706E-3</v>
      </c>
    </row>
    <row r="27056" spans="1:6" x14ac:dyDescent="0.25">
      <c r="A27056" s="1" t="str">
        <f t="shared" si="986"/>
        <v>37980</v>
      </c>
      <c r="B27056" s="1" t="str">
        <f>"19450"</f>
        <v>19450</v>
      </c>
      <c r="C27056" s="2">
        <v>1.4021502321601999E-4</v>
      </c>
      <c r="D27056" s="2">
        <v>2.22097007037184E-4</v>
      </c>
      <c r="E27056" s="2">
        <v>1.9138389695890902E-5</v>
      </c>
      <c r="F27056" s="2">
        <v>1.4257144323220799E-4</v>
      </c>
    </row>
    <row r="27057" spans="1:6" x14ac:dyDescent="0.25">
      <c r="A27057" s="1" t="str">
        <f t="shared" si="986"/>
        <v>37980</v>
      </c>
      <c r="B27057" s="1" t="str">
        <f>"21919"</f>
        <v>21919</v>
      </c>
      <c r="C27057" s="2">
        <v>8.6911348593950795E-4</v>
      </c>
      <c r="D27057" s="2">
        <v>6.1693613065884605E-5</v>
      </c>
      <c r="E27057" s="2">
        <v>9.5691948479454898E-6</v>
      </c>
      <c r="F27057" s="2">
        <v>7.7618621714117895E-4</v>
      </c>
    </row>
    <row r="27058" spans="1:6" x14ac:dyDescent="0.25">
      <c r="A27058" s="1" t="str">
        <f t="shared" si="986"/>
        <v>37980</v>
      </c>
      <c r="B27058" s="1" t="str">
        <f>"21915"</f>
        <v>21915</v>
      </c>
      <c r="C27058" s="2">
        <v>6.6409935277770302E-4</v>
      </c>
      <c r="D27058" s="2">
        <v>2.8379062010306901E-4</v>
      </c>
      <c r="E27058" s="2">
        <v>2.5836826089452802E-4</v>
      </c>
      <c r="F27058" s="2">
        <v>6.2029944549776199E-4</v>
      </c>
    </row>
    <row r="27059" spans="1:6" x14ac:dyDescent="0.25">
      <c r="A27059" s="1" t="str">
        <f t="shared" si="986"/>
        <v>37980</v>
      </c>
      <c r="B27059" s="1" t="str">
        <f>"08083"</f>
        <v>08083</v>
      </c>
      <c r="C27059" s="2">
        <v>1.50209462207658E-3</v>
      </c>
      <c r="D27059" s="2">
        <v>1.12693666533682E-3</v>
      </c>
      <c r="E27059" s="2">
        <v>5.1673652178905603E-4</v>
      </c>
      <c r="F27059" s="2">
        <v>1.43902976073329E-3</v>
      </c>
    </row>
    <row r="27060" spans="1:6" x14ac:dyDescent="0.25">
      <c r="A27060" s="1" t="str">
        <f t="shared" si="986"/>
        <v>37980</v>
      </c>
      <c r="B27060" s="1" t="str">
        <f>"08086"</f>
        <v>08086</v>
      </c>
      <c r="C27060" s="2">
        <v>1.37322859551773E-3</v>
      </c>
      <c r="D27060" s="2">
        <v>6.58065206036103E-4</v>
      </c>
      <c r="E27060" s="2">
        <v>3.6362940422192798E-4</v>
      </c>
      <c r="F27060" s="2">
        <v>1.28249346087469E-3</v>
      </c>
    </row>
    <row r="27061" spans="1:6" x14ac:dyDescent="0.25">
      <c r="A27061" s="1" t="str">
        <f t="shared" si="986"/>
        <v>37980</v>
      </c>
      <c r="B27061" s="1" t="str">
        <f>"08094"</f>
        <v>08094</v>
      </c>
      <c r="C27061" s="2">
        <v>5.8652346917594201E-3</v>
      </c>
      <c r="D27061" s="2">
        <v>3.87024599299983E-3</v>
      </c>
      <c r="E27061" s="2">
        <v>1.6746090983904599E-3</v>
      </c>
      <c r="F27061" s="2">
        <v>5.56548251177757E-3</v>
      </c>
    </row>
    <row r="27062" spans="1:6" x14ac:dyDescent="0.25">
      <c r="A27062" s="1" t="str">
        <f t="shared" si="986"/>
        <v>37980</v>
      </c>
      <c r="B27062" s="1" t="str">
        <f>"08091"</f>
        <v>08091</v>
      </c>
      <c r="C27062" s="2">
        <v>8.8119467592939998E-4</v>
      </c>
      <c r="D27062" s="2">
        <v>2.8337932934929598E-3</v>
      </c>
      <c r="E27062" s="2">
        <v>1.55977876021511E-3</v>
      </c>
      <c r="F27062" s="2">
        <v>1.0584062266372799E-3</v>
      </c>
    </row>
    <row r="27063" spans="1:6" x14ac:dyDescent="0.25">
      <c r="A27063" s="1" t="str">
        <f t="shared" si="986"/>
        <v>37980</v>
      </c>
      <c r="B27063" s="1" t="str">
        <f>"08087"</f>
        <v>08087</v>
      </c>
      <c r="C27063" s="2">
        <v>1.75360303186615E-4</v>
      </c>
      <c r="D27063" s="2">
        <v>1.6040339397129999E-4</v>
      </c>
      <c r="E27063" s="2">
        <v>2.8707584543836402E-5</v>
      </c>
      <c r="F27063" s="2">
        <v>1.6920210005462501E-4</v>
      </c>
    </row>
    <row r="27064" spans="1:6" x14ac:dyDescent="0.25">
      <c r="A27064" s="1" t="str">
        <f t="shared" si="986"/>
        <v>37980</v>
      </c>
      <c r="B27064" s="1" t="str">
        <f>"08061"</f>
        <v>08061</v>
      </c>
      <c r="C27064" s="2">
        <v>4.5212938295505098E-4</v>
      </c>
      <c r="D27064" s="2">
        <v>4.9354890452707699E-5</v>
      </c>
      <c r="E27064" s="2">
        <v>9.5691948479454898E-6</v>
      </c>
      <c r="F27064" s="2">
        <v>4.0530560627288298E-4</v>
      </c>
    </row>
    <row r="27065" spans="1:6" x14ac:dyDescent="0.25">
      <c r="A27065" s="1" t="str">
        <f t="shared" si="986"/>
        <v>37980</v>
      </c>
      <c r="B27065" s="1" t="str">
        <f>"08610"</f>
        <v>08610</v>
      </c>
      <c r="C27065" s="2">
        <v>5.5280596620415201E-5</v>
      </c>
      <c r="D27065" s="2">
        <v>4.1129075377256402E-6</v>
      </c>
      <c r="E27065" s="2">
        <v>9.5691948479454898E-6</v>
      </c>
      <c r="F27065" s="2">
        <v>4.9688908461339103E-5</v>
      </c>
    </row>
    <row r="27066" spans="1:6" x14ac:dyDescent="0.25">
      <c r="A27066" s="1" t="str">
        <f t="shared" si="986"/>
        <v>37980</v>
      </c>
      <c r="B27066" s="1" t="str">
        <f>"08328"</f>
        <v>08328</v>
      </c>
      <c r="C27066" s="2">
        <v>3.8696417634290599E-4</v>
      </c>
      <c r="D27066" s="2">
        <v>4.2362947638574099E-4</v>
      </c>
      <c r="E27066" s="2">
        <v>9.5691948479454905E-5</v>
      </c>
      <c r="F27066" s="2">
        <v>3.7997400588082799E-4</v>
      </c>
    </row>
    <row r="27067" spans="1:6" x14ac:dyDescent="0.25">
      <c r="A27067" s="1" t="str">
        <f t="shared" si="986"/>
        <v>37980</v>
      </c>
      <c r="B27067" s="1" t="str">
        <f>"08518"</f>
        <v>08518</v>
      </c>
      <c r="C27067" s="2">
        <v>9.2292969589448197E-4</v>
      </c>
      <c r="D27067" s="2">
        <v>3.16693880404874E-4</v>
      </c>
      <c r="E27067" s="2">
        <v>1.6267631241507301E-3</v>
      </c>
      <c r="F27067" s="2">
        <v>8.9894704981037001E-4</v>
      </c>
    </row>
    <row r="27068" spans="1:6" x14ac:dyDescent="0.25">
      <c r="A27068" s="1" t="str">
        <f t="shared" si="986"/>
        <v>37980</v>
      </c>
      <c r="B27068" s="1" t="str">
        <f>"08312"</f>
        <v>08312</v>
      </c>
      <c r="C27068" s="2">
        <v>1.2099494823210001E-3</v>
      </c>
      <c r="D27068" s="2">
        <v>5.3056507236660803E-4</v>
      </c>
      <c r="E27068" s="2">
        <v>6.7941283420413004E-4</v>
      </c>
      <c r="F27068" s="2">
        <v>1.13829819710453E-3</v>
      </c>
    </row>
    <row r="27069" spans="1:6" x14ac:dyDescent="0.25">
      <c r="A27069" s="1" t="str">
        <f t="shared" si="986"/>
        <v>37980</v>
      </c>
      <c r="B27069" s="1" t="str">
        <f>"19809"</f>
        <v>19809</v>
      </c>
      <c r="C27069" s="2">
        <v>2.6930070777468501E-3</v>
      </c>
      <c r="D27069" s="2">
        <v>3.1957291568128201E-3</v>
      </c>
      <c r="E27069" s="2">
        <v>3.8085395494823E-3</v>
      </c>
      <c r="F27069" s="2">
        <v>2.7705626018541402E-3</v>
      </c>
    </row>
    <row r="27070" spans="1:6" x14ac:dyDescent="0.25">
      <c r="A27070" s="1" t="str">
        <f t="shared" si="986"/>
        <v>37980</v>
      </c>
      <c r="B27070" s="1" t="str">
        <f>"19810"</f>
        <v>19810</v>
      </c>
      <c r="C27070" s="2">
        <v>3.97105054001088E-3</v>
      </c>
      <c r="D27070" s="2">
        <v>3.1216968211337601E-3</v>
      </c>
      <c r="E27070" s="2">
        <v>3.6841400164590102E-3</v>
      </c>
      <c r="F27070" s="2">
        <v>3.8942464141171001E-3</v>
      </c>
    </row>
    <row r="27071" spans="1:6" x14ac:dyDescent="0.25">
      <c r="A27071" s="1" t="str">
        <f t="shared" si="986"/>
        <v>37980</v>
      </c>
      <c r="B27071" s="1" t="str">
        <f>"19720"</f>
        <v>19720</v>
      </c>
      <c r="C27071" s="2">
        <v>9.2443069222655893E-3</v>
      </c>
      <c r="D27071" s="2">
        <v>9.2252516071186196E-3</v>
      </c>
      <c r="E27071" s="2">
        <v>8.3060611280166806E-3</v>
      </c>
      <c r="F27071" s="2">
        <v>9.2109596194803901E-3</v>
      </c>
    </row>
    <row r="27072" spans="1:6" x14ac:dyDescent="0.25">
      <c r="A27072" s="1" t="str">
        <f t="shared" si="986"/>
        <v>37980</v>
      </c>
      <c r="B27072" s="1" t="str">
        <f>"19730"</f>
        <v>19730</v>
      </c>
      <c r="C27072" s="2">
        <v>6.4433013279424297E-5</v>
      </c>
      <c r="D27072" s="2">
        <v>1.2338722613176899E-5</v>
      </c>
      <c r="E27072" s="2">
        <v>1.9138389695890902E-5</v>
      </c>
      <c r="F27072" s="2">
        <v>5.8782303473871698E-5</v>
      </c>
    </row>
    <row r="27073" spans="1:6" x14ac:dyDescent="0.25">
      <c r="A27073" s="1" t="str">
        <f t="shared" si="986"/>
        <v>37980</v>
      </c>
      <c r="B27073" s="1" t="str">
        <f>"08034"</f>
        <v>08034</v>
      </c>
      <c r="C27073" s="2">
        <v>3.3087816705649801E-3</v>
      </c>
      <c r="D27073" s="2">
        <v>7.0495235196617496E-3</v>
      </c>
      <c r="E27073" s="2">
        <v>2.25832998411513E-3</v>
      </c>
      <c r="F27073" s="2">
        <v>3.56850801420388E-3</v>
      </c>
    </row>
    <row r="27074" spans="1:6" x14ac:dyDescent="0.25">
      <c r="A27074" s="1" t="str">
        <f t="shared" si="986"/>
        <v>37980</v>
      </c>
      <c r="B27074" s="1" t="str">
        <f>"08019"</f>
        <v>08019</v>
      </c>
      <c r="C27074" s="2">
        <v>1.2959821989156901E-4</v>
      </c>
      <c r="D27074" s="2">
        <v>7.8145243216787196E-5</v>
      </c>
      <c r="E27074" s="2">
        <v>2.8707584543836402E-5</v>
      </c>
      <c r="F27074" s="2">
        <v>1.2211130445400901E-4</v>
      </c>
    </row>
    <row r="27075" spans="1:6" x14ac:dyDescent="0.25">
      <c r="A27075" s="1" t="str">
        <f t="shared" si="986"/>
        <v>37980</v>
      </c>
      <c r="B27075" s="1" t="str">
        <f>"08012"</f>
        <v>08012</v>
      </c>
      <c r="C27075" s="2">
        <v>6.2485379014387199E-3</v>
      </c>
      <c r="D27075" s="2">
        <v>7.55129823926428E-3</v>
      </c>
      <c r="E27075" s="2">
        <v>2.3348835428986998E-3</v>
      </c>
      <c r="F27075" s="2">
        <v>6.2185831321419603E-3</v>
      </c>
    </row>
    <row r="27076" spans="1:6" x14ac:dyDescent="0.25">
      <c r="A27076" s="1" t="str">
        <f t="shared" si="986"/>
        <v>37980</v>
      </c>
      <c r="B27076" s="1" t="str">
        <f>"08003"</f>
        <v>08003</v>
      </c>
      <c r="C27076" s="2">
        <v>4.4630844595992102E-3</v>
      </c>
      <c r="D27076" s="2">
        <v>4.7092791306958598E-3</v>
      </c>
      <c r="E27076" s="2">
        <v>2.0669460871562198E-3</v>
      </c>
      <c r="F27076" s="2">
        <v>4.4012031860658002E-3</v>
      </c>
    </row>
    <row r="27077" spans="1:6" x14ac:dyDescent="0.25">
      <c r="A27077" s="1" t="str">
        <f t="shared" si="986"/>
        <v>37980</v>
      </c>
      <c r="B27077" s="1" t="str">
        <f>"08080"</f>
        <v>08080</v>
      </c>
      <c r="C27077" s="2">
        <v>5.6869456152419196E-3</v>
      </c>
      <c r="D27077" s="2">
        <v>4.8696825246671597E-3</v>
      </c>
      <c r="E27077" s="2">
        <v>1.34925647356031E-3</v>
      </c>
      <c r="F27077" s="2">
        <v>5.4751980898674196E-3</v>
      </c>
    </row>
    <row r="27078" spans="1:6" x14ac:dyDescent="0.25">
      <c r="A27078" s="1" t="str">
        <f t="shared" si="986"/>
        <v>37980</v>
      </c>
      <c r="B27078" s="1" t="str">
        <f>"18073"</f>
        <v>18073</v>
      </c>
      <c r="C27078" s="2">
        <v>1.48964733542032E-3</v>
      </c>
      <c r="D27078" s="2">
        <v>9.5419454875234901E-4</v>
      </c>
      <c r="E27078" s="2">
        <v>8.3251995177125696E-4</v>
      </c>
      <c r="F27078" s="2">
        <v>1.4250649041069E-3</v>
      </c>
    </row>
    <row r="27079" spans="1:6" x14ac:dyDescent="0.25">
      <c r="A27079" s="1" t="str">
        <f t="shared" si="986"/>
        <v>37980</v>
      </c>
      <c r="B27079" s="1" t="str">
        <f>"18915"</f>
        <v>18915</v>
      </c>
      <c r="C27079" s="2">
        <v>2.1636312981897601E-4</v>
      </c>
      <c r="D27079" s="2">
        <v>7.8967824724332297E-4</v>
      </c>
      <c r="E27079" s="2">
        <v>4.30613768157547E-4</v>
      </c>
      <c r="F27079" s="2">
        <v>2.68904681084893E-4</v>
      </c>
    </row>
    <row r="27080" spans="1:6" x14ac:dyDescent="0.25">
      <c r="A27080" s="1" t="str">
        <f t="shared" si="986"/>
        <v>37980</v>
      </c>
      <c r="B27080" s="1" t="str">
        <f>"18938"</f>
        <v>18938</v>
      </c>
      <c r="C27080" s="2">
        <v>2.46822372460158E-3</v>
      </c>
      <c r="D27080" s="2">
        <v>2.8913739990211202E-3</v>
      </c>
      <c r="E27080" s="2">
        <v>2.1817764253315702E-3</v>
      </c>
      <c r="F27080" s="2">
        <v>2.4919149975415299E-3</v>
      </c>
    </row>
    <row r="27081" spans="1:6" x14ac:dyDescent="0.25">
      <c r="A27081" s="1" t="str">
        <f t="shared" si="986"/>
        <v>37980</v>
      </c>
      <c r="B27081" s="1" t="str">
        <f>"18925"</f>
        <v>18925</v>
      </c>
      <c r="C27081" s="2">
        <v>8.1566337265089398E-4</v>
      </c>
      <c r="D27081" s="2">
        <v>2.3854863718808701E-4</v>
      </c>
      <c r="E27081" s="2">
        <v>1.91383896958909E-4</v>
      </c>
      <c r="F27081" s="2">
        <v>7.48906032103581E-4</v>
      </c>
    </row>
    <row r="27082" spans="1:6" x14ac:dyDescent="0.25">
      <c r="A27082" s="1" t="str">
        <f t="shared" si="986"/>
        <v>37980</v>
      </c>
      <c r="B27082" s="1" t="str">
        <f>"19512"</f>
        <v>19512</v>
      </c>
      <c r="C27082" s="2">
        <v>2.3137309313975101E-4</v>
      </c>
      <c r="D27082" s="2">
        <v>2.5500026733898902E-4</v>
      </c>
      <c r="E27082" s="2">
        <v>3.1578342998220098E-4</v>
      </c>
      <c r="F27082" s="2">
        <v>2.36103506218258E-4</v>
      </c>
    </row>
    <row r="27083" spans="1:6" x14ac:dyDescent="0.25">
      <c r="A27083" s="1" t="str">
        <f t="shared" si="986"/>
        <v>37980</v>
      </c>
      <c r="B27083" s="1" t="str">
        <f>"19054"</f>
        <v>19054</v>
      </c>
      <c r="C27083" s="2">
        <v>2.3993975513258302E-3</v>
      </c>
      <c r="D27083" s="2">
        <v>8.6782349046011001E-4</v>
      </c>
      <c r="E27083" s="2">
        <v>4.4018296300549198E-4</v>
      </c>
      <c r="F27083" s="2">
        <v>2.2119683367985599E-3</v>
      </c>
    </row>
    <row r="27084" spans="1:6" x14ac:dyDescent="0.25">
      <c r="A27084" s="1" t="str">
        <f t="shared" si="986"/>
        <v>37980</v>
      </c>
      <c r="B27084" s="1" t="str">
        <f>"19007"</f>
        <v>19007</v>
      </c>
      <c r="C27084" s="2">
        <v>3.61703506364041E-3</v>
      </c>
      <c r="D27084" s="2">
        <v>6.0089579126171603E-3</v>
      </c>
      <c r="E27084" s="2">
        <v>5.7032401293755104E-3</v>
      </c>
      <c r="F27084" s="2">
        <v>3.8767091523072201E-3</v>
      </c>
    </row>
    <row r="27085" spans="1:6" x14ac:dyDescent="0.25">
      <c r="A27085" s="1" t="str">
        <f t="shared" si="986"/>
        <v>37980</v>
      </c>
      <c r="B27085" s="1" t="str">
        <f>"19009"</f>
        <v>19009</v>
      </c>
      <c r="C27085" s="2">
        <v>1.9073636317375E-4</v>
      </c>
      <c r="D27085" s="2">
        <v>3.49597140706679E-4</v>
      </c>
      <c r="E27085" s="2">
        <v>1.1578725766014E-3</v>
      </c>
      <c r="F27085" s="2">
        <v>2.36103506218258E-4</v>
      </c>
    </row>
    <row r="27086" spans="1:6" x14ac:dyDescent="0.25">
      <c r="A27086" s="1" t="str">
        <f t="shared" si="986"/>
        <v>37980</v>
      </c>
      <c r="B27086" s="1" t="str">
        <f>"19013"</f>
        <v>19013</v>
      </c>
      <c r="C27086" s="2">
        <v>5.7425923085286899E-3</v>
      </c>
      <c r="D27086" s="2">
        <v>5.0012955658743797E-3</v>
      </c>
      <c r="E27086" s="2">
        <v>9.2916881973550709E-3</v>
      </c>
      <c r="F27086" s="2">
        <v>5.80450889496414E-3</v>
      </c>
    </row>
    <row r="27087" spans="1:6" x14ac:dyDescent="0.25">
      <c r="A27087" s="1" t="str">
        <f t="shared" si="986"/>
        <v>37980</v>
      </c>
      <c r="B27087" s="1" t="str">
        <f>"19004"</f>
        <v>19004</v>
      </c>
      <c r="C27087" s="2">
        <v>2.1273877282200798E-3</v>
      </c>
      <c r="D27087" s="2">
        <v>8.8304124834969501E-3</v>
      </c>
      <c r="E27087" s="2">
        <v>3.3492181967809198E-3</v>
      </c>
      <c r="F27087" s="2">
        <v>2.6981402058614701E-3</v>
      </c>
    </row>
    <row r="27088" spans="1:6" x14ac:dyDescent="0.25">
      <c r="A27088" s="1" t="str">
        <f t="shared" si="986"/>
        <v>37980</v>
      </c>
      <c r="B27088" s="1" t="str">
        <f>"19038"</f>
        <v>19038</v>
      </c>
      <c r="C27088" s="2">
        <v>4.6929931660735199E-3</v>
      </c>
      <c r="D27088" s="2">
        <v>4.8367792643653502E-3</v>
      </c>
      <c r="E27088" s="2">
        <v>4.6314903064056103E-3</v>
      </c>
      <c r="F27088" s="2">
        <v>4.70225951380214E-3</v>
      </c>
    </row>
    <row r="27089" spans="1:6" x14ac:dyDescent="0.25">
      <c r="A27089" s="1" t="str">
        <f t="shared" si="986"/>
        <v>37980</v>
      </c>
      <c r="B27089" s="1" t="str">
        <f>"19022"</f>
        <v>19022</v>
      </c>
      <c r="C27089" s="2">
        <v>6.2712358947530596E-4</v>
      </c>
      <c r="D27089" s="2">
        <v>9.2540419598826902E-4</v>
      </c>
      <c r="E27089" s="2">
        <v>2.15306884078773E-3</v>
      </c>
      <c r="F27089" s="2">
        <v>7.0246476471814599E-4</v>
      </c>
    </row>
    <row r="27090" spans="1:6" x14ac:dyDescent="0.25">
      <c r="A27090" s="1" t="str">
        <f t="shared" si="986"/>
        <v>37980</v>
      </c>
      <c r="B27090" s="1" t="str">
        <f>"18976"</f>
        <v>18976</v>
      </c>
      <c r="C27090" s="2">
        <v>3.3765095538416498E-3</v>
      </c>
      <c r="D27090" s="2">
        <v>3.0476644854547002E-3</v>
      </c>
      <c r="E27090" s="2">
        <v>1.4162408374959301E-3</v>
      </c>
      <c r="F27090" s="2">
        <v>3.28401465595464E-3</v>
      </c>
    </row>
    <row r="27091" spans="1:6" x14ac:dyDescent="0.25">
      <c r="A27091" s="1" t="str">
        <f t="shared" si="986"/>
        <v>37980</v>
      </c>
      <c r="B27091" s="1" t="str">
        <f>"19130"</f>
        <v>19130</v>
      </c>
      <c r="C27091" s="2">
        <v>6.5644793245077104E-3</v>
      </c>
      <c r="D27091" s="2">
        <v>4.0306493869711304E-3</v>
      </c>
      <c r="E27091" s="2">
        <v>2.19038870069472E-2</v>
      </c>
      <c r="F27091" s="2">
        <v>6.8849990809175697E-3</v>
      </c>
    </row>
    <row r="27092" spans="1:6" x14ac:dyDescent="0.25">
      <c r="A27092" s="1" t="str">
        <f t="shared" si="986"/>
        <v>37980</v>
      </c>
      <c r="B27092" s="1" t="str">
        <f>"19101"</f>
        <v>19101</v>
      </c>
      <c r="C27092" s="2">
        <v>9.6649519919136495E-4</v>
      </c>
      <c r="D27092" s="2">
        <v>2.05645376886282E-3</v>
      </c>
      <c r="E27092" s="2">
        <v>9.5691948479454898E-6</v>
      </c>
      <c r="F27092" s="2">
        <v>1.0200840619415999E-3</v>
      </c>
    </row>
    <row r="27093" spans="1:6" x14ac:dyDescent="0.25">
      <c r="A27093" s="1" t="str">
        <f t="shared" si="986"/>
        <v>37980</v>
      </c>
      <c r="B27093" s="1" t="str">
        <f>"19115"</f>
        <v>19115</v>
      </c>
      <c r="C27093" s="2">
        <v>5.8073914184744802E-3</v>
      </c>
      <c r="D27093" s="2">
        <v>4.1828269658669799E-3</v>
      </c>
      <c r="E27093" s="2">
        <v>3.5884480679795601E-3</v>
      </c>
      <c r="F27093" s="2">
        <v>5.6038046764732398E-3</v>
      </c>
    </row>
    <row r="27094" spans="1:6" x14ac:dyDescent="0.25">
      <c r="A27094" s="1" t="str">
        <f t="shared" si="986"/>
        <v>37980</v>
      </c>
      <c r="B27094" s="1" t="str">
        <f>"19124"</f>
        <v>19124</v>
      </c>
      <c r="C27094" s="2">
        <v>9.3658510154972299E-3</v>
      </c>
      <c r="D27094" s="2">
        <v>8.9661384322419005E-3</v>
      </c>
      <c r="E27094" s="2">
        <v>9.9328242521674204E-3</v>
      </c>
      <c r="F27094" s="2">
        <v>9.3535310627125903E-3</v>
      </c>
    </row>
    <row r="27095" spans="1:6" x14ac:dyDescent="0.25">
      <c r="A27095" s="1" t="str">
        <f t="shared" si="986"/>
        <v>37980</v>
      </c>
      <c r="B27095" s="1" t="str">
        <f>"19085"</f>
        <v>19085</v>
      </c>
      <c r="C27095" s="2">
        <v>7.8381296267754298E-4</v>
      </c>
      <c r="D27095" s="2">
        <v>3.49597140706679E-4</v>
      </c>
      <c r="E27095" s="2">
        <v>1.7224550726301801E-4</v>
      </c>
      <c r="F27095" s="2">
        <v>7.2877065743297297E-4</v>
      </c>
    </row>
    <row r="27096" spans="1:6" x14ac:dyDescent="0.25">
      <c r="A27096" s="1" t="str">
        <f t="shared" si="986"/>
        <v>37980</v>
      </c>
      <c r="B27096" s="1" t="str">
        <f>"19401"</f>
        <v>19401</v>
      </c>
      <c r="C27096" s="2">
        <v>6.6863895144057203E-3</v>
      </c>
      <c r="D27096" s="2">
        <v>6.8274265126245601E-3</v>
      </c>
      <c r="E27096" s="2">
        <v>1.1894509195996199E-2</v>
      </c>
      <c r="F27096" s="2">
        <v>6.8742818653670899E-3</v>
      </c>
    </row>
    <row r="27097" spans="1:6" x14ac:dyDescent="0.25">
      <c r="A27097" s="1" t="str">
        <f t="shared" si="986"/>
        <v>37980</v>
      </c>
      <c r="B27097" s="1" t="str">
        <f>"19312"</f>
        <v>19312</v>
      </c>
      <c r="C27097" s="2">
        <v>1.66866860527054E-3</v>
      </c>
      <c r="D27097" s="2">
        <v>2.3320185738904399E-3</v>
      </c>
      <c r="E27097" s="2">
        <v>1.4736560065836E-3</v>
      </c>
      <c r="F27097" s="2">
        <v>1.71442972396999E-3</v>
      </c>
    </row>
    <row r="27098" spans="1:6" x14ac:dyDescent="0.25">
      <c r="A27098" s="1" t="str">
        <f t="shared" si="986"/>
        <v>37980</v>
      </c>
      <c r="B27098" s="1" t="str">
        <f>"19317"</f>
        <v>19317</v>
      </c>
      <c r="C27098" s="2">
        <v>1.88759441175404E-3</v>
      </c>
      <c r="D27098" s="2">
        <v>3.3849229035482001E-3</v>
      </c>
      <c r="E27098" s="2">
        <v>1.31097969416853E-3</v>
      </c>
      <c r="F27098" s="2">
        <v>1.9862572820231999E-3</v>
      </c>
    </row>
    <row r="27099" spans="1:6" x14ac:dyDescent="0.25">
      <c r="A27099" s="1" t="str">
        <f t="shared" si="986"/>
        <v>37980</v>
      </c>
      <c r="B27099" s="1" t="str">
        <f>"08097"</f>
        <v>08097</v>
      </c>
      <c r="C27099" s="2">
        <v>4.4663793295964601E-4</v>
      </c>
      <c r="D27099" s="2">
        <v>7.7733952463014601E-4</v>
      </c>
      <c r="E27099" s="2">
        <v>4.4018296300549198E-4</v>
      </c>
      <c r="F27099" s="2">
        <v>4.72531776544107E-4</v>
      </c>
    </row>
    <row r="27100" spans="1:6" x14ac:dyDescent="0.25">
      <c r="A27100" s="1" t="str">
        <f t="shared" si="986"/>
        <v>37980</v>
      </c>
      <c r="B27100" s="1" t="str">
        <f>"08055"</f>
        <v>08055</v>
      </c>
      <c r="C27100" s="2">
        <v>4.3609434896846704E-3</v>
      </c>
      <c r="D27100" s="2">
        <v>5.2398442030624701E-3</v>
      </c>
      <c r="E27100" s="2">
        <v>1.5406403705192199E-3</v>
      </c>
      <c r="F27100" s="2">
        <v>4.3346265440097499E-3</v>
      </c>
    </row>
    <row r="27101" spans="1:6" x14ac:dyDescent="0.25">
      <c r="A27101" s="1" t="str">
        <f t="shared" si="986"/>
        <v>37980</v>
      </c>
      <c r="B27101" s="1" t="str">
        <f>"08562"</f>
        <v>08562</v>
      </c>
      <c r="C27101" s="2">
        <v>1.2432642789597999E-3</v>
      </c>
      <c r="D27101" s="2">
        <v>7.4443626432834102E-4</v>
      </c>
      <c r="E27101" s="2">
        <v>1.0430422384260501E-3</v>
      </c>
      <c r="F27101" s="2">
        <v>1.1970805005784E-3</v>
      </c>
    </row>
    <row r="27102" spans="1:6" x14ac:dyDescent="0.25">
      <c r="A27102" s="1" t="str">
        <f t="shared" si="986"/>
        <v>37980</v>
      </c>
      <c r="B27102" s="1" t="str">
        <f>"08343"</f>
        <v>08343</v>
      </c>
      <c r="C27102" s="2">
        <v>6.6446544944406296E-4</v>
      </c>
      <c r="D27102" s="2">
        <v>1.9741956181083001E-4</v>
      </c>
      <c r="E27102" s="2">
        <v>6.6984363935618398E-5</v>
      </c>
      <c r="F27102" s="2">
        <v>6.07308881194144E-4</v>
      </c>
    </row>
    <row r="27103" spans="1:6" x14ac:dyDescent="0.25">
      <c r="A27103" s="1" t="str">
        <f t="shared" si="986"/>
        <v>37980</v>
      </c>
      <c r="B27103" s="1" t="str">
        <f>"08515"</f>
        <v>08515</v>
      </c>
      <c r="C27103" s="2">
        <v>7.0620046940914505E-4</v>
      </c>
      <c r="D27103" s="2">
        <v>1.72742116584477E-4</v>
      </c>
      <c r="E27103" s="2">
        <v>1.8181470211096399E-4</v>
      </c>
      <c r="F27103" s="2">
        <v>6.4628057410499797E-4</v>
      </c>
    </row>
    <row r="27104" spans="1:6" x14ac:dyDescent="0.25">
      <c r="A27104" s="1" t="str">
        <f t="shared" si="986"/>
        <v>37980</v>
      </c>
      <c r="B27104" s="1" t="str">
        <f>"19734"</f>
        <v>19734</v>
      </c>
      <c r="C27104" s="2">
        <v>2.17131932818332E-3</v>
      </c>
      <c r="D27104" s="2">
        <v>8.5137186030920795E-4</v>
      </c>
      <c r="E27104" s="2">
        <v>1.24399533023291E-4</v>
      </c>
      <c r="F27104" s="2">
        <v>1.9976240257888601E-3</v>
      </c>
    </row>
    <row r="27105" spans="1:6" x14ac:dyDescent="0.25">
      <c r="A27105" s="1" t="str">
        <f t="shared" si="986"/>
        <v>37980</v>
      </c>
      <c r="B27105" s="1" t="str">
        <f>"19701"</f>
        <v>19701</v>
      </c>
      <c r="C27105" s="2">
        <v>6.4187728512962901E-3</v>
      </c>
      <c r="D27105" s="2">
        <v>5.1822634975343101E-3</v>
      </c>
      <c r="E27105" s="2">
        <v>3.9233698876576498E-4</v>
      </c>
      <c r="F27105" s="2">
        <v>6.1166072023585601E-3</v>
      </c>
    </row>
    <row r="27106" spans="1:6" x14ac:dyDescent="0.25">
      <c r="A27106" s="1" t="str">
        <f t="shared" si="986"/>
        <v>37980</v>
      </c>
      <c r="B27106" s="1" t="str">
        <f>"19702"</f>
        <v>19702</v>
      </c>
      <c r="C27106" s="2">
        <v>8.5102831062130596E-3</v>
      </c>
      <c r="D27106" s="2">
        <v>5.8937965015608404E-3</v>
      </c>
      <c r="E27106" s="2">
        <v>3.3205106122370801E-3</v>
      </c>
      <c r="F27106" s="2">
        <v>8.1275465565586406E-3</v>
      </c>
    </row>
    <row r="27107" spans="1:6" x14ac:dyDescent="0.25">
      <c r="A27107" s="1" t="str">
        <f t="shared" si="986"/>
        <v>37980</v>
      </c>
      <c r="B27107" s="1" t="str">
        <f>"19716"</f>
        <v>19716</v>
      </c>
      <c r="C27107" s="2">
        <v>1.8304833318018201E-6</v>
      </c>
      <c r="D27107" s="2">
        <v>1.5094370663453101E-3</v>
      </c>
      <c r="E27107" s="2">
        <v>1.10045740751373E-3</v>
      </c>
      <c r="F27107" s="2">
        <v>1.58160120396549E-4</v>
      </c>
    </row>
    <row r="27108" spans="1:6" x14ac:dyDescent="0.25">
      <c r="A27108" s="1" t="str">
        <f t="shared" si="986"/>
        <v>37980</v>
      </c>
      <c r="B27108" s="1" t="str">
        <f>"19717"</f>
        <v>19717</v>
      </c>
      <c r="C27108" s="2">
        <v>1.7942397618321501E-3</v>
      </c>
      <c r="D27108" s="2">
        <v>4.9354890452707699E-5</v>
      </c>
      <c r="E27108" s="2">
        <v>1.0813190178178399E-3</v>
      </c>
      <c r="F27108" s="2">
        <v>1.6322644047496099E-3</v>
      </c>
    </row>
    <row r="27109" spans="1:6" x14ac:dyDescent="0.25">
      <c r="A27109" s="1" t="str">
        <f t="shared" si="986"/>
        <v>37980</v>
      </c>
      <c r="B27109" s="1" t="str">
        <f>"18084"</f>
        <v>18084</v>
      </c>
      <c r="C27109" s="2">
        <v>0</v>
      </c>
      <c r="D27109" s="2">
        <v>4.1129075377256402E-6</v>
      </c>
      <c r="E27109" s="2">
        <v>0</v>
      </c>
      <c r="F27109" s="2">
        <v>3.2476410759045102E-7</v>
      </c>
    </row>
    <row r="27110" spans="1:6" x14ac:dyDescent="0.25">
      <c r="A27110" s="1" t="str">
        <f t="shared" si="986"/>
        <v>37980</v>
      </c>
      <c r="B27110" s="1" t="str">
        <f>"19345"</f>
        <v>19345</v>
      </c>
      <c r="C27110" s="2">
        <v>0</v>
      </c>
      <c r="D27110" s="2">
        <v>4.1129075377256402E-6</v>
      </c>
      <c r="E27110" s="2">
        <v>0</v>
      </c>
      <c r="F27110" s="2">
        <v>3.2476410759045102E-7</v>
      </c>
    </row>
    <row r="27111" spans="1:6" x14ac:dyDescent="0.25">
      <c r="A27111" s="1" t="str">
        <f t="shared" si="986"/>
        <v>37980</v>
      </c>
      <c r="B27111" s="1" t="str">
        <f>"18958"</f>
        <v>18958</v>
      </c>
      <c r="C27111" s="2">
        <v>0</v>
      </c>
      <c r="D27111" s="2">
        <v>0</v>
      </c>
      <c r="E27111" s="2">
        <v>9.5691948479454898E-6</v>
      </c>
      <c r="F27111" s="2">
        <v>3.2476410759045102E-7</v>
      </c>
    </row>
    <row r="27112" spans="1:6" x14ac:dyDescent="0.25">
      <c r="A27112" s="1" t="str">
        <f t="shared" si="986"/>
        <v>37980</v>
      </c>
      <c r="B27112" s="1" t="str">
        <f>"19421"</f>
        <v>19421</v>
      </c>
      <c r="C27112" s="2">
        <v>7.3219333272073103E-7</v>
      </c>
      <c r="D27112" s="2">
        <v>1.2338722613176899E-5</v>
      </c>
      <c r="E27112" s="2">
        <v>0</v>
      </c>
      <c r="F27112" s="2">
        <v>1.62382053795225E-6</v>
      </c>
    </row>
    <row r="27113" spans="1:6" x14ac:dyDescent="0.25">
      <c r="A27113" s="1" t="str">
        <f t="shared" si="986"/>
        <v>37980</v>
      </c>
      <c r="B27113" s="1" t="str">
        <f>"19721"</f>
        <v>19721</v>
      </c>
      <c r="C27113" s="2">
        <v>0</v>
      </c>
      <c r="D27113" s="2">
        <v>0</v>
      </c>
      <c r="E27113" s="2">
        <v>9.5691948479454898E-6</v>
      </c>
      <c r="F27113" s="2">
        <v>3.2476410759045102E-7</v>
      </c>
    </row>
    <row r="27114" spans="1:6" x14ac:dyDescent="0.25">
      <c r="A27114" s="1" t="str">
        <f t="shared" si="986"/>
        <v>37980</v>
      </c>
      <c r="B27114" s="1" t="str">
        <f>"08023"</f>
        <v>08023</v>
      </c>
      <c r="C27114" s="2">
        <v>4.7592566626847499E-6</v>
      </c>
      <c r="D27114" s="2">
        <v>0</v>
      </c>
      <c r="E27114" s="2">
        <v>9.5691948479454898E-6</v>
      </c>
      <c r="F27114" s="2">
        <v>4.5466975062663199E-6</v>
      </c>
    </row>
    <row r="27115" spans="1:6" x14ac:dyDescent="0.25">
      <c r="A27115" s="1" t="str">
        <f t="shared" si="986"/>
        <v>37980</v>
      </c>
      <c r="B27115" s="1" t="str">
        <f>"19371"</f>
        <v>19371</v>
      </c>
      <c r="C27115" s="2">
        <v>0</v>
      </c>
      <c r="D27115" s="2">
        <v>0</v>
      </c>
      <c r="E27115" s="2">
        <v>9.5691948479454898E-6</v>
      </c>
      <c r="F27115" s="2">
        <v>3.2476410759045102E-7</v>
      </c>
    </row>
    <row r="27116" spans="1:6" x14ac:dyDescent="0.25">
      <c r="A27116" s="1" t="str">
        <f t="shared" ref="A27116:A27179" si="987">"37980"</f>
        <v>37980</v>
      </c>
      <c r="B27116" s="1" t="str">
        <f>"19884"</f>
        <v>19884</v>
      </c>
      <c r="C27116" s="2">
        <v>0</v>
      </c>
      <c r="D27116" s="2">
        <v>2.0564537688628202E-5</v>
      </c>
      <c r="E27116" s="2">
        <v>3.8276779391781898E-5</v>
      </c>
      <c r="F27116" s="2">
        <v>2.9228769683140598E-6</v>
      </c>
    </row>
    <row r="27117" spans="1:6" x14ac:dyDescent="0.25">
      <c r="A27117" s="1" t="str">
        <f t="shared" si="987"/>
        <v>37980</v>
      </c>
      <c r="B27117" s="1" t="str">
        <f>"18962"</f>
        <v>18962</v>
      </c>
      <c r="C27117" s="2">
        <v>1.52296213205912E-4</v>
      </c>
      <c r="D27117" s="2">
        <v>2.71451897489892E-4</v>
      </c>
      <c r="E27117" s="2">
        <v>1.9138389695890902E-5</v>
      </c>
      <c r="F27117" s="2">
        <v>1.5718582807377801E-4</v>
      </c>
    </row>
    <row r="27118" spans="1:6" x14ac:dyDescent="0.25">
      <c r="A27118" s="1" t="str">
        <f t="shared" si="987"/>
        <v>37980</v>
      </c>
      <c r="B27118" s="1" t="str">
        <f>"18932"</f>
        <v>18932</v>
      </c>
      <c r="C27118" s="2">
        <v>8.7497103260127397E-5</v>
      </c>
      <c r="D27118" s="2">
        <v>5.3467797990433303E-5</v>
      </c>
      <c r="E27118" s="2">
        <v>6.6984363935618398E-5</v>
      </c>
      <c r="F27118" s="2">
        <v>8.4113903865926901E-5</v>
      </c>
    </row>
    <row r="27119" spans="1:6" x14ac:dyDescent="0.25">
      <c r="A27119" s="1" t="str">
        <f t="shared" si="987"/>
        <v>37980</v>
      </c>
      <c r="B27119" s="1" t="str">
        <f>"19408"</f>
        <v>19408</v>
      </c>
      <c r="C27119" s="2">
        <v>1.54858889870434E-4</v>
      </c>
      <c r="D27119" s="2">
        <v>5.0588762714025401E-4</v>
      </c>
      <c r="E27119" s="2">
        <v>9.5691948479454898E-6</v>
      </c>
      <c r="F27119" s="2">
        <v>1.7764596685197699E-4</v>
      </c>
    </row>
    <row r="27120" spans="1:6" x14ac:dyDescent="0.25">
      <c r="A27120" s="1" t="str">
        <f t="shared" si="987"/>
        <v>37980</v>
      </c>
      <c r="B27120" s="1" t="str">
        <f>"19407"</f>
        <v>19407</v>
      </c>
      <c r="C27120" s="2">
        <v>6.7361786610307294E-5</v>
      </c>
      <c r="D27120" s="2">
        <v>2.5500026733898902E-4</v>
      </c>
      <c r="E27120" s="2">
        <v>1.9138389695890902E-5</v>
      </c>
      <c r="F27120" s="2">
        <v>8.0541498682432005E-5</v>
      </c>
    </row>
    <row r="27121" spans="1:6" x14ac:dyDescent="0.25">
      <c r="A27121" s="1" t="str">
        <f t="shared" si="987"/>
        <v>37980</v>
      </c>
      <c r="B27121" s="1" t="str">
        <f>"18901"</f>
        <v>18901</v>
      </c>
      <c r="C27121" s="2">
        <v>5.1026553357307698E-3</v>
      </c>
      <c r="D27121" s="2">
        <v>8.5013798804788997E-3</v>
      </c>
      <c r="E27121" s="2">
        <v>5.5501330118083803E-3</v>
      </c>
      <c r="F27121" s="2">
        <v>5.3862127243876397E-3</v>
      </c>
    </row>
    <row r="27122" spans="1:6" x14ac:dyDescent="0.25">
      <c r="A27122" s="1" t="str">
        <f t="shared" si="987"/>
        <v>37980</v>
      </c>
      <c r="B27122" s="1" t="str">
        <f>"18929"</f>
        <v>18929</v>
      </c>
      <c r="C27122" s="2">
        <v>1.2363084422989501E-3</v>
      </c>
      <c r="D27122" s="2">
        <v>1.2215335387045099E-3</v>
      </c>
      <c r="E27122" s="2">
        <v>3.54060209373983E-4</v>
      </c>
      <c r="F27122" s="2">
        <v>1.2051996032681599E-3</v>
      </c>
    </row>
    <row r="27123" spans="1:6" x14ac:dyDescent="0.25">
      <c r="A27123" s="1" t="str">
        <f t="shared" si="987"/>
        <v>37980</v>
      </c>
      <c r="B27123" s="1" t="str">
        <f>"19520"</f>
        <v>19520</v>
      </c>
      <c r="C27123" s="2">
        <v>9.4965475253878798E-4</v>
      </c>
      <c r="D27123" s="2">
        <v>9.1717838091281804E-4</v>
      </c>
      <c r="E27123" s="2">
        <v>2.4879906604658201E-4</v>
      </c>
      <c r="F27123" s="2">
        <v>9.2330435787965398E-4</v>
      </c>
    </row>
    <row r="27124" spans="1:6" x14ac:dyDescent="0.25">
      <c r="A27124" s="1" t="str">
        <f t="shared" si="987"/>
        <v>37980</v>
      </c>
      <c r="B27124" s="1" t="str">
        <f>"19060"</f>
        <v>19060</v>
      </c>
      <c r="C27124" s="2">
        <v>1.4834236920921999E-3</v>
      </c>
      <c r="D27124" s="2">
        <v>3.3725841809350199E-4</v>
      </c>
      <c r="E27124" s="2">
        <v>2.8707584543836398E-4</v>
      </c>
      <c r="F27124" s="2">
        <v>1.3523177440066399E-3</v>
      </c>
    </row>
    <row r="27125" spans="1:6" x14ac:dyDescent="0.25">
      <c r="A27125" s="1" t="str">
        <f t="shared" si="987"/>
        <v>37980</v>
      </c>
      <c r="B27125" s="1" t="str">
        <f>"19057"</f>
        <v>19057</v>
      </c>
      <c r="C27125" s="2">
        <v>2.32032067139199E-3</v>
      </c>
      <c r="D27125" s="2">
        <v>2.5417768583144399E-3</v>
      </c>
      <c r="E27125" s="2">
        <v>9.1864270540276702E-4</v>
      </c>
      <c r="F27125" s="2">
        <v>2.29023648672786E-3</v>
      </c>
    </row>
    <row r="27126" spans="1:6" x14ac:dyDescent="0.25">
      <c r="A27126" s="1" t="str">
        <f t="shared" si="987"/>
        <v>37980</v>
      </c>
      <c r="B27126" s="1" t="str">
        <f>"19027"</f>
        <v>19027</v>
      </c>
      <c r="C27126" s="2">
        <v>3.3464896272000998E-3</v>
      </c>
      <c r="D27126" s="2">
        <v>3.60290700304766E-3</v>
      </c>
      <c r="E27126" s="2">
        <v>2.30617595835486E-3</v>
      </c>
      <c r="F27126" s="2">
        <v>3.3314302156628498E-3</v>
      </c>
    </row>
    <row r="27127" spans="1:6" x14ac:dyDescent="0.25">
      <c r="A27127" s="1" t="str">
        <f t="shared" si="987"/>
        <v>37980</v>
      </c>
      <c r="B27127" s="1" t="str">
        <f>"19041"</f>
        <v>19041</v>
      </c>
      <c r="C27127" s="2">
        <v>1.1499096290379001E-3</v>
      </c>
      <c r="D27127" s="2">
        <v>1.14338829548772E-3</v>
      </c>
      <c r="E27127" s="2">
        <v>1.48322520143155E-3</v>
      </c>
      <c r="F27127" s="2">
        <v>1.16070692052827E-3</v>
      </c>
    </row>
    <row r="27128" spans="1:6" x14ac:dyDescent="0.25">
      <c r="A27128" s="1" t="str">
        <f t="shared" si="987"/>
        <v>37980</v>
      </c>
      <c r="B27128" s="1" t="str">
        <f>"19001"</f>
        <v>19001</v>
      </c>
      <c r="C27128" s="2">
        <v>2.5238704178883599E-3</v>
      </c>
      <c r="D27128" s="2">
        <v>2.6857286221348398E-3</v>
      </c>
      <c r="E27128" s="2">
        <v>2.2200532047233499E-3</v>
      </c>
      <c r="F27128" s="2">
        <v>2.5263399929461201E-3</v>
      </c>
    </row>
    <row r="27129" spans="1:6" x14ac:dyDescent="0.25">
      <c r="A27129" s="1" t="str">
        <f t="shared" si="987"/>
        <v>37980</v>
      </c>
      <c r="B27129" s="1" t="str">
        <f>"18951"</f>
        <v>18951</v>
      </c>
      <c r="C27129" s="2">
        <v>5.4647249387611797E-3</v>
      </c>
      <c r="D27129" s="2">
        <v>5.53597354577871E-3</v>
      </c>
      <c r="E27129" s="2">
        <v>4.7845974239727404E-3</v>
      </c>
      <c r="F27129" s="2">
        <v>5.4472683766146404E-3</v>
      </c>
    </row>
    <row r="27130" spans="1:6" x14ac:dyDescent="0.25">
      <c r="A27130" s="1" t="str">
        <f t="shared" si="987"/>
        <v>37980</v>
      </c>
      <c r="B27130" s="1" t="str">
        <f>"18960"</f>
        <v>18960</v>
      </c>
      <c r="C27130" s="2">
        <v>1.9516613283671099E-3</v>
      </c>
      <c r="D27130" s="2">
        <v>9.29517103525995E-4</v>
      </c>
      <c r="E27130" s="2">
        <v>1.82771621595758E-3</v>
      </c>
      <c r="F27130" s="2">
        <v>1.8667440904299099E-3</v>
      </c>
    </row>
    <row r="27131" spans="1:6" x14ac:dyDescent="0.25">
      <c r="A27131" s="1" t="str">
        <f t="shared" si="987"/>
        <v>37980</v>
      </c>
      <c r="B27131" s="1" t="str">
        <f>"19137"</f>
        <v>19137</v>
      </c>
      <c r="C27131" s="2">
        <v>1.30403632557562E-3</v>
      </c>
      <c r="D27131" s="2">
        <v>1.83435676182563E-3</v>
      </c>
      <c r="E27131" s="2">
        <v>2.4497138810740402E-3</v>
      </c>
      <c r="F27131" s="2">
        <v>1.38479415476568E-3</v>
      </c>
    </row>
    <row r="27132" spans="1:6" x14ac:dyDescent="0.25">
      <c r="A27132" s="1" t="str">
        <f t="shared" si="987"/>
        <v>37980</v>
      </c>
      <c r="B27132" s="1" t="str">
        <f>"19110"</f>
        <v>19110</v>
      </c>
      <c r="C27132" s="2">
        <v>1.0506974324542399E-4</v>
      </c>
      <c r="D27132" s="2">
        <v>1.1680657407140799E-3</v>
      </c>
      <c r="E27132" s="2">
        <v>2.1052228665480001E-4</v>
      </c>
      <c r="F27132" s="2">
        <v>1.9258511580113699E-4</v>
      </c>
    </row>
    <row r="27133" spans="1:6" x14ac:dyDescent="0.25">
      <c r="A27133" s="1" t="str">
        <f t="shared" si="987"/>
        <v>37980</v>
      </c>
      <c r="B27133" s="1" t="str">
        <f>"19122"</f>
        <v>19122</v>
      </c>
      <c r="C27133" s="2">
        <v>4.3862041596635397E-3</v>
      </c>
      <c r="D27133" s="2">
        <v>4.5571015518000102E-3</v>
      </c>
      <c r="E27133" s="2">
        <v>9.5404872634016497E-3</v>
      </c>
      <c r="F27133" s="2">
        <v>4.5746272195191003E-3</v>
      </c>
    </row>
    <row r="27134" spans="1:6" x14ac:dyDescent="0.25">
      <c r="A27134" s="1" t="str">
        <f t="shared" si="987"/>
        <v>37980</v>
      </c>
      <c r="B27134" s="1" t="str">
        <f>"19119"</f>
        <v>19119</v>
      </c>
      <c r="C27134" s="2">
        <v>4.8013577793161897E-3</v>
      </c>
      <c r="D27134" s="2">
        <v>2.1633893648436799E-3</v>
      </c>
      <c r="E27134" s="2">
        <v>8.4304606610399804E-3</v>
      </c>
      <c r="F27134" s="2">
        <v>4.7162243704285296E-3</v>
      </c>
    </row>
    <row r="27135" spans="1:6" x14ac:dyDescent="0.25">
      <c r="A27135" s="1" t="str">
        <f t="shared" si="987"/>
        <v>37980</v>
      </c>
      <c r="B27135" s="1" t="str">
        <f>"19078"</f>
        <v>19078</v>
      </c>
      <c r="C27135" s="2">
        <v>2.04391768828992E-3</v>
      </c>
      <c r="D27135" s="2">
        <v>1.14338829548772E-3</v>
      </c>
      <c r="E27135" s="2">
        <v>3.06214235134255E-3</v>
      </c>
      <c r="F27135" s="2">
        <v>2.0073669490165802E-3</v>
      </c>
    </row>
    <row r="27136" spans="1:6" x14ac:dyDescent="0.25">
      <c r="A27136" s="1" t="str">
        <f t="shared" si="987"/>
        <v>37980</v>
      </c>
      <c r="B27136" s="1" t="str">
        <f>"19090"</f>
        <v>19090</v>
      </c>
      <c r="C27136" s="2">
        <v>3.4200750571385299E-3</v>
      </c>
      <c r="D27136" s="2">
        <v>5.6264575116086804E-3</v>
      </c>
      <c r="E27136" s="2">
        <v>3.3492181967809198E-3</v>
      </c>
      <c r="F27136" s="2">
        <v>3.5918910299503901E-3</v>
      </c>
    </row>
    <row r="27137" spans="1:6" x14ac:dyDescent="0.25">
      <c r="A27137" s="1" t="str">
        <f t="shared" si="987"/>
        <v>37980</v>
      </c>
      <c r="B27137" s="1" t="str">
        <f>"19073"</f>
        <v>19073</v>
      </c>
      <c r="C27137" s="2">
        <v>3.2535010739445699E-3</v>
      </c>
      <c r="D27137" s="2">
        <v>4.2033915035555999E-3</v>
      </c>
      <c r="E27137" s="2">
        <v>2.5454058295534998E-3</v>
      </c>
      <c r="F27137" s="2">
        <v>3.3044747947328398E-3</v>
      </c>
    </row>
    <row r="27138" spans="1:6" x14ac:dyDescent="0.25">
      <c r="A27138" s="1" t="str">
        <f t="shared" si="987"/>
        <v>37980</v>
      </c>
      <c r="B27138" s="1" t="str">
        <f>"19422"</f>
        <v>19422</v>
      </c>
      <c r="C27138" s="2">
        <v>3.3926178071615001E-3</v>
      </c>
      <c r="D27138" s="2">
        <v>5.60589297392005E-3</v>
      </c>
      <c r="E27138" s="2">
        <v>2.6506669728808998E-3</v>
      </c>
      <c r="F27138" s="2">
        <v>3.5422021214890501E-3</v>
      </c>
    </row>
    <row r="27139" spans="1:6" x14ac:dyDescent="0.25">
      <c r="A27139" s="1" t="str">
        <f t="shared" si="987"/>
        <v>37980</v>
      </c>
      <c r="B27139" s="1" t="str">
        <f>"19438"</f>
        <v>19438</v>
      </c>
      <c r="C27139" s="2">
        <v>3.69977291023785E-3</v>
      </c>
      <c r="D27139" s="2">
        <v>2.4965348753994599E-3</v>
      </c>
      <c r="E27139" s="2">
        <v>1.3875332529520901E-3</v>
      </c>
      <c r="F27139" s="2">
        <v>3.5262886802171199E-3</v>
      </c>
    </row>
    <row r="27140" spans="1:6" x14ac:dyDescent="0.25">
      <c r="A27140" s="1" t="str">
        <f t="shared" si="987"/>
        <v>37980</v>
      </c>
      <c r="B27140" s="1" t="str">
        <f>"19403"</f>
        <v>19403</v>
      </c>
      <c r="C27140" s="2">
        <v>7.4178506537937302E-3</v>
      </c>
      <c r="D27140" s="2">
        <v>4.6393597025545198E-3</v>
      </c>
      <c r="E27140" s="2">
        <v>4.29656848672752E-3</v>
      </c>
      <c r="F27140" s="2">
        <v>7.0925233456678701E-3</v>
      </c>
    </row>
    <row r="27141" spans="1:6" x14ac:dyDescent="0.25">
      <c r="A27141" s="1" t="str">
        <f t="shared" si="987"/>
        <v>37980</v>
      </c>
      <c r="B27141" s="1" t="str">
        <f>"19405"</f>
        <v>19405</v>
      </c>
      <c r="C27141" s="2">
        <v>8.76069322600355E-4</v>
      </c>
      <c r="D27141" s="2">
        <v>1.12693666533682E-3</v>
      </c>
      <c r="E27141" s="2">
        <v>1.50236359112744E-3</v>
      </c>
      <c r="F27141" s="2">
        <v>9.1713383983543502E-4</v>
      </c>
    </row>
    <row r="27142" spans="1:6" x14ac:dyDescent="0.25">
      <c r="A27142" s="1" t="str">
        <f t="shared" si="987"/>
        <v>37980</v>
      </c>
      <c r="B27142" s="1" t="str">
        <f>"19150"</f>
        <v>19150</v>
      </c>
      <c r="C27142" s="2">
        <v>3.64083134695383E-3</v>
      </c>
      <c r="D27142" s="2">
        <v>1.3613723949871799E-3</v>
      </c>
      <c r="E27142" s="2">
        <v>1.4353792271918199E-3</v>
      </c>
      <c r="F27142" s="2">
        <v>3.3859905857380398E-3</v>
      </c>
    </row>
    <row r="27143" spans="1:6" x14ac:dyDescent="0.25">
      <c r="A27143" s="1" t="str">
        <f t="shared" si="987"/>
        <v>37980</v>
      </c>
      <c r="B27143" s="1" t="str">
        <f>"19341"</f>
        <v>19341</v>
      </c>
      <c r="C27143" s="2">
        <v>3.3278186972157198E-3</v>
      </c>
      <c r="D27143" s="2">
        <v>9.2581548674204196E-3</v>
      </c>
      <c r="E27143" s="2">
        <v>2.74635892136035E-3</v>
      </c>
      <c r="F27143" s="2">
        <v>3.77635704306177E-3</v>
      </c>
    </row>
    <row r="27144" spans="1:6" x14ac:dyDescent="0.25">
      <c r="A27144" s="1" t="str">
        <f t="shared" si="987"/>
        <v>37980</v>
      </c>
      <c r="B27144" s="1" t="str">
        <f>"19365"</f>
        <v>19365</v>
      </c>
      <c r="C27144" s="2">
        <v>1.09499512908385E-3</v>
      </c>
      <c r="D27144" s="2">
        <v>1.00354943920505E-3</v>
      </c>
      <c r="E27144" s="2">
        <v>7.8467397753152995E-4</v>
      </c>
      <c r="F27144" s="2">
        <v>1.07724254487752E-3</v>
      </c>
    </row>
    <row r="27145" spans="1:6" x14ac:dyDescent="0.25">
      <c r="A27145" s="1" t="str">
        <f t="shared" si="987"/>
        <v>37980</v>
      </c>
      <c r="B27145" s="1" t="str">
        <f>"19146"</f>
        <v>19146</v>
      </c>
      <c r="C27145" s="2">
        <v>8.1284442831992005E-3</v>
      </c>
      <c r="D27145" s="2">
        <v>5.0794408090911701E-3</v>
      </c>
      <c r="E27145" s="2">
        <v>1.33873035922757E-2</v>
      </c>
      <c r="F27145" s="2">
        <v>8.0661661402240403E-3</v>
      </c>
    </row>
    <row r="27146" spans="1:6" x14ac:dyDescent="0.25">
      <c r="A27146" s="1" t="str">
        <f t="shared" si="987"/>
        <v>37980</v>
      </c>
      <c r="B27146" s="1" t="str">
        <f>"19468"</f>
        <v>19468</v>
      </c>
      <c r="C27146" s="2">
        <v>4.3225033397168303E-3</v>
      </c>
      <c r="D27146" s="2">
        <v>3.73452004425488E-3</v>
      </c>
      <c r="E27146" s="2">
        <v>4.0477694206809403E-3</v>
      </c>
      <c r="F27146" s="2">
        <v>4.2667508455233498E-3</v>
      </c>
    </row>
    <row r="27147" spans="1:6" x14ac:dyDescent="0.25">
      <c r="A27147" s="1" t="str">
        <f t="shared" si="987"/>
        <v>37980</v>
      </c>
      <c r="B27147" s="1" t="str">
        <f>"19444"</f>
        <v>19444</v>
      </c>
      <c r="C27147" s="2">
        <v>1.9344547850481701E-3</v>
      </c>
      <c r="D27147" s="2">
        <v>1.3737111176003599E-3</v>
      </c>
      <c r="E27147" s="2">
        <v>5.7415169087672905E-4</v>
      </c>
      <c r="F27147" s="2">
        <v>1.8440106028985799E-3</v>
      </c>
    </row>
    <row r="27148" spans="1:6" x14ac:dyDescent="0.25">
      <c r="A27148" s="1" t="str">
        <f t="shared" si="987"/>
        <v>37980</v>
      </c>
      <c r="B27148" s="1" t="str">
        <f>"19454"</f>
        <v>19454</v>
      </c>
      <c r="C27148" s="2">
        <v>4.57437784617277E-3</v>
      </c>
      <c r="D27148" s="2">
        <v>4.0553268321974799E-3</v>
      </c>
      <c r="E27148" s="2">
        <v>1.9521157489808801E-3</v>
      </c>
      <c r="F27148" s="2">
        <v>4.44439681237533E-3</v>
      </c>
    </row>
    <row r="27149" spans="1:6" x14ac:dyDescent="0.25">
      <c r="A27149" s="1" t="str">
        <f t="shared" si="987"/>
        <v>37980</v>
      </c>
      <c r="B27149" s="1" t="str">
        <f>"19457"</f>
        <v>19457</v>
      </c>
      <c r="C27149" s="2">
        <v>1.2520505989524499E-4</v>
      </c>
      <c r="D27149" s="2">
        <v>2.3443572965036101E-4</v>
      </c>
      <c r="E27149" s="2">
        <v>9.5691948479454898E-6</v>
      </c>
      <c r="F27149" s="2">
        <v>1.2990564303618001E-4</v>
      </c>
    </row>
    <row r="27150" spans="1:6" x14ac:dyDescent="0.25">
      <c r="A27150" s="1" t="str">
        <f t="shared" si="987"/>
        <v>37980</v>
      </c>
      <c r="B27150" s="1" t="str">
        <f>"21904"</f>
        <v>21904</v>
      </c>
      <c r="C27150" s="2">
        <v>1.20775290232284E-3</v>
      </c>
      <c r="D27150" s="2">
        <v>3.8661330854621002E-4</v>
      </c>
      <c r="E27150" s="2">
        <v>5.1673652178905603E-4</v>
      </c>
      <c r="F27150" s="2">
        <v>1.1194618788642799E-3</v>
      </c>
    </row>
    <row r="27151" spans="1:6" x14ac:dyDescent="0.25">
      <c r="A27151" s="1" t="str">
        <f t="shared" si="987"/>
        <v>37980</v>
      </c>
      <c r="B27151" s="1" t="str">
        <f>"21913"</f>
        <v>21913</v>
      </c>
      <c r="C27151" s="2">
        <v>1.7206543318937101E-4</v>
      </c>
      <c r="D27151" s="2">
        <v>8.2258150754512803E-6</v>
      </c>
      <c r="E27151" s="2">
        <v>2.8707584543836402E-5</v>
      </c>
      <c r="F27151" s="2">
        <v>1.5426295110546401E-4</v>
      </c>
    </row>
    <row r="27152" spans="1:6" x14ac:dyDescent="0.25">
      <c r="A27152" s="1" t="str">
        <f t="shared" si="987"/>
        <v>37980</v>
      </c>
      <c r="B27152" s="1" t="str">
        <f>"08027"</f>
        <v>08027</v>
      </c>
      <c r="C27152" s="2">
        <v>7.5269474603691198E-4</v>
      </c>
      <c r="D27152" s="2">
        <v>4.35968198998918E-4</v>
      </c>
      <c r="E27152" s="2">
        <v>4.4975215785343799E-4</v>
      </c>
      <c r="F27152" s="2">
        <v>7.1740391366730699E-4</v>
      </c>
    </row>
    <row r="27153" spans="1:6" x14ac:dyDescent="0.25">
      <c r="A27153" s="1" t="str">
        <f t="shared" si="987"/>
        <v>37980</v>
      </c>
      <c r="B27153" s="1" t="str">
        <f>"08037"</f>
        <v>08037</v>
      </c>
      <c r="C27153" s="2">
        <v>6.6409935277770302E-4</v>
      </c>
      <c r="D27153" s="2">
        <v>5.9225868543249204E-4</v>
      </c>
      <c r="E27153" s="2">
        <v>4.4018296300549198E-4</v>
      </c>
      <c r="F27153" s="2">
        <v>6.5082727161126504E-4</v>
      </c>
    </row>
    <row r="27154" spans="1:6" x14ac:dyDescent="0.25">
      <c r="A27154" s="1" t="str">
        <f t="shared" si="987"/>
        <v>37980</v>
      </c>
      <c r="B27154" s="1" t="str">
        <f>"08069"</f>
        <v>08069</v>
      </c>
      <c r="C27154" s="2">
        <v>2.38658416800322E-3</v>
      </c>
      <c r="D27154" s="2">
        <v>1.86726002212744E-3</v>
      </c>
      <c r="E27154" s="2">
        <v>1.2535645250808501E-3</v>
      </c>
      <c r="F27154" s="2">
        <v>2.3071242203225599E-3</v>
      </c>
    </row>
    <row r="27155" spans="1:6" x14ac:dyDescent="0.25">
      <c r="A27155" s="1" t="str">
        <f t="shared" si="987"/>
        <v>37980</v>
      </c>
      <c r="B27155" s="1" t="str">
        <f>"08075"</f>
        <v>08075</v>
      </c>
      <c r="C27155" s="2">
        <v>4.3748551630063701E-3</v>
      </c>
      <c r="D27155" s="2">
        <v>2.8666965537947702E-3</v>
      </c>
      <c r="E27155" s="2">
        <v>2.3827295171384199E-3</v>
      </c>
      <c r="F27155" s="2">
        <v>4.1881579314864597E-3</v>
      </c>
    </row>
    <row r="27156" spans="1:6" x14ac:dyDescent="0.25">
      <c r="A27156" s="1" t="str">
        <f t="shared" si="987"/>
        <v>37980</v>
      </c>
      <c r="B27156" s="1" t="str">
        <f>"08066"</f>
        <v>08066</v>
      </c>
      <c r="C27156" s="2">
        <v>1.3571203421978699E-3</v>
      </c>
      <c r="D27156" s="2">
        <v>1.6163726623261701E-3</v>
      </c>
      <c r="E27156" s="2">
        <v>1.31097969416853E-3</v>
      </c>
      <c r="F27156" s="2">
        <v>1.3760255238607401E-3</v>
      </c>
    </row>
    <row r="27157" spans="1:6" x14ac:dyDescent="0.25">
      <c r="A27157" s="1" t="str">
        <f t="shared" si="987"/>
        <v>37980</v>
      </c>
      <c r="B27157" s="1" t="str">
        <f>"08108"</f>
        <v>08108</v>
      </c>
      <c r="C27157" s="2">
        <v>3.4050650938177601E-3</v>
      </c>
      <c r="D27157" s="2">
        <v>3.3643583658595701E-3</v>
      </c>
      <c r="E27157" s="2">
        <v>3.6171556525233899E-3</v>
      </c>
      <c r="F27157" s="2">
        <v>3.4090488373769699E-3</v>
      </c>
    </row>
    <row r="27158" spans="1:6" x14ac:dyDescent="0.25">
      <c r="A27158" s="1" t="str">
        <f t="shared" si="987"/>
        <v>37980</v>
      </c>
      <c r="B27158" s="1" t="str">
        <f>"08098"</f>
        <v>08098</v>
      </c>
      <c r="C27158" s="2">
        <v>1.4314379654690301E-3</v>
      </c>
      <c r="D27158" s="2">
        <v>9.9943653166733107E-4</v>
      </c>
      <c r="E27158" s="2">
        <v>7.1768961359591201E-4</v>
      </c>
      <c r="F27158" s="2">
        <v>1.37310264689242E-3</v>
      </c>
    </row>
    <row r="27159" spans="1:6" x14ac:dyDescent="0.25">
      <c r="A27159" s="1" t="str">
        <f t="shared" si="987"/>
        <v>37980</v>
      </c>
      <c r="B27159" s="1" t="str">
        <f>"08104"</f>
        <v>08104</v>
      </c>
      <c r="C27159" s="2">
        <v>3.7766532101735301E-3</v>
      </c>
      <c r="D27159" s="2">
        <v>2.4019380020317699E-3</v>
      </c>
      <c r="E27159" s="2">
        <v>1.1100266023616699E-3</v>
      </c>
      <c r="F27159" s="2">
        <v>3.57760140921641E-3</v>
      </c>
    </row>
    <row r="27160" spans="1:6" x14ac:dyDescent="0.25">
      <c r="A27160" s="1" t="str">
        <f t="shared" si="987"/>
        <v>37980</v>
      </c>
      <c r="B27160" s="1" t="str">
        <f>"18918"</f>
        <v>18918</v>
      </c>
      <c r="C27160" s="2">
        <v>0</v>
      </c>
      <c r="D27160" s="2">
        <v>0</v>
      </c>
      <c r="E27160" s="2">
        <v>9.5691948479454898E-6</v>
      </c>
      <c r="F27160" s="2">
        <v>3.2476410759045102E-7</v>
      </c>
    </row>
    <row r="27161" spans="1:6" x14ac:dyDescent="0.25">
      <c r="A27161" s="1" t="str">
        <f t="shared" si="987"/>
        <v>37980</v>
      </c>
      <c r="B27161" s="1" t="str">
        <f>"08072"</f>
        <v>08072</v>
      </c>
      <c r="C27161" s="2">
        <v>0</v>
      </c>
      <c r="D27161" s="2">
        <v>0</v>
      </c>
      <c r="E27161" s="2">
        <v>9.5691948479454898E-6</v>
      </c>
      <c r="F27161" s="2">
        <v>3.2476410759045102E-7</v>
      </c>
    </row>
    <row r="27162" spans="1:6" x14ac:dyDescent="0.25">
      <c r="A27162" s="1" t="str">
        <f t="shared" si="987"/>
        <v>37980</v>
      </c>
      <c r="B27162" s="1" t="str">
        <f>"21922"</f>
        <v>21922</v>
      </c>
      <c r="C27162" s="2">
        <v>0</v>
      </c>
      <c r="D27162" s="2">
        <v>4.1129075377256402E-6</v>
      </c>
      <c r="E27162" s="2">
        <v>0</v>
      </c>
      <c r="F27162" s="2">
        <v>3.2476410759045102E-7</v>
      </c>
    </row>
    <row r="27163" spans="1:6" x14ac:dyDescent="0.25">
      <c r="A27163" s="1" t="str">
        <f t="shared" si="987"/>
        <v>37980</v>
      </c>
      <c r="B27163" s="1" t="str">
        <f>"18968"</f>
        <v>18968</v>
      </c>
      <c r="C27163" s="2">
        <v>0</v>
      </c>
      <c r="D27163" s="2">
        <v>0</v>
      </c>
      <c r="E27163" s="2">
        <v>9.5691948479454898E-6</v>
      </c>
      <c r="F27163" s="2">
        <v>3.2476410759045102E-7</v>
      </c>
    </row>
    <row r="27164" spans="1:6" x14ac:dyDescent="0.25">
      <c r="A27164" s="1" t="str">
        <f t="shared" si="987"/>
        <v>37980</v>
      </c>
      <c r="B27164" s="1" t="str">
        <f>"18910"</f>
        <v>18910</v>
      </c>
      <c r="C27164" s="2">
        <v>0</v>
      </c>
      <c r="D27164" s="2">
        <v>0</v>
      </c>
      <c r="E27164" s="2">
        <v>9.5691948479454898E-6</v>
      </c>
      <c r="F27164" s="2">
        <v>3.2476410759045102E-7</v>
      </c>
    </row>
    <row r="27165" spans="1:6" x14ac:dyDescent="0.25">
      <c r="A27165" s="1" t="str">
        <f t="shared" si="987"/>
        <v>37980</v>
      </c>
      <c r="B27165" s="1" t="str">
        <f>"19718"</f>
        <v>19718</v>
      </c>
      <c r="C27165" s="2">
        <v>0</v>
      </c>
      <c r="D27165" s="2">
        <v>4.1129075377256402E-6</v>
      </c>
      <c r="E27165" s="2">
        <v>0</v>
      </c>
      <c r="F27165" s="2">
        <v>3.2476410759045102E-7</v>
      </c>
    </row>
    <row r="27166" spans="1:6" x14ac:dyDescent="0.25">
      <c r="A27166" s="1" t="str">
        <f t="shared" si="987"/>
        <v>37980</v>
      </c>
      <c r="B27166" s="1" t="str">
        <f>"19367"</f>
        <v>19367</v>
      </c>
      <c r="C27166" s="2">
        <v>0</v>
      </c>
      <c r="D27166" s="2">
        <v>4.1129075377256402E-6</v>
      </c>
      <c r="E27166" s="2">
        <v>0</v>
      </c>
      <c r="F27166" s="2">
        <v>3.2476410759045102E-7</v>
      </c>
    </row>
    <row r="27167" spans="1:6" x14ac:dyDescent="0.25">
      <c r="A27167" s="1" t="str">
        <f t="shared" si="987"/>
        <v>37980</v>
      </c>
      <c r="B27167" s="1" t="str">
        <f>"19892"</f>
        <v>19892</v>
      </c>
      <c r="C27167" s="2">
        <v>0</v>
      </c>
      <c r="D27167" s="2">
        <v>4.1129075377256402E-6</v>
      </c>
      <c r="E27167" s="2">
        <v>0</v>
      </c>
      <c r="F27167" s="2">
        <v>3.2476410759045102E-7</v>
      </c>
    </row>
    <row r="27168" spans="1:6" x14ac:dyDescent="0.25">
      <c r="A27168" s="1" t="str">
        <f t="shared" si="987"/>
        <v>37980</v>
      </c>
      <c r="B27168" s="1" t="str">
        <f>"19091"</f>
        <v>19091</v>
      </c>
      <c r="C27168" s="2">
        <v>0</v>
      </c>
      <c r="D27168" s="2">
        <v>4.1129075377256402E-6</v>
      </c>
      <c r="E27168" s="2">
        <v>1.9138389695890902E-5</v>
      </c>
      <c r="F27168" s="2">
        <v>9.7429232277135503E-7</v>
      </c>
    </row>
    <row r="27169" spans="1:6" x14ac:dyDescent="0.25">
      <c r="A27169" s="1" t="str">
        <f t="shared" si="987"/>
        <v>37980</v>
      </c>
      <c r="B27169" s="1" t="str">
        <f>"19896"</f>
        <v>19896</v>
      </c>
      <c r="C27169" s="2">
        <v>0</v>
      </c>
      <c r="D27169" s="2">
        <v>8.2258150754512803E-6</v>
      </c>
      <c r="E27169" s="2">
        <v>0</v>
      </c>
      <c r="F27169" s="2">
        <v>6.49528215180903E-7</v>
      </c>
    </row>
    <row r="27170" spans="1:6" x14ac:dyDescent="0.25">
      <c r="A27170" s="1" t="str">
        <f t="shared" si="987"/>
        <v>37980</v>
      </c>
      <c r="B27170" s="1" t="str">
        <f>"19374"</f>
        <v>19374</v>
      </c>
      <c r="C27170" s="2">
        <v>9.66495199191365E-5</v>
      </c>
      <c r="D27170" s="2">
        <v>1.6040339397129999E-4</v>
      </c>
      <c r="E27170" s="2">
        <v>2.39229871198637E-4</v>
      </c>
      <c r="F27170" s="2">
        <v>1.06522627289668E-4</v>
      </c>
    </row>
    <row r="27171" spans="1:6" x14ac:dyDescent="0.25">
      <c r="A27171" s="1" t="str">
        <f t="shared" si="987"/>
        <v>37980</v>
      </c>
      <c r="B27171" s="1" t="str">
        <f>"19109"</f>
        <v>19109</v>
      </c>
      <c r="C27171" s="2">
        <v>1.4643866654414599E-6</v>
      </c>
      <c r="D27171" s="2">
        <v>3.8250040100848399E-4</v>
      </c>
      <c r="E27171" s="2">
        <v>2.8707584543836402E-5</v>
      </c>
      <c r="F27171" s="2">
        <v>3.2476410759045103E-5</v>
      </c>
    </row>
    <row r="27172" spans="1:6" x14ac:dyDescent="0.25">
      <c r="A27172" s="1" t="str">
        <f t="shared" si="987"/>
        <v>37980</v>
      </c>
      <c r="B27172" s="1" t="str">
        <f>"19113"</f>
        <v>19113</v>
      </c>
      <c r="C27172" s="2">
        <v>0</v>
      </c>
      <c r="D27172" s="2">
        <v>7.8556533970559797E-4</v>
      </c>
      <c r="E27172" s="2">
        <v>4.4975215785343799E-4</v>
      </c>
      <c r="F27172" s="2">
        <v>7.7293857606527399E-5</v>
      </c>
    </row>
    <row r="27173" spans="1:6" x14ac:dyDescent="0.25">
      <c r="A27173" s="1" t="str">
        <f t="shared" si="987"/>
        <v>37980</v>
      </c>
      <c r="B27173" s="1" t="str">
        <f>"08041"</f>
        <v>08041</v>
      </c>
      <c r="C27173" s="2">
        <v>1.2520505989524499E-4</v>
      </c>
      <c r="D27173" s="2">
        <v>6.5806520603610297E-5</v>
      </c>
      <c r="E27173" s="2">
        <v>3.8276779391781898E-5</v>
      </c>
      <c r="F27173" s="2">
        <v>1.17564606947743E-4</v>
      </c>
    </row>
    <row r="27174" spans="1:6" x14ac:dyDescent="0.25">
      <c r="A27174" s="1" t="str">
        <f t="shared" si="987"/>
        <v>37980</v>
      </c>
      <c r="B27174" s="1" t="str">
        <f>"08073"</f>
        <v>08073</v>
      </c>
      <c r="C27174" s="2">
        <v>1.5815375986767799E-4</v>
      </c>
      <c r="D27174" s="2">
        <v>4.48306921612095E-4</v>
      </c>
      <c r="E27174" s="2">
        <v>1.9138389695890902E-5</v>
      </c>
      <c r="F27174" s="2">
        <v>1.7634691042161499E-4</v>
      </c>
    </row>
    <row r="27175" spans="1:6" x14ac:dyDescent="0.25">
      <c r="A27175" s="1" t="str">
        <f t="shared" si="987"/>
        <v>37980</v>
      </c>
      <c r="B27175" s="1" t="str">
        <f>"19710"</f>
        <v>19710</v>
      </c>
      <c r="C27175" s="2">
        <v>1.89271976508309E-4</v>
      </c>
      <c r="D27175" s="2">
        <v>5.2233925729115597E-4</v>
      </c>
      <c r="E27175" s="2">
        <v>1.9138389695890902E-5</v>
      </c>
      <c r="F27175" s="2">
        <v>2.0979761350343101E-4</v>
      </c>
    </row>
    <row r="27176" spans="1:6" x14ac:dyDescent="0.25">
      <c r="A27176" s="1" t="str">
        <f t="shared" si="987"/>
        <v>37980</v>
      </c>
      <c r="B27176" s="1" t="str">
        <f>"08641"</f>
        <v>08641</v>
      </c>
      <c r="C27176" s="2">
        <v>5.2461652289440398E-4</v>
      </c>
      <c r="D27176" s="2">
        <v>1.6040339397129999E-4</v>
      </c>
      <c r="E27176" s="2">
        <v>3.2535262483014601E-4</v>
      </c>
      <c r="F27176" s="2">
        <v>4.8909474603122001E-4</v>
      </c>
    </row>
    <row r="27177" spans="1:6" x14ac:dyDescent="0.25">
      <c r="A27177" s="1" t="str">
        <f t="shared" si="987"/>
        <v>37980</v>
      </c>
      <c r="B27177" s="1" t="str">
        <f>"19733"</f>
        <v>19733</v>
      </c>
      <c r="C27177" s="2">
        <v>5.5280596620415201E-5</v>
      </c>
      <c r="D27177" s="2">
        <v>5.7580705528159001E-5</v>
      </c>
      <c r="E27177" s="2">
        <v>4.7845974239727398E-5</v>
      </c>
      <c r="F27177" s="2">
        <v>5.52098982903767E-5</v>
      </c>
    </row>
    <row r="27178" spans="1:6" x14ac:dyDescent="0.25">
      <c r="A27178" s="1" t="str">
        <f t="shared" si="987"/>
        <v>37980</v>
      </c>
      <c r="B27178" s="1" t="str">
        <f>"18920"</f>
        <v>18920</v>
      </c>
      <c r="C27178" s="2">
        <v>8.5666619928325501E-5</v>
      </c>
      <c r="D27178" s="2">
        <v>8.2258150754512803E-6</v>
      </c>
      <c r="E27178" s="2">
        <v>9.5691948479454898E-6</v>
      </c>
      <c r="F27178" s="2">
        <v>7.6969093498937001E-5</v>
      </c>
    </row>
    <row r="27179" spans="1:6" x14ac:dyDescent="0.25">
      <c r="A27179" s="1" t="str">
        <f t="shared" si="987"/>
        <v>37980</v>
      </c>
      <c r="B27179" s="1" t="str">
        <f>"19058"</f>
        <v>19058</v>
      </c>
      <c r="C27179" s="2">
        <v>3.2472774306164398E-4</v>
      </c>
      <c r="D27179" s="2">
        <v>7.0330718895108505E-4</v>
      </c>
      <c r="E27179" s="2">
        <v>9.5691948479454898E-6</v>
      </c>
      <c r="F27179" s="2">
        <v>3.43925189938288E-4</v>
      </c>
    </row>
    <row r="27180" spans="1:6" x14ac:dyDescent="0.25">
      <c r="A27180" s="1" t="str">
        <f t="shared" ref="A27180:A27243" si="988">"37980"</f>
        <v>37980</v>
      </c>
      <c r="B27180" s="1" t="str">
        <f>"19331"</f>
        <v>19331</v>
      </c>
      <c r="C27180" s="2">
        <v>2.1196996982265101E-4</v>
      </c>
      <c r="D27180" s="2">
        <v>4.6475855176299701E-4</v>
      </c>
      <c r="E27180" s="2">
        <v>1.9138389695890902E-5</v>
      </c>
      <c r="F27180" s="2">
        <v>2.25386290667773E-4</v>
      </c>
    </row>
    <row r="27181" spans="1:6" x14ac:dyDescent="0.25">
      <c r="A27181" s="1" t="str">
        <f t="shared" si="988"/>
        <v>37980</v>
      </c>
      <c r="B27181" s="1" t="str">
        <f>"21917"</f>
        <v>21917</v>
      </c>
      <c r="C27181" s="2">
        <v>3.5145279970595102E-4</v>
      </c>
      <c r="D27181" s="2">
        <v>1.11048503518592E-4</v>
      </c>
      <c r="E27181" s="2">
        <v>1.4353792271918199E-4</v>
      </c>
      <c r="F27181" s="2">
        <v>3.2541363580563198E-4</v>
      </c>
    </row>
    <row r="27182" spans="1:6" x14ac:dyDescent="0.25">
      <c r="A27182" s="1" t="str">
        <f t="shared" si="988"/>
        <v>37980</v>
      </c>
      <c r="B27182" s="1" t="str">
        <f>"19372"</f>
        <v>19372</v>
      </c>
      <c r="C27182" s="2">
        <v>3.5950692636587902E-4</v>
      </c>
      <c r="D27182" s="2">
        <v>5.0588762714025401E-4</v>
      </c>
      <c r="E27182" s="2">
        <v>2.1052228665480001E-4</v>
      </c>
      <c r="F27182" s="2">
        <v>3.6600914925443898E-4</v>
      </c>
    </row>
    <row r="27183" spans="1:6" x14ac:dyDescent="0.25">
      <c r="A27183" s="1" t="str">
        <f t="shared" si="988"/>
        <v>37980</v>
      </c>
      <c r="B27183" s="1" t="str">
        <f>"19362"</f>
        <v>19362</v>
      </c>
      <c r="C27183" s="2">
        <v>5.1802678289991698E-4</v>
      </c>
      <c r="D27183" s="2">
        <v>2.0564537688628199E-4</v>
      </c>
      <c r="E27183" s="2">
        <v>1.24399533023291E-4</v>
      </c>
      <c r="F27183" s="2">
        <v>4.8000135101868702E-4</v>
      </c>
    </row>
    <row r="27184" spans="1:6" x14ac:dyDescent="0.25">
      <c r="A27184" s="1" t="str">
        <f t="shared" si="988"/>
        <v>37980</v>
      </c>
      <c r="B27184" s="1" t="str">
        <f>"19143"</f>
        <v>19143</v>
      </c>
      <c r="C27184" s="2">
        <v>1.1147277394006699E-2</v>
      </c>
      <c r="D27184" s="2">
        <v>5.2480700181379196E-3</v>
      </c>
      <c r="E27184" s="2">
        <v>1.5951847811525099E-2</v>
      </c>
      <c r="F27184" s="2">
        <v>1.08445230806603E-2</v>
      </c>
    </row>
    <row r="27185" spans="1:6" x14ac:dyDescent="0.25">
      <c r="A27185" s="1" t="str">
        <f t="shared" si="988"/>
        <v>37980</v>
      </c>
      <c r="B27185" s="1" t="str">
        <f>"19475"</f>
        <v>19475</v>
      </c>
      <c r="C27185" s="2">
        <v>1.75104035520162E-3</v>
      </c>
      <c r="D27185" s="2">
        <v>9.0895256583736696E-4</v>
      </c>
      <c r="E27185" s="2">
        <v>1.6267631241507301E-3</v>
      </c>
      <c r="F27185" s="2">
        <v>1.68032949267299E-3</v>
      </c>
    </row>
    <row r="27186" spans="1:6" x14ac:dyDescent="0.25">
      <c r="A27186" s="1" t="str">
        <f t="shared" si="988"/>
        <v>37980</v>
      </c>
      <c r="B27186" s="1" t="str">
        <f>"19460"</f>
        <v>19460</v>
      </c>
      <c r="C27186" s="2">
        <v>6.9609620141759896E-3</v>
      </c>
      <c r="D27186" s="2">
        <v>5.7210543849763699E-3</v>
      </c>
      <c r="E27186" s="2">
        <v>5.9616083902700404E-3</v>
      </c>
      <c r="F27186" s="2">
        <v>6.8291396544120104E-3</v>
      </c>
    </row>
    <row r="27187" spans="1:6" x14ac:dyDescent="0.25">
      <c r="A27187" s="1" t="str">
        <f t="shared" si="988"/>
        <v>37980</v>
      </c>
      <c r="B27187" s="1" t="str">
        <f>"21911"</f>
        <v>21911</v>
      </c>
      <c r="C27187" s="2">
        <v>1.64194354862624E-3</v>
      </c>
      <c r="D27187" s="2">
        <v>7.15645911564262E-4</v>
      </c>
      <c r="E27187" s="2">
        <v>2.29660676350691E-4</v>
      </c>
      <c r="F27187" s="2">
        <v>1.5208703158460801E-3</v>
      </c>
    </row>
    <row r="27188" spans="1:6" x14ac:dyDescent="0.25">
      <c r="A27188" s="1" t="str">
        <f t="shared" si="988"/>
        <v>37980</v>
      </c>
      <c r="B27188" s="1" t="str">
        <f>"18944"</f>
        <v>18944</v>
      </c>
      <c r="C27188" s="2">
        <v>3.8048426534832802E-3</v>
      </c>
      <c r="D27188" s="2">
        <v>1.6287113849393501E-3</v>
      </c>
      <c r="E27188" s="2">
        <v>2.4879906604658199E-3</v>
      </c>
      <c r="F27188" s="2">
        <v>3.5883186247669002E-3</v>
      </c>
    </row>
    <row r="27189" spans="1:6" x14ac:dyDescent="0.25">
      <c r="A27189" s="1" t="str">
        <f t="shared" si="988"/>
        <v>37980</v>
      </c>
      <c r="B27189" s="1" t="str">
        <f>"18902"</f>
        <v>18902</v>
      </c>
      <c r="C27189" s="2">
        <v>2.8021038843222298E-3</v>
      </c>
      <c r="D27189" s="2">
        <v>1.78911477891065E-3</v>
      </c>
      <c r="E27189" s="2">
        <v>1.3683948632562E-3</v>
      </c>
      <c r="F27189" s="2">
        <v>2.67345813368459E-3</v>
      </c>
    </row>
    <row r="27190" spans="1:6" x14ac:dyDescent="0.25">
      <c r="A27190" s="1" t="str">
        <f t="shared" si="988"/>
        <v>37980</v>
      </c>
      <c r="B27190" s="1" t="str">
        <f>"19018"</f>
        <v>19018</v>
      </c>
      <c r="C27190" s="2">
        <v>3.8890448867461599E-3</v>
      </c>
      <c r="D27190" s="2">
        <v>2.5417768583144399E-3</v>
      </c>
      <c r="E27190" s="2">
        <v>3.11955752043023E-3</v>
      </c>
      <c r="F27190" s="2">
        <v>3.7565464324987499E-3</v>
      </c>
    </row>
    <row r="27191" spans="1:6" x14ac:dyDescent="0.25">
      <c r="A27191" s="1" t="str">
        <f t="shared" si="988"/>
        <v>37980</v>
      </c>
      <c r="B27191" s="1" t="str">
        <f>"19046"</f>
        <v>19046</v>
      </c>
      <c r="C27191" s="2">
        <v>3.7056304568996198E-3</v>
      </c>
      <c r="D27191" s="2">
        <v>5.2809732784397196E-3</v>
      </c>
      <c r="E27191" s="2">
        <v>5.7797936881590697E-3</v>
      </c>
      <c r="F27191" s="2">
        <v>3.9004169321613198E-3</v>
      </c>
    </row>
    <row r="27192" spans="1:6" x14ac:dyDescent="0.25">
      <c r="A27192" s="1" t="str">
        <f t="shared" si="988"/>
        <v>37980</v>
      </c>
      <c r="B27192" s="1" t="str">
        <f>"19034"</f>
        <v>19034</v>
      </c>
      <c r="C27192" s="2">
        <v>1.11403215573459E-3</v>
      </c>
      <c r="D27192" s="2">
        <v>3.56589083520813E-3</v>
      </c>
      <c r="E27192" s="2">
        <v>1.7607318520219701E-3</v>
      </c>
      <c r="F27192" s="2">
        <v>1.3295842564753E-3</v>
      </c>
    </row>
    <row r="27193" spans="1:6" x14ac:dyDescent="0.25">
      <c r="A27193" s="1" t="str">
        <f t="shared" si="988"/>
        <v>37980</v>
      </c>
      <c r="B27193" s="1" t="str">
        <f>"19040"</f>
        <v>19040</v>
      </c>
      <c r="C27193" s="2">
        <v>3.5386903770392901E-3</v>
      </c>
      <c r="D27193" s="2">
        <v>3.60701991058539E-3</v>
      </c>
      <c r="E27193" s="2">
        <v>2.6123901934891102E-3</v>
      </c>
      <c r="F27193" s="2">
        <v>3.5126485876983199E-3</v>
      </c>
    </row>
    <row r="27194" spans="1:6" x14ac:dyDescent="0.25">
      <c r="A27194" s="1" t="str">
        <f t="shared" si="988"/>
        <v>37980</v>
      </c>
      <c r="B27194" s="1" t="str">
        <f>"18969"</f>
        <v>18969</v>
      </c>
      <c r="C27194" s="2">
        <v>2.5030029079058198E-3</v>
      </c>
      <c r="D27194" s="2">
        <v>1.75621151860885E-3</v>
      </c>
      <c r="E27194" s="2">
        <v>1.7894394365658001E-3</v>
      </c>
      <c r="F27194" s="2">
        <v>2.4198173656564499E-3</v>
      </c>
    </row>
    <row r="27195" spans="1:6" x14ac:dyDescent="0.25">
      <c r="A27195" s="1" t="str">
        <f t="shared" si="988"/>
        <v>37980</v>
      </c>
      <c r="B27195" s="1" t="str">
        <f>"18966"</f>
        <v>18966</v>
      </c>
      <c r="C27195" s="2">
        <v>5.9812873349956502E-3</v>
      </c>
      <c r="D27195" s="2">
        <v>5.5112961005523596E-3</v>
      </c>
      <c r="E27195" s="2">
        <v>2.2487607892671901E-3</v>
      </c>
      <c r="F27195" s="2">
        <v>5.8174994592677604E-3</v>
      </c>
    </row>
    <row r="27196" spans="1:6" x14ac:dyDescent="0.25">
      <c r="A27196" s="1" t="str">
        <f t="shared" si="988"/>
        <v>37980</v>
      </c>
      <c r="B27196" s="1" t="str">
        <f>"18977"</f>
        <v>18977</v>
      </c>
      <c r="C27196" s="2">
        <v>8.0321608599464201E-4</v>
      </c>
      <c r="D27196" s="2">
        <v>1.3366949497608299E-3</v>
      </c>
      <c r="E27196" s="2">
        <v>4.2104457330960099E-4</v>
      </c>
      <c r="F27196" s="2">
        <v>8.3237040775432697E-4</v>
      </c>
    </row>
    <row r="27197" spans="1:6" x14ac:dyDescent="0.25">
      <c r="A27197" s="1" t="str">
        <f t="shared" si="988"/>
        <v>37980</v>
      </c>
      <c r="B27197" s="1" t="str">
        <f>"19136"</f>
        <v>19136</v>
      </c>
      <c r="C27197" s="2">
        <v>4.8302794159586597E-3</v>
      </c>
      <c r="D27197" s="2">
        <v>3.9072621608393599E-3</v>
      </c>
      <c r="E27197" s="2">
        <v>4.40182963005492E-3</v>
      </c>
      <c r="F27197" s="2">
        <v>4.7428550272509496E-3</v>
      </c>
    </row>
    <row r="27198" spans="1:6" x14ac:dyDescent="0.25">
      <c r="A27198" s="1" t="str">
        <f t="shared" si="988"/>
        <v>37980</v>
      </c>
      <c r="B27198" s="1" t="str">
        <f>"19133"</f>
        <v>19133</v>
      </c>
      <c r="C27198" s="2">
        <v>3.9684878633463603E-3</v>
      </c>
      <c r="D27198" s="2">
        <v>4.9766181206480197E-3</v>
      </c>
      <c r="E27198" s="2">
        <v>3.8850931082658698E-3</v>
      </c>
      <c r="F27198" s="2">
        <v>4.0452617241466598E-3</v>
      </c>
    </row>
    <row r="27199" spans="1:6" x14ac:dyDescent="0.25">
      <c r="A27199" s="1" t="str">
        <f t="shared" si="988"/>
        <v>37980</v>
      </c>
      <c r="B27199" s="1" t="str">
        <f>"19127"</f>
        <v>19127</v>
      </c>
      <c r="C27199" s="2">
        <v>1.3809166255112899E-3</v>
      </c>
      <c r="D27199" s="2">
        <v>1.87959874474061E-3</v>
      </c>
      <c r="E27199" s="2">
        <v>3.3109414173891401E-3</v>
      </c>
      <c r="F27199" s="2">
        <v>1.48579579222631E-3</v>
      </c>
    </row>
    <row r="27200" spans="1:6" x14ac:dyDescent="0.25">
      <c r="A27200" s="1" t="str">
        <f t="shared" si="988"/>
        <v>37980</v>
      </c>
      <c r="B27200" s="1" t="str">
        <f>"19106"</f>
        <v>19106</v>
      </c>
      <c r="C27200" s="2">
        <v>3.57054078701264E-3</v>
      </c>
      <c r="D27200" s="2">
        <v>1.03604140875308E-2</v>
      </c>
      <c r="E27200" s="2">
        <v>1.4219823544047E-2</v>
      </c>
      <c r="F27200" s="2">
        <v>4.4681045922294301E-3</v>
      </c>
    </row>
    <row r="27201" spans="1:6" x14ac:dyDescent="0.25">
      <c r="A27201" s="1" t="str">
        <f t="shared" si="988"/>
        <v>37980</v>
      </c>
      <c r="B27201" s="1" t="str">
        <f>"19116"</f>
        <v>19116</v>
      </c>
      <c r="C27201" s="2">
        <v>4.9847722091627402E-3</v>
      </c>
      <c r="D27201" s="2">
        <v>3.1957291568128201E-3</v>
      </c>
      <c r="E27201" s="2">
        <v>2.95688120801515E-3</v>
      </c>
      <c r="F27201" s="2">
        <v>4.7746819097948196E-3</v>
      </c>
    </row>
    <row r="27202" spans="1:6" x14ac:dyDescent="0.25">
      <c r="A27202" s="1" t="str">
        <f t="shared" si="988"/>
        <v>37980</v>
      </c>
      <c r="B27202" s="1" t="str">
        <f>"19096"</f>
        <v>19096</v>
      </c>
      <c r="C27202" s="2">
        <v>2.3338662480473301E-3</v>
      </c>
      <c r="D27202" s="2">
        <v>3.2821002151050601E-3</v>
      </c>
      <c r="E27202" s="2">
        <v>9.8562706933838506E-4</v>
      </c>
      <c r="F27202" s="2">
        <v>2.3629836468281201E-3</v>
      </c>
    </row>
    <row r="27203" spans="1:6" x14ac:dyDescent="0.25">
      <c r="A27203" s="1" t="str">
        <f t="shared" si="988"/>
        <v>37980</v>
      </c>
      <c r="B27203" s="1" t="str">
        <f>"19082"</f>
        <v>19082</v>
      </c>
      <c r="C27203" s="2">
        <v>6.1467630281905397E-3</v>
      </c>
      <c r="D27203" s="2">
        <v>5.42081213472239E-3</v>
      </c>
      <c r="E27203" s="2">
        <v>7.9807085031865406E-3</v>
      </c>
      <c r="F27203" s="2">
        <v>6.1516817259783304E-3</v>
      </c>
    </row>
    <row r="27204" spans="1:6" x14ac:dyDescent="0.25">
      <c r="A27204" s="1" t="str">
        <f t="shared" si="988"/>
        <v>37980</v>
      </c>
      <c r="B27204" s="1" t="str">
        <f>"19426"</f>
        <v>19426</v>
      </c>
      <c r="C27204" s="2">
        <v>5.2154131089697702E-3</v>
      </c>
      <c r="D27204" s="2">
        <v>4.4666175859700398E-3</v>
      </c>
      <c r="E27204" s="2">
        <v>3.3587873916288602E-3</v>
      </c>
      <c r="F27204" s="2">
        <v>5.0932754993410498E-3</v>
      </c>
    </row>
    <row r="27205" spans="1:6" x14ac:dyDescent="0.25">
      <c r="A27205" s="1" t="str">
        <f t="shared" si="988"/>
        <v>37980</v>
      </c>
      <c r="B27205" s="1" t="str">
        <f>"19154"</f>
        <v>19154</v>
      </c>
      <c r="C27205" s="2">
        <v>4.7775614960027697E-3</v>
      </c>
      <c r="D27205" s="2">
        <v>2.9489547045492802E-3</v>
      </c>
      <c r="E27205" s="2">
        <v>3.1004191307343401E-3</v>
      </c>
      <c r="F27205" s="2">
        <v>4.5762510400570496E-3</v>
      </c>
    </row>
    <row r="27206" spans="1:6" x14ac:dyDescent="0.25">
      <c r="A27206" s="1" t="str">
        <f t="shared" si="988"/>
        <v>37980</v>
      </c>
      <c r="B27206" s="1" t="str">
        <f>"19149"</f>
        <v>19149</v>
      </c>
      <c r="C27206" s="2">
        <v>7.32522819720455E-3</v>
      </c>
      <c r="D27206" s="2">
        <v>4.4254885105927903E-3</v>
      </c>
      <c r="E27206" s="2">
        <v>2.8898968440795301E-3</v>
      </c>
      <c r="F27206" s="2">
        <v>6.9457299690369803E-3</v>
      </c>
    </row>
    <row r="27207" spans="1:6" x14ac:dyDescent="0.25">
      <c r="A27207" s="1" t="str">
        <f t="shared" si="988"/>
        <v>37980</v>
      </c>
      <c r="B27207" s="1" t="str">
        <f>"19152"</f>
        <v>19152</v>
      </c>
      <c r="C27207" s="2">
        <v>5.1923490189890601E-3</v>
      </c>
      <c r="D27207" s="2">
        <v>2.8954869065588502E-3</v>
      </c>
      <c r="E27207" s="2">
        <v>4.0477694206809403E-3</v>
      </c>
      <c r="F27207" s="2">
        <v>4.9721384872098099E-3</v>
      </c>
    </row>
    <row r="27208" spans="1:6" x14ac:dyDescent="0.25">
      <c r="A27208" s="1" t="str">
        <f t="shared" si="988"/>
        <v>37980</v>
      </c>
      <c r="B27208" s="1" t="str">
        <f>"19151"</f>
        <v>19151</v>
      </c>
      <c r="C27208" s="2">
        <v>4.9895314658254201E-3</v>
      </c>
      <c r="D27208" s="2">
        <v>3.3972616261613801E-3</v>
      </c>
      <c r="E27208" s="2">
        <v>6.8993894853686998E-3</v>
      </c>
      <c r="F27208" s="2">
        <v>4.9286200967926901E-3</v>
      </c>
    </row>
    <row r="27209" spans="1:6" x14ac:dyDescent="0.25">
      <c r="A27209" s="1" t="str">
        <f t="shared" si="988"/>
        <v>37980</v>
      </c>
      <c r="B27209" s="1" t="str">
        <f>"19147"</f>
        <v>19147</v>
      </c>
      <c r="C27209" s="2">
        <v>7.5803975736577298E-3</v>
      </c>
      <c r="D27209" s="2">
        <v>8.8592028362610292E-3</v>
      </c>
      <c r="E27209" s="2">
        <v>2.4037817458038999E-2</v>
      </c>
      <c r="F27209" s="2">
        <v>8.2399149377849305E-3</v>
      </c>
    </row>
    <row r="27210" spans="1:6" x14ac:dyDescent="0.25">
      <c r="A27210" s="1" t="str">
        <f t="shared" si="988"/>
        <v>37980</v>
      </c>
      <c r="B27210" s="1" t="str">
        <f>"19160"</f>
        <v>19160</v>
      </c>
      <c r="C27210" s="2">
        <v>3.8110662968114E-4</v>
      </c>
      <c r="D27210" s="2">
        <v>3.9072621608393599E-4</v>
      </c>
      <c r="E27210" s="2">
        <v>9.5691948479454898E-6</v>
      </c>
      <c r="F27210" s="2">
        <v>3.6925679033034299E-4</v>
      </c>
    </row>
    <row r="27211" spans="1:6" x14ac:dyDescent="0.25">
      <c r="A27211" s="1" t="str">
        <f t="shared" si="988"/>
        <v>37980</v>
      </c>
      <c r="B27211" s="1" t="str">
        <f>"19713"</f>
        <v>19713</v>
      </c>
      <c r="C27211" s="2">
        <v>4.89214975257356E-3</v>
      </c>
      <c r="D27211" s="2">
        <v>5.63879623422185E-3</v>
      </c>
      <c r="E27211" s="2">
        <v>7.2917264741344601E-3</v>
      </c>
      <c r="F27211" s="2">
        <v>5.0325446112216296E-3</v>
      </c>
    </row>
    <row r="27212" spans="1:6" x14ac:dyDescent="0.25">
      <c r="A27212" s="1" t="str">
        <f t="shared" si="988"/>
        <v>37980</v>
      </c>
      <c r="B27212" s="1" t="str">
        <f>"19715"</f>
        <v>19715</v>
      </c>
      <c r="C27212" s="2">
        <v>3.2692432305980599E-4</v>
      </c>
      <c r="D27212" s="2">
        <v>4.40081106536643E-4</v>
      </c>
      <c r="E27212" s="2">
        <v>1.9138389695890902E-5</v>
      </c>
      <c r="F27212" s="2">
        <v>3.2541363580563198E-4</v>
      </c>
    </row>
    <row r="27213" spans="1:6" x14ac:dyDescent="0.25">
      <c r="A27213" s="1" t="str">
        <f t="shared" si="988"/>
        <v>37980</v>
      </c>
      <c r="B27213" s="1" t="str">
        <f>"08036"</f>
        <v>08036</v>
      </c>
      <c r="C27213" s="2">
        <v>1.0686361691059001E-3</v>
      </c>
      <c r="D27213" s="2">
        <v>2.00298597087238E-3</v>
      </c>
      <c r="E27213" s="2">
        <v>2.9664504028630999E-4</v>
      </c>
      <c r="F27213" s="2">
        <v>1.1162142377883801E-3</v>
      </c>
    </row>
    <row r="27214" spans="1:6" x14ac:dyDescent="0.25">
      <c r="A27214" s="1" t="str">
        <f t="shared" si="988"/>
        <v>37980</v>
      </c>
      <c r="B27214" s="1" t="str">
        <f>"08030"</f>
        <v>08030</v>
      </c>
      <c r="C27214" s="2">
        <v>2.0032809583239199E-3</v>
      </c>
      <c r="D27214" s="2">
        <v>1.75621151860885E-3</v>
      </c>
      <c r="E27214" s="2">
        <v>1.18658016114524E-3</v>
      </c>
      <c r="F27214" s="2">
        <v>1.95605422001729E-3</v>
      </c>
    </row>
    <row r="27215" spans="1:6" x14ac:dyDescent="0.25">
      <c r="A27215" s="1" t="str">
        <f t="shared" si="988"/>
        <v>37980</v>
      </c>
      <c r="B27215" s="1" t="str">
        <f>"08029"</f>
        <v>08029</v>
      </c>
      <c r="C27215" s="2">
        <v>7.3695258938341602E-4</v>
      </c>
      <c r="D27215" s="2">
        <v>3.0024225025397199E-4</v>
      </c>
      <c r="E27215" s="2">
        <v>3.0621423513425502E-4</v>
      </c>
      <c r="F27215" s="2">
        <v>6.8785037987657599E-4</v>
      </c>
    </row>
    <row r="27216" spans="1:6" x14ac:dyDescent="0.25">
      <c r="A27216" s="1" t="str">
        <f t="shared" si="988"/>
        <v>37980</v>
      </c>
      <c r="B27216" s="1" t="str">
        <f>"08035"</f>
        <v>08035</v>
      </c>
      <c r="C27216" s="2">
        <v>1.1517401123697099E-3</v>
      </c>
      <c r="D27216" s="2">
        <v>1.2791142442326699E-3</v>
      </c>
      <c r="E27216" s="2">
        <v>1.2535645250808501E-3</v>
      </c>
      <c r="F27216" s="2">
        <v>1.16525361803454E-3</v>
      </c>
    </row>
    <row r="27217" spans="1:6" x14ac:dyDescent="0.25">
      <c r="A27217" s="1" t="str">
        <f t="shared" si="988"/>
        <v>37980</v>
      </c>
      <c r="B27217" s="1" t="str">
        <f>"08015"</f>
        <v>08015</v>
      </c>
      <c r="C27217" s="2">
        <v>3.5584595970227502E-3</v>
      </c>
      <c r="D27217" s="2">
        <v>1.4189531005153399E-3</v>
      </c>
      <c r="E27217" s="2">
        <v>1.2727029147767499E-3</v>
      </c>
      <c r="F27217" s="2">
        <v>3.3119443692074201E-3</v>
      </c>
    </row>
    <row r="27218" spans="1:6" x14ac:dyDescent="0.25">
      <c r="A27218" s="1" t="str">
        <f t="shared" si="988"/>
        <v>37980</v>
      </c>
      <c r="B27218" s="1" t="str">
        <f>"08009"</f>
        <v>08009</v>
      </c>
      <c r="C27218" s="2">
        <v>2.2445386614553999E-3</v>
      </c>
      <c r="D27218" s="2">
        <v>3.1381484512846601E-3</v>
      </c>
      <c r="E27218" s="2">
        <v>1.4066716426479799E-3</v>
      </c>
      <c r="F27218" s="2">
        <v>2.2866640815443701E-3</v>
      </c>
    </row>
    <row r="27219" spans="1:6" x14ac:dyDescent="0.25">
      <c r="A27219" s="1" t="str">
        <f t="shared" si="988"/>
        <v>37980</v>
      </c>
      <c r="B27219" s="1" t="str">
        <f>"08004"</f>
        <v>08004</v>
      </c>
      <c r="C27219" s="2">
        <v>1.97765419167869E-3</v>
      </c>
      <c r="D27219" s="2">
        <v>1.5546790492602901E-3</v>
      </c>
      <c r="E27219" s="2">
        <v>6.7941283420413004E-4</v>
      </c>
      <c r="F27219" s="2">
        <v>1.9001947935117301E-3</v>
      </c>
    </row>
    <row r="27220" spans="1:6" x14ac:dyDescent="0.25">
      <c r="A27220" s="1" t="str">
        <f t="shared" si="988"/>
        <v>37980</v>
      </c>
      <c r="B27220" s="1" t="str">
        <f>"08002"</f>
        <v>08002</v>
      </c>
      <c r="C27220" s="2">
        <v>4.0083923999796401E-3</v>
      </c>
      <c r="D27220" s="2">
        <v>6.0829902482962203E-3</v>
      </c>
      <c r="E27220" s="2">
        <v>3.3205106122370801E-3</v>
      </c>
      <c r="F27220" s="2">
        <v>4.1488614744680198E-3</v>
      </c>
    </row>
    <row r="27221" spans="1:6" x14ac:dyDescent="0.25">
      <c r="A27221" s="1" t="str">
        <f t="shared" si="988"/>
        <v>37980</v>
      </c>
      <c r="B27221" s="1" t="str">
        <f>"08077"</f>
        <v>08077</v>
      </c>
      <c r="C27221" s="2">
        <v>3.0675239674335E-3</v>
      </c>
      <c r="D27221" s="2">
        <v>4.9272632301953197E-3</v>
      </c>
      <c r="E27221" s="2">
        <v>2.0286693077644401E-3</v>
      </c>
      <c r="F27221" s="2">
        <v>3.1791158492029299E-3</v>
      </c>
    </row>
    <row r="27222" spans="1:6" x14ac:dyDescent="0.25">
      <c r="A27222" s="1" t="str">
        <f t="shared" si="988"/>
        <v>37980</v>
      </c>
      <c r="B27222" s="1" t="str">
        <f>"08085"</f>
        <v>08085</v>
      </c>
      <c r="C27222" s="2">
        <v>3.0298160107983798E-3</v>
      </c>
      <c r="D27222" s="2">
        <v>3.65637480103809E-3</v>
      </c>
      <c r="E27222" s="2">
        <v>1.18658016114524E-3</v>
      </c>
      <c r="F27222" s="2">
        <v>3.0167337954076999E-3</v>
      </c>
    </row>
    <row r="27223" spans="1:6" x14ac:dyDescent="0.25">
      <c r="A27223" s="1" t="str">
        <f t="shared" si="988"/>
        <v>37980</v>
      </c>
      <c r="B27223" s="1" t="str">
        <f>"08068"</f>
        <v>08068</v>
      </c>
      <c r="C27223" s="2">
        <v>1.05033133578788E-3</v>
      </c>
      <c r="D27223" s="2">
        <v>5.1822634975343096E-4</v>
      </c>
      <c r="E27223" s="2">
        <v>3.9233698876576498E-4</v>
      </c>
      <c r="F27223" s="2">
        <v>9.8598383064461099E-4</v>
      </c>
    </row>
    <row r="27224" spans="1:6" x14ac:dyDescent="0.25">
      <c r="A27224" s="1" t="str">
        <f t="shared" si="988"/>
        <v>37980</v>
      </c>
      <c r="B27224" s="1" t="str">
        <f>"08062"</f>
        <v>08062</v>
      </c>
      <c r="C27224" s="2">
        <v>2.5187450645593099E-3</v>
      </c>
      <c r="D27224" s="2">
        <v>1.79322768644838E-3</v>
      </c>
      <c r="E27224" s="2">
        <v>4.5932135270138302E-4</v>
      </c>
      <c r="F27224" s="2">
        <v>2.3915628882960802E-3</v>
      </c>
    </row>
    <row r="27225" spans="1:6" x14ac:dyDescent="0.25">
      <c r="A27225" s="1" t="str">
        <f t="shared" si="988"/>
        <v>37980</v>
      </c>
      <c r="B27225" s="1" t="str">
        <f>"08105"</f>
        <v>08105</v>
      </c>
      <c r="C27225" s="2">
        <v>3.5928726836606199E-3</v>
      </c>
      <c r="D27225" s="2">
        <v>2.1592764573059599E-3</v>
      </c>
      <c r="E27225" s="2">
        <v>3.4736177298042101E-3</v>
      </c>
      <c r="F27225" s="2">
        <v>3.4756254794330102E-3</v>
      </c>
    </row>
    <row r="27226" spans="1:6" x14ac:dyDescent="0.25">
      <c r="A27226" s="1" t="str">
        <f t="shared" si="988"/>
        <v>37980</v>
      </c>
      <c r="B27226" s="1" t="str">
        <f>"08099"</f>
        <v>08099</v>
      </c>
      <c r="C27226" s="2">
        <v>2.9544000975281499E-4</v>
      </c>
      <c r="D27226" s="2">
        <v>8.5137186030920795E-4</v>
      </c>
      <c r="E27226" s="2">
        <v>1.9138389695890902E-5</v>
      </c>
      <c r="F27226" s="2">
        <v>3.2996033331189801E-4</v>
      </c>
    </row>
    <row r="27227" spans="1:6" x14ac:dyDescent="0.25">
      <c r="A27227" s="1" t="str">
        <f t="shared" si="988"/>
        <v>37980</v>
      </c>
      <c r="B27227" s="1" t="str">
        <f>"08103"</f>
        <v>08103</v>
      </c>
      <c r="C27227" s="2">
        <v>2.0970017049121701E-3</v>
      </c>
      <c r="D27227" s="2">
        <v>3.3026647527936901E-3</v>
      </c>
      <c r="E27227" s="2">
        <v>1.2727029147767499E-3</v>
      </c>
      <c r="F27227" s="2">
        <v>2.1642280129827601E-3</v>
      </c>
    </row>
    <row r="27228" spans="1:6" x14ac:dyDescent="0.25">
      <c r="A27228" s="1" t="str">
        <f t="shared" si="988"/>
        <v>37980</v>
      </c>
      <c r="B27228" s="1" t="str">
        <f>"08102"</f>
        <v>08102</v>
      </c>
      <c r="C27228" s="2">
        <v>1.2483896322888399E-3</v>
      </c>
      <c r="D27228" s="2">
        <v>1.5423403266471101E-3</v>
      </c>
      <c r="E27228" s="2">
        <v>1.02390384873016E-3</v>
      </c>
      <c r="F27228" s="2">
        <v>1.2639819067420299E-3</v>
      </c>
    </row>
    <row r="27229" spans="1:6" x14ac:dyDescent="0.25">
      <c r="A27229" s="1" t="str">
        <f t="shared" si="988"/>
        <v>37980</v>
      </c>
      <c r="B27229" s="1" t="str">
        <f>"08051"</f>
        <v>08051</v>
      </c>
      <c r="C27229" s="2">
        <v>1.7415218418762599E-3</v>
      </c>
      <c r="D27229" s="2">
        <v>6.4161357588519996E-4</v>
      </c>
      <c r="E27229" s="2">
        <v>2.2009148150274599E-4</v>
      </c>
      <c r="F27229" s="2">
        <v>1.60303563506646E-3</v>
      </c>
    </row>
    <row r="27230" spans="1:6" x14ac:dyDescent="0.25">
      <c r="A27230" s="1" t="str">
        <f t="shared" si="988"/>
        <v>37980</v>
      </c>
      <c r="B27230" s="1" t="str">
        <f>"19801"</f>
        <v>19801</v>
      </c>
      <c r="C27230" s="2">
        <v>3.3183001838903502E-3</v>
      </c>
      <c r="D27230" s="2">
        <v>1.3260013901627401E-2</v>
      </c>
      <c r="E27230" s="2">
        <v>9.2821190025071196E-3</v>
      </c>
      <c r="F27230" s="2">
        <v>4.3057225384341997E-3</v>
      </c>
    </row>
    <row r="27231" spans="1:6" x14ac:dyDescent="0.25">
      <c r="A27231" s="1" t="str">
        <f t="shared" si="988"/>
        <v>37980</v>
      </c>
      <c r="B27231" s="1" t="str">
        <f>"19804"</f>
        <v>19804</v>
      </c>
      <c r="C27231" s="2">
        <v>3.0404328141228299E-3</v>
      </c>
      <c r="D27231" s="2">
        <v>5.2727474633642701E-3</v>
      </c>
      <c r="E27231" s="2">
        <v>3.6267248473713402E-3</v>
      </c>
      <c r="F27231" s="2">
        <v>3.2365990962464398E-3</v>
      </c>
    </row>
    <row r="27232" spans="1:6" x14ac:dyDescent="0.25">
      <c r="A27232" s="1" t="str">
        <f t="shared" si="988"/>
        <v>37980</v>
      </c>
      <c r="B27232" s="1" t="str">
        <f>"19807"</f>
        <v>19807</v>
      </c>
      <c r="C27232" s="2">
        <v>1.7129663019001501E-3</v>
      </c>
      <c r="D27232" s="2">
        <v>2.5541155809276198E-3</v>
      </c>
      <c r="E27232" s="2">
        <v>2.85162006468775E-3</v>
      </c>
      <c r="F27232" s="2">
        <v>1.81802947429134E-3</v>
      </c>
    </row>
    <row r="27233" spans="1:6" x14ac:dyDescent="0.25">
      <c r="A27233" s="1" t="str">
        <f t="shared" si="988"/>
        <v>37980</v>
      </c>
      <c r="B27233" s="1" t="str">
        <f>"08064"</f>
        <v>08064</v>
      </c>
      <c r="C27233" s="2">
        <v>0</v>
      </c>
      <c r="D27233" s="2">
        <v>0</v>
      </c>
      <c r="E27233" s="2">
        <v>9.5691948479454898E-6</v>
      </c>
      <c r="F27233" s="2">
        <v>3.2476410759045102E-7</v>
      </c>
    </row>
    <row r="27234" spans="1:6" x14ac:dyDescent="0.25">
      <c r="A27234" s="1" t="str">
        <f t="shared" si="988"/>
        <v>37980</v>
      </c>
      <c r="B27234" s="1" t="str">
        <f>"08018"</f>
        <v>08018</v>
      </c>
      <c r="C27234" s="2">
        <v>0</v>
      </c>
      <c r="D27234" s="2">
        <v>0</v>
      </c>
      <c r="E27234" s="2">
        <v>9.5691948479454898E-6</v>
      </c>
      <c r="F27234" s="2">
        <v>3.2476410759045102E-7</v>
      </c>
    </row>
    <row r="27235" spans="1:6" x14ac:dyDescent="0.25">
      <c r="A27235" s="1" t="str">
        <f t="shared" si="988"/>
        <v>37980</v>
      </c>
      <c r="B27235" s="1" t="str">
        <f>"19039"</f>
        <v>19039</v>
      </c>
      <c r="C27235" s="2">
        <v>0</v>
      </c>
      <c r="D27235" s="2">
        <v>4.1129075377256402E-6</v>
      </c>
      <c r="E27235" s="2">
        <v>0</v>
      </c>
      <c r="F27235" s="2">
        <v>3.2476410759045102E-7</v>
      </c>
    </row>
    <row r="27236" spans="1:6" x14ac:dyDescent="0.25">
      <c r="A27236" s="1" t="str">
        <f t="shared" si="988"/>
        <v>37980</v>
      </c>
      <c r="B27236" s="1" t="str">
        <f>"19708"</f>
        <v>19708</v>
      </c>
      <c r="C27236" s="2">
        <v>0</v>
      </c>
      <c r="D27236" s="2">
        <v>0</v>
      </c>
      <c r="E27236" s="2">
        <v>9.5691948479454898E-6</v>
      </c>
      <c r="F27236" s="2">
        <v>3.2476410759045102E-7</v>
      </c>
    </row>
    <row r="27237" spans="1:6" x14ac:dyDescent="0.25">
      <c r="A27237" s="1" t="str">
        <f t="shared" si="988"/>
        <v>37980</v>
      </c>
      <c r="B27237" s="1" t="str">
        <f>"19736"</f>
        <v>19736</v>
      </c>
      <c r="C27237" s="2">
        <v>1.2081189989892E-5</v>
      </c>
      <c r="D27237" s="2">
        <v>2.0564537688628202E-5</v>
      </c>
      <c r="E27237" s="2">
        <v>9.5691948479454898E-6</v>
      </c>
      <c r="F27237" s="2">
        <v>1.26658001960276E-5</v>
      </c>
    </row>
    <row r="27238" spans="1:6" x14ac:dyDescent="0.25">
      <c r="A27238" s="1" t="str">
        <f t="shared" si="988"/>
        <v>37980</v>
      </c>
      <c r="B27238" s="1" t="str">
        <f>"19316"</f>
        <v>19316</v>
      </c>
      <c r="C27238" s="2">
        <v>0</v>
      </c>
      <c r="D27238" s="2">
        <v>0</v>
      </c>
      <c r="E27238" s="2">
        <v>9.5691948479454898E-6</v>
      </c>
      <c r="F27238" s="2">
        <v>3.2476410759045102E-7</v>
      </c>
    </row>
    <row r="27239" spans="1:6" x14ac:dyDescent="0.25">
      <c r="A27239" s="1" t="str">
        <f t="shared" si="988"/>
        <v>37980</v>
      </c>
      <c r="B27239" s="1" t="str">
        <f>"19505"</f>
        <v>19505</v>
      </c>
      <c r="C27239" s="2">
        <v>3.6609666636036501E-5</v>
      </c>
      <c r="D27239" s="2">
        <v>2.0564537688628202E-5</v>
      </c>
      <c r="E27239" s="2">
        <v>3.8276779391781898E-5</v>
      </c>
      <c r="F27239" s="2">
        <v>3.5399287727359202E-5</v>
      </c>
    </row>
    <row r="27240" spans="1:6" x14ac:dyDescent="0.25">
      <c r="A27240" s="1" t="str">
        <f t="shared" si="988"/>
        <v>37980</v>
      </c>
      <c r="B27240" s="1" t="str">
        <f>"19357"</f>
        <v>19357</v>
      </c>
      <c r="C27240" s="2">
        <v>0</v>
      </c>
      <c r="D27240" s="2">
        <v>0</v>
      </c>
      <c r="E27240" s="2">
        <v>9.5691948479454898E-6</v>
      </c>
      <c r="F27240" s="2">
        <v>3.2476410759045102E-7</v>
      </c>
    </row>
    <row r="27241" spans="1:6" x14ac:dyDescent="0.25">
      <c r="A27241" s="1" t="str">
        <f t="shared" si="988"/>
        <v>37980</v>
      </c>
      <c r="B27241" s="1" t="str">
        <f>"19108"</f>
        <v>19108</v>
      </c>
      <c r="C27241" s="2">
        <v>0</v>
      </c>
      <c r="D27241" s="2">
        <v>1.19274318594043E-4</v>
      </c>
      <c r="E27241" s="2">
        <v>1.9138389695890902E-5</v>
      </c>
      <c r="F27241" s="2">
        <v>1.0067687335304001E-5</v>
      </c>
    </row>
    <row r="27242" spans="1:6" x14ac:dyDescent="0.25">
      <c r="A27242" s="1" t="str">
        <f t="shared" si="988"/>
        <v>37980</v>
      </c>
      <c r="B27242" s="1" t="str">
        <f>"19938"</f>
        <v>19938</v>
      </c>
      <c r="C27242" s="2">
        <v>1.0031048658274E-4</v>
      </c>
      <c r="D27242" s="2">
        <v>4.1129075377256402E-6</v>
      </c>
      <c r="E27242" s="2">
        <v>0</v>
      </c>
      <c r="F27242" s="2">
        <v>8.9310129587374194E-5</v>
      </c>
    </row>
    <row r="27243" spans="1:6" x14ac:dyDescent="0.25">
      <c r="A27243" s="1" t="str">
        <f t="shared" si="988"/>
        <v>37980</v>
      </c>
      <c r="B27243" s="1" t="str">
        <f>"19437"</f>
        <v>19437</v>
      </c>
      <c r="C27243" s="2">
        <v>2.41257703131481E-4</v>
      </c>
      <c r="D27243" s="2">
        <v>2.17984099499459E-4</v>
      </c>
      <c r="E27243" s="2">
        <v>9.5691948479454898E-6</v>
      </c>
      <c r="F27243" s="2">
        <v>2.3155680871199199E-4</v>
      </c>
    </row>
    <row r="27244" spans="1:6" x14ac:dyDescent="0.25">
      <c r="A27244" s="1" t="str">
        <f t="shared" ref="A27244:A27307" si="989">"37980"</f>
        <v>37980</v>
      </c>
      <c r="B27244" s="1" t="str">
        <f>"08215"</f>
        <v>08215</v>
      </c>
      <c r="C27244" s="2">
        <v>1.4204550654782101E-4</v>
      </c>
      <c r="D27244" s="2">
        <v>8.2258150754512807E-5</v>
      </c>
      <c r="E27244" s="2">
        <v>4.7845974239727398E-5</v>
      </c>
      <c r="F27244" s="2">
        <v>1.3412757643485601E-4</v>
      </c>
    </row>
    <row r="27245" spans="1:6" x14ac:dyDescent="0.25">
      <c r="A27245" s="1" t="str">
        <f t="shared" si="989"/>
        <v>37980</v>
      </c>
      <c r="B27245" s="1" t="str">
        <f>"08554"</f>
        <v>08554</v>
      </c>
      <c r="C27245" s="2">
        <v>5.6964641285672899E-4</v>
      </c>
      <c r="D27245" s="2">
        <v>2.4677445226353799E-4</v>
      </c>
      <c r="E27245" s="2">
        <v>4.4975215785343799E-4</v>
      </c>
      <c r="F27245" s="2">
        <v>5.4008271092292101E-4</v>
      </c>
    </row>
    <row r="27246" spans="1:6" x14ac:dyDescent="0.25">
      <c r="A27246" s="1" t="str">
        <f t="shared" si="989"/>
        <v>37980</v>
      </c>
      <c r="B27246" s="1" t="str">
        <f>"19706"</f>
        <v>19706</v>
      </c>
      <c r="C27246" s="2">
        <v>3.3278186972157198E-4</v>
      </c>
      <c r="D27246" s="2">
        <v>3.0435515779169699E-4</v>
      </c>
      <c r="E27246" s="2">
        <v>2.4879906604658201E-4</v>
      </c>
      <c r="F27246" s="2">
        <v>3.2768698455876502E-4</v>
      </c>
    </row>
    <row r="27247" spans="1:6" x14ac:dyDescent="0.25">
      <c r="A27247" s="1" t="str">
        <f t="shared" si="989"/>
        <v>37980</v>
      </c>
      <c r="B27247" s="1" t="str">
        <f>"18972"</f>
        <v>18972</v>
      </c>
      <c r="C27247" s="2">
        <v>5.0704388290910595E-4</v>
      </c>
      <c r="D27247" s="2">
        <v>1.15161411056318E-4</v>
      </c>
      <c r="E27247" s="2">
        <v>1.3396872787123601E-4</v>
      </c>
      <c r="F27247" s="2">
        <v>4.6343838153157401E-4</v>
      </c>
    </row>
    <row r="27248" spans="1:6" x14ac:dyDescent="0.25">
      <c r="A27248" s="1" t="str">
        <f t="shared" si="989"/>
        <v>37980</v>
      </c>
      <c r="B27248" s="1" t="str">
        <f>"19383"</f>
        <v>19383</v>
      </c>
      <c r="C27248" s="2">
        <v>0</v>
      </c>
      <c r="D27248" s="2">
        <v>4.9354890452707699E-5</v>
      </c>
      <c r="E27248" s="2">
        <v>4.4018296300549198E-4</v>
      </c>
      <c r="F27248" s="2">
        <v>1.88363182402461E-5</v>
      </c>
    </row>
    <row r="27249" spans="1:6" x14ac:dyDescent="0.25">
      <c r="A27249" s="1" t="str">
        <f t="shared" si="989"/>
        <v>37980</v>
      </c>
      <c r="B27249" s="1" t="str">
        <f>"18074"</f>
        <v>18074</v>
      </c>
      <c r="C27249" s="2">
        <v>7.5452522936871296E-4</v>
      </c>
      <c r="D27249" s="2">
        <v>1.19274318594043E-4</v>
      </c>
      <c r="E27249" s="2">
        <v>1.7224550726301801E-4</v>
      </c>
      <c r="F27249" s="2">
        <v>6.8460273880067198E-4</v>
      </c>
    </row>
    <row r="27250" spans="1:6" x14ac:dyDescent="0.25">
      <c r="A27250" s="1" t="str">
        <f t="shared" si="989"/>
        <v>37980</v>
      </c>
      <c r="B27250" s="1" t="str">
        <f>"18036"</f>
        <v>18036</v>
      </c>
      <c r="C27250" s="2">
        <v>3.0861948974178802E-4</v>
      </c>
      <c r="D27250" s="2">
        <v>1.06935595980866E-4</v>
      </c>
      <c r="E27250" s="2">
        <v>5.7415169087672898E-5</v>
      </c>
      <c r="F27250" s="2">
        <v>2.8416859414164502E-4</v>
      </c>
    </row>
    <row r="27251" spans="1:6" x14ac:dyDescent="0.25">
      <c r="A27251" s="1" t="str">
        <f t="shared" si="989"/>
        <v>37980</v>
      </c>
      <c r="B27251" s="1" t="str">
        <f>"18041"</f>
        <v>18041</v>
      </c>
      <c r="C27251" s="2">
        <v>7.4976597270602901E-4</v>
      </c>
      <c r="D27251" s="2">
        <v>5.0588762714025401E-4</v>
      </c>
      <c r="E27251" s="2">
        <v>9.7605787449044003E-4</v>
      </c>
      <c r="F27251" s="2">
        <v>7.3818881655309595E-4</v>
      </c>
    </row>
    <row r="27252" spans="1:6" x14ac:dyDescent="0.25">
      <c r="A27252" s="1" t="str">
        <f t="shared" si="989"/>
        <v>37980</v>
      </c>
      <c r="B27252" s="1" t="str">
        <f>"19504"</f>
        <v>19504</v>
      </c>
      <c r="C27252" s="2">
        <v>2.3356967313791299E-4</v>
      </c>
      <c r="D27252" s="2">
        <v>2.4677445226353799E-5</v>
      </c>
      <c r="E27252" s="2">
        <v>0</v>
      </c>
      <c r="F27252" s="2">
        <v>2.0914808528825E-4</v>
      </c>
    </row>
    <row r="27253" spans="1:6" x14ac:dyDescent="0.25">
      <c r="A27253" s="1" t="str">
        <f t="shared" si="989"/>
        <v>37980</v>
      </c>
      <c r="B27253" s="1" t="str">
        <f>"19050"</f>
        <v>19050</v>
      </c>
      <c r="C27253" s="2">
        <v>4.7786597860018497E-3</v>
      </c>
      <c r="D27253" s="2">
        <v>3.7221813216417E-3</v>
      </c>
      <c r="E27253" s="2">
        <v>1.0908882126657801E-2</v>
      </c>
      <c r="F27253" s="2">
        <v>4.9032884964006302E-3</v>
      </c>
    </row>
    <row r="27254" spans="1:6" x14ac:dyDescent="0.25">
      <c r="A27254" s="1" t="str">
        <f t="shared" si="989"/>
        <v>37980</v>
      </c>
      <c r="B27254" s="1" t="str">
        <f>"19066"</f>
        <v>19066</v>
      </c>
      <c r="C27254" s="2">
        <v>8.0175169932920095E-4</v>
      </c>
      <c r="D27254" s="2">
        <v>2.22097007037184E-4</v>
      </c>
      <c r="E27254" s="2">
        <v>3.9233698876576498E-4</v>
      </c>
      <c r="F27254" s="2">
        <v>7.4208598584418197E-4</v>
      </c>
    </row>
    <row r="27255" spans="1:6" x14ac:dyDescent="0.25">
      <c r="A27255" s="1" t="str">
        <f t="shared" si="989"/>
        <v>37980</v>
      </c>
      <c r="B27255" s="1" t="str">
        <f>"19010"</f>
        <v>19010</v>
      </c>
      <c r="C27255" s="2">
        <v>3.3578386238572698E-3</v>
      </c>
      <c r="D27255" s="2">
        <v>4.8408921719030797E-3</v>
      </c>
      <c r="E27255" s="2">
        <v>4.2582917073357403E-3</v>
      </c>
      <c r="F27255" s="2">
        <v>3.50550377733133E-3</v>
      </c>
    </row>
    <row r="27256" spans="1:6" x14ac:dyDescent="0.25">
      <c r="A27256" s="1" t="str">
        <f t="shared" si="989"/>
        <v>37980</v>
      </c>
      <c r="B27256" s="1" t="str">
        <f>"19016"</f>
        <v>19016</v>
      </c>
      <c r="C27256" s="2">
        <v>2.5956253644949899E-4</v>
      </c>
      <c r="D27256" s="2">
        <v>6.7451683618700495E-4</v>
      </c>
      <c r="E27256" s="2">
        <v>9.5691948479454898E-6</v>
      </c>
      <c r="F27256" s="2">
        <v>2.8384383003405401E-4</v>
      </c>
    </row>
    <row r="27257" spans="1:6" x14ac:dyDescent="0.25">
      <c r="A27257" s="1" t="str">
        <f t="shared" si="989"/>
        <v>37980</v>
      </c>
      <c r="B27257" s="1" t="str">
        <f>"19023"</f>
        <v>19023</v>
      </c>
      <c r="C27257" s="2">
        <v>3.0865609940842402E-3</v>
      </c>
      <c r="D27257" s="2">
        <v>2.7885513105779798E-3</v>
      </c>
      <c r="E27257" s="2">
        <v>5.5501330118083803E-3</v>
      </c>
      <c r="F27257" s="2">
        <v>3.1466394384438798E-3</v>
      </c>
    </row>
    <row r="27258" spans="1:6" x14ac:dyDescent="0.25">
      <c r="A27258" s="1" t="str">
        <f t="shared" si="989"/>
        <v>37980</v>
      </c>
      <c r="B27258" s="1" t="str">
        <f>"19035"</f>
        <v>19035</v>
      </c>
      <c r="C27258" s="2">
        <v>9.8296954917758209E-4</v>
      </c>
      <c r="D27258" s="2">
        <v>8.5137186030920795E-4</v>
      </c>
      <c r="E27258" s="2">
        <v>1.7224550726301801E-4</v>
      </c>
      <c r="F27258" s="2">
        <v>9.4506355308821401E-4</v>
      </c>
    </row>
    <row r="27259" spans="1:6" x14ac:dyDescent="0.25">
      <c r="A27259" s="1" t="str">
        <f t="shared" si="989"/>
        <v>37980</v>
      </c>
      <c r="B27259" s="1" t="str">
        <f>"19138"</f>
        <v>19138</v>
      </c>
      <c r="C27259" s="2">
        <v>5.0140599424715604E-3</v>
      </c>
      <c r="D27259" s="2">
        <v>2.6487124542953098E-3</v>
      </c>
      <c r="E27259" s="2">
        <v>2.5071290501617102E-3</v>
      </c>
      <c r="F27259" s="2">
        <v>4.7422054990357704E-3</v>
      </c>
    </row>
    <row r="27260" spans="1:6" x14ac:dyDescent="0.25">
      <c r="A27260" s="1" t="str">
        <f t="shared" si="989"/>
        <v>37980</v>
      </c>
      <c r="B27260" s="1" t="str">
        <f>"19139"</f>
        <v>19139</v>
      </c>
      <c r="C27260" s="2">
        <v>7.6228647869555303E-3</v>
      </c>
      <c r="D27260" s="2">
        <v>5.9102481317117499E-3</v>
      </c>
      <c r="E27260" s="2">
        <v>1.43059462976785E-2</v>
      </c>
      <c r="F27260" s="2">
        <v>7.71444661170358E-3</v>
      </c>
    </row>
    <row r="27261" spans="1:6" x14ac:dyDescent="0.25">
      <c r="A27261" s="1" t="str">
        <f t="shared" si="989"/>
        <v>37980</v>
      </c>
      <c r="B27261" s="1" t="str">
        <f>"19126"</f>
        <v>19126</v>
      </c>
      <c r="C27261" s="2">
        <v>2.3829232013396198E-3</v>
      </c>
      <c r="D27261" s="2">
        <v>1.06113014473321E-3</v>
      </c>
      <c r="E27261" s="2">
        <v>2.9664504028630999E-3</v>
      </c>
      <c r="F27261" s="2">
        <v>2.2983555894176199E-3</v>
      </c>
    </row>
    <row r="27262" spans="1:6" x14ac:dyDescent="0.25">
      <c r="A27262" s="1" t="str">
        <f t="shared" si="989"/>
        <v>37980</v>
      </c>
      <c r="B27262" s="1" t="str">
        <f>"19123"</f>
        <v>19123</v>
      </c>
      <c r="C27262" s="2">
        <v>3.7005051035705699E-3</v>
      </c>
      <c r="D27262" s="2">
        <v>6.0089579126171603E-3</v>
      </c>
      <c r="E27262" s="2">
        <v>1.1990201144475699E-2</v>
      </c>
      <c r="F27262" s="2">
        <v>4.1641253875247704E-3</v>
      </c>
    </row>
    <row r="27263" spans="1:6" x14ac:dyDescent="0.25">
      <c r="A27263" s="1" t="str">
        <f t="shared" si="989"/>
        <v>37980</v>
      </c>
      <c r="B27263" s="1" t="str">
        <f>"19125"</f>
        <v>19125</v>
      </c>
      <c r="C27263" s="2">
        <v>4.7149589660551499E-3</v>
      </c>
      <c r="D27263" s="2">
        <v>4.7750856512994702E-3</v>
      </c>
      <c r="E27263" s="2">
        <v>8.4591682455838098E-3</v>
      </c>
      <c r="F27263" s="2">
        <v>4.8467795416799004E-3</v>
      </c>
    </row>
    <row r="27264" spans="1:6" x14ac:dyDescent="0.25">
      <c r="A27264" s="1" t="str">
        <f t="shared" si="989"/>
        <v>37980</v>
      </c>
      <c r="B27264" s="1" t="str">
        <f>"19074"</f>
        <v>19074</v>
      </c>
      <c r="C27264" s="2">
        <v>8.6435422927682302E-4</v>
      </c>
      <c r="D27264" s="2">
        <v>4.2774238392346702E-4</v>
      </c>
      <c r="E27264" s="2">
        <v>1.55977876021511E-3</v>
      </c>
      <c r="F27264" s="2">
        <v>8.5348007474770704E-4</v>
      </c>
    </row>
    <row r="27265" spans="1:6" x14ac:dyDescent="0.25">
      <c r="A27265" s="1" t="str">
        <f t="shared" si="989"/>
        <v>37980</v>
      </c>
      <c r="B27265" s="1" t="str">
        <f>"19079"</f>
        <v>19079</v>
      </c>
      <c r="C27265" s="2">
        <v>1.5452940287071001E-3</v>
      </c>
      <c r="D27265" s="2">
        <v>1.6163726623261701E-3</v>
      </c>
      <c r="E27265" s="2">
        <v>2.0573768923082799E-3</v>
      </c>
      <c r="F27265" s="2">
        <v>1.5682858755542901E-3</v>
      </c>
    </row>
    <row r="27266" spans="1:6" x14ac:dyDescent="0.25">
      <c r="A27266" s="1" t="str">
        <f t="shared" si="989"/>
        <v>37980</v>
      </c>
      <c r="B27266" s="1" t="str">
        <f>"19094"</f>
        <v>19094</v>
      </c>
      <c r="C27266" s="2">
        <v>6.9411927941925302E-4</v>
      </c>
      <c r="D27266" s="2">
        <v>5.3056507236660803E-4</v>
      </c>
      <c r="E27266" s="2">
        <v>4.30613768157547E-4</v>
      </c>
      <c r="F27266" s="2">
        <v>6.7226170271223395E-4</v>
      </c>
    </row>
    <row r="27267" spans="1:6" x14ac:dyDescent="0.25">
      <c r="A27267" s="1" t="str">
        <f t="shared" si="989"/>
        <v>37980</v>
      </c>
      <c r="B27267" s="1" t="str">
        <f>"19153"</f>
        <v>19153</v>
      </c>
      <c r="C27267" s="2">
        <v>1.9977895083285102E-3</v>
      </c>
      <c r="D27267" s="2">
        <v>2.7391964201252698E-3</v>
      </c>
      <c r="E27267" s="2">
        <v>3.7128476010028499E-3</v>
      </c>
      <c r="F27267" s="2">
        <v>2.1145391045214301E-3</v>
      </c>
    </row>
    <row r="27268" spans="1:6" x14ac:dyDescent="0.25">
      <c r="A27268" s="1" t="str">
        <f t="shared" si="989"/>
        <v>37980</v>
      </c>
      <c r="B27268" s="1" t="str">
        <f>"19333"</f>
        <v>19333</v>
      </c>
      <c r="C27268" s="2">
        <v>1.57421566534957E-3</v>
      </c>
      <c r="D27268" s="2">
        <v>1.5135499738830301E-3</v>
      </c>
      <c r="E27268" s="2">
        <v>1.1195957972096201E-3</v>
      </c>
      <c r="F27268" s="2">
        <v>1.55399625482031E-3</v>
      </c>
    </row>
    <row r="27269" spans="1:6" x14ac:dyDescent="0.25">
      <c r="A27269" s="1" t="str">
        <f t="shared" si="989"/>
        <v>37980</v>
      </c>
      <c r="B27269" s="1" t="str">
        <f>"19301"</f>
        <v>19301</v>
      </c>
      <c r="C27269" s="2">
        <v>1.36920153218776E-3</v>
      </c>
      <c r="D27269" s="2">
        <v>3.87435890053755E-3</v>
      </c>
      <c r="E27269" s="2">
        <v>1.9425465541329299E-3</v>
      </c>
      <c r="F27269" s="2">
        <v>1.5864726655793499E-3</v>
      </c>
    </row>
    <row r="27270" spans="1:6" x14ac:dyDescent="0.25">
      <c r="A27270" s="1" t="str">
        <f t="shared" si="989"/>
        <v>37980</v>
      </c>
      <c r="B27270" s="1" t="str">
        <f>"19380"</f>
        <v>19380</v>
      </c>
      <c r="C27270" s="2">
        <v>8.0680383332497399E-3</v>
      </c>
      <c r="D27270" s="2">
        <v>8.5096056955543502E-3</v>
      </c>
      <c r="E27270" s="2">
        <v>7.5309563453330999E-3</v>
      </c>
      <c r="F27270" s="2">
        <v>8.0846776943567008E-3</v>
      </c>
    </row>
    <row r="27271" spans="1:6" x14ac:dyDescent="0.25">
      <c r="A27271" s="1" t="str">
        <f t="shared" si="989"/>
        <v>37980</v>
      </c>
      <c r="B27271" s="1" t="str">
        <f>"19343"</f>
        <v>19343</v>
      </c>
      <c r="C27271" s="2">
        <v>1.10890680240554E-3</v>
      </c>
      <c r="D27271" s="2">
        <v>3.16693880404874E-4</v>
      </c>
      <c r="E27271" s="2">
        <v>2.29660676350691E-4</v>
      </c>
      <c r="F27271" s="2">
        <v>1.01651165675811E-3</v>
      </c>
    </row>
    <row r="27272" spans="1:6" x14ac:dyDescent="0.25">
      <c r="A27272" s="1" t="str">
        <f t="shared" si="989"/>
        <v>37980</v>
      </c>
      <c r="B27272" s="1" t="str">
        <f>"19144"</f>
        <v>19144</v>
      </c>
      <c r="C27272" s="2">
        <v>9.0641873624162893E-3</v>
      </c>
      <c r="D27272" s="2">
        <v>5.8033125357308804E-3</v>
      </c>
      <c r="E27272" s="2">
        <v>1.8315438938967601E-2</v>
      </c>
      <c r="F27272" s="2">
        <v>9.1206751975702396E-3</v>
      </c>
    </row>
    <row r="27273" spans="1:6" x14ac:dyDescent="0.25">
      <c r="A27273" s="1" t="str">
        <f t="shared" si="989"/>
        <v>37980</v>
      </c>
      <c r="B27273" s="1" t="str">
        <f>"19140"</f>
        <v>19140</v>
      </c>
      <c r="C27273" s="2">
        <v>8.2455952164345106E-3</v>
      </c>
      <c r="D27273" s="2">
        <v>7.5718627769529104E-3</v>
      </c>
      <c r="E27273" s="2">
        <v>7.0524966029358203E-3</v>
      </c>
      <c r="F27273" s="2">
        <v>8.1519038646279199E-3</v>
      </c>
    </row>
    <row r="27274" spans="1:6" x14ac:dyDescent="0.25">
      <c r="A27274" s="1" t="str">
        <f t="shared" si="989"/>
        <v>37980</v>
      </c>
      <c r="B27274" s="1" t="str">
        <f>"19480"</f>
        <v>19480</v>
      </c>
      <c r="C27274" s="2">
        <v>1.5266230987227199E-4</v>
      </c>
      <c r="D27274" s="2">
        <v>7.3209754171516396E-4</v>
      </c>
      <c r="E27274" s="2">
        <v>1.9138389695890902E-5</v>
      </c>
      <c r="F27274" s="2">
        <v>1.9388417223149899E-4</v>
      </c>
    </row>
    <row r="27275" spans="1:6" x14ac:dyDescent="0.25">
      <c r="A27275" s="1" t="str">
        <f t="shared" si="989"/>
        <v>37980</v>
      </c>
      <c r="B27275" s="1" t="str">
        <f>"19484"</f>
        <v>19484</v>
      </c>
      <c r="C27275" s="2">
        <v>2.7823346643387701E-5</v>
      </c>
      <c r="D27275" s="2">
        <v>1.11048503518592E-4</v>
      </c>
      <c r="E27275" s="2">
        <v>9.5691948479454898E-6</v>
      </c>
      <c r="F27275" s="2">
        <v>3.3775467189406899E-5</v>
      </c>
    </row>
    <row r="27276" spans="1:6" x14ac:dyDescent="0.25">
      <c r="A27276" s="1" t="str">
        <f t="shared" si="989"/>
        <v>37980</v>
      </c>
      <c r="B27276" s="1" t="str">
        <f>"19453"</f>
        <v>19453</v>
      </c>
      <c r="C27276" s="2">
        <v>2.5443718312045401E-4</v>
      </c>
      <c r="D27276" s="2">
        <v>5.3467797990433303E-5</v>
      </c>
      <c r="E27276" s="2">
        <v>1.8181470211096399E-4</v>
      </c>
      <c r="F27276" s="2">
        <v>2.36103506218258E-4</v>
      </c>
    </row>
    <row r="27277" spans="1:6" x14ac:dyDescent="0.25">
      <c r="A27277" s="1" t="str">
        <f t="shared" si="989"/>
        <v>37980</v>
      </c>
      <c r="B27277" s="1" t="str">
        <f>"21930"</f>
        <v>21930</v>
      </c>
      <c r="C27277" s="2">
        <v>1.8670929984378601E-5</v>
      </c>
      <c r="D27277" s="2">
        <v>4.1129075377256402E-6</v>
      </c>
      <c r="E27277" s="2">
        <v>0</v>
      </c>
      <c r="F27277" s="2">
        <v>1.6887733594703399E-5</v>
      </c>
    </row>
    <row r="27278" spans="1:6" x14ac:dyDescent="0.25">
      <c r="A27278" s="1" t="str">
        <f t="shared" si="989"/>
        <v>37980</v>
      </c>
      <c r="B27278" s="1" t="str">
        <f>"08007"</f>
        <v>08007</v>
      </c>
      <c r="C27278" s="2">
        <v>8.8595393259208502E-4</v>
      </c>
      <c r="D27278" s="2">
        <v>6.3338776080974898E-4</v>
      </c>
      <c r="E27278" s="2">
        <v>8.7079673116303904E-4</v>
      </c>
      <c r="F27278" s="2">
        <v>8.6549634672855298E-4</v>
      </c>
    </row>
    <row r="27279" spans="1:6" x14ac:dyDescent="0.25">
      <c r="A27279" s="1" t="str">
        <f t="shared" si="989"/>
        <v>37980</v>
      </c>
      <c r="B27279" s="1" t="str">
        <f>"08070"</f>
        <v>08070</v>
      </c>
      <c r="C27279" s="2">
        <v>2.1273877282200798E-3</v>
      </c>
      <c r="D27279" s="2">
        <v>1.4230660080530701E-3</v>
      </c>
      <c r="E27279" s="2">
        <v>1.0047654590342699E-3</v>
      </c>
      <c r="F27279" s="2">
        <v>2.0336728417314001E-3</v>
      </c>
    </row>
    <row r="27280" spans="1:6" x14ac:dyDescent="0.25">
      <c r="A27280" s="1" t="str">
        <f t="shared" si="989"/>
        <v>37980</v>
      </c>
      <c r="B27280" s="1" t="str">
        <f>"08079"</f>
        <v>08079</v>
      </c>
      <c r="C27280" s="2">
        <v>1.90589924507206E-3</v>
      </c>
      <c r="D27280" s="2">
        <v>1.6904049980052301E-3</v>
      </c>
      <c r="E27280" s="2">
        <v>1.20571855084113E-3</v>
      </c>
      <c r="F27280" s="2">
        <v>1.86512026989196E-3</v>
      </c>
    </row>
    <row r="27281" spans="1:6" x14ac:dyDescent="0.25">
      <c r="A27281" s="1" t="str">
        <f t="shared" si="989"/>
        <v>37980</v>
      </c>
      <c r="B27281" s="1" t="str">
        <f>"08089"</f>
        <v>08089</v>
      </c>
      <c r="C27281" s="2">
        <v>5.7513786285213401E-4</v>
      </c>
      <c r="D27281" s="2">
        <v>2.0975828442400699E-4</v>
      </c>
      <c r="E27281" s="2">
        <v>1.8181470211096399E-4</v>
      </c>
      <c r="F27281" s="2">
        <v>5.3293790055593097E-4</v>
      </c>
    </row>
    <row r="27282" spans="1:6" x14ac:dyDescent="0.25">
      <c r="A27282" s="1" t="str">
        <f t="shared" si="989"/>
        <v>37980</v>
      </c>
      <c r="B27282" s="1" t="str">
        <f>"08107"</f>
        <v>08107</v>
      </c>
      <c r="C27282" s="2">
        <v>2.2225728614737798E-3</v>
      </c>
      <c r="D27282" s="2">
        <v>1.20919481609133E-3</v>
      </c>
      <c r="E27282" s="2">
        <v>2.1147920613959498E-3</v>
      </c>
      <c r="F27282" s="2">
        <v>2.1388964125907098E-3</v>
      </c>
    </row>
    <row r="27283" spans="1:6" x14ac:dyDescent="0.25">
      <c r="A27283" s="1" t="str">
        <f t="shared" si="989"/>
        <v>37980</v>
      </c>
      <c r="B27283" s="1" t="str">
        <f>"08090"</f>
        <v>08090</v>
      </c>
      <c r="C27283" s="2">
        <v>1.1850549090085E-3</v>
      </c>
      <c r="D27283" s="2">
        <v>3.3725841809350199E-4</v>
      </c>
      <c r="E27283" s="2">
        <v>3.0621423513425502E-4</v>
      </c>
      <c r="F27283" s="2">
        <v>1.0882845245356E-3</v>
      </c>
    </row>
    <row r="27284" spans="1:6" x14ac:dyDescent="0.25">
      <c r="A27284" s="1" t="str">
        <f t="shared" si="989"/>
        <v>37980</v>
      </c>
      <c r="B27284" s="1" t="str">
        <f>"08046"</f>
        <v>08046</v>
      </c>
      <c r="C27284" s="2">
        <v>4.7592566626847499E-3</v>
      </c>
      <c r="D27284" s="2">
        <v>3.4301648864631801E-3</v>
      </c>
      <c r="E27284" s="2">
        <v>7.0812041874796601E-4</v>
      </c>
      <c r="F27284" s="2">
        <v>4.516819208368E-3</v>
      </c>
    </row>
    <row r="27285" spans="1:6" x14ac:dyDescent="0.25">
      <c r="A27285" s="1" t="str">
        <f t="shared" si="989"/>
        <v>37980</v>
      </c>
      <c r="B27285" s="1" t="str">
        <f>"08049"</f>
        <v>08049</v>
      </c>
      <c r="C27285" s="2">
        <v>8.1822604931541701E-4</v>
      </c>
      <c r="D27285" s="2">
        <v>4.07177846234838E-4</v>
      </c>
      <c r="E27285" s="2">
        <v>6.4113605481234796E-4</v>
      </c>
      <c r="F27285" s="2">
        <v>7.7975862232467397E-4</v>
      </c>
    </row>
    <row r="27286" spans="1:6" x14ac:dyDescent="0.25">
      <c r="A27286" s="1" t="str">
        <f t="shared" si="989"/>
        <v>37980</v>
      </c>
      <c r="B27286" s="1" t="str">
        <f>"08620"</f>
        <v>08620</v>
      </c>
      <c r="C27286" s="2">
        <v>2.2514944981162399E-4</v>
      </c>
      <c r="D27286" s="2">
        <v>1.9330665427310501E-4</v>
      </c>
      <c r="E27286" s="2">
        <v>1.7224550726301801E-4</v>
      </c>
      <c r="F27286" s="2">
        <v>2.2083959316150699E-4</v>
      </c>
    </row>
    <row r="27287" spans="1:6" x14ac:dyDescent="0.25">
      <c r="A27287" s="1" t="str">
        <f t="shared" si="989"/>
        <v>37980</v>
      </c>
      <c r="B27287" s="1" t="str">
        <f>"08640"</f>
        <v>08640</v>
      </c>
      <c r="C27287" s="2">
        <v>5.9088001950562997E-4</v>
      </c>
      <c r="D27287" s="2">
        <v>3.1258097286714803E-4</v>
      </c>
      <c r="E27287" s="2">
        <v>2.5645442192493901E-3</v>
      </c>
      <c r="F27287" s="2">
        <v>6.3588812266210403E-4</v>
      </c>
    </row>
    <row r="27288" spans="1:6" x14ac:dyDescent="0.25">
      <c r="A27288" s="1" t="str">
        <f t="shared" si="989"/>
        <v>37980</v>
      </c>
      <c r="B27288" s="1" t="str">
        <f>"08505"</f>
        <v>08505</v>
      </c>
      <c r="C27288" s="2">
        <v>2.8939941475786901E-3</v>
      </c>
      <c r="D27288" s="2">
        <v>2.8379062010306902E-3</v>
      </c>
      <c r="E27288" s="2">
        <v>1.9234081644370401E-3</v>
      </c>
      <c r="F27288" s="2">
        <v>2.8566250903656102E-3</v>
      </c>
    </row>
    <row r="27289" spans="1:6" x14ac:dyDescent="0.25">
      <c r="A27289" s="1" t="str">
        <f t="shared" si="989"/>
        <v>37980</v>
      </c>
      <c r="B27289" s="1" t="str">
        <f>"19806"</f>
        <v>19806</v>
      </c>
      <c r="C27289" s="2">
        <v>2.24380646812268E-3</v>
      </c>
      <c r="D27289" s="2">
        <v>2.2333087929850199E-3</v>
      </c>
      <c r="E27289" s="2">
        <v>5.47357945302482E-3</v>
      </c>
      <c r="F27289" s="2">
        <v>2.3525911953852299E-3</v>
      </c>
    </row>
    <row r="27290" spans="1:6" x14ac:dyDescent="0.25">
      <c r="A27290" s="1" t="str">
        <f t="shared" si="989"/>
        <v>37980</v>
      </c>
      <c r="B27290" s="1" t="str">
        <f>"08095"</f>
        <v>08095</v>
      </c>
      <c r="C27290" s="2">
        <v>0</v>
      </c>
      <c r="D27290" s="2">
        <v>0</v>
      </c>
      <c r="E27290" s="2">
        <v>9.5691948479454898E-6</v>
      </c>
      <c r="F27290" s="2">
        <v>3.2476410759045102E-7</v>
      </c>
    </row>
    <row r="27291" spans="1:6" x14ac:dyDescent="0.25">
      <c r="A27291" s="1" t="str">
        <f t="shared" si="989"/>
        <v>37980</v>
      </c>
      <c r="B27291" s="1" t="str">
        <f>"19890"</f>
        <v>19890</v>
      </c>
      <c r="C27291" s="2">
        <v>0</v>
      </c>
      <c r="D27291" s="2">
        <v>4.1129075377256402E-6</v>
      </c>
      <c r="E27291" s="2">
        <v>0</v>
      </c>
      <c r="F27291" s="2">
        <v>3.2476410759045102E-7</v>
      </c>
    </row>
    <row r="27292" spans="1:6" x14ac:dyDescent="0.25">
      <c r="A27292" s="1" t="str">
        <f t="shared" si="989"/>
        <v>37980</v>
      </c>
      <c r="B27292" s="1" t="str">
        <f>"19895"</f>
        <v>19895</v>
      </c>
      <c r="C27292" s="2">
        <v>0</v>
      </c>
      <c r="D27292" s="2">
        <v>4.1129075377256402E-6</v>
      </c>
      <c r="E27292" s="2">
        <v>0</v>
      </c>
      <c r="F27292" s="2">
        <v>3.2476410759045102E-7</v>
      </c>
    </row>
    <row r="27293" spans="1:6" x14ac:dyDescent="0.25">
      <c r="A27293" s="1" t="str">
        <f t="shared" si="989"/>
        <v>37980</v>
      </c>
      <c r="B27293" s="1" t="str">
        <f>"19318"</f>
        <v>19318</v>
      </c>
      <c r="C27293" s="2">
        <v>0</v>
      </c>
      <c r="D27293" s="2">
        <v>0</v>
      </c>
      <c r="E27293" s="2">
        <v>9.5691948479454898E-6</v>
      </c>
      <c r="F27293" s="2">
        <v>3.2476410759045102E-7</v>
      </c>
    </row>
    <row r="27294" spans="1:6" x14ac:dyDescent="0.25">
      <c r="A27294" s="1" t="str">
        <f t="shared" si="989"/>
        <v>37980</v>
      </c>
      <c r="B27294" s="1" t="str">
        <f>"08074"</f>
        <v>08074</v>
      </c>
      <c r="C27294" s="2">
        <v>0</v>
      </c>
      <c r="D27294" s="2">
        <v>0</v>
      </c>
      <c r="E27294" s="2">
        <v>9.5691948479454898E-6</v>
      </c>
      <c r="F27294" s="2">
        <v>3.2476410759045102E-7</v>
      </c>
    </row>
    <row r="27295" spans="1:6" x14ac:dyDescent="0.25">
      <c r="A27295" s="1" t="str">
        <f t="shared" si="989"/>
        <v>37980</v>
      </c>
      <c r="B27295" s="1" t="str">
        <f>"19376"</f>
        <v>19376</v>
      </c>
      <c r="C27295" s="2">
        <v>0</v>
      </c>
      <c r="D27295" s="2">
        <v>4.1129075377256402E-6</v>
      </c>
      <c r="E27295" s="2">
        <v>0</v>
      </c>
      <c r="F27295" s="2">
        <v>3.2476410759045102E-7</v>
      </c>
    </row>
    <row r="27296" spans="1:6" x14ac:dyDescent="0.25">
      <c r="A27296" s="1" t="str">
        <f t="shared" si="989"/>
        <v>37980</v>
      </c>
      <c r="B27296" s="1" t="str">
        <f>"18979"</f>
        <v>18979</v>
      </c>
      <c r="C27296" s="2">
        <v>0</v>
      </c>
      <c r="D27296" s="2">
        <v>0</v>
      </c>
      <c r="E27296" s="2">
        <v>9.5691948479454898E-6</v>
      </c>
      <c r="F27296" s="2">
        <v>3.2476410759045102E-7</v>
      </c>
    </row>
    <row r="27297" spans="1:6" x14ac:dyDescent="0.25">
      <c r="A27297" s="1" t="str">
        <f t="shared" si="989"/>
        <v>37980</v>
      </c>
      <c r="B27297" s="1" t="str">
        <f>"19347"</f>
        <v>19347</v>
      </c>
      <c r="C27297" s="2">
        <v>0</v>
      </c>
      <c r="D27297" s="2">
        <v>0</v>
      </c>
      <c r="E27297" s="2">
        <v>9.5691948479454898E-6</v>
      </c>
      <c r="F27297" s="2">
        <v>3.2476410759045102E-7</v>
      </c>
    </row>
    <row r="27298" spans="1:6" x14ac:dyDescent="0.25">
      <c r="A27298" s="1" t="str">
        <f t="shared" si="989"/>
        <v>37980</v>
      </c>
      <c r="B27298" s="1" t="str">
        <f>"18927"</f>
        <v>18927</v>
      </c>
      <c r="C27298" s="2">
        <v>2.23318966479823E-5</v>
      </c>
      <c r="D27298" s="2">
        <v>7.4032335679061504E-5</v>
      </c>
      <c r="E27298" s="2">
        <v>5.7415169087672898E-5</v>
      </c>
      <c r="F27298" s="2">
        <v>2.7604949145188299E-5</v>
      </c>
    </row>
    <row r="27299" spans="1:6" x14ac:dyDescent="0.25">
      <c r="A27299" s="1" t="str">
        <f t="shared" si="989"/>
        <v>37980</v>
      </c>
      <c r="B27299" s="1" t="str">
        <f>"19351"</f>
        <v>19351</v>
      </c>
      <c r="C27299" s="2">
        <v>0</v>
      </c>
      <c r="D27299" s="2">
        <v>4.1129075377256402E-6</v>
      </c>
      <c r="E27299" s="2">
        <v>0</v>
      </c>
      <c r="F27299" s="2">
        <v>3.2476410759045102E-7</v>
      </c>
    </row>
    <row r="27300" spans="1:6" x14ac:dyDescent="0.25">
      <c r="A27300" s="1" t="str">
        <f t="shared" si="989"/>
        <v>37980</v>
      </c>
      <c r="B27300" s="1" t="str">
        <f>"19028"</f>
        <v>19028</v>
      </c>
      <c r="C27300" s="2">
        <v>2.0208535983092099E-4</v>
      </c>
      <c r="D27300" s="2">
        <v>5.3467797990433303E-4</v>
      </c>
      <c r="E27300" s="2">
        <v>9.5691948479454898E-6</v>
      </c>
      <c r="F27300" s="2">
        <v>2.2181388548427801E-4</v>
      </c>
    </row>
    <row r="27301" spans="1:6" x14ac:dyDescent="0.25">
      <c r="A27301" s="1" t="str">
        <f t="shared" si="989"/>
        <v>37980</v>
      </c>
      <c r="B27301" s="1" t="str">
        <f>"18928"</f>
        <v>18928</v>
      </c>
      <c r="C27301" s="2">
        <v>1.7865517318385799E-4</v>
      </c>
      <c r="D27301" s="2">
        <v>3.94839123621661E-4</v>
      </c>
      <c r="E27301" s="2">
        <v>2.8707584543836402E-5</v>
      </c>
      <c r="F27301" s="2">
        <v>1.9063653115559501E-4</v>
      </c>
    </row>
    <row r="27302" spans="1:6" x14ac:dyDescent="0.25">
      <c r="A27302" s="1" t="str">
        <f t="shared" si="989"/>
        <v>37980</v>
      </c>
      <c r="B27302" s="1" t="str">
        <f>"08032"</f>
        <v>08032</v>
      </c>
      <c r="C27302" s="2">
        <v>4.4297696629604201E-5</v>
      </c>
      <c r="D27302" s="2">
        <v>0</v>
      </c>
      <c r="E27302" s="2">
        <v>9.5691948479454898E-6</v>
      </c>
      <c r="F27302" s="2">
        <v>3.9621221126035098E-5</v>
      </c>
    </row>
    <row r="27303" spans="1:6" x14ac:dyDescent="0.25">
      <c r="A27303" s="1" t="str">
        <f t="shared" si="989"/>
        <v>37980</v>
      </c>
      <c r="B27303" s="1" t="str">
        <f>"19490"</f>
        <v>19490</v>
      </c>
      <c r="C27303" s="2">
        <v>2.03183649830003E-4</v>
      </c>
      <c r="D27303" s="2">
        <v>4.6887145930072299E-4</v>
      </c>
      <c r="E27303" s="2">
        <v>2.8707584543836402E-5</v>
      </c>
      <c r="F27303" s="2">
        <v>2.1824148030078299E-4</v>
      </c>
    </row>
    <row r="27304" spans="1:6" x14ac:dyDescent="0.25">
      <c r="A27304" s="1" t="str">
        <f t="shared" si="989"/>
        <v>37980</v>
      </c>
      <c r="B27304" s="1" t="str">
        <f>"19067"</f>
        <v>19067</v>
      </c>
      <c r="C27304" s="2">
        <v>8.3081977463821399E-3</v>
      </c>
      <c r="D27304" s="2">
        <v>7.33331413976482E-3</v>
      </c>
      <c r="E27304" s="2">
        <v>4.7176130600371201E-3</v>
      </c>
      <c r="F27304" s="2">
        <v>8.1093597665335693E-3</v>
      </c>
    </row>
    <row r="27305" spans="1:6" x14ac:dyDescent="0.25">
      <c r="A27305" s="1" t="str">
        <f t="shared" si="989"/>
        <v>37980</v>
      </c>
      <c r="B27305" s="1" t="str">
        <f>"19008"</f>
        <v>19008</v>
      </c>
      <c r="C27305" s="2">
        <v>3.0060197274849598E-3</v>
      </c>
      <c r="D27305" s="2">
        <v>3.76331039701896E-3</v>
      </c>
      <c r="E27305" s="2">
        <v>2.6123901934891102E-3</v>
      </c>
      <c r="F27305" s="2">
        <v>3.0524578472426499E-3</v>
      </c>
    </row>
    <row r="27306" spans="1:6" x14ac:dyDescent="0.25">
      <c r="A27306" s="1" t="str">
        <f t="shared" si="989"/>
        <v>37980</v>
      </c>
      <c r="B27306" s="1" t="str">
        <f>"19032"</f>
        <v>19032</v>
      </c>
      <c r="C27306" s="2">
        <v>9.6612910252500501E-4</v>
      </c>
      <c r="D27306" s="2">
        <v>1.4148401929776201E-3</v>
      </c>
      <c r="E27306" s="2">
        <v>1.10045740751373E-3</v>
      </c>
      <c r="F27306" s="2">
        <v>1.0061192053152099E-3</v>
      </c>
    </row>
    <row r="27307" spans="1:6" x14ac:dyDescent="0.25">
      <c r="A27307" s="1" t="str">
        <f t="shared" si="989"/>
        <v>37980</v>
      </c>
      <c r="B27307" s="1" t="str">
        <f>"19107"</f>
        <v>19107</v>
      </c>
      <c r="C27307" s="2">
        <v>4.3726585830081996E-3</v>
      </c>
      <c r="D27307" s="2">
        <v>1.5254774057424401E-2</v>
      </c>
      <c r="E27307" s="2">
        <v>1.58178790836539E-2</v>
      </c>
      <c r="F27307" s="2">
        <v>5.6203676459603497E-3</v>
      </c>
    </row>
    <row r="27308" spans="1:6" x14ac:dyDescent="0.25">
      <c r="A27308" s="1" t="str">
        <f t="shared" ref="A27308:A27371" si="990">"37980"</f>
        <v>37980</v>
      </c>
      <c r="B27308" s="1" t="str">
        <f>"19104"</f>
        <v>19104</v>
      </c>
      <c r="C27308" s="2">
        <v>9.5920987553079397E-3</v>
      </c>
      <c r="D27308" s="2">
        <v>1.05496078342662E-2</v>
      </c>
      <c r="E27308" s="2">
        <v>3.9760004593213501E-2</v>
      </c>
      <c r="F27308" s="2">
        <v>1.0691559185985199E-2</v>
      </c>
    </row>
    <row r="27309" spans="1:6" x14ac:dyDescent="0.25">
      <c r="A27309" s="1" t="str">
        <f t="shared" si="990"/>
        <v>37980</v>
      </c>
      <c r="B27309" s="1" t="str">
        <f>"19095"</f>
        <v>19095</v>
      </c>
      <c r="C27309" s="2">
        <v>1.6474349986216399E-3</v>
      </c>
      <c r="D27309" s="2">
        <v>9.4185582613917195E-4</v>
      </c>
      <c r="E27309" s="2">
        <v>6.2199766511645703E-4</v>
      </c>
      <c r="F27309" s="2">
        <v>1.5569191317886201E-3</v>
      </c>
    </row>
    <row r="27310" spans="1:6" x14ac:dyDescent="0.25">
      <c r="A27310" s="1" t="str">
        <f t="shared" si="990"/>
        <v>37980</v>
      </c>
      <c r="B27310" s="1" t="str">
        <f>"19083"</f>
        <v>19083</v>
      </c>
      <c r="C27310" s="2">
        <v>5.2688632222583796E-3</v>
      </c>
      <c r="D27310" s="2">
        <v>4.7627469286862902E-3</v>
      </c>
      <c r="E27310" s="2">
        <v>3.0525731564946101E-3</v>
      </c>
      <c r="F27310" s="2">
        <v>5.1536816233528704E-3</v>
      </c>
    </row>
    <row r="27311" spans="1:6" x14ac:dyDescent="0.25">
      <c r="A27311" s="1" t="str">
        <f t="shared" si="990"/>
        <v>37980</v>
      </c>
      <c r="B27311" s="1" t="str">
        <f>"19335"</f>
        <v>19335</v>
      </c>
      <c r="C27311" s="2">
        <v>7.47422954041322E-3</v>
      </c>
      <c r="D27311" s="2">
        <v>4.9108116000444102E-3</v>
      </c>
      <c r="E27311" s="2">
        <v>4.8611509827563102E-3</v>
      </c>
      <c r="F27311" s="2">
        <v>7.1831325316856097E-3</v>
      </c>
    </row>
    <row r="27312" spans="1:6" x14ac:dyDescent="0.25">
      <c r="A27312" s="1" t="str">
        <f t="shared" si="990"/>
        <v>37980</v>
      </c>
      <c r="B27312" s="1" t="str">
        <f>"19363"</f>
        <v>19363</v>
      </c>
      <c r="C27312" s="2">
        <v>2.2862736814204801E-3</v>
      </c>
      <c r="D27312" s="2">
        <v>1.76032442614657E-3</v>
      </c>
      <c r="E27312" s="2">
        <v>1.69374748808635E-3</v>
      </c>
      <c r="F27312" s="2">
        <v>2.2246341369945898E-3</v>
      </c>
    </row>
    <row r="27313" spans="1:6" x14ac:dyDescent="0.25">
      <c r="A27313" s="1" t="str">
        <f t="shared" si="990"/>
        <v>37980</v>
      </c>
      <c r="B27313" s="1" t="str">
        <f>"19142"</f>
        <v>19142</v>
      </c>
      <c r="C27313" s="2">
        <v>4.4250104062977403E-3</v>
      </c>
      <c r="D27313" s="2">
        <v>3.3684712733973001E-3</v>
      </c>
      <c r="E27313" s="2">
        <v>2.6698053625767901E-3</v>
      </c>
      <c r="F27313" s="2">
        <v>4.2820147585801004E-3</v>
      </c>
    </row>
    <row r="27314" spans="1:6" x14ac:dyDescent="0.25">
      <c r="A27314" s="1" t="str">
        <f t="shared" si="990"/>
        <v>37980</v>
      </c>
      <c r="B27314" s="1" t="str">
        <f>"19473"</f>
        <v>19473</v>
      </c>
      <c r="C27314" s="2">
        <v>2.1669261681869999E-3</v>
      </c>
      <c r="D27314" s="2">
        <v>5.6346833266841302E-4</v>
      </c>
      <c r="E27314" s="2">
        <v>1.1387341869055099E-3</v>
      </c>
      <c r="F27314" s="2">
        <v>2.00541836437103E-3</v>
      </c>
    </row>
    <row r="27315" spans="1:6" x14ac:dyDescent="0.25">
      <c r="A27315" s="1" t="str">
        <f t="shared" si="990"/>
        <v>37980</v>
      </c>
      <c r="B27315" s="1" t="str">
        <f>"21921"</f>
        <v>21921</v>
      </c>
      <c r="C27315" s="2">
        <v>7.2205245506254904E-3</v>
      </c>
      <c r="D27315" s="2">
        <v>5.9349255769381003E-3</v>
      </c>
      <c r="E27315" s="2">
        <v>5.4448718684809803E-3</v>
      </c>
      <c r="F27315" s="2">
        <v>7.0587478784784599E-3</v>
      </c>
    </row>
    <row r="27316" spans="1:6" x14ac:dyDescent="0.25">
      <c r="A27316" s="1" t="str">
        <f t="shared" si="990"/>
        <v>37980</v>
      </c>
      <c r="B27316" s="1" t="str">
        <f>"21903"</f>
        <v>21903</v>
      </c>
      <c r="C27316" s="2">
        <v>1.3948282988329899E-3</v>
      </c>
      <c r="D27316" s="2">
        <v>9.7887199397870303E-4</v>
      </c>
      <c r="E27316" s="2">
        <v>1.5215019808233301E-3</v>
      </c>
      <c r="F27316" s="2">
        <v>1.36628260063303E-3</v>
      </c>
    </row>
    <row r="27317" spans="1:6" x14ac:dyDescent="0.25">
      <c r="A27317" s="1" t="str">
        <f t="shared" si="990"/>
        <v>37980</v>
      </c>
      <c r="B27317" s="1" t="str">
        <f>"18076"</f>
        <v>18076</v>
      </c>
      <c r="C27317" s="2">
        <v>4.82515406262962E-4</v>
      </c>
      <c r="D27317" s="2">
        <v>3.4137132563122802E-4</v>
      </c>
      <c r="E27317" s="2">
        <v>4.5932135270138302E-4</v>
      </c>
      <c r="F27317" s="2">
        <v>4.7058319189856399E-4</v>
      </c>
    </row>
    <row r="27318" spans="1:6" x14ac:dyDescent="0.25">
      <c r="A27318" s="1" t="str">
        <f t="shared" si="990"/>
        <v>37980</v>
      </c>
      <c r="B27318" s="1" t="str">
        <f>"18054"</f>
        <v>18054</v>
      </c>
      <c r="C27318" s="2">
        <v>8.5227303928693098E-4</v>
      </c>
      <c r="D27318" s="2">
        <v>5.0588762714025401E-4</v>
      </c>
      <c r="E27318" s="2">
        <v>2.00953091806855E-4</v>
      </c>
      <c r="F27318" s="2">
        <v>8.0281687396359597E-4</v>
      </c>
    </row>
    <row r="27319" spans="1:6" x14ac:dyDescent="0.25">
      <c r="A27319" s="1" t="str">
        <f t="shared" si="990"/>
        <v>37980</v>
      </c>
      <c r="B27319" s="1" t="str">
        <f>"18914"</f>
        <v>18914</v>
      </c>
      <c r="C27319" s="2">
        <v>3.0565410674426902E-3</v>
      </c>
      <c r="D27319" s="2">
        <v>2.2662120532868299E-3</v>
      </c>
      <c r="E27319" s="2">
        <v>1.02390384873016E-3</v>
      </c>
      <c r="F27319" s="2">
        <v>2.9251503170671898E-3</v>
      </c>
    </row>
    <row r="27320" spans="1:6" x14ac:dyDescent="0.25">
      <c r="A27320" s="1" t="str">
        <f t="shared" si="990"/>
        <v>37980</v>
      </c>
      <c r="B27320" s="1" t="str">
        <f>"18917"</f>
        <v>18917</v>
      </c>
      <c r="C27320" s="2">
        <v>4.38583806299718E-4</v>
      </c>
      <c r="D27320" s="2">
        <v>1.85080839197653E-4</v>
      </c>
      <c r="E27320" s="2">
        <v>3.0621423513425502E-4</v>
      </c>
      <c r="F27320" s="2">
        <v>4.1407423717782502E-4</v>
      </c>
    </row>
    <row r="27321" spans="1:6" x14ac:dyDescent="0.25">
      <c r="A27321" s="1" t="str">
        <f t="shared" si="990"/>
        <v>37980</v>
      </c>
      <c r="B27321" s="1" t="str">
        <f>"19053"</f>
        <v>19053</v>
      </c>
      <c r="C27321" s="2">
        <v>4.12737381654676E-3</v>
      </c>
      <c r="D27321" s="2">
        <v>6.5395229849837698E-3</v>
      </c>
      <c r="E27321" s="2">
        <v>3.6745708216110598E-3</v>
      </c>
      <c r="F27321" s="2">
        <v>4.3024748973583002E-3</v>
      </c>
    </row>
    <row r="27322" spans="1:6" x14ac:dyDescent="0.25">
      <c r="A27322" s="1" t="str">
        <f t="shared" si="990"/>
        <v>37980</v>
      </c>
      <c r="B27322" s="1" t="str">
        <f>"08081"</f>
        <v>08081</v>
      </c>
      <c r="C27322" s="2">
        <v>7.0015987441419897E-3</v>
      </c>
      <c r="D27322" s="2">
        <v>3.3026647527936901E-3</v>
      </c>
      <c r="E27322" s="2">
        <v>7.9424317237947498E-4</v>
      </c>
      <c r="F27322" s="2">
        <v>6.4988545569925199E-3</v>
      </c>
    </row>
    <row r="27323" spans="1:6" x14ac:dyDescent="0.25">
      <c r="A27323" s="1" t="str">
        <f t="shared" si="990"/>
        <v>37980</v>
      </c>
      <c r="B27323" s="1" t="str">
        <f>"08096"</f>
        <v>08096</v>
      </c>
      <c r="C27323" s="2">
        <v>5.9772602716656898E-3</v>
      </c>
      <c r="D27323" s="2">
        <v>7.0783138724258296E-3</v>
      </c>
      <c r="E27323" s="2">
        <v>3.4736177298042101E-3</v>
      </c>
      <c r="F27323" s="2">
        <v>5.9792319848478003E-3</v>
      </c>
    </row>
    <row r="27324" spans="1:6" x14ac:dyDescent="0.25">
      <c r="A27324" s="1" t="str">
        <f t="shared" si="990"/>
        <v>37980</v>
      </c>
      <c r="B27324" s="1" t="str">
        <f>"08088"</f>
        <v>08088</v>
      </c>
      <c r="C27324" s="2">
        <v>3.8597571534373298E-3</v>
      </c>
      <c r="D27324" s="2">
        <v>2.3525831115790599E-3</v>
      </c>
      <c r="E27324" s="2">
        <v>6.4113605481234796E-4</v>
      </c>
      <c r="F27324" s="2">
        <v>3.63151225107643E-3</v>
      </c>
    </row>
    <row r="27325" spans="1:6" x14ac:dyDescent="0.25">
      <c r="A27325" s="1" t="str">
        <f t="shared" si="990"/>
        <v>37980</v>
      </c>
      <c r="B27325" s="1" t="str">
        <f>"08057"</f>
        <v>08057</v>
      </c>
      <c r="C27325" s="2">
        <v>3.2220167606375701E-3</v>
      </c>
      <c r="D27325" s="2">
        <v>6.7369425467946002E-3</v>
      </c>
      <c r="E27325" s="2">
        <v>3.3970641710206499E-3</v>
      </c>
      <c r="F27325" s="2">
        <v>3.50550377733133E-3</v>
      </c>
    </row>
    <row r="27326" spans="1:6" x14ac:dyDescent="0.25">
      <c r="A27326" s="1" t="str">
        <f t="shared" si="990"/>
        <v>37980</v>
      </c>
      <c r="B27326" s="1" t="str">
        <f>"08059"</f>
        <v>08059</v>
      </c>
      <c r="C27326" s="2">
        <v>8.7716761259943601E-4</v>
      </c>
      <c r="D27326" s="2">
        <v>6.7451683618700495E-4</v>
      </c>
      <c r="E27326" s="2">
        <v>3.6362940422192798E-4</v>
      </c>
      <c r="F27326" s="2">
        <v>8.4373715151999295E-4</v>
      </c>
    </row>
    <row r="27327" spans="1:6" x14ac:dyDescent="0.25">
      <c r="A27327" s="1" t="str">
        <f t="shared" si="990"/>
        <v>37980</v>
      </c>
      <c r="B27327" s="1" t="str">
        <f>"08048"</f>
        <v>08048</v>
      </c>
      <c r="C27327" s="2">
        <v>1.9454376850389799E-3</v>
      </c>
      <c r="D27327" s="2">
        <v>1.72742116584477E-3</v>
      </c>
      <c r="E27327" s="2">
        <v>6.0285927542056599E-4</v>
      </c>
      <c r="F27327" s="2">
        <v>1.8826575317018399E-3</v>
      </c>
    </row>
    <row r="27328" spans="1:6" x14ac:dyDescent="0.25">
      <c r="A27328" s="1" t="str">
        <f t="shared" si="990"/>
        <v>37980</v>
      </c>
      <c r="B27328" s="1" t="str">
        <f>"08344"</f>
        <v>08344</v>
      </c>
      <c r="C27328" s="2">
        <v>9.3318040255257204E-4</v>
      </c>
      <c r="D27328" s="2">
        <v>7.9790406231877503E-4</v>
      </c>
      <c r="E27328" s="2">
        <v>2.2009148150274599E-4</v>
      </c>
      <c r="F27328" s="2">
        <v>8.9829752159518896E-4</v>
      </c>
    </row>
    <row r="27329" spans="1:6" x14ac:dyDescent="0.25">
      <c r="A27329" s="1" t="str">
        <f t="shared" si="990"/>
        <v>37980</v>
      </c>
      <c r="B27329" s="1" t="str">
        <f>"19703"</f>
        <v>19703</v>
      </c>
      <c r="C27329" s="2">
        <v>2.8079614309840001E-3</v>
      </c>
      <c r="D27329" s="2">
        <v>2.7844384030402602E-3</v>
      </c>
      <c r="E27329" s="2">
        <v>2.95688120801515E-3</v>
      </c>
      <c r="F27329" s="2">
        <v>2.8111581153029402E-3</v>
      </c>
    </row>
    <row r="27330" spans="1:6" x14ac:dyDescent="0.25">
      <c r="A27330" s="1" t="str">
        <f t="shared" si="990"/>
        <v>37980</v>
      </c>
      <c r="B27330" s="1" t="str">
        <f>"19707"</f>
        <v>19707</v>
      </c>
      <c r="C27330" s="2">
        <v>2.7336438077128502E-3</v>
      </c>
      <c r="D27330" s="2">
        <v>3.4096003487745501E-3</v>
      </c>
      <c r="E27330" s="2">
        <v>5.2630571663700204E-4</v>
      </c>
      <c r="F27330" s="2">
        <v>2.7121050624878602E-3</v>
      </c>
    </row>
    <row r="27331" spans="1:6" x14ac:dyDescent="0.25">
      <c r="A27331" s="1" t="str">
        <f t="shared" si="990"/>
        <v>37980</v>
      </c>
      <c r="B27331" s="1" t="str">
        <f>"19732"</f>
        <v>19732</v>
      </c>
      <c r="C27331" s="2">
        <v>3.6975763302396899E-5</v>
      </c>
      <c r="D27331" s="2">
        <v>8.2258150754512803E-6</v>
      </c>
      <c r="E27331" s="2">
        <v>9.5691948479454898E-6</v>
      </c>
      <c r="F27331" s="2">
        <v>3.3775467189406899E-5</v>
      </c>
    </row>
    <row r="27332" spans="1:6" x14ac:dyDescent="0.25">
      <c r="A27332" s="1" t="str">
        <f t="shared" si="990"/>
        <v>37980</v>
      </c>
      <c r="B27332" s="1" t="str">
        <f>"19977"</f>
        <v>19977</v>
      </c>
      <c r="C27332" s="2">
        <v>2.7750127310115702E-4</v>
      </c>
      <c r="D27332" s="2">
        <v>2.5500026733898902E-4</v>
      </c>
      <c r="E27332" s="2">
        <v>5.7415169087672898E-5</v>
      </c>
      <c r="F27332" s="2">
        <v>2.6825515286971299E-4</v>
      </c>
    </row>
    <row r="27333" spans="1:6" x14ac:dyDescent="0.25">
      <c r="A27333" s="1" t="str">
        <f t="shared" si="990"/>
        <v>37980</v>
      </c>
      <c r="B27333" s="1" t="str">
        <f>"18953"</f>
        <v>18953</v>
      </c>
      <c r="C27333" s="2">
        <v>3.6609666636036498E-7</v>
      </c>
      <c r="D27333" s="2">
        <v>0</v>
      </c>
      <c r="E27333" s="2">
        <v>9.5691948479454898E-6</v>
      </c>
      <c r="F27333" s="2">
        <v>6.49528215180903E-7</v>
      </c>
    </row>
    <row r="27334" spans="1:6" x14ac:dyDescent="0.25">
      <c r="A27334" s="1" t="str">
        <f t="shared" si="990"/>
        <v>37980</v>
      </c>
      <c r="B27334" s="1" t="str">
        <f>"19430"</f>
        <v>19430</v>
      </c>
      <c r="C27334" s="2">
        <v>0</v>
      </c>
      <c r="D27334" s="2">
        <v>4.1129075377256402E-6</v>
      </c>
      <c r="E27334" s="2">
        <v>0</v>
      </c>
      <c r="F27334" s="2">
        <v>3.2476410759045102E-7</v>
      </c>
    </row>
    <row r="27335" spans="1:6" x14ac:dyDescent="0.25">
      <c r="A27335" s="1" t="str">
        <f t="shared" si="990"/>
        <v>37980</v>
      </c>
      <c r="B27335" s="1" t="str">
        <f>"19358"</f>
        <v>19358</v>
      </c>
      <c r="C27335" s="2">
        <v>3.6609666636036498E-7</v>
      </c>
      <c r="D27335" s="2">
        <v>0</v>
      </c>
      <c r="E27335" s="2">
        <v>9.5691948479454898E-6</v>
      </c>
      <c r="F27335" s="2">
        <v>6.49528215180903E-7</v>
      </c>
    </row>
    <row r="27336" spans="1:6" x14ac:dyDescent="0.25">
      <c r="A27336" s="1" t="str">
        <f t="shared" si="990"/>
        <v>37980</v>
      </c>
      <c r="B27336" s="1" t="str">
        <f>"17555"</f>
        <v>17555</v>
      </c>
      <c r="C27336" s="2">
        <v>1.09828999908109E-5</v>
      </c>
      <c r="D27336" s="2">
        <v>4.1129075377256402E-6</v>
      </c>
      <c r="E27336" s="2">
        <v>0</v>
      </c>
      <c r="F27336" s="2">
        <v>1.0067687335304001E-5</v>
      </c>
    </row>
    <row r="27337" spans="1:6" x14ac:dyDescent="0.25">
      <c r="A27337" s="1" t="str">
        <f t="shared" si="990"/>
        <v>37980</v>
      </c>
      <c r="B27337" s="1" t="str">
        <f>"18922"</f>
        <v>18922</v>
      </c>
      <c r="C27337" s="2">
        <v>0</v>
      </c>
      <c r="D27337" s="2">
        <v>0</v>
      </c>
      <c r="E27337" s="2">
        <v>9.5691948479454898E-6</v>
      </c>
      <c r="F27337" s="2">
        <v>3.2476410759045102E-7</v>
      </c>
    </row>
    <row r="27338" spans="1:6" x14ac:dyDescent="0.25">
      <c r="A27338" s="1" t="str">
        <f t="shared" si="990"/>
        <v>37980</v>
      </c>
      <c r="B27338" s="1" t="str">
        <f>"18911"</f>
        <v>18911</v>
      </c>
      <c r="C27338" s="2">
        <v>0</v>
      </c>
      <c r="D27338" s="2">
        <v>4.1129075377256402E-6</v>
      </c>
      <c r="E27338" s="2">
        <v>0</v>
      </c>
      <c r="F27338" s="2">
        <v>3.2476410759045102E-7</v>
      </c>
    </row>
    <row r="27339" spans="1:6" x14ac:dyDescent="0.25">
      <c r="A27339" s="1" t="str">
        <f t="shared" si="990"/>
        <v>37980</v>
      </c>
      <c r="B27339" s="1" t="str">
        <f>"19712"</f>
        <v>19712</v>
      </c>
      <c r="C27339" s="2">
        <v>0</v>
      </c>
      <c r="D27339" s="2">
        <v>2.0564537688628202E-5</v>
      </c>
      <c r="E27339" s="2">
        <v>3.8276779391781898E-5</v>
      </c>
      <c r="F27339" s="2">
        <v>2.9228769683140598E-6</v>
      </c>
    </row>
    <row r="27340" spans="1:6" x14ac:dyDescent="0.25">
      <c r="A27340" s="1" t="str">
        <f t="shared" si="990"/>
        <v>37980</v>
      </c>
      <c r="B27340" s="1" t="str">
        <f>"19435"</f>
        <v>19435</v>
      </c>
      <c r="C27340" s="2">
        <v>3.0019926641549901E-5</v>
      </c>
      <c r="D27340" s="2">
        <v>8.2258150754512803E-6</v>
      </c>
      <c r="E27340" s="2">
        <v>9.5691948479454898E-6</v>
      </c>
      <c r="F27340" s="2">
        <v>2.7604949145188299E-5</v>
      </c>
    </row>
    <row r="27341" spans="1:6" x14ac:dyDescent="0.25">
      <c r="A27341" s="1" t="str">
        <f t="shared" si="990"/>
        <v>37980</v>
      </c>
      <c r="B27341" s="1" t="str">
        <f>"19443"</f>
        <v>19443</v>
      </c>
      <c r="C27341" s="2">
        <v>1.18615319900758E-4</v>
      </c>
      <c r="D27341" s="2">
        <v>4.40081106536643E-4</v>
      </c>
      <c r="E27341" s="2">
        <v>1.9138389695890902E-5</v>
      </c>
      <c r="F27341" s="2">
        <v>1.40622858586665E-4</v>
      </c>
    </row>
    <row r="27342" spans="1:6" x14ac:dyDescent="0.25">
      <c r="A27342" s="1" t="str">
        <f t="shared" si="990"/>
        <v>37980</v>
      </c>
      <c r="B27342" s="1" t="str">
        <f>"18957"</f>
        <v>18957</v>
      </c>
      <c r="C27342" s="2">
        <v>0</v>
      </c>
      <c r="D27342" s="2">
        <v>0</v>
      </c>
      <c r="E27342" s="2">
        <v>9.5691948479454898E-6</v>
      </c>
      <c r="F27342" s="2">
        <v>3.2476410759045102E-7</v>
      </c>
    </row>
    <row r="27343" spans="1:6" x14ac:dyDescent="0.25">
      <c r="A27343" s="1" t="str">
        <f t="shared" si="990"/>
        <v>37980</v>
      </c>
      <c r="B27343" s="1" t="str">
        <f>"18971"</f>
        <v>18971</v>
      </c>
      <c r="C27343" s="2">
        <v>0</v>
      </c>
      <c r="D27343" s="2">
        <v>0</v>
      </c>
      <c r="E27343" s="2">
        <v>9.5691948479454898E-6</v>
      </c>
      <c r="F27343" s="2">
        <v>3.2476410759045102E-7</v>
      </c>
    </row>
    <row r="27344" spans="1:6" x14ac:dyDescent="0.25">
      <c r="A27344" s="1" t="str">
        <f t="shared" si="990"/>
        <v>37980</v>
      </c>
      <c r="B27344" s="1" t="str">
        <f>"18931"</f>
        <v>18931</v>
      </c>
      <c r="C27344" s="2">
        <v>1.8048565651566001E-4</v>
      </c>
      <c r="D27344" s="2">
        <v>6.2104903819657203E-4</v>
      </c>
      <c r="E27344" s="2">
        <v>1.9138389695890902E-5</v>
      </c>
      <c r="F27344" s="2">
        <v>2.0979761350343101E-4</v>
      </c>
    </row>
    <row r="27345" spans="1:6" x14ac:dyDescent="0.25">
      <c r="A27345" s="1" t="str">
        <f t="shared" si="990"/>
        <v>37980</v>
      </c>
      <c r="B27345" s="1" t="str">
        <f>"18039"</f>
        <v>18039</v>
      </c>
      <c r="C27345" s="2">
        <v>3.6609666636036498E-7</v>
      </c>
      <c r="D27345" s="2">
        <v>4.1129075377256402E-6</v>
      </c>
      <c r="E27345" s="2">
        <v>0</v>
      </c>
      <c r="F27345" s="2">
        <v>6.49528215180903E-7</v>
      </c>
    </row>
    <row r="27346" spans="1:6" x14ac:dyDescent="0.25">
      <c r="A27346" s="1" t="str">
        <f t="shared" si="990"/>
        <v>37980</v>
      </c>
      <c r="B27346" s="1" t="str">
        <f>"18934"</f>
        <v>18934</v>
      </c>
      <c r="C27346" s="2">
        <v>2.26979933143426E-5</v>
      </c>
      <c r="D27346" s="2">
        <v>4.1129075377256402E-6</v>
      </c>
      <c r="E27346" s="2">
        <v>2.8707584543836402E-5</v>
      </c>
      <c r="F27346" s="2">
        <v>2.1434431100969801E-5</v>
      </c>
    </row>
    <row r="27347" spans="1:6" x14ac:dyDescent="0.25">
      <c r="A27347" s="1" t="str">
        <f t="shared" si="990"/>
        <v>37980</v>
      </c>
      <c r="B27347" s="1" t="str">
        <f>"19726"</f>
        <v>19726</v>
      </c>
      <c r="C27347" s="2">
        <v>0</v>
      </c>
      <c r="D27347" s="2">
        <v>2.4677445226353799E-5</v>
      </c>
      <c r="E27347" s="2">
        <v>1.9138389695890902E-5</v>
      </c>
      <c r="F27347" s="2">
        <v>2.5981128607236099E-6</v>
      </c>
    </row>
    <row r="27348" spans="1:6" x14ac:dyDescent="0.25">
      <c r="A27348" s="1" t="str">
        <f t="shared" si="990"/>
        <v>37980</v>
      </c>
      <c r="B27348" s="1" t="str">
        <f>"17527"</f>
        <v>17527</v>
      </c>
      <c r="C27348" s="2">
        <v>5.2351823289532299E-5</v>
      </c>
      <c r="D27348" s="2">
        <v>4.1129075377256403E-5</v>
      </c>
      <c r="E27348" s="2">
        <v>0</v>
      </c>
      <c r="F27348" s="2">
        <v>4.9688908461339103E-5</v>
      </c>
    </row>
    <row r="27349" spans="1:6" x14ac:dyDescent="0.25">
      <c r="A27349" s="1" t="str">
        <f t="shared" si="990"/>
        <v>37980</v>
      </c>
      <c r="B27349" s="1" t="str">
        <f>"18933"</f>
        <v>18933</v>
      </c>
      <c r="C27349" s="2">
        <v>4.2101116631442001E-5</v>
      </c>
      <c r="D27349" s="2">
        <v>1.2338722613176899E-5</v>
      </c>
      <c r="E27349" s="2">
        <v>7.6553558783563905E-5</v>
      </c>
      <c r="F27349" s="2">
        <v>4.0920277556396901E-5</v>
      </c>
    </row>
    <row r="27350" spans="1:6" x14ac:dyDescent="0.25">
      <c r="A27350" s="1" t="str">
        <f t="shared" si="990"/>
        <v>37980</v>
      </c>
      <c r="B27350" s="1" t="str">
        <f>"18955"</f>
        <v>18955</v>
      </c>
      <c r="C27350" s="2">
        <v>3.8733027300926701E-4</v>
      </c>
      <c r="D27350" s="2">
        <v>2.6322608241444103E-4</v>
      </c>
      <c r="E27350" s="2">
        <v>4.0190618361371001E-4</v>
      </c>
      <c r="F27350" s="2">
        <v>3.7802542123528498E-4</v>
      </c>
    </row>
    <row r="27351" spans="1:6" x14ac:dyDescent="0.25">
      <c r="A27351" s="1" t="str">
        <f t="shared" si="990"/>
        <v>37980</v>
      </c>
      <c r="B27351" s="1" t="str">
        <f>"19436"</f>
        <v>19436</v>
      </c>
      <c r="C27351" s="2">
        <v>1.6950275652484901E-4</v>
      </c>
      <c r="D27351" s="2">
        <v>4.1129075377256403E-5</v>
      </c>
      <c r="E27351" s="2">
        <v>9.5691948479454898E-6</v>
      </c>
      <c r="F27351" s="2">
        <v>1.53938186997874E-4</v>
      </c>
    </row>
    <row r="27352" spans="1:6" x14ac:dyDescent="0.25">
      <c r="A27352" s="1" t="str">
        <f t="shared" si="990"/>
        <v>37980</v>
      </c>
      <c r="B27352" s="1" t="str">
        <f>"21902"</f>
        <v>21902</v>
      </c>
      <c r="C27352" s="2">
        <v>4.6494276627766401E-5</v>
      </c>
      <c r="D27352" s="2">
        <v>8.6371058292238499E-5</v>
      </c>
      <c r="E27352" s="2">
        <v>1.9138389695890902E-5</v>
      </c>
      <c r="F27352" s="2">
        <v>4.8714616138567699E-5</v>
      </c>
    </row>
    <row r="27353" spans="1:6" x14ac:dyDescent="0.25">
      <c r="A27353" s="1" t="str">
        <f t="shared" si="990"/>
        <v>37980</v>
      </c>
      <c r="B27353" s="1" t="str">
        <f>"19342"</f>
        <v>19342</v>
      </c>
      <c r="C27353" s="2">
        <v>3.16161081068811E-3</v>
      </c>
      <c r="D27353" s="2">
        <v>2.6281479166066798E-3</v>
      </c>
      <c r="E27353" s="2">
        <v>1.31097969416853E-3</v>
      </c>
      <c r="F27353" s="2">
        <v>3.0566797806413299E-3</v>
      </c>
    </row>
    <row r="27354" spans="1:6" x14ac:dyDescent="0.25">
      <c r="A27354" s="1" t="str">
        <f t="shared" si="990"/>
        <v>37980</v>
      </c>
      <c r="B27354" s="1" t="str">
        <f>"19446"</f>
        <v>19446</v>
      </c>
      <c r="C27354" s="2">
        <v>9.3460817955137703E-3</v>
      </c>
      <c r="D27354" s="2">
        <v>6.7739587146341297E-3</v>
      </c>
      <c r="E27354" s="2">
        <v>8.4017530764961407E-3</v>
      </c>
      <c r="F27354" s="2">
        <v>9.11093227434253E-3</v>
      </c>
    </row>
    <row r="27355" spans="1:6" x14ac:dyDescent="0.25">
      <c r="A27355" s="1" t="str">
        <f t="shared" si="990"/>
        <v>37980</v>
      </c>
      <c r="B27355" s="1" t="str">
        <f>"19442"</f>
        <v>19442</v>
      </c>
      <c r="C27355" s="2">
        <v>2.6395569644582301E-4</v>
      </c>
      <c r="D27355" s="2">
        <v>6.4572648342292604E-4</v>
      </c>
      <c r="E27355" s="2">
        <v>9.5691948479454898E-6</v>
      </c>
      <c r="F27355" s="2">
        <v>2.8546765057200699E-4</v>
      </c>
    </row>
    <row r="27356" spans="1:6" x14ac:dyDescent="0.25">
      <c r="A27356" s="1" t="str">
        <f t="shared" si="990"/>
        <v>37980</v>
      </c>
      <c r="B27356" s="1" t="str">
        <f>"21912"</f>
        <v>21912</v>
      </c>
      <c r="C27356" s="2">
        <v>2.1453264648717399E-4</v>
      </c>
      <c r="D27356" s="2">
        <v>1.64516301509025E-5</v>
      </c>
      <c r="E27356" s="2">
        <v>9.5691948479454898E-6</v>
      </c>
      <c r="F27356" s="2">
        <v>1.91935587585956E-4</v>
      </c>
    </row>
    <row r="27357" spans="1:6" x14ac:dyDescent="0.25">
      <c r="A27357" s="1" t="str">
        <f t="shared" si="990"/>
        <v>37980</v>
      </c>
      <c r="B27357" s="1" t="str">
        <f>"19002"</f>
        <v>19002</v>
      </c>
      <c r="C27357" s="2">
        <v>4.9877009824936197E-3</v>
      </c>
      <c r="D27357" s="2">
        <v>4.6928275005449598E-3</v>
      </c>
      <c r="E27357" s="2">
        <v>3.5788788731316102E-3</v>
      </c>
      <c r="F27357" s="2">
        <v>4.9166038248118398E-3</v>
      </c>
    </row>
    <row r="27358" spans="1:6" x14ac:dyDescent="0.25">
      <c r="A27358" s="1" t="str">
        <f t="shared" si="990"/>
        <v>37980</v>
      </c>
      <c r="B27358" s="1" t="str">
        <f>"19006"</f>
        <v>19006</v>
      </c>
      <c r="C27358" s="2">
        <v>3.3823671005034101E-3</v>
      </c>
      <c r="D27358" s="2">
        <v>5.9184739467872003E-3</v>
      </c>
      <c r="E27358" s="2">
        <v>2.5932518037932199E-3</v>
      </c>
      <c r="F27358" s="2">
        <v>3.5558422140078501E-3</v>
      </c>
    </row>
    <row r="27359" spans="1:6" x14ac:dyDescent="0.25">
      <c r="A27359" s="1" t="str">
        <f t="shared" si="990"/>
        <v>37980</v>
      </c>
      <c r="B27359" s="1" t="str">
        <f>"19017"</f>
        <v>19017</v>
      </c>
      <c r="C27359" s="2">
        <v>1.3106260655701001E-4</v>
      </c>
      <c r="D27359" s="2">
        <v>6.29274853272023E-4</v>
      </c>
      <c r="E27359" s="2">
        <v>1.052611433274E-4</v>
      </c>
      <c r="F27359" s="2">
        <v>1.6952686416221499E-4</v>
      </c>
    </row>
    <row r="27360" spans="1:6" x14ac:dyDescent="0.25">
      <c r="A27360" s="1" t="str">
        <f t="shared" si="990"/>
        <v>37980</v>
      </c>
      <c r="B27360" s="1" t="str">
        <f>"19044"</f>
        <v>19044</v>
      </c>
      <c r="C27360" s="2">
        <v>2.7907548876650598E-3</v>
      </c>
      <c r="D27360" s="2">
        <v>5.0218601035630101E-3</v>
      </c>
      <c r="E27360" s="2">
        <v>3.3013722225411898E-3</v>
      </c>
      <c r="F27360" s="2">
        <v>2.9842573846486599E-3</v>
      </c>
    </row>
    <row r="27361" spans="1:6" x14ac:dyDescent="0.25">
      <c r="A27361" s="1" t="str">
        <f t="shared" si="990"/>
        <v>37980</v>
      </c>
      <c r="B27361" s="1" t="str">
        <f>"19025"</f>
        <v>19025</v>
      </c>
      <c r="C27361" s="2">
        <v>8.7350664593583197E-4</v>
      </c>
      <c r="D27361" s="2">
        <v>7.7322661709242101E-4</v>
      </c>
      <c r="E27361" s="2">
        <v>5.2630571663700204E-4</v>
      </c>
      <c r="F27361" s="2">
        <v>8.5380483885529697E-4</v>
      </c>
    </row>
    <row r="27362" spans="1:6" x14ac:dyDescent="0.25">
      <c r="A27362" s="1" t="str">
        <f t="shared" si="990"/>
        <v>37980</v>
      </c>
      <c r="B27362" s="1" t="str">
        <f>"19031"</f>
        <v>19031</v>
      </c>
      <c r="C27362" s="2">
        <v>8.5044255595512902E-4</v>
      </c>
      <c r="D27362" s="2">
        <v>1.5752435869489201E-3</v>
      </c>
      <c r="E27362" s="2">
        <v>7.5596639298769399E-4</v>
      </c>
      <c r="F27362" s="2">
        <v>9.0446803963940695E-4</v>
      </c>
    </row>
    <row r="27363" spans="1:6" x14ac:dyDescent="0.25">
      <c r="A27363" s="1" t="str">
        <f t="shared" si="990"/>
        <v>37980</v>
      </c>
      <c r="B27363" s="1" t="str">
        <f>"18947"</f>
        <v>18947</v>
      </c>
      <c r="C27363" s="2">
        <v>9.20000922563599E-4</v>
      </c>
      <c r="D27363" s="2">
        <v>1.3037916894590199E-3</v>
      </c>
      <c r="E27363" s="2">
        <v>2.9664504028630999E-4</v>
      </c>
      <c r="F27363" s="2">
        <v>9.2915011181628204E-4</v>
      </c>
    </row>
    <row r="27364" spans="1:6" x14ac:dyDescent="0.25">
      <c r="A27364" s="1" t="str">
        <f t="shared" si="990"/>
        <v>37980</v>
      </c>
      <c r="B27364" s="1" t="str">
        <f>"19132"</f>
        <v>19132</v>
      </c>
      <c r="C27364" s="2">
        <v>7.3072894605529003E-3</v>
      </c>
      <c r="D27364" s="2">
        <v>5.2686345558265501E-3</v>
      </c>
      <c r="E27364" s="2">
        <v>7.1194809668714398E-3</v>
      </c>
      <c r="F27364" s="2">
        <v>7.1399389053760799E-3</v>
      </c>
    </row>
    <row r="27365" spans="1:6" x14ac:dyDescent="0.25">
      <c r="A27365" s="1" t="str">
        <f t="shared" si="990"/>
        <v>37980</v>
      </c>
      <c r="B27365" s="1" t="str">
        <f>"19135"</f>
        <v>19135</v>
      </c>
      <c r="C27365" s="2">
        <v>4.74827376269394E-3</v>
      </c>
      <c r="D27365" s="2">
        <v>4.5982306271772702E-3</v>
      </c>
      <c r="E27365" s="2">
        <v>4.6314903064056103E-3</v>
      </c>
      <c r="F27365" s="2">
        <v>4.7324625758080599E-3</v>
      </c>
    </row>
    <row r="27366" spans="1:6" x14ac:dyDescent="0.25">
      <c r="A27366" s="1" t="str">
        <f t="shared" si="990"/>
        <v>37980</v>
      </c>
      <c r="B27366" s="1" t="str">
        <f>"19111"</f>
        <v>19111</v>
      </c>
      <c r="C27366" s="2">
        <v>9.4976458153869601E-3</v>
      </c>
      <c r="D27366" s="2">
        <v>4.9025857849689597E-3</v>
      </c>
      <c r="E27366" s="2">
        <v>8.8227976498057407E-3</v>
      </c>
      <c r="F27366" s="2">
        <v>9.1119065666652992E-3</v>
      </c>
    </row>
    <row r="27367" spans="1:6" x14ac:dyDescent="0.25">
      <c r="A27367" s="1" t="str">
        <f t="shared" si="990"/>
        <v>37980</v>
      </c>
      <c r="B27367" s="1" t="str">
        <f>"19112"</f>
        <v>19112</v>
      </c>
      <c r="C27367" s="2">
        <v>1.4643866654414599E-6</v>
      </c>
      <c r="D27367" s="2">
        <v>1.2133077236290599E-3</v>
      </c>
      <c r="E27367" s="2">
        <v>4.2104457330960099E-4</v>
      </c>
      <c r="F27367" s="2">
        <v>1.11394088903524E-4</v>
      </c>
    </row>
    <row r="27368" spans="1:6" x14ac:dyDescent="0.25">
      <c r="A27368" s="1" t="str">
        <f t="shared" si="990"/>
        <v>37980</v>
      </c>
      <c r="B27368" s="1" t="str">
        <f>"19118"</f>
        <v>19118</v>
      </c>
      <c r="C27368" s="2">
        <v>1.90223827840846E-3</v>
      </c>
      <c r="D27368" s="2">
        <v>2.4759703377108299E-3</v>
      </c>
      <c r="E27368" s="2">
        <v>3.0334347667987198E-3</v>
      </c>
      <c r="F27368" s="2">
        <v>1.9859325179156099E-3</v>
      </c>
    </row>
    <row r="27369" spans="1:6" x14ac:dyDescent="0.25">
      <c r="A27369" s="1" t="str">
        <f t="shared" si="990"/>
        <v>37980</v>
      </c>
      <c r="B27369" s="1" t="str">
        <f>"19121"</f>
        <v>19121</v>
      </c>
      <c r="C27369" s="2">
        <v>7.8802307434068693E-3</v>
      </c>
      <c r="D27369" s="2">
        <v>4.7175049457713102E-3</v>
      </c>
      <c r="E27369" s="2">
        <v>2.5013875332529498E-2</v>
      </c>
      <c r="F27369" s="2">
        <v>8.21198522453216E-3</v>
      </c>
    </row>
    <row r="27370" spans="1:6" x14ac:dyDescent="0.25">
      <c r="A27370" s="1" t="str">
        <f t="shared" si="990"/>
        <v>37980</v>
      </c>
      <c r="B27370" s="1" t="str">
        <f>"19076"</f>
        <v>19076</v>
      </c>
      <c r="C27370" s="2">
        <v>1.01152508915369E-3</v>
      </c>
      <c r="D27370" s="2">
        <v>7.9790406231877503E-4</v>
      </c>
      <c r="E27370" s="2">
        <v>2.2296223995713002E-3</v>
      </c>
      <c r="F27370" s="2">
        <v>1.0359975032135399E-3</v>
      </c>
    </row>
    <row r="27371" spans="1:6" x14ac:dyDescent="0.25">
      <c r="A27371" s="1" t="str">
        <f t="shared" si="990"/>
        <v>37980</v>
      </c>
      <c r="B27371" s="1" t="str">
        <f>"19072"</f>
        <v>19072</v>
      </c>
      <c r="C27371" s="2">
        <v>1.74078964854353E-3</v>
      </c>
      <c r="D27371" s="2">
        <v>2.3813734643431399E-3</v>
      </c>
      <c r="E27371" s="2">
        <v>2.9186044286233699E-3</v>
      </c>
      <c r="F27371" s="2">
        <v>1.83134480270255E-3</v>
      </c>
    </row>
    <row r="27372" spans="1:6" x14ac:dyDescent="0.25">
      <c r="A27372" s="1" t="str">
        <f t="shared" ref="A27372:A27435" si="991">"37980"</f>
        <v>37980</v>
      </c>
      <c r="B27372" s="1" t="str">
        <f>"19086"</f>
        <v>19086</v>
      </c>
      <c r="C27372" s="2">
        <v>1.69356317858305E-3</v>
      </c>
      <c r="D27372" s="2">
        <v>2.0153246934855601E-4</v>
      </c>
      <c r="E27372" s="2">
        <v>2.4879906604658201E-4</v>
      </c>
      <c r="F27372" s="2">
        <v>1.52671606978271E-3</v>
      </c>
    </row>
    <row r="27373" spans="1:6" x14ac:dyDescent="0.25">
      <c r="A27373" s="1" t="str">
        <f t="shared" si="991"/>
        <v>37980</v>
      </c>
      <c r="B27373" s="1" t="str">
        <f>"19075"</f>
        <v>19075</v>
      </c>
      <c r="C27373" s="2">
        <v>1.03385698580167E-3</v>
      </c>
      <c r="D27373" s="2">
        <v>6.0871031558339497E-4</v>
      </c>
      <c r="E27373" s="2">
        <v>5.2630571663700204E-4</v>
      </c>
      <c r="F27373" s="2">
        <v>9.8306095367629701E-4</v>
      </c>
    </row>
    <row r="27374" spans="1:6" x14ac:dyDescent="0.25">
      <c r="A27374" s="1" t="str">
        <f t="shared" si="991"/>
        <v>37980</v>
      </c>
      <c r="B27374" s="1" t="str">
        <f>"19425"</f>
        <v>19425</v>
      </c>
      <c r="C27374" s="2">
        <v>2.2383150181272699E-3</v>
      </c>
      <c r="D27374" s="2">
        <v>1.69451790554296E-3</v>
      </c>
      <c r="E27374" s="2">
        <v>5.3587491148494697E-4</v>
      </c>
      <c r="F27374" s="2">
        <v>2.1375973561603501E-3</v>
      </c>
    </row>
    <row r="27375" spans="1:6" x14ac:dyDescent="0.25">
      <c r="A27375" s="1" t="str">
        <f t="shared" si="991"/>
        <v>37980</v>
      </c>
      <c r="B27375" s="1" t="str">
        <f>"19406"</f>
        <v>19406</v>
      </c>
      <c r="C27375" s="2">
        <v>4.9906297558245001E-3</v>
      </c>
      <c r="D27375" s="2">
        <v>1.06071885397944E-2</v>
      </c>
      <c r="E27375" s="2">
        <v>8.1720924001454504E-3</v>
      </c>
      <c r="F27375" s="2">
        <v>5.5420994960310504E-3</v>
      </c>
    </row>
    <row r="27376" spans="1:6" x14ac:dyDescent="0.25">
      <c r="A27376" s="1" t="str">
        <f t="shared" si="991"/>
        <v>37980</v>
      </c>
      <c r="B27376" s="1" t="str">
        <f>"19382"</f>
        <v>19382</v>
      </c>
      <c r="C27376" s="2">
        <v>8.2188701597902102E-3</v>
      </c>
      <c r="D27376" s="2">
        <v>7.6705725578583199E-3</v>
      </c>
      <c r="E27376" s="2">
        <v>9.5979024324893292E-3</v>
      </c>
      <c r="F27376" s="2">
        <v>8.2223776759750497E-3</v>
      </c>
    </row>
    <row r="27377" spans="1:6" x14ac:dyDescent="0.25">
      <c r="A27377" s="1" t="str">
        <f t="shared" si="991"/>
        <v>37980</v>
      </c>
      <c r="B27377" s="1" t="str">
        <f>"19395"</f>
        <v>19395</v>
      </c>
      <c r="C27377" s="2">
        <v>1.69868853191209E-4</v>
      </c>
      <c r="D27377" s="2">
        <v>7.0742009648881005E-4</v>
      </c>
      <c r="E27377" s="2">
        <v>1.9138389695890902E-5</v>
      </c>
      <c r="F27377" s="2">
        <v>2.0719950064270799E-4</v>
      </c>
    </row>
    <row r="27378" spans="1:6" x14ac:dyDescent="0.25">
      <c r="A27378" s="1" t="str">
        <f t="shared" si="991"/>
        <v>37980</v>
      </c>
      <c r="B27378" s="1" t="str">
        <f>"19399"</f>
        <v>19399</v>
      </c>
      <c r="C27378" s="2">
        <v>3.3204967638885102E-4</v>
      </c>
      <c r="D27378" s="2">
        <v>1.3366949497608299E-3</v>
      </c>
      <c r="E27378" s="2">
        <v>2.8707584543836402E-5</v>
      </c>
      <c r="F27378" s="2">
        <v>4.0108367287420698E-4</v>
      </c>
    </row>
    <row r="27379" spans="1:6" x14ac:dyDescent="0.25">
      <c r="A27379" s="1" t="str">
        <f t="shared" si="991"/>
        <v>37980</v>
      </c>
      <c r="B27379" s="1" t="str">
        <f>"19330"</f>
        <v>19330</v>
      </c>
      <c r="C27379" s="2">
        <v>8.6362203594410195E-4</v>
      </c>
      <c r="D27379" s="2">
        <v>2.5500026733898902E-4</v>
      </c>
      <c r="E27379" s="2">
        <v>2.29660676350691E-4</v>
      </c>
      <c r="F27379" s="2">
        <v>7.9404824305865404E-4</v>
      </c>
    </row>
    <row r="27380" spans="1:6" x14ac:dyDescent="0.25">
      <c r="A27380" s="1" t="str">
        <f t="shared" si="991"/>
        <v>37980</v>
      </c>
      <c r="B27380" s="1" t="str">
        <f>"08053"</f>
        <v>08053</v>
      </c>
      <c r="C27380" s="2">
        <v>7.4171184604610099E-3</v>
      </c>
      <c r="D27380" s="2">
        <v>9.1018643809868491E-3</v>
      </c>
      <c r="E27380" s="2">
        <v>3.3970641710206499E-3</v>
      </c>
      <c r="F27380" s="2">
        <v>7.4137150480748301E-3</v>
      </c>
    </row>
    <row r="27381" spans="1:6" x14ac:dyDescent="0.25">
      <c r="A27381" s="1" t="str">
        <f t="shared" si="991"/>
        <v>37980</v>
      </c>
      <c r="B27381" s="1" t="str">
        <f>"08060"</f>
        <v>08060</v>
      </c>
      <c r="C27381" s="2">
        <v>3.9542100933583103E-3</v>
      </c>
      <c r="D27381" s="2">
        <v>4.3761336201400798E-3</v>
      </c>
      <c r="E27381" s="2">
        <v>4.4975215785343801E-3</v>
      </c>
      <c r="F27381" s="2">
        <v>4.0059652671282199E-3</v>
      </c>
    </row>
    <row r="27382" spans="1:6" x14ac:dyDescent="0.25">
      <c r="A27382" s="1" t="str">
        <f t="shared" si="991"/>
        <v>37980</v>
      </c>
      <c r="B27382" s="1" t="str">
        <f>"08318"</f>
        <v>08318</v>
      </c>
      <c r="C27382" s="2">
        <v>2.0647851982724601E-3</v>
      </c>
      <c r="D27382" s="2">
        <v>1.4189531005153399E-3</v>
      </c>
      <c r="E27382" s="2">
        <v>3.7319859906987399E-4</v>
      </c>
      <c r="F27382" s="2">
        <v>1.95637898412488E-3</v>
      </c>
    </row>
    <row r="27383" spans="1:6" x14ac:dyDescent="0.25">
      <c r="A27383" s="1" t="str">
        <f t="shared" si="991"/>
        <v>37980</v>
      </c>
      <c r="B27383" s="1" t="str">
        <f>"19802"</f>
        <v>19802</v>
      </c>
      <c r="C27383" s="2">
        <v>4.4466101096130002E-3</v>
      </c>
      <c r="D27383" s="2">
        <v>3.2944389377182401E-3</v>
      </c>
      <c r="E27383" s="2">
        <v>4.7367514497330104E-3</v>
      </c>
      <c r="F27383" s="2">
        <v>4.3654791342308498E-3</v>
      </c>
    </row>
    <row r="27384" spans="1:6" x14ac:dyDescent="0.25">
      <c r="A27384" s="1" t="str">
        <f t="shared" si="991"/>
        <v>37980</v>
      </c>
      <c r="B27384" s="1" t="str">
        <f>"19805"</f>
        <v>19805</v>
      </c>
      <c r="C27384" s="2">
        <v>6.8405162109434299E-3</v>
      </c>
      <c r="D27384" s="2">
        <v>5.7333931075895404E-3</v>
      </c>
      <c r="E27384" s="2">
        <v>1.07653442039386E-2</v>
      </c>
      <c r="F27384" s="2">
        <v>6.8862981373479298E-3</v>
      </c>
    </row>
    <row r="27385" spans="1:6" x14ac:dyDescent="0.25">
      <c r="A27385" s="1" t="str">
        <f t="shared" si="991"/>
        <v>37980</v>
      </c>
      <c r="B27385" s="1" t="str">
        <f>"19714"</f>
        <v>19714</v>
      </c>
      <c r="C27385" s="2">
        <v>5.5463644953595399E-4</v>
      </c>
      <c r="D27385" s="2">
        <v>1.84669548443881E-3</v>
      </c>
      <c r="E27385" s="2">
        <v>1.9138389695890902E-5</v>
      </c>
      <c r="F27385" s="2">
        <v>6.38486235522827E-4</v>
      </c>
    </row>
    <row r="27386" spans="1:6" x14ac:dyDescent="0.25">
      <c r="A27386" s="1" t="str">
        <f t="shared" si="991"/>
        <v>37980</v>
      </c>
      <c r="B27386" s="1" t="str">
        <f>"08033"</f>
        <v>08033</v>
      </c>
      <c r="C27386" s="2">
        <v>2.7845312443369398E-3</v>
      </c>
      <c r="D27386" s="2">
        <v>3.55355211259495E-3</v>
      </c>
      <c r="E27386" s="2">
        <v>2.20091481502746E-3</v>
      </c>
      <c r="F27386" s="2">
        <v>2.8254477360369198E-3</v>
      </c>
    </row>
    <row r="27387" spans="1:6" x14ac:dyDescent="0.25">
      <c r="A27387" s="1" t="str">
        <f t="shared" si="991"/>
        <v>37980</v>
      </c>
      <c r="B27387" s="1" t="str">
        <f>"08022"</f>
        <v>08022</v>
      </c>
      <c r="C27387" s="2">
        <v>1.49843365541297E-3</v>
      </c>
      <c r="D27387" s="2">
        <v>1.2133077236290599E-3</v>
      </c>
      <c r="E27387" s="2">
        <v>2.4879906604658201E-4</v>
      </c>
      <c r="F27387" s="2">
        <v>1.4335087709042499E-3</v>
      </c>
    </row>
    <row r="27388" spans="1:6" x14ac:dyDescent="0.25">
      <c r="A27388" s="1" t="str">
        <f t="shared" si="991"/>
        <v>37980</v>
      </c>
      <c r="B27388" s="1" t="str">
        <f>"08109"</f>
        <v>08109</v>
      </c>
      <c r="C27388" s="2">
        <v>3.4687659137644599E-3</v>
      </c>
      <c r="D27388" s="2">
        <v>4.0471010171220304E-3</v>
      </c>
      <c r="E27388" s="2">
        <v>3.9903542515932703E-3</v>
      </c>
      <c r="F27388" s="2">
        <v>3.53213443415375E-3</v>
      </c>
    </row>
    <row r="27389" spans="1:6" x14ac:dyDescent="0.25">
      <c r="A27389" s="1" t="str">
        <f t="shared" si="991"/>
        <v>37980</v>
      </c>
      <c r="B27389" s="1" t="str">
        <f>"08067"</f>
        <v>08067</v>
      </c>
      <c r="C27389" s="2">
        <v>2.6285740644674201E-4</v>
      </c>
      <c r="D27389" s="2">
        <v>2.22097007037184E-4</v>
      </c>
      <c r="E27389" s="2">
        <v>6.6984363935618398E-5</v>
      </c>
      <c r="F27389" s="2">
        <v>2.5299123981296098E-4</v>
      </c>
    </row>
    <row r="27390" spans="1:6" x14ac:dyDescent="0.25">
      <c r="A27390" s="1" t="str">
        <f t="shared" si="991"/>
        <v>37980</v>
      </c>
      <c r="B27390" s="1" t="str">
        <f>"08078"</f>
        <v>08078</v>
      </c>
      <c r="C27390" s="2">
        <v>1.27145372226955E-3</v>
      </c>
      <c r="D27390" s="2">
        <v>1.1557270181009E-3</v>
      </c>
      <c r="E27390" s="2">
        <v>1.3875332529520901E-3</v>
      </c>
      <c r="F27390" s="2">
        <v>1.2662552554951699E-3</v>
      </c>
    </row>
    <row r="27391" spans="1:6" x14ac:dyDescent="0.25">
      <c r="A27391" s="1" t="str">
        <f t="shared" si="991"/>
        <v>37980</v>
      </c>
      <c r="B27391" s="1" t="str">
        <f>"08084"</f>
        <v>08084</v>
      </c>
      <c r="C27391" s="2">
        <v>1.19677000233203E-3</v>
      </c>
      <c r="D27391" s="2">
        <v>1.2462109839308699E-3</v>
      </c>
      <c r="E27391" s="2">
        <v>1.0143346538822201E-3</v>
      </c>
      <c r="F27391" s="2">
        <v>1.19448238771768E-3</v>
      </c>
    </row>
    <row r="27392" spans="1:6" x14ac:dyDescent="0.25">
      <c r="A27392" s="1" t="str">
        <f t="shared" si="991"/>
        <v>37980</v>
      </c>
      <c r="B27392" s="1" t="str">
        <f>"08063"</f>
        <v>08063</v>
      </c>
      <c r="C27392" s="2">
        <v>4.3602112963519503E-4</v>
      </c>
      <c r="D27392" s="2">
        <v>1.4395176382039701E-4</v>
      </c>
      <c r="E27392" s="2">
        <v>1.91383896958909E-4</v>
      </c>
      <c r="F27392" s="2">
        <v>4.0465607805770199E-4</v>
      </c>
    </row>
    <row r="27393" spans="1:6" x14ac:dyDescent="0.25">
      <c r="A27393" s="1" t="str">
        <f t="shared" si="991"/>
        <v>37980</v>
      </c>
      <c r="B27393" s="1" t="str">
        <f>"08071"</f>
        <v>08071</v>
      </c>
      <c r="C27393" s="2">
        <v>1.41825848548005E-3</v>
      </c>
      <c r="D27393" s="2">
        <v>1.13927538795E-3</v>
      </c>
      <c r="E27393" s="2">
        <v>1.61719392930278E-3</v>
      </c>
      <c r="F27393" s="2">
        <v>1.40298094479075E-3</v>
      </c>
    </row>
    <row r="27394" spans="1:6" x14ac:dyDescent="0.25">
      <c r="A27394" s="1" t="str">
        <f t="shared" si="991"/>
        <v>37980</v>
      </c>
      <c r="B27394" s="1" t="str">
        <f>"19366"</f>
        <v>19366</v>
      </c>
      <c r="C27394" s="2">
        <v>0</v>
      </c>
      <c r="D27394" s="2">
        <v>0</v>
      </c>
      <c r="E27394" s="2">
        <v>9.5691948479454898E-6</v>
      </c>
      <c r="F27394" s="2">
        <v>3.2476410759045102E-7</v>
      </c>
    </row>
    <row r="27395" spans="1:6" x14ac:dyDescent="0.25">
      <c r="A27395" s="1" t="str">
        <f t="shared" si="991"/>
        <v>37980</v>
      </c>
      <c r="B27395" s="1" t="str">
        <f>"08042"</f>
        <v>08042</v>
      </c>
      <c r="C27395" s="2">
        <v>0</v>
      </c>
      <c r="D27395" s="2">
        <v>0</v>
      </c>
      <c r="E27395" s="2">
        <v>9.5691948479454898E-6</v>
      </c>
      <c r="F27395" s="2">
        <v>3.2476410759045102E-7</v>
      </c>
    </row>
    <row r="27396" spans="1:6" x14ac:dyDescent="0.25">
      <c r="A27396" s="1" t="str">
        <f t="shared" si="991"/>
        <v>37980</v>
      </c>
      <c r="B27396" s="1" t="str">
        <f>"19472"</f>
        <v>19472</v>
      </c>
      <c r="C27396" s="2">
        <v>0</v>
      </c>
      <c r="D27396" s="2">
        <v>4.1129075377256402E-6</v>
      </c>
      <c r="E27396" s="2">
        <v>0</v>
      </c>
      <c r="F27396" s="2">
        <v>3.2476410759045102E-7</v>
      </c>
    </row>
    <row r="27397" spans="1:6" x14ac:dyDescent="0.25">
      <c r="A27397" s="1" t="str">
        <f t="shared" si="991"/>
        <v>37980</v>
      </c>
      <c r="B27397" s="1" t="str">
        <f>"18935"</f>
        <v>18935</v>
      </c>
      <c r="C27397" s="2">
        <v>0</v>
      </c>
      <c r="D27397" s="2">
        <v>0</v>
      </c>
      <c r="E27397" s="2">
        <v>9.5691948479454898E-6</v>
      </c>
      <c r="F27397" s="2">
        <v>3.2476410759045102E-7</v>
      </c>
    </row>
    <row r="27398" spans="1:6" x14ac:dyDescent="0.25">
      <c r="A27398" s="1" t="str">
        <f t="shared" si="991"/>
        <v>37980</v>
      </c>
      <c r="B27398" s="1" t="str">
        <f>"21916"</f>
        <v>21916</v>
      </c>
      <c r="C27398" s="2">
        <v>0</v>
      </c>
      <c r="D27398" s="2">
        <v>4.1129075377256402E-6</v>
      </c>
      <c r="E27398" s="2">
        <v>0</v>
      </c>
      <c r="F27398" s="2">
        <v>3.2476410759045102E-7</v>
      </c>
    </row>
    <row r="27399" spans="1:6" x14ac:dyDescent="0.25">
      <c r="A27399" s="1" t="str">
        <f t="shared" si="991"/>
        <v>37980</v>
      </c>
      <c r="B27399" s="1" t="str">
        <f>"18980"</f>
        <v>18980</v>
      </c>
      <c r="C27399" s="2">
        <v>0</v>
      </c>
      <c r="D27399" s="2">
        <v>0</v>
      </c>
      <c r="E27399" s="2">
        <v>9.5691948479454898E-6</v>
      </c>
      <c r="F27399" s="2">
        <v>3.2476410759045102E-7</v>
      </c>
    </row>
    <row r="27400" spans="1:6" x14ac:dyDescent="0.25">
      <c r="A27400" s="1" t="str">
        <f t="shared" si="991"/>
        <v>37980</v>
      </c>
      <c r="B27400" s="1" t="str">
        <f>"08014"</f>
        <v>08014</v>
      </c>
      <c r="C27400" s="2">
        <v>7.7246396602037099E-5</v>
      </c>
      <c r="D27400" s="2">
        <v>6.5806520603610297E-5</v>
      </c>
      <c r="E27400" s="2">
        <v>6.6984363935618398E-5</v>
      </c>
      <c r="F27400" s="2">
        <v>7.5994801176165603E-5</v>
      </c>
    </row>
    <row r="27401" spans="1:6" x14ac:dyDescent="0.25">
      <c r="A27401" s="1" t="str">
        <f t="shared" si="991"/>
        <v>37980</v>
      </c>
      <c r="B27401" s="1" t="str">
        <f>"18970"</f>
        <v>18970</v>
      </c>
      <c r="C27401" s="2">
        <v>2.17827516484417E-4</v>
      </c>
      <c r="D27401" s="2">
        <v>2.5911317487671499E-4</v>
      </c>
      <c r="E27401" s="2">
        <v>1.9138389695890902E-5</v>
      </c>
      <c r="F27401" s="2">
        <v>2.14344311009698E-4</v>
      </c>
    </row>
    <row r="27402" spans="1:6" x14ac:dyDescent="0.25">
      <c r="A27402" s="1" t="str">
        <f t="shared" si="991"/>
        <v>37980</v>
      </c>
      <c r="B27402" s="1" t="str">
        <f>"19319"</f>
        <v>19319</v>
      </c>
      <c r="C27402" s="2">
        <v>3.4413086637874301E-5</v>
      </c>
      <c r="D27402" s="2">
        <v>2.4677445226353799E-5</v>
      </c>
      <c r="E27402" s="2">
        <v>0</v>
      </c>
      <c r="F27402" s="2">
        <v>3.2476410759045103E-5</v>
      </c>
    </row>
    <row r="27403" spans="1:6" x14ac:dyDescent="0.25">
      <c r="A27403" s="1" t="str">
        <f t="shared" si="991"/>
        <v>37980</v>
      </c>
      <c r="B27403" s="1" t="str">
        <f>"19105"</f>
        <v>19105</v>
      </c>
      <c r="C27403" s="2">
        <v>3.5474766970319398E-4</v>
      </c>
      <c r="D27403" s="2">
        <v>4.7298436683844902E-4</v>
      </c>
      <c r="E27403" s="2">
        <v>9.5691948479454898E-6</v>
      </c>
      <c r="F27403" s="2">
        <v>3.5236905673564E-4</v>
      </c>
    </row>
    <row r="27404" spans="1:6" x14ac:dyDescent="0.25">
      <c r="A27404" s="1" t="str">
        <f t="shared" si="991"/>
        <v>37980</v>
      </c>
      <c r="B27404" s="1" t="str">
        <f>"21914"</f>
        <v>21914</v>
      </c>
      <c r="C27404" s="2">
        <v>1.7243152985573201E-4</v>
      </c>
      <c r="D27404" s="2">
        <v>4.1129075377256402E-6</v>
      </c>
      <c r="E27404" s="2">
        <v>0</v>
      </c>
      <c r="F27404" s="2">
        <v>1.5328865878269299E-4</v>
      </c>
    </row>
    <row r="27405" spans="1:6" x14ac:dyDescent="0.25">
      <c r="A27405" s="1" t="str">
        <f t="shared" si="991"/>
        <v>37980</v>
      </c>
      <c r="B27405" s="1" t="str">
        <f>"08501"</f>
        <v>08501</v>
      </c>
      <c r="C27405" s="2">
        <v>5.0155243291370099E-5</v>
      </c>
      <c r="D27405" s="2">
        <v>0</v>
      </c>
      <c r="E27405" s="2">
        <v>0</v>
      </c>
      <c r="F27405" s="2">
        <v>4.4492682739891803E-5</v>
      </c>
    </row>
    <row r="27406" spans="1:6" x14ac:dyDescent="0.25">
      <c r="A27406" s="1" t="str">
        <f t="shared" si="991"/>
        <v>37980</v>
      </c>
      <c r="B27406" s="1" t="str">
        <f>"18936"</f>
        <v>18936</v>
      </c>
      <c r="C27406" s="2">
        <v>2.1965799981621899E-4</v>
      </c>
      <c r="D27406" s="2">
        <v>2.4183896321826699E-3</v>
      </c>
      <c r="E27406" s="2">
        <v>3.9233698876576498E-4</v>
      </c>
      <c r="F27406" s="2">
        <v>3.9913508822866499E-4</v>
      </c>
    </row>
    <row r="27407" spans="1:6" x14ac:dyDescent="0.25">
      <c r="A27407" s="1" t="str">
        <f t="shared" si="991"/>
        <v>37980</v>
      </c>
      <c r="B27407" s="1" t="str">
        <f>"19047"</f>
        <v>19047</v>
      </c>
      <c r="C27407" s="2">
        <v>5.2783817355837497E-3</v>
      </c>
      <c r="D27407" s="2">
        <v>7.9050082875086799E-3</v>
      </c>
      <c r="E27407" s="2">
        <v>5.42573347878509E-3</v>
      </c>
      <c r="F27407" s="2">
        <v>5.4907867670317603E-3</v>
      </c>
    </row>
    <row r="27408" spans="1:6" x14ac:dyDescent="0.25">
      <c r="A27408" s="1" t="str">
        <f t="shared" si="991"/>
        <v>37980</v>
      </c>
      <c r="B27408" s="1" t="str">
        <f>"19061"</f>
        <v>19061</v>
      </c>
      <c r="C27408" s="2">
        <v>3.2908429339133199E-3</v>
      </c>
      <c r="D27408" s="2">
        <v>2.8008900331911602E-3</v>
      </c>
      <c r="E27408" s="2">
        <v>3.1291267152781699E-3</v>
      </c>
      <c r="F27408" s="2">
        <v>3.2466667835817399E-3</v>
      </c>
    </row>
    <row r="27409" spans="1:6" x14ac:dyDescent="0.25">
      <c r="A27409" s="1" t="str">
        <f t="shared" si="991"/>
        <v>37980</v>
      </c>
      <c r="B27409" s="1" t="str">
        <f>"19015"</f>
        <v>19015</v>
      </c>
      <c r="C27409" s="2">
        <v>2.7277862610510799E-3</v>
      </c>
      <c r="D27409" s="2">
        <v>1.73975988845794E-3</v>
      </c>
      <c r="E27409" s="2">
        <v>9.1864270540276702E-4</v>
      </c>
      <c r="F27409" s="2">
        <v>2.58836993749589E-3</v>
      </c>
    </row>
    <row r="27410" spans="1:6" x14ac:dyDescent="0.25">
      <c r="A27410" s="1" t="str">
        <f t="shared" si="991"/>
        <v>37980</v>
      </c>
      <c r="B27410" s="1" t="str">
        <f>"19003"</f>
        <v>19003</v>
      </c>
      <c r="C27410" s="2">
        <v>2.3986653579931099E-3</v>
      </c>
      <c r="D27410" s="2">
        <v>4.2075044110933303E-3</v>
      </c>
      <c r="E27410" s="2">
        <v>6.4687757172111502E-3</v>
      </c>
      <c r="F27410" s="2">
        <v>2.6796286517288101E-3</v>
      </c>
    </row>
    <row r="27411" spans="1:6" x14ac:dyDescent="0.25">
      <c r="A27411" s="1" t="str">
        <f t="shared" si="991"/>
        <v>37980</v>
      </c>
      <c r="B27411" s="1" t="str">
        <f>"19036"</f>
        <v>19036</v>
      </c>
      <c r="C27411" s="2">
        <v>2.1943834181640301E-3</v>
      </c>
      <c r="D27411" s="2">
        <v>1.4107272854398899E-3</v>
      </c>
      <c r="E27411" s="2">
        <v>1.4449484220397601E-3</v>
      </c>
      <c r="F27411" s="2">
        <v>2.1070695300468502E-3</v>
      </c>
    </row>
    <row r="27412" spans="1:6" x14ac:dyDescent="0.25">
      <c r="A27412" s="1" t="str">
        <f t="shared" si="991"/>
        <v>37980</v>
      </c>
      <c r="B27412" s="1" t="str">
        <f>"19026"</f>
        <v>19026</v>
      </c>
      <c r="C27412" s="2">
        <v>4.9836739191636498E-3</v>
      </c>
      <c r="D27412" s="2">
        <v>2.6857286221348398E-3</v>
      </c>
      <c r="E27412" s="2">
        <v>3.54060209373983E-3</v>
      </c>
      <c r="F27412" s="2">
        <v>4.7532474786938497E-3</v>
      </c>
    </row>
    <row r="27413" spans="1:6" x14ac:dyDescent="0.25">
      <c r="A27413" s="1" t="str">
        <f t="shared" si="991"/>
        <v>37980</v>
      </c>
      <c r="B27413" s="1" t="str">
        <f>"19030"</f>
        <v>19030</v>
      </c>
      <c r="C27413" s="2">
        <v>1.9406784283762901E-3</v>
      </c>
      <c r="D27413" s="2">
        <v>2.5952446563048798E-3</v>
      </c>
      <c r="E27413" s="2">
        <v>1.0143346538822201E-3</v>
      </c>
      <c r="F27413" s="2">
        <v>1.9609256816311401E-3</v>
      </c>
    </row>
    <row r="27414" spans="1:6" x14ac:dyDescent="0.25">
      <c r="A27414" s="1" t="str">
        <f t="shared" si="991"/>
        <v>37980</v>
      </c>
      <c r="B27414" s="1" t="str">
        <f>"18964"</f>
        <v>18964</v>
      </c>
      <c r="C27414" s="2">
        <v>2.2793178447596302E-3</v>
      </c>
      <c r="D27414" s="2">
        <v>2.9736321497756402E-3</v>
      </c>
      <c r="E27414" s="2">
        <v>3.5693096782836598E-3</v>
      </c>
      <c r="F27414" s="2">
        <v>2.3779227957772802E-3</v>
      </c>
    </row>
    <row r="27415" spans="1:6" x14ac:dyDescent="0.25">
      <c r="A27415" s="1" t="str">
        <f t="shared" si="991"/>
        <v>37980</v>
      </c>
      <c r="B27415" s="1" t="str">
        <f>"18954"</f>
        <v>18954</v>
      </c>
      <c r="C27415" s="2">
        <v>1.39153342883575E-3</v>
      </c>
      <c r="D27415" s="2">
        <v>2.2620991457490999E-3</v>
      </c>
      <c r="E27415" s="2">
        <v>4.8802893724522002E-4</v>
      </c>
      <c r="F27415" s="2">
        <v>1.42961160161316E-3</v>
      </c>
    </row>
    <row r="27416" spans="1:6" x14ac:dyDescent="0.25">
      <c r="A27416" s="1" t="str">
        <f t="shared" si="991"/>
        <v>37980</v>
      </c>
      <c r="B27416" s="1" t="str">
        <f>"19134"</f>
        <v>19134</v>
      </c>
      <c r="C27416" s="2">
        <v>8.6977245993895697E-3</v>
      </c>
      <c r="D27416" s="2">
        <v>9.7434779568720507E-3</v>
      </c>
      <c r="E27416" s="2">
        <v>5.1290884384987802E-3</v>
      </c>
      <c r="F27416" s="2">
        <v>8.6591854006842096E-3</v>
      </c>
    </row>
    <row r="27417" spans="1:6" x14ac:dyDescent="0.25">
      <c r="A27417" s="1" t="str">
        <f t="shared" si="991"/>
        <v>37980</v>
      </c>
      <c r="B27417" s="1" t="str">
        <f>"19131"</f>
        <v>19131</v>
      </c>
      <c r="C27417" s="2">
        <v>8.2807404964051097E-3</v>
      </c>
      <c r="D27417" s="2">
        <v>4.3596819899891798E-3</v>
      </c>
      <c r="E27417" s="2">
        <v>5.3874566993933103E-3</v>
      </c>
      <c r="F27417" s="2">
        <v>7.8729314962077204E-3</v>
      </c>
    </row>
    <row r="27418" spans="1:6" x14ac:dyDescent="0.25">
      <c r="A27418" s="1" t="str">
        <f t="shared" si="991"/>
        <v>37980</v>
      </c>
      <c r="B27418" s="1" t="str">
        <f>"19114"</f>
        <v>19114</v>
      </c>
      <c r="C27418" s="2">
        <v>5.48193148208011E-3</v>
      </c>
      <c r="D27418" s="2">
        <v>3.9319396060657104E-3</v>
      </c>
      <c r="E27418" s="2">
        <v>6.8324051214330803E-3</v>
      </c>
      <c r="F27418" s="2">
        <v>5.4053738067354699E-3</v>
      </c>
    </row>
    <row r="27419" spans="1:6" x14ac:dyDescent="0.25">
      <c r="A27419" s="1" t="str">
        <f t="shared" si="991"/>
        <v>37980</v>
      </c>
      <c r="B27419" s="1" t="str">
        <f>"19103"</f>
        <v>19103</v>
      </c>
      <c r="C27419" s="2">
        <v>7.8919458367303994E-3</v>
      </c>
      <c r="D27419" s="2">
        <v>1.7496308665484801E-2</v>
      </c>
      <c r="E27419" s="2">
        <v>2.3425388987770499E-2</v>
      </c>
      <c r="F27419" s="2">
        <v>9.1775089163985708E-3</v>
      </c>
    </row>
    <row r="27420" spans="1:6" x14ac:dyDescent="0.25">
      <c r="A27420" s="1" t="str">
        <f t="shared" si="991"/>
        <v>37980</v>
      </c>
      <c r="B27420" s="1" t="str">
        <f>"19120"</f>
        <v>19120</v>
      </c>
      <c r="C27420" s="2">
        <v>8.7218869793693494E-3</v>
      </c>
      <c r="D27420" s="2">
        <v>5.9966191900039803E-3</v>
      </c>
      <c r="E27420" s="2">
        <v>5.21521119213029E-3</v>
      </c>
      <c r="F27420" s="2">
        <v>8.3876826067385904E-3</v>
      </c>
    </row>
    <row r="27421" spans="1:6" x14ac:dyDescent="0.25">
      <c r="A27421" s="1" t="str">
        <f t="shared" si="991"/>
        <v>37980</v>
      </c>
      <c r="B27421" s="1" t="str">
        <f>"19087"</f>
        <v>19087</v>
      </c>
      <c r="C27421" s="2">
        <v>5.1604986090157097E-3</v>
      </c>
      <c r="D27421" s="2">
        <v>9.0566223980718605E-3</v>
      </c>
      <c r="E27421" s="2">
        <v>7.0812041874796601E-3</v>
      </c>
      <c r="F27421" s="2">
        <v>5.53333086512611E-3</v>
      </c>
    </row>
    <row r="27422" spans="1:6" x14ac:dyDescent="0.25">
      <c r="A27422" s="1" t="str">
        <f t="shared" si="991"/>
        <v>37980</v>
      </c>
      <c r="B27422" s="1" t="str">
        <f>"19148"</f>
        <v>19148</v>
      </c>
      <c r="C27422" s="2">
        <v>8.3327262230282802E-3</v>
      </c>
      <c r="D27422" s="2">
        <v>7.27573343423666E-3</v>
      </c>
      <c r="E27422" s="2">
        <v>8.5261526095194301E-3</v>
      </c>
      <c r="F27422" s="2">
        <v>8.2558283790568707E-3</v>
      </c>
    </row>
    <row r="27423" spans="1:6" x14ac:dyDescent="0.25">
      <c r="A27423" s="1" t="str">
        <f t="shared" si="991"/>
        <v>37980</v>
      </c>
      <c r="B27423" s="1" t="str">
        <f>"19344"</f>
        <v>19344</v>
      </c>
      <c r="C27423" s="2">
        <v>1.7788637018450099E-3</v>
      </c>
      <c r="D27423" s="2">
        <v>6.9508137387563299E-4</v>
      </c>
      <c r="E27423" s="2">
        <v>7.2725880844385705E-4</v>
      </c>
      <c r="F27423" s="2">
        <v>1.65759600514166E-3</v>
      </c>
    </row>
    <row r="27424" spans="1:6" x14ac:dyDescent="0.25">
      <c r="A27424" s="1" t="str">
        <f t="shared" si="991"/>
        <v>37980</v>
      </c>
      <c r="B27424" s="1" t="str">
        <f>"19350"</f>
        <v>19350</v>
      </c>
      <c r="C27424" s="2">
        <v>1.4640205687751001E-3</v>
      </c>
      <c r="D27424" s="2">
        <v>1.4806467135812301E-4</v>
      </c>
      <c r="E27424" s="2">
        <v>5.5501330118083801E-4</v>
      </c>
      <c r="F27424" s="2">
        <v>1.3292594923677099E-3</v>
      </c>
    </row>
    <row r="27425" spans="1:6" x14ac:dyDescent="0.25">
      <c r="A27425" s="1" t="str">
        <f t="shared" si="991"/>
        <v>37980</v>
      </c>
      <c r="B27425" s="1" t="str">
        <f>"08043"</f>
        <v>08043</v>
      </c>
      <c r="C27425" s="2">
        <v>4.9056953292289001E-3</v>
      </c>
      <c r="D27425" s="2">
        <v>6.7492812694077801E-3</v>
      </c>
      <c r="E27425" s="2">
        <v>4.1530305640083403E-3</v>
      </c>
      <c r="F27425" s="2">
        <v>5.0257245649622303E-3</v>
      </c>
    </row>
    <row r="27426" spans="1:6" x14ac:dyDescent="0.25">
      <c r="A27426" s="1" t="str">
        <f t="shared" si="991"/>
        <v>37980</v>
      </c>
      <c r="B27426" s="1" t="str">
        <f>"08028"</f>
        <v>08028</v>
      </c>
      <c r="C27426" s="2">
        <v>3.3933500004942299E-3</v>
      </c>
      <c r="D27426" s="2">
        <v>2.8173416633420602E-3</v>
      </c>
      <c r="E27426" s="2">
        <v>1.4353792271918199E-3</v>
      </c>
      <c r="F27426" s="2">
        <v>3.2814165430939202E-3</v>
      </c>
    </row>
    <row r="27427" spans="1:6" x14ac:dyDescent="0.25">
      <c r="A27427" s="1" t="str">
        <f t="shared" si="991"/>
        <v>37980</v>
      </c>
      <c r="B27427" s="1" t="str">
        <f>"08031"</f>
        <v>08031</v>
      </c>
      <c r="C27427" s="2">
        <v>1.80961582181928E-3</v>
      </c>
      <c r="D27427" s="2">
        <v>1.4436305457417001E-3</v>
      </c>
      <c r="E27427" s="2">
        <v>8.1338156207536602E-4</v>
      </c>
      <c r="F27427" s="2">
        <v>1.7469061347290299E-3</v>
      </c>
    </row>
    <row r="27428" spans="1:6" x14ac:dyDescent="0.25">
      <c r="A27428" s="1" t="str">
        <f t="shared" si="991"/>
        <v>37980</v>
      </c>
      <c r="B27428" s="1" t="str">
        <f>"08020"</f>
        <v>08020</v>
      </c>
      <c r="C27428" s="2">
        <v>4.1625190965173498E-4</v>
      </c>
      <c r="D27428" s="2">
        <v>2.9201643517851999E-4</v>
      </c>
      <c r="E27428" s="2">
        <v>5.1673652178905603E-4</v>
      </c>
      <c r="F27428" s="2">
        <v>4.0985230377914999E-4</v>
      </c>
    </row>
    <row r="27429" spans="1:6" x14ac:dyDescent="0.25">
      <c r="A27429" s="1" t="str">
        <f t="shared" si="991"/>
        <v>37980</v>
      </c>
      <c r="B27429" s="1" t="str">
        <f>"08010"</f>
        <v>08010</v>
      </c>
      <c r="C27429" s="2">
        <v>1.82133091514281E-3</v>
      </c>
      <c r="D27429" s="2">
        <v>8.6782349046011001E-4</v>
      </c>
      <c r="E27429" s="2">
        <v>7.9424317237947498E-4</v>
      </c>
      <c r="F27429" s="2">
        <v>1.7111820828940799E-3</v>
      </c>
    </row>
    <row r="27430" spans="1:6" x14ac:dyDescent="0.25">
      <c r="A27430" s="1" t="str">
        <f t="shared" si="991"/>
        <v>37980</v>
      </c>
      <c r="B27430" s="1" t="str">
        <f>"08110"</f>
        <v>08110</v>
      </c>
      <c r="C27430" s="2">
        <v>2.4835997845887199E-3</v>
      </c>
      <c r="D27430" s="2">
        <v>3.9895203115938704E-3</v>
      </c>
      <c r="E27430" s="2">
        <v>1.4162408374959301E-3</v>
      </c>
      <c r="F27430" s="2">
        <v>2.5662859781797401E-3</v>
      </c>
    </row>
    <row r="27431" spans="1:6" x14ac:dyDescent="0.25">
      <c r="A27431" s="1" t="str">
        <f t="shared" si="991"/>
        <v>37980</v>
      </c>
      <c r="B27431" s="1" t="str">
        <f>"08106"</f>
        <v>08106</v>
      </c>
      <c r="C27431" s="2">
        <v>1.54932109203706E-3</v>
      </c>
      <c r="D27431" s="2">
        <v>1.11048503518592E-3</v>
      </c>
      <c r="E27431" s="2">
        <v>1.12916499205756E-3</v>
      </c>
      <c r="F27431" s="2">
        <v>1.5004101770678801E-3</v>
      </c>
    </row>
    <row r="27432" spans="1:6" x14ac:dyDescent="0.25">
      <c r="A27432" s="1" t="str">
        <f t="shared" si="991"/>
        <v>37980</v>
      </c>
      <c r="B27432" s="1" t="str">
        <f>"08052"</f>
        <v>08052</v>
      </c>
      <c r="C27432" s="2">
        <v>3.57456785034261E-3</v>
      </c>
      <c r="D27432" s="2">
        <v>2.4759703377108299E-3</v>
      </c>
      <c r="E27432" s="2">
        <v>9.5404872634016497E-3</v>
      </c>
      <c r="F27432" s="2">
        <v>3.6902945545503E-3</v>
      </c>
    </row>
    <row r="27433" spans="1:6" x14ac:dyDescent="0.25">
      <c r="A27433" s="1" t="str">
        <f t="shared" si="991"/>
        <v>37980</v>
      </c>
      <c r="B27433" s="1" t="str">
        <f>"08054"</f>
        <v>08054</v>
      </c>
      <c r="C27433" s="2">
        <v>7.6964502168939599E-3</v>
      </c>
      <c r="D27433" s="2">
        <v>9.17589671666591E-3</v>
      </c>
      <c r="E27433" s="2">
        <v>3.1769726895178999E-3</v>
      </c>
      <c r="F27433" s="2">
        <v>7.6598862416283903E-3</v>
      </c>
    </row>
    <row r="27434" spans="1:6" x14ac:dyDescent="0.25">
      <c r="A27434" s="1" t="str">
        <f t="shared" si="991"/>
        <v>37980</v>
      </c>
      <c r="B27434" s="1" t="str">
        <f>"08360"</f>
        <v>08360</v>
      </c>
      <c r="C27434" s="2">
        <v>1.6657398319396601E-4</v>
      </c>
      <c r="D27434" s="2">
        <v>1.15161411056318E-4</v>
      </c>
      <c r="E27434" s="2">
        <v>0</v>
      </c>
      <c r="F27434" s="2">
        <v>1.5686106396618801E-4</v>
      </c>
    </row>
    <row r="27435" spans="1:6" x14ac:dyDescent="0.25">
      <c r="A27435" s="1" t="str">
        <f t="shared" si="991"/>
        <v>37980</v>
      </c>
      <c r="B27435" s="1" t="str">
        <f>"08511"</f>
        <v>08511</v>
      </c>
      <c r="C27435" s="2">
        <v>1.3765234655149699E-4</v>
      </c>
      <c r="D27435" s="2">
        <v>1.15161411056318E-4</v>
      </c>
      <c r="E27435" s="2">
        <v>6.6984363935618398E-5</v>
      </c>
      <c r="F27435" s="2">
        <v>1.33478048219675E-4</v>
      </c>
    </row>
    <row r="27436" spans="1:6" x14ac:dyDescent="0.25">
      <c r="A27436" s="1" t="str">
        <f t="shared" ref="A27436:A27499" si="992">"37980"</f>
        <v>37980</v>
      </c>
      <c r="B27436" s="1" t="str">
        <f>"08322"</f>
        <v>08322</v>
      </c>
      <c r="C27436" s="2">
        <v>1.6049677853238399E-3</v>
      </c>
      <c r="D27436" s="2">
        <v>9.9532362412960498E-4</v>
      </c>
      <c r="E27436" s="2">
        <v>2.39229871198637E-4</v>
      </c>
      <c r="F27436" s="2">
        <v>1.51047786440319E-3</v>
      </c>
    </row>
    <row r="27437" spans="1:6" x14ac:dyDescent="0.25">
      <c r="A27437" s="1" t="str">
        <f t="shared" si="992"/>
        <v>37980</v>
      </c>
      <c r="B27437" s="1" t="str">
        <f>"19803"</f>
        <v>19803</v>
      </c>
      <c r="C27437" s="2">
        <v>3.5412530537038099E-3</v>
      </c>
      <c r="D27437" s="2">
        <v>5.7210543849763699E-3</v>
      </c>
      <c r="E27437" s="2">
        <v>1.85642380050142E-3</v>
      </c>
      <c r="F27437" s="2">
        <v>3.6561943232533002E-3</v>
      </c>
    </row>
    <row r="27438" spans="1:6" x14ac:dyDescent="0.25">
      <c r="A27438" s="1" t="str">
        <f t="shared" si="992"/>
        <v>37980</v>
      </c>
      <c r="B27438" s="1" t="str">
        <f>"19808"</f>
        <v>19808</v>
      </c>
      <c r="C27438" s="2">
        <v>6.4345150079497797E-3</v>
      </c>
      <c r="D27438" s="2">
        <v>5.7621834603536204E-3</v>
      </c>
      <c r="E27438" s="2">
        <v>5.2726263612179599E-3</v>
      </c>
      <c r="F27438" s="2">
        <v>6.34199349302634E-3</v>
      </c>
    </row>
    <row r="27439" spans="1:6" x14ac:dyDescent="0.25">
      <c r="A27439" s="1" t="str">
        <f t="shared" si="992"/>
        <v>37980</v>
      </c>
      <c r="B27439" s="1" t="str">
        <f>"19711"</f>
        <v>19711</v>
      </c>
      <c r="C27439" s="2">
        <v>8.0006765466394299E-3</v>
      </c>
      <c r="D27439" s="2">
        <v>6.0254095427680603E-3</v>
      </c>
      <c r="E27439" s="2">
        <v>8.8419360395016293E-3</v>
      </c>
      <c r="F27439" s="2">
        <v>7.8732562603153096E-3</v>
      </c>
    </row>
    <row r="27440" spans="1:6" x14ac:dyDescent="0.25">
      <c r="A27440" s="1" t="str">
        <f t="shared" si="992"/>
        <v>37980</v>
      </c>
      <c r="B27440" s="1" t="str">
        <f>"19709"</f>
        <v>19709</v>
      </c>
      <c r="C27440" s="2">
        <v>7.3860002438203703E-3</v>
      </c>
      <c r="D27440" s="2">
        <v>5.4989573779391796E-3</v>
      </c>
      <c r="E27440" s="2">
        <v>1.6267631241507301E-3</v>
      </c>
      <c r="F27440" s="2">
        <v>7.04153538077617E-3</v>
      </c>
    </row>
    <row r="27441" spans="1:6" x14ac:dyDescent="0.25">
      <c r="A27441" s="1" t="str">
        <f t="shared" si="992"/>
        <v>37980</v>
      </c>
      <c r="B27441" s="1" t="str">
        <f>"19346"</f>
        <v>19346</v>
      </c>
      <c r="C27441" s="2">
        <v>0</v>
      </c>
      <c r="D27441" s="2">
        <v>0</v>
      </c>
      <c r="E27441" s="2">
        <v>9.5691948479454898E-6</v>
      </c>
      <c r="F27441" s="2">
        <v>3.2476410759045102E-7</v>
      </c>
    </row>
    <row r="27442" spans="1:6" x14ac:dyDescent="0.25">
      <c r="A27442" s="1" t="str">
        <f t="shared" si="992"/>
        <v>37980</v>
      </c>
      <c r="B27442" s="1" t="str">
        <f>"18921"</f>
        <v>18921</v>
      </c>
      <c r="C27442" s="2">
        <v>0</v>
      </c>
      <c r="D27442" s="2">
        <v>0</v>
      </c>
      <c r="E27442" s="2">
        <v>9.5691948479454898E-6</v>
      </c>
      <c r="F27442" s="2">
        <v>3.2476410759045102E-7</v>
      </c>
    </row>
    <row r="27443" spans="1:6" x14ac:dyDescent="0.25">
      <c r="A27443" s="1" t="str">
        <f t="shared" si="992"/>
        <v>37980</v>
      </c>
      <c r="B27443" s="1" t="str">
        <f>"18956"</f>
        <v>18956</v>
      </c>
      <c r="C27443" s="2">
        <v>0</v>
      </c>
      <c r="D27443" s="2">
        <v>0</v>
      </c>
      <c r="E27443" s="2">
        <v>9.5691948479454898E-6</v>
      </c>
      <c r="F27443" s="2">
        <v>3.2476410759045102E-7</v>
      </c>
    </row>
    <row r="27444" spans="1:6" x14ac:dyDescent="0.25">
      <c r="A27444" s="1" t="str">
        <f t="shared" si="992"/>
        <v>37980</v>
      </c>
      <c r="B27444" s="1" t="str">
        <f>"19375"</f>
        <v>19375</v>
      </c>
      <c r="C27444" s="2">
        <v>0</v>
      </c>
      <c r="D27444" s="2">
        <v>0</v>
      </c>
      <c r="E27444" s="2">
        <v>9.5691948479454898E-6</v>
      </c>
      <c r="F27444" s="2">
        <v>3.2476410759045102E-7</v>
      </c>
    </row>
    <row r="27445" spans="1:6" x14ac:dyDescent="0.25">
      <c r="A27445" s="1" t="str">
        <f t="shared" si="992"/>
        <v>37980</v>
      </c>
      <c r="B27445" s="1" t="str">
        <f>"08038"</f>
        <v>08038</v>
      </c>
      <c r="C27445" s="2">
        <v>7.3219333272073103E-7</v>
      </c>
      <c r="D27445" s="2">
        <v>0</v>
      </c>
      <c r="E27445" s="2">
        <v>9.5691948479454898E-6</v>
      </c>
      <c r="F27445" s="2">
        <v>9.7429232277135503E-7</v>
      </c>
    </row>
    <row r="27446" spans="1:6" x14ac:dyDescent="0.25">
      <c r="A27446" s="1" t="str">
        <f t="shared" si="992"/>
        <v>37980</v>
      </c>
      <c r="B27446" s="1" t="str">
        <f>"19339"</f>
        <v>19339</v>
      </c>
      <c r="C27446" s="2">
        <v>0</v>
      </c>
      <c r="D27446" s="2">
        <v>4.1129075377256402E-6</v>
      </c>
      <c r="E27446" s="2">
        <v>0</v>
      </c>
      <c r="F27446" s="2">
        <v>3.2476410759045102E-7</v>
      </c>
    </row>
    <row r="27447" spans="1:6" x14ac:dyDescent="0.25">
      <c r="A27447" s="1" t="str">
        <f t="shared" si="992"/>
        <v>37980</v>
      </c>
      <c r="B27447" s="1" t="str">
        <f>"08025"</f>
        <v>08025</v>
      </c>
      <c r="C27447" s="2">
        <v>0</v>
      </c>
      <c r="D27447" s="2">
        <v>0</v>
      </c>
      <c r="E27447" s="2">
        <v>9.5691948479454898E-6</v>
      </c>
      <c r="F27447" s="2">
        <v>3.2476410759045102E-7</v>
      </c>
    </row>
    <row r="27448" spans="1:6" x14ac:dyDescent="0.25">
      <c r="A27448" s="1" t="str">
        <f t="shared" si="992"/>
        <v>37980</v>
      </c>
      <c r="B27448" s="1" t="str">
        <f>"18913"</f>
        <v>18913</v>
      </c>
      <c r="C27448" s="2">
        <v>1.72065433189371E-5</v>
      </c>
      <c r="D27448" s="2">
        <v>0</v>
      </c>
      <c r="E27448" s="2">
        <v>9.5691948479454898E-6</v>
      </c>
      <c r="F27448" s="2">
        <v>1.5588677164341599E-5</v>
      </c>
    </row>
    <row r="27449" spans="1:6" x14ac:dyDescent="0.25">
      <c r="A27449" s="1" t="str">
        <f t="shared" si="992"/>
        <v>37980</v>
      </c>
      <c r="B27449" s="1" t="str">
        <f>"19052"</f>
        <v>19052</v>
      </c>
      <c r="C27449" s="2">
        <v>2.05014133161804E-5</v>
      </c>
      <c r="D27449" s="2">
        <v>2.0564537688628202E-5</v>
      </c>
      <c r="E27449" s="2">
        <v>4.7845974239727398E-5</v>
      </c>
      <c r="F27449" s="2">
        <v>2.1434431100969801E-5</v>
      </c>
    </row>
    <row r="27450" spans="1:6" x14ac:dyDescent="0.25">
      <c r="A27450" s="1" t="str">
        <f t="shared" si="992"/>
        <v>37980</v>
      </c>
      <c r="B27450" s="1" t="str">
        <f>"18949"</f>
        <v>18949</v>
      </c>
      <c r="C27450" s="2">
        <v>2.1892580648349801E-4</v>
      </c>
      <c r="D27450" s="2">
        <v>6.4572648342292604E-4</v>
      </c>
      <c r="E27450" s="2">
        <v>1.9138389695890902E-5</v>
      </c>
      <c r="F27450" s="2">
        <v>2.45846429445971E-4</v>
      </c>
    </row>
    <row r="27451" spans="1:6" x14ac:dyDescent="0.25">
      <c r="A27451" s="1" t="str">
        <f t="shared" si="992"/>
        <v>37980</v>
      </c>
      <c r="B27451" s="1" t="str">
        <f>"21920"</f>
        <v>21920</v>
      </c>
      <c r="C27451" s="2">
        <v>5.1253533290451199E-5</v>
      </c>
      <c r="D27451" s="2">
        <v>4.1129075377256402E-6</v>
      </c>
      <c r="E27451" s="2">
        <v>0</v>
      </c>
      <c r="F27451" s="2">
        <v>4.5791739170253599E-5</v>
      </c>
    </row>
    <row r="27452" spans="1:6" x14ac:dyDescent="0.25">
      <c r="A27452" s="1" t="str">
        <f t="shared" si="992"/>
        <v>37980</v>
      </c>
      <c r="B27452" s="1" t="str">
        <f>"18055"</f>
        <v>18055</v>
      </c>
      <c r="C27452" s="2">
        <v>7.6880299935676796E-5</v>
      </c>
      <c r="D27452" s="2">
        <v>4.1129075377256402E-6</v>
      </c>
      <c r="E27452" s="2">
        <v>9.5691948479454905E-5</v>
      </c>
      <c r="F27452" s="2">
        <v>7.1772867777489802E-5</v>
      </c>
    </row>
    <row r="27453" spans="1:6" x14ac:dyDescent="0.25">
      <c r="A27453" s="1" t="str">
        <f t="shared" si="992"/>
        <v>37980</v>
      </c>
      <c r="B27453" s="1" t="str">
        <f>"19492"</f>
        <v>19492</v>
      </c>
      <c r="C27453" s="2">
        <v>5.7111079952217003E-5</v>
      </c>
      <c r="D27453" s="2">
        <v>6.5806520603610297E-5</v>
      </c>
      <c r="E27453" s="2">
        <v>9.5691948479454898E-6</v>
      </c>
      <c r="F27453" s="2">
        <v>5.6184190613148098E-5</v>
      </c>
    </row>
    <row r="27454" spans="1:6" x14ac:dyDescent="0.25">
      <c r="A27454" s="1" t="str">
        <f t="shared" si="992"/>
        <v>37980</v>
      </c>
      <c r="B27454" s="1" t="str">
        <f>"08302"</f>
        <v>08302</v>
      </c>
      <c r="C27454" s="2">
        <v>2.3064089980702999E-4</v>
      </c>
      <c r="D27454" s="2">
        <v>6.5806520603610297E-5</v>
      </c>
      <c r="E27454" s="2">
        <v>0</v>
      </c>
      <c r="F27454" s="2">
        <v>2.0979761350343101E-4</v>
      </c>
    </row>
    <row r="27455" spans="1:6" x14ac:dyDescent="0.25">
      <c r="A27455" s="1" t="str">
        <f t="shared" si="992"/>
        <v>37980</v>
      </c>
      <c r="B27455" s="1" t="str">
        <f>"18950"</f>
        <v>18950</v>
      </c>
      <c r="C27455" s="2">
        <v>1.8341442984654301E-4</v>
      </c>
      <c r="D27455" s="2">
        <v>1.5217757889584801E-4</v>
      </c>
      <c r="E27455" s="2">
        <v>1.9138389695890902E-5</v>
      </c>
      <c r="F27455" s="2">
        <v>1.75372618098843E-4</v>
      </c>
    </row>
    <row r="27456" spans="1:6" x14ac:dyDescent="0.25">
      <c r="A27456" s="1" t="str">
        <f t="shared" si="992"/>
        <v>37980</v>
      </c>
      <c r="B27456" s="1" t="str">
        <f>"19404"</f>
        <v>19404</v>
      </c>
      <c r="C27456" s="2">
        <v>3.29120903057968E-4</v>
      </c>
      <c r="D27456" s="2">
        <v>6.4572648342292604E-4</v>
      </c>
      <c r="E27456" s="2">
        <v>9.5691948479454898E-6</v>
      </c>
      <c r="F27456" s="2">
        <v>3.4327566172310701E-4</v>
      </c>
    </row>
    <row r="27457" spans="1:6" x14ac:dyDescent="0.25">
      <c r="A27457" s="1" t="str">
        <f t="shared" si="992"/>
        <v>37980</v>
      </c>
      <c r="B27457" s="1" t="str">
        <f>"19311"</f>
        <v>19311</v>
      </c>
      <c r="C27457" s="2">
        <v>1.0960934190829301E-3</v>
      </c>
      <c r="D27457" s="2">
        <v>7.15645911564262E-4</v>
      </c>
      <c r="E27457" s="2">
        <v>8.9950431570687598E-4</v>
      </c>
      <c r="F27457" s="2">
        <v>1.05938051896005E-3</v>
      </c>
    </row>
    <row r="27458" spans="1:6" x14ac:dyDescent="0.25">
      <c r="A27458" s="1" t="str">
        <f t="shared" si="992"/>
        <v>37980</v>
      </c>
      <c r="B27458" s="1" t="str">
        <f>"19373"</f>
        <v>19373</v>
      </c>
      <c r="C27458" s="2">
        <v>3.1044997307358999E-4</v>
      </c>
      <c r="D27458" s="2">
        <v>2.8790352764079501E-5</v>
      </c>
      <c r="E27458" s="2">
        <v>1.052611433274E-4</v>
      </c>
      <c r="F27458" s="2">
        <v>2.8124571717333098E-4</v>
      </c>
    </row>
    <row r="27459" spans="1:6" x14ac:dyDescent="0.25">
      <c r="A27459" s="1" t="str">
        <f t="shared" si="992"/>
        <v>37980</v>
      </c>
      <c r="B27459" s="1" t="str">
        <f>"19141"</f>
        <v>19141</v>
      </c>
      <c r="C27459" s="2">
        <v>5.3768617388346897E-3</v>
      </c>
      <c r="D27459" s="2">
        <v>4.0224235718956799E-3</v>
      </c>
      <c r="E27459" s="2">
        <v>9.6935943809687806E-3</v>
      </c>
      <c r="F27459" s="2">
        <v>5.41641578639355E-3</v>
      </c>
    </row>
    <row r="27460" spans="1:6" x14ac:dyDescent="0.25">
      <c r="A27460" s="1" t="str">
        <f t="shared" si="992"/>
        <v>37980</v>
      </c>
      <c r="B27460" s="1" t="str">
        <f>"19440"</f>
        <v>19440</v>
      </c>
      <c r="C27460" s="2">
        <v>3.2670466505998999E-3</v>
      </c>
      <c r="D27460" s="2">
        <v>2.4677445226353799E-3</v>
      </c>
      <c r="E27460" s="2">
        <v>2.1913456201795101E-3</v>
      </c>
      <c r="F27460" s="2">
        <v>3.1674243413296701E-3</v>
      </c>
    </row>
    <row r="27461" spans="1:6" x14ac:dyDescent="0.25">
      <c r="A27461" s="1" t="str">
        <f t="shared" si="992"/>
        <v>37980</v>
      </c>
      <c r="B27461" s="1" t="str">
        <f>"18940"</f>
        <v>18940</v>
      </c>
      <c r="C27461" s="2">
        <v>4.7790258826682103E-3</v>
      </c>
      <c r="D27461" s="2">
        <v>6.0295224503057899E-3</v>
      </c>
      <c r="E27461" s="2">
        <v>2.8037740904480199E-3</v>
      </c>
      <c r="F27461" s="2">
        <v>4.81073072573736E-3</v>
      </c>
    </row>
    <row r="27462" spans="1:6" x14ac:dyDescent="0.25">
      <c r="A27462" s="1" t="str">
        <f t="shared" si="992"/>
        <v>37980</v>
      </c>
      <c r="B27462" s="1" t="str">
        <f>"18923"</f>
        <v>18923</v>
      </c>
      <c r="C27462" s="2">
        <v>1.4314379654690299E-4</v>
      </c>
      <c r="D27462" s="2">
        <v>1.39838856282671E-4</v>
      </c>
      <c r="E27462" s="2">
        <v>1.91383896958909E-4</v>
      </c>
      <c r="F27462" s="2">
        <v>1.4452002787775E-4</v>
      </c>
    </row>
    <row r="27463" spans="1:6" x14ac:dyDescent="0.25">
      <c r="A27463" s="1" t="str">
        <f t="shared" si="992"/>
        <v>37980</v>
      </c>
      <c r="B27463" s="1" t="str">
        <f>"18930"</f>
        <v>18930</v>
      </c>
      <c r="C27463" s="2">
        <v>3.8366930634566298E-4</v>
      </c>
      <c r="D27463" s="2">
        <v>1.0282268844314099E-4</v>
      </c>
      <c r="E27463" s="2">
        <v>6.6984363935618398E-5</v>
      </c>
      <c r="F27463" s="2">
        <v>3.5074523619768702E-4</v>
      </c>
    </row>
    <row r="27464" spans="1:6" x14ac:dyDescent="0.25">
      <c r="A27464" s="1" t="str">
        <f t="shared" si="992"/>
        <v>37980</v>
      </c>
      <c r="B27464" s="1" t="str">
        <f>"18942"</f>
        <v>18942</v>
      </c>
      <c r="C27464" s="2">
        <v>4.6860373294126801E-4</v>
      </c>
      <c r="D27464" s="2">
        <v>3.9895203115938703E-4</v>
      </c>
      <c r="E27464" s="2">
        <v>4.30613768157547E-4</v>
      </c>
      <c r="F27464" s="2">
        <v>4.6181456099362201E-4</v>
      </c>
    </row>
    <row r="27465" spans="1:6" x14ac:dyDescent="0.25">
      <c r="A27465" s="1" t="str">
        <f t="shared" si="992"/>
        <v>37980</v>
      </c>
      <c r="B27465" s="1" t="str">
        <f>"19462"</f>
        <v>19462</v>
      </c>
      <c r="C27465" s="2">
        <v>2.4539459546135301E-3</v>
      </c>
      <c r="D27465" s="2">
        <v>4.1129075377256399E-3</v>
      </c>
      <c r="E27465" s="2">
        <v>2.5358366347055499E-3</v>
      </c>
      <c r="F27465" s="2">
        <v>2.58772040928071E-3</v>
      </c>
    </row>
    <row r="27466" spans="1:6" x14ac:dyDescent="0.25">
      <c r="A27466" s="1" t="str">
        <f t="shared" si="992"/>
        <v>37980</v>
      </c>
      <c r="B27466" s="1" t="str">
        <f>"21918"</f>
        <v>21918</v>
      </c>
      <c r="C27466" s="2">
        <v>6.8277028276208195E-4</v>
      </c>
      <c r="D27466" s="2">
        <v>1.9741956181083001E-4</v>
      </c>
      <c r="E27466" s="2">
        <v>1.14830338175345E-4</v>
      </c>
      <c r="F27466" s="2">
        <v>6.2517090711161898E-4</v>
      </c>
    </row>
    <row r="27467" spans="1:6" x14ac:dyDescent="0.25">
      <c r="A27467" s="1" t="str">
        <f t="shared" si="992"/>
        <v>37980</v>
      </c>
      <c r="B27467" s="1" t="str">
        <f>"21901"</f>
        <v>21901</v>
      </c>
      <c r="C27467" s="2">
        <v>3.1711293240134801E-3</v>
      </c>
      <c r="D27467" s="2">
        <v>1.69451790554296E-3</v>
      </c>
      <c r="E27467" s="2">
        <v>2.6506669728808998E-3</v>
      </c>
      <c r="F27467" s="2">
        <v>3.0368691700783101E-3</v>
      </c>
    </row>
    <row r="27468" spans="1:6" x14ac:dyDescent="0.25">
      <c r="A27468" s="1" t="str">
        <f t="shared" si="992"/>
        <v>37980</v>
      </c>
      <c r="B27468" s="1" t="str">
        <f>"18070"</f>
        <v>18070</v>
      </c>
      <c r="C27468" s="2">
        <v>8.8595393259208497E-5</v>
      </c>
      <c r="D27468" s="2">
        <v>3.2903260301805101E-5</v>
      </c>
      <c r="E27468" s="2">
        <v>5.7415169087672898E-5</v>
      </c>
      <c r="F27468" s="2">
        <v>8.3139611543155598E-5</v>
      </c>
    </row>
    <row r="27469" spans="1:6" x14ac:dyDescent="0.25">
      <c r="A27469" s="1" t="str">
        <f t="shared" si="992"/>
        <v>37980</v>
      </c>
      <c r="B27469" s="1" t="str">
        <f>"18077"</f>
        <v>18077</v>
      </c>
      <c r="C27469" s="2">
        <v>3.2692432305980599E-4</v>
      </c>
      <c r="D27469" s="2">
        <v>1.11048503518592E-4</v>
      </c>
      <c r="E27469" s="2">
        <v>3.8276779391781898E-5</v>
      </c>
      <c r="F27469" s="2">
        <v>3.0008203541357698E-4</v>
      </c>
    </row>
    <row r="27470" spans="1:6" x14ac:dyDescent="0.25">
      <c r="A27470" s="1" t="str">
        <f t="shared" si="992"/>
        <v>37980</v>
      </c>
      <c r="B27470" s="1" t="str">
        <f>"18912"</f>
        <v>18912</v>
      </c>
      <c r="C27470" s="2">
        <v>2.3100699647339001E-4</v>
      </c>
      <c r="D27470" s="2">
        <v>6.1693613065884605E-4</v>
      </c>
      <c r="E27470" s="2">
        <v>1.9138389695890902E-5</v>
      </c>
      <c r="F27470" s="2">
        <v>2.5429029624332301E-4</v>
      </c>
    </row>
    <row r="27471" spans="1:6" x14ac:dyDescent="0.25">
      <c r="A27471" s="1" t="str">
        <f t="shared" si="992"/>
        <v>37980</v>
      </c>
      <c r="B27471" s="1" t="str">
        <f>"19525"</f>
        <v>19525</v>
      </c>
      <c r="C27471" s="2">
        <v>2.0743037115978301E-3</v>
      </c>
      <c r="D27471" s="2">
        <v>8.8427512061101305E-4</v>
      </c>
      <c r="E27471" s="2">
        <v>5.6458249602878402E-4</v>
      </c>
      <c r="F27471" s="2">
        <v>1.92909879908728E-3</v>
      </c>
    </row>
    <row r="27472" spans="1:6" x14ac:dyDescent="0.25">
      <c r="A27472" s="1" t="str">
        <f t="shared" si="992"/>
        <v>37980</v>
      </c>
      <c r="B27472" s="1" t="str">
        <f>"19063"</f>
        <v>19063</v>
      </c>
      <c r="C27472" s="2">
        <v>6.2844153747420297E-3</v>
      </c>
      <c r="D27472" s="2">
        <v>8.1929118151494798E-3</v>
      </c>
      <c r="E27472" s="2">
        <v>8.2295075692331195E-3</v>
      </c>
      <c r="F27472" s="2">
        <v>6.5011279057456597E-3</v>
      </c>
    </row>
    <row r="27473" spans="1:6" x14ac:dyDescent="0.25">
      <c r="A27473" s="1" t="str">
        <f t="shared" si="992"/>
        <v>37980</v>
      </c>
      <c r="B27473" s="1" t="str">
        <f>"19064"</f>
        <v>19064</v>
      </c>
      <c r="C27473" s="2">
        <v>3.3018258339041302E-3</v>
      </c>
      <c r="D27473" s="2">
        <v>3.4178261638500101E-3</v>
      </c>
      <c r="E27473" s="2">
        <v>2.4497138810740402E-3</v>
      </c>
      <c r="F27473" s="2">
        <v>3.2820660713090998E-3</v>
      </c>
    </row>
    <row r="27474" spans="1:6" x14ac:dyDescent="0.25">
      <c r="A27474" s="1" t="str">
        <f t="shared" si="992"/>
        <v>37980</v>
      </c>
      <c r="B27474" s="1" t="str">
        <f>"19056"</f>
        <v>19056</v>
      </c>
      <c r="C27474" s="2">
        <v>2.1127438615656702E-3</v>
      </c>
      <c r="D27474" s="2">
        <v>1.11871085026137E-3</v>
      </c>
      <c r="E27474" s="2">
        <v>5.5501330118083801E-4</v>
      </c>
      <c r="F27474" s="2">
        <v>1.9813858204093399E-3</v>
      </c>
    </row>
    <row r="27475" spans="1:6" x14ac:dyDescent="0.25">
      <c r="A27475" s="1" t="str">
        <f t="shared" si="992"/>
        <v>37980</v>
      </c>
      <c r="B27475" s="1" t="str">
        <f>"19055"</f>
        <v>19055</v>
      </c>
      <c r="C27475" s="2">
        <v>1.82206310847554E-3</v>
      </c>
      <c r="D27475" s="2">
        <v>7.0742009648881005E-4</v>
      </c>
      <c r="E27475" s="2">
        <v>3.6362940422192798E-4</v>
      </c>
      <c r="F27475" s="2">
        <v>1.68455142607167E-3</v>
      </c>
    </row>
    <row r="27476" spans="1:6" x14ac:dyDescent="0.25">
      <c r="A27476" s="1" t="str">
        <f t="shared" si="992"/>
        <v>37980</v>
      </c>
      <c r="B27476" s="1" t="str">
        <f>"19014"</f>
        <v>19014</v>
      </c>
      <c r="C27476" s="2">
        <v>3.1930951239951101E-3</v>
      </c>
      <c r="D27476" s="2">
        <v>3.61524572566084E-3</v>
      </c>
      <c r="E27476" s="2">
        <v>1.69374748808635E-3</v>
      </c>
      <c r="F27476" s="2">
        <v>3.17554344401943E-3</v>
      </c>
    </row>
    <row r="27477" spans="1:6" x14ac:dyDescent="0.25">
      <c r="A27477" s="1" t="str">
        <f t="shared" si="992"/>
        <v>37980</v>
      </c>
      <c r="B27477" s="1" t="str">
        <f>"19020"</f>
        <v>19020</v>
      </c>
      <c r="C27477" s="2">
        <v>9.1787756189870891E-3</v>
      </c>
      <c r="D27477" s="2">
        <v>1.01917848784841E-2</v>
      </c>
      <c r="E27477" s="2">
        <v>7.5596639298769397E-3</v>
      </c>
      <c r="F27477" s="2">
        <v>9.2038148091134007E-3</v>
      </c>
    </row>
    <row r="27478" spans="1:6" x14ac:dyDescent="0.25">
      <c r="A27478" s="1" t="str">
        <f t="shared" si="992"/>
        <v>37980</v>
      </c>
      <c r="B27478" s="1" t="str">
        <f>"08016"</f>
        <v>08016</v>
      </c>
      <c r="C27478" s="2">
        <v>5.2022336289807899E-3</v>
      </c>
      <c r="D27478" s="2">
        <v>5.7046027548254604E-3</v>
      </c>
      <c r="E27478" s="2">
        <v>2.4879906604658199E-3</v>
      </c>
      <c r="F27478" s="2">
        <v>5.14978445406179E-3</v>
      </c>
    </row>
    <row r="27479" spans="1:6" x14ac:dyDescent="0.25">
      <c r="A27479" s="1" t="str">
        <f t="shared" si="992"/>
        <v>37980</v>
      </c>
      <c r="B27479" s="1" t="str">
        <f>"08021"</f>
        <v>08021</v>
      </c>
      <c r="C27479" s="2">
        <v>8.0962277765594792E-3</v>
      </c>
      <c r="D27479" s="2">
        <v>3.882584715613E-3</v>
      </c>
      <c r="E27479" s="2">
        <v>2.1339304510918401E-3</v>
      </c>
      <c r="F27479" s="2">
        <v>7.5611579529208904E-3</v>
      </c>
    </row>
    <row r="27480" spans="1:6" x14ac:dyDescent="0.25">
      <c r="A27480" s="1" t="str">
        <f t="shared" si="992"/>
        <v>37980</v>
      </c>
      <c r="B27480" s="1" t="str">
        <f>"08045"</f>
        <v>08045</v>
      </c>
      <c r="C27480" s="2">
        <v>4.4993280295688902E-4</v>
      </c>
      <c r="D27480" s="2">
        <v>3.2491969548032498E-4</v>
      </c>
      <c r="E27480" s="2">
        <v>4.5932135270138302E-4</v>
      </c>
      <c r="F27480" s="2">
        <v>4.4038012989265201E-4</v>
      </c>
    </row>
    <row r="27481" spans="1:6" x14ac:dyDescent="0.25">
      <c r="A27481" s="1" t="str">
        <f t="shared" si="992"/>
        <v>37980</v>
      </c>
      <c r="B27481" s="1" t="str">
        <f>"08026"</f>
        <v>08026</v>
      </c>
      <c r="C27481" s="2">
        <v>3.1008387640722902E-4</v>
      </c>
      <c r="D27481" s="2">
        <v>6.0871031558339497E-4</v>
      </c>
      <c r="E27481" s="2">
        <v>3.8276779391781902E-4</v>
      </c>
      <c r="F27481" s="2">
        <v>3.3613085135611697E-4</v>
      </c>
    </row>
    <row r="27482" spans="1:6" x14ac:dyDescent="0.25">
      <c r="A27482" s="1" t="str">
        <f t="shared" si="992"/>
        <v>37980</v>
      </c>
      <c r="B27482" s="1" t="str">
        <f>"08065"</f>
        <v>08065</v>
      </c>
      <c r="C27482" s="2">
        <v>1.23887111896347E-3</v>
      </c>
      <c r="D27482" s="2">
        <v>8.2669441508285404E-4</v>
      </c>
      <c r="E27482" s="2">
        <v>7.8467397753152995E-4</v>
      </c>
      <c r="F27482" s="2">
        <v>1.1909099825341801E-3</v>
      </c>
    </row>
    <row r="27483" spans="1:6" x14ac:dyDescent="0.25">
      <c r="A27483" s="1" t="str">
        <f t="shared" si="992"/>
        <v>37980</v>
      </c>
      <c r="B27483" s="1" t="str">
        <f>"08093"</f>
        <v>08093</v>
      </c>
      <c r="C27483" s="2">
        <v>1.5738495686832099E-3</v>
      </c>
      <c r="D27483" s="2">
        <v>1.5217757889584801E-3</v>
      </c>
      <c r="E27483" s="2">
        <v>9.5691948479454899E-4</v>
      </c>
      <c r="F27483" s="2">
        <v>1.54880002909886E-3</v>
      </c>
    </row>
    <row r="27484" spans="1:6" x14ac:dyDescent="0.25">
      <c r="A27484" s="1" t="str">
        <f t="shared" si="992"/>
        <v>37980</v>
      </c>
      <c r="B27484" s="1" t="str">
        <f>"08101"</f>
        <v>08101</v>
      </c>
      <c r="C27484" s="2">
        <v>5.0082023958097997E-4</v>
      </c>
      <c r="D27484" s="2">
        <v>1.08580758995957E-3</v>
      </c>
      <c r="E27484" s="2">
        <v>1.9138389695890902E-5</v>
      </c>
      <c r="F27484" s="2">
        <v>5.3066455180279803E-4</v>
      </c>
    </row>
    <row r="27485" spans="1:6" x14ac:dyDescent="0.25">
      <c r="A27485" s="1" t="str">
        <f t="shared" si="992"/>
        <v>37980</v>
      </c>
      <c r="B27485" s="1" t="str">
        <f>"08056"</f>
        <v>08056</v>
      </c>
      <c r="C27485" s="2">
        <v>6.1906946281537801E-4</v>
      </c>
      <c r="D27485" s="2">
        <v>2.0975828442400699E-4</v>
      </c>
      <c r="E27485" s="2">
        <v>2.00953091806855E-4</v>
      </c>
      <c r="F27485" s="2">
        <v>5.7255912168196598E-4</v>
      </c>
    </row>
    <row r="27486" spans="1:6" x14ac:dyDescent="0.25">
      <c r="A27486" s="1" t="str">
        <f t="shared" si="992"/>
        <v>37980</v>
      </c>
      <c r="B27486" s="1" t="str">
        <f>"19899"</f>
        <v>19899</v>
      </c>
      <c r="C27486" s="2">
        <v>6.7947541276483796E-4</v>
      </c>
      <c r="D27486" s="2">
        <v>2.1140344743909799E-3</v>
      </c>
      <c r="E27486" s="2">
        <v>1.9138389695890902E-5</v>
      </c>
      <c r="F27486" s="2">
        <v>7.70340463204551E-4</v>
      </c>
    </row>
    <row r="27487" spans="1:6" x14ac:dyDescent="0.25">
      <c r="A27487" s="1" t="str">
        <f t="shared" si="992"/>
        <v>37980</v>
      </c>
      <c r="B27487" s="1" t="str">
        <f>"18943"</f>
        <v>18943</v>
      </c>
      <c r="C27487" s="2">
        <v>0</v>
      </c>
      <c r="D27487" s="2">
        <v>0</v>
      </c>
      <c r="E27487" s="2">
        <v>9.5691948479454898E-6</v>
      </c>
      <c r="F27487" s="2">
        <v>3.2476410759045102E-7</v>
      </c>
    </row>
    <row r="27488" spans="1:6" x14ac:dyDescent="0.25">
      <c r="A27488" s="1" t="str">
        <f t="shared" si="992"/>
        <v>37980</v>
      </c>
      <c r="B27488" s="1" t="str">
        <f>"19482"</f>
        <v>19482</v>
      </c>
      <c r="C27488" s="2">
        <v>5.4914499954054796E-6</v>
      </c>
      <c r="D27488" s="2">
        <v>7.4032335679061504E-5</v>
      </c>
      <c r="E27488" s="2">
        <v>9.5691948479454898E-6</v>
      </c>
      <c r="F27488" s="2">
        <v>1.10419796580753E-5</v>
      </c>
    </row>
    <row r="27489" spans="1:6" x14ac:dyDescent="0.25">
      <c r="A27489" s="1" t="str">
        <f t="shared" si="992"/>
        <v>37980</v>
      </c>
      <c r="B27489" s="1" t="str">
        <f>"18042"</f>
        <v>18042</v>
      </c>
      <c r="C27489" s="2">
        <v>3.66096666360365E-6</v>
      </c>
      <c r="D27489" s="2">
        <v>0</v>
      </c>
      <c r="E27489" s="2">
        <v>0</v>
      </c>
      <c r="F27489" s="2">
        <v>3.2476410759045101E-6</v>
      </c>
    </row>
    <row r="27490" spans="1:6" x14ac:dyDescent="0.25">
      <c r="A27490" s="1" t="str">
        <f t="shared" si="992"/>
        <v>37980</v>
      </c>
      <c r="B27490" s="1" t="str">
        <f>"19192"</f>
        <v>19192</v>
      </c>
      <c r="C27490" s="2">
        <v>0</v>
      </c>
      <c r="D27490" s="2">
        <v>4.1129075377256402E-6</v>
      </c>
      <c r="E27490" s="2">
        <v>1.9138389695890902E-5</v>
      </c>
      <c r="F27490" s="2">
        <v>9.7429232277135503E-7</v>
      </c>
    </row>
    <row r="27491" spans="1:6" x14ac:dyDescent="0.25">
      <c r="A27491" s="1" t="str">
        <f t="shared" si="992"/>
        <v>37980</v>
      </c>
      <c r="B27491" s="1" t="str">
        <f>"19898"</f>
        <v>19898</v>
      </c>
      <c r="C27491" s="2">
        <v>0</v>
      </c>
      <c r="D27491" s="2">
        <v>8.2258150754512803E-6</v>
      </c>
      <c r="E27491" s="2">
        <v>0</v>
      </c>
      <c r="F27491" s="2">
        <v>6.49528215180903E-7</v>
      </c>
    </row>
    <row r="27492" spans="1:6" x14ac:dyDescent="0.25">
      <c r="A27492" s="1" t="str">
        <f t="shared" si="992"/>
        <v>37980</v>
      </c>
      <c r="B27492" s="1" t="str">
        <f>"19423"</f>
        <v>19423</v>
      </c>
      <c r="C27492" s="2">
        <v>0</v>
      </c>
      <c r="D27492" s="2">
        <v>4.1129075377256402E-6</v>
      </c>
      <c r="E27492" s="2">
        <v>0</v>
      </c>
      <c r="F27492" s="2">
        <v>3.2476410759045102E-7</v>
      </c>
    </row>
    <row r="27493" spans="1:6" x14ac:dyDescent="0.25">
      <c r="A27493" s="1" t="str">
        <f t="shared" si="992"/>
        <v>37980</v>
      </c>
      <c r="B27493" s="1" t="str">
        <f>"19354"</f>
        <v>19354</v>
      </c>
      <c r="C27493" s="2">
        <v>0</v>
      </c>
      <c r="D27493" s="2">
        <v>0</v>
      </c>
      <c r="E27493" s="2">
        <v>9.5691948479454898E-6</v>
      </c>
      <c r="F27493" s="2">
        <v>3.2476410759045102E-7</v>
      </c>
    </row>
    <row r="27494" spans="1:6" x14ac:dyDescent="0.25">
      <c r="A27494" s="1" t="str">
        <f t="shared" si="992"/>
        <v>37980</v>
      </c>
      <c r="B27494" s="1" t="str">
        <f>"19451"</f>
        <v>19451</v>
      </c>
      <c r="C27494" s="2">
        <v>2.9287733308829199E-6</v>
      </c>
      <c r="D27494" s="2">
        <v>1.64516301509025E-5</v>
      </c>
      <c r="E27494" s="2">
        <v>9.5691948479454898E-6</v>
      </c>
      <c r="F27494" s="2">
        <v>4.22193339867587E-6</v>
      </c>
    </row>
    <row r="27495" spans="1:6" x14ac:dyDescent="0.25">
      <c r="A27495" s="1" t="str">
        <f t="shared" si="992"/>
        <v>37980</v>
      </c>
      <c r="B27495" s="1" t="str">
        <f>"08039"</f>
        <v>08039</v>
      </c>
      <c r="C27495" s="2">
        <v>1.4643866654414599E-6</v>
      </c>
      <c r="D27495" s="2">
        <v>0</v>
      </c>
      <c r="E27495" s="2">
        <v>9.5691948479454898E-6</v>
      </c>
      <c r="F27495" s="2">
        <v>1.62382053795225E-6</v>
      </c>
    </row>
    <row r="27496" spans="1:6" x14ac:dyDescent="0.25">
      <c r="A27496" s="1" t="str">
        <f t="shared" si="992"/>
        <v>37980</v>
      </c>
      <c r="B27496" s="1" t="str">
        <f>"08011"</f>
        <v>08011</v>
      </c>
      <c r="C27496" s="2">
        <v>0</v>
      </c>
      <c r="D27496" s="2">
        <v>0</v>
      </c>
      <c r="E27496" s="2">
        <v>9.5691948479454898E-6</v>
      </c>
      <c r="F27496" s="2">
        <v>3.2476410759045102E-7</v>
      </c>
    </row>
    <row r="27497" spans="1:6" x14ac:dyDescent="0.25">
      <c r="A27497" s="1" t="str">
        <f t="shared" si="992"/>
        <v>37980</v>
      </c>
      <c r="B27497" s="1" t="str">
        <f>"19731"</f>
        <v>19731</v>
      </c>
      <c r="C27497" s="2">
        <v>2.01353166498201E-5</v>
      </c>
      <c r="D27497" s="2">
        <v>0</v>
      </c>
      <c r="E27497" s="2">
        <v>9.5691948479454898E-6</v>
      </c>
      <c r="F27497" s="2">
        <v>1.8186790025065198E-5</v>
      </c>
    </row>
    <row r="27498" spans="1:6" x14ac:dyDescent="0.25">
      <c r="A27498" s="1" t="str">
        <f t="shared" si="992"/>
        <v>37980</v>
      </c>
      <c r="B27498" s="1" t="str">
        <f>"19543"</f>
        <v>19543</v>
      </c>
      <c r="C27498" s="2">
        <v>4.6128179961406003E-5</v>
      </c>
      <c r="D27498" s="2">
        <v>4.1129075377256402E-6</v>
      </c>
      <c r="E27498" s="2">
        <v>0</v>
      </c>
      <c r="F27498" s="2">
        <v>4.1245041663987299E-5</v>
      </c>
    </row>
    <row r="27499" spans="1:6" x14ac:dyDescent="0.25">
      <c r="A27499" s="1" t="str">
        <f t="shared" si="992"/>
        <v>37980</v>
      </c>
      <c r="B27499" s="1" t="str">
        <f>"19012"</f>
        <v>19012</v>
      </c>
      <c r="C27499" s="2">
        <v>8.5446961928509299E-4</v>
      </c>
      <c r="D27499" s="2">
        <v>5.5524251759296096E-4</v>
      </c>
      <c r="E27499" s="2">
        <v>5.9329008057261998E-4</v>
      </c>
      <c r="F27499" s="2">
        <v>8.2197795631143303E-4</v>
      </c>
    </row>
    <row r="27500" spans="1:6" x14ac:dyDescent="0.25">
      <c r="A27500" s="1" t="str">
        <f t="shared" ref="A27500:A27540" si="993">"37980"</f>
        <v>37980</v>
      </c>
      <c r="B27500" s="1" t="str">
        <f>"19043"</f>
        <v>19043</v>
      </c>
      <c r="C27500" s="2">
        <v>4.2064506964805998E-4</v>
      </c>
      <c r="D27500" s="2">
        <v>7.0742009648881005E-4</v>
      </c>
      <c r="E27500" s="2">
        <v>8.4208914661920297E-4</v>
      </c>
      <c r="F27500" s="2">
        <v>4.57592627594946E-4</v>
      </c>
    </row>
    <row r="27501" spans="1:6" x14ac:dyDescent="0.25">
      <c r="A27501" s="1" t="str">
        <f t="shared" si="993"/>
        <v>37980</v>
      </c>
      <c r="B27501" s="1" t="str">
        <f>"19021"</f>
        <v>19021</v>
      </c>
      <c r="C27501" s="2">
        <v>1.45669863544789E-3</v>
      </c>
      <c r="D27501" s="2">
        <v>1.05701723719549E-3</v>
      </c>
      <c r="E27501" s="2">
        <v>7.3682800329180295E-4</v>
      </c>
      <c r="F27501" s="2">
        <v>1.4007075960376101E-3</v>
      </c>
    </row>
    <row r="27502" spans="1:6" x14ac:dyDescent="0.25">
      <c r="A27502" s="1" t="str">
        <f t="shared" si="993"/>
        <v>37980</v>
      </c>
      <c r="B27502" s="1" t="str">
        <f>"19033"</f>
        <v>19033</v>
      </c>
      <c r="C27502" s="2">
        <v>1.1594281423632699E-3</v>
      </c>
      <c r="D27502" s="2">
        <v>1.20096900101588E-3</v>
      </c>
      <c r="E27502" s="2">
        <v>1.0908882126657801E-3</v>
      </c>
      <c r="F27502" s="2">
        <v>1.16038215642068E-3</v>
      </c>
    </row>
    <row r="27503" spans="1:6" x14ac:dyDescent="0.25">
      <c r="A27503" s="1" t="str">
        <f t="shared" si="993"/>
        <v>37980</v>
      </c>
      <c r="B27503" s="1" t="str">
        <f>"18974"</f>
        <v>18974</v>
      </c>
      <c r="C27503" s="2">
        <v>6.9082440942200996E-3</v>
      </c>
      <c r="D27503" s="2">
        <v>8.0777504040931598E-3</v>
      </c>
      <c r="E27503" s="2">
        <v>2.46885227076993E-3</v>
      </c>
      <c r="F27503" s="2">
        <v>6.8499245572978002E-3</v>
      </c>
    </row>
    <row r="27504" spans="1:6" x14ac:dyDescent="0.25">
      <c r="A27504" s="1" t="str">
        <f t="shared" si="993"/>
        <v>37980</v>
      </c>
      <c r="B27504" s="1" t="str">
        <f>"19128"</f>
        <v>19128</v>
      </c>
      <c r="C27504" s="2">
        <v>6.8397840176107104E-3</v>
      </c>
      <c r="D27504" s="2">
        <v>3.4137132563122801E-3</v>
      </c>
      <c r="E27504" s="2">
        <v>9.0620275210043805E-3</v>
      </c>
      <c r="F27504" s="2">
        <v>6.6446736413006396E-3</v>
      </c>
    </row>
    <row r="27505" spans="1:6" x14ac:dyDescent="0.25">
      <c r="A27505" s="1" t="str">
        <f t="shared" si="993"/>
        <v>37980</v>
      </c>
      <c r="B27505" s="1" t="str">
        <f>"19129"</f>
        <v>19129</v>
      </c>
      <c r="C27505" s="2">
        <v>1.99522683166399E-3</v>
      </c>
      <c r="D27505" s="2">
        <v>1.6821791829297801E-3</v>
      </c>
      <c r="E27505" s="2">
        <v>3.0334347667987198E-3</v>
      </c>
      <c r="F27505" s="2">
        <v>2.00574312847862E-3</v>
      </c>
    </row>
    <row r="27506" spans="1:6" x14ac:dyDescent="0.25">
      <c r="A27506" s="1" t="str">
        <f t="shared" si="993"/>
        <v>37980</v>
      </c>
      <c r="B27506" s="1" t="str">
        <f>"19102"</f>
        <v>19102</v>
      </c>
      <c r="C27506" s="2">
        <v>2.0860188049213598E-3</v>
      </c>
      <c r="D27506" s="2">
        <v>8.2916215960548902E-3</v>
      </c>
      <c r="E27506" s="2">
        <v>6.1147155078371696E-3</v>
      </c>
      <c r="F27506" s="2">
        <v>2.7127545907030398E-3</v>
      </c>
    </row>
    <row r="27507" spans="1:6" x14ac:dyDescent="0.25">
      <c r="A27507" s="1" t="str">
        <f t="shared" si="993"/>
        <v>37980</v>
      </c>
      <c r="B27507" s="1" t="str">
        <f>"19081"</f>
        <v>19081</v>
      </c>
      <c r="C27507" s="2">
        <v>1.48415588542492E-3</v>
      </c>
      <c r="D27507" s="2">
        <v>1.4436305457417001E-3</v>
      </c>
      <c r="E27507" s="2">
        <v>1.3875332529520901E-3</v>
      </c>
      <c r="F27507" s="2">
        <v>1.4776766895365501E-3</v>
      </c>
    </row>
    <row r="27508" spans="1:6" x14ac:dyDescent="0.25">
      <c r="A27508" s="1" t="str">
        <f t="shared" si="993"/>
        <v>37980</v>
      </c>
      <c r="B27508" s="1" t="str">
        <f>"19070"</f>
        <v>19070</v>
      </c>
      <c r="C27508" s="2">
        <v>1.07266323243587E-3</v>
      </c>
      <c r="D27508" s="2">
        <v>5.6346833266841302E-4</v>
      </c>
      <c r="E27508" s="2">
        <v>1.0047654590342699E-3</v>
      </c>
      <c r="F27508" s="2">
        <v>1.03015174927691E-3</v>
      </c>
    </row>
    <row r="27509" spans="1:6" x14ac:dyDescent="0.25">
      <c r="A27509" s="1" t="str">
        <f t="shared" si="993"/>
        <v>37980</v>
      </c>
      <c r="B27509" s="1" t="str">
        <f>"19428"</f>
        <v>19428</v>
      </c>
      <c r="C27509" s="2">
        <v>3.7107558102286598E-3</v>
      </c>
      <c r="D27509" s="2">
        <v>6.7862974372473097E-3</v>
      </c>
      <c r="E27509" s="2">
        <v>6.76542075749746E-3</v>
      </c>
      <c r="F27509" s="2">
        <v>4.0572779961275101E-3</v>
      </c>
    </row>
    <row r="27510" spans="1:6" x14ac:dyDescent="0.25">
      <c r="A27510" s="1" t="str">
        <f t="shared" si="993"/>
        <v>37980</v>
      </c>
      <c r="B27510" s="1" t="str">
        <f>"19390"</f>
        <v>19390</v>
      </c>
      <c r="C27510" s="2">
        <v>1.9915658650003802E-3</v>
      </c>
      <c r="D27510" s="2">
        <v>1.4107272854398899E-3</v>
      </c>
      <c r="E27510" s="2">
        <v>1.3014104993205799E-3</v>
      </c>
      <c r="F27510" s="2">
        <v>1.92227875282788E-3</v>
      </c>
    </row>
    <row r="27511" spans="1:6" x14ac:dyDescent="0.25">
      <c r="A27511" s="1" t="str">
        <f t="shared" si="993"/>
        <v>37980</v>
      </c>
      <c r="B27511" s="1" t="str">
        <f>"19320"</f>
        <v>19320</v>
      </c>
      <c r="C27511" s="2">
        <v>8.0771907499087494E-3</v>
      </c>
      <c r="D27511" s="2">
        <v>3.9319396060657104E-3</v>
      </c>
      <c r="E27511" s="2">
        <v>5.1195192436508299E-3</v>
      </c>
      <c r="F27511" s="2">
        <v>7.6494937901854902E-3</v>
      </c>
    </row>
    <row r="27512" spans="1:6" x14ac:dyDescent="0.25">
      <c r="A27512" s="1" t="str">
        <f t="shared" si="993"/>
        <v>37980</v>
      </c>
      <c r="B27512" s="1" t="str">
        <f>"19310"</f>
        <v>19310</v>
      </c>
      <c r="C27512" s="2">
        <v>3.1813800306715702E-4</v>
      </c>
      <c r="D27512" s="2">
        <v>1.15161411056318E-4</v>
      </c>
      <c r="E27512" s="2">
        <v>2.29660676350691E-4</v>
      </c>
      <c r="F27512" s="2">
        <v>2.9910774309080499E-4</v>
      </c>
    </row>
    <row r="27513" spans="1:6" x14ac:dyDescent="0.25">
      <c r="A27513" s="1" t="str">
        <f t="shared" si="993"/>
        <v>37980</v>
      </c>
      <c r="B27513" s="1" t="str">
        <f>"19176"</f>
        <v>19176</v>
      </c>
      <c r="C27513" s="2">
        <v>0</v>
      </c>
      <c r="D27513" s="2">
        <v>9.8709780905415398E-5</v>
      </c>
      <c r="E27513" s="2">
        <v>1.9138389695890902E-5</v>
      </c>
      <c r="F27513" s="2">
        <v>8.4438667973517401E-6</v>
      </c>
    </row>
    <row r="27514" spans="1:6" x14ac:dyDescent="0.25">
      <c r="A27514" s="1" t="str">
        <f t="shared" si="993"/>
        <v>37980</v>
      </c>
      <c r="B27514" s="1" t="str">
        <f>"19352"</f>
        <v>19352</v>
      </c>
      <c r="C27514" s="2">
        <v>1.0459381757915601E-3</v>
      </c>
      <c r="D27514" s="2">
        <v>5.3467797990433303E-5</v>
      </c>
      <c r="E27514" s="2">
        <v>3.0621423513425502E-4</v>
      </c>
      <c r="F27514" s="2">
        <v>9.4246544022748996E-4</v>
      </c>
    </row>
    <row r="27515" spans="1:6" x14ac:dyDescent="0.25">
      <c r="A27515" s="1" t="str">
        <f t="shared" si="993"/>
        <v>37980</v>
      </c>
      <c r="B27515" s="1" t="str">
        <f>"19145"</f>
        <v>19145</v>
      </c>
      <c r="C27515" s="2">
        <v>7.7985911868085102E-3</v>
      </c>
      <c r="D27515" s="2">
        <v>6.0912160633716699E-3</v>
      </c>
      <c r="E27515" s="2">
        <v>5.90419322118236E-3</v>
      </c>
      <c r="F27515" s="2">
        <v>7.5994801176165602E-3</v>
      </c>
    </row>
    <row r="27516" spans="1:6" x14ac:dyDescent="0.25">
      <c r="A27516" s="1" t="str">
        <f t="shared" si="993"/>
        <v>37980</v>
      </c>
      <c r="B27516" s="1" t="str">
        <f>"19465"</f>
        <v>19465</v>
      </c>
      <c r="C27516" s="2">
        <v>2.60807265115124E-3</v>
      </c>
      <c r="D27516" s="2">
        <v>1.77677605629747E-3</v>
      </c>
      <c r="E27516" s="2">
        <v>1.6267631241507301E-3</v>
      </c>
      <c r="F27516" s="2">
        <v>2.5091274952438198E-3</v>
      </c>
    </row>
    <row r="27517" spans="1:6" x14ac:dyDescent="0.25">
      <c r="A27517" s="1" t="str">
        <f t="shared" si="993"/>
        <v>37980</v>
      </c>
      <c r="B27517" s="1" t="str">
        <f>"19897"</f>
        <v>19897</v>
      </c>
      <c r="C27517" s="2">
        <v>0</v>
      </c>
      <c r="D27517" s="2">
        <v>4.1129075377256402E-6</v>
      </c>
      <c r="E27517" s="2">
        <v>0</v>
      </c>
      <c r="F27517" s="2">
        <v>3.2476410759045102E-7</v>
      </c>
    </row>
    <row r="27518" spans="1:6" x14ac:dyDescent="0.25">
      <c r="A27518" s="1" t="str">
        <f t="shared" si="993"/>
        <v>37980</v>
      </c>
      <c r="B27518" s="1" t="str">
        <f>"19486"</f>
        <v>19486</v>
      </c>
      <c r="C27518" s="2">
        <v>0</v>
      </c>
      <c r="D27518" s="2">
        <v>4.1129075377256402E-6</v>
      </c>
      <c r="E27518" s="2">
        <v>9.5691948479454898E-6</v>
      </c>
      <c r="F27518" s="2">
        <v>6.49528215180903E-7</v>
      </c>
    </row>
    <row r="27519" spans="1:6" x14ac:dyDescent="0.25">
      <c r="A27519" s="1" t="str">
        <f t="shared" si="993"/>
        <v>37980</v>
      </c>
      <c r="B27519" s="1" t="str">
        <f>"18916"</f>
        <v>18916</v>
      </c>
      <c r="C27519" s="2">
        <v>0</v>
      </c>
      <c r="D27519" s="2">
        <v>0</v>
      </c>
      <c r="E27519" s="2">
        <v>9.5691948479454898E-6</v>
      </c>
      <c r="F27519" s="2">
        <v>3.2476410759045102E-7</v>
      </c>
    </row>
    <row r="27520" spans="1:6" x14ac:dyDescent="0.25">
      <c r="A27520" s="1" t="str">
        <f t="shared" si="993"/>
        <v>37980</v>
      </c>
      <c r="B27520" s="1" t="str">
        <f>"19172"</f>
        <v>19172</v>
      </c>
      <c r="C27520" s="2">
        <v>0</v>
      </c>
      <c r="D27520" s="2">
        <v>4.1129075377256402E-6</v>
      </c>
      <c r="E27520" s="2">
        <v>0</v>
      </c>
      <c r="F27520" s="2">
        <v>3.2476410759045102E-7</v>
      </c>
    </row>
    <row r="27521" spans="1:6" x14ac:dyDescent="0.25">
      <c r="A27521" s="1" t="str">
        <f t="shared" si="993"/>
        <v>37980</v>
      </c>
      <c r="B27521" s="1" t="str">
        <f>"08224"</f>
        <v>08224</v>
      </c>
      <c r="C27521" s="2">
        <v>0</v>
      </c>
      <c r="D27521" s="2">
        <v>0</v>
      </c>
      <c r="E27521" s="2">
        <v>9.5691948479454898E-6</v>
      </c>
      <c r="F27521" s="2">
        <v>3.2476410759045102E-7</v>
      </c>
    </row>
    <row r="27522" spans="1:6" x14ac:dyDescent="0.25">
      <c r="A27522" s="1" t="str">
        <f t="shared" si="993"/>
        <v>37980</v>
      </c>
      <c r="B27522" s="1" t="str">
        <f>"18981"</f>
        <v>18981</v>
      </c>
      <c r="C27522" s="2">
        <v>0</v>
      </c>
      <c r="D27522" s="2">
        <v>0</v>
      </c>
      <c r="E27522" s="2">
        <v>9.5691948479454898E-6</v>
      </c>
      <c r="F27522" s="2">
        <v>3.2476410759045102E-7</v>
      </c>
    </row>
    <row r="27523" spans="1:6" x14ac:dyDescent="0.25">
      <c r="A27523" s="1" t="str">
        <f t="shared" si="993"/>
        <v>37980</v>
      </c>
      <c r="B27523" s="1" t="str">
        <f>"19470"</f>
        <v>19470</v>
      </c>
      <c r="C27523" s="2">
        <v>0</v>
      </c>
      <c r="D27523" s="2">
        <v>4.1129075377256402E-6</v>
      </c>
      <c r="E27523" s="2">
        <v>0</v>
      </c>
      <c r="F27523" s="2">
        <v>3.2476410759045102E-7</v>
      </c>
    </row>
    <row r="27524" spans="1:6" x14ac:dyDescent="0.25">
      <c r="A27524" s="1" t="str">
        <f t="shared" si="993"/>
        <v>37980</v>
      </c>
      <c r="B27524" s="1" t="str">
        <f>"19360"</f>
        <v>19360</v>
      </c>
      <c r="C27524" s="2">
        <v>0</v>
      </c>
      <c r="D27524" s="2">
        <v>4.1129075377256402E-6</v>
      </c>
      <c r="E27524" s="2">
        <v>0</v>
      </c>
      <c r="F27524" s="2">
        <v>3.2476410759045102E-7</v>
      </c>
    </row>
    <row r="27525" spans="1:6" x14ac:dyDescent="0.25">
      <c r="A27525" s="1" t="str">
        <f t="shared" si="993"/>
        <v>37980</v>
      </c>
      <c r="B27525" s="1" t="str">
        <f>"19181"</f>
        <v>19181</v>
      </c>
      <c r="C27525" s="2">
        <v>0</v>
      </c>
      <c r="D27525" s="2">
        <v>4.1129075377256402E-6</v>
      </c>
      <c r="E27525" s="2">
        <v>0</v>
      </c>
      <c r="F27525" s="2">
        <v>3.2476410759045102E-7</v>
      </c>
    </row>
    <row r="27526" spans="1:6" x14ac:dyDescent="0.25">
      <c r="A27526" s="1" t="str">
        <f t="shared" si="993"/>
        <v>37980</v>
      </c>
      <c r="B27526" s="1" t="str">
        <f>"18946"</f>
        <v>18946</v>
      </c>
      <c r="C27526" s="2">
        <v>0</v>
      </c>
      <c r="D27526" s="2">
        <v>0</v>
      </c>
      <c r="E27526" s="2">
        <v>9.5691948479454898E-6</v>
      </c>
      <c r="F27526" s="2">
        <v>3.2476410759045102E-7</v>
      </c>
    </row>
    <row r="27527" spans="1:6" x14ac:dyDescent="0.25">
      <c r="A27527" s="1" t="str">
        <f t="shared" si="993"/>
        <v>37980</v>
      </c>
      <c r="B27527" s="1" t="str">
        <f>"19894"</f>
        <v>19894</v>
      </c>
      <c r="C27527" s="2">
        <v>0</v>
      </c>
      <c r="D27527" s="2">
        <v>1.2338722613176899E-5</v>
      </c>
      <c r="E27527" s="2">
        <v>0</v>
      </c>
      <c r="F27527" s="2">
        <v>9.7429232277135503E-7</v>
      </c>
    </row>
    <row r="27528" spans="1:6" x14ac:dyDescent="0.25">
      <c r="A27528" s="1" t="str">
        <f t="shared" si="993"/>
        <v>37980</v>
      </c>
      <c r="B27528" s="1" t="str">
        <f>"19735"</f>
        <v>19735</v>
      </c>
      <c r="C27528" s="2">
        <v>7.3219333272073103E-7</v>
      </c>
      <c r="D27528" s="2">
        <v>4.1129075377256402E-6</v>
      </c>
      <c r="E27528" s="2">
        <v>0</v>
      </c>
      <c r="F27528" s="2">
        <v>9.7429232277135503E-7</v>
      </c>
    </row>
    <row r="27529" spans="1:6" x14ac:dyDescent="0.25">
      <c r="A27529" s="1" t="str">
        <f t="shared" si="993"/>
        <v>37980</v>
      </c>
      <c r="B27529" s="1" t="str">
        <f>"19409"</f>
        <v>19409</v>
      </c>
      <c r="C27529" s="2">
        <v>0</v>
      </c>
      <c r="D27529" s="2">
        <v>0</v>
      </c>
      <c r="E27529" s="2">
        <v>9.5691948479454898E-6</v>
      </c>
      <c r="F27529" s="2">
        <v>3.2476410759045102E-7</v>
      </c>
    </row>
    <row r="27530" spans="1:6" x14ac:dyDescent="0.25">
      <c r="A27530" s="1" t="str">
        <f t="shared" si="993"/>
        <v>37980</v>
      </c>
      <c r="B27530" s="1" t="str">
        <f>"19432"</f>
        <v>19432</v>
      </c>
      <c r="C27530" s="2">
        <v>0</v>
      </c>
      <c r="D27530" s="2">
        <v>4.1129075377256402E-6</v>
      </c>
      <c r="E27530" s="2">
        <v>0</v>
      </c>
      <c r="F27530" s="2">
        <v>3.2476410759045102E-7</v>
      </c>
    </row>
    <row r="27531" spans="1:6" x14ac:dyDescent="0.25">
      <c r="A27531" s="1" t="str">
        <f t="shared" si="993"/>
        <v>37980</v>
      </c>
      <c r="B27531" s="1" t="str">
        <f>"19481"</f>
        <v>19481</v>
      </c>
      <c r="C27531" s="2">
        <v>1.0250706658090201E-4</v>
      </c>
      <c r="D27531" s="2">
        <v>4.6064564422527201E-4</v>
      </c>
      <c r="E27531" s="2">
        <v>1.9138389695890902E-5</v>
      </c>
      <c r="F27531" s="2">
        <v>1.2795705839063699E-4</v>
      </c>
    </row>
    <row r="27532" spans="1:6" x14ac:dyDescent="0.25">
      <c r="A27532" s="1" t="str">
        <f t="shared" si="993"/>
        <v>37980</v>
      </c>
      <c r="B27532" s="1" t="str">
        <f>"08347"</f>
        <v>08347</v>
      </c>
      <c r="C27532" s="2">
        <v>1.3765234655149699E-4</v>
      </c>
      <c r="D27532" s="2">
        <v>1.8919374673537901E-4</v>
      </c>
      <c r="E27532" s="2">
        <v>1.9138389695890902E-5</v>
      </c>
      <c r="F27532" s="2">
        <v>1.37699981618351E-4</v>
      </c>
    </row>
    <row r="27533" spans="1:6" x14ac:dyDescent="0.25">
      <c r="A27533" s="1" t="str">
        <f t="shared" si="993"/>
        <v>37980</v>
      </c>
      <c r="B27533" s="1" t="str">
        <f>"18081"</f>
        <v>18081</v>
      </c>
      <c r="C27533" s="2">
        <v>2.02817553163642E-4</v>
      </c>
      <c r="D27533" s="2">
        <v>1.9330665427310501E-4</v>
      </c>
      <c r="E27533" s="2">
        <v>9.5691948479454898E-6</v>
      </c>
      <c r="F27533" s="2">
        <v>1.9550799276945099E-4</v>
      </c>
    </row>
    <row r="27534" spans="1:6" x14ac:dyDescent="0.25">
      <c r="A27534" s="1" t="str">
        <f t="shared" si="993"/>
        <v>37980</v>
      </c>
      <c r="B27534" s="1" t="str">
        <f>"19477"</f>
        <v>19477</v>
      </c>
      <c r="C27534" s="2">
        <v>1.3508966988697401E-4</v>
      </c>
      <c r="D27534" s="2">
        <v>1.12693666533682E-3</v>
      </c>
      <c r="E27534" s="2">
        <v>5.7415169087672898E-5</v>
      </c>
      <c r="F27534" s="2">
        <v>2.1077190582620301E-4</v>
      </c>
    </row>
    <row r="27535" spans="1:6" x14ac:dyDescent="0.25">
      <c r="A27535" s="1" t="str">
        <f t="shared" si="993"/>
        <v>37980</v>
      </c>
      <c r="B27535" s="1" t="str">
        <f>"08001"</f>
        <v>08001</v>
      </c>
      <c r="C27535" s="2">
        <v>1.36920153218776E-4</v>
      </c>
      <c r="D27535" s="2">
        <v>7.8145243216787196E-5</v>
      </c>
      <c r="E27535" s="2">
        <v>9.5691948479454898E-6</v>
      </c>
      <c r="F27535" s="2">
        <v>1.2795705839063699E-4</v>
      </c>
    </row>
    <row r="27536" spans="1:6" x14ac:dyDescent="0.25">
      <c r="A27536" s="1" t="str">
        <f t="shared" si="993"/>
        <v>37980</v>
      </c>
      <c r="B27536" s="1" t="str">
        <f>"19029"</f>
        <v>19029</v>
      </c>
      <c r="C27536" s="2">
        <v>6.8899392609020804E-4</v>
      </c>
      <c r="D27536" s="2">
        <v>9.6242036382779999E-4</v>
      </c>
      <c r="E27536" s="2">
        <v>1.1578725766014E-3</v>
      </c>
      <c r="F27536" s="2">
        <v>7.2649730867984004E-4</v>
      </c>
    </row>
    <row r="27537" spans="1:6" x14ac:dyDescent="0.25">
      <c r="A27537" s="1" t="str">
        <f t="shared" si="993"/>
        <v>37980</v>
      </c>
      <c r="B27537" s="1" t="str">
        <f>"18963"</f>
        <v>18963</v>
      </c>
      <c r="C27537" s="2">
        <v>1.6547569319488501E-4</v>
      </c>
      <c r="D27537" s="2">
        <v>1.5217757889584801E-4</v>
      </c>
      <c r="E27537" s="2">
        <v>1.9138389695890902E-5</v>
      </c>
      <c r="F27537" s="2">
        <v>1.59459176826911E-4</v>
      </c>
    </row>
    <row r="27538" spans="1:6" x14ac:dyDescent="0.25">
      <c r="A27538" s="1" t="str">
        <f t="shared" si="993"/>
        <v>37980</v>
      </c>
      <c r="B27538" s="1" t="str">
        <f>"19369"</f>
        <v>19369</v>
      </c>
      <c r="C27538" s="2">
        <v>1.8451271984562401E-4</v>
      </c>
      <c r="D27538" s="2">
        <v>3.1258097286714803E-4</v>
      </c>
      <c r="E27538" s="2">
        <v>1.9138389695890902E-5</v>
      </c>
      <c r="F27538" s="2">
        <v>1.89012710617642E-4</v>
      </c>
    </row>
    <row r="27539" spans="1:6" x14ac:dyDescent="0.25">
      <c r="A27539" s="1" t="str">
        <f t="shared" si="993"/>
        <v>37980</v>
      </c>
      <c r="B27539" s="1" t="str">
        <f>"19381"</f>
        <v>19381</v>
      </c>
      <c r="C27539" s="2">
        <v>3.3863941638333797E-4</v>
      </c>
      <c r="D27539" s="2">
        <v>1.09814631257274E-3</v>
      </c>
      <c r="E27539" s="2">
        <v>9.5691948479454898E-6</v>
      </c>
      <c r="F27539" s="2">
        <v>3.87443580355408E-4</v>
      </c>
    </row>
    <row r="27540" spans="1:6" x14ac:dyDescent="0.25">
      <c r="A27540" s="1" t="str">
        <f t="shared" si="993"/>
        <v>37980</v>
      </c>
      <c r="B27540" s="1" t="str">
        <f>"19456"</f>
        <v>19456</v>
      </c>
      <c r="C27540" s="2">
        <v>2.54803279786814E-4</v>
      </c>
      <c r="D27540" s="2">
        <v>9.2129128845054402E-4</v>
      </c>
      <c r="E27540" s="2">
        <v>9.5691948479454898E-6</v>
      </c>
      <c r="F27540" s="2">
        <v>2.9910774309080499E-4</v>
      </c>
    </row>
    <row r="27541" spans="1:6" x14ac:dyDescent="0.25">
      <c r="A27541" s="1" t="str">
        <f t="shared" ref="A27541:A27604" si="994">"38060"</f>
        <v>38060</v>
      </c>
      <c r="B27541" s="1" t="str">
        <f>"85326"</f>
        <v>85326</v>
      </c>
      <c r="C27541" s="2">
        <v>1.17220403423678E-2</v>
      </c>
      <c r="D27541" s="2">
        <v>5.0818079860048999E-3</v>
      </c>
      <c r="E27541" s="2">
        <v>2.6754704789596902E-3</v>
      </c>
      <c r="F27541" s="2">
        <v>1.0837393485787701E-2</v>
      </c>
    </row>
    <row r="27542" spans="1:6" x14ac:dyDescent="0.25">
      <c r="A27542" s="1" t="str">
        <f t="shared" si="994"/>
        <v>38060</v>
      </c>
      <c r="B27542" s="1" t="str">
        <f>"85329"</f>
        <v>85329</v>
      </c>
      <c r="C27542" s="2">
        <v>7.2616074019483099E-4</v>
      </c>
      <c r="D27542" s="2">
        <v>3.3270548588416399E-4</v>
      </c>
      <c r="E27542" s="2">
        <v>4.0384460059768999E-5</v>
      </c>
      <c r="F27542" s="2">
        <v>6.6759272697115997E-4</v>
      </c>
    </row>
    <row r="27543" spans="1:6" x14ac:dyDescent="0.25">
      <c r="A27543" s="1" t="str">
        <f t="shared" si="994"/>
        <v>38060</v>
      </c>
      <c r="B27543" s="1" t="str">
        <f>"85275"</f>
        <v>85275</v>
      </c>
      <c r="C27543" s="2">
        <v>6.3350940222955802E-4</v>
      </c>
      <c r="D27543" s="2">
        <v>1.87817612999125E-3</v>
      </c>
      <c r="E27543" s="2">
        <v>2.01922300298845E-5</v>
      </c>
      <c r="F27543" s="2">
        <v>7.0449692119503202E-4</v>
      </c>
    </row>
    <row r="27544" spans="1:6" x14ac:dyDescent="0.25">
      <c r="A27544" s="1" t="str">
        <f t="shared" si="994"/>
        <v>38060</v>
      </c>
      <c r="B27544" s="1" t="str">
        <f>"85545"</f>
        <v>85545</v>
      </c>
      <c r="C27544" s="2">
        <v>3.7624908818385002E-6</v>
      </c>
      <c r="D27544" s="2">
        <v>0</v>
      </c>
      <c r="E27544" s="2">
        <v>2.01922300298845E-5</v>
      </c>
      <c r="F27544" s="2">
        <v>4.1465386768395004E-6</v>
      </c>
    </row>
    <row r="27545" spans="1:6" x14ac:dyDescent="0.25">
      <c r="A27545" s="1" t="str">
        <f t="shared" si="994"/>
        <v>38060</v>
      </c>
      <c r="B27545" s="1" t="str">
        <f>"85010"</f>
        <v>85010</v>
      </c>
      <c r="C27545" s="2">
        <v>1.96119837215831E-4</v>
      </c>
      <c r="D27545" s="2">
        <v>2.84409528255818E-4</v>
      </c>
      <c r="E27545" s="2">
        <v>2.01922300298845E-5</v>
      </c>
      <c r="F27545" s="2">
        <v>1.95716625546824E-4</v>
      </c>
    </row>
    <row r="27546" spans="1:6" x14ac:dyDescent="0.25">
      <c r="A27546" s="1" t="str">
        <f t="shared" si="994"/>
        <v>38060</v>
      </c>
      <c r="B27546" s="1" t="str">
        <f>"85277"</f>
        <v>85277</v>
      </c>
      <c r="C27546" s="2">
        <v>5.4603148922681205E-4</v>
      </c>
      <c r="D27546" s="2">
        <v>2.6401790170162702E-3</v>
      </c>
      <c r="E27546" s="2">
        <v>2.01922300298845E-5</v>
      </c>
      <c r="F27546" s="2">
        <v>6.8625215101693804E-4</v>
      </c>
    </row>
    <row r="27547" spans="1:6" x14ac:dyDescent="0.25">
      <c r="A27547" s="1" t="str">
        <f t="shared" si="994"/>
        <v>38060</v>
      </c>
      <c r="B27547" s="1" t="str">
        <f>"85032"</f>
        <v>85032</v>
      </c>
      <c r="C27547" s="2">
        <v>1.4643144200755199E-2</v>
      </c>
      <c r="D27547" s="2">
        <v>1.3082838299767601E-2</v>
      </c>
      <c r="E27547" s="2">
        <v>3.08133430256037E-2</v>
      </c>
      <c r="F27547" s="2">
        <v>1.5186697903924601E-2</v>
      </c>
    </row>
    <row r="27548" spans="1:6" x14ac:dyDescent="0.25">
      <c r="A27548" s="1" t="str">
        <f t="shared" si="994"/>
        <v>38060</v>
      </c>
      <c r="B27548" s="1" t="str">
        <f>"85043"</f>
        <v>85043</v>
      </c>
      <c r="C27548" s="2">
        <v>4.6457356163500897E-3</v>
      </c>
      <c r="D27548" s="2">
        <v>7.9312694860773393E-3</v>
      </c>
      <c r="E27548" s="2">
        <v>3.7557547855585102E-3</v>
      </c>
      <c r="F27548" s="2">
        <v>4.86306056019737E-3</v>
      </c>
    </row>
    <row r="27549" spans="1:6" x14ac:dyDescent="0.25">
      <c r="A27549" s="1" t="str">
        <f t="shared" si="994"/>
        <v>38060</v>
      </c>
      <c r="B27549" s="1" t="str">
        <f>"85034"</f>
        <v>85034</v>
      </c>
      <c r="C27549" s="2">
        <v>1.2435032364476199E-3</v>
      </c>
      <c r="D27549" s="2">
        <v>1.32008950850813E-2</v>
      </c>
      <c r="E27549" s="2">
        <v>7.2994911558032401E-3</v>
      </c>
      <c r="F27549" s="2">
        <v>2.4161880869943801E-3</v>
      </c>
    </row>
    <row r="27550" spans="1:6" x14ac:dyDescent="0.25">
      <c r="A27550" s="1" t="str">
        <f t="shared" si="994"/>
        <v>38060</v>
      </c>
      <c r="B27550" s="1" t="str">
        <f>"85053"</f>
        <v>85053</v>
      </c>
      <c r="C27550" s="2">
        <v>5.9296856297774798E-3</v>
      </c>
      <c r="D27550" s="2">
        <v>3.8744090452962399E-3</v>
      </c>
      <c r="E27550" s="2">
        <v>8.7230433729101001E-3</v>
      </c>
      <c r="F27550" s="2">
        <v>5.8855969979059904E-3</v>
      </c>
    </row>
    <row r="27551" spans="1:6" x14ac:dyDescent="0.25">
      <c r="A27551" s="1" t="str">
        <f t="shared" si="994"/>
        <v>38060</v>
      </c>
      <c r="B27551" s="1" t="str">
        <f>"85028"</f>
        <v>85028</v>
      </c>
      <c r="C27551" s="2">
        <v>4.2375053556706101E-3</v>
      </c>
      <c r="D27551" s="2">
        <v>4.4056645792080497E-3</v>
      </c>
      <c r="E27551" s="2">
        <v>4.0081576609320704E-3</v>
      </c>
      <c r="F27551" s="2">
        <v>4.2410797586714399E-3</v>
      </c>
    </row>
    <row r="27552" spans="1:6" x14ac:dyDescent="0.25">
      <c r="A27552" s="1" t="str">
        <f t="shared" si="994"/>
        <v>38060</v>
      </c>
      <c r="B27552" s="1" t="str">
        <f>"85061"</f>
        <v>85061</v>
      </c>
      <c r="C27552" s="2">
        <v>5.5073460282910997E-4</v>
      </c>
      <c r="D27552" s="2">
        <v>1.0732435028521399E-3</v>
      </c>
      <c r="E27552" s="2">
        <v>2.01922300298845E-5</v>
      </c>
      <c r="F27552" s="2">
        <v>5.6931976033006398E-4</v>
      </c>
    </row>
    <row r="27553" spans="1:6" x14ac:dyDescent="0.25">
      <c r="A27553" s="1" t="str">
        <f t="shared" si="994"/>
        <v>38060</v>
      </c>
      <c r="B27553" s="1" t="str">
        <f>"85006"</f>
        <v>85006</v>
      </c>
      <c r="C27553" s="2">
        <v>4.9095802894390103E-3</v>
      </c>
      <c r="D27553" s="2">
        <v>6.3697001894274701E-3</v>
      </c>
      <c r="E27553" s="2">
        <v>1.9818673774331601E-2</v>
      </c>
      <c r="F27553" s="2">
        <v>5.6347314079571997E-3</v>
      </c>
    </row>
    <row r="27554" spans="1:6" x14ac:dyDescent="0.25">
      <c r="A27554" s="1" t="str">
        <f t="shared" si="994"/>
        <v>38060</v>
      </c>
      <c r="B27554" s="1" t="str">
        <f>"85018"</f>
        <v>85018</v>
      </c>
      <c r="C27554" s="2">
        <v>1.0017631972895E-2</v>
      </c>
      <c r="D27554" s="2">
        <v>1.10973378194911E-2</v>
      </c>
      <c r="E27554" s="2">
        <v>1.8031661416686801E-2</v>
      </c>
      <c r="F27554" s="2">
        <v>1.0430203387721999E-2</v>
      </c>
    </row>
    <row r="27555" spans="1:6" x14ac:dyDescent="0.25">
      <c r="A27555" s="1" t="str">
        <f t="shared" si="994"/>
        <v>38060</v>
      </c>
      <c r="B27555" s="1" t="str">
        <f>"85019"</f>
        <v>85019</v>
      </c>
      <c r="C27555" s="2">
        <v>3.9167530079938801E-3</v>
      </c>
      <c r="D27555" s="2">
        <v>3.7456198249539801E-3</v>
      </c>
      <c r="E27555" s="2">
        <v>3.6446975203941502E-3</v>
      </c>
      <c r="F27555" s="2">
        <v>3.89235585594924E-3</v>
      </c>
    </row>
    <row r="27556" spans="1:6" x14ac:dyDescent="0.25">
      <c r="A27556" s="1" t="str">
        <f t="shared" si="994"/>
        <v>38060</v>
      </c>
      <c r="B27556" s="1" t="str">
        <f>"85361"</f>
        <v>85361</v>
      </c>
      <c r="C27556" s="2">
        <v>1.3347436403322E-3</v>
      </c>
      <c r="D27556" s="2">
        <v>8.5859480228171498E-5</v>
      </c>
      <c r="E27556" s="2">
        <v>2.9278733543332502E-4</v>
      </c>
      <c r="F27556" s="2">
        <v>1.19544710053283E-3</v>
      </c>
    </row>
    <row r="27557" spans="1:6" x14ac:dyDescent="0.25">
      <c r="A27557" s="1" t="str">
        <f t="shared" si="994"/>
        <v>38060</v>
      </c>
      <c r="B27557" s="1" t="str">
        <f>"85379"</f>
        <v>85379</v>
      </c>
      <c r="C27557" s="2">
        <v>7.8701903020856803E-3</v>
      </c>
      <c r="D27557" s="2">
        <v>1.5293719915642999E-3</v>
      </c>
      <c r="E27557" s="2">
        <v>8.2788143122526398E-4</v>
      </c>
      <c r="F27557" s="2">
        <v>7.0909957912632399E-3</v>
      </c>
    </row>
    <row r="27558" spans="1:6" x14ac:dyDescent="0.25">
      <c r="A27558" s="1" t="str">
        <f t="shared" si="994"/>
        <v>38060</v>
      </c>
      <c r="B27558" s="1" t="str">
        <f>"85224"</f>
        <v>85224</v>
      </c>
      <c r="C27558" s="2">
        <v>9.4640755019045203E-3</v>
      </c>
      <c r="D27558" s="2">
        <v>9.0635413815863593E-3</v>
      </c>
      <c r="E27558" s="2">
        <v>1.8899927307971801E-2</v>
      </c>
      <c r="F27558" s="2">
        <v>9.8206622022266894E-3</v>
      </c>
    </row>
    <row r="27559" spans="1:6" x14ac:dyDescent="0.25">
      <c r="A27559" s="1" t="str">
        <f t="shared" si="994"/>
        <v>38060</v>
      </c>
      <c r="B27559" s="1" t="str">
        <f>"85249"</f>
        <v>85249</v>
      </c>
      <c r="C27559" s="2">
        <v>8.1674270817509304E-3</v>
      </c>
      <c r="D27559" s="2">
        <v>1.5884003842211701E-3</v>
      </c>
      <c r="E27559" s="2">
        <v>7.3802600759227798E-3</v>
      </c>
      <c r="F27559" s="2">
        <v>7.6267285883109001E-3</v>
      </c>
    </row>
    <row r="27560" spans="1:6" x14ac:dyDescent="0.25">
      <c r="A27560" s="1" t="str">
        <f t="shared" si="994"/>
        <v>38060</v>
      </c>
      <c r="B27560" s="1" t="str">
        <f>"85257"</f>
        <v>85257</v>
      </c>
      <c r="C27560" s="2">
        <v>7.3523774944726601E-3</v>
      </c>
      <c r="D27560" s="2">
        <v>5.8384446555156599E-3</v>
      </c>
      <c r="E27560" s="2">
        <v>6.1990146191745399E-3</v>
      </c>
      <c r="F27560" s="2">
        <v>7.1880247963012796E-3</v>
      </c>
    </row>
    <row r="27561" spans="1:6" x14ac:dyDescent="0.25">
      <c r="A27561" s="1" t="str">
        <f t="shared" si="994"/>
        <v>38060</v>
      </c>
      <c r="B27561" s="1" t="str">
        <f>"85284"</f>
        <v>85284</v>
      </c>
      <c r="C27561" s="2">
        <v>4.2055241831749799E-3</v>
      </c>
      <c r="D27561" s="2">
        <v>1.2948682861911099E-2</v>
      </c>
      <c r="E27561" s="2">
        <v>9.4095791939261698E-3</v>
      </c>
      <c r="F27561" s="2">
        <v>5.0948520722327003E-3</v>
      </c>
    </row>
    <row r="27562" spans="1:6" x14ac:dyDescent="0.25">
      <c r="A27562" s="1" t="str">
        <f t="shared" si="994"/>
        <v>38060</v>
      </c>
      <c r="B27562" s="1" t="str">
        <f>"85318"</f>
        <v>85318</v>
      </c>
      <c r="C27562" s="2">
        <v>5.5778927323255805E-4</v>
      </c>
      <c r="D27562" s="2">
        <v>3.7134225198684201E-3</v>
      </c>
      <c r="E27562" s="2">
        <v>2.01922300298845E-5</v>
      </c>
      <c r="F27562" s="2">
        <v>7.7954927124582695E-4</v>
      </c>
    </row>
    <row r="27563" spans="1:6" x14ac:dyDescent="0.25">
      <c r="A27563" s="1" t="str">
        <f t="shared" si="994"/>
        <v>38060</v>
      </c>
      <c r="B27563" s="1" t="str">
        <f>"85132"</f>
        <v>85132</v>
      </c>
      <c r="C27563" s="2">
        <v>7.0344470149573098E-3</v>
      </c>
      <c r="D27563" s="2">
        <v>1.7976828672773401E-3</v>
      </c>
      <c r="E27563" s="2">
        <v>6.0576690089653498E-4</v>
      </c>
      <c r="F27563" s="2">
        <v>6.3657661766840096E-3</v>
      </c>
    </row>
    <row r="27564" spans="1:6" x14ac:dyDescent="0.25">
      <c r="A27564" s="1" t="str">
        <f t="shared" si="994"/>
        <v>38060</v>
      </c>
      <c r="B27564" s="1" t="str">
        <f>"85139"</f>
        <v>85139</v>
      </c>
      <c r="C27564" s="2">
        <v>3.75919870231689E-3</v>
      </c>
      <c r="D27564" s="2">
        <v>2.7206722797301799E-3</v>
      </c>
      <c r="E27564" s="2">
        <v>8.9855423632985995E-4</v>
      </c>
      <c r="F27564" s="2">
        <v>3.5614620695374501E-3</v>
      </c>
    </row>
    <row r="27565" spans="1:6" x14ac:dyDescent="0.25">
      <c r="A27565" s="1" t="str">
        <f t="shared" si="994"/>
        <v>38060</v>
      </c>
      <c r="B27565" s="1" t="str">
        <f>"85142"</f>
        <v>85142</v>
      </c>
      <c r="C27565" s="2">
        <v>1.31395587821005E-2</v>
      </c>
      <c r="D27565" s="2">
        <v>9.4928387827272094E-3</v>
      </c>
      <c r="E27565" s="2">
        <v>2.76633551409417E-3</v>
      </c>
      <c r="F27565" s="2">
        <v>1.2431737607032501E-2</v>
      </c>
    </row>
    <row r="27566" spans="1:6" x14ac:dyDescent="0.25">
      <c r="A27566" s="1" t="str">
        <f t="shared" si="994"/>
        <v>38060</v>
      </c>
      <c r="B27566" s="1" t="str">
        <f>"85192"</f>
        <v>85192</v>
      </c>
      <c r="C27566" s="2">
        <v>1.7683707144640901E-4</v>
      </c>
      <c r="D27566" s="2">
        <v>3.2197305085564298E-5</v>
      </c>
      <c r="E27566" s="2">
        <v>6.0576690089653503E-5</v>
      </c>
      <c r="F27566" s="2">
        <v>1.6088570066137201E-4</v>
      </c>
    </row>
    <row r="27567" spans="1:6" x14ac:dyDescent="0.25">
      <c r="A27567" s="1" t="str">
        <f t="shared" si="994"/>
        <v>38060</v>
      </c>
      <c r="B27567" s="1" t="str">
        <f>"85236"</f>
        <v>85236</v>
      </c>
      <c r="C27567" s="2">
        <v>4.4350361269671301E-4</v>
      </c>
      <c r="D27567" s="2">
        <v>3.1821669859565999E-3</v>
      </c>
      <c r="E27567" s="2">
        <v>3.02883450448267E-5</v>
      </c>
      <c r="F27567" s="2">
        <v>6.3815230236560002E-4</v>
      </c>
    </row>
    <row r="27568" spans="1:6" x14ac:dyDescent="0.25">
      <c r="A27568" s="1" t="str">
        <f t="shared" si="994"/>
        <v>38060</v>
      </c>
      <c r="B27568" s="1" t="str">
        <f>"85130"</f>
        <v>85130</v>
      </c>
      <c r="C27568" s="2">
        <v>9.773070065575509E-4</v>
      </c>
      <c r="D27568" s="2">
        <v>2.2108816158754102E-3</v>
      </c>
      <c r="E27568" s="2">
        <v>2.01922300298845E-5</v>
      </c>
      <c r="F27568" s="2">
        <v>1.0333174382684E-3</v>
      </c>
    </row>
    <row r="27569" spans="1:6" x14ac:dyDescent="0.25">
      <c r="A27569" s="1" t="str">
        <f t="shared" si="994"/>
        <v>38060</v>
      </c>
      <c r="B27569" s="1" t="str">
        <f>"85078"</f>
        <v>85078</v>
      </c>
      <c r="C27569" s="2">
        <v>5.4791273466773204E-4</v>
      </c>
      <c r="D27569" s="2">
        <v>1.0571448503093599E-3</v>
      </c>
      <c r="E27569" s="2">
        <v>2.01922300298845E-5</v>
      </c>
      <c r="F27569" s="2">
        <v>5.6558787552090804E-4</v>
      </c>
    </row>
    <row r="27570" spans="1:6" x14ac:dyDescent="0.25">
      <c r="A27570" s="1" t="str">
        <f t="shared" si="994"/>
        <v>38060</v>
      </c>
      <c r="B27570" s="1" t="str">
        <f>"85014"</f>
        <v>85014</v>
      </c>
      <c r="C27570" s="2">
        <v>7.2823011017984201E-3</v>
      </c>
      <c r="D27570" s="2">
        <v>9.7450510058974694E-3</v>
      </c>
      <c r="E27570" s="2">
        <v>1.7799450771343098E-2</v>
      </c>
      <c r="F27570" s="2">
        <v>7.9045466796591503E-3</v>
      </c>
    </row>
    <row r="27571" spans="1:6" x14ac:dyDescent="0.25">
      <c r="A27571" s="1" t="str">
        <f t="shared" si="994"/>
        <v>38060</v>
      </c>
      <c r="B27571" s="1" t="str">
        <f>"85012"</f>
        <v>85012</v>
      </c>
      <c r="C27571" s="2">
        <v>2.2730148039906799E-3</v>
      </c>
      <c r="D27571" s="2">
        <v>1.0292405192352E-2</v>
      </c>
      <c r="E27571" s="2">
        <v>4.7451740570228504E-3</v>
      </c>
      <c r="F27571" s="2">
        <v>2.9942155785458E-3</v>
      </c>
    </row>
    <row r="27572" spans="1:6" x14ac:dyDescent="0.25">
      <c r="A27572" s="1" t="str">
        <f t="shared" si="994"/>
        <v>38060</v>
      </c>
      <c r="B27572" s="1" t="str">
        <f>"85372"</f>
        <v>85372</v>
      </c>
      <c r="C27572" s="2">
        <v>3.6261005873718501E-4</v>
      </c>
      <c r="D27572" s="2">
        <v>1.5776679491926501E-3</v>
      </c>
      <c r="E27572" s="2">
        <v>2.01922300298845E-5</v>
      </c>
      <c r="F27572" s="2">
        <v>4.4243567681877499E-4</v>
      </c>
    </row>
    <row r="27573" spans="1:6" x14ac:dyDescent="0.25">
      <c r="A27573" s="1" t="str">
        <f t="shared" si="994"/>
        <v>38060</v>
      </c>
      <c r="B27573" s="1" t="str">
        <f>"85373"</f>
        <v>85373</v>
      </c>
      <c r="C27573" s="2">
        <v>4.64338405954894E-3</v>
      </c>
      <c r="D27573" s="2">
        <v>1.255694898337E-3</v>
      </c>
      <c r="E27573" s="2">
        <v>6.2595913092641895E-4</v>
      </c>
      <c r="F27573" s="2">
        <v>4.2166151804780899E-3</v>
      </c>
    </row>
    <row r="27574" spans="1:6" x14ac:dyDescent="0.25">
      <c r="A27574" s="1" t="str">
        <f t="shared" si="994"/>
        <v>38060</v>
      </c>
      <c r="B27574" s="1" t="str">
        <f>"85355"</f>
        <v>85355</v>
      </c>
      <c r="C27574" s="2">
        <v>2.2005868545152902E-3</v>
      </c>
      <c r="D27574" s="2">
        <v>1.2664273333655299E-3</v>
      </c>
      <c r="E27574" s="2">
        <v>1.00961150149422E-4</v>
      </c>
      <c r="F27574" s="2">
        <v>2.04217029834345E-3</v>
      </c>
    </row>
    <row r="27575" spans="1:6" x14ac:dyDescent="0.25">
      <c r="A27575" s="1" t="str">
        <f t="shared" si="994"/>
        <v>38060</v>
      </c>
      <c r="B27575" s="1" t="str">
        <f>"85377"</f>
        <v>85377</v>
      </c>
      <c r="C27575" s="2">
        <v>1.0450318424306401E-3</v>
      </c>
      <c r="D27575" s="2">
        <v>3.0372791130715599E-3</v>
      </c>
      <c r="E27575" s="2">
        <v>1.2115338017930701E-4</v>
      </c>
      <c r="F27575" s="2">
        <v>1.1610308295150599E-3</v>
      </c>
    </row>
    <row r="27576" spans="1:6" x14ac:dyDescent="0.25">
      <c r="A27576" s="1" t="str">
        <f t="shared" si="994"/>
        <v>38060</v>
      </c>
      <c r="B27576" s="1" t="str">
        <f>"85388"</f>
        <v>85388</v>
      </c>
      <c r="C27576" s="2">
        <v>4.8395038967647703E-3</v>
      </c>
      <c r="D27576" s="2">
        <v>6.6541097176832896E-4</v>
      </c>
      <c r="E27576" s="2">
        <v>2.32210645343671E-4</v>
      </c>
      <c r="F27576" s="2">
        <v>4.3277424170173901E-3</v>
      </c>
    </row>
    <row r="27577" spans="1:6" x14ac:dyDescent="0.25">
      <c r="A27577" s="1" t="str">
        <f t="shared" si="994"/>
        <v>38060</v>
      </c>
      <c r="B27577" s="1" t="str">
        <f>"85215"</f>
        <v>85215</v>
      </c>
      <c r="C27577" s="2">
        <v>4.2619615464025602E-3</v>
      </c>
      <c r="D27577" s="2">
        <v>8.7791318533305407E-3</v>
      </c>
      <c r="E27577" s="2">
        <v>3.4528713351102401E-3</v>
      </c>
      <c r="F27577" s="2">
        <v>4.5777786992308098E-3</v>
      </c>
    </row>
    <row r="27578" spans="1:6" x14ac:dyDescent="0.25">
      <c r="A27578" s="1" t="str">
        <f t="shared" si="994"/>
        <v>38060</v>
      </c>
      <c r="B27578" s="1" t="str">
        <f>"85225"</f>
        <v>85225</v>
      </c>
      <c r="C27578" s="2">
        <v>1.39094584787967E-2</v>
      </c>
      <c r="D27578" s="2">
        <v>1.1263690562433201E-2</v>
      </c>
      <c r="E27578" s="2">
        <v>2.5129230272191199E-2</v>
      </c>
      <c r="F27578" s="2">
        <v>1.4165820081686801E-2</v>
      </c>
    </row>
    <row r="27579" spans="1:6" x14ac:dyDescent="0.25">
      <c r="A27579" s="1" t="str">
        <f t="shared" si="994"/>
        <v>38060</v>
      </c>
      <c r="B27579" s="1" t="str">
        <f>"85261"</f>
        <v>85261</v>
      </c>
      <c r="C27579" s="2">
        <v>5.1687218489256397E-4</v>
      </c>
      <c r="D27579" s="2">
        <v>3.5846332995261602E-3</v>
      </c>
      <c r="E27579" s="2">
        <v>2.01922300298845E-5</v>
      </c>
      <c r="F27579" s="2">
        <v>7.3352269193290899E-4</v>
      </c>
    </row>
    <row r="27580" spans="1:6" x14ac:dyDescent="0.25">
      <c r="A27580" s="1" t="str">
        <f t="shared" si="994"/>
        <v>38060</v>
      </c>
      <c r="B27580" s="1" t="str">
        <f>"85281"</f>
        <v>85281</v>
      </c>
      <c r="C27580" s="2">
        <v>1.7536029377528801E-2</v>
      </c>
      <c r="D27580" s="2">
        <v>2.7979458119355399E-2</v>
      </c>
      <c r="E27580" s="2">
        <v>4.3070026653743598E-2</v>
      </c>
      <c r="F27580" s="2">
        <v>1.9391702776107599E-2</v>
      </c>
    </row>
    <row r="27581" spans="1:6" x14ac:dyDescent="0.25">
      <c r="A27581" s="1" t="str">
        <f t="shared" si="994"/>
        <v>38060</v>
      </c>
      <c r="B27581" s="1" t="str">
        <f>"85287"</f>
        <v>85287</v>
      </c>
      <c r="C27581" s="2">
        <v>0</v>
      </c>
      <c r="D27581" s="2">
        <v>5.3662175142607203E-6</v>
      </c>
      <c r="E27581" s="2">
        <v>1.0096115014942201E-5</v>
      </c>
      <c r="F27581" s="2">
        <v>8.2930773536790097E-7</v>
      </c>
    </row>
    <row r="27582" spans="1:6" x14ac:dyDescent="0.25">
      <c r="A27582" s="1" t="str">
        <f t="shared" si="994"/>
        <v>38060</v>
      </c>
      <c r="B27582" s="1" t="str">
        <f>"85060"</f>
        <v>85060</v>
      </c>
      <c r="C27582" s="2">
        <v>7.35096656039197E-4</v>
      </c>
      <c r="D27582" s="2">
        <v>1.7493869096489899E-3</v>
      </c>
      <c r="E27582" s="2">
        <v>2.01922300298845E-5</v>
      </c>
      <c r="F27582" s="2">
        <v>7.8411046379035104E-4</v>
      </c>
    </row>
    <row r="27583" spans="1:6" x14ac:dyDescent="0.25">
      <c r="A27583" s="1" t="str">
        <f t="shared" si="994"/>
        <v>38060</v>
      </c>
      <c r="B27583" s="1" t="str">
        <f>"85068"</f>
        <v>85068</v>
      </c>
      <c r="C27583" s="2">
        <v>7.9999962375091097E-4</v>
      </c>
      <c r="D27583" s="2">
        <v>2.10892348310446E-3</v>
      </c>
      <c r="E27583" s="2">
        <v>2.01922300298845E-5</v>
      </c>
      <c r="F27583" s="2">
        <v>8.6911450666556003E-4</v>
      </c>
    </row>
    <row r="27584" spans="1:6" x14ac:dyDescent="0.25">
      <c r="A27584" s="1" t="str">
        <f t="shared" si="994"/>
        <v>38060</v>
      </c>
      <c r="B27584" s="1" t="str">
        <f>"85071"</f>
        <v>85071</v>
      </c>
      <c r="C27584" s="2">
        <v>5.4932366874842101E-4</v>
      </c>
      <c r="D27584" s="2">
        <v>1.64206255936378E-3</v>
      </c>
      <c r="E27584" s="2">
        <v>2.01922300298845E-5</v>
      </c>
      <c r="F27584" s="2">
        <v>6.1202910870151105E-4</v>
      </c>
    </row>
    <row r="27585" spans="1:6" x14ac:dyDescent="0.25">
      <c r="A27585" s="1" t="str">
        <f t="shared" si="994"/>
        <v>38060</v>
      </c>
      <c r="B27585" s="1" t="str">
        <f>"85080"</f>
        <v>85080</v>
      </c>
      <c r="C27585" s="2">
        <v>1.2087001957906099E-3</v>
      </c>
      <c r="D27585" s="2">
        <v>3.61146438709746E-3</v>
      </c>
      <c r="E27585" s="2">
        <v>2.01922300298845E-5</v>
      </c>
      <c r="F27585" s="2">
        <v>1.34555180063442E-3</v>
      </c>
    </row>
    <row r="27586" spans="1:6" x14ac:dyDescent="0.25">
      <c r="A27586" s="1" t="str">
        <f t="shared" si="994"/>
        <v>38060</v>
      </c>
      <c r="B27586" s="1" t="str">
        <f>"85083"</f>
        <v>85083</v>
      </c>
      <c r="C27586" s="2">
        <v>3.25173274462892E-3</v>
      </c>
      <c r="D27586" s="2">
        <v>1.1269056779947501E-4</v>
      </c>
      <c r="E27586" s="2">
        <v>7.0672805104595707E-5</v>
      </c>
      <c r="F27586" s="2">
        <v>2.8785271494619802E-3</v>
      </c>
    </row>
    <row r="27587" spans="1:6" x14ac:dyDescent="0.25">
      <c r="A27587" s="1" t="str">
        <f t="shared" si="994"/>
        <v>38060</v>
      </c>
      <c r="B27587" s="1" t="str">
        <f>"85036"</f>
        <v>85036</v>
      </c>
      <c r="C27587" s="2">
        <v>3.4332729296776299E-4</v>
      </c>
      <c r="D27587" s="2">
        <v>1.26106111585126E-3</v>
      </c>
      <c r="E27587" s="2">
        <v>2.01922300298845E-5</v>
      </c>
      <c r="F27587" s="2">
        <v>4.0097029005037999E-4</v>
      </c>
    </row>
    <row r="27588" spans="1:6" x14ac:dyDescent="0.25">
      <c r="A27588" s="1" t="str">
        <f t="shared" si="994"/>
        <v>38060</v>
      </c>
      <c r="B27588" s="1" t="str">
        <f>"85087"</f>
        <v>85087</v>
      </c>
      <c r="C27588" s="2">
        <v>2.34544275346607E-3</v>
      </c>
      <c r="D27588" s="2">
        <v>1.66352742942082E-3</v>
      </c>
      <c r="E27588" s="2">
        <v>2.62498990388498E-4</v>
      </c>
      <c r="F27588" s="2">
        <v>2.2072025376816701E-3</v>
      </c>
    </row>
    <row r="27589" spans="1:6" x14ac:dyDescent="0.25">
      <c r="A27589" s="1" t="str">
        <f t="shared" si="994"/>
        <v>38060</v>
      </c>
      <c r="B27589" s="1" t="str">
        <f>"85003"</f>
        <v>85003</v>
      </c>
      <c r="C27589" s="2">
        <v>2.4150488347800801E-3</v>
      </c>
      <c r="D27589" s="2">
        <v>5.9243041357438303E-3</v>
      </c>
      <c r="E27589" s="2">
        <v>5.7648816735320204E-3</v>
      </c>
      <c r="F27589" s="2">
        <v>2.8237928389277002E-3</v>
      </c>
    </row>
    <row r="27590" spans="1:6" x14ac:dyDescent="0.25">
      <c r="A27590" s="1" t="str">
        <f t="shared" si="994"/>
        <v>38060</v>
      </c>
      <c r="B27590" s="1" t="str">
        <f>"85017"</f>
        <v>85017</v>
      </c>
      <c r="C27590" s="2">
        <v>5.9216903366535699E-3</v>
      </c>
      <c r="D27590" s="2">
        <v>1.01743484070383E-2</v>
      </c>
      <c r="E27590" s="2">
        <v>7.0571843954446304E-3</v>
      </c>
      <c r="F27590" s="2">
        <v>6.2969336346484703E-3</v>
      </c>
    </row>
    <row r="27591" spans="1:6" x14ac:dyDescent="0.25">
      <c r="A27591" s="1" t="str">
        <f t="shared" si="994"/>
        <v>38060</v>
      </c>
      <c r="B27591" s="1" t="str">
        <f>"85253"</f>
        <v>85253</v>
      </c>
      <c r="C27591" s="2">
        <v>4.2930020961777296E-3</v>
      </c>
      <c r="D27591" s="2">
        <v>4.5505524520930898E-3</v>
      </c>
      <c r="E27591" s="2">
        <v>2.3927792585413101E-3</v>
      </c>
      <c r="F27591" s="2">
        <v>4.2348599506561802E-3</v>
      </c>
    </row>
    <row r="27592" spans="1:6" x14ac:dyDescent="0.25">
      <c r="A27592" s="1" t="str">
        <f t="shared" si="994"/>
        <v>38060</v>
      </c>
      <c r="B27592" s="1" t="str">
        <f>"85254"</f>
        <v>85254</v>
      </c>
      <c r="C27592" s="2">
        <v>1.00778318270044E-2</v>
      </c>
      <c r="D27592" s="2">
        <v>1.15856636132889E-2</v>
      </c>
      <c r="E27592" s="2">
        <v>9.6619820692997304E-3</v>
      </c>
      <c r="F27592" s="2">
        <v>1.0177264528434799E-2</v>
      </c>
    </row>
    <row r="27593" spans="1:6" x14ac:dyDescent="0.25">
      <c r="A27593" s="1" t="str">
        <f t="shared" si="994"/>
        <v>38060</v>
      </c>
      <c r="B27593" s="1" t="str">
        <f>"85244"</f>
        <v>85244</v>
      </c>
      <c r="C27593" s="2">
        <v>9.8671323376214697E-4</v>
      </c>
      <c r="D27593" s="2">
        <v>3.1660683334138202E-3</v>
      </c>
      <c r="E27593" s="2">
        <v>2.01922300298845E-5</v>
      </c>
      <c r="F27593" s="2">
        <v>1.1154189040698201E-3</v>
      </c>
    </row>
    <row r="27594" spans="1:6" x14ac:dyDescent="0.25">
      <c r="A27594" s="1" t="str">
        <f t="shared" si="994"/>
        <v>38060</v>
      </c>
      <c r="B27594" s="1" t="str">
        <f>"85297"</f>
        <v>85297</v>
      </c>
      <c r="C27594" s="2">
        <v>5.5651943255993703E-3</v>
      </c>
      <c r="D27594" s="2">
        <v>7.3517179945371902E-3</v>
      </c>
      <c r="E27594" s="2">
        <v>3.0692189645424401E-3</v>
      </c>
      <c r="F27594" s="2">
        <v>5.6007297908071199E-3</v>
      </c>
    </row>
    <row r="27595" spans="1:6" x14ac:dyDescent="0.25">
      <c r="A27595" s="1" t="str">
        <f t="shared" si="994"/>
        <v>38060</v>
      </c>
      <c r="B27595" s="1" t="str">
        <f>"85298"</f>
        <v>85298</v>
      </c>
      <c r="C27595" s="2">
        <v>6.6930009674304597E-3</v>
      </c>
      <c r="D27595" s="2">
        <v>9.6055293505266902E-4</v>
      </c>
      <c r="E27595" s="2">
        <v>4.34132945642516E-4</v>
      </c>
      <c r="F27595" s="2">
        <v>5.9929923496361403E-3</v>
      </c>
    </row>
    <row r="27596" spans="1:6" x14ac:dyDescent="0.25">
      <c r="A27596" s="1" t="str">
        <f t="shared" si="994"/>
        <v>38060</v>
      </c>
      <c r="B27596" s="1" t="str">
        <f>"85322"</f>
        <v>85322</v>
      </c>
      <c r="C27596" s="2">
        <v>8.3245110760676801E-5</v>
      </c>
      <c r="D27596" s="2">
        <v>5.36621751426072E-5</v>
      </c>
      <c r="E27596" s="2">
        <v>5.0480575074711197E-5</v>
      </c>
      <c r="F27596" s="2">
        <v>7.96135425953185E-5</v>
      </c>
    </row>
    <row r="27597" spans="1:6" x14ac:dyDescent="0.25">
      <c r="A27597" s="1" t="str">
        <f t="shared" si="994"/>
        <v>38060</v>
      </c>
      <c r="B27597" s="1" t="str">
        <f>"85122"</f>
        <v>85122</v>
      </c>
      <c r="C27597" s="2">
        <v>1.34457314776101E-2</v>
      </c>
      <c r="D27597" s="2">
        <v>1.0914886424006299E-2</v>
      </c>
      <c r="E27597" s="2">
        <v>9.8134237945238598E-3</v>
      </c>
      <c r="F27597" s="2">
        <v>1.3100988949474399E-2</v>
      </c>
    </row>
    <row r="27598" spans="1:6" x14ac:dyDescent="0.25">
      <c r="A27598" s="1" t="str">
        <f t="shared" si="994"/>
        <v>38060</v>
      </c>
      <c r="B27598" s="1" t="str">
        <f>"85118"</f>
        <v>85118</v>
      </c>
      <c r="C27598" s="2">
        <v>4.1834195492441804E-3</v>
      </c>
      <c r="D27598" s="2">
        <v>1.15910298308031E-3</v>
      </c>
      <c r="E27598" s="2">
        <v>1.5951861723608701E-3</v>
      </c>
      <c r="F27598" s="2">
        <v>3.8434266995625399E-3</v>
      </c>
    </row>
    <row r="27599" spans="1:6" x14ac:dyDescent="0.25">
      <c r="A27599" s="1" t="str">
        <f t="shared" si="994"/>
        <v>38060</v>
      </c>
      <c r="B27599" s="1" t="str">
        <f>"85120"</f>
        <v>85120</v>
      </c>
      <c r="C27599" s="2">
        <v>8.3212188965460804E-3</v>
      </c>
      <c r="D27599" s="2">
        <v>5.76331761031601E-3</v>
      </c>
      <c r="E27599" s="2">
        <v>7.3701639609078402E-3</v>
      </c>
      <c r="F27599" s="2">
        <v>8.0845064582339803E-3</v>
      </c>
    </row>
    <row r="27600" spans="1:6" x14ac:dyDescent="0.25">
      <c r="A27600" s="1" t="str">
        <f t="shared" si="994"/>
        <v>38060</v>
      </c>
      <c r="B27600" s="1" t="str">
        <f>"85205"</f>
        <v>85205</v>
      </c>
      <c r="C27600" s="2">
        <v>9.99317578216306E-3</v>
      </c>
      <c r="D27600" s="2">
        <v>7.5502680425648299E-3</v>
      </c>
      <c r="E27600" s="2">
        <v>1.05403440755997E-2</v>
      </c>
      <c r="F27600" s="2">
        <v>9.82688201024195E-3</v>
      </c>
    </row>
    <row r="27601" spans="1:6" x14ac:dyDescent="0.25">
      <c r="A27601" s="1" t="str">
        <f t="shared" si="994"/>
        <v>38060</v>
      </c>
      <c r="B27601" s="1" t="str">
        <f>"85172"</f>
        <v>85172</v>
      </c>
      <c r="C27601" s="2">
        <v>9.21810266050433E-5</v>
      </c>
      <c r="D27601" s="2">
        <v>2.3611357062747101E-4</v>
      </c>
      <c r="E27601" s="2">
        <v>1.0096115014942201E-5</v>
      </c>
      <c r="F27601" s="2">
        <v>9.9931582111832101E-5</v>
      </c>
    </row>
    <row r="27602" spans="1:6" x14ac:dyDescent="0.25">
      <c r="A27602" s="1" t="str">
        <f t="shared" si="994"/>
        <v>38060</v>
      </c>
      <c r="B27602" s="1" t="str">
        <f>"85311"</f>
        <v>85311</v>
      </c>
      <c r="C27602" s="2">
        <v>9.0205718892078098E-4</v>
      </c>
      <c r="D27602" s="2">
        <v>1.8513450424199401E-3</v>
      </c>
      <c r="E27602" s="2">
        <v>2.01922300298845E-5</v>
      </c>
      <c r="F27602" s="2">
        <v>9.3919101030414797E-4</v>
      </c>
    </row>
    <row r="27603" spans="1:6" x14ac:dyDescent="0.25">
      <c r="A27603" s="1" t="str">
        <f t="shared" si="994"/>
        <v>38060</v>
      </c>
      <c r="B27603" s="1" t="str">
        <f>"85267"</f>
        <v>85267</v>
      </c>
      <c r="C27603" s="2">
        <v>5.3004090297899904E-4</v>
      </c>
      <c r="D27603" s="2">
        <v>4.6793416724353496E-3</v>
      </c>
      <c r="E27603" s="2">
        <v>2.01922300298845E-5</v>
      </c>
      <c r="F27603" s="2">
        <v>8.2972238923558503E-4</v>
      </c>
    </row>
    <row r="27604" spans="1:6" x14ac:dyDescent="0.25">
      <c r="A27604" s="1" t="str">
        <f t="shared" si="994"/>
        <v>38060</v>
      </c>
      <c r="B27604" s="1" t="str">
        <f>"85539"</f>
        <v>85539</v>
      </c>
      <c r="C27604" s="2">
        <v>3.0570238414937803E-5</v>
      </c>
      <c r="D27604" s="2">
        <v>5.3662175142607203E-6</v>
      </c>
      <c r="E27604" s="2">
        <v>3.02883450448267E-5</v>
      </c>
      <c r="F27604" s="2">
        <v>2.8611116870192598E-5</v>
      </c>
    </row>
    <row r="27605" spans="1:6" x14ac:dyDescent="0.25">
      <c r="A27605" s="1" t="str">
        <f t="shared" ref="A27605:A27668" si="995">"38060"</f>
        <v>38060</v>
      </c>
      <c r="B27605" s="1" t="str">
        <f>"85739"</f>
        <v>85739</v>
      </c>
      <c r="C27605" s="2">
        <v>2.9907099397013799E-3</v>
      </c>
      <c r="D27605" s="2">
        <v>2.3074735311321101E-4</v>
      </c>
      <c r="E27605" s="2">
        <v>9.0865035134480196E-5</v>
      </c>
      <c r="F27605" s="2">
        <v>2.6583459457217998E-3</v>
      </c>
    </row>
    <row r="27606" spans="1:6" x14ac:dyDescent="0.25">
      <c r="A27606" s="1" t="str">
        <f t="shared" si="995"/>
        <v>38060</v>
      </c>
      <c r="B27606" s="1" t="str">
        <f>"85623"</f>
        <v>85623</v>
      </c>
      <c r="C27606" s="2">
        <v>9.9047572464398609E-4</v>
      </c>
      <c r="D27606" s="2">
        <v>4.1856496611233598E-4</v>
      </c>
      <c r="E27606" s="2">
        <v>2.9278733543332502E-4</v>
      </c>
      <c r="F27606" s="2">
        <v>9.1762900918458299E-4</v>
      </c>
    </row>
    <row r="27607" spans="1:6" x14ac:dyDescent="0.25">
      <c r="A27607" s="1" t="str">
        <f t="shared" si="995"/>
        <v>38060</v>
      </c>
      <c r="B27607" s="1" t="str">
        <f>"85029"</f>
        <v>85029</v>
      </c>
      <c r="C27607" s="2">
        <v>8.8592550926489804E-3</v>
      </c>
      <c r="D27607" s="2">
        <v>8.1405519691335106E-3</v>
      </c>
      <c r="E27607" s="2">
        <v>1.01667878200468E-2</v>
      </c>
      <c r="F27607" s="2">
        <v>8.8574212675968707E-3</v>
      </c>
    </row>
    <row r="27608" spans="1:6" x14ac:dyDescent="0.25">
      <c r="A27608" s="1" t="str">
        <f t="shared" si="995"/>
        <v>38060</v>
      </c>
      <c r="B27608" s="1" t="str">
        <f>"85031"</f>
        <v>85031</v>
      </c>
      <c r="C27608" s="2">
        <v>4.1462649517860304E-3</v>
      </c>
      <c r="D27608" s="2">
        <v>3.1016737232426898E-3</v>
      </c>
      <c r="E27608" s="2">
        <v>2.3422986834666002E-3</v>
      </c>
      <c r="F27608" s="2">
        <v>3.9914581303257101E-3</v>
      </c>
    </row>
    <row r="27609" spans="1:6" x14ac:dyDescent="0.25">
      <c r="A27609" s="1" t="str">
        <f t="shared" si="995"/>
        <v>38060</v>
      </c>
      <c r="B27609" s="1" t="str">
        <f>"85044"</f>
        <v>85044</v>
      </c>
      <c r="C27609" s="2">
        <v>9.0676030252307901E-3</v>
      </c>
      <c r="D27609" s="2">
        <v>5.3554850792321999E-3</v>
      </c>
      <c r="E27609" s="2">
        <v>1.21153380179307E-2</v>
      </c>
      <c r="F27609" s="2">
        <v>8.9059357701158897E-3</v>
      </c>
    </row>
    <row r="27610" spans="1:6" x14ac:dyDescent="0.25">
      <c r="A27610" s="1" t="str">
        <f t="shared" si="995"/>
        <v>38060</v>
      </c>
      <c r="B27610" s="1" t="str">
        <f>"85020"</f>
        <v>85020</v>
      </c>
      <c r="C27610" s="2">
        <v>8.6400899987818906E-3</v>
      </c>
      <c r="D27610" s="2">
        <v>8.9186535087013193E-3</v>
      </c>
      <c r="E27610" s="2">
        <v>1.9081657378240802E-2</v>
      </c>
      <c r="F27610" s="2">
        <v>9.0904567412352505E-3</v>
      </c>
    </row>
    <row r="27611" spans="1:6" x14ac:dyDescent="0.25">
      <c r="A27611" s="1" t="str">
        <f t="shared" si="995"/>
        <v>38060</v>
      </c>
      <c r="B27611" s="1" t="str">
        <f>"85138"</f>
        <v>85138</v>
      </c>
      <c r="C27611" s="2">
        <v>9.0972326409252697E-3</v>
      </c>
      <c r="D27611" s="2">
        <v>9.7665158759545107E-4</v>
      </c>
      <c r="E27611" s="2">
        <v>5.2499798077699697E-4</v>
      </c>
      <c r="F27611" s="2">
        <v>8.1176787676486995E-3</v>
      </c>
    </row>
    <row r="27612" spans="1:6" x14ac:dyDescent="0.25">
      <c r="A27612" s="1" t="str">
        <f t="shared" si="995"/>
        <v>38060</v>
      </c>
      <c r="B27612" s="1" t="str">
        <f>"85193"</f>
        <v>85193</v>
      </c>
      <c r="C27612" s="2">
        <v>8.2680737128401096E-4</v>
      </c>
      <c r="D27612" s="2">
        <v>3.27339268369904E-4</v>
      </c>
      <c r="E27612" s="2">
        <v>3.23075680478152E-4</v>
      </c>
      <c r="F27612" s="2">
        <v>7.6752430908299195E-4</v>
      </c>
    </row>
    <row r="27613" spans="1:6" x14ac:dyDescent="0.25">
      <c r="A27613" s="1" t="str">
        <f t="shared" si="995"/>
        <v>38060</v>
      </c>
      <c r="B27613" s="1" t="str">
        <f>"85202"</f>
        <v>85202</v>
      </c>
      <c r="C27613" s="2">
        <v>8.5192199792028297E-3</v>
      </c>
      <c r="D27613" s="2">
        <v>1.12529581274047E-2</v>
      </c>
      <c r="E27613" s="2">
        <v>5.5225749131734099E-3</v>
      </c>
      <c r="F27613" s="2">
        <v>8.6073849853834494E-3</v>
      </c>
    </row>
    <row r="27614" spans="1:6" x14ac:dyDescent="0.25">
      <c r="A27614" s="1" t="str">
        <f t="shared" si="995"/>
        <v>38060</v>
      </c>
      <c r="B27614" s="1" t="str">
        <f>"85117"</f>
        <v>85117</v>
      </c>
      <c r="C27614" s="2">
        <v>1.36108107650507E-3</v>
      </c>
      <c r="D27614" s="2">
        <v>1.43278007630761E-3</v>
      </c>
      <c r="E27614" s="2">
        <v>2.01922300298845E-5</v>
      </c>
      <c r="F27614" s="2">
        <v>1.31155018348433E-3</v>
      </c>
    </row>
    <row r="27615" spans="1:6" x14ac:dyDescent="0.25">
      <c r="A27615" s="1" t="str">
        <f t="shared" si="995"/>
        <v>38060</v>
      </c>
      <c r="B27615" s="1" t="str">
        <f>"85131"</f>
        <v>85131</v>
      </c>
      <c r="C27615" s="2">
        <v>2.7089934349237201E-3</v>
      </c>
      <c r="D27615" s="2">
        <v>1.67425986444934E-3</v>
      </c>
      <c r="E27615" s="2">
        <v>2.5139326387206202E-3</v>
      </c>
      <c r="F27615" s="2">
        <v>2.62102709763025E-3</v>
      </c>
    </row>
    <row r="27616" spans="1:6" x14ac:dyDescent="0.25">
      <c r="A27616" s="1" t="str">
        <f t="shared" si="995"/>
        <v>38060</v>
      </c>
      <c r="B27616" s="1" t="str">
        <f>"85395"</f>
        <v>85395</v>
      </c>
      <c r="C27616" s="2">
        <v>7.10969683259408E-3</v>
      </c>
      <c r="D27616" s="2">
        <v>3.6275630396402402E-3</v>
      </c>
      <c r="E27616" s="2">
        <v>1.8273968177045399E-3</v>
      </c>
      <c r="F27616" s="2">
        <v>6.6236808823834301E-3</v>
      </c>
    </row>
    <row r="27617" spans="1:6" x14ac:dyDescent="0.25">
      <c r="A27617" s="1" t="str">
        <f t="shared" si="995"/>
        <v>38060</v>
      </c>
      <c r="B27617" s="1" t="str">
        <f>"85658"</f>
        <v>85658</v>
      </c>
      <c r="C27617" s="2">
        <v>2.5161657772294899E-4</v>
      </c>
      <c r="D27617" s="2">
        <v>0</v>
      </c>
      <c r="E27617" s="2">
        <v>0</v>
      </c>
      <c r="F27617" s="2">
        <v>2.2183981921091299E-4</v>
      </c>
    </row>
    <row r="27618" spans="1:6" x14ac:dyDescent="0.25">
      <c r="A27618" s="1" t="str">
        <f t="shared" si="995"/>
        <v>38060</v>
      </c>
      <c r="B27618" s="1" t="str">
        <f>"85022"</f>
        <v>85022</v>
      </c>
      <c r="C27618" s="2">
        <v>1.09093423118907E-2</v>
      </c>
      <c r="D27618" s="2">
        <v>5.72038787020193E-3</v>
      </c>
      <c r="E27618" s="2">
        <v>3.1429206041515202E-2</v>
      </c>
      <c r="F27618" s="2">
        <v>1.13511496278481E-2</v>
      </c>
    </row>
    <row r="27619" spans="1:6" x14ac:dyDescent="0.25">
      <c r="A27619" s="1" t="str">
        <f t="shared" si="995"/>
        <v>38060</v>
      </c>
      <c r="B27619" s="1" t="str">
        <f>"85046"</f>
        <v>85046</v>
      </c>
      <c r="C27619" s="2">
        <v>5.4791273466773204E-4</v>
      </c>
      <c r="D27619" s="2">
        <v>1.48107603393595E-3</v>
      </c>
      <c r="E27619" s="2">
        <v>2.01922300298845E-5</v>
      </c>
      <c r="F27619" s="2">
        <v>5.9834553106794105E-4</v>
      </c>
    </row>
    <row r="27620" spans="1:6" x14ac:dyDescent="0.25">
      <c r="A27620" s="1" t="str">
        <f t="shared" si="995"/>
        <v>38060</v>
      </c>
      <c r="B27620" s="1" t="str">
        <f>"85067"</f>
        <v>85067</v>
      </c>
      <c r="C27620" s="2">
        <v>6.2457348638519103E-4</v>
      </c>
      <c r="D27620" s="2">
        <v>1.70109095202064E-3</v>
      </c>
      <c r="E27620" s="2">
        <v>2.01922300298845E-5</v>
      </c>
      <c r="F27620" s="2">
        <v>6.8293492007546704E-4</v>
      </c>
    </row>
    <row r="27621" spans="1:6" x14ac:dyDescent="0.25">
      <c r="A27621" s="1" t="str">
        <f t="shared" si="995"/>
        <v>38060</v>
      </c>
      <c r="B27621" s="1" t="str">
        <f>"85008"</f>
        <v>85008</v>
      </c>
      <c r="C27621" s="2">
        <v>1.1293586693198399E-2</v>
      </c>
      <c r="D27621" s="2">
        <v>1.1757382573745199E-2</v>
      </c>
      <c r="E27621" s="2">
        <v>1.86879088926581E-2</v>
      </c>
      <c r="F27621" s="2">
        <v>1.16331142578732E-2</v>
      </c>
    </row>
    <row r="27622" spans="1:6" x14ac:dyDescent="0.25">
      <c r="A27622" s="1" t="str">
        <f t="shared" si="995"/>
        <v>38060</v>
      </c>
      <c r="B27622" s="1" t="str">
        <f>"85016"</f>
        <v>85016</v>
      </c>
      <c r="C27622" s="2">
        <v>1.0184122194416299E-2</v>
      </c>
      <c r="D27622" s="2">
        <v>2.2237605379096401E-2</v>
      </c>
      <c r="E27622" s="2">
        <v>1.9202810758420098E-2</v>
      </c>
      <c r="F27622" s="2">
        <v>1.14859121348454E-2</v>
      </c>
    </row>
    <row r="27623" spans="1:6" x14ac:dyDescent="0.25">
      <c r="A27623" s="1" t="str">
        <f t="shared" si="995"/>
        <v>38060</v>
      </c>
      <c r="B27623" s="1" t="str">
        <f>"85338"</f>
        <v>85338</v>
      </c>
      <c r="C27623" s="2">
        <v>1.13373256496998E-2</v>
      </c>
      <c r="D27623" s="2">
        <v>8.5913142403314102E-3</v>
      </c>
      <c r="E27623" s="2">
        <v>2.2817219933769402E-3</v>
      </c>
      <c r="F27623" s="2">
        <v>1.0753218750647799E-2</v>
      </c>
    </row>
    <row r="27624" spans="1:6" x14ac:dyDescent="0.25">
      <c r="A27624" s="1" t="str">
        <f t="shared" si="995"/>
        <v>38060</v>
      </c>
      <c r="B27624" s="1" t="str">
        <f>"85378"</f>
        <v>85378</v>
      </c>
      <c r="C27624" s="2">
        <v>2.3967066917311201E-3</v>
      </c>
      <c r="D27624" s="2">
        <v>2.82263041250114E-3</v>
      </c>
      <c r="E27624" s="2">
        <v>2.5644132137953302E-3</v>
      </c>
      <c r="F27624" s="2">
        <v>2.43650612651089E-3</v>
      </c>
    </row>
    <row r="27625" spans="1:6" x14ac:dyDescent="0.25">
      <c r="A27625" s="1" t="str">
        <f t="shared" si="995"/>
        <v>38060</v>
      </c>
      <c r="B27625" s="1" t="str">
        <f>"85342"</f>
        <v>85342</v>
      </c>
      <c r="C27625" s="2">
        <v>3.2733670671994901E-4</v>
      </c>
      <c r="D27625" s="2">
        <v>3.7563522599825E-5</v>
      </c>
      <c r="E27625" s="2">
        <v>1.00961150149422E-4</v>
      </c>
      <c r="F27625" s="2">
        <v>2.9564820765865598E-4</v>
      </c>
    </row>
    <row r="27626" spans="1:6" x14ac:dyDescent="0.25">
      <c r="A27626" s="1" t="str">
        <f t="shared" si="995"/>
        <v>38060</v>
      </c>
      <c r="B27626" s="1" t="str">
        <f>"85376"</f>
        <v>85376</v>
      </c>
      <c r="C27626" s="2">
        <v>3.6872410642017298E-4</v>
      </c>
      <c r="D27626" s="2">
        <v>5.3125553391181104E-4</v>
      </c>
      <c r="E27626" s="2">
        <v>2.01922300298845E-5</v>
      </c>
      <c r="F27626" s="2">
        <v>3.6696867290029599E-4</v>
      </c>
    </row>
    <row r="27627" spans="1:6" x14ac:dyDescent="0.25">
      <c r="A27627" s="1" t="str">
        <f t="shared" si="995"/>
        <v>38060</v>
      </c>
      <c r="B27627" s="1" t="str">
        <f>"85234"</f>
        <v>85234</v>
      </c>
      <c r="C27627" s="2">
        <v>8.5845932582747694E-3</v>
      </c>
      <c r="D27627" s="2">
        <v>9.1654995143573108E-3</v>
      </c>
      <c r="E27627" s="2">
        <v>4.0081576609320704E-3</v>
      </c>
      <c r="F27627" s="2">
        <v>8.4415234383098704E-3</v>
      </c>
    </row>
    <row r="27628" spans="1:6" x14ac:dyDescent="0.25">
      <c r="A27628" s="1" t="str">
        <f t="shared" si="995"/>
        <v>38060</v>
      </c>
      <c r="B27628" s="1" t="str">
        <f>"85262"</f>
        <v>85262</v>
      </c>
      <c r="C27628" s="2">
        <v>4.5413264943790698E-3</v>
      </c>
      <c r="D27628" s="2">
        <v>1.21276515822292E-3</v>
      </c>
      <c r="E27628" s="2">
        <v>1.72643566755512E-3</v>
      </c>
      <c r="F27628" s="2">
        <v>4.1685153318267503E-3</v>
      </c>
    </row>
    <row r="27629" spans="1:6" x14ac:dyDescent="0.25">
      <c r="A27629" s="1" t="str">
        <f t="shared" si="995"/>
        <v>38060</v>
      </c>
      <c r="B27629" s="1" t="str">
        <f>"85263"</f>
        <v>85263</v>
      </c>
      <c r="C27629" s="2">
        <v>1.2957077974331301E-3</v>
      </c>
      <c r="D27629" s="2">
        <v>1.8245139548486399E-4</v>
      </c>
      <c r="E27629" s="2">
        <v>2.1201841531378701E-4</v>
      </c>
      <c r="F27629" s="2">
        <v>1.1651773681919E-3</v>
      </c>
    </row>
    <row r="27630" spans="1:6" x14ac:dyDescent="0.25">
      <c r="A27630" s="1" t="str">
        <f t="shared" si="995"/>
        <v>38060</v>
      </c>
      <c r="B27630" s="1" t="str">
        <f>"85305"</f>
        <v>85305</v>
      </c>
      <c r="C27630" s="2">
        <v>2.69864658499866E-3</v>
      </c>
      <c r="D27630" s="2">
        <v>2.59188305938792E-3</v>
      </c>
      <c r="E27630" s="2">
        <v>8.4807366125514902E-4</v>
      </c>
      <c r="F27630" s="2">
        <v>2.6143926357473E-3</v>
      </c>
    </row>
    <row r="27631" spans="1:6" x14ac:dyDescent="0.25">
      <c r="A27631" s="1" t="str">
        <f t="shared" si="995"/>
        <v>38060</v>
      </c>
      <c r="B27631" s="1" t="str">
        <f>"85308"</f>
        <v>85308</v>
      </c>
      <c r="C27631" s="2">
        <v>1.2916631197351499E-2</v>
      </c>
      <c r="D27631" s="2">
        <v>1.4735633294159899E-2</v>
      </c>
      <c r="E27631" s="2">
        <v>9.1975607786123799E-3</v>
      </c>
      <c r="F27631" s="2">
        <v>1.29044430161922E-2</v>
      </c>
    </row>
    <row r="27632" spans="1:6" x14ac:dyDescent="0.25">
      <c r="A27632" s="1" t="str">
        <f t="shared" si="995"/>
        <v>38060</v>
      </c>
      <c r="B27632" s="1" t="str">
        <f>"85303"</f>
        <v>85303</v>
      </c>
      <c r="C27632" s="2">
        <v>4.7999977425054697E-3</v>
      </c>
      <c r="D27632" s="2">
        <v>2.0820923955331598E-3</v>
      </c>
      <c r="E27632" s="2">
        <v>2.9884500444229E-3</v>
      </c>
      <c r="F27632" s="2">
        <v>4.5155806190782201E-3</v>
      </c>
    </row>
    <row r="27633" spans="1:6" x14ac:dyDescent="0.25">
      <c r="A27633" s="1" t="str">
        <f t="shared" si="995"/>
        <v>38060</v>
      </c>
      <c r="B27633" s="1" t="str">
        <f>"85392"</f>
        <v>85392</v>
      </c>
      <c r="C27633" s="2">
        <v>6.5222779436670403E-3</v>
      </c>
      <c r="D27633" s="2">
        <v>4.0568604407810998E-3</v>
      </c>
      <c r="E27633" s="2">
        <v>1.46393667716662E-3</v>
      </c>
      <c r="F27633" s="2">
        <v>6.1240229718242598E-3</v>
      </c>
    </row>
    <row r="27634" spans="1:6" x14ac:dyDescent="0.25">
      <c r="A27634" s="1" t="str">
        <f t="shared" si="995"/>
        <v>38060</v>
      </c>
      <c r="B27634" s="1" t="str">
        <f>"85001"</f>
        <v>85001</v>
      </c>
      <c r="C27634" s="2">
        <v>5.9635480477140197E-4</v>
      </c>
      <c r="D27634" s="2">
        <v>1.1376381130232701E-3</v>
      </c>
      <c r="E27634" s="2">
        <v>3.7355625555286298E-4</v>
      </c>
      <c r="F27634" s="2">
        <v>6.2902991727655302E-4</v>
      </c>
    </row>
    <row r="27635" spans="1:6" x14ac:dyDescent="0.25">
      <c r="A27635" s="1" t="str">
        <f t="shared" si="995"/>
        <v>38060</v>
      </c>
      <c r="B27635" s="1" t="str">
        <f>"85121"</f>
        <v>85121</v>
      </c>
      <c r="C27635" s="2">
        <v>3.4520853840868201E-4</v>
      </c>
      <c r="D27635" s="2">
        <v>7.5127045199650095E-5</v>
      </c>
      <c r="E27635" s="2">
        <v>1.0096115014942201E-5</v>
      </c>
      <c r="F27635" s="2">
        <v>3.1057574689527902E-4</v>
      </c>
    </row>
    <row r="27636" spans="1:6" x14ac:dyDescent="0.25">
      <c r="A27636" s="1" t="str">
        <f t="shared" si="995"/>
        <v>38060</v>
      </c>
      <c r="B27636" s="1" t="str">
        <f>"85026"</f>
        <v>85026</v>
      </c>
      <c r="C27636" s="2">
        <v>0</v>
      </c>
      <c r="D27636" s="2">
        <v>2.4684600565599298E-4</v>
      </c>
      <c r="E27636" s="2">
        <v>2.01922300298845E-5</v>
      </c>
      <c r="F27636" s="2">
        <v>1.9903385648829601E-5</v>
      </c>
    </row>
    <row r="27637" spans="1:6" x14ac:dyDescent="0.25">
      <c r="A27637" s="1" t="str">
        <f t="shared" si="995"/>
        <v>38060</v>
      </c>
      <c r="B27637" s="1" t="str">
        <f>"85070"</f>
        <v>85070</v>
      </c>
      <c r="C27637" s="2">
        <v>5.3662526202221598E-4</v>
      </c>
      <c r="D27637" s="2">
        <v>1.2986246384510899E-3</v>
      </c>
      <c r="E27637" s="2">
        <v>2.01922300298845E-5</v>
      </c>
      <c r="F27637" s="2">
        <v>5.7429560674227096E-4</v>
      </c>
    </row>
    <row r="27638" spans="1:6" x14ac:dyDescent="0.25">
      <c r="A27638" s="1" t="str">
        <f t="shared" si="995"/>
        <v>38060</v>
      </c>
      <c r="B27638" s="1" t="str">
        <f>"85216"</f>
        <v>85216</v>
      </c>
      <c r="C27638" s="2">
        <v>9.3168680461525901E-4</v>
      </c>
      <c r="D27638" s="2">
        <v>2.1464870057042798E-3</v>
      </c>
      <c r="E27638" s="2">
        <v>2.01922300298845E-5</v>
      </c>
      <c r="F27638" s="2">
        <v>9.8812016669085393E-4</v>
      </c>
    </row>
    <row r="27639" spans="1:6" x14ac:dyDescent="0.25">
      <c r="A27639" s="1" t="str">
        <f t="shared" si="995"/>
        <v>38060</v>
      </c>
      <c r="B27639" s="1" t="str">
        <f>"85320"</f>
        <v>85320</v>
      </c>
      <c r="C27639" s="2">
        <v>3.9976465619534097E-5</v>
      </c>
      <c r="D27639" s="2">
        <v>0</v>
      </c>
      <c r="E27639" s="2">
        <v>3.02883450448267E-5</v>
      </c>
      <c r="F27639" s="2">
        <v>3.64895403561876E-5</v>
      </c>
    </row>
    <row r="27640" spans="1:6" x14ac:dyDescent="0.25">
      <c r="A27640" s="1" t="str">
        <f t="shared" si="995"/>
        <v>38060</v>
      </c>
      <c r="B27640" s="1" t="str">
        <f>"85631"</f>
        <v>85631</v>
      </c>
      <c r="C27640" s="2">
        <v>8.4561982569320297E-4</v>
      </c>
      <c r="D27640" s="2">
        <v>3.8636766102677198E-4</v>
      </c>
      <c r="E27640" s="2">
        <v>2.8269122041838299E-4</v>
      </c>
      <c r="F27640" s="2">
        <v>7.8701304086413796E-4</v>
      </c>
    </row>
    <row r="27641" spans="1:6" x14ac:dyDescent="0.25">
      <c r="A27641" s="1" t="str">
        <f t="shared" si="995"/>
        <v>38060</v>
      </c>
      <c r="B27641" s="1" t="str">
        <f>"85035"</f>
        <v>85035</v>
      </c>
      <c r="C27641" s="2">
        <v>7.3735415056829998E-3</v>
      </c>
      <c r="D27641" s="2">
        <v>1.9855004802764599E-3</v>
      </c>
      <c r="E27641" s="2">
        <v>2.1100880381229301E-3</v>
      </c>
      <c r="F27641" s="2">
        <v>6.7410279269379796E-3</v>
      </c>
    </row>
    <row r="27642" spans="1:6" x14ac:dyDescent="0.25">
      <c r="A27642" s="1" t="str">
        <f t="shared" si="995"/>
        <v>38060</v>
      </c>
      <c r="B27642" s="1" t="str">
        <f>"85037"</f>
        <v>85037</v>
      </c>
      <c r="C27642" s="2">
        <v>7.1520248550147603E-3</v>
      </c>
      <c r="D27642" s="2">
        <v>3.2250967260706899E-3</v>
      </c>
      <c r="E27642" s="2">
        <v>4.1595993861561998E-3</v>
      </c>
      <c r="F27642" s="2">
        <v>6.7256857338336799E-3</v>
      </c>
    </row>
    <row r="27643" spans="1:6" x14ac:dyDescent="0.25">
      <c r="A27643" s="1" t="str">
        <f t="shared" si="995"/>
        <v>38060</v>
      </c>
      <c r="B27643" s="1" t="str">
        <f>"85004"</f>
        <v>85004</v>
      </c>
      <c r="C27643" s="2">
        <v>2.8985289130963299E-3</v>
      </c>
      <c r="D27643" s="2">
        <v>1.11670986471765E-2</v>
      </c>
      <c r="E27643" s="2">
        <v>6.1081495840400596E-3</v>
      </c>
      <c r="F27643" s="2">
        <v>3.6692720751352798E-3</v>
      </c>
    </row>
    <row r="27644" spans="1:6" x14ac:dyDescent="0.25">
      <c r="A27644" s="1" t="str">
        <f t="shared" si="995"/>
        <v>38060</v>
      </c>
      <c r="B27644" s="1" t="str">
        <f>"85009"</f>
        <v>85009</v>
      </c>
      <c r="C27644" s="2">
        <v>6.7423836602545899E-3</v>
      </c>
      <c r="D27644" s="2">
        <v>1.5562030791356001E-2</v>
      </c>
      <c r="E27644" s="2">
        <v>2.8319602616912999E-2</v>
      </c>
      <c r="F27644" s="2">
        <v>8.3100781622540507E-3</v>
      </c>
    </row>
    <row r="27645" spans="1:6" x14ac:dyDescent="0.25">
      <c r="A27645" s="1" t="str">
        <f t="shared" si="995"/>
        <v>38060</v>
      </c>
      <c r="B27645" s="1" t="str">
        <f>"85005"</f>
        <v>85005</v>
      </c>
      <c r="C27645" s="2">
        <v>7.7366218757804201E-4</v>
      </c>
      <c r="D27645" s="2">
        <v>1.5347382090785599E-3</v>
      </c>
      <c r="E27645" s="2">
        <v>2.01922300298845E-5</v>
      </c>
      <c r="F27645" s="2">
        <v>8.01525926233076E-4</v>
      </c>
    </row>
    <row r="27646" spans="1:6" x14ac:dyDescent="0.25">
      <c r="A27646" s="1" t="str">
        <f t="shared" si="995"/>
        <v>38060</v>
      </c>
      <c r="B27646" s="1" t="str">
        <f>"85339"</f>
        <v>85339</v>
      </c>
      <c r="C27646" s="2">
        <v>7.0382095058391502E-3</v>
      </c>
      <c r="D27646" s="2">
        <v>2.6884749746446199E-3</v>
      </c>
      <c r="E27646" s="2">
        <v>9.0865035134480199E-4</v>
      </c>
      <c r="F27646" s="2">
        <v>6.4503555656915297E-3</v>
      </c>
    </row>
    <row r="27647" spans="1:6" x14ac:dyDescent="0.25">
      <c r="A27647" s="1" t="str">
        <f t="shared" si="995"/>
        <v>38060</v>
      </c>
      <c r="B27647" s="1" t="str">
        <f>"85331"</f>
        <v>85331</v>
      </c>
      <c r="C27647" s="2">
        <v>6.41410633081418E-3</v>
      </c>
      <c r="D27647" s="2">
        <v>3.5363373418978101E-3</v>
      </c>
      <c r="E27647" s="2">
        <v>1.72643566755512E-3</v>
      </c>
      <c r="F27647" s="2">
        <v>5.9992121576514E-3</v>
      </c>
    </row>
    <row r="27648" spans="1:6" x14ac:dyDescent="0.25">
      <c r="A27648" s="1" t="str">
        <f t="shared" si="995"/>
        <v>38060</v>
      </c>
      <c r="B27648" s="1" t="str">
        <f>"85363"</f>
        <v>85363</v>
      </c>
      <c r="C27648" s="2">
        <v>1.322045233606E-3</v>
      </c>
      <c r="D27648" s="2">
        <v>1.23423002827996E-3</v>
      </c>
      <c r="E27648" s="2">
        <v>1.18124545674824E-3</v>
      </c>
      <c r="F27648" s="2">
        <v>1.30947691414591E-3</v>
      </c>
    </row>
    <row r="27649" spans="1:6" x14ac:dyDescent="0.25">
      <c r="A27649" s="1" t="str">
        <f t="shared" si="995"/>
        <v>38060</v>
      </c>
      <c r="B27649" s="1" t="str">
        <f>"85213"</f>
        <v>85213</v>
      </c>
      <c r="C27649" s="2">
        <v>7.3834180442478303E-3</v>
      </c>
      <c r="D27649" s="2">
        <v>2.9836169379289599E-3</v>
      </c>
      <c r="E27649" s="2">
        <v>3.5538324852596699E-3</v>
      </c>
      <c r="F27649" s="2">
        <v>6.8861567806273701E-3</v>
      </c>
    </row>
    <row r="27650" spans="1:6" x14ac:dyDescent="0.25">
      <c r="A27650" s="1" t="str">
        <f t="shared" si="995"/>
        <v>38060</v>
      </c>
      <c r="B27650" s="1" t="str">
        <f>"85212"</f>
        <v>85212</v>
      </c>
      <c r="C27650" s="2">
        <v>8.0300961645638196E-3</v>
      </c>
      <c r="D27650" s="2">
        <v>5.1891323362901103E-3</v>
      </c>
      <c r="E27650" s="2">
        <v>3.3821985300056499E-3</v>
      </c>
      <c r="F27650" s="2">
        <v>7.6196794725602798E-3</v>
      </c>
    </row>
    <row r="27651" spans="1:6" x14ac:dyDescent="0.25">
      <c r="A27651" s="1" t="str">
        <f t="shared" si="995"/>
        <v>38060</v>
      </c>
      <c r="B27651" s="1" t="str">
        <f>"85260"</f>
        <v>85260</v>
      </c>
      <c r="C27651" s="2">
        <v>9.5007597880024507E-3</v>
      </c>
      <c r="D27651" s="2">
        <v>2.8419487955524701E-2</v>
      </c>
      <c r="E27651" s="2">
        <v>3.3751312494951898E-2</v>
      </c>
      <c r="F27651" s="2">
        <v>1.1958617544005099E-2</v>
      </c>
    </row>
    <row r="27652" spans="1:6" x14ac:dyDescent="0.25">
      <c r="A27652" s="1" t="str">
        <f t="shared" si="995"/>
        <v>38060</v>
      </c>
      <c r="B27652" s="1" t="str">
        <f>"85295"</f>
        <v>85295</v>
      </c>
      <c r="C27652" s="2">
        <v>9.0121062847236706E-3</v>
      </c>
      <c r="D27652" s="2">
        <v>1.16285933534029E-2</v>
      </c>
      <c r="E27652" s="2">
        <v>5.6841127534124798E-3</v>
      </c>
      <c r="F27652" s="2">
        <v>9.0776024713370498E-3</v>
      </c>
    </row>
    <row r="27653" spans="1:6" x14ac:dyDescent="0.25">
      <c r="A27653" s="1" t="str">
        <f t="shared" si="995"/>
        <v>38060</v>
      </c>
      <c r="B27653" s="1" t="str">
        <f>"85296"</f>
        <v>85296</v>
      </c>
      <c r="C27653" s="2">
        <v>8.4082264981885906E-3</v>
      </c>
      <c r="D27653" s="2">
        <v>6.8419273306824201E-3</v>
      </c>
      <c r="E27653" s="2">
        <v>3.0187383894677302E-3</v>
      </c>
      <c r="F27653" s="2">
        <v>8.0658470341882105E-3</v>
      </c>
    </row>
    <row r="27654" spans="1:6" x14ac:dyDescent="0.25">
      <c r="A27654" s="1" t="str">
        <f t="shared" si="995"/>
        <v>38060</v>
      </c>
      <c r="B27654" s="1" t="str">
        <f>"85301"</f>
        <v>85301</v>
      </c>
      <c r="C27654" s="2">
        <v>1.17413231081372E-2</v>
      </c>
      <c r="D27654" s="2">
        <v>1.4918084689644799E-2</v>
      </c>
      <c r="E27654" s="2">
        <v>1.5891285033519099E-2</v>
      </c>
      <c r="F27654" s="2">
        <v>1.2157236746625701E-2</v>
      </c>
    </row>
    <row r="27655" spans="1:6" x14ac:dyDescent="0.25">
      <c r="A27655" s="1" t="str">
        <f t="shared" si="995"/>
        <v>38060</v>
      </c>
      <c r="B27655" s="1" t="str">
        <f>"85268"</f>
        <v>85268</v>
      </c>
      <c r="C27655" s="2">
        <v>6.8604318116722799E-3</v>
      </c>
      <c r="D27655" s="2">
        <v>6.16041770637131E-3</v>
      </c>
      <c r="E27655" s="2">
        <v>1.9000888458121298E-2</v>
      </c>
      <c r="F27655" s="2">
        <v>7.3049571869881601E-3</v>
      </c>
    </row>
    <row r="27656" spans="1:6" x14ac:dyDescent="0.25">
      <c r="A27656" s="1" t="str">
        <f t="shared" si="995"/>
        <v>38060</v>
      </c>
      <c r="B27656" s="1" t="str">
        <f>"85306"</f>
        <v>85306</v>
      </c>
      <c r="C27656" s="2">
        <v>4.6885339501309999E-3</v>
      </c>
      <c r="D27656" s="2">
        <v>4.0192969181812796E-3</v>
      </c>
      <c r="E27656" s="2">
        <v>1.46393667716662E-3</v>
      </c>
      <c r="F27656" s="2">
        <v>4.5043849646507501E-3</v>
      </c>
    </row>
    <row r="27657" spans="1:6" x14ac:dyDescent="0.25">
      <c r="A27657" s="1" t="str">
        <f t="shared" si="995"/>
        <v>38060</v>
      </c>
      <c r="B27657" s="1" t="str">
        <f>"85310"</f>
        <v>85310</v>
      </c>
      <c r="C27657" s="2">
        <v>3.34673563939534E-3</v>
      </c>
      <c r="D27657" s="2">
        <v>3.0104480255002601E-3</v>
      </c>
      <c r="E27657" s="2">
        <v>5.6538244083676598E-4</v>
      </c>
      <c r="F27657" s="2">
        <v>3.2065183587999899E-3</v>
      </c>
    </row>
    <row r="27658" spans="1:6" x14ac:dyDescent="0.25">
      <c r="A27658" s="1" t="str">
        <f t="shared" si="995"/>
        <v>38060</v>
      </c>
      <c r="B27658" s="1" t="str">
        <f>"85307"</f>
        <v>85307</v>
      </c>
      <c r="C27658" s="2">
        <v>2.0336263216337099E-3</v>
      </c>
      <c r="D27658" s="2">
        <v>1.3093570734796099E-3</v>
      </c>
      <c r="E27658" s="2">
        <v>2.4735481786608499E-3</v>
      </c>
      <c r="F27658" s="2">
        <v>1.9957290651628498E-3</v>
      </c>
    </row>
    <row r="27659" spans="1:6" x14ac:dyDescent="0.25">
      <c r="A27659" s="1" t="str">
        <f t="shared" si="995"/>
        <v>38060</v>
      </c>
      <c r="B27659" s="1" t="str">
        <f>"85269"</f>
        <v>85269</v>
      </c>
      <c r="C27659" s="2">
        <v>1.0925332898138499E-3</v>
      </c>
      <c r="D27659" s="2">
        <v>2.4899249266169699E-3</v>
      </c>
      <c r="E27659" s="2">
        <v>2.01922300298845E-5</v>
      </c>
      <c r="F27659" s="2">
        <v>1.15646963697053E-3</v>
      </c>
    </row>
    <row r="27660" spans="1:6" x14ac:dyDescent="0.25">
      <c r="A27660" s="1" t="str">
        <f t="shared" si="995"/>
        <v>38060</v>
      </c>
      <c r="B27660" s="1" t="str">
        <f>"85140"</f>
        <v>85140</v>
      </c>
      <c r="C27660" s="2">
        <v>7.6463220946162902E-3</v>
      </c>
      <c r="D27660" s="2">
        <v>3.2250967260706899E-3</v>
      </c>
      <c r="E27660" s="2">
        <v>1.00961150149422E-3</v>
      </c>
      <c r="F27660" s="2">
        <v>7.0321149420521202E-3</v>
      </c>
    </row>
    <row r="27661" spans="1:6" x14ac:dyDescent="0.25">
      <c r="A27661" s="1" t="str">
        <f t="shared" si="995"/>
        <v>38060</v>
      </c>
      <c r="B27661" s="1" t="str">
        <f>"85194"</f>
        <v>85194</v>
      </c>
      <c r="C27661" s="2">
        <v>1.9174594156569399E-3</v>
      </c>
      <c r="D27661" s="2">
        <v>8.1029884465336904E-4</v>
      </c>
      <c r="E27661" s="2">
        <v>6.2293029642193597E-3</v>
      </c>
      <c r="F27661" s="2">
        <v>2.0089979889287399E-3</v>
      </c>
    </row>
    <row r="27662" spans="1:6" x14ac:dyDescent="0.25">
      <c r="A27662" s="1" t="str">
        <f t="shared" si="995"/>
        <v>38060</v>
      </c>
      <c r="B27662" s="1" t="str">
        <f>"85119"</f>
        <v>85119</v>
      </c>
      <c r="C27662" s="2">
        <v>5.8116374783597899E-3</v>
      </c>
      <c r="D27662" s="2">
        <v>1.5454706441070799E-3</v>
      </c>
      <c r="E27662" s="2">
        <v>5.0985380825458301E-3</v>
      </c>
      <c r="F27662" s="2">
        <v>5.4526983600439501E-3</v>
      </c>
    </row>
    <row r="27663" spans="1:6" x14ac:dyDescent="0.25">
      <c r="A27663" s="1" t="str">
        <f t="shared" si="995"/>
        <v>38060</v>
      </c>
      <c r="B27663" s="1" t="str">
        <f>"85203"</f>
        <v>85203</v>
      </c>
      <c r="C27663" s="2">
        <v>6.6530245018109301E-3</v>
      </c>
      <c r="D27663" s="2">
        <v>5.72038787020193E-3</v>
      </c>
      <c r="E27663" s="2">
        <v>8.3494871173572394E-3</v>
      </c>
      <c r="F27663" s="2">
        <v>6.65063338378288E-3</v>
      </c>
    </row>
    <row r="27664" spans="1:6" x14ac:dyDescent="0.25">
      <c r="A27664" s="1" t="str">
        <f t="shared" si="995"/>
        <v>38060</v>
      </c>
      <c r="B27664" s="1" t="str">
        <f>"85207"</f>
        <v>85207</v>
      </c>
      <c r="C27664" s="2">
        <v>1.0204345582906201E-2</v>
      </c>
      <c r="D27664" s="2">
        <v>3.3109562062988598E-3</v>
      </c>
      <c r="E27664" s="2">
        <v>2.5139326387206202E-3</v>
      </c>
      <c r="F27664" s="2">
        <v>9.3558352165529803E-3</v>
      </c>
    </row>
    <row r="27665" spans="1:6" x14ac:dyDescent="0.25">
      <c r="A27665" s="1" t="str">
        <f t="shared" si="995"/>
        <v>38060</v>
      </c>
      <c r="B27665" s="1" t="str">
        <f>"85618"</f>
        <v>85618</v>
      </c>
      <c r="C27665" s="2">
        <v>1.5943555111790601E-4</v>
      </c>
      <c r="D27665" s="2">
        <v>1.6098652542782102E-5</v>
      </c>
      <c r="E27665" s="2">
        <v>0</v>
      </c>
      <c r="F27665" s="2">
        <v>1.4181162274791101E-4</v>
      </c>
    </row>
    <row r="27666" spans="1:6" x14ac:dyDescent="0.25">
      <c r="A27666" s="1" t="str">
        <f t="shared" si="995"/>
        <v>38060</v>
      </c>
      <c r="B27666" s="1" t="str">
        <f>"85024"</f>
        <v>85024</v>
      </c>
      <c r="C27666" s="2">
        <v>5.4208087380088199E-3</v>
      </c>
      <c r="D27666" s="2">
        <v>3.7295211724111999E-3</v>
      </c>
      <c r="E27666" s="2">
        <v>5.31055649785962E-3</v>
      </c>
      <c r="F27666" s="2">
        <v>5.2855928513673199E-3</v>
      </c>
    </row>
    <row r="27667" spans="1:6" x14ac:dyDescent="0.25">
      <c r="A27667" s="1" t="str">
        <f t="shared" si="995"/>
        <v>38060</v>
      </c>
      <c r="B27667" s="1" t="str">
        <f>"85040"</f>
        <v>85040</v>
      </c>
      <c r="C27667" s="2">
        <v>5.4664289399511097E-3</v>
      </c>
      <c r="D27667" s="2">
        <v>1.55459321388133E-2</v>
      </c>
      <c r="E27667" s="2">
        <v>1.20951457879008E-2</v>
      </c>
      <c r="F27667" s="2">
        <v>6.5175294922563297E-3</v>
      </c>
    </row>
    <row r="27668" spans="1:6" x14ac:dyDescent="0.25">
      <c r="A27668" s="1" t="str">
        <f t="shared" si="995"/>
        <v>38060</v>
      </c>
      <c r="B27668" s="1" t="str">
        <f>"85045"</f>
        <v>85045</v>
      </c>
      <c r="C27668" s="2">
        <v>1.47489642568069E-3</v>
      </c>
      <c r="D27668" s="2">
        <v>1.6098652542782102E-5</v>
      </c>
      <c r="E27668" s="2">
        <v>3.02883450448267E-5</v>
      </c>
      <c r="F27668" s="2">
        <v>1.3028424522629699E-3</v>
      </c>
    </row>
    <row r="27669" spans="1:6" x14ac:dyDescent="0.25">
      <c r="A27669" s="1" t="str">
        <f t="shared" ref="A27669:A27732" si="996">"38060"</f>
        <v>38060</v>
      </c>
      <c r="B27669" s="1" t="str">
        <f>"85048"</f>
        <v>85048</v>
      </c>
      <c r="C27669" s="2">
        <v>6.6558463699723097E-3</v>
      </c>
      <c r="D27669" s="2">
        <v>3.7724509125252798E-3</v>
      </c>
      <c r="E27669" s="2">
        <v>3.4629674501251901E-3</v>
      </c>
      <c r="F27669" s="2">
        <v>6.3019094810606796E-3</v>
      </c>
    </row>
    <row r="27670" spans="1:6" x14ac:dyDescent="0.25">
      <c r="A27670" s="1" t="str">
        <f t="shared" si="996"/>
        <v>38060</v>
      </c>
      <c r="B27670" s="1" t="str">
        <f>"85051"</f>
        <v>85051</v>
      </c>
      <c r="C27670" s="2">
        <v>7.9477916765236002E-3</v>
      </c>
      <c r="D27670" s="2">
        <v>7.2121963391664099E-3</v>
      </c>
      <c r="E27670" s="2">
        <v>7.7235279864308198E-3</v>
      </c>
      <c r="F27670" s="2">
        <v>7.8817407169365292E-3</v>
      </c>
    </row>
    <row r="27671" spans="1:6" x14ac:dyDescent="0.25">
      <c r="A27671" s="1" t="str">
        <f t="shared" si="996"/>
        <v>38060</v>
      </c>
      <c r="B27671" s="1" t="str">
        <f>"85064"</f>
        <v>85064</v>
      </c>
      <c r="C27671" s="2">
        <v>7.3838883556080596E-4</v>
      </c>
      <c r="D27671" s="2">
        <v>4.1588185735520599E-3</v>
      </c>
      <c r="E27671" s="2">
        <v>2.01922300298845E-5</v>
      </c>
      <c r="F27671" s="2">
        <v>9.7319262745423202E-4</v>
      </c>
    </row>
    <row r="27672" spans="1:6" x14ac:dyDescent="0.25">
      <c r="A27672" s="1" t="str">
        <f t="shared" si="996"/>
        <v>38060</v>
      </c>
      <c r="B27672" s="1" t="str">
        <f>"85074"</f>
        <v>85074</v>
      </c>
      <c r="C27672" s="2">
        <v>2.1258073482387501E-4</v>
      </c>
      <c r="D27672" s="2">
        <v>3.2197305085564302E-4</v>
      </c>
      <c r="E27672" s="2">
        <v>2.01922300298845E-5</v>
      </c>
      <c r="F27672" s="2">
        <v>2.1313208798954999E-4</v>
      </c>
    </row>
    <row r="27673" spans="1:6" x14ac:dyDescent="0.25">
      <c r="A27673" s="1" t="str">
        <f t="shared" si="996"/>
        <v>38060</v>
      </c>
      <c r="B27673" s="1" t="str">
        <f>"85085"</f>
        <v>85085</v>
      </c>
      <c r="C27673" s="2">
        <v>5.6757174952533802E-3</v>
      </c>
      <c r="D27673" s="2">
        <v>3.8690428277819802E-3</v>
      </c>
      <c r="E27673" s="2">
        <v>2.15047249818269E-3</v>
      </c>
      <c r="F27673" s="2">
        <v>5.3913295876267201E-3</v>
      </c>
    </row>
    <row r="27674" spans="1:6" x14ac:dyDescent="0.25">
      <c r="A27674" s="1" t="str">
        <f t="shared" si="996"/>
        <v>38060</v>
      </c>
      <c r="B27674" s="1" t="str">
        <f>"85011"</f>
        <v>85011</v>
      </c>
      <c r="C27674" s="2">
        <v>4.7924727607417901E-4</v>
      </c>
      <c r="D27674" s="2">
        <v>1.1483705480517901E-3</v>
      </c>
      <c r="E27674" s="2">
        <v>2.01922300298845E-5</v>
      </c>
      <c r="F27674" s="2">
        <v>5.1209752658967897E-4</v>
      </c>
    </row>
    <row r="27675" spans="1:6" x14ac:dyDescent="0.25">
      <c r="A27675" s="1" t="str">
        <f t="shared" si="996"/>
        <v>38060</v>
      </c>
      <c r="B27675" s="1" t="str">
        <f>"85340"</f>
        <v>85340</v>
      </c>
      <c r="C27675" s="2">
        <v>6.6732478903008098E-3</v>
      </c>
      <c r="D27675" s="2">
        <v>5.4037810368605397E-3</v>
      </c>
      <c r="E27675" s="2">
        <v>1.33268718197237E-3</v>
      </c>
      <c r="F27675" s="2">
        <v>6.35581448385959E-3</v>
      </c>
    </row>
    <row r="27676" spans="1:6" x14ac:dyDescent="0.25">
      <c r="A27676" s="1" t="str">
        <f t="shared" si="996"/>
        <v>38060</v>
      </c>
      <c r="B27676" s="1" t="str">
        <f>"85345"</f>
        <v>85345</v>
      </c>
      <c r="C27676" s="2">
        <v>1.0988354620409301E-2</v>
      </c>
      <c r="D27676" s="2">
        <v>7.3302531244801399E-3</v>
      </c>
      <c r="E27676" s="2">
        <v>1.1146110976496201E-2</v>
      </c>
      <c r="F27676" s="2">
        <v>1.07121680177471E-2</v>
      </c>
    </row>
    <row r="27677" spans="1:6" x14ac:dyDescent="0.25">
      <c r="A27677" s="1" t="str">
        <f t="shared" si="996"/>
        <v>38060</v>
      </c>
      <c r="B27677" s="1" t="str">
        <f>"85653"</f>
        <v>85653</v>
      </c>
      <c r="C27677" s="2">
        <v>1.4109340806894301E-6</v>
      </c>
      <c r="D27677" s="2">
        <v>6.9760827685389298E-5</v>
      </c>
      <c r="E27677" s="2">
        <v>1.0096115014942201E-5</v>
      </c>
      <c r="F27677" s="2">
        <v>7.0491157506271599E-6</v>
      </c>
    </row>
    <row r="27678" spans="1:6" x14ac:dyDescent="0.25">
      <c r="A27678" s="1" t="str">
        <f t="shared" si="996"/>
        <v>38060</v>
      </c>
      <c r="B27678" s="1" t="str">
        <f>"85141"</f>
        <v>85141</v>
      </c>
      <c r="C27678" s="2">
        <v>5.3145183705968799E-5</v>
      </c>
      <c r="D27678" s="2">
        <v>2.68310875713036E-5</v>
      </c>
      <c r="E27678" s="2">
        <v>1.0096115014942201E-5</v>
      </c>
      <c r="F27678" s="2">
        <v>4.9343810254390097E-5</v>
      </c>
    </row>
    <row r="27679" spans="1:6" x14ac:dyDescent="0.25">
      <c r="A27679" s="1" t="str">
        <f t="shared" si="996"/>
        <v>38060</v>
      </c>
      <c r="B27679" s="1" t="str">
        <f>"85385"</f>
        <v>85385</v>
      </c>
      <c r="C27679" s="2">
        <v>4.16225553803384E-4</v>
      </c>
      <c r="D27679" s="2">
        <v>1.70109095202064E-3</v>
      </c>
      <c r="E27679" s="2">
        <v>2.01922300298845E-5</v>
      </c>
      <c r="F27679" s="2">
        <v>4.9924325669147604E-4</v>
      </c>
    </row>
    <row r="27680" spans="1:6" x14ac:dyDescent="0.25">
      <c r="A27680" s="1" t="str">
        <f t="shared" si="996"/>
        <v>38060</v>
      </c>
      <c r="B27680" s="1" t="str">
        <f>"85380"</f>
        <v>85380</v>
      </c>
      <c r="C27680" s="2">
        <v>7.5673097860976901E-4</v>
      </c>
      <c r="D27680" s="2">
        <v>1.17520163562309E-3</v>
      </c>
      <c r="E27680" s="2">
        <v>2.01922300298845E-5</v>
      </c>
      <c r="F27680" s="2">
        <v>7.5881657786163001E-4</v>
      </c>
    </row>
    <row r="27681" spans="1:6" x14ac:dyDescent="0.25">
      <c r="A27681" s="1" t="str">
        <f t="shared" si="996"/>
        <v>38060</v>
      </c>
      <c r="B27681" s="1" t="str">
        <f>"85283"</f>
        <v>85283</v>
      </c>
      <c r="C27681" s="2">
        <v>9.2538463238817908E-3</v>
      </c>
      <c r="D27681" s="2">
        <v>9.6162617855552104E-3</v>
      </c>
      <c r="E27681" s="2">
        <v>1.0136499475002E-2</v>
      </c>
      <c r="F27681" s="2">
        <v>9.3181017145937406E-3</v>
      </c>
    </row>
    <row r="27682" spans="1:6" x14ac:dyDescent="0.25">
      <c r="A27682" s="1" t="str">
        <f t="shared" si="996"/>
        <v>38060</v>
      </c>
      <c r="B27682" s="1" t="str">
        <f>"85304"</f>
        <v>85304</v>
      </c>
      <c r="C27682" s="2">
        <v>4.7807149767360403E-3</v>
      </c>
      <c r="D27682" s="2">
        <v>1.6044990367639501E-3</v>
      </c>
      <c r="E27682" s="2">
        <v>6.1586301591147702E-4</v>
      </c>
      <c r="F27682" s="2">
        <v>4.3642319573735803E-3</v>
      </c>
    </row>
    <row r="27683" spans="1:6" x14ac:dyDescent="0.25">
      <c r="A27683" s="1" t="str">
        <f t="shared" si="996"/>
        <v>38060</v>
      </c>
      <c r="B27683" s="1" t="str">
        <f>"85327"</f>
        <v>85327</v>
      </c>
      <c r="C27683" s="2">
        <v>9.4908832494376195E-4</v>
      </c>
      <c r="D27683" s="2">
        <v>3.2089980735279101E-3</v>
      </c>
      <c r="E27683" s="2">
        <v>2.01922300298845E-5</v>
      </c>
      <c r="F27683" s="2">
        <v>1.0855638255965799E-3</v>
      </c>
    </row>
    <row r="27684" spans="1:6" x14ac:dyDescent="0.25">
      <c r="A27684" s="1" t="str">
        <f t="shared" si="996"/>
        <v>38060</v>
      </c>
      <c r="B27684" s="1" t="str">
        <f>"85271"</f>
        <v>85271</v>
      </c>
      <c r="C27684" s="2">
        <v>2.0505575306019799E-4</v>
      </c>
      <c r="D27684" s="2">
        <v>8.80059672338758E-4</v>
      </c>
      <c r="E27684" s="2">
        <v>2.01922300298845E-5</v>
      </c>
      <c r="F27684" s="2">
        <v>2.4962162834573802E-4</v>
      </c>
    </row>
    <row r="27685" spans="1:6" x14ac:dyDescent="0.25">
      <c r="A27685" s="1" t="str">
        <f t="shared" si="996"/>
        <v>38060</v>
      </c>
      <c r="B27685" s="1" t="str">
        <f>"85274"</f>
        <v>85274</v>
      </c>
      <c r="C27685" s="2">
        <v>6.0435009789530896E-4</v>
      </c>
      <c r="D27685" s="2">
        <v>1.5562030791355999E-3</v>
      </c>
      <c r="E27685" s="2">
        <v>2.01922300298845E-5</v>
      </c>
      <c r="F27685" s="2">
        <v>6.5390914933758997E-4</v>
      </c>
    </row>
    <row r="27686" spans="1:6" x14ac:dyDescent="0.25">
      <c r="A27686" s="1" t="str">
        <f t="shared" si="996"/>
        <v>38060</v>
      </c>
      <c r="B27686" s="1" t="str">
        <f>"85280"</f>
        <v>85280</v>
      </c>
      <c r="C27686" s="2">
        <v>1.1042910738196E-3</v>
      </c>
      <c r="D27686" s="2">
        <v>1.20739894070866E-3</v>
      </c>
      <c r="E27686" s="2">
        <v>2.01922300298845E-5</v>
      </c>
      <c r="F27686" s="2">
        <v>1.0677337092861699E-3</v>
      </c>
    </row>
    <row r="27687" spans="1:6" x14ac:dyDescent="0.25">
      <c r="A27687" s="1" t="str">
        <f t="shared" si="996"/>
        <v>38060</v>
      </c>
      <c r="B27687" s="1" t="str">
        <f>"85201"</f>
        <v>85201</v>
      </c>
      <c r="C27687" s="2">
        <v>1.10904121855792E-2</v>
      </c>
      <c r="D27687" s="2">
        <v>1.41507155851055E-2</v>
      </c>
      <c r="E27687" s="2">
        <v>1.35792746950973E-2</v>
      </c>
      <c r="F27687" s="2">
        <v>1.14291045549727E-2</v>
      </c>
    </row>
    <row r="27688" spans="1:6" x14ac:dyDescent="0.25">
      <c r="A27688" s="1" t="str">
        <f t="shared" si="996"/>
        <v>38060</v>
      </c>
      <c r="B27688" s="1" t="str">
        <f>"85145"</f>
        <v>85145</v>
      </c>
      <c r="C27688" s="2">
        <v>4.1434430836246499E-4</v>
      </c>
      <c r="D27688" s="2">
        <v>1.07324350285214E-5</v>
      </c>
      <c r="E27688" s="2">
        <v>1.0096115014942201E-5</v>
      </c>
      <c r="F27688" s="2">
        <v>3.6655401903261202E-4</v>
      </c>
    </row>
    <row r="27689" spans="1:6" x14ac:dyDescent="0.25">
      <c r="A27689" s="1" t="str">
        <f t="shared" si="996"/>
        <v>38060</v>
      </c>
      <c r="B27689" s="1" t="str">
        <f>"85147"</f>
        <v>85147</v>
      </c>
      <c r="C27689" s="2">
        <v>4.7031136022981199E-7</v>
      </c>
      <c r="D27689" s="2">
        <v>0</v>
      </c>
      <c r="E27689" s="2">
        <v>1.0096115014942201E-5</v>
      </c>
      <c r="F27689" s="2">
        <v>8.2930773536790097E-7</v>
      </c>
    </row>
    <row r="27690" spans="1:6" x14ac:dyDescent="0.25">
      <c r="A27690" s="1" t="str">
        <f t="shared" si="996"/>
        <v>38060</v>
      </c>
      <c r="B27690" s="1" t="str">
        <f>"85069"</f>
        <v>85069</v>
      </c>
      <c r="C27690" s="2">
        <v>1.0525568241943201E-3</v>
      </c>
      <c r="D27690" s="2">
        <v>2.3182059661606301E-3</v>
      </c>
      <c r="E27690" s="2">
        <v>2.01922300298845E-5</v>
      </c>
      <c r="F27690" s="2">
        <v>1.1079551344515099E-3</v>
      </c>
    </row>
    <row r="27691" spans="1:6" x14ac:dyDescent="0.25">
      <c r="A27691" s="1" t="str">
        <f t="shared" si="996"/>
        <v>38060</v>
      </c>
      <c r="B27691" s="1" t="str">
        <f>"85076"</f>
        <v>85076</v>
      </c>
      <c r="C27691" s="2">
        <v>4.87242569198086E-4</v>
      </c>
      <c r="D27691" s="2">
        <v>2.1894167458183702E-3</v>
      </c>
      <c r="E27691" s="2">
        <v>2.01922300298845E-5</v>
      </c>
      <c r="F27691" s="2">
        <v>5.9958949267099198E-4</v>
      </c>
    </row>
    <row r="27692" spans="1:6" x14ac:dyDescent="0.25">
      <c r="A27692" s="1" t="str">
        <f t="shared" si="996"/>
        <v>38060</v>
      </c>
      <c r="B27692" s="1" t="str">
        <f>"85079"</f>
        <v>85079</v>
      </c>
      <c r="C27692" s="2">
        <v>5.7236892539968198E-4</v>
      </c>
      <c r="D27692" s="2">
        <v>9.6055293505266902E-4</v>
      </c>
      <c r="E27692" s="2">
        <v>2.01922300298845E-5</v>
      </c>
      <c r="F27692" s="2">
        <v>5.7968610702216299E-4</v>
      </c>
    </row>
    <row r="27693" spans="1:6" x14ac:dyDescent="0.25">
      <c r="A27693" s="1" t="str">
        <f t="shared" si="996"/>
        <v>38060</v>
      </c>
      <c r="B27693" s="1" t="str">
        <f>"85137"</f>
        <v>85137</v>
      </c>
      <c r="C27693" s="2">
        <v>5.0511440088681905E-4</v>
      </c>
      <c r="D27693" s="2">
        <v>9.6591915256692996E-5</v>
      </c>
      <c r="E27693" s="2">
        <v>1.61537840239076E-4</v>
      </c>
      <c r="F27693" s="2">
        <v>4.5943648539381702E-4</v>
      </c>
    </row>
    <row r="27694" spans="1:6" x14ac:dyDescent="0.25">
      <c r="A27694" s="1" t="str">
        <f t="shared" si="996"/>
        <v>38060</v>
      </c>
      <c r="B27694" s="1" t="str">
        <f>"85033"</f>
        <v>85033</v>
      </c>
      <c r="C27694" s="2">
        <v>7.8781855952095893E-3</v>
      </c>
      <c r="D27694" s="2">
        <v>3.6865914322971099E-3</v>
      </c>
      <c r="E27694" s="2">
        <v>2.88748889427348E-3</v>
      </c>
      <c r="F27694" s="2">
        <v>7.3493251508303398E-3</v>
      </c>
    </row>
    <row r="27695" spans="1:6" x14ac:dyDescent="0.25">
      <c r="A27695" s="1" t="str">
        <f t="shared" si="996"/>
        <v>38060</v>
      </c>
      <c r="B27695" s="1" t="str">
        <f>"85066"</f>
        <v>85066</v>
      </c>
      <c r="C27695" s="2">
        <v>8.8418535723204798E-4</v>
      </c>
      <c r="D27695" s="2">
        <v>1.64206255936378E-3</v>
      </c>
      <c r="E27695" s="2">
        <v>2.01922300298845E-5</v>
      </c>
      <c r="F27695" s="2">
        <v>9.0726266249248398E-4</v>
      </c>
    </row>
    <row r="27696" spans="1:6" x14ac:dyDescent="0.25">
      <c r="A27696" s="1" t="str">
        <f t="shared" si="996"/>
        <v>38060</v>
      </c>
      <c r="B27696" s="1" t="str">
        <f>"85082"</f>
        <v>85082</v>
      </c>
      <c r="C27696" s="2">
        <v>1.0930036011740801E-3</v>
      </c>
      <c r="D27696" s="2">
        <v>5.1998647713186403E-3</v>
      </c>
      <c r="E27696" s="2">
        <v>2.01922300298845E-5</v>
      </c>
      <c r="F27696" s="2">
        <v>1.36628449401861E-3</v>
      </c>
    </row>
    <row r="27697" spans="1:6" x14ac:dyDescent="0.25">
      <c r="A27697" s="1" t="str">
        <f t="shared" si="996"/>
        <v>38060</v>
      </c>
      <c r="B27697" s="1" t="str">
        <f>"85023"</f>
        <v>85023</v>
      </c>
      <c r="C27697" s="2">
        <v>7.65525801046066E-3</v>
      </c>
      <c r="D27697" s="2">
        <v>3.3968156865270302E-3</v>
      </c>
      <c r="E27697" s="2">
        <v>2.6653743639447501E-3</v>
      </c>
      <c r="F27697" s="2">
        <v>7.1212655236041703E-3</v>
      </c>
    </row>
    <row r="27698" spans="1:6" x14ac:dyDescent="0.25">
      <c r="A27698" s="1" t="str">
        <f t="shared" si="996"/>
        <v>38060</v>
      </c>
      <c r="B27698" s="1" t="str">
        <f>"85027"</f>
        <v>85027</v>
      </c>
      <c r="C27698" s="2">
        <v>8.4345639343614606E-3</v>
      </c>
      <c r="D27698" s="2">
        <v>1.46605062489602E-2</v>
      </c>
      <c r="E27698" s="2">
        <v>8.7028511428802104E-3</v>
      </c>
      <c r="F27698" s="2">
        <v>8.9266684635000895E-3</v>
      </c>
    </row>
    <row r="27699" spans="1:6" x14ac:dyDescent="0.25">
      <c r="A27699" s="1" t="str">
        <f t="shared" si="996"/>
        <v>38060</v>
      </c>
      <c r="B27699" s="1" t="str">
        <f>"85041"</f>
        <v>85041</v>
      </c>
      <c r="C27699" s="2">
        <v>9.0779498751558402E-3</v>
      </c>
      <c r="D27699" s="2">
        <v>3.2572940311562499E-3</v>
      </c>
      <c r="E27699" s="2">
        <v>3.8668120507228802E-3</v>
      </c>
      <c r="F27699" s="2">
        <v>8.4141562830427306E-3</v>
      </c>
    </row>
    <row r="27700" spans="1:6" x14ac:dyDescent="0.25">
      <c r="A27700" s="1" t="str">
        <f t="shared" si="996"/>
        <v>38060</v>
      </c>
      <c r="B27700" s="1" t="str">
        <f>"85086"</f>
        <v>85086</v>
      </c>
      <c r="C27700" s="2">
        <v>7.7573155756305301E-3</v>
      </c>
      <c r="D27700" s="2">
        <v>3.83147930518215E-3</v>
      </c>
      <c r="E27700" s="2">
        <v>1.5891285033519099E-2</v>
      </c>
      <c r="F27700" s="2">
        <v>7.7880289428399604E-3</v>
      </c>
    </row>
    <row r="27701" spans="1:6" x14ac:dyDescent="0.25">
      <c r="A27701" s="1" t="str">
        <f t="shared" si="996"/>
        <v>38060</v>
      </c>
      <c r="B27701" s="1" t="str">
        <f>"85030"</f>
        <v>85030</v>
      </c>
      <c r="C27701" s="2">
        <v>2.2433851882962001E-4</v>
      </c>
      <c r="D27701" s="2">
        <v>3.6490279096972902E-4</v>
      </c>
      <c r="E27701" s="2">
        <v>2.01922300298845E-5</v>
      </c>
      <c r="F27701" s="2">
        <v>2.26815665623121E-4</v>
      </c>
    </row>
    <row r="27702" spans="1:6" x14ac:dyDescent="0.25">
      <c r="A27702" s="1" t="str">
        <f t="shared" si="996"/>
        <v>38060</v>
      </c>
      <c r="B27702" s="1" t="str">
        <f>"85050"</f>
        <v>85050</v>
      </c>
      <c r="C27702" s="2">
        <v>6.7484977079375801E-3</v>
      </c>
      <c r="D27702" s="2">
        <v>7.69515591544987E-3</v>
      </c>
      <c r="E27702" s="2">
        <v>2.6350860188999198E-3</v>
      </c>
      <c r="F27702" s="2">
        <v>6.6527066531212996E-3</v>
      </c>
    </row>
    <row r="27703" spans="1:6" x14ac:dyDescent="0.25">
      <c r="A27703" s="1" t="str">
        <f t="shared" si="996"/>
        <v>38060</v>
      </c>
      <c r="B27703" s="1" t="str">
        <f>"85007"</f>
        <v>85007</v>
      </c>
      <c r="C27703" s="2">
        <v>2.8039963296901402E-3</v>
      </c>
      <c r="D27703" s="2">
        <v>6.7131381103401602E-3</v>
      </c>
      <c r="E27703" s="2">
        <v>1.23071642032146E-2</v>
      </c>
      <c r="F27703" s="2">
        <v>3.4963614123110702E-3</v>
      </c>
    </row>
    <row r="27704" spans="1:6" x14ac:dyDescent="0.25">
      <c r="A27704" s="1" t="str">
        <f t="shared" si="996"/>
        <v>38060</v>
      </c>
      <c r="B27704" s="1" t="str">
        <f>"85015"</f>
        <v>85015</v>
      </c>
      <c r="C27704" s="2">
        <v>8.3221595192665403E-3</v>
      </c>
      <c r="D27704" s="2">
        <v>8.0171289663055201E-3</v>
      </c>
      <c r="E27704" s="2">
        <v>2.1312898796542998E-2</v>
      </c>
      <c r="F27704" s="2">
        <v>8.8321273816681506E-3</v>
      </c>
    </row>
    <row r="27705" spans="1:6" x14ac:dyDescent="0.25">
      <c r="A27705" s="1" t="str">
        <f t="shared" si="996"/>
        <v>38060</v>
      </c>
      <c r="B27705" s="1" t="str">
        <f>"85002"</f>
        <v>85002</v>
      </c>
      <c r="C27705" s="2">
        <v>4.9006443735946496E-4</v>
      </c>
      <c r="D27705" s="2">
        <v>9.9275024013823301E-4</v>
      </c>
      <c r="E27705" s="2">
        <v>2.01922300298845E-5</v>
      </c>
      <c r="F27705" s="2">
        <v>5.0960960338357504E-4</v>
      </c>
    </row>
    <row r="27706" spans="1:6" x14ac:dyDescent="0.25">
      <c r="A27706" s="1" t="str">
        <f t="shared" si="996"/>
        <v>38060</v>
      </c>
      <c r="B27706" s="1" t="str">
        <f>"85353"</f>
        <v>85353</v>
      </c>
      <c r="C27706" s="2">
        <v>5.9174575344115004E-3</v>
      </c>
      <c r="D27706" s="2">
        <v>4.3681010566082199E-3</v>
      </c>
      <c r="E27706" s="2">
        <v>2.1100880381229301E-3</v>
      </c>
      <c r="F27706" s="2">
        <v>5.6413658698401502E-3</v>
      </c>
    </row>
    <row r="27707" spans="1:6" x14ac:dyDescent="0.25">
      <c r="A27707" s="1" t="str">
        <f t="shared" si="996"/>
        <v>38060</v>
      </c>
      <c r="B27707" s="1" t="str">
        <f>"85374"</f>
        <v>85374</v>
      </c>
      <c r="C27707" s="2">
        <v>1.13669552653943E-2</v>
      </c>
      <c r="D27707" s="2">
        <v>1.05929133731506E-2</v>
      </c>
      <c r="E27707" s="2">
        <v>4.46248283660447E-3</v>
      </c>
      <c r="F27707" s="2">
        <v>1.10235730723778E-2</v>
      </c>
    </row>
    <row r="27708" spans="1:6" x14ac:dyDescent="0.25">
      <c r="A27708" s="1" t="str">
        <f t="shared" si="996"/>
        <v>38060</v>
      </c>
      <c r="B27708" s="1" t="str">
        <f>"85335"</f>
        <v>85335</v>
      </c>
      <c r="C27708" s="2">
        <v>5.7354470380025597E-3</v>
      </c>
      <c r="D27708" s="2">
        <v>2.2913748785893199E-3</v>
      </c>
      <c r="E27708" s="2">
        <v>1.33268718197237E-3</v>
      </c>
      <c r="F27708" s="2">
        <v>5.2884954284411001E-3</v>
      </c>
    </row>
    <row r="27709" spans="1:6" x14ac:dyDescent="0.25">
      <c r="A27709" s="1" t="str">
        <f t="shared" si="996"/>
        <v>38060</v>
      </c>
      <c r="B27709" s="1" t="str">
        <f>"85387"</f>
        <v>85387</v>
      </c>
      <c r="C27709" s="2">
        <v>3.9778934848237503E-3</v>
      </c>
      <c r="D27709" s="2">
        <v>1.18056785313735E-4</v>
      </c>
      <c r="E27709" s="2">
        <v>7.0672805104595707E-5</v>
      </c>
      <c r="F27709" s="2">
        <v>3.51916737503369E-3</v>
      </c>
    </row>
    <row r="27710" spans="1:6" x14ac:dyDescent="0.25">
      <c r="A27710" s="1" t="str">
        <f t="shared" si="996"/>
        <v>38060</v>
      </c>
      <c r="B27710" s="1" t="str">
        <f>"85375"</f>
        <v>85375</v>
      </c>
      <c r="C27710" s="2">
        <v>9.2957040349422506E-3</v>
      </c>
      <c r="D27710" s="2">
        <v>2.7689682373585301E-3</v>
      </c>
      <c r="E27710" s="2">
        <v>3.0389306194976099E-3</v>
      </c>
      <c r="F27710" s="2">
        <v>8.5344059046710708E-3</v>
      </c>
    </row>
    <row r="27711" spans="1:6" x14ac:dyDescent="0.25">
      <c r="A27711" s="1" t="str">
        <f t="shared" si="996"/>
        <v>38060</v>
      </c>
      <c r="B27711" s="1" t="str">
        <f>"85383"</f>
        <v>85383</v>
      </c>
      <c r="C27711" s="2">
        <v>1.27299175873403E-2</v>
      </c>
      <c r="D27711" s="2">
        <v>1.7923166497630801E-3</v>
      </c>
      <c r="E27711" s="2">
        <v>1.66585897746547E-3</v>
      </c>
      <c r="F27711" s="2">
        <v>1.1430348516575701E-2</v>
      </c>
    </row>
    <row r="27712" spans="1:6" x14ac:dyDescent="0.25">
      <c r="A27712" s="1" t="str">
        <f t="shared" si="996"/>
        <v>38060</v>
      </c>
      <c r="B27712" s="1" t="str">
        <f>"85248"</f>
        <v>85248</v>
      </c>
      <c r="C27712" s="2">
        <v>1.0143205106076299E-2</v>
      </c>
      <c r="D27712" s="2">
        <v>7.1960976866236202E-3</v>
      </c>
      <c r="E27712" s="2">
        <v>4.6543090218883702E-3</v>
      </c>
      <c r="F27712" s="2">
        <v>9.6900462339062406E-3</v>
      </c>
    </row>
    <row r="27713" spans="1:6" x14ac:dyDescent="0.25">
      <c r="A27713" s="1" t="str">
        <f t="shared" si="996"/>
        <v>38060</v>
      </c>
      <c r="B27713" s="1" t="str">
        <f>"85256"</f>
        <v>85256</v>
      </c>
      <c r="C27713" s="2">
        <v>1.0097584904133999E-3</v>
      </c>
      <c r="D27713" s="2">
        <v>6.7077718928259004E-4</v>
      </c>
      <c r="E27713" s="2">
        <v>3.8365237056780502E-4</v>
      </c>
      <c r="F27713" s="2">
        <v>9.5785043434992603E-4</v>
      </c>
    </row>
    <row r="27714" spans="1:6" x14ac:dyDescent="0.25">
      <c r="A27714" s="1" t="str">
        <f t="shared" si="996"/>
        <v>38060</v>
      </c>
      <c r="B27714" s="1" t="str">
        <f>"85258"</f>
        <v>85258</v>
      </c>
      <c r="C27714" s="2">
        <v>7.2757167427552E-3</v>
      </c>
      <c r="D27714" s="2">
        <v>1.22618070200857E-2</v>
      </c>
      <c r="E27714" s="2">
        <v>1.6244649059042E-2</v>
      </c>
      <c r="F27714" s="2">
        <v>8.0293574938320195E-3</v>
      </c>
    </row>
    <row r="27715" spans="1:6" x14ac:dyDescent="0.25">
      <c r="A27715" s="1" t="str">
        <f t="shared" si="996"/>
        <v>38060</v>
      </c>
      <c r="B27715" s="1" t="str">
        <f>"85211"</f>
        <v>85211</v>
      </c>
      <c r="C27715" s="2">
        <v>1.0426802856294899E-3</v>
      </c>
      <c r="D27715" s="2">
        <v>2.8279966300153998E-3</v>
      </c>
      <c r="E27715" s="2">
        <v>2.01922300298845E-5</v>
      </c>
      <c r="F27715" s="2">
        <v>1.1386395206601199E-3</v>
      </c>
    </row>
    <row r="27716" spans="1:6" x14ac:dyDescent="0.25">
      <c r="A27716" s="1" t="str">
        <f t="shared" si="996"/>
        <v>38060</v>
      </c>
      <c r="B27716" s="1" t="str">
        <f>"85309"</f>
        <v>85309</v>
      </c>
      <c r="C27716" s="2">
        <v>8.6490259146262602E-4</v>
      </c>
      <c r="D27716" s="2">
        <v>6.7614340679685101E-4</v>
      </c>
      <c r="E27716" s="2">
        <v>1.1105726516436399E-4</v>
      </c>
      <c r="F27716" s="2">
        <v>8.1935604254348602E-4</v>
      </c>
    </row>
    <row r="27717" spans="1:6" x14ac:dyDescent="0.25">
      <c r="A27717" s="1" t="str">
        <f t="shared" si="996"/>
        <v>38060</v>
      </c>
      <c r="B27717" s="1" t="str">
        <f>"85323"</f>
        <v>85323</v>
      </c>
      <c r="C27717" s="2">
        <v>7.0880625100235104E-3</v>
      </c>
      <c r="D27717" s="2">
        <v>5.6559932600307996E-3</v>
      </c>
      <c r="E27717" s="2">
        <v>3.33171795493094E-3</v>
      </c>
      <c r="F27717" s="2">
        <v>6.8231293927394103E-3</v>
      </c>
    </row>
    <row r="27718" spans="1:6" x14ac:dyDescent="0.25">
      <c r="A27718" s="1" t="str">
        <f t="shared" si="996"/>
        <v>38060</v>
      </c>
      <c r="B27718" s="1" t="str">
        <f>"85285"</f>
        <v>85285</v>
      </c>
      <c r="C27718" s="2">
        <v>1.3535560947414E-3</v>
      </c>
      <c r="D27718" s="2">
        <v>3.4075481215555502E-3</v>
      </c>
      <c r="E27718" s="2">
        <v>2.01922300298845E-5</v>
      </c>
      <c r="F27718" s="2">
        <v>1.45750834490908E-3</v>
      </c>
    </row>
    <row r="27719" spans="1:6" x14ac:dyDescent="0.25">
      <c r="A27719" s="1" t="str">
        <f t="shared" si="996"/>
        <v>38060</v>
      </c>
      <c r="B27719" s="1" t="str">
        <f>"85143"</f>
        <v>85143</v>
      </c>
      <c r="C27719" s="2">
        <v>7.23856214529705E-3</v>
      </c>
      <c r="D27719" s="2">
        <v>4.00856448315276E-3</v>
      </c>
      <c r="E27719" s="2">
        <v>5.2499798077699697E-4</v>
      </c>
      <c r="F27719" s="2">
        <v>6.7132461178031604E-3</v>
      </c>
    </row>
    <row r="27720" spans="1:6" x14ac:dyDescent="0.25">
      <c r="A27720" s="1" t="str">
        <f t="shared" si="996"/>
        <v>38060</v>
      </c>
      <c r="B27720" s="1" t="str">
        <f>"85128"</f>
        <v>85128</v>
      </c>
      <c r="C27720" s="2">
        <v>4.0432667638957004E-3</v>
      </c>
      <c r="D27720" s="2">
        <v>3.1231385932997402E-3</v>
      </c>
      <c r="E27720" s="2">
        <v>2.7764316291091101E-3</v>
      </c>
      <c r="F27720" s="2">
        <v>3.92013766508407E-3</v>
      </c>
    </row>
    <row r="27721" spans="1:6" x14ac:dyDescent="0.25">
      <c r="A27721" s="1" t="str">
        <f t="shared" si="996"/>
        <v>38060</v>
      </c>
      <c r="B27721" s="1" t="str">
        <f>"85204"</f>
        <v>85204</v>
      </c>
      <c r="C27721" s="2">
        <v>1.13664849540341E-2</v>
      </c>
      <c r="D27721" s="2">
        <v>1.2336934065285399E-2</v>
      </c>
      <c r="E27721" s="2">
        <v>1.3357160164768501E-2</v>
      </c>
      <c r="F27721" s="2">
        <v>1.1523230982936899E-2</v>
      </c>
    </row>
    <row r="27722" spans="1:6" x14ac:dyDescent="0.25">
      <c r="A27722" s="1" t="str">
        <f t="shared" si="996"/>
        <v>38060</v>
      </c>
      <c r="B27722" s="1" t="str">
        <f>"85206"</f>
        <v>85206</v>
      </c>
      <c r="C27722" s="2">
        <v>9.0064625484009096E-3</v>
      </c>
      <c r="D27722" s="2">
        <v>1.16178609183744E-2</v>
      </c>
      <c r="E27722" s="2">
        <v>6.0273806639205198E-3</v>
      </c>
      <c r="F27722" s="2">
        <v>9.0858955486907301E-3</v>
      </c>
    </row>
    <row r="27723" spans="1:6" x14ac:dyDescent="0.25">
      <c r="A27723" s="1" t="str">
        <f t="shared" si="996"/>
        <v>38060</v>
      </c>
      <c r="B27723" s="1" t="str">
        <f>"85208"</f>
        <v>85208</v>
      </c>
      <c r="C27723" s="2">
        <v>8.9486142510926507E-3</v>
      </c>
      <c r="D27723" s="2">
        <v>3.0265466780430399E-3</v>
      </c>
      <c r="E27723" s="2">
        <v>2.31201033842177E-3</v>
      </c>
      <c r="F27723" s="2">
        <v>8.2184396574959007E-3</v>
      </c>
    </row>
    <row r="27724" spans="1:6" x14ac:dyDescent="0.25">
      <c r="A27724" s="1" t="str">
        <f t="shared" si="996"/>
        <v>38060</v>
      </c>
      <c r="B27724" s="1" t="str">
        <f>"85396"</f>
        <v>85396</v>
      </c>
      <c r="C27724" s="2">
        <v>7.1623717049398199E-3</v>
      </c>
      <c r="D27724" s="2">
        <v>5.3662175142607201E-4</v>
      </c>
      <c r="E27724" s="2">
        <v>3.23075680478152E-4</v>
      </c>
      <c r="F27724" s="2">
        <v>6.3694980614931599E-3</v>
      </c>
    </row>
    <row r="27725" spans="1:6" x14ac:dyDescent="0.25">
      <c r="A27725" s="1" t="str">
        <f t="shared" si="996"/>
        <v>38060</v>
      </c>
      <c r="B27725" s="1" t="str">
        <f>"85333"</f>
        <v>85333</v>
      </c>
      <c r="C27725" s="2">
        <v>8.9359158443664397E-6</v>
      </c>
      <c r="D27725" s="2">
        <v>0</v>
      </c>
      <c r="E27725" s="2">
        <v>3.02883450448267E-5</v>
      </c>
      <c r="F27725" s="2">
        <v>9.1223850890469101E-6</v>
      </c>
    </row>
    <row r="27726" spans="1:6" x14ac:dyDescent="0.25">
      <c r="A27726" s="1" t="str">
        <f t="shared" si="996"/>
        <v>38060</v>
      </c>
      <c r="B27726" s="1" t="str">
        <f>"85246"</f>
        <v>85246</v>
      </c>
      <c r="C27726" s="2">
        <v>6.0858290013737705E-4</v>
      </c>
      <c r="D27726" s="2">
        <v>2.82263041250114E-3</v>
      </c>
      <c r="E27726" s="2">
        <v>2.01922300298845E-5</v>
      </c>
      <c r="F27726" s="2">
        <v>7.5549934692015804E-4</v>
      </c>
    </row>
    <row r="27727" spans="1:6" x14ac:dyDescent="0.25">
      <c r="A27727" s="1" t="str">
        <f t="shared" si="996"/>
        <v>38060</v>
      </c>
      <c r="B27727" s="1" t="str">
        <f>"85178"</f>
        <v>85178</v>
      </c>
      <c r="C27727" s="2">
        <v>1.25337977501245E-3</v>
      </c>
      <c r="D27727" s="2">
        <v>1.0517786327950999E-3</v>
      </c>
      <c r="E27727" s="2">
        <v>2.01922300298845E-5</v>
      </c>
      <c r="F27727" s="2">
        <v>1.1871540231791499E-3</v>
      </c>
    </row>
    <row r="27728" spans="1:6" x14ac:dyDescent="0.25">
      <c r="A27728" s="1" t="str">
        <f t="shared" si="996"/>
        <v>38060</v>
      </c>
      <c r="B27728" s="1" t="str">
        <f>"85042"</f>
        <v>85042</v>
      </c>
      <c r="C27728" s="2">
        <v>7.6058753176365297E-3</v>
      </c>
      <c r="D27728" s="2">
        <v>2.9245885452720902E-3</v>
      </c>
      <c r="E27728" s="2">
        <v>4.8461352071722799E-3</v>
      </c>
      <c r="F27728" s="2">
        <v>7.1308025625609001E-3</v>
      </c>
    </row>
    <row r="27729" spans="1:6" x14ac:dyDescent="0.25">
      <c r="A27729" s="1" t="str">
        <f t="shared" si="996"/>
        <v>38060</v>
      </c>
      <c r="B27729" s="1" t="str">
        <f>"85021"</f>
        <v>85021</v>
      </c>
      <c r="C27729" s="2">
        <v>8.6527884055080904E-3</v>
      </c>
      <c r="D27729" s="2">
        <v>9.0474427290435696E-3</v>
      </c>
      <c r="E27729" s="2">
        <v>1.45485017365317E-2</v>
      </c>
      <c r="F27729" s="2">
        <v>8.9254245018970408E-3</v>
      </c>
    </row>
    <row r="27730" spans="1:6" x14ac:dyDescent="0.25">
      <c r="A27730" s="1" t="str">
        <f t="shared" si="996"/>
        <v>38060</v>
      </c>
      <c r="B27730" s="1" t="str">
        <f>"85054"</f>
        <v>85054</v>
      </c>
      <c r="C27730" s="2">
        <v>2.81716504777657E-3</v>
      </c>
      <c r="D27730" s="2">
        <v>2.1357545706757598E-3</v>
      </c>
      <c r="E27730" s="2">
        <v>9.3893869638962896E-4</v>
      </c>
      <c r="F27730" s="2">
        <v>2.6873717164596798E-3</v>
      </c>
    </row>
    <row r="27731" spans="1:6" x14ac:dyDescent="0.25">
      <c r="A27731" s="1" t="str">
        <f t="shared" si="996"/>
        <v>38060</v>
      </c>
      <c r="B27731" s="1" t="str">
        <f>"85063"</f>
        <v>85063</v>
      </c>
      <c r="C27731" s="2">
        <v>6.7724835873093003E-4</v>
      </c>
      <c r="D27731" s="2">
        <v>1.255694898337E-3</v>
      </c>
      <c r="E27731" s="2">
        <v>2.01922300298845E-5</v>
      </c>
      <c r="F27731" s="2">
        <v>6.9495988223830095E-4</v>
      </c>
    </row>
    <row r="27732" spans="1:6" x14ac:dyDescent="0.25">
      <c r="A27732" s="1" t="str">
        <f t="shared" si="996"/>
        <v>38060</v>
      </c>
      <c r="B27732" s="1" t="str">
        <f>"85013"</f>
        <v>85013</v>
      </c>
      <c r="C27732" s="2">
        <v>5.8591389257430003E-3</v>
      </c>
      <c r="D27732" s="2">
        <v>5.4574432120031496E-3</v>
      </c>
      <c r="E27732" s="2">
        <v>1.07826508359583E-2</v>
      </c>
      <c r="F27732" s="2">
        <v>6.0303111977276901E-3</v>
      </c>
    </row>
    <row r="27733" spans="1:6" x14ac:dyDescent="0.25">
      <c r="A27733" s="1" t="str">
        <f t="shared" ref="A27733:A27760" si="997">"38060"</f>
        <v>38060</v>
      </c>
      <c r="B27733" s="1" t="str">
        <f>"85351"</f>
        <v>85351</v>
      </c>
      <c r="C27733" s="2">
        <v>1.02240986600359E-2</v>
      </c>
      <c r="D27733" s="2">
        <v>4.32517131649414E-3</v>
      </c>
      <c r="E27733" s="2">
        <v>2.0697035780631598E-3</v>
      </c>
      <c r="F27733" s="2">
        <v>9.4333754898098792E-3</v>
      </c>
    </row>
    <row r="27734" spans="1:6" x14ac:dyDescent="0.25">
      <c r="A27734" s="1" t="str">
        <f t="shared" si="997"/>
        <v>38060</v>
      </c>
      <c r="B27734" s="1" t="str">
        <f>"85382"</f>
        <v>85382</v>
      </c>
      <c r="C27734" s="2">
        <v>8.9989375666372409E-3</v>
      </c>
      <c r="D27734" s="2">
        <v>5.8384446555156599E-3</v>
      </c>
      <c r="E27734" s="2">
        <v>3.6850819804539201E-3</v>
      </c>
      <c r="F27734" s="2">
        <v>8.5364791740094904E-3</v>
      </c>
    </row>
    <row r="27735" spans="1:6" x14ac:dyDescent="0.25">
      <c r="A27735" s="1" t="str">
        <f t="shared" si="997"/>
        <v>38060</v>
      </c>
      <c r="B27735" s="1" t="str">
        <f>"85233"</f>
        <v>85233</v>
      </c>
      <c r="C27735" s="2">
        <v>7.29405888580416E-3</v>
      </c>
      <c r="D27735" s="2">
        <v>1.2760865248911899E-2</v>
      </c>
      <c r="E27735" s="2">
        <v>4.7956546320975599E-3</v>
      </c>
      <c r="F27735" s="2">
        <v>7.6138743184127004E-3</v>
      </c>
    </row>
    <row r="27736" spans="1:6" x14ac:dyDescent="0.25">
      <c r="A27736" s="1" t="str">
        <f t="shared" si="997"/>
        <v>38060</v>
      </c>
      <c r="B27736" s="1" t="str">
        <f>"85214"</f>
        <v>85214</v>
      </c>
      <c r="C27736" s="2">
        <v>4.67959803428663E-4</v>
      </c>
      <c r="D27736" s="2">
        <v>1.3737516836507401E-3</v>
      </c>
      <c r="E27736" s="2">
        <v>2.01922300298845E-5</v>
      </c>
      <c r="F27736" s="2">
        <v>5.1956129620798997E-4</v>
      </c>
    </row>
    <row r="27737" spans="1:6" x14ac:dyDescent="0.25">
      <c r="A27737" s="1" t="str">
        <f t="shared" si="997"/>
        <v>38060</v>
      </c>
      <c r="B27737" s="1" t="str">
        <f>"85266"</f>
        <v>85266</v>
      </c>
      <c r="C27737" s="2">
        <v>3.1623735861852601E-3</v>
      </c>
      <c r="D27737" s="2">
        <v>1.5025409039929999E-3</v>
      </c>
      <c r="E27737" s="2">
        <v>1.2014376867781199E-3</v>
      </c>
      <c r="F27737" s="2">
        <v>2.9535794995127801E-3</v>
      </c>
    </row>
    <row r="27738" spans="1:6" x14ac:dyDescent="0.25">
      <c r="A27738" s="1" t="str">
        <f t="shared" si="997"/>
        <v>38060</v>
      </c>
      <c r="B27738" s="1" t="str">
        <f>"85299"</f>
        <v>85299</v>
      </c>
      <c r="C27738" s="2">
        <v>1.2237501593179701E-3</v>
      </c>
      <c r="D27738" s="2">
        <v>4.5612848871216102E-3</v>
      </c>
      <c r="E27738" s="2">
        <v>2.01922300298845E-5</v>
      </c>
      <c r="F27738" s="2">
        <v>1.43221445898036E-3</v>
      </c>
    </row>
    <row r="27739" spans="1:6" x14ac:dyDescent="0.25">
      <c r="A27739" s="1" t="str">
        <f t="shared" si="997"/>
        <v>38060</v>
      </c>
      <c r="B27739" s="1" t="str">
        <f>"85264"</f>
        <v>85264</v>
      </c>
      <c r="C27739" s="2">
        <v>2.19165093867092E-4</v>
      </c>
      <c r="D27739" s="2">
        <v>1.28789220342257E-4</v>
      </c>
      <c r="E27739" s="2">
        <v>3.63460140537921E-4</v>
      </c>
      <c r="F27739" s="2">
        <v>2.18107934401758E-4</v>
      </c>
    </row>
    <row r="27740" spans="1:6" x14ac:dyDescent="0.25">
      <c r="A27740" s="1" t="str">
        <f t="shared" si="997"/>
        <v>38060</v>
      </c>
      <c r="B27740" s="1" t="str">
        <f>"85209"</f>
        <v>85209</v>
      </c>
      <c r="C27740" s="2">
        <v>9.06854364795125E-3</v>
      </c>
      <c r="D27740" s="2">
        <v>5.2213296413756802E-3</v>
      </c>
      <c r="E27740" s="2">
        <v>4.1696955011711404E-3</v>
      </c>
      <c r="F27740" s="2">
        <v>8.5700661372918908E-3</v>
      </c>
    </row>
    <row r="27741" spans="1:6" x14ac:dyDescent="0.25">
      <c r="A27741" s="1" t="str">
        <f t="shared" si="997"/>
        <v>38060</v>
      </c>
      <c r="B27741" s="1" t="str">
        <f>"85390"</f>
        <v>85390</v>
      </c>
      <c r="C27741" s="2">
        <v>2.3073475332874602E-3</v>
      </c>
      <c r="D27741" s="2">
        <v>2.9245885452720902E-3</v>
      </c>
      <c r="E27741" s="2">
        <v>3.7658509005734499E-3</v>
      </c>
      <c r="F27741" s="2">
        <v>2.4149441253913202E-3</v>
      </c>
    </row>
    <row r="27742" spans="1:6" x14ac:dyDescent="0.25">
      <c r="A27742" s="1" t="str">
        <f t="shared" si="997"/>
        <v>38060</v>
      </c>
      <c r="B27742" s="1" t="str">
        <f>"85343"</f>
        <v>85343</v>
      </c>
      <c r="C27742" s="2">
        <v>7.3838883556080602E-5</v>
      </c>
      <c r="D27742" s="2">
        <v>3.2197305085564298E-5</v>
      </c>
      <c r="E27742" s="2">
        <v>2.01922300298845E-5</v>
      </c>
      <c r="F27742" s="2">
        <v>6.8417888167851798E-5</v>
      </c>
    </row>
    <row r="27743" spans="1:6" x14ac:dyDescent="0.25">
      <c r="A27743" s="1" t="str">
        <f t="shared" si="997"/>
        <v>38060</v>
      </c>
      <c r="B27743" s="1" t="str">
        <f>"85191"</f>
        <v>85191</v>
      </c>
      <c r="C27743" s="2">
        <v>1.0346849925055799E-5</v>
      </c>
      <c r="D27743" s="2">
        <v>0</v>
      </c>
      <c r="E27743" s="2">
        <v>1.0096115014942201E-5</v>
      </c>
      <c r="F27743" s="2">
        <v>9.5370389567308605E-6</v>
      </c>
    </row>
    <row r="27744" spans="1:6" x14ac:dyDescent="0.25">
      <c r="A27744" s="1" t="str">
        <f t="shared" si="997"/>
        <v>38060</v>
      </c>
      <c r="B27744" s="1" t="str">
        <f>"85127"</f>
        <v>85127</v>
      </c>
      <c r="C27744" s="2">
        <v>2.1305104618410501E-4</v>
      </c>
      <c r="D27744" s="2">
        <v>4.1319874859807501E-4</v>
      </c>
      <c r="E27744" s="2">
        <v>3.02883450448267E-5</v>
      </c>
      <c r="F27744" s="2">
        <v>2.21010511475545E-4</v>
      </c>
    </row>
    <row r="27745" spans="1:6" x14ac:dyDescent="0.25">
      <c r="A27745" s="1" t="str">
        <f t="shared" si="997"/>
        <v>38060</v>
      </c>
      <c r="B27745" s="1" t="str">
        <f>"85337"</f>
        <v>85337</v>
      </c>
      <c r="C27745" s="2">
        <v>2.6149311628777499E-4</v>
      </c>
      <c r="D27745" s="2">
        <v>2.7904331074155698E-4</v>
      </c>
      <c r="E27745" s="2">
        <v>4.6442129068734298E-4</v>
      </c>
      <c r="F27745" s="2">
        <v>2.71183629465303E-4</v>
      </c>
    </row>
    <row r="27746" spans="1:6" x14ac:dyDescent="0.25">
      <c r="A27746" s="1" t="str">
        <f t="shared" si="997"/>
        <v>38060</v>
      </c>
      <c r="B27746" s="1" t="str">
        <f>"85602"</f>
        <v>85602</v>
      </c>
      <c r="C27746" s="2">
        <v>1.8812454409192501E-6</v>
      </c>
      <c r="D27746" s="2">
        <v>0</v>
      </c>
      <c r="E27746" s="2">
        <v>0</v>
      </c>
      <c r="F27746" s="2">
        <v>1.6586154707358E-6</v>
      </c>
    </row>
    <row r="27747" spans="1:6" x14ac:dyDescent="0.25">
      <c r="A27747" s="1" t="str">
        <f t="shared" si="997"/>
        <v>38060</v>
      </c>
      <c r="B27747" s="1" t="str">
        <f>"85354"</f>
        <v>85354</v>
      </c>
      <c r="C27747" s="2">
        <v>1.36108107650507E-3</v>
      </c>
      <c r="D27747" s="2">
        <v>2.6294465819877498E-4</v>
      </c>
      <c r="E27747" s="2">
        <v>3.4326791050803601E-4</v>
      </c>
      <c r="F27747" s="2">
        <v>1.23442456409512E-3</v>
      </c>
    </row>
    <row r="27748" spans="1:6" x14ac:dyDescent="0.25">
      <c r="A27748" s="1" t="str">
        <f t="shared" si="997"/>
        <v>38060</v>
      </c>
      <c r="B27748" s="1" t="str">
        <f>"85381"</f>
        <v>85381</v>
      </c>
      <c r="C27748" s="2">
        <v>5.1358000537095501E-3</v>
      </c>
      <c r="D27748" s="2">
        <v>5.3715837317749801E-3</v>
      </c>
      <c r="E27748" s="2">
        <v>3.0591228495275001E-3</v>
      </c>
      <c r="F27748" s="2">
        <v>5.06872887856861E-3</v>
      </c>
    </row>
    <row r="27749" spans="1:6" x14ac:dyDescent="0.25">
      <c r="A27749" s="1" t="str">
        <f t="shared" si="997"/>
        <v>38060</v>
      </c>
      <c r="B27749" s="1" t="str">
        <f>"85226"</f>
        <v>85226</v>
      </c>
      <c r="C27749" s="2">
        <v>8.0390320804081903E-3</v>
      </c>
      <c r="D27749" s="2">
        <v>1.19612988392871E-2</v>
      </c>
      <c r="E27749" s="2">
        <v>9.3994830789112301E-3</v>
      </c>
      <c r="F27749" s="2">
        <v>8.3979847822030496E-3</v>
      </c>
    </row>
    <row r="27750" spans="1:6" x14ac:dyDescent="0.25">
      <c r="A27750" s="1" t="str">
        <f t="shared" si="997"/>
        <v>38060</v>
      </c>
      <c r="B27750" s="1" t="str">
        <f>"85250"</f>
        <v>85250</v>
      </c>
      <c r="C27750" s="2">
        <v>4.6955886205344499E-3</v>
      </c>
      <c r="D27750" s="2">
        <v>3.7670846950110201E-3</v>
      </c>
      <c r="E27750" s="2">
        <v>1.6396090784266199E-2</v>
      </c>
      <c r="F27750" s="2">
        <v>5.10438911118943E-3</v>
      </c>
    </row>
    <row r="27751" spans="1:6" x14ac:dyDescent="0.25">
      <c r="A27751" s="1" t="str">
        <f t="shared" si="997"/>
        <v>38060</v>
      </c>
      <c r="B27751" s="1" t="str">
        <f>"85251"</f>
        <v>85251</v>
      </c>
      <c r="C27751" s="2">
        <v>1.25864726224702E-2</v>
      </c>
      <c r="D27751" s="2">
        <v>2.15990254948994E-2</v>
      </c>
      <c r="E27751" s="2">
        <v>3.6204668443582902E-2</v>
      </c>
      <c r="F27751" s="2">
        <v>1.4252897393900401E-2</v>
      </c>
    </row>
    <row r="27752" spans="1:6" x14ac:dyDescent="0.25">
      <c r="A27752" s="1" t="str">
        <f t="shared" si="997"/>
        <v>38060</v>
      </c>
      <c r="B27752" s="1" t="str">
        <f>"85210"</f>
        <v>85210</v>
      </c>
      <c r="C27752" s="2">
        <v>7.9430885629213095E-3</v>
      </c>
      <c r="D27752" s="2">
        <v>1.8459788249056801E-2</v>
      </c>
      <c r="E27752" s="2">
        <v>1.1075438171391601E-2</v>
      </c>
      <c r="F27752" s="2">
        <v>8.8843737689963294E-3</v>
      </c>
    </row>
    <row r="27753" spans="1:6" x14ac:dyDescent="0.25">
      <c r="A27753" s="1" t="str">
        <f t="shared" si="997"/>
        <v>38060</v>
      </c>
      <c r="B27753" s="1" t="str">
        <f>"85255"</f>
        <v>85255</v>
      </c>
      <c r="C27753" s="2">
        <v>1.1604462502310399E-2</v>
      </c>
      <c r="D27753" s="2">
        <v>1.45156183760752E-2</v>
      </c>
      <c r="E27753" s="2">
        <v>8.8240045230595192E-3</v>
      </c>
      <c r="F27753" s="2">
        <v>1.17152157236746E-2</v>
      </c>
    </row>
    <row r="27754" spans="1:6" x14ac:dyDescent="0.25">
      <c r="A27754" s="1" t="str">
        <f t="shared" si="997"/>
        <v>38060</v>
      </c>
      <c r="B27754" s="1" t="str">
        <f>"85259"</f>
        <v>85259</v>
      </c>
      <c r="C27754" s="2">
        <v>4.9961175797213001E-3</v>
      </c>
      <c r="D27754" s="2">
        <v>1.9586693927051602E-3</v>
      </c>
      <c r="E27754" s="2">
        <v>4.2100799612309102E-3</v>
      </c>
      <c r="F27754" s="2">
        <v>4.7291273609354496E-3</v>
      </c>
    </row>
    <row r="27755" spans="1:6" x14ac:dyDescent="0.25">
      <c r="A27755" s="1" t="str">
        <f t="shared" si="997"/>
        <v>38060</v>
      </c>
      <c r="B27755" s="1" t="str">
        <f>"85252"</f>
        <v>85252</v>
      </c>
      <c r="C27755" s="2">
        <v>7.7648405573942103E-4</v>
      </c>
      <c r="D27755" s="2">
        <v>3.0909412882141698E-3</v>
      </c>
      <c r="E27755" s="2">
        <v>2.01922300298845E-5</v>
      </c>
      <c r="F27755" s="2">
        <v>9.2426347106752595E-4</v>
      </c>
    </row>
    <row r="27756" spans="1:6" x14ac:dyDescent="0.25">
      <c r="A27756" s="1" t="str">
        <f t="shared" si="997"/>
        <v>38060</v>
      </c>
      <c r="B27756" s="1" t="str">
        <f>"85282"</f>
        <v>85282</v>
      </c>
      <c r="C27756" s="2">
        <v>1.15691891502931E-2</v>
      </c>
      <c r="D27756" s="2">
        <v>2.1126798353644401E-2</v>
      </c>
      <c r="E27756" s="2">
        <v>4.2514740327921803E-2</v>
      </c>
      <c r="F27756" s="2">
        <v>1.35786702050463E-2</v>
      </c>
    </row>
    <row r="27757" spans="1:6" x14ac:dyDescent="0.25">
      <c r="A27757" s="1" t="str">
        <f t="shared" si="997"/>
        <v>38060</v>
      </c>
      <c r="B27757" s="1" t="str">
        <f>"85286"</f>
        <v>85286</v>
      </c>
      <c r="C27757" s="2">
        <v>8.4834763158253591E-3</v>
      </c>
      <c r="D27757" s="2">
        <v>5.4145134718890601E-3</v>
      </c>
      <c r="E27757" s="2">
        <v>4.6845973669332004E-3</v>
      </c>
      <c r="F27757" s="2">
        <v>8.0903116123815597E-3</v>
      </c>
    </row>
    <row r="27758" spans="1:6" x14ac:dyDescent="0.25">
      <c r="A27758" s="1" t="str">
        <f t="shared" si="997"/>
        <v>38060</v>
      </c>
      <c r="B27758" s="1" t="str">
        <f>"85302"</f>
        <v>85302</v>
      </c>
      <c r="C27758" s="2">
        <v>7.5978800245126198E-3</v>
      </c>
      <c r="D27758" s="2">
        <v>3.9173387854103204E-3</v>
      </c>
      <c r="E27758" s="2">
        <v>2.9783539294079599E-3</v>
      </c>
      <c r="F27758" s="2">
        <v>7.1237534468102702E-3</v>
      </c>
    </row>
    <row r="27759" spans="1:6" x14ac:dyDescent="0.25">
      <c r="A27759" s="1" t="str">
        <f t="shared" si="997"/>
        <v>38060</v>
      </c>
      <c r="B27759" s="1" t="str">
        <f>"85312"</f>
        <v>85312</v>
      </c>
      <c r="C27759" s="2">
        <v>5.8130484124404799E-4</v>
      </c>
      <c r="D27759" s="2">
        <v>2.0284302203905499E-3</v>
      </c>
      <c r="E27759" s="2">
        <v>2.01922300298845E-5</v>
      </c>
      <c r="F27759" s="2">
        <v>6.7008065017726401E-4</v>
      </c>
    </row>
    <row r="27760" spans="1:6" x14ac:dyDescent="0.25">
      <c r="A27760" s="1" t="str">
        <f t="shared" si="997"/>
        <v>38060</v>
      </c>
      <c r="B27760" s="1" t="str">
        <f>"85173"</f>
        <v>85173</v>
      </c>
      <c r="C27760" s="2">
        <v>6.9370925633897395E-4</v>
      </c>
      <c r="D27760" s="2">
        <v>4.7759335876920402E-4</v>
      </c>
      <c r="E27760" s="2">
        <v>4.5432517567240099E-4</v>
      </c>
      <c r="F27760" s="2">
        <v>6.6717807310347601E-4</v>
      </c>
    </row>
    <row r="27761" spans="1:6" x14ac:dyDescent="0.25">
      <c r="A27761" s="1" t="str">
        <f t="shared" ref="A27761:A27767" si="998">"38100"</f>
        <v>38100</v>
      </c>
      <c r="B27761" s="1" t="str">
        <f>"39457"</f>
        <v>39457</v>
      </c>
      <c r="C27761" s="2">
        <v>0</v>
      </c>
      <c r="D27761" s="2">
        <v>4.6728971962616803E-4</v>
      </c>
      <c r="E27761" s="2">
        <v>0</v>
      </c>
      <c r="F27761" s="2">
        <v>3.1391260673028598E-5</v>
      </c>
    </row>
    <row r="27762" spans="1:6" x14ac:dyDescent="0.25">
      <c r="A27762" s="1" t="str">
        <f t="shared" si="998"/>
        <v>38100</v>
      </c>
      <c r="B27762" s="1" t="str">
        <f>"39573"</f>
        <v>39573</v>
      </c>
      <c r="C27762" s="2">
        <v>5.1839978172640699E-3</v>
      </c>
      <c r="D27762" s="2">
        <v>0</v>
      </c>
      <c r="E27762" s="2">
        <v>0</v>
      </c>
      <c r="F27762" s="2">
        <v>4.7714716223003504E-3</v>
      </c>
    </row>
    <row r="27763" spans="1:6" x14ac:dyDescent="0.25">
      <c r="A27763" s="1" t="str">
        <f t="shared" si="998"/>
        <v>38100</v>
      </c>
      <c r="B27763" s="1" t="str">
        <f>"39455"</f>
        <v>39455</v>
      </c>
      <c r="C27763" s="2">
        <v>4.9554926503188802E-2</v>
      </c>
      <c r="D27763" s="2">
        <v>1.07476635514018E-2</v>
      </c>
      <c r="E27763" s="2">
        <v>0</v>
      </c>
      <c r="F27763" s="2">
        <v>4.6333500753390197E-2</v>
      </c>
    </row>
    <row r="27764" spans="1:6" x14ac:dyDescent="0.25">
      <c r="A27764" s="1" t="str">
        <f t="shared" si="998"/>
        <v>38100</v>
      </c>
      <c r="B27764" s="1" t="str">
        <f>"39463"</f>
        <v>39463</v>
      </c>
      <c r="C27764" s="2">
        <v>0</v>
      </c>
      <c r="D27764" s="2">
        <v>4.6728971962616803E-4</v>
      </c>
      <c r="E27764" s="2">
        <v>0</v>
      </c>
      <c r="F27764" s="2">
        <v>3.1391260673028598E-5</v>
      </c>
    </row>
    <row r="27765" spans="1:6" x14ac:dyDescent="0.25">
      <c r="A27765" s="1" t="str">
        <f t="shared" si="998"/>
        <v>38100</v>
      </c>
      <c r="B27765" s="1" t="str">
        <f>"39466"</f>
        <v>39466</v>
      </c>
      <c r="C27765" s="2">
        <v>0.45564612393847398</v>
      </c>
      <c r="D27765" s="2">
        <v>0.69906542056074705</v>
      </c>
      <c r="E27765" s="2">
        <v>0.75443037974683502</v>
      </c>
      <c r="F27765" s="2">
        <v>0.47570316423907499</v>
      </c>
    </row>
    <row r="27766" spans="1:6" x14ac:dyDescent="0.25">
      <c r="A27766" s="1" t="str">
        <f t="shared" si="998"/>
        <v>38100</v>
      </c>
      <c r="B27766" s="1" t="str">
        <f>"39470"</f>
        <v>39470</v>
      </c>
      <c r="C27766" s="2">
        <v>0.21933085501858701</v>
      </c>
      <c r="D27766" s="2">
        <v>0.20747663551401799</v>
      </c>
      <c r="E27766" s="2">
        <v>0.14683544303797399</v>
      </c>
      <c r="F27766" s="2">
        <v>0.217635610246107</v>
      </c>
    </row>
    <row r="27767" spans="1:6" x14ac:dyDescent="0.25">
      <c r="A27767" s="1" t="str">
        <f t="shared" si="998"/>
        <v>38100</v>
      </c>
      <c r="B27767" s="1" t="str">
        <f>"39426"</f>
        <v>39426</v>
      </c>
      <c r="C27767" s="2">
        <v>0.27028409672248499</v>
      </c>
      <c r="D27767" s="2">
        <v>8.1775700934579407E-2</v>
      </c>
      <c r="E27767" s="2">
        <v>9.8734177215189803E-2</v>
      </c>
      <c r="F27767" s="2">
        <v>0.25549347061777999</v>
      </c>
    </row>
    <row r="27768" spans="1:6" x14ac:dyDescent="0.25">
      <c r="A27768" s="1" t="str">
        <f t="shared" ref="A27768:A27774" si="999">"38180"</f>
        <v>38180</v>
      </c>
      <c r="B27768" s="1" t="str">
        <f>"57522"</f>
        <v>57522</v>
      </c>
      <c r="C27768" s="2">
        <v>1.21938400084095E-2</v>
      </c>
      <c r="D27768" s="2">
        <v>9.1157702825888699E-4</v>
      </c>
      <c r="E27768" s="2">
        <v>9.1407678244972493E-3</v>
      </c>
      <c r="F27768" s="2">
        <v>1.0934839114457201E-2</v>
      </c>
    </row>
    <row r="27769" spans="1:6" x14ac:dyDescent="0.25">
      <c r="A27769" s="1" t="str">
        <f t="shared" si="999"/>
        <v>38180</v>
      </c>
      <c r="B27769" s="1" t="str">
        <f>"57501"</f>
        <v>57501</v>
      </c>
      <c r="C27769" s="2">
        <v>0.82150741091138402</v>
      </c>
      <c r="D27769" s="2">
        <v>0.91613491340018205</v>
      </c>
      <c r="E27769" s="2">
        <v>0.89945155393053</v>
      </c>
      <c r="F27769" s="2">
        <v>0.83463296585103497</v>
      </c>
    </row>
    <row r="27770" spans="1:6" x14ac:dyDescent="0.25">
      <c r="A27770" s="1" t="str">
        <f t="shared" si="999"/>
        <v>38180</v>
      </c>
      <c r="B27770" s="1" t="str">
        <f>"57537"</f>
        <v>57537</v>
      </c>
      <c r="C27770" s="2">
        <v>7.3583517292126503E-3</v>
      </c>
      <c r="D27770" s="2">
        <v>5.4694621695533198E-3</v>
      </c>
      <c r="E27770" s="2">
        <v>1.82815356489945E-3</v>
      </c>
      <c r="F27770" s="2">
        <v>6.9014968181410697E-3</v>
      </c>
    </row>
    <row r="27771" spans="1:6" x14ac:dyDescent="0.25">
      <c r="A27771" s="1" t="str">
        <f t="shared" si="999"/>
        <v>38180</v>
      </c>
      <c r="B27771" s="1" t="str">
        <f>"57552"</f>
        <v>57552</v>
      </c>
      <c r="C27771" s="2">
        <v>1.99726689792914E-3</v>
      </c>
      <c r="D27771" s="2">
        <v>0</v>
      </c>
      <c r="E27771" s="2">
        <v>0</v>
      </c>
      <c r="F27771" s="2">
        <v>1.7029667473335099E-3</v>
      </c>
    </row>
    <row r="27772" spans="1:6" x14ac:dyDescent="0.25">
      <c r="A27772" s="1" t="str">
        <f t="shared" si="999"/>
        <v>38180</v>
      </c>
      <c r="B27772" s="1" t="str">
        <f>"57532"</f>
        <v>57532</v>
      </c>
      <c r="C27772" s="2">
        <v>0.136129506990434</v>
      </c>
      <c r="D27772" s="2">
        <v>7.4749316317228795E-2</v>
      </c>
      <c r="E27772" s="2">
        <v>8.2266910420475306E-2</v>
      </c>
      <c r="F27772" s="2">
        <v>0.127453616563592</v>
      </c>
    </row>
    <row r="27773" spans="1:6" x14ac:dyDescent="0.25">
      <c r="A27773" s="1" t="str">
        <f t="shared" si="999"/>
        <v>38180</v>
      </c>
      <c r="B27773" s="1" t="str">
        <f>"57536"</f>
        <v>57536</v>
      </c>
      <c r="C27773" s="2">
        <v>2.07085041522127E-2</v>
      </c>
      <c r="D27773" s="2">
        <v>2.7347310847766599E-3</v>
      </c>
      <c r="E27773" s="2">
        <v>7.3126142595978001E-3</v>
      </c>
      <c r="F27773" s="2">
        <v>1.8284485076633501E-2</v>
      </c>
    </row>
    <row r="27774" spans="1:6" x14ac:dyDescent="0.25">
      <c r="A27774" s="1" t="str">
        <f t="shared" si="999"/>
        <v>38180</v>
      </c>
      <c r="B27774" s="1" t="str">
        <f>"57564"</f>
        <v>57564</v>
      </c>
      <c r="C27774" s="2">
        <v>1.05119310417323E-4</v>
      </c>
      <c r="D27774" s="2">
        <v>0</v>
      </c>
      <c r="E27774" s="2">
        <v>0</v>
      </c>
      <c r="F27774" s="2">
        <v>8.9629828807026894E-5</v>
      </c>
    </row>
    <row r="27775" spans="1:6" x14ac:dyDescent="0.25">
      <c r="A27775" s="1" t="str">
        <f t="shared" ref="A27775:A27803" si="1000">"38220"</f>
        <v>38220</v>
      </c>
      <c r="B27775" s="1" t="str">
        <f>"71601"</f>
        <v>71601</v>
      </c>
      <c r="C27775" s="2">
        <v>0.17980980248719799</v>
      </c>
      <c r="D27775" s="2">
        <v>0.41601807682651198</v>
      </c>
      <c r="E27775" s="2">
        <v>0.25561797752808901</v>
      </c>
      <c r="F27775" s="2">
        <v>0.19874381423677101</v>
      </c>
    </row>
    <row r="27776" spans="1:6" x14ac:dyDescent="0.25">
      <c r="A27776" s="1" t="str">
        <f t="shared" si="1000"/>
        <v>38220</v>
      </c>
      <c r="B27776" s="1" t="str">
        <f>"72168"</f>
        <v>72168</v>
      </c>
      <c r="C27776" s="2">
        <v>2.7798098024871898E-3</v>
      </c>
      <c r="D27776" s="2">
        <v>2.5106703489831701E-3</v>
      </c>
      <c r="E27776" s="2">
        <v>0</v>
      </c>
      <c r="F27776" s="2">
        <v>2.7217358203273602E-3</v>
      </c>
    </row>
    <row r="27777" spans="1:6" x14ac:dyDescent="0.25">
      <c r="A27777" s="1" t="str">
        <f t="shared" si="1000"/>
        <v>38220</v>
      </c>
      <c r="B27777" s="1" t="str">
        <f>"72160"</f>
        <v>72160</v>
      </c>
      <c r="C27777" s="2">
        <v>4.3891733723482002E-4</v>
      </c>
      <c r="D27777" s="2">
        <v>2.5106703489831698E-4</v>
      </c>
      <c r="E27777" s="2">
        <v>0</v>
      </c>
      <c r="F27777" s="2">
        <v>4.1872858774267202E-4</v>
      </c>
    </row>
    <row r="27778" spans="1:6" x14ac:dyDescent="0.25">
      <c r="A27778" s="1" t="str">
        <f t="shared" si="1000"/>
        <v>38220</v>
      </c>
      <c r="B27778" s="1" t="str">
        <f>"71660"</f>
        <v>71660</v>
      </c>
      <c r="C27778" s="2">
        <v>1.05549169192183E-2</v>
      </c>
      <c r="D27778" s="2">
        <v>1.25533517449158E-3</v>
      </c>
      <c r="E27778" s="2">
        <v>1.4044943820224699E-3</v>
      </c>
      <c r="F27778" s="2">
        <v>9.7259231062047907E-3</v>
      </c>
    </row>
    <row r="27779" spans="1:6" x14ac:dyDescent="0.25">
      <c r="A27779" s="1" t="str">
        <f t="shared" si="1000"/>
        <v>38220</v>
      </c>
      <c r="B27779" s="1" t="str">
        <f>"72182"</f>
        <v>72182</v>
      </c>
      <c r="C27779" s="2">
        <v>0</v>
      </c>
      <c r="D27779" s="2">
        <v>0</v>
      </c>
      <c r="E27779" s="2">
        <v>1.4044943820224699E-3</v>
      </c>
      <c r="F27779" s="2">
        <v>1.9033117624666899E-5</v>
      </c>
    </row>
    <row r="27780" spans="1:6" x14ac:dyDescent="0.25">
      <c r="A27780" s="1" t="str">
        <f t="shared" si="1000"/>
        <v>38220</v>
      </c>
      <c r="B27780" s="1" t="str">
        <f>"72004"</f>
        <v>72004</v>
      </c>
      <c r="C27780" s="2">
        <v>7.7751071167311099E-3</v>
      </c>
      <c r="D27780" s="2">
        <v>8.2852121516444801E-3</v>
      </c>
      <c r="E27780" s="2">
        <v>5.6179775280898797E-3</v>
      </c>
      <c r="F27780" s="2">
        <v>7.7845451084887704E-3</v>
      </c>
    </row>
    <row r="27781" spans="1:6" x14ac:dyDescent="0.25">
      <c r="A27781" s="1" t="str">
        <f t="shared" si="1000"/>
        <v>38220</v>
      </c>
      <c r="B27781" s="1" t="str">
        <f>"72133"</f>
        <v>72133</v>
      </c>
      <c r="C27781" s="2">
        <v>0</v>
      </c>
      <c r="D27781" s="2">
        <v>0</v>
      </c>
      <c r="E27781" s="2">
        <v>1.4044943820224699E-3</v>
      </c>
      <c r="F27781" s="2">
        <v>1.9033117624666899E-5</v>
      </c>
    </row>
    <row r="27782" spans="1:6" x14ac:dyDescent="0.25">
      <c r="A27782" s="1" t="str">
        <f t="shared" si="1000"/>
        <v>38220</v>
      </c>
      <c r="B27782" s="1" t="str">
        <f>"71655"</f>
        <v>71655</v>
      </c>
      <c r="C27782" s="2">
        <v>1.8810743024349401E-4</v>
      </c>
      <c r="D27782" s="2">
        <v>0</v>
      </c>
      <c r="E27782" s="2">
        <v>0</v>
      </c>
      <c r="F27782" s="2">
        <v>1.7129805862200201E-4</v>
      </c>
    </row>
    <row r="27783" spans="1:6" x14ac:dyDescent="0.25">
      <c r="A27783" s="1" t="str">
        <f t="shared" si="1000"/>
        <v>38220</v>
      </c>
      <c r="B27783" s="1" t="str">
        <f>"72152"</f>
        <v>72152</v>
      </c>
      <c r="C27783" s="2">
        <v>5.60142125613961E-3</v>
      </c>
      <c r="D27783" s="2">
        <v>6.52774290735626E-3</v>
      </c>
      <c r="E27783" s="2">
        <v>1.4044943820224699E-3</v>
      </c>
      <c r="F27783" s="2">
        <v>5.6147696992767402E-3</v>
      </c>
    </row>
    <row r="27784" spans="1:6" x14ac:dyDescent="0.25">
      <c r="A27784" s="1" t="str">
        <f t="shared" si="1000"/>
        <v>38220</v>
      </c>
      <c r="B27784" s="1" t="str">
        <f>"71603"</f>
        <v>71603</v>
      </c>
      <c r="C27784" s="2">
        <v>0.34051625039188999</v>
      </c>
      <c r="D27784" s="2">
        <v>0.28571428571428498</v>
      </c>
      <c r="E27784" s="2">
        <v>0.33988764044943798</v>
      </c>
      <c r="F27784" s="2">
        <v>0.336353254663113</v>
      </c>
    </row>
    <row r="27785" spans="1:6" x14ac:dyDescent="0.25">
      <c r="A27785" s="1" t="str">
        <f t="shared" si="1000"/>
        <v>38220</v>
      </c>
      <c r="B27785" s="1" t="str">
        <f>"71665"</f>
        <v>71665</v>
      </c>
      <c r="C27785" s="2">
        <v>5.3129898630995903E-2</v>
      </c>
      <c r="D27785" s="2">
        <v>1.1298016570424301E-2</v>
      </c>
      <c r="E27785" s="2">
        <v>9.8314606741572996E-3</v>
      </c>
      <c r="F27785" s="2">
        <v>4.9371907118385898E-2</v>
      </c>
    </row>
    <row r="27786" spans="1:6" x14ac:dyDescent="0.25">
      <c r="A27786" s="1" t="str">
        <f t="shared" si="1000"/>
        <v>38220</v>
      </c>
      <c r="B27786" s="1" t="str">
        <f>"71652"</f>
        <v>71652</v>
      </c>
      <c r="C27786" s="2">
        <v>1.1537255721600999E-2</v>
      </c>
      <c r="D27786" s="2">
        <v>5.0213406979663497E-3</v>
      </c>
      <c r="E27786" s="2">
        <v>5.6179775280898797E-3</v>
      </c>
      <c r="F27786" s="2">
        <v>1.0963075751808099E-2</v>
      </c>
    </row>
    <row r="27787" spans="1:6" x14ac:dyDescent="0.25">
      <c r="A27787" s="1" t="str">
        <f t="shared" si="1000"/>
        <v>38220</v>
      </c>
      <c r="B27787" s="1" t="str">
        <f>"72132"</f>
        <v>72132</v>
      </c>
      <c r="C27787" s="2">
        <v>2.93029574668199E-2</v>
      </c>
      <c r="D27787" s="2">
        <v>4.2681395932713997E-3</v>
      </c>
      <c r="E27787" s="2">
        <v>3.2303370786516801E-2</v>
      </c>
      <c r="F27787" s="2">
        <v>2.7445755614769599E-2</v>
      </c>
    </row>
    <row r="27788" spans="1:6" x14ac:dyDescent="0.25">
      <c r="A27788" s="1" t="str">
        <f t="shared" si="1000"/>
        <v>38220</v>
      </c>
      <c r="B27788" s="1" t="str">
        <f>"72046"</f>
        <v>72046</v>
      </c>
      <c r="C27788" s="2">
        <v>4.1383634653568797E-3</v>
      </c>
      <c r="D27788" s="2">
        <v>7.5320110469495301E-4</v>
      </c>
      <c r="E27788" s="2">
        <v>0</v>
      </c>
      <c r="F27788" s="2">
        <v>3.8256566425580499E-3</v>
      </c>
    </row>
    <row r="27789" spans="1:6" x14ac:dyDescent="0.25">
      <c r="A27789" s="1" t="str">
        <f t="shared" si="1000"/>
        <v>38220</v>
      </c>
      <c r="B27789" s="1" t="str">
        <f>"71602"</f>
        <v>71602</v>
      </c>
      <c r="C27789" s="2">
        <v>0.176883686905632</v>
      </c>
      <c r="D27789" s="2">
        <v>0.16997238262616099</v>
      </c>
      <c r="E27789" s="2">
        <v>0.24016853932584201</v>
      </c>
      <c r="F27789" s="2">
        <v>0.177217358203273</v>
      </c>
    </row>
    <row r="27790" spans="1:6" x14ac:dyDescent="0.25">
      <c r="A27790" s="1" t="str">
        <f t="shared" si="1000"/>
        <v>38220</v>
      </c>
      <c r="B27790" s="1" t="str">
        <f>"71639"</f>
        <v>71639</v>
      </c>
      <c r="C27790" s="2">
        <v>1.28331069077228E-2</v>
      </c>
      <c r="D27790" s="2">
        <v>4.0170725583730804E-3</v>
      </c>
      <c r="E27790" s="2">
        <v>0</v>
      </c>
      <c r="F27790" s="2">
        <v>1.19908641035401E-2</v>
      </c>
    </row>
    <row r="27791" spans="1:6" x14ac:dyDescent="0.25">
      <c r="A27791" s="1" t="str">
        <f t="shared" si="1000"/>
        <v>38220</v>
      </c>
      <c r="B27791" s="1" t="str">
        <f>"71678"</f>
        <v>71678</v>
      </c>
      <c r="C27791" s="2">
        <v>0</v>
      </c>
      <c r="D27791" s="2">
        <v>0</v>
      </c>
      <c r="E27791" s="2">
        <v>1.4044943820224699E-3</v>
      </c>
      <c r="F27791" s="2">
        <v>1.9033117624666899E-5</v>
      </c>
    </row>
    <row r="27792" spans="1:6" x14ac:dyDescent="0.25">
      <c r="A27792" s="1" t="str">
        <f t="shared" si="1000"/>
        <v>38220</v>
      </c>
      <c r="B27792" s="1" t="str">
        <f>"71643"</f>
        <v>71643</v>
      </c>
      <c r="C27792" s="2">
        <v>1.29376110356359E-2</v>
      </c>
      <c r="D27792" s="2">
        <v>6.2766758724579399E-3</v>
      </c>
      <c r="E27792" s="2">
        <v>3.0898876404494301E-2</v>
      </c>
      <c r="F27792" s="2">
        <v>1.26760563380281E-2</v>
      </c>
    </row>
    <row r="27793" spans="1:6" x14ac:dyDescent="0.25">
      <c r="A27793" s="1" t="str">
        <f t="shared" si="1000"/>
        <v>38220</v>
      </c>
      <c r="B27793" s="1" t="str">
        <f>"72150"</f>
        <v>72150</v>
      </c>
      <c r="C27793" s="2">
        <v>1.6720660466088401E-3</v>
      </c>
      <c r="D27793" s="2">
        <v>0</v>
      </c>
      <c r="E27793" s="2">
        <v>0</v>
      </c>
      <c r="F27793" s="2">
        <v>1.52264940997335E-3</v>
      </c>
    </row>
    <row r="27794" spans="1:6" x14ac:dyDescent="0.25">
      <c r="A27794" s="1" t="str">
        <f t="shared" si="1000"/>
        <v>38220</v>
      </c>
      <c r="B27794" s="1" t="str">
        <f>"71659"</f>
        <v>71659</v>
      </c>
      <c r="C27794" s="2">
        <v>0</v>
      </c>
      <c r="D27794" s="2">
        <v>0</v>
      </c>
      <c r="E27794" s="2">
        <v>1.4044943820224699E-3</v>
      </c>
      <c r="F27794" s="2">
        <v>1.9033117624666899E-5</v>
      </c>
    </row>
    <row r="27795" spans="1:6" x14ac:dyDescent="0.25">
      <c r="A27795" s="1" t="str">
        <f t="shared" si="1000"/>
        <v>38220</v>
      </c>
      <c r="B27795" s="1" t="str">
        <f>"72072"</f>
        <v>72072</v>
      </c>
      <c r="C27795" s="2">
        <v>1.6720660466088401E-4</v>
      </c>
      <c r="D27795" s="2">
        <v>0</v>
      </c>
      <c r="E27795" s="2">
        <v>0</v>
      </c>
      <c r="F27795" s="2">
        <v>1.52264940997335E-4</v>
      </c>
    </row>
    <row r="27796" spans="1:6" x14ac:dyDescent="0.25">
      <c r="A27796" s="1" t="str">
        <f t="shared" si="1000"/>
        <v>38220</v>
      </c>
      <c r="B27796" s="1" t="str">
        <f>"71667"</f>
        <v>71667</v>
      </c>
      <c r="C27796" s="2">
        <v>0.13029574668199301</v>
      </c>
      <c r="D27796" s="2">
        <v>7.1554104946020505E-2</v>
      </c>
      <c r="E27796" s="2">
        <v>5.3370786516853903E-2</v>
      </c>
      <c r="F27796" s="2">
        <v>0.12480015226494</v>
      </c>
    </row>
    <row r="27797" spans="1:6" x14ac:dyDescent="0.25">
      <c r="A27797" s="1" t="str">
        <f t="shared" si="1000"/>
        <v>38220</v>
      </c>
      <c r="B27797" s="1" t="str">
        <f>"72079"</f>
        <v>72079</v>
      </c>
      <c r="C27797" s="2">
        <v>5.0370989654091296E-3</v>
      </c>
      <c r="D27797" s="2">
        <v>2.5106703489831701E-3</v>
      </c>
      <c r="E27797" s="2">
        <v>1.4044943820224699E-3</v>
      </c>
      <c r="F27797" s="2">
        <v>4.7963456414160596E-3</v>
      </c>
    </row>
    <row r="27798" spans="1:6" x14ac:dyDescent="0.25">
      <c r="A27798" s="1" t="str">
        <f t="shared" si="1000"/>
        <v>38220</v>
      </c>
      <c r="B27798" s="1" t="str">
        <f>"72073"</f>
        <v>72073</v>
      </c>
      <c r="C27798" s="2">
        <v>2.1318842094262699E-3</v>
      </c>
      <c r="D27798" s="2">
        <v>5.0213406979663505E-4</v>
      </c>
      <c r="E27798" s="2">
        <v>8.4269662921348295E-3</v>
      </c>
      <c r="F27798" s="2">
        <v>2.0936429387133598E-3</v>
      </c>
    </row>
    <row r="27799" spans="1:6" x14ac:dyDescent="0.25">
      <c r="A27799" s="1" t="str">
        <f t="shared" si="1000"/>
        <v>38220</v>
      </c>
      <c r="B27799" s="1" t="str">
        <f>"72057"</f>
        <v>72057</v>
      </c>
      <c r="C27799" s="2">
        <v>6.2702476747831504E-5</v>
      </c>
      <c r="D27799" s="2">
        <v>0</v>
      </c>
      <c r="E27799" s="2">
        <v>0</v>
      </c>
      <c r="F27799" s="2">
        <v>5.70993528740007E-5</v>
      </c>
    </row>
    <row r="27800" spans="1:6" x14ac:dyDescent="0.25">
      <c r="A27800" s="1" t="str">
        <f t="shared" si="1000"/>
        <v>38220</v>
      </c>
      <c r="B27800" s="1" t="str">
        <f>"72175"</f>
        <v>72175</v>
      </c>
      <c r="C27800" s="2">
        <v>1.7556693489392801E-3</v>
      </c>
      <c r="D27800" s="2">
        <v>7.5320110469495301E-4</v>
      </c>
      <c r="E27800" s="2">
        <v>2.8089887640449398E-3</v>
      </c>
      <c r="F27800" s="2">
        <v>1.6939474685953499E-3</v>
      </c>
    </row>
    <row r="27801" spans="1:6" x14ac:dyDescent="0.25">
      <c r="A27801" s="1" t="str">
        <f t="shared" si="1000"/>
        <v>38220</v>
      </c>
      <c r="B27801" s="1" t="str">
        <f>"71675"</f>
        <v>71675</v>
      </c>
      <c r="C27801" s="2">
        <v>5.64322290730483E-4</v>
      </c>
      <c r="D27801" s="2">
        <v>2.5106703489831698E-4</v>
      </c>
      <c r="E27801" s="2">
        <v>0</v>
      </c>
      <c r="F27801" s="2">
        <v>5.3292729349067305E-4</v>
      </c>
    </row>
    <row r="27802" spans="1:6" x14ac:dyDescent="0.25">
      <c r="A27802" s="1" t="str">
        <f t="shared" si="1000"/>
        <v>38220</v>
      </c>
      <c r="B27802" s="1" t="str">
        <f>"71644"</f>
        <v>71644</v>
      </c>
      <c r="C27802" s="2">
        <v>5.39241300031351E-3</v>
      </c>
      <c r="D27802" s="2">
        <v>1.5064022093899E-3</v>
      </c>
      <c r="E27802" s="2">
        <v>2.8089887640449398E-3</v>
      </c>
      <c r="F27802" s="2">
        <v>5.0628092881613998E-3</v>
      </c>
    </row>
    <row r="27803" spans="1:6" x14ac:dyDescent="0.25">
      <c r="A27803" s="1" t="str">
        <f t="shared" si="1000"/>
        <v>38220</v>
      </c>
      <c r="B27803" s="1" t="str">
        <f>"71671"</f>
        <v>71671</v>
      </c>
      <c r="C27803" s="2">
        <v>4.4936775002612601E-3</v>
      </c>
      <c r="D27803" s="2">
        <v>7.5320110469495301E-4</v>
      </c>
      <c r="E27803" s="2">
        <v>2.8089887640449398E-3</v>
      </c>
      <c r="F27803" s="2">
        <v>4.1872858774267196E-3</v>
      </c>
    </row>
    <row r="27804" spans="1:6" x14ac:dyDescent="0.25">
      <c r="A27804" s="1" t="str">
        <f t="shared" ref="A27804:A27825" si="1001">"38240"</f>
        <v>38240</v>
      </c>
      <c r="B27804" s="1" t="str">
        <f>"27259"</f>
        <v>27259</v>
      </c>
      <c r="C27804" s="2">
        <v>0</v>
      </c>
      <c r="D27804" s="2">
        <v>0</v>
      </c>
      <c r="E27804" s="2">
        <v>1.63934426229508E-3</v>
      </c>
      <c r="F27804" s="2">
        <v>1.63548344890749E-5</v>
      </c>
    </row>
    <row r="27805" spans="1:6" x14ac:dyDescent="0.25">
      <c r="A27805" s="1" t="str">
        <f t="shared" si="1001"/>
        <v>38240</v>
      </c>
      <c r="B27805" s="1" t="str">
        <f>"27356"</f>
        <v>27356</v>
      </c>
      <c r="C27805" s="2">
        <v>3.1797638400114302E-3</v>
      </c>
      <c r="D27805" s="2">
        <v>8.7815587266739802E-4</v>
      </c>
      <c r="E27805" s="2">
        <v>0</v>
      </c>
      <c r="F27805" s="2">
        <v>2.97657987701164E-3</v>
      </c>
    </row>
    <row r="27806" spans="1:6" x14ac:dyDescent="0.25">
      <c r="A27806" s="1" t="str">
        <f t="shared" si="1001"/>
        <v>38240</v>
      </c>
      <c r="B27806" s="1" t="str">
        <f>"28327"</f>
        <v>28327</v>
      </c>
      <c r="C27806" s="2">
        <v>0.14641204737490801</v>
      </c>
      <c r="D27806" s="2">
        <v>6.2788144895718906E-2</v>
      </c>
      <c r="E27806" s="2">
        <v>4.0983606557376998E-2</v>
      </c>
      <c r="F27806" s="2">
        <v>0.13913057699855999</v>
      </c>
    </row>
    <row r="27807" spans="1:6" x14ac:dyDescent="0.25">
      <c r="A27807" s="1" t="str">
        <f t="shared" si="1001"/>
        <v>38240</v>
      </c>
      <c r="B27807" s="1" t="str">
        <f>"27208"</f>
        <v>27208</v>
      </c>
      <c r="C27807" s="2">
        <v>2.1257971739402199E-3</v>
      </c>
      <c r="D27807" s="2">
        <v>1.31723380900109E-3</v>
      </c>
      <c r="E27807" s="2">
        <v>0</v>
      </c>
      <c r="F27807" s="2">
        <v>2.04435431113437E-3</v>
      </c>
    </row>
    <row r="27808" spans="1:6" x14ac:dyDescent="0.25">
      <c r="A27808" s="1" t="str">
        <f t="shared" si="1001"/>
        <v>38240</v>
      </c>
      <c r="B27808" s="1" t="str">
        <f>"27376"</f>
        <v>27376</v>
      </c>
      <c r="C27808" s="2">
        <v>8.6193036674467205E-2</v>
      </c>
      <c r="D27808" s="2">
        <v>5.9055982436882502E-2</v>
      </c>
      <c r="E27808" s="2">
        <v>4.2622950819672101E-2</v>
      </c>
      <c r="F27808" s="2">
        <v>8.3736752584063795E-2</v>
      </c>
    </row>
    <row r="27809" spans="1:6" x14ac:dyDescent="0.25">
      <c r="A27809" s="1" t="str">
        <f t="shared" si="1001"/>
        <v>38240</v>
      </c>
      <c r="B27809" s="1" t="str">
        <f>"28326"</f>
        <v>28326</v>
      </c>
      <c r="C27809" s="2">
        <v>4.0658103931831502E-2</v>
      </c>
      <c r="D27809" s="2">
        <v>1.6904500548847401E-2</v>
      </c>
      <c r="E27809" s="2">
        <v>3.27868852459016E-3</v>
      </c>
      <c r="F27809" s="2">
        <v>3.8515635221771503E-2</v>
      </c>
    </row>
    <row r="27810" spans="1:6" x14ac:dyDescent="0.25">
      <c r="A27810" s="1" t="str">
        <f t="shared" si="1001"/>
        <v>38240</v>
      </c>
      <c r="B27810" s="1" t="str">
        <f>"28394"</f>
        <v>28394</v>
      </c>
      <c r="C27810" s="2">
        <v>4.8321692063095001E-2</v>
      </c>
      <c r="D27810" s="2">
        <v>1.38309549945115E-2</v>
      </c>
      <c r="E27810" s="2">
        <v>1.8032786885245899E-2</v>
      </c>
      <c r="F27810" s="2">
        <v>4.5450085045139303E-2</v>
      </c>
    </row>
    <row r="27811" spans="1:6" x14ac:dyDescent="0.25">
      <c r="A27811" s="1" t="str">
        <f t="shared" si="1001"/>
        <v>38240</v>
      </c>
      <c r="B27811" s="1" t="str">
        <f>"28347"</f>
        <v>28347</v>
      </c>
      <c r="C27811" s="2">
        <v>1.60774576180353E-4</v>
      </c>
      <c r="D27811" s="2">
        <v>0</v>
      </c>
      <c r="E27811" s="2">
        <v>0</v>
      </c>
      <c r="F27811" s="2">
        <v>1.4719351040167399E-4</v>
      </c>
    </row>
    <row r="27812" spans="1:6" x14ac:dyDescent="0.25">
      <c r="A27812" s="1" t="str">
        <f t="shared" si="1001"/>
        <v>38240</v>
      </c>
      <c r="B27812" s="1" t="str">
        <f>"27341"</f>
        <v>27341</v>
      </c>
      <c r="C27812" s="2">
        <v>1.3058468354204201E-2</v>
      </c>
      <c r="D27812" s="2">
        <v>9.4401756311745296E-3</v>
      </c>
      <c r="E27812" s="2">
        <v>0</v>
      </c>
      <c r="F27812" s="2">
        <v>1.2658641894544E-2</v>
      </c>
    </row>
    <row r="27813" spans="1:6" x14ac:dyDescent="0.25">
      <c r="A27813" s="1" t="str">
        <f t="shared" si="1001"/>
        <v>38240</v>
      </c>
      <c r="B27813" s="1" t="str">
        <f>"28388"</f>
        <v>28388</v>
      </c>
      <c r="C27813" s="2">
        <v>2.4777148573572199E-2</v>
      </c>
      <c r="D27813" s="2">
        <v>8.5181119648737605E-2</v>
      </c>
      <c r="E27813" s="2">
        <v>1.63934426229508E-3</v>
      </c>
      <c r="F27813" s="2">
        <v>2.9046186052597098E-2</v>
      </c>
    </row>
    <row r="27814" spans="1:6" x14ac:dyDescent="0.25">
      <c r="A27814" s="1" t="str">
        <f t="shared" si="1001"/>
        <v>38240</v>
      </c>
      <c r="B27814" s="1" t="str">
        <f>"27209"</f>
        <v>27209</v>
      </c>
      <c r="C27814" s="2">
        <v>2.7688954786616398E-3</v>
      </c>
      <c r="D27814" s="2">
        <v>8.7815587266739802E-4</v>
      </c>
      <c r="E27814" s="2">
        <v>0</v>
      </c>
      <c r="F27814" s="2">
        <v>2.6004186837629202E-3</v>
      </c>
    </row>
    <row r="27815" spans="1:6" x14ac:dyDescent="0.25">
      <c r="A27815" s="1" t="str">
        <f t="shared" si="1001"/>
        <v>38240</v>
      </c>
      <c r="B27815" s="1" t="str">
        <f>"27330"</f>
        <v>27330</v>
      </c>
      <c r="C27815" s="2">
        <v>1.8935672305686001E-3</v>
      </c>
      <c r="D27815" s="2">
        <v>6.5861690450054803E-4</v>
      </c>
      <c r="E27815" s="2">
        <v>0</v>
      </c>
      <c r="F27815" s="2">
        <v>1.78267695930917E-3</v>
      </c>
    </row>
    <row r="27816" spans="1:6" x14ac:dyDescent="0.25">
      <c r="A27816" s="1" t="str">
        <f t="shared" si="1001"/>
        <v>38240</v>
      </c>
      <c r="B27816" s="1" t="str">
        <f>"27281"</f>
        <v>27281</v>
      </c>
      <c r="C27816" s="2">
        <v>1.9739545186587801E-2</v>
      </c>
      <c r="D27816" s="2">
        <v>2.85400658616904E-3</v>
      </c>
      <c r="E27816" s="2">
        <v>1.8032786885245899E-2</v>
      </c>
      <c r="F27816" s="2">
        <v>1.8464608138165601E-2</v>
      </c>
    </row>
    <row r="27817" spans="1:6" x14ac:dyDescent="0.25">
      <c r="A27817" s="1" t="str">
        <f t="shared" si="1001"/>
        <v>38240</v>
      </c>
      <c r="B27817" s="1" t="str">
        <f>"28373"</f>
        <v>28373</v>
      </c>
      <c r="C27817" s="2">
        <v>1.91857660908554E-2</v>
      </c>
      <c r="D27817" s="2">
        <v>7.0252469813391798E-3</v>
      </c>
      <c r="E27817" s="2">
        <v>1.9672131147540899E-2</v>
      </c>
      <c r="F27817" s="2">
        <v>1.82847049587858E-2</v>
      </c>
    </row>
    <row r="27818" spans="1:6" x14ac:dyDescent="0.25">
      <c r="A27818" s="1" t="str">
        <f t="shared" si="1001"/>
        <v>38240</v>
      </c>
      <c r="B27818" s="1" t="str">
        <f>"27242"</f>
        <v>27242</v>
      </c>
      <c r="C27818" s="2">
        <v>1.51128101609532E-2</v>
      </c>
      <c r="D27818" s="2">
        <v>6.1470911086717803E-3</v>
      </c>
      <c r="E27818" s="2">
        <v>3.27868852459016E-3</v>
      </c>
      <c r="F27818" s="2">
        <v>1.43268350124296E-2</v>
      </c>
    </row>
    <row r="27819" spans="1:6" x14ac:dyDescent="0.25">
      <c r="A27819" s="1" t="str">
        <f t="shared" si="1001"/>
        <v>38240</v>
      </c>
      <c r="B27819" s="1" t="str">
        <f>"28374"</f>
        <v>28374</v>
      </c>
      <c r="C27819" s="2">
        <v>0.19787777559441899</v>
      </c>
      <c r="D27819" s="2">
        <v>0.191437980241492</v>
      </c>
      <c r="E27819" s="2">
        <v>0.26229508196721302</v>
      </c>
      <c r="F27819" s="2">
        <v>0.19804069082820799</v>
      </c>
    </row>
    <row r="27820" spans="1:6" x14ac:dyDescent="0.25">
      <c r="A27820" s="1" t="str">
        <f t="shared" si="1001"/>
        <v>38240</v>
      </c>
      <c r="B27820" s="1" t="str">
        <f>"28370"</f>
        <v>28370</v>
      </c>
      <c r="C27820" s="2">
        <v>2.7903320888190201E-2</v>
      </c>
      <c r="D27820" s="2">
        <v>2.7442371020856199E-2</v>
      </c>
      <c r="E27820" s="2">
        <v>1.63934426229508E-3</v>
      </c>
      <c r="F27820" s="2">
        <v>2.7606960617558501E-2</v>
      </c>
    </row>
    <row r="27821" spans="1:6" x14ac:dyDescent="0.25">
      <c r="A27821" s="1" t="str">
        <f t="shared" si="1001"/>
        <v>38240</v>
      </c>
      <c r="B27821" s="1" t="str">
        <f>"28387"</f>
        <v>28387</v>
      </c>
      <c r="C27821" s="2">
        <v>0.16665178013183499</v>
      </c>
      <c r="D27821" s="2">
        <v>0.27244785949506001</v>
      </c>
      <c r="E27821" s="2">
        <v>0.47868852459016298</v>
      </c>
      <c r="F27821" s="2">
        <v>0.177646212220332</v>
      </c>
    </row>
    <row r="27822" spans="1:6" x14ac:dyDescent="0.25">
      <c r="A27822" s="1" t="str">
        <f t="shared" si="1001"/>
        <v>38240</v>
      </c>
      <c r="B27822" s="1" t="str">
        <f>"27252"</f>
        <v>27252</v>
      </c>
      <c r="C27822" s="2">
        <v>1.0718305078690199E-4</v>
      </c>
      <c r="D27822" s="2">
        <v>4.3907793633369901E-4</v>
      </c>
      <c r="E27822" s="2">
        <v>0</v>
      </c>
      <c r="F27822" s="2">
        <v>1.3083867591259901E-4</v>
      </c>
    </row>
    <row r="27823" spans="1:6" x14ac:dyDescent="0.25">
      <c r="A27823" s="1" t="str">
        <f t="shared" si="1001"/>
        <v>38240</v>
      </c>
      <c r="B27823" s="1" t="str">
        <f>"27325"</f>
        <v>27325</v>
      </c>
      <c r="C27823" s="2">
        <v>6.1844620304042502E-2</v>
      </c>
      <c r="D27823" s="2">
        <v>3.4467618002195298E-2</v>
      </c>
      <c r="E27823" s="2">
        <v>1.47540983606557E-2</v>
      </c>
      <c r="F27823" s="2">
        <v>5.9335339526363898E-2</v>
      </c>
    </row>
    <row r="27824" spans="1:6" x14ac:dyDescent="0.25">
      <c r="A27824" s="1" t="str">
        <f t="shared" si="1001"/>
        <v>38240</v>
      </c>
      <c r="B27824" s="1" t="str">
        <f>"28315"</f>
        <v>28315</v>
      </c>
      <c r="C27824" s="2">
        <v>0.122027903320888</v>
      </c>
      <c r="D27824" s="2">
        <v>0.206805708013172</v>
      </c>
      <c r="E27824" s="2">
        <v>9.1803278688524503E-2</v>
      </c>
      <c r="F27824" s="2">
        <v>0.12804199921496701</v>
      </c>
    </row>
    <row r="27825" spans="1:6" x14ac:dyDescent="0.25">
      <c r="A27825" s="1" t="str">
        <f t="shared" si="1001"/>
        <v>38240</v>
      </c>
      <c r="B27825" s="1" t="str">
        <f>"28350"</f>
        <v>28350</v>
      </c>
      <c r="C27825" s="2">
        <v>0</v>
      </c>
      <c r="D27825" s="2">
        <v>0</v>
      </c>
      <c r="E27825" s="2">
        <v>1.63934426229508E-3</v>
      </c>
      <c r="F27825" s="2">
        <v>1.63548344890749E-5</v>
      </c>
    </row>
    <row r="27826" spans="1:6" x14ac:dyDescent="0.25">
      <c r="A27826" s="1" t="str">
        <f t="shared" ref="A27826:A27840" si="1002">"38260"</f>
        <v>38260</v>
      </c>
      <c r="B27826" s="1" t="str">
        <f>"66746"</f>
        <v>66746</v>
      </c>
      <c r="C27826" s="2">
        <v>3.7313432835820799E-3</v>
      </c>
      <c r="D27826" s="2">
        <v>1.07874865156418E-3</v>
      </c>
      <c r="E27826" s="2">
        <v>1.6694490818030001E-3</v>
      </c>
      <c r="F27826" s="2">
        <v>3.4484344107774999E-3</v>
      </c>
    </row>
    <row r="27827" spans="1:6" x14ac:dyDescent="0.25">
      <c r="A27827" s="1" t="str">
        <f t="shared" si="1002"/>
        <v>38260</v>
      </c>
      <c r="B27827" s="1" t="str">
        <f>"66781"</f>
        <v>66781</v>
      </c>
      <c r="C27827" s="2">
        <v>8.8101160862354795E-4</v>
      </c>
      <c r="D27827" s="2">
        <v>1.6181229773462699E-3</v>
      </c>
      <c r="E27827" s="2">
        <v>0</v>
      </c>
      <c r="F27827" s="2">
        <v>9.1958250954066797E-4</v>
      </c>
    </row>
    <row r="27828" spans="1:6" x14ac:dyDescent="0.25">
      <c r="A27828" s="1" t="str">
        <f t="shared" si="1002"/>
        <v>38260</v>
      </c>
      <c r="B27828" s="1" t="str">
        <f>"66780"</f>
        <v>66780</v>
      </c>
      <c r="C27828" s="2">
        <v>1.09349087893864E-2</v>
      </c>
      <c r="D27828" s="2">
        <v>3.2362459546925498E-3</v>
      </c>
      <c r="E27828" s="2">
        <v>3.3388981636060101E-3</v>
      </c>
      <c r="F27828" s="2">
        <v>1.00694284794703E-2</v>
      </c>
    </row>
    <row r="27829" spans="1:6" x14ac:dyDescent="0.25">
      <c r="A27829" s="1" t="str">
        <f t="shared" si="1002"/>
        <v>38260</v>
      </c>
      <c r="B27829" s="1" t="str">
        <f>"66724"</f>
        <v>66724</v>
      </c>
      <c r="C27829" s="2">
        <v>2.1247927031509101E-2</v>
      </c>
      <c r="D27829" s="2">
        <v>4.8543689320388302E-3</v>
      </c>
      <c r="E27829" s="2">
        <v>1.6694490818030001E-3</v>
      </c>
      <c r="F27829" s="2">
        <v>1.9311232700354002E-2</v>
      </c>
    </row>
    <row r="27830" spans="1:6" x14ac:dyDescent="0.25">
      <c r="A27830" s="1" t="str">
        <f t="shared" si="1002"/>
        <v>38260</v>
      </c>
      <c r="B27830" s="1" t="str">
        <f>"66753"</f>
        <v>66753</v>
      </c>
      <c r="C27830" s="2">
        <v>2.1299751243781001E-2</v>
      </c>
      <c r="D27830" s="2">
        <v>7.5512405609492904E-3</v>
      </c>
      <c r="E27830" s="2">
        <v>6.6777963272120202E-3</v>
      </c>
      <c r="F27830" s="2">
        <v>1.9725044829647299E-2</v>
      </c>
    </row>
    <row r="27831" spans="1:6" x14ac:dyDescent="0.25">
      <c r="A27831" s="1" t="str">
        <f t="shared" si="1002"/>
        <v>38260</v>
      </c>
      <c r="B27831" s="1" t="str">
        <f>"66760"</f>
        <v>66760</v>
      </c>
      <c r="C27831" s="2">
        <v>0</v>
      </c>
      <c r="D27831" s="2">
        <v>0</v>
      </c>
      <c r="E27831" s="2">
        <v>1.6694490818030001E-3</v>
      </c>
      <c r="F27831" s="2">
        <v>4.5979125477033401E-5</v>
      </c>
    </row>
    <row r="27832" spans="1:6" x14ac:dyDescent="0.25">
      <c r="A27832" s="1" t="str">
        <f t="shared" si="1002"/>
        <v>38260</v>
      </c>
      <c r="B27832" s="1" t="str">
        <f>"66743"</f>
        <v>66743</v>
      </c>
      <c r="C27832" s="2">
        <v>0.106706053067993</v>
      </c>
      <c r="D27832" s="2">
        <v>0.124056094929881</v>
      </c>
      <c r="E27832" s="2">
        <v>3.6727879799666102E-2</v>
      </c>
      <c r="F27832" s="2">
        <v>0.106257758977424</v>
      </c>
    </row>
    <row r="27833" spans="1:6" x14ac:dyDescent="0.25">
      <c r="A27833" s="1" t="str">
        <f t="shared" si="1002"/>
        <v>38260</v>
      </c>
      <c r="B27833" s="1" t="str">
        <f>"66701"</f>
        <v>66701</v>
      </c>
      <c r="C27833" s="2">
        <v>5.7006633499170802E-4</v>
      </c>
      <c r="D27833" s="2">
        <v>0</v>
      </c>
      <c r="E27833" s="2">
        <v>0</v>
      </c>
      <c r="F27833" s="2">
        <v>5.0577038024736702E-4</v>
      </c>
    </row>
    <row r="27834" spans="1:6" x14ac:dyDescent="0.25">
      <c r="A27834" s="1" t="str">
        <f t="shared" si="1002"/>
        <v>38260</v>
      </c>
      <c r="B27834" s="1" t="str">
        <f>"66762"</f>
        <v>66762</v>
      </c>
      <c r="C27834" s="2">
        <v>0.64194651741293496</v>
      </c>
      <c r="D27834" s="2">
        <v>0.759439050701186</v>
      </c>
      <c r="E27834" s="2">
        <v>0.87646076794657701</v>
      </c>
      <c r="F27834" s="2">
        <v>0.65842107683111795</v>
      </c>
    </row>
    <row r="27835" spans="1:6" x14ac:dyDescent="0.25">
      <c r="A27835" s="1" t="str">
        <f t="shared" si="1002"/>
        <v>38260</v>
      </c>
      <c r="B27835" s="1" t="str">
        <f>"66734"</f>
        <v>66734</v>
      </c>
      <c r="C27835" s="2">
        <v>1.00020729684908E-2</v>
      </c>
      <c r="D27835" s="2">
        <v>2.6968716289104602E-3</v>
      </c>
      <c r="E27835" s="2">
        <v>0</v>
      </c>
      <c r="F27835" s="2">
        <v>9.1038668444526107E-3</v>
      </c>
    </row>
    <row r="27836" spans="1:6" x14ac:dyDescent="0.25">
      <c r="A27836" s="1" t="str">
        <f t="shared" si="1002"/>
        <v>38260</v>
      </c>
      <c r="B27836" s="1" t="str">
        <f>"66763"</f>
        <v>66763</v>
      </c>
      <c r="C27836" s="2">
        <v>8.0068407960198998E-2</v>
      </c>
      <c r="D27836" s="2">
        <v>5.9870550161812197E-2</v>
      </c>
      <c r="E27836" s="2">
        <v>3.6727879799666102E-2</v>
      </c>
      <c r="F27836" s="2">
        <v>7.7152972550461996E-2</v>
      </c>
    </row>
    <row r="27837" spans="1:6" x14ac:dyDescent="0.25">
      <c r="A27837" s="1" t="str">
        <f t="shared" si="1002"/>
        <v>38260</v>
      </c>
      <c r="B27837" s="1" t="str">
        <f>"66735"</f>
        <v>66735</v>
      </c>
      <c r="C27837" s="2">
        <v>1.1712271973466E-2</v>
      </c>
      <c r="D27837" s="2">
        <v>2.15749730312837E-3</v>
      </c>
      <c r="E27837" s="2">
        <v>1.6694490818030001E-3</v>
      </c>
      <c r="F27837" s="2">
        <v>1.0621177985194699E-2</v>
      </c>
    </row>
    <row r="27838" spans="1:6" x14ac:dyDescent="0.25">
      <c r="A27838" s="1" t="str">
        <f t="shared" si="1002"/>
        <v>38260</v>
      </c>
      <c r="B27838" s="1" t="str">
        <f>"66756"</f>
        <v>66756</v>
      </c>
      <c r="C27838" s="2">
        <v>2.4461028192371399E-2</v>
      </c>
      <c r="D27838" s="2">
        <v>2.15749730312837E-3</v>
      </c>
      <c r="E27838" s="2">
        <v>6.6777963272120202E-3</v>
      </c>
      <c r="F27838" s="2">
        <v>2.2069980228976001E-2</v>
      </c>
    </row>
    <row r="27839" spans="1:6" x14ac:dyDescent="0.25">
      <c r="A27839" s="1" t="str">
        <f t="shared" si="1002"/>
        <v>38260</v>
      </c>
      <c r="B27839" s="1" t="str">
        <f>"66712"</f>
        <v>66712</v>
      </c>
      <c r="C27839" s="2">
        <v>4.8351990049751201E-2</v>
      </c>
      <c r="D27839" s="2">
        <v>2.6968716289104602E-2</v>
      </c>
      <c r="E27839" s="2">
        <v>2.5041736227044999E-2</v>
      </c>
      <c r="F27839" s="2">
        <v>4.5887167226079301E-2</v>
      </c>
    </row>
    <row r="27840" spans="1:6" x14ac:dyDescent="0.25">
      <c r="A27840" s="1" t="str">
        <f t="shared" si="1002"/>
        <v>38260</v>
      </c>
      <c r="B27840" s="1" t="str">
        <f>"66711"</f>
        <v>66711</v>
      </c>
      <c r="C27840" s="2">
        <v>1.8086650082918699E-2</v>
      </c>
      <c r="D27840" s="2">
        <v>4.3149946062567401E-3</v>
      </c>
      <c r="E27840" s="2">
        <v>1.6694490818030001E-3</v>
      </c>
      <c r="F27840" s="2">
        <v>1.6460526920777901E-2</v>
      </c>
    </row>
    <row r="27841" spans="1:6" x14ac:dyDescent="0.25">
      <c r="A27841" s="1" t="str">
        <f t="shared" ref="A27841:A27904" si="1003">"38300"</f>
        <v>38300</v>
      </c>
      <c r="B27841" s="1" t="str">
        <f>"15376"</f>
        <v>15376</v>
      </c>
      <c r="C27841" s="2">
        <v>6.2695338881899097E-4</v>
      </c>
      <c r="D27841" s="2">
        <v>1.7789549627901901E-4</v>
      </c>
      <c r="E27841" s="2">
        <v>1.7998200179982E-4</v>
      </c>
      <c r="F27841" s="2">
        <v>5.7592021133636795E-4</v>
      </c>
    </row>
    <row r="27842" spans="1:6" x14ac:dyDescent="0.25">
      <c r="A27842" s="1" t="str">
        <f t="shared" si="1003"/>
        <v>38300</v>
      </c>
      <c r="B27842" s="1" t="str">
        <f>"15419"</f>
        <v>15419</v>
      </c>
      <c r="C27842" s="2">
        <v>1.5495433349672601E-3</v>
      </c>
      <c r="D27842" s="2">
        <v>1.1266714764337799E-3</v>
      </c>
      <c r="E27842" s="2">
        <v>2.2797720227977201E-3</v>
      </c>
      <c r="F27842" s="2">
        <v>1.54482127276108E-3</v>
      </c>
    </row>
    <row r="27843" spans="1:6" x14ac:dyDescent="0.25">
      <c r="A27843" s="1" t="str">
        <f t="shared" si="1003"/>
        <v>38300</v>
      </c>
      <c r="B27843" s="1" t="str">
        <f>"15218"</f>
        <v>15218</v>
      </c>
      <c r="C27843" s="2">
        <v>6.60509837136539E-3</v>
      </c>
      <c r="D27843" s="2">
        <v>5.1095539764584898E-3</v>
      </c>
      <c r="E27843" s="2">
        <v>1.1458854114588499E-2</v>
      </c>
      <c r="F27843" s="2">
        <v>6.67389891960379E-3</v>
      </c>
    </row>
    <row r="27844" spans="1:6" x14ac:dyDescent="0.25">
      <c r="A27844" s="1" t="str">
        <f t="shared" si="1003"/>
        <v>38300</v>
      </c>
      <c r="B27844" s="1" t="str">
        <f>"15211"</f>
        <v>15211</v>
      </c>
      <c r="C27844" s="2">
        <v>5.8804489937737897E-3</v>
      </c>
      <c r="D27844" s="2">
        <v>1.8679027109296999E-3</v>
      </c>
      <c r="E27844" s="2">
        <v>7.4792520747925199E-3</v>
      </c>
      <c r="F27844" s="2">
        <v>5.6349840285656403E-3</v>
      </c>
    </row>
    <row r="27845" spans="1:6" x14ac:dyDescent="0.25">
      <c r="A27845" s="1" t="str">
        <f t="shared" si="1003"/>
        <v>38300</v>
      </c>
      <c r="B27845" s="1" t="str">
        <f>"15214"</f>
        <v>15214</v>
      </c>
      <c r="C27845" s="2">
        <v>6.4385904252833798E-3</v>
      </c>
      <c r="D27845" s="2">
        <v>1.4923455521184299E-3</v>
      </c>
      <c r="E27845" s="2">
        <v>4.6395360463953603E-3</v>
      </c>
      <c r="F27845" s="2">
        <v>5.9940872191636104E-3</v>
      </c>
    </row>
    <row r="27846" spans="1:6" x14ac:dyDescent="0.25">
      <c r="A27846" s="1" t="str">
        <f t="shared" si="1003"/>
        <v>38300</v>
      </c>
      <c r="B27846" s="1" t="str">
        <f>"16066"</f>
        <v>16066</v>
      </c>
      <c r="C27846" s="2">
        <v>1.1899371432503501E-2</v>
      </c>
      <c r="D27846" s="2">
        <v>1.7690718796635699E-2</v>
      </c>
      <c r="E27846" s="2">
        <v>6.6393360663933596E-3</v>
      </c>
      <c r="F27846" s="2">
        <v>1.21425059982278E-2</v>
      </c>
    </row>
    <row r="27847" spans="1:6" x14ac:dyDescent="0.25">
      <c r="A27847" s="1" t="str">
        <f t="shared" si="1003"/>
        <v>38300</v>
      </c>
      <c r="B27847" s="1" t="str">
        <f>"16056"</f>
        <v>16056</v>
      </c>
      <c r="C27847" s="2">
        <v>1.83073787656494E-3</v>
      </c>
      <c r="D27847" s="2">
        <v>9.7842522953460508E-4</v>
      </c>
      <c r="E27847" s="2">
        <v>1.41985801419858E-3</v>
      </c>
      <c r="F27847" s="2">
        <v>1.7503457403360201E-3</v>
      </c>
    </row>
    <row r="27848" spans="1:6" x14ac:dyDescent="0.25">
      <c r="A27848" s="1" t="str">
        <f t="shared" si="1003"/>
        <v>38300</v>
      </c>
      <c r="B27848" s="1" t="str">
        <f>"16038"</f>
        <v>16038</v>
      </c>
      <c r="C27848" s="2">
        <v>7.9855851692391805E-4</v>
      </c>
      <c r="D27848" s="2">
        <v>2.0754474565885499E-4</v>
      </c>
      <c r="E27848" s="2">
        <v>1.1998800119988E-4</v>
      </c>
      <c r="F27848" s="2">
        <v>7.2799326060427202E-4</v>
      </c>
    </row>
    <row r="27849" spans="1:6" x14ac:dyDescent="0.25">
      <c r="A27849" s="1" t="str">
        <f t="shared" si="1003"/>
        <v>38300</v>
      </c>
      <c r="B27849" s="1" t="str">
        <f>"16061"</f>
        <v>16061</v>
      </c>
      <c r="C27849" s="2">
        <v>9.8970284278336704E-4</v>
      </c>
      <c r="D27849" s="2">
        <v>3.0637557692497698E-4</v>
      </c>
      <c r="E27849" s="2">
        <v>1.7998200179982E-4</v>
      </c>
      <c r="F27849" s="2">
        <v>9.0716843746447499E-4</v>
      </c>
    </row>
    <row r="27850" spans="1:6" x14ac:dyDescent="0.25">
      <c r="A27850" s="1" t="str">
        <f t="shared" si="1003"/>
        <v>38300</v>
      </c>
      <c r="B27850" s="1" t="str">
        <f>"16001"</f>
        <v>16001</v>
      </c>
      <c r="C27850" s="2">
        <v>1.72327228891507E-2</v>
      </c>
      <c r="D27850" s="2">
        <v>1.7997094373560701E-2</v>
      </c>
      <c r="E27850" s="2">
        <v>2.3037696230376901E-2</v>
      </c>
      <c r="F27850" s="2">
        <v>1.75094800983807E-2</v>
      </c>
    </row>
    <row r="27851" spans="1:6" x14ac:dyDescent="0.25">
      <c r="A27851" s="1" t="str">
        <f t="shared" si="1003"/>
        <v>38300</v>
      </c>
      <c r="B27851" s="1" t="str">
        <f>"15415"</f>
        <v>15415</v>
      </c>
      <c r="C27851" s="2">
        <v>0</v>
      </c>
      <c r="D27851" s="2">
        <v>0</v>
      </c>
      <c r="E27851" s="2">
        <v>1.999800019998E-5</v>
      </c>
      <c r="F27851" s="2">
        <v>7.5283687756387995E-7</v>
      </c>
    </row>
    <row r="27852" spans="1:6" x14ac:dyDescent="0.25">
      <c r="A27852" s="1" t="str">
        <f t="shared" si="1003"/>
        <v>38300</v>
      </c>
      <c r="B27852" s="1" t="str">
        <f>"16102"</f>
        <v>16102</v>
      </c>
      <c r="C27852" s="2">
        <v>1.6990606743061999E-6</v>
      </c>
      <c r="D27852" s="2">
        <v>0</v>
      </c>
      <c r="E27852" s="2">
        <v>0</v>
      </c>
      <c r="F27852" s="2">
        <v>1.5056737551277599E-6</v>
      </c>
    </row>
    <row r="27853" spans="1:6" x14ac:dyDescent="0.25">
      <c r="A27853" s="1" t="str">
        <f t="shared" si="1003"/>
        <v>38300</v>
      </c>
      <c r="B27853" s="1" t="str">
        <f>"15320"</f>
        <v>15320</v>
      </c>
      <c r="C27853" s="2">
        <v>6.7962426972248301E-6</v>
      </c>
      <c r="D27853" s="2">
        <v>0</v>
      </c>
      <c r="E27853" s="2">
        <v>0</v>
      </c>
      <c r="F27853" s="2">
        <v>6.0226950205110396E-6</v>
      </c>
    </row>
    <row r="27854" spans="1:6" x14ac:dyDescent="0.25">
      <c r="A27854" s="1" t="str">
        <f t="shared" si="1003"/>
        <v>38300</v>
      </c>
      <c r="B27854" s="1" t="str">
        <f>"15664"</f>
        <v>15664</v>
      </c>
      <c r="C27854" s="2">
        <v>0</v>
      </c>
      <c r="D27854" s="2">
        <v>0</v>
      </c>
      <c r="E27854" s="2">
        <v>1.999800019998E-5</v>
      </c>
      <c r="F27854" s="2">
        <v>7.5283687756387995E-7</v>
      </c>
    </row>
    <row r="27855" spans="1:6" x14ac:dyDescent="0.25">
      <c r="A27855" s="1" t="str">
        <f t="shared" si="1003"/>
        <v>38300</v>
      </c>
      <c r="B27855" s="1" t="str">
        <f>"15331"</f>
        <v>15331</v>
      </c>
      <c r="C27855" s="2">
        <v>0</v>
      </c>
      <c r="D27855" s="2">
        <v>0</v>
      </c>
      <c r="E27855" s="2">
        <v>1.999800019998E-5</v>
      </c>
      <c r="F27855" s="2">
        <v>7.5283687756387995E-7</v>
      </c>
    </row>
    <row r="27856" spans="1:6" x14ac:dyDescent="0.25">
      <c r="A27856" s="1" t="str">
        <f t="shared" si="1003"/>
        <v>38300</v>
      </c>
      <c r="B27856" s="1" t="str">
        <f>"15674"</f>
        <v>15674</v>
      </c>
      <c r="C27856" s="2">
        <v>0</v>
      </c>
      <c r="D27856" s="2">
        <v>0</v>
      </c>
      <c r="E27856" s="2">
        <v>1.999800019998E-5</v>
      </c>
      <c r="F27856" s="2">
        <v>7.5283687756387995E-7</v>
      </c>
    </row>
    <row r="27857" spans="1:6" x14ac:dyDescent="0.25">
      <c r="A27857" s="1" t="str">
        <f t="shared" si="1003"/>
        <v>38300</v>
      </c>
      <c r="B27857" s="1" t="str">
        <f>"15435"</f>
        <v>15435</v>
      </c>
      <c r="C27857" s="2">
        <v>0</v>
      </c>
      <c r="D27857" s="2">
        <v>0</v>
      </c>
      <c r="E27857" s="2">
        <v>3.1996800319968001E-4</v>
      </c>
      <c r="F27857" s="2">
        <v>1.2045390041022E-5</v>
      </c>
    </row>
    <row r="27858" spans="1:6" x14ac:dyDescent="0.25">
      <c r="A27858" s="1" t="str">
        <f t="shared" si="1003"/>
        <v>38300</v>
      </c>
      <c r="B27858" s="1" t="str">
        <f>"15629"</f>
        <v>15629</v>
      </c>
      <c r="C27858" s="2">
        <v>0</v>
      </c>
      <c r="D27858" s="2">
        <v>0</v>
      </c>
      <c r="E27858" s="2">
        <v>9.9990000999900002E-5</v>
      </c>
      <c r="F27858" s="2">
        <v>3.7641843878193999E-6</v>
      </c>
    </row>
    <row r="27859" spans="1:6" x14ac:dyDescent="0.25">
      <c r="A27859" s="1" t="str">
        <f t="shared" si="1003"/>
        <v>38300</v>
      </c>
      <c r="B27859" s="1" t="str">
        <f>"15276"</f>
        <v>15276</v>
      </c>
      <c r="C27859" s="2">
        <v>8.4953033715310397E-7</v>
      </c>
      <c r="D27859" s="2">
        <v>8.3017898263542203E-4</v>
      </c>
      <c r="E27859" s="2">
        <v>2.9997000299969998E-4</v>
      </c>
      <c r="F27859" s="2">
        <v>7.5283687756388004E-5</v>
      </c>
    </row>
    <row r="27860" spans="1:6" x14ac:dyDescent="0.25">
      <c r="A27860" s="1" t="str">
        <f t="shared" si="1003"/>
        <v>38300</v>
      </c>
      <c r="B27860" s="1" t="str">
        <f>"15378"</f>
        <v>15378</v>
      </c>
      <c r="C27860" s="2">
        <v>0</v>
      </c>
      <c r="D27860" s="2">
        <v>0</v>
      </c>
      <c r="E27860" s="2">
        <v>1.5998400159984E-4</v>
      </c>
      <c r="F27860" s="2">
        <v>6.0226950205110396E-6</v>
      </c>
    </row>
    <row r="27861" spans="1:6" x14ac:dyDescent="0.25">
      <c r="A27861" s="1" t="str">
        <f t="shared" si="1003"/>
        <v>38300</v>
      </c>
      <c r="B27861" s="1" t="str">
        <f>"15358"</f>
        <v>15358</v>
      </c>
      <c r="C27861" s="2">
        <v>0</v>
      </c>
      <c r="D27861" s="2">
        <v>0</v>
      </c>
      <c r="E27861" s="2">
        <v>1.1998800119988E-4</v>
      </c>
      <c r="F27861" s="2">
        <v>4.5170212653832804E-6</v>
      </c>
    </row>
    <row r="27862" spans="1:6" x14ac:dyDescent="0.25">
      <c r="A27862" s="1" t="str">
        <f t="shared" si="1003"/>
        <v>38300</v>
      </c>
      <c r="B27862" s="1" t="str">
        <f>"16236"</f>
        <v>16236</v>
      </c>
      <c r="C27862" s="2">
        <v>0</v>
      </c>
      <c r="D27862" s="2">
        <v>0</v>
      </c>
      <c r="E27862" s="2">
        <v>5.9994000599940001E-5</v>
      </c>
      <c r="F27862" s="2">
        <v>2.2585106326916402E-6</v>
      </c>
    </row>
    <row r="27863" spans="1:6" x14ac:dyDescent="0.25">
      <c r="A27863" s="1" t="str">
        <f t="shared" si="1003"/>
        <v>38300</v>
      </c>
      <c r="B27863" s="1" t="str">
        <f>"15004"</f>
        <v>15004</v>
      </c>
      <c r="C27863" s="2">
        <v>0</v>
      </c>
      <c r="D27863" s="2">
        <v>0</v>
      </c>
      <c r="E27863" s="2">
        <v>5.9994000599940001E-5</v>
      </c>
      <c r="F27863" s="2">
        <v>2.2585106326916402E-6</v>
      </c>
    </row>
    <row r="27864" spans="1:6" x14ac:dyDescent="0.25">
      <c r="A27864" s="1" t="str">
        <f t="shared" si="1003"/>
        <v>38300</v>
      </c>
      <c r="B27864" s="1" t="str">
        <f>"15695"</f>
        <v>15695</v>
      </c>
      <c r="C27864" s="2">
        <v>0</v>
      </c>
      <c r="D27864" s="2">
        <v>0</v>
      </c>
      <c r="E27864" s="2">
        <v>3.9996000399960001E-5</v>
      </c>
      <c r="F27864" s="2">
        <v>1.5056737551277599E-6</v>
      </c>
    </row>
    <row r="27865" spans="1:6" x14ac:dyDescent="0.25">
      <c r="A27865" s="1" t="str">
        <f t="shared" si="1003"/>
        <v>38300</v>
      </c>
      <c r="B27865" s="1" t="str">
        <f>"15253"</f>
        <v>15253</v>
      </c>
      <c r="C27865" s="2">
        <v>0</v>
      </c>
      <c r="D27865" s="2">
        <v>0</v>
      </c>
      <c r="E27865" s="2">
        <v>1.999800019998E-5</v>
      </c>
      <c r="F27865" s="2">
        <v>7.5283687756387995E-7</v>
      </c>
    </row>
    <row r="27866" spans="1:6" x14ac:dyDescent="0.25">
      <c r="A27866" s="1" t="str">
        <f t="shared" si="1003"/>
        <v>38300</v>
      </c>
      <c r="B27866" s="1" t="str">
        <f>"15488"</f>
        <v>15488</v>
      </c>
      <c r="C27866" s="2">
        <v>4.4175577531961399E-5</v>
      </c>
      <c r="D27866" s="2">
        <v>0</v>
      </c>
      <c r="E27866" s="2">
        <v>7.9992000799920002E-5</v>
      </c>
      <c r="F27866" s="2">
        <v>4.2158865143577199E-5</v>
      </c>
    </row>
    <row r="27867" spans="1:6" x14ac:dyDescent="0.25">
      <c r="A27867" s="1" t="str">
        <f t="shared" si="1003"/>
        <v>38300</v>
      </c>
      <c r="B27867" s="1" t="str">
        <f>"15134"</f>
        <v>15134</v>
      </c>
      <c r="C27867" s="2">
        <v>6.3120104050475598E-4</v>
      </c>
      <c r="D27867" s="2">
        <v>1.5417609677514899E-3</v>
      </c>
      <c r="E27867" s="2">
        <v>1.999800019998E-5</v>
      </c>
      <c r="F27867" s="2">
        <v>6.77553189807492E-4</v>
      </c>
    </row>
    <row r="27868" spans="1:6" x14ac:dyDescent="0.25">
      <c r="A27868" s="1" t="str">
        <f t="shared" si="1003"/>
        <v>38300</v>
      </c>
      <c r="B27868" s="1" t="str">
        <f>"15619"</f>
        <v>15619</v>
      </c>
      <c r="C27868" s="2">
        <v>0</v>
      </c>
      <c r="D27868" s="2">
        <v>0</v>
      </c>
      <c r="E27868" s="2">
        <v>1.999800019998E-5</v>
      </c>
      <c r="F27868" s="2">
        <v>7.5283687756387995E-7</v>
      </c>
    </row>
    <row r="27869" spans="1:6" x14ac:dyDescent="0.25">
      <c r="A27869" s="1" t="str">
        <f t="shared" si="1003"/>
        <v>38300</v>
      </c>
      <c r="B27869" s="1" t="str">
        <f>"15272"</f>
        <v>15272</v>
      </c>
      <c r="C27869" s="2">
        <v>0</v>
      </c>
      <c r="D27869" s="2">
        <v>9.8830831266121696E-6</v>
      </c>
      <c r="E27869" s="2">
        <v>1.999800019998E-5</v>
      </c>
      <c r="F27869" s="2">
        <v>1.5056737551277599E-6</v>
      </c>
    </row>
    <row r="27870" spans="1:6" x14ac:dyDescent="0.25">
      <c r="A27870" s="1" t="str">
        <f t="shared" si="1003"/>
        <v>38300</v>
      </c>
      <c r="B27870" s="1" t="str">
        <f>"15663"</f>
        <v>15663</v>
      </c>
      <c r="C27870" s="2">
        <v>0</v>
      </c>
      <c r="D27870" s="2">
        <v>0</v>
      </c>
      <c r="E27870" s="2">
        <v>3.9996000399960001E-5</v>
      </c>
      <c r="F27870" s="2">
        <v>1.5056737551277599E-6</v>
      </c>
    </row>
    <row r="27871" spans="1:6" x14ac:dyDescent="0.25">
      <c r="A27871" s="1" t="str">
        <f t="shared" si="1003"/>
        <v>38300</v>
      </c>
      <c r="B27871" s="1" t="str">
        <f>"15379"</f>
        <v>15379</v>
      </c>
      <c r="C27871" s="2">
        <v>0</v>
      </c>
      <c r="D27871" s="2">
        <v>0</v>
      </c>
      <c r="E27871" s="2">
        <v>5.9994000599940001E-5</v>
      </c>
      <c r="F27871" s="2">
        <v>2.2585106326916402E-6</v>
      </c>
    </row>
    <row r="27872" spans="1:6" x14ac:dyDescent="0.25">
      <c r="A27872" s="1" t="str">
        <f t="shared" si="1003"/>
        <v>38300</v>
      </c>
      <c r="B27872" s="1" t="str">
        <f>"16039"</f>
        <v>16039</v>
      </c>
      <c r="C27872" s="2">
        <v>0</v>
      </c>
      <c r="D27872" s="2">
        <v>0</v>
      </c>
      <c r="E27872" s="2">
        <v>1.999800019998E-5</v>
      </c>
      <c r="F27872" s="2">
        <v>7.5283687756387995E-7</v>
      </c>
    </row>
    <row r="27873" spans="1:6" x14ac:dyDescent="0.25">
      <c r="A27873" s="1" t="str">
        <f t="shared" si="1003"/>
        <v>38300</v>
      </c>
      <c r="B27873" s="1" t="str">
        <f>"15682"</f>
        <v>15682</v>
      </c>
      <c r="C27873" s="2">
        <v>0</v>
      </c>
      <c r="D27873" s="2">
        <v>0</v>
      </c>
      <c r="E27873" s="2">
        <v>1.999800019998E-5</v>
      </c>
      <c r="F27873" s="2">
        <v>7.5283687756387995E-7</v>
      </c>
    </row>
    <row r="27874" spans="1:6" x14ac:dyDescent="0.25">
      <c r="A27874" s="1" t="str">
        <f t="shared" si="1003"/>
        <v>38300</v>
      </c>
      <c r="B27874" s="1" t="str">
        <f>"15260"</f>
        <v>15260</v>
      </c>
      <c r="C27874" s="2">
        <v>1.18934247201434E-5</v>
      </c>
      <c r="D27874" s="2">
        <v>1.8777857940563099E-3</v>
      </c>
      <c r="E27874" s="2">
        <v>1.999800019998E-5</v>
      </c>
      <c r="F27874" s="2">
        <v>1.54331559900595E-4</v>
      </c>
    </row>
    <row r="27875" spans="1:6" x14ac:dyDescent="0.25">
      <c r="A27875" s="1" t="str">
        <f t="shared" si="1003"/>
        <v>38300</v>
      </c>
      <c r="B27875" s="1" t="str">
        <f>"15465"</f>
        <v>15465</v>
      </c>
      <c r="C27875" s="2">
        <v>0</v>
      </c>
      <c r="D27875" s="2">
        <v>0</v>
      </c>
      <c r="E27875" s="2">
        <v>3.9996000399960001E-4</v>
      </c>
      <c r="F27875" s="2">
        <v>1.50567375512776E-5</v>
      </c>
    </row>
    <row r="27876" spans="1:6" x14ac:dyDescent="0.25">
      <c r="A27876" s="1" t="str">
        <f t="shared" si="1003"/>
        <v>38300</v>
      </c>
      <c r="B27876" s="1" t="str">
        <f>"15333"</f>
        <v>15333</v>
      </c>
      <c r="C27876" s="2">
        <v>4.39207184308155E-4</v>
      </c>
      <c r="D27876" s="2">
        <v>1.18596997519346E-4</v>
      </c>
      <c r="E27876" s="2">
        <v>5.9994000599940001E-5</v>
      </c>
      <c r="F27876" s="2">
        <v>4.0050921886398402E-4</v>
      </c>
    </row>
    <row r="27877" spans="1:6" x14ac:dyDescent="0.25">
      <c r="A27877" s="1" t="str">
        <f t="shared" si="1003"/>
        <v>38300</v>
      </c>
      <c r="B27877" s="1" t="str">
        <f>"15954"</f>
        <v>15954</v>
      </c>
      <c r="C27877" s="2">
        <v>3.5340462025569103E-4</v>
      </c>
      <c r="D27877" s="2">
        <v>1.9766166253224301E-4</v>
      </c>
      <c r="E27877" s="2">
        <v>7.9992000799920002E-5</v>
      </c>
      <c r="F27877" s="2">
        <v>3.3124822612810699E-4</v>
      </c>
    </row>
    <row r="27878" spans="1:6" x14ac:dyDescent="0.25">
      <c r="A27878" s="1" t="str">
        <f t="shared" si="1003"/>
        <v>38300</v>
      </c>
      <c r="B27878" s="1" t="str">
        <f>"15717"</f>
        <v>15717</v>
      </c>
      <c r="C27878" s="2">
        <v>1.00584391918927E-3</v>
      </c>
      <c r="D27878" s="2">
        <v>4.4473874069754802E-4</v>
      </c>
      <c r="E27878" s="2">
        <v>7.9992000799920002E-5</v>
      </c>
      <c r="F27878" s="2">
        <v>9.2824787003626405E-4</v>
      </c>
    </row>
    <row r="27879" spans="1:6" x14ac:dyDescent="0.25">
      <c r="A27879" s="1" t="str">
        <f t="shared" si="1003"/>
        <v>38300</v>
      </c>
      <c r="B27879" s="1" t="str">
        <f>"16218"</f>
        <v>16218</v>
      </c>
      <c r="C27879" s="2">
        <v>4.4855201801683901E-4</v>
      </c>
      <c r="D27879" s="2">
        <v>2.37193995038692E-4</v>
      </c>
      <c r="E27879" s="2">
        <v>5.9994000599940001E-5</v>
      </c>
      <c r="F27879" s="2">
        <v>4.1782446704795301E-4</v>
      </c>
    </row>
    <row r="27880" spans="1:6" x14ac:dyDescent="0.25">
      <c r="A27880" s="1" t="str">
        <f t="shared" si="1003"/>
        <v>38300</v>
      </c>
      <c r="B27880" s="1" t="str">
        <f>"16115"</f>
        <v>16115</v>
      </c>
      <c r="C27880" s="2">
        <v>1.2318189888720001E-3</v>
      </c>
      <c r="D27880" s="2">
        <v>7.0169890198946397E-4</v>
      </c>
      <c r="E27880" s="2">
        <v>1.999800019998E-5</v>
      </c>
      <c r="F27880" s="2">
        <v>1.1458177276522201E-3</v>
      </c>
    </row>
    <row r="27881" spans="1:6" x14ac:dyDescent="0.25">
      <c r="A27881" s="1" t="str">
        <f t="shared" si="1003"/>
        <v>38300</v>
      </c>
      <c r="B27881" s="1" t="str">
        <f>"15449"</f>
        <v>15449</v>
      </c>
      <c r="C27881" s="2">
        <v>0</v>
      </c>
      <c r="D27881" s="2">
        <v>0</v>
      </c>
      <c r="E27881" s="2">
        <v>1.999800019998E-5</v>
      </c>
      <c r="F27881" s="2">
        <v>7.5283687756387995E-7</v>
      </c>
    </row>
    <row r="27882" spans="1:6" x14ac:dyDescent="0.25">
      <c r="A27882" s="1" t="str">
        <f t="shared" si="1003"/>
        <v>38300</v>
      </c>
      <c r="B27882" s="1" t="str">
        <f>"15624"</f>
        <v>15624</v>
      </c>
      <c r="C27882" s="2">
        <v>0</v>
      </c>
      <c r="D27882" s="2">
        <v>0</v>
      </c>
      <c r="E27882" s="2">
        <v>1.999800019998E-5</v>
      </c>
      <c r="F27882" s="2">
        <v>7.5283687756387995E-7</v>
      </c>
    </row>
    <row r="27883" spans="1:6" x14ac:dyDescent="0.25">
      <c r="A27883" s="1" t="str">
        <f t="shared" si="1003"/>
        <v>38300</v>
      </c>
      <c r="B27883" s="1" t="str">
        <f>"15006"</f>
        <v>15006</v>
      </c>
      <c r="C27883" s="2">
        <v>0</v>
      </c>
      <c r="D27883" s="2">
        <v>0</v>
      </c>
      <c r="E27883" s="2">
        <v>9.9990000999900002E-5</v>
      </c>
      <c r="F27883" s="2">
        <v>3.7641843878193999E-6</v>
      </c>
    </row>
    <row r="27884" spans="1:6" x14ac:dyDescent="0.25">
      <c r="A27884" s="1" t="str">
        <f t="shared" si="1003"/>
        <v>38300</v>
      </c>
      <c r="B27884" s="1" t="str">
        <f>"16212"</f>
        <v>16212</v>
      </c>
      <c r="C27884" s="2">
        <v>8.4953033715310397E-7</v>
      </c>
      <c r="D27884" s="2">
        <v>0</v>
      </c>
      <c r="E27884" s="2">
        <v>1.999800019998E-5</v>
      </c>
      <c r="F27884" s="2">
        <v>1.5056737551277599E-6</v>
      </c>
    </row>
    <row r="27885" spans="1:6" x14ac:dyDescent="0.25">
      <c r="A27885" s="1" t="str">
        <f t="shared" si="1003"/>
        <v>38300</v>
      </c>
      <c r="B27885" s="1" t="str">
        <f>"15412"</f>
        <v>15412</v>
      </c>
      <c r="C27885" s="2">
        <v>0</v>
      </c>
      <c r="D27885" s="2">
        <v>0</v>
      </c>
      <c r="E27885" s="2">
        <v>1.999800019998E-5</v>
      </c>
      <c r="F27885" s="2">
        <v>7.5283687756387995E-7</v>
      </c>
    </row>
    <row r="27886" spans="1:6" x14ac:dyDescent="0.25">
      <c r="A27886" s="1" t="str">
        <f t="shared" si="1003"/>
        <v>38300</v>
      </c>
      <c r="B27886" s="1" t="str">
        <f>"15091"</f>
        <v>15091</v>
      </c>
      <c r="C27886" s="2">
        <v>0</v>
      </c>
      <c r="D27886" s="2">
        <v>0</v>
      </c>
      <c r="E27886" s="2">
        <v>1.999800019998E-5</v>
      </c>
      <c r="F27886" s="2">
        <v>7.5283687756387995E-7</v>
      </c>
    </row>
    <row r="27887" spans="1:6" x14ac:dyDescent="0.25">
      <c r="A27887" s="1" t="str">
        <f t="shared" si="1003"/>
        <v>38300</v>
      </c>
      <c r="B27887" s="1" t="str">
        <f>"15736"</f>
        <v>15736</v>
      </c>
      <c r="C27887" s="2">
        <v>0</v>
      </c>
      <c r="D27887" s="2">
        <v>9.8830831266121696E-6</v>
      </c>
      <c r="E27887" s="2">
        <v>0</v>
      </c>
      <c r="F27887" s="2">
        <v>7.5283687756387995E-7</v>
      </c>
    </row>
    <row r="27888" spans="1:6" x14ac:dyDescent="0.25">
      <c r="A27888" s="1" t="str">
        <f t="shared" si="1003"/>
        <v>38300</v>
      </c>
      <c r="B27888" s="1" t="str">
        <f>"15313"</f>
        <v>15313</v>
      </c>
      <c r="C27888" s="2">
        <v>0</v>
      </c>
      <c r="D27888" s="2">
        <v>0</v>
      </c>
      <c r="E27888" s="2">
        <v>1.75982401759824E-3</v>
      </c>
      <c r="F27888" s="2">
        <v>6.6249645225621395E-5</v>
      </c>
    </row>
    <row r="27889" spans="1:6" x14ac:dyDescent="0.25">
      <c r="A27889" s="1" t="str">
        <f t="shared" si="1003"/>
        <v>38300</v>
      </c>
      <c r="B27889" s="1" t="str">
        <f>"16250"</f>
        <v>16250</v>
      </c>
      <c r="C27889" s="2">
        <v>0</v>
      </c>
      <c r="D27889" s="2">
        <v>0</v>
      </c>
      <c r="E27889" s="2">
        <v>1.3998600139986E-4</v>
      </c>
      <c r="F27889" s="2">
        <v>5.26985814294716E-6</v>
      </c>
    </row>
    <row r="27890" spans="1:6" x14ac:dyDescent="0.25">
      <c r="A27890" s="1" t="str">
        <f t="shared" si="1003"/>
        <v>38300</v>
      </c>
      <c r="B27890" s="1" t="str">
        <f>"15290"</f>
        <v>15290</v>
      </c>
      <c r="C27890" s="2">
        <v>0</v>
      </c>
      <c r="D27890" s="2">
        <v>5.9298498759673005E-4</v>
      </c>
      <c r="E27890" s="2">
        <v>5.9994000599940001E-5</v>
      </c>
      <c r="F27890" s="2">
        <v>4.7428723286524397E-5</v>
      </c>
    </row>
    <row r="27891" spans="1:6" x14ac:dyDescent="0.25">
      <c r="A27891" s="1" t="str">
        <f t="shared" si="1003"/>
        <v>38300</v>
      </c>
      <c r="B27891" s="1" t="str">
        <f>"15267"</f>
        <v>15267</v>
      </c>
      <c r="C27891" s="2">
        <v>0</v>
      </c>
      <c r="D27891" s="2">
        <v>0</v>
      </c>
      <c r="E27891" s="2">
        <v>1.999800019998E-5</v>
      </c>
      <c r="F27891" s="2">
        <v>7.5283687756387995E-7</v>
      </c>
    </row>
    <row r="27892" spans="1:6" x14ac:dyDescent="0.25">
      <c r="A27892" s="1" t="str">
        <f t="shared" si="1003"/>
        <v>38300</v>
      </c>
      <c r="B27892" s="1" t="str">
        <f>"15446"</f>
        <v>15446</v>
      </c>
      <c r="C27892" s="2">
        <v>3.9927925846195899E-5</v>
      </c>
      <c r="D27892" s="2">
        <v>2.96492493798365E-5</v>
      </c>
      <c r="E27892" s="2">
        <v>5.9994000599940001E-5</v>
      </c>
      <c r="F27892" s="2">
        <v>3.99003545108856E-5</v>
      </c>
    </row>
    <row r="27893" spans="1:6" x14ac:dyDescent="0.25">
      <c r="A27893" s="1" t="str">
        <f t="shared" si="1003"/>
        <v>38300</v>
      </c>
      <c r="B27893" s="1" t="str">
        <f>"15673"</f>
        <v>15673</v>
      </c>
      <c r="C27893" s="2">
        <v>0</v>
      </c>
      <c r="D27893" s="2">
        <v>0</v>
      </c>
      <c r="E27893" s="2">
        <v>3.7996200379961998E-4</v>
      </c>
      <c r="F27893" s="2">
        <v>1.43039006737137E-5</v>
      </c>
    </row>
    <row r="27894" spans="1:6" x14ac:dyDescent="0.25">
      <c r="A27894" s="1" t="str">
        <f t="shared" si="1003"/>
        <v>38300</v>
      </c>
      <c r="B27894" s="1" t="str">
        <f>"16027"</f>
        <v>16027</v>
      </c>
      <c r="C27894" s="2">
        <v>0</v>
      </c>
      <c r="D27894" s="2">
        <v>0</v>
      </c>
      <c r="E27894" s="2">
        <v>2.1597840215978399E-3</v>
      </c>
      <c r="F27894" s="2">
        <v>8.1306382776899001E-5</v>
      </c>
    </row>
    <row r="27895" spans="1:6" x14ac:dyDescent="0.25">
      <c r="A27895" s="1" t="str">
        <f t="shared" si="1003"/>
        <v>38300</v>
      </c>
      <c r="B27895" s="1" t="str">
        <f>"15448"</f>
        <v>15448</v>
      </c>
      <c r="C27895" s="2">
        <v>0</v>
      </c>
      <c r="D27895" s="2">
        <v>0</v>
      </c>
      <c r="E27895" s="2">
        <v>5.9994000599940001E-5</v>
      </c>
      <c r="F27895" s="2">
        <v>2.2585106326916402E-6</v>
      </c>
    </row>
    <row r="27896" spans="1:6" x14ac:dyDescent="0.25">
      <c r="A27896" s="1" t="str">
        <f t="shared" si="1003"/>
        <v>38300</v>
      </c>
      <c r="B27896" s="1" t="str">
        <f>"15693"</f>
        <v>15693</v>
      </c>
      <c r="C27896" s="2">
        <v>0</v>
      </c>
      <c r="D27896" s="2">
        <v>0</v>
      </c>
      <c r="E27896" s="2">
        <v>3.9996000399960001E-5</v>
      </c>
      <c r="F27896" s="2">
        <v>1.5056737551277599E-6</v>
      </c>
    </row>
    <row r="27897" spans="1:6" x14ac:dyDescent="0.25">
      <c r="A27897" s="1" t="str">
        <f t="shared" si="1003"/>
        <v>38300</v>
      </c>
      <c r="B27897" s="1" t="str">
        <f>"15655"</f>
        <v>15655</v>
      </c>
      <c r="C27897" s="2">
        <v>1.08739883155597E-4</v>
      </c>
      <c r="D27897" s="2">
        <v>1.9766166253224299E-5</v>
      </c>
      <c r="E27897" s="2">
        <v>3.9996000399960001E-5</v>
      </c>
      <c r="F27897" s="2">
        <v>9.9374467838432099E-5</v>
      </c>
    </row>
    <row r="27898" spans="1:6" x14ac:dyDescent="0.25">
      <c r="A27898" s="1" t="str">
        <f t="shared" si="1003"/>
        <v>38300</v>
      </c>
      <c r="B27898" s="1" t="str">
        <f>"15462"</f>
        <v>15462</v>
      </c>
      <c r="C27898" s="2">
        <v>9.9395049446913204E-5</v>
      </c>
      <c r="D27898" s="2">
        <v>1.9766166253224299E-5</v>
      </c>
      <c r="E27898" s="2">
        <v>5.9994000599940001E-5</v>
      </c>
      <c r="F27898" s="2">
        <v>9.1846099062793302E-5</v>
      </c>
    </row>
    <row r="27899" spans="1:6" x14ac:dyDescent="0.25">
      <c r="A27899" s="1" t="str">
        <f t="shared" si="1003"/>
        <v>38300</v>
      </c>
      <c r="B27899" s="1" t="str">
        <f>"16120"</f>
        <v>16120</v>
      </c>
      <c r="C27899" s="2">
        <v>9.5147397761147698E-5</v>
      </c>
      <c r="D27899" s="2">
        <v>1.9766166253224299E-5</v>
      </c>
      <c r="E27899" s="2">
        <v>0</v>
      </c>
      <c r="F27899" s="2">
        <v>8.5823404042282306E-5</v>
      </c>
    </row>
    <row r="27900" spans="1:6" x14ac:dyDescent="0.25">
      <c r="A27900" s="1" t="str">
        <f t="shared" si="1003"/>
        <v>38300</v>
      </c>
      <c r="B27900" s="1" t="str">
        <f>"15489"</f>
        <v>15489</v>
      </c>
      <c r="C27900" s="2">
        <v>0</v>
      </c>
      <c r="D27900" s="2">
        <v>0</v>
      </c>
      <c r="E27900" s="2">
        <v>1.999800019998E-4</v>
      </c>
      <c r="F27900" s="2">
        <v>7.5283687756387998E-6</v>
      </c>
    </row>
    <row r="27901" spans="1:6" x14ac:dyDescent="0.25">
      <c r="A27901" s="1" t="str">
        <f t="shared" si="1003"/>
        <v>38300</v>
      </c>
      <c r="B27901" s="1" t="str">
        <f>"15450"</f>
        <v>15450</v>
      </c>
      <c r="C27901" s="2">
        <v>5.6918532589258E-5</v>
      </c>
      <c r="D27901" s="2">
        <v>1.9766166253224299E-5</v>
      </c>
      <c r="E27901" s="2">
        <v>5.9994000599940001E-5</v>
      </c>
      <c r="F27901" s="2">
        <v>5.42042551845993E-5</v>
      </c>
    </row>
    <row r="27902" spans="1:6" x14ac:dyDescent="0.25">
      <c r="A27902" s="1" t="str">
        <f t="shared" si="1003"/>
        <v>38300</v>
      </c>
      <c r="B27902" s="1" t="str">
        <f>"15684"</f>
        <v>15684</v>
      </c>
      <c r="C27902" s="2">
        <v>1.06191292144138E-4</v>
      </c>
      <c r="D27902" s="2">
        <v>2.96492493798365E-5</v>
      </c>
      <c r="E27902" s="2">
        <v>5.9994000599940001E-5</v>
      </c>
      <c r="F27902" s="2">
        <v>9.8621630960868205E-5</v>
      </c>
    </row>
    <row r="27903" spans="1:6" x14ac:dyDescent="0.25">
      <c r="A27903" s="1" t="str">
        <f t="shared" si="1003"/>
        <v>38300</v>
      </c>
      <c r="B27903" s="1" t="str">
        <f>"15611"</f>
        <v>15611</v>
      </c>
      <c r="C27903" s="2">
        <v>8.8351155063922906E-5</v>
      </c>
      <c r="D27903" s="2">
        <v>2.96492493798365E-5</v>
      </c>
      <c r="E27903" s="2">
        <v>1.999800019998E-5</v>
      </c>
      <c r="F27903" s="2">
        <v>8.1306382776899001E-5</v>
      </c>
    </row>
    <row r="27904" spans="1:6" x14ac:dyDescent="0.25">
      <c r="A27904" s="1" t="str">
        <f t="shared" si="1003"/>
        <v>38300</v>
      </c>
      <c r="B27904" s="1" t="str">
        <f>"15077"</f>
        <v>15077</v>
      </c>
      <c r="C27904" s="2">
        <v>0</v>
      </c>
      <c r="D27904" s="2">
        <v>0</v>
      </c>
      <c r="E27904" s="2">
        <v>2.2797720227977201E-3</v>
      </c>
      <c r="F27904" s="2">
        <v>8.5823404042282306E-5</v>
      </c>
    </row>
    <row r="27905" spans="1:6" x14ac:dyDescent="0.25">
      <c r="A27905" s="1" t="str">
        <f t="shared" ref="A27905:A27968" si="1004">"38300"</f>
        <v>38300</v>
      </c>
      <c r="B27905" s="1" t="str">
        <f>"15137"</f>
        <v>15137</v>
      </c>
      <c r="C27905" s="2">
        <v>4.6231440947871903E-3</v>
      </c>
      <c r="D27905" s="2">
        <v>4.3683227419625799E-3</v>
      </c>
      <c r="E27905" s="2">
        <v>5.2194780521947802E-3</v>
      </c>
      <c r="F27905" s="2">
        <v>4.62618261263004E-3</v>
      </c>
    </row>
    <row r="27906" spans="1:6" x14ac:dyDescent="0.25">
      <c r="A27906" s="1" t="str">
        <f t="shared" si="1004"/>
        <v>38300</v>
      </c>
      <c r="B27906" s="1" t="str">
        <f>"15106"</f>
        <v>15106</v>
      </c>
      <c r="C27906" s="2">
        <v>8.8104791266148501E-3</v>
      </c>
      <c r="D27906" s="2">
        <v>1.08911576055266E-2</v>
      </c>
      <c r="E27906" s="2">
        <v>1.01589841015898E-2</v>
      </c>
      <c r="F27906" s="2">
        <v>9.0197386300928401E-3</v>
      </c>
    </row>
    <row r="27907" spans="1:6" x14ac:dyDescent="0.25">
      <c r="A27907" s="1" t="str">
        <f t="shared" si="1004"/>
        <v>38300</v>
      </c>
      <c r="B27907" s="1" t="str">
        <f>"15108"</f>
        <v>15108</v>
      </c>
      <c r="C27907" s="2">
        <v>1.6548001437405299E-2</v>
      </c>
      <c r="D27907" s="2">
        <v>1.56844529219335E-2</v>
      </c>
      <c r="E27907" s="2">
        <v>1.22987701229877E-2</v>
      </c>
      <c r="F27907" s="2">
        <v>1.6322256342462399E-2</v>
      </c>
    </row>
    <row r="27908" spans="1:6" x14ac:dyDescent="0.25">
      <c r="A27908" s="1" t="str">
        <f t="shared" si="1004"/>
        <v>38300</v>
      </c>
      <c r="B27908" s="1" t="str">
        <f>"15059"</f>
        <v>15059</v>
      </c>
      <c r="C27908" s="2">
        <v>1.89190406083996E-3</v>
      </c>
      <c r="D27908" s="2">
        <v>1.6702410483974499E-3</v>
      </c>
      <c r="E27908" s="2">
        <v>2.7197280271972798E-3</v>
      </c>
      <c r="F27908" s="2">
        <v>1.9061829739917401E-3</v>
      </c>
    </row>
    <row r="27909" spans="1:6" x14ac:dyDescent="0.25">
      <c r="A27909" s="1" t="str">
        <f t="shared" si="1004"/>
        <v>38300</v>
      </c>
      <c r="B27909" s="1" t="str">
        <f>"15022"</f>
        <v>15022</v>
      </c>
      <c r="C27909" s="2">
        <v>4.8542163464928402E-3</v>
      </c>
      <c r="D27909" s="2">
        <v>5.33686488837057E-3</v>
      </c>
      <c r="E27909" s="2">
        <v>5.07949205079492E-3</v>
      </c>
      <c r="F27909" s="2">
        <v>4.8994623991857299E-3</v>
      </c>
    </row>
    <row r="27910" spans="1:6" x14ac:dyDescent="0.25">
      <c r="A27910" s="1" t="str">
        <f t="shared" si="1004"/>
        <v>38300</v>
      </c>
      <c r="B27910" s="1" t="str">
        <f>"15086"</f>
        <v>15086</v>
      </c>
      <c r="C27910" s="2">
        <v>3.13476694409495E-4</v>
      </c>
      <c r="D27910" s="2">
        <v>2.9451587717304198E-3</v>
      </c>
      <c r="E27910" s="2">
        <v>1.0598940105989399E-3</v>
      </c>
      <c r="F27910" s="2">
        <v>5.4204255184599301E-4</v>
      </c>
    </row>
    <row r="27911" spans="1:6" x14ac:dyDescent="0.25">
      <c r="A27911" s="1" t="str">
        <f t="shared" si="1004"/>
        <v>38300</v>
      </c>
      <c r="B27911" s="1" t="str">
        <f>"15012"</f>
        <v>15012</v>
      </c>
      <c r="C27911" s="2">
        <v>6.7384746342984197E-3</v>
      </c>
      <c r="D27911" s="2">
        <v>7.5902078412381502E-3</v>
      </c>
      <c r="E27911" s="2">
        <v>3.45965403459654E-3</v>
      </c>
      <c r="F27911" s="2">
        <v>6.6799216146243004E-3</v>
      </c>
    </row>
    <row r="27912" spans="1:6" x14ac:dyDescent="0.25">
      <c r="A27912" s="1" t="str">
        <f t="shared" si="1004"/>
        <v>38300</v>
      </c>
      <c r="B27912" s="1" t="str">
        <f>"15005"</f>
        <v>15005</v>
      </c>
      <c r="C27912" s="2">
        <v>4.0276233284428703E-3</v>
      </c>
      <c r="D27912" s="2">
        <v>2.3917061166401402E-3</v>
      </c>
      <c r="E27912" s="2">
        <v>1.07989201079892E-3</v>
      </c>
      <c r="F27912" s="2">
        <v>3.7920393522892599E-3</v>
      </c>
    </row>
    <row r="27913" spans="1:6" x14ac:dyDescent="0.25">
      <c r="A27913" s="1" t="str">
        <f t="shared" si="1004"/>
        <v>38300</v>
      </c>
      <c r="B27913" s="1" t="str">
        <f>"15241"</f>
        <v>15241</v>
      </c>
      <c r="C27913" s="2">
        <v>7.7621586905679101E-3</v>
      </c>
      <c r="D27913" s="2">
        <v>1.17806350869217E-2</v>
      </c>
      <c r="E27913" s="2">
        <v>2.6597340265973402E-3</v>
      </c>
      <c r="F27913" s="2">
        <v>7.8761794130733104E-3</v>
      </c>
    </row>
    <row r="27914" spans="1:6" x14ac:dyDescent="0.25">
      <c r="A27914" s="1" t="str">
        <f t="shared" si="1004"/>
        <v>38300</v>
      </c>
      <c r="B27914" s="1" t="str">
        <f>"15224"</f>
        <v>15224</v>
      </c>
      <c r="C27914" s="2">
        <v>5.96455249715194E-3</v>
      </c>
      <c r="D27914" s="2">
        <v>6.9576905211349701E-3</v>
      </c>
      <c r="E27914" s="2">
        <v>9.5790420957904202E-3</v>
      </c>
      <c r="F27914" s="2">
        <v>6.1762737435340697E-3</v>
      </c>
    </row>
    <row r="27915" spans="1:6" x14ac:dyDescent="0.25">
      <c r="A27915" s="1" t="str">
        <f t="shared" si="1004"/>
        <v>38300</v>
      </c>
      <c r="B27915" s="1" t="str">
        <f>"15226"</f>
        <v>15226</v>
      </c>
      <c r="C27915" s="2">
        <v>5.8549630836591902E-3</v>
      </c>
      <c r="D27915" s="2">
        <v>3.5579099255803799E-3</v>
      </c>
      <c r="E27915" s="2">
        <v>6.1393860613938598E-3</v>
      </c>
      <c r="F27915" s="2">
        <v>5.6906939575053599E-3</v>
      </c>
    </row>
    <row r="27916" spans="1:6" x14ac:dyDescent="0.25">
      <c r="A27916" s="1" t="str">
        <f t="shared" si="1004"/>
        <v>38300</v>
      </c>
      <c r="B27916" s="1" t="str">
        <f>"15223"</f>
        <v>15223</v>
      </c>
      <c r="C27916" s="2">
        <v>3.24605541826201E-3</v>
      </c>
      <c r="D27916" s="2">
        <v>3.1724696836425001E-3</v>
      </c>
      <c r="E27916" s="2">
        <v>4.3395660433956599E-3</v>
      </c>
      <c r="F27916" s="2">
        <v>3.2816159493009498E-3</v>
      </c>
    </row>
    <row r="27917" spans="1:6" x14ac:dyDescent="0.25">
      <c r="A27917" s="1" t="str">
        <f t="shared" si="1004"/>
        <v>38300</v>
      </c>
      <c r="B27917" s="1" t="str">
        <f>"15686"</f>
        <v>15686</v>
      </c>
      <c r="C27917" s="2">
        <v>3.3301589216401702E-4</v>
      </c>
      <c r="D27917" s="2">
        <v>1.8777857940563099E-4</v>
      </c>
      <c r="E27917" s="2">
        <v>1.3998600139986E-4</v>
      </c>
      <c r="F27917" s="2">
        <v>3.1468581482170098E-4</v>
      </c>
    </row>
    <row r="27918" spans="1:6" x14ac:dyDescent="0.25">
      <c r="A27918" s="1" t="str">
        <f t="shared" si="1004"/>
        <v>38300</v>
      </c>
      <c r="B27918" s="1" t="str">
        <f>"15679"</f>
        <v>15679</v>
      </c>
      <c r="C27918" s="2">
        <v>1.2649506720209701E-3</v>
      </c>
      <c r="D27918" s="2">
        <v>5.7321882134350602E-4</v>
      </c>
      <c r="E27918" s="2">
        <v>1.7998200179982E-4</v>
      </c>
      <c r="F27918" s="2">
        <v>1.1714141814893901E-3</v>
      </c>
    </row>
    <row r="27919" spans="1:6" x14ac:dyDescent="0.25">
      <c r="A27919" s="1" t="str">
        <f t="shared" si="1004"/>
        <v>38300</v>
      </c>
      <c r="B27919" s="1" t="str">
        <f>"15205"</f>
        <v>15205</v>
      </c>
      <c r="C27919" s="2">
        <v>1.05358752413728E-2</v>
      </c>
      <c r="D27919" s="2">
        <v>1.63169702420367E-2</v>
      </c>
      <c r="E27919" s="2">
        <v>1.37986201379862E-2</v>
      </c>
      <c r="F27919" s="2">
        <v>1.10990740859242E-2</v>
      </c>
    </row>
    <row r="27920" spans="1:6" x14ac:dyDescent="0.25">
      <c r="A27920" s="1" t="str">
        <f t="shared" si="1004"/>
        <v>38300</v>
      </c>
      <c r="B27920" s="1" t="str">
        <f>"15139"</f>
        <v>15139</v>
      </c>
      <c r="C27920" s="2">
        <v>3.0965380789230602E-3</v>
      </c>
      <c r="D27920" s="2">
        <v>3.5677930087069901E-3</v>
      </c>
      <c r="E27920" s="2">
        <v>4.7795220477952196E-3</v>
      </c>
      <c r="F27920" s="2">
        <v>3.1957925452586701E-3</v>
      </c>
    </row>
    <row r="27921" spans="1:6" x14ac:dyDescent="0.25">
      <c r="A27921" s="1" t="str">
        <f t="shared" si="1004"/>
        <v>38300</v>
      </c>
      <c r="B27921" s="1" t="str">
        <f>"15148"</f>
        <v>15148</v>
      </c>
      <c r="C27921" s="2">
        <v>1.3838849192224E-3</v>
      </c>
      <c r="D27921" s="2">
        <v>1.1760868920668399E-3</v>
      </c>
      <c r="E27921" s="2">
        <v>2.17978202179782E-3</v>
      </c>
      <c r="F27921" s="2">
        <v>1.39801808163612E-3</v>
      </c>
    </row>
    <row r="27922" spans="1:6" x14ac:dyDescent="0.25">
      <c r="A27922" s="1" t="str">
        <f t="shared" si="1004"/>
        <v>38300</v>
      </c>
      <c r="B27922" s="1" t="str">
        <f>"15451"</f>
        <v>15451</v>
      </c>
      <c r="C27922" s="2">
        <v>3.41511195535548E-4</v>
      </c>
      <c r="D27922" s="2">
        <v>5.9298498759673001E-5</v>
      </c>
      <c r="E27922" s="2">
        <v>0</v>
      </c>
      <c r="F27922" s="2">
        <v>3.07157446046063E-4</v>
      </c>
    </row>
    <row r="27923" spans="1:6" x14ac:dyDescent="0.25">
      <c r="A27923" s="1" t="str">
        <f t="shared" si="1004"/>
        <v>38300</v>
      </c>
      <c r="B27923" s="1" t="str">
        <f>"15474"</f>
        <v>15474</v>
      </c>
      <c r="C27923" s="2">
        <v>8.7161812591908495E-4</v>
      </c>
      <c r="D27923" s="2">
        <v>7.8076356700236202E-4</v>
      </c>
      <c r="E27923" s="2">
        <v>5.1994800519947996E-4</v>
      </c>
      <c r="F27923" s="2">
        <v>8.5145850852474795E-4</v>
      </c>
    </row>
    <row r="27924" spans="1:6" x14ac:dyDescent="0.25">
      <c r="A27924" s="1" t="str">
        <f t="shared" si="1004"/>
        <v>38300</v>
      </c>
      <c r="B27924" s="1" t="str">
        <f>"15601"</f>
        <v>15601</v>
      </c>
      <c r="C27924" s="2">
        <v>2.4594752790919501E-2</v>
      </c>
      <c r="D27924" s="2">
        <v>3.28711344791121E-2</v>
      </c>
      <c r="E27924" s="2">
        <v>2.1497850214978499E-2</v>
      </c>
      <c r="F27924" s="2">
        <v>2.5108615540510498E-2</v>
      </c>
    </row>
    <row r="27925" spans="1:6" x14ac:dyDescent="0.25">
      <c r="A27925" s="1" t="str">
        <f t="shared" si="1004"/>
        <v>38300</v>
      </c>
      <c r="B27925" s="1" t="str">
        <f>"15632"</f>
        <v>15632</v>
      </c>
      <c r="C27925" s="2">
        <v>3.82713416887473E-3</v>
      </c>
      <c r="D27925" s="2">
        <v>3.5776760918335999E-3</v>
      </c>
      <c r="E27925" s="2">
        <v>1.07989201079892E-3</v>
      </c>
      <c r="F27925" s="2">
        <v>3.7047102744918502E-3</v>
      </c>
    </row>
    <row r="27926" spans="1:6" x14ac:dyDescent="0.25">
      <c r="A27926" s="1" t="str">
        <f t="shared" si="1004"/>
        <v>38300</v>
      </c>
      <c r="B27926" s="1" t="str">
        <f>"15479"</f>
        <v>15479</v>
      </c>
      <c r="C27926" s="2">
        <v>6.2440479780753201E-4</v>
      </c>
      <c r="D27926" s="2">
        <v>3.4590790943142601E-4</v>
      </c>
      <c r="E27926" s="2">
        <v>5.9994000599940001E-5</v>
      </c>
      <c r="F27926" s="2">
        <v>5.8194290635687899E-4</v>
      </c>
    </row>
    <row r="27927" spans="1:6" x14ac:dyDescent="0.25">
      <c r="A27927" s="1" t="str">
        <f t="shared" si="1004"/>
        <v>38300</v>
      </c>
      <c r="B27927" s="1" t="str">
        <f>"15476"</f>
        <v>15476</v>
      </c>
      <c r="C27927" s="2">
        <v>0</v>
      </c>
      <c r="D27927" s="2">
        <v>0</v>
      </c>
      <c r="E27927" s="2">
        <v>2.3397660233976602E-3</v>
      </c>
      <c r="F27927" s="2">
        <v>8.8081914674973904E-5</v>
      </c>
    </row>
    <row r="27928" spans="1:6" x14ac:dyDescent="0.25">
      <c r="A27928" s="1" t="str">
        <f t="shared" si="1004"/>
        <v>38300</v>
      </c>
      <c r="B27928" s="1" t="str">
        <f>"15442"</f>
        <v>15442</v>
      </c>
      <c r="C27928" s="2">
        <v>8.9880309670798395E-4</v>
      </c>
      <c r="D27928" s="2">
        <v>6.1275115384995505E-4</v>
      </c>
      <c r="E27928" s="2">
        <v>2.1997800219978E-4</v>
      </c>
      <c r="F27928" s="2">
        <v>8.5145850852474795E-4</v>
      </c>
    </row>
    <row r="27929" spans="1:6" x14ac:dyDescent="0.25">
      <c r="A27929" s="1" t="str">
        <f t="shared" si="1004"/>
        <v>38300</v>
      </c>
      <c r="B27929" s="1" t="str">
        <f>"15627"</f>
        <v>15627</v>
      </c>
      <c r="C27929" s="2">
        <v>2.7856099755250302E-3</v>
      </c>
      <c r="D27929" s="2">
        <v>1.3440993052192499E-3</v>
      </c>
      <c r="E27929" s="2">
        <v>9.3990600939905999E-4</v>
      </c>
      <c r="F27929" s="2">
        <v>2.6063212701261502E-3</v>
      </c>
    </row>
    <row r="27930" spans="1:6" x14ac:dyDescent="0.25">
      <c r="A27930" s="1" t="str">
        <f t="shared" si="1004"/>
        <v>38300</v>
      </c>
      <c r="B27930" s="1" t="str">
        <f>"15610"</f>
        <v>15610</v>
      </c>
      <c r="C27930" s="2">
        <v>1.46204171024049E-3</v>
      </c>
      <c r="D27930" s="2">
        <v>2.56960161291916E-4</v>
      </c>
      <c r="E27930" s="2">
        <v>3.9996000399960001E-5</v>
      </c>
      <c r="F27930" s="2">
        <v>1.31671169885922E-3</v>
      </c>
    </row>
    <row r="27931" spans="1:6" x14ac:dyDescent="0.25">
      <c r="A27931" s="1" t="str">
        <f t="shared" si="1004"/>
        <v>38300</v>
      </c>
      <c r="B27931" s="1" t="str">
        <f>"15637"</f>
        <v>15637</v>
      </c>
      <c r="C27931" s="2">
        <v>8.2914160906143002E-4</v>
      </c>
      <c r="D27931" s="2">
        <v>7.9064665012897398E-4</v>
      </c>
      <c r="E27931" s="2">
        <v>2.5997400259973998E-4</v>
      </c>
      <c r="F27931" s="2">
        <v>8.0478262211578703E-4</v>
      </c>
    </row>
    <row r="27932" spans="1:6" x14ac:dyDescent="0.25">
      <c r="A27932" s="1" t="str">
        <f t="shared" si="1004"/>
        <v>38300</v>
      </c>
      <c r="B27932" s="1" t="str">
        <f>"15639"</f>
        <v>15639</v>
      </c>
      <c r="C27932" s="2">
        <v>7.1530454388291401E-4</v>
      </c>
      <c r="D27932" s="2">
        <v>4.2497257444432302E-4</v>
      </c>
      <c r="E27932" s="2">
        <v>6.1993800619937998E-4</v>
      </c>
      <c r="F27932" s="2">
        <v>6.8959857984851396E-4</v>
      </c>
    </row>
    <row r="27933" spans="1:6" x14ac:dyDescent="0.25">
      <c r="A27933" s="1" t="str">
        <f t="shared" si="1004"/>
        <v>38300</v>
      </c>
      <c r="B27933" s="1" t="str">
        <f>"15323"</f>
        <v>15323</v>
      </c>
      <c r="C27933" s="2">
        <v>1.45184734619465E-3</v>
      </c>
      <c r="D27933" s="2">
        <v>4.3485565757093498E-4</v>
      </c>
      <c r="E27933" s="2">
        <v>6.4393560643935602E-3</v>
      </c>
      <c r="F27933" s="2">
        <v>1.5621365209450499E-3</v>
      </c>
    </row>
    <row r="27934" spans="1:6" x14ac:dyDescent="0.25">
      <c r="A27934" s="1" t="str">
        <f t="shared" si="1004"/>
        <v>38300</v>
      </c>
      <c r="B27934" s="1" t="str">
        <f>"15367"</f>
        <v>15367</v>
      </c>
      <c r="C27934" s="2">
        <v>2.9079423440750698E-3</v>
      </c>
      <c r="D27934" s="2">
        <v>3.2614174317820101E-4</v>
      </c>
      <c r="E27934" s="2">
        <v>5.9994000599940001E-5</v>
      </c>
      <c r="F27934" s="2">
        <v>2.6040627594934602E-3</v>
      </c>
    </row>
    <row r="27935" spans="1:6" x14ac:dyDescent="0.25">
      <c r="A27935" s="1" t="str">
        <f t="shared" si="1004"/>
        <v>38300</v>
      </c>
      <c r="B27935" s="1" t="str">
        <f>"15329"</f>
        <v>15329</v>
      </c>
      <c r="C27935" s="2">
        <v>5.1311632364047497E-4</v>
      </c>
      <c r="D27935" s="2">
        <v>1.5812933002579401E-4</v>
      </c>
      <c r="E27935" s="2">
        <v>9.9990000999900002E-5</v>
      </c>
      <c r="F27935" s="2">
        <v>4.7052304847742502E-4</v>
      </c>
    </row>
    <row r="27936" spans="1:6" x14ac:dyDescent="0.25">
      <c r="A27936" s="1" t="str">
        <f t="shared" si="1004"/>
        <v>38300</v>
      </c>
      <c r="B27936" s="1" t="str">
        <f>"15207"</f>
        <v>15207</v>
      </c>
      <c r="C27936" s="2">
        <v>5.2653890296749401E-3</v>
      </c>
      <c r="D27936" s="2">
        <v>2.6881986104385098E-3</v>
      </c>
      <c r="E27936" s="2">
        <v>6.7793220677932198E-3</v>
      </c>
      <c r="F27936" s="2">
        <v>5.1260662993324498E-3</v>
      </c>
    </row>
    <row r="27937" spans="1:6" x14ac:dyDescent="0.25">
      <c r="A27937" s="1" t="str">
        <f t="shared" si="1004"/>
        <v>38300</v>
      </c>
      <c r="B27937" s="1" t="str">
        <f>"16037"</f>
        <v>16037</v>
      </c>
      <c r="C27937" s="2">
        <v>1.81544633049618E-3</v>
      </c>
      <c r="D27937" s="2">
        <v>2.2138106203611202E-3</v>
      </c>
      <c r="E27937" s="2">
        <v>5.1994800519947996E-4</v>
      </c>
      <c r="F27937" s="2">
        <v>1.7970216267449799E-3</v>
      </c>
    </row>
    <row r="27938" spans="1:6" x14ac:dyDescent="0.25">
      <c r="A27938" s="1" t="str">
        <f t="shared" si="1004"/>
        <v>38300</v>
      </c>
      <c r="B27938" s="1" t="str">
        <f>"15923"</f>
        <v>15923</v>
      </c>
      <c r="C27938" s="2">
        <v>5.2076209667485304E-4</v>
      </c>
      <c r="D27938" s="2">
        <v>1.48246246899182E-4</v>
      </c>
      <c r="E27938" s="2">
        <v>1.5998400159984E-4</v>
      </c>
      <c r="F27938" s="2">
        <v>4.7880425413062702E-4</v>
      </c>
    </row>
    <row r="27939" spans="1:6" x14ac:dyDescent="0.25">
      <c r="A27939" s="1" t="str">
        <f t="shared" si="1004"/>
        <v>38300</v>
      </c>
      <c r="B27939" s="1" t="str">
        <f>"16157"</f>
        <v>16157</v>
      </c>
      <c r="C27939" s="2">
        <v>2.0218822024243801E-4</v>
      </c>
      <c r="D27939" s="2">
        <v>4.9415415633060799E-5</v>
      </c>
      <c r="E27939" s="2">
        <v>0</v>
      </c>
      <c r="F27939" s="2">
        <v>1.8293936124802199E-4</v>
      </c>
    </row>
    <row r="27940" spans="1:6" x14ac:dyDescent="0.25">
      <c r="A27940" s="1" t="str">
        <f t="shared" si="1004"/>
        <v>38300</v>
      </c>
      <c r="B27940" s="1" t="str">
        <f>"16242"</f>
        <v>16242</v>
      </c>
      <c r="C27940" s="2">
        <v>8.4188456411872601E-4</v>
      </c>
      <c r="D27940" s="2">
        <v>2.56960161291916E-4</v>
      </c>
      <c r="E27940" s="2">
        <v>2.9997000299969998E-4</v>
      </c>
      <c r="F27940" s="2">
        <v>7.76927657645924E-4</v>
      </c>
    </row>
    <row r="27941" spans="1:6" x14ac:dyDescent="0.25">
      <c r="A27941" s="1" t="str">
        <f t="shared" si="1004"/>
        <v>38300</v>
      </c>
      <c r="B27941" s="1" t="str">
        <f>"16229"</f>
        <v>16229</v>
      </c>
      <c r="C27941" s="2">
        <v>2.0363242181559902E-3</v>
      </c>
      <c r="D27941" s="2">
        <v>1.8481365446764699E-3</v>
      </c>
      <c r="E27941" s="2">
        <v>2.17978202179782E-3</v>
      </c>
      <c r="F27941" s="2">
        <v>2.0273897112795202E-3</v>
      </c>
    </row>
    <row r="27942" spans="1:6" x14ac:dyDescent="0.25">
      <c r="A27942" s="1" t="str">
        <f t="shared" si="1004"/>
        <v>38300</v>
      </c>
      <c r="B27942" s="1" t="str">
        <f>"16123"</f>
        <v>16123</v>
      </c>
      <c r="C27942" s="2">
        <v>7.6712589444925296E-4</v>
      </c>
      <c r="D27942" s="2">
        <v>2.8660941067175301E-4</v>
      </c>
      <c r="E27942" s="2">
        <v>3.9996000399960001E-5</v>
      </c>
      <c r="F27942" s="2">
        <v>7.0314964364466396E-4</v>
      </c>
    </row>
    <row r="27943" spans="1:6" x14ac:dyDescent="0.25">
      <c r="A27943" s="1" t="str">
        <f t="shared" si="1004"/>
        <v>38300</v>
      </c>
      <c r="B27943" s="1" t="str">
        <f>"16244"</f>
        <v>16244</v>
      </c>
      <c r="C27943" s="2">
        <v>0</v>
      </c>
      <c r="D27943" s="2">
        <v>0</v>
      </c>
      <c r="E27943" s="2">
        <v>5.9994000599940001E-5</v>
      </c>
      <c r="F27943" s="2">
        <v>2.2585106326916402E-6</v>
      </c>
    </row>
    <row r="27944" spans="1:6" x14ac:dyDescent="0.25">
      <c r="A27944" s="1" t="str">
        <f t="shared" si="1004"/>
        <v>38300</v>
      </c>
      <c r="B27944" s="1" t="str">
        <f>"15007"</f>
        <v>15007</v>
      </c>
      <c r="C27944" s="2">
        <v>1.11288474167056E-4</v>
      </c>
      <c r="D27944" s="2">
        <v>2.17427828785467E-4</v>
      </c>
      <c r="E27944" s="2">
        <v>5.9994000599940001E-5</v>
      </c>
      <c r="F27944" s="2">
        <v>1.1744255289996501E-4</v>
      </c>
    </row>
    <row r="27945" spans="1:6" x14ac:dyDescent="0.25">
      <c r="A27945" s="1" t="str">
        <f t="shared" si="1004"/>
        <v>38300</v>
      </c>
      <c r="B27945" s="1" t="str">
        <f>"15616"</f>
        <v>15616</v>
      </c>
      <c r="C27945" s="2">
        <v>0</v>
      </c>
      <c r="D27945" s="2">
        <v>0</v>
      </c>
      <c r="E27945" s="2">
        <v>1.1998800119988E-4</v>
      </c>
      <c r="F27945" s="2">
        <v>4.5170212653832804E-6</v>
      </c>
    </row>
    <row r="27946" spans="1:6" x14ac:dyDescent="0.25">
      <c r="A27946" s="1" t="str">
        <f t="shared" si="1004"/>
        <v>38300</v>
      </c>
      <c r="B27946" s="1" t="str">
        <f>"15082"</f>
        <v>15082</v>
      </c>
      <c r="C27946" s="2">
        <v>0</v>
      </c>
      <c r="D27946" s="2">
        <v>0</v>
      </c>
      <c r="E27946" s="2">
        <v>1.999800019998E-5</v>
      </c>
      <c r="F27946" s="2">
        <v>7.5283687756387995E-7</v>
      </c>
    </row>
    <row r="27947" spans="1:6" x14ac:dyDescent="0.25">
      <c r="A27947" s="1" t="str">
        <f t="shared" si="1004"/>
        <v>38300</v>
      </c>
      <c r="B27947" s="1" t="str">
        <f>"15075"</f>
        <v>15075</v>
      </c>
      <c r="C27947" s="2">
        <v>0</v>
      </c>
      <c r="D27947" s="2">
        <v>0</v>
      </c>
      <c r="E27947" s="2">
        <v>1.999800019998E-5</v>
      </c>
      <c r="F27947" s="2">
        <v>7.5283687756387995E-7</v>
      </c>
    </row>
    <row r="27948" spans="1:6" x14ac:dyDescent="0.25">
      <c r="A27948" s="1" t="str">
        <f t="shared" si="1004"/>
        <v>38300</v>
      </c>
      <c r="B27948" s="1" t="str">
        <f>"16228"</f>
        <v>16228</v>
      </c>
      <c r="C27948" s="2">
        <v>1.5631358203617099E-4</v>
      </c>
      <c r="D27948" s="2">
        <v>2.96492493798365E-5</v>
      </c>
      <c r="E27948" s="2">
        <v>1.999800019998E-5</v>
      </c>
      <c r="F27948" s="2">
        <v>1.4153333298200899E-4</v>
      </c>
    </row>
    <row r="27949" spans="1:6" x14ac:dyDescent="0.25">
      <c r="A27949" s="1" t="str">
        <f t="shared" si="1004"/>
        <v>38300</v>
      </c>
      <c r="B27949" s="1" t="str">
        <f>"15688"</f>
        <v>15688</v>
      </c>
      <c r="C27949" s="2">
        <v>3.2621964946679202E-4</v>
      </c>
      <c r="D27949" s="2">
        <v>1.18596997519346E-4</v>
      </c>
      <c r="E27949" s="2">
        <v>1.999800019998E-5</v>
      </c>
      <c r="F27949" s="2">
        <v>2.9887624039286003E-4</v>
      </c>
    </row>
    <row r="27950" spans="1:6" x14ac:dyDescent="0.25">
      <c r="A27950" s="1" t="str">
        <f t="shared" si="1004"/>
        <v>38300</v>
      </c>
      <c r="B27950" s="1" t="str">
        <f>"15231"</f>
        <v>15231</v>
      </c>
      <c r="C27950" s="2">
        <v>0</v>
      </c>
      <c r="D27950" s="2">
        <v>0</v>
      </c>
      <c r="E27950" s="2">
        <v>1.3198680131986801E-3</v>
      </c>
      <c r="F27950" s="2">
        <v>4.9687233919216002E-5</v>
      </c>
    </row>
    <row r="27951" spans="1:6" x14ac:dyDescent="0.25">
      <c r="A27951" s="1" t="str">
        <f t="shared" si="1004"/>
        <v>38300</v>
      </c>
      <c r="B27951" s="1" t="str">
        <f>"15360"</f>
        <v>15360</v>
      </c>
      <c r="C27951" s="2">
        <v>7.00862528151311E-4</v>
      </c>
      <c r="D27951" s="2">
        <v>5.5345265509028102E-4</v>
      </c>
      <c r="E27951" s="2">
        <v>3.9996000399960001E-5</v>
      </c>
      <c r="F27951" s="2">
        <v>6.6475496288890602E-4</v>
      </c>
    </row>
    <row r="27952" spans="1:6" x14ac:dyDescent="0.25">
      <c r="A27952" s="1" t="str">
        <f t="shared" si="1004"/>
        <v>38300</v>
      </c>
      <c r="B27952" s="1" t="str">
        <f>"16049"</f>
        <v>16049</v>
      </c>
      <c r="C27952" s="2">
        <v>7.7392213714647801E-4</v>
      </c>
      <c r="D27952" s="2">
        <v>1.7789549627901901E-4</v>
      </c>
      <c r="E27952" s="2">
        <v>1.3998600139986E-4</v>
      </c>
      <c r="F27952" s="2">
        <v>7.0465531739979102E-4</v>
      </c>
    </row>
    <row r="27953" spans="1:6" x14ac:dyDescent="0.25">
      <c r="A27953" s="1" t="str">
        <f t="shared" si="1004"/>
        <v>38300</v>
      </c>
      <c r="B27953" s="1" t="str">
        <f>"16003"</f>
        <v>16003</v>
      </c>
      <c r="C27953" s="2">
        <v>7.7052401579786602E-4</v>
      </c>
      <c r="D27953" s="2">
        <v>2.5300692804127098E-3</v>
      </c>
      <c r="E27953" s="2">
        <v>1.999800019998E-5</v>
      </c>
      <c r="F27953" s="2">
        <v>8.7630212548435601E-4</v>
      </c>
    </row>
    <row r="27954" spans="1:6" x14ac:dyDescent="0.25">
      <c r="A27954" s="1" t="str">
        <f t="shared" si="1004"/>
        <v>38300</v>
      </c>
      <c r="B27954" s="1" t="str">
        <f>"15670"</f>
        <v>15670</v>
      </c>
      <c r="C27954" s="2">
        <v>1.3643457214678799E-3</v>
      </c>
      <c r="D27954" s="2">
        <v>8.4006206576203496E-4</v>
      </c>
      <c r="E27954" s="2">
        <v>3.5996400359964001E-4</v>
      </c>
      <c r="F27954" s="2">
        <v>1.28659822375667E-3</v>
      </c>
    </row>
    <row r="27955" spans="1:6" x14ac:dyDescent="0.25">
      <c r="A27955" s="1" t="str">
        <f t="shared" si="1004"/>
        <v>38300</v>
      </c>
      <c r="B27955" s="1" t="str">
        <f>"15143"</f>
        <v>15143</v>
      </c>
      <c r="C27955" s="2">
        <v>8.3772186546667606E-3</v>
      </c>
      <c r="D27955" s="2">
        <v>1.05551327792218E-2</v>
      </c>
      <c r="E27955" s="2">
        <v>6.0593940605939397E-3</v>
      </c>
      <c r="F27955" s="2">
        <v>8.4558638087975004E-3</v>
      </c>
    </row>
    <row r="27956" spans="1:6" x14ac:dyDescent="0.25">
      <c r="A27956" s="1" t="str">
        <f t="shared" si="1004"/>
        <v>38300</v>
      </c>
      <c r="B27956" s="1" t="str">
        <f>"15146"</f>
        <v>15146</v>
      </c>
      <c r="C27956" s="2">
        <v>1.22060518842158E-2</v>
      </c>
      <c r="D27956" s="2">
        <v>2.1811964460433E-2</v>
      </c>
      <c r="E27956" s="2">
        <v>9.6990300969903003E-3</v>
      </c>
      <c r="F27956" s="2">
        <v>1.2843397131239701E-2</v>
      </c>
    </row>
    <row r="27957" spans="1:6" x14ac:dyDescent="0.25">
      <c r="A27957" s="1" t="str">
        <f t="shared" si="1004"/>
        <v>38300</v>
      </c>
      <c r="B27957" s="1" t="str">
        <f>"15201"</f>
        <v>15201</v>
      </c>
      <c r="C27957" s="2">
        <v>6.7758539691331601E-3</v>
      </c>
      <c r="D27957" s="2">
        <v>9.0034887283436896E-3</v>
      </c>
      <c r="E27957" s="2">
        <v>8.5991400859913997E-3</v>
      </c>
      <c r="F27957" s="2">
        <v>7.0141811882626698E-3</v>
      </c>
    </row>
    <row r="27958" spans="1:6" x14ac:dyDescent="0.25">
      <c r="A27958" s="1" t="str">
        <f t="shared" si="1004"/>
        <v>38300</v>
      </c>
      <c r="B27958" s="1" t="str">
        <f>"15425"</f>
        <v>15425</v>
      </c>
      <c r="C27958" s="2">
        <v>8.0280616860968403E-3</v>
      </c>
      <c r="D27958" s="2">
        <v>7.7681033375171698E-3</v>
      </c>
      <c r="E27958" s="2">
        <v>3.7396260373962599E-3</v>
      </c>
      <c r="F27958" s="2">
        <v>7.8468187748483194E-3</v>
      </c>
    </row>
    <row r="27959" spans="1:6" x14ac:dyDescent="0.25">
      <c r="A27959" s="1" t="str">
        <f t="shared" si="1004"/>
        <v>38300</v>
      </c>
      <c r="B27959" s="1" t="str">
        <f>"15436"</f>
        <v>15436</v>
      </c>
      <c r="C27959" s="2">
        <v>1.0882483618931201E-3</v>
      </c>
      <c r="D27959" s="2">
        <v>6.4240040322979103E-4</v>
      </c>
      <c r="E27959" s="2">
        <v>3.3996600339965998E-4</v>
      </c>
      <c r="F27959" s="2">
        <v>1.02611666411956E-3</v>
      </c>
    </row>
    <row r="27960" spans="1:6" x14ac:dyDescent="0.25">
      <c r="A27960" s="1" t="str">
        <f t="shared" si="1004"/>
        <v>38300</v>
      </c>
      <c r="B27960" s="1" t="str">
        <f>"15469"</f>
        <v>15469</v>
      </c>
      <c r="C27960" s="2">
        <v>7.46737166357579E-4</v>
      </c>
      <c r="D27960" s="2">
        <v>1.08713914392733E-4</v>
      </c>
      <c r="E27960" s="2">
        <v>1.999800019998E-5</v>
      </c>
      <c r="F27960" s="2">
        <v>6.7077765790941695E-4</v>
      </c>
    </row>
    <row r="27961" spans="1:6" x14ac:dyDescent="0.25">
      <c r="A27961" s="1" t="str">
        <f t="shared" si="1004"/>
        <v>38300</v>
      </c>
      <c r="B27961" s="1" t="str">
        <f>"15433"</f>
        <v>15433</v>
      </c>
      <c r="C27961" s="2">
        <v>3.0413186070081099E-4</v>
      </c>
      <c r="D27961" s="2">
        <v>1.08713914392733E-4</v>
      </c>
      <c r="E27961" s="2">
        <v>1.999800019998E-5</v>
      </c>
      <c r="F27961" s="2">
        <v>2.7854964469863498E-4</v>
      </c>
    </row>
    <row r="27962" spans="1:6" x14ac:dyDescent="0.25">
      <c r="A27962" s="1" t="str">
        <f t="shared" si="1004"/>
        <v>38300</v>
      </c>
      <c r="B27962" s="1" t="str">
        <f>"15623"</f>
        <v>15623</v>
      </c>
      <c r="C27962" s="2">
        <v>2.3447037305425599E-4</v>
      </c>
      <c r="D27962" s="2">
        <v>4.9415415633060799E-5</v>
      </c>
      <c r="E27962" s="2">
        <v>0</v>
      </c>
      <c r="F27962" s="2">
        <v>2.1154716259544999E-4</v>
      </c>
    </row>
    <row r="27963" spans="1:6" x14ac:dyDescent="0.25">
      <c r="A27963" s="1" t="str">
        <f t="shared" si="1004"/>
        <v>38300</v>
      </c>
      <c r="B27963" s="1" t="str">
        <f>"15626"</f>
        <v>15626</v>
      </c>
      <c r="C27963" s="2">
        <v>2.2860861372789999E-3</v>
      </c>
      <c r="D27963" s="2">
        <v>2.22369370348774E-3</v>
      </c>
      <c r="E27963" s="2">
        <v>1.4998500149984999E-3</v>
      </c>
      <c r="F27963" s="2">
        <v>2.2517351007935601E-3</v>
      </c>
    </row>
    <row r="27964" spans="1:6" x14ac:dyDescent="0.25">
      <c r="A27964" s="1" t="str">
        <f t="shared" si="1004"/>
        <v>38300</v>
      </c>
      <c r="B27964" s="1" t="str">
        <f>"15311"</f>
        <v>15311</v>
      </c>
      <c r="C27964" s="2">
        <v>4.8932947420018795E-4</v>
      </c>
      <c r="D27964" s="2">
        <v>2.37193995038692E-4</v>
      </c>
      <c r="E27964" s="2">
        <v>3.9996000399960001E-5</v>
      </c>
      <c r="F27964" s="2">
        <v>4.53207800293455E-4</v>
      </c>
    </row>
    <row r="27965" spans="1:6" x14ac:dyDescent="0.25">
      <c r="A27965" s="1" t="str">
        <f t="shared" si="1004"/>
        <v>38300</v>
      </c>
      <c r="B27965" s="1" t="str">
        <f>"15216"</f>
        <v>15216</v>
      </c>
      <c r="C27965" s="2">
        <v>9.93950494469132E-3</v>
      </c>
      <c r="D27965" s="2">
        <v>5.8409021278277903E-3</v>
      </c>
      <c r="E27965" s="2">
        <v>1.4578542145785399E-2</v>
      </c>
      <c r="F27965" s="2">
        <v>9.8019361458817102E-3</v>
      </c>
    </row>
    <row r="27966" spans="1:6" x14ac:dyDescent="0.25">
      <c r="A27966" s="1" t="str">
        <f t="shared" si="1004"/>
        <v>38300</v>
      </c>
      <c r="B27966" s="1" t="str">
        <f>"15212"</f>
        <v>15212</v>
      </c>
      <c r="C27966" s="2">
        <v>1.50443327406443E-2</v>
      </c>
      <c r="D27966" s="2">
        <v>1.3727602462864299E-2</v>
      </c>
      <c r="E27966" s="2">
        <v>1.8378162183781601E-2</v>
      </c>
      <c r="F27966" s="2">
        <v>1.50695357781961E-2</v>
      </c>
    </row>
    <row r="27967" spans="1:6" x14ac:dyDescent="0.25">
      <c r="A27967" s="1" t="str">
        <f t="shared" si="1004"/>
        <v>38300</v>
      </c>
      <c r="B27967" s="1" t="str">
        <f>"16052"</f>
        <v>16052</v>
      </c>
      <c r="C27967" s="2">
        <v>8.8775920232499401E-4</v>
      </c>
      <c r="D27967" s="2">
        <v>5.0403723945722102E-4</v>
      </c>
      <c r="E27967" s="2">
        <v>1.3998600139986E-4</v>
      </c>
      <c r="F27967" s="2">
        <v>8.30379075952959E-4</v>
      </c>
    </row>
    <row r="27968" spans="1:6" x14ac:dyDescent="0.25">
      <c r="A27968" s="1" t="str">
        <f t="shared" si="1004"/>
        <v>38300</v>
      </c>
      <c r="B27968" s="1" t="str">
        <f>"16373"</f>
        <v>16373</v>
      </c>
      <c r="C27968" s="2">
        <v>1.0958941349275001E-4</v>
      </c>
      <c r="D27968" s="2">
        <v>9.8830831266121706E-5</v>
      </c>
      <c r="E27968" s="2">
        <v>0</v>
      </c>
      <c r="F27968" s="2">
        <v>1.04644325981379E-4</v>
      </c>
    </row>
    <row r="27969" spans="1:6" x14ac:dyDescent="0.25">
      <c r="A27969" s="1" t="str">
        <f t="shared" ref="A27969:A28032" si="1005">"38300"</f>
        <v>38300</v>
      </c>
      <c r="B27969" s="1" t="str">
        <f>"15025"</f>
        <v>15025</v>
      </c>
      <c r="C27969" s="2">
        <v>7.3586317804201903E-3</v>
      </c>
      <c r="D27969" s="2">
        <v>5.8211359615745698E-3</v>
      </c>
      <c r="E27969" s="2">
        <v>2.6197380261973801E-3</v>
      </c>
      <c r="F27969" s="2">
        <v>7.0631155853043198E-3</v>
      </c>
    </row>
    <row r="27970" spans="1:6" x14ac:dyDescent="0.25">
      <c r="A27970" s="1" t="str">
        <f t="shared" si="1005"/>
        <v>38300</v>
      </c>
      <c r="B27970" s="1" t="str">
        <f>"15035"</f>
        <v>15035</v>
      </c>
      <c r="C27970" s="2">
        <v>1.0211354652580301E-3</v>
      </c>
      <c r="D27970" s="2">
        <v>6.7204965260962799E-4</v>
      </c>
      <c r="E27970" s="2">
        <v>1.13988601139886E-3</v>
      </c>
      <c r="F27970" s="2">
        <v>9.9901453652726803E-4</v>
      </c>
    </row>
    <row r="27971" spans="1:6" x14ac:dyDescent="0.25">
      <c r="A27971" s="1" t="str">
        <f t="shared" si="1005"/>
        <v>38300</v>
      </c>
      <c r="B27971" s="1" t="str">
        <f>"15047"</f>
        <v>15047</v>
      </c>
      <c r="C27971" s="2">
        <v>0</v>
      </c>
      <c r="D27971" s="2">
        <v>0</v>
      </c>
      <c r="E27971" s="2">
        <v>3.17968203179682E-3</v>
      </c>
      <c r="F27971" s="2">
        <v>1.1970106353265599E-4</v>
      </c>
    </row>
    <row r="27972" spans="1:6" x14ac:dyDescent="0.25">
      <c r="A27972" s="1" t="str">
        <f t="shared" si="1005"/>
        <v>38300</v>
      </c>
      <c r="B27972" s="1" t="str">
        <f>"15057"</f>
        <v>15057</v>
      </c>
      <c r="C27972" s="2">
        <v>5.8855461757967098E-3</v>
      </c>
      <c r="D27972" s="2">
        <v>2.0457982072087199E-3</v>
      </c>
      <c r="E27972" s="2">
        <v>1.91980801919808E-3</v>
      </c>
      <c r="F27972" s="2">
        <v>5.4437634616644097E-3</v>
      </c>
    </row>
    <row r="27973" spans="1:6" x14ac:dyDescent="0.25">
      <c r="A27973" s="1" t="str">
        <f t="shared" si="1005"/>
        <v>38300</v>
      </c>
      <c r="B27973" s="1" t="str">
        <f>"15031"</f>
        <v>15031</v>
      </c>
      <c r="C27973" s="2">
        <v>2.1408164496258201E-4</v>
      </c>
      <c r="D27973" s="2">
        <v>1.68012413152407E-4</v>
      </c>
      <c r="E27973" s="2">
        <v>3.1996800319968001E-4</v>
      </c>
      <c r="F27973" s="2">
        <v>2.1455851010570499E-4</v>
      </c>
    </row>
    <row r="27974" spans="1:6" x14ac:dyDescent="0.25">
      <c r="A27974" s="1" t="str">
        <f t="shared" si="1005"/>
        <v>38300</v>
      </c>
      <c r="B27974" s="1" t="str">
        <f>"15019"</f>
        <v>15019</v>
      </c>
      <c r="C27974" s="2">
        <v>6.5753648095650305E-4</v>
      </c>
      <c r="D27974" s="2">
        <v>1.8777857940563099E-4</v>
      </c>
      <c r="E27974" s="2">
        <v>1.1998800119988E-4</v>
      </c>
      <c r="F27974" s="2">
        <v>6.0151666517354002E-4</v>
      </c>
    </row>
    <row r="27975" spans="1:6" x14ac:dyDescent="0.25">
      <c r="A27975" s="1" t="str">
        <f t="shared" si="1005"/>
        <v>38300</v>
      </c>
      <c r="B27975" s="1" t="str">
        <f>"15083"</f>
        <v>15083</v>
      </c>
      <c r="C27975" s="2">
        <v>3.5765227194145701E-4</v>
      </c>
      <c r="D27975" s="2">
        <v>1.9766166253224301E-4</v>
      </c>
      <c r="E27975" s="2">
        <v>3.9996000399960001E-5</v>
      </c>
      <c r="F27975" s="2">
        <v>3.33506736760798E-4</v>
      </c>
    </row>
    <row r="27976" spans="1:6" x14ac:dyDescent="0.25">
      <c r="A27976" s="1" t="str">
        <f t="shared" si="1005"/>
        <v>38300</v>
      </c>
      <c r="B27976" s="1" t="str">
        <f>"15301"</f>
        <v>15301</v>
      </c>
      <c r="C27976" s="2">
        <v>2.2139610116546998E-2</v>
      </c>
      <c r="D27976" s="2">
        <v>3.0262000533686401E-2</v>
      </c>
      <c r="E27976" s="2">
        <v>1.85781421857814E-2</v>
      </c>
      <c r="F27976" s="2">
        <v>2.2624253844549701E-2</v>
      </c>
    </row>
    <row r="27977" spans="1:6" x14ac:dyDescent="0.25">
      <c r="A27977" s="1" t="str">
        <f t="shared" si="1005"/>
        <v>38300</v>
      </c>
      <c r="B27977" s="1" t="str">
        <f>"15236"</f>
        <v>15236</v>
      </c>
      <c r="C27977" s="2">
        <v>1.28134660752802E-2</v>
      </c>
      <c r="D27977" s="2">
        <v>1.25811648201773E-2</v>
      </c>
      <c r="E27977" s="2">
        <v>1.2918708129187001E-2</v>
      </c>
      <c r="F27977" s="2">
        <v>1.2799732592341E-2</v>
      </c>
    </row>
    <row r="27978" spans="1:6" x14ac:dyDescent="0.25">
      <c r="A27978" s="1" t="str">
        <f t="shared" si="1005"/>
        <v>38300</v>
      </c>
      <c r="B27978" s="1" t="str">
        <f>"15282"</f>
        <v>15282</v>
      </c>
      <c r="C27978" s="2">
        <v>0</v>
      </c>
      <c r="D27978" s="2">
        <v>3.2614174317820101E-4</v>
      </c>
      <c r="E27978" s="2">
        <v>0</v>
      </c>
      <c r="F27978" s="2">
        <v>2.4843616959608001E-5</v>
      </c>
    </row>
    <row r="27979" spans="1:6" x14ac:dyDescent="0.25">
      <c r="A27979" s="1" t="str">
        <f t="shared" si="1005"/>
        <v>38300</v>
      </c>
      <c r="B27979" s="1" t="str">
        <f>"15658"</f>
        <v>15658</v>
      </c>
      <c r="C27979" s="2">
        <v>3.81014356213167E-3</v>
      </c>
      <c r="D27979" s="2">
        <v>4.0817133312908201E-3</v>
      </c>
      <c r="E27979" s="2">
        <v>2.0997900209978998E-3</v>
      </c>
      <c r="F27979" s="2">
        <v>3.7664428984520901E-3</v>
      </c>
    </row>
    <row r="27980" spans="1:6" x14ac:dyDescent="0.25">
      <c r="A27980" s="1" t="str">
        <f t="shared" si="1005"/>
        <v>38300</v>
      </c>
      <c r="B27980" s="1" t="str">
        <f>"15656"</f>
        <v>15656</v>
      </c>
      <c r="C27980" s="2">
        <v>4.1559024093529798E-3</v>
      </c>
      <c r="D27980" s="2">
        <v>3.19223584989573E-3</v>
      </c>
      <c r="E27980" s="2">
        <v>1.91980801919808E-3</v>
      </c>
      <c r="F27980" s="2">
        <v>3.99831665674176E-3</v>
      </c>
    </row>
    <row r="27981" spans="1:6" x14ac:dyDescent="0.25">
      <c r="A27981" s="1" t="str">
        <f t="shared" si="1005"/>
        <v>38300</v>
      </c>
      <c r="B27981" s="1" t="str">
        <f>"15618"</f>
        <v>15618</v>
      </c>
      <c r="C27981" s="2">
        <v>8.8521061131353505E-4</v>
      </c>
      <c r="D27981" s="2">
        <v>3.6567407568464998E-4</v>
      </c>
      <c r="E27981" s="2">
        <v>1.3998600139986E-4</v>
      </c>
      <c r="F27981" s="2">
        <v>8.1758084903437301E-4</v>
      </c>
    </row>
    <row r="27982" spans="1:6" x14ac:dyDescent="0.25">
      <c r="A27982" s="1" t="str">
        <f t="shared" si="1005"/>
        <v>38300</v>
      </c>
      <c r="B27982" s="1" t="str">
        <f>"15332"</f>
        <v>15332</v>
      </c>
      <c r="C27982" s="2">
        <v>3.3378046946745399E-3</v>
      </c>
      <c r="D27982" s="2">
        <v>1.9963827915756502E-3</v>
      </c>
      <c r="E27982" s="2">
        <v>9.3990600939905999E-4</v>
      </c>
      <c r="F27982" s="2">
        <v>3.14535247446189E-3</v>
      </c>
    </row>
    <row r="27983" spans="1:6" x14ac:dyDescent="0.25">
      <c r="A27983" s="1" t="str">
        <f t="shared" si="1005"/>
        <v>38300</v>
      </c>
      <c r="B27983" s="1" t="str">
        <f>"15312"</f>
        <v>15312</v>
      </c>
      <c r="C27983" s="2">
        <v>1.3278159169703E-3</v>
      </c>
      <c r="D27983" s="2">
        <v>3.1625866005158899E-4</v>
      </c>
      <c r="E27983" s="2">
        <v>3.9996000399960001E-5</v>
      </c>
      <c r="F27983" s="2">
        <v>1.2022804934695101E-3</v>
      </c>
    </row>
    <row r="27984" spans="1:6" x14ac:dyDescent="0.25">
      <c r="A27984" s="1" t="str">
        <f t="shared" si="1005"/>
        <v>38300</v>
      </c>
      <c r="B27984" s="1" t="str">
        <f>"15208"</f>
        <v>15208</v>
      </c>
      <c r="C27984" s="2">
        <v>5.4743734926146004E-3</v>
      </c>
      <c r="D27984" s="2">
        <v>3.7654546712392301E-3</v>
      </c>
      <c r="E27984" s="2">
        <v>8.0791920807919207E-3</v>
      </c>
      <c r="F27984" s="2">
        <v>5.4422577879092802E-3</v>
      </c>
    </row>
    <row r="27985" spans="1:6" x14ac:dyDescent="0.25">
      <c r="A27985" s="1" t="str">
        <f t="shared" si="1005"/>
        <v>38300</v>
      </c>
      <c r="B27985" s="1" t="str">
        <f>"16023"</f>
        <v>16023</v>
      </c>
      <c r="C27985" s="2">
        <v>1.6039132765450601E-3</v>
      </c>
      <c r="D27985" s="2">
        <v>5.5345265509028102E-4</v>
      </c>
      <c r="E27985" s="2">
        <v>2.5997400259973998E-4</v>
      </c>
      <c r="F27985" s="2">
        <v>1.47330176939251E-3</v>
      </c>
    </row>
    <row r="27986" spans="1:6" x14ac:dyDescent="0.25">
      <c r="A27986" s="1" t="str">
        <f t="shared" si="1005"/>
        <v>38300</v>
      </c>
      <c r="B27986" s="1" t="str">
        <f>"15732"</f>
        <v>15732</v>
      </c>
      <c r="C27986" s="2">
        <v>5.1821350566339301E-5</v>
      </c>
      <c r="D27986" s="2">
        <v>9.8830831266121696E-6</v>
      </c>
      <c r="E27986" s="2">
        <v>0</v>
      </c>
      <c r="F27986" s="2">
        <v>4.6675886408960497E-5</v>
      </c>
    </row>
    <row r="27987" spans="1:6" x14ac:dyDescent="0.25">
      <c r="A27987" s="1" t="str">
        <f t="shared" si="1005"/>
        <v>38300</v>
      </c>
      <c r="B27987" s="1" t="str">
        <f>"15774"</f>
        <v>15774</v>
      </c>
      <c r="C27987" s="2">
        <v>5.9891888769293797E-4</v>
      </c>
      <c r="D27987" s="2">
        <v>2.8660941067175301E-4</v>
      </c>
      <c r="E27987" s="2">
        <v>3.9996000399960001E-5</v>
      </c>
      <c r="F27987" s="2">
        <v>5.5408794188701498E-4</v>
      </c>
    </row>
    <row r="27988" spans="1:6" x14ac:dyDescent="0.25">
      <c r="A27988" s="1" t="str">
        <f t="shared" si="1005"/>
        <v>38300</v>
      </c>
      <c r="B27988" s="1" t="str">
        <f>"16201"</f>
        <v>16201</v>
      </c>
      <c r="C27988" s="2">
        <v>7.1394529534346898E-3</v>
      </c>
      <c r="D27988" s="2">
        <v>8.4599191563800198E-3</v>
      </c>
      <c r="E27988" s="2">
        <v>1.01789821017898E-2</v>
      </c>
      <c r="F27988" s="2">
        <v>7.35446345692154E-3</v>
      </c>
    </row>
    <row r="27989" spans="1:6" x14ac:dyDescent="0.25">
      <c r="A27989" s="1" t="str">
        <f t="shared" si="1005"/>
        <v>38300</v>
      </c>
      <c r="B27989" s="1" t="str">
        <f>"16222"</f>
        <v>16222</v>
      </c>
      <c r="C27989" s="2">
        <v>7.5608200006626301E-4</v>
      </c>
      <c r="D27989" s="2">
        <v>2.17427828785467E-4</v>
      </c>
      <c r="E27989" s="2">
        <v>5.9994000599940001E-5</v>
      </c>
      <c r="F27989" s="2">
        <v>6.8884574297094995E-4</v>
      </c>
    </row>
    <row r="27990" spans="1:6" x14ac:dyDescent="0.25">
      <c r="A27990" s="1" t="str">
        <f t="shared" si="1005"/>
        <v>38300</v>
      </c>
      <c r="B27990" s="1" t="str">
        <f>"16117"</f>
        <v>16117</v>
      </c>
      <c r="C27990" s="2">
        <v>2.1612051777174898E-3</v>
      </c>
      <c r="D27990" s="2">
        <v>1.2551515570797399E-3</v>
      </c>
      <c r="E27990" s="2">
        <v>1.3398660133986601E-3</v>
      </c>
      <c r="F27990" s="2">
        <v>2.0612673707698999E-3</v>
      </c>
    </row>
    <row r="27991" spans="1:6" x14ac:dyDescent="0.25">
      <c r="A27991" s="1" t="str">
        <f t="shared" si="1005"/>
        <v>38300</v>
      </c>
      <c r="B27991" s="1" t="str">
        <f>"15357"</f>
        <v>15357</v>
      </c>
      <c r="C27991" s="2">
        <v>3.39812134861241E-6</v>
      </c>
      <c r="D27991" s="2">
        <v>0</v>
      </c>
      <c r="E27991" s="2">
        <v>0</v>
      </c>
      <c r="F27991" s="2">
        <v>3.0113475102555198E-6</v>
      </c>
    </row>
    <row r="27992" spans="1:6" x14ac:dyDescent="0.25">
      <c r="A27992" s="1" t="str">
        <f t="shared" si="1005"/>
        <v>38300</v>
      </c>
      <c r="B27992" s="1" t="str">
        <f>"15617"</f>
        <v>15617</v>
      </c>
      <c r="C27992" s="2">
        <v>0</v>
      </c>
      <c r="D27992" s="2">
        <v>0</v>
      </c>
      <c r="E27992" s="2">
        <v>1.999800019998E-5</v>
      </c>
      <c r="F27992" s="2">
        <v>7.5283687756387995E-7</v>
      </c>
    </row>
    <row r="27993" spans="1:6" x14ac:dyDescent="0.25">
      <c r="A27993" s="1" t="str">
        <f t="shared" si="1005"/>
        <v>38300</v>
      </c>
      <c r="B27993" s="1" t="str">
        <f>"15421"</f>
        <v>15421</v>
      </c>
      <c r="C27993" s="2">
        <v>0</v>
      </c>
      <c r="D27993" s="2">
        <v>0</v>
      </c>
      <c r="E27993" s="2">
        <v>9.9990000999900002E-5</v>
      </c>
      <c r="F27993" s="2">
        <v>3.7641843878193999E-6</v>
      </c>
    </row>
    <row r="27994" spans="1:6" x14ac:dyDescent="0.25">
      <c r="A27994" s="1" t="str">
        <f t="shared" si="1005"/>
        <v>38300</v>
      </c>
      <c r="B27994" s="1" t="str">
        <f>"15053"</f>
        <v>15053</v>
      </c>
      <c r="C27994" s="2">
        <v>8.1554912366698005E-5</v>
      </c>
      <c r="D27994" s="2">
        <v>9.8830831266121696E-6</v>
      </c>
      <c r="E27994" s="2">
        <v>5.9994000599940001E-5</v>
      </c>
      <c r="F27994" s="2">
        <v>7.5283687756388004E-5</v>
      </c>
    </row>
    <row r="27995" spans="1:6" x14ac:dyDescent="0.25">
      <c r="A27995" s="1" t="str">
        <f t="shared" si="1005"/>
        <v>38300</v>
      </c>
      <c r="B27995" s="1" t="str">
        <f>"15413"</f>
        <v>15413</v>
      </c>
      <c r="C27995" s="2">
        <v>1.2912861124727101E-4</v>
      </c>
      <c r="D27995" s="2">
        <v>3.9532332506448699E-5</v>
      </c>
      <c r="E27995" s="2">
        <v>3.9996000399960001E-5</v>
      </c>
      <c r="F27995" s="2">
        <v>1.18948226655093E-4</v>
      </c>
    </row>
    <row r="27996" spans="1:6" x14ac:dyDescent="0.25">
      <c r="A27996" s="1" t="str">
        <f t="shared" si="1005"/>
        <v>38300</v>
      </c>
      <c r="B27996" s="1" t="str">
        <f>"15640"</f>
        <v>15640</v>
      </c>
      <c r="C27996" s="2">
        <v>0</v>
      </c>
      <c r="D27996" s="2">
        <v>0</v>
      </c>
      <c r="E27996" s="2">
        <v>2.9197080291970801E-3</v>
      </c>
      <c r="F27996" s="2">
        <v>1.0991418412432599E-4</v>
      </c>
    </row>
    <row r="27997" spans="1:6" x14ac:dyDescent="0.25">
      <c r="A27997" s="1" t="str">
        <f t="shared" si="1005"/>
        <v>38300</v>
      </c>
      <c r="B27997" s="1" t="str">
        <f>"16029"</f>
        <v>16029</v>
      </c>
      <c r="C27997" s="2">
        <v>8.4953033715310408E-6</v>
      </c>
      <c r="D27997" s="2">
        <v>0</v>
      </c>
      <c r="E27997" s="2">
        <v>3.9996000399960001E-5</v>
      </c>
      <c r="F27997" s="2">
        <v>9.0340425307665607E-6</v>
      </c>
    </row>
    <row r="27998" spans="1:6" x14ac:dyDescent="0.25">
      <c r="A27998" s="1" t="str">
        <f t="shared" si="1005"/>
        <v>38300</v>
      </c>
      <c r="B27998" s="1" t="str">
        <f>"15054"</f>
        <v>15054</v>
      </c>
      <c r="C27998" s="2">
        <v>0</v>
      </c>
      <c r="D27998" s="2">
        <v>0</v>
      </c>
      <c r="E27998" s="2">
        <v>6.95930406959304E-3</v>
      </c>
      <c r="F27998" s="2">
        <v>2.6198723339223001E-4</v>
      </c>
    </row>
    <row r="27999" spans="1:6" x14ac:dyDescent="0.25">
      <c r="A27999" s="1" t="str">
        <f t="shared" si="1005"/>
        <v>38300</v>
      </c>
      <c r="B27999" s="1" t="str">
        <f>"15646"</f>
        <v>15646</v>
      </c>
      <c r="C27999" s="2">
        <v>6.2015714612176598E-5</v>
      </c>
      <c r="D27999" s="2">
        <v>2.6684324441852801E-4</v>
      </c>
      <c r="E27999" s="2">
        <v>0</v>
      </c>
      <c r="F27999" s="2">
        <v>7.5283687756388004E-5</v>
      </c>
    </row>
    <row r="28000" spans="1:6" x14ac:dyDescent="0.25">
      <c r="A28000" s="1" t="str">
        <f t="shared" si="1005"/>
        <v>38300</v>
      </c>
      <c r="B28000" s="1" t="str">
        <f>"15475"</f>
        <v>15475</v>
      </c>
      <c r="C28000" s="2">
        <v>0</v>
      </c>
      <c r="D28000" s="2">
        <v>0</v>
      </c>
      <c r="E28000" s="2">
        <v>4.9995000499950004E-4</v>
      </c>
      <c r="F28000" s="2">
        <v>1.8820921939097001E-5</v>
      </c>
    </row>
    <row r="28001" spans="1:6" x14ac:dyDescent="0.25">
      <c r="A28001" s="1" t="str">
        <f t="shared" si="1005"/>
        <v>38300</v>
      </c>
      <c r="B28001" s="1" t="str">
        <f>"15490"</f>
        <v>15490</v>
      </c>
      <c r="C28001" s="2">
        <v>2.0813493260251001E-4</v>
      </c>
      <c r="D28001" s="2">
        <v>9.8830831266121696E-6</v>
      </c>
      <c r="E28001" s="2">
        <v>1.999800019998E-5</v>
      </c>
      <c r="F28001" s="2">
        <v>1.85950708758278E-4</v>
      </c>
    </row>
    <row r="28002" spans="1:6" x14ac:dyDescent="0.25">
      <c r="A28002" s="1" t="str">
        <f t="shared" si="1005"/>
        <v>38300</v>
      </c>
      <c r="B28002" s="1" t="str">
        <f>"15056"</f>
        <v>15056</v>
      </c>
      <c r="C28002" s="2">
        <v>5.1651444498908696E-4</v>
      </c>
      <c r="D28002" s="2">
        <v>1.9173181265627599E-3</v>
      </c>
      <c r="E28002" s="2">
        <v>3.9996000399960001E-4</v>
      </c>
      <c r="F28002" s="2">
        <v>6.1883191335750901E-4</v>
      </c>
    </row>
    <row r="28003" spans="1:6" x14ac:dyDescent="0.25">
      <c r="A28003" s="1" t="str">
        <f t="shared" si="1005"/>
        <v>38300</v>
      </c>
      <c r="B28003" s="1" t="str">
        <f>"15420"</f>
        <v>15420</v>
      </c>
      <c r="C28003" s="2">
        <v>0</v>
      </c>
      <c r="D28003" s="2">
        <v>0</v>
      </c>
      <c r="E28003" s="2">
        <v>2.1997800219978E-4</v>
      </c>
      <c r="F28003" s="2">
        <v>8.2812056532026794E-6</v>
      </c>
    </row>
    <row r="28004" spans="1:6" x14ac:dyDescent="0.25">
      <c r="A28004" s="1" t="str">
        <f t="shared" si="1005"/>
        <v>38300</v>
      </c>
      <c r="B28004" s="1" t="str">
        <f>"16136"</f>
        <v>16136</v>
      </c>
      <c r="C28004" s="2">
        <v>0</v>
      </c>
      <c r="D28004" s="2">
        <v>0</v>
      </c>
      <c r="E28004" s="2">
        <v>7.8592140785921395E-3</v>
      </c>
      <c r="F28004" s="2">
        <v>2.9586489288260402E-4</v>
      </c>
    </row>
    <row r="28005" spans="1:6" x14ac:dyDescent="0.25">
      <c r="A28005" s="1" t="str">
        <f t="shared" si="1005"/>
        <v>38300</v>
      </c>
      <c r="B28005" s="1" t="str">
        <f>"15431"</f>
        <v>15431</v>
      </c>
      <c r="C28005" s="2">
        <v>1.91059372825733E-3</v>
      </c>
      <c r="D28005" s="2">
        <v>1.0970222270539501E-3</v>
      </c>
      <c r="E28005" s="2">
        <v>4.1995800419957998E-4</v>
      </c>
      <c r="F28005" s="2">
        <v>1.79250460547959E-3</v>
      </c>
    </row>
    <row r="28006" spans="1:6" x14ac:dyDescent="0.25">
      <c r="A28006" s="1" t="str">
        <f t="shared" si="1005"/>
        <v>38300</v>
      </c>
      <c r="B28006" s="1" t="str">
        <f>"15631"</f>
        <v>15631</v>
      </c>
      <c r="C28006" s="2">
        <v>3.3896260452408801E-4</v>
      </c>
      <c r="D28006" s="2">
        <v>1.3836316377257001E-4</v>
      </c>
      <c r="E28006" s="2">
        <v>3.2196780321967801E-3</v>
      </c>
      <c r="F28006" s="2">
        <v>4.3212836772166702E-4</v>
      </c>
    </row>
    <row r="28007" spans="1:6" x14ac:dyDescent="0.25">
      <c r="A28007" s="1" t="str">
        <f t="shared" si="1005"/>
        <v>38300</v>
      </c>
      <c r="B28007" s="1" t="str">
        <f>"15123"</f>
        <v>15123</v>
      </c>
      <c r="C28007" s="2">
        <v>0</v>
      </c>
      <c r="D28007" s="2">
        <v>1.94696737594259E-3</v>
      </c>
      <c r="E28007" s="2">
        <v>5.9994000599940001E-5</v>
      </c>
      <c r="F28007" s="2">
        <v>1.5056737551277601E-4</v>
      </c>
    </row>
    <row r="28008" spans="1:6" x14ac:dyDescent="0.25">
      <c r="A28008" s="1" t="str">
        <f t="shared" si="1005"/>
        <v>38300</v>
      </c>
      <c r="B28008" s="1" t="str">
        <f>"15116"</f>
        <v>15116</v>
      </c>
      <c r="C28008" s="2">
        <v>5.5160004791351101E-3</v>
      </c>
      <c r="D28008" s="2">
        <v>4.6351659863811097E-3</v>
      </c>
      <c r="E28008" s="2">
        <v>4.7395260473952596E-3</v>
      </c>
      <c r="F28008" s="2">
        <v>5.4196726815823699E-3</v>
      </c>
    </row>
    <row r="28009" spans="1:6" x14ac:dyDescent="0.25">
      <c r="A28009" s="1" t="str">
        <f t="shared" si="1005"/>
        <v>38300</v>
      </c>
      <c r="B28009" s="1" t="str">
        <f>"15112"</f>
        <v>15112</v>
      </c>
      <c r="C28009" s="2">
        <v>1.64723932373987E-3</v>
      </c>
      <c r="D28009" s="2">
        <v>1.4725793858652099E-3</v>
      </c>
      <c r="E28009" s="2">
        <v>3.77962203779622E-3</v>
      </c>
      <c r="F28009" s="2">
        <v>1.7142095702129499E-3</v>
      </c>
    </row>
    <row r="28010" spans="1:6" x14ac:dyDescent="0.25">
      <c r="A28010" s="1" t="str">
        <f t="shared" si="1005"/>
        <v>38300</v>
      </c>
      <c r="B28010" s="1" t="str">
        <f>"15046"</f>
        <v>15046</v>
      </c>
      <c r="C28010" s="2">
        <v>9.7101317536599804E-4</v>
      </c>
      <c r="D28010" s="2">
        <v>4.6450490695077199E-4</v>
      </c>
      <c r="E28010" s="2">
        <v>2.7997200279972001E-4</v>
      </c>
      <c r="F28010" s="2">
        <v>9.0641560058691097E-4</v>
      </c>
    </row>
    <row r="28011" spans="1:6" x14ac:dyDescent="0.25">
      <c r="A28011" s="1" t="str">
        <f t="shared" si="1005"/>
        <v>38300</v>
      </c>
      <c r="B28011" s="1" t="str">
        <f>"15037"</f>
        <v>15037</v>
      </c>
      <c r="C28011" s="2">
        <v>4.1983789262106403E-3</v>
      </c>
      <c r="D28011" s="2">
        <v>3.07363885237638E-3</v>
      </c>
      <c r="E28011" s="2">
        <v>2.4797520247975199E-3</v>
      </c>
      <c r="F28011" s="2">
        <v>4.0480038906609804E-3</v>
      </c>
    </row>
    <row r="28012" spans="1:6" x14ac:dyDescent="0.25">
      <c r="A28012" s="1" t="str">
        <f t="shared" si="1005"/>
        <v>38300</v>
      </c>
      <c r="B28012" s="1" t="str">
        <f>"15062"</f>
        <v>15062</v>
      </c>
      <c r="C28012" s="2">
        <v>3.8679116250580799E-3</v>
      </c>
      <c r="D28012" s="2">
        <v>3.6863900062263401E-3</v>
      </c>
      <c r="E28012" s="2">
        <v>2.7597240275972399E-3</v>
      </c>
      <c r="F28012" s="2">
        <v>3.8123659479834802E-3</v>
      </c>
    </row>
    <row r="28013" spans="1:6" x14ac:dyDescent="0.25">
      <c r="A28013" s="1" t="str">
        <f t="shared" si="1005"/>
        <v>38300</v>
      </c>
      <c r="B28013" s="1" t="str">
        <f>"15050"</f>
        <v>15050</v>
      </c>
      <c r="C28013" s="2">
        <v>8.3933597310726705E-4</v>
      </c>
      <c r="D28013" s="2">
        <v>1.9766166253224301E-4</v>
      </c>
      <c r="E28013" s="2">
        <v>9.9990000999900002E-5</v>
      </c>
      <c r="F28013" s="2">
        <v>7.6262375697220999E-4</v>
      </c>
    </row>
    <row r="28014" spans="1:6" x14ac:dyDescent="0.25">
      <c r="A28014" s="1" t="str">
        <f t="shared" si="1005"/>
        <v>38300</v>
      </c>
      <c r="B28014" s="1" t="str">
        <f>"15090"</f>
        <v>15090</v>
      </c>
      <c r="C28014" s="2">
        <v>8.9404572681992707E-3</v>
      </c>
      <c r="D28014" s="2">
        <v>1.6672761234594699E-2</v>
      </c>
      <c r="E28014" s="2">
        <v>4.6395360463953603E-3</v>
      </c>
      <c r="F28014" s="2">
        <v>9.3675492675273503E-3</v>
      </c>
    </row>
    <row r="28015" spans="1:6" x14ac:dyDescent="0.25">
      <c r="A28015" s="1" t="str">
        <f t="shared" si="1005"/>
        <v>38300</v>
      </c>
      <c r="B28015" s="1" t="str">
        <f>"15237"</f>
        <v>15237</v>
      </c>
      <c r="C28015" s="2">
        <v>1.7844384731900899E-2</v>
      </c>
      <c r="D28015" s="2">
        <v>2.5468705217279501E-2</v>
      </c>
      <c r="E28015" s="2">
        <v>1.0558944105589401E-2</v>
      </c>
      <c r="F28015" s="2">
        <v>1.8150897118065099E-2</v>
      </c>
    </row>
    <row r="28016" spans="1:6" x14ac:dyDescent="0.25">
      <c r="A28016" s="1" t="str">
        <f t="shared" si="1005"/>
        <v>38300</v>
      </c>
      <c r="B28016" s="1" t="str">
        <f>"15227"</f>
        <v>15227</v>
      </c>
      <c r="C28016" s="2">
        <v>1.18458510212628E-2</v>
      </c>
      <c r="D28016" s="2">
        <v>6.5228348635640301E-3</v>
      </c>
      <c r="E28016" s="2">
        <v>8.2391760823917592E-3</v>
      </c>
      <c r="F28016" s="2">
        <v>1.13045985534992E-2</v>
      </c>
    </row>
    <row r="28017" spans="1:6" x14ac:dyDescent="0.25">
      <c r="A28017" s="1" t="str">
        <f t="shared" si="1005"/>
        <v>38300</v>
      </c>
      <c r="B28017" s="1" t="str">
        <f>"15232"</f>
        <v>15232</v>
      </c>
      <c r="C28017" s="2">
        <v>6.5677190365306497E-3</v>
      </c>
      <c r="D28017" s="2">
        <v>5.0897878102052702E-3</v>
      </c>
      <c r="E28017" s="2">
        <v>2.7977202279772E-2</v>
      </c>
      <c r="F28017" s="2">
        <v>7.2611116841036199E-3</v>
      </c>
    </row>
    <row r="28018" spans="1:6" x14ac:dyDescent="0.25">
      <c r="A28018" s="1" t="str">
        <f t="shared" si="1005"/>
        <v>38300</v>
      </c>
      <c r="B28018" s="1" t="str">
        <f>"15219"</f>
        <v>15219</v>
      </c>
      <c r="C28018" s="2">
        <v>7.0799858298339702E-3</v>
      </c>
      <c r="D28018" s="2">
        <v>3.0430012946838801E-2</v>
      </c>
      <c r="E28018" s="2">
        <v>2.7977202279772E-2</v>
      </c>
      <c r="F28018" s="2">
        <v>9.6453460753484297E-3</v>
      </c>
    </row>
    <row r="28019" spans="1:6" x14ac:dyDescent="0.25">
      <c r="A28019" s="1" t="str">
        <f t="shared" si="1005"/>
        <v>38300</v>
      </c>
      <c r="B28019" s="1" t="str">
        <f>"15683"</f>
        <v>15683</v>
      </c>
      <c r="C28019" s="2">
        <v>3.5000649890707899E-3</v>
      </c>
      <c r="D28019" s="2">
        <v>3.0044572704900998E-3</v>
      </c>
      <c r="E28019" s="2">
        <v>1.4998500149984999E-3</v>
      </c>
      <c r="F28019" s="2">
        <v>3.3870131121598898E-3</v>
      </c>
    </row>
    <row r="28020" spans="1:6" x14ac:dyDescent="0.25">
      <c r="A28020" s="1" t="str">
        <f t="shared" si="1005"/>
        <v>38300</v>
      </c>
      <c r="B28020" s="1" t="str">
        <f>"15650"</f>
        <v>15650</v>
      </c>
      <c r="C28020" s="2">
        <v>1.1161979099854599E-2</v>
      </c>
      <c r="D28020" s="2">
        <v>1.1701570421908799E-2</v>
      </c>
      <c r="E28020" s="2">
        <v>1.0518948105189401E-2</v>
      </c>
      <c r="F28020" s="2">
        <v>1.1178874794946E-2</v>
      </c>
    </row>
    <row r="28021" spans="1:6" x14ac:dyDescent="0.25">
      <c r="A28021" s="1" t="str">
        <f t="shared" si="1005"/>
        <v>38300</v>
      </c>
      <c r="B28021" s="1" t="str">
        <f>"15661"</f>
        <v>15661</v>
      </c>
      <c r="C28021" s="2">
        <v>2.0048915956813199E-4</v>
      </c>
      <c r="D28021" s="2">
        <v>2.6684324441852801E-4</v>
      </c>
      <c r="E28021" s="2">
        <v>5.9994000599940001E-5</v>
      </c>
      <c r="F28021" s="2">
        <v>2.0025460943199201E-4</v>
      </c>
    </row>
    <row r="28022" spans="1:6" x14ac:dyDescent="0.25">
      <c r="A28022" s="1" t="str">
        <f t="shared" si="1005"/>
        <v>38300</v>
      </c>
      <c r="B28022" s="1" t="str">
        <f>"15665"</f>
        <v>15665</v>
      </c>
      <c r="C28022" s="2">
        <v>4.55348260714064E-4</v>
      </c>
      <c r="D28022" s="2">
        <v>1.18596997519346E-4</v>
      </c>
      <c r="E28022" s="2">
        <v>7.5992400759923996E-4</v>
      </c>
      <c r="F28022" s="2">
        <v>4.4116241025243298E-4</v>
      </c>
    </row>
    <row r="28023" spans="1:6" x14ac:dyDescent="0.25">
      <c r="A28023" s="1" t="str">
        <f t="shared" si="1005"/>
        <v>38300</v>
      </c>
      <c r="B28023" s="1" t="str">
        <f>"15666"</f>
        <v>15666</v>
      </c>
      <c r="C28023" s="2">
        <v>6.7614119534015601E-3</v>
      </c>
      <c r="D28023" s="2">
        <v>7.5210262593518604E-3</v>
      </c>
      <c r="E28023" s="2">
        <v>3.9196080391960802E-3</v>
      </c>
      <c r="F28023" s="2">
        <v>6.7122936003595497E-3</v>
      </c>
    </row>
    <row r="28024" spans="1:6" x14ac:dyDescent="0.25">
      <c r="A28024" s="1" t="str">
        <f t="shared" si="1005"/>
        <v>38300</v>
      </c>
      <c r="B28024" s="1" t="str">
        <f>"15677"</f>
        <v>15677</v>
      </c>
      <c r="C28024" s="2">
        <v>1.99639629230979E-4</v>
      </c>
      <c r="D28024" s="2">
        <v>6.9181581886285196E-5</v>
      </c>
      <c r="E28024" s="2">
        <v>1.999800019998E-5</v>
      </c>
      <c r="F28024" s="2">
        <v>1.8293936124802199E-4</v>
      </c>
    </row>
    <row r="28025" spans="1:6" x14ac:dyDescent="0.25">
      <c r="A28025" s="1" t="str">
        <f t="shared" si="1005"/>
        <v>38300</v>
      </c>
      <c r="B28025" s="1" t="str">
        <f>"16024"</f>
        <v>16024</v>
      </c>
      <c r="C28025" s="2">
        <v>0</v>
      </c>
      <c r="D28025" s="2">
        <v>0</v>
      </c>
      <c r="E28025" s="2">
        <v>1.999800019998E-5</v>
      </c>
      <c r="F28025" s="2">
        <v>7.5283687756387995E-7</v>
      </c>
    </row>
    <row r="28026" spans="1:6" x14ac:dyDescent="0.25">
      <c r="A28026" s="1" t="str">
        <f t="shared" si="1005"/>
        <v>38300</v>
      </c>
      <c r="B28026" s="1" t="str">
        <f>"15096"</f>
        <v>15096</v>
      </c>
      <c r="C28026" s="2">
        <v>0</v>
      </c>
      <c r="D28026" s="2">
        <v>0</v>
      </c>
      <c r="E28026" s="2">
        <v>1.999800019998E-5</v>
      </c>
      <c r="F28026" s="2">
        <v>7.5283687756387995E-7</v>
      </c>
    </row>
    <row r="28027" spans="1:6" x14ac:dyDescent="0.25">
      <c r="A28027" s="1" t="str">
        <f t="shared" si="1005"/>
        <v>38300</v>
      </c>
      <c r="B28027" s="1" t="str">
        <f>"15028"</f>
        <v>15028</v>
      </c>
      <c r="C28027" s="2">
        <v>0</v>
      </c>
      <c r="D28027" s="2">
        <v>0</v>
      </c>
      <c r="E28027" s="2">
        <v>1.999800019998E-5</v>
      </c>
      <c r="F28027" s="2">
        <v>7.5283687756387995E-7</v>
      </c>
    </row>
    <row r="28028" spans="1:6" x14ac:dyDescent="0.25">
      <c r="A28028" s="1" t="str">
        <f t="shared" si="1005"/>
        <v>38300</v>
      </c>
      <c r="B28028" s="1" t="str">
        <f>"15365"</f>
        <v>15365</v>
      </c>
      <c r="C28028" s="2">
        <v>0</v>
      </c>
      <c r="D28028" s="2">
        <v>0</v>
      </c>
      <c r="E28028" s="2">
        <v>1.999800019998E-5</v>
      </c>
      <c r="F28028" s="2">
        <v>7.5283687756387995E-7</v>
      </c>
    </row>
    <row r="28029" spans="1:6" x14ac:dyDescent="0.25">
      <c r="A28029" s="1" t="str">
        <f t="shared" si="1005"/>
        <v>38300</v>
      </c>
      <c r="B28029" s="1" t="str">
        <f>"15265"</f>
        <v>15265</v>
      </c>
      <c r="C28029" s="2">
        <v>0</v>
      </c>
      <c r="D28029" s="2">
        <v>0</v>
      </c>
      <c r="E28029" s="2">
        <v>1.999800019998E-5</v>
      </c>
      <c r="F28029" s="2">
        <v>7.5283687756387995E-7</v>
      </c>
    </row>
    <row r="28030" spans="1:6" x14ac:dyDescent="0.25">
      <c r="A28030" s="1" t="str">
        <f t="shared" si="1005"/>
        <v>38300</v>
      </c>
      <c r="B28030" s="1" t="str">
        <f>"15621"</f>
        <v>15621</v>
      </c>
      <c r="C28030" s="2">
        <v>0</v>
      </c>
      <c r="D28030" s="2">
        <v>0</v>
      </c>
      <c r="E28030" s="2">
        <v>1.999800019998E-5</v>
      </c>
      <c r="F28030" s="2">
        <v>7.5283687756387995E-7</v>
      </c>
    </row>
    <row r="28031" spans="1:6" x14ac:dyDescent="0.25">
      <c r="A28031" s="1" t="str">
        <f t="shared" si="1005"/>
        <v>38300</v>
      </c>
      <c r="B28031" s="1" t="str">
        <f>"15434"</f>
        <v>15434</v>
      </c>
      <c r="C28031" s="2">
        <v>0</v>
      </c>
      <c r="D28031" s="2">
        <v>0</v>
      </c>
      <c r="E28031" s="2">
        <v>5.9994000599940001E-5</v>
      </c>
      <c r="F28031" s="2">
        <v>2.2585106326916402E-6</v>
      </c>
    </row>
    <row r="28032" spans="1:6" x14ac:dyDescent="0.25">
      <c r="A28032" s="1" t="str">
        <f t="shared" si="1005"/>
        <v>38300</v>
      </c>
      <c r="B28032" s="1" t="str">
        <f>"15020"</f>
        <v>15020</v>
      </c>
      <c r="C28032" s="2">
        <v>0</v>
      </c>
      <c r="D28032" s="2">
        <v>0</v>
      </c>
      <c r="E28032" s="2">
        <v>1.999800019998E-5</v>
      </c>
      <c r="F28032" s="2">
        <v>7.5283687756387995E-7</v>
      </c>
    </row>
    <row r="28033" spans="1:6" x14ac:dyDescent="0.25">
      <c r="A28033" s="1" t="str">
        <f t="shared" ref="A28033:A28096" si="1006">"38300"</f>
        <v>38300</v>
      </c>
      <c r="B28033" s="1" t="str">
        <f>"15483"</f>
        <v>15483</v>
      </c>
      <c r="C28033" s="2">
        <v>0</v>
      </c>
      <c r="D28033" s="2">
        <v>0</v>
      </c>
      <c r="E28033" s="2">
        <v>3.9996000399960001E-5</v>
      </c>
      <c r="F28033" s="2">
        <v>1.5056737551277599E-6</v>
      </c>
    </row>
    <row r="28034" spans="1:6" x14ac:dyDescent="0.25">
      <c r="A28034" s="1" t="str">
        <f t="shared" si="1006"/>
        <v>38300</v>
      </c>
      <c r="B28034" s="1" t="str">
        <f>"15635"</f>
        <v>15635</v>
      </c>
      <c r="C28034" s="2">
        <v>8.4953033715310397E-7</v>
      </c>
      <c r="D28034" s="2">
        <v>0</v>
      </c>
      <c r="E28034" s="2">
        <v>3.9996000399960001E-5</v>
      </c>
      <c r="F28034" s="2">
        <v>2.2585106326916402E-6</v>
      </c>
    </row>
    <row r="28035" spans="1:6" x14ac:dyDescent="0.25">
      <c r="A28035" s="1" t="str">
        <f t="shared" si="1006"/>
        <v>38300</v>
      </c>
      <c r="B28035" s="1" t="str">
        <f>"15416"</f>
        <v>15416</v>
      </c>
      <c r="C28035" s="2">
        <v>0</v>
      </c>
      <c r="D28035" s="2">
        <v>0</v>
      </c>
      <c r="E28035" s="2">
        <v>1.3998600139986E-4</v>
      </c>
      <c r="F28035" s="2">
        <v>5.26985814294716E-6</v>
      </c>
    </row>
    <row r="28036" spans="1:6" x14ac:dyDescent="0.25">
      <c r="A28036" s="1" t="str">
        <f t="shared" si="1006"/>
        <v>38300</v>
      </c>
      <c r="B28036" s="1" t="str">
        <f>"15361"</f>
        <v>15361</v>
      </c>
      <c r="C28036" s="2">
        <v>5.4369941577798702E-5</v>
      </c>
      <c r="D28036" s="2">
        <v>1.9766166253224299E-5</v>
      </c>
      <c r="E28036" s="2">
        <v>0</v>
      </c>
      <c r="F28036" s="2">
        <v>4.9687233919216002E-5</v>
      </c>
    </row>
    <row r="28037" spans="1:6" x14ac:dyDescent="0.25">
      <c r="A28037" s="1" t="str">
        <f t="shared" si="1006"/>
        <v>38300</v>
      </c>
      <c r="B28037" s="1" t="str">
        <f>"15644"</f>
        <v>15644</v>
      </c>
      <c r="C28037" s="2">
        <v>8.2013658748760696E-3</v>
      </c>
      <c r="D28037" s="2">
        <v>6.8786258561220701E-3</v>
      </c>
      <c r="E28037" s="2">
        <v>4.0395960403959603E-3</v>
      </c>
      <c r="F28037" s="2">
        <v>7.9439347320540594E-3</v>
      </c>
    </row>
    <row r="28038" spans="1:6" x14ac:dyDescent="0.25">
      <c r="A28038" s="1" t="str">
        <f t="shared" si="1006"/>
        <v>38300</v>
      </c>
      <c r="B28038" s="1" t="str">
        <f>"15204"</f>
        <v>15204</v>
      </c>
      <c r="C28038" s="2">
        <v>3.4983659283964802E-3</v>
      </c>
      <c r="D28038" s="2">
        <v>1.5615271340047199E-3</v>
      </c>
      <c r="E28038" s="2">
        <v>1.6398360163983601E-3</v>
      </c>
      <c r="F28038" s="2">
        <v>3.2808631124233798E-3</v>
      </c>
    </row>
    <row r="28039" spans="1:6" x14ac:dyDescent="0.25">
      <c r="A28039" s="1" t="str">
        <f t="shared" si="1006"/>
        <v>38300</v>
      </c>
      <c r="B28039" s="1" t="str">
        <f>"16040"</f>
        <v>16040</v>
      </c>
      <c r="C28039" s="2">
        <v>3.7209428767305899E-4</v>
      </c>
      <c r="D28039" s="2">
        <v>9.8830831266121706E-5</v>
      </c>
      <c r="E28039" s="2">
        <v>5.9994000599940001E-5</v>
      </c>
      <c r="F28039" s="2">
        <v>3.3952943178130898E-4</v>
      </c>
    </row>
    <row r="28040" spans="1:6" x14ac:dyDescent="0.25">
      <c r="A28040" s="1" t="str">
        <f t="shared" si="1006"/>
        <v>38300</v>
      </c>
      <c r="B28040" s="1" t="str">
        <f>"16002"</f>
        <v>16002</v>
      </c>
      <c r="C28040" s="2">
        <v>5.5202481308208699E-3</v>
      </c>
      <c r="D28040" s="2">
        <v>3.5579099255803799E-3</v>
      </c>
      <c r="E28040" s="2">
        <v>2.83971602839716E-3</v>
      </c>
      <c r="F28040" s="2">
        <v>5.2698581429471598E-3</v>
      </c>
    </row>
    <row r="28041" spans="1:6" x14ac:dyDescent="0.25">
      <c r="A28041" s="1" t="str">
        <f t="shared" si="1006"/>
        <v>38300</v>
      </c>
      <c r="B28041" s="1" t="str">
        <f>"16210"</f>
        <v>16210</v>
      </c>
      <c r="C28041" s="2">
        <v>4.1372127419356198E-4</v>
      </c>
      <c r="D28041" s="2">
        <v>1.68012413152407E-4</v>
      </c>
      <c r="E28041" s="2">
        <v>1.999800019998E-5</v>
      </c>
      <c r="F28041" s="2">
        <v>3.8018262316975903E-4</v>
      </c>
    </row>
    <row r="28042" spans="1:6" x14ac:dyDescent="0.25">
      <c r="A28042" s="1" t="str">
        <f t="shared" si="1006"/>
        <v>38300</v>
      </c>
      <c r="B28042" s="1" t="str">
        <f>"16259"</f>
        <v>16259</v>
      </c>
      <c r="C28042" s="2">
        <v>6.8217286073394298E-4</v>
      </c>
      <c r="D28042" s="2">
        <v>1.68012413152407E-4</v>
      </c>
      <c r="E28042" s="2">
        <v>1.7998200179982E-4</v>
      </c>
      <c r="F28042" s="2">
        <v>6.2410177150045603E-4</v>
      </c>
    </row>
    <row r="28043" spans="1:6" x14ac:dyDescent="0.25">
      <c r="A28043" s="1" t="str">
        <f t="shared" si="1006"/>
        <v>38300</v>
      </c>
      <c r="B28043" s="1" t="str">
        <f>"15366"</f>
        <v>15366</v>
      </c>
      <c r="C28043" s="2">
        <v>0</v>
      </c>
      <c r="D28043" s="2">
        <v>0</v>
      </c>
      <c r="E28043" s="2">
        <v>3.9996000399960001E-5</v>
      </c>
      <c r="F28043" s="2">
        <v>1.5056737551277599E-6</v>
      </c>
    </row>
    <row r="28044" spans="1:6" x14ac:dyDescent="0.25">
      <c r="A28044" s="1" t="str">
        <f t="shared" si="1006"/>
        <v>38300</v>
      </c>
      <c r="B28044" s="1" t="str">
        <f>"15347"</f>
        <v>15347</v>
      </c>
      <c r="C28044" s="2">
        <v>0</v>
      </c>
      <c r="D28044" s="2">
        <v>0</v>
      </c>
      <c r="E28044" s="2">
        <v>5.9994000599940001E-5</v>
      </c>
      <c r="F28044" s="2">
        <v>2.2585106326916402E-6</v>
      </c>
    </row>
    <row r="28045" spans="1:6" x14ac:dyDescent="0.25">
      <c r="A28045" s="1" t="str">
        <f t="shared" si="1006"/>
        <v>38300</v>
      </c>
      <c r="B28045" s="1" t="str">
        <f>"15259"</f>
        <v>15259</v>
      </c>
      <c r="C28045" s="2">
        <v>0</v>
      </c>
      <c r="D28045" s="2">
        <v>0</v>
      </c>
      <c r="E28045" s="2">
        <v>5.9994000599940001E-5</v>
      </c>
      <c r="F28045" s="2">
        <v>2.2585106326916402E-6</v>
      </c>
    </row>
    <row r="28046" spans="1:6" x14ac:dyDescent="0.25">
      <c r="A28046" s="1" t="str">
        <f t="shared" si="1006"/>
        <v>38300</v>
      </c>
      <c r="B28046" s="1" t="str">
        <f>"15262"</f>
        <v>15262</v>
      </c>
      <c r="C28046" s="2">
        <v>0</v>
      </c>
      <c r="D28046" s="2">
        <v>0</v>
      </c>
      <c r="E28046" s="2">
        <v>1.999800019998E-5</v>
      </c>
      <c r="F28046" s="2">
        <v>7.5283687756387995E-7</v>
      </c>
    </row>
    <row r="28047" spans="1:6" x14ac:dyDescent="0.25">
      <c r="A28047" s="1" t="str">
        <f t="shared" si="1006"/>
        <v>38300</v>
      </c>
      <c r="B28047" s="1" t="str">
        <f>"16035"</f>
        <v>16035</v>
      </c>
      <c r="C28047" s="2">
        <v>0</v>
      </c>
      <c r="D28047" s="2">
        <v>0</v>
      </c>
      <c r="E28047" s="2">
        <v>3.9996000399960001E-5</v>
      </c>
      <c r="F28047" s="2">
        <v>1.5056737551277599E-6</v>
      </c>
    </row>
    <row r="28048" spans="1:6" x14ac:dyDescent="0.25">
      <c r="A28048" s="1" t="str">
        <f t="shared" si="1006"/>
        <v>38300</v>
      </c>
      <c r="B28048" s="1" t="str">
        <f>"15696"</f>
        <v>15696</v>
      </c>
      <c r="C28048" s="2">
        <v>0</v>
      </c>
      <c r="D28048" s="2">
        <v>0</v>
      </c>
      <c r="E28048" s="2">
        <v>9.9990000999900002E-5</v>
      </c>
      <c r="F28048" s="2">
        <v>3.7641843878193999E-6</v>
      </c>
    </row>
    <row r="28049" spans="1:6" x14ac:dyDescent="0.25">
      <c r="A28049" s="1" t="str">
        <f t="shared" si="1006"/>
        <v>38300</v>
      </c>
      <c r="B28049" s="1" t="str">
        <f>"15680"</f>
        <v>15680</v>
      </c>
      <c r="C28049" s="2">
        <v>0</v>
      </c>
      <c r="D28049" s="2">
        <v>0</v>
      </c>
      <c r="E28049" s="2">
        <v>2.7997200279972001E-4</v>
      </c>
      <c r="F28049" s="2">
        <v>1.05397162858943E-5</v>
      </c>
    </row>
    <row r="28050" spans="1:6" x14ac:dyDescent="0.25">
      <c r="A28050" s="1" t="str">
        <f t="shared" si="1006"/>
        <v>38300</v>
      </c>
      <c r="B28050" s="1" t="str">
        <f>"15633"</f>
        <v>15633</v>
      </c>
      <c r="C28050" s="2">
        <v>1.6990606743061999E-6</v>
      </c>
      <c r="D28050" s="2">
        <v>0</v>
      </c>
      <c r="E28050" s="2">
        <v>1.999800019998E-5</v>
      </c>
      <c r="F28050" s="2">
        <v>2.2585106326916402E-6</v>
      </c>
    </row>
    <row r="28051" spans="1:6" x14ac:dyDescent="0.25">
      <c r="A28051" s="1" t="str">
        <f t="shared" si="1006"/>
        <v>38300</v>
      </c>
      <c r="B28051" s="1" t="str">
        <f>"15638"</f>
        <v>15638</v>
      </c>
      <c r="C28051" s="2">
        <v>0</v>
      </c>
      <c r="D28051" s="2">
        <v>0</v>
      </c>
      <c r="E28051" s="2">
        <v>3.9996000399960001E-5</v>
      </c>
      <c r="F28051" s="2">
        <v>1.5056737551277599E-6</v>
      </c>
    </row>
    <row r="28052" spans="1:6" x14ac:dyDescent="0.25">
      <c r="A28052" s="1" t="str">
        <f t="shared" si="1006"/>
        <v>38300</v>
      </c>
      <c r="B28052" s="1" t="str">
        <f>"15131"</f>
        <v>15131</v>
      </c>
      <c r="C28052" s="2">
        <v>3.5833189621117898E-3</v>
      </c>
      <c r="D28052" s="2">
        <v>3.4294298449344201E-3</v>
      </c>
      <c r="E28052" s="2">
        <v>2.4997500249975E-3</v>
      </c>
      <c r="F28052" s="2">
        <v>3.5308049557745899E-3</v>
      </c>
    </row>
    <row r="28053" spans="1:6" x14ac:dyDescent="0.25">
      <c r="A28053" s="1" t="str">
        <f t="shared" si="1006"/>
        <v>38300</v>
      </c>
      <c r="B28053" s="1" t="str">
        <f>"15024"</f>
        <v>15024</v>
      </c>
      <c r="C28053" s="2">
        <v>3.4618361238989001E-3</v>
      </c>
      <c r="D28053" s="2">
        <v>2.63878319480545E-3</v>
      </c>
      <c r="E28053" s="2">
        <v>1.2998700129987001E-3</v>
      </c>
      <c r="F28053" s="2">
        <v>3.3177521194240099E-3</v>
      </c>
    </row>
    <row r="28054" spans="1:6" x14ac:dyDescent="0.25">
      <c r="A28054" s="1" t="str">
        <f t="shared" si="1006"/>
        <v>38300</v>
      </c>
      <c r="B28054" s="1" t="str">
        <f>"15033"</f>
        <v>15033</v>
      </c>
      <c r="C28054" s="2">
        <v>2.4865752968471302E-3</v>
      </c>
      <c r="D28054" s="2">
        <v>2.48065386477965E-3</v>
      </c>
      <c r="E28054" s="2">
        <v>2.7797220277972199E-3</v>
      </c>
      <c r="F28054" s="2">
        <v>2.4971599228793902E-3</v>
      </c>
    </row>
    <row r="28055" spans="1:6" x14ac:dyDescent="0.25">
      <c r="A28055" s="1" t="str">
        <f t="shared" si="1006"/>
        <v>38300</v>
      </c>
      <c r="B28055" s="1" t="str">
        <f>"15014"</f>
        <v>15014</v>
      </c>
      <c r="C28055" s="2">
        <v>1.3957783439425501E-3</v>
      </c>
      <c r="D28055" s="2">
        <v>8.8947748139509605E-4</v>
      </c>
      <c r="E28055" s="2">
        <v>1.5198480151984799E-3</v>
      </c>
      <c r="F28055" s="2">
        <v>1.3618819115130501E-3</v>
      </c>
    </row>
    <row r="28056" spans="1:6" x14ac:dyDescent="0.25">
      <c r="A28056" s="1" t="str">
        <f t="shared" si="1006"/>
        <v>38300</v>
      </c>
      <c r="B28056" s="1" t="str">
        <f>"15018"</f>
        <v>15018</v>
      </c>
      <c r="C28056" s="2">
        <v>2.8799078429490198E-4</v>
      </c>
      <c r="D28056" s="2">
        <v>9.8830831266121706E-5</v>
      </c>
      <c r="E28056" s="2">
        <v>0</v>
      </c>
      <c r="F28056" s="2">
        <v>2.6274007026979402E-4</v>
      </c>
    </row>
    <row r="28057" spans="1:6" x14ac:dyDescent="0.25">
      <c r="A28057" s="1" t="str">
        <f t="shared" si="1006"/>
        <v>38300</v>
      </c>
      <c r="B28057" s="1" t="str">
        <f>"15076"</f>
        <v>15076</v>
      </c>
      <c r="C28057" s="2">
        <v>3.9248301576473398E-4</v>
      </c>
      <c r="D28057" s="2">
        <v>1.9766166253224301E-4</v>
      </c>
      <c r="E28057" s="2">
        <v>9.9990000999900002E-5</v>
      </c>
      <c r="F28057" s="2">
        <v>3.6663155937360898E-4</v>
      </c>
    </row>
    <row r="28058" spans="1:6" x14ac:dyDescent="0.25">
      <c r="A28058" s="1" t="str">
        <f t="shared" si="1006"/>
        <v>38300</v>
      </c>
      <c r="B28058" s="1" t="str">
        <f>"15038"</f>
        <v>15038</v>
      </c>
      <c r="C28058" s="2">
        <v>0</v>
      </c>
      <c r="D28058" s="2">
        <v>0</v>
      </c>
      <c r="E28058" s="2">
        <v>3.9996000399960001E-5</v>
      </c>
      <c r="F28058" s="2">
        <v>1.5056737551277599E-6</v>
      </c>
    </row>
    <row r="28059" spans="1:6" x14ac:dyDescent="0.25">
      <c r="A28059" s="1" t="str">
        <f t="shared" si="1006"/>
        <v>38300</v>
      </c>
      <c r="B28059" s="1" t="str">
        <f>"15482"</f>
        <v>15482</v>
      </c>
      <c r="C28059" s="2">
        <v>0</v>
      </c>
      <c r="D28059" s="2">
        <v>0</v>
      </c>
      <c r="E28059" s="2">
        <v>1.5998400159984E-4</v>
      </c>
      <c r="F28059" s="2">
        <v>6.0226950205110396E-6</v>
      </c>
    </row>
    <row r="28060" spans="1:6" x14ac:dyDescent="0.25">
      <c r="A28060" s="1" t="str">
        <f t="shared" si="1006"/>
        <v>38300</v>
      </c>
      <c r="B28060" s="1" t="str">
        <f>"16261"</f>
        <v>16261</v>
      </c>
      <c r="C28060" s="2">
        <v>8.4953033715310397E-7</v>
      </c>
      <c r="D28060" s="2">
        <v>0</v>
      </c>
      <c r="E28060" s="2">
        <v>0</v>
      </c>
      <c r="F28060" s="2">
        <v>7.5283687756387995E-7</v>
      </c>
    </row>
    <row r="28061" spans="1:6" x14ac:dyDescent="0.25">
      <c r="A28061" s="1" t="str">
        <f t="shared" si="1006"/>
        <v>38300</v>
      </c>
      <c r="B28061" s="1" t="str">
        <f>"15447"</f>
        <v>15447</v>
      </c>
      <c r="C28061" s="2">
        <v>0</v>
      </c>
      <c r="D28061" s="2">
        <v>0</v>
      </c>
      <c r="E28061" s="2">
        <v>3.9996000399960001E-5</v>
      </c>
      <c r="F28061" s="2">
        <v>1.5056737551277599E-6</v>
      </c>
    </row>
    <row r="28062" spans="1:6" x14ac:dyDescent="0.25">
      <c r="A28062" s="1" t="str">
        <f t="shared" si="1006"/>
        <v>38300</v>
      </c>
      <c r="B28062" s="1" t="str">
        <f>"15368"</f>
        <v>15368</v>
      </c>
      <c r="C28062" s="2">
        <v>0</v>
      </c>
      <c r="D28062" s="2">
        <v>0</v>
      </c>
      <c r="E28062" s="2">
        <v>3.9996000399960001E-5</v>
      </c>
      <c r="F28062" s="2">
        <v>1.5056737551277599E-6</v>
      </c>
    </row>
    <row r="28063" spans="1:6" x14ac:dyDescent="0.25">
      <c r="A28063" s="1" t="str">
        <f t="shared" si="1006"/>
        <v>38300</v>
      </c>
      <c r="B28063" s="1" t="str">
        <f>"16238"</f>
        <v>16238</v>
      </c>
      <c r="C28063" s="2">
        <v>2.5485910114593101E-6</v>
      </c>
      <c r="D28063" s="2">
        <v>0</v>
      </c>
      <c r="E28063" s="2">
        <v>1.999800019998E-5</v>
      </c>
      <c r="F28063" s="2">
        <v>3.0113475102555198E-6</v>
      </c>
    </row>
    <row r="28064" spans="1:6" x14ac:dyDescent="0.25">
      <c r="A28064" s="1" t="str">
        <f t="shared" si="1006"/>
        <v>38300</v>
      </c>
      <c r="B28064" s="1" t="str">
        <f>"15455"</f>
        <v>15455</v>
      </c>
      <c r="C28064" s="2">
        <v>0</v>
      </c>
      <c r="D28064" s="2">
        <v>0</v>
      </c>
      <c r="E28064" s="2">
        <v>9.9990000999900002E-5</v>
      </c>
      <c r="F28064" s="2">
        <v>3.7641843878193999E-6</v>
      </c>
    </row>
    <row r="28065" spans="1:6" x14ac:dyDescent="0.25">
      <c r="A28065" s="1" t="str">
        <f t="shared" si="1006"/>
        <v>38300</v>
      </c>
      <c r="B28065" s="1" t="str">
        <f>"15370"</f>
        <v>15370</v>
      </c>
      <c r="C28065" s="2">
        <v>9.34483370868415E-6</v>
      </c>
      <c r="D28065" s="2">
        <v>0</v>
      </c>
      <c r="E28065" s="2">
        <v>0</v>
      </c>
      <c r="F28065" s="2">
        <v>8.2812056532026794E-6</v>
      </c>
    </row>
    <row r="28066" spans="1:6" x14ac:dyDescent="0.25">
      <c r="A28066" s="1" t="str">
        <f t="shared" si="1006"/>
        <v>38300</v>
      </c>
      <c r="B28066" s="1" t="str">
        <f>"15432"</f>
        <v>15432</v>
      </c>
      <c r="C28066" s="2">
        <v>0</v>
      </c>
      <c r="D28066" s="2">
        <v>0</v>
      </c>
      <c r="E28066" s="2">
        <v>5.9994000599940001E-5</v>
      </c>
      <c r="F28066" s="2">
        <v>2.2585106326916402E-6</v>
      </c>
    </row>
    <row r="28067" spans="1:6" x14ac:dyDescent="0.25">
      <c r="A28067" s="1" t="str">
        <f t="shared" si="1006"/>
        <v>38300</v>
      </c>
      <c r="B28067" s="1" t="str">
        <f>"15463"</f>
        <v>15463</v>
      </c>
      <c r="C28067" s="2">
        <v>0</v>
      </c>
      <c r="D28067" s="2">
        <v>0</v>
      </c>
      <c r="E28067" s="2">
        <v>1.999800019998E-5</v>
      </c>
      <c r="F28067" s="2">
        <v>7.5283687756387995E-7</v>
      </c>
    </row>
    <row r="28068" spans="1:6" x14ac:dyDescent="0.25">
      <c r="A28068" s="1" t="str">
        <f t="shared" si="1006"/>
        <v>38300</v>
      </c>
      <c r="B28068" s="1" t="str">
        <f>"15484"</f>
        <v>15484</v>
      </c>
      <c r="C28068" s="2">
        <v>0</v>
      </c>
      <c r="D28068" s="2">
        <v>0</v>
      </c>
      <c r="E28068" s="2">
        <v>4.7995200479952001E-4</v>
      </c>
      <c r="F28068" s="2">
        <v>1.8068085061533101E-5</v>
      </c>
    </row>
    <row r="28069" spans="1:6" x14ac:dyDescent="0.25">
      <c r="A28069" s="1" t="str">
        <f t="shared" si="1006"/>
        <v>38300</v>
      </c>
      <c r="B28069" s="1" t="str">
        <f>"15095"</f>
        <v>15095</v>
      </c>
      <c r="C28069" s="2">
        <v>0</v>
      </c>
      <c r="D28069" s="2">
        <v>9.8830831266121696E-6</v>
      </c>
      <c r="E28069" s="2">
        <v>0</v>
      </c>
      <c r="F28069" s="2">
        <v>7.5283687756387995E-7</v>
      </c>
    </row>
    <row r="28070" spans="1:6" x14ac:dyDescent="0.25">
      <c r="A28070" s="1" t="str">
        <f t="shared" si="1006"/>
        <v>38300</v>
      </c>
      <c r="B28070" s="1" t="str">
        <f>"15557"</f>
        <v>15557</v>
      </c>
      <c r="C28070" s="2">
        <v>7.6457730343779401E-6</v>
      </c>
      <c r="D28070" s="2">
        <v>9.8830831266121696E-6</v>
      </c>
      <c r="E28070" s="2">
        <v>0</v>
      </c>
      <c r="F28070" s="2">
        <v>7.5283687756387998E-6</v>
      </c>
    </row>
    <row r="28071" spans="1:6" x14ac:dyDescent="0.25">
      <c r="A28071" s="1" t="str">
        <f t="shared" si="1006"/>
        <v>38300</v>
      </c>
      <c r="B28071" s="1" t="str">
        <f>"15430"</f>
        <v>15430</v>
      </c>
      <c r="C28071" s="2">
        <v>0</v>
      </c>
      <c r="D28071" s="2">
        <v>0</v>
      </c>
      <c r="E28071" s="2">
        <v>1.1998800119988E-4</v>
      </c>
      <c r="F28071" s="2">
        <v>4.5170212653832804E-6</v>
      </c>
    </row>
    <row r="28072" spans="1:6" x14ac:dyDescent="0.25">
      <c r="A28072" s="1" t="str">
        <f t="shared" si="1006"/>
        <v>38300</v>
      </c>
      <c r="B28072" s="1" t="str">
        <f>"15055"</f>
        <v>15055</v>
      </c>
      <c r="C28072" s="2">
        <v>3.9248301576473398E-4</v>
      </c>
      <c r="D28072" s="2">
        <v>1.9766166253224299E-5</v>
      </c>
      <c r="E28072" s="2">
        <v>5.9994000599940001E-5</v>
      </c>
      <c r="F28072" s="2">
        <v>3.5157482182233198E-4</v>
      </c>
    </row>
    <row r="28073" spans="1:6" x14ac:dyDescent="0.25">
      <c r="A28073" s="1" t="str">
        <f t="shared" si="1006"/>
        <v>38300</v>
      </c>
      <c r="B28073" s="1" t="str">
        <f>"15324"</f>
        <v>15324</v>
      </c>
      <c r="C28073" s="2">
        <v>0</v>
      </c>
      <c r="D28073" s="2">
        <v>0</v>
      </c>
      <c r="E28073" s="2">
        <v>1.5998400159984E-4</v>
      </c>
      <c r="F28073" s="2">
        <v>6.0226950205110396E-6</v>
      </c>
    </row>
    <row r="28074" spans="1:6" x14ac:dyDescent="0.25">
      <c r="A28074" s="1" t="str">
        <f t="shared" si="1006"/>
        <v>38300</v>
      </c>
      <c r="B28074" s="1" t="str">
        <f>"15275"</f>
        <v>15275</v>
      </c>
      <c r="C28074" s="2">
        <v>0</v>
      </c>
      <c r="D28074" s="2">
        <v>2.5696016129191598E-3</v>
      </c>
      <c r="E28074" s="2">
        <v>4.7995200479952001E-4</v>
      </c>
      <c r="F28074" s="2">
        <v>2.13805673228141E-4</v>
      </c>
    </row>
    <row r="28075" spans="1:6" x14ac:dyDescent="0.25">
      <c r="A28075" s="1" t="str">
        <f t="shared" si="1006"/>
        <v>38300</v>
      </c>
      <c r="B28075" s="1" t="str">
        <f>"15628"</f>
        <v>15628</v>
      </c>
      <c r="C28075" s="2">
        <v>2.49761919123012E-4</v>
      </c>
      <c r="D28075" s="2">
        <v>3.2614174317820101E-4</v>
      </c>
      <c r="E28075" s="2">
        <v>5.9994000599940001E-5</v>
      </c>
      <c r="F28075" s="2">
        <v>2.4843616959608001E-4</v>
      </c>
    </row>
    <row r="28076" spans="1:6" x14ac:dyDescent="0.25">
      <c r="A28076" s="1" t="str">
        <f t="shared" si="1006"/>
        <v>38300</v>
      </c>
      <c r="B28076" s="1" t="str">
        <f>"15424"</f>
        <v>15424</v>
      </c>
      <c r="C28076" s="2">
        <v>3.0837951238657702E-4</v>
      </c>
      <c r="D28076" s="2">
        <v>7.9064665012897398E-5</v>
      </c>
      <c r="E28076" s="2">
        <v>1.999800019998E-4</v>
      </c>
      <c r="F28076" s="2">
        <v>2.8683085035183801E-4</v>
      </c>
    </row>
    <row r="28077" spans="1:6" x14ac:dyDescent="0.25">
      <c r="A28077" s="1" t="str">
        <f t="shared" si="1006"/>
        <v>38300</v>
      </c>
      <c r="B28077" s="1" t="str">
        <f>"16034"</f>
        <v>16034</v>
      </c>
      <c r="C28077" s="2">
        <v>6.7537661803671804E-4</v>
      </c>
      <c r="D28077" s="2">
        <v>3.2614174317820101E-4</v>
      </c>
      <c r="E28077" s="2">
        <v>2.3997600239976E-4</v>
      </c>
      <c r="F28077" s="2">
        <v>6.32382977153659E-4</v>
      </c>
    </row>
    <row r="28078" spans="1:6" x14ac:dyDescent="0.25">
      <c r="A28078" s="1" t="str">
        <f t="shared" si="1006"/>
        <v>38300</v>
      </c>
      <c r="B28078" s="1" t="str">
        <f>"15136"</f>
        <v>15136</v>
      </c>
      <c r="C28078" s="2">
        <v>9.9896272345833606E-3</v>
      </c>
      <c r="D28078" s="2">
        <v>9.4877598015476895E-3</v>
      </c>
      <c r="E28078" s="2">
        <v>1.27987201279872E-2</v>
      </c>
      <c r="F28078" s="2">
        <v>1.00571478473758E-2</v>
      </c>
    </row>
    <row r="28079" spans="1:6" x14ac:dyDescent="0.25">
      <c r="A28079" s="1" t="str">
        <f t="shared" si="1006"/>
        <v>38300</v>
      </c>
      <c r="B28079" s="1" t="str">
        <f>"15126"</f>
        <v>15126</v>
      </c>
      <c r="C28079" s="2">
        <v>2.9334282541896698E-3</v>
      </c>
      <c r="D28079" s="2">
        <v>2.3917061166401402E-3</v>
      </c>
      <c r="E28079" s="2">
        <v>1.4998500149984999E-3</v>
      </c>
      <c r="F28079" s="2">
        <v>2.83819502841582E-3</v>
      </c>
    </row>
    <row r="28080" spans="1:6" x14ac:dyDescent="0.25">
      <c r="A28080" s="1" t="str">
        <f t="shared" si="1006"/>
        <v>38300</v>
      </c>
      <c r="B28080" s="1" t="str">
        <f>"15110"</f>
        <v>15110</v>
      </c>
      <c r="C28080" s="2">
        <v>2.9274815418295899E-3</v>
      </c>
      <c r="D28080" s="2">
        <v>2.2138106203611202E-3</v>
      </c>
      <c r="E28080" s="2">
        <v>3.6196380361963802E-3</v>
      </c>
      <c r="F28080" s="2">
        <v>2.8991748154984999E-3</v>
      </c>
    </row>
    <row r="28081" spans="1:6" x14ac:dyDescent="0.25">
      <c r="A28081" s="1" t="str">
        <f t="shared" si="1006"/>
        <v>38300</v>
      </c>
      <c r="B28081" s="1" t="str">
        <f>"15127"</f>
        <v>15127</v>
      </c>
      <c r="C28081" s="2">
        <v>3.1092810339803598E-4</v>
      </c>
      <c r="D28081" s="2">
        <v>1.6208256327643899E-3</v>
      </c>
      <c r="E28081" s="2">
        <v>0</v>
      </c>
      <c r="F28081" s="2">
        <v>3.9900354510885599E-4</v>
      </c>
    </row>
    <row r="28082" spans="1:6" x14ac:dyDescent="0.25">
      <c r="A28082" s="1" t="str">
        <f t="shared" si="1006"/>
        <v>38300</v>
      </c>
      <c r="B28082" s="1" t="str">
        <f>"15044"</f>
        <v>15044</v>
      </c>
      <c r="C28082" s="2">
        <v>1.0517185573955401E-2</v>
      </c>
      <c r="D28082" s="2">
        <v>7.2640660980599504E-3</v>
      </c>
      <c r="E28082" s="2">
        <v>2.6197380261973801E-3</v>
      </c>
      <c r="F28082" s="2">
        <v>9.9720772802111505E-3</v>
      </c>
    </row>
    <row r="28083" spans="1:6" x14ac:dyDescent="0.25">
      <c r="A28083" s="1" t="str">
        <f t="shared" si="1006"/>
        <v>38300</v>
      </c>
      <c r="B28083" s="1" t="str">
        <f>"15017"</f>
        <v>15017</v>
      </c>
      <c r="C28083" s="2">
        <v>7.4240456163809799E-3</v>
      </c>
      <c r="D28083" s="2">
        <v>1.17608689206684E-2</v>
      </c>
      <c r="E28083" s="2">
        <v>8.2791720827917192E-3</v>
      </c>
      <c r="F28083" s="2">
        <v>7.7865918246432103E-3</v>
      </c>
    </row>
    <row r="28084" spans="1:6" x14ac:dyDescent="0.25">
      <c r="A28084" s="1" t="str">
        <f t="shared" si="1006"/>
        <v>38300</v>
      </c>
      <c r="B28084" s="1" t="str">
        <f>"15045"</f>
        <v>15045</v>
      </c>
      <c r="C28084" s="2">
        <v>2.0643587192820398E-3</v>
      </c>
      <c r="D28084" s="2">
        <v>1.4725793858652099E-3</v>
      </c>
      <c r="E28084" s="2">
        <v>2.53974602539746E-3</v>
      </c>
      <c r="F28084" s="2">
        <v>2.0371765906878501E-3</v>
      </c>
    </row>
    <row r="28085" spans="1:6" x14ac:dyDescent="0.25">
      <c r="A28085" s="1" t="str">
        <f t="shared" si="1006"/>
        <v>38300</v>
      </c>
      <c r="B28085" s="1" t="str">
        <f>"15089"</f>
        <v>15089</v>
      </c>
      <c r="C28085" s="2">
        <v>2.7847604451878699E-3</v>
      </c>
      <c r="D28085" s="2">
        <v>2.0359151240821002E-3</v>
      </c>
      <c r="E28085" s="2">
        <v>9.9990000999900007E-4</v>
      </c>
      <c r="F28085" s="2">
        <v>2.6605255253107502E-3</v>
      </c>
    </row>
    <row r="28086" spans="1:6" x14ac:dyDescent="0.25">
      <c r="A28086" s="1" t="str">
        <f t="shared" si="1006"/>
        <v>38300</v>
      </c>
      <c r="B28086" s="1" t="str">
        <f>"15239"</f>
        <v>15239</v>
      </c>
      <c r="C28086" s="2">
        <v>7.7901931916939697E-3</v>
      </c>
      <c r="D28086" s="2">
        <v>5.8705513772076296E-3</v>
      </c>
      <c r="E28086" s="2">
        <v>5.8194180581941802E-3</v>
      </c>
      <c r="F28086" s="2">
        <v>7.5697748039048104E-3</v>
      </c>
    </row>
    <row r="28087" spans="1:6" x14ac:dyDescent="0.25">
      <c r="A28087" s="1" t="str">
        <f t="shared" si="1006"/>
        <v>38300</v>
      </c>
      <c r="B28087" s="1" t="str">
        <f>"15228"</f>
        <v>15228</v>
      </c>
      <c r="C28087" s="2">
        <v>6.6815561017091697E-3</v>
      </c>
      <c r="D28087" s="2">
        <v>5.2083848077246102E-3</v>
      </c>
      <c r="E28087" s="2">
        <v>6.9993000699930001E-3</v>
      </c>
      <c r="F28087" s="2">
        <v>6.5812999836634299E-3</v>
      </c>
    </row>
    <row r="28088" spans="1:6" x14ac:dyDescent="0.25">
      <c r="A28088" s="1" t="str">
        <f t="shared" si="1006"/>
        <v>38300</v>
      </c>
      <c r="B28088" s="1" t="str">
        <f>"15233"</f>
        <v>15233</v>
      </c>
      <c r="C28088" s="2">
        <v>1.93523010803477E-3</v>
      </c>
      <c r="D28088" s="2">
        <v>7.2838322643131699E-3</v>
      </c>
      <c r="E28088" s="2">
        <v>6.33936606339366E-3</v>
      </c>
      <c r="F28088" s="2">
        <v>2.5084524760428401E-3</v>
      </c>
    </row>
    <row r="28089" spans="1:6" x14ac:dyDescent="0.25">
      <c r="A28089" s="1" t="str">
        <f t="shared" si="1006"/>
        <v>38300</v>
      </c>
      <c r="B28089" s="1" t="str">
        <f>"15222"</f>
        <v>15222</v>
      </c>
      <c r="C28089" s="2">
        <v>3.5833189621117898E-3</v>
      </c>
      <c r="D28089" s="2">
        <v>3.0489311445598501E-2</v>
      </c>
      <c r="E28089" s="2">
        <v>1.0558944105589401E-2</v>
      </c>
      <c r="F28089" s="2">
        <v>5.8954655882027399E-3</v>
      </c>
    </row>
    <row r="28090" spans="1:6" x14ac:dyDescent="0.25">
      <c r="A28090" s="1" t="str">
        <f t="shared" si="1006"/>
        <v>38300</v>
      </c>
      <c r="B28090" s="1" t="str">
        <f>"15697"</f>
        <v>15697</v>
      </c>
      <c r="C28090" s="2">
        <v>1.3974774046168501E-3</v>
      </c>
      <c r="D28090" s="2">
        <v>1.9667335421958199E-3</v>
      </c>
      <c r="E28090" s="2">
        <v>1.9998000199980001E-3</v>
      </c>
      <c r="F28090" s="2">
        <v>1.4635148899841801E-3</v>
      </c>
    </row>
    <row r="28091" spans="1:6" x14ac:dyDescent="0.25">
      <c r="A28091" s="1" t="str">
        <f t="shared" si="1006"/>
        <v>38300</v>
      </c>
      <c r="B28091" s="1" t="str">
        <f>"15147"</f>
        <v>15147</v>
      </c>
      <c r="C28091" s="2">
        <v>7.4767164972844701E-3</v>
      </c>
      <c r="D28091" s="2">
        <v>4.1410118300504997E-3</v>
      </c>
      <c r="E28091" s="2">
        <v>3.7196280371962799E-3</v>
      </c>
      <c r="F28091" s="2">
        <v>7.0811836703658501E-3</v>
      </c>
    </row>
    <row r="28092" spans="1:6" x14ac:dyDescent="0.25">
      <c r="A28092" s="1" t="str">
        <f t="shared" si="1006"/>
        <v>38300</v>
      </c>
      <c r="B28092" s="1" t="str">
        <f>"15144"</f>
        <v>15144</v>
      </c>
      <c r="C28092" s="2">
        <v>1.7763679349871401E-3</v>
      </c>
      <c r="D28092" s="2">
        <v>1.4330470533587599E-3</v>
      </c>
      <c r="E28092" s="2">
        <v>1.6198380161983801E-3</v>
      </c>
      <c r="F28092" s="2">
        <v>1.7443230453155099E-3</v>
      </c>
    </row>
    <row r="28093" spans="1:6" x14ac:dyDescent="0.25">
      <c r="A28093" s="1" t="str">
        <f t="shared" si="1006"/>
        <v>38300</v>
      </c>
      <c r="B28093" s="1" t="str">
        <f>"15473"</f>
        <v>15473</v>
      </c>
      <c r="C28093" s="2">
        <v>1.2802422180897199E-3</v>
      </c>
      <c r="D28093" s="2">
        <v>5.9298498759673005E-4</v>
      </c>
      <c r="E28093" s="2">
        <v>5.1994800519947996E-4</v>
      </c>
      <c r="F28093" s="2">
        <v>1.1992691459592601E-3</v>
      </c>
    </row>
    <row r="28094" spans="1:6" x14ac:dyDescent="0.25">
      <c r="A28094" s="1" t="str">
        <f t="shared" si="1006"/>
        <v>38300</v>
      </c>
      <c r="B28094" s="1" t="str">
        <f>"15454"</f>
        <v>15454</v>
      </c>
      <c r="C28094" s="2">
        <v>0</v>
      </c>
      <c r="D28094" s="2">
        <v>0</v>
      </c>
      <c r="E28094" s="2">
        <v>1.1998800119988E-4</v>
      </c>
      <c r="F28094" s="2">
        <v>4.5170212653832804E-6</v>
      </c>
    </row>
    <row r="28095" spans="1:6" x14ac:dyDescent="0.25">
      <c r="A28095" s="1" t="str">
        <f t="shared" si="1006"/>
        <v>38300</v>
      </c>
      <c r="B28095" s="1" t="str">
        <f>"15427"</f>
        <v>15427</v>
      </c>
      <c r="C28095" s="2">
        <v>4.4430436633107297E-4</v>
      </c>
      <c r="D28095" s="2">
        <v>1.48246246899182E-4</v>
      </c>
      <c r="E28095" s="2">
        <v>0</v>
      </c>
      <c r="F28095" s="2">
        <v>4.0502624012936697E-4</v>
      </c>
    </row>
    <row r="28096" spans="1:6" x14ac:dyDescent="0.25">
      <c r="A28096" s="1" t="str">
        <f t="shared" si="1006"/>
        <v>38300</v>
      </c>
      <c r="B28096" s="1" t="str">
        <f>"15428"</f>
        <v>15428</v>
      </c>
      <c r="C28096" s="2">
        <v>5.2925740004638403E-4</v>
      </c>
      <c r="D28096" s="2">
        <v>2.0754474565885499E-4</v>
      </c>
      <c r="E28096" s="2">
        <v>7.1992800719928001E-4</v>
      </c>
      <c r="F28096" s="2">
        <v>5.1192907674343804E-4</v>
      </c>
    </row>
    <row r="28097" spans="1:6" x14ac:dyDescent="0.25">
      <c r="A28097" s="1" t="str">
        <f t="shared" ref="A28097:A28160" si="1007">"38300"</f>
        <v>38300</v>
      </c>
      <c r="B28097" s="1" t="str">
        <f>"16057"</f>
        <v>16057</v>
      </c>
      <c r="C28097" s="2">
        <v>4.5475358947805701E-3</v>
      </c>
      <c r="D28097" s="2">
        <v>2.4905369479062598E-3</v>
      </c>
      <c r="E28097" s="2">
        <v>3.81961803819618E-3</v>
      </c>
      <c r="F28097" s="2">
        <v>4.3634425423602404E-3</v>
      </c>
    </row>
    <row r="28098" spans="1:6" x14ac:dyDescent="0.25">
      <c r="A28098" s="1" t="str">
        <f t="shared" si="1007"/>
        <v>38300</v>
      </c>
      <c r="B28098" s="1" t="str">
        <f>"16033"</f>
        <v>16033</v>
      </c>
      <c r="C28098" s="2">
        <v>2.6496851215805301E-3</v>
      </c>
      <c r="D28098" s="2">
        <v>1.8184872952966399E-3</v>
      </c>
      <c r="E28098" s="2">
        <v>1.7798220177982201E-3</v>
      </c>
      <c r="F28098" s="2">
        <v>2.5536226886966802E-3</v>
      </c>
    </row>
    <row r="28099" spans="1:6" x14ac:dyDescent="0.25">
      <c r="A28099" s="1" t="str">
        <f t="shared" si="1007"/>
        <v>38300</v>
      </c>
      <c r="B28099" s="1" t="str">
        <f>"16050"</f>
        <v>16050</v>
      </c>
      <c r="C28099" s="2">
        <v>4.7063980678281999E-4</v>
      </c>
      <c r="D28099" s="2">
        <v>1.28480080645958E-4</v>
      </c>
      <c r="E28099" s="2">
        <v>1.1998800119988E-4</v>
      </c>
      <c r="F28099" s="2">
        <v>4.3137553084410301E-4</v>
      </c>
    </row>
    <row r="28100" spans="1:6" x14ac:dyDescent="0.25">
      <c r="A28100" s="1" t="str">
        <f t="shared" si="1007"/>
        <v>38300</v>
      </c>
      <c r="B28100" s="1" t="str">
        <f>"16045"</f>
        <v>16045</v>
      </c>
      <c r="C28100" s="2">
        <v>5.7768062926411099E-4</v>
      </c>
      <c r="D28100" s="2">
        <v>8.10412816382198E-4</v>
      </c>
      <c r="E28100" s="2">
        <v>1.25987401259874E-3</v>
      </c>
      <c r="F28100" s="2">
        <v>6.2109042399020105E-4</v>
      </c>
    </row>
    <row r="28101" spans="1:6" x14ac:dyDescent="0.25">
      <c r="A28101" s="1" t="str">
        <f t="shared" si="1007"/>
        <v>38300</v>
      </c>
      <c r="B28101" s="1" t="str">
        <f>"16051"</f>
        <v>16051</v>
      </c>
      <c r="C28101" s="2">
        <v>7.9346133490099905E-4</v>
      </c>
      <c r="D28101" s="2">
        <v>7.3134815136930104E-4</v>
      </c>
      <c r="E28101" s="2">
        <v>1.3998600139986E-4</v>
      </c>
      <c r="F28101" s="2">
        <v>7.6412943072733802E-4</v>
      </c>
    </row>
    <row r="28102" spans="1:6" x14ac:dyDescent="0.25">
      <c r="A28102" s="1" t="str">
        <f t="shared" si="1007"/>
        <v>38300</v>
      </c>
      <c r="B28102" s="1" t="str">
        <f>"16025"</f>
        <v>16025</v>
      </c>
      <c r="C28102" s="2">
        <v>1.78231464734721E-3</v>
      </c>
      <c r="D28102" s="2">
        <v>5.8310190447011798E-4</v>
      </c>
      <c r="E28102" s="2">
        <v>4.5995400459953998E-4</v>
      </c>
      <c r="F28102" s="2">
        <v>1.6411843930892499E-3</v>
      </c>
    </row>
    <row r="28103" spans="1:6" x14ac:dyDescent="0.25">
      <c r="A28103" s="1" t="str">
        <f t="shared" si="1007"/>
        <v>38300</v>
      </c>
      <c r="B28103" s="1" t="str">
        <f>"15944"</f>
        <v>15944</v>
      </c>
      <c r="C28103" s="2">
        <v>7.87514622540928E-4</v>
      </c>
      <c r="D28103" s="2">
        <v>3.2614174317820101E-4</v>
      </c>
      <c r="E28103" s="2">
        <v>9.9990000999900002E-5</v>
      </c>
      <c r="F28103" s="2">
        <v>7.2648758684914399E-4</v>
      </c>
    </row>
    <row r="28104" spans="1:6" x14ac:dyDescent="0.25">
      <c r="A28104" s="1" t="str">
        <f t="shared" si="1007"/>
        <v>38300</v>
      </c>
      <c r="B28104" s="1" t="str">
        <f>"16226"</f>
        <v>16226</v>
      </c>
      <c r="C28104" s="2">
        <v>3.55358540031143E-3</v>
      </c>
      <c r="D28104" s="2">
        <v>2.7870294417046298E-3</v>
      </c>
      <c r="E28104" s="2">
        <v>2.6397360263973602E-3</v>
      </c>
      <c r="F28104" s="2">
        <v>3.4607911261611501E-3</v>
      </c>
    </row>
    <row r="28105" spans="1:6" x14ac:dyDescent="0.25">
      <c r="A28105" s="1" t="str">
        <f t="shared" si="1007"/>
        <v>38300</v>
      </c>
      <c r="B28105" s="1" t="str">
        <f>"16262"</f>
        <v>16262</v>
      </c>
      <c r="C28105" s="2">
        <v>9.97348615817745E-4</v>
      </c>
      <c r="D28105" s="2">
        <v>4.9415415633060798E-4</v>
      </c>
      <c r="E28105" s="2">
        <v>3.3996600339965998E-4</v>
      </c>
      <c r="F28105" s="2">
        <v>9.3427056505677498E-4</v>
      </c>
    </row>
    <row r="28106" spans="1:6" x14ac:dyDescent="0.25">
      <c r="A28106" s="1" t="str">
        <f t="shared" si="1007"/>
        <v>38300</v>
      </c>
      <c r="B28106" s="1" t="str">
        <f>"15120"</f>
        <v>15120</v>
      </c>
      <c r="C28106" s="2">
        <v>8.7646044884085797E-3</v>
      </c>
      <c r="D28106" s="2">
        <v>7.4320785112123502E-3</v>
      </c>
      <c r="E28106" s="2">
        <v>1.1258874112588701E-2</v>
      </c>
      <c r="F28106" s="2">
        <v>8.7569985598230492E-3</v>
      </c>
    </row>
    <row r="28107" spans="1:6" x14ac:dyDescent="0.25">
      <c r="A28107" s="1" t="str">
        <f t="shared" si="1007"/>
        <v>38300</v>
      </c>
      <c r="B28107" s="1" t="str">
        <f>"15133"</f>
        <v>15133</v>
      </c>
      <c r="C28107" s="2">
        <v>2.64713653056907E-3</v>
      </c>
      <c r="D28107" s="2">
        <v>7.4123123449591299E-4</v>
      </c>
      <c r="E28107" s="2">
        <v>1.0598940105989399E-3</v>
      </c>
      <c r="F28107" s="2">
        <v>2.4422028308172198E-3</v>
      </c>
    </row>
    <row r="28108" spans="1:6" x14ac:dyDescent="0.25">
      <c r="A28108" s="1" t="str">
        <f t="shared" si="1007"/>
        <v>38300</v>
      </c>
      <c r="B28108" s="1" t="str">
        <f>"15104"</f>
        <v>15104</v>
      </c>
      <c r="C28108" s="2">
        <v>4.7055485374910399E-3</v>
      </c>
      <c r="D28108" s="2">
        <v>3.5776760918335999E-3</v>
      </c>
      <c r="E28108" s="2">
        <v>7.7192280771922802E-3</v>
      </c>
      <c r="F28108" s="2">
        <v>4.7330854492441104E-3</v>
      </c>
    </row>
    <row r="28109" spans="1:6" x14ac:dyDescent="0.25">
      <c r="A28109" s="1" t="str">
        <f t="shared" si="1007"/>
        <v>38300</v>
      </c>
      <c r="B28109" s="1" t="str">
        <f>"15065"</f>
        <v>15065</v>
      </c>
      <c r="C28109" s="2">
        <v>4.9459656229053697E-3</v>
      </c>
      <c r="D28109" s="2">
        <v>4.2892580769496799E-3</v>
      </c>
      <c r="E28109" s="2">
        <v>4.1595840415958396E-3</v>
      </c>
      <c r="F28109" s="2">
        <v>4.8663375765729197E-3</v>
      </c>
    </row>
    <row r="28110" spans="1:6" x14ac:dyDescent="0.25">
      <c r="A28110" s="1" t="str">
        <f t="shared" si="1007"/>
        <v>38300</v>
      </c>
      <c r="B28110" s="1" t="str">
        <f>"15068"</f>
        <v>15068</v>
      </c>
      <c r="C28110" s="2">
        <v>1.6457101691329901E-2</v>
      </c>
      <c r="D28110" s="2">
        <v>1.3480525384699E-2</v>
      </c>
      <c r="E28110" s="2">
        <v>1.16188381161883E-2</v>
      </c>
      <c r="F28110" s="2">
        <v>1.6048223719029201E-2</v>
      </c>
    </row>
    <row r="28111" spans="1:6" x14ac:dyDescent="0.25">
      <c r="A28111" s="1" t="str">
        <f t="shared" si="1007"/>
        <v>38300</v>
      </c>
      <c r="B28111" s="1" t="str">
        <f>"15067"</f>
        <v>15067</v>
      </c>
      <c r="C28111" s="2">
        <v>1.0406746630125499E-3</v>
      </c>
      <c r="D28111" s="2">
        <v>7.7088048387574898E-4</v>
      </c>
      <c r="E28111" s="2">
        <v>4.5995400459953998E-4</v>
      </c>
      <c r="F28111" s="2">
        <v>9.98261699649705E-4</v>
      </c>
    </row>
    <row r="28112" spans="1:6" x14ac:dyDescent="0.25">
      <c r="A28112" s="1" t="str">
        <f t="shared" si="1007"/>
        <v>38300</v>
      </c>
      <c r="B28112" s="1" t="str">
        <f>"15244"</f>
        <v>15244</v>
      </c>
      <c r="C28112" s="2">
        <v>3.7124475733590602E-4</v>
      </c>
      <c r="D28112" s="2">
        <v>1.3638654714724799E-3</v>
      </c>
      <c r="E28112" s="2">
        <v>1.999800019998E-5</v>
      </c>
      <c r="F28112" s="2">
        <v>4.3363404147679402E-4</v>
      </c>
    </row>
    <row r="28113" spans="1:6" x14ac:dyDescent="0.25">
      <c r="A28113" s="1" t="str">
        <f t="shared" si="1007"/>
        <v>38300</v>
      </c>
      <c r="B28113" s="1" t="str">
        <f>"15235"</f>
        <v>15235</v>
      </c>
      <c r="C28113" s="2">
        <v>1.51845052462745E-2</v>
      </c>
      <c r="D28113" s="2">
        <v>1.4449067531107E-2</v>
      </c>
      <c r="E28113" s="2">
        <v>5.1394860513948601E-3</v>
      </c>
      <c r="F28113" s="2">
        <v>1.47503329421091E-2</v>
      </c>
    </row>
    <row r="28114" spans="1:6" x14ac:dyDescent="0.25">
      <c r="A28114" s="1" t="str">
        <f t="shared" si="1007"/>
        <v>38300</v>
      </c>
      <c r="B28114" s="1" t="str">
        <f>"15625"</f>
        <v>15625</v>
      </c>
      <c r="C28114" s="2">
        <v>0</v>
      </c>
      <c r="D28114" s="2">
        <v>0</v>
      </c>
      <c r="E28114" s="2">
        <v>1.999800019998E-5</v>
      </c>
      <c r="F28114" s="2">
        <v>7.5283687756387995E-7</v>
      </c>
    </row>
    <row r="28115" spans="1:6" x14ac:dyDescent="0.25">
      <c r="A28115" s="1" t="str">
        <f t="shared" si="1007"/>
        <v>38300</v>
      </c>
      <c r="B28115" s="1" t="str">
        <f>"15087"</f>
        <v>15087</v>
      </c>
      <c r="C28115" s="2">
        <v>0</v>
      </c>
      <c r="D28115" s="2">
        <v>0</v>
      </c>
      <c r="E28115" s="2">
        <v>1.87981201879812E-3</v>
      </c>
      <c r="F28115" s="2">
        <v>7.0766666491004699E-5</v>
      </c>
    </row>
    <row r="28116" spans="1:6" x14ac:dyDescent="0.25">
      <c r="A28116" s="1" t="str">
        <f t="shared" si="1007"/>
        <v>38300</v>
      </c>
      <c r="B28116" s="1" t="str">
        <f>"16048"</f>
        <v>16048</v>
      </c>
      <c r="C28116" s="2">
        <v>8.4953033715310397E-7</v>
      </c>
      <c r="D28116" s="2">
        <v>0</v>
      </c>
      <c r="E28116" s="2">
        <v>1.999800019998E-5</v>
      </c>
      <c r="F28116" s="2">
        <v>1.5056737551277599E-6</v>
      </c>
    </row>
    <row r="28117" spans="1:6" x14ac:dyDescent="0.25">
      <c r="A28117" s="1" t="str">
        <f t="shared" si="1007"/>
        <v>38300</v>
      </c>
      <c r="B28117" s="1" t="str">
        <f>"15612"</f>
        <v>15612</v>
      </c>
      <c r="C28117" s="2">
        <v>1.2658002023581199E-4</v>
      </c>
      <c r="D28117" s="2">
        <v>9.8830831266121696E-6</v>
      </c>
      <c r="E28117" s="2">
        <v>1.999800019998E-5</v>
      </c>
      <c r="F28117" s="2">
        <v>1.13678368512145E-4</v>
      </c>
    </row>
    <row r="28118" spans="1:6" x14ac:dyDescent="0.25">
      <c r="A28118" s="1" t="str">
        <f t="shared" si="1007"/>
        <v>38300</v>
      </c>
      <c r="B28118" s="1" t="str">
        <f>"15675"</f>
        <v>15675</v>
      </c>
      <c r="C28118" s="2">
        <v>3.7379334834736601E-4</v>
      </c>
      <c r="D28118" s="2">
        <v>1.3836316377257001E-4</v>
      </c>
      <c r="E28118" s="2">
        <v>1.999800019998E-5</v>
      </c>
      <c r="F28118" s="2">
        <v>3.4254077929156499E-4</v>
      </c>
    </row>
    <row r="28119" spans="1:6" x14ac:dyDescent="0.25">
      <c r="A28119" s="1" t="str">
        <f t="shared" si="1007"/>
        <v>38300</v>
      </c>
      <c r="B28119" s="1" t="str">
        <f>"15620"</f>
        <v>15620</v>
      </c>
      <c r="C28119" s="2">
        <v>2.8629172362059599E-4</v>
      </c>
      <c r="D28119" s="2">
        <v>1.5812933002579401E-4</v>
      </c>
      <c r="E28119" s="2">
        <v>2.9997000299969998E-4</v>
      </c>
      <c r="F28119" s="2">
        <v>2.77043970943507E-4</v>
      </c>
    </row>
    <row r="28120" spans="1:6" x14ac:dyDescent="0.25">
      <c r="A28120" s="1" t="str">
        <f t="shared" si="1007"/>
        <v>38300</v>
      </c>
      <c r="B28120" s="1" t="str">
        <f>"16253"</f>
        <v>16253</v>
      </c>
      <c r="C28120" s="2">
        <v>5.5219471914951799E-5</v>
      </c>
      <c r="D28120" s="2">
        <v>1.9766166253224299E-5</v>
      </c>
      <c r="E28120" s="2">
        <v>1.999800019998E-5</v>
      </c>
      <c r="F28120" s="2">
        <v>5.1192907674343802E-5</v>
      </c>
    </row>
    <row r="28121" spans="1:6" x14ac:dyDescent="0.25">
      <c r="A28121" s="1" t="str">
        <f t="shared" si="1007"/>
        <v>38300</v>
      </c>
      <c r="B28121" s="1" t="str">
        <f>"15531"</f>
        <v>15531</v>
      </c>
      <c r="C28121" s="2">
        <v>2.4636379777440001E-5</v>
      </c>
      <c r="D28121" s="2">
        <v>0</v>
      </c>
      <c r="E28121" s="2">
        <v>0</v>
      </c>
      <c r="F28121" s="2">
        <v>2.1832269449352499E-5</v>
      </c>
    </row>
    <row r="28122" spans="1:6" x14ac:dyDescent="0.25">
      <c r="A28122" s="1" t="str">
        <f t="shared" si="1007"/>
        <v>38300</v>
      </c>
      <c r="B28122" s="1" t="str">
        <f>"15501"</f>
        <v>15501</v>
      </c>
      <c r="C28122" s="2">
        <v>2.71849707888993E-5</v>
      </c>
      <c r="D28122" s="2">
        <v>1.9766166253224299E-5</v>
      </c>
      <c r="E28122" s="2">
        <v>0</v>
      </c>
      <c r="F28122" s="2">
        <v>2.5596453837171901E-5</v>
      </c>
    </row>
    <row r="28123" spans="1:6" x14ac:dyDescent="0.25">
      <c r="A28123" s="1" t="str">
        <f t="shared" si="1007"/>
        <v>38300</v>
      </c>
      <c r="B28123" s="1" t="str">
        <f>"15032"</f>
        <v>15032</v>
      </c>
      <c r="C28123" s="2">
        <v>0</v>
      </c>
      <c r="D28123" s="2">
        <v>0</v>
      </c>
      <c r="E28123" s="2">
        <v>6.5993400659934004E-4</v>
      </c>
      <c r="F28123" s="2">
        <v>2.4843616959608001E-5</v>
      </c>
    </row>
    <row r="28124" spans="1:6" x14ac:dyDescent="0.25">
      <c r="A28124" s="1" t="str">
        <f t="shared" si="1007"/>
        <v>38300</v>
      </c>
      <c r="B28124" s="1" t="str">
        <f>"16141"</f>
        <v>16141</v>
      </c>
      <c r="C28124" s="2">
        <v>1.9794056855667301E-4</v>
      </c>
      <c r="D28124" s="2">
        <v>7.9064665012897398E-5</v>
      </c>
      <c r="E28124" s="2">
        <v>3.81961803819618E-3</v>
      </c>
      <c r="F28124" s="2">
        <v>3.25225531107596E-4</v>
      </c>
    </row>
    <row r="28125" spans="1:6" x14ac:dyDescent="0.25">
      <c r="A28125" s="1" t="str">
        <f t="shared" si="1007"/>
        <v>38300</v>
      </c>
      <c r="B28125" s="1" t="str">
        <f>"15051"</f>
        <v>15051</v>
      </c>
      <c r="C28125" s="2">
        <v>1.9539197754521399E-4</v>
      </c>
      <c r="D28125" s="2">
        <v>1.3836316377257001E-4</v>
      </c>
      <c r="E28125" s="2">
        <v>3.9996000399960001E-5</v>
      </c>
      <c r="F28125" s="2">
        <v>1.8519787188071401E-4</v>
      </c>
    </row>
    <row r="28126" spans="1:6" x14ac:dyDescent="0.25">
      <c r="A28126" s="1" t="str">
        <f t="shared" si="1007"/>
        <v>38300</v>
      </c>
      <c r="B28126" s="1" t="str">
        <f>"15015"</f>
        <v>15015</v>
      </c>
      <c r="C28126" s="2">
        <v>4.3750812363384901E-4</v>
      </c>
      <c r="D28126" s="2">
        <v>7.9064665012897398E-5</v>
      </c>
      <c r="E28126" s="2">
        <v>3.9996000399960001E-5</v>
      </c>
      <c r="F28126" s="2">
        <v>3.95239360721037E-4</v>
      </c>
    </row>
    <row r="28127" spans="1:6" x14ac:dyDescent="0.25">
      <c r="A28127" s="1" t="str">
        <f t="shared" si="1007"/>
        <v>38300</v>
      </c>
      <c r="B28127" s="1" t="str">
        <f>"15277"</f>
        <v>15277</v>
      </c>
      <c r="C28127" s="2">
        <v>0</v>
      </c>
      <c r="D28127" s="2">
        <v>0</v>
      </c>
      <c r="E28127" s="2">
        <v>3.1996800319968001E-4</v>
      </c>
      <c r="F28127" s="2">
        <v>1.2045390041022E-5</v>
      </c>
    </row>
    <row r="28128" spans="1:6" x14ac:dyDescent="0.25">
      <c r="A28128" s="1" t="str">
        <f t="shared" si="1007"/>
        <v>38300</v>
      </c>
      <c r="B28128" s="1" t="str">
        <f>"15687"</f>
        <v>15687</v>
      </c>
      <c r="C28128" s="2">
        <v>5.0886867195470899E-4</v>
      </c>
      <c r="D28128" s="2">
        <v>1.68012413152407E-4</v>
      </c>
      <c r="E28128" s="2">
        <v>0</v>
      </c>
      <c r="F28128" s="2">
        <v>4.6374751657935002E-4</v>
      </c>
    </row>
    <row r="28129" spans="1:6" x14ac:dyDescent="0.25">
      <c r="A28129" s="1" t="str">
        <f t="shared" si="1007"/>
        <v>38300</v>
      </c>
      <c r="B28129" s="1" t="str">
        <f>"15492"</f>
        <v>15492</v>
      </c>
      <c r="C28129" s="2">
        <v>3.6529804497583503E-5</v>
      </c>
      <c r="D28129" s="2">
        <v>0</v>
      </c>
      <c r="E28129" s="2">
        <v>1.999800019998E-5</v>
      </c>
      <c r="F28129" s="2">
        <v>3.3124822612810697E-5</v>
      </c>
    </row>
    <row r="28130" spans="1:6" x14ac:dyDescent="0.25">
      <c r="A28130" s="1" t="str">
        <f t="shared" si="1007"/>
        <v>38300</v>
      </c>
      <c r="B28130" s="1" t="str">
        <f>"15363"</f>
        <v>15363</v>
      </c>
      <c r="C28130" s="2">
        <v>2.5146097979731902E-4</v>
      </c>
      <c r="D28130" s="2">
        <v>4.9415415633060799E-5</v>
      </c>
      <c r="E28130" s="2">
        <v>1.999800019998E-5</v>
      </c>
      <c r="F28130" s="2">
        <v>2.27356737024291E-4</v>
      </c>
    </row>
    <row r="28131" spans="1:6" x14ac:dyDescent="0.25">
      <c r="A28131" s="1" t="str">
        <f t="shared" si="1007"/>
        <v>38300</v>
      </c>
      <c r="B28131" s="1" t="str">
        <f>"15340"</f>
        <v>15340</v>
      </c>
      <c r="C28131" s="2">
        <v>5.0801914161755597E-4</v>
      </c>
      <c r="D28131" s="2">
        <v>4.4473874069754802E-4</v>
      </c>
      <c r="E28131" s="2">
        <v>5.9994000599940001E-5</v>
      </c>
      <c r="F28131" s="2">
        <v>4.8633262290626597E-4</v>
      </c>
    </row>
    <row r="28132" spans="1:6" x14ac:dyDescent="0.25">
      <c r="A28132" s="1" t="str">
        <f t="shared" si="1007"/>
        <v>38300</v>
      </c>
      <c r="B28132" s="1" t="str">
        <f>"15066"</f>
        <v>15066</v>
      </c>
      <c r="C28132" s="2">
        <v>5.4344455667684104E-3</v>
      </c>
      <c r="D28132" s="2">
        <v>5.1194370595851E-3</v>
      </c>
      <c r="E28132" s="2">
        <v>4.8195180481951797E-3</v>
      </c>
      <c r="F28132" s="2">
        <v>5.3873006958471198E-3</v>
      </c>
    </row>
    <row r="28133" spans="1:6" x14ac:dyDescent="0.25">
      <c r="A28133" s="1" t="str">
        <f t="shared" si="1007"/>
        <v>38300</v>
      </c>
      <c r="B28133" s="1" t="str">
        <f>"15085"</f>
        <v>15085</v>
      </c>
      <c r="C28133" s="2">
        <v>3.1874378249984398E-3</v>
      </c>
      <c r="D28133" s="2">
        <v>2.02603204095549E-3</v>
      </c>
      <c r="E28133" s="2">
        <v>1.8398160183981599E-3</v>
      </c>
      <c r="F28133" s="2">
        <v>3.04823651725615E-3</v>
      </c>
    </row>
    <row r="28134" spans="1:6" x14ac:dyDescent="0.25">
      <c r="A28134" s="1" t="str">
        <f t="shared" si="1007"/>
        <v>38300</v>
      </c>
      <c r="B28134" s="1" t="str">
        <f>"15001"</f>
        <v>15001</v>
      </c>
      <c r="C28134" s="2">
        <v>1.45991788439761E-2</v>
      </c>
      <c r="D28134" s="2">
        <v>9.1122026427364194E-3</v>
      </c>
      <c r="E28134" s="2">
        <v>7.2192780721927804E-3</v>
      </c>
      <c r="F28134" s="2">
        <v>1.3903391454849701E-2</v>
      </c>
    </row>
    <row r="28135" spans="1:6" x14ac:dyDescent="0.25">
      <c r="A28135" s="1" t="str">
        <f t="shared" si="1007"/>
        <v>38300</v>
      </c>
      <c r="B28135" s="1" t="str">
        <f>"15261"</f>
        <v>15261</v>
      </c>
      <c r="C28135" s="2">
        <v>0</v>
      </c>
      <c r="D28135" s="2">
        <v>9.5865906328138095E-4</v>
      </c>
      <c r="E28135" s="2">
        <v>0</v>
      </c>
      <c r="F28135" s="2">
        <v>7.3025177123696298E-5</v>
      </c>
    </row>
    <row r="28136" spans="1:6" x14ac:dyDescent="0.25">
      <c r="A28136" s="1" t="str">
        <f t="shared" si="1007"/>
        <v>38300</v>
      </c>
      <c r="B28136" s="1" t="str">
        <f>"15234"</f>
        <v>15234</v>
      </c>
      <c r="C28136" s="2">
        <v>6.19817333986905E-3</v>
      </c>
      <c r="D28136" s="2">
        <v>8.5686330707727496E-3</v>
      </c>
      <c r="E28136" s="2">
        <v>6.3793620637936201E-3</v>
      </c>
      <c r="F28136" s="2">
        <v>6.3855623954968297E-3</v>
      </c>
    </row>
    <row r="28137" spans="1:6" x14ac:dyDescent="0.25">
      <c r="A28137" s="1" t="str">
        <f t="shared" si="1007"/>
        <v>38300</v>
      </c>
      <c r="B28137" s="1" t="str">
        <f>"15243"</f>
        <v>15243</v>
      </c>
      <c r="C28137" s="2">
        <v>5.11502215999884E-3</v>
      </c>
      <c r="D28137" s="2">
        <v>1.2946838895861899E-3</v>
      </c>
      <c r="E28137" s="2">
        <v>9.1990800919907996E-4</v>
      </c>
      <c r="F28137" s="2">
        <v>4.6660829671409196E-3</v>
      </c>
    </row>
    <row r="28138" spans="1:6" x14ac:dyDescent="0.25">
      <c r="A28138" s="1" t="str">
        <f t="shared" si="1007"/>
        <v>38300</v>
      </c>
      <c r="B28138" s="1" t="str">
        <f>"15229"</f>
        <v>15229</v>
      </c>
      <c r="C28138" s="2">
        <v>5.9934365286151503E-3</v>
      </c>
      <c r="D28138" s="2">
        <v>2.8265617742110798E-3</v>
      </c>
      <c r="E28138" s="2">
        <v>4.8595140485951397E-3</v>
      </c>
      <c r="F28138" s="2">
        <v>5.7095148794444597E-3</v>
      </c>
    </row>
    <row r="28139" spans="1:6" x14ac:dyDescent="0.25">
      <c r="A28139" s="1" t="str">
        <f t="shared" si="1007"/>
        <v>38300</v>
      </c>
      <c r="B28139" s="1" t="str">
        <f>"15225"</f>
        <v>15225</v>
      </c>
      <c r="C28139" s="2">
        <v>5.6748626521827396E-4</v>
      </c>
      <c r="D28139" s="2">
        <v>1.8382534615498599E-3</v>
      </c>
      <c r="E28139" s="2">
        <v>1.2998700129987001E-3</v>
      </c>
      <c r="F28139" s="2">
        <v>6.9185709048120503E-4</v>
      </c>
    </row>
    <row r="28140" spans="1:6" x14ac:dyDescent="0.25">
      <c r="A28140" s="1" t="str">
        <f t="shared" si="1007"/>
        <v>38300</v>
      </c>
      <c r="B28140" s="1" t="str">
        <f>"15642"</f>
        <v>15642</v>
      </c>
      <c r="C28140" s="2">
        <v>1.8367695419587202E-2</v>
      </c>
      <c r="D28140" s="2">
        <v>1.45478983623731E-2</v>
      </c>
      <c r="E28140" s="2">
        <v>6.6993300669932997E-3</v>
      </c>
      <c r="F28140" s="2">
        <v>1.7637462367566501E-2</v>
      </c>
    </row>
    <row r="28141" spans="1:6" x14ac:dyDescent="0.25">
      <c r="A28141" s="1" t="str">
        <f t="shared" si="1007"/>
        <v>38300</v>
      </c>
      <c r="B28141" s="1" t="str">
        <f>"15660"</f>
        <v>15660</v>
      </c>
      <c r="C28141" s="2">
        <v>1.10438943829903E-4</v>
      </c>
      <c r="D28141" s="2">
        <v>2.96492493798365E-5</v>
      </c>
      <c r="E28141" s="2">
        <v>1.999800019998E-5</v>
      </c>
      <c r="F28141" s="2">
        <v>1.00880141593559E-4</v>
      </c>
    </row>
    <row r="28142" spans="1:6" x14ac:dyDescent="0.25">
      <c r="A28142" s="1" t="str">
        <f t="shared" si="1007"/>
        <v>38300</v>
      </c>
      <c r="B28142" s="1" t="str">
        <f>"15206"</f>
        <v>15206</v>
      </c>
      <c r="C28142" s="2">
        <v>1.57596372845272E-2</v>
      </c>
      <c r="D28142" s="2">
        <v>1.4755443108031899E-2</v>
      </c>
      <c r="E28142" s="2">
        <v>3.8936106389361E-2</v>
      </c>
      <c r="F28142" s="2">
        <v>1.6555635774507201E-2</v>
      </c>
    </row>
    <row r="28143" spans="1:6" x14ac:dyDescent="0.25">
      <c r="A28143" s="1" t="str">
        <f t="shared" si="1007"/>
        <v>38300</v>
      </c>
      <c r="B28143" s="1" t="str">
        <f>"15142"</f>
        <v>15142</v>
      </c>
      <c r="C28143" s="2">
        <v>8.8606014165068796E-4</v>
      </c>
      <c r="D28143" s="2">
        <v>1.9766166253224301E-4</v>
      </c>
      <c r="E28143" s="2">
        <v>2.1997800219978E-4</v>
      </c>
      <c r="F28143" s="2">
        <v>8.08546806503607E-4</v>
      </c>
    </row>
    <row r="28144" spans="1:6" x14ac:dyDescent="0.25">
      <c r="A28144" s="1" t="str">
        <f t="shared" si="1007"/>
        <v>38300</v>
      </c>
      <c r="B28144" s="1" t="str">
        <f>"15456"</f>
        <v>15456</v>
      </c>
      <c r="C28144" s="2">
        <v>1.0576652697556099E-3</v>
      </c>
      <c r="D28144" s="2">
        <v>1.4231639702321499E-3</v>
      </c>
      <c r="E28144" s="2">
        <v>4.7995200479952001E-4</v>
      </c>
      <c r="F28144" s="2">
        <v>1.0637585079977599E-3</v>
      </c>
    </row>
    <row r="28145" spans="1:6" x14ac:dyDescent="0.25">
      <c r="A28145" s="1" t="str">
        <f t="shared" si="1007"/>
        <v>38300</v>
      </c>
      <c r="B28145" s="1" t="str">
        <f>"15467"</f>
        <v>15467</v>
      </c>
      <c r="C28145" s="2">
        <v>5.4369941577798702E-5</v>
      </c>
      <c r="D28145" s="2">
        <v>0</v>
      </c>
      <c r="E28145" s="2">
        <v>0</v>
      </c>
      <c r="F28145" s="2">
        <v>4.8181560164088297E-5</v>
      </c>
    </row>
    <row r="28146" spans="1:6" x14ac:dyDescent="0.25">
      <c r="A28146" s="1" t="str">
        <f t="shared" si="1007"/>
        <v>38300</v>
      </c>
      <c r="B28146" s="1" t="str">
        <f>"15486"</f>
        <v>15486</v>
      </c>
      <c r="C28146" s="2">
        <v>7.2040172590583204E-4</v>
      </c>
      <c r="D28146" s="2">
        <v>2.0754474565885499E-4</v>
      </c>
      <c r="E28146" s="2">
        <v>6.3993600639936001E-4</v>
      </c>
      <c r="F28146" s="2">
        <v>6.7830602668505504E-4</v>
      </c>
    </row>
    <row r="28147" spans="1:6" x14ac:dyDescent="0.25">
      <c r="A28147" s="1" t="str">
        <f t="shared" si="1007"/>
        <v>38300</v>
      </c>
      <c r="B28147" s="1" t="str">
        <f>"15429"</f>
        <v>15429</v>
      </c>
      <c r="C28147" s="2">
        <v>1.0704082248129101E-4</v>
      </c>
      <c r="D28147" s="2">
        <v>1.9766166253224299E-5</v>
      </c>
      <c r="E28147" s="2">
        <v>1.999800019998E-5</v>
      </c>
      <c r="F28147" s="2">
        <v>9.71159572057405E-5</v>
      </c>
    </row>
    <row r="28148" spans="1:6" x14ac:dyDescent="0.25">
      <c r="A28148" s="1" t="str">
        <f t="shared" si="1007"/>
        <v>38300</v>
      </c>
      <c r="B28148" s="1" t="str">
        <f>"15478"</f>
        <v>15478</v>
      </c>
      <c r="C28148" s="2">
        <v>2.3871802474002201E-3</v>
      </c>
      <c r="D28148" s="2">
        <v>9.8830831266121704E-4</v>
      </c>
      <c r="E28148" s="2">
        <v>4.1995800419957998E-4</v>
      </c>
      <c r="F28148" s="2">
        <v>2.20656488813973E-3</v>
      </c>
    </row>
    <row r="28149" spans="1:6" x14ac:dyDescent="0.25">
      <c r="A28149" s="1" t="str">
        <f t="shared" si="1007"/>
        <v>38300</v>
      </c>
      <c r="B28149" s="1" t="str">
        <f>"15438"</f>
        <v>15438</v>
      </c>
      <c r="C28149" s="2">
        <v>7.3059608995167005E-4</v>
      </c>
      <c r="D28149" s="2">
        <v>1.7789549627901901E-4</v>
      </c>
      <c r="E28149" s="2">
        <v>7.9992000799920002E-5</v>
      </c>
      <c r="F28149" s="2">
        <v>6.64002126011342E-4</v>
      </c>
    </row>
    <row r="28150" spans="1:6" x14ac:dyDescent="0.25">
      <c r="A28150" s="1" t="str">
        <f t="shared" si="1007"/>
        <v>38300</v>
      </c>
      <c r="B28150" s="1" t="str">
        <f>"15459"</f>
        <v>15459</v>
      </c>
      <c r="C28150" s="2">
        <v>5.9891888769293797E-4</v>
      </c>
      <c r="D28150" s="2">
        <v>6.0286807072334201E-4</v>
      </c>
      <c r="E28150" s="2">
        <v>5.9994000599940001E-5</v>
      </c>
      <c r="F28150" s="2">
        <v>5.7893155884662303E-4</v>
      </c>
    </row>
    <row r="28151" spans="1:6" x14ac:dyDescent="0.25">
      <c r="A28151" s="1" t="str">
        <f t="shared" si="1007"/>
        <v>38300</v>
      </c>
      <c r="B28151" s="1" t="str">
        <f>"15444"</f>
        <v>15444</v>
      </c>
      <c r="C28151" s="2">
        <v>1.1213800450420901E-4</v>
      </c>
      <c r="D28151" s="2">
        <v>1.9766166253224299E-5</v>
      </c>
      <c r="E28151" s="2">
        <v>1.1998800119988E-4</v>
      </c>
      <c r="F28151" s="2">
        <v>1.05397162858943E-4</v>
      </c>
    </row>
    <row r="28152" spans="1:6" x14ac:dyDescent="0.25">
      <c r="A28152" s="1" t="str">
        <f t="shared" si="1007"/>
        <v>38300</v>
      </c>
      <c r="B28152" s="1" t="str">
        <f>"15401"</f>
        <v>15401</v>
      </c>
      <c r="C28152" s="2">
        <v>1.47402008799435E-2</v>
      </c>
      <c r="D28152" s="2">
        <v>2.1199213306583101E-2</v>
      </c>
      <c r="E28152" s="2">
        <v>9.1190880911908804E-3</v>
      </c>
      <c r="F28152" s="2">
        <v>1.50206013811545E-2</v>
      </c>
    </row>
    <row r="28153" spans="1:6" x14ac:dyDescent="0.25">
      <c r="A28153" s="1" t="str">
        <f t="shared" si="1007"/>
        <v>38300</v>
      </c>
      <c r="B28153" s="1" t="str">
        <f>"15410"</f>
        <v>15410</v>
      </c>
      <c r="C28153" s="2">
        <v>3.3896260452408801E-4</v>
      </c>
      <c r="D28153" s="2">
        <v>3.9532332506448699E-5</v>
      </c>
      <c r="E28153" s="2">
        <v>0</v>
      </c>
      <c r="F28153" s="2">
        <v>3.0339326165824298E-4</v>
      </c>
    </row>
    <row r="28154" spans="1:6" x14ac:dyDescent="0.25">
      <c r="A28154" s="1" t="str">
        <f t="shared" si="1007"/>
        <v>38300</v>
      </c>
      <c r="B28154" s="1" t="str">
        <f>"15321"</f>
        <v>15321</v>
      </c>
      <c r="C28154" s="2">
        <v>6.1845808544745999E-4</v>
      </c>
      <c r="D28154" s="2">
        <v>4.6450490695077199E-4</v>
      </c>
      <c r="E28154" s="2">
        <v>3.7996200379961998E-4</v>
      </c>
      <c r="F28154" s="2">
        <v>5.9775248078572005E-4</v>
      </c>
    </row>
    <row r="28155" spans="1:6" x14ac:dyDescent="0.25">
      <c r="A28155" s="1" t="str">
        <f t="shared" si="1007"/>
        <v>38300</v>
      </c>
      <c r="B28155" s="1" t="str">
        <f>"15215"</f>
        <v>15215</v>
      </c>
      <c r="C28155" s="2">
        <v>5.0852885981984798E-3</v>
      </c>
      <c r="D28155" s="2">
        <v>4.8921261476730198E-3</v>
      </c>
      <c r="E28155" s="2">
        <v>6.6593340665933396E-3</v>
      </c>
      <c r="F28155" s="2">
        <v>5.1298304837202697E-3</v>
      </c>
    </row>
    <row r="28156" spans="1:6" x14ac:dyDescent="0.25">
      <c r="A28156" s="1" t="str">
        <f t="shared" si="1007"/>
        <v>38300</v>
      </c>
      <c r="B28156" s="1" t="str">
        <f>"16063"</f>
        <v>16063</v>
      </c>
      <c r="C28156" s="2">
        <v>3.47118095760758E-3</v>
      </c>
      <c r="D28156" s="2">
        <v>3.8445193362521301E-3</v>
      </c>
      <c r="E28156" s="2">
        <v>6.8793120687931199E-3</v>
      </c>
      <c r="F28156" s="2">
        <v>3.62792091298033E-3</v>
      </c>
    </row>
    <row r="28157" spans="1:6" x14ac:dyDescent="0.25">
      <c r="A28157" s="1" t="str">
        <f t="shared" si="1007"/>
        <v>38300</v>
      </c>
      <c r="B28157" s="1" t="str">
        <f>"16046"</f>
        <v>16046</v>
      </c>
      <c r="C28157" s="2">
        <v>6.6654150253032604E-3</v>
      </c>
      <c r="D28157" s="2">
        <v>5.63335738216894E-3</v>
      </c>
      <c r="E28157" s="2">
        <v>2.85971402859714E-3</v>
      </c>
      <c r="F28157" s="2">
        <v>6.4435308350692397E-3</v>
      </c>
    </row>
    <row r="28158" spans="1:6" x14ac:dyDescent="0.25">
      <c r="A28158" s="1" t="str">
        <f t="shared" si="1007"/>
        <v>38300</v>
      </c>
      <c r="B28158" s="1" t="str">
        <f>"16028"</f>
        <v>16028</v>
      </c>
      <c r="C28158" s="2">
        <v>4.5110060902829802E-4</v>
      </c>
      <c r="D28158" s="2">
        <v>1.8777857940563099E-4</v>
      </c>
      <c r="E28158" s="2">
        <v>3.9996000399960001E-5</v>
      </c>
      <c r="F28158" s="2">
        <v>4.1556595641526102E-4</v>
      </c>
    </row>
    <row r="28159" spans="1:6" x14ac:dyDescent="0.25">
      <c r="A28159" s="1" t="str">
        <f t="shared" si="1007"/>
        <v>38300</v>
      </c>
      <c r="B28159" s="1" t="str">
        <f>"15480"</f>
        <v>15480</v>
      </c>
      <c r="C28159" s="2">
        <v>7.0765877084853605E-4</v>
      </c>
      <c r="D28159" s="2">
        <v>4.9415415633060798E-4</v>
      </c>
      <c r="E28159" s="2">
        <v>9.9990000999900002E-5</v>
      </c>
      <c r="F28159" s="2">
        <v>6.6851914727672501E-4</v>
      </c>
    </row>
    <row r="28160" spans="1:6" x14ac:dyDescent="0.25">
      <c r="A28160" s="1" t="str">
        <f t="shared" si="1007"/>
        <v>38300</v>
      </c>
      <c r="B28160" s="1" t="str">
        <f>"15468"</f>
        <v>15468</v>
      </c>
      <c r="C28160" s="2">
        <v>5.9382170567002005E-4</v>
      </c>
      <c r="D28160" s="2">
        <v>1.48246246899182E-4</v>
      </c>
      <c r="E28160" s="2">
        <v>1.999800019998E-4</v>
      </c>
      <c r="F28160" s="2">
        <v>5.4505389935624897E-4</v>
      </c>
    </row>
    <row r="28161" spans="1:6" x14ac:dyDescent="0.25">
      <c r="A28161" s="1" t="str">
        <f t="shared" ref="A28161:A28224" si="1008">"38300"</f>
        <v>38300</v>
      </c>
      <c r="B28161" s="1" t="str">
        <f>"15417"</f>
        <v>15417</v>
      </c>
      <c r="C28161" s="2">
        <v>3.65892716211842E-3</v>
      </c>
      <c r="D28161" s="2">
        <v>2.69808169356512E-3</v>
      </c>
      <c r="E28161" s="2">
        <v>1.3798620137986199E-3</v>
      </c>
      <c r="F28161" s="2">
        <v>3.4999386437944702E-3</v>
      </c>
    </row>
    <row r="28162" spans="1:6" x14ac:dyDescent="0.25">
      <c r="A28162" s="1" t="str">
        <f t="shared" si="1008"/>
        <v>38300</v>
      </c>
      <c r="B28162" s="1" t="str">
        <f>"15330"</f>
        <v>15330</v>
      </c>
      <c r="C28162" s="2">
        <v>2.05756247658482E-3</v>
      </c>
      <c r="D28162" s="2">
        <v>1.2946838895861899E-3</v>
      </c>
      <c r="E28162" s="2">
        <v>3.1996800319968001E-4</v>
      </c>
      <c r="F28162" s="2">
        <v>1.9340379384616001E-3</v>
      </c>
    </row>
    <row r="28163" spans="1:6" x14ac:dyDescent="0.25">
      <c r="A28163" s="1" t="str">
        <f t="shared" si="1008"/>
        <v>38300</v>
      </c>
      <c r="B28163" s="1" t="str">
        <f>"15377"</f>
        <v>15377</v>
      </c>
      <c r="C28163" s="2">
        <v>2.6590299552892101E-4</v>
      </c>
      <c r="D28163" s="2">
        <v>2.0754474565885499E-4</v>
      </c>
      <c r="E28163" s="2">
        <v>1.999800019998E-5</v>
      </c>
      <c r="F28163" s="2">
        <v>2.52200353983899E-4</v>
      </c>
    </row>
    <row r="28164" spans="1:6" x14ac:dyDescent="0.25">
      <c r="A28164" s="1" t="str">
        <f t="shared" si="1008"/>
        <v>38300</v>
      </c>
      <c r="B28164" s="1" t="str">
        <f>"15342"</f>
        <v>15342</v>
      </c>
      <c r="C28164" s="2">
        <v>2.0711549619792601E-3</v>
      </c>
      <c r="D28164" s="2">
        <v>1.4528132196119899E-3</v>
      </c>
      <c r="E28164" s="2">
        <v>1.0398960103989599E-3</v>
      </c>
      <c r="F28164" s="2">
        <v>1.9852308461359501E-3</v>
      </c>
    </row>
    <row r="28165" spans="1:6" x14ac:dyDescent="0.25">
      <c r="A28165" s="1" t="str">
        <f t="shared" si="1008"/>
        <v>38300</v>
      </c>
      <c r="B28165" s="1" t="str">
        <f>"15210"</f>
        <v>15210</v>
      </c>
      <c r="C28165" s="2">
        <v>1.2407390574121E-2</v>
      </c>
      <c r="D28165" s="2">
        <v>6.7699119417293403E-3</v>
      </c>
      <c r="E28165" s="2">
        <v>1.4958504149585E-2</v>
      </c>
      <c r="F28165" s="2">
        <v>1.20739978423695E-2</v>
      </c>
    </row>
    <row r="28166" spans="1:6" x14ac:dyDescent="0.25">
      <c r="A28166" s="1" t="str">
        <f t="shared" si="1008"/>
        <v>38300</v>
      </c>
      <c r="B28166" s="1" t="str">
        <f>"16059"</f>
        <v>16059</v>
      </c>
      <c r="C28166" s="2">
        <v>3.5068612317680102E-3</v>
      </c>
      <c r="D28166" s="2">
        <v>1.6405917990176199E-3</v>
      </c>
      <c r="E28166" s="2">
        <v>5.7994200579942004E-4</v>
      </c>
      <c r="F28166" s="2">
        <v>3.25451382170865E-3</v>
      </c>
    </row>
    <row r="28167" spans="1:6" x14ac:dyDescent="0.25">
      <c r="A28167" s="1" t="str">
        <f t="shared" si="1008"/>
        <v>38300</v>
      </c>
      <c r="B28167" s="1" t="str">
        <f>"15443"</f>
        <v>15443</v>
      </c>
      <c r="C28167" s="2">
        <v>0</v>
      </c>
      <c r="D28167" s="2">
        <v>0</v>
      </c>
      <c r="E28167" s="2">
        <v>3.9996000399960001E-5</v>
      </c>
      <c r="F28167" s="2">
        <v>1.5056737551277599E-6</v>
      </c>
    </row>
    <row r="28168" spans="1:6" x14ac:dyDescent="0.25">
      <c r="A28168" s="1" t="str">
        <f t="shared" si="1008"/>
        <v>38300</v>
      </c>
      <c r="B28168" s="1" t="str">
        <f>"15439"</f>
        <v>15439</v>
      </c>
      <c r="C28168" s="2">
        <v>0</v>
      </c>
      <c r="D28168" s="2">
        <v>0</v>
      </c>
      <c r="E28168" s="2">
        <v>1.999800019998E-5</v>
      </c>
      <c r="F28168" s="2">
        <v>7.5283687756387995E-7</v>
      </c>
    </row>
    <row r="28169" spans="1:6" x14ac:dyDescent="0.25">
      <c r="A28169" s="1" t="str">
        <f t="shared" si="1008"/>
        <v>38300</v>
      </c>
      <c r="B28169" s="1" t="str">
        <f>"15606"</f>
        <v>15606</v>
      </c>
      <c r="C28169" s="2">
        <v>0</v>
      </c>
      <c r="D28169" s="2">
        <v>0</v>
      </c>
      <c r="E28169" s="2">
        <v>3.9996000399960001E-5</v>
      </c>
      <c r="F28169" s="2">
        <v>1.5056737551277599E-6</v>
      </c>
    </row>
    <row r="28170" spans="1:6" x14ac:dyDescent="0.25">
      <c r="A28170" s="1" t="str">
        <f t="shared" si="1008"/>
        <v>38300</v>
      </c>
      <c r="B28170" s="1" t="str">
        <f>"15258"</f>
        <v>15258</v>
      </c>
      <c r="C28170" s="2">
        <v>0</v>
      </c>
      <c r="D28170" s="2">
        <v>0</v>
      </c>
      <c r="E28170" s="2">
        <v>3.9996000399960001E-5</v>
      </c>
      <c r="F28170" s="2">
        <v>1.5056737551277599E-6</v>
      </c>
    </row>
    <row r="28171" spans="1:6" x14ac:dyDescent="0.25">
      <c r="A28171" s="1" t="str">
        <f t="shared" si="1008"/>
        <v>38300</v>
      </c>
      <c r="B28171" s="1" t="str">
        <f>"15460"</f>
        <v>15460</v>
      </c>
      <c r="C28171" s="2">
        <v>0</v>
      </c>
      <c r="D28171" s="2">
        <v>0</v>
      </c>
      <c r="E28171" s="2">
        <v>3.9996000399960001E-5</v>
      </c>
      <c r="F28171" s="2">
        <v>1.5056737551277599E-6</v>
      </c>
    </row>
    <row r="28172" spans="1:6" x14ac:dyDescent="0.25">
      <c r="A28172" s="1" t="str">
        <f t="shared" si="1008"/>
        <v>38300</v>
      </c>
      <c r="B28172" s="1" t="str">
        <f>"15088"</f>
        <v>15088</v>
      </c>
      <c r="C28172" s="2">
        <v>0</v>
      </c>
      <c r="D28172" s="2">
        <v>0</v>
      </c>
      <c r="E28172" s="2">
        <v>7.9992000799920002E-5</v>
      </c>
      <c r="F28172" s="2">
        <v>3.0113475102555198E-6</v>
      </c>
    </row>
    <row r="28173" spans="1:6" x14ac:dyDescent="0.25">
      <c r="A28173" s="1" t="str">
        <f t="shared" si="1008"/>
        <v>38300</v>
      </c>
      <c r="B28173" s="1" t="str">
        <f>"15336"</f>
        <v>15336</v>
      </c>
      <c r="C28173" s="2">
        <v>0</v>
      </c>
      <c r="D28173" s="2">
        <v>0</v>
      </c>
      <c r="E28173" s="2">
        <v>1.999800019998E-5</v>
      </c>
      <c r="F28173" s="2">
        <v>7.5283687756387995E-7</v>
      </c>
    </row>
    <row r="28174" spans="1:6" x14ac:dyDescent="0.25">
      <c r="A28174" s="1" t="str">
        <f t="shared" si="1008"/>
        <v>38300</v>
      </c>
      <c r="B28174" s="1" t="str">
        <f>"15034"</f>
        <v>15034</v>
      </c>
      <c r="C28174" s="2">
        <v>8.7416671693054402E-4</v>
      </c>
      <c r="D28174" s="2">
        <v>9.3889289702815595E-4</v>
      </c>
      <c r="E28174" s="2">
        <v>2.3397660233976602E-3</v>
      </c>
      <c r="F28174" s="2">
        <v>9.3427056505677498E-4</v>
      </c>
    </row>
    <row r="28175" spans="1:6" x14ac:dyDescent="0.25">
      <c r="A28175" s="1" t="str">
        <f t="shared" si="1008"/>
        <v>38300</v>
      </c>
      <c r="B28175" s="1" t="str">
        <f>"15464"</f>
        <v>15464</v>
      </c>
      <c r="C28175" s="2">
        <v>4.73188397794279E-4</v>
      </c>
      <c r="D28175" s="2">
        <v>5.9298498759673001E-5</v>
      </c>
      <c r="E28175" s="2">
        <v>3.9996000399960001E-5</v>
      </c>
      <c r="F28175" s="2">
        <v>4.2535283582359202E-4</v>
      </c>
    </row>
    <row r="28176" spans="1:6" x14ac:dyDescent="0.25">
      <c r="A28176" s="1" t="str">
        <f t="shared" si="1008"/>
        <v>38300</v>
      </c>
      <c r="B28176" s="1" t="str">
        <f>"16127"</f>
        <v>16127</v>
      </c>
      <c r="C28176" s="2">
        <v>9.4297867423994594E-5</v>
      </c>
      <c r="D28176" s="2">
        <v>0</v>
      </c>
      <c r="E28176" s="2">
        <v>1.7998200179982E-4</v>
      </c>
      <c r="F28176" s="2">
        <v>9.0340425307665597E-5</v>
      </c>
    </row>
    <row r="28177" spans="1:6" x14ac:dyDescent="0.25">
      <c r="A28177" s="1" t="str">
        <f t="shared" si="1008"/>
        <v>38300</v>
      </c>
      <c r="B28177" s="1" t="str">
        <f>"15238"</f>
        <v>15238</v>
      </c>
      <c r="C28177" s="2">
        <v>6.0707437892960799E-3</v>
      </c>
      <c r="D28177" s="2">
        <v>1.31445005583941E-2</v>
      </c>
      <c r="E28177" s="2">
        <v>3.9996000399960003E-3</v>
      </c>
      <c r="F28177" s="2">
        <v>6.5316127497442198E-3</v>
      </c>
    </row>
    <row r="28178" spans="1:6" x14ac:dyDescent="0.25">
      <c r="A28178" s="1" t="str">
        <f t="shared" si="1008"/>
        <v>38300</v>
      </c>
      <c r="B28178" s="1" t="str">
        <f>"15672"</f>
        <v>15672</v>
      </c>
      <c r="C28178" s="2">
        <v>1.39238022259393E-3</v>
      </c>
      <c r="D28178" s="2">
        <v>9.1912673077493203E-4</v>
      </c>
      <c r="E28178" s="2">
        <v>1.71982801719828E-3</v>
      </c>
      <c r="F28178" s="2">
        <v>1.36865744341113E-3</v>
      </c>
    </row>
    <row r="28179" spans="1:6" x14ac:dyDescent="0.25">
      <c r="A28179" s="1" t="str">
        <f t="shared" si="1008"/>
        <v>38300</v>
      </c>
      <c r="B28179" s="1" t="str">
        <f>"15678"</f>
        <v>15678</v>
      </c>
      <c r="C28179" s="2">
        <v>1.6820700675631401E-4</v>
      </c>
      <c r="D28179" s="2">
        <v>8.8947748139509599E-5</v>
      </c>
      <c r="E28179" s="2">
        <v>1.999800019998E-5</v>
      </c>
      <c r="F28179" s="2">
        <v>1.5659007053328699E-4</v>
      </c>
    </row>
    <row r="28180" spans="1:6" x14ac:dyDescent="0.25">
      <c r="A28180" s="1" t="str">
        <f t="shared" si="1008"/>
        <v>38300</v>
      </c>
      <c r="B28180" s="1" t="str">
        <f>"15203"</f>
        <v>15203</v>
      </c>
      <c r="C28180" s="2">
        <v>6.5320387623702203E-3</v>
      </c>
      <c r="D28180" s="2">
        <v>1.0288289534803201E-2</v>
      </c>
      <c r="E28180" s="2">
        <v>1.1238876112388701E-2</v>
      </c>
      <c r="F28180" s="2">
        <v>6.9953602663235699E-3</v>
      </c>
    </row>
    <row r="28181" spans="1:6" x14ac:dyDescent="0.25">
      <c r="A28181" s="1" t="str">
        <f t="shared" si="1008"/>
        <v>38300</v>
      </c>
      <c r="B28181" s="1" t="str">
        <f>"15140"</f>
        <v>15140</v>
      </c>
      <c r="C28181" s="2">
        <v>1.5852236091276901E-3</v>
      </c>
      <c r="D28181" s="2">
        <v>1.0278406451676601E-3</v>
      </c>
      <c r="E28181" s="2">
        <v>4.2595740425957398E-3</v>
      </c>
      <c r="F28181" s="2">
        <v>1.6434429037219501E-3</v>
      </c>
    </row>
    <row r="28182" spans="1:6" x14ac:dyDescent="0.25">
      <c r="A28182" s="1" t="str">
        <f t="shared" si="1008"/>
        <v>38300</v>
      </c>
      <c r="B28182" s="1" t="str">
        <f>"15445"</f>
        <v>15445</v>
      </c>
      <c r="C28182" s="2">
        <v>1.08569977088166E-3</v>
      </c>
      <c r="D28182" s="2">
        <v>4.1508949131771101E-4</v>
      </c>
      <c r="E28182" s="2">
        <v>1.1998800119988E-4</v>
      </c>
      <c r="F28182" s="2">
        <v>9.98261699649705E-4</v>
      </c>
    </row>
    <row r="28183" spans="1:6" x14ac:dyDescent="0.25">
      <c r="A28183" s="1" t="str">
        <f t="shared" si="1008"/>
        <v>38300</v>
      </c>
      <c r="B28183" s="1" t="str">
        <f>"15437"</f>
        <v>15437</v>
      </c>
      <c r="C28183" s="2">
        <v>8.6822000457047297E-4</v>
      </c>
      <c r="D28183" s="2">
        <v>5.7321882134350602E-4</v>
      </c>
      <c r="E28183" s="2">
        <v>1.3998600139986E-4</v>
      </c>
      <c r="F28183" s="2">
        <v>8.1833368591193703E-4</v>
      </c>
    </row>
    <row r="28184" spans="1:6" x14ac:dyDescent="0.25">
      <c r="A28184" s="1" t="str">
        <f t="shared" si="1008"/>
        <v>38300</v>
      </c>
      <c r="B28184" s="1" t="str">
        <f>"16245"</f>
        <v>16245</v>
      </c>
      <c r="C28184" s="2">
        <v>0</v>
      </c>
      <c r="D28184" s="2">
        <v>0</v>
      </c>
      <c r="E28184" s="2">
        <v>1.999800019998E-5</v>
      </c>
      <c r="F28184" s="2">
        <v>7.5283687756387995E-7</v>
      </c>
    </row>
    <row r="28185" spans="1:6" x14ac:dyDescent="0.25">
      <c r="A28185" s="1" t="str">
        <f t="shared" si="1008"/>
        <v>38300</v>
      </c>
      <c r="B28185" s="1" t="str">
        <f>"15662"</f>
        <v>15662</v>
      </c>
      <c r="C28185" s="2">
        <v>0</v>
      </c>
      <c r="D28185" s="2">
        <v>0</v>
      </c>
      <c r="E28185" s="2">
        <v>1.999800019998E-5</v>
      </c>
      <c r="F28185" s="2">
        <v>7.5283687756387995E-7</v>
      </c>
    </row>
    <row r="28186" spans="1:6" x14ac:dyDescent="0.25">
      <c r="A28186" s="1" t="str">
        <f t="shared" si="1008"/>
        <v>38300</v>
      </c>
      <c r="B28186" s="1" t="str">
        <f>"15422"</f>
        <v>15422</v>
      </c>
      <c r="C28186" s="2">
        <v>0</v>
      </c>
      <c r="D28186" s="2">
        <v>0</v>
      </c>
      <c r="E28186" s="2">
        <v>3.9996000399960001E-5</v>
      </c>
      <c r="F28186" s="2">
        <v>1.5056737551277599E-6</v>
      </c>
    </row>
    <row r="28187" spans="1:6" x14ac:dyDescent="0.25">
      <c r="A28187" s="1" t="str">
        <f t="shared" si="1008"/>
        <v>38300</v>
      </c>
      <c r="B28187" s="1" t="str">
        <f>"15339"</f>
        <v>15339</v>
      </c>
      <c r="C28187" s="2">
        <v>0</v>
      </c>
      <c r="D28187" s="2">
        <v>0</v>
      </c>
      <c r="E28187" s="2">
        <v>1.999800019998E-5</v>
      </c>
      <c r="F28187" s="2">
        <v>7.5283687756387995E-7</v>
      </c>
    </row>
    <row r="28188" spans="1:6" x14ac:dyDescent="0.25">
      <c r="A28188" s="1" t="str">
        <f t="shared" si="1008"/>
        <v>38300</v>
      </c>
      <c r="B28188" s="1" t="str">
        <f>"15350"</f>
        <v>15350</v>
      </c>
      <c r="C28188" s="2">
        <v>0</v>
      </c>
      <c r="D28188" s="2">
        <v>0</v>
      </c>
      <c r="E28188" s="2">
        <v>1.999800019998E-5</v>
      </c>
      <c r="F28188" s="2">
        <v>7.5283687756387995E-7</v>
      </c>
    </row>
    <row r="28189" spans="1:6" x14ac:dyDescent="0.25">
      <c r="A28189" s="1" t="str">
        <f t="shared" si="1008"/>
        <v>38300</v>
      </c>
      <c r="B28189" s="1" t="str">
        <f>"15698"</f>
        <v>15698</v>
      </c>
      <c r="C28189" s="2">
        <v>4.6724168543420697E-5</v>
      </c>
      <c r="D28189" s="2">
        <v>1.9766166253224299E-5</v>
      </c>
      <c r="E28189" s="2">
        <v>1.999800019998E-5</v>
      </c>
      <c r="F28189" s="2">
        <v>4.3664538898704999E-5</v>
      </c>
    </row>
    <row r="28190" spans="1:6" x14ac:dyDescent="0.25">
      <c r="A28190" s="1" t="str">
        <f t="shared" si="1008"/>
        <v>38300</v>
      </c>
      <c r="B28190" s="1" t="str">
        <f>"15078"</f>
        <v>15078</v>
      </c>
      <c r="C28190" s="2">
        <v>2.29373191031338E-5</v>
      </c>
      <c r="D28190" s="2">
        <v>1.9766166253224299E-5</v>
      </c>
      <c r="E28190" s="2">
        <v>1.999800019998E-5</v>
      </c>
      <c r="F28190" s="2">
        <v>2.2585106326916399E-5</v>
      </c>
    </row>
    <row r="28191" spans="1:6" x14ac:dyDescent="0.25">
      <c r="A28191" s="1" t="str">
        <f t="shared" si="1008"/>
        <v>38300</v>
      </c>
      <c r="B28191" s="1" t="str">
        <f>"16022"</f>
        <v>16022</v>
      </c>
      <c r="C28191" s="2">
        <v>0</v>
      </c>
      <c r="D28191" s="2">
        <v>0</v>
      </c>
      <c r="E28191" s="2">
        <v>7.9992000799920002E-5</v>
      </c>
      <c r="F28191" s="2">
        <v>3.0113475102555198E-6</v>
      </c>
    </row>
    <row r="28192" spans="1:6" x14ac:dyDescent="0.25">
      <c r="A28192" s="1" t="str">
        <f t="shared" si="1008"/>
        <v>38300</v>
      </c>
      <c r="B28192" s="1" t="str">
        <f>"15289"</f>
        <v>15289</v>
      </c>
      <c r="C28192" s="2">
        <v>0</v>
      </c>
      <c r="D28192" s="2">
        <v>0</v>
      </c>
      <c r="E28192" s="2">
        <v>1.999800019998E-5</v>
      </c>
      <c r="F28192" s="2">
        <v>7.5283687756387995E-7</v>
      </c>
    </row>
    <row r="28193" spans="1:6" x14ac:dyDescent="0.25">
      <c r="A28193" s="1" t="str">
        <f t="shared" si="1008"/>
        <v>38300</v>
      </c>
      <c r="B28193" s="1" t="str">
        <f>"15466"</f>
        <v>15466</v>
      </c>
      <c r="C28193" s="2">
        <v>0</v>
      </c>
      <c r="D28193" s="2">
        <v>0</v>
      </c>
      <c r="E28193" s="2">
        <v>5.9994000599940001E-5</v>
      </c>
      <c r="F28193" s="2">
        <v>2.2585106326916402E-6</v>
      </c>
    </row>
    <row r="28194" spans="1:6" x14ac:dyDescent="0.25">
      <c r="A28194" s="1" t="str">
        <f t="shared" si="1008"/>
        <v>38300</v>
      </c>
      <c r="B28194" s="1" t="str">
        <f>"15641"</f>
        <v>15641</v>
      </c>
      <c r="C28194" s="2">
        <v>1.8010043147645801E-4</v>
      </c>
      <c r="D28194" s="2">
        <v>3.9532332506448699E-5</v>
      </c>
      <c r="E28194" s="2">
        <v>9.9990000999900002E-5</v>
      </c>
      <c r="F28194" s="2">
        <v>1.6637694994161699E-4</v>
      </c>
    </row>
    <row r="28195" spans="1:6" x14ac:dyDescent="0.25">
      <c r="A28195" s="1" t="str">
        <f t="shared" si="1008"/>
        <v>38300</v>
      </c>
      <c r="B28195" s="1" t="str">
        <f>"15322"</f>
        <v>15322</v>
      </c>
      <c r="C28195" s="2">
        <v>2.4721332811155299E-4</v>
      </c>
      <c r="D28195" s="2">
        <v>4.9415415633060799E-5</v>
      </c>
      <c r="E28195" s="2">
        <v>0</v>
      </c>
      <c r="F28195" s="2">
        <v>2.2283971575890799E-4</v>
      </c>
    </row>
    <row r="28196" spans="1:6" x14ac:dyDescent="0.25">
      <c r="A28196" s="1" t="str">
        <f t="shared" si="1008"/>
        <v>38300</v>
      </c>
      <c r="B28196" s="1" t="str">
        <f>"15671"</f>
        <v>15671</v>
      </c>
      <c r="C28196" s="2">
        <v>2.5910675283169601E-4</v>
      </c>
      <c r="D28196" s="2">
        <v>5.9298498759673001E-5</v>
      </c>
      <c r="E28196" s="2">
        <v>1.999800019998E-5</v>
      </c>
      <c r="F28196" s="2">
        <v>2.3488510579993001E-4</v>
      </c>
    </row>
    <row r="28197" spans="1:6" x14ac:dyDescent="0.25">
      <c r="A28197" s="1" t="str">
        <f t="shared" si="1008"/>
        <v>38300</v>
      </c>
      <c r="B28197" s="1" t="str">
        <f>"16224"</f>
        <v>16224</v>
      </c>
      <c r="C28197" s="2">
        <v>2.1238258428827599E-5</v>
      </c>
      <c r="D28197" s="2">
        <v>0</v>
      </c>
      <c r="E28197" s="2">
        <v>0</v>
      </c>
      <c r="F28197" s="2">
        <v>1.8820921939097001E-5</v>
      </c>
    </row>
    <row r="28198" spans="1:6" x14ac:dyDescent="0.25">
      <c r="A28198" s="1" t="str">
        <f t="shared" si="1008"/>
        <v>38300</v>
      </c>
      <c r="B28198" s="1" t="str">
        <f>"16030"</f>
        <v>16030</v>
      </c>
      <c r="C28198" s="2">
        <v>0</v>
      </c>
      <c r="D28198" s="2">
        <v>0</v>
      </c>
      <c r="E28198" s="2">
        <v>1.5998400159984E-4</v>
      </c>
      <c r="F28198" s="2">
        <v>6.0226950205110396E-6</v>
      </c>
    </row>
    <row r="28199" spans="1:6" x14ac:dyDescent="0.25">
      <c r="A28199" s="1" t="str">
        <f t="shared" si="1008"/>
        <v>38300</v>
      </c>
      <c r="B28199" s="1" t="str">
        <f>"15458"</f>
        <v>15458</v>
      </c>
      <c r="C28199" s="2">
        <v>7.9600992591245898E-4</v>
      </c>
      <c r="D28199" s="2">
        <v>3.6567407568464998E-4</v>
      </c>
      <c r="E28199" s="2">
        <v>4.5995400459953998E-4</v>
      </c>
      <c r="F28199" s="2">
        <v>7.5057836693118803E-4</v>
      </c>
    </row>
    <row r="28200" spans="1:6" x14ac:dyDescent="0.25">
      <c r="A28200" s="1" t="str">
        <f t="shared" si="1008"/>
        <v>38300</v>
      </c>
      <c r="B28200" s="1" t="str">
        <f>"15470"</f>
        <v>15470</v>
      </c>
      <c r="C28200" s="2">
        <v>2.8289360227198298E-4</v>
      </c>
      <c r="D28200" s="2">
        <v>5.9298498759673001E-5</v>
      </c>
      <c r="E28200" s="2">
        <v>3.9996000399960001E-5</v>
      </c>
      <c r="F28200" s="2">
        <v>2.5671737524928298E-4</v>
      </c>
    </row>
    <row r="28201" spans="1:6" x14ac:dyDescent="0.25">
      <c r="A28201" s="1" t="str">
        <f t="shared" si="1008"/>
        <v>38300</v>
      </c>
      <c r="B28201" s="1" t="str">
        <f>"15613"</f>
        <v>15613</v>
      </c>
      <c r="C28201" s="2">
        <v>5.5780161937472802E-3</v>
      </c>
      <c r="D28201" s="2">
        <v>3.0439896029965498E-3</v>
      </c>
      <c r="E28201" s="2">
        <v>4.1995800419957997E-3</v>
      </c>
      <c r="F28201" s="2">
        <v>5.3330964406625202E-3</v>
      </c>
    </row>
    <row r="28202" spans="1:6" x14ac:dyDescent="0.25">
      <c r="A28202" s="1" t="str">
        <f t="shared" si="1008"/>
        <v>38300</v>
      </c>
      <c r="B28202" s="1" t="str">
        <f>"15615"</f>
        <v>15615</v>
      </c>
      <c r="C28202" s="2">
        <v>1.11288474167056E-4</v>
      </c>
      <c r="D28202" s="2">
        <v>9.8830831266121696E-6</v>
      </c>
      <c r="E28202" s="2">
        <v>1.999800019998E-5</v>
      </c>
      <c r="F28202" s="2">
        <v>1.0012730471599601E-4</v>
      </c>
    </row>
    <row r="28203" spans="1:6" x14ac:dyDescent="0.25">
      <c r="A28203" s="1" t="str">
        <f t="shared" si="1008"/>
        <v>38300</v>
      </c>
      <c r="B28203" s="1" t="str">
        <f>"15314"</f>
        <v>15314</v>
      </c>
      <c r="C28203" s="2">
        <v>1.64129261137979E-3</v>
      </c>
      <c r="D28203" s="2">
        <v>1.8481365446764699E-3</v>
      </c>
      <c r="E28203" s="2">
        <v>7.3992600739926004E-4</v>
      </c>
      <c r="F28203" s="2">
        <v>1.6231163080277201E-3</v>
      </c>
    </row>
    <row r="28204" spans="1:6" x14ac:dyDescent="0.25">
      <c r="A28204" s="1" t="str">
        <f t="shared" si="1008"/>
        <v>38300</v>
      </c>
      <c r="B28204" s="1" t="str">
        <f>"15317"</f>
        <v>15317</v>
      </c>
      <c r="C28204" s="2">
        <v>1.6365352414917399E-2</v>
      </c>
      <c r="D28204" s="2">
        <v>2.23357678661435E-2</v>
      </c>
      <c r="E28204" s="2">
        <v>1.0318968103189601E-2</v>
      </c>
      <c r="F28204" s="2">
        <v>1.6592524781507901E-2</v>
      </c>
    </row>
    <row r="28205" spans="1:6" x14ac:dyDescent="0.25">
      <c r="A28205" s="1" t="str">
        <f t="shared" si="1008"/>
        <v>38300</v>
      </c>
      <c r="B28205" s="1" t="str">
        <f>"15423"</f>
        <v>15423</v>
      </c>
      <c r="C28205" s="2">
        <v>6.5583742028219602E-4</v>
      </c>
      <c r="D28205" s="2">
        <v>3.5579099255803802E-4</v>
      </c>
      <c r="E28205" s="2">
        <v>1.999800019998E-5</v>
      </c>
      <c r="F28205" s="2">
        <v>6.09045033949178E-4</v>
      </c>
    </row>
    <row r="28206" spans="1:6" x14ac:dyDescent="0.25">
      <c r="A28206" s="1" t="str">
        <f t="shared" si="1008"/>
        <v>38300</v>
      </c>
      <c r="B28206" s="1" t="str">
        <f>"15209"</f>
        <v>15209</v>
      </c>
      <c r="C28206" s="2">
        <v>5.2399031195603501E-3</v>
      </c>
      <c r="D28206" s="2">
        <v>3.5381437593271499E-3</v>
      </c>
      <c r="E28206" s="2">
        <v>4.2195780421957797E-3</v>
      </c>
      <c r="F28206" s="2">
        <v>5.0718620441478597E-3</v>
      </c>
    </row>
    <row r="28207" spans="1:6" x14ac:dyDescent="0.25">
      <c r="A28207" s="1" t="str">
        <f t="shared" si="1008"/>
        <v>38300</v>
      </c>
      <c r="B28207" s="1" t="str">
        <f>"16055"</f>
        <v>16055</v>
      </c>
      <c r="C28207" s="2">
        <v>3.1678986272439202E-3</v>
      </c>
      <c r="D28207" s="2">
        <v>2.0359151240821002E-3</v>
      </c>
      <c r="E28207" s="2">
        <v>6.5993400659934004E-4</v>
      </c>
      <c r="F28207" s="2">
        <v>2.9872567301734701E-3</v>
      </c>
    </row>
    <row r="28208" spans="1:6" x14ac:dyDescent="0.25">
      <c r="A28208" s="1" t="str">
        <f t="shared" si="1008"/>
        <v>38300</v>
      </c>
      <c r="B28208" s="1" t="str">
        <f>"16053"</f>
        <v>16053</v>
      </c>
      <c r="C28208" s="2">
        <v>1.59881609452214E-3</v>
      </c>
      <c r="D28208" s="2">
        <v>5.1392032258383298E-4</v>
      </c>
      <c r="E28208" s="2">
        <v>9.9990000999900002E-5</v>
      </c>
      <c r="F28208" s="2">
        <v>1.4597507055963601E-3</v>
      </c>
    </row>
    <row r="28209" spans="1:6" x14ac:dyDescent="0.25">
      <c r="A28209" s="1" t="str">
        <f t="shared" si="1008"/>
        <v>38300</v>
      </c>
      <c r="B28209" s="1" t="str">
        <f>"16240"</f>
        <v>16240</v>
      </c>
      <c r="C28209" s="2">
        <v>1.9624150788236699E-4</v>
      </c>
      <c r="D28209" s="2">
        <v>2.96492493798365E-5</v>
      </c>
      <c r="E28209" s="2">
        <v>0</v>
      </c>
      <c r="F28209" s="2">
        <v>1.7616382934994699E-4</v>
      </c>
    </row>
    <row r="28210" spans="1:6" x14ac:dyDescent="0.25">
      <c r="A28210" s="1" t="str">
        <f t="shared" si="1008"/>
        <v>38300</v>
      </c>
      <c r="B28210" s="1" t="str">
        <f>"16249"</f>
        <v>16249</v>
      </c>
      <c r="C28210" s="2">
        <v>6.2865244949329702E-4</v>
      </c>
      <c r="D28210" s="2">
        <v>1.48246246899182E-4</v>
      </c>
      <c r="E28210" s="2">
        <v>4.3995600439956001E-4</v>
      </c>
      <c r="F28210" s="2">
        <v>5.8495425386713396E-4</v>
      </c>
    </row>
    <row r="28211" spans="1:6" x14ac:dyDescent="0.25">
      <c r="A28211" s="1" t="str">
        <f t="shared" si="1008"/>
        <v>38300</v>
      </c>
      <c r="B28211" s="1" t="str">
        <f>"15132"</f>
        <v>15132</v>
      </c>
      <c r="C28211" s="2">
        <v>9.8171725761412795E-3</v>
      </c>
      <c r="D28211" s="2">
        <v>1.0871391439273299E-2</v>
      </c>
      <c r="E28211" s="2">
        <v>1.16188381161883E-2</v>
      </c>
      <c r="F28211" s="2">
        <v>9.9653017483130792E-3</v>
      </c>
    </row>
    <row r="28212" spans="1:6" x14ac:dyDescent="0.25">
      <c r="A28212" s="1" t="str">
        <f t="shared" si="1008"/>
        <v>38300</v>
      </c>
      <c r="B28212" s="1" t="str">
        <f>"15061"</f>
        <v>15061</v>
      </c>
      <c r="C28212" s="2">
        <v>5.4140568386767301E-3</v>
      </c>
      <c r="D28212" s="2">
        <v>7.9855311663026302E-3</v>
      </c>
      <c r="E28212" s="2">
        <v>4.6395360463953603E-3</v>
      </c>
      <c r="F28212" s="2">
        <v>5.5807797733810399E-3</v>
      </c>
    </row>
    <row r="28213" spans="1:6" x14ac:dyDescent="0.25">
      <c r="A28213" s="1" t="str">
        <f t="shared" si="1008"/>
        <v>38300</v>
      </c>
      <c r="B28213" s="1" t="str">
        <f>"15042"</f>
        <v>15042</v>
      </c>
      <c r="C28213" s="2">
        <v>3.31996455759433E-3</v>
      </c>
      <c r="D28213" s="2">
        <v>1.1958530583200701E-3</v>
      </c>
      <c r="E28213" s="2">
        <v>5.7994200579942004E-4</v>
      </c>
      <c r="F28213" s="2">
        <v>3.0550120491542199E-3</v>
      </c>
    </row>
    <row r="28214" spans="1:6" x14ac:dyDescent="0.25">
      <c r="A28214" s="1" t="str">
        <f t="shared" si="1008"/>
        <v>38300</v>
      </c>
      <c r="B28214" s="1" t="str">
        <f>"15021"</f>
        <v>15021</v>
      </c>
      <c r="C28214" s="2">
        <v>2.8374313260913701E-3</v>
      </c>
      <c r="D28214" s="2">
        <v>2.55971852979255E-3</v>
      </c>
      <c r="E28214" s="2">
        <v>1.3598640135986399E-3</v>
      </c>
      <c r="F28214" s="2">
        <v>2.7606528300267402E-3</v>
      </c>
    </row>
    <row r="28215" spans="1:6" x14ac:dyDescent="0.25">
      <c r="A28215" s="1" t="str">
        <f t="shared" si="1008"/>
        <v>38300</v>
      </c>
      <c r="B28215" s="1" t="str">
        <f>"15052"</f>
        <v>15052</v>
      </c>
      <c r="C28215" s="2">
        <v>1.3048785978671601E-3</v>
      </c>
      <c r="D28215" s="2">
        <v>4.2497257444432302E-4</v>
      </c>
      <c r="E28215" s="2">
        <v>4.9995000499950004E-4</v>
      </c>
      <c r="F28215" s="2">
        <v>1.20755035161246E-3</v>
      </c>
    </row>
    <row r="28216" spans="1:6" x14ac:dyDescent="0.25">
      <c r="A28216" s="1" t="str">
        <f t="shared" si="1008"/>
        <v>38300</v>
      </c>
      <c r="B28216" s="1" t="str">
        <f>"15102"</f>
        <v>15102</v>
      </c>
      <c r="C28216" s="2">
        <v>1.16317693763003E-2</v>
      </c>
      <c r="D28216" s="2">
        <v>1.07132621092476E-2</v>
      </c>
      <c r="E28216" s="2">
        <v>6.4593540645935402E-3</v>
      </c>
      <c r="F28216" s="2">
        <v>1.1367084014337E-2</v>
      </c>
    </row>
    <row r="28217" spans="1:6" x14ac:dyDescent="0.25">
      <c r="A28217" s="1" t="str">
        <f t="shared" si="1008"/>
        <v>38300</v>
      </c>
      <c r="B28217" s="1" t="str">
        <f>"15084"</f>
        <v>15084</v>
      </c>
      <c r="C28217" s="2">
        <v>4.3105169307148502E-3</v>
      </c>
      <c r="D28217" s="2">
        <v>5.7420712965616698E-3</v>
      </c>
      <c r="E28217" s="2">
        <v>4.2995700429956998E-3</v>
      </c>
      <c r="F28217" s="2">
        <v>4.4191524712999704E-3</v>
      </c>
    </row>
    <row r="28218" spans="1:6" x14ac:dyDescent="0.25">
      <c r="A28218" s="1" t="str">
        <f t="shared" si="1008"/>
        <v>38300</v>
      </c>
      <c r="B28218" s="1" t="str">
        <f>"15064"</f>
        <v>15064</v>
      </c>
      <c r="C28218" s="2">
        <v>1.70755597767774E-4</v>
      </c>
      <c r="D28218" s="2">
        <v>1.9766166253224301E-4</v>
      </c>
      <c r="E28218" s="2">
        <v>4.1995800419957998E-4</v>
      </c>
      <c r="F28218" s="2">
        <v>1.82186524370458E-4</v>
      </c>
    </row>
    <row r="28219" spans="1:6" x14ac:dyDescent="0.25">
      <c r="A28219" s="1" t="str">
        <f t="shared" si="1008"/>
        <v>38300</v>
      </c>
      <c r="B28219" s="1" t="str">
        <f>"15074"</f>
        <v>15074</v>
      </c>
      <c r="C28219" s="2">
        <v>3.7319867711135802E-3</v>
      </c>
      <c r="D28219" s="2">
        <v>3.3503651799215201E-3</v>
      </c>
      <c r="E28219" s="2">
        <v>4.2595740425957398E-3</v>
      </c>
      <c r="F28219" s="2">
        <v>3.7227783595533801E-3</v>
      </c>
    </row>
    <row r="28220" spans="1:6" x14ac:dyDescent="0.25">
      <c r="A28220" s="1" t="str">
        <f t="shared" si="1008"/>
        <v>38300</v>
      </c>
      <c r="B28220" s="1" t="str">
        <f>"15221"</f>
        <v>15221</v>
      </c>
      <c r="C28220" s="2">
        <v>1.5735000904749798E-2</v>
      </c>
      <c r="D28220" s="2">
        <v>1.02487572022968E-2</v>
      </c>
      <c r="E28220" s="2">
        <v>2.9357064293570601E-2</v>
      </c>
      <c r="F28220" s="2">
        <v>1.58299010245357E-2</v>
      </c>
    </row>
    <row r="28221" spans="1:6" x14ac:dyDescent="0.25">
      <c r="A28221" s="1" t="str">
        <f t="shared" si="1008"/>
        <v>38300</v>
      </c>
      <c r="B28221" s="1" t="str">
        <f>"15668"</f>
        <v>15668</v>
      </c>
      <c r="C28221" s="2">
        <v>5.2704862116978602E-3</v>
      </c>
      <c r="D28221" s="2">
        <v>7.77798642064378E-3</v>
      </c>
      <c r="E28221" s="2">
        <v>1.85981401859814E-3</v>
      </c>
      <c r="F28221" s="2">
        <v>5.3330964406625202E-3</v>
      </c>
    </row>
    <row r="28222" spans="1:6" x14ac:dyDescent="0.25">
      <c r="A28222" s="1" t="str">
        <f t="shared" si="1008"/>
        <v>38300</v>
      </c>
      <c r="B28222" s="1" t="str">
        <f>"15681"</f>
        <v>15681</v>
      </c>
      <c r="C28222" s="2">
        <v>8.5037986749025797E-4</v>
      </c>
      <c r="D28222" s="2">
        <v>3.9532332506448699E-4</v>
      </c>
      <c r="E28222" s="2">
        <v>7.9992000799920002E-5</v>
      </c>
      <c r="F28222" s="2">
        <v>7.8671453705425403E-4</v>
      </c>
    </row>
    <row r="28223" spans="1:6" x14ac:dyDescent="0.25">
      <c r="A28223" s="1" t="str">
        <f t="shared" si="1008"/>
        <v>38300</v>
      </c>
      <c r="B28223" s="1" t="str">
        <f>"15647"</f>
        <v>15647</v>
      </c>
      <c r="C28223" s="2">
        <v>4.5025107869114503E-5</v>
      </c>
      <c r="D28223" s="2">
        <v>3.9532332506448699E-5</v>
      </c>
      <c r="E28223" s="2">
        <v>3.9996000399960001E-5</v>
      </c>
      <c r="F28223" s="2">
        <v>4.4417375776268899E-5</v>
      </c>
    </row>
    <row r="28224" spans="1:6" x14ac:dyDescent="0.25">
      <c r="A28224" s="1" t="str">
        <f t="shared" si="1008"/>
        <v>38300</v>
      </c>
      <c r="B28224" s="1" t="str">
        <f>"15202"</f>
        <v>15202</v>
      </c>
      <c r="C28224" s="2">
        <v>9.1477426704646304E-3</v>
      </c>
      <c r="D28224" s="2">
        <v>5.55429271715604E-3</v>
      </c>
      <c r="E28224" s="2">
        <v>1.8818118188181101E-2</v>
      </c>
      <c r="F28224" s="2">
        <v>9.2380613245863705E-3</v>
      </c>
    </row>
    <row r="28225" spans="1:6" x14ac:dyDescent="0.25">
      <c r="A28225" s="1" t="str">
        <f t="shared" ref="A28225:A28267" si="1009">"38300"</f>
        <v>38300</v>
      </c>
      <c r="B28225" s="1" t="str">
        <f>"15145"</f>
        <v>15145</v>
      </c>
      <c r="C28225" s="2">
        <v>3.3649896654634401E-3</v>
      </c>
      <c r="D28225" s="2">
        <v>2.22369370348774E-3</v>
      </c>
      <c r="E28225" s="2">
        <v>1.02189781021897E-2</v>
      </c>
      <c r="F28225" s="2">
        <v>3.5360748139175399E-3</v>
      </c>
    </row>
    <row r="28226" spans="1:6" x14ac:dyDescent="0.25">
      <c r="A28226" s="1" t="str">
        <f t="shared" si="1009"/>
        <v>38300</v>
      </c>
      <c r="B28226" s="1" t="str">
        <f>"15622"</f>
        <v>15622</v>
      </c>
      <c r="C28226" s="2">
        <v>4.0097831913626502E-4</v>
      </c>
      <c r="D28226" s="2">
        <v>7.9064665012897398E-5</v>
      </c>
      <c r="E28226" s="2">
        <v>2.7997200279972001E-4</v>
      </c>
      <c r="F28226" s="2">
        <v>3.71901417516556E-4</v>
      </c>
    </row>
    <row r="28227" spans="1:6" x14ac:dyDescent="0.25">
      <c r="A28227" s="1" t="str">
        <f t="shared" si="1009"/>
        <v>38300</v>
      </c>
      <c r="B28227" s="1" t="str">
        <f>"15345"</f>
        <v>15345</v>
      </c>
      <c r="C28227" s="2">
        <v>3.25370119129639E-4</v>
      </c>
      <c r="D28227" s="2">
        <v>4.9415415633060799E-5</v>
      </c>
      <c r="E28227" s="2">
        <v>9.9990000999900002E-5</v>
      </c>
      <c r="F28227" s="2">
        <v>2.9586489288260402E-4</v>
      </c>
    </row>
    <row r="28228" spans="1:6" x14ac:dyDescent="0.25">
      <c r="A28228" s="1" t="str">
        <f t="shared" si="1009"/>
        <v>38300</v>
      </c>
      <c r="B28228" s="1" t="str">
        <f>"15213"</f>
        <v>15213</v>
      </c>
      <c r="C28228" s="2">
        <v>1.21890612774727E-2</v>
      </c>
      <c r="D28228" s="2">
        <v>1.3381694553432801E-2</v>
      </c>
      <c r="E28228" s="2">
        <v>2.7417258274172501E-2</v>
      </c>
      <c r="F28228" s="2">
        <v>1.2853184010648101E-2</v>
      </c>
    </row>
    <row r="28229" spans="1:6" x14ac:dyDescent="0.25">
      <c r="A28229" s="1" t="str">
        <f t="shared" si="1009"/>
        <v>38300</v>
      </c>
      <c r="B28229" s="1" t="str">
        <f>"15217"</f>
        <v>15217</v>
      </c>
      <c r="C28229" s="2">
        <v>1.1523029493144699E-2</v>
      </c>
      <c r="D28229" s="2">
        <v>8.8848917308243392E-3</v>
      </c>
      <c r="E28229" s="2">
        <v>1.6898310168983102E-2</v>
      </c>
      <c r="F28229" s="2">
        <v>1.15244269217478E-2</v>
      </c>
    </row>
    <row r="28230" spans="1:6" x14ac:dyDescent="0.25">
      <c r="A28230" s="1" t="str">
        <f t="shared" si="1009"/>
        <v>38300</v>
      </c>
      <c r="B28230" s="1" t="str">
        <f>"16041"</f>
        <v>16041</v>
      </c>
      <c r="C28230" s="2">
        <v>7.3059608995167005E-4</v>
      </c>
      <c r="D28230" s="2">
        <v>2.2731091191207999E-4</v>
      </c>
      <c r="E28230" s="2">
        <v>5.9994000599940001E-5</v>
      </c>
      <c r="F28230" s="2">
        <v>6.6701347352159698E-4</v>
      </c>
    </row>
    <row r="28231" spans="1:6" x14ac:dyDescent="0.25">
      <c r="A28231" s="1" t="str">
        <f t="shared" si="1009"/>
        <v>38300</v>
      </c>
      <c r="B28231" s="1" t="str">
        <f>"15240"</f>
        <v>15240</v>
      </c>
      <c r="C28231" s="2">
        <v>0</v>
      </c>
      <c r="D28231" s="2">
        <v>1.9766166253224299E-5</v>
      </c>
      <c r="E28231" s="2">
        <v>5.9994000599940001E-5</v>
      </c>
      <c r="F28231" s="2">
        <v>3.7641843878193999E-6</v>
      </c>
    </row>
    <row r="28232" spans="1:6" x14ac:dyDescent="0.25">
      <c r="A28232" s="1" t="str">
        <f t="shared" si="1009"/>
        <v>38300</v>
      </c>
      <c r="B28232" s="1" t="str">
        <f>"15295"</f>
        <v>15295</v>
      </c>
      <c r="C28232" s="2">
        <v>0</v>
      </c>
      <c r="D28232" s="2">
        <v>0</v>
      </c>
      <c r="E28232" s="2">
        <v>3.9996000399960001E-5</v>
      </c>
      <c r="F28232" s="2">
        <v>1.5056737551277599E-6</v>
      </c>
    </row>
    <row r="28233" spans="1:6" x14ac:dyDescent="0.25">
      <c r="A28233" s="1" t="str">
        <f t="shared" si="1009"/>
        <v>38300</v>
      </c>
      <c r="B28233" s="1" t="str">
        <f>"15685"</f>
        <v>15685</v>
      </c>
      <c r="C28233" s="2">
        <v>0</v>
      </c>
      <c r="D28233" s="2">
        <v>0</v>
      </c>
      <c r="E28233" s="2">
        <v>3.9996000399960001E-5</v>
      </c>
      <c r="F28233" s="2">
        <v>1.5056737551277599E-6</v>
      </c>
    </row>
    <row r="28234" spans="1:6" x14ac:dyDescent="0.25">
      <c r="A28234" s="1" t="str">
        <f t="shared" si="1009"/>
        <v>38300</v>
      </c>
      <c r="B28234" s="1" t="str">
        <f>"15348"</f>
        <v>15348</v>
      </c>
      <c r="C28234" s="2">
        <v>0</v>
      </c>
      <c r="D28234" s="2">
        <v>0</v>
      </c>
      <c r="E28234" s="2">
        <v>1.1998800119988E-4</v>
      </c>
      <c r="F28234" s="2">
        <v>4.5170212653832804E-6</v>
      </c>
    </row>
    <row r="28235" spans="1:6" x14ac:dyDescent="0.25">
      <c r="A28235" s="1" t="str">
        <f t="shared" si="1009"/>
        <v>38300</v>
      </c>
      <c r="B28235" s="1" t="str">
        <f>"16263"</f>
        <v>16263</v>
      </c>
      <c r="C28235" s="2">
        <v>1.6990606743061999E-6</v>
      </c>
      <c r="D28235" s="2">
        <v>0</v>
      </c>
      <c r="E28235" s="2">
        <v>3.9996000399960001E-5</v>
      </c>
      <c r="F28235" s="2">
        <v>3.0113475102555198E-6</v>
      </c>
    </row>
    <row r="28236" spans="1:6" x14ac:dyDescent="0.25">
      <c r="A28236" s="1" t="str">
        <f t="shared" si="1009"/>
        <v>38300</v>
      </c>
      <c r="B28236" s="1" t="str">
        <f>"15072"</f>
        <v>15072</v>
      </c>
      <c r="C28236" s="2">
        <v>0</v>
      </c>
      <c r="D28236" s="2">
        <v>0</v>
      </c>
      <c r="E28236" s="2">
        <v>1.1798820117988201E-3</v>
      </c>
      <c r="F28236" s="2">
        <v>4.4417375776268899E-5</v>
      </c>
    </row>
    <row r="28237" spans="1:6" x14ac:dyDescent="0.25">
      <c r="A28237" s="1" t="str">
        <f t="shared" si="1009"/>
        <v>38300</v>
      </c>
      <c r="B28237" s="1" t="str">
        <f>"15689"</f>
        <v>15689</v>
      </c>
      <c r="C28237" s="2">
        <v>0</v>
      </c>
      <c r="D28237" s="2">
        <v>0</v>
      </c>
      <c r="E28237" s="2">
        <v>1.999800019998E-5</v>
      </c>
      <c r="F28237" s="2">
        <v>7.5283687756387995E-7</v>
      </c>
    </row>
    <row r="28238" spans="1:6" x14ac:dyDescent="0.25">
      <c r="A28238" s="1" t="str">
        <f t="shared" si="1009"/>
        <v>38300</v>
      </c>
      <c r="B28238" s="1" t="str">
        <f>"15691"</f>
        <v>15691</v>
      </c>
      <c r="C28238" s="2">
        <v>0</v>
      </c>
      <c r="D28238" s="2">
        <v>0</v>
      </c>
      <c r="E28238" s="2">
        <v>3.9996000399960001E-5</v>
      </c>
      <c r="F28238" s="2">
        <v>1.5056737551277599E-6</v>
      </c>
    </row>
    <row r="28239" spans="1:6" x14ac:dyDescent="0.25">
      <c r="A28239" s="1" t="str">
        <f t="shared" si="1009"/>
        <v>38300</v>
      </c>
      <c r="B28239" s="1" t="str">
        <f>"15477"</f>
        <v>15477</v>
      </c>
      <c r="C28239" s="2">
        <v>0</v>
      </c>
      <c r="D28239" s="2">
        <v>0</v>
      </c>
      <c r="E28239" s="2">
        <v>1.5998400159984E-4</v>
      </c>
      <c r="F28239" s="2">
        <v>6.0226950205110396E-6</v>
      </c>
    </row>
    <row r="28240" spans="1:6" x14ac:dyDescent="0.25">
      <c r="A28240" s="1" t="str">
        <f t="shared" si="1009"/>
        <v>38300</v>
      </c>
      <c r="B28240" s="1" t="str">
        <f>"15779"</f>
        <v>15779</v>
      </c>
      <c r="C28240" s="2">
        <v>0</v>
      </c>
      <c r="D28240" s="2">
        <v>9.8830831266121696E-6</v>
      </c>
      <c r="E28240" s="2">
        <v>0</v>
      </c>
      <c r="F28240" s="2">
        <v>7.5283687756387995E-7</v>
      </c>
    </row>
    <row r="28241" spans="1:6" x14ac:dyDescent="0.25">
      <c r="A28241" s="1" t="str">
        <f t="shared" si="1009"/>
        <v>38300</v>
      </c>
      <c r="B28241" s="1" t="str">
        <f>"15472"</f>
        <v>15472</v>
      </c>
      <c r="C28241" s="2">
        <v>0</v>
      </c>
      <c r="D28241" s="2">
        <v>0</v>
      </c>
      <c r="E28241" s="2">
        <v>1.3998600139986E-4</v>
      </c>
      <c r="F28241" s="2">
        <v>5.26985814294716E-6</v>
      </c>
    </row>
    <row r="28242" spans="1:6" x14ac:dyDescent="0.25">
      <c r="A28242" s="1" t="str">
        <f t="shared" si="1009"/>
        <v>38300</v>
      </c>
      <c r="B28242" s="1" t="str">
        <f>"15081"</f>
        <v>15081</v>
      </c>
      <c r="C28242" s="2">
        <v>0</v>
      </c>
      <c r="D28242" s="2">
        <v>0</v>
      </c>
      <c r="E28242" s="2">
        <v>5.3594640535946404E-3</v>
      </c>
      <c r="F28242" s="2">
        <v>2.0176028318711901E-4</v>
      </c>
    </row>
    <row r="28243" spans="1:6" x14ac:dyDescent="0.25">
      <c r="A28243" s="1" t="str">
        <f t="shared" si="1009"/>
        <v>38300</v>
      </c>
      <c r="B28243" s="1" t="str">
        <f>"15692"</f>
        <v>15692</v>
      </c>
      <c r="C28243" s="2">
        <v>3.4660837755846598E-4</v>
      </c>
      <c r="D28243" s="2">
        <v>5.9298498759673001E-5</v>
      </c>
      <c r="E28243" s="2">
        <v>5.9994000599940001E-5</v>
      </c>
      <c r="F28243" s="2">
        <v>3.1393297794413702E-4</v>
      </c>
    </row>
    <row r="28244" spans="1:6" x14ac:dyDescent="0.25">
      <c r="A28244" s="1" t="str">
        <f t="shared" si="1009"/>
        <v>38300</v>
      </c>
      <c r="B28244" s="1" t="str">
        <f>"15676"</f>
        <v>15676</v>
      </c>
      <c r="C28244" s="2">
        <v>0</v>
      </c>
      <c r="D28244" s="2">
        <v>0</v>
      </c>
      <c r="E28244" s="2">
        <v>1.0998900109989E-3</v>
      </c>
      <c r="F28244" s="2">
        <v>4.14060282660134E-5</v>
      </c>
    </row>
    <row r="28245" spans="1:6" x14ac:dyDescent="0.25">
      <c r="A28245" s="1" t="str">
        <f t="shared" si="1009"/>
        <v>38300</v>
      </c>
      <c r="B28245" s="1" t="str">
        <f>"15030"</f>
        <v>15030</v>
      </c>
      <c r="C28245" s="2">
        <v>4.78285579817198E-4</v>
      </c>
      <c r="D28245" s="2">
        <v>7.0169890198946397E-4</v>
      </c>
      <c r="E28245" s="2">
        <v>6.9993000699929999E-4</v>
      </c>
      <c r="F28245" s="2">
        <v>5.0364787109023496E-4</v>
      </c>
    </row>
    <row r="28246" spans="1:6" x14ac:dyDescent="0.25">
      <c r="A28246" s="1" t="str">
        <f t="shared" si="1009"/>
        <v>38300</v>
      </c>
      <c r="B28246" s="1" t="str">
        <f>"15049"</f>
        <v>15049</v>
      </c>
      <c r="C28246" s="2">
        <v>4.3326047194808303E-4</v>
      </c>
      <c r="D28246" s="2">
        <v>5.9298498759673001E-5</v>
      </c>
      <c r="E28246" s="2">
        <v>5.9994000599940001E-5</v>
      </c>
      <c r="F28246" s="2">
        <v>3.9072233945565302E-4</v>
      </c>
    </row>
    <row r="28247" spans="1:6" x14ac:dyDescent="0.25">
      <c r="A28247" s="1" t="str">
        <f t="shared" si="1009"/>
        <v>38300</v>
      </c>
      <c r="B28247" s="1" t="str">
        <f>"15060"</f>
        <v>15060</v>
      </c>
      <c r="C28247" s="2">
        <v>0</v>
      </c>
      <c r="D28247" s="2">
        <v>0</v>
      </c>
      <c r="E28247" s="2">
        <v>1.03989601039896E-2</v>
      </c>
      <c r="F28247" s="2">
        <v>3.9147517633321698E-4</v>
      </c>
    </row>
    <row r="28248" spans="1:6" x14ac:dyDescent="0.25">
      <c r="A28248" s="1" t="str">
        <f t="shared" si="1009"/>
        <v>38300</v>
      </c>
      <c r="B28248" s="1" t="str">
        <f>"15440"</f>
        <v>15440</v>
      </c>
      <c r="C28248" s="2">
        <v>1.17235186527128E-4</v>
      </c>
      <c r="D28248" s="2">
        <v>3.9532332506448699E-5</v>
      </c>
      <c r="E28248" s="2">
        <v>0</v>
      </c>
      <c r="F28248" s="2">
        <v>1.0690283661407E-4</v>
      </c>
    </row>
    <row r="28249" spans="1:6" x14ac:dyDescent="0.25">
      <c r="A28249" s="1" t="str">
        <f t="shared" si="1009"/>
        <v>38300</v>
      </c>
      <c r="B28249" s="1" t="str">
        <f>"15634"</f>
        <v>15634</v>
      </c>
      <c r="C28249" s="2">
        <v>2.28523660694185E-4</v>
      </c>
      <c r="D28249" s="2">
        <v>3.9532332506448699E-5</v>
      </c>
      <c r="E28249" s="2">
        <v>1.999800019998E-5</v>
      </c>
      <c r="F28249" s="2">
        <v>2.0627730445250299E-4</v>
      </c>
    </row>
    <row r="28250" spans="1:6" x14ac:dyDescent="0.25">
      <c r="A28250" s="1" t="str">
        <f t="shared" si="1009"/>
        <v>38300</v>
      </c>
      <c r="B28250" s="1" t="str">
        <f>"15636"</f>
        <v>15636</v>
      </c>
      <c r="C28250" s="2">
        <v>1.59032079115061E-3</v>
      </c>
      <c r="D28250" s="2">
        <v>1.7097733809038999E-3</v>
      </c>
      <c r="E28250" s="2">
        <v>7.5992400759923996E-4</v>
      </c>
      <c r="F28250" s="2">
        <v>1.5681592159655601E-3</v>
      </c>
    </row>
    <row r="28251" spans="1:6" x14ac:dyDescent="0.25">
      <c r="A28251" s="1" t="str">
        <f t="shared" si="1009"/>
        <v>38300</v>
      </c>
      <c r="B28251" s="1" t="str">
        <f>"16020"</f>
        <v>16020</v>
      </c>
      <c r="C28251" s="2">
        <v>4.1202221351925502E-4</v>
      </c>
      <c r="D28251" s="2">
        <v>1.18596997519346E-4</v>
      </c>
      <c r="E28251" s="2">
        <v>3.9996000399960001E-5</v>
      </c>
      <c r="F28251" s="2">
        <v>3.7566560190437602E-4</v>
      </c>
    </row>
    <row r="28252" spans="1:6" x14ac:dyDescent="0.25">
      <c r="A28252" s="1" t="str">
        <f t="shared" si="1009"/>
        <v>38300</v>
      </c>
      <c r="B28252" s="1" t="str">
        <f>"15129"</f>
        <v>15129</v>
      </c>
      <c r="C28252" s="2">
        <v>4.6324889284958797E-3</v>
      </c>
      <c r="D28252" s="2">
        <v>2.4312384491465902E-3</v>
      </c>
      <c r="E28252" s="2">
        <v>3.3996600339965999E-3</v>
      </c>
      <c r="F28252" s="2">
        <v>4.4183996344224104E-3</v>
      </c>
    </row>
    <row r="28253" spans="1:6" x14ac:dyDescent="0.25">
      <c r="A28253" s="1" t="str">
        <f t="shared" si="1009"/>
        <v>38300</v>
      </c>
      <c r="B28253" s="1" t="str">
        <f>"15122"</f>
        <v>15122</v>
      </c>
      <c r="C28253" s="2">
        <v>8.5709115715376701E-3</v>
      </c>
      <c r="D28253" s="2">
        <v>5.5938250496624896E-3</v>
      </c>
      <c r="E28253" s="2">
        <v>3.9196080391960802E-3</v>
      </c>
      <c r="F28253" s="2">
        <v>8.1690329584456593E-3</v>
      </c>
    </row>
    <row r="28254" spans="1:6" x14ac:dyDescent="0.25">
      <c r="A28254" s="1" t="str">
        <f t="shared" si="1009"/>
        <v>38300</v>
      </c>
      <c r="B28254" s="1" t="str">
        <f>"15135"</f>
        <v>15135</v>
      </c>
      <c r="C28254" s="2">
        <v>1.9641141394979699E-3</v>
      </c>
      <c r="D28254" s="2">
        <v>8.0052973325558604E-4</v>
      </c>
      <c r="E28254" s="2">
        <v>1.91980801919808E-3</v>
      </c>
      <c r="F28254" s="2">
        <v>1.8738109882564899E-3</v>
      </c>
    </row>
    <row r="28255" spans="1:6" x14ac:dyDescent="0.25">
      <c r="A28255" s="1" t="str">
        <f t="shared" si="1009"/>
        <v>38300</v>
      </c>
      <c r="B28255" s="1" t="str">
        <f>"15043"</f>
        <v>15043</v>
      </c>
      <c r="C28255" s="2">
        <v>7.5183434838049703E-4</v>
      </c>
      <c r="D28255" s="2">
        <v>3.0637557692497698E-4</v>
      </c>
      <c r="E28255" s="2">
        <v>1.73982601739826E-3</v>
      </c>
      <c r="F28255" s="2">
        <v>7.5509538819657103E-4</v>
      </c>
    </row>
    <row r="28256" spans="1:6" x14ac:dyDescent="0.25">
      <c r="A28256" s="1" t="str">
        <f t="shared" si="1009"/>
        <v>38300</v>
      </c>
      <c r="B28256" s="1" t="str">
        <f>"15027"</f>
        <v>15027</v>
      </c>
      <c r="C28256" s="2">
        <v>9.4212914390279299E-4</v>
      </c>
      <c r="D28256" s="2">
        <v>4.7438799007738401E-4</v>
      </c>
      <c r="E28256" s="2">
        <v>4.1995800419957998E-4</v>
      </c>
      <c r="F28256" s="2">
        <v>8.8684184177025005E-4</v>
      </c>
    </row>
    <row r="28257" spans="1:6" x14ac:dyDescent="0.25">
      <c r="A28257" s="1" t="str">
        <f t="shared" si="1009"/>
        <v>38300</v>
      </c>
      <c r="B28257" s="1" t="str">
        <f>"15063"</f>
        <v>15063</v>
      </c>
      <c r="C28257" s="2">
        <v>4.7284858565941803E-3</v>
      </c>
      <c r="D28257" s="2">
        <v>3.9729994168980903E-3</v>
      </c>
      <c r="E28257" s="2">
        <v>4.3395660433956599E-3</v>
      </c>
      <c r="F28257" s="2">
        <v>4.6562960877325902E-3</v>
      </c>
    </row>
    <row r="28258" spans="1:6" x14ac:dyDescent="0.25">
      <c r="A28258" s="1" t="str">
        <f t="shared" si="1009"/>
        <v>38300</v>
      </c>
      <c r="B28258" s="1" t="str">
        <f>"15026"</f>
        <v>15026</v>
      </c>
      <c r="C28258" s="2">
        <v>1.5512423956415601E-3</v>
      </c>
      <c r="D28258" s="2">
        <v>6.4240040322979103E-4</v>
      </c>
      <c r="E28258" s="2">
        <v>5.3994600539945998E-4</v>
      </c>
      <c r="F28258" s="2">
        <v>1.44394113116752E-3</v>
      </c>
    </row>
    <row r="28259" spans="1:6" x14ac:dyDescent="0.25">
      <c r="A28259" s="1" t="str">
        <f t="shared" si="1009"/>
        <v>38300</v>
      </c>
      <c r="B28259" s="1" t="str">
        <f>"15101"</f>
        <v>15101</v>
      </c>
      <c r="C28259" s="2">
        <v>9.3575766637414501E-3</v>
      </c>
      <c r="D28259" s="2">
        <v>6.4536532816777499E-3</v>
      </c>
      <c r="E28259" s="2">
        <v>6.8793120687931199E-3</v>
      </c>
      <c r="F28259" s="2">
        <v>9.0430765732973199E-3</v>
      </c>
    </row>
    <row r="28260" spans="1:6" x14ac:dyDescent="0.25">
      <c r="A28260" s="1" t="str">
        <f t="shared" si="1009"/>
        <v>38300</v>
      </c>
      <c r="B28260" s="1" t="str">
        <f>"15071"</f>
        <v>15071</v>
      </c>
      <c r="C28260" s="2">
        <v>4.6834607487250598E-3</v>
      </c>
      <c r="D28260" s="2">
        <v>3.4986114268207098E-3</v>
      </c>
      <c r="E28260" s="2">
        <v>1.4598540145985401E-3</v>
      </c>
      <c r="F28260" s="2">
        <v>4.4718510527294404E-3</v>
      </c>
    </row>
    <row r="28261" spans="1:6" x14ac:dyDescent="0.25">
      <c r="A28261" s="1" t="str">
        <f t="shared" si="1009"/>
        <v>38300</v>
      </c>
      <c r="B28261" s="1" t="str">
        <f>"15009"</f>
        <v>15009</v>
      </c>
      <c r="C28261" s="2">
        <v>6.4700230477580398E-3</v>
      </c>
      <c r="D28261" s="2">
        <v>7.8768172519099004E-3</v>
      </c>
      <c r="E28261" s="2">
        <v>6.6193380661933804E-3</v>
      </c>
      <c r="F28261" s="2">
        <v>6.5828056574185603E-3</v>
      </c>
    </row>
    <row r="28262" spans="1:6" x14ac:dyDescent="0.25">
      <c r="A28262" s="1" t="str">
        <f t="shared" si="1009"/>
        <v>38300</v>
      </c>
      <c r="B28262" s="1" t="str">
        <f>"15010"</f>
        <v>15010</v>
      </c>
      <c r="C28262" s="2">
        <v>1.17456064414788E-2</v>
      </c>
      <c r="D28262" s="2">
        <v>9.5174090509275201E-3</v>
      </c>
      <c r="E28262" s="2">
        <v>8.4991500849915004E-3</v>
      </c>
      <c r="F28262" s="2">
        <v>1.1453660255256799E-2</v>
      </c>
    </row>
    <row r="28263" spans="1:6" x14ac:dyDescent="0.25">
      <c r="A28263" s="1" t="str">
        <f t="shared" si="1009"/>
        <v>38300</v>
      </c>
      <c r="B28263" s="1" t="str">
        <f>"15003"</f>
        <v>15003</v>
      </c>
      <c r="C28263" s="2">
        <v>5.64767768139384E-3</v>
      </c>
      <c r="D28263" s="2">
        <v>6.4338871154245199E-3</v>
      </c>
      <c r="E28263" s="2">
        <v>8.1591840815918408E-3</v>
      </c>
      <c r="F28263" s="2">
        <v>5.8021138153848198E-3</v>
      </c>
    </row>
    <row r="28264" spans="1:6" x14ac:dyDescent="0.25">
      <c r="A28264" s="1" t="str">
        <f t="shared" si="1009"/>
        <v>38300</v>
      </c>
      <c r="B28264" s="1" t="str">
        <f>"15220"</f>
        <v>15220</v>
      </c>
      <c r="C28264" s="2">
        <v>8.00767295800516E-3</v>
      </c>
      <c r="D28264" s="2">
        <v>1.28776573139756E-2</v>
      </c>
      <c r="E28264" s="2">
        <v>1.30986901309869E-2</v>
      </c>
      <c r="F28264" s="2">
        <v>8.5702950141872108E-3</v>
      </c>
    </row>
    <row r="28265" spans="1:6" x14ac:dyDescent="0.25">
      <c r="A28265" s="1" t="str">
        <f t="shared" si="1009"/>
        <v>38300</v>
      </c>
      <c r="B28265" s="1" t="str">
        <f>"15230"</f>
        <v>15230</v>
      </c>
      <c r="C28265" s="2">
        <v>1.01009157087504E-3</v>
      </c>
      <c r="D28265" s="2">
        <v>1.8481365446764699E-3</v>
      </c>
      <c r="E28265" s="2">
        <v>1.999800019998E-5</v>
      </c>
      <c r="F28265" s="2">
        <v>1.0366563804054599E-3</v>
      </c>
    </row>
    <row r="28266" spans="1:6" x14ac:dyDescent="0.25">
      <c r="A28266" s="1" t="str">
        <f t="shared" si="1009"/>
        <v>38300</v>
      </c>
      <c r="B28266" s="1" t="str">
        <f>"15690"</f>
        <v>15690</v>
      </c>
      <c r="C28266" s="2">
        <v>3.9647580834935399E-3</v>
      </c>
      <c r="D28266" s="2">
        <v>3.6270915074666601E-3</v>
      </c>
      <c r="E28266" s="2">
        <v>1.9798020197980201E-3</v>
      </c>
      <c r="F28266" s="2">
        <v>3.8643116925353902E-3</v>
      </c>
    </row>
    <row r="28267" spans="1:6" x14ac:dyDescent="0.25">
      <c r="A28267" s="1" t="str">
        <f t="shared" si="1009"/>
        <v>38300</v>
      </c>
      <c r="B28267" s="1" t="str">
        <f>"15461"</f>
        <v>15461</v>
      </c>
      <c r="C28267" s="2">
        <v>1.8078005574618001E-3</v>
      </c>
      <c r="D28267" s="2">
        <v>1.6208256327643899E-3</v>
      </c>
      <c r="E28267" s="2">
        <v>4.9995000499950004E-4</v>
      </c>
      <c r="F28267" s="2">
        <v>1.7443230453155099E-3</v>
      </c>
    </row>
    <row r="28268" spans="1:6" x14ac:dyDescent="0.25">
      <c r="A28268" s="1" t="str">
        <f t="shared" ref="A28268:A28308" si="1010">"38340"</f>
        <v>38340</v>
      </c>
      <c r="B28268" s="1" t="str">
        <f>"01229"</f>
        <v>01229</v>
      </c>
      <c r="C28268" s="2">
        <v>0</v>
      </c>
      <c r="D28268" s="2">
        <v>1.36986301369863E-4</v>
      </c>
      <c r="E28268" s="2">
        <v>7.4906367041198503E-3</v>
      </c>
      <c r="F28268" s="2">
        <v>6.6653110101900104E-4</v>
      </c>
    </row>
    <row r="28269" spans="1:6" x14ac:dyDescent="0.25">
      <c r="A28269" s="1" t="str">
        <f t="shared" si="1010"/>
        <v>38340</v>
      </c>
      <c r="B28269" s="1" t="str">
        <f>"01242"</f>
        <v>01242</v>
      </c>
      <c r="C28269" s="2">
        <v>0</v>
      </c>
      <c r="D28269" s="2">
        <v>0</v>
      </c>
      <c r="E28269" s="2">
        <v>3.2803822807697197E-2</v>
      </c>
      <c r="F28269" s="2">
        <v>2.8694728755733201E-3</v>
      </c>
    </row>
    <row r="28270" spans="1:6" x14ac:dyDescent="0.25">
      <c r="A28270" s="1" t="str">
        <f t="shared" si="1010"/>
        <v>38340</v>
      </c>
      <c r="B28270" s="1" t="str">
        <f>"01255"</f>
        <v>01255</v>
      </c>
      <c r="C28270" s="2">
        <v>6.3831235113984298E-3</v>
      </c>
      <c r="D28270" s="2">
        <v>1.0958904109588999E-3</v>
      </c>
      <c r="E28270" s="2">
        <v>3.09957380860131E-3</v>
      </c>
      <c r="F28270" s="2">
        <v>5.6598657900088101E-3</v>
      </c>
    </row>
    <row r="28271" spans="1:6" x14ac:dyDescent="0.25">
      <c r="A28271" s="1" t="str">
        <f t="shared" si="1010"/>
        <v>38340</v>
      </c>
      <c r="B28271" s="1" t="str">
        <f>"01264"</f>
        <v>01264</v>
      </c>
      <c r="C28271" s="2">
        <v>0</v>
      </c>
      <c r="D28271" s="2">
        <v>0</v>
      </c>
      <c r="E28271" s="2">
        <v>1.6660209221232E-2</v>
      </c>
      <c r="F28271" s="2">
        <v>1.45733071239747E-3</v>
      </c>
    </row>
    <row r="28272" spans="1:6" x14ac:dyDescent="0.25">
      <c r="A28272" s="1" t="str">
        <f t="shared" si="1010"/>
        <v>38340</v>
      </c>
      <c r="B28272" s="1" t="str">
        <f>"01367"</f>
        <v>01367</v>
      </c>
      <c r="C28272" s="2">
        <v>2.8581150051037698E-4</v>
      </c>
      <c r="D28272" s="2">
        <v>1.36986301369863E-4</v>
      </c>
      <c r="E28272" s="2">
        <v>0</v>
      </c>
      <c r="F28272" s="2">
        <v>2.4853702071894903E-4</v>
      </c>
    </row>
    <row r="28273" spans="1:6" x14ac:dyDescent="0.25">
      <c r="A28273" s="1" t="str">
        <f t="shared" si="1010"/>
        <v>38340</v>
      </c>
      <c r="B28273" s="1" t="str">
        <f>"01343"</f>
        <v>01343</v>
      </c>
      <c r="C28273" s="2">
        <v>1.1432460020415101E-3</v>
      </c>
      <c r="D28273" s="2">
        <v>1.36986301369863E-4</v>
      </c>
      <c r="E28273" s="2">
        <v>2.5829781738344299E-4</v>
      </c>
      <c r="F28273" s="2">
        <v>9.8285094557039191E-4</v>
      </c>
    </row>
    <row r="28274" spans="1:6" x14ac:dyDescent="0.25">
      <c r="A28274" s="1" t="str">
        <f t="shared" si="1010"/>
        <v>38340</v>
      </c>
      <c r="B28274" s="1" t="str">
        <f>"01224"</f>
        <v>01224</v>
      </c>
      <c r="C28274" s="2">
        <v>1.4698877169105099E-3</v>
      </c>
      <c r="D28274" s="2">
        <v>0</v>
      </c>
      <c r="E28274" s="2">
        <v>3.8744672607516403E-4</v>
      </c>
      <c r="F28274" s="2">
        <v>1.2539822409001499E-3</v>
      </c>
    </row>
    <row r="28275" spans="1:6" x14ac:dyDescent="0.25">
      <c r="A28275" s="1" t="str">
        <f t="shared" si="1010"/>
        <v>38340</v>
      </c>
      <c r="B28275" s="1" t="str">
        <f>"01201"</f>
        <v>01201</v>
      </c>
      <c r="C28275" s="2">
        <v>0.31497788363388901</v>
      </c>
      <c r="D28275" s="2">
        <v>0.30780821917808199</v>
      </c>
      <c r="E28275" s="2">
        <v>0.16789358129923801</v>
      </c>
      <c r="F28275" s="2">
        <v>0.30152059468130699</v>
      </c>
    </row>
    <row r="28276" spans="1:6" x14ac:dyDescent="0.25">
      <c r="A28276" s="1" t="str">
        <f t="shared" si="1010"/>
        <v>38340</v>
      </c>
      <c r="B28276" s="1" t="str">
        <f>"01237"</f>
        <v>01237</v>
      </c>
      <c r="C28276" s="2">
        <v>2.84586594079618E-2</v>
      </c>
      <c r="D28276" s="2">
        <v>3.56164383561643E-2</v>
      </c>
      <c r="E28276" s="2">
        <v>4.88182874854707E-2</v>
      </c>
      <c r="F28276" s="2">
        <v>3.08298877064551E-2</v>
      </c>
    </row>
    <row r="28277" spans="1:6" x14ac:dyDescent="0.25">
      <c r="A28277" s="1" t="str">
        <f t="shared" si="1010"/>
        <v>38340</v>
      </c>
      <c r="B28277" s="1" t="str">
        <f>"01263"</f>
        <v>01263</v>
      </c>
      <c r="C28277" s="2">
        <v>0</v>
      </c>
      <c r="D28277" s="2">
        <v>1.36986301369863E-4</v>
      </c>
      <c r="E28277" s="2">
        <v>0</v>
      </c>
      <c r="F28277" s="2">
        <v>1.1297137305406799E-5</v>
      </c>
    </row>
    <row r="28278" spans="1:6" x14ac:dyDescent="0.25">
      <c r="A28278" s="1" t="str">
        <f t="shared" si="1010"/>
        <v>38340</v>
      </c>
      <c r="B28278" s="1" t="str">
        <f>"01029"</f>
        <v>01029</v>
      </c>
      <c r="C28278" s="2">
        <v>0</v>
      </c>
      <c r="D28278" s="2">
        <v>0</v>
      </c>
      <c r="E28278" s="2">
        <v>5.1530414567996903E-2</v>
      </c>
      <c r="F28278" s="2">
        <v>4.5075577848573099E-3</v>
      </c>
    </row>
    <row r="28279" spans="1:6" x14ac:dyDescent="0.25">
      <c r="A28279" s="1" t="str">
        <f t="shared" si="1010"/>
        <v>38340</v>
      </c>
      <c r="B28279" s="1" t="str">
        <f>"01236"</f>
        <v>01236</v>
      </c>
      <c r="C28279" s="2">
        <v>4.5593739367131604E-3</v>
      </c>
      <c r="D28279" s="2">
        <v>5.4794520547945202E-4</v>
      </c>
      <c r="E28279" s="2">
        <v>5.9666795815575303E-2</v>
      </c>
      <c r="F28279" s="2">
        <v>9.0490069816308496E-3</v>
      </c>
    </row>
    <row r="28280" spans="1:6" x14ac:dyDescent="0.25">
      <c r="A28280" s="1" t="str">
        <f t="shared" si="1010"/>
        <v>38340</v>
      </c>
      <c r="B28280" s="1" t="str">
        <f>"01230"</f>
        <v>01230</v>
      </c>
      <c r="C28280" s="2">
        <v>6.7179312691391602E-2</v>
      </c>
      <c r="D28280" s="2">
        <v>0.13383561643835601</v>
      </c>
      <c r="E28280" s="2">
        <v>5.30802014722975E-2</v>
      </c>
      <c r="F28280" s="2">
        <v>7.1443096319392593E-2</v>
      </c>
    </row>
    <row r="28281" spans="1:6" x14ac:dyDescent="0.25">
      <c r="A28281" s="1" t="str">
        <f t="shared" si="1010"/>
        <v>38340</v>
      </c>
      <c r="B28281" s="1" t="str">
        <f>"01008"</f>
        <v>01008</v>
      </c>
      <c r="C28281" s="2">
        <v>4.6274242939775399E-4</v>
      </c>
      <c r="D28281" s="2">
        <v>1.36986301369863E-4</v>
      </c>
      <c r="E28281" s="2">
        <v>0</v>
      </c>
      <c r="F28281" s="2">
        <v>3.9539980568923798E-4</v>
      </c>
    </row>
    <row r="28282" spans="1:6" x14ac:dyDescent="0.25">
      <c r="A28282" s="1" t="str">
        <f t="shared" si="1010"/>
        <v>38340</v>
      </c>
      <c r="B28282" s="1" t="str">
        <f>"01026"</f>
        <v>01026</v>
      </c>
      <c r="C28282" s="2">
        <v>3.9469207213337797E-4</v>
      </c>
      <c r="D28282" s="2">
        <v>0</v>
      </c>
      <c r="E28282" s="2">
        <v>1.2914890869172101E-4</v>
      </c>
      <c r="F28282" s="2">
        <v>3.3891411916220398E-4</v>
      </c>
    </row>
    <row r="28283" spans="1:6" x14ac:dyDescent="0.25">
      <c r="A28283" s="1" t="str">
        <f t="shared" si="1010"/>
        <v>38340</v>
      </c>
      <c r="B28283" s="1" t="str">
        <f>"01227"</f>
        <v>01227</v>
      </c>
      <c r="C28283" s="2">
        <v>4.3416127934671599E-3</v>
      </c>
      <c r="D28283" s="2">
        <v>1.1095890410958899E-2</v>
      </c>
      <c r="E28283" s="2">
        <v>2.5829781738344299E-4</v>
      </c>
      <c r="F28283" s="2">
        <v>4.5414491967735301E-3</v>
      </c>
    </row>
    <row r="28284" spans="1:6" x14ac:dyDescent="0.25">
      <c r="A28284" s="1" t="str">
        <f t="shared" si="1010"/>
        <v>38340</v>
      </c>
      <c r="B28284" s="1" t="str">
        <f>"01225"</f>
        <v>01225</v>
      </c>
      <c r="C28284" s="2">
        <v>2.0034025178632099E-2</v>
      </c>
      <c r="D28284" s="2">
        <v>5.2054794520547901E-3</v>
      </c>
      <c r="E28284" s="2">
        <v>2.2601059021051199E-2</v>
      </c>
      <c r="F28284" s="2">
        <v>1.9035676359610398E-2</v>
      </c>
    </row>
    <row r="28285" spans="1:6" x14ac:dyDescent="0.25">
      <c r="A28285" s="1" t="str">
        <f t="shared" si="1010"/>
        <v>38340</v>
      </c>
      <c r="B28285" s="1" t="str">
        <f>"01256"</f>
        <v>01256</v>
      </c>
      <c r="C28285" s="2">
        <v>4.9540660088465398E-3</v>
      </c>
      <c r="D28285" s="2">
        <v>9.5890410958904097E-4</v>
      </c>
      <c r="E28285" s="2">
        <v>3.8744672607516403E-4</v>
      </c>
      <c r="F28285" s="2">
        <v>4.2251293522221397E-3</v>
      </c>
    </row>
    <row r="28286" spans="1:6" x14ac:dyDescent="0.25">
      <c r="A28286" s="1" t="str">
        <f t="shared" si="1010"/>
        <v>38340</v>
      </c>
      <c r="B28286" s="1" t="str">
        <f>"01259"</f>
        <v>01259</v>
      </c>
      <c r="C28286" s="2">
        <v>2.4906430758761399E-3</v>
      </c>
      <c r="D28286" s="2">
        <v>2.0547945205479398E-3</v>
      </c>
      <c r="E28286" s="2">
        <v>7.7489345215032901E-3</v>
      </c>
      <c r="F28286" s="2">
        <v>2.9146614247949499E-3</v>
      </c>
    </row>
    <row r="28287" spans="1:6" x14ac:dyDescent="0.25">
      <c r="A28287" s="1" t="str">
        <f t="shared" si="1010"/>
        <v>38340</v>
      </c>
      <c r="B28287" s="1" t="str">
        <f>"01262"</f>
        <v>01262</v>
      </c>
      <c r="C28287" s="2">
        <v>0</v>
      </c>
      <c r="D28287" s="2">
        <v>0</v>
      </c>
      <c r="E28287" s="2">
        <v>0.12889061087433801</v>
      </c>
      <c r="F28287" s="2">
        <v>1.12745430307959E-2</v>
      </c>
    </row>
    <row r="28288" spans="1:6" x14ac:dyDescent="0.25">
      <c r="A28288" s="1" t="str">
        <f t="shared" si="1010"/>
        <v>38340</v>
      </c>
      <c r="B28288" s="1" t="str">
        <f>"01270"</f>
        <v>01270</v>
      </c>
      <c r="C28288" s="2">
        <v>5.6890098673017999E-3</v>
      </c>
      <c r="D28288" s="2">
        <v>1.91780821917808E-3</v>
      </c>
      <c r="E28288" s="2">
        <v>5.1659563476688598E-4</v>
      </c>
      <c r="F28288" s="2">
        <v>4.92555186515736E-3</v>
      </c>
    </row>
    <row r="28289" spans="1:6" x14ac:dyDescent="0.25">
      <c r="A28289" s="1" t="str">
        <f t="shared" si="1010"/>
        <v>38340</v>
      </c>
      <c r="B28289" s="1" t="str">
        <f>"01252"</f>
        <v>01252</v>
      </c>
      <c r="C28289" s="2">
        <v>0</v>
      </c>
      <c r="D28289" s="2">
        <v>0</v>
      </c>
      <c r="E28289" s="2">
        <v>1.2914890869172101E-4</v>
      </c>
      <c r="F28289" s="2">
        <v>1.1297137305406799E-5</v>
      </c>
    </row>
    <row r="28290" spans="1:6" x14ac:dyDescent="0.25">
      <c r="A28290" s="1" t="str">
        <f t="shared" si="1010"/>
        <v>38340</v>
      </c>
      <c r="B28290" s="1" t="str">
        <f>"01223"</f>
        <v>01223</v>
      </c>
      <c r="C28290" s="2">
        <v>1.9285471248724002E-2</v>
      </c>
      <c r="D28290" s="2">
        <v>3.9726027397260196E-3</v>
      </c>
      <c r="E28290" s="2">
        <v>1.2914890869172101E-4</v>
      </c>
      <c r="F28290" s="2">
        <v>1.6346957680923601E-2</v>
      </c>
    </row>
    <row r="28291" spans="1:6" x14ac:dyDescent="0.25">
      <c r="A28291" s="1" t="str">
        <f t="shared" si="1010"/>
        <v>38340</v>
      </c>
      <c r="B28291" s="1" t="str">
        <f>"01244"</f>
        <v>01244</v>
      </c>
      <c r="C28291" s="2">
        <v>0</v>
      </c>
      <c r="D28291" s="2">
        <v>1.36986301369863E-4</v>
      </c>
      <c r="E28291" s="2">
        <v>1.2527444143096899E-2</v>
      </c>
      <c r="F28291" s="2">
        <v>1.10711945592986E-3</v>
      </c>
    </row>
    <row r="28292" spans="1:6" x14ac:dyDescent="0.25">
      <c r="A28292" s="1" t="str">
        <f t="shared" si="1010"/>
        <v>38340</v>
      </c>
      <c r="B28292" s="1" t="str">
        <f>"01266"</f>
        <v>01266</v>
      </c>
      <c r="C28292" s="2">
        <v>1.3895882953385501E-2</v>
      </c>
      <c r="D28292" s="2">
        <v>1.21917808219178E-2</v>
      </c>
      <c r="E28292" s="2">
        <v>1.2527444143096899E-2</v>
      </c>
      <c r="F28292" s="2">
        <v>1.3635644727626E-2</v>
      </c>
    </row>
    <row r="28293" spans="1:6" x14ac:dyDescent="0.25">
      <c r="A28293" s="1" t="str">
        <f t="shared" si="1010"/>
        <v>38340</v>
      </c>
      <c r="B28293" s="1" t="str">
        <f>"01235"</f>
        <v>01235</v>
      </c>
      <c r="C28293" s="2">
        <v>1.32425995236474E-2</v>
      </c>
      <c r="D28293" s="2">
        <v>6.5753424657534199E-3</v>
      </c>
      <c r="E28293" s="2">
        <v>1.8984889577683E-2</v>
      </c>
      <c r="F28293" s="2">
        <v>1.31950563727151E-2</v>
      </c>
    </row>
    <row r="28294" spans="1:6" x14ac:dyDescent="0.25">
      <c r="A28294" s="1" t="str">
        <f t="shared" si="1010"/>
        <v>38340</v>
      </c>
      <c r="B28294" s="1" t="str">
        <f>"01226"</f>
        <v>01226</v>
      </c>
      <c r="C28294" s="2">
        <v>3.9809458999659701E-2</v>
      </c>
      <c r="D28294" s="2">
        <v>2.1369863013698601E-2</v>
      </c>
      <c r="E28294" s="2">
        <v>1.1365103964871399E-2</v>
      </c>
      <c r="F28294" s="2">
        <v>3.5800628120834101E-2</v>
      </c>
    </row>
    <row r="28295" spans="1:6" x14ac:dyDescent="0.25">
      <c r="A28295" s="1" t="str">
        <f t="shared" si="1010"/>
        <v>38340</v>
      </c>
      <c r="B28295" s="1" t="str">
        <f>"01220"</f>
        <v>01220</v>
      </c>
      <c r="C28295" s="2">
        <v>6.06873086083701E-2</v>
      </c>
      <c r="D28295" s="2">
        <v>4.8219178082191699E-2</v>
      </c>
      <c r="E28295" s="2">
        <v>4.01653106031254E-2</v>
      </c>
      <c r="F28295" s="2">
        <v>5.7863937278293601E-2</v>
      </c>
    </row>
    <row r="28296" spans="1:6" x14ac:dyDescent="0.25">
      <c r="A28296" s="1" t="str">
        <f t="shared" si="1010"/>
        <v>38340</v>
      </c>
      <c r="B28296" s="1" t="str">
        <f>"01245"</f>
        <v>01245</v>
      </c>
      <c r="C28296" s="2">
        <v>1.8781898604967599E-3</v>
      </c>
      <c r="D28296" s="2">
        <v>1.36986301369863E-4</v>
      </c>
      <c r="E28296" s="2">
        <v>2.80253131861035E-2</v>
      </c>
      <c r="F28296" s="2">
        <v>4.0217808807248203E-3</v>
      </c>
    </row>
    <row r="28297" spans="1:6" x14ac:dyDescent="0.25">
      <c r="A28297" s="1" t="str">
        <f t="shared" si="1010"/>
        <v>38340</v>
      </c>
      <c r="B28297" s="1" t="str">
        <f>"01247"</f>
        <v>01247</v>
      </c>
      <c r="C28297" s="2">
        <v>0.12617897243960499</v>
      </c>
      <c r="D28297" s="2">
        <v>0.132054794520547</v>
      </c>
      <c r="E28297" s="2">
        <v>6.9352963967454398E-2</v>
      </c>
      <c r="F28297" s="2">
        <v>0.121692763053842</v>
      </c>
    </row>
    <row r="28298" spans="1:6" x14ac:dyDescent="0.25">
      <c r="A28298" s="1" t="str">
        <f t="shared" si="1010"/>
        <v>38340</v>
      </c>
      <c r="B28298" s="1" t="str">
        <f>"01070"</f>
        <v>01070</v>
      </c>
      <c r="C28298" s="2">
        <v>6.8050357264375595E-5</v>
      </c>
      <c r="D28298" s="2">
        <v>0</v>
      </c>
      <c r="E28298" s="2">
        <v>0</v>
      </c>
      <c r="F28298" s="2">
        <v>5.6485686527033998E-5</v>
      </c>
    </row>
    <row r="28299" spans="1:6" x14ac:dyDescent="0.25">
      <c r="A28299" s="1" t="str">
        <f t="shared" si="1010"/>
        <v>38340</v>
      </c>
      <c r="B28299" s="1" t="str">
        <f>"01222"</f>
        <v>01222</v>
      </c>
      <c r="C28299" s="2">
        <v>3.6747192922762799E-3</v>
      </c>
      <c r="D28299" s="2">
        <v>6.8493150684931497E-4</v>
      </c>
      <c r="E28299" s="2">
        <v>3.3578716259847598E-3</v>
      </c>
      <c r="F28299" s="2">
        <v>3.40043832892744E-3</v>
      </c>
    </row>
    <row r="28300" spans="1:6" x14ac:dyDescent="0.25">
      <c r="A28300" s="1" t="str">
        <f t="shared" si="1010"/>
        <v>38340</v>
      </c>
      <c r="B28300" s="1" t="str">
        <f>"01202"</f>
        <v>01202</v>
      </c>
      <c r="C28300" s="2">
        <v>4.1891799931949601E-2</v>
      </c>
      <c r="D28300" s="2">
        <v>7.9589041095890406E-2</v>
      </c>
      <c r="E28300" s="2">
        <v>2.5829781738344299E-4</v>
      </c>
      <c r="F28300" s="2">
        <v>4.1358819675094298E-2</v>
      </c>
    </row>
    <row r="28301" spans="1:6" x14ac:dyDescent="0.25">
      <c r="A28301" s="1" t="str">
        <f t="shared" si="1010"/>
        <v>38340</v>
      </c>
      <c r="B28301" s="1" t="str">
        <f>"01260"</f>
        <v>01260</v>
      </c>
      <c r="C28301" s="2">
        <v>0</v>
      </c>
      <c r="D28301" s="2">
        <v>0</v>
      </c>
      <c r="E28301" s="2">
        <v>1.1365103964871399E-2</v>
      </c>
      <c r="F28301" s="2">
        <v>9.9414808287579893E-4</v>
      </c>
    </row>
    <row r="28302" spans="1:6" x14ac:dyDescent="0.25">
      <c r="A28302" s="1" t="str">
        <f t="shared" si="1010"/>
        <v>38340</v>
      </c>
      <c r="B28302" s="1" t="str">
        <f>"01254"</f>
        <v>01254</v>
      </c>
      <c r="C28302" s="2">
        <v>7.1316774413065602E-3</v>
      </c>
      <c r="D28302" s="2">
        <v>1.2328767123287599E-3</v>
      </c>
      <c r="E28302" s="2">
        <v>1.2914890869172101E-4</v>
      </c>
      <c r="F28302" s="2">
        <v>6.0326713210872296E-3</v>
      </c>
    </row>
    <row r="28303" spans="1:6" x14ac:dyDescent="0.25">
      <c r="A28303" s="1" t="str">
        <f t="shared" si="1010"/>
        <v>38340</v>
      </c>
      <c r="B28303" s="1" t="str">
        <f>"01238"</f>
        <v>01238</v>
      </c>
      <c r="C28303" s="2">
        <v>4.1102415787682797E-2</v>
      </c>
      <c r="D28303" s="2">
        <v>4.6986301369863002E-2</v>
      </c>
      <c r="E28303" s="2">
        <v>3.1641482629471702E-2</v>
      </c>
      <c r="F28303" s="2">
        <v>4.0760071397907702E-2</v>
      </c>
    </row>
    <row r="28304" spans="1:6" x14ac:dyDescent="0.25">
      <c r="A28304" s="1" t="str">
        <f t="shared" si="1010"/>
        <v>38340</v>
      </c>
      <c r="B28304" s="1" t="str">
        <f>"01267"</f>
        <v>01267</v>
      </c>
      <c r="C28304" s="2">
        <v>8.8969037087444705E-2</v>
      </c>
      <c r="D28304" s="2">
        <v>7.0410958904109505E-2</v>
      </c>
      <c r="E28304" s="2">
        <v>2.1180421025442299E-2</v>
      </c>
      <c r="F28304" s="2">
        <v>8.1508845658510104E-2</v>
      </c>
    </row>
    <row r="28305" spans="1:6" x14ac:dyDescent="0.25">
      <c r="A28305" s="1" t="str">
        <f t="shared" si="1010"/>
        <v>38340</v>
      </c>
      <c r="B28305" s="1" t="str">
        <f>"01257"</f>
        <v>01257</v>
      </c>
      <c r="C28305" s="2">
        <v>2.6471588975842099E-2</v>
      </c>
      <c r="D28305" s="2">
        <v>2.2876712328767101E-2</v>
      </c>
      <c r="E28305" s="2">
        <v>5.9408497998191898E-3</v>
      </c>
      <c r="F28305" s="2">
        <v>2.43792223050678E-2</v>
      </c>
    </row>
    <row r="28306" spans="1:6" x14ac:dyDescent="0.25">
      <c r="A28306" s="1" t="str">
        <f t="shared" si="1010"/>
        <v>38340</v>
      </c>
      <c r="B28306" s="1" t="str">
        <f>"01240"</f>
        <v>01240</v>
      </c>
      <c r="C28306" s="2">
        <v>4.1714869003062198E-2</v>
      </c>
      <c r="D28306" s="2">
        <v>4.5616438356164302E-2</v>
      </c>
      <c r="E28306" s="2">
        <v>4.0811055146584001E-2</v>
      </c>
      <c r="F28306" s="2">
        <v>4.1957567952280797E-2</v>
      </c>
    </row>
    <row r="28307" spans="1:6" x14ac:dyDescent="0.25">
      <c r="A28307" s="1" t="str">
        <f t="shared" si="1010"/>
        <v>38340</v>
      </c>
      <c r="B28307" s="1" t="str">
        <f>"01258"</f>
        <v>01258</v>
      </c>
      <c r="C28307" s="2">
        <v>1.0602245661789699E-2</v>
      </c>
      <c r="D28307" s="2">
        <v>6.7123287671232799E-3</v>
      </c>
      <c r="E28307" s="2">
        <v>2.37633991992767E-2</v>
      </c>
      <c r="F28307" s="2">
        <v>1.14327029530716E-2</v>
      </c>
    </row>
    <row r="28308" spans="1:6" x14ac:dyDescent="0.25">
      <c r="A28308" s="1" t="str">
        <f t="shared" si="1010"/>
        <v>38340</v>
      </c>
      <c r="B28308" s="1" t="str">
        <f>"01253"</f>
        <v>01253</v>
      </c>
      <c r="C28308" s="2">
        <v>5.7162300102075504E-4</v>
      </c>
      <c r="D28308" s="2">
        <v>4.1095890410958901E-4</v>
      </c>
      <c r="E28308" s="2">
        <v>6.6124241250161406E-2</v>
      </c>
      <c r="F28308" s="2">
        <v>6.2925054791115901E-3</v>
      </c>
    </row>
    <row r="28309" spans="1:6" x14ac:dyDescent="0.25">
      <c r="A28309" s="1" t="str">
        <f t="shared" ref="A28309:A28317" si="1011">"38380"</f>
        <v>38380</v>
      </c>
      <c r="B28309" s="1" t="str">
        <f>"79021"</f>
        <v>79021</v>
      </c>
      <c r="C28309" s="2">
        <v>0</v>
      </c>
      <c r="D28309" s="2">
        <v>0</v>
      </c>
      <c r="E28309" s="2">
        <v>7.3152889539136701E-4</v>
      </c>
      <c r="F28309" s="2">
        <v>5.5126791620727601E-5</v>
      </c>
    </row>
    <row r="28310" spans="1:6" x14ac:dyDescent="0.25">
      <c r="A28310" s="1" t="str">
        <f t="shared" si="1011"/>
        <v>38380</v>
      </c>
      <c r="B28310" s="1" t="str">
        <f>"79032"</f>
        <v>79032</v>
      </c>
      <c r="C28310" s="2">
        <v>6.6728947017216005E-5</v>
      </c>
      <c r="D28310" s="2">
        <v>0</v>
      </c>
      <c r="E28310" s="2">
        <v>0</v>
      </c>
      <c r="F28310" s="2">
        <v>5.5126791620727601E-5</v>
      </c>
    </row>
    <row r="28311" spans="1:6" x14ac:dyDescent="0.25">
      <c r="A28311" s="1" t="str">
        <f t="shared" si="1011"/>
        <v>38380</v>
      </c>
      <c r="B28311" s="1" t="str">
        <f>"79072"</f>
        <v>79072</v>
      </c>
      <c r="C28311" s="2">
        <v>0.76284532230081403</v>
      </c>
      <c r="D28311" s="2">
        <v>0.79350867375489598</v>
      </c>
      <c r="E28311" s="2">
        <v>0.50548646671543496</v>
      </c>
      <c r="F28311" s="2">
        <v>0.74647188533627296</v>
      </c>
    </row>
    <row r="28312" spans="1:6" x14ac:dyDescent="0.25">
      <c r="A28312" s="1" t="str">
        <f t="shared" si="1011"/>
        <v>38380</v>
      </c>
      <c r="B28312" s="1" t="str">
        <f>"79064"</f>
        <v>79064</v>
      </c>
      <c r="C28312" s="2">
        <v>1.5347657813959601E-3</v>
      </c>
      <c r="D28312" s="2">
        <v>5.5959709009513101E-4</v>
      </c>
      <c r="E28312" s="2">
        <v>7.3152889539136701E-4</v>
      </c>
      <c r="F28312" s="2">
        <v>1.37816979051819E-3</v>
      </c>
    </row>
    <row r="28313" spans="1:6" x14ac:dyDescent="0.25">
      <c r="A28313" s="1" t="str">
        <f t="shared" si="1011"/>
        <v>38380</v>
      </c>
      <c r="B28313" s="1" t="str">
        <f>"79073"</f>
        <v>79073</v>
      </c>
      <c r="C28313" s="2">
        <v>8.3945015347657803E-2</v>
      </c>
      <c r="D28313" s="2">
        <v>0.12982652490207</v>
      </c>
      <c r="E28313" s="2">
        <v>1.4630577907827299E-3</v>
      </c>
      <c r="F28313" s="2">
        <v>8.22491730981256E-2</v>
      </c>
    </row>
    <row r="28314" spans="1:6" x14ac:dyDescent="0.25">
      <c r="A28314" s="1" t="str">
        <f t="shared" si="1011"/>
        <v>38380</v>
      </c>
      <c r="B28314" s="1" t="str">
        <f>"79311"</f>
        <v>79311</v>
      </c>
      <c r="C28314" s="2">
        <v>8.4812491658881606E-2</v>
      </c>
      <c r="D28314" s="2">
        <v>6.8270844991606003E-2</v>
      </c>
      <c r="E28314" s="2">
        <v>2.63350402340892E-2</v>
      </c>
      <c r="F28314" s="2">
        <v>7.8776185226019799E-2</v>
      </c>
    </row>
    <row r="28315" spans="1:6" x14ac:dyDescent="0.25">
      <c r="A28315" s="1" t="str">
        <f t="shared" si="1011"/>
        <v>38380</v>
      </c>
      <c r="B28315" s="1" t="str">
        <f>"79250"</f>
        <v>79250</v>
      </c>
      <c r="C28315" s="2">
        <v>2.1686907780595201E-2</v>
      </c>
      <c r="D28315" s="2">
        <v>1.67879127028539E-3</v>
      </c>
      <c r="E28315" s="2">
        <v>0</v>
      </c>
      <c r="F28315" s="2">
        <v>1.8081587651598601E-2</v>
      </c>
    </row>
    <row r="28316" spans="1:6" x14ac:dyDescent="0.25">
      <c r="A28316" s="1" t="str">
        <f t="shared" si="1011"/>
        <v>38380</v>
      </c>
      <c r="B28316" s="1" t="str">
        <f>"79041"</f>
        <v>79041</v>
      </c>
      <c r="C28316" s="2">
        <v>4.4775123448551897E-2</v>
      </c>
      <c r="D28316" s="2">
        <v>6.15556799104644E-3</v>
      </c>
      <c r="E28316" s="2">
        <v>0.46525237746891002</v>
      </c>
      <c r="F28316" s="2">
        <v>7.2657111356119006E-2</v>
      </c>
    </row>
    <row r="28317" spans="1:6" x14ac:dyDescent="0.25">
      <c r="A28317" s="1" t="str">
        <f t="shared" si="1011"/>
        <v>38380</v>
      </c>
      <c r="B28317" s="1" t="str">
        <f>"79043"</f>
        <v>79043</v>
      </c>
      <c r="C28317" s="2">
        <v>3.3364473508608002E-4</v>
      </c>
      <c r="D28317" s="2">
        <v>0</v>
      </c>
      <c r="E28317" s="2">
        <v>0</v>
      </c>
      <c r="F28317" s="2">
        <v>2.7563395810363799E-4</v>
      </c>
    </row>
    <row r="28318" spans="1:6" x14ac:dyDescent="0.25">
      <c r="A28318" s="1" t="str">
        <f t="shared" ref="A28318:A28342" si="1012">"38420"</f>
        <v>38420</v>
      </c>
      <c r="B28318" s="1" t="str">
        <f>"53811"</f>
        <v>53811</v>
      </c>
      <c r="C28318" s="2">
        <v>5.7268528700241898E-2</v>
      </c>
      <c r="D28318" s="2">
        <v>3.3224755700325702E-2</v>
      </c>
      <c r="E28318" s="2">
        <v>5.44303797468354E-2</v>
      </c>
      <c r="F28318" s="2">
        <v>5.5706304868316001E-2</v>
      </c>
    </row>
    <row r="28319" spans="1:6" x14ac:dyDescent="0.25">
      <c r="A28319" s="1" t="str">
        <f t="shared" si="1012"/>
        <v>38420</v>
      </c>
      <c r="B28319" s="1" t="str">
        <f>"53801"</f>
        <v>53801</v>
      </c>
      <c r="C28319" s="2">
        <v>2.2872223444029002E-2</v>
      </c>
      <c r="D28319" s="2">
        <v>5.8631921824104198E-3</v>
      </c>
      <c r="E28319" s="2">
        <v>2.5316455696202502E-3</v>
      </c>
      <c r="F28319" s="2">
        <v>2.1189146049481199E-2</v>
      </c>
    </row>
    <row r="28320" spans="1:6" x14ac:dyDescent="0.25">
      <c r="A28320" s="1" t="str">
        <f t="shared" si="1012"/>
        <v>38420</v>
      </c>
      <c r="B28320" s="1" t="str">
        <f>"53821"</f>
        <v>53821</v>
      </c>
      <c r="C28320" s="2">
        <v>5.8500109962612698E-3</v>
      </c>
      <c r="D28320" s="2">
        <v>1.3029315960912001E-3</v>
      </c>
      <c r="E28320" s="2">
        <v>0</v>
      </c>
      <c r="F28320" s="2">
        <v>5.3870710295291302E-3</v>
      </c>
    </row>
    <row r="28321" spans="1:6" x14ac:dyDescent="0.25">
      <c r="A28321" s="1" t="str">
        <f t="shared" si="1012"/>
        <v>38420</v>
      </c>
      <c r="B28321" s="1" t="str">
        <f>"53827"</f>
        <v>53827</v>
      </c>
      <c r="C28321" s="2">
        <v>7.9612931603254798E-3</v>
      </c>
      <c r="D28321" s="2">
        <v>1.3029315960912001E-3</v>
      </c>
      <c r="E28321" s="2">
        <v>0</v>
      </c>
      <c r="F28321" s="2">
        <v>7.3024740622505899E-3</v>
      </c>
    </row>
    <row r="28322" spans="1:6" x14ac:dyDescent="0.25">
      <c r="A28322" s="1" t="str">
        <f t="shared" si="1012"/>
        <v>38420</v>
      </c>
      <c r="B28322" s="1" t="str">
        <f>"53810"</f>
        <v>53810</v>
      </c>
      <c r="C28322" s="2">
        <v>9.5447547833736497E-3</v>
      </c>
      <c r="D28322" s="2">
        <v>7.1661237785016199E-3</v>
      </c>
      <c r="E28322" s="2">
        <v>0</v>
      </c>
      <c r="F28322" s="2">
        <v>9.0981644054269704E-3</v>
      </c>
    </row>
    <row r="28323" spans="1:6" x14ac:dyDescent="0.25">
      <c r="A28323" s="1" t="str">
        <f t="shared" si="1012"/>
        <v>38420</v>
      </c>
      <c r="B28323" s="1" t="str">
        <f>"53543"</f>
        <v>53543</v>
      </c>
      <c r="C28323" s="2">
        <v>7.9173081152408105E-4</v>
      </c>
      <c r="D28323" s="2">
        <v>6.5146579804560198E-4</v>
      </c>
      <c r="E28323" s="2">
        <v>1.2658227848101201E-3</v>
      </c>
      <c r="F28323" s="2">
        <v>7.9808459696727803E-4</v>
      </c>
    </row>
    <row r="28324" spans="1:6" x14ac:dyDescent="0.25">
      <c r="A28324" s="1" t="str">
        <f t="shared" si="1012"/>
        <v>38420</v>
      </c>
      <c r="B28324" s="1" t="str">
        <f>"53802"</f>
        <v>53802</v>
      </c>
      <c r="C28324" s="2">
        <v>0</v>
      </c>
      <c r="D28324" s="2">
        <v>0</v>
      </c>
      <c r="E28324" s="2">
        <v>1.2658227848101201E-3</v>
      </c>
      <c r="F28324" s="2">
        <v>3.9904229848363903E-5</v>
      </c>
    </row>
    <row r="28325" spans="1:6" x14ac:dyDescent="0.25">
      <c r="A28325" s="1" t="str">
        <f t="shared" si="1012"/>
        <v>38420</v>
      </c>
      <c r="B28325" s="1" t="str">
        <f>"53817"</f>
        <v>53817</v>
      </c>
      <c r="C28325" s="2">
        <v>2.6391027050802702E-3</v>
      </c>
      <c r="D28325" s="2">
        <v>0</v>
      </c>
      <c r="E28325" s="2">
        <v>1.2658227848101201E-3</v>
      </c>
      <c r="F28325" s="2">
        <v>2.4341580207501898E-3</v>
      </c>
    </row>
    <row r="28326" spans="1:6" x14ac:dyDescent="0.25">
      <c r="A28326" s="1" t="str">
        <f t="shared" si="1012"/>
        <v>38420</v>
      </c>
      <c r="B28326" s="1" t="str">
        <f>"53820"</f>
        <v>53820</v>
      </c>
      <c r="C28326" s="2">
        <v>5.1814383109742602E-2</v>
      </c>
      <c r="D28326" s="2">
        <v>3.06188925081433E-2</v>
      </c>
      <c r="E28326" s="2">
        <v>2.91139240506329E-2</v>
      </c>
      <c r="F28326" s="2">
        <v>4.9800478850758098E-2</v>
      </c>
    </row>
    <row r="28327" spans="1:6" x14ac:dyDescent="0.25">
      <c r="A28327" s="1" t="str">
        <f t="shared" si="1012"/>
        <v>38420</v>
      </c>
      <c r="B28327" s="1" t="str">
        <f>"53807"</f>
        <v>53807</v>
      </c>
      <c r="C28327" s="2">
        <v>6.7912909610732305E-2</v>
      </c>
      <c r="D28327" s="2">
        <v>7.1661237785016194E-2</v>
      </c>
      <c r="E28327" s="2">
        <v>6.3291139240506306E-2</v>
      </c>
      <c r="F28327" s="2">
        <v>6.7996807661612105E-2</v>
      </c>
    </row>
    <row r="28328" spans="1:6" x14ac:dyDescent="0.25">
      <c r="A28328" s="1" t="str">
        <f t="shared" si="1012"/>
        <v>38420</v>
      </c>
      <c r="B28328" s="1" t="str">
        <f>"53818"</f>
        <v>53818</v>
      </c>
      <c r="C28328" s="2">
        <v>0.25471739608533001</v>
      </c>
      <c r="D28328" s="2">
        <v>0.34657980456026</v>
      </c>
      <c r="E28328" s="2">
        <v>0.40759493670885999</v>
      </c>
      <c r="F28328" s="2">
        <v>0.26516360734237798</v>
      </c>
    </row>
    <row r="28329" spans="1:6" x14ac:dyDescent="0.25">
      <c r="A28329" s="1" t="str">
        <f t="shared" si="1012"/>
        <v>38420</v>
      </c>
      <c r="B28329" s="1" t="str">
        <f>"53554"</f>
        <v>53554</v>
      </c>
      <c r="C28329" s="2">
        <v>1.8385748845392499E-2</v>
      </c>
      <c r="D28329" s="2">
        <v>3.2573289902280101E-3</v>
      </c>
      <c r="E28329" s="2">
        <v>5.0632911392405004E-3</v>
      </c>
      <c r="F28329" s="2">
        <v>1.7039106145251299E-2</v>
      </c>
    </row>
    <row r="28330" spans="1:6" x14ac:dyDescent="0.25">
      <c r="A28330" s="1" t="str">
        <f t="shared" si="1012"/>
        <v>38420</v>
      </c>
      <c r="B28330" s="1" t="str">
        <f>"53824"</f>
        <v>53824</v>
      </c>
      <c r="C28330" s="2">
        <v>4.3985045084671199E-5</v>
      </c>
      <c r="D28330" s="2">
        <v>0</v>
      </c>
      <c r="E28330" s="2">
        <v>1.2658227848101201E-3</v>
      </c>
      <c r="F28330" s="2">
        <v>7.9808459696727806E-5</v>
      </c>
    </row>
    <row r="28331" spans="1:6" x14ac:dyDescent="0.25">
      <c r="A28331" s="1" t="str">
        <f t="shared" si="1012"/>
        <v>38420</v>
      </c>
      <c r="B28331" s="1" t="str">
        <f>"53825"</f>
        <v>53825</v>
      </c>
      <c r="C28331" s="2">
        <v>9.3688146030349601E-3</v>
      </c>
      <c r="D28331" s="2">
        <v>2.6058631921824101E-3</v>
      </c>
      <c r="E28331" s="2">
        <v>2.5316455696202502E-3</v>
      </c>
      <c r="F28331" s="2">
        <v>8.7390263367916905E-3</v>
      </c>
    </row>
    <row r="28332" spans="1:6" x14ac:dyDescent="0.25">
      <c r="A28332" s="1" t="str">
        <f t="shared" si="1012"/>
        <v>38420</v>
      </c>
      <c r="B28332" s="1" t="str">
        <f>"53518"</f>
        <v>53518</v>
      </c>
      <c r="C28332" s="2">
        <v>1.19639322630305E-2</v>
      </c>
      <c r="D28332" s="2">
        <v>5.8631921824104198E-3</v>
      </c>
      <c r="E28332" s="2">
        <v>6.3291139240506302E-3</v>
      </c>
      <c r="F28332" s="2">
        <v>1.1412609736632001E-2</v>
      </c>
    </row>
    <row r="28333" spans="1:6" x14ac:dyDescent="0.25">
      <c r="A28333" s="1" t="str">
        <f t="shared" si="1012"/>
        <v>38420</v>
      </c>
      <c r="B28333" s="1" t="str">
        <f>"53812"</f>
        <v>53812</v>
      </c>
      <c r="C28333" s="2">
        <v>9.3688146030349601E-3</v>
      </c>
      <c r="D28333" s="2">
        <v>3.2573289902280101E-3</v>
      </c>
      <c r="E28333" s="2">
        <v>1.2658227848101201E-3</v>
      </c>
      <c r="F28333" s="2">
        <v>8.7390263367916905E-3</v>
      </c>
    </row>
    <row r="28334" spans="1:6" x14ac:dyDescent="0.25">
      <c r="A28334" s="1" t="str">
        <f t="shared" si="1012"/>
        <v>38420</v>
      </c>
      <c r="B28334" s="1" t="str">
        <f>"53805"</f>
        <v>53805</v>
      </c>
      <c r="C28334" s="2">
        <v>9.0433252694084004E-2</v>
      </c>
      <c r="D28334" s="2">
        <v>0.13420195439739399</v>
      </c>
      <c r="E28334" s="2">
        <v>8.4810126582278406E-2</v>
      </c>
      <c r="F28334" s="2">
        <v>9.2936951316839503E-2</v>
      </c>
    </row>
    <row r="28335" spans="1:6" x14ac:dyDescent="0.25">
      <c r="A28335" s="1" t="str">
        <f t="shared" si="1012"/>
        <v>38420</v>
      </c>
      <c r="B28335" s="1" t="str">
        <f>"53573"</f>
        <v>53573</v>
      </c>
      <c r="C28335" s="2">
        <v>4.3985045084671201E-2</v>
      </c>
      <c r="D28335" s="2">
        <v>1.1074918566775199E-2</v>
      </c>
      <c r="E28335" s="2">
        <v>3.2911392405063203E-2</v>
      </c>
      <c r="F28335" s="2">
        <v>4.1620111731843497E-2</v>
      </c>
    </row>
    <row r="28336" spans="1:6" x14ac:dyDescent="0.25">
      <c r="A28336" s="1" t="str">
        <f t="shared" si="1012"/>
        <v>38420</v>
      </c>
      <c r="B28336" s="1" t="str">
        <f>"53808"</f>
        <v>53808</v>
      </c>
      <c r="C28336" s="2">
        <v>2.3971849571145801E-2</v>
      </c>
      <c r="D28336" s="2">
        <v>6.5146579804560198E-4</v>
      </c>
      <c r="E28336" s="2">
        <v>2.7848101265822701E-2</v>
      </c>
      <c r="F28336" s="2">
        <v>2.2665602553870699E-2</v>
      </c>
    </row>
    <row r="28337" spans="1:6" x14ac:dyDescent="0.25">
      <c r="A28337" s="1" t="str">
        <f t="shared" si="1012"/>
        <v>38420</v>
      </c>
      <c r="B28337" s="1" t="str">
        <f>"53809"</f>
        <v>53809</v>
      </c>
      <c r="C28337" s="2">
        <v>8.0580602595117595E-2</v>
      </c>
      <c r="D28337" s="2">
        <v>0.11074918566775201</v>
      </c>
      <c r="E28337" s="2">
        <v>8.4810126582278406E-2</v>
      </c>
      <c r="F28337" s="2">
        <v>8.2561851556264901E-2</v>
      </c>
    </row>
    <row r="28338" spans="1:6" x14ac:dyDescent="0.25">
      <c r="A28338" s="1" t="str">
        <f t="shared" si="1012"/>
        <v>38420</v>
      </c>
      <c r="B28338" s="1" t="str">
        <f>"53569"</f>
        <v>53569</v>
      </c>
      <c r="C28338" s="2">
        <v>1.8605674070815901E-2</v>
      </c>
      <c r="D28338" s="2">
        <v>7.8175895765472299E-3</v>
      </c>
      <c r="E28338" s="2">
        <v>7.5949367088607497E-3</v>
      </c>
      <c r="F28338" s="2">
        <v>1.75977653631284E-2</v>
      </c>
    </row>
    <row r="28339" spans="1:6" x14ac:dyDescent="0.25">
      <c r="A28339" s="1" t="str">
        <f t="shared" si="1012"/>
        <v>38420</v>
      </c>
      <c r="B28339" s="1" t="str">
        <f>"53813"</f>
        <v>53813</v>
      </c>
      <c r="C28339" s="2">
        <v>0.12663294479876799</v>
      </c>
      <c r="D28339" s="2">
        <v>0.19869706840390799</v>
      </c>
      <c r="E28339" s="2">
        <v>0.13797468354430301</v>
      </c>
      <c r="F28339" s="2">
        <v>0.13140462889066201</v>
      </c>
    </row>
    <row r="28340" spans="1:6" x14ac:dyDescent="0.25">
      <c r="A28340" s="1" t="str">
        <f t="shared" si="1012"/>
        <v>38420</v>
      </c>
      <c r="B28340" s="1" t="str">
        <f>"53806"</f>
        <v>53806</v>
      </c>
      <c r="C28340" s="2">
        <v>4.1653837695183597E-2</v>
      </c>
      <c r="D28340" s="2">
        <v>1.3680781758957599E-2</v>
      </c>
      <c r="E28340" s="2">
        <v>2.53164556962025E-2</v>
      </c>
      <c r="F28340" s="2">
        <v>3.9425379090183503E-2</v>
      </c>
    </row>
    <row r="28341" spans="1:6" x14ac:dyDescent="0.25">
      <c r="A28341" s="1" t="str">
        <f t="shared" si="1012"/>
        <v>38420</v>
      </c>
      <c r="B28341" s="1" t="str">
        <f>"53816"</f>
        <v>53816</v>
      </c>
      <c r="C28341" s="2">
        <v>1.57026610952276E-2</v>
      </c>
      <c r="D28341" s="2">
        <v>1.9543973941368001E-3</v>
      </c>
      <c r="E28341" s="2">
        <v>6.3291139240506302E-3</v>
      </c>
      <c r="F28341" s="2">
        <v>1.4565043894652799E-2</v>
      </c>
    </row>
    <row r="28342" spans="1:6" x14ac:dyDescent="0.25">
      <c r="A28342" s="1" t="str">
        <f t="shared" si="1012"/>
        <v>38420</v>
      </c>
      <c r="B28342" s="1" t="str">
        <f>"53804"</f>
        <v>53804</v>
      </c>
      <c r="C28342" s="2">
        <v>2.7930503628766201E-2</v>
      </c>
      <c r="D28342" s="2">
        <v>7.8175895765472299E-3</v>
      </c>
      <c r="E28342" s="2">
        <v>1.5189873417721499E-2</v>
      </c>
      <c r="F28342" s="2">
        <v>2.6296887470071799E-2</v>
      </c>
    </row>
    <row r="28343" spans="1:6" x14ac:dyDescent="0.25">
      <c r="A28343" s="1" t="str">
        <f t="shared" ref="A28343:A28370" si="1013">"38460"</f>
        <v>38460</v>
      </c>
      <c r="B28343" s="1" t="str">
        <f>"12920"</f>
        <v>12920</v>
      </c>
      <c r="C28343" s="2">
        <v>1.4133891440841499E-3</v>
      </c>
      <c r="D28343" s="2">
        <v>1.0489510489510401E-3</v>
      </c>
      <c r="E28343" s="2">
        <v>0</v>
      </c>
      <c r="F28343" s="2">
        <v>1.32629192891075E-3</v>
      </c>
    </row>
    <row r="28344" spans="1:6" x14ac:dyDescent="0.25">
      <c r="A28344" s="1" t="str">
        <f t="shared" si="1013"/>
        <v>38460</v>
      </c>
      <c r="B28344" s="1" t="str">
        <f>"12910"</f>
        <v>12910</v>
      </c>
      <c r="C28344" s="2">
        <v>2.3647087602946301E-2</v>
      </c>
      <c r="D28344" s="2">
        <v>3.49650349650349E-3</v>
      </c>
      <c r="E28344" s="2">
        <v>3.3003300330032999E-3</v>
      </c>
      <c r="F28344" s="2">
        <v>2.1365357254816801E-2</v>
      </c>
    </row>
    <row r="28345" spans="1:6" x14ac:dyDescent="0.25">
      <c r="A28345" s="1" t="str">
        <f t="shared" si="1013"/>
        <v>38460</v>
      </c>
      <c r="B28345" s="1" t="str">
        <f>"12911"</f>
        <v>12911</v>
      </c>
      <c r="C28345" s="2">
        <v>4.8925008833682103E-4</v>
      </c>
      <c r="D28345" s="2">
        <v>3.49650349650349E-4</v>
      </c>
      <c r="E28345" s="2">
        <v>5.5005500550055003E-4</v>
      </c>
      <c r="F28345" s="2">
        <v>4.8228797414936401E-4</v>
      </c>
    </row>
    <row r="28346" spans="1:6" x14ac:dyDescent="0.25">
      <c r="A28346" s="1" t="str">
        <f t="shared" si="1013"/>
        <v>38460</v>
      </c>
      <c r="B28346" s="1" t="str">
        <f>"12929"</f>
        <v>12929</v>
      </c>
      <c r="C28346" s="2">
        <v>0</v>
      </c>
      <c r="D28346" s="2">
        <v>3.49650349650349E-4</v>
      </c>
      <c r="E28346" s="2">
        <v>5.5005500550055003E-4</v>
      </c>
      <c r="F28346" s="2">
        <v>4.8228797414936402E-5</v>
      </c>
    </row>
    <row r="28347" spans="1:6" x14ac:dyDescent="0.25">
      <c r="A28347" s="1" t="str">
        <f t="shared" si="1013"/>
        <v>38460</v>
      </c>
      <c r="B28347" s="1" t="str">
        <f>"12997"</f>
        <v>12997</v>
      </c>
      <c r="C28347" s="2">
        <v>1.08722241852627E-4</v>
      </c>
      <c r="D28347" s="2">
        <v>0</v>
      </c>
      <c r="E28347" s="2">
        <v>0</v>
      </c>
      <c r="F28347" s="2">
        <v>9.64575948298729E-5</v>
      </c>
    </row>
    <row r="28348" spans="1:6" x14ac:dyDescent="0.25">
      <c r="A28348" s="1" t="str">
        <f t="shared" si="1013"/>
        <v>38460</v>
      </c>
      <c r="B28348" s="1" t="str">
        <f>"12981"</f>
        <v>12981</v>
      </c>
      <c r="C28348" s="2">
        <v>2.9056019135114498E-2</v>
      </c>
      <c r="D28348" s="2">
        <v>1.1888111888111799E-2</v>
      </c>
      <c r="E28348" s="2">
        <v>9.9009900990098994E-3</v>
      </c>
      <c r="F28348" s="2">
        <v>2.70322409510718E-2</v>
      </c>
    </row>
    <row r="28349" spans="1:6" x14ac:dyDescent="0.25">
      <c r="A28349" s="1" t="str">
        <f t="shared" si="1013"/>
        <v>38460</v>
      </c>
      <c r="B28349" s="1" t="str">
        <f>"12985"</f>
        <v>12985</v>
      </c>
      <c r="C28349" s="2">
        <v>1.03014324155364E-2</v>
      </c>
      <c r="D28349" s="2">
        <v>1.3986013986013899E-3</v>
      </c>
      <c r="E28349" s="2">
        <v>1.65016501650165E-3</v>
      </c>
      <c r="F28349" s="2">
        <v>9.3081579010827302E-3</v>
      </c>
    </row>
    <row r="28350" spans="1:6" x14ac:dyDescent="0.25">
      <c r="A28350" s="1" t="str">
        <f t="shared" si="1013"/>
        <v>38460</v>
      </c>
      <c r="B28350" s="1" t="str">
        <f>"12978"</f>
        <v>12978</v>
      </c>
      <c r="C28350" s="2">
        <v>3.3703894974314299E-3</v>
      </c>
      <c r="D28350" s="2">
        <v>6.9930069930069897E-4</v>
      </c>
      <c r="E28350" s="2">
        <v>1.65016501650165E-3</v>
      </c>
      <c r="F28350" s="2">
        <v>3.1107574332634E-3</v>
      </c>
    </row>
    <row r="28351" spans="1:6" x14ac:dyDescent="0.25">
      <c r="A28351" s="1" t="str">
        <f t="shared" si="1013"/>
        <v>38460</v>
      </c>
      <c r="B28351" s="1" t="str">
        <f>"12958"</f>
        <v>12958</v>
      </c>
      <c r="C28351" s="2">
        <v>2.35655459215569E-2</v>
      </c>
      <c r="D28351" s="2">
        <v>5.9440559440559404E-3</v>
      </c>
      <c r="E28351" s="2">
        <v>7.1507150715071502E-3</v>
      </c>
      <c r="F28351" s="2">
        <v>2.1630615640599E-2</v>
      </c>
    </row>
    <row r="28352" spans="1:6" x14ac:dyDescent="0.25">
      <c r="A28352" s="1" t="str">
        <f t="shared" si="1013"/>
        <v>38460</v>
      </c>
      <c r="B28352" s="1" t="str">
        <f>"12935"</f>
        <v>12935</v>
      </c>
      <c r="C28352" s="2">
        <v>2.1690087249599001E-2</v>
      </c>
      <c r="D28352" s="2">
        <v>3.8461538461538399E-3</v>
      </c>
      <c r="E28352" s="2">
        <v>2.75027502750275E-3</v>
      </c>
      <c r="F28352" s="2">
        <v>1.96291205478791E-2</v>
      </c>
    </row>
    <row r="28353" spans="1:6" x14ac:dyDescent="0.25">
      <c r="A28353" s="1" t="str">
        <f t="shared" si="1013"/>
        <v>38460</v>
      </c>
      <c r="B28353" s="1" t="str">
        <f>"12962"</f>
        <v>12962</v>
      </c>
      <c r="C28353" s="2">
        <v>6.3140441955913104E-2</v>
      </c>
      <c r="D28353" s="2">
        <v>1.01398601398601E-2</v>
      </c>
      <c r="E28353" s="2">
        <v>2.3652365236523601E-2</v>
      </c>
      <c r="F28353" s="2">
        <v>5.77539849043864E-2</v>
      </c>
    </row>
    <row r="28354" spans="1:6" x14ac:dyDescent="0.25">
      <c r="A28354" s="1" t="str">
        <f t="shared" si="1013"/>
        <v>38460</v>
      </c>
      <c r="B28354" s="1" t="str">
        <f>"12972"</f>
        <v>12972</v>
      </c>
      <c r="C28354" s="2">
        <v>6.8196026202060195E-2</v>
      </c>
      <c r="D28354" s="2">
        <v>1.7132867132867099E-2</v>
      </c>
      <c r="E28354" s="2">
        <v>2.9152915291529101E-2</v>
      </c>
      <c r="F28354" s="2">
        <v>6.2962695025199494E-2</v>
      </c>
    </row>
    <row r="28355" spans="1:6" x14ac:dyDescent="0.25">
      <c r="A28355" s="1" t="str">
        <f t="shared" si="1013"/>
        <v>38460</v>
      </c>
      <c r="B28355" s="1" t="str">
        <f>"12955"</f>
        <v>12955</v>
      </c>
      <c r="C28355" s="2">
        <v>6.7407789948628703E-3</v>
      </c>
      <c r="D28355" s="2">
        <v>6.9930069930069897E-4</v>
      </c>
      <c r="E28355" s="2">
        <v>5.5005500550055003E-4</v>
      </c>
      <c r="F28355" s="2">
        <v>6.0527140755745196E-3</v>
      </c>
    </row>
    <row r="28356" spans="1:6" x14ac:dyDescent="0.25">
      <c r="A28356" s="1" t="str">
        <f t="shared" si="1013"/>
        <v>38460</v>
      </c>
      <c r="B28356" s="1" t="str">
        <f>"12923"</f>
        <v>12923</v>
      </c>
      <c r="C28356" s="2">
        <v>8.2357098203364905E-3</v>
      </c>
      <c r="D28356" s="2">
        <v>2.0979020979020901E-3</v>
      </c>
      <c r="E28356" s="2">
        <v>1.65016501650165E-3</v>
      </c>
      <c r="F28356" s="2">
        <v>7.5236923967300796E-3</v>
      </c>
    </row>
    <row r="28357" spans="1:6" x14ac:dyDescent="0.25">
      <c r="A28357" s="1" t="str">
        <f t="shared" si="1013"/>
        <v>38460</v>
      </c>
      <c r="B28357" s="1" t="str">
        <f>"12924"</f>
        <v>12924</v>
      </c>
      <c r="C28357" s="2">
        <v>2.0385420347367499E-3</v>
      </c>
      <c r="D28357" s="2">
        <v>1.0489510489510401E-3</v>
      </c>
      <c r="E28357" s="2">
        <v>1.65016501650165E-3</v>
      </c>
      <c r="F28357" s="2">
        <v>1.9532662953049198E-3</v>
      </c>
    </row>
    <row r="28358" spans="1:6" x14ac:dyDescent="0.25">
      <c r="A28358" s="1" t="str">
        <f t="shared" si="1013"/>
        <v>38460</v>
      </c>
      <c r="B28358" s="1" t="str">
        <f>"12901"</f>
        <v>12901</v>
      </c>
      <c r="C28358" s="2">
        <v>0.44798999755374902</v>
      </c>
      <c r="D28358" s="2">
        <v>0.74055944055944001</v>
      </c>
      <c r="E28358" s="2">
        <v>0.693619361936193</v>
      </c>
      <c r="F28358" s="2">
        <v>0.478936072729026</v>
      </c>
    </row>
    <row r="28359" spans="1:6" x14ac:dyDescent="0.25">
      <c r="A28359" s="1" t="str">
        <f t="shared" si="1013"/>
        <v>38460</v>
      </c>
      <c r="B28359" s="1" t="str">
        <f>"12921"</f>
        <v>12921</v>
      </c>
      <c r="C28359" s="2">
        <v>3.0523769400124998E-2</v>
      </c>
      <c r="D28359" s="2">
        <v>5.9440559440559404E-3</v>
      </c>
      <c r="E28359" s="2">
        <v>2.0902090209020899E-2</v>
      </c>
      <c r="F28359" s="2">
        <v>2.8406761677397498E-2</v>
      </c>
    </row>
    <row r="28360" spans="1:6" x14ac:dyDescent="0.25">
      <c r="A28360" s="1" t="str">
        <f t="shared" si="1013"/>
        <v>38460</v>
      </c>
      <c r="B28360" s="1" t="str">
        <f>"12934"</f>
        <v>12934</v>
      </c>
      <c r="C28360" s="2">
        <v>1.23943355711994E-2</v>
      </c>
      <c r="D28360" s="2">
        <v>3.49650349650349E-3</v>
      </c>
      <c r="E28360" s="2">
        <v>4.9504950495049497E-3</v>
      </c>
      <c r="F28360" s="2">
        <v>1.14543393860474E-2</v>
      </c>
    </row>
    <row r="28361" spans="1:6" x14ac:dyDescent="0.25">
      <c r="A28361" s="1" t="str">
        <f t="shared" si="1013"/>
        <v>38460</v>
      </c>
      <c r="B28361" s="1" t="str">
        <f>"12992"</f>
        <v>12992</v>
      </c>
      <c r="C28361" s="2">
        <v>5.8411024435323797E-2</v>
      </c>
      <c r="D28361" s="2">
        <v>1.3986013986013899E-2</v>
      </c>
      <c r="E28361" s="2">
        <v>1.48514851485148E-2</v>
      </c>
      <c r="F28361" s="2">
        <v>5.3437507535749502E-2</v>
      </c>
    </row>
    <row r="28362" spans="1:6" x14ac:dyDescent="0.25">
      <c r="A28362" s="1" t="str">
        <f t="shared" si="1013"/>
        <v>38460</v>
      </c>
      <c r="B28362" s="1" t="str">
        <f>"12903"</f>
        <v>12903</v>
      </c>
      <c r="C28362" s="2">
        <v>2.6365143649261999E-2</v>
      </c>
      <c r="D28362" s="2">
        <v>5.4195804195804102E-2</v>
      </c>
      <c r="E28362" s="2">
        <v>5.3355335533553302E-2</v>
      </c>
      <c r="F28362" s="2">
        <v>2.9467795220526099E-2</v>
      </c>
    </row>
    <row r="28363" spans="1:6" x14ac:dyDescent="0.25">
      <c r="A28363" s="1" t="str">
        <f t="shared" si="1013"/>
        <v>38460</v>
      </c>
      <c r="B28363" s="1" t="str">
        <f>"12918"</f>
        <v>12918</v>
      </c>
      <c r="C28363" s="2">
        <v>2.6963115979451401E-2</v>
      </c>
      <c r="D28363" s="2">
        <v>5.2447552447552398E-3</v>
      </c>
      <c r="E28363" s="2">
        <v>7.1507150715071502E-3</v>
      </c>
      <c r="F28363" s="2">
        <v>2.4596686681617502E-2</v>
      </c>
    </row>
    <row r="28364" spans="1:6" x14ac:dyDescent="0.25">
      <c r="A28364" s="1" t="str">
        <f t="shared" si="1013"/>
        <v>38460</v>
      </c>
      <c r="B28364" s="1" t="str">
        <f>"12952"</f>
        <v>12952</v>
      </c>
      <c r="C28364" s="2">
        <v>4.5663341578103299E-3</v>
      </c>
      <c r="D28364" s="2">
        <v>1.3986013986013899E-3</v>
      </c>
      <c r="E28364" s="2">
        <v>1.65016501650165E-3</v>
      </c>
      <c r="F28364" s="2">
        <v>4.2200197738069397E-3</v>
      </c>
    </row>
    <row r="28365" spans="1:6" x14ac:dyDescent="0.25">
      <c r="A28365" s="1" t="str">
        <f t="shared" si="1013"/>
        <v>38460</v>
      </c>
      <c r="B28365" s="1" t="str">
        <f>"12933"</f>
        <v>12933</v>
      </c>
      <c r="C28365" s="2">
        <v>0</v>
      </c>
      <c r="D28365" s="2">
        <v>0</v>
      </c>
      <c r="E28365" s="2">
        <v>5.5005500550055003E-4</v>
      </c>
      <c r="F28365" s="2">
        <v>2.4114398707468201E-5</v>
      </c>
    </row>
    <row r="28366" spans="1:6" x14ac:dyDescent="0.25">
      <c r="A28366" s="1" t="str">
        <f t="shared" si="1013"/>
        <v>38460</v>
      </c>
      <c r="B28366" s="1" t="str">
        <f>"12959"</f>
        <v>12959</v>
      </c>
      <c r="C28366" s="2">
        <v>1.6743225245304499E-2</v>
      </c>
      <c r="D28366" s="2">
        <v>2.7972027972027898E-3</v>
      </c>
      <c r="E28366" s="2">
        <v>1.65016501650165E-3</v>
      </c>
      <c r="F28366" s="2">
        <v>1.51197279895825E-2</v>
      </c>
    </row>
    <row r="28367" spans="1:6" x14ac:dyDescent="0.25">
      <c r="A28367" s="1" t="str">
        <f t="shared" si="1013"/>
        <v>38460</v>
      </c>
      <c r="B28367" s="1" t="str">
        <f>"12919"</f>
        <v>12919</v>
      </c>
      <c r="C28367" s="2">
        <v>4.0417493408713999E-2</v>
      </c>
      <c r="D28367" s="2">
        <v>4.6853146853146801E-2</v>
      </c>
      <c r="E28367" s="2">
        <v>3.4103410341034097E-2</v>
      </c>
      <c r="F28367" s="2">
        <v>4.0584533024669002E-2</v>
      </c>
    </row>
    <row r="28368" spans="1:6" x14ac:dyDescent="0.25">
      <c r="A28368" s="1" t="str">
        <f t="shared" si="1013"/>
        <v>38460</v>
      </c>
      <c r="B28368" s="1" t="str">
        <f>"12944"</f>
        <v>12944</v>
      </c>
      <c r="C28368" s="2">
        <v>2.32665597564621E-2</v>
      </c>
      <c r="D28368" s="2">
        <v>1.1888111888111799E-2</v>
      </c>
      <c r="E28368" s="2">
        <v>2.1452145214521399E-2</v>
      </c>
      <c r="F28368" s="2">
        <v>2.2402276399237898E-2</v>
      </c>
    </row>
    <row r="28369" spans="1:6" x14ac:dyDescent="0.25">
      <c r="A28369" s="1" t="str">
        <f t="shared" si="1013"/>
        <v>38460</v>
      </c>
      <c r="B28369" s="1" t="str">
        <f>"12912"</f>
        <v>12912</v>
      </c>
      <c r="C28369" s="2">
        <v>1.5982169552336101E-2</v>
      </c>
      <c r="D28369" s="2">
        <v>5.9440559440559404E-3</v>
      </c>
      <c r="E28369" s="2">
        <v>1.1001100110011E-2</v>
      </c>
      <c r="F28369" s="2">
        <v>1.50714991921676E-2</v>
      </c>
    </row>
    <row r="28370" spans="1:6" x14ac:dyDescent="0.25">
      <c r="A28370" s="1" t="str">
        <f t="shared" si="1013"/>
        <v>38460</v>
      </c>
      <c r="B28370" s="1" t="str">
        <f>"12979"</f>
        <v>12979</v>
      </c>
      <c r="C28370" s="2">
        <v>3.4383408985893198E-2</v>
      </c>
      <c r="D28370" s="2">
        <v>4.7552447552447502E-2</v>
      </c>
      <c r="E28370" s="2">
        <v>5.0605060506050598E-2</v>
      </c>
      <c r="F28370" s="2">
        <v>3.6002797270249999E-2</v>
      </c>
    </row>
    <row r="28371" spans="1:6" x14ac:dyDescent="0.25">
      <c r="A28371" s="1" t="str">
        <f t="shared" ref="A28371:A28386" si="1014">"38500"</f>
        <v>38500</v>
      </c>
      <c r="B28371" s="1" t="str">
        <f>"46511"</f>
        <v>46511</v>
      </c>
      <c r="C28371" s="2">
        <v>0.10054398799474699</v>
      </c>
      <c r="D28371" s="2">
        <v>6.8622811168953995E-2</v>
      </c>
      <c r="E28371" s="2">
        <v>0.103950103950103</v>
      </c>
      <c r="F28371" s="2">
        <v>9.7792457563341401E-2</v>
      </c>
    </row>
    <row r="28372" spans="1:6" x14ac:dyDescent="0.25">
      <c r="A28372" s="1" t="str">
        <f t="shared" si="1014"/>
        <v>38500</v>
      </c>
      <c r="B28372" s="1" t="str">
        <f>"46513"</f>
        <v>46513</v>
      </c>
      <c r="C28372" s="2">
        <v>0</v>
      </c>
      <c r="D28372" s="2">
        <v>0</v>
      </c>
      <c r="E28372" s="2">
        <v>2.07900207900207E-3</v>
      </c>
      <c r="F28372" s="2">
        <v>4.1809515845806499E-5</v>
      </c>
    </row>
    <row r="28373" spans="1:6" x14ac:dyDescent="0.25">
      <c r="A28373" s="1" t="str">
        <f t="shared" si="1014"/>
        <v>38500</v>
      </c>
      <c r="B28373" s="1" t="str">
        <f>"46563"</f>
        <v>46563</v>
      </c>
      <c r="C28373" s="2">
        <v>0.50600262614893998</v>
      </c>
      <c r="D28373" s="2">
        <v>0.64647420728821503</v>
      </c>
      <c r="E28373" s="2">
        <v>0.54054054054054002</v>
      </c>
      <c r="F28373" s="2">
        <v>0.51910694874153296</v>
      </c>
    </row>
    <row r="28374" spans="1:6" x14ac:dyDescent="0.25">
      <c r="A28374" s="1" t="str">
        <f t="shared" si="1014"/>
        <v>38500</v>
      </c>
      <c r="B28374" s="1" t="str">
        <f>"46570"</f>
        <v>46570</v>
      </c>
      <c r="C28374" s="2">
        <v>2.0915400487713301E-2</v>
      </c>
      <c r="D28374" s="2">
        <v>5.6791292001892998E-3</v>
      </c>
      <c r="E28374" s="2">
        <v>4.1580041580041504E-3</v>
      </c>
      <c r="F28374" s="2">
        <v>1.9232377289070901E-2</v>
      </c>
    </row>
    <row r="28375" spans="1:6" x14ac:dyDescent="0.25">
      <c r="A28375" s="1" t="str">
        <f t="shared" si="1014"/>
        <v>38500</v>
      </c>
      <c r="B28375" s="1" t="str">
        <f>"46537"</f>
        <v>46537</v>
      </c>
      <c r="C28375" s="2">
        <v>0</v>
      </c>
      <c r="D28375" s="2">
        <v>0</v>
      </c>
      <c r="E28375" s="2">
        <v>2.07900207900207E-3</v>
      </c>
      <c r="F28375" s="2">
        <v>4.1809515845806499E-5</v>
      </c>
    </row>
    <row r="28376" spans="1:6" x14ac:dyDescent="0.25">
      <c r="A28376" s="1" t="str">
        <f t="shared" si="1014"/>
        <v>38500</v>
      </c>
      <c r="B28376" s="1" t="str">
        <f>"46531"</f>
        <v>46531</v>
      </c>
      <c r="C28376" s="2">
        <v>8.4411930219470996E-4</v>
      </c>
      <c r="D28376" s="2">
        <v>9.4652153336488402E-4</v>
      </c>
      <c r="E28376" s="2">
        <v>0</v>
      </c>
      <c r="F28376" s="2">
        <v>8.3619031691612995E-4</v>
      </c>
    </row>
    <row r="28377" spans="1:6" x14ac:dyDescent="0.25">
      <c r="A28377" s="1" t="str">
        <f t="shared" si="1014"/>
        <v>38500</v>
      </c>
      <c r="B28377" s="1" t="str">
        <f>"46504"</f>
        <v>46504</v>
      </c>
      <c r="C28377" s="2">
        <v>6.4059275933220694E-2</v>
      </c>
      <c r="D28377" s="2">
        <v>5.8684335068622799E-2</v>
      </c>
      <c r="E28377" s="2">
        <v>3.11850311850311E-2</v>
      </c>
      <c r="F28377" s="2">
        <v>6.2923321347938696E-2</v>
      </c>
    </row>
    <row r="28378" spans="1:6" x14ac:dyDescent="0.25">
      <c r="A28378" s="1" t="str">
        <f t="shared" si="1014"/>
        <v>38500</v>
      </c>
      <c r="B28378" s="1" t="str">
        <f>"46539"</f>
        <v>46539</v>
      </c>
      <c r="C28378" s="2">
        <v>8.9101481898330498E-4</v>
      </c>
      <c r="D28378" s="2">
        <v>0</v>
      </c>
      <c r="E28378" s="2">
        <v>0</v>
      </c>
      <c r="F28378" s="2">
        <v>7.9438080107032305E-4</v>
      </c>
    </row>
    <row r="28379" spans="1:6" x14ac:dyDescent="0.25">
      <c r="A28379" s="1" t="str">
        <f t="shared" si="1014"/>
        <v>38500</v>
      </c>
      <c r="B28379" s="1" t="str">
        <f>"46506"</f>
        <v>46506</v>
      </c>
      <c r="C28379" s="2">
        <v>0.17009003939223399</v>
      </c>
      <c r="D28379" s="2">
        <v>0.13724562233790799</v>
      </c>
      <c r="E28379" s="2">
        <v>0.26819126819126798</v>
      </c>
      <c r="F28379" s="2">
        <v>0.16916130111213301</v>
      </c>
    </row>
    <row r="28380" spans="1:6" x14ac:dyDescent="0.25">
      <c r="A28380" s="1" t="str">
        <f t="shared" si="1014"/>
        <v>38500</v>
      </c>
      <c r="B28380" s="1" t="str">
        <f>"46501"</f>
        <v>46501</v>
      </c>
      <c r="C28380" s="2">
        <v>8.2864378165447297E-2</v>
      </c>
      <c r="D28380" s="2">
        <v>6.7203028868906695E-2</v>
      </c>
      <c r="E28380" s="2">
        <v>2.7027027027027001E-2</v>
      </c>
      <c r="F28380" s="2">
        <v>8.0357889455640097E-2</v>
      </c>
    </row>
    <row r="28381" spans="1:6" x14ac:dyDescent="0.25">
      <c r="A28381" s="1" t="str">
        <f t="shared" si="1014"/>
        <v>38500</v>
      </c>
      <c r="B28381" s="1" t="str">
        <f>"46536"</f>
        <v>46536</v>
      </c>
      <c r="C28381" s="2">
        <v>5.5336709810542102E-3</v>
      </c>
      <c r="D28381" s="2">
        <v>4.7326076668244201E-4</v>
      </c>
      <c r="E28381" s="2">
        <v>0</v>
      </c>
      <c r="F28381" s="2">
        <v>4.9753323856509702E-3</v>
      </c>
    </row>
    <row r="28382" spans="1:6" x14ac:dyDescent="0.25">
      <c r="A28382" s="1" t="str">
        <f t="shared" si="1014"/>
        <v>38500</v>
      </c>
      <c r="B28382" s="1" t="str">
        <f>"46572"</f>
        <v>46572</v>
      </c>
      <c r="C28382" s="2">
        <v>4.1737009941849503E-3</v>
      </c>
      <c r="D28382" s="2">
        <v>2.3663038334122101E-3</v>
      </c>
      <c r="E28382" s="2">
        <v>8.3160083160083095E-3</v>
      </c>
      <c r="F28382" s="2">
        <v>4.0973325528890301E-3</v>
      </c>
    </row>
    <row r="28383" spans="1:6" x14ac:dyDescent="0.25">
      <c r="A28383" s="1" t="str">
        <f t="shared" si="1014"/>
        <v>38500</v>
      </c>
      <c r="B28383" s="1" t="str">
        <f>"46975"</f>
        <v>46975</v>
      </c>
      <c r="C28383" s="2">
        <v>1.50065653723504E-3</v>
      </c>
      <c r="D28383" s="2">
        <v>4.7326076668244201E-4</v>
      </c>
      <c r="E28383" s="2">
        <v>0</v>
      </c>
      <c r="F28383" s="2">
        <v>1.3797140229116101E-3</v>
      </c>
    </row>
    <row r="28384" spans="1:6" x14ac:dyDescent="0.25">
      <c r="A28384" s="1" t="str">
        <f t="shared" si="1014"/>
        <v>38500</v>
      </c>
      <c r="B28384" s="1" t="str">
        <f>"46574"</f>
        <v>46574</v>
      </c>
      <c r="C28384" s="2">
        <v>3.6062652410429497E-2</v>
      </c>
      <c r="D28384" s="2">
        <v>4.2593469001419703E-3</v>
      </c>
      <c r="E28384" s="2">
        <v>0</v>
      </c>
      <c r="F28384" s="2">
        <v>3.2527803328037397E-2</v>
      </c>
    </row>
    <row r="28385" spans="1:6" x14ac:dyDescent="0.25">
      <c r="A28385" s="1" t="str">
        <f t="shared" si="1014"/>
        <v>38500</v>
      </c>
      <c r="B28385" s="1" t="str">
        <f>"46524"</f>
        <v>46524</v>
      </c>
      <c r="C28385" s="2">
        <v>5.6274620146314004E-4</v>
      </c>
      <c r="D28385" s="2">
        <v>0</v>
      </c>
      <c r="E28385" s="2">
        <v>0</v>
      </c>
      <c r="F28385" s="2">
        <v>5.0171419014967801E-4</v>
      </c>
    </row>
    <row r="28386" spans="1:6" x14ac:dyDescent="0.25">
      <c r="A28386" s="1" t="str">
        <f t="shared" si="1014"/>
        <v>38500</v>
      </c>
      <c r="B28386" s="1" t="str">
        <f>"46550"</f>
        <v>46550</v>
      </c>
      <c r="C28386" s="2">
        <v>5.9557306321515596E-3</v>
      </c>
      <c r="D28386" s="2">
        <v>7.5721722669190696E-3</v>
      </c>
      <c r="E28386" s="2">
        <v>1.24740124740124E-2</v>
      </c>
      <c r="F28386" s="2">
        <v>6.2296178610251598E-3</v>
      </c>
    </row>
    <row r="28387" spans="1:6" x14ac:dyDescent="0.25">
      <c r="A28387" s="1" t="str">
        <f t="shared" ref="A28387:A28401" si="1015">"38540"</f>
        <v>38540</v>
      </c>
      <c r="B28387" s="1" t="str">
        <f>"83204"</f>
        <v>83204</v>
      </c>
      <c r="C28387" s="2">
        <v>0.219653179190751</v>
      </c>
      <c r="D28387" s="2">
        <v>0.228103044496487</v>
      </c>
      <c r="E28387" s="2">
        <v>0.20734597156398099</v>
      </c>
      <c r="F28387" s="2">
        <v>0.219982773471145</v>
      </c>
    </row>
    <row r="28388" spans="1:6" x14ac:dyDescent="0.25">
      <c r="A28388" s="1" t="str">
        <f t="shared" si="1015"/>
        <v>38540</v>
      </c>
      <c r="B28388" s="1" t="str">
        <f>"83271"</f>
        <v>83271</v>
      </c>
      <c r="C28388" s="2">
        <v>1.0374981473247301E-3</v>
      </c>
      <c r="D28388" s="2">
        <v>7.0257611241217701E-4</v>
      </c>
      <c r="E28388" s="2">
        <v>5.9241706161137402E-4</v>
      </c>
      <c r="F28388" s="2">
        <v>9.9052540913006004E-4</v>
      </c>
    </row>
    <row r="28389" spans="1:6" x14ac:dyDescent="0.25">
      <c r="A28389" s="1" t="str">
        <f t="shared" si="1015"/>
        <v>38540</v>
      </c>
      <c r="B28389" s="1" t="str">
        <f>"83205"</f>
        <v>83205</v>
      </c>
      <c r="C28389" s="2">
        <v>2.0873474630699999E-2</v>
      </c>
      <c r="D28389" s="2">
        <v>6.9789227166276294E-2</v>
      </c>
      <c r="E28389" s="2">
        <v>1.18483412322274E-3</v>
      </c>
      <c r="F28389" s="2">
        <v>2.4655469422911198E-2</v>
      </c>
    </row>
    <row r="28390" spans="1:6" x14ac:dyDescent="0.25">
      <c r="A28390" s="1" t="str">
        <f t="shared" si="1015"/>
        <v>38540</v>
      </c>
      <c r="B28390" s="1" t="str">
        <f>"83234"</f>
        <v>83234</v>
      </c>
      <c r="C28390" s="2">
        <v>1.08443258732276E-2</v>
      </c>
      <c r="D28390" s="2">
        <v>1.4051522248243499E-3</v>
      </c>
      <c r="E28390" s="2">
        <v>2.9620853080568701E-3</v>
      </c>
      <c r="F28390" s="2">
        <v>9.6899224806201497E-3</v>
      </c>
    </row>
    <row r="28391" spans="1:6" x14ac:dyDescent="0.25">
      <c r="A28391" s="1" t="str">
        <f t="shared" si="1015"/>
        <v>38540</v>
      </c>
      <c r="B28391" s="1" t="str">
        <f>"83212"</f>
        <v>83212</v>
      </c>
      <c r="C28391" s="2">
        <v>1.92678227360308E-3</v>
      </c>
      <c r="D28391" s="2">
        <v>9.36768149882903E-4</v>
      </c>
      <c r="E28391" s="2">
        <v>1.18483412322274E-3</v>
      </c>
      <c r="F28391" s="2">
        <v>1.80878552971576E-3</v>
      </c>
    </row>
    <row r="28392" spans="1:6" x14ac:dyDescent="0.25">
      <c r="A28392" s="1" t="str">
        <f t="shared" si="1015"/>
        <v>38540</v>
      </c>
      <c r="B28392" s="1" t="str">
        <f>"83206"</f>
        <v>83206</v>
      </c>
      <c r="C28392" s="2">
        <v>1.5364853515142499E-2</v>
      </c>
      <c r="D28392" s="2">
        <v>5.5737704918032697E-2</v>
      </c>
      <c r="E28392" s="2">
        <v>1.18483412322274E-3</v>
      </c>
      <c r="F28392" s="2">
        <v>1.8561584840654601E-2</v>
      </c>
    </row>
    <row r="28393" spans="1:6" x14ac:dyDescent="0.25">
      <c r="A28393" s="1" t="str">
        <f t="shared" si="1015"/>
        <v>38540</v>
      </c>
      <c r="B28393" s="1" t="str">
        <f>"83211"</f>
        <v>83211</v>
      </c>
      <c r="C28393" s="2">
        <v>6.0990069660589799E-2</v>
      </c>
      <c r="D28393" s="2">
        <v>6.2763466042154506E-2</v>
      </c>
      <c r="E28393" s="2">
        <v>4.0876777251184798E-2</v>
      </c>
      <c r="F28393" s="2">
        <v>6.04220499569336E-2</v>
      </c>
    </row>
    <row r="28394" spans="1:6" x14ac:dyDescent="0.25">
      <c r="A28394" s="1" t="str">
        <f t="shared" si="1015"/>
        <v>38540</v>
      </c>
      <c r="B28394" s="1" t="str">
        <f>"83281"</f>
        <v>83281</v>
      </c>
      <c r="C28394" s="2">
        <v>4.9404673682130301E-5</v>
      </c>
      <c r="D28394" s="2">
        <v>0</v>
      </c>
      <c r="E28394" s="2">
        <v>5.9241706161137402E-4</v>
      </c>
      <c r="F28394" s="2">
        <v>6.4599483204134294E-5</v>
      </c>
    </row>
    <row r="28395" spans="1:6" x14ac:dyDescent="0.25">
      <c r="A28395" s="1" t="str">
        <f t="shared" si="1015"/>
        <v>38540</v>
      </c>
      <c r="B28395" s="1" t="str">
        <f>"83209"</f>
        <v>83209</v>
      </c>
      <c r="C28395" s="2">
        <v>0</v>
      </c>
      <c r="D28395" s="2">
        <v>1.4051522248243499E-3</v>
      </c>
      <c r="E28395" s="2">
        <v>0</v>
      </c>
      <c r="F28395" s="2">
        <v>1.2919896640826799E-4</v>
      </c>
    </row>
    <row r="28396" spans="1:6" x14ac:dyDescent="0.25">
      <c r="A28396" s="1" t="str">
        <f t="shared" si="1015"/>
        <v>38540</v>
      </c>
      <c r="B28396" s="1" t="str">
        <f>"83250"</f>
        <v>83250</v>
      </c>
      <c r="C28396" s="2">
        <v>1.5488365199347799E-2</v>
      </c>
      <c r="D28396" s="2">
        <v>2.1077283372365301E-3</v>
      </c>
      <c r="E28396" s="2">
        <v>2.9620853080568701E-3</v>
      </c>
      <c r="F28396" s="2">
        <v>1.38027562446167E-2</v>
      </c>
    </row>
    <row r="28397" spans="1:6" x14ac:dyDescent="0.25">
      <c r="A28397" s="1" t="str">
        <f t="shared" si="1015"/>
        <v>38540</v>
      </c>
      <c r="B28397" s="1" t="str">
        <f>"83202"</f>
        <v>83202</v>
      </c>
      <c r="C28397" s="2">
        <v>0.225482930685242</v>
      </c>
      <c r="D28397" s="2">
        <v>0.170023419203747</v>
      </c>
      <c r="E28397" s="2">
        <v>0.28732227488151602</v>
      </c>
      <c r="F28397" s="2">
        <v>0.22263135228251499</v>
      </c>
    </row>
    <row r="28398" spans="1:6" x14ac:dyDescent="0.25">
      <c r="A28398" s="1" t="str">
        <f t="shared" si="1015"/>
        <v>38540</v>
      </c>
      <c r="B28398" s="1" t="str">
        <f>"83214"</f>
        <v>83214</v>
      </c>
      <c r="C28398" s="2">
        <v>5.8297514944913699E-3</v>
      </c>
      <c r="D28398" s="2">
        <v>9.36768149882903E-4</v>
      </c>
      <c r="E28398" s="2">
        <v>5.9241706161137402E-4</v>
      </c>
      <c r="F28398" s="2">
        <v>5.1894918173987902E-3</v>
      </c>
    </row>
    <row r="28399" spans="1:6" x14ac:dyDescent="0.25">
      <c r="A28399" s="1" t="str">
        <f t="shared" si="1015"/>
        <v>38540</v>
      </c>
      <c r="B28399" s="1" t="str">
        <f>"83201"</f>
        <v>83201</v>
      </c>
      <c r="C28399" s="2">
        <v>0.39392816560446597</v>
      </c>
      <c r="D28399" s="2">
        <v>0.40562060889929702</v>
      </c>
      <c r="E28399" s="2">
        <v>0.44490521327014199</v>
      </c>
      <c r="F28399" s="2">
        <v>0.39685615848406502</v>
      </c>
    </row>
    <row r="28400" spans="1:6" x14ac:dyDescent="0.25">
      <c r="A28400" s="1" t="str">
        <f t="shared" si="1015"/>
        <v>38540</v>
      </c>
      <c r="B28400" s="1" t="str">
        <f>"83245"</f>
        <v>83245</v>
      </c>
      <c r="C28400" s="2">
        <v>1.7909194209772199E-2</v>
      </c>
      <c r="D28400" s="2">
        <v>0</v>
      </c>
      <c r="E28400" s="2">
        <v>4.1469194312796203E-3</v>
      </c>
      <c r="F28400" s="2">
        <v>1.5762273901808701E-2</v>
      </c>
    </row>
    <row r="28401" spans="1:6" x14ac:dyDescent="0.25">
      <c r="A28401" s="1" t="str">
        <f t="shared" si="1015"/>
        <v>38540</v>
      </c>
      <c r="B28401" s="1" t="str">
        <f>"83246"</f>
        <v>83246</v>
      </c>
      <c r="C28401" s="2">
        <v>1.0622004841657999E-2</v>
      </c>
      <c r="D28401" s="2">
        <v>4.6838407494145101E-4</v>
      </c>
      <c r="E28401" s="2">
        <v>4.1469194312796203E-3</v>
      </c>
      <c r="F28401" s="2">
        <v>9.4530577088716601E-3</v>
      </c>
    </row>
    <row r="28402" spans="1:6" x14ac:dyDescent="0.25">
      <c r="A28402" s="1" t="str">
        <f t="shared" ref="A28402:A28432" si="1016">"38580"</f>
        <v>38580</v>
      </c>
      <c r="B28402" s="1" t="str">
        <f>"45686"</f>
        <v>45686</v>
      </c>
      <c r="C28402" s="2">
        <v>5.3034654413172497E-2</v>
      </c>
      <c r="D28402" s="2">
        <v>1.6032064128256501E-2</v>
      </c>
      <c r="E28402" s="2">
        <v>1.53061224489795E-2</v>
      </c>
      <c r="F28402" s="2">
        <v>5.05284959291529E-2</v>
      </c>
    </row>
    <row r="28403" spans="1:6" x14ac:dyDescent="0.25">
      <c r="A28403" s="1" t="str">
        <f t="shared" si="1016"/>
        <v>38580</v>
      </c>
      <c r="B28403" s="1" t="str">
        <f>"25260"</f>
        <v>25260</v>
      </c>
      <c r="C28403" s="2">
        <v>1.64656327780968E-2</v>
      </c>
      <c r="D28403" s="2">
        <v>1.6700066800267199E-2</v>
      </c>
      <c r="E28403" s="2">
        <v>1.53061224489795E-2</v>
      </c>
      <c r="F28403" s="2">
        <v>1.64619340094272E-2</v>
      </c>
    </row>
    <row r="28404" spans="1:6" x14ac:dyDescent="0.25">
      <c r="A28404" s="1" t="str">
        <f t="shared" si="1016"/>
        <v>38580</v>
      </c>
      <c r="B28404" s="1" t="str">
        <f>"45623"</f>
        <v>45623</v>
      </c>
      <c r="C28404" s="2">
        <v>5.4336588167719697E-2</v>
      </c>
      <c r="D28404" s="2">
        <v>2.0040080160320599E-2</v>
      </c>
      <c r="E28404" s="2">
        <v>5.1020408163265302E-3</v>
      </c>
      <c r="F28404" s="2">
        <v>5.1814026567633099E-2</v>
      </c>
    </row>
    <row r="28405" spans="1:6" x14ac:dyDescent="0.25">
      <c r="A28405" s="1" t="str">
        <f t="shared" si="1016"/>
        <v>38580</v>
      </c>
      <c r="B28405" s="1" t="str">
        <f>"45614"</f>
        <v>45614</v>
      </c>
      <c r="C28405" s="2">
        <v>8.5429829599846796E-2</v>
      </c>
      <c r="D28405" s="2">
        <v>3.94121576486305E-2</v>
      </c>
      <c r="E28405" s="2">
        <v>9.9489795918367305E-2</v>
      </c>
      <c r="F28405" s="2">
        <v>8.3166690472789601E-2</v>
      </c>
    </row>
    <row r="28406" spans="1:6" x14ac:dyDescent="0.25">
      <c r="A28406" s="1" t="str">
        <f t="shared" si="1016"/>
        <v>38580</v>
      </c>
      <c r="B28406" s="1" t="str">
        <f>"45620"</f>
        <v>45620</v>
      </c>
      <c r="C28406" s="2">
        <v>1.6389048439594101E-2</v>
      </c>
      <c r="D28406" s="2">
        <v>1.0688042752171001E-2</v>
      </c>
      <c r="E28406" s="2">
        <v>0</v>
      </c>
      <c r="F28406" s="2">
        <v>1.58548778745893E-2</v>
      </c>
    </row>
    <row r="28407" spans="1:6" x14ac:dyDescent="0.25">
      <c r="A28407" s="1" t="str">
        <f t="shared" si="1016"/>
        <v>38580</v>
      </c>
      <c r="B28407" s="1" t="str">
        <f>"25253"</f>
        <v>25253</v>
      </c>
      <c r="C28407" s="2">
        <v>3.6645605973578403E-2</v>
      </c>
      <c r="D28407" s="2">
        <v>7.3480293921175596E-3</v>
      </c>
      <c r="E28407" s="2">
        <v>2.5510204081632599E-3</v>
      </c>
      <c r="F28407" s="2">
        <v>3.4602199685759102E-2</v>
      </c>
    </row>
    <row r="28408" spans="1:6" x14ac:dyDescent="0.25">
      <c r="A28408" s="1" t="str">
        <f t="shared" si="1016"/>
        <v>38580</v>
      </c>
      <c r="B28408" s="1" t="str">
        <f>"25265"</f>
        <v>25265</v>
      </c>
      <c r="C28408" s="2">
        <v>1.2636415852957999E-3</v>
      </c>
      <c r="D28408" s="2">
        <v>0</v>
      </c>
      <c r="E28408" s="2">
        <v>2.5510204081632599E-3</v>
      </c>
      <c r="F28408" s="2">
        <v>1.2141122696757601E-3</v>
      </c>
    </row>
    <row r="28409" spans="1:6" x14ac:dyDescent="0.25">
      <c r="A28409" s="1" t="str">
        <f t="shared" si="1016"/>
        <v>38580</v>
      </c>
      <c r="B28409" s="1" t="str">
        <f>"45688"</f>
        <v>45688</v>
      </c>
      <c r="C28409" s="2">
        <v>4.2121386176526899E-4</v>
      </c>
      <c r="D28409" s="2">
        <v>0</v>
      </c>
      <c r="E28409" s="2">
        <v>0</v>
      </c>
      <c r="F28409" s="2">
        <v>3.9280102842451E-4</v>
      </c>
    </row>
    <row r="28410" spans="1:6" x14ac:dyDescent="0.25">
      <c r="A28410" s="1" t="str">
        <f t="shared" si="1016"/>
        <v>38580</v>
      </c>
      <c r="B28410" s="1" t="str">
        <f>"45656"</f>
        <v>45656</v>
      </c>
      <c r="C28410" s="2">
        <v>5.8204097262109797E-3</v>
      </c>
      <c r="D28410" s="2">
        <v>0</v>
      </c>
      <c r="E28410" s="2">
        <v>0</v>
      </c>
      <c r="F28410" s="2">
        <v>5.4277960291386901E-3</v>
      </c>
    </row>
    <row r="28411" spans="1:6" x14ac:dyDescent="0.25">
      <c r="A28411" s="1" t="str">
        <f t="shared" si="1016"/>
        <v>38580</v>
      </c>
      <c r="B28411" s="1" t="str">
        <f>"25187"</f>
        <v>25187</v>
      </c>
      <c r="C28411" s="2">
        <v>1.32107983917288E-2</v>
      </c>
      <c r="D28411" s="2">
        <v>1.0688042752171001E-2</v>
      </c>
      <c r="E28411" s="2">
        <v>2.5510204081632599E-3</v>
      </c>
      <c r="F28411" s="2">
        <v>1.29267247536066E-2</v>
      </c>
    </row>
    <row r="28412" spans="1:6" x14ac:dyDescent="0.25">
      <c r="A28412" s="1" t="str">
        <f t="shared" si="1016"/>
        <v>38580</v>
      </c>
      <c r="B28412" s="1" t="str">
        <f>"45760"</f>
        <v>45760</v>
      </c>
      <c r="C28412" s="2">
        <v>3.4462952326249198E-4</v>
      </c>
      <c r="D28412" s="2">
        <v>0</v>
      </c>
      <c r="E28412" s="2">
        <v>0</v>
      </c>
      <c r="F28412" s="2">
        <v>3.2138265962005399E-4</v>
      </c>
    </row>
    <row r="28413" spans="1:6" x14ac:dyDescent="0.25">
      <c r="A28413" s="1" t="str">
        <f t="shared" si="1016"/>
        <v>38580</v>
      </c>
      <c r="B28413" s="1" t="str">
        <f>"45685"</f>
        <v>45685</v>
      </c>
      <c r="C28413" s="2">
        <v>1.3823473099751101E-2</v>
      </c>
      <c r="D28413" s="2">
        <v>1.0020040080160299E-2</v>
      </c>
      <c r="E28413" s="2">
        <v>1.7857142857142801E-2</v>
      </c>
      <c r="F28413" s="2">
        <v>1.36766176260534E-2</v>
      </c>
    </row>
    <row r="28414" spans="1:6" x14ac:dyDescent="0.25">
      <c r="A28414" s="1" t="str">
        <f t="shared" si="1016"/>
        <v>38580</v>
      </c>
      <c r="B28414" s="1" t="str">
        <f>"25541"</f>
        <v>25541</v>
      </c>
      <c r="C28414" s="2">
        <v>1.36320122534941E-2</v>
      </c>
      <c r="D28414" s="2">
        <v>2.6720106880427502E-3</v>
      </c>
      <c r="E28414" s="2">
        <v>0</v>
      </c>
      <c r="F28414" s="2">
        <v>1.28553063848021E-2</v>
      </c>
    </row>
    <row r="28415" spans="1:6" x14ac:dyDescent="0.25">
      <c r="A28415" s="1" t="str">
        <f t="shared" si="1016"/>
        <v>38580</v>
      </c>
      <c r="B28415" s="1" t="str">
        <f>"25106"</f>
        <v>25106</v>
      </c>
      <c r="C28415" s="2">
        <v>6.1267470802220904E-3</v>
      </c>
      <c r="D28415" s="2">
        <v>4.6760187040748103E-3</v>
      </c>
      <c r="E28415" s="2">
        <v>2.5510204081632599E-3</v>
      </c>
      <c r="F28415" s="2">
        <v>5.9991429795743399E-3</v>
      </c>
    </row>
    <row r="28416" spans="1:6" x14ac:dyDescent="0.25">
      <c r="A28416" s="1" t="str">
        <f t="shared" si="1016"/>
        <v>38580</v>
      </c>
      <c r="B28416" s="1" t="str">
        <f>"25241"</f>
        <v>25241</v>
      </c>
      <c r="C28416" s="2">
        <v>3.5611717403790902E-3</v>
      </c>
      <c r="D28416" s="2">
        <v>6.6800267201068799E-4</v>
      </c>
      <c r="E28416" s="2">
        <v>0</v>
      </c>
      <c r="F28416" s="2">
        <v>3.3566633338094499E-3</v>
      </c>
    </row>
    <row r="28417" spans="1:6" x14ac:dyDescent="0.25">
      <c r="A28417" s="1" t="str">
        <f t="shared" si="1016"/>
        <v>38580</v>
      </c>
      <c r="B28417" s="1" t="str">
        <f>"25247"</f>
        <v>25247</v>
      </c>
      <c r="C28417" s="2">
        <v>3.7526325866360298E-3</v>
      </c>
      <c r="D28417" s="2">
        <v>6.6800267201068799E-4</v>
      </c>
      <c r="E28417" s="2">
        <v>2.5510204081632599E-3</v>
      </c>
      <c r="F28417" s="2">
        <v>3.5709184402228202E-3</v>
      </c>
    </row>
    <row r="28418" spans="1:6" x14ac:dyDescent="0.25">
      <c r="A28418" s="1" t="str">
        <f t="shared" si="1016"/>
        <v>38580</v>
      </c>
      <c r="B28418" s="1" t="str">
        <f>"25239"</f>
        <v>25239</v>
      </c>
      <c r="C28418" s="2">
        <v>9.9559640053609004E-4</v>
      </c>
      <c r="D28418" s="2">
        <v>0</v>
      </c>
      <c r="E28418" s="2">
        <v>0</v>
      </c>
      <c r="F28418" s="2">
        <v>9.2843879445793397E-4</v>
      </c>
    </row>
    <row r="28419" spans="1:6" x14ac:dyDescent="0.25">
      <c r="A28419" s="1" t="str">
        <f t="shared" si="1016"/>
        <v>38580</v>
      </c>
      <c r="B28419" s="1" t="str">
        <f>"25520"</f>
        <v>25520</v>
      </c>
      <c r="C28419" s="2">
        <v>2.07160635650009E-2</v>
      </c>
      <c r="D28419" s="2">
        <v>2.0040080160320601E-3</v>
      </c>
      <c r="E28419" s="2">
        <v>2.5510204081632599E-3</v>
      </c>
      <c r="F28419" s="2">
        <v>1.9461505499214299E-2</v>
      </c>
    </row>
    <row r="28420" spans="1:6" x14ac:dyDescent="0.25">
      <c r="A28420" s="1" t="str">
        <f t="shared" si="1016"/>
        <v>38580</v>
      </c>
      <c r="B28420" s="1" t="str">
        <f>"25503"</f>
        <v>25503</v>
      </c>
      <c r="C28420" s="2">
        <v>1.6618801455102399E-2</v>
      </c>
      <c r="D28420" s="2">
        <v>5.3440213760855004E-3</v>
      </c>
      <c r="E28420" s="2">
        <v>2.5510204081632599E-3</v>
      </c>
      <c r="F28420" s="2">
        <v>1.58191686901871E-2</v>
      </c>
    </row>
    <row r="28421" spans="1:6" x14ac:dyDescent="0.25">
      <c r="A28421" s="1" t="str">
        <f t="shared" si="1016"/>
        <v>38580</v>
      </c>
      <c r="B28421" s="1" t="str">
        <f>"25287"</f>
        <v>25287</v>
      </c>
      <c r="C28421" s="2">
        <v>1.1985448975684401E-2</v>
      </c>
      <c r="D28421" s="2">
        <v>6.0120240480961897E-3</v>
      </c>
      <c r="E28421" s="2">
        <v>0</v>
      </c>
      <c r="F28421" s="2">
        <v>1.14983573775174E-2</v>
      </c>
    </row>
    <row r="28422" spans="1:6" x14ac:dyDescent="0.25">
      <c r="A28422" s="1" t="str">
        <f t="shared" si="1016"/>
        <v>38580</v>
      </c>
      <c r="B28422" s="1" t="str">
        <f>"45643"</f>
        <v>45643</v>
      </c>
      <c r="C28422" s="2">
        <v>0</v>
      </c>
      <c r="D28422" s="2">
        <v>6.6800267201068799E-4</v>
      </c>
      <c r="E28422" s="2">
        <v>0</v>
      </c>
      <c r="F28422" s="2">
        <v>3.5709184402228201E-5</v>
      </c>
    </row>
    <row r="28423" spans="1:6" x14ac:dyDescent="0.25">
      <c r="A28423" s="1" t="str">
        <f t="shared" si="1016"/>
        <v>38580</v>
      </c>
      <c r="B28423" s="1" t="str">
        <f>"25550"</f>
        <v>25550</v>
      </c>
      <c r="C28423" s="2">
        <v>0.16974918629140301</v>
      </c>
      <c r="D28423" s="2">
        <v>0.294589178356713</v>
      </c>
      <c r="E28423" s="2">
        <v>0.34948979591836699</v>
      </c>
      <c r="F28423" s="2">
        <v>0.17893872303956501</v>
      </c>
    </row>
    <row r="28424" spans="1:6" x14ac:dyDescent="0.25">
      <c r="A28424" s="1" t="str">
        <f t="shared" si="1016"/>
        <v>38580</v>
      </c>
      <c r="B28424" s="1" t="str">
        <f>"25082"</f>
        <v>25082</v>
      </c>
      <c r="C28424" s="2">
        <v>8.2711085582998205E-3</v>
      </c>
      <c r="D28424" s="2">
        <v>1.3360053440213699E-3</v>
      </c>
      <c r="E28424" s="2">
        <v>0</v>
      </c>
      <c r="F28424" s="2">
        <v>7.7846021996857504E-3</v>
      </c>
    </row>
    <row r="28425" spans="1:6" x14ac:dyDescent="0.25">
      <c r="A28425" s="1" t="str">
        <f t="shared" si="1016"/>
        <v>38580</v>
      </c>
      <c r="B28425" s="1" t="str">
        <f>"25123"</f>
        <v>25123</v>
      </c>
      <c r="C28425" s="2">
        <v>5.3723913459697403E-2</v>
      </c>
      <c r="D28425" s="2">
        <v>1.2692050768202999E-2</v>
      </c>
      <c r="E28425" s="2">
        <v>2.5510204081632599E-3</v>
      </c>
      <c r="F28425" s="2">
        <v>5.08141694043708E-2</v>
      </c>
    </row>
    <row r="28426" spans="1:6" x14ac:dyDescent="0.25">
      <c r="A28426" s="1" t="str">
        <f t="shared" si="1016"/>
        <v>38580</v>
      </c>
      <c r="B28426" s="1" t="str">
        <f>"45658"</f>
        <v>45658</v>
      </c>
      <c r="C28426" s="2">
        <v>4.3882825962090699E-2</v>
      </c>
      <c r="D28426" s="2">
        <v>1.20240480961923E-2</v>
      </c>
      <c r="E28426" s="2">
        <v>0</v>
      </c>
      <c r="F28426" s="2">
        <v>4.1565490644193598E-2</v>
      </c>
    </row>
    <row r="28427" spans="1:6" x14ac:dyDescent="0.25">
      <c r="A28427" s="1" t="str">
        <f t="shared" si="1016"/>
        <v>38580</v>
      </c>
      <c r="B28427" s="1" t="str">
        <f>"45674"</f>
        <v>45674</v>
      </c>
      <c r="C28427" s="2">
        <v>0</v>
      </c>
      <c r="D28427" s="2">
        <v>2.0040080160320601E-3</v>
      </c>
      <c r="E28427" s="2">
        <v>0</v>
      </c>
      <c r="F28427" s="2">
        <v>1.07127553206684E-4</v>
      </c>
    </row>
    <row r="28428" spans="1:6" x14ac:dyDescent="0.25">
      <c r="A28428" s="1" t="str">
        <f t="shared" si="1016"/>
        <v>38580</v>
      </c>
      <c r="B28428" s="1" t="str">
        <f>"25264"</f>
        <v>25264</v>
      </c>
      <c r="C28428" s="2">
        <v>3.7526325866360298E-3</v>
      </c>
      <c r="D28428" s="2">
        <v>0</v>
      </c>
      <c r="E28428" s="2">
        <v>0</v>
      </c>
      <c r="F28428" s="2">
        <v>3.4995000714183599E-3</v>
      </c>
    </row>
    <row r="28429" spans="1:6" x14ac:dyDescent="0.25">
      <c r="A28429" s="1" t="str">
        <f t="shared" si="1016"/>
        <v>38580</v>
      </c>
      <c r="B28429" s="1" t="str">
        <f>"25515"</f>
        <v>25515</v>
      </c>
      <c r="C28429" s="2">
        <v>3.71434041738464E-2</v>
      </c>
      <c r="D28429" s="2">
        <v>2.0040080160320599E-2</v>
      </c>
      <c r="E28429" s="2">
        <v>5.1020408163265302E-3</v>
      </c>
      <c r="F28429" s="2">
        <v>3.5780602771032698E-2</v>
      </c>
    </row>
    <row r="28430" spans="1:6" x14ac:dyDescent="0.25">
      <c r="A28430" s="1" t="str">
        <f t="shared" si="1016"/>
        <v>38580</v>
      </c>
      <c r="B28430" s="1" t="str">
        <f>"25502"</f>
        <v>25502</v>
      </c>
      <c r="C28430" s="2">
        <v>2.14053226115259E-2</v>
      </c>
      <c r="D28430" s="2">
        <v>8.0160320641282506E-3</v>
      </c>
      <c r="E28430" s="2">
        <v>0</v>
      </c>
      <c r="F28430" s="2">
        <v>2.0389944293672298E-2</v>
      </c>
    </row>
    <row r="28431" spans="1:6" x14ac:dyDescent="0.25">
      <c r="A28431" s="1" t="str">
        <f t="shared" si="1016"/>
        <v>38580</v>
      </c>
      <c r="B28431" s="1" t="str">
        <f>"45631"</f>
        <v>45631</v>
      </c>
      <c r="C28431" s="2">
        <v>0.28493203139957801</v>
      </c>
      <c r="D28431" s="2">
        <v>0.49565798263193001</v>
      </c>
      <c r="E28431" s="2">
        <v>0.47193877551020402</v>
      </c>
      <c r="F28431" s="2">
        <v>0.29881445507784599</v>
      </c>
    </row>
    <row r="28432" spans="1:6" x14ac:dyDescent="0.25">
      <c r="A28432" s="1" t="str">
        <f t="shared" si="1016"/>
        <v>38580</v>
      </c>
      <c r="B28432" s="1" t="str">
        <f>"45678"</f>
        <v>45678</v>
      </c>
      <c r="C28432" s="2">
        <v>2.5655753398430002E-3</v>
      </c>
      <c r="D28432" s="2">
        <v>0</v>
      </c>
      <c r="E28432" s="2">
        <v>0</v>
      </c>
      <c r="F28432" s="2">
        <v>2.39251535494929E-3</v>
      </c>
    </row>
    <row r="28433" spans="1:6" x14ac:dyDescent="0.25">
      <c r="A28433" s="1" t="str">
        <f t="shared" ref="A28433:A28444" si="1017">"38620"</f>
        <v>38620</v>
      </c>
      <c r="B28433" s="1" t="str">
        <f>"74631"</f>
        <v>74631</v>
      </c>
      <c r="C28433" s="2">
        <v>0.16257340019716199</v>
      </c>
      <c r="D28433" s="2">
        <v>0.17186366932559799</v>
      </c>
      <c r="E28433" s="2">
        <v>0.11276595744680799</v>
      </c>
      <c r="F28433" s="2">
        <v>0.16265672653337801</v>
      </c>
    </row>
    <row r="28434" spans="1:6" x14ac:dyDescent="0.25">
      <c r="A28434" s="1" t="str">
        <f t="shared" si="1017"/>
        <v>38620</v>
      </c>
      <c r="B28434" s="1" t="str">
        <f>"74641"</f>
        <v>74641</v>
      </c>
      <c r="C28434" s="2">
        <v>1.7101710171017099E-2</v>
      </c>
      <c r="D28434" s="2">
        <v>2.9006526468455399E-3</v>
      </c>
      <c r="E28434" s="2">
        <v>6.3829787234042498E-3</v>
      </c>
      <c r="F28434" s="2">
        <v>1.5437328212658599E-2</v>
      </c>
    </row>
    <row r="28435" spans="1:6" x14ac:dyDescent="0.25">
      <c r="A28435" s="1" t="str">
        <f t="shared" si="1017"/>
        <v>38620</v>
      </c>
      <c r="B28435" s="1" t="str">
        <f>"74601"</f>
        <v>74601</v>
      </c>
      <c r="C28435" s="2">
        <v>0.41009815267241001</v>
      </c>
      <c r="D28435" s="2">
        <v>0.53408266860043496</v>
      </c>
      <c r="E28435" s="2">
        <v>0.474468085106382</v>
      </c>
      <c r="F28435" s="2">
        <v>0.424112353627772</v>
      </c>
    </row>
    <row r="28436" spans="1:6" x14ac:dyDescent="0.25">
      <c r="A28436" s="1" t="str">
        <f t="shared" si="1017"/>
        <v>38620</v>
      </c>
      <c r="B28436" s="1" t="str">
        <f>"74653"</f>
        <v>74653</v>
      </c>
      <c r="C28436" s="2">
        <v>6.9564099267069496E-2</v>
      </c>
      <c r="D28436" s="2">
        <v>6.63524292965917E-2</v>
      </c>
      <c r="E28436" s="2">
        <v>6.1702127659574398E-2</v>
      </c>
      <c r="F28436" s="2">
        <v>6.9091456756654901E-2</v>
      </c>
    </row>
    <row r="28437" spans="1:6" x14ac:dyDescent="0.25">
      <c r="A28437" s="1" t="str">
        <f t="shared" si="1017"/>
        <v>38620</v>
      </c>
      <c r="B28437" s="1" t="str">
        <f>"74632"</f>
        <v>74632</v>
      </c>
      <c r="C28437" s="2">
        <v>1.0243881531010199E-2</v>
      </c>
      <c r="D28437" s="2">
        <v>3.2632342277012301E-3</v>
      </c>
      <c r="E28437" s="2">
        <v>2.1276595744680799E-3</v>
      </c>
      <c r="F28437" s="2">
        <v>9.3753529876877805E-3</v>
      </c>
    </row>
    <row r="28438" spans="1:6" x14ac:dyDescent="0.25">
      <c r="A28438" s="1" t="str">
        <f t="shared" si="1017"/>
        <v>38620</v>
      </c>
      <c r="B28438" s="1" t="str">
        <f>"74652"</f>
        <v>74652</v>
      </c>
      <c r="C28438" s="2">
        <v>4.2861429000042798E-4</v>
      </c>
      <c r="D28438" s="2">
        <v>0</v>
      </c>
      <c r="E28438" s="2">
        <v>0</v>
      </c>
      <c r="F28438" s="2">
        <v>3.7652020030874602E-4</v>
      </c>
    </row>
    <row r="28439" spans="1:6" x14ac:dyDescent="0.25">
      <c r="A28439" s="1" t="str">
        <f t="shared" si="1017"/>
        <v>38620</v>
      </c>
      <c r="B28439" s="1" t="str">
        <f>"74630"</f>
        <v>74630</v>
      </c>
      <c r="C28439" s="2">
        <v>4.2861429000042801E-5</v>
      </c>
      <c r="D28439" s="2">
        <v>0</v>
      </c>
      <c r="E28439" s="2">
        <v>0</v>
      </c>
      <c r="F28439" s="2">
        <v>3.7652020030874601E-5</v>
      </c>
    </row>
    <row r="28440" spans="1:6" x14ac:dyDescent="0.25">
      <c r="A28440" s="1" t="str">
        <f t="shared" si="1017"/>
        <v>38620</v>
      </c>
      <c r="B28440" s="1" t="str">
        <f>"74646"</f>
        <v>74646</v>
      </c>
      <c r="C28440" s="2">
        <v>4.3290043290043203E-3</v>
      </c>
      <c r="D28440" s="2">
        <v>1.08774474256707E-3</v>
      </c>
      <c r="E28440" s="2">
        <v>4.2553191489361703E-3</v>
      </c>
      <c r="F28440" s="2">
        <v>3.9911141232727102E-3</v>
      </c>
    </row>
    <row r="28441" spans="1:6" x14ac:dyDescent="0.25">
      <c r="A28441" s="1" t="str">
        <f t="shared" si="1017"/>
        <v>38620</v>
      </c>
      <c r="B28441" s="1" t="str">
        <f>"74604"</f>
        <v>74604</v>
      </c>
      <c r="C28441" s="2">
        <v>0.19339076764819299</v>
      </c>
      <c r="D28441" s="2">
        <v>4.6410442349528597E-2</v>
      </c>
      <c r="E28441" s="2">
        <v>0.27446808510638199</v>
      </c>
      <c r="F28441" s="2">
        <v>0.179562483527241</v>
      </c>
    </row>
    <row r="28442" spans="1:6" x14ac:dyDescent="0.25">
      <c r="A28442" s="1" t="str">
        <f t="shared" si="1017"/>
        <v>38620</v>
      </c>
      <c r="B28442" s="1" t="str">
        <f>"74643"</f>
        <v>74643</v>
      </c>
      <c r="C28442" s="2">
        <v>6.000600060006E-4</v>
      </c>
      <c r="D28442" s="2">
        <v>3.62581580855692E-4</v>
      </c>
      <c r="E28442" s="2">
        <v>0</v>
      </c>
      <c r="F28442" s="2">
        <v>5.6478030046311898E-4</v>
      </c>
    </row>
    <row r="28443" spans="1:6" x14ac:dyDescent="0.25">
      <c r="A28443" s="1" t="str">
        <f t="shared" si="1017"/>
        <v>38620</v>
      </c>
      <c r="B28443" s="1" t="str">
        <f>"74602"</f>
        <v>74602</v>
      </c>
      <c r="C28443" s="2">
        <v>5.5248381981055202E-2</v>
      </c>
      <c r="D28443" s="2">
        <v>0.11602610587382101</v>
      </c>
      <c r="E28443" s="2">
        <v>4.2553191489361703E-3</v>
      </c>
      <c r="F28443" s="2">
        <v>6.0657404269739E-2</v>
      </c>
    </row>
    <row r="28444" spans="1:6" x14ac:dyDescent="0.25">
      <c r="A28444" s="1" t="str">
        <f t="shared" si="1017"/>
        <v>38620</v>
      </c>
      <c r="B28444" s="1" t="str">
        <f>"74647"</f>
        <v>74647</v>
      </c>
      <c r="C28444" s="2">
        <v>7.6379066478076296E-2</v>
      </c>
      <c r="D28444" s="2">
        <v>5.7650471356055097E-2</v>
      </c>
      <c r="E28444" s="2">
        <v>5.9574468085106302E-2</v>
      </c>
      <c r="F28444" s="2">
        <v>7.41368274407921E-2</v>
      </c>
    </row>
    <row r="28445" spans="1:6" x14ac:dyDescent="0.25">
      <c r="A28445" s="1" t="str">
        <f t="shared" ref="A28445:A28459" si="1018">"38660"</f>
        <v>38660</v>
      </c>
      <c r="B28445" s="1" t="str">
        <f>"00641"</f>
        <v>00641</v>
      </c>
      <c r="C28445" s="2">
        <v>2.8033433992599899E-3</v>
      </c>
      <c r="D28445" s="2">
        <v>4.0026684456304199E-4</v>
      </c>
      <c r="E28445" s="2">
        <v>2.1524663677130001E-2</v>
      </c>
      <c r="F28445" s="2">
        <v>3.0257044364508301E-3</v>
      </c>
    </row>
    <row r="28446" spans="1:6" x14ac:dyDescent="0.25">
      <c r="A28446" s="1" t="str">
        <f t="shared" si="1018"/>
        <v>38660</v>
      </c>
      <c r="B28446" s="1" t="str">
        <f>"00624"</f>
        <v>00624</v>
      </c>
      <c r="C28446" s="2">
        <v>8.2451276448823496E-5</v>
      </c>
      <c r="D28446" s="2">
        <v>0</v>
      </c>
      <c r="E28446" s="2">
        <v>0</v>
      </c>
      <c r="F28446" s="2">
        <v>7.4940047961630595E-5</v>
      </c>
    </row>
    <row r="28447" spans="1:6" x14ac:dyDescent="0.25">
      <c r="A28447" s="1" t="str">
        <f t="shared" si="1018"/>
        <v>38660</v>
      </c>
      <c r="B28447" s="1" t="str">
        <f>"00720"</f>
        <v>00720</v>
      </c>
      <c r="C28447" s="2">
        <v>1.8551537200985199E-4</v>
      </c>
      <c r="D28447" s="2">
        <v>0</v>
      </c>
      <c r="E28447" s="2">
        <v>0</v>
      </c>
      <c r="F28447" s="2">
        <v>1.6861510791366899E-4</v>
      </c>
    </row>
    <row r="28448" spans="1:6" x14ac:dyDescent="0.25">
      <c r="A28448" s="1" t="str">
        <f t="shared" si="1018"/>
        <v>38660</v>
      </c>
      <c r="B28448" s="1" t="str">
        <f>"00716"</f>
        <v>00716</v>
      </c>
      <c r="C28448" s="2">
        <v>0.13834293547156901</v>
      </c>
      <c r="D28448" s="2">
        <v>0.18732488325550301</v>
      </c>
      <c r="E28448" s="2">
        <v>0.24798206278026899</v>
      </c>
      <c r="F28448" s="2">
        <v>0.14407224220623499</v>
      </c>
    </row>
    <row r="28449" spans="1:6" x14ac:dyDescent="0.25">
      <c r="A28449" s="1" t="str">
        <f t="shared" si="1018"/>
        <v>38660</v>
      </c>
      <c r="B28449" s="1" t="str">
        <f>"00780"</f>
        <v>00780</v>
      </c>
      <c r="C28449" s="2">
        <v>6.65072608655322E-2</v>
      </c>
      <c r="D28449" s="2">
        <v>5.9773182121414199E-2</v>
      </c>
      <c r="E28449" s="2">
        <v>1.2107623318385601E-2</v>
      </c>
      <c r="F28449" s="2">
        <v>6.4898081534772098E-2</v>
      </c>
    </row>
    <row r="28450" spans="1:6" x14ac:dyDescent="0.25">
      <c r="A28450" s="1" t="str">
        <f t="shared" si="1018"/>
        <v>38660</v>
      </c>
      <c r="B28450" s="1" t="str">
        <f>"00731"</f>
        <v>00731</v>
      </c>
      <c r="C28450" s="2">
        <v>3.7422573098209698E-2</v>
      </c>
      <c r="D28450" s="2">
        <v>2.9352901934623001E-3</v>
      </c>
      <c r="E28450" s="2">
        <v>1.2107623318385601E-2</v>
      </c>
      <c r="F28450" s="2">
        <v>3.44724220623501E-2</v>
      </c>
    </row>
    <row r="28451" spans="1:6" x14ac:dyDescent="0.25">
      <c r="A28451" s="1" t="str">
        <f t="shared" si="1018"/>
        <v>38660</v>
      </c>
      <c r="B28451" s="1" t="str">
        <f>"00732"</f>
        <v>00732</v>
      </c>
      <c r="C28451" s="2">
        <v>2.1983571583167501E-2</v>
      </c>
      <c r="D28451" s="2">
        <v>4.6164109406270797E-2</v>
      </c>
      <c r="E28451" s="2">
        <v>8.9686098654708499E-4</v>
      </c>
      <c r="F28451" s="2">
        <v>2.32407823741007E-2</v>
      </c>
    </row>
    <row r="28452" spans="1:6" x14ac:dyDescent="0.25">
      <c r="A28452" s="1" t="str">
        <f t="shared" si="1018"/>
        <v>38660</v>
      </c>
      <c r="B28452" s="1" t="str">
        <f>"00717"</f>
        <v>00717</v>
      </c>
      <c r="C28452" s="2">
        <v>9.0809774598823001E-2</v>
      </c>
      <c r="D28452" s="2">
        <v>0.219212808539026</v>
      </c>
      <c r="E28452" s="2">
        <v>0.19013452914798201</v>
      </c>
      <c r="F28452" s="2">
        <v>0.101899730215827</v>
      </c>
    </row>
    <row r="28453" spans="1:6" x14ac:dyDescent="0.25">
      <c r="A28453" s="1" t="str">
        <f t="shared" si="1018"/>
        <v>38660</v>
      </c>
      <c r="B28453" s="1" t="str">
        <f>"00715"</f>
        <v>00715</v>
      </c>
      <c r="C28453" s="2">
        <v>1.5840951487730199E-2</v>
      </c>
      <c r="D28453" s="2">
        <v>3.6557705136757802E-2</v>
      </c>
      <c r="E28453" s="2">
        <v>3.58744394618834E-3</v>
      </c>
      <c r="F28453" s="2">
        <v>1.7039493405275701E-2</v>
      </c>
    </row>
    <row r="28454" spans="1:6" x14ac:dyDescent="0.25">
      <c r="A28454" s="1" t="str">
        <f t="shared" si="1018"/>
        <v>38660</v>
      </c>
      <c r="B28454" s="1" t="str">
        <f>"00601"</f>
        <v>00601</v>
      </c>
      <c r="C28454" s="2">
        <v>5.8880517794015999E-2</v>
      </c>
      <c r="D28454" s="2">
        <v>5.4302868579052699E-2</v>
      </c>
      <c r="E28454" s="2">
        <v>7.6681614349775704E-2</v>
      </c>
      <c r="F28454" s="2">
        <v>5.8930980215827301E-2</v>
      </c>
    </row>
    <row r="28455" spans="1:6" x14ac:dyDescent="0.25">
      <c r="A28455" s="1" t="str">
        <f t="shared" si="1018"/>
        <v>38660</v>
      </c>
      <c r="B28455" s="1" t="str">
        <f>"00795"</f>
        <v>00795</v>
      </c>
      <c r="C28455" s="2">
        <v>0.152813134488338</v>
      </c>
      <c r="D28455" s="2">
        <v>7.5783855903935896E-2</v>
      </c>
      <c r="E28455" s="2">
        <v>7.30941704035874E-2</v>
      </c>
      <c r="F28455" s="2">
        <v>0.14573965827338101</v>
      </c>
    </row>
    <row r="28456" spans="1:6" x14ac:dyDescent="0.25">
      <c r="A28456" s="1" t="str">
        <f t="shared" si="1018"/>
        <v>38660</v>
      </c>
      <c r="B28456" s="1" t="str">
        <f>"00766"</f>
        <v>00766</v>
      </c>
      <c r="C28456" s="2">
        <v>7.0887484926875993E-2</v>
      </c>
      <c r="D28456" s="2">
        <v>4.74983322214809E-2</v>
      </c>
      <c r="E28456" s="2">
        <v>2.55605381165919E-2</v>
      </c>
      <c r="F28456" s="2">
        <v>6.8298486211031101E-2</v>
      </c>
    </row>
    <row r="28457" spans="1:6" x14ac:dyDescent="0.25">
      <c r="A28457" s="1" t="str">
        <f t="shared" si="1018"/>
        <v>38660</v>
      </c>
      <c r="B28457" s="1" t="str">
        <f>"00728"</f>
        <v>00728</v>
      </c>
      <c r="C28457" s="2">
        <v>0.15238026528698101</v>
      </c>
      <c r="D28457" s="2">
        <v>6.4709806537691705E-2</v>
      </c>
      <c r="E28457" s="2">
        <v>0.12735426008968601</v>
      </c>
      <c r="F28457" s="2">
        <v>0.14570218824940001</v>
      </c>
    </row>
    <row r="28458" spans="1:6" x14ac:dyDescent="0.25">
      <c r="A28458" s="1" t="str">
        <f t="shared" si="1018"/>
        <v>38660</v>
      </c>
      <c r="B28458" s="1" t="str">
        <f>"00730"</f>
        <v>00730</v>
      </c>
      <c r="C28458" s="2">
        <v>0.15958444556669699</v>
      </c>
      <c r="D28458" s="2">
        <v>0.191994663108739</v>
      </c>
      <c r="E28458" s="2">
        <v>0.20807174887892299</v>
      </c>
      <c r="F28458" s="2">
        <v>0.16287282673860901</v>
      </c>
    </row>
    <row r="28459" spans="1:6" x14ac:dyDescent="0.25">
      <c r="A28459" s="1" t="str">
        <f t="shared" si="1018"/>
        <v>38660</v>
      </c>
      <c r="B28459" s="1" t="str">
        <f>"00733"</f>
        <v>00733</v>
      </c>
      <c r="C28459" s="2">
        <v>3.1475774784338301E-2</v>
      </c>
      <c r="D28459" s="2">
        <v>1.33422281521014E-2</v>
      </c>
      <c r="E28459" s="2">
        <v>8.9686098654708499E-4</v>
      </c>
      <c r="F28459" s="2">
        <v>2.9563848920863299E-2</v>
      </c>
    </row>
    <row r="28460" spans="1:6" x14ac:dyDescent="0.25">
      <c r="A28460" s="1" t="str">
        <f t="shared" ref="A28460:A28490" si="1019">"38700"</f>
        <v>38700</v>
      </c>
      <c r="B28460" s="1" t="str">
        <f>"61764"</f>
        <v>61764</v>
      </c>
      <c r="C28460" s="2">
        <v>0.33812949640287698</v>
      </c>
      <c r="D28460" s="2">
        <v>0.43048327137546399</v>
      </c>
      <c r="E28460" s="2">
        <v>0.44657534246575298</v>
      </c>
      <c r="F28460" s="2">
        <v>0.34866138470301899</v>
      </c>
    </row>
    <row r="28461" spans="1:6" x14ac:dyDescent="0.25">
      <c r="A28461" s="1" t="str">
        <f t="shared" si="1019"/>
        <v>38700</v>
      </c>
      <c r="B28461" s="1" t="str">
        <f>"60920"</f>
        <v>60920</v>
      </c>
      <c r="C28461" s="2">
        <v>4.2933395219308399E-3</v>
      </c>
      <c r="D28461" s="2">
        <v>7.4349442379182101E-4</v>
      </c>
      <c r="E28461" s="2">
        <v>0</v>
      </c>
      <c r="F28461" s="2">
        <v>3.8837967997514301E-3</v>
      </c>
    </row>
    <row r="28462" spans="1:6" x14ac:dyDescent="0.25">
      <c r="A28462" s="1" t="str">
        <f t="shared" si="1019"/>
        <v>38700</v>
      </c>
      <c r="B28462" s="1" t="str">
        <f>"60952"</f>
        <v>60952</v>
      </c>
      <c r="C28462" s="2">
        <v>5.8018101647714001E-5</v>
      </c>
      <c r="D28462" s="2">
        <v>0</v>
      </c>
      <c r="E28462" s="2">
        <v>0</v>
      </c>
      <c r="F28462" s="2">
        <v>5.17839573300191E-5</v>
      </c>
    </row>
    <row r="28463" spans="1:6" x14ac:dyDescent="0.25">
      <c r="A28463" s="1" t="str">
        <f t="shared" si="1019"/>
        <v>38700</v>
      </c>
      <c r="B28463" s="1" t="str">
        <f>"61726"</f>
        <v>61726</v>
      </c>
      <c r="C28463" s="2">
        <v>6.9041540960779703E-3</v>
      </c>
      <c r="D28463" s="2">
        <v>3.7174721189590998E-3</v>
      </c>
      <c r="E28463" s="2">
        <v>2.7397260273972599E-3</v>
      </c>
      <c r="F28463" s="2">
        <v>6.5247786235824098E-3</v>
      </c>
    </row>
    <row r="28464" spans="1:6" x14ac:dyDescent="0.25">
      <c r="A28464" s="1" t="str">
        <f t="shared" si="1019"/>
        <v>38700</v>
      </c>
      <c r="B28464" s="1" t="str">
        <f>"61728"</f>
        <v>61728</v>
      </c>
      <c r="C28464" s="2">
        <v>5.8018101647714001E-5</v>
      </c>
      <c r="D28464" s="2">
        <v>0</v>
      </c>
      <c r="E28464" s="2">
        <v>0</v>
      </c>
      <c r="F28464" s="2">
        <v>5.17839573300191E-5</v>
      </c>
    </row>
    <row r="28465" spans="1:6" x14ac:dyDescent="0.25">
      <c r="A28465" s="1" t="str">
        <f t="shared" si="1019"/>
        <v>38700</v>
      </c>
      <c r="B28465" s="1" t="str">
        <f>"61364"</f>
        <v>61364</v>
      </c>
      <c r="C28465" s="2">
        <v>6.4342074727314902E-2</v>
      </c>
      <c r="D28465" s="2">
        <v>3.4200743494423702E-2</v>
      </c>
      <c r="E28465" s="2">
        <v>4.1095890410958902E-2</v>
      </c>
      <c r="F28465" s="2">
        <v>6.13639894360727E-2</v>
      </c>
    </row>
    <row r="28466" spans="1:6" x14ac:dyDescent="0.25">
      <c r="A28466" s="1" t="str">
        <f t="shared" si="1019"/>
        <v>38700</v>
      </c>
      <c r="B28466" s="1" t="str">
        <f>"61319"</f>
        <v>61319</v>
      </c>
      <c r="C28466" s="2">
        <v>3.4694824785332999E-2</v>
      </c>
      <c r="D28466" s="2">
        <v>6.6914498141263899E-3</v>
      </c>
      <c r="E28466" s="2">
        <v>5.0684931506849301E-2</v>
      </c>
      <c r="F28466" s="2">
        <v>3.3348868520532302E-2</v>
      </c>
    </row>
    <row r="28467" spans="1:6" x14ac:dyDescent="0.25">
      <c r="A28467" s="1" t="str">
        <f t="shared" si="1019"/>
        <v>38700</v>
      </c>
      <c r="B28467" s="1" t="str">
        <f>"61739"</f>
        <v>61739</v>
      </c>
      <c r="C28467" s="2">
        <v>0.150847064284056</v>
      </c>
      <c r="D28467" s="2">
        <v>0.207434944237918</v>
      </c>
      <c r="E28467" s="2">
        <v>0.164383561643835</v>
      </c>
      <c r="F28467" s="2">
        <v>0.15530008803272699</v>
      </c>
    </row>
    <row r="28468" spans="1:6" x14ac:dyDescent="0.25">
      <c r="A28468" s="1" t="str">
        <f t="shared" si="1019"/>
        <v>38700</v>
      </c>
      <c r="B28468" s="1" t="str">
        <f>"60470"</f>
        <v>60470</v>
      </c>
      <c r="C28468" s="2">
        <v>1.7405430494314201E-4</v>
      </c>
      <c r="D28468" s="2">
        <v>0</v>
      </c>
      <c r="E28468" s="2">
        <v>0</v>
      </c>
      <c r="F28468" s="2">
        <v>1.5535187199005701E-4</v>
      </c>
    </row>
    <row r="28469" spans="1:6" x14ac:dyDescent="0.25">
      <c r="A28469" s="1" t="str">
        <f t="shared" si="1019"/>
        <v>38700</v>
      </c>
      <c r="B28469" s="1" t="str">
        <f>"61744"</f>
        <v>61744</v>
      </c>
      <c r="C28469" s="2">
        <v>4.7574843351125499E-3</v>
      </c>
      <c r="D28469" s="2">
        <v>1.4869888475836401E-3</v>
      </c>
      <c r="E28469" s="2">
        <v>0</v>
      </c>
      <c r="F28469" s="2">
        <v>4.3498524157215999E-3</v>
      </c>
    </row>
    <row r="28470" spans="1:6" x14ac:dyDescent="0.25">
      <c r="A28470" s="1" t="str">
        <f t="shared" si="1019"/>
        <v>38700</v>
      </c>
      <c r="B28470" s="1" t="str">
        <f>"61775"</f>
        <v>61775</v>
      </c>
      <c r="C28470" s="2">
        <v>7.4843351125551101E-3</v>
      </c>
      <c r="D28470" s="2">
        <v>5.2044609665427496E-3</v>
      </c>
      <c r="E28470" s="2">
        <v>0</v>
      </c>
      <c r="F28470" s="2">
        <v>7.0426181968826001E-3</v>
      </c>
    </row>
    <row r="28471" spans="1:6" x14ac:dyDescent="0.25">
      <c r="A28471" s="1" t="str">
        <f t="shared" si="1019"/>
        <v>38700</v>
      </c>
      <c r="B28471" s="1" t="str">
        <f>"61333"</f>
        <v>61333</v>
      </c>
      <c r="C28471" s="2">
        <v>1.00951496867022E-2</v>
      </c>
      <c r="D28471" s="2">
        <v>0</v>
      </c>
      <c r="E28471" s="2">
        <v>6.8493150684931503E-3</v>
      </c>
      <c r="F28471" s="2">
        <v>9.2693283620734201E-3</v>
      </c>
    </row>
    <row r="28472" spans="1:6" x14ac:dyDescent="0.25">
      <c r="A28472" s="1" t="str">
        <f t="shared" si="1019"/>
        <v>38700</v>
      </c>
      <c r="B28472" s="1" t="str">
        <f>"60917"</f>
        <v>60917</v>
      </c>
      <c r="C28472" s="2">
        <v>8.1225342306799695E-4</v>
      </c>
      <c r="D28472" s="2">
        <v>0</v>
      </c>
      <c r="E28472" s="2">
        <v>0</v>
      </c>
      <c r="F28472" s="2">
        <v>7.2497540262026795E-4</v>
      </c>
    </row>
    <row r="28473" spans="1:6" x14ac:dyDescent="0.25">
      <c r="A28473" s="1" t="str">
        <f t="shared" si="1019"/>
        <v>38700</v>
      </c>
      <c r="B28473" s="1" t="str">
        <f>"61760"</f>
        <v>61760</v>
      </c>
      <c r="C28473" s="2">
        <v>5.8018101647713998E-3</v>
      </c>
      <c r="D28473" s="2">
        <v>8.1784386617100302E-3</v>
      </c>
      <c r="E28473" s="2">
        <v>2.7397260273972599E-3</v>
      </c>
      <c r="F28473" s="2">
        <v>5.8515871782921598E-3</v>
      </c>
    </row>
    <row r="28474" spans="1:6" x14ac:dyDescent="0.25">
      <c r="A28474" s="1" t="str">
        <f t="shared" si="1019"/>
        <v>38700</v>
      </c>
      <c r="B28474" s="1" t="str">
        <f>"60420"</f>
        <v>60420</v>
      </c>
      <c r="C28474" s="2">
        <v>0.12874216755627699</v>
      </c>
      <c r="D28474" s="2">
        <v>0.14349442379182101</v>
      </c>
      <c r="E28474" s="2">
        <v>0.150684931506849</v>
      </c>
      <c r="F28474" s="2">
        <v>0.13059914038630799</v>
      </c>
    </row>
    <row r="28475" spans="1:6" x14ac:dyDescent="0.25">
      <c r="A28475" s="1" t="str">
        <f t="shared" si="1019"/>
        <v>38700</v>
      </c>
      <c r="B28475" s="1" t="str">
        <f>"60921"</f>
        <v>60921</v>
      </c>
      <c r="C28475" s="2">
        <v>3.9568345323740997E-2</v>
      </c>
      <c r="D28475" s="2">
        <v>2.6765799256505501E-2</v>
      </c>
      <c r="E28475" s="2">
        <v>4.2465753424657499E-2</v>
      </c>
      <c r="F28475" s="2">
        <v>3.8786184040184302E-2</v>
      </c>
    </row>
    <row r="28476" spans="1:6" x14ac:dyDescent="0.25">
      <c r="A28476" s="1" t="str">
        <f t="shared" si="1019"/>
        <v>38700</v>
      </c>
      <c r="B28476" s="1" t="str">
        <f>"60919"</f>
        <v>60919</v>
      </c>
      <c r="C28476" s="2">
        <v>1.85657925272685E-3</v>
      </c>
      <c r="D28476" s="2">
        <v>0</v>
      </c>
      <c r="E28476" s="2">
        <v>0</v>
      </c>
      <c r="F28476" s="2">
        <v>1.6570866345606099E-3</v>
      </c>
    </row>
    <row r="28477" spans="1:6" x14ac:dyDescent="0.25">
      <c r="A28477" s="1" t="str">
        <f t="shared" si="1019"/>
        <v>38700</v>
      </c>
      <c r="B28477" s="1" t="str">
        <f>"61769"</f>
        <v>61769</v>
      </c>
      <c r="C28477" s="2">
        <v>1.6071014156416801E-2</v>
      </c>
      <c r="D28477" s="2">
        <v>4.46096654275092E-3</v>
      </c>
      <c r="E28477" s="2">
        <v>4.10958904109589E-3</v>
      </c>
      <c r="F28477" s="2">
        <v>1.4810211796385401E-2</v>
      </c>
    </row>
    <row r="28478" spans="1:6" x14ac:dyDescent="0.25">
      <c r="A28478" s="1" t="str">
        <f t="shared" si="1019"/>
        <v>38700</v>
      </c>
      <c r="B28478" s="1" t="str">
        <f>"60946"</f>
        <v>60946</v>
      </c>
      <c r="C28478" s="2">
        <v>1.1023439313065601E-3</v>
      </c>
      <c r="D28478" s="2">
        <v>0</v>
      </c>
      <c r="E28478" s="2">
        <v>0</v>
      </c>
      <c r="F28478" s="2">
        <v>9.8389518927036396E-4</v>
      </c>
    </row>
    <row r="28479" spans="1:6" x14ac:dyDescent="0.25">
      <c r="A28479" s="1" t="str">
        <f t="shared" si="1019"/>
        <v>38700</v>
      </c>
      <c r="B28479" s="1" t="str">
        <f>"60961"</f>
        <v>60961</v>
      </c>
      <c r="C28479" s="2">
        <v>2.7268507774425598E-3</v>
      </c>
      <c r="D28479" s="2">
        <v>1.4869888475836401E-3</v>
      </c>
      <c r="E28479" s="2">
        <v>0</v>
      </c>
      <c r="F28479" s="2">
        <v>2.53741390917093E-3</v>
      </c>
    </row>
    <row r="28480" spans="1:6" x14ac:dyDescent="0.25">
      <c r="A28480" s="1" t="str">
        <f t="shared" si="1019"/>
        <v>38700</v>
      </c>
      <c r="B28480" s="1" t="str">
        <f>"61741"</f>
        <v>61741</v>
      </c>
      <c r="C28480" s="2">
        <v>4.0554653051752099E-2</v>
      </c>
      <c r="D28480" s="2">
        <v>3.8661710037174703E-2</v>
      </c>
      <c r="E28480" s="2">
        <v>2.60273972602739E-2</v>
      </c>
      <c r="F28480" s="2">
        <v>3.9873647144114698E-2</v>
      </c>
    </row>
    <row r="28481" spans="1:6" x14ac:dyDescent="0.25">
      <c r="A28481" s="1" t="str">
        <f t="shared" si="1019"/>
        <v>38700</v>
      </c>
      <c r="B28481" s="1" t="str">
        <f>"60460"</f>
        <v>60460</v>
      </c>
      <c r="C28481" s="2">
        <v>3.9220236713854703E-2</v>
      </c>
      <c r="D28481" s="2">
        <v>1.9330855018587299E-2</v>
      </c>
      <c r="E28481" s="2">
        <v>8.21917808219178E-3</v>
      </c>
      <c r="F28481" s="2">
        <v>3.6663041789653503E-2</v>
      </c>
    </row>
    <row r="28482" spans="1:6" x14ac:dyDescent="0.25">
      <c r="A28482" s="1" t="str">
        <f t="shared" si="1019"/>
        <v>38700</v>
      </c>
      <c r="B28482" s="1" t="str">
        <f>"61313"</f>
        <v>61313</v>
      </c>
      <c r="C28482" s="2">
        <v>7.1942446043165402E-3</v>
      </c>
      <c r="D28482" s="2">
        <v>1.18959107806691E-2</v>
      </c>
      <c r="E28482" s="2">
        <v>1.3698630136986299E-3</v>
      </c>
      <c r="F28482" s="2">
        <v>7.3015379835327E-3</v>
      </c>
    </row>
    <row r="28483" spans="1:6" x14ac:dyDescent="0.25">
      <c r="A28483" s="1" t="str">
        <f t="shared" si="1019"/>
        <v>38700</v>
      </c>
      <c r="B28483" s="1" t="str">
        <f>"60929"</f>
        <v>60929</v>
      </c>
      <c r="C28483" s="2">
        <v>2.2394987236017599E-2</v>
      </c>
      <c r="D28483" s="2">
        <v>6.6914498141263899E-3</v>
      </c>
      <c r="E28483" s="2">
        <v>1.3698630136986301E-2</v>
      </c>
      <c r="F28483" s="2">
        <v>2.09725027186577E-2</v>
      </c>
    </row>
    <row r="28484" spans="1:6" x14ac:dyDescent="0.25">
      <c r="A28484" s="1" t="str">
        <f t="shared" si="1019"/>
        <v>38700</v>
      </c>
      <c r="B28484" s="1" t="str">
        <f>"61743"</f>
        <v>61743</v>
      </c>
      <c r="C28484" s="2">
        <v>6.5560454861916901E-3</v>
      </c>
      <c r="D28484" s="2">
        <v>2.9739776951672801E-3</v>
      </c>
      <c r="E28484" s="2">
        <v>1.3698630136986299E-3</v>
      </c>
      <c r="F28484" s="2">
        <v>6.1105069649422597E-3</v>
      </c>
    </row>
    <row r="28485" spans="1:6" x14ac:dyDescent="0.25">
      <c r="A28485" s="1" t="str">
        <f t="shared" si="1019"/>
        <v>38700</v>
      </c>
      <c r="B28485" s="1" t="str">
        <f>"60959"</f>
        <v>60959</v>
      </c>
      <c r="C28485" s="2">
        <v>5.8018101647714E-4</v>
      </c>
      <c r="D28485" s="2">
        <v>0</v>
      </c>
      <c r="E28485" s="2">
        <v>0</v>
      </c>
      <c r="F28485" s="2">
        <v>5.1783957330019104E-4</v>
      </c>
    </row>
    <row r="28486" spans="1:6" x14ac:dyDescent="0.25">
      <c r="A28486" s="1" t="str">
        <f t="shared" si="1019"/>
        <v>38700</v>
      </c>
      <c r="B28486" s="1" t="str">
        <f>"60934"</f>
        <v>60934</v>
      </c>
      <c r="C28486" s="2">
        <v>7.60037131585054E-3</v>
      </c>
      <c r="D28486" s="2">
        <v>2.23048327137546E-3</v>
      </c>
      <c r="E28486" s="2">
        <v>4.10958904109589E-3</v>
      </c>
      <c r="F28486" s="2">
        <v>7.0944021542126198E-3</v>
      </c>
    </row>
    <row r="28487" spans="1:6" x14ac:dyDescent="0.25">
      <c r="A28487" s="1" t="str">
        <f t="shared" si="1019"/>
        <v>38700</v>
      </c>
      <c r="B28487" s="1" t="str">
        <f>"60962"</f>
        <v>60962</v>
      </c>
      <c r="C28487" s="2">
        <v>5.8018101647714001E-5</v>
      </c>
      <c r="D28487" s="2">
        <v>0</v>
      </c>
      <c r="E28487" s="2">
        <v>0</v>
      </c>
      <c r="F28487" s="2">
        <v>5.17839573300191E-5</v>
      </c>
    </row>
    <row r="28488" spans="1:6" x14ac:dyDescent="0.25">
      <c r="A28488" s="1" t="str">
        <f t="shared" si="1019"/>
        <v>38700</v>
      </c>
      <c r="B28488" s="1" t="str">
        <f>"61731"</f>
        <v>61731</v>
      </c>
      <c r="C28488" s="2">
        <v>2.8428869807379901E-3</v>
      </c>
      <c r="D28488" s="2">
        <v>1.4869888475836401E-3</v>
      </c>
      <c r="E28488" s="2">
        <v>0</v>
      </c>
      <c r="F28488" s="2">
        <v>2.6409818238309702E-3</v>
      </c>
    </row>
    <row r="28489" spans="1:6" x14ac:dyDescent="0.25">
      <c r="A28489" s="1" t="str">
        <f t="shared" si="1019"/>
        <v>38700</v>
      </c>
      <c r="B28489" s="1" t="str">
        <f>"61740"</f>
        <v>61740</v>
      </c>
      <c r="C28489" s="2">
        <v>4.4325829658853497E-2</v>
      </c>
      <c r="D28489" s="2">
        <v>4.0892193308550102E-2</v>
      </c>
      <c r="E28489" s="2">
        <v>2.8767123287671201E-2</v>
      </c>
      <c r="F28489" s="2">
        <v>4.3498524157216001E-2</v>
      </c>
    </row>
    <row r="28490" spans="1:6" x14ac:dyDescent="0.25">
      <c r="A28490" s="1" t="str">
        <f t="shared" si="1019"/>
        <v>38700</v>
      </c>
      <c r="B28490" s="1" t="str">
        <f>"61311"</f>
        <v>61311</v>
      </c>
      <c r="C28490" s="2">
        <v>1.01531677883499E-2</v>
      </c>
      <c r="D28490" s="2">
        <v>1.4869888475836401E-3</v>
      </c>
      <c r="E28490" s="2">
        <v>4.10958904109589E-3</v>
      </c>
      <c r="F28490" s="2">
        <v>9.3211123194034406E-3</v>
      </c>
    </row>
    <row r="28491" spans="1:6" x14ac:dyDescent="0.25">
      <c r="A28491" s="1" t="str">
        <f t="shared" ref="A28491:A28507" si="1020">"38740"</f>
        <v>38740</v>
      </c>
      <c r="B28491" s="1" t="str">
        <f>"63942"</f>
        <v>63942</v>
      </c>
      <c r="C28491" s="2">
        <v>1.5064947748803501E-2</v>
      </c>
      <c r="D28491" s="2">
        <v>3.63036303630363E-3</v>
      </c>
      <c r="E28491" s="2">
        <v>1.77619893428063E-2</v>
      </c>
      <c r="F28491" s="2">
        <v>1.4321309120294499E-2</v>
      </c>
    </row>
    <row r="28492" spans="1:6" x14ac:dyDescent="0.25">
      <c r="A28492" s="1" t="str">
        <f t="shared" si="1020"/>
        <v>38740</v>
      </c>
      <c r="B28492" s="1" t="str">
        <f>"63939"</f>
        <v>63939</v>
      </c>
      <c r="C28492" s="2">
        <v>3.1423967184295298E-2</v>
      </c>
      <c r="D28492" s="2">
        <v>1.12211221122112E-2</v>
      </c>
      <c r="E28492" s="2">
        <v>1.77619893428063E-3</v>
      </c>
      <c r="F28492" s="2">
        <v>2.9675189117600798E-2</v>
      </c>
    </row>
    <row r="28493" spans="1:6" x14ac:dyDescent="0.25">
      <c r="A28493" s="1" t="str">
        <f t="shared" si="1020"/>
        <v>38740</v>
      </c>
      <c r="B28493" s="1" t="str">
        <f>"63937"</f>
        <v>63937</v>
      </c>
      <c r="C28493" s="2">
        <v>5.2593026662760001E-2</v>
      </c>
      <c r="D28493" s="2">
        <v>2.5412541254125402E-2</v>
      </c>
      <c r="E28493" s="2">
        <v>8.8809946714031897E-3</v>
      </c>
      <c r="F28493" s="2">
        <v>5.0191923499966297E-2</v>
      </c>
    </row>
    <row r="28494" spans="1:6" x14ac:dyDescent="0.25">
      <c r="A28494" s="1" t="str">
        <f t="shared" si="1020"/>
        <v>38740</v>
      </c>
      <c r="B28494" s="1" t="str">
        <f>"63945"</f>
        <v>63945</v>
      </c>
      <c r="C28494" s="2">
        <v>1.5187029983396799E-2</v>
      </c>
      <c r="D28494" s="2">
        <v>5.9405940594059398E-3</v>
      </c>
      <c r="E28494" s="2">
        <v>3.5523978685612699E-3</v>
      </c>
      <c r="F28494" s="2">
        <v>1.4411097892208499E-2</v>
      </c>
    </row>
    <row r="28495" spans="1:6" x14ac:dyDescent="0.25">
      <c r="A28495" s="1" t="str">
        <f t="shared" si="1020"/>
        <v>38740</v>
      </c>
      <c r="B28495" s="1" t="str">
        <f>"63967"</f>
        <v>63967</v>
      </c>
      <c r="C28495" s="2">
        <v>4.4340267604258202E-2</v>
      </c>
      <c r="D28495" s="2">
        <v>1.51815181518151E-2</v>
      </c>
      <c r="E28495" s="2">
        <v>5.3285968028419098E-3</v>
      </c>
      <c r="F28495" s="2">
        <v>4.1864014904936103E-2</v>
      </c>
    </row>
    <row r="28496" spans="1:6" x14ac:dyDescent="0.25">
      <c r="A28496" s="1" t="str">
        <f t="shared" si="1020"/>
        <v>38740</v>
      </c>
      <c r="B28496" s="1" t="str">
        <f>"63966"</f>
        <v>63966</v>
      </c>
      <c r="C28496" s="2">
        <v>6.58267408926652E-2</v>
      </c>
      <c r="D28496" s="2">
        <v>2.8052805280528E-2</v>
      </c>
      <c r="E28496" s="2">
        <v>1.5985790408525699E-2</v>
      </c>
      <c r="F28496" s="2">
        <v>6.2627668410065299E-2</v>
      </c>
    </row>
    <row r="28497" spans="1:6" x14ac:dyDescent="0.25">
      <c r="A28497" s="1" t="str">
        <f t="shared" si="1020"/>
        <v>38740</v>
      </c>
      <c r="B28497" s="1" t="str">
        <f>"63931"</f>
        <v>63931</v>
      </c>
      <c r="C28497" s="2">
        <v>1.0499072175016999E-3</v>
      </c>
      <c r="D28497" s="2">
        <v>0</v>
      </c>
      <c r="E28497" s="2">
        <v>1.77619893428063E-3</v>
      </c>
      <c r="F28497" s="2">
        <v>9.8767649105479301E-4</v>
      </c>
    </row>
    <row r="28498" spans="1:6" x14ac:dyDescent="0.25">
      <c r="A28498" s="1" t="str">
        <f t="shared" si="1020"/>
        <v>38740</v>
      </c>
      <c r="B28498" s="1" t="str">
        <f>"63953"</f>
        <v>63953</v>
      </c>
      <c r="C28498" s="2">
        <v>3.2302959273366502E-2</v>
      </c>
      <c r="D28498" s="2">
        <v>7.9207920792079192E-3</v>
      </c>
      <c r="E28498" s="2">
        <v>3.5523978685612699E-3</v>
      </c>
      <c r="F28498" s="2">
        <v>3.0281263328020801E-2</v>
      </c>
    </row>
    <row r="28499" spans="1:6" x14ac:dyDescent="0.25">
      <c r="A28499" s="1" t="str">
        <f t="shared" si="1020"/>
        <v>38740</v>
      </c>
      <c r="B28499" s="1" t="str">
        <f>"63935"</f>
        <v>63935</v>
      </c>
      <c r="C28499" s="2">
        <v>0.205073737669694</v>
      </c>
      <c r="D28499" s="2">
        <v>0.15577557755775501</v>
      </c>
      <c r="E28499" s="2">
        <v>4.4404973357015903E-2</v>
      </c>
      <c r="F28499" s="2">
        <v>0.19969022873689601</v>
      </c>
    </row>
    <row r="28500" spans="1:6" x14ac:dyDescent="0.25">
      <c r="A28500" s="1" t="str">
        <f t="shared" si="1020"/>
        <v>38740</v>
      </c>
      <c r="B28500" s="1" t="str">
        <f>"63954"</f>
        <v>63954</v>
      </c>
      <c r="C28500" s="2">
        <v>1.91180779372985E-2</v>
      </c>
      <c r="D28500" s="2">
        <v>1.55115511551155E-2</v>
      </c>
      <c r="E28500" s="2">
        <v>7.1047957371225502E-3</v>
      </c>
      <c r="F28500" s="2">
        <v>1.8720958944084001E-2</v>
      </c>
    </row>
    <row r="28501" spans="1:6" x14ac:dyDescent="0.25">
      <c r="A28501" s="1" t="str">
        <f t="shared" si="1020"/>
        <v>38740</v>
      </c>
      <c r="B28501" s="1" t="str">
        <f>"63901"</f>
        <v>63901</v>
      </c>
      <c r="C28501" s="2">
        <v>0.42938763551128001</v>
      </c>
      <c r="D28501" s="2">
        <v>0.61155115511551095</v>
      </c>
      <c r="E28501" s="2">
        <v>0.86145648312611001</v>
      </c>
      <c r="F28501" s="2">
        <v>0.44723787290399297</v>
      </c>
    </row>
    <row r="28502" spans="1:6" x14ac:dyDescent="0.25">
      <c r="A28502" s="1" t="str">
        <f t="shared" si="1020"/>
        <v>38740</v>
      </c>
      <c r="B28502" s="1" t="str">
        <f>"63961"</f>
        <v>63961</v>
      </c>
      <c r="C28502" s="2">
        <v>1.8532083211251001E-2</v>
      </c>
      <c r="D28502" s="2">
        <v>1.3861386138613801E-2</v>
      </c>
      <c r="E28502" s="2">
        <v>8.8809946714031897E-3</v>
      </c>
      <c r="F28502" s="2">
        <v>1.8092437540685499E-2</v>
      </c>
    </row>
    <row r="28503" spans="1:6" x14ac:dyDescent="0.25">
      <c r="A28503" s="1" t="str">
        <f t="shared" si="1020"/>
        <v>38740</v>
      </c>
      <c r="B28503" s="1" t="str">
        <f>"63902"</f>
        <v>63902</v>
      </c>
      <c r="C28503" s="2">
        <v>3.2229709932610602E-2</v>
      </c>
      <c r="D28503" s="2">
        <v>9.2409240924092403E-2</v>
      </c>
      <c r="E28503" s="2">
        <v>1.77619893428063E-3</v>
      </c>
      <c r="F28503" s="2">
        <v>3.5937955958607298E-2</v>
      </c>
    </row>
    <row r="28504" spans="1:6" x14ac:dyDescent="0.25">
      <c r="A28504" s="1" t="str">
        <f t="shared" si="1020"/>
        <v>38740</v>
      </c>
      <c r="B28504" s="1" t="str">
        <f>"63940"</f>
        <v>63940</v>
      </c>
      <c r="C28504" s="2">
        <v>1.6407852329328999E-2</v>
      </c>
      <c r="D28504" s="2">
        <v>8.9108910891089101E-3</v>
      </c>
      <c r="E28504" s="2">
        <v>1.2433392539964399E-2</v>
      </c>
      <c r="F28504" s="2">
        <v>1.5847718242833701E-2</v>
      </c>
    </row>
    <row r="28505" spans="1:6" x14ac:dyDescent="0.25">
      <c r="A28505" s="1" t="str">
        <f t="shared" si="1020"/>
        <v>38740</v>
      </c>
      <c r="B28505" s="1" t="str">
        <f>"63955"</f>
        <v>63955</v>
      </c>
      <c r="C28505" s="2">
        <v>6.0796952827424497E-3</v>
      </c>
      <c r="D28505" s="2">
        <v>0</v>
      </c>
      <c r="E28505" s="2">
        <v>1.77619893428063E-3</v>
      </c>
      <c r="F28505" s="2">
        <v>5.6117982446295001E-3</v>
      </c>
    </row>
    <row r="28506" spans="1:6" x14ac:dyDescent="0.25">
      <c r="A28506" s="1" t="str">
        <f t="shared" si="1020"/>
        <v>38740</v>
      </c>
      <c r="B28506" s="1" t="str">
        <f>"63962"</f>
        <v>63962</v>
      </c>
      <c r="C28506" s="2">
        <v>0</v>
      </c>
      <c r="D28506" s="2">
        <v>0</v>
      </c>
      <c r="E28506" s="2">
        <v>1.77619893428063E-3</v>
      </c>
      <c r="F28506" s="2">
        <v>2.2447192978517999E-5</v>
      </c>
    </row>
    <row r="28507" spans="1:6" x14ac:dyDescent="0.25">
      <c r="A28507" s="1" t="str">
        <f t="shared" si="1020"/>
        <v>38740</v>
      </c>
      <c r="B28507" s="1" t="str">
        <f>"63932"</f>
        <v>63932</v>
      </c>
      <c r="C28507" s="2">
        <v>1.5382361558745899E-2</v>
      </c>
      <c r="D28507" s="2">
        <v>4.6204620462046197E-3</v>
      </c>
      <c r="E28507" s="2">
        <v>1.77619893428063E-3</v>
      </c>
      <c r="F28507" s="2">
        <v>1.44784394711441E-2</v>
      </c>
    </row>
    <row r="28508" spans="1:6" x14ac:dyDescent="0.25">
      <c r="A28508" s="1" t="str">
        <f t="shared" ref="A28508:A28522" si="1021">"38780"</f>
        <v>38780</v>
      </c>
      <c r="B28508" s="1" t="str">
        <f>"88122"</f>
        <v>88122</v>
      </c>
      <c r="C28508" s="2">
        <v>0</v>
      </c>
      <c r="D28508" s="2">
        <v>1.5723270440251499E-3</v>
      </c>
      <c r="E28508" s="2">
        <v>0</v>
      </c>
      <c r="F28508" s="2">
        <v>1.0296540362438201E-4</v>
      </c>
    </row>
    <row r="28509" spans="1:6" x14ac:dyDescent="0.25">
      <c r="A28509" s="1" t="str">
        <f t="shared" si="1021"/>
        <v>38780</v>
      </c>
      <c r="B28509" s="1" t="str">
        <f>"88125"</f>
        <v>88125</v>
      </c>
      <c r="C28509" s="2">
        <v>3.1746031746031698E-3</v>
      </c>
      <c r="D28509" s="2">
        <v>1.10062893081761E-2</v>
      </c>
      <c r="E28509" s="2">
        <v>0</v>
      </c>
      <c r="F28509" s="2">
        <v>3.6037891268533699E-3</v>
      </c>
    </row>
    <row r="28510" spans="1:6" x14ac:dyDescent="0.25">
      <c r="A28510" s="1" t="str">
        <f t="shared" si="1021"/>
        <v>38780</v>
      </c>
      <c r="B28510" s="1" t="str">
        <f>"88126"</f>
        <v>88126</v>
      </c>
      <c r="C28510" s="2">
        <v>3.40136054421768E-3</v>
      </c>
      <c r="D28510" s="2">
        <v>3.1446540880503099E-3</v>
      </c>
      <c r="E28510" s="2">
        <v>0</v>
      </c>
      <c r="F28510" s="2">
        <v>3.2948929159802298E-3</v>
      </c>
    </row>
    <row r="28511" spans="1:6" x14ac:dyDescent="0.25">
      <c r="A28511" s="1" t="str">
        <f t="shared" si="1021"/>
        <v>38780</v>
      </c>
      <c r="B28511" s="1" t="str">
        <f>"88132"</f>
        <v>88132</v>
      </c>
      <c r="C28511" s="2">
        <v>1.40589569160997E-2</v>
      </c>
      <c r="D28511" s="2">
        <v>1.5723270440251499E-3</v>
      </c>
      <c r="E28511" s="2">
        <v>2.34375E-2</v>
      </c>
      <c r="F28511" s="2">
        <v>1.3488467874794E-2</v>
      </c>
    </row>
    <row r="28512" spans="1:6" x14ac:dyDescent="0.25">
      <c r="A28512" s="1" t="str">
        <f t="shared" si="1021"/>
        <v>38780</v>
      </c>
      <c r="B28512" s="1" t="str">
        <f>"88114"</f>
        <v>88114</v>
      </c>
      <c r="C28512" s="2">
        <v>1.13378684807256E-4</v>
      </c>
      <c r="D28512" s="2">
        <v>3.1446540880503099E-3</v>
      </c>
      <c r="E28512" s="2">
        <v>0</v>
      </c>
      <c r="F28512" s="2">
        <v>3.08896210873146E-4</v>
      </c>
    </row>
    <row r="28513" spans="1:6" x14ac:dyDescent="0.25">
      <c r="A28513" s="1" t="str">
        <f t="shared" si="1021"/>
        <v>38780</v>
      </c>
      <c r="B28513" s="1" t="str">
        <f>"88113"</f>
        <v>88113</v>
      </c>
      <c r="C28513" s="2">
        <v>2.3809523809523799E-3</v>
      </c>
      <c r="D28513" s="2">
        <v>1.5723270440251499E-3</v>
      </c>
      <c r="E28513" s="2">
        <v>0</v>
      </c>
      <c r="F28513" s="2">
        <v>2.2652388797364002E-3</v>
      </c>
    </row>
    <row r="28514" spans="1:6" x14ac:dyDescent="0.25">
      <c r="A28514" s="1" t="str">
        <f t="shared" si="1021"/>
        <v>38780</v>
      </c>
      <c r="B28514" s="1" t="str">
        <f>"88134"</f>
        <v>88134</v>
      </c>
      <c r="C28514" s="2">
        <v>2.3809523809523799E-3</v>
      </c>
      <c r="D28514" s="2">
        <v>1.5723270440251499E-3</v>
      </c>
      <c r="E28514" s="2">
        <v>0</v>
      </c>
      <c r="F28514" s="2">
        <v>2.2652388797364002E-3</v>
      </c>
    </row>
    <row r="28515" spans="1:6" x14ac:dyDescent="0.25">
      <c r="A28515" s="1" t="str">
        <f t="shared" si="1021"/>
        <v>38780</v>
      </c>
      <c r="B28515" s="1" t="str">
        <f>"88116"</f>
        <v>88116</v>
      </c>
      <c r="C28515" s="2">
        <v>1.1224489795918301E-2</v>
      </c>
      <c r="D28515" s="2">
        <v>4.7169811320754698E-3</v>
      </c>
      <c r="E28515" s="2">
        <v>1.5625E-2</v>
      </c>
      <c r="F28515" s="2">
        <v>1.0914332784184499E-2</v>
      </c>
    </row>
    <row r="28516" spans="1:6" x14ac:dyDescent="0.25">
      <c r="A28516" s="1" t="str">
        <f t="shared" si="1021"/>
        <v>38780</v>
      </c>
      <c r="B28516" s="1" t="str">
        <f>"88135"</f>
        <v>88135</v>
      </c>
      <c r="C28516" s="2">
        <v>1.8140589569160901E-3</v>
      </c>
      <c r="D28516" s="2">
        <v>3.1446540880503099E-3</v>
      </c>
      <c r="E28516" s="2">
        <v>0</v>
      </c>
      <c r="F28516" s="2">
        <v>1.8533772652388699E-3</v>
      </c>
    </row>
    <row r="28517" spans="1:6" x14ac:dyDescent="0.25">
      <c r="A28517" s="1" t="str">
        <f t="shared" si="1021"/>
        <v>38780</v>
      </c>
      <c r="B28517" s="1" t="str">
        <f>"88115"</f>
        <v>88115</v>
      </c>
      <c r="C28517" s="2">
        <v>0</v>
      </c>
      <c r="D28517" s="2">
        <v>1.5723270440251499E-3</v>
      </c>
      <c r="E28517" s="2">
        <v>3.90625E-3</v>
      </c>
      <c r="F28517" s="2">
        <v>2.0593080724876401E-4</v>
      </c>
    </row>
    <row r="28518" spans="1:6" x14ac:dyDescent="0.25">
      <c r="A28518" s="1" t="str">
        <f t="shared" si="1021"/>
        <v>38780</v>
      </c>
      <c r="B28518" s="1" t="str">
        <f>"88123"</f>
        <v>88123</v>
      </c>
      <c r="C28518" s="2">
        <v>2.26757369614512E-4</v>
      </c>
      <c r="D28518" s="2">
        <v>0</v>
      </c>
      <c r="E28518" s="2">
        <v>3.90625E-3</v>
      </c>
      <c r="F28518" s="2">
        <v>3.08896210873146E-4</v>
      </c>
    </row>
    <row r="28519" spans="1:6" x14ac:dyDescent="0.25">
      <c r="A28519" s="1" t="str">
        <f t="shared" si="1021"/>
        <v>38780</v>
      </c>
      <c r="B28519" s="1" t="str">
        <f>"88130"</f>
        <v>88130</v>
      </c>
      <c r="C28519" s="2">
        <v>0.94614512471655299</v>
      </c>
      <c r="D28519" s="2">
        <v>0.95911949685534503</v>
      </c>
      <c r="E28519" s="2">
        <v>0.953125</v>
      </c>
      <c r="F28519" s="2">
        <v>0.94717874794069101</v>
      </c>
    </row>
    <row r="28520" spans="1:6" x14ac:dyDescent="0.25">
      <c r="A28520" s="1" t="str">
        <f t="shared" si="1021"/>
        <v>38780</v>
      </c>
      <c r="B28520" s="1" t="str">
        <f>"88101"</f>
        <v>88101</v>
      </c>
      <c r="C28520" s="2">
        <v>9.0702947845804896E-4</v>
      </c>
      <c r="D28520" s="2">
        <v>0</v>
      </c>
      <c r="E28520" s="2">
        <v>0</v>
      </c>
      <c r="F28520" s="2">
        <v>8.2372322899505702E-4</v>
      </c>
    </row>
    <row r="28521" spans="1:6" x14ac:dyDescent="0.25">
      <c r="A28521" s="1" t="str">
        <f t="shared" si="1021"/>
        <v>38780</v>
      </c>
      <c r="B28521" s="1" t="str">
        <f>"88118"</f>
        <v>88118</v>
      </c>
      <c r="C28521" s="2">
        <v>1.23582766439909E-2</v>
      </c>
      <c r="D28521" s="2">
        <v>7.8616352201257792E-3</v>
      </c>
      <c r="E28521" s="2">
        <v>0</v>
      </c>
      <c r="F28521" s="2">
        <v>1.1738056013179499E-2</v>
      </c>
    </row>
    <row r="28522" spans="1:6" x14ac:dyDescent="0.25">
      <c r="A28522" s="1" t="str">
        <f t="shared" si="1021"/>
        <v>38780</v>
      </c>
      <c r="B28522" s="1" t="str">
        <f>"88124"</f>
        <v>88124</v>
      </c>
      <c r="C28522" s="2">
        <v>1.8140589569160901E-3</v>
      </c>
      <c r="D28522" s="2">
        <v>0</v>
      </c>
      <c r="E28522" s="2">
        <v>0</v>
      </c>
      <c r="F28522" s="2">
        <v>1.6474464579901099E-3</v>
      </c>
    </row>
    <row r="28523" spans="1:6" x14ac:dyDescent="0.25">
      <c r="A28523" s="1" t="str">
        <f t="shared" ref="A28523:A28533" si="1022">"38820"</f>
        <v>38820</v>
      </c>
      <c r="B28523" s="1" t="str">
        <f>"98350"</f>
        <v>98350</v>
      </c>
      <c r="C28523" s="2">
        <v>0</v>
      </c>
      <c r="D28523" s="2">
        <v>2.5220680958385801E-4</v>
      </c>
      <c r="E28523" s="2">
        <v>0</v>
      </c>
      <c r="F28523" s="2">
        <v>2.1028283040689701E-5</v>
      </c>
    </row>
    <row r="28524" spans="1:6" x14ac:dyDescent="0.25">
      <c r="A28524" s="1" t="str">
        <f t="shared" si="1022"/>
        <v>38820</v>
      </c>
      <c r="B28524" s="1" t="str">
        <f>"98381"</f>
        <v>98381</v>
      </c>
      <c r="C28524" s="2">
        <v>3.1292968564790601E-3</v>
      </c>
      <c r="D28524" s="2">
        <v>1.51324085750315E-3</v>
      </c>
      <c r="E28524" s="2">
        <v>0</v>
      </c>
      <c r="F28524" s="2">
        <v>2.9019030596151799E-3</v>
      </c>
    </row>
    <row r="28525" spans="1:6" x14ac:dyDescent="0.25">
      <c r="A28525" s="1" t="str">
        <f t="shared" si="1022"/>
        <v>38820</v>
      </c>
      <c r="B28525" s="1" t="str">
        <f>"98357"</f>
        <v>98357</v>
      </c>
      <c r="C28525" s="2">
        <v>0</v>
      </c>
      <c r="D28525" s="2">
        <v>2.5220680958385801E-4</v>
      </c>
      <c r="E28525" s="2">
        <v>0.34303977272727199</v>
      </c>
      <c r="F28525" s="2">
        <v>1.0177688991693801E-2</v>
      </c>
    </row>
    <row r="28526" spans="1:6" x14ac:dyDescent="0.25">
      <c r="A28526" s="1" t="str">
        <f t="shared" si="1022"/>
        <v>38820</v>
      </c>
      <c r="B28526" s="1" t="str">
        <f>"98305"</f>
        <v>98305</v>
      </c>
      <c r="C28526" s="2">
        <v>1.9913707268503101E-3</v>
      </c>
      <c r="D28526" s="2">
        <v>1.0088272383354301E-3</v>
      </c>
      <c r="E28526" s="2">
        <v>2.20170454545454E-2</v>
      </c>
      <c r="F28526" s="2">
        <v>2.5023656818420701E-3</v>
      </c>
    </row>
    <row r="28527" spans="1:6" x14ac:dyDescent="0.25">
      <c r="A28527" s="1" t="str">
        <f t="shared" si="1022"/>
        <v>38820</v>
      </c>
      <c r="B28527" s="1" t="str">
        <f>"98343"</f>
        <v>98343</v>
      </c>
      <c r="C28527" s="2">
        <v>0</v>
      </c>
      <c r="D28527" s="2">
        <v>2.5220680958385801E-4</v>
      </c>
      <c r="E28527" s="2">
        <v>0</v>
      </c>
      <c r="F28527" s="2">
        <v>2.1028283040689701E-5</v>
      </c>
    </row>
    <row r="28528" spans="1:6" x14ac:dyDescent="0.25">
      <c r="A28528" s="1" t="str">
        <f t="shared" si="1022"/>
        <v>38820</v>
      </c>
      <c r="B28528" s="1" t="str">
        <f>"98362"</f>
        <v>98362</v>
      </c>
      <c r="C28528" s="2">
        <v>0.31850078232421403</v>
      </c>
      <c r="D28528" s="2">
        <v>0.45018915510718699</v>
      </c>
      <c r="E28528" s="2">
        <v>0.30184659090909</v>
      </c>
      <c r="F28528" s="2">
        <v>0.32898748817159001</v>
      </c>
    </row>
    <row r="28529" spans="1:6" x14ac:dyDescent="0.25">
      <c r="A28529" s="1" t="str">
        <f t="shared" si="1022"/>
        <v>38820</v>
      </c>
      <c r="B28529" s="1" t="str">
        <f>"98363"</f>
        <v>98363</v>
      </c>
      <c r="C28529" s="2">
        <v>0.15902517661561799</v>
      </c>
      <c r="D28529" s="2">
        <v>6.5573770491803199E-2</v>
      </c>
      <c r="E28529" s="2">
        <v>8.45170454545454E-2</v>
      </c>
      <c r="F28529" s="2">
        <v>0.14902744190936801</v>
      </c>
    </row>
    <row r="28530" spans="1:6" x14ac:dyDescent="0.25">
      <c r="A28530" s="1" t="str">
        <f t="shared" si="1022"/>
        <v>38820</v>
      </c>
      <c r="B28530" s="1" t="str">
        <f>"98324"</f>
        <v>98324</v>
      </c>
      <c r="C28530" s="2">
        <v>1.5930965814802502E-2</v>
      </c>
      <c r="D28530" s="2">
        <v>4.4136191677175203E-2</v>
      </c>
      <c r="E28530" s="2">
        <v>7.1022727272727199E-4</v>
      </c>
      <c r="F28530" s="2">
        <v>1.78319840185048E-2</v>
      </c>
    </row>
    <row r="28531" spans="1:6" x14ac:dyDescent="0.25">
      <c r="A28531" s="1" t="str">
        <f t="shared" si="1022"/>
        <v>38820</v>
      </c>
      <c r="B28531" s="1" t="str">
        <f>"98331"</f>
        <v>98331</v>
      </c>
      <c r="C28531" s="2">
        <v>4.40946375231141E-2</v>
      </c>
      <c r="D28531" s="2">
        <v>3.7326607818411003E-2</v>
      </c>
      <c r="E28531" s="2">
        <v>4.1903409090908998E-2</v>
      </c>
      <c r="F28531" s="2">
        <v>4.3465461045105597E-2</v>
      </c>
    </row>
    <row r="28532" spans="1:6" x14ac:dyDescent="0.25">
      <c r="A28532" s="1" t="str">
        <f t="shared" si="1022"/>
        <v>38820</v>
      </c>
      <c r="B28532" s="1" t="str">
        <f>"98382"</f>
        <v>98382</v>
      </c>
      <c r="C28532" s="2">
        <v>0.45500450429092898</v>
      </c>
      <c r="D28532" s="2">
        <v>0.39646910466582502</v>
      </c>
      <c r="E28532" s="2">
        <v>0.20383522727272699</v>
      </c>
      <c r="F28532" s="2">
        <v>0.44268741457260002</v>
      </c>
    </row>
    <row r="28533" spans="1:6" x14ac:dyDescent="0.25">
      <c r="A28533" s="1" t="str">
        <f t="shared" si="1022"/>
        <v>38820</v>
      </c>
      <c r="B28533" s="1" t="str">
        <f>"98326"</f>
        <v>98326</v>
      </c>
      <c r="C28533" s="2">
        <v>2.32326584799203E-3</v>
      </c>
      <c r="D28533" s="2">
        <v>3.0264817150063E-3</v>
      </c>
      <c r="E28533" s="2">
        <v>2.1306818181818098E-3</v>
      </c>
      <c r="F28533" s="2">
        <v>2.3761959835979299E-3</v>
      </c>
    </row>
    <row r="28534" spans="1:6" x14ac:dyDescent="0.25">
      <c r="A28534" s="1" t="str">
        <f t="shared" ref="A28534:A28565" si="1023">"38860"</f>
        <v>38860</v>
      </c>
      <c r="B28534" s="1" t="str">
        <f>"04565"</f>
        <v>04565</v>
      </c>
      <c r="C28534" s="2">
        <v>0</v>
      </c>
      <c r="D28534" s="2">
        <v>0</v>
      </c>
      <c r="E28534" s="2">
        <v>6.2660567704743404E-5</v>
      </c>
      <c r="F28534" s="2">
        <v>3.0309459582335601E-6</v>
      </c>
    </row>
    <row r="28535" spans="1:6" x14ac:dyDescent="0.25">
      <c r="A28535" s="1" t="str">
        <f t="shared" si="1023"/>
        <v>38860</v>
      </c>
      <c r="B28535" s="1" t="str">
        <f>"04092"</f>
        <v>04092</v>
      </c>
      <c r="C28535" s="2">
        <v>3.3872201398911103E-2</v>
      </c>
      <c r="D28535" s="2">
        <v>3.3996484499840197E-2</v>
      </c>
      <c r="E28535" s="2">
        <v>9.7562503916285404E-2</v>
      </c>
      <c r="F28535" s="2">
        <v>3.6962385960658303E-2</v>
      </c>
    </row>
    <row r="28536" spans="1:6" x14ac:dyDescent="0.25">
      <c r="A28536" s="1" t="str">
        <f t="shared" si="1023"/>
        <v>38860</v>
      </c>
      <c r="B28536" s="1" t="str">
        <f>"04056"</f>
        <v>04056</v>
      </c>
      <c r="C28536" s="2">
        <v>1.0382814365661901E-5</v>
      </c>
      <c r="D28536" s="2">
        <v>0</v>
      </c>
      <c r="E28536" s="2">
        <v>6.2660567704743404E-5</v>
      </c>
      <c r="F28536" s="2">
        <v>1.21237838329342E-5</v>
      </c>
    </row>
    <row r="28537" spans="1:6" x14ac:dyDescent="0.25">
      <c r="A28537" s="1" t="str">
        <f t="shared" si="1023"/>
        <v>38860</v>
      </c>
      <c r="B28537" s="1" t="str">
        <f>"04108"</f>
        <v>04108</v>
      </c>
      <c r="C28537" s="2">
        <v>3.3536490401088101E-3</v>
      </c>
      <c r="D28537" s="2">
        <v>1.3183125599232899E-3</v>
      </c>
      <c r="E28537" s="2">
        <v>2.38110157278024E-3</v>
      </c>
      <c r="F28537" s="2">
        <v>3.1521837965629001E-3</v>
      </c>
    </row>
    <row r="28538" spans="1:6" x14ac:dyDescent="0.25">
      <c r="A28538" s="1" t="str">
        <f t="shared" si="1023"/>
        <v>38860</v>
      </c>
      <c r="B28538" s="1" t="str">
        <f>"04073"</f>
        <v>04073</v>
      </c>
      <c r="C28538" s="2">
        <v>2.8030137849165301E-2</v>
      </c>
      <c r="D28538" s="2">
        <v>2.67257909875359E-2</v>
      </c>
      <c r="E28538" s="2">
        <v>3.8348267435302903E-2</v>
      </c>
      <c r="F28538" s="2">
        <v>2.84302730882308E-2</v>
      </c>
    </row>
    <row r="28539" spans="1:6" x14ac:dyDescent="0.25">
      <c r="A28539" s="1" t="str">
        <f t="shared" si="1023"/>
        <v>38860</v>
      </c>
      <c r="B28539" s="1" t="str">
        <f>"04090"</f>
        <v>04090</v>
      </c>
      <c r="C28539" s="2">
        <v>2.2015027393325198E-2</v>
      </c>
      <c r="D28539" s="2">
        <v>1.43016938318951E-2</v>
      </c>
      <c r="E28539" s="2">
        <v>1.1780186728491701E-2</v>
      </c>
      <c r="F28539" s="2">
        <v>2.0934743733519199E-2</v>
      </c>
    </row>
    <row r="28540" spans="1:6" x14ac:dyDescent="0.25">
      <c r="A28540" s="1" t="str">
        <f t="shared" si="1023"/>
        <v>38860</v>
      </c>
      <c r="B28540" s="1" t="str">
        <f>"04074"</f>
        <v>04074</v>
      </c>
      <c r="C28540" s="2">
        <v>3.63052408985979E-2</v>
      </c>
      <c r="D28540" s="2">
        <v>4.1426973473953299E-2</v>
      </c>
      <c r="E28540" s="2">
        <v>2.19311986966601E-2</v>
      </c>
      <c r="F28540" s="2">
        <v>3.5998545145940003E-2</v>
      </c>
    </row>
    <row r="28541" spans="1:6" x14ac:dyDescent="0.25">
      <c r="A28541" s="1" t="str">
        <f t="shared" si="1023"/>
        <v>38860</v>
      </c>
      <c r="B28541" s="1" t="str">
        <f>"04096"</f>
        <v>04096</v>
      </c>
      <c r="C28541" s="2">
        <v>1.3795299353842799E-2</v>
      </c>
      <c r="D28541" s="2">
        <v>1.8136784915308402E-2</v>
      </c>
      <c r="E28541" s="2">
        <v>1.0213672535873099E-2</v>
      </c>
      <c r="F28541" s="2">
        <v>1.3951444245749E-2</v>
      </c>
    </row>
    <row r="28542" spans="1:6" x14ac:dyDescent="0.25">
      <c r="A28542" s="1" t="str">
        <f t="shared" si="1023"/>
        <v>38860</v>
      </c>
      <c r="B28542" s="1" t="str">
        <f>"04079"</f>
        <v>04079</v>
      </c>
      <c r="C28542" s="2">
        <v>1.20613693547773E-2</v>
      </c>
      <c r="D28542" s="2">
        <v>3.3956535634387902E-3</v>
      </c>
      <c r="E28542" s="2">
        <v>2.0051381665517798E-3</v>
      </c>
      <c r="F28542" s="2">
        <v>1.09174673415573E-2</v>
      </c>
    </row>
    <row r="28543" spans="1:6" x14ac:dyDescent="0.25">
      <c r="A28543" s="1" t="str">
        <f t="shared" si="1023"/>
        <v>38860</v>
      </c>
      <c r="B28543" s="1" t="str">
        <f>"04083"</f>
        <v>04083</v>
      </c>
      <c r="C28543" s="2">
        <v>7.5932982394207697E-3</v>
      </c>
      <c r="D28543" s="2">
        <v>5.8724832214765103E-3</v>
      </c>
      <c r="E28543" s="2">
        <v>1.23441318378344E-2</v>
      </c>
      <c r="F28543" s="2">
        <v>7.6925408419967799E-3</v>
      </c>
    </row>
    <row r="28544" spans="1:6" x14ac:dyDescent="0.25">
      <c r="A28544" s="1" t="str">
        <f t="shared" si="1023"/>
        <v>38860</v>
      </c>
      <c r="B28544" s="1" t="str">
        <f>"03907"</f>
        <v>03907</v>
      </c>
      <c r="C28544" s="2">
        <v>1.6093362266775999E-3</v>
      </c>
      <c r="D28544" s="2">
        <v>7.1907957813997997E-4</v>
      </c>
      <c r="E28544" s="2">
        <v>1.8798170311422999E-4</v>
      </c>
      <c r="F28544" s="2">
        <v>1.4730397357015099E-3</v>
      </c>
    </row>
    <row r="28545" spans="1:6" x14ac:dyDescent="0.25">
      <c r="A28545" s="1" t="str">
        <f t="shared" si="1023"/>
        <v>38860</v>
      </c>
      <c r="B28545" s="1" t="str">
        <f>"04039"</f>
        <v>04039</v>
      </c>
      <c r="C28545" s="2">
        <v>1.22067287558965E-2</v>
      </c>
      <c r="D28545" s="2">
        <v>7.4304889741131303E-3</v>
      </c>
      <c r="E28545" s="2">
        <v>5.3261482549031803E-3</v>
      </c>
      <c r="F28545" s="2">
        <v>1.1511532749371001E-2</v>
      </c>
    </row>
    <row r="28546" spans="1:6" x14ac:dyDescent="0.25">
      <c r="A28546" s="1" t="str">
        <f t="shared" si="1023"/>
        <v>38860</v>
      </c>
      <c r="B28546" s="1" t="str">
        <f>"04107"</f>
        <v>04107</v>
      </c>
      <c r="C28546" s="2">
        <v>1.4681299513046E-2</v>
      </c>
      <c r="D28546" s="2">
        <v>3.3157558325343501E-3</v>
      </c>
      <c r="E28546" s="2">
        <v>4.4489003070367801E-3</v>
      </c>
      <c r="F28546" s="2">
        <v>1.33240384323947E-2</v>
      </c>
    </row>
    <row r="28547" spans="1:6" x14ac:dyDescent="0.25">
      <c r="A28547" s="1" t="str">
        <f t="shared" si="1023"/>
        <v>38860</v>
      </c>
      <c r="B28547" s="1" t="str">
        <f>"04101"</f>
        <v>04101</v>
      </c>
      <c r="C28547" s="2">
        <v>4.2029632552199499E-2</v>
      </c>
      <c r="D28547" s="2">
        <v>0.139661233620965</v>
      </c>
      <c r="E28547" s="2">
        <v>0.17037408358919701</v>
      </c>
      <c r="F28547" s="2">
        <v>5.5645136847210001E-2</v>
      </c>
    </row>
    <row r="28548" spans="1:6" x14ac:dyDescent="0.25">
      <c r="A28548" s="1" t="str">
        <f t="shared" si="1023"/>
        <v>38860</v>
      </c>
      <c r="B28548" s="1" t="str">
        <f>"04562"</f>
        <v>04562</v>
      </c>
      <c r="C28548" s="2">
        <v>4.4576883009908603E-3</v>
      </c>
      <c r="D28548" s="2">
        <v>7.1907957813997997E-4</v>
      </c>
      <c r="E28548" s="2">
        <v>8.1458738016166395E-4</v>
      </c>
      <c r="F28548" s="2">
        <v>3.9978177189100702E-3</v>
      </c>
    </row>
    <row r="28549" spans="1:6" x14ac:dyDescent="0.25">
      <c r="A28549" s="1" t="str">
        <f t="shared" si="1023"/>
        <v>38860</v>
      </c>
      <c r="B28549" s="1" t="str">
        <f>"04054"</f>
        <v>04054</v>
      </c>
      <c r="C28549" s="2">
        <v>0</v>
      </c>
      <c r="D28549" s="2">
        <v>0</v>
      </c>
      <c r="E28549" s="2">
        <v>6.2660567704743404E-5</v>
      </c>
      <c r="F28549" s="2">
        <v>3.0309459582335601E-6</v>
      </c>
    </row>
    <row r="28550" spans="1:6" x14ac:dyDescent="0.25">
      <c r="A28550" s="1" t="str">
        <f t="shared" si="1023"/>
        <v>38860</v>
      </c>
      <c r="B28550" s="1" t="str">
        <f>"03804"</f>
        <v>03804</v>
      </c>
      <c r="C28550" s="2">
        <v>0</v>
      </c>
      <c r="D28550" s="2">
        <v>7.98977309044423E-5</v>
      </c>
      <c r="E28550" s="2">
        <v>1.8798170311422999E-4</v>
      </c>
      <c r="F28550" s="2">
        <v>1.5154729791167801E-5</v>
      </c>
    </row>
    <row r="28551" spans="1:6" x14ac:dyDescent="0.25">
      <c r="A28551" s="1" t="str">
        <f t="shared" si="1023"/>
        <v>38860</v>
      </c>
      <c r="B28551" s="1" t="str">
        <f>"04057"</f>
        <v>04057</v>
      </c>
      <c r="C28551" s="2">
        <v>3.4609381218873101E-6</v>
      </c>
      <c r="D28551" s="2">
        <v>0</v>
      </c>
      <c r="E28551" s="2">
        <v>6.2660567704743404E-5</v>
      </c>
      <c r="F28551" s="2">
        <v>6.0618919164671203E-6</v>
      </c>
    </row>
    <row r="28552" spans="1:6" x14ac:dyDescent="0.25">
      <c r="A28552" s="1" t="str">
        <f t="shared" si="1023"/>
        <v>38860</v>
      </c>
      <c r="B28552" s="1" t="str">
        <f>"04094"</f>
        <v>04094</v>
      </c>
      <c r="C28552" s="2">
        <v>0</v>
      </c>
      <c r="D28552" s="2">
        <v>0</v>
      </c>
      <c r="E28552" s="2">
        <v>6.2660567704743404E-5</v>
      </c>
      <c r="F28552" s="2">
        <v>3.0309459582335601E-6</v>
      </c>
    </row>
    <row r="28553" spans="1:6" x14ac:dyDescent="0.25">
      <c r="A28553" s="1" t="str">
        <f t="shared" si="1023"/>
        <v>38860</v>
      </c>
      <c r="B28553" s="1" t="str">
        <f>"04085"</f>
        <v>04085</v>
      </c>
      <c r="C28553" s="2">
        <v>2.3534379228833699E-3</v>
      </c>
      <c r="D28553" s="2">
        <v>2.7964205816554798E-4</v>
      </c>
      <c r="E28553" s="2">
        <v>3.7596340622845999E-4</v>
      </c>
      <c r="F28553" s="2">
        <v>2.1004455490558601E-3</v>
      </c>
    </row>
    <row r="28554" spans="1:6" x14ac:dyDescent="0.25">
      <c r="A28554" s="1" t="str">
        <f t="shared" si="1023"/>
        <v>38860</v>
      </c>
      <c r="B28554" s="1" t="str">
        <f>"03905"</f>
        <v>03905</v>
      </c>
      <c r="C28554" s="2">
        <v>3.3501881019869198E-3</v>
      </c>
      <c r="D28554" s="2">
        <v>2.7964205816554798E-4</v>
      </c>
      <c r="E28554" s="2">
        <v>5.6394510934269001E-4</v>
      </c>
      <c r="F28554" s="2">
        <v>2.9824508229018198E-3</v>
      </c>
    </row>
    <row r="28555" spans="1:6" x14ac:dyDescent="0.25">
      <c r="A28555" s="1" t="str">
        <f t="shared" si="1023"/>
        <v>38860</v>
      </c>
      <c r="B28555" s="1" t="str">
        <f>"04009"</f>
        <v>04009</v>
      </c>
      <c r="C28555" s="2">
        <v>1.0735830054094401E-2</v>
      </c>
      <c r="D28555" s="2">
        <v>1.1025886864812999E-2</v>
      </c>
      <c r="E28555" s="2">
        <v>9.0857823171877905E-3</v>
      </c>
      <c r="F28555" s="2">
        <v>1.06780226108568E-2</v>
      </c>
    </row>
    <row r="28556" spans="1:6" x14ac:dyDescent="0.25">
      <c r="A28556" s="1" t="str">
        <f t="shared" si="1023"/>
        <v>38860</v>
      </c>
      <c r="B28556" s="1" t="str">
        <f>"03901"</f>
        <v>03901</v>
      </c>
      <c r="C28556" s="2">
        <v>1.6249104482260902E-2</v>
      </c>
      <c r="D28556" s="2">
        <v>6.7513582614253699E-3</v>
      </c>
      <c r="E28556" s="2">
        <v>7.5192681245692004E-3</v>
      </c>
      <c r="F28556" s="2">
        <v>1.5106234655836E-2</v>
      </c>
    </row>
    <row r="28557" spans="1:6" x14ac:dyDescent="0.25">
      <c r="A28557" s="1" t="str">
        <f t="shared" si="1023"/>
        <v>38860</v>
      </c>
      <c r="B28557" s="1" t="str">
        <f>"04027"</f>
        <v>04027</v>
      </c>
      <c r="C28557" s="2">
        <v>1.02859080982491E-2</v>
      </c>
      <c r="D28557" s="2">
        <v>2.7964205816554798E-3</v>
      </c>
      <c r="E28557" s="2">
        <v>1.0025690832758899E-3</v>
      </c>
      <c r="F28557" s="2">
        <v>9.2686327402782404E-3</v>
      </c>
    </row>
    <row r="28558" spans="1:6" x14ac:dyDescent="0.25">
      <c r="A28558" s="1" t="str">
        <f t="shared" si="1023"/>
        <v>38860</v>
      </c>
      <c r="B28558" s="1" t="str">
        <f>"04048"</f>
        <v>04048</v>
      </c>
      <c r="C28558" s="2">
        <v>4.74494616510751E-3</v>
      </c>
      <c r="D28558" s="2">
        <v>1.3582614253755099E-3</v>
      </c>
      <c r="E28558" s="2">
        <v>8.7724794786640705E-4</v>
      </c>
      <c r="F28558" s="2">
        <v>4.3009123147334204E-3</v>
      </c>
    </row>
    <row r="28559" spans="1:6" x14ac:dyDescent="0.25">
      <c r="A28559" s="1" t="str">
        <f t="shared" si="1023"/>
        <v>38860</v>
      </c>
      <c r="B28559" s="1" t="str">
        <f>"04055"</f>
        <v>04055</v>
      </c>
      <c r="C28559" s="2">
        <v>7.1156887786003199E-3</v>
      </c>
      <c r="D28559" s="2">
        <v>2.4768296580377101E-3</v>
      </c>
      <c r="E28559" s="2">
        <v>2.0051381665517798E-3</v>
      </c>
      <c r="F28559" s="2">
        <v>6.5165338102021603E-3</v>
      </c>
    </row>
    <row r="28560" spans="1:6" x14ac:dyDescent="0.25">
      <c r="A28560" s="1" t="str">
        <f t="shared" si="1023"/>
        <v>38860</v>
      </c>
      <c r="B28560" s="1" t="str">
        <f>"04530"</f>
        <v>04530</v>
      </c>
      <c r="C28560" s="2">
        <v>2.0163425498115499E-2</v>
      </c>
      <c r="D28560" s="2">
        <v>1.9574944071588302E-2</v>
      </c>
      <c r="E28560" s="2">
        <v>2.4625603107964099E-2</v>
      </c>
      <c r="F28560" s="2">
        <v>2.03346164337889E-2</v>
      </c>
    </row>
    <row r="28561" spans="1:6" x14ac:dyDescent="0.25">
      <c r="A28561" s="1" t="str">
        <f t="shared" si="1023"/>
        <v>38860</v>
      </c>
      <c r="B28561" s="1" t="str">
        <f>"04287"</f>
        <v>04287</v>
      </c>
      <c r="C28561" s="2">
        <v>4.4646101772346401E-3</v>
      </c>
      <c r="D28561" s="2">
        <v>4.3943751997443199E-4</v>
      </c>
      <c r="E28561" s="2">
        <v>1.8798170311422999E-4</v>
      </c>
      <c r="F28561" s="2">
        <v>3.95235352953656E-3</v>
      </c>
    </row>
    <row r="28562" spans="1:6" x14ac:dyDescent="0.25">
      <c r="A28562" s="1" t="str">
        <f t="shared" si="1023"/>
        <v>38860</v>
      </c>
      <c r="B28562" s="1" t="str">
        <f>"04034"</f>
        <v>04034</v>
      </c>
      <c r="C28562" s="2">
        <v>0</v>
      </c>
      <c r="D28562" s="2">
        <v>3.9948865452221103E-5</v>
      </c>
      <c r="E28562" s="2">
        <v>0</v>
      </c>
      <c r="F28562" s="2">
        <v>3.0309459582335601E-6</v>
      </c>
    </row>
    <row r="28563" spans="1:6" x14ac:dyDescent="0.25">
      <c r="A28563" s="1" t="str">
        <f t="shared" si="1023"/>
        <v>38860</v>
      </c>
      <c r="B28563" s="1" t="str">
        <f>"04070"</f>
        <v>04070</v>
      </c>
      <c r="C28563" s="2">
        <v>5.0183602767366097E-3</v>
      </c>
      <c r="D28563" s="2">
        <v>1.92553531479705E-2</v>
      </c>
      <c r="E28563" s="2">
        <v>1.2532113540948599E-4</v>
      </c>
      <c r="F28563" s="2">
        <v>5.8618494832237099E-3</v>
      </c>
    </row>
    <row r="28564" spans="1:6" x14ac:dyDescent="0.25">
      <c r="A28564" s="1" t="str">
        <f t="shared" si="1023"/>
        <v>38860</v>
      </c>
      <c r="B28564" s="1" t="str">
        <f>"04071"</f>
        <v>04071</v>
      </c>
      <c r="C28564" s="2">
        <v>1.42382994334444E-2</v>
      </c>
      <c r="D28564" s="2">
        <v>8.4691594758708796E-3</v>
      </c>
      <c r="E28564" s="2">
        <v>2.0677987342565302E-3</v>
      </c>
      <c r="F28564" s="2">
        <v>1.3211893431940101E-2</v>
      </c>
    </row>
    <row r="28565" spans="1:6" x14ac:dyDescent="0.25">
      <c r="A28565" s="1" t="str">
        <f t="shared" si="1023"/>
        <v>38860</v>
      </c>
      <c r="B28565" s="1" t="str">
        <f>"04097"</f>
        <v>04097</v>
      </c>
      <c r="C28565" s="2">
        <v>5.3436884601940201E-3</v>
      </c>
      <c r="D28565" s="2">
        <v>1.4381591562799599E-3</v>
      </c>
      <c r="E28565" s="2">
        <v>5.6394510934269001E-4</v>
      </c>
      <c r="F28565" s="2">
        <v>4.8161731276331297E-3</v>
      </c>
    </row>
    <row r="28566" spans="1:6" x14ac:dyDescent="0.25">
      <c r="A28566" s="1" t="str">
        <f t="shared" ref="A28566:A28597" si="1024">"38860"</f>
        <v>38860</v>
      </c>
      <c r="B28566" s="1" t="str">
        <f>"04001"</f>
        <v>04001</v>
      </c>
      <c r="C28566" s="2">
        <v>4.6861102170354203E-3</v>
      </c>
      <c r="D28566" s="2">
        <v>5.1933525087887497E-4</v>
      </c>
      <c r="E28566" s="2">
        <v>1.2532113540948599E-4</v>
      </c>
      <c r="F28566" s="2">
        <v>4.1493650168217501E-3</v>
      </c>
    </row>
    <row r="28567" spans="1:6" x14ac:dyDescent="0.25">
      <c r="A28567" s="1" t="str">
        <f t="shared" si="1024"/>
        <v>38860</v>
      </c>
      <c r="B28567" s="1" t="str">
        <f>"04028"</f>
        <v>04028</v>
      </c>
      <c r="C28567" s="2">
        <v>0</v>
      </c>
      <c r="D28567" s="2">
        <v>0</v>
      </c>
      <c r="E28567" s="2">
        <v>6.2660567704743404E-5</v>
      </c>
      <c r="F28567" s="2">
        <v>3.0309459582335601E-6</v>
      </c>
    </row>
    <row r="28568" spans="1:6" x14ac:dyDescent="0.25">
      <c r="A28568" s="1" t="str">
        <f t="shared" si="1024"/>
        <v>38860</v>
      </c>
      <c r="B28568" s="1" t="str">
        <f>"04040"</f>
        <v>04040</v>
      </c>
      <c r="C28568" s="2">
        <v>4.9664462049082998E-3</v>
      </c>
      <c r="D28568" s="2">
        <v>6.7913071268775897E-4</v>
      </c>
      <c r="E28568" s="2">
        <v>3.7596340622845999E-4</v>
      </c>
      <c r="F28568" s="2">
        <v>4.4191192071045297E-3</v>
      </c>
    </row>
    <row r="28569" spans="1:6" x14ac:dyDescent="0.25">
      <c r="A28569" s="1" t="str">
        <f t="shared" si="1024"/>
        <v>38860</v>
      </c>
      <c r="B28569" s="1" t="str">
        <f>"04112"</f>
        <v>04112</v>
      </c>
      <c r="C28569" s="2">
        <v>4.8280086800328E-3</v>
      </c>
      <c r="D28569" s="2">
        <v>2.01741770533716E-2</v>
      </c>
      <c r="E28569" s="2">
        <v>1.2532113540948599E-4</v>
      </c>
      <c r="F28569" s="2">
        <v>5.76485921256024E-3</v>
      </c>
    </row>
    <row r="28570" spans="1:6" x14ac:dyDescent="0.25">
      <c r="A28570" s="1" t="str">
        <f t="shared" si="1024"/>
        <v>38860</v>
      </c>
      <c r="B28570" s="1" t="str">
        <f>"04116"</f>
        <v>04116</v>
      </c>
      <c r="C28570" s="2">
        <v>1.35322680565794E-3</v>
      </c>
      <c r="D28570" s="2">
        <v>8.7488015340364302E-3</v>
      </c>
      <c r="E28570" s="2">
        <v>1.2532113540948599E-4</v>
      </c>
      <c r="F28570" s="2">
        <v>1.8549389264389401E-3</v>
      </c>
    </row>
    <row r="28571" spans="1:6" x14ac:dyDescent="0.25">
      <c r="A28571" s="1" t="str">
        <f t="shared" si="1024"/>
        <v>38860</v>
      </c>
      <c r="B28571" s="1" t="str">
        <f>"04033"</f>
        <v>04033</v>
      </c>
      <c r="C28571" s="2">
        <v>0</v>
      </c>
      <c r="D28571" s="2">
        <v>3.9948865452221103E-5</v>
      </c>
      <c r="E28571" s="2">
        <v>6.2660567704743404E-5</v>
      </c>
      <c r="F28571" s="2">
        <v>6.0618919164671203E-6</v>
      </c>
    </row>
    <row r="28572" spans="1:6" x14ac:dyDescent="0.25">
      <c r="A28572" s="1" t="str">
        <f t="shared" si="1024"/>
        <v>38860</v>
      </c>
      <c r="B28572" s="1" t="str">
        <f>"04252"</f>
        <v>04252</v>
      </c>
      <c r="C28572" s="2">
        <v>1.38437524875492E-5</v>
      </c>
      <c r="D28572" s="2">
        <v>0</v>
      </c>
      <c r="E28572" s="2">
        <v>0</v>
      </c>
      <c r="F28572" s="2">
        <v>1.21237838329342E-5</v>
      </c>
    </row>
    <row r="28573" spans="1:6" x14ac:dyDescent="0.25">
      <c r="A28573" s="1" t="str">
        <f t="shared" si="1024"/>
        <v>38860</v>
      </c>
      <c r="B28573" s="1" t="str">
        <f>"04123"</f>
        <v>04123</v>
      </c>
      <c r="C28573" s="2">
        <v>0</v>
      </c>
      <c r="D28573" s="2">
        <v>3.9948865452221103E-5</v>
      </c>
      <c r="E28573" s="2">
        <v>0</v>
      </c>
      <c r="F28573" s="2">
        <v>3.0309459582335601E-6</v>
      </c>
    </row>
    <row r="28574" spans="1:6" x14ac:dyDescent="0.25">
      <c r="A28574" s="1" t="str">
        <f t="shared" si="1024"/>
        <v>38860</v>
      </c>
      <c r="B28574" s="1" t="str">
        <f>"04078"</f>
        <v>04078</v>
      </c>
      <c r="C28574" s="2">
        <v>0</v>
      </c>
      <c r="D28574" s="2">
        <v>0</v>
      </c>
      <c r="E28574" s="2">
        <v>6.2660567704743404E-5</v>
      </c>
      <c r="F28574" s="2">
        <v>3.0309459582335601E-6</v>
      </c>
    </row>
    <row r="28575" spans="1:6" x14ac:dyDescent="0.25">
      <c r="A28575" s="1" t="str">
        <f t="shared" si="1024"/>
        <v>38860</v>
      </c>
      <c r="B28575" s="1" t="str">
        <f>"04003"</f>
        <v>04003</v>
      </c>
      <c r="C28575" s="2">
        <v>7.5794544869332197E-4</v>
      </c>
      <c r="D28575" s="2">
        <v>3.1959092361776899E-4</v>
      </c>
      <c r="E28575" s="2">
        <v>2.5064227081897302E-4</v>
      </c>
      <c r="F28575" s="2">
        <v>7.0014851635195299E-4</v>
      </c>
    </row>
    <row r="28576" spans="1:6" x14ac:dyDescent="0.25">
      <c r="A28576" s="1" t="str">
        <f t="shared" si="1024"/>
        <v>38860</v>
      </c>
      <c r="B28576" s="1" t="str">
        <f>"03911"</f>
        <v>03911</v>
      </c>
      <c r="C28576" s="2">
        <v>3.0871568047234799E-3</v>
      </c>
      <c r="D28576" s="2">
        <v>2.31703419622882E-3</v>
      </c>
      <c r="E28576" s="2">
        <v>1.2532113540948599E-4</v>
      </c>
      <c r="F28576" s="2">
        <v>2.8854605522383499E-3</v>
      </c>
    </row>
    <row r="28577" spans="1:6" x14ac:dyDescent="0.25">
      <c r="A28577" s="1" t="str">
        <f t="shared" si="1024"/>
        <v>38860</v>
      </c>
      <c r="B28577" s="1" t="str">
        <f>"04064"</f>
        <v>04064</v>
      </c>
      <c r="C28577" s="2">
        <v>2.8777700483492999E-2</v>
      </c>
      <c r="D28577" s="2">
        <v>1.61393416426973E-2</v>
      </c>
      <c r="E28577" s="2">
        <v>2.8322576602543999E-2</v>
      </c>
      <c r="F28577" s="2">
        <v>2.7796805382960001E-2</v>
      </c>
    </row>
    <row r="28578" spans="1:6" x14ac:dyDescent="0.25">
      <c r="A28578" s="1" t="str">
        <f t="shared" si="1024"/>
        <v>38860</v>
      </c>
      <c r="B28578" s="1" t="str">
        <f>"03904"</f>
        <v>03904</v>
      </c>
      <c r="C28578" s="2">
        <v>1.7491581268018499E-2</v>
      </c>
      <c r="D28578" s="2">
        <v>2.3370086289549299E-2</v>
      </c>
      <c r="E28578" s="2">
        <v>1.42239488689767E-2</v>
      </c>
      <c r="F28578" s="2">
        <v>1.7779528990998002E-2</v>
      </c>
    </row>
    <row r="28579" spans="1:6" x14ac:dyDescent="0.25">
      <c r="A28579" s="1" t="str">
        <f t="shared" si="1024"/>
        <v>38860</v>
      </c>
      <c r="B28579" s="1" t="str">
        <f>"03909"</f>
        <v>03909</v>
      </c>
      <c r="C28579" s="2">
        <v>2.0087284859433899E-2</v>
      </c>
      <c r="D28579" s="2">
        <v>2.4648449984020399E-2</v>
      </c>
      <c r="E28579" s="2">
        <v>1.23441318378344E-2</v>
      </c>
      <c r="F28579" s="2">
        <v>2.00588003515897E-2</v>
      </c>
    </row>
    <row r="28580" spans="1:6" x14ac:dyDescent="0.25">
      <c r="A28580" s="1" t="str">
        <f t="shared" si="1024"/>
        <v>38860</v>
      </c>
      <c r="B28580" s="1" t="str">
        <f>"04061"</f>
        <v>04061</v>
      </c>
      <c r="C28580" s="2">
        <v>4.1462038700209999E-3</v>
      </c>
      <c r="D28580" s="2">
        <v>1.59795461808884E-4</v>
      </c>
      <c r="E28580" s="2">
        <v>1.0652296509806301E-3</v>
      </c>
      <c r="F28580" s="2">
        <v>3.6947231230867101E-3</v>
      </c>
    </row>
    <row r="28581" spans="1:6" x14ac:dyDescent="0.25">
      <c r="A28581" s="1" t="str">
        <f t="shared" si="1024"/>
        <v>38860</v>
      </c>
      <c r="B28581" s="1" t="str">
        <f>"04015"</f>
        <v>04015</v>
      </c>
      <c r="C28581" s="2">
        <v>6.7211418327051704E-3</v>
      </c>
      <c r="D28581" s="2">
        <v>1.9974432726110498E-3</v>
      </c>
      <c r="E28581" s="2">
        <v>1.12789021868538E-3</v>
      </c>
      <c r="F28581" s="2">
        <v>6.09220137604946E-3</v>
      </c>
    </row>
    <row r="28582" spans="1:6" x14ac:dyDescent="0.25">
      <c r="A28582" s="1" t="str">
        <f t="shared" si="1024"/>
        <v>38860</v>
      </c>
      <c r="B28582" s="1" t="str">
        <f>"04043"</f>
        <v>04043</v>
      </c>
      <c r="C28582" s="2">
        <v>2.2066941465153499E-2</v>
      </c>
      <c r="D28582" s="2">
        <v>2.9162671780121399E-2</v>
      </c>
      <c r="E28582" s="2">
        <v>1.7670280092737599E-2</v>
      </c>
      <c r="F28582" s="2">
        <v>2.2392628739429501E-2</v>
      </c>
    </row>
    <row r="28583" spans="1:6" x14ac:dyDescent="0.25">
      <c r="A28583" s="1" t="str">
        <f t="shared" si="1024"/>
        <v>38860</v>
      </c>
      <c r="B28583" s="1" t="str">
        <f>"04021"</f>
        <v>04021</v>
      </c>
      <c r="C28583" s="2">
        <v>1.01613143258611E-2</v>
      </c>
      <c r="D28583" s="2">
        <v>6.7513582614253699E-3</v>
      </c>
      <c r="E28583" s="2">
        <v>6.4540384735885699E-3</v>
      </c>
      <c r="F28583" s="2">
        <v>9.7232746340132695E-3</v>
      </c>
    </row>
    <row r="28584" spans="1:6" x14ac:dyDescent="0.25">
      <c r="A28584" s="1" t="str">
        <f t="shared" si="1024"/>
        <v>38860</v>
      </c>
      <c r="B28584" s="1" t="str">
        <f>"04548"</f>
        <v>04548</v>
      </c>
      <c r="C28584" s="2">
        <v>2.1146331924731501E-3</v>
      </c>
      <c r="D28584" s="2">
        <v>3.9948865452221099E-4</v>
      </c>
      <c r="E28584" s="2">
        <v>8.7724794786640705E-4</v>
      </c>
      <c r="F28584" s="2">
        <v>1.9246506834783099E-3</v>
      </c>
    </row>
    <row r="28585" spans="1:6" x14ac:dyDescent="0.25">
      <c r="A28585" s="1" t="str">
        <f t="shared" si="1024"/>
        <v>38860</v>
      </c>
      <c r="B28585" s="1" t="str">
        <f>"04105"</f>
        <v>04105</v>
      </c>
      <c r="C28585" s="2">
        <v>1.8803276816213799E-2</v>
      </c>
      <c r="D28585" s="2">
        <v>1.88558644934483E-2</v>
      </c>
      <c r="E28585" s="2">
        <v>1.10909204837395E-2</v>
      </c>
      <c r="F28585" s="2">
        <v>1.8434213317976501E-2</v>
      </c>
    </row>
    <row r="28586" spans="1:6" x14ac:dyDescent="0.25">
      <c r="A28586" s="1" t="str">
        <f t="shared" si="1024"/>
        <v>38860</v>
      </c>
      <c r="B28586" s="1" t="str">
        <f>"04095"</f>
        <v>04095</v>
      </c>
      <c r="C28586" s="2">
        <v>2.30152385105506E-3</v>
      </c>
      <c r="D28586" s="2">
        <v>3.9948865452221099E-4</v>
      </c>
      <c r="E28586" s="2">
        <v>1.8798170311422999E-4</v>
      </c>
      <c r="F28586" s="2">
        <v>2.0549813596823499E-3</v>
      </c>
    </row>
    <row r="28587" spans="1:6" x14ac:dyDescent="0.25">
      <c r="A28587" s="1" t="str">
        <f t="shared" si="1024"/>
        <v>38860</v>
      </c>
      <c r="B28587" s="1" t="str">
        <f>"04019"</f>
        <v>04019</v>
      </c>
      <c r="C28587" s="2">
        <v>2.04195349191351E-4</v>
      </c>
      <c r="D28587" s="2">
        <v>3.9948865452221103E-5</v>
      </c>
      <c r="E28587" s="2">
        <v>1.2532113540948599E-4</v>
      </c>
      <c r="F28587" s="2">
        <v>1.8791864941048101E-4</v>
      </c>
    </row>
    <row r="28588" spans="1:6" x14ac:dyDescent="0.25">
      <c r="A28588" s="1" t="str">
        <f t="shared" si="1024"/>
        <v>38860</v>
      </c>
      <c r="B28588" s="1" t="str">
        <f>"04109"</f>
        <v>04109</v>
      </c>
      <c r="C28588" s="2">
        <v>2.00734411069464E-4</v>
      </c>
      <c r="D28588" s="2">
        <v>0</v>
      </c>
      <c r="E28588" s="2">
        <v>0</v>
      </c>
      <c r="F28588" s="2">
        <v>1.75794865577546E-4</v>
      </c>
    </row>
    <row r="28589" spans="1:6" x14ac:dyDescent="0.25">
      <c r="A28589" s="1" t="str">
        <f t="shared" si="1024"/>
        <v>38860</v>
      </c>
      <c r="B28589" s="1" t="str">
        <f>"04086"</f>
        <v>04086</v>
      </c>
      <c r="C28589" s="2">
        <v>1.87098314869228E-2</v>
      </c>
      <c r="D28589" s="2">
        <v>1.5819750719079501E-2</v>
      </c>
      <c r="E28589" s="2">
        <v>9.5244062911209893E-3</v>
      </c>
      <c r="F28589" s="2">
        <v>1.80462522353226E-2</v>
      </c>
    </row>
    <row r="28590" spans="1:6" x14ac:dyDescent="0.25">
      <c r="A28590" s="1" t="str">
        <f t="shared" si="1024"/>
        <v>38860</v>
      </c>
      <c r="B28590" s="1" t="str">
        <f>"04069"</f>
        <v>04069</v>
      </c>
      <c r="C28590" s="2">
        <v>2.2461488411048601E-3</v>
      </c>
      <c r="D28590" s="2">
        <v>4.7938638542665299E-4</v>
      </c>
      <c r="E28590" s="2">
        <v>6.2660567704743398E-4</v>
      </c>
      <c r="F28590" s="2">
        <v>2.0337647379747199E-3</v>
      </c>
    </row>
    <row r="28591" spans="1:6" x14ac:dyDescent="0.25">
      <c r="A28591" s="1" t="str">
        <f t="shared" si="1024"/>
        <v>38860</v>
      </c>
      <c r="B28591" s="1" t="str">
        <f>"04087"</f>
        <v>04087</v>
      </c>
      <c r="C28591" s="2">
        <v>3.1252271240642402E-3</v>
      </c>
      <c r="D28591" s="2">
        <v>2.31703419622882E-3</v>
      </c>
      <c r="E28591" s="2">
        <v>3.7596340622845999E-4</v>
      </c>
      <c r="F28591" s="2">
        <v>2.9309247416118502E-3</v>
      </c>
    </row>
    <row r="28592" spans="1:6" x14ac:dyDescent="0.25">
      <c r="A28592" s="1" t="str">
        <f t="shared" si="1024"/>
        <v>38860</v>
      </c>
      <c r="B28592" s="1" t="str">
        <f>"04005"</f>
        <v>04005</v>
      </c>
      <c r="C28592" s="2">
        <v>4.6227750494048897E-2</v>
      </c>
      <c r="D28592" s="2">
        <v>5.2253116011505202E-2</v>
      </c>
      <c r="E28592" s="2">
        <v>9.6685255968418995E-2</v>
      </c>
      <c r="F28592" s="2">
        <v>4.9125572091049598E-2</v>
      </c>
    </row>
    <row r="28593" spans="1:6" x14ac:dyDescent="0.25">
      <c r="A28593" s="1" t="str">
        <f t="shared" si="1024"/>
        <v>38860</v>
      </c>
      <c r="B28593" s="1" t="str">
        <f>"04008"</f>
        <v>04008</v>
      </c>
      <c r="C28593" s="2">
        <v>4.7553289794731697E-3</v>
      </c>
      <c r="D28593" s="2">
        <v>1.4381591562799599E-3</v>
      </c>
      <c r="E28593" s="2">
        <v>6.8926624475217698E-4</v>
      </c>
      <c r="F28593" s="2">
        <v>4.3069742066498898E-3</v>
      </c>
    </row>
    <row r="28594" spans="1:6" x14ac:dyDescent="0.25">
      <c r="A28594" s="1" t="str">
        <f t="shared" si="1024"/>
        <v>38860</v>
      </c>
      <c r="B28594" s="1" t="str">
        <f>"04030"</f>
        <v>04030</v>
      </c>
      <c r="C28594" s="2">
        <v>2.8379692599476E-3</v>
      </c>
      <c r="D28594" s="2">
        <v>1.7577500798977299E-3</v>
      </c>
      <c r="E28594" s="2">
        <v>5.0128454163794701E-4</v>
      </c>
      <c r="F28594" s="2">
        <v>2.6429848755796601E-3</v>
      </c>
    </row>
    <row r="28595" spans="1:6" x14ac:dyDescent="0.25">
      <c r="A28595" s="1" t="str">
        <f t="shared" si="1024"/>
        <v>38860</v>
      </c>
      <c r="B28595" s="1" t="str">
        <f>"04042"</f>
        <v>04042</v>
      </c>
      <c r="C28595" s="2">
        <v>6.6276965034142103E-3</v>
      </c>
      <c r="D28595" s="2">
        <v>1.6379034835410601E-3</v>
      </c>
      <c r="E28595" s="2">
        <v>1.69183532802807E-3</v>
      </c>
      <c r="F28595" s="2">
        <v>6.0103658351771498E-3</v>
      </c>
    </row>
    <row r="28596" spans="1:6" x14ac:dyDescent="0.25">
      <c r="A28596" s="1" t="str">
        <f t="shared" si="1024"/>
        <v>38860</v>
      </c>
      <c r="B28596" s="1" t="str">
        <f>"04024"</f>
        <v>04024</v>
      </c>
      <c r="C28596" s="2">
        <v>6.4719542879292796E-4</v>
      </c>
      <c r="D28596" s="2">
        <v>2.3969319271332601E-4</v>
      </c>
      <c r="E28596" s="2">
        <v>6.2660567704743404E-5</v>
      </c>
      <c r="F28596" s="2">
        <v>5.8800351589731101E-4</v>
      </c>
    </row>
    <row r="28597" spans="1:6" x14ac:dyDescent="0.25">
      <c r="A28597" s="1" t="str">
        <f t="shared" si="1024"/>
        <v>38860</v>
      </c>
      <c r="B28597" s="1" t="str">
        <f>"04020"</f>
        <v>04020</v>
      </c>
      <c r="C28597" s="2">
        <v>2.1630863261795702E-3</v>
      </c>
      <c r="D28597" s="2">
        <v>2.0773410035154999E-3</v>
      </c>
      <c r="E28597" s="2">
        <v>1.0652296509806301E-3</v>
      </c>
      <c r="F28597" s="2">
        <v>2.10347649501409E-3</v>
      </c>
    </row>
    <row r="28598" spans="1:6" x14ac:dyDescent="0.25">
      <c r="A28598" s="1" t="str">
        <f t="shared" ref="A28598:A28629" si="1025">"38860"</f>
        <v>38860</v>
      </c>
      <c r="B28598" s="1" t="str">
        <f>"04050"</f>
        <v>04050</v>
      </c>
      <c r="C28598" s="2">
        <v>1.40167993936436E-3</v>
      </c>
      <c r="D28598" s="2">
        <v>9.1882390540108595E-4</v>
      </c>
      <c r="E28598" s="2">
        <v>6.2660567704743404E-5</v>
      </c>
      <c r="F28598" s="2">
        <v>1.3002758160821899E-3</v>
      </c>
    </row>
    <row r="28599" spans="1:6" x14ac:dyDescent="0.25">
      <c r="A28599" s="1" t="str">
        <f t="shared" si="1025"/>
        <v>38860</v>
      </c>
      <c r="B28599" s="1" t="str">
        <f>"04260"</f>
        <v>04260</v>
      </c>
      <c r="C28599" s="2">
        <v>8.0709077002412196E-3</v>
      </c>
      <c r="D28599" s="2">
        <v>6.0322786832853904E-3</v>
      </c>
      <c r="E28599" s="2">
        <v>2.1931198696660101E-3</v>
      </c>
      <c r="F28599" s="2">
        <v>7.6319219228321101E-3</v>
      </c>
    </row>
    <row r="28600" spans="1:6" x14ac:dyDescent="0.25">
      <c r="A28600" s="1" t="str">
        <f t="shared" si="1025"/>
        <v>38860</v>
      </c>
      <c r="B28600" s="1" t="str">
        <f>"04345"</f>
        <v>04345</v>
      </c>
      <c r="C28600" s="2">
        <v>1.7304690609436499E-5</v>
      </c>
      <c r="D28600" s="2">
        <v>0</v>
      </c>
      <c r="E28600" s="2">
        <v>0</v>
      </c>
      <c r="F28600" s="2">
        <v>1.5154729791167801E-5</v>
      </c>
    </row>
    <row r="28601" spans="1:6" x14ac:dyDescent="0.25">
      <c r="A28601" s="1" t="str">
        <f t="shared" si="1025"/>
        <v>38860</v>
      </c>
      <c r="B28601" s="1" t="str">
        <f>"04004"</f>
        <v>04004</v>
      </c>
      <c r="C28601" s="2">
        <v>0</v>
      </c>
      <c r="D28601" s="2">
        <v>0</v>
      </c>
      <c r="E28601" s="2">
        <v>6.2660567704743404E-5</v>
      </c>
      <c r="F28601" s="2">
        <v>3.0309459582335601E-6</v>
      </c>
    </row>
    <row r="28602" spans="1:6" x14ac:dyDescent="0.25">
      <c r="A28602" s="1" t="str">
        <f t="shared" si="1025"/>
        <v>38860</v>
      </c>
      <c r="B28602" s="1" t="str">
        <f>"03906"</f>
        <v>03906</v>
      </c>
      <c r="C28602" s="2">
        <v>6.4684933498073902E-3</v>
      </c>
      <c r="D28602" s="2">
        <v>1.3582614253755099E-3</v>
      </c>
      <c r="E28602" s="2">
        <v>3.8849551976940901E-3</v>
      </c>
      <c r="F28602" s="2">
        <v>5.9558088079289502E-3</v>
      </c>
    </row>
    <row r="28603" spans="1:6" x14ac:dyDescent="0.25">
      <c r="A28603" s="1" t="str">
        <f t="shared" si="1025"/>
        <v>38860</v>
      </c>
      <c r="B28603" s="1" t="str">
        <f>"04098"</f>
        <v>04098</v>
      </c>
      <c r="C28603" s="2">
        <v>3.47478187437486E-3</v>
      </c>
      <c r="D28603" s="2">
        <v>6.3119207414509401E-3</v>
      </c>
      <c r="E28603" s="2">
        <v>6.2660567704743404E-5</v>
      </c>
      <c r="F28603" s="2">
        <v>3.5249901494256298E-3</v>
      </c>
    </row>
    <row r="28604" spans="1:6" x14ac:dyDescent="0.25">
      <c r="A28604" s="1" t="str">
        <f t="shared" si="1025"/>
        <v>38860</v>
      </c>
      <c r="B28604" s="1" t="str">
        <f>"04084"</f>
        <v>04084</v>
      </c>
      <c r="C28604" s="2">
        <v>1.22067287558965E-2</v>
      </c>
      <c r="D28604" s="2">
        <v>4.0747842761265501E-3</v>
      </c>
      <c r="E28604" s="2">
        <v>3.38367065605614E-3</v>
      </c>
      <c r="F28604" s="2">
        <v>1.11629739641742E-2</v>
      </c>
    </row>
    <row r="28605" spans="1:6" x14ac:dyDescent="0.25">
      <c r="A28605" s="1" t="str">
        <f t="shared" si="1025"/>
        <v>38860</v>
      </c>
      <c r="B28605" s="1" t="str">
        <f>"04066"</f>
        <v>04066</v>
      </c>
      <c r="C28605" s="2">
        <v>1.5124299592647499E-3</v>
      </c>
      <c r="D28605" s="2">
        <v>3.1959092361776899E-4</v>
      </c>
      <c r="E28605" s="2">
        <v>6.8926624475217698E-4</v>
      </c>
      <c r="F28605" s="2">
        <v>1.3821113569544999E-3</v>
      </c>
    </row>
    <row r="28606" spans="1:6" x14ac:dyDescent="0.25">
      <c r="A28606" s="1" t="str">
        <f t="shared" si="1025"/>
        <v>38860</v>
      </c>
      <c r="B28606" s="1" t="str">
        <f>"04093"</f>
        <v>04093</v>
      </c>
      <c r="C28606" s="2">
        <v>1.15180020696409E-2</v>
      </c>
      <c r="D28606" s="2">
        <v>3.4755512943432398E-3</v>
      </c>
      <c r="E28606" s="2">
        <v>1.69183532802807E-3</v>
      </c>
      <c r="F28606" s="2">
        <v>1.0432515988239899E-2</v>
      </c>
    </row>
    <row r="28607" spans="1:6" x14ac:dyDescent="0.25">
      <c r="A28607" s="1" t="str">
        <f t="shared" si="1025"/>
        <v>38860</v>
      </c>
      <c r="B28607" s="1" t="str">
        <f>"03910"</f>
        <v>03910</v>
      </c>
      <c r="C28607" s="2">
        <v>6.3162120724443499E-3</v>
      </c>
      <c r="D28607" s="2">
        <v>3.3557046979865702E-3</v>
      </c>
      <c r="E28607" s="2">
        <v>1.2532113540948599E-4</v>
      </c>
      <c r="F28607" s="2">
        <v>5.7921377261843402E-3</v>
      </c>
    </row>
    <row r="28608" spans="1:6" x14ac:dyDescent="0.25">
      <c r="A28608" s="1" t="str">
        <f t="shared" si="1025"/>
        <v>38860</v>
      </c>
      <c r="B28608" s="1" t="str">
        <f>"04047"</f>
        <v>04047</v>
      </c>
      <c r="C28608" s="2">
        <v>3.0006333516763E-3</v>
      </c>
      <c r="D28608" s="2">
        <v>4.3943751997443199E-4</v>
      </c>
      <c r="E28608" s="2">
        <v>5.6394510934269001E-4</v>
      </c>
      <c r="F28608" s="2">
        <v>2.6884490649531699E-3</v>
      </c>
    </row>
    <row r="28609" spans="1:6" x14ac:dyDescent="0.25">
      <c r="A28609" s="1" t="str">
        <f t="shared" si="1025"/>
        <v>38860</v>
      </c>
      <c r="B28609" s="1" t="str">
        <f>"04062"</f>
        <v>04062</v>
      </c>
      <c r="C28609" s="2">
        <v>3.2937748106001599E-2</v>
      </c>
      <c r="D28609" s="2">
        <v>3.6313518696068997E-2</v>
      </c>
      <c r="E28609" s="2">
        <v>1.8672849176013501E-2</v>
      </c>
      <c r="F28609" s="2">
        <v>3.2503864456096702E-2</v>
      </c>
    </row>
    <row r="28610" spans="1:6" x14ac:dyDescent="0.25">
      <c r="A28610" s="1" t="str">
        <f t="shared" si="1025"/>
        <v>38860</v>
      </c>
      <c r="B28610" s="1" t="str">
        <f>"04032"</f>
        <v>04032</v>
      </c>
      <c r="C28610" s="2">
        <v>1.48820339241154E-2</v>
      </c>
      <c r="D28610" s="2">
        <v>2.2131671460530501E-2</v>
      </c>
      <c r="E28610" s="2">
        <v>9.9630302650542003E-3</v>
      </c>
      <c r="F28610" s="2">
        <v>1.5194132088624799E-2</v>
      </c>
    </row>
    <row r="28611" spans="1:6" x14ac:dyDescent="0.25">
      <c r="A28611" s="1" t="str">
        <f t="shared" si="1025"/>
        <v>38860</v>
      </c>
      <c r="B28611" s="1" t="str">
        <f>"04046"</f>
        <v>04046</v>
      </c>
      <c r="C28611" s="2">
        <v>1.32900023880473E-2</v>
      </c>
      <c r="D28611" s="2">
        <v>5.9923298178331703E-3</v>
      </c>
      <c r="E28611" s="2">
        <v>2.3184410050755E-3</v>
      </c>
      <c r="F28611" s="2">
        <v>1.2205619373806501E-2</v>
      </c>
    </row>
    <row r="28612" spans="1:6" x14ac:dyDescent="0.25">
      <c r="A28612" s="1" t="str">
        <f t="shared" si="1025"/>
        <v>38860</v>
      </c>
      <c r="B28612" s="1" t="str">
        <f>"04106"</f>
        <v>04106</v>
      </c>
      <c r="C28612" s="2">
        <v>4.3064453050643901E-2</v>
      </c>
      <c r="D28612" s="2">
        <v>5.9683604985618401E-2</v>
      </c>
      <c r="E28612" s="2">
        <v>5.7710382856068602E-2</v>
      </c>
      <c r="F28612" s="2">
        <v>4.5033795047434301E-2</v>
      </c>
    </row>
    <row r="28613" spans="1:6" x14ac:dyDescent="0.25">
      <c r="A28613" s="1" t="str">
        <f t="shared" si="1025"/>
        <v>38860</v>
      </c>
      <c r="B28613" s="1" t="str">
        <f>"04102"</f>
        <v>04102</v>
      </c>
      <c r="C28613" s="2">
        <v>3.04804820394616E-2</v>
      </c>
      <c r="D28613" s="2">
        <v>3.5594439117928998E-2</v>
      </c>
      <c r="E28613" s="2">
        <v>8.86020427345071E-2</v>
      </c>
      <c r="F28613" s="2">
        <v>3.3679871487891297E-2</v>
      </c>
    </row>
    <row r="28614" spans="1:6" x14ac:dyDescent="0.25">
      <c r="A28614" s="1" t="str">
        <f t="shared" si="1025"/>
        <v>38860</v>
      </c>
      <c r="B28614" s="1" t="str">
        <f>"04014"</f>
        <v>04014</v>
      </c>
      <c r="C28614" s="2">
        <v>0</v>
      </c>
      <c r="D28614" s="2">
        <v>0</v>
      </c>
      <c r="E28614" s="2">
        <v>6.2660567704743404E-5</v>
      </c>
      <c r="F28614" s="2">
        <v>3.0309459582335601E-6</v>
      </c>
    </row>
    <row r="28615" spans="1:6" x14ac:dyDescent="0.25">
      <c r="A28615" s="1" t="str">
        <f t="shared" si="1025"/>
        <v>38860</v>
      </c>
      <c r="B28615" s="1" t="str">
        <f>"04122"</f>
        <v>04122</v>
      </c>
      <c r="C28615" s="2">
        <v>0</v>
      </c>
      <c r="D28615" s="2">
        <v>3.9948865452221103E-5</v>
      </c>
      <c r="E28615" s="2">
        <v>0</v>
      </c>
      <c r="F28615" s="2">
        <v>3.0309459582335601E-6</v>
      </c>
    </row>
    <row r="28616" spans="1:6" x14ac:dyDescent="0.25">
      <c r="A28616" s="1" t="str">
        <f t="shared" si="1025"/>
        <v>38860</v>
      </c>
      <c r="B28616" s="1" t="str">
        <f>"04222"</f>
        <v>04222</v>
      </c>
      <c r="C28616" s="2">
        <v>8.6523453047182897E-5</v>
      </c>
      <c r="D28616" s="2">
        <v>0</v>
      </c>
      <c r="E28616" s="2">
        <v>0</v>
      </c>
      <c r="F28616" s="2">
        <v>7.5773648955839093E-5</v>
      </c>
    </row>
    <row r="28617" spans="1:6" x14ac:dyDescent="0.25">
      <c r="A28617" s="1" t="str">
        <f t="shared" si="1025"/>
        <v>38860</v>
      </c>
      <c r="B28617" s="1" t="str">
        <f>"04082"</f>
        <v>04082</v>
      </c>
      <c r="C28617" s="2">
        <v>0</v>
      </c>
      <c r="D28617" s="2">
        <v>0</v>
      </c>
      <c r="E28617" s="2">
        <v>6.2660567704743404E-5</v>
      </c>
      <c r="F28617" s="2">
        <v>3.0309459582335601E-6</v>
      </c>
    </row>
    <row r="28618" spans="1:6" x14ac:dyDescent="0.25">
      <c r="A28618" s="1" t="str">
        <f t="shared" si="1025"/>
        <v>38860</v>
      </c>
      <c r="B28618" s="1" t="str">
        <f>"03902"</f>
        <v>03902</v>
      </c>
      <c r="C28618" s="2">
        <v>6.0254932702058202E-3</v>
      </c>
      <c r="D28618" s="2">
        <v>3.3956535634387902E-3</v>
      </c>
      <c r="E28618" s="2">
        <v>3.1330283852371699E-4</v>
      </c>
      <c r="F28618" s="2">
        <v>5.5496620495256504E-3</v>
      </c>
    </row>
    <row r="28619" spans="1:6" x14ac:dyDescent="0.25">
      <c r="A28619" s="1" t="str">
        <f t="shared" si="1025"/>
        <v>38860</v>
      </c>
      <c r="B28619" s="1" t="str">
        <f>"03908"</f>
        <v>03908</v>
      </c>
      <c r="C28619" s="2">
        <v>1.06423847248035E-2</v>
      </c>
      <c r="D28619" s="2">
        <v>3.75519335250878E-3</v>
      </c>
      <c r="E28619" s="2">
        <v>5.8900933642458799E-3</v>
      </c>
      <c r="F28619" s="2">
        <v>9.8899766617161194E-3</v>
      </c>
    </row>
    <row r="28620" spans="1:6" x14ac:dyDescent="0.25">
      <c r="A28620" s="1" t="str">
        <f t="shared" si="1025"/>
        <v>38860</v>
      </c>
      <c r="B28620" s="1" t="str">
        <f>"04002"</f>
        <v>04002</v>
      </c>
      <c r="C28620" s="2">
        <v>1.13761036066436E-2</v>
      </c>
      <c r="D28620" s="2">
        <v>4.0348354106743301E-3</v>
      </c>
      <c r="E28620" s="2">
        <v>2.0677987342565302E-3</v>
      </c>
      <c r="F28620" s="2">
        <v>1.0368866123117E-2</v>
      </c>
    </row>
    <row r="28621" spans="1:6" x14ac:dyDescent="0.25">
      <c r="A28621" s="1" t="str">
        <f t="shared" si="1025"/>
        <v>38860</v>
      </c>
      <c r="B28621" s="1" t="str">
        <f>"03903"</f>
        <v>03903</v>
      </c>
      <c r="C28621" s="2">
        <v>1.19367755823893E-2</v>
      </c>
      <c r="D28621" s="2">
        <v>1.21444550974752E-2</v>
      </c>
      <c r="E28621" s="2">
        <v>4.4489003070367801E-3</v>
      </c>
      <c r="F28621" s="2">
        <v>1.15903373442851E-2</v>
      </c>
    </row>
    <row r="28622" spans="1:6" x14ac:dyDescent="0.25">
      <c r="A28622" s="1" t="str">
        <f t="shared" si="1025"/>
        <v>38860</v>
      </c>
      <c r="B28622" s="1" t="str">
        <f>"04029"</f>
        <v>04029</v>
      </c>
      <c r="C28622" s="2">
        <v>3.4609381218873099E-3</v>
      </c>
      <c r="D28622" s="2">
        <v>6.3918184723553797E-4</v>
      </c>
      <c r="E28622" s="2">
        <v>5.6394510934269001E-4</v>
      </c>
      <c r="F28622" s="2">
        <v>3.1067196071893999E-3</v>
      </c>
    </row>
    <row r="28623" spans="1:6" x14ac:dyDescent="0.25">
      <c r="A28623" s="1" t="str">
        <f t="shared" si="1025"/>
        <v>38860</v>
      </c>
      <c r="B28623" s="1" t="str">
        <f>"04357"</f>
        <v>04357</v>
      </c>
      <c r="C28623" s="2">
        <v>5.8974385596959897E-3</v>
      </c>
      <c r="D28623" s="2">
        <v>3.9549376797698901E-3</v>
      </c>
      <c r="E28623" s="2">
        <v>4.5115608747415201E-3</v>
      </c>
      <c r="F28623" s="2">
        <v>5.6830236716879298E-3</v>
      </c>
    </row>
    <row r="28624" spans="1:6" x14ac:dyDescent="0.25">
      <c r="A28624" s="1" t="str">
        <f t="shared" si="1025"/>
        <v>38860</v>
      </c>
      <c r="B28624" s="1" t="str">
        <f>"04103"</f>
        <v>04103</v>
      </c>
      <c r="C28624" s="2">
        <v>5.0412024683410599E-2</v>
      </c>
      <c r="D28624" s="2">
        <v>4.9696388622563099E-2</v>
      </c>
      <c r="E28624" s="2">
        <v>6.9427909016855596E-2</v>
      </c>
      <c r="F28624" s="2">
        <v>5.1277543721395397E-2</v>
      </c>
    </row>
    <row r="28625" spans="1:6" x14ac:dyDescent="0.25">
      <c r="A28625" s="1" t="str">
        <f t="shared" si="1025"/>
        <v>38860</v>
      </c>
      <c r="B28625" s="1" t="str">
        <f>"04579"</f>
        <v>04579</v>
      </c>
      <c r="C28625" s="2">
        <v>4.8556961850079001E-3</v>
      </c>
      <c r="D28625" s="2">
        <v>7.5902844359220097E-4</v>
      </c>
      <c r="E28625" s="2">
        <v>3.7596340622845999E-4</v>
      </c>
      <c r="F28625" s="2">
        <v>4.3281908283575301E-3</v>
      </c>
    </row>
    <row r="28626" spans="1:6" x14ac:dyDescent="0.25">
      <c r="A28626" s="1" t="str">
        <f t="shared" si="1025"/>
        <v>38860</v>
      </c>
      <c r="B28626" s="1" t="str">
        <f>"04006"</f>
        <v>04006</v>
      </c>
      <c r="C28626" s="2">
        <v>0</v>
      </c>
      <c r="D28626" s="2">
        <v>0</v>
      </c>
      <c r="E28626" s="2">
        <v>6.2660567704743404E-5</v>
      </c>
      <c r="F28626" s="2">
        <v>3.0309459582335601E-6</v>
      </c>
    </row>
    <row r="28627" spans="1:6" x14ac:dyDescent="0.25">
      <c r="A28627" s="1" t="str">
        <f t="shared" si="1025"/>
        <v>38860</v>
      </c>
      <c r="B28627" s="1" t="str">
        <f>"04077"</f>
        <v>04077</v>
      </c>
      <c r="C28627" s="2">
        <v>0</v>
      </c>
      <c r="D28627" s="2">
        <v>0</v>
      </c>
      <c r="E28627" s="2">
        <v>6.2660567704743404E-5</v>
      </c>
      <c r="F28627" s="2">
        <v>3.0309459582335601E-6</v>
      </c>
    </row>
    <row r="28628" spans="1:6" x14ac:dyDescent="0.25">
      <c r="A28628" s="1" t="str">
        <f t="shared" si="1025"/>
        <v>38860</v>
      </c>
      <c r="B28628" s="1" t="str">
        <f>"04124"</f>
        <v>04124</v>
      </c>
      <c r="C28628" s="2">
        <v>0</v>
      </c>
      <c r="D28628" s="2">
        <v>3.9948865452221103E-5</v>
      </c>
      <c r="E28628" s="2">
        <v>0</v>
      </c>
      <c r="F28628" s="2">
        <v>3.0309459582335601E-6</v>
      </c>
    </row>
    <row r="28629" spans="1:6" x14ac:dyDescent="0.25">
      <c r="A28629" s="1" t="str">
        <f t="shared" si="1025"/>
        <v>38860</v>
      </c>
      <c r="B28629" s="1" t="str">
        <f>"04072"</f>
        <v>04072</v>
      </c>
      <c r="C28629" s="2">
        <v>3.8212217803757803E-2</v>
      </c>
      <c r="D28629" s="2">
        <v>2.88031319910514E-2</v>
      </c>
      <c r="E28629" s="2">
        <v>3.6217808133341599E-2</v>
      </c>
      <c r="F28629" s="2">
        <v>3.7401873124602102E-2</v>
      </c>
    </row>
    <row r="28630" spans="1:6" x14ac:dyDescent="0.25">
      <c r="A28630" s="1" t="str">
        <f t="shared" ref="A28630:A28639" si="1026">"38860"</f>
        <v>38860</v>
      </c>
      <c r="B28630" s="1" t="str">
        <f>"04076"</f>
        <v>04076</v>
      </c>
      <c r="C28630" s="2">
        <v>4.6653445883041E-3</v>
      </c>
      <c r="D28630" s="2">
        <v>1.4381591562799599E-3</v>
      </c>
      <c r="E28630" s="2">
        <v>3.7596340622845999E-4</v>
      </c>
      <c r="F28630" s="2">
        <v>4.2130148819446503E-3</v>
      </c>
    </row>
    <row r="28631" spans="1:6" x14ac:dyDescent="0.25">
      <c r="A28631" s="1" t="str">
        <f t="shared" si="1026"/>
        <v>38860</v>
      </c>
      <c r="B28631" s="1" t="str">
        <f>"04091"</f>
        <v>04091</v>
      </c>
      <c r="C28631" s="2">
        <v>1.3497658675360501E-3</v>
      </c>
      <c r="D28631" s="2">
        <v>3.5953978906998999E-4</v>
      </c>
      <c r="E28631" s="2">
        <v>2.5064227081897302E-4</v>
      </c>
      <c r="F28631" s="2">
        <v>1.2214712211681201E-3</v>
      </c>
    </row>
    <row r="28632" spans="1:6" x14ac:dyDescent="0.25">
      <c r="A28632" s="1" t="str">
        <f t="shared" si="1026"/>
        <v>38860</v>
      </c>
      <c r="B28632" s="1" t="str">
        <f>"04011"</f>
        <v>04011</v>
      </c>
      <c r="C28632" s="2">
        <v>4.1811593450520601E-2</v>
      </c>
      <c r="D28632" s="2">
        <v>5.1693831895174097E-2</v>
      </c>
      <c r="E28632" s="2">
        <v>3.7784322325960198E-2</v>
      </c>
      <c r="F28632" s="2">
        <v>4.2366562604188703E-2</v>
      </c>
    </row>
    <row r="28633" spans="1:6" x14ac:dyDescent="0.25">
      <c r="A28633" s="1" t="str">
        <f t="shared" si="1026"/>
        <v>38860</v>
      </c>
      <c r="B28633" s="1" t="str">
        <f>"04038"</f>
        <v>04038</v>
      </c>
      <c r="C28633" s="2">
        <v>2.6413879746243998E-2</v>
      </c>
      <c r="D28633" s="2">
        <v>1.5979546180888399E-2</v>
      </c>
      <c r="E28633" s="2">
        <v>1.1780186728491701E-2</v>
      </c>
      <c r="F28633" s="2">
        <v>2.49143757766799E-2</v>
      </c>
    </row>
    <row r="28634" spans="1:6" x14ac:dyDescent="0.25">
      <c r="A28634" s="1" t="str">
        <f t="shared" si="1026"/>
        <v>38860</v>
      </c>
      <c r="B28634" s="1" t="str">
        <f>"04017"</f>
        <v>04017</v>
      </c>
      <c r="C28634" s="2">
        <v>1.62317997916515E-3</v>
      </c>
      <c r="D28634" s="2">
        <v>5.9923298178331697E-4</v>
      </c>
      <c r="E28634" s="2">
        <v>1.2532113540948599E-4</v>
      </c>
      <c r="F28634" s="2">
        <v>1.4730397357015099E-3</v>
      </c>
    </row>
    <row r="28635" spans="1:6" x14ac:dyDescent="0.25">
      <c r="A28635" s="1" t="str">
        <f t="shared" si="1026"/>
        <v>38860</v>
      </c>
      <c r="B28635" s="1" t="str">
        <f>"04049"</f>
        <v>04049</v>
      </c>
      <c r="C28635" s="2">
        <v>4.9526024524207497E-3</v>
      </c>
      <c r="D28635" s="2">
        <v>4.7938638542665299E-4</v>
      </c>
      <c r="E28635" s="2">
        <v>7.5192681245691997E-4</v>
      </c>
      <c r="F28635" s="2">
        <v>4.4100263692298299E-3</v>
      </c>
    </row>
    <row r="28636" spans="1:6" x14ac:dyDescent="0.25">
      <c r="A28636" s="1" t="str">
        <f t="shared" si="1026"/>
        <v>38860</v>
      </c>
      <c r="B28636" s="1" t="str">
        <f>"04104"</f>
        <v>04104</v>
      </c>
      <c r="C28636" s="2">
        <v>8.4689155842582603E-3</v>
      </c>
      <c r="D28636" s="2">
        <v>3.1399808245445797E-2</v>
      </c>
      <c r="E28636" s="2">
        <v>6.2660567704743404E-5</v>
      </c>
      <c r="F28636" s="2">
        <v>9.8020792289273406E-3</v>
      </c>
    </row>
    <row r="28637" spans="1:6" x14ac:dyDescent="0.25">
      <c r="A28637" s="1" t="str">
        <f t="shared" si="1026"/>
        <v>38860</v>
      </c>
      <c r="B28637" s="1" t="str">
        <f>"04110"</f>
        <v>04110</v>
      </c>
      <c r="C28637" s="2">
        <v>2.9452583417261002E-3</v>
      </c>
      <c r="D28637" s="2">
        <v>7.1907957813997997E-4</v>
      </c>
      <c r="E28637" s="2">
        <v>1.44119305720909E-3</v>
      </c>
      <c r="F28637" s="2">
        <v>2.70360379474433E-3</v>
      </c>
    </row>
    <row r="28638" spans="1:6" x14ac:dyDescent="0.25">
      <c r="A28638" s="1" t="str">
        <f t="shared" si="1026"/>
        <v>38860</v>
      </c>
      <c r="B28638" s="1" t="str">
        <f>"04013"</f>
        <v>04013</v>
      </c>
      <c r="C28638" s="2">
        <v>0</v>
      </c>
      <c r="D28638" s="2">
        <v>0</v>
      </c>
      <c r="E28638" s="2">
        <v>6.2660567704743404E-5</v>
      </c>
      <c r="F28638" s="2">
        <v>3.0309459582335601E-6</v>
      </c>
    </row>
    <row r="28639" spans="1:6" x14ac:dyDescent="0.25">
      <c r="A28639" s="1" t="str">
        <f t="shared" si="1026"/>
        <v>38860</v>
      </c>
      <c r="B28639" s="1" t="str">
        <f>"04063"</f>
        <v>04063</v>
      </c>
      <c r="C28639" s="2">
        <v>2.4226566853211199E-5</v>
      </c>
      <c r="D28639" s="2">
        <v>0</v>
      </c>
      <c r="E28639" s="2">
        <v>6.2660567704743404E-5</v>
      </c>
      <c r="F28639" s="2">
        <v>2.4247567665868501E-5</v>
      </c>
    </row>
    <row r="28640" spans="1:6" x14ac:dyDescent="0.25">
      <c r="A28640" s="1" t="str">
        <f t="shared" ref="A28640:A28671" si="1027">"38900"</f>
        <v>38900</v>
      </c>
      <c r="B28640" s="1" t="str">
        <f>"97266"</f>
        <v>97266</v>
      </c>
      <c r="C28640" s="2">
        <v>1.1964975913366E-2</v>
      </c>
      <c r="D28640" s="2">
        <v>9.2147328264782502E-3</v>
      </c>
      <c r="E28640" s="2">
        <v>1.8387637757546701E-2</v>
      </c>
      <c r="F28640" s="2">
        <v>1.19760479041916E-2</v>
      </c>
    </row>
    <row r="28641" spans="1:6" x14ac:dyDescent="0.25">
      <c r="A28641" s="1" t="str">
        <f t="shared" si="1027"/>
        <v>38900</v>
      </c>
      <c r="B28641" s="1" t="str">
        <f>"97215"</f>
        <v>97215</v>
      </c>
      <c r="C28641" s="2">
        <v>7.2186321908232704E-3</v>
      </c>
      <c r="D28641" s="2">
        <v>4.19991224063974E-3</v>
      </c>
      <c r="E28641" s="2">
        <v>9.8227120268327694E-3</v>
      </c>
      <c r="F28641" s="2">
        <v>7.0617071715053199E-3</v>
      </c>
    </row>
    <row r="28642" spans="1:6" x14ac:dyDescent="0.25">
      <c r="A28642" s="1" t="str">
        <f t="shared" si="1027"/>
        <v>38900</v>
      </c>
      <c r="B28642" s="1" t="str">
        <f>"97267"</f>
        <v>97267</v>
      </c>
      <c r="C28642" s="2">
        <v>1.1664596327058799E-2</v>
      </c>
      <c r="D28642" s="2">
        <v>5.90136922512066E-3</v>
      </c>
      <c r="E28642" s="2">
        <v>6.2290368950646798E-3</v>
      </c>
      <c r="F28642" s="2">
        <v>1.09691851397382E-2</v>
      </c>
    </row>
    <row r="28643" spans="1:6" x14ac:dyDescent="0.25">
      <c r="A28643" s="1" t="str">
        <f t="shared" si="1027"/>
        <v>38900</v>
      </c>
      <c r="B28643" s="1" t="str">
        <f>"97292"</f>
        <v>97292</v>
      </c>
      <c r="C28643" s="2">
        <v>9.0200440614436302E-4</v>
      </c>
      <c r="D28643" s="2">
        <v>4.5043834904942197E-3</v>
      </c>
      <c r="E28643" s="2">
        <v>1.9964861843155999E-5</v>
      </c>
      <c r="F28643" s="2">
        <v>1.1739139018437799E-3</v>
      </c>
    </row>
    <row r="28644" spans="1:6" x14ac:dyDescent="0.25">
      <c r="A28644" s="1" t="str">
        <f t="shared" si="1027"/>
        <v>38900</v>
      </c>
      <c r="B28644" s="1" t="str">
        <f>"97148"</f>
        <v>97148</v>
      </c>
      <c r="C28644" s="2">
        <v>1.7356226816885301E-3</v>
      </c>
      <c r="D28644" s="2">
        <v>8.5968352900088604E-4</v>
      </c>
      <c r="E28644" s="2">
        <v>5.9894585529468098E-5</v>
      </c>
      <c r="F28644" s="2">
        <v>1.5976163321341E-3</v>
      </c>
    </row>
    <row r="28645" spans="1:6" x14ac:dyDescent="0.25">
      <c r="A28645" s="1" t="str">
        <f t="shared" si="1027"/>
        <v>38900</v>
      </c>
      <c r="B28645" s="1" t="str">
        <f>"97205"</f>
        <v>97205</v>
      </c>
      <c r="C28645" s="2">
        <v>5.40510125908388E-3</v>
      </c>
      <c r="D28645" s="2">
        <v>1.88861725277382E-2</v>
      </c>
      <c r="E28645" s="2">
        <v>7.4468934674972002E-3</v>
      </c>
      <c r="F28645" s="2">
        <v>6.6258555675866096E-3</v>
      </c>
    </row>
    <row r="28646" spans="1:6" x14ac:dyDescent="0.25">
      <c r="A28646" s="1" t="str">
        <f t="shared" si="1027"/>
        <v>38900</v>
      </c>
      <c r="B28646" s="1" t="str">
        <f>"97117"</f>
        <v>97117</v>
      </c>
      <c r="C28646" s="2">
        <v>2.34590397375357E-4</v>
      </c>
      <c r="D28646" s="2">
        <v>8.0595330843833093E-5</v>
      </c>
      <c r="E28646" s="2">
        <v>1.9964861843155999E-5</v>
      </c>
      <c r="F28646" s="2">
        <v>2.13369861848709E-4</v>
      </c>
    </row>
    <row r="28647" spans="1:6" x14ac:dyDescent="0.25">
      <c r="A28647" s="1" t="str">
        <f t="shared" si="1027"/>
        <v>38900</v>
      </c>
      <c r="B28647" s="1" t="str">
        <f>"97119"</f>
        <v>97119</v>
      </c>
      <c r="C28647" s="2">
        <v>1.5070918148726801E-3</v>
      </c>
      <c r="D28647" s="2">
        <v>2.8656117633362799E-4</v>
      </c>
      <c r="E28647" s="2">
        <v>1.9964861843156E-4</v>
      </c>
      <c r="F28647" s="2">
        <v>1.3538735362143999E-3</v>
      </c>
    </row>
    <row r="28648" spans="1:6" x14ac:dyDescent="0.25">
      <c r="A28648" s="1" t="str">
        <f t="shared" si="1027"/>
        <v>38900</v>
      </c>
      <c r="B28648" s="1" t="str">
        <f>"97127"</f>
        <v>97127</v>
      </c>
      <c r="C28648" s="2">
        <v>2.0195549707627599E-3</v>
      </c>
      <c r="D28648" s="2">
        <v>8.0595330843833096E-4</v>
      </c>
      <c r="E28648" s="2">
        <v>2.1961348027471601E-4</v>
      </c>
      <c r="F28648" s="2">
        <v>1.8481930382197799E-3</v>
      </c>
    </row>
    <row r="28649" spans="1:6" x14ac:dyDescent="0.25">
      <c r="A28649" s="1" t="str">
        <f t="shared" si="1027"/>
        <v>38900</v>
      </c>
      <c r="B28649" s="1" t="str">
        <f>"98665"</f>
        <v>98665</v>
      </c>
      <c r="C28649" s="2">
        <v>1.15754346631117E-2</v>
      </c>
      <c r="D28649" s="2">
        <v>1.2178849994179199E-2</v>
      </c>
      <c r="E28649" s="2">
        <v>1.126018207954E-2</v>
      </c>
      <c r="F28649" s="2">
        <v>1.1614609988746799E-2</v>
      </c>
    </row>
    <row r="28650" spans="1:6" x14ac:dyDescent="0.25">
      <c r="A28650" s="1" t="str">
        <f t="shared" si="1027"/>
        <v>38900</v>
      </c>
      <c r="B28650" s="1" t="str">
        <f>"98629"</f>
        <v>98629</v>
      </c>
      <c r="C28650" s="2">
        <v>4.1646287888296796E-3</v>
      </c>
      <c r="D28650" s="2">
        <v>1.20892996265749E-3</v>
      </c>
      <c r="E28650" s="2">
        <v>4.5919182239258899E-4</v>
      </c>
      <c r="F28650" s="2">
        <v>3.7730777349688099E-3</v>
      </c>
    </row>
    <row r="28651" spans="1:6" x14ac:dyDescent="0.25">
      <c r="A28651" s="1" t="str">
        <f t="shared" si="1027"/>
        <v>38900</v>
      </c>
      <c r="B28651" s="1" t="str">
        <f>"98675"</f>
        <v>98675</v>
      </c>
      <c r="C28651" s="2">
        <v>2.6367614406101001E-3</v>
      </c>
      <c r="D28651" s="2">
        <v>1.2357950729387701E-3</v>
      </c>
      <c r="E28651" s="2">
        <v>4.3922696054943201E-4</v>
      </c>
      <c r="F28651" s="2">
        <v>2.4343906657899E-3</v>
      </c>
    </row>
    <row r="28652" spans="1:6" x14ac:dyDescent="0.25">
      <c r="A28652" s="1" t="str">
        <f t="shared" si="1027"/>
        <v>38900</v>
      </c>
      <c r="B28652" s="1" t="str">
        <f>"98684"</f>
        <v>98684</v>
      </c>
      <c r="C28652" s="2">
        <v>1.3132734016905999E-2</v>
      </c>
      <c r="D28652" s="2">
        <v>1.0289337237729301E-2</v>
      </c>
      <c r="E28652" s="2">
        <v>1.05614119150295E-2</v>
      </c>
      <c r="F28652" s="2">
        <v>1.2793839154053001E-2</v>
      </c>
    </row>
    <row r="28653" spans="1:6" x14ac:dyDescent="0.25">
      <c r="A28653" s="1" t="str">
        <f t="shared" si="1027"/>
        <v>38900</v>
      </c>
      <c r="B28653" s="1" t="str">
        <f>"97023"</f>
        <v>97023</v>
      </c>
      <c r="C28653" s="2">
        <v>6.0854999761947E-3</v>
      </c>
      <c r="D28653" s="2">
        <v>3.2238132337533199E-3</v>
      </c>
      <c r="E28653" s="2">
        <v>1.0980674013735801E-3</v>
      </c>
      <c r="F28653" s="2">
        <v>5.6531623539631303E-3</v>
      </c>
    </row>
    <row r="28654" spans="1:6" x14ac:dyDescent="0.25">
      <c r="A28654" s="1" t="str">
        <f t="shared" si="1027"/>
        <v>38900</v>
      </c>
      <c r="B28654" s="1" t="str">
        <f>"97030"</f>
        <v>97030</v>
      </c>
      <c r="C28654" s="2">
        <v>1.79682394033959E-2</v>
      </c>
      <c r="D28654" s="2">
        <v>1.9978687012510099E-2</v>
      </c>
      <c r="E28654" s="2">
        <v>1.1040568599265201E-2</v>
      </c>
      <c r="F28654" s="2">
        <v>1.78752310241297E-2</v>
      </c>
    </row>
    <row r="28655" spans="1:6" x14ac:dyDescent="0.25">
      <c r="A28655" s="1" t="str">
        <f t="shared" si="1027"/>
        <v>38900</v>
      </c>
      <c r="B28655" s="1" t="str">
        <f>"97034"</f>
        <v>97034</v>
      </c>
      <c r="C28655" s="2">
        <v>8.4357321860622104E-3</v>
      </c>
      <c r="D28655" s="2">
        <v>8.8117561722590807E-3</v>
      </c>
      <c r="E28655" s="2">
        <v>6.4885800990257102E-3</v>
      </c>
      <c r="F28655" s="2">
        <v>8.3935603305182599E-3</v>
      </c>
    </row>
    <row r="28656" spans="1:6" x14ac:dyDescent="0.25">
      <c r="A28656" s="1" t="str">
        <f t="shared" si="1027"/>
        <v>38900</v>
      </c>
      <c r="B28656" s="1" t="str">
        <f>"98622"</f>
        <v>98622</v>
      </c>
      <c r="C28656" s="2">
        <v>9.2624252838240795E-5</v>
      </c>
      <c r="D28656" s="2">
        <v>2.6865110281277699E-5</v>
      </c>
      <c r="E28656" s="2">
        <v>5.9894585529468098E-5</v>
      </c>
      <c r="F28656" s="2">
        <v>8.58035387505486E-5</v>
      </c>
    </row>
    <row r="28657" spans="1:6" x14ac:dyDescent="0.25">
      <c r="A28657" s="1" t="str">
        <f t="shared" si="1027"/>
        <v>38900</v>
      </c>
      <c r="B28657" s="1" t="str">
        <f>"97129"</f>
        <v>97129</v>
      </c>
      <c r="C28657" s="2">
        <v>0</v>
      </c>
      <c r="D28657" s="2">
        <v>1.79100735208518E-5</v>
      </c>
      <c r="E28657" s="2">
        <v>1.9964861843155999E-5</v>
      </c>
      <c r="F28657" s="2">
        <v>2.2779700553242899E-6</v>
      </c>
    </row>
    <row r="28658" spans="1:6" x14ac:dyDescent="0.25">
      <c r="A28658" s="1" t="str">
        <f t="shared" si="1027"/>
        <v>38900</v>
      </c>
      <c r="B28658" s="1" t="str">
        <f>"97101"</f>
        <v>97101</v>
      </c>
      <c r="C28658" s="2">
        <v>1.8793201206712201E-3</v>
      </c>
      <c r="D28658" s="2">
        <v>7.7013316139662696E-4</v>
      </c>
      <c r="E28658" s="2">
        <v>2.3957834211787201E-4</v>
      </c>
      <c r="F28658" s="2">
        <v>1.7229046851769401E-3</v>
      </c>
    </row>
    <row r="28659" spans="1:6" x14ac:dyDescent="0.25">
      <c r="A28659" s="1" t="str">
        <f t="shared" si="1027"/>
        <v>38900</v>
      </c>
      <c r="B28659" s="1" t="str">
        <f>"97002"</f>
        <v>97002</v>
      </c>
      <c r="C28659" s="2">
        <v>4.7524032531022601E-4</v>
      </c>
      <c r="D28659" s="2">
        <v>3.6715650717746099E-4</v>
      </c>
      <c r="E28659" s="2">
        <v>7.9859447372624103E-5</v>
      </c>
      <c r="F28659" s="2">
        <v>4.51038070954211E-4</v>
      </c>
    </row>
    <row r="28660" spans="1:6" x14ac:dyDescent="0.25">
      <c r="A28660" s="1" t="str">
        <f t="shared" si="1027"/>
        <v>38900</v>
      </c>
      <c r="B28660" s="1" t="str">
        <f>"97230"</f>
        <v>97230</v>
      </c>
      <c r="C28660" s="2">
        <v>1.46952272540371E-2</v>
      </c>
      <c r="D28660" s="2">
        <v>1.2653466942481701E-2</v>
      </c>
      <c r="E28660" s="2">
        <v>1.55326625139754E-2</v>
      </c>
      <c r="F28660" s="2">
        <v>1.4553950683466901E-2</v>
      </c>
    </row>
    <row r="28661" spans="1:6" x14ac:dyDescent="0.25">
      <c r="A28661" s="1" t="str">
        <f t="shared" si="1027"/>
        <v>38900</v>
      </c>
      <c r="B28661" s="1" t="str">
        <f>"97232"</f>
        <v>97232</v>
      </c>
      <c r="C28661" s="2">
        <v>8.5794296250449008E-3</v>
      </c>
      <c r="D28661" s="2">
        <v>1.8877217490977798E-2</v>
      </c>
      <c r="E28661" s="2">
        <v>1.5712346270563799E-2</v>
      </c>
      <c r="F28661" s="2">
        <v>9.72389484282765E-3</v>
      </c>
    </row>
    <row r="28662" spans="1:6" x14ac:dyDescent="0.25">
      <c r="A28662" s="1" t="str">
        <f t="shared" si="1027"/>
        <v>38900</v>
      </c>
      <c r="B28662" s="1" t="str">
        <f>"97202"</f>
        <v>97202</v>
      </c>
      <c r="C28662" s="2">
        <v>1.7838392319977799E-2</v>
      </c>
      <c r="D28662" s="2">
        <v>1.8456330763237699E-2</v>
      </c>
      <c r="E28662" s="2">
        <v>3.5737102699249297E-2</v>
      </c>
      <c r="F28662" s="2">
        <v>1.8571530537707201E-2</v>
      </c>
    </row>
    <row r="28663" spans="1:6" x14ac:dyDescent="0.25">
      <c r="A28663" s="1" t="str">
        <f t="shared" si="1027"/>
        <v>38900</v>
      </c>
      <c r="B28663" s="1" t="str">
        <f>"97206"</f>
        <v>97206</v>
      </c>
      <c r="C28663" s="2">
        <v>1.94753312182686E-2</v>
      </c>
      <c r="D28663" s="2">
        <v>9.2684630470407994E-3</v>
      </c>
      <c r="E28663" s="2">
        <v>1.5412873342916401E-2</v>
      </c>
      <c r="F28663" s="2">
        <v>1.8455354064885601E-2</v>
      </c>
    </row>
    <row r="28664" spans="1:6" x14ac:dyDescent="0.25">
      <c r="A28664" s="1" t="str">
        <f t="shared" si="1027"/>
        <v>38900</v>
      </c>
      <c r="B28664" s="1" t="str">
        <f>"97144"</f>
        <v>97144</v>
      </c>
      <c r="C28664" s="2">
        <v>7.0117425045771006E-5</v>
      </c>
      <c r="D28664" s="2">
        <v>3.5820147041703601E-5</v>
      </c>
      <c r="E28664" s="2">
        <v>1.9964861843155999E-5</v>
      </c>
      <c r="F28664" s="2">
        <v>6.5301808252629895E-5</v>
      </c>
    </row>
    <row r="28665" spans="1:6" x14ac:dyDescent="0.25">
      <c r="A28665" s="1" t="str">
        <f t="shared" si="1027"/>
        <v>38900</v>
      </c>
      <c r="B28665" s="1" t="str">
        <f>"97124"</f>
        <v>97124</v>
      </c>
      <c r="C28665" s="2">
        <v>2.0599806960669299E-2</v>
      </c>
      <c r="D28665" s="2">
        <v>2.4483070503004401E-2</v>
      </c>
      <c r="E28665" s="2">
        <v>2.80107011659479E-2</v>
      </c>
      <c r="F28665" s="2">
        <v>2.1210938508476301E-2</v>
      </c>
    </row>
    <row r="28666" spans="1:6" x14ac:dyDescent="0.25">
      <c r="A28666" s="1" t="str">
        <f t="shared" si="1027"/>
        <v>38900</v>
      </c>
      <c r="B28666" s="1" t="str">
        <f>"97210"</f>
        <v>97210</v>
      </c>
      <c r="C28666" s="2">
        <v>7.2134383074865501E-3</v>
      </c>
      <c r="D28666" s="2">
        <v>1.49370013163904E-2</v>
      </c>
      <c r="E28666" s="2">
        <v>1.7389394665388899E-2</v>
      </c>
      <c r="F28666" s="2">
        <v>8.2553634804952598E-3</v>
      </c>
    </row>
    <row r="28667" spans="1:6" x14ac:dyDescent="0.25">
      <c r="A28667" s="1" t="str">
        <f t="shared" si="1027"/>
        <v>38900</v>
      </c>
      <c r="B28667" s="1" t="str">
        <f>"97213"</f>
        <v>97213</v>
      </c>
      <c r="C28667" s="2">
        <v>1.2896412325085101E-2</v>
      </c>
      <c r="D28667" s="2">
        <v>1.25907816851588E-2</v>
      </c>
      <c r="E28667" s="2">
        <v>1.49337166586807E-2</v>
      </c>
      <c r="F28667" s="2">
        <v>1.29479817944633E-2</v>
      </c>
    </row>
    <row r="28668" spans="1:6" x14ac:dyDescent="0.25">
      <c r="A28668" s="1" t="str">
        <f t="shared" si="1027"/>
        <v>38900</v>
      </c>
      <c r="B28668" s="1" t="str">
        <f>"98651"</f>
        <v>98651</v>
      </c>
      <c r="C28668" s="2">
        <v>3.3327418077310899E-4</v>
      </c>
      <c r="D28668" s="2">
        <v>8.0595330843833093E-5</v>
      </c>
      <c r="E28668" s="2">
        <v>1.9964861843155999E-5</v>
      </c>
      <c r="F28668" s="2">
        <v>2.9993272395103198E-4</v>
      </c>
    </row>
    <row r="28669" spans="1:6" x14ac:dyDescent="0.25">
      <c r="A28669" s="1" t="str">
        <f t="shared" si="1027"/>
        <v>38900</v>
      </c>
      <c r="B28669" s="1" t="str">
        <f>"98662"</f>
        <v>98662</v>
      </c>
      <c r="C28669" s="2">
        <v>1.31050333057768E-2</v>
      </c>
      <c r="D28669" s="2">
        <v>1.14982672003868E-2</v>
      </c>
      <c r="E28669" s="2">
        <v>1.15396901453441E-2</v>
      </c>
      <c r="F28669" s="2">
        <v>1.29092563035228E-2</v>
      </c>
    </row>
    <row r="28670" spans="1:6" x14ac:dyDescent="0.25">
      <c r="A28670" s="1" t="str">
        <f t="shared" si="1027"/>
        <v>38900</v>
      </c>
      <c r="B28670" s="1" t="str">
        <f>"98663"</f>
        <v>98663</v>
      </c>
      <c r="C28670" s="2">
        <v>6.1036785678732297E-3</v>
      </c>
      <c r="D28670" s="2">
        <v>5.3013817621721301E-3</v>
      </c>
      <c r="E28670" s="2">
        <v>8.8045040728318095E-3</v>
      </c>
      <c r="F28670" s="2">
        <v>6.1383699757472099E-3</v>
      </c>
    </row>
    <row r="28671" spans="1:6" x14ac:dyDescent="0.25">
      <c r="A28671" s="1" t="str">
        <f t="shared" si="1027"/>
        <v>38900</v>
      </c>
      <c r="B28671" s="1" t="str">
        <f>"98642"</f>
        <v>98642</v>
      </c>
      <c r="C28671" s="2">
        <v>9.9177202314740601E-3</v>
      </c>
      <c r="D28671" s="2">
        <v>3.5820147041703602E-3</v>
      </c>
      <c r="E28671" s="2">
        <v>1.71697811851141E-3</v>
      </c>
      <c r="F28671" s="2">
        <v>9.0685987902460307E-3</v>
      </c>
    </row>
    <row r="28672" spans="1:6" x14ac:dyDescent="0.25">
      <c r="A28672" s="1" t="str">
        <f t="shared" ref="A28672:A28703" si="1028">"38900"</f>
        <v>38900</v>
      </c>
      <c r="B28672" s="1" t="str">
        <f>"97378"</f>
        <v>97378</v>
      </c>
      <c r="C28672" s="2">
        <v>2.0983288680364001E-3</v>
      </c>
      <c r="D28672" s="2">
        <v>1.21788499941792E-3</v>
      </c>
      <c r="E28672" s="2">
        <v>4.99121546078901E-4</v>
      </c>
      <c r="F28672" s="2">
        <v>1.9628508643377701E-3</v>
      </c>
    </row>
    <row r="28673" spans="1:6" x14ac:dyDescent="0.25">
      <c r="A28673" s="1" t="str">
        <f t="shared" si="1028"/>
        <v>38900</v>
      </c>
      <c r="B28673" s="1" t="str">
        <f>"97016"</f>
        <v>97016</v>
      </c>
      <c r="C28673" s="2">
        <v>2.12516393194281E-3</v>
      </c>
      <c r="D28673" s="2">
        <v>2.8656117633362799E-4</v>
      </c>
      <c r="E28673" s="2">
        <v>7.9859447372624098E-4</v>
      </c>
      <c r="F28673" s="2">
        <v>1.9188101099348301E-3</v>
      </c>
    </row>
    <row r="28674" spans="1:6" x14ac:dyDescent="0.25">
      <c r="A28674" s="1" t="str">
        <f t="shared" si="1028"/>
        <v>38900</v>
      </c>
      <c r="B28674" s="1" t="str">
        <f>"97051"</f>
        <v>97051</v>
      </c>
      <c r="C28674" s="2">
        <v>7.0792629879545101E-3</v>
      </c>
      <c r="D28674" s="2">
        <v>6.9849286731321998E-3</v>
      </c>
      <c r="E28674" s="2">
        <v>8.1656284938508208E-3</v>
      </c>
      <c r="F28674" s="2">
        <v>7.1125818360742296E-3</v>
      </c>
    </row>
    <row r="28675" spans="1:6" x14ac:dyDescent="0.25">
      <c r="A28675" s="1" t="str">
        <f t="shared" si="1028"/>
        <v>38900</v>
      </c>
      <c r="B28675" s="1" t="str">
        <f>"97053"</f>
        <v>97053</v>
      </c>
      <c r="C28675" s="2">
        <v>1.22489082024402E-3</v>
      </c>
      <c r="D28675" s="2">
        <v>2.59696066052351E-4</v>
      </c>
      <c r="E28675" s="2">
        <v>3.1943778949049598E-4</v>
      </c>
      <c r="F28675" s="2">
        <v>1.1086120935911499E-3</v>
      </c>
    </row>
    <row r="28676" spans="1:6" x14ac:dyDescent="0.25">
      <c r="A28676" s="1" t="str">
        <f t="shared" si="1028"/>
        <v>38900</v>
      </c>
      <c r="B28676" s="1" t="str">
        <f>"97055"</f>
        <v>97055</v>
      </c>
      <c r="C28676" s="2">
        <v>8.4876710194294498E-3</v>
      </c>
      <c r="D28676" s="2">
        <v>6.5998620924338797E-3</v>
      </c>
      <c r="E28676" s="2">
        <v>4.0728318160038303E-3</v>
      </c>
      <c r="F28676" s="2">
        <v>8.1596887381716401E-3</v>
      </c>
    </row>
    <row r="28677" spans="1:6" x14ac:dyDescent="0.25">
      <c r="A28677" s="1" t="str">
        <f t="shared" si="1028"/>
        <v>38900</v>
      </c>
      <c r="B28677" s="1" t="str">
        <f>"97060"</f>
        <v>97060</v>
      </c>
      <c r="C28677" s="2">
        <v>7.0809942824000896E-3</v>
      </c>
      <c r="D28677" s="2">
        <v>7.9072974594560693E-3</v>
      </c>
      <c r="E28677" s="2">
        <v>4.2924452962785397E-3</v>
      </c>
      <c r="F28677" s="2">
        <v>7.0450020577662803E-3</v>
      </c>
    </row>
    <row r="28678" spans="1:6" x14ac:dyDescent="0.25">
      <c r="A28678" s="1" t="str">
        <f t="shared" si="1028"/>
        <v>38900</v>
      </c>
      <c r="B28678" s="1" t="str">
        <f>"97078"</f>
        <v>97078</v>
      </c>
      <c r="C28678" s="2">
        <v>7.8834492579239104E-3</v>
      </c>
      <c r="D28678" s="2">
        <v>2.1312987489813598E-3</v>
      </c>
      <c r="E28678" s="2">
        <v>8.7446094873023395E-3</v>
      </c>
      <c r="F28678" s="2">
        <v>7.4284603504125397E-3</v>
      </c>
    </row>
    <row r="28679" spans="1:6" x14ac:dyDescent="0.25">
      <c r="A28679" s="1" t="str">
        <f t="shared" si="1028"/>
        <v>38900</v>
      </c>
      <c r="B28679" s="1" t="str">
        <f>"97304"</f>
        <v>97304</v>
      </c>
      <c r="C28679" s="2">
        <v>1.0734025562562401E-4</v>
      </c>
      <c r="D28679" s="2">
        <v>3.5820147041703601E-5</v>
      </c>
      <c r="E28679" s="2">
        <v>0</v>
      </c>
      <c r="F28679" s="2">
        <v>9.71933890271701E-5</v>
      </c>
    </row>
    <row r="28680" spans="1:6" x14ac:dyDescent="0.25">
      <c r="A28680" s="1" t="str">
        <f t="shared" si="1028"/>
        <v>38900</v>
      </c>
      <c r="B28680" s="1" t="str">
        <f>"97017"</f>
        <v>97017</v>
      </c>
      <c r="C28680" s="2">
        <v>1.0223293701117899E-3</v>
      </c>
      <c r="D28680" s="2">
        <v>2.23875919010647E-4</v>
      </c>
      <c r="E28680" s="2">
        <v>1.9964861843155999E-5</v>
      </c>
      <c r="F28680" s="2">
        <v>9.1650328559214297E-4</v>
      </c>
    </row>
    <row r="28681" spans="1:6" x14ac:dyDescent="0.25">
      <c r="A28681" s="1" t="str">
        <f t="shared" si="1028"/>
        <v>38900</v>
      </c>
      <c r="B28681" s="1" t="str">
        <f>"97079"</f>
        <v>97079</v>
      </c>
      <c r="C28681" s="2">
        <v>0</v>
      </c>
      <c r="D28681" s="2">
        <v>4.4775183802129499E-5</v>
      </c>
      <c r="E28681" s="2">
        <v>0</v>
      </c>
      <c r="F28681" s="2">
        <v>3.7966167588738299E-6</v>
      </c>
    </row>
    <row r="28682" spans="1:6" x14ac:dyDescent="0.25">
      <c r="A28682" s="1" t="str">
        <f t="shared" si="1028"/>
        <v>38900</v>
      </c>
      <c r="B28682" s="1" t="str">
        <f>"98639"</f>
        <v>98639</v>
      </c>
      <c r="C28682" s="2">
        <v>4.7610597253301299E-4</v>
      </c>
      <c r="D28682" s="2">
        <v>8.0595330843833093E-5</v>
      </c>
      <c r="E28682" s="2">
        <v>1.9964861843156E-4</v>
      </c>
      <c r="F28682" s="2">
        <v>4.3205498715984201E-4</v>
      </c>
    </row>
    <row r="28683" spans="1:6" x14ac:dyDescent="0.25">
      <c r="A28683" s="1" t="str">
        <f t="shared" si="1028"/>
        <v>38900</v>
      </c>
      <c r="B28683" s="1" t="str">
        <f>"97250"</f>
        <v>97250</v>
      </c>
      <c r="C28683" s="2">
        <v>0</v>
      </c>
      <c r="D28683" s="2">
        <v>7.1640294083407202E-5</v>
      </c>
      <c r="E28683" s="2">
        <v>1.9964861843155999E-5</v>
      </c>
      <c r="F28683" s="2">
        <v>6.8339101659728896E-6</v>
      </c>
    </row>
    <row r="28684" spans="1:6" x14ac:dyDescent="0.25">
      <c r="A28684" s="1" t="str">
        <f t="shared" si="1028"/>
        <v>38900</v>
      </c>
      <c r="B28684" s="1" t="str">
        <f>"98605"</f>
        <v>98605</v>
      </c>
      <c r="C28684" s="2">
        <v>1.8351721123090699E-4</v>
      </c>
      <c r="D28684" s="2">
        <v>1.16415477885536E-4</v>
      </c>
      <c r="E28684" s="2">
        <v>0</v>
      </c>
      <c r="F28684" s="2">
        <v>1.70847754149322E-4</v>
      </c>
    </row>
    <row r="28685" spans="1:6" x14ac:dyDescent="0.25">
      <c r="A28685" s="1" t="str">
        <f t="shared" si="1028"/>
        <v>38900</v>
      </c>
      <c r="B28685" s="1" t="str">
        <f>"97125"</f>
        <v>97125</v>
      </c>
      <c r="C28685" s="2">
        <v>7.4445661159707504E-5</v>
      </c>
      <c r="D28685" s="2">
        <v>0</v>
      </c>
      <c r="E28685" s="2">
        <v>1.9964861843155999E-5</v>
      </c>
      <c r="F28685" s="2">
        <v>6.6061131604404596E-5</v>
      </c>
    </row>
    <row r="28686" spans="1:6" x14ac:dyDescent="0.25">
      <c r="A28686" s="1" t="str">
        <f t="shared" si="1028"/>
        <v>38900</v>
      </c>
      <c r="B28686" s="1" t="str">
        <f>"97218"</f>
        <v>97218</v>
      </c>
      <c r="C28686" s="2">
        <v>5.7998363926748901E-3</v>
      </c>
      <c r="D28686" s="2">
        <v>7.7461067977683999E-3</v>
      </c>
      <c r="E28686" s="2">
        <v>7.3470691582814204E-3</v>
      </c>
      <c r="F28686" s="2">
        <v>6.0237121496292201E-3</v>
      </c>
    </row>
    <row r="28687" spans="1:6" x14ac:dyDescent="0.25">
      <c r="A28687" s="1" t="str">
        <f t="shared" si="1028"/>
        <v>38900</v>
      </c>
      <c r="B28687" s="1" t="str">
        <f>"97236"</f>
        <v>97236</v>
      </c>
      <c r="C28687" s="2">
        <v>1.2563138144312E-2</v>
      </c>
      <c r="D28687" s="2">
        <v>4.4954284537337998E-3</v>
      </c>
      <c r="E28687" s="2">
        <v>1.5792205717936401E-2</v>
      </c>
      <c r="F28687" s="2">
        <v>1.2001864898151899E-2</v>
      </c>
    </row>
    <row r="28688" spans="1:6" x14ac:dyDescent="0.25">
      <c r="A28688" s="1" t="str">
        <f t="shared" si="1028"/>
        <v>38900</v>
      </c>
      <c r="B28688" s="1" t="str">
        <f>"97231"</f>
        <v>97231</v>
      </c>
      <c r="C28688" s="2">
        <v>2.0195549707627599E-3</v>
      </c>
      <c r="D28688" s="2">
        <v>9.6714397012599696E-4</v>
      </c>
      <c r="E28688" s="2">
        <v>6.1891071713783704E-4</v>
      </c>
      <c r="F28688" s="2">
        <v>1.8770473255872199E-3</v>
      </c>
    </row>
    <row r="28689" spans="1:6" x14ac:dyDescent="0.25">
      <c r="A28689" s="1" t="str">
        <f t="shared" si="1028"/>
        <v>38900</v>
      </c>
      <c r="B28689" s="1" t="str">
        <f>"97201"</f>
        <v>97201</v>
      </c>
      <c r="C28689" s="2">
        <v>1.0623222718045699E-2</v>
      </c>
      <c r="D28689" s="2">
        <v>1.09699200315217E-2</v>
      </c>
      <c r="E28689" s="2">
        <v>1.0601341638715799E-2</v>
      </c>
      <c r="F28689" s="2">
        <v>1.0651787978696399E-2</v>
      </c>
    </row>
    <row r="28690" spans="1:6" x14ac:dyDescent="0.25">
      <c r="A28690" s="1" t="str">
        <f t="shared" si="1028"/>
        <v>38900</v>
      </c>
      <c r="B28690" s="1" t="str">
        <f>"97116"</f>
        <v>97116</v>
      </c>
      <c r="C28690" s="2">
        <v>1.00795962621352E-2</v>
      </c>
      <c r="D28690" s="2">
        <v>7.7908819815705301E-3</v>
      </c>
      <c r="E28690" s="2">
        <v>1.2458073790129301E-2</v>
      </c>
      <c r="F28690" s="2">
        <v>9.9759901956168791E-3</v>
      </c>
    </row>
    <row r="28691" spans="1:6" x14ac:dyDescent="0.25">
      <c r="A28691" s="1" t="str">
        <f t="shared" si="1028"/>
        <v>38900</v>
      </c>
      <c r="B28691" s="1" t="str">
        <f>"97123"</f>
        <v>97123</v>
      </c>
      <c r="C28691" s="2">
        <v>1.77535588921446E-2</v>
      </c>
      <c r="D28691" s="2">
        <v>2.2163715982054102E-2</v>
      </c>
      <c r="E28691" s="2">
        <v>1.4334770803386E-2</v>
      </c>
      <c r="F28691" s="2">
        <v>1.79974820837655E-2</v>
      </c>
    </row>
    <row r="28692" spans="1:6" x14ac:dyDescent="0.25">
      <c r="A28692" s="1" t="str">
        <f t="shared" si="1028"/>
        <v>38900</v>
      </c>
      <c r="B28692" s="1" t="str">
        <f>"97211"</f>
        <v>97211</v>
      </c>
      <c r="C28692" s="2">
        <v>1.31621660224808E-2</v>
      </c>
      <c r="D28692" s="2">
        <v>1.34773303244409E-2</v>
      </c>
      <c r="E28692" s="2">
        <v>1.5672416546877399E-2</v>
      </c>
      <c r="F28692" s="2">
        <v>1.32843620392995E-2</v>
      </c>
    </row>
    <row r="28693" spans="1:6" x14ac:dyDescent="0.25">
      <c r="A28693" s="1" t="str">
        <f t="shared" si="1028"/>
        <v>38900</v>
      </c>
      <c r="B28693" s="1" t="str">
        <f>"97114"</f>
        <v>97114</v>
      </c>
      <c r="C28693" s="2">
        <v>2.2255790097861399E-3</v>
      </c>
      <c r="D28693" s="2">
        <v>1.61190661687666E-3</v>
      </c>
      <c r="E28693" s="2">
        <v>2.5954320396102802E-4</v>
      </c>
      <c r="F28693" s="2">
        <v>2.0987697443054501E-3</v>
      </c>
    </row>
    <row r="28694" spans="1:6" x14ac:dyDescent="0.25">
      <c r="A28694" s="1" t="str">
        <f t="shared" si="1028"/>
        <v>38900</v>
      </c>
      <c r="B28694" s="1" t="str">
        <f>"97115"</f>
        <v>97115</v>
      </c>
      <c r="C28694" s="2">
        <v>2.0654342735704902E-3</v>
      </c>
      <c r="D28694" s="2">
        <v>1.50444617575155E-3</v>
      </c>
      <c r="E28694" s="2">
        <v>3.5936751317680799E-4</v>
      </c>
      <c r="F28694" s="2">
        <v>1.95297966076469E-3</v>
      </c>
    </row>
    <row r="28695" spans="1:6" x14ac:dyDescent="0.25">
      <c r="A28695" s="1" t="str">
        <f t="shared" si="1028"/>
        <v>38900</v>
      </c>
      <c r="B28695" s="1" t="str">
        <f>"98610"</f>
        <v>98610</v>
      </c>
      <c r="C28695" s="2">
        <v>1.0327171367852401E-3</v>
      </c>
      <c r="D28695" s="2">
        <v>2.59696066052351E-4</v>
      </c>
      <c r="E28695" s="2">
        <v>2.3957834211787201E-4</v>
      </c>
      <c r="F28695" s="2">
        <v>9.3700501609006101E-4</v>
      </c>
    </row>
    <row r="28696" spans="1:6" x14ac:dyDescent="0.25">
      <c r="A28696" s="1" t="str">
        <f t="shared" si="1028"/>
        <v>38900</v>
      </c>
      <c r="B28696" s="1" t="str">
        <f>"97008"</f>
        <v>97008</v>
      </c>
      <c r="C28696" s="2">
        <v>1.0996316671067E-2</v>
      </c>
      <c r="D28696" s="2">
        <v>8.6416104738109897E-3</v>
      </c>
      <c r="E28696" s="2">
        <v>1.8647180961507699E-2</v>
      </c>
      <c r="F28696" s="2">
        <v>1.10876395826151E-2</v>
      </c>
    </row>
    <row r="28697" spans="1:6" x14ac:dyDescent="0.25">
      <c r="A28697" s="1" t="str">
        <f t="shared" si="1028"/>
        <v>38900</v>
      </c>
      <c r="B28697" s="1" t="str">
        <f>"97036"</f>
        <v>97036</v>
      </c>
      <c r="C28697" s="2">
        <v>2.1727745291961101E-4</v>
      </c>
      <c r="D28697" s="2">
        <v>1.0746044112511001E-3</v>
      </c>
      <c r="E28697" s="2">
        <v>3.9929723686311997E-5</v>
      </c>
      <c r="F28697" s="2">
        <v>2.83227610211987E-4</v>
      </c>
    </row>
    <row r="28698" spans="1:6" x14ac:dyDescent="0.25">
      <c r="A28698" s="1" t="str">
        <f t="shared" si="1028"/>
        <v>38900</v>
      </c>
      <c r="B28698" s="1" t="str">
        <f>"97111"</f>
        <v>97111</v>
      </c>
      <c r="C28698" s="2">
        <v>1.88970788734467E-3</v>
      </c>
      <c r="D28698" s="2">
        <v>1.01191915392812E-3</v>
      </c>
      <c r="E28698" s="2">
        <v>1.1978917105893601E-4</v>
      </c>
      <c r="F28698" s="2">
        <v>1.74796235578551E-3</v>
      </c>
    </row>
    <row r="28699" spans="1:6" x14ac:dyDescent="0.25">
      <c r="A28699" s="1" t="str">
        <f t="shared" si="1028"/>
        <v>38900</v>
      </c>
      <c r="B28699" s="1" t="str">
        <f>"97018"</f>
        <v>97018</v>
      </c>
      <c r="C28699" s="2">
        <v>1.1331322146285699E-3</v>
      </c>
      <c r="D28699" s="2">
        <v>2.5074102929192502E-4</v>
      </c>
      <c r="E28699" s="2">
        <v>9.9824309215780204E-5</v>
      </c>
      <c r="F28699" s="2">
        <v>1.0190119380817299E-3</v>
      </c>
    </row>
    <row r="28700" spans="1:6" x14ac:dyDescent="0.25">
      <c r="A28700" s="1" t="str">
        <f t="shared" si="1028"/>
        <v>38900</v>
      </c>
      <c r="B28700" s="1" t="str">
        <f>"97005"</f>
        <v>97005</v>
      </c>
      <c r="C28700" s="2">
        <v>1.02414722927965E-2</v>
      </c>
      <c r="D28700" s="2">
        <v>2.10443363870008E-2</v>
      </c>
      <c r="E28700" s="2">
        <v>1.8906724165468701E-2</v>
      </c>
      <c r="F28700" s="2">
        <v>1.1487043665648599E-2</v>
      </c>
    </row>
    <row r="28701" spans="1:6" x14ac:dyDescent="0.25">
      <c r="A28701" s="1" t="str">
        <f t="shared" si="1028"/>
        <v>38900</v>
      </c>
      <c r="B28701" s="1" t="str">
        <f>"97253"</f>
        <v>97253</v>
      </c>
      <c r="C28701" s="2">
        <v>0</v>
      </c>
      <c r="D28701" s="2">
        <v>8.9550367604259002E-6</v>
      </c>
      <c r="E28701" s="2">
        <v>1.9964861843155999E-5</v>
      </c>
      <c r="F28701" s="2">
        <v>1.5186467035495301E-6</v>
      </c>
    </row>
    <row r="28702" spans="1:6" x14ac:dyDescent="0.25">
      <c r="A28702" s="1" t="str">
        <f t="shared" si="1028"/>
        <v>38900</v>
      </c>
      <c r="B28702" s="1" t="str">
        <f>"97258"</f>
        <v>97258</v>
      </c>
      <c r="C28702" s="2">
        <v>0</v>
      </c>
      <c r="D28702" s="2">
        <v>0</v>
      </c>
      <c r="E28702" s="2">
        <v>1.9964861843155999E-5</v>
      </c>
      <c r="F28702" s="2">
        <v>7.5932335177476598E-7</v>
      </c>
    </row>
    <row r="28703" spans="1:6" x14ac:dyDescent="0.25">
      <c r="A28703" s="1" t="str">
        <f t="shared" si="1028"/>
        <v>38900</v>
      </c>
      <c r="B28703" s="1" t="str">
        <f>"97045"</f>
        <v>97045</v>
      </c>
      <c r="C28703" s="2">
        <v>2.16126142113304E-2</v>
      </c>
      <c r="D28703" s="2">
        <v>2.0336888482927199E-2</v>
      </c>
      <c r="E28703" s="2">
        <v>1.0202044401852701E-2</v>
      </c>
      <c r="F28703" s="2">
        <v>2.1070463688397899E-2</v>
      </c>
    </row>
    <row r="28704" spans="1:6" x14ac:dyDescent="0.25">
      <c r="A28704" s="1" t="str">
        <f t="shared" ref="A28704:A28735" si="1029">"38900"</f>
        <v>38900</v>
      </c>
      <c r="B28704" s="1" t="str">
        <f>"97068"</f>
        <v>97068</v>
      </c>
      <c r="C28704" s="2">
        <v>1.0527135876316301E-2</v>
      </c>
      <c r="D28704" s="2">
        <v>7.0117937834134796E-3</v>
      </c>
      <c r="E28704" s="2">
        <v>4.8314965660437598E-3</v>
      </c>
      <c r="F28704" s="2">
        <v>1.0012437716502001E-2</v>
      </c>
    </row>
    <row r="28705" spans="1:6" x14ac:dyDescent="0.25">
      <c r="A28705" s="1" t="str">
        <f t="shared" si="1029"/>
        <v>38900</v>
      </c>
      <c r="B28705" s="1" t="str">
        <f>"97109"</f>
        <v>97109</v>
      </c>
      <c r="C28705" s="2">
        <v>2.0688968624616401E-4</v>
      </c>
      <c r="D28705" s="2">
        <v>0</v>
      </c>
      <c r="E28705" s="2">
        <v>5.9894585529468098E-5</v>
      </c>
      <c r="F28705" s="2">
        <v>1.8375625112949299E-4</v>
      </c>
    </row>
    <row r="28706" spans="1:6" x14ac:dyDescent="0.25">
      <c r="A28706" s="1" t="str">
        <f t="shared" si="1029"/>
        <v>38900</v>
      </c>
      <c r="B28706" s="1" t="str">
        <f>"97049"</f>
        <v>97049</v>
      </c>
      <c r="C28706" s="2">
        <v>1.3893637925736101E-3</v>
      </c>
      <c r="D28706" s="2">
        <v>1.16415477885536E-4</v>
      </c>
      <c r="E28706" s="2">
        <v>1.1978917105893601E-4</v>
      </c>
      <c r="F28706" s="2">
        <v>1.23314112328222E-3</v>
      </c>
    </row>
    <row r="28707" spans="1:6" x14ac:dyDescent="0.25">
      <c r="A28707" s="1" t="str">
        <f t="shared" si="1029"/>
        <v>38900</v>
      </c>
      <c r="B28707" s="1" t="str">
        <f>"97006"</f>
        <v>97006</v>
      </c>
      <c r="C28707" s="2">
        <v>1.8574192459347001E-2</v>
      </c>
      <c r="D28707" s="2">
        <v>1.21609399206583E-2</v>
      </c>
      <c r="E28707" s="2">
        <v>2.9528030666027699E-2</v>
      </c>
      <c r="F28707" s="2">
        <v>1.8447001508016099E-2</v>
      </c>
    </row>
    <row r="28708" spans="1:6" x14ac:dyDescent="0.25">
      <c r="A28708" s="1" t="str">
        <f t="shared" si="1029"/>
        <v>38900</v>
      </c>
      <c r="B28708" s="1" t="str">
        <f>"97228"</f>
        <v>97228</v>
      </c>
      <c r="C28708" s="2">
        <v>7.8947026718201503E-4</v>
      </c>
      <c r="D28708" s="2">
        <v>4.3073726817648497E-3</v>
      </c>
      <c r="E28708" s="2">
        <v>1.9964861843155999E-5</v>
      </c>
      <c r="F28708" s="2">
        <v>1.05849675237402E-3</v>
      </c>
    </row>
    <row r="28709" spans="1:6" x14ac:dyDescent="0.25">
      <c r="A28709" s="1" t="str">
        <f t="shared" si="1029"/>
        <v>38900</v>
      </c>
      <c r="B28709" s="1" t="str">
        <f>"97208"</f>
        <v>97208</v>
      </c>
      <c r="C28709" s="2">
        <v>1.5772092399184499E-3</v>
      </c>
      <c r="D28709" s="2">
        <v>9.4565188190097495E-3</v>
      </c>
      <c r="E28709" s="2">
        <v>1.5772240856093201E-3</v>
      </c>
      <c r="F28709" s="2">
        <v>2.2453191511979799E-3</v>
      </c>
    </row>
    <row r="28710" spans="1:6" x14ac:dyDescent="0.25">
      <c r="A28710" s="1" t="str">
        <f t="shared" si="1029"/>
        <v>38900</v>
      </c>
      <c r="B28710" s="1" t="str">
        <f>"98666"</f>
        <v>98666</v>
      </c>
      <c r="C28710" s="2">
        <v>7.3580013936920205E-4</v>
      </c>
      <c r="D28710" s="2">
        <v>4.3163277185252801E-3</v>
      </c>
      <c r="E28710" s="2">
        <v>1.9964861843155999E-5</v>
      </c>
      <c r="F28710" s="2">
        <v>1.0121780279157601E-3</v>
      </c>
    </row>
    <row r="28711" spans="1:6" x14ac:dyDescent="0.25">
      <c r="A28711" s="1" t="str">
        <f t="shared" si="1029"/>
        <v>38900</v>
      </c>
      <c r="B28711" s="1" t="str">
        <f>"97239"</f>
        <v>97239</v>
      </c>
      <c r="C28711" s="2">
        <v>8.8737496807925805E-3</v>
      </c>
      <c r="D28711" s="2">
        <v>9.1072723853531396E-3</v>
      </c>
      <c r="E28711" s="2">
        <v>1.55925570995048E-2</v>
      </c>
      <c r="F28711" s="2">
        <v>9.1490870655341599E-3</v>
      </c>
    </row>
    <row r="28712" spans="1:6" x14ac:dyDescent="0.25">
      <c r="A28712" s="1" t="str">
        <f t="shared" si="1029"/>
        <v>38900</v>
      </c>
      <c r="B28712" s="1" t="str">
        <f>"97294"</f>
        <v>97294</v>
      </c>
      <c r="C28712" s="2">
        <v>1.0396423145675399E-3</v>
      </c>
      <c r="D28712" s="2">
        <v>4.07454172599378E-3</v>
      </c>
      <c r="E28712" s="2">
        <v>1.9964861843155999E-5</v>
      </c>
      <c r="F28712" s="2">
        <v>1.25819879389078E-3</v>
      </c>
    </row>
    <row r="28713" spans="1:6" x14ac:dyDescent="0.25">
      <c r="A28713" s="1" t="str">
        <f t="shared" si="1029"/>
        <v>38900</v>
      </c>
      <c r="B28713" s="1" t="str">
        <f>"97204"</f>
        <v>97204</v>
      </c>
      <c r="C28713" s="2">
        <v>5.1506009755844203E-4</v>
      </c>
      <c r="D28713" s="2">
        <v>2.40890488855456E-2</v>
      </c>
      <c r="E28713" s="2">
        <v>4.5519885002395701E-3</v>
      </c>
      <c r="F28713" s="2">
        <v>2.66750293478475E-3</v>
      </c>
    </row>
    <row r="28714" spans="1:6" x14ac:dyDescent="0.25">
      <c r="A28714" s="1" t="str">
        <f t="shared" si="1029"/>
        <v>38900</v>
      </c>
      <c r="B28714" s="1" t="str">
        <f>"97113"</f>
        <v>97113</v>
      </c>
      <c r="C28714" s="2">
        <v>4.9376517587787399E-3</v>
      </c>
      <c r="D28714" s="2">
        <v>3.5551495938890799E-3</v>
      </c>
      <c r="E28714" s="2">
        <v>3.25427248043443E-3</v>
      </c>
      <c r="F28714" s="2">
        <v>4.7564014755171304E-3</v>
      </c>
    </row>
    <row r="28715" spans="1:6" x14ac:dyDescent="0.25">
      <c r="A28715" s="1" t="str">
        <f t="shared" si="1029"/>
        <v>38900</v>
      </c>
      <c r="B28715" s="1" t="str">
        <f>"97207"</f>
        <v>97207</v>
      </c>
      <c r="C28715" s="2">
        <v>1.4889132231941499E-3</v>
      </c>
      <c r="D28715" s="2">
        <v>4.0834967627542103E-3</v>
      </c>
      <c r="E28715" s="2">
        <v>3.9929723686311997E-5</v>
      </c>
      <c r="F28715" s="2">
        <v>1.65380626016544E-3</v>
      </c>
    </row>
    <row r="28716" spans="1:6" x14ac:dyDescent="0.25">
      <c r="A28716" s="1" t="str">
        <f t="shared" si="1029"/>
        <v>38900</v>
      </c>
      <c r="B28716" s="1" t="str">
        <f>"98661"</f>
        <v>98661</v>
      </c>
      <c r="C28716" s="2">
        <v>2.0492466705043601E-2</v>
      </c>
      <c r="D28716" s="2">
        <v>1.6719053631715101E-2</v>
      </c>
      <c r="E28716" s="2">
        <v>3.1484587126656999E-2</v>
      </c>
      <c r="F28716" s="2">
        <v>2.0590571330076302E-2</v>
      </c>
    </row>
    <row r="28717" spans="1:6" x14ac:dyDescent="0.25">
      <c r="A28717" s="1" t="str">
        <f t="shared" si="1029"/>
        <v>38900</v>
      </c>
      <c r="B28717" s="1" t="str">
        <f>"98674"</f>
        <v>98674</v>
      </c>
      <c r="C28717" s="2">
        <v>1.1651611618716999E-3</v>
      </c>
      <c r="D28717" s="2">
        <v>6.2685257322981296E-5</v>
      </c>
      <c r="E28717" s="2">
        <v>2.7950806580418402E-4</v>
      </c>
      <c r="F28717" s="2">
        <v>1.0379950218761E-3</v>
      </c>
    </row>
    <row r="28718" spans="1:6" x14ac:dyDescent="0.25">
      <c r="A28718" s="1" t="str">
        <f t="shared" si="1029"/>
        <v>38900</v>
      </c>
      <c r="B28718" s="1" t="str">
        <f>"98683"</f>
        <v>98683</v>
      </c>
      <c r="C28718" s="2">
        <v>1.42727914093169E-2</v>
      </c>
      <c r="D28718" s="2">
        <v>9.3848785249263395E-3</v>
      </c>
      <c r="E28718" s="2">
        <v>1.2737581855933501E-2</v>
      </c>
      <c r="F28718" s="2">
        <v>1.37999425951546E-2</v>
      </c>
    </row>
    <row r="28719" spans="1:6" x14ac:dyDescent="0.25">
      <c r="A28719" s="1" t="str">
        <f t="shared" si="1029"/>
        <v>38900</v>
      </c>
      <c r="B28719" s="1" t="str">
        <f>"98685"</f>
        <v>98685</v>
      </c>
      <c r="C28719" s="2">
        <v>1.02284875844547E-2</v>
      </c>
      <c r="D28719" s="2">
        <v>4.1372269833167604E-3</v>
      </c>
      <c r="E28719" s="2">
        <v>9.0640472767928408E-3</v>
      </c>
      <c r="F28719" s="2">
        <v>9.6677049147963195E-3</v>
      </c>
    </row>
    <row r="28720" spans="1:6" x14ac:dyDescent="0.25">
      <c r="A28720" s="1" t="str">
        <f t="shared" si="1029"/>
        <v>38900</v>
      </c>
      <c r="B28720" s="1" t="str">
        <f>"98668"</f>
        <v>98668</v>
      </c>
      <c r="C28720" s="2">
        <v>1.5122856982093999E-3</v>
      </c>
      <c r="D28720" s="2">
        <v>4.1730471303584697E-3</v>
      </c>
      <c r="E28720" s="2">
        <v>1.9964861843155999E-5</v>
      </c>
      <c r="F28720" s="2">
        <v>1.6811419008293299E-3</v>
      </c>
    </row>
    <row r="28721" spans="1:6" x14ac:dyDescent="0.25">
      <c r="A28721" s="1" t="str">
        <f t="shared" si="1029"/>
        <v>38900</v>
      </c>
      <c r="B28721" s="1" t="str">
        <f>"97054"</f>
        <v>97054</v>
      </c>
      <c r="C28721" s="2">
        <v>5.8171493371306302E-4</v>
      </c>
      <c r="D28721" s="2">
        <v>1.0746044112511E-4</v>
      </c>
      <c r="E28721" s="2">
        <v>9.9824309215780204E-5</v>
      </c>
      <c r="F28721" s="2">
        <v>5.2317378937281401E-4</v>
      </c>
    </row>
    <row r="28722" spans="1:6" x14ac:dyDescent="0.25">
      <c r="A28722" s="1" t="str">
        <f t="shared" si="1029"/>
        <v>38900</v>
      </c>
      <c r="B28722" s="1" t="str">
        <f>"97222"</f>
        <v>97222</v>
      </c>
      <c r="C28722" s="2">
        <v>1.44831436844542E-2</v>
      </c>
      <c r="D28722" s="2">
        <v>1.0952009958000801E-2</v>
      </c>
      <c r="E28722" s="2">
        <v>1.7010062290368898E-2</v>
      </c>
      <c r="F28722" s="2">
        <v>1.4279834953476201E-2</v>
      </c>
    </row>
    <row r="28723" spans="1:6" x14ac:dyDescent="0.25">
      <c r="A28723" s="1" t="str">
        <f t="shared" si="1029"/>
        <v>38900</v>
      </c>
      <c r="B28723" s="1" t="str">
        <f>"97229"</f>
        <v>97229</v>
      </c>
      <c r="C28723" s="2">
        <v>2.5302868322072701E-2</v>
      </c>
      <c r="D28723" s="2">
        <v>6.5729969821526103E-3</v>
      </c>
      <c r="E28723" s="2">
        <v>2.3678326145983E-2</v>
      </c>
      <c r="F28723" s="2">
        <v>2.36529224077839E-2</v>
      </c>
    </row>
    <row r="28724" spans="1:6" x14ac:dyDescent="0.25">
      <c r="A28724" s="1" t="str">
        <f t="shared" si="1029"/>
        <v>38900</v>
      </c>
      <c r="B28724" s="1" t="str">
        <f>"97214"</f>
        <v>97214</v>
      </c>
      <c r="C28724" s="2">
        <v>1.41368847953393E-2</v>
      </c>
      <c r="D28724" s="2">
        <v>2.7035255979725701E-2</v>
      </c>
      <c r="E28724" s="2">
        <v>3.7633764574349103E-2</v>
      </c>
      <c r="F28724" s="2">
        <v>1.6124231374937101E-2</v>
      </c>
    </row>
    <row r="28725" spans="1:6" x14ac:dyDescent="0.25">
      <c r="A28725" s="1" t="str">
        <f t="shared" si="1029"/>
        <v>38900</v>
      </c>
      <c r="B28725" s="1" t="str">
        <f>"98671"</f>
        <v>98671</v>
      </c>
      <c r="C28725" s="2">
        <v>9.4667180284018805E-3</v>
      </c>
      <c r="D28725" s="2">
        <v>6.0894249970896101E-3</v>
      </c>
      <c r="E28725" s="2">
        <v>6.4686152371825501E-3</v>
      </c>
      <c r="F28725" s="2">
        <v>9.0663208201907097E-3</v>
      </c>
    </row>
    <row r="28726" spans="1:6" x14ac:dyDescent="0.25">
      <c r="A28726" s="1" t="str">
        <f t="shared" si="1029"/>
        <v>38900</v>
      </c>
      <c r="B28726" s="1" t="str">
        <f>"98607"</f>
        <v>98607</v>
      </c>
      <c r="C28726" s="2">
        <v>1.21597465384931E-2</v>
      </c>
      <c r="D28726" s="2">
        <v>7.9789377535394706E-3</v>
      </c>
      <c r="E28726" s="2">
        <v>3.9330777831017398E-3</v>
      </c>
      <c r="F28726" s="2">
        <v>1.1492358929110999E-2</v>
      </c>
    </row>
    <row r="28727" spans="1:6" x14ac:dyDescent="0.25">
      <c r="A28727" s="1" t="str">
        <f t="shared" si="1029"/>
        <v>38900</v>
      </c>
      <c r="B28727" s="1" t="str">
        <f>"98648"</f>
        <v>98648</v>
      </c>
      <c r="C28727" s="2">
        <v>1.32011201475062E-3</v>
      </c>
      <c r="D28727" s="2">
        <v>4.2088672774001699E-4</v>
      </c>
      <c r="E28727" s="2">
        <v>5.5901613160836902E-4</v>
      </c>
      <c r="F28727" s="2">
        <v>1.2149173628396199E-3</v>
      </c>
    </row>
    <row r="28728" spans="1:6" x14ac:dyDescent="0.25">
      <c r="A28728" s="1" t="str">
        <f t="shared" si="1029"/>
        <v>38900</v>
      </c>
      <c r="B28728" s="1" t="str">
        <f>"97062"</f>
        <v>97062</v>
      </c>
      <c r="C28728" s="2">
        <v>1.20671222856549E-2</v>
      </c>
      <c r="D28728" s="2">
        <v>1.7910073520851801E-2</v>
      </c>
      <c r="E28728" s="2">
        <v>8.9242932438907494E-3</v>
      </c>
      <c r="F28728" s="2">
        <v>1.2443031765533E-2</v>
      </c>
    </row>
    <row r="28729" spans="1:6" x14ac:dyDescent="0.25">
      <c r="A28729" s="1" t="str">
        <f t="shared" si="1029"/>
        <v>38900</v>
      </c>
      <c r="B28729" s="1" t="str">
        <f>"97024"</f>
        <v>97024</v>
      </c>
      <c r="C28729" s="2">
        <v>5.8838041732852597E-3</v>
      </c>
      <c r="D28729" s="2">
        <v>4.8984051079529597E-3</v>
      </c>
      <c r="E28729" s="2">
        <v>4.3124101581216998E-3</v>
      </c>
      <c r="F28729" s="2">
        <v>5.7404845394172302E-3</v>
      </c>
    </row>
    <row r="28730" spans="1:6" x14ac:dyDescent="0.25">
      <c r="A28730" s="1" t="str">
        <f t="shared" si="1029"/>
        <v>38900</v>
      </c>
      <c r="B28730" s="1" t="str">
        <f>"97086"</f>
        <v>97086</v>
      </c>
      <c r="C28730" s="2">
        <v>1.11252981072623E-2</v>
      </c>
      <c r="D28730" s="2">
        <v>6.1521102544125897E-3</v>
      </c>
      <c r="E28730" s="2">
        <v>4.9512857371026902E-3</v>
      </c>
      <c r="F28730" s="2">
        <v>1.04687910509187E-2</v>
      </c>
    </row>
    <row r="28731" spans="1:6" x14ac:dyDescent="0.25">
      <c r="A28731" s="1" t="str">
        <f t="shared" si="1029"/>
        <v>38900</v>
      </c>
      <c r="B28731" s="1" t="str">
        <f>"97106"</f>
        <v>97106</v>
      </c>
      <c r="C28731" s="2">
        <v>1.6819525538757101E-3</v>
      </c>
      <c r="D28731" s="2">
        <v>1.08355944801153E-3</v>
      </c>
      <c r="E28731" s="2">
        <v>1.01820795400095E-3</v>
      </c>
      <c r="F28731" s="2">
        <v>1.60596888900363E-3</v>
      </c>
    </row>
    <row r="28732" spans="1:6" x14ac:dyDescent="0.25">
      <c r="A28732" s="1" t="str">
        <f t="shared" si="1029"/>
        <v>38900</v>
      </c>
      <c r="B28732" s="1" t="str">
        <f>"97293"</f>
        <v>97293</v>
      </c>
      <c r="C28732" s="2">
        <v>3.8434736691756003E-4</v>
      </c>
      <c r="D28732" s="2">
        <v>4.1103618730354797E-3</v>
      </c>
      <c r="E28732" s="2">
        <v>1.9964861843155999E-5</v>
      </c>
      <c r="F28732" s="2">
        <v>6.8642831000438804E-4</v>
      </c>
    </row>
    <row r="28733" spans="1:6" x14ac:dyDescent="0.25">
      <c r="A28733" s="1" t="str">
        <f t="shared" si="1029"/>
        <v>38900</v>
      </c>
      <c r="B28733" s="1" t="str">
        <f>"97014"</f>
        <v>97014</v>
      </c>
      <c r="C28733" s="2">
        <v>2.12083569582887E-4</v>
      </c>
      <c r="D28733" s="2">
        <v>2.0596584548979499E-4</v>
      </c>
      <c r="E28733" s="2">
        <v>3.9929723686311997E-5</v>
      </c>
      <c r="F28733" s="2">
        <v>2.0501730497918599E-4</v>
      </c>
    </row>
    <row r="28734" spans="1:6" x14ac:dyDescent="0.25">
      <c r="A28734" s="1" t="str">
        <f t="shared" si="1029"/>
        <v>38900</v>
      </c>
      <c r="B28734" s="1" t="str">
        <f>"98672"</f>
        <v>98672</v>
      </c>
      <c r="C28734" s="2">
        <v>5.1938833367237797E-5</v>
      </c>
      <c r="D28734" s="2">
        <v>0</v>
      </c>
      <c r="E28734" s="2">
        <v>0</v>
      </c>
      <c r="F28734" s="2">
        <v>4.5559401106485898E-5</v>
      </c>
    </row>
    <row r="28735" spans="1:6" x14ac:dyDescent="0.25">
      <c r="A28735" s="1" t="str">
        <f t="shared" si="1029"/>
        <v>38900</v>
      </c>
      <c r="B28735" s="1" t="str">
        <f>"97268"</f>
        <v>97268</v>
      </c>
      <c r="C28735" s="2">
        <v>6.5096671153604699E-4</v>
      </c>
      <c r="D28735" s="2">
        <v>2.6327808075652099E-3</v>
      </c>
      <c r="E28735" s="2">
        <v>1.9964861843155999E-5</v>
      </c>
      <c r="F28735" s="2">
        <v>7.9501154930817998E-4</v>
      </c>
    </row>
    <row r="28736" spans="1:6" x14ac:dyDescent="0.25">
      <c r="A28736" s="1" t="str">
        <f t="shared" ref="A28736:A28767" si="1030">"38900"</f>
        <v>38900</v>
      </c>
      <c r="B28736" s="1" t="str">
        <f>"97281"</f>
        <v>97281</v>
      </c>
      <c r="C28736" s="2">
        <v>6.7174224488294196E-4</v>
      </c>
      <c r="D28736" s="2">
        <v>6.35807609990239E-3</v>
      </c>
      <c r="E28736" s="2">
        <v>1.9964861843155999E-5</v>
      </c>
      <c r="F28736" s="2">
        <v>1.1291138240890699E-3</v>
      </c>
    </row>
    <row r="28737" spans="1:6" x14ac:dyDescent="0.25">
      <c r="A28737" s="1" t="str">
        <f t="shared" si="1030"/>
        <v>38900</v>
      </c>
      <c r="B28737" s="1" t="str">
        <f>"97296"</f>
        <v>97296</v>
      </c>
      <c r="C28737" s="2">
        <v>5.2111962811795295E-4</v>
      </c>
      <c r="D28737" s="2">
        <v>2.74919628545075E-3</v>
      </c>
      <c r="E28737" s="2">
        <v>1.9964861843155999E-5</v>
      </c>
      <c r="F28737" s="2">
        <v>6.9098425011503704E-4</v>
      </c>
    </row>
    <row r="28738" spans="1:6" x14ac:dyDescent="0.25">
      <c r="A28738" s="1" t="str">
        <f t="shared" si="1030"/>
        <v>38900</v>
      </c>
      <c r="B28738" s="1" t="str">
        <f>"97347"</f>
        <v>97347</v>
      </c>
      <c r="C28738" s="2">
        <v>1.9996450846386499E-4</v>
      </c>
      <c r="D28738" s="2">
        <v>1.79100735208518E-5</v>
      </c>
      <c r="E28738" s="2">
        <v>0</v>
      </c>
      <c r="F28738" s="2">
        <v>1.7692234096351999E-4</v>
      </c>
    </row>
    <row r="28739" spans="1:6" x14ac:dyDescent="0.25">
      <c r="A28739" s="1" t="str">
        <f t="shared" si="1030"/>
        <v>38900</v>
      </c>
      <c r="B28739" s="1" t="str">
        <f>"97219"</f>
        <v>97219</v>
      </c>
      <c r="C28739" s="2">
        <v>1.56483048463259E-2</v>
      </c>
      <c r="D28739" s="2">
        <v>1.1247526171094899E-2</v>
      </c>
      <c r="E28739" s="2">
        <v>2.1182718415588501E-2</v>
      </c>
      <c r="F28739" s="2">
        <v>1.5485640436094499E-2</v>
      </c>
    </row>
    <row r="28740" spans="1:6" x14ac:dyDescent="0.25">
      <c r="A28740" s="1" t="str">
        <f t="shared" si="1030"/>
        <v>38900</v>
      </c>
      <c r="B28740" s="1" t="str">
        <f>"97221"</f>
        <v>97221</v>
      </c>
      <c r="C28740" s="2">
        <v>4.8000138503555599E-3</v>
      </c>
      <c r="D28740" s="2">
        <v>3.3133636013575802E-3</v>
      </c>
      <c r="E28740" s="2">
        <v>3.9530426449448904E-3</v>
      </c>
      <c r="F28740" s="2">
        <v>4.6417436493991398E-3</v>
      </c>
    </row>
    <row r="28741" spans="1:6" x14ac:dyDescent="0.25">
      <c r="A28741" s="1" t="str">
        <f t="shared" si="1030"/>
        <v>38900</v>
      </c>
      <c r="B28741" s="1" t="str">
        <f>"97225"</f>
        <v>97225</v>
      </c>
      <c r="C28741" s="2">
        <v>1.08465597015248E-2</v>
      </c>
      <c r="D28741" s="2">
        <v>1.01908318333646E-2</v>
      </c>
      <c r="E28741" s="2">
        <v>2.28398019485705E-2</v>
      </c>
      <c r="F28741" s="2">
        <v>1.1247097486487801E-2</v>
      </c>
    </row>
    <row r="28742" spans="1:6" x14ac:dyDescent="0.25">
      <c r="A28742" s="1" t="str">
        <f t="shared" si="1030"/>
        <v>38900</v>
      </c>
      <c r="B28742" s="1" t="str">
        <f>"97220"</f>
        <v>97220</v>
      </c>
      <c r="C28742" s="2">
        <v>1.0932258776580699E-2</v>
      </c>
      <c r="D28742" s="2">
        <v>1.5286247750047E-2</v>
      </c>
      <c r="E28742" s="2">
        <v>1.3556141191502899E-2</v>
      </c>
      <c r="F28742" s="2">
        <v>1.14012401268981E-2</v>
      </c>
    </row>
    <row r="28743" spans="1:6" x14ac:dyDescent="0.25">
      <c r="A28743" s="1" t="str">
        <f t="shared" si="1030"/>
        <v>38900</v>
      </c>
      <c r="B28743" s="1" t="str">
        <f>"98687"</f>
        <v>98687</v>
      </c>
      <c r="C28743" s="2">
        <v>1.7892928095013399E-3</v>
      </c>
      <c r="D28743" s="2">
        <v>5.1491461372448902E-3</v>
      </c>
      <c r="E28743" s="2">
        <v>1.9964861843155999E-5</v>
      </c>
      <c r="F28743" s="2">
        <v>2.0068916187407E-3</v>
      </c>
    </row>
    <row r="28744" spans="1:6" x14ac:dyDescent="0.25">
      <c r="A28744" s="1" t="str">
        <f t="shared" si="1030"/>
        <v>38900</v>
      </c>
      <c r="B28744" s="1" t="str">
        <f>"97209"</f>
        <v>97209</v>
      </c>
      <c r="C28744" s="2">
        <v>1.4459771209439001E-2</v>
      </c>
      <c r="D28744" s="2">
        <v>2.5127833149754999E-2</v>
      </c>
      <c r="E28744" s="2">
        <v>1.7708832454879399E-2</v>
      </c>
      <c r="F28744" s="2">
        <v>1.54879184061499E-2</v>
      </c>
    </row>
    <row r="28745" spans="1:6" x14ac:dyDescent="0.25">
      <c r="A28745" s="1" t="str">
        <f t="shared" si="1030"/>
        <v>38900</v>
      </c>
      <c r="B28745" s="1" t="str">
        <f>"98682"</f>
        <v>98682</v>
      </c>
      <c r="C28745" s="2">
        <v>2.3524828926467501E-2</v>
      </c>
      <c r="D28745" s="2">
        <v>1.6584728080308701E-2</v>
      </c>
      <c r="E28745" s="2">
        <v>7.3071394345951097E-3</v>
      </c>
      <c r="F28745" s="2">
        <v>2.23195506020674E-2</v>
      </c>
    </row>
    <row r="28746" spans="1:6" x14ac:dyDescent="0.25">
      <c r="A28746" s="1" t="str">
        <f t="shared" si="1030"/>
        <v>38900</v>
      </c>
      <c r="B28746" s="1" t="str">
        <f>"98601"</f>
        <v>98601</v>
      </c>
      <c r="C28746" s="2">
        <v>1.72263797334672E-3</v>
      </c>
      <c r="D28746" s="2">
        <v>7.6117812463620104E-4</v>
      </c>
      <c r="E28746" s="2">
        <v>2.9947292764733997E-4</v>
      </c>
      <c r="F28746" s="2">
        <v>1.5869858052092599E-3</v>
      </c>
    </row>
    <row r="28747" spans="1:6" x14ac:dyDescent="0.25">
      <c r="A28747" s="1" t="str">
        <f t="shared" si="1030"/>
        <v>38900</v>
      </c>
      <c r="B28747" s="1" t="str">
        <f>"97048"</f>
        <v>97048</v>
      </c>
      <c r="C28747" s="2">
        <v>3.6712098718409201E-3</v>
      </c>
      <c r="D28747" s="2">
        <v>1.70145698448092E-3</v>
      </c>
      <c r="E28747" s="2">
        <v>6.7880530266730495E-4</v>
      </c>
      <c r="F28747" s="2">
        <v>3.3903787656743298E-3</v>
      </c>
    </row>
    <row r="28748" spans="1:6" x14ac:dyDescent="0.25">
      <c r="A28748" s="1" t="str">
        <f t="shared" si="1030"/>
        <v>38900</v>
      </c>
      <c r="B28748" s="1" t="str">
        <f>"97027"</f>
        <v>97027</v>
      </c>
      <c r="C28748" s="2">
        <v>4.9999783588194303E-3</v>
      </c>
      <c r="D28748" s="2">
        <v>4.1461820200771899E-3</v>
      </c>
      <c r="E28748" s="2">
        <v>3.2742373422775901E-3</v>
      </c>
      <c r="F28748" s="2">
        <v>4.8619474214138198E-3</v>
      </c>
    </row>
    <row r="28749" spans="1:6" x14ac:dyDescent="0.25">
      <c r="A28749" s="1" t="str">
        <f t="shared" si="1030"/>
        <v>38900</v>
      </c>
      <c r="B28749" s="1" t="str">
        <f>"97042"</f>
        <v>97042</v>
      </c>
      <c r="C28749" s="2">
        <v>1.1011032673854399E-3</v>
      </c>
      <c r="D28749" s="2">
        <v>2.1492088225022099E-4</v>
      </c>
      <c r="E28749" s="2">
        <v>0</v>
      </c>
      <c r="F28749" s="2">
        <v>9.8408306390009698E-4</v>
      </c>
    </row>
    <row r="28750" spans="1:6" x14ac:dyDescent="0.25">
      <c r="A28750" s="1" t="str">
        <f t="shared" si="1030"/>
        <v>38900</v>
      </c>
      <c r="B28750" s="1" t="str">
        <f>"97019"</f>
        <v>97019</v>
      </c>
      <c r="C28750" s="2">
        <v>1.46380945373332E-3</v>
      </c>
      <c r="D28750" s="2">
        <v>1.0746044112511001E-3</v>
      </c>
      <c r="E28750" s="2">
        <v>1.1978917105893601E-4</v>
      </c>
      <c r="F28750" s="2">
        <v>1.3796905301747501E-3</v>
      </c>
    </row>
    <row r="28751" spans="1:6" x14ac:dyDescent="0.25">
      <c r="A28751" s="1" t="str">
        <f t="shared" si="1030"/>
        <v>38900</v>
      </c>
      <c r="B28751" s="1" t="str">
        <f>"97022"</f>
        <v>97022</v>
      </c>
      <c r="C28751" s="2">
        <v>1.76505468726329E-3</v>
      </c>
      <c r="D28751" s="2">
        <v>5.9103242618810902E-4</v>
      </c>
      <c r="E28751" s="2">
        <v>3.3940265133365199E-4</v>
      </c>
      <c r="F28751" s="2">
        <v>1.6112841524660499E-3</v>
      </c>
    </row>
    <row r="28752" spans="1:6" x14ac:dyDescent="0.25">
      <c r="A28752" s="1" t="str">
        <f t="shared" si="1030"/>
        <v>38900</v>
      </c>
      <c r="B28752" s="1" t="str">
        <f>"97011"</f>
        <v>97011</v>
      </c>
      <c r="C28752" s="2">
        <v>3.7742218913526098E-4</v>
      </c>
      <c r="D28752" s="2">
        <v>5.3730220562555398E-5</v>
      </c>
      <c r="E28752" s="2">
        <v>0</v>
      </c>
      <c r="F28752" s="2">
        <v>3.35620921484446E-4</v>
      </c>
    </row>
    <row r="28753" spans="1:6" x14ac:dyDescent="0.25">
      <c r="A28753" s="1" t="str">
        <f t="shared" si="1030"/>
        <v>38900</v>
      </c>
      <c r="B28753" s="1" t="str">
        <f>"97223"</f>
        <v>97223</v>
      </c>
      <c r="C28753" s="2">
        <v>1.8395869131452799E-2</v>
      </c>
      <c r="D28753" s="2">
        <v>2.5289023811442699E-2</v>
      </c>
      <c r="E28753" s="2">
        <v>2.8070595751477301E-2</v>
      </c>
      <c r="F28753" s="2">
        <v>1.93483183265728E-2</v>
      </c>
    </row>
    <row r="28754" spans="1:6" x14ac:dyDescent="0.25">
      <c r="A28754" s="1" t="str">
        <f t="shared" si="1030"/>
        <v>38900</v>
      </c>
      <c r="B28754" s="1" t="str">
        <f>"97217"</f>
        <v>97217</v>
      </c>
      <c r="C28754" s="2">
        <v>1.5893283010374699E-2</v>
      </c>
      <c r="D28754" s="2">
        <v>1.63698071980585E-2</v>
      </c>
      <c r="E28754" s="2">
        <v>1.9186232231272901E-2</v>
      </c>
      <c r="F28754" s="2">
        <v>1.6058929566684501E-2</v>
      </c>
    </row>
    <row r="28755" spans="1:6" x14ac:dyDescent="0.25">
      <c r="A28755" s="1" t="str">
        <f t="shared" si="1030"/>
        <v>38900</v>
      </c>
      <c r="B28755" s="1" t="str">
        <f>"97227"</f>
        <v>97227</v>
      </c>
      <c r="C28755" s="2">
        <v>3.0799728186772001E-3</v>
      </c>
      <c r="D28755" s="2">
        <v>7.7819269448100997E-3</v>
      </c>
      <c r="E28755" s="2">
        <v>5.9095991055741802E-3</v>
      </c>
      <c r="F28755" s="2">
        <v>3.5862841904322198E-3</v>
      </c>
    </row>
    <row r="28756" spans="1:6" x14ac:dyDescent="0.25">
      <c r="A28756" s="1" t="str">
        <f t="shared" si="1030"/>
        <v>38900</v>
      </c>
      <c r="B28756" s="1" t="str">
        <f>"97233"</f>
        <v>97233</v>
      </c>
      <c r="C28756" s="2">
        <v>1.3654719292246801E-2</v>
      </c>
      <c r="D28756" s="2">
        <v>6.6177721659547396E-3</v>
      </c>
      <c r="E28756" s="2">
        <v>1.7888516211467798E-2</v>
      </c>
      <c r="F28756" s="2">
        <v>1.32190602310469E-2</v>
      </c>
    </row>
    <row r="28757" spans="1:6" x14ac:dyDescent="0.25">
      <c r="A28757" s="1" t="str">
        <f t="shared" si="1030"/>
        <v>38900</v>
      </c>
      <c r="B28757" s="1" t="str">
        <f>"97240"</f>
        <v>97240</v>
      </c>
      <c r="C28757" s="2">
        <v>4.9515021143433399E-4</v>
      </c>
      <c r="D28757" s="2">
        <v>4.2088672774001699E-4</v>
      </c>
      <c r="E28757" s="2">
        <v>3.9929723686311997E-5</v>
      </c>
      <c r="F28757" s="2">
        <v>4.7153980145212899E-4</v>
      </c>
    </row>
    <row r="28758" spans="1:6" x14ac:dyDescent="0.25">
      <c r="A28758" s="1" t="str">
        <f t="shared" si="1030"/>
        <v>38900</v>
      </c>
      <c r="B28758" s="1" t="str">
        <f>"97203"</f>
        <v>97203</v>
      </c>
      <c r="C28758" s="2">
        <v>1.17390419882185E-2</v>
      </c>
      <c r="D28758" s="2">
        <v>8.98190187070717E-3</v>
      </c>
      <c r="E28758" s="2">
        <v>1.6830378533780499E-2</v>
      </c>
      <c r="F28758" s="2">
        <v>1.16988948807938E-2</v>
      </c>
    </row>
    <row r="28759" spans="1:6" x14ac:dyDescent="0.25">
      <c r="A28759" s="1" t="str">
        <f t="shared" si="1030"/>
        <v>38900</v>
      </c>
      <c r="B28759" s="1" t="str">
        <f>"97007"</f>
        <v>97007</v>
      </c>
      <c r="C28759" s="2">
        <v>1.6899165083253599E-2</v>
      </c>
      <c r="D28759" s="2">
        <v>5.9461444089227902E-3</v>
      </c>
      <c r="E28759" s="2">
        <v>2.1442261619549499E-2</v>
      </c>
      <c r="F28759" s="2">
        <v>1.61432144587315E-2</v>
      </c>
    </row>
    <row r="28760" spans="1:6" x14ac:dyDescent="0.25">
      <c r="A28760" s="1" t="str">
        <f t="shared" si="1030"/>
        <v>38900</v>
      </c>
      <c r="B28760" s="1" t="str">
        <f>"97015"</f>
        <v>97015</v>
      </c>
      <c r="C28760" s="2">
        <v>1.01687579260823E-2</v>
      </c>
      <c r="D28760" s="2">
        <v>2.1868199768960001E-2</v>
      </c>
      <c r="E28760" s="2">
        <v>7.1074908161635501E-3</v>
      </c>
      <c r="F28760" s="2">
        <v>1.1044358151563899E-2</v>
      </c>
    </row>
    <row r="28761" spans="1:6" x14ac:dyDescent="0.25">
      <c r="A28761" s="1" t="str">
        <f t="shared" si="1030"/>
        <v>38900</v>
      </c>
      <c r="B28761" s="1" t="str">
        <f>"97089"</f>
        <v>97089</v>
      </c>
      <c r="C28761" s="2">
        <v>4.3507429417289504E-3</v>
      </c>
      <c r="D28761" s="2">
        <v>1.3253454405430299E-3</v>
      </c>
      <c r="E28761" s="2">
        <v>4.1926209870627601E-4</v>
      </c>
      <c r="F28761" s="2">
        <v>3.9446848124699103E-3</v>
      </c>
    </row>
    <row r="28762" spans="1:6" x14ac:dyDescent="0.25">
      <c r="A28762" s="1" t="str">
        <f t="shared" si="1030"/>
        <v>38900</v>
      </c>
      <c r="B28762" s="1" t="str">
        <f>"97064"</f>
        <v>97064</v>
      </c>
      <c r="C28762" s="2">
        <v>1.5070918148726801E-3</v>
      </c>
      <c r="D28762" s="2">
        <v>9.5818893336557104E-4</v>
      </c>
      <c r="E28762" s="2">
        <v>5.5901613160836902E-4</v>
      </c>
      <c r="F28762" s="2">
        <v>1.4244906079294601E-3</v>
      </c>
    </row>
    <row r="28763" spans="1:6" x14ac:dyDescent="0.25">
      <c r="A28763" s="1" t="str">
        <f t="shared" si="1030"/>
        <v>38900</v>
      </c>
      <c r="B28763" s="1" t="str">
        <f>"97067"</f>
        <v>97067</v>
      </c>
      <c r="C28763" s="2">
        <v>1.4291835648218201E-3</v>
      </c>
      <c r="D28763" s="2">
        <v>3.1342628661490602E-4</v>
      </c>
      <c r="E28763" s="2">
        <v>5.1908640792205701E-4</v>
      </c>
      <c r="F28763" s="2">
        <v>1.2999615782384E-3</v>
      </c>
    </row>
    <row r="28764" spans="1:6" x14ac:dyDescent="0.25">
      <c r="A28764" s="1" t="str">
        <f t="shared" si="1030"/>
        <v>38900</v>
      </c>
      <c r="B28764" s="1" t="str">
        <f>"97071"</f>
        <v>97071</v>
      </c>
      <c r="C28764" s="2">
        <v>2.9605135019325501E-4</v>
      </c>
      <c r="D28764" s="2">
        <v>8.0595330843833093E-5</v>
      </c>
      <c r="E28764" s="2">
        <v>0</v>
      </c>
      <c r="F28764" s="2">
        <v>2.6652249647294299E-4</v>
      </c>
    </row>
    <row r="28765" spans="1:6" x14ac:dyDescent="0.25">
      <c r="A28765" s="1" t="str">
        <f t="shared" si="1030"/>
        <v>38900</v>
      </c>
      <c r="B28765" s="1" t="str">
        <f>"97283"</f>
        <v>97283</v>
      </c>
      <c r="C28765" s="2">
        <v>3.8175042524919798E-4</v>
      </c>
      <c r="D28765" s="2">
        <v>1.8268274991268801E-3</v>
      </c>
      <c r="E28765" s="2">
        <v>1.9964861843155999E-5</v>
      </c>
      <c r="F28765" s="2">
        <v>4.9052288524649901E-4</v>
      </c>
    </row>
    <row r="28766" spans="1:6" x14ac:dyDescent="0.25">
      <c r="A28766" s="1" t="str">
        <f t="shared" si="1030"/>
        <v>38900</v>
      </c>
      <c r="B28766" s="1" t="str">
        <f>"97010"</f>
        <v>97010</v>
      </c>
      <c r="C28766" s="2">
        <v>0</v>
      </c>
      <c r="D28766" s="2">
        <v>0</v>
      </c>
      <c r="E28766" s="2">
        <v>1.9964861843155999E-5</v>
      </c>
      <c r="F28766" s="2">
        <v>7.5932335177476598E-7</v>
      </c>
    </row>
    <row r="28767" spans="1:6" x14ac:dyDescent="0.25">
      <c r="A28767" s="1" t="str">
        <f t="shared" si="1030"/>
        <v>38900</v>
      </c>
      <c r="B28767" s="1" t="str">
        <f>"97252"</f>
        <v>97252</v>
      </c>
      <c r="C28767" s="2">
        <v>0</v>
      </c>
      <c r="D28767" s="2">
        <v>8.9550367604259002E-6</v>
      </c>
      <c r="E28767" s="2">
        <v>1.9964861843155999E-5</v>
      </c>
      <c r="F28767" s="2">
        <v>1.5186467035495301E-6</v>
      </c>
    </row>
    <row r="28768" spans="1:6" x14ac:dyDescent="0.25">
      <c r="A28768" s="1" t="str">
        <f t="shared" ref="A28768:A28799" si="1031">"38900"</f>
        <v>38900</v>
      </c>
      <c r="B28768" s="1" t="str">
        <f>"97238"</f>
        <v>97238</v>
      </c>
      <c r="C28768" s="2">
        <v>6.2413164762964099E-4</v>
      </c>
      <c r="D28768" s="2">
        <v>3.14321790290949E-3</v>
      </c>
      <c r="E28768" s="2">
        <v>1.9964861843155999E-5</v>
      </c>
      <c r="F28768" s="2">
        <v>8.1475395645432404E-4</v>
      </c>
    </row>
    <row r="28769" spans="1:6" x14ac:dyDescent="0.25">
      <c r="A28769" s="1" t="str">
        <f t="shared" si="1031"/>
        <v>38900</v>
      </c>
      <c r="B28769" s="1" t="str">
        <f>"97298"</f>
        <v>97298</v>
      </c>
      <c r="C28769" s="2">
        <v>2.5276898905389001E-4</v>
      </c>
      <c r="D28769" s="2">
        <v>2.6506908810860598E-3</v>
      </c>
      <c r="E28769" s="2">
        <v>1.9964861843155999E-5</v>
      </c>
      <c r="F28769" s="2">
        <v>4.4724145419533702E-4</v>
      </c>
    </row>
    <row r="28770" spans="1:6" x14ac:dyDescent="0.25">
      <c r="A28770" s="1" t="str">
        <f t="shared" si="1031"/>
        <v>38900</v>
      </c>
      <c r="B28770" s="1" t="str">
        <f>"97254"</f>
        <v>97254</v>
      </c>
      <c r="C28770" s="2">
        <v>0</v>
      </c>
      <c r="D28770" s="2">
        <v>3.5820147041703601E-5</v>
      </c>
      <c r="E28770" s="2">
        <v>1.9964861843155999E-5</v>
      </c>
      <c r="F28770" s="2">
        <v>3.7966167588738299E-6</v>
      </c>
    </row>
    <row r="28771" spans="1:6" x14ac:dyDescent="0.25">
      <c r="A28771" s="1" t="str">
        <f t="shared" si="1031"/>
        <v>38900</v>
      </c>
      <c r="B28771" s="1" t="str">
        <f>"97075"</f>
        <v>97075</v>
      </c>
      <c r="C28771" s="2">
        <v>9.4442112006094098E-4</v>
      </c>
      <c r="D28771" s="2">
        <v>5.8655490780789602E-3</v>
      </c>
      <c r="E28771" s="2">
        <v>1.9964861843155999E-5</v>
      </c>
      <c r="F28771" s="2">
        <v>1.3265378955505101E-3</v>
      </c>
    </row>
    <row r="28772" spans="1:6" x14ac:dyDescent="0.25">
      <c r="A28772" s="1" t="str">
        <f t="shared" si="1031"/>
        <v>38900</v>
      </c>
      <c r="B28772" s="1" t="str">
        <f>"97269"</f>
        <v>97269</v>
      </c>
      <c r="C28772" s="2">
        <v>7.1589025324509498E-4</v>
      </c>
      <c r="D28772" s="2">
        <v>2.7312862119298902E-3</v>
      </c>
      <c r="E28772" s="2">
        <v>1.9964861843155999E-5</v>
      </c>
      <c r="F28772" s="2">
        <v>8.6031335756080998E-4</v>
      </c>
    </row>
    <row r="28773" spans="1:6" x14ac:dyDescent="0.25">
      <c r="A28773" s="1" t="str">
        <f t="shared" si="1031"/>
        <v>38900</v>
      </c>
      <c r="B28773" s="1" t="str">
        <f>"97028"</f>
        <v>97028</v>
      </c>
      <c r="C28773" s="2">
        <v>7.6176955605282101E-4</v>
      </c>
      <c r="D28773" s="2">
        <v>5.3730220562555398E-5</v>
      </c>
      <c r="E28773" s="2">
        <v>5.9894585529468098E-5</v>
      </c>
      <c r="F28773" s="2">
        <v>6.7503845972776701E-4</v>
      </c>
    </row>
    <row r="28774" spans="1:6" x14ac:dyDescent="0.25">
      <c r="A28774" s="1" t="str">
        <f t="shared" si="1031"/>
        <v>38900</v>
      </c>
      <c r="B28774" s="1" t="str">
        <f>"97032"</f>
        <v>97032</v>
      </c>
      <c r="C28774" s="2">
        <v>1.8957674179041799E-4</v>
      </c>
      <c r="D28774" s="2">
        <v>1.34325551406388E-4</v>
      </c>
      <c r="E28774" s="2">
        <v>5.9894585529468098E-5</v>
      </c>
      <c r="F28774" s="2">
        <v>1.7995963437061901E-4</v>
      </c>
    </row>
    <row r="28775" spans="1:6" x14ac:dyDescent="0.25">
      <c r="A28775" s="1" t="str">
        <f t="shared" si="1031"/>
        <v>38900</v>
      </c>
      <c r="B28775" s="1" t="str">
        <f>"97216"</f>
        <v>97216</v>
      </c>
      <c r="C28775" s="2">
        <v>6.1504235179037402E-3</v>
      </c>
      <c r="D28775" s="2">
        <v>6.6535923129964402E-3</v>
      </c>
      <c r="E28775" s="2">
        <v>7.7064366714582298E-3</v>
      </c>
      <c r="F28775" s="2">
        <v>6.2522684785134199E-3</v>
      </c>
    </row>
    <row r="28776" spans="1:6" x14ac:dyDescent="0.25">
      <c r="A28776" s="1" t="str">
        <f t="shared" si="1031"/>
        <v>38900</v>
      </c>
      <c r="B28776" s="1" t="str">
        <f>"97280"</f>
        <v>97280</v>
      </c>
      <c r="C28776" s="2">
        <v>6.6308577265506905E-4</v>
      </c>
      <c r="D28776" s="2">
        <v>5.17601124752617E-3</v>
      </c>
      <c r="E28776" s="2">
        <v>1.9964861843155999E-5</v>
      </c>
      <c r="F28776" s="2">
        <v>1.02128990813706E-3</v>
      </c>
    </row>
    <row r="28777" spans="1:6" x14ac:dyDescent="0.25">
      <c r="A28777" s="1" t="str">
        <f t="shared" si="1031"/>
        <v>38900</v>
      </c>
      <c r="B28777" s="1" t="str">
        <f>"97128"</f>
        <v>97128</v>
      </c>
      <c r="C28777" s="2">
        <v>1.45575893456139E-2</v>
      </c>
      <c r="D28777" s="2">
        <v>1.7560827087195099E-2</v>
      </c>
      <c r="E28777" s="2">
        <v>1.32566682638556E-2</v>
      </c>
      <c r="F28777" s="2">
        <v>1.4762764605205E-2</v>
      </c>
    </row>
    <row r="28778" spans="1:6" x14ac:dyDescent="0.25">
      <c r="A28778" s="1" t="str">
        <f t="shared" si="1031"/>
        <v>38900</v>
      </c>
      <c r="B28778" s="1" t="str">
        <f>"97140"</f>
        <v>97140</v>
      </c>
      <c r="C28778" s="2">
        <v>9.0702516003653005E-3</v>
      </c>
      <c r="D28778" s="2">
        <v>1.02535170906876E-2</v>
      </c>
      <c r="E28778" s="2">
        <v>7.5666826385561402E-3</v>
      </c>
      <c r="F28778" s="2">
        <v>9.1133988680007407E-3</v>
      </c>
    </row>
    <row r="28779" spans="1:6" x14ac:dyDescent="0.25">
      <c r="A28779" s="1" t="str">
        <f t="shared" si="1031"/>
        <v>38900</v>
      </c>
      <c r="B28779" s="1" t="str">
        <f>"97132"</f>
        <v>97132</v>
      </c>
      <c r="C28779" s="2">
        <v>1.15615843075471E-2</v>
      </c>
      <c r="D28779" s="2">
        <v>1.2178849994179199E-2</v>
      </c>
      <c r="E28779" s="2">
        <v>1.32167385401693E-2</v>
      </c>
      <c r="F28779" s="2">
        <v>1.16768745035923E-2</v>
      </c>
    </row>
    <row r="28780" spans="1:6" x14ac:dyDescent="0.25">
      <c r="A28780" s="1" t="str">
        <f t="shared" si="1031"/>
        <v>38900</v>
      </c>
      <c r="B28780" s="1" t="str">
        <f>"98686"</f>
        <v>98686</v>
      </c>
      <c r="C28780" s="2">
        <v>7.8280478356655293E-3</v>
      </c>
      <c r="D28780" s="2">
        <v>4.00290143191037E-3</v>
      </c>
      <c r="E28780" s="2">
        <v>4.4122344673374796E-3</v>
      </c>
      <c r="F28780" s="2">
        <v>7.3737890690847496E-3</v>
      </c>
    </row>
    <row r="28781" spans="1:6" x14ac:dyDescent="0.25">
      <c r="A28781" s="1" t="str">
        <f t="shared" si="1031"/>
        <v>38900</v>
      </c>
      <c r="B28781" s="1" t="str">
        <f>"97038"</f>
        <v>97038</v>
      </c>
      <c r="C28781" s="2">
        <v>6.03875502616418E-3</v>
      </c>
      <c r="D28781" s="2">
        <v>2.23875919010647E-3</v>
      </c>
      <c r="E28781" s="2">
        <v>2.8549752435713099E-3</v>
      </c>
      <c r="F28781" s="2">
        <v>5.5954537792282499E-3</v>
      </c>
    </row>
    <row r="28782" spans="1:6" x14ac:dyDescent="0.25">
      <c r="A28782" s="1" t="str">
        <f t="shared" si="1031"/>
        <v>38900</v>
      </c>
      <c r="B28782" s="1" t="str">
        <f>"97009"</f>
        <v>97009</v>
      </c>
      <c r="C28782" s="2">
        <v>3.8019226024818102E-3</v>
      </c>
      <c r="D28782" s="2">
        <v>5.1939213210470203E-3</v>
      </c>
      <c r="E28782" s="2">
        <v>5.3905126976521302E-4</v>
      </c>
      <c r="F28782" s="2">
        <v>3.79585743552205E-3</v>
      </c>
    </row>
    <row r="28783" spans="1:6" x14ac:dyDescent="0.25">
      <c r="A28783" s="1" t="str">
        <f t="shared" si="1031"/>
        <v>38900</v>
      </c>
      <c r="B28783" s="1" t="str">
        <f>"97056"</f>
        <v>97056</v>
      </c>
      <c r="C28783" s="2">
        <v>5.7885829787786497E-3</v>
      </c>
      <c r="D28783" s="2">
        <v>4.1193169097959101E-3</v>
      </c>
      <c r="E28783" s="2">
        <v>3.0146941383165601E-3</v>
      </c>
      <c r="F28783" s="2">
        <v>5.5415418212522403E-3</v>
      </c>
    </row>
    <row r="28784" spans="1:6" x14ac:dyDescent="0.25">
      <c r="A28784" s="1" t="str">
        <f t="shared" si="1031"/>
        <v>38900</v>
      </c>
      <c r="B28784" s="1" t="str">
        <f>"97080"</f>
        <v>97080</v>
      </c>
      <c r="C28784" s="2">
        <v>1.60456369215853E-2</v>
      </c>
      <c r="D28784" s="2">
        <v>2.6059156972839301E-3</v>
      </c>
      <c r="E28784" s="2">
        <v>2.8350103817281502E-3</v>
      </c>
      <c r="F28784" s="2">
        <v>1.44036046598155E-2</v>
      </c>
    </row>
    <row r="28785" spans="1:6" x14ac:dyDescent="0.25">
      <c r="A28785" s="1" t="str">
        <f t="shared" si="1031"/>
        <v>38900</v>
      </c>
      <c r="B28785" s="1" t="str">
        <f>"98616"</f>
        <v>98616</v>
      </c>
      <c r="C28785" s="2">
        <v>1.03877666734475E-5</v>
      </c>
      <c r="D28785" s="2">
        <v>0</v>
      </c>
      <c r="E28785" s="2">
        <v>0</v>
      </c>
      <c r="F28785" s="2">
        <v>9.1118802212971901E-6</v>
      </c>
    </row>
    <row r="28786" spans="1:6" x14ac:dyDescent="0.25">
      <c r="A28786" s="1" t="str">
        <f t="shared" si="1031"/>
        <v>38900</v>
      </c>
      <c r="B28786" s="1" t="str">
        <f>"97375"</f>
        <v>97375</v>
      </c>
      <c r="C28786" s="2">
        <v>4.1551066693790202E-5</v>
      </c>
      <c r="D28786" s="2">
        <v>8.9550367604259002E-6</v>
      </c>
      <c r="E28786" s="2">
        <v>0</v>
      </c>
      <c r="F28786" s="2">
        <v>3.7206844236963503E-5</v>
      </c>
    </row>
    <row r="28787" spans="1:6" x14ac:dyDescent="0.25">
      <c r="A28787" s="1" t="str">
        <f t="shared" si="1031"/>
        <v>38900</v>
      </c>
      <c r="B28787" s="1" t="str">
        <f>"97396"</f>
        <v>97396</v>
      </c>
      <c r="C28787" s="2">
        <v>8.1024580052891E-4</v>
      </c>
      <c r="D28787" s="2">
        <v>8.9550367604258999E-5</v>
      </c>
      <c r="E28787" s="2">
        <v>2.5954320396102802E-4</v>
      </c>
      <c r="F28787" s="2">
        <v>7.2819109435200103E-4</v>
      </c>
    </row>
    <row r="28788" spans="1:6" x14ac:dyDescent="0.25">
      <c r="A28788" s="1" t="str">
        <f t="shared" si="1031"/>
        <v>38900</v>
      </c>
      <c r="B28788" s="1" t="str">
        <f>"97035"</f>
        <v>97035</v>
      </c>
      <c r="C28788" s="2">
        <v>1.08084712237221E-2</v>
      </c>
      <c r="D28788" s="2">
        <v>1.9047363189425799E-2</v>
      </c>
      <c r="E28788" s="2">
        <v>8.56492573071394E-3</v>
      </c>
      <c r="F28788" s="2">
        <v>1.1421741857396001E-2</v>
      </c>
    </row>
    <row r="28789" spans="1:6" x14ac:dyDescent="0.25">
      <c r="A28789" s="1" t="str">
        <f t="shared" si="1031"/>
        <v>38900</v>
      </c>
      <c r="B28789" s="1" t="str">
        <f>"97013"</f>
        <v>97013</v>
      </c>
      <c r="C28789" s="2">
        <v>8.8408550863266593E-3</v>
      </c>
      <c r="D28789" s="2">
        <v>9.5997994071765607E-3</v>
      </c>
      <c r="E28789" s="2">
        <v>2.5954320396102798E-3</v>
      </c>
      <c r="F28789" s="2">
        <v>8.6676760605089494E-3</v>
      </c>
    </row>
    <row r="28790" spans="1:6" x14ac:dyDescent="0.25">
      <c r="A28790" s="1" t="str">
        <f t="shared" si="1031"/>
        <v>38900</v>
      </c>
      <c r="B28790" s="1" t="str">
        <f>"97070"</f>
        <v>97070</v>
      </c>
      <c r="C28790" s="2">
        <v>1.24843642470384E-2</v>
      </c>
      <c r="D28790" s="2">
        <v>1.6342942087777201E-2</v>
      </c>
      <c r="E28790" s="2">
        <v>2.3658361284139898E-2</v>
      </c>
      <c r="F28790" s="2">
        <v>1.3236524668137699E-2</v>
      </c>
    </row>
    <row r="28791" spans="1:6" x14ac:dyDescent="0.25">
      <c r="A28791" s="1" t="str">
        <f t="shared" si="1031"/>
        <v>38900</v>
      </c>
      <c r="B28791" s="1" t="str">
        <f>"97003"</f>
        <v>97003</v>
      </c>
      <c r="C28791" s="2">
        <v>9.7454564341393907E-3</v>
      </c>
      <c r="D28791" s="2">
        <v>4.1640920935980402E-3</v>
      </c>
      <c r="E28791" s="2">
        <v>1.2557898099345099E-2</v>
      </c>
      <c r="F28791" s="2">
        <v>9.3791620411219096E-3</v>
      </c>
    </row>
    <row r="28792" spans="1:6" x14ac:dyDescent="0.25">
      <c r="A28792" s="1" t="str">
        <f t="shared" si="1031"/>
        <v>38900</v>
      </c>
      <c r="B28792" s="1" t="str">
        <f>"97004"</f>
        <v>97004</v>
      </c>
      <c r="C28792" s="2">
        <v>2.0334053263273599E-3</v>
      </c>
      <c r="D28792" s="2">
        <v>1.25370514645962E-3</v>
      </c>
      <c r="E28792" s="2">
        <v>9.9824309215780204E-5</v>
      </c>
      <c r="F28792" s="2">
        <v>1.8937524393262599E-3</v>
      </c>
    </row>
    <row r="28793" spans="1:6" x14ac:dyDescent="0.25">
      <c r="A28793" s="1" t="str">
        <f t="shared" si="1031"/>
        <v>38900</v>
      </c>
      <c r="B28793" s="1" t="str">
        <f>"97224"</f>
        <v>97224</v>
      </c>
      <c r="C28793" s="2">
        <v>1.45835587622976E-2</v>
      </c>
      <c r="D28793" s="2">
        <v>1.1211706024053201E-2</v>
      </c>
      <c r="E28793" s="2">
        <v>2.64734068040249E-2</v>
      </c>
      <c r="F28793" s="2">
        <v>1.4749856108224799E-2</v>
      </c>
    </row>
    <row r="28794" spans="1:6" x14ac:dyDescent="0.25">
      <c r="A28794" s="1" t="str">
        <f t="shared" si="1031"/>
        <v>38900</v>
      </c>
      <c r="B28794" s="1" t="str">
        <f>"97291"</f>
        <v>97291</v>
      </c>
      <c r="C28794" s="2">
        <v>2.7614146406914703E-4</v>
      </c>
      <c r="D28794" s="2">
        <v>1.60295158011623E-3</v>
      </c>
      <c r="E28794" s="2">
        <v>1.9964861843155999E-5</v>
      </c>
      <c r="F28794" s="2">
        <v>3.7890235253560799E-4</v>
      </c>
    </row>
    <row r="28795" spans="1:6" x14ac:dyDescent="0.25">
      <c r="A28795" s="1" t="str">
        <f t="shared" si="1031"/>
        <v>38900</v>
      </c>
      <c r="B28795" s="1" t="str">
        <f>"97212"</f>
        <v>97212</v>
      </c>
      <c r="C28795" s="2">
        <v>1.04189299734679E-2</v>
      </c>
      <c r="D28795" s="2">
        <v>8.3102741136752301E-3</v>
      </c>
      <c r="E28795" s="2">
        <v>1.5832135441622701E-2</v>
      </c>
      <c r="F28795" s="2">
        <v>1.04460113503654E-2</v>
      </c>
    </row>
    <row r="28796" spans="1:6" x14ac:dyDescent="0.25">
      <c r="A28796" s="1" t="str">
        <f t="shared" si="1031"/>
        <v>38900</v>
      </c>
      <c r="B28796" s="1" t="str">
        <f>"97133"</f>
        <v>97133</v>
      </c>
      <c r="C28796" s="2">
        <v>3.1803878965205299E-3</v>
      </c>
      <c r="D28796" s="2">
        <v>2.42681496207541E-3</v>
      </c>
      <c r="E28796" s="2">
        <v>2.9947292764733997E-4</v>
      </c>
      <c r="F28796" s="2">
        <v>3.00692047302807E-3</v>
      </c>
    </row>
    <row r="28797" spans="1:6" x14ac:dyDescent="0.25">
      <c r="A28797" s="1" t="str">
        <f t="shared" si="1031"/>
        <v>38900</v>
      </c>
      <c r="B28797" s="1" t="str">
        <f>"98660"</f>
        <v>98660</v>
      </c>
      <c r="C28797" s="2">
        <v>6.0006665483615402E-3</v>
      </c>
      <c r="D28797" s="2">
        <v>1.4542979698931599E-2</v>
      </c>
      <c r="E28797" s="2">
        <v>1.03617632965979E-2</v>
      </c>
      <c r="F28797" s="2">
        <v>6.8908594173559996E-3</v>
      </c>
    </row>
    <row r="28798" spans="1:6" x14ac:dyDescent="0.25">
      <c r="A28798" s="1" t="str">
        <f t="shared" si="1031"/>
        <v>38900</v>
      </c>
      <c r="B28798" s="1" t="str">
        <f>"98664"</f>
        <v>98664</v>
      </c>
      <c r="C28798" s="2">
        <v>9.77921667582809E-3</v>
      </c>
      <c r="D28798" s="2">
        <v>2.7223311751694698E-3</v>
      </c>
      <c r="E28798" s="2">
        <v>4.9712505989458504E-3</v>
      </c>
      <c r="F28798" s="2">
        <v>8.9979817185309799E-3</v>
      </c>
    </row>
    <row r="28799" spans="1:6" x14ac:dyDescent="0.25">
      <c r="A28799" s="1" t="str">
        <f t="shared" si="1031"/>
        <v>38900</v>
      </c>
      <c r="B28799" s="1" t="str">
        <f>"98606"</f>
        <v>98606</v>
      </c>
      <c r="C28799" s="2">
        <v>3.8876216775377498E-3</v>
      </c>
      <c r="D28799" s="2">
        <v>3.3670938219201299E-3</v>
      </c>
      <c r="E28799" s="2">
        <v>3.3940265133365199E-4</v>
      </c>
      <c r="F28799" s="2">
        <v>3.7085352500679501E-3</v>
      </c>
    </row>
    <row r="28800" spans="1:6" x14ac:dyDescent="0.25">
      <c r="A28800" s="1" t="str">
        <f t="shared" ref="A28800:A28806" si="1032">"38900"</f>
        <v>38900</v>
      </c>
      <c r="B28800" s="1" t="str">
        <f>"98604"</f>
        <v>98604</v>
      </c>
      <c r="C28800" s="2">
        <v>1.40927367869772E-2</v>
      </c>
      <c r="D28800" s="2">
        <v>1.09699200315217E-2</v>
      </c>
      <c r="E28800" s="2">
        <v>5.1309694936911001E-3</v>
      </c>
      <c r="F28800" s="2">
        <v>1.34871013742234E-2</v>
      </c>
    </row>
    <row r="28801" spans="1:6" x14ac:dyDescent="0.25">
      <c r="A28801" s="1" t="str">
        <f t="shared" si="1032"/>
        <v>38900</v>
      </c>
      <c r="B28801" s="1" t="str">
        <f>"97362"</f>
        <v>97362</v>
      </c>
      <c r="C28801" s="2">
        <v>3.02976527975554E-5</v>
      </c>
      <c r="D28801" s="2">
        <v>3.5820147041703601E-5</v>
      </c>
      <c r="E28801" s="2">
        <v>0</v>
      </c>
      <c r="F28801" s="2">
        <v>2.9613610719215799E-5</v>
      </c>
    </row>
    <row r="28802" spans="1:6" x14ac:dyDescent="0.25">
      <c r="A28802" s="1" t="str">
        <f t="shared" si="1032"/>
        <v>38900</v>
      </c>
      <c r="B28802" s="1" t="str">
        <f>"97242"</f>
        <v>97242</v>
      </c>
      <c r="C28802" s="2">
        <v>2.9518570297046802E-4</v>
      </c>
      <c r="D28802" s="2">
        <v>1.6298166903975101E-3</v>
      </c>
      <c r="E28802" s="2">
        <v>1.9964861843155999E-5</v>
      </c>
      <c r="F28802" s="2">
        <v>3.9788543632997698E-4</v>
      </c>
    </row>
    <row r="28803" spans="1:6" x14ac:dyDescent="0.25">
      <c r="A28803" s="1" t="str">
        <f t="shared" si="1032"/>
        <v>38900</v>
      </c>
      <c r="B28803" s="1" t="str">
        <f>"97286"</f>
        <v>97286</v>
      </c>
      <c r="C28803" s="2">
        <v>4.17241961383477E-4</v>
      </c>
      <c r="D28803" s="2">
        <v>2.5969606605235102E-3</v>
      </c>
      <c r="E28803" s="2">
        <v>1.9964861843155999E-5</v>
      </c>
      <c r="F28803" s="2">
        <v>5.8695695092189398E-4</v>
      </c>
    </row>
    <row r="28804" spans="1:6" x14ac:dyDescent="0.25">
      <c r="A28804" s="1" t="str">
        <f t="shared" si="1032"/>
        <v>38900</v>
      </c>
      <c r="B28804" s="1" t="str">
        <f>"97251"</f>
        <v>97251</v>
      </c>
      <c r="C28804" s="2">
        <v>0</v>
      </c>
      <c r="D28804" s="2">
        <v>1.34325551406388E-4</v>
      </c>
      <c r="E28804" s="2">
        <v>1.9964861843155999E-5</v>
      </c>
      <c r="F28804" s="2">
        <v>1.21491736283962E-5</v>
      </c>
    </row>
    <row r="28805" spans="1:6" x14ac:dyDescent="0.25">
      <c r="A28805" s="1" t="str">
        <f t="shared" si="1032"/>
        <v>38900</v>
      </c>
      <c r="B28805" s="1" t="str">
        <f>"97282"</f>
        <v>97282</v>
      </c>
      <c r="C28805" s="2">
        <v>5.5228292813829503E-4</v>
      </c>
      <c r="D28805" s="2">
        <v>2.9909822779822502E-3</v>
      </c>
      <c r="E28805" s="2">
        <v>1.9964861843155999E-5</v>
      </c>
      <c r="F28805" s="2">
        <v>7.3882162127684699E-4</v>
      </c>
    </row>
    <row r="28806" spans="1:6" x14ac:dyDescent="0.25">
      <c r="A28806" s="1" t="str">
        <f t="shared" si="1032"/>
        <v>38900</v>
      </c>
      <c r="B28806" s="1" t="str">
        <f>"97290"</f>
        <v>97290</v>
      </c>
      <c r="C28806" s="2">
        <v>9.1066087837223604E-4</v>
      </c>
      <c r="D28806" s="2">
        <v>3.1611279764303399E-3</v>
      </c>
      <c r="E28806" s="2">
        <v>1.9964861843155999E-5</v>
      </c>
      <c r="F28806" s="2">
        <v>1.0676086325953199E-3</v>
      </c>
    </row>
    <row r="28807" spans="1:6" x14ac:dyDescent="0.25">
      <c r="A28807" s="1" t="str">
        <f t="shared" ref="A28807:A28812" si="1033">"38920"</f>
        <v>38920</v>
      </c>
      <c r="B28807" s="1" t="str">
        <f>"77983"</f>
        <v>77983</v>
      </c>
      <c r="C28807" s="2">
        <v>6.8031933356473395E-2</v>
      </c>
      <c r="D28807" s="2">
        <v>2.0066889632107E-2</v>
      </c>
      <c r="E28807" s="2">
        <v>0.14606741573033699</v>
      </c>
      <c r="F28807" s="2">
        <v>6.6491511721907801E-2</v>
      </c>
    </row>
    <row r="28808" spans="1:6" x14ac:dyDescent="0.25">
      <c r="A28808" s="1" t="str">
        <f t="shared" si="1033"/>
        <v>38920</v>
      </c>
      <c r="B28808" s="1" t="str">
        <f>"77978"</f>
        <v>77978</v>
      </c>
      <c r="C28808" s="2">
        <v>0</v>
      </c>
      <c r="D28808" s="2">
        <v>1.11482720178372E-3</v>
      </c>
      <c r="E28808" s="2">
        <v>8.4269662921348295E-3</v>
      </c>
      <c r="F28808" s="2">
        <v>4.0420371867421102E-4</v>
      </c>
    </row>
    <row r="28809" spans="1:6" x14ac:dyDescent="0.25">
      <c r="A28809" s="1" t="str">
        <f t="shared" si="1033"/>
        <v>38920</v>
      </c>
      <c r="B28809" s="1" t="str">
        <f>"77465"</f>
        <v>77465</v>
      </c>
      <c r="C28809" s="2">
        <v>7.5205368506305603E-3</v>
      </c>
      <c r="D28809" s="2">
        <v>0</v>
      </c>
      <c r="E28809" s="2">
        <v>0</v>
      </c>
      <c r="F28809" s="2">
        <v>6.5683104284559399E-3</v>
      </c>
    </row>
    <row r="28810" spans="1:6" x14ac:dyDescent="0.25">
      <c r="A28810" s="1" t="str">
        <f t="shared" si="1033"/>
        <v>38920</v>
      </c>
      <c r="B28810" s="1" t="str">
        <f>"77979"</f>
        <v>77979</v>
      </c>
      <c r="C28810" s="2">
        <v>0.87330787920860797</v>
      </c>
      <c r="D28810" s="2">
        <v>0.86287625418060199</v>
      </c>
      <c r="E28810" s="2">
        <v>0.800561797752808</v>
      </c>
      <c r="F28810" s="2">
        <v>0.86974535165723499</v>
      </c>
    </row>
    <row r="28811" spans="1:6" x14ac:dyDescent="0.25">
      <c r="A28811" s="1" t="str">
        <f t="shared" si="1033"/>
        <v>38920</v>
      </c>
      <c r="B28811" s="1" t="str">
        <f>"77982"</f>
        <v>77982</v>
      </c>
      <c r="C28811" s="2">
        <v>4.1305102395001701E-2</v>
      </c>
      <c r="D28811" s="2">
        <v>0.109253065774804</v>
      </c>
      <c r="E28811" s="2">
        <v>1.9662921348314599E-2</v>
      </c>
      <c r="F28811" s="2">
        <v>4.6685529506871402E-2</v>
      </c>
    </row>
    <row r="28812" spans="1:6" x14ac:dyDescent="0.25">
      <c r="A28812" s="1" t="str">
        <f t="shared" si="1033"/>
        <v>38920</v>
      </c>
      <c r="B28812" s="1" t="str">
        <f>"77990"</f>
        <v>77990</v>
      </c>
      <c r="C28812" s="2">
        <v>9.83454818928612E-3</v>
      </c>
      <c r="D28812" s="2">
        <v>6.6889632107023402E-3</v>
      </c>
      <c r="E28812" s="2">
        <v>2.52808988764044E-2</v>
      </c>
      <c r="F28812" s="2">
        <v>1.01050929668552E-2</v>
      </c>
    </row>
    <row r="28813" spans="1:6" x14ac:dyDescent="0.25">
      <c r="A28813" s="1" t="str">
        <f t="shared" ref="A28813:A28849" si="1034">"38940"</f>
        <v>38940</v>
      </c>
      <c r="B28813" s="1" t="str">
        <f>"34988"</f>
        <v>34988</v>
      </c>
      <c r="C28813" s="2">
        <v>6.4092959139333801E-3</v>
      </c>
      <c r="D28813" s="2">
        <v>1.80127832655432E-2</v>
      </c>
      <c r="E28813" s="2">
        <v>1.77446544228551E-4</v>
      </c>
      <c r="F28813" s="2">
        <v>7.1017230030331899E-3</v>
      </c>
    </row>
    <row r="28814" spans="1:6" x14ac:dyDescent="0.25">
      <c r="A28814" s="1" t="str">
        <f t="shared" si="1034"/>
        <v>38940</v>
      </c>
      <c r="B28814" s="1" t="str">
        <f>"34948"</f>
        <v>34948</v>
      </c>
      <c r="C28814" s="2">
        <v>4.1879560676665803E-3</v>
      </c>
      <c r="D28814" s="2">
        <v>5.4785423756951897E-3</v>
      </c>
      <c r="E28814" s="2">
        <v>1.77446544228551E-4</v>
      </c>
      <c r="F28814" s="2">
        <v>4.1412935257557296E-3</v>
      </c>
    </row>
    <row r="28815" spans="1:6" x14ac:dyDescent="0.25">
      <c r="A28815" s="1" t="str">
        <f t="shared" si="1034"/>
        <v>38940</v>
      </c>
      <c r="B28815" s="1" t="str">
        <f>"34981"</f>
        <v>34981</v>
      </c>
      <c r="C28815" s="2">
        <v>7.96385921275416E-3</v>
      </c>
      <c r="D28815" s="2">
        <v>1.01270025732547E-2</v>
      </c>
      <c r="E28815" s="2">
        <v>7.3640315854848698E-3</v>
      </c>
      <c r="F28815" s="2">
        <v>8.1138921874431402E-3</v>
      </c>
    </row>
    <row r="28816" spans="1:6" x14ac:dyDescent="0.25">
      <c r="A28816" s="1" t="str">
        <f t="shared" si="1034"/>
        <v>38940</v>
      </c>
      <c r="B28816" s="1" t="str">
        <f>"34979"</f>
        <v>34979</v>
      </c>
      <c r="C28816" s="2">
        <v>1.5451984596712501E-2</v>
      </c>
      <c r="D28816" s="2">
        <v>1.46509504440939E-2</v>
      </c>
      <c r="E28816" s="2">
        <v>1.77446544228551E-4</v>
      </c>
      <c r="F28816" s="2">
        <v>1.4818686098550801E-2</v>
      </c>
    </row>
    <row r="28817" spans="1:6" x14ac:dyDescent="0.25">
      <c r="A28817" s="1" t="str">
        <f t="shared" si="1034"/>
        <v>38940</v>
      </c>
      <c r="B28817" s="1" t="str">
        <f>"34995"</f>
        <v>34995</v>
      </c>
      <c r="C28817" s="2">
        <v>6.8850297427291299E-3</v>
      </c>
      <c r="D28817" s="2">
        <v>2.1208599651365401E-2</v>
      </c>
      <c r="E28817" s="2">
        <v>1.77446544228551E-4</v>
      </c>
      <c r="F28817" s="2">
        <v>7.7765024593064898E-3</v>
      </c>
    </row>
    <row r="28818" spans="1:6" x14ac:dyDescent="0.25">
      <c r="A28818" s="1" t="str">
        <f t="shared" si="1034"/>
        <v>38940</v>
      </c>
      <c r="B28818" s="1" t="str">
        <f>"34947"</f>
        <v>34947</v>
      </c>
      <c r="C28818" s="2">
        <v>2.35394596862404E-2</v>
      </c>
      <c r="D28818" s="2">
        <v>2.97999501950693E-2</v>
      </c>
      <c r="E28818" s="2">
        <v>5.80250199627362E-2</v>
      </c>
      <c r="F28818" s="2">
        <v>2.5324076064844901E-2</v>
      </c>
    </row>
    <row r="28819" spans="1:6" x14ac:dyDescent="0.25">
      <c r="A28819" s="1" t="str">
        <f t="shared" si="1034"/>
        <v>38940</v>
      </c>
      <c r="B28819" s="1" t="str">
        <f>"33478"</f>
        <v>33478</v>
      </c>
      <c r="C28819" s="2">
        <v>8.9153268703456704E-4</v>
      </c>
      <c r="D28819" s="2">
        <v>2.9052876234747201E-4</v>
      </c>
      <c r="E28819" s="2">
        <v>7.09786176914204E-4</v>
      </c>
      <c r="F28819" s="2">
        <v>8.3685883547619897E-4</v>
      </c>
    </row>
    <row r="28820" spans="1:6" x14ac:dyDescent="0.25">
      <c r="A28820" s="1" t="str">
        <f t="shared" si="1034"/>
        <v>38940</v>
      </c>
      <c r="B28820" s="1" t="str">
        <f>"34954"</f>
        <v>34954</v>
      </c>
      <c r="C28820" s="2">
        <v>7.3270501505866099E-3</v>
      </c>
      <c r="D28820" s="2">
        <v>1.2575744998754799E-2</v>
      </c>
      <c r="E28820" s="2">
        <v>1.77446544228551E-4</v>
      </c>
      <c r="F28820" s="2">
        <v>7.4788056403623897E-3</v>
      </c>
    </row>
    <row r="28821" spans="1:6" x14ac:dyDescent="0.25">
      <c r="A28821" s="1" t="str">
        <f t="shared" si="1034"/>
        <v>38940</v>
      </c>
      <c r="B28821" s="1" t="str">
        <f>"34994"</f>
        <v>34994</v>
      </c>
      <c r="C28821" s="2">
        <v>4.0587212874031602E-2</v>
      </c>
      <c r="D28821" s="2">
        <v>0.128123184195235</v>
      </c>
      <c r="E28821" s="2">
        <v>0.110726643598615</v>
      </c>
      <c r="F28821" s="2">
        <v>5.01784527042448E-2</v>
      </c>
    </row>
    <row r="28822" spans="1:6" x14ac:dyDescent="0.25">
      <c r="A28822" s="1" t="str">
        <f t="shared" si="1034"/>
        <v>38940</v>
      </c>
      <c r="B28822" s="1" t="str">
        <f>"34958"</f>
        <v>34958</v>
      </c>
      <c r="C28822" s="2">
        <v>6.6752573457798201E-3</v>
      </c>
      <c r="D28822" s="2">
        <v>1.36548518303312E-2</v>
      </c>
      <c r="E28822" s="2">
        <v>1.77446544228551E-4</v>
      </c>
      <c r="F28822" s="2">
        <v>6.9892597603209801E-3</v>
      </c>
    </row>
    <row r="28823" spans="1:6" x14ac:dyDescent="0.25">
      <c r="A28823" s="1" t="str">
        <f t="shared" si="1034"/>
        <v>38940</v>
      </c>
      <c r="B28823" s="1" t="str">
        <f>"34984"</f>
        <v>34984</v>
      </c>
      <c r="C28823" s="2">
        <v>2.6753472482356599E-2</v>
      </c>
      <c r="D28823" s="2">
        <v>3.1128081680086302E-2</v>
      </c>
      <c r="E28823" s="2">
        <v>4.3474403335994997E-3</v>
      </c>
      <c r="F28823" s="2">
        <v>2.6266782658167901E-2</v>
      </c>
    </row>
    <row r="28824" spans="1:6" x14ac:dyDescent="0.25">
      <c r="A28824" s="1" t="str">
        <f t="shared" si="1034"/>
        <v>38940</v>
      </c>
      <c r="B28824" s="1" t="str">
        <f>"34949"</f>
        <v>34949</v>
      </c>
      <c r="C28824" s="2">
        <v>4.8633482671301603E-2</v>
      </c>
      <c r="D28824" s="2">
        <v>6.6406574250850803E-3</v>
      </c>
      <c r="E28824" s="2">
        <v>8.7924762665247E-2</v>
      </c>
      <c r="F28824" s="2">
        <v>4.6751631543954897E-2</v>
      </c>
    </row>
    <row r="28825" spans="1:6" x14ac:dyDescent="0.25">
      <c r="A28825" s="1" t="str">
        <f t="shared" si="1034"/>
        <v>38940</v>
      </c>
      <c r="B28825" s="1" t="str">
        <f>"34950"</f>
        <v>34950</v>
      </c>
      <c r="C28825" s="2">
        <v>2.69332773940274E-2</v>
      </c>
      <c r="D28825" s="2">
        <v>5.9309371627791103E-2</v>
      </c>
      <c r="E28825" s="2">
        <v>0.18090675184100699</v>
      </c>
      <c r="F28825" s="2">
        <v>3.52539188478471E-2</v>
      </c>
    </row>
    <row r="28826" spans="1:6" x14ac:dyDescent="0.25">
      <c r="A28826" s="1" t="str">
        <f t="shared" si="1034"/>
        <v>38940</v>
      </c>
      <c r="B28826" s="1" t="str">
        <f>"34956"</f>
        <v>34956</v>
      </c>
      <c r="C28826" s="2">
        <v>1.0526079204063499E-2</v>
      </c>
      <c r="D28826" s="2">
        <v>8.2593176724495704E-3</v>
      </c>
      <c r="E28826" s="2">
        <v>5.85573595954218E-3</v>
      </c>
      <c r="F28826" s="2">
        <v>1.01713079805901E-2</v>
      </c>
    </row>
    <row r="28827" spans="1:6" x14ac:dyDescent="0.25">
      <c r="A28827" s="1" t="str">
        <f t="shared" si="1034"/>
        <v>38940</v>
      </c>
      <c r="B28827" s="1" t="str">
        <f>"34991"</f>
        <v>34991</v>
      </c>
      <c r="C28827" s="2">
        <v>5.1206940469590402E-3</v>
      </c>
      <c r="D28827" s="2">
        <v>2.1623640740433301E-2</v>
      </c>
      <c r="E28827" s="2">
        <v>1.77446544228551E-4</v>
      </c>
      <c r="F28827" s="2">
        <v>6.2516331978261499E-3</v>
      </c>
    </row>
    <row r="28828" spans="1:6" x14ac:dyDescent="0.25">
      <c r="A28828" s="1" t="str">
        <f t="shared" si="1034"/>
        <v>38940</v>
      </c>
      <c r="B28828" s="1" t="str">
        <f>"34972"</f>
        <v>34972</v>
      </c>
      <c r="C28828" s="2">
        <v>1.0863213413446401E-4</v>
      </c>
      <c r="D28828" s="2">
        <v>8.3008217813563507E-5</v>
      </c>
      <c r="E28828" s="2">
        <v>0</v>
      </c>
      <c r="F28828" s="2">
        <v>1.0254001541407899E-4</v>
      </c>
    </row>
    <row r="28829" spans="1:6" x14ac:dyDescent="0.25">
      <c r="A28829" s="1" t="str">
        <f t="shared" si="1034"/>
        <v>38940</v>
      </c>
      <c r="B28829" s="1" t="str">
        <f>"34985"</f>
        <v>34985</v>
      </c>
      <c r="C28829" s="2">
        <v>5.6263953610332703E-3</v>
      </c>
      <c r="D28829" s="2">
        <v>1.5854569602390602E-2</v>
      </c>
      <c r="E28829" s="2">
        <v>1.77446544228551E-4</v>
      </c>
      <c r="F28829" s="2">
        <v>6.2384022280953001E-3</v>
      </c>
    </row>
    <row r="28830" spans="1:6" x14ac:dyDescent="0.25">
      <c r="A28830" s="1" t="str">
        <f t="shared" si="1034"/>
        <v>38940</v>
      </c>
      <c r="B28830" s="1" t="str">
        <f>"34945"</f>
        <v>34945</v>
      </c>
      <c r="C28830" s="2">
        <v>8.2822637438379303E-3</v>
      </c>
      <c r="D28830" s="2">
        <v>1.46094463351871E-2</v>
      </c>
      <c r="E28830" s="2">
        <v>3.1053145239996402E-3</v>
      </c>
      <c r="F28830" s="2">
        <v>8.5935148401864205E-3</v>
      </c>
    </row>
    <row r="28831" spans="1:6" x14ac:dyDescent="0.25">
      <c r="A28831" s="1" t="str">
        <f t="shared" si="1034"/>
        <v>38940</v>
      </c>
      <c r="B28831" s="1" t="str">
        <f>"34987"</f>
        <v>34987</v>
      </c>
      <c r="C28831" s="2">
        <v>3.0664229311197298E-2</v>
      </c>
      <c r="D28831" s="2">
        <v>9.5874491574665793E-3</v>
      </c>
      <c r="E28831" s="2">
        <v>8.7836039393132791E-3</v>
      </c>
      <c r="F28831" s="2">
        <v>2.81687345569775E-2</v>
      </c>
    </row>
    <row r="28832" spans="1:6" x14ac:dyDescent="0.25">
      <c r="A28832" s="1" t="str">
        <f t="shared" si="1034"/>
        <v>38940</v>
      </c>
      <c r="B28832" s="1" t="str">
        <f>"34996"</f>
        <v>34996</v>
      </c>
      <c r="C28832" s="2">
        <v>3.1862928722336203E-2</v>
      </c>
      <c r="D28832" s="2">
        <v>2.8720843363492898E-2</v>
      </c>
      <c r="E28832" s="2">
        <v>3.9925472451423999E-2</v>
      </c>
      <c r="F28832" s="2">
        <v>3.1913098990807701E-2</v>
      </c>
    </row>
    <row r="28833" spans="1:6" x14ac:dyDescent="0.25">
      <c r="A28833" s="1" t="str">
        <f t="shared" si="1034"/>
        <v>38940</v>
      </c>
      <c r="B28833" s="1" t="str">
        <f>"34992"</f>
        <v>34992</v>
      </c>
      <c r="C28833" s="2">
        <v>4.5250902770493998E-3</v>
      </c>
      <c r="D28833" s="2">
        <v>1.1164605295924199E-2</v>
      </c>
      <c r="E28833" s="2">
        <v>8.87232721142755E-5</v>
      </c>
      <c r="F28833" s="2">
        <v>4.8888433155487004E-3</v>
      </c>
    </row>
    <row r="28834" spans="1:6" x14ac:dyDescent="0.25">
      <c r="A28834" s="1" t="str">
        <f t="shared" si="1034"/>
        <v>38940</v>
      </c>
      <c r="B28834" s="1" t="str">
        <f>"34953"</f>
        <v>34953</v>
      </c>
      <c r="C28834" s="2">
        <v>9.9398402733034602E-2</v>
      </c>
      <c r="D28834" s="2">
        <v>3.0837552917738799E-2</v>
      </c>
      <c r="E28834" s="2">
        <v>7.4527548575991399E-3</v>
      </c>
      <c r="F28834" s="2">
        <v>9.0506448443872498E-2</v>
      </c>
    </row>
    <row r="28835" spans="1:6" x14ac:dyDescent="0.25">
      <c r="A28835" s="1" t="str">
        <f t="shared" si="1034"/>
        <v>38940</v>
      </c>
      <c r="B28835" s="1" t="str">
        <f>"34997"</f>
        <v>34997</v>
      </c>
      <c r="C28835" s="2">
        <v>8.4321011702302995E-2</v>
      </c>
      <c r="D28835" s="2">
        <v>0.100273927118784</v>
      </c>
      <c r="E28835" s="2">
        <v>5.84686363233076E-2</v>
      </c>
      <c r="F28835" s="2">
        <v>8.46285901409429E-2</v>
      </c>
    </row>
    <row r="28836" spans="1:6" x14ac:dyDescent="0.25">
      <c r="A28836" s="1" t="str">
        <f t="shared" si="1034"/>
        <v>38940</v>
      </c>
      <c r="B28836" s="1" t="str">
        <f>"34983"</f>
        <v>34983</v>
      </c>
      <c r="C28836" s="2">
        <v>6.3321296393413107E-2</v>
      </c>
      <c r="D28836" s="2">
        <v>2.6064580393458901E-2</v>
      </c>
      <c r="E28836" s="2">
        <v>5.7670126874279099E-3</v>
      </c>
      <c r="F28836" s="2">
        <v>5.8206343588437397E-2</v>
      </c>
    </row>
    <row r="28837" spans="1:6" x14ac:dyDescent="0.25">
      <c r="A28837" s="1" t="str">
        <f t="shared" si="1034"/>
        <v>38940</v>
      </c>
      <c r="B28837" s="1" t="str">
        <f>"34990"</f>
        <v>34990</v>
      </c>
      <c r="C28837" s="2">
        <v>5.6200272704115997E-2</v>
      </c>
      <c r="D28837" s="2">
        <v>4.5779032124180198E-2</v>
      </c>
      <c r="E28837" s="2">
        <v>3.4956969213024498E-2</v>
      </c>
      <c r="F28837" s="2">
        <v>5.45777501397521E-2</v>
      </c>
    </row>
    <row r="28838" spans="1:6" x14ac:dyDescent="0.25">
      <c r="A28838" s="1" t="str">
        <f t="shared" si="1034"/>
        <v>38940</v>
      </c>
      <c r="B28838" s="1" t="str">
        <f>"34974"</f>
        <v>34974</v>
      </c>
      <c r="C28838" s="2">
        <v>8.0537616685895797E-4</v>
      </c>
      <c r="D28838" s="2">
        <v>1.6601643562712701E-4</v>
      </c>
      <c r="E28838" s="2">
        <v>3.54893088457102E-4</v>
      </c>
      <c r="F28838" s="2">
        <v>7.37626562494831E-4</v>
      </c>
    </row>
    <row r="28839" spans="1:6" x14ac:dyDescent="0.25">
      <c r="A28839" s="1" t="str">
        <f t="shared" si="1034"/>
        <v>38940</v>
      </c>
      <c r="B28839" s="1" t="str">
        <f>"33455"</f>
        <v>33455</v>
      </c>
      <c r="C28839" s="2">
        <v>4.4883801075832702E-2</v>
      </c>
      <c r="D28839" s="2">
        <v>2.6438117373619899E-2</v>
      </c>
      <c r="E28839" s="2">
        <v>2.6350811817939801E-2</v>
      </c>
      <c r="F28839" s="2">
        <v>4.2722801260911401E-2</v>
      </c>
    </row>
    <row r="28840" spans="1:6" x14ac:dyDescent="0.25">
      <c r="A28840" s="1" t="str">
        <f t="shared" si="1034"/>
        <v>38940</v>
      </c>
      <c r="B28840" s="1" t="str">
        <f>"34952"</f>
        <v>34952</v>
      </c>
      <c r="C28840" s="2">
        <v>8.2009769400200702E-2</v>
      </c>
      <c r="D28840" s="2">
        <v>9.3674773802606401E-2</v>
      </c>
      <c r="E28840" s="2">
        <v>5.50084287108508E-2</v>
      </c>
      <c r="F28840" s="2">
        <v>8.1932780058282403E-2</v>
      </c>
    </row>
    <row r="28841" spans="1:6" x14ac:dyDescent="0.25">
      <c r="A28841" s="1" t="str">
        <f t="shared" si="1034"/>
        <v>38940</v>
      </c>
      <c r="B28841" s="1" t="str">
        <f>"33469"</f>
        <v>33469</v>
      </c>
      <c r="C28841" s="2">
        <v>1.09044187057043E-2</v>
      </c>
      <c r="D28841" s="2">
        <v>3.3203287125425402E-3</v>
      </c>
      <c r="E28841" s="2">
        <v>2.07612456747404E-2</v>
      </c>
      <c r="F28841" s="2">
        <v>1.0667469345497E-2</v>
      </c>
    </row>
    <row r="28842" spans="1:6" x14ac:dyDescent="0.25">
      <c r="A28842" s="1" t="str">
        <f t="shared" si="1034"/>
        <v>38940</v>
      </c>
      <c r="B28842" s="1" t="str">
        <f>"34986"</f>
        <v>34986</v>
      </c>
      <c r="C28842" s="2">
        <v>5.9043437869911099E-2</v>
      </c>
      <c r="D28842" s="2">
        <v>5.6777620984477403E-2</v>
      </c>
      <c r="E28842" s="2">
        <v>5.9622038860793099E-2</v>
      </c>
      <c r="F28842" s="2">
        <v>5.8884430787143401E-2</v>
      </c>
    </row>
    <row r="28843" spans="1:6" x14ac:dyDescent="0.25">
      <c r="A28843" s="1" t="str">
        <f t="shared" si="1034"/>
        <v>38940</v>
      </c>
      <c r="B28843" s="1" t="str">
        <f>"34957"</f>
        <v>34957</v>
      </c>
      <c r="C28843" s="2">
        <v>8.0148039377275604E-2</v>
      </c>
      <c r="D28843" s="2">
        <v>5.6196563459782502E-2</v>
      </c>
      <c r="E28843" s="2">
        <v>7.8431372549019607E-2</v>
      </c>
      <c r="F28843" s="2">
        <v>7.81751846547213E-2</v>
      </c>
    </row>
    <row r="28844" spans="1:6" x14ac:dyDescent="0.25">
      <c r="A28844" s="1" t="str">
        <f t="shared" si="1034"/>
        <v>38940</v>
      </c>
      <c r="B28844" s="1" t="str">
        <f>"34982"</f>
        <v>34982</v>
      </c>
      <c r="C28844" s="2">
        <v>4.58877118326615E-2</v>
      </c>
      <c r="D28844" s="2">
        <v>5.6943637420104498E-2</v>
      </c>
      <c r="E28844" s="2">
        <v>0.104959630911188</v>
      </c>
      <c r="F28844" s="2">
        <v>4.8971126716304797E-2</v>
      </c>
    </row>
    <row r="28845" spans="1:6" x14ac:dyDescent="0.25">
      <c r="A28845" s="1" t="str">
        <f t="shared" si="1034"/>
        <v>38940</v>
      </c>
      <c r="B28845" s="1" t="str">
        <f>"34946"</f>
        <v>34946</v>
      </c>
      <c r="C28845" s="2">
        <v>1.2234225864936501E-2</v>
      </c>
      <c r="D28845" s="2">
        <v>1.9963476384162002E-2</v>
      </c>
      <c r="E28845" s="2">
        <v>1.05580693815987E-2</v>
      </c>
      <c r="F28845" s="2">
        <v>1.2787732244865501E-2</v>
      </c>
    </row>
    <row r="28846" spans="1:6" x14ac:dyDescent="0.25">
      <c r="A28846" s="1" t="str">
        <f t="shared" si="1034"/>
        <v>38940</v>
      </c>
      <c r="B28846" s="1" t="str">
        <f>"33458"</f>
        <v>33458</v>
      </c>
      <c r="C28846" s="2">
        <v>1.83550847330646E-3</v>
      </c>
      <c r="D28846" s="2">
        <v>4.1504108906781699E-5</v>
      </c>
      <c r="E28846" s="2">
        <v>4.5248868778280504E-3</v>
      </c>
      <c r="F28846" s="2">
        <v>1.7927963985300301E-3</v>
      </c>
    </row>
    <row r="28847" spans="1:6" x14ac:dyDescent="0.25">
      <c r="A28847" s="1" t="str">
        <f t="shared" si="1034"/>
        <v>38940</v>
      </c>
      <c r="B28847" s="1" t="str">
        <f>"34951"</f>
        <v>34951</v>
      </c>
      <c r="C28847" s="2">
        <v>3.2660813017875601E-2</v>
      </c>
      <c r="D28847" s="2">
        <v>1.00024902465344E-2</v>
      </c>
      <c r="E28847" s="2">
        <v>2.3422943838168699E-2</v>
      </c>
      <c r="F28847" s="2">
        <v>3.05106161993377E-2</v>
      </c>
    </row>
    <row r="28848" spans="1:6" x14ac:dyDescent="0.25">
      <c r="A28848" s="1" t="str">
        <f t="shared" si="1034"/>
        <v>38940</v>
      </c>
      <c r="B28848" s="1" t="str">
        <f>"33438"</f>
        <v>33438</v>
      </c>
      <c r="C28848" s="2">
        <v>7.8664648855991198E-5</v>
      </c>
      <c r="D28848" s="2">
        <v>2.4902465344068999E-4</v>
      </c>
      <c r="E28848" s="2">
        <v>0</v>
      </c>
      <c r="F28848" s="2">
        <v>8.9309045683230698E-5</v>
      </c>
    </row>
    <row r="28849" spans="1:6" x14ac:dyDescent="0.25">
      <c r="A28849" s="1" t="str">
        <f t="shared" si="1034"/>
        <v>38940</v>
      </c>
      <c r="B28849" s="1" t="str">
        <f>"33475"</f>
        <v>33475</v>
      </c>
      <c r="C28849" s="2">
        <v>7.3120664079473702E-3</v>
      </c>
      <c r="D28849" s="2">
        <v>1.2368224454220899E-2</v>
      </c>
      <c r="E28849" s="2">
        <v>1.77446544228551E-4</v>
      </c>
      <c r="F28849" s="2">
        <v>7.44903595846798E-3</v>
      </c>
    </row>
    <row r="28850" spans="1:6" x14ac:dyDescent="0.25">
      <c r="A28850" s="1" t="str">
        <f t="shared" ref="A28850:A28872" si="1035">"39020"</f>
        <v>39020</v>
      </c>
      <c r="B28850" s="1" t="str">
        <f>"45682"</f>
        <v>45682</v>
      </c>
      <c r="C28850" s="2">
        <v>2.45826105810928E-2</v>
      </c>
      <c r="D28850" s="2">
        <v>3.3173608551419001E-3</v>
      </c>
      <c r="E28850" s="2">
        <v>1.16214720531267E-2</v>
      </c>
      <c r="F28850" s="2">
        <v>2.26241066254587E-2</v>
      </c>
    </row>
    <row r="28851" spans="1:6" x14ac:dyDescent="0.25">
      <c r="A28851" s="1" t="str">
        <f t="shared" si="1035"/>
        <v>39020</v>
      </c>
      <c r="B28851" s="1" t="str">
        <f>"45630"</f>
        <v>45630</v>
      </c>
      <c r="C28851" s="2">
        <v>2.1682567215958301E-4</v>
      </c>
      <c r="D28851" s="2">
        <v>3.6859565057132299E-4</v>
      </c>
      <c r="E28851" s="2">
        <v>0</v>
      </c>
      <c r="F28851" s="2">
        <v>2.1730732084218599E-4</v>
      </c>
    </row>
    <row r="28852" spans="1:6" x14ac:dyDescent="0.25">
      <c r="A28852" s="1" t="str">
        <f t="shared" si="1035"/>
        <v>39020</v>
      </c>
      <c r="B28852" s="1" t="str">
        <f>"45652"</f>
        <v>45652</v>
      </c>
      <c r="C28852" s="2">
        <v>3.9868820468343398E-2</v>
      </c>
      <c r="D28852" s="2">
        <v>8.4776999631404303E-3</v>
      </c>
      <c r="E28852" s="2">
        <v>2.8223574986164901E-2</v>
      </c>
      <c r="F28852" s="2">
        <v>3.7304423411242002E-2</v>
      </c>
    </row>
    <row r="28853" spans="1:6" x14ac:dyDescent="0.25">
      <c r="A28853" s="1" t="str">
        <f t="shared" si="1035"/>
        <v>39020</v>
      </c>
      <c r="B28853" s="1" t="str">
        <f>"45638"</f>
        <v>45638</v>
      </c>
      <c r="C28853" s="2">
        <v>1.2304856895056299E-2</v>
      </c>
      <c r="D28853" s="2">
        <v>7.3719130114264597E-4</v>
      </c>
      <c r="E28853" s="2">
        <v>1.2174875484228E-2</v>
      </c>
      <c r="F28853" s="2">
        <v>1.15414332625072E-2</v>
      </c>
    </row>
    <row r="28854" spans="1:6" x14ac:dyDescent="0.25">
      <c r="A28854" s="1" t="str">
        <f t="shared" si="1035"/>
        <v>39020</v>
      </c>
      <c r="B28854" s="1" t="str">
        <f>"45613"</f>
        <v>45613</v>
      </c>
      <c r="C28854" s="2">
        <v>3.79444926279271E-4</v>
      </c>
      <c r="D28854" s="2">
        <v>0</v>
      </c>
      <c r="E28854" s="2">
        <v>1.1068068622025399E-3</v>
      </c>
      <c r="F28854" s="2">
        <v>3.8632412594166498E-4</v>
      </c>
    </row>
    <row r="28855" spans="1:6" x14ac:dyDescent="0.25">
      <c r="A28855" s="1" t="str">
        <f t="shared" si="1035"/>
        <v>39020</v>
      </c>
      <c r="B28855" s="1" t="str">
        <f>"45636"</f>
        <v>45636</v>
      </c>
      <c r="C28855" s="2">
        <v>0</v>
      </c>
      <c r="D28855" s="2">
        <v>3.6859565057132299E-4</v>
      </c>
      <c r="E28855" s="2">
        <v>0</v>
      </c>
      <c r="F28855" s="2">
        <v>2.4145257871354001E-5</v>
      </c>
    </row>
    <row r="28856" spans="1:6" x14ac:dyDescent="0.25">
      <c r="A28856" s="1" t="str">
        <f t="shared" si="1035"/>
        <v>39020</v>
      </c>
      <c r="B28856" s="1" t="str">
        <f>"45659"</f>
        <v>45659</v>
      </c>
      <c r="C28856" s="2">
        <v>3.25238508239375E-4</v>
      </c>
      <c r="D28856" s="2">
        <v>0</v>
      </c>
      <c r="E28856" s="2">
        <v>0</v>
      </c>
      <c r="F28856" s="2">
        <v>2.8974309445624802E-4</v>
      </c>
    </row>
    <row r="28857" spans="1:6" x14ac:dyDescent="0.25">
      <c r="A28857" s="1" t="str">
        <f t="shared" si="1035"/>
        <v>39020</v>
      </c>
      <c r="B28857" s="1" t="str">
        <f>"45616"</f>
        <v>45616</v>
      </c>
      <c r="C28857" s="2">
        <v>3.4150043365134401E-3</v>
      </c>
      <c r="D28857" s="2">
        <v>1.1057869517139599E-3</v>
      </c>
      <c r="E28857" s="2">
        <v>3.3204205866076298E-3</v>
      </c>
      <c r="F28857" s="2">
        <v>3.2596098126327902E-3</v>
      </c>
    </row>
    <row r="28858" spans="1:6" x14ac:dyDescent="0.25">
      <c r="A28858" s="1" t="str">
        <f t="shared" si="1035"/>
        <v>39020</v>
      </c>
      <c r="B28858" s="1" t="str">
        <f>"45677"</f>
        <v>45677</v>
      </c>
      <c r="C28858" s="2">
        <v>0</v>
      </c>
      <c r="D28858" s="2">
        <v>3.6859565057132299E-4</v>
      </c>
      <c r="E28858" s="2">
        <v>0</v>
      </c>
      <c r="F28858" s="2">
        <v>2.4145257871354001E-5</v>
      </c>
    </row>
    <row r="28859" spans="1:6" x14ac:dyDescent="0.25">
      <c r="A28859" s="1" t="str">
        <f t="shared" si="1035"/>
        <v>39020</v>
      </c>
      <c r="B28859" s="1" t="str">
        <f>"45640"</f>
        <v>45640</v>
      </c>
      <c r="C28859" s="2">
        <v>3.52341717259323E-4</v>
      </c>
      <c r="D28859" s="2">
        <v>0</v>
      </c>
      <c r="E28859" s="2">
        <v>0</v>
      </c>
      <c r="F28859" s="2">
        <v>3.13888352327602E-4</v>
      </c>
    </row>
    <row r="28860" spans="1:6" x14ac:dyDescent="0.25">
      <c r="A28860" s="1" t="str">
        <f t="shared" si="1035"/>
        <v>39020</v>
      </c>
      <c r="B28860" s="1" t="str">
        <f>"45694"</f>
        <v>45694</v>
      </c>
      <c r="C28860" s="2">
        <v>0.15413594969644401</v>
      </c>
      <c r="D28860" s="2">
        <v>0.14190932546995899</v>
      </c>
      <c r="E28860" s="2">
        <v>0.220807969009407</v>
      </c>
      <c r="F28860" s="2">
        <v>0.15624396368553201</v>
      </c>
    </row>
    <row r="28861" spans="1:6" x14ac:dyDescent="0.25">
      <c r="A28861" s="1" t="str">
        <f t="shared" si="1035"/>
        <v>39020</v>
      </c>
      <c r="B28861" s="1" t="str">
        <f>"45671"</f>
        <v>45671</v>
      </c>
      <c r="C28861" s="2">
        <v>4.98699045967042E-3</v>
      </c>
      <c r="D28861" s="2">
        <v>3.6859565057132299E-4</v>
      </c>
      <c r="E28861" s="2">
        <v>1.1068068622025399E-3</v>
      </c>
      <c r="F28861" s="2">
        <v>4.5151632219432103E-3</v>
      </c>
    </row>
    <row r="28862" spans="1:6" x14ac:dyDescent="0.25">
      <c r="A28862" s="1" t="str">
        <f t="shared" si="1035"/>
        <v>39020</v>
      </c>
      <c r="B28862" s="1" t="str">
        <f>"45661"</f>
        <v>45661</v>
      </c>
      <c r="C28862" s="2">
        <v>2.98135299219427E-4</v>
      </c>
      <c r="D28862" s="2">
        <v>0</v>
      </c>
      <c r="E28862" s="2">
        <v>0</v>
      </c>
      <c r="F28862" s="2">
        <v>2.6559783658489398E-4</v>
      </c>
    </row>
    <row r="28863" spans="1:6" x14ac:dyDescent="0.25">
      <c r="A28863" s="1" t="str">
        <f t="shared" si="1035"/>
        <v>39020</v>
      </c>
      <c r="B28863" s="1" t="str">
        <f>"45663"</f>
        <v>45663</v>
      </c>
      <c r="C28863" s="2">
        <v>8.8491977450130002E-2</v>
      </c>
      <c r="D28863" s="2">
        <v>5.3446369332841803E-2</v>
      </c>
      <c r="E28863" s="2">
        <v>0.19922523519645799</v>
      </c>
      <c r="F28863" s="2">
        <v>9.1027622175004805E-2</v>
      </c>
    </row>
    <row r="28864" spans="1:6" x14ac:dyDescent="0.25">
      <c r="A28864" s="1" t="str">
        <f t="shared" si="1035"/>
        <v>39020</v>
      </c>
      <c r="B28864" s="1" t="str">
        <f>"45684"</f>
        <v>45684</v>
      </c>
      <c r="C28864" s="2">
        <v>1.6695576756287901E-2</v>
      </c>
      <c r="D28864" s="2">
        <v>4.42314780685587E-3</v>
      </c>
      <c r="E28864" s="2">
        <v>1.4388489208633001E-2</v>
      </c>
      <c r="F28864" s="2">
        <v>1.5790998647865501E-2</v>
      </c>
    </row>
    <row r="28865" spans="1:6" x14ac:dyDescent="0.25">
      <c r="A28865" s="1" t="str">
        <f t="shared" si="1035"/>
        <v>39020</v>
      </c>
      <c r="B28865" s="1" t="str">
        <f>"45653"</f>
        <v>45653</v>
      </c>
      <c r="C28865" s="2">
        <v>4.9951214223764001E-2</v>
      </c>
      <c r="D28865" s="2">
        <v>2.2852930335422E-2</v>
      </c>
      <c r="E28865" s="2">
        <v>2.49031543995572E-2</v>
      </c>
      <c r="F28865" s="2">
        <v>4.7083252849140403E-2</v>
      </c>
    </row>
    <row r="28866" spans="1:6" x14ac:dyDescent="0.25">
      <c r="A28866" s="1" t="str">
        <f t="shared" si="1035"/>
        <v>39020</v>
      </c>
      <c r="B28866" s="1" t="str">
        <f>"45656"</f>
        <v>45656</v>
      </c>
      <c r="C28866" s="2">
        <v>2.98135299219427E-4</v>
      </c>
      <c r="D28866" s="2">
        <v>0</v>
      </c>
      <c r="E28866" s="2">
        <v>0</v>
      </c>
      <c r="F28866" s="2">
        <v>2.6559783658489398E-4</v>
      </c>
    </row>
    <row r="28867" spans="1:6" x14ac:dyDescent="0.25">
      <c r="A28867" s="1" t="str">
        <f t="shared" si="1035"/>
        <v>39020</v>
      </c>
      <c r="B28867" s="1" t="str">
        <f>"45629"</f>
        <v>45629</v>
      </c>
      <c r="C28867" s="2">
        <v>4.2118386816999101E-2</v>
      </c>
      <c r="D28867" s="2">
        <v>1.4375230372281601E-2</v>
      </c>
      <c r="E28867" s="2">
        <v>2.0475926950747E-2</v>
      </c>
      <c r="F28867" s="2">
        <v>3.93567703303071E-2</v>
      </c>
    </row>
    <row r="28868" spans="1:6" x14ac:dyDescent="0.25">
      <c r="A28868" s="1" t="str">
        <f t="shared" si="1035"/>
        <v>39020</v>
      </c>
      <c r="B28868" s="1" t="str">
        <f>"45699"</f>
        <v>45699</v>
      </c>
      <c r="C28868" s="2">
        <v>0</v>
      </c>
      <c r="D28868" s="2">
        <v>3.6859565057132299E-4</v>
      </c>
      <c r="E28868" s="2">
        <v>0</v>
      </c>
      <c r="F28868" s="2">
        <v>2.4145257871354001E-5</v>
      </c>
    </row>
    <row r="28869" spans="1:6" x14ac:dyDescent="0.25">
      <c r="A28869" s="1" t="str">
        <f t="shared" si="1035"/>
        <v>39020</v>
      </c>
      <c r="B28869" s="1" t="str">
        <f>"45662"</f>
        <v>45662</v>
      </c>
      <c r="C28869" s="2">
        <v>0.40221162185602699</v>
      </c>
      <c r="D28869" s="2">
        <v>0.70328050129008401</v>
      </c>
      <c r="E28869" s="2">
        <v>0.335362479247371</v>
      </c>
      <c r="F28869" s="2">
        <v>0.41901680509947797</v>
      </c>
    </row>
    <row r="28870" spans="1:6" x14ac:dyDescent="0.25">
      <c r="A28870" s="1" t="str">
        <f t="shared" si="1035"/>
        <v>39020</v>
      </c>
      <c r="B28870" s="1" t="str">
        <f>"45657"</f>
        <v>45657</v>
      </c>
      <c r="C28870" s="2">
        <v>3.2686470078057202E-2</v>
      </c>
      <c r="D28870" s="2">
        <v>3.6859565057132302E-3</v>
      </c>
      <c r="E28870" s="2">
        <v>1.6602102933038099E-2</v>
      </c>
      <c r="F28870" s="2">
        <v>3.0084991307707101E-2</v>
      </c>
    </row>
    <row r="28871" spans="1:6" x14ac:dyDescent="0.25">
      <c r="A28871" s="1" t="str">
        <f t="shared" si="1035"/>
        <v>39020</v>
      </c>
      <c r="B28871" s="1" t="str">
        <f>"45660"</f>
        <v>45660</v>
      </c>
      <c r="C28871" s="2">
        <v>1.35516045099739E-3</v>
      </c>
      <c r="D28871" s="2">
        <v>0</v>
      </c>
      <c r="E28871" s="2">
        <v>0</v>
      </c>
      <c r="F28871" s="2">
        <v>1.2072628935677E-3</v>
      </c>
    </row>
    <row r="28872" spans="1:6" x14ac:dyDescent="0.25">
      <c r="A28872" s="1" t="str">
        <f t="shared" si="1035"/>
        <v>39020</v>
      </c>
      <c r="B28872" s="1" t="str">
        <f>"45648"</f>
        <v>45648</v>
      </c>
      <c r="C28872" s="2">
        <v>0.12532523850823901</v>
      </c>
      <c r="D28872" s="2">
        <v>4.05455215628455E-2</v>
      </c>
      <c r="E28872" s="2">
        <v>0.110680686220254</v>
      </c>
      <c r="F28872" s="2">
        <v>0.11913270233726</v>
      </c>
    </row>
    <row r="28873" spans="1:6" x14ac:dyDescent="0.25">
      <c r="A28873" s="1" t="str">
        <f t="shared" ref="A28873:A28904" si="1036">"39060"</f>
        <v>39060</v>
      </c>
      <c r="B28873" s="1" t="str">
        <f>"18245"</f>
        <v>18245</v>
      </c>
      <c r="C28873" s="2">
        <v>1.40992993511444E-3</v>
      </c>
      <c r="D28873" s="2">
        <v>1.9642506383814499E-4</v>
      </c>
      <c r="E28873" s="2">
        <v>0</v>
      </c>
      <c r="F28873" s="2">
        <v>1.2883579292574301E-3</v>
      </c>
    </row>
    <row r="28874" spans="1:6" x14ac:dyDescent="0.25">
      <c r="A28874" s="1" t="str">
        <f t="shared" si="1036"/>
        <v>39060</v>
      </c>
      <c r="B28874" s="1" t="str">
        <f>"17951"</f>
        <v>17951</v>
      </c>
      <c r="C28874" s="2">
        <v>4.0283712431841301E-4</v>
      </c>
      <c r="D28874" s="2">
        <v>0</v>
      </c>
      <c r="E28874" s="2">
        <v>4.4563279857397502E-4</v>
      </c>
      <c r="F28874" s="2">
        <v>3.7739777725722898E-4</v>
      </c>
    </row>
    <row r="28875" spans="1:6" x14ac:dyDescent="0.25">
      <c r="A28875" s="1" t="str">
        <f t="shared" si="1036"/>
        <v>39060</v>
      </c>
      <c r="B28875" s="1" t="str">
        <f>"18241"</f>
        <v>18241</v>
      </c>
      <c r="C28875" s="2">
        <v>1.59696145711942E-3</v>
      </c>
      <c r="D28875" s="2">
        <v>9.8212531919072803E-4</v>
      </c>
      <c r="E28875" s="2">
        <v>0</v>
      </c>
      <c r="F28875" s="2">
        <v>1.50959110902891E-3</v>
      </c>
    </row>
    <row r="28876" spans="1:6" x14ac:dyDescent="0.25">
      <c r="A28876" s="1" t="str">
        <f t="shared" si="1036"/>
        <v>39060</v>
      </c>
      <c r="B28876" s="1" t="str">
        <f>"17965"</f>
        <v>17965</v>
      </c>
      <c r="C28876" s="2">
        <v>1.5192714402865799E-2</v>
      </c>
      <c r="D28876" s="2">
        <v>1.0803378511098E-2</v>
      </c>
      <c r="E28876" s="2">
        <v>2.18360071301247E-2</v>
      </c>
      <c r="F28876" s="2">
        <v>1.5095911090289099E-2</v>
      </c>
    </row>
    <row r="28877" spans="1:6" x14ac:dyDescent="0.25">
      <c r="A28877" s="1" t="str">
        <f t="shared" si="1036"/>
        <v>39060</v>
      </c>
      <c r="B28877" s="1" t="str">
        <f>"17954"</f>
        <v>17954</v>
      </c>
      <c r="C28877" s="2">
        <v>3.6255341188657197E-2</v>
      </c>
      <c r="D28877" s="2">
        <v>3.9481437831467202E-2</v>
      </c>
      <c r="E28877" s="2">
        <v>5.8377896613190698E-2</v>
      </c>
      <c r="F28877" s="2">
        <v>3.7115119335779899E-2</v>
      </c>
    </row>
    <row r="28878" spans="1:6" x14ac:dyDescent="0.25">
      <c r="A28878" s="1" t="str">
        <f t="shared" si="1036"/>
        <v>39060</v>
      </c>
      <c r="B28878" s="1" t="str">
        <f>"17970"</f>
        <v>17970</v>
      </c>
      <c r="C28878" s="2">
        <v>2.58966722776123E-2</v>
      </c>
      <c r="D28878" s="2">
        <v>2.3767432724415598E-2</v>
      </c>
      <c r="E28878" s="2">
        <v>4.1889483065953602E-2</v>
      </c>
      <c r="F28878" s="2">
        <v>2.6222638661148798E-2</v>
      </c>
    </row>
    <row r="28879" spans="1:6" x14ac:dyDescent="0.25">
      <c r="A28879" s="1" t="str">
        <f t="shared" si="1036"/>
        <v>39060</v>
      </c>
      <c r="B28879" s="1" t="str">
        <f>"18218"</f>
        <v>18218</v>
      </c>
      <c r="C28879" s="2">
        <v>1.9508826449134601E-2</v>
      </c>
      <c r="D28879" s="2">
        <v>1.47318797878609E-2</v>
      </c>
      <c r="E28879" s="2">
        <v>1.6488413547236999E-2</v>
      </c>
      <c r="F28879" s="2">
        <v>1.910413575909E-2</v>
      </c>
    </row>
    <row r="28880" spans="1:6" x14ac:dyDescent="0.25">
      <c r="A28880" s="1" t="str">
        <f t="shared" si="1036"/>
        <v>39060</v>
      </c>
      <c r="B28880" s="1" t="str">
        <f>"17966"</f>
        <v>17966</v>
      </c>
      <c r="C28880" s="2">
        <v>0</v>
      </c>
      <c r="D28880" s="2">
        <v>1.9642506383814499E-4</v>
      </c>
      <c r="E28880" s="2">
        <v>0</v>
      </c>
      <c r="F28880" s="2">
        <v>1.30137164571458E-5</v>
      </c>
    </row>
    <row r="28881" spans="1:6" x14ac:dyDescent="0.25">
      <c r="A28881" s="1" t="str">
        <f t="shared" si="1036"/>
        <v>39060</v>
      </c>
      <c r="B28881" s="1" t="str">
        <f>"18231"</f>
        <v>18231</v>
      </c>
      <c r="C28881" s="2">
        <v>4.3161120462687198E-5</v>
      </c>
      <c r="D28881" s="2">
        <v>1.9642506383814499E-4</v>
      </c>
      <c r="E28881" s="2">
        <v>0</v>
      </c>
      <c r="F28881" s="2">
        <v>5.2054865828583302E-5</v>
      </c>
    </row>
    <row r="28882" spans="1:6" x14ac:dyDescent="0.25">
      <c r="A28882" s="1" t="str">
        <f t="shared" si="1036"/>
        <v>39060</v>
      </c>
      <c r="B28882" s="1" t="str">
        <f>"18220"</f>
        <v>18220</v>
      </c>
      <c r="C28882" s="2">
        <v>1.71205777835325E-3</v>
      </c>
      <c r="D28882" s="2">
        <v>1.9642506383814499E-4</v>
      </c>
      <c r="E28882" s="2">
        <v>0</v>
      </c>
      <c r="F28882" s="2">
        <v>1.56164597485749E-3</v>
      </c>
    </row>
    <row r="28883" spans="1:6" x14ac:dyDescent="0.25">
      <c r="A28883" s="1" t="str">
        <f t="shared" si="1036"/>
        <v>39060</v>
      </c>
      <c r="B28883" s="1" t="str">
        <f>"17981"</f>
        <v>17981</v>
      </c>
      <c r="C28883" s="2">
        <v>1.77392205101644E-2</v>
      </c>
      <c r="D28883" s="2">
        <v>2.4553132979768199E-2</v>
      </c>
      <c r="E28883" s="2">
        <v>4.9019607843137202E-3</v>
      </c>
      <c r="F28883" s="2">
        <v>1.78157778298326E-2</v>
      </c>
    </row>
    <row r="28884" spans="1:6" x14ac:dyDescent="0.25">
      <c r="A28884" s="1" t="str">
        <f t="shared" si="1036"/>
        <v>39060</v>
      </c>
      <c r="B28884" s="1" t="str">
        <f>"17932"</f>
        <v>17932</v>
      </c>
      <c r="C28884" s="2">
        <v>0</v>
      </c>
      <c r="D28884" s="2">
        <v>1.9642506383814499E-4</v>
      </c>
      <c r="E28884" s="2">
        <v>0</v>
      </c>
      <c r="F28884" s="2">
        <v>1.30137164571458E-5</v>
      </c>
    </row>
    <row r="28885" spans="1:6" x14ac:dyDescent="0.25">
      <c r="A28885" s="1" t="str">
        <f t="shared" si="1036"/>
        <v>39060</v>
      </c>
      <c r="B28885" s="1" t="str">
        <f>"17978"</f>
        <v>17978</v>
      </c>
      <c r="C28885" s="2">
        <v>1.5825744169651901E-4</v>
      </c>
      <c r="D28885" s="2">
        <v>3.9285012767629102E-4</v>
      </c>
      <c r="E28885" s="2">
        <v>0</v>
      </c>
      <c r="F28885" s="2">
        <v>1.6917831394289501E-4</v>
      </c>
    </row>
    <row r="28886" spans="1:6" x14ac:dyDescent="0.25">
      <c r="A28886" s="1" t="str">
        <f t="shared" si="1036"/>
        <v>39060</v>
      </c>
      <c r="B28886" s="1" t="str">
        <f>"17957"</f>
        <v>17957</v>
      </c>
      <c r="C28886" s="2">
        <v>2.2731523443681899E-3</v>
      </c>
      <c r="D28886" s="2">
        <v>1.1785503830288699E-3</v>
      </c>
      <c r="E28886" s="2">
        <v>0</v>
      </c>
      <c r="F28886" s="2">
        <v>2.1342494989719102E-3</v>
      </c>
    </row>
    <row r="28887" spans="1:6" x14ac:dyDescent="0.25">
      <c r="A28887" s="1" t="str">
        <f t="shared" si="1036"/>
        <v>39060</v>
      </c>
      <c r="B28887" s="1" t="str">
        <f>"17952"</f>
        <v>17952</v>
      </c>
      <c r="C28887" s="2">
        <v>1.94225042082092E-3</v>
      </c>
      <c r="D28887" s="2">
        <v>0</v>
      </c>
      <c r="E28887" s="2">
        <v>4.4563279857397502E-4</v>
      </c>
      <c r="F28887" s="2">
        <v>1.76986543817183E-3</v>
      </c>
    </row>
    <row r="28888" spans="1:6" x14ac:dyDescent="0.25">
      <c r="A28888" s="1" t="str">
        <f t="shared" si="1036"/>
        <v>39060</v>
      </c>
      <c r="B28888" s="1" t="str">
        <f>"17985"</f>
        <v>17985</v>
      </c>
      <c r="C28888" s="2">
        <v>8.2293869682190206E-3</v>
      </c>
      <c r="D28888" s="2">
        <v>1.7678255745433101E-3</v>
      </c>
      <c r="E28888" s="2">
        <v>4.4563279857397502E-4</v>
      </c>
      <c r="F28888" s="2">
        <v>7.5739829780588699E-3</v>
      </c>
    </row>
    <row r="28889" spans="1:6" x14ac:dyDescent="0.25">
      <c r="A28889" s="1" t="str">
        <f t="shared" si="1036"/>
        <v>39060</v>
      </c>
      <c r="B28889" s="1" t="str">
        <f>"17921"</f>
        <v>17921</v>
      </c>
      <c r="C28889" s="2">
        <v>5.1347346310443499E-2</v>
      </c>
      <c r="D28889" s="2">
        <v>4.3999214299744599E-2</v>
      </c>
      <c r="E28889" s="2">
        <v>4.9019607843137199E-2</v>
      </c>
      <c r="F28889" s="2">
        <v>5.0792535332240103E-2</v>
      </c>
    </row>
    <row r="28890" spans="1:6" x14ac:dyDescent="0.25">
      <c r="A28890" s="1" t="str">
        <f t="shared" si="1036"/>
        <v>39060</v>
      </c>
      <c r="B28890" s="1" t="str">
        <f>"18211"</f>
        <v>18211</v>
      </c>
      <c r="C28890" s="2">
        <v>8.5602888917662903E-3</v>
      </c>
      <c r="D28890" s="2">
        <v>4.5177764682773503E-3</v>
      </c>
      <c r="E28890" s="2">
        <v>1.7825311942959001E-3</v>
      </c>
      <c r="F28890" s="2">
        <v>8.0945316363446995E-3</v>
      </c>
    </row>
    <row r="28891" spans="1:6" x14ac:dyDescent="0.25">
      <c r="A28891" s="1" t="str">
        <f t="shared" si="1036"/>
        <v>39060</v>
      </c>
      <c r="B28891" s="1" t="str">
        <f>"17948"</f>
        <v>17948</v>
      </c>
      <c r="C28891" s="2">
        <v>4.3837311349935897E-2</v>
      </c>
      <c r="D28891" s="2">
        <v>4.0070713022981701E-2</v>
      </c>
      <c r="E28891" s="2">
        <v>2.0053475935828801E-2</v>
      </c>
      <c r="F28891" s="2">
        <v>4.28932094427526E-2</v>
      </c>
    </row>
    <row r="28892" spans="1:6" x14ac:dyDescent="0.25">
      <c r="A28892" s="1" t="str">
        <f t="shared" si="1036"/>
        <v>39060</v>
      </c>
      <c r="B28892" s="1" t="str">
        <f>"17923"</f>
        <v>17923</v>
      </c>
      <c r="C28892" s="2">
        <v>2.8774080308458101E-5</v>
      </c>
      <c r="D28892" s="2">
        <v>1.9642506383814499E-4</v>
      </c>
      <c r="E28892" s="2">
        <v>0</v>
      </c>
      <c r="F28892" s="2">
        <v>3.90411493714374E-5</v>
      </c>
    </row>
    <row r="28893" spans="1:6" x14ac:dyDescent="0.25">
      <c r="A28893" s="1" t="str">
        <f t="shared" si="1036"/>
        <v>39060</v>
      </c>
      <c r="B28893" s="1" t="str">
        <f>"18252"</f>
        <v>18252</v>
      </c>
      <c r="C28893" s="2">
        <v>7.9891233976433995E-2</v>
      </c>
      <c r="D28893" s="2">
        <v>9.7426831663720195E-2</v>
      </c>
      <c r="E28893" s="2">
        <v>0.10695187165775399</v>
      </c>
      <c r="F28893" s="2">
        <v>8.1843262798990096E-2</v>
      </c>
    </row>
    <row r="28894" spans="1:6" x14ac:dyDescent="0.25">
      <c r="A28894" s="1" t="str">
        <f t="shared" si="1036"/>
        <v>39060</v>
      </c>
      <c r="B28894" s="1" t="str">
        <f>"18214"</f>
        <v>18214</v>
      </c>
      <c r="C28894" s="2">
        <v>1.46603939171594E-2</v>
      </c>
      <c r="D28894" s="2">
        <v>5.1070516597917798E-3</v>
      </c>
      <c r="E28894" s="2">
        <v>3.5650623885918001E-3</v>
      </c>
      <c r="F28894" s="2">
        <v>1.37034434293745E-2</v>
      </c>
    </row>
    <row r="28895" spans="1:6" x14ac:dyDescent="0.25">
      <c r="A28895" s="1" t="str">
        <f t="shared" si="1036"/>
        <v>39060</v>
      </c>
      <c r="B28895" s="1" t="str">
        <f>"17933"</f>
        <v>17933</v>
      </c>
      <c r="C28895" s="2">
        <v>0</v>
      </c>
      <c r="D28895" s="2">
        <v>1.9642506383814499E-4</v>
      </c>
      <c r="E28895" s="2">
        <v>4.4563279857397502E-4</v>
      </c>
      <c r="F28895" s="2">
        <v>2.60274329142916E-5</v>
      </c>
    </row>
    <row r="28896" spans="1:6" x14ac:dyDescent="0.25">
      <c r="A28896" s="1" t="str">
        <f t="shared" si="1036"/>
        <v>39060</v>
      </c>
      <c r="B28896" s="1" t="str">
        <f>"17946"</f>
        <v>17946</v>
      </c>
      <c r="C28896" s="2">
        <v>1.4387040154229E-5</v>
      </c>
      <c r="D28896" s="2">
        <v>0</v>
      </c>
      <c r="E28896" s="2">
        <v>4.4563279857397502E-4</v>
      </c>
      <c r="F28896" s="2">
        <v>2.60274329142916E-5</v>
      </c>
    </row>
    <row r="28897" spans="1:6" x14ac:dyDescent="0.25">
      <c r="A28897" s="1" t="str">
        <f t="shared" si="1036"/>
        <v>39060</v>
      </c>
      <c r="B28897" s="1" t="str">
        <f>"17936"</f>
        <v>17936</v>
      </c>
      <c r="C28897" s="2">
        <v>1.4387040154229E-5</v>
      </c>
      <c r="D28897" s="2">
        <v>0</v>
      </c>
      <c r="E28897" s="2">
        <v>4.4563279857397502E-4</v>
      </c>
      <c r="F28897" s="2">
        <v>2.60274329142916E-5</v>
      </c>
    </row>
    <row r="28898" spans="1:6" x14ac:dyDescent="0.25">
      <c r="A28898" s="1" t="str">
        <f t="shared" si="1036"/>
        <v>39060</v>
      </c>
      <c r="B28898" s="1" t="str">
        <f>"19549"</f>
        <v>19549</v>
      </c>
      <c r="C28898" s="2">
        <v>1.4387040154229E-5</v>
      </c>
      <c r="D28898" s="2">
        <v>1.9642506383814499E-4</v>
      </c>
      <c r="E28898" s="2">
        <v>4.4563279857397502E-4</v>
      </c>
      <c r="F28898" s="2">
        <v>3.90411493714374E-5</v>
      </c>
    </row>
    <row r="28899" spans="1:6" x14ac:dyDescent="0.25">
      <c r="A28899" s="1" t="str">
        <f t="shared" si="1036"/>
        <v>39060</v>
      </c>
      <c r="B28899" s="1" t="str">
        <f>"17943"</f>
        <v>17943</v>
      </c>
      <c r="C28899" s="2">
        <v>8.6322240925374395E-5</v>
      </c>
      <c r="D28899" s="2">
        <v>0</v>
      </c>
      <c r="E28899" s="2">
        <v>4.4563279857397502E-4</v>
      </c>
      <c r="F28899" s="2">
        <v>9.1096015200020804E-5</v>
      </c>
    </row>
    <row r="28900" spans="1:6" x14ac:dyDescent="0.25">
      <c r="A28900" s="1" t="str">
        <f t="shared" si="1036"/>
        <v>39060</v>
      </c>
      <c r="B28900" s="1" t="str">
        <f>"17934"</f>
        <v>17934</v>
      </c>
      <c r="C28900" s="2">
        <v>3.40972851655228E-3</v>
      </c>
      <c r="D28900" s="2">
        <v>1.37497544686702E-3</v>
      </c>
      <c r="E28900" s="2">
        <v>4.4563279857397502E-4</v>
      </c>
      <c r="F28900" s="2">
        <v>3.1883605320007198E-3</v>
      </c>
    </row>
    <row r="28901" spans="1:6" x14ac:dyDescent="0.25">
      <c r="A28901" s="1" t="str">
        <f t="shared" si="1036"/>
        <v>39060</v>
      </c>
      <c r="B28901" s="1" t="str">
        <f>"17941"</f>
        <v>17941</v>
      </c>
      <c r="C28901" s="2">
        <v>4.2297898053433401E-3</v>
      </c>
      <c r="D28901" s="2">
        <v>4.1249263406010596E-3</v>
      </c>
      <c r="E28901" s="2">
        <v>2.6737967914438501E-3</v>
      </c>
      <c r="F28901" s="2">
        <v>4.1774029827438101E-3</v>
      </c>
    </row>
    <row r="28902" spans="1:6" x14ac:dyDescent="0.25">
      <c r="A28902" s="1" t="str">
        <f t="shared" si="1036"/>
        <v>39060</v>
      </c>
      <c r="B28902" s="1" t="str">
        <f>"17953"</f>
        <v>17953</v>
      </c>
      <c r="C28902" s="2">
        <v>1.16535025249255E-3</v>
      </c>
      <c r="D28902" s="2">
        <v>1.9642506383814499E-4</v>
      </c>
      <c r="E28902" s="2">
        <v>4.4563279857397502E-4</v>
      </c>
      <c r="F28902" s="2">
        <v>1.0801384659431001E-3</v>
      </c>
    </row>
    <row r="28903" spans="1:6" x14ac:dyDescent="0.25">
      <c r="A28903" s="1" t="str">
        <f t="shared" si="1036"/>
        <v>39060</v>
      </c>
      <c r="B28903" s="1" t="str">
        <f>"17963"</f>
        <v>17963</v>
      </c>
      <c r="C28903" s="2">
        <v>5.9432862877120199E-2</v>
      </c>
      <c r="D28903" s="2">
        <v>4.3802789235906497E-2</v>
      </c>
      <c r="E28903" s="2">
        <v>6.0606060606060601E-2</v>
      </c>
      <c r="F28903" s="2">
        <v>5.8431586892584701E-2</v>
      </c>
    </row>
    <row r="28904" spans="1:6" x14ac:dyDescent="0.25">
      <c r="A28904" s="1" t="str">
        <f t="shared" si="1036"/>
        <v>39060</v>
      </c>
      <c r="B28904" s="1" t="str">
        <f>"17964"</f>
        <v>17964</v>
      </c>
      <c r="C28904" s="2">
        <v>4.4168213273483199E-3</v>
      </c>
      <c r="D28904" s="2">
        <v>1.5714005107051599E-3</v>
      </c>
      <c r="E28904" s="2">
        <v>1.3368983957219201E-3</v>
      </c>
      <c r="F28904" s="2">
        <v>4.1383618333723704E-3</v>
      </c>
    </row>
    <row r="28905" spans="1:6" x14ac:dyDescent="0.25">
      <c r="A28905" s="1" t="str">
        <f t="shared" ref="A28905:A28933" si="1037">"39060"</f>
        <v>39060</v>
      </c>
      <c r="B28905" s="1" t="str">
        <f>"17929"</f>
        <v>17929</v>
      </c>
      <c r="C28905" s="2">
        <v>1.07615060353633E-2</v>
      </c>
      <c r="D28905" s="2">
        <v>1.17855038302887E-2</v>
      </c>
      <c r="E28905" s="2">
        <v>7.5757575757575699E-3</v>
      </c>
      <c r="F28905" s="2">
        <v>1.07363160771453E-2</v>
      </c>
    </row>
    <row r="28906" spans="1:6" x14ac:dyDescent="0.25">
      <c r="A28906" s="1" t="str">
        <f t="shared" si="1037"/>
        <v>39060</v>
      </c>
      <c r="B28906" s="1" t="str">
        <f>"18202"</f>
        <v>18202</v>
      </c>
      <c r="C28906" s="2">
        <v>4.4887565281194596E-3</v>
      </c>
      <c r="D28906" s="2">
        <v>3.9285012767629104E-3</v>
      </c>
      <c r="E28906" s="2">
        <v>4.4563279857397498E-3</v>
      </c>
      <c r="F28906" s="2">
        <v>4.4506910283438703E-3</v>
      </c>
    </row>
    <row r="28907" spans="1:6" x14ac:dyDescent="0.25">
      <c r="A28907" s="1" t="str">
        <f t="shared" si="1037"/>
        <v>39060</v>
      </c>
      <c r="B28907" s="1" t="str">
        <f>"18237"</f>
        <v>18237</v>
      </c>
      <c r="C28907" s="2">
        <v>2.6342670522393401E-2</v>
      </c>
      <c r="D28907" s="2">
        <v>2.76959340011785E-2</v>
      </c>
      <c r="E28907" s="2">
        <v>3.07486631016042E-2</v>
      </c>
      <c r="F28907" s="2">
        <v>2.6560995289034599E-2</v>
      </c>
    </row>
    <row r="28908" spans="1:6" x14ac:dyDescent="0.25">
      <c r="A28908" s="1" t="str">
        <f t="shared" si="1037"/>
        <v>39060</v>
      </c>
      <c r="B28908" s="1" t="str">
        <f>"17944"</f>
        <v>17944</v>
      </c>
      <c r="C28908" s="2">
        <v>0</v>
      </c>
      <c r="D28908" s="2">
        <v>0</v>
      </c>
      <c r="E28908" s="2">
        <v>4.4563279857397502E-4</v>
      </c>
      <c r="F28908" s="2">
        <v>1.30137164571458E-5</v>
      </c>
    </row>
    <row r="28909" spans="1:6" x14ac:dyDescent="0.25">
      <c r="A28909" s="1" t="str">
        <f t="shared" si="1037"/>
        <v>39060</v>
      </c>
      <c r="B28909" s="1" t="str">
        <f>"18242"</f>
        <v>18242</v>
      </c>
      <c r="C28909" s="2">
        <v>0</v>
      </c>
      <c r="D28909" s="2">
        <v>1.9642506383814499E-4</v>
      </c>
      <c r="E28909" s="2">
        <v>0</v>
      </c>
      <c r="F28909" s="2">
        <v>1.30137164571458E-5</v>
      </c>
    </row>
    <row r="28910" spans="1:6" x14ac:dyDescent="0.25">
      <c r="A28910" s="1" t="str">
        <f t="shared" si="1037"/>
        <v>39060</v>
      </c>
      <c r="B28910" s="1" t="str">
        <f>"17945"</f>
        <v>17945</v>
      </c>
      <c r="C28910" s="2">
        <v>4.0283712431841301E-4</v>
      </c>
      <c r="D28910" s="2">
        <v>0</v>
      </c>
      <c r="E28910" s="2">
        <v>4.4563279857397502E-4</v>
      </c>
      <c r="F28910" s="2">
        <v>3.7739777725722898E-4</v>
      </c>
    </row>
    <row r="28911" spans="1:6" x14ac:dyDescent="0.25">
      <c r="A28911" s="1" t="str">
        <f t="shared" si="1037"/>
        <v>39060</v>
      </c>
      <c r="B28911" s="1" t="str">
        <f>"17949"</f>
        <v>17949</v>
      </c>
      <c r="C28911" s="2">
        <v>2.3163134648308799E-3</v>
      </c>
      <c r="D28911" s="2">
        <v>5.8927519151443701E-4</v>
      </c>
      <c r="E28911" s="2">
        <v>4.4563279857397502E-4</v>
      </c>
      <c r="F28911" s="2">
        <v>2.14726321542906E-3</v>
      </c>
    </row>
    <row r="28912" spans="1:6" x14ac:dyDescent="0.25">
      <c r="A28912" s="1" t="str">
        <f t="shared" si="1037"/>
        <v>39060</v>
      </c>
      <c r="B28912" s="1" t="str">
        <f>"17930"</f>
        <v>17930</v>
      </c>
      <c r="C28912" s="2">
        <v>1.17973729264678E-3</v>
      </c>
      <c r="D28912" s="2">
        <v>1.9642506383814499E-4</v>
      </c>
      <c r="E28912" s="2">
        <v>4.4563279857397502E-4</v>
      </c>
      <c r="F28912" s="2">
        <v>1.0931521824002401E-3</v>
      </c>
    </row>
    <row r="28913" spans="1:6" x14ac:dyDescent="0.25">
      <c r="A28913" s="1" t="str">
        <f t="shared" si="1037"/>
        <v>39060</v>
      </c>
      <c r="B28913" s="1" t="str">
        <f>"18248"</f>
        <v>18248</v>
      </c>
      <c r="C28913" s="2">
        <v>1.4387040154229E-5</v>
      </c>
      <c r="D28913" s="2">
        <v>1.9642506383814499E-4</v>
      </c>
      <c r="E28913" s="2">
        <v>0</v>
      </c>
      <c r="F28913" s="2">
        <v>2.60274329142916E-5</v>
      </c>
    </row>
    <row r="28914" spans="1:6" x14ac:dyDescent="0.25">
      <c r="A28914" s="1" t="str">
        <f t="shared" si="1037"/>
        <v>39060</v>
      </c>
      <c r="B28914" s="1" t="str">
        <f>"17823"</f>
        <v>17823</v>
      </c>
      <c r="C28914" s="2">
        <v>1.4387040154229E-5</v>
      </c>
      <c r="D28914" s="2">
        <v>0</v>
      </c>
      <c r="E28914" s="2">
        <v>0</v>
      </c>
      <c r="F28914" s="2">
        <v>1.30137164571458E-5</v>
      </c>
    </row>
    <row r="28915" spans="1:6" x14ac:dyDescent="0.25">
      <c r="A28915" s="1" t="str">
        <f t="shared" si="1037"/>
        <v>39060</v>
      </c>
      <c r="B28915" s="1" t="str">
        <f>"17979"</f>
        <v>17979</v>
      </c>
      <c r="C28915" s="2">
        <v>1.4387040154229E-5</v>
      </c>
      <c r="D28915" s="2">
        <v>0</v>
      </c>
      <c r="E28915" s="2">
        <v>4.4563279857397502E-4</v>
      </c>
      <c r="F28915" s="2">
        <v>2.60274329142916E-5</v>
      </c>
    </row>
    <row r="28916" spans="1:6" x14ac:dyDescent="0.25">
      <c r="A28916" s="1" t="str">
        <f t="shared" si="1037"/>
        <v>39060</v>
      </c>
      <c r="B28916" s="1" t="str">
        <f>"18240"</f>
        <v>18240</v>
      </c>
      <c r="C28916" s="2">
        <v>4.7189491705871304E-3</v>
      </c>
      <c r="D28916" s="2">
        <v>0</v>
      </c>
      <c r="E28916" s="2">
        <v>0</v>
      </c>
      <c r="F28916" s="2">
        <v>4.2684989979438299E-3</v>
      </c>
    </row>
    <row r="28917" spans="1:6" x14ac:dyDescent="0.25">
      <c r="A28917" s="1" t="str">
        <f t="shared" si="1037"/>
        <v>39060</v>
      </c>
      <c r="B28917" s="1" t="str">
        <f>"17960"</f>
        <v>17960</v>
      </c>
      <c r="C28917" s="2">
        <v>2.7781374537816299E-2</v>
      </c>
      <c r="D28917" s="2">
        <v>1.64997053624042E-2</v>
      </c>
      <c r="E28917" s="2">
        <v>1.11408199643493E-2</v>
      </c>
      <c r="F28917" s="2">
        <v>2.65479815725774E-2</v>
      </c>
    </row>
    <row r="28918" spans="1:6" x14ac:dyDescent="0.25">
      <c r="A28918" s="1" t="str">
        <f t="shared" si="1037"/>
        <v>39060</v>
      </c>
      <c r="B28918" s="1" t="str">
        <f>"17974"</f>
        <v>17974</v>
      </c>
      <c r="C28918" s="2">
        <v>8.4883536909951499E-4</v>
      </c>
      <c r="D28918" s="2">
        <v>0</v>
      </c>
      <c r="E28918" s="2">
        <v>0</v>
      </c>
      <c r="F28918" s="2">
        <v>7.6780927097160404E-4</v>
      </c>
    </row>
    <row r="28919" spans="1:6" x14ac:dyDescent="0.25">
      <c r="A28919" s="1" t="str">
        <f t="shared" si="1037"/>
        <v>39060</v>
      </c>
      <c r="B28919" s="1" t="str">
        <f>"17925"</f>
        <v>17925</v>
      </c>
      <c r="C28919" s="2">
        <v>2.7047635489950601E-3</v>
      </c>
      <c r="D28919" s="2">
        <v>9.8212531919072803E-4</v>
      </c>
      <c r="E28919" s="2">
        <v>0</v>
      </c>
      <c r="F28919" s="2">
        <v>2.5116472762291399E-3</v>
      </c>
    </row>
    <row r="28920" spans="1:6" x14ac:dyDescent="0.25">
      <c r="A28920" s="1" t="str">
        <f t="shared" si="1037"/>
        <v>39060</v>
      </c>
      <c r="B28920" s="1" t="str">
        <f>"17959"</f>
        <v>17959</v>
      </c>
      <c r="C28920" s="2">
        <v>1.0962924597522501E-2</v>
      </c>
      <c r="D28920" s="2">
        <v>5.4999017874680801E-3</v>
      </c>
      <c r="E28920" s="2">
        <v>7.5757575757575699E-3</v>
      </c>
      <c r="F28920" s="2">
        <v>1.05020691809166E-2</v>
      </c>
    </row>
    <row r="28921" spans="1:6" x14ac:dyDescent="0.25">
      <c r="A28921" s="1" t="str">
        <f t="shared" si="1037"/>
        <v>39060</v>
      </c>
      <c r="B28921" s="1" t="str">
        <f>"17972"</f>
        <v>17972</v>
      </c>
      <c r="C28921" s="2">
        <v>7.8337433639777201E-2</v>
      </c>
      <c r="D28921" s="2">
        <v>8.4462777450402607E-2</v>
      </c>
      <c r="E28921" s="2">
        <v>7.7540106951871607E-2</v>
      </c>
      <c r="F28921" s="2">
        <v>7.8719970849275095E-2</v>
      </c>
    </row>
    <row r="28922" spans="1:6" x14ac:dyDescent="0.25">
      <c r="A28922" s="1" t="str">
        <f t="shared" si="1037"/>
        <v>39060</v>
      </c>
      <c r="B28922" s="1" t="str">
        <f>"17967"</f>
        <v>17967</v>
      </c>
      <c r="C28922" s="2">
        <v>1.7523414907851E-2</v>
      </c>
      <c r="D28922" s="2">
        <v>8.6427028088784108E-3</v>
      </c>
      <c r="E28922" s="2">
        <v>1.3368983957219201E-3</v>
      </c>
      <c r="F28922" s="2">
        <v>1.6462351318289398E-2</v>
      </c>
    </row>
    <row r="28923" spans="1:6" x14ac:dyDescent="0.25">
      <c r="A28923" s="1" t="str">
        <f t="shared" si="1037"/>
        <v>39060</v>
      </c>
      <c r="B28923" s="1" t="str">
        <f>"17961"</f>
        <v>17961</v>
      </c>
      <c r="C28923" s="2">
        <v>4.3707827988547901E-2</v>
      </c>
      <c r="D28923" s="2">
        <v>5.7945393832252903E-2</v>
      </c>
      <c r="E28923" s="2">
        <v>4.4563279857397498E-2</v>
      </c>
      <c r="F28923" s="2">
        <v>4.4676088597381598E-2</v>
      </c>
    </row>
    <row r="28924" spans="1:6" x14ac:dyDescent="0.25">
      <c r="A28924" s="1" t="str">
        <f t="shared" si="1037"/>
        <v>39060</v>
      </c>
      <c r="B28924" s="1" t="str">
        <f>"17922"</f>
        <v>17922</v>
      </c>
      <c r="C28924" s="2">
        <v>2.8874789589537701E-2</v>
      </c>
      <c r="D28924" s="2">
        <v>4.5177764682773503E-3</v>
      </c>
      <c r="E28924" s="2">
        <v>1.3368983957219201E-3</v>
      </c>
      <c r="F28924" s="2">
        <v>2.6456885557377401E-2</v>
      </c>
    </row>
    <row r="28925" spans="1:6" x14ac:dyDescent="0.25">
      <c r="A28925" s="1" t="str">
        <f t="shared" si="1037"/>
        <v>39060</v>
      </c>
      <c r="B28925" s="1" t="str">
        <f>"17931"</f>
        <v>17931</v>
      </c>
      <c r="C28925" s="2">
        <v>3.9449264102896099E-2</v>
      </c>
      <c r="D28925" s="2">
        <v>6.8748772343351E-2</v>
      </c>
      <c r="E28925" s="2">
        <v>4.1889483065953602E-2</v>
      </c>
      <c r="F28925" s="2">
        <v>4.1461700632466597E-2</v>
      </c>
    </row>
    <row r="28926" spans="1:6" x14ac:dyDescent="0.25">
      <c r="A28926" s="1" t="str">
        <f t="shared" si="1037"/>
        <v>39060</v>
      </c>
      <c r="B28926" s="1" t="str">
        <f>"17976"</f>
        <v>17976</v>
      </c>
      <c r="C28926" s="2">
        <v>5.82531255844735E-2</v>
      </c>
      <c r="D28926" s="2">
        <v>5.6177568257709601E-2</v>
      </c>
      <c r="E28926" s="2">
        <v>5.1693404634581101E-2</v>
      </c>
      <c r="F28926" s="2">
        <v>5.7924051950755999E-2</v>
      </c>
    </row>
    <row r="28927" spans="1:6" x14ac:dyDescent="0.25">
      <c r="A28927" s="1" t="str">
        <f t="shared" si="1037"/>
        <v>39060</v>
      </c>
      <c r="B28927" s="1" t="str">
        <f>"17968"</f>
        <v>17968</v>
      </c>
      <c r="C28927" s="2">
        <v>1.82715409958709E-3</v>
      </c>
      <c r="D28927" s="2">
        <v>5.8927519151443701E-4</v>
      </c>
      <c r="E28927" s="2">
        <v>0</v>
      </c>
      <c r="F28927" s="2">
        <v>1.69178313942895E-3</v>
      </c>
    </row>
    <row r="28928" spans="1:6" x14ac:dyDescent="0.25">
      <c r="A28928" s="1" t="str">
        <f t="shared" si="1037"/>
        <v>39060</v>
      </c>
      <c r="B28928" s="1" t="str">
        <f>"17980"</f>
        <v>17980</v>
      </c>
      <c r="C28928" s="2">
        <v>2.18251399139654E-2</v>
      </c>
      <c r="D28928" s="2">
        <v>1.86603810646238E-2</v>
      </c>
      <c r="E28928" s="2">
        <v>1.02495543672014E-2</v>
      </c>
      <c r="F28928" s="2">
        <v>2.1277426407433402E-2</v>
      </c>
    </row>
    <row r="28929" spans="1:6" x14ac:dyDescent="0.25">
      <c r="A28929" s="1" t="str">
        <f t="shared" si="1037"/>
        <v>39060</v>
      </c>
      <c r="B28929" s="1" t="str">
        <f>"17983"</f>
        <v>17983</v>
      </c>
      <c r="C28929" s="2">
        <v>1.0401830031507599E-2</v>
      </c>
      <c r="D28929" s="2">
        <v>4.3213514044392002E-3</v>
      </c>
      <c r="E28929" s="2">
        <v>5.7932263814616698E-3</v>
      </c>
      <c r="F28929" s="2">
        <v>9.8643970745165392E-3</v>
      </c>
    </row>
    <row r="28930" spans="1:6" x14ac:dyDescent="0.25">
      <c r="A28930" s="1" t="str">
        <f t="shared" si="1037"/>
        <v>39060</v>
      </c>
      <c r="B28930" s="1" t="str">
        <f>"17901"</f>
        <v>17901</v>
      </c>
      <c r="C28930" s="2">
        <v>0.17182442056195699</v>
      </c>
      <c r="D28930" s="2">
        <v>0.24592417992535801</v>
      </c>
      <c r="E28930" s="2">
        <v>0.283868092691622</v>
      </c>
      <c r="F28930" s="2">
        <v>0.18000572603524101</v>
      </c>
    </row>
    <row r="28931" spans="1:6" x14ac:dyDescent="0.25">
      <c r="A28931" s="1" t="str">
        <f t="shared" si="1037"/>
        <v>39060</v>
      </c>
      <c r="B28931" s="1" t="str">
        <f>"17935"</f>
        <v>17935</v>
      </c>
      <c r="C28931" s="2">
        <v>1.48474254391644E-2</v>
      </c>
      <c r="D28931" s="2">
        <v>1.13926537026124E-2</v>
      </c>
      <c r="E28931" s="2">
        <v>1.6934046345810999E-2</v>
      </c>
      <c r="F28931" s="2">
        <v>1.46794721636604E-2</v>
      </c>
    </row>
    <row r="28932" spans="1:6" x14ac:dyDescent="0.25">
      <c r="A28932" s="1" t="str">
        <f t="shared" si="1037"/>
        <v>39060</v>
      </c>
      <c r="B28932" s="1" t="str">
        <f>"17938"</f>
        <v>17938</v>
      </c>
      <c r="C28932" s="2">
        <v>1.6228581293970298E-2</v>
      </c>
      <c r="D28932" s="2">
        <v>9.6248281280691406E-3</v>
      </c>
      <c r="E28932" s="2">
        <v>6.6844919786096203E-3</v>
      </c>
      <c r="F28932" s="2">
        <v>1.55123500169178E-2</v>
      </c>
    </row>
    <row r="28933" spans="1:6" x14ac:dyDescent="0.25">
      <c r="A28933" s="1" t="str">
        <f t="shared" si="1037"/>
        <v>39060</v>
      </c>
      <c r="B28933" s="1" t="str">
        <f>"17982"</f>
        <v>17982</v>
      </c>
      <c r="C28933" s="2">
        <v>8.7760944940797297E-4</v>
      </c>
      <c r="D28933" s="2">
        <v>0</v>
      </c>
      <c r="E28933" s="2">
        <v>4.4563279857397502E-4</v>
      </c>
      <c r="F28933" s="2">
        <v>8.0685042034304099E-4</v>
      </c>
    </row>
    <row r="28934" spans="1:6" x14ac:dyDescent="0.25">
      <c r="A28934" s="1" t="str">
        <f t="shared" ref="A28934:A28965" si="1038">"39100"</f>
        <v>39100</v>
      </c>
      <c r="B28934" s="1" t="str">
        <f>"12504"</f>
        <v>12504</v>
      </c>
      <c r="C28934" s="2">
        <v>0</v>
      </c>
      <c r="D28934" s="2">
        <v>6.7380904251734995E-5</v>
      </c>
      <c r="E28934" s="2">
        <v>5.7773412675486703E-5</v>
      </c>
      <c r="F28934" s="2">
        <v>8.7374144825557495E-6</v>
      </c>
    </row>
    <row r="28935" spans="1:6" x14ac:dyDescent="0.25">
      <c r="A28935" s="1" t="str">
        <f t="shared" si="1038"/>
        <v>39100</v>
      </c>
      <c r="B28935" s="1" t="str">
        <f>"12604"</f>
        <v>12604</v>
      </c>
      <c r="C28935" s="2">
        <v>0</v>
      </c>
      <c r="D28935" s="2">
        <v>6.7380904251734995E-5</v>
      </c>
      <c r="E28935" s="2">
        <v>0</v>
      </c>
      <c r="F28935" s="2">
        <v>5.8249429883705003E-6</v>
      </c>
    </row>
    <row r="28936" spans="1:6" x14ac:dyDescent="0.25">
      <c r="A28936" s="1" t="str">
        <f t="shared" si="1038"/>
        <v>39100</v>
      </c>
      <c r="B28936" s="1" t="str">
        <f>"10512"</f>
        <v>10512</v>
      </c>
      <c r="C28936" s="2">
        <v>2.0245647185855E-5</v>
      </c>
      <c r="D28936" s="2">
        <v>0</v>
      </c>
      <c r="E28936" s="2">
        <v>0</v>
      </c>
      <c r="F28936" s="2">
        <v>1.7474828965111499E-5</v>
      </c>
    </row>
    <row r="28937" spans="1:6" x14ac:dyDescent="0.25">
      <c r="A28937" s="1" t="str">
        <f t="shared" si="1038"/>
        <v>39100</v>
      </c>
      <c r="B28937" s="1" t="str">
        <f>"12537"</f>
        <v>12537</v>
      </c>
      <c r="C28937" s="2">
        <v>0</v>
      </c>
      <c r="D28937" s="2">
        <v>0</v>
      </c>
      <c r="E28937" s="2">
        <v>5.7773412675486703E-5</v>
      </c>
      <c r="F28937" s="2">
        <v>2.9124714941852501E-6</v>
      </c>
    </row>
    <row r="28938" spans="1:6" x14ac:dyDescent="0.25">
      <c r="A28938" s="1" t="str">
        <f t="shared" si="1038"/>
        <v>39100</v>
      </c>
      <c r="B28938" s="1" t="str">
        <f>"12501"</f>
        <v>12501</v>
      </c>
      <c r="C28938" s="2">
        <v>2.9052503711701899E-3</v>
      </c>
      <c r="D28938" s="2">
        <v>1.7182130584192401E-3</v>
      </c>
      <c r="E28938" s="2">
        <v>1.55988214223814E-3</v>
      </c>
      <c r="F28938" s="2">
        <v>2.7348107330399502E-3</v>
      </c>
    </row>
    <row r="28939" spans="1:6" x14ac:dyDescent="0.25">
      <c r="A28939" s="1" t="str">
        <f t="shared" si="1038"/>
        <v>39100</v>
      </c>
      <c r="B28939" s="1" t="str">
        <f>"12540"</f>
        <v>12540</v>
      </c>
      <c r="C28939" s="2">
        <v>1.06829531650695E-2</v>
      </c>
      <c r="D28939" s="2">
        <v>1.2600229095074401E-2</v>
      </c>
      <c r="E28939" s="2">
        <v>5.2573805534692902E-3</v>
      </c>
      <c r="F28939" s="2">
        <v>1.05751839953866E-2</v>
      </c>
    </row>
    <row r="28940" spans="1:6" x14ac:dyDescent="0.25">
      <c r="A28940" s="1" t="str">
        <f t="shared" si="1038"/>
        <v>39100</v>
      </c>
      <c r="B28940" s="1" t="str">
        <f>"10969"</f>
        <v>10969</v>
      </c>
      <c r="C28940" s="2">
        <v>1.57241193143474E-3</v>
      </c>
      <c r="D28940" s="2">
        <v>2.8973788828245998E-3</v>
      </c>
      <c r="E28940" s="2">
        <v>1.4443353168871599E-3</v>
      </c>
      <c r="F28940" s="2">
        <v>1.6804960521448801E-3</v>
      </c>
    </row>
    <row r="28941" spans="1:6" x14ac:dyDescent="0.25">
      <c r="A28941" s="1" t="str">
        <f t="shared" si="1038"/>
        <v>39100</v>
      </c>
      <c r="B28941" s="1" t="str">
        <f>"12589"</f>
        <v>12589</v>
      </c>
      <c r="C28941" s="2">
        <v>4.3426913213659001E-3</v>
      </c>
      <c r="D28941" s="2">
        <v>3.7059497338454199E-4</v>
      </c>
      <c r="E28941" s="2">
        <v>6.3550753943035401E-4</v>
      </c>
      <c r="F28941" s="2">
        <v>3.8124251858884899E-3</v>
      </c>
    </row>
    <row r="28942" spans="1:6" x14ac:dyDescent="0.25">
      <c r="A28942" s="1" t="str">
        <f t="shared" si="1038"/>
        <v>39100</v>
      </c>
      <c r="B28942" s="1" t="str">
        <f>"12581"</f>
        <v>12581</v>
      </c>
      <c r="C28942" s="2">
        <v>3.7420704548521999E-3</v>
      </c>
      <c r="D28942" s="2">
        <v>1.9540462233003102E-3</v>
      </c>
      <c r="E28942" s="2">
        <v>2.0220694436420298E-3</v>
      </c>
      <c r="F28942" s="2">
        <v>3.5007907360106701E-3</v>
      </c>
    </row>
    <row r="28943" spans="1:6" x14ac:dyDescent="0.25">
      <c r="A28943" s="1" t="str">
        <f t="shared" si="1038"/>
        <v>39100</v>
      </c>
      <c r="B28943" s="1" t="str">
        <f>"12721"</f>
        <v>12721</v>
      </c>
      <c r="C28943" s="2">
        <v>1.86259954109866E-3</v>
      </c>
      <c r="D28943" s="2">
        <v>7.7488039889495302E-4</v>
      </c>
      <c r="E28943" s="2">
        <v>4.0441388872840701E-4</v>
      </c>
      <c r="F28943" s="2">
        <v>1.69505840961581E-3</v>
      </c>
    </row>
    <row r="28944" spans="1:6" x14ac:dyDescent="0.25">
      <c r="A28944" s="1" t="str">
        <f t="shared" si="1038"/>
        <v>39100</v>
      </c>
      <c r="B28944" s="1" t="str">
        <f>"10950"</f>
        <v>10950</v>
      </c>
      <c r="C28944" s="2">
        <v>5.8300715346200502E-2</v>
      </c>
      <c r="D28944" s="2">
        <v>4.00242571255306E-2</v>
      </c>
      <c r="E28944" s="2">
        <v>9.6250505517360904E-2</v>
      </c>
      <c r="F28944" s="2">
        <v>5.86338761209374E-2</v>
      </c>
    </row>
    <row r="28945" spans="1:6" x14ac:dyDescent="0.25">
      <c r="A28945" s="1" t="str">
        <f t="shared" si="1038"/>
        <v>39100</v>
      </c>
      <c r="B28945" s="1" t="str">
        <f>"10949"</f>
        <v>10949</v>
      </c>
      <c r="C28945" s="2">
        <v>5.46295046564988E-3</v>
      </c>
      <c r="D28945" s="2">
        <v>1.20274914089347E-2</v>
      </c>
      <c r="E28945" s="2">
        <v>1.15546825350973E-4</v>
      </c>
      <c r="F28945" s="2">
        <v>5.7608686154984202E-3</v>
      </c>
    </row>
    <row r="28946" spans="1:6" x14ac:dyDescent="0.25">
      <c r="A28946" s="1" t="str">
        <f t="shared" si="1038"/>
        <v>39100</v>
      </c>
      <c r="B28946" s="1" t="str">
        <f>"10916"</f>
        <v>10916</v>
      </c>
      <c r="C28946" s="2">
        <v>5.3920907004993898E-3</v>
      </c>
      <c r="D28946" s="2">
        <v>2.9984502392022098E-3</v>
      </c>
      <c r="E28946" s="2">
        <v>6.2973019816280496E-3</v>
      </c>
      <c r="F28946" s="2">
        <v>5.2307988035567099E-3</v>
      </c>
    </row>
    <row r="28947" spans="1:6" x14ac:dyDescent="0.25">
      <c r="A28947" s="1" t="str">
        <f t="shared" si="1038"/>
        <v>39100</v>
      </c>
      <c r="B28947" s="1" t="str">
        <f>"12510"</f>
        <v>12510</v>
      </c>
      <c r="C28947" s="2">
        <v>0</v>
      </c>
      <c r="D28947" s="2">
        <v>0</v>
      </c>
      <c r="E28947" s="2">
        <v>5.7773412675486703E-5</v>
      </c>
      <c r="F28947" s="2">
        <v>2.9124714941852501E-6</v>
      </c>
    </row>
    <row r="28948" spans="1:6" x14ac:dyDescent="0.25">
      <c r="A28948" s="1" t="str">
        <f t="shared" si="1038"/>
        <v>39100</v>
      </c>
      <c r="B28948" s="1" t="str">
        <f>"12506"</f>
        <v>12506</v>
      </c>
      <c r="C28948" s="2">
        <v>0</v>
      </c>
      <c r="D28948" s="2">
        <v>0</v>
      </c>
      <c r="E28948" s="2">
        <v>5.7773412675486703E-5</v>
      </c>
      <c r="F28948" s="2">
        <v>2.9124714941852501E-6</v>
      </c>
    </row>
    <row r="28949" spans="1:6" x14ac:dyDescent="0.25">
      <c r="A28949" s="1" t="str">
        <f t="shared" si="1038"/>
        <v>39100</v>
      </c>
      <c r="B28949" s="1" t="str">
        <f>"12754"</f>
        <v>12754</v>
      </c>
      <c r="C28949" s="2">
        <v>2.6994196247806701E-5</v>
      </c>
      <c r="D28949" s="2">
        <v>0</v>
      </c>
      <c r="E28949" s="2">
        <v>0</v>
      </c>
      <c r="F28949" s="2">
        <v>2.3299771953482001E-5</v>
      </c>
    </row>
    <row r="28950" spans="1:6" x14ac:dyDescent="0.25">
      <c r="A28950" s="1" t="str">
        <f t="shared" si="1038"/>
        <v>39100</v>
      </c>
      <c r="B28950" s="1" t="str">
        <f>"10922"</f>
        <v>10922</v>
      </c>
      <c r="C28950" s="2">
        <v>3.0368470778782501E-4</v>
      </c>
      <c r="D28950" s="2">
        <v>2.02142712755205E-4</v>
      </c>
      <c r="E28950" s="2">
        <v>1.15546825350973E-4</v>
      </c>
      <c r="F28950" s="2">
        <v>2.8542220643015402E-4</v>
      </c>
    </row>
    <row r="28951" spans="1:6" x14ac:dyDescent="0.25">
      <c r="A28951" s="1" t="str">
        <f t="shared" si="1038"/>
        <v>39100</v>
      </c>
      <c r="B28951" s="1" t="str">
        <f>"10914"</f>
        <v>10914</v>
      </c>
      <c r="C28951" s="2">
        <v>5.5675529761101301E-4</v>
      </c>
      <c r="D28951" s="2">
        <v>0</v>
      </c>
      <c r="E28951" s="2">
        <v>5.7773412675486703E-5</v>
      </c>
      <c r="F28951" s="2">
        <v>4.8347026803475097E-4</v>
      </c>
    </row>
    <row r="28952" spans="1:6" x14ac:dyDescent="0.25">
      <c r="A28952" s="1" t="str">
        <f t="shared" si="1038"/>
        <v>39100</v>
      </c>
      <c r="B28952" s="1" t="str">
        <f>"12527"</f>
        <v>12527</v>
      </c>
      <c r="C28952" s="2">
        <v>2.5239573491699198E-3</v>
      </c>
      <c r="D28952" s="2">
        <v>1.9877366754261802E-3</v>
      </c>
      <c r="E28952" s="2">
        <v>1.15546825350973E-4</v>
      </c>
      <c r="F28952" s="2">
        <v>2.3561894387958602E-3</v>
      </c>
    </row>
    <row r="28953" spans="1:6" x14ac:dyDescent="0.25">
      <c r="A28953" s="1" t="str">
        <f t="shared" si="1038"/>
        <v>39100</v>
      </c>
      <c r="B28953" s="1" t="str">
        <f>"10919"</f>
        <v>10919</v>
      </c>
      <c r="C28953" s="2">
        <v>2.2438925630989298E-3</v>
      </c>
      <c r="D28953" s="2">
        <v>2.1561889360555198E-3</v>
      </c>
      <c r="E28953" s="2">
        <v>3.4664047605292001E-4</v>
      </c>
      <c r="F28953" s="2">
        <v>2.1406665482261501E-3</v>
      </c>
    </row>
    <row r="28954" spans="1:6" x14ac:dyDescent="0.25">
      <c r="A28954" s="1" t="str">
        <f t="shared" si="1038"/>
        <v>39100</v>
      </c>
      <c r="B28954" s="1" t="str">
        <f>"10941"</f>
        <v>10941</v>
      </c>
      <c r="C28954" s="2">
        <v>2.07281684437845E-2</v>
      </c>
      <c r="D28954" s="2">
        <v>2.50993868337713E-2</v>
      </c>
      <c r="E28954" s="2">
        <v>9.7059333294817699E-3</v>
      </c>
      <c r="F28954" s="2">
        <v>2.0550398862971098E-2</v>
      </c>
    </row>
    <row r="28955" spans="1:6" x14ac:dyDescent="0.25">
      <c r="A28955" s="1" t="str">
        <f t="shared" si="1038"/>
        <v>39100</v>
      </c>
      <c r="B28955" s="1" t="str">
        <f>"10930"</f>
        <v>10930</v>
      </c>
      <c r="C28955" s="2">
        <v>1.2650155216628401E-2</v>
      </c>
      <c r="D28955" s="2">
        <v>5.5252341486422699E-3</v>
      </c>
      <c r="E28955" s="2">
        <v>3.6974984112311498E-3</v>
      </c>
      <c r="F28955" s="2">
        <v>1.15828991323747E-2</v>
      </c>
    </row>
    <row r="28956" spans="1:6" x14ac:dyDescent="0.25">
      <c r="A28956" s="1" t="str">
        <f t="shared" si="1038"/>
        <v>39100</v>
      </c>
      <c r="B28956" s="1" t="str">
        <f>"10918"</f>
        <v>10918</v>
      </c>
      <c r="C28956" s="2">
        <v>1.66824132811445E-2</v>
      </c>
      <c r="D28956" s="2">
        <v>1.8462367764975399E-2</v>
      </c>
      <c r="E28956" s="2">
        <v>6.9905829337338901E-3</v>
      </c>
      <c r="F28956" s="2">
        <v>1.63477024968618E-2</v>
      </c>
    </row>
    <row r="28957" spans="1:6" x14ac:dyDescent="0.25">
      <c r="A28957" s="1" t="str">
        <f t="shared" si="1038"/>
        <v>39100</v>
      </c>
      <c r="B28957" s="1" t="str">
        <f>"12580"</f>
        <v>12580</v>
      </c>
      <c r="C28957" s="2">
        <v>6.0095829396679696E-3</v>
      </c>
      <c r="D28957" s="2">
        <v>1.14547537227949E-3</v>
      </c>
      <c r="E28957" s="2">
        <v>2.1953896816684902E-3</v>
      </c>
      <c r="F28957" s="2">
        <v>5.3968096787252598E-3</v>
      </c>
    </row>
    <row r="28958" spans="1:6" x14ac:dyDescent="0.25">
      <c r="A28958" s="1" t="str">
        <f t="shared" si="1038"/>
        <v>39100</v>
      </c>
      <c r="B28958" s="1" t="str">
        <f>"12575"</f>
        <v>12575</v>
      </c>
      <c r="C28958" s="2">
        <v>2.99973005803752E-3</v>
      </c>
      <c r="D28958" s="2">
        <v>1.92035577117444E-3</v>
      </c>
      <c r="E28958" s="2">
        <v>4.0441388872840701E-4</v>
      </c>
      <c r="F28958" s="2">
        <v>2.7755853339585402E-3</v>
      </c>
    </row>
    <row r="28959" spans="1:6" x14ac:dyDescent="0.25">
      <c r="A28959" s="1" t="str">
        <f t="shared" si="1038"/>
        <v>39100</v>
      </c>
      <c r="B28959" s="1" t="str">
        <f>"12566"</f>
        <v>12566</v>
      </c>
      <c r="C28959" s="2">
        <v>5.9184775273316203E-3</v>
      </c>
      <c r="D28959" s="2">
        <v>3.8070210902230298E-3</v>
      </c>
      <c r="E28959" s="2">
        <v>2.7731238084233601E-3</v>
      </c>
      <c r="F28959" s="2">
        <v>5.5773829113647498E-3</v>
      </c>
    </row>
    <row r="28960" spans="1:6" x14ac:dyDescent="0.25">
      <c r="A28960" s="1" t="str">
        <f t="shared" si="1038"/>
        <v>39100</v>
      </c>
      <c r="B28960" s="1" t="str">
        <f>"12551"</f>
        <v>12551</v>
      </c>
      <c r="C28960" s="2">
        <v>3.9344041031178197E-3</v>
      </c>
      <c r="D28960" s="2">
        <v>7.7824944410753898E-3</v>
      </c>
      <c r="E28960" s="2">
        <v>1.15546825350973E-4</v>
      </c>
      <c r="F28960" s="2">
        <v>4.0745476203651598E-3</v>
      </c>
    </row>
    <row r="28961" spans="1:6" x14ac:dyDescent="0.25">
      <c r="A28961" s="1" t="str">
        <f t="shared" si="1038"/>
        <v>39100</v>
      </c>
      <c r="B28961" s="1" t="str">
        <f>"12552"</f>
        <v>12552</v>
      </c>
      <c r="C28961" s="2">
        <v>1.84910244297476E-3</v>
      </c>
      <c r="D28961" s="2">
        <v>4.3123778721110397E-3</v>
      </c>
      <c r="E28961" s="2">
        <v>1.15546825350973E-4</v>
      </c>
      <c r="F28961" s="2">
        <v>1.9746556730575902E-3</v>
      </c>
    </row>
    <row r="28962" spans="1:6" x14ac:dyDescent="0.25">
      <c r="A28962" s="1" t="str">
        <f t="shared" si="1038"/>
        <v>39100</v>
      </c>
      <c r="B28962" s="1" t="str">
        <f>"10992"</f>
        <v>10992</v>
      </c>
      <c r="C28962" s="2">
        <v>1.4931164799568001E-2</v>
      </c>
      <c r="D28962" s="2">
        <v>1.3712014015227999E-2</v>
      </c>
      <c r="E28962" s="2">
        <v>1.1092495233693401E-2</v>
      </c>
      <c r="F28962" s="2">
        <v>1.4632256786786599E-2</v>
      </c>
    </row>
    <row r="28963" spans="1:6" x14ac:dyDescent="0.25">
      <c r="A28963" s="1" t="str">
        <f t="shared" si="1038"/>
        <v>39100</v>
      </c>
      <c r="B28963" s="1" t="str">
        <f>"10998"</f>
        <v>10998</v>
      </c>
      <c r="C28963" s="2">
        <v>4.1739775948171102E-3</v>
      </c>
      <c r="D28963" s="2">
        <v>9.7702311165015791E-4</v>
      </c>
      <c r="E28963" s="2">
        <v>1.03992142815876E-3</v>
      </c>
      <c r="F28963" s="2">
        <v>3.7396133985338601E-3</v>
      </c>
    </row>
    <row r="28964" spans="1:6" x14ac:dyDescent="0.25">
      <c r="A28964" s="1" t="str">
        <f t="shared" si="1038"/>
        <v>39100</v>
      </c>
      <c r="B28964" s="1" t="str">
        <f>"12603"</f>
        <v>12603</v>
      </c>
      <c r="C28964" s="2">
        <v>6.0747064381157997E-2</v>
      </c>
      <c r="D28964" s="2">
        <v>5.26581766727309E-2</v>
      </c>
      <c r="E28964" s="2">
        <v>4.66231440291177E-2</v>
      </c>
      <c r="F28964" s="2">
        <v>5.9335781751036099E-2</v>
      </c>
    </row>
    <row r="28965" spans="1:6" x14ac:dyDescent="0.25">
      <c r="A28965" s="1" t="str">
        <f t="shared" si="1038"/>
        <v>39100</v>
      </c>
      <c r="B28965" s="1" t="str">
        <f>"12570"</f>
        <v>12570</v>
      </c>
      <c r="C28965" s="2">
        <v>8.4559319746254497E-3</v>
      </c>
      <c r="D28965" s="2">
        <v>1.8866653190485799E-3</v>
      </c>
      <c r="E28965" s="2">
        <v>2.3687099196949501E-3</v>
      </c>
      <c r="F28965" s="2">
        <v>7.5811632993642002E-3</v>
      </c>
    </row>
    <row r="28966" spans="1:6" x14ac:dyDescent="0.25">
      <c r="A28966" s="1" t="str">
        <f t="shared" ref="A28966:A28997" si="1039">"39100"</f>
        <v>39100</v>
      </c>
      <c r="B28966" s="1" t="str">
        <f>"12546"</f>
        <v>12546</v>
      </c>
      <c r="C28966" s="2">
        <v>3.9074099068700198E-3</v>
      </c>
      <c r="D28966" s="2">
        <v>1.8529748669227099E-3</v>
      </c>
      <c r="E28966" s="2">
        <v>6.3550753943035401E-4</v>
      </c>
      <c r="F28966" s="2">
        <v>3.56486510888274E-3</v>
      </c>
    </row>
    <row r="28967" spans="1:6" x14ac:dyDescent="0.25">
      <c r="A28967" s="1" t="str">
        <f t="shared" si="1039"/>
        <v>39100</v>
      </c>
      <c r="B28967" s="1" t="str">
        <f>"12590"</f>
        <v>12590</v>
      </c>
      <c r="C28967" s="2">
        <v>5.44742880280739E-2</v>
      </c>
      <c r="D28967" s="2">
        <v>5.05693686409271E-2</v>
      </c>
      <c r="E28967" s="2">
        <v>6.9790282511987906E-2</v>
      </c>
      <c r="F28967" s="2">
        <v>5.4908825079874497E-2</v>
      </c>
    </row>
    <row r="28968" spans="1:6" x14ac:dyDescent="0.25">
      <c r="A28968" s="1" t="str">
        <f t="shared" si="1039"/>
        <v>39100</v>
      </c>
      <c r="B28968" s="1" t="str">
        <f>"12582"</f>
        <v>12582</v>
      </c>
      <c r="C28968" s="2">
        <v>7.0691051423943801E-3</v>
      </c>
      <c r="D28968" s="2">
        <v>3.9417828987264999E-3</v>
      </c>
      <c r="E28968" s="2">
        <v>6.9328095210584003E-4</v>
      </c>
      <c r="F28968" s="2">
        <v>6.4773366030679898E-3</v>
      </c>
    </row>
    <row r="28969" spans="1:6" x14ac:dyDescent="0.25">
      <c r="A28969" s="1" t="str">
        <f t="shared" si="1039"/>
        <v>39100</v>
      </c>
      <c r="B28969" s="1" t="str">
        <f>"10988"</f>
        <v>10988</v>
      </c>
      <c r="C28969" s="2">
        <v>6.71480631664192E-4</v>
      </c>
      <c r="D28969" s="2">
        <v>6.7380904251735003E-4</v>
      </c>
      <c r="E28969" s="2">
        <v>1.7332023802646001E-4</v>
      </c>
      <c r="F28969" s="2">
        <v>6.4656867170912499E-4</v>
      </c>
    </row>
    <row r="28970" spans="1:6" x14ac:dyDescent="0.25">
      <c r="A28970" s="1" t="str">
        <f t="shared" si="1039"/>
        <v>39100</v>
      </c>
      <c r="B28970" s="1" t="str">
        <f>"12583"</f>
        <v>12583</v>
      </c>
      <c r="C28970" s="2">
        <v>2.1359157781077002E-3</v>
      </c>
      <c r="D28970" s="2">
        <v>5.0535678188801201E-4</v>
      </c>
      <c r="E28970" s="2">
        <v>3.4664047605292001E-4</v>
      </c>
      <c r="F28970" s="2">
        <v>1.90475635719715E-3</v>
      </c>
    </row>
    <row r="28971" spans="1:6" x14ac:dyDescent="0.25">
      <c r="A28971" s="1" t="str">
        <f t="shared" si="1039"/>
        <v>39100</v>
      </c>
      <c r="B28971" s="1" t="str">
        <f>"10933"</f>
        <v>10933</v>
      </c>
      <c r="C28971" s="2">
        <v>5.0276690511540003E-4</v>
      </c>
      <c r="D28971" s="2">
        <v>0</v>
      </c>
      <c r="E28971" s="2">
        <v>5.7773412675486703E-5</v>
      </c>
      <c r="F28971" s="2">
        <v>4.3687072412778699E-4</v>
      </c>
    </row>
    <row r="28972" spans="1:6" x14ac:dyDescent="0.25">
      <c r="A28972" s="1" t="str">
        <f t="shared" si="1039"/>
        <v>39100</v>
      </c>
      <c r="B28972" s="1" t="str">
        <f>"12542"</f>
        <v>12542</v>
      </c>
      <c r="C28972" s="2">
        <v>2.9356188419489798E-4</v>
      </c>
      <c r="D28972" s="2">
        <v>3.7059497338454199E-4</v>
      </c>
      <c r="E28972" s="2">
        <v>0</v>
      </c>
      <c r="F28972" s="2">
        <v>2.8542220643015402E-4</v>
      </c>
    </row>
    <row r="28973" spans="1:6" x14ac:dyDescent="0.25">
      <c r="A28973" s="1" t="str">
        <f t="shared" si="1039"/>
        <v>39100</v>
      </c>
      <c r="B28973" s="1" t="str">
        <f>"12585"</f>
        <v>12585</v>
      </c>
      <c r="C28973" s="2">
        <v>1.17762181131056E-3</v>
      </c>
      <c r="D28973" s="2">
        <v>3.3690452125867502E-4</v>
      </c>
      <c r="E28973" s="2">
        <v>4.0441388872840701E-4</v>
      </c>
      <c r="F28973" s="2">
        <v>1.0659645668717999E-3</v>
      </c>
    </row>
    <row r="28974" spans="1:6" x14ac:dyDescent="0.25">
      <c r="A28974" s="1" t="str">
        <f t="shared" si="1039"/>
        <v>39100</v>
      </c>
      <c r="B28974" s="1" t="str">
        <f>"12564"</f>
        <v>12564</v>
      </c>
      <c r="C28974" s="2">
        <v>1.0463625320556001E-2</v>
      </c>
      <c r="D28974" s="2">
        <v>1.0915706488781001E-2</v>
      </c>
      <c r="E28974" s="2">
        <v>9.4748396787798193E-3</v>
      </c>
      <c r="F28974" s="2">
        <v>1.04528601926308E-2</v>
      </c>
    </row>
    <row r="28975" spans="1:6" x14ac:dyDescent="0.25">
      <c r="A28975" s="1" t="str">
        <f t="shared" si="1039"/>
        <v>39100</v>
      </c>
      <c r="B28975" s="1" t="str">
        <f>"12567"</f>
        <v>12567</v>
      </c>
      <c r="C28975" s="2">
        <v>3.6104737481441398E-3</v>
      </c>
      <c r="D28975" s="2">
        <v>1.6508321541675E-3</v>
      </c>
      <c r="E28975" s="2">
        <v>2.1953896816684902E-3</v>
      </c>
      <c r="F28975" s="2">
        <v>3.3697295187723299E-3</v>
      </c>
    </row>
    <row r="28976" spans="1:6" x14ac:dyDescent="0.25">
      <c r="A28976" s="1" t="str">
        <f t="shared" si="1039"/>
        <v>39100</v>
      </c>
      <c r="B28976" s="1" t="str">
        <f>"12571"</f>
        <v>12571</v>
      </c>
      <c r="C28976" s="2">
        <v>1.4252935618841899E-2</v>
      </c>
      <c r="D28976" s="2">
        <v>1.3678323563102199E-2</v>
      </c>
      <c r="E28976" s="2">
        <v>1.2016869836501199E-2</v>
      </c>
      <c r="F28976" s="2">
        <v>1.4090537088868199E-2</v>
      </c>
    </row>
    <row r="28977" spans="1:6" x14ac:dyDescent="0.25">
      <c r="A28977" s="1" t="str">
        <f t="shared" si="1039"/>
        <v>39100</v>
      </c>
      <c r="B28977" s="1" t="str">
        <f>"12549"</f>
        <v>12549</v>
      </c>
      <c r="C28977" s="2">
        <v>1.3574706438115799E-2</v>
      </c>
      <c r="D28977" s="2">
        <v>1.3307728589717601E-2</v>
      </c>
      <c r="E28977" s="2">
        <v>5.5462476168467202E-3</v>
      </c>
      <c r="F28977" s="2">
        <v>1.3146896324752201E-2</v>
      </c>
    </row>
    <row r="28978" spans="1:6" x14ac:dyDescent="0.25">
      <c r="A28978" s="1" t="str">
        <f t="shared" si="1039"/>
        <v>39100</v>
      </c>
      <c r="B28978" s="1" t="str">
        <f>"12577"</f>
        <v>12577</v>
      </c>
      <c r="C28978" s="2">
        <v>2.4429747604265001E-3</v>
      </c>
      <c r="D28978" s="2">
        <v>8.4226130314668795E-4</v>
      </c>
      <c r="E28978" s="2">
        <v>4.0441388872840701E-4</v>
      </c>
      <c r="F28978" s="2">
        <v>2.2018284496040401E-3</v>
      </c>
    </row>
    <row r="28979" spans="1:6" x14ac:dyDescent="0.25">
      <c r="A28979" s="1" t="str">
        <f t="shared" si="1039"/>
        <v>39100</v>
      </c>
      <c r="B28979" s="1" t="str">
        <f>"12531"</f>
        <v>12531</v>
      </c>
      <c r="C28979" s="2">
        <v>3.7319476312592699E-3</v>
      </c>
      <c r="D28979" s="2">
        <v>5.7273768613974704E-4</v>
      </c>
      <c r="E28979" s="2">
        <v>1.1554682535097299E-3</v>
      </c>
      <c r="F28979" s="2">
        <v>3.3289549178537399E-3</v>
      </c>
    </row>
    <row r="28980" spans="1:6" x14ac:dyDescent="0.25">
      <c r="A28980" s="1" t="str">
        <f t="shared" si="1039"/>
        <v>39100</v>
      </c>
      <c r="B28980" s="1" t="str">
        <f>"12520"</f>
        <v>12520</v>
      </c>
      <c r="C28980" s="2">
        <v>4.7273586178971502E-3</v>
      </c>
      <c r="D28980" s="2">
        <v>2.52678390944006E-3</v>
      </c>
      <c r="E28980" s="2">
        <v>4.7951932520653899E-3</v>
      </c>
      <c r="F28980" s="2">
        <v>4.5405430594348001E-3</v>
      </c>
    </row>
    <row r="28981" spans="1:6" x14ac:dyDescent="0.25">
      <c r="A28981" s="1" t="str">
        <f t="shared" si="1039"/>
        <v>39100</v>
      </c>
      <c r="B28981" s="1" t="str">
        <f>"10975"</f>
        <v>10975</v>
      </c>
      <c r="C28981" s="2">
        <v>4.01538669186124E-4</v>
      </c>
      <c r="D28981" s="2">
        <v>1.01071356377602E-4</v>
      </c>
      <c r="E28981" s="2">
        <v>1.7332023802646001E-4</v>
      </c>
      <c r="F28981" s="2">
        <v>3.6405893677315601E-4</v>
      </c>
    </row>
    <row r="28982" spans="1:6" x14ac:dyDescent="0.25">
      <c r="A28982" s="1" t="str">
        <f t="shared" si="1039"/>
        <v>39100</v>
      </c>
      <c r="B28982" s="1" t="str">
        <f>"12771"</f>
        <v>12771</v>
      </c>
      <c r="C28982" s="2">
        <v>2.1730327979484401E-2</v>
      </c>
      <c r="D28982" s="2">
        <v>2.14945084563034E-2</v>
      </c>
      <c r="E28982" s="2">
        <v>2.52469813391877E-2</v>
      </c>
      <c r="F28982" s="2">
        <v>2.18872232788021E-2</v>
      </c>
    </row>
    <row r="28983" spans="1:6" x14ac:dyDescent="0.25">
      <c r="A28983" s="1" t="str">
        <f t="shared" si="1039"/>
        <v>39100</v>
      </c>
      <c r="B28983" s="1" t="str">
        <f>"12586"</f>
        <v>12586</v>
      </c>
      <c r="C28983" s="2">
        <v>1.7525981913888499E-2</v>
      </c>
      <c r="D28983" s="2">
        <v>1.09830873930328E-2</v>
      </c>
      <c r="E28983" s="2">
        <v>1.4038939280143201E-2</v>
      </c>
      <c r="F28983" s="2">
        <v>1.6784573220989502E-2</v>
      </c>
    </row>
    <row r="28984" spans="1:6" x14ac:dyDescent="0.25">
      <c r="A28984" s="1" t="str">
        <f t="shared" si="1039"/>
        <v>39100</v>
      </c>
      <c r="B28984" s="1" t="str">
        <f>"10928"</f>
        <v>10928</v>
      </c>
      <c r="C28984" s="2">
        <v>7.4470238898636703E-3</v>
      </c>
      <c r="D28984" s="2">
        <v>5.5589246007681399E-3</v>
      </c>
      <c r="E28984" s="2">
        <v>3.2237564272921598E-2</v>
      </c>
      <c r="F28984" s="2">
        <v>8.5335414779627809E-3</v>
      </c>
    </row>
    <row r="28985" spans="1:6" x14ac:dyDescent="0.25">
      <c r="A28985" s="1" t="str">
        <f t="shared" si="1039"/>
        <v>39100</v>
      </c>
      <c r="B28985" s="1" t="str">
        <f>"12555"</f>
        <v>12555</v>
      </c>
      <c r="C28985" s="2">
        <v>0</v>
      </c>
      <c r="D28985" s="2">
        <v>0</v>
      </c>
      <c r="E28985" s="2">
        <v>5.7773412675486703E-5</v>
      </c>
      <c r="F28985" s="2">
        <v>2.9124714941852501E-6</v>
      </c>
    </row>
    <row r="28986" spans="1:6" x14ac:dyDescent="0.25">
      <c r="A28986" s="1" t="str">
        <f t="shared" si="1039"/>
        <v>39100</v>
      </c>
      <c r="B28986" s="1" t="str">
        <f>"10917"</f>
        <v>10917</v>
      </c>
      <c r="C28986" s="2">
        <v>3.5024969631529202E-3</v>
      </c>
      <c r="D28986" s="2">
        <v>2.4594030051883198E-2</v>
      </c>
      <c r="E28986" s="2">
        <v>2.1376162689929999E-3</v>
      </c>
      <c r="F28986" s="2">
        <v>5.2570110470043698E-3</v>
      </c>
    </row>
    <row r="28987" spans="1:6" x14ac:dyDescent="0.25">
      <c r="A28987" s="1" t="str">
        <f t="shared" si="1039"/>
        <v>39100</v>
      </c>
      <c r="B28987" s="1" t="str">
        <f>"12569"</f>
        <v>12569</v>
      </c>
      <c r="C28987" s="2">
        <v>1.9024159805641701E-2</v>
      </c>
      <c r="D28987" s="2">
        <v>1.31392763290883E-2</v>
      </c>
      <c r="E28987" s="2">
        <v>1.01681206308856E-2</v>
      </c>
      <c r="F28987" s="2">
        <v>1.8068973149925199E-2</v>
      </c>
    </row>
    <row r="28988" spans="1:6" x14ac:dyDescent="0.25">
      <c r="A28988" s="1" t="str">
        <f t="shared" si="1039"/>
        <v>39100</v>
      </c>
      <c r="B28988" s="1" t="str">
        <f>"12550"</f>
        <v>12550</v>
      </c>
      <c r="C28988" s="2">
        <v>7.7615062761506204E-2</v>
      </c>
      <c r="D28988" s="2">
        <v>9.5175527255575695E-2</v>
      </c>
      <c r="E28988" s="2">
        <v>0.14605118724363</v>
      </c>
      <c r="F28988" s="2">
        <v>8.2583129217622703E-2</v>
      </c>
    </row>
    <row r="28989" spans="1:6" x14ac:dyDescent="0.25">
      <c r="A28989" s="1" t="str">
        <f t="shared" si="1039"/>
        <v>39100</v>
      </c>
      <c r="B28989" s="1" t="str">
        <f>"12533"</f>
        <v>12533</v>
      </c>
      <c r="C28989" s="2">
        <v>3.4782021865298898E-2</v>
      </c>
      <c r="D28989" s="2">
        <v>2.9849740583518601E-2</v>
      </c>
      <c r="E28989" s="2">
        <v>1.38078456294413E-2</v>
      </c>
      <c r="F28989" s="2">
        <v>3.32982865930199E-2</v>
      </c>
    </row>
    <row r="28990" spans="1:6" x14ac:dyDescent="0.25">
      <c r="A28990" s="1" t="str">
        <f t="shared" si="1039"/>
        <v>39100</v>
      </c>
      <c r="B28990" s="1" t="str">
        <f>"12524"</f>
        <v>12524</v>
      </c>
      <c r="C28990" s="2">
        <v>2.4493858820353601E-2</v>
      </c>
      <c r="D28990" s="2">
        <v>3.4364261168384799E-2</v>
      </c>
      <c r="E28990" s="2">
        <v>3.5126234906695898E-2</v>
      </c>
      <c r="F28990" s="2">
        <v>2.58831341688243E-2</v>
      </c>
    </row>
    <row r="28991" spans="1:6" x14ac:dyDescent="0.25">
      <c r="A28991" s="1" t="str">
        <f t="shared" si="1039"/>
        <v>39100</v>
      </c>
      <c r="B28991" s="1" t="str">
        <f>"12780"</f>
        <v>12780</v>
      </c>
      <c r="C28991" s="2">
        <v>3.29666621676339E-3</v>
      </c>
      <c r="D28991" s="2">
        <v>6.7380904251735003E-4</v>
      </c>
      <c r="E28991" s="2">
        <v>6.3550753943035401E-4</v>
      </c>
      <c r="F28991" s="2">
        <v>2.9357712661387302E-3</v>
      </c>
    </row>
    <row r="28992" spans="1:6" x14ac:dyDescent="0.25">
      <c r="A28992" s="1" t="str">
        <f t="shared" si="1039"/>
        <v>39100</v>
      </c>
      <c r="B28992" s="1" t="str">
        <f>"10940"</f>
        <v>10940</v>
      </c>
      <c r="C28992" s="2">
        <v>7.4547847212849197E-2</v>
      </c>
      <c r="D28992" s="2">
        <v>7.9004110235159297E-2</v>
      </c>
      <c r="E28992" s="2">
        <v>6.6843838465538097E-2</v>
      </c>
      <c r="F28992" s="2">
        <v>7.4544707893671402E-2</v>
      </c>
    </row>
    <row r="28993" spans="1:6" x14ac:dyDescent="0.25">
      <c r="A28993" s="1" t="str">
        <f t="shared" si="1039"/>
        <v>39100</v>
      </c>
      <c r="B28993" s="1" t="str">
        <f>"12553"</f>
        <v>12553</v>
      </c>
      <c r="C28993" s="2">
        <v>3.8527466594682098E-2</v>
      </c>
      <c r="D28993" s="2">
        <v>3.8070210902230298E-2</v>
      </c>
      <c r="E28993" s="2">
        <v>2.56513952279161E-2</v>
      </c>
      <c r="F28993" s="2">
        <v>3.7838829652454699E-2</v>
      </c>
    </row>
    <row r="28994" spans="1:6" x14ac:dyDescent="0.25">
      <c r="A28994" s="1" t="str">
        <f t="shared" si="1039"/>
        <v>39100</v>
      </c>
      <c r="B28994" s="1" t="str">
        <f>"12572"</f>
        <v>12572</v>
      </c>
      <c r="C28994" s="2">
        <v>1.7559724659198198E-2</v>
      </c>
      <c r="D28994" s="2">
        <v>2.4897244121016099E-2</v>
      </c>
      <c r="E28994" s="2">
        <v>1.6118782136460799E-2</v>
      </c>
      <c r="F28994" s="2">
        <v>1.8121397636820601E-2</v>
      </c>
    </row>
    <row r="28995" spans="1:6" x14ac:dyDescent="0.25">
      <c r="A28995" s="1" t="str">
        <f t="shared" si="1039"/>
        <v>39100</v>
      </c>
      <c r="B28995" s="1" t="str">
        <f>"12578"</f>
        <v>12578</v>
      </c>
      <c r="C28995" s="2">
        <v>3.2055608044270398E-3</v>
      </c>
      <c r="D28995" s="2">
        <v>1.7855939626709701E-3</v>
      </c>
      <c r="E28995" s="2">
        <v>4.6218730140389303E-4</v>
      </c>
      <c r="F28995" s="2">
        <v>2.94450868062128E-3</v>
      </c>
    </row>
    <row r="28996" spans="1:6" x14ac:dyDescent="0.25">
      <c r="A28996" s="1" t="str">
        <f t="shared" si="1039"/>
        <v>39100</v>
      </c>
      <c r="B28996" s="1" t="str">
        <f>"12508"</f>
        <v>12508</v>
      </c>
      <c r="C28996" s="2">
        <v>2.9909569442569801E-2</v>
      </c>
      <c r="D28996" s="2">
        <v>2.4829863216764302E-2</v>
      </c>
      <c r="E28996" s="2">
        <v>3.4664047605292E-2</v>
      </c>
      <c r="F28996" s="2">
        <v>2.97101217121837E-2</v>
      </c>
    </row>
    <row r="28997" spans="1:6" x14ac:dyDescent="0.25">
      <c r="A28997" s="1" t="str">
        <f t="shared" si="1039"/>
        <v>39100</v>
      </c>
      <c r="B28997" s="1" t="str">
        <f>"12518"</f>
        <v>12518</v>
      </c>
      <c r="C28997" s="2">
        <v>1.06863274396004E-2</v>
      </c>
      <c r="D28997" s="2">
        <v>1.1993800956808799E-2</v>
      </c>
      <c r="E28997" s="2">
        <v>8.3193714252700907E-3</v>
      </c>
      <c r="F28997" s="2">
        <v>1.06800329691773E-2</v>
      </c>
    </row>
    <row r="28998" spans="1:6" x14ac:dyDescent="0.25">
      <c r="A28998" s="1" t="str">
        <f t="shared" ref="A28998:A29033" si="1040">"39100"</f>
        <v>39100</v>
      </c>
      <c r="B28998" s="1" t="str">
        <f>"12729"</f>
        <v>12729</v>
      </c>
      <c r="C28998" s="2">
        <v>2.2506411121608798E-3</v>
      </c>
      <c r="D28998" s="2">
        <v>3.7059497338454199E-4</v>
      </c>
      <c r="E28998" s="2">
        <v>4.0441388872840701E-4</v>
      </c>
      <c r="F28998" s="2">
        <v>1.9950429735168902E-3</v>
      </c>
    </row>
    <row r="28999" spans="1:6" x14ac:dyDescent="0.25">
      <c r="A28999" s="1" t="str">
        <f t="shared" si="1040"/>
        <v>39100</v>
      </c>
      <c r="B28999" s="1" t="str">
        <f>"10979"</f>
        <v>10979</v>
      </c>
      <c r="C28999" s="2">
        <v>0</v>
      </c>
      <c r="D28999" s="2">
        <v>0</v>
      </c>
      <c r="E28999" s="2">
        <v>5.7773412675486703E-5</v>
      </c>
      <c r="F28999" s="2">
        <v>2.9124714941852501E-6</v>
      </c>
    </row>
    <row r="29000" spans="1:6" x14ac:dyDescent="0.25">
      <c r="A29000" s="1" t="str">
        <f t="shared" si="1040"/>
        <v>39100</v>
      </c>
      <c r="B29000" s="1" t="str">
        <f>"10987"</f>
        <v>10987</v>
      </c>
      <c r="C29000" s="2">
        <v>8.0139020110676206E-3</v>
      </c>
      <c r="D29000" s="2">
        <v>5.72737686139747E-3</v>
      </c>
      <c r="E29000" s="2">
        <v>2.4264833323704399E-3</v>
      </c>
      <c r="F29000" s="2">
        <v>7.5345637554572404E-3</v>
      </c>
    </row>
    <row r="29001" spans="1:6" x14ac:dyDescent="0.25">
      <c r="A29001" s="1" t="str">
        <f t="shared" si="1040"/>
        <v>39100</v>
      </c>
      <c r="B29001" s="1" t="str">
        <f>"10958"</f>
        <v>10958</v>
      </c>
      <c r="C29001" s="2">
        <v>6.0871912538804102E-3</v>
      </c>
      <c r="D29001" s="2">
        <v>6.8391617815510997E-3</v>
      </c>
      <c r="E29001" s="2">
        <v>1.61765555491362E-3</v>
      </c>
      <c r="F29001" s="2">
        <v>5.9268794906669796E-3</v>
      </c>
    </row>
    <row r="29002" spans="1:6" x14ac:dyDescent="0.25">
      <c r="A29002" s="1" t="str">
        <f t="shared" si="1040"/>
        <v>39100</v>
      </c>
      <c r="B29002" s="1" t="str">
        <f>"10963"</f>
        <v>10963</v>
      </c>
      <c r="C29002" s="2">
        <v>3.1853151572411899E-3</v>
      </c>
      <c r="D29002" s="2">
        <v>1.4486894414122999E-3</v>
      </c>
      <c r="E29002" s="2">
        <v>1.03992142815876E-3</v>
      </c>
      <c r="F29002" s="2">
        <v>2.92703385165617E-3</v>
      </c>
    </row>
    <row r="29003" spans="1:6" x14ac:dyDescent="0.25">
      <c r="A29003" s="1" t="str">
        <f t="shared" si="1040"/>
        <v>39100</v>
      </c>
      <c r="B29003" s="1" t="str">
        <f>"12601"</f>
        <v>12601</v>
      </c>
      <c r="C29003" s="2">
        <v>6.42698069914968E-2</v>
      </c>
      <c r="D29003" s="2">
        <v>9.0896839835590507E-2</v>
      </c>
      <c r="E29003" s="2">
        <v>0.13877173724651901</v>
      </c>
      <c r="F29003" s="2">
        <v>7.0327449170091205E-2</v>
      </c>
    </row>
    <row r="29004" spans="1:6" x14ac:dyDescent="0.25">
      <c r="A29004" s="1" t="str">
        <f t="shared" si="1040"/>
        <v>39100</v>
      </c>
      <c r="B29004" s="1" t="str">
        <f>"12574"</f>
        <v>12574</v>
      </c>
      <c r="C29004" s="2">
        <v>0</v>
      </c>
      <c r="D29004" s="2">
        <v>0</v>
      </c>
      <c r="E29004" s="2">
        <v>5.7773412675486703E-5</v>
      </c>
      <c r="F29004" s="2">
        <v>2.9124714941852501E-6</v>
      </c>
    </row>
    <row r="29005" spans="1:6" x14ac:dyDescent="0.25">
      <c r="A29005" s="1" t="str">
        <f t="shared" si="1040"/>
        <v>39100</v>
      </c>
      <c r="B29005" s="1" t="str">
        <f>"10910"</f>
        <v>10910</v>
      </c>
      <c r="C29005" s="2">
        <v>3.3742745309758402E-6</v>
      </c>
      <c r="D29005" s="2">
        <v>0</v>
      </c>
      <c r="E29005" s="2">
        <v>5.7773412675486703E-5</v>
      </c>
      <c r="F29005" s="2">
        <v>5.8249429883705003E-6</v>
      </c>
    </row>
    <row r="29006" spans="1:6" x14ac:dyDescent="0.25">
      <c r="A29006" s="1" t="str">
        <f t="shared" si="1040"/>
        <v>39100</v>
      </c>
      <c r="B29006" s="1" t="str">
        <f>"10915"</f>
        <v>10915</v>
      </c>
      <c r="C29006" s="2">
        <v>3.0368470778782499E-5</v>
      </c>
      <c r="D29006" s="2">
        <v>3.3690452125867498E-5</v>
      </c>
      <c r="E29006" s="2">
        <v>5.7773412675486703E-5</v>
      </c>
      <c r="F29006" s="2">
        <v>3.2037186436037701E-5</v>
      </c>
    </row>
    <row r="29007" spans="1:6" x14ac:dyDescent="0.25">
      <c r="A29007" s="1" t="str">
        <f t="shared" si="1040"/>
        <v>39100</v>
      </c>
      <c r="B29007" s="1" t="str">
        <f>"10932"</f>
        <v>10932</v>
      </c>
      <c r="C29007" s="2">
        <v>1.34970981239033E-5</v>
      </c>
      <c r="D29007" s="2">
        <v>0</v>
      </c>
      <c r="E29007" s="2">
        <v>5.7773412675486703E-5</v>
      </c>
      <c r="F29007" s="2">
        <v>1.4562357470926201E-5</v>
      </c>
    </row>
    <row r="29008" spans="1:6" x14ac:dyDescent="0.25">
      <c r="A29008" s="1" t="str">
        <f t="shared" si="1040"/>
        <v>39100</v>
      </c>
      <c r="B29008" s="1" t="str">
        <f>"10912"</f>
        <v>10912</v>
      </c>
      <c r="C29008" s="2">
        <v>3.7791874746929402E-4</v>
      </c>
      <c r="D29008" s="2">
        <v>2.6952361700693998E-4</v>
      </c>
      <c r="E29008" s="2">
        <v>1.7332023802646001E-4</v>
      </c>
      <c r="F29008" s="2">
        <v>3.58233993784785E-4</v>
      </c>
    </row>
    <row r="29009" spans="1:6" x14ac:dyDescent="0.25">
      <c r="A29009" s="1" t="str">
        <f t="shared" si="1040"/>
        <v>39100</v>
      </c>
      <c r="B29009" s="1" t="str">
        <f>"12602"</f>
        <v>12602</v>
      </c>
      <c r="C29009" s="2">
        <v>3.9276555540558701E-3</v>
      </c>
      <c r="D29009" s="2">
        <v>7.3108281113132504E-3</v>
      </c>
      <c r="E29009" s="2">
        <v>1.15546825350973E-4</v>
      </c>
      <c r="F29009" s="2">
        <v>4.0279480764582E-3</v>
      </c>
    </row>
    <row r="29010" spans="1:6" x14ac:dyDescent="0.25">
      <c r="A29010" s="1" t="str">
        <f t="shared" si="1040"/>
        <v>39100</v>
      </c>
      <c r="B29010" s="1" t="str">
        <f>"12746"</f>
        <v>12746</v>
      </c>
      <c r="C29010" s="2">
        <v>1.4779322445674101E-3</v>
      </c>
      <c r="D29010" s="2">
        <v>3.0321406913280701E-4</v>
      </c>
      <c r="E29010" s="2">
        <v>2.8886706337743302E-4</v>
      </c>
      <c r="F29010" s="2">
        <v>1.3164371153717299E-3</v>
      </c>
    </row>
    <row r="29011" spans="1:6" x14ac:dyDescent="0.25">
      <c r="A29011" s="1" t="str">
        <f t="shared" si="1040"/>
        <v>39100</v>
      </c>
      <c r="B29011" s="1" t="str">
        <f>"10926"</f>
        <v>10926</v>
      </c>
      <c r="C29011" s="2">
        <v>7.6865973815629599E-3</v>
      </c>
      <c r="D29011" s="2">
        <v>1.0780944680277601E-2</v>
      </c>
      <c r="E29011" s="2">
        <v>7.2794499971113201E-3</v>
      </c>
      <c r="F29011" s="2">
        <v>7.9335723501606208E-3</v>
      </c>
    </row>
    <row r="29012" spans="1:6" x14ac:dyDescent="0.25">
      <c r="A29012" s="1" t="str">
        <f t="shared" si="1040"/>
        <v>39100</v>
      </c>
      <c r="B29012" s="1" t="str">
        <f>"10921"</f>
        <v>10921</v>
      </c>
      <c r="C29012" s="2">
        <v>7.1298420839519504E-3</v>
      </c>
      <c r="D29012" s="2">
        <v>1.30718954248366E-2</v>
      </c>
      <c r="E29012" s="2">
        <v>7.6260904731642399E-3</v>
      </c>
      <c r="F29012" s="2">
        <v>7.6685374441897601E-3</v>
      </c>
    </row>
    <row r="29013" spans="1:6" x14ac:dyDescent="0.25">
      <c r="A29013" s="1" t="str">
        <f t="shared" si="1040"/>
        <v>39100</v>
      </c>
      <c r="B29013" s="1" t="str">
        <f>"12545"</f>
        <v>12545</v>
      </c>
      <c r="C29013" s="2">
        <v>1.0109326494803599E-2</v>
      </c>
      <c r="D29013" s="2">
        <v>1.14547537227949E-2</v>
      </c>
      <c r="E29013" s="2">
        <v>1.21324166618522E-2</v>
      </c>
      <c r="F29013" s="2">
        <v>1.03276239183808E-2</v>
      </c>
    </row>
    <row r="29014" spans="1:6" x14ac:dyDescent="0.25">
      <c r="A29014" s="1" t="str">
        <f t="shared" si="1040"/>
        <v>39100</v>
      </c>
      <c r="B29014" s="1" t="str">
        <f>"12543"</f>
        <v>12543</v>
      </c>
      <c r="C29014" s="2">
        <v>4.5890133621271402E-3</v>
      </c>
      <c r="D29014" s="2">
        <v>1.8529748669227099E-3</v>
      </c>
      <c r="E29014" s="2">
        <v>7.3372234097868099E-3</v>
      </c>
      <c r="F29014" s="2">
        <v>4.4910310440336504E-3</v>
      </c>
    </row>
    <row r="29015" spans="1:6" x14ac:dyDescent="0.25">
      <c r="A29015" s="1" t="str">
        <f t="shared" si="1040"/>
        <v>39100</v>
      </c>
      <c r="B29015" s="1" t="str">
        <f>"10990"</f>
        <v>10990</v>
      </c>
      <c r="C29015" s="2">
        <v>3.00512889728708E-2</v>
      </c>
      <c r="D29015" s="2">
        <v>2.8165217977225199E-2</v>
      </c>
      <c r="E29015" s="2">
        <v>1.43855797561961E-2</v>
      </c>
      <c r="F29015" s="2">
        <v>2.9098502698404801E-2</v>
      </c>
    </row>
    <row r="29016" spans="1:6" x14ac:dyDescent="0.25">
      <c r="A29016" s="1" t="str">
        <f t="shared" si="1040"/>
        <v>39100</v>
      </c>
      <c r="B29016" s="1" t="str">
        <f>"10996"</f>
        <v>10996</v>
      </c>
      <c r="C29016" s="2">
        <v>3.3540288837899798E-3</v>
      </c>
      <c r="D29016" s="2">
        <v>5.6936864092716104E-3</v>
      </c>
      <c r="E29016" s="2">
        <v>1.45588999942226E-2</v>
      </c>
      <c r="F29016" s="2">
        <v>4.1211471642721197E-3</v>
      </c>
    </row>
    <row r="29017" spans="1:6" x14ac:dyDescent="0.25">
      <c r="A29017" s="1" t="str">
        <f t="shared" si="1040"/>
        <v>39100</v>
      </c>
      <c r="B29017" s="1" t="str">
        <f>"12538"</f>
        <v>12538</v>
      </c>
      <c r="C29017" s="2">
        <v>2.2526656768794701E-2</v>
      </c>
      <c r="D29017" s="2">
        <v>1.8529748669227099E-2</v>
      </c>
      <c r="E29017" s="2">
        <v>1.6118782136460799E-2</v>
      </c>
      <c r="F29017" s="2">
        <v>2.1858098563860302E-2</v>
      </c>
    </row>
    <row r="29018" spans="1:6" x14ac:dyDescent="0.25">
      <c r="A29018" s="1" t="str">
        <f t="shared" si="1040"/>
        <v>39100</v>
      </c>
      <c r="B29018" s="1" t="str">
        <f>"12522"</f>
        <v>12522</v>
      </c>
      <c r="C29018" s="2">
        <v>7.4470238898636703E-3</v>
      </c>
      <c r="D29018" s="2">
        <v>2.7626170743211302E-3</v>
      </c>
      <c r="E29018" s="2">
        <v>2.7153503957478699E-3</v>
      </c>
      <c r="F29018" s="2">
        <v>6.8035334104167402E-3</v>
      </c>
    </row>
    <row r="29019" spans="1:6" x14ac:dyDescent="0.25">
      <c r="A29019" s="1" t="str">
        <f t="shared" si="1040"/>
        <v>39100</v>
      </c>
      <c r="B29019" s="1" t="str">
        <f>"10924"</f>
        <v>10924</v>
      </c>
      <c r="C29019" s="2">
        <v>1.91051423943852E-2</v>
      </c>
      <c r="D29019" s="2">
        <v>3.83060440671113E-2</v>
      </c>
      <c r="E29019" s="2">
        <v>2.2416084118088798E-2</v>
      </c>
      <c r="F29019" s="2">
        <v>2.09319326287093E-2</v>
      </c>
    </row>
    <row r="29020" spans="1:6" x14ac:dyDescent="0.25">
      <c r="A29020" s="1" t="str">
        <f t="shared" si="1040"/>
        <v>39100</v>
      </c>
      <c r="B29020" s="1" t="str">
        <f>"10925"</f>
        <v>10925</v>
      </c>
      <c r="C29020" s="2">
        <v>1.20933999190174E-2</v>
      </c>
      <c r="D29020" s="2">
        <v>5.3567818880129302E-3</v>
      </c>
      <c r="E29020" s="2">
        <v>2.4842567450459201E-3</v>
      </c>
      <c r="F29020" s="2">
        <v>1.1026617076985301E-2</v>
      </c>
    </row>
    <row r="29021" spans="1:6" x14ac:dyDescent="0.25">
      <c r="A29021" s="1" t="str">
        <f t="shared" si="1040"/>
        <v>39100</v>
      </c>
      <c r="B29021" s="1" t="str">
        <f>"12514"</f>
        <v>12514</v>
      </c>
      <c r="C29021" s="2">
        <v>4.52827642056957E-3</v>
      </c>
      <c r="D29021" s="2">
        <v>5.7273768613974704E-4</v>
      </c>
      <c r="E29021" s="2">
        <v>8.6660119013230101E-4</v>
      </c>
      <c r="F29021" s="2">
        <v>4.0017358330105297E-3</v>
      </c>
    </row>
    <row r="29022" spans="1:6" x14ac:dyDescent="0.25">
      <c r="A29022" s="1" t="str">
        <f t="shared" si="1040"/>
        <v>39100</v>
      </c>
      <c r="B29022" s="1" t="str">
        <f>"10973"</f>
        <v>10973</v>
      </c>
      <c r="C29022" s="2">
        <v>3.9107841814009902E-3</v>
      </c>
      <c r="D29022" s="2">
        <v>3.9417828987264999E-3</v>
      </c>
      <c r="E29022" s="2">
        <v>1.3865619042116801E-3</v>
      </c>
      <c r="F29022" s="2">
        <v>3.78621294244082E-3</v>
      </c>
    </row>
    <row r="29023" spans="1:6" x14ac:dyDescent="0.25">
      <c r="A29023" s="1" t="str">
        <f t="shared" si="1040"/>
        <v>39100</v>
      </c>
      <c r="B29023" s="1" t="str">
        <f>"12592"</f>
        <v>12592</v>
      </c>
      <c r="C29023" s="2">
        <v>1.91658793359427E-3</v>
      </c>
      <c r="D29023" s="2">
        <v>7.0749949464321798E-4</v>
      </c>
      <c r="E29023" s="2">
        <v>9.8214801548327391E-4</v>
      </c>
      <c r="F29023" s="2">
        <v>1.76495772547626E-3</v>
      </c>
    </row>
    <row r="29024" spans="1:6" x14ac:dyDescent="0.25">
      <c r="A29024" s="1" t="str">
        <f t="shared" si="1040"/>
        <v>39100</v>
      </c>
      <c r="B29024" s="1" t="str">
        <f>"12594"</f>
        <v>12594</v>
      </c>
      <c r="C29024" s="2">
        <v>5.1558914833310801E-3</v>
      </c>
      <c r="D29024" s="2">
        <v>2.0551175796779098E-3</v>
      </c>
      <c r="E29024" s="2">
        <v>2.4264833323704399E-3</v>
      </c>
      <c r="F29024" s="2">
        <v>4.7502410070161399E-3</v>
      </c>
    </row>
    <row r="29025" spans="1:6" x14ac:dyDescent="0.25">
      <c r="A29025" s="1" t="str">
        <f t="shared" si="1040"/>
        <v>39100</v>
      </c>
      <c r="B29025" s="1" t="str">
        <f>"12511"</f>
        <v>12511</v>
      </c>
      <c r="C29025" s="2">
        <v>0</v>
      </c>
      <c r="D29025" s="2">
        <v>0</v>
      </c>
      <c r="E29025" s="2">
        <v>5.7773412675486703E-5</v>
      </c>
      <c r="F29025" s="2">
        <v>2.9124714941852501E-6</v>
      </c>
    </row>
    <row r="29026" spans="1:6" x14ac:dyDescent="0.25">
      <c r="A29026" s="1" t="str">
        <f t="shared" si="1040"/>
        <v>39100</v>
      </c>
      <c r="B29026" s="1" t="str">
        <f>"10953"</f>
        <v>10953</v>
      </c>
      <c r="C29026" s="2">
        <v>3.3742745309758402E-6</v>
      </c>
      <c r="D29026" s="2">
        <v>0</v>
      </c>
      <c r="E29026" s="2">
        <v>5.7773412675486703E-5</v>
      </c>
      <c r="F29026" s="2">
        <v>5.8249429883705003E-6</v>
      </c>
    </row>
    <row r="29027" spans="1:6" x14ac:dyDescent="0.25">
      <c r="A29027" s="1" t="str">
        <f t="shared" si="1040"/>
        <v>39100</v>
      </c>
      <c r="B29027" s="1" t="str">
        <f>"10959"</f>
        <v>10959</v>
      </c>
      <c r="C29027" s="2">
        <v>0</v>
      </c>
      <c r="D29027" s="2">
        <v>0</v>
      </c>
      <c r="E29027" s="2">
        <v>5.7773412675486703E-5</v>
      </c>
      <c r="F29027" s="2">
        <v>2.9124714941852501E-6</v>
      </c>
    </row>
    <row r="29028" spans="1:6" x14ac:dyDescent="0.25">
      <c r="A29028" s="1" t="str">
        <f t="shared" si="1040"/>
        <v>39100</v>
      </c>
      <c r="B29028" s="1" t="str">
        <f>"12584"</f>
        <v>12584</v>
      </c>
      <c r="C29028" s="2">
        <v>1.9435821298420799E-3</v>
      </c>
      <c r="D29028" s="2">
        <v>4.9188060103766496E-3</v>
      </c>
      <c r="E29028" s="2">
        <v>1.15546825350973E-4</v>
      </c>
      <c r="F29028" s="2">
        <v>2.1086293617901199E-3</v>
      </c>
    </row>
    <row r="29029" spans="1:6" x14ac:dyDescent="0.25">
      <c r="A29029" s="1" t="str">
        <f t="shared" si="1040"/>
        <v>39100</v>
      </c>
      <c r="B29029" s="1" t="str">
        <f>"12507"</f>
        <v>12507</v>
      </c>
      <c r="C29029" s="2">
        <v>2.1932784451342901E-4</v>
      </c>
      <c r="D29029" s="2">
        <v>1.6845226062933699E-4</v>
      </c>
      <c r="E29029" s="2">
        <v>5.7773412675486703E-5</v>
      </c>
      <c r="F29029" s="2">
        <v>2.0678547608715201E-4</v>
      </c>
    </row>
    <row r="29030" spans="1:6" x14ac:dyDescent="0.25">
      <c r="A29030" s="1" t="str">
        <f t="shared" si="1040"/>
        <v>39100</v>
      </c>
      <c r="B29030" s="1" t="str">
        <f>"10985"</f>
        <v>10985</v>
      </c>
      <c r="C29030" s="2">
        <v>2.5981913888513901E-4</v>
      </c>
      <c r="D29030" s="2">
        <v>0</v>
      </c>
      <c r="E29030" s="2">
        <v>1.7332023802646001E-4</v>
      </c>
      <c r="F29030" s="2">
        <v>2.3299771953482E-4</v>
      </c>
    </row>
    <row r="29031" spans="1:6" x14ac:dyDescent="0.25">
      <c r="A29031" s="1" t="str">
        <f t="shared" si="1040"/>
        <v>39100</v>
      </c>
      <c r="B29031" s="1" t="str">
        <f>"12785"</f>
        <v>12785</v>
      </c>
      <c r="C29031" s="2">
        <v>5.0951545417735099E-4</v>
      </c>
      <c r="D29031" s="2">
        <v>3.3690452125867498E-5</v>
      </c>
      <c r="E29031" s="2">
        <v>5.7773412675486703E-5</v>
      </c>
      <c r="F29031" s="2">
        <v>4.4560813861034299E-4</v>
      </c>
    </row>
    <row r="29032" spans="1:6" x14ac:dyDescent="0.25">
      <c r="A29032" s="1" t="str">
        <f t="shared" si="1040"/>
        <v>39100</v>
      </c>
      <c r="B29032" s="1" t="str">
        <f>"12512"</f>
        <v>12512</v>
      </c>
      <c r="C29032" s="2">
        <v>6.7485490619516803E-6</v>
      </c>
      <c r="D29032" s="2">
        <v>0</v>
      </c>
      <c r="E29032" s="2">
        <v>5.7773412675486703E-5</v>
      </c>
      <c r="F29032" s="2">
        <v>8.7374144825557495E-6</v>
      </c>
    </row>
    <row r="29033" spans="1:6" x14ac:dyDescent="0.25">
      <c r="A29033" s="1" t="str">
        <f t="shared" si="1040"/>
        <v>39100</v>
      </c>
      <c r="B29033" s="1" t="str">
        <f>"10981"</f>
        <v>10981</v>
      </c>
      <c r="C29033" s="2">
        <v>1.50492644081522E-3</v>
      </c>
      <c r="D29033" s="2">
        <v>3.0321406913280699E-3</v>
      </c>
      <c r="E29033" s="2">
        <v>1.15546825350973E-4</v>
      </c>
      <c r="F29033" s="2">
        <v>1.5669096638716599E-3</v>
      </c>
    </row>
    <row r="29034" spans="1:6" x14ac:dyDescent="0.25">
      <c r="A29034" s="1" t="str">
        <f t="shared" ref="A29034:A29069" si="1041">"39150"</f>
        <v>39150</v>
      </c>
      <c r="B29034" s="1" t="str">
        <f>"85342"</f>
        <v>85342</v>
      </c>
      <c r="C29034" s="2">
        <v>1.2598471879469601E-4</v>
      </c>
      <c r="D29034" s="2">
        <v>8.8479915059281499E-5</v>
      </c>
      <c r="E29034" s="2">
        <v>0</v>
      </c>
      <c r="F29034" s="2">
        <v>1.1683835413705101E-4</v>
      </c>
    </row>
    <row r="29035" spans="1:6" x14ac:dyDescent="0.25">
      <c r="A29035" s="1" t="str">
        <f t="shared" si="1041"/>
        <v>39150</v>
      </c>
      <c r="B29035" s="1" t="str">
        <f>"86303"</f>
        <v>86303</v>
      </c>
      <c r="C29035" s="2">
        <v>8.9515848136537707E-2</v>
      </c>
      <c r="D29035" s="2">
        <v>6.30861794372677E-2</v>
      </c>
      <c r="E29035" s="2">
        <v>0.105882352941176</v>
      </c>
      <c r="F29035" s="2">
        <v>8.84076879637022E-2</v>
      </c>
    </row>
    <row r="29036" spans="1:6" x14ac:dyDescent="0.25">
      <c r="A29036" s="1" t="str">
        <f t="shared" si="1041"/>
        <v>39150</v>
      </c>
      <c r="B29036" s="1" t="str">
        <f>"86301"</f>
        <v>86301</v>
      </c>
      <c r="C29036" s="2">
        <v>0.10169931153056599</v>
      </c>
      <c r="D29036" s="2">
        <v>0.16121040523801</v>
      </c>
      <c r="E29036" s="2">
        <v>0.13414322250639299</v>
      </c>
      <c r="F29036" s="2">
        <v>0.107711980475012</v>
      </c>
    </row>
    <row r="29037" spans="1:6" x14ac:dyDescent="0.25">
      <c r="A29037" s="1" t="str">
        <f t="shared" si="1041"/>
        <v>39150</v>
      </c>
      <c r="B29037" s="1" t="str">
        <f>"86326"</f>
        <v>86326</v>
      </c>
      <c r="C29037" s="2">
        <v>0.11105923505043</v>
      </c>
      <c r="D29037" s="2">
        <v>0.166784639886745</v>
      </c>
      <c r="E29037" s="2">
        <v>0.14386189258311999</v>
      </c>
      <c r="F29037" s="2">
        <v>0.116812390058354</v>
      </c>
    </row>
    <row r="29038" spans="1:6" x14ac:dyDescent="0.25">
      <c r="A29038" s="1" t="str">
        <f t="shared" si="1041"/>
        <v>39150</v>
      </c>
      <c r="B29038" s="1" t="str">
        <f>"86323"</f>
        <v>86323</v>
      </c>
      <c r="C29038" s="2">
        <v>5.6619014799498997E-2</v>
      </c>
      <c r="D29038" s="2">
        <v>3.9815961776676602E-2</v>
      </c>
      <c r="E29038" s="2">
        <v>2.6086956521739101E-2</v>
      </c>
      <c r="F29038" s="2">
        <v>5.3836517178483499E-2</v>
      </c>
    </row>
    <row r="29039" spans="1:6" x14ac:dyDescent="0.25">
      <c r="A29039" s="1" t="str">
        <f t="shared" si="1041"/>
        <v>39150</v>
      </c>
      <c r="B29039" s="1" t="str">
        <f>"86327"</f>
        <v>86327</v>
      </c>
      <c r="C29039" s="2">
        <v>6.1621349222229602E-2</v>
      </c>
      <c r="D29039" s="2">
        <v>2.5393735622013799E-2</v>
      </c>
      <c r="E29039" s="2">
        <v>2.3657289002557501E-2</v>
      </c>
      <c r="F29039" s="2">
        <v>5.7036589877903901E-2</v>
      </c>
    </row>
    <row r="29040" spans="1:6" x14ac:dyDescent="0.25">
      <c r="A29040" s="1" t="str">
        <f t="shared" si="1041"/>
        <v>39150</v>
      </c>
      <c r="B29040" s="1" t="str">
        <f>"86333"</f>
        <v>86333</v>
      </c>
      <c r="C29040" s="2">
        <v>2.7983429304045501E-2</v>
      </c>
      <c r="D29040" s="2">
        <v>1.31835073438329E-2</v>
      </c>
      <c r="E29040" s="2">
        <v>6.3938618925831201E-3</v>
      </c>
      <c r="F29040" s="2">
        <v>2.5801803205265501E-2</v>
      </c>
    </row>
    <row r="29041" spans="1:6" x14ac:dyDescent="0.25">
      <c r="A29041" s="1" t="str">
        <f t="shared" si="1041"/>
        <v>39150</v>
      </c>
      <c r="B29041" s="1" t="str">
        <f>"86329"</f>
        <v>86329</v>
      </c>
      <c r="C29041" s="2">
        <v>7.4108658114527504E-6</v>
      </c>
      <c r="D29041" s="2">
        <v>0</v>
      </c>
      <c r="E29041" s="2">
        <v>1.2787723785166201E-4</v>
      </c>
      <c r="F29041" s="2">
        <v>1.29820393485612E-5</v>
      </c>
    </row>
    <row r="29042" spans="1:6" x14ac:dyDescent="0.25">
      <c r="A29042" s="1" t="str">
        <f t="shared" si="1041"/>
        <v>39150</v>
      </c>
      <c r="B29042" s="1" t="str">
        <f>"86331"</f>
        <v>86331</v>
      </c>
      <c r="C29042" s="2">
        <v>0</v>
      </c>
      <c r="D29042" s="2">
        <v>0</v>
      </c>
      <c r="E29042" s="2">
        <v>2.5575447570332403E-4</v>
      </c>
      <c r="F29042" s="2">
        <v>1.29820393485612E-5</v>
      </c>
    </row>
    <row r="29043" spans="1:6" x14ac:dyDescent="0.25">
      <c r="A29043" s="1" t="str">
        <f t="shared" si="1041"/>
        <v>39150</v>
      </c>
      <c r="B29043" s="1" t="str">
        <f>"86343"</f>
        <v>86343</v>
      </c>
      <c r="C29043" s="2">
        <v>2.9643463245811001E-5</v>
      </c>
      <c r="D29043" s="2">
        <v>0</v>
      </c>
      <c r="E29043" s="2">
        <v>1.2787723785166201E-4</v>
      </c>
      <c r="F29043" s="2">
        <v>3.2455098371403098E-5</v>
      </c>
    </row>
    <row r="29044" spans="1:6" x14ac:dyDescent="0.25">
      <c r="A29044" s="1" t="str">
        <f t="shared" si="1041"/>
        <v>39150</v>
      </c>
      <c r="B29044" s="1" t="str">
        <f>"86305"</f>
        <v>86305</v>
      </c>
      <c r="C29044" s="2">
        <v>8.3105449209631102E-2</v>
      </c>
      <c r="D29044" s="2">
        <v>7.3615289329322195E-2</v>
      </c>
      <c r="E29044" s="2">
        <v>6.5345268542199395E-2</v>
      </c>
      <c r="F29044" s="2">
        <v>8.1507734049941896E-2</v>
      </c>
    </row>
    <row r="29045" spans="1:6" x14ac:dyDescent="0.25">
      <c r="A29045" s="1" t="str">
        <f t="shared" si="1041"/>
        <v>39150</v>
      </c>
      <c r="B29045" s="1" t="str">
        <f>"86336"</f>
        <v>86336</v>
      </c>
      <c r="C29045" s="2">
        <v>3.9670364688706501E-2</v>
      </c>
      <c r="D29045" s="2">
        <v>7.2465050433551503E-2</v>
      </c>
      <c r="E29045" s="2">
        <v>6.4194373401534499E-2</v>
      </c>
      <c r="F29045" s="2">
        <v>4.3321065306148897E-2</v>
      </c>
    </row>
    <row r="29046" spans="1:6" x14ac:dyDescent="0.25">
      <c r="A29046" s="1" t="str">
        <f t="shared" si="1041"/>
        <v>39150</v>
      </c>
      <c r="B29046" s="1" t="str">
        <f>"85390"</f>
        <v>85390</v>
      </c>
      <c r="C29046" s="2">
        <v>7.1144311789946403E-3</v>
      </c>
      <c r="D29046" s="2">
        <v>1.4156786409485001E-3</v>
      </c>
      <c r="E29046" s="2">
        <v>2.04603580562659E-3</v>
      </c>
      <c r="F29046" s="2">
        <v>6.4390915168863801E-3</v>
      </c>
    </row>
    <row r="29047" spans="1:6" x14ac:dyDescent="0.25">
      <c r="A29047" s="1" t="str">
        <f t="shared" si="1041"/>
        <v>39150</v>
      </c>
      <c r="B29047" s="1" t="str">
        <f>"86046"</f>
        <v>86046</v>
      </c>
      <c r="C29047" s="2">
        <v>7.4108658114527504E-6</v>
      </c>
      <c r="D29047" s="2">
        <v>0</v>
      </c>
      <c r="E29047" s="2">
        <v>0</v>
      </c>
      <c r="F29047" s="2">
        <v>6.4910196742806298E-6</v>
      </c>
    </row>
    <row r="29048" spans="1:6" x14ac:dyDescent="0.25">
      <c r="A29048" s="1" t="str">
        <f t="shared" si="1041"/>
        <v>39150</v>
      </c>
      <c r="B29048" s="1" t="str">
        <f>"86302"</f>
        <v>86302</v>
      </c>
      <c r="C29048" s="2">
        <v>2.01130898122827E-2</v>
      </c>
      <c r="D29048" s="2">
        <v>4.1585560077862301E-2</v>
      </c>
      <c r="E29048" s="2">
        <v>2.5575447570332403E-4</v>
      </c>
      <c r="F29048" s="2">
        <v>2.0680388682258001E-2</v>
      </c>
    </row>
    <row r="29049" spans="1:6" x14ac:dyDescent="0.25">
      <c r="A29049" s="1" t="str">
        <f t="shared" si="1041"/>
        <v>39150</v>
      </c>
      <c r="B29049" s="1" t="str">
        <f>"86321"</f>
        <v>86321</v>
      </c>
      <c r="C29049" s="2">
        <v>3.6313242476118402E-4</v>
      </c>
      <c r="D29049" s="2">
        <v>2.6543974517784398E-4</v>
      </c>
      <c r="E29049" s="2">
        <v>0</v>
      </c>
      <c r="F29049" s="2">
        <v>3.3753302306259198E-4</v>
      </c>
    </row>
    <row r="29050" spans="1:6" x14ac:dyDescent="0.25">
      <c r="A29050" s="1" t="str">
        <f t="shared" si="1041"/>
        <v>39150</v>
      </c>
      <c r="B29050" s="1" t="str">
        <f>"86315"</f>
        <v>86315</v>
      </c>
      <c r="C29050" s="2">
        <v>3.2874600739604402E-2</v>
      </c>
      <c r="D29050" s="2">
        <v>2.3004777915413199E-3</v>
      </c>
      <c r="E29050" s="2">
        <v>3.0690537084398901E-3</v>
      </c>
      <c r="F29050" s="2">
        <v>2.9118714258822901E-2</v>
      </c>
    </row>
    <row r="29051" spans="1:6" x14ac:dyDescent="0.25">
      <c r="A29051" s="1" t="str">
        <f t="shared" si="1041"/>
        <v>39150</v>
      </c>
      <c r="B29051" s="1" t="str">
        <f>"86324"</f>
        <v>86324</v>
      </c>
      <c r="C29051" s="2">
        <v>2.2114023581375E-2</v>
      </c>
      <c r="D29051" s="2">
        <v>8.3171120155724598E-3</v>
      </c>
      <c r="E29051" s="2">
        <v>7.2890025575447501E-3</v>
      </c>
      <c r="F29051" s="2">
        <v>2.0349346678869701E-2</v>
      </c>
    </row>
    <row r="29052" spans="1:6" x14ac:dyDescent="0.25">
      <c r="A29052" s="1" t="str">
        <f t="shared" si="1041"/>
        <v>39150</v>
      </c>
      <c r="B29052" s="1" t="str">
        <f>"86322"</f>
        <v>86322</v>
      </c>
      <c r="C29052" s="2">
        <v>5.9620415453137302E-2</v>
      </c>
      <c r="D29052" s="2">
        <v>5.5653866572287998E-2</v>
      </c>
      <c r="E29052" s="2">
        <v>3.6700767263427102E-2</v>
      </c>
      <c r="F29052" s="2">
        <v>5.8166027301228697E-2</v>
      </c>
    </row>
    <row r="29053" spans="1:6" x14ac:dyDescent="0.25">
      <c r="A29053" s="1" t="str">
        <f t="shared" si="1041"/>
        <v>39150</v>
      </c>
      <c r="B29053" s="1" t="str">
        <f>"86334"</f>
        <v>86334</v>
      </c>
      <c r="C29053" s="2">
        <v>1.04641425257712E-2</v>
      </c>
      <c r="D29053" s="2">
        <v>1.2387188108299401E-3</v>
      </c>
      <c r="E29053" s="2">
        <v>1.02301790281329E-3</v>
      </c>
      <c r="F29053" s="2">
        <v>9.3081222129184193E-3</v>
      </c>
    </row>
    <row r="29054" spans="1:6" x14ac:dyDescent="0.25">
      <c r="A29054" s="1" t="str">
        <f t="shared" si="1041"/>
        <v>39150</v>
      </c>
      <c r="B29054" s="1" t="str">
        <f>"86313"</f>
        <v>86313</v>
      </c>
      <c r="C29054" s="2">
        <v>0</v>
      </c>
      <c r="D29054" s="2">
        <v>8.8479915059281499E-5</v>
      </c>
      <c r="E29054" s="2">
        <v>0</v>
      </c>
      <c r="F29054" s="2">
        <v>6.4910196742806298E-6</v>
      </c>
    </row>
    <row r="29055" spans="1:6" x14ac:dyDescent="0.25">
      <c r="A29055" s="1" t="str">
        <f t="shared" si="1041"/>
        <v>39150</v>
      </c>
      <c r="B29055" s="1" t="str">
        <f>"85324"</f>
        <v>85324</v>
      </c>
      <c r="C29055" s="2">
        <v>2.4011205229106901E-2</v>
      </c>
      <c r="D29055" s="2">
        <v>1.6545744116085601E-2</v>
      </c>
      <c r="E29055" s="2">
        <v>6.9053708439897601E-3</v>
      </c>
      <c r="F29055" s="2">
        <v>2.2595239486170801E-2</v>
      </c>
    </row>
    <row r="29056" spans="1:6" x14ac:dyDescent="0.25">
      <c r="A29056" s="1" t="str">
        <f t="shared" si="1041"/>
        <v>39150</v>
      </c>
      <c r="B29056" s="1" t="str">
        <f>"86304"</f>
        <v>86304</v>
      </c>
      <c r="C29056" s="2">
        <v>1.20871221384794E-2</v>
      </c>
      <c r="D29056" s="2">
        <v>4.6717395151300599E-2</v>
      </c>
      <c r="E29056" s="2">
        <v>2.5575447570332403E-4</v>
      </c>
      <c r="F29056" s="2">
        <v>1.4027093516120401E-2</v>
      </c>
    </row>
    <row r="29057" spans="1:6" x14ac:dyDescent="0.25">
      <c r="A29057" s="1" t="str">
        <f t="shared" si="1041"/>
        <v>39150</v>
      </c>
      <c r="B29057" s="1" t="str">
        <f>"86312"</f>
        <v>86312</v>
      </c>
      <c r="C29057" s="2">
        <v>1.6496587296293799E-2</v>
      </c>
      <c r="D29057" s="2">
        <v>2.90214121394443E-2</v>
      </c>
      <c r="E29057" s="2">
        <v>2.5575447570332403E-4</v>
      </c>
      <c r="F29057" s="2">
        <v>1.6591046287461199E-2</v>
      </c>
    </row>
    <row r="29058" spans="1:6" x14ac:dyDescent="0.25">
      <c r="A29058" s="1" t="str">
        <f t="shared" si="1041"/>
        <v>39150</v>
      </c>
      <c r="B29058" s="1" t="str">
        <f>"86325"</f>
        <v>86325</v>
      </c>
      <c r="C29058" s="2">
        <v>1.6874541452677898E-2</v>
      </c>
      <c r="D29058" s="2">
        <v>3.71615643248982E-3</v>
      </c>
      <c r="E29058" s="2">
        <v>4.3478260869565201E-3</v>
      </c>
      <c r="F29058" s="2">
        <v>1.5273369293582299E-2</v>
      </c>
    </row>
    <row r="29059" spans="1:6" x14ac:dyDescent="0.25">
      <c r="A29059" s="1" t="str">
        <f t="shared" si="1041"/>
        <v>39150</v>
      </c>
      <c r="B29059" s="1" t="str">
        <f>"86351"</f>
        <v>86351</v>
      </c>
      <c r="C29059" s="2">
        <v>3.5186790872777603E-2</v>
      </c>
      <c r="D29059" s="2">
        <v>2.5393735622013799E-2</v>
      </c>
      <c r="E29059" s="2">
        <v>3.2352941176470501E-2</v>
      </c>
      <c r="F29059" s="2">
        <v>3.43245120375959E-2</v>
      </c>
    </row>
    <row r="29060" spans="1:6" x14ac:dyDescent="0.25">
      <c r="A29060" s="1" t="str">
        <f t="shared" si="1041"/>
        <v>39150</v>
      </c>
      <c r="B29060" s="1" t="str">
        <f>"86332"</f>
        <v>86332</v>
      </c>
      <c r="C29060" s="2">
        <v>7.5146179328130901E-3</v>
      </c>
      <c r="D29060" s="2">
        <v>1.4156786409485001E-3</v>
      </c>
      <c r="E29060" s="2">
        <v>2.68542199488491E-3</v>
      </c>
      <c r="F29060" s="2">
        <v>6.82206167766894E-3</v>
      </c>
    </row>
    <row r="29061" spans="1:6" x14ac:dyDescent="0.25">
      <c r="A29061" s="1" t="str">
        <f t="shared" si="1041"/>
        <v>39150</v>
      </c>
      <c r="B29061" s="1" t="str">
        <f>"85332"</f>
        <v>85332</v>
      </c>
      <c r="C29061" s="2">
        <v>3.7424872347836301E-3</v>
      </c>
      <c r="D29061" s="2">
        <v>0</v>
      </c>
      <c r="E29061" s="2">
        <v>1.2787723785166201E-4</v>
      </c>
      <c r="F29061" s="2">
        <v>3.2844559551860001E-3</v>
      </c>
    </row>
    <row r="29062" spans="1:6" x14ac:dyDescent="0.25">
      <c r="A29062" s="1" t="str">
        <f t="shared" si="1041"/>
        <v>39150</v>
      </c>
      <c r="B29062" s="1" t="str">
        <f>"86337"</f>
        <v>86337</v>
      </c>
      <c r="C29062" s="2">
        <v>5.9286926491622003E-5</v>
      </c>
      <c r="D29062" s="2">
        <v>0</v>
      </c>
      <c r="E29062" s="2">
        <v>1.2787723785166201E-4</v>
      </c>
      <c r="F29062" s="2">
        <v>5.8419177068525597E-5</v>
      </c>
    </row>
    <row r="29063" spans="1:6" x14ac:dyDescent="0.25">
      <c r="A29063" s="1" t="str">
        <f t="shared" si="1041"/>
        <v>39150</v>
      </c>
      <c r="B29063" s="1" t="str">
        <f>"86314"</f>
        <v>86314</v>
      </c>
      <c r="C29063" s="2">
        <v>0.126510890267309</v>
      </c>
      <c r="D29063" s="2">
        <v>0.122190762696867</v>
      </c>
      <c r="E29063" s="2">
        <v>0.31572890025575401</v>
      </c>
      <c r="F29063" s="2">
        <v>0.135798622605625</v>
      </c>
    </row>
    <row r="29064" spans="1:6" x14ac:dyDescent="0.25">
      <c r="A29064" s="1" t="str">
        <f t="shared" si="1041"/>
        <v>39150</v>
      </c>
      <c r="B29064" s="1" t="str">
        <f>"86335"</f>
        <v>86335</v>
      </c>
      <c r="C29064" s="2">
        <v>2.3166366526601301E-2</v>
      </c>
      <c r="D29064" s="2">
        <v>6.9014333746239597E-3</v>
      </c>
      <c r="E29064" s="2">
        <v>1.5856777493606099E-2</v>
      </c>
      <c r="F29064" s="2">
        <v>2.1602113476005901E-2</v>
      </c>
    </row>
    <row r="29065" spans="1:6" x14ac:dyDescent="0.25">
      <c r="A29065" s="1" t="str">
        <f t="shared" si="1041"/>
        <v>39150</v>
      </c>
      <c r="B29065" s="1" t="str">
        <f>"86320"</f>
        <v>86320</v>
      </c>
      <c r="C29065" s="2">
        <v>2.22325974343582E-5</v>
      </c>
      <c r="D29065" s="2">
        <v>8.8479915059281499E-5</v>
      </c>
      <c r="E29065" s="2">
        <v>0</v>
      </c>
      <c r="F29065" s="2">
        <v>2.5964078697122499E-5</v>
      </c>
    </row>
    <row r="29066" spans="1:6" x14ac:dyDescent="0.25">
      <c r="A29066" s="1" t="str">
        <f t="shared" si="1041"/>
        <v>39150</v>
      </c>
      <c r="B29066" s="1" t="str">
        <f>"86338"</f>
        <v>86338</v>
      </c>
      <c r="C29066" s="2">
        <v>0</v>
      </c>
      <c r="D29066" s="2">
        <v>0</v>
      </c>
      <c r="E29066" s="2">
        <v>1.2787723785166201E-4</v>
      </c>
      <c r="F29066" s="2">
        <v>6.4910196742806298E-6</v>
      </c>
    </row>
    <row r="29067" spans="1:6" x14ac:dyDescent="0.25">
      <c r="A29067" s="1" t="str">
        <f t="shared" si="1041"/>
        <v>39150</v>
      </c>
      <c r="B29067" s="1" t="str">
        <f>"86342"</f>
        <v>86342</v>
      </c>
      <c r="C29067" s="2">
        <v>0</v>
      </c>
      <c r="D29067" s="2">
        <v>8.8479915059281499E-5</v>
      </c>
      <c r="E29067" s="2">
        <v>0</v>
      </c>
      <c r="F29067" s="2">
        <v>6.4910196742806298E-6</v>
      </c>
    </row>
    <row r="29068" spans="1:6" x14ac:dyDescent="0.25">
      <c r="A29068" s="1" t="str">
        <f t="shared" si="1041"/>
        <v>39150</v>
      </c>
      <c r="B29068" s="1" t="str">
        <f>"86340"</f>
        <v>86340</v>
      </c>
      <c r="C29068" s="2">
        <v>9.6193038232656701E-3</v>
      </c>
      <c r="D29068" s="2">
        <v>2.1412139444346098E-2</v>
      </c>
      <c r="E29068" s="2">
        <v>2.5575447570332403E-4</v>
      </c>
      <c r="F29068" s="2">
        <v>1.00091523377407E-2</v>
      </c>
    </row>
    <row r="29069" spans="1:6" x14ac:dyDescent="0.25">
      <c r="A29069" s="1" t="str">
        <f t="shared" si="1041"/>
        <v>39150</v>
      </c>
      <c r="B29069" s="1" t="str">
        <f>"85362"</f>
        <v>85362</v>
      </c>
      <c r="C29069" s="2">
        <v>6.0028013072767198E-4</v>
      </c>
      <c r="D29069" s="2">
        <v>0</v>
      </c>
      <c r="E29069" s="2">
        <v>5.1150895140664903E-4</v>
      </c>
      <c r="F29069" s="2">
        <v>5.5173667231385296E-4</v>
      </c>
    </row>
    <row r="29070" spans="1:6" x14ac:dyDescent="0.25">
      <c r="A29070" s="1" t="str">
        <f t="shared" ref="A29070:A29075" si="1042">"39220"</f>
        <v>39220</v>
      </c>
      <c r="B29070" s="1" t="str">
        <f>"84520"</f>
        <v>84520</v>
      </c>
      <c r="C29070" s="2">
        <v>5.2725825706327001E-2</v>
      </c>
      <c r="D29070" s="2">
        <v>0</v>
      </c>
      <c r="E29070" s="2">
        <v>1.68350168350168E-2</v>
      </c>
      <c r="F29070" s="2">
        <v>4.6651552145099397E-2</v>
      </c>
    </row>
    <row r="29071" spans="1:6" x14ac:dyDescent="0.25">
      <c r="A29071" s="1" t="str">
        <f t="shared" si="1042"/>
        <v>39220</v>
      </c>
      <c r="B29071" s="1" t="str">
        <f>"84526"</f>
        <v>84526</v>
      </c>
      <c r="C29071" s="2">
        <v>0.200855551134102</v>
      </c>
      <c r="D29071" s="2">
        <v>0.14119749776586199</v>
      </c>
      <c r="E29071" s="2">
        <v>0.15151515151515099</v>
      </c>
      <c r="F29071" s="2">
        <v>0.193756539937216</v>
      </c>
    </row>
    <row r="29072" spans="1:6" x14ac:dyDescent="0.25">
      <c r="A29072" s="1" t="str">
        <f t="shared" si="1042"/>
        <v>39220</v>
      </c>
      <c r="B29072" s="1" t="str">
        <f>"84529"</f>
        <v>84529</v>
      </c>
      <c r="C29072" s="2">
        <v>1.26343016315161E-2</v>
      </c>
      <c r="D29072" s="2">
        <v>8.9365504915102703E-4</v>
      </c>
      <c r="E29072" s="2">
        <v>1.34680134680134E-2</v>
      </c>
      <c r="F29072" s="2">
        <v>1.15102895012207E-2</v>
      </c>
    </row>
    <row r="29073" spans="1:6" x14ac:dyDescent="0.25">
      <c r="A29073" s="1" t="str">
        <f t="shared" si="1042"/>
        <v>39220</v>
      </c>
      <c r="B29073" s="1" t="str">
        <f>"84542"</f>
        <v>84542</v>
      </c>
      <c r="C29073" s="2">
        <v>3.8897731794667698E-2</v>
      </c>
      <c r="D29073" s="2">
        <v>1.1617515638963301E-2</v>
      </c>
      <c r="E29073" s="2">
        <v>8.4175084175084097E-2</v>
      </c>
      <c r="F29073" s="2">
        <v>3.7408440878967497E-2</v>
      </c>
    </row>
    <row r="29074" spans="1:6" x14ac:dyDescent="0.25">
      <c r="A29074" s="1" t="str">
        <f t="shared" si="1042"/>
        <v>39220</v>
      </c>
      <c r="B29074" s="1" t="str">
        <f>"84539"</f>
        <v>84539</v>
      </c>
      <c r="C29074" s="2">
        <v>1.36291285316354E-2</v>
      </c>
      <c r="D29074" s="2">
        <v>8.9365504915102703E-4</v>
      </c>
      <c r="E29074" s="2">
        <v>0</v>
      </c>
      <c r="F29074" s="2">
        <v>1.2033484478549E-2</v>
      </c>
    </row>
    <row r="29075" spans="1:6" x14ac:dyDescent="0.25">
      <c r="A29075" s="1" t="str">
        <f t="shared" si="1042"/>
        <v>39220</v>
      </c>
      <c r="B29075" s="1" t="str">
        <f>"84501"</f>
        <v>84501</v>
      </c>
      <c r="C29075" s="2">
        <v>0.68125746120175001</v>
      </c>
      <c r="D29075" s="2">
        <v>0.84539767649687203</v>
      </c>
      <c r="E29075" s="2">
        <v>0.734006734006734</v>
      </c>
      <c r="F29075" s="2">
        <v>0.69863969305894602</v>
      </c>
    </row>
    <row r="29076" spans="1:6" x14ac:dyDescent="0.25">
      <c r="A29076" s="1" t="str">
        <f t="shared" ref="A29076:A29082" si="1043">"39260"</f>
        <v>39260</v>
      </c>
      <c r="B29076" s="1" t="str">
        <f>"97753"</f>
        <v>97753</v>
      </c>
      <c r="C29076" s="2">
        <v>0.137143677748258</v>
      </c>
      <c r="D29076" s="2">
        <v>1.3914656771799601E-2</v>
      </c>
      <c r="E29076" s="2">
        <v>3.09734513274336E-2</v>
      </c>
      <c r="F29076" s="2">
        <v>0.12684656293086399</v>
      </c>
    </row>
    <row r="29077" spans="1:6" x14ac:dyDescent="0.25">
      <c r="A29077" s="1" t="str">
        <f t="shared" si="1043"/>
        <v>39260</v>
      </c>
      <c r="B29077" s="1" t="str">
        <f>"97754"</f>
        <v>97754</v>
      </c>
      <c r="C29077" s="2">
        <v>0.84188985423996499</v>
      </c>
      <c r="D29077" s="2">
        <v>0.98330241187384004</v>
      </c>
      <c r="E29077" s="2">
        <v>0.94247787610619405</v>
      </c>
      <c r="F29077" s="2">
        <v>0.85339111023570302</v>
      </c>
    </row>
    <row r="29078" spans="1:6" x14ac:dyDescent="0.25">
      <c r="A29078" s="1" t="str">
        <f t="shared" si="1043"/>
        <v>39260</v>
      </c>
      <c r="B29078" s="1" t="str">
        <f>"97760"</f>
        <v>97760</v>
      </c>
      <c r="C29078" s="2">
        <v>4.6671932217993801E-3</v>
      </c>
      <c r="D29078" s="2">
        <v>0</v>
      </c>
      <c r="E29078" s="2">
        <v>0</v>
      </c>
      <c r="F29078" s="2">
        <v>4.2676121068872599E-3</v>
      </c>
    </row>
    <row r="29079" spans="1:6" x14ac:dyDescent="0.25">
      <c r="A29079" s="1" t="str">
        <f t="shared" si="1043"/>
        <v>39260</v>
      </c>
      <c r="B29079" s="1" t="str">
        <f>"97701"</f>
        <v>97701</v>
      </c>
      <c r="C29079" s="2">
        <v>2.44130106986429E-3</v>
      </c>
      <c r="D29079" s="2">
        <v>0</v>
      </c>
      <c r="E29079" s="2">
        <v>0</v>
      </c>
      <c r="F29079" s="2">
        <v>2.2322894097564099E-3</v>
      </c>
    </row>
    <row r="29080" spans="1:6" x14ac:dyDescent="0.25">
      <c r="A29080" s="1" t="str">
        <f t="shared" si="1043"/>
        <v>39260</v>
      </c>
      <c r="B29080" s="1" t="str">
        <f>"97756"</f>
        <v>97756</v>
      </c>
      <c r="C29080" s="2">
        <v>1.0052416170029401E-3</v>
      </c>
      <c r="D29080" s="2">
        <v>0</v>
      </c>
      <c r="E29080" s="2">
        <v>0</v>
      </c>
      <c r="F29080" s="2">
        <v>9.19177992252642E-4</v>
      </c>
    </row>
    <row r="29081" spans="1:6" x14ac:dyDescent="0.25">
      <c r="A29081" s="1" t="str">
        <f t="shared" si="1043"/>
        <v>39260</v>
      </c>
      <c r="B29081" s="1" t="str">
        <f>"97751"</f>
        <v>97751</v>
      </c>
      <c r="C29081" s="2">
        <v>9.7652042794571601E-3</v>
      </c>
      <c r="D29081" s="2">
        <v>2.7829313543599201E-3</v>
      </c>
      <c r="E29081" s="2">
        <v>2.6548672566371601E-2</v>
      </c>
      <c r="F29081" s="2">
        <v>9.5200577769023707E-3</v>
      </c>
    </row>
    <row r="29082" spans="1:6" x14ac:dyDescent="0.25">
      <c r="A29082" s="1" t="str">
        <f t="shared" si="1043"/>
        <v>39260</v>
      </c>
      <c r="B29082" s="1" t="str">
        <f>"97752"</f>
        <v>97752</v>
      </c>
      <c r="C29082" s="2">
        <v>3.0875278236518898E-3</v>
      </c>
      <c r="D29082" s="2">
        <v>0</v>
      </c>
      <c r="E29082" s="2">
        <v>0</v>
      </c>
      <c r="F29082" s="2">
        <v>2.8231895476331101E-3</v>
      </c>
    </row>
    <row r="29083" spans="1:6" x14ac:dyDescent="0.25">
      <c r="A29083" s="1" t="str">
        <f t="shared" ref="A29083:A29114" si="1044">"39300"</f>
        <v>39300</v>
      </c>
      <c r="B29083" s="1" t="str">
        <f>"02806"</f>
        <v>02806</v>
      </c>
      <c r="C29083" s="2">
        <v>9.2552150499309802E-3</v>
      </c>
      <c r="D29083" s="2">
        <v>6.70063796493199E-3</v>
      </c>
      <c r="E29083" s="2">
        <v>1.94344882516925E-3</v>
      </c>
      <c r="F29083" s="2">
        <v>8.5402300494220092E-3</v>
      </c>
    </row>
    <row r="29084" spans="1:6" x14ac:dyDescent="0.25">
      <c r="A29084" s="1" t="str">
        <f t="shared" si="1044"/>
        <v>39300</v>
      </c>
      <c r="B29084" s="1" t="str">
        <f>"02909"</f>
        <v>02909</v>
      </c>
      <c r="C29084" s="2">
        <v>2.2529534128686499E-2</v>
      </c>
      <c r="D29084" s="2">
        <v>1.8175982024635801E-2</v>
      </c>
      <c r="E29084" s="2">
        <v>4.1449621664675397E-2</v>
      </c>
      <c r="F29084" s="2">
        <v>2.3477932789137401E-2</v>
      </c>
    </row>
    <row r="29085" spans="1:6" x14ac:dyDescent="0.25">
      <c r="A29085" s="1" t="str">
        <f t="shared" si="1044"/>
        <v>39300</v>
      </c>
      <c r="B29085" s="1" t="str">
        <f>"02911"</f>
        <v>02911</v>
      </c>
      <c r="C29085" s="2">
        <v>1.00134142943238E-2</v>
      </c>
      <c r="D29085" s="2">
        <v>6.2459040511441896E-3</v>
      </c>
      <c r="E29085" s="2">
        <v>6.3241736360015897E-3</v>
      </c>
      <c r="F29085" s="2">
        <v>9.4488119686418192E-3</v>
      </c>
    </row>
    <row r="29086" spans="1:6" x14ac:dyDescent="0.25">
      <c r="A29086" s="1" t="str">
        <f t="shared" si="1044"/>
        <v>39300</v>
      </c>
      <c r="B29086" s="1" t="str">
        <f>"02916"</f>
        <v>02916</v>
      </c>
      <c r="C29086" s="2">
        <v>5.8426704166207599E-3</v>
      </c>
      <c r="D29086" s="2">
        <v>6.7942596530647702E-3</v>
      </c>
      <c r="E29086" s="2">
        <v>1.54520111509358E-3</v>
      </c>
      <c r="F29086" s="2">
        <v>5.6241880786572296E-3</v>
      </c>
    </row>
    <row r="29087" spans="1:6" x14ac:dyDescent="0.25">
      <c r="A29087" s="1" t="str">
        <f t="shared" si="1044"/>
        <v>39300</v>
      </c>
      <c r="B29087" s="1" t="str">
        <f>"02895"</f>
        <v>02895</v>
      </c>
      <c r="C29087" s="2">
        <v>2.6837661117339401E-2</v>
      </c>
      <c r="D29087" s="2">
        <v>2.1653359012424898E-2</v>
      </c>
      <c r="E29087" s="2">
        <v>4.0095579450418098E-2</v>
      </c>
      <c r="F29087" s="2">
        <v>2.7326756197551601E-2</v>
      </c>
    </row>
    <row r="29088" spans="1:6" x14ac:dyDescent="0.25">
      <c r="A29088" s="1" t="str">
        <f t="shared" si="1044"/>
        <v>39300</v>
      </c>
      <c r="B29088" s="1" t="str">
        <f>"02357"</f>
        <v>02357</v>
      </c>
      <c r="C29088" s="2">
        <v>0</v>
      </c>
      <c r="D29088" s="2">
        <v>1.33745268761117E-5</v>
      </c>
      <c r="E29088" s="2">
        <v>0</v>
      </c>
      <c r="F29088" s="2">
        <v>1.0999781104356001E-6</v>
      </c>
    </row>
    <row r="29089" spans="1:6" x14ac:dyDescent="0.25">
      <c r="A29089" s="1" t="str">
        <f t="shared" si="1044"/>
        <v>39300</v>
      </c>
      <c r="B29089" s="1" t="str">
        <f>"02836"</f>
        <v>02836</v>
      </c>
      <c r="C29089" s="2">
        <v>6.2211220052749898E-5</v>
      </c>
      <c r="D29089" s="2">
        <v>1.33745268761117E-5</v>
      </c>
      <c r="E29089" s="2">
        <v>3.1859816806053297E-5</v>
      </c>
      <c r="F29089" s="2">
        <v>5.6098883632215701E-5</v>
      </c>
    </row>
    <row r="29090" spans="1:6" x14ac:dyDescent="0.25">
      <c r="A29090" s="1" t="str">
        <f t="shared" si="1044"/>
        <v>39300</v>
      </c>
      <c r="B29090" s="1" t="str">
        <f>"02872"</f>
        <v>02872</v>
      </c>
      <c r="C29090" s="2">
        <v>0</v>
      </c>
      <c r="D29090" s="2">
        <v>0</v>
      </c>
      <c r="E29090" s="2">
        <v>3.1859816806053297E-5</v>
      </c>
      <c r="F29090" s="2">
        <v>2.1999562208712002E-6</v>
      </c>
    </row>
    <row r="29091" spans="1:6" x14ac:dyDescent="0.25">
      <c r="A29091" s="1" t="str">
        <f t="shared" si="1044"/>
        <v>39300</v>
      </c>
      <c r="B29091" s="1" t="str">
        <f>"02334"</f>
        <v>02334</v>
      </c>
      <c r="C29091" s="2">
        <v>9.2539189828465501E-4</v>
      </c>
      <c r="D29091" s="2">
        <v>2.2602950420628799E-3</v>
      </c>
      <c r="E29091" s="2">
        <v>3.1859816806053297E-5</v>
      </c>
      <c r="F29091" s="2">
        <v>9.7348062773550798E-4</v>
      </c>
    </row>
    <row r="29092" spans="1:6" x14ac:dyDescent="0.25">
      <c r="A29092" s="1" t="str">
        <f t="shared" si="1044"/>
        <v>39300</v>
      </c>
      <c r="B29092" s="1" t="str">
        <f>"02887"</f>
        <v>02887</v>
      </c>
      <c r="C29092" s="2">
        <v>1.0018598562661601E-3</v>
      </c>
      <c r="D29092" s="2">
        <v>2.1800478808062101E-3</v>
      </c>
      <c r="E29092" s="2">
        <v>1.5929908403026601E-5</v>
      </c>
      <c r="F29092" s="2">
        <v>1.0306794894781499E-3</v>
      </c>
    </row>
    <row r="29093" spans="1:6" x14ac:dyDescent="0.25">
      <c r="A29093" s="1" t="str">
        <f t="shared" si="1044"/>
        <v>39300</v>
      </c>
      <c r="B29093" s="1" t="str">
        <f>"02857"</f>
        <v>02857</v>
      </c>
      <c r="C29093" s="2">
        <v>5.5419828530324702E-3</v>
      </c>
      <c r="D29093" s="2">
        <v>4.2263504928513104E-3</v>
      </c>
      <c r="E29093" s="2">
        <v>4.9382716049382696E-4</v>
      </c>
      <c r="F29093" s="2">
        <v>5.0851988045437797E-3</v>
      </c>
    </row>
    <row r="29094" spans="1:6" x14ac:dyDescent="0.25">
      <c r="A29094" s="1" t="str">
        <f t="shared" si="1044"/>
        <v>39300</v>
      </c>
      <c r="B29094" s="1" t="str">
        <f>"02777"</f>
        <v>02777</v>
      </c>
      <c r="C29094" s="2">
        <v>9.6323705715007802E-3</v>
      </c>
      <c r="D29094" s="2">
        <v>1.0659497920261E-2</v>
      </c>
      <c r="E29094" s="2">
        <v>2.5487853444842602E-3</v>
      </c>
      <c r="F29094" s="2">
        <v>9.2277163684442599E-3</v>
      </c>
    </row>
    <row r="29095" spans="1:6" x14ac:dyDescent="0.25">
      <c r="A29095" s="1" t="str">
        <f t="shared" si="1044"/>
        <v>39300</v>
      </c>
      <c r="B29095" s="1" t="str">
        <f>"02764"</f>
        <v>02764</v>
      </c>
      <c r="C29095" s="2">
        <v>3.08334359386441E-3</v>
      </c>
      <c r="D29095" s="2">
        <v>2.63478179459401E-3</v>
      </c>
      <c r="E29095" s="2">
        <v>3.1859816806053301E-4</v>
      </c>
      <c r="F29095" s="2">
        <v>2.8555431746908199E-3</v>
      </c>
    </row>
    <row r="29096" spans="1:6" x14ac:dyDescent="0.25">
      <c r="A29096" s="1" t="str">
        <f t="shared" si="1044"/>
        <v>39300</v>
      </c>
      <c r="B29096" s="1" t="str">
        <f>"02920"</f>
        <v>02920</v>
      </c>
      <c r="C29096" s="2">
        <v>2.1706531530071901E-2</v>
      </c>
      <c r="D29096" s="2">
        <v>2.73910310422768E-2</v>
      </c>
      <c r="E29096" s="2">
        <v>1.3460772600557501E-2</v>
      </c>
      <c r="F29096" s="2">
        <v>2.1604670067065599E-2</v>
      </c>
    </row>
    <row r="29097" spans="1:6" x14ac:dyDescent="0.25">
      <c r="A29097" s="1" t="str">
        <f t="shared" si="1044"/>
        <v>39300</v>
      </c>
      <c r="B29097" s="1" t="str">
        <f>"02745"</f>
        <v>02745</v>
      </c>
      <c r="C29097" s="2">
        <v>1.4855520921762899E-2</v>
      </c>
      <c r="D29097" s="2">
        <v>1.20236996616244E-2</v>
      </c>
      <c r="E29097" s="2">
        <v>6.8180007964954202E-3</v>
      </c>
      <c r="F29097" s="2">
        <v>1.4067620054360901E-2</v>
      </c>
    </row>
    <row r="29098" spans="1:6" x14ac:dyDescent="0.25">
      <c r="A29098" s="1" t="str">
        <f t="shared" si="1044"/>
        <v>39300</v>
      </c>
      <c r="B29098" s="1" t="str">
        <f>"02702"</f>
        <v>02702</v>
      </c>
      <c r="C29098" s="2">
        <v>2.07889160342939E-3</v>
      </c>
      <c r="D29098" s="2">
        <v>6.0185370942502899E-4</v>
      </c>
      <c r="E29098" s="2">
        <v>3.3452807646355999E-4</v>
      </c>
      <c r="F29098" s="2">
        <v>1.83696344442745E-3</v>
      </c>
    </row>
    <row r="29099" spans="1:6" x14ac:dyDescent="0.25">
      <c r="A29099" s="1" t="str">
        <f t="shared" si="1044"/>
        <v>39300</v>
      </c>
      <c r="B29099" s="1" t="str">
        <f>"02718"</f>
        <v>02718</v>
      </c>
      <c r="C29099" s="2">
        <v>3.3619980170173599E-3</v>
      </c>
      <c r="D29099" s="2">
        <v>1.28395458010672E-3</v>
      </c>
      <c r="E29099" s="2">
        <v>9.3986459577857404E-4</v>
      </c>
      <c r="F29099" s="2">
        <v>3.0238398255874699E-3</v>
      </c>
    </row>
    <row r="29100" spans="1:6" x14ac:dyDescent="0.25">
      <c r="A29100" s="1" t="str">
        <f t="shared" si="1044"/>
        <v>39300</v>
      </c>
      <c r="B29100" s="1" t="str">
        <f>"02893"</f>
        <v>02893</v>
      </c>
      <c r="C29100" s="2">
        <v>2.0153843162922101E-2</v>
      </c>
      <c r="D29100" s="2">
        <v>1.4671855983094499E-2</v>
      </c>
      <c r="E29100" s="2">
        <v>1.2775786539227301E-2</v>
      </c>
      <c r="F29100" s="2">
        <v>1.9193518048990801E-2</v>
      </c>
    </row>
    <row r="29101" spans="1:6" x14ac:dyDescent="0.25">
      <c r="A29101" s="1" t="str">
        <f t="shared" si="1044"/>
        <v>39300</v>
      </c>
      <c r="B29101" s="1" t="str">
        <f>"02886"</f>
        <v>02886</v>
      </c>
      <c r="C29101" s="2">
        <v>1.8752794644650801E-2</v>
      </c>
      <c r="D29101" s="2">
        <v>3.4840642512271099E-2</v>
      </c>
      <c r="E29101" s="2">
        <v>1.0179211469534001E-2</v>
      </c>
      <c r="F29101" s="2">
        <v>1.9483912270145801E-2</v>
      </c>
    </row>
    <row r="29102" spans="1:6" x14ac:dyDescent="0.25">
      <c r="A29102" s="1" t="str">
        <f t="shared" si="1044"/>
        <v>39300</v>
      </c>
      <c r="B29102" s="1" t="str">
        <f>"02818"</f>
        <v>02818</v>
      </c>
      <c r="C29102" s="2">
        <v>1.1993804799336399E-2</v>
      </c>
      <c r="D29102" s="2">
        <v>1.6637911433883001E-2</v>
      </c>
      <c r="E29102" s="2">
        <v>6.0692951015531597E-3</v>
      </c>
      <c r="F29102" s="2">
        <v>1.19666618634289E-2</v>
      </c>
    </row>
    <row r="29103" spans="1:6" x14ac:dyDescent="0.25">
      <c r="A29103" s="1" t="str">
        <f t="shared" si="1044"/>
        <v>39300</v>
      </c>
      <c r="B29103" s="1" t="str">
        <f>"02860"</f>
        <v>02860</v>
      </c>
      <c r="C29103" s="2">
        <v>2.6803963373144099E-2</v>
      </c>
      <c r="D29103" s="2">
        <v>3.06142920194198E-2</v>
      </c>
      <c r="E29103" s="2">
        <v>3.2560732775786499E-2</v>
      </c>
      <c r="F29103" s="2">
        <v>2.7514852454436099E-2</v>
      </c>
    </row>
    <row r="29104" spans="1:6" x14ac:dyDescent="0.25">
      <c r="A29104" s="1" t="str">
        <f t="shared" si="1044"/>
        <v>39300</v>
      </c>
      <c r="B29104" s="1" t="str">
        <f>"02568"</f>
        <v>02568</v>
      </c>
      <c r="C29104" s="2">
        <v>6.48033542216145E-6</v>
      </c>
      <c r="D29104" s="2">
        <v>0</v>
      </c>
      <c r="E29104" s="2">
        <v>0</v>
      </c>
      <c r="F29104" s="2">
        <v>5.49989055217801E-6</v>
      </c>
    </row>
    <row r="29105" spans="1:6" x14ac:dyDescent="0.25">
      <c r="A29105" s="1" t="str">
        <f t="shared" si="1044"/>
        <v>39300</v>
      </c>
      <c r="B29105" s="1" t="str">
        <f>"02824"</f>
        <v>02824</v>
      </c>
      <c r="C29105" s="2">
        <v>0</v>
      </c>
      <c r="D29105" s="2">
        <v>0</v>
      </c>
      <c r="E29105" s="2">
        <v>2.8195937873357201E-3</v>
      </c>
      <c r="F29105" s="2">
        <v>1.9469612554710099E-4</v>
      </c>
    </row>
    <row r="29106" spans="1:6" x14ac:dyDescent="0.25">
      <c r="A29106" s="1" t="str">
        <f t="shared" si="1044"/>
        <v>39300</v>
      </c>
      <c r="B29106" s="1" t="str">
        <f>"02841"</f>
        <v>02841</v>
      </c>
      <c r="C29106" s="2">
        <v>0</v>
      </c>
      <c r="D29106" s="2">
        <v>6.1522823630114E-4</v>
      </c>
      <c r="E29106" s="2">
        <v>7.9649542015133401E-4</v>
      </c>
      <c r="F29106" s="2">
        <v>1.0559789860181701E-4</v>
      </c>
    </row>
    <row r="29107" spans="1:6" x14ac:dyDescent="0.25">
      <c r="A29107" s="1" t="str">
        <f t="shared" si="1044"/>
        <v>39300</v>
      </c>
      <c r="B29107" s="1" t="str">
        <f>"02802"</f>
        <v>02802</v>
      </c>
      <c r="C29107" s="2">
        <v>0</v>
      </c>
      <c r="D29107" s="2">
        <v>0</v>
      </c>
      <c r="E29107" s="2">
        <v>7.4551971326164796E-3</v>
      </c>
      <c r="F29107" s="2">
        <v>5.1478975568386095E-4</v>
      </c>
    </row>
    <row r="29108" spans="1:6" x14ac:dyDescent="0.25">
      <c r="A29108" s="1" t="str">
        <f t="shared" si="1044"/>
        <v>39300</v>
      </c>
      <c r="B29108" s="1" t="str">
        <f>"02347"</f>
        <v>02347</v>
      </c>
      <c r="C29108" s="2">
        <v>2.7217408773077999E-5</v>
      </c>
      <c r="D29108" s="2">
        <v>5.3498107504446997E-5</v>
      </c>
      <c r="E29108" s="2">
        <v>1.5929908403026601E-5</v>
      </c>
      <c r="F29108" s="2">
        <v>2.8599430871325599E-5</v>
      </c>
    </row>
    <row r="29109" spans="1:6" x14ac:dyDescent="0.25">
      <c r="A29109" s="1" t="str">
        <f t="shared" si="1044"/>
        <v>39300</v>
      </c>
      <c r="B29109" s="1" t="str">
        <f>"02883"</f>
        <v>02883</v>
      </c>
      <c r="C29109" s="2">
        <v>7.5301497605515997E-4</v>
      </c>
      <c r="D29109" s="2">
        <v>8.9609330069948705E-4</v>
      </c>
      <c r="E29109" s="2">
        <v>3.1859816806053297E-5</v>
      </c>
      <c r="F29109" s="2">
        <v>7.1498577178314099E-4</v>
      </c>
    </row>
    <row r="29110" spans="1:6" x14ac:dyDescent="0.25">
      <c r="A29110" s="1" t="str">
        <f t="shared" si="1044"/>
        <v>39300</v>
      </c>
      <c r="B29110" s="1" t="str">
        <f>"02741"</f>
        <v>02741</v>
      </c>
      <c r="C29110" s="2">
        <v>4.3159033911595199E-4</v>
      </c>
      <c r="D29110" s="2">
        <v>1.79218660139897E-3</v>
      </c>
      <c r="E29110" s="2">
        <v>1.5929908403026601E-5</v>
      </c>
      <c r="F29110" s="2">
        <v>5.1478975568386095E-4</v>
      </c>
    </row>
    <row r="29111" spans="1:6" x14ac:dyDescent="0.25">
      <c r="A29111" s="1" t="str">
        <f t="shared" si="1044"/>
        <v>39300</v>
      </c>
      <c r="B29111" s="1" t="str">
        <f>"02768"</f>
        <v>02768</v>
      </c>
      <c r="C29111" s="2">
        <v>0</v>
      </c>
      <c r="D29111" s="2">
        <v>0</v>
      </c>
      <c r="E29111" s="2">
        <v>1.5929908403026601E-5</v>
      </c>
      <c r="F29111" s="2">
        <v>1.0999781104356001E-6</v>
      </c>
    </row>
    <row r="29112" spans="1:6" x14ac:dyDescent="0.25">
      <c r="A29112" s="1" t="str">
        <f t="shared" si="1044"/>
        <v>39300</v>
      </c>
      <c r="B29112" s="1" t="str">
        <f>"02375"</f>
        <v>02375</v>
      </c>
      <c r="C29112" s="2">
        <v>6.8250892666204396E-3</v>
      </c>
      <c r="D29112" s="2">
        <v>1.02315130602254E-2</v>
      </c>
      <c r="E29112" s="2">
        <v>4.8586220629231302E-3</v>
      </c>
      <c r="F29112" s="2">
        <v>6.9694613077199699E-3</v>
      </c>
    </row>
    <row r="29113" spans="1:6" x14ac:dyDescent="0.25">
      <c r="A29113" s="1" t="str">
        <f t="shared" si="1044"/>
        <v>39300</v>
      </c>
      <c r="B29113" s="1" t="str">
        <f>"02885"</f>
        <v>02885</v>
      </c>
      <c r="C29113" s="2">
        <v>7.5690317730845698E-3</v>
      </c>
      <c r="D29113" s="2">
        <v>1.12881006834383E-2</v>
      </c>
      <c r="E29113" s="2">
        <v>7.4870569494225403E-3</v>
      </c>
      <c r="F29113" s="2">
        <v>7.8692434020562908E-3</v>
      </c>
    </row>
    <row r="29114" spans="1:6" x14ac:dyDescent="0.25">
      <c r="A29114" s="1" t="str">
        <f t="shared" si="1044"/>
        <v>39300</v>
      </c>
      <c r="B29114" s="1" t="str">
        <f>"02832"</f>
        <v>02832</v>
      </c>
      <c r="C29114" s="2">
        <v>2.5312190158962599E-3</v>
      </c>
      <c r="D29114" s="2">
        <v>4.9485749441613501E-4</v>
      </c>
      <c r="E29114" s="2">
        <v>2.8673835125448002E-4</v>
      </c>
      <c r="F29114" s="2">
        <v>2.2087560457546801E-3</v>
      </c>
    </row>
    <row r="29115" spans="1:6" x14ac:dyDescent="0.25">
      <c r="A29115" s="1" t="str">
        <f t="shared" ref="A29115:A29146" si="1045">"39300"</f>
        <v>39300</v>
      </c>
      <c r="B29115" s="1" t="str">
        <f>"02833"</f>
        <v>02833</v>
      </c>
      <c r="C29115" s="2">
        <v>3.03279697757155E-4</v>
      </c>
      <c r="D29115" s="2">
        <v>5.3498107504446997E-5</v>
      </c>
      <c r="E29115" s="2">
        <v>4.7789725209080003E-5</v>
      </c>
      <c r="F29115" s="2">
        <v>2.6509472461498E-4</v>
      </c>
    </row>
    <row r="29116" spans="1:6" x14ac:dyDescent="0.25">
      <c r="A29116" s="1" t="str">
        <f t="shared" si="1045"/>
        <v>39300</v>
      </c>
      <c r="B29116" s="1" t="str">
        <f>"02827"</f>
        <v>02827</v>
      </c>
      <c r="C29116" s="2">
        <v>1.09776882051414E-3</v>
      </c>
      <c r="D29116" s="2">
        <v>2.00617903141676E-4</v>
      </c>
      <c r="E29116" s="2">
        <v>1.5929908403026601E-5</v>
      </c>
      <c r="F29116" s="2">
        <v>9.4928110930592397E-4</v>
      </c>
    </row>
    <row r="29117" spans="1:6" x14ac:dyDescent="0.25">
      <c r="A29117" s="1" t="str">
        <f t="shared" si="1045"/>
        <v>39300</v>
      </c>
      <c r="B29117" s="1" t="str">
        <f>"02861"</f>
        <v>02861</v>
      </c>
      <c r="C29117" s="2">
        <v>1.7205290545838602E-2</v>
      </c>
      <c r="D29117" s="2">
        <v>1.1823081758482699E-2</v>
      </c>
      <c r="E29117" s="2">
        <v>6.6427718040621203E-3</v>
      </c>
      <c r="F29117" s="2">
        <v>1.60332809377093E-2</v>
      </c>
    </row>
    <row r="29118" spans="1:6" x14ac:dyDescent="0.25">
      <c r="A29118" s="1" t="str">
        <f t="shared" si="1045"/>
        <v>39300</v>
      </c>
      <c r="B29118" s="1" t="str">
        <f>"02780"</f>
        <v>02780</v>
      </c>
      <c r="C29118" s="2">
        <v>3.05055309662828E-2</v>
      </c>
      <c r="D29118" s="2">
        <v>2.7350907461648501E-2</v>
      </c>
      <c r="E29118" s="2">
        <v>4.3154121863799202E-2</v>
      </c>
      <c r="F29118" s="2">
        <v>3.1119480722333601E-2</v>
      </c>
    </row>
    <row r="29119" spans="1:6" x14ac:dyDescent="0.25">
      <c r="A29119" s="1" t="str">
        <f t="shared" si="1045"/>
        <v>39300</v>
      </c>
      <c r="B29119" s="1" t="str">
        <f>"02907"</f>
        <v>02907</v>
      </c>
      <c r="C29119" s="2">
        <v>1.46455580540848E-2</v>
      </c>
      <c r="D29119" s="2">
        <v>1.71327689282991E-2</v>
      </c>
      <c r="E29119" s="2">
        <v>2.08841099163679E-2</v>
      </c>
      <c r="F29119" s="2">
        <v>1.52808959101713E-2</v>
      </c>
    </row>
    <row r="29120" spans="1:6" x14ac:dyDescent="0.25">
      <c r="A29120" s="1" t="str">
        <f t="shared" si="1045"/>
        <v>39300</v>
      </c>
      <c r="B29120" s="1" t="str">
        <f>"02873"</f>
        <v>02873</v>
      </c>
      <c r="C29120" s="2">
        <v>0</v>
      </c>
      <c r="D29120" s="2">
        <v>0</v>
      </c>
      <c r="E29120" s="2">
        <v>2.8036638789326902E-3</v>
      </c>
      <c r="F29120" s="2">
        <v>1.9359614743666599E-4</v>
      </c>
    </row>
    <row r="29121" spans="1:6" x14ac:dyDescent="0.25">
      <c r="A29121" s="1" t="str">
        <f t="shared" si="1045"/>
        <v>39300</v>
      </c>
      <c r="B29121" s="1" t="str">
        <f>"02823"</f>
        <v>02823</v>
      </c>
      <c r="C29121" s="2">
        <v>0</v>
      </c>
      <c r="D29121" s="2">
        <v>0</v>
      </c>
      <c r="E29121" s="2">
        <v>1.0991636798088401E-3</v>
      </c>
      <c r="F29121" s="2">
        <v>7.5898489620056505E-5</v>
      </c>
    </row>
    <row r="29122" spans="1:6" x14ac:dyDescent="0.25">
      <c r="A29122" s="1" t="str">
        <f t="shared" si="1045"/>
        <v>39300</v>
      </c>
      <c r="B29122" s="1" t="str">
        <f>"02875"</f>
        <v>02875</v>
      </c>
      <c r="C29122" s="2">
        <v>1.9959433100257199E-4</v>
      </c>
      <c r="D29122" s="2">
        <v>1.33745268761117E-5</v>
      </c>
      <c r="E29122" s="2">
        <v>1.5929908403026601E-5</v>
      </c>
      <c r="F29122" s="2">
        <v>1.71596585227953E-4</v>
      </c>
    </row>
    <row r="29123" spans="1:6" x14ac:dyDescent="0.25">
      <c r="A29123" s="1" t="str">
        <f t="shared" si="1045"/>
        <v>39300</v>
      </c>
      <c r="B29123" s="1" t="str">
        <f>"02829"</f>
        <v>02829</v>
      </c>
      <c r="C29123" s="2">
        <v>0</v>
      </c>
      <c r="D29123" s="2">
        <v>0</v>
      </c>
      <c r="E29123" s="2">
        <v>7.9649542015133401E-5</v>
      </c>
      <c r="F29123" s="2">
        <v>5.49989055217801E-6</v>
      </c>
    </row>
    <row r="29124" spans="1:6" x14ac:dyDescent="0.25">
      <c r="A29124" s="1" t="str">
        <f t="shared" si="1045"/>
        <v>39300</v>
      </c>
      <c r="B29124" s="1" t="str">
        <f>"02880"</f>
        <v>02880</v>
      </c>
      <c r="C29124" s="2">
        <v>1.3362451640496901E-3</v>
      </c>
      <c r="D29124" s="2">
        <v>3.5308750952934998E-3</v>
      </c>
      <c r="E29124" s="2">
        <v>1.5929908403026601E-5</v>
      </c>
      <c r="F29124" s="2">
        <v>1.42557163112454E-3</v>
      </c>
    </row>
    <row r="29125" spans="1:6" x14ac:dyDescent="0.25">
      <c r="A29125" s="1" t="str">
        <f t="shared" si="1045"/>
        <v>39300</v>
      </c>
      <c r="B29125" s="1" t="str">
        <f>"02740"</f>
        <v>02740</v>
      </c>
      <c r="C29125" s="2">
        <v>2.4458081950321699E-2</v>
      </c>
      <c r="D29125" s="2">
        <v>2.5465099172116701E-2</v>
      </c>
      <c r="E29125" s="2">
        <v>3.5794504181600899E-2</v>
      </c>
      <c r="F29125" s="2">
        <v>2.5323696058448399E-2</v>
      </c>
    </row>
    <row r="29126" spans="1:6" x14ac:dyDescent="0.25">
      <c r="A29126" s="1" t="str">
        <f t="shared" si="1045"/>
        <v>39300</v>
      </c>
      <c r="B29126" s="1" t="str">
        <f>"02719"</f>
        <v>02719</v>
      </c>
      <c r="C29126" s="2">
        <v>1.0556466402701E-2</v>
      </c>
      <c r="D29126" s="2">
        <v>9.2685471251454394E-3</v>
      </c>
      <c r="E29126" s="2">
        <v>5.1772202309836703E-3</v>
      </c>
      <c r="F29126" s="2">
        <v>1.00790994259214E-2</v>
      </c>
    </row>
    <row r="29127" spans="1:6" x14ac:dyDescent="0.25">
      <c r="A29127" s="1" t="str">
        <f t="shared" si="1045"/>
        <v>39300</v>
      </c>
      <c r="B29127" s="1" t="str">
        <f>"02723"</f>
        <v>02723</v>
      </c>
      <c r="C29127" s="2">
        <v>9.9499070071866896E-3</v>
      </c>
      <c r="D29127" s="2">
        <v>7.9043453837820393E-3</v>
      </c>
      <c r="E29127" s="2">
        <v>3.7945041816009502E-2</v>
      </c>
      <c r="F29127" s="2">
        <v>1.17147668761391E-2</v>
      </c>
    </row>
    <row r="29128" spans="1:6" x14ac:dyDescent="0.25">
      <c r="A29128" s="1" t="str">
        <f t="shared" si="1045"/>
        <v>39300</v>
      </c>
      <c r="B29128" s="1" t="str">
        <f>"02865"</f>
        <v>02865</v>
      </c>
      <c r="C29128" s="2">
        <v>9.8604783783608606E-3</v>
      </c>
      <c r="D29128" s="2">
        <v>1.22376920916422E-2</v>
      </c>
      <c r="E29128" s="2">
        <v>4.5400238948625996E-3</v>
      </c>
      <c r="F29128" s="2">
        <v>9.6886071967167801E-3</v>
      </c>
    </row>
    <row r="29129" spans="1:6" x14ac:dyDescent="0.25">
      <c r="A29129" s="1" t="str">
        <f t="shared" si="1045"/>
        <v>39300</v>
      </c>
      <c r="B29129" s="1" t="str">
        <f>"02878"</f>
        <v>02878</v>
      </c>
      <c r="C29129" s="2">
        <v>1.0171534478624599E-2</v>
      </c>
      <c r="D29129" s="2">
        <v>6.2592785780203001E-3</v>
      </c>
      <c r="E29129" s="2">
        <v>3.5523695738749498E-3</v>
      </c>
      <c r="F29129" s="2">
        <v>9.3927130850096005E-3</v>
      </c>
    </row>
    <row r="29130" spans="1:6" x14ac:dyDescent="0.25">
      <c r="A29130" s="1" t="str">
        <f t="shared" si="1045"/>
        <v>39300</v>
      </c>
      <c r="B29130" s="1" t="str">
        <f>"02858"</f>
        <v>02858</v>
      </c>
      <c r="C29130" s="2">
        <v>2.83838691490671E-4</v>
      </c>
      <c r="D29130" s="2">
        <v>2.4074148377001099E-4</v>
      </c>
      <c r="E29130" s="2">
        <v>4.7789725209080003E-5</v>
      </c>
      <c r="F29130" s="2">
        <v>2.6399474650454398E-4</v>
      </c>
    </row>
    <row r="29131" spans="1:6" x14ac:dyDescent="0.25">
      <c r="A29131" s="1" t="str">
        <f t="shared" si="1045"/>
        <v>39300</v>
      </c>
      <c r="B29131" s="1" t="str">
        <f>"02859"</f>
        <v>02859</v>
      </c>
      <c r="C29131" s="2">
        <v>3.6160271655660799E-3</v>
      </c>
      <c r="D29131" s="2">
        <v>1.7119394401423E-3</v>
      </c>
      <c r="E29131" s="2">
        <v>1.21067303863002E-3</v>
      </c>
      <c r="F29131" s="2">
        <v>3.2933344626441901E-3</v>
      </c>
    </row>
    <row r="29132" spans="1:6" x14ac:dyDescent="0.25">
      <c r="A29132" s="1" t="str">
        <f t="shared" si="1045"/>
        <v>39300</v>
      </c>
      <c r="B29132" s="1" t="str">
        <f>"02874"</f>
        <v>02874</v>
      </c>
      <c r="C29132" s="2">
        <v>3.2142463693920699E-3</v>
      </c>
      <c r="D29132" s="2">
        <v>4.0123580628335199E-4</v>
      </c>
      <c r="E29132" s="2">
        <v>4.1417761847869301E-4</v>
      </c>
      <c r="F29132" s="2">
        <v>2.78954448806468E-3</v>
      </c>
    </row>
    <row r="29133" spans="1:6" x14ac:dyDescent="0.25">
      <c r="A29133" s="1" t="str">
        <f t="shared" si="1045"/>
        <v>39300</v>
      </c>
      <c r="B29133" s="1" t="str">
        <f>"02807"</f>
        <v>02807</v>
      </c>
      <c r="C29133" s="2">
        <v>0</v>
      </c>
      <c r="D29133" s="2">
        <v>0</v>
      </c>
      <c r="E29133" s="2">
        <v>1.8956590999601699E-2</v>
      </c>
      <c r="F29133" s="2">
        <v>1.3089739514183601E-3</v>
      </c>
    </row>
    <row r="29134" spans="1:6" x14ac:dyDescent="0.25">
      <c r="A29134" s="1" t="str">
        <f t="shared" si="1045"/>
        <v>39300</v>
      </c>
      <c r="B29134" s="1" t="str">
        <f>"02917"</f>
        <v>02917</v>
      </c>
      <c r="C29134" s="2">
        <v>6.7006668265149399E-3</v>
      </c>
      <c r="D29134" s="2">
        <v>1.0178014952721E-2</v>
      </c>
      <c r="E29134" s="2">
        <v>5.3046594982078801E-3</v>
      </c>
      <c r="F29134" s="2">
        <v>6.8902628837686098E-3</v>
      </c>
    </row>
    <row r="29135" spans="1:6" x14ac:dyDescent="0.25">
      <c r="A29135" s="1" t="str">
        <f t="shared" si="1045"/>
        <v>39300</v>
      </c>
      <c r="B29135" s="1" t="str">
        <f>"02906"</f>
        <v>02906</v>
      </c>
      <c r="C29135" s="2">
        <v>1.6160660475786199E-2</v>
      </c>
      <c r="D29135" s="2">
        <v>1.7467132100201899E-2</v>
      </c>
      <c r="E29135" s="2">
        <v>2.2254082039028199E-2</v>
      </c>
      <c r="F29135" s="2">
        <v>1.6688867891528899E-2</v>
      </c>
    </row>
    <row r="29136" spans="1:6" x14ac:dyDescent="0.25">
      <c r="A29136" s="1" t="str">
        <f t="shared" si="1045"/>
        <v>39300</v>
      </c>
      <c r="B29136" s="1" t="str">
        <f>"02770"</f>
        <v>02770</v>
      </c>
      <c r="C29136" s="2">
        <v>3.8882012532968703E-6</v>
      </c>
      <c r="D29136" s="2">
        <v>0</v>
      </c>
      <c r="E29136" s="2">
        <v>0</v>
      </c>
      <c r="F29136" s="2">
        <v>3.2999343313068001E-6</v>
      </c>
    </row>
    <row r="29137" spans="1:6" x14ac:dyDescent="0.25">
      <c r="A29137" s="1" t="str">
        <f t="shared" si="1045"/>
        <v>39300</v>
      </c>
      <c r="B29137" s="1" t="str">
        <f>"02864"</f>
        <v>02864</v>
      </c>
      <c r="C29137" s="2">
        <v>2.0187540907117298E-2</v>
      </c>
      <c r="D29137" s="2">
        <v>1.44043654455723E-2</v>
      </c>
      <c r="E29137" s="2">
        <v>9.27120669056152E-3</v>
      </c>
      <c r="F29137" s="2">
        <v>1.8958122733357601E-2</v>
      </c>
    </row>
    <row r="29138" spans="1:6" x14ac:dyDescent="0.25">
      <c r="A29138" s="1" t="str">
        <f t="shared" si="1045"/>
        <v>39300</v>
      </c>
      <c r="B29138" s="1" t="str">
        <f>"02876"</f>
        <v>02876</v>
      </c>
      <c r="C29138" s="2">
        <v>1.49954961668815E-3</v>
      </c>
      <c r="D29138" s="2">
        <v>1.7788120745228599E-3</v>
      </c>
      <c r="E29138" s="2">
        <v>2.7718040621266399E-3</v>
      </c>
      <c r="F29138" s="2">
        <v>1.61036795367772E-3</v>
      </c>
    </row>
    <row r="29139" spans="1:6" x14ac:dyDescent="0.25">
      <c r="A29139" s="1" t="str">
        <f t="shared" si="1045"/>
        <v>39300</v>
      </c>
      <c r="B29139" s="1" t="str">
        <f>"02767"</f>
        <v>02767</v>
      </c>
      <c r="C29139" s="2">
        <v>7.6260587247995899E-3</v>
      </c>
      <c r="D29139" s="2">
        <v>7.6502293731359203E-3</v>
      </c>
      <c r="E29139" s="2">
        <v>4.0939864595778497E-3</v>
      </c>
      <c r="F29139" s="2">
        <v>7.3841530553541901E-3</v>
      </c>
    </row>
    <row r="29140" spans="1:6" x14ac:dyDescent="0.25">
      <c r="A29140" s="1" t="str">
        <f t="shared" si="1045"/>
        <v>39300</v>
      </c>
      <c r="B29140" s="1" t="str">
        <f>"02769"</f>
        <v>02769</v>
      </c>
      <c r="C29140" s="2">
        <v>6.8730437487444299E-3</v>
      </c>
      <c r="D29140" s="2">
        <v>5.4568069654535901E-3</v>
      </c>
      <c r="E29140" s="2">
        <v>1.06730386300278E-3</v>
      </c>
      <c r="F29140" s="2">
        <v>6.35567352209691E-3</v>
      </c>
    </row>
    <row r="29141" spans="1:6" x14ac:dyDescent="0.25">
      <c r="A29141" s="1" t="str">
        <f t="shared" si="1045"/>
        <v>39300</v>
      </c>
      <c r="B29141" s="1" t="str">
        <f>"02919"</f>
        <v>02919</v>
      </c>
      <c r="C29141" s="2">
        <v>1.7487833170244799E-2</v>
      </c>
      <c r="D29141" s="2">
        <v>2.33786729794433E-2</v>
      </c>
      <c r="E29141" s="2">
        <v>1.1103146156909501E-2</v>
      </c>
      <c r="F29141" s="2">
        <v>1.7531451124122601E-2</v>
      </c>
    </row>
    <row r="29142" spans="1:6" x14ac:dyDescent="0.25">
      <c r="A29142" s="1" t="str">
        <f t="shared" si="1045"/>
        <v>39300</v>
      </c>
      <c r="B29142" s="1" t="str">
        <f>"02877"</f>
        <v>02877</v>
      </c>
      <c r="C29142" s="2">
        <v>1.9441006266484299E-5</v>
      </c>
      <c r="D29142" s="2">
        <v>2.6749053752223498E-5</v>
      </c>
      <c r="E29142" s="2">
        <v>0</v>
      </c>
      <c r="F29142" s="2">
        <v>1.8699627877405201E-5</v>
      </c>
    </row>
    <row r="29143" spans="1:6" x14ac:dyDescent="0.25">
      <c r="A29143" s="1" t="str">
        <f t="shared" si="1045"/>
        <v>39300</v>
      </c>
      <c r="B29143" s="1" t="str">
        <f>"02801"</f>
        <v>02801</v>
      </c>
      <c r="C29143" s="2">
        <v>0</v>
      </c>
      <c r="D29143" s="2">
        <v>0</v>
      </c>
      <c r="E29143" s="2">
        <v>1.5929908403026601E-5</v>
      </c>
      <c r="F29143" s="2">
        <v>1.0999781104356001E-6</v>
      </c>
    </row>
    <row r="29144" spans="1:6" x14ac:dyDescent="0.25">
      <c r="A29144" s="1" t="str">
        <f t="shared" si="1045"/>
        <v>39300</v>
      </c>
      <c r="B29144" s="1" t="str">
        <f>"02912"</f>
        <v>02912</v>
      </c>
      <c r="C29144" s="2">
        <v>0</v>
      </c>
      <c r="D29144" s="2">
        <v>1.33745268761117E-5</v>
      </c>
      <c r="E29144" s="2">
        <v>1.5770609318996401E-3</v>
      </c>
      <c r="F29144" s="2">
        <v>1.0999781104356E-4</v>
      </c>
    </row>
    <row r="29145" spans="1:6" x14ac:dyDescent="0.25">
      <c r="A29145" s="1" t="str">
        <f t="shared" si="1045"/>
        <v>39300</v>
      </c>
      <c r="B29145" s="1" t="str">
        <f>"02839"</f>
        <v>02839</v>
      </c>
      <c r="C29145" s="2">
        <v>1.03944580171469E-3</v>
      </c>
      <c r="D29145" s="2">
        <v>4.0123580628335199E-4</v>
      </c>
      <c r="E29145" s="2">
        <v>4.4603743528474698E-4</v>
      </c>
      <c r="F29145" s="2">
        <v>9.4598117497461795E-4</v>
      </c>
    </row>
    <row r="29146" spans="1:6" x14ac:dyDescent="0.25">
      <c r="A29146" s="1" t="str">
        <f t="shared" si="1045"/>
        <v>39300</v>
      </c>
      <c r="B29146" s="1" t="str">
        <f>"02356"</f>
        <v>02356</v>
      </c>
      <c r="C29146" s="2">
        <v>6.6838179544173202E-3</v>
      </c>
      <c r="D29146" s="2">
        <v>6.6337653305514298E-3</v>
      </c>
      <c r="E29146" s="2">
        <v>2.23018717642373E-3</v>
      </c>
      <c r="F29146" s="2">
        <v>6.3721731937534396E-3</v>
      </c>
    </row>
    <row r="29147" spans="1:6" x14ac:dyDescent="0.25">
      <c r="A29147" s="1" t="str">
        <f t="shared" ref="A29147:A29178" si="1046">"39300"</f>
        <v>39300</v>
      </c>
      <c r="B29147" s="1" t="str">
        <f>"02746"</f>
        <v>02746</v>
      </c>
      <c r="C29147" s="2">
        <v>9.3951902950496699E-3</v>
      </c>
      <c r="D29147" s="2">
        <v>9.4290414476587807E-3</v>
      </c>
      <c r="E29147" s="2">
        <v>2.4659498207885301E-2</v>
      </c>
      <c r="F29147" s="2">
        <v>1.0451992005359E-2</v>
      </c>
    </row>
    <row r="29148" spans="1:6" x14ac:dyDescent="0.25">
      <c r="A29148" s="1" t="str">
        <f t="shared" si="1046"/>
        <v>39300</v>
      </c>
      <c r="B29148" s="1" t="str">
        <f>"02761"</f>
        <v>02761</v>
      </c>
      <c r="C29148" s="2">
        <v>9.4742503872000399E-4</v>
      </c>
      <c r="D29148" s="2">
        <v>2.3806657839478898E-3</v>
      </c>
      <c r="E29148" s="2">
        <v>3.1859816806053297E-5</v>
      </c>
      <c r="F29148" s="2">
        <v>1.0020800586068299E-3</v>
      </c>
    </row>
    <row r="29149" spans="1:6" x14ac:dyDescent="0.25">
      <c r="A29149" s="1" t="str">
        <f t="shared" si="1046"/>
        <v>39300</v>
      </c>
      <c r="B29149" s="1" t="str">
        <f>"02891"</f>
        <v>02891</v>
      </c>
      <c r="C29149" s="2">
        <v>1.7971266192738099E-2</v>
      </c>
      <c r="D29149" s="2">
        <v>1.9914670518530402E-2</v>
      </c>
      <c r="E29149" s="2">
        <v>9.0959776981282305E-3</v>
      </c>
      <c r="F29149" s="2">
        <v>1.7518251386797402E-2</v>
      </c>
    </row>
    <row r="29150" spans="1:6" x14ac:dyDescent="0.25">
      <c r="A29150" s="1" t="str">
        <f t="shared" si="1046"/>
        <v>39300</v>
      </c>
      <c r="B29150" s="1" t="str">
        <f>"02813"</f>
        <v>02813</v>
      </c>
      <c r="C29150" s="2">
        <v>6.28722142658103E-3</v>
      </c>
      <c r="D29150" s="2">
        <v>2.3940403108239998E-3</v>
      </c>
      <c r="E29150" s="2">
        <v>8.6021505376343999E-4</v>
      </c>
      <c r="F29150" s="2">
        <v>5.5922887134546E-3</v>
      </c>
    </row>
    <row r="29151" spans="1:6" x14ac:dyDescent="0.25">
      <c r="A29151" s="1" t="str">
        <f t="shared" si="1046"/>
        <v>39300</v>
      </c>
      <c r="B29151" s="1" t="str">
        <f>"02852"</f>
        <v>02852</v>
      </c>
      <c r="C29151" s="2">
        <v>1.59908756877255E-2</v>
      </c>
      <c r="D29151" s="2">
        <v>2.0757265711725401E-2</v>
      </c>
      <c r="E29151" s="2">
        <v>6.8657905217045E-3</v>
      </c>
      <c r="F29151" s="2">
        <v>1.5752786519548201E-2</v>
      </c>
    </row>
    <row r="29152" spans="1:6" x14ac:dyDescent="0.25">
      <c r="A29152" s="1" t="str">
        <f t="shared" si="1046"/>
        <v>39300</v>
      </c>
      <c r="B29152" s="1" t="str">
        <f>"02822"</f>
        <v>02822</v>
      </c>
      <c r="C29152" s="2">
        <v>3.2829379248669899E-3</v>
      </c>
      <c r="D29152" s="2">
        <v>2.43416389145233E-3</v>
      </c>
      <c r="E29152" s="2">
        <v>4.7789725209080003E-4</v>
      </c>
      <c r="F29152" s="2">
        <v>3.0194399131457201E-3</v>
      </c>
    </row>
    <row r="29153" spans="1:6" x14ac:dyDescent="0.25">
      <c r="A29153" s="1" t="str">
        <f t="shared" si="1046"/>
        <v>39300</v>
      </c>
      <c r="B29153" s="1" t="str">
        <f>"02814"</f>
        <v>02814</v>
      </c>
      <c r="C29153" s="2">
        <v>5.4732912975575601E-3</v>
      </c>
      <c r="D29153" s="2">
        <v>3.4907515146651602E-3</v>
      </c>
      <c r="E29153" s="2">
        <v>3.98247710075667E-4</v>
      </c>
      <c r="F29153" s="2">
        <v>4.9598012999541299E-3</v>
      </c>
    </row>
    <row r="29154" spans="1:6" x14ac:dyDescent="0.25">
      <c r="A29154" s="1" t="str">
        <f t="shared" si="1046"/>
        <v>39300</v>
      </c>
      <c r="B29154" s="1" t="str">
        <f>"02721"</f>
        <v>02721</v>
      </c>
      <c r="C29154" s="2">
        <v>1.7069203501973201E-2</v>
      </c>
      <c r="D29154" s="2">
        <v>1.71996415626797E-2</v>
      </c>
      <c r="E29154" s="2">
        <v>6.0374352847471099E-2</v>
      </c>
      <c r="F29154" s="2">
        <v>2.0070200603008001E-2</v>
      </c>
    </row>
    <row r="29155" spans="1:6" x14ac:dyDescent="0.25">
      <c r="A29155" s="1" t="str">
        <f t="shared" si="1046"/>
        <v>39300</v>
      </c>
      <c r="B29155" s="1" t="str">
        <f>"02717"</f>
        <v>02717</v>
      </c>
      <c r="C29155" s="2">
        <v>2.4884488021099898E-3</v>
      </c>
      <c r="D29155" s="2">
        <v>1.56481964450507E-3</v>
      </c>
      <c r="E29155" s="2">
        <v>4.3010752688172E-4</v>
      </c>
      <c r="F29155" s="2">
        <v>2.2703548199390802E-3</v>
      </c>
    </row>
    <row r="29156" spans="1:6" x14ac:dyDescent="0.25">
      <c r="A29156" s="1" t="str">
        <f t="shared" si="1046"/>
        <v>39300</v>
      </c>
      <c r="B29156" s="1" t="str">
        <f>"02725"</f>
        <v>02725</v>
      </c>
      <c r="C29156" s="2">
        <v>1.35957437156947E-3</v>
      </c>
      <c r="D29156" s="2">
        <v>1.04321309633671E-3</v>
      </c>
      <c r="E29156" s="2">
        <v>3.98247710075667E-4</v>
      </c>
      <c r="F29156" s="2">
        <v>1.2671747832218099E-3</v>
      </c>
    </row>
    <row r="29157" spans="1:6" x14ac:dyDescent="0.25">
      <c r="A29157" s="1" t="str">
        <f t="shared" si="1046"/>
        <v>39300</v>
      </c>
      <c r="B29157" s="1" t="str">
        <f>"02888"</f>
        <v>02888</v>
      </c>
      <c r="C29157" s="2">
        <v>1.2383920991750501E-2</v>
      </c>
      <c r="D29157" s="2">
        <v>1.52335861118912E-2</v>
      </c>
      <c r="E29157" s="2">
        <v>3.4567901234567899E-3</v>
      </c>
      <c r="F29157" s="2">
        <v>1.20018611629628E-2</v>
      </c>
    </row>
    <row r="29158" spans="1:6" x14ac:dyDescent="0.25">
      <c r="A29158" s="1" t="str">
        <f t="shared" si="1046"/>
        <v>39300</v>
      </c>
      <c r="B29158" s="1" t="str">
        <f>"02840"</f>
        <v>02840</v>
      </c>
      <c r="C29158" s="2">
        <v>1.9837602794320602E-2</v>
      </c>
      <c r="D29158" s="2">
        <v>2.5144110527090101E-2</v>
      </c>
      <c r="E29158" s="2">
        <v>2.2270011947431299E-2</v>
      </c>
      <c r="F29158" s="2">
        <v>2.04419932043352E-2</v>
      </c>
    </row>
    <row r="29159" spans="1:6" x14ac:dyDescent="0.25">
      <c r="A29159" s="1" t="str">
        <f t="shared" si="1046"/>
        <v>39300</v>
      </c>
      <c r="B29159" s="1" t="str">
        <f>"02842"</f>
        <v>02842</v>
      </c>
      <c r="C29159" s="2">
        <v>1.15505498564605E-2</v>
      </c>
      <c r="D29159" s="2">
        <v>1.50998408431301E-2</v>
      </c>
      <c r="E29159" s="2">
        <v>7.8693747510951793E-3</v>
      </c>
      <c r="F29159" s="2">
        <v>1.1588269393439E-2</v>
      </c>
    </row>
    <row r="29160" spans="1:6" x14ac:dyDescent="0.25">
      <c r="A29160" s="1" t="str">
        <f t="shared" si="1046"/>
        <v>39300</v>
      </c>
      <c r="B29160" s="1" t="str">
        <f>"02830"</f>
        <v>02830</v>
      </c>
      <c r="C29160" s="2">
        <v>3.5317828050779902E-3</v>
      </c>
      <c r="D29160" s="2">
        <v>1.4444489026200599E-3</v>
      </c>
      <c r="E29160" s="2">
        <v>1.11509358821186E-3</v>
      </c>
      <c r="F29160" s="2">
        <v>3.1932364545945498E-3</v>
      </c>
    </row>
    <row r="29161" spans="1:6" x14ac:dyDescent="0.25">
      <c r="A29161" s="1" t="str">
        <f t="shared" si="1046"/>
        <v>39300</v>
      </c>
      <c r="B29161" s="1" t="str">
        <f>"02862"</f>
        <v>02862</v>
      </c>
      <c r="C29161" s="2">
        <v>1.8520798636537401E-3</v>
      </c>
      <c r="D29161" s="2">
        <v>5.6707993954713803E-3</v>
      </c>
      <c r="E29161" s="2">
        <v>3.1859816806053297E-5</v>
      </c>
      <c r="F29161" s="2">
        <v>2.04045939485804E-3</v>
      </c>
    </row>
    <row r="29162" spans="1:6" x14ac:dyDescent="0.25">
      <c r="A29162" s="1" t="str">
        <f t="shared" si="1046"/>
        <v>39300</v>
      </c>
      <c r="B29162" s="1" t="str">
        <f>"02747"</f>
        <v>02747</v>
      </c>
      <c r="C29162" s="2">
        <v>1.1045083693531899E-2</v>
      </c>
      <c r="D29162" s="2">
        <v>1.40165041661651E-2</v>
      </c>
      <c r="E29162" s="2">
        <v>3.5682994822779702E-3</v>
      </c>
      <c r="F29162" s="2">
        <v>1.07731856136062E-2</v>
      </c>
    </row>
    <row r="29163" spans="1:6" x14ac:dyDescent="0.25">
      <c r="A29163" s="1" t="str">
        <f t="shared" si="1046"/>
        <v>39300</v>
      </c>
      <c r="B29163" s="1" t="str">
        <f>"02744"</f>
        <v>02744</v>
      </c>
      <c r="C29163" s="2">
        <v>7.9591479654986894E-3</v>
      </c>
      <c r="D29163" s="2">
        <v>6.07203520175473E-3</v>
      </c>
      <c r="E29163" s="2">
        <v>2.0661091198725601E-2</v>
      </c>
      <c r="F29163" s="2">
        <v>8.6810272475577703E-3</v>
      </c>
    </row>
    <row r="29164" spans="1:6" x14ac:dyDescent="0.25">
      <c r="A29164" s="1" t="str">
        <f t="shared" si="1046"/>
        <v>39300</v>
      </c>
      <c r="B29164" s="1" t="str">
        <f>"02742"</f>
        <v>02742</v>
      </c>
      <c r="C29164" s="2">
        <v>5.8582232216339498E-4</v>
      </c>
      <c r="D29164" s="2">
        <v>1.2572055263545001E-3</v>
      </c>
      <c r="E29164" s="2">
        <v>1.5929908403026601E-5</v>
      </c>
      <c r="F29164" s="2">
        <v>6.0168802640827397E-4</v>
      </c>
    </row>
    <row r="29165" spans="1:6" x14ac:dyDescent="0.25">
      <c r="A29165" s="1" t="str">
        <f t="shared" si="1046"/>
        <v>39300</v>
      </c>
      <c r="B29165" s="1" t="str">
        <f>"02722"</f>
        <v>02722</v>
      </c>
      <c r="C29165" s="2">
        <v>1.9272517545508099E-3</v>
      </c>
      <c r="D29165" s="2">
        <v>6.2057804705158504E-3</v>
      </c>
      <c r="E29165" s="2">
        <v>3.1859816806053297E-5</v>
      </c>
      <c r="F29165" s="2">
        <v>2.1482572496807299E-3</v>
      </c>
    </row>
    <row r="29166" spans="1:6" x14ac:dyDescent="0.25">
      <c r="A29166" s="1" t="str">
        <f t="shared" si="1046"/>
        <v>39300</v>
      </c>
      <c r="B29166" s="1" t="str">
        <f>"02724"</f>
        <v>02724</v>
      </c>
      <c r="C29166" s="2">
        <v>1.17851379987428E-2</v>
      </c>
      <c r="D29166" s="2">
        <v>7.4496114699942398E-3</v>
      </c>
      <c r="E29166" s="2">
        <v>3.8773397052966903E-2</v>
      </c>
      <c r="F29166" s="2">
        <v>1.3292135486503801E-2</v>
      </c>
    </row>
    <row r="29167" spans="1:6" x14ac:dyDescent="0.25">
      <c r="A29167" s="1" t="str">
        <f t="shared" si="1046"/>
        <v>39300</v>
      </c>
      <c r="B29167" s="1" t="str">
        <f>"02720"</f>
        <v>02720</v>
      </c>
      <c r="C29167" s="2">
        <v>1.9135134434558301E-2</v>
      </c>
      <c r="D29167" s="2">
        <v>1.8135858444007499E-2</v>
      </c>
      <c r="E29167" s="2">
        <v>4.8697729988052503E-2</v>
      </c>
      <c r="F29167" s="2">
        <v>2.1094280223823501E-2</v>
      </c>
    </row>
    <row r="29168" spans="1:6" x14ac:dyDescent="0.25">
      <c r="A29168" s="1" t="str">
        <f t="shared" si="1046"/>
        <v>39300</v>
      </c>
      <c r="B29168" s="1" t="str">
        <f>"02715"</f>
        <v>02715</v>
      </c>
      <c r="C29168" s="2">
        <v>1.8663366015824899E-3</v>
      </c>
      <c r="D29168" s="2">
        <v>6.4197729005336399E-4</v>
      </c>
      <c r="E29168" s="2">
        <v>6.0533651931501302E-4</v>
      </c>
      <c r="F29168" s="2">
        <v>1.6785665965247201E-3</v>
      </c>
    </row>
    <row r="29169" spans="1:6" x14ac:dyDescent="0.25">
      <c r="A29169" s="1" t="str">
        <f t="shared" si="1046"/>
        <v>39300</v>
      </c>
      <c r="B29169" s="1" t="str">
        <f>"02889"</f>
        <v>02889</v>
      </c>
      <c r="C29169" s="2">
        <v>1.6809990085086799E-2</v>
      </c>
      <c r="D29169" s="2">
        <v>8.7736896307293102E-3</v>
      </c>
      <c r="E29169" s="2">
        <v>3.2974910394265198E-3</v>
      </c>
      <c r="F29169" s="2">
        <v>1.52159972016556E-2</v>
      </c>
    </row>
    <row r="29170" spans="1:6" x14ac:dyDescent="0.25">
      <c r="A29170" s="1" t="str">
        <f t="shared" si="1046"/>
        <v>39300</v>
      </c>
      <c r="B29170" s="1" t="str">
        <f>"02881"</f>
        <v>02881</v>
      </c>
      <c r="C29170" s="2">
        <v>2.8526436528354699E-3</v>
      </c>
      <c r="D29170" s="2">
        <v>2.3672912570717802E-3</v>
      </c>
      <c r="E29170" s="2">
        <v>6.2891278375149295E-2</v>
      </c>
      <c r="F29170" s="2">
        <v>6.95846152661562E-3</v>
      </c>
    </row>
    <row r="29171" spans="1:6" x14ac:dyDescent="0.25">
      <c r="A29171" s="1" t="str">
        <f t="shared" si="1046"/>
        <v>39300</v>
      </c>
      <c r="B29171" s="1" t="str">
        <f>"02835"</f>
        <v>02835</v>
      </c>
      <c r="C29171" s="2">
        <v>4.5323465942597096E-3</v>
      </c>
      <c r="D29171" s="2">
        <v>3.7314929984351799E-3</v>
      </c>
      <c r="E29171" s="2">
        <v>7.9649542015133401E-4</v>
      </c>
      <c r="F29171" s="2">
        <v>4.2085162505266097E-3</v>
      </c>
    </row>
    <row r="29172" spans="1:6" x14ac:dyDescent="0.25">
      <c r="A29172" s="1" t="str">
        <f t="shared" si="1046"/>
        <v>39300</v>
      </c>
      <c r="B29172" s="1" t="str">
        <f>"02871"</f>
        <v>02871</v>
      </c>
      <c r="C29172" s="2">
        <v>1.0604420884824901E-2</v>
      </c>
      <c r="D29172" s="2">
        <v>6.7541360724364301E-3</v>
      </c>
      <c r="E29172" s="2">
        <v>2.8673835125447998E-3</v>
      </c>
      <c r="F29172" s="2">
        <v>9.7535059052324801E-3</v>
      </c>
    </row>
    <row r="29173" spans="1:6" x14ac:dyDescent="0.25">
      <c r="A29173" s="1" t="str">
        <f t="shared" si="1046"/>
        <v>39300</v>
      </c>
      <c r="B29173" s="1" t="str">
        <f>"02863"</f>
        <v>02863</v>
      </c>
      <c r="C29173" s="2">
        <v>1.10113859493367E-2</v>
      </c>
      <c r="D29173" s="2">
        <v>7.2222445131003401E-3</v>
      </c>
      <c r="E29173" s="2">
        <v>1.7698128235762601E-2</v>
      </c>
      <c r="F29173" s="2">
        <v>1.1161477886590001E-2</v>
      </c>
    </row>
    <row r="29174" spans="1:6" x14ac:dyDescent="0.25">
      <c r="A29174" s="1" t="str">
        <f t="shared" si="1046"/>
        <v>39300</v>
      </c>
      <c r="B29174" s="1" t="str">
        <f>"02809"</f>
        <v>02809</v>
      </c>
      <c r="C29174" s="2">
        <v>1.361777685613E-2</v>
      </c>
      <c r="D29174" s="2">
        <v>1.45648597680857E-2</v>
      </c>
      <c r="E29174" s="2">
        <v>1.4432497013142099E-2</v>
      </c>
      <c r="F29174" s="2">
        <v>1.3751926336665899E-2</v>
      </c>
    </row>
    <row r="29175" spans="1:6" x14ac:dyDescent="0.25">
      <c r="A29175" s="1" t="str">
        <f t="shared" si="1046"/>
        <v>39300</v>
      </c>
      <c r="B29175" s="1" t="str">
        <f>"02766"</f>
        <v>02766</v>
      </c>
      <c r="C29175" s="2">
        <v>1.0693849513650801E-2</v>
      </c>
      <c r="D29175" s="2">
        <v>7.8374727494014799E-3</v>
      </c>
      <c r="E29175" s="2">
        <v>6.10115491835921E-3</v>
      </c>
      <c r="F29175" s="2">
        <v>1.0141798178216199E-2</v>
      </c>
    </row>
    <row r="29176" spans="1:6" x14ac:dyDescent="0.25">
      <c r="A29176" s="1" t="str">
        <f t="shared" si="1046"/>
        <v>39300</v>
      </c>
      <c r="B29176" s="1" t="str">
        <f>"02790"</f>
        <v>02790</v>
      </c>
      <c r="C29176" s="2">
        <v>1.1825316078360199E-2</v>
      </c>
      <c r="D29176" s="2">
        <v>9.8169027270660295E-3</v>
      </c>
      <c r="E29176" s="2">
        <v>2.6921545201114999E-3</v>
      </c>
      <c r="F29176" s="2">
        <v>1.10294805133377E-2</v>
      </c>
    </row>
    <row r="29177" spans="1:6" x14ac:dyDescent="0.25">
      <c r="A29177" s="1" t="str">
        <f t="shared" si="1046"/>
        <v>39300</v>
      </c>
      <c r="B29177" s="1" t="str">
        <f>"02804"</f>
        <v>02804</v>
      </c>
      <c r="C29177" s="2">
        <v>2.4417903870704301E-3</v>
      </c>
      <c r="D29177" s="2">
        <v>1.97942997766454E-3</v>
      </c>
      <c r="E29177" s="2">
        <v>5.0975706889685296E-4</v>
      </c>
      <c r="F29177" s="2">
        <v>2.2703548199390802E-3</v>
      </c>
    </row>
    <row r="29178" spans="1:6" x14ac:dyDescent="0.25">
      <c r="A29178" s="1" t="str">
        <f t="shared" si="1046"/>
        <v>39300</v>
      </c>
      <c r="B29178" s="1" t="str">
        <f>"02905"</f>
        <v>02905</v>
      </c>
      <c r="C29178" s="2">
        <v>1.3489466214771199E-2</v>
      </c>
      <c r="D29178" s="2">
        <v>1.5006219154997299E-2</v>
      </c>
      <c r="E29178" s="2">
        <v>1.14058144165671E-2</v>
      </c>
      <c r="F29178" s="2">
        <v>1.3470331940394299E-2</v>
      </c>
    </row>
    <row r="29179" spans="1:6" x14ac:dyDescent="0.25">
      <c r="A29179" s="1" t="str">
        <f t="shared" ref="A29179:A29210" si="1047">"39300"</f>
        <v>39300</v>
      </c>
      <c r="B29179" s="1" t="str">
        <f>"02894"</f>
        <v>02894</v>
      </c>
      <c r="C29179" s="2">
        <v>3.7845158865422798E-4</v>
      </c>
      <c r="D29179" s="2">
        <v>1.87243376265564E-4</v>
      </c>
      <c r="E29179" s="2">
        <v>7.9649542015133401E-5</v>
      </c>
      <c r="F29179" s="2">
        <v>3.4209319234547198E-4</v>
      </c>
    </row>
    <row r="29180" spans="1:6" x14ac:dyDescent="0.25">
      <c r="A29180" s="1" t="str">
        <f t="shared" si="1047"/>
        <v>39300</v>
      </c>
      <c r="B29180" s="1" t="str">
        <f>"02902"</f>
        <v>02902</v>
      </c>
      <c r="C29180" s="2">
        <v>0</v>
      </c>
      <c r="D29180" s="2">
        <v>1.33745268761117E-5</v>
      </c>
      <c r="E29180" s="2">
        <v>0</v>
      </c>
      <c r="F29180" s="2">
        <v>1.0999781104356001E-6</v>
      </c>
    </row>
    <row r="29181" spans="1:6" x14ac:dyDescent="0.25">
      <c r="A29181" s="1" t="str">
        <f t="shared" si="1047"/>
        <v>39300</v>
      </c>
      <c r="B29181" s="1" t="str">
        <f>"02815"</f>
        <v>02815</v>
      </c>
      <c r="C29181" s="2">
        <v>1.16646037598906E-4</v>
      </c>
      <c r="D29181" s="2">
        <v>1.33745268761117E-5</v>
      </c>
      <c r="E29181" s="2">
        <v>1.5929908403026601E-5</v>
      </c>
      <c r="F29181" s="2">
        <v>1.01197986160075E-4</v>
      </c>
    </row>
    <row r="29182" spans="1:6" x14ac:dyDescent="0.25">
      <c r="A29182" s="1" t="str">
        <f t="shared" si="1047"/>
        <v>39300</v>
      </c>
      <c r="B29182" s="1" t="str">
        <f>"02918"</f>
        <v>02918</v>
      </c>
      <c r="C29182" s="2">
        <v>0</v>
      </c>
      <c r="D29182" s="2">
        <v>2.6749053752223498E-5</v>
      </c>
      <c r="E29182" s="2">
        <v>1.5929908403026601E-5</v>
      </c>
      <c r="F29182" s="2">
        <v>3.2999343313068001E-6</v>
      </c>
    </row>
    <row r="29183" spans="1:6" x14ac:dyDescent="0.25">
      <c r="A29183" s="1" t="str">
        <f t="shared" si="1047"/>
        <v>39300</v>
      </c>
      <c r="B29183" s="1" t="str">
        <f>"02712"</f>
        <v>02712</v>
      </c>
      <c r="C29183" s="2">
        <v>4.6010381497346302E-4</v>
      </c>
      <c r="D29183" s="2">
        <v>4.0123580628335199E-4</v>
      </c>
      <c r="E29183" s="2">
        <v>3.1859816806053297E-5</v>
      </c>
      <c r="F29183" s="2">
        <v>4.25691528738578E-4</v>
      </c>
    </row>
    <row r="29184" spans="1:6" x14ac:dyDescent="0.25">
      <c r="A29184" s="1" t="str">
        <f t="shared" si="1047"/>
        <v>39300</v>
      </c>
      <c r="B29184" s="1" t="str">
        <f>"02748"</f>
        <v>02748</v>
      </c>
      <c r="C29184" s="2">
        <v>7.7180794877942799E-3</v>
      </c>
      <c r="D29184" s="2">
        <v>4.5473391378779903E-3</v>
      </c>
      <c r="E29184" s="2">
        <v>2.3894862604540001E-3</v>
      </c>
      <c r="F29184" s="2">
        <v>7.0893589217574503E-3</v>
      </c>
    </row>
    <row r="29185" spans="1:6" x14ac:dyDescent="0.25">
      <c r="A29185" s="1" t="str">
        <f t="shared" si="1047"/>
        <v>39300</v>
      </c>
      <c r="B29185" s="1" t="str">
        <f>"02760"</f>
        <v>02760</v>
      </c>
      <c r="C29185" s="2">
        <v>1.4877554062198199E-2</v>
      </c>
      <c r="D29185" s="2">
        <v>1.40165041661651E-2</v>
      </c>
      <c r="E29185" s="2">
        <v>1.49103942652329E-2</v>
      </c>
      <c r="F29185" s="2">
        <v>1.4809005300794501E-2</v>
      </c>
    </row>
    <row r="29186" spans="1:6" x14ac:dyDescent="0.25">
      <c r="A29186" s="1" t="str">
        <f t="shared" si="1047"/>
        <v>39300</v>
      </c>
      <c r="B29186" s="1" t="str">
        <f>"02726"</f>
        <v>02726</v>
      </c>
      <c r="C29186" s="2">
        <v>9.3200184041525892E-3</v>
      </c>
      <c r="D29186" s="2">
        <v>6.54014364241864E-3</v>
      </c>
      <c r="E29186" s="2">
        <v>4.2851453604141696E-3</v>
      </c>
      <c r="F29186" s="2">
        <v>8.7437259998526008E-3</v>
      </c>
    </row>
    <row r="29187" spans="1:6" x14ac:dyDescent="0.25">
      <c r="A29187" s="1" t="str">
        <f t="shared" si="1047"/>
        <v>39300</v>
      </c>
      <c r="B29187" s="1" t="str">
        <f>"02882"</f>
        <v>02882</v>
      </c>
      <c r="C29187" s="2">
        <v>1.2592587792344101E-2</v>
      </c>
      <c r="D29187" s="2">
        <v>8.7603151038531998E-3</v>
      </c>
      <c r="E29187" s="2">
        <v>3.44086021505376E-3</v>
      </c>
      <c r="F29187" s="2">
        <v>1.16454682551817E-2</v>
      </c>
    </row>
    <row r="29188" spans="1:6" x14ac:dyDescent="0.25">
      <c r="A29188" s="1" t="str">
        <f t="shared" si="1047"/>
        <v>39300</v>
      </c>
      <c r="B29188" s="1" t="str">
        <f>"02831"</f>
        <v>02831</v>
      </c>
      <c r="C29188" s="2">
        <v>2.0464899263185799E-3</v>
      </c>
      <c r="D29188" s="2">
        <v>4.0123580628335199E-4</v>
      </c>
      <c r="E29188" s="2">
        <v>2.0708880923934599E-4</v>
      </c>
      <c r="F29188" s="2">
        <v>1.78416449512654E-3</v>
      </c>
    </row>
    <row r="29189" spans="1:6" x14ac:dyDescent="0.25">
      <c r="A29189" s="1" t="str">
        <f t="shared" si="1047"/>
        <v>39300</v>
      </c>
      <c r="B29189" s="1" t="str">
        <f>"02825"</f>
        <v>02825</v>
      </c>
      <c r="C29189" s="2">
        <v>2.74895828608088E-3</v>
      </c>
      <c r="D29189" s="2">
        <v>1.15020931134561E-3</v>
      </c>
      <c r="E29189" s="2">
        <v>2.0708880923934599E-4</v>
      </c>
      <c r="F29189" s="2">
        <v>2.4419514051670301E-3</v>
      </c>
    </row>
    <row r="29190" spans="1:6" x14ac:dyDescent="0.25">
      <c r="A29190" s="1" t="str">
        <f t="shared" si="1047"/>
        <v>39300</v>
      </c>
      <c r="B29190" s="1" t="str">
        <f>"02837"</f>
        <v>02837</v>
      </c>
      <c r="C29190" s="2">
        <v>2.9783621600254001E-3</v>
      </c>
      <c r="D29190" s="2">
        <v>2.8086506439834602E-4</v>
      </c>
      <c r="E29190" s="2">
        <v>2.8673835125448002E-4</v>
      </c>
      <c r="F29190" s="2">
        <v>2.570648844088E-3</v>
      </c>
    </row>
    <row r="29191" spans="1:6" x14ac:dyDescent="0.25">
      <c r="A29191" s="1" t="str">
        <f t="shared" si="1047"/>
        <v>39300</v>
      </c>
      <c r="B29191" s="1" t="str">
        <f>"02817"</f>
        <v>02817</v>
      </c>
      <c r="C29191" s="2">
        <v>3.3879193587059999E-3</v>
      </c>
      <c r="D29191" s="2">
        <v>2.13992430017788E-3</v>
      </c>
      <c r="E29191" s="2">
        <v>5.5754679410593305E-4</v>
      </c>
      <c r="F29191" s="2">
        <v>3.0898385122135998E-3</v>
      </c>
    </row>
    <row r="29192" spans="1:6" x14ac:dyDescent="0.25">
      <c r="A29192" s="1" t="str">
        <f t="shared" si="1047"/>
        <v>39300</v>
      </c>
      <c r="B29192" s="1" t="str">
        <f>"02826"</f>
        <v>02826</v>
      </c>
      <c r="C29192" s="2">
        <v>0</v>
      </c>
      <c r="D29192" s="2">
        <v>0</v>
      </c>
      <c r="E29192" s="2">
        <v>5.41616885702907E-3</v>
      </c>
      <c r="F29192" s="2">
        <v>3.7399255754810401E-4</v>
      </c>
    </row>
    <row r="29193" spans="1:6" x14ac:dyDescent="0.25">
      <c r="A29193" s="1" t="str">
        <f t="shared" si="1047"/>
        <v>39300</v>
      </c>
      <c r="B29193" s="1" t="str">
        <f>"02779"</f>
        <v>02779</v>
      </c>
      <c r="C29193" s="2">
        <v>3.05612618509134E-3</v>
      </c>
      <c r="D29193" s="2">
        <v>8.2922066631892796E-4</v>
      </c>
      <c r="E29193" s="2">
        <v>4.9382716049382696E-4</v>
      </c>
      <c r="F29193" s="2">
        <v>2.6960463486776602E-3</v>
      </c>
    </row>
    <row r="29194" spans="1:6" x14ac:dyDescent="0.25">
      <c r="A29194" s="1" t="str">
        <f t="shared" si="1047"/>
        <v>39300</v>
      </c>
      <c r="B29194" s="1" t="str">
        <f>"02940"</f>
        <v>02940</v>
      </c>
      <c r="C29194" s="2">
        <v>2.1229578843000902E-3</v>
      </c>
      <c r="D29194" s="2">
        <v>8.3323302438176195E-3</v>
      </c>
      <c r="E29194" s="2">
        <v>1.5929908403026601E-5</v>
      </c>
      <c r="F29194" s="2">
        <v>2.4881504858053302E-3</v>
      </c>
    </row>
    <row r="29195" spans="1:6" x14ac:dyDescent="0.25">
      <c r="A29195" s="1" t="str">
        <f t="shared" si="1047"/>
        <v>39300</v>
      </c>
      <c r="B29195" s="1" t="str">
        <f>"02048"</f>
        <v>02048</v>
      </c>
      <c r="C29195" s="2">
        <v>1.3922352620971599E-2</v>
      </c>
      <c r="D29195" s="2">
        <v>1.28529203279433E-2</v>
      </c>
      <c r="E29195" s="2">
        <v>6.5949820788530397E-3</v>
      </c>
      <c r="F29195" s="2">
        <v>1.3328434764148101E-2</v>
      </c>
    </row>
    <row r="29196" spans="1:6" x14ac:dyDescent="0.25">
      <c r="A29196" s="1" t="str">
        <f t="shared" si="1047"/>
        <v>39300</v>
      </c>
      <c r="B29196" s="1" t="str">
        <f>"02743"</f>
        <v>02743</v>
      </c>
      <c r="C29196" s="2">
        <v>5.4758834317264202E-3</v>
      </c>
      <c r="D29196" s="2">
        <v>2.0596771389212098E-3</v>
      </c>
      <c r="E29196" s="2">
        <v>1.4496216646754201E-3</v>
      </c>
      <c r="F29196" s="2">
        <v>4.9169021536471401E-3</v>
      </c>
    </row>
    <row r="29197" spans="1:6" x14ac:dyDescent="0.25">
      <c r="A29197" s="1" t="str">
        <f t="shared" si="1047"/>
        <v>39300</v>
      </c>
      <c r="B29197" s="1" t="str">
        <f>"02703"</f>
        <v>02703</v>
      </c>
      <c r="C29197" s="2">
        <v>2.7173342492207299E-2</v>
      </c>
      <c r="D29197" s="2">
        <v>2.35257927750805E-2</v>
      </c>
      <c r="E29197" s="2">
        <v>2.3257666268418901E-2</v>
      </c>
      <c r="F29197" s="2">
        <v>2.6602970600885002E-2</v>
      </c>
    </row>
    <row r="29198" spans="1:6" x14ac:dyDescent="0.25">
      <c r="A29198" s="1" t="str">
        <f t="shared" si="1047"/>
        <v>39300</v>
      </c>
      <c r="B29198" s="1" t="str">
        <f>"02879"</f>
        <v>02879</v>
      </c>
      <c r="C29198" s="2">
        <v>1.4658518724929201E-2</v>
      </c>
      <c r="D29198" s="2">
        <v>1.26523024248017E-2</v>
      </c>
      <c r="E29198" s="2">
        <v>4.8426921545201103E-3</v>
      </c>
      <c r="F29198" s="2">
        <v>1.38157250670711E-2</v>
      </c>
    </row>
    <row r="29199" spans="1:6" x14ac:dyDescent="0.25">
      <c r="A29199" s="1" t="str">
        <f t="shared" si="1047"/>
        <v>39300</v>
      </c>
      <c r="B29199" s="1" t="str">
        <f>"02892"</f>
        <v>02892</v>
      </c>
      <c r="C29199" s="2">
        <v>2.7308133468988299E-3</v>
      </c>
      <c r="D29199" s="2">
        <v>1.4444489026200599E-3</v>
      </c>
      <c r="E29199" s="2">
        <v>5.2568697729987995E-4</v>
      </c>
      <c r="F29199" s="2">
        <v>2.4727507922592301E-3</v>
      </c>
    </row>
    <row r="29200" spans="1:6" x14ac:dyDescent="0.25">
      <c r="A29200" s="1" t="str">
        <f t="shared" si="1047"/>
        <v>39300</v>
      </c>
      <c r="B29200" s="1" t="str">
        <f>"02828"</f>
        <v>02828</v>
      </c>
      <c r="C29200" s="2">
        <v>4.7928560782305998E-3</v>
      </c>
      <c r="D29200" s="2">
        <v>7.1018737712153397E-3</v>
      </c>
      <c r="E29200" s="2">
        <v>2.1823974512146498E-3</v>
      </c>
      <c r="F29200" s="2">
        <v>4.8025044301618297E-3</v>
      </c>
    </row>
    <row r="29201" spans="1:6" x14ac:dyDescent="0.25">
      <c r="A29201" s="1" t="str">
        <f t="shared" si="1047"/>
        <v>39300</v>
      </c>
      <c r="B29201" s="1" t="str">
        <f>"02816"</f>
        <v>02816</v>
      </c>
      <c r="C29201" s="2">
        <v>1.9885557276444601E-2</v>
      </c>
      <c r="D29201" s="2">
        <v>1.34012759298639E-2</v>
      </c>
      <c r="E29201" s="2">
        <v>6.43568299482277E-3</v>
      </c>
      <c r="F29201" s="2">
        <v>1.84235333716859E-2</v>
      </c>
    </row>
    <row r="29202" spans="1:6" x14ac:dyDescent="0.25">
      <c r="A29202" s="1" t="str">
        <f t="shared" si="1047"/>
        <v>39300</v>
      </c>
      <c r="B29202" s="1" t="str">
        <f>"02838"</f>
        <v>02838</v>
      </c>
      <c r="C29202" s="2">
        <v>2.2084983118726199E-3</v>
      </c>
      <c r="D29202" s="2">
        <v>9.2284235445171104E-4</v>
      </c>
      <c r="E29202" s="2">
        <v>4.8426921545201103E-3</v>
      </c>
      <c r="F29202" s="2">
        <v>2.2846545353747399E-3</v>
      </c>
    </row>
    <row r="29203" spans="1:6" x14ac:dyDescent="0.25">
      <c r="A29203" s="1" t="str">
        <f t="shared" si="1047"/>
        <v>39300</v>
      </c>
      <c r="B29203" s="1" t="str">
        <f>"02771"</f>
        <v>02771</v>
      </c>
      <c r="C29203" s="2">
        <v>8.3894422375302095E-3</v>
      </c>
      <c r="D29203" s="2">
        <v>1.2919792962323901E-2</v>
      </c>
      <c r="E29203" s="2">
        <v>2.6443647949024201E-3</v>
      </c>
      <c r="F29203" s="2">
        <v>8.36533352986275E-3</v>
      </c>
    </row>
    <row r="29204" spans="1:6" x14ac:dyDescent="0.25">
      <c r="A29204" s="1" t="str">
        <f t="shared" si="1047"/>
        <v>39300</v>
      </c>
      <c r="B29204" s="1" t="str">
        <f>"02763"</f>
        <v>02763</v>
      </c>
      <c r="C29204" s="2">
        <v>1.05240647255901E-3</v>
      </c>
      <c r="D29204" s="2">
        <v>2.2335459883106598E-3</v>
      </c>
      <c r="E29204" s="2">
        <v>7.6463560334528004E-4</v>
      </c>
      <c r="F29204" s="2">
        <v>1.12967751941736E-3</v>
      </c>
    </row>
    <row r="29205" spans="1:6" x14ac:dyDescent="0.25">
      <c r="A29205" s="1" t="str">
        <f t="shared" si="1047"/>
        <v>39300</v>
      </c>
      <c r="B29205" s="1" t="str">
        <f>"02812"</f>
        <v>02812</v>
      </c>
      <c r="C29205" s="2">
        <v>5.9878299300771801E-4</v>
      </c>
      <c r="D29205" s="2">
        <v>6.6872634380558697E-5</v>
      </c>
      <c r="E29205" s="2">
        <v>1.5929908403026601E-5</v>
      </c>
      <c r="F29205" s="2">
        <v>5.1478975568386095E-4</v>
      </c>
    </row>
    <row r="29206" spans="1:6" x14ac:dyDescent="0.25">
      <c r="A29206" s="1" t="str">
        <f t="shared" si="1047"/>
        <v>39300</v>
      </c>
      <c r="B29206" s="1" t="str">
        <f>"02915"</f>
        <v>02915</v>
      </c>
      <c r="C29206" s="2">
        <v>1.0848081496698201E-2</v>
      </c>
      <c r="D29206" s="2">
        <v>7.8374727494014799E-3</v>
      </c>
      <c r="E29206" s="2">
        <v>7.80565511748307E-3</v>
      </c>
      <c r="F29206" s="2">
        <v>1.03903932311746E-2</v>
      </c>
    </row>
    <row r="29207" spans="1:6" x14ac:dyDescent="0.25">
      <c r="A29207" s="1" t="str">
        <f t="shared" si="1047"/>
        <v>39300</v>
      </c>
      <c r="B29207" s="1" t="str">
        <f>"02908"</f>
        <v>02908</v>
      </c>
      <c r="C29207" s="2">
        <v>1.9652265201246799E-2</v>
      </c>
      <c r="D29207" s="2">
        <v>1.3428024983616201E-2</v>
      </c>
      <c r="E29207" s="2">
        <v>2.01991238550378E-2</v>
      </c>
      <c r="F29207" s="2">
        <v>1.9178118355444699E-2</v>
      </c>
    </row>
    <row r="29208" spans="1:6" x14ac:dyDescent="0.25">
      <c r="A29208" s="1" t="str">
        <f t="shared" si="1047"/>
        <v>39300</v>
      </c>
      <c r="B29208" s="1" t="str">
        <f>"02914"</f>
        <v>02914</v>
      </c>
      <c r="C29208" s="2">
        <v>1.3374116244256801E-2</v>
      </c>
      <c r="D29208" s="2">
        <v>1.7373510412069099E-2</v>
      </c>
      <c r="E29208" s="2">
        <v>1.2951015531660601E-2</v>
      </c>
      <c r="F29208" s="2">
        <v>1.3673827890824899E-2</v>
      </c>
    </row>
    <row r="29209" spans="1:6" x14ac:dyDescent="0.25">
      <c r="A29209" s="1" t="str">
        <f t="shared" si="1047"/>
        <v>39300</v>
      </c>
      <c r="B29209" s="1" t="str">
        <f>"02910"</f>
        <v>02910</v>
      </c>
      <c r="C29209" s="2">
        <v>1.27208984337029E-2</v>
      </c>
      <c r="D29209" s="2">
        <v>1.7600877368963E-2</v>
      </c>
      <c r="E29209" s="2">
        <v>6.5471923536439599E-3</v>
      </c>
      <c r="F29209" s="2">
        <v>1.2695947350647699E-2</v>
      </c>
    </row>
    <row r="29210" spans="1:6" x14ac:dyDescent="0.25">
      <c r="A29210" s="1" t="str">
        <f t="shared" si="1047"/>
        <v>39300</v>
      </c>
      <c r="B29210" s="1" t="str">
        <f>"02921"</f>
        <v>02921</v>
      </c>
      <c r="C29210" s="2">
        <v>6.1342855106180198E-3</v>
      </c>
      <c r="D29210" s="2">
        <v>3.9588599553290801E-3</v>
      </c>
      <c r="E29210" s="2">
        <v>1.3062524890481799E-3</v>
      </c>
      <c r="F29210" s="2">
        <v>5.6219881224363602E-3</v>
      </c>
    </row>
    <row r="29211" spans="1:6" x14ac:dyDescent="0.25">
      <c r="A29211" s="1" t="str">
        <f t="shared" ref="A29211:A29217" si="1048">"39300"</f>
        <v>39300</v>
      </c>
      <c r="B29211" s="1" t="str">
        <f>"02904"</f>
        <v>02904</v>
      </c>
      <c r="C29211" s="2">
        <v>1.8907026627698199E-2</v>
      </c>
      <c r="D29211" s="2">
        <v>1.8804584787813099E-2</v>
      </c>
      <c r="E29211" s="2">
        <v>2.2206292313819102E-2</v>
      </c>
      <c r="F29211" s="2">
        <v>1.91264193842542E-2</v>
      </c>
    </row>
    <row r="29212" spans="1:6" x14ac:dyDescent="0.25">
      <c r="A29212" s="1" t="str">
        <f t="shared" si="1048"/>
        <v>39300</v>
      </c>
      <c r="B29212" s="1" t="str">
        <f>"02896"</f>
        <v>02896</v>
      </c>
      <c r="C29212" s="2">
        <v>5.9852377959083098E-3</v>
      </c>
      <c r="D29212" s="2">
        <v>4.4938410303735502E-3</v>
      </c>
      <c r="E29212" s="2">
        <v>1.7363600159298999E-3</v>
      </c>
      <c r="F29212" s="2">
        <v>5.56918917313545E-3</v>
      </c>
    </row>
    <row r="29213" spans="1:6" x14ac:dyDescent="0.25">
      <c r="A29213" s="1" t="str">
        <f t="shared" si="1048"/>
        <v>39300</v>
      </c>
      <c r="B29213" s="1" t="str">
        <f>"02903"</f>
        <v>02903</v>
      </c>
      <c r="C29213" s="2">
        <v>9.9382424034268006E-3</v>
      </c>
      <c r="D29213" s="2">
        <v>4.47377924005938E-2</v>
      </c>
      <c r="E29213" s="2">
        <v>1.8526483472719998E-2</v>
      </c>
      <c r="F29213" s="2">
        <v>1.3393333472663801E-2</v>
      </c>
    </row>
    <row r="29214" spans="1:6" x14ac:dyDescent="0.25">
      <c r="A29214" s="1" t="str">
        <f t="shared" si="1048"/>
        <v>39300</v>
      </c>
      <c r="B29214" s="1" t="str">
        <f>"02898"</f>
        <v>02898</v>
      </c>
      <c r="C29214" s="2">
        <v>1.0096362587727499E-3</v>
      </c>
      <c r="D29214" s="2">
        <v>9.0946782757559904E-4</v>
      </c>
      <c r="E29214" s="2">
        <v>1.4496216646754201E-3</v>
      </c>
      <c r="F29214" s="2">
        <v>1.0317794675885901E-3</v>
      </c>
    </row>
    <row r="29215" spans="1:6" x14ac:dyDescent="0.25">
      <c r="A29215" s="1" t="str">
        <f t="shared" si="1048"/>
        <v>39300</v>
      </c>
      <c r="B29215" s="1" t="str">
        <f>"02901"</f>
        <v>02901</v>
      </c>
      <c r="C29215" s="2">
        <v>1.20534238852202E-3</v>
      </c>
      <c r="D29215" s="2">
        <v>2.4074148377001099E-3</v>
      </c>
      <c r="E29215" s="2">
        <v>1.5929908403026601E-5</v>
      </c>
      <c r="F29215" s="2">
        <v>1.22207568069395E-3</v>
      </c>
    </row>
    <row r="29216" spans="1:6" x14ac:dyDescent="0.25">
      <c r="A29216" s="1" t="str">
        <f t="shared" si="1048"/>
        <v>39300</v>
      </c>
      <c r="B29216" s="1" t="str">
        <f>"02808"</f>
        <v>02808</v>
      </c>
      <c r="C29216" s="2">
        <v>1.6654462034954901E-3</v>
      </c>
      <c r="D29216" s="2">
        <v>6.1522823630114E-4</v>
      </c>
      <c r="E29216" s="2">
        <v>2.23018717642373E-4</v>
      </c>
      <c r="F29216" s="2">
        <v>1.47947055853588E-3</v>
      </c>
    </row>
    <row r="29217" spans="1:6" x14ac:dyDescent="0.25">
      <c r="A29217" s="1" t="str">
        <f t="shared" si="1048"/>
        <v>39300</v>
      </c>
      <c r="B29217" s="1" t="str">
        <f>"02791"</f>
        <v>02791</v>
      </c>
      <c r="C29217" s="2">
        <v>0</v>
      </c>
      <c r="D29217" s="2">
        <v>0</v>
      </c>
      <c r="E29217" s="2">
        <v>3.4567901234567899E-3</v>
      </c>
      <c r="F29217" s="2">
        <v>2.3869524996452499E-4</v>
      </c>
    </row>
    <row r="29218" spans="1:6" x14ac:dyDescent="0.25">
      <c r="A29218" s="1" t="str">
        <f t="shared" ref="A29218:A29249" si="1049">"39340"</f>
        <v>39340</v>
      </c>
      <c r="B29218" s="1" t="str">
        <f>"84639"</f>
        <v>84639</v>
      </c>
      <c r="C29218" s="2">
        <v>1.8891895848978102E-5</v>
      </c>
      <c r="D29218" s="2">
        <v>0</v>
      </c>
      <c r="E29218" s="2">
        <v>1.2627857052658099E-4</v>
      </c>
      <c r="F29218" s="2">
        <v>2.0909041487720099E-5</v>
      </c>
    </row>
    <row r="29219" spans="1:6" x14ac:dyDescent="0.25">
      <c r="A29219" s="1" t="str">
        <f t="shared" si="1049"/>
        <v>39340</v>
      </c>
      <c r="B29219" s="1" t="str">
        <f>"84605"</f>
        <v>84605</v>
      </c>
      <c r="C29219" s="2">
        <v>5.7573052599761004E-3</v>
      </c>
      <c r="D29219" s="2">
        <v>1.0009753092757E-2</v>
      </c>
      <c r="E29219" s="2">
        <v>2.5255714105316301E-4</v>
      </c>
      <c r="F29219" s="2">
        <v>5.9214405493223298E-3</v>
      </c>
    </row>
    <row r="29220" spans="1:6" x14ac:dyDescent="0.25">
      <c r="A29220" s="1" t="str">
        <f t="shared" si="1049"/>
        <v>39340</v>
      </c>
      <c r="B29220" s="1" t="str">
        <f>"84651"</f>
        <v>84651</v>
      </c>
      <c r="C29220" s="2">
        <v>4.0258630054172503E-2</v>
      </c>
      <c r="D29220" s="2">
        <v>2.6487346645449401E-2</v>
      </c>
      <c r="E29220" s="2">
        <v>2.8033842656901099E-2</v>
      </c>
      <c r="F29220" s="2">
        <v>3.8731908451852697E-2</v>
      </c>
    </row>
    <row r="29221" spans="1:6" x14ac:dyDescent="0.25">
      <c r="A29221" s="1" t="str">
        <f t="shared" si="1049"/>
        <v>39340</v>
      </c>
      <c r="B29221" s="1" t="str">
        <f>"84655"</f>
        <v>84655</v>
      </c>
      <c r="C29221" s="2">
        <v>1.9567281125579102E-2</v>
      </c>
      <c r="D29221" s="2">
        <v>4.3118936399568798E-3</v>
      </c>
      <c r="E29221" s="2">
        <v>6.5664856673822401E-3</v>
      </c>
      <c r="F29221" s="2">
        <v>1.78939577051908E-2</v>
      </c>
    </row>
    <row r="29222" spans="1:6" x14ac:dyDescent="0.25">
      <c r="A29222" s="1" t="str">
        <f t="shared" si="1049"/>
        <v>39340</v>
      </c>
      <c r="B29222" s="1" t="str">
        <f>"84097"</f>
        <v>84097</v>
      </c>
      <c r="C29222" s="2">
        <v>4.13401910915265E-2</v>
      </c>
      <c r="D29222" s="2">
        <v>7.1146245059288502E-2</v>
      </c>
      <c r="E29222" s="2">
        <v>3.0180578355852999E-2</v>
      </c>
      <c r="F29222" s="2">
        <v>4.3398806511911803E-2</v>
      </c>
    </row>
    <row r="29223" spans="1:6" x14ac:dyDescent="0.25">
      <c r="A29223" s="1" t="str">
        <f t="shared" si="1049"/>
        <v>39340</v>
      </c>
      <c r="B29223" s="1" t="str">
        <f>"84045"</f>
        <v>84045</v>
      </c>
      <c r="C29223" s="2">
        <v>4.4759624240191503E-2</v>
      </c>
      <c r="D29223" s="2">
        <v>1.2063035778450699E-2</v>
      </c>
      <c r="E29223" s="2">
        <v>1.49008713221366E-2</v>
      </c>
      <c r="F29223" s="2">
        <v>4.1107175564857698E-2</v>
      </c>
    </row>
    <row r="29224" spans="1:6" x14ac:dyDescent="0.25">
      <c r="A29224" s="1" t="str">
        <f t="shared" si="1049"/>
        <v>39340</v>
      </c>
      <c r="B29224" s="1" t="str">
        <f>"84664"</f>
        <v>84664</v>
      </c>
      <c r="C29224" s="2">
        <v>1.5878638461066099E-2</v>
      </c>
      <c r="D29224" s="2">
        <v>4.9792105128073499E-3</v>
      </c>
      <c r="E29224" s="2">
        <v>4.4197499684303504E-3</v>
      </c>
      <c r="F29224" s="2">
        <v>1.4611238191618799E-2</v>
      </c>
    </row>
    <row r="29225" spans="1:6" x14ac:dyDescent="0.25">
      <c r="A29225" s="1" t="str">
        <f t="shared" si="1049"/>
        <v>39340</v>
      </c>
      <c r="B29225" s="1" t="str">
        <f>"84603"</f>
        <v>84603</v>
      </c>
      <c r="C29225" s="2">
        <v>5.2472240720536903E-3</v>
      </c>
      <c r="D29225" s="2">
        <v>2.7000667316872801E-2</v>
      </c>
      <c r="E29225" s="2">
        <v>2.5255714105316301E-4</v>
      </c>
      <c r="F29225" s="2">
        <v>6.8539837996746504E-3</v>
      </c>
    </row>
    <row r="29226" spans="1:6" x14ac:dyDescent="0.25">
      <c r="A29226" s="1" t="str">
        <f t="shared" si="1049"/>
        <v>39340</v>
      </c>
      <c r="B29226" s="1" t="str">
        <f>"84057"</f>
        <v>84057</v>
      </c>
      <c r="C29226" s="2">
        <v>5.7322734979762001E-2</v>
      </c>
      <c r="D29226" s="2">
        <v>7.4739489759252598E-2</v>
      </c>
      <c r="E29226" s="2">
        <v>3.2832428336911197E-2</v>
      </c>
      <c r="F29226" s="2">
        <v>5.7930590345877303E-2</v>
      </c>
    </row>
    <row r="29227" spans="1:6" x14ac:dyDescent="0.25">
      <c r="A29227" s="1" t="str">
        <f t="shared" si="1049"/>
        <v>39340</v>
      </c>
      <c r="B29227" s="1" t="str">
        <f>"84042"</f>
        <v>84042</v>
      </c>
      <c r="C29227" s="2">
        <v>1.5491354596162099E-2</v>
      </c>
      <c r="D29227" s="2">
        <v>3.63431035367794E-2</v>
      </c>
      <c r="E29227" s="2">
        <v>1.7552721303194799E-2</v>
      </c>
      <c r="F29227" s="2">
        <v>1.72583228439641E-2</v>
      </c>
    </row>
    <row r="29228" spans="1:6" x14ac:dyDescent="0.25">
      <c r="A29228" s="1" t="str">
        <f t="shared" si="1049"/>
        <v>39340</v>
      </c>
      <c r="B29228" s="1" t="str">
        <f>"84004"</f>
        <v>84004</v>
      </c>
      <c r="C29228" s="2">
        <v>1.4258658392016199E-2</v>
      </c>
      <c r="D29228" s="2">
        <v>1.13957189056003E-2</v>
      </c>
      <c r="E29228" s="2">
        <v>8.9657785073872908E-3</v>
      </c>
      <c r="F29228" s="2">
        <v>1.38501490814658E-2</v>
      </c>
    </row>
    <row r="29229" spans="1:6" x14ac:dyDescent="0.25">
      <c r="A29229" s="1" t="str">
        <f t="shared" si="1049"/>
        <v>39340</v>
      </c>
      <c r="B29229" s="1" t="str">
        <f>"84663"</f>
        <v>84663</v>
      </c>
      <c r="C29229" s="2">
        <v>5.4271693800152003E-2</v>
      </c>
      <c r="D29229" s="2">
        <v>5.9801858220830499E-2</v>
      </c>
      <c r="E29229" s="2">
        <v>8.9405227932819797E-2</v>
      </c>
      <c r="F29229" s="2">
        <v>5.5885686088378302E-2</v>
      </c>
    </row>
    <row r="29230" spans="1:6" x14ac:dyDescent="0.25">
      <c r="A29230" s="1" t="str">
        <f t="shared" si="1049"/>
        <v>39340</v>
      </c>
      <c r="B29230" s="1" t="str">
        <f>"84059"</f>
        <v>84059</v>
      </c>
      <c r="C29230" s="2">
        <v>3.3245013720239303E-2</v>
      </c>
      <c r="D29230" s="2">
        <v>3.05425799496945E-2</v>
      </c>
      <c r="E29230" s="2">
        <v>2.27301426947846E-2</v>
      </c>
      <c r="F29230" s="2">
        <v>3.2676650037009002E-2</v>
      </c>
    </row>
    <row r="29231" spans="1:6" x14ac:dyDescent="0.25">
      <c r="A29231" s="1" t="str">
        <f t="shared" si="1049"/>
        <v>39340</v>
      </c>
      <c r="B29231" s="1" t="str">
        <f>"84601"</f>
        <v>84601</v>
      </c>
      <c r="C29231" s="2">
        <v>5.5990856322409001E-2</v>
      </c>
      <c r="D29231" s="2">
        <v>7.0786920589292104E-2</v>
      </c>
      <c r="E29231" s="2">
        <v>8.8521277939133697E-2</v>
      </c>
      <c r="F29231" s="2">
        <v>5.8273498626275899E-2</v>
      </c>
    </row>
    <row r="29232" spans="1:6" x14ac:dyDescent="0.25">
      <c r="A29232" s="1" t="str">
        <f t="shared" si="1049"/>
        <v>39340</v>
      </c>
      <c r="B29232" s="1" t="str">
        <f>"84626"</f>
        <v>84626</v>
      </c>
      <c r="C29232" s="2">
        <v>0</v>
      </c>
      <c r="D29232" s="2">
        <v>0</v>
      </c>
      <c r="E29232" s="2">
        <v>1.2627857052658099E-4</v>
      </c>
      <c r="F29232" s="2">
        <v>4.1818082975440199E-6</v>
      </c>
    </row>
    <row r="29233" spans="1:6" x14ac:dyDescent="0.25">
      <c r="A29233" s="1" t="str">
        <f t="shared" si="1049"/>
        <v>39340</v>
      </c>
      <c r="B29233" s="1" t="str">
        <f>"84058"</f>
        <v>84058</v>
      </c>
      <c r="C29233" s="2">
        <v>5.2646990757139897E-2</v>
      </c>
      <c r="D29233" s="2">
        <v>6.0469175093681E-2</v>
      </c>
      <c r="E29233" s="2">
        <v>2.6013385528475801E-2</v>
      </c>
      <c r="F29233" s="2">
        <v>5.2402239776524098E-2</v>
      </c>
    </row>
    <row r="29234" spans="1:6" x14ac:dyDescent="0.25">
      <c r="A29234" s="1" t="str">
        <f t="shared" si="1049"/>
        <v>39340</v>
      </c>
      <c r="B29234" s="1" t="str">
        <f>"84062"</f>
        <v>84062</v>
      </c>
      <c r="C29234" s="2">
        <v>7.0391203933292706E-2</v>
      </c>
      <c r="D29234" s="2">
        <v>6.6937015553616294E-2</v>
      </c>
      <c r="E29234" s="2">
        <v>6.4780906680136294E-2</v>
      </c>
      <c r="F29234" s="2">
        <v>6.9924016543233602E-2</v>
      </c>
    </row>
    <row r="29235" spans="1:6" x14ac:dyDescent="0.25">
      <c r="A29235" s="1" t="str">
        <f t="shared" si="1049"/>
        <v>39340</v>
      </c>
      <c r="B29235" s="1" t="str">
        <f>"84003"</f>
        <v>84003</v>
      </c>
      <c r="C29235" s="2">
        <v>7.7211178334773797E-2</v>
      </c>
      <c r="D29235" s="2">
        <v>0.103485447358965</v>
      </c>
      <c r="E29235" s="2">
        <v>9.25621921959843E-2</v>
      </c>
      <c r="F29235" s="2">
        <v>7.98599930581982E-2</v>
      </c>
    </row>
    <row r="29236" spans="1:6" x14ac:dyDescent="0.25">
      <c r="A29236" s="1" t="str">
        <f t="shared" si="1049"/>
        <v>39340</v>
      </c>
      <c r="B29236" s="1" t="str">
        <f>"84660"</f>
        <v>84660</v>
      </c>
      <c r="C29236" s="2">
        <v>6.5432081272935899E-2</v>
      </c>
      <c r="D29236" s="2">
        <v>6.7193675889327995E-2</v>
      </c>
      <c r="E29236" s="2">
        <v>3.7504735446394703E-2</v>
      </c>
      <c r="F29236" s="2">
        <v>6.46507562800306E-2</v>
      </c>
    </row>
    <row r="29237" spans="1:6" x14ac:dyDescent="0.25">
      <c r="A29237" s="1" t="str">
        <f t="shared" si="1049"/>
        <v>39340</v>
      </c>
      <c r="B29237" s="1" t="str">
        <f>"84013"</f>
        <v>84013</v>
      </c>
      <c r="C29237" s="2">
        <v>1.0485002196182799E-3</v>
      </c>
      <c r="D29237" s="2">
        <v>1.53996201427031E-4</v>
      </c>
      <c r="E29237" s="2">
        <v>2.5255714105316301E-4</v>
      </c>
      <c r="F29237" s="2">
        <v>9.4927048354249304E-4</v>
      </c>
    </row>
    <row r="29238" spans="1:6" x14ac:dyDescent="0.25">
      <c r="A29238" s="1" t="str">
        <f t="shared" si="1049"/>
        <v>39340</v>
      </c>
      <c r="B29238" s="1" t="str">
        <f>"84606"</f>
        <v>84606</v>
      </c>
      <c r="C29238" s="2">
        <v>5.5159612905054001E-2</v>
      </c>
      <c r="D29238" s="2">
        <v>4.0962989579590298E-2</v>
      </c>
      <c r="E29238" s="2">
        <v>0.14206339184240399</v>
      </c>
      <c r="F29238" s="2">
        <v>5.6880956463193799E-2</v>
      </c>
    </row>
    <row r="29239" spans="1:6" x14ac:dyDescent="0.25">
      <c r="A29239" s="1" t="str">
        <f t="shared" si="1049"/>
        <v>39340</v>
      </c>
      <c r="B29239" s="1" t="str">
        <f>"84604"</f>
        <v>84604</v>
      </c>
      <c r="C29239" s="2">
        <v>6.3793209308037002E-2</v>
      </c>
      <c r="D29239" s="2">
        <v>6.7193675889327995E-2</v>
      </c>
      <c r="E29239" s="2">
        <v>9.2057077913878002E-2</v>
      </c>
      <c r="F29239" s="2">
        <v>6.5006209985321806E-2</v>
      </c>
    </row>
    <row r="29240" spans="1:6" x14ac:dyDescent="0.25">
      <c r="A29240" s="1" t="str">
        <f t="shared" si="1049"/>
        <v>39340</v>
      </c>
      <c r="B29240" s="1" t="str">
        <f>"84648"</f>
        <v>84648</v>
      </c>
      <c r="C29240" s="2">
        <v>1.0971468514294E-2</v>
      </c>
      <c r="D29240" s="2">
        <v>1.0985062368461499E-2</v>
      </c>
      <c r="E29240" s="2">
        <v>6.8190428084354002E-3</v>
      </c>
      <c r="F29240" s="2">
        <v>1.08350652989365E-2</v>
      </c>
    </row>
    <row r="29241" spans="1:6" x14ac:dyDescent="0.25">
      <c r="A29241" s="1" t="str">
        <f t="shared" si="1049"/>
        <v>39340</v>
      </c>
      <c r="B29241" s="1" t="str">
        <f>"84653"</f>
        <v>84653</v>
      </c>
      <c r="C29241" s="2">
        <v>1.7933132134642499E-2</v>
      </c>
      <c r="D29241" s="2">
        <v>9.4964324213336008E-3</v>
      </c>
      <c r="E29241" s="2">
        <v>7.4504356610683104E-3</v>
      </c>
      <c r="F29241" s="2">
        <v>1.68986873303754E-2</v>
      </c>
    </row>
    <row r="29242" spans="1:6" x14ac:dyDescent="0.25">
      <c r="A29242" s="1" t="str">
        <f t="shared" si="1049"/>
        <v>39340</v>
      </c>
      <c r="B29242" s="1" t="str">
        <f>"84628"</f>
        <v>84628</v>
      </c>
      <c r="C29242" s="2">
        <v>6.6121635471423596E-5</v>
      </c>
      <c r="D29242" s="2">
        <v>0</v>
      </c>
      <c r="E29242" s="2">
        <v>1.2627857052658099E-4</v>
      </c>
      <c r="F29242" s="2">
        <v>6.2727124463160303E-5</v>
      </c>
    </row>
    <row r="29243" spans="1:6" x14ac:dyDescent="0.25">
      <c r="A29243" s="1" t="str">
        <f t="shared" si="1049"/>
        <v>39340</v>
      </c>
      <c r="B29243" s="1" t="str">
        <f>"84602"</f>
        <v>84602</v>
      </c>
      <c r="C29243" s="2">
        <v>1.3951665084470301E-2</v>
      </c>
      <c r="D29243" s="2">
        <v>2.6744006981161101E-2</v>
      </c>
      <c r="E29243" s="2">
        <v>7.4504356610683104E-3</v>
      </c>
      <c r="F29243" s="2">
        <v>1.4778510523520499E-2</v>
      </c>
    </row>
    <row r="29244" spans="1:6" x14ac:dyDescent="0.25">
      <c r="A29244" s="1" t="str">
        <f t="shared" si="1049"/>
        <v>39340</v>
      </c>
      <c r="B29244" s="1" t="str">
        <f>"84645"</f>
        <v>84645</v>
      </c>
      <c r="C29244" s="2">
        <v>6.03123774978628E-3</v>
      </c>
      <c r="D29244" s="2">
        <v>1.02664134284687E-3</v>
      </c>
      <c r="E29244" s="2">
        <v>3.7883571157974402E-4</v>
      </c>
      <c r="F29244" s="2">
        <v>5.43635078680723E-3</v>
      </c>
    </row>
    <row r="29245" spans="1:6" x14ac:dyDescent="0.25">
      <c r="A29245" s="1" t="str">
        <f t="shared" si="1049"/>
        <v>39340</v>
      </c>
      <c r="B29245" s="1" t="str">
        <f>"84043"</f>
        <v>84043</v>
      </c>
      <c r="C29245" s="2">
        <v>0.106167731697295</v>
      </c>
      <c r="D29245" s="2">
        <v>9.8660233047584797E-2</v>
      </c>
      <c r="E29245" s="2">
        <v>0.117060234878141</v>
      </c>
      <c r="F29245" s="2">
        <v>0.105916840560195</v>
      </c>
    </row>
    <row r="29246" spans="1:6" x14ac:dyDescent="0.25">
      <c r="A29246" s="1" t="str">
        <f t="shared" si="1049"/>
        <v>39340</v>
      </c>
      <c r="B29246" s="1" t="str">
        <f>"84020"</f>
        <v>84020</v>
      </c>
      <c r="C29246" s="2">
        <v>4.4301495765853797E-3</v>
      </c>
      <c r="D29246" s="2">
        <v>6.1598480570812498E-4</v>
      </c>
      <c r="E29246" s="2">
        <v>1.2627857052658099E-4</v>
      </c>
      <c r="F29246" s="2">
        <v>3.9768996909643603E-3</v>
      </c>
    </row>
    <row r="29247" spans="1:6" x14ac:dyDescent="0.25">
      <c r="A29247" s="1" t="str">
        <f t="shared" si="1049"/>
        <v>39340</v>
      </c>
      <c r="B29247" s="1" t="str">
        <f>"84005"</f>
        <v>84005</v>
      </c>
      <c r="C29247" s="2">
        <v>5.1112024219410399E-2</v>
      </c>
      <c r="D29247" s="2">
        <v>6.4165083927929696E-3</v>
      </c>
      <c r="E29247" s="2">
        <v>6.0361156711705999E-2</v>
      </c>
      <c r="F29247" s="2">
        <v>4.7777159799440402E-2</v>
      </c>
    </row>
    <row r="29248" spans="1:6" x14ac:dyDescent="0.25">
      <c r="A29248" s="1" t="str">
        <f t="shared" si="1049"/>
        <v>39340</v>
      </c>
      <c r="B29248" s="1" t="str">
        <f>"84032"</f>
        <v>84032</v>
      </c>
      <c r="C29248" s="2">
        <v>0</v>
      </c>
      <c r="D29248" s="2">
        <v>5.1332067142343798E-5</v>
      </c>
      <c r="E29248" s="2">
        <v>0</v>
      </c>
      <c r="F29248" s="2">
        <v>4.1818082975440199E-6</v>
      </c>
    </row>
    <row r="29249" spans="1:6" x14ac:dyDescent="0.25">
      <c r="A29249" s="1" t="str">
        <f t="shared" si="1049"/>
        <v>39340</v>
      </c>
      <c r="B29249" s="1" t="str">
        <f>"84633"</f>
        <v>84633</v>
      </c>
      <c r="C29249" s="2">
        <v>2.4559464603671601E-4</v>
      </c>
      <c r="D29249" s="2">
        <v>0</v>
      </c>
      <c r="E29249" s="2">
        <v>1.2627857052658099E-4</v>
      </c>
      <c r="F29249" s="2">
        <v>2.2163583976983299E-4</v>
      </c>
    </row>
    <row r="29250" spans="1:6" x14ac:dyDescent="0.25">
      <c r="A29250" s="1" t="str">
        <f t="shared" ref="A29250:A29270" si="1050">"39380"</f>
        <v>39380</v>
      </c>
      <c r="B29250" s="1" t="str">
        <f>"81062"</f>
        <v>81062</v>
      </c>
      <c r="C29250" s="2">
        <v>2.6052521884118299E-5</v>
      </c>
      <c r="D29250" s="2">
        <v>0</v>
      </c>
      <c r="E29250" s="2">
        <v>0</v>
      </c>
      <c r="F29250" s="2">
        <v>2.3069647265093302E-5</v>
      </c>
    </row>
    <row r="29251" spans="1:6" x14ac:dyDescent="0.25">
      <c r="A29251" s="1" t="str">
        <f t="shared" si="1050"/>
        <v>39380</v>
      </c>
      <c r="B29251" s="1" t="str">
        <f>"81023"</f>
        <v>81023</v>
      </c>
      <c r="C29251" s="2">
        <v>9.7566694456023301E-3</v>
      </c>
      <c r="D29251" s="2">
        <v>1.19456473047633E-3</v>
      </c>
      <c r="E29251" s="2">
        <v>3.4066274388355501E-3</v>
      </c>
      <c r="F29251" s="2">
        <v>8.8587445497958304E-3</v>
      </c>
    </row>
    <row r="29252" spans="1:6" x14ac:dyDescent="0.25">
      <c r="A29252" s="1" t="str">
        <f t="shared" si="1050"/>
        <v>39380</v>
      </c>
      <c r="B29252" s="1" t="str">
        <f>"81002"</f>
        <v>81002</v>
      </c>
      <c r="C29252" s="2">
        <v>1.04861400583576E-2</v>
      </c>
      <c r="D29252" s="2">
        <v>3.1655965357622801E-2</v>
      </c>
      <c r="E29252" s="2">
        <v>6.1938680706100904E-4</v>
      </c>
      <c r="F29252" s="2">
        <v>1.1753985281565E-2</v>
      </c>
    </row>
    <row r="29253" spans="1:6" x14ac:dyDescent="0.25">
      <c r="A29253" s="1" t="str">
        <f t="shared" si="1050"/>
        <v>39380</v>
      </c>
      <c r="B29253" s="1" t="str">
        <f>"81025"</f>
        <v>81025</v>
      </c>
      <c r="C29253" s="2">
        <v>6.2135264693622301E-3</v>
      </c>
      <c r="D29253" s="2">
        <v>2.38912946095266E-3</v>
      </c>
      <c r="E29253" s="2">
        <v>4.9550944564880697E-3</v>
      </c>
      <c r="F29253" s="2">
        <v>5.8712252289662399E-3</v>
      </c>
    </row>
    <row r="29254" spans="1:6" x14ac:dyDescent="0.25">
      <c r="A29254" s="1" t="str">
        <f t="shared" si="1050"/>
        <v>39380</v>
      </c>
      <c r="B29254" s="1" t="str">
        <f>"81069"</f>
        <v>81069</v>
      </c>
      <c r="C29254" s="2">
        <v>9.4831179658190906E-3</v>
      </c>
      <c r="D29254" s="2">
        <v>8.9592354785724901E-4</v>
      </c>
      <c r="E29254" s="2">
        <v>1.79622174047692E-2</v>
      </c>
      <c r="F29254" s="2">
        <v>9.1355803169769507E-3</v>
      </c>
    </row>
    <row r="29255" spans="1:6" x14ac:dyDescent="0.25">
      <c r="A29255" s="1" t="str">
        <f t="shared" si="1050"/>
        <v>39380</v>
      </c>
      <c r="B29255" s="1" t="str">
        <f>"81012"</f>
        <v>81012</v>
      </c>
      <c r="C29255" s="2">
        <v>0</v>
      </c>
      <c r="D29255" s="2">
        <v>1.49320591309541E-4</v>
      </c>
      <c r="E29255" s="2">
        <v>0</v>
      </c>
      <c r="F29255" s="2">
        <v>1.15348236325466E-5</v>
      </c>
    </row>
    <row r="29256" spans="1:6" x14ac:dyDescent="0.25">
      <c r="A29256" s="1" t="str">
        <f t="shared" si="1050"/>
        <v>39380</v>
      </c>
      <c r="B29256" s="1" t="str">
        <f>"81009"</f>
        <v>81009</v>
      </c>
      <c r="C29256" s="2">
        <v>0</v>
      </c>
      <c r="D29256" s="2">
        <v>1.49320591309541E-4</v>
      </c>
      <c r="E29256" s="2">
        <v>0</v>
      </c>
      <c r="F29256" s="2">
        <v>1.15348236325466E-5</v>
      </c>
    </row>
    <row r="29257" spans="1:6" x14ac:dyDescent="0.25">
      <c r="A29257" s="1" t="str">
        <f t="shared" si="1050"/>
        <v>39380</v>
      </c>
      <c r="B29257" s="1" t="str">
        <f>"81011"</f>
        <v>81011</v>
      </c>
      <c r="C29257" s="2">
        <v>0</v>
      </c>
      <c r="D29257" s="2">
        <v>1.49320591309541E-4</v>
      </c>
      <c r="E29257" s="2">
        <v>0</v>
      </c>
      <c r="F29257" s="2">
        <v>1.15348236325466E-5</v>
      </c>
    </row>
    <row r="29258" spans="1:6" x14ac:dyDescent="0.25">
      <c r="A29258" s="1" t="str">
        <f t="shared" si="1050"/>
        <v>39380</v>
      </c>
      <c r="B29258" s="1" t="str">
        <f>"80817"</f>
        <v>80817</v>
      </c>
      <c r="C29258" s="2">
        <v>1.36775739891621E-3</v>
      </c>
      <c r="D29258" s="2">
        <v>0</v>
      </c>
      <c r="E29258" s="2">
        <v>0</v>
      </c>
      <c r="F29258" s="2">
        <v>1.21115648141739E-3</v>
      </c>
    </row>
    <row r="29259" spans="1:6" x14ac:dyDescent="0.25">
      <c r="A29259" s="1" t="str">
        <f t="shared" si="1050"/>
        <v>39380</v>
      </c>
      <c r="B29259" s="1" t="str">
        <f>"81003"</f>
        <v>81003</v>
      </c>
      <c r="C29259" s="2">
        <v>8.5282930387661507E-2</v>
      </c>
      <c r="D29259" s="2">
        <v>0.25892190533074499</v>
      </c>
      <c r="E29259" s="2">
        <v>0.187674202539485</v>
      </c>
      <c r="F29259" s="2">
        <v>0.102509977622442</v>
      </c>
    </row>
    <row r="29260" spans="1:6" x14ac:dyDescent="0.25">
      <c r="A29260" s="1" t="str">
        <f t="shared" si="1050"/>
        <v>39380</v>
      </c>
      <c r="B29260" s="1" t="str">
        <f>"81019"</f>
        <v>81019</v>
      </c>
      <c r="C29260" s="2">
        <v>1.3534285118799399E-2</v>
      </c>
      <c r="D29260" s="2">
        <v>0</v>
      </c>
      <c r="E29260" s="2">
        <v>3.0969340353050398E-4</v>
      </c>
      <c r="F29260" s="2">
        <v>1.19962165778485E-2</v>
      </c>
    </row>
    <row r="29261" spans="1:6" x14ac:dyDescent="0.25">
      <c r="A29261" s="1" t="str">
        <f t="shared" si="1050"/>
        <v>39380</v>
      </c>
      <c r="B29261" s="1" t="str">
        <f>"81039"</f>
        <v>81039</v>
      </c>
      <c r="C29261" s="2">
        <v>1.36775739891621E-3</v>
      </c>
      <c r="D29261" s="2">
        <v>1.49320591309541E-4</v>
      </c>
      <c r="E29261" s="2">
        <v>0</v>
      </c>
      <c r="F29261" s="2">
        <v>1.2226913050499401E-3</v>
      </c>
    </row>
    <row r="29262" spans="1:6" x14ac:dyDescent="0.25">
      <c r="A29262" s="1" t="str">
        <f t="shared" si="1050"/>
        <v>39380</v>
      </c>
      <c r="B29262" s="1" t="str">
        <f>"81008"</f>
        <v>81008</v>
      </c>
      <c r="C29262" s="2">
        <v>8.4618591079616501E-2</v>
      </c>
      <c r="D29262" s="2">
        <v>0.18560549499776</v>
      </c>
      <c r="E29262" s="2">
        <v>0.11830288014865201</v>
      </c>
      <c r="F29262" s="2">
        <v>9.3674302719911395E-2</v>
      </c>
    </row>
    <row r="29263" spans="1:6" x14ac:dyDescent="0.25">
      <c r="A29263" s="1" t="str">
        <f t="shared" si="1050"/>
        <v>39380</v>
      </c>
      <c r="B29263" s="1" t="str">
        <f>"81005"</f>
        <v>81005</v>
      </c>
      <c r="C29263" s="2">
        <v>0.18493382659441401</v>
      </c>
      <c r="D29263" s="2">
        <v>0.113035687621322</v>
      </c>
      <c r="E29263" s="2">
        <v>0.163208423660576</v>
      </c>
      <c r="F29263" s="2">
        <v>0.17857060465545399</v>
      </c>
    </row>
    <row r="29264" spans="1:6" x14ac:dyDescent="0.25">
      <c r="A29264" s="1" t="str">
        <f t="shared" si="1050"/>
        <v>39380</v>
      </c>
      <c r="B29264" s="1" t="str">
        <f>"81001"</f>
        <v>81001</v>
      </c>
      <c r="C29264" s="2">
        <v>0.19065235514797799</v>
      </c>
      <c r="D29264" s="2">
        <v>0.105271016873226</v>
      </c>
      <c r="E29264" s="2">
        <v>0.193248683803034</v>
      </c>
      <c r="F29264" s="2">
        <v>0.18415345929360699</v>
      </c>
    </row>
    <row r="29265" spans="1:6" x14ac:dyDescent="0.25">
      <c r="A29265" s="1" t="str">
        <f t="shared" si="1050"/>
        <v>39380</v>
      </c>
      <c r="B29265" s="1" t="str">
        <f>"81010"</f>
        <v>81010</v>
      </c>
      <c r="C29265" s="2">
        <v>0</v>
      </c>
      <c r="D29265" s="2">
        <v>1.49320591309541E-4</v>
      </c>
      <c r="E29265" s="2">
        <v>0</v>
      </c>
      <c r="F29265" s="2">
        <v>1.15348236325466E-5</v>
      </c>
    </row>
    <row r="29266" spans="1:6" x14ac:dyDescent="0.25">
      <c r="A29266" s="1" t="str">
        <f t="shared" si="1050"/>
        <v>39380</v>
      </c>
      <c r="B29266" s="1" t="str">
        <f>"81253"</f>
        <v>81253</v>
      </c>
      <c r="C29266" s="2">
        <v>1.30262609420591E-5</v>
      </c>
      <c r="D29266" s="2">
        <v>0</v>
      </c>
      <c r="E29266" s="2">
        <v>0</v>
      </c>
      <c r="F29266" s="2">
        <v>1.15348236325466E-5</v>
      </c>
    </row>
    <row r="29267" spans="1:6" x14ac:dyDescent="0.25">
      <c r="A29267" s="1" t="str">
        <f t="shared" si="1050"/>
        <v>39380</v>
      </c>
      <c r="B29267" s="1" t="str">
        <f>"81004"</f>
        <v>81004</v>
      </c>
      <c r="C29267" s="2">
        <v>0.16637140475197901</v>
      </c>
      <c r="D29267" s="2">
        <v>0.14439301179632599</v>
      </c>
      <c r="E29267" s="2">
        <v>0.206875193558377</v>
      </c>
      <c r="F29267" s="2">
        <v>0.166182204074099</v>
      </c>
    </row>
    <row r="29268" spans="1:6" x14ac:dyDescent="0.25">
      <c r="A29268" s="1" t="str">
        <f t="shared" si="1050"/>
        <v>39380</v>
      </c>
      <c r="B29268" s="1" t="str">
        <f>"81007"</f>
        <v>81007</v>
      </c>
      <c r="C29268" s="2">
        <v>0.16294549812421799</v>
      </c>
      <c r="D29268" s="2">
        <v>9.7506346125130594E-2</v>
      </c>
      <c r="E29268" s="2">
        <v>7.7733044286156697E-2</v>
      </c>
      <c r="F29268" s="2">
        <v>0.15471658938334801</v>
      </c>
    </row>
    <row r="29269" spans="1:6" x14ac:dyDescent="0.25">
      <c r="A29269" s="1" t="str">
        <f t="shared" si="1050"/>
        <v>39380</v>
      </c>
      <c r="B29269" s="1" t="str">
        <f>"81006"</f>
        <v>81006</v>
      </c>
      <c r="C29269" s="2">
        <v>6.4584201750729403E-2</v>
      </c>
      <c r="D29269" s="2">
        <v>5.6891145288935303E-2</v>
      </c>
      <c r="E29269" s="2">
        <v>2.3536698668318298E-2</v>
      </c>
      <c r="F29269" s="2">
        <v>6.2461069970240098E-2</v>
      </c>
    </row>
    <row r="29270" spans="1:6" x14ac:dyDescent="0.25">
      <c r="A29270" s="1" t="str">
        <f t="shared" si="1050"/>
        <v>39380</v>
      </c>
      <c r="B29270" s="1" t="str">
        <f>"81022"</f>
        <v>81022</v>
      </c>
      <c r="C29270" s="2">
        <v>8.3628595248020007E-3</v>
      </c>
      <c r="D29270" s="2">
        <v>1.4932059130954101E-3</v>
      </c>
      <c r="E29270" s="2">
        <v>2.1678538247135301E-3</v>
      </c>
      <c r="F29270" s="2">
        <v>7.6014487738482401E-3</v>
      </c>
    </row>
    <row r="29271" spans="1:6" x14ac:dyDescent="0.25">
      <c r="A29271" s="1" t="str">
        <f t="shared" ref="A29271:A29294" si="1051">"39420"</f>
        <v>39420</v>
      </c>
      <c r="B29271" s="1" t="str">
        <f>"99158"</f>
        <v>99158</v>
      </c>
      <c r="C29271" s="2">
        <v>7.4466000391926303E-3</v>
      </c>
      <c r="D29271" s="2">
        <v>1.21739130434782E-2</v>
      </c>
      <c r="E29271" s="2">
        <v>3.9335664335664296E-3</v>
      </c>
      <c r="F29271" s="2">
        <v>7.3375262054507298E-3</v>
      </c>
    </row>
    <row r="29272" spans="1:6" x14ac:dyDescent="0.25">
      <c r="A29272" s="1" t="str">
        <f t="shared" si="1051"/>
        <v>39420</v>
      </c>
      <c r="B29272" s="1" t="str">
        <f>"99403"</f>
        <v>99403</v>
      </c>
      <c r="C29272" s="2">
        <v>4.8990789731530398E-5</v>
      </c>
      <c r="D29272" s="2">
        <v>0</v>
      </c>
      <c r="E29272" s="2">
        <v>0</v>
      </c>
      <c r="F29272" s="2">
        <v>4.1928721174004103E-5</v>
      </c>
    </row>
    <row r="29273" spans="1:6" x14ac:dyDescent="0.25">
      <c r="A29273" s="1" t="str">
        <f t="shared" si="1051"/>
        <v>39420</v>
      </c>
      <c r="B29273" s="1" t="str">
        <f>"99113"</f>
        <v>99113</v>
      </c>
      <c r="C29273" s="2">
        <v>1.0973936899862801E-2</v>
      </c>
      <c r="D29273" s="2">
        <v>2.6086956521739102E-3</v>
      </c>
      <c r="E29273" s="2">
        <v>2.27272727272727E-2</v>
      </c>
      <c r="F29273" s="2">
        <v>1.1698113207547101E-2</v>
      </c>
    </row>
    <row r="29274" spans="1:6" x14ac:dyDescent="0.25">
      <c r="A29274" s="1" t="str">
        <f t="shared" si="1051"/>
        <v>39420</v>
      </c>
      <c r="B29274" s="1" t="str">
        <f>"99179"</f>
        <v>99179</v>
      </c>
      <c r="C29274" s="2">
        <v>4.8990789731530402E-3</v>
      </c>
      <c r="D29274" s="2">
        <v>0</v>
      </c>
      <c r="E29274" s="2">
        <v>1.74825174825174E-3</v>
      </c>
      <c r="F29274" s="2">
        <v>4.3605870020964298E-3</v>
      </c>
    </row>
    <row r="29275" spans="1:6" x14ac:dyDescent="0.25">
      <c r="A29275" s="1" t="str">
        <f t="shared" si="1051"/>
        <v>39420</v>
      </c>
      <c r="B29275" s="1" t="str">
        <f>"99170"</f>
        <v>99170</v>
      </c>
      <c r="C29275" s="2">
        <v>1.73917303546933E-2</v>
      </c>
      <c r="D29275" s="2">
        <v>4.6956521739130397E-2</v>
      </c>
      <c r="E29275" s="2">
        <v>1.04895104895104E-2</v>
      </c>
      <c r="F29275" s="2">
        <v>1.8155136268343801E-2</v>
      </c>
    </row>
    <row r="29276" spans="1:6" x14ac:dyDescent="0.25">
      <c r="A29276" s="1" t="str">
        <f t="shared" si="1051"/>
        <v>39420</v>
      </c>
      <c r="B29276" s="1" t="str">
        <f>"99143"</f>
        <v>99143</v>
      </c>
      <c r="C29276" s="2">
        <v>8.2794434646286403E-3</v>
      </c>
      <c r="D29276" s="2">
        <v>8.6956521739130401E-3</v>
      </c>
      <c r="E29276" s="2">
        <v>0.10533216783216701</v>
      </c>
      <c r="F29276" s="2">
        <v>1.7610062893081702E-2</v>
      </c>
    </row>
    <row r="29277" spans="1:6" x14ac:dyDescent="0.25">
      <c r="A29277" s="1" t="str">
        <f t="shared" si="1051"/>
        <v>39420</v>
      </c>
      <c r="B29277" s="1" t="str">
        <f>"99333"</f>
        <v>99333</v>
      </c>
      <c r="C29277" s="2">
        <v>0</v>
      </c>
      <c r="D29277" s="2">
        <v>0</v>
      </c>
      <c r="E29277" s="2">
        <v>8.7412587412587402E-4</v>
      </c>
      <c r="F29277" s="2">
        <v>8.38574423480083E-5</v>
      </c>
    </row>
    <row r="29278" spans="1:6" x14ac:dyDescent="0.25">
      <c r="A29278" s="1" t="str">
        <f t="shared" si="1051"/>
        <v>39420</v>
      </c>
      <c r="B29278" s="1" t="str">
        <f>"99104"</f>
        <v>99104</v>
      </c>
      <c r="C29278" s="2">
        <v>1.4697236919459101E-4</v>
      </c>
      <c r="D29278" s="2">
        <v>8.6956521739130395E-4</v>
      </c>
      <c r="E29278" s="2">
        <v>0</v>
      </c>
      <c r="F29278" s="2">
        <v>1.67714884696016E-4</v>
      </c>
    </row>
    <row r="29279" spans="1:6" x14ac:dyDescent="0.25">
      <c r="A29279" s="1" t="str">
        <f t="shared" si="1051"/>
        <v>39420</v>
      </c>
      <c r="B29279" s="1" t="str">
        <f>"99017"</f>
        <v>99017</v>
      </c>
      <c r="C29279" s="2">
        <v>4.5561434450323299E-3</v>
      </c>
      <c r="D29279" s="2">
        <v>5.2173913043478204E-3</v>
      </c>
      <c r="E29279" s="2">
        <v>0</v>
      </c>
      <c r="F29279" s="2">
        <v>4.15094339622641E-3</v>
      </c>
    </row>
    <row r="29280" spans="1:6" x14ac:dyDescent="0.25">
      <c r="A29280" s="1" t="str">
        <f t="shared" si="1051"/>
        <v>39420</v>
      </c>
      <c r="B29280" s="1" t="str">
        <f>"99125"</f>
        <v>99125</v>
      </c>
      <c r="C29280" s="2">
        <v>8.8183421516754793E-3</v>
      </c>
      <c r="D29280" s="2">
        <v>1.7391304347826001E-3</v>
      </c>
      <c r="E29280" s="2">
        <v>2.7097902097901999E-2</v>
      </c>
      <c r="F29280" s="2">
        <v>1.0230607966457E-2</v>
      </c>
    </row>
    <row r="29281" spans="1:6" x14ac:dyDescent="0.25">
      <c r="A29281" s="1" t="str">
        <f t="shared" si="1051"/>
        <v>39420</v>
      </c>
      <c r="B29281" s="1" t="str">
        <f>"99164"</f>
        <v>99164</v>
      </c>
      <c r="C29281" s="2">
        <v>0</v>
      </c>
      <c r="D29281" s="2">
        <v>8.6956521739130395E-4</v>
      </c>
      <c r="E29281" s="2">
        <v>0</v>
      </c>
      <c r="F29281" s="2">
        <v>4.1928721174004103E-5</v>
      </c>
    </row>
    <row r="29282" spans="1:6" x14ac:dyDescent="0.25">
      <c r="A29282" s="1" t="str">
        <f t="shared" si="1051"/>
        <v>39420</v>
      </c>
      <c r="B29282" s="1" t="str">
        <f>"99111"</f>
        <v>99111</v>
      </c>
      <c r="C29282" s="2">
        <v>9.88144228884969E-2</v>
      </c>
      <c r="D29282" s="2">
        <v>0.21913043478260799</v>
      </c>
      <c r="E29282" s="2">
        <v>6.8618881118881106E-2</v>
      </c>
      <c r="F29282" s="2">
        <v>0.101719077568134</v>
      </c>
    </row>
    <row r="29283" spans="1:6" x14ac:dyDescent="0.25">
      <c r="A29283" s="1" t="str">
        <f t="shared" si="1051"/>
        <v>39420</v>
      </c>
      <c r="B29283" s="1" t="str">
        <f>"99176"</f>
        <v>99176</v>
      </c>
      <c r="C29283" s="2">
        <v>4.8990789731530402E-3</v>
      </c>
      <c r="D29283" s="2">
        <v>6.0869565217391303E-3</v>
      </c>
      <c r="E29283" s="2">
        <v>2.6223776223776199E-3</v>
      </c>
      <c r="F29283" s="2">
        <v>4.7379454926624702E-3</v>
      </c>
    </row>
    <row r="29284" spans="1:6" x14ac:dyDescent="0.25">
      <c r="A29284" s="1" t="str">
        <f t="shared" si="1051"/>
        <v>39420</v>
      </c>
      <c r="B29284" s="1" t="str">
        <f>"99161"</f>
        <v>99161</v>
      </c>
      <c r="C29284" s="2">
        <v>2.9296492259455201E-2</v>
      </c>
      <c r="D29284" s="2">
        <v>6.0869565217391303E-3</v>
      </c>
      <c r="E29284" s="2">
        <v>2.3164335664335602E-2</v>
      </c>
      <c r="F29284" s="2">
        <v>2.7589098532494701E-2</v>
      </c>
    </row>
    <row r="29285" spans="1:6" x14ac:dyDescent="0.25">
      <c r="A29285" s="1" t="str">
        <f t="shared" si="1051"/>
        <v>39420</v>
      </c>
      <c r="B29285" s="1" t="str">
        <f>"99130"</f>
        <v>99130</v>
      </c>
      <c r="C29285" s="2">
        <v>8.6713697824808908E-3</v>
      </c>
      <c r="D29285" s="2">
        <v>8.6956521739130395E-4</v>
      </c>
      <c r="E29285" s="2">
        <v>7.2115384615384595E-2</v>
      </c>
      <c r="F29285" s="2">
        <v>1.43815513626834E-2</v>
      </c>
    </row>
    <row r="29286" spans="1:6" x14ac:dyDescent="0.25">
      <c r="A29286" s="1" t="str">
        <f t="shared" si="1051"/>
        <v>39420</v>
      </c>
      <c r="B29286" s="1" t="str">
        <f>"99171"</f>
        <v>99171</v>
      </c>
      <c r="C29286" s="2">
        <v>2.2094846168920199E-2</v>
      </c>
      <c r="D29286" s="2">
        <v>3.3913043478260803E-2</v>
      </c>
      <c r="E29286" s="2">
        <v>7.43006993006993E-3</v>
      </c>
      <c r="F29286" s="2">
        <v>2.1257861635220102E-2</v>
      </c>
    </row>
    <row r="29287" spans="1:6" x14ac:dyDescent="0.25">
      <c r="A29287" s="1" t="str">
        <f t="shared" si="1051"/>
        <v>39420</v>
      </c>
      <c r="B29287" s="1" t="str">
        <f>"99136"</f>
        <v>99136</v>
      </c>
      <c r="C29287" s="2">
        <v>1.3227513227513201E-3</v>
      </c>
      <c r="D29287" s="2">
        <v>8.6956521739130395E-4</v>
      </c>
      <c r="E29287" s="2">
        <v>0</v>
      </c>
      <c r="F29287" s="2">
        <v>1.17400419287211E-3</v>
      </c>
    </row>
    <row r="29288" spans="1:6" x14ac:dyDescent="0.25">
      <c r="A29288" s="1" t="str">
        <f t="shared" si="1051"/>
        <v>39420</v>
      </c>
      <c r="B29288" s="1" t="str">
        <f>"99149"</f>
        <v>99149</v>
      </c>
      <c r="C29288" s="2">
        <v>4.8990789731530402E-4</v>
      </c>
      <c r="D29288" s="2">
        <v>0</v>
      </c>
      <c r="E29288" s="2">
        <v>4.3706293706293701E-4</v>
      </c>
      <c r="F29288" s="2">
        <v>4.6121593291404599E-4</v>
      </c>
    </row>
    <row r="29289" spans="1:6" x14ac:dyDescent="0.25">
      <c r="A29289" s="1" t="str">
        <f t="shared" si="1051"/>
        <v>39420</v>
      </c>
      <c r="B29289" s="1" t="str">
        <f>"99128"</f>
        <v>99128</v>
      </c>
      <c r="C29289" s="2">
        <v>5.24201450127376E-3</v>
      </c>
      <c r="D29289" s="2">
        <v>1.7391304347826001E-3</v>
      </c>
      <c r="E29289" s="2">
        <v>2.6223776223776199E-3</v>
      </c>
      <c r="F29289" s="2">
        <v>4.8218029350104797E-3</v>
      </c>
    </row>
    <row r="29290" spans="1:6" x14ac:dyDescent="0.25">
      <c r="A29290" s="1" t="str">
        <f t="shared" si="1051"/>
        <v>39420</v>
      </c>
      <c r="B29290" s="1" t="str">
        <f>"99102"</f>
        <v>99102</v>
      </c>
      <c r="C29290" s="2">
        <v>0</v>
      </c>
      <c r="D29290" s="2">
        <v>0</v>
      </c>
      <c r="E29290" s="2">
        <v>4.3706293706293701E-4</v>
      </c>
      <c r="F29290" s="2">
        <v>4.1928721174004103E-5</v>
      </c>
    </row>
    <row r="29291" spans="1:6" x14ac:dyDescent="0.25">
      <c r="A29291" s="1" t="str">
        <f t="shared" si="1051"/>
        <v>39420</v>
      </c>
      <c r="B29291" s="1" t="str">
        <f>"99004"</f>
        <v>99004</v>
      </c>
      <c r="C29291" s="2">
        <v>2.4495394865765201E-4</v>
      </c>
      <c r="D29291" s="2">
        <v>0</v>
      </c>
      <c r="E29291" s="2">
        <v>0</v>
      </c>
      <c r="F29291" s="2">
        <v>2.0964360587002001E-4</v>
      </c>
    </row>
    <row r="29292" spans="1:6" x14ac:dyDescent="0.25">
      <c r="A29292" s="1" t="str">
        <f t="shared" si="1051"/>
        <v>39420</v>
      </c>
      <c r="B29292" s="1" t="str">
        <f>"99174"</f>
        <v>99174</v>
      </c>
      <c r="C29292" s="2">
        <v>0</v>
      </c>
      <c r="D29292" s="2">
        <v>0</v>
      </c>
      <c r="E29292" s="2">
        <v>4.3706293706293701E-4</v>
      </c>
      <c r="F29292" s="2">
        <v>4.1928721174004103E-5</v>
      </c>
    </row>
    <row r="29293" spans="1:6" x14ac:dyDescent="0.25">
      <c r="A29293" s="1" t="str">
        <f t="shared" si="1051"/>
        <v>39420</v>
      </c>
      <c r="B29293" s="1" t="str">
        <f>"99033"</f>
        <v>99033</v>
      </c>
      <c r="C29293" s="2">
        <v>1.00921026846952E-2</v>
      </c>
      <c r="D29293" s="2">
        <v>3.4782608695652101E-3</v>
      </c>
      <c r="E29293" s="2">
        <v>2.9283216783216701E-2</v>
      </c>
      <c r="F29293" s="2">
        <v>1.1614255765199101E-2</v>
      </c>
    </row>
    <row r="29294" spans="1:6" x14ac:dyDescent="0.25">
      <c r="A29294" s="1" t="str">
        <f t="shared" si="1051"/>
        <v>39420</v>
      </c>
      <c r="B29294" s="1" t="str">
        <f>"99163"</f>
        <v>99163</v>
      </c>
      <c r="C29294" s="2">
        <v>0.75627082108563504</v>
      </c>
      <c r="D29294" s="2">
        <v>0.64869565217391301</v>
      </c>
      <c r="E29294" s="2">
        <v>0.62062937062936996</v>
      </c>
      <c r="F29294" s="2">
        <v>0.73807127882599499</v>
      </c>
    </row>
    <row r="29295" spans="1:6" x14ac:dyDescent="0.25">
      <c r="A29295" s="1" t="str">
        <f t="shared" ref="A29295:A29315" si="1052">"39460"</f>
        <v>39460</v>
      </c>
      <c r="B29295" s="1" t="str">
        <f>"34224"</f>
        <v>34224</v>
      </c>
      <c r="C29295" s="2">
        <v>9.2538207472607895E-2</v>
      </c>
      <c r="D29295" s="2">
        <v>9.1221636488654501E-2</v>
      </c>
      <c r="E29295" s="2">
        <v>0.17018958378731699</v>
      </c>
      <c r="F29295" s="2">
        <v>9.5121110894737598E-2</v>
      </c>
    </row>
    <row r="29296" spans="1:6" x14ac:dyDescent="0.25">
      <c r="A29296" s="1" t="str">
        <f t="shared" si="1052"/>
        <v>39460</v>
      </c>
      <c r="B29296" s="1" t="str">
        <f>"34223"</f>
        <v>34223</v>
      </c>
      <c r="C29296" s="2">
        <v>2.84112180633782E-2</v>
      </c>
      <c r="D29296" s="2">
        <v>3.8161815264726097E-2</v>
      </c>
      <c r="E29296" s="2">
        <v>9.2176944868162899E-2</v>
      </c>
      <c r="F29296" s="2">
        <v>3.1240169570232301E-2</v>
      </c>
    </row>
    <row r="29297" spans="1:6" x14ac:dyDescent="0.25">
      <c r="A29297" s="1" t="str">
        <f t="shared" si="1052"/>
        <v>39460</v>
      </c>
      <c r="B29297" s="1" t="str">
        <f>"33955"</f>
        <v>33955</v>
      </c>
      <c r="C29297" s="2">
        <v>4.5133486967445603E-2</v>
      </c>
      <c r="D29297" s="2">
        <v>1.5356406142562401E-2</v>
      </c>
      <c r="E29297" s="2">
        <v>3.0725648289387598E-2</v>
      </c>
      <c r="F29297" s="2">
        <v>4.2692152133858602E-2</v>
      </c>
    </row>
    <row r="29298" spans="1:6" x14ac:dyDescent="0.25">
      <c r="A29298" s="1" t="str">
        <f t="shared" si="1052"/>
        <v>39460</v>
      </c>
      <c r="B29298" s="1" t="str">
        <f>"33982"</f>
        <v>33982</v>
      </c>
      <c r="C29298" s="2">
        <v>6.2621153254186795E-2</v>
      </c>
      <c r="D29298" s="2">
        <v>5.0997020398808102E-2</v>
      </c>
      <c r="E29298" s="2">
        <v>2.6803225103508299E-2</v>
      </c>
      <c r="F29298" s="2">
        <v>6.0630345881330698E-2</v>
      </c>
    </row>
    <row r="29299" spans="1:6" x14ac:dyDescent="0.25">
      <c r="A29299" s="1" t="str">
        <f t="shared" si="1052"/>
        <v>39460</v>
      </c>
      <c r="B29299" s="1" t="str">
        <f>"33981"</f>
        <v>33981</v>
      </c>
      <c r="C29299" s="2">
        <v>6.2221815489313499E-2</v>
      </c>
      <c r="D29299" s="2">
        <v>1.6273206509282601E-2</v>
      </c>
      <c r="E29299" s="2">
        <v>1.0459795162344699E-2</v>
      </c>
      <c r="F29299" s="2">
        <v>5.74396692481687E-2</v>
      </c>
    </row>
    <row r="29300" spans="1:6" x14ac:dyDescent="0.25">
      <c r="A29300" s="1" t="str">
        <f t="shared" si="1052"/>
        <v>39460</v>
      </c>
      <c r="B29300" s="1" t="str">
        <f>"33917"</f>
        <v>33917</v>
      </c>
      <c r="C29300" s="2">
        <v>8.8187089742843103E-4</v>
      </c>
      <c r="D29300" s="2">
        <v>0</v>
      </c>
      <c r="E29300" s="2">
        <v>6.5373719764654599E-4</v>
      </c>
      <c r="F29300" s="2">
        <v>8.1639378641940096E-4</v>
      </c>
    </row>
    <row r="29301" spans="1:6" x14ac:dyDescent="0.25">
      <c r="A29301" s="1" t="str">
        <f t="shared" si="1052"/>
        <v>39460</v>
      </c>
      <c r="B29301" s="1" t="str">
        <f>"33946"</f>
        <v>33946</v>
      </c>
      <c r="C29301" s="2">
        <v>3.4584314345377197E-2</v>
      </c>
      <c r="D29301" s="2">
        <v>6.1884024753609901E-3</v>
      </c>
      <c r="E29301" s="2">
        <v>2.41882763129222E-2</v>
      </c>
      <c r="F29301" s="2">
        <v>3.2371137109216998E-2</v>
      </c>
    </row>
    <row r="29302" spans="1:6" x14ac:dyDescent="0.25">
      <c r="A29302" s="1" t="str">
        <f t="shared" si="1052"/>
        <v>39460</v>
      </c>
      <c r="B29302" s="1" t="str">
        <f>"33938"</f>
        <v>33938</v>
      </c>
      <c r="C29302" s="2">
        <v>5.54913102438456E-3</v>
      </c>
      <c r="D29302" s="2">
        <v>2.6587210634884201E-2</v>
      </c>
      <c r="E29302" s="2">
        <v>4.3582479843103002E-4</v>
      </c>
      <c r="F29302" s="2">
        <v>6.7483559776502803E-3</v>
      </c>
    </row>
    <row r="29303" spans="1:6" x14ac:dyDescent="0.25">
      <c r="A29303" s="1" t="str">
        <f t="shared" si="1052"/>
        <v>39460</v>
      </c>
      <c r="B29303" s="1" t="str">
        <f>"34266"</f>
        <v>34266</v>
      </c>
      <c r="C29303" s="2">
        <v>0</v>
      </c>
      <c r="D29303" s="2">
        <v>1.14600045840018E-4</v>
      </c>
      <c r="E29303" s="2">
        <v>0</v>
      </c>
      <c r="F29303" s="2">
        <v>7.4898512515541403E-6</v>
      </c>
    </row>
    <row r="29304" spans="1:6" x14ac:dyDescent="0.25">
      <c r="A29304" s="1" t="str">
        <f t="shared" si="1052"/>
        <v>39460</v>
      </c>
      <c r="B29304" s="1" t="str">
        <f>"33983"</f>
        <v>33983</v>
      </c>
      <c r="C29304" s="2">
        <v>7.2770988111381898E-2</v>
      </c>
      <c r="D29304" s="2">
        <v>3.5640614256245699E-2</v>
      </c>
      <c r="E29304" s="2">
        <v>8.2588799302680302E-2</v>
      </c>
      <c r="F29304" s="2">
        <v>7.06817262609164E-2</v>
      </c>
    </row>
    <row r="29305" spans="1:6" x14ac:dyDescent="0.25">
      <c r="A29305" s="1" t="str">
        <f t="shared" si="1052"/>
        <v>39460</v>
      </c>
      <c r="B29305" s="1" t="str">
        <f>"33952"</f>
        <v>33952</v>
      </c>
      <c r="C29305" s="2">
        <v>0.138478689506568</v>
      </c>
      <c r="D29305" s="2">
        <v>0.124799449919779</v>
      </c>
      <c r="E29305" s="2">
        <v>6.4066245369361494E-2</v>
      </c>
      <c r="F29305" s="2">
        <v>0.13502703836301799</v>
      </c>
    </row>
    <row r="29306" spans="1:6" x14ac:dyDescent="0.25">
      <c r="A29306" s="1" t="str">
        <f t="shared" si="1052"/>
        <v>39460</v>
      </c>
      <c r="B29306" s="1" t="str">
        <f>"33947"</f>
        <v>33947</v>
      </c>
      <c r="C29306" s="2">
        <v>5.6847394737060998E-2</v>
      </c>
      <c r="D29306" s="2">
        <v>6.6468026587210597E-3</v>
      </c>
      <c r="E29306" s="2">
        <v>6.7334931357594205E-2</v>
      </c>
      <c r="F29306" s="2">
        <v>5.3926929011189798E-2</v>
      </c>
    </row>
    <row r="29307" spans="1:6" x14ac:dyDescent="0.25">
      <c r="A29307" s="1" t="str">
        <f t="shared" si="1052"/>
        <v>39460</v>
      </c>
      <c r="B29307" s="1" t="str">
        <f>"34269"</f>
        <v>34269</v>
      </c>
      <c r="C29307" s="2">
        <v>9.1514904450120204E-5</v>
      </c>
      <c r="D29307" s="2">
        <v>1.14600045840018E-4</v>
      </c>
      <c r="E29307" s="2">
        <v>0</v>
      </c>
      <c r="F29307" s="2">
        <v>8.9878215018649704E-5</v>
      </c>
    </row>
    <row r="29308" spans="1:6" x14ac:dyDescent="0.25">
      <c r="A29308" s="1" t="str">
        <f t="shared" si="1052"/>
        <v>39460</v>
      </c>
      <c r="B29308" s="1" t="str">
        <f>"34287"</f>
        <v>34287</v>
      </c>
      <c r="C29308" s="2">
        <v>0</v>
      </c>
      <c r="D29308" s="2">
        <v>2.29200091680036E-4</v>
      </c>
      <c r="E29308" s="2">
        <v>0</v>
      </c>
      <c r="F29308" s="2">
        <v>1.4979702503108199E-5</v>
      </c>
    </row>
    <row r="29309" spans="1:6" x14ac:dyDescent="0.25">
      <c r="A29309" s="1" t="str">
        <f t="shared" si="1052"/>
        <v>39460</v>
      </c>
      <c r="B29309" s="1" t="str">
        <f>"33951"</f>
        <v>33951</v>
      </c>
      <c r="C29309" s="2">
        <v>1.6747227514371899E-2</v>
      </c>
      <c r="D29309" s="2">
        <v>3.7932615173045997E-2</v>
      </c>
      <c r="E29309" s="2">
        <v>4.3582479843103002E-4</v>
      </c>
      <c r="F29309" s="2">
        <v>1.7571191036145999E-2</v>
      </c>
    </row>
    <row r="29310" spans="1:6" x14ac:dyDescent="0.25">
      <c r="A29310" s="1" t="str">
        <f t="shared" si="1052"/>
        <v>39460</v>
      </c>
      <c r="B29310" s="1" t="str">
        <f>"33954"</f>
        <v>33954</v>
      </c>
      <c r="C29310" s="2">
        <v>4.1747435502791197E-2</v>
      </c>
      <c r="D29310" s="2">
        <v>4.5840018336007302E-2</v>
      </c>
      <c r="E29310" s="2">
        <v>2.41882763129222E-2</v>
      </c>
      <c r="F29310" s="2">
        <v>4.1411387569842799E-2</v>
      </c>
    </row>
    <row r="29311" spans="1:6" x14ac:dyDescent="0.25">
      <c r="A29311" s="1" t="str">
        <f t="shared" si="1052"/>
        <v>39460</v>
      </c>
      <c r="B29311" s="1" t="str">
        <f>"33980"</f>
        <v>33980</v>
      </c>
      <c r="C29311" s="2">
        <v>6.7612875315102405E-2</v>
      </c>
      <c r="D29311" s="2">
        <v>8.9617235846894294E-2</v>
      </c>
      <c r="E29311" s="2">
        <v>9.6099368054042206E-2</v>
      </c>
      <c r="F29311" s="2">
        <v>7.0030109202031204E-2</v>
      </c>
    </row>
    <row r="29312" spans="1:6" x14ac:dyDescent="0.25">
      <c r="A29312" s="1" t="str">
        <f t="shared" si="1052"/>
        <v>39460</v>
      </c>
      <c r="B29312" s="1" t="str">
        <f>"33953"</f>
        <v>33953</v>
      </c>
      <c r="C29312" s="2">
        <v>3.4035224918676499E-2</v>
      </c>
      <c r="D29312" s="2">
        <v>7.8844831537932605E-2</v>
      </c>
      <c r="E29312" s="2">
        <v>5.2081063412508101E-2</v>
      </c>
      <c r="F29312" s="2">
        <v>3.7584073580298603E-2</v>
      </c>
    </row>
    <row r="29313" spans="1:6" x14ac:dyDescent="0.25">
      <c r="A29313" s="1" t="str">
        <f t="shared" si="1052"/>
        <v>39460</v>
      </c>
      <c r="B29313" s="1" t="str">
        <f>"33950"</f>
        <v>33950</v>
      </c>
      <c r="C29313" s="2">
        <v>0.14510104077404901</v>
      </c>
      <c r="D29313" s="2">
        <v>0.19906027962411099</v>
      </c>
      <c r="E29313" s="2">
        <v>0.21268250163434199</v>
      </c>
      <c r="F29313" s="2">
        <v>0.15095046212382199</v>
      </c>
    </row>
    <row r="29314" spans="1:6" x14ac:dyDescent="0.25">
      <c r="A29314" s="1" t="str">
        <f t="shared" si="1052"/>
        <v>39460</v>
      </c>
      <c r="B29314" s="1" t="str">
        <f>"33948"</f>
        <v>33948</v>
      </c>
      <c r="C29314" s="2">
        <v>7.5982329303904306E-2</v>
      </c>
      <c r="D29314" s="2">
        <v>9.1794636717854594E-2</v>
      </c>
      <c r="E29314" s="2">
        <v>4.4454129439965101E-2</v>
      </c>
      <c r="F29314" s="2">
        <v>7.5932111988255904E-2</v>
      </c>
    </row>
    <row r="29315" spans="1:6" x14ac:dyDescent="0.25">
      <c r="A29315" s="1" t="str">
        <f t="shared" si="1052"/>
        <v>39460</v>
      </c>
      <c r="B29315" s="1" t="str">
        <f>"33949"</f>
        <v>33949</v>
      </c>
      <c r="C29315" s="2">
        <v>1.8644081897519899E-2</v>
      </c>
      <c r="D29315" s="2">
        <v>4.4579417831767103E-2</v>
      </c>
      <c r="E29315" s="2">
        <v>4.3582479843103002E-4</v>
      </c>
      <c r="F29315" s="2">
        <v>1.97132884940905E-2</v>
      </c>
    </row>
    <row r="29316" spans="1:6" x14ac:dyDescent="0.25">
      <c r="A29316" s="1" t="str">
        <f t="shared" ref="A29316:A29350" si="1053">"39500"</f>
        <v>39500</v>
      </c>
      <c r="B29316" s="1" t="str">
        <f>"62314"</f>
        <v>62314</v>
      </c>
      <c r="C29316" s="2">
        <v>9.7774959040219803E-4</v>
      </c>
      <c r="D29316" s="2">
        <v>0</v>
      </c>
      <c r="E29316" s="2">
        <v>0</v>
      </c>
      <c r="F29316" s="2">
        <v>8.7118268936450696E-4</v>
      </c>
    </row>
    <row r="29317" spans="1:6" x14ac:dyDescent="0.25">
      <c r="A29317" s="1" t="str">
        <f t="shared" si="1053"/>
        <v>39500</v>
      </c>
      <c r="B29317" s="1" t="str">
        <f>"62339"</f>
        <v>62339</v>
      </c>
      <c r="C29317" s="2">
        <v>8.7997463136197801E-3</v>
      </c>
      <c r="D29317" s="2">
        <v>3.9128004471771904E-3</v>
      </c>
      <c r="E29317" s="2">
        <v>9.5147478591817299E-4</v>
      </c>
      <c r="F29317" s="2">
        <v>8.1938263756445497E-3</v>
      </c>
    </row>
    <row r="29318" spans="1:6" x14ac:dyDescent="0.25">
      <c r="A29318" s="1" t="str">
        <f t="shared" si="1053"/>
        <v>39500</v>
      </c>
      <c r="B29318" s="1" t="str">
        <f>"63448"</f>
        <v>63448</v>
      </c>
      <c r="C29318" s="2">
        <v>2.14047883304265E-2</v>
      </c>
      <c r="D29318" s="2">
        <v>9.2230296254891004E-3</v>
      </c>
      <c r="E29318" s="2">
        <v>1.4272121788772499E-2</v>
      </c>
      <c r="F29318" s="2">
        <v>2.02020202020202E-2</v>
      </c>
    </row>
    <row r="29319" spans="1:6" x14ac:dyDescent="0.25">
      <c r="A29319" s="1" t="str">
        <f t="shared" si="1053"/>
        <v>39500</v>
      </c>
      <c r="B29319" s="1" t="str">
        <f>"63454"</f>
        <v>63454</v>
      </c>
      <c r="C29319" s="2">
        <v>4.7830452935891301E-3</v>
      </c>
      <c r="D29319" s="2">
        <v>2.79485746226942E-4</v>
      </c>
      <c r="E29319" s="2">
        <v>9.5147478591817299E-4</v>
      </c>
      <c r="F29319" s="2">
        <v>4.3088224906406699E-3</v>
      </c>
    </row>
    <row r="29320" spans="1:6" x14ac:dyDescent="0.25">
      <c r="A29320" s="1" t="str">
        <f t="shared" si="1053"/>
        <v>39500</v>
      </c>
      <c r="B29320" s="1" t="str">
        <f>"62347"</f>
        <v>62347</v>
      </c>
      <c r="C29320" s="2">
        <v>2.71391575498123E-2</v>
      </c>
      <c r="D29320" s="2">
        <v>7.5461151481274399E-3</v>
      </c>
      <c r="E29320" s="2">
        <v>6.6603235014272098E-3</v>
      </c>
      <c r="F29320" s="2">
        <v>2.4981752254479499E-2</v>
      </c>
    </row>
    <row r="29321" spans="1:6" x14ac:dyDescent="0.25">
      <c r="A29321" s="1" t="str">
        <f t="shared" si="1053"/>
        <v>39500</v>
      </c>
      <c r="B29321" s="1" t="str">
        <f>"62349"</f>
        <v>62349</v>
      </c>
      <c r="C29321" s="2">
        <v>8.0334020400613E-3</v>
      </c>
      <c r="D29321" s="2">
        <v>3.0743432084963601E-3</v>
      </c>
      <c r="E29321" s="2">
        <v>1.9029495718363399E-3</v>
      </c>
      <c r="F29321" s="2">
        <v>7.4639165548256404E-3</v>
      </c>
    </row>
    <row r="29322" spans="1:6" x14ac:dyDescent="0.25">
      <c r="A29322" s="1" t="str">
        <f t="shared" si="1053"/>
        <v>39500</v>
      </c>
      <c r="B29322" s="1" t="str">
        <f>"62373"</f>
        <v>62373</v>
      </c>
      <c r="C29322" s="2">
        <v>3.4353363987104198E-4</v>
      </c>
      <c r="D29322" s="2">
        <v>0</v>
      </c>
      <c r="E29322" s="2">
        <v>0</v>
      </c>
      <c r="F29322" s="2">
        <v>3.06091215182124E-4</v>
      </c>
    </row>
    <row r="29323" spans="1:6" x14ac:dyDescent="0.25">
      <c r="A29323" s="1" t="str">
        <f t="shared" si="1053"/>
        <v>39500</v>
      </c>
      <c r="B29323" s="1" t="str">
        <f>"62311"</f>
        <v>62311</v>
      </c>
      <c r="C29323" s="2">
        <v>3.1710797526557702E-4</v>
      </c>
      <c r="D29323" s="2">
        <v>0</v>
      </c>
      <c r="E29323" s="2">
        <v>0</v>
      </c>
      <c r="F29323" s="2">
        <v>2.8254573709119102E-4</v>
      </c>
    </row>
    <row r="29324" spans="1:6" x14ac:dyDescent="0.25">
      <c r="A29324" s="1" t="str">
        <f t="shared" si="1053"/>
        <v>39500</v>
      </c>
      <c r="B29324" s="1" t="str">
        <f>"63446"</f>
        <v>63446</v>
      </c>
      <c r="C29324" s="2">
        <v>2.3783098144918301E-4</v>
      </c>
      <c r="D29324" s="2">
        <v>0</v>
      </c>
      <c r="E29324" s="2">
        <v>0</v>
      </c>
      <c r="F29324" s="2">
        <v>2.1190930281839301E-4</v>
      </c>
    </row>
    <row r="29325" spans="1:6" x14ac:dyDescent="0.25">
      <c r="A29325" s="1" t="str">
        <f t="shared" si="1053"/>
        <v>39500</v>
      </c>
      <c r="B29325" s="1" t="str">
        <f>"62343"</f>
        <v>62343</v>
      </c>
      <c r="C29325" s="2">
        <v>5.8136462132022597E-4</v>
      </c>
      <c r="D29325" s="2">
        <v>0</v>
      </c>
      <c r="E29325" s="2">
        <v>0</v>
      </c>
      <c r="F29325" s="2">
        <v>5.1800051800051804E-4</v>
      </c>
    </row>
    <row r="29326" spans="1:6" x14ac:dyDescent="0.25">
      <c r="A29326" s="1" t="str">
        <f t="shared" si="1053"/>
        <v>39500</v>
      </c>
      <c r="B29326" s="1" t="str">
        <f>"62312"</f>
        <v>62312</v>
      </c>
      <c r="C29326" s="2">
        <v>2.2990328206754299E-3</v>
      </c>
      <c r="D29326" s="2">
        <v>8.3845723868082697E-4</v>
      </c>
      <c r="E29326" s="2">
        <v>0</v>
      </c>
      <c r="F29326" s="2">
        <v>2.1190930281839299E-3</v>
      </c>
    </row>
    <row r="29327" spans="1:6" x14ac:dyDescent="0.25">
      <c r="A29327" s="1" t="str">
        <f t="shared" si="1053"/>
        <v>39500</v>
      </c>
      <c r="B29327" s="1" t="str">
        <f>"62316"</f>
        <v>62316</v>
      </c>
      <c r="C29327" s="2">
        <v>1.8497965223825301E-4</v>
      </c>
      <c r="D29327" s="2">
        <v>0</v>
      </c>
      <c r="E29327" s="2">
        <v>0</v>
      </c>
      <c r="F29327" s="2">
        <v>1.64818346636528E-4</v>
      </c>
    </row>
    <row r="29328" spans="1:6" x14ac:dyDescent="0.25">
      <c r="A29328" s="1" t="str">
        <f t="shared" si="1053"/>
        <v>39500</v>
      </c>
      <c r="B29328" s="1" t="str">
        <f>"62306"</f>
        <v>62306</v>
      </c>
      <c r="C29328" s="2">
        <v>1.3503514613392499E-2</v>
      </c>
      <c r="D29328" s="2">
        <v>6.4002235885969802E-2</v>
      </c>
      <c r="E29328" s="2">
        <v>1.9029495718363399E-3</v>
      </c>
      <c r="F29328" s="2">
        <v>1.7470744743471999E-2</v>
      </c>
    </row>
    <row r="29329" spans="1:6" x14ac:dyDescent="0.25">
      <c r="A29329" s="1" t="str">
        <f t="shared" si="1053"/>
        <v>39500</v>
      </c>
      <c r="B29329" s="1" t="str">
        <f>"62359"</f>
        <v>62359</v>
      </c>
      <c r="C29329" s="2">
        <v>2.06120183922625E-3</v>
      </c>
      <c r="D29329" s="2">
        <v>1.67691447736165E-3</v>
      </c>
      <c r="E29329" s="2">
        <v>9.5147478591817299E-4</v>
      </c>
      <c r="F29329" s="2">
        <v>2.0013656377292702E-3</v>
      </c>
    </row>
    <row r="29330" spans="1:6" x14ac:dyDescent="0.25">
      <c r="A29330" s="1" t="str">
        <f t="shared" si="1053"/>
        <v>39500</v>
      </c>
      <c r="B29330" s="1" t="str">
        <f>"63438"</f>
        <v>63438</v>
      </c>
      <c r="C29330" s="2">
        <v>4.2016806722688996E-3</v>
      </c>
      <c r="D29330" s="2">
        <v>1.95640022358859E-3</v>
      </c>
      <c r="E29330" s="2">
        <v>9.5147478591817299E-4</v>
      </c>
      <c r="F29330" s="2">
        <v>3.9320948411857501E-3</v>
      </c>
    </row>
    <row r="29331" spans="1:6" x14ac:dyDescent="0.25">
      <c r="A29331" s="1" t="str">
        <f t="shared" si="1053"/>
        <v>39500</v>
      </c>
      <c r="B29331" s="1" t="str">
        <f>"62365"</f>
        <v>62365</v>
      </c>
      <c r="C29331" s="2">
        <v>7.0820781142645704E-3</v>
      </c>
      <c r="D29331" s="2">
        <v>2.5153717160424798E-3</v>
      </c>
      <c r="E29331" s="2">
        <v>2.85442435775451E-3</v>
      </c>
      <c r="F29331" s="2">
        <v>6.5927338654611298E-3</v>
      </c>
    </row>
    <row r="29332" spans="1:6" x14ac:dyDescent="0.25">
      <c r="A29332" s="1" t="str">
        <f t="shared" si="1053"/>
        <v>39500</v>
      </c>
      <c r="B29332" s="1" t="str">
        <f>"62325"</f>
        <v>62325</v>
      </c>
      <c r="C29332" s="2">
        <v>4.8358966228000599E-3</v>
      </c>
      <c r="D29332" s="2">
        <v>1.11794298490776E-3</v>
      </c>
      <c r="E29332" s="2">
        <v>9.5147478591817299E-4</v>
      </c>
      <c r="F29332" s="2">
        <v>4.4265498810953296E-3</v>
      </c>
    </row>
    <row r="29333" spans="1:6" x14ac:dyDescent="0.25">
      <c r="A29333" s="1" t="str">
        <f t="shared" si="1053"/>
        <v>39500</v>
      </c>
      <c r="B29333" s="1" t="str">
        <f>"62379"</f>
        <v>62379</v>
      </c>
      <c r="C29333" s="2">
        <v>9.7774959040219803E-4</v>
      </c>
      <c r="D29333" s="2">
        <v>8.3845723868082697E-4</v>
      </c>
      <c r="E29333" s="2">
        <v>9.5147478591817299E-4</v>
      </c>
      <c r="F29333" s="2">
        <v>9.6536460172823801E-4</v>
      </c>
    </row>
    <row r="29334" spans="1:6" x14ac:dyDescent="0.25">
      <c r="A29334" s="1" t="str">
        <f t="shared" si="1053"/>
        <v>39500</v>
      </c>
      <c r="B29334" s="1" t="str">
        <f>"62301"</f>
        <v>62301</v>
      </c>
      <c r="C29334" s="2">
        <v>0.42328629565033499</v>
      </c>
      <c r="D29334" s="2">
        <v>0.53605366126327503</v>
      </c>
      <c r="E29334" s="2">
        <v>0.61941008563273003</v>
      </c>
      <c r="F29334" s="2">
        <v>0.43763980127616398</v>
      </c>
    </row>
    <row r="29335" spans="1:6" x14ac:dyDescent="0.25">
      <c r="A29335" s="1" t="str">
        <f t="shared" si="1053"/>
        <v>39500</v>
      </c>
      <c r="B29335" s="1" t="str">
        <f>"62346"</f>
        <v>62346</v>
      </c>
      <c r="C29335" s="2">
        <v>2.6954177897574099E-3</v>
      </c>
      <c r="D29335" s="2">
        <v>8.3845723868082697E-4</v>
      </c>
      <c r="E29335" s="2">
        <v>9.5147478591817299E-4</v>
      </c>
      <c r="F29335" s="2">
        <v>2.4958206776388501E-3</v>
      </c>
    </row>
    <row r="29336" spans="1:6" x14ac:dyDescent="0.25">
      <c r="A29336" s="1" t="str">
        <f t="shared" si="1053"/>
        <v>39500</v>
      </c>
      <c r="B29336" s="1" t="str">
        <f>"62351"</f>
        <v>62351</v>
      </c>
      <c r="C29336" s="2">
        <v>2.00835051001532E-2</v>
      </c>
      <c r="D29336" s="2">
        <v>7.5461151481274399E-3</v>
      </c>
      <c r="E29336" s="2">
        <v>1.2369172216936199E-2</v>
      </c>
      <c r="F29336" s="2">
        <v>1.8836382472746101E-2</v>
      </c>
    </row>
    <row r="29337" spans="1:6" x14ac:dyDescent="0.25">
      <c r="A29337" s="1" t="str">
        <f t="shared" si="1053"/>
        <v>39500</v>
      </c>
      <c r="B29337" s="1" t="str">
        <f>"63473"</f>
        <v>63473</v>
      </c>
      <c r="C29337" s="2">
        <v>6.8706727974208502E-3</v>
      </c>
      <c r="D29337" s="2">
        <v>2.5153717160424798E-3</v>
      </c>
      <c r="E29337" s="2">
        <v>2.85442435775451E-3</v>
      </c>
      <c r="F29337" s="2">
        <v>6.4043700407336703E-3</v>
      </c>
    </row>
    <row r="29338" spans="1:6" x14ac:dyDescent="0.25">
      <c r="A29338" s="1" t="str">
        <f t="shared" si="1053"/>
        <v>39500</v>
      </c>
      <c r="B29338" s="1" t="str">
        <f>"62338"</f>
        <v>62338</v>
      </c>
      <c r="C29338" s="2">
        <v>1.5723270440251499E-2</v>
      </c>
      <c r="D29338" s="2">
        <v>2.7948574622694202E-3</v>
      </c>
      <c r="E29338" s="2">
        <v>9.5147478591817299E-4</v>
      </c>
      <c r="F29338" s="2">
        <v>1.42685597231051E-2</v>
      </c>
    </row>
    <row r="29339" spans="1:6" x14ac:dyDescent="0.25">
      <c r="A29339" s="1" t="str">
        <f t="shared" si="1053"/>
        <v>39500</v>
      </c>
      <c r="B29339" s="1" t="str">
        <f>"63457"</f>
        <v>63457</v>
      </c>
      <c r="C29339" s="2">
        <v>4.1488293430579698E-3</v>
      </c>
      <c r="D29339" s="2">
        <v>4.1922861934041303E-3</v>
      </c>
      <c r="E29339" s="2">
        <v>9.5147478591817299E-4</v>
      </c>
      <c r="F29339" s="2">
        <v>4.0733677097313402E-3</v>
      </c>
    </row>
    <row r="29340" spans="1:6" x14ac:dyDescent="0.25">
      <c r="A29340" s="1" t="str">
        <f t="shared" si="1053"/>
        <v>39500</v>
      </c>
      <c r="B29340" s="1" t="str">
        <f>"62360"</f>
        <v>62360</v>
      </c>
      <c r="C29340" s="2">
        <v>1.9713545795676701E-2</v>
      </c>
      <c r="D29340" s="2">
        <v>4.7512576858580197E-3</v>
      </c>
      <c r="E29340" s="2">
        <v>1.7126546146527099E-2</v>
      </c>
      <c r="F29340" s="2">
        <v>1.83890183890183E-2</v>
      </c>
    </row>
    <row r="29341" spans="1:6" x14ac:dyDescent="0.25">
      <c r="A29341" s="1" t="str">
        <f t="shared" si="1053"/>
        <v>39500</v>
      </c>
      <c r="B29341" s="1" t="str">
        <f>"63440"</f>
        <v>63440</v>
      </c>
      <c r="C29341" s="2">
        <v>1.5670419111040602E-2</v>
      </c>
      <c r="D29341" s="2">
        <v>3.9128004471771904E-3</v>
      </c>
      <c r="E29341" s="2">
        <v>7.6117982873453796E-3</v>
      </c>
      <c r="F29341" s="2">
        <v>1.44804690259235E-2</v>
      </c>
    </row>
    <row r="29342" spans="1:6" x14ac:dyDescent="0.25">
      <c r="A29342" s="1" t="str">
        <f t="shared" si="1053"/>
        <v>39500</v>
      </c>
      <c r="B29342" s="1" t="str">
        <f>"63447"</f>
        <v>63447</v>
      </c>
      <c r="C29342" s="2">
        <v>1.3979176576290799E-2</v>
      </c>
      <c r="D29342" s="2">
        <v>9.2230296254891004E-3</v>
      </c>
      <c r="E29342" s="2">
        <v>2.2835394862036101E-2</v>
      </c>
      <c r="F29342" s="2">
        <v>1.37976501612865E-2</v>
      </c>
    </row>
    <row r="29343" spans="1:6" x14ac:dyDescent="0.25">
      <c r="A29343" s="1" t="str">
        <f t="shared" si="1053"/>
        <v>39500</v>
      </c>
      <c r="B29343" s="1" t="str">
        <f>"63471"</f>
        <v>63471</v>
      </c>
      <c r="C29343" s="2">
        <v>4.4923629829290198E-4</v>
      </c>
      <c r="D29343" s="2">
        <v>1.11794298490776E-3</v>
      </c>
      <c r="E29343" s="2">
        <v>0</v>
      </c>
      <c r="F29343" s="2">
        <v>4.9445503990958495E-4</v>
      </c>
    </row>
    <row r="29344" spans="1:6" x14ac:dyDescent="0.25">
      <c r="A29344" s="1" t="str">
        <f t="shared" si="1053"/>
        <v>39500</v>
      </c>
      <c r="B29344" s="1" t="str">
        <f>"62348"</f>
        <v>62348</v>
      </c>
      <c r="C29344" s="2">
        <v>0</v>
      </c>
      <c r="D29344" s="2">
        <v>0</v>
      </c>
      <c r="E29344" s="2">
        <v>9.5147478591817299E-4</v>
      </c>
      <c r="F29344" s="2">
        <v>2.3545478090932599E-5</v>
      </c>
    </row>
    <row r="29345" spans="1:6" x14ac:dyDescent="0.25">
      <c r="A29345" s="1" t="str">
        <f t="shared" si="1053"/>
        <v>39500</v>
      </c>
      <c r="B29345" s="1" t="str">
        <f>"62324"</f>
        <v>62324</v>
      </c>
      <c r="C29345" s="2">
        <v>1.8180857248559799E-2</v>
      </c>
      <c r="D29345" s="2">
        <v>9.2230296254891004E-3</v>
      </c>
      <c r="E29345" s="2">
        <v>2.0932445290199799E-2</v>
      </c>
      <c r="F29345" s="2">
        <v>1.7494290221562899E-2</v>
      </c>
    </row>
    <row r="29346" spans="1:6" x14ac:dyDescent="0.25">
      <c r="A29346" s="1" t="str">
        <f t="shared" si="1053"/>
        <v>39500</v>
      </c>
      <c r="B29346" s="1" t="str">
        <f>"62320"</f>
        <v>62320</v>
      </c>
      <c r="C29346" s="2">
        <v>2.62935362824375E-2</v>
      </c>
      <c r="D29346" s="2">
        <v>2.20793739519284E-2</v>
      </c>
      <c r="E29346" s="2">
        <v>2.9495718363463298E-2</v>
      </c>
      <c r="F29346" s="2">
        <v>2.6017753290480498E-2</v>
      </c>
    </row>
    <row r="29347" spans="1:6" x14ac:dyDescent="0.25">
      <c r="A29347" s="1" t="str">
        <f t="shared" si="1053"/>
        <v>39500</v>
      </c>
      <c r="B29347" s="1" t="str">
        <f>"62376"</f>
        <v>62376</v>
      </c>
      <c r="C29347" s="2">
        <v>1.51947571481422E-2</v>
      </c>
      <c r="D29347" s="2">
        <v>2.7948574622694202E-3</v>
      </c>
      <c r="E29347" s="2">
        <v>6.6603235014272098E-3</v>
      </c>
      <c r="F29347" s="2">
        <v>1.3938923029832099E-2</v>
      </c>
    </row>
    <row r="29348" spans="1:6" x14ac:dyDescent="0.25">
      <c r="A29348" s="1" t="str">
        <f t="shared" si="1053"/>
        <v>39500</v>
      </c>
      <c r="B29348" s="1" t="str">
        <f>"63435"</f>
        <v>63435</v>
      </c>
      <c r="C29348" s="2">
        <v>5.2349241583425798E-2</v>
      </c>
      <c r="D29348" s="2">
        <v>5.7574063722750098E-2</v>
      </c>
      <c r="E29348" s="2">
        <v>8.6584205518553697E-2</v>
      </c>
      <c r="F29348" s="2">
        <v>5.3636599091144502E-2</v>
      </c>
    </row>
    <row r="29349" spans="1:6" x14ac:dyDescent="0.25">
      <c r="A29349" s="1" t="str">
        <f t="shared" si="1053"/>
        <v>39500</v>
      </c>
      <c r="B29349" s="1" t="str">
        <f>"63452"</f>
        <v>63452</v>
      </c>
      <c r="C29349" s="2">
        <v>1.6357486390782699E-2</v>
      </c>
      <c r="D29349" s="2">
        <v>4.4717719396310703E-3</v>
      </c>
      <c r="E29349" s="2">
        <v>7.6117982873453796E-3</v>
      </c>
      <c r="F29349" s="2">
        <v>1.51397424124696E-2</v>
      </c>
    </row>
    <row r="29350" spans="1:6" x14ac:dyDescent="0.25">
      <c r="A29350" s="1" t="str">
        <f t="shared" si="1053"/>
        <v>39500</v>
      </c>
      <c r="B29350" s="1" t="str">
        <f>"62305"</f>
        <v>62305</v>
      </c>
      <c r="C29350" s="2">
        <v>0.24123989218328801</v>
      </c>
      <c r="D29350" s="2">
        <v>0.23392956959194999</v>
      </c>
      <c r="E29350" s="2">
        <v>0.129400570884871</v>
      </c>
      <c r="F29350" s="2">
        <v>0.237856419674601</v>
      </c>
    </row>
    <row r="29351" spans="1:6" x14ac:dyDescent="0.25">
      <c r="A29351" s="1" t="str">
        <f t="shared" ref="A29351:A29370" si="1054">"39540"</f>
        <v>39540</v>
      </c>
      <c r="B29351" s="1" t="str">
        <f>"53138"</f>
        <v>53138</v>
      </c>
      <c r="C29351" s="2">
        <v>0</v>
      </c>
      <c r="D29351" s="2">
        <v>0</v>
      </c>
      <c r="E29351" s="2">
        <v>2.8595939376608502E-4</v>
      </c>
      <c r="F29351" s="2">
        <v>1.0322793760903399E-5</v>
      </c>
    </row>
    <row r="29352" spans="1:6" x14ac:dyDescent="0.25">
      <c r="A29352" s="1" t="str">
        <f t="shared" si="1054"/>
        <v>39540</v>
      </c>
      <c r="B29352" s="1" t="str">
        <f>"53403"</f>
        <v>53403</v>
      </c>
      <c r="C29352" s="2">
        <v>0.13394406832262401</v>
      </c>
      <c r="D29352" s="2">
        <v>0.171240395170142</v>
      </c>
      <c r="E29352" s="2">
        <v>0.17014583929082</v>
      </c>
      <c r="F29352" s="2">
        <v>0.13770606877045199</v>
      </c>
    </row>
    <row r="29353" spans="1:6" x14ac:dyDescent="0.25">
      <c r="A29353" s="1" t="str">
        <f t="shared" si="1054"/>
        <v>39540</v>
      </c>
      <c r="B29353" s="1" t="str">
        <f>"53406"</f>
        <v>53406</v>
      </c>
      <c r="C29353" s="2">
        <v>0.14340394717180599</v>
      </c>
      <c r="D29353" s="2">
        <v>0.14662066802571699</v>
      </c>
      <c r="E29353" s="2">
        <v>0.308550185873605</v>
      </c>
      <c r="F29353" s="2">
        <v>0.149577281595491</v>
      </c>
    </row>
    <row r="29354" spans="1:6" x14ac:dyDescent="0.25">
      <c r="A29354" s="1" t="str">
        <f t="shared" si="1054"/>
        <v>39540</v>
      </c>
      <c r="B29354" s="1" t="str">
        <f>"53401"</f>
        <v>53401</v>
      </c>
      <c r="C29354" s="2">
        <v>6.8391590707939098E-3</v>
      </c>
      <c r="D29354" s="2">
        <v>2.5403794887878299E-2</v>
      </c>
      <c r="E29354" s="2">
        <v>5.7191878753217005E-4</v>
      </c>
      <c r="F29354" s="2">
        <v>7.8350004645257095E-3</v>
      </c>
    </row>
    <row r="29355" spans="1:6" x14ac:dyDescent="0.25">
      <c r="A29355" s="1" t="str">
        <f t="shared" si="1054"/>
        <v>39540</v>
      </c>
      <c r="B29355" s="1" t="str">
        <f>"53402"</f>
        <v>53402</v>
      </c>
      <c r="C29355" s="2">
        <v>0.16972608880561799</v>
      </c>
      <c r="D29355" s="2">
        <v>8.8442841461502206E-2</v>
      </c>
      <c r="E29355" s="2">
        <v>0.127251930225907</v>
      </c>
      <c r="F29355" s="2">
        <v>0.16284207157825101</v>
      </c>
    </row>
    <row r="29356" spans="1:6" x14ac:dyDescent="0.25">
      <c r="A29356" s="1" t="str">
        <f t="shared" si="1054"/>
        <v>39540</v>
      </c>
      <c r="B29356" s="1" t="str">
        <f>"53105"</f>
        <v>53105</v>
      </c>
      <c r="C29356" s="2">
        <v>0.104667869745629</v>
      </c>
      <c r="D29356" s="2">
        <v>0.123098635722126</v>
      </c>
      <c r="E29356" s="2">
        <v>9.3508721761509803E-2</v>
      </c>
      <c r="F29356" s="2">
        <v>0.105478306648911</v>
      </c>
    </row>
    <row r="29357" spans="1:6" x14ac:dyDescent="0.25">
      <c r="A29357" s="1" t="str">
        <f t="shared" si="1054"/>
        <v>39540</v>
      </c>
      <c r="B29357" s="1" t="str">
        <f>"53108"</f>
        <v>53108</v>
      </c>
      <c r="C29357" s="2">
        <v>1.6356509844940699E-2</v>
      </c>
      <c r="D29357" s="2">
        <v>1.20746432491767E-2</v>
      </c>
      <c r="E29357" s="2">
        <v>1.1438375750643401E-3</v>
      </c>
      <c r="F29357" s="2">
        <v>1.5525481816398699E-2</v>
      </c>
    </row>
    <row r="29358" spans="1:6" x14ac:dyDescent="0.25">
      <c r="A29358" s="1" t="str">
        <f t="shared" si="1054"/>
        <v>39540</v>
      </c>
      <c r="B29358" s="1" t="str">
        <f>"53405"</f>
        <v>53405</v>
      </c>
      <c r="C29358" s="2">
        <v>0.12588650444257901</v>
      </c>
      <c r="D29358" s="2">
        <v>7.9190842088756402E-2</v>
      </c>
      <c r="E29358" s="2">
        <v>6.6342579353731695E-2</v>
      </c>
      <c r="F29358" s="2">
        <v>0.1206631362712</v>
      </c>
    </row>
    <row r="29359" spans="1:6" x14ac:dyDescent="0.25">
      <c r="A29359" s="1" t="str">
        <f t="shared" si="1054"/>
        <v>39540</v>
      </c>
      <c r="B29359" s="1" t="str">
        <f>"53408"</f>
        <v>53408</v>
      </c>
      <c r="C29359" s="2">
        <v>1.08277106633409E-2</v>
      </c>
      <c r="D29359" s="2">
        <v>3.9360200721342303E-2</v>
      </c>
      <c r="E29359" s="2">
        <v>5.7191878753217005E-4</v>
      </c>
      <c r="F29359" s="2">
        <v>1.2335738544279599E-2</v>
      </c>
    </row>
    <row r="29360" spans="1:6" x14ac:dyDescent="0.25">
      <c r="A29360" s="1" t="str">
        <f t="shared" si="1054"/>
        <v>39540</v>
      </c>
      <c r="B29360" s="1" t="str">
        <f>"53139"</f>
        <v>53139</v>
      </c>
      <c r="C29360" s="2">
        <v>1.27472729571604E-2</v>
      </c>
      <c r="D29360" s="2">
        <v>5.1748471067900202E-3</v>
      </c>
      <c r="E29360" s="2">
        <v>8.2928224192164706E-3</v>
      </c>
      <c r="F29360" s="2">
        <v>1.2087991494017901E-2</v>
      </c>
    </row>
    <row r="29361" spans="1:6" x14ac:dyDescent="0.25">
      <c r="A29361" s="1" t="str">
        <f t="shared" si="1054"/>
        <v>39540</v>
      </c>
      <c r="B29361" s="1" t="str">
        <f>"53182"</f>
        <v>53182</v>
      </c>
      <c r="C29361" s="2">
        <v>3.7828021011735699E-2</v>
      </c>
      <c r="D29361" s="2">
        <v>4.6103183315038397E-2</v>
      </c>
      <c r="E29361" s="2">
        <v>4.0320274521018003E-2</v>
      </c>
      <c r="F29361" s="2">
        <v>3.8462729553126199E-2</v>
      </c>
    </row>
    <row r="29362" spans="1:6" x14ac:dyDescent="0.25">
      <c r="A29362" s="1" t="str">
        <f t="shared" si="1054"/>
        <v>39540</v>
      </c>
      <c r="B29362" s="1" t="str">
        <f>"53150"</f>
        <v>53150</v>
      </c>
      <c r="C29362" s="2">
        <v>1.85059598386188E-3</v>
      </c>
      <c r="D29362" s="2">
        <v>4.7044064607181999E-4</v>
      </c>
      <c r="E29362" s="2">
        <v>2.8595939376608501E-3</v>
      </c>
      <c r="F29362" s="2">
        <v>1.7961661143971999E-3</v>
      </c>
    </row>
    <row r="29363" spans="1:6" x14ac:dyDescent="0.25">
      <c r="A29363" s="1" t="str">
        <f t="shared" si="1054"/>
        <v>39540</v>
      </c>
      <c r="B29363" s="1" t="str">
        <f>"53167"</f>
        <v>53167</v>
      </c>
      <c r="C29363" s="2">
        <v>1.4138093541304999E-3</v>
      </c>
      <c r="D29363" s="2">
        <v>0</v>
      </c>
      <c r="E29363" s="2">
        <v>8.5787818129825502E-4</v>
      </c>
      <c r="F29363" s="2">
        <v>1.3006720138738299E-3</v>
      </c>
    </row>
    <row r="29364" spans="1:6" x14ac:dyDescent="0.25">
      <c r="A29364" s="1" t="str">
        <f t="shared" si="1054"/>
        <v>39540</v>
      </c>
      <c r="B29364" s="1" t="str">
        <f>"53144"</f>
        <v>53144</v>
      </c>
      <c r="C29364" s="2">
        <v>3.4483154978792801E-5</v>
      </c>
      <c r="D29364" s="2">
        <v>0</v>
      </c>
      <c r="E29364" s="2">
        <v>0</v>
      </c>
      <c r="F29364" s="2">
        <v>3.0968381282710298E-5</v>
      </c>
    </row>
    <row r="29365" spans="1:6" x14ac:dyDescent="0.25">
      <c r="A29365" s="1" t="str">
        <f t="shared" si="1054"/>
        <v>39540</v>
      </c>
      <c r="B29365" s="1" t="str">
        <f>"53185"</f>
        <v>53185</v>
      </c>
      <c r="C29365" s="2">
        <v>9.1713697858595997E-2</v>
      </c>
      <c r="D29365" s="2">
        <v>5.2846165908734498E-2</v>
      </c>
      <c r="E29365" s="2">
        <v>3.9176436945953602E-2</v>
      </c>
      <c r="F29365" s="2">
        <v>8.7258575660916798E-2</v>
      </c>
    </row>
    <row r="29366" spans="1:6" x14ac:dyDescent="0.25">
      <c r="A29366" s="1" t="str">
        <f t="shared" si="1054"/>
        <v>39540</v>
      </c>
      <c r="B29366" s="1" t="str">
        <f>"53120"</f>
        <v>53120</v>
      </c>
      <c r="C29366" s="2">
        <v>1.6207082840032599E-3</v>
      </c>
      <c r="D29366" s="2">
        <v>1.56813548690606E-4</v>
      </c>
      <c r="E29366" s="2">
        <v>0</v>
      </c>
      <c r="F29366" s="2">
        <v>1.46583671404829E-3</v>
      </c>
    </row>
    <row r="29367" spans="1:6" x14ac:dyDescent="0.25">
      <c r="A29367" s="1" t="str">
        <f t="shared" si="1054"/>
        <v>39540</v>
      </c>
      <c r="B29367" s="1" t="str">
        <f>"53404"</f>
        <v>53404</v>
      </c>
      <c r="C29367" s="2">
        <v>7.5644547638478596E-2</v>
      </c>
      <c r="D29367" s="2">
        <v>0.109612670534734</v>
      </c>
      <c r="E29367" s="2">
        <v>8.7503574492422007E-2</v>
      </c>
      <c r="F29367" s="2">
        <v>7.8308713470213495E-2</v>
      </c>
    </row>
    <row r="29368" spans="1:6" x14ac:dyDescent="0.25">
      <c r="A29368" s="1" t="str">
        <f t="shared" si="1054"/>
        <v>39540</v>
      </c>
      <c r="B29368" s="1" t="str">
        <f>"53126"</f>
        <v>53126</v>
      </c>
      <c r="C29368" s="2">
        <v>3.2046345360291398E-2</v>
      </c>
      <c r="D29368" s="2">
        <v>2.8696879410381002E-2</v>
      </c>
      <c r="E29368" s="2">
        <v>8.5787818129825499E-3</v>
      </c>
      <c r="F29368" s="2">
        <v>3.09787040764712E-2</v>
      </c>
    </row>
    <row r="29369" spans="1:6" x14ac:dyDescent="0.25">
      <c r="A29369" s="1" t="str">
        <f t="shared" si="1054"/>
        <v>39540</v>
      </c>
      <c r="B29369" s="1" t="str">
        <f>"53177"</f>
        <v>53177</v>
      </c>
      <c r="C29369" s="2">
        <v>3.2161289210220802E-2</v>
      </c>
      <c r="D29369" s="2">
        <v>7.1193351105535499E-2</v>
      </c>
      <c r="E29369" s="2">
        <v>4.4037746639977102E-2</v>
      </c>
      <c r="F29369" s="2">
        <v>3.5159435549637102E-2</v>
      </c>
    </row>
    <row r="29370" spans="1:6" x14ac:dyDescent="0.25">
      <c r="A29370" s="1" t="str">
        <f t="shared" si="1054"/>
        <v>39540</v>
      </c>
      <c r="B29370" s="1" t="str">
        <f>"53149"</f>
        <v>53149</v>
      </c>
      <c r="C29370" s="2">
        <v>1.2873711192082601E-3</v>
      </c>
      <c r="D29370" s="2">
        <v>3.1362709738121298E-4</v>
      </c>
      <c r="E29370" s="2">
        <v>0</v>
      </c>
      <c r="F29370" s="2">
        <v>1.17679848874299E-3</v>
      </c>
    </row>
    <row r="29371" spans="1:6" x14ac:dyDescent="0.25">
      <c r="A29371" s="1" t="str">
        <f t="shared" ref="A29371:A29402" si="1055">"39580"</f>
        <v>39580</v>
      </c>
      <c r="B29371" s="1" t="str">
        <f>"27603"</f>
        <v>27603</v>
      </c>
      <c r="C29371" s="2">
        <v>3.9009793253536401E-2</v>
      </c>
      <c r="D29371" s="2">
        <v>4.5766839943291199E-2</v>
      </c>
      <c r="E29371" s="2">
        <v>4.4750640165833397E-2</v>
      </c>
      <c r="F29371" s="2">
        <v>3.9737928665613403E-2</v>
      </c>
    </row>
    <row r="29372" spans="1:6" x14ac:dyDescent="0.25">
      <c r="A29372" s="1" t="str">
        <f t="shared" si="1055"/>
        <v>39580</v>
      </c>
      <c r="B29372" s="1" t="str">
        <f>"27640"</f>
        <v>27640</v>
      </c>
      <c r="C29372" s="2">
        <v>0</v>
      </c>
      <c r="D29372" s="2">
        <v>0</v>
      </c>
      <c r="E29372" s="2">
        <v>4.0645449741901301E-5</v>
      </c>
      <c r="F29372" s="2">
        <v>1.4193638127518399E-6</v>
      </c>
    </row>
    <row r="29373" spans="1:6" x14ac:dyDescent="0.25">
      <c r="A29373" s="1" t="str">
        <f t="shared" si="1055"/>
        <v>39580</v>
      </c>
      <c r="B29373" s="1" t="str">
        <f>"27676"</f>
        <v>27676</v>
      </c>
      <c r="C29373" s="2">
        <v>0</v>
      </c>
      <c r="D29373" s="2">
        <v>3.6351739430731703E-5</v>
      </c>
      <c r="E29373" s="2">
        <v>1.21936349225704E-4</v>
      </c>
      <c r="F29373" s="2">
        <v>7.0968190637592403E-6</v>
      </c>
    </row>
    <row r="29374" spans="1:6" x14ac:dyDescent="0.25">
      <c r="A29374" s="1" t="str">
        <f t="shared" si="1055"/>
        <v>39580</v>
      </c>
      <c r="B29374" s="1" t="str">
        <f>"27661"</f>
        <v>27661</v>
      </c>
      <c r="C29374" s="2">
        <v>3.0083850732893802E-4</v>
      </c>
      <c r="D29374" s="2">
        <v>2.8717874150278001E-3</v>
      </c>
      <c r="E29374" s="2">
        <v>4.0645449741901301E-5</v>
      </c>
      <c r="F29374" s="2">
        <v>4.9251924302489097E-4</v>
      </c>
    </row>
    <row r="29375" spans="1:6" x14ac:dyDescent="0.25">
      <c r="A29375" s="1" t="str">
        <f t="shared" si="1055"/>
        <v>39580</v>
      </c>
      <c r="B29375" s="1" t="str">
        <f>"27619"</f>
        <v>27619</v>
      </c>
      <c r="C29375" s="2">
        <v>1.7362222364462601E-3</v>
      </c>
      <c r="D29375" s="2">
        <v>9.5605074702824495E-3</v>
      </c>
      <c r="E29375" s="2">
        <v>4.0645449741901301E-5</v>
      </c>
      <c r="F29375" s="2">
        <v>2.2880144661559698E-3</v>
      </c>
    </row>
    <row r="29376" spans="1:6" x14ac:dyDescent="0.25">
      <c r="A29376" s="1" t="str">
        <f t="shared" si="1055"/>
        <v>39580</v>
      </c>
      <c r="B29376" s="1" t="str">
        <f>"27675"</f>
        <v>27675</v>
      </c>
      <c r="C29376" s="2">
        <v>6.7048582218523901E-4</v>
      </c>
      <c r="D29376" s="2">
        <v>8.1609655021992796E-3</v>
      </c>
      <c r="E29376" s="2">
        <v>0</v>
      </c>
      <c r="F29376" s="2">
        <v>1.2320077894685999E-3</v>
      </c>
    </row>
    <row r="29377" spans="1:6" x14ac:dyDescent="0.25">
      <c r="A29377" s="1" t="str">
        <f t="shared" si="1055"/>
        <v>39580</v>
      </c>
      <c r="B29377" s="1" t="str">
        <f>"27508"</f>
        <v>27508</v>
      </c>
      <c r="C29377" s="2">
        <v>1.04013313704154E-3</v>
      </c>
      <c r="D29377" s="2">
        <v>7.9973826747609805E-4</v>
      </c>
      <c r="E29377" s="2">
        <v>4.4709994716091498E-4</v>
      </c>
      <c r="F29377" s="2">
        <v>1.00065148799005E-3</v>
      </c>
    </row>
    <row r="29378" spans="1:6" x14ac:dyDescent="0.25">
      <c r="A29378" s="1" t="str">
        <f t="shared" si="1055"/>
        <v>39580</v>
      </c>
      <c r="B29378" s="1" t="str">
        <f>"27577"</f>
        <v>27577</v>
      </c>
      <c r="C29378" s="2">
        <v>1.9191256480829502E-2</v>
      </c>
      <c r="D29378" s="2">
        <v>3.2153113526482202E-2</v>
      </c>
      <c r="E29378" s="2">
        <v>1.44697801081168E-2</v>
      </c>
      <c r="F29378" s="2">
        <v>2.0038578308430501E-2</v>
      </c>
    </row>
    <row r="29379" spans="1:6" x14ac:dyDescent="0.25">
      <c r="A29379" s="1" t="str">
        <f t="shared" si="1055"/>
        <v>39580</v>
      </c>
      <c r="B29379" s="1" t="str">
        <f>"27576"</f>
        <v>27576</v>
      </c>
      <c r="C29379" s="2">
        <v>1.3873775843307901E-2</v>
      </c>
      <c r="D29379" s="2">
        <v>1.16689083572648E-2</v>
      </c>
      <c r="E29379" s="2">
        <v>4.1864813234158398E-3</v>
      </c>
      <c r="F29379" s="2">
        <v>1.33633102970586E-2</v>
      </c>
    </row>
    <row r="29380" spans="1:6" x14ac:dyDescent="0.25">
      <c r="A29380" s="1" t="str">
        <f t="shared" si="1055"/>
        <v>39580</v>
      </c>
      <c r="B29380" s="1" t="str">
        <f>"27608"</f>
        <v>27608</v>
      </c>
      <c r="C29380" s="2">
        <v>9.0459578826089706E-3</v>
      </c>
      <c r="D29380" s="2">
        <v>1.0651059653204399E-2</v>
      </c>
      <c r="E29380" s="2">
        <v>1.17058895256676E-2</v>
      </c>
      <c r="F29380" s="2">
        <v>9.2641876058313106E-3</v>
      </c>
    </row>
    <row r="29381" spans="1:6" x14ac:dyDescent="0.25">
      <c r="A29381" s="1" t="str">
        <f t="shared" si="1055"/>
        <v>39580</v>
      </c>
      <c r="B29381" s="1" t="str">
        <f>"27501"</f>
        <v>27501</v>
      </c>
      <c r="C29381" s="2">
        <v>4.8918261537476701E-3</v>
      </c>
      <c r="D29381" s="2">
        <v>9.99672834345123E-4</v>
      </c>
      <c r="E29381" s="2">
        <v>8.1290899483802697E-5</v>
      </c>
      <c r="F29381" s="2">
        <v>4.4198989129092502E-3</v>
      </c>
    </row>
    <row r="29382" spans="1:6" x14ac:dyDescent="0.25">
      <c r="A29382" s="1" t="str">
        <f t="shared" si="1055"/>
        <v>39580</v>
      </c>
      <c r="B29382" s="1" t="str">
        <f>"27502"</f>
        <v>27502</v>
      </c>
      <c r="C29382" s="2">
        <v>2.9619791333290599E-2</v>
      </c>
      <c r="D29382" s="2">
        <v>3.0317350685230199E-2</v>
      </c>
      <c r="E29382" s="2">
        <v>6.1374629110271103E-3</v>
      </c>
      <c r="F29382" s="2">
        <v>2.88542469494323E-2</v>
      </c>
    </row>
    <row r="29383" spans="1:6" x14ac:dyDescent="0.25">
      <c r="A29383" s="1" t="str">
        <f t="shared" si="1055"/>
        <v>39580</v>
      </c>
      <c r="B29383" s="1" t="str">
        <f>"27557"</f>
        <v>27557</v>
      </c>
      <c r="C29383" s="2">
        <v>2.3298982269730501E-3</v>
      </c>
      <c r="D29383" s="2">
        <v>4.3622087316878101E-4</v>
      </c>
      <c r="E29383" s="2">
        <v>8.1290899483802697E-5</v>
      </c>
      <c r="F29383" s="2">
        <v>2.1034971704982299E-3</v>
      </c>
    </row>
    <row r="29384" spans="1:6" x14ac:dyDescent="0.25">
      <c r="A29384" s="1" t="str">
        <f t="shared" si="1055"/>
        <v>39580</v>
      </c>
      <c r="B29384" s="1" t="str">
        <f>"27562"</f>
        <v>27562</v>
      </c>
      <c r="C29384" s="2">
        <v>1.9458490686807899E-3</v>
      </c>
      <c r="D29384" s="2">
        <v>1.45406957722927E-4</v>
      </c>
      <c r="E29384" s="2">
        <v>4.0645449741901301E-5</v>
      </c>
      <c r="F29384" s="2">
        <v>1.7387206706210099E-3</v>
      </c>
    </row>
    <row r="29385" spans="1:6" x14ac:dyDescent="0.25">
      <c r="A29385" s="1" t="str">
        <f t="shared" si="1055"/>
        <v>39580</v>
      </c>
      <c r="B29385" s="1" t="str">
        <f>"27620"</f>
        <v>27620</v>
      </c>
      <c r="C29385" s="2">
        <v>1.5313960186903899E-3</v>
      </c>
      <c r="D29385" s="2">
        <v>5.9253335272092698E-3</v>
      </c>
      <c r="E29385" s="2">
        <v>4.0645449741901301E-5</v>
      </c>
      <c r="F29385" s="2">
        <v>1.8224631355733701E-3</v>
      </c>
    </row>
    <row r="29386" spans="1:6" x14ac:dyDescent="0.25">
      <c r="A29386" s="1" t="str">
        <f t="shared" si="1055"/>
        <v>39580</v>
      </c>
      <c r="B29386" s="1" t="str">
        <f>"27612"</f>
        <v>27612</v>
      </c>
      <c r="C29386" s="2">
        <v>3.3095436215835598E-2</v>
      </c>
      <c r="D29386" s="2">
        <v>3.28256207059507E-2</v>
      </c>
      <c r="E29386" s="2">
        <v>5.1538430272730897E-2</v>
      </c>
      <c r="F29386" s="2">
        <v>3.3718406735732898E-2</v>
      </c>
    </row>
    <row r="29387" spans="1:6" x14ac:dyDescent="0.25">
      <c r="A29387" s="1" t="str">
        <f t="shared" si="1055"/>
        <v>39580</v>
      </c>
      <c r="B29387" s="1" t="str">
        <f>"27589"</f>
        <v>27589</v>
      </c>
      <c r="C29387" s="2">
        <v>9.1051654611790296E-4</v>
      </c>
      <c r="D29387" s="2">
        <v>3.4534152459195097E-4</v>
      </c>
      <c r="E29387" s="2">
        <v>0</v>
      </c>
      <c r="F29387" s="2">
        <v>8.3458592189808597E-4</v>
      </c>
    </row>
    <row r="29388" spans="1:6" x14ac:dyDescent="0.25">
      <c r="A29388" s="1" t="str">
        <f t="shared" si="1055"/>
        <v>39580</v>
      </c>
      <c r="B29388" s="1" t="str">
        <f>"28366"</f>
        <v>28366</v>
      </c>
      <c r="C29388" s="2">
        <v>8.8491326889841805E-4</v>
      </c>
      <c r="D29388" s="2">
        <v>1.0905521829219499E-4</v>
      </c>
      <c r="E29388" s="2">
        <v>8.1290899483802697E-5</v>
      </c>
      <c r="F29388" s="2">
        <v>7.9626309895378599E-4</v>
      </c>
    </row>
    <row r="29389" spans="1:6" x14ac:dyDescent="0.25">
      <c r="A29389" s="1" t="str">
        <f t="shared" si="1055"/>
        <v>39580</v>
      </c>
      <c r="B29389" s="1" t="str">
        <f>"27863"</f>
        <v>27863</v>
      </c>
      <c r="C29389" s="2">
        <v>9.6012289573065306E-6</v>
      </c>
      <c r="D29389" s="2">
        <v>0</v>
      </c>
      <c r="E29389" s="2">
        <v>0</v>
      </c>
      <c r="F29389" s="2">
        <v>8.5161828765110904E-6</v>
      </c>
    </row>
    <row r="29390" spans="1:6" x14ac:dyDescent="0.25">
      <c r="A29390" s="1" t="str">
        <f t="shared" si="1055"/>
        <v>39580</v>
      </c>
      <c r="B29390" s="1" t="str">
        <f>"27713"</f>
        <v>27713</v>
      </c>
      <c r="C29390" s="2">
        <v>2.08026627408308E-5</v>
      </c>
      <c r="D29390" s="2">
        <v>0</v>
      </c>
      <c r="E29390" s="2">
        <v>0</v>
      </c>
      <c r="F29390" s="2">
        <v>1.8451729565774001E-5</v>
      </c>
    </row>
    <row r="29391" spans="1:6" x14ac:dyDescent="0.25">
      <c r="A29391" s="1" t="str">
        <f t="shared" si="1055"/>
        <v>39580</v>
      </c>
      <c r="B29391" s="1" t="str">
        <f>"27602"</f>
        <v>27602</v>
      </c>
      <c r="C29391" s="2">
        <v>2.2354861422262001E-3</v>
      </c>
      <c r="D29391" s="2">
        <v>7.0885891889926897E-3</v>
      </c>
      <c r="E29391" s="2">
        <v>4.0645449741901301E-5</v>
      </c>
      <c r="F29391" s="2">
        <v>2.5378224972002999E-3</v>
      </c>
    </row>
    <row r="29392" spans="1:6" x14ac:dyDescent="0.25">
      <c r="A29392" s="1" t="str">
        <f t="shared" si="1055"/>
        <v>39580</v>
      </c>
      <c r="B29392" s="1" t="str">
        <f>"28334"</f>
        <v>28334</v>
      </c>
      <c r="C29392" s="2">
        <v>1.00492863086475E-3</v>
      </c>
      <c r="D29392" s="2">
        <v>2.90813915445854E-4</v>
      </c>
      <c r="E29392" s="2">
        <v>7.7226354509612604E-4</v>
      </c>
      <c r="F29392" s="2">
        <v>9.41038207854475E-4</v>
      </c>
    </row>
    <row r="29393" spans="1:6" x14ac:dyDescent="0.25">
      <c r="A29393" s="1" t="str">
        <f t="shared" si="1055"/>
        <v>39580</v>
      </c>
      <c r="B29393" s="1" t="str">
        <f>"27656"</f>
        <v>27656</v>
      </c>
      <c r="C29393" s="2">
        <v>0</v>
      </c>
      <c r="D29393" s="2">
        <v>0</v>
      </c>
      <c r="E29393" s="2">
        <v>4.0645449741901301E-5</v>
      </c>
      <c r="F29393" s="2">
        <v>1.4193638127518399E-6</v>
      </c>
    </row>
    <row r="29394" spans="1:6" x14ac:dyDescent="0.25">
      <c r="A29394" s="1" t="str">
        <f t="shared" si="1055"/>
        <v>39580</v>
      </c>
      <c r="B29394" s="1" t="str">
        <f>"27703"</f>
        <v>27703</v>
      </c>
      <c r="C29394" s="2">
        <v>1.9842539845100099E-4</v>
      </c>
      <c r="D29394" s="2">
        <v>1.8175869715365801E-5</v>
      </c>
      <c r="E29394" s="2">
        <v>0</v>
      </c>
      <c r="F29394" s="2">
        <v>1.7742047659398099E-4</v>
      </c>
    </row>
    <row r="29395" spans="1:6" x14ac:dyDescent="0.25">
      <c r="A29395" s="1" t="str">
        <f t="shared" si="1055"/>
        <v>39580</v>
      </c>
      <c r="B29395" s="1" t="str">
        <f>"27623"</f>
        <v>27623</v>
      </c>
      <c r="C29395" s="2">
        <v>3.61646290725212E-4</v>
      </c>
      <c r="D29395" s="2">
        <v>2.5446217601512201E-3</v>
      </c>
      <c r="E29395" s="2">
        <v>3.25163597935211E-4</v>
      </c>
      <c r="F29395" s="2">
        <v>5.3084206596919095E-4</v>
      </c>
    </row>
    <row r="29396" spans="1:6" x14ac:dyDescent="0.25">
      <c r="A29396" s="1" t="str">
        <f t="shared" si="1055"/>
        <v>39580</v>
      </c>
      <c r="B29396" s="1" t="str">
        <f>"27588"</f>
        <v>27588</v>
      </c>
      <c r="C29396" s="2">
        <v>1.8034308391474099E-3</v>
      </c>
      <c r="D29396" s="2">
        <v>9.7967937765821994E-3</v>
      </c>
      <c r="E29396" s="2">
        <v>4.0645449741901301E-5</v>
      </c>
      <c r="F29396" s="2">
        <v>2.3660794758573302E-3</v>
      </c>
    </row>
    <row r="29397" spans="1:6" x14ac:dyDescent="0.25">
      <c r="A29397" s="1" t="str">
        <f t="shared" si="1055"/>
        <v>39580</v>
      </c>
      <c r="B29397" s="1" t="str">
        <f>"27528"</f>
        <v>27528</v>
      </c>
      <c r="C29397" s="2">
        <v>1.45618639185815E-3</v>
      </c>
      <c r="D29397" s="2">
        <v>9.2696935548365906E-3</v>
      </c>
      <c r="E29397" s="2">
        <v>4.0645449741901301E-5</v>
      </c>
      <c r="F29397" s="2">
        <v>2.0169159779203699E-3</v>
      </c>
    </row>
    <row r="29398" spans="1:6" x14ac:dyDescent="0.25">
      <c r="A29398" s="1" t="str">
        <f t="shared" si="1055"/>
        <v>39580</v>
      </c>
      <c r="B29398" s="1" t="str">
        <f>"27624"</f>
        <v>27624</v>
      </c>
      <c r="C29398" s="2">
        <v>1.4033796325929699E-3</v>
      </c>
      <c r="D29398" s="2">
        <v>1.3013922716201901E-2</v>
      </c>
      <c r="E29398" s="2">
        <v>4.0645449741901301E-5</v>
      </c>
      <c r="F29398" s="2">
        <v>2.2624659175264402E-3</v>
      </c>
    </row>
    <row r="29399" spans="1:6" x14ac:dyDescent="0.25">
      <c r="A29399" s="1" t="str">
        <f t="shared" si="1055"/>
        <v>39580</v>
      </c>
      <c r="B29399" s="1" t="str">
        <f>"27519"</f>
        <v>27519</v>
      </c>
      <c r="C29399" s="2">
        <v>3.7515201945849001E-2</v>
      </c>
      <c r="D29399" s="2">
        <v>1.62128757861063E-2</v>
      </c>
      <c r="E29399" s="2">
        <v>4.2271267731577404E-3</v>
      </c>
      <c r="F29399" s="2">
        <v>3.4689251583655101E-2</v>
      </c>
    </row>
    <row r="29400" spans="1:6" x14ac:dyDescent="0.25">
      <c r="A29400" s="1" t="str">
        <f t="shared" si="1055"/>
        <v>39580</v>
      </c>
      <c r="B29400" s="1" t="str">
        <f>"27518"</f>
        <v>27518</v>
      </c>
      <c r="C29400" s="2">
        <v>1.5123535812584001E-2</v>
      </c>
      <c r="D29400" s="2">
        <v>2.1811043658439E-2</v>
      </c>
      <c r="E29400" s="2">
        <v>2.20704792098524E-2</v>
      </c>
      <c r="F29400" s="2">
        <v>1.58883585199441E-2</v>
      </c>
    </row>
    <row r="29401" spans="1:6" x14ac:dyDescent="0.25">
      <c r="A29401" s="1" t="str">
        <f t="shared" si="1055"/>
        <v>39580</v>
      </c>
      <c r="B29401" s="1" t="str">
        <f>"27560"</f>
        <v>27560</v>
      </c>
      <c r="C29401" s="2">
        <v>2.1985214107405698E-2</v>
      </c>
      <c r="D29401" s="2">
        <v>3.8805481842306103E-2</v>
      </c>
      <c r="E29401" s="2">
        <v>2.8289233020363298E-2</v>
      </c>
      <c r="F29401" s="2">
        <v>2.3518858377298099E-2</v>
      </c>
    </row>
    <row r="29402" spans="1:6" x14ac:dyDescent="0.25">
      <c r="A29402" s="1" t="str">
        <f t="shared" si="1055"/>
        <v>39580</v>
      </c>
      <c r="B29402" s="1" t="str">
        <f>"27545"</f>
        <v>27545</v>
      </c>
      <c r="C29402" s="2">
        <v>2.2276451385777302E-2</v>
      </c>
      <c r="D29402" s="2">
        <v>1.8084990366789001E-2</v>
      </c>
      <c r="E29402" s="2">
        <v>1.07303987318619E-2</v>
      </c>
      <c r="F29402" s="2">
        <v>2.1545942677573E-2</v>
      </c>
    </row>
    <row r="29403" spans="1:6" x14ac:dyDescent="0.25">
      <c r="A29403" s="1" t="str">
        <f t="shared" ref="A29403:A29434" si="1056">"39580"</f>
        <v>39580</v>
      </c>
      <c r="B29403" s="1" t="str">
        <f>"27526"</f>
        <v>27526</v>
      </c>
      <c r="C29403" s="2">
        <v>3.0795941880560701E-2</v>
      </c>
      <c r="D29403" s="2">
        <v>2.29379475807917E-2</v>
      </c>
      <c r="E29403" s="2">
        <v>7.9665081494126704E-3</v>
      </c>
      <c r="F29403" s="2">
        <v>2.9385089015401499E-2</v>
      </c>
    </row>
    <row r="29404" spans="1:6" x14ac:dyDescent="0.25">
      <c r="A29404" s="1" t="str">
        <f t="shared" si="1056"/>
        <v>39580</v>
      </c>
      <c r="B29404" s="1" t="str">
        <f>"27527"</f>
        <v>27527</v>
      </c>
      <c r="C29404" s="2">
        <v>2.0609037956858402E-2</v>
      </c>
      <c r="D29404" s="2">
        <v>3.1444254607582902E-3</v>
      </c>
      <c r="E29404" s="2">
        <v>4.3490631223834404E-3</v>
      </c>
      <c r="F29404" s="2">
        <v>1.8677408412001498E-2</v>
      </c>
    </row>
    <row r="29405" spans="1:6" x14ac:dyDescent="0.25">
      <c r="A29405" s="1" t="str">
        <f t="shared" si="1056"/>
        <v>39580</v>
      </c>
      <c r="B29405" s="1" t="str">
        <f>"27524"</f>
        <v>27524</v>
      </c>
      <c r="C29405" s="2">
        <v>8.7547206042373395E-3</v>
      </c>
      <c r="D29405" s="2">
        <v>2.8354356755970699E-3</v>
      </c>
      <c r="E29405" s="2">
        <v>2.5606633337397801E-3</v>
      </c>
      <c r="F29405" s="2">
        <v>8.0761800945580095E-3</v>
      </c>
    </row>
    <row r="29406" spans="1:6" x14ac:dyDescent="0.25">
      <c r="A29406" s="1" t="str">
        <f t="shared" si="1056"/>
        <v>39580</v>
      </c>
      <c r="B29406" s="1" t="str">
        <f>"27622"</f>
        <v>27622</v>
      </c>
      <c r="C29406" s="2">
        <v>1.2945657044101601E-3</v>
      </c>
      <c r="D29406" s="2">
        <v>5.79810243920171E-3</v>
      </c>
      <c r="E29406" s="2">
        <v>4.0645449741901301E-5</v>
      </c>
      <c r="F29406" s="2">
        <v>1.6024617445968301E-3</v>
      </c>
    </row>
    <row r="29407" spans="1:6" x14ac:dyDescent="0.25">
      <c r="A29407" s="1" t="str">
        <f t="shared" si="1056"/>
        <v>39580</v>
      </c>
      <c r="B29407" s="1" t="str">
        <f>"27629"</f>
        <v>27629</v>
      </c>
      <c r="C29407" s="2">
        <v>1.0673366190872399E-3</v>
      </c>
      <c r="D29407" s="2">
        <v>6.7432476644007401E-3</v>
      </c>
      <c r="E29407" s="2">
        <v>4.0645449741901301E-5</v>
      </c>
      <c r="F29407" s="2">
        <v>1.47471900144917E-3</v>
      </c>
    </row>
    <row r="29408" spans="1:6" x14ac:dyDescent="0.25">
      <c r="A29408" s="1" t="str">
        <f t="shared" si="1056"/>
        <v>39580</v>
      </c>
      <c r="B29408" s="1" t="str">
        <f>"27699"</f>
        <v>27699</v>
      </c>
      <c r="C29408" s="2">
        <v>0</v>
      </c>
      <c r="D29408" s="2">
        <v>0</v>
      </c>
      <c r="E29408" s="2">
        <v>5.6497175141242903E-2</v>
      </c>
      <c r="F29408" s="2">
        <v>1.97291569972506E-3</v>
      </c>
    </row>
    <row r="29409" spans="1:6" x14ac:dyDescent="0.25">
      <c r="A29409" s="1" t="str">
        <f t="shared" si="1056"/>
        <v>39580</v>
      </c>
      <c r="B29409" s="1" t="str">
        <f>"27607"</f>
        <v>27607</v>
      </c>
      <c r="C29409" s="2">
        <v>2.62465595596236E-2</v>
      </c>
      <c r="D29409" s="2">
        <v>2.96630193754771E-2</v>
      </c>
      <c r="E29409" s="2">
        <v>3.4426695931390403E-2</v>
      </c>
      <c r="F29409" s="2">
        <v>2.6799008148567598E-2</v>
      </c>
    </row>
    <row r="29410" spans="1:6" x14ac:dyDescent="0.25">
      <c r="A29410" s="1" t="str">
        <f t="shared" si="1056"/>
        <v>39580</v>
      </c>
      <c r="B29410" s="1" t="str">
        <f>"27592"</f>
        <v>27592</v>
      </c>
      <c r="C29410" s="2">
        <v>1.1851116942968601E-2</v>
      </c>
      <c r="D29410" s="2">
        <v>3.6715256825038999E-3</v>
      </c>
      <c r="E29410" s="2">
        <v>4.4709994716091498E-4</v>
      </c>
      <c r="F29410" s="2">
        <v>1.0814132889356299E-2</v>
      </c>
    </row>
    <row r="29411" spans="1:6" x14ac:dyDescent="0.25">
      <c r="A29411" s="1" t="str">
        <f t="shared" si="1056"/>
        <v>39580</v>
      </c>
      <c r="B29411" s="1" t="str">
        <f>"27601"</f>
        <v>27601</v>
      </c>
      <c r="C29411" s="2">
        <v>8.7931255200665599E-3</v>
      </c>
      <c r="D29411" s="2">
        <v>2.8390708495401502E-2</v>
      </c>
      <c r="E29411" s="2">
        <v>2.0119497622241099E-2</v>
      </c>
      <c r="F29411" s="2">
        <v>1.07190355139019E-2</v>
      </c>
    </row>
    <row r="29412" spans="1:6" x14ac:dyDescent="0.25">
      <c r="A29412" s="1" t="str">
        <f t="shared" si="1056"/>
        <v>39580</v>
      </c>
      <c r="B29412" s="1" t="str">
        <f>"27882"</f>
        <v>27882</v>
      </c>
      <c r="C29412" s="2">
        <v>8.3690712411188604E-4</v>
      </c>
      <c r="D29412" s="2">
        <v>2.5446217601512202E-4</v>
      </c>
      <c r="E29412" s="2">
        <v>0</v>
      </c>
      <c r="F29412" s="2">
        <v>7.62198367447742E-4</v>
      </c>
    </row>
    <row r="29413" spans="1:6" x14ac:dyDescent="0.25">
      <c r="A29413" s="1" t="str">
        <f t="shared" si="1056"/>
        <v>39580</v>
      </c>
      <c r="B29413" s="1" t="str">
        <f>"27627"</f>
        <v>27627</v>
      </c>
      <c r="C29413" s="2">
        <v>6.8168725596876403E-4</v>
      </c>
      <c r="D29413" s="2">
        <v>4.7802537351412204E-3</v>
      </c>
      <c r="E29413" s="2">
        <v>4.0645449741901301E-5</v>
      </c>
      <c r="F29413" s="2">
        <v>9.7936103079877498E-4</v>
      </c>
    </row>
    <row r="29414" spans="1:6" x14ac:dyDescent="0.25">
      <c r="A29414" s="1" t="str">
        <f t="shared" si="1056"/>
        <v>39580</v>
      </c>
      <c r="B29414" s="1" t="str">
        <f>"27628"</f>
        <v>27628</v>
      </c>
      <c r="C29414" s="2">
        <v>4.86462267170197E-4</v>
      </c>
      <c r="D29414" s="2">
        <v>4.7439019957104898E-3</v>
      </c>
      <c r="E29414" s="2">
        <v>4.0645449741901301E-5</v>
      </c>
      <c r="F29414" s="2">
        <v>8.03359918017546E-4</v>
      </c>
    </row>
    <row r="29415" spans="1:6" x14ac:dyDescent="0.25">
      <c r="A29415" s="1" t="str">
        <f t="shared" si="1056"/>
        <v>39580</v>
      </c>
      <c r="B29415" s="1" t="str">
        <f>"27569"</f>
        <v>27569</v>
      </c>
      <c r="C29415" s="2">
        <v>4.4005632720988197E-3</v>
      </c>
      <c r="D29415" s="2">
        <v>1.4904213166600001E-3</v>
      </c>
      <c r="E29415" s="2">
        <v>8.9419989432182995E-4</v>
      </c>
      <c r="F29415" s="2">
        <v>4.0508643215937702E-3</v>
      </c>
    </row>
    <row r="29416" spans="1:6" x14ac:dyDescent="0.25">
      <c r="A29416" s="1" t="str">
        <f t="shared" si="1056"/>
        <v>39580</v>
      </c>
      <c r="B29416" s="1" t="str">
        <f>"27529"</f>
        <v>27529</v>
      </c>
      <c r="C29416" s="2">
        <v>3.7512001536196597E-2</v>
      </c>
      <c r="D29416" s="2">
        <v>4.51670362426842E-2</v>
      </c>
      <c r="E29416" s="2">
        <v>2.12169247652725E-2</v>
      </c>
      <c r="F29416" s="2">
        <v>3.7540753483473598E-2</v>
      </c>
    </row>
    <row r="29417" spans="1:6" x14ac:dyDescent="0.25">
      <c r="A29417" s="1" t="str">
        <f t="shared" si="1056"/>
        <v>39580</v>
      </c>
      <c r="B29417" s="1" t="str">
        <f>"27616"</f>
        <v>27616</v>
      </c>
      <c r="C29417" s="2">
        <v>3.5798182167317401E-2</v>
      </c>
      <c r="D29417" s="2">
        <v>2.6863935439310701E-2</v>
      </c>
      <c r="E29417" s="2">
        <v>4.2108685932609802E-2</v>
      </c>
      <c r="F29417" s="2">
        <v>3.5320868480329698E-2</v>
      </c>
    </row>
    <row r="29418" spans="1:6" x14ac:dyDescent="0.25">
      <c r="A29418" s="1" t="str">
        <f t="shared" si="1056"/>
        <v>39580</v>
      </c>
      <c r="B29418" s="1" t="str">
        <f>"27658"</f>
        <v>27658</v>
      </c>
      <c r="C29418" s="2">
        <v>5.6007168917621402E-4</v>
      </c>
      <c r="D29418" s="2">
        <v>3.7442291613653698E-3</v>
      </c>
      <c r="E29418" s="2">
        <v>4.0645449741901301E-5</v>
      </c>
      <c r="F29418" s="2">
        <v>7.9058564370277902E-4</v>
      </c>
    </row>
    <row r="29419" spans="1:6" x14ac:dyDescent="0.25">
      <c r="A29419" s="1" t="str">
        <f t="shared" si="1056"/>
        <v>39580</v>
      </c>
      <c r="B29419" s="1" t="str">
        <f>"27610"</f>
        <v>27610</v>
      </c>
      <c r="C29419" s="2">
        <v>4.5181783268258301E-2</v>
      </c>
      <c r="D29419" s="2">
        <v>2.8099894579955601E-2</v>
      </c>
      <c r="E29419" s="2">
        <v>5.0928748526602403E-2</v>
      </c>
      <c r="F29419" s="2">
        <v>4.4048536564940802E-2</v>
      </c>
    </row>
    <row r="29420" spans="1:6" x14ac:dyDescent="0.25">
      <c r="A29420" s="1" t="str">
        <f t="shared" si="1056"/>
        <v>39580</v>
      </c>
      <c r="B29420" s="1" t="str">
        <f>"27606"</f>
        <v>27606</v>
      </c>
      <c r="C29420" s="2">
        <v>3.6219036036612598E-2</v>
      </c>
      <c r="D29420" s="2">
        <v>2.3174233887091399E-2</v>
      </c>
      <c r="E29420" s="2">
        <v>9.1086452871600998E-2</v>
      </c>
      <c r="F29420" s="2">
        <v>3.7116363703460803E-2</v>
      </c>
    </row>
    <row r="29421" spans="1:6" x14ac:dyDescent="0.25">
      <c r="A29421" s="1" t="str">
        <f t="shared" si="1056"/>
        <v>39580</v>
      </c>
      <c r="B29421" s="1" t="str">
        <f>"27697"</f>
        <v>27697</v>
      </c>
      <c r="C29421" s="2">
        <v>0</v>
      </c>
      <c r="D29421" s="2">
        <v>0</v>
      </c>
      <c r="E29421" s="2">
        <v>1.6258179896760499E-4</v>
      </c>
      <c r="F29421" s="2">
        <v>5.6774552510073902E-6</v>
      </c>
    </row>
    <row r="29422" spans="1:6" x14ac:dyDescent="0.25">
      <c r="A29422" s="1" t="str">
        <f t="shared" si="1056"/>
        <v>39580</v>
      </c>
      <c r="B29422" s="1" t="str">
        <f>"27555"</f>
        <v>27555</v>
      </c>
      <c r="C29422" s="2">
        <v>0</v>
      </c>
      <c r="D29422" s="2">
        <v>1.8175869715365801E-5</v>
      </c>
      <c r="E29422" s="2">
        <v>4.0645449741901301E-5</v>
      </c>
      <c r="F29422" s="2">
        <v>2.83872762550369E-6</v>
      </c>
    </row>
    <row r="29423" spans="1:6" x14ac:dyDescent="0.25">
      <c r="A29423" s="1" t="str">
        <f t="shared" si="1056"/>
        <v>39580</v>
      </c>
      <c r="B29423" s="1" t="str">
        <f>"27522"</f>
        <v>27522</v>
      </c>
      <c r="C29423" s="2">
        <v>3.6484670037764802E-4</v>
      </c>
      <c r="D29423" s="2">
        <v>9.0879348576829397E-5</v>
      </c>
      <c r="E29423" s="2">
        <v>4.0645449741901301E-5</v>
      </c>
      <c r="F29423" s="2">
        <v>3.3213113218393198E-4</v>
      </c>
    </row>
    <row r="29424" spans="1:6" x14ac:dyDescent="0.25">
      <c r="A29424" s="1" t="str">
        <f t="shared" si="1056"/>
        <v>39580</v>
      </c>
      <c r="B29424" s="1" t="str">
        <f>"27636"</f>
        <v>27636</v>
      </c>
      <c r="C29424" s="2">
        <v>5.2326697817320605E-4</v>
      </c>
      <c r="D29424" s="2">
        <v>3.4534152459195101E-3</v>
      </c>
      <c r="E29424" s="2">
        <v>4.0645449741901301E-5</v>
      </c>
      <c r="F29424" s="2">
        <v>7.3523045500545705E-4</v>
      </c>
    </row>
    <row r="29425" spans="1:6" x14ac:dyDescent="0.25">
      <c r="A29425" s="1" t="str">
        <f t="shared" si="1056"/>
        <v>39580</v>
      </c>
      <c r="B29425" s="1" t="str">
        <f>"27690"</f>
        <v>27690</v>
      </c>
      <c r="C29425" s="2">
        <v>0</v>
      </c>
      <c r="D29425" s="2">
        <v>1.8175869715365801E-5</v>
      </c>
      <c r="E29425" s="2">
        <v>1.01613624354753E-3</v>
      </c>
      <c r="F29425" s="2">
        <v>3.6903459131548002E-5</v>
      </c>
    </row>
    <row r="29426" spans="1:6" x14ac:dyDescent="0.25">
      <c r="A29426" s="1" t="str">
        <f t="shared" si="1056"/>
        <v>39580</v>
      </c>
      <c r="B29426" s="1" t="str">
        <f>"27816"</f>
        <v>27816</v>
      </c>
      <c r="C29426" s="2">
        <v>1.0097292453433999E-3</v>
      </c>
      <c r="D29426" s="2">
        <v>1.8175869715365801E-4</v>
      </c>
      <c r="E29426" s="2">
        <v>0</v>
      </c>
      <c r="F29426" s="2">
        <v>9.0981220397393396E-4</v>
      </c>
    </row>
    <row r="29427" spans="1:6" x14ac:dyDescent="0.25">
      <c r="A29427" s="1" t="str">
        <f t="shared" si="1056"/>
        <v>39580</v>
      </c>
      <c r="B29427" s="1" t="str">
        <f>"27511"</f>
        <v>27511</v>
      </c>
      <c r="C29427" s="2">
        <v>2.3417397426870601E-2</v>
      </c>
      <c r="D29427" s="2">
        <v>3.3407248536842397E-2</v>
      </c>
      <c r="E29427" s="2">
        <v>3.7800268259968198E-2</v>
      </c>
      <c r="F29427" s="2">
        <v>2.4699769069507601E-2</v>
      </c>
    </row>
    <row r="29428" spans="1:6" x14ac:dyDescent="0.25">
      <c r="A29428" s="1" t="str">
        <f t="shared" si="1056"/>
        <v>39580</v>
      </c>
      <c r="B29428" s="1" t="str">
        <f>"27568"</f>
        <v>27568</v>
      </c>
      <c r="C29428" s="2">
        <v>0</v>
      </c>
      <c r="D29428" s="2">
        <v>1.8175869715365801E-5</v>
      </c>
      <c r="E29428" s="2">
        <v>3.1744096248424898E-2</v>
      </c>
      <c r="F29428" s="2">
        <v>1.1099425015719401E-3</v>
      </c>
    </row>
    <row r="29429" spans="1:6" x14ac:dyDescent="0.25">
      <c r="A29429" s="1" t="str">
        <f t="shared" si="1056"/>
        <v>39580</v>
      </c>
      <c r="B29429" s="1" t="str">
        <f>"27539"</f>
        <v>27539</v>
      </c>
      <c r="C29429" s="2">
        <v>1.5979645394610501E-2</v>
      </c>
      <c r="D29429" s="2">
        <v>5.6345196117634196E-3</v>
      </c>
      <c r="E29429" s="2">
        <v>1.13807259277323E-3</v>
      </c>
      <c r="F29429" s="2">
        <v>1.465351200285E-2</v>
      </c>
    </row>
    <row r="29430" spans="1:6" x14ac:dyDescent="0.25">
      <c r="A29430" s="1" t="str">
        <f t="shared" si="1056"/>
        <v>39580</v>
      </c>
      <c r="B29430" s="1" t="str">
        <f>"27540"</f>
        <v>27540</v>
      </c>
      <c r="C29430" s="2">
        <v>2.6097740510785301E-2</v>
      </c>
      <c r="D29430" s="2">
        <v>1.6358282743829201E-2</v>
      </c>
      <c r="E29430" s="2">
        <v>1.7071088891598501E-3</v>
      </c>
      <c r="F29430" s="2">
        <v>2.4485445133782101E-2</v>
      </c>
    </row>
    <row r="29431" spans="1:6" x14ac:dyDescent="0.25">
      <c r="A29431" s="1" t="str">
        <f t="shared" si="1056"/>
        <v>39580</v>
      </c>
      <c r="B29431" s="1" t="str">
        <f>"27544"</f>
        <v>27544</v>
      </c>
      <c r="C29431" s="2">
        <v>7.3449401523394901E-4</v>
      </c>
      <c r="D29431" s="2">
        <v>3.6351739430731703E-5</v>
      </c>
      <c r="E29431" s="2">
        <v>0</v>
      </c>
      <c r="F29431" s="2">
        <v>6.5432671767860198E-4</v>
      </c>
    </row>
    <row r="29432" spans="1:6" x14ac:dyDescent="0.25">
      <c r="A29432" s="1" t="str">
        <f t="shared" si="1056"/>
        <v>39580</v>
      </c>
      <c r="B29432" s="1" t="str">
        <f>"27525"</f>
        <v>27525</v>
      </c>
      <c r="C29432" s="2">
        <v>8.7307175318440695E-3</v>
      </c>
      <c r="D29432" s="2">
        <v>3.9078119888036602E-3</v>
      </c>
      <c r="E29432" s="2">
        <v>1.01613624354753E-3</v>
      </c>
      <c r="F29432" s="2">
        <v>8.0846962774345204E-3</v>
      </c>
    </row>
    <row r="29433" spans="1:6" x14ac:dyDescent="0.25">
      <c r="A29433" s="1" t="str">
        <f t="shared" si="1056"/>
        <v>39580</v>
      </c>
      <c r="B29433" s="1" t="str">
        <f>"27613"</f>
        <v>27613</v>
      </c>
      <c r="C29433" s="2">
        <v>3.1620047366062803E-2</v>
      </c>
      <c r="D29433" s="2">
        <v>1.0687411392635101E-2</v>
      </c>
      <c r="E29433" s="2">
        <v>3.72312319635816E-2</v>
      </c>
      <c r="F29433" s="2">
        <v>3.0181352114355301E-2</v>
      </c>
    </row>
    <row r="29434" spans="1:6" x14ac:dyDescent="0.25">
      <c r="A29434" s="1" t="str">
        <f t="shared" si="1056"/>
        <v>39580</v>
      </c>
      <c r="B29434" s="1" t="str">
        <f>"27591"</f>
        <v>27591</v>
      </c>
      <c r="C29434" s="2">
        <v>1.5853229213339301E-2</v>
      </c>
      <c r="D29434" s="2">
        <v>5.4164091751790298E-3</v>
      </c>
      <c r="E29434" s="2">
        <v>1.9103361378693599E-3</v>
      </c>
      <c r="F29434" s="2">
        <v>1.4551317808331901E-2</v>
      </c>
    </row>
    <row r="29435" spans="1:6" x14ac:dyDescent="0.25">
      <c r="A29435" s="1" t="str">
        <f t="shared" ref="A29435:A29454" si="1057">"39580"</f>
        <v>39580</v>
      </c>
      <c r="B29435" s="1" t="str">
        <f>"27513"</f>
        <v>27513</v>
      </c>
      <c r="C29435" s="2">
        <v>3.1992895090571502E-2</v>
      </c>
      <c r="D29435" s="2">
        <v>2.6773056090733899E-2</v>
      </c>
      <c r="E29435" s="2">
        <v>3.75970410112587E-2</v>
      </c>
      <c r="F29435" s="2">
        <v>3.1780975131326598E-2</v>
      </c>
    </row>
    <row r="29436" spans="1:6" x14ac:dyDescent="0.25">
      <c r="A29436" s="1" t="str">
        <f t="shared" si="1057"/>
        <v>39580</v>
      </c>
      <c r="B29436" s="1" t="str">
        <f>"27587"</f>
        <v>27587</v>
      </c>
      <c r="C29436" s="2">
        <v>4.5698649427126599E-2</v>
      </c>
      <c r="D29436" s="2">
        <v>3.0880802646406601E-2</v>
      </c>
      <c r="E29436" s="2">
        <v>2.3696297199528499E-2</v>
      </c>
      <c r="F29436" s="2">
        <v>4.3773179985267002E-2</v>
      </c>
    </row>
    <row r="29437" spans="1:6" x14ac:dyDescent="0.25">
      <c r="A29437" s="1" t="str">
        <f t="shared" si="1057"/>
        <v>39580</v>
      </c>
      <c r="B29437" s="1" t="str">
        <f>"27614"</f>
        <v>27614</v>
      </c>
      <c r="C29437" s="2">
        <v>2.3295781860078E-2</v>
      </c>
      <c r="D29437" s="2">
        <v>1.03057181286124E-2</v>
      </c>
      <c r="E29437" s="2">
        <v>1.8087225135146101E-2</v>
      </c>
      <c r="F29437" s="2">
        <v>2.2099494564546199E-2</v>
      </c>
    </row>
    <row r="29438" spans="1:6" x14ac:dyDescent="0.25">
      <c r="A29438" s="1" t="str">
        <f t="shared" si="1057"/>
        <v>39580</v>
      </c>
      <c r="B29438" s="1" t="str">
        <f>"27611"</f>
        <v>27611</v>
      </c>
      <c r="C29438" s="2">
        <v>3.1155987966459699E-3</v>
      </c>
      <c r="D29438" s="2">
        <v>1.21051292304336E-2</v>
      </c>
      <c r="E29438" s="2">
        <v>4.0645449741901301E-5</v>
      </c>
      <c r="F29438" s="2">
        <v>3.7102170065333299E-3</v>
      </c>
    </row>
    <row r="29439" spans="1:6" x14ac:dyDescent="0.25">
      <c r="A29439" s="1" t="str">
        <f t="shared" si="1057"/>
        <v>39580</v>
      </c>
      <c r="B29439" s="1" t="str">
        <f>"27596"</f>
        <v>27596</v>
      </c>
      <c r="C29439" s="2">
        <v>1.33633105037444E-2</v>
      </c>
      <c r="D29439" s="2">
        <v>1.01057835617434E-2</v>
      </c>
      <c r="E29439" s="2">
        <v>3.37357232857781E-3</v>
      </c>
      <c r="F29439" s="2">
        <v>1.2760080676639101E-2</v>
      </c>
    </row>
    <row r="29440" spans="1:6" x14ac:dyDescent="0.25">
      <c r="A29440" s="1" t="str">
        <f t="shared" si="1057"/>
        <v>39580</v>
      </c>
      <c r="B29440" s="1" t="str">
        <f>"27597"</f>
        <v>27597</v>
      </c>
      <c r="C29440" s="2">
        <v>1.7664661076617801E-2</v>
      </c>
      <c r="D29440" s="2">
        <v>1.0233014649750899E-2</v>
      </c>
      <c r="E29440" s="2">
        <v>2.9264723814169001E-3</v>
      </c>
      <c r="F29440" s="2">
        <v>1.6569653150064999E-2</v>
      </c>
    </row>
    <row r="29441" spans="1:6" x14ac:dyDescent="0.25">
      <c r="A29441" s="1" t="str">
        <f t="shared" si="1057"/>
        <v>39580</v>
      </c>
      <c r="B29441" s="1" t="str">
        <f>"27593"</f>
        <v>27593</v>
      </c>
      <c r="C29441" s="2">
        <v>0</v>
      </c>
      <c r="D29441" s="2">
        <v>1.8175869715365801E-5</v>
      </c>
      <c r="E29441" s="2">
        <v>0</v>
      </c>
      <c r="F29441" s="2">
        <v>1.4193638127518399E-6</v>
      </c>
    </row>
    <row r="29442" spans="1:6" x14ac:dyDescent="0.25">
      <c r="A29442" s="1" t="str">
        <f t="shared" si="1057"/>
        <v>39580</v>
      </c>
      <c r="B29442" s="1" t="str">
        <f>"27537"</f>
        <v>27537</v>
      </c>
      <c r="C29442" s="2">
        <v>7.8730077449913497E-4</v>
      </c>
      <c r="D29442" s="2">
        <v>1.45406957722927E-4</v>
      </c>
      <c r="E29442" s="2">
        <v>0</v>
      </c>
      <c r="F29442" s="2">
        <v>7.0968190637592395E-4</v>
      </c>
    </row>
    <row r="29443" spans="1:6" x14ac:dyDescent="0.25">
      <c r="A29443" s="1" t="str">
        <f t="shared" si="1057"/>
        <v>39580</v>
      </c>
      <c r="B29443" s="1" t="str">
        <f>"27549"</f>
        <v>27549</v>
      </c>
      <c r="C29443" s="2">
        <v>1.7599052678742799E-2</v>
      </c>
      <c r="D29443" s="2">
        <v>1.4104474899123901E-2</v>
      </c>
      <c r="E29443" s="2">
        <v>4.3490631223834404E-3</v>
      </c>
      <c r="F29443" s="2">
        <v>1.6863461459304702E-2</v>
      </c>
    </row>
    <row r="29444" spans="1:6" x14ac:dyDescent="0.25">
      <c r="A29444" s="1" t="str">
        <f t="shared" si="1057"/>
        <v>39580</v>
      </c>
      <c r="B29444" s="1" t="str">
        <f>"27609"</f>
        <v>27609</v>
      </c>
      <c r="C29444" s="2">
        <v>3.0010241310887701E-2</v>
      </c>
      <c r="D29444" s="2">
        <v>5.7163110254825601E-2</v>
      </c>
      <c r="E29444" s="2">
        <v>7.8283136202902004E-2</v>
      </c>
      <c r="F29444" s="2">
        <v>3.3816342838812699E-2</v>
      </c>
    </row>
    <row r="29445" spans="1:6" x14ac:dyDescent="0.25">
      <c r="A29445" s="1" t="str">
        <f t="shared" si="1057"/>
        <v>39580</v>
      </c>
      <c r="B29445" s="1" t="str">
        <f>"27604"</f>
        <v>27604</v>
      </c>
      <c r="C29445" s="2">
        <v>3.2327337899251102E-2</v>
      </c>
      <c r="D29445" s="2">
        <v>3.6424442909593201E-2</v>
      </c>
      <c r="E29445" s="2">
        <v>5.7635247734016098E-2</v>
      </c>
      <c r="F29445" s="2">
        <v>3.3531050712449599E-2</v>
      </c>
    </row>
    <row r="29446" spans="1:6" x14ac:dyDescent="0.25">
      <c r="A29446" s="1" t="str">
        <f t="shared" si="1057"/>
        <v>39580</v>
      </c>
      <c r="B29446" s="1" t="str">
        <f>"27615"</f>
        <v>27615</v>
      </c>
      <c r="C29446" s="2">
        <v>3.1538436919925701E-2</v>
      </c>
      <c r="D29446" s="2">
        <v>4.3331273401432203E-2</v>
      </c>
      <c r="E29446" s="2">
        <v>4.9993903182538699E-2</v>
      </c>
      <c r="F29446" s="2">
        <v>3.3103822204811298E-2</v>
      </c>
    </row>
    <row r="29447" spans="1:6" x14ac:dyDescent="0.25">
      <c r="A29447" s="1" t="str">
        <f t="shared" si="1057"/>
        <v>39580</v>
      </c>
      <c r="B29447" s="1" t="str">
        <f>"27520"</f>
        <v>27520</v>
      </c>
      <c r="C29447" s="2">
        <v>3.10327721948409E-2</v>
      </c>
      <c r="D29447" s="2">
        <v>2.0956777781816802E-2</v>
      </c>
      <c r="E29447" s="2">
        <v>1.44697801081168E-2</v>
      </c>
      <c r="F29447" s="2">
        <v>2.96675424141391E-2</v>
      </c>
    </row>
    <row r="29448" spans="1:6" x14ac:dyDescent="0.25">
      <c r="A29448" s="1" t="str">
        <f t="shared" si="1057"/>
        <v>39580</v>
      </c>
      <c r="B29448" s="1" t="str">
        <f>"27504"</f>
        <v>27504</v>
      </c>
      <c r="C29448" s="2">
        <v>1.36337451193752E-2</v>
      </c>
      <c r="D29448" s="2">
        <v>1.45406957722927E-2</v>
      </c>
      <c r="E29448" s="2">
        <v>8.1290899483802692E-3</v>
      </c>
      <c r="F29448" s="2">
        <v>1.35123434973975E-2</v>
      </c>
    </row>
    <row r="29449" spans="1:6" x14ac:dyDescent="0.25">
      <c r="A29449" s="1" t="str">
        <f t="shared" si="1057"/>
        <v>39580</v>
      </c>
      <c r="B29449" s="1" t="str">
        <f>"27512"</f>
        <v>27512</v>
      </c>
      <c r="C29449" s="2">
        <v>1.9698521410740498E-3</v>
      </c>
      <c r="D29449" s="2">
        <v>1.29412192373405E-2</v>
      </c>
      <c r="E29449" s="2">
        <v>4.0645449741901301E-5</v>
      </c>
      <c r="F29449" s="2">
        <v>2.75924325198959E-3</v>
      </c>
    </row>
    <row r="29450" spans="1:6" x14ac:dyDescent="0.25">
      <c r="A29450" s="1" t="str">
        <f t="shared" si="1057"/>
        <v>39580</v>
      </c>
      <c r="B29450" s="1" t="str">
        <f>"27571"</f>
        <v>27571</v>
      </c>
      <c r="C29450" s="2">
        <v>5.8167445433015396E-3</v>
      </c>
      <c r="D29450" s="2">
        <v>5.4164091751790298E-3</v>
      </c>
      <c r="E29450" s="2">
        <v>5.69036296386619E-4</v>
      </c>
      <c r="F29450" s="2">
        <v>5.6022289689315399E-3</v>
      </c>
    </row>
    <row r="29451" spans="1:6" x14ac:dyDescent="0.25">
      <c r="A29451" s="1" t="str">
        <f t="shared" si="1057"/>
        <v>39580</v>
      </c>
      <c r="B29451" s="1" t="str">
        <f>"27542"</f>
        <v>27542</v>
      </c>
      <c r="C29451" s="2">
        <v>4.6869999359918004E-3</v>
      </c>
      <c r="D29451" s="2">
        <v>1.7812352321058501E-3</v>
      </c>
      <c r="E29451" s="2">
        <v>4.4709994716091498E-4</v>
      </c>
      <c r="F29451" s="2">
        <v>4.3120272631401099E-3</v>
      </c>
    </row>
    <row r="29452" spans="1:6" x14ac:dyDescent="0.25">
      <c r="A29452" s="1" t="str">
        <f t="shared" si="1057"/>
        <v>39580</v>
      </c>
      <c r="B29452" s="1" t="str">
        <f>"27523"</f>
        <v>27523</v>
      </c>
      <c r="C29452" s="2">
        <v>9.9212699225500797E-3</v>
      </c>
      <c r="D29452" s="2">
        <v>4.5621432985568297E-3</v>
      </c>
      <c r="E29452" s="2">
        <v>1.38194529122464E-3</v>
      </c>
      <c r="F29452" s="2">
        <v>9.2045743256957292E-3</v>
      </c>
    </row>
    <row r="29453" spans="1:6" x14ac:dyDescent="0.25">
      <c r="A29453" s="1" t="str">
        <f t="shared" si="1057"/>
        <v>39580</v>
      </c>
      <c r="B29453" s="1" t="str">
        <f>"27617"</f>
        <v>27617</v>
      </c>
      <c r="C29453" s="2">
        <v>1.6515714011393401E-2</v>
      </c>
      <c r="D29453" s="2">
        <v>1.9993456686902399E-2</v>
      </c>
      <c r="E29453" s="2">
        <v>3.4060886883713302E-2</v>
      </c>
      <c r="F29453" s="2">
        <v>1.73999809805249E-2</v>
      </c>
    </row>
    <row r="29454" spans="1:6" x14ac:dyDescent="0.25">
      <c r="A29454" s="1" t="str">
        <f t="shared" si="1057"/>
        <v>39580</v>
      </c>
      <c r="B29454" s="1" t="str">
        <f>"27605"</f>
        <v>27605</v>
      </c>
      <c r="C29454" s="2">
        <v>8.1370415413172803E-3</v>
      </c>
      <c r="D29454" s="2">
        <v>1.7776000581627802E-2</v>
      </c>
      <c r="E29454" s="2">
        <v>1.7843352436694701E-2</v>
      </c>
      <c r="F29454" s="2">
        <v>9.2287035105125103E-3</v>
      </c>
    </row>
    <row r="29455" spans="1:6" x14ac:dyDescent="0.25">
      <c r="A29455" s="1" t="str">
        <f t="shared" ref="A29455:A29486" si="1058">"39660"</f>
        <v>39660</v>
      </c>
      <c r="B29455" s="1" t="str">
        <f>"57737"</f>
        <v>57737</v>
      </c>
      <c r="C29455" s="2">
        <v>4.0357537891243901E-4</v>
      </c>
      <c r="D29455" s="2">
        <v>0</v>
      </c>
      <c r="E29455" s="2">
        <v>2.7739251040221897E-4</v>
      </c>
      <c r="F29455" s="2">
        <v>3.6069459473385803E-4</v>
      </c>
    </row>
    <row r="29456" spans="1:6" x14ac:dyDescent="0.25">
      <c r="A29456" s="1" t="str">
        <f t="shared" si="1058"/>
        <v>39660</v>
      </c>
      <c r="B29456" s="1" t="str">
        <f>"57741"</f>
        <v>57741</v>
      </c>
      <c r="C29456" s="2">
        <v>4.7831156019252001E-4</v>
      </c>
      <c r="D29456" s="2">
        <v>1.4042971492767801E-4</v>
      </c>
      <c r="E29456" s="2">
        <v>2.7739251040221897E-4</v>
      </c>
      <c r="F29456" s="2">
        <v>4.3798629360539999E-4</v>
      </c>
    </row>
    <row r="29457" spans="1:6" x14ac:dyDescent="0.25">
      <c r="A29457" s="1" t="str">
        <f t="shared" si="1058"/>
        <v>39660</v>
      </c>
      <c r="B29457" s="1" t="str">
        <f>"57780"</f>
        <v>57780</v>
      </c>
      <c r="C29457" s="2">
        <v>1.00146482915308E-3</v>
      </c>
      <c r="D29457" s="2">
        <v>0</v>
      </c>
      <c r="E29457" s="2">
        <v>2.7739251040221897E-4</v>
      </c>
      <c r="F29457" s="2">
        <v>8.7597258721079999E-4</v>
      </c>
    </row>
    <row r="29458" spans="1:6" x14ac:dyDescent="0.25">
      <c r="A29458" s="1" t="str">
        <f t="shared" si="1058"/>
        <v>39660</v>
      </c>
      <c r="B29458" s="1" t="str">
        <f>"57732"</f>
        <v>57732</v>
      </c>
      <c r="C29458" s="2">
        <v>4.48417087680487E-5</v>
      </c>
      <c r="D29458" s="2">
        <v>0</v>
      </c>
      <c r="E29458" s="2">
        <v>0</v>
      </c>
      <c r="F29458" s="2">
        <v>3.8645849435770502E-5</v>
      </c>
    </row>
    <row r="29459" spans="1:6" x14ac:dyDescent="0.25">
      <c r="A29459" s="1" t="str">
        <f t="shared" si="1058"/>
        <v>39660</v>
      </c>
      <c r="B29459" s="1" t="str">
        <f>"57767"</f>
        <v>57767</v>
      </c>
      <c r="C29459" s="2">
        <v>1.1359899554572301E-3</v>
      </c>
      <c r="D29459" s="2">
        <v>1.4042971492767801E-4</v>
      </c>
      <c r="E29459" s="2">
        <v>2.7739251040221897E-4</v>
      </c>
      <c r="F29459" s="2">
        <v>1.0047920853300299E-3</v>
      </c>
    </row>
    <row r="29460" spans="1:6" x14ac:dyDescent="0.25">
      <c r="A29460" s="1" t="str">
        <f t="shared" si="1058"/>
        <v>39660</v>
      </c>
      <c r="B29460" s="1" t="str">
        <f>"57775"</f>
        <v>57775</v>
      </c>
      <c r="C29460" s="2">
        <v>1.77872111446593E-3</v>
      </c>
      <c r="D29460" s="2">
        <v>0</v>
      </c>
      <c r="E29460" s="2">
        <v>2.7739251040221897E-4</v>
      </c>
      <c r="F29460" s="2">
        <v>1.54583397743082E-3</v>
      </c>
    </row>
    <row r="29461" spans="1:6" x14ac:dyDescent="0.25">
      <c r="A29461" s="1" t="str">
        <f t="shared" si="1058"/>
        <v>39660</v>
      </c>
      <c r="B29461" s="1" t="str">
        <f>"57706"</f>
        <v>57706</v>
      </c>
      <c r="C29461" s="2">
        <v>1.0373381961675201E-2</v>
      </c>
      <c r="D29461" s="2">
        <v>1.6149417216683001E-2</v>
      </c>
      <c r="E29461" s="2">
        <v>1.94174757281553E-3</v>
      </c>
      <c r="F29461" s="2">
        <v>1.05116710465296E-2</v>
      </c>
    </row>
    <row r="29462" spans="1:6" x14ac:dyDescent="0.25">
      <c r="A29462" s="1" t="str">
        <f t="shared" si="1058"/>
        <v>39660</v>
      </c>
      <c r="B29462" s="1" t="str">
        <f>"57761"</f>
        <v>57761</v>
      </c>
      <c r="C29462" s="2">
        <v>7.7576156168724401E-3</v>
      </c>
      <c r="D29462" s="2">
        <v>1.2638674343491E-3</v>
      </c>
      <c r="E29462" s="2">
        <v>2.7739251040221902E-3</v>
      </c>
      <c r="F29462" s="2">
        <v>6.9304889988148601E-3</v>
      </c>
    </row>
    <row r="29463" spans="1:6" x14ac:dyDescent="0.25">
      <c r="A29463" s="1" t="str">
        <f t="shared" si="1058"/>
        <v>39660</v>
      </c>
      <c r="B29463" s="1" t="str">
        <f>"57787"</f>
        <v>57787</v>
      </c>
      <c r="C29463" s="2">
        <v>3.1837613225314601E-3</v>
      </c>
      <c r="D29463" s="2">
        <v>5.6171885971071397E-4</v>
      </c>
      <c r="E29463" s="2">
        <v>1.10957004160887E-3</v>
      </c>
      <c r="F29463" s="2">
        <v>2.8469109084351E-3</v>
      </c>
    </row>
    <row r="29464" spans="1:6" x14ac:dyDescent="0.25">
      <c r="A29464" s="1" t="str">
        <f t="shared" si="1058"/>
        <v>39660</v>
      </c>
      <c r="B29464" s="1" t="str">
        <f>"57751"</f>
        <v>57751</v>
      </c>
      <c r="C29464" s="2">
        <v>6.14331410122268E-3</v>
      </c>
      <c r="D29464" s="2">
        <v>1.05322286195759E-2</v>
      </c>
      <c r="E29464" s="2">
        <v>6.3800277392510396E-3</v>
      </c>
      <c r="F29464" s="2">
        <v>6.5569124542690701E-3</v>
      </c>
    </row>
    <row r="29465" spans="1:6" x14ac:dyDescent="0.25">
      <c r="A29465" s="1" t="str">
        <f t="shared" si="1058"/>
        <v>39660</v>
      </c>
      <c r="B29465" s="1" t="str">
        <f>"57750"</f>
        <v>57750</v>
      </c>
      <c r="C29465" s="2">
        <v>1.1957789004813E-4</v>
      </c>
      <c r="D29465" s="2">
        <v>0</v>
      </c>
      <c r="E29465" s="2">
        <v>0</v>
      </c>
      <c r="F29465" s="2">
        <v>1.03055598495388E-4</v>
      </c>
    </row>
    <row r="29466" spans="1:6" x14ac:dyDescent="0.25">
      <c r="A29466" s="1" t="str">
        <f t="shared" si="1058"/>
        <v>39660</v>
      </c>
      <c r="B29466" s="1" t="str">
        <f>"57792"</f>
        <v>57792</v>
      </c>
      <c r="C29466" s="2">
        <v>7.1746734028877996E-4</v>
      </c>
      <c r="D29466" s="2">
        <v>1.4042971492767801E-4</v>
      </c>
      <c r="E29466" s="2">
        <v>2.7739251040221897E-4</v>
      </c>
      <c r="F29466" s="2">
        <v>6.4409749059617604E-4</v>
      </c>
    </row>
    <row r="29467" spans="1:6" x14ac:dyDescent="0.25">
      <c r="A29467" s="1" t="str">
        <f t="shared" si="1058"/>
        <v>39660</v>
      </c>
      <c r="B29467" s="1" t="str">
        <f>"57793"</f>
        <v>57793</v>
      </c>
      <c r="C29467" s="2">
        <v>2.48124121849869E-3</v>
      </c>
      <c r="D29467" s="2">
        <v>0</v>
      </c>
      <c r="E29467" s="2">
        <v>0</v>
      </c>
      <c r="F29467" s="2">
        <v>2.1384036687792998E-3</v>
      </c>
    </row>
    <row r="29468" spans="1:6" x14ac:dyDescent="0.25">
      <c r="A29468" s="1" t="str">
        <f t="shared" si="1058"/>
        <v>39660</v>
      </c>
      <c r="B29468" s="1" t="str">
        <f>"57748"</f>
        <v>57748</v>
      </c>
      <c r="C29468" s="2">
        <v>1.4947236256016201E-3</v>
      </c>
      <c r="D29468" s="2">
        <v>2.8085942985535699E-4</v>
      </c>
      <c r="E29468" s="2">
        <v>2.7739251040221897E-4</v>
      </c>
      <c r="F29468" s="2">
        <v>1.32684083062812E-3</v>
      </c>
    </row>
    <row r="29469" spans="1:6" x14ac:dyDescent="0.25">
      <c r="A29469" s="1" t="str">
        <f t="shared" si="1058"/>
        <v>39660</v>
      </c>
      <c r="B29469" s="1" t="str">
        <f>"57701"</f>
        <v>57701</v>
      </c>
      <c r="C29469" s="2">
        <v>0.32392155690412799</v>
      </c>
      <c r="D29469" s="2">
        <v>0.40499929785142502</v>
      </c>
      <c r="E29469" s="2">
        <v>0.53925104022191395</v>
      </c>
      <c r="F29469" s="2">
        <v>0.34135878806616099</v>
      </c>
    </row>
    <row r="29470" spans="1:6" x14ac:dyDescent="0.25">
      <c r="A29470" s="1" t="str">
        <f t="shared" si="1058"/>
        <v>39660</v>
      </c>
      <c r="B29470" s="1" t="str">
        <f>"57702"</f>
        <v>57702</v>
      </c>
      <c r="C29470" s="2">
        <v>0.241965860512391</v>
      </c>
      <c r="D29470" s="2">
        <v>0.195337733464401</v>
      </c>
      <c r="E29470" s="2">
        <v>0.23106796116504799</v>
      </c>
      <c r="F29470" s="2">
        <v>0.23718245993713599</v>
      </c>
    </row>
    <row r="29471" spans="1:6" x14ac:dyDescent="0.25">
      <c r="A29471" s="1" t="str">
        <f t="shared" si="1058"/>
        <v>39660</v>
      </c>
      <c r="B29471" s="1" t="str">
        <f>"57626"</f>
        <v>57626</v>
      </c>
      <c r="C29471" s="2">
        <v>5.1866909808376402E-3</v>
      </c>
      <c r="D29471" s="2">
        <v>3.2298834433366098E-3</v>
      </c>
      <c r="E29471" s="2">
        <v>1.10957004160887E-3</v>
      </c>
      <c r="F29471" s="2">
        <v>4.8178492296593999E-3</v>
      </c>
    </row>
    <row r="29472" spans="1:6" x14ac:dyDescent="0.25">
      <c r="A29472" s="1" t="str">
        <f t="shared" si="1058"/>
        <v>39660</v>
      </c>
      <c r="B29472" s="1" t="str">
        <f>"57769"</f>
        <v>57769</v>
      </c>
      <c r="C29472" s="2">
        <v>2.5260829272667401E-2</v>
      </c>
      <c r="D29472" s="2">
        <v>6.0384777418901799E-3</v>
      </c>
      <c r="E29472" s="2">
        <v>3.88349514563106E-3</v>
      </c>
      <c r="F29472" s="2">
        <v>2.2504766321430399E-2</v>
      </c>
    </row>
    <row r="29473" spans="1:6" x14ac:dyDescent="0.25">
      <c r="A29473" s="1" t="str">
        <f t="shared" si="1058"/>
        <v>39660</v>
      </c>
      <c r="B29473" s="1" t="str">
        <f>"57754"</f>
        <v>57754</v>
      </c>
      <c r="C29473" s="2">
        <v>4.48417087680487E-5</v>
      </c>
      <c r="D29473" s="2">
        <v>1.4042971492767801E-4</v>
      </c>
      <c r="E29473" s="2">
        <v>0</v>
      </c>
      <c r="F29473" s="2">
        <v>5.15277992476941E-5</v>
      </c>
    </row>
    <row r="29474" spans="1:6" x14ac:dyDescent="0.25">
      <c r="A29474" s="1" t="str">
        <f t="shared" si="1058"/>
        <v>39660</v>
      </c>
      <c r="B29474" s="1" t="str">
        <f>"57709"</f>
        <v>57709</v>
      </c>
      <c r="C29474" s="2">
        <v>3.7099040387432301E-2</v>
      </c>
      <c r="D29474" s="2">
        <v>0.17048167392220101</v>
      </c>
      <c r="E29474" s="2">
        <v>1.10957004160887E-3</v>
      </c>
      <c r="F29474" s="2">
        <v>4.7663214304116998E-2</v>
      </c>
    </row>
    <row r="29475" spans="1:6" x14ac:dyDescent="0.25">
      <c r="A29475" s="1" t="str">
        <f t="shared" si="1058"/>
        <v>39660</v>
      </c>
      <c r="B29475" s="1" t="str">
        <f>"57785"</f>
        <v>57785</v>
      </c>
      <c r="C29475" s="2">
        <v>6.8607814415114599E-2</v>
      </c>
      <c r="D29475" s="2">
        <v>6.5159387726442905E-2</v>
      </c>
      <c r="E29475" s="2">
        <v>6.6019417475728107E-2</v>
      </c>
      <c r="F29475" s="2">
        <v>6.8171278404699304E-2</v>
      </c>
    </row>
    <row r="29476" spans="1:6" x14ac:dyDescent="0.25">
      <c r="A29476" s="1" t="str">
        <f t="shared" si="1058"/>
        <v>39660</v>
      </c>
      <c r="B29476" s="1" t="str">
        <f>"57791"</f>
        <v>57791</v>
      </c>
      <c r="C29476" s="2">
        <v>1.3153567905294301E-3</v>
      </c>
      <c r="D29476" s="2">
        <v>1.4042971492767801E-4</v>
      </c>
      <c r="E29476" s="2">
        <v>8.3217753120665703E-4</v>
      </c>
      <c r="F29476" s="2">
        <v>1.18513938269696E-3</v>
      </c>
    </row>
    <row r="29477" spans="1:6" x14ac:dyDescent="0.25">
      <c r="A29477" s="1" t="str">
        <f t="shared" si="1058"/>
        <v>39660</v>
      </c>
      <c r="B29477" s="1" t="str">
        <f>"57744"</f>
        <v>57744</v>
      </c>
      <c r="C29477" s="2">
        <v>2.2121909658903999E-3</v>
      </c>
      <c r="D29477" s="2">
        <v>0</v>
      </c>
      <c r="E29477" s="2">
        <v>0</v>
      </c>
      <c r="F29477" s="2">
        <v>1.90652857216468E-3</v>
      </c>
    </row>
    <row r="29478" spans="1:6" x14ac:dyDescent="0.25">
      <c r="A29478" s="1" t="str">
        <f t="shared" si="1058"/>
        <v>39660</v>
      </c>
      <c r="B29478" s="1" t="str">
        <f>"57730"</f>
        <v>57730</v>
      </c>
      <c r="C29478" s="2">
        <v>8.9683417536097498E-4</v>
      </c>
      <c r="D29478" s="2">
        <v>1.4042971492767801E-4</v>
      </c>
      <c r="E29478" s="2">
        <v>0</v>
      </c>
      <c r="F29478" s="2">
        <v>7.8579893852733505E-4</v>
      </c>
    </row>
    <row r="29479" spans="1:6" x14ac:dyDescent="0.25">
      <c r="A29479" s="1" t="str">
        <f t="shared" si="1058"/>
        <v>39660</v>
      </c>
      <c r="B29479" s="1" t="str">
        <f>"57788"</f>
        <v>57788</v>
      </c>
      <c r="C29479" s="2">
        <v>1.5694598068817E-3</v>
      </c>
      <c r="D29479" s="2">
        <v>0</v>
      </c>
      <c r="E29479" s="2">
        <v>0</v>
      </c>
      <c r="F29479" s="2">
        <v>1.3526047302519701E-3</v>
      </c>
    </row>
    <row r="29480" spans="1:6" x14ac:dyDescent="0.25">
      <c r="A29480" s="1" t="str">
        <f t="shared" si="1058"/>
        <v>39660</v>
      </c>
      <c r="B29480" s="1" t="str">
        <f>"57718"</f>
        <v>57718</v>
      </c>
      <c r="C29480" s="2">
        <v>4.3870138411407703E-2</v>
      </c>
      <c r="D29480" s="2">
        <v>2.4013481252633001E-2</v>
      </c>
      <c r="E29480" s="2">
        <v>1.9694868238557501E-2</v>
      </c>
      <c r="F29480" s="2">
        <v>4.0925954552480999E-2</v>
      </c>
    </row>
    <row r="29481" spans="1:6" x14ac:dyDescent="0.25">
      <c r="A29481" s="1" t="str">
        <f t="shared" si="1058"/>
        <v>39660</v>
      </c>
      <c r="B29481" s="1" t="str">
        <f>"57719"</f>
        <v>57719</v>
      </c>
      <c r="C29481" s="2">
        <v>7.9190457684374105E-2</v>
      </c>
      <c r="D29481" s="2">
        <v>1.9941019519730301E-2</v>
      </c>
      <c r="E29481" s="2">
        <v>4.6047156726768297E-2</v>
      </c>
      <c r="F29481" s="2">
        <v>7.2216210645643306E-2</v>
      </c>
    </row>
    <row r="29482" spans="1:6" x14ac:dyDescent="0.25">
      <c r="A29482" s="1" t="str">
        <f t="shared" si="1058"/>
        <v>39660</v>
      </c>
      <c r="B29482" s="1" t="str">
        <f>"57725"</f>
        <v>57725</v>
      </c>
      <c r="C29482" s="2">
        <v>1.1808316642252801E-3</v>
      </c>
      <c r="D29482" s="2">
        <v>1.4042971492767801E-4</v>
      </c>
      <c r="E29482" s="2">
        <v>2.7739251040221897E-4</v>
      </c>
      <c r="F29482" s="2">
        <v>1.0434379347658001E-3</v>
      </c>
    </row>
    <row r="29483" spans="1:6" x14ac:dyDescent="0.25">
      <c r="A29483" s="1" t="str">
        <f t="shared" si="1058"/>
        <v>39660</v>
      </c>
      <c r="B29483" s="1" t="str">
        <f>"57758"</f>
        <v>57758</v>
      </c>
      <c r="C29483" s="2">
        <v>1.0164120654091E-3</v>
      </c>
      <c r="D29483" s="2">
        <v>5.6171885971071397E-4</v>
      </c>
      <c r="E29483" s="2">
        <v>0</v>
      </c>
      <c r="F29483" s="2">
        <v>9.2750038645849405E-4</v>
      </c>
    </row>
    <row r="29484" spans="1:6" x14ac:dyDescent="0.25">
      <c r="A29484" s="1" t="str">
        <f t="shared" si="1058"/>
        <v>39660</v>
      </c>
      <c r="B29484" s="1" t="str">
        <f>"57790"</f>
        <v>57790</v>
      </c>
      <c r="C29484" s="2">
        <v>5.5902663597500804E-3</v>
      </c>
      <c r="D29484" s="2">
        <v>4.2128914478303602E-4</v>
      </c>
      <c r="E29484" s="2">
        <v>1.3869625520110901E-3</v>
      </c>
      <c r="F29484" s="2">
        <v>4.9209048281547802E-3</v>
      </c>
    </row>
    <row r="29485" spans="1:6" x14ac:dyDescent="0.25">
      <c r="A29485" s="1" t="str">
        <f t="shared" si="1058"/>
        <v>39660</v>
      </c>
      <c r="B29485" s="1" t="str">
        <f>"57745"</f>
        <v>57745</v>
      </c>
      <c r="C29485" s="2">
        <v>1.26603091088457E-2</v>
      </c>
      <c r="D29485" s="2">
        <v>1.05322286195759E-2</v>
      </c>
      <c r="E29485" s="2">
        <v>9.4313453536754507E-3</v>
      </c>
      <c r="F29485" s="2">
        <v>1.2315144020198799E-2</v>
      </c>
    </row>
    <row r="29486" spans="1:6" x14ac:dyDescent="0.25">
      <c r="A29486" s="1" t="str">
        <f t="shared" si="1058"/>
        <v>39660</v>
      </c>
      <c r="B29486" s="1" t="str">
        <f>"57703"</f>
        <v>57703</v>
      </c>
      <c r="C29486" s="2">
        <v>0.11129712116229699</v>
      </c>
      <c r="D29486" s="2">
        <v>6.95127088892009E-2</v>
      </c>
      <c r="E29486" s="2">
        <v>6.5742024965325899E-2</v>
      </c>
      <c r="F29486" s="2">
        <v>0.10534858556191</v>
      </c>
    </row>
    <row r="29487" spans="1:6" x14ac:dyDescent="0.25">
      <c r="A29487" s="1" t="str">
        <f t="shared" ref="A29487:A29492" si="1059">"39700"</f>
        <v>39700</v>
      </c>
      <c r="B29487" s="1" t="str">
        <f>"78594"</f>
        <v>78594</v>
      </c>
      <c r="C29487" s="2">
        <v>0</v>
      </c>
      <c r="D29487" s="2">
        <v>4.2016806722688996E-3</v>
      </c>
      <c r="E29487" s="2">
        <v>0</v>
      </c>
      <c r="F29487" s="2">
        <v>3.4328870580157899E-4</v>
      </c>
    </row>
    <row r="29488" spans="1:6" x14ac:dyDescent="0.25">
      <c r="A29488" s="1" t="str">
        <f t="shared" si="1059"/>
        <v>39700</v>
      </c>
      <c r="B29488" s="1" t="str">
        <f>"78580"</f>
        <v>78580</v>
      </c>
      <c r="C29488" s="2">
        <v>0.80354083380925101</v>
      </c>
      <c r="D29488" s="2">
        <v>0.95588235294117596</v>
      </c>
      <c r="E29488" s="2">
        <v>0.87628865979381398</v>
      </c>
      <c r="F29488" s="2">
        <v>0.81719876416065895</v>
      </c>
    </row>
    <row r="29489" spans="1:6" x14ac:dyDescent="0.25">
      <c r="A29489" s="1" t="str">
        <f t="shared" si="1059"/>
        <v>39700</v>
      </c>
      <c r="B29489" s="1" t="str">
        <f>"78561"</f>
        <v>78561</v>
      </c>
      <c r="C29489" s="2">
        <v>1.9036740909956199E-4</v>
      </c>
      <c r="D29489" s="2">
        <v>4.2016806722688996E-3</v>
      </c>
      <c r="E29489" s="2">
        <v>0</v>
      </c>
      <c r="F29489" s="2">
        <v>5.1493305870236802E-4</v>
      </c>
    </row>
    <row r="29490" spans="1:6" x14ac:dyDescent="0.25">
      <c r="A29490" s="1" t="str">
        <f t="shared" si="1059"/>
        <v>39700</v>
      </c>
      <c r="B29490" s="1" t="str">
        <f>"78569"</f>
        <v>78569</v>
      </c>
      <c r="C29490" s="2">
        <v>0.13877784123358</v>
      </c>
      <c r="D29490" s="2">
        <v>3.3613445378151197E-2</v>
      </c>
      <c r="E29490" s="2">
        <v>0.103092783505154</v>
      </c>
      <c r="F29490" s="2">
        <v>0.12959148644009599</v>
      </c>
    </row>
    <row r="29491" spans="1:6" x14ac:dyDescent="0.25">
      <c r="A29491" s="1" t="str">
        <f t="shared" si="1059"/>
        <v>39700</v>
      </c>
      <c r="B29491" s="1" t="str">
        <f>"78590"</f>
        <v>78590</v>
      </c>
      <c r="C29491" s="2">
        <v>0</v>
      </c>
      <c r="D29491" s="2">
        <v>2.1008403361344498E-3</v>
      </c>
      <c r="E29491" s="2">
        <v>0</v>
      </c>
      <c r="F29491" s="2">
        <v>1.7164435290078901E-4</v>
      </c>
    </row>
    <row r="29492" spans="1:6" x14ac:dyDescent="0.25">
      <c r="A29492" s="1" t="str">
        <f t="shared" si="1059"/>
        <v>39700</v>
      </c>
      <c r="B29492" s="1" t="str">
        <f>"78598"</f>
        <v>78598</v>
      </c>
      <c r="C29492" s="2">
        <v>5.7490957548067698E-2</v>
      </c>
      <c r="D29492" s="2">
        <v>0</v>
      </c>
      <c r="E29492" s="2">
        <v>2.06185567010309E-2</v>
      </c>
      <c r="F29492" s="2">
        <v>5.2179883281839999E-2</v>
      </c>
    </row>
    <row r="29493" spans="1:6" x14ac:dyDescent="0.25">
      <c r="A29493" s="1" t="str">
        <f t="shared" ref="A29493:A29524" si="1060">"39740"</f>
        <v>39740</v>
      </c>
      <c r="B29493" s="1" t="str">
        <f>"19564"</f>
        <v>19564</v>
      </c>
      <c r="C29493" s="2">
        <v>0</v>
      </c>
      <c r="D29493" s="2">
        <v>7.7351485148514798E-5</v>
      </c>
      <c r="E29493" s="2">
        <v>0</v>
      </c>
      <c r="F29493" s="2">
        <v>5.0292703534571197E-6</v>
      </c>
    </row>
    <row r="29494" spans="1:6" x14ac:dyDescent="0.25">
      <c r="A29494" s="1" t="str">
        <f t="shared" si="1060"/>
        <v>39740</v>
      </c>
      <c r="B29494" s="1" t="str">
        <f>"19608"</f>
        <v>19608</v>
      </c>
      <c r="C29494" s="2">
        <v>5.1359432351923903E-2</v>
      </c>
      <c r="D29494" s="2">
        <v>3.3957301980198001E-2</v>
      </c>
      <c r="E29494" s="2">
        <v>2.10779885576633E-2</v>
      </c>
      <c r="F29494" s="2">
        <v>4.9216439678931301E-2</v>
      </c>
    </row>
    <row r="29495" spans="1:6" x14ac:dyDescent="0.25">
      <c r="A29495" s="1" t="str">
        <f t="shared" si="1060"/>
        <v>39740</v>
      </c>
      <c r="B29495" s="1" t="str">
        <f>"19606"</f>
        <v>19606</v>
      </c>
      <c r="C29495" s="2">
        <v>8.6335389867571E-2</v>
      </c>
      <c r="D29495" s="2">
        <v>9.375E-2</v>
      </c>
      <c r="E29495" s="2">
        <v>3.9897621198434201E-2</v>
      </c>
      <c r="F29495" s="2">
        <v>8.5266249572511998E-2</v>
      </c>
    </row>
    <row r="29496" spans="1:6" x14ac:dyDescent="0.25">
      <c r="A29496" s="1" t="str">
        <f t="shared" si="1060"/>
        <v>39740</v>
      </c>
      <c r="B29496" s="1" t="str">
        <f>"19511"</f>
        <v>19511</v>
      </c>
      <c r="C29496" s="2">
        <v>0</v>
      </c>
      <c r="D29496" s="2">
        <v>0</v>
      </c>
      <c r="E29496" s="2">
        <v>1.5055706112616601E-4</v>
      </c>
      <c r="F29496" s="2">
        <v>5.0292703534571197E-6</v>
      </c>
    </row>
    <row r="29497" spans="1:6" x14ac:dyDescent="0.25">
      <c r="A29497" s="1" t="str">
        <f t="shared" si="1060"/>
        <v>39740</v>
      </c>
      <c r="B29497" s="1" t="str">
        <f>"17073"</f>
        <v>17073</v>
      </c>
      <c r="C29497" s="2">
        <v>1.1156605268149001E-5</v>
      </c>
      <c r="D29497" s="2">
        <v>0</v>
      </c>
      <c r="E29497" s="2">
        <v>0</v>
      </c>
      <c r="F29497" s="2">
        <v>1.0058540706914201E-5</v>
      </c>
    </row>
    <row r="29498" spans="1:6" x14ac:dyDescent="0.25">
      <c r="A29498" s="1" t="str">
        <f t="shared" si="1060"/>
        <v>39740</v>
      </c>
      <c r="B29498" s="1" t="str">
        <f>"19523"</f>
        <v>19523</v>
      </c>
      <c r="C29498" s="2">
        <v>5.5783026340745004E-6</v>
      </c>
      <c r="D29498" s="2">
        <v>7.7351485148514798E-5</v>
      </c>
      <c r="E29498" s="2">
        <v>0</v>
      </c>
      <c r="F29498" s="2">
        <v>1.0058540706914201E-5</v>
      </c>
    </row>
    <row r="29499" spans="1:6" x14ac:dyDescent="0.25">
      <c r="A29499" s="1" t="str">
        <f t="shared" si="1060"/>
        <v>39740</v>
      </c>
      <c r="B29499" s="1" t="str">
        <f>"18056"</f>
        <v>18056</v>
      </c>
      <c r="C29499" s="2">
        <v>2.5994890274787098E-3</v>
      </c>
      <c r="D29499" s="2">
        <v>6.9616336633663298E-4</v>
      </c>
      <c r="E29499" s="2">
        <v>0</v>
      </c>
      <c r="F29499" s="2">
        <v>2.3889034178921301E-3</v>
      </c>
    </row>
    <row r="29500" spans="1:6" x14ac:dyDescent="0.25">
      <c r="A29500" s="1" t="str">
        <f t="shared" si="1060"/>
        <v>39740</v>
      </c>
      <c r="B29500" s="1" t="str">
        <f>"18011"</f>
        <v>18011</v>
      </c>
      <c r="C29500" s="2">
        <v>4.0833175281425301E-3</v>
      </c>
      <c r="D29500" s="2">
        <v>4.6410891089108898E-4</v>
      </c>
      <c r="E29500" s="2">
        <v>3.0111412225233299E-4</v>
      </c>
      <c r="F29500" s="2">
        <v>3.7216600615582601E-3</v>
      </c>
    </row>
    <row r="29501" spans="1:6" x14ac:dyDescent="0.25">
      <c r="A29501" s="1" t="str">
        <f t="shared" si="1060"/>
        <v>39740</v>
      </c>
      <c r="B29501" s="1" t="str">
        <f>"18062"</f>
        <v>18062</v>
      </c>
      <c r="C29501" s="2">
        <v>4.1614137650195704E-3</v>
      </c>
      <c r="D29501" s="2">
        <v>7.7351485148514801E-4</v>
      </c>
      <c r="E29501" s="2">
        <v>0</v>
      </c>
      <c r="F29501" s="2">
        <v>3.8021283872135799E-3</v>
      </c>
    </row>
    <row r="29502" spans="1:6" x14ac:dyDescent="0.25">
      <c r="A29502" s="1" t="str">
        <f t="shared" si="1060"/>
        <v>39740</v>
      </c>
      <c r="B29502" s="1" t="str">
        <f>"19607"</f>
        <v>19607</v>
      </c>
      <c r="C29502" s="2">
        <v>6.0240090145370503E-2</v>
      </c>
      <c r="D29502" s="2">
        <v>6.1417079207920701E-2</v>
      </c>
      <c r="E29502" s="2">
        <v>5.0135501355013497E-2</v>
      </c>
      <c r="F29502" s="2">
        <v>5.9979078235329601E-2</v>
      </c>
    </row>
    <row r="29503" spans="1:6" x14ac:dyDescent="0.25">
      <c r="A29503" s="1" t="str">
        <f t="shared" si="1060"/>
        <v>39740</v>
      </c>
      <c r="B29503" s="1" t="str">
        <f>"19505"</f>
        <v>19505</v>
      </c>
      <c r="C29503" s="2">
        <v>8.60174266174288E-3</v>
      </c>
      <c r="D29503" s="2">
        <v>5.8787128712871201E-3</v>
      </c>
      <c r="E29503" s="2">
        <v>4.8178259560373296E-3</v>
      </c>
      <c r="F29503" s="2">
        <v>8.2982960832042405E-3</v>
      </c>
    </row>
    <row r="29504" spans="1:6" x14ac:dyDescent="0.25">
      <c r="A29504" s="1" t="str">
        <f t="shared" si="1060"/>
        <v>39740</v>
      </c>
      <c r="B29504" s="1" t="str">
        <f>"19540"</f>
        <v>19540</v>
      </c>
      <c r="C29504" s="2">
        <v>2.5699240235181199E-2</v>
      </c>
      <c r="D29504" s="2">
        <v>1.1061262376237601E-2</v>
      </c>
      <c r="E29504" s="2">
        <v>1.29479072568503E-2</v>
      </c>
      <c r="F29504" s="2">
        <v>2.4321551429318598E-2</v>
      </c>
    </row>
    <row r="29505" spans="1:6" x14ac:dyDescent="0.25">
      <c r="A29505" s="1" t="str">
        <f t="shared" si="1060"/>
        <v>39740</v>
      </c>
      <c r="B29505" s="1" t="str">
        <f>"19605"</f>
        <v>19605</v>
      </c>
      <c r="C29505" s="2">
        <v>4.7722379034507302E-2</v>
      </c>
      <c r="D29505" s="2">
        <v>7.7970297029702901E-2</v>
      </c>
      <c r="E29505" s="2">
        <v>2.8605841613971599E-2</v>
      </c>
      <c r="F29505" s="2">
        <v>4.9050473757267198E-2</v>
      </c>
    </row>
    <row r="29506" spans="1:6" x14ac:dyDescent="0.25">
      <c r="A29506" s="1" t="str">
        <f t="shared" si="1060"/>
        <v>39740</v>
      </c>
      <c r="B29506" s="1" t="str">
        <f>"19562"</f>
        <v>19562</v>
      </c>
      <c r="C29506" s="2">
        <v>6.9170952662523802E-3</v>
      </c>
      <c r="D29506" s="2">
        <v>6.11076732673267E-3</v>
      </c>
      <c r="E29506" s="2">
        <v>1.03884372177055E-2</v>
      </c>
      <c r="F29506" s="2">
        <v>6.98062725059848E-3</v>
      </c>
    </row>
    <row r="29507" spans="1:6" x14ac:dyDescent="0.25">
      <c r="A29507" s="1" t="str">
        <f t="shared" si="1060"/>
        <v>39740</v>
      </c>
      <c r="B29507" s="1" t="str">
        <f>"19525"</f>
        <v>19525</v>
      </c>
      <c r="C29507" s="2">
        <v>1.2272265794963899E-4</v>
      </c>
      <c r="D29507" s="2">
        <v>4.6410891089108898E-4</v>
      </c>
      <c r="E29507" s="2">
        <v>0</v>
      </c>
      <c r="F29507" s="2">
        <v>1.40819569896799E-4</v>
      </c>
    </row>
    <row r="29508" spans="1:6" x14ac:dyDescent="0.25">
      <c r="A29508" s="1" t="str">
        <f t="shared" si="1060"/>
        <v>39740</v>
      </c>
      <c r="B29508" s="1" t="str">
        <f>"19516"</f>
        <v>19516</v>
      </c>
      <c r="C29508" s="2">
        <v>5.5783026340745004E-6</v>
      </c>
      <c r="D29508" s="2">
        <v>0</v>
      </c>
      <c r="E29508" s="2">
        <v>1.5055706112616601E-4</v>
      </c>
      <c r="F29508" s="2">
        <v>1.0058540706914201E-5</v>
      </c>
    </row>
    <row r="29509" spans="1:6" x14ac:dyDescent="0.25">
      <c r="A29509" s="1" t="str">
        <f t="shared" si="1060"/>
        <v>39740</v>
      </c>
      <c r="B29509" s="1" t="str">
        <f>"19550"</f>
        <v>19550</v>
      </c>
      <c r="C29509" s="2">
        <v>2.7891513170372499E-5</v>
      </c>
      <c r="D29509" s="2">
        <v>7.7351485148514798E-5</v>
      </c>
      <c r="E29509" s="2">
        <v>1.5055706112616601E-4</v>
      </c>
      <c r="F29509" s="2">
        <v>3.5204892474199798E-5</v>
      </c>
    </row>
    <row r="29510" spans="1:6" x14ac:dyDescent="0.25">
      <c r="A29510" s="1" t="str">
        <f t="shared" si="1060"/>
        <v>39740</v>
      </c>
      <c r="B29510" s="1" t="str">
        <f>"19559"</f>
        <v>19559</v>
      </c>
      <c r="C29510" s="2">
        <v>1.2272265794963899E-4</v>
      </c>
      <c r="D29510" s="2">
        <v>0</v>
      </c>
      <c r="E29510" s="2">
        <v>1.5055706112616601E-4</v>
      </c>
      <c r="F29510" s="2">
        <v>1.15673218129513E-4</v>
      </c>
    </row>
    <row r="29511" spans="1:6" x14ac:dyDescent="0.25">
      <c r="A29511" s="1" t="str">
        <f t="shared" si="1060"/>
        <v>39740</v>
      </c>
      <c r="B29511" s="1" t="str">
        <f>"19554"</f>
        <v>19554</v>
      </c>
      <c r="C29511" s="2">
        <v>3.2354155277632103E-4</v>
      </c>
      <c r="D29511" s="2">
        <v>0</v>
      </c>
      <c r="E29511" s="2">
        <v>1.5055706112616601E-4</v>
      </c>
      <c r="F29511" s="2">
        <v>2.9672695085396997E-4</v>
      </c>
    </row>
    <row r="29512" spans="1:6" x14ac:dyDescent="0.25">
      <c r="A29512" s="1" t="str">
        <f t="shared" si="1060"/>
        <v>39740</v>
      </c>
      <c r="B29512" s="1" t="str">
        <f>"19529"</f>
        <v>19529</v>
      </c>
      <c r="C29512" s="2">
        <v>3.893655238584E-3</v>
      </c>
      <c r="D29512" s="2">
        <v>2.4752475247524701E-3</v>
      </c>
      <c r="E29512" s="2">
        <v>4.516711833785E-4</v>
      </c>
      <c r="F29512" s="2">
        <v>3.6864551690840601E-3</v>
      </c>
    </row>
    <row r="29513" spans="1:6" x14ac:dyDescent="0.25">
      <c r="A29513" s="1" t="str">
        <f t="shared" si="1060"/>
        <v>39740</v>
      </c>
      <c r="B29513" s="1" t="str">
        <f>"17569"</f>
        <v>17569</v>
      </c>
      <c r="C29513" s="2">
        <v>2.6887418696239099E-3</v>
      </c>
      <c r="D29513" s="2">
        <v>6.9616336633663298E-4</v>
      </c>
      <c r="E29513" s="2">
        <v>3.0111412225233299E-4</v>
      </c>
      <c r="F29513" s="2">
        <v>2.47943028425436E-3</v>
      </c>
    </row>
    <row r="29514" spans="1:6" x14ac:dyDescent="0.25">
      <c r="A29514" s="1" t="str">
        <f t="shared" si="1060"/>
        <v>39740</v>
      </c>
      <c r="B29514" s="1" t="str">
        <f>"18041"</f>
        <v>18041</v>
      </c>
      <c r="C29514" s="2">
        <v>2.0639719746075601E-4</v>
      </c>
      <c r="D29514" s="2">
        <v>0</v>
      </c>
      <c r="E29514" s="2">
        <v>0</v>
      </c>
      <c r="F29514" s="2">
        <v>1.8608300307791301E-4</v>
      </c>
    </row>
    <row r="29515" spans="1:6" x14ac:dyDescent="0.25">
      <c r="A29515" s="1" t="str">
        <f t="shared" si="1060"/>
        <v>39740</v>
      </c>
      <c r="B29515" s="1" t="str">
        <f>"19536"</f>
        <v>19536</v>
      </c>
      <c r="C29515" s="2">
        <v>6.6939631608894001E-4</v>
      </c>
      <c r="D29515" s="2">
        <v>3.0940594059405898E-4</v>
      </c>
      <c r="E29515" s="2">
        <v>3.0111412225233299E-4</v>
      </c>
      <c r="F29515" s="2">
        <v>6.3368806453559701E-4</v>
      </c>
    </row>
    <row r="29516" spans="1:6" x14ac:dyDescent="0.25">
      <c r="A29516" s="1" t="str">
        <f t="shared" si="1060"/>
        <v>39740</v>
      </c>
      <c r="B29516" s="1" t="str">
        <f>"17087"</f>
        <v>17087</v>
      </c>
      <c r="C29516" s="2">
        <v>1.43920207959122E-3</v>
      </c>
      <c r="D29516" s="2">
        <v>5.4146039603960303E-4</v>
      </c>
      <c r="E29516" s="2">
        <v>3.0111412225233299E-4</v>
      </c>
      <c r="F29516" s="2">
        <v>1.3428151843730501E-3</v>
      </c>
    </row>
    <row r="29517" spans="1:6" x14ac:dyDescent="0.25">
      <c r="A29517" s="1" t="str">
        <f t="shared" si="1060"/>
        <v>39740</v>
      </c>
      <c r="B29517" s="1" t="str">
        <f>"19508"</f>
        <v>19508</v>
      </c>
      <c r="C29517" s="2">
        <v>3.5712293463344903E-2</v>
      </c>
      <c r="D29517" s="2">
        <v>2.22772277227722E-2</v>
      </c>
      <c r="E29517" s="2">
        <v>1.7012947907256801E-2</v>
      </c>
      <c r="F29517" s="2">
        <v>3.4214126214568701E-2</v>
      </c>
    </row>
    <row r="29518" spans="1:6" x14ac:dyDescent="0.25">
      <c r="A29518" s="1" t="str">
        <f t="shared" si="1060"/>
        <v>39740</v>
      </c>
      <c r="B29518" s="1" t="str">
        <f>"19602"</f>
        <v>19602</v>
      </c>
      <c r="C29518" s="2">
        <v>4.3951446453873E-2</v>
      </c>
      <c r="D29518" s="2">
        <v>4.16924504950495E-2</v>
      </c>
      <c r="E29518" s="2">
        <v>0.15462210177657301</v>
      </c>
      <c r="F29518" s="2">
        <v>4.7501458488402502E-2</v>
      </c>
    </row>
    <row r="29519" spans="1:6" x14ac:dyDescent="0.25">
      <c r="A29519" s="1" t="str">
        <f t="shared" si="1060"/>
        <v>39740</v>
      </c>
      <c r="B29519" s="1" t="str">
        <f>"19611"</f>
        <v>19611</v>
      </c>
      <c r="C29519" s="2">
        <v>2.49238561690448E-2</v>
      </c>
      <c r="D29519" s="2">
        <v>4.16924504950495E-2</v>
      </c>
      <c r="E29519" s="2">
        <v>2.95091839807286E-2</v>
      </c>
      <c r="F29519" s="2">
        <v>2.6167293649037301E-2</v>
      </c>
    </row>
    <row r="29520" spans="1:6" x14ac:dyDescent="0.25">
      <c r="A29520" s="1" t="str">
        <f t="shared" si="1060"/>
        <v>39740</v>
      </c>
      <c r="B29520" s="1" t="str">
        <f>"19612"</f>
        <v>19612</v>
      </c>
      <c r="C29520" s="2">
        <v>8.0160208851650597E-3</v>
      </c>
      <c r="D29520" s="2">
        <v>2.3978960396039601E-2</v>
      </c>
      <c r="E29520" s="2">
        <v>3.0111412225233299E-4</v>
      </c>
      <c r="F29520" s="2">
        <v>8.7961938481964999E-3</v>
      </c>
    </row>
    <row r="29521" spans="1:6" x14ac:dyDescent="0.25">
      <c r="A29521" s="1" t="str">
        <f t="shared" si="1060"/>
        <v>39740</v>
      </c>
      <c r="B29521" s="1" t="str">
        <f>"19507"</f>
        <v>19507</v>
      </c>
      <c r="C29521" s="2">
        <v>7.4916604375620498E-3</v>
      </c>
      <c r="D29521" s="2">
        <v>6.11076732673267E-3</v>
      </c>
      <c r="E29521" s="2">
        <v>2.40891297801866E-3</v>
      </c>
      <c r="F29521" s="2">
        <v>7.2320907682713303E-3</v>
      </c>
    </row>
    <row r="29522" spans="1:6" x14ac:dyDescent="0.25">
      <c r="A29522" s="1" t="str">
        <f t="shared" si="1060"/>
        <v>39740</v>
      </c>
      <c r="B29522" s="1" t="str">
        <f>"19604"</f>
        <v>19604</v>
      </c>
      <c r="C29522" s="2">
        <v>5.2190599444400999E-2</v>
      </c>
      <c r="D29522" s="2">
        <v>3.90625E-2</v>
      </c>
      <c r="E29522" s="2">
        <v>9.8012646793134497E-2</v>
      </c>
      <c r="F29522" s="2">
        <v>5.2867689955541197E-2</v>
      </c>
    </row>
    <row r="29523" spans="1:6" x14ac:dyDescent="0.25">
      <c r="A29523" s="1" t="str">
        <f t="shared" si="1060"/>
        <v>39740</v>
      </c>
      <c r="B29523" s="1" t="str">
        <f>"19535"</f>
        <v>19535</v>
      </c>
      <c r="C29523" s="2">
        <v>5.5783026340745004E-6</v>
      </c>
      <c r="D29523" s="2">
        <v>0</v>
      </c>
      <c r="E29523" s="2">
        <v>1.5055706112616601E-4</v>
      </c>
      <c r="F29523" s="2">
        <v>1.0058540706914201E-5</v>
      </c>
    </row>
    <row r="29524" spans="1:6" x14ac:dyDescent="0.25">
      <c r="A29524" s="1" t="str">
        <f t="shared" si="1060"/>
        <v>39740</v>
      </c>
      <c r="B29524" s="1" t="str">
        <f>"19538"</f>
        <v>19538</v>
      </c>
      <c r="C29524" s="2">
        <v>5.5783026340745004E-6</v>
      </c>
      <c r="D29524" s="2">
        <v>0</v>
      </c>
      <c r="E29524" s="2">
        <v>1.5055706112616601E-4</v>
      </c>
      <c r="F29524" s="2">
        <v>1.0058540706914201E-5</v>
      </c>
    </row>
    <row r="29525" spans="1:6" x14ac:dyDescent="0.25">
      <c r="A29525" s="1" t="str">
        <f t="shared" ref="A29525:A29561" si="1061">"39740"</f>
        <v>39740</v>
      </c>
      <c r="B29525" s="1" t="str">
        <f>"17555"</f>
        <v>17555</v>
      </c>
      <c r="C29525" s="2">
        <v>3.3469815804447001E-5</v>
      </c>
      <c r="D29525" s="2">
        <v>0</v>
      </c>
      <c r="E29525" s="2">
        <v>0</v>
      </c>
      <c r="F29525" s="2">
        <v>3.01756221207427E-5</v>
      </c>
    </row>
    <row r="29526" spans="1:6" x14ac:dyDescent="0.25">
      <c r="A29526" s="1" t="str">
        <f t="shared" si="1061"/>
        <v>39740</v>
      </c>
      <c r="B29526" s="1" t="str">
        <f>"17026"</f>
        <v>17026</v>
      </c>
      <c r="C29526" s="2">
        <v>5.7456517130967302E-4</v>
      </c>
      <c r="D29526" s="2">
        <v>1.54702970297029E-4</v>
      </c>
      <c r="E29526" s="2">
        <v>0</v>
      </c>
      <c r="F29526" s="2">
        <v>5.2807338711299704E-4</v>
      </c>
    </row>
    <row r="29527" spans="1:6" x14ac:dyDescent="0.25">
      <c r="A29527" s="1" t="str">
        <f t="shared" si="1061"/>
        <v>39740</v>
      </c>
      <c r="B29527" s="1" t="str">
        <f>"19526"</f>
        <v>19526</v>
      </c>
      <c r="C29527" s="2">
        <v>2.8438186828511802E-2</v>
      </c>
      <c r="D29527" s="2">
        <v>2.80012376237623E-2</v>
      </c>
      <c r="E29527" s="2">
        <v>3.2821439325504298E-2</v>
      </c>
      <c r="F29527" s="2">
        <v>2.8556197066929499E-2</v>
      </c>
    </row>
    <row r="29528" spans="1:6" x14ac:dyDescent="0.25">
      <c r="A29528" s="1" t="str">
        <f t="shared" si="1061"/>
        <v>39740</v>
      </c>
      <c r="B29528" s="1" t="str">
        <f>"19518"</f>
        <v>19518</v>
      </c>
      <c r="C29528" s="2">
        <v>3.5717871765979001E-2</v>
      </c>
      <c r="D29528" s="2">
        <v>2.0807549504950399E-2</v>
      </c>
      <c r="E29528" s="2">
        <v>1.03884372177055E-2</v>
      </c>
      <c r="F29528" s="2">
        <v>3.3902311452654398E-2</v>
      </c>
    </row>
    <row r="29529" spans="1:6" x14ac:dyDescent="0.25">
      <c r="A29529" s="1" t="str">
        <f t="shared" si="1061"/>
        <v>39740</v>
      </c>
      <c r="B29529" s="1" t="str">
        <f>"19522"</f>
        <v>19522</v>
      </c>
      <c r="C29529" s="2">
        <v>3.2828311001528401E-2</v>
      </c>
      <c r="D29529" s="2">
        <v>2.4056311881188099E-2</v>
      </c>
      <c r="E29529" s="2">
        <v>2.0325203252032499E-2</v>
      </c>
      <c r="F29529" s="2">
        <v>3.1840310607737003E-2</v>
      </c>
    </row>
    <row r="29530" spans="1:6" x14ac:dyDescent="0.25">
      <c r="A29530" s="1" t="str">
        <f t="shared" si="1061"/>
        <v>39740</v>
      </c>
      <c r="B29530" s="1" t="str">
        <f>"19504"</f>
        <v>19504</v>
      </c>
      <c r="C29530" s="2">
        <v>8.19452656945544E-3</v>
      </c>
      <c r="D29530" s="2">
        <v>1.93378712871287E-3</v>
      </c>
      <c r="E29530" s="2">
        <v>7.5278530563083396E-4</v>
      </c>
      <c r="F29530" s="2">
        <v>7.5388762598322199E-3</v>
      </c>
    </row>
    <row r="29531" spans="1:6" x14ac:dyDescent="0.25">
      <c r="A29531" s="1" t="str">
        <f t="shared" si="1061"/>
        <v>39740</v>
      </c>
      <c r="B29531" s="1" t="str">
        <f>"19560"</f>
        <v>19560</v>
      </c>
      <c r="C29531" s="2">
        <v>2.09967311146564E-2</v>
      </c>
      <c r="D29531" s="2">
        <v>1.9569925742574198E-2</v>
      </c>
      <c r="E29531" s="2">
        <v>2.0024089129780102E-2</v>
      </c>
      <c r="F29531" s="2">
        <v>2.0871471966847001E-2</v>
      </c>
    </row>
    <row r="29532" spans="1:6" x14ac:dyDescent="0.25">
      <c r="A29532" s="1" t="str">
        <f t="shared" si="1061"/>
        <v>39740</v>
      </c>
      <c r="B29532" s="1" t="str">
        <f>"19601"</f>
        <v>19601</v>
      </c>
      <c r="C29532" s="2">
        <v>7.4994700612497606E-2</v>
      </c>
      <c r="D29532" s="2">
        <v>0.111231435643564</v>
      </c>
      <c r="E29532" s="2">
        <v>0.24691358024691301</v>
      </c>
      <c r="F29532" s="2">
        <v>8.3093604779818503E-2</v>
      </c>
    </row>
    <row r="29533" spans="1:6" x14ac:dyDescent="0.25">
      <c r="A29533" s="1" t="str">
        <f t="shared" si="1061"/>
        <v>39740</v>
      </c>
      <c r="B29533" s="1" t="str">
        <f>"19551"</f>
        <v>19551</v>
      </c>
      <c r="C29533" s="2">
        <v>1.0738232570593399E-2</v>
      </c>
      <c r="D29533" s="2">
        <v>7.8125E-3</v>
      </c>
      <c r="E29533" s="2">
        <v>4.2155977115326702E-3</v>
      </c>
      <c r="F29533" s="2">
        <v>1.0330121306000899E-2</v>
      </c>
    </row>
    <row r="29534" spans="1:6" x14ac:dyDescent="0.25">
      <c r="A29534" s="1" t="str">
        <f t="shared" si="1061"/>
        <v>39740</v>
      </c>
      <c r="B29534" s="1" t="str">
        <f>"19539"</f>
        <v>19539</v>
      </c>
      <c r="C29534" s="2">
        <v>1.05987750047415E-2</v>
      </c>
      <c r="D29534" s="2">
        <v>3.0940594059405899E-3</v>
      </c>
      <c r="E29534" s="2">
        <v>5.2694971394158302E-3</v>
      </c>
      <c r="F29534" s="2">
        <v>9.9328089480778103E-3</v>
      </c>
    </row>
    <row r="29535" spans="1:6" x14ac:dyDescent="0.25">
      <c r="A29535" s="1" t="str">
        <f t="shared" si="1061"/>
        <v>39740</v>
      </c>
      <c r="B29535" s="1" t="str">
        <f>"19545"</f>
        <v>19545</v>
      </c>
      <c r="C29535" s="2">
        <v>0</v>
      </c>
      <c r="D29535" s="2">
        <v>0</v>
      </c>
      <c r="E29535" s="2">
        <v>1.5055706112616601E-4</v>
      </c>
      <c r="F29535" s="2">
        <v>5.0292703534571197E-6</v>
      </c>
    </row>
    <row r="29536" spans="1:6" x14ac:dyDescent="0.25">
      <c r="A29536" s="1" t="str">
        <f t="shared" si="1061"/>
        <v>39740</v>
      </c>
      <c r="B29536" s="1" t="str">
        <f>"19547"</f>
        <v>19547</v>
      </c>
      <c r="C29536" s="2">
        <v>1.06434014258141E-2</v>
      </c>
      <c r="D29536" s="2">
        <v>7.1163366336633596E-3</v>
      </c>
      <c r="E29536" s="2">
        <v>1.65612767238783E-3</v>
      </c>
      <c r="F29536" s="2">
        <v>1.0113862680802201E-2</v>
      </c>
    </row>
    <row r="29537" spans="1:6" x14ac:dyDescent="0.25">
      <c r="A29537" s="1" t="str">
        <f t="shared" si="1061"/>
        <v>39740</v>
      </c>
      <c r="B29537" s="1" t="str">
        <f>"17067"</f>
        <v>17067</v>
      </c>
      <c r="C29537" s="2">
        <v>4.6857742126225803E-3</v>
      </c>
      <c r="D29537" s="2">
        <v>3.8675742574257399E-3</v>
      </c>
      <c r="E29537" s="2">
        <v>1.20445648900933E-3</v>
      </c>
      <c r="F29537" s="2">
        <v>4.5162847774044904E-3</v>
      </c>
    </row>
    <row r="29538" spans="1:6" x14ac:dyDescent="0.25">
      <c r="A29538" s="1" t="str">
        <f t="shared" si="1061"/>
        <v>39740</v>
      </c>
      <c r="B29538" s="1" t="str">
        <f>"19519"</f>
        <v>19519</v>
      </c>
      <c r="C29538" s="2">
        <v>0</v>
      </c>
      <c r="D29538" s="2">
        <v>0</v>
      </c>
      <c r="E29538" s="2">
        <v>1.5055706112616601E-4</v>
      </c>
      <c r="F29538" s="2">
        <v>5.0292703534571197E-6</v>
      </c>
    </row>
    <row r="29539" spans="1:6" x14ac:dyDescent="0.25">
      <c r="A29539" s="1" t="str">
        <f t="shared" si="1061"/>
        <v>39740</v>
      </c>
      <c r="B29539" s="1" t="str">
        <f>"18070"</f>
        <v>18070</v>
      </c>
      <c r="C29539" s="2">
        <v>5.5225196077337505E-4</v>
      </c>
      <c r="D29539" s="2">
        <v>1.46967821782178E-3</v>
      </c>
      <c r="E29539" s="2">
        <v>9.03342366757E-4</v>
      </c>
      <c r="F29539" s="2">
        <v>6.2362952382868204E-4</v>
      </c>
    </row>
    <row r="29540" spans="1:6" x14ac:dyDescent="0.25">
      <c r="A29540" s="1" t="str">
        <f t="shared" si="1061"/>
        <v>39740</v>
      </c>
      <c r="B29540" s="1" t="str">
        <f>"18031"</f>
        <v>18031</v>
      </c>
      <c r="C29540" s="2">
        <v>1.17144355315564E-4</v>
      </c>
      <c r="D29540" s="2">
        <v>7.7351485148514798E-5</v>
      </c>
      <c r="E29540" s="2">
        <v>0</v>
      </c>
      <c r="F29540" s="2">
        <v>1.1064394777605601E-4</v>
      </c>
    </row>
    <row r="29541" spans="1:6" x14ac:dyDescent="0.25">
      <c r="A29541" s="1" t="str">
        <f t="shared" si="1061"/>
        <v>39740</v>
      </c>
      <c r="B29541" s="1" t="str">
        <f>"19501"</f>
        <v>19501</v>
      </c>
      <c r="C29541" s="2">
        <v>5.5783026340745004E-6</v>
      </c>
      <c r="D29541" s="2">
        <v>0</v>
      </c>
      <c r="E29541" s="2">
        <v>0</v>
      </c>
      <c r="F29541" s="2">
        <v>5.0292703534571197E-6</v>
      </c>
    </row>
    <row r="29542" spans="1:6" x14ac:dyDescent="0.25">
      <c r="A29542" s="1" t="str">
        <f t="shared" si="1061"/>
        <v>39740</v>
      </c>
      <c r="B29542" s="1" t="str">
        <f>"18092"</f>
        <v>18092</v>
      </c>
      <c r="C29542" s="2">
        <v>3.4027646067854401E-4</v>
      </c>
      <c r="D29542" s="2">
        <v>0</v>
      </c>
      <c r="E29542" s="2">
        <v>0</v>
      </c>
      <c r="F29542" s="2">
        <v>3.0678549156088402E-4</v>
      </c>
    </row>
    <row r="29543" spans="1:6" x14ac:dyDescent="0.25">
      <c r="A29543" s="1" t="str">
        <f t="shared" si="1061"/>
        <v>39740</v>
      </c>
      <c r="B29543" s="1" t="str">
        <f>"19609"</f>
        <v>19609</v>
      </c>
      <c r="C29543" s="2">
        <v>2.4220990037151401E-2</v>
      </c>
      <c r="D29543" s="2">
        <v>2.0111386138613799E-2</v>
      </c>
      <c r="E29543" s="2">
        <v>1.8217404396266099E-2</v>
      </c>
      <c r="F29543" s="2">
        <v>2.3753243879377901E-2</v>
      </c>
    </row>
    <row r="29544" spans="1:6" x14ac:dyDescent="0.25">
      <c r="A29544" s="1" t="str">
        <f t="shared" si="1061"/>
        <v>39740</v>
      </c>
      <c r="B29544" s="1" t="str">
        <f>"19512"</f>
        <v>19512</v>
      </c>
      <c r="C29544" s="2">
        <v>3.7279796503519903E-2</v>
      </c>
      <c r="D29544" s="2">
        <v>2.6299504950495E-2</v>
      </c>
      <c r="E29544" s="2">
        <v>3.1918096958747297E-2</v>
      </c>
      <c r="F29544" s="2">
        <v>3.6386771007262203E-2</v>
      </c>
    </row>
    <row r="29545" spans="1:6" x14ac:dyDescent="0.25">
      <c r="A29545" s="1" t="str">
        <f t="shared" si="1061"/>
        <v>39740</v>
      </c>
      <c r="B29545" s="1" t="str">
        <f>"19506"</f>
        <v>19506</v>
      </c>
      <c r="C29545" s="2">
        <v>1.66066069416397E-2</v>
      </c>
      <c r="D29545" s="2">
        <v>7.1163366336633596E-3</v>
      </c>
      <c r="E29545" s="2">
        <v>2.7100271002710001E-3</v>
      </c>
      <c r="F29545" s="2">
        <v>1.55253575811221E-2</v>
      </c>
    </row>
    <row r="29546" spans="1:6" x14ac:dyDescent="0.25">
      <c r="A29546" s="1" t="str">
        <f t="shared" si="1061"/>
        <v>39740</v>
      </c>
      <c r="B29546" s="1" t="str">
        <f>"19510"</f>
        <v>19510</v>
      </c>
      <c r="C29546" s="2">
        <v>1.58702709939419E-2</v>
      </c>
      <c r="D29546" s="2">
        <v>9.8236386138613793E-3</v>
      </c>
      <c r="E29546" s="2">
        <v>4.5167118337849999E-3</v>
      </c>
      <c r="F29546" s="2">
        <v>1.5097869601078199E-2</v>
      </c>
    </row>
    <row r="29547" spans="1:6" x14ac:dyDescent="0.25">
      <c r="A29547" s="1" t="str">
        <f t="shared" si="1061"/>
        <v>39740</v>
      </c>
      <c r="B29547" s="1" t="str">
        <f>"19503"</f>
        <v>19503</v>
      </c>
      <c r="C29547" s="2">
        <v>3.3637164883469199E-3</v>
      </c>
      <c r="D29547" s="2">
        <v>1.8564356435643501E-3</v>
      </c>
      <c r="E29547" s="2">
        <v>9.03342366757E-4</v>
      </c>
      <c r="F29547" s="2">
        <v>3.18352813373835E-3</v>
      </c>
    </row>
    <row r="29548" spans="1:6" x14ac:dyDescent="0.25">
      <c r="A29548" s="1" t="str">
        <f t="shared" si="1061"/>
        <v>39740</v>
      </c>
      <c r="B29548" s="1" t="str">
        <f>"19520"</f>
        <v>19520</v>
      </c>
      <c r="C29548" s="2">
        <v>2.3428871063112902E-3</v>
      </c>
      <c r="D29548" s="2">
        <v>6.5748762376237604E-3</v>
      </c>
      <c r="E29548" s="2">
        <v>6.0222824450466696E-4</v>
      </c>
      <c r="F29548" s="2">
        <v>2.5598986099096702E-3</v>
      </c>
    </row>
    <row r="29549" spans="1:6" x14ac:dyDescent="0.25">
      <c r="A29549" s="1" t="str">
        <f t="shared" si="1061"/>
        <v>39740</v>
      </c>
      <c r="B29549" s="1" t="str">
        <f>"19530"</f>
        <v>19530</v>
      </c>
      <c r="C29549" s="2">
        <v>4.2880412348130698E-2</v>
      </c>
      <c r="D29549" s="2">
        <v>3.6123143564356398E-2</v>
      </c>
      <c r="E29549" s="2">
        <v>3.65853658536585E-2</v>
      </c>
      <c r="F29549" s="2">
        <v>4.2230783157979401E-2</v>
      </c>
    </row>
    <row r="29550" spans="1:6" x14ac:dyDescent="0.25">
      <c r="A29550" s="1" t="str">
        <f t="shared" si="1061"/>
        <v>39740</v>
      </c>
      <c r="B29550" s="1" t="str">
        <f>"19567"</f>
        <v>19567</v>
      </c>
      <c r="C29550" s="2">
        <v>1.39234433746499E-2</v>
      </c>
      <c r="D29550" s="2">
        <v>9.05012376237623E-3</v>
      </c>
      <c r="E29550" s="2">
        <v>8.5817524841914992E-3</v>
      </c>
      <c r="F29550" s="2">
        <v>1.34281518437305E-2</v>
      </c>
    </row>
    <row r="29551" spans="1:6" x14ac:dyDescent="0.25">
      <c r="A29551" s="1" t="str">
        <f t="shared" si="1061"/>
        <v>39740</v>
      </c>
      <c r="B29551" s="1" t="str">
        <f>"19541"</f>
        <v>19541</v>
      </c>
      <c r="C29551" s="2">
        <v>9.7397163990940797E-3</v>
      </c>
      <c r="D29551" s="2">
        <v>9.2821782178217796E-4</v>
      </c>
      <c r="E29551" s="2">
        <v>3.0111412225233298E-3</v>
      </c>
      <c r="F29551" s="2">
        <v>8.9420426884467604E-3</v>
      </c>
    </row>
    <row r="29552" spans="1:6" x14ac:dyDescent="0.25">
      <c r="A29552" s="1" t="str">
        <f t="shared" si="1061"/>
        <v>39740</v>
      </c>
      <c r="B29552" s="1" t="str">
        <f>"19534"</f>
        <v>19534</v>
      </c>
      <c r="C29552" s="2">
        <v>5.80701304207155E-3</v>
      </c>
      <c r="D29552" s="2">
        <v>2.5525990099009902E-3</v>
      </c>
      <c r="E29552" s="2">
        <v>1.3550135501355001E-3</v>
      </c>
      <c r="F29552" s="2">
        <v>5.4466997927940597E-3</v>
      </c>
    </row>
    <row r="29553" spans="1:6" x14ac:dyDescent="0.25">
      <c r="A29553" s="1" t="str">
        <f t="shared" si="1061"/>
        <v>39740</v>
      </c>
      <c r="B29553" s="1" t="str">
        <f>"19565"</f>
        <v>19565</v>
      </c>
      <c r="C29553" s="2">
        <v>2.0611828232905201E-2</v>
      </c>
      <c r="D29553" s="2">
        <v>8.1992574257425694E-3</v>
      </c>
      <c r="E29553" s="2">
        <v>1.30984643179765E-2</v>
      </c>
      <c r="F29553" s="2">
        <v>1.95538031342412E-2</v>
      </c>
    </row>
    <row r="29554" spans="1:6" x14ac:dyDescent="0.25">
      <c r="A29554" s="1" t="str">
        <f t="shared" si="1061"/>
        <v>39740</v>
      </c>
      <c r="B29554" s="1" t="str">
        <f>"19603"</f>
        <v>19603</v>
      </c>
      <c r="C29554" s="2">
        <v>8.3005143195028601E-3</v>
      </c>
      <c r="D29554" s="2">
        <v>1.29176980198019E-2</v>
      </c>
      <c r="E29554" s="2">
        <v>1.5055706112616601E-4</v>
      </c>
      <c r="F29554" s="2">
        <v>8.3284717053249899E-3</v>
      </c>
    </row>
    <row r="29555" spans="1:6" x14ac:dyDescent="0.25">
      <c r="A29555" s="1" t="str">
        <f t="shared" si="1061"/>
        <v>39740</v>
      </c>
      <c r="B29555" s="1" t="str">
        <f>"19544"</f>
        <v>19544</v>
      </c>
      <c r="C29555" s="2">
        <v>3.3469815804447001E-5</v>
      </c>
      <c r="D29555" s="2">
        <v>0</v>
      </c>
      <c r="E29555" s="2">
        <v>1.5055706112616601E-4</v>
      </c>
      <c r="F29555" s="2">
        <v>3.5204892474199798E-5</v>
      </c>
    </row>
    <row r="29556" spans="1:6" x14ac:dyDescent="0.25">
      <c r="A29556" s="1" t="str">
        <f t="shared" si="1061"/>
        <v>39740</v>
      </c>
      <c r="B29556" s="1" t="str">
        <f>"19548"</f>
        <v>19548</v>
      </c>
      <c r="C29556" s="2">
        <v>0</v>
      </c>
      <c r="D29556" s="2">
        <v>0</v>
      </c>
      <c r="E29556" s="2">
        <v>1.5055706112616601E-4</v>
      </c>
      <c r="F29556" s="2">
        <v>5.0292703534571197E-6</v>
      </c>
    </row>
    <row r="29557" spans="1:6" x14ac:dyDescent="0.25">
      <c r="A29557" s="1" t="str">
        <f t="shared" si="1061"/>
        <v>39740</v>
      </c>
      <c r="B29557" s="1" t="str">
        <f>"19464"</f>
        <v>19464</v>
      </c>
      <c r="C29557" s="2">
        <v>2.8449343433779899E-4</v>
      </c>
      <c r="D29557" s="2">
        <v>1.54702970297029E-4</v>
      </c>
      <c r="E29557" s="2">
        <v>0</v>
      </c>
      <c r="F29557" s="2">
        <v>2.6655132873322702E-4</v>
      </c>
    </row>
    <row r="29558" spans="1:6" x14ac:dyDescent="0.25">
      <c r="A29558" s="1" t="str">
        <f t="shared" si="1061"/>
        <v>39740</v>
      </c>
      <c r="B29558" s="1" t="str">
        <f>"19610"</f>
        <v>19610</v>
      </c>
      <c r="C29558" s="2">
        <v>4.2813472716521798E-2</v>
      </c>
      <c r="D29558" s="2">
        <v>0.11146349009900899</v>
      </c>
      <c r="E29558" s="2">
        <v>4.48660042155977E-2</v>
      </c>
      <c r="F29558" s="2">
        <v>4.7345551107445302E-2</v>
      </c>
    </row>
    <row r="29559" spans="1:6" x14ac:dyDescent="0.25">
      <c r="A29559" s="1" t="str">
        <f t="shared" si="1061"/>
        <v>39740</v>
      </c>
      <c r="B29559" s="1" t="str">
        <f>"19543"</f>
        <v>19543</v>
      </c>
      <c r="C29559" s="2">
        <v>9.9126437807503902E-3</v>
      </c>
      <c r="D29559" s="2">
        <v>1.0287747524752399E-2</v>
      </c>
      <c r="E29559" s="2">
        <v>4.6672688949111699E-3</v>
      </c>
      <c r="F29559" s="2">
        <v>9.7618137560602693E-3</v>
      </c>
    </row>
    <row r="29560" spans="1:6" x14ac:dyDescent="0.25">
      <c r="A29560" s="1" t="str">
        <f t="shared" si="1061"/>
        <v>39740</v>
      </c>
      <c r="B29560" s="1" t="str">
        <f>"19533"</f>
        <v>19533</v>
      </c>
      <c r="C29560" s="2">
        <v>1.7984447692256201E-2</v>
      </c>
      <c r="D29560" s="2">
        <v>2.56033415841584E-2</v>
      </c>
      <c r="E29560" s="2">
        <v>6.6245106895513302E-3</v>
      </c>
      <c r="F29560" s="2">
        <v>1.8100344002092102E-2</v>
      </c>
    </row>
    <row r="29561" spans="1:6" x14ac:dyDescent="0.25">
      <c r="A29561" s="1" t="str">
        <f t="shared" si="1061"/>
        <v>39740</v>
      </c>
      <c r="B29561" s="1" t="str">
        <f>"19555"</f>
        <v>19555</v>
      </c>
      <c r="C29561" s="2">
        <v>9.0312719645666197E-3</v>
      </c>
      <c r="D29561" s="2">
        <v>1.0133044554455401E-2</v>
      </c>
      <c r="E29561" s="2">
        <v>4.6672688949111699E-3</v>
      </c>
      <c r="F29561" s="2">
        <v>8.9571304995071307E-3</v>
      </c>
    </row>
    <row r="29562" spans="1:6" x14ac:dyDescent="0.25">
      <c r="A29562" s="1" t="str">
        <f t="shared" ref="A29562:A29579" si="1062">"39780"</f>
        <v>39780</v>
      </c>
      <c r="B29562" s="1" t="str">
        <f>"96092"</f>
        <v>96092</v>
      </c>
      <c r="C29562" s="2">
        <v>0</v>
      </c>
      <c r="D29562" s="2">
        <v>0</v>
      </c>
      <c r="E29562" s="2">
        <v>1.2254901960784301E-3</v>
      </c>
      <c r="F29562" s="2">
        <v>3.1239261503858E-5</v>
      </c>
    </row>
    <row r="29563" spans="1:6" x14ac:dyDescent="0.25">
      <c r="A29563" s="1" t="str">
        <f t="shared" si="1062"/>
        <v>39780</v>
      </c>
      <c r="B29563" s="1" t="str">
        <f>"96078"</f>
        <v>96078</v>
      </c>
      <c r="C29563" s="2">
        <v>0</v>
      </c>
      <c r="D29563" s="2">
        <v>0</v>
      </c>
      <c r="E29563" s="2">
        <v>1.2254901960784301E-3</v>
      </c>
      <c r="F29563" s="2">
        <v>3.1239261503858E-5</v>
      </c>
    </row>
    <row r="29564" spans="1:6" x14ac:dyDescent="0.25">
      <c r="A29564" s="1" t="str">
        <f t="shared" si="1062"/>
        <v>39780</v>
      </c>
      <c r="B29564" s="1" t="str">
        <f>"96090"</f>
        <v>96090</v>
      </c>
      <c r="C29564" s="2">
        <v>0</v>
      </c>
      <c r="D29564" s="2">
        <v>0</v>
      </c>
      <c r="E29564" s="2">
        <v>1.2254901960784301E-3</v>
      </c>
      <c r="F29564" s="2">
        <v>3.1239261503858E-5</v>
      </c>
    </row>
    <row r="29565" spans="1:6" x14ac:dyDescent="0.25">
      <c r="A29565" s="1" t="str">
        <f t="shared" si="1062"/>
        <v>39780</v>
      </c>
      <c r="B29565" s="1" t="str">
        <f>"96007"</f>
        <v>96007</v>
      </c>
      <c r="C29565" s="2">
        <v>1.7310022503029199E-4</v>
      </c>
      <c r="D29565" s="2">
        <v>0</v>
      </c>
      <c r="E29565" s="2">
        <v>0</v>
      </c>
      <c r="F29565" s="2">
        <v>1.5619630751929E-4</v>
      </c>
    </row>
    <row r="29566" spans="1:6" x14ac:dyDescent="0.25">
      <c r="A29566" s="1" t="str">
        <f t="shared" si="1062"/>
        <v>39780</v>
      </c>
      <c r="B29566" s="1" t="str">
        <f>"96075"</f>
        <v>96075</v>
      </c>
      <c r="C29566" s="2">
        <v>7.6164099013328697E-3</v>
      </c>
      <c r="D29566" s="2">
        <v>3.4632034632034602E-3</v>
      </c>
      <c r="E29566" s="2">
        <v>3.6764705882352902E-3</v>
      </c>
      <c r="F29566" s="2">
        <v>7.2162694073911997E-3</v>
      </c>
    </row>
    <row r="29567" spans="1:6" x14ac:dyDescent="0.25">
      <c r="A29567" s="1" t="str">
        <f t="shared" si="1062"/>
        <v>39780</v>
      </c>
      <c r="B29567" s="1" t="str">
        <f>"96080"</f>
        <v>96080</v>
      </c>
      <c r="C29567" s="2">
        <v>0.49485892331659997</v>
      </c>
      <c r="D29567" s="2">
        <v>0.64891774891774801</v>
      </c>
      <c r="E29567" s="2">
        <v>0.76225490196078405</v>
      </c>
      <c r="F29567" s="2">
        <v>0.51279247758582902</v>
      </c>
    </row>
    <row r="29568" spans="1:6" x14ac:dyDescent="0.25">
      <c r="A29568" s="1" t="str">
        <f t="shared" si="1062"/>
        <v>39780</v>
      </c>
      <c r="B29568" s="1" t="str">
        <f>"96059"</f>
        <v>96059</v>
      </c>
      <c r="C29568" s="2">
        <v>4.46598580578154E-3</v>
      </c>
      <c r="D29568" s="2">
        <v>1.29870129870129E-3</v>
      </c>
      <c r="E29568" s="2">
        <v>8.5784313725490099E-3</v>
      </c>
      <c r="F29568" s="2">
        <v>4.3422573490362604E-3</v>
      </c>
    </row>
    <row r="29569" spans="1:6" x14ac:dyDescent="0.25">
      <c r="A29569" s="1" t="str">
        <f t="shared" si="1062"/>
        <v>39780</v>
      </c>
      <c r="B29569" s="1" t="str">
        <f>"96022"</f>
        <v>96022</v>
      </c>
      <c r="C29569" s="2">
        <v>0.18442097974727301</v>
      </c>
      <c r="D29569" s="2">
        <v>0.112121212121212</v>
      </c>
      <c r="E29569" s="2">
        <v>7.3529411764705803E-3</v>
      </c>
      <c r="F29569" s="2">
        <v>0.17468995032957399</v>
      </c>
    </row>
    <row r="29570" spans="1:6" x14ac:dyDescent="0.25">
      <c r="A29570" s="1" t="str">
        <f t="shared" si="1062"/>
        <v>39780</v>
      </c>
      <c r="B29570" s="1" t="str">
        <f>"96035"</f>
        <v>96035</v>
      </c>
      <c r="C29570" s="2">
        <v>4.1197853557209597E-2</v>
      </c>
      <c r="D29570" s="2">
        <v>1.21212121212121E-2</v>
      </c>
      <c r="E29570" s="2">
        <v>6.1274509803921498E-3</v>
      </c>
      <c r="F29570" s="2">
        <v>3.8205616819218302E-2</v>
      </c>
    </row>
    <row r="29571" spans="1:6" x14ac:dyDescent="0.25">
      <c r="A29571" s="1" t="str">
        <f t="shared" si="1062"/>
        <v>39780</v>
      </c>
      <c r="B29571" s="1" t="str">
        <f>"95963"</f>
        <v>95963</v>
      </c>
      <c r="C29571" s="2">
        <v>1.0489873636835701E-2</v>
      </c>
      <c r="D29571" s="2">
        <v>2.1645021645021602E-3</v>
      </c>
      <c r="E29571" s="2">
        <v>0</v>
      </c>
      <c r="F29571" s="2">
        <v>9.6216925431882698E-3</v>
      </c>
    </row>
    <row r="29572" spans="1:6" x14ac:dyDescent="0.25">
      <c r="A29572" s="1" t="str">
        <f t="shared" si="1062"/>
        <v>39780</v>
      </c>
      <c r="B29572" s="1" t="str">
        <f>"96021"</f>
        <v>96021</v>
      </c>
      <c r="C29572" s="2">
        <v>0.20051930067509</v>
      </c>
      <c r="D29572" s="2">
        <v>0.183982683982683</v>
      </c>
      <c r="E29572" s="2">
        <v>0.13602941176470501</v>
      </c>
      <c r="F29572" s="2">
        <v>0.19768204679641299</v>
      </c>
    </row>
    <row r="29573" spans="1:6" x14ac:dyDescent="0.25">
      <c r="A29573" s="1" t="str">
        <f t="shared" si="1062"/>
        <v>39780</v>
      </c>
      <c r="B29573" s="1" t="str">
        <f>"95973"</f>
        <v>95973</v>
      </c>
      <c r="C29573" s="2">
        <v>1.03860135018175E-3</v>
      </c>
      <c r="D29573" s="2">
        <v>0</v>
      </c>
      <c r="E29573" s="2">
        <v>0</v>
      </c>
      <c r="F29573" s="2">
        <v>9.3717784511574104E-4</v>
      </c>
    </row>
    <row r="29574" spans="1:6" x14ac:dyDescent="0.25">
      <c r="A29574" s="1" t="str">
        <f t="shared" si="1062"/>
        <v>39780</v>
      </c>
      <c r="B29574" s="1" t="str">
        <f>"96063"</f>
        <v>96063</v>
      </c>
      <c r="C29574" s="2">
        <v>0</v>
      </c>
      <c r="D29574" s="2">
        <v>0</v>
      </c>
      <c r="E29574" s="2">
        <v>1.2254901960784301E-3</v>
      </c>
      <c r="F29574" s="2">
        <v>3.1239261503858E-5</v>
      </c>
    </row>
    <row r="29575" spans="1:6" x14ac:dyDescent="0.25">
      <c r="A29575" s="1" t="str">
        <f t="shared" si="1062"/>
        <v>39780</v>
      </c>
      <c r="B29575" s="1" t="str">
        <f>"96074"</f>
        <v>96074</v>
      </c>
      <c r="C29575" s="2">
        <v>0</v>
      </c>
      <c r="D29575" s="2">
        <v>4.3290043290043198E-4</v>
      </c>
      <c r="E29575" s="2">
        <v>1.2254901960784301E-3</v>
      </c>
      <c r="F29575" s="2">
        <v>6.2478523007716E-5</v>
      </c>
    </row>
    <row r="29576" spans="1:6" x14ac:dyDescent="0.25">
      <c r="A29576" s="1" t="str">
        <f t="shared" si="1062"/>
        <v>39780</v>
      </c>
      <c r="B29576" s="1" t="str">
        <f>"96061"</f>
        <v>96061</v>
      </c>
      <c r="C29576" s="2">
        <v>1.03860135018175E-3</v>
      </c>
      <c r="D29576" s="2">
        <v>8.6580086580086504E-4</v>
      </c>
      <c r="E29576" s="2">
        <v>1.22549019607843E-2</v>
      </c>
      <c r="F29576" s="2">
        <v>1.31204898316203E-3</v>
      </c>
    </row>
    <row r="29577" spans="1:6" x14ac:dyDescent="0.25">
      <c r="A29577" s="1" t="str">
        <f t="shared" si="1062"/>
        <v>39780</v>
      </c>
      <c r="B29577" s="1" t="str">
        <f>"96076"</f>
        <v>96076</v>
      </c>
      <c r="C29577" s="2">
        <v>1.00398130517569E-3</v>
      </c>
      <c r="D29577" s="2">
        <v>4.3290043290043198E-4</v>
      </c>
      <c r="E29577" s="2">
        <v>2.6960784313725401E-2</v>
      </c>
      <c r="F29577" s="2">
        <v>1.62444159820061E-3</v>
      </c>
    </row>
    <row r="29578" spans="1:6" x14ac:dyDescent="0.25">
      <c r="A29578" s="1" t="str">
        <f t="shared" si="1062"/>
        <v>39780</v>
      </c>
      <c r="B29578" s="1" t="str">
        <f>"96055"</f>
        <v>96055</v>
      </c>
      <c r="C29578" s="2">
        <v>5.2691708499221002E-2</v>
      </c>
      <c r="D29578" s="2">
        <v>3.3766233766233701E-2</v>
      </c>
      <c r="E29578" s="2">
        <v>3.06372549019607E-2</v>
      </c>
      <c r="F29578" s="2">
        <v>5.0763799943769297E-2</v>
      </c>
    </row>
    <row r="29579" spans="1:6" x14ac:dyDescent="0.25">
      <c r="A29579" s="1" t="str">
        <f t="shared" si="1062"/>
        <v>39780</v>
      </c>
      <c r="B29579" s="1" t="str">
        <f>"96029"</f>
        <v>96029</v>
      </c>
      <c r="C29579" s="2">
        <v>4.8468063008481898E-4</v>
      </c>
      <c r="D29579" s="2">
        <v>4.3290043290043198E-4</v>
      </c>
      <c r="E29579" s="2">
        <v>0</v>
      </c>
      <c r="F29579" s="2">
        <v>4.6858892255786998E-4</v>
      </c>
    </row>
    <row r="29580" spans="1:6" x14ac:dyDescent="0.25">
      <c r="A29580" s="1" t="str">
        <f t="shared" ref="A29580:A29612" si="1063">"39820"</f>
        <v>39820</v>
      </c>
      <c r="B29580" s="1" t="str">
        <f>"96022"</f>
        <v>96022</v>
      </c>
      <c r="C29580" s="2">
        <v>3.1783841851449599E-2</v>
      </c>
      <c r="D29580" s="2">
        <v>5.6508999581414802E-3</v>
      </c>
      <c r="E29580" s="2">
        <v>9.5846645367412102E-3</v>
      </c>
      <c r="F29580" s="2">
        <v>2.8240499739718799E-2</v>
      </c>
    </row>
    <row r="29581" spans="1:6" x14ac:dyDescent="0.25">
      <c r="A29581" s="1" t="str">
        <f t="shared" si="1063"/>
        <v>39820</v>
      </c>
      <c r="B29581" s="1" t="str">
        <f>"96087"</f>
        <v>96087</v>
      </c>
      <c r="C29581" s="2">
        <v>0</v>
      </c>
      <c r="D29581" s="2">
        <v>0</v>
      </c>
      <c r="E29581" s="2">
        <v>2.1299254526091499E-4</v>
      </c>
      <c r="F29581" s="2">
        <v>1.00108116766107E-5</v>
      </c>
    </row>
    <row r="29582" spans="1:6" x14ac:dyDescent="0.25">
      <c r="A29582" s="1" t="str">
        <f t="shared" si="1063"/>
        <v>39820</v>
      </c>
      <c r="B29582" s="1" t="str">
        <f>"96025"</f>
        <v>96025</v>
      </c>
      <c r="C29582" s="2">
        <v>7.3562896276316205E-4</v>
      </c>
      <c r="D29582" s="2">
        <v>3.1393888656341501E-4</v>
      </c>
      <c r="E29582" s="2">
        <v>4.2598509052183101E-4</v>
      </c>
      <c r="F29582" s="2">
        <v>6.8073519400953003E-4</v>
      </c>
    </row>
    <row r="29583" spans="1:6" x14ac:dyDescent="0.25">
      <c r="A29583" s="1" t="str">
        <f t="shared" si="1063"/>
        <v>39820</v>
      </c>
      <c r="B29583" s="1" t="str">
        <f>"96088"</f>
        <v>96088</v>
      </c>
      <c r="C29583" s="2">
        <v>2.75919244287198E-2</v>
      </c>
      <c r="D29583" s="2">
        <v>6.1741314357471704E-3</v>
      </c>
      <c r="E29583" s="2">
        <v>6.3897763578274697E-3</v>
      </c>
      <c r="F29583" s="2">
        <v>2.45465102310495E-2</v>
      </c>
    </row>
    <row r="29584" spans="1:6" x14ac:dyDescent="0.25">
      <c r="A29584" s="1" t="str">
        <f t="shared" si="1063"/>
        <v>39820</v>
      </c>
      <c r="B29584" s="1" t="str">
        <f>"96008"</f>
        <v>96008</v>
      </c>
      <c r="C29584" s="2">
        <v>3.8182646162468899E-3</v>
      </c>
      <c r="D29584" s="2">
        <v>1.15110925073252E-3</v>
      </c>
      <c r="E29584" s="2">
        <v>6.3897763578274697E-4</v>
      </c>
      <c r="F29584" s="2">
        <v>3.41368678172426E-3</v>
      </c>
    </row>
    <row r="29585" spans="1:6" x14ac:dyDescent="0.25">
      <c r="A29585" s="1" t="str">
        <f t="shared" si="1063"/>
        <v>39820</v>
      </c>
      <c r="B29585" s="1" t="str">
        <f>"96069"</f>
        <v>96069</v>
      </c>
      <c r="C29585" s="2">
        <v>4.8107798834670298E-3</v>
      </c>
      <c r="D29585" s="2">
        <v>3.1393888656341501E-4</v>
      </c>
      <c r="E29585" s="2">
        <v>1.0649627263045699E-3</v>
      </c>
      <c r="F29585" s="2">
        <v>4.2045409041765102E-3</v>
      </c>
    </row>
    <row r="29586" spans="1:6" x14ac:dyDescent="0.25">
      <c r="A29586" s="1" t="str">
        <f t="shared" si="1063"/>
        <v>39820</v>
      </c>
      <c r="B29586" s="1" t="str">
        <f>"96099"</f>
        <v>96099</v>
      </c>
      <c r="C29586" s="2">
        <v>3.9035041627257898E-2</v>
      </c>
      <c r="D29586" s="2">
        <v>6.4357471745500203E-2</v>
      </c>
      <c r="E29586" s="2">
        <v>4.2598509052183101E-4</v>
      </c>
      <c r="F29586" s="2">
        <v>3.9642814239378502E-2</v>
      </c>
    </row>
    <row r="29587" spans="1:6" x14ac:dyDescent="0.25">
      <c r="A29587" s="1" t="str">
        <f t="shared" si="1063"/>
        <v>39820</v>
      </c>
      <c r="B29587" s="1" t="str">
        <f>"96047"</f>
        <v>96047</v>
      </c>
      <c r="C29587" s="2">
        <v>2.6622762461904902E-3</v>
      </c>
      <c r="D29587" s="2">
        <v>0</v>
      </c>
      <c r="E29587" s="2">
        <v>1.0649627263045699E-3</v>
      </c>
      <c r="F29587" s="2">
        <v>2.3325191206503E-3</v>
      </c>
    </row>
    <row r="29588" spans="1:6" x14ac:dyDescent="0.25">
      <c r="A29588" s="1" t="str">
        <f t="shared" si="1063"/>
        <v>39820</v>
      </c>
      <c r="B29588" s="1" t="str">
        <f>"96019"</f>
        <v>96019</v>
      </c>
      <c r="C29588" s="2">
        <v>6.7736247825223805E-2</v>
      </c>
      <c r="D29588" s="2">
        <v>3.3068229384679702E-2</v>
      </c>
      <c r="E29588" s="2">
        <v>3.2161874334398197E-2</v>
      </c>
      <c r="F29588" s="2">
        <v>6.2747767588996098E-2</v>
      </c>
    </row>
    <row r="29589" spans="1:6" x14ac:dyDescent="0.25">
      <c r="A29589" s="1" t="str">
        <f t="shared" si="1063"/>
        <v>39820</v>
      </c>
      <c r="B29589" s="1" t="str">
        <f>"96059"</f>
        <v>96059</v>
      </c>
      <c r="C29589" s="2">
        <v>1.41287467451337E-3</v>
      </c>
      <c r="D29589" s="2">
        <v>0</v>
      </c>
      <c r="E29589" s="2">
        <v>1.27795527156549E-3</v>
      </c>
      <c r="F29589" s="2">
        <v>1.27137308292956E-3</v>
      </c>
    </row>
    <row r="29590" spans="1:6" x14ac:dyDescent="0.25">
      <c r="A29590" s="1" t="str">
        <f t="shared" si="1063"/>
        <v>39820</v>
      </c>
      <c r="B29590" s="1" t="str">
        <f>"96011"</f>
        <v>96011</v>
      </c>
      <c r="C29590" s="2">
        <v>0</v>
      </c>
      <c r="D29590" s="2">
        <v>0</v>
      </c>
      <c r="E29590" s="2">
        <v>2.1299254526091499E-4</v>
      </c>
      <c r="F29590" s="2">
        <v>1.00108116766107E-5</v>
      </c>
    </row>
    <row r="29591" spans="1:6" x14ac:dyDescent="0.25">
      <c r="A29591" s="1" t="str">
        <f t="shared" si="1063"/>
        <v>39820</v>
      </c>
      <c r="B29591" s="1" t="str">
        <f>"96096"</f>
        <v>96096</v>
      </c>
      <c r="C29591" s="2">
        <v>2.5571863943671799E-3</v>
      </c>
      <c r="D29591" s="2">
        <v>1.04646295521138E-4</v>
      </c>
      <c r="E29591" s="2">
        <v>1.27795527156549E-3</v>
      </c>
      <c r="F29591" s="2">
        <v>2.26244343891402E-3</v>
      </c>
    </row>
    <row r="29592" spans="1:6" x14ac:dyDescent="0.25">
      <c r="A29592" s="1" t="str">
        <f t="shared" si="1063"/>
        <v>39820</v>
      </c>
      <c r="B29592" s="1" t="str">
        <f>"96062"</f>
        <v>96062</v>
      </c>
      <c r="C29592" s="2">
        <v>4.5188636284022804E-3</v>
      </c>
      <c r="D29592" s="2">
        <v>2.09292591042277E-4</v>
      </c>
      <c r="E29592" s="2">
        <v>3.8338658146964801E-3</v>
      </c>
      <c r="F29592" s="2">
        <v>4.0744003523805698E-3</v>
      </c>
    </row>
    <row r="29593" spans="1:6" x14ac:dyDescent="0.25">
      <c r="A29593" s="1" t="str">
        <f t="shared" si="1063"/>
        <v>39820</v>
      </c>
      <c r="B29593" s="1" t="str">
        <f>"96073"</f>
        <v>96073</v>
      </c>
      <c r="C29593" s="2">
        <v>2.9039829053841001E-2</v>
      </c>
      <c r="D29593" s="2">
        <v>3.87191293428212E-2</v>
      </c>
      <c r="E29593" s="2">
        <v>8.3067092651757102E-3</v>
      </c>
      <c r="F29593" s="2">
        <v>2.8991310615464699E-2</v>
      </c>
    </row>
    <row r="29594" spans="1:6" x14ac:dyDescent="0.25">
      <c r="A29594" s="1" t="str">
        <f t="shared" si="1063"/>
        <v>39820</v>
      </c>
      <c r="B29594" s="1" t="str">
        <f>"96002"</f>
        <v>96002</v>
      </c>
      <c r="C29594" s="2">
        <v>0.16375334244112</v>
      </c>
      <c r="D29594" s="2">
        <v>0.240581833403097</v>
      </c>
      <c r="E29594" s="2">
        <v>0.27476038338658099</v>
      </c>
      <c r="F29594" s="2">
        <v>0.176320426060144</v>
      </c>
    </row>
    <row r="29595" spans="1:6" x14ac:dyDescent="0.25">
      <c r="A29595" s="1" t="str">
        <f t="shared" si="1063"/>
        <v>39820</v>
      </c>
      <c r="B29595" s="1" t="str">
        <f>"96001"</f>
        <v>96001</v>
      </c>
      <c r="C29595" s="2">
        <v>0.179610233416237</v>
      </c>
      <c r="D29595" s="2">
        <v>0.24476768522394299</v>
      </c>
      <c r="E29595" s="2">
        <v>0.18913738019169299</v>
      </c>
      <c r="F29595" s="2">
        <v>0.18629119449004899</v>
      </c>
    </row>
    <row r="29596" spans="1:6" x14ac:dyDescent="0.25">
      <c r="A29596" s="1" t="str">
        <f t="shared" si="1063"/>
        <v>39820</v>
      </c>
      <c r="B29596" s="1" t="str">
        <f>"96007"</f>
        <v>96007</v>
      </c>
      <c r="C29596" s="2">
        <v>0.13351081841641199</v>
      </c>
      <c r="D29596" s="2">
        <v>0.115738802846379</v>
      </c>
      <c r="E29596" s="2">
        <v>0.10692225772097901</v>
      </c>
      <c r="F29596" s="2">
        <v>0.130561005886357</v>
      </c>
    </row>
    <row r="29597" spans="1:6" x14ac:dyDescent="0.25">
      <c r="A29597" s="1" t="str">
        <f t="shared" si="1063"/>
        <v>39820</v>
      </c>
      <c r="B29597" s="1" t="str">
        <f>"96016"</f>
        <v>96016</v>
      </c>
      <c r="C29597" s="2">
        <v>1.7047909295781201E-3</v>
      </c>
      <c r="D29597" s="2">
        <v>3.1393888656341501E-4</v>
      </c>
      <c r="E29597" s="2">
        <v>1.0649627263045699E-3</v>
      </c>
      <c r="F29597" s="2">
        <v>1.5416649981980499E-3</v>
      </c>
    </row>
    <row r="29598" spans="1:6" x14ac:dyDescent="0.25">
      <c r="A29598" s="1" t="str">
        <f t="shared" si="1063"/>
        <v>39820</v>
      </c>
      <c r="B29598" s="1" t="str">
        <f>"96013"</f>
        <v>96013</v>
      </c>
      <c r="C29598" s="2">
        <v>2.5560187293469198E-2</v>
      </c>
      <c r="D29598" s="2">
        <v>2.26035998325659E-2</v>
      </c>
      <c r="E29598" s="2">
        <v>1.8956336528221499E-2</v>
      </c>
      <c r="F29598" s="2">
        <v>2.4966964321467101E-2</v>
      </c>
    </row>
    <row r="29599" spans="1:6" x14ac:dyDescent="0.25">
      <c r="A29599" s="1" t="str">
        <f t="shared" si="1063"/>
        <v>39820</v>
      </c>
      <c r="B29599" s="1" t="str">
        <f>"96089"</f>
        <v>96089</v>
      </c>
      <c r="C29599" s="2">
        <v>0</v>
      </c>
      <c r="D29599" s="2">
        <v>1.04646295521138E-4</v>
      </c>
      <c r="E29599" s="2">
        <v>2.1299254526091499E-4</v>
      </c>
      <c r="F29599" s="2">
        <v>2.00216233532214E-5</v>
      </c>
    </row>
    <row r="29600" spans="1:6" x14ac:dyDescent="0.25">
      <c r="A29600" s="1" t="str">
        <f t="shared" si="1063"/>
        <v>39820</v>
      </c>
      <c r="B29600" s="1" t="str">
        <f>"96033"</f>
        <v>96033</v>
      </c>
      <c r="C29600" s="2">
        <v>7.3562896276316205E-4</v>
      </c>
      <c r="D29600" s="2">
        <v>1.04646295521138E-4</v>
      </c>
      <c r="E29600" s="2">
        <v>2.1299254526091499E-4</v>
      </c>
      <c r="F29600" s="2">
        <v>6.5070275897969796E-4</v>
      </c>
    </row>
    <row r="29601" spans="1:6" x14ac:dyDescent="0.25">
      <c r="A29601" s="1" t="str">
        <f t="shared" si="1063"/>
        <v>39820</v>
      </c>
      <c r="B29601" s="1" t="str">
        <f>"96084"</f>
        <v>96084</v>
      </c>
      <c r="C29601" s="2">
        <v>0</v>
      </c>
      <c r="D29601" s="2">
        <v>0</v>
      </c>
      <c r="E29601" s="2">
        <v>2.1299254526091499E-4</v>
      </c>
      <c r="F29601" s="2">
        <v>1.00108116766107E-5</v>
      </c>
    </row>
    <row r="29602" spans="1:6" x14ac:dyDescent="0.25">
      <c r="A29602" s="1" t="str">
        <f t="shared" si="1063"/>
        <v>39820</v>
      </c>
      <c r="B29602" s="1" t="str">
        <f>"96017"</f>
        <v>96017</v>
      </c>
      <c r="C29602" s="2">
        <v>2.10179703646617E-4</v>
      </c>
      <c r="D29602" s="2">
        <v>0</v>
      </c>
      <c r="E29602" s="2">
        <v>2.1299254526091499E-4</v>
      </c>
      <c r="F29602" s="2">
        <v>1.9020542185560401E-4</v>
      </c>
    </row>
    <row r="29603" spans="1:6" x14ac:dyDescent="0.25">
      <c r="A29603" s="1" t="str">
        <f t="shared" si="1063"/>
        <v>39820</v>
      </c>
      <c r="B29603" s="1" t="str">
        <f>"96051"</f>
        <v>96051</v>
      </c>
      <c r="C29603" s="2">
        <v>7.6715591831015501E-3</v>
      </c>
      <c r="D29603" s="2">
        <v>1.98827961490163E-3</v>
      </c>
      <c r="E29603" s="2">
        <v>6.3897763578274697E-4</v>
      </c>
      <c r="F29603" s="2">
        <v>6.7973411284186899E-3</v>
      </c>
    </row>
    <row r="29604" spans="1:6" x14ac:dyDescent="0.25">
      <c r="A29604" s="1" t="str">
        <f t="shared" si="1063"/>
        <v>39820</v>
      </c>
      <c r="B29604" s="1" t="str">
        <f>"96056"</f>
        <v>96056</v>
      </c>
      <c r="C29604" s="2">
        <v>3.82994126644948E-3</v>
      </c>
      <c r="D29604" s="2">
        <v>2.30221850146504E-3</v>
      </c>
      <c r="E29604" s="2">
        <v>2.1299254526091502E-3</v>
      </c>
      <c r="F29604" s="2">
        <v>3.60389220357986E-3</v>
      </c>
    </row>
    <row r="29605" spans="1:6" x14ac:dyDescent="0.25">
      <c r="A29605" s="1" t="str">
        <f t="shared" si="1063"/>
        <v>39820</v>
      </c>
      <c r="B29605" s="1" t="str">
        <f>"96028"</f>
        <v>96028</v>
      </c>
      <c r="C29605" s="2">
        <v>5.8500017514975296E-3</v>
      </c>
      <c r="D29605" s="2">
        <v>2.1975722059439E-3</v>
      </c>
      <c r="E29605" s="2">
        <v>4.6858359957401398E-3</v>
      </c>
      <c r="F29605" s="2">
        <v>5.4458815520762403E-3</v>
      </c>
    </row>
    <row r="29606" spans="1:6" x14ac:dyDescent="0.25">
      <c r="A29606" s="1" t="str">
        <f t="shared" si="1063"/>
        <v>39820</v>
      </c>
      <c r="B29606" s="1" t="str">
        <f>"96095"</f>
        <v>96095</v>
      </c>
      <c r="C29606" s="2">
        <v>0</v>
      </c>
      <c r="D29606" s="2">
        <v>0</v>
      </c>
      <c r="E29606" s="2">
        <v>2.1299254526091499E-4</v>
      </c>
      <c r="F29606" s="2">
        <v>1.00108116766107E-5</v>
      </c>
    </row>
    <row r="29607" spans="1:6" x14ac:dyDescent="0.25">
      <c r="A29607" s="1" t="str">
        <f t="shared" si="1063"/>
        <v>39820</v>
      </c>
      <c r="B29607" s="1" t="str">
        <f>"96065"</f>
        <v>96065</v>
      </c>
      <c r="C29607" s="2">
        <v>8.7574876519424096E-4</v>
      </c>
      <c r="D29607" s="2">
        <v>1.04646295521138E-4</v>
      </c>
      <c r="E29607" s="2">
        <v>2.1299254526091502E-3</v>
      </c>
      <c r="F29607" s="2">
        <v>8.6092980418852303E-4</v>
      </c>
    </row>
    <row r="29608" spans="1:6" x14ac:dyDescent="0.25">
      <c r="A29608" s="1" t="str">
        <f t="shared" si="1063"/>
        <v>39820</v>
      </c>
      <c r="B29608" s="1" t="str">
        <f>"96040"</f>
        <v>96040</v>
      </c>
      <c r="C29608" s="2">
        <v>1.34281477329783E-3</v>
      </c>
      <c r="D29608" s="2">
        <v>2.09292591042277E-4</v>
      </c>
      <c r="E29608" s="2">
        <v>2.1299254526091499E-4</v>
      </c>
      <c r="F29608" s="2">
        <v>1.18127577784006E-3</v>
      </c>
    </row>
    <row r="29609" spans="1:6" x14ac:dyDescent="0.25">
      <c r="A29609" s="1" t="str">
        <f t="shared" si="1063"/>
        <v>39820</v>
      </c>
      <c r="B29609" s="1" t="str">
        <f>"96049"</f>
        <v>96049</v>
      </c>
      <c r="C29609" s="2">
        <v>2.1543419623778301E-2</v>
      </c>
      <c r="D29609" s="2">
        <v>7.5240686479698601E-2</v>
      </c>
      <c r="E29609" s="2">
        <v>4.2598509052183101E-4</v>
      </c>
      <c r="F29609" s="2">
        <v>2.5687742762183101E-2</v>
      </c>
    </row>
    <row r="29610" spans="1:6" x14ac:dyDescent="0.25">
      <c r="A29610" s="1" t="str">
        <f t="shared" si="1063"/>
        <v>39820</v>
      </c>
      <c r="B29610" s="1" t="str">
        <f>"96076"</f>
        <v>96076</v>
      </c>
      <c r="C29610" s="2">
        <v>4.9041930850877503E-4</v>
      </c>
      <c r="D29610" s="2">
        <v>4.18585182084554E-4</v>
      </c>
      <c r="E29610" s="2">
        <v>6.3897763578274697E-4</v>
      </c>
      <c r="F29610" s="2">
        <v>4.9052977215392605E-4</v>
      </c>
    </row>
    <row r="29611" spans="1:6" x14ac:dyDescent="0.25">
      <c r="A29611" s="1" t="str">
        <f t="shared" si="1063"/>
        <v>39820</v>
      </c>
      <c r="B29611" s="1" t="str">
        <f>"96071"</f>
        <v>96071</v>
      </c>
      <c r="C29611" s="2">
        <v>5.8383251012949404E-4</v>
      </c>
      <c r="D29611" s="2">
        <v>4.18585182084554E-4</v>
      </c>
      <c r="E29611" s="2">
        <v>2.1299254526091499E-4</v>
      </c>
      <c r="F29611" s="2">
        <v>5.5059464221358999E-4</v>
      </c>
    </row>
    <row r="29612" spans="1:6" x14ac:dyDescent="0.25">
      <c r="A29612" s="1" t="str">
        <f t="shared" si="1063"/>
        <v>39820</v>
      </c>
      <c r="B29612" s="1" t="str">
        <f>"96003"</f>
        <v>96003</v>
      </c>
      <c r="C29612" s="2">
        <v>0.23702432246237101</v>
      </c>
      <c r="D29612" s="2">
        <v>0.14284219338635401</v>
      </c>
      <c r="E29612" s="2">
        <v>0.33013844515441898</v>
      </c>
      <c r="F29612" s="2">
        <v>0.23239098226084101</v>
      </c>
    </row>
    <row r="29613" spans="1:6" x14ac:dyDescent="0.25">
      <c r="A29613" s="1" t="str">
        <f t="shared" ref="A29613:A29629" si="1064">"39860"</f>
        <v>39860</v>
      </c>
      <c r="B29613" s="1" t="str">
        <f>"55026"</f>
        <v>55026</v>
      </c>
      <c r="C29613" s="2">
        <v>1.3961372050492801E-2</v>
      </c>
      <c r="D29613" s="2">
        <v>5.9988002399520004E-4</v>
      </c>
      <c r="E29613" s="2">
        <v>1.5873015873015799E-3</v>
      </c>
      <c r="F29613" s="2">
        <v>1.27447807088525E-2</v>
      </c>
    </row>
    <row r="29614" spans="1:6" x14ac:dyDescent="0.25">
      <c r="A29614" s="1" t="str">
        <f t="shared" si="1064"/>
        <v>39860</v>
      </c>
      <c r="B29614" s="1" t="str">
        <f>"55985"</f>
        <v>55985</v>
      </c>
      <c r="C29614" s="2">
        <v>8.0289040545965403E-4</v>
      </c>
      <c r="D29614" s="2">
        <v>5.9988002399520004E-4</v>
      </c>
      <c r="E29614" s="2">
        <v>0</v>
      </c>
      <c r="F29614" s="2">
        <v>7.6873280466094795E-4</v>
      </c>
    </row>
    <row r="29615" spans="1:6" x14ac:dyDescent="0.25">
      <c r="A29615" s="1" t="str">
        <f t="shared" si="1064"/>
        <v>39860</v>
      </c>
      <c r="B29615" s="1" t="str">
        <f>"55956"</f>
        <v>55956</v>
      </c>
      <c r="C29615" s="2">
        <v>3.4791917569918299E-3</v>
      </c>
      <c r="D29615" s="2">
        <v>0</v>
      </c>
      <c r="E29615" s="2">
        <v>0</v>
      </c>
      <c r="F29615" s="2">
        <v>3.1558504612396801E-3</v>
      </c>
    </row>
    <row r="29616" spans="1:6" x14ac:dyDescent="0.25">
      <c r="A29616" s="1" t="str">
        <f t="shared" si="1064"/>
        <v>39860</v>
      </c>
      <c r="B29616" s="1" t="str">
        <f>"55009"</f>
        <v>55009</v>
      </c>
      <c r="C29616" s="2">
        <v>0.15005129577590401</v>
      </c>
      <c r="D29616" s="2">
        <v>0.188362327534493</v>
      </c>
      <c r="E29616" s="2">
        <v>0.14285714285714199</v>
      </c>
      <c r="F29616" s="2">
        <v>0.15245185305065501</v>
      </c>
    </row>
    <row r="29617" spans="1:6" x14ac:dyDescent="0.25">
      <c r="A29617" s="1" t="str">
        <f t="shared" si="1064"/>
        <v>39860</v>
      </c>
      <c r="B29617" s="1" t="str">
        <f>"55033"</f>
        <v>55033</v>
      </c>
      <c r="C29617" s="2">
        <v>1.2935456532405501E-3</v>
      </c>
      <c r="D29617" s="2">
        <v>0</v>
      </c>
      <c r="E29617" s="2">
        <v>3.1746031746031698E-3</v>
      </c>
      <c r="F29617" s="2">
        <v>1.2542482602362799E-3</v>
      </c>
    </row>
    <row r="29618" spans="1:6" x14ac:dyDescent="0.25">
      <c r="A29618" s="1" t="str">
        <f t="shared" si="1064"/>
        <v>39860</v>
      </c>
      <c r="B29618" s="1" t="str">
        <f>"55963"</f>
        <v>55963</v>
      </c>
      <c r="C29618" s="2">
        <v>7.0877380793077302E-2</v>
      </c>
      <c r="D29618" s="2">
        <v>3.65926814637072E-2</v>
      </c>
      <c r="E29618" s="2">
        <v>6.8253968253968206E-2</v>
      </c>
      <c r="F29618" s="2">
        <v>6.8498138857420204E-2</v>
      </c>
    </row>
    <row r="29619" spans="1:6" x14ac:dyDescent="0.25">
      <c r="A29619" s="1" t="str">
        <f t="shared" si="1064"/>
        <v>39860</v>
      </c>
      <c r="B29619" s="1" t="str">
        <f>"55066"</f>
        <v>55066</v>
      </c>
      <c r="C29619" s="2">
        <v>0.40862661135643802</v>
      </c>
      <c r="D29619" s="2">
        <v>0.52369526094781005</v>
      </c>
      <c r="E29619" s="2">
        <v>0.51904761904761898</v>
      </c>
      <c r="F29619" s="2">
        <v>0.41920213626800401</v>
      </c>
    </row>
    <row r="29620" spans="1:6" x14ac:dyDescent="0.25">
      <c r="A29620" s="1" t="str">
        <f t="shared" si="1064"/>
        <v>39860</v>
      </c>
      <c r="B29620" s="1" t="str">
        <f>"55018"</f>
        <v>55018</v>
      </c>
      <c r="C29620" s="2">
        <v>1.7262143717382501E-2</v>
      </c>
      <c r="D29620" s="2">
        <v>8.9982003599280106E-3</v>
      </c>
      <c r="E29620" s="2">
        <v>7.9365079365079309E-3</v>
      </c>
      <c r="F29620" s="2">
        <v>1.6467065868263402E-2</v>
      </c>
    </row>
    <row r="29621" spans="1:6" x14ac:dyDescent="0.25">
      <c r="A29621" s="1" t="str">
        <f t="shared" si="1064"/>
        <v>39860</v>
      </c>
      <c r="B29621" s="1" t="str">
        <f>"55041"</f>
        <v>55041</v>
      </c>
      <c r="C29621" s="2">
        <v>4.0635175520763601E-2</v>
      </c>
      <c r="D29621" s="2">
        <v>3.7192561487702398E-2</v>
      </c>
      <c r="E29621" s="2">
        <v>5.7142857142857099E-2</v>
      </c>
      <c r="F29621" s="2">
        <v>4.0823757889626097E-2</v>
      </c>
    </row>
    <row r="29622" spans="1:6" x14ac:dyDescent="0.25">
      <c r="A29622" s="1" t="str">
        <f t="shared" si="1064"/>
        <v>39860</v>
      </c>
      <c r="B29622" s="1" t="str">
        <f>"55027"</f>
        <v>55027</v>
      </c>
      <c r="C29622" s="2">
        <v>5.0448280476381599E-2</v>
      </c>
      <c r="D29622" s="2">
        <v>1.499700059988E-2</v>
      </c>
      <c r="E29622" s="2">
        <v>7.9365079365079309E-3</v>
      </c>
      <c r="F29622" s="2">
        <v>4.6973620326913698E-2</v>
      </c>
    </row>
    <row r="29623" spans="1:6" x14ac:dyDescent="0.25">
      <c r="A29623" s="1" t="str">
        <f t="shared" si="1064"/>
        <v>39860</v>
      </c>
      <c r="B29623" s="1" t="str">
        <f>"55946"</f>
        <v>55946</v>
      </c>
      <c r="C29623" s="2">
        <v>6.3517552076363698E-2</v>
      </c>
      <c r="D29623" s="2">
        <v>4.9190161967606401E-2</v>
      </c>
      <c r="E29623" s="2">
        <v>3.1746031746031703E-2</v>
      </c>
      <c r="F29623" s="2">
        <v>6.1741382100663503E-2</v>
      </c>
    </row>
    <row r="29624" spans="1:6" x14ac:dyDescent="0.25">
      <c r="A29624" s="1" t="str">
        <f t="shared" si="1064"/>
        <v>39860</v>
      </c>
      <c r="B29624" s="1" t="str">
        <f>"55089"</f>
        <v>55089</v>
      </c>
      <c r="C29624" s="2">
        <v>3.1937196128284003E-2</v>
      </c>
      <c r="D29624" s="2">
        <v>1.55968806238752E-2</v>
      </c>
      <c r="E29624" s="2">
        <v>2.8571428571428501E-2</v>
      </c>
      <c r="F29624" s="2">
        <v>3.0749312186437901E-2</v>
      </c>
    </row>
    <row r="29625" spans="1:6" x14ac:dyDescent="0.25">
      <c r="A29625" s="1" t="str">
        <f t="shared" si="1064"/>
        <v>39860</v>
      </c>
      <c r="B29625" s="1" t="str">
        <f>"55983"</f>
        <v>55983</v>
      </c>
      <c r="C29625" s="2">
        <v>3.7334403853873897E-2</v>
      </c>
      <c r="D29625" s="2">
        <v>1.6796640671865599E-2</v>
      </c>
      <c r="E29625" s="2">
        <v>3.8095238095238002E-2</v>
      </c>
      <c r="F29625" s="2">
        <v>3.5968603333872702E-2</v>
      </c>
    </row>
    <row r="29626" spans="1:6" x14ac:dyDescent="0.25">
      <c r="A29626" s="1" t="str">
        <f t="shared" si="1064"/>
        <v>39860</v>
      </c>
      <c r="B29626" s="1" t="str">
        <f>"55992"</f>
        <v>55992</v>
      </c>
      <c r="C29626" s="2">
        <v>0.105758508408046</v>
      </c>
      <c r="D29626" s="2">
        <v>0.106778644271145</v>
      </c>
      <c r="E29626" s="2">
        <v>9.3650793650793596E-2</v>
      </c>
      <c r="F29626" s="2">
        <v>0.10551869234503899</v>
      </c>
    </row>
    <row r="29627" spans="1:6" x14ac:dyDescent="0.25">
      <c r="A29627" s="1" t="str">
        <f t="shared" si="1064"/>
        <v>39860</v>
      </c>
      <c r="B29627" s="1" t="str">
        <f>"55053"</f>
        <v>55053</v>
      </c>
      <c r="C29627" s="2">
        <v>2.9439314866854002E-3</v>
      </c>
      <c r="D29627" s="2">
        <v>0</v>
      </c>
      <c r="E29627" s="2">
        <v>0</v>
      </c>
      <c r="F29627" s="2">
        <v>2.6703350056643399E-3</v>
      </c>
    </row>
    <row r="29628" spans="1:6" x14ac:dyDescent="0.25">
      <c r="A29628" s="1" t="str">
        <f t="shared" si="1064"/>
        <v>39860</v>
      </c>
      <c r="B29628" s="1" t="str">
        <f>"55065"</f>
        <v>55065</v>
      </c>
      <c r="C29628" s="2">
        <v>8.9210045051072698E-4</v>
      </c>
      <c r="D29628" s="2">
        <v>5.9988002399520004E-4</v>
      </c>
      <c r="E29628" s="2">
        <v>0</v>
      </c>
      <c r="F29628" s="2">
        <v>8.4965204725683701E-4</v>
      </c>
    </row>
    <row r="29629" spans="1:6" x14ac:dyDescent="0.25">
      <c r="A29629" s="1" t="str">
        <f t="shared" si="1064"/>
        <v>39860</v>
      </c>
      <c r="B29629" s="1" t="str">
        <f>"55057"</f>
        <v>55057</v>
      </c>
      <c r="C29629" s="2">
        <v>1.78420090102145E-4</v>
      </c>
      <c r="D29629" s="2">
        <v>0</v>
      </c>
      <c r="E29629" s="2">
        <v>0</v>
      </c>
      <c r="F29629" s="2">
        <v>1.6183848519177801E-4</v>
      </c>
    </row>
    <row r="29630" spans="1:6" x14ac:dyDescent="0.25">
      <c r="A29630" s="1" t="str">
        <f t="shared" ref="A29630:A29670" si="1065">"39900"</f>
        <v>39900</v>
      </c>
      <c r="B29630" s="1" t="str">
        <f>"89595"</f>
        <v>89595</v>
      </c>
      <c r="C29630" s="2">
        <v>0</v>
      </c>
      <c r="D29630" s="2">
        <v>0</v>
      </c>
      <c r="E29630" s="2">
        <v>1.03305785123966E-4</v>
      </c>
      <c r="F29630" s="2">
        <v>3.7172372006229999E-6</v>
      </c>
    </row>
    <row r="29631" spans="1:6" x14ac:dyDescent="0.25">
      <c r="A29631" s="1" t="str">
        <f t="shared" si="1065"/>
        <v>39900</v>
      </c>
      <c r="B29631" s="1" t="str">
        <f>"89599"</f>
        <v>89599</v>
      </c>
      <c r="C29631" s="2">
        <v>0</v>
      </c>
      <c r="D29631" s="2">
        <v>0</v>
      </c>
      <c r="E29631" s="2">
        <v>1.03305785123966E-4</v>
      </c>
      <c r="F29631" s="2">
        <v>3.7172372006229999E-6</v>
      </c>
    </row>
    <row r="29632" spans="1:6" x14ac:dyDescent="0.25">
      <c r="A29632" s="1" t="str">
        <f t="shared" si="1065"/>
        <v>39900</v>
      </c>
      <c r="B29632" s="1" t="str">
        <f>"89510"</f>
        <v>89510</v>
      </c>
      <c r="C29632" s="2">
        <v>1.1405795540234799E-2</v>
      </c>
      <c r="D29632" s="2">
        <v>2.2412148778519499E-2</v>
      </c>
      <c r="E29632" s="2">
        <v>2.1694214876033001E-3</v>
      </c>
      <c r="F29632" s="2">
        <v>1.21888207808428E-2</v>
      </c>
    </row>
    <row r="29633" spans="1:6" x14ac:dyDescent="0.25">
      <c r="A29633" s="1" t="str">
        <f t="shared" si="1065"/>
        <v>39900</v>
      </c>
      <c r="B29633" s="1" t="str">
        <f>"89508"</f>
        <v>89508</v>
      </c>
      <c r="C29633" s="2">
        <v>2.1686954648281801E-2</v>
      </c>
      <c r="D29633" s="2">
        <v>1.9440980118846699E-3</v>
      </c>
      <c r="E29633" s="2">
        <v>2.7892561983471E-3</v>
      </c>
      <c r="F29633" s="2">
        <v>1.90062338067854E-2</v>
      </c>
    </row>
    <row r="29634" spans="1:6" x14ac:dyDescent="0.25">
      <c r="A29634" s="1" t="str">
        <f t="shared" si="1065"/>
        <v>39900</v>
      </c>
      <c r="B29634" s="1" t="str">
        <f>"89521"</f>
        <v>89521</v>
      </c>
      <c r="C29634" s="2">
        <v>7.3170311321770903E-2</v>
      </c>
      <c r="D29634" s="2">
        <v>7.1051280170200196E-2</v>
      </c>
      <c r="E29634" s="2">
        <v>6.9834710743801598E-2</v>
      </c>
      <c r="F29634" s="2">
        <v>7.2835545709007202E-2</v>
      </c>
    </row>
    <row r="29635" spans="1:6" x14ac:dyDescent="0.25">
      <c r="A29635" s="1" t="str">
        <f t="shared" si="1065"/>
        <v>39900</v>
      </c>
      <c r="B29635" s="1" t="str">
        <f>"89450"</f>
        <v>89450</v>
      </c>
      <c r="C29635" s="2">
        <v>1.54045028546805E-2</v>
      </c>
      <c r="D29635" s="2">
        <v>1.24348910571491E-2</v>
      </c>
      <c r="E29635" s="2">
        <v>2.0661157024793301E-4</v>
      </c>
      <c r="F29635" s="2">
        <v>1.4556700877639699E-2</v>
      </c>
    </row>
    <row r="29636" spans="1:6" x14ac:dyDescent="0.25">
      <c r="A29636" s="1" t="str">
        <f t="shared" si="1065"/>
        <v>39900</v>
      </c>
      <c r="B29636" s="1" t="str">
        <f>"89570"</f>
        <v>89570</v>
      </c>
      <c r="C29636" s="2">
        <v>8.5748141764515695E-4</v>
      </c>
      <c r="D29636" s="2">
        <v>1.3572004988628801E-3</v>
      </c>
      <c r="E29636" s="2">
        <v>2.0661157024793301E-4</v>
      </c>
      <c r="F29636" s="2">
        <v>8.8470245374827595E-4</v>
      </c>
    </row>
    <row r="29637" spans="1:6" x14ac:dyDescent="0.25">
      <c r="A29637" s="1" t="str">
        <f t="shared" si="1065"/>
        <v>39900</v>
      </c>
      <c r="B29637" s="1" t="str">
        <f>"89523"</f>
        <v>89523</v>
      </c>
      <c r="C29637" s="2">
        <v>7.3252181406872702E-2</v>
      </c>
      <c r="D29637" s="2">
        <v>2.0247964199251699E-2</v>
      </c>
      <c r="E29637" s="2">
        <v>2.2417355371900798E-2</v>
      </c>
      <c r="F29637" s="2">
        <v>6.6051587817870197E-2</v>
      </c>
    </row>
    <row r="29638" spans="1:6" x14ac:dyDescent="0.25">
      <c r="A29638" s="1" t="str">
        <f t="shared" si="1065"/>
        <v>39900</v>
      </c>
      <c r="B29638" s="1" t="str">
        <f>"89435"</f>
        <v>89435</v>
      </c>
      <c r="C29638" s="2">
        <v>6.8167618226866299E-3</v>
      </c>
      <c r="D29638" s="2">
        <v>1.06741985180837E-2</v>
      </c>
      <c r="E29638" s="2">
        <v>2.0661157024793301E-4</v>
      </c>
      <c r="F29638" s="2">
        <v>6.9698197511681402E-3</v>
      </c>
    </row>
    <row r="29639" spans="1:6" x14ac:dyDescent="0.25">
      <c r="A29639" s="1" t="str">
        <f t="shared" si="1065"/>
        <v>39900</v>
      </c>
      <c r="B29639" s="1" t="str">
        <f>"89434"</f>
        <v>89434</v>
      </c>
      <c r="C29639" s="2">
        <v>5.3801572767424297E-2</v>
      </c>
      <c r="D29639" s="2">
        <v>2.9161470178270098E-2</v>
      </c>
      <c r="E29639" s="2">
        <v>4.9793388429751999E-2</v>
      </c>
      <c r="F29639" s="2">
        <v>5.1160335592174401E-2</v>
      </c>
    </row>
    <row r="29640" spans="1:6" x14ac:dyDescent="0.25">
      <c r="A29640" s="1" t="str">
        <f t="shared" si="1065"/>
        <v>39900</v>
      </c>
      <c r="B29640" s="1" t="str">
        <f>"89504"</f>
        <v>89504</v>
      </c>
      <c r="C29640" s="2">
        <v>5.33879133900678E-3</v>
      </c>
      <c r="D29640" s="2">
        <v>5.3554398063238202E-3</v>
      </c>
      <c r="E29640" s="2">
        <v>2.0661157024793301E-4</v>
      </c>
      <c r="F29640" s="2">
        <v>5.1558079972641099E-3</v>
      </c>
    </row>
    <row r="29641" spans="1:6" x14ac:dyDescent="0.25">
      <c r="A29641" s="1" t="str">
        <f t="shared" si="1065"/>
        <v>39900</v>
      </c>
      <c r="B29641" s="1" t="str">
        <f>"89533"</f>
        <v>89533</v>
      </c>
      <c r="C29641" s="2">
        <v>4.5804158138532799E-3</v>
      </c>
      <c r="D29641" s="2">
        <v>9.1335925464015796E-3</v>
      </c>
      <c r="E29641" s="2">
        <v>2.0661157024793301E-4</v>
      </c>
      <c r="F29641" s="2">
        <v>4.8844496816186304E-3</v>
      </c>
    </row>
    <row r="29642" spans="1:6" x14ac:dyDescent="0.25">
      <c r="A29642" s="1" t="str">
        <f t="shared" si="1065"/>
        <v>39900</v>
      </c>
      <c r="B29642" s="1" t="str">
        <f>"89439"</f>
        <v>89439</v>
      </c>
      <c r="C29642" s="2">
        <v>2.15016697188408E-3</v>
      </c>
      <c r="D29642" s="2">
        <v>3.6681094563861702E-5</v>
      </c>
      <c r="E29642" s="2">
        <v>4.7520661157024703E-3</v>
      </c>
      <c r="F29642" s="2">
        <v>2.0296115115401598E-3</v>
      </c>
    </row>
    <row r="29643" spans="1:6" x14ac:dyDescent="0.25">
      <c r="A29643" s="1" t="str">
        <f t="shared" si="1065"/>
        <v>39900</v>
      </c>
      <c r="B29643" s="1" t="str">
        <f>"89402"</f>
        <v>89402</v>
      </c>
      <c r="C29643" s="2">
        <v>5.6490358720241302E-3</v>
      </c>
      <c r="D29643" s="2">
        <v>2.4943144303426002E-3</v>
      </c>
      <c r="E29643" s="2">
        <v>1.7561983471074301E-3</v>
      </c>
      <c r="F29643" s="2">
        <v>5.1892631320697201E-3</v>
      </c>
    </row>
    <row r="29644" spans="1:6" x14ac:dyDescent="0.25">
      <c r="A29644" s="1" t="str">
        <f t="shared" si="1065"/>
        <v>39900</v>
      </c>
      <c r="B29644" s="1" t="str">
        <f>"89403"</f>
        <v>89403</v>
      </c>
      <c r="C29644" s="2">
        <v>1.33146612086609E-3</v>
      </c>
      <c r="D29644" s="2">
        <v>3.6681094563861702E-5</v>
      </c>
      <c r="E29644" s="2">
        <v>1.03305785123966E-4</v>
      </c>
      <c r="F29644" s="2">
        <v>1.1560607693937501E-3</v>
      </c>
    </row>
    <row r="29645" spans="1:6" x14ac:dyDescent="0.25">
      <c r="A29645" s="1" t="str">
        <f t="shared" si="1065"/>
        <v>39900</v>
      </c>
      <c r="B29645" s="1" t="str">
        <f>"89502"</f>
        <v>89502</v>
      </c>
      <c r="C29645" s="2">
        <v>8.8208553269417206E-2</v>
      </c>
      <c r="D29645" s="2">
        <v>0.205414129557625</v>
      </c>
      <c r="E29645" s="2">
        <v>0.20061983471074299</v>
      </c>
      <c r="F29645" s="2">
        <v>0.104130965701052</v>
      </c>
    </row>
    <row r="29646" spans="1:6" x14ac:dyDescent="0.25">
      <c r="A29646" s="1" t="str">
        <f t="shared" si="1065"/>
        <v>39900</v>
      </c>
      <c r="B29646" s="1" t="str">
        <f>"89511"</f>
        <v>89511</v>
      </c>
      <c r="C29646" s="2">
        <v>6.29753312506732E-2</v>
      </c>
      <c r="D29646" s="2">
        <v>9.9442447362629305E-2</v>
      </c>
      <c r="E29646" s="2">
        <v>5.0309917355371901E-2</v>
      </c>
      <c r="F29646" s="2">
        <v>6.6215146254697599E-2</v>
      </c>
    </row>
    <row r="29647" spans="1:6" x14ac:dyDescent="0.25">
      <c r="A29647" s="1" t="str">
        <f t="shared" si="1065"/>
        <v>39900</v>
      </c>
      <c r="B29647" s="1" t="str">
        <f>"89440"</f>
        <v>89440</v>
      </c>
      <c r="C29647" s="2">
        <v>0</v>
      </c>
      <c r="D29647" s="2">
        <v>3.6681094563861702E-5</v>
      </c>
      <c r="E29647" s="2">
        <v>8.2644628099173497E-4</v>
      </c>
      <c r="F29647" s="2">
        <v>3.3455134805607002E-5</v>
      </c>
    </row>
    <row r="29648" spans="1:6" x14ac:dyDescent="0.25">
      <c r="A29648" s="1" t="str">
        <f t="shared" si="1065"/>
        <v>39900</v>
      </c>
      <c r="B29648" s="1" t="str">
        <f>"89437"</f>
        <v>89437</v>
      </c>
      <c r="C29648" s="2">
        <v>0</v>
      </c>
      <c r="D29648" s="2">
        <v>4.58513682048272E-3</v>
      </c>
      <c r="E29648" s="2">
        <v>1.4462809917355299E-3</v>
      </c>
      <c r="F29648" s="2">
        <v>5.1669597088659796E-4</v>
      </c>
    </row>
    <row r="29649" spans="1:6" x14ac:dyDescent="0.25">
      <c r="A29649" s="1" t="str">
        <f t="shared" si="1065"/>
        <v>39900</v>
      </c>
      <c r="B29649" s="1" t="str">
        <f>"89424"</f>
        <v>89424</v>
      </c>
      <c r="C29649" s="2">
        <v>0</v>
      </c>
      <c r="D29649" s="2">
        <v>3.6681094563861702E-5</v>
      </c>
      <c r="E29649" s="2">
        <v>1.03305785123966E-4</v>
      </c>
      <c r="F29649" s="2">
        <v>7.4344744012460101E-6</v>
      </c>
    </row>
    <row r="29650" spans="1:6" x14ac:dyDescent="0.25">
      <c r="A29650" s="1" t="str">
        <f t="shared" si="1065"/>
        <v>39900</v>
      </c>
      <c r="B29650" s="1" t="str">
        <f>"89442"</f>
        <v>89442</v>
      </c>
      <c r="C29650" s="2">
        <v>0</v>
      </c>
      <c r="D29650" s="2">
        <v>3.6681094563861702E-5</v>
      </c>
      <c r="E29650" s="2">
        <v>1.13636363636363E-3</v>
      </c>
      <c r="F29650" s="2">
        <v>4.4606846407476103E-5</v>
      </c>
    </row>
    <row r="29651" spans="1:6" x14ac:dyDescent="0.25">
      <c r="A29651" s="1" t="str">
        <f t="shared" si="1065"/>
        <v>39900</v>
      </c>
      <c r="B29651" s="1" t="str">
        <f>"89704"</f>
        <v>89704</v>
      </c>
      <c r="C29651" s="2">
        <v>9.0832704944522197E-3</v>
      </c>
      <c r="D29651" s="2">
        <v>1.57728706624605E-3</v>
      </c>
      <c r="E29651" s="2">
        <v>3.20247933884297E-3</v>
      </c>
      <c r="F29651" s="2">
        <v>8.1110115717593998E-3</v>
      </c>
    </row>
    <row r="29652" spans="1:6" x14ac:dyDescent="0.25">
      <c r="A29652" s="1" t="str">
        <f t="shared" si="1065"/>
        <v>39900</v>
      </c>
      <c r="B29652" s="1" t="str">
        <f>"89432"</f>
        <v>89432</v>
      </c>
      <c r="C29652" s="2">
        <v>1.7795971130022601E-2</v>
      </c>
      <c r="D29652" s="2">
        <v>1.6543173648301601E-2</v>
      </c>
      <c r="E29652" s="2">
        <v>2.0661157024793301E-4</v>
      </c>
      <c r="F29652" s="2">
        <v>1.7036098090455198E-2</v>
      </c>
    </row>
    <row r="29653" spans="1:6" x14ac:dyDescent="0.25">
      <c r="A29653" s="1" t="str">
        <f t="shared" si="1065"/>
        <v>39900</v>
      </c>
      <c r="B29653" s="1" t="str">
        <f>"89513"</f>
        <v>89513</v>
      </c>
      <c r="C29653" s="2">
        <v>6.7090380265000501E-3</v>
      </c>
      <c r="D29653" s="2">
        <v>9.6838089648595103E-3</v>
      </c>
      <c r="E29653" s="2">
        <v>2.0661157024793301E-4</v>
      </c>
      <c r="F29653" s="2">
        <v>6.7765234167357401E-3</v>
      </c>
    </row>
    <row r="29654" spans="1:6" x14ac:dyDescent="0.25">
      <c r="A29654" s="1" t="str">
        <f t="shared" si="1065"/>
        <v>39900</v>
      </c>
      <c r="B29654" s="1" t="str">
        <f>"89557"</f>
        <v>89557</v>
      </c>
      <c r="C29654" s="2">
        <v>0</v>
      </c>
      <c r="D29654" s="2">
        <v>1.8340547281930799E-4</v>
      </c>
      <c r="E29654" s="2">
        <v>3.0991735537189998E-4</v>
      </c>
      <c r="F29654" s="2">
        <v>2.9737897604984E-5</v>
      </c>
    </row>
    <row r="29655" spans="1:6" x14ac:dyDescent="0.25">
      <c r="A29655" s="1" t="str">
        <f t="shared" si="1065"/>
        <v>39900</v>
      </c>
      <c r="B29655" s="1" t="str">
        <f>"89509"</f>
        <v>89509</v>
      </c>
      <c r="C29655" s="2">
        <v>7.5734137671011503E-2</v>
      </c>
      <c r="D29655" s="2">
        <v>6.50722617562908E-2</v>
      </c>
      <c r="E29655" s="2">
        <v>0.123863636363636</v>
      </c>
      <c r="F29655" s="2">
        <v>7.6385507235602196E-2</v>
      </c>
    </row>
    <row r="29656" spans="1:6" x14ac:dyDescent="0.25">
      <c r="A29656" s="1" t="str">
        <f t="shared" si="1065"/>
        <v>39900</v>
      </c>
      <c r="B29656" s="1" t="str">
        <f>"89433"</f>
        <v>89433</v>
      </c>
      <c r="C29656" s="2">
        <v>3.3708930302703798E-2</v>
      </c>
      <c r="D29656" s="2">
        <v>7.6663487638471096E-3</v>
      </c>
      <c r="E29656" s="2">
        <v>8.5743801652892505E-3</v>
      </c>
      <c r="F29656" s="2">
        <v>3.0165379883055701E-2</v>
      </c>
    </row>
    <row r="29657" spans="1:6" x14ac:dyDescent="0.25">
      <c r="A29657" s="1" t="str">
        <f t="shared" si="1065"/>
        <v>39900</v>
      </c>
      <c r="B29657" s="1" t="str">
        <f>"89436"</f>
        <v>89436</v>
      </c>
      <c r="C29657" s="2">
        <v>7.8939997845523996E-2</v>
      </c>
      <c r="D29657" s="2">
        <v>2.91247890837062E-2</v>
      </c>
      <c r="E29657" s="2">
        <v>2.5413223140495801E-2</v>
      </c>
      <c r="F29657" s="2">
        <v>7.1965712204061394E-2</v>
      </c>
    </row>
    <row r="29658" spans="1:6" x14ac:dyDescent="0.25">
      <c r="A29658" s="1" t="str">
        <f t="shared" si="1065"/>
        <v>39900</v>
      </c>
      <c r="B29658" s="1" t="str">
        <f>"89501"</f>
        <v>89501</v>
      </c>
      <c r="C29658" s="2">
        <v>1.31853926532371E-2</v>
      </c>
      <c r="D29658" s="2">
        <v>4.1412955762599901E-2</v>
      </c>
      <c r="E29658" s="2">
        <v>2.9442148760330501E-2</v>
      </c>
      <c r="F29658" s="2">
        <v>1.6630919235587301E-2</v>
      </c>
    </row>
    <row r="29659" spans="1:6" x14ac:dyDescent="0.25">
      <c r="A29659" s="1" t="str">
        <f t="shared" si="1065"/>
        <v>39900</v>
      </c>
      <c r="B29659" s="1" t="str">
        <f>"89505"</f>
        <v>89505</v>
      </c>
      <c r="C29659" s="2">
        <v>5.2612302057524502E-3</v>
      </c>
      <c r="D29659" s="2">
        <v>5.5388452791431198E-3</v>
      </c>
      <c r="E29659" s="2">
        <v>2.0661157024793301E-4</v>
      </c>
      <c r="F29659" s="2">
        <v>5.1074839136560097E-3</v>
      </c>
    </row>
    <row r="29660" spans="1:6" x14ac:dyDescent="0.25">
      <c r="A29660" s="1" t="str">
        <f t="shared" si="1065"/>
        <v>39900</v>
      </c>
      <c r="B29660" s="1" t="str">
        <f>"89507"</f>
        <v>89507</v>
      </c>
      <c r="C29660" s="2">
        <v>1.6240439513088401E-2</v>
      </c>
      <c r="D29660" s="2">
        <v>5.7589318465262997E-3</v>
      </c>
      <c r="E29660" s="2">
        <v>2.0661157024793301E-4</v>
      </c>
      <c r="F29660" s="2">
        <v>1.4601307724047099E-2</v>
      </c>
    </row>
    <row r="29661" spans="1:6" x14ac:dyDescent="0.25">
      <c r="A29661" s="1" t="str">
        <f t="shared" si="1065"/>
        <v>39900</v>
      </c>
      <c r="B29661" s="1" t="str">
        <f>"89515"</f>
        <v>89515</v>
      </c>
      <c r="C29661" s="2">
        <v>4.0719594958526298E-3</v>
      </c>
      <c r="D29661" s="2">
        <v>8.0331597094857304E-3</v>
      </c>
      <c r="E29661" s="2">
        <v>2.0661157024793301E-4</v>
      </c>
      <c r="F29661" s="2">
        <v>4.3342985759264197E-3</v>
      </c>
    </row>
    <row r="29662" spans="1:6" x14ac:dyDescent="0.25">
      <c r="A29662" s="1" t="str">
        <f t="shared" si="1065"/>
        <v>39900</v>
      </c>
      <c r="B29662" s="1" t="str">
        <f>"89431"</f>
        <v>89431</v>
      </c>
      <c r="C29662" s="2">
        <v>7.0365183669072406E-2</v>
      </c>
      <c r="D29662" s="2">
        <v>0.130841464309294</v>
      </c>
      <c r="E29662" s="2">
        <v>0.11126033057851201</v>
      </c>
      <c r="F29662" s="2">
        <v>7.7965333045866905E-2</v>
      </c>
    </row>
    <row r="29663" spans="1:6" x14ac:dyDescent="0.25">
      <c r="A29663" s="1" t="str">
        <f t="shared" si="1065"/>
        <v>39900</v>
      </c>
      <c r="B29663" s="1" t="str">
        <f>"89519"</f>
        <v>89519</v>
      </c>
      <c r="C29663" s="2">
        <v>1.8649143595820299E-2</v>
      </c>
      <c r="D29663" s="2">
        <v>7.1161323453891798E-3</v>
      </c>
      <c r="E29663" s="2">
        <v>1.6012396694214798E-2</v>
      </c>
      <c r="F29663" s="2">
        <v>1.7385518387313802E-2</v>
      </c>
    </row>
    <row r="29664" spans="1:6" x14ac:dyDescent="0.25">
      <c r="A29664" s="1" t="str">
        <f t="shared" si="1065"/>
        <v>39900</v>
      </c>
      <c r="B29664" s="1" t="str">
        <f>"89703"</f>
        <v>89703</v>
      </c>
      <c r="C29664" s="2">
        <v>1.72358073898524E-5</v>
      </c>
      <c r="D29664" s="2">
        <v>0</v>
      </c>
      <c r="E29664" s="2">
        <v>2.0661157024793301E-4</v>
      </c>
      <c r="F29664" s="2">
        <v>2.2303423203738001E-5</v>
      </c>
    </row>
    <row r="29665" spans="1:6" x14ac:dyDescent="0.25">
      <c r="A29665" s="1" t="str">
        <f t="shared" si="1065"/>
        <v>39900</v>
      </c>
      <c r="B29665" s="1" t="str">
        <f>"89412"</f>
        <v>89412</v>
      </c>
      <c r="C29665" s="2">
        <v>0</v>
      </c>
      <c r="D29665" s="2">
        <v>3.6681094563861702E-5</v>
      </c>
      <c r="E29665" s="2">
        <v>3.8223140495867699E-3</v>
      </c>
      <c r="F29665" s="2">
        <v>1.4125501362367401E-4</v>
      </c>
    </row>
    <row r="29666" spans="1:6" x14ac:dyDescent="0.25">
      <c r="A29666" s="1" t="str">
        <f t="shared" si="1065"/>
        <v>39900</v>
      </c>
      <c r="B29666" s="1" t="str">
        <f>"89451"</f>
        <v>89451</v>
      </c>
      <c r="C29666" s="2">
        <v>1.7576214585802E-2</v>
      </c>
      <c r="D29666" s="2">
        <v>5.6122074682708502E-2</v>
      </c>
      <c r="E29666" s="2">
        <v>5.2685950413223097E-2</v>
      </c>
      <c r="F29666" s="2">
        <v>2.2745774430612101E-2</v>
      </c>
    </row>
    <row r="29667" spans="1:6" x14ac:dyDescent="0.25">
      <c r="A29667" s="1" t="str">
        <f t="shared" si="1065"/>
        <v>39900</v>
      </c>
      <c r="B29667" s="1" t="str">
        <f>"89503"</f>
        <v>89503</v>
      </c>
      <c r="C29667" s="2">
        <v>5.75632877302596E-2</v>
      </c>
      <c r="D29667" s="2">
        <v>4.8675812486244502E-2</v>
      </c>
      <c r="E29667" s="2">
        <v>8.6260330578512304E-2</v>
      </c>
      <c r="F29667" s="2">
        <v>5.7695238590869703E-2</v>
      </c>
    </row>
    <row r="29668" spans="1:6" x14ac:dyDescent="0.25">
      <c r="A29668" s="1" t="str">
        <f t="shared" si="1065"/>
        <v>39900</v>
      </c>
      <c r="B29668" s="1" t="str">
        <f>"89506"</f>
        <v>89506</v>
      </c>
      <c r="C29668" s="2">
        <v>7.2791123559194204E-2</v>
      </c>
      <c r="D29668" s="2">
        <v>3.3123028391167098E-2</v>
      </c>
      <c r="E29668" s="2">
        <v>2.29338842975206E-2</v>
      </c>
      <c r="F29668" s="2">
        <v>6.6977179880825299E-2</v>
      </c>
    </row>
    <row r="29669" spans="1:6" x14ac:dyDescent="0.25">
      <c r="A29669" s="1" t="str">
        <f t="shared" si="1065"/>
        <v>39900</v>
      </c>
      <c r="B29669" s="1" t="str">
        <f>"89512"</f>
        <v>89512</v>
      </c>
      <c r="C29669" s="2">
        <v>5.3594743078746003E-2</v>
      </c>
      <c r="D29669" s="2">
        <v>3.2426087594453798E-2</v>
      </c>
      <c r="E29669" s="2">
        <v>0.102066115702479</v>
      </c>
      <c r="F29669" s="2">
        <v>5.31936643409152E-2</v>
      </c>
    </row>
    <row r="29670" spans="1:6" x14ac:dyDescent="0.25">
      <c r="A29670" s="1" t="str">
        <f t="shared" si="1065"/>
        <v>39900</v>
      </c>
      <c r="B29670" s="1" t="str">
        <f>"89441"</f>
        <v>89441</v>
      </c>
      <c r="C29670" s="2">
        <v>2.2083378218248399E-2</v>
      </c>
      <c r="D29670" s="2">
        <v>5.1720343335045103E-3</v>
      </c>
      <c r="E29670" s="2">
        <v>3.61570247933884E-3</v>
      </c>
      <c r="F29670" s="2">
        <v>1.9705074400502499E-2</v>
      </c>
    </row>
    <row r="29671" spans="1:6" x14ac:dyDescent="0.25">
      <c r="A29671" s="1" t="str">
        <f t="shared" ref="A29671:A29685" si="1066">"39940"</f>
        <v>39940</v>
      </c>
      <c r="B29671" s="1" t="str">
        <f>"83452"</f>
        <v>83452</v>
      </c>
      <c r="C29671" s="2">
        <v>4.6928527852081199E-5</v>
      </c>
      <c r="D29671" s="2">
        <v>0</v>
      </c>
      <c r="E29671" s="2">
        <v>0</v>
      </c>
      <c r="F29671" s="2">
        <v>4.1771094402673298E-5</v>
      </c>
    </row>
    <row r="29672" spans="1:6" x14ac:dyDescent="0.25">
      <c r="A29672" s="1" t="str">
        <f t="shared" si="1066"/>
        <v>39940</v>
      </c>
      <c r="B29672" s="1" t="str">
        <f>"83436"</f>
        <v>83436</v>
      </c>
      <c r="C29672" s="2">
        <v>7.3208503449246698E-3</v>
      </c>
      <c r="D29672" s="2">
        <v>0</v>
      </c>
      <c r="E29672" s="2">
        <v>1.2658227848101201E-3</v>
      </c>
      <c r="F29672" s="2">
        <v>6.5580618212197099E-3</v>
      </c>
    </row>
    <row r="29673" spans="1:6" x14ac:dyDescent="0.25">
      <c r="A29673" s="1" t="str">
        <f t="shared" si="1066"/>
        <v>39940</v>
      </c>
      <c r="B29673" s="1" t="str">
        <f>"83445"</f>
        <v>83445</v>
      </c>
      <c r="C29673" s="2">
        <v>0.12820873809188599</v>
      </c>
      <c r="D29673" s="2">
        <v>0.12004345464421499</v>
      </c>
      <c r="E29673" s="2">
        <v>0.11898734177215101</v>
      </c>
      <c r="F29673" s="2">
        <v>0.12727652464494499</v>
      </c>
    </row>
    <row r="29674" spans="1:6" x14ac:dyDescent="0.25">
      <c r="A29674" s="1" t="str">
        <f t="shared" si="1066"/>
        <v>39940</v>
      </c>
      <c r="B29674" s="1" t="str">
        <f>"83460"</f>
        <v>83460</v>
      </c>
      <c r="C29674" s="2">
        <v>0</v>
      </c>
      <c r="D29674" s="2">
        <v>6.3552417164584402E-2</v>
      </c>
      <c r="E29674" s="2">
        <v>3.7974683544303701E-3</v>
      </c>
      <c r="F29674" s="2">
        <v>5.0125313283208E-3</v>
      </c>
    </row>
    <row r="29675" spans="1:6" x14ac:dyDescent="0.25">
      <c r="A29675" s="1" t="str">
        <f t="shared" si="1066"/>
        <v>39940</v>
      </c>
      <c r="B29675" s="1" t="str">
        <f>"83448"</f>
        <v>83448</v>
      </c>
      <c r="C29675" s="2">
        <v>4.2235675066873098E-2</v>
      </c>
      <c r="D29675" s="2">
        <v>1.73818576860401E-2</v>
      </c>
      <c r="E29675" s="2">
        <v>1.26582278481012E-2</v>
      </c>
      <c r="F29675" s="2">
        <v>3.9348370927318202E-2</v>
      </c>
    </row>
    <row r="29676" spans="1:6" x14ac:dyDescent="0.25">
      <c r="A29676" s="1" t="str">
        <f t="shared" si="1066"/>
        <v>39940</v>
      </c>
      <c r="B29676" s="1" t="str">
        <f>"83421"</f>
        <v>83421</v>
      </c>
      <c r="C29676" s="2">
        <v>6.24149420432681E-3</v>
      </c>
      <c r="D29676" s="2">
        <v>0</v>
      </c>
      <c r="E29676" s="2">
        <v>1.2658227848101201E-3</v>
      </c>
      <c r="F29676" s="2">
        <v>5.5973266499582197E-3</v>
      </c>
    </row>
    <row r="29677" spans="1:6" x14ac:dyDescent="0.25">
      <c r="A29677" s="1" t="str">
        <f t="shared" si="1066"/>
        <v>39940</v>
      </c>
      <c r="B29677" s="1" t="str">
        <f>"83451"</f>
        <v>83451</v>
      </c>
      <c r="C29677" s="2">
        <v>1.05119902388662E-2</v>
      </c>
      <c r="D29677" s="2">
        <v>5.4318305268875595E-4</v>
      </c>
      <c r="E29677" s="2">
        <v>1.1392405063291099E-2</v>
      </c>
      <c r="F29677" s="2">
        <v>9.7744360902255606E-3</v>
      </c>
    </row>
    <row r="29678" spans="1:6" x14ac:dyDescent="0.25">
      <c r="A29678" s="1" t="str">
        <f t="shared" si="1066"/>
        <v>39940</v>
      </c>
      <c r="B29678" s="1" t="str">
        <f>"83441"</f>
        <v>83441</v>
      </c>
      <c r="C29678" s="2">
        <v>0</v>
      </c>
      <c r="D29678" s="2">
        <v>5.4318305268875595E-4</v>
      </c>
      <c r="E29678" s="2">
        <v>1.2658227848101201E-3</v>
      </c>
      <c r="F29678" s="2">
        <v>8.3542188805346704E-5</v>
      </c>
    </row>
    <row r="29679" spans="1:6" x14ac:dyDescent="0.25">
      <c r="A29679" s="1" t="str">
        <f t="shared" si="1066"/>
        <v>39940</v>
      </c>
      <c r="B29679" s="1" t="str">
        <f>"83434"</f>
        <v>83434</v>
      </c>
      <c r="C29679" s="2">
        <v>2.3464263926040599E-3</v>
      </c>
      <c r="D29679" s="2">
        <v>1.08636610537751E-3</v>
      </c>
      <c r="E29679" s="2">
        <v>0</v>
      </c>
      <c r="F29679" s="2">
        <v>2.1720969089390101E-3</v>
      </c>
    </row>
    <row r="29680" spans="1:6" x14ac:dyDescent="0.25">
      <c r="A29680" s="1" t="str">
        <f t="shared" si="1066"/>
        <v>39940</v>
      </c>
      <c r="B29680" s="1" t="str">
        <f>"83438"</f>
        <v>83438</v>
      </c>
      <c r="C29680" s="2">
        <v>2.4872119761603002E-3</v>
      </c>
      <c r="D29680" s="2">
        <v>0</v>
      </c>
      <c r="E29680" s="2">
        <v>1.2658227848101201E-3</v>
      </c>
      <c r="F29680" s="2">
        <v>2.2556390977443602E-3</v>
      </c>
    </row>
    <row r="29681" spans="1:6" x14ac:dyDescent="0.25">
      <c r="A29681" s="1" t="str">
        <f t="shared" si="1066"/>
        <v>39940</v>
      </c>
      <c r="B29681" s="1" t="str">
        <f>"83440"</f>
        <v>83440</v>
      </c>
      <c r="C29681" s="2">
        <v>0.73091182129616505</v>
      </c>
      <c r="D29681" s="2">
        <v>0.75556762629005902</v>
      </c>
      <c r="E29681" s="2">
        <v>0.83670886075949302</v>
      </c>
      <c r="F29681" s="2">
        <v>0.73629908103592301</v>
      </c>
    </row>
    <row r="29682" spans="1:6" x14ac:dyDescent="0.25">
      <c r="A29682" s="1" t="str">
        <f t="shared" si="1066"/>
        <v>39940</v>
      </c>
      <c r="B29682" s="1" t="str">
        <f>"83420"</f>
        <v>83420</v>
      </c>
      <c r="C29682" s="2">
        <v>3.1395185133042298E-2</v>
      </c>
      <c r="D29682" s="2">
        <v>2.2270505160238999E-2</v>
      </c>
      <c r="E29682" s="2">
        <v>6.3291139240506302E-3</v>
      </c>
      <c r="F29682" s="2">
        <v>2.9866332497911399E-2</v>
      </c>
    </row>
    <row r="29683" spans="1:6" x14ac:dyDescent="0.25">
      <c r="A29683" s="1" t="str">
        <f t="shared" si="1066"/>
        <v>39940</v>
      </c>
      <c r="B29683" s="1" t="str">
        <f>"83429"</f>
        <v>83429</v>
      </c>
      <c r="C29683" s="2">
        <v>3.8105964615889901E-2</v>
      </c>
      <c r="D29683" s="2">
        <v>1.9011406844106401E-2</v>
      </c>
      <c r="E29683" s="2">
        <v>3.7974683544303701E-3</v>
      </c>
      <c r="F29683" s="2">
        <v>3.5505430242272297E-2</v>
      </c>
    </row>
    <row r="29684" spans="1:6" x14ac:dyDescent="0.25">
      <c r="A29684" s="1" t="str">
        <f t="shared" si="1066"/>
        <v>39940</v>
      </c>
      <c r="B29684" s="1" t="str">
        <f>"83422"</f>
        <v>83422</v>
      </c>
      <c r="C29684" s="2">
        <v>1.8771411140832499E-4</v>
      </c>
      <c r="D29684" s="2">
        <v>0</v>
      </c>
      <c r="E29684" s="2">
        <v>0</v>
      </c>
      <c r="F29684" s="2">
        <v>1.67084377610693E-4</v>
      </c>
    </row>
    <row r="29685" spans="1:6" x14ac:dyDescent="0.25">
      <c r="A29685" s="1" t="str">
        <f t="shared" si="1066"/>
        <v>39940</v>
      </c>
      <c r="B29685" s="1" t="str">
        <f>"83433"</f>
        <v>83433</v>
      </c>
      <c r="C29685" s="2">
        <v>0</v>
      </c>
      <c r="D29685" s="2">
        <v>0</v>
      </c>
      <c r="E29685" s="2">
        <v>1.2658227848101201E-3</v>
      </c>
      <c r="F29685" s="2">
        <v>4.1771094402673298E-5</v>
      </c>
    </row>
    <row r="29686" spans="1:6" x14ac:dyDescent="0.25">
      <c r="A29686" s="1" t="str">
        <f t="shared" ref="A29686:A29705" si="1067">"39980"</f>
        <v>39980</v>
      </c>
      <c r="B29686" s="1" t="str">
        <f>"47325"</f>
        <v>47325</v>
      </c>
      <c r="C29686" s="2">
        <v>4.24371021521673E-4</v>
      </c>
      <c r="D29686" s="2">
        <v>6.2715584822828395E-4</v>
      </c>
      <c r="E29686" s="2">
        <v>0</v>
      </c>
      <c r="F29686" s="2">
        <v>4.2746460058776302E-4</v>
      </c>
    </row>
    <row r="29687" spans="1:6" x14ac:dyDescent="0.25">
      <c r="A29687" s="1" t="str">
        <f t="shared" si="1067"/>
        <v>39980</v>
      </c>
      <c r="B29687" s="1" t="str">
        <f>"47392"</f>
        <v>47392</v>
      </c>
      <c r="C29687" s="2">
        <v>3.03122158229766E-4</v>
      </c>
      <c r="D29687" s="2">
        <v>3.1357792411414198E-4</v>
      </c>
      <c r="E29687" s="2">
        <v>1.59872102318145E-3</v>
      </c>
      <c r="F29687" s="2">
        <v>3.4731498797755799E-4</v>
      </c>
    </row>
    <row r="29688" spans="1:6" x14ac:dyDescent="0.25">
      <c r="A29688" s="1" t="str">
        <f t="shared" si="1067"/>
        <v>39980</v>
      </c>
      <c r="B29688" s="1" t="str">
        <f>"47354"</f>
        <v>47354</v>
      </c>
      <c r="C29688" s="2">
        <v>6.9718096392846303E-4</v>
      </c>
      <c r="D29688" s="2">
        <v>0</v>
      </c>
      <c r="E29688" s="2">
        <v>0</v>
      </c>
      <c r="F29688" s="2">
        <v>6.1448036334490997E-4</v>
      </c>
    </row>
    <row r="29689" spans="1:6" x14ac:dyDescent="0.25">
      <c r="A29689" s="1" t="str">
        <f t="shared" si="1067"/>
        <v>39980</v>
      </c>
      <c r="B29689" s="1" t="str">
        <f>"47370"</f>
        <v>47370</v>
      </c>
      <c r="C29689" s="2">
        <v>0</v>
      </c>
      <c r="D29689" s="2">
        <v>3.1357792411414198E-4</v>
      </c>
      <c r="E29689" s="2">
        <v>0</v>
      </c>
      <c r="F29689" s="2">
        <v>2.6716537536735199E-5</v>
      </c>
    </row>
    <row r="29690" spans="1:6" x14ac:dyDescent="0.25">
      <c r="A29690" s="1" t="str">
        <f t="shared" si="1067"/>
        <v>39980</v>
      </c>
      <c r="B29690" s="1" t="str">
        <f>"47355"</f>
        <v>47355</v>
      </c>
      <c r="C29690" s="2">
        <v>3.9405880569869599E-4</v>
      </c>
      <c r="D29690" s="2">
        <v>0</v>
      </c>
      <c r="E29690" s="2">
        <v>0</v>
      </c>
      <c r="F29690" s="2">
        <v>3.4731498797755799E-4</v>
      </c>
    </row>
    <row r="29691" spans="1:6" x14ac:dyDescent="0.25">
      <c r="A29691" s="1" t="str">
        <f t="shared" si="1067"/>
        <v>39980</v>
      </c>
      <c r="B29691" s="1" t="str">
        <f>"47360"</f>
        <v>47360</v>
      </c>
      <c r="C29691" s="2">
        <v>8.1842982722036899E-4</v>
      </c>
      <c r="D29691" s="2">
        <v>0</v>
      </c>
      <c r="E29691" s="2">
        <v>0</v>
      </c>
      <c r="F29691" s="2">
        <v>7.2134651349185102E-4</v>
      </c>
    </row>
    <row r="29692" spans="1:6" x14ac:dyDescent="0.25">
      <c r="A29692" s="1" t="str">
        <f t="shared" si="1067"/>
        <v>39980</v>
      </c>
      <c r="B29692" s="1" t="str">
        <f>"47330"</f>
        <v>47330</v>
      </c>
      <c r="C29692" s="2">
        <v>7.5901788420733501E-2</v>
      </c>
      <c r="D29692" s="2">
        <v>5.2681091251175899E-2</v>
      </c>
      <c r="E29692" s="2">
        <v>4.5563549160671402E-2</v>
      </c>
      <c r="F29692" s="2">
        <v>7.2909430937750402E-2</v>
      </c>
    </row>
    <row r="29693" spans="1:6" x14ac:dyDescent="0.25">
      <c r="A29693" s="1" t="str">
        <f t="shared" si="1067"/>
        <v>39980</v>
      </c>
      <c r="B29693" s="1" t="str">
        <f>"47345"</f>
        <v>47345</v>
      </c>
      <c r="C29693" s="2">
        <v>1.7399211882388601E-2</v>
      </c>
      <c r="D29693" s="2">
        <v>7.21229225462527E-3</v>
      </c>
      <c r="E29693" s="2">
        <v>2.3980815347721799E-3</v>
      </c>
      <c r="F29693" s="2">
        <v>1.60299225220411E-2</v>
      </c>
    </row>
    <row r="29694" spans="1:6" x14ac:dyDescent="0.25">
      <c r="A29694" s="1" t="str">
        <f t="shared" si="1067"/>
        <v>39980</v>
      </c>
      <c r="B29694" s="1" t="str">
        <f>"47339"</f>
        <v>47339</v>
      </c>
      <c r="C29694" s="2">
        <v>6.3655653228250897E-3</v>
      </c>
      <c r="D29694" s="2">
        <v>1.5678896205707101E-3</v>
      </c>
      <c r="E29694" s="2">
        <v>7.9936051159072697E-4</v>
      </c>
      <c r="F29694" s="2">
        <v>5.7707721079348099E-3</v>
      </c>
    </row>
    <row r="29695" spans="1:6" x14ac:dyDescent="0.25">
      <c r="A29695" s="1" t="str">
        <f t="shared" si="1067"/>
        <v>39980</v>
      </c>
      <c r="B29695" s="1" t="str">
        <f>"47346"</f>
        <v>47346</v>
      </c>
      <c r="C29695" s="2">
        <v>5.3228250985147003E-2</v>
      </c>
      <c r="D29695" s="2">
        <v>4.6723110693007198E-2</v>
      </c>
      <c r="E29695" s="2">
        <v>3.0375699440447601E-2</v>
      </c>
      <c r="F29695" s="2">
        <v>5.1910232433876498E-2</v>
      </c>
    </row>
    <row r="29696" spans="1:6" x14ac:dyDescent="0.25">
      <c r="A29696" s="1" t="str">
        <f t="shared" si="1067"/>
        <v>39980</v>
      </c>
      <c r="B29696" s="1" t="str">
        <f>"47375"</f>
        <v>47375</v>
      </c>
      <c r="C29696" s="2">
        <v>4.5347074871173003E-2</v>
      </c>
      <c r="D29696" s="2">
        <v>0.12198181248040101</v>
      </c>
      <c r="E29696" s="2">
        <v>7.9936051159072697E-4</v>
      </c>
      <c r="F29696" s="2">
        <v>5.0387389794282603E-2</v>
      </c>
    </row>
    <row r="29697" spans="1:6" x14ac:dyDescent="0.25">
      <c r="A29697" s="1" t="str">
        <f t="shared" si="1067"/>
        <v>39980</v>
      </c>
      <c r="B29697" s="1" t="str">
        <f>"47327"</f>
        <v>47327</v>
      </c>
      <c r="C29697" s="2">
        <v>5.6259472567444603E-2</v>
      </c>
      <c r="D29697" s="2">
        <v>5.5503292568203098E-2</v>
      </c>
      <c r="E29697" s="2">
        <v>5.0359712230215799E-2</v>
      </c>
      <c r="F29697" s="2">
        <v>5.5997862676997003E-2</v>
      </c>
    </row>
    <row r="29698" spans="1:6" x14ac:dyDescent="0.25">
      <c r="A29698" s="1" t="str">
        <f t="shared" si="1067"/>
        <v>39980</v>
      </c>
      <c r="B29698" s="1" t="str">
        <f>"47357"</f>
        <v>47357</v>
      </c>
      <c r="C29698" s="2">
        <v>8.1236738405577394E-3</v>
      </c>
      <c r="D29698" s="2">
        <v>1.2543116964565601E-3</v>
      </c>
      <c r="E29698" s="2">
        <v>7.1942446043165402E-3</v>
      </c>
      <c r="F29698" s="2">
        <v>7.5073470478226002E-3</v>
      </c>
    </row>
    <row r="29699" spans="1:6" x14ac:dyDescent="0.25">
      <c r="A29699" s="1" t="str">
        <f t="shared" si="1067"/>
        <v>39980</v>
      </c>
      <c r="B29699" s="1" t="str">
        <f>"47335"</f>
        <v>47335</v>
      </c>
      <c r="C29699" s="2">
        <v>0</v>
      </c>
      <c r="D29699" s="2">
        <v>3.1357792411414198E-4</v>
      </c>
      <c r="E29699" s="2">
        <v>0</v>
      </c>
      <c r="F29699" s="2">
        <v>2.6716537536735199E-5</v>
      </c>
    </row>
    <row r="29700" spans="1:6" x14ac:dyDescent="0.25">
      <c r="A29700" s="1" t="str">
        <f t="shared" si="1067"/>
        <v>39980</v>
      </c>
      <c r="B29700" s="1" t="str">
        <f>"47324"</f>
        <v>47324</v>
      </c>
      <c r="C29700" s="2">
        <v>2.4552894816611001E-3</v>
      </c>
      <c r="D29700" s="2">
        <v>3.1357792411414198E-4</v>
      </c>
      <c r="E29700" s="2">
        <v>0</v>
      </c>
      <c r="F29700" s="2">
        <v>2.1907560780122801E-3</v>
      </c>
    </row>
    <row r="29701" spans="1:6" x14ac:dyDescent="0.25">
      <c r="A29701" s="1" t="str">
        <f t="shared" si="1067"/>
        <v>39980</v>
      </c>
      <c r="B29701" s="1" t="str">
        <f>"47374"</f>
        <v>47374</v>
      </c>
      <c r="C29701" s="2">
        <v>0.69545316762655296</v>
      </c>
      <c r="D29701" s="2">
        <v>0.70523675133270602</v>
      </c>
      <c r="E29701" s="2">
        <v>0.84732214228617098</v>
      </c>
      <c r="F29701" s="2">
        <v>0.70136254341437299</v>
      </c>
    </row>
    <row r="29702" spans="1:6" x14ac:dyDescent="0.25">
      <c r="A29702" s="1" t="str">
        <f t="shared" si="1067"/>
        <v>39980</v>
      </c>
      <c r="B29702" s="1" t="str">
        <f>"47393"</f>
        <v>47393</v>
      </c>
      <c r="C29702" s="2">
        <v>1.40951803576841E-2</v>
      </c>
      <c r="D29702" s="2">
        <v>2.5086233929131302E-3</v>
      </c>
      <c r="E29702" s="2">
        <v>1.59872102318145E-3</v>
      </c>
      <c r="F29702" s="2">
        <v>1.26903553299492E-2</v>
      </c>
    </row>
    <row r="29703" spans="1:6" x14ac:dyDescent="0.25">
      <c r="A29703" s="1" t="str">
        <f t="shared" si="1067"/>
        <v>39980</v>
      </c>
      <c r="B29703" s="1" t="str">
        <f>"47341"</f>
        <v>47341</v>
      </c>
      <c r="C29703" s="2">
        <v>2.1885419824189099E-2</v>
      </c>
      <c r="D29703" s="2">
        <v>3.4493571652555598E-3</v>
      </c>
      <c r="E29703" s="2">
        <v>1.1990407673860899E-2</v>
      </c>
      <c r="F29703" s="2">
        <v>1.9983970077477899E-2</v>
      </c>
    </row>
    <row r="29704" spans="1:6" x14ac:dyDescent="0.25">
      <c r="A29704" s="1" t="str">
        <f t="shared" si="1067"/>
        <v>39980</v>
      </c>
      <c r="B29704" s="1" t="str">
        <f>"47331"</f>
        <v>47331</v>
      </c>
      <c r="C29704" s="2">
        <v>2.72809942406789E-4</v>
      </c>
      <c r="D29704" s="2">
        <v>0</v>
      </c>
      <c r="E29704" s="2">
        <v>0</v>
      </c>
      <c r="F29704" s="2">
        <v>2.4044883783061699E-4</v>
      </c>
    </row>
    <row r="29705" spans="1:6" x14ac:dyDescent="0.25">
      <c r="A29705" s="1" t="str">
        <f t="shared" si="1067"/>
        <v>39980</v>
      </c>
      <c r="B29705" s="1" t="str">
        <f>"47358"</f>
        <v>47358</v>
      </c>
      <c r="C29705" s="2">
        <v>5.7593210063655597E-4</v>
      </c>
      <c r="D29705" s="2">
        <v>0</v>
      </c>
      <c r="E29705" s="2">
        <v>0</v>
      </c>
      <c r="F29705" s="2">
        <v>5.0761421319796903E-4</v>
      </c>
    </row>
    <row r="29706" spans="1:6" x14ac:dyDescent="0.25">
      <c r="A29706" s="1" t="str">
        <f t="shared" ref="A29706:A29737" si="1068">"40060"</f>
        <v>40060</v>
      </c>
      <c r="B29706" s="1" t="str">
        <f>"23039"</f>
        <v>23039</v>
      </c>
      <c r="C29706" s="2">
        <v>8.2213982104981098E-4</v>
      </c>
      <c r="D29706" s="2">
        <v>1.9785951974098299E-4</v>
      </c>
      <c r="E29706" s="2">
        <v>4.45851353158856E-5</v>
      </c>
      <c r="F29706" s="2">
        <v>7.4449409392835203E-4</v>
      </c>
    </row>
    <row r="29707" spans="1:6" x14ac:dyDescent="0.25">
      <c r="A29707" s="1" t="str">
        <f t="shared" si="1068"/>
        <v>40060</v>
      </c>
      <c r="B29707" s="1" t="str">
        <f>"23011"</f>
        <v>23011</v>
      </c>
      <c r="C29707" s="2">
        <v>7.0420992868610905E-4</v>
      </c>
      <c r="D29707" s="2">
        <v>2.1584674880834601E-4</v>
      </c>
      <c r="E29707" s="2">
        <v>1.33755405947657E-4</v>
      </c>
      <c r="F29707" s="2">
        <v>6.4473188534195302E-4</v>
      </c>
    </row>
    <row r="29708" spans="1:6" x14ac:dyDescent="0.25">
      <c r="A29708" s="1" t="str">
        <f t="shared" si="1068"/>
        <v>40060</v>
      </c>
      <c r="B29708" s="1" t="str">
        <f>"23226"</f>
        <v>23226</v>
      </c>
      <c r="C29708" s="2">
        <v>1.4689010450273101E-2</v>
      </c>
      <c r="D29708" s="2">
        <v>2.45525676769493E-2</v>
      </c>
      <c r="E29708" s="2">
        <v>1.0923358152391901E-2</v>
      </c>
      <c r="F29708" s="2">
        <v>1.53797589923719E-2</v>
      </c>
    </row>
    <row r="29709" spans="1:6" x14ac:dyDescent="0.25">
      <c r="A29709" s="1" t="str">
        <f t="shared" si="1068"/>
        <v>40060</v>
      </c>
      <c r="B29709" s="1" t="str">
        <f>"23116"</f>
        <v>23116</v>
      </c>
      <c r="C29709" s="2">
        <v>2.2268533103763099E-2</v>
      </c>
      <c r="D29709" s="2">
        <v>1.7501573882543298E-2</v>
      </c>
      <c r="E29709" s="2">
        <v>7.0890365152258203E-3</v>
      </c>
      <c r="F29709" s="2">
        <v>2.13669804957437E-2</v>
      </c>
    </row>
    <row r="29710" spans="1:6" x14ac:dyDescent="0.25">
      <c r="A29710" s="1" t="str">
        <f t="shared" si="1068"/>
        <v>40060</v>
      </c>
      <c r="B29710" s="1" t="str">
        <f>"23219"</f>
        <v>23219</v>
      </c>
      <c r="C29710" s="2">
        <v>7.1869845831936396E-3</v>
      </c>
      <c r="D29710" s="2">
        <v>5.4393380699703203E-2</v>
      </c>
      <c r="E29710" s="2">
        <v>2.3273440634892301E-2</v>
      </c>
      <c r="F29710" s="2">
        <v>1.1631975723536501E-2</v>
      </c>
    </row>
    <row r="29711" spans="1:6" x14ac:dyDescent="0.25">
      <c r="A29711" s="1" t="str">
        <f t="shared" si="1068"/>
        <v>40060</v>
      </c>
      <c r="B29711" s="1" t="str">
        <f>"23220"</f>
        <v>23220</v>
      </c>
      <c r="C29711" s="2">
        <v>3.38172389916657E-2</v>
      </c>
      <c r="D29711" s="2">
        <v>3.3762028959438702E-2</v>
      </c>
      <c r="E29711" s="2">
        <v>8.5023853047393905E-2</v>
      </c>
      <c r="F29711" s="2">
        <v>3.5522791197697398E-2</v>
      </c>
    </row>
    <row r="29712" spans="1:6" x14ac:dyDescent="0.25">
      <c r="A29712" s="1" t="str">
        <f t="shared" si="1068"/>
        <v>40060</v>
      </c>
      <c r="B29712" s="1" t="str">
        <f>"23113"</f>
        <v>23113</v>
      </c>
      <c r="C29712" s="2">
        <v>1.9727986279699301E-2</v>
      </c>
      <c r="D29712" s="2">
        <v>3.4571454267469999E-2</v>
      </c>
      <c r="E29712" s="2">
        <v>1.8636586562040199E-2</v>
      </c>
      <c r="F29712" s="2">
        <v>2.09202840393867E-2</v>
      </c>
    </row>
    <row r="29713" spans="1:6" x14ac:dyDescent="0.25">
      <c r="A29713" s="1" t="str">
        <f t="shared" si="1068"/>
        <v>40060</v>
      </c>
      <c r="B29713" s="1" t="str">
        <f>"23065"</f>
        <v>23065</v>
      </c>
      <c r="C29713" s="2">
        <v>6.6377682273283903E-4</v>
      </c>
      <c r="D29713" s="2">
        <v>3.5974458134724301E-5</v>
      </c>
      <c r="E29713" s="2">
        <v>0</v>
      </c>
      <c r="F29713" s="2">
        <v>5.8963932239125495E-4</v>
      </c>
    </row>
    <row r="29714" spans="1:6" x14ac:dyDescent="0.25">
      <c r="A29714" s="1" t="str">
        <f t="shared" si="1068"/>
        <v>40060</v>
      </c>
      <c r="B29714" s="1" t="str">
        <f>"23106"</f>
        <v>23106</v>
      </c>
      <c r="C29714" s="2">
        <v>8.7605062898750397E-4</v>
      </c>
      <c r="D29714" s="2">
        <v>1.00728482777228E-3</v>
      </c>
      <c r="E29714" s="2">
        <v>4.9043648847474201E-4</v>
      </c>
      <c r="F29714" s="2">
        <v>8.74036066271886E-4</v>
      </c>
    </row>
    <row r="29715" spans="1:6" x14ac:dyDescent="0.25">
      <c r="A29715" s="1" t="str">
        <f t="shared" si="1068"/>
        <v>40060</v>
      </c>
      <c r="B29715" s="1" t="str">
        <f>"23069"</f>
        <v>23069</v>
      </c>
      <c r="C29715" s="2">
        <v>2.24740680590255E-3</v>
      </c>
      <c r="D29715" s="2">
        <v>1.4389783253889699E-3</v>
      </c>
      <c r="E29715" s="2">
        <v>1.33755405947657E-4</v>
      </c>
      <c r="F29715" s="2">
        <v>2.1098962621929501E-3</v>
      </c>
    </row>
    <row r="29716" spans="1:6" x14ac:dyDescent="0.25">
      <c r="A29716" s="1" t="str">
        <f t="shared" si="1068"/>
        <v>40060</v>
      </c>
      <c r="B29716" s="1" t="str">
        <f>"23237"</f>
        <v>23237</v>
      </c>
      <c r="C29716" s="2">
        <v>1.6762891843126199E-2</v>
      </c>
      <c r="D29716" s="2">
        <v>1.2141379620469401E-2</v>
      </c>
      <c r="E29716" s="2">
        <v>6.4202594854875297E-3</v>
      </c>
      <c r="F29716" s="2">
        <v>1.6034913795028801E-2</v>
      </c>
    </row>
    <row r="29717" spans="1:6" x14ac:dyDescent="0.25">
      <c r="A29717" s="1" t="str">
        <f t="shared" si="1068"/>
        <v>40060</v>
      </c>
      <c r="B29717" s="1" t="str">
        <f>"23801"</f>
        <v>23801</v>
      </c>
      <c r="C29717" s="2">
        <v>2.80673143825612E-3</v>
      </c>
      <c r="D29717" s="2">
        <v>3.0938033995862898E-3</v>
      </c>
      <c r="E29717" s="2">
        <v>7.1336216505417001E-3</v>
      </c>
      <c r="F29717" s="2">
        <v>2.9749983993376901E-3</v>
      </c>
    </row>
    <row r="29718" spans="1:6" x14ac:dyDescent="0.25">
      <c r="A29718" s="1" t="str">
        <f t="shared" si="1068"/>
        <v>40060</v>
      </c>
      <c r="B29718" s="1" t="str">
        <f>"23872"</f>
        <v>23872</v>
      </c>
      <c r="C29718" s="2">
        <v>1.8060120659127001E-3</v>
      </c>
      <c r="D29718" s="2">
        <v>8.8137422430074604E-4</v>
      </c>
      <c r="E29718" s="2">
        <v>2.2292567657942799E-4</v>
      </c>
      <c r="F29718" s="2">
        <v>1.67660069952665E-3</v>
      </c>
    </row>
    <row r="29719" spans="1:6" x14ac:dyDescent="0.25">
      <c r="A29719" s="1" t="str">
        <f t="shared" si="1068"/>
        <v>40060</v>
      </c>
      <c r="B29719" s="1" t="str">
        <f>"23185"</f>
        <v>23185</v>
      </c>
      <c r="C29719" s="2">
        <v>6.9073222670168593E-5</v>
      </c>
      <c r="D29719" s="2">
        <v>1.79872290673621E-5</v>
      </c>
      <c r="E29719" s="2">
        <v>0</v>
      </c>
      <c r="F29719" s="2">
        <v>6.2537503889981594E-5</v>
      </c>
    </row>
    <row r="29720" spans="1:6" x14ac:dyDescent="0.25">
      <c r="A29720" s="1" t="str">
        <f t="shared" si="1068"/>
        <v>40060</v>
      </c>
      <c r="B29720" s="1" t="str">
        <f>"23218"</f>
        <v>23218</v>
      </c>
      <c r="C29720" s="2">
        <v>1.6004771106502399E-3</v>
      </c>
      <c r="D29720" s="2">
        <v>5.9897472794316004E-3</v>
      </c>
      <c r="E29720" s="2">
        <v>8.9170270631771294E-5</v>
      </c>
      <c r="F29720" s="2">
        <v>1.9133498213958599E-3</v>
      </c>
    </row>
    <row r="29721" spans="1:6" x14ac:dyDescent="0.25">
      <c r="A29721" s="1" t="str">
        <f t="shared" si="1068"/>
        <v>40060</v>
      </c>
      <c r="B29721" s="1" t="str">
        <f>"23878"</f>
        <v>23878</v>
      </c>
      <c r="C29721" s="2">
        <v>5.0541382441586703E-6</v>
      </c>
      <c r="D29721" s="2">
        <v>3.5974458134724301E-5</v>
      </c>
      <c r="E29721" s="2">
        <v>0</v>
      </c>
      <c r="F29721" s="2">
        <v>7.4449409392835197E-6</v>
      </c>
    </row>
    <row r="29722" spans="1:6" x14ac:dyDescent="0.25">
      <c r="A29722" s="1" t="str">
        <f t="shared" si="1068"/>
        <v>40060</v>
      </c>
      <c r="B29722" s="1" t="str">
        <f>"23067"</f>
        <v>23067</v>
      </c>
      <c r="C29722" s="2">
        <v>0</v>
      </c>
      <c r="D29722" s="2">
        <v>0</v>
      </c>
      <c r="E29722" s="2">
        <v>4.45851353158856E-5</v>
      </c>
      <c r="F29722" s="2">
        <v>1.4889881878567E-6</v>
      </c>
    </row>
    <row r="29723" spans="1:6" x14ac:dyDescent="0.25">
      <c r="A29723" s="1" t="str">
        <f t="shared" si="1068"/>
        <v>40060</v>
      </c>
      <c r="B29723" s="1" t="str">
        <f>"23804"</f>
        <v>23804</v>
      </c>
      <c r="C29723" s="2">
        <v>1.81275091690491E-3</v>
      </c>
      <c r="D29723" s="2">
        <v>4.62271787031207E-3</v>
      </c>
      <c r="E29723" s="2">
        <v>8.9170270631771294E-5</v>
      </c>
      <c r="F29723" s="2">
        <v>1.9877992307886999E-3</v>
      </c>
    </row>
    <row r="29724" spans="1:6" x14ac:dyDescent="0.25">
      <c r="A29724" s="1" t="str">
        <f t="shared" si="1068"/>
        <v>40060</v>
      </c>
      <c r="B29724" s="1" t="str">
        <f>"22560"</f>
        <v>22560</v>
      </c>
      <c r="C29724" s="2">
        <v>2.1901265724687599E-4</v>
      </c>
      <c r="D29724" s="2">
        <v>8.9936145336810797E-5</v>
      </c>
      <c r="E29724" s="2">
        <v>0</v>
      </c>
      <c r="F29724" s="2">
        <v>2.01013405360655E-4</v>
      </c>
    </row>
    <row r="29725" spans="1:6" x14ac:dyDescent="0.25">
      <c r="A29725" s="1" t="str">
        <f t="shared" si="1068"/>
        <v>40060</v>
      </c>
      <c r="B29725" s="1" t="str">
        <f>"23227"</f>
        <v>23227</v>
      </c>
      <c r="C29725" s="2">
        <v>2.4731583141416401E-2</v>
      </c>
      <c r="D29725" s="2">
        <v>1.55229786851335E-2</v>
      </c>
      <c r="E29725" s="2">
        <v>4.3381336662356697E-2</v>
      </c>
      <c r="F29725" s="2">
        <v>2.45921289106413E-2</v>
      </c>
    </row>
    <row r="29726" spans="1:6" x14ac:dyDescent="0.25">
      <c r="A29726" s="1" t="str">
        <f t="shared" si="1068"/>
        <v>40060</v>
      </c>
      <c r="B29726" s="1" t="str">
        <f>"23181"</f>
        <v>23181</v>
      </c>
      <c r="C29726" s="2">
        <v>3.25486502923818E-3</v>
      </c>
      <c r="D29726" s="2">
        <v>2.0865185718140101E-3</v>
      </c>
      <c r="E29726" s="2">
        <v>1.73882027731954E-3</v>
      </c>
      <c r="F29726" s="2">
        <v>3.1075183480569401E-3</v>
      </c>
    </row>
    <row r="29727" spans="1:6" x14ac:dyDescent="0.25">
      <c r="A29727" s="1" t="str">
        <f t="shared" si="1068"/>
        <v>40060</v>
      </c>
      <c r="B29727" s="1" t="str">
        <f>"23129"</f>
        <v>23129</v>
      </c>
      <c r="C29727" s="2">
        <v>2.30805646483246E-4</v>
      </c>
      <c r="D29727" s="2">
        <v>1.0432592859070001E-3</v>
      </c>
      <c r="E29727" s="2">
        <v>2.2292567657942799E-4</v>
      </c>
      <c r="F29727" s="2">
        <v>2.9779763757134103E-4</v>
      </c>
    </row>
    <row r="29728" spans="1:6" x14ac:dyDescent="0.25">
      <c r="A29728" s="1" t="str">
        <f t="shared" si="1068"/>
        <v>40060</v>
      </c>
      <c r="B29728" s="1" t="str">
        <f>"23238"</f>
        <v>23238</v>
      </c>
      <c r="C29728" s="2">
        <v>2.08028330129571E-2</v>
      </c>
      <c r="D29728" s="2">
        <v>1.11880564798992E-2</v>
      </c>
      <c r="E29728" s="2">
        <v>3.2770074457175898E-2</v>
      </c>
      <c r="F29728" s="2">
        <v>2.0406583114576101E-2</v>
      </c>
    </row>
    <row r="29729" spans="1:6" x14ac:dyDescent="0.25">
      <c r="A29729" s="1" t="str">
        <f t="shared" si="1068"/>
        <v>40060</v>
      </c>
      <c r="B29729" s="1" t="str">
        <f>"23242"</f>
        <v>23242</v>
      </c>
      <c r="C29729" s="2">
        <v>8.4067166127839302E-4</v>
      </c>
      <c r="D29729" s="2">
        <v>5.3781814911412797E-3</v>
      </c>
      <c r="E29729" s="2">
        <v>8.9170270631771294E-5</v>
      </c>
      <c r="F29729" s="2">
        <v>1.19119055028536E-3</v>
      </c>
    </row>
    <row r="29730" spans="1:6" x14ac:dyDescent="0.25">
      <c r="A29730" s="1" t="str">
        <f t="shared" si="1068"/>
        <v>40060</v>
      </c>
      <c r="B29730" s="1" t="str">
        <f>"23836"</f>
        <v>23836</v>
      </c>
      <c r="C29730" s="2">
        <v>9.8825249800782704E-3</v>
      </c>
      <c r="D29730" s="2">
        <v>7.8963935605719897E-3</v>
      </c>
      <c r="E29730" s="2">
        <v>8.8278567925453594E-3</v>
      </c>
      <c r="F29730" s="2">
        <v>9.6828901856321498E-3</v>
      </c>
    </row>
    <row r="29731" spans="1:6" x14ac:dyDescent="0.25">
      <c r="A29731" s="1" t="str">
        <f t="shared" si="1068"/>
        <v>40060</v>
      </c>
      <c r="B29731" s="1" t="str">
        <f>"23830"</f>
        <v>23830</v>
      </c>
      <c r="C29731" s="2">
        <v>1.37809502790726E-3</v>
      </c>
      <c r="D29731" s="2">
        <v>2.8779566507779398E-4</v>
      </c>
      <c r="E29731" s="2">
        <v>4.45851353158856E-5</v>
      </c>
      <c r="F29731" s="2">
        <v>1.24330513686034E-3</v>
      </c>
    </row>
    <row r="29732" spans="1:6" x14ac:dyDescent="0.25">
      <c r="A29732" s="1" t="str">
        <f t="shared" si="1068"/>
        <v>40060</v>
      </c>
      <c r="B29732" s="1" t="str">
        <f>"23890"</f>
        <v>23890</v>
      </c>
      <c r="C29732" s="2">
        <v>2.8774893736743402E-3</v>
      </c>
      <c r="D29732" s="2">
        <v>2.0865185718140101E-3</v>
      </c>
      <c r="E29732" s="2">
        <v>4.9043648847474201E-4</v>
      </c>
      <c r="F29732" s="2">
        <v>2.7322933247170499E-3</v>
      </c>
    </row>
    <row r="29733" spans="1:6" x14ac:dyDescent="0.25">
      <c r="A29733" s="1" t="str">
        <f t="shared" si="1068"/>
        <v>40060</v>
      </c>
      <c r="B29733" s="1" t="str">
        <f>"23966"</f>
        <v>23966</v>
      </c>
      <c r="C29733" s="2">
        <v>1.95426678774135E-4</v>
      </c>
      <c r="D29733" s="2">
        <v>3.5974458134724301E-5</v>
      </c>
      <c r="E29733" s="2">
        <v>0</v>
      </c>
      <c r="F29733" s="2">
        <v>1.7570060616709101E-4</v>
      </c>
    </row>
    <row r="29734" spans="1:6" x14ac:dyDescent="0.25">
      <c r="A29734" s="1" t="str">
        <f t="shared" si="1068"/>
        <v>40060</v>
      </c>
      <c r="B29734" s="1" t="str">
        <f>"23840"</f>
        <v>23840</v>
      </c>
      <c r="C29734" s="2">
        <v>1.28880525226046E-3</v>
      </c>
      <c r="D29734" s="2">
        <v>6.4754024642503798E-4</v>
      </c>
      <c r="E29734" s="2">
        <v>4.45851353158856E-5</v>
      </c>
      <c r="F29734" s="2">
        <v>1.19416852666107E-3</v>
      </c>
    </row>
    <row r="29735" spans="1:6" x14ac:dyDescent="0.25">
      <c r="A29735" s="1" t="str">
        <f t="shared" si="1068"/>
        <v>40060</v>
      </c>
      <c r="B29735" s="1" t="str">
        <f>"23882"</f>
        <v>23882</v>
      </c>
      <c r="C29735" s="2">
        <v>2.02839414865568E-3</v>
      </c>
      <c r="D29735" s="2">
        <v>1.0972209731090899E-3</v>
      </c>
      <c r="E29735" s="2">
        <v>4.45851353158856E-5</v>
      </c>
      <c r="F29735" s="2">
        <v>1.8850590458265801E-3</v>
      </c>
    </row>
    <row r="29736" spans="1:6" x14ac:dyDescent="0.25">
      <c r="A29736" s="1" t="str">
        <f t="shared" si="1068"/>
        <v>40060</v>
      </c>
      <c r="B29736" s="1" t="str">
        <f>"23084"</f>
        <v>23084</v>
      </c>
      <c r="C29736" s="2">
        <v>3.0324829464952E-4</v>
      </c>
      <c r="D29736" s="2">
        <v>1.79872290673621E-5</v>
      </c>
      <c r="E29736" s="2">
        <v>0</v>
      </c>
      <c r="F29736" s="2">
        <v>2.6950686200206302E-4</v>
      </c>
    </row>
    <row r="29737" spans="1:6" x14ac:dyDescent="0.25">
      <c r="A29737" s="1" t="str">
        <f t="shared" si="1068"/>
        <v>40060</v>
      </c>
      <c r="B29737" s="1" t="str">
        <f>"23250"</f>
        <v>23250</v>
      </c>
      <c r="C29737" s="2">
        <v>5.0541382441586703E-6</v>
      </c>
      <c r="D29737" s="2">
        <v>1.3310549509847999E-3</v>
      </c>
      <c r="E29737" s="2">
        <v>2.2292567657942799E-4</v>
      </c>
      <c r="F29737" s="2">
        <v>1.2209703140424901E-4</v>
      </c>
    </row>
    <row r="29738" spans="1:6" x14ac:dyDescent="0.25">
      <c r="A29738" s="1" t="str">
        <f t="shared" ref="A29738:A29769" si="1069">"40060"</f>
        <v>40060</v>
      </c>
      <c r="B29738" s="1" t="str">
        <f>"23102"</f>
        <v>23102</v>
      </c>
      <c r="C29738" s="2">
        <v>1.9155183945361301E-3</v>
      </c>
      <c r="D29738" s="2">
        <v>4.3169349761669202E-4</v>
      </c>
      <c r="E29738" s="2">
        <v>1.33755405947657E-4</v>
      </c>
      <c r="F29738" s="2">
        <v>1.7331822506652E-3</v>
      </c>
    </row>
    <row r="29739" spans="1:6" x14ac:dyDescent="0.25">
      <c r="A29739" s="1" t="str">
        <f t="shared" si="1069"/>
        <v>40060</v>
      </c>
      <c r="B29739" s="1" t="str">
        <f>"23147"</f>
        <v>23147</v>
      </c>
      <c r="C29739" s="2">
        <v>0</v>
      </c>
      <c r="D29739" s="2">
        <v>0</v>
      </c>
      <c r="E29739" s="2">
        <v>4.45851353158856E-5</v>
      </c>
      <c r="F29739" s="2">
        <v>1.4889881878567E-6</v>
      </c>
    </row>
    <row r="29740" spans="1:6" x14ac:dyDescent="0.25">
      <c r="A29740" s="1" t="str">
        <f t="shared" si="1069"/>
        <v>40060</v>
      </c>
      <c r="B29740" s="1" t="str">
        <f>"23297"</f>
        <v>23297</v>
      </c>
      <c r="C29740" s="2">
        <v>0</v>
      </c>
      <c r="D29740" s="2">
        <v>1.79872290673621E-5</v>
      </c>
      <c r="E29740" s="2">
        <v>4.45851353158856E-5</v>
      </c>
      <c r="F29740" s="2">
        <v>2.9779763757134102E-6</v>
      </c>
    </row>
    <row r="29741" spans="1:6" x14ac:dyDescent="0.25">
      <c r="A29741" s="1" t="str">
        <f t="shared" si="1069"/>
        <v>40060</v>
      </c>
      <c r="B29741" s="1" t="str">
        <f>"23009"</f>
        <v>23009</v>
      </c>
      <c r="C29741" s="2">
        <v>5.1451127325535303E-3</v>
      </c>
      <c r="D29741" s="2">
        <v>1.47495278352369E-3</v>
      </c>
      <c r="E29741" s="2">
        <v>6.6877702973828503E-4</v>
      </c>
      <c r="F29741" s="2">
        <v>4.6918017799364702E-3</v>
      </c>
    </row>
    <row r="29742" spans="1:6" x14ac:dyDescent="0.25">
      <c r="A29742" s="1" t="str">
        <f t="shared" si="1069"/>
        <v>40060</v>
      </c>
      <c r="B29742" s="1" t="str">
        <f>"23230"</f>
        <v>23230</v>
      </c>
      <c r="C29742" s="2">
        <v>9.2120093063532207E-3</v>
      </c>
      <c r="D29742" s="2">
        <v>5.6120154690169899E-2</v>
      </c>
      <c r="E29742" s="2">
        <v>2.25600784698381E-2</v>
      </c>
      <c r="F29742" s="2">
        <v>1.3540858580368799E-2</v>
      </c>
    </row>
    <row r="29743" spans="1:6" x14ac:dyDescent="0.25">
      <c r="A29743" s="1" t="str">
        <f t="shared" si="1069"/>
        <v>40060</v>
      </c>
      <c r="B29743" s="1" t="str">
        <f>"23228"</f>
        <v>23228</v>
      </c>
      <c r="C29743" s="2">
        <v>3.0196791296099999E-2</v>
      </c>
      <c r="D29743" s="2">
        <v>3.2143178343376197E-2</v>
      </c>
      <c r="E29743" s="2">
        <v>5.9877836729234399E-2</v>
      </c>
      <c r="F29743" s="2">
        <v>3.1349157307135E-2</v>
      </c>
    </row>
    <row r="29744" spans="1:6" x14ac:dyDescent="0.25">
      <c r="A29744" s="1" t="str">
        <f t="shared" si="1069"/>
        <v>40060</v>
      </c>
      <c r="B29744" s="1" t="str">
        <f>"23150"</f>
        <v>23150</v>
      </c>
      <c r="C29744" s="2">
        <v>1.0416578921211001E-2</v>
      </c>
      <c r="D29744" s="2">
        <v>9.9469376742512793E-3</v>
      </c>
      <c r="E29744" s="2">
        <v>3.7897365018502798E-3</v>
      </c>
      <c r="F29744" s="2">
        <v>1.01563884293705E-2</v>
      </c>
    </row>
    <row r="29745" spans="1:6" x14ac:dyDescent="0.25">
      <c r="A29745" s="1" t="str">
        <f t="shared" si="1069"/>
        <v>40060</v>
      </c>
      <c r="B29745" s="1" t="str">
        <f>"23222"</f>
        <v>23222</v>
      </c>
      <c r="C29745" s="2">
        <v>2.0324374592510099E-2</v>
      </c>
      <c r="D29745" s="2">
        <v>1.2303264682075699E-2</v>
      </c>
      <c r="E29745" s="2">
        <v>2.4789335235632402E-2</v>
      </c>
      <c r="F29745" s="2">
        <v>1.98094988512456E-2</v>
      </c>
    </row>
    <row r="29746" spans="1:6" x14ac:dyDescent="0.25">
      <c r="A29746" s="1" t="str">
        <f t="shared" si="1069"/>
        <v>40060</v>
      </c>
      <c r="B29746" s="1" t="str">
        <f>"23112"</f>
        <v>23112</v>
      </c>
      <c r="C29746" s="2">
        <v>3.7961632351875801E-2</v>
      </c>
      <c r="D29746" s="2">
        <v>3.6765896213688198E-2</v>
      </c>
      <c r="E29746" s="2">
        <v>2.73306879486379E-2</v>
      </c>
      <c r="F29746" s="2">
        <v>3.75076124521104E-2</v>
      </c>
    </row>
    <row r="29747" spans="1:6" x14ac:dyDescent="0.25">
      <c r="A29747" s="1" t="str">
        <f t="shared" si="1069"/>
        <v>40060</v>
      </c>
      <c r="B29747" s="1" t="str">
        <f>"23103"</f>
        <v>23103</v>
      </c>
      <c r="C29747" s="2">
        <v>4.5386161432544904E-3</v>
      </c>
      <c r="D29747" s="2">
        <v>2.5182120694307E-3</v>
      </c>
      <c r="E29747" s="2">
        <v>6.6877702973828503E-4</v>
      </c>
      <c r="F29747" s="2">
        <v>4.2421273472037502E-3</v>
      </c>
    </row>
    <row r="29748" spans="1:6" x14ac:dyDescent="0.25">
      <c r="A29748" s="1" t="str">
        <f t="shared" si="1069"/>
        <v>40060</v>
      </c>
      <c r="B29748" s="1" t="str">
        <f>"23091"</f>
        <v>23091</v>
      </c>
      <c r="C29748" s="2">
        <v>2.9314001816120301E-4</v>
      </c>
      <c r="D29748" s="2">
        <v>7.1948916269448603E-5</v>
      </c>
      <c r="E29748" s="2">
        <v>0</v>
      </c>
      <c r="F29748" s="2">
        <v>2.6503989743849299E-4</v>
      </c>
    </row>
    <row r="29749" spans="1:6" x14ac:dyDescent="0.25">
      <c r="A29749" s="1" t="str">
        <f t="shared" si="1069"/>
        <v>40060</v>
      </c>
      <c r="B29749" s="1" t="str">
        <f>"23110"</f>
        <v>23110</v>
      </c>
      <c r="C29749" s="2">
        <v>5.1552210090418499E-4</v>
      </c>
      <c r="D29749" s="2">
        <v>3.9571903948196701E-4</v>
      </c>
      <c r="E29749" s="2">
        <v>4.45851353158856E-5</v>
      </c>
      <c r="F29749" s="2">
        <v>4.8987711380485595E-4</v>
      </c>
    </row>
    <row r="29750" spans="1:6" x14ac:dyDescent="0.25">
      <c r="A29750" s="1" t="str">
        <f t="shared" si="1069"/>
        <v>40060</v>
      </c>
      <c r="B29750" s="1" t="str">
        <f>"23294"</f>
        <v>23294</v>
      </c>
      <c r="C29750" s="2">
        <v>1.47597683856913E-2</v>
      </c>
      <c r="D29750" s="2">
        <v>2.00557604101088E-2</v>
      </c>
      <c r="E29750" s="2">
        <v>3.1566275803647001E-2</v>
      </c>
      <c r="F29750" s="2">
        <v>1.57594509802753E-2</v>
      </c>
    </row>
    <row r="29751" spans="1:6" x14ac:dyDescent="0.25">
      <c r="A29751" s="1" t="str">
        <f t="shared" si="1069"/>
        <v>40060</v>
      </c>
      <c r="B29751" s="1" t="str">
        <f>"23284"</f>
        <v>23284</v>
      </c>
      <c r="C29751" s="2">
        <v>0</v>
      </c>
      <c r="D29751" s="2">
        <v>2.35632700782444E-3</v>
      </c>
      <c r="E29751" s="2">
        <v>0</v>
      </c>
      <c r="F29751" s="2">
        <v>1.9505745260922801E-4</v>
      </c>
    </row>
    <row r="29752" spans="1:6" x14ac:dyDescent="0.25">
      <c r="A29752" s="1" t="str">
        <f t="shared" si="1069"/>
        <v>40060</v>
      </c>
      <c r="B29752" s="1" t="str">
        <f>"23298"</f>
        <v>23298</v>
      </c>
      <c r="C29752" s="2">
        <v>0</v>
      </c>
      <c r="D29752" s="2">
        <v>1.22313157658062E-3</v>
      </c>
      <c r="E29752" s="2">
        <v>1.1592135182130201E-3</v>
      </c>
      <c r="F29752" s="2">
        <v>1.3996488965853E-4</v>
      </c>
    </row>
    <row r="29753" spans="1:6" x14ac:dyDescent="0.25">
      <c r="A29753" s="1" t="str">
        <f t="shared" si="1069"/>
        <v>40060</v>
      </c>
      <c r="B29753" s="1" t="str">
        <f>"23232"</f>
        <v>23232</v>
      </c>
      <c r="C29753" s="2">
        <v>0</v>
      </c>
      <c r="D29753" s="2">
        <v>9.8929759870491907E-4</v>
      </c>
      <c r="E29753" s="2">
        <v>4.45851353158856E-5</v>
      </c>
      <c r="F29753" s="2">
        <v>8.3383338519975504E-5</v>
      </c>
    </row>
    <row r="29754" spans="1:6" x14ac:dyDescent="0.25">
      <c r="A29754" s="1" t="str">
        <f t="shared" si="1069"/>
        <v>40060</v>
      </c>
      <c r="B29754" s="1" t="str">
        <f>"23803"</f>
        <v>23803</v>
      </c>
      <c r="C29754" s="2">
        <v>3.6012419702378597E-2</v>
      </c>
      <c r="D29754" s="2">
        <v>2.6980843601043199E-2</v>
      </c>
      <c r="E29754" s="2">
        <v>4.0082036648981197E-2</v>
      </c>
      <c r="F29754" s="2">
        <v>3.5400694166293101E-2</v>
      </c>
    </row>
    <row r="29755" spans="1:6" x14ac:dyDescent="0.25">
      <c r="A29755" s="1" t="str">
        <f t="shared" si="1069"/>
        <v>40060</v>
      </c>
      <c r="B29755" s="1" t="str">
        <f>"23897"</f>
        <v>23897</v>
      </c>
      <c r="C29755" s="2">
        <v>6.0649658929904098E-4</v>
      </c>
      <c r="D29755" s="2">
        <v>2.8779566507779398E-4</v>
      </c>
      <c r="E29755" s="2">
        <v>0</v>
      </c>
      <c r="F29755" s="2">
        <v>5.5985955863412096E-4</v>
      </c>
    </row>
    <row r="29756" spans="1:6" x14ac:dyDescent="0.25">
      <c r="A29756" s="1" t="str">
        <f t="shared" si="1069"/>
        <v>40060</v>
      </c>
      <c r="B29756" s="1" t="str">
        <f>"23850"</f>
        <v>23850</v>
      </c>
      <c r="C29756" s="2">
        <v>9.0637545845245597E-4</v>
      </c>
      <c r="D29756" s="2">
        <v>3.4175735227988098E-4</v>
      </c>
      <c r="E29756" s="2">
        <v>0</v>
      </c>
      <c r="F29756" s="2">
        <v>8.2936642063618496E-4</v>
      </c>
    </row>
    <row r="29757" spans="1:6" x14ac:dyDescent="0.25">
      <c r="A29757" s="1" t="str">
        <f t="shared" si="1069"/>
        <v>40060</v>
      </c>
      <c r="B29757" s="1" t="str">
        <f>"22514"</f>
        <v>22514</v>
      </c>
      <c r="C29757" s="2">
        <v>8.4235637402644601E-6</v>
      </c>
      <c r="D29757" s="2">
        <v>0</v>
      </c>
      <c r="E29757" s="2">
        <v>0</v>
      </c>
      <c r="F29757" s="2">
        <v>7.4449409392835197E-6</v>
      </c>
    </row>
    <row r="29758" spans="1:6" x14ac:dyDescent="0.25">
      <c r="A29758" s="1" t="str">
        <f t="shared" si="1069"/>
        <v>40060</v>
      </c>
      <c r="B29758" s="1" t="str">
        <f>"23269"</f>
        <v>23269</v>
      </c>
      <c r="C29758" s="2">
        <v>0</v>
      </c>
      <c r="D29758" s="2">
        <v>1.79872290673621E-5</v>
      </c>
      <c r="E29758" s="2">
        <v>0</v>
      </c>
      <c r="F29758" s="2">
        <v>1.4889881878567E-6</v>
      </c>
    </row>
    <row r="29759" spans="1:6" x14ac:dyDescent="0.25">
      <c r="A29759" s="1" t="str">
        <f t="shared" si="1069"/>
        <v>40060</v>
      </c>
      <c r="B29759" s="1" t="str">
        <f>"23161"</f>
        <v>23161</v>
      </c>
      <c r="C29759" s="2">
        <v>1.22984030607861E-4</v>
      </c>
      <c r="D29759" s="2">
        <v>0</v>
      </c>
      <c r="E29759" s="2">
        <v>0</v>
      </c>
      <c r="F29759" s="2">
        <v>1.08696137713539E-4</v>
      </c>
    </row>
    <row r="29760" spans="1:6" x14ac:dyDescent="0.25">
      <c r="A29760" s="1" t="str">
        <f t="shared" si="1069"/>
        <v>40060</v>
      </c>
      <c r="B29760" s="1" t="str">
        <f>"23093"</f>
        <v>23093</v>
      </c>
      <c r="C29760" s="2">
        <v>5.3405394113276703E-4</v>
      </c>
      <c r="D29760" s="2">
        <v>1.6188506160625901E-4</v>
      </c>
      <c r="E29760" s="2">
        <v>0</v>
      </c>
      <c r="F29760" s="2">
        <v>4.8541014924128603E-4</v>
      </c>
    </row>
    <row r="29761" spans="1:6" x14ac:dyDescent="0.25">
      <c r="A29761" s="1" t="str">
        <f t="shared" si="1069"/>
        <v>40060</v>
      </c>
      <c r="B29761" s="1" t="str">
        <f>"23005"</f>
        <v>23005</v>
      </c>
      <c r="C29761" s="2">
        <v>1.26016513554356E-2</v>
      </c>
      <c r="D29761" s="2">
        <v>3.4607428725604801E-2</v>
      </c>
      <c r="E29761" s="2">
        <v>1.72098622319318E-2</v>
      </c>
      <c r="F29761" s="2">
        <v>1.4577194359117101E-2</v>
      </c>
    </row>
    <row r="29762" spans="1:6" x14ac:dyDescent="0.25">
      <c r="A29762" s="1" t="str">
        <f t="shared" si="1069"/>
        <v>40060</v>
      </c>
      <c r="B29762" s="1" t="str">
        <f>"23060"</f>
        <v>23060</v>
      </c>
      <c r="C29762" s="2">
        <v>2.6795356257781199E-2</v>
      </c>
      <c r="D29762" s="2">
        <v>2.78802050544113E-2</v>
      </c>
      <c r="E29762" s="2">
        <v>2.7464443354585501E-2</v>
      </c>
      <c r="F29762" s="2">
        <v>2.69075055427585E-2</v>
      </c>
    </row>
    <row r="29763" spans="1:6" x14ac:dyDescent="0.25">
      <c r="A29763" s="1" t="str">
        <f t="shared" si="1069"/>
        <v>40060</v>
      </c>
      <c r="B29763" s="1" t="str">
        <f>"23030"</f>
        <v>23030</v>
      </c>
      <c r="C29763" s="2">
        <v>4.0719507120438401E-3</v>
      </c>
      <c r="D29763" s="2">
        <v>3.72335641694396E-3</v>
      </c>
      <c r="E29763" s="2">
        <v>8.9170270631771305E-4</v>
      </c>
      <c r="F29763" s="2">
        <v>3.9368847686931203E-3</v>
      </c>
    </row>
    <row r="29764" spans="1:6" x14ac:dyDescent="0.25">
      <c r="A29764" s="1" t="str">
        <f t="shared" si="1069"/>
        <v>40060</v>
      </c>
      <c r="B29764" s="1" t="str">
        <f>"23229"</f>
        <v>23229</v>
      </c>
      <c r="C29764" s="2">
        <v>2.3565761919763801E-2</v>
      </c>
      <c r="D29764" s="2">
        <v>2.1099019696015801E-2</v>
      </c>
      <c r="E29764" s="2">
        <v>2.7107762272058401E-2</v>
      </c>
      <c r="F29764" s="2">
        <v>2.34798547343123E-2</v>
      </c>
    </row>
    <row r="29765" spans="1:6" x14ac:dyDescent="0.25">
      <c r="A29765" s="1" t="str">
        <f t="shared" si="1069"/>
        <v>40060</v>
      </c>
      <c r="B29765" s="1" t="str">
        <f>"23139"</f>
        <v>23139</v>
      </c>
      <c r="C29765" s="2">
        <v>1.8688518514150699E-2</v>
      </c>
      <c r="D29765" s="2">
        <v>1.14039032287076E-2</v>
      </c>
      <c r="E29765" s="2">
        <v>3.83432163716616E-3</v>
      </c>
      <c r="F29765" s="2">
        <v>1.7589417463151201E-2</v>
      </c>
    </row>
    <row r="29766" spans="1:6" x14ac:dyDescent="0.25">
      <c r="A29766" s="1" t="str">
        <f t="shared" si="1069"/>
        <v>40060</v>
      </c>
      <c r="B29766" s="1" t="str">
        <f>"23146"</f>
        <v>23146</v>
      </c>
      <c r="C29766" s="2">
        <v>2.1261074880427498E-3</v>
      </c>
      <c r="D29766" s="2">
        <v>2.4102886950265298E-3</v>
      </c>
      <c r="E29766" s="2">
        <v>9.3628784163359902E-4</v>
      </c>
      <c r="F29766" s="2">
        <v>2.1098962621929501E-3</v>
      </c>
    </row>
    <row r="29767" spans="1:6" x14ac:dyDescent="0.25">
      <c r="A29767" s="1" t="str">
        <f t="shared" si="1069"/>
        <v>40060</v>
      </c>
      <c r="B29767" s="1" t="str">
        <f>"23156"</f>
        <v>23156</v>
      </c>
      <c r="C29767" s="2">
        <v>1.1978307638656001E-3</v>
      </c>
      <c r="D29767" s="2">
        <v>2.5182120694306999E-4</v>
      </c>
      <c r="E29767" s="2">
        <v>4.45851353158856E-5</v>
      </c>
      <c r="F29767" s="2">
        <v>1.0810054243839599E-3</v>
      </c>
    </row>
    <row r="29768" spans="1:6" x14ac:dyDescent="0.25">
      <c r="A29768" s="1" t="str">
        <f t="shared" si="1069"/>
        <v>40060</v>
      </c>
      <c r="B29768" s="1" t="str">
        <f>"23177"</f>
        <v>23177</v>
      </c>
      <c r="C29768" s="2">
        <v>5.4584693036913699E-4</v>
      </c>
      <c r="D29768" s="2">
        <v>2.1584674880834601E-4</v>
      </c>
      <c r="E29768" s="2">
        <v>4.45851353158856E-5</v>
      </c>
      <c r="F29768" s="2">
        <v>5.0178901930770896E-4</v>
      </c>
    </row>
    <row r="29769" spans="1:6" x14ac:dyDescent="0.25">
      <c r="A29769" s="1" t="str">
        <f t="shared" si="1069"/>
        <v>40060</v>
      </c>
      <c r="B29769" s="1" t="str">
        <f>"23223"</f>
        <v>23223</v>
      </c>
      <c r="C29769" s="2">
        <v>4.45673910369912E-2</v>
      </c>
      <c r="D29769" s="2">
        <v>2.48043888838924E-2</v>
      </c>
      <c r="E29769" s="2">
        <v>6.9731151634045196E-2</v>
      </c>
      <c r="F29769" s="2">
        <v>4.3771785758423498E-2</v>
      </c>
    </row>
    <row r="29770" spans="1:6" x14ac:dyDescent="0.25">
      <c r="A29770" s="1" t="str">
        <f t="shared" ref="A29770:A29801" si="1070">"40060"</f>
        <v>40060</v>
      </c>
      <c r="B29770" s="1" t="str">
        <f>"23221"</f>
        <v>23221</v>
      </c>
      <c r="C29770" s="2">
        <v>1.4490214346002899E-2</v>
      </c>
      <c r="D29770" s="2">
        <v>1.42998471085529E-2</v>
      </c>
      <c r="E29770" s="2">
        <v>4.9801596147844303E-2</v>
      </c>
      <c r="F29770" s="2">
        <v>1.5653732818937501E-2</v>
      </c>
    </row>
    <row r="29771" spans="1:6" x14ac:dyDescent="0.25">
      <c r="A29771" s="1" t="str">
        <f t="shared" si="1070"/>
        <v>40060</v>
      </c>
      <c r="B29771" s="1" t="str">
        <f>"23192"</f>
        <v>23192</v>
      </c>
      <c r="C29771" s="2">
        <v>4.3684601557011501E-3</v>
      </c>
      <c r="D29771" s="2">
        <v>1.34904218005216E-3</v>
      </c>
      <c r="E29771" s="2">
        <v>2.2292567657942799E-4</v>
      </c>
      <c r="F29771" s="2">
        <v>3.9800654261409702E-3</v>
      </c>
    </row>
    <row r="29772" spans="1:6" x14ac:dyDescent="0.25">
      <c r="A29772" s="1" t="str">
        <f t="shared" si="1070"/>
        <v>40060</v>
      </c>
      <c r="B29772" s="1" t="str">
        <f>"23111"</f>
        <v>23111</v>
      </c>
      <c r="C29772" s="2">
        <v>2.7307508933189301E-2</v>
      </c>
      <c r="D29772" s="2">
        <v>2.5056210090835501E-2</v>
      </c>
      <c r="E29772" s="2">
        <v>1.5114360872085199E-2</v>
      </c>
      <c r="F29772" s="2">
        <v>2.6713937078337101E-2</v>
      </c>
    </row>
    <row r="29773" spans="1:6" x14ac:dyDescent="0.25">
      <c r="A29773" s="1" t="str">
        <f t="shared" si="1070"/>
        <v>40060</v>
      </c>
      <c r="B29773" s="1" t="str">
        <f>"23075"</f>
        <v>23075</v>
      </c>
      <c r="C29773" s="2">
        <v>7.38409597471583E-3</v>
      </c>
      <c r="D29773" s="2">
        <v>3.07581617051893E-3</v>
      </c>
      <c r="E29773" s="2">
        <v>9.3628784163359902E-4</v>
      </c>
      <c r="F29773" s="2">
        <v>6.8121209594444202E-3</v>
      </c>
    </row>
    <row r="29774" spans="1:6" x14ac:dyDescent="0.25">
      <c r="A29774" s="1" t="str">
        <f t="shared" si="1070"/>
        <v>40060</v>
      </c>
      <c r="B29774" s="1" t="str">
        <f>"23089"</f>
        <v>23089</v>
      </c>
      <c r="C29774" s="2">
        <v>2.59951177024561E-3</v>
      </c>
      <c r="D29774" s="2">
        <v>4.85655184818778E-4</v>
      </c>
      <c r="E29774" s="2">
        <v>4.45851353158856E-5</v>
      </c>
      <c r="F29774" s="2">
        <v>2.33920044312288E-3</v>
      </c>
    </row>
    <row r="29775" spans="1:6" x14ac:dyDescent="0.25">
      <c r="A29775" s="1" t="str">
        <f t="shared" si="1070"/>
        <v>40060</v>
      </c>
      <c r="B29775" s="1" t="str">
        <f>"23235"</f>
        <v>23235</v>
      </c>
      <c r="C29775" s="2">
        <v>2.7649505621043999E-2</v>
      </c>
      <c r="D29775" s="2">
        <v>5.0759960428096003E-2</v>
      </c>
      <c r="E29775" s="2">
        <v>3.3037585269071197E-2</v>
      </c>
      <c r="F29775" s="2">
        <v>2.9742539052437601E-2</v>
      </c>
    </row>
    <row r="29776" spans="1:6" x14ac:dyDescent="0.25">
      <c r="A29776" s="1" t="str">
        <f t="shared" si="1070"/>
        <v>40060</v>
      </c>
      <c r="B29776" s="1" t="str">
        <f>"23260"</f>
        <v>23260</v>
      </c>
      <c r="C29776" s="2">
        <v>1.0428371910447399E-3</v>
      </c>
      <c r="D29776" s="2">
        <v>7.3567766885511204E-3</v>
      </c>
      <c r="E29776" s="2">
        <v>4.45851353158856E-5</v>
      </c>
      <c r="F29776" s="2">
        <v>1.5321688453045501E-3</v>
      </c>
    </row>
    <row r="29777" spans="1:6" x14ac:dyDescent="0.25">
      <c r="A29777" s="1" t="str">
        <f t="shared" si="1070"/>
        <v>40060</v>
      </c>
      <c r="B29777" s="1" t="str">
        <f>"23831"</f>
        <v>23831</v>
      </c>
      <c r="C29777" s="2">
        <v>2.7437231814789399E-2</v>
      </c>
      <c r="D29777" s="2">
        <v>2.3113589351560299E-2</v>
      </c>
      <c r="E29777" s="2">
        <v>1.52927014133487E-2</v>
      </c>
      <c r="F29777" s="2">
        <v>2.6673734397265E-2</v>
      </c>
    </row>
    <row r="29778" spans="1:6" x14ac:dyDescent="0.25">
      <c r="A29778" s="1" t="str">
        <f t="shared" si="1070"/>
        <v>40060</v>
      </c>
      <c r="B29778" s="1" t="str">
        <f>"23841"</f>
        <v>23841</v>
      </c>
      <c r="C29778" s="2">
        <v>2.7191263753573599E-3</v>
      </c>
      <c r="D29778" s="2">
        <v>1.9606079683424701E-3</v>
      </c>
      <c r="E29778" s="2">
        <v>1.7834054126354199E-4</v>
      </c>
      <c r="F29778" s="2">
        <v>2.5714826004285302E-3</v>
      </c>
    </row>
    <row r="29779" spans="1:6" x14ac:dyDescent="0.25">
      <c r="A29779" s="1" t="str">
        <f t="shared" si="1070"/>
        <v>40060</v>
      </c>
      <c r="B29779" s="1" t="str">
        <f>"23875"</f>
        <v>23875</v>
      </c>
      <c r="C29779" s="2">
        <v>8.82452537430105E-3</v>
      </c>
      <c r="D29779" s="2">
        <v>6.3674790898461996E-3</v>
      </c>
      <c r="E29779" s="2">
        <v>3.9680770431138202E-3</v>
      </c>
      <c r="F29779" s="2">
        <v>8.4589418952139405E-3</v>
      </c>
    </row>
    <row r="29780" spans="1:6" x14ac:dyDescent="0.25">
      <c r="A29780" s="1" t="str">
        <f t="shared" si="1070"/>
        <v>40060</v>
      </c>
      <c r="B29780" s="1" t="str">
        <f>"23162"</f>
        <v>23162</v>
      </c>
      <c r="C29780" s="2">
        <v>0</v>
      </c>
      <c r="D29780" s="2">
        <v>0</v>
      </c>
      <c r="E29780" s="2">
        <v>4.45851353158856E-5</v>
      </c>
      <c r="F29780" s="2">
        <v>1.4889881878567E-6</v>
      </c>
    </row>
    <row r="29781" spans="1:6" x14ac:dyDescent="0.25">
      <c r="A29781" s="1" t="str">
        <f t="shared" si="1070"/>
        <v>40060</v>
      </c>
      <c r="B29781" s="1" t="str">
        <f>"23059"</f>
        <v>23059</v>
      </c>
      <c r="C29781" s="2">
        <v>2.6493792675879702E-2</v>
      </c>
      <c r="D29781" s="2">
        <v>1.5469016997931399E-2</v>
      </c>
      <c r="E29781" s="2">
        <v>1.36876365419769E-2</v>
      </c>
      <c r="F29781" s="2">
        <v>2.51534774574633E-2</v>
      </c>
    </row>
    <row r="29782" spans="1:6" x14ac:dyDescent="0.25">
      <c r="A29782" s="1" t="str">
        <f t="shared" si="1070"/>
        <v>40060</v>
      </c>
      <c r="B29782" s="1" t="str">
        <f>"23234"</f>
        <v>23234</v>
      </c>
      <c r="C29782" s="2">
        <v>3.0899316512038099E-2</v>
      </c>
      <c r="D29782" s="2">
        <v>1.34364601133195E-2</v>
      </c>
      <c r="E29782" s="2">
        <v>2.6974006866110799E-2</v>
      </c>
      <c r="F29782" s="2">
        <v>2.9322644383462101E-2</v>
      </c>
    </row>
    <row r="29783" spans="1:6" x14ac:dyDescent="0.25">
      <c r="A29783" s="1" t="str">
        <f t="shared" si="1070"/>
        <v>40060</v>
      </c>
      <c r="B29783" s="1" t="str">
        <f>"23120"</f>
        <v>23120</v>
      </c>
      <c r="C29783" s="2">
        <v>8.7824075555997302E-3</v>
      </c>
      <c r="D29783" s="2">
        <v>1.1691698893785401E-3</v>
      </c>
      <c r="E29783" s="2">
        <v>4.45851353158856E-5</v>
      </c>
      <c r="F29783" s="2">
        <v>7.8603686436955408E-3</v>
      </c>
    </row>
    <row r="29784" spans="1:6" x14ac:dyDescent="0.25">
      <c r="A29784" s="1" t="str">
        <f t="shared" si="1070"/>
        <v>40060</v>
      </c>
      <c r="B29784" s="1" t="str">
        <f>"23173"</f>
        <v>23173</v>
      </c>
      <c r="C29784" s="2">
        <v>0</v>
      </c>
      <c r="D29784" s="2">
        <v>1.79872290673621E-5</v>
      </c>
      <c r="E29784" s="2">
        <v>6.2865040795398799E-3</v>
      </c>
      <c r="F29784" s="2">
        <v>2.11436322675652E-4</v>
      </c>
    </row>
    <row r="29785" spans="1:6" x14ac:dyDescent="0.25">
      <c r="A29785" s="1" t="str">
        <f t="shared" si="1070"/>
        <v>40060</v>
      </c>
      <c r="B29785" s="1" t="str">
        <f>"23838"</f>
        <v>23838</v>
      </c>
      <c r="C29785" s="2">
        <v>1.15604988771389E-2</v>
      </c>
      <c r="D29785" s="2">
        <v>6.1156578829031302E-4</v>
      </c>
      <c r="E29785" s="2">
        <v>1.33755405947657E-4</v>
      </c>
      <c r="F29785" s="2">
        <v>1.02725295080234E-2</v>
      </c>
    </row>
    <row r="29786" spans="1:6" x14ac:dyDescent="0.25">
      <c r="A29786" s="1" t="str">
        <f t="shared" si="1070"/>
        <v>40060</v>
      </c>
      <c r="B29786" s="1" t="str">
        <f>"23153"</f>
        <v>23153</v>
      </c>
      <c r="C29786" s="2">
        <v>1.07653144600579E-3</v>
      </c>
      <c r="D29786" s="2">
        <v>1.0792337440417301E-4</v>
      </c>
      <c r="E29786" s="2">
        <v>8.9170270631771294E-5</v>
      </c>
      <c r="F29786" s="2">
        <v>9.6337535754328798E-4</v>
      </c>
    </row>
    <row r="29787" spans="1:6" x14ac:dyDescent="0.25">
      <c r="A29787" s="1" t="str">
        <f t="shared" si="1070"/>
        <v>40060</v>
      </c>
      <c r="B29787" s="1" t="str">
        <f>"23286"</f>
        <v>23286</v>
      </c>
      <c r="C29787" s="2">
        <v>0</v>
      </c>
      <c r="D29787" s="2">
        <v>0</v>
      </c>
      <c r="E29787" s="2">
        <v>4.45851353158856E-5</v>
      </c>
      <c r="F29787" s="2">
        <v>1.4889881878567E-6</v>
      </c>
    </row>
    <row r="29788" spans="1:6" x14ac:dyDescent="0.25">
      <c r="A29788" s="1" t="str">
        <f t="shared" si="1070"/>
        <v>40060</v>
      </c>
      <c r="B29788" s="1" t="str">
        <f>"23058"</f>
        <v>23058</v>
      </c>
      <c r="C29788" s="2">
        <v>3.7569094281579502E-3</v>
      </c>
      <c r="D29788" s="2">
        <v>1.09901969601582E-2</v>
      </c>
      <c r="E29788" s="2">
        <v>8.9170270631771294E-5</v>
      </c>
      <c r="F29788" s="2">
        <v>4.2331934180766103E-3</v>
      </c>
    </row>
    <row r="29789" spans="1:6" x14ac:dyDescent="0.25">
      <c r="A29789" s="1" t="str">
        <f t="shared" si="1070"/>
        <v>40060</v>
      </c>
      <c r="B29789" s="1" t="str">
        <f>"23002"</f>
        <v>23002</v>
      </c>
      <c r="C29789" s="2">
        <v>7.8204365764615296E-3</v>
      </c>
      <c r="D29789" s="2">
        <v>4.0291393110891199E-3</v>
      </c>
      <c r="E29789" s="2">
        <v>1.1146283828971401E-3</v>
      </c>
      <c r="F29789" s="2">
        <v>7.2826412268071402E-3</v>
      </c>
    </row>
    <row r="29790" spans="1:6" x14ac:dyDescent="0.25">
      <c r="A29790" s="1" t="str">
        <f t="shared" si="1070"/>
        <v>40060</v>
      </c>
      <c r="B29790" s="1" t="str">
        <f>"23038"</f>
        <v>23038</v>
      </c>
      <c r="C29790" s="2">
        <v>8.6088821425502797E-4</v>
      </c>
      <c r="D29790" s="2">
        <v>3.5974458134724301E-5</v>
      </c>
      <c r="E29790" s="2">
        <v>0</v>
      </c>
      <c r="F29790" s="2">
        <v>7.6385094037048997E-4</v>
      </c>
    </row>
    <row r="29791" spans="1:6" x14ac:dyDescent="0.25">
      <c r="A29791" s="1" t="str">
        <f t="shared" si="1070"/>
        <v>40060</v>
      </c>
      <c r="B29791" s="1" t="str">
        <f>"23126"</f>
        <v>23126</v>
      </c>
      <c r="C29791" s="2">
        <v>3.5210496434305398E-4</v>
      </c>
      <c r="D29791" s="2">
        <v>1.79872290673621E-5</v>
      </c>
      <c r="E29791" s="2">
        <v>4.45851353158856E-5</v>
      </c>
      <c r="F29791" s="2">
        <v>3.1417650763776401E-4</v>
      </c>
    </row>
    <row r="29792" spans="1:6" x14ac:dyDescent="0.25">
      <c r="A29792" s="1" t="str">
        <f t="shared" si="1070"/>
        <v>40060</v>
      </c>
      <c r="B29792" s="1" t="str">
        <f>"23114"</f>
        <v>23114</v>
      </c>
      <c r="C29792" s="2">
        <v>1.44497812400496E-2</v>
      </c>
      <c r="D29792" s="2">
        <v>6.9610576490691601E-3</v>
      </c>
      <c r="E29792" s="2">
        <v>1.1993401399973199E-2</v>
      </c>
      <c r="F29792" s="2">
        <v>1.37478279384809E-2</v>
      </c>
    </row>
    <row r="29793" spans="1:6" x14ac:dyDescent="0.25">
      <c r="A29793" s="1" t="str">
        <f t="shared" si="1070"/>
        <v>40060</v>
      </c>
      <c r="B29793" s="1" t="str">
        <f>"23086"</f>
        <v>23086</v>
      </c>
      <c r="C29793" s="2">
        <v>2.43777934643253E-3</v>
      </c>
      <c r="D29793" s="2">
        <v>1.81671013580357E-3</v>
      </c>
      <c r="E29793" s="2">
        <v>6.6877702973828503E-4</v>
      </c>
      <c r="F29793" s="2">
        <v>2.3272885376200299E-3</v>
      </c>
    </row>
    <row r="29794" spans="1:6" x14ac:dyDescent="0.25">
      <c r="A29794" s="1" t="str">
        <f t="shared" si="1070"/>
        <v>40060</v>
      </c>
      <c r="B29794" s="1" t="str">
        <f>"23083"</f>
        <v>23083</v>
      </c>
      <c r="C29794" s="2">
        <v>1.6257478018710399E-3</v>
      </c>
      <c r="D29794" s="2">
        <v>5.3961687202086495E-4</v>
      </c>
      <c r="E29794" s="2">
        <v>1.33755405947657E-4</v>
      </c>
      <c r="F29794" s="2">
        <v>1.4860102114809899E-3</v>
      </c>
    </row>
    <row r="29795" spans="1:6" x14ac:dyDescent="0.25">
      <c r="A29795" s="1" t="str">
        <f t="shared" si="1070"/>
        <v>40060</v>
      </c>
      <c r="B29795" s="1" t="str">
        <f>"23867"</f>
        <v>23867</v>
      </c>
      <c r="C29795" s="2">
        <v>9.8050281936678304E-4</v>
      </c>
      <c r="D29795" s="2">
        <v>2.1584674880834601E-4</v>
      </c>
      <c r="E29795" s="2">
        <v>1.33755405947657E-4</v>
      </c>
      <c r="F29795" s="2">
        <v>8.8892594815045305E-4</v>
      </c>
    </row>
    <row r="29796" spans="1:6" x14ac:dyDescent="0.25">
      <c r="A29796" s="1" t="str">
        <f t="shared" si="1070"/>
        <v>40060</v>
      </c>
      <c r="B29796" s="1" t="str">
        <f>"23108"</f>
        <v>23108</v>
      </c>
      <c r="C29796" s="2">
        <v>1.3477701984423101E-4</v>
      </c>
      <c r="D29796" s="2">
        <v>1.79872290673621E-5</v>
      </c>
      <c r="E29796" s="2">
        <v>0</v>
      </c>
      <c r="F29796" s="2">
        <v>1.20608043216393E-4</v>
      </c>
    </row>
    <row r="29797" spans="1:6" x14ac:dyDescent="0.25">
      <c r="A29797" s="1" t="str">
        <f t="shared" si="1070"/>
        <v>40060</v>
      </c>
      <c r="B29797" s="1" t="str">
        <f>"23117"</f>
        <v>23117</v>
      </c>
      <c r="C29797" s="2">
        <v>2.22382082742981E-4</v>
      </c>
      <c r="D29797" s="2">
        <v>1.4389783253889699E-4</v>
      </c>
      <c r="E29797" s="2">
        <v>8.9170270631771294E-5</v>
      </c>
      <c r="F29797" s="2">
        <v>2.11436322675652E-4</v>
      </c>
    </row>
    <row r="29798" spans="1:6" x14ac:dyDescent="0.25">
      <c r="A29798" s="1" t="str">
        <f t="shared" si="1070"/>
        <v>40060</v>
      </c>
      <c r="B29798" s="1" t="str">
        <f>"23922"</f>
        <v>23922</v>
      </c>
      <c r="C29798" s="2">
        <v>5.0541382441586703E-6</v>
      </c>
      <c r="D29798" s="2">
        <v>0</v>
      </c>
      <c r="E29798" s="2">
        <v>0</v>
      </c>
      <c r="F29798" s="2">
        <v>4.46696456357011E-6</v>
      </c>
    </row>
    <row r="29799" spans="1:6" x14ac:dyDescent="0.25">
      <c r="A29799" s="1" t="str">
        <f t="shared" si="1070"/>
        <v>40060</v>
      </c>
      <c r="B29799" s="1" t="str">
        <f>"23241"</f>
        <v>23241</v>
      </c>
      <c r="C29799" s="2">
        <v>5.3742336662887199E-4</v>
      </c>
      <c r="D29799" s="2">
        <v>8.6338699523338404E-4</v>
      </c>
      <c r="E29799" s="2">
        <v>4.45851353158856E-5</v>
      </c>
      <c r="F29799" s="2">
        <v>5.4794765313126697E-4</v>
      </c>
    </row>
    <row r="29800" spans="1:6" x14ac:dyDescent="0.25">
      <c r="A29800" s="1" t="str">
        <f t="shared" si="1070"/>
        <v>40060</v>
      </c>
      <c r="B29800" s="1" t="str">
        <f>"22546"</f>
        <v>22546</v>
      </c>
      <c r="C29800" s="2">
        <v>1.6341713656113001E-4</v>
      </c>
      <c r="D29800" s="2">
        <v>1.79872290673621E-5</v>
      </c>
      <c r="E29800" s="2">
        <v>0</v>
      </c>
      <c r="F29800" s="2">
        <v>1.4592084240995699E-4</v>
      </c>
    </row>
    <row r="29801" spans="1:6" x14ac:dyDescent="0.25">
      <c r="A29801" s="1" t="str">
        <f t="shared" si="1070"/>
        <v>40060</v>
      </c>
      <c r="B29801" s="1" t="str">
        <f>"22437"</f>
        <v>22437</v>
      </c>
      <c r="C29801" s="2">
        <v>1.09506328623438E-4</v>
      </c>
      <c r="D29801" s="2">
        <v>0</v>
      </c>
      <c r="E29801" s="2">
        <v>0</v>
      </c>
      <c r="F29801" s="2">
        <v>9.6784232210685807E-5</v>
      </c>
    </row>
    <row r="29802" spans="1:6" x14ac:dyDescent="0.25">
      <c r="A29802" s="1" t="str">
        <f t="shared" ref="A29802:A29833" si="1071">"40060"</f>
        <v>40060</v>
      </c>
      <c r="B29802" s="1" t="str">
        <f>"23149"</f>
        <v>23149</v>
      </c>
      <c r="C29802" s="2">
        <v>1.87003115033871E-4</v>
      </c>
      <c r="D29802" s="2">
        <v>8.9936145336810797E-5</v>
      </c>
      <c r="E29802" s="2">
        <v>0</v>
      </c>
      <c r="F29802" s="2">
        <v>1.72722629791377E-4</v>
      </c>
    </row>
    <row r="29803" spans="1:6" x14ac:dyDescent="0.25">
      <c r="A29803" s="1" t="str">
        <f t="shared" si="1071"/>
        <v>40060</v>
      </c>
      <c r="B29803" s="1" t="str">
        <f>"23891"</f>
        <v>23891</v>
      </c>
      <c r="C29803" s="2">
        <v>0</v>
      </c>
      <c r="D29803" s="2">
        <v>3.5974458134724301E-5</v>
      </c>
      <c r="E29803" s="2">
        <v>0</v>
      </c>
      <c r="F29803" s="2">
        <v>2.9779763757134102E-6</v>
      </c>
    </row>
    <row r="29804" spans="1:6" x14ac:dyDescent="0.25">
      <c r="A29804" s="1" t="str">
        <f t="shared" si="1071"/>
        <v>40060</v>
      </c>
      <c r="B29804" s="1" t="str">
        <f>"23063"</f>
        <v>23063</v>
      </c>
      <c r="C29804" s="2">
        <v>3.6945750564799898E-3</v>
      </c>
      <c r="D29804" s="2">
        <v>2.0865185718140101E-3</v>
      </c>
      <c r="E29804" s="2">
        <v>3.5668108252708501E-4</v>
      </c>
      <c r="F29804" s="2">
        <v>3.4499856312639799E-3</v>
      </c>
    </row>
    <row r="29805" spans="1:6" x14ac:dyDescent="0.25">
      <c r="A29805" s="1" t="str">
        <f t="shared" si="1071"/>
        <v>40060</v>
      </c>
      <c r="B29805" s="1" t="str">
        <f>"23047"</f>
        <v>23047</v>
      </c>
      <c r="C29805" s="2">
        <v>1.3511396239384199E-3</v>
      </c>
      <c r="D29805" s="2">
        <v>8.9936145336810803E-4</v>
      </c>
      <c r="E29805" s="2">
        <v>8.9170270631771294E-5</v>
      </c>
      <c r="F29805" s="2">
        <v>1.2715959124296201E-3</v>
      </c>
    </row>
    <row r="29806" spans="1:6" x14ac:dyDescent="0.25">
      <c r="A29806" s="1" t="str">
        <f t="shared" si="1071"/>
        <v>40060</v>
      </c>
      <c r="B29806" s="1" t="str">
        <f>"23233"</f>
        <v>23233</v>
      </c>
      <c r="C29806" s="2">
        <v>2.2949157053976502E-2</v>
      </c>
      <c r="D29806" s="2">
        <v>2.22681895853943E-2</v>
      </c>
      <c r="E29806" s="2">
        <v>2.14008649516251E-2</v>
      </c>
      <c r="F29806" s="2">
        <v>2.2841078801721801E-2</v>
      </c>
    </row>
    <row r="29807" spans="1:6" x14ac:dyDescent="0.25">
      <c r="A29807" s="1" t="str">
        <f t="shared" si="1071"/>
        <v>40060</v>
      </c>
      <c r="B29807" s="1" t="str">
        <f>"23141"</f>
        <v>23141</v>
      </c>
      <c r="C29807" s="2">
        <v>5.6067240255200197E-3</v>
      </c>
      <c r="D29807" s="2">
        <v>2.4642503822286102E-3</v>
      </c>
      <c r="E29807" s="2">
        <v>8.0253243568594197E-4</v>
      </c>
      <c r="F29807" s="2">
        <v>5.1861458583048999E-3</v>
      </c>
    </row>
    <row r="29808" spans="1:6" x14ac:dyDescent="0.25">
      <c r="A29808" s="1" t="str">
        <f t="shared" si="1071"/>
        <v>40060</v>
      </c>
      <c r="B29808" s="1" t="str">
        <f>"23255"</f>
        <v>23255</v>
      </c>
      <c r="C29808" s="2">
        <v>1.70324458828147E-3</v>
      </c>
      <c r="D29808" s="2">
        <v>4.9464879935245901E-3</v>
      </c>
      <c r="E29808" s="2">
        <v>4.45851353158856E-5</v>
      </c>
      <c r="F29808" s="2">
        <v>1.9163277977715799E-3</v>
      </c>
    </row>
    <row r="29809" spans="1:6" x14ac:dyDescent="0.25">
      <c r="A29809" s="1" t="str">
        <f t="shared" si="1071"/>
        <v>40060</v>
      </c>
      <c r="B29809" s="1" t="str">
        <f>"23261"</f>
        <v>23261</v>
      </c>
      <c r="C29809" s="2">
        <v>6.7556981196920996E-4</v>
      </c>
      <c r="D29809" s="2">
        <v>5.5940282399496296E-3</v>
      </c>
      <c r="E29809" s="2">
        <v>8.9170270631771294E-5</v>
      </c>
      <c r="F29809" s="2">
        <v>1.0631375661296801E-3</v>
      </c>
    </row>
    <row r="29810" spans="1:6" x14ac:dyDescent="0.25">
      <c r="A29810" s="1" t="str">
        <f t="shared" si="1071"/>
        <v>40060</v>
      </c>
      <c r="B29810" s="1" t="str">
        <f>"23834"</f>
        <v>23834</v>
      </c>
      <c r="C29810" s="2">
        <v>2.0305842752281499E-2</v>
      </c>
      <c r="D29810" s="2">
        <v>2.8509758071769E-2</v>
      </c>
      <c r="E29810" s="2">
        <v>1.3910562218556299E-2</v>
      </c>
      <c r="F29810" s="2">
        <v>2.0771385220600999E-2</v>
      </c>
    </row>
    <row r="29811" spans="1:6" x14ac:dyDescent="0.25">
      <c r="A29811" s="1" t="str">
        <f t="shared" si="1071"/>
        <v>40060</v>
      </c>
      <c r="B29811" s="1" t="str">
        <f>"23885"</f>
        <v>23885</v>
      </c>
      <c r="C29811" s="2">
        <v>2.0401871378920499E-3</v>
      </c>
      <c r="D29811" s="2">
        <v>4.85655184818778E-4</v>
      </c>
      <c r="E29811" s="2">
        <v>4.45851353158856E-5</v>
      </c>
      <c r="F29811" s="2">
        <v>1.8448563647544499E-3</v>
      </c>
    </row>
    <row r="29812" spans="1:6" x14ac:dyDescent="0.25">
      <c r="A29812" s="1" t="str">
        <f t="shared" si="1071"/>
        <v>40060</v>
      </c>
      <c r="B29812" s="1" t="str">
        <f>"23842"</f>
        <v>23842</v>
      </c>
      <c r="C29812" s="2">
        <v>5.0693006588911496E-3</v>
      </c>
      <c r="D29812" s="2">
        <v>1.4389783253889699E-3</v>
      </c>
      <c r="E29812" s="2">
        <v>2.2292567657942799E-4</v>
      </c>
      <c r="F29812" s="2">
        <v>4.6069294532286396E-3</v>
      </c>
    </row>
    <row r="29813" spans="1:6" x14ac:dyDescent="0.25">
      <c r="A29813" s="1" t="str">
        <f t="shared" si="1071"/>
        <v>40060</v>
      </c>
      <c r="B29813" s="1" t="str">
        <f>"23837"</f>
        <v>23837</v>
      </c>
      <c r="C29813" s="2">
        <v>9.26592011429091E-5</v>
      </c>
      <c r="D29813" s="2">
        <v>1.79872290673621E-5</v>
      </c>
      <c r="E29813" s="2">
        <v>0</v>
      </c>
      <c r="F29813" s="2">
        <v>8.3383338519975504E-5</v>
      </c>
    </row>
    <row r="29814" spans="1:6" x14ac:dyDescent="0.25">
      <c r="A29814" s="1" t="str">
        <f t="shared" si="1071"/>
        <v>40060</v>
      </c>
      <c r="B29814" s="1" t="str">
        <f>"23024"</f>
        <v>23024</v>
      </c>
      <c r="C29814" s="2">
        <v>1.6847127480528899E-4</v>
      </c>
      <c r="D29814" s="2">
        <v>1.79872290673621E-5</v>
      </c>
      <c r="E29814" s="2">
        <v>0</v>
      </c>
      <c r="F29814" s="2">
        <v>1.5038780697352699E-4</v>
      </c>
    </row>
    <row r="29815" spans="1:6" x14ac:dyDescent="0.25">
      <c r="A29815" s="1" t="str">
        <f t="shared" si="1071"/>
        <v>40060</v>
      </c>
      <c r="B29815" s="1" t="str">
        <f>"23847"</f>
        <v>23847</v>
      </c>
      <c r="C29815" s="2">
        <v>9.0974488394856201E-5</v>
      </c>
      <c r="D29815" s="2">
        <v>3.5974458134724301E-5</v>
      </c>
      <c r="E29815" s="2">
        <v>0</v>
      </c>
      <c r="F29815" s="2">
        <v>8.3383338519975504E-5</v>
      </c>
    </row>
    <row r="29816" spans="1:6" x14ac:dyDescent="0.25">
      <c r="A29816" s="1" t="str">
        <f t="shared" si="1071"/>
        <v>40060</v>
      </c>
      <c r="B29816" s="1" t="str">
        <f>"23293"</f>
        <v>23293</v>
      </c>
      <c r="C29816" s="2">
        <v>0</v>
      </c>
      <c r="D29816" s="2">
        <v>0</v>
      </c>
      <c r="E29816" s="2">
        <v>8.9170270631771294E-5</v>
      </c>
      <c r="F29816" s="2">
        <v>2.9779763757134102E-6</v>
      </c>
    </row>
    <row r="29817" spans="1:6" x14ac:dyDescent="0.25">
      <c r="A29817" s="1" t="str">
        <f t="shared" si="1071"/>
        <v>40060</v>
      </c>
      <c r="B29817" s="1" t="str">
        <f>"23249"</f>
        <v>23249</v>
      </c>
      <c r="C29817" s="2">
        <v>0</v>
      </c>
      <c r="D29817" s="2">
        <v>1.79872290673621E-5</v>
      </c>
      <c r="E29817" s="2">
        <v>0</v>
      </c>
      <c r="F29817" s="2">
        <v>1.4889881878567E-6</v>
      </c>
    </row>
    <row r="29818" spans="1:6" x14ac:dyDescent="0.25">
      <c r="A29818" s="1" t="str">
        <f t="shared" si="1071"/>
        <v>40060</v>
      </c>
      <c r="B29818" s="1" t="str">
        <f>"23015"</f>
        <v>23015</v>
      </c>
      <c r="C29818" s="2">
        <v>2.4900054416221698E-3</v>
      </c>
      <c r="D29818" s="2">
        <v>4.85655184818778E-4</v>
      </c>
      <c r="E29818" s="2">
        <v>1.33755405947657E-4</v>
      </c>
      <c r="F29818" s="2">
        <v>2.24539418728791E-3</v>
      </c>
    </row>
    <row r="29819" spans="1:6" x14ac:dyDescent="0.25">
      <c r="A29819" s="1" t="str">
        <f t="shared" si="1071"/>
        <v>40060</v>
      </c>
      <c r="B29819" s="1" t="str">
        <f>"23023"</f>
        <v>23023</v>
      </c>
      <c r="C29819" s="2">
        <v>2.8471645442093802E-4</v>
      </c>
      <c r="D29819" s="2">
        <v>5.3961687202086503E-5</v>
      </c>
      <c r="E29819" s="2">
        <v>4.45851353158856E-5</v>
      </c>
      <c r="F29819" s="2">
        <v>2.5759495649921001E-4</v>
      </c>
    </row>
    <row r="29820" spans="1:6" x14ac:dyDescent="0.25">
      <c r="A29820" s="1" t="str">
        <f t="shared" si="1071"/>
        <v>40060</v>
      </c>
      <c r="B29820" s="1" t="str">
        <f>"23231"</f>
        <v>23231</v>
      </c>
      <c r="C29820" s="2">
        <v>2.7785967353636299E-2</v>
      </c>
      <c r="D29820" s="2">
        <v>2.0109722097310899E-2</v>
      </c>
      <c r="E29820" s="2">
        <v>2.31842703642605E-2</v>
      </c>
      <c r="F29820" s="2">
        <v>2.69968448340299E-2</v>
      </c>
    </row>
    <row r="29821" spans="1:6" x14ac:dyDescent="0.25">
      <c r="A29821" s="1" t="str">
        <f t="shared" si="1071"/>
        <v>40060</v>
      </c>
      <c r="B29821" s="1" t="str">
        <f>"23085"</f>
        <v>23085</v>
      </c>
      <c r="C29821" s="2">
        <v>3.18410709381996E-4</v>
      </c>
      <c r="D29821" s="2">
        <v>1.4389783253889699E-4</v>
      </c>
      <c r="E29821" s="2">
        <v>0</v>
      </c>
      <c r="F29821" s="2">
        <v>2.93330673007771E-4</v>
      </c>
    </row>
    <row r="29822" spans="1:6" x14ac:dyDescent="0.25">
      <c r="A29822" s="1" t="str">
        <f t="shared" si="1071"/>
        <v>40060</v>
      </c>
      <c r="B29822" s="1" t="str">
        <f>"23225"</f>
        <v>23225</v>
      </c>
      <c r="C29822" s="2">
        <v>3.6696413078088103E-2</v>
      </c>
      <c r="D29822" s="2">
        <v>3.0200557604101001E-2</v>
      </c>
      <c r="E29822" s="2">
        <v>5.8228186722546697E-2</v>
      </c>
      <c r="F29822" s="2">
        <v>3.6877770448646999E-2</v>
      </c>
    </row>
    <row r="29823" spans="1:6" x14ac:dyDescent="0.25">
      <c r="A29823" s="1" t="str">
        <f t="shared" si="1071"/>
        <v>40060</v>
      </c>
      <c r="B29823" s="1" t="str">
        <f>"23148"</f>
        <v>23148</v>
      </c>
      <c r="C29823" s="2">
        <v>9.6702511738235995E-4</v>
      </c>
      <c r="D29823" s="2">
        <v>1.6188506160625901E-4</v>
      </c>
      <c r="E29823" s="2">
        <v>4.45851353158856E-5</v>
      </c>
      <c r="F29823" s="2">
        <v>8.6956910170831597E-4</v>
      </c>
    </row>
    <row r="29824" spans="1:6" x14ac:dyDescent="0.25">
      <c r="A29824" s="1" t="str">
        <f t="shared" si="1071"/>
        <v>40060</v>
      </c>
      <c r="B29824" s="1" t="str">
        <f>"23124"</f>
        <v>23124</v>
      </c>
      <c r="C29824" s="2">
        <v>3.3694254961057798E-3</v>
      </c>
      <c r="D29824" s="2">
        <v>1.22313157658062E-3</v>
      </c>
      <c r="E29824" s="2">
        <v>4.0126621784297099E-4</v>
      </c>
      <c r="F29824" s="2">
        <v>3.0926284661783698E-3</v>
      </c>
    </row>
    <row r="29825" spans="1:6" x14ac:dyDescent="0.25">
      <c r="A29825" s="1" t="str">
        <f t="shared" si="1071"/>
        <v>40060</v>
      </c>
      <c r="B29825" s="1" t="str">
        <f>"23140"</f>
        <v>23140</v>
      </c>
      <c r="C29825" s="2">
        <v>4.5790492492077603E-3</v>
      </c>
      <c r="D29825" s="2">
        <v>1.7087867613994E-3</v>
      </c>
      <c r="E29825" s="2">
        <v>4.0126621784297099E-4</v>
      </c>
      <c r="F29825" s="2">
        <v>4.2019246661316196E-3</v>
      </c>
    </row>
    <row r="29826" spans="1:6" x14ac:dyDescent="0.25">
      <c r="A29826" s="1" t="str">
        <f t="shared" si="1071"/>
        <v>40060</v>
      </c>
      <c r="B29826" s="1" t="str">
        <f>"23224"</f>
        <v>23224</v>
      </c>
      <c r="C29826" s="2">
        <v>3.1276692167601899E-2</v>
      </c>
      <c r="D29826" s="2">
        <v>3.9715801780735603E-2</v>
      </c>
      <c r="E29826" s="2">
        <v>4.4629720451201497E-2</v>
      </c>
      <c r="F29826" s="2">
        <v>3.2421228802391899E-2</v>
      </c>
    </row>
    <row r="29827" spans="1:6" x14ac:dyDescent="0.25">
      <c r="A29827" s="1" t="str">
        <f t="shared" si="1071"/>
        <v>40060</v>
      </c>
      <c r="B29827" s="1" t="str">
        <f>"23236"</f>
        <v>23236</v>
      </c>
      <c r="C29827" s="2">
        <v>1.9876241001527999E-2</v>
      </c>
      <c r="D29827" s="2">
        <v>2.46245165932188E-2</v>
      </c>
      <c r="E29827" s="2">
        <v>1.38659770832404E-2</v>
      </c>
      <c r="F29827" s="2">
        <v>2.0068582795932599E-2</v>
      </c>
    </row>
    <row r="29828" spans="1:6" x14ac:dyDescent="0.25">
      <c r="A29828" s="1" t="str">
        <f t="shared" si="1071"/>
        <v>40060</v>
      </c>
      <c r="B29828" s="1" t="str">
        <f>"23832"</f>
        <v>23832</v>
      </c>
      <c r="C29828" s="2">
        <v>2.7214849732046398E-2</v>
      </c>
      <c r="D29828" s="2">
        <v>1.793326738016E-2</v>
      </c>
      <c r="E29828" s="2">
        <v>5.3948013732221601E-3</v>
      </c>
      <c r="F29828" s="2">
        <v>2.5717803980661001E-2</v>
      </c>
    </row>
    <row r="29829" spans="1:6" x14ac:dyDescent="0.25">
      <c r="A29829" s="1" t="str">
        <f t="shared" si="1071"/>
        <v>40060</v>
      </c>
      <c r="B29829" s="1" t="str">
        <f>"23833"</f>
        <v>23833</v>
      </c>
      <c r="C29829" s="2">
        <v>1.6459643548476701E-3</v>
      </c>
      <c r="D29829" s="2">
        <v>2.8779566507779398E-4</v>
      </c>
      <c r="E29829" s="2">
        <v>4.45851353158856E-5</v>
      </c>
      <c r="F29829" s="2">
        <v>1.4800542587295601E-3</v>
      </c>
    </row>
    <row r="29830" spans="1:6" x14ac:dyDescent="0.25">
      <c r="A29830" s="1" t="str">
        <f t="shared" si="1071"/>
        <v>40060</v>
      </c>
      <c r="B29830" s="1" t="str">
        <f>"23805"</f>
        <v>23805</v>
      </c>
      <c r="C29830" s="2">
        <v>1.5684675684372401E-2</v>
      </c>
      <c r="D29830" s="2">
        <v>1.30047666157028E-2</v>
      </c>
      <c r="E29830" s="2">
        <v>1.30634446475545E-2</v>
      </c>
      <c r="F29830" s="2">
        <v>1.53752920278083E-2</v>
      </c>
    </row>
    <row r="29831" spans="1:6" x14ac:dyDescent="0.25">
      <c r="A29831" s="1" t="str">
        <f t="shared" si="1071"/>
        <v>40060</v>
      </c>
      <c r="B29831" s="1" t="str">
        <f>"23824"</f>
        <v>23824</v>
      </c>
      <c r="C29831" s="2">
        <v>2.2912093373519301E-4</v>
      </c>
      <c r="D29831" s="2">
        <v>5.3961687202086503E-5</v>
      </c>
      <c r="E29831" s="2">
        <v>0</v>
      </c>
      <c r="F29831" s="2">
        <v>2.06969358112082E-4</v>
      </c>
    </row>
    <row r="29832" spans="1:6" x14ac:dyDescent="0.25">
      <c r="A29832" s="1" t="str">
        <f t="shared" si="1071"/>
        <v>40060</v>
      </c>
      <c r="B29832" s="1" t="str">
        <f>"23894"</f>
        <v>23894</v>
      </c>
      <c r="C29832" s="2">
        <v>4.5318772922622798E-4</v>
      </c>
      <c r="D29832" s="2">
        <v>2.5182120694306999E-4</v>
      </c>
      <c r="E29832" s="2">
        <v>4.45851353158856E-5</v>
      </c>
      <c r="F29832" s="2">
        <v>4.22872645351304E-4</v>
      </c>
    </row>
    <row r="29833" spans="1:6" x14ac:dyDescent="0.25">
      <c r="A29833" s="1" t="str">
        <f t="shared" si="1071"/>
        <v>40060</v>
      </c>
      <c r="B29833" s="1" t="str">
        <f>"23860"</f>
        <v>23860</v>
      </c>
      <c r="C29833" s="2">
        <v>2.2020880329799299E-2</v>
      </c>
      <c r="D29833" s="2">
        <v>1.55229786851335E-2</v>
      </c>
      <c r="E29833" s="2">
        <v>1.53372865486646E-2</v>
      </c>
      <c r="F29833" s="2">
        <v>2.1259773346218001E-2</v>
      </c>
    </row>
    <row r="29834" spans="1:6" x14ac:dyDescent="0.25">
      <c r="A29834" s="1" t="str">
        <f t="shared" ref="A29834:A29840" si="1072">"40060"</f>
        <v>40060</v>
      </c>
      <c r="B29834" s="1" t="str">
        <f>"23881"</f>
        <v>23881</v>
      </c>
      <c r="C29834" s="2">
        <v>4.2117818701322302E-4</v>
      </c>
      <c r="D29834" s="2">
        <v>7.1948916269448603E-5</v>
      </c>
      <c r="E29834" s="2">
        <v>0</v>
      </c>
      <c r="F29834" s="2">
        <v>3.7820299971560301E-4</v>
      </c>
    </row>
    <row r="29835" spans="1:6" x14ac:dyDescent="0.25">
      <c r="A29835" s="1" t="str">
        <f t="shared" si="1072"/>
        <v>40060</v>
      </c>
      <c r="B29835" s="1" t="str">
        <f>"23160"</f>
        <v>23160</v>
      </c>
      <c r="C29835" s="2">
        <v>0</v>
      </c>
      <c r="D29835" s="2">
        <v>1.79872290673621E-4</v>
      </c>
      <c r="E29835" s="2">
        <v>4.45851353158856E-5</v>
      </c>
      <c r="F29835" s="2">
        <v>1.6378870066423702E-5</v>
      </c>
    </row>
    <row r="29836" spans="1:6" x14ac:dyDescent="0.25">
      <c r="A29836" s="1" t="str">
        <f t="shared" si="1072"/>
        <v>40060</v>
      </c>
      <c r="B29836" s="1" t="str">
        <f>"23273"</f>
        <v>23273</v>
      </c>
      <c r="C29836" s="2">
        <v>0</v>
      </c>
      <c r="D29836" s="2">
        <v>1.79872290673621E-5</v>
      </c>
      <c r="E29836" s="2">
        <v>0</v>
      </c>
      <c r="F29836" s="2">
        <v>1.4889881878567E-6</v>
      </c>
    </row>
    <row r="29837" spans="1:6" x14ac:dyDescent="0.25">
      <c r="A29837" s="1" t="str">
        <f t="shared" si="1072"/>
        <v>40060</v>
      </c>
      <c r="B29837" s="1" t="str">
        <f>"23105"</f>
        <v>23105</v>
      </c>
      <c r="C29837" s="2">
        <v>0</v>
      </c>
      <c r="D29837" s="2">
        <v>0</v>
      </c>
      <c r="E29837" s="2">
        <v>4.45851353158856E-5</v>
      </c>
      <c r="F29837" s="2">
        <v>1.4889881878567E-6</v>
      </c>
    </row>
    <row r="29838" spans="1:6" x14ac:dyDescent="0.25">
      <c r="A29838" s="1" t="str">
        <f t="shared" si="1072"/>
        <v>40060</v>
      </c>
      <c r="B29838" s="1" t="str">
        <f>"23829"</f>
        <v>23829</v>
      </c>
      <c r="C29838" s="2">
        <v>5.0541382441586703E-6</v>
      </c>
      <c r="D29838" s="2">
        <v>0</v>
      </c>
      <c r="E29838" s="2">
        <v>0</v>
      </c>
      <c r="F29838" s="2">
        <v>4.46696456357011E-6</v>
      </c>
    </row>
    <row r="29839" spans="1:6" x14ac:dyDescent="0.25">
      <c r="A29839" s="1" t="str">
        <f t="shared" si="1072"/>
        <v>40060</v>
      </c>
      <c r="B29839" s="1" t="str">
        <f>"23884"</f>
        <v>23884</v>
      </c>
      <c r="C29839" s="2">
        <v>0</v>
      </c>
      <c r="D29839" s="2">
        <v>0</v>
      </c>
      <c r="E29839" s="2">
        <v>4.45851353158856E-5</v>
      </c>
      <c r="F29839" s="2">
        <v>1.4889881878567E-6</v>
      </c>
    </row>
    <row r="29840" spans="1:6" x14ac:dyDescent="0.25">
      <c r="A29840" s="1" t="str">
        <f t="shared" si="1072"/>
        <v>40060</v>
      </c>
      <c r="B29840" s="1" t="str">
        <f>"23888"</f>
        <v>23888</v>
      </c>
      <c r="C29840" s="2">
        <v>1.1186492647071199E-3</v>
      </c>
      <c r="D29840" s="2">
        <v>8.8137422430074604E-4</v>
      </c>
      <c r="E29840" s="2">
        <v>4.45851353158856E-5</v>
      </c>
      <c r="F29840" s="2">
        <v>1.0631375661296801E-3</v>
      </c>
    </row>
    <row r="29841" spans="1:6" x14ac:dyDescent="0.25">
      <c r="A29841" s="1" t="str">
        <f t="shared" ref="A29841:A29852" si="1073">"40080"</f>
        <v>40080</v>
      </c>
      <c r="B29841" s="1" t="str">
        <f>"40312"</f>
        <v>40312</v>
      </c>
      <c r="C29841" s="2">
        <v>3.9593767940925997E-5</v>
      </c>
      <c r="D29841" s="2">
        <v>0</v>
      </c>
      <c r="E29841" s="2">
        <v>0</v>
      </c>
      <c r="F29841" s="2">
        <v>3.2314354036062798E-5</v>
      </c>
    </row>
    <row r="29842" spans="1:6" x14ac:dyDescent="0.25">
      <c r="A29842" s="1" t="str">
        <f t="shared" si="1073"/>
        <v>40080</v>
      </c>
      <c r="B29842" s="1" t="str">
        <f>"40472"</f>
        <v>40472</v>
      </c>
      <c r="C29842" s="2">
        <v>1.6174054203868301E-2</v>
      </c>
      <c r="D29842" s="2">
        <v>5.5221499570499398E-3</v>
      </c>
      <c r="E29842" s="2">
        <v>4.0247678018575797E-3</v>
      </c>
      <c r="F29842" s="2">
        <v>1.4137529890777399E-2</v>
      </c>
    </row>
    <row r="29843" spans="1:6" x14ac:dyDescent="0.25">
      <c r="A29843" s="1" t="str">
        <f t="shared" si="1073"/>
        <v>40080</v>
      </c>
      <c r="B29843" s="1" t="str">
        <f>"40380"</f>
        <v>40380</v>
      </c>
      <c r="C29843" s="2">
        <v>5.9390651911389104E-4</v>
      </c>
      <c r="D29843" s="2">
        <v>0</v>
      </c>
      <c r="E29843" s="2">
        <v>0</v>
      </c>
      <c r="F29843" s="2">
        <v>4.8471531054094201E-4</v>
      </c>
    </row>
    <row r="29844" spans="1:6" x14ac:dyDescent="0.25">
      <c r="A29844" s="1" t="str">
        <f t="shared" si="1073"/>
        <v>40080</v>
      </c>
      <c r="B29844" s="1" t="str">
        <f>"40461"</f>
        <v>40461</v>
      </c>
      <c r="C29844" s="2">
        <v>1.1521786470809399E-2</v>
      </c>
      <c r="D29844" s="2">
        <v>1.4725733218799799E-3</v>
      </c>
      <c r="E29844" s="2">
        <v>0</v>
      </c>
      <c r="F29844" s="2">
        <v>9.5973631487106508E-3</v>
      </c>
    </row>
    <row r="29845" spans="1:6" x14ac:dyDescent="0.25">
      <c r="A29845" s="1" t="str">
        <f t="shared" si="1073"/>
        <v>40080</v>
      </c>
      <c r="B29845" s="1" t="str">
        <f>"40447"</f>
        <v>40447</v>
      </c>
      <c r="C29845" s="2">
        <v>1.9796883970462999E-4</v>
      </c>
      <c r="D29845" s="2">
        <v>0</v>
      </c>
      <c r="E29845" s="2">
        <v>0</v>
      </c>
      <c r="F29845" s="2">
        <v>1.61571770180314E-4</v>
      </c>
    </row>
    <row r="29846" spans="1:6" x14ac:dyDescent="0.25">
      <c r="A29846" s="1" t="str">
        <f t="shared" si="1073"/>
        <v>40080</v>
      </c>
      <c r="B29846" s="1" t="str">
        <f>"40385"</f>
        <v>40385</v>
      </c>
      <c r="C29846" s="2">
        <v>3.0111060519074199E-2</v>
      </c>
      <c r="D29846" s="2">
        <v>3.0678610872499601E-3</v>
      </c>
      <c r="E29846" s="2">
        <v>4.64396284829721E-3</v>
      </c>
      <c r="F29846" s="2">
        <v>2.5221353325147002E-2</v>
      </c>
    </row>
    <row r="29847" spans="1:6" x14ac:dyDescent="0.25">
      <c r="A29847" s="1" t="str">
        <f t="shared" si="1073"/>
        <v>40080</v>
      </c>
      <c r="B29847" s="1" t="str">
        <f>"40475"</f>
        <v>40475</v>
      </c>
      <c r="C29847" s="2">
        <v>0.56363708352305297</v>
      </c>
      <c r="D29847" s="2">
        <v>0.79960731378083205</v>
      </c>
      <c r="E29847" s="2">
        <v>0.67987616099071202</v>
      </c>
      <c r="F29847" s="2">
        <v>0.60077231306146095</v>
      </c>
    </row>
    <row r="29848" spans="1:6" x14ac:dyDescent="0.25">
      <c r="A29848" s="1" t="str">
        <f t="shared" si="1073"/>
        <v>40080</v>
      </c>
      <c r="B29848" s="1" t="str">
        <f>"40476"</f>
        <v>40476</v>
      </c>
      <c r="C29848" s="2">
        <v>2.1004493892661201E-2</v>
      </c>
      <c r="D29848" s="2">
        <v>5.3012639587679398E-2</v>
      </c>
      <c r="E29848" s="2">
        <v>6.1919504643962798E-4</v>
      </c>
      <c r="F29848" s="2">
        <v>2.4154979641956901E-2</v>
      </c>
    </row>
    <row r="29849" spans="1:6" x14ac:dyDescent="0.25">
      <c r="A29849" s="1" t="str">
        <f t="shared" si="1073"/>
        <v>40080</v>
      </c>
      <c r="B29849" s="1" t="str">
        <f>"40456"</f>
        <v>40456</v>
      </c>
      <c r="C29849" s="2">
        <v>6.1370340308435404E-4</v>
      </c>
      <c r="D29849" s="2">
        <v>0</v>
      </c>
      <c r="E29849" s="2">
        <v>0</v>
      </c>
      <c r="F29849" s="2">
        <v>5.0087248755897298E-4</v>
      </c>
    </row>
    <row r="29850" spans="1:6" x14ac:dyDescent="0.25">
      <c r="A29850" s="1" t="str">
        <f t="shared" si="1073"/>
        <v>40080</v>
      </c>
      <c r="B29850" s="1" t="str">
        <f>"40405"</f>
        <v>40405</v>
      </c>
      <c r="C29850" s="2">
        <v>0</v>
      </c>
      <c r="D29850" s="2">
        <v>0</v>
      </c>
      <c r="E29850" s="2">
        <v>3.0959752321981399E-4</v>
      </c>
      <c r="F29850" s="2">
        <v>1.6157177018031399E-5</v>
      </c>
    </row>
    <row r="29851" spans="1:6" x14ac:dyDescent="0.25">
      <c r="A29851" s="1" t="str">
        <f t="shared" si="1073"/>
        <v>40080</v>
      </c>
      <c r="B29851" s="1" t="str">
        <f>"40336"</f>
        <v>40336</v>
      </c>
      <c r="C29851" s="2">
        <v>0.128362995664482</v>
      </c>
      <c r="D29851" s="2">
        <v>4.18456252300895E-2</v>
      </c>
      <c r="E29851" s="2">
        <v>5.3250773993808002E-2</v>
      </c>
      <c r="F29851" s="2">
        <v>0.113051767595165</v>
      </c>
    </row>
    <row r="29852" spans="1:6" x14ac:dyDescent="0.25">
      <c r="A29852" s="1" t="str">
        <f t="shared" si="1073"/>
        <v>40080</v>
      </c>
      <c r="B29852" s="1" t="str">
        <f>"40403"</f>
        <v>40403</v>
      </c>
      <c r="C29852" s="2">
        <v>0.22774335319620601</v>
      </c>
      <c r="D29852" s="2">
        <v>9.5471837035218998E-2</v>
      </c>
      <c r="E29852" s="2">
        <v>0.25727554179566497</v>
      </c>
      <c r="F29852" s="2">
        <v>0.211869062237445</v>
      </c>
    </row>
    <row r="29853" spans="1:6" x14ac:dyDescent="0.25">
      <c r="A29853" s="1" t="str">
        <f t="shared" ref="A29853:A29864" si="1074">"40100"</f>
        <v>40100</v>
      </c>
      <c r="B29853" s="1" t="str">
        <f>"78582"</f>
        <v>78582</v>
      </c>
      <c r="C29853" s="2">
        <v>0.61163674591622097</v>
      </c>
      <c r="D29853" s="2">
        <v>0.69251336898395699</v>
      </c>
      <c r="E29853" s="2">
        <v>0.70068027210884298</v>
      </c>
      <c r="F29853" s="2">
        <v>0.61999708921554297</v>
      </c>
    </row>
    <row r="29854" spans="1:6" x14ac:dyDescent="0.25">
      <c r="A29854" s="1" t="str">
        <f t="shared" si="1074"/>
        <v>40100</v>
      </c>
      <c r="B29854" s="1" t="str">
        <f>"78591"</f>
        <v>78591</v>
      </c>
      <c r="C29854" s="2">
        <v>4.0837781012453504E-3</v>
      </c>
      <c r="D29854" s="2">
        <v>1.60427807486631E-3</v>
      </c>
      <c r="E29854" s="2">
        <v>4.53514739229024E-3</v>
      </c>
      <c r="F29854" s="2">
        <v>3.92955901615485E-3</v>
      </c>
    </row>
    <row r="29855" spans="1:6" x14ac:dyDescent="0.25">
      <c r="A29855" s="1" t="str">
        <f t="shared" si="1074"/>
        <v>40100</v>
      </c>
      <c r="B29855" s="1" t="str">
        <f>"78545"</f>
        <v>78545</v>
      </c>
      <c r="C29855" s="2">
        <v>0</v>
      </c>
      <c r="D29855" s="2">
        <v>1.60427807486631E-3</v>
      </c>
      <c r="E29855" s="2">
        <v>0</v>
      </c>
      <c r="F29855" s="2">
        <v>1.09154417115412E-4</v>
      </c>
    </row>
    <row r="29856" spans="1:6" x14ac:dyDescent="0.25">
      <c r="A29856" s="1" t="str">
        <f t="shared" si="1074"/>
        <v>40100</v>
      </c>
      <c r="B29856" s="1" t="str">
        <f>"78548"</f>
        <v>78548</v>
      </c>
      <c r="C29856" s="2">
        <v>9.7848940643700394E-3</v>
      </c>
      <c r="D29856" s="2">
        <v>6.9518716577540102E-3</v>
      </c>
      <c r="E29856" s="2">
        <v>0</v>
      </c>
      <c r="F29856" s="2">
        <v>9.2781254548100697E-3</v>
      </c>
    </row>
    <row r="29857" spans="1:6" x14ac:dyDescent="0.25">
      <c r="A29857" s="1" t="str">
        <f t="shared" si="1074"/>
        <v>40100</v>
      </c>
      <c r="B29857" s="1" t="str">
        <f>"78584"</f>
        <v>78584</v>
      </c>
      <c r="C29857" s="2">
        <v>0.368025230470645</v>
      </c>
      <c r="D29857" s="2">
        <v>0.28663101604278002</v>
      </c>
      <c r="E29857" s="2">
        <v>0.291383219954648</v>
      </c>
      <c r="F29857" s="2">
        <v>0.36002765245233498</v>
      </c>
    </row>
    <row r="29858" spans="1:6" x14ac:dyDescent="0.25">
      <c r="A29858" s="1" t="str">
        <f t="shared" si="1074"/>
        <v>40100</v>
      </c>
      <c r="B29858" s="1" t="str">
        <f>"78361"</f>
        <v>78361</v>
      </c>
      <c r="C29858" s="2">
        <v>3.23467572375869E-4</v>
      </c>
      <c r="D29858" s="2">
        <v>1.0695187165775399E-3</v>
      </c>
      <c r="E29858" s="2">
        <v>0</v>
      </c>
      <c r="F29858" s="2">
        <v>3.6384805705137502E-4</v>
      </c>
    </row>
    <row r="29859" spans="1:6" x14ac:dyDescent="0.25">
      <c r="A29859" s="1" t="str">
        <f t="shared" si="1074"/>
        <v>40100</v>
      </c>
      <c r="B29859" s="1" t="str">
        <f>"78595"</f>
        <v>78595</v>
      </c>
      <c r="C29859" s="2">
        <v>3.23467572375869E-4</v>
      </c>
      <c r="D29859" s="2">
        <v>0</v>
      </c>
      <c r="E29859" s="2">
        <v>0</v>
      </c>
      <c r="F29859" s="2">
        <v>2.9107844564109998E-4</v>
      </c>
    </row>
    <row r="29860" spans="1:6" x14ac:dyDescent="0.25">
      <c r="A29860" s="1" t="str">
        <f t="shared" si="1074"/>
        <v>40100</v>
      </c>
      <c r="B29860" s="1" t="str">
        <f>"78536"</f>
        <v>78536</v>
      </c>
      <c r="C29860" s="2">
        <v>3.4772764030405901E-3</v>
      </c>
      <c r="D29860" s="2">
        <v>2.1390374331550798E-3</v>
      </c>
      <c r="E29860" s="2">
        <v>2.26757369614512E-3</v>
      </c>
      <c r="F29860" s="2">
        <v>3.3474021248726502E-3</v>
      </c>
    </row>
    <row r="29861" spans="1:6" x14ac:dyDescent="0.25">
      <c r="A29861" s="1" t="str">
        <f t="shared" si="1074"/>
        <v>40100</v>
      </c>
      <c r="B29861" s="1" t="str">
        <f>"78563"</f>
        <v>78563</v>
      </c>
      <c r="C29861" s="2">
        <v>4.0433446546983598E-5</v>
      </c>
      <c r="D29861" s="2">
        <v>0</v>
      </c>
      <c r="E29861" s="2">
        <v>0</v>
      </c>
      <c r="F29861" s="2">
        <v>3.6384805705137498E-5</v>
      </c>
    </row>
    <row r="29862" spans="1:6" x14ac:dyDescent="0.25">
      <c r="A29862" s="1" t="str">
        <f t="shared" si="1074"/>
        <v>40100</v>
      </c>
      <c r="B29862" s="1" t="str">
        <f>"78585"</f>
        <v>78585</v>
      </c>
      <c r="C29862" s="2">
        <v>0</v>
      </c>
      <c r="D29862" s="2">
        <v>5.3475935828876996E-4</v>
      </c>
      <c r="E29862" s="2">
        <v>0</v>
      </c>
      <c r="F29862" s="2">
        <v>3.6384805705137498E-5</v>
      </c>
    </row>
    <row r="29863" spans="1:6" x14ac:dyDescent="0.25">
      <c r="A29863" s="1" t="str">
        <f t="shared" si="1074"/>
        <v>40100</v>
      </c>
      <c r="B29863" s="1" t="str">
        <f>"78547"</f>
        <v>78547</v>
      </c>
      <c r="C29863" s="2">
        <v>0</v>
      </c>
      <c r="D29863" s="2">
        <v>1.0695187165775399E-3</v>
      </c>
      <c r="E29863" s="2">
        <v>0</v>
      </c>
      <c r="F29863" s="2">
        <v>7.2769611410274996E-5</v>
      </c>
    </row>
    <row r="29864" spans="1:6" x14ac:dyDescent="0.25">
      <c r="A29864" s="1" t="str">
        <f t="shared" si="1074"/>
        <v>40100</v>
      </c>
      <c r="B29864" s="1" t="str">
        <f>"78588"</f>
        <v>78588</v>
      </c>
      <c r="C29864" s="2">
        <v>2.3047064531780599E-3</v>
      </c>
      <c r="D29864" s="2">
        <v>5.8823529411764696E-3</v>
      </c>
      <c r="E29864" s="2">
        <v>1.13378684807256E-3</v>
      </c>
      <c r="F29864" s="2">
        <v>2.5105515936544799E-3</v>
      </c>
    </row>
    <row r="29865" spans="1:6" x14ac:dyDescent="0.25">
      <c r="A29865" s="1" t="str">
        <f t="shared" ref="A29865:A29928" si="1075">"40140"</f>
        <v>40140</v>
      </c>
      <c r="B29865" s="1" t="str">
        <f>"92410"</f>
        <v>92410</v>
      </c>
      <c r="C29865" s="2">
        <v>8.79329204189341E-3</v>
      </c>
      <c r="D29865" s="2">
        <v>9.6558209765756908E-3</v>
      </c>
      <c r="E29865" s="2">
        <v>2.1340079869304699E-2</v>
      </c>
      <c r="F29865" s="2">
        <v>9.4333467954891403E-3</v>
      </c>
    </row>
    <row r="29866" spans="1:6" x14ac:dyDescent="0.25">
      <c r="A29866" s="1" t="str">
        <f t="shared" si="1075"/>
        <v>40140</v>
      </c>
      <c r="B29866" s="1" t="str">
        <f>"92369"</f>
        <v>92369</v>
      </c>
      <c r="C29866" s="2">
        <v>4.31391343453104E-4</v>
      </c>
      <c r="D29866" s="2">
        <v>4.2384948045325402E-4</v>
      </c>
      <c r="E29866" s="2">
        <v>1.1345071700853101E-5</v>
      </c>
      <c r="F29866" s="2">
        <v>4.1163130261890701E-4</v>
      </c>
    </row>
    <row r="29867" spans="1:6" x14ac:dyDescent="0.25">
      <c r="A29867" s="1" t="str">
        <f t="shared" si="1075"/>
        <v>40140</v>
      </c>
      <c r="B29867" s="1" t="str">
        <f>"92364"</f>
        <v>92364</v>
      </c>
      <c r="C29867" s="2">
        <v>4.7275763666093602E-5</v>
      </c>
      <c r="D29867" s="2">
        <v>1.3245296264164101E-4</v>
      </c>
      <c r="E29867" s="2">
        <v>1.1345071700853101E-5</v>
      </c>
      <c r="F29867" s="2">
        <v>5.2295297565420797E-5</v>
      </c>
    </row>
    <row r="29868" spans="1:6" x14ac:dyDescent="0.25">
      <c r="A29868" s="1" t="str">
        <f t="shared" si="1075"/>
        <v>40140</v>
      </c>
      <c r="B29868" s="1" t="str">
        <f>"91761"</f>
        <v>91761</v>
      </c>
      <c r="C29868" s="2">
        <v>1.2115005386482299E-2</v>
      </c>
      <c r="D29868" s="2">
        <v>2.8702557004443699E-2</v>
      </c>
      <c r="E29868" s="2">
        <v>1.9241241604646901E-2</v>
      </c>
      <c r="F29868" s="2">
        <v>1.3737094452556199E-2</v>
      </c>
    </row>
    <row r="29869" spans="1:6" x14ac:dyDescent="0.25">
      <c r="A29869" s="1" t="str">
        <f t="shared" si="1075"/>
        <v>40140</v>
      </c>
      <c r="B29869" s="1" t="str">
        <f>"91763"</f>
        <v>91763</v>
      </c>
      <c r="C29869" s="2">
        <v>7.1280032667552602E-3</v>
      </c>
      <c r="D29869" s="2">
        <v>1.4397637039146399E-2</v>
      </c>
      <c r="E29869" s="2">
        <v>1.22072971501179E-2</v>
      </c>
      <c r="F29869" s="2">
        <v>7.9281742210071705E-3</v>
      </c>
    </row>
    <row r="29870" spans="1:6" x14ac:dyDescent="0.25">
      <c r="A29870" s="1" t="str">
        <f t="shared" si="1075"/>
        <v>40140</v>
      </c>
      <c r="B29870" s="1" t="str">
        <f>"91785"</f>
        <v>91785</v>
      </c>
      <c r="C29870" s="2">
        <v>7.0854550794557795E-4</v>
      </c>
      <c r="D29870" s="2">
        <v>3.0530407888898401E-3</v>
      </c>
      <c r="E29870" s="2">
        <v>3.4035215102559403E-5</v>
      </c>
      <c r="F29870" s="2">
        <v>8.6106019654747401E-4</v>
      </c>
    </row>
    <row r="29871" spans="1:6" x14ac:dyDescent="0.25">
      <c r="A29871" s="1" t="str">
        <f t="shared" si="1075"/>
        <v>40140</v>
      </c>
      <c r="B29871" s="1" t="str">
        <f>"91710"</f>
        <v>91710</v>
      </c>
      <c r="C29871" s="2">
        <v>1.44994767163909E-2</v>
      </c>
      <c r="D29871" s="2">
        <v>2.39210050530805E-2</v>
      </c>
      <c r="E29871" s="2">
        <v>1.2740515520057999E-2</v>
      </c>
      <c r="F29871" s="2">
        <v>1.5155798564726999E-2</v>
      </c>
    </row>
    <row r="29872" spans="1:6" x14ac:dyDescent="0.25">
      <c r="A29872" s="1" t="str">
        <f t="shared" si="1075"/>
        <v>40140</v>
      </c>
      <c r="B29872" s="1" t="str">
        <f>"92252"</f>
        <v>92252</v>
      </c>
      <c r="C29872" s="2">
        <v>3.77674256987505E-3</v>
      </c>
      <c r="D29872" s="2">
        <v>2.2980589018324802E-3</v>
      </c>
      <c r="E29872" s="2">
        <v>1.9513523325467401E-3</v>
      </c>
      <c r="F29872" s="2">
        <v>3.57782679383226E-3</v>
      </c>
    </row>
    <row r="29873" spans="1:6" x14ac:dyDescent="0.25">
      <c r="A29873" s="1" t="str">
        <f t="shared" si="1075"/>
        <v>40140</v>
      </c>
      <c r="B29873" s="1" t="str">
        <f>"92253"</f>
        <v>92253</v>
      </c>
      <c r="C29873" s="2">
        <v>1.42648707391979E-2</v>
      </c>
      <c r="D29873" s="2">
        <v>6.7749690391199803E-3</v>
      </c>
      <c r="E29873" s="2">
        <v>4.4472681067344302E-3</v>
      </c>
      <c r="F29873" s="2">
        <v>1.32312280592749E-2</v>
      </c>
    </row>
    <row r="29874" spans="1:6" x14ac:dyDescent="0.25">
      <c r="A29874" s="1" t="str">
        <f t="shared" si="1075"/>
        <v>40140</v>
      </c>
      <c r="B29874" s="1" t="str">
        <f>"92282"</f>
        <v>92282</v>
      </c>
      <c r="C29874" s="2">
        <v>3.6697811545805101E-4</v>
      </c>
      <c r="D29874" s="2">
        <v>5.2981185056656698E-5</v>
      </c>
      <c r="E29874" s="2">
        <v>4.5380286803412497E-5</v>
      </c>
      <c r="F29874" s="2">
        <v>3.27751716424865E-4</v>
      </c>
    </row>
    <row r="29875" spans="1:6" x14ac:dyDescent="0.25">
      <c r="A29875" s="1" t="str">
        <f t="shared" si="1075"/>
        <v>40140</v>
      </c>
      <c r="B29875" s="1" t="str">
        <f>"92310"</f>
        <v>92310</v>
      </c>
      <c r="C29875" s="2">
        <v>1.6646978280923199E-3</v>
      </c>
      <c r="D29875" s="2">
        <v>6.62264813208209E-5</v>
      </c>
      <c r="E29875" s="2">
        <v>1.5463332728262801E-2</v>
      </c>
      <c r="F29875" s="2">
        <v>2.1694781861298302E-3</v>
      </c>
    </row>
    <row r="29876" spans="1:6" x14ac:dyDescent="0.25">
      <c r="A29876" s="1" t="str">
        <f t="shared" si="1075"/>
        <v>40140</v>
      </c>
      <c r="B29876" s="1" t="str">
        <f>"92313"</f>
        <v>92313</v>
      </c>
      <c r="C29876" s="2">
        <v>2.8389096081489198E-3</v>
      </c>
      <c r="D29876" s="2">
        <v>2.2583230130399901E-3</v>
      </c>
      <c r="E29876" s="2">
        <v>1.10387547649301E-2</v>
      </c>
      <c r="F29876" s="2">
        <v>3.16774881688361E-3</v>
      </c>
    </row>
    <row r="29877" spans="1:6" x14ac:dyDescent="0.25">
      <c r="A29877" s="1" t="str">
        <f t="shared" si="1075"/>
        <v>40140</v>
      </c>
      <c r="B29877" s="1" t="str">
        <f>"92274"</f>
        <v>92274</v>
      </c>
      <c r="C29877" s="2">
        <v>3.0534233857838198E-3</v>
      </c>
      <c r="D29877" s="2">
        <v>1.7417564587375899E-3</v>
      </c>
      <c r="E29877" s="2">
        <v>2.0648030495552701E-3</v>
      </c>
      <c r="F29877" s="2">
        <v>2.9057545538330801E-3</v>
      </c>
    </row>
    <row r="29878" spans="1:6" x14ac:dyDescent="0.25">
      <c r="A29878" s="1" t="str">
        <f t="shared" si="1075"/>
        <v>40140</v>
      </c>
      <c r="B29878" s="1" t="str">
        <f>"92320"</f>
        <v>92320</v>
      </c>
      <c r="C29878" s="2">
        <v>3.2915750452517699E-3</v>
      </c>
      <c r="D29878" s="2">
        <v>2.97356901130486E-3</v>
      </c>
      <c r="E29878" s="2">
        <v>9.4164095117081105E-4</v>
      </c>
      <c r="F29878" s="2">
        <v>3.15946441330889E-3</v>
      </c>
    </row>
    <row r="29879" spans="1:6" x14ac:dyDescent="0.25">
      <c r="A29879" s="1" t="str">
        <f t="shared" si="1075"/>
        <v>40140</v>
      </c>
      <c r="B29879" s="1" t="str">
        <f>"92309"</f>
        <v>92309</v>
      </c>
      <c r="C29879" s="2">
        <v>1.1818940916523401E-5</v>
      </c>
      <c r="D29879" s="2">
        <v>5.2981185056656698E-5</v>
      </c>
      <c r="E29879" s="2">
        <v>0</v>
      </c>
      <c r="F29879" s="2">
        <v>1.4497706255760201E-5</v>
      </c>
    </row>
    <row r="29880" spans="1:6" x14ac:dyDescent="0.25">
      <c r="A29880" s="1" t="str">
        <f t="shared" si="1075"/>
        <v>40140</v>
      </c>
      <c r="B29880" s="1" t="str">
        <f>"92516"</f>
        <v>92516</v>
      </c>
      <c r="C29880" s="2">
        <v>8.5746416349377305E-4</v>
      </c>
      <c r="D29880" s="2">
        <v>2.14573799479459E-3</v>
      </c>
      <c r="E29880" s="2">
        <v>2.2690143401706201E-5</v>
      </c>
      <c r="F29880" s="2">
        <v>9.20086572017355E-4</v>
      </c>
    </row>
    <row r="29881" spans="1:6" x14ac:dyDescent="0.25">
      <c r="A29881" s="1" t="str">
        <f t="shared" si="1075"/>
        <v>40140</v>
      </c>
      <c r="B29881" s="1" t="str">
        <f>"92406"</f>
        <v>92406</v>
      </c>
      <c r="C29881" s="2">
        <v>6.2108534516330501E-4</v>
      </c>
      <c r="D29881" s="2">
        <v>1.00001986794439E-3</v>
      </c>
      <c r="E29881" s="2">
        <v>2.2690143401706201E-5</v>
      </c>
      <c r="F29881" s="2">
        <v>6.2340136899769003E-4</v>
      </c>
    </row>
    <row r="29882" spans="1:6" x14ac:dyDescent="0.25">
      <c r="A29882" s="1" t="str">
        <f t="shared" si="1075"/>
        <v>40140</v>
      </c>
      <c r="B29882" s="1" t="str">
        <f>"92248"</f>
        <v>92248</v>
      </c>
      <c r="C29882" s="2">
        <v>7.8300483571967501E-4</v>
      </c>
      <c r="D29882" s="2">
        <v>2.2318324205116602E-3</v>
      </c>
      <c r="E29882" s="2">
        <v>2.2690143401706201E-5</v>
      </c>
      <c r="F29882" s="2">
        <v>8.6157797177089399E-4</v>
      </c>
    </row>
    <row r="29883" spans="1:6" x14ac:dyDescent="0.25">
      <c r="A29883" s="1" t="str">
        <f t="shared" si="1075"/>
        <v>40140</v>
      </c>
      <c r="B29883" s="1" t="str">
        <f>"92332"</f>
        <v>92332</v>
      </c>
      <c r="C29883" s="2">
        <v>1.47736761456542E-5</v>
      </c>
      <c r="D29883" s="2">
        <v>3.3113240660410402E-5</v>
      </c>
      <c r="E29883" s="2">
        <v>1.1345071700853101E-5</v>
      </c>
      <c r="F29883" s="2">
        <v>1.60510319260202E-5</v>
      </c>
    </row>
    <row r="29884" spans="1:6" x14ac:dyDescent="0.25">
      <c r="A29884" s="1" t="str">
        <f t="shared" si="1075"/>
        <v>40140</v>
      </c>
      <c r="B29884" s="1" t="str">
        <f>"92350"</f>
        <v>92350</v>
      </c>
      <c r="C29884" s="2">
        <v>0</v>
      </c>
      <c r="D29884" s="2">
        <v>4.7683066550991001E-4</v>
      </c>
      <c r="E29884" s="2">
        <v>1.1345071700853101E-5</v>
      </c>
      <c r="F29884" s="2">
        <v>3.7797591309660603E-5</v>
      </c>
    </row>
    <row r="29885" spans="1:6" x14ac:dyDescent="0.25">
      <c r="A29885" s="1" t="str">
        <f t="shared" si="1075"/>
        <v>40140</v>
      </c>
      <c r="B29885" s="1" t="str">
        <f>"92570"</f>
        <v>92570</v>
      </c>
      <c r="C29885" s="2">
        <v>9.2955970308456603E-3</v>
      </c>
      <c r="D29885" s="2">
        <v>4.0795512493625704E-3</v>
      </c>
      <c r="E29885" s="2">
        <v>4.7876202577600202E-3</v>
      </c>
      <c r="F29885" s="2">
        <v>8.6820549463066995E-3</v>
      </c>
    </row>
    <row r="29886" spans="1:6" x14ac:dyDescent="0.25">
      <c r="A29886" s="1" t="str">
        <f t="shared" si="1075"/>
        <v>40140</v>
      </c>
      <c r="B29886" s="1" t="str">
        <f>"92584"</f>
        <v>92584</v>
      </c>
      <c r="C29886" s="2">
        <v>1.10117072519248E-2</v>
      </c>
      <c r="D29886" s="2">
        <v>2.9338331225123599E-3</v>
      </c>
      <c r="E29886" s="2">
        <v>1.74714104193138E-3</v>
      </c>
      <c r="F29886" s="2">
        <v>9.9573353215901897E-3</v>
      </c>
    </row>
    <row r="29887" spans="1:6" x14ac:dyDescent="0.25">
      <c r="A29887" s="1" t="str">
        <f t="shared" si="1075"/>
        <v>40140</v>
      </c>
      <c r="B29887" s="1" t="str">
        <f>"92589"</f>
        <v>92589</v>
      </c>
      <c r="C29887" s="2">
        <v>1.28235508944279E-3</v>
      </c>
      <c r="D29887" s="2">
        <v>5.5762697272131196E-3</v>
      </c>
      <c r="E29887" s="2">
        <v>3.4035215102559403E-5</v>
      </c>
      <c r="F29887" s="2">
        <v>1.56109229861132E-3</v>
      </c>
    </row>
    <row r="29888" spans="1:6" x14ac:dyDescent="0.25">
      <c r="A29888" s="1" t="str">
        <f t="shared" si="1075"/>
        <v>40140</v>
      </c>
      <c r="B29888" s="1" t="str">
        <f>"92519"</f>
        <v>92519</v>
      </c>
      <c r="C29888" s="2">
        <v>8.6751026327281798E-4</v>
      </c>
      <c r="D29888" s="2">
        <v>2.0927568097379402E-3</v>
      </c>
      <c r="E29888" s="2">
        <v>4.5380286803412497E-5</v>
      </c>
      <c r="F29888" s="2">
        <v>9.2578209947497502E-4</v>
      </c>
    </row>
    <row r="29889" spans="1:6" x14ac:dyDescent="0.25">
      <c r="A29889" s="1" t="str">
        <f t="shared" si="1075"/>
        <v>40140</v>
      </c>
      <c r="B29889" s="1" t="str">
        <f>"92377"</f>
        <v>92377</v>
      </c>
      <c r="C29889" s="2">
        <v>4.3978279150383602E-3</v>
      </c>
      <c r="D29889" s="2">
        <v>3.2252296403239701E-3</v>
      </c>
      <c r="E29889" s="2">
        <v>2.1101833363586799E-3</v>
      </c>
      <c r="F29889" s="2">
        <v>4.20174593805337E-3</v>
      </c>
    </row>
    <row r="29890" spans="1:6" x14ac:dyDescent="0.25">
      <c r="A29890" s="1" t="str">
        <f t="shared" si="1075"/>
        <v>40140</v>
      </c>
      <c r="B29890" s="1" t="str">
        <f>"92401"</f>
        <v>92401</v>
      </c>
      <c r="C29890" s="2">
        <v>5.08805406456332E-4</v>
      </c>
      <c r="D29890" s="2">
        <v>6.2054212997609201E-3</v>
      </c>
      <c r="E29890" s="2">
        <v>3.6644581593755598E-3</v>
      </c>
      <c r="F29890" s="2">
        <v>1.09820124887383E-3</v>
      </c>
    </row>
    <row r="29891" spans="1:6" x14ac:dyDescent="0.25">
      <c r="A29891" s="1" t="str">
        <f t="shared" si="1075"/>
        <v>40140</v>
      </c>
      <c r="B29891" s="1" t="str">
        <f>"92411"</f>
        <v>92411</v>
      </c>
      <c r="C29891" s="2">
        <v>4.9166794212737296E-3</v>
      </c>
      <c r="D29891" s="2">
        <v>4.1325324344192197E-3</v>
      </c>
      <c r="E29891" s="2">
        <v>3.50562715556362E-3</v>
      </c>
      <c r="F29891" s="2">
        <v>4.7909741423053402E-3</v>
      </c>
    </row>
    <row r="29892" spans="1:6" x14ac:dyDescent="0.25">
      <c r="A29892" s="1" t="str">
        <f t="shared" si="1075"/>
        <v>40140</v>
      </c>
      <c r="B29892" s="1" t="str">
        <f>"92501"</f>
        <v>92501</v>
      </c>
      <c r="C29892" s="2">
        <v>4.6076141163066504E-3</v>
      </c>
      <c r="D29892" s="2">
        <v>1.30267488758054E-2</v>
      </c>
      <c r="E29892" s="2">
        <v>9.4844799419132302E-3</v>
      </c>
      <c r="F29892" s="2">
        <v>5.4884173682520901E-3</v>
      </c>
    </row>
    <row r="29893" spans="1:6" x14ac:dyDescent="0.25">
      <c r="A29893" s="1" t="str">
        <f t="shared" si="1075"/>
        <v>40140</v>
      </c>
      <c r="B29893" s="1" t="str">
        <f>"92386"</f>
        <v>92386</v>
      </c>
      <c r="C29893" s="2">
        <v>7.8595957094880606E-5</v>
      </c>
      <c r="D29893" s="2">
        <v>4.6358536924574597E-5</v>
      </c>
      <c r="E29893" s="2">
        <v>1.1345071700853101E-5</v>
      </c>
      <c r="F29893" s="2">
        <v>7.3006306502221199E-5</v>
      </c>
    </row>
    <row r="29894" spans="1:6" x14ac:dyDescent="0.25">
      <c r="A29894" s="1" t="str">
        <f t="shared" si="1075"/>
        <v>40140</v>
      </c>
      <c r="B29894" s="1" t="str">
        <f>"92504"</f>
        <v>92504</v>
      </c>
      <c r="C29894" s="2">
        <v>1.08361959793144E-2</v>
      </c>
      <c r="D29894" s="2">
        <v>9.7485380504248407E-3</v>
      </c>
      <c r="E29894" s="2">
        <v>1.55200580867671E-2</v>
      </c>
      <c r="F29894" s="2">
        <v>1.09649259063655E-2</v>
      </c>
    </row>
    <row r="29895" spans="1:6" x14ac:dyDescent="0.25">
      <c r="A29895" s="1" t="str">
        <f t="shared" si="1075"/>
        <v>40140</v>
      </c>
      <c r="B29895" s="1" t="str">
        <f>"92393"</f>
        <v>92393</v>
      </c>
      <c r="C29895" s="2">
        <v>1.63101384648023E-3</v>
      </c>
      <c r="D29895" s="2">
        <v>1.85434147698298E-3</v>
      </c>
      <c r="E29895" s="2">
        <v>2.2690143401706201E-5</v>
      </c>
      <c r="F29895" s="2">
        <v>1.5750722296436601E-3</v>
      </c>
    </row>
    <row r="29896" spans="1:6" x14ac:dyDescent="0.25">
      <c r="A29896" s="1" t="str">
        <f t="shared" si="1075"/>
        <v>40140</v>
      </c>
      <c r="B29896" s="1" t="str">
        <f>"91730"</f>
        <v>91730</v>
      </c>
      <c r="C29896" s="2">
        <v>1.5379396867626001E-2</v>
      </c>
      <c r="D29896" s="2">
        <v>3.3139731252938801E-2</v>
      </c>
      <c r="E29896" s="2">
        <v>2.3416227990560898E-2</v>
      </c>
      <c r="F29896" s="2">
        <v>1.71347354686383E-2</v>
      </c>
    </row>
    <row r="29897" spans="1:6" x14ac:dyDescent="0.25">
      <c r="A29897" s="1" t="str">
        <f t="shared" si="1075"/>
        <v>40140</v>
      </c>
      <c r="B29897" s="1" t="str">
        <f>"91766"</f>
        <v>91766</v>
      </c>
      <c r="C29897" s="2">
        <v>6.1931250402582597E-4</v>
      </c>
      <c r="D29897" s="2">
        <v>3.7086829539659699E-4</v>
      </c>
      <c r="E29897" s="2">
        <v>9.1895080776910505E-4</v>
      </c>
      <c r="F29897" s="2">
        <v>6.1356363975271003E-4</v>
      </c>
    </row>
    <row r="29898" spans="1:6" x14ac:dyDescent="0.25">
      <c r="A29898" s="1" t="str">
        <f t="shared" si="1075"/>
        <v>40140</v>
      </c>
      <c r="B29898" s="1" t="str">
        <f>"91784"</f>
        <v>91784</v>
      </c>
      <c r="C29898" s="2">
        <v>5.78832631386734E-3</v>
      </c>
      <c r="D29898" s="2">
        <v>1.48347318158638E-3</v>
      </c>
      <c r="E29898" s="2">
        <v>1.1912325285895801E-3</v>
      </c>
      <c r="F29898" s="2">
        <v>5.2419563619041697E-3</v>
      </c>
    </row>
    <row r="29899" spans="1:6" x14ac:dyDescent="0.25">
      <c r="A29899" s="1" t="str">
        <f t="shared" si="1075"/>
        <v>40140</v>
      </c>
      <c r="B29899" s="1" t="str">
        <f>"92596"</f>
        <v>92596</v>
      </c>
      <c r="C29899" s="2">
        <v>6.1895793579833103E-3</v>
      </c>
      <c r="D29899" s="2">
        <v>1.27817108949184E-3</v>
      </c>
      <c r="E29899" s="2">
        <v>3.2900707932474098E-4</v>
      </c>
      <c r="F29899" s="2">
        <v>5.5381237897004099E-3</v>
      </c>
    </row>
    <row r="29900" spans="1:6" x14ac:dyDescent="0.25">
      <c r="A29900" s="1" t="str">
        <f t="shared" si="1075"/>
        <v>40140</v>
      </c>
      <c r="B29900" s="1" t="str">
        <f>"92308"</f>
        <v>92308</v>
      </c>
      <c r="C29900" s="2">
        <v>9.6519380994788406E-3</v>
      </c>
      <c r="D29900" s="2">
        <v>5.2650052650052596E-3</v>
      </c>
      <c r="E29900" s="2">
        <v>1.17194590669813E-2</v>
      </c>
      <c r="F29900" s="2">
        <v>9.4033158325307793E-3</v>
      </c>
    </row>
    <row r="29901" spans="1:6" x14ac:dyDescent="0.25">
      <c r="A29901" s="1" t="str">
        <f t="shared" si="1075"/>
        <v>40140</v>
      </c>
      <c r="B29901" s="1" t="str">
        <f>"92256"</f>
        <v>92256</v>
      </c>
      <c r="C29901" s="2">
        <v>1.7314748442706701E-3</v>
      </c>
      <c r="D29901" s="2">
        <v>5.8279303562322395E-4</v>
      </c>
      <c r="E29901" s="2">
        <v>3.1766200762388798E-4</v>
      </c>
      <c r="F29901" s="2">
        <v>1.5771433305373399E-3</v>
      </c>
    </row>
    <row r="29902" spans="1:6" x14ac:dyDescent="0.25">
      <c r="A29902" s="1" t="str">
        <f t="shared" si="1075"/>
        <v>40140</v>
      </c>
      <c r="B29902" s="1" t="str">
        <f>"92339"</f>
        <v>92339</v>
      </c>
      <c r="C29902" s="2">
        <v>2.1096809535994199E-4</v>
      </c>
      <c r="D29902" s="2">
        <v>9.2717073849149303E-5</v>
      </c>
      <c r="E29902" s="2">
        <v>2.2690143401706201E-5</v>
      </c>
      <c r="F29902" s="2">
        <v>1.9313015833566301E-4</v>
      </c>
    </row>
    <row r="29903" spans="1:6" x14ac:dyDescent="0.25">
      <c r="A29903" s="1" t="str">
        <f t="shared" si="1075"/>
        <v>40140</v>
      </c>
      <c r="B29903" s="1" t="str">
        <f>"92312"</f>
        <v>92312</v>
      </c>
      <c r="C29903" s="2">
        <v>1.20848670871451E-3</v>
      </c>
      <c r="D29903" s="2">
        <v>1.2847937376239201E-3</v>
      </c>
      <c r="E29903" s="2">
        <v>2.2690143401706201E-5</v>
      </c>
      <c r="F29903" s="2">
        <v>1.1603342756842301E-3</v>
      </c>
    </row>
    <row r="29904" spans="1:6" x14ac:dyDescent="0.25">
      <c r="A29904" s="1" t="str">
        <f t="shared" si="1075"/>
        <v>40140</v>
      </c>
      <c r="B29904" s="1" t="str">
        <f>"92334"</f>
        <v>92334</v>
      </c>
      <c r="C29904" s="2">
        <v>1.9861730210217498E-3</v>
      </c>
      <c r="D29904" s="2">
        <v>2.7616442710782299E-3</v>
      </c>
      <c r="E29904" s="2">
        <v>2.2690143401706201E-5</v>
      </c>
      <c r="F29904" s="2">
        <v>1.9571903445276301E-3</v>
      </c>
    </row>
    <row r="29905" spans="1:6" x14ac:dyDescent="0.25">
      <c r="A29905" s="1" t="str">
        <f t="shared" si="1075"/>
        <v>40140</v>
      </c>
      <c r="B29905" s="1" t="str">
        <f>"92327"</f>
        <v>92327</v>
      </c>
      <c r="C29905" s="2">
        <v>4.4321028436962703E-5</v>
      </c>
      <c r="D29905" s="2">
        <v>7.2849129452902994E-5</v>
      </c>
      <c r="E29905" s="2">
        <v>7.9415501905971995E-5</v>
      </c>
      <c r="F29905" s="2">
        <v>4.81530957780608E-5</v>
      </c>
    </row>
    <row r="29906" spans="1:6" x14ac:dyDescent="0.25">
      <c r="A29906" s="1" t="str">
        <f t="shared" si="1075"/>
        <v>40140</v>
      </c>
      <c r="B29906" s="1" t="str">
        <f>"92236"</f>
        <v>92236</v>
      </c>
      <c r="C29906" s="2">
        <v>6.78170829790113E-3</v>
      </c>
      <c r="D29906" s="2">
        <v>5.4636847089677204E-3</v>
      </c>
      <c r="E29906" s="2">
        <v>4.3791976765293096E-3</v>
      </c>
      <c r="F29906" s="2">
        <v>6.5690142595296501E-3</v>
      </c>
    </row>
    <row r="29907" spans="1:6" x14ac:dyDescent="0.25">
      <c r="A29907" s="1" t="str">
        <f t="shared" si="1075"/>
        <v>40140</v>
      </c>
      <c r="B29907" s="1" t="str">
        <f>"92241"</f>
        <v>92241</v>
      </c>
      <c r="C29907" s="2">
        <v>3.5155439756198799E-3</v>
      </c>
      <c r="D29907" s="2">
        <v>3.1126446220785799E-4</v>
      </c>
      <c r="E29907" s="2">
        <v>1.0664367398801899E-3</v>
      </c>
      <c r="F29907" s="2">
        <v>3.1532511106278499E-3</v>
      </c>
    </row>
    <row r="29908" spans="1:6" x14ac:dyDescent="0.25">
      <c r="A29908" s="1" t="str">
        <f t="shared" si="1075"/>
        <v>40140</v>
      </c>
      <c r="B29908" s="1" t="str">
        <f>"92230"</f>
        <v>92230</v>
      </c>
      <c r="C29908" s="2">
        <v>3.9652546774936003E-4</v>
      </c>
      <c r="D29908" s="2">
        <v>1.90732266203964E-3</v>
      </c>
      <c r="E29908" s="2">
        <v>2.1555636231620901E-4</v>
      </c>
      <c r="F29908" s="2">
        <v>5.06384168504768E-4</v>
      </c>
    </row>
    <row r="29909" spans="1:6" x14ac:dyDescent="0.25">
      <c r="A29909" s="1" t="str">
        <f t="shared" si="1075"/>
        <v>40140</v>
      </c>
      <c r="B29909" s="1" t="str">
        <f>"92317"</f>
        <v>92317</v>
      </c>
      <c r="C29909" s="2">
        <v>3.5456822749570198E-6</v>
      </c>
      <c r="D29909" s="2">
        <v>0</v>
      </c>
      <c r="E29909" s="2">
        <v>0</v>
      </c>
      <c r="F29909" s="2">
        <v>3.1066513405200502E-6</v>
      </c>
    </row>
    <row r="29910" spans="1:6" x14ac:dyDescent="0.25">
      <c r="A29910" s="1" t="str">
        <f t="shared" si="1075"/>
        <v>40140</v>
      </c>
      <c r="B29910" s="1" t="str">
        <f>"92323"</f>
        <v>92323</v>
      </c>
      <c r="C29910" s="2">
        <v>1.5955570237306598E-5</v>
      </c>
      <c r="D29910" s="2">
        <v>1.32452962641641E-5</v>
      </c>
      <c r="E29910" s="2">
        <v>1.1345071700853101E-5</v>
      </c>
      <c r="F29910" s="2">
        <v>1.5533256702600201E-5</v>
      </c>
    </row>
    <row r="29911" spans="1:6" x14ac:dyDescent="0.25">
      <c r="A29911" s="1" t="str">
        <f t="shared" si="1075"/>
        <v>40140</v>
      </c>
      <c r="B29911" s="1" t="str">
        <f>"92415"</f>
        <v>92415</v>
      </c>
      <c r="C29911" s="2">
        <v>0</v>
      </c>
      <c r="D29911" s="2">
        <v>0</v>
      </c>
      <c r="E29911" s="2">
        <v>8.28190234162279E-4</v>
      </c>
      <c r="F29911" s="2">
        <v>3.7797591309660603E-5</v>
      </c>
    </row>
    <row r="29912" spans="1:6" x14ac:dyDescent="0.25">
      <c r="A29912" s="1" t="str">
        <f t="shared" si="1075"/>
        <v>40140</v>
      </c>
      <c r="B29912" s="1" t="str">
        <f>"92284"</f>
        <v>92284</v>
      </c>
      <c r="C29912" s="2">
        <v>7.1280032667552602E-3</v>
      </c>
      <c r="D29912" s="2">
        <v>7.1657052789128196E-3</v>
      </c>
      <c r="E29912" s="2">
        <v>9.6886912325285807E-3</v>
      </c>
      <c r="F29912" s="2">
        <v>7.2478175774332802E-3</v>
      </c>
    </row>
    <row r="29913" spans="1:6" x14ac:dyDescent="0.25">
      <c r="A29913" s="1" t="str">
        <f t="shared" si="1075"/>
        <v>40140</v>
      </c>
      <c r="B29913" s="1" t="str">
        <f>"92329"</f>
        <v>92329</v>
      </c>
      <c r="C29913" s="2">
        <v>2.0813154953997701E-3</v>
      </c>
      <c r="D29913" s="2">
        <v>9.1392544222732898E-4</v>
      </c>
      <c r="E29913" s="2">
        <v>2.2690143401706201E-5</v>
      </c>
      <c r="F29913" s="2">
        <v>1.89609286816407E-3</v>
      </c>
    </row>
    <row r="29914" spans="1:6" x14ac:dyDescent="0.25">
      <c r="A29914" s="1" t="str">
        <f t="shared" si="1075"/>
        <v>40140</v>
      </c>
      <c r="B29914" s="1" t="str">
        <f>"92210"</f>
        <v>92210</v>
      </c>
      <c r="C29914" s="2">
        <v>3.1148818785497398E-3</v>
      </c>
      <c r="D29914" s="2">
        <v>1.5629449591713701E-3</v>
      </c>
      <c r="E29914" s="2">
        <v>2.18959883826465E-3</v>
      </c>
      <c r="F29914" s="2">
        <v>2.9513187734940501E-3</v>
      </c>
    </row>
    <row r="29915" spans="1:6" x14ac:dyDescent="0.25">
      <c r="A29915" s="1" t="str">
        <f t="shared" si="1075"/>
        <v>40140</v>
      </c>
      <c r="B29915" s="1" t="str">
        <f>"92234"</f>
        <v>92234</v>
      </c>
      <c r="C29915" s="2">
        <v>1.3147389875540601E-2</v>
      </c>
      <c r="D29915" s="2">
        <v>1.15896342311436E-2</v>
      </c>
      <c r="E29915" s="2">
        <v>2.3143946269740399E-2</v>
      </c>
      <c r="F29915" s="2">
        <v>1.3481831267410101E-2</v>
      </c>
    </row>
    <row r="29916" spans="1:6" x14ac:dyDescent="0.25">
      <c r="A29916" s="1" t="str">
        <f t="shared" si="1075"/>
        <v>40140</v>
      </c>
      <c r="B29916" s="1" t="str">
        <f>"92242"</f>
        <v>92242</v>
      </c>
      <c r="C29916" s="2">
        <v>1.9796726035176701E-4</v>
      </c>
      <c r="D29916" s="2">
        <v>7.2849129452902994E-5</v>
      </c>
      <c r="E29916" s="2">
        <v>6.8070430205118806E-5</v>
      </c>
      <c r="F29916" s="2">
        <v>1.8225687864384301E-4</v>
      </c>
    </row>
    <row r="29917" spans="1:6" x14ac:dyDescent="0.25">
      <c r="A29917" s="1" t="str">
        <f t="shared" si="1075"/>
        <v>40140</v>
      </c>
      <c r="B29917" s="1" t="str">
        <f>"93592"</f>
        <v>93592</v>
      </c>
      <c r="C29917" s="2">
        <v>1.1818940916523401E-5</v>
      </c>
      <c r="D29917" s="2">
        <v>0</v>
      </c>
      <c r="E29917" s="2">
        <v>4.5380286803412497E-5</v>
      </c>
      <c r="F29917" s="2">
        <v>1.2426605362080201E-5</v>
      </c>
    </row>
    <row r="29918" spans="1:6" x14ac:dyDescent="0.25">
      <c r="A29918" s="1" t="str">
        <f t="shared" si="1075"/>
        <v>40140</v>
      </c>
      <c r="B29918" s="1" t="str">
        <f>"91743"</f>
        <v>91743</v>
      </c>
      <c r="C29918" s="2">
        <v>2.88382158363171E-4</v>
      </c>
      <c r="D29918" s="2">
        <v>5.4967979496281299E-4</v>
      </c>
      <c r="E29918" s="2">
        <v>2.2690143401706201E-5</v>
      </c>
      <c r="F29918" s="2">
        <v>2.9668520301966503E-4</v>
      </c>
    </row>
    <row r="29919" spans="1:6" x14ac:dyDescent="0.25">
      <c r="A29919" s="1" t="str">
        <f t="shared" si="1075"/>
        <v>40140</v>
      </c>
      <c r="B29919" s="1" t="str">
        <f>"92278"</f>
        <v>92278</v>
      </c>
      <c r="C29919" s="2">
        <v>0</v>
      </c>
      <c r="D29919" s="2">
        <v>0</v>
      </c>
      <c r="E29919" s="2">
        <v>3.4035215102559403E-5</v>
      </c>
      <c r="F29919" s="2">
        <v>1.55332567026002E-6</v>
      </c>
    </row>
    <row r="29920" spans="1:6" x14ac:dyDescent="0.25">
      <c r="A29920" s="1" t="str">
        <f t="shared" si="1075"/>
        <v>40140</v>
      </c>
      <c r="B29920" s="1" t="str">
        <f>"92398"</f>
        <v>92398</v>
      </c>
      <c r="C29920" s="2">
        <v>1.47736761456542E-5</v>
      </c>
      <c r="D29920" s="2">
        <v>1.32452962641641E-5</v>
      </c>
      <c r="E29920" s="2">
        <v>1.1345071700853101E-5</v>
      </c>
      <c r="F29920" s="2">
        <v>1.4497706255760201E-5</v>
      </c>
    </row>
    <row r="29921" spans="1:6" x14ac:dyDescent="0.25">
      <c r="A29921" s="1" t="str">
        <f t="shared" si="1075"/>
        <v>40140</v>
      </c>
      <c r="B29921" s="1" t="str">
        <f>"92881"</f>
        <v>92881</v>
      </c>
      <c r="C29921" s="2">
        <v>5.6222701939901802E-3</v>
      </c>
      <c r="D29921" s="2">
        <v>4.8212878401557597E-3</v>
      </c>
      <c r="E29921" s="2">
        <v>5.6158104919223004E-3</v>
      </c>
      <c r="F29921" s="2">
        <v>5.5593525738606301E-3</v>
      </c>
    </row>
    <row r="29922" spans="1:6" x14ac:dyDescent="0.25">
      <c r="A29922" s="1" t="str">
        <f t="shared" si="1075"/>
        <v>40140</v>
      </c>
      <c r="B29922" s="1" t="str">
        <f>"92340"</f>
        <v>92340</v>
      </c>
      <c r="C29922" s="2">
        <v>1.7314748442706701E-3</v>
      </c>
      <c r="D29922" s="2">
        <v>2.6755498453611601E-3</v>
      </c>
      <c r="E29922" s="2">
        <v>2.2690143401706201E-5</v>
      </c>
      <c r="F29922" s="2">
        <v>1.7272981453291399E-3</v>
      </c>
    </row>
    <row r="29923" spans="1:6" x14ac:dyDescent="0.25">
      <c r="A29923" s="1" t="str">
        <f t="shared" si="1075"/>
        <v>40140</v>
      </c>
      <c r="B29923" s="1" t="str">
        <f>"92263"</f>
        <v>92263</v>
      </c>
      <c r="C29923" s="2">
        <v>2.0771788660789801E-3</v>
      </c>
      <c r="D29923" s="2">
        <v>3.2384749365881398E-3</v>
      </c>
      <c r="E29923" s="2">
        <v>4.5380286803412497E-5</v>
      </c>
      <c r="F29923" s="2">
        <v>2.0752430954673901E-3</v>
      </c>
    </row>
    <row r="29924" spans="1:6" x14ac:dyDescent="0.25">
      <c r="A29924" s="1" t="str">
        <f t="shared" si="1075"/>
        <v>40140</v>
      </c>
      <c r="B29924" s="1" t="str">
        <f>"92531"</f>
        <v>92531</v>
      </c>
      <c r="C29924" s="2">
        <v>6.1458492765921696E-4</v>
      </c>
      <c r="D29924" s="2">
        <v>1.64241673675635E-3</v>
      </c>
      <c r="E29924" s="2">
        <v>2.2690143401706201E-5</v>
      </c>
      <c r="F29924" s="2">
        <v>6.6793003821181095E-4</v>
      </c>
    </row>
    <row r="29925" spans="1:6" x14ac:dyDescent="0.25">
      <c r="A29925" s="1" t="str">
        <f t="shared" si="1075"/>
        <v>40140</v>
      </c>
      <c r="B29925" s="1" t="str">
        <f>"92545"</f>
        <v>92545</v>
      </c>
      <c r="C29925" s="2">
        <v>1.0745781081303E-2</v>
      </c>
      <c r="D29925" s="2">
        <v>5.1457975986277799E-3</v>
      </c>
      <c r="E29925" s="2">
        <v>6.0923035033581402E-3</v>
      </c>
      <c r="F29925" s="2">
        <v>1.0095581306243301E-2</v>
      </c>
    </row>
    <row r="29926" spans="1:6" x14ac:dyDescent="0.25">
      <c r="A29926" s="1" t="str">
        <f t="shared" si="1075"/>
        <v>40140</v>
      </c>
      <c r="B29926" s="1" t="str">
        <f>"92592"</f>
        <v>92592</v>
      </c>
      <c r="C29926" s="2">
        <v>1.52943004930271E-2</v>
      </c>
      <c r="D29926" s="2">
        <v>5.4107035239110701E-3</v>
      </c>
      <c r="E29926" s="2">
        <v>5.2754583408967104E-3</v>
      </c>
      <c r="F29926" s="2">
        <v>1.4064328393757699E-2</v>
      </c>
    </row>
    <row r="29927" spans="1:6" x14ac:dyDescent="0.25">
      <c r="A29927" s="1" t="str">
        <f t="shared" si="1075"/>
        <v>40140</v>
      </c>
      <c r="B29927" s="1" t="str">
        <f>"92548"</f>
        <v>92548</v>
      </c>
      <c r="C29927" s="2">
        <v>1.3887255576914999E-3</v>
      </c>
      <c r="D29927" s="2">
        <v>2.3179268462287299E-4</v>
      </c>
      <c r="E29927" s="2">
        <v>6.8070430205118806E-5</v>
      </c>
      <c r="F29927" s="2">
        <v>1.2380005591972399E-3</v>
      </c>
    </row>
    <row r="29928" spans="1:6" x14ac:dyDescent="0.25">
      <c r="A29928" s="1" t="str">
        <f t="shared" si="1075"/>
        <v>40140</v>
      </c>
      <c r="B29928" s="1" t="str">
        <f>"92590"</f>
        <v>92590</v>
      </c>
      <c r="C29928" s="2">
        <v>1.32253948855896E-3</v>
      </c>
      <c r="D29928" s="2">
        <v>2.1477247892342202E-2</v>
      </c>
      <c r="E29928" s="2">
        <v>8.7016699945543594E-3</v>
      </c>
      <c r="F29928" s="2">
        <v>3.2350595959282102E-3</v>
      </c>
    </row>
    <row r="29929" spans="1:6" x14ac:dyDescent="0.25">
      <c r="A29929" s="1" t="str">
        <f t="shared" ref="A29929:A29992" si="1076">"40140"</f>
        <v>40140</v>
      </c>
      <c r="B29929" s="1" t="str">
        <f>"92376"</f>
        <v>92376</v>
      </c>
      <c r="C29929" s="2">
        <v>1.33884962702377E-2</v>
      </c>
      <c r="D29929" s="2">
        <v>1.14373133241057E-2</v>
      </c>
      <c r="E29929" s="2">
        <v>1.7108368124886499E-2</v>
      </c>
      <c r="F29929" s="2">
        <v>1.34057183095674E-2</v>
      </c>
    </row>
    <row r="29930" spans="1:6" x14ac:dyDescent="0.25">
      <c r="A29930" s="1" t="str">
        <f t="shared" si="1076"/>
        <v>40140</v>
      </c>
      <c r="B29930" s="1" t="str">
        <f>"92403"</f>
        <v>92403</v>
      </c>
      <c r="C29930" s="2">
        <v>0</v>
      </c>
      <c r="D29930" s="2">
        <v>6.6226481320820898E-6</v>
      </c>
      <c r="E29930" s="2">
        <v>1.1345071700853101E-5</v>
      </c>
      <c r="F29930" s="2">
        <v>1.0355504468400101E-6</v>
      </c>
    </row>
    <row r="29931" spans="1:6" x14ac:dyDescent="0.25">
      <c r="A29931" s="1" t="str">
        <f t="shared" si="1076"/>
        <v>40140</v>
      </c>
      <c r="B29931" s="1" t="str">
        <f>"92556"</f>
        <v>92556</v>
      </c>
      <c r="C29931" s="2">
        <v>5.3185234124355303E-4</v>
      </c>
      <c r="D29931" s="2">
        <v>1.3973787558693199E-3</v>
      </c>
      <c r="E29931" s="2">
        <v>2.2690143401706201E-5</v>
      </c>
      <c r="F29931" s="2">
        <v>5.7628382366646904E-4</v>
      </c>
    </row>
    <row r="29932" spans="1:6" x14ac:dyDescent="0.25">
      <c r="A29932" s="1" t="str">
        <f t="shared" si="1076"/>
        <v>40140</v>
      </c>
      <c r="B29932" s="1" t="str">
        <f>"92311"</f>
        <v>92311</v>
      </c>
      <c r="C29932" s="2">
        <v>8.2336651894960294E-3</v>
      </c>
      <c r="D29932" s="2">
        <v>8.96706557083915E-3</v>
      </c>
      <c r="E29932" s="2">
        <v>1.34779451806135E-2</v>
      </c>
      <c r="F29932" s="2">
        <v>8.5303468058446404E-3</v>
      </c>
    </row>
    <row r="29933" spans="1:6" x14ac:dyDescent="0.25">
      <c r="A29933" s="1" t="str">
        <f t="shared" si="1076"/>
        <v>40140</v>
      </c>
      <c r="B29933" s="1" t="str">
        <f>"92335"</f>
        <v>92335</v>
      </c>
      <c r="C29933" s="2">
        <v>1.5254707040956699E-2</v>
      </c>
      <c r="D29933" s="2">
        <v>1.7079809532639701E-2</v>
      </c>
      <c r="E29933" s="2">
        <v>3.0166545652568499E-2</v>
      </c>
      <c r="F29933" s="2">
        <v>1.6077956237638101E-2</v>
      </c>
    </row>
    <row r="29934" spans="1:6" x14ac:dyDescent="0.25">
      <c r="A29934" s="1" t="str">
        <f t="shared" si="1076"/>
        <v>40140</v>
      </c>
      <c r="B29934" s="1" t="str">
        <f>"92344"</f>
        <v>92344</v>
      </c>
      <c r="C29934" s="2">
        <v>4.0822621925671798E-3</v>
      </c>
      <c r="D29934" s="2">
        <v>7.8809512771776903E-4</v>
      </c>
      <c r="E29934" s="2">
        <v>4.8783808313668502E-4</v>
      </c>
      <c r="F29934" s="2">
        <v>3.6606708295794598E-3</v>
      </c>
    </row>
    <row r="29935" spans="1:6" x14ac:dyDescent="0.25">
      <c r="A29935" s="1" t="str">
        <f t="shared" si="1076"/>
        <v>40140</v>
      </c>
      <c r="B29935" s="1" t="str">
        <f>"93562"</f>
        <v>93562</v>
      </c>
      <c r="C29935" s="2">
        <v>7.9068714731541604E-4</v>
      </c>
      <c r="D29935" s="2">
        <v>4.56962721113664E-4</v>
      </c>
      <c r="E29935" s="2">
        <v>2.4959157741876901E-4</v>
      </c>
      <c r="F29935" s="2">
        <v>7.3990079426719199E-4</v>
      </c>
    </row>
    <row r="29936" spans="1:6" x14ac:dyDescent="0.25">
      <c r="A29936" s="1" t="str">
        <f t="shared" si="1076"/>
        <v>40140</v>
      </c>
      <c r="B29936" s="1" t="str">
        <f>"92530"</f>
        <v>92530</v>
      </c>
      <c r="C29936" s="2">
        <v>1.08527424965976E-2</v>
      </c>
      <c r="D29936" s="2">
        <v>1.1397577435313199E-2</v>
      </c>
      <c r="E29936" s="2">
        <v>1.33418043202033E-2</v>
      </c>
      <c r="F29936" s="2">
        <v>1.10089368003562E-2</v>
      </c>
    </row>
    <row r="29937" spans="1:6" x14ac:dyDescent="0.25">
      <c r="A29937" s="1" t="str">
        <f t="shared" si="1076"/>
        <v>40140</v>
      </c>
      <c r="B29937" s="1" t="str">
        <f>"92553"</f>
        <v>92553</v>
      </c>
      <c r="C29937" s="2">
        <v>1.24081151212121E-2</v>
      </c>
      <c r="D29937" s="2">
        <v>1.51857321668642E-2</v>
      </c>
      <c r="E29937" s="2">
        <v>2.5594481757124699E-2</v>
      </c>
      <c r="F29937" s="2">
        <v>1.3227085857487501E-2</v>
      </c>
    </row>
    <row r="29938" spans="1:6" x14ac:dyDescent="0.25">
      <c r="A29938" s="1" t="str">
        <f t="shared" si="1076"/>
        <v>40140</v>
      </c>
      <c r="B29938" s="1" t="str">
        <f>"92562"</f>
        <v>92562</v>
      </c>
      <c r="C29938" s="2">
        <v>1.32472599262852E-2</v>
      </c>
      <c r="D29938" s="2">
        <v>1.6742054477903501E-2</v>
      </c>
      <c r="E29938" s="2">
        <v>1.7528135777818098E-2</v>
      </c>
      <c r="F29938" s="2">
        <v>1.3715865668396001E-2</v>
      </c>
    </row>
    <row r="29939" spans="1:6" x14ac:dyDescent="0.25">
      <c r="A29939" s="1" t="str">
        <f t="shared" si="1076"/>
        <v>40140</v>
      </c>
      <c r="B29939" s="1" t="str">
        <f>"92563"</f>
        <v>92563</v>
      </c>
      <c r="C29939" s="2">
        <v>1.3414497940254001E-2</v>
      </c>
      <c r="D29939" s="2">
        <v>8.7286502380841992E-3</v>
      </c>
      <c r="E29939" s="2">
        <v>1.1708113995280401E-2</v>
      </c>
      <c r="F29939" s="2">
        <v>1.29702693466712E-2</v>
      </c>
    </row>
    <row r="29940" spans="1:6" x14ac:dyDescent="0.25">
      <c r="A29940" s="1" t="str">
        <f t="shared" si="1076"/>
        <v>40140</v>
      </c>
      <c r="B29940" s="1" t="str">
        <f>"92536"</f>
        <v>92536</v>
      </c>
      <c r="C29940" s="2">
        <v>1.17184799187329E-3</v>
      </c>
      <c r="D29940" s="2">
        <v>3.1788711033994003E-4</v>
      </c>
      <c r="E29940" s="2">
        <v>6.8070430205118806E-5</v>
      </c>
      <c r="F29940" s="2">
        <v>1.05470813010655E-3</v>
      </c>
    </row>
    <row r="29941" spans="1:6" x14ac:dyDescent="0.25">
      <c r="A29941" s="1" t="str">
        <f t="shared" si="1076"/>
        <v>40140</v>
      </c>
      <c r="B29941" s="1" t="str">
        <f>"92585"</f>
        <v>92585</v>
      </c>
      <c r="C29941" s="2">
        <v>4.7967171709710201E-3</v>
      </c>
      <c r="D29941" s="2">
        <v>9.0730279409524596E-4</v>
      </c>
      <c r="E29941" s="2">
        <v>2.1555636231620901E-4</v>
      </c>
      <c r="F29941" s="2">
        <v>4.2835544233537299E-3</v>
      </c>
    </row>
    <row r="29942" spans="1:6" x14ac:dyDescent="0.25">
      <c r="A29942" s="1" t="str">
        <f t="shared" si="1076"/>
        <v>40140</v>
      </c>
      <c r="B29942" s="1" t="str">
        <f>"92587"</f>
        <v>92587</v>
      </c>
      <c r="C29942" s="2">
        <v>3.9102966022317703E-3</v>
      </c>
      <c r="D29942" s="2">
        <v>2.62919130843659E-3</v>
      </c>
      <c r="E29942" s="2">
        <v>1.7244508985296699E-3</v>
      </c>
      <c r="F29942" s="2">
        <v>3.7103772510277801E-3</v>
      </c>
    </row>
    <row r="29943" spans="1:6" x14ac:dyDescent="0.25">
      <c r="A29943" s="1" t="str">
        <f t="shared" si="1076"/>
        <v>40140</v>
      </c>
      <c r="B29943" s="1" t="str">
        <f>"92572"</f>
        <v>92572</v>
      </c>
      <c r="C29943" s="2">
        <v>1.7840691313492001E-3</v>
      </c>
      <c r="D29943" s="2">
        <v>1.8212282363225701E-3</v>
      </c>
      <c r="E29943" s="2">
        <v>2.2690143401706201E-5</v>
      </c>
      <c r="F29943" s="2">
        <v>1.70658713639234E-3</v>
      </c>
    </row>
    <row r="29944" spans="1:6" x14ac:dyDescent="0.25">
      <c r="A29944" s="1" t="str">
        <f t="shared" si="1076"/>
        <v>40140</v>
      </c>
      <c r="B29944" s="1" t="str">
        <f>"92399"</f>
        <v>92399</v>
      </c>
      <c r="C29944" s="2">
        <v>1.30670210773082E-2</v>
      </c>
      <c r="D29944" s="2">
        <v>9.7551606985569195E-3</v>
      </c>
      <c r="E29944" s="2">
        <v>7.6125431112724603E-3</v>
      </c>
      <c r="F29944" s="2">
        <v>1.25591558192757E-2</v>
      </c>
    </row>
    <row r="29945" spans="1:6" x14ac:dyDescent="0.25">
      <c r="A29945" s="1" t="str">
        <f t="shared" si="1076"/>
        <v>40140</v>
      </c>
      <c r="B29945" s="1" t="str">
        <f>"92404"</f>
        <v>92404</v>
      </c>
      <c r="C29945" s="2">
        <v>1.13869586260244E-2</v>
      </c>
      <c r="D29945" s="2">
        <v>7.0597429087995104E-3</v>
      </c>
      <c r="E29945" s="2">
        <v>1.91958613178435E-2</v>
      </c>
      <c r="F29945" s="2">
        <v>1.14050348462725E-2</v>
      </c>
    </row>
    <row r="29946" spans="1:6" x14ac:dyDescent="0.25">
      <c r="A29946" s="1" t="str">
        <f t="shared" si="1076"/>
        <v>40140</v>
      </c>
      <c r="B29946" s="1" t="str">
        <f>"91739"</f>
        <v>91739</v>
      </c>
      <c r="C29946" s="2">
        <v>7.6876301191526504E-3</v>
      </c>
      <c r="D29946" s="2">
        <v>5.3908355795148199E-3</v>
      </c>
      <c r="E29946" s="2">
        <v>5.5250499183154798E-3</v>
      </c>
      <c r="F29946" s="2">
        <v>7.40936344714032E-3</v>
      </c>
    </row>
    <row r="29947" spans="1:6" x14ac:dyDescent="0.25">
      <c r="A29947" s="1" t="str">
        <f t="shared" si="1076"/>
        <v>40140</v>
      </c>
      <c r="B29947" s="1" t="str">
        <f>"91701"</f>
        <v>91701</v>
      </c>
      <c r="C29947" s="2">
        <v>8.2573030713290804E-3</v>
      </c>
      <c r="D29947" s="2">
        <v>3.9206076941925901E-3</v>
      </c>
      <c r="E29947" s="2">
        <v>3.3354510800508198E-3</v>
      </c>
      <c r="F29947" s="2">
        <v>7.69362204479791E-3</v>
      </c>
    </row>
    <row r="29948" spans="1:6" x14ac:dyDescent="0.25">
      <c r="A29948" s="1" t="str">
        <f t="shared" si="1076"/>
        <v>40140</v>
      </c>
      <c r="B29948" s="1" t="str">
        <f>"92268"</f>
        <v>92268</v>
      </c>
      <c r="C29948" s="2">
        <v>1.1818940916523401E-4</v>
      </c>
      <c r="D29948" s="2">
        <v>6.6226481320820898E-6</v>
      </c>
      <c r="E29948" s="2">
        <v>4.5380286803412497E-5</v>
      </c>
      <c r="F29948" s="2">
        <v>1.0614392080110099E-4</v>
      </c>
    </row>
    <row r="29949" spans="1:6" x14ac:dyDescent="0.25">
      <c r="A29949" s="1" t="str">
        <f t="shared" si="1076"/>
        <v>40140</v>
      </c>
      <c r="B29949" s="1" t="str">
        <f>"92276"</f>
        <v>92276</v>
      </c>
      <c r="C29949" s="2">
        <v>2.5517093438774002E-3</v>
      </c>
      <c r="D29949" s="2">
        <v>2.28481360556832E-3</v>
      </c>
      <c r="E29949" s="2">
        <v>9.4164095117081105E-4</v>
      </c>
      <c r="F29949" s="2">
        <v>2.4573612103513599E-3</v>
      </c>
    </row>
    <row r="29950" spans="1:6" x14ac:dyDescent="0.25">
      <c r="A29950" s="1" t="str">
        <f t="shared" si="1076"/>
        <v>40140</v>
      </c>
      <c r="B29950" s="1" t="str">
        <f>"92277"</f>
        <v>92277</v>
      </c>
      <c r="C29950" s="2">
        <v>6.6664736239650298E-3</v>
      </c>
      <c r="D29950" s="2">
        <v>3.31794671417312E-3</v>
      </c>
      <c r="E29950" s="2">
        <v>1.03807406062806E-2</v>
      </c>
      <c r="F29950" s="2">
        <v>6.5741920117638498E-3</v>
      </c>
    </row>
    <row r="29951" spans="1:6" x14ac:dyDescent="0.25">
      <c r="A29951" s="1" t="str">
        <f t="shared" si="1076"/>
        <v>40140</v>
      </c>
      <c r="B29951" s="1" t="str">
        <f>"92385"</f>
        <v>92385</v>
      </c>
      <c r="C29951" s="2">
        <v>4.1366293207831898E-5</v>
      </c>
      <c r="D29951" s="2">
        <v>3.3113240660410402E-5</v>
      </c>
      <c r="E29951" s="2">
        <v>0</v>
      </c>
      <c r="F29951" s="2">
        <v>3.88331417565006E-5</v>
      </c>
    </row>
    <row r="29952" spans="1:6" x14ac:dyDescent="0.25">
      <c r="A29952" s="1" t="str">
        <f t="shared" si="1076"/>
        <v>40140</v>
      </c>
      <c r="B29952" s="1" t="str">
        <f>"92280"</f>
        <v>92280</v>
      </c>
      <c r="C29952" s="2">
        <v>1.3000835008175699E-5</v>
      </c>
      <c r="D29952" s="2">
        <v>1.9867944396246201E-5</v>
      </c>
      <c r="E29952" s="2">
        <v>3.4035215102559403E-5</v>
      </c>
      <c r="F29952" s="2">
        <v>1.4497706255760201E-5</v>
      </c>
    </row>
    <row r="29953" spans="1:6" x14ac:dyDescent="0.25">
      <c r="A29953" s="1" t="str">
        <f t="shared" si="1076"/>
        <v>40140</v>
      </c>
      <c r="B29953" s="1" t="str">
        <f>"93555"</f>
        <v>93555</v>
      </c>
      <c r="C29953" s="2">
        <v>7.0913645499140403E-5</v>
      </c>
      <c r="D29953" s="2">
        <v>7.9471777584985101E-5</v>
      </c>
      <c r="E29953" s="2">
        <v>9.0760573606825102E-5</v>
      </c>
      <c r="F29953" s="2">
        <v>7.24885312788012E-5</v>
      </c>
    </row>
    <row r="29954" spans="1:6" x14ac:dyDescent="0.25">
      <c r="A29954" s="1" t="str">
        <f t="shared" si="1076"/>
        <v>40140</v>
      </c>
      <c r="B29954" s="1" t="str">
        <f>"92517"</f>
        <v>92517</v>
      </c>
      <c r="C29954" s="2">
        <v>2.27100949710997E-3</v>
      </c>
      <c r="D29954" s="2">
        <v>3.3643052510977001E-3</v>
      </c>
      <c r="E29954" s="2">
        <v>2.2690143401706201E-5</v>
      </c>
      <c r="F29954" s="2">
        <v>2.2538755475472899E-3</v>
      </c>
    </row>
    <row r="29955" spans="1:6" x14ac:dyDescent="0.25">
      <c r="A29955" s="1" t="str">
        <f t="shared" si="1076"/>
        <v>40140</v>
      </c>
      <c r="B29955" s="1" t="str">
        <f>"92342"</f>
        <v>92342</v>
      </c>
      <c r="C29955" s="2">
        <v>3.3116672448098498E-3</v>
      </c>
      <c r="D29955" s="2">
        <v>6.8213275760445498E-4</v>
      </c>
      <c r="E29955" s="2">
        <v>8.5088037756398597E-4</v>
      </c>
      <c r="F29955" s="2">
        <v>2.99377634181449E-3</v>
      </c>
    </row>
    <row r="29956" spans="1:6" x14ac:dyDescent="0.25">
      <c r="A29956" s="1" t="str">
        <f t="shared" si="1076"/>
        <v>40140</v>
      </c>
      <c r="B29956" s="1" t="str">
        <f>"92240"</f>
        <v>92240</v>
      </c>
      <c r="C29956" s="2">
        <v>9.8079481195769494E-3</v>
      </c>
      <c r="D29956" s="2">
        <v>5.1656655430240301E-3</v>
      </c>
      <c r="E29956" s="2">
        <v>1.40905790524596E-2</v>
      </c>
      <c r="F29956" s="2">
        <v>9.6404568848571393E-3</v>
      </c>
    </row>
    <row r="29957" spans="1:6" x14ac:dyDescent="0.25">
      <c r="A29957" s="1" t="str">
        <f t="shared" si="1076"/>
        <v>40140</v>
      </c>
      <c r="B29957" s="1" t="str">
        <f>"92226"</f>
        <v>92226</v>
      </c>
      <c r="C29957" s="2">
        <v>1.25221679010565E-3</v>
      </c>
      <c r="D29957" s="2">
        <v>1.03975575673688E-3</v>
      </c>
      <c r="E29957" s="2">
        <v>2.2690143401706201E-5</v>
      </c>
      <c r="F29957" s="2">
        <v>1.1794919589507801E-3</v>
      </c>
    </row>
    <row r="29958" spans="1:6" x14ac:dyDescent="0.25">
      <c r="A29958" s="1" t="str">
        <f t="shared" si="1076"/>
        <v>40140</v>
      </c>
      <c r="B29958" s="1" t="str">
        <f>"92880"</f>
        <v>92880</v>
      </c>
      <c r="C29958" s="2">
        <v>1.24819835019403E-2</v>
      </c>
      <c r="D29958" s="2">
        <v>9.7286701060285904E-3</v>
      </c>
      <c r="E29958" s="2">
        <v>6.35324015247776E-3</v>
      </c>
      <c r="F29958" s="2">
        <v>1.19870141973966E-2</v>
      </c>
    </row>
    <row r="29959" spans="1:6" x14ac:dyDescent="0.25">
      <c r="A29959" s="1" t="str">
        <f t="shared" si="1076"/>
        <v>40140</v>
      </c>
      <c r="B29959" s="1" t="str">
        <f>"92883"</f>
        <v>92883</v>
      </c>
      <c r="C29959" s="2">
        <v>7.2030535415751901E-3</v>
      </c>
      <c r="D29959" s="2">
        <v>2.7219083822857398E-3</v>
      </c>
      <c r="E29959" s="2">
        <v>5.3321836994009797E-3</v>
      </c>
      <c r="F29959" s="2">
        <v>6.7673221700995101E-3</v>
      </c>
    </row>
    <row r="29960" spans="1:6" x14ac:dyDescent="0.25">
      <c r="A29960" s="1" t="str">
        <f t="shared" si="1076"/>
        <v>40140</v>
      </c>
      <c r="B29960" s="1" t="str">
        <f>"92877"</f>
        <v>92877</v>
      </c>
      <c r="C29960" s="2">
        <v>6.3822280949226405E-4</v>
      </c>
      <c r="D29960" s="2">
        <v>3.6159658801168202E-3</v>
      </c>
      <c r="E29960" s="2">
        <v>3.4035215102559403E-5</v>
      </c>
      <c r="F29960" s="2">
        <v>8.43455838951194E-4</v>
      </c>
    </row>
    <row r="29961" spans="1:6" x14ac:dyDescent="0.25">
      <c r="A29961" s="1" t="str">
        <f t="shared" si="1076"/>
        <v>40140</v>
      </c>
      <c r="B29961" s="1" t="str">
        <f>"92878"</f>
        <v>92878</v>
      </c>
      <c r="C29961" s="2">
        <v>1.3881346106456699E-3</v>
      </c>
      <c r="D29961" s="2">
        <v>3.9338529904567598E-3</v>
      </c>
      <c r="E29961" s="2">
        <v>3.4035215102559403E-5</v>
      </c>
      <c r="F29961" s="2">
        <v>1.52536580819534E-3</v>
      </c>
    </row>
    <row r="29962" spans="1:6" x14ac:dyDescent="0.25">
      <c r="A29962" s="1" t="str">
        <f t="shared" si="1076"/>
        <v>40140</v>
      </c>
      <c r="B29962" s="1" t="str">
        <f>"92502"</f>
        <v>92502</v>
      </c>
      <c r="C29962" s="2">
        <v>4.0952630275753601E-4</v>
      </c>
      <c r="D29962" s="2">
        <v>2.07288886534169E-3</v>
      </c>
      <c r="E29962" s="2">
        <v>2.2690143401706201E-5</v>
      </c>
      <c r="F29962" s="2">
        <v>5.2191742520736801E-4</v>
      </c>
    </row>
    <row r="29963" spans="1:6" x14ac:dyDescent="0.25">
      <c r="A29963" s="1" t="str">
        <f t="shared" si="1076"/>
        <v>40140</v>
      </c>
      <c r="B29963" s="1" t="str">
        <f>"92555"</f>
        <v>92555</v>
      </c>
      <c r="C29963" s="2">
        <v>7.11382053765544E-3</v>
      </c>
      <c r="D29963" s="2">
        <v>1.57619025543553E-3</v>
      </c>
      <c r="E29963" s="2">
        <v>4.2317117444182198E-3</v>
      </c>
      <c r="F29963" s="2">
        <v>6.5493388010396903E-3</v>
      </c>
    </row>
    <row r="29964" spans="1:6" x14ac:dyDescent="0.25">
      <c r="A29964" s="1" t="str">
        <f t="shared" si="1076"/>
        <v>40140</v>
      </c>
      <c r="B29964" s="1" t="str">
        <f>"92373"</f>
        <v>92373</v>
      </c>
      <c r="C29964" s="2">
        <v>9.7204879567946694E-3</v>
      </c>
      <c r="D29964" s="2">
        <v>1.48214865195997E-2</v>
      </c>
      <c r="E29964" s="2">
        <v>1.45103467053911E-2</v>
      </c>
      <c r="F29964" s="2">
        <v>1.0337900110803801E-2</v>
      </c>
    </row>
    <row r="29965" spans="1:6" x14ac:dyDescent="0.25">
      <c r="A29965" s="1" t="str">
        <f t="shared" si="1076"/>
        <v>40140</v>
      </c>
      <c r="B29965" s="1" t="str">
        <f>"92374"</f>
        <v>92374</v>
      </c>
      <c r="C29965" s="2">
        <v>9.1809533039553803E-3</v>
      </c>
      <c r="D29965" s="2">
        <v>1.0741935270237099E-2</v>
      </c>
      <c r="E29965" s="2">
        <v>1.22526774369214E-2</v>
      </c>
      <c r="F29965" s="2">
        <v>9.4431845247341193E-3</v>
      </c>
    </row>
    <row r="29966" spans="1:6" x14ac:dyDescent="0.25">
      <c r="A29966" s="1" t="str">
        <f t="shared" si="1076"/>
        <v>40140</v>
      </c>
      <c r="B29966" s="1" t="str">
        <f>"92395"</f>
        <v>92395</v>
      </c>
      <c r="C29966" s="2">
        <v>9.8652699830220902E-3</v>
      </c>
      <c r="D29966" s="2">
        <v>1.2828069431843E-2</v>
      </c>
      <c r="E29966" s="2">
        <v>1.0891268832819E-2</v>
      </c>
      <c r="F29966" s="2">
        <v>1.01437344020213E-2</v>
      </c>
    </row>
    <row r="29967" spans="1:6" x14ac:dyDescent="0.25">
      <c r="A29967" s="1" t="str">
        <f t="shared" si="1076"/>
        <v>40140</v>
      </c>
      <c r="B29967" s="1" t="str">
        <f>"92354"</f>
        <v>92354</v>
      </c>
      <c r="C29967" s="2">
        <v>6.0672533194972896E-3</v>
      </c>
      <c r="D29967" s="2">
        <v>5.8411756524964003E-3</v>
      </c>
      <c r="E29967" s="2">
        <v>8.3840079869304703E-3</v>
      </c>
      <c r="F29967" s="2">
        <v>6.1553118560170603E-3</v>
      </c>
    </row>
    <row r="29968" spans="1:6" x14ac:dyDescent="0.25">
      <c r="A29968" s="1" t="str">
        <f t="shared" si="1076"/>
        <v>40140</v>
      </c>
      <c r="B29968" s="1" t="str">
        <f>"92371"</f>
        <v>92371</v>
      </c>
      <c r="C29968" s="2">
        <v>2.77508732719969E-3</v>
      </c>
      <c r="D29968" s="2">
        <v>1.13909547871812E-3</v>
      </c>
      <c r="E29968" s="2">
        <v>4.8783808313668502E-4</v>
      </c>
      <c r="F29968" s="2">
        <v>2.54279412221566E-3</v>
      </c>
    </row>
    <row r="29969" spans="1:6" x14ac:dyDescent="0.25">
      <c r="A29969" s="1" t="str">
        <f t="shared" si="1076"/>
        <v>40140</v>
      </c>
      <c r="B29969" s="1" t="str">
        <f>"92267"</f>
        <v>92267</v>
      </c>
      <c r="C29969" s="2">
        <v>0</v>
      </c>
      <c r="D29969" s="2">
        <v>0</v>
      </c>
      <c r="E29969" s="2">
        <v>1.1345071700853101E-5</v>
      </c>
      <c r="F29969" s="2">
        <v>5.1777522342000801E-7</v>
      </c>
    </row>
    <row r="29970" spans="1:6" x14ac:dyDescent="0.25">
      <c r="A29970" s="1" t="str">
        <f t="shared" si="1076"/>
        <v>40140</v>
      </c>
      <c r="B29970" s="1" t="str">
        <f>"92522"</f>
        <v>92522</v>
      </c>
      <c r="C29970" s="2">
        <v>0</v>
      </c>
      <c r="D29970" s="2">
        <v>6.6226481320820898E-6</v>
      </c>
      <c r="E29970" s="2">
        <v>0</v>
      </c>
      <c r="F29970" s="2">
        <v>5.1777522342000801E-7</v>
      </c>
    </row>
    <row r="29971" spans="1:6" x14ac:dyDescent="0.25">
      <c r="A29971" s="1" t="str">
        <f t="shared" si="1076"/>
        <v>40140</v>
      </c>
      <c r="B29971" s="1" t="str">
        <f>"92513"</f>
        <v>92513</v>
      </c>
      <c r="C29971" s="2">
        <v>8.7164689259360104E-4</v>
      </c>
      <c r="D29971" s="2">
        <v>2.3046815499645598E-3</v>
      </c>
      <c r="E29971" s="2">
        <v>1.1345071700853101E-5</v>
      </c>
      <c r="F29971" s="2">
        <v>9.4442200751809595E-4</v>
      </c>
    </row>
    <row r="29972" spans="1:6" x14ac:dyDescent="0.25">
      <c r="A29972" s="1" t="str">
        <f t="shared" si="1076"/>
        <v>40140</v>
      </c>
      <c r="B29972" s="1" t="str">
        <f>"92564"</f>
        <v>92564</v>
      </c>
      <c r="C29972" s="2">
        <v>4.7512142484424101E-4</v>
      </c>
      <c r="D29972" s="2">
        <v>2.4768704013986998E-3</v>
      </c>
      <c r="E29972" s="2">
        <v>2.2690143401706201E-5</v>
      </c>
      <c r="F29972" s="2">
        <v>6.1097476363560995E-4</v>
      </c>
    </row>
    <row r="29973" spans="1:6" x14ac:dyDescent="0.25">
      <c r="A29973" s="1" t="str">
        <f t="shared" si="1076"/>
        <v>40140</v>
      </c>
      <c r="B29973" s="1" t="str">
        <f>"92552"</f>
        <v>92552</v>
      </c>
      <c r="C29973" s="2">
        <v>1.3899074517831501E-3</v>
      </c>
      <c r="D29973" s="2">
        <v>2.4702477532666202E-3</v>
      </c>
      <c r="E29973" s="2">
        <v>2.2690143401706201E-5</v>
      </c>
      <c r="F29973" s="2">
        <v>1.4119730342663599E-3</v>
      </c>
    </row>
    <row r="29974" spans="1:6" x14ac:dyDescent="0.25">
      <c r="A29974" s="1" t="str">
        <f t="shared" si="1076"/>
        <v>40140</v>
      </c>
      <c r="B29974" s="1" t="str">
        <f>"92382"</f>
        <v>92382</v>
      </c>
      <c r="C29974" s="2">
        <v>1.53646231914804E-4</v>
      </c>
      <c r="D29974" s="2">
        <v>2.6490592528328302E-5</v>
      </c>
      <c r="E29974" s="2">
        <v>2.2690143401706201E-5</v>
      </c>
      <c r="F29974" s="2">
        <v>1.3772820942972201E-4</v>
      </c>
    </row>
    <row r="29975" spans="1:6" x14ac:dyDescent="0.25">
      <c r="A29975" s="1" t="str">
        <f t="shared" si="1076"/>
        <v>40140</v>
      </c>
      <c r="B29975" s="1" t="str">
        <f>"92514"</f>
        <v>92514</v>
      </c>
      <c r="C29975" s="2">
        <v>2.9547352291308499E-4</v>
      </c>
      <c r="D29975" s="2">
        <v>9.0068014596316403E-4</v>
      </c>
      <c r="E29975" s="2">
        <v>2.2690143401706201E-5</v>
      </c>
      <c r="F29975" s="2">
        <v>3.3034059254196502E-4</v>
      </c>
    </row>
    <row r="29976" spans="1:6" x14ac:dyDescent="0.25">
      <c r="A29976" s="1" t="str">
        <f t="shared" si="1076"/>
        <v>40140</v>
      </c>
      <c r="B29976" s="1" t="str">
        <f>"92341"</f>
        <v>92341</v>
      </c>
      <c r="C29976" s="2">
        <v>1.18189409165234E-6</v>
      </c>
      <c r="D29976" s="2">
        <v>6.6226481320820898E-6</v>
      </c>
      <c r="E29976" s="2">
        <v>0</v>
      </c>
      <c r="F29976" s="2">
        <v>1.55332567026002E-6</v>
      </c>
    </row>
    <row r="29977" spans="1:6" x14ac:dyDescent="0.25">
      <c r="A29977" s="1" t="str">
        <f t="shared" si="1076"/>
        <v>40140</v>
      </c>
      <c r="B29977" s="1" t="str">
        <f>"92418"</f>
        <v>92418</v>
      </c>
      <c r="C29977" s="2">
        <v>0</v>
      </c>
      <c r="D29977" s="2">
        <v>6.6226481320820898E-6</v>
      </c>
      <c r="E29977" s="2">
        <v>0</v>
      </c>
      <c r="F29977" s="2">
        <v>5.1777522342000801E-7</v>
      </c>
    </row>
    <row r="29978" spans="1:6" x14ac:dyDescent="0.25">
      <c r="A29978" s="1" t="str">
        <f t="shared" si="1076"/>
        <v>40140</v>
      </c>
      <c r="B29978" s="1" t="str">
        <f>"92321"</f>
        <v>92321</v>
      </c>
      <c r="C29978" s="2">
        <v>1.7728411374785099E-6</v>
      </c>
      <c r="D29978" s="2">
        <v>6.6226481320820898E-6</v>
      </c>
      <c r="E29978" s="2">
        <v>0</v>
      </c>
      <c r="F29978" s="2">
        <v>2.0711008936800299E-6</v>
      </c>
    </row>
    <row r="29979" spans="1:6" x14ac:dyDescent="0.25">
      <c r="A29979" s="1" t="str">
        <f t="shared" si="1076"/>
        <v>40140</v>
      </c>
      <c r="B29979" s="1" t="str">
        <f>"92258"</f>
        <v>92258</v>
      </c>
      <c r="C29979" s="2">
        <v>4.7275763666093602E-5</v>
      </c>
      <c r="D29979" s="2">
        <v>1.9867944396246201E-5</v>
      </c>
      <c r="E29979" s="2">
        <v>2.2690143401706201E-5</v>
      </c>
      <c r="F29979" s="2">
        <v>4.4010893990700702E-5</v>
      </c>
    </row>
    <row r="29980" spans="1:6" x14ac:dyDescent="0.25">
      <c r="A29980" s="1" t="str">
        <f t="shared" si="1076"/>
        <v>40140</v>
      </c>
      <c r="B29980" s="1" t="str">
        <f>"92509"</f>
        <v>92509</v>
      </c>
      <c r="C29980" s="2">
        <v>1.24825744489862E-2</v>
      </c>
      <c r="D29980" s="2">
        <v>8.96706557083915E-3</v>
      </c>
      <c r="E29980" s="2">
        <v>6.7730078054093297E-3</v>
      </c>
      <c r="F29980" s="2">
        <v>1.1947145505193201E-2</v>
      </c>
    </row>
    <row r="29981" spans="1:6" x14ac:dyDescent="0.25">
      <c r="A29981" s="1" t="str">
        <f t="shared" si="1076"/>
        <v>40140</v>
      </c>
      <c r="B29981" s="1" t="str">
        <f>"92557"</f>
        <v>92557</v>
      </c>
      <c r="C29981" s="2">
        <v>9.5343396373594302E-3</v>
      </c>
      <c r="D29981" s="2">
        <v>3.0861540295502501E-3</v>
      </c>
      <c r="E29981" s="2">
        <v>5.6838809221274201E-3</v>
      </c>
      <c r="F29981" s="2">
        <v>8.8544740957055695E-3</v>
      </c>
    </row>
    <row r="29982" spans="1:6" x14ac:dyDescent="0.25">
      <c r="A29982" s="1" t="str">
        <f t="shared" si="1076"/>
        <v>40140</v>
      </c>
      <c r="B29982" s="1" t="str">
        <f>"92508"</f>
        <v>92508</v>
      </c>
      <c r="C29982" s="2">
        <v>6.1204385536216396E-3</v>
      </c>
      <c r="D29982" s="2">
        <v>3.5100035100035102E-3</v>
      </c>
      <c r="E29982" s="2">
        <v>2.7341622799056001E-3</v>
      </c>
      <c r="F29982" s="2">
        <v>5.7618026862178498E-3</v>
      </c>
    </row>
    <row r="29983" spans="1:6" x14ac:dyDescent="0.25">
      <c r="A29983" s="1" t="str">
        <f t="shared" si="1076"/>
        <v>40140</v>
      </c>
      <c r="B29983" s="1" t="str">
        <f>"92561"</f>
        <v>92561</v>
      </c>
      <c r="C29983" s="2">
        <v>4.7984900121085002E-4</v>
      </c>
      <c r="D29983" s="2">
        <v>1.4569825890580599E-4</v>
      </c>
      <c r="E29983" s="2">
        <v>1.0210564530767801E-4</v>
      </c>
      <c r="F29983" s="2">
        <v>4.3648451334306701E-4</v>
      </c>
    </row>
    <row r="29984" spans="1:6" x14ac:dyDescent="0.25">
      <c r="A29984" s="1" t="str">
        <f t="shared" si="1076"/>
        <v>40140</v>
      </c>
      <c r="B29984" s="1" t="str">
        <f>"92546"</f>
        <v>92546</v>
      </c>
      <c r="C29984" s="2">
        <v>1.85557372389417E-3</v>
      </c>
      <c r="D29984" s="2">
        <v>1.8609641251150599E-3</v>
      </c>
      <c r="E29984" s="2">
        <v>2.2690143401706201E-5</v>
      </c>
      <c r="F29984" s="2">
        <v>1.77234458976669E-3</v>
      </c>
    </row>
    <row r="29985" spans="1:6" x14ac:dyDescent="0.25">
      <c r="A29985" s="1" t="str">
        <f t="shared" si="1076"/>
        <v>40140</v>
      </c>
      <c r="B29985" s="1" t="str">
        <f>"92581"</f>
        <v>92581</v>
      </c>
      <c r="C29985" s="2">
        <v>8.2318923483585497E-4</v>
      </c>
      <c r="D29985" s="2">
        <v>1.7947376437942399E-3</v>
      </c>
      <c r="E29985" s="2">
        <v>2.2690143401706201E-5</v>
      </c>
      <c r="F29985" s="2">
        <v>8.6261352221773404E-4</v>
      </c>
    </row>
    <row r="29986" spans="1:6" x14ac:dyDescent="0.25">
      <c r="A29986" s="1" t="str">
        <f t="shared" si="1076"/>
        <v>40140</v>
      </c>
      <c r="B29986" s="1" t="str">
        <f>"92583"</f>
        <v>92583</v>
      </c>
      <c r="C29986" s="2">
        <v>6.3851828301517699E-3</v>
      </c>
      <c r="D29986" s="2">
        <v>5.5232885421564598E-3</v>
      </c>
      <c r="E29986" s="2">
        <v>5.60446542022145E-3</v>
      </c>
      <c r="F29986" s="2">
        <v>6.2821667857549598E-3</v>
      </c>
    </row>
    <row r="29987" spans="1:6" x14ac:dyDescent="0.25">
      <c r="A29987" s="1" t="str">
        <f t="shared" si="1076"/>
        <v>40140</v>
      </c>
      <c r="B29987" s="1" t="str">
        <f>"92506"</f>
        <v>92506</v>
      </c>
      <c r="C29987" s="2">
        <v>9.6814854517701492E-3</v>
      </c>
      <c r="D29987" s="2">
        <v>1.11922753432187E-2</v>
      </c>
      <c r="E29987" s="2">
        <v>6.2057542203666702E-3</v>
      </c>
      <c r="F29987" s="2">
        <v>9.6409746600805597E-3</v>
      </c>
    </row>
    <row r="29988" spans="1:6" x14ac:dyDescent="0.25">
      <c r="A29988" s="1" t="str">
        <f t="shared" si="1076"/>
        <v>40140</v>
      </c>
      <c r="B29988" s="1" t="str">
        <f>"92591"</f>
        <v>92591</v>
      </c>
      <c r="C29988" s="2">
        <v>9.1200857582352905E-3</v>
      </c>
      <c r="D29988" s="2">
        <v>9.3114432737074204E-3</v>
      </c>
      <c r="E29988" s="2">
        <v>1.04488110364857E-2</v>
      </c>
      <c r="F29988" s="2">
        <v>9.1956879679393495E-3</v>
      </c>
    </row>
    <row r="29989" spans="1:6" x14ac:dyDescent="0.25">
      <c r="A29989" s="1" t="str">
        <f t="shared" si="1076"/>
        <v>40140</v>
      </c>
      <c r="B29989" s="1" t="str">
        <f>"92407"</f>
        <v>92407</v>
      </c>
      <c r="C29989" s="2">
        <v>1.1540013910893401E-2</v>
      </c>
      <c r="D29989" s="2">
        <v>4.5894951555328902E-3</v>
      </c>
      <c r="E29989" s="2">
        <v>1.2434198584135E-2</v>
      </c>
      <c r="F29989" s="2">
        <v>1.10374144376443E-2</v>
      </c>
    </row>
    <row r="29990" spans="1:6" x14ac:dyDescent="0.25">
      <c r="A29990" s="1" t="str">
        <f t="shared" si="1076"/>
        <v>40140</v>
      </c>
      <c r="B29990" s="1" t="str">
        <f>"92599"</f>
        <v>92599</v>
      </c>
      <c r="C29990" s="2">
        <v>0</v>
      </c>
      <c r="D29990" s="2">
        <v>0</v>
      </c>
      <c r="E29990" s="2">
        <v>4.5380286803412497E-5</v>
      </c>
      <c r="F29990" s="2">
        <v>2.0711008936800299E-6</v>
      </c>
    </row>
    <row r="29991" spans="1:6" x14ac:dyDescent="0.25">
      <c r="A29991" s="1" t="str">
        <f t="shared" si="1076"/>
        <v>40140</v>
      </c>
      <c r="B29991" s="1" t="str">
        <f>"92397"</f>
        <v>92397</v>
      </c>
      <c r="C29991" s="2">
        <v>1.1109804461532E-4</v>
      </c>
      <c r="D29991" s="2">
        <v>1.9867944396246201E-5</v>
      </c>
      <c r="E29991" s="2">
        <v>0</v>
      </c>
      <c r="F29991" s="2">
        <v>9.8895067673221703E-5</v>
      </c>
    </row>
    <row r="29992" spans="1:6" x14ac:dyDescent="0.25">
      <c r="A29992" s="1" t="str">
        <f t="shared" si="1076"/>
        <v>40140</v>
      </c>
      <c r="B29992" s="1" t="str">
        <f>"92368"</f>
        <v>92368</v>
      </c>
      <c r="C29992" s="2">
        <v>2.08013360130812E-4</v>
      </c>
      <c r="D29992" s="2">
        <v>1.3245296264164101E-4</v>
      </c>
      <c r="E29992" s="2">
        <v>1.25930295879469E-3</v>
      </c>
      <c r="F29992" s="2">
        <v>2.5008543291186401E-4</v>
      </c>
    </row>
    <row r="29993" spans="1:6" x14ac:dyDescent="0.25">
      <c r="A29993" s="1" t="str">
        <f t="shared" ref="A29993:A30056" si="1077">"40140"</f>
        <v>40140</v>
      </c>
      <c r="B29993" s="1" t="str">
        <f>"92235"</f>
        <v>92235</v>
      </c>
      <c r="C29993" s="2">
        <v>1.47973140274873E-3</v>
      </c>
      <c r="D29993" s="2">
        <v>1.7550017550017501E-3</v>
      </c>
      <c r="E29993" s="2">
        <v>2.2690143401706201E-5</v>
      </c>
      <c r="F29993" s="2">
        <v>1.4347551440968399E-3</v>
      </c>
    </row>
    <row r="29994" spans="1:6" x14ac:dyDescent="0.25">
      <c r="A29994" s="1" t="str">
        <f t="shared" si="1077"/>
        <v>40140</v>
      </c>
      <c r="B29994" s="1" t="str">
        <f>"92882"</f>
        <v>92882</v>
      </c>
      <c r="C29994" s="2">
        <v>1.2603718593380501E-2</v>
      </c>
      <c r="D29994" s="2">
        <v>9.4571415326132301E-3</v>
      </c>
      <c r="E29994" s="2">
        <v>1.6631875113450701E-2</v>
      </c>
      <c r="F29994" s="2">
        <v>1.2541551461679399E-2</v>
      </c>
    </row>
    <row r="29995" spans="1:6" x14ac:dyDescent="0.25">
      <c r="A29995" s="1" t="str">
        <f t="shared" si="1077"/>
        <v>40140</v>
      </c>
      <c r="B29995" s="1" t="str">
        <f>"92879"</f>
        <v>92879</v>
      </c>
      <c r="C29995" s="2">
        <v>8.5450942826464198E-3</v>
      </c>
      <c r="D29995" s="2">
        <v>1.1993615767200601E-2</v>
      </c>
      <c r="E29995" s="2">
        <v>1.4238064984570699E-2</v>
      </c>
      <c r="F29995" s="2">
        <v>9.07452856565907E-3</v>
      </c>
    </row>
    <row r="29996" spans="1:6" x14ac:dyDescent="0.25">
      <c r="A29996" s="1" t="str">
        <f t="shared" si="1077"/>
        <v>40140</v>
      </c>
      <c r="B29996" s="1" t="str">
        <f>"92543"</f>
        <v>92543</v>
      </c>
      <c r="C29996" s="2">
        <v>9.3700563586197605E-3</v>
      </c>
      <c r="D29996" s="2">
        <v>1.0106161049557199E-2</v>
      </c>
      <c r="E29996" s="2">
        <v>1.1617353421673599E-2</v>
      </c>
      <c r="F29996" s="2">
        <v>9.5301707622686797E-3</v>
      </c>
    </row>
    <row r="29997" spans="1:6" x14ac:dyDescent="0.25">
      <c r="A29997" s="1" t="str">
        <f t="shared" si="1077"/>
        <v>40140</v>
      </c>
      <c r="B29997" s="1" t="str">
        <f>"92544"</f>
        <v>92544</v>
      </c>
      <c r="C29997" s="2">
        <v>1.0346891825370399E-2</v>
      </c>
      <c r="D29997" s="2">
        <v>4.4371742484950001E-3</v>
      </c>
      <c r="E29997" s="2">
        <v>6.4099655109820198E-3</v>
      </c>
      <c r="F29997" s="2">
        <v>9.7051787877846397E-3</v>
      </c>
    </row>
    <row r="29998" spans="1:6" x14ac:dyDescent="0.25">
      <c r="A29998" s="1" t="str">
        <f t="shared" si="1077"/>
        <v>40140</v>
      </c>
      <c r="B29998" s="1" t="str">
        <f>"92507"</f>
        <v>92507</v>
      </c>
      <c r="C29998" s="2">
        <v>1.2642130151359199E-2</v>
      </c>
      <c r="D29998" s="2">
        <v>2.04043788949449E-2</v>
      </c>
      <c r="E29998" s="2">
        <v>3.7903884552550303E-2</v>
      </c>
      <c r="F29998" s="2">
        <v>1.44019178394275E-2</v>
      </c>
    </row>
    <row r="29999" spans="1:6" x14ac:dyDescent="0.25">
      <c r="A29999" s="1" t="str">
        <f t="shared" si="1077"/>
        <v>40140</v>
      </c>
      <c r="B29999" s="1" t="str">
        <f>"92345"</f>
        <v>92345</v>
      </c>
      <c r="C29999" s="2">
        <v>1.6065486387830199E-2</v>
      </c>
      <c r="D29999" s="2">
        <v>1.6391054126903101E-2</v>
      </c>
      <c r="E29999" s="2">
        <v>1.3977128335451E-2</v>
      </c>
      <c r="F29999" s="2">
        <v>1.59956299771143E-2</v>
      </c>
    </row>
    <row r="30000" spans="1:6" x14ac:dyDescent="0.25">
      <c r="A30000" s="1" t="str">
        <f t="shared" si="1077"/>
        <v>40140</v>
      </c>
      <c r="B30000" s="1" t="str">
        <f>"92582"</f>
        <v>92582</v>
      </c>
      <c r="C30000" s="2">
        <v>3.4109463485086501E-3</v>
      </c>
      <c r="D30000" s="2">
        <v>1.5496996629072099E-3</v>
      </c>
      <c r="E30000" s="2">
        <v>4.9918315483753802E-4</v>
      </c>
      <c r="F30000" s="2">
        <v>3.1325401016910502E-3</v>
      </c>
    </row>
    <row r="30001" spans="1:6" x14ac:dyDescent="0.25">
      <c r="A30001" s="1" t="str">
        <f t="shared" si="1077"/>
        <v>40140</v>
      </c>
      <c r="B30001" s="1" t="str">
        <f>"92586"</f>
        <v>92586</v>
      </c>
      <c r="C30001" s="2">
        <v>7.4742982356093999E-3</v>
      </c>
      <c r="D30001" s="2">
        <v>4.56962721113664E-3</v>
      </c>
      <c r="E30001" s="2">
        <v>1.6904156834271101E-3</v>
      </c>
      <c r="F30001" s="2">
        <v>6.9832344382656604E-3</v>
      </c>
    </row>
    <row r="30002" spans="1:6" x14ac:dyDescent="0.25">
      <c r="A30002" s="1" t="str">
        <f t="shared" si="1077"/>
        <v>40140</v>
      </c>
      <c r="B30002" s="1" t="str">
        <f>"92505"</f>
        <v>92505</v>
      </c>
      <c r="C30002" s="2">
        <v>9.0154881311240494E-3</v>
      </c>
      <c r="D30002" s="2">
        <v>6.6027801876858399E-3</v>
      </c>
      <c r="E30002" s="2">
        <v>9.0533672172808093E-3</v>
      </c>
      <c r="F30002" s="2">
        <v>8.8285853345345701E-3</v>
      </c>
    </row>
    <row r="30003" spans="1:6" x14ac:dyDescent="0.25">
      <c r="A30003" s="1" t="str">
        <f t="shared" si="1077"/>
        <v>40140</v>
      </c>
      <c r="B30003" s="1" t="str">
        <f>"92358"</f>
        <v>92358</v>
      </c>
      <c r="C30003" s="2">
        <v>1.7905695488532901E-4</v>
      </c>
      <c r="D30003" s="2">
        <v>5.2981185056656698E-5</v>
      </c>
      <c r="E30003" s="2">
        <v>4.5380286803412497E-5</v>
      </c>
      <c r="F30003" s="2">
        <v>1.63099195377302E-4</v>
      </c>
    </row>
    <row r="30004" spans="1:6" x14ac:dyDescent="0.25">
      <c r="A30004" s="1" t="str">
        <f t="shared" si="1077"/>
        <v>40140</v>
      </c>
      <c r="B30004" s="1" t="str">
        <f>"91752"</f>
        <v>91752</v>
      </c>
      <c r="C30004" s="2">
        <v>7.4358866776306999E-3</v>
      </c>
      <c r="D30004" s="2">
        <v>6.33787426240256E-3</v>
      </c>
      <c r="E30004" s="2">
        <v>8.0209656925031708E-3</v>
      </c>
      <c r="F30004" s="2">
        <v>7.3767436080648596E-3</v>
      </c>
    </row>
    <row r="30005" spans="1:6" x14ac:dyDescent="0.25">
      <c r="A30005" s="1" t="str">
        <f t="shared" si="1077"/>
        <v>40140</v>
      </c>
      <c r="B30005" s="1" t="str">
        <f>"91762"</f>
        <v>91762</v>
      </c>
      <c r="C30005" s="2">
        <v>1.24441628910074E-2</v>
      </c>
      <c r="D30005" s="2">
        <v>1.43711464466181E-2</v>
      </c>
      <c r="E30005" s="2">
        <v>1.9740424759484398E-2</v>
      </c>
      <c r="F30005" s="2">
        <v>1.2927811778350701E-2</v>
      </c>
    </row>
    <row r="30006" spans="1:6" x14ac:dyDescent="0.25">
      <c r="A30006" s="1" t="str">
        <f t="shared" si="1077"/>
        <v>40140</v>
      </c>
      <c r="B30006" s="1" t="str">
        <f>"91764"</f>
        <v>91764</v>
      </c>
      <c r="C30006" s="2">
        <v>1.0021870950166E-2</v>
      </c>
      <c r="D30006" s="2">
        <v>1.15234077498228E-2</v>
      </c>
      <c r="E30006" s="2">
        <v>2.0784171355962899E-2</v>
      </c>
      <c r="F30006" s="2">
        <v>1.06304431120362E-2</v>
      </c>
    </row>
    <row r="30007" spans="1:6" x14ac:dyDescent="0.25">
      <c r="A30007" s="1" t="str">
        <f t="shared" si="1077"/>
        <v>40140</v>
      </c>
      <c r="B30007" s="1" t="str">
        <f>"92595"</f>
        <v>92595</v>
      </c>
      <c r="C30007" s="2">
        <v>7.2444198347830198E-3</v>
      </c>
      <c r="D30007" s="2">
        <v>4.8477784326840896E-3</v>
      </c>
      <c r="E30007" s="2">
        <v>2.0307678344527098E-3</v>
      </c>
      <c r="F30007" s="2">
        <v>6.8190996924415099E-3</v>
      </c>
    </row>
    <row r="30008" spans="1:6" x14ac:dyDescent="0.25">
      <c r="A30008" s="1" t="str">
        <f t="shared" si="1077"/>
        <v>40140</v>
      </c>
      <c r="B30008" s="1" t="str">
        <f>"91708"</f>
        <v>91708</v>
      </c>
      <c r="C30008" s="2">
        <v>3.8393829567326299E-3</v>
      </c>
      <c r="D30008" s="2">
        <v>4.6689669331178704E-3</v>
      </c>
      <c r="E30008" s="2">
        <v>3.0631693592303498E-4</v>
      </c>
      <c r="F30008" s="2">
        <v>3.7429970901032401E-3</v>
      </c>
    </row>
    <row r="30009" spans="1:6" x14ac:dyDescent="0.25">
      <c r="A30009" s="1" t="str">
        <f t="shared" si="1077"/>
        <v>40140</v>
      </c>
      <c r="B30009" s="1" t="str">
        <f>"92549"</f>
        <v>92549</v>
      </c>
      <c r="C30009" s="2">
        <v>6.5004175040878699E-6</v>
      </c>
      <c r="D30009" s="2">
        <v>6.6226481320820898E-6</v>
      </c>
      <c r="E30009" s="2">
        <v>0</v>
      </c>
      <c r="F30009" s="2">
        <v>6.2133026810401004E-6</v>
      </c>
    </row>
    <row r="30010" spans="1:6" x14ac:dyDescent="0.25">
      <c r="A30010" s="1" t="str">
        <f t="shared" si="1077"/>
        <v>40140</v>
      </c>
      <c r="B30010" s="1" t="str">
        <f>"92391"</f>
        <v>92391</v>
      </c>
      <c r="C30010" s="2">
        <v>2.27514612643075E-4</v>
      </c>
      <c r="D30010" s="2">
        <v>4.6358536924574597E-5</v>
      </c>
      <c r="E30010" s="2">
        <v>6.8070430205118806E-5</v>
      </c>
      <c r="F30010" s="2">
        <v>2.0607453892116301E-4</v>
      </c>
    </row>
    <row r="30011" spans="1:6" x14ac:dyDescent="0.25">
      <c r="A30011" s="1" t="str">
        <f t="shared" si="1077"/>
        <v>40140</v>
      </c>
      <c r="B30011" s="1" t="str">
        <f>"92239"</f>
        <v>92239</v>
      </c>
      <c r="C30011" s="2">
        <v>5.2003340032703E-5</v>
      </c>
      <c r="D30011" s="2">
        <v>1.32452962641641E-5</v>
      </c>
      <c r="E30011" s="2">
        <v>0</v>
      </c>
      <c r="F30011" s="2">
        <v>4.6599770107800798E-5</v>
      </c>
    </row>
    <row r="30012" spans="1:6" x14ac:dyDescent="0.25">
      <c r="A30012" s="1" t="str">
        <f t="shared" si="1077"/>
        <v>40140</v>
      </c>
      <c r="B30012" s="1" t="str">
        <f>"92305"</f>
        <v>92305</v>
      </c>
      <c r="C30012" s="2">
        <v>1.2468982666932101E-4</v>
      </c>
      <c r="D30012" s="2">
        <v>1.52320907037888E-4</v>
      </c>
      <c r="E30012" s="2">
        <v>3.4035215102559403E-5</v>
      </c>
      <c r="F30012" s="2">
        <v>1.22712727950542E-4</v>
      </c>
    </row>
    <row r="30013" spans="1:6" x14ac:dyDescent="0.25">
      <c r="A30013" s="1" t="str">
        <f t="shared" si="1077"/>
        <v>40140</v>
      </c>
      <c r="B30013" s="1" t="str">
        <f>"92304"</f>
        <v>92304</v>
      </c>
      <c r="C30013" s="2">
        <v>0</v>
      </c>
      <c r="D30013" s="2">
        <v>1.32452962641641E-5</v>
      </c>
      <c r="E30013" s="2">
        <v>1.1345071700853101E-5</v>
      </c>
      <c r="F30013" s="2">
        <v>1.55332567026002E-6</v>
      </c>
    </row>
    <row r="30014" spans="1:6" x14ac:dyDescent="0.25">
      <c r="A30014" s="1" t="str">
        <f t="shared" si="1077"/>
        <v>40140</v>
      </c>
      <c r="B30014" s="1" t="str">
        <f>"92301"</f>
        <v>92301</v>
      </c>
      <c r="C30014" s="2">
        <v>7.9417373488579E-3</v>
      </c>
      <c r="D30014" s="2">
        <v>4.3113439339854398E-3</v>
      </c>
      <c r="E30014" s="2">
        <v>6.7503176620076202E-3</v>
      </c>
      <c r="F30014" s="2">
        <v>7.6035291559228297E-3</v>
      </c>
    </row>
    <row r="30015" spans="1:6" x14ac:dyDescent="0.25">
      <c r="A30015" s="1" t="str">
        <f t="shared" si="1077"/>
        <v>40140</v>
      </c>
      <c r="B30015" s="1" t="str">
        <f>"92307"</f>
        <v>92307</v>
      </c>
      <c r="C30015" s="2">
        <v>1.0083920389977701E-2</v>
      </c>
      <c r="D30015" s="2">
        <v>9.8213871798777403E-3</v>
      </c>
      <c r="E30015" s="2">
        <v>1.83109457251769E-2</v>
      </c>
      <c r="F30015" s="2">
        <v>1.04388662793707E-2</v>
      </c>
    </row>
    <row r="30016" spans="1:6" x14ac:dyDescent="0.25">
      <c r="A30016" s="1" t="str">
        <f t="shared" si="1077"/>
        <v>40140</v>
      </c>
      <c r="B30016" s="1" t="str">
        <f>"92325"</f>
        <v>92325</v>
      </c>
      <c r="C30016" s="2">
        <v>3.97234604204351E-3</v>
      </c>
      <c r="D30016" s="2">
        <v>1.9603038470962899E-3</v>
      </c>
      <c r="E30016" s="2">
        <v>5.7859865674350999E-4</v>
      </c>
      <c r="F30016" s="2">
        <v>3.6601530543560398E-3</v>
      </c>
    </row>
    <row r="30017" spans="1:6" x14ac:dyDescent="0.25">
      <c r="A30017" s="1" t="str">
        <f t="shared" si="1077"/>
        <v>40140</v>
      </c>
      <c r="B30017" s="1" t="str">
        <f>"92336"</f>
        <v>92336</v>
      </c>
      <c r="C30017" s="2">
        <v>1.64561023851213E-2</v>
      </c>
      <c r="D30017" s="2">
        <v>4.4504195447591603E-3</v>
      </c>
      <c r="E30017" s="2">
        <v>5.4229442730078002E-3</v>
      </c>
      <c r="F30017" s="2">
        <v>1.50139281535099E-2</v>
      </c>
    </row>
    <row r="30018" spans="1:6" x14ac:dyDescent="0.25">
      <c r="A30018" s="1" t="str">
        <f t="shared" si="1077"/>
        <v>40140</v>
      </c>
      <c r="B30018" s="1" t="str">
        <f>"92225"</f>
        <v>92225</v>
      </c>
      <c r="C30018" s="2">
        <v>5.4148477809052003E-3</v>
      </c>
      <c r="D30018" s="2">
        <v>4.9338728584011598E-3</v>
      </c>
      <c r="E30018" s="2">
        <v>3.41486658195679E-3</v>
      </c>
      <c r="F30018" s="2">
        <v>5.2859672558948703E-3</v>
      </c>
    </row>
    <row r="30019" spans="1:6" x14ac:dyDescent="0.25">
      <c r="A30019" s="1" t="str">
        <f t="shared" si="1077"/>
        <v>40140</v>
      </c>
      <c r="B30019" s="1" t="str">
        <f>"92408"</f>
        <v>92408</v>
      </c>
      <c r="C30019" s="2">
        <v>2.55939165547314E-3</v>
      </c>
      <c r="D30019" s="2">
        <v>1.9887812340642502E-2</v>
      </c>
      <c r="E30019" s="2">
        <v>1.19917407878017E-2</v>
      </c>
      <c r="F30019" s="2">
        <v>4.34465189971729E-3</v>
      </c>
    </row>
    <row r="30020" spans="1:6" x14ac:dyDescent="0.25">
      <c r="A30020" s="1" t="str">
        <f t="shared" si="1077"/>
        <v>40140</v>
      </c>
      <c r="B30020" s="1" t="str">
        <f>"92394"</f>
        <v>92394</v>
      </c>
      <c r="C30020" s="2">
        <v>6.1943069343499101E-3</v>
      </c>
      <c r="D30020" s="2">
        <v>2.4305118644741201E-3</v>
      </c>
      <c r="E30020" s="2">
        <v>3.0972045743328999E-3</v>
      </c>
      <c r="F30020" s="2">
        <v>5.75869603487733E-3</v>
      </c>
    </row>
    <row r="30021" spans="1:6" x14ac:dyDescent="0.25">
      <c r="A30021" s="1" t="str">
        <f t="shared" si="1077"/>
        <v>40140</v>
      </c>
      <c r="B30021" s="1" t="str">
        <f>"92402"</f>
        <v>92402</v>
      </c>
      <c r="C30021" s="2">
        <v>7.9482377663619899E-4</v>
      </c>
      <c r="D30021" s="2">
        <v>1.3973787558693199E-3</v>
      </c>
      <c r="E30021" s="2">
        <v>2.2690143401706201E-5</v>
      </c>
      <c r="F30021" s="2">
        <v>8.0669379808837299E-4</v>
      </c>
    </row>
    <row r="30022" spans="1:6" x14ac:dyDescent="0.25">
      <c r="A30022" s="1" t="str">
        <f t="shared" si="1077"/>
        <v>40140</v>
      </c>
      <c r="B30022" s="1" t="str">
        <f>"92551"</f>
        <v>92551</v>
      </c>
      <c r="C30022" s="2">
        <v>5.2044706325910803E-3</v>
      </c>
      <c r="D30022" s="2">
        <v>1.25830314509559E-3</v>
      </c>
      <c r="E30022" s="2">
        <v>8.3953530586313302E-3</v>
      </c>
      <c r="F30022" s="2">
        <v>5.0415773504406203E-3</v>
      </c>
    </row>
    <row r="30023" spans="1:6" x14ac:dyDescent="0.25">
      <c r="A30023" s="1" t="str">
        <f t="shared" si="1077"/>
        <v>40140</v>
      </c>
      <c r="B30023" s="1" t="str">
        <f>"92567"</f>
        <v>92567</v>
      </c>
      <c r="C30023" s="2">
        <v>1.6085578587388301E-3</v>
      </c>
      <c r="D30023" s="2">
        <v>4.96698609906157E-4</v>
      </c>
      <c r="E30023" s="2">
        <v>1.0210564530767801E-4</v>
      </c>
      <c r="F30023" s="2">
        <v>1.45287727691654E-3</v>
      </c>
    </row>
    <row r="30024" spans="1:6" x14ac:dyDescent="0.25">
      <c r="A30024" s="1" t="str">
        <f t="shared" si="1077"/>
        <v>40140</v>
      </c>
      <c r="B30024" s="1" t="str">
        <f>"92571"</f>
        <v>92571</v>
      </c>
      <c r="C30024" s="2">
        <v>8.6148260340539098E-3</v>
      </c>
      <c r="D30024" s="2">
        <v>5.2252693762127704E-3</v>
      </c>
      <c r="E30024" s="2">
        <v>2.8816482120166899E-3</v>
      </c>
      <c r="F30024" s="2">
        <v>8.0881667650439509E-3</v>
      </c>
    </row>
    <row r="30025" spans="1:6" x14ac:dyDescent="0.25">
      <c r="A30025" s="1" t="str">
        <f t="shared" si="1077"/>
        <v>40140</v>
      </c>
      <c r="B30025" s="1" t="str">
        <f>"92532"</f>
        <v>92532</v>
      </c>
      <c r="C30025" s="2">
        <v>4.6519351447436097E-3</v>
      </c>
      <c r="D30025" s="2">
        <v>2.0530209209454402E-3</v>
      </c>
      <c r="E30025" s="2">
        <v>2.0534579778544201E-3</v>
      </c>
      <c r="F30025" s="2">
        <v>4.3301541934615299E-3</v>
      </c>
    </row>
    <row r="30026" spans="1:6" x14ac:dyDescent="0.25">
      <c r="A30026" s="1" t="str">
        <f t="shared" si="1077"/>
        <v>40140</v>
      </c>
      <c r="B30026" s="1" t="str">
        <f>"92359"</f>
        <v>92359</v>
      </c>
      <c r="C30026" s="2">
        <v>2.1415920940740401E-3</v>
      </c>
      <c r="D30026" s="2">
        <v>1.86758677324715E-3</v>
      </c>
      <c r="E30026" s="2">
        <v>1.3500635324015201E-3</v>
      </c>
      <c r="F30026" s="2">
        <v>2.0840452742655301E-3</v>
      </c>
    </row>
    <row r="30027" spans="1:6" x14ac:dyDescent="0.25">
      <c r="A30027" s="1" t="str">
        <f t="shared" si="1077"/>
        <v>40140</v>
      </c>
      <c r="B30027" s="1" t="str">
        <f>"92365"</f>
        <v>92365</v>
      </c>
      <c r="C30027" s="2">
        <v>6.5890595609617998E-4</v>
      </c>
      <c r="D30027" s="2">
        <v>2.8477386967952999E-4</v>
      </c>
      <c r="E30027" s="2">
        <v>3.85732437829007E-4</v>
      </c>
      <c r="F30027" s="2">
        <v>6.1718806631665005E-4</v>
      </c>
    </row>
    <row r="30028" spans="1:6" x14ac:dyDescent="0.25">
      <c r="A30028" s="1" t="str">
        <f t="shared" si="1077"/>
        <v>40140</v>
      </c>
      <c r="B30028" s="1" t="str">
        <f>"92392"</f>
        <v>92392</v>
      </c>
      <c r="C30028" s="2">
        <v>1.1528194969976899E-2</v>
      </c>
      <c r="D30028" s="2">
        <v>7.4504791485923497E-3</v>
      </c>
      <c r="E30028" s="2">
        <v>1.0959339263024099E-2</v>
      </c>
      <c r="F30028" s="2">
        <v>1.11834270506487E-2</v>
      </c>
    </row>
    <row r="30029" spans="1:6" x14ac:dyDescent="0.25">
      <c r="A30029" s="1" t="str">
        <f t="shared" si="1077"/>
        <v>40140</v>
      </c>
      <c r="B30029" s="1" t="str">
        <f>"92405"</f>
        <v>92405</v>
      </c>
      <c r="C30029" s="2">
        <v>5.66245459310636E-3</v>
      </c>
      <c r="D30029" s="2">
        <v>4.9934766915898897E-3</v>
      </c>
      <c r="E30029" s="2">
        <v>8.67897985115265E-3</v>
      </c>
      <c r="F30029" s="2">
        <v>5.7478227551855101E-3</v>
      </c>
    </row>
    <row r="30030" spans="1:6" x14ac:dyDescent="0.25">
      <c r="A30030" s="1" t="str">
        <f t="shared" si="1077"/>
        <v>40140</v>
      </c>
      <c r="B30030" s="1" t="str">
        <f>"92413"</f>
        <v>92413</v>
      </c>
      <c r="C30030" s="2">
        <v>8.2791681120246397E-4</v>
      </c>
      <c r="D30030" s="2">
        <v>9.7352927541606701E-4</v>
      </c>
      <c r="E30030" s="2">
        <v>2.2690143401706201E-5</v>
      </c>
      <c r="F30030" s="2">
        <v>8.02551596301013E-4</v>
      </c>
    </row>
    <row r="30031" spans="1:6" x14ac:dyDescent="0.25">
      <c r="A30031" s="1" t="str">
        <f t="shared" si="1077"/>
        <v>40140</v>
      </c>
      <c r="B30031" s="1" t="str">
        <f>"92363"</f>
        <v>92363</v>
      </c>
      <c r="C30031" s="2">
        <v>1.8738930823147799E-3</v>
      </c>
      <c r="D30031" s="2">
        <v>2.0662662172096099E-3</v>
      </c>
      <c r="E30031" s="2">
        <v>1.3500635324015201E-3</v>
      </c>
      <c r="F30031" s="2">
        <v>1.8650263547588699E-3</v>
      </c>
    </row>
    <row r="30032" spans="1:6" x14ac:dyDescent="0.25">
      <c r="A30032" s="1" t="str">
        <f t="shared" si="1077"/>
        <v>40140</v>
      </c>
      <c r="B30032" s="1" t="str">
        <f>"92423"</f>
        <v>92423</v>
      </c>
      <c r="C30032" s="2">
        <v>8.3619006984403095E-4</v>
      </c>
      <c r="D30032" s="2">
        <v>1.94043590270005E-3</v>
      </c>
      <c r="E30032" s="2">
        <v>2.2690143401706201E-5</v>
      </c>
      <c r="F30032" s="2">
        <v>8.8539563204821496E-4</v>
      </c>
    </row>
    <row r="30033" spans="1:6" x14ac:dyDescent="0.25">
      <c r="A30033" s="1" t="str">
        <f t="shared" si="1077"/>
        <v>40140</v>
      </c>
      <c r="B30033" s="1" t="str">
        <f>"91737"</f>
        <v>91737</v>
      </c>
      <c r="C30033" s="2">
        <v>5.0650071297761003E-3</v>
      </c>
      <c r="D30033" s="2">
        <v>8.5432160903858997E-4</v>
      </c>
      <c r="E30033" s="2">
        <v>8.05500090760573E-4</v>
      </c>
      <c r="F30033" s="2">
        <v>4.5414064846168896E-3</v>
      </c>
    </row>
    <row r="30034" spans="1:6" x14ac:dyDescent="0.25">
      <c r="A30034" s="1" t="str">
        <f t="shared" si="1077"/>
        <v>40140</v>
      </c>
      <c r="B30034" s="1" t="str">
        <f>"92593"</f>
        <v>92593</v>
      </c>
      <c r="C30034" s="2">
        <v>8.7992015123516704E-4</v>
      </c>
      <c r="D30034" s="2">
        <v>3.7815320834188701E-3</v>
      </c>
      <c r="E30034" s="2">
        <v>2.2690143401706201E-5</v>
      </c>
      <c r="F30034" s="2">
        <v>1.0676525106920499E-3</v>
      </c>
    </row>
    <row r="30035" spans="1:6" x14ac:dyDescent="0.25">
      <c r="A30035" s="1" t="str">
        <f t="shared" si="1077"/>
        <v>40140</v>
      </c>
      <c r="B30035" s="1" t="str">
        <f>"92264"</f>
        <v>92264</v>
      </c>
      <c r="C30035" s="2">
        <v>1.04934466927353E-2</v>
      </c>
      <c r="D30035" s="2">
        <v>9.1061411816128705E-3</v>
      </c>
      <c r="E30035" s="2">
        <v>2.0750136140860399E-2</v>
      </c>
      <c r="F30035" s="2">
        <v>1.08530864581068E-2</v>
      </c>
    </row>
    <row r="30036" spans="1:6" x14ac:dyDescent="0.25">
      <c r="A30036" s="1" t="str">
        <f t="shared" si="1077"/>
        <v>40140</v>
      </c>
      <c r="B30036" s="1" t="str">
        <f>"92270"</f>
        <v>92270</v>
      </c>
      <c r="C30036" s="2">
        <v>1.0158379717751799E-2</v>
      </c>
      <c r="D30036" s="2">
        <v>1.00333119201043E-2</v>
      </c>
      <c r="E30036" s="2">
        <v>7.9415501905971998E-3</v>
      </c>
      <c r="F30036" s="2">
        <v>1.00474282104652E-2</v>
      </c>
    </row>
    <row r="30037" spans="1:6" x14ac:dyDescent="0.25">
      <c r="A30037" s="1" t="str">
        <f t="shared" si="1077"/>
        <v>40140</v>
      </c>
      <c r="B30037" s="1" t="str">
        <f>"92255"</f>
        <v>92255</v>
      </c>
      <c r="C30037" s="2">
        <v>1.8626650884440801E-3</v>
      </c>
      <c r="D30037" s="2">
        <v>3.5364941025318301E-3</v>
      </c>
      <c r="E30037" s="2">
        <v>2.2690143401706201E-5</v>
      </c>
      <c r="F30037" s="2">
        <v>1.9095550239729901E-3</v>
      </c>
    </row>
    <row r="30038" spans="1:6" x14ac:dyDescent="0.25">
      <c r="A30038" s="1" t="str">
        <f t="shared" si="1077"/>
        <v>40140</v>
      </c>
      <c r="B30038" s="1" t="str">
        <f>"92223"</f>
        <v>92223</v>
      </c>
      <c r="C30038" s="2">
        <v>1.3581735954222801E-2</v>
      </c>
      <c r="D30038" s="2">
        <v>7.0994787975919996E-3</v>
      </c>
      <c r="E30038" s="2">
        <v>6.6368669449990902E-3</v>
      </c>
      <c r="F30038" s="2">
        <v>1.2757981505069E-2</v>
      </c>
    </row>
    <row r="30039" spans="1:6" x14ac:dyDescent="0.25">
      <c r="A30039" s="1" t="str">
        <f t="shared" si="1077"/>
        <v>40140</v>
      </c>
      <c r="B30039" s="1" t="str">
        <f>"92220"</f>
        <v>92220</v>
      </c>
      <c r="C30039" s="2">
        <v>8.2372108717709905E-3</v>
      </c>
      <c r="D30039" s="2">
        <v>6.5696669470254303E-3</v>
      </c>
      <c r="E30039" s="2">
        <v>5.7746414957342502E-3</v>
      </c>
      <c r="F30039" s="2">
        <v>7.9944494496049304E-3</v>
      </c>
    </row>
    <row r="30040" spans="1:6" x14ac:dyDescent="0.25">
      <c r="A30040" s="1" t="str">
        <f t="shared" si="1077"/>
        <v>40140</v>
      </c>
      <c r="B30040" s="1" t="str">
        <f>"92247"</f>
        <v>92247</v>
      </c>
      <c r="C30040" s="2">
        <v>8.2732586415663802E-4</v>
      </c>
      <c r="D30040" s="2">
        <v>1.55632231103929E-3</v>
      </c>
      <c r="E30040" s="2">
        <v>2.2690143401706201E-5</v>
      </c>
      <c r="F30040" s="2">
        <v>8.4759804073855399E-4</v>
      </c>
    </row>
    <row r="30041" spans="1:6" x14ac:dyDescent="0.25">
      <c r="A30041" s="1" t="str">
        <f t="shared" si="1077"/>
        <v>40140</v>
      </c>
      <c r="B30041" s="1" t="str">
        <f>"92860"</f>
        <v>92860</v>
      </c>
      <c r="C30041" s="2">
        <v>5.5046717318707698E-3</v>
      </c>
      <c r="D30041" s="2">
        <v>1.02584819565951E-2</v>
      </c>
      <c r="E30041" s="2">
        <v>2.18959883826465E-3</v>
      </c>
      <c r="F30041" s="2">
        <v>5.7250406453550296E-3</v>
      </c>
    </row>
    <row r="30042" spans="1:6" x14ac:dyDescent="0.25">
      <c r="A30042" s="1" t="str">
        <f t="shared" si="1077"/>
        <v>40140</v>
      </c>
      <c r="B30042" s="1" t="str">
        <f>"92357"</f>
        <v>92357</v>
      </c>
      <c r="C30042" s="2">
        <v>0</v>
      </c>
      <c r="D30042" s="2">
        <v>6.6226481320820898E-6</v>
      </c>
      <c r="E30042" s="2">
        <v>1.1345071700853101E-5</v>
      </c>
      <c r="F30042" s="2">
        <v>1.0355504468400101E-6</v>
      </c>
    </row>
    <row r="30043" spans="1:6" x14ac:dyDescent="0.25">
      <c r="A30043" s="1" t="str">
        <f t="shared" si="1077"/>
        <v>40140</v>
      </c>
      <c r="B30043" s="1" t="str">
        <f>"92262"</f>
        <v>92262</v>
      </c>
      <c r="C30043" s="2">
        <v>1.20523649996247E-2</v>
      </c>
      <c r="D30043" s="2">
        <v>1.8894415120830201E-2</v>
      </c>
      <c r="E30043" s="2">
        <v>1.7607551279724E-2</v>
      </c>
      <c r="F30043" s="2">
        <v>1.2840825540816199E-2</v>
      </c>
    </row>
    <row r="30044" spans="1:6" x14ac:dyDescent="0.25">
      <c r="A30044" s="1" t="str">
        <f t="shared" si="1077"/>
        <v>40140</v>
      </c>
      <c r="B30044" s="1" t="str">
        <f>"92285"</f>
        <v>92285</v>
      </c>
      <c r="C30044" s="2">
        <v>1.3373131647046201E-3</v>
      </c>
      <c r="D30044" s="2">
        <v>2.3179268462287299E-4</v>
      </c>
      <c r="E30044" s="2">
        <v>4.6514793973497903E-4</v>
      </c>
      <c r="F30044" s="2">
        <v>1.2110762475794001E-3</v>
      </c>
    </row>
    <row r="30045" spans="1:6" x14ac:dyDescent="0.25">
      <c r="A30045" s="1" t="str">
        <f t="shared" si="1077"/>
        <v>40140</v>
      </c>
      <c r="B30045" s="1" t="str">
        <f>"92254"</f>
        <v>92254</v>
      </c>
      <c r="C30045" s="2">
        <v>1.19844060893547E-3</v>
      </c>
      <c r="D30045" s="2">
        <v>1.9205679583038E-4</v>
      </c>
      <c r="E30045" s="2">
        <v>5.1052822653839102E-4</v>
      </c>
      <c r="F30045" s="2">
        <v>1.0883635196288499E-3</v>
      </c>
    </row>
    <row r="30046" spans="1:6" x14ac:dyDescent="0.25">
      <c r="A30046" s="1" t="str">
        <f t="shared" si="1077"/>
        <v>40140</v>
      </c>
      <c r="B30046" s="1" t="str">
        <f>"92337"</f>
        <v>92337</v>
      </c>
      <c r="C30046" s="2">
        <v>5.7510966499802899E-3</v>
      </c>
      <c r="D30046" s="2">
        <v>6.4438366325158701E-3</v>
      </c>
      <c r="E30046" s="2">
        <v>2.4391904156834199E-3</v>
      </c>
      <c r="F30046" s="2">
        <v>5.6541054397464896E-3</v>
      </c>
    </row>
    <row r="30047" spans="1:6" x14ac:dyDescent="0.25">
      <c r="A30047" s="1" t="str">
        <f t="shared" si="1077"/>
        <v>40140</v>
      </c>
      <c r="B30047" s="1" t="str">
        <f>"92314"</f>
        <v>92314</v>
      </c>
      <c r="C30047" s="2">
        <v>3.5758205742941499E-3</v>
      </c>
      <c r="D30047" s="2">
        <v>1.7020205699450901E-3</v>
      </c>
      <c r="E30047" s="2">
        <v>2.6093664911962201E-4</v>
      </c>
      <c r="F30047" s="2">
        <v>3.27803493947207E-3</v>
      </c>
    </row>
    <row r="30048" spans="1:6" x14ac:dyDescent="0.25">
      <c r="A30048" s="1" t="str">
        <f t="shared" si="1077"/>
        <v>40140</v>
      </c>
      <c r="B30048" s="1" t="str">
        <f>"92286"</f>
        <v>92286</v>
      </c>
      <c r="C30048" s="2">
        <v>1.2711270955720901E-3</v>
      </c>
      <c r="D30048" s="2">
        <v>1.3708881633409901E-3</v>
      </c>
      <c r="E30048" s="2">
        <v>2.2690143401706201E-5</v>
      </c>
      <c r="F30048" s="2">
        <v>1.2219495272712199E-3</v>
      </c>
    </row>
    <row r="30049" spans="1:6" x14ac:dyDescent="0.25">
      <c r="A30049" s="1" t="str">
        <f t="shared" si="1077"/>
        <v>40140</v>
      </c>
      <c r="B30049" s="1" t="str">
        <f>"92203"</f>
        <v>92203</v>
      </c>
      <c r="C30049" s="2">
        <v>8.8878435692256001E-3</v>
      </c>
      <c r="D30049" s="2">
        <v>3.9868341755134196E-3</v>
      </c>
      <c r="E30049" s="2">
        <v>4.0275004538028597E-3</v>
      </c>
      <c r="F30049" s="2">
        <v>8.2828502490498793E-3</v>
      </c>
    </row>
    <row r="30050" spans="1:6" x14ac:dyDescent="0.25">
      <c r="A30050" s="1" t="str">
        <f t="shared" si="1077"/>
        <v>40140</v>
      </c>
      <c r="B30050" s="1" t="str">
        <f>"92211"</f>
        <v>92211</v>
      </c>
      <c r="C30050" s="2">
        <v>1.1884536038610101E-2</v>
      </c>
      <c r="D30050" s="2">
        <v>1.3450598356258701E-2</v>
      </c>
      <c r="E30050" s="2">
        <v>8.7697404247594792E-3</v>
      </c>
      <c r="F30050" s="2">
        <v>1.18648192446695E-2</v>
      </c>
    </row>
    <row r="30051" spans="1:6" x14ac:dyDescent="0.25">
      <c r="A30051" s="1" t="str">
        <f t="shared" si="1077"/>
        <v>40140</v>
      </c>
      <c r="B30051" s="1" t="str">
        <f>"92539"</f>
        <v>92539</v>
      </c>
      <c r="C30051" s="2">
        <v>7.9009620026958998E-4</v>
      </c>
      <c r="D30051" s="2">
        <v>1.3245296264164101E-4</v>
      </c>
      <c r="E30051" s="2">
        <v>1.0210564530767801E-4</v>
      </c>
      <c r="F30051" s="2">
        <v>7.0728095519173204E-4</v>
      </c>
    </row>
    <row r="30052" spans="1:6" x14ac:dyDescent="0.25">
      <c r="A30052" s="1" t="str">
        <f t="shared" si="1077"/>
        <v>40140</v>
      </c>
      <c r="B30052" s="1" t="str">
        <f>"92518"</f>
        <v>92518</v>
      </c>
      <c r="C30052" s="2">
        <v>6.2108534516330501E-4</v>
      </c>
      <c r="D30052" s="2">
        <v>4.3444571746458502E-3</v>
      </c>
      <c r="E30052" s="2">
        <v>2.8022327101107202E-3</v>
      </c>
      <c r="F30052" s="2">
        <v>1.01173278656269E-3</v>
      </c>
    </row>
    <row r="30053" spans="1:6" x14ac:dyDescent="0.25">
      <c r="A30053" s="1" t="str">
        <f t="shared" si="1077"/>
        <v>40140</v>
      </c>
      <c r="B30053" s="1" t="str">
        <f>"92372"</f>
        <v>92372</v>
      </c>
      <c r="C30053" s="2">
        <v>1.49568697298603E-3</v>
      </c>
      <c r="D30053" s="2">
        <v>2.2517003649079101E-4</v>
      </c>
      <c r="E30053" s="2">
        <v>5.1052822653839102E-4</v>
      </c>
      <c r="F30053" s="2">
        <v>1.35139333312622E-3</v>
      </c>
    </row>
    <row r="30054" spans="1:6" x14ac:dyDescent="0.25">
      <c r="A30054" s="1" t="str">
        <f t="shared" si="1077"/>
        <v>40140</v>
      </c>
      <c r="B30054" s="1" t="str">
        <f>"92356"</f>
        <v>92356</v>
      </c>
      <c r="C30054" s="2">
        <v>1.2977197126342701E-3</v>
      </c>
      <c r="D30054" s="2">
        <v>3.1788711033994003E-4</v>
      </c>
      <c r="E30054" s="2">
        <v>3.85732437829007E-4</v>
      </c>
      <c r="F30054" s="2">
        <v>1.1794919589507801E-3</v>
      </c>
    </row>
    <row r="30055" spans="1:6" x14ac:dyDescent="0.25">
      <c r="A30055" s="1" t="str">
        <f t="shared" si="1077"/>
        <v>40140</v>
      </c>
      <c r="B30055" s="1" t="str">
        <f>"92427"</f>
        <v>92427</v>
      </c>
      <c r="C30055" s="2">
        <v>7.5582127161167201E-4</v>
      </c>
      <c r="D30055" s="2">
        <v>1.1722087193785299E-3</v>
      </c>
      <c r="E30055" s="2">
        <v>2.2690143401706201E-5</v>
      </c>
      <c r="F30055" s="2">
        <v>7.5491627574637203E-4</v>
      </c>
    </row>
    <row r="30056" spans="1:6" x14ac:dyDescent="0.25">
      <c r="A30056" s="1" t="str">
        <f t="shared" si="1077"/>
        <v>40140</v>
      </c>
      <c r="B30056" s="1" t="str">
        <f>"92028"</f>
        <v>92028</v>
      </c>
      <c r="C30056" s="2">
        <v>5.3185234124355297E-6</v>
      </c>
      <c r="D30056" s="2">
        <v>0</v>
      </c>
      <c r="E30056" s="2">
        <v>0</v>
      </c>
      <c r="F30056" s="2">
        <v>4.6599770107800798E-6</v>
      </c>
    </row>
    <row r="30057" spans="1:6" x14ac:dyDescent="0.25">
      <c r="A30057" s="1" t="str">
        <f t="shared" ref="A30057:A30081" si="1078">"40140"</f>
        <v>40140</v>
      </c>
      <c r="B30057" s="1" t="str">
        <f>"92366"</f>
        <v>92366</v>
      </c>
      <c r="C30057" s="2">
        <v>5.9094704582617003E-6</v>
      </c>
      <c r="D30057" s="2">
        <v>4.6358536924574597E-5</v>
      </c>
      <c r="E30057" s="2">
        <v>1.1345071700853101E-5</v>
      </c>
      <c r="F30057" s="2">
        <v>9.3199540215601595E-6</v>
      </c>
    </row>
    <row r="30058" spans="1:6" x14ac:dyDescent="0.25">
      <c r="A30058" s="1" t="str">
        <f t="shared" si="1078"/>
        <v>40140</v>
      </c>
      <c r="B30058" s="1" t="str">
        <f>"93516"</f>
        <v>93516</v>
      </c>
      <c r="C30058" s="2">
        <v>7.6823115957402093E-6</v>
      </c>
      <c r="D30058" s="2">
        <v>1.5894355516997001E-4</v>
      </c>
      <c r="E30058" s="2">
        <v>1.1345071700853101E-5</v>
      </c>
      <c r="F30058" s="2">
        <v>1.9675458489960299E-5</v>
      </c>
    </row>
    <row r="30059" spans="1:6" x14ac:dyDescent="0.25">
      <c r="A30059" s="1" t="str">
        <f t="shared" si="1078"/>
        <v>40140</v>
      </c>
      <c r="B30059" s="1" t="str">
        <f>"92318"</f>
        <v>92318</v>
      </c>
      <c r="C30059" s="2">
        <v>4.0775346162005698E-5</v>
      </c>
      <c r="D30059" s="2">
        <v>2.6490592528328302E-5</v>
      </c>
      <c r="E30059" s="2">
        <v>0</v>
      </c>
      <c r="F30059" s="2">
        <v>3.7797591309660603E-5</v>
      </c>
    </row>
    <row r="30060" spans="1:6" x14ac:dyDescent="0.25">
      <c r="A30060" s="1" t="str">
        <f t="shared" si="1078"/>
        <v>40140</v>
      </c>
      <c r="B30060" s="1" t="str">
        <f>"92378"</f>
        <v>92378</v>
      </c>
      <c r="C30060" s="2">
        <v>3.9002505024527199E-5</v>
      </c>
      <c r="D30060" s="2">
        <v>7.2849129452902994E-5</v>
      </c>
      <c r="E30060" s="2">
        <v>0</v>
      </c>
      <c r="F30060" s="2">
        <v>3.9868692203340598E-5</v>
      </c>
    </row>
    <row r="30061" spans="1:6" x14ac:dyDescent="0.25">
      <c r="A30061" s="1" t="str">
        <f t="shared" si="1078"/>
        <v>40140</v>
      </c>
      <c r="B30061" s="1" t="str">
        <f>"92338"</f>
        <v>92338</v>
      </c>
      <c r="C30061" s="2">
        <v>2.0092199558089702E-5</v>
      </c>
      <c r="D30061" s="2">
        <v>1.32452962641641E-5</v>
      </c>
      <c r="E30061" s="2">
        <v>1.1345071700853101E-5</v>
      </c>
      <c r="F30061" s="2">
        <v>1.9157683266540301E-5</v>
      </c>
    </row>
    <row r="30062" spans="1:6" x14ac:dyDescent="0.25">
      <c r="A30062" s="1" t="str">
        <f t="shared" si="1078"/>
        <v>40140</v>
      </c>
      <c r="B30062" s="1" t="str">
        <f>"92375"</f>
        <v>92375</v>
      </c>
      <c r="C30062" s="2">
        <v>8.2614397006498602E-4</v>
      </c>
      <c r="D30062" s="2">
        <v>3.4835129174751798E-3</v>
      </c>
      <c r="E30062" s="2">
        <v>2.2690143401706201E-5</v>
      </c>
      <c r="F30062" s="2">
        <v>9.9723508030693706E-4</v>
      </c>
    </row>
    <row r="30063" spans="1:6" x14ac:dyDescent="0.25">
      <c r="A30063" s="1" t="str">
        <f t="shared" si="1078"/>
        <v>40140</v>
      </c>
      <c r="B30063" s="1" t="str">
        <f>"92333"</f>
        <v>92333</v>
      </c>
      <c r="C30063" s="2">
        <v>1.16416568027755E-4</v>
      </c>
      <c r="D30063" s="2">
        <v>1.9867944396246201E-5</v>
      </c>
      <c r="E30063" s="2">
        <v>3.4035215102559403E-5</v>
      </c>
      <c r="F30063" s="2">
        <v>1.05108370354261E-4</v>
      </c>
    </row>
    <row r="30064" spans="1:6" x14ac:dyDescent="0.25">
      <c r="A30064" s="1" t="str">
        <f t="shared" si="1078"/>
        <v>40140</v>
      </c>
      <c r="B30064" s="1" t="str">
        <f>"92347"</f>
        <v>92347</v>
      </c>
      <c r="C30064" s="2">
        <v>2.5647101788855802E-4</v>
      </c>
      <c r="D30064" s="2">
        <v>1.3245296264164101E-4</v>
      </c>
      <c r="E30064" s="2">
        <v>7.9415501905971995E-5</v>
      </c>
      <c r="F30064" s="2">
        <v>2.3869437799662401E-4</v>
      </c>
    </row>
    <row r="30065" spans="1:6" x14ac:dyDescent="0.25">
      <c r="A30065" s="1" t="str">
        <f t="shared" si="1078"/>
        <v>40140</v>
      </c>
      <c r="B30065" s="1" t="str">
        <f>"91709"</f>
        <v>91709</v>
      </c>
      <c r="C30065" s="2">
        <v>1.6517560877887201E-2</v>
      </c>
      <c r="D30065" s="2">
        <v>1.1993615767200601E-2</v>
      </c>
      <c r="E30065" s="2">
        <v>8.4066981303321797E-3</v>
      </c>
      <c r="F30065" s="2">
        <v>1.5793697639980502E-2</v>
      </c>
    </row>
    <row r="30066" spans="1:6" x14ac:dyDescent="0.25">
      <c r="A30066" s="1" t="str">
        <f t="shared" si="1078"/>
        <v>40140</v>
      </c>
      <c r="B30066" s="1" t="str">
        <f>"92346"</f>
        <v>92346</v>
      </c>
      <c r="C30066" s="2">
        <v>1.2258605518618E-2</v>
      </c>
      <c r="D30066" s="2">
        <v>6.8147049279124704E-3</v>
      </c>
      <c r="E30066" s="2">
        <v>4.9918315483753802E-3</v>
      </c>
      <c r="F30066" s="2">
        <v>1.15013410378286E-2</v>
      </c>
    </row>
    <row r="30067" spans="1:6" x14ac:dyDescent="0.25">
      <c r="A30067" s="1" t="str">
        <f t="shared" si="1078"/>
        <v>40140</v>
      </c>
      <c r="B30067" s="1" t="str">
        <f>"92503"</f>
        <v>92503</v>
      </c>
      <c r="C30067" s="2">
        <v>1.5594501592306799E-2</v>
      </c>
      <c r="D30067" s="2">
        <v>1.9828208507453701E-2</v>
      </c>
      <c r="E30067" s="2">
        <v>1.57696496641858E-2</v>
      </c>
      <c r="F30067" s="2">
        <v>1.59334969503039E-2</v>
      </c>
    </row>
    <row r="30068" spans="1:6" x14ac:dyDescent="0.25">
      <c r="A30068" s="1" t="str">
        <f t="shared" si="1078"/>
        <v>40140</v>
      </c>
      <c r="B30068" s="1" t="str">
        <f>"92352"</f>
        <v>92352</v>
      </c>
      <c r="C30068" s="2">
        <v>1.7515670438287599E-3</v>
      </c>
      <c r="D30068" s="2">
        <v>4.1259097862871401E-3</v>
      </c>
      <c r="E30068" s="2">
        <v>2.2690143401706201E-5</v>
      </c>
      <c r="F30068" s="2">
        <v>1.8582952768544101E-3</v>
      </c>
    </row>
    <row r="30069" spans="1:6" x14ac:dyDescent="0.25">
      <c r="A30069" s="1" t="str">
        <f t="shared" si="1078"/>
        <v>40140</v>
      </c>
      <c r="B30069" s="1" t="str">
        <f>"91729"</f>
        <v>91729</v>
      </c>
      <c r="C30069" s="2">
        <v>1.3946350281497601E-3</v>
      </c>
      <c r="D30069" s="2">
        <v>6.9007993536295397E-3</v>
      </c>
      <c r="E30069" s="2">
        <v>3.4035215102559403E-5</v>
      </c>
      <c r="F30069" s="2">
        <v>1.7630246357451299E-3</v>
      </c>
    </row>
    <row r="30070" spans="1:6" x14ac:dyDescent="0.25">
      <c r="A30070" s="1" t="str">
        <f t="shared" si="1078"/>
        <v>40140</v>
      </c>
      <c r="B30070" s="1" t="str">
        <f>"91786"</f>
        <v>91786</v>
      </c>
      <c r="C30070" s="2">
        <v>1.23425199991253E-2</v>
      </c>
      <c r="D30070" s="2">
        <v>2.5570044437968901E-2</v>
      </c>
      <c r="E30070" s="2">
        <v>3.1278362679252103E-2</v>
      </c>
      <c r="F30070" s="2">
        <v>1.42408897449439E-2</v>
      </c>
    </row>
    <row r="30071" spans="1:6" x14ac:dyDescent="0.25">
      <c r="A30071" s="1" t="str">
        <f t="shared" si="1078"/>
        <v>40140</v>
      </c>
      <c r="B30071" s="1" t="str">
        <f>"92260"</f>
        <v>92260</v>
      </c>
      <c r="C30071" s="2">
        <v>1.33997242641084E-2</v>
      </c>
      <c r="D30071" s="2">
        <v>2.1126247541341799E-2</v>
      </c>
      <c r="E30071" s="2">
        <v>2.0874931929569698E-2</v>
      </c>
      <c r="F30071" s="2">
        <v>1.43449625648513E-2</v>
      </c>
    </row>
    <row r="30072" spans="1:6" x14ac:dyDescent="0.25">
      <c r="A30072" s="1" t="str">
        <f t="shared" si="1078"/>
        <v>40140</v>
      </c>
      <c r="B30072" s="1" t="str">
        <f>"92316"</f>
        <v>92316</v>
      </c>
      <c r="C30072" s="2">
        <v>5.2109710500951702E-3</v>
      </c>
      <c r="D30072" s="2">
        <v>6.8411955204408003E-3</v>
      </c>
      <c r="E30072" s="2">
        <v>2.63205663459793E-3</v>
      </c>
      <c r="F30072" s="2">
        <v>5.22072757774394E-3</v>
      </c>
    </row>
    <row r="30073" spans="1:6" x14ac:dyDescent="0.25">
      <c r="A30073" s="1" t="str">
        <f t="shared" si="1078"/>
        <v>40140</v>
      </c>
      <c r="B30073" s="1" t="str">
        <f>"92324"</f>
        <v>92324</v>
      </c>
      <c r="C30073" s="2">
        <v>1.1456099430386101E-2</v>
      </c>
      <c r="D30073" s="2">
        <v>1.4285052020900999E-2</v>
      </c>
      <c r="E30073" s="2">
        <v>1.6325558177527601E-2</v>
      </c>
      <c r="F30073" s="2">
        <v>1.18995101846386E-2</v>
      </c>
    </row>
    <row r="30074" spans="1:6" x14ac:dyDescent="0.25">
      <c r="A30074" s="1" t="str">
        <f t="shared" si="1078"/>
        <v>40140</v>
      </c>
      <c r="B30074" s="1" t="str">
        <f>"92322"</f>
        <v>92322</v>
      </c>
      <c r="C30074" s="2">
        <v>7.0913645499140403E-5</v>
      </c>
      <c r="D30074" s="2">
        <v>6.6226481320820898E-6</v>
      </c>
      <c r="E30074" s="2">
        <v>1.1345071700853101E-5</v>
      </c>
      <c r="F30074" s="2">
        <v>6.3168577257241007E-5</v>
      </c>
    </row>
    <row r="30075" spans="1:6" x14ac:dyDescent="0.25">
      <c r="A30075" s="1" t="str">
        <f t="shared" si="1078"/>
        <v>40140</v>
      </c>
      <c r="B30075" s="1" t="str">
        <f>"92331"</f>
        <v>92331</v>
      </c>
      <c r="C30075" s="2">
        <v>4.0066209707014297E-4</v>
      </c>
      <c r="D30075" s="2">
        <v>1.5894355516997E-3</v>
      </c>
      <c r="E30075" s="2">
        <v>2.2690143401706201E-5</v>
      </c>
      <c r="F30075" s="2">
        <v>4.7635320554640802E-4</v>
      </c>
    </row>
    <row r="30076" spans="1:6" x14ac:dyDescent="0.25">
      <c r="A30076" s="1" t="str">
        <f t="shared" si="1078"/>
        <v>40140</v>
      </c>
      <c r="B30076" s="1" t="str">
        <f>"92261"</f>
        <v>92261</v>
      </c>
      <c r="C30076" s="2">
        <v>1.8798025527730401E-3</v>
      </c>
      <c r="D30076" s="2">
        <v>2.4172665682099599E-3</v>
      </c>
      <c r="E30076" s="2">
        <v>2.2690143401706201E-5</v>
      </c>
      <c r="F30076" s="2">
        <v>1.83706649269419E-3</v>
      </c>
    </row>
    <row r="30077" spans="1:6" x14ac:dyDescent="0.25">
      <c r="A30077" s="1" t="str">
        <f t="shared" si="1078"/>
        <v>40140</v>
      </c>
      <c r="B30077" s="1" t="str">
        <f>"92315"</f>
        <v>92315</v>
      </c>
      <c r="C30077" s="2">
        <v>2.43351993471217E-3</v>
      </c>
      <c r="D30077" s="2">
        <v>2.1854738835870901E-3</v>
      </c>
      <c r="E30077" s="2">
        <v>8.9626066436739797E-4</v>
      </c>
      <c r="F30077" s="2">
        <v>2.3439684364223801E-3</v>
      </c>
    </row>
    <row r="30078" spans="1:6" x14ac:dyDescent="0.25">
      <c r="A30078" s="1" t="str">
        <f t="shared" si="1078"/>
        <v>40140</v>
      </c>
      <c r="B30078" s="1" t="str">
        <f>"92201"</f>
        <v>92201</v>
      </c>
      <c r="C30078" s="2">
        <v>1.35220503025944E-2</v>
      </c>
      <c r="D30078" s="2">
        <v>1.4675788260693899E-2</v>
      </c>
      <c r="E30078" s="2">
        <v>1.14698674895625E-2</v>
      </c>
      <c r="F30078" s="2">
        <v>1.3518593308273E-2</v>
      </c>
    </row>
    <row r="30079" spans="1:6" x14ac:dyDescent="0.25">
      <c r="A30079" s="1" t="str">
        <f t="shared" si="1078"/>
        <v>40140</v>
      </c>
      <c r="B30079" s="1" t="str">
        <f>"92202"</f>
        <v>92202</v>
      </c>
      <c r="C30079" s="2">
        <v>1.5648277773476901E-3</v>
      </c>
      <c r="D30079" s="2">
        <v>2.0927568097379402E-3</v>
      </c>
      <c r="E30079" s="2">
        <v>2.2690143401706201E-5</v>
      </c>
      <c r="F30079" s="2">
        <v>1.53572131266374E-3</v>
      </c>
    </row>
    <row r="30080" spans="1:6" x14ac:dyDescent="0.25">
      <c r="A30080" s="1" t="str">
        <f t="shared" si="1078"/>
        <v>40140</v>
      </c>
      <c r="B30080" s="1" t="str">
        <f>"92521"</f>
        <v>92521</v>
      </c>
      <c r="C30080" s="2">
        <v>0</v>
      </c>
      <c r="D30080" s="2">
        <v>0</v>
      </c>
      <c r="E30080" s="2">
        <v>1.1345071700853101E-5</v>
      </c>
      <c r="F30080" s="2">
        <v>5.1777522342000801E-7</v>
      </c>
    </row>
    <row r="30081" spans="1:6" x14ac:dyDescent="0.25">
      <c r="A30081" s="1" t="str">
        <f t="shared" si="1078"/>
        <v>40140</v>
      </c>
      <c r="B30081" s="1" t="str">
        <f>"91759"</f>
        <v>91759</v>
      </c>
      <c r="C30081" s="2">
        <v>0</v>
      </c>
      <c r="D30081" s="2">
        <v>6.6226481320820898E-6</v>
      </c>
      <c r="E30081" s="2">
        <v>0</v>
      </c>
      <c r="F30081" s="2">
        <v>5.1777522342000801E-7</v>
      </c>
    </row>
    <row r="30082" spans="1:6" x14ac:dyDescent="0.25">
      <c r="A30082" s="1" t="str">
        <f t="shared" ref="A30082:A30095" si="1079">"40180"</f>
        <v>40180</v>
      </c>
      <c r="B30082" s="1" t="str">
        <f>"82501"</f>
        <v>82501</v>
      </c>
      <c r="C30082" s="2">
        <v>0.53655984303466298</v>
      </c>
      <c r="D30082" s="2">
        <v>0.54975124378109397</v>
      </c>
      <c r="E30082" s="2">
        <v>0.55712050078247199</v>
      </c>
      <c r="F30082" s="2">
        <v>0.53851856075725602</v>
      </c>
    </row>
    <row r="30083" spans="1:6" x14ac:dyDescent="0.25">
      <c r="A30083" s="1" t="str">
        <f t="shared" si="1079"/>
        <v>40180</v>
      </c>
      <c r="B30083" s="1" t="str">
        <f>"82649"</f>
        <v>82649</v>
      </c>
      <c r="C30083" s="2">
        <v>3.1916285153695198E-2</v>
      </c>
      <c r="D30083" s="2">
        <v>7.4626865671641703E-3</v>
      </c>
      <c r="E30083" s="2">
        <v>1.5649452269170499E-3</v>
      </c>
      <c r="F30083" s="2">
        <v>2.8568170154530399E-2</v>
      </c>
    </row>
    <row r="30084" spans="1:6" x14ac:dyDescent="0.25">
      <c r="A30084" s="1" t="str">
        <f t="shared" si="1079"/>
        <v>40180</v>
      </c>
      <c r="B30084" s="1" t="str">
        <f>"82301"</f>
        <v>82301</v>
      </c>
      <c r="C30084" s="2">
        <v>1.24264224983649E-3</v>
      </c>
      <c r="D30084" s="2">
        <v>6.2189054726368104E-4</v>
      </c>
      <c r="E30084" s="2">
        <v>0</v>
      </c>
      <c r="F30084" s="2">
        <v>1.1404459143525101E-3</v>
      </c>
    </row>
    <row r="30085" spans="1:6" x14ac:dyDescent="0.25">
      <c r="A30085" s="1" t="str">
        <f t="shared" si="1079"/>
        <v>40180</v>
      </c>
      <c r="B30085" s="1" t="str">
        <f>"82642"</f>
        <v>82642</v>
      </c>
      <c r="C30085" s="2">
        <v>1.1118378024852799E-3</v>
      </c>
      <c r="D30085" s="2">
        <v>3.7313432835820799E-3</v>
      </c>
      <c r="E30085" s="2">
        <v>1.4084507042253501E-2</v>
      </c>
      <c r="F30085" s="2">
        <v>1.82471346296401E-3</v>
      </c>
    </row>
    <row r="30086" spans="1:6" x14ac:dyDescent="0.25">
      <c r="A30086" s="1" t="str">
        <f t="shared" si="1079"/>
        <v>40180</v>
      </c>
      <c r="B30086" s="1" t="str">
        <f>"82520"</f>
        <v>82520</v>
      </c>
      <c r="C30086" s="2">
        <v>0.34793982995421802</v>
      </c>
      <c r="D30086" s="2">
        <v>0.42537313432835799</v>
      </c>
      <c r="E30086" s="2">
        <v>0.37089201877934203</v>
      </c>
      <c r="F30086" s="2">
        <v>0.35587614757370101</v>
      </c>
    </row>
    <row r="30087" spans="1:6" x14ac:dyDescent="0.25">
      <c r="A30087" s="1" t="str">
        <f t="shared" si="1079"/>
        <v>40180</v>
      </c>
      <c r="B30087" s="1" t="str">
        <f>"82523"</f>
        <v>82523</v>
      </c>
      <c r="C30087" s="2">
        <v>2.2432962720732499E-2</v>
      </c>
      <c r="D30087" s="2">
        <v>2.4875621890547198E-3</v>
      </c>
      <c r="E30087" s="2">
        <v>3.1298904538341098E-3</v>
      </c>
      <c r="F30087" s="2">
        <v>1.9900781205451301E-2</v>
      </c>
    </row>
    <row r="30088" spans="1:6" x14ac:dyDescent="0.25">
      <c r="A30088" s="1" t="str">
        <f t="shared" si="1079"/>
        <v>40180</v>
      </c>
      <c r="B30088" s="1" t="str">
        <f>"82515"</f>
        <v>82515</v>
      </c>
      <c r="C30088" s="2">
        <v>1.22956180510137E-2</v>
      </c>
      <c r="D30088" s="2">
        <v>0</v>
      </c>
      <c r="E30088" s="2">
        <v>1.5649452269170499E-3</v>
      </c>
      <c r="F30088" s="2">
        <v>1.07772138906312E-2</v>
      </c>
    </row>
    <row r="30089" spans="1:6" x14ac:dyDescent="0.25">
      <c r="A30089" s="1" t="str">
        <f t="shared" si="1079"/>
        <v>40180</v>
      </c>
      <c r="B30089" s="1" t="str">
        <f>"82513"</f>
        <v>82513</v>
      </c>
      <c r="C30089" s="2">
        <v>1.7920209287115699E-2</v>
      </c>
      <c r="D30089" s="2">
        <v>4.3532338308457704E-3</v>
      </c>
      <c r="E30089" s="2">
        <v>2.9733959311424099E-2</v>
      </c>
      <c r="F30089" s="2">
        <v>1.7106688715287598E-2</v>
      </c>
    </row>
    <row r="30090" spans="1:6" x14ac:dyDescent="0.25">
      <c r="A30090" s="1" t="str">
        <f t="shared" si="1079"/>
        <v>40180</v>
      </c>
      <c r="B30090" s="1" t="str">
        <f>"82514"</f>
        <v>82514</v>
      </c>
      <c r="C30090" s="2">
        <v>1.30804447351209E-3</v>
      </c>
      <c r="D30090" s="2">
        <v>1.86567164179104E-3</v>
      </c>
      <c r="E30090" s="2">
        <v>4.6948356807511703E-3</v>
      </c>
      <c r="F30090" s="2">
        <v>1.4825796886582599E-3</v>
      </c>
    </row>
    <row r="30091" spans="1:6" x14ac:dyDescent="0.25">
      <c r="A30091" s="1" t="str">
        <f t="shared" si="1079"/>
        <v>40180</v>
      </c>
      <c r="B30091" s="1" t="str">
        <f>"82310"</f>
        <v>82310</v>
      </c>
      <c r="C30091" s="2">
        <v>3.2701111837802401E-4</v>
      </c>
      <c r="D30091" s="2">
        <v>0</v>
      </c>
      <c r="E30091" s="2">
        <v>3.1298904538341098E-3</v>
      </c>
      <c r="F30091" s="2">
        <v>3.9915607002337898E-4</v>
      </c>
    </row>
    <row r="30092" spans="1:6" x14ac:dyDescent="0.25">
      <c r="A30092" s="1" t="str">
        <f t="shared" si="1079"/>
        <v>40180</v>
      </c>
      <c r="B30092" s="1" t="str">
        <f>"82516"</f>
        <v>82516</v>
      </c>
      <c r="C30092" s="2">
        <v>7.3250490516677501E-3</v>
      </c>
      <c r="D30092" s="2">
        <v>6.2189054726368104E-4</v>
      </c>
      <c r="E30092" s="2">
        <v>3.1298904538341098E-3</v>
      </c>
      <c r="F30092" s="2">
        <v>6.5575640075269401E-3</v>
      </c>
    </row>
    <row r="30093" spans="1:6" x14ac:dyDescent="0.25">
      <c r="A30093" s="1" t="str">
        <f t="shared" si="1079"/>
        <v>40180</v>
      </c>
      <c r="B30093" s="1" t="str">
        <f>"82510"</f>
        <v>82510</v>
      </c>
      <c r="C30093" s="2">
        <v>1.2491824722040501E-2</v>
      </c>
      <c r="D30093" s="2">
        <v>3.7313432835820799E-3</v>
      </c>
      <c r="E30093" s="2">
        <v>7.8247261345852793E-3</v>
      </c>
      <c r="F30093" s="2">
        <v>1.15185037349603E-2</v>
      </c>
    </row>
    <row r="30094" spans="1:6" x14ac:dyDescent="0.25">
      <c r="A30094" s="1" t="str">
        <f t="shared" si="1079"/>
        <v>40180</v>
      </c>
      <c r="B30094" s="1" t="str">
        <f>"82524"</f>
        <v>82524</v>
      </c>
      <c r="C30094" s="2">
        <v>0</v>
      </c>
      <c r="D30094" s="2">
        <v>0</v>
      </c>
      <c r="E30094" s="2">
        <v>1.5649452269170499E-3</v>
      </c>
      <c r="F30094" s="2">
        <v>5.7022295717625501E-5</v>
      </c>
    </row>
    <row r="30095" spans="1:6" x14ac:dyDescent="0.25">
      <c r="A30095" s="1" t="str">
        <f t="shared" si="1079"/>
        <v>40180</v>
      </c>
      <c r="B30095" s="1" t="str">
        <f>"82512"</f>
        <v>82512</v>
      </c>
      <c r="C30095" s="2">
        <v>7.1288423806409396E-3</v>
      </c>
      <c r="D30095" s="2">
        <v>0</v>
      </c>
      <c r="E30095" s="2">
        <v>1.5649452269170499E-3</v>
      </c>
      <c r="F30095" s="2">
        <v>6.2724525289388098E-3</v>
      </c>
    </row>
    <row r="30096" spans="1:6" x14ac:dyDescent="0.25">
      <c r="A30096" s="1" t="str">
        <f t="shared" ref="A30096:A30127" si="1080">"40220"</f>
        <v>40220</v>
      </c>
      <c r="B30096" s="1" t="str">
        <f>"24091"</f>
        <v>24091</v>
      </c>
      <c r="C30096" s="2">
        <v>1.07087963312923E-4</v>
      </c>
      <c r="D30096" s="2">
        <v>1.2258657676984301E-4</v>
      </c>
      <c r="E30096" s="2">
        <v>0</v>
      </c>
      <c r="F30096" s="2">
        <v>1.05295242317603E-4</v>
      </c>
    </row>
    <row r="30097" spans="1:6" x14ac:dyDescent="0.25">
      <c r="A30097" s="1" t="str">
        <f t="shared" si="1080"/>
        <v>40220</v>
      </c>
      <c r="B30097" s="1" t="str">
        <f>"24070"</f>
        <v>24070</v>
      </c>
      <c r="C30097" s="2">
        <v>3.9055610149419202E-3</v>
      </c>
      <c r="D30097" s="2">
        <v>3.67759730309531E-4</v>
      </c>
      <c r="E30097" s="2">
        <v>1.8580453363062E-4</v>
      </c>
      <c r="F30097" s="2">
        <v>3.4747429964809202E-3</v>
      </c>
    </row>
    <row r="30098" spans="1:6" x14ac:dyDescent="0.25">
      <c r="A30098" s="1" t="str">
        <f t="shared" si="1080"/>
        <v>40220</v>
      </c>
      <c r="B30098" s="1" t="str">
        <f>"24079"</f>
        <v>24079</v>
      </c>
      <c r="C30098" s="2">
        <v>2.708695542621E-4</v>
      </c>
      <c r="D30098" s="2">
        <v>0</v>
      </c>
      <c r="E30098" s="2">
        <v>0</v>
      </c>
      <c r="F30098" s="2">
        <v>2.3829975892931301E-4</v>
      </c>
    </row>
    <row r="30099" spans="1:6" x14ac:dyDescent="0.25">
      <c r="A30099" s="1" t="str">
        <f t="shared" si="1080"/>
        <v>40220</v>
      </c>
      <c r="B30099" s="1" t="str">
        <f>"24031"</f>
        <v>24031</v>
      </c>
      <c r="C30099" s="2">
        <v>2.96066722100435E-4</v>
      </c>
      <c r="D30099" s="2">
        <v>9.1939932577382697E-4</v>
      </c>
      <c r="E30099" s="2">
        <v>1.8580453363062E-4</v>
      </c>
      <c r="F30099" s="2">
        <v>3.49136856105738E-4</v>
      </c>
    </row>
    <row r="30100" spans="1:6" x14ac:dyDescent="0.25">
      <c r="A30100" s="1" t="str">
        <f t="shared" si="1080"/>
        <v>40220</v>
      </c>
      <c r="B30100" s="1" t="str">
        <f>"24023"</f>
        <v>24023</v>
      </c>
      <c r="C30100" s="2">
        <v>2.7716884622168398E-4</v>
      </c>
      <c r="D30100" s="2">
        <v>1.71621207477781E-3</v>
      </c>
      <c r="E30100" s="2">
        <v>1.8580453363062E-4</v>
      </c>
      <c r="F30100" s="2">
        <v>4.04555404693951E-4</v>
      </c>
    </row>
    <row r="30101" spans="1:6" x14ac:dyDescent="0.25">
      <c r="A30101" s="1" t="str">
        <f t="shared" si="1080"/>
        <v>40220</v>
      </c>
      <c r="B30101" s="1" t="str">
        <f>"24026"</f>
        <v>24026</v>
      </c>
      <c r="C30101" s="2">
        <v>3.2756318189835403E-4</v>
      </c>
      <c r="D30101" s="2">
        <v>1.22586576769843E-3</v>
      </c>
      <c r="E30101" s="2">
        <v>1.8580453363062E-4</v>
      </c>
      <c r="F30101" s="2">
        <v>4.04555404693951E-4</v>
      </c>
    </row>
    <row r="30102" spans="1:6" x14ac:dyDescent="0.25">
      <c r="A30102" s="1" t="str">
        <f t="shared" si="1080"/>
        <v>40220</v>
      </c>
      <c r="B30102" s="1" t="str">
        <f>"24014"</f>
        <v>24014</v>
      </c>
      <c r="C30102" s="2">
        <v>5.7682616473908301E-2</v>
      </c>
      <c r="D30102" s="2">
        <v>4.7931351517008801E-2</v>
      </c>
      <c r="E30102" s="2">
        <v>7.2835377183203195E-2</v>
      </c>
      <c r="F30102" s="2">
        <v>5.7252902546482298E-2</v>
      </c>
    </row>
    <row r="30103" spans="1:6" x14ac:dyDescent="0.25">
      <c r="A30103" s="1" t="str">
        <f t="shared" si="1080"/>
        <v>40220</v>
      </c>
      <c r="B30103" s="1" t="str">
        <f>"24102"</f>
        <v>24102</v>
      </c>
      <c r="C30103" s="2">
        <v>4.9008491445561497E-3</v>
      </c>
      <c r="D30103" s="2">
        <v>1.10327919092859E-3</v>
      </c>
      <c r="E30103" s="2">
        <v>7.4321813452248205E-4</v>
      </c>
      <c r="F30103" s="2">
        <v>4.4334838870569897E-3</v>
      </c>
    </row>
    <row r="30104" spans="1:6" x14ac:dyDescent="0.25">
      <c r="A30104" s="1" t="str">
        <f t="shared" si="1080"/>
        <v>40220</v>
      </c>
      <c r="B30104" s="1" t="str">
        <f>"24019"</f>
        <v>24019</v>
      </c>
      <c r="C30104" s="2">
        <v>8.1953788394184393E-2</v>
      </c>
      <c r="D30104" s="2">
        <v>6.6012871590560795E-2</v>
      </c>
      <c r="E30104" s="2">
        <v>7.3392790784095094E-2</v>
      </c>
      <c r="F30104" s="2">
        <v>8.0257142065449302E-2</v>
      </c>
    </row>
    <row r="30105" spans="1:6" x14ac:dyDescent="0.25">
      <c r="A30105" s="1" t="str">
        <f t="shared" si="1080"/>
        <v>40220</v>
      </c>
      <c r="B30105" s="1" t="str">
        <f>"24055"</f>
        <v>24055</v>
      </c>
      <c r="C30105" s="2">
        <v>1.8204953763196999E-3</v>
      </c>
      <c r="D30105" s="2">
        <v>9.1939932577382697E-4</v>
      </c>
      <c r="E30105" s="2">
        <v>0</v>
      </c>
      <c r="F30105" s="2">
        <v>1.6847238770816501E-3</v>
      </c>
    </row>
    <row r="30106" spans="1:6" x14ac:dyDescent="0.25">
      <c r="A30106" s="1" t="str">
        <f t="shared" si="1080"/>
        <v>40220</v>
      </c>
      <c r="B30106" s="1" t="str">
        <f>"24137"</f>
        <v>24137</v>
      </c>
      <c r="C30106" s="2">
        <v>8.2520724670546997E-3</v>
      </c>
      <c r="D30106" s="2">
        <v>1.9613852283174899E-3</v>
      </c>
      <c r="E30106" s="2">
        <v>1.11482720178372E-3</v>
      </c>
      <c r="F30106" s="2">
        <v>7.4704203496910402E-3</v>
      </c>
    </row>
    <row r="30107" spans="1:6" x14ac:dyDescent="0.25">
      <c r="A30107" s="1" t="str">
        <f t="shared" si="1080"/>
        <v>40220</v>
      </c>
      <c r="B30107" s="1" t="str">
        <f>"24001"</f>
        <v>24001</v>
      </c>
      <c r="C30107" s="2">
        <v>5.6693627636253603E-4</v>
      </c>
      <c r="D30107" s="2">
        <v>1.71621207477781E-3</v>
      </c>
      <c r="E30107" s="2">
        <v>1.8580453363062E-4</v>
      </c>
      <c r="F30107" s="2">
        <v>6.59480728199728E-4</v>
      </c>
    </row>
    <row r="30108" spans="1:6" x14ac:dyDescent="0.25">
      <c r="A30108" s="1" t="str">
        <f t="shared" si="1080"/>
        <v>40220</v>
      </c>
      <c r="B30108" s="1" t="str">
        <f>"24024"</f>
        <v>24024</v>
      </c>
      <c r="C30108" s="2">
        <v>2.8976743014085199E-4</v>
      </c>
      <c r="D30108" s="2">
        <v>1.53233220962304E-3</v>
      </c>
      <c r="E30108" s="2">
        <v>1.8580453363062E-4</v>
      </c>
      <c r="F30108" s="2">
        <v>3.9901354983512902E-4</v>
      </c>
    </row>
    <row r="30109" spans="1:6" x14ac:dyDescent="0.25">
      <c r="A30109" s="1" t="str">
        <f t="shared" si="1080"/>
        <v>40220</v>
      </c>
      <c r="B30109" s="1" t="str">
        <f>"24027"</f>
        <v>24027</v>
      </c>
      <c r="C30109" s="2">
        <v>2.96066722100435E-4</v>
      </c>
      <c r="D30109" s="2">
        <v>1.4097456328532E-3</v>
      </c>
      <c r="E30109" s="2">
        <v>1.8580453363062E-4</v>
      </c>
      <c r="F30109" s="2">
        <v>3.93471694976308E-4</v>
      </c>
    </row>
    <row r="30110" spans="1:6" x14ac:dyDescent="0.25">
      <c r="A30110" s="1" t="str">
        <f t="shared" si="1080"/>
        <v>40220</v>
      </c>
      <c r="B30110" s="1" t="str">
        <f>"24035"</f>
        <v>24035</v>
      </c>
      <c r="C30110" s="2">
        <v>2.64570262302517E-4</v>
      </c>
      <c r="D30110" s="2">
        <v>1.1645724793135099E-3</v>
      </c>
      <c r="E30110" s="2">
        <v>1.8580453363062E-4</v>
      </c>
      <c r="F30110" s="2">
        <v>3.4359500124691699E-4</v>
      </c>
    </row>
    <row r="30111" spans="1:6" x14ac:dyDescent="0.25">
      <c r="A30111" s="1" t="str">
        <f t="shared" si="1080"/>
        <v>40220</v>
      </c>
      <c r="B30111" s="1" t="str">
        <f>"24422"</f>
        <v>24422</v>
      </c>
      <c r="C30111" s="2">
        <v>5.4803840048378496E-4</v>
      </c>
      <c r="D30111" s="2">
        <v>1.8387986515476499E-4</v>
      </c>
      <c r="E30111" s="2">
        <v>0</v>
      </c>
      <c r="F30111" s="2">
        <v>4.9876693729391196E-4</v>
      </c>
    </row>
    <row r="30112" spans="1:6" x14ac:dyDescent="0.25">
      <c r="A30112" s="1" t="str">
        <f t="shared" si="1080"/>
        <v>40220</v>
      </c>
      <c r="B30112" s="1" t="str">
        <f>"24153"</f>
        <v>24153</v>
      </c>
      <c r="C30112" s="2">
        <v>0.117626678761307</v>
      </c>
      <c r="D30112" s="2">
        <v>0.13196444989273601</v>
      </c>
      <c r="E30112" s="2">
        <v>7.3206986250464498E-2</v>
      </c>
      <c r="F30112" s="2">
        <v>0.117598160104186</v>
      </c>
    </row>
    <row r="30113" spans="1:6" x14ac:dyDescent="0.25">
      <c r="A30113" s="1" t="str">
        <f t="shared" si="1080"/>
        <v>40220</v>
      </c>
      <c r="B30113" s="1" t="str">
        <f>"24088"</f>
        <v>24088</v>
      </c>
      <c r="C30113" s="2">
        <v>1.19119610955728E-2</v>
      </c>
      <c r="D30113" s="2">
        <v>3.8001838798651499E-3</v>
      </c>
      <c r="E30113" s="2">
        <v>3.3444816053511701E-3</v>
      </c>
      <c r="F30113" s="2">
        <v>1.09229959267366E-2</v>
      </c>
    </row>
    <row r="30114" spans="1:6" x14ac:dyDescent="0.25">
      <c r="A30114" s="1" t="str">
        <f t="shared" si="1080"/>
        <v>40220</v>
      </c>
      <c r="B30114" s="1" t="str">
        <f>"24083"</f>
        <v>24083</v>
      </c>
      <c r="C30114" s="2">
        <v>1.5420666717061E-2</v>
      </c>
      <c r="D30114" s="2">
        <v>2.3414036163040101E-2</v>
      </c>
      <c r="E30114" s="2">
        <v>7.0605722779635803E-3</v>
      </c>
      <c r="F30114" s="2">
        <v>1.58940397350993E-2</v>
      </c>
    </row>
    <row r="30115" spans="1:6" x14ac:dyDescent="0.25">
      <c r="A30115" s="1" t="str">
        <f t="shared" si="1080"/>
        <v>40220</v>
      </c>
      <c r="B30115" s="1" t="str">
        <f>"24087"</f>
        <v>24087</v>
      </c>
      <c r="C30115" s="2">
        <v>4.2205256129210998E-4</v>
      </c>
      <c r="D30115" s="2">
        <v>0</v>
      </c>
      <c r="E30115" s="2">
        <v>0</v>
      </c>
      <c r="F30115" s="2">
        <v>3.7130427554102298E-4</v>
      </c>
    </row>
    <row r="30116" spans="1:6" x14ac:dyDescent="0.25">
      <c r="A30116" s="1" t="str">
        <f t="shared" si="1080"/>
        <v>40220</v>
      </c>
      <c r="B30116" s="1" t="str">
        <f>"24030"</f>
        <v>24030</v>
      </c>
      <c r="C30116" s="2">
        <v>2.45672386423765E-4</v>
      </c>
      <c r="D30116" s="2">
        <v>1.3484523444682801E-3</v>
      </c>
      <c r="E30116" s="2">
        <v>1.8580453363062E-4</v>
      </c>
      <c r="F30116" s="2">
        <v>3.4359500124691699E-4</v>
      </c>
    </row>
    <row r="30117" spans="1:6" x14ac:dyDescent="0.25">
      <c r="A30117" s="1" t="str">
        <f t="shared" si="1080"/>
        <v>40220</v>
      </c>
      <c r="B30117" s="1" t="str">
        <f>"24036"</f>
        <v>24036</v>
      </c>
      <c r="C30117" s="2">
        <v>3.2126388993876999E-4</v>
      </c>
      <c r="D30117" s="2">
        <v>7.3551946061906201E-4</v>
      </c>
      <c r="E30117" s="2">
        <v>1.8580453363062E-4</v>
      </c>
      <c r="F30117" s="2">
        <v>3.5467871096455902E-4</v>
      </c>
    </row>
    <row r="30118" spans="1:6" x14ac:dyDescent="0.25">
      <c r="A30118" s="1" t="str">
        <f t="shared" si="1080"/>
        <v>40220</v>
      </c>
      <c r="B30118" s="1" t="str">
        <f>"24037"</f>
        <v>24037</v>
      </c>
      <c r="C30118" s="2">
        <v>2.8976743014085199E-4</v>
      </c>
      <c r="D30118" s="2">
        <v>1.4710389212381199E-3</v>
      </c>
      <c r="E30118" s="2">
        <v>1.8580453363062E-4</v>
      </c>
      <c r="F30118" s="2">
        <v>3.93471694976308E-4</v>
      </c>
    </row>
    <row r="30119" spans="1:6" x14ac:dyDescent="0.25">
      <c r="A30119" s="1" t="str">
        <f t="shared" si="1080"/>
        <v>40220</v>
      </c>
      <c r="B30119" s="1" t="str">
        <f>"24130"</f>
        <v>24130</v>
      </c>
      <c r="C30119" s="2">
        <v>0</v>
      </c>
      <c r="D30119" s="2">
        <v>0</v>
      </c>
      <c r="E30119" s="2">
        <v>1.8580453363062E-4</v>
      </c>
      <c r="F30119" s="2">
        <v>5.5418548588212397E-6</v>
      </c>
    </row>
    <row r="30120" spans="1:6" x14ac:dyDescent="0.25">
      <c r="A30120" s="1" t="str">
        <f t="shared" si="1080"/>
        <v>40220</v>
      </c>
      <c r="B30120" s="1" t="str">
        <f>"24016"</f>
        <v>24016</v>
      </c>
      <c r="C30120" s="2">
        <v>3.5131151258598503E-2</v>
      </c>
      <c r="D30120" s="2">
        <v>5.2589641434262903E-2</v>
      </c>
      <c r="E30120" s="2">
        <v>0.12931995540691099</v>
      </c>
      <c r="F30120" s="2">
        <v>3.9518966998254301E-2</v>
      </c>
    </row>
    <row r="30121" spans="1:6" x14ac:dyDescent="0.25">
      <c r="A30121" s="1" t="str">
        <f t="shared" si="1080"/>
        <v>40220</v>
      </c>
      <c r="B30121" s="1" t="str">
        <f>"24012"</f>
        <v>24012</v>
      </c>
      <c r="C30121" s="2">
        <v>8.9683019628593694E-2</v>
      </c>
      <c r="D30121" s="2">
        <v>9.5740116457247906E-2</v>
      </c>
      <c r="E30121" s="2">
        <v>0.1049795615013</v>
      </c>
      <c r="F30121" s="2">
        <v>9.0686912909750797E-2</v>
      </c>
    </row>
    <row r="30122" spans="1:6" x14ac:dyDescent="0.25">
      <c r="A30122" s="1" t="str">
        <f t="shared" si="1080"/>
        <v>40220</v>
      </c>
      <c r="B30122" s="1" t="str">
        <f>"24015"</f>
        <v>24015</v>
      </c>
      <c r="C30122" s="2">
        <v>5.4614861289590998E-2</v>
      </c>
      <c r="D30122" s="2">
        <v>4.11890897946674E-2</v>
      </c>
      <c r="E30122" s="2">
        <v>7.9895949461166793E-2</v>
      </c>
      <c r="F30122" s="2">
        <v>5.41550056804012E-2</v>
      </c>
    </row>
    <row r="30123" spans="1:6" x14ac:dyDescent="0.25">
      <c r="A30123" s="1" t="str">
        <f t="shared" si="1080"/>
        <v>40220</v>
      </c>
      <c r="B30123" s="1" t="str">
        <f>"24011"</f>
        <v>24011</v>
      </c>
      <c r="C30123" s="2">
        <v>5.1087257792224103E-3</v>
      </c>
      <c r="D30123" s="2">
        <v>4.6889365614465203E-2</v>
      </c>
      <c r="E30123" s="2">
        <v>4.3478260869565202E-2</v>
      </c>
      <c r="F30123" s="2">
        <v>1.00307572944664E-2</v>
      </c>
    </row>
    <row r="30124" spans="1:6" x14ac:dyDescent="0.25">
      <c r="A30124" s="1" t="str">
        <f t="shared" si="1080"/>
        <v>40220</v>
      </c>
      <c r="B30124" s="1" t="str">
        <f>"24151"</f>
        <v>24151</v>
      </c>
      <c r="C30124" s="2">
        <v>6.13362058104669E-2</v>
      </c>
      <c r="D30124" s="2">
        <v>6.1906221268771003E-2</v>
      </c>
      <c r="E30124" s="2">
        <v>4.4407283537718299E-2</v>
      </c>
      <c r="F30124" s="2">
        <v>6.0882817479010198E-2</v>
      </c>
    </row>
    <row r="30125" spans="1:6" x14ac:dyDescent="0.25">
      <c r="A30125" s="1" t="str">
        <f t="shared" si="1080"/>
        <v>40220</v>
      </c>
      <c r="B30125" s="1" t="str">
        <f>"24155"</f>
        <v>24155</v>
      </c>
      <c r="C30125" s="2">
        <v>0</v>
      </c>
      <c r="D30125" s="2">
        <v>6.1293288384921802E-5</v>
      </c>
      <c r="E30125" s="2">
        <v>0</v>
      </c>
      <c r="F30125" s="2">
        <v>5.5418548588212397E-6</v>
      </c>
    </row>
    <row r="30126" spans="1:6" x14ac:dyDescent="0.25">
      <c r="A30126" s="1" t="str">
        <f t="shared" si="1080"/>
        <v>40220</v>
      </c>
      <c r="B30126" s="1" t="str">
        <f>"24112"</f>
        <v>24112</v>
      </c>
      <c r="C30126" s="2">
        <v>2.9039735933681001E-3</v>
      </c>
      <c r="D30126" s="2">
        <v>5.5163959546429596E-4</v>
      </c>
      <c r="E30126" s="2">
        <v>1.11482720178372E-3</v>
      </c>
      <c r="F30126" s="2">
        <v>2.6379229127989098E-3</v>
      </c>
    </row>
    <row r="30127" spans="1:6" x14ac:dyDescent="0.25">
      <c r="A30127" s="1" t="str">
        <f t="shared" si="1080"/>
        <v>40220</v>
      </c>
      <c r="B30127" s="1" t="str">
        <f>"24065"</f>
        <v>24065</v>
      </c>
      <c r="C30127" s="2">
        <v>1.7864791997379399E-2</v>
      </c>
      <c r="D30127" s="2">
        <v>3.6163040147103799E-3</v>
      </c>
      <c r="E30127" s="2">
        <v>2.2296544035674401E-3</v>
      </c>
      <c r="F30127" s="2">
        <v>1.6110172074593299E-2</v>
      </c>
    </row>
    <row r="30128" spans="1:6" x14ac:dyDescent="0.25">
      <c r="A30128" s="1" t="str">
        <f t="shared" ref="A30128:A30159" si="1081">"40220"</f>
        <v>40220</v>
      </c>
      <c r="B30128" s="1" t="str">
        <f>"24438"</f>
        <v>24438</v>
      </c>
      <c r="C30128" s="2">
        <v>0</v>
      </c>
      <c r="D30128" s="2">
        <v>0</v>
      </c>
      <c r="E30128" s="2">
        <v>1.8580453363062E-4</v>
      </c>
      <c r="F30128" s="2">
        <v>5.5418548588212397E-6</v>
      </c>
    </row>
    <row r="30129" spans="1:6" x14ac:dyDescent="0.25">
      <c r="A30129" s="1" t="str">
        <f t="shared" si="1081"/>
        <v>40220</v>
      </c>
      <c r="B30129" s="1" t="str">
        <f>"24032"</f>
        <v>24032</v>
      </c>
      <c r="C30129" s="2">
        <v>2.7716884622168398E-4</v>
      </c>
      <c r="D30129" s="2">
        <v>1.1645724793135099E-3</v>
      </c>
      <c r="E30129" s="2">
        <v>1.8580453363062E-4</v>
      </c>
      <c r="F30129" s="2">
        <v>3.5467871096455902E-4</v>
      </c>
    </row>
    <row r="30130" spans="1:6" x14ac:dyDescent="0.25">
      <c r="A30130" s="1" t="str">
        <f t="shared" si="1081"/>
        <v>40220</v>
      </c>
      <c r="B30130" s="1" t="str">
        <f>"24033"</f>
        <v>24033</v>
      </c>
      <c r="C30130" s="2">
        <v>2.5827097034293302E-4</v>
      </c>
      <c r="D30130" s="2">
        <v>1.1645724793135099E-3</v>
      </c>
      <c r="E30130" s="2">
        <v>1.8580453363062E-4</v>
      </c>
      <c r="F30130" s="2">
        <v>3.3805314638809598E-4</v>
      </c>
    </row>
    <row r="30131" spans="1:6" x14ac:dyDescent="0.25">
      <c r="A30131" s="1" t="str">
        <f t="shared" si="1081"/>
        <v>40220</v>
      </c>
      <c r="B30131" s="1" t="str">
        <f>"24008"</f>
        <v>24008</v>
      </c>
      <c r="C30131" s="2">
        <v>9.9528812961423101E-4</v>
      </c>
      <c r="D30131" s="2">
        <v>1.4710389212381199E-3</v>
      </c>
      <c r="E30131" s="2">
        <v>1.8580453363062E-4</v>
      </c>
      <c r="F30131" s="2">
        <v>1.01415943916428E-3</v>
      </c>
    </row>
    <row r="30132" spans="1:6" x14ac:dyDescent="0.25">
      <c r="A30132" s="1" t="str">
        <f t="shared" si="1081"/>
        <v>40220</v>
      </c>
      <c r="B30132" s="1" t="str">
        <f>"24013"</f>
        <v>24013</v>
      </c>
      <c r="C30132" s="2">
        <v>2.25577645072693E-2</v>
      </c>
      <c r="D30132" s="2">
        <v>1.7529880478087598E-2</v>
      </c>
      <c r="E30132" s="2">
        <v>2.1553325901151901E-2</v>
      </c>
      <c r="F30132" s="2">
        <v>2.2073207902685001E-2</v>
      </c>
    </row>
    <row r="30133" spans="1:6" x14ac:dyDescent="0.25">
      <c r="A30133" s="1" t="str">
        <f t="shared" si="1081"/>
        <v>40220</v>
      </c>
      <c r="B30133" s="1" t="str">
        <f>"24179"</f>
        <v>24179</v>
      </c>
      <c r="C30133" s="2">
        <v>3.8671353339884501E-2</v>
      </c>
      <c r="D30133" s="2">
        <v>2.8746552252528298E-2</v>
      </c>
      <c r="E30133" s="2">
        <v>3.4931252322556602E-2</v>
      </c>
      <c r="F30133" s="2">
        <v>3.7662445620549101E-2</v>
      </c>
    </row>
    <row r="30134" spans="1:6" x14ac:dyDescent="0.25">
      <c r="A30134" s="1" t="str">
        <f t="shared" si="1081"/>
        <v>40220</v>
      </c>
      <c r="B30134" s="1" t="str">
        <f>"24085"</f>
        <v>24085</v>
      </c>
      <c r="C30134" s="2">
        <v>6.9733161992591997E-3</v>
      </c>
      <c r="D30134" s="2">
        <v>1.10327919092859E-3</v>
      </c>
      <c r="E30134" s="2">
        <v>1.8580453363062E-4</v>
      </c>
      <c r="F30134" s="2">
        <v>6.2401285710327204E-3</v>
      </c>
    </row>
    <row r="30135" spans="1:6" x14ac:dyDescent="0.25">
      <c r="A30135" s="1" t="str">
        <f t="shared" si="1081"/>
        <v>40220</v>
      </c>
      <c r="B30135" s="1" t="str">
        <f>"24131"</f>
        <v>24131</v>
      </c>
      <c r="C30135" s="2">
        <v>3.3386247385793801E-4</v>
      </c>
      <c r="D30135" s="2">
        <v>6.1293288384921802E-5</v>
      </c>
      <c r="E30135" s="2">
        <v>1.8580453363062E-4</v>
      </c>
      <c r="F30135" s="2">
        <v>3.04802017235168E-4</v>
      </c>
    </row>
    <row r="30136" spans="1:6" x14ac:dyDescent="0.25">
      <c r="A30136" s="1" t="str">
        <f t="shared" si="1081"/>
        <v>40220</v>
      </c>
      <c r="B30136" s="1" t="str">
        <f>"24066"</f>
        <v>24066</v>
      </c>
      <c r="C30136" s="2">
        <v>1.31907173633683E-2</v>
      </c>
      <c r="D30136" s="2">
        <v>3.9840637450199202E-3</v>
      </c>
      <c r="E30136" s="2">
        <v>2.04384986993682E-3</v>
      </c>
      <c r="F30136" s="2">
        <v>1.2025825043642101E-2</v>
      </c>
    </row>
    <row r="30137" spans="1:6" x14ac:dyDescent="0.25">
      <c r="A30137" s="1" t="str">
        <f t="shared" si="1081"/>
        <v>40220</v>
      </c>
      <c r="B30137" s="1" t="str">
        <f>"24022"</f>
        <v>24022</v>
      </c>
      <c r="C30137" s="2">
        <v>2.3811323607226499E-3</v>
      </c>
      <c r="D30137" s="2">
        <v>5.4551026662580399E-3</v>
      </c>
      <c r="E30137" s="2">
        <v>2.4154589371980601E-3</v>
      </c>
      <c r="F30137" s="2">
        <v>2.6600903322341902E-3</v>
      </c>
    </row>
    <row r="30138" spans="1:6" x14ac:dyDescent="0.25">
      <c r="A30138" s="1" t="str">
        <f t="shared" si="1081"/>
        <v>40220</v>
      </c>
      <c r="B30138" s="1" t="str">
        <f>"24034"</f>
        <v>24034</v>
      </c>
      <c r="C30138" s="2">
        <v>1.9527805074709599E-4</v>
      </c>
      <c r="D30138" s="2">
        <v>6.1293288384921805E-4</v>
      </c>
      <c r="E30138" s="2">
        <v>1.8580453363062E-4</v>
      </c>
      <c r="F30138" s="2">
        <v>2.3275790407049199E-4</v>
      </c>
    </row>
    <row r="30139" spans="1:6" x14ac:dyDescent="0.25">
      <c r="A30139" s="1" t="str">
        <f t="shared" si="1081"/>
        <v>40220</v>
      </c>
      <c r="B30139" s="1" t="str">
        <f>"24004"</f>
        <v>24004</v>
      </c>
      <c r="C30139" s="2">
        <v>4.5984831304961299E-4</v>
      </c>
      <c r="D30139" s="2">
        <v>2.3291449586270302E-3</v>
      </c>
      <c r="E30139" s="2">
        <v>1.8580453363062E-4</v>
      </c>
      <c r="F30139" s="2">
        <v>6.2068774418797901E-4</v>
      </c>
    </row>
    <row r="30140" spans="1:6" x14ac:dyDescent="0.25">
      <c r="A30140" s="1" t="str">
        <f t="shared" si="1081"/>
        <v>40220</v>
      </c>
      <c r="B30140" s="1" t="str">
        <f>"24426"</f>
        <v>24426</v>
      </c>
      <c r="C30140" s="2">
        <v>8.1890795474588601E-5</v>
      </c>
      <c r="D30140" s="2">
        <v>0</v>
      </c>
      <c r="E30140" s="2">
        <v>0</v>
      </c>
      <c r="F30140" s="2">
        <v>7.2044113164676201E-5</v>
      </c>
    </row>
    <row r="30141" spans="1:6" x14ac:dyDescent="0.25">
      <c r="A30141" s="1" t="str">
        <f t="shared" si="1081"/>
        <v>40220</v>
      </c>
      <c r="B30141" s="1" t="str">
        <f>"24146"</f>
        <v>24146</v>
      </c>
      <c r="C30141" s="2">
        <v>0</v>
      </c>
      <c r="D30141" s="2">
        <v>0</v>
      </c>
      <c r="E30141" s="2">
        <v>1.8580453363062E-4</v>
      </c>
      <c r="F30141" s="2">
        <v>5.5418548588212397E-6</v>
      </c>
    </row>
    <row r="30142" spans="1:6" x14ac:dyDescent="0.25">
      <c r="A30142" s="1" t="str">
        <f t="shared" si="1081"/>
        <v>40220</v>
      </c>
      <c r="B30142" s="1" t="str">
        <f>"24017"</f>
        <v>24017</v>
      </c>
      <c r="C30142" s="2">
        <v>6.9651271197117406E-2</v>
      </c>
      <c r="D30142" s="2">
        <v>5.1118602513024802E-2</v>
      </c>
      <c r="E30142" s="2">
        <v>8.3983649201040497E-2</v>
      </c>
      <c r="F30142" s="2">
        <v>6.84031145224306E-2</v>
      </c>
    </row>
    <row r="30143" spans="1:6" x14ac:dyDescent="0.25">
      <c r="A30143" s="1" t="str">
        <f t="shared" si="1081"/>
        <v>40220</v>
      </c>
      <c r="B30143" s="1" t="str">
        <f>"24038"</f>
        <v>24038</v>
      </c>
      <c r="C30143" s="2">
        <v>8.3780583062463695E-4</v>
      </c>
      <c r="D30143" s="2">
        <v>3.1872509960159299E-3</v>
      </c>
      <c r="E30143" s="2">
        <v>1.8580453363062E-4</v>
      </c>
      <c r="F30143" s="2">
        <v>1.0307850037407501E-3</v>
      </c>
    </row>
    <row r="30144" spans="1:6" x14ac:dyDescent="0.25">
      <c r="A30144" s="1" t="str">
        <f t="shared" si="1081"/>
        <v>40220</v>
      </c>
      <c r="B30144" s="1" t="str">
        <f>"24059"</f>
        <v>24059</v>
      </c>
      <c r="C30144" s="2">
        <v>2.9669665129639401E-3</v>
      </c>
      <c r="D30144" s="2">
        <v>5.5163959546429596E-4</v>
      </c>
      <c r="E30144" s="2">
        <v>5.5741360089186099E-4</v>
      </c>
      <c r="F30144" s="2">
        <v>2.6767158968106601E-3</v>
      </c>
    </row>
    <row r="30145" spans="1:6" x14ac:dyDescent="0.25">
      <c r="A30145" s="1" t="str">
        <f t="shared" si="1081"/>
        <v>40220</v>
      </c>
      <c r="B30145" s="1" t="str">
        <f>"24064"</f>
        <v>24064</v>
      </c>
      <c r="C30145" s="2">
        <v>9.0394839620026694E-3</v>
      </c>
      <c r="D30145" s="2">
        <v>2.63561140055163E-3</v>
      </c>
      <c r="E30145" s="2">
        <v>3.7160906726124102E-4</v>
      </c>
      <c r="F30145" s="2">
        <v>8.2019451910554392E-3</v>
      </c>
    </row>
    <row r="30146" spans="1:6" x14ac:dyDescent="0.25">
      <c r="A30146" s="1" t="str">
        <f t="shared" si="1081"/>
        <v>40220</v>
      </c>
      <c r="B30146" s="1" t="str">
        <f>"24020"</f>
        <v>24020</v>
      </c>
      <c r="C30146" s="2">
        <v>6.2992919595837397E-6</v>
      </c>
      <c r="D30146" s="2">
        <v>7.5145571559914096E-2</v>
      </c>
      <c r="E30146" s="2">
        <v>1.8580453363062E-4</v>
      </c>
      <c r="F30146" s="2">
        <v>6.8053977666324896E-3</v>
      </c>
    </row>
    <row r="30147" spans="1:6" x14ac:dyDescent="0.25">
      <c r="A30147" s="1" t="str">
        <f t="shared" si="1081"/>
        <v>40220</v>
      </c>
      <c r="B30147" s="1" t="str">
        <f>"24184"</f>
        <v>24184</v>
      </c>
      <c r="C30147" s="2">
        <v>1.8526217653135699E-2</v>
      </c>
      <c r="D30147" s="2">
        <v>8.3971805087342897E-3</v>
      </c>
      <c r="E30147" s="2">
        <v>4.6451133407655098E-3</v>
      </c>
      <c r="F30147" s="2">
        <v>1.7196375626922299E-2</v>
      </c>
    </row>
    <row r="30148" spans="1:6" x14ac:dyDescent="0.25">
      <c r="A30148" s="1" t="str">
        <f t="shared" si="1081"/>
        <v>40220</v>
      </c>
      <c r="B30148" s="1" t="str">
        <f>"24009"</f>
        <v>24009</v>
      </c>
      <c r="C30148" s="2">
        <v>7.6851361906921599E-4</v>
      </c>
      <c r="D30148" s="2">
        <v>1.53233220962304E-3</v>
      </c>
      <c r="E30148" s="2">
        <v>1.8580453363062E-4</v>
      </c>
      <c r="F30148" s="2">
        <v>8.2019451910554403E-4</v>
      </c>
    </row>
    <row r="30149" spans="1:6" x14ac:dyDescent="0.25">
      <c r="A30149" s="1" t="str">
        <f t="shared" si="1081"/>
        <v>40220</v>
      </c>
      <c r="B30149" s="1" t="str">
        <f>"24128"</f>
        <v>24128</v>
      </c>
      <c r="C30149" s="2">
        <v>1.5307279461788401E-3</v>
      </c>
      <c r="D30149" s="2">
        <v>3.0646644192460902E-4</v>
      </c>
      <c r="E30149" s="2">
        <v>0</v>
      </c>
      <c r="F30149" s="2">
        <v>1.3743800049876599E-3</v>
      </c>
    </row>
    <row r="30150" spans="1:6" x14ac:dyDescent="0.25">
      <c r="A30150" s="1" t="str">
        <f t="shared" si="1081"/>
        <v>40220</v>
      </c>
      <c r="B30150" s="1" t="str">
        <f>"24450"</f>
        <v>24450</v>
      </c>
      <c r="C30150" s="2">
        <v>1.25985839191674E-5</v>
      </c>
      <c r="D30150" s="2">
        <v>0</v>
      </c>
      <c r="E30150" s="2">
        <v>0</v>
      </c>
      <c r="F30150" s="2">
        <v>1.10837097176424E-5</v>
      </c>
    </row>
    <row r="30151" spans="1:6" x14ac:dyDescent="0.25">
      <c r="A30151" s="1" t="str">
        <f t="shared" si="1081"/>
        <v>40220</v>
      </c>
      <c r="B30151" s="1" t="str">
        <f>"24090"</f>
        <v>24090</v>
      </c>
      <c r="C30151" s="2">
        <v>1.24285030362587E-2</v>
      </c>
      <c r="D30151" s="2">
        <v>5.0260496475635899E-3</v>
      </c>
      <c r="E30151" s="2">
        <v>4.2735042735042696E-3</v>
      </c>
      <c r="F30151" s="2">
        <v>1.1515974396630499E-2</v>
      </c>
    </row>
    <row r="30152" spans="1:6" x14ac:dyDescent="0.25">
      <c r="A30152" s="1" t="str">
        <f t="shared" si="1081"/>
        <v>40220</v>
      </c>
      <c r="B30152" s="1" t="str">
        <f>"24077"</f>
        <v>24077</v>
      </c>
      <c r="C30152" s="2">
        <v>4.7370675536069703E-3</v>
      </c>
      <c r="D30152" s="2">
        <v>6.9874348758810897E-3</v>
      </c>
      <c r="E30152" s="2">
        <v>5.7599405425492302E-3</v>
      </c>
      <c r="F30152" s="2">
        <v>4.9710438083626499E-3</v>
      </c>
    </row>
    <row r="30153" spans="1:6" x14ac:dyDescent="0.25">
      <c r="A30153" s="1" t="str">
        <f t="shared" si="1081"/>
        <v>40220</v>
      </c>
      <c r="B30153" s="1" t="str">
        <f>"24002"</f>
        <v>24002</v>
      </c>
      <c r="C30153" s="2">
        <v>8.9449945826089103E-4</v>
      </c>
      <c r="D30153" s="2">
        <v>3.43242414955562E-3</v>
      </c>
      <c r="E30153" s="2">
        <v>1.8580453363062E-4</v>
      </c>
      <c r="F30153" s="2">
        <v>1.1028291169054201E-3</v>
      </c>
    </row>
    <row r="30154" spans="1:6" x14ac:dyDescent="0.25">
      <c r="A30154" s="1" t="str">
        <f t="shared" si="1081"/>
        <v>40220</v>
      </c>
      <c r="B30154" s="1" t="str">
        <f>"24005"</f>
        <v>24005</v>
      </c>
      <c r="C30154" s="2">
        <v>5.0394335676669905E-4</v>
      </c>
      <c r="D30154" s="2">
        <v>1.9613852283174899E-3</v>
      </c>
      <c r="E30154" s="2">
        <v>1.8580453363062E-4</v>
      </c>
      <c r="F30154" s="2">
        <v>6.2622959904679997E-4</v>
      </c>
    </row>
    <row r="30155" spans="1:6" x14ac:dyDescent="0.25">
      <c r="A30155" s="1" t="str">
        <f t="shared" si="1081"/>
        <v>40220</v>
      </c>
      <c r="B30155" s="1" t="str">
        <f>"24010"</f>
        <v>24010</v>
      </c>
      <c r="C30155" s="2">
        <v>8.3150653866505405E-4</v>
      </c>
      <c r="D30155" s="2">
        <v>2.0839718050873401E-3</v>
      </c>
      <c r="E30155" s="2">
        <v>1.8580453363062E-4</v>
      </c>
      <c r="F30155" s="2">
        <v>9.2548976142314799E-4</v>
      </c>
    </row>
    <row r="30156" spans="1:6" x14ac:dyDescent="0.25">
      <c r="A30156" s="1" t="str">
        <f t="shared" si="1081"/>
        <v>40220</v>
      </c>
      <c r="B30156" s="1" t="str">
        <f>"24579"</f>
        <v>24579</v>
      </c>
      <c r="C30156" s="2">
        <v>4.4095043717086101E-5</v>
      </c>
      <c r="D30156" s="2">
        <v>1.2258657676984301E-4</v>
      </c>
      <c r="E30156" s="2">
        <v>0</v>
      </c>
      <c r="F30156" s="2">
        <v>4.9876693729391201E-5</v>
      </c>
    </row>
    <row r="30157" spans="1:6" x14ac:dyDescent="0.25">
      <c r="A30157" s="1" t="str">
        <f t="shared" si="1081"/>
        <v>40220</v>
      </c>
      <c r="B30157" s="1" t="str">
        <f>"24006"</f>
        <v>24006</v>
      </c>
      <c r="C30157" s="2">
        <v>5.4173910852420098E-4</v>
      </c>
      <c r="D30157" s="2">
        <v>2.02267851670242E-3</v>
      </c>
      <c r="E30157" s="2">
        <v>3.7160906726124102E-4</v>
      </c>
      <c r="F30157" s="2">
        <v>6.7056443791737002E-4</v>
      </c>
    </row>
    <row r="30158" spans="1:6" x14ac:dyDescent="0.25">
      <c r="A30158" s="1" t="str">
        <f t="shared" si="1081"/>
        <v>40220</v>
      </c>
      <c r="B30158" s="1" t="str">
        <f>"24175"</f>
        <v>24175</v>
      </c>
      <c r="C30158" s="2">
        <v>2.5316854385567002E-2</v>
      </c>
      <c r="D30158" s="2">
        <v>1.27490039840637E-2</v>
      </c>
      <c r="E30158" s="2">
        <v>4.2735042735042696E-3</v>
      </c>
      <c r="F30158" s="2">
        <v>2.3552883149990302E-2</v>
      </c>
    </row>
    <row r="30159" spans="1:6" x14ac:dyDescent="0.25">
      <c r="A30159" s="1" t="str">
        <f t="shared" si="1081"/>
        <v>40220</v>
      </c>
      <c r="B30159" s="1" t="str">
        <f>"24127"</f>
        <v>24127</v>
      </c>
      <c r="C30159" s="2">
        <v>1.2478897371935299E-2</v>
      </c>
      <c r="D30159" s="2">
        <v>2.5130248237817902E-3</v>
      </c>
      <c r="E30159" s="2">
        <v>2.9728725380899199E-3</v>
      </c>
      <c r="F30159" s="2">
        <v>1.12943002022777E-2</v>
      </c>
    </row>
    <row r="30160" spans="1:6" x14ac:dyDescent="0.25">
      <c r="A30160" s="1" t="str">
        <f t="shared" ref="A30160:A30170" si="1082">"40220"</f>
        <v>40220</v>
      </c>
      <c r="B30160" s="1" t="str">
        <f>"24121"</f>
        <v>24121</v>
      </c>
      <c r="C30160" s="2">
        <v>1.9187643308892E-2</v>
      </c>
      <c r="D30160" s="2">
        <v>1.45265093472264E-2</v>
      </c>
      <c r="E30160" s="2">
        <v>2.30397621701969E-2</v>
      </c>
      <c r="F30160" s="2">
        <v>1.88810995040039E-2</v>
      </c>
    </row>
    <row r="30161" spans="1:6" x14ac:dyDescent="0.25">
      <c r="A30161" s="1" t="str">
        <f t="shared" si="1082"/>
        <v>40220</v>
      </c>
      <c r="B30161" s="1" t="str">
        <f>"24029"</f>
        <v>24029</v>
      </c>
      <c r="C30161" s="2">
        <v>3.0236601406001898E-4</v>
      </c>
      <c r="D30161" s="2">
        <v>6.7422617223414003E-4</v>
      </c>
      <c r="E30161" s="2">
        <v>1.8580453363062E-4</v>
      </c>
      <c r="F30161" s="2">
        <v>3.3251129152927399E-4</v>
      </c>
    </row>
    <row r="30162" spans="1:6" x14ac:dyDescent="0.25">
      <c r="A30162" s="1" t="str">
        <f t="shared" si="1082"/>
        <v>40220</v>
      </c>
      <c r="B30162" s="1" t="str">
        <f>"24003"</f>
        <v>24003</v>
      </c>
      <c r="C30162" s="2">
        <v>5.2914052460503399E-4</v>
      </c>
      <c r="D30162" s="2">
        <v>2.5743181121667099E-3</v>
      </c>
      <c r="E30162" s="2">
        <v>1.8580453363062E-4</v>
      </c>
      <c r="F30162" s="2">
        <v>7.0381556707029805E-4</v>
      </c>
    </row>
    <row r="30163" spans="1:6" x14ac:dyDescent="0.25">
      <c r="A30163" s="1" t="str">
        <f t="shared" si="1082"/>
        <v>40220</v>
      </c>
      <c r="B30163" s="1" t="str">
        <f>"24025"</f>
        <v>24025</v>
      </c>
      <c r="C30163" s="2">
        <v>2.5827097034293302E-4</v>
      </c>
      <c r="D30163" s="2">
        <v>1.83879865154765E-3</v>
      </c>
      <c r="E30163" s="2">
        <v>1.8580453363062E-4</v>
      </c>
      <c r="F30163" s="2">
        <v>3.9901354983512902E-4</v>
      </c>
    </row>
    <row r="30164" spans="1:6" x14ac:dyDescent="0.25">
      <c r="A30164" s="1" t="str">
        <f t="shared" si="1082"/>
        <v>40220</v>
      </c>
      <c r="B30164" s="1" t="str">
        <f>"24028"</f>
        <v>24028</v>
      </c>
      <c r="C30164" s="2">
        <v>2.8976743014085199E-4</v>
      </c>
      <c r="D30164" s="2">
        <v>1.22586576769843E-3</v>
      </c>
      <c r="E30164" s="2">
        <v>3.7160906726124102E-4</v>
      </c>
      <c r="F30164" s="2">
        <v>3.7684613039984399E-4</v>
      </c>
    </row>
    <row r="30165" spans="1:6" x14ac:dyDescent="0.25">
      <c r="A30165" s="1" t="str">
        <f t="shared" si="1082"/>
        <v>40220</v>
      </c>
      <c r="B30165" s="1" t="str">
        <f>"24007"</f>
        <v>24007</v>
      </c>
      <c r="C30165" s="2">
        <v>8.4410512258422104E-4</v>
      </c>
      <c r="D30165" s="2">
        <v>2.1452650934722598E-3</v>
      </c>
      <c r="E30165" s="2">
        <v>1.8580453363062E-4</v>
      </c>
      <c r="F30165" s="2">
        <v>9.4211532599961195E-4</v>
      </c>
    </row>
    <row r="30166" spans="1:6" x14ac:dyDescent="0.25">
      <c r="A30166" s="1" t="str">
        <f t="shared" si="1082"/>
        <v>40220</v>
      </c>
      <c r="B30166" s="1" t="str">
        <f>"24018"</f>
        <v>24018</v>
      </c>
      <c r="C30166" s="2">
        <v>0.118168417869831</v>
      </c>
      <c r="D30166" s="2">
        <v>0.124302788844621</v>
      </c>
      <c r="E30166" s="2">
        <v>0.15570419918246001</v>
      </c>
      <c r="F30166" s="2">
        <v>0.119842611322009</v>
      </c>
    </row>
    <row r="30167" spans="1:6" x14ac:dyDescent="0.25">
      <c r="A30167" s="1" t="str">
        <f t="shared" si="1082"/>
        <v>40220</v>
      </c>
      <c r="B30167" s="1" t="str">
        <f>"24176"</f>
        <v>24176</v>
      </c>
      <c r="C30167" s="2">
        <v>6.5260664701287498E-3</v>
      </c>
      <c r="D30167" s="2">
        <v>1.71621207477781E-3</v>
      </c>
      <c r="E30167" s="2">
        <v>5.5741360089186099E-4</v>
      </c>
      <c r="F30167" s="2">
        <v>5.9131591343622699E-3</v>
      </c>
    </row>
    <row r="30168" spans="1:6" x14ac:dyDescent="0.25">
      <c r="A30168" s="1" t="str">
        <f t="shared" si="1082"/>
        <v>40220</v>
      </c>
      <c r="B30168" s="1" t="str">
        <f>"24067"</f>
        <v>24067</v>
      </c>
      <c r="C30168" s="2">
        <v>6.5890593897245898E-3</v>
      </c>
      <c r="D30168" s="2">
        <v>1.1645724793135099E-3</v>
      </c>
      <c r="E30168" s="2">
        <v>9.2902266815310202E-4</v>
      </c>
      <c r="F30168" s="2">
        <v>5.9297846989387303E-3</v>
      </c>
    </row>
    <row r="30169" spans="1:6" x14ac:dyDescent="0.25">
      <c r="A30169" s="1" t="str">
        <f t="shared" si="1082"/>
        <v>40220</v>
      </c>
      <c r="B30169" s="1" t="str">
        <f>"24092"</f>
        <v>24092</v>
      </c>
      <c r="C30169" s="2">
        <v>8.9323959986897395E-3</v>
      </c>
      <c r="D30169" s="2">
        <v>2.3904382470119499E-3</v>
      </c>
      <c r="E30169" s="2">
        <v>1.48643626904496E-3</v>
      </c>
      <c r="F30169" s="2">
        <v>8.1188173681731209E-3</v>
      </c>
    </row>
    <row r="30170" spans="1:6" x14ac:dyDescent="0.25">
      <c r="A30170" s="1" t="str">
        <f t="shared" si="1082"/>
        <v>40220</v>
      </c>
      <c r="B30170" s="1" t="str">
        <f>"24101"</f>
        <v>24101</v>
      </c>
      <c r="C30170" s="2">
        <v>1.6239574671806801E-2</v>
      </c>
      <c r="D30170" s="2">
        <v>1.0481152313821599E-2</v>
      </c>
      <c r="E30170" s="2">
        <v>6.8747677443329602E-3</v>
      </c>
      <c r="F30170" s="2">
        <v>1.5439607636675901E-2</v>
      </c>
    </row>
    <row r="30171" spans="1:6" x14ac:dyDescent="0.25">
      <c r="A30171" s="1" t="str">
        <f t="shared" ref="A30171:A30195" si="1083">"40260"</f>
        <v>40260</v>
      </c>
      <c r="B30171" s="1" t="str">
        <f>"27823"</f>
        <v>27823</v>
      </c>
      <c r="C30171" s="2">
        <v>0.10311337272926201</v>
      </c>
      <c r="D30171" s="2">
        <v>8.1916537867078795E-2</v>
      </c>
      <c r="E30171" s="2">
        <v>5.5248618784530301E-2</v>
      </c>
      <c r="F30171" s="2">
        <v>0.10107602751807999</v>
      </c>
    </row>
    <row r="30172" spans="1:6" x14ac:dyDescent="0.25">
      <c r="A30172" s="1" t="str">
        <f t="shared" si="1083"/>
        <v>40260</v>
      </c>
      <c r="B30172" s="1" t="str">
        <f>"27850"</f>
        <v>27850</v>
      </c>
      <c r="C30172" s="2">
        <v>6.7465528562048502E-2</v>
      </c>
      <c r="D30172" s="2">
        <v>1.39103554868624E-2</v>
      </c>
      <c r="E30172" s="2">
        <v>1.47329650092081E-2</v>
      </c>
      <c r="F30172" s="2">
        <v>6.3251266285310997E-2</v>
      </c>
    </row>
    <row r="30173" spans="1:6" x14ac:dyDescent="0.25">
      <c r="A30173" s="1" t="str">
        <f t="shared" si="1083"/>
        <v>40260</v>
      </c>
      <c r="B30173" s="1" t="str">
        <f>"27845"</f>
        <v>27845</v>
      </c>
      <c r="C30173" s="2">
        <v>2.0929087327642801E-2</v>
      </c>
      <c r="D30173" s="2">
        <v>2.3570324574961301E-2</v>
      </c>
      <c r="E30173" s="2">
        <v>2.02578268876611E-2</v>
      </c>
      <c r="F30173" s="2">
        <v>2.1092155330998098E-2</v>
      </c>
    </row>
    <row r="30174" spans="1:6" x14ac:dyDescent="0.25">
      <c r="A30174" s="1" t="str">
        <f t="shared" si="1083"/>
        <v>40260</v>
      </c>
      <c r="B30174" s="1" t="str">
        <f>"27843"</f>
        <v>27843</v>
      </c>
      <c r="C30174" s="2">
        <v>7.2499452834318204E-3</v>
      </c>
      <c r="D30174" s="2">
        <v>2.3183925811437402E-3</v>
      </c>
      <c r="E30174" s="2">
        <v>0</v>
      </c>
      <c r="F30174" s="2">
        <v>6.8291207821989204E-3</v>
      </c>
    </row>
    <row r="30175" spans="1:6" x14ac:dyDescent="0.25">
      <c r="A30175" s="1" t="str">
        <f t="shared" si="1083"/>
        <v>40260</v>
      </c>
      <c r="B30175" s="1" t="str">
        <f>"27862"</f>
        <v>27862</v>
      </c>
      <c r="C30175" s="2">
        <v>8.6178594878529198E-3</v>
      </c>
      <c r="D30175" s="2">
        <v>3.0911901081916498E-3</v>
      </c>
      <c r="E30175" s="2">
        <v>0</v>
      </c>
      <c r="F30175" s="2">
        <v>8.1395055817352503E-3</v>
      </c>
    </row>
    <row r="30176" spans="1:6" x14ac:dyDescent="0.25">
      <c r="A30176" s="1" t="str">
        <f t="shared" si="1083"/>
        <v>40260</v>
      </c>
      <c r="B30176" s="1" t="str">
        <f>"27867"</f>
        <v>27867</v>
      </c>
      <c r="C30176" s="2">
        <v>0</v>
      </c>
      <c r="D30176" s="2">
        <v>3.8639876352395601E-4</v>
      </c>
      <c r="E30176" s="2">
        <v>0</v>
      </c>
      <c r="F30176" s="2">
        <v>2.5199707683390801E-5</v>
      </c>
    </row>
    <row r="30177" spans="1:6" x14ac:dyDescent="0.25">
      <c r="A30177" s="1" t="str">
        <f t="shared" si="1083"/>
        <v>40260</v>
      </c>
      <c r="B30177" s="1" t="str">
        <f>"27869"</f>
        <v>27869</v>
      </c>
      <c r="C30177" s="2">
        <v>2.0819654191289099E-2</v>
      </c>
      <c r="D30177" s="2">
        <v>5.7959814528593502E-3</v>
      </c>
      <c r="E30177" s="2">
        <v>5.5248618784530298E-3</v>
      </c>
      <c r="F30177" s="2">
        <v>1.96305722853614E-2</v>
      </c>
    </row>
    <row r="30178" spans="1:6" x14ac:dyDescent="0.25">
      <c r="A30178" s="1" t="str">
        <f t="shared" si="1083"/>
        <v>40260</v>
      </c>
      <c r="B30178" s="1" t="str">
        <f>"27805"</f>
        <v>27805</v>
      </c>
      <c r="C30178" s="2">
        <v>2.73582840884219E-5</v>
      </c>
      <c r="D30178" s="2">
        <v>0</v>
      </c>
      <c r="E30178" s="2">
        <v>0</v>
      </c>
      <c r="F30178" s="2">
        <v>2.5199707683390801E-5</v>
      </c>
    </row>
    <row r="30179" spans="1:6" x14ac:dyDescent="0.25">
      <c r="A30179" s="1" t="str">
        <f t="shared" si="1083"/>
        <v>40260</v>
      </c>
      <c r="B30179" s="1" t="str">
        <f>"27887"</f>
        <v>27887</v>
      </c>
      <c r="C30179" s="2">
        <v>0</v>
      </c>
      <c r="D30179" s="2">
        <v>3.8639876352395601E-4</v>
      </c>
      <c r="E30179" s="2">
        <v>0</v>
      </c>
      <c r="F30179" s="2">
        <v>2.5199707683390801E-5</v>
      </c>
    </row>
    <row r="30180" spans="1:6" x14ac:dyDescent="0.25">
      <c r="A30180" s="1" t="str">
        <f t="shared" si="1083"/>
        <v>40260</v>
      </c>
      <c r="B30180" s="1" t="str">
        <f>"27820"</f>
        <v>27820</v>
      </c>
      <c r="C30180" s="2">
        <v>3.2939374042460001E-2</v>
      </c>
      <c r="D30180" s="2">
        <v>5.4095826893353896E-3</v>
      </c>
      <c r="E30180" s="2">
        <v>2.2099447513812098E-2</v>
      </c>
      <c r="F30180" s="2">
        <v>3.09956404505707E-2</v>
      </c>
    </row>
    <row r="30181" spans="1:6" x14ac:dyDescent="0.25">
      <c r="A30181" s="1" t="str">
        <f t="shared" si="1083"/>
        <v>40260</v>
      </c>
      <c r="B30181" s="1" t="str">
        <f>"27877"</f>
        <v>27877</v>
      </c>
      <c r="C30181" s="2">
        <v>0</v>
      </c>
      <c r="D30181" s="2">
        <v>3.8639876352395601E-4</v>
      </c>
      <c r="E30181" s="2">
        <v>0</v>
      </c>
      <c r="F30181" s="2">
        <v>2.5199707683390801E-5</v>
      </c>
    </row>
    <row r="30182" spans="1:6" x14ac:dyDescent="0.25">
      <c r="A30182" s="1" t="str">
        <f t="shared" si="1083"/>
        <v>40260</v>
      </c>
      <c r="B30182" s="1" t="str">
        <f>"27832"</f>
        <v>27832</v>
      </c>
      <c r="C30182" s="2">
        <v>3.3404464871963198E-2</v>
      </c>
      <c r="D30182" s="2">
        <v>1.9706336939721701E-2</v>
      </c>
      <c r="E30182" s="2">
        <v>7.3664825046040501E-3</v>
      </c>
      <c r="F30182" s="2">
        <v>3.2154827004006702E-2</v>
      </c>
    </row>
    <row r="30183" spans="1:6" x14ac:dyDescent="0.25">
      <c r="A30183" s="1" t="str">
        <f t="shared" si="1083"/>
        <v>40260</v>
      </c>
      <c r="B30183" s="1" t="str">
        <f>"27897"</f>
        <v>27897</v>
      </c>
      <c r="C30183" s="2">
        <v>1.37065003282994E-2</v>
      </c>
      <c r="D30183" s="2">
        <v>5.0231839258114298E-3</v>
      </c>
      <c r="E30183" s="2">
        <v>3.6832412523020198E-3</v>
      </c>
      <c r="F30183" s="2">
        <v>1.3003049164629601E-2</v>
      </c>
    </row>
    <row r="30184" spans="1:6" x14ac:dyDescent="0.25">
      <c r="A30184" s="1" t="str">
        <f t="shared" si="1083"/>
        <v>40260</v>
      </c>
      <c r="B30184" s="1" t="str">
        <f>"27844"</f>
        <v>27844</v>
      </c>
      <c r="C30184" s="2">
        <v>3.1981834099365197E-2</v>
      </c>
      <c r="D30184" s="2">
        <v>1.12055641421947E-2</v>
      </c>
      <c r="E30184" s="2">
        <v>0</v>
      </c>
      <c r="F30184" s="2">
        <v>3.0189249804702199E-2</v>
      </c>
    </row>
    <row r="30185" spans="1:6" x14ac:dyDescent="0.25">
      <c r="A30185" s="1" t="str">
        <f t="shared" si="1083"/>
        <v>40260</v>
      </c>
      <c r="B30185" s="1" t="str">
        <f>"27891"</f>
        <v>27891</v>
      </c>
      <c r="C30185" s="2">
        <v>1.91507988618953E-3</v>
      </c>
      <c r="D30185" s="2">
        <v>0</v>
      </c>
      <c r="E30185" s="2">
        <v>0</v>
      </c>
      <c r="F30185" s="2">
        <v>1.7639795378373601E-3</v>
      </c>
    </row>
    <row r="30186" spans="1:6" x14ac:dyDescent="0.25">
      <c r="A30186" s="1" t="str">
        <f t="shared" si="1083"/>
        <v>40260</v>
      </c>
      <c r="B30186" s="1" t="str">
        <f>"27890"</f>
        <v>27890</v>
      </c>
      <c r="C30186" s="2">
        <v>5.0776975268111098E-2</v>
      </c>
      <c r="D30186" s="2">
        <v>0.100850077279752</v>
      </c>
      <c r="E30186" s="2">
        <v>2.5782688766114101E-2</v>
      </c>
      <c r="F30186" s="2">
        <v>5.3700577073305902E-2</v>
      </c>
    </row>
    <row r="30187" spans="1:6" x14ac:dyDescent="0.25">
      <c r="A30187" s="1" t="str">
        <f t="shared" si="1083"/>
        <v>40260</v>
      </c>
      <c r="B30187" s="1" t="str">
        <f>"27842"</f>
        <v>27842</v>
      </c>
      <c r="C30187" s="2">
        <v>3.5456336178594797E-2</v>
      </c>
      <c r="D30187" s="2">
        <v>8.1143740340030909E-3</v>
      </c>
      <c r="E30187" s="2">
        <v>0.10497237569060699</v>
      </c>
      <c r="F30187" s="2">
        <v>3.4624398356979003E-2</v>
      </c>
    </row>
    <row r="30188" spans="1:6" x14ac:dyDescent="0.25">
      <c r="A30188" s="1" t="str">
        <f t="shared" si="1083"/>
        <v>40260</v>
      </c>
      <c r="B30188" s="1" t="str">
        <f>"27866"</f>
        <v>27866</v>
      </c>
      <c r="C30188" s="2">
        <v>1.0040490260450801E-2</v>
      </c>
      <c r="D30188" s="2">
        <v>5.7959814528593502E-3</v>
      </c>
      <c r="E30188" s="2">
        <v>0</v>
      </c>
      <c r="F30188" s="2">
        <v>9.6262883350553101E-3</v>
      </c>
    </row>
    <row r="30189" spans="1:6" x14ac:dyDescent="0.25">
      <c r="A30189" s="1" t="str">
        <f t="shared" si="1083"/>
        <v>40260</v>
      </c>
      <c r="B30189" s="1" t="str">
        <f>"27853"</f>
        <v>27853</v>
      </c>
      <c r="C30189" s="2">
        <v>7.4140949879623504E-3</v>
      </c>
      <c r="D30189" s="2">
        <v>2.3183925811437402E-3</v>
      </c>
      <c r="E30189" s="2">
        <v>0</v>
      </c>
      <c r="F30189" s="2">
        <v>6.9803190282992696E-3</v>
      </c>
    </row>
    <row r="30190" spans="1:6" x14ac:dyDescent="0.25">
      <c r="A30190" s="1" t="str">
        <f t="shared" si="1083"/>
        <v>40260</v>
      </c>
      <c r="B30190" s="1" t="str">
        <f>"27870"</f>
        <v>27870</v>
      </c>
      <c r="C30190" s="2">
        <v>0.38922630772597899</v>
      </c>
      <c r="D30190" s="2">
        <v>0.57148377125193095</v>
      </c>
      <c r="E30190" s="2">
        <v>0.30570902394106803</v>
      </c>
      <c r="F30190" s="2">
        <v>0.39996976035077902</v>
      </c>
    </row>
    <row r="30191" spans="1:6" x14ac:dyDescent="0.25">
      <c r="A30191" s="1" t="str">
        <f t="shared" si="1083"/>
        <v>40260</v>
      </c>
      <c r="B30191" s="1" t="str">
        <f>"27839"</f>
        <v>27839</v>
      </c>
      <c r="C30191" s="2">
        <v>3.2912015758371597E-2</v>
      </c>
      <c r="D30191" s="2">
        <v>3.0139103554868599E-2</v>
      </c>
      <c r="E30191" s="2">
        <v>0.40883977900552398</v>
      </c>
      <c r="F30191" s="2">
        <v>3.7875160648136397E-2</v>
      </c>
    </row>
    <row r="30192" spans="1:6" x14ac:dyDescent="0.25">
      <c r="A30192" s="1" t="str">
        <f t="shared" si="1083"/>
        <v>40260</v>
      </c>
      <c r="B30192" s="1" t="str">
        <f>"27855"</f>
        <v>27855</v>
      </c>
      <c r="C30192" s="2">
        <v>5.2801488290654397E-3</v>
      </c>
      <c r="D30192" s="2">
        <v>6.9551777434312201E-3</v>
      </c>
      <c r="E30192" s="2">
        <v>0</v>
      </c>
      <c r="F30192" s="2">
        <v>5.3171383211954703E-3</v>
      </c>
    </row>
    <row r="30193" spans="1:6" x14ac:dyDescent="0.25">
      <c r="A30193" s="1" t="str">
        <f t="shared" si="1083"/>
        <v>40260</v>
      </c>
      <c r="B30193" s="1" t="str">
        <f>"27874"</f>
        <v>27874</v>
      </c>
      <c r="C30193" s="2">
        <v>6.4264609323703203E-2</v>
      </c>
      <c r="D30193" s="2">
        <v>7.8825347758887096E-2</v>
      </c>
      <c r="E30193" s="2">
        <v>2.2099447513812098E-2</v>
      </c>
      <c r="F30193" s="2">
        <v>6.4637250207897498E-2</v>
      </c>
    </row>
    <row r="30194" spans="1:6" x14ac:dyDescent="0.25">
      <c r="A30194" s="1" t="str">
        <f t="shared" si="1083"/>
        <v>40260</v>
      </c>
      <c r="B30194" s="1" t="str">
        <f>"27831"</f>
        <v>27831</v>
      </c>
      <c r="C30194" s="2">
        <v>4.8697745677391102E-2</v>
      </c>
      <c r="D30194" s="2">
        <v>1.9319938176197801E-2</v>
      </c>
      <c r="E30194" s="2">
        <v>3.6832412523020198E-3</v>
      </c>
      <c r="F30194" s="2">
        <v>4.6165864475971999E-2</v>
      </c>
    </row>
    <row r="30195" spans="1:6" x14ac:dyDescent="0.25">
      <c r="A30195" s="1" t="str">
        <f t="shared" si="1083"/>
        <v>40260</v>
      </c>
      <c r="B30195" s="1" t="str">
        <f>"27876"</f>
        <v>27876</v>
      </c>
      <c r="C30195" s="2">
        <v>1.37612168964762E-2</v>
      </c>
      <c r="D30195" s="2">
        <v>3.0911901081916498E-3</v>
      </c>
      <c r="E30195" s="2">
        <v>0</v>
      </c>
      <c r="F30195" s="2">
        <v>1.2877050626212701E-2</v>
      </c>
    </row>
    <row r="30196" spans="1:6" x14ac:dyDescent="0.25">
      <c r="A30196" s="1" t="str">
        <f t="shared" ref="A30196:A30223" si="1084">"40300"</f>
        <v>40300</v>
      </c>
      <c r="B30196" s="1" t="str">
        <f>"60553"</f>
        <v>60553</v>
      </c>
      <c r="C30196" s="2">
        <v>4.1710114702815401E-5</v>
      </c>
      <c r="D30196" s="2">
        <v>0</v>
      </c>
      <c r="E30196" s="2">
        <v>0</v>
      </c>
      <c r="F30196" s="2">
        <v>3.7774336116042701E-5</v>
      </c>
    </row>
    <row r="30197" spans="1:6" x14ac:dyDescent="0.25">
      <c r="A30197" s="1" t="str">
        <f t="shared" si="1084"/>
        <v>40300</v>
      </c>
      <c r="B30197" s="1" t="str">
        <f>"61052"</f>
        <v>61052</v>
      </c>
      <c r="C30197" s="2">
        <v>1.9103232533889399E-2</v>
      </c>
      <c r="D30197" s="2">
        <v>5.44794188861985E-3</v>
      </c>
      <c r="E30197" s="2">
        <v>9.4562647754137096E-3</v>
      </c>
      <c r="F30197" s="2">
        <v>1.7942809655120299E-2</v>
      </c>
    </row>
    <row r="30198" spans="1:6" x14ac:dyDescent="0.25">
      <c r="A30198" s="1" t="str">
        <f t="shared" si="1084"/>
        <v>40300</v>
      </c>
      <c r="B30198" s="1" t="str">
        <f>"61020"</f>
        <v>61020</v>
      </c>
      <c r="C30198" s="2">
        <v>6.3816475495307598E-2</v>
      </c>
      <c r="D30198" s="2">
        <v>2.2397094430992699E-2</v>
      </c>
      <c r="E30198" s="2">
        <v>2.36406619385342E-3</v>
      </c>
      <c r="F30198" s="2">
        <v>5.9267933366071002E-2</v>
      </c>
    </row>
    <row r="30199" spans="1:6" x14ac:dyDescent="0.25">
      <c r="A30199" s="1" t="str">
        <f t="shared" si="1084"/>
        <v>40300</v>
      </c>
      <c r="B30199" s="1" t="str">
        <f>"61078"</f>
        <v>61078</v>
      </c>
      <c r="C30199" s="2">
        <v>1.54327424400417E-3</v>
      </c>
      <c r="D30199" s="2">
        <v>1.2106537530266301E-3</v>
      </c>
      <c r="E30199" s="2">
        <v>0</v>
      </c>
      <c r="F30199" s="2">
        <v>1.4731991085256599E-3</v>
      </c>
    </row>
    <row r="30200" spans="1:6" x14ac:dyDescent="0.25">
      <c r="A30200" s="1" t="str">
        <f t="shared" si="1084"/>
        <v>40300</v>
      </c>
      <c r="B30200" s="1" t="str">
        <f>"61006"</f>
        <v>61006</v>
      </c>
      <c r="C30200" s="2">
        <v>4.0458811261730896E-3</v>
      </c>
      <c r="D30200" s="2">
        <v>1.8159806295399499E-3</v>
      </c>
      <c r="E30200" s="2">
        <v>0</v>
      </c>
      <c r="F30200" s="2">
        <v>3.77743361160427E-3</v>
      </c>
    </row>
    <row r="30201" spans="1:6" x14ac:dyDescent="0.25">
      <c r="A30201" s="1" t="str">
        <f t="shared" si="1084"/>
        <v>40300</v>
      </c>
      <c r="B30201" s="1" t="str">
        <f>"61015"</f>
        <v>61015</v>
      </c>
      <c r="C30201" s="2">
        <v>1.7059436913451499E-2</v>
      </c>
      <c r="D30201" s="2">
        <v>2.4213075060532602E-3</v>
      </c>
      <c r="E30201" s="2">
        <v>2.36406619385342E-3</v>
      </c>
      <c r="F30201" s="2">
        <v>1.5676349488157701E-2</v>
      </c>
    </row>
    <row r="30202" spans="1:6" x14ac:dyDescent="0.25">
      <c r="A30202" s="1" t="str">
        <f t="shared" si="1084"/>
        <v>40300</v>
      </c>
      <c r="B30202" s="1" t="str">
        <f>"61102"</f>
        <v>61102</v>
      </c>
      <c r="C30202" s="2">
        <v>3.9624608967674599E-3</v>
      </c>
      <c r="D30202" s="2">
        <v>3.0266343825665798E-3</v>
      </c>
      <c r="E30202" s="2">
        <v>7.09219858156028E-3</v>
      </c>
      <c r="F30202" s="2">
        <v>4.0040796283005303E-3</v>
      </c>
    </row>
    <row r="30203" spans="1:6" x14ac:dyDescent="0.25">
      <c r="A30203" s="1" t="str">
        <f t="shared" si="1084"/>
        <v>40300</v>
      </c>
      <c r="B30203" s="1" t="str">
        <f>"61088"</f>
        <v>61088</v>
      </c>
      <c r="C30203" s="2">
        <v>4.5881126173096898E-4</v>
      </c>
      <c r="D30203" s="2">
        <v>0</v>
      </c>
      <c r="E30203" s="2">
        <v>0</v>
      </c>
      <c r="F30203" s="2">
        <v>4.1551769727646997E-4</v>
      </c>
    </row>
    <row r="30204" spans="1:6" x14ac:dyDescent="0.25">
      <c r="A30204" s="1" t="str">
        <f t="shared" si="1084"/>
        <v>40300</v>
      </c>
      <c r="B30204" s="1" t="str">
        <f>"61109"</f>
        <v>61109</v>
      </c>
      <c r="C30204" s="2">
        <v>5.0052137643378505E-4</v>
      </c>
      <c r="D30204" s="2">
        <v>0</v>
      </c>
      <c r="E30204" s="2">
        <v>0</v>
      </c>
      <c r="F30204" s="2">
        <v>4.5329203339251298E-4</v>
      </c>
    </row>
    <row r="30205" spans="1:6" x14ac:dyDescent="0.25">
      <c r="A30205" s="1" t="str">
        <f t="shared" si="1084"/>
        <v>40300</v>
      </c>
      <c r="B30205" s="1" t="str">
        <f>"61007"</f>
        <v>61007</v>
      </c>
      <c r="C30205" s="2">
        <v>5.38060479666319E-3</v>
      </c>
      <c r="D30205" s="2">
        <v>1.2106537530266301E-3</v>
      </c>
      <c r="E30205" s="2">
        <v>2.36406619385342E-3</v>
      </c>
      <c r="F30205" s="2">
        <v>5.0239867034336796E-3</v>
      </c>
    </row>
    <row r="30206" spans="1:6" x14ac:dyDescent="0.25">
      <c r="A30206" s="1" t="str">
        <f t="shared" si="1084"/>
        <v>40300</v>
      </c>
      <c r="B30206" s="1" t="str">
        <f>"61064"</f>
        <v>61064</v>
      </c>
      <c r="C30206" s="2">
        <v>7.4827945776850799E-2</v>
      </c>
      <c r="D30206" s="2">
        <v>0.113801452784503</v>
      </c>
      <c r="E30206" s="2">
        <v>6.6193853427895896E-2</v>
      </c>
      <c r="F30206" s="2">
        <v>7.69840970044951E-2</v>
      </c>
    </row>
    <row r="30207" spans="1:6" x14ac:dyDescent="0.25">
      <c r="A30207" s="1" t="str">
        <f t="shared" si="1084"/>
        <v>40300</v>
      </c>
      <c r="B30207" s="1" t="str">
        <f>"61068"</f>
        <v>61068</v>
      </c>
      <c r="C30207" s="2">
        <v>0.26118873826903</v>
      </c>
      <c r="D30207" s="2">
        <v>0.40496368038740899</v>
      </c>
      <c r="E30207" s="2">
        <v>0.40780141843971601</v>
      </c>
      <c r="F30207" s="2">
        <v>0.27484606958032698</v>
      </c>
    </row>
    <row r="30208" spans="1:6" x14ac:dyDescent="0.25">
      <c r="A30208" s="1" t="str">
        <f t="shared" si="1084"/>
        <v>40300</v>
      </c>
      <c r="B30208" s="1" t="str">
        <f>"61039"</f>
        <v>61039</v>
      </c>
      <c r="C30208" s="2">
        <v>2.5860271115745498E-3</v>
      </c>
      <c r="D30208" s="2">
        <v>1.2106537530266301E-3</v>
      </c>
      <c r="E30208" s="2">
        <v>0</v>
      </c>
      <c r="F30208" s="2">
        <v>2.4175575114267298E-3</v>
      </c>
    </row>
    <row r="30209" spans="1:6" x14ac:dyDescent="0.25">
      <c r="A30209" s="1" t="str">
        <f t="shared" si="1084"/>
        <v>40300</v>
      </c>
      <c r="B30209" s="1" t="str">
        <f>"61084"</f>
        <v>61084</v>
      </c>
      <c r="C30209" s="2">
        <v>5.0469238790406601E-2</v>
      </c>
      <c r="D30209" s="2">
        <v>1.2711864406779599E-2</v>
      </c>
      <c r="E30209" s="2">
        <v>2.6004728132387699E-2</v>
      </c>
      <c r="F30209" s="2">
        <v>4.7331243153401502E-2</v>
      </c>
    </row>
    <row r="30210" spans="1:6" x14ac:dyDescent="0.25">
      <c r="A30210" s="1" t="str">
        <f t="shared" si="1084"/>
        <v>40300</v>
      </c>
      <c r="B30210" s="1" t="str">
        <f>"61051"</f>
        <v>61051</v>
      </c>
      <c r="C30210" s="2">
        <v>5.4223149113660004E-4</v>
      </c>
      <c r="D30210" s="2">
        <v>0</v>
      </c>
      <c r="E30210" s="2">
        <v>0</v>
      </c>
      <c r="F30210" s="2">
        <v>4.9106636950855501E-4</v>
      </c>
    </row>
    <row r="30211" spans="1:6" x14ac:dyDescent="0.25">
      <c r="A30211" s="1" t="str">
        <f t="shared" si="1084"/>
        <v>40300</v>
      </c>
      <c r="B30211" s="1" t="str">
        <f>"61010"</f>
        <v>61010</v>
      </c>
      <c r="C30211" s="2">
        <v>0.142690302398331</v>
      </c>
      <c r="D30211" s="2">
        <v>7.2033898305084706E-2</v>
      </c>
      <c r="E30211" s="2">
        <v>0.12765957446808501</v>
      </c>
      <c r="F30211" s="2">
        <v>0.13780077815132299</v>
      </c>
    </row>
    <row r="30212" spans="1:6" x14ac:dyDescent="0.25">
      <c r="A30212" s="1" t="str">
        <f t="shared" si="1084"/>
        <v>40300</v>
      </c>
      <c r="B30212" s="1" t="str">
        <f>"60129"</f>
        <v>60129</v>
      </c>
      <c r="C30212" s="2">
        <v>2.1689259645464001E-3</v>
      </c>
      <c r="D30212" s="2">
        <v>0</v>
      </c>
      <c r="E30212" s="2">
        <v>0</v>
      </c>
      <c r="F30212" s="2">
        <v>1.96426547803422E-3</v>
      </c>
    </row>
    <row r="30213" spans="1:6" x14ac:dyDescent="0.25">
      <c r="A30213" s="1" t="str">
        <f t="shared" si="1084"/>
        <v>40300</v>
      </c>
      <c r="B30213" s="1" t="str">
        <f>"61091"</f>
        <v>61091</v>
      </c>
      <c r="C30213" s="2">
        <v>7.92492179353493E-4</v>
      </c>
      <c r="D30213" s="2">
        <v>0</v>
      </c>
      <c r="E30213" s="2">
        <v>3.54609929078014E-3</v>
      </c>
      <c r="F30213" s="2">
        <v>8.3103539455293995E-4</v>
      </c>
    </row>
    <row r="30214" spans="1:6" x14ac:dyDescent="0.25">
      <c r="A30214" s="1" t="str">
        <f t="shared" si="1084"/>
        <v>40300</v>
      </c>
      <c r="B30214" s="1" t="str">
        <f>"61049"</f>
        <v>61049</v>
      </c>
      <c r="C30214" s="2">
        <v>8.8842544316996806E-3</v>
      </c>
      <c r="D30214" s="2">
        <v>3.0266343825665798E-3</v>
      </c>
      <c r="E30214" s="2">
        <v>5.9101654846335601E-3</v>
      </c>
      <c r="F30214" s="2">
        <v>8.4236769538775305E-3</v>
      </c>
    </row>
    <row r="30215" spans="1:6" x14ac:dyDescent="0.25">
      <c r="A30215" s="1" t="str">
        <f t="shared" si="1084"/>
        <v>40300</v>
      </c>
      <c r="B30215" s="1" t="str">
        <f>"61031"</f>
        <v>61031</v>
      </c>
      <c r="C30215" s="2">
        <v>5.83941605839416E-4</v>
      </c>
      <c r="D30215" s="2">
        <v>6.05326876513317E-4</v>
      </c>
      <c r="E30215" s="2">
        <v>0</v>
      </c>
      <c r="F30215" s="2">
        <v>5.6661504174064102E-4</v>
      </c>
    </row>
    <row r="30216" spans="1:6" x14ac:dyDescent="0.25">
      <c r="A30216" s="1" t="str">
        <f t="shared" si="1084"/>
        <v>40300</v>
      </c>
      <c r="B30216" s="1" t="str">
        <f>"60146"</f>
        <v>60146</v>
      </c>
      <c r="C30216" s="2">
        <v>2.08550573514077E-4</v>
      </c>
      <c r="D30216" s="2">
        <v>0</v>
      </c>
      <c r="E30216" s="2">
        <v>0</v>
      </c>
      <c r="F30216" s="2">
        <v>1.88871680580213E-4</v>
      </c>
    </row>
    <row r="30217" spans="1:6" x14ac:dyDescent="0.25">
      <c r="A30217" s="1" t="str">
        <f t="shared" si="1084"/>
        <v>40300</v>
      </c>
      <c r="B30217" s="1" t="str">
        <f>"61030"</f>
        <v>61030</v>
      </c>
      <c r="C30217" s="2">
        <v>4.3920750782064602E-2</v>
      </c>
      <c r="D30217" s="2">
        <v>2.3607748184019301E-2</v>
      </c>
      <c r="E30217" s="2">
        <v>2.24586288416075E-2</v>
      </c>
      <c r="F30217" s="2">
        <v>4.1967287424923498E-2</v>
      </c>
    </row>
    <row r="30218" spans="1:6" x14ac:dyDescent="0.25">
      <c r="A30218" s="1" t="str">
        <f t="shared" si="1084"/>
        <v>40300</v>
      </c>
      <c r="B30218" s="1" t="str">
        <f>"61054"</f>
        <v>61054</v>
      </c>
      <c r="C30218" s="2">
        <v>8.2627737226277295E-2</v>
      </c>
      <c r="D30218" s="2">
        <v>7.4455205811138001E-2</v>
      </c>
      <c r="E30218" s="2">
        <v>0.10401891252955001</v>
      </c>
      <c r="F30218" s="2">
        <v>8.2801344766365706E-2</v>
      </c>
    </row>
    <row r="30219" spans="1:6" x14ac:dyDescent="0.25">
      <c r="A30219" s="1" t="str">
        <f t="shared" si="1084"/>
        <v>40300</v>
      </c>
      <c r="B30219" s="1" t="str">
        <f>"61021"</f>
        <v>61021</v>
      </c>
      <c r="C30219" s="2">
        <v>3.2241918665276301E-2</v>
      </c>
      <c r="D30219" s="2">
        <v>1.2711864406779599E-2</v>
      </c>
      <c r="E30219" s="2">
        <v>7.09219858156028E-3</v>
      </c>
      <c r="F30219" s="2">
        <v>3.0219468892834202E-2</v>
      </c>
    </row>
    <row r="30220" spans="1:6" x14ac:dyDescent="0.25">
      <c r="A30220" s="1" t="str">
        <f t="shared" si="1084"/>
        <v>40300</v>
      </c>
      <c r="B30220" s="1" t="str">
        <f>"60113"</f>
        <v>60113</v>
      </c>
      <c r="C30220" s="2">
        <v>4.1710114702815401E-5</v>
      </c>
      <c r="D30220" s="2">
        <v>0</v>
      </c>
      <c r="E30220" s="2">
        <v>1.18203309692671E-3</v>
      </c>
      <c r="F30220" s="2">
        <v>7.5548672232085497E-5</v>
      </c>
    </row>
    <row r="30221" spans="1:6" x14ac:dyDescent="0.25">
      <c r="A30221" s="1" t="str">
        <f t="shared" si="1084"/>
        <v>40300</v>
      </c>
      <c r="B30221" s="1" t="str">
        <f>"61047"</f>
        <v>61047</v>
      </c>
      <c r="C30221" s="2">
        <v>3.38269030239833E-2</v>
      </c>
      <c r="D30221" s="2">
        <v>1.87651331719128E-2</v>
      </c>
      <c r="E30221" s="2">
        <v>2.48226950354609E-2</v>
      </c>
      <c r="F30221" s="2">
        <v>3.2599252068144902E-2</v>
      </c>
    </row>
    <row r="30222" spans="1:6" x14ac:dyDescent="0.25">
      <c r="A30222" s="1" t="str">
        <f t="shared" si="1084"/>
        <v>40300</v>
      </c>
      <c r="B30222" s="1" t="str">
        <f>"61043"</f>
        <v>61043</v>
      </c>
      <c r="C30222" s="2">
        <v>2.1689259645464001E-3</v>
      </c>
      <c r="D30222" s="2">
        <v>0</v>
      </c>
      <c r="E30222" s="2">
        <v>1.18203309692671E-3</v>
      </c>
      <c r="F30222" s="2">
        <v>2.00203981415026E-3</v>
      </c>
    </row>
    <row r="30223" spans="1:6" x14ac:dyDescent="0.25">
      <c r="A30223" s="1" t="str">
        <f t="shared" si="1084"/>
        <v>40300</v>
      </c>
      <c r="B30223" s="1" t="str">
        <f>"61061"</f>
        <v>61061</v>
      </c>
      <c r="C30223" s="2">
        <v>0.14431699687174099</v>
      </c>
      <c r="D30223" s="2">
        <v>0.22457627118644</v>
      </c>
      <c r="E30223" s="2">
        <v>0.17848699763593301</v>
      </c>
      <c r="F30223" s="2">
        <v>0.15041740641408199</v>
      </c>
    </row>
    <row r="30224" spans="1:6" x14ac:dyDescent="0.25">
      <c r="A30224" s="1" t="str">
        <f t="shared" ref="A30224:A30255" si="1085">"40340"</f>
        <v>40340</v>
      </c>
      <c r="B30224" s="1" t="str">
        <f>"55927"</f>
        <v>55927</v>
      </c>
      <c r="C30224" s="2">
        <v>1.74127215969298E-2</v>
      </c>
      <c r="D30224" s="2">
        <v>1.64742326105322E-2</v>
      </c>
      <c r="E30224" s="2">
        <v>9.0739879013494607E-3</v>
      </c>
      <c r="F30224" s="2">
        <v>1.7046775318335601E-2</v>
      </c>
    </row>
    <row r="30225" spans="1:6" x14ac:dyDescent="0.25">
      <c r="A30225" s="1" t="str">
        <f t="shared" si="1085"/>
        <v>40340</v>
      </c>
      <c r="B30225" s="1" t="str">
        <f>"55960"</f>
        <v>55960</v>
      </c>
      <c r="C30225" s="2">
        <v>1.4176475642237301E-2</v>
      </c>
      <c r="D30225" s="2">
        <v>7.8851027879470494E-3</v>
      </c>
      <c r="E30225" s="2">
        <v>3.2573289902280101E-3</v>
      </c>
      <c r="F30225" s="2">
        <v>1.33877452626322E-2</v>
      </c>
    </row>
    <row r="30226" spans="1:6" x14ac:dyDescent="0.25">
      <c r="A30226" s="1" t="str">
        <f t="shared" si="1085"/>
        <v>40340</v>
      </c>
      <c r="B30226" s="1" t="str">
        <f>"55944"</f>
        <v>55944</v>
      </c>
      <c r="C30226" s="2">
        <v>3.0739563345457299E-2</v>
      </c>
      <c r="D30226" s="2">
        <v>2.5344973246972598E-2</v>
      </c>
      <c r="E30226" s="2">
        <v>1.8845974872033499E-2</v>
      </c>
      <c r="F30226" s="2">
        <v>2.99696085268314E-2</v>
      </c>
    </row>
    <row r="30227" spans="1:6" x14ac:dyDescent="0.25">
      <c r="A30227" s="1" t="str">
        <f t="shared" si="1085"/>
        <v>40340</v>
      </c>
      <c r="B30227" s="1" t="str">
        <f>"55903"</f>
        <v>55903</v>
      </c>
      <c r="C30227" s="2">
        <v>2.1498601445332201E-2</v>
      </c>
      <c r="D30227" s="2">
        <v>9.01154604336806E-2</v>
      </c>
      <c r="E30227" s="2">
        <v>1.6286644951140001E-3</v>
      </c>
      <c r="F30227" s="2">
        <v>2.4958889721138799E-2</v>
      </c>
    </row>
    <row r="30228" spans="1:6" x14ac:dyDescent="0.25">
      <c r="A30228" s="1" t="str">
        <f t="shared" si="1085"/>
        <v>40340</v>
      </c>
      <c r="B30228" s="1" t="str">
        <f>"55945"</f>
        <v>55945</v>
      </c>
      <c r="C30228" s="2">
        <v>6.75888535670303E-3</v>
      </c>
      <c r="D30228" s="2">
        <v>2.5344973246972601E-3</v>
      </c>
      <c r="E30228" s="2">
        <v>1.8613308515588599E-3</v>
      </c>
      <c r="F30228" s="2">
        <v>6.3193601432617796E-3</v>
      </c>
    </row>
    <row r="30229" spans="1:6" x14ac:dyDescent="0.25">
      <c r="A30229" s="1" t="str">
        <f t="shared" si="1085"/>
        <v>40340</v>
      </c>
      <c r="B30229" s="1" t="str">
        <f>"55905"</f>
        <v>55905</v>
      </c>
      <c r="C30229" s="2">
        <v>0</v>
      </c>
      <c r="D30229" s="2">
        <v>1.40805406927626E-3</v>
      </c>
      <c r="E30229" s="2">
        <v>0</v>
      </c>
      <c r="F30229" s="2">
        <v>8.60948248400788E-5</v>
      </c>
    </row>
    <row r="30230" spans="1:6" x14ac:dyDescent="0.25">
      <c r="A30230" s="1" t="str">
        <f t="shared" si="1085"/>
        <v>40340</v>
      </c>
      <c r="B30230" s="1" t="str">
        <f>"55965"</f>
        <v>55965</v>
      </c>
      <c r="C30230" s="2">
        <v>1.1589388168132E-2</v>
      </c>
      <c r="D30230" s="2">
        <v>1.22500704027034E-2</v>
      </c>
      <c r="E30230" s="2">
        <v>9.0739879013494607E-3</v>
      </c>
      <c r="F30230" s="2">
        <v>1.1536706528570501E-2</v>
      </c>
    </row>
    <row r="30231" spans="1:6" x14ac:dyDescent="0.25">
      <c r="A30231" s="1" t="str">
        <f t="shared" si="1085"/>
        <v>40340</v>
      </c>
      <c r="B30231" s="1" t="str">
        <f>"55990"</f>
        <v>55990</v>
      </c>
      <c r="C30231" s="2">
        <v>4.23862302030529E-3</v>
      </c>
      <c r="D30231" s="2">
        <v>3.37932976626302E-3</v>
      </c>
      <c r="E30231" s="2">
        <v>1.8613308515588599E-3</v>
      </c>
      <c r="F30231" s="2">
        <v>4.0981136623877501E-3</v>
      </c>
    </row>
    <row r="30232" spans="1:6" x14ac:dyDescent="0.25">
      <c r="A30232" s="1" t="str">
        <f t="shared" si="1085"/>
        <v>40340</v>
      </c>
      <c r="B30232" s="1" t="str">
        <f>"55939"</f>
        <v>55939</v>
      </c>
      <c r="C30232" s="2">
        <v>9.6419127263701505E-3</v>
      </c>
      <c r="D30232" s="2">
        <v>1.1405237961137699E-2</v>
      </c>
      <c r="E30232" s="2">
        <v>5.8166589111214497E-3</v>
      </c>
      <c r="F30232" s="2">
        <v>9.6081824521527994E-3</v>
      </c>
    </row>
    <row r="30233" spans="1:6" x14ac:dyDescent="0.25">
      <c r="A30233" s="1" t="str">
        <f t="shared" si="1085"/>
        <v>40340</v>
      </c>
      <c r="B30233" s="1" t="str">
        <f>"55954"</f>
        <v>55954</v>
      </c>
      <c r="C30233" s="2">
        <v>6.8543498391423398E-3</v>
      </c>
      <c r="D30233" s="2">
        <v>4.5057730216840298E-3</v>
      </c>
      <c r="E30233" s="2">
        <v>4.4206607724522999E-3</v>
      </c>
      <c r="F30233" s="2">
        <v>6.6206920302020597E-3</v>
      </c>
    </row>
    <row r="30234" spans="1:6" x14ac:dyDescent="0.25">
      <c r="A30234" s="1" t="str">
        <f t="shared" si="1085"/>
        <v>40340</v>
      </c>
      <c r="B30234" s="1" t="str">
        <f>"55974"</f>
        <v>55974</v>
      </c>
      <c r="C30234" s="2">
        <v>2.8639344731792501E-5</v>
      </c>
      <c r="D30234" s="2">
        <v>0</v>
      </c>
      <c r="E30234" s="2">
        <v>0</v>
      </c>
      <c r="F30234" s="2">
        <v>2.5828447452023601E-5</v>
      </c>
    </row>
    <row r="30235" spans="1:6" x14ac:dyDescent="0.25">
      <c r="A30235" s="1" t="str">
        <f t="shared" si="1085"/>
        <v>40340</v>
      </c>
      <c r="B30235" s="1" t="str">
        <f>"55972"</f>
        <v>55972</v>
      </c>
      <c r="C30235" s="2">
        <v>7.5416941127053603E-4</v>
      </c>
      <c r="D30235" s="2">
        <v>2.8161081385525203E-4</v>
      </c>
      <c r="E30235" s="2">
        <v>2.32666356444858E-4</v>
      </c>
      <c r="F30235" s="2">
        <v>7.0597756368864599E-4</v>
      </c>
    </row>
    <row r="30236" spans="1:6" x14ac:dyDescent="0.25">
      <c r="A30236" s="1" t="str">
        <f t="shared" si="1085"/>
        <v>40340</v>
      </c>
      <c r="B30236" s="1" t="str">
        <f>"55902"</f>
        <v>55902</v>
      </c>
      <c r="C30236" s="2">
        <v>0.114423728651755</v>
      </c>
      <c r="D30236" s="2">
        <v>0.13094902844269199</v>
      </c>
      <c r="E30236" s="2">
        <v>0.15984178687761699</v>
      </c>
      <c r="F30236" s="2">
        <v>0.11711479022995901</v>
      </c>
    </row>
    <row r="30237" spans="1:6" x14ac:dyDescent="0.25">
      <c r="A30237" s="1" t="str">
        <f t="shared" si="1085"/>
        <v>40340</v>
      </c>
      <c r="B30237" s="1" t="str">
        <f>"55904"</f>
        <v>55904</v>
      </c>
      <c r="C30237" s="2">
        <v>0.13447126996400899</v>
      </c>
      <c r="D30237" s="2">
        <v>0.14714165023936901</v>
      </c>
      <c r="E30237" s="2">
        <v>0.19567240577012501</v>
      </c>
      <c r="F30237" s="2">
        <v>0.13751065423457301</v>
      </c>
    </row>
    <row r="30238" spans="1:6" x14ac:dyDescent="0.25">
      <c r="A30238" s="1" t="str">
        <f t="shared" si="1085"/>
        <v>40340</v>
      </c>
      <c r="B30238" s="1" t="str">
        <f>"55906"</f>
        <v>55906</v>
      </c>
      <c r="C30238" s="2">
        <v>8.3894187167664197E-2</v>
      </c>
      <c r="D30238" s="2">
        <v>8.3920022528865101E-2</v>
      </c>
      <c r="E30238" s="2">
        <v>8.4690553745928293E-2</v>
      </c>
      <c r="F30238" s="2">
        <v>8.3925235254108804E-2</v>
      </c>
    </row>
    <row r="30239" spans="1:6" x14ac:dyDescent="0.25">
      <c r="A30239" s="1" t="str">
        <f t="shared" si="1085"/>
        <v>40340</v>
      </c>
      <c r="B30239" s="1" t="str">
        <f>"55949"</f>
        <v>55949</v>
      </c>
      <c r="C30239" s="2">
        <v>9.8710274842244896E-3</v>
      </c>
      <c r="D30239" s="2">
        <v>3.23852435933539E-3</v>
      </c>
      <c r="E30239" s="2">
        <v>3.0246626337831501E-3</v>
      </c>
      <c r="F30239" s="2">
        <v>9.2121462578884303E-3</v>
      </c>
    </row>
    <row r="30240" spans="1:6" x14ac:dyDescent="0.25">
      <c r="A30240" s="1" t="str">
        <f t="shared" si="1085"/>
        <v>40340</v>
      </c>
      <c r="B30240" s="1" t="str">
        <f>"55940"</f>
        <v>55940</v>
      </c>
      <c r="C30240" s="2">
        <v>1.0739754274422199E-2</v>
      </c>
      <c r="D30240" s="2">
        <v>4.7873838355392802E-3</v>
      </c>
      <c r="E30240" s="2">
        <v>4.6533271288971599E-3</v>
      </c>
      <c r="F30240" s="2">
        <v>1.0150579848645201E-2</v>
      </c>
    </row>
    <row r="30241" spans="1:6" x14ac:dyDescent="0.25">
      <c r="A30241" s="1" t="str">
        <f t="shared" si="1085"/>
        <v>40340</v>
      </c>
      <c r="B30241" s="1" t="str">
        <f>"55964"</f>
        <v>55964</v>
      </c>
      <c r="C30241" s="2">
        <v>1.9054710694885901E-2</v>
      </c>
      <c r="D30241" s="2">
        <v>2.5063362433117398E-2</v>
      </c>
      <c r="E30241" s="2">
        <v>1.25639832480223E-2</v>
      </c>
      <c r="F30241" s="2">
        <v>1.91819269743695E-2</v>
      </c>
    </row>
    <row r="30242" spans="1:6" x14ac:dyDescent="0.25">
      <c r="A30242" s="1" t="str">
        <f t="shared" si="1085"/>
        <v>40340</v>
      </c>
      <c r="B30242" s="1" t="str">
        <f>"55027"</f>
        <v>55027</v>
      </c>
      <c r="C30242" s="2">
        <v>4.2004372273295702E-4</v>
      </c>
      <c r="D30242" s="2">
        <v>0</v>
      </c>
      <c r="E30242" s="2">
        <v>0</v>
      </c>
      <c r="F30242" s="2">
        <v>3.78817229296346E-4</v>
      </c>
    </row>
    <row r="30243" spans="1:6" x14ac:dyDescent="0.25">
      <c r="A30243" s="1" t="str">
        <f t="shared" si="1085"/>
        <v>40340</v>
      </c>
      <c r="B30243" s="1" t="str">
        <f>"55963"</f>
        <v>55963</v>
      </c>
      <c r="C30243" s="2">
        <v>9.4127979685158097E-3</v>
      </c>
      <c r="D30243" s="2">
        <v>2.3936919177696401E-3</v>
      </c>
      <c r="E30243" s="2">
        <v>4.6533271288971601E-4</v>
      </c>
      <c r="F30243" s="2">
        <v>8.6525298964279206E-3</v>
      </c>
    </row>
    <row r="30244" spans="1:6" x14ac:dyDescent="0.25">
      <c r="A30244" s="1" t="str">
        <f t="shared" si="1085"/>
        <v>40340</v>
      </c>
      <c r="B30244" s="1" t="str">
        <f>"55922"</f>
        <v>55922</v>
      </c>
      <c r="C30244" s="2">
        <v>3.4844536090347499E-3</v>
      </c>
      <c r="D30244" s="2">
        <v>9.8563784849338204E-4</v>
      </c>
      <c r="E30244" s="2">
        <v>2.55932992089343E-3</v>
      </c>
      <c r="F30244" s="2">
        <v>3.2974317913750202E-3</v>
      </c>
    </row>
    <row r="30245" spans="1:6" x14ac:dyDescent="0.25">
      <c r="A30245" s="1" t="str">
        <f t="shared" si="1085"/>
        <v>40340</v>
      </c>
      <c r="B30245" s="1" t="str">
        <f>"55975"</f>
        <v>55975</v>
      </c>
      <c r="C30245" s="2">
        <v>1.96370440377657E-2</v>
      </c>
      <c r="D30245" s="2">
        <v>2.42185299915516E-2</v>
      </c>
      <c r="E30245" s="2">
        <v>1.9776640297812901E-2</v>
      </c>
      <c r="F30245" s="2">
        <v>1.9922342467994202E-2</v>
      </c>
    </row>
    <row r="30246" spans="1:6" x14ac:dyDescent="0.25">
      <c r="A30246" s="1" t="str">
        <f t="shared" si="1085"/>
        <v>40340</v>
      </c>
      <c r="B30246" s="1" t="str">
        <f>"55979"</f>
        <v>55979</v>
      </c>
      <c r="C30246" s="2">
        <v>1.4319672365896199E-4</v>
      </c>
      <c r="D30246" s="2">
        <v>0</v>
      </c>
      <c r="E30246" s="2">
        <v>0</v>
      </c>
      <c r="F30246" s="2">
        <v>1.29142237260118E-4</v>
      </c>
    </row>
    <row r="30247" spans="1:6" x14ac:dyDescent="0.25">
      <c r="A30247" s="1" t="str">
        <f t="shared" si="1085"/>
        <v>40340</v>
      </c>
      <c r="B30247" s="1" t="str">
        <f>"55967"</f>
        <v>55967</v>
      </c>
      <c r="C30247" s="2">
        <v>9.5464482439308398E-5</v>
      </c>
      <c r="D30247" s="2">
        <v>0</v>
      </c>
      <c r="E30247" s="2">
        <v>0</v>
      </c>
      <c r="F30247" s="2">
        <v>8.60948248400788E-5</v>
      </c>
    </row>
    <row r="30248" spans="1:6" x14ac:dyDescent="0.25">
      <c r="A30248" s="1" t="str">
        <f t="shared" si="1085"/>
        <v>40340</v>
      </c>
      <c r="B30248" s="1" t="str">
        <f>"55946"</f>
        <v>55946</v>
      </c>
      <c r="C30248" s="2">
        <v>1.4319672365896199E-4</v>
      </c>
      <c r="D30248" s="2">
        <v>0</v>
      </c>
      <c r="E30248" s="2">
        <v>0</v>
      </c>
      <c r="F30248" s="2">
        <v>1.29142237260118E-4</v>
      </c>
    </row>
    <row r="30249" spans="1:6" x14ac:dyDescent="0.25">
      <c r="A30249" s="1" t="str">
        <f t="shared" si="1085"/>
        <v>40340</v>
      </c>
      <c r="B30249" s="1" t="str">
        <f>"55973"</f>
        <v>55973</v>
      </c>
      <c r="C30249" s="2">
        <v>9.5464482439308398E-5</v>
      </c>
      <c r="D30249" s="2">
        <v>0</v>
      </c>
      <c r="E30249" s="2">
        <v>0</v>
      </c>
      <c r="F30249" s="2">
        <v>8.60948248400788E-5</v>
      </c>
    </row>
    <row r="30250" spans="1:6" x14ac:dyDescent="0.25">
      <c r="A30250" s="1" t="str">
        <f t="shared" si="1085"/>
        <v>40340</v>
      </c>
      <c r="B30250" s="1" t="str">
        <f>"55985"</f>
        <v>55985</v>
      </c>
      <c r="C30250" s="2">
        <v>7.3889509408024698E-3</v>
      </c>
      <c r="D30250" s="2">
        <v>3.37932976626302E-3</v>
      </c>
      <c r="E30250" s="2">
        <v>3.4899953466728702E-3</v>
      </c>
      <c r="F30250" s="2">
        <v>6.9995092594984099E-3</v>
      </c>
    </row>
    <row r="30251" spans="1:6" x14ac:dyDescent="0.25">
      <c r="A30251" s="1" t="str">
        <f t="shared" si="1085"/>
        <v>40340</v>
      </c>
      <c r="B30251" s="1" t="str">
        <f>"55929"</f>
        <v>55929</v>
      </c>
      <c r="C30251" s="2">
        <v>5.0596175692833398E-3</v>
      </c>
      <c r="D30251" s="2">
        <v>2.2528865108420101E-3</v>
      </c>
      <c r="E30251" s="2">
        <v>3.0246626337831501E-3</v>
      </c>
      <c r="F30251" s="2">
        <v>4.8127007085604001E-3</v>
      </c>
    </row>
    <row r="30252" spans="1:6" x14ac:dyDescent="0.25">
      <c r="A30252" s="1" t="str">
        <f t="shared" si="1085"/>
        <v>40340</v>
      </c>
      <c r="B30252" s="1" t="str">
        <f>"55910"</f>
        <v>55910</v>
      </c>
      <c r="C30252" s="2">
        <v>9.6419127263701505E-4</v>
      </c>
      <c r="D30252" s="2">
        <v>2.8161081385525203E-4</v>
      </c>
      <c r="E30252" s="2">
        <v>0</v>
      </c>
      <c r="F30252" s="2">
        <v>8.8677669585281204E-4</v>
      </c>
    </row>
    <row r="30253" spans="1:6" x14ac:dyDescent="0.25">
      <c r="A30253" s="1" t="str">
        <f t="shared" si="1085"/>
        <v>40340</v>
      </c>
      <c r="B30253" s="1" t="str">
        <f>"55901"</f>
        <v>55901</v>
      </c>
      <c r="C30253" s="2">
        <v>0.24049412416110499</v>
      </c>
      <c r="D30253" s="2">
        <v>0.221909321317938</v>
      </c>
      <c r="E30253" s="2">
        <v>0.29897626803164201</v>
      </c>
      <c r="F30253" s="2">
        <v>0.241521812123873</v>
      </c>
    </row>
    <row r="30254" spans="1:6" x14ac:dyDescent="0.25">
      <c r="A30254" s="1" t="str">
        <f t="shared" si="1085"/>
        <v>40340</v>
      </c>
      <c r="B30254" s="1" t="str">
        <f>"55920"</f>
        <v>55920</v>
      </c>
      <c r="C30254" s="2">
        <v>3.1846951341753298E-2</v>
      </c>
      <c r="D30254" s="2">
        <v>2.0980005632216199E-2</v>
      </c>
      <c r="E30254" s="2">
        <v>1.6053978594695199E-2</v>
      </c>
      <c r="F30254" s="2">
        <v>3.0598100748163999E-2</v>
      </c>
    </row>
    <row r="30255" spans="1:6" x14ac:dyDescent="0.25">
      <c r="A30255" s="1" t="str">
        <f t="shared" si="1085"/>
        <v>40340</v>
      </c>
      <c r="B30255" s="1" t="str">
        <f>"55932"</f>
        <v>55932</v>
      </c>
      <c r="C30255" s="2">
        <v>8.10493455909728E-3</v>
      </c>
      <c r="D30255" s="2">
        <v>7.1810757533089199E-3</v>
      </c>
      <c r="E30255" s="2">
        <v>6.5146579804560203E-3</v>
      </c>
      <c r="F30255" s="2">
        <v>7.9895997451593093E-3</v>
      </c>
    </row>
    <row r="30256" spans="1:6" x14ac:dyDescent="0.25">
      <c r="A30256" s="1" t="str">
        <f t="shared" ref="A30256:A30273" si="1086">"40340"</f>
        <v>40340</v>
      </c>
      <c r="B30256" s="1" t="str">
        <f>"55935"</f>
        <v>55935</v>
      </c>
      <c r="C30256" s="2">
        <v>3.8472186423041299E-3</v>
      </c>
      <c r="D30256" s="2">
        <v>3.5201351731906499E-3</v>
      </c>
      <c r="E30256" s="2">
        <v>2.0939972080037199E-3</v>
      </c>
      <c r="F30256" s="2">
        <v>3.76234384551144E-3</v>
      </c>
    </row>
    <row r="30257" spans="1:6" x14ac:dyDescent="0.25">
      <c r="A30257" s="1" t="str">
        <f t="shared" si="1086"/>
        <v>40340</v>
      </c>
      <c r="B30257" s="1" t="str">
        <f>"55976"</f>
        <v>55976</v>
      </c>
      <c r="C30257" s="2">
        <v>3.2629760097755603E-2</v>
      </c>
      <c r="D30257" s="2">
        <v>2.6330611095466E-2</v>
      </c>
      <c r="E30257" s="2">
        <v>2.2568636575151201E-2</v>
      </c>
      <c r="F30257" s="2">
        <v>3.1872304155797102E-2</v>
      </c>
    </row>
    <row r="30258" spans="1:6" x14ac:dyDescent="0.25">
      <c r="A30258" s="1" t="str">
        <f t="shared" si="1086"/>
        <v>40340</v>
      </c>
      <c r="B30258" s="1" t="str">
        <f>"55956"</f>
        <v>55956</v>
      </c>
      <c r="C30258" s="2">
        <v>7.4557760785099901E-3</v>
      </c>
      <c r="D30258" s="2">
        <v>1.9712756969867602E-3</v>
      </c>
      <c r="E30258" s="2">
        <v>4.6533271288971599E-3</v>
      </c>
      <c r="F30258" s="2">
        <v>7.0167282244664201E-3</v>
      </c>
    </row>
    <row r="30259" spans="1:6" x14ac:dyDescent="0.25">
      <c r="A30259" s="1" t="str">
        <f t="shared" si="1086"/>
        <v>40340</v>
      </c>
      <c r="B30259" s="1" t="str">
        <f>"55981"</f>
        <v>55981</v>
      </c>
      <c r="C30259" s="2">
        <v>2.3321973059923E-2</v>
      </c>
      <c r="D30259" s="2">
        <v>3.1540411151788197E-2</v>
      </c>
      <c r="E30259" s="2">
        <v>3.00139599813866E-2</v>
      </c>
      <c r="F30259" s="2">
        <v>2.4072113025286002E-2</v>
      </c>
    </row>
    <row r="30260" spans="1:6" x14ac:dyDescent="0.25">
      <c r="A30260" s="1" t="str">
        <f t="shared" si="1086"/>
        <v>40340</v>
      </c>
      <c r="B30260" s="1" t="str">
        <f>"55955"</f>
        <v>55955</v>
      </c>
      <c r="C30260" s="2">
        <v>1.02337925174938E-2</v>
      </c>
      <c r="D30260" s="2">
        <v>5.0689946493945297E-3</v>
      </c>
      <c r="E30260" s="2">
        <v>2.7919962773382901E-3</v>
      </c>
      <c r="F30260" s="2">
        <v>9.6426203820888304E-3</v>
      </c>
    </row>
    <row r="30261" spans="1:6" x14ac:dyDescent="0.25">
      <c r="A30261" s="1" t="str">
        <f t="shared" si="1086"/>
        <v>40340</v>
      </c>
      <c r="B30261" s="1" t="str">
        <f>"55962"</f>
        <v>55962</v>
      </c>
      <c r="C30261" s="2">
        <v>3.4367213678151002E-3</v>
      </c>
      <c r="D30261" s="2">
        <v>1.1264432554210001E-3</v>
      </c>
      <c r="E30261" s="2">
        <v>2.32666356444858E-4</v>
      </c>
      <c r="F30261" s="2">
        <v>3.1768990365989101E-3</v>
      </c>
    </row>
    <row r="30262" spans="1:6" x14ac:dyDescent="0.25">
      <c r="A30262" s="1" t="str">
        <f t="shared" si="1086"/>
        <v>40340</v>
      </c>
      <c r="B30262" s="1" t="str">
        <f>"55923"</f>
        <v>55923</v>
      </c>
      <c r="C30262" s="2">
        <v>1.9694322727229301E-2</v>
      </c>
      <c r="D30262" s="2">
        <v>1.91495353421571E-2</v>
      </c>
      <c r="E30262" s="2">
        <v>2.1172638436482E-2</v>
      </c>
      <c r="F30262" s="2">
        <v>1.9715714888377998E-2</v>
      </c>
    </row>
    <row r="30263" spans="1:6" x14ac:dyDescent="0.25">
      <c r="A30263" s="1" t="str">
        <f t="shared" si="1086"/>
        <v>40340</v>
      </c>
      <c r="B30263" s="1" t="str">
        <f>"55961"</f>
        <v>55961</v>
      </c>
      <c r="C30263" s="2">
        <v>9.8328416912487693E-4</v>
      </c>
      <c r="D30263" s="2">
        <v>5.6322162771050405E-4</v>
      </c>
      <c r="E30263" s="2">
        <v>9.3066542577943201E-4</v>
      </c>
      <c r="F30263" s="2">
        <v>9.5565255572487495E-4</v>
      </c>
    </row>
    <row r="30264" spans="1:6" x14ac:dyDescent="0.25">
      <c r="A30264" s="1" t="str">
        <f t="shared" si="1086"/>
        <v>40340</v>
      </c>
      <c r="B30264" s="1" t="str">
        <f>"55934"</f>
        <v>55934</v>
      </c>
      <c r="C30264" s="2">
        <v>1.37182461265286E-2</v>
      </c>
      <c r="D30264" s="2">
        <v>6.19543790481554E-3</v>
      </c>
      <c r="E30264" s="2">
        <v>6.5146579804560203E-3</v>
      </c>
      <c r="F30264" s="2">
        <v>1.29917090683679E-2</v>
      </c>
    </row>
    <row r="30265" spans="1:6" x14ac:dyDescent="0.25">
      <c r="A30265" s="1" t="str">
        <f t="shared" si="1086"/>
        <v>40340</v>
      </c>
      <c r="B30265" s="1" t="str">
        <f>"55991"</f>
        <v>55991</v>
      </c>
      <c r="C30265" s="2">
        <v>6.8257104944105503E-3</v>
      </c>
      <c r="D30265" s="2">
        <v>5.0689946493945297E-3</v>
      </c>
      <c r="E30265" s="2">
        <v>4.1879944160074399E-3</v>
      </c>
      <c r="F30265" s="2">
        <v>6.6206920302020597E-3</v>
      </c>
    </row>
    <row r="30266" spans="1:6" x14ac:dyDescent="0.25">
      <c r="A30266" s="1" t="str">
        <f t="shared" si="1086"/>
        <v>40340</v>
      </c>
      <c r="B30266" s="1" t="str">
        <f>"55951"</f>
        <v>55951</v>
      </c>
      <c r="C30266" s="2">
        <v>1.1742131340034901E-3</v>
      </c>
      <c r="D30266" s="2">
        <v>0</v>
      </c>
      <c r="E30266" s="2">
        <v>0</v>
      </c>
      <c r="F30266" s="2">
        <v>1.05896634553297E-3</v>
      </c>
    </row>
    <row r="30267" spans="1:6" x14ac:dyDescent="0.25">
      <c r="A30267" s="1" t="str">
        <f t="shared" si="1086"/>
        <v>40340</v>
      </c>
      <c r="B30267" s="1" t="str">
        <f>"55982"</f>
        <v>55982</v>
      </c>
      <c r="C30267" s="2">
        <v>9.5464482439308405E-6</v>
      </c>
      <c r="D30267" s="2">
        <v>0</v>
      </c>
      <c r="E30267" s="2">
        <v>0</v>
      </c>
      <c r="F30267" s="2">
        <v>8.6094824840078807E-6</v>
      </c>
    </row>
    <row r="30268" spans="1:6" x14ac:dyDescent="0.25">
      <c r="A30268" s="1" t="str">
        <f t="shared" si="1086"/>
        <v>40340</v>
      </c>
      <c r="B30268" s="1" t="str">
        <f>"55957"</f>
        <v>55957</v>
      </c>
      <c r="C30268" s="2">
        <v>3.2935246441561398E-3</v>
      </c>
      <c r="D30268" s="2">
        <v>5.6322162771050405E-4</v>
      </c>
      <c r="E30268" s="2">
        <v>1.16333178222429E-3</v>
      </c>
      <c r="F30268" s="2">
        <v>3.04775679933879E-3</v>
      </c>
    </row>
    <row r="30269" spans="1:6" x14ac:dyDescent="0.25">
      <c r="A30269" s="1" t="str">
        <f t="shared" si="1086"/>
        <v>40340</v>
      </c>
      <c r="B30269" s="1" t="str">
        <f>"55041"</f>
        <v>55041</v>
      </c>
      <c r="C30269" s="2">
        <v>3.0854120724384398E-2</v>
      </c>
      <c r="D30269" s="2">
        <v>3.5342157138834103E-2</v>
      </c>
      <c r="E30269" s="2">
        <v>1.9543973941368E-2</v>
      </c>
      <c r="F30269" s="2">
        <v>3.0710024020456101E-2</v>
      </c>
    </row>
    <row r="30270" spans="1:6" x14ac:dyDescent="0.25">
      <c r="A30270" s="1" t="str">
        <f t="shared" si="1086"/>
        <v>40340</v>
      </c>
      <c r="B30270" s="1" t="str">
        <f>"55917"</f>
        <v>55917</v>
      </c>
      <c r="C30270" s="2">
        <v>1.6228962014682401E-3</v>
      </c>
      <c r="D30270" s="2">
        <v>5.6322162771050405E-4</v>
      </c>
      <c r="E30270" s="2">
        <v>2.32666356444858E-4</v>
      </c>
      <c r="F30270" s="2">
        <v>1.50665943470138E-3</v>
      </c>
    </row>
    <row r="30271" spans="1:6" x14ac:dyDescent="0.25">
      <c r="A30271" s="1" t="str">
        <f t="shared" si="1086"/>
        <v>40340</v>
      </c>
      <c r="B30271" s="1" t="str">
        <f>"55924"</f>
        <v>55924</v>
      </c>
      <c r="C30271" s="2">
        <v>4.15270498610991E-3</v>
      </c>
      <c r="D30271" s="2">
        <v>9.8563784849338204E-4</v>
      </c>
      <c r="E30271" s="2">
        <v>4.1879944160074399E-3</v>
      </c>
      <c r="F30271" s="2">
        <v>3.9603619426436202E-3</v>
      </c>
    </row>
    <row r="30272" spans="1:6" x14ac:dyDescent="0.25">
      <c r="A30272" s="1" t="str">
        <f t="shared" si="1086"/>
        <v>40340</v>
      </c>
      <c r="B30272" s="1" t="str">
        <f>"55971"</f>
        <v>55971</v>
      </c>
      <c r="C30272" s="2">
        <v>1.2305371786426799E-2</v>
      </c>
      <c r="D30272" s="2">
        <v>7.4626865671641703E-3</v>
      </c>
      <c r="E30272" s="2">
        <v>1.20986505351326E-2</v>
      </c>
      <c r="F30272" s="2">
        <v>1.20016185827069E-2</v>
      </c>
    </row>
    <row r="30273" spans="1:6" x14ac:dyDescent="0.25">
      <c r="A30273" s="1" t="str">
        <f t="shared" si="1086"/>
        <v>40340</v>
      </c>
      <c r="B30273" s="1" t="str">
        <f>"55968"</f>
        <v>55968</v>
      </c>
      <c r="C30273" s="2">
        <v>1.0023770656127299E-3</v>
      </c>
      <c r="D30273" s="2">
        <v>2.8161081385525203E-4</v>
      </c>
      <c r="E30273" s="2">
        <v>2.32666356444858E-4</v>
      </c>
      <c r="F30273" s="2">
        <v>9.2982410827285096E-4</v>
      </c>
    </row>
    <row r="30274" spans="1:6" x14ac:dyDescent="0.25">
      <c r="A30274" s="1" t="str">
        <f t="shared" ref="A30274:A30305" si="1087">"40380"</f>
        <v>40380</v>
      </c>
      <c r="B30274" s="1" t="str">
        <f>"14414"</f>
        <v>14414</v>
      </c>
      <c r="C30274" s="2">
        <v>6.1290328861164098E-3</v>
      </c>
      <c r="D30274" s="2">
        <v>7.4576100375399901E-3</v>
      </c>
      <c r="E30274" s="2">
        <v>5.7018075943224503E-3</v>
      </c>
      <c r="F30274" s="2">
        <v>6.2019822123344096E-3</v>
      </c>
    </row>
    <row r="30275" spans="1:6" x14ac:dyDescent="0.25">
      <c r="A30275" s="1" t="str">
        <f t="shared" si="1087"/>
        <v>40380</v>
      </c>
      <c r="B30275" s="1" t="str">
        <f>"14441"</f>
        <v>14441</v>
      </c>
      <c r="C30275" s="2">
        <v>2.5115795499015798E-4</v>
      </c>
      <c r="D30275" s="2">
        <v>0</v>
      </c>
      <c r="E30275" s="2">
        <v>1.2131505519835E-4</v>
      </c>
      <c r="F30275" s="2">
        <v>2.2835750405248001E-4</v>
      </c>
    </row>
    <row r="30276" spans="1:6" x14ac:dyDescent="0.25">
      <c r="A30276" s="1" t="str">
        <f t="shared" si="1087"/>
        <v>40380</v>
      </c>
      <c r="B30276" s="1" t="str">
        <f>"14471"</f>
        <v>14471</v>
      </c>
      <c r="C30276" s="2">
        <v>3.0333650687958602E-3</v>
      </c>
      <c r="D30276" s="2">
        <v>1.5368723388173599E-3</v>
      </c>
      <c r="E30276" s="2">
        <v>7.278903311901E-4</v>
      </c>
      <c r="F30276" s="2">
        <v>2.8319790464690201E-3</v>
      </c>
    </row>
    <row r="30277" spans="1:6" x14ac:dyDescent="0.25">
      <c r="A30277" s="1" t="str">
        <f t="shared" si="1087"/>
        <v>40380</v>
      </c>
      <c r="B30277" s="1" t="str">
        <f>"14480"</f>
        <v>14480</v>
      </c>
      <c r="C30277" s="2">
        <v>1.9002338300030501E-3</v>
      </c>
      <c r="D30277" s="2">
        <v>3.7288050187699899E-3</v>
      </c>
      <c r="E30277" s="2">
        <v>1.2131505519835E-3</v>
      </c>
      <c r="F30277" s="2">
        <v>1.9963981793678898E-3</v>
      </c>
    </row>
    <row r="30278" spans="1:6" x14ac:dyDescent="0.25">
      <c r="A30278" s="1" t="str">
        <f t="shared" si="1087"/>
        <v>40380</v>
      </c>
      <c r="B30278" s="1" t="str">
        <f>"14487"</f>
        <v>14487</v>
      </c>
      <c r="C30278" s="2">
        <v>5.2314839151825897E-3</v>
      </c>
      <c r="D30278" s="2">
        <v>1.2345367967549301E-3</v>
      </c>
      <c r="E30278" s="2">
        <v>2.2241093453030801E-3</v>
      </c>
      <c r="F30278" s="2">
        <v>4.8283772258369204E-3</v>
      </c>
    </row>
    <row r="30279" spans="1:6" x14ac:dyDescent="0.25">
      <c r="A30279" s="1" t="str">
        <f t="shared" si="1087"/>
        <v>40380</v>
      </c>
      <c r="B30279" s="1" t="str">
        <f>"14842"</f>
        <v>14842</v>
      </c>
      <c r="C30279" s="2">
        <v>9.1117769717359597E-4</v>
      </c>
      <c r="D30279" s="2">
        <v>3.5272479907283699E-4</v>
      </c>
      <c r="E30279" s="2">
        <v>1.2131505519835E-4</v>
      </c>
      <c r="F30279" s="2">
        <v>8.3904082928373499E-4</v>
      </c>
    </row>
    <row r="30280" spans="1:6" x14ac:dyDescent="0.25">
      <c r="A30280" s="1" t="str">
        <f t="shared" si="1087"/>
        <v>40380</v>
      </c>
      <c r="B30280" s="1" t="str">
        <f>"14610"</f>
        <v>14610</v>
      </c>
      <c r="C30280" s="2">
        <v>1.5667194293068201E-2</v>
      </c>
      <c r="D30280" s="2">
        <v>1.8845582121891601E-2</v>
      </c>
      <c r="E30280" s="2">
        <v>2.1796271583970201E-2</v>
      </c>
      <c r="F30280" s="2">
        <v>1.6147643506256401E-2</v>
      </c>
    </row>
    <row r="30281" spans="1:6" x14ac:dyDescent="0.25">
      <c r="A30281" s="1" t="str">
        <f t="shared" si="1087"/>
        <v>40380</v>
      </c>
      <c r="B30281" s="1" t="str">
        <f>"14614"</f>
        <v>14614</v>
      </c>
      <c r="C30281" s="2">
        <v>5.5683081493942E-4</v>
      </c>
      <c r="D30281" s="2">
        <v>2.49426822201506E-2</v>
      </c>
      <c r="E30281" s="2">
        <v>5.4996158356585296E-3</v>
      </c>
      <c r="F30281" s="2">
        <v>2.44273330092502E-3</v>
      </c>
    </row>
    <row r="30282" spans="1:6" x14ac:dyDescent="0.25">
      <c r="A30282" s="1" t="str">
        <f t="shared" si="1087"/>
        <v>40380</v>
      </c>
      <c r="B30282" s="1" t="str">
        <f>"14515"</f>
        <v>14515</v>
      </c>
      <c r="C30282" s="2">
        <v>3.1151374262345101E-5</v>
      </c>
      <c r="D30282" s="2">
        <v>0</v>
      </c>
      <c r="E30282" s="2">
        <v>4.0438351732783302E-5</v>
      </c>
      <c r="F30282" s="2">
        <v>2.94096785522134E-5</v>
      </c>
    </row>
    <row r="30283" spans="1:6" x14ac:dyDescent="0.25">
      <c r="A30283" s="1" t="str">
        <f t="shared" si="1087"/>
        <v>40380</v>
      </c>
      <c r="B30283" s="1" t="str">
        <f>"14873"</f>
        <v>14873</v>
      </c>
      <c r="C30283" s="2">
        <v>1.9469608913965701E-6</v>
      </c>
      <c r="D30283" s="2">
        <v>0</v>
      </c>
      <c r="E30283" s="2">
        <v>0</v>
      </c>
      <c r="F30283" s="2">
        <v>1.72998109130667E-6</v>
      </c>
    </row>
    <row r="30284" spans="1:6" x14ac:dyDescent="0.25">
      <c r="A30284" s="1" t="str">
        <f t="shared" si="1087"/>
        <v>40380</v>
      </c>
      <c r="B30284" s="1" t="str">
        <f>"14592"</f>
        <v>14592</v>
      </c>
      <c r="C30284" s="2">
        <v>1.8885520646546699E-4</v>
      </c>
      <c r="D30284" s="2">
        <v>0</v>
      </c>
      <c r="E30284" s="2">
        <v>4.0438351732783302E-5</v>
      </c>
      <c r="F30284" s="2">
        <v>1.6953814694805301E-4</v>
      </c>
    </row>
    <row r="30285" spans="1:6" x14ac:dyDescent="0.25">
      <c r="A30285" s="1" t="str">
        <f t="shared" si="1087"/>
        <v>40380</v>
      </c>
      <c r="B30285" s="1" t="str">
        <f>"14556"</f>
        <v>14556</v>
      </c>
      <c r="C30285" s="2">
        <v>2.5310491588155399E-5</v>
      </c>
      <c r="D30285" s="2">
        <v>7.5583885515607995E-5</v>
      </c>
      <c r="E30285" s="2">
        <v>4.0438351732783302E-5</v>
      </c>
      <c r="F30285" s="2">
        <v>2.94096785522134E-5</v>
      </c>
    </row>
    <row r="30286" spans="1:6" x14ac:dyDescent="0.25">
      <c r="A30286" s="1" t="str">
        <f t="shared" si="1087"/>
        <v>40380</v>
      </c>
      <c r="B30286" s="1" t="str">
        <f>"14649"</f>
        <v>14649</v>
      </c>
      <c r="C30286" s="2">
        <v>0</v>
      </c>
      <c r="D30286" s="2">
        <v>0</v>
      </c>
      <c r="E30286" s="2">
        <v>4.0438351732783302E-5</v>
      </c>
      <c r="F30286" s="2">
        <v>1.72998109130667E-6</v>
      </c>
    </row>
    <row r="30287" spans="1:6" x14ac:dyDescent="0.25">
      <c r="A30287" s="1" t="str">
        <f t="shared" si="1087"/>
        <v>40380</v>
      </c>
      <c r="B30287" s="1" t="str">
        <f>"14429"</f>
        <v>14429</v>
      </c>
      <c r="C30287" s="2">
        <v>0</v>
      </c>
      <c r="D30287" s="2">
        <v>0</v>
      </c>
      <c r="E30287" s="2">
        <v>4.0438351732783302E-5</v>
      </c>
      <c r="F30287" s="2">
        <v>1.72998109130667E-6</v>
      </c>
    </row>
    <row r="30288" spans="1:6" x14ac:dyDescent="0.25">
      <c r="A30288" s="1" t="str">
        <f t="shared" si="1087"/>
        <v>40380</v>
      </c>
      <c r="B30288" s="1" t="str">
        <f>"14652"</f>
        <v>14652</v>
      </c>
      <c r="C30288" s="2">
        <v>0</v>
      </c>
      <c r="D30288" s="2">
        <v>0</v>
      </c>
      <c r="E30288" s="2">
        <v>4.0438351732783302E-5</v>
      </c>
      <c r="F30288" s="2">
        <v>1.72998109130667E-6</v>
      </c>
    </row>
    <row r="30289" spans="1:6" x14ac:dyDescent="0.25">
      <c r="A30289" s="1" t="str">
        <f t="shared" si="1087"/>
        <v>40380</v>
      </c>
      <c r="B30289" s="1" t="str">
        <f>"14098"</f>
        <v>14098</v>
      </c>
      <c r="C30289" s="2">
        <v>2.4453828795940901E-3</v>
      </c>
      <c r="D30289" s="2">
        <v>8.31422740671688E-4</v>
      </c>
      <c r="E30289" s="2">
        <v>1.13227384851793E-3</v>
      </c>
      <c r="F30289" s="2">
        <v>2.2783850972508801E-3</v>
      </c>
    </row>
    <row r="30290" spans="1:6" x14ac:dyDescent="0.25">
      <c r="A30290" s="1" t="str">
        <f t="shared" si="1087"/>
        <v>40380</v>
      </c>
      <c r="B30290" s="1" t="str">
        <f>"14605"</f>
        <v>14605</v>
      </c>
      <c r="C30290" s="2">
        <v>1.04357103778856E-2</v>
      </c>
      <c r="D30290" s="2">
        <v>1.3831851049356201E-2</v>
      </c>
      <c r="E30290" s="2">
        <v>2.1553641473573502E-2</v>
      </c>
      <c r="F30290" s="2">
        <v>1.1144538190197501E-2</v>
      </c>
    </row>
    <row r="30291" spans="1:6" x14ac:dyDescent="0.25">
      <c r="A30291" s="1" t="str">
        <f t="shared" si="1087"/>
        <v>40380</v>
      </c>
      <c r="B30291" s="1" t="str">
        <f>"14590"</f>
        <v>14590</v>
      </c>
      <c r="C30291" s="2">
        <v>5.5001645181953201E-3</v>
      </c>
      <c r="D30291" s="2">
        <v>4.0563351893376301E-3</v>
      </c>
      <c r="E30291" s="2">
        <v>1.77928747624246E-3</v>
      </c>
      <c r="F30291" s="2">
        <v>5.2418427066592103E-3</v>
      </c>
    </row>
    <row r="30292" spans="1:6" x14ac:dyDescent="0.25">
      <c r="A30292" s="1" t="str">
        <f t="shared" si="1087"/>
        <v>40380</v>
      </c>
      <c r="B30292" s="1" t="str">
        <f>"14555"</f>
        <v>14555</v>
      </c>
      <c r="C30292" s="2">
        <v>1.93333216515679E-3</v>
      </c>
      <c r="D30292" s="2">
        <v>8.8181199768209398E-4</v>
      </c>
      <c r="E30292" s="2">
        <v>9.3008208985401696E-4</v>
      </c>
      <c r="F30292" s="2">
        <v>1.8182101269633101E-3</v>
      </c>
    </row>
    <row r="30293" spans="1:6" x14ac:dyDescent="0.25">
      <c r="A30293" s="1" t="str">
        <f t="shared" si="1087"/>
        <v>40380</v>
      </c>
      <c r="B30293" s="1" t="str">
        <f>"14424"</f>
        <v>14424</v>
      </c>
      <c r="C30293" s="2">
        <v>2.7882426925690301E-2</v>
      </c>
      <c r="D30293" s="2">
        <v>2.8545514096394602E-2</v>
      </c>
      <c r="E30293" s="2">
        <v>2.3939504225807699E-2</v>
      </c>
      <c r="F30293" s="2">
        <v>2.7759276591106798E-2</v>
      </c>
    </row>
    <row r="30294" spans="1:6" x14ac:dyDescent="0.25">
      <c r="A30294" s="1" t="str">
        <f t="shared" si="1087"/>
        <v>40380</v>
      </c>
      <c r="B30294" s="1" t="str">
        <f>"14418"</f>
        <v>14418</v>
      </c>
      <c r="C30294" s="2">
        <v>1.5147355735065299E-3</v>
      </c>
      <c r="D30294" s="2">
        <v>8.0622811216648604E-4</v>
      </c>
      <c r="E30294" s="2">
        <v>1.6175340693113299E-4</v>
      </c>
      <c r="F30294" s="2">
        <v>1.4082046083236301E-3</v>
      </c>
    </row>
    <row r="30295" spans="1:6" x14ac:dyDescent="0.25">
      <c r="A30295" s="1" t="str">
        <f t="shared" si="1087"/>
        <v>40380</v>
      </c>
      <c r="B30295" s="1" t="str">
        <f>"14477"</f>
        <v>14477</v>
      </c>
      <c r="C30295" s="2">
        <v>1.52836429974631E-3</v>
      </c>
      <c r="D30295" s="2">
        <v>4.5350331309364802E-4</v>
      </c>
      <c r="E30295" s="2">
        <v>3.6394516559505E-4</v>
      </c>
      <c r="F30295" s="2">
        <v>1.4047446461410099E-3</v>
      </c>
    </row>
    <row r="30296" spans="1:6" x14ac:dyDescent="0.25">
      <c r="A30296" s="1" t="str">
        <f t="shared" si="1087"/>
        <v>40380</v>
      </c>
      <c r="B30296" s="1" t="str">
        <f>"14472"</f>
        <v>14472</v>
      </c>
      <c r="C30296" s="2">
        <v>7.2796867729317902E-3</v>
      </c>
      <c r="D30296" s="2">
        <v>4.8121740444937097E-3</v>
      </c>
      <c r="E30296" s="2">
        <v>5.4996158356585296E-3</v>
      </c>
      <c r="F30296" s="2">
        <v>7.0341031172529199E-3</v>
      </c>
    </row>
    <row r="30297" spans="1:6" x14ac:dyDescent="0.25">
      <c r="A30297" s="1" t="str">
        <f t="shared" si="1087"/>
        <v>40380</v>
      </c>
      <c r="B30297" s="1" t="str">
        <f>"14517"</f>
        <v>14517</v>
      </c>
      <c r="C30297" s="2">
        <v>2.33051218700169E-3</v>
      </c>
      <c r="D30297" s="2">
        <v>5.0389257010405298E-4</v>
      </c>
      <c r="E30297" s="2">
        <v>9.3008208985401696E-4</v>
      </c>
      <c r="F30297" s="2">
        <v>2.1451765532202699E-3</v>
      </c>
    </row>
    <row r="30298" spans="1:6" x14ac:dyDescent="0.25">
      <c r="A30298" s="1" t="str">
        <f t="shared" si="1087"/>
        <v>40380</v>
      </c>
      <c r="B30298" s="1" t="str">
        <f>"14482"</f>
        <v>14482</v>
      </c>
      <c r="C30298" s="2">
        <v>2.2584746340200199E-4</v>
      </c>
      <c r="D30298" s="2">
        <v>2.0155702804162099E-4</v>
      </c>
      <c r="E30298" s="2">
        <v>2.426301103967E-4</v>
      </c>
      <c r="F30298" s="2">
        <v>2.2489754186986701E-4</v>
      </c>
    </row>
    <row r="30299" spans="1:6" x14ac:dyDescent="0.25">
      <c r="A30299" s="1" t="str">
        <f t="shared" si="1087"/>
        <v>40380</v>
      </c>
      <c r="B30299" s="1" t="str">
        <f>"14621"</f>
        <v>14621</v>
      </c>
      <c r="C30299" s="2">
        <v>2.9356276320477499E-2</v>
      </c>
      <c r="D30299" s="2">
        <v>2.52954070192235E-2</v>
      </c>
      <c r="E30299" s="2">
        <v>4.5978405920174603E-2</v>
      </c>
      <c r="F30299" s="2">
        <v>2.9788544411209501E-2</v>
      </c>
    </row>
    <row r="30300" spans="1:6" x14ac:dyDescent="0.25">
      <c r="A30300" s="1" t="str">
        <f t="shared" si="1087"/>
        <v>40380</v>
      </c>
      <c r="B30300" s="1" t="str">
        <f>"14608"</f>
        <v>14608</v>
      </c>
      <c r="C30300" s="2">
        <v>1.2191869101925301E-2</v>
      </c>
      <c r="D30300" s="2">
        <v>1.6477287042402498E-2</v>
      </c>
      <c r="E30300" s="2">
        <v>2.5435723239920702E-2</v>
      </c>
      <c r="F30300" s="2">
        <v>1.30527073339088E-2</v>
      </c>
    </row>
    <row r="30301" spans="1:6" x14ac:dyDescent="0.25">
      <c r="A30301" s="1" t="str">
        <f t="shared" si="1087"/>
        <v>40380</v>
      </c>
      <c r="B30301" s="1" t="str">
        <f>"14486"</f>
        <v>14486</v>
      </c>
      <c r="C30301" s="2">
        <v>2.9983197727507198E-4</v>
      </c>
      <c r="D30301" s="2">
        <v>1.25973142526013E-4</v>
      </c>
      <c r="E30301" s="2">
        <v>4.0438351732783302E-5</v>
      </c>
      <c r="F30301" s="2">
        <v>2.76796974609067E-4</v>
      </c>
    </row>
    <row r="30302" spans="1:6" x14ac:dyDescent="0.25">
      <c r="A30302" s="1" t="str">
        <f t="shared" si="1087"/>
        <v>40380</v>
      </c>
      <c r="B30302" s="1" t="str">
        <f>"14508"</f>
        <v>14508</v>
      </c>
      <c r="C30302" s="2">
        <v>0</v>
      </c>
      <c r="D30302" s="2">
        <v>0</v>
      </c>
      <c r="E30302" s="2">
        <v>4.0438351732783302E-5</v>
      </c>
      <c r="F30302" s="2">
        <v>1.72998109130667E-6</v>
      </c>
    </row>
    <row r="30303" spans="1:6" x14ac:dyDescent="0.25">
      <c r="A30303" s="1" t="str">
        <f t="shared" si="1087"/>
        <v>40380</v>
      </c>
      <c r="B30303" s="1" t="str">
        <f>"14415"</f>
        <v>14415</v>
      </c>
      <c r="C30303" s="2">
        <v>4.8674022284914299E-5</v>
      </c>
      <c r="D30303" s="2">
        <v>0</v>
      </c>
      <c r="E30303" s="2">
        <v>2.3454244005014298E-3</v>
      </c>
      <c r="F30303" s="2">
        <v>1.4358843057845299E-4</v>
      </c>
    </row>
    <row r="30304" spans="1:6" x14ac:dyDescent="0.25">
      <c r="A30304" s="1" t="str">
        <f t="shared" si="1087"/>
        <v>40380</v>
      </c>
      <c r="B30304" s="1" t="str">
        <f>"14563"</f>
        <v>14563</v>
      </c>
      <c r="C30304" s="2">
        <v>0</v>
      </c>
      <c r="D30304" s="2">
        <v>0</v>
      </c>
      <c r="E30304" s="2">
        <v>4.0438351732783302E-5</v>
      </c>
      <c r="F30304" s="2">
        <v>1.72998109130667E-6</v>
      </c>
    </row>
    <row r="30305" spans="1:6" x14ac:dyDescent="0.25">
      <c r="A30305" s="1" t="str">
        <f t="shared" si="1087"/>
        <v>40380</v>
      </c>
      <c r="B30305" s="1" t="str">
        <f>"14488"</f>
        <v>14488</v>
      </c>
      <c r="C30305" s="2">
        <v>0</v>
      </c>
      <c r="D30305" s="2">
        <v>0</v>
      </c>
      <c r="E30305" s="2">
        <v>4.0438351732783302E-5</v>
      </c>
      <c r="F30305" s="2">
        <v>1.72998109130667E-6</v>
      </c>
    </row>
    <row r="30306" spans="1:6" x14ac:dyDescent="0.25">
      <c r="A30306" s="1" t="str">
        <f t="shared" ref="A30306:A30337" si="1088">"40380"</f>
        <v>40380</v>
      </c>
      <c r="B30306" s="1" t="str">
        <f>"14572"</f>
        <v>14572</v>
      </c>
      <c r="C30306" s="2">
        <v>1.0241014288745901E-3</v>
      </c>
      <c r="D30306" s="2">
        <v>2.51946285052026E-4</v>
      </c>
      <c r="E30306" s="2">
        <v>4.0438351732783302E-5</v>
      </c>
      <c r="F30306" s="2">
        <v>9.2899984603168201E-4</v>
      </c>
    </row>
    <row r="30307" spans="1:6" x14ac:dyDescent="0.25">
      <c r="A30307" s="1" t="str">
        <f t="shared" si="1088"/>
        <v>40380</v>
      </c>
      <c r="B30307" s="1" t="str">
        <f>"14462"</f>
        <v>14462</v>
      </c>
      <c r="C30307" s="2">
        <v>4.9452806641472901E-4</v>
      </c>
      <c r="D30307" s="2">
        <v>5.5428182711445896E-4</v>
      </c>
      <c r="E30307" s="2">
        <v>4.0438351732783302E-5</v>
      </c>
      <c r="F30307" s="2">
        <v>4.7920476229194799E-4</v>
      </c>
    </row>
    <row r="30308" spans="1:6" x14ac:dyDescent="0.25">
      <c r="A30308" s="1" t="str">
        <f t="shared" si="1088"/>
        <v>40380</v>
      </c>
      <c r="B30308" s="1" t="str">
        <f>"14416"</f>
        <v>14416</v>
      </c>
      <c r="C30308" s="2">
        <v>2.00536971813847E-4</v>
      </c>
      <c r="D30308" s="2">
        <v>7.5583885515607995E-5</v>
      </c>
      <c r="E30308" s="2">
        <v>8.0876703465566698E-5</v>
      </c>
      <c r="F30308" s="2">
        <v>1.8683795786112001E-4</v>
      </c>
    </row>
    <row r="30309" spans="1:6" x14ac:dyDescent="0.25">
      <c r="A30309" s="1" t="str">
        <f t="shared" si="1088"/>
        <v>40380</v>
      </c>
      <c r="B30309" s="1" t="str">
        <f>"14884"</f>
        <v>14884</v>
      </c>
      <c r="C30309" s="2">
        <v>1.9469608913965701E-6</v>
      </c>
      <c r="D30309" s="2">
        <v>0</v>
      </c>
      <c r="E30309" s="2">
        <v>0</v>
      </c>
      <c r="F30309" s="2">
        <v>1.72998109130667E-6</v>
      </c>
    </row>
    <row r="30310" spans="1:6" x14ac:dyDescent="0.25">
      <c r="A30310" s="1" t="str">
        <f t="shared" si="1088"/>
        <v>40380</v>
      </c>
      <c r="B30310" s="1" t="str">
        <f>"14125"</f>
        <v>14125</v>
      </c>
      <c r="C30310" s="2">
        <v>9.7348044569828704E-6</v>
      </c>
      <c r="D30310" s="2">
        <v>2.5194628505202601E-5</v>
      </c>
      <c r="E30310" s="2">
        <v>0</v>
      </c>
      <c r="F30310" s="2">
        <v>1.0379886547840001E-5</v>
      </c>
    </row>
    <row r="30311" spans="1:6" x14ac:dyDescent="0.25">
      <c r="A30311" s="1" t="str">
        <f t="shared" si="1088"/>
        <v>40380</v>
      </c>
      <c r="B30311" s="1" t="str">
        <f>"14422"</f>
        <v>14422</v>
      </c>
      <c r="C30311" s="2">
        <v>2.9204413370948599E-5</v>
      </c>
      <c r="D30311" s="2">
        <v>0</v>
      </c>
      <c r="E30311" s="2">
        <v>0</v>
      </c>
      <c r="F30311" s="2">
        <v>2.5949716369600001E-5</v>
      </c>
    </row>
    <row r="30312" spans="1:6" x14ac:dyDescent="0.25">
      <c r="A30312" s="1" t="str">
        <f t="shared" si="1088"/>
        <v>40380</v>
      </c>
      <c r="B30312" s="1" t="str">
        <f>"14646"</f>
        <v>14646</v>
      </c>
      <c r="C30312" s="2">
        <v>0</v>
      </c>
      <c r="D30312" s="2">
        <v>0</v>
      </c>
      <c r="E30312" s="2">
        <v>4.0438351732783302E-5</v>
      </c>
      <c r="F30312" s="2">
        <v>1.72998109130667E-6</v>
      </c>
    </row>
    <row r="30313" spans="1:6" x14ac:dyDescent="0.25">
      <c r="A30313" s="1" t="str">
        <f t="shared" si="1088"/>
        <v>40380</v>
      </c>
      <c r="B30313" s="1" t="str">
        <f>"14413"</f>
        <v>14413</v>
      </c>
      <c r="C30313" s="2">
        <v>0</v>
      </c>
      <c r="D30313" s="2">
        <v>0</v>
      </c>
      <c r="E30313" s="2">
        <v>4.0438351732783302E-5</v>
      </c>
      <c r="F30313" s="2">
        <v>1.72998109130667E-6</v>
      </c>
    </row>
    <row r="30314" spans="1:6" x14ac:dyDescent="0.25">
      <c r="A30314" s="1" t="str">
        <f t="shared" si="1088"/>
        <v>40380</v>
      </c>
      <c r="B30314" s="1" t="str">
        <f>"14012"</f>
        <v>14012</v>
      </c>
      <c r="C30314" s="2">
        <v>4.8674022284914299E-5</v>
      </c>
      <c r="D30314" s="2">
        <v>0</v>
      </c>
      <c r="E30314" s="2">
        <v>0</v>
      </c>
      <c r="F30314" s="2">
        <v>4.3249527282666801E-5</v>
      </c>
    </row>
    <row r="30315" spans="1:6" x14ac:dyDescent="0.25">
      <c r="A30315" s="1" t="str">
        <f t="shared" si="1088"/>
        <v>40380</v>
      </c>
      <c r="B30315" s="1" t="str">
        <f>"14103"</f>
        <v>14103</v>
      </c>
      <c r="C30315" s="2">
        <v>9.05726206677686E-3</v>
      </c>
      <c r="D30315" s="2">
        <v>9.0448716333677605E-3</v>
      </c>
      <c r="E30315" s="2">
        <v>8.9773140846779002E-3</v>
      </c>
      <c r="F30315" s="2">
        <v>9.0529910508078092E-3</v>
      </c>
    </row>
    <row r="30316" spans="1:6" x14ac:dyDescent="0.25">
      <c r="A30316" s="1" t="str">
        <f t="shared" si="1088"/>
        <v>40380</v>
      </c>
      <c r="B30316" s="1" t="str">
        <f>"14105"</f>
        <v>14105</v>
      </c>
      <c r="C30316" s="2">
        <v>1.7717344111708801E-4</v>
      </c>
      <c r="D30316" s="2">
        <v>7.5583885515607995E-5</v>
      </c>
      <c r="E30316" s="2">
        <v>1.6175340693113299E-4</v>
      </c>
      <c r="F30316" s="2">
        <v>1.6953814694805301E-4</v>
      </c>
    </row>
    <row r="30317" spans="1:6" x14ac:dyDescent="0.25">
      <c r="A30317" s="1" t="str">
        <f t="shared" si="1088"/>
        <v>40380</v>
      </c>
      <c r="B30317" s="1" t="str">
        <f>"14532"</f>
        <v>14532</v>
      </c>
      <c r="C30317" s="2">
        <v>3.52594617431919E-3</v>
      </c>
      <c r="D30317" s="2">
        <v>3.0737446776347198E-3</v>
      </c>
      <c r="E30317" s="2">
        <v>4.2055885802094696E-3</v>
      </c>
      <c r="F30317" s="2">
        <v>3.5239714829916899E-3</v>
      </c>
    </row>
    <row r="30318" spans="1:6" x14ac:dyDescent="0.25">
      <c r="A30318" s="1" t="str">
        <f t="shared" si="1088"/>
        <v>40380</v>
      </c>
      <c r="B30318" s="1" t="str">
        <f>"14551"</f>
        <v>14551</v>
      </c>
      <c r="C30318" s="2">
        <v>4.69217574826574E-3</v>
      </c>
      <c r="D30318" s="2">
        <v>4.8877579300093199E-3</v>
      </c>
      <c r="E30318" s="2">
        <v>4.852602207934E-3</v>
      </c>
      <c r="F30318" s="2">
        <v>4.7124684927193697E-3</v>
      </c>
    </row>
    <row r="30319" spans="1:6" x14ac:dyDescent="0.25">
      <c r="A30319" s="1" t="str">
        <f t="shared" si="1088"/>
        <v>40380</v>
      </c>
      <c r="B30319" s="1" t="str">
        <f>"14603"</f>
        <v>14603</v>
      </c>
      <c r="C30319" s="2">
        <v>2.3052016954135399E-3</v>
      </c>
      <c r="D30319" s="2">
        <v>4.6610062734624902E-3</v>
      </c>
      <c r="E30319" s="2">
        <v>4.0438351732783302E-5</v>
      </c>
      <c r="F30319" s="2">
        <v>2.37007409509014E-3</v>
      </c>
    </row>
    <row r="30320" spans="1:6" x14ac:dyDescent="0.25">
      <c r="A30320" s="1" t="str">
        <f t="shared" si="1088"/>
        <v>40380</v>
      </c>
      <c r="B30320" s="1" t="str">
        <f>"14420"</f>
        <v>14420</v>
      </c>
      <c r="C30320" s="2">
        <v>2.0762390945852999E-2</v>
      </c>
      <c r="D30320" s="2">
        <v>1.4411327504975899E-2</v>
      </c>
      <c r="E30320" s="2">
        <v>1.2697642444093901E-2</v>
      </c>
      <c r="F30320" s="2">
        <v>1.9981281604592002E-2</v>
      </c>
    </row>
    <row r="30321" spans="1:6" x14ac:dyDescent="0.25">
      <c r="A30321" s="1" t="str">
        <f t="shared" si="1088"/>
        <v>40380</v>
      </c>
      <c r="B30321" s="1" t="str">
        <f>"14445"</f>
        <v>14445</v>
      </c>
      <c r="C30321" s="2">
        <v>7.1025133318147003E-3</v>
      </c>
      <c r="D30321" s="2">
        <v>1.1866670025950401E-2</v>
      </c>
      <c r="E30321" s="2">
        <v>7.8046018844271899E-3</v>
      </c>
      <c r="F30321" s="2">
        <v>7.4596784657143603E-3</v>
      </c>
    </row>
    <row r="30322" spans="1:6" x14ac:dyDescent="0.25">
      <c r="A30322" s="1" t="str">
        <f t="shared" si="1088"/>
        <v>40380</v>
      </c>
      <c r="B30322" s="1" t="str">
        <f>"14506"</f>
        <v>14506</v>
      </c>
      <c r="C30322" s="2">
        <v>1.5867731264882E-3</v>
      </c>
      <c r="D30322" s="2">
        <v>4.6358116449572899E-3</v>
      </c>
      <c r="E30322" s="2">
        <v>3.6394516559505E-4</v>
      </c>
      <c r="F30322" s="2">
        <v>1.7438209400371201E-3</v>
      </c>
    </row>
    <row r="30323" spans="1:6" x14ac:dyDescent="0.25">
      <c r="A30323" s="1" t="str">
        <f t="shared" si="1088"/>
        <v>40380</v>
      </c>
      <c r="B30323" s="1" t="str">
        <f>"14512"</f>
        <v>14512</v>
      </c>
      <c r="C30323" s="2">
        <v>4.60456250815289E-3</v>
      </c>
      <c r="D30323" s="2">
        <v>2.2675165654682402E-3</v>
      </c>
      <c r="E30323" s="2">
        <v>1.53665736584576E-3</v>
      </c>
      <c r="F30323" s="2">
        <v>4.3128428606275301E-3</v>
      </c>
    </row>
    <row r="30324" spans="1:6" x14ac:dyDescent="0.25">
      <c r="A30324" s="1" t="str">
        <f t="shared" si="1088"/>
        <v>40380</v>
      </c>
      <c r="B30324" s="1" t="str">
        <f>"14470"</f>
        <v>14470</v>
      </c>
      <c r="C30324" s="2">
        <v>6.6625001703590698E-3</v>
      </c>
      <c r="D30324" s="2">
        <v>3.1241339346451298E-3</v>
      </c>
      <c r="E30324" s="2">
        <v>4.7717255044684298E-3</v>
      </c>
      <c r="F30324" s="2">
        <v>6.3386507185476402E-3</v>
      </c>
    </row>
    <row r="30325" spans="1:6" x14ac:dyDescent="0.25">
      <c r="A30325" s="1" t="str">
        <f t="shared" si="1088"/>
        <v>40380</v>
      </c>
      <c r="B30325" s="1" t="str">
        <f>"14467"</f>
        <v>14467</v>
      </c>
      <c r="C30325" s="2">
        <v>1.0108620948131E-2</v>
      </c>
      <c r="D30325" s="2">
        <v>8.08747575017006E-3</v>
      </c>
      <c r="E30325" s="2">
        <v>1.03926563953253E-2</v>
      </c>
      <c r="F30325" s="2">
        <v>9.9819908968394894E-3</v>
      </c>
    </row>
    <row r="30326" spans="1:6" x14ac:dyDescent="0.25">
      <c r="A30326" s="1" t="str">
        <f t="shared" si="1088"/>
        <v>40380</v>
      </c>
      <c r="B30326" s="1" t="str">
        <f>"14481"</f>
        <v>14481</v>
      </c>
      <c r="C30326" s="2">
        <v>1.5458869477688801E-3</v>
      </c>
      <c r="D30326" s="2">
        <v>7.3064422665087799E-4</v>
      </c>
      <c r="E30326" s="2">
        <v>6.0657527599175E-4</v>
      </c>
      <c r="F30326" s="2">
        <v>1.4497241545149901E-3</v>
      </c>
    </row>
    <row r="30327" spans="1:6" x14ac:dyDescent="0.25">
      <c r="A30327" s="1" t="str">
        <f t="shared" si="1088"/>
        <v>40380</v>
      </c>
      <c r="B30327" s="1" t="str">
        <f>"14612"</f>
        <v>14612</v>
      </c>
      <c r="C30327" s="2">
        <v>3.15991752673664E-2</v>
      </c>
      <c r="D30327" s="2">
        <v>1.1690307626413999E-2</v>
      </c>
      <c r="E30327" s="2">
        <v>3.42917222694002E-2</v>
      </c>
      <c r="F30327" s="2">
        <v>3.0347328303701598E-2</v>
      </c>
    </row>
    <row r="30328" spans="1:6" x14ac:dyDescent="0.25">
      <c r="A30328" s="1" t="str">
        <f t="shared" si="1088"/>
        <v>40380</v>
      </c>
      <c r="B30328" s="1" t="str">
        <f>"14609"</f>
        <v>14609</v>
      </c>
      <c r="C30328" s="2">
        <v>3.7977419147581501E-2</v>
      </c>
      <c r="D30328" s="2">
        <v>2.68070847295356E-2</v>
      </c>
      <c r="E30328" s="2">
        <v>2.89942981924056E-2</v>
      </c>
      <c r="F30328" s="2">
        <v>3.6826107490645098E-2</v>
      </c>
    </row>
    <row r="30329" spans="1:6" x14ac:dyDescent="0.25">
      <c r="A30329" s="1" t="str">
        <f t="shared" si="1088"/>
        <v>40380</v>
      </c>
      <c r="B30329" s="1" t="str">
        <f>"14525"</f>
        <v>14525</v>
      </c>
      <c r="C30329" s="2">
        <v>9.1507161895639001E-5</v>
      </c>
      <c r="D30329" s="2">
        <v>1.0077851402081E-4</v>
      </c>
      <c r="E30329" s="2">
        <v>0</v>
      </c>
      <c r="F30329" s="2">
        <v>8.8229035656640196E-5</v>
      </c>
    </row>
    <row r="30330" spans="1:6" x14ac:dyDescent="0.25">
      <c r="A30330" s="1" t="str">
        <f t="shared" si="1088"/>
        <v>40380</v>
      </c>
      <c r="B30330" s="1" t="str">
        <f>"14520"</f>
        <v>14520</v>
      </c>
      <c r="C30330" s="2">
        <v>0</v>
      </c>
      <c r="D30330" s="2">
        <v>0</v>
      </c>
      <c r="E30330" s="2">
        <v>4.0438351732783302E-5</v>
      </c>
      <c r="F30330" s="2">
        <v>1.72998109130667E-6</v>
      </c>
    </row>
    <row r="30331" spans="1:6" x14ac:dyDescent="0.25">
      <c r="A30331" s="1" t="str">
        <f t="shared" si="1088"/>
        <v>40380</v>
      </c>
      <c r="B30331" s="1" t="str">
        <f>"14585"</f>
        <v>14585</v>
      </c>
      <c r="C30331" s="2">
        <v>1.3823422328915601E-4</v>
      </c>
      <c r="D30331" s="2">
        <v>0</v>
      </c>
      <c r="E30331" s="2">
        <v>4.0438351732783302E-5</v>
      </c>
      <c r="F30331" s="2">
        <v>1.2455863857407999E-4</v>
      </c>
    </row>
    <row r="30332" spans="1:6" x14ac:dyDescent="0.25">
      <c r="A30332" s="1" t="str">
        <f t="shared" si="1088"/>
        <v>40380</v>
      </c>
      <c r="B30332" s="1" t="str">
        <f>"14638"</f>
        <v>14638</v>
      </c>
      <c r="C30332" s="2">
        <v>0</v>
      </c>
      <c r="D30332" s="2">
        <v>0</v>
      </c>
      <c r="E30332" s="2">
        <v>4.0438351732783302E-5</v>
      </c>
      <c r="F30332" s="2">
        <v>1.72998109130667E-6</v>
      </c>
    </row>
    <row r="30333" spans="1:6" x14ac:dyDescent="0.25">
      <c r="A30333" s="1" t="str">
        <f t="shared" si="1088"/>
        <v>40380</v>
      </c>
      <c r="B30333" s="1" t="str">
        <f>"13148"</f>
        <v>13148</v>
      </c>
      <c r="C30333" s="2">
        <v>1.94696089139657E-5</v>
      </c>
      <c r="D30333" s="2">
        <v>0</v>
      </c>
      <c r="E30333" s="2">
        <v>0</v>
      </c>
      <c r="F30333" s="2">
        <v>1.7299810913066701E-5</v>
      </c>
    </row>
    <row r="30334" spans="1:6" x14ac:dyDescent="0.25">
      <c r="A30334" s="1" t="str">
        <f t="shared" si="1088"/>
        <v>40380</v>
      </c>
      <c r="B30334" s="1" t="str">
        <f>"14544"</f>
        <v>14544</v>
      </c>
      <c r="C30334" s="2">
        <v>1.8749233384149E-3</v>
      </c>
      <c r="D30334" s="2">
        <v>4.0311405608324302E-4</v>
      </c>
      <c r="E30334" s="2">
        <v>9.705204415868E-4</v>
      </c>
      <c r="F30334" s="2">
        <v>1.7351710345805901E-3</v>
      </c>
    </row>
    <row r="30335" spans="1:6" x14ac:dyDescent="0.25">
      <c r="A30335" s="1" t="str">
        <f t="shared" si="1088"/>
        <v>40380</v>
      </c>
      <c r="B30335" s="1" t="str">
        <f>"14058"</f>
        <v>14058</v>
      </c>
      <c r="C30335" s="2">
        <v>7.3984513873069803E-5</v>
      </c>
      <c r="D30335" s="2">
        <v>7.5583885515607995E-5</v>
      </c>
      <c r="E30335" s="2">
        <v>0</v>
      </c>
      <c r="F30335" s="2">
        <v>7.0929224743573494E-5</v>
      </c>
    </row>
    <row r="30336" spans="1:6" x14ac:dyDescent="0.25">
      <c r="A30336" s="1" t="str">
        <f t="shared" si="1088"/>
        <v>40380</v>
      </c>
      <c r="B30336" s="1" t="str">
        <f>"14461"</f>
        <v>14461</v>
      </c>
      <c r="C30336" s="2">
        <v>0</v>
      </c>
      <c r="D30336" s="2">
        <v>0</v>
      </c>
      <c r="E30336" s="2">
        <v>4.0438351732783302E-5</v>
      </c>
      <c r="F30336" s="2">
        <v>1.72998109130667E-6</v>
      </c>
    </row>
    <row r="30337" spans="1:6" x14ac:dyDescent="0.25">
      <c r="A30337" s="1" t="str">
        <f t="shared" si="1088"/>
        <v>40380</v>
      </c>
      <c r="B30337" s="1" t="str">
        <f>"14639"</f>
        <v>14639</v>
      </c>
      <c r="C30337" s="2">
        <v>0</v>
      </c>
      <c r="D30337" s="2">
        <v>0</v>
      </c>
      <c r="E30337" s="2">
        <v>4.0438351732783302E-5</v>
      </c>
      <c r="F30337" s="2">
        <v>1.72998109130667E-6</v>
      </c>
    </row>
    <row r="30338" spans="1:6" x14ac:dyDescent="0.25">
      <c r="A30338" s="1" t="str">
        <f t="shared" ref="A30338:A30369" si="1089">"40380"</f>
        <v>40380</v>
      </c>
      <c r="B30338" s="1" t="str">
        <f>"14651"</f>
        <v>14651</v>
      </c>
      <c r="C30338" s="2">
        <v>0</v>
      </c>
      <c r="D30338" s="2">
        <v>0</v>
      </c>
      <c r="E30338" s="2">
        <v>4.0438351732783302E-5</v>
      </c>
      <c r="F30338" s="2">
        <v>1.72998109130667E-6</v>
      </c>
    </row>
    <row r="30339" spans="1:6" x14ac:dyDescent="0.25">
      <c r="A30339" s="1" t="str">
        <f t="shared" si="1089"/>
        <v>40380</v>
      </c>
      <c r="B30339" s="1" t="str">
        <f>"14589"</f>
        <v>14589</v>
      </c>
      <c r="C30339" s="2">
        <v>6.60993222629137E-3</v>
      </c>
      <c r="D30339" s="2">
        <v>2.99816079211912E-3</v>
      </c>
      <c r="E30339" s="2">
        <v>1.9814792349063799E-3</v>
      </c>
      <c r="F30339" s="2">
        <v>6.1639226283256698E-3</v>
      </c>
    </row>
    <row r="30340" spans="1:6" x14ac:dyDescent="0.25">
      <c r="A30340" s="1" t="str">
        <f t="shared" si="1089"/>
        <v>40380</v>
      </c>
      <c r="B30340" s="1" t="str">
        <f>"14559"</f>
        <v>14559</v>
      </c>
      <c r="C30340" s="2">
        <v>1.5106469556346E-2</v>
      </c>
      <c r="D30340" s="2">
        <v>1.30256229371897E-2</v>
      </c>
      <c r="E30340" s="2">
        <v>9.7860811193335694E-3</v>
      </c>
      <c r="F30340" s="2">
        <v>1.47359789357502E-2</v>
      </c>
    </row>
    <row r="30341" spans="1:6" x14ac:dyDescent="0.25">
      <c r="A30341" s="1" t="str">
        <f t="shared" si="1089"/>
        <v>40380</v>
      </c>
      <c r="B30341" s="1" t="str">
        <f>"14568"</f>
        <v>14568</v>
      </c>
      <c r="C30341" s="2">
        <v>4.5792520165647398E-3</v>
      </c>
      <c r="D30341" s="2">
        <v>9.0700662618729605E-4</v>
      </c>
      <c r="E30341" s="2">
        <v>1.7388491245096799E-3</v>
      </c>
      <c r="F30341" s="2">
        <v>4.2055840329665098E-3</v>
      </c>
    </row>
    <row r="30342" spans="1:6" x14ac:dyDescent="0.25">
      <c r="A30342" s="1" t="str">
        <f t="shared" si="1089"/>
        <v>40380</v>
      </c>
      <c r="B30342" s="1" t="str">
        <f>"14548"</f>
        <v>14548</v>
      </c>
      <c r="C30342" s="2">
        <v>3.3078865544827799E-3</v>
      </c>
      <c r="D30342" s="2">
        <v>1.3857045677861399E-3</v>
      </c>
      <c r="E30342" s="2">
        <v>1.61753406931133E-3</v>
      </c>
      <c r="F30342" s="2">
        <v>3.10358607780416E-3</v>
      </c>
    </row>
    <row r="30343" spans="1:6" x14ac:dyDescent="0.25">
      <c r="A30343" s="1" t="str">
        <f t="shared" si="1089"/>
        <v>40380</v>
      </c>
      <c r="B30343" s="1" t="str">
        <f>"14435"</f>
        <v>14435</v>
      </c>
      <c r="C30343" s="2">
        <v>3.0080545772077001E-3</v>
      </c>
      <c r="D30343" s="2">
        <v>3.0233554206243198E-4</v>
      </c>
      <c r="E30343" s="2">
        <v>2.0219175866391601E-4</v>
      </c>
      <c r="F30343" s="2">
        <v>2.70223046462102E-3</v>
      </c>
    </row>
    <row r="30344" spans="1:6" x14ac:dyDescent="0.25">
      <c r="A30344" s="1" t="str">
        <f t="shared" si="1089"/>
        <v>40380</v>
      </c>
      <c r="B30344" s="1" t="str">
        <f>"14432"</f>
        <v>14432</v>
      </c>
      <c r="C30344" s="2">
        <v>4.8440386977946703E-3</v>
      </c>
      <c r="D30344" s="2">
        <v>2.7714091355722898E-3</v>
      </c>
      <c r="E30344" s="2">
        <v>2.3454244005014298E-3</v>
      </c>
      <c r="F30344" s="2">
        <v>4.5948297785105199E-3</v>
      </c>
    </row>
    <row r="30345" spans="1:6" x14ac:dyDescent="0.25">
      <c r="A30345" s="1" t="str">
        <f t="shared" si="1089"/>
        <v>40380</v>
      </c>
      <c r="B30345" s="1" t="str">
        <f>"14433"</f>
        <v>14433</v>
      </c>
      <c r="C30345" s="2">
        <v>3.5220522525364001E-3</v>
      </c>
      <c r="D30345" s="2">
        <v>2.8721876495930998E-3</v>
      </c>
      <c r="E30345" s="2">
        <v>1.6984107727769E-3</v>
      </c>
      <c r="F30345" s="2">
        <v>3.3994128444176101E-3</v>
      </c>
    </row>
    <row r="30346" spans="1:6" x14ac:dyDescent="0.25">
      <c r="A30346" s="1" t="str">
        <f t="shared" si="1089"/>
        <v>40380</v>
      </c>
      <c r="B30346" s="1" t="str">
        <f>"14489"</f>
        <v>14489</v>
      </c>
      <c r="C30346" s="2">
        <v>6.1329268078992001E-3</v>
      </c>
      <c r="D30346" s="2">
        <v>6.6009926683631001E-3</v>
      </c>
      <c r="E30346" s="2">
        <v>6.8745197945731702E-3</v>
      </c>
      <c r="F30346" s="2">
        <v>6.1967922690604896E-3</v>
      </c>
    </row>
    <row r="30347" spans="1:6" x14ac:dyDescent="0.25">
      <c r="A30347" s="1" t="str">
        <f t="shared" si="1089"/>
        <v>40380</v>
      </c>
      <c r="B30347" s="1" t="str">
        <f>"14519"</f>
        <v>14519</v>
      </c>
      <c r="C30347" s="2">
        <v>1.1492910141913899E-2</v>
      </c>
      <c r="D30347" s="2">
        <v>1.12368043133204E-2</v>
      </c>
      <c r="E30347" s="2">
        <v>5.3783007804601799E-3</v>
      </c>
      <c r="F30347" s="2">
        <v>1.1213737433849799E-2</v>
      </c>
    </row>
    <row r="30348" spans="1:6" x14ac:dyDescent="0.25">
      <c r="A30348" s="1" t="str">
        <f t="shared" si="1089"/>
        <v>40380</v>
      </c>
      <c r="B30348" s="1" t="str">
        <f>"14456"</f>
        <v>14456</v>
      </c>
      <c r="C30348" s="2">
        <v>2.2302437010947699E-2</v>
      </c>
      <c r="D30348" s="2">
        <v>2.7134614900103202E-2</v>
      </c>
      <c r="E30348" s="2">
        <v>2.3535120708479899E-2</v>
      </c>
      <c r="F30348" s="2">
        <v>2.2686972031395601E-2</v>
      </c>
    </row>
    <row r="30349" spans="1:6" x14ac:dyDescent="0.25">
      <c r="A30349" s="1" t="str">
        <f t="shared" si="1089"/>
        <v>40380</v>
      </c>
      <c r="B30349" s="1" t="str">
        <f>"14513"</f>
        <v>14513</v>
      </c>
      <c r="C30349" s="2">
        <v>1.19835442865459E-2</v>
      </c>
      <c r="D30349" s="2">
        <v>1.4386132876470699E-2</v>
      </c>
      <c r="E30349" s="2">
        <v>1.5164381899793701E-2</v>
      </c>
      <c r="F30349" s="2">
        <v>1.2284595729368601E-2</v>
      </c>
    </row>
    <row r="30350" spans="1:6" x14ac:dyDescent="0.25">
      <c r="A30350" s="1" t="str">
        <f t="shared" si="1089"/>
        <v>40380</v>
      </c>
      <c r="B30350" s="1" t="str">
        <f>"14527"</f>
        <v>14527</v>
      </c>
      <c r="C30350" s="2">
        <v>1.3007645715420501E-2</v>
      </c>
      <c r="D30350" s="2">
        <v>1.6074172986319302E-2</v>
      </c>
      <c r="E30350" s="2">
        <v>7.9259169396255404E-3</v>
      </c>
      <c r="F30350" s="2">
        <v>1.30008079011696E-2</v>
      </c>
    </row>
    <row r="30351" spans="1:6" x14ac:dyDescent="0.25">
      <c r="A30351" s="1" t="str">
        <f t="shared" si="1089"/>
        <v>40380</v>
      </c>
      <c r="B30351" s="1" t="str">
        <f>"14478"</f>
        <v>14478</v>
      </c>
      <c r="C30351" s="2">
        <v>3.1969097836731701E-3</v>
      </c>
      <c r="D30351" s="2">
        <v>7.81033483661283E-4</v>
      </c>
      <c r="E30351" s="2">
        <v>1.53665736584576E-3</v>
      </c>
      <c r="F30351" s="2">
        <v>2.9599976472257099E-3</v>
      </c>
    </row>
    <row r="30352" spans="1:6" x14ac:dyDescent="0.25">
      <c r="A30352" s="1" t="str">
        <f t="shared" si="1089"/>
        <v>40380</v>
      </c>
      <c r="B30352" s="1" t="str">
        <f>"14504"</f>
        <v>14504</v>
      </c>
      <c r="C30352" s="2">
        <v>1.5011068472667499E-3</v>
      </c>
      <c r="D30352" s="2">
        <v>4.5350331309364802E-4</v>
      </c>
      <c r="E30352" s="2">
        <v>4.852602207934E-4</v>
      </c>
      <c r="F30352" s="2">
        <v>1.38571485413664E-3</v>
      </c>
    </row>
    <row r="30353" spans="1:6" x14ac:dyDescent="0.25">
      <c r="A30353" s="1" t="str">
        <f t="shared" si="1089"/>
        <v>40380</v>
      </c>
      <c r="B30353" s="1" t="str">
        <f>"14476"</f>
        <v>14476</v>
      </c>
      <c r="C30353" s="2">
        <v>1.7892570591934501E-3</v>
      </c>
      <c r="D30353" s="2">
        <v>4.2830868458844498E-4</v>
      </c>
      <c r="E30353" s="2">
        <v>6.8745197945731696E-4</v>
      </c>
      <c r="F30353" s="2">
        <v>1.6486719800152499E-3</v>
      </c>
    </row>
    <row r="30354" spans="1:6" x14ac:dyDescent="0.25">
      <c r="A30354" s="1" t="str">
        <f t="shared" si="1089"/>
        <v>40380</v>
      </c>
      <c r="B30354" s="1" t="str">
        <f>"14837"</f>
        <v>14837</v>
      </c>
      <c r="C30354" s="2">
        <v>4.1314510115435304E-3</v>
      </c>
      <c r="D30354" s="2">
        <v>2.6202413645410698E-3</v>
      </c>
      <c r="E30354" s="2">
        <v>2.426301103967E-3</v>
      </c>
      <c r="F30354" s="2">
        <v>3.9547367747270502E-3</v>
      </c>
    </row>
    <row r="30355" spans="1:6" x14ac:dyDescent="0.25">
      <c r="A30355" s="1" t="str">
        <f t="shared" si="1089"/>
        <v>40380</v>
      </c>
      <c r="B30355" s="1" t="str">
        <f>"14545"</f>
        <v>14545</v>
      </c>
      <c r="C30355" s="2">
        <v>1.2849941883217301E-4</v>
      </c>
      <c r="D30355" s="2">
        <v>1.76362399536418E-4</v>
      </c>
      <c r="E30355" s="2">
        <v>4.0438351732783302E-5</v>
      </c>
      <c r="F30355" s="2">
        <v>1.2801860075669299E-4</v>
      </c>
    </row>
    <row r="30356" spans="1:6" x14ac:dyDescent="0.25">
      <c r="A30356" s="1" t="str">
        <f t="shared" si="1089"/>
        <v>40380</v>
      </c>
      <c r="B30356" s="1" t="str">
        <f>"14846"</f>
        <v>14846</v>
      </c>
      <c r="C30356" s="2">
        <v>4.9258110552333298E-4</v>
      </c>
      <c r="D30356" s="2">
        <v>1.25973142526013E-4</v>
      </c>
      <c r="E30356" s="2">
        <v>4.0438351732783302E-5</v>
      </c>
      <c r="F30356" s="2">
        <v>4.4806510264842799E-4</v>
      </c>
    </row>
    <row r="30357" spans="1:6" x14ac:dyDescent="0.25">
      <c r="A30357" s="1" t="str">
        <f t="shared" si="1089"/>
        <v>40380</v>
      </c>
      <c r="B30357" s="1" t="str">
        <f>"14518"</f>
        <v>14518</v>
      </c>
      <c r="C30357" s="2">
        <v>0</v>
      </c>
      <c r="D30357" s="2">
        <v>0</v>
      </c>
      <c r="E30357" s="2">
        <v>4.0438351732783302E-5</v>
      </c>
      <c r="F30357" s="2">
        <v>1.72998109130667E-6</v>
      </c>
    </row>
    <row r="30358" spans="1:6" x14ac:dyDescent="0.25">
      <c r="A30358" s="1" t="str">
        <f t="shared" si="1089"/>
        <v>40380</v>
      </c>
      <c r="B30358" s="1" t="str">
        <f>"14430"</f>
        <v>14430</v>
      </c>
      <c r="C30358" s="2">
        <v>0</v>
      </c>
      <c r="D30358" s="2">
        <v>0</v>
      </c>
      <c r="E30358" s="2">
        <v>4.0438351732783302E-5</v>
      </c>
      <c r="F30358" s="2">
        <v>1.72998109130667E-6</v>
      </c>
    </row>
    <row r="30359" spans="1:6" x14ac:dyDescent="0.25">
      <c r="A30359" s="1" t="str">
        <f t="shared" si="1089"/>
        <v>40380</v>
      </c>
      <c r="B30359" s="1" t="str">
        <f>"14538"</f>
        <v>14538</v>
      </c>
      <c r="C30359" s="2">
        <v>0</v>
      </c>
      <c r="D30359" s="2">
        <v>0</v>
      </c>
      <c r="E30359" s="2">
        <v>4.0438351732783302E-5</v>
      </c>
      <c r="F30359" s="2">
        <v>1.72998109130667E-6</v>
      </c>
    </row>
    <row r="30360" spans="1:6" x14ac:dyDescent="0.25">
      <c r="A30360" s="1" t="str">
        <f t="shared" si="1089"/>
        <v>40380</v>
      </c>
      <c r="B30360" s="1" t="str">
        <f>"14530"</f>
        <v>14530</v>
      </c>
      <c r="C30360" s="2">
        <v>1.3628726239776E-5</v>
      </c>
      <c r="D30360" s="2">
        <v>0</v>
      </c>
      <c r="E30360" s="2">
        <v>0</v>
      </c>
      <c r="F30360" s="2">
        <v>1.21098676391467E-5</v>
      </c>
    </row>
    <row r="30361" spans="1:6" x14ac:dyDescent="0.25">
      <c r="A30361" s="1" t="str">
        <f t="shared" si="1089"/>
        <v>40380</v>
      </c>
      <c r="B30361" s="1" t="str">
        <f>"14547"</f>
        <v>14547</v>
      </c>
      <c r="C30361" s="2">
        <v>5.84088267418972E-6</v>
      </c>
      <c r="D30361" s="2">
        <v>0</v>
      </c>
      <c r="E30361" s="2">
        <v>4.0438351732783302E-5</v>
      </c>
      <c r="F30361" s="2">
        <v>6.9199243652266802E-6</v>
      </c>
    </row>
    <row r="30362" spans="1:6" x14ac:dyDescent="0.25">
      <c r="A30362" s="1" t="str">
        <f t="shared" si="1089"/>
        <v>40380</v>
      </c>
      <c r="B30362" s="1" t="str">
        <f>"14650"</f>
        <v>14650</v>
      </c>
      <c r="C30362" s="2">
        <v>0</v>
      </c>
      <c r="D30362" s="2">
        <v>0</v>
      </c>
      <c r="E30362" s="2">
        <v>4.0438351732783302E-5</v>
      </c>
      <c r="F30362" s="2">
        <v>1.72998109130667E-6</v>
      </c>
    </row>
    <row r="30363" spans="1:6" x14ac:dyDescent="0.25">
      <c r="A30363" s="1" t="str">
        <f t="shared" si="1089"/>
        <v>40380</v>
      </c>
      <c r="B30363" s="1" t="str">
        <f>"14857"</f>
        <v>14857</v>
      </c>
      <c r="C30363" s="2">
        <v>0</v>
      </c>
      <c r="D30363" s="2">
        <v>0</v>
      </c>
      <c r="E30363" s="2">
        <v>4.0438351732783302E-5</v>
      </c>
      <c r="F30363" s="2">
        <v>1.72998109130667E-6</v>
      </c>
    </row>
    <row r="30364" spans="1:6" x14ac:dyDescent="0.25">
      <c r="A30364" s="1" t="str">
        <f t="shared" si="1089"/>
        <v>40380</v>
      </c>
      <c r="B30364" s="1" t="str">
        <f>"13165"</f>
        <v>13165</v>
      </c>
      <c r="C30364" s="2">
        <v>1.9469608913965701E-6</v>
      </c>
      <c r="D30364" s="2">
        <v>0</v>
      </c>
      <c r="E30364" s="2">
        <v>0</v>
      </c>
      <c r="F30364" s="2">
        <v>1.72998109130667E-6</v>
      </c>
    </row>
    <row r="30365" spans="1:6" x14ac:dyDescent="0.25">
      <c r="A30365" s="1" t="str">
        <f t="shared" si="1089"/>
        <v>40380</v>
      </c>
      <c r="B30365" s="1" t="str">
        <f>"14653"</f>
        <v>14653</v>
      </c>
      <c r="C30365" s="2">
        <v>0</v>
      </c>
      <c r="D30365" s="2">
        <v>0</v>
      </c>
      <c r="E30365" s="2">
        <v>4.0438351732783302E-5</v>
      </c>
      <c r="F30365" s="2">
        <v>1.72998109130667E-6</v>
      </c>
    </row>
    <row r="30366" spans="1:6" x14ac:dyDescent="0.25">
      <c r="A30366" s="1" t="str">
        <f t="shared" si="1089"/>
        <v>40380</v>
      </c>
      <c r="B30366" s="1" t="str">
        <f>"14452"</f>
        <v>14452</v>
      </c>
      <c r="C30366" s="2">
        <v>0</v>
      </c>
      <c r="D30366" s="2">
        <v>0</v>
      </c>
      <c r="E30366" s="2">
        <v>4.0438351732783302E-5</v>
      </c>
      <c r="F30366" s="2">
        <v>1.72998109130667E-6</v>
      </c>
    </row>
    <row r="30367" spans="1:6" x14ac:dyDescent="0.25">
      <c r="A30367" s="1" t="str">
        <f t="shared" si="1089"/>
        <v>40380</v>
      </c>
      <c r="B30367" s="1" t="str">
        <f>"14463"</f>
        <v>14463</v>
      </c>
      <c r="C30367" s="2">
        <v>1.71332558442898E-4</v>
      </c>
      <c r="D30367" s="2">
        <v>0</v>
      </c>
      <c r="E30367" s="2">
        <v>4.0438351732783302E-5</v>
      </c>
      <c r="F30367" s="2">
        <v>1.5396831712629301E-4</v>
      </c>
    </row>
    <row r="30368" spans="1:6" x14ac:dyDescent="0.25">
      <c r="A30368" s="1" t="str">
        <f t="shared" si="1089"/>
        <v>40380</v>
      </c>
      <c r="B30368" s="1" t="str">
        <f>"14560"</f>
        <v>14560</v>
      </c>
      <c r="C30368" s="2">
        <v>2.1163464889480698E-3</v>
      </c>
      <c r="D30368" s="2">
        <v>5.0389257010405298E-4</v>
      </c>
      <c r="E30368" s="2">
        <v>5.2569857252618305E-4</v>
      </c>
      <c r="F30368" s="2">
        <v>1.9375788222634699E-3</v>
      </c>
    </row>
    <row r="30369" spans="1:6" x14ac:dyDescent="0.25">
      <c r="A30369" s="1" t="str">
        <f t="shared" si="1089"/>
        <v>40380</v>
      </c>
      <c r="B30369" s="1" t="str">
        <f>"14564"</f>
        <v>14564</v>
      </c>
      <c r="C30369" s="2">
        <v>1.44152984399002E-2</v>
      </c>
      <c r="D30369" s="2">
        <v>2.8268373182837401E-2</v>
      </c>
      <c r="E30369" s="2">
        <v>1.0756601560920301E-2</v>
      </c>
      <c r="F30369" s="2">
        <v>1.5209993754768201E-2</v>
      </c>
    </row>
    <row r="30370" spans="1:6" x14ac:dyDescent="0.25">
      <c r="A30370" s="1" t="str">
        <f t="shared" ref="A30370:A30401" si="1090">"40380"</f>
        <v>40380</v>
      </c>
      <c r="B30370" s="1" t="str">
        <f>"14602"</f>
        <v>14602</v>
      </c>
      <c r="C30370" s="2">
        <v>1.15065388681537E-3</v>
      </c>
      <c r="D30370" s="2">
        <v>2.49426822201506E-3</v>
      </c>
      <c r="E30370" s="2">
        <v>8.0876703465566698E-5</v>
      </c>
      <c r="F30370" s="2">
        <v>1.1971469151842099E-3</v>
      </c>
    </row>
    <row r="30371" spans="1:6" x14ac:dyDescent="0.25">
      <c r="A30371" s="1" t="str">
        <f t="shared" si="1090"/>
        <v>40380</v>
      </c>
      <c r="B30371" s="1" t="str">
        <f>"14423"</f>
        <v>14423</v>
      </c>
      <c r="C30371" s="2">
        <v>3.9581714922092299E-3</v>
      </c>
      <c r="D30371" s="2">
        <v>3.4516641052127601E-3</v>
      </c>
      <c r="E30371" s="2">
        <v>3.1137530834243099E-3</v>
      </c>
      <c r="F30371" s="2">
        <v>3.8872675121660902E-3</v>
      </c>
    </row>
    <row r="30372" spans="1:6" x14ac:dyDescent="0.25">
      <c r="A30372" s="1" t="str">
        <f t="shared" si="1090"/>
        <v>40380</v>
      </c>
      <c r="B30372" s="1" t="str">
        <f>"14450"</f>
        <v>14450</v>
      </c>
      <c r="C30372" s="2">
        <v>3.7521830298994703E-2</v>
      </c>
      <c r="D30372" s="2">
        <v>3.4315084024086E-2</v>
      </c>
      <c r="E30372" s="2">
        <v>3.2269804682761097E-2</v>
      </c>
      <c r="F30372" s="2">
        <v>3.7076954748884498E-2</v>
      </c>
    </row>
    <row r="30373" spans="1:6" x14ac:dyDescent="0.25">
      <c r="A30373" s="1" t="str">
        <f t="shared" si="1090"/>
        <v>40380</v>
      </c>
      <c r="B30373" s="1" t="str">
        <f>"14534"</f>
        <v>14534</v>
      </c>
      <c r="C30373" s="2">
        <v>2.6601326659151301E-2</v>
      </c>
      <c r="D30373" s="2">
        <v>3.5474036935325297E-2</v>
      </c>
      <c r="E30373" s="2">
        <v>1.17271220025071E-2</v>
      </c>
      <c r="F30373" s="2">
        <v>2.6574239543561699E-2</v>
      </c>
    </row>
    <row r="30374" spans="1:6" x14ac:dyDescent="0.25">
      <c r="A30374" s="1" t="str">
        <f t="shared" si="1090"/>
        <v>40380</v>
      </c>
      <c r="B30374" s="1" t="str">
        <f>"14411"</f>
        <v>14411</v>
      </c>
      <c r="C30374" s="2">
        <v>1.05155357744328E-2</v>
      </c>
      <c r="D30374" s="2">
        <v>1.12116096848151E-2</v>
      </c>
      <c r="E30374" s="2">
        <v>7.7237251809616197E-3</v>
      </c>
      <c r="F30374" s="2">
        <v>1.0443895848218299E-2</v>
      </c>
    </row>
    <row r="30375" spans="1:6" x14ac:dyDescent="0.25">
      <c r="A30375" s="1" t="str">
        <f t="shared" si="1090"/>
        <v>40380</v>
      </c>
      <c r="B30375" s="1" t="str">
        <f>"14437"</f>
        <v>14437</v>
      </c>
      <c r="C30375" s="2">
        <v>7.8890855319389101E-3</v>
      </c>
      <c r="D30375" s="2">
        <v>7.8103348366128297E-3</v>
      </c>
      <c r="E30375" s="2">
        <v>1.0756601560920301E-2</v>
      </c>
      <c r="F30375" s="2">
        <v>8.0063524905672704E-3</v>
      </c>
    </row>
    <row r="30376" spans="1:6" x14ac:dyDescent="0.25">
      <c r="A30376" s="1" t="str">
        <f t="shared" si="1090"/>
        <v>40380</v>
      </c>
      <c r="B30376" s="1" t="str">
        <f>"14526"</f>
        <v>14526</v>
      </c>
      <c r="C30376" s="2">
        <v>1.8219660021689101E-2</v>
      </c>
      <c r="D30376" s="2">
        <v>1.5872615958277599E-2</v>
      </c>
      <c r="E30376" s="2">
        <v>6.1466294633830696E-3</v>
      </c>
      <c r="F30376" s="2">
        <v>1.7542008265849601E-2</v>
      </c>
    </row>
    <row r="30377" spans="1:6" x14ac:dyDescent="0.25">
      <c r="A30377" s="1" t="str">
        <f t="shared" si="1090"/>
        <v>40380</v>
      </c>
      <c r="B30377" s="1" t="str">
        <f>"14466"</f>
        <v>14466</v>
      </c>
      <c r="C30377" s="2">
        <v>1.4796902774613901E-3</v>
      </c>
      <c r="D30377" s="2">
        <v>1.5116777103121599E-4</v>
      </c>
      <c r="E30377" s="2">
        <v>6.8745197945731696E-4</v>
      </c>
      <c r="F30377" s="2">
        <v>1.35457519449312E-3</v>
      </c>
    </row>
    <row r="30378" spans="1:6" x14ac:dyDescent="0.25">
      <c r="A30378" s="1" t="str">
        <f t="shared" si="1090"/>
        <v>40380</v>
      </c>
      <c r="B30378" s="1" t="str">
        <f>"14469"</f>
        <v>14469</v>
      </c>
      <c r="C30378" s="2">
        <v>4.8440386977946703E-3</v>
      </c>
      <c r="D30378" s="2">
        <v>2.44387896500466E-3</v>
      </c>
      <c r="E30378" s="2">
        <v>1.9814792349063799E-3</v>
      </c>
      <c r="F30378" s="2">
        <v>4.5567701945017696E-3</v>
      </c>
    </row>
    <row r="30379" spans="1:6" x14ac:dyDescent="0.25">
      <c r="A30379" s="1" t="str">
        <f t="shared" si="1090"/>
        <v>40380</v>
      </c>
      <c r="B30379" s="1" t="str">
        <f>"14516"</f>
        <v>14516</v>
      </c>
      <c r="C30379" s="2">
        <v>1.9508548131793599E-3</v>
      </c>
      <c r="D30379" s="2">
        <v>8.31422740671688E-4</v>
      </c>
      <c r="E30379" s="2">
        <v>2.0219175866391601E-4</v>
      </c>
      <c r="F30379" s="2">
        <v>1.79918033495893E-3</v>
      </c>
    </row>
    <row r="30380" spans="1:6" x14ac:dyDescent="0.25">
      <c r="A30380" s="1" t="str">
        <f t="shared" si="1090"/>
        <v>40380</v>
      </c>
      <c r="B30380" s="1" t="str">
        <f>"14505"</f>
        <v>14505</v>
      </c>
      <c r="C30380" s="2">
        <v>4.1781780729370404E-3</v>
      </c>
      <c r="D30380" s="2">
        <v>1.7384293668589799E-3</v>
      </c>
      <c r="E30380" s="2">
        <v>8.4920538638845E-4</v>
      </c>
      <c r="F30380" s="2">
        <v>3.8682377201617098E-3</v>
      </c>
    </row>
    <row r="30381" spans="1:6" x14ac:dyDescent="0.25">
      <c r="A30381" s="1" t="str">
        <f t="shared" si="1090"/>
        <v>40380</v>
      </c>
      <c r="B30381" s="1" t="str">
        <f>"14626"</f>
        <v>14626</v>
      </c>
      <c r="C30381" s="2">
        <v>2.7288603853814299E-2</v>
      </c>
      <c r="D30381" s="2">
        <v>2.8192789297321798E-2</v>
      </c>
      <c r="E30381" s="2">
        <v>2.69723806057665E-2</v>
      </c>
      <c r="F30381" s="2">
        <v>2.7337161204828E-2</v>
      </c>
    </row>
    <row r="30382" spans="1:6" x14ac:dyDescent="0.25">
      <c r="A30382" s="1" t="str">
        <f t="shared" si="1090"/>
        <v>40380</v>
      </c>
      <c r="B30382" s="1" t="str">
        <f>"14624"</f>
        <v>14624</v>
      </c>
      <c r="C30382" s="2">
        <v>3.35480831196543E-2</v>
      </c>
      <c r="D30382" s="2">
        <v>4.6106170164520899E-2</v>
      </c>
      <c r="E30382" s="2">
        <v>2.7942901047353301E-2</v>
      </c>
      <c r="F30382" s="2">
        <v>3.41705865154893E-2</v>
      </c>
    </row>
    <row r="30383" spans="1:6" x14ac:dyDescent="0.25">
      <c r="A30383" s="1" t="str">
        <f t="shared" si="1090"/>
        <v>40380</v>
      </c>
      <c r="B30383" s="1" t="str">
        <f>"14625"</f>
        <v>14625</v>
      </c>
      <c r="C30383" s="2">
        <v>1.09107688353864E-2</v>
      </c>
      <c r="D30383" s="2">
        <v>1.5998589100803699E-2</v>
      </c>
      <c r="E30383" s="2">
        <v>9.9882728779974901E-3</v>
      </c>
      <c r="F30383" s="2">
        <v>1.1220657358215E-2</v>
      </c>
    </row>
    <row r="30384" spans="1:6" x14ac:dyDescent="0.25">
      <c r="A30384" s="1" t="str">
        <f t="shared" si="1090"/>
        <v>40380</v>
      </c>
      <c r="B30384" s="1" t="str">
        <f>"14607"</f>
        <v>14607</v>
      </c>
      <c r="C30384" s="2">
        <v>2.1068063805802301E-2</v>
      </c>
      <c r="D30384" s="2">
        <v>3.0435111234284801E-2</v>
      </c>
      <c r="E30384" s="2">
        <v>7.9097415989324196E-2</v>
      </c>
      <c r="F30384" s="2">
        <v>2.4193785561923802E-2</v>
      </c>
    </row>
    <row r="30385" spans="1:6" x14ac:dyDescent="0.25">
      <c r="A30385" s="1" t="str">
        <f t="shared" si="1090"/>
        <v>40380</v>
      </c>
      <c r="B30385" s="1" t="str">
        <f>"14539"</f>
        <v>14539</v>
      </c>
      <c r="C30385" s="2">
        <v>1.9859001092244999E-4</v>
      </c>
      <c r="D30385" s="2">
        <v>0</v>
      </c>
      <c r="E30385" s="2">
        <v>4.0438351732783302E-5</v>
      </c>
      <c r="F30385" s="2">
        <v>1.7818805240458701E-4</v>
      </c>
    </row>
    <row r="30386" spans="1:6" x14ac:dyDescent="0.25">
      <c r="A30386" s="1" t="str">
        <f t="shared" si="1090"/>
        <v>40380</v>
      </c>
      <c r="B30386" s="1" t="str">
        <f>"14410"</f>
        <v>14410</v>
      </c>
      <c r="C30386" s="2">
        <v>0</v>
      </c>
      <c r="D30386" s="2">
        <v>0</v>
      </c>
      <c r="E30386" s="2">
        <v>4.0438351732783302E-5</v>
      </c>
      <c r="F30386" s="2">
        <v>1.72998109130667E-6</v>
      </c>
    </row>
    <row r="30387" spans="1:6" x14ac:dyDescent="0.25">
      <c r="A30387" s="1" t="str">
        <f t="shared" si="1090"/>
        <v>40380</v>
      </c>
      <c r="B30387" s="1" t="str">
        <f>"13154"</f>
        <v>13154</v>
      </c>
      <c r="C30387" s="2">
        <v>2.14165698053623E-5</v>
      </c>
      <c r="D30387" s="2">
        <v>0</v>
      </c>
      <c r="E30387" s="2">
        <v>4.0438351732783302E-5</v>
      </c>
      <c r="F30387" s="2">
        <v>2.0759773095680002E-5</v>
      </c>
    </row>
    <row r="30388" spans="1:6" x14ac:dyDescent="0.25">
      <c r="A30388" s="1" t="str">
        <f t="shared" si="1090"/>
        <v>40380</v>
      </c>
      <c r="B30388" s="1" t="str">
        <f>"14822"</f>
        <v>14822</v>
      </c>
      <c r="C30388" s="2">
        <v>6.4249709416086897E-5</v>
      </c>
      <c r="D30388" s="2">
        <v>0</v>
      </c>
      <c r="E30388" s="2">
        <v>0</v>
      </c>
      <c r="F30388" s="2">
        <v>5.7089376013120097E-5</v>
      </c>
    </row>
    <row r="30389" spans="1:6" x14ac:dyDescent="0.25">
      <c r="A30389" s="1" t="str">
        <f t="shared" si="1090"/>
        <v>40380</v>
      </c>
      <c r="B30389" s="1" t="str">
        <f>"14479"</f>
        <v>14479</v>
      </c>
      <c r="C30389" s="2">
        <v>1.5770383220312201E-4</v>
      </c>
      <c r="D30389" s="2">
        <v>7.5583885515607995E-5</v>
      </c>
      <c r="E30389" s="2">
        <v>4.0438351732783302E-5</v>
      </c>
      <c r="F30389" s="2">
        <v>1.4704839276106699E-4</v>
      </c>
    </row>
    <row r="30390" spans="1:6" x14ac:dyDescent="0.25">
      <c r="A30390" s="1" t="str">
        <f t="shared" si="1090"/>
        <v>40380</v>
      </c>
      <c r="B30390" s="1" t="str">
        <f>"14453"</f>
        <v>14453</v>
      </c>
      <c r="C30390" s="2">
        <v>4.8674022284914299E-5</v>
      </c>
      <c r="D30390" s="2">
        <v>0</v>
      </c>
      <c r="E30390" s="2">
        <v>4.0438351732783302E-5</v>
      </c>
      <c r="F30390" s="2">
        <v>4.4979508373973402E-5</v>
      </c>
    </row>
    <row r="30391" spans="1:6" x14ac:dyDescent="0.25">
      <c r="A30391" s="1" t="str">
        <f t="shared" si="1090"/>
        <v>40380</v>
      </c>
      <c r="B30391" s="1" t="str">
        <f>"14449"</f>
        <v>14449</v>
      </c>
      <c r="C30391" s="2">
        <v>0</v>
      </c>
      <c r="D30391" s="2">
        <v>0</v>
      </c>
      <c r="E30391" s="2">
        <v>4.0438351732783302E-5</v>
      </c>
      <c r="F30391" s="2">
        <v>1.72998109130667E-6</v>
      </c>
    </row>
    <row r="30392" spans="1:6" x14ac:dyDescent="0.25">
      <c r="A30392" s="1" t="str">
        <f t="shared" si="1090"/>
        <v>40380</v>
      </c>
      <c r="B30392" s="1" t="str">
        <f>"14533"</f>
        <v>14533</v>
      </c>
      <c r="C30392" s="2">
        <v>1.24021408781961E-3</v>
      </c>
      <c r="D30392" s="2">
        <v>3.7791942757803998E-4</v>
      </c>
      <c r="E30392" s="2">
        <v>6.4701362772453305E-4</v>
      </c>
      <c r="F30392" s="2">
        <v>1.1556273689928499E-3</v>
      </c>
    </row>
    <row r="30393" spans="1:6" x14ac:dyDescent="0.25">
      <c r="A30393" s="1" t="str">
        <f t="shared" si="1090"/>
        <v>40380</v>
      </c>
      <c r="B30393" s="1" t="str">
        <f>"14692"</f>
        <v>14692</v>
      </c>
      <c r="C30393" s="2">
        <v>1.90996863446003E-3</v>
      </c>
      <c r="D30393" s="2">
        <v>1.04557708296591E-2</v>
      </c>
      <c r="E30393" s="2">
        <v>1.2131505519835E-4</v>
      </c>
      <c r="F30393" s="2">
        <v>2.4202435467380302E-3</v>
      </c>
    </row>
    <row r="30394" spans="1:6" x14ac:dyDescent="0.25">
      <c r="A30394" s="1" t="str">
        <f t="shared" si="1090"/>
        <v>40380</v>
      </c>
      <c r="B30394" s="1" t="str">
        <f>"14580"</f>
        <v>14580</v>
      </c>
      <c r="C30394" s="2">
        <v>4.7936124107074998E-2</v>
      </c>
      <c r="D30394" s="2">
        <v>3.90516741830641E-2</v>
      </c>
      <c r="E30394" s="2">
        <v>4.0519228436248902E-2</v>
      </c>
      <c r="F30394" s="2">
        <v>4.7008776194076098E-2</v>
      </c>
    </row>
    <row r="30395" spans="1:6" x14ac:dyDescent="0.25">
      <c r="A30395" s="1" t="str">
        <f t="shared" si="1090"/>
        <v>40380</v>
      </c>
      <c r="B30395" s="1" t="str">
        <f>"14571"</f>
        <v>14571</v>
      </c>
      <c r="C30395" s="2">
        <v>1.31419860169268E-3</v>
      </c>
      <c r="D30395" s="2">
        <v>6.29865712630067E-4</v>
      </c>
      <c r="E30395" s="2">
        <v>3.2350681386226598E-4</v>
      </c>
      <c r="F30395" s="2">
        <v>1.22482661264512E-3</v>
      </c>
    </row>
    <row r="30396" spans="1:6" x14ac:dyDescent="0.25">
      <c r="A30396" s="1" t="str">
        <f t="shared" si="1090"/>
        <v>40380</v>
      </c>
      <c r="B30396" s="1" t="str">
        <f>"14428"</f>
        <v>14428</v>
      </c>
      <c r="C30396" s="2">
        <v>7.0849906837921299E-3</v>
      </c>
      <c r="D30396" s="2">
        <v>1.9903756519110099E-3</v>
      </c>
      <c r="E30396" s="2">
        <v>1.9814792349063799E-3</v>
      </c>
      <c r="F30396" s="2">
        <v>6.5168387709522296E-3</v>
      </c>
    </row>
    <row r="30397" spans="1:6" x14ac:dyDescent="0.25">
      <c r="A30397" s="1" t="str">
        <f t="shared" si="1090"/>
        <v>40380</v>
      </c>
      <c r="B30397" s="1" t="str">
        <f>"14425"</f>
        <v>14425</v>
      </c>
      <c r="C30397" s="2">
        <v>1.0821208634382099E-2</v>
      </c>
      <c r="D30397" s="2">
        <v>4.6610062734624902E-3</v>
      </c>
      <c r="E30397" s="2">
        <v>6.1870678151158499E-3</v>
      </c>
      <c r="F30397" s="2">
        <v>1.0199968514344101E-2</v>
      </c>
    </row>
    <row r="30398" spans="1:6" x14ac:dyDescent="0.25">
      <c r="A30398" s="1" t="str">
        <f t="shared" si="1090"/>
        <v>40380</v>
      </c>
      <c r="B30398" s="1" t="str">
        <f>"14468"</f>
        <v>14468</v>
      </c>
      <c r="C30398" s="2">
        <v>1.59358748960809E-2</v>
      </c>
      <c r="D30398" s="2">
        <v>6.9789120959411399E-3</v>
      </c>
      <c r="E30398" s="2">
        <v>4.2055885802094696E-3</v>
      </c>
      <c r="F30398" s="2">
        <v>1.48190180281329E-2</v>
      </c>
    </row>
    <row r="30399" spans="1:6" x14ac:dyDescent="0.25">
      <c r="A30399" s="1" t="str">
        <f t="shared" si="1090"/>
        <v>40380</v>
      </c>
      <c r="B30399" s="1" t="str">
        <f>"14514"</f>
        <v>14514</v>
      </c>
      <c r="C30399" s="2">
        <v>6.5398416342010903E-3</v>
      </c>
      <c r="D30399" s="2">
        <v>4.5602277594416797E-3</v>
      </c>
      <c r="E30399" s="2">
        <v>7.2384649601682201E-3</v>
      </c>
      <c r="F30399" s="2">
        <v>6.4337996785695101E-3</v>
      </c>
    </row>
    <row r="30400" spans="1:6" x14ac:dyDescent="0.25">
      <c r="A30400" s="1" t="str">
        <f t="shared" si="1090"/>
        <v>40380</v>
      </c>
      <c r="B30400" s="1" t="str">
        <f>"14510"</f>
        <v>14510</v>
      </c>
      <c r="C30400" s="2">
        <v>4.5091614244744602E-3</v>
      </c>
      <c r="D30400" s="2">
        <v>4.7113955304729001E-3</v>
      </c>
      <c r="E30400" s="2">
        <v>6.7532047393748197E-3</v>
      </c>
      <c r="F30400" s="2">
        <v>4.6190495137888102E-3</v>
      </c>
    </row>
    <row r="30401" spans="1:6" x14ac:dyDescent="0.25">
      <c r="A30401" s="1" t="str">
        <f t="shared" si="1090"/>
        <v>40380</v>
      </c>
      <c r="B30401" s="1" t="str">
        <f>"14619"</f>
        <v>14619</v>
      </c>
      <c r="C30401" s="2">
        <v>1.2386565191064999E-2</v>
      </c>
      <c r="D30401" s="2">
        <v>5.0137310725353297E-3</v>
      </c>
      <c r="E30401" s="2">
        <v>5.0952323183307002E-3</v>
      </c>
      <c r="F30401" s="2">
        <v>1.15683835575677E-2</v>
      </c>
    </row>
    <row r="30402" spans="1:6" x14ac:dyDescent="0.25">
      <c r="A30402" s="1" t="str">
        <f t="shared" ref="A30402:A30436" si="1091">"40380"</f>
        <v>40380</v>
      </c>
      <c r="B30402" s="1" t="str">
        <f>"14613"</f>
        <v>14613</v>
      </c>
      <c r="C30402" s="2">
        <v>1.27915330564754E-2</v>
      </c>
      <c r="D30402" s="2">
        <v>8.2890327782116809E-3</v>
      </c>
      <c r="E30402" s="2">
        <v>1.6862792672570601E-2</v>
      </c>
      <c r="F30402" s="2">
        <v>1.26565416639996E-2</v>
      </c>
    </row>
    <row r="30403" spans="1:6" x14ac:dyDescent="0.25">
      <c r="A30403" s="1" t="str">
        <f t="shared" si="1091"/>
        <v>40380</v>
      </c>
      <c r="B30403" s="1" t="str">
        <f>"14615"</f>
        <v>14615</v>
      </c>
      <c r="C30403" s="2">
        <v>1.48553116013558E-2</v>
      </c>
      <c r="D30403" s="2">
        <v>1.36050993928094E-2</v>
      </c>
      <c r="E30403" s="2">
        <v>3.2997695013951202E-2</v>
      </c>
      <c r="F30403" s="2">
        <v>1.55456100864817E-2</v>
      </c>
    </row>
    <row r="30404" spans="1:6" x14ac:dyDescent="0.25">
      <c r="A30404" s="1" t="str">
        <f t="shared" si="1091"/>
        <v>40380</v>
      </c>
      <c r="B30404" s="1" t="str">
        <f>"14617"</f>
        <v>14617</v>
      </c>
      <c r="C30404" s="2">
        <v>2.22089828881607E-2</v>
      </c>
      <c r="D30404" s="2">
        <v>1.3554710135799E-2</v>
      </c>
      <c r="E30404" s="2">
        <v>1.20506288163694E-2</v>
      </c>
      <c r="F30404" s="2">
        <v>2.1180158500867501E-2</v>
      </c>
    </row>
    <row r="30405" spans="1:6" x14ac:dyDescent="0.25">
      <c r="A30405" s="1" t="str">
        <f t="shared" si="1091"/>
        <v>40380</v>
      </c>
      <c r="B30405" s="1" t="str">
        <f>"14611"</f>
        <v>14611</v>
      </c>
      <c r="C30405" s="2">
        <v>1.5573740170281101E-2</v>
      </c>
      <c r="D30405" s="2">
        <v>2.1742964399989899E-2</v>
      </c>
      <c r="E30405" s="2">
        <v>2.08257511423834E-2</v>
      </c>
      <c r="F30405" s="2">
        <v>1.6222032693182599E-2</v>
      </c>
    </row>
    <row r="30406" spans="1:6" x14ac:dyDescent="0.25">
      <c r="A30406" s="1" t="str">
        <f t="shared" si="1091"/>
        <v>40380</v>
      </c>
      <c r="B30406" s="1" t="str">
        <f>"14511"</f>
        <v>14511</v>
      </c>
      <c r="C30406" s="2">
        <v>5.4904297137383404E-4</v>
      </c>
      <c r="D30406" s="2">
        <v>0</v>
      </c>
      <c r="E30406" s="2">
        <v>2.0219175866391601E-4</v>
      </c>
      <c r="F30406" s="2">
        <v>4.9650457320501399E-4</v>
      </c>
    </row>
    <row r="30407" spans="1:6" x14ac:dyDescent="0.25">
      <c r="A30407" s="1" t="str">
        <f t="shared" si="1091"/>
        <v>40380</v>
      </c>
      <c r="B30407" s="1" t="str">
        <f>"13156"</f>
        <v>13156</v>
      </c>
      <c r="C30407" s="2">
        <v>7.9825396547259495E-5</v>
      </c>
      <c r="D30407" s="2">
        <v>0</v>
      </c>
      <c r="E30407" s="2">
        <v>0</v>
      </c>
      <c r="F30407" s="2">
        <v>7.0929224743573494E-5</v>
      </c>
    </row>
    <row r="30408" spans="1:6" x14ac:dyDescent="0.25">
      <c r="A30408" s="1" t="str">
        <f t="shared" si="1091"/>
        <v>40380</v>
      </c>
      <c r="B30408" s="1" t="str">
        <f>"14537"</f>
        <v>14537</v>
      </c>
      <c r="C30408" s="2">
        <v>1.5965079309451899E-4</v>
      </c>
      <c r="D30408" s="2">
        <v>0</v>
      </c>
      <c r="E30408" s="2">
        <v>4.0438351732783302E-5</v>
      </c>
      <c r="F30408" s="2">
        <v>1.4358843057845299E-4</v>
      </c>
    </row>
    <row r="30409" spans="1:6" x14ac:dyDescent="0.25">
      <c r="A30409" s="1" t="str">
        <f t="shared" si="1091"/>
        <v>40380</v>
      </c>
      <c r="B30409" s="1" t="str">
        <f>"14627"</f>
        <v>14627</v>
      </c>
      <c r="C30409" s="2">
        <v>0</v>
      </c>
      <c r="D30409" s="2">
        <v>2.5194628505202601E-5</v>
      </c>
      <c r="E30409" s="2">
        <v>0</v>
      </c>
      <c r="F30409" s="2">
        <v>1.72998109130667E-6</v>
      </c>
    </row>
    <row r="30410" spans="1:6" x14ac:dyDescent="0.25">
      <c r="A30410" s="1" t="str">
        <f t="shared" si="1091"/>
        <v>40380</v>
      </c>
      <c r="B30410" s="1" t="str">
        <f>"14542"</f>
        <v>14542</v>
      </c>
      <c r="C30410" s="2">
        <v>0</v>
      </c>
      <c r="D30410" s="2">
        <v>0</v>
      </c>
      <c r="E30410" s="2">
        <v>4.0438351732783302E-5</v>
      </c>
      <c r="F30410" s="2">
        <v>1.72998109130667E-6</v>
      </c>
    </row>
    <row r="30411" spans="1:6" x14ac:dyDescent="0.25">
      <c r="A30411" s="1" t="str">
        <f t="shared" si="1091"/>
        <v>40380</v>
      </c>
      <c r="B30411" s="1" t="str">
        <f>"14643"</f>
        <v>14643</v>
      </c>
      <c r="C30411" s="2">
        <v>0</v>
      </c>
      <c r="D30411" s="2">
        <v>0</v>
      </c>
      <c r="E30411" s="2">
        <v>4.0438351732783302E-5</v>
      </c>
      <c r="F30411" s="2">
        <v>1.72998109130667E-6</v>
      </c>
    </row>
    <row r="30412" spans="1:6" x14ac:dyDescent="0.25">
      <c r="A30412" s="1" t="str">
        <f t="shared" si="1091"/>
        <v>40380</v>
      </c>
      <c r="B30412" s="1" t="str">
        <f>"13146"</f>
        <v>13146</v>
      </c>
      <c r="C30412" s="2">
        <v>1.8126205898902101E-3</v>
      </c>
      <c r="D30412" s="2">
        <v>1.0329797687133101E-3</v>
      </c>
      <c r="E30412" s="2">
        <v>6.0657527599175E-4</v>
      </c>
      <c r="F30412" s="2">
        <v>1.70749133711968E-3</v>
      </c>
    </row>
    <row r="30413" spans="1:6" x14ac:dyDescent="0.25">
      <c r="A30413" s="1" t="str">
        <f t="shared" si="1091"/>
        <v>40380</v>
      </c>
      <c r="B30413" s="1" t="str">
        <f>"14604"</f>
        <v>14604</v>
      </c>
      <c r="C30413" s="2">
        <v>6.8688780248471097E-3</v>
      </c>
      <c r="D30413" s="2">
        <v>2.1944521428031501E-2</v>
      </c>
      <c r="E30413" s="2">
        <v>7.60241012576327E-3</v>
      </c>
      <c r="F30413" s="2">
        <v>7.9354232658237003E-3</v>
      </c>
    </row>
    <row r="30414" spans="1:6" x14ac:dyDescent="0.25">
      <c r="A30414" s="1" t="str">
        <f t="shared" si="1091"/>
        <v>40380</v>
      </c>
      <c r="B30414" s="1" t="str">
        <f>"14606"</f>
        <v>14606</v>
      </c>
      <c r="C30414" s="2">
        <v>2.46076387063613E-2</v>
      </c>
      <c r="D30414" s="2">
        <v>3.1644453402534502E-2</v>
      </c>
      <c r="E30414" s="2">
        <v>3.41299688624691E-2</v>
      </c>
      <c r="F30414" s="2">
        <v>2.5498191304769002E-2</v>
      </c>
    </row>
    <row r="30415" spans="1:6" x14ac:dyDescent="0.25">
      <c r="A30415" s="1" t="str">
        <f t="shared" si="1091"/>
        <v>40380</v>
      </c>
      <c r="B30415" s="1" t="str">
        <f>"14546"</f>
        <v>14546</v>
      </c>
      <c r="C30415" s="2">
        <v>4.18985983828542E-3</v>
      </c>
      <c r="D30415" s="2">
        <v>2.64543599304628E-3</v>
      </c>
      <c r="E30415" s="2">
        <v>3.2755064903554499E-3</v>
      </c>
      <c r="F30415" s="2">
        <v>4.0446957914749898E-3</v>
      </c>
    </row>
    <row r="30416" spans="1:6" x14ac:dyDescent="0.25">
      <c r="A30416" s="1" t="str">
        <f t="shared" si="1091"/>
        <v>40380</v>
      </c>
      <c r="B30416" s="1" t="str">
        <f>"14543"</f>
        <v>14543</v>
      </c>
      <c r="C30416" s="2">
        <v>2.5213143543585601E-3</v>
      </c>
      <c r="D30416" s="2">
        <v>1.7384293668589799E-3</v>
      </c>
      <c r="E30416" s="2">
        <v>1.0918354967851499E-3</v>
      </c>
      <c r="F30416" s="2">
        <v>2.4064036980075798E-3</v>
      </c>
    </row>
    <row r="30417" spans="1:6" x14ac:dyDescent="0.25">
      <c r="A30417" s="1" t="str">
        <f t="shared" si="1091"/>
        <v>40380</v>
      </c>
      <c r="B30417" s="1" t="str">
        <f>"14522"</f>
        <v>14522</v>
      </c>
      <c r="C30417" s="2">
        <v>8.4342345815299601E-3</v>
      </c>
      <c r="D30417" s="2">
        <v>6.3994356403214801E-3</v>
      </c>
      <c r="E30417" s="2">
        <v>7.8450402361599694E-3</v>
      </c>
      <c r="F30417" s="2">
        <v>8.2693096164458899E-3</v>
      </c>
    </row>
    <row r="30418" spans="1:6" x14ac:dyDescent="0.25">
      <c r="A30418" s="1" t="str">
        <f t="shared" si="1091"/>
        <v>40380</v>
      </c>
      <c r="B30418" s="1" t="str">
        <f>"14485"</f>
        <v>14485</v>
      </c>
      <c r="C30418" s="2">
        <v>3.53957490055897E-3</v>
      </c>
      <c r="D30418" s="2">
        <v>2.8721876495930998E-3</v>
      </c>
      <c r="E30418" s="2">
        <v>2.7093695660964801E-3</v>
      </c>
      <c r="F30418" s="2">
        <v>3.4582322015220299E-3</v>
      </c>
    </row>
    <row r="30419" spans="1:6" x14ac:dyDescent="0.25">
      <c r="A30419" s="1" t="str">
        <f t="shared" si="1091"/>
        <v>40380</v>
      </c>
      <c r="B30419" s="1" t="str">
        <f>"14507"</f>
        <v>14507</v>
      </c>
      <c r="C30419" s="2">
        <v>1.6568637185784801E-3</v>
      </c>
      <c r="D30419" s="2">
        <v>5.7947645561966102E-4</v>
      </c>
      <c r="E30419" s="2">
        <v>3.6394516559505E-4</v>
      </c>
      <c r="F30419" s="2">
        <v>1.5275733036237899E-3</v>
      </c>
    </row>
    <row r="30420" spans="1:6" x14ac:dyDescent="0.25">
      <c r="A30420" s="1" t="str">
        <f t="shared" si="1091"/>
        <v>40380</v>
      </c>
      <c r="B30420" s="1" t="str">
        <f>"14836"</f>
        <v>14836</v>
      </c>
      <c r="C30420" s="2">
        <v>6.1913356346411002E-4</v>
      </c>
      <c r="D30420" s="2">
        <v>5.0389257010405303E-5</v>
      </c>
      <c r="E30420" s="2">
        <v>1.2131505519835E-4</v>
      </c>
      <c r="F30420" s="2">
        <v>5.5878389249205496E-4</v>
      </c>
    </row>
    <row r="30421" spans="1:6" x14ac:dyDescent="0.25">
      <c r="A30421" s="1" t="str">
        <f t="shared" si="1091"/>
        <v>40380</v>
      </c>
      <c r="B30421" s="1" t="str">
        <f>"14623"</f>
        <v>14623</v>
      </c>
      <c r="C30421" s="2">
        <v>2.1184881459286101E-2</v>
      </c>
      <c r="D30421" s="2">
        <v>5.4773122370310602E-2</v>
      </c>
      <c r="E30421" s="2">
        <v>4.9941364389987399E-2</v>
      </c>
      <c r="F30421" s="2">
        <v>2.47214297947723E-2</v>
      </c>
    </row>
    <row r="30422" spans="1:6" x14ac:dyDescent="0.25">
      <c r="A30422" s="1" t="str">
        <f t="shared" si="1091"/>
        <v>40380</v>
      </c>
      <c r="B30422" s="1" t="str">
        <f>"14620"</f>
        <v>14620</v>
      </c>
      <c r="C30422" s="2">
        <v>2.5526604247100401E-2</v>
      </c>
      <c r="D30422" s="2">
        <v>1.8769998236376002E-2</v>
      </c>
      <c r="E30422" s="2">
        <v>5.41873913219297E-2</v>
      </c>
      <c r="F30422" s="2">
        <v>2.62887926634961E-2</v>
      </c>
    </row>
    <row r="30423" spans="1:6" x14ac:dyDescent="0.25">
      <c r="A30423" s="1" t="str">
        <f t="shared" si="1091"/>
        <v>40380</v>
      </c>
      <c r="B30423" s="1" t="str">
        <f>"14475"</f>
        <v>14475</v>
      </c>
      <c r="C30423" s="2">
        <v>2.12218737162226E-4</v>
      </c>
      <c r="D30423" s="2">
        <v>5.0389257010405303E-5</v>
      </c>
      <c r="E30423" s="2">
        <v>4.0438351732783302E-5</v>
      </c>
      <c r="F30423" s="2">
        <v>1.9375788222634701E-4</v>
      </c>
    </row>
    <row r="30424" spans="1:6" x14ac:dyDescent="0.25">
      <c r="A30424" s="1" t="str">
        <f t="shared" si="1091"/>
        <v>40380</v>
      </c>
      <c r="B30424" s="1" t="str">
        <f>"14558"</f>
        <v>14558</v>
      </c>
      <c r="C30424" s="2">
        <v>0</v>
      </c>
      <c r="D30424" s="2">
        <v>0</v>
      </c>
      <c r="E30424" s="2">
        <v>4.0438351732783302E-5</v>
      </c>
      <c r="F30424" s="2">
        <v>1.72998109130667E-6</v>
      </c>
    </row>
    <row r="30425" spans="1:6" x14ac:dyDescent="0.25">
      <c r="A30425" s="1" t="str">
        <f t="shared" si="1091"/>
        <v>40380</v>
      </c>
      <c r="B30425" s="1" t="str">
        <f>"14642"</f>
        <v>14642</v>
      </c>
      <c r="C30425" s="2">
        <v>0</v>
      </c>
      <c r="D30425" s="2">
        <v>0</v>
      </c>
      <c r="E30425" s="2">
        <v>4.0438351732783302E-5</v>
      </c>
      <c r="F30425" s="2">
        <v>1.72998109130667E-6</v>
      </c>
    </row>
    <row r="30426" spans="1:6" x14ac:dyDescent="0.25">
      <c r="A30426" s="1" t="str">
        <f t="shared" si="1091"/>
        <v>40380</v>
      </c>
      <c r="B30426" s="1" t="str">
        <f>"13143"</f>
        <v>13143</v>
      </c>
      <c r="C30426" s="2">
        <v>1.5965079309451899E-3</v>
      </c>
      <c r="D30426" s="2">
        <v>5.2908719860925602E-4</v>
      </c>
      <c r="E30426" s="2">
        <v>6.8745197945731696E-4</v>
      </c>
      <c r="F30426" s="2">
        <v>1.4843237763411199E-3</v>
      </c>
    </row>
    <row r="30427" spans="1:6" x14ac:dyDescent="0.25">
      <c r="A30427" s="1" t="str">
        <f t="shared" si="1091"/>
        <v>40380</v>
      </c>
      <c r="B30427" s="1" t="str">
        <f>"14561"</f>
        <v>14561</v>
      </c>
      <c r="C30427" s="2">
        <v>2.1046647235996902E-3</v>
      </c>
      <c r="D30427" s="2">
        <v>9.8259051170290399E-4</v>
      </c>
      <c r="E30427" s="2">
        <v>4.4482186906061701E-4</v>
      </c>
      <c r="F30427" s="2">
        <v>1.95660861426784E-3</v>
      </c>
    </row>
    <row r="30428" spans="1:6" x14ac:dyDescent="0.25">
      <c r="A30428" s="1" t="str">
        <f t="shared" si="1091"/>
        <v>40380</v>
      </c>
      <c r="B30428" s="1" t="str">
        <f>"14586"</f>
        <v>14586</v>
      </c>
      <c r="C30428" s="2">
        <v>9.5985171945851093E-3</v>
      </c>
      <c r="D30428" s="2">
        <v>3.6784157617595899E-3</v>
      </c>
      <c r="E30428" s="2">
        <v>3.8416434146144201E-3</v>
      </c>
      <c r="F30428" s="2">
        <v>8.9457322231467993E-3</v>
      </c>
    </row>
    <row r="30429" spans="1:6" x14ac:dyDescent="0.25">
      <c r="A30429" s="1" t="str">
        <f t="shared" si="1091"/>
        <v>40380</v>
      </c>
      <c r="B30429" s="1" t="str">
        <f>"14502"</f>
        <v>14502</v>
      </c>
      <c r="C30429" s="2">
        <v>9.6394033733044407E-3</v>
      </c>
      <c r="D30429" s="2">
        <v>1.0052656773575801E-2</v>
      </c>
      <c r="E30429" s="2">
        <v>6.4296979255125501E-3</v>
      </c>
      <c r="F30429" s="2">
        <v>9.5304658320084501E-3</v>
      </c>
    </row>
    <row r="30430" spans="1:6" x14ac:dyDescent="0.25">
      <c r="A30430" s="1" t="str">
        <f t="shared" si="1091"/>
        <v>40380</v>
      </c>
      <c r="B30430" s="1" t="str">
        <f>"14454"</f>
        <v>14454</v>
      </c>
      <c r="C30430" s="2">
        <v>8.0818346601871805E-3</v>
      </c>
      <c r="D30430" s="2">
        <v>1.2798871280642899E-2</v>
      </c>
      <c r="E30430" s="2">
        <v>9.3412592502729493E-3</v>
      </c>
      <c r="F30430" s="2">
        <v>8.4596075364896193E-3</v>
      </c>
    </row>
    <row r="30431" spans="1:6" x14ac:dyDescent="0.25">
      <c r="A30431" s="1" t="str">
        <f t="shared" si="1091"/>
        <v>40380</v>
      </c>
      <c r="B30431" s="1" t="str">
        <f>"14464"</f>
        <v>14464</v>
      </c>
      <c r="C30431" s="2">
        <v>7.0265818570502299E-3</v>
      </c>
      <c r="D30431" s="2">
        <v>1.9903756519110099E-3</v>
      </c>
      <c r="E30431" s="2">
        <v>1.2131505519835E-3</v>
      </c>
      <c r="F30431" s="2">
        <v>6.4320696974781997E-3</v>
      </c>
    </row>
    <row r="30432" spans="1:6" x14ac:dyDescent="0.25">
      <c r="A30432" s="1" t="str">
        <f t="shared" si="1091"/>
        <v>40380</v>
      </c>
      <c r="B30432" s="1" t="str">
        <f>"14618"</f>
        <v>14618</v>
      </c>
      <c r="C30432" s="2">
        <v>1.9278806746608802E-2</v>
      </c>
      <c r="D30432" s="2">
        <v>3.5045728250736902E-2</v>
      </c>
      <c r="E30432" s="2">
        <v>2.2928545432488099E-2</v>
      </c>
      <c r="F30432" s="2">
        <v>2.0517575742897101E-2</v>
      </c>
    </row>
    <row r="30433" spans="1:6" x14ac:dyDescent="0.25">
      <c r="A30433" s="1" t="str">
        <f t="shared" si="1091"/>
        <v>40380</v>
      </c>
      <c r="B30433" s="1" t="str">
        <f>"14622"</f>
        <v>14622</v>
      </c>
      <c r="C30433" s="2">
        <v>1.12651157176205E-2</v>
      </c>
      <c r="D30433" s="2">
        <v>1.20178377969816E-2</v>
      </c>
      <c r="E30433" s="2">
        <v>8.9773140846779002E-3</v>
      </c>
      <c r="F30433" s="2">
        <v>1.12189273771237E-2</v>
      </c>
    </row>
    <row r="30434" spans="1:6" x14ac:dyDescent="0.25">
      <c r="A30434" s="1" t="str">
        <f t="shared" si="1091"/>
        <v>40380</v>
      </c>
      <c r="B30434" s="1" t="str">
        <f>"14616"</f>
        <v>14616</v>
      </c>
      <c r="C30434" s="2">
        <v>2.60483897659947E-2</v>
      </c>
      <c r="D30434" s="2">
        <v>1.30256229371897E-2</v>
      </c>
      <c r="E30434" s="2">
        <v>2.3777750818876599E-2</v>
      </c>
      <c r="F30434" s="2">
        <v>2.50570461264858E-2</v>
      </c>
    </row>
    <row r="30435" spans="1:6" x14ac:dyDescent="0.25">
      <c r="A30435" s="1" t="str">
        <f t="shared" si="1091"/>
        <v>40380</v>
      </c>
      <c r="B30435" s="1" t="str">
        <f>"14878"</f>
        <v>14878</v>
      </c>
      <c r="C30435" s="2">
        <v>1.9859001092244999E-4</v>
      </c>
      <c r="D30435" s="2">
        <v>2.2675165654682401E-4</v>
      </c>
      <c r="E30435" s="2">
        <v>4.0438351732783302E-5</v>
      </c>
      <c r="F30435" s="2">
        <v>1.9375788222634701E-4</v>
      </c>
    </row>
    <row r="30436" spans="1:6" x14ac:dyDescent="0.25">
      <c r="A30436" s="1" t="str">
        <f t="shared" si="1091"/>
        <v>40380</v>
      </c>
      <c r="B30436" s="1" t="str">
        <f>"14647"</f>
        <v>14647</v>
      </c>
      <c r="C30436" s="2">
        <v>0</v>
      </c>
      <c r="D30436" s="2">
        <v>0</v>
      </c>
      <c r="E30436" s="2">
        <v>4.0438351732783302E-5</v>
      </c>
      <c r="F30436" s="2">
        <v>1.72998109130667E-6</v>
      </c>
    </row>
    <row r="30437" spans="1:6" x14ac:dyDescent="0.25">
      <c r="A30437" s="1" t="str">
        <f t="shared" ref="A30437:A30479" si="1092">"40420"</f>
        <v>40420</v>
      </c>
      <c r="B30437" s="1" t="str">
        <f>"61131"</f>
        <v>61131</v>
      </c>
      <c r="C30437" s="2">
        <v>1.6277401852256E-3</v>
      </c>
      <c r="D30437" s="2">
        <v>5.8720302375809899E-3</v>
      </c>
      <c r="E30437" s="2">
        <v>2.8739761459979797E-4</v>
      </c>
      <c r="F30437" s="2">
        <v>1.9218097957390699E-3</v>
      </c>
    </row>
    <row r="30438" spans="1:6" x14ac:dyDescent="0.25">
      <c r="A30438" s="1" t="str">
        <f t="shared" si="1092"/>
        <v>40420</v>
      </c>
      <c r="B30438" s="1" t="str">
        <f>"61110"</f>
        <v>61110</v>
      </c>
      <c r="C30438" s="2">
        <v>4.5090274096479402E-3</v>
      </c>
      <c r="D30438" s="2">
        <v>1.4511339092872499E-2</v>
      </c>
      <c r="E30438" s="2">
        <v>2.8739761459979797E-4</v>
      </c>
      <c r="F30438" s="2">
        <v>5.1614320228420803E-3</v>
      </c>
    </row>
    <row r="30439" spans="1:6" x14ac:dyDescent="0.25">
      <c r="A30439" s="1" t="str">
        <f t="shared" si="1092"/>
        <v>40420</v>
      </c>
      <c r="B30439" s="1" t="str">
        <f>"61019"</f>
        <v>61019</v>
      </c>
      <c r="C30439" s="2">
        <v>4.7959088216034101E-3</v>
      </c>
      <c r="D30439" s="2">
        <v>7.4244060475161903E-4</v>
      </c>
      <c r="E30439" s="2">
        <v>7.1849403649949697E-4</v>
      </c>
      <c r="F30439" s="2">
        <v>4.3103448275861999E-3</v>
      </c>
    </row>
    <row r="30440" spans="1:6" x14ac:dyDescent="0.25">
      <c r="A30440" s="1" t="str">
        <f t="shared" si="1092"/>
        <v>40420</v>
      </c>
      <c r="B30440" s="1" t="str">
        <f>"61101"</f>
        <v>61101</v>
      </c>
      <c r="C30440" s="2">
        <v>5.7787894851725898E-2</v>
      </c>
      <c r="D30440" s="2">
        <v>6.5874730021598202E-2</v>
      </c>
      <c r="E30440" s="2">
        <v>4.5265124299468301E-2</v>
      </c>
      <c r="F30440" s="2">
        <v>5.79672743246211E-2</v>
      </c>
    </row>
    <row r="30441" spans="1:6" x14ac:dyDescent="0.25">
      <c r="A30441" s="1" t="str">
        <f t="shared" si="1092"/>
        <v>40420</v>
      </c>
      <c r="B30441" s="1" t="str">
        <f>"61132"</f>
        <v>61132</v>
      </c>
      <c r="C30441" s="2">
        <v>6.4673048738657203E-3</v>
      </c>
      <c r="D30441" s="2">
        <v>1.7548596112311E-2</v>
      </c>
      <c r="E30441" s="2">
        <v>2.8739761459979797E-4</v>
      </c>
      <c r="F30441" s="2">
        <v>7.1326597847573003E-3</v>
      </c>
    </row>
    <row r="30442" spans="1:6" x14ac:dyDescent="0.25">
      <c r="A30442" s="1" t="str">
        <f t="shared" si="1092"/>
        <v>40420</v>
      </c>
      <c r="B30442" s="1" t="str">
        <f>"60145"</f>
        <v>60145</v>
      </c>
      <c r="C30442" s="2">
        <v>3.55483488727431E-4</v>
      </c>
      <c r="D30442" s="2">
        <v>2.02483801295896E-4</v>
      </c>
      <c r="E30442" s="2">
        <v>0</v>
      </c>
      <c r="F30442" s="2">
        <v>3.29453107840983E-4</v>
      </c>
    </row>
    <row r="30443" spans="1:6" x14ac:dyDescent="0.25">
      <c r="A30443" s="1" t="str">
        <f t="shared" si="1092"/>
        <v>40420</v>
      </c>
      <c r="B30443" s="1" t="str">
        <f>"60152"</f>
        <v>60152</v>
      </c>
      <c r="C30443" s="2">
        <v>2.49462097352583E-5</v>
      </c>
      <c r="D30443" s="2">
        <v>0</v>
      </c>
      <c r="E30443" s="2">
        <v>0</v>
      </c>
      <c r="F30443" s="2">
        <v>2.1963540522732201E-5</v>
      </c>
    </row>
    <row r="30444" spans="1:6" x14ac:dyDescent="0.25">
      <c r="A30444" s="1" t="str">
        <f t="shared" si="1092"/>
        <v>40420</v>
      </c>
      <c r="B30444" s="1" t="str">
        <f>"61047"</f>
        <v>61047</v>
      </c>
      <c r="C30444" s="2">
        <v>9.9784838941033294E-5</v>
      </c>
      <c r="D30444" s="2">
        <v>0</v>
      </c>
      <c r="E30444" s="2">
        <v>0</v>
      </c>
      <c r="F30444" s="2">
        <v>8.7854162090929006E-5</v>
      </c>
    </row>
    <row r="30445" spans="1:6" x14ac:dyDescent="0.25">
      <c r="A30445" s="1" t="str">
        <f t="shared" si="1092"/>
        <v>40420</v>
      </c>
      <c r="B30445" s="1" t="str">
        <f>"61077"</f>
        <v>61077</v>
      </c>
      <c r="C30445" s="2">
        <v>0</v>
      </c>
      <c r="D30445" s="2">
        <v>0</v>
      </c>
      <c r="E30445" s="2">
        <v>2.8739761459979797E-4</v>
      </c>
      <c r="F30445" s="2">
        <v>1.09817702613661E-5</v>
      </c>
    </row>
    <row r="30446" spans="1:6" x14ac:dyDescent="0.25">
      <c r="A30446" s="1" t="str">
        <f t="shared" si="1092"/>
        <v>40420</v>
      </c>
      <c r="B30446" s="1" t="str">
        <f>"60146"</f>
        <v>60146</v>
      </c>
      <c r="C30446" s="2">
        <v>2.1827933518351E-4</v>
      </c>
      <c r="D30446" s="2">
        <v>6.7494600431965406E-5</v>
      </c>
      <c r="E30446" s="2">
        <v>2.8739761459979797E-4</v>
      </c>
      <c r="F30446" s="2">
        <v>2.08653634965956E-4</v>
      </c>
    </row>
    <row r="30447" spans="1:6" x14ac:dyDescent="0.25">
      <c r="A30447" s="1" t="str">
        <f t="shared" si="1092"/>
        <v>40420</v>
      </c>
      <c r="B30447" s="1" t="str">
        <f>"61125"</f>
        <v>61125</v>
      </c>
      <c r="C30447" s="2">
        <v>5.3696716455143498E-3</v>
      </c>
      <c r="D30447" s="2">
        <v>2.0315874730021499E-2</v>
      </c>
      <c r="E30447" s="2">
        <v>4.3109642189969802E-4</v>
      </c>
      <c r="F30447" s="2">
        <v>6.3968811772457702E-3</v>
      </c>
    </row>
    <row r="30448" spans="1:6" x14ac:dyDescent="0.25">
      <c r="A30448" s="1" t="str">
        <f t="shared" si="1092"/>
        <v>40420</v>
      </c>
      <c r="B30448" s="1" t="str">
        <f>"61104"</f>
        <v>61104</v>
      </c>
      <c r="C30448" s="2">
        <v>5.6808756119616999E-2</v>
      </c>
      <c r="D30448" s="2">
        <v>9.7192224622030199E-2</v>
      </c>
      <c r="E30448" s="2">
        <v>0.10331944244862699</v>
      </c>
      <c r="F30448" s="2">
        <v>6.1871293652536699E-2</v>
      </c>
    </row>
    <row r="30449" spans="1:6" x14ac:dyDescent="0.25">
      <c r="A30449" s="1" t="str">
        <f t="shared" si="1092"/>
        <v>40420</v>
      </c>
      <c r="B30449" s="1" t="str">
        <f>"61111"</f>
        <v>61111</v>
      </c>
      <c r="C30449" s="2">
        <v>6.9001216127724502E-2</v>
      </c>
      <c r="D30449" s="2">
        <v>0.100836933045356</v>
      </c>
      <c r="E30449" s="2">
        <v>8.9955453369736996E-2</v>
      </c>
      <c r="F30449" s="2">
        <v>7.2391829562925503E-2</v>
      </c>
    </row>
    <row r="30450" spans="1:6" x14ac:dyDescent="0.25">
      <c r="A30450" s="1" t="str">
        <f t="shared" si="1092"/>
        <v>40420</v>
      </c>
      <c r="B30450" s="1" t="str">
        <f>"61115"</f>
        <v>61115</v>
      </c>
      <c r="C30450" s="2">
        <v>6.1055848327044797E-2</v>
      </c>
      <c r="D30450" s="2">
        <v>4.5356371490280697E-2</v>
      </c>
      <c r="E30450" s="2">
        <v>5.2018968242563503E-2</v>
      </c>
      <c r="F30450" s="2">
        <v>5.94333406545135E-2</v>
      </c>
    </row>
    <row r="30451" spans="1:6" x14ac:dyDescent="0.25">
      <c r="A30451" s="1" t="str">
        <f t="shared" si="1092"/>
        <v>40420</v>
      </c>
      <c r="B30451" s="1" t="str">
        <f>"61072"</f>
        <v>61072</v>
      </c>
      <c r="C30451" s="2">
        <v>2.9679753032523602E-2</v>
      </c>
      <c r="D30451" s="2">
        <v>1.42413606911447E-2</v>
      </c>
      <c r="E30451" s="2">
        <v>1.40824831153901E-2</v>
      </c>
      <c r="F30451" s="2">
        <v>2.7827805842301701E-2</v>
      </c>
    </row>
    <row r="30452" spans="1:6" x14ac:dyDescent="0.25">
      <c r="A30452" s="1" t="str">
        <f t="shared" si="1092"/>
        <v>40420</v>
      </c>
      <c r="B30452" s="1" t="str">
        <f>"61084"</f>
        <v>61084</v>
      </c>
      <c r="C30452" s="2">
        <v>4.0537590819794803E-4</v>
      </c>
      <c r="D30452" s="2">
        <v>1.3498920086393E-4</v>
      </c>
      <c r="E30452" s="2">
        <v>2.8739761459979797E-4</v>
      </c>
      <c r="F30452" s="2">
        <v>3.7887107401713099E-4</v>
      </c>
    </row>
    <row r="30453" spans="1:6" x14ac:dyDescent="0.25">
      <c r="A30453" s="1" t="str">
        <f t="shared" si="1092"/>
        <v>40420</v>
      </c>
      <c r="B30453" s="1" t="str">
        <f>"61052"</f>
        <v>61052</v>
      </c>
      <c r="C30453" s="2">
        <v>4.36558670367021E-5</v>
      </c>
      <c r="D30453" s="2">
        <v>0</v>
      </c>
      <c r="E30453" s="2">
        <v>0</v>
      </c>
      <c r="F30453" s="2">
        <v>3.8436195914781403E-5</v>
      </c>
    </row>
    <row r="30454" spans="1:6" x14ac:dyDescent="0.25">
      <c r="A30454" s="1" t="str">
        <f t="shared" si="1092"/>
        <v>40420</v>
      </c>
      <c r="B30454" s="1" t="str">
        <f>"61008"</f>
        <v>61008</v>
      </c>
      <c r="C30454" s="2">
        <v>9.4271726589541305E-2</v>
      </c>
      <c r="D30454" s="2">
        <v>8.7338012958963193E-2</v>
      </c>
      <c r="E30454" s="2">
        <v>6.8256933467452194E-2</v>
      </c>
      <c r="F30454" s="2">
        <v>9.2713595431583501E-2</v>
      </c>
    </row>
    <row r="30455" spans="1:6" x14ac:dyDescent="0.25">
      <c r="A30455" s="1" t="str">
        <f t="shared" si="1092"/>
        <v>40420</v>
      </c>
      <c r="B30455" s="1" t="str">
        <f>"61114"</f>
        <v>61114</v>
      </c>
      <c r="C30455" s="2">
        <v>4.2601889675387403E-2</v>
      </c>
      <c r="D30455" s="2">
        <v>2.2475701943844399E-2</v>
      </c>
      <c r="E30455" s="2">
        <v>4.7420606408966802E-2</v>
      </c>
      <c r="F30455" s="2">
        <v>4.11486931693388E-2</v>
      </c>
    </row>
    <row r="30456" spans="1:6" x14ac:dyDescent="0.25">
      <c r="A30456" s="1" t="str">
        <f t="shared" si="1092"/>
        <v>40420</v>
      </c>
      <c r="B30456" s="1" t="str">
        <f>"61080"</f>
        <v>61080</v>
      </c>
      <c r="C30456" s="2">
        <v>3.5467273691103501E-2</v>
      </c>
      <c r="D30456" s="2">
        <v>3.3342332613390903E-2</v>
      </c>
      <c r="E30456" s="2">
        <v>2.6009484121281699E-2</v>
      </c>
      <c r="F30456" s="2">
        <v>3.49330112014056E-2</v>
      </c>
    </row>
    <row r="30457" spans="1:6" x14ac:dyDescent="0.25">
      <c r="A30457" s="1" t="str">
        <f t="shared" si="1092"/>
        <v>40420</v>
      </c>
      <c r="B30457" s="1" t="str">
        <f>"61103"</f>
        <v>61103</v>
      </c>
      <c r="C30457" s="2">
        <v>7.0560354236178194E-2</v>
      </c>
      <c r="D30457" s="2">
        <v>4.7718682505399498E-2</v>
      </c>
      <c r="E30457" s="2">
        <v>9.2254634286535395E-2</v>
      </c>
      <c r="F30457" s="2">
        <v>6.9531078409839603E-2</v>
      </c>
    </row>
    <row r="30458" spans="1:6" x14ac:dyDescent="0.25">
      <c r="A30458" s="1" t="str">
        <f t="shared" si="1092"/>
        <v>40420</v>
      </c>
      <c r="B30458" s="1" t="str">
        <f>"60135"</f>
        <v>60135</v>
      </c>
      <c r="C30458" s="2">
        <v>4.36558670367021E-5</v>
      </c>
      <c r="D30458" s="2">
        <v>0</v>
      </c>
      <c r="E30458" s="2">
        <v>0</v>
      </c>
      <c r="F30458" s="2">
        <v>3.8436195914781403E-5</v>
      </c>
    </row>
    <row r="30459" spans="1:6" x14ac:dyDescent="0.25">
      <c r="A30459" s="1" t="str">
        <f t="shared" si="1092"/>
        <v>40420</v>
      </c>
      <c r="B30459" s="1" t="str">
        <f>"61016"</f>
        <v>61016</v>
      </c>
      <c r="C30459" s="2">
        <v>1.44999844086189E-2</v>
      </c>
      <c r="D30459" s="2">
        <v>6.20950323974082E-3</v>
      </c>
      <c r="E30459" s="2">
        <v>6.0353499065957704E-3</v>
      </c>
      <c r="F30459" s="2">
        <v>1.35020865363496E-2</v>
      </c>
    </row>
    <row r="30460" spans="1:6" x14ac:dyDescent="0.25">
      <c r="A30460" s="1" t="str">
        <f t="shared" si="1092"/>
        <v>40420</v>
      </c>
      <c r="B30460" s="1" t="str">
        <f>"61038"</f>
        <v>61038</v>
      </c>
      <c r="C30460" s="2">
        <v>3.1868782936792499E-3</v>
      </c>
      <c r="D30460" s="2">
        <v>1.68736501079913E-3</v>
      </c>
      <c r="E30460" s="2">
        <v>8.6219284379939604E-4</v>
      </c>
      <c r="F30460" s="2">
        <v>2.9760597408302202E-3</v>
      </c>
    </row>
    <row r="30461" spans="1:6" x14ac:dyDescent="0.25">
      <c r="A30461" s="1" t="str">
        <f t="shared" si="1092"/>
        <v>40420</v>
      </c>
      <c r="B30461" s="1" t="str">
        <f>"61109"</f>
        <v>61109</v>
      </c>
      <c r="C30461" s="2">
        <v>7.6285509370420002E-2</v>
      </c>
      <c r="D30461" s="2">
        <v>7.6606371490280697E-2</v>
      </c>
      <c r="E30461" s="2">
        <v>0.102744647219428</v>
      </c>
      <c r="F30461" s="2">
        <v>7.7322644410278904E-2</v>
      </c>
    </row>
    <row r="30462" spans="1:6" x14ac:dyDescent="0.25">
      <c r="A30462" s="1" t="str">
        <f t="shared" si="1092"/>
        <v>40420</v>
      </c>
      <c r="B30462" s="1" t="str">
        <f>"61102"</f>
        <v>61102</v>
      </c>
      <c r="C30462" s="2">
        <v>4.5720165892294697E-2</v>
      </c>
      <c r="D30462" s="2">
        <v>2.8955183585313099E-2</v>
      </c>
      <c r="E30462" s="2">
        <v>2.4141399626383099E-2</v>
      </c>
      <c r="F30462" s="2">
        <v>4.3531737316055301E-2</v>
      </c>
    </row>
    <row r="30463" spans="1:6" x14ac:dyDescent="0.25">
      <c r="A30463" s="1" t="str">
        <f t="shared" si="1092"/>
        <v>40420</v>
      </c>
      <c r="B30463" s="1" t="str">
        <f>"61088"</f>
        <v>61088</v>
      </c>
      <c r="C30463" s="2">
        <v>1.48804141070816E-2</v>
      </c>
      <c r="D30463" s="2">
        <v>6.3444924406047499E-3</v>
      </c>
      <c r="E30463" s="2">
        <v>3.1613737605977799E-3</v>
      </c>
      <c r="F30463" s="2">
        <v>1.3738194596969001E-2</v>
      </c>
    </row>
    <row r="30464" spans="1:6" x14ac:dyDescent="0.25">
      <c r="A30464" s="1" t="str">
        <f t="shared" si="1092"/>
        <v>40420</v>
      </c>
      <c r="B30464" s="1" t="str">
        <f>"61126"</f>
        <v>61126</v>
      </c>
      <c r="C30464" s="2">
        <v>7.6584863887243096E-3</v>
      </c>
      <c r="D30464" s="2">
        <v>1.3093952483801199E-2</v>
      </c>
      <c r="E30464" s="2">
        <v>1.4369880729989899E-4</v>
      </c>
      <c r="F30464" s="2">
        <v>7.8135295409620005E-3</v>
      </c>
    </row>
    <row r="30465" spans="1:6" x14ac:dyDescent="0.25">
      <c r="A30465" s="1" t="str">
        <f t="shared" si="1092"/>
        <v>40420</v>
      </c>
      <c r="B30465" s="1" t="str">
        <f>"61073"</f>
        <v>61073</v>
      </c>
      <c r="C30465" s="2">
        <v>5.5380585612273499E-2</v>
      </c>
      <c r="D30465" s="2">
        <v>4.5761339092872499E-2</v>
      </c>
      <c r="E30465" s="2">
        <v>7.4004885759448094E-2</v>
      </c>
      <c r="F30465" s="2">
        <v>5.5309685921370498E-2</v>
      </c>
    </row>
    <row r="30466" spans="1:6" x14ac:dyDescent="0.25">
      <c r="A30466" s="1" t="str">
        <f t="shared" si="1092"/>
        <v>40420</v>
      </c>
      <c r="B30466" s="1" t="str">
        <f>"61107"</f>
        <v>61107</v>
      </c>
      <c r="C30466" s="2">
        <v>8.9843774361532902E-2</v>
      </c>
      <c r="D30466" s="2">
        <v>7.0194384449244002E-2</v>
      </c>
      <c r="E30466" s="2">
        <v>0.116108636298318</v>
      </c>
      <c r="F30466" s="2">
        <v>8.9248846914122507E-2</v>
      </c>
    </row>
    <row r="30467" spans="1:6" x14ac:dyDescent="0.25">
      <c r="A30467" s="1" t="str">
        <f t="shared" si="1092"/>
        <v>40420</v>
      </c>
      <c r="B30467" s="1" t="str">
        <f>"61079"</f>
        <v>61079</v>
      </c>
      <c r="C30467" s="2">
        <v>7.4838629205774997E-5</v>
      </c>
      <c r="D30467" s="2">
        <v>6.7494600431965406E-5</v>
      </c>
      <c r="E30467" s="2">
        <v>1.4369880729989899E-4</v>
      </c>
      <c r="F30467" s="2">
        <v>7.6872391829562901E-5</v>
      </c>
    </row>
    <row r="30468" spans="1:6" x14ac:dyDescent="0.25">
      <c r="A30468" s="1" t="str">
        <f t="shared" si="1092"/>
        <v>40420</v>
      </c>
      <c r="B30468" s="1" t="str">
        <f>"61020"</f>
        <v>61020</v>
      </c>
      <c r="C30468" s="2">
        <v>1.9333312544825201E-4</v>
      </c>
      <c r="D30468" s="2">
        <v>6.7494600431965406E-5</v>
      </c>
      <c r="E30468" s="2">
        <v>0</v>
      </c>
      <c r="F30468" s="2">
        <v>1.7570832418185801E-4</v>
      </c>
    </row>
    <row r="30469" spans="1:6" x14ac:dyDescent="0.25">
      <c r="A30469" s="1" t="str">
        <f t="shared" si="1092"/>
        <v>40420</v>
      </c>
      <c r="B30469" s="1" t="str">
        <f>"61039"</f>
        <v>61039</v>
      </c>
      <c r="C30469" s="2">
        <v>1.2473104867629101E-5</v>
      </c>
      <c r="D30469" s="2">
        <v>0</v>
      </c>
      <c r="E30469" s="2">
        <v>0</v>
      </c>
      <c r="F30469" s="2">
        <v>1.09817702613661E-5</v>
      </c>
    </row>
    <row r="30470" spans="1:6" x14ac:dyDescent="0.25">
      <c r="A30470" s="1" t="str">
        <f t="shared" si="1092"/>
        <v>40420</v>
      </c>
      <c r="B30470" s="1" t="str">
        <f>"61105"</f>
        <v>61105</v>
      </c>
      <c r="C30470" s="2">
        <v>4.5464467242508303E-3</v>
      </c>
      <c r="D30470" s="2">
        <v>1.50512958963282E-2</v>
      </c>
      <c r="E30470" s="2">
        <v>2.8739761459979797E-4</v>
      </c>
      <c r="F30470" s="2">
        <v>5.23830441467164E-3</v>
      </c>
    </row>
    <row r="30471" spans="1:6" x14ac:dyDescent="0.25">
      <c r="A30471" s="1" t="str">
        <f t="shared" si="1092"/>
        <v>40420</v>
      </c>
      <c r="B30471" s="1" t="str">
        <f>"61024"</f>
        <v>61024</v>
      </c>
      <c r="C30471" s="2">
        <v>7.39031463407028E-3</v>
      </c>
      <c r="D30471" s="2">
        <v>2.2273218142548502E-3</v>
      </c>
      <c r="E30471" s="2">
        <v>4.02356660439718E-3</v>
      </c>
      <c r="F30471" s="2">
        <v>6.8416428728311001E-3</v>
      </c>
    </row>
    <row r="30472" spans="1:6" x14ac:dyDescent="0.25">
      <c r="A30472" s="1" t="str">
        <f t="shared" si="1092"/>
        <v>40420</v>
      </c>
      <c r="B30472" s="1" t="str">
        <f>"61012"</f>
        <v>61012</v>
      </c>
      <c r="C30472" s="2">
        <v>5.7875206585799302E-3</v>
      </c>
      <c r="D30472" s="2">
        <v>1.8223542116630599E-3</v>
      </c>
      <c r="E30472" s="2">
        <v>5.1731570627963699E-3</v>
      </c>
      <c r="F30472" s="2">
        <v>5.44146716450691E-3</v>
      </c>
    </row>
    <row r="30473" spans="1:6" x14ac:dyDescent="0.25">
      <c r="A30473" s="1" t="str">
        <f t="shared" si="1092"/>
        <v>40420</v>
      </c>
      <c r="B30473" s="1" t="str">
        <f>"61112"</f>
        <v>61112</v>
      </c>
      <c r="C30473" s="2">
        <v>6.2989179581527299E-4</v>
      </c>
      <c r="D30473" s="2">
        <v>2.5107991360691102E-2</v>
      </c>
      <c r="E30473" s="2">
        <v>4.7420606408966797E-3</v>
      </c>
      <c r="F30473" s="2">
        <v>2.7783878761256302E-3</v>
      </c>
    </row>
    <row r="30474" spans="1:6" x14ac:dyDescent="0.25">
      <c r="A30474" s="1" t="str">
        <f t="shared" si="1092"/>
        <v>40420</v>
      </c>
      <c r="B30474" s="1" t="str">
        <f>"60033"</f>
        <v>60033</v>
      </c>
      <c r="C30474" s="2">
        <v>2.6817175465402698E-4</v>
      </c>
      <c r="D30474" s="2">
        <v>0</v>
      </c>
      <c r="E30474" s="2">
        <v>0</v>
      </c>
      <c r="F30474" s="2">
        <v>2.36108060619371E-4</v>
      </c>
    </row>
    <row r="30475" spans="1:6" x14ac:dyDescent="0.25">
      <c r="A30475" s="1" t="str">
        <f t="shared" si="1092"/>
        <v>40420</v>
      </c>
      <c r="B30475" s="1" t="str">
        <f>"61130"</f>
        <v>61130</v>
      </c>
      <c r="C30475" s="2">
        <v>6.6731111041816004E-4</v>
      </c>
      <c r="D30475" s="2">
        <v>3.4422246220302301E-3</v>
      </c>
      <c r="E30475" s="2">
        <v>2.8739761459979797E-4</v>
      </c>
      <c r="F30475" s="2">
        <v>8.7854162090928996E-4</v>
      </c>
    </row>
    <row r="30476" spans="1:6" x14ac:dyDescent="0.25">
      <c r="A30476" s="1" t="str">
        <f t="shared" si="1092"/>
        <v>40420</v>
      </c>
      <c r="B30476" s="1" t="str">
        <f>"61065"</f>
        <v>61065</v>
      </c>
      <c r="C30476" s="2">
        <v>3.3109856871121598E-2</v>
      </c>
      <c r="D30476" s="2">
        <v>9.4492440604751603E-3</v>
      </c>
      <c r="E30476" s="2">
        <v>1.09211093547923E-2</v>
      </c>
      <c r="F30476" s="2">
        <v>3.0337140347023901E-2</v>
      </c>
    </row>
    <row r="30477" spans="1:6" x14ac:dyDescent="0.25">
      <c r="A30477" s="1" t="str">
        <f t="shared" si="1092"/>
        <v>40420</v>
      </c>
      <c r="B30477" s="1" t="str">
        <f>"61011"</f>
        <v>61011</v>
      </c>
      <c r="C30477" s="2">
        <v>7.90171193364308E-3</v>
      </c>
      <c r="D30477" s="2">
        <v>2.6997840172786102E-3</v>
      </c>
      <c r="E30477" s="2">
        <v>2.8739761459979797E-4</v>
      </c>
      <c r="F30477" s="2">
        <v>7.1875686360641303E-3</v>
      </c>
    </row>
    <row r="30478" spans="1:6" x14ac:dyDescent="0.25">
      <c r="A30478" s="1" t="str">
        <f t="shared" si="1092"/>
        <v>40420</v>
      </c>
      <c r="B30478" s="1" t="str">
        <f>"61108"</f>
        <v>61108</v>
      </c>
      <c r="C30478" s="2">
        <v>8.0058623592877798E-2</v>
      </c>
      <c r="D30478" s="2">
        <v>0.113323434125269</v>
      </c>
      <c r="E30478" s="2">
        <v>0.10245724960482799</v>
      </c>
      <c r="F30478" s="2">
        <v>8.36206896551724E-2</v>
      </c>
    </row>
    <row r="30479" spans="1:6" x14ac:dyDescent="0.25">
      <c r="A30479" s="1" t="str">
        <f t="shared" si="1092"/>
        <v>40420</v>
      </c>
      <c r="B30479" s="1" t="str">
        <f>"61063"</f>
        <v>61063</v>
      </c>
      <c r="C30479" s="2">
        <v>1.07081605288596E-2</v>
      </c>
      <c r="D30479" s="2">
        <v>4.1171706263498902E-3</v>
      </c>
      <c r="E30479" s="2">
        <v>3.01767495329788E-3</v>
      </c>
      <c r="F30479" s="2">
        <v>9.8781023500988299E-3</v>
      </c>
    </row>
    <row r="30480" spans="1:6" x14ac:dyDescent="0.25">
      <c r="A30480" s="1" t="str">
        <f t="shared" ref="A30480:A30491" si="1093">"40460"</f>
        <v>40460</v>
      </c>
      <c r="B30480" s="1" t="str">
        <f>"28380"</f>
        <v>28380</v>
      </c>
      <c r="C30480" s="2">
        <v>6.2331818783360499E-2</v>
      </c>
      <c r="D30480" s="2">
        <v>0.157043879907621</v>
      </c>
      <c r="E30480" s="2">
        <v>8.3333333333333297E-3</v>
      </c>
      <c r="F30480" s="2">
        <v>6.9992821249102596E-2</v>
      </c>
    </row>
    <row r="30481" spans="1:6" x14ac:dyDescent="0.25">
      <c r="A30481" s="1" t="str">
        <f t="shared" si="1093"/>
        <v>40460</v>
      </c>
      <c r="B30481" s="1" t="str">
        <f>"28367"</f>
        <v>28367</v>
      </c>
      <c r="C30481" s="2">
        <v>0</v>
      </c>
      <c r="D30481" s="2">
        <v>0</v>
      </c>
      <c r="E30481" s="2">
        <v>4.1666666666666597E-3</v>
      </c>
      <c r="F30481" s="2">
        <v>3.9881949429688101E-5</v>
      </c>
    </row>
    <row r="30482" spans="1:6" x14ac:dyDescent="0.25">
      <c r="A30482" s="1" t="str">
        <f t="shared" si="1093"/>
        <v>40460</v>
      </c>
      <c r="B30482" s="1" t="str">
        <f>"27229"</f>
        <v>27229</v>
      </c>
      <c r="C30482" s="2">
        <v>3.6613877983148698E-3</v>
      </c>
      <c r="D30482" s="2">
        <v>1.38568129330254E-3</v>
      </c>
      <c r="E30482" s="2">
        <v>0</v>
      </c>
      <c r="F30482" s="2">
        <v>3.42984765095317E-3</v>
      </c>
    </row>
    <row r="30483" spans="1:6" x14ac:dyDescent="0.25">
      <c r="A30483" s="1" t="str">
        <f t="shared" si="1093"/>
        <v>40460</v>
      </c>
      <c r="B30483" s="1" t="str">
        <f>"27306"</f>
        <v>27306</v>
      </c>
      <c r="C30483" s="2">
        <v>9.9695619568573798E-3</v>
      </c>
      <c r="D30483" s="2">
        <v>2.7713625866050799E-3</v>
      </c>
      <c r="E30483" s="2">
        <v>0</v>
      </c>
      <c r="F30483" s="2">
        <v>9.2526122676876398E-3</v>
      </c>
    </row>
    <row r="30484" spans="1:6" x14ac:dyDescent="0.25">
      <c r="A30484" s="1" t="str">
        <f t="shared" si="1093"/>
        <v>40460</v>
      </c>
      <c r="B30484" s="1" t="str">
        <f>"28363"</f>
        <v>28363</v>
      </c>
      <c r="C30484" s="2">
        <v>9.5284308968194408E-3</v>
      </c>
      <c r="D30484" s="2">
        <v>4.1570438799076199E-3</v>
      </c>
      <c r="E30484" s="2">
        <v>0</v>
      </c>
      <c r="F30484" s="2">
        <v>8.9734386216798207E-3</v>
      </c>
    </row>
    <row r="30485" spans="1:6" x14ac:dyDescent="0.25">
      <c r="A30485" s="1" t="str">
        <f t="shared" si="1093"/>
        <v>40460</v>
      </c>
      <c r="B30485" s="1" t="str">
        <f>"28347"</f>
        <v>28347</v>
      </c>
      <c r="C30485" s="2">
        <v>1.7954034143544E-2</v>
      </c>
      <c r="D30485" s="2">
        <v>1.0623556581986099E-2</v>
      </c>
      <c r="E30485" s="2">
        <v>0</v>
      </c>
      <c r="F30485" s="2">
        <v>1.7149238254765799E-2</v>
      </c>
    </row>
    <row r="30486" spans="1:6" x14ac:dyDescent="0.25">
      <c r="A30486" s="1" t="str">
        <f t="shared" si="1093"/>
        <v>40460</v>
      </c>
      <c r="B30486" s="1" t="str">
        <f>"28351"</f>
        <v>28351</v>
      </c>
      <c r="C30486" s="2">
        <v>2.9114649962503798E-3</v>
      </c>
      <c r="D30486" s="2">
        <v>0</v>
      </c>
      <c r="E30486" s="2">
        <v>0</v>
      </c>
      <c r="F30486" s="2">
        <v>2.63220866235941E-3</v>
      </c>
    </row>
    <row r="30487" spans="1:6" x14ac:dyDescent="0.25">
      <c r="A30487" s="1" t="str">
        <f t="shared" si="1093"/>
        <v>40460</v>
      </c>
      <c r="B30487" s="1" t="str">
        <f>"28330"</f>
        <v>28330</v>
      </c>
      <c r="C30487" s="2">
        <v>0</v>
      </c>
      <c r="D30487" s="2">
        <v>0</v>
      </c>
      <c r="E30487" s="2">
        <v>4.1666666666666597E-3</v>
      </c>
      <c r="F30487" s="2">
        <v>3.9881949429688101E-5</v>
      </c>
    </row>
    <row r="30488" spans="1:6" x14ac:dyDescent="0.25">
      <c r="A30488" s="1" t="str">
        <f t="shared" si="1093"/>
        <v>40460</v>
      </c>
      <c r="B30488" s="1" t="str">
        <f>"28379"</f>
        <v>28379</v>
      </c>
      <c r="C30488" s="2">
        <v>0.55220786095548902</v>
      </c>
      <c r="D30488" s="2">
        <v>0.60092378752886799</v>
      </c>
      <c r="E30488" s="2">
        <v>0.77083333333333304</v>
      </c>
      <c r="F30488" s="2">
        <v>0.55850681981335204</v>
      </c>
    </row>
    <row r="30489" spans="1:6" x14ac:dyDescent="0.25">
      <c r="A30489" s="1" t="str">
        <f t="shared" si="1093"/>
        <v>40460</v>
      </c>
      <c r="B30489" s="1" t="str">
        <f>"28338"</f>
        <v>28338</v>
      </c>
      <c r="C30489" s="2">
        <v>7.3580660814327903E-2</v>
      </c>
      <c r="D30489" s="2">
        <v>1.8013856812933E-2</v>
      </c>
      <c r="E30489" s="2">
        <v>0</v>
      </c>
      <c r="F30489" s="2">
        <v>6.8078487676477603E-2</v>
      </c>
    </row>
    <row r="30490" spans="1:6" x14ac:dyDescent="0.25">
      <c r="A30490" s="1" t="str">
        <f t="shared" si="1093"/>
        <v>40460</v>
      </c>
      <c r="B30490" s="1" t="str">
        <f>"28345"</f>
        <v>28345</v>
      </c>
      <c r="C30490" s="2">
        <v>0.264502183598747</v>
      </c>
      <c r="D30490" s="2">
        <v>0.202771362586605</v>
      </c>
      <c r="E30490" s="2">
        <v>0.21249999999999999</v>
      </c>
      <c r="F30490" s="2">
        <v>0.25867432400095702</v>
      </c>
    </row>
    <row r="30491" spans="1:6" x14ac:dyDescent="0.25">
      <c r="A30491" s="1" t="str">
        <f t="shared" si="1093"/>
        <v>40460</v>
      </c>
      <c r="B30491" s="1" t="str">
        <f>"27281"</f>
        <v>27281</v>
      </c>
      <c r="C30491" s="2">
        <v>3.3525960562883201E-3</v>
      </c>
      <c r="D30491" s="2">
        <v>2.3094688221708998E-3</v>
      </c>
      <c r="E30491" s="2">
        <v>0</v>
      </c>
      <c r="F30491" s="2">
        <v>3.2304379038047299E-3</v>
      </c>
    </row>
    <row r="30492" spans="1:6" x14ac:dyDescent="0.25">
      <c r="A30492" s="1" t="str">
        <f t="shared" ref="A30492:A30535" si="1094">"40484"</f>
        <v>40484</v>
      </c>
      <c r="B30492" s="1" t="str">
        <f>"03884"</f>
        <v>03884</v>
      </c>
      <c r="C30492" s="2">
        <v>4.6296296296296198E-3</v>
      </c>
      <c r="D30492" s="2">
        <v>0</v>
      </c>
      <c r="E30492" s="2">
        <v>1.3274336283185801E-2</v>
      </c>
      <c r="F30492" s="2">
        <v>4.2983565107458897E-3</v>
      </c>
    </row>
    <row r="30493" spans="1:6" x14ac:dyDescent="0.25">
      <c r="A30493" s="1" t="str">
        <f t="shared" si="1094"/>
        <v>40484</v>
      </c>
      <c r="B30493" s="1" t="str">
        <f>"03811"</f>
        <v>03811</v>
      </c>
      <c r="C30493" s="2">
        <v>1.9841269841269799E-2</v>
      </c>
      <c r="D30493" s="2">
        <v>0</v>
      </c>
      <c r="E30493" s="2">
        <v>0</v>
      </c>
      <c r="F30493" s="2">
        <v>1.51706700379266E-2</v>
      </c>
    </row>
    <row r="30494" spans="1:6" x14ac:dyDescent="0.25">
      <c r="A30494" s="1" t="str">
        <f t="shared" si="1094"/>
        <v>40484</v>
      </c>
      <c r="B30494" s="1" t="str">
        <f>"03037"</f>
        <v>03037</v>
      </c>
      <c r="C30494" s="2">
        <v>4.96031746031746E-3</v>
      </c>
      <c r="D30494" s="2">
        <v>0</v>
      </c>
      <c r="E30494" s="2">
        <v>4.4247787610619399E-3</v>
      </c>
      <c r="F30494" s="2">
        <v>4.0455120101137798E-3</v>
      </c>
    </row>
    <row r="30495" spans="1:6" x14ac:dyDescent="0.25">
      <c r="A30495" s="1" t="str">
        <f t="shared" si="1094"/>
        <v>40484</v>
      </c>
      <c r="B30495" s="1" t="str">
        <f>"03079"</f>
        <v>03079</v>
      </c>
      <c r="C30495" s="2">
        <v>1.9841269841269799E-2</v>
      </c>
      <c r="D30495" s="2">
        <v>8.5106382978723406E-3</v>
      </c>
      <c r="E30495" s="2">
        <v>8.8495575221238902E-3</v>
      </c>
      <c r="F30495" s="2">
        <v>1.71934260429835E-2</v>
      </c>
    </row>
    <row r="30496" spans="1:6" x14ac:dyDescent="0.25">
      <c r="A30496" s="1" t="str">
        <f t="shared" si="1094"/>
        <v>40484</v>
      </c>
      <c r="B30496" s="1" t="str">
        <f>"03825"</f>
        <v>03825</v>
      </c>
      <c r="C30496" s="2">
        <v>3.9682539682539602E-3</v>
      </c>
      <c r="D30496" s="2">
        <v>1.4184397163120499E-3</v>
      </c>
      <c r="E30496" s="2">
        <v>4.4247787610619399E-3</v>
      </c>
      <c r="F30496" s="2">
        <v>3.5398230088495501E-3</v>
      </c>
    </row>
    <row r="30497" spans="1:6" x14ac:dyDescent="0.25">
      <c r="A30497" s="1" t="str">
        <f t="shared" si="1094"/>
        <v>40484</v>
      </c>
      <c r="B30497" s="1" t="str">
        <f>"03858"</f>
        <v>03858</v>
      </c>
      <c r="C30497" s="2">
        <v>2.6455026455026402E-3</v>
      </c>
      <c r="D30497" s="2">
        <v>0</v>
      </c>
      <c r="E30497" s="2">
        <v>8.8495575221238902E-3</v>
      </c>
      <c r="F30497" s="2">
        <v>2.5284450063211101E-3</v>
      </c>
    </row>
    <row r="30498" spans="1:6" x14ac:dyDescent="0.25">
      <c r="A30498" s="1" t="str">
        <f t="shared" si="1094"/>
        <v>40484</v>
      </c>
      <c r="B30498" s="1" t="str">
        <f>"03824"</f>
        <v>03824</v>
      </c>
      <c r="C30498" s="2">
        <v>1.3227513227513201E-3</v>
      </c>
      <c r="D30498" s="2">
        <v>1.4184397163120499E-2</v>
      </c>
      <c r="E30498" s="2">
        <v>0.25663716814159199</v>
      </c>
      <c r="F30498" s="2">
        <v>1.8204804045511998E-2</v>
      </c>
    </row>
    <row r="30499" spans="1:6" x14ac:dyDescent="0.25">
      <c r="A30499" s="1" t="str">
        <f t="shared" si="1094"/>
        <v>40484</v>
      </c>
      <c r="B30499" s="1" t="str">
        <f>"03034"</f>
        <v>03034</v>
      </c>
      <c r="C30499" s="2">
        <v>6.6137566137566101E-4</v>
      </c>
      <c r="D30499" s="2">
        <v>2.8368794326241102E-3</v>
      </c>
      <c r="E30499" s="2">
        <v>4.4247787610619399E-3</v>
      </c>
      <c r="F30499" s="2">
        <v>1.2642225031605501E-3</v>
      </c>
    </row>
    <row r="30500" spans="1:6" x14ac:dyDescent="0.25">
      <c r="A30500" s="1" t="str">
        <f t="shared" si="1094"/>
        <v>40484</v>
      </c>
      <c r="B30500" s="1" t="str">
        <f>"03835"</f>
        <v>03835</v>
      </c>
      <c r="C30500" s="2">
        <v>3.3068783068783002E-4</v>
      </c>
      <c r="D30500" s="2">
        <v>0</v>
      </c>
      <c r="E30500" s="2">
        <v>0</v>
      </c>
      <c r="F30500" s="2">
        <v>2.5284450063211102E-4</v>
      </c>
    </row>
    <row r="30501" spans="1:6" x14ac:dyDescent="0.25">
      <c r="A30501" s="1" t="str">
        <f t="shared" si="1094"/>
        <v>40484</v>
      </c>
      <c r="B30501" s="1" t="str">
        <f>"03038"</f>
        <v>03038</v>
      </c>
      <c r="C30501" s="2">
        <v>2.97619047619047E-3</v>
      </c>
      <c r="D30501" s="2">
        <v>1.4184397163120499E-3</v>
      </c>
      <c r="E30501" s="2">
        <v>1.3274336283185801E-2</v>
      </c>
      <c r="F30501" s="2">
        <v>3.2869785082174402E-3</v>
      </c>
    </row>
    <row r="30502" spans="1:6" x14ac:dyDescent="0.25">
      <c r="A30502" s="1" t="str">
        <f t="shared" si="1094"/>
        <v>40484</v>
      </c>
      <c r="B30502" s="1" t="str">
        <f>"03842"</f>
        <v>03842</v>
      </c>
      <c r="C30502" s="2">
        <v>8.5317460317460306E-2</v>
      </c>
      <c r="D30502" s="2">
        <v>1.56028368794326E-2</v>
      </c>
      <c r="E30502" s="2">
        <v>5.7522123893805302E-2</v>
      </c>
      <c r="F30502" s="2">
        <v>7.1302149178255295E-2</v>
      </c>
    </row>
    <row r="30503" spans="1:6" x14ac:dyDescent="0.25">
      <c r="A30503" s="1" t="str">
        <f t="shared" si="1094"/>
        <v>40484</v>
      </c>
      <c r="B30503" s="1" t="str">
        <f>"03857"</f>
        <v>03857</v>
      </c>
      <c r="C30503" s="2">
        <v>1.3227513227513201E-3</v>
      </c>
      <c r="D30503" s="2">
        <v>0</v>
      </c>
      <c r="E30503" s="2">
        <v>1.3274336283185801E-2</v>
      </c>
      <c r="F30503" s="2">
        <v>1.7699115044247701E-3</v>
      </c>
    </row>
    <row r="30504" spans="1:6" x14ac:dyDescent="0.25">
      <c r="A30504" s="1" t="str">
        <f t="shared" si="1094"/>
        <v>40484</v>
      </c>
      <c r="B30504" s="1" t="str">
        <f>"03851"</f>
        <v>03851</v>
      </c>
      <c r="C30504" s="2">
        <v>9.9206349206349201E-4</v>
      </c>
      <c r="D30504" s="2">
        <v>0</v>
      </c>
      <c r="E30504" s="2">
        <v>4.4247787610619399E-3</v>
      </c>
      <c r="F30504" s="2">
        <v>1.01137800252844E-3</v>
      </c>
    </row>
    <row r="30505" spans="1:6" x14ac:dyDescent="0.25">
      <c r="A30505" s="1" t="str">
        <f t="shared" si="1094"/>
        <v>40484</v>
      </c>
      <c r="B30505" s="1" t="str">
        <f>"03865"</f>
        <v>03865</v>
      </c>
      <c r="C30505" s="2">
        <v>6.6137566137566101E-4</v>
      </c>
      <c r="D30505" s="2">
        <v>1.4184397163120499E-3</v>
      </c>
      <c r="E30505" s="2">
        <v>0</v>
      </c>
      <c r="F30505" s="2">
        <v>7.5853350189633302E-4</v>
      </c>
    </row>
    <row r="30506" spans="1:6" x14ac:dyDescent="0.25">
      <c r="A30506" s="1" t="str">
        <f t="shared" si="1094"/>
        <v>40484</v>
      </c>
      <c r="B30506" s="1" t="str">
        <f>"03820"</f>
        <v>03820</v>
      </c>
      <c r="C30506" s="2">
        <v>7.0436507936507894E-2</v>
      </c>
      <c r="D30506" s="2">
        <v>0.11914893617021199</v>
      </c>
      <c r="E30506" s="2">
        <v>4.8672566371681401E-2</v>
      </c>
      <c r="F30506" s="2">
        <v>7.7876106194690195E-2</v>
      </c>
    </row>
    <row r="30507" spans="1:6" x14ac:dyDescent="0.25">
      <c r="A30507" s="1" t="str">
        <f t="shared" si="1094"/>
        <v>40484</v>
      </c>
      <c r="B30507" s="1" t="str">
        <f>"03878"</f>
        <v>03878</v>
      </c>
      <c r="C30507" s="2">
        <v>3.9682539682539602E-3</v>
      </c>
      <c r="D30507" s="2">
        <v>1.4184397163120499E-3</v>
      </c>
      <c r="E30507" s="2">
        <v>4.4247787610619399E-2</v>
      </c>
      <c r="F30507" s="2">
        <v>5.8154235145385499E-3</v>
      </c>
    </row>
    <row r="30508" spans="1:6" x14ac:dyDescent="0.25">
      <c r="A30508" s="1" t="str">
        <f t="shared" si="1094"/>
        <v>40484</v>
      </c>
      <c r="B30508" s="1" t="str">
        <f>"03862"</f>
        <v>03862</v>
      </c>
      <c r="C30508" s="2">
        <v>6.6137566137566101E-4</v>
      </c>
      <c r="D30508" s="2">
        <v>8.5106382978723406E-3</v>
      </c>
      <c r="E30508" s="2">
        <v>4.4247787610619399E-3</v>
      </c>
      <c r="F30508" s="2">
        <v>2.2756005056889998E-3</v>
      </c>
    </row>
    <row r="30509" spans="1:6" x14ac:dyDescent="0.25">
      <c r="A30509" s="1" t="str">
        <f t="shared" si="1094"/>
        <v>40484</v>
      </c>
      <c r="B30509" s="1" t="str">
        <f>"03870"</f>
        <v>03870</v>
      </c>
      <c r="C30509" s="2">
        <v>5.9523809523809503E-3</v>
      </c>
      <c r="D30509" s="2">
        <v>1.4184397163120499E-3</v>
      </c>
      <c r="E30509" s="2">
        <v>4.4247787610619399E-3</v>
      </c>
      <c r="F30509" s="2">
        <v>5.0568900126422203E-3</v>
      </c>
    </row>
    <row r="30510" spans="1:6" x14ac:dyDescent="0.25">
      <c r="A30510" s="1" t="str">
        <f t="shared" si="1094"/>
        <v>40484</v>
      </c>
      <c r="B30510" s="1" t="str">
        <f>"03861"</f>
        <v>03861</v>
      </c>
      <c r="C30510" s="2">
        <v>1.3227513227513201E-2</v>
      </c>
      <c r="D30510" s="2">
        <v>0</v>
      </c>
      <c r="E30510" s="2">
        <v>4.4247787610619399E-3</v>
      </c>
      <c r="F30510" s="2">
        <v>1.0366624525916499E-2</v>
      </c>
    </row>
    <row r="30511" spans="1:6" x14ac:dyDescent="0.25">
      <c r="A30511" s="1" t="str">
        <f t="shared" si="1094"/>
        <v>40484</v>
      </c>
      <c r="B30511" s="1" t="str">
        <f>"03044"</f>
        <v>03044</v>
      </c>
      <c r="C30511" s="2">
        <v>3.3068783068783002E-4</v>
      </c>
      <c r="D30511" s="2">
        <v>0</v>
      </c>
      <c r="E30511" s="2">
        <v>0</v>
      </c>
      <c r="F30511" s="2">
        <v>2.5284450063211102E-4</v>
      </c>
    </row>
    <row r="30512" spans="1:6" x14ac:dyDescent="0.25">
      <c r="A30512" s="1" t="str">
        <f t="shared" si="1094"/>
        <v>40484</v>
      </c>
      <c r="B30512" s="1" t="str">
        <f>"03885"</f>
        <v>03885</v>
      </c>
      <c r="C30512" s="2">
        <v>2.3148148148148099E-3</v>
      </c>
      <c r="D30512" s="2">
        <v>2.8368794326241102E-3</v>
      </c>
      <c r="E30512" s="2">
        <v>4.4247787610619399E-3</v>
      </c>
      <c r="F30512" s="2">
        <v>2.5284450063211101E-3</v>
      </c>
    </row>
    <row r="30513" spans="1:6" x14ac:dyDescent="0.25">
      <c r="A30513" s="1" t="str">
        <f t="shared" si="1094"/>
        <v>40484</v>
      </c>
      <c r="B30513" s="1" t="str">
        <f>"03819"</f>
        <v>03819</v>
      </c>
      <c r="C30513" s="2">
        <v>3.9682539682539602E-3</v>
      </c>
      <c r="D30513" s="2">
        <v>0</v>
      </c>
      <c r="E30513" s="2">
        <v>0</v>
      </c>
      <c r="F30513" s="2">
        <v>3.0341340075853299E-3</v>
      </c>
    </row>
    <row r="30514" spans="1:6" x14ac:dyDescent="0.25">
      <c r="A30514" s="1" t="str">
        <f t="shared" si="1094"/>
        <v>40484</v>
      </c>
      <c r="B30514" s="1" t="str">
        <f>"03856"</f>
        <v>03856</v>
      </c>
      <c r="C30514" s="2">
        <v>3.3068783068783002E-4</v>
      </c>
      <c r="D30514" s="2">
        <v>0</v>
      </c>
      <c r="E30514" s="2">
        <v>0</v>
      </c>
      <c r="F30514" s="2">
        <v>2.5284450063211102E-4</v>
      </c>
    </row>
    <row r="30515" spans="1:6" x14ac:dyDescent="0.25">
      <c r="A30515" s="1" t="str">
        <f t="shared" si="1094"/>
        <v>40484</v>
      </c>
      <c r="B30515" s="1" t="str">
        <f>"03867"</f>
        <v>03867</v>
      </c>
      <c r="C30515" s="2">
        <v>1.05820105820105E-2</v>
      </c>
      <c r="D30515" s="2">
        <v>8.5106382978723406E-3</v>
      </c>
      <c r="E30515" s="2">
        <v>3.9823008849557501E-2</v>
      </c>
      <c r="F30515" s="2">
        <v>1.18836915297092E-2</v>
      </c>
    </row>
    <row r="30516" spans="1:6" x14ac:dyDescent="0.25">
      <c r="A30516" s="1" t="str">
        <f t="shared" si="1094"/>
        <v>40484</v>
      </c>
      <c r="B30516" s="1" t="str">
        <f>"03053"</f>
        <v>03053</v>
      </c>
      <c r="C30516" s="2">
        <v>4.1335978835978802E-2</v>
      </c>
      <c r="D30516" s="2">
        <v>2.8368794326241102E-3</v>
      </c>
      <c r="E30516" s="2">
        <v>1.3274336283185801E-2</v>
      </c>
      <c r="F30516" s="2">
        <v>3.2869785082174398E-2</v>
      </c>
    </row>
    <row r="30517" spans="1:6" x14ac:dyDescent="0.25">
      <c r="A30517" s="1" t="str">
        <f t="shared" si="1094"/>
        <v>40484</v>
      </c>
      <c r="B30517" s="1" t="str">
        <f>"03874"</f>
        <v>03874</v>
      </c>
      <c r="C30517" s="2">
        <v>2.0833333333333301E-2</v>
      </c>
      <c r="D30517" s="2">
        <v>9.9290780141843907E-3</v>
      </c>
      <c r="E30517" s="2">
        <v>1.3274336283185801E-2</v>
      </c>
      <c r="F30517" s="2">
        <v>1.8457648546144099E-2</v>
      </c>
    </row>
    <row r="30518" spans="1:6" x14ac:dyDescent="0.25">
      <c r="A30518" s="1" t="str">
        <f t="shared" si="1094"/>
        <v>40484</v>
      </c>
      <c r="B30518" s="1" t="str">
        <f>"03869"</f>
        <v>03869</v>
      </c>
      <c r="C30518" s="2">
        <v>5.2910052910052898E-3</v>
      </c>
      <c r="D30518" s="2">
        <v>0</v>
      </c>
      <c r="E30518" s="2">
        <v>4.4247787610619399E-3</v>
      </c>
      <c r="F30518" s="2">
        <v>4.2983565107458897E-3</v>
      </c>
    </row>
    <row r="30519" spans="1:6" x14ac:dyDescent="0.25">
      <c r="A30519" s="1" t="str">
        <f t="shared" si="1094"/>
        <v>40484</v>
      </c>
      <c r="B30519" s="1" t="str">
        <f>"03839"</f>
        <v>03839</v>
      </c>
      <c r="C30519" s="2">
        <v>3.73677248677248E-2</v>
      </c>
      <c r="D30519" s="2">
        <v>4.6808510638297801E-2</v>
      </c>
      <c r="E30519" s="2">
        <v>0.123893805309734</v>
      </c>
      <c r="F30519" s="2">
        <v>4.3994943109987299E-2</v>
      </c>
    </row>
    <row r="30520" spans="1:6" x14ac:dyDescent="0.25">
      <c r="A30520" s="1" t="str">
        <f t="shared" si="1094"/>
        <v>40484</v>
      </c>
      <c r="B30520" s="1" t="str">
        <f>"03868"</f>
        <v>03868</v>
      </c>
      <c r="C30520" s="2">
        <v>3.6375661375661297E-2</v>
      </c>
      <c r="D30520" s="2">
        <v>5.6737588652482204E-3</v>
      </c>
      <c r="E30520" s="2">
        <v>8.40707964601769E-2</v>
      </c>
      <c r="F30520" s="2">
        <v>3.3628318584070699E-2</v>
      </c>
    </row>
    <row r="30521" spans="1:6" x14ac:dyDescent="0.25">
      <c r="A30521" s="1" t="str">
        <f t="shared" si="1094"/>
        <v>40484</v>
      </c>
      <c r="B30521" s="1" t="str">
        <f>"03802"</f>
        <v>03802</v>
      </c>
      <c r="C30521" s="2">
        <v>0.44708994708994698</v>
      </c>
      <c r="D30521" s="2">
        <v>0.67092198581560203</v>
      </c>
      <c r="E30521" s="2">
        <v>8.8495575221238902E-3</v>
      </c>
      <c r="F30521" s="2">
        <v>0.46194690265486699</v>
      </c>
    </row>
    <row r="30522" spans="1:6" x14ac:dyDescent="0.25">
      <c r="A30522" s="1" t="str">
        <f t="shared" si="1094"/>
        <v>40484</v>
      </c>
      <c r="B30522" s="1" t="str">
        <f>"03077"</f>
        <v>03077</v>
      </c>
      <c r="C30522" s="2">
        <v>5.9523809523809503E-3</v>
      </c>
      <c r="D30522" s="2">
        <v>0</v>
      </c>
      <c r="E30522" s="2">
        <v>4.4247787610619399E-3</v>
      </c>
      <c r="F30522" s="2">
        <v>4.8040455120101104E-3</v>
      </c>
    </row>
    <row r="30523" spans="1:6" x14ac:dyDescent="0.25">
      <c r="A30523" s="1" t="str">
        <f t="shared" si="1094"/>
        <v>40484</v>
      </c>
      <c r="B30523" s="1" t="str">
        <f>"03887"</f>
        <v>03887</v>
      </c>
      <c r="C30523" s="2">
        <v>9.9206349206349201E-4</v>
      </c>
      <c r="D30523" s="2">
        <v>0</v>
      </c>
      <c r="E30523" s="2">
        <v>0</v>
      </c>
      <c r="F30523" s="2">
        <v>7.5853350189633302E-4</v>
      </c>
    </row>
    <row r="30524" spans="1:6" x14ac:dyDescent="0.25">
      <c r="A30524" s="1" t="str">
        <f t="shared" si="1094"/>
        <v>40484</v>
      </c>
      <c r="B30524" s="1" t="str">
        <f>"03042"</f>
        <v>03042</v>
      </c>
      <c r="C30524" s="2">
        <v>4.6296296296296198E-3</v>
      </c>
      <c r="D30524" s="2">
        <v>0</v>
      </c>
      <c r="E30524" s="2">
        <v>0</v>
      </c>
      <c r="F30524" s="2">
        <v>3.5398230088495501E-3</v>
      </c>
    </row>
    <row r="30525" spans="1:6" x14ac:dyDescent="0.25">
      <c r="A30525" s="1" t="str">
        <f t="shared" si="1094"/>
        <v>40484</v>
      </c>
      <c r="B30525" s="1" t="str">
        <f>"03087"</f>
        <v>03087</v>
      </c>
      <c r="C30525" s="2">
        <v>3.63756613756613E-3</v>
      </c>
      <c r="D30525" s="2">
        <v>5.6737588652482204E-3</v>
      </c>
      <c r="E30525" s="2">
        <v>4.4247787610619399E-3</v>
      </c>
      <c r="F30525" s="2">
        <v>4.0455120101137798E-3</v>
      </c>
    </row>
    <row r="30526" spans="1:6" x14ac:dyDescent="0.25">
      <c r="A30526" s="1" t="str">
        <f t="shared" si="1094"/>
        <v>40484</v>
      </c>
      <c r="B30526" s="1" t="str">
        <f>"03823"</f>
        <v>03823</v>
      </c>
      <c r="C30526" s="2">
        <v>0</v>
      </c>
      <c r="D30526" s="2">
        <v>1.4184397163120499E-3</v>
      </c>
      <c r="E30526" s="2">
        <v>4.4247787610619399E-3</v>
      </c>
      <c r="F30526" s="2">
        <v>5.0568900126422205E-4</v>
      </c>
    </row>
    <row r="30527" spans="1:6" x14ac:dyDescent="0.25">
      <c r="A30527" s="1" t="str">
        <f t="shared" si="1094"/>
        <v>40484</v>
      </c>
      <c r="B30527" s="1" t="str">
        <f>"03873"</f>
        <v>03873</v>
      </c>
      <c r="C30527" s="2">
        <v>6.6137566137566099E-3</v>
      </c>
      <c r="D30527" s="2">
        <v>0</v>
      </c>
      <c r="E30527" s="2">
        <v>1.3274336283185801E-2</v>
      </c>
      <c r="F30527" s="2">
        <v>5.8154235145385499E-3</v>
      </c>
    </row>
    <row r="30528" spans="1:6" x14ac:dyDescent="0.25">
      <c r="A30528" s="1" t="str">
        <f t="shared" si="1094"/>
        <v>40484</v>
      </c>
      <c r="B30528" s="1" t="str">
        <f>"03833"</f>
        <v>03833</v>
      </c>
      <c r="C30528" s="2">
        <v>7.3743386243386194E-2</v>
      </c>
      <c r="D30528" s="2">
        <v>4.1134751773049601E-2</v>
      </c>
      <c r="E30528" s="2">
        <v>0.123893805309734</v>
      </c>
      <c r="F30528" s="2">
        <v>7.0796460176991094E-2</v>
      </c>
    </row>
    <row r="30529" spans="1:6" x14ac:dyDescent="0.25">
      <c r="A30529" s="1" t="str">
        <f t="shared" si="1094"/>
        <v>40484</v>
      </c>
      <c r="B30529" s="1" t="str">
        <f>"03848"</f>
        <v>03848</v>
      </c>
      <c r="C30529" s="2">
        <v>2.9761904761904701E-2</v>
      </c>
      <c r="D30529" s="2">
        <v>0</v>
      </c>
      <c r="E30529" s="2">
        <v>4.4247787610619399E-3</v>
      </c>
      <c r="F30529" s="2">
        <v>2.3008849557522099E-2</v>
      </c>
    </row>
    <row r="30530" spans="1:6" x14ac:dyDescent="0.25">
      <c r="A30530" s="1" t="str">
        <f t="shared" si="1094"/>
        <v>40484</v>
      </c>
      <c r="B30530" s="1" t="str">
        <f>"03841"</f>
        <v>03841</v>
      </c>
      <c r="C30530" s="2">
        <v>1.6534391534391501E-3</v>
      </c>
      <c r="D30530" s="2">
        <v>1.4184397163120499E-3</v>
      </c>
      <c r="E30530" s="2">
        <v>4.4247787610619399E-3</v>
      </c>
      <c r="F30530" s="2">
        <v>1.7699115044247701E-3</v>
      </c>
    </row>
    <row r="30531" spans="1:6" x14ac:dyDescent="0.25">
      <c r="A30531" s="1" t="str">
        <f t="shared" si="1094"/>
        <v>40484</v>
      </c>
      <c r="B30531" s="1" t="str">
        <f>"03801"</f>
        <v>03801</v>
      </c>
      <c r="C30531" s="2">
        <v>9.5899470899470807E-3</v>
      </c>
      <c r="D30531" s="2">
        <v>2.1276595744680799E-2</v>
      </c>
      <c r="E30531" s="2">
        <v>3.9823008849557501E-2</v>
      </c>
      <c r="F30531" s="2">
        <v>1.34007585335018E-2</v>
      </c>
    </row>
    <row r="30532" spans="1:6" x14ac:dyDescent="0.25">
      <c r="A30532" s="1" t="str">
        <f t="shared" si="1094"/>
        <v>40484</v>
      </c>
      <c r="B30532" s="1" t="str">
        <f>"03840"</f>
        <v>03840</v>
      </c>
      <c r="C30532" s="2">
        <v>1.1243386243386199E-2</v>
      </c>
      <c r="D30532" s="2">
        <v>5.6737588652482204E-3</v>
      </c>
      <c r="E30532" s="2">
        <v>8.8495575221238902E-3</v>
      </c>
      <c r="F30532" s="2">
        <v>1.0113780025284401E-2</v>
      </c>
    </row>
    <row r="30533" spans="1:6" x14ac:dyDescent="0.25">
      <c r="A30533" s="1" t="str">
        <f t="shared" si="1094"/>
        <v>40484</v>
      </c>
      <c r="B30533" s="1" t="str">
        <f>"03261"</f>
        <v>03261</v>
      </c>
      <c r="C30533" s="2">
        <v>1.3227513227513201E-3</v>
      </c>
      <c r="D30533" s="2">
        <v>0</v>
      </c>
      <c r="E30533" s="2">
        <v>0</v>
      </c>
      <c r="F30533" s="2">
        <v>1.01137800252844E-3</v>
      </c>
    </row>
    <row r="30534" spans="1:6" x14ac:dyDescent="0.25">
      <c r="A30534" s="1" t="str">
        <f t="shared" si="1094"/>
        <v>40484</v>
      </c>
      <c r="B30534" s="1" t="str">
        <f>"03036"</f>
        <v>03036</v>
      </c>
      <c r="C30534" s="2">
        <v>9.9206349206349201E-4</v>
      </c>
      <c r="D30534" s="2">
        <v>0</v>
      </c>
      <c r="E30534" s="2">
        <v>4.4247787610619399E-3</v>
      </c>
      <c r="F30534" s="2">
        <v>1.01137800252844E-3</v>
      </c>
    </row>
    <row r="30535" spans="1:6" x14ac:dyDescent="0.25">
      <c r="A30535" s="1" t="str">
        <f t="shared" si="1094"/>
        <v>40484</v>
      </c>
      <c r="B30535" s="1" t="str">
        <f>"03852"</f>
        <v>03852</v>
      </c>
      <c r="C30535" s="2">
        <v>3.3068783068783002E-4</v>
      </c>
      <c r="D30535" s="2">
        <v>0</v>
      </c>
      <c r="E30535" s="2">
        <v>0</v>
      </c>
      <c r="F30535" s="2">
        <v>2.5284450063211102E-4</v>
      </c>
    </row>
    <row r="30536" spans="1:6" x14ac:dyDescent="0.25">
      <c r="A30536" s="1" t="str">
        <f>"40530"</f>
        <v>40530</v>
      </c>
      <c r="B30536" s="1" t="str">
        <f>"78336"</f>
        <v>78336</v>
      </c>
      <c r="C30536" s="2">
        <v>0.10950514453699101</v>
      </c>
      <c r="D30536" s="2">
        <v>6.0833333333333302E-2</v>
      </c>
      <c r="E30536" s="2">
        <v>5.8020477815699599E-2</v>
      </c>
      <c r="F30536" s="2">
        <v>0.10538129173447</v>
      </c>
    </row>
    <row r="30537" spans="1:6" x14ac:dyDescent="0.25">
      <c r="A30537" s="1" t="str">
        <f>"40530"</f>
        <v>40530</v>
      </c>
      <c r="B30537" s="1" t="str">
        <f>"78358"</f>
        <v>78358</v>
      </c>
      <c r="C30537" s="2">
        <v>0</v>
      </c>
      <c r="D30537" s="2">
        <v>8.3333333333333295E-4</v>
      </c>
      <c r="E30537" s="2">
        <v>0</v>
      </c>
      <c r="F30537" s="2">
        <v>5.6113573873520003E-5</v>
      </c>
    </row>
    <row r="30538" spans="1:6" x14ac:dyDescent="0.25">
      <c r="A30538" s="1" t="str">
        <f>"40530"</f>
        <v>40530</v>
      </c>
      <c r="B30538" s="1" t="str">
        <f>"78381"</f>
        <v>78381</v>
      </c>
      <c r="C30538" s="2">
        <v>0.12977707006369399</v>
      </c>
      <c r="D30538" s="2">
        <v>0.1875</v>
      </c>
      <c r="E30538" s="2">
        <v>3.4129692832764501E-3</v>
      </c>
      <c r="F30538" s="2">
        <v>0.13158633073340401</v>
      </c>
    </row>
    <row r="30539" spans="1:6" x14ac:dyDescent="0.25">
      <c r="A30539" s="1" t="str">
        <f>"40530"</f>
        <v>40530</v>
      </c>
      <c r="B30539" s="1" t="str">
        <f>"78382"</f>
        <v>78382</v>
      </c>
      <c r="C30539" s="2">
        <v>0.75802302792748599</v>
      </c>
      <c r="D30539" s="2">
        <v>0.75083333333333302</v>
      </c>
      <c r="E30539" s="2">
        <v>0.93856655290102298</v>
      </c>
      <c r="F30539" s="2">
        <v>0.76050726670781599</v>
      </c>
    </row>
    <row r="30540" spans="1:6" x14ac:dyDescent="0.25">
      <c r="A30540" s="1" t="str">
        <f>"40530"</f>
        <v>40530</v>
      </c>
      <c r="B30540" s="1" t="str">
        <f>"78390"</f>
        <v>78390</v>
      </c>
      <c r="C30540" s="2">
        <v>2.6947574718275301E-3</v>
      </c>
      <c r="D30540" s="2">
        <v>0</v>
      </c>
      <c r="E30540" s="2">
        <v>0</v>
      </c>
      <c r="F30540" s="2">
        <v>2.46899725043488E-3</v>
      </c>
    </row>
    <row r="30541" spans="1:6" x14ac:dyDescent="0.25">
      <c r="A30541" s="1" t="str">
        <f t="shared" ref="A30541:A30551" si="1095">"40540"</f>
        <v>40540</v>
      </c>
      <c r="B30541" s="1" t="str">
        <f>"82322"</f>
        <v>82322</v>
      </c>
      <c r="C30541" s="2">
        <v>1.8175039612265799E-3</v>
      </c>
      <c r="D30541" s="2">
        <v>0</v>
      </c>
      <c r="E30541" s="2">
        <v>7.7579519006982102E-4</v>
      </c>
      <c r="F30541" s="2">
        <v>1.5959144589849899E-3</v>
      </c>
    </row>
    <row r="30542" spans="1:6" x14ac:dyDescent="0.25">
      <c r="A30542" s="1" t="str">
        <f t="shared" si="1095"/>
        <v>40540</v>
      </c>
      <c r="B30542" s="1" t="str">
        <f>"82945"</f>
        <v>82945</v>
      </c>
      <c r="C30542" s="2">
        <v>5.5923198806971698E-3</v>
      </c>
      <c r="D30542" s="2">
        <v>4.3159257660768202E-4</v>
      </c>
      <c r="E30542" s="2">
        <v>0</v>
      </c>
      <c r="F30542" s="2">
        <v>4.8276412384296204E-3</v>
      </c>
    </row>
    <row r="30543" spans="1:6" x14ac:dyDescent="0.25">
      <c r="A30543" s="1" t="str">
        <f t="shared" si="1095"/>
        <v>40540</v>
      </c>
      <c r="B30543" s="1" t="str">
        <f>"82935"</f>
        <v>82935</v>
      </c>
      <c r="C30543" s="2">
        <v>0.26060210644048798</v>
      </c>
      <c r="D30543" s="2">
        <v>0.180837289598618</v>
      </c>
      <c r="E30543" s="2">
        <v>0.31807602792862599</v>
      </c>
      <c r="F30543" s="2">
        <v>0.25618416852856601</v>
      </c>
    </row>
    <row r="30544" spans="1:6" x14ac:dyDescent="0.25">
      <c r="A30544" s="1" t="str">
        <f t="shared" si="1095"/>
        <v>40540</v>
      </c>
      <c r="B30544" s="1" t="str">
        <f>"82929"</f>
        <v>82929</v>
      </c>
      <c r="C30544" s="2">
        <v>0</v>
      </c>
      <c r="D30544" s="2">
        <v>0</v>
      </c>
      <c r="E30544" s="2">
        <v>7.7579519006982102E-4</v>
      </c>
      <c r="F30544" s="2">
        <v>3.98978614746249E-5</v>
      </c>
    </row>
    <row r="30545" spans="1:6" x14ac:dyDescent="0.25">
      <c r="A30545" s="1" t="str">
        <f t="shared" si="1095"/>
        <v>40540</v>
      </c>
      <c r="B30545" s="1" t="str">
        <f>"82932"</f>
        <v>82932</v>
      </c>
      <c r="C30545" s="2">
        <v>6.0117438717494599E-3</v>
      </c>
      <c r="D30545" s="2">
        <v>1.7263703064307201E-3</v>
      </c>
      <c r="E30545" s="2">
        <v>7.7579519006982104E-3</v>
      </c>
      <c r="F30545" s="2">
        <v>5.7053941908713603E-3</v>
      </c>
    </row>
    <row r="30546" spans="1:6" x14ac:dyDescent="0.25">
      <c r="A30546" s="1" t="str">
        <f t="shared" si="1095"/>
        <v>40540</v>
      </c>
      <c r="B30546" s="1" t="str">
        <f>"82902"</f>
        <v>82902</v>
      </c>
      <c r="C30546" s="2">
        <v>8.4863454189579607E-2</v>
      </c>
      <c r="D30546" s="2">
        <v>0.17824773413897199</v>
      </c>
      <c r="E30546" s="2">
        <v>1.5515903801396401E-3</v>
      </c>
      <c r="F30546" s="2">
        <v>8.9211618257261399E-2</v>
      </c>
    </row>
    <row r="30547" spans="1:6" x14ac:dyDescent="0.25">
      <c r="A30547" s="1" t="str">
        <f t="shared" si="1095"/>
        <v>40540</v>
      </c>
      <c r="B30547" s="1" t="str">
        <f>"82942"</f>
        <v>82942</v>
      </c>
      <c r="C30547" s="2">
        <v>0</v>
      </c>
      <c r="D30547" s="2">
        <v>0</v>
      </c>
      <c r="E30547" s="2">
        <v>7.7579519006982102E-4</v>
      </c>
      <c r="F30547" s="2">
        <v>3.98978614746249E-5</v>
      </c>
    </row>
    <row r="30548" spans="1:6" x14ac:dyDescent="0.25">
      <c r="A30548" s="1" t="str">
        <f t="shared" si="1095"/>
        <v>40540</v>
      </c>
      <c r="B30548" s="1" t="str">
        <f>"82943"</f>
        <v>82943</v>
      </c>
      <c r="C30548" s="2">
        <v>8.71469848075309E-3</v>
      </c>
      <c r="D30548" s="2">
        <v>8.6318515321536404E-4</v>
      </c>
      <c r="E30548" s="2">
        <v>9.30954228083785E-3</v>
      </c>
      <c r="F30548" s="2">
        <v>8.0194701563996093E-3</v>
      </c>
    </row>
    <row r="30549" spans="1:6" x14ac:dyDescent="0.25">
      <c r="A30549" s="1" t="str">
        <f t="shared" si="1095"/>
        <v>40540</v>
      </c>
      <c r="B30549" s="1" t="str">
        <f>"82901"</f>
        <v>82901</v>
      </c>
      <c r="C30549" s="2">
        <v>0.62699226395749796</v>
      </c>
      <c r="D30549" s="2">
        <v>0.63746223564954596</v>
      </c>
      <c r="E30549" s="2">
        <v>0.65709852598913798</v>
      </c>
      <c r="F30549" s="2">
        <v>0.62950845834663205</v>
      </c>
    </row>
    <row r="30550" spans="1:6" x14ac:dyDescent="0.25">
      <c r="A30550" s="1" t="str">
        <f t="shared" si="1095"/>
        <v>40540</v>
      </c>
      <c r="B30550" s="1" t="str">
        <f>"82934"</f>
        <v>82934</v>
      </c>
      <c r="C30550" s="2">
        <v>0</v>
      </c>
      <c r="D30550" s="2">
        <v>4.3159257660768202E-4</v>
      </c>
      <c r="E30550" s="2">
        <v>0</v>
      </c>
      <c r="F30550" s="2">
        <v>3.98978614746249E-5</v>
      </c>
    </row>
    <row r="30551" spans="1:6" x14ac:dyDescent="0.25">
      <c r="A30551" s="1" t="str">
        <f t="shared" si="1095"/>
        <v>40540</v>
      </c>
      <c r="B30551" s="1" t="str">
        <f>"82336"</f>
        <v>82336</v>
      </c>
      <c r="C30551" s="2">
        <v>5.4059092180072698E-3</v>
      </c>
      <c r="D30551" s="2">
        <v>0</v>
      </c>
      <c r="E30551" s="2">
        <v>3.8789759503491E-3</v>
      </c>
      <c r="F30551" s="2">
        <v>4.8276412384296204E-3</v>
      </c>
    </row>
    <row r="30552" spans="1:6" x14ac:dyDescent="0.25">
      <c r="A30552" s="1" t="str">
        <f t="shared" ref="A30552:A30578" si="1096">"40580"</f>
        <v>40580</v>
      </c>
      <c r="B30552" s="1" t="str">
        <f>"27816"</f>
        <v>27816</v>
      </c>
      <c r="C30552" s="2">
        <v>8.1174218251435799E-3</v>
      </c>
      <c r="D30552" s="2">
        <v>3.0760216786289698E-3</v>
      </c>
      <c r="E30552" s="2">
        <v>0</v>
      </c>
      <c r="F30552" s="2">
        <v>7.6323462785051199E-3</v>
      </c>
    </row>
    <row r="30553" spans="1:6" x14ac:dyDescent="0.25">
      <c r="A30553" s="1" t="str">
        <f t="shared" si="1096"/>
        <v>40580</v>
      </c>
      <c r="B30553" s="1" t="str">
        <f>"27801"</f>
        <v>27801</v>
      </c>
      <c r="C30553" s="2">
        <v>0.146330567964262</v>
      </c>
      <c r="D30553" s="2">
        <v>0.114105756554855</v>
      </c>
      <c r="E30553" s="2">
        <v>0.18694690265486699</v>
      </c>
      <c r="F30553" s="2">
        <v>0.144201391712456</v>
      </c>
    </row>
    <row r="30554" spans="1:6" x14ac:dyDescent="0.25">
      <c r="A30554" s="1" t="str">
        <f t="shared" si="1096"/>
        <v>40580</v>
      </c>
      <c r="B30554" s="1" t="str">
        <f>"27882"</f>
        <v>27882</v>
      </c>
      <c r="C30554" s="2">
        <v>3.6477345245692398E-2</v>
      </c>
      <c r="D30554" s="2">
        <v>1.9774425076900502E-2</v>
      </c>
      <c r="E30554" s="2">
        <v>5.5309734513274301E-3</v>
      </c>
      <c r="F30554" s="2">
        <v>3.48276623180492E-2</v>
      </c>
    </row>
    <row r="30555" spans="1:6" x14ac:dyDescent="0.25">
      <c r="A30555" s="1" t="str">
        <f t="shared" si="1096"/>
        <v>40580</v>
      </c>
      <c r="B30555" s="1" t="str">
        <f>"27864"</f>
        <v>27864</v>
      </c>
      <c r="C30555" s="2">
        <v>3.1563497128270501E-2</v>
      </c>
      <c r="D30555" s="2">
        <v>5.5661344660905198E-3</v>
      </c>
      <c r="E30555" s="2">
        <v>6.6371681415929203E-3</v>
      </c>
      <c r="F30555" s="2">
        <v>2.92399019528118E-2</v>
      </c>
    </row>
    <row r="30556" spans="1:6" x14ac:dyDescent="0.25">
      <c r="A30556" s="1" t="str">
        <f t="shared" si="1096"/>
        <v>40580</v>
      </c>
      <c r="B30556" s="1" t="str">
        <f>"27822"</f>
        <v>27822</v>
      </c>
      <c r="C30556" s="2">
        <v>1.41799617102744E-2</v>
      </c>
      <c r="D30556" s="2">
        <v>4.8337483521312397E-3</v>
      </c>
      <c r="E30556" s="2">
        <v>2.21238938053097E-3</v>
      </c>
      <c r="F30556" s="2">
        <v>1.33130423670728E-2</v>
      </c>
    </row>
    <row r="30557" spans="1:6" x14ac:dyDescent="0.25">
      <c r="A30557" s="1" t="str">
        <f t="shared" si="1096"/>
        <v>40580</v>
      </c>
      <c r="B30557" s="1" t="str">
        <f>"27815"</f>
        <v>27815</v>
      </c>
      <c r="C30557" s="2">
        <v>0</v>
      </c>
      <c r="D30557" s="2">
        <v>1.4647722279185501E-4</v>
      </c>
      <c r="E30557" s="2">
        <v>1.10619469026548E-3</v>
      </c>
      <c r="F30557" s="2">
        <v>2.3233930832587901E-5</v>
      </c>
    </row>
    <row r="30558" spans="1:6" x14ac:dyDescent="0.25">
      <c r="A30558" s="1" t="str">
        <f t="shared" si="1096"/>
        <v>40580</v>
      </c>
      <c r="B30558" s="1" t="str">
        <f>"27829"</f>
        <v>27829</v>
      </c>
      <c r="C30558" s="2">
        <v>2.41225271218889E-3</v>
      </c>
      <c r="D30558" s="2">
        <v>2.9295444558371099E-4</v>
      </c>
      <c r="E30558" s="2">
        <v>0</v>
      </c>
      <c r="F30558" s="2">
        <v>2.2188403945121401E-3</v>
      </c>
    </row>
    <row r="30559" spans="1:6" x14ac:dyDescent="0.25">
      <c r="A30559" s="1" t="str">
        <f t="shared" si="1096"/>
        <v>40580</v>
      </c>
      <c r="B30559" s="1" t="str">
        <f>"27856"</f>
        <v>27856</v>
      </c>
      <c r="C30559" s="2">
        <v>0.104645820038289</v>
      </c>
      <c r="D30559" s="2">
        <v>8.1587813095063702E-2</v>
      </c>
      <c r="E30559" s="2">
        <v>4.2035398230088401E-2</v>
      </c>
      <c r="F30559" s="2">
        <v>0.10215959387088901</v>
      </c>
    </row>
    <row r="30560" spans="1:6" x14ac:dyDescent="0.25">
      <c r="A30560" s="1" t="str">
        <f t="shared" si="1096"/>
        <v>40580</v>
      </c>
      <c r="B30560" s="1" t="str">
        <f>"27852"</f>
        <v>27852</v>
      </c>
      <c r="C30560" s="2">
        <v>1.4090619017230299E-2</v>
      </c>
      <c r="D30560" s="2">
        <v>3.3689761242126802E-3</v>
      </c>
      <c r="E30560" s="2">
        <v>0</v>
      </c>
      <c r="F30560" s="2">
        <v>1.30923200241632E-2</v>
      </c>
    </row>
    <row r="30561" spans="1:6" x14ac:dyDescent="0.25">
      <c r="A30561" s="1" t="str">
        <f t="shared" si="1096"/>
        <v>40580</v>
      </c>
      <c r="B30561" s="1" t="str">
        <f>"27819"</f>
        <v>27819</v>
      </c>
      <c r="C30561" s="2">
        <v>0</v>
      </c>
      <c r="D30561" s="2">
        <v>1.4647722279185501E-4</v>
      </c>
      <c r="E30561" s="2">
        <v>0</v>
      </c>
      <c r="F30561" s="2">
        <v>1.16169654162939E-5</v>
      </c>
    </row>
    <row r="30562" spans="1:6" x14ac:dyDescent="0.25">
      <c r="A30562" s="1" t="str">
        <f t="shared" si="1096"/>
        <v>40580</v>
      </c>
      <c r="B30562" s="1" t="str">
        <f>"27809"</f>
        <v>27809</v>
      </c>
      <c r="C30562" s="2">
        <v>4.0536056158264097E-2</v>
      </c>
      <c r="D30562" s="2">
        <v>2.4754650651823602E-2</v>
      </c>
      <c r="E30562" s="2">
        <v>1.8805309734513199E-2</v>
      </c>
      <c r="F30562" s="2">
        <v>3.9056237729580202E-2</v>
      </c>
    </row>
    <row r="30563" spans="1:6" x14ac:dyDescent="0.25">
      <c r="A30563" s="1" t="str">
        <f t="shared" si="1096"/>
        <v>40580</v>
      </c>
      <c r="B30563" s="1" t="str">
        <f>"27812"</f>
        <v>27812</v>
      </c>
      <c r="C30563" s="2">
        <v>6.38162093171665E-4</v>
      </c>
      <c r="D30563" s="2">
        <v>4.3943166837556702E-4</v>
      </c>
      <c r="E30563" s="2">
        <v>0</v>
      </c>
      <c r="F30563" s="2">
        <v>6.1569916706357905E-4</v>
      </c>
    </row>
    <row r="30564" spans="1:6" x14ac:dyDescent="0.25">
      <c r="A30564" s="1" t="str">
        <f t="shared" si="1096"/>
        <v>40580</v>
      </c>
      <c r="B30564" s="1" t="str">
        <f>"27881"</f>
        <v>27881</v>
      </c>
      <c r="C30564" s="2">
        <v>0</v>
      </c>
      <c r="D30564" s="2">
        <v>1.4647722279185501E-4</v>
      </c>
      <c r="E30564" s="2">
        <v>0</v>
      </c>
      <c r="F30564" s="2">
        <v>1.16169654162939E-5</v>
      </c>
    </row>
    <row r="30565" spans="1:6" x14ac:dyDescent="0.25">
      <c r="A30565" s="1" t="str">
        <f t="shared" si="1096"/>
        <v>40580</v>
      </c>
      <c r="B30565" s="1" t="str">
        <f>"27802"</f>
        <v>27802</v>
      </c>
      <c r="C30565" s="2">
        <v>2.3777919591576199E-2</v>
      </c>
      <c r="D30565" s="2">
        <v>7.2066793613593E-2</v>
      </c>
      <c r="E30565" s="2">
        <v>1.10619469026548E-3</v>
      </c>
      <c r="F30565" s="2">
        <v>2.7369570520788498E-2</v>
      </c>
    </row>
    <row r="30566" spans="1:6" x14ac:dyDescent="0.25">
      <c r="A30566" s="1" t="str">
        <f t="shared" si="1096"/>
        <v>40580</v>
      </c>
      <c r="B30566" s="1" t="str">
        <f>"27803"</f>
        <v>27803</v>
      </c>
      <c r="C30566" s="2">
        <v>0.138978940650925</v>
      </c>
      <c r="D30566" s="2">
        <v>0.10385235095942499</v>
      </c>
      <c r="E30566" s="2">
        <v>9.5132743362831798E-2</v>
      </c>
      <c r="F30566" s="2">
        <v>0.135732623923978</v>
      </c>
    </row>
    <row r="30567" spans="1:6" x14ac:dyDescent="0.25">
      <c r="A30567" s="1" t="str">
        <f t="shared" si="1096"/>
        <v>40580</v>
      </c>
      <c r="B30567" s="1" t="str">
        <f>"27843"</f>
        <v>27843</v>
      </c>
      <c r="C30567" s="2">
        <v>1.9655392469687298E-3</v>
      </c>
      <c r="D30567" s="2">
        <v>2.9295444558371099E-4</v>
      </c>
      <c r="E30567" s="2">
        <v>0</v>
      </c>
      <c r="F30567" s="2">
        <v>1.8122466049418501E-3</v>
      </c>
    </row>
    <row r="30568" spans="1:6" x14ac:dyDescent="0.25">
      <c r="A30568" s="1" t="str">
        <f t="shared" si="1096"/>
        <v>40580</v>
      </c>
      <c r="B30568" s="1" t="str">
        <f>"27807"</f>
        <v>27807</v>
      </c>
      <c r="C30568" s="2">
        <v>3.2776005105296699E-2</v>
      </c>
      <c r="D30568" s="2">
        <v>8.2027244763439207E-3</v>
      </c>
      <c r="E30568" s="2">
        <v>1.10619469026548E-3</v>
      </c>
      <c r="F30568" s="2">
        <v>3.04945342177716E-2</v>
      </c>
    </row>
    <row r="30569" spans="1:6" x14ac:dyDescent="0.25">
      <c r="A30569" s="1" t="str">
        <f t="shared" si="1096"/>
        <v>40580</v>
      </c>
      <c r="B30569" s="1" t="str">
        <f>"27804"</f>
        <v>27804</v>
      </c>
      <c r="C30569" s="2">
        <v>0.20017868538608799</v>
      </c>
      <c r="D30569" s="2">
        <v>0.40603486157902402</v>
      </c>
      <c r="E30569" s="2">
        <v>0.348451327433628</v>
      </c>
      <c r="F30569" s="2">
        <v>0.218062057829253</v>
      </c>
    </row>
    <row r="30570" spans="1:6" x14ac:dyDescent="0.25">
      <c r="A30570" s="1" t="str">
        <f t="shared" si="1096"/>
        <v>40580</v>
      </c>
      <c r="B30570" s="1" t="str">
        <f>"27886"</f>
        <v>27886</v>
      </c>
      <c r="C30570" s="2">
        <v>0.137383535417996</v>
      </c>
      <c r="D30570" s="2">
        <v>0.13065768273033501</v>
      </c>
      <c r="E30570" s="2">
        <v>0.27101769911504398</v>
      </c>
      <c r="F30570" s="2">
        <v>0.138253505419314</v>
      </c>
    </row>
    <row r="30571" spans="1:6" x14ac:dyDescent="0.25">
      <c r="A30571" s="1" t="str">
        <f t="shared" si="1096"/>
        <v>40580</v>
      </c>
      <c r="B30571" s="1" t="str">
        <f>"27878"</f>
        <v>27878</v>
      </c>
      <c r="C30571" s="2">
        <v>0</v>
      </c>
      <c r="D30571" s="2">
        <v>1.4647722279185501E-4</v>
      </c>
      <c r="E30571" s="2">
        <v>1.10619469026548E-3</v>
      </c>
      <c r="F30571" s="2">
        <v>2.3233930832587901E-5</v>
      </c>
    </row>
    <row r="30572" spans="1:6" x14ac:dyDescent="0.25">
      <c r="A30572" s="1" t="str">
        <f t="shared" si="1096"/>
        <v>40580</v>
      </c>
      <c r="B30572" s="1" t="str">
        <f>"27896"</f>
        <v>27896</v>
      </c>
      <c r="C30572" s="2">
        <v>3.20357370772176E-3</v>
      </c>
      <c r="D30572" s="2">
        <v>1.6112494507104099E-3</v>
      </c>
      <c r="E30572" s="2">
        <v>0</v>
      </c>
      <c r="F30572" s="2">
        <v>3.0436449390690099E-3</v>
      </c>
    </row>
    <row r="30573" spans="1:6" x14ac:dyDescent="0.25">
      <c r="A30573" s="1" t="str">
        <f t="shared" si="1096"/>
        <v>40580</v>
      </c>
      <c r="B30573" s="1" t="str">
        <f>"27880"</f>
        <v>27880</v>
      </c>
      <c r="C30573" s="2">
        <v>8.1684747925973096E-4</v>
      </c>
      <c r="D30573" s="2">
        <v>1.4647722279185501E-4</v>
      </c>
      <c r="E30573" s="2">
        <v>0</v>
      </c>
      <c r="F30573" s="2">
        <v>7.5510275205910695E-4</v>
      </c>
    </row>
    <row r="30574" spans="1:6" x14ac:dyDescent="0.25">
      <c r="A30574" s="1" t="str">
        <f t="shared" si="1096"/>
        <v>40580</v>
      </c>
      <c r="B30574" s="1" t="str">
        <f>"27891"</f>
        <v>27891</v>
      </c>
      <c r="C30574" s="2">
        <v>2.5909380982769601E-2</v>
      </c>
      <c r="D30574" s="2">
        <v>5.4196572432986603E-3</v>
      </c>
      <c r="E30574" s="2">
        <v>1.54867256637168E-2</v>
      </c>
      <c r="F30574" s="2">
        <v>2.4174905031307699E-2</v>
      </c>
    </row>
    <row r="30575" spans="1:6" x14ac:dyDescent="0.25">
      <c r="A30575" s="1" t="str">
        <f t="shared" si="1096"/>
        <v>40580</v>
      </c>
      <c r="B30575" s="1" t="str">
        <f>"27597"</f>
        <v>27597</v>
      </c>
      <c r="C30575" s="2">
        <v>7.59412890874282E-3</v>
      </c>
      <c r="D30575" s="2">
        <v>1.6112494507104099E-3</v>
      </c>
      <c r="E30575" s="2">
        <v>0</v>
      </c>
      <c r="F30575" s="2">
        <v>7.0398810422741299E-3</v>
      </c>
    </row>
    <row r="30576" spans="1:6" x14ac:dyDescent="0.25">
      <c r="A30576" s="1" t="str">
        <f t="shared" si="1096"/>
        <v>40580</v>
      </c>
      <c r="B30576" s="1" t="str">
        <f>"27868"</f>
        <v>27868</v>
      </c>
      <c r="C30576" s="2">
        <v>0</v>
      </c>
      <c r="D30576" s="2">
        <v>1.4647722279185501E-4</v>
      </c>
      <c r="E30576" s="2">
        <v>1.10619469026548E-3</v>
      </c>
      <c r="F30576" s="2">
        <v>2.3233930832587901E-5</v>
      </c>
    </row>
    <row r="30577" spans="1:6" x14ac:dyDescent="0.25">
      <c r="A30577" s="1" t="str">
        <f t="shared" si="1096"/>
        <v>40580</v>
      </c>
      <c r="B30577" s="1" t="str">
        <f>"27557"</f>
        <v>27557</v>
      </c>
      <c r="C30577" s="2">
        <v>2.8130185067006999E-2</v>
      </c>
      <c r="D30577" s="2">
        <v>1.15717006005566E-2</v>
      </c>
      <c r="E30577" s="2">
        <v>2.21238938053097E-3</v>
      </c>
      <c r="F30577" s="2">
        <v>2.65447659762316E-2</v>
      </c>
    </row>
    <row r="30578" spans="1:6" x14ac:dyDescent="0.25">
      <c r="A30578" s="1" t="str">
        <f t="shared" si="1096"/>
        <v>40580</v>
      </c>
      <c r="B30578" s="1" t="str">
        <f>"27834"</f>
        <v>27834</v>
      </c>
      <c r="C30578" s="2">
        <v>2.9355456285896599E-4</v>
      </c>
      <c r="D30578" s="2">
        <v>0</v>
      </c>
      <c r="E30578" s="2">
        <v>0</v>
      </c>
      <c r="F30578" s="2">
        <v>2.6719020457476001E-4</v>
      </c>
    </row>
    <row r="30579" spans="1:6" x14ac:dyDescent="0.25">
      <c r="A30579" s="1" t="str">
        <f t="shared" ref="A30579:A30592" si="1097">"40620"</f>
        <v>40620</v>
      </c>
      <c r="B30579" s="1" t="str">
        <f>"65402"</f>
        <v>65402</v>
      </c>
      <c r="C30579" s="2">
        <v>6.0693031697125699E-2</v>
      </c>
      <c r="D30579" s="2">
        <v>0.19597754911131801</v>
      </c>
      <c r="E30579" s="2">
        <v>1.7746228926353101E-3</v>
      </c>
      <c r="F30579" s="2">
        <v>6.8959121596557593E-2</v>
      </c>
    </row>
    <row r="30580" spans="1:6" x14ac:dyDescent="0.25">
      <c r="A30580" s="1" t="str">
        <f t="shared" si="1097"/>
        <v>40620</v>
      </c>
      <c r="B30580" s="1" t="str">
        <f>"65436"</f>
        <v>65436</v>
      </c>
      <c r="C30580" s="2">
        <v>3.1232853585447099E-3</v>
      </c>
      <c r="D30580" s="2">
        <v>9.3545369504209499E-4</v>
      </c>
      <c r="E30580" s="2">
        <v>8.8731144631765699E-4</v>
      </c>
      <c r="F30580" s="2">
        <v>2.8562949773722002E-3</v>
      </c>
    </row>
    <row r="30581" spans="1:6" x14ac:dyDescent="0.25">
      <c r="A30581" s="1" t="str">
        <f t="shared" si="1097"/>
        <v>40620</v>
      </c>
      <c r="B30581" s="1" t="str">
        <f>"65401"</f>
        <v>65401</v>
      </c>
      <c r="C30581" s="2">
        <v>0.67108428649812102</v>
      </c>
      <c r="D30581" s="2">
        <v>0.62956033676333001</v>
      </c>
      <c r="E30581" s="2">
        <v>0.85803016858917402</v>
      </c>
      <c r="F30581" s="2">
        <v>0.67560649899844205</v>
      </c>
    </row>
    <row r="30582" spans="1:6" x14ac:dyDescent="0.25">
      <c r="A30582" s="1" t="str">
        <f t="shared" si="1097"/>
        <v>40620</v>
      </c>
      <c r="B30582" s="1" t="str">
        <f>"65462"</f>
        <v>65462</v>
      </c>
      <c r="C30582" s="2">
        <v>3.0810787996454599E-2</v>
      </c>
      <c r="D30582" s="2">
        <v>5.1449953227315198E-3</v>
      </c>
      <c r="E30582" s="2">
        <v>2.6619343389529702E-3</v>
      </c>
      <c r="F30582" s="2">
        <v>2.75984865346093E-2</v>
      </c>
    </row>
    <row r="30583" spans="1:6" x14ac:dyDescent="0.25">
      <c r="A30583" s="1" t="str">
        <f t="shared" si="1097"/>
        <v>40620</v>
      </c>
      <c r="B30583" s="1" t="str">
        <f>"65550"</f>
        <v>65550</v>
      </c>
      <c r="C30583" s="2">
        <v>5.0732283796901999E-2</v>
      </c>
      <c r="D30583" s="2">
        <v>3.74181478016838E-3</v>
      </c>
      <c r="E30583" s="2">
        <v>4.4365572315882796E-3</v>
      </c>
      <c r="F30583" s="2">
        <v>4.5070109058535403E-2</v>
      </c>
    </row>
    <row r="30584" spans="1:6" x14ac:dyDescent="0.25">
      <c r="A30584" s="1" t="str">
        <f t="shared" si="1097"/>
        <v>40620</v>
      </c>
      <c r="B30584" s="1" t="str">
        <f>"65409"</f>
        <v>65409</v>
      </c>
      <c r="C30584" s="2">
        <v>0</v>
      </c>
      <c r="D30584" s="2">
        <v>2.5724976613657601E-2</v>
      </c>
      <c r="E30584" s="2">
        <v>0</v>
      </c>
      <c r="F30584" s="2">
        <v>2.0402106981230001E-3</v>
      </c>
    </row>
    <row r="30585" spans="1:6" x14ac:dyDescent="0.25">
      <c r="A30585" s="1" t="str">
        <f t="shared" si="1097"/>
        <v>40620</v>
      </c>
      <c r="B30585" s="1" t="str">
        <f>"65459"</f>
        <v>65459</v>
      </c>
      <c r="C30585" s="2">
        <v>3.2076984763432198E-3</v>
      </c>
      <c r="D30585" s="2">
        <v>0</v>
      </c>
      <c r="E30585" s="2">
        <v>0</v>
      </c>
      <c r="F30585" s="2">
        <v>2.8192002374063298E-3</v>
      </c>
    </row>
    <row r="30586" spans="1:6" x14ac:dyDescent="0.25">
      <c r="A30586" s="1" t="str">
        <f t="shared" si="1097"/>
        <v>40620</v>
      </c>
      <c r="B30586" s="1" t="str">
        <f>"65542"</f>
        <v>65542</v>
      </c>
      <c r="C30586" s="2">
        <v>3.7985903009327598E-4</v>
      </c>
      <c r="D30586" s="2">
        <v>0</v>
      </c>
      <c r="E30586" s="2">
        <v>0</v>
      </c>
      <c r="F30586" s="2">
        <v>3.3385265969285502E-4</v>
      </c>
    </row>
    <row r="30587" spans="1:6" x14ac:dyDescent="0.25">
      <c r="A30587" s="1" t="str">
        <f t="shared" si="1097"/>
        <v>40620</v>
      </c>
      <c r="B30587" s="1" t="str">
        <f>"65461"</f>
        <v>65461</v>
      </c>
      <c r="C30587" s="2">
        <v>2.8278394462499402E-3</v>
      </c>
      <c r="D30587" s="2">
        <v>1.40318054256314E-3</v>
      </c>
      <c r="E30587" s="2">
        <v>8.8731144631765699E-4</v>
      </c>
      <c r="F30587" s="2">
        <v>2.6337265375769702E-3</v>
      </c>
    </row>
    <row r="30588" spans="1:6" x14ac:dyDescent="0.25">
      <c r="A30588" s="1" t="str">
        <f t="shared" si="1097"/>
        <v>40620</v>
      </c>
      <c r="B30588" s="1" t="str">
        <f>"65560"</f>
        <v>65560</v>
      </c>
      <c r="C30588" s="2">
        <v>2.1103279449626402E-3</v>
      </c>
      <c r="D30588" s="2">
        <v>0</v>
      </c>
      <c r="E30588" s="2">
        <v>0</v>
      </c>
      <c r="F30588" s="2">
        <v>1.8547369982936401E-3</v>
      </c>
    </row>
    <row r="30589" spans="1:6" x14ac:dyDescent="0.25">
      <c r="A30589" s="1" t="str">
        <f t="shared" si="1097"/>
        <v>40620</v>
      </c>
      <c r="B30589" s="1" t="str">
        <f>"65453"</f>
        <v>65453</v>
      </c>
      <c r="C30589" s="2">
        <v>8.4413117798505806E-5</v>
      </c>
      <c r="D30589" s="2">
        <v>0</v>
      </c>
      <c r="E30589" s="2">
        <v>0</v>
      </c>
      <c r="F30589" s="2">
        <v>7.4189479931745594E-5</v>
      </c>
    </row>
    <row r="30590" spans="1:6" x14ac:dyDescent="0.25">
      <c r="A30590" s="1" t="str">
        <f t="shared" si="1097"/>
        <v>40620</v>
      </c>
      <c r="B30590" s="1" t="str">
        <f>"65559"</f>
        <v>65559</v>
      </c>
      <c r="C30590" s="2">
        <v>0.16895285527370901</v>
      </c>
      <c r="D30590" s="2">
        <v>0.136108512628624</v>
      </c>
      <c r="E30590" s="2">
        <v>0.127772848269742</v>
      </c>
      <c r="F30590" s="2">
        <v>0.164626455968543</v>
      </c>
    </row>
    <row r="30591" spans="1:6" x14ac:dyDescent="0.25">
      <c r="A30591" s="1" t="str">
        <f t="shared" si="1097"/>
        <v>40620</v>
      </c>
      <c r="B30591" s="1" t="str">
        <f>"65529"</f>
        <v>65529</v>
      </c>
      <c r="C30591" s="2">
        <v>5.1914067446081104E-3</v>
      </c>
      <c r="D30591" s="2">
        <v>9.3545369504209499E-4</v>
      </c>
      <c r="E30591" s="2">
        <v>3.5492457852706201E-3</v>
      </c>
      <c r="F30591" s="2">
        <v>4.7852214555975901E-3</v>
      </c>
    </row>
    <row r="30592" spans="1:6" x14ac:dyDescent="0.25">
      <c r="A30592" s="1" t="str">
        <f t="shared" si="1097"/>
        <v>40620</v>
      </c>
      <c r="B30592" s="1" t="str">
        <f>"65449"</f>
        <v>65449</v>
      </c>
      <c r="C30592" s="2">
        <v>8.0192461908580495E-4</v>
      </c>
      <c r="D30592" s="2">
        <v>4.6772684752104701E-4</v>
      </c>
      <c r="E30592" s="2">
        <v>0</v>
      </c>
      <c r="F30592" s="2">
        <v>7.4189479931745597E-4</v>
      </c>
    </row>
    <row r="30593" spans="1:6" x14ac:dyDescent="0.25">
      <c r="A30593" s="1" t="str">
        <f t="shared" ref="A30593:A30610" si="1098">"40660"</f>
        <v>40660</v>
      </c>
      <c r="B30593" s="1" t="str">
        <f>"30149"</f>
        <v>30149</v>
      </c>
      <c r="C30593" s="2">
        <v>0</v>
      </c>
      <c r="D30593" s="2">
        <v>0</v>
      </c>
      <c r="E30593" s="2">
        <v>9.4161958568738204E-4</v>
      </c>
      <c r="F30593" s="2">
        <v>1.9448820429040901E-5</v>
      </c>
    </row>
    <row r="30594" spans="1:6" x14ac:dyDescent="0.25">
      <c r="A30594" s="1" t="str">
        <f t="shared" si="1098"/>
        <v>40660</v>
      </c>
      <c r="B30594" s="1" t="str">
        <f>"30173"</f>
        <v>30173</v>
      </c>
      <c r="C30594" s="2">
        <v>5.6182241144713103E-2</v>
      </c>
      <c r="D30594" s="2">
        <v>8.1436625600333993E-3</v>
      </c>
      <c r="E30594" s="2">
        <v>6.21468926553672E-2</v>
      </c>
      <c r="F30594" s="2">
        <v>5.1831106443394198E-2</v>
      </c>
    </row>
    <row r="30595" spans="1:6" x14ac:dyDescent="0.25">
      <c r="A30595" s="1" t="str">
        <f t="shared" si="1098"/>
        <v>40660</v>
      </c>
      <c r="B30595" s="1" t="str">
        <f>"30104"</f>
        <v>30104</v>
      </c>
      <c r="C30595" s="2">
        <v>1.1148663477154E-2</v>
      </c>
      <c r="D30595" s="2">
        <v>6.2643558154103099E-4</v>
      </c>
      <c r="E30595" s="2">
        <v>0</v>
      </c>
      <c r="F30595" s="2">
        <v>9.9383472392399405E-3</v>
      </c>
    </row>
    <row r="30596" spans="1:6" x14ac:dyDescent="0.25">
      <c r="A30596" s="1" t="str">
        <f t="shared" si="1098"/>
        <v>40660</v>
      </c>
      <c r="B30596" s="1" t="str">
        <f>"30172"</f>
        <v>30172</v>
      </c>
      <c r="C30596" s="2">
        <v>0</v>
      </c>
      <c r="D30596" s="2">
        <v>0</v>
      </c>
      <c r="E30596" s="2">
        <v>9.4161958568738204E-4</v>
      </c>
      <c r="F30596" s="2">
        <v>1.9448820429040901E-5</v>
      </c>
    </row>
    <row r="30597" spans="1:6" x14ac:dyDescent="0.25">
      <c r="A30597" s="1" t="str">
        <f t="shared" si="1098"/>
        <v>40660</v>
      </c>
      <c r="B30597" s="1" t="str">
        <f>"30733"</f>
        <v>30733</v>
      </c>
      <c r="C30597" s="2">
        <v>7.6811657815037502E-4</v>
      </c>
      <c r="D30597" s="2">
        <v>2.0881186051367699E-4</v>
      </c>
      <c r="E30597" s="2">
        <v>0</v>
      </c>
      <c r="F30597" s="2">
        <v>7.0015753544547504E-4</v>
      </c>
    </row>
    <row r="30598" spans="1:6" x14ac:dyDescent="0.25">
      <c r="A30598" s="1" t="str">
        <f t="shared" si="1098"/>
        <v>40660</v>
      </c>
      <c r="B30598" s="1" t="str">
        <f>"30747"</f>
        <v>30747</v>
      </c>
      <c r="C30598" s="2">
        <v>2.19461879471535E-5</v>
      </c>
      <c r="D30598" s="2">
        <v>0</v>
      </c>
      <c r="E30598" s="2">
        <v>0</v>
      </c>
      <c r="F30598" s="2">
        <v>1.9448820429040901E-5</v>
      </c>
    </row>
    <row r="30599" spans="1:6" x14ac:dyDescent="0.25">
      <c r="A30599" s="1" t="str">
        <f t="shared" si="1098"/>
        <v>40660</v>
      </c>
      <c r="B30599" s="1" t="str">
        <f>"30105"</f>
        <v>30105</v>
      </c>
      <c r="C30599" s="2">
        <v>2.1441425624369001E-2</v>
      </c>
      <c r="D30599" s="2">
        <v>8.3524744205470802E-3</v>
      </c>
      <c r="E30599" s="2">
        <v>1.88323917137476E-3</v>
      </c>
      <c r="F30599" s="2">
        <v>1.9818348017192702E-2</v>
      </c>
    </row>
    <row r="30600" spans="1:6" x14ac:dyDescent="0.25">
      <c r="A30600" s="1" t="str">
        <f t="shared" si="1098"/>
        <v>40660</v>
      </c>
      <c r="B30600" s="1" t="str">
        <f>"30701"</f>
        <v>30701</v>
      </c>
      <c r="C30600" s="2">
        <v>3.7089057630689498E-3</v>
      </c>
      <c r="D30600" s="2">
        <v>1.25287116308206E-3</v>
      </c>
      <c r="E30600" s="2">
        <v>0</v>
      </c>
      <c r="F30600" s="2">
        <v>3.40354357508217E-3</v>
      </c>
    </row>
    <row r="30601" spans="1:6" x14ac:dyDescent="0.25">
      <c r="A30601" s="1" t="str">
        <f t="shared" si="1098"/>
        <v>40660</v>
      </c>
      <c r="B30601" s="1" t="str">
        <f>"30145"</f>
        <v>30145</v>
      </c>
      <c r="C30601" s="2">
        <v>1.7710573673352902E-2</v>
      </c>
      <c r="D30601" s="2">
        <v>6.2643558154103099E-4</v>
      </c>
      <c r="E30601" s="2">
        <v>9.4161958568738204E-4</v>
      </c>
      <c r="F30601" s="2">
        <v>1.5772993367952199E-2</v>
      </c>
    </row>
    <row r="30602" spans="1:6" x14ac:dyDescent="0.25">
      <c r="A30602" s="1" t="str">
        <f t="shared" si="1098"/>
        <v>40660</v>
      </c>
      <c r="B30602" s="1" t="str">
        <f>"30161"</f>
        <v>30161</v>
      </c>
      <c r="C30602" s="2">
        <v>0.37369968836413098</v>
      </c>
      <c r="D30602" s="2">
        <v>0.44184589684693998</v>
      </c>
      <c r="E30602" s="2">
        <v>0.49623352165724999</v>
      </c>
      <c r="F30602" s="2">
        <v>0.38257774665966499</v>
      </c>
    </row>
    <row r="30603" spans="1:6" x14ac:dyDescent="0.25">
      <c r="A30603" s="1" t="str">
        <f t="shared" si="1098"/>
        <v>40660</v>
      </c>
      <c r="B30603" s="1" t="str">
        <f>"30147"</f>
        <v>30147</v>
      </c>
      <c r="C30603" s="2">
        <v>4.2597550805425002E-2</v>
      </c>
      <c r="D30603" s="2">
        <v>1.5243265817498399E-2</v>
      </c>
      <c r="E30603" s="2">
        <v>1.3182674199623301E-2</v>
      </c>
      <c r="F30603" s="2">
        <v>3.9442207830095097E-2</v>
      </c>
    </row>
    <row r="30604" spans="1:6" x14ac:dyDescent="0.25">
      <c r="A30604" s="1" t="str">
        <f t="shared" si="1098"/>
        <v>40660</v>
      </c>
      <c r="B30604" s="1" t="str">
        <f>"30124"</f>
        <v>30124</v>
      </c>
      <c r="C30604" s="2">
        <v>3.0307685555019E-2</v>
      </c>
      <c r="D30604" s="2">
        <v>1.06494048861975E-2</v>
      </c>
      <c r="E30604" s="2">
        <v>1.5065913370998101E-2</v>
      </c>
      <c r="F30604" s="2">
        <v>2.81618919812513E-2</v>
      </c>
    </row>
    <row r="30605" spans="1:6" x14ac:dyDescent="0.25">
      <c r="A30605" s="1" t="str">
        <f t="shared" si="1098"/>
        <v>40660</v>
      </c>
      <c r="B30605" s="1" t="str">
        <f>"30103"</f>
        <v>30103</v>
      </c>
      <c r="C30605" s="2">
        <v>8.0323047886582104E-3</v>
      </c>
      <c r="D30605" s="2">
        <v>2.08811860513677E-3</v>
      </c>
      <c r="E30605" s="2">
        <v>1.88323917137476E-3</v>
      </c>
      <c r="F30605" s="2">
        <v>7.3516541221774799E-3</v>
      </c>
    </row>
    <row r="30606" spans="1:6" x14ac:dyDescent="0.25">
      <c r="A30606" s="1" t="str">
        <f t="shared" si="1098"/>
        <v>40660</v>
      </c>
      <c r="B30606" s="1" t="str">
        <f>"30162"</f>
        <v>30162</v>
      </c>
      <c r="C30606" s="2">
        <v>2.0036869595751201E-2</v>
      </c>
      <c r="D30606" s="2">
        <v>0.112967216537899</v>
      </c>
      <c r="E30606" s="2">
        <v>9.4161958568738204E-4</v>
      </c>
      <c r="F30606" s="2">
        <v>2.8298033724254601E-2</v>
      </c>
    </row>
    <row r="30607" spans="1:6" x14ac:dyDescent="0.25">
      <c r="A30607" s="1" t="str">
        <f t="shared" si="1098"/>
        <v>40660</v>
      </c>
      <c r="B30607" s="1" t="str">
        <f>"30165"</f>
        <v>30165</v>
      </c>
      <c r="C30607" s="2">
        <v>0.391103015406223</v>
      </c>
      <c r="D30607" s="2">
        <v>0.366673627062017</v>
      </c>
      <c r="E30607" s="2">
        <v>0.40112994350282399</v>
      </c>
      <c r="F30607" s="2">
        <v>0.389034755042106</v>
      </c>
    </row>
    <row r="30608" spans="1:6" x14ac:dyDescent="0.25">
      <c r="A30608" s="1" t="str">
        <f t="shared" si="1098"/>
        <v>40660</v>
      </c>
      <c r="B30608" s="1" t="str">
        <f>"30125"</f>
        <v>30125</v>
      </c>
      <c r="C30608" s="2">
        <v>3.7966905148575599E-3</v>
      </c>
      <c r="D30608" s="2">
        <v>0</v>
      </c>
      <c r="E30608" s="2">
        <v>2.8248587570621399E-3</v>
      </c>
      <c r="F30608" s="2">
        <v>3.4229923955112099E-3</v>
      </c>
    </row>
    <row r="30609" spans="1:6" x14ac:dyDescent="0.25">
      <c r="A30609" s="1" t="str">
        <f t="shared" si="1098"/>
        <v>40660</v>
      </c>
      <c r="B30609" s="1" t="str">
        <f>"30129"</f>
        <v>30129</v>
      </c>
      <c r="C30609" s="2">
        <v>0</v>
      </c>
      <c r="D30609" s="2">
        <v>0</v>
      </c>
      <c r="E30609" s="2">
        <v>9.4161958568738204E-4</v>
      </c>
      <c r="F30609" s="2">
        <v>1.9448820429040901E-5</v>
      </c>
    </row>
    <row r="30610" spans="1:6" x14ac:dyDescent="0.25">
      <c r="A30610" s="1" t="str">
        <f t="shared" si="1098"/>
        <v>40660</v>
      </c>
      <c r="B30610" s="1" t="str">
        <f>"30164"</f>
        <v>30164</v>
      </c>
      <c r="C30610" s="2">
        <v>1.9444322521178E-2</v>
      </c>
      <c r="D30610" s="2">
        <v>3.1321779077051498E-2</v>
      </c>
      <c r="E30610" s="2">
        <v>9.4161958568738204E-4</v>
      </c>
      <c r="F30610" s="2">
        <v>2.01684267849154E-2</v>
      </c>
    </row>
    <row r="30611" spans="1:6" x14ac:dyDescent="0.25">
      <c r="A30611" s="1" t="str">
        <f t="shared" ref="A30611:A30640" si="1099">"40700"</f>
        <v>40700</v>
      </c>
      <c r="B30611" s="1" t="str">
        <f>"97416"</f>
        <v>97416</v>
      </c>
      <c r="C30611" s="2">
        <v>7.7419975315370102E-3</v>
      </c>
      <c r="D30611" s="2">
        <v>6.8461889548151501E-4</v>
      </c>
      <c r="E30611" s="2">
        <v>7.4738415545590403E-4</v>
      </c>
      <c r="F30611" s="2">
        <v>7.1505131631109803E-3</v>
      </c>
    </row>
    <row r="30612" spans="1:6" x14ac:dyDescent="0.25">
      <c r="A30612" s="1" t="str">
        <f t="shared" si="1099"/>
        <v>40700</v>
      </c>
      <c r="B30612" s="1" t="str">
        <f>"97493"</f>
        <v>97493</v>
      </c>
      <c r="C30612" s="2">
        <v>2.24405725551797E-4</v>
      </c>
      <c r="D30612" s="2">
        <v>4.5641259698767599E-4</v>
      </c>
      <c r="E30612" s="2">
        <v>0</v>
      </c>
      <c r="F30612" s="2">
        <v>2.3492445710426201E-4</v>
      </c>
    </row>
    <row r="30613" spans="1:6" x14ac:dyDescent="0.25">
      <c r="A30613" s="1" t="str">
        <f t="shared" si="1099"/>
        <v>40700</v>
      </c>
      <c r="B30613" s="1" t="str">
        <f>"97417"</f>
        <v>97417</v>
      </c>
      <c r="C30613" s="2">
        <v>1.9747703848558101E-2</v>
      </c>
      <c r="D30613" s="2">
        <v>5.0205385668644397E-3</v>
      </c>
      <c r="E30613" s="2">
        <v>1.4200298953662101E-2</v>
      </c>
      <c r="F30613" s="2">
        <v>1.8691177118357799E-2</v>
      </c>
    </row>
    <row r="30614" spans="1:6" x14ac:dyDescent="0.25">
      <c r="A30614" s="1" t="str">
        <f t="shared" si="1099"/>
        <v>40700</v>
      </c>
      <c r="B30614" s="1" t="str">
        <f>"97469"</f>
        <v>97469</v>
      </c>
      <c r="C30614" s="2">
        <v>1.95393271034029E-2</v>
      </c>
      <c r="D30614" s="2">
        <v>1.8256503879507001E-3</v>
      </c>
      <c r="E30614" s="2">
        <v>1.9431988041853501E-2</v>
      </c>
      <c r="F30614" s="2">
        <v>1.8397521546977501E-2</v>
      </c>
    </row>
    <row r="30615" spans="1:6" x14ac:dyDescent="0.25">
      <c r="A30615" s="1" t="str">
        <f t="shared" si="1099"/>
        <v>40700</v>
      </c>
      <c r="B30615" s="1" t="str">
        <f>"97443"</f>
        <v>97443</v>
      </c>
      <c r="C30615" s="2">
        <v>1.7567762514626401E-2</v>
      </c>
      <c r="D30615" s="2">
        <v>4.7923322683705999E-3</v>
      </c>
      <c r="E30615" s="2">
        <v>8.2212257100149396E-3</v>
      </c>
      <c r="F30615" s="2">
        <v>1.65621742258504E-2</v>
      </c>
    </row>
    <row r="30616" spans="1:6" x14ac:dyDescent="0.25">
      <c r="A30616" s="1" t="str">
        <f t="shared" si="1099"/>
        <v>40700</v>
      </c>
      <c r="B30616" s="1" t="str">
        <f>"97459"</f>
        <v>97459</v>
      </c>
      <c r="C30616" s="2">
        <v>8.8159392181063299E-4</v>
      </c>
      <c r="D30616" s="2">
        <v>0</v>
      </c>
      <c r="E30616" s="2">
        <v>0</v>
      </c>
      <c r="F30616" s="2">
        <v>8.0755282129590196E-4</v>
      </c>
    </row>
    <row r="30617" spans="1:6" x14ac:dyDescent="0.25">
      <c r="A30617" s="1" t="str">
        <f t="shared" si="1099"/>
        <v>40700</v>
      </c>
      <c r="B30617" s="1" t="str">
        <f>"97442"</f>
        <v>97442</v>
      </c>
      <c r="C30617" s="2">
        <v>1.7183066985109002E-2</v>
      </c>
      <c r="D30617" s="2">
        <v>2.5102692834322198E-3</v>
      </c>
      <c r="E30617" s="2">
        <v>1.6442451420029799E-2</v>
      </c>
      <c r="F30617" s="2">
        <v>1.6224470318763101E-2</v>
      </c>
    </row>
    <row r="30618" spans="1:6" x14ac:dyDescent="0.25">
      <c r="A30618" s="1" t="str">
        <f t="shared" si="1099"/>
        <v>40700</v>
      </c>
      <c r="B30618" s="1" t="str">
        <f>"97495"</f>
        <v>97495</v>
      </c>
      <c r="C30618" s="2">
        <v>2.3915238751663001E-2</v>
      </c>
      <c r="D30618" s="2">
        <v>2.48744865358283E-2</v>
      </c>
      <c r="E30618" s="2">
        <v>5.9790732436472297E-3</v>
      </c>
      <c r="F30618" s="2">
        <v>2.36245907175473E-2</v>
      </c>
    </row>
    <row r="30619" spans="1:6" x14ac:dyDescent="0.25">
      <c r="A30619" s="1" t="str">
        <f t="shared" si="1099"/>
        <v>40700</v>
      </c>
      <c r="B30619" s="1" t="str">
        <f>"97410"</f>
        <v>97410</v>
      </c>
      <c r="C30619" s="2">
        <v>6.8764325901229401E-3</v>
      </c>
      <c r="D30619" s="2">
        <v>4.5641259698767599E-4</v>
      </c>
      <c r="E30619" s="2">
        <v>7.4738415545590403E-4</v>
      </c>
      <c r="F30619" s="2">
        <v>6.3429603418150796E-3</v>
      </c>
    </row>
    <row r="30620" spans="1:6" x14ac:dyDescent="0.25">
      <c r="A30620" s="1" t="str">
        <f t="shared" si="1099"/>
        <v>40700</v>
      </c>
      <c r="B30620" s="1" t="str">
        <f>"97471"</f>
        <v>97471</v>
      </c>
      <c r="C30620" s="2">
        <v>0.226168913395418</v>
      </c>
      <c r="D30620" s="2">
        <v>0.22432679141944301</v>
      </c>
      <c r="E30620" s="2">
        <v>0.26382660687593401</v>
      </c>
      <c r="F30620" s="2">
        <v>0.226790197777027</v>
      </c>
    </row>
    <row r="30621" spans="1:6" x14ac:dyDescent="0.25">
      <c r="A30621" s="1" t="str">
        <f t="shared" si="1099"/>
        <v>40700</v>
      </c>
      <c r="B30621" s="1" t="str">
        <f>"97481"</f>
        <v>97481</v>
      </c>
      <c r="C30621" s="2">
        <v>5.2895635308637997E-3</v>
      </c>
      <c r="D30621" s="2">
        <v>2.2820629849383799E-4</v>
      </c>
      <c r="E30621" s="2">
        <v>7.4738415545590403E-4</v>
      </c>
      <c r="F30621" s="2">
        <v>4.8746824849134401E-3</v>
      </c>
    </row>
    <row r="30622" spans="1:6" x14ac:dyDescent="0.25">
      <c r="A30622" s="1" t="str">
        <f t="shared" si="1099"/>
        <v>40700</v>
      </c>
      <c r="B30622" s="1" t="str">
        <f>"97441"</f>
        <v>97441</v>
      </c>
      <c r="C30622" s="2">
        <v>2.5646368634491099E-3</v>
      </c>
      <c r="D30622" s="2">
        <v>1.5974440894568601E-3</v>
      </c>
      <c r="E30622" s="2">
        <v>2.9895366218236101E-3</v>
      </c>
      <c r="F30622" s="2">
        <v>2.5107551353018001E-3</v>
      </c>
    </row>
    <row r="30623" spans="1:6" x14ac:dyDescent="0.25">
      <c r="A30623" s="1" t="str">
        <f t="shared" si="1099"/>
        <v>40700</v>
      </c>
      <c r="B30623" s="1" t="str">
        <f>"97424"</f>
        <v>97424</v>
      </c>
      <c r="C30623" s="2">
        <v>2.2921441967076401E-3</v>
      </c>
      <c r="D30623" s="2">
        <v>1.36923779096303E-3</v>
      </c>
      <c r="E30623" s="2">
        <v>0</v>
      </c>
      <c r="F30623" s="2">
        <v>2.1877340067834399E-3</v>
      </c>
    </row>
    <row r="30624" spans="1:6" x14ac:dyDescent="0.25">
      <c r="A30624" s="1" t="str">
        <f t="shared" si="1099"/>
        <v>40700</v>
      </c>
      <c r="B30624" s="1" t="str">
        <f>"97484"</f>
        <v>97484</v>
      </c>
      <c r="C30624" s="2">
        <v>3.4302018048631899E-3</v>
      </c>
      <c r="D30624" s="2">
        <v>1.14103149246919E-3</v>
      </c>
      <c r="E30624" s="2">
        <v>7.4738415545590403E-4</v>
      </c>
      <c r="F30624" s="2">
        <v>3.2302112851836E-3</v>
      </c>
    </row>
    <row r="30625" spans="1:6" x14ac:dyDescent="0.25">
      <c r="A30625" s="1" t="str">
        <f t="shared" si="1099"/>
        <v>40700</v>
      </c>
      <c r="B30625" s="1" t="str">
        <f>"97473"</f>
        <v>97473</v>
      </c>
      <c r="C30625" s="2">
        <v>3.7668103931908798E-3</v>
      </c>
      <c r="D30625" s="2">
        <v>9.1282519397535295E-4</v>
      </c>
      <c r="E30625" s="2">
        <v>7.4738415545590403E-4</v>
      </c>
      <c r="F30625" s="2">
        <v>3.5238668565639301E-3</v>
      </c>
    </row>
    <row r="30626" spans="1:6" x14ac:dyDescent="0.25">
      <c r="A30626" s="1" t="str">
        <f t="shared" si="1099"/>
        <v>40700</v>
      </c>
      <c r="B30626" s="1" t="str">
        <f>"97467"</f>
        <v>97467</v>
      </c>
      <c r="C30626" s="2">
        <v>4.5698623110583897E-2</v>
      </c>
      <c r="D30626" s="2">
        <v>6.4125969876768496E-2</v>
      </c>
      <c r="E30626" s="2">
        <v>6.2032884902840001E-2</v>
      </c>
      <c r="F30626" s="2">
        <v>4.7205133099387703E-2</v>
      </c>
    </row>
    <row r="30627" spans="1:6" x14ac:dyDescent="0.25">
      <c r="A30627" s="1" t="str">
        <f t="shared" si="1099"/>
        <v>40700</v>
      </c>
      <c r="B30627" s="1" t="str">
        <f>"97429"</f>
        <v>97429</v>
      </c>
      <c r="C30627" s="2">
        <v>5.8826358055364004E-3</v>
      </c>
      <c r="D30627" s="2">
        <v>2.9666818804198899E-3</v>
      </c>
      <c r="E30627" s="2">
        <v>7.4738415545590403E-4</v>
      </c>
      <c r="F30627" s="2">
        <v>5.59413863479524E-3</v>
      </c>
    </row>
    <row r="30628" spans="1:6" x14ac:dyDescent="0.25">
      <c r="A30628" s="1" t="str">
        <f t="shared" si="1099"/>
        <v>40700</v>
      </c>
      <c r="B30628" s="1" t="str">
        <f>"97731"</f>
        <v>97731</v>
      </c>
      <c r="C30628" s="2">
        <v>2.5646368634491099E-3</v>
      </c>
      <c r="D30628" s="2">
        <v>1.5974440894568601E-3</v>
      </c>
      <c r="E30628" s="2">
        <v>2.2421524663677099E-3</v>
      </c>
      <c r="F30628" s="2">
        <v>2.4960723567327798E-3</v>
      </c>
    </row>
    <row r="30629" spans="1:6" x14ac:dyDescent="0.25">
      <c r="A30629" s="1" t="str">
        <f t="shared" si="1099"/>
        <v>40700</v>
      </c>
      <c r="B30629" s="1" t="str">
        <f>"97457"</f>
        <v>97457</v>
      </c>
      <c r="C30629" s="2">
        <v>8.1892060846009501E-2</v>
      </c>
      <c r="D30629" s="2">
        <v>3.1720675490643502E-2</v>
      </c>
      <c r="E30629" s="2">
        <v>5.1569506726457298E-2</v>
      </c>
      <c r="F30629" s="2">
        <v>7.8068333651460195E-2</v>
      </c>
    </row>
    <row r="30630" spans="1:6" x14ac:dyDescent="0.25">
      <c r="A30630" s="1" t="str">
        <f t="shared" si="1099"/>
        <v>40700</v>
      </c>
      <c r="B30630" s="1" t="str">
        <f>"97470"</f>
        <v>97470</v>
      </c>
      <c r="C30630" s="2">
        <v>0.19585811146552901</v>
      </c>
      <c r="D30630" s="2">
        <v>0.46394340483797297</v>
      </c>
      <c r="E30630" s="2">
        <v>0.35426008968609801</v>
      </c>
      <c r="F30630" s="2">
        <v>0.21621859720733499</v>
      </c>
    </row>
    <row r="30631" spans="1:6" x14ac:dyDescent="0.25">
      <c r="A30631" s="1" t="str">
        <f t="shared" si="1099"/>
        <v>40700</v>
      </c>
      <c r="B30631" s="1" t="str">
        <f>"97479"</f>
        <v>97479</v>
      </c>
      <c r="C30631" s="2">
        <v>0.10079022873354999</v>
      </c>
      <c r="D30631" s="2">
        <v>0.105203103605659</v>
      </c>
      <c r="E30631" s="2">
        <v>0.10687593423019399</v>
      </c>
      <c r="F30631" s="2">
        <v>0.10119370989766099</v>
      </c>
    </row>
    <row r="30632" spans="1:6" x14ac:dyDescent="0.25">
      <c r="A30632" s="1" t="str">
        <f t="shared" si="1099"/>
        <v>40700</v>
      </c>
      <c r="B30632" s="1" t="str">
        <f>"97499"</f>
        <v>97499</v>
      </c>
      <c r="C30632" s="2">
        <v>1.73914437302643E-2</v>
      </c>
      <c r="D30632" s="2">
        <v>2.5102692834322198E-3</v>
      </c>
      <c r="E30632" s="2">
        <v>1.04633781763826E-2</v>
      </c>
      <c r="F30632" s="2">
        <v>1.6297884211608198E-2</v>
      </c>
    </row>
    <row r="30633" spans="1:6" x14ac:dyDescent="0.25">
      <c r="A30633" s="1" t="str">
        <f t="shared" si="1099"/>
        <v>40700</v>
      </c>
      <c r="B30633" s="1" t="str">
        <f>"97447"</f>
        <v>97447</v>
      </c>
      <c r="C30633" s="2">
        <v>7.6618526295542302E-3</v>
      </c>
      <c r="D30633" s="2">
        <v>5.0205385668644397E-3</v>
      </c>
      <c r="E30633" s="2">
        <v>1.2705530642750301E-2</v>
      </c>
      <c r="F30633" s="2">
        <v>7.59099652018147E-3</v>
      </c>
    </row>
    <row r="30634" spans="1:6" x14ac:dyDescent="0.25">
      <c r="A30634" s="1" t="str">
        <f t="shared" si="1099"/>
        <v>40700</v>
      </c>
      <c r="B30634" s="1" t="str">
        <f>"97486"</f>
        <v>97486</v>
      </c>
      <c r="C30634" s="2">
        <v>6.7642297273470403E-3</v>
      </c>
      <c r="D30634" s="2">
        <v>9.1282519397535295E-4</v>
      </c>
      <c r="E30634" s="2">
        <v>1.3452914798206201E-2</v>
      </c>
      <c r="F30634" s="2">
        <v>6.5191536846432802E-3</v>
      </c>
    </row>
    <row r="30635" spans="1:6" x14ac:dyDescent="0.25">
      <c r="A30635" s="1" t="str">
        <f t="shared" si="1099"/>
        <v>40700</v>
      </c>
      <c r="B30635" s="1" t="str">
        <f>"97496"</f>
        <v>97496</v>
      </c>
      <c r="C30635" s="2">
        <v>9.8930867007549605E-2</v>
      </c>
      <c r="D30635" s="2">
        <v>2.6243724326791399E-2</v>
      </c>
      <c r="E30635" s="2">
        <v>2.3168908819132999E-2</v>
      </c>
      <c r="F30635" s="2">
        <v>9.2765794999045595E-2</v>
      </c>
    </row>
    <row r="30636" spans="1:6" x14ac:dyDescent="0.25">
      <c r="A30636" s="1" t="str">
        <f t="shared" si="1099"/>
        <v>40700</v>
      </c>
      <c r="B30636" s="1" t="str">
        <f>"97462"</f>
        <v>97462</v>
      </c>
      <c r="C30636" s="2">
        <v>4.1402856364306601E-2</v>
      </c>
      <c r="D30636" s="2">
        <v>1.93975353719762E-2</v>
      </c>
      <c r="E30636" s="2">
        <v>4.4843049327354199E-3</v>
      </c>
      <c r="F30636" s="2">
        <v>3.9261749893549802E-2</v>
      </c>
    </row>
    <row r="30637" spans="1:6" x14ac:dyDescent="0.25">
      <c r="A30637" s="1" t="str">
        <f t="shared" si="1099"/>
        <v>40700</v>
      </c>
      <c r="B30637" s="1" t="str">
        <f>"97435"</f>
        <v>97435</v>
      </c>
      <c r="C30637" s="2">
        <v>1.8866109926747501E-2</v>
      </c>
      <c r="D30637" s="2">
        <v>1.36923779096303E-3</v>
      </c>
      <c r="E30637" s="2">
        <v>1.9431988041853501E-2</v>
      </c>
      <c r="F30637" s="2">
        <v>1.7751479289940801E-2</v>
      </c>
    </row>
    <row r="30638" spans="1:6" x14ac:dyDescent="0.25">
      <c r="A30638" s="1" t="str">
        <f t="shared" si="1099"/>
        <v>40700</v>
      </c>
      <c r="B30638" s="1" t="str">
        <f>"97436"</f>
        <v>97436</v>
      </c>
      <c r="C30638" s="2">
        <v>1.0130315610624E-2</v>
      </c>
      <c r="D30638" s="2">
        <v>6.8461889548151501E-4</v>
      </c>
      <c r="E30638" s="2">
        <v>1.4947683109118E-3</v>
      </c>
      <c r="F30638" s="2">
        <v>9.3529299484634391E-3</v>
      </c>
    </row>
    <row r="30639" spans="1:6" x14ac:dyDescent="0.25">
      <c r="A30639" s="1" t="str">
        <f t="shared" si="1099"/>
        <v>40700</v>
      </c>
      <c r="B30639" s="1" t="str">
        <f>"97494"</f>
        <v>97494</v>
      </c>
      <c r="C30639" s="2">
        <v>1.6028980396556899E-4</v>
      </c>
      <c r="D30639" s="2">
        <v>0</v>
      </c>
      <c r="E30639" s="2">
        <v>7.4738415545590403E-4</v>
      </c>
      <c r="F30639" s="2">
        <v>1.6151056425918001E-4</v>
      </c>
    </row>
    <row r="30640" spans="1:6" x14ac:dyDescent="0.25">
      <c r="A30640" s="1" t="str">
        <f t="shared" si="1099"/>
        <v>40700</v>
      </c>
      <c r="B30640" s="1" t="str">
        <f>"97432"</f>
        <v>97432</v>
      </c>
      <c r="C30640" s="2">
        <v>8.8159392181063299E-3</v>
      </c>
      <c r="D30640" s="2">
        <v>4.1077133728890901E-3</v>
      </c>
      <c r="E30640" s="2">
        <v>1.4947683109118E-3</v>
      </c>
      <c r="F30640" s="2">
        <v>8.3691837843393405E-3</v>
      </c>
    </row>
    <row r="30641" spans="1:6" x14ac:dyDescent="0.25">
      <c r="A30641" s="1" t="str">
        <f t="shared" ref="A30641:A30650" si="1100">"40740"</f>
        <v>40740</v>
      </c>
      <c r="B30641" s="1" t="str">
        <f>"88344"</f>
        <v>88344</v>
      </c>
      <c r="C30641" s="2">
        <v>1.0526662061252001E-3</v>
      </c>
      <c r="D30641" s="2">
        <v>2.9940119760478998E-4</v>
      </c>
      <c r="E30641" s="2">
        <v>2.5125628140703501E-3</v>
      </c>
      <c r="F30641" s="2">
        <v>1.01346460112928E-3</v>
      </c>
    </row>
    <row r="30642" spans="1:6" x14ac:dyDescent="0.25">
      <c r="A30642" s="1" t="str">
        <f t="shared" si="1100"/>
        <v>40740</v>
      </c>
      <c r="B30642" s="1" t="str">
        <f>"88253"</f>
        <v>88253</v>
      </c>
      <c r="C30642" s="2">
        <v>5.0001644790947002E-3</v>
      </c>
      <c r="D30642" s="2">
        <v>5.9880239520957996E-4</v>
      </c>
      <c r="E30642" s="2">
        <v>6.2814070351758702E-3</v>
      </c>
      <c r="F30642" s="2">
        <v>4.6040249022730496E-3</v>
      </c>
    </row>
    <row r="30643" spans="1:6" x14ac:dyDescent="0.25">
      <c r="A30643" s="1" t="str">
        <f t="shared" si="1100"/>
        <v>40740</v>
      </c>
      <c r="B30643" s="1" t="str">
        <f>"88339"</f>
        <v>88339</v>
      </c>
      <c r="C30643" s="2">
        <v>1.08556202506661E-3</v>
      </c>
      <c r="D30643" s="2">
        <v>0</v>
      </c>
      <c r="E30643" s="2">
        <v>0</v>
      </c>
      <c r="F30643" s="2">
        <v>9.5555233820761505E-4</v>
      </c>
    </row>
    <row r="30644" spans="1:6" x14ac:dyDescent="0.25">
      <c r="A30644" s="1" t="str">
        <f t="shared" si="1100"/>
        <v>40740</v>
      </c>
      <c r="B30644" s="1" t="str">
        <f>"88116"</f>
        <v>88116</v>
      </c>
      <c r="C30644" s="2">
        <v>1.9737491364847499E-4</v>
      </c>
      <c r="D30644" s="2">
        <v>0</v>
      </c>
      <c r="E30644" s="2">
        <v>0</v>
      </c>
      <c r="F30644" s="2">
        <v>1.7373678876502001E-4</v>
      </c>
    </row>
    <row r="30645" spans="1:6" x14ac:dyDescent="0.25">
      <c r="A30645" s="1" t="str">
        <f t="shared" si="1100"/>
        <v>40740</v>
      </c>
      <c r="B30645" s="1" t="str">
        <f>"88201"</f>
        <v>88201</v>
      </c>
      <c r="C30645" s="2">
        <v>0.39629593078719599</v>
      </c>
      <c r="D30645" s="2">
        <v>0.45778443113772399</v>
      </c>
      <c r="E30645" s="2">
        <v>0.57160804020100497</v>
      </c>
      <c r="F30645" s="2">
        <v>0.40628348052700097</v>
      </c>
    </row>
    <row r="30646" spans="1:6" x14ac:dyDescent="0.25">
      <c r="A30646" s="1" t="str">
        <f t="shared" si="1100"/>
        <v>40740</v>
      </c>
      <c r="B30646" s="1" t="str">
        <f>"88203"</f>
        <v>88203</v>
      </c>
      <c r="C30646" s="2">
        <v>0.42567189710187803</v>
      </c>
      <c r="D30646" s="2">
        <v>0.30628742514969998</v>
      </c>
      <c r="E30646" s="2">
        <v>0.40829145728643201</v>
      </c>
      <c r="F30646" s="2">
        <v>0.41372520631243598</v>
      </c>
    </row>
    <row r="30647" spans="1:6" x14ac:dyDescent="0.25">
      <c r="A30647" s="1" t="str">
        <f t="shared" si="1100"/>
        <v>40740</v>
      </c>
      <c r="B30647" s="1" t="str">
        <f>"88250"</f>
        <v>88250</v>
      </c>
      <c r="C30647" s="2">
        <v>6.9081219776966302E-4</v>
      </c>
      <c r="D30647" s="2">
        <v>2.9940119760478998E-4</v>
      </c>
      <c r="E30647" s="2">
        <v>0</v>
      </c>
      <c r="F30647" s="2">
        <v>6.3703489213840999E-4</v>
      </c>
    </row>
    <row r="30648" spans="1:6" x14ac:dyDescent="0.25">
      <c r="A30648" s="1" t="str">
        <f t="shared" si="1100"/>
        <v>40740</v>
      </c>
      <c r="B30648" s="1" t="str">
        <f>"88232"</f>
        <v>88232</v>
      </c>
      <c r="C30648" s="2">
        <v>2.08888450277969E-2</v>
      </c>
      <c r="D30648" s="2">
        <v>3.8922155688622699E-3</v>
      </c>
      <c r="E30648" s="2">
        <v>7.5376884422110497E-3</v>
      </c>
      <c r="F30648" s="2">
        <v>1.8937309975387201E-2</v>
      </c>
    </row>
    <row r="30649" spans="1:6" x14ac:dyDescent="0.25">
      <c r="A30649" s="1" t="str">
        <f t="shared" si="1100"/>
        <v>40740</v>
      </c>
      <c r="B30649" s="1" t="str">
        <f>"88202"</f>
        <v>88202</v>
      </c>
      <c r="C30649" s="2">
        <v>0.100003289581894</v>
      </c>
      <c r="D30649" s="2">
        <v>0.20928143712574801</v>
      </c>
      <c r="E30649" s="2">
        <v>2.5125628140703501E-3</v>
      </c>
      <c r="F30649" s="2">
        <v>0.10832488779499</v>
      </c>
    </row>
    <row r="30650" spans="1:6" x14ac:dyDescent="0.25">
      <c r="A30650" s="1" t="str">
        <f t="shared" si="1100"/>
        <v>40740</v>
      </c>
      <c r="B30650" s="1" t="str">
        <f>"88230"</f>
        <v>88230</v>
      </c>
      <c r="C30650" s="2">
        <v>4.9113457679528898E-2</v>
      </c>
      <c r="D30650" s="2">
        <v>2.15568862275449E-2</v>
      </c>
      <c r="E30650" s="2">
        <v>1.25628140703517E-3</v>
      </c>
      <c r="F30650" s="2">
        <v>4.5345301867670398E-2</v>
      </c>
    </row>
    <row r="30651" spans="1:6" x14ac:dyDescent="0.25">
      <c r="A30651" s="1" t="str">
        <f t="shared" ref="A30651:A30665" si="1101">"40760"</f>
        <v>40760</v>
      </c>
      <c r="B30651" s="1" t="str">
        <f>"88323"</f>
        <v>88323</v>
      </c>
      <c r="C30651" s="2">
        <v>0</v>
      </c>
      <c r="D30651" s="2">
        <v>7.1839080459770103E-4</v>
      </c>
      <c r="E30651" s="2">
        <v>0</v>
      </c>
      <c r="F30651" s="2">
        <v>4.1395868692304497E-5</v>
      </c>
    </row>
    <row r="30652" spans="1:6" x14ac:dyDescent="0.25">
      <c r="A30652" s="1" t="str">
        <f t="shared" si="1101"/>
        <v>40760</v>
      </c>
      <c r="B30652" s="1" t="str">
        <f>"88345"</f>
        <v>88345</v>
      </c>
      <c r="C30652" s="2">
        <v>0.25667323539949799</v>
      </c>
      <c r="D30652" s="2">
        <v>0.67169540229885005</v>
      </c>
      <c r="E30652" s="2">
        <v>0.66590389016018303</v>
      </c>
      <c r="F30652" s="2">
        <v>0.28799105849236201</v>
      </c>
    </row>
    <row r="30653" spans="1:6" x14ac:dyDescent="0.25">
      <c r="A30653" s="1" t="str">
        <f t="shared" si="1101"/>
        <v>40760</v>
      </c>
      <c r="B30653" s="1" t="str">
        <f>"88301"</f>
        <v>88301</v>
      </c>
      <c r="C30653" s="2">
        <v>5.7327122895019702E-3</v>
      </c>
      <c r="D30653" s="2">
        <v>6.4655172413793103E-3</v>
      </c>
      <c r="E30653" s="2">
        <v>6.8649885583523997E-3</v>
      </c>
      <c r="F30653" s="2">
        <v>5.7954216169226304E-3</v>
      </c>
    </row>
    <row r="30654" spans="1:6" x14ac:dyDescent="0.25">
      <c r="A30654" s="1" t="str">
        <f t="shared" si="1101"/>
        <v>40760</v>
      </c>
      <c r="B30654" s="1" t="str">
        <f>"88351"</f>
        <v>88351</v>
      </c>
      <c r="C30654" s="2">
        <v>2.1049802938014998E-3</v>
      </c>
      <c r="D30654" s="2">
        <v>7.1839080459770103E-4</v>
      </c>
      <c r="E30654" s="2">
        <v>2.2883295194508001E-3</v>
      </c>
      <c r="F30654" s="2">
        <v>2.02839756592292E-3</v>
      </c>
    </row>
    <row r="30655" spans="1:6" x14ac:dyDescent="0.25">
      <c r="A30655" s="1" t="str">
        <f t="shared" si="1101"/>
        <v>40760</v>
      </c>
      <c r="B30655" s="1" t="str">
        <f>"88355"</f>
        <v>88355</v>
      </c>
      <c r="C30655" s="2">
        <v>0.31341812970261501</v>
      </c>
      <c r="D30655" s="2">
        <v>0.13218390804597699</v>
      </c>
      <c r="E30655" s="2">
        <v>9.1533180778032002E-3</v>
      </c>
      <c r="F30655" s="2">
        <v>0.29747071242290002</v>
      </c>
    </row>
    <row r="30656" spans="1:6" x14ac:dyDescent="0.25">
      <c r="A30656" s="1" t="str">
        <f t="shared" si="1101"/>
        <v>40760</v>
      </c>
      <c r="B30656" s="1" t="str">
        <f>"88343"</f>
        <v>88343</v>
      </c>
      <c r="C30656" s="2">
        <v>0</v>
      </c>
      <c r="D30656" s="2">
        <v>7.1839080459770103E-4</v>
      </c>
      <c r="E30656" s="2">
        <v>0</v>
      </c>
      <c r="F30656" s="2">
        <v>4.1395868692304497E-5</v>
      </c>
    </row>
    <row r="30657" spans="1:6" x14ac:dyDescent="0.25">
      <c r="A30657" s="1" t="str">
        <f t="shared" si="1101"/>
        <v>40760</v>
      </c>
      <c r="B30657" s="1" t="str">
        <f>"88316"</f>
        <v>88316</v>
      </c>
      <c r="C30657" s="2">
        <v>9.7635256180580408E-3</v>
      </c>
      <c r="D30657" s="2">
        <v>4.3103448275861999E-3</v>
      </c>
      <c r="E30657" s="2">
        <v>2.5171624713958798E-2</v>
      </c>
      <c r="F30657" s="2">
        <v>9.7280291426915504E-3</v>
      </c>
    </row>
    <row r="30658" spans="1:6" x14ac:dyDescent="0.25">
      <c r="A30658" s="1" t="str">
        <f t="shared" si="1101"/>
        <v>40760</v>
      </c>
      <c r="B30658" s="1" t="str">
        <f>"88318"</f>
        <v>88318</v>
      </c>
      <c r="C30658" s="2">
        <v>7.6137585094948005E-4</v>
      </c>
      <c r="D30658" s="2">
        <v>2.1551724137930999E-3</v>
      </c>
      <c r="E30658" s="2">
        <v>0</v>
      </c>
      <c r="F30658" s="2">
        <v>8.2791737384609E-4</v>
      </c>
    </row>
    <row r="30659" spans="1:6" x14ac:dyDescent="0.25">
      <c r="A30659" s="1" t="str">
        <f t="shared" si="1101"/>
        <v>40760</v>
      </c>
      <c r="B30659" s="1" t="str">
        <f>"88348"</f>
        <v>88348</v>
      </c>
      <c r="C30659" s="2">
        <v>6.5388749552131803E-3</v>
      </c>
      <c r="D30659" s="2">
        <v>3.5919540229885001E-3</v>
      </c>
      <c r="E30659" s="2">
        <v>0</v>
      </c>
      <c r="F30659" s="2">
        <v>6.25077617253798E-3</v>
      </c>
    </row>
    <row r="30660" spans="1:6" x14ac:dyDescent="0.25">
      <c r="A30660" s="1" t="str">
        <f t="shared" si="1101"/>
        <v>40760</v>
      </c>
      <c r="B30660" s="1" t="str">
        <f>"88324"</f>
        <v>88324</v>
      </c>
      <c r="C30660" s="2">
        <v>9.853099247581511E-4</v>
      </c>
      <c r="D30660" s="2">
        <v>1.4367816091953999E-3</v>
      </c>
      <c r="E30660" s="2">
        <v>4.5766590389016001E-3</v>
      </c>
      <c r="F30660" s="2">
        <v>1.07629258599991E-3</v>
      </c>
    </row>
    <row r="30661" spans="1:6" x14ac:dyDescent="0.25">
      <c r="A30661" s="1" t="str">
        <f t="shared" si="1101"/>
        <v>40760</v>
      </c>
      <c r="B30661" s="1" t="str">
        <f>"88338"</f>
        <v>88338</v>
      </c>
      <c r="C30661" s="2">
        <v>1.3436044428520201E-4</v>
      </c>
      <c r="D30661" s="2">
        <v>7.1839080459770103E-4</v>
      </c>
      <c r="E30661" s="2">
        <v>4.5766590389016001E-3</v>
      </c>
      <c r="F30661" s="2">
        <v>2.4837521215382701E-4</v>
      </c>
    </row>
    <row r="30662" spans="1:6" x14ac:dyDescent="0.25">
      <c r="A30662" s="1" t="str">
        <f t="shared" si="1101"/>
        <v>40760</v>
      </c>
      <c r="B30662" s="1" t="str">
        <f>"88312"</f>
        <v>88312</v>
      </c>
      <c r="C30662" s="2">
        <v>0.205929774274453</v>
      </c>
      <c r="D30662" s="2">
        <v>6.7528735632183895E-2</v>
      </c>
      <c r="E30662" s="2">
        <v>4.3478260869565202E-2</v>
      </c>
      <c r="F30662" s="2">
        <v>0.19501593740944601</v>
      </c>
    </row>
    <row r="30663" spans="1:6" x14ac:dyDescent="0.25">
      <c r="A30663" s="1" t="str">
        <f t="shared" si="1101"/>
        <v>40760</v>
      </c>
      <c r="B30663" s="1" t="str">
        <f>"88336"</f>
        <v>88336</v>
      </c>
      <c r="C30663" s="2">
        <v>1.20924399856682E-3</v>
      </c>
      <c r="D30663" s="2">
        <v>2.1551724137930999E-3</v>
      </c>
      <c r="E30663" s="2">
        <v>0</v>
      </c>
      <c r="F30663" s="2">
        <v>1.24187606076913E-3</v>
      </c>
    </row>
    <row r="30664" spans="1:6" x14ac:dyDescent="0.25">
      <c r="A30664" s="1" t="str">
        <f t="shared" si="1101"/>
        <v>40760</v>
      </c>
      <c r="B30664" s="1" t="str">
        <f>"88341"</f>
        <v>88341</v>
      </c>
      <c r="C30664" s="2">
        <v>1.41078466499462E-2</v>
      </c>
      <c r="D30664" s="2">
        <v>7.9022988505747099E-3</v>
      </c>
      <c r="E30664" s="2">
        <v>2.0594965675057201E-2</v>
      </c>
      <c r="F30664" s="2">
        <v>1.3867616011922001E-2</v>
      </c>
    </row>
    <row r="30665" spans="1:6" x14ac:dyDescent="0.25">
      <c r="A30665" s="1" t="str">
        <f t="shared" si="1101"/>
        <v>40760</v>
      </c>
      <c r="B30665" s="1" t="str">
        <f>"88346"</f>
        <v>88346</v>
      </c>
      <c r="C30665" s="2">
        <v>0.18264063059835101</v>
      </c>
      <c r="D30665" s="2">
        <v>9.7701149425287306E-2</v>
      </c>
      <c r="E30665" s="2">
        <v>0.217391304347826</v>
      </c>
      <c r="F30665" s="2">
        <v>0.17837479819513999</v>
      </c>
    </row>
    <row r="30666" spans="1:6" x14ac:dyDescent="0.25">
      <c r="A30666" s="1" t="str">
        <f t="shared" ref="A30666:A30695" si="1102">"40780"</f>
        <v>40780</v>
      </c>
      <c r="B30666" s="1" t="str">
        <f>"72860"</f>
        <v>72860</v>
      </c>
      <c r="C30666" s="2">
        <v>4.4299919883123602E-3</v>
      </c>
      <c r="D30666" s="2">
        <v>1.4318442153493599E-3</v>
      </c>
      <c r="E30666" s="2">
        <v>1.1520737327188901E-3</v>
      </c>
      <c r="F30666" s="2">
        <v>4.1454763024060797E-3</v>
      </c>
    </row>
    <row r="30667" spans="1:6" x14ac:dyDescent="0.25">
      <c r="A30667" s="1" t="str">
        <f t="shared" si="1102"/>
        <v>40780</v>
      </c>
      <c r="B30667" s="1" t="str">
        <f>"72812"</f>
        <v>72812</v>
      </c>
      <c r="C30667" s="2">
        <v>3.4921532588717601E-2</v>
      </c>
      <c r="D30667" s="2">
        <v>3.8373424971363097E-2</v>
      </c>
      <c r="E30667" s="2">
        <v>2.3041474654377802E-3</v>
      </c>
      <c r="F30667" s="2">
        <v>3.4574127099448598E-2</v>
      </c>
    </row>
    <row r="30668" spans="1:6" x14ac:dyDescent="0.25">
      <c r="A30668" s="1" t="str">
        <f t="shared" si="1102"/>
        <v>40780</v>
      </c>
      <c r="B30668" s="1" t="str">
        <f>"72829"</f>
        <v>72829</v>
      </c>
      <c r="C30668" s="2">
        <v>0</v>
      </c>
      <c r="D30668" s="2">
        <v>0</v>
      </c>
      <c r="E30668" s="2">
        <v>1.1520737327188901E-3</v>
      </c>
      <c r="F30668" s="2">
        <v>2.1368434548484899E-5</v>
      </c>
    </row>
    <row r="30669" spans="1:6" x14ac:dyDescent="0.25">
      <c r="A30669" s="1" t="str">
        <f t="shared" si="1102"/>
        <v>40780</v>
      </c>
      <c r="B30669" s="1" t="str">
        <f>"72811"</f>
        <v>72811</v>
      </c>
      <c r="C30669" s="2">
        <v>2.4176445638342901E-2</v>
      </c>
      <c r="D30669" s="2">
        <v>0.118843069873997</v>
      </c>
      <c r="E30669" s="2">
        <v>2.3041474654377802E-3</v>
      </c>
      <c r="F30669" s="2">
        <v>3.08346510534638E-2</v>
      </c>
    </row>
    <row r="30670" spans="1:6" x14ac:dyDescent="0.25">
      <c r="A30670" s="1" t="str">
        <f t="shared" si="1102"/>
        <v>40780</v>
      </c>
      <c r="B30670" s="1" t="str">
        <f>"72838"</f>
        <v>72838</v>
      </c>
      <c r="C30670" s="2">
        <v>2.61558037607804E-3</v>
      </c>
      <c r="D30670" s="2">
        <v>0</v>
      </c>
      <c r="E30670" s="2">
        <v>1.1520737327188901E-3</v>
      </c>
      <c r="F30670" s="2">
        <v>2.3932646694303102E-3</v>
      </c>
    </row>
    <row r="30671" spans="1:6" x14ac:dyDescent="0.25">
      <c r="A30671" s="1" t="str">
        <f t="shared" si="1102"/>
        <v>40780</v>
      </c>
      <c r="B30671" s="1" t="str">
        <f>"72837"</f>
        <v>72837</v>
      </c>
      <c r="C30671" s="2">
        <v>8.9919411847872097E-2</v>
      </c>
      <c r="D30671" s="2">
        <v>2.3768613974799499E-2</v>
      </c>
      <c r="E30671" s="2">
        <v>4.1474654377880102E-2</v>
      </c>
      <c r="F30671" s="2">
        <v>8.4084789948288302E-2</v>
      </c>
    </row>
    <row r="30672" spans="1:6" x14ac:dyDescent="0.25">
      <c r="A30672" s="1" t="str">
        <f t="shared" si="1102"/>
        <v>40780</v>
      </c>
      <c r="B30672" s="1" t="str">
        <f>"72839"</f>
        <v>72839</v>
      </c>
      <c r="C30672" s="2">
        <v>1.64946510203119E-4</v>
      </c>
      <c r="D30672" s="2">
        <v>0</v>
      </c>
      <c r="E30672" s="2">
        <v>0</v>
      </c>
      <c r="F30672" s="2">
        <v>1.4957904183939401E-4</v>
      </c>
    </row>
    <row r="30673" spans="1:6" x14ac:dyDescent="0.25">
      <c r="A30673" s="1" t="str">
        <f t="shared" si="1102"/>
        <v>40780</v>
      </c>
      <c r="B30673" s="1" t="str">
        <f>"72834"</f>
        <v>72834</v>
      </c>
      <c r="C30673" s="2">
        <v>0.12771572647155799</v>
      </c>
      <c r="D30673" s="2">
        <v>0.14232531500572701</v>
      </c>
      <c r="E30673" s="2">
        <v>4.60829493087557E-2</v>
      </c>
      <c r="F30673" s="2">
        <v>0.12729176460532499</v>
      </c>
    </row>
    <row r="30674" spans="1:6" x14ac:dyDescent="0.25">
      <c r="A30674" s="1" t="str">
        <f t="shared" si="1102"/>
        <v>40780</v>
      </c>
      <c r="B30674" s="1" t="str">
        <f>"72847"</f>
        <v>72847</v>
      </c>
      <c r="C30674" s="2">
        <v>2.29040011310617E-2</v>
      </c>
      <c r="D30674" s="2">
        <v>4.8682703321878502E-3</v>
      </c>
      <c r="E30674" s="2">
        <v>5.7603686635944703E-3</v>
      </c>
      <c r="F30674" s="2">
        <v>2.1240223941194E-2</v>
      </c>
    </row>
    <row r="30675" spans="1:6" x14ac:dyDescent="0.25">
      <c r="A30675" s="1" t="str">
        <f t="shared" si="1102"/>
        <v>40780</v>
      </c>
      <c r="B30675" s="1" t="str">
        <f>"72843"</f>
        <v>72843</v>
      </c>
      <c r="C30675" s="2">
        <v>2.69569725246241E-2</v>
      </c>
      <c r="D30675" s="2">
        <v>6.8728522336769697E-3</v>
      </c>
      <c r="E30675" s="2">
        <v>6.9124423963133601E-3</v>
      </c>
      <c r="F30675" s="2">
        <v>2.5086542159921298E-2</v>
      </c>
    </row>
    <row r="30676" spans="1:6" x14ac:dyDescent="0.25">
      <c r="A30676" s="1" t="str">
        <f t="shared" si="1102"/>
        <v>40780</v>
      </c>
      <c r="B30676" s="1" t="str">
        <f>"72841"</f>
        <v>72841</v>
      </c>
      <c r="C30676" s="2">
        <v>3.2989302040623898E-4</v>
      </c>
      <c r="D30676" s="2">
        <v>2.8636884306987298E-4</v>
      </c>
      <c r="E30676" s="2">
        <v>0</v>
      </c>
      <c r="F30676" s="2">
        <v>3.2052651822727399E-4</v>
      </c>
    </row>
    <row r="30677" spans="1:6" x14ac:dyDescent="0.25">
      <c r="A30677" s="1" t="str">
        <f t="shared" si="1102"/>
        <v>40780</v>
      </c>
      <c r="B30677" s="1" t="str">
        <f>"72856"</f>
        <v>72856</v>
      </c>
      <c r="C30677" s="2">
        <v>6.4564776850935396E-3</v>
      </c>
      <c r="D30677" s="2">
        <v>1.14547537227949E-3</v>
      </c>
      <c r="E30677" s="2">
        <v>3.4562211981566801E-3</v>
      </c>
      <c r="F30677" s="2">
        <v>6.0045301081242701E-3</v>
      </c>
    </row>
    <row r="30678" spans="1:6" x14ac:dyDescent="0.25">
      <c r="A30678" s="1" t="str">
        <f t="shared" si="1102"/>
        <v>40780</v>
      </c>
      <c r="B30678" s="1" t="str">
        <f>"72827"</f>
        <v>72827</v>
      </c>
      <c r="C30678" s="2">
        <v>4.4064282011404797E-3</v>
      </c>
      <c r="D30678" s="2">
        <v>0</v>
      </c>
      <c r="E30678" s="2">
        <v>2.3041474654377802E-3</v>
      </c>
      <c r="F30678" s="2">
        <v>4.0386341296636602E-3</v>
      </c>
    </row>
    <row r="30679" spans="1:6" x14ac:dyDescent="0.25">
      <c r="A30679" s="1" t="str">
        <f t="shared" si="1102"/>
        <v>40780</v>
      </c>
      <c r="B30679" s="1" t="str">
        <f>"72802"</f>
        <v>72802</v>
      </c>
      <c r="C30679" s="2">
        <v>0.24438003675950701</v>
      </c>
      <c r="D30679" s="2">
        <v>0.20933562428407701</v>
      </c>
      <c r="E30679" s="2">
        <v>0.203917050691244</v>
      </c>
      <c r="F30679" s="2">
        <v>0.241014573272362</v>
      </c>
    </row>
    <row r="30680" spans="1:6" x14ac:dyDescent="0.25">
      <c r="A30680" s="1" t="str">
        <f t="shared" si="1102"/>
        <v>40780</v>
      </c>
      <c r="B30680" s="1" t="str">
        <f>"72686"</f>
        <v>72686</v>
      </c>
      <c r="C30680" s="2">
        <v>1.57877374051557E-3</v>
      </c>
      <c r="D30680" s="2">
        <v>0</v>
      </c>
      <c r="E30680" s="2">
        <v>3.4562211981566801E-3</v>
      </c>
      <c r="F30680" s="2">
        <v>1.49579041839394E-3</v>
      </c>
    </row>
    <row r="30681" spans="1:6" x14ac:dyDescent="0.25">
      <c r="A30681" s="1" t="str">
        <f t="shared" si="1102"/>
        <v>40780</v>
      </c>
      <c r="B30681" s="1" t="str">
        <f>"72943"</f>
        <v>72943</v>
      </c>
      <c r="C30681" s="2">
        <v>4.2414816909373598E-4</v>
      </c>
      <c r="D30681" s="2">
        <v>0</v>
      </c>
      <c r="E30681" s="2">
        <v>0</v>
      </c>
      <c r="F30681" s="2">
        <v>3.8463182187272902E-4</v>
      </c>
    </row>
    <row r="30682" spans="1:6" x14ac:dyDescent="0.25">
      <c r="A30682" s="1" t="str">
        <f t="shared" si="1102"/>
        <v>40780</v>
      </c>
      <c r="B30682" s="1" t="str">
        <f>"72823"</f>
        <v>72823</v>
      </c>
      <c r="C30682" s="2">
        <v>7.2647155850888295E-2</v>
      </c>
      <c r="D30682" s="2">
        <v>5.0400916380297797E-2</v>
      </c>
      <c r="E30682" s="2">
        <v>4.1474654377880102E-2</v>
      </c>
      <c r="F30682" s="2">
        <v>7.0408991837258003E-2</v>
      </c>
    </row>
    <row r="30683" spans="1:6" x14ac:dyDescent="0.25">
      <c r="A30683" s="1" t="str">
        <f t="shared" si="1102"/>
        <v>40780</v>
      </c>
      <c r="B30683" s="1" t="str">
        <f>"72833"</f>
        <v>72833</v>
      </c>
      <c r="C30683" s="2">
        <v>3.9398652151373698E-2</v>
      </c>
      <c r="D30683" s="2">
        <v>1.31729667812142E-2</v>
      </c>
      <c r="E30683" s="2">
        <v>1.3824884792626699E-2</v>
      </c>
      <c r="F30683" s="2">
        <v>3.6967391768878997E-2</v>
      </c>
    </row>
    <row r="30684" spans="1:6" x14ac:dyDescent="0.25">
      <c r="A30684" s="1" t="str">
        <f t="shared" si="1102"/>
        <v>40780</v>
      </c>
      <c r="B30684" s="1" t="str">
        <f>"72842"</f>
        <v>72842</v>
      </c>
      <c r="C30684" s="2">
        <v>1.51043875771714E-2</v>
      </c>
      <c r="D30684" s="2">
        <v>3.1500572737686102E-3</v>
      </c>
      <c r="E30684" s="2">
        <v>2.3041474654377802E-3</v>
      </c>
      <c r="F30684" s="2">
        <v>1.39749561947091E-2</v>
      </c>
    </row>
    <row r="30685" spans="1:6" x14ac:dyDescent="0.25">
      <c r="A30685" s="1" t="str">
        <f t="shared" si="1102"/>
        <v>40780</v>
      </c>
      <c r="B30685" s="1" t="str">
        <f>"72080"</f>
        <v>72080</v>
      </c>
      <c r="C30685" s="2">
        <v>6.1265846646873004E-4</v>
      </c>
      <c r="D30685" s="2">
        <v>0</v>
      </c>
      <c r="E30685" s="2">
        <v>0</v>
      </c>
      <c r="F30685" s="2">
        <v>5.5557929826060897E-4</v>
      </c>
    </row>
    <row r="30686" spans="1:6" x14ac:dyDescent="0.25">
      <c r="A30686" s="1" t="str">
        <f t="shared" si="1102"/>
        <v>40780</v>
      </c>
      <c r="B30686" s="1" t="str">
        <f>"72063"</f>
        <v>72063</v>
      </c>
      <c r="C30686" s="2">
        <v>3.2989302040623898E-4</v>
      </c>
      <c r="D30686" s="2">
        <v>0</v>
      </c>
      <c r="E30686" s="2">
        <v>0</v>
      </c>
      <c r="F30686" s="2">
        <v>2.9915808367878899E-4</v>
      </c>
    </row>
    <row r="30687" spans="1:6" x14ac:dyDescent="0.25">
      <c r="A30687" s="1" t="str">
        <f t="shared" si="1102"/>
        <v>40780</v>
      </c>
      <c r="B30687" s="1" t="str">
        <f>"72025"</f>
        <v>72025</v>
      </c>
      <c r="C30687" s="2">
        <v>2.5920165889061598E-4</v>
      </c>
      <c r="D30687" s="2">
        <v>0</v>
      </c>
      <c r="E30687" s="2">
        <v>0</v>
      </c>
      <c r="F30687" s="2">
        <v>2.3505278003333401E-4</v>
      </c>
    </row>
    <row r="30688" spans="1:6" x14ac:dyDescent="0.25">
      <c r="A30688" s="1" t="str">
        <f t="shared" si="1102"/>
        <v>40780</v>
      </c>
      <c r="B30688" s="1" t="str">
        <f>"72679"</f>
        <v>72679</v>
      </c>
      <c r="C30688" s="2">
        <v>9.6611527404684395E-4</v>
      </c>
      <c r="D30688" s="2">
        <v>5.7273768613974704E-4</v>
      </c>
      <c r="E30688" s="2">
        <v>1.1520737327188901E-3</v>
      </c>
      <c r="F30688" s="2">
        <v>9.4021112013333897E-4</v>
      </c>
    </row>
    <row r="30689" spans="1:6" x14ac:dyDescent="0.25">
      <c r="A30689" s="1" t="str">
        <f t="shared" si="1102"/>
        <v>40780</v>
      </c>
      <c r="B30689" s="1" t="str">
        <f>"72858"</f>
        <v>72858</v>
      </c>
      <c r="C30689" s="2">
        <v>3.54634996936707E-2</v>
      </c>
      <c r="D30689" s="2">
        <v>1.74684994272623E-2</v>
      </c>
      <c r="E30689" s="2">
        <v>5.7603686635944703E-3</v>
      </c>
      <c r="F30689" s="2">
        <v>3.3569810675669901E-2</v>
      </c>
    </row>
    <row r="30690" spans="1:6" x14ac:dyDescent="0.25">
      <c r="A30690" s="1" t="str">
        <f t="shared" si="1102"/>
        <v>40780</v>
      </c>
      <c r="B30690" s="1" t="str">
        <f>"72846"</f>
        <v>72846</v>
      </c>
      <c r="C30690" s="2">
        <v>9.1898769970309604E-4</v>
      </c>
      <c r="D30690" s="2">
        <v>0</v>
      </c>
      <c r="E30690" s="2">
        <v>0</v>
      </c>
      <c r="F30690" s="2">
        <v>8.33368947390914E-4</v>
      </c>
    </row>
    <row r="30691" spans="1:6" x14ac:dyDescent="0.25">
      <c r="A30691" s="1" t="str">
        <f t="shared" si="1102"/>
        <v>40780</v>
      </c>
      <c r="B30691" s="1" t="str">
        <f>"72824"</f>
        <v>72824</v>
      </c>
      <c r="C30691" s="2">
        <v>1.66124699561713E-2</v>
      </c>
      <c r="D30691" s="2">
        <v>2.5773195876288599E-3</v>
      </c>
      <c r="E30691" s="2">
        <v>1.1520737327188901E-3</v>
      </c>
      <c r="F30691" s="2">
        <v>1.5278430702166701E-2</v>
      </c>
    </row>
    <row r="30692" spans="1:6" x14ac:dyDescent="0.25">
      <c r="A30692" s="1" t="str">
        <f t="shared" si="1102"/>
        <v>40780</v>
      </c>
      <c r="B30692" s="1" t="str">
        <f>"72853"</f>
        <v>72853</v>
      </c>
      <c r="C30692" s="2">
        <v>2.0359112116499298E-2</v>
      </c>
      <c r="D30692" s="2">
        <v>4.0091638029782304E-3</v>
      </c>
      <c r="E30692" s="2">
        <v>1.0368663594469999E-2</v>
      </c>
      <c r="F30692" s="2">
        <v>1.8953801444506101E-2</v>
      </c>
    </row>
    <row r="30693" spans="1:6" x14ac:dyDescent="0.25">
      <c r="A30693" s="1" t="str">
        <f t="shared" si="1102"/>
        <v>40780</v>
      </c>
      <c r="B30693" s="1" t="str">
        <f>"72801"</f>
        <v>72801</v>
      </c>
      <c r="C30693" s="2">
        <v>0.18985343324379</v>
      </c>
      <c r="D30693" s="2">
        <v>0.357961053837342</v>
      </c>
      <c r="E30693" s="2">
        <v>0.59792626728110498</v>
      </c>
      <c r="F30693" s="2">
        <v>0.20996623787341301</v>
      </c>
    </row>
    <row r="30694" spans="1:6" x14ac:dyDescent="0.25">
      <c r="A30694" s="1" t="str">
        <f t="shared" si="1102"/>
        <v>40780</v>
      </c>
      <c r="B30694" s="1" t="str">
        <f>"72828"</f>
        <v>72828</v>
      </c>
      <c r="C30694" s="2">
        <v>2.4506338658749202E-3</v>
      </c>
      <c r="D30694" s="2">
        <v>1.4318442153493599E-3</v>
      </c>
      <c r="E30694" s="2">
        <v>1.1520737327188901E-3</v>
      </c>
      <c r="F30694" s="2">
        <v>2.3505278003333398E-3</v>
      </c>
    </row>
    <row r="30695" spans="1:6" x14ac:dyDescent="0.25">
      <c r="A30695" s="1" t="str">
        <f t="shared" si="1102"/>
        <v>40780</v>
      </c>
      <c r="B30695" s="1" t="str">
        <f>"72857"</f>
        <v>72857</v>
      </c>
      <c r="C30695" s="2">
        <v>1.3643432772515099E-2</v>
      </c>
      <c r="D30695" s="2">
        <v>2.00458190148911E-3</v>
      </c>
      <c r="E30695" s="2">
        <v>3.4562211981566801E-3</v>
      </c>
      <c r="F30695" s="2">
        <v>1.25860079490576E-2</v>
      </c>
    </row>
    <row r="30696" spans="1:6" x14ac:dyDescent="0.25">
      <c r="A30696" s="1" t="str">
        <f t="shared" ref="A30696:A30706" si="1103">"40820"</f>
        <v>40820</v>
      </c>
      <c r="B30696" s="1" t="str">
        <f>"71003"</f>
        <v>71003</v>
      </c>
      <c r="C30696" s="2">
        <v>4.1332561792179803E-5</v>
      </c>
      <c r="D30696" s="2">
        <v>0</v>
      </c>
      <c r="E30696" s="2">
        <v>0</v>
      </c>
      <c r="F30696" s="2">
        <v>3.67457926067465E-5</v>
      </c>
    </row>
    <row r="30697" spans="1:6" x14ac:dyDescent="0.25">
      <c r="A30697" s="1" t="str">
        <f t="shared" si="1103"/>
        <v>40820</v>
      </c>
      <c r="B30697" s="1" t="str">
        <f>"71235"</f>
        <v>71235</v>
      </c>
      <c r="C30697" s="2">
        <v>7.8407869719765197E-2</v>
      </c>
      <c r="D30697" s="2">
        <v>2.4032586558044799E-2</v>
      </c>
      <c r="E30697" s="2">
        <v>1.5929203539823002E-2</v>
      </c>
      <c r="F30697" s="2">
        <v>7.2205482472256902E-2</v>
      </c>
    </row>
    <row r="30698" spans="1:6" x14ac:dyDescent="0.25">
      <c r="A30698" s="1" t="str">
        <f t="shared" si="1103"/>
        <v>40820</v>
      </c>
      <c r="B30698" s="1" t="str">
        <f>"71272"</f>
        <v>71272</v>
      </c>
      <c r="C30698" s="2">
        <v>0</v>
      </c>
      <c r="D30698" s="2">
        <v>4.0733197556008099E-4</v>
      </c>
      <c r="E30698" s="2">
        <v>0</v>
      </c>
      <c r="F30698" s="2">
        <v>3.67457926067465E-5</v>
      </c>
    </row>
    <row r="30699" spans="1:6" x14ac:dyDescent="0.25">
      <c r="A30699" s="1" t="str">
        <f t="shared" si="1103"/>
        <v>40820</v>
      </c>
      <c r="B30699" s="1" t="str">
        <f>"71270"</f>
        <v>71270</v>
      </c>
      <c r="C30699" s="2">
        <v>0.63102422088121002</v>
      </c>
      <c r="D30699" s="2">
        <v>0.63910386965376698</v>
      </c>
      <c r="E30699" s="2">
        <v>0.801769911504424</v>
      </c>
      <c r="F30699" s="2">
        <v>0.63529800837803996</v>
      </c>
    </row>
    <row r="30700" spans="1:6" x14ac:dyDescent="0.25">
      <c r="A30700" s="1" t="str">
        <f t="shared" si="1103"/>
        <v>40820</v>
      </c>
      <c r="B30700" s="1" t="str">
        <f>"71273"</f>
        <v>71273</v>
      </c>
      <c r="C30700" s="2">
        <v>7.7953211540051207E-2</v>
      </c>
      <c r="D30700" s="2">
        <v>0.19022403258655801</v>
      </c>
      <c r="E30700" s="2">
        <v>3.5398230088495501E-3</v>
      </c>
      <c r="F30700" s="2">
        <v>8.6536341588887997E-2</v>
      </c>
    </row>
    <row r="30701" spans="1:6" x14ac:dyDescent="0.25">
      <c r="A30701" s="1" t="str">
        <f t="shared" si="1103"/>
        <v>40820</v>
      </c>
      <c r="B30701" s="1" t="str">
        <f>"71275"</f>
        <v>71275</v>
      </c>
      <c r="C30701" s="2">
        <v>4.2117880466231203E-2</v>
      </c>
      <c r="D30701" s="2">
        <v>1.75152749490835E-2</v>
      </c>
      <c r="E30701" s="2">
        <v>4.6017699115044199E-2</v>
      </c>
      <c r="F30701" s="2">
        <v>3.9979422356140201E-2</v>
      </c>
    </row>
    <row r="30702" spans="1:6" x14ac:dyDescent="0.25">
      <c r="A30702" s="1" t="str">
        <f t="shared" si="1103"/>
        <v>40820</v>
      </c>
      <c r="B30702" s="1" t="str">
        <f>"71234"</f>
        <v>71234</v>
      </c>
      <c r="C30702" s="2">
        <v>3.6372654377118201E-3</v>
      </c>
      <c r="D30702" s="2">
        <v>0</v>
      </c>
      <c r="E30702" s="2">
        <v>0</v>
      </c>
      <c r="F30702" s="2">
        <v>3.2336297493936899E-3</v>
      </c>
    </row>
    <row r="30703" spans="1:6" x14ac:dyDescent="0.25">
      <c r="A30703" s="1" t="str">
        <f t="shared" si="1103"/>
        <v>40820</v>
      </c>
      <c r="B30703" s="1" t="str">
        <f>"71245"</f>
        <v>71245</v>
      </c>
      <c r="C30703" s="2">
        <v>9.1386294122509704E-2</v>
      </c>
      <c r="D30703" s="2">
        <v>0.10183299389002</v>
      </c>
      <c r="E30703" s="2">
        <v>0.123893805309734</v>
      </c>
      <c r="F30703" s="2">
        <v>9.30036010876754E-2</v>
      </c>
    </row>
    <row r="30704" spans="1:6" x14ac:dyDescent="0.25">
      <c r="A30704" s="1" t="str">
        <f t="shared" si="1103"/>
        <v>40820</v>
      </c>
      <c r="B30704" s="1" t="str">
        <f>"71227"</f>
        <v>71227</v>
      </c>
      <c r="C30704" s="2">
        <v>6.6504091923617406E-2</v>
      </c>
      <c r="D30704" s="2">
        <v>2.5254582484725001E-2</v>
      </c>
      <c r="E30704" s="2">
        <v>8.8495575221238902E-3</v>
      </c>
      <c r="F30704" s="2">
        <v>6.1585948408907097E-2</v>
      </c>
    </row>
    <row r="30705" spans="1:6" x14ac:dyDescent="0.25">
      <c r="A30705" s="1" t="str">
        <f t="shared" si="1103"/>
        <v>40820</v>
      </c>
      <c r="B30705" s="1" t="str">
        <f>"71001"</f>
        <v>71001</v>
      </c>
      <c r="C30705" s="2">
        <v>8.4731751673968701E-3</v>
      </c>
      <c r="D30705" s="2">
        <v>1.6293279022403201E-3</v>
      </c>
      <c r="E30705" s="2">
        <v>0</v>
      </c>
      <c r="F30705" s="2">
        <v>7.6798706548100197E-3</v>
      </c>
    </row>
    <row r="30706" spans="1:6" x14ac:dyDescent="0.25">
      <c r="A30706" s="1" t="str">
        <f t="shared" si="1103"/>
        <v>40820</v>
      </c>
      <c r="B30706" s="1" t="str">
        <f>"71241"</f>
        <v>71241</v>
      </c>
      <c r="C30706" s="2">
        <v>4.54658179713978E-4</v>
      </c>
      <c r="D30706" s="2">
        <v>0</v>
      </c>
      <c r="E30706" s="2">
        <v>0</v>
      </c>
      <c r="F30706" s="2">
        <v>4.0420371867421102E-4</v>
      </c>
    </row>
    <row r="30707" spans="1:6" x14ac:dyDescent="0.25">
      <c r="A30707" s="1" t="str">
        <f t="shared" ref="A30707:A30742" si="1104">"40860"</f>
        <v>40860</v>
      </c>
      <c r="B30707" s="1" t="str">
        <f>"05253"</f>
        <v>05253</v>
      </c>
      <c r="C30707" s="2">
        <v>5.1424768588541304E-4</v>
      </c>
      <c r="D30707" s="2">
        <v>3.6496350364963501E-4</v>
      </c>
      <c r="E30707" s="2">
        <v>0</v>
      </c>
      <c r="F30707" s="2">
        <v>4.7860884362785502E-4</v>
      </c>
    </row>
    <row r="30708" spans="1:6" x14ac:dyDescent="0.25">
      <c r="A30708" s="1" t="str">
        <f t="shared" si="1104"/>
        <v>40860</v>
      </c>
      <c r="B30708" s="1" t="str">
        <f>"05765"</f>
        <v>05765</v>
      </c>
      <c r="C30708" s="2">
        <v>2.5288886200012E-2</v>
      </c>
      <c r="D30708" s="2">
        <v>6.5693430656934299E-3</v>
      </c>
      <c r="E30708" s="2">
        <v>8.8348978464936403E-3</v>
      </c>
      <c r="F30708" s="2">
        <v>2.31327607753463E-2</v>
      </c>
    </row>
    <row r="30709" spans="1:6" x14ac:dyDescent="0.25">
      <c r="A30709" s="1" t="str">
        <f t="shared" si="1104"/>
        <v>40860</v>
      </c>
      <c r="B30709" s="1" t="str">
        <f>"05731"</f>
        <v>05731</v>
      </c>
      <c r="C30709" s="2">
        <v>0</v>
      </c>
      <c r="D30709" s="2">
        <v>0</v>
      </c>
      <c r="E30709" s="2">
        <v>5.5218111540585296E-4</v>
      </c>
      <c r="F30709" s="2">
        <v>2.65893802015475E-5</v>
      </c>
    </row>
    <row r="30710" spans="1:6" x14ac:dyDescent="0.25">
      <c r="A30710" s="1" t="str">
        <f t="shared" si="1104"/>
        <v>40860</v>
      </c>
      <c r="B30710" s="1" t="str">
        <f>"05732"</f>
        <v>05732</v>
      </c>
      <c r="C30710" s="2">
        <v>1.25234436445035E-2</v>
      </c>
      <c r="D30710" s="2">
        <v>1.8248175182481699E-3</v>
      </c>
      <c r="E30710" s="2">
        <v>2.76090557702926E-3</v>
      </c>
      <c r="F30710" s="2">
        <v>1.12738972054561E-2</v>
      </c>
    </row>
    <row r="30711" spans="1:6" x14ac:dyDescent="0.25">
      <c r="A30711" s="1" t="str">
        <f t="shared" si="1104"/>
        <v>40860</v>
      </c>
      <c r="B30711" s="1" t="str">
        <f>"05739"</f>
        <v>05739</v>
      </c>
      <c r="C30711" s="2">
        <v>2.03279085244116E-2</v>
      </c>
      <c r="D30711" s="2">
        <v>1.4598540145985399E-2</v>
      </c>
      <c r="E30711" s="2">
        <v>1.1043622308117001E-3</v>
      </c>
      <c r="F30711" s="2">
        <v>1.8984817463904902E-2</v>
      </c>
    </row>
    <row r="30712" spans="1:6" x14ac:dyDescent="0.25">
      <c r="A30712" s="1" t="str">
        <f t="shared" si="1104"/>
        <v>40860</v>
      </c>
      <c r="B30712" s="1" t="str">
        <f>"05774"</f>
        <v>05774</v>
      </c>
      <c r="C30712" s="2">
        <v>2.6105632524653598E-2</v>
      </c>
      <c r="D30712" s="2">
        <v>2.9197080291970801E-3</v>
      </c>
      <c r="E30712" s="2">
        <v>4.4174489232468202E-3</v>
      </c>
      <c r="F30712" s="2">
        <v>2.3372065197160199E-2</v>
      </c>
    </row>
    <row r="30713" spans="1:6" x14ac:dyDescent="0.25">
      <c r="A30713" s="1" t="str">
        <f t="shared" si="1104"/>
        <v>40860</v>
      </c>
      <c r="B30713" s="1" t="str">
        <f>"05775"</f>
        <v>05775</v>
      </c>
      <c r="C30713" s="2">
        <v>7.3507169217738502E-3</v>
      </c>
      <c r="D30713" s="2">
        <v>1.8248175182481699E-3</v>
      </c>
      <c r="E30713" s="2">
        <v>3.8652678078409698E-3</v>
      </c>
      <c r="F30713" s="2">
        <v>6.7802919513946097E-3</v>
      </c>
    </row>
    <row r="30714" spans="1:6" x14ac:dyDescent="0.25">
      <c r="A30714" s="1" t="str">
        <f t="shared" si="1104"/>
        <v>40860</v>
      </c>
      <c r="B30714" s="1" t="str">
        <f>"05773"</f>
        <v>05773</v>
      </c>
      <c r="C30714" s="2">
        <v>2.7860124629439102E-2</v>
      </c>
      <c r="D30714" s="2">
        <v>8.0291970802919693E-3</v>
      </c>
      <c r="E30714" s="2">
        <v>2.2087244616234101E-3</v>
      </c>
      <c r="F30714" s="2">
        <v>2.5180143050865401E-2</v>
      </c>
    </row>
    <row r="30715" spans="1:6" x14ac:dyDescent="0.25">
      <c r="A30715" s="1" t="str">
        <f t="shared" si="1104"/>
        <v>40860</v>
      </c>
      <c r="B30715" s="1" t="str">
        <f>"05738"</f>
        <v>05738</v>
      </c>
      <c r="C30715" s="2">
        <v>1.7151672817472301E-2</v>
      </c>
      <c r="D30715" s="2">
        <v>4.0145985401459803E-3</v>
      </c>
      <c r="E30715" s="2">
        <v>5.5218111540585296E-4</v>
      </c>
      <c r="F30715" s="2">
        <v>1.5395251136696E-2</v>
      </c>
    </row>
    <row r="30716" spans="1:6" x14ac:dyDescent="0.25">
      <c r="A30716" s="1" t="str">
        <f t="shared" si="1104"/>
        <v>40860</v>
      </c>
      <c r="B30716" s="1" t="str">
        <f>"05762"</f>
        <v>05762</v>
      </c>
      <c r="C30716" s="2">
        <v>5.68697440861516E-3</v>
      </c>
      <c r="D30716" s="2">
        <v>1.4598540145985401E-3</v>
      </c>
      <c r="E30716" s="2">
        <v>5.5218111540585296E-4</v>
      </c>
      <c r="F30716" s="2">
        <v>5.1317503788986599E-3</v>
      </c>
    </row>
    <row r="30717" spans="1:6" x14ac:dyDescent="0.25">
      <c r="A30717" s="1" t="str">
        <f t="shared" si="1104"/>
        <v>40860</v>
      </c>
      <c r="B30717" s="1" t="str">
        <f>"05778"</f>
        <v>05778</v>
      </c>
      <c r="C30717" s="2">
        <v>3.9324823038296299E-4</v>
      </c>
      <c r="D30717" s="2">
        <v>0</v>
      </c>
      <c r="E30717" s="2">
        <v>5.5218111540585296E-4</v>
      </c>
      <c r="F30717" s="2">
        <v>3.72251322821665E-4</v>
      </c>
    </row>
    <row r="30718" spans="1:6" x14ac:dyDescent="0.25">
      <c r="A30718" s="1" t="str">
        <f t="shared" si="1104"/>
        <v>40860</v>
      </c>
      <c r="B30718" s="1" t="str">
        <f>"05701"</f>
        <v>05701</v>
      </c>
      <c r="C30718" s="2">
        <v>0.32893701978341</v>
      </c>
      <c r="D30718" s="2">
        <v>0.57481751824817495</v>
      </c>
      <c r="E30718" s="2">
        <v>0.66758696852567601</v>
      </c>
      <c r="F30718" s="2">
        <v>0.36315775479273499</v>
      </c>
    </row>
    <row r="30719" spans="1:6" x14ac:dyDescent="0.25">
      <c r="A30719" s="1" t="str">
        <f t="shared" si="1104"/>
        <v>40860</v>
      </c>
      <c r="B30719" s="1" t="str">
        <f>"05733"</f>
        <v>05733</v>
      </c>
      <c r="C30719" s="2">
        <v>7.31744207151067E-2</v>
      </c>
      <c r="D30719" s="2">
        <v>5.8759124087591201E-2</v>
      </c>
      <c r="E30719" s="2">
        <v>5.4113749309773598E-2</v>
      </c>
      <c r="F30719" s="2">
        <v>7.1206360179744202E-2</v>
      </c>
    </row>
    <row r="30720" spans="1:6" x14ac:dyDescent="0.25">
      <c r="A30720" s="1" t="str">
        <f t="shared" si="1104"/>
        <v>40860</v>
      </c>
      <c r="B30720" s="1" t="str">
        <f>"05735"</f>
        <v>05735</v>
      </c>
      <c r="C30720" s="2">
        <v>9.4621574202916003E-2</v>
      </c>
      <c r="D30720" s="2">
        <v>8.3941605839415994E-3</v>
      </c>
      <c r="E30720" s="2">
        <v>1.8774157923798999E-2</v>
      </c>
      <c r="F30720" s="2">
        <v>8.4687175941928705E-2</v>
      </c>
    </row>
    <row r="30721" spans="1:6" x14ac:dyDescent="0.25">
      <c r="A30721" s="1" t="str">
        <f t="shared" si="1104"/>
        <v>40860</v>
      </c>
      <c r="B30721" s="1" t="str">
        <f>"05742"</f>
        <v>05742</v>
      </c>
      <c r="C30721" s="2">
        <v>9.5892068485691796E-3</v>
      </c>
      <c r="D30721" s="2">
        <v>1.0948905109489E-3</v>
      </c>
      <c r="E30721" s="2">
        <v>5.5218111540585296E-4</v>
      </c>
      <c r="F30721" s="2">
        <v>8.5351910446967404E-3</v>
      </c>
    </row>
    <row r="30722" spans="1:6" x14ac:dyDescent="0.25">
      <c r="A30722" s="1" t="str">
        <f t="shared" si="1104"/>
        <v>40860</v>
      </c>
      <c r="B30722" s="1" t="str">
        <f>"05777"</f>
        <v>05777</v>
      </c>
      <c r="C30722" s="2">
        <v>4.02625688184403E-2</v>
      </c>
      <c r="D30722" s="2">
        <v>9.12408759124087E-3</v>
      </c>
      <c r="E30722" s="2">
        <v>2.3191606847045802E-2</v>
      </c>
      <c r="F30722" s="2">
        <v>3.7171953521763397E-2</v>
      </c>
    </row>
    <row r="30723" spans="1:6" x14ac:dyDescent="0.25">
      <c r="A30723" s="1" t="str">
        <f t="shared" si="1104"/>
        <v>40860</v>
      </c>
      <c r="B30723" s="1" t="str">
        <f>"05763"</f>
        <v>05763</v>
      </c>
      <c r="C30723" s="2">
        <v>3.7056083247625299E-2</v>
      </c>
      <c r="D30723" s="2">
        <v>1.53284671532846E-2</v>
      </c>
      <c r="E30723" s="2">
        <v>2.37437879624516E-2</v>
      </c>
      <c r="F30723" s="2">
        <v>3.4832088064027197E-2</v>
      </c>
    </row>
    <row r="30724" spans="1:6" x14ac:dyDescent="0.25">
      <c r="A30724" s="1" t="str">
        <f t="shared" si="1104"/>
        <v>40860</v>
      </c>
      <c r="B30724" s="1" t="str">
        <f>"05757"</f>
        <v>05757</v>
      </c>
      <c r="C30724" s="2">
        <v>1.4852683162925699E-2</v>
      </c>
      <c r="D30724" s="2">
        <v>1.4598540145985401E-3</v>
      </c>
      <c r="E30724" s="2">
        <v>2.76090557702926E-3</v>
      </c>
      <c r="F30724" s="2">
        <v>1.32946901007737E-2</v>
      </c>
    </row>
    <row r="30725" spans="1:6" x14ac:dyDescent="0.25">
      <c r="A30725" s="1" t="str">
        <f t="shared" si="1104"/>
        <v>40860</v>
      </c>
      <c r="B30725" s="1" t="str">
        <f>"05758"</f>
        <v>05758</v>
      </c>
      <c r="C30725" s="2">
        <v>1.2856192147135299E-2</v>
      </c>
      <c r="D30725" s="2">
        <v>3.2846715328467102E-3</v>
      </c>
      <c r="E30725" s="2">
        <v>1.65654334621755E-3</v>
      </c>
      <c r="F30725" s="2">
        <v>1.16195591480762E-2</v>
      </c>
    </row>
    <row r="30726" spans="1:6" x14ac:dyDescent="0.25">
      <c r="A30726" s="1" t="str">
        <f t="shared" si="1104"/>
        <v>40860</v>
      </c>
      <c r="B30726" s="1" t="str">
        <f>"05745"</f>
        <v>05745</v>
      </c>
      <c r="C30726" s="2">
        <v>0</v>
      </c>
      <c r="D30726" s="2">
        <v>0</v>
      </c>
      <c r="E30726" s="2">
        <v>5.5218111540585296E-4</v>
      </c>
      <c r="F30726" s="2">
        <v>2.65893802015475E-5</v>
      </c>
    </row>
    <row r="30727" spans="1:6" x14ac:dyDescent="0.25">
      <c r="A30727" s="1" t="str">
        <f t="shared" si="1104"/>
        <v>40860</v>
      </c>
      <c r="B30727" s="1" t="str">
        <f>"05750"</f>
        <v>05750</v>
      </c>
      <c r="C30727" s="2">
        <v>0</v>
      </c>
      <c r="D30727" s="2">
        <v>0</v>
      </c>
      <c r="E30727" s="2">
        <v>5.5218111540585296E-4</v>
      </c>
      <c r="F30727" s="2">
        <v>2.65893802015475E-5</v>
      </c>
    </row>
    <row r="30728" spans="1:6" x14ac:dyDescent="0.25">
      <c r="A30728" s="1" t="str">
        <f t="shared" si="1104"/>
        <v>40860</v>
      </c>
      <c r="B30728" s="1" t="str">
        <f>"05743"</f>
        <v>05743</v>
      </c>
      <c r="C30728" s="2">
        <v>6.4250710871800995E-2</v>
      </c>
      <c r="D30728" s="2">
        <v>4.70802919708029E-2</v>
      </c>
      <c r="E30728" s="2">
        <v>4.9696300386526698E-2</v>
      </c>
      <c r="F30728" s="2">
        <v>6.2298917812225699E-2</v>
      </c>
    </row>
    <row r="30729" spans="1:6" x14ac:dyDescent="0.25">
      <c r="A30729" s="1" t="str">
        <f t="shared" si="1104"/>
        <v>40860</v>
      </c>
      <c r="B30729" s="1" t="str">
        <f>"05737"</f>
        <v>05737</v>
      </c>
      <c r="C30729" s="2">
        <v>9.6497065763204003E-3</v>
      </c>
      <c r="D30729" s="2">
        <v>2.18978102189781E-3</v>
      </c>
      <c r="E30729" s="2">
        <v>0</v>
      </c>
      <c r="F30729" s="2">
        <v>8.6415485655029298E-3</v>
      </c>
    </row>
    <row r="30730" spans="1:6" x14ac:dyDescent="0.25">
      <c r="A30730" s="1" t="str">
        <f t="shared" si="1104"/>
        <v>40860</v>
      </c>
      <c r="B30730" s="1" t="str">
        <f>"05760"</f>
        <v>05760</v>
      </c>
      <c r="C30730" s="2">
        <v>9.0749591626837598E-4</v>
      </c>
      <c r="D30730" s="2">
        <v>3.6496350364963501E-4</v>
      </c>
      <c r="E30730" s="2">
        <v>1.1043622308117E-2</v>
      </c>
      <c r="F30730" s="2">
        <v>1.3560583902789199E-3</v>
      </c>
    </row>
    <row r="30731" spans="1:6" x14ac:dyDescent="0.25">
      <c r="A30731" s="1" t="str">
        <f t="shared" si="1104"/>
        <v>40860</v>
      </c>
      <c r="B30731" s="1" t="str">
        <f>"05741"</f>
        <v>05741</v>
      </c>
      <c r="C30731" s="2">
        <v>9.0749591626837603E-5</v>
      </c>
      <c r="D30731" s="2">
        <v>0</v>
      </c>
      <c r="E30731" s="2">
        <v>5.5218111540585296E-4</v>
      </c>
      <c r="F30731" s="2">
        <v>1.0635752080619E-4</v>
      </c>
    </row>
    <row r="30732" spans="1:6" x14ac:dyDescent="0.25">
      <c r="A30732" s="1" t="str">
        <f t="shared" si="1104"/>
        <v>40860</v>
      </c>
      <c r="B30732" s="1" t="str">
        <f>"05730"</f>
        <v>05730</v>
      </c>
      <c r="C30732" s="2">
        <v>4.90047794784923E-3</v>
      </c>
      <c r="D30732" s="2">
        <v>3.6496350364963501E-4</v>
      </c>
      <c r="E30732" s="2">
        <v>5.5218111540585296E-4</v>
      </c>
      <c r="F30732" s="2">
        <v>4.3606583530537901E-3</v>
      </c>
    </row>
    <row r="30733" spans="1:6" x14ac:dyDescent="0.25">
      <c r="A30733" s="1" t="str">
        <f t="shared" si="1104"/>
        <v>40860</v>
      </c>
      <c r="B30733" s="1" t="str">
        <f>"05736"</f>
        <v>05736</v>
      </c>
      <c r="C30733" s="2">
        <v>7.5927158327787504E-3</v>
      </c>
      <c r="D30733" s="2">
        <v>1.3868613138686099E-2</v>
      </c>
      <c r="E30733" s="2">
        <v>1.4356709000552101E-2</v>
      </c>
      <c r="F30733" s="2">
        <v>8.3756547634874605E-3</v>
      </c>
    </row>
    <row r="30734" spans="1:6" x14ac:dyDescent="0.25">
      <c r="A30734" s="1" t="str">
        <f t="shared" si="1104"/>
        <v>40860</v>
      </c>
      <c r="B30734" s="1" t="str">
        <f>"05744"</f>
        <v>05744</v>
      </c>
      <c r="C30734" s="2">
        <v>8.2279629741666103E-3</v>
      </c>
      <c r="D30734" s="2">
        <v>1.0948905109489E-3</v>
      </c>
      <c r="E30734" s="2">
        <v>3.8652678078409698E-3</v>
      </c>
      <c r="F30734" s="2">
        <v>7.49820521683639E-3</v>
      </c>
    </row>
    <row r="30735" spans="1:6" x14ac:dyDescent="0.25">
      <c r="A30735" s="1" t="str">
        <f t="shared" si="1104"/>
        <v>40860</v>
      </c>
      <c r="B30735" s="1" t="str">
        <f>"05764"</f>
        <v>05764</v>
      </c>
      <c r="C30735" s="2">
        <v>5.0063524714138698E-2</v>
      </c>
      <c r="D30735" s="2">
        <v>4.0875912408759103E-2</v>
      </c>
      <c r="E30735" s="2">
        <v>7.1783545002760907E-2</v>
      </c>
      <c r="F30735" s="2">
        <v>5.0440054242335601E-2</v>
      </c>
    </row>
    <row r="30736" spans="1:6" x14ac:dyDescent="0.25">
      <c r="A30736" s="1" t="str">
        <f t="shared" si="1104"/>
        <v>40860</v>
      </c>
      <c r="B30736" s="1" t="str">
        <f>"05767"</f>
        <v>05767</v>
      </c>
      <c r="C30736" s="2">
        <v>3.32748502631738E-4</v>
      </c>
      <c r="D30736" s="2">
        <v>0</v>
      </c>
      <c r="E30736" s="2">
        <v>0</v>
      </c>
      <c r="F30736" s="2">
        <v>2.9248318221702197E-4</v>
      </c>
    </row>
    <row r="30737" spans="1:6" x14ac:dyDescent="0.25">
      <c r="A30737" s="1" t="str">
        <f t="shared" si="1104"/>
        <v>40860</v>
      </c>
      <c r="B30737" s="1" t="str">
        <f>"05772"</f>
        <v>05772</v>
      </c>
      <c r="C30737" s="2">
        <v>6.0499727751225098E-5</v>
      </c>
      <c r="D30737" s="2">
        <v>0</v>
      </c>
      <c r="E30737" s="2">
        <v>0</v>
      </c>
      <c r="F30737" s="2">
        <v>5.3178760403095001E-5</v>
      </c>
    </row>
    <row r="30738" spans="1:6" x14ac:dyDescent="0.25">
      <c r="A30738" s="1" t="str">
        <f t="shared" si="1104"/>
        <v>40860</v>
      </c>
      <c r="B30738" s="1" t="str">
        <f>"05761"</f>
        <v>05761</v>
      </c>
      <c r="C30738" s="2">
        <v>1.3309940105269501E-2</v>
      </c>
      <c r="D30738" s="2">
        <v>1.0948905109489E-3</v>
      </c>
      <c r="E30738" s="2">
        <v>5.5218111540585296E-4</v>
      </c>
      <c r="F30738" s="2">
        <v>1.1805684809487E-2</v>
      </c>
    </row>
    <row r="30739" spans="1:6" x14ac:dyDescent="0.25">
      <c r="A30739" s="1" t="str">
        <f t="shared" si="1104"/>
        <v>40860</v>
      </c>
      <c r="B30739" s="1" t="str">
        <f>"05751"</f>
        <v>05751</v>
      </c>
      <c r="C30739" s="2">
        <v>2.4562889466997299E-2</v>
      </c>
      <c r="D30739" s="2">
        <v>3.7956204379562E-2</v>
      </c>
      <c r="E30739" s="2">
        <v>1.8774157923798999E-2</v>
      </c>
      <c r="F30739" s="2">
        <v>2.52599111914701E-2</v>
      </c>
    </row>
    <row r="30740" spans="1:6" x14ac:dyDescent="0.25">
      <c r="A30740" s="1" t="str">
        <f t="shared" si="1104"/>
        <v>40860</v>
      </c>
      <c r="B30740" s="1" t="str">
        <f>"05702"</f>
        <v>05702</v>
      </c>
      <c r="C30740" s="2">
        <v>3.3970597132312902E-2</v>
      </c>
      <c r="D30740" s="2">
        <v>0.120437956204379</v>
      </c>
      <c r="E30740" s="2">
        <v>5.5218111540585296E-4</v>
      </c>
      <c r="F30740" s="2">
        <v>3.8660958813049998E-2</v>
      </c>
    </row>
    <row r="30741" spans="1:6" x14ac:dyDescent="0.25">
      <c r="A30741" s="1" t="str">
        <f t="shared" si="1104"/>
        <v>40860</v>
      </c>
      <c r="B30741" s="1" t="str">
        <f>"05251"</f>
        <v>05251</v>
      </c>
      <c r="C30741" s="2">
        <v>6.0499727751225098E-5</v>
      </c>
      <c r="D30741" s="2">
        <v>0</v>
      </c>
      <c r="E30741" s="2">
        <v>0</v>
      </c>
      <c r="F30741" s="2">
        <v>5.3178760403095001E-5</v>
      </c>
    </row>
    <row r="30742" spans="1:6" x14ac:dyDescent="0.25">
      <c r="A30742" s="1" t="str">
        <f t="shared" si="1104"/>
        <v>40860</v>
      </c>
      <c r="B30742" s="1" t="str">
        <f>"05759"</f>
        <v>05759</v>
      </c>
      <c r="C30742" s="2">
        <v>2.7466876399056199E-2</v>
      </c>
      <c r="D30742" s="2">
        <v>2.08029197080291E-2</v>
      </c>
      <c r="E30742" s="2">
        <v>9.3870789618994994E-3</v>
      </c>
      <c r="F30742" s="2">
        <v>2.6110771357919602E-2</v>
      </c>
    </row>
    <row r="30743" spans="1:6" x14ac:dyDescent="0.25">
      <c r="A30743" s="1" t="str">
        <f t="shared" ref="A30743:A30774" si="1105">"40900"</f>
        <v>40900</v>
      </c>
      <c r="B30743" s="1" t="str">
        <f>"95722"</f>
        <v>95722</v>
      </c>
      <c r="C30743" s="2">
        <v>2.8824457214399499E-3</v>
      </c>
      <c r="D30743" s="2">
        <v>1.8698179331566799E-3</v>
      </c>
      <c r="E30743" s="2">
        <v>4.6376811594202799E-4</v>
      </c>
      <c r="F30743" s="2">
        <v>2.7037965323562598E-3</v>
      </c>
    </row>
    <row r="30744" spans="1:6" x14ac:dyDescent="0.25">
      <c r="A30744" s="1" t="str">
        <f t="shared" si="1105"/>
        <v>40900</v>
      </c>
      <c r="B30744" s="1" t="str">
        <f>"95829"</f>
        <v>95829</v>
      </c>
      <c r="C30744" s="2">
        <v>1.1237242262505E-2</v>
      </c>
      <c r="D30744" s="2">
        <v>4.8828959740148696E-3</v>
      </c>
      <c r="E30744" s="2">
        <v>8.8115942028985496E-4</v>
      </c>
      <c r="F30744" s="2">
        <v>1.03027839322875E-2</v>
      </c>
    </row>
    <row r="30745" spans="1:6" x14ac:dyDescent="0.25">
      <c r="A30745" s="1" t="str">
        <f t="shared" si="1105"/>
        <v>40900</v>
      </c>
      <c r="B30745" s="1" t="str">
        <f>"95621"</f>
        <v>95621</v>
      </c>
      <c r="C30745" s="2">
        <v>1.90212777274298E-2</v>
      </c>
      <c r="D30745" s="2">
        <v>5.8552012992563402E-3</v>
      </c>
      <c r="E30745" s="2">
        <v>1.3773913043478201E-2</v>
      </c>
      <c r="F30745" s="2">
        <v>1.7712424811034799E-2</v>
      </c>
    </row>
    <row r="30746" spans="1:6" x14ac:dyDescent="0.25">
      <c r="A30746" s="1" t="str">
        <f t="shared" si="1105"/>
        <v>40900</v>
      </c>
      <c r="B30746" s="1" t="str">
        <f>"95636"</f>
        <v>95636</v>
      </c>
      <c r="C30746" s="2">
        <v>1.17629970889139E-4</v>
      </c>
      <c r="D30746" s="2">
        <v>1.06846739037524E-5</v>
      </c>
      <c r="E30746" s="2">
        <v>2.3188405797101399E-5</v>
      </c>
      <c r="F30746" s="2">
        <v>1.04993094684926E-4</v>
      </c>
    </row>
    <row r="30747" spans="1:6" x14ac:dyDescent="0.25">
      <c r="A30747" s="1" t="str">
        <f t="shared" si="1105"/>
        <v>40900</v>
      </c>
      <c r="B30747" s="1" t="str">
        <f>"95648"</f>
        <v>95648</v>
      </c>
      <c r="C30747" s="2">
        <v>2.32539109408147E-2</v>
      </c>
      <c r="D30747" s="2">
        <v>1.58881100948799E-2</v>
      </c>
      <c r="E30747" s="2">
        <v>9.9710144927536194E-3</v>
      </c>
      <c r="F30747" s="2">
        <v>2.2121237410924099E-2</v>
      </c>
    </row>
    <row r="30748" spans="1:6" x14ac:dyDescent="0.25">
      <c r="A30748" s="1" t="str">
        <f t="shared" si="1105"/>
        <v>40900</v>
      </c>
      <c r="B30748" s="1" t="str">
        <f>"95662"</f>
        <v>95662</v>
      </c>
      <c r="C30748" s="2">
        <v>1.4835696502400599E-2</v>
      </c>
      <c r="D30748" s="2">
        <v>1.15821865116676E-2</v>
      </c>
      <c r="E30748" s="2">
        <v>5.8202898550724601E-3</v>
      </c>
      <c r="F30748" s="2">
        <v>1.4213552365081599E-2</v>
      </c>
    </row>
    <row r="30749" spans="1:6" x14ac:dyDescent="0.25">
      <c r="A30749" s="1" t="str">
        <f t="shared" si="1105"/>
        <v>40900</v>
      </c>
      <c r="B30749" s="1" t="str">
        <f>"95670"</f>
        <v>95670</v>
      </c>
      <c r="C30749" s="2">
        <v>2.3346992048213899E-2</v>
      </c>
      <c r="D30749" s="2">
        <v>2.2469869219591401E-2</v>
      </c>
      <c r="E30749" s="2">
        <v>3.09565217391304E-2</v>
      </c>
      <c r="F30749" s="2">
        <v>2.3567808937694199E-2</v>
      </c>
    </row>
    <row r="30750" spans="1:6" x14ac:dyDescent="0.25">
      <c r="A30750" s="1" t="str">
        <f t="shared" si="1105"/>
        <v>40900</v>
      </c>
      <c r="B30750" s="1" t="str">
        <f>"95866"</f>
        <v>95866</v>
      </c>
      <c r="C30750" s="2">
        <v>9.3387968192855798E-4</v>
      </c>
      <c r="D30750" s="2">
        <v>1.9766646721942E-3</v>
      </c>
      <c r="E30750" s="2">
        <v>4.6376811594202797E-5</v>
      </c>
      <c r="F30750" s="2">
        <v>9.8711456541383802E-4</v>
      </c>
    </row>
    <row r="30751" spans="1:6" x14ac:dyDescent="0.25">
      <c r="A30751" s="1" t="str">
        <f t="shared" si="1105"/>
        <v>40900</v>
      </c>
      <c r="B30751" s="1" t="str">
        <f>"95615"</f>
        <v>95615</v>
      </c>
      <c r="C30751" s="2">
        <v>1.1558423226498E-4</v>
      </c>
      <c r="D30751" s="2">
        <v>9.6162065133772106E-5</v>
      </c>
      <c r="E30751" s="2">
        <v>2.3188405797101399E-5</v>
      </c>
      <c r="F30751" s="2">
        <v>1.1037735595082E-4</v>
      </c>
    </row>
    <row r="30752" spans="1:6" x14ac:dyDescent="0.25">
      <c r="A30752" s="1" t="str">
        <f t="shared" si="1105"/>
        <v>40900</v>
      </c>
      <c r="B30752" s="1" t="str">
        <f>"96150"</f>
        <v>96150</v>
      </c>
      <c r="C30752" s="2">
        <v>1.4109459290824199E-2</v>
      </c>
      <c r="D30752" s="2">
        <v>1.7854090093170301E-2</v>
      </c>
      <c r="E30752" s="2">
        <v>2.9704347826086899E-2</v>
      </c>
      <c r="F30752" s="2">
        <v>1.50274731931092E-2</v>
      </c>
    </row>
    <row r="30753" spans="1:6" x14ac:dyDescent="0.25">
      <c r="A30753" s="1" t="str">
        <f t="shared" si="1105"/>
        <v>40900</v>
      </c>
      <c r="B30753" s="1" t="str">
        <f>"96143"</f>
        <v>96143</v>
      </c>
      <c r="C30753" s="2">
        <v>2.3024788214908898E-3</v>
      </c>
      <c r="D30753" s="2">
        <v>1.3462689118728E-3</v>
      </c>
      <c r="E30753" s="2">
        <v>3.2463768115942001E-4</v>
      </c>
      <c r="F30753" s="2">
        <v>2.1456281144586198E-3</v>
      </c>
    </row>
    <row r="30754" spans="1:6" x14ac:dyDescent="0.25">
      <c r="A30754" s="1" t="str">
        <f t="shared" si="1105"/>
        <v>40900</v>
      </c>
      <c r="B30754" s="1" t="str">
        <f>"96158"</f>
        <v>96158</v>
      </c>
      <c r="C30754" s="2">
        <v>3.0307617716914701E-3</v>
      </c>
      <c r="D30754" s="2">
        <v>2.9489699974356702E-3</v>
      </c>
      <c r="E30754" s="2">
        <v>4.6376811594202797E-5</v>
      </c>
      <c r="F30754" s="2">
        <v>2.9083984604602198E-3</v>
      </c>
    </row>
    <row r="30755" spans="1:6" x14ac:dyDescent="0.25">
      <c r="A30755" s="1" t="str">
        <f t="shared" si="1105"/>
        <v>40900</v>
      </c>
      <c r="B30755" s="1" t="str">
        <f>"96161"</f>
        <v>96161</v>
      </c>
      <c r="C30755" s="2">
        <v>2.4364747013732998E-3</v>
      </c>
      <c r="D30755" s="2">
        <v>1.8698179331566799E-3</v>
      </c>
      <c r="E30755" s="2">
        <v>1.15942028985507E-3</v>
      </c>
      <c r="F30755" s="2">
        <v>2.3394615200307898E-3</v>
      </c>
    </row>
    <row r="30756" spans="1:6" x14ac:dyDescent="0.25">
      <c r="A30756" s="1" t="str">
        <f t="shared" si="1105"/>
        <v>40900</v>
      </c>
      <c r="B30756" s="1" t="str">
        <f>"95698"</f>
        <v>95698</v>
      </c>
      <c r="C30756" s="2">
        <v>0</v>
      </c>
      <c r="D30756" s="2">
        <v>0</v>
      </c>
      <c r="E30756" s="2">
        <v>2.3188405797101399E-5</v>
      </c>
      <c r="F30756" s="2">
        <v>8.9737687764894398E-7</v>
      </c>
    </row>
    <row r="30757" spans="1:6" x14ac:dyDescent="0.25">
      <c r="A30757" s="1" t="str">
        <f t="shared" si="1105"/>
        <v>40900</v>
      </c>
      <c r="B30757" s="1" t="str">
        <f>"95762"</f>
        <v>95762</v>
      </c>
      <c r="C30757" s="2">
        <v>1.9077535539594199E-2</v>
      </c>
      <c r="D30757" s="2">
        <v>1.7394649115309E-2</v>
      </c>
      <c r="E30757" s="2">
        <v>7.6521739130434698E-3</v>
      </c>
      <c r="F30757" s="2">
        <v>1.8494040071466999E-2</v>
      </c>
    </row>
    <row r="30758" spans="1:6" x14ac:dyDescent="0.25">
      <c r="A30758" s="1" t="str">
        <f t="shared" si="1105"/>
        <v>40900</v>
      </c>
      <c r="B30758" s="1" t="str">
        <f>"95812"</f>
        <v>95812</v>
      </c>
      <c r="C30758" s="2">
        <v>1.6775056718103299E-3</v>
      </c>
      <c r="D30758" s="2">
        <v>2.8634926062056499E-3</v>
      </c>
      <c r="E30758" s="2">
        <v>4.6376811594202797E-5</v>
      </c>
      <c r="F30758" s="2">
        <v>1.71398983630948E-3</v>
      </c>
    </row>
    <row r="30759" spans="1:6" x14ac:dyDescent="0.25">
      <c r="A30759" s="1" t="str">
        <f t="shared" si="1105"/>
        <v>40900</v>
      </c>
      <c r="B30759" s="1" t="str">
        <f>"95816"</f>
        <v>95816</v>
      </c>
      <c r="C30759" s="2">
        <v>1.36532595776368E-2</v>
      </c>
      <c r="D30759" s="2">
        <v>2.2897256175741499E-2</v>
      </c>
      <c r="E30759" s="2">
        <v>4.8371014492753599E-2</v>
      </c>
      <c r="F30759" s="2">
        <v>1.5773193378435399E-2</v>
      </c>
    </row>
    <row r="30760" spans="1:6" x14ac:dyDescent="0.25">
      <c r="A30760" s="1" t="str">
        <f t="shared" si="1105"/>
        <v>40900</v>
      </c>
      <c r="B30760" s="1" t="str">
        <f>"95682"</f>
        <v>95682</v>
      </c>
      <c r="C30760" s="2">
        <v>1.21342986491987E-2</v>
      </c>
      <c r="D30760" s="2">
        <v>1.3078040858193E-2</v>
      </c>
      <c r="E30760" s="2">
        <v>1.26608695652173E-2</v>
      </c>
      <c r="F30760" s="2">
        <v>1.2233938972988001E-2</v>
      </c>
    </row>
    <row r="30761" spans="1:6" x14ac:dyDescent="0.25">
      <c r="A30761" s="1" t="str">
        <f t="shared" si="1105"/>
        <v>40900</v>
      </c>
      <c r="B30761" s="1" t="str">
        <f>"95741"</f>
        <v>95741</v>
      </c>
      <c r="C30761" s="2">
        <v>1.9342458691422801E-3</v>
      </c>
      <c r="D30761" s="2">
        <v>4.3807163005385001E-3</v>
      </c>
      <c r="E30761" s="2">
        <v>4.6376811594202797E-5</v>
      </c>
      <c r="F30761" s="2">
        <v>2.0666589492255101E-3</v>
      </c>
    </row>
    <row r="30762" spans="1:6" x14ac:dyDescent="0.25">
      <c r="A30762" s="1" t="str">
        <f t="shared" si="1105"/>
        <v>40900</v>
      </c>
      <c r="B30762" s="1" t="str">
        <f>"95742"</f>
        <v>95742</v>
      </c>
      <c r="C30762" s="2">
        <v>5.1900388894912403E-3</v>
      </c>
      <c r="D30762" s="2">
        <v>1.94247371570219E-2</v>
      </c>
      <c r="E30762" s="2">
        <v>1.15246376811594E-2</v>
      </c>
      <c r="F30762" s="2">
        <v>6.6307177489480403E-3</v>
      </c>
    </row>
    <row r="30763" spans="1:6" x14ac:dyDescent="0.25">
      <c r="A30763" s="1" t="str">
        <f t="shared" si="1105"/>
        <v>40900</v>
      </c>
      <c r="B30763" s="1" t="str">
        <f>"95713"</f>
        <v>95713</v>
      </c>
      <c r="C30763" s="2">
        <v>3.0409904648122702E-3</v>
      </c>
      <c r="D30763" s="2">
        <v>1.2928455423540401E-3</v>
      </c>
      <c r="E30763" s="2">
        <v>1.4608695652173901E-3</v>
      </c>
      <c r="F30763" s="2">
        <v>2.8330188027377102E-3</v>
      </c>
    </row>
    <row r="30764" spans="1:6" x14ac:dyDescent="0.25">
      <c r="A30764" s="1" t="str">
        <f t="shared" si="1105"/>
        <v>40900</v>
      </c>
      <c r="B30764" s="1" t="str">
        <f>"95842"</f>
        <v>95842</v>
      </c>
      <c r="C30764" s="2">
        <v>1.2407404755524E-2</v>
      </c>
      <c r="D30764" s="2">
        <v>4.1349688007521999E-3</v>
      </c>
      <c r="E30764" s="2">
        <v>1.5814492753623101E-2</v>
      </c>
      <c r="F30764" s="2">
        <v>1.1844477408088401E-2</v>
      </c>
    </row>
    <row r="30765" spans="1:6" x14ac:dyDescent="0.25">
      <c r="A30765" s="1" t="str">
        <f t="shared" si="1105"/>
        <v>40900</v>
      </c>
      <c r="B30765" s="1" t="str">
        <f>"95828"</f>
        <v>95828</v>
      </c>
      <c r="C30765" s="2">
        <v>1.9749560677630399E-2</v>
      </c>
      <c r="D30765" s="2">
        <v>1.48196427045046E-2</v>
      </c>
      <c r="E30765" s="2">
        <v>1.12463768115942E-2</v>
      </c>
      <c r="F30765" s="2">
        <v>1.9006442268604599E-2</v>
      </c>
    </row>
    <row r="30766" spans="1:6" x14ac:dyDescent="0.25">
      <c r="A30766" s="1" t="str">
        <f t="shared" si="1105"/>
        <v>40900</v>
      </c>
      <c r="B30766" s="1" t="str">
        <f>"95832"</f>
        <v>95832</v>
      </c>
      <c r="C30766" s="2">
        <v>3.2813647531509402E-3</v>
      </c>
      <c r="D30766" s="2">
        <v>1.6561244550816301E-3</v>
      </c>
      <c r="E30766" s="2">
        <v>2.4811594202898499E-3</v>
      </c>
      <c r="F30766" s="2">
        <v>3.1138977654418302E-3</v>
      </c>
    </row>
    <row r="30767" spans="1:6" x14ac:dyDescent="0.25">
      <c r="A30767" s="1" t="str">
        <f t="shared" si="1105"/>
        <v>40900</v>
      </c>
      <c r="B30767" s="1" t="str">
        <f>"95628"</f>
        <v>95628</v>
      </c>
      <c r="C30767" s="2">
        <v>2.03561221796935E-2</v>
      </c>
      <c r="D30767" s="2">
        <v>2.0023078895632099E-2</v>
      </c>
      <c r="E30767" s="2">
        <v>1.5327536231884001E-2</v>
      </c>
      <c r="F30767" s="2">
        <v>2.0133547626931699E-2</v>
      </c>
    </row>
    <row r="30768" spans="1:6" x14ac:dyDescent="0.25">
      <c r="A30768" s="1" t="str">
        <f t="shared" si="1105"/>
        <v>40900</v>
      </c>
      <c r="B30768" s="1" t="str">
        <f>"95660"</f>
        <v>95660</v>
      </c>
      <c r="C30768" s="2">
        <v>1.3111138842234599E-2</v>
      </c>
      <c r="D30768" s="2">
        <v>1.8762287374989299E-2</v>
      </c>
      <c r="E30768" s="2">
        <v>9.6927536231884003E-3</v>
      </c>
      <c r="F30768" s="2">
        <v>1.34534741497129E-2</v>
      </c>
    </row>
    <row r="30769" spans="1:6" x14ac:dyDescent="0.25">
      <c r="A30769" s="1" t="str">
        <f t="shared" si="1105"/>
        <v>40900</v>
      </c>
      <c r="B30769" s="1" t="str">
        <f>"95627"</f>
        <v>95627</v>
      </c>
      <c r="C30769" s="2">
        <v>1.1251562432874199E-3</v>
      </c>
      <c r="D30769" s="2">
        <v>2.5643217369005801E-4</v>
      </c>
      <c r="E30769" s="2">
        <v>5.3333333333333303E-4</v>
      </c>
      <c r="F30769" s="2">
        <v>1.0292912786633299E-3</v>
      </c>
    </row>
    <row r="30770" spans="1:6" x14ac:dyDescent="0.25">
      <c r="A30770" s="1" t="str">
        <f t="shared" si="1105"/>
        <v>40900</v>
      </c>
      <c r="B30770" s="1" t="str">
        <f>"96146"</f>
        <v>96146</v>
      </c>
      <c r="C30770" s="2">
        <v>7.3646590469721997E-4</v>
      </c>
      <c r="D30770" s="2">
        <v>1.3890076074878099E-4</v>
      </c>
      <c r="E30770" s="2">
        <v>2.7826086956521699E-4</v>
      </c>
      <c r="F30770" s="2">
        <v>6.6854577384846295E-4</v>
      </c>
    </row>
    <row r="30771" spans="1:6" x14ac:dyDescent="0.25">
      <c r="A30771" s="1" t="str">
        <f t="shared" si="1105"/>
        <v>40900</v>
      </c>
      <c r="B30771" s="1" t="str">
        <f>"95813"</f>
        <v>95813</v>
      </c>
      <c r="C30771" s="2">
        <v>2.97654969815126E-4</v>
      </c>
      <c r="D30771" s="2">
        <v>7.4792717326267202E-4</v>
      </c>
      <c r="E30771" s="2">
        <v>1.15942028985507E-4</v>
      </c>
      <c r="F30771" s="2">
        <v>3.2843993721951302E-4</v>
      </c>
    </row>
    <row r="30772" spans="1:6" x14ac:dyDescent="0.25">
      <c r="A30772" s="1" t="str">
        <f t="shared" si="1105"/>
        <v>40900</v>
      </c>
      <c r="B30772" s="1" t="str">
        <f>"95620"</f>
        <v>95620</v>
      </c>
      <c r="C30772" s="2">
        <v>1.5343039681191999E-5</v>
      </c>
      <c r="D30772" s="2">
        <v>3.2054021711257299E-5</v>
      </c>
      <c r="E30772" s="2">
        <v>2.3188405797101399E-5</v>
      </c>
      <c r="F30772" s="2">
        <v>1.7050160675329901E-5</v>
      </c>
    </row>
    <row r="30773" spans="1:6" x14ac:dyDescent="0.25">
      <c r="A30773" s="1" t="str">
        <f t="shared" si="1105"/>
        <v>40900</v>
      </c>
      <c r="B30773" s="1" t="str">
        <f>"95656"</f>
        <v>95656</v>
      </c>
      <c r="C30773" s="2">
        <v>0</v>
      </c>
      <c r="D30773" s="2">
        <v>0</v>
      </c>
      <c r="E30773" s="2">
        <v>2.3188405797101399E-5</v>
      </c>
      <c r="F30773" s="2">
        <v>8.9737687764894398E-7</v>
      </c>
    </row>
    <row r="30774" spans="1:6" x14ac:dyDescent="0.25">
      <c r="A30774" s="1" t="str">
        <f t="shared" si="1105"/>
        <v>40900</v>
      </c>
      <c r="B30774" s="1" t="str">
        <f>"95715"</f>
        <v>95715</v>
      </c>
      <c r="C30774" s="2">
        <v>2.0457386241589399E-6</v>
      </c>
      <c r="D30774" s="2">
        <v>0</v>
      </c>
      <c r="E30774" s="2">
        <v>0</v>
      </c>
      <c r="F30774" s="2">
        <v>1.7947537552978799E-6</v>
      </c>
    </row>
    <row r="30775" spans="1:6" x14ac:dyDescent="0.25">
      <c r="A30775" s="1" t="str">
        <f t="shared" ref="A30775:A30806" si="1106">"40900"</f>
        <v>40900</v>
      </c>
      <c r="B30775" s="1" t="str">
        <f>"95645"</f>
        <v>95645</v>
      </c>
      <c r="C30775" s="2">
        <v>2.2503124865748402E-5</v>
      </c>
      <c r="D30775" s="2">
        <v>0</v>
      </c>
      <c r="E30775" s="2">
        <v>2.3188405797101399E-5</v>
      </c>
      <c r="F30775" s="2">
        <v>2.0639668185925701E-5</v>
      </c>
    </row>
    <row r="30776" spans="1:6" x14ac:dyDescent="0.25">
      <c r="A30776" s="1" t="str">
        <f t="shared" si="1106"/>
        <v>40900</v>
      </c>
      <c r="B30776" s="1" t="str">
        <f>"95641"</f>
        <v>95641</v>
      </c>
      <c r="C30776" s="2">
        <v>8.2954701209645202E-4</v>
      </c>
      <c r="D30776" s="2">
        <v>4.0601760834259299E-4</v>
      </c>
      <c r="E30776" s="2">
        <v>4.8695652173913001E-4</v>
      </c>
      <c r="F30776" s="2">
        <v>7.8071788355458095E-4</v>
      </c>
    </row>
    <row r="30777" spans="1:6" x14ac:dyDescent="0.25">
      <c r="A30777" s="1" t="str">
        <f t="shared" si="1106"/>
        <v>40900</v>
      </c>
      <c r="B30777" s="1" t="str">
        <f>"95680"</f>
        <v>95680</v>
      </c>
      <c r="C30777" s="2">
        <v>0</v>
      </c>
      <c r="D30777" s="2">
        <v>0</v>
      </c>
      <c r="E30777" s="2">
        <v>2.3188405797101399E-5</v>
      </c>
      <c r="F30777" s="2">
        <v>8.9737687764894398E-7</v>
      </c>
    </row>
    <row r="30778" spans="1:6" x14ac:dyDescent="0.25">
      <c r="A30778" s="1" t="str">
        <f t="shared" si="1106"/>
        <v>40900</v>
      </c>
      <c r="B30778" s="1" t="str">
        <f>"95666"</f>
        <v>95666</v>
      </c>
      <c r="C30778" s="2">
        <v>1.0228693120794699E-6</v>
      </c>
      <c r="D30778" s="2">
        <v>1.06846739037524E-5</v>
      </c>
      <c r="E30778" s="2">
        <v>0</v>
      </c>
      <c r="F30778" s="2">
        <v>1.7947537552978799E-6</v>
      </c>
    </row>
    <row r="30779" spans="1:6" x14ac:dyDescent="0.25">
      <c r="A30779" s="1" t="str">
        <f t="shared" si="1106"/>
        <v>40900</v>
      </c>
      <c r="B30779" s="1" t="str">
        <f>"95693"</f>
        <v>95693</v>
      </c>
      <c r="C30779" s="2">
        <v>2.5050069452826201E-3</v>
      </c>
      <c r="D30779" s="2">
        <v>2.0300880417129601E-4</v>
      </c>
      <c r="E30779" s="2">
        <v>6.9565217391304301E-5</v>
      </c>
      <c r="F30779" s="2">
        <v>2.2174182646705399E-3</v>
      </c>
    </row>
    <row r="30780" spans="1:6" x14ac:dyDescent="0.25">
      <c r="A30780" s="1" t="str">
        <f t="shared" si="1106"/>
        <v>40900</v>
      </c>
      <c r="B30780" s="1" t="str">
        <f>"95831"</f>
        <v>95831</v>
      </c>
      <c r="C30780" s="2">
        <v>1.9852870478150399E-2</v>
      </c>
      <c r="D30780" s="2">
        <v>5.98341738610137E-3</v>
      </c>
      <c r="E30780" s="2">
        <v>2.17971014492753E-2</v>
      </c>
      <c r="F30780" s="2">
        <v>1.8763253134761699E-2</v>
      </c>
    </row>
    <row r="30781" spans="1:6" x14ac:dyDescent="0.25">
      <c r="A30781" s="1" t="str">
        <f t="shared" si="1106"/>
        <v>40900</v>
      </c>
      <c r="B30781" s="1" t="str">
        <f>"95843"</f>
        <v>95843</v>
      </c>
      <c r="C30781" s="2">
        <v>1.5360428459497401E-2</v>
      </c>
      <c r="D30781" s="2">
        <v>2.4681596717668099E-3</v>
      </c>
      <c r="E30781" s="2">
        <v>1.9478260869565201E-3</v>
      </c>
      <c r="F30781" s="2">
        <v>1.3758582288113601E-2</v>
      </c>
    </row>
    <row r="30782" spans="1:6" x14ac:dyDescent="0.25">
      <c r="A30782" s="1" t="str">
        <f t="shared" si="1106"/>
        <v>40900</v>
      </c>
      <c r="B30782" s="1" t="str">
        <f>"95624"</f>
        <v>95624</v>
      </c>
      <c r="C30782" s="2">
        <v>2.11999893621591E-2</v>
      </c>
      <c r="D30782" s="2">
        <v>1.5717155312419798E-2</v>
      </c>
      <c r="E30782" s="2">
        <v>9.1826086956521696E-3</v>
      </c>
      <c r="F30782" s="2">
        <v>2.0274435796722601E-2</v>
      </c>
    </row>
    <row r="30783" spans="1:6" x14ac:dyDescent="0.25">
      <c r="A30783" s="1" t="str">
        <f t="shared" si="1106"/>
        <v>40900</v>
      </c>
      <c r="B30783" s="1" t="str">
        <f>"95840"</f>
        <v>95840</v>
      </c>
      <c r="C30783" s="2">
        <v>0</v>
      </c>
      <c r="D30783" s="2">
        <v>1.06846739037524E-5</v>
      </c>
      <c r="E30783" s="2">
        <v>0</v>
      </c>
      <c r="F30783" s="2">
        <v>8.9737687764894398E-7</v>
      </c>
    </row>
    <row r="30784" spans="1:6" x14ac:dyDescent="0.25">
      <c r="A30784" s="1" t="str">
        <f t="shared" si="1106"/>
        <v>40900</v>
      </c>
      <c r="B30784" s="1" t="str">
        <f>"95613"</f>
        <v>95613</v>
      </c>
      <c r="C30784" s="2">
        <v>0</v>
      </c>
      <c r="D30784" s="2">
        <v>0</v>
      </c>
      <c r="E30784" s="2">
        <v>2.3188405797101399E-5</v>
      </c>
      <c r="F30784" s="2">
        <v>8.9737687764894398E-7</v>
      </c>
    </row>
    <row r="30785" spans="1:6" x14ac:dyDescent="0.25">
      <c r="A30785" s="1" t="str">
        <f t="shared" si="1106"/>
        <v>40900</v>
      </c>
      <c r="B30785" s="1" t="str">
        <f>"95865"</f>
        <v>95865</v>
      </c>
      <c r="C30785" s="2">
        <v>6.6997939941205401E-4</v>
      </c>
      <c r="D30785" s="2">
        <v>2.8314385844943999E-3</v>
      </c>
      <c r="E30785" s="2">
        <v>4.6376811594202797E-5</v>
      </c>
      <c r="F30785" s="2">
        <v>8.2738148119232597E-4</v>
      </c>
    </row>
    <row r="30786" spans="1:6" x14ac:dyDescent="0.25">
      <c r="A30786" s="1" t="str">
        <f t="shared" si="1106"/>
        <v>40900</v>
      </c>
      <c r="B30786" s="1" t="str">
        <f>"95681"</f>
        <v>95681</v>
      </c>
      <c r="C30786" s="2">
        <v>4.3574232694585502E-4</v>
      </c>
      <c r="D30786" s="2">
        <v>1.70954782460039E-4</v>
      </c>
      <c r="E30786" s="2">
        <v>6.9565217391304301E-5</v>
      </c>
      <c r="F30786" s="2">
        <v>3.9933271055378E-4</v>
      </c>
    </row>
    <row r="30787" spans="1:6" x14ac:dyDescent="0.25">
      <c r="A30787" s="1" t="str">
        <f t="shared" si="1106"/>
        <v>40900</v>
      </c>
      <c r="B30787" s="1" t="str">
        <f>"95651"</f>
        <v>95651</v>
      </c>
      <c r="C30787" s="2">
        <v>1.74910652365589E-4</v>
      </c>
      <c r="D30787" s="2">
        <v>2.5643217369005801E-4</v>
      </c>
      <c r="E30787" s="2">
        <v>1.85507246376811E-4</v>
      </c>
      <c r="F30787" s="2">
        <v>1.82167506162735E-4</v>
      </c>
    </row>
    <row r="30788" spans="1:6" x14ac:dyDescent="0.25">
      <c r="A30788" s="1" t="str">
        <f t="shared" si="1106"/>
        <v>40900</v>
      </c>
      <c r="B30788" s="1" t="str">
        <f>"95606"</f>
        <v>95606</v>
      </c>
      <c r="C30788" s="2">
        <v>6.3417897348927294E-5</v>
      </c>
      <c r="D30788" s="2">
        <v>0</v>
      </c>
      <c r="E30788" s="2">
        <v>4.6376811594202797E-5</v>
      </c>
      <c r="F30788" s="2">
        <v>5.7432120169532401E-5</v>
      </c>
    </row>
    <row r="30789" spans="1:6" x14ac:dyDescent="0.25">
      <c r="A30789" s="1" t="str">
        <f t="shared" si="1106"/>
        <v>40900</v>
      </c>
      <c r="B30789" s="1" t="str">
        <f>"95724"</f>
        <v>95724</v>
      </c>
      <c r="C30789" s="2">
        <v>4.09147724831789E-6</v>
      </c>
      <c r="D30789" s="2">
        <v>0</v>
      </c>
      <c r="E30789" s="2">
        <v>0</v>
      </c>
      <c r="F30789" s="2">
        <v>3.58950751059577E-6</v>
      </c>
    </row>
    <row r="30790" spans="1:6" x14ac:dyDescent="0.25">
      <c r="A30790" s="1" t="str">
        <f t="shared" si="1106"/>
        <v>40900</v>
      </c>
      <c r="B30790" s="1" t="str">
        <f>"95735"</f>
        <v>95735</v>
      </c>
      <c r="C30790" s="2">
        <v>1.0228693120794699E-6</v>
      </c>
      <c r="D30790" s="2">
        <v>1.06846739037524E-5</v>
      </c>
      <c r="E30790" s="2">
        <v>2.3188405797101399E-5</v>
      </c>
      <c r="F30790" s="2">
        <v>2.6921306329468301E-6</v>
      </c>
    </row>
    <row r="30791" spans="1:6" x14ac:dyDescent="0.25">
      <c r="A30791" s="1" t="str">
        <f t="shared" si="1106"/>
        <v>40900</v>
      </c>
      <c r="B30791" s="1" t="str">
        <f>"95736"</f>
        <v>95736</v>
      </c>
      <c r="C30791" s="2">
        <v>1.0228693120794699E-6</v>
      </c>
      <c r="D30791" s="2">
        <v>0</v>
      </c>
      <c r="E30791" s="2">
        <v>2.3188405797101399E-5</v>
      </c>
      <c r="F30791" s="2">
        <v>1.7947537552978799E-6</v>
      </c>
    </row>
    <row r="30792" spans="1:6" x14ac:dyDescent="0.25">
      <c r="A30792" s="1" t="str">
        <f t="shared" si="1106"/>
        <v>40900</v>
      </c>
      <c r="B30792" s="1" t="str">
        <f>"95894"</f>
        <v>95894</v>
      </c>
      <c r="C30792" s="2">
        <v>0</v>
      </c>
      <c r="D30792" s="2">
        <v>1.06846739037524E-5</v>
      </c>
      <c r="E30792" s="2">
        <v>0</v>
      </c>
      <c r="F30792" s="2">
        <v>8.9737687764894398E-7</v>
      </c>
    </row>
    <row r="30793" spans="1:6" x14ac:dyDescent="0.25">
      <c r="A30793" s="1" t="str">
        <f t="shared" si="1106"/>
        <v>40900</v>
      </c>
      <c r="B30793" s="1" t="str">
        <f>"95695"</f>
        <v>95695</v>
      </c>
      <c r="C30793" s="2">
        <v>1.49574179505381E-2</v>
      </c>
      <c r="D30793" s="2">
        <v>1.40930848790494E-2</v>
      </c>
      <c r="E30793" s="2">
        <v>1.40985507246376E-2</v>
      </c>
      <c r="F30793" s="2">
        <v>1.4851587325089999E-2</v>
      </c>
    </row>
    <row r="30794" spans="1:6" x14ac:dyDescent="0.25">
      <c r="A30794" s="1" t="str">
        <f t="shared" si="1106"/>
        <v>40900</v>
      </c>
      <c r="B30794" s="1" t="str">
        <f>"95811"</f>
        <v>95811</v>
      </c>
      <c r="C30794" s="2">
        <v>5.5286086317895503E-3</v>
      </c>
      <c r="D30794" s="2">
        <v>1.6657406615949999E-2</v>
      </c>
      <c r="E30794" s="2">
        <v>2.79188405797101E-2</v>
      </c>
      <c r="F30794" s="2">
        <v>7.32977433663657E-3</v>
      </c>
    </row>
    <row r="30795" spans="1:6" x14ac:dyDescent="0.25">
      <c r="A30795" s="1" t="str">
        <f t="shared" si="1106"/>
        <v>40900</v>
      </c>
      <c r="B30795" s="1" t="str">
        <f>"95814"</f>
        <v>95814</v>
      </c>
      <c r="C30795" s="2">
        <v>6.9831287935665596E-3</v>
      </c>
      <c r="D30795" s="2">
        <v>3.8518249423027603E-2</v>
      </c>
      <c r="E30795" s="2">
        <v>2.5530434782608601E-2</v>
      </c>
      <c r="F30795" s="2">
        <v>1.03494475299252E-2</v>
      </c>
    </row>
    <row r="30796" spans="1:6" x14ac:dyDescent="0.25">
      <c r="A30796" s="1" t="str">
        <f t="shared" si="1106"/>
        <v>40900</v>
      </c>
      <c r="B30796" s="1" t="str">
        <f>"95678"</f>
        <v>95678</v>
      </c>
      <c r="C30796" s="2">
        <v>1.8862732984057499E-2</v>
      </c>
      <c r="D30796" s="2">
        <v>3.71826651850585E-2</v>
      </c>
      <c r="E30796" s="2">
        <v>2.7269565217391298E-2</v>
      </c>
      <c r="F30796" s="2">
        <v>2.0726713743057599E-2</v>
      </c>
    </row>
    <row r="30797" spans="1:6" x14ac:dyDescent="0.25">
      <c r="A30797" s="1" t="str">
        <f t="shared" si="1106"/>
        <v>40900</v>
      </c>
      <c r="B30797" s="1" t="str">
        <f>"95703"</f>
        <v>95703</v>
      </c>
      <c r="C30797" s="2">
        <v>5.5644090577123303E-4</v>
      </c>
      <c r="D30797" s="2">
        <v>1.0684673903752399E-4</v>
      </c>
      <c r="E30797" s="2">
        <v>1.15942028985507E-4</v>
      </c>
      <c r="F30797" s="2">
        <v>5.0163367460575898E-4</v>
      </c>
    </row>
    <row r="30798" spans="1:6" x14ac:dyDescent="0.25">
      <c r="A30798" s="1" t="str">
        <f t="shared" si="1106"/>
        <v>40900</v>
      </c>
      <c r="B30798" s="1" t="str">
        <f>"95937"</f>
        <v>95937</v>
      </c>
      <c r="C30798" s="2">
        <v>0</v>
      </c>
      <c r="D30798" s="2">
        <v>0</v>
      </c>
      <c r="E30798" s="2">
        <v>1.15942028985507E-4</v>
      </c>
      <c r="F30798" s="2">
        <v>4.4868843882447204E-6</v>
      </c>
    </row>
    <row r="30799" spans="1:6" x14ac:dyDescent="0.25">
      <c r="A30799" s="1" t="str">
        <f t="shared" si="1106"/>
        <v>40900</v>
      </c>
      <c r="B30799" s="1" t="str">
        <f>"95746"</f>
        <v>95746</v>
      </c>
      <c r="C30799" s="2">
        <v>8.6248340394541097E-3</v>
      </c>
      <c r="D30799" s="2">
        <v>9.1247115138045898E-3</v>
      </c>
      <c r="E30799" s="2">
        <v>2.7826086956521702E-3</v>
      </c>
      <c r="F30799" s="2">
        <v>8.4407269111659699E-3</v>
      </c>
    </row>
    <row r="30800" spans="1:6" x14ac:dyDescent="0.25">
      <c r="A30800" s="1" t="str">
        <f t="shared" si="1106"/>
        <v>40900</v>
      </c>
      <c r="B30800" s="1" t="str">
        <f>"95820"</f>
        <v>95820</v>
      </c>
      <c r="C30800" s="2">
        <v>1.40726359955893E-2</v>
      </c>
      <c r="D30800" s="2">
        <v>1.07487819471749E-2</v>
      </c>
      <c r="E30800" s="2">
        <v>1.3078260869565201E-2</v>
      </c>
      <c r="F30800" s="2">
        <v>1.3754992780603E-2</v>
      </c>
    </row>
    <row r="30801" spans="1:6" x14ac:dyDescent="0.25">
      <c r="A30801" s="1" t="str">
        <f t="shared" si="1106"/>
        <v>40900</v>
      </c>
      <c r="B30801" s="1" t="str">
        <f>"95765"</f>
        <v>95765</v>
      </c>
      <c r="C30801" s="2">
        <v>1.5720478457349401E-2</v>
      </c>
      <c r="D30801" s="2">
        <v>1.2704077271561601E-2</v>
      </c>
      <c r="E30801" s="2">
        <v>8.5797101449275309E-3</v>
      </c>
      <c r="F30801" s="2">
        <v>1.51907957848413E-2</v>
      </c>
    </row>
    <row r="30802" spans="1:6" x14ac:dyDescent="0.25">
      <c r="A30802" s="1" t="str">
        <f t="shared" si="1106"/>
        <v>40900</v>
      </c>
      <c r="B30802" s="1" t="str">
        <f>"95823"</f>
        <v>95823</v>
      </c>
      <c r="C30802" s="2">
        <v>2.79928644636789E-2</v>
      </c>
      <c r="D30802" s="2">
        <v>2.3452859218736601E-2</v>
      </c>
      <c r="E30802" s="2">
        <v>3.5478260869565202E-2</v>
      </c>
      <c r="F30802" s="2">
        <v>2.79012418798609E-2</v>
      </c>
    </row>
    <row r="30803" spans="1:6" x14ac:dyDescent="0.25">
      <c r="A30803" s="1" t="str">
        <f t="shared" si="1106"/>
        <v>40900</v>
      </c>
      <c r="B30803" s="1" t="str">
        <f>"95684"</f>
        <v>95684</v>
      </c>
      <c r="C30803" s="2">
        <v>1.9874350733704101E-3</v>
      </c>
      <c r="D30803" s="2">
        <v>7.58611847166424E-4</v>
      </c>
      <c r="E30803" s="2">
        <v>1.6231884057971E-4</v>
      </c>
      <c r="F30803" s="2">
        <v>1.8135986697285101E-3</v>
      </c>
    </row>
    <row r="30804" spans="1:6" x14ac:dyDescent="0.25">
      <c r="A30804" s="1" t="str">
        <f t="shared" si="1106"/>
        <v>40900</v>
      </c>
      <c r="B30804" s="1" t="str">
        <f>"95841"</f>
        <v>95841</v>
      </c>
      <c r="C30804" s="2">
        <v>1.0443495676331399E-2</v>
      </c>
      <c r="D30804" s="2">
        <v>1.6935208137447599E-2</v>
      </c>
      <c r="E30804" s="2">
        <v>2.0915942028985501E-2</v>
      </c>
      <c r="F30804" s="2">
        <v>1.13939942155086E-2</v>
      </c>
    </row>
    <row r="30805" spans="1:6" x14ac:dyDescent="0.25">
      <c r="A30805" s="1" t="str">
        <f t="shared" si="1106"/>
        <v>40900</v>
      </c>
      <c r="B30805" s="1" t="str">
        <f>"95837"</f>
        <v>95837</v>
      </c>
      <c r="C30805" s="2">
        <v>1.03309800520026E-4</v>
      </c>
      <c r="D30805" s="2">
        <v>1.4638003248140801E-3</v>
      </c>
      <c r="E30805" s="2">
        <v>2.08695652173913E-4</v>
      </c>
      <c r="F30805" s="2">
        <v>2.2165208877928901E-4</v>
      </c>
    </row>
    <row r="30806" spans="1:6" x14ac:dyDescent="0.25">
      <c r="A30806" s="1" t="str">
        <f t="shared" si="1106"/>
        <v>40900</v>
      </c>
      <c r="B30806" s="1" t="str">
        <f>"95830"</f>
        <v>95830</v>
      </c>
      <c r="C30806" s="2">
        <v>2.8435766875809301E-4</v>
      </c>
      <c r="D30806" s="2">
        <v>5.3423369518762201E-5</v>
      </c>
      <c r="E30806" s="2">
        <v>4.6376811594202797E-5</v>
      </c>
      <c r="F30806" s="2">
        <v>2.5575241012994898E-4</v>
      </c>
    </row>
    <row r="30807" spans="1:6" x14ac:dyDescent="0.25">
      <c r="A30807" s="1" t="str">
        <f t="shared" ref="A30807:A30838" si="1107">"40900"</f>
        <v>40900</v>
      </c>
      <c r="B30807" s="1" t="str">
        <f>"95605"</f>
        <v>95605</v>
      </c>
      <c r="C30807" s="2">
        <v>6.5044259555133597E-3</v>
      </c>
      <c r="D30807" s="2">
        <v>5.0859047781861601E-3</v>
      </c>
      <c r="E30807" s="2">
        <v>1.1872463768115901E-2</v>
      </c>
      <c r="F30807" s="2">
        <v>6.5930279200867902E-3</v>
      </c>
    </row>
    <row r="30808" spans="1:6" x14ac:dyDescent="0.25">
      <c r="A30808" s="1" t="str">
        <f t="shared" si="1107"/>
        <v>40900</v>
      </c>
      <c r="B30808" s="1" t="str">
        <f>"95616"</f>
        <v>95616</v>
      </c>
      <c r="C30808" s="2">
        <v>2.02497437712373E-2</v>
      </c>
      <c r="D30808" s="2">
        <v>1.6561244550816302E-2</v>
      </c>
      <c r="E30808" s="2">
        <v>2.59942028985507E-2</v>
      </c>
      <c r="F30808" s="2">
        <v>2.0162263687016398E-2</v>
      </c>
    </row>
    <row r="30809" spans="1:6" x14ac:dyDescent="0.25">
      <c r="A30809" s="1" t="str">
        <f t="shared" si="1107"/>
        <v>40900</v>
      </c>
      <c r="B30809" s="1" t="str">
        <f>"95630"</f>
        <v>95630</v>
      </c>
      <c r="C30809" s="2">
        <v>3.0774046123223001E-2</v>
      </c>
      <c r="D30809" s="2">
        <v>3.0590221386443201E-2</v>
      </c>
      <c r="E30809" s="2">
        <v>2.7084057971014399E-2</v>
      </c>
      <c r="F30809" s="2">
        <v>3.0615806934748999E-2</v>
      </c>
    </row>
    <row r="30810" spans="1:6" x14ac:dyDescent="0.25">
      <c r="A30810" s="1" t="str">
        <f t="shared" si="1107"/>
        <v>40900</v>
      </c>
      <c r="B30810" s="1" t="str">
        <f>"95667"</f>
        <v>95667</v>
      </c>
      <c r="C30810" s="2">
        <v>1.78439551492264E-2</v>
      </c>
      <c r="D30810" s="2">
        <v>2.0664159329857198E-2</v>
      </c>
      <c r="E30810" s="2">
        <v>1.38202898550724E-2</v>
      </c>
      <c r="F30810" s="2">
        <v>1.7925103131037599E-2</v>
      </c>
    </row>
    <row r="30811" spans="1:6" x14ac:dyDescent="0.25">
      <c r="A30811" s="1" t="str">
        <f t="shared" si="1107"/>
        <v>40900</v>
      </c>
      <c r="B30811" s="1" t="str">
        <f>"95617"</f>
        <v>95617</v>
      </c>
      <c r="C30811" s="2">
        <v>3.4051319399125602E-3</v>
      </c>
      <c r="D30811" s="2">
        <v>7.2869476023591697E-3</v>
      </c>
      <c r="E30811" s="2">
        <v>9.2753623188405703E-5</v>
      </c>
      <c r="F30811" s="2">
        <v>3.6029681637605102E-3</v>
      </c>
    </row>
    <row r="30812" spans="1:6" x14ac:dyDescent="0.25">
      <c r="A30812" s="1" t="str">
        <f t="shared" si="1107"/>
        <v>40900</v>
      </c>
      <c r="B30812" s="1" t="str">
        <f>"95677"</f>
        <v>95677</v>
      </c>
      <c r="C30812" s="2">
        <v>1.30528352914461E-2</v>
      </c>
      <c r="D30812" s="2">
        <v>1.8281477049320399E-2</v>
      </c>
      <c r="E30812" s="2">
        <v>1.23826086956521E-2</v>
      </c>
      <c r="F30812" s="2">
        <v>1.3466037425999999E-2</v>
      </c>
    </row>
    <row r="30813" spans="1:6" x14ac:dyDescent="0.25">
      <c r="A30813" s="1" t="str">
        <f t="shared" si="1107"/>
        <v>40900</v>
      </c>
      <c r="B30813" s="1" t="str">
        <f>"95664"</f>
        <v>95664</v>
      </c>
      <c r="C30813" s="2">
        <v>5.2473195709676899E-4</v>
      </c>
      <c r="D30813" s="2">
        <v>0</v>
      </c>
      <c r="E30813" s="2">
        <v>1.15942028985507E-4</v>
      </c>
      <c r="F30813" s="2">
        <v>4.6484122262215299E-4</v>
      </c>
    </row>
    <row r="30814" spans="1:6" x14ac:dyDescent="0.25">
      <c r="A30814" s="1" t="str">
        <f t="shared" si="1107"/>
        <v>40900</v>
      </c>
      <c r="B30814" s="1" t="str">
        <f>"95912"</f>
        <v>95912</v>
      </c>
      <c r="C30814" s="2">
        <v>6.1372158724768298E-6</v>
      </c>
      <c r="D30814" s="2">
        <v>0</v>
      </c>
      <c r="E30814" s="2">
        <v>0</v>
      </c>
      <c r="F30814" s="2">
        <v>5.3842612658936603E-6</v>
      </c>
    </row>
    <row r="30815" spans="1:6" x14ac:dyDescent="0.25">
      <c r="A30815" s="1" t="str">
        <f t="shared" si="1107"/>
        <v>40900</v>
      </c>
      <c r="B30815" s="1" t="str">
        <f>"95714"</f>
        <v>95714</v>
      </c>
      <c r="C30815" s="2">
        <v>0</v>
      </c>
      <c r="D30815" s="2">
        <v>1.06846739037524E-5</v>
      </c>
      <c r="E30815" s="2">
        <v>2.3188405797101399E-5</v>
      </c>
      <c r="F30815" s="2">
        <v>1.7947537552978799E-6</v>
      </c>
    </row>
    <row r="30816" spans="1:6" x14ac:dyDescent="0.25">
      <c r="A30816" s="1" t="str">
        <f t="shared" si="1107"/>
        <v>40900</v>
      </c>
      <c r="B30816" s="1" t="str">
        <f>"95867"</f>
        <v>95867</v>
      </c>
      <c r="C30816" s="2">
        <v>0</v>
      </c>
      <c r="D30816" s="2">
        <v>1.06846739037524E-5</v>
      </c>
      <c r="E30816" s="2">
        <v>0</v>
      </c>
      <c r="F30816" s="2">
        <v>8.9737687764894398E-7</v>
      </c>
    </row>
    <row r="30817" spans="1:6" x14ac:dyDescent="0.25">
      <c r="A30817" s="1" t="str">
        <f t="shared" si="1107"/>
        <v>40900</v>
      </c>
      <c r="B30817" s="1" t="str">
        <f>"95836"</f>
        <v>95836</v>
      </c>
      <c r="C30817" s="2">
        <v>0</v>
      </c>
      <c r="D30817" s="2">
        <v>0</v>
      </c>
      <c r="E30817" s="2">
        <v>2.3188405797101399E-5</v>
      </c>
      <c r="F30817" s="2">
        <v>8.9737687764894398E-7</v>
      </c>
    </row>
    <row r="30818" spans="1:6" x14ac:dyDescent="0.25">
      <c r="A30818" s="1" t="str">
        <f t="shared" si="1107"/>
        <v>40900</v>
      </c>
      <c r="B30818" s="1" t="str">
        <f>"95653"</f>
        <v>95653</v>
      </c>
      <c r="C30818" s="2">
        <v>0</v>
      </c>
      <c r="D30818" s="2">
        <v>0</v>
      </c>
      <c r="E30818" s="2">
        <v>2.3188405797101399E-5</v>
      </c>
      <c r="F30818" s="2">
        <v>8.9737687764894398E-7</v>
      </c>
    </row>
    <row r="30819" spans="1:6" x14ac:dyDescent="0.25">
      <c r="A30819" s="1" t="str">
        <f t="shared" si="1107"/>
        <v>40900</v>
      </c>
      <c r="B30819" s="1" t="str">
        <f>"95679"</f>
        <v>95679</v>
      </c>
      <c r="C30819" s="2">
        <v>0</v>
      </c>
      <c r="D30819" s="2">
        <v>0</v>
      </c>
      <c r="E30819" s="2">
        <v>2.3188405797101399E-5</v>
      </c>
      <c r="F30819" s="2">
        <v>8.9737687764894398E-7</v>
      </c>
    </row>
    <row r="30820" spans="1:6" x14ac:dyDescent="0.25">
      <c r="A30820" s="1" t="str">
        <f t="shared" si="1107"/>
        <v>40900</v>
      </c>
      <c r="B30820" s="1" t="str">
        <f>"95758"</f>
        <v>95758</v>
      </c>
      <c r="C30820" s="2">
        <v>2.2817145744556799E-2</v>
      </c>
      <c r="D30820" s="2">
        <v>1.2501068467390301E-2</v>
      </c>
      <c r="E30820" s="2">
        <v>9.6463768115941997E-3</v>
      </c>
      <c r="F30820" s="2">
        <v>2.1441025737666201E-2</v>
      </c>
    </row>
    <row r="30821" spans="1:6" x14ac:dyDescent="0.25">
      <c r="A30821" s="1" t="str">
        <f t="shared" si="1107"/>
        <v>40900</v>
      </c>
      <c r="B30821" s="1" t="str">
        <f>"95818"</f>
        <v>95818</v>
      </c>
      <c r="C30821" s="2">
        <v>1.2284660438074401E-2</v>
      </c>
      <c r="D30821" s="2">
        <v>1.0556457816907399E-2</v>
      </c>
      <c r="E30821" s="2">
        <v>2.2910144927536201E-2</v>
      </c>
      <c r="F30821" s="2">
        <v>1.25507130107981E-2</v>
      </c>
    </row>
    <row r="30822" spans="1:6" x14ac:dyDescent="0.25">
      <c r="A30822" s="1" t="str">
        <f t="shared" si="1107"/>
        <v>40900</v>
      </c>
      <c r="B30822" s="1" t="str">
        <f>"95757"</f>
        <v>95757</v>
      </c>
      <c r="C30822" s="2">
        <v>1.66666325710229E-2</v>
      </c>
      <c r="D30822" s="2">
        <v>2.4467903239593098E-3</v>
      </c>
      <c r="E30822" s="2">
        <v>1.34492753623188E-3</v>
      </c>
      <c r="F30822" s="2">
        <v>1.48794060082971E-2</v>
      </c>
    </row>
    <row r="30823" spans="1:6" x14ac:dyDescent="0.25">
      <c r="A30823" s="1" t="str">
        <f t="shared" si="1107"/>
        <v>40900</v>
      </c>
      <c r="B30823" s="1" t="str">
        <f>"95827"</f>
        <v>95827</v>
      </c>
      <c r="C30823" s="2">
        <v>9.8676202536306708E-3</v>
      </c>
      <c r="D30823" s="2">
        <v>1.9093512266005599E-2</v>
      </c>
      <c r="E30823" s="2">
        <v>9.7391304347825992E-3</v>
      </c>
      <c r="F30823" s="2">
        <v>1.06375055076505E-2</v>
      </c>
    </row>
    <row r="30824" spans="1:6" x14ac:dyDescent="0.25">
      <c r="A30824" s="1" t="str">
        <f t="shared" si="1107"/>
        <v>40900</v>
      </c>
      <c r="B30824" s="1" t="str">
        <f>"95821"</f>
        <v>95821</v>
      </c>
      <c r="C30824" s="2">
        <v>1.77355310021459E-2</v>
      </c>
      <c r="D30824" s="2">
        <v>1.7629711941191499E-2</v>
      </c>
      <c r="E30824" s="2">
        <v>2.6666666666666599E-2</v>
      </c>
      <c r="F30824" s="2">
        <v>1.8072272938972001E-2</v>
      </c>
    </row>
    <row r="30825" spans="1:6" x14ac:dyDescent="0.25">
      <c r="A30825" s="1" t="str">
        <f t="shared" si="1107"/>
        <v>40900</v>
      </c>
      <c r="B30825" s="1" t="str">
        <f>"95838"</f>
        <v>95838</v>
      </c>
      <c r="C30825" s="2">
        <v>1.3112161711546701E-2</v>
      </c>
      <c r="D30825" s="2">
        <v>9.8298999914522601E-3</v>
      </c>
      <c r="E30825" s="2">
        <v>1.7692753623188399E-2</v>
      </c>
      <c r="F30825" s="2">
        <v>1.30137594796649E-2</v>
      </c>
    </row>
    <row r="30826" spans="1:6" x14ac:dyDescent="0.25">
      <c r="A30826" s="1" t="str">
        <f t="shared" si="1107"/>
        <v>40900</v>
      </c>
      <c r="B30826" s="1" t="str">
        <f>"95610"</f>
        <v>95610</v>
      </c>
      <c r="C30826" s="2">
        <v>1.9033552159174801E-2</v>
      </c>
      <c r="D30826" s="2">
        <v>1.6069749551243601E-2</v>
      </c>
      <c r="E30826" s="2">
        <v>1.8156521739130401E-2</v>
      </c>
      <c r="F30826" s="2">
        <v>1.8750689858474601E-2</v>
      </c>
    </row>
    <row r="30827" spans="1:6" x14ac:dyDescent="0.25">
      <c r="A30827" s="1" t="str">
        <f t="shared" si="1107"/>
        <v>40900</v>
      </c>
      <c r="B30827" s="1" t="str">
        <f>"95602"</f>
        <v>95602</v>
      </c>
      <c r="C30827" s="2">
        <v>5.3741553656655502E-3</v>
      </c>
      <c r="D30827" s="2">
        <v>4.9256346696298801E-3</v>
      </c>
      <c r="E30827" s="2">
        <v>1.12463768115942E-2</v>
      </c>
      <c r="F30827" s="2">
        <v>5.5637366414234496E-3</v>
      </c>
    </row>
    <row r="30828" spans="1:6" x14ac:dyDescent="0.25">
      <c r="A30828" s="1" t="str">
        <f t="shared" si="1107"/>
        <v>40900</v>
      </c>
      <c r="B30828" s="1" t="str">
        <f>"95604"</f>
        <v>95604</v>
      </c>
      <c r="C30828" s="2">
        <v>2.6246826547959199E-3</v>
      </c>
      <c r="D30828" s="2">
        <v>1.0673989229848699E-2</v>
      </c>
      <c r="E30828" s="2">
        <v>1.3913043478260801E-4</v>
      </c>
      <c r="F30828" s="2">
        <v>3.2045328300843801E-3</v>
      </c>
    </row>
    <row r="30829" spans="1:6" x14ac:dyDescent="0.25">
      <c r="A30829" s="1" t="str">
        <f t="shared" si="1107"/>
        <v>40900</v>
      </c>
      <c r="B30829" s="1" t="str">
        <f>"95607"</f>
        <v>95607</v>
      </c>
      <c r="C30829" s="2">
        <v>1.63659089932715E-4</v>
      </c>
      <c r="D30829" s="2">
        <v>5.3423369518762201E-5</v>
      </c>
      <c r="E30829" s="2">
        <v>6.9565217391304301E-5</v>
      </c>
      <c r="F30829" s="2">
        <v>1.50759315445022E-4</v>
      </c>
    </row>
    <row r="30830" spans="1:6" x14ac:dyDescent="0.25">
      <c r="A30830" s="1" t="str">
        <f t="shared" si="1107"/>
        <v>40900</v>
      </c>
      <c r="B30830" s="1" t="str">
        <f>"95609"</f>
        <v>95609</v>
      </c>
      <c r="C30830" s="2">
        <v>2.2646326569439501E-3</v>
      </c>
      <c r="D30830" s="2">
        <v>3.6968971706983502E-3</v>
      </c>
      <c r="E30830" s="2">
        <v>4.6376811594202797E-5</v>
      </c>
      <c r="F30830" s="2">
        <v>2.2990795605365901E-3</v>
      </c>
    </row>
    <row r="30831" spans="1:6" x14ac:dyDescent="0.25">
      <c r="A30831" s="1" t="str">
        <f t="shared" si="1107"/>
        <v>40900</v>
      </c>
      <c r="B30831" s="1" t="str">
        <f>"95717"</f>
        <v>95717</v>
      </c>
      <c r="C30831" s="2">
        <v>0</v>
      </c>
      <c r="D30831" s="2">
        <v>0</v>
      </c>
      <c r="E30831" s="2">
        <v>2.3188405797101399E-5</v>
      </c>
      <c r="F30831" s="2">
        <v>8.9737687764894398E-7</v>
      </c>
    </row>
    <row r="30832" spans="1:6" x14ac:dyDescent="0.25">
      <c r="A30832" s="1" t="str">
        <f t="shared" si="1107"/>
        <v>40900</v>
      </c>
      <c r="B30832" s="1" t="str">
        <f>"95671"</f>
        <v>95671</v>
      </c>
      <c r="C30832" s="2">
        <v>0</v>
      </c>
      <c r="D30832" s="2">
        <v>2.1369347807504899E-5</v>
      </c>
      <c r="E30832" s="2">
        <v>2.3188405797101399E-5</v>
      </c>
      <c r="F30832" s="2">
        <v>2.6921306329468301E-6</v>
      </c>
    </row>
    <row r="30833" spans="1:6" x14ac:dyDescent="0.25">
      <c r="A30833" s="1" t="str">
        <f t="shared" si="1107"/>
        <v>40900</v>
      </c>
      <c r="B30833" s="1" t="str">
        <f>"95853"</f>
        <v>95853</v>
      </c>
      <c r="C30833" s="2">
        <v>2.6492315182858299E-4</v>
      </c>
      <c r="D30833" s="2">
        <v>6.9450380374390895E-4</v>
      </c>
      <c r="E30833" s="2">
        <v>4.6376811594202797E-5</v>
      </c>
      <c r="F30833" s="2">
        <v>2.9254486211355502E-4</v>
      </c>
    </row>
    <row r="30834" spans="1:6" x14ac:dyDescent="0.25">
      <c r="A30834" s="1" t="str">
        <f t="shared" si="1107"/>
        <v>40900</v>
      </c>
      <c r="B30834" s="1" t="str">
        <f>"95851"</f>
        <v>95851</v>
      </c>
      <c r="C30834" s="2">
        <v>2.1480255553668899E-4</v>
      </c>
      <c r="D30834" s="2">
        <v>1.0364133686639799E-3</v>
      </c>
      <c r="E30834" s="2">
        <v>4.6376811594202797E-5</v>
      </c>
      <c r="F30834" s="2">
        <v>2.7728945519352302E-4</v>
      </c>
    </row>
    <row r="30835" spans="1:6" x14ac:dyDescent="0.25">
      <c r="A30835" s="1" t="str">
        <f t="shared" si="1107"/>
        <v>40900</v>
      </c>
      <c r="B30835" s="1" t="str">
        <f>"95759"</f>
        <v>95759</v>
      </c>
      <c r="C30835" s="2">
        <v>1.4627031162736399E-3</v>
      </c>
      <c r="D30835" s="2">
        <v>5.7910932558338296E-3</v>
      </c>
      <c r="E30835" s="2">
        <v>4.6376811594202797E-5</v>
      </c>
      <c r="F30835" s="2">
        <v>1.7714219564790099E-3</v>
      </c>
    </row>
    <row r="30836" spans="1:6" x14ac:dyDescent="0.25">
      <c r="A30836" s="1" t="str">
        <f t="shared" si="1107"/>
        <v>40900</v>
      </c>
      <c r="B30836" s="1" t="str">
        <f>"95629"</f>
        <v>95629</v>
      </c>
      <c r="C30836" s="2">
        <v>5.2166334916053097E-5</v>
      </c>
      <c r="D30836" s="2">
        <v>0</v>
      </c>
      <c r="E30836" s="2">
        <v>0</v>
      </c>
      <c r="F30836" s="2">
        <v>4.5766220760096098E-5</v>
      </c>
    </row>
    <row r="30837" spans="1:6" x14ac:dyDescent="0.25">
      <c r="A30837" s="1" t="str">
        <f t="shared" si="1107"/>
        <v>40900</v>
      </c>
      <c r="B30837" s="1" t="str">
        <f>"95612"</f>
        <v>95612</v>
      </c>
      <c r="C30837" s="2">
        <v>8.2238692691189602E-4</v>
      </c>
      <c r="D30837" s="2">
        <v>1.1966834772202701E-3</v>
      </c>
      <c r="E30837" s="2">
        <v>4.6376811594202797E-5</v>
      </c>
      <c r="F30837" s="2">
        <v>8.2379197368173001E-4</v>
      </c>
    </row>
    <row r="30838" spans="1:6" x14ac:dyDescent="0.25">
      <c r="A30838" s="1" t="str">
        <f t="shared" si="1107"/>
        <v>40900</v>
      </c>
      <c r="B30838" s="1" t="str">
        <f>"94571"</f>
        <v>94571</v>
      </c>
      <c r="C30838" s="2">
        <v>1.0944701639250299E-4</v>
      </c>
      <c r="D30838" s="2">
        <v>3.2054021711257299E-5</v>
      </c>
      <c r="E30838" s="2">
        <v>4.6376811594202797E-5</v>
      </c>
      <c r="F30838" s="2">
        <v>1.0050621029668101E-4</v>
      </c>
    </row>
    <row r="30839" spans="1:6" x14ac:dyDescent="0.25">
      <c r="A30839" s="1" t="str">
        <f t="shared" ref="A30839:A30870" si="1108">"40900"</f>
        <v>40900</v>
      </c>
      <c r="B30839" s="1" t="str">
        <f>"95817"</f>
        <v>95817</v>
      </c>
      <c r="C30839" s="2">
        <v>7.54468404589819E-3</v>
      </c>
      <c r="D30839" s="2">
        <v>5.5346610821437698E-3</v>
      </c>
      <c r="E30839" s="2">
        <v>9.9246376811594206E-3</v>
      </c>
      <c r="F30839" s="2">
        <v>7.4679703757945101E-3</v>
      </c>
    </row>
    <row r="30840" spans="1:6" x14ac:dyDescent="0.25">
      <c r="A30840" s="1" t="str">
        <f t="shared" si="1108"/>
        <v>40900</v>
      </c>
      <c r="B30840" s="1" t="str">
        <f>"95694"</f>
        <v>95694</v>
      </c>
      <c r="C30840" s="2">
        <v>3.0665621976142502E-3</v>
      </c>
      <c r="D30840" s="2">
        <v>2.0514573895204702E-3</v>
      </c>
      <c r="E30840" s="2">
        <v>1.8782608695652101E-3</v>
      </c>
      <c r="F30840" s="2">
        <v>2.9353197667896899E-3</v>
      </c>
    </row>
    <row r="30841" spans="1:6" x14ac:dyDescent="0.25">
      <c r="A30841" s="1" t="str">
        <f t="shared" si="1108"/>
        <v>40900</v>
      </c>
      <c r="B30841" s="1" t="str">
        <f>"95709"</f>
        <v>95709</v>
      </c>
      <c r="C30841" s="2">
        <v>3.2557930203489598E-3</v>
      </c>
      <c r="D30841" s="2">
        <v>1.3996922813915701E-3</v>
      </c>
      <c r="E30841" s="2">
        <v>6.9565217391304298E-4</v>
      </c>
      <c r="F30841" s="2">
        <v>3.00082827885806E-3</v>
      </c>
    </row>
    <row r="30842" spans="1:6" x14ac:dyDescent="0.25">
      <c r="A30842" s="1" t="str">
        <f t="shared" si="1108"/>
        <v>40900</v>
      </c>
      <c r="B30842" s="1" t="str">
        <f>"95824"</f>
        <v>95824</v>
      </c>
      <c r="C30842" s="2">
        <v>1.114620689373E-2</v>
      </c>
      <c r="D30842" s="2">
        <v>8.6973245576545E-3</v>
      </c>
      <c r="E30842" s="2">
        <v>1.2614492753623099E-2</v>
      </c>
      <c r="F30842" s="2">
        <v>1.0997353635587801E-2</v>
      </c>
    </row>
    <row r="30843" spans="1:6" x14ac:dyDescent="0.25">
      <c r="A30843" s="1" t="str">
        <f t="shared" si="1108"/>
        <v>40900</v>
      </c>
      <c r="B30843" s="1" t="str">
        <f>"95826"</f>
        <v>95826</v>
      </c>
      <c r="C30843" s="2">
        <v>1.7680296059293599E-2</v>
      </c>
      <c r="D30843" s="2">
        <v>1.8505855201299201E-2</v>
      </c>
      <c r="E30843" s="2">
        <v>2.9913043478260799E-2</v>
      </c>
      <c r="F30843" s="2">
        <v>1.8223032254417099E-2</v>
      </c>
    </row>
    <row r="30844" spans="1:6" x14ac:dyDescent="0.25">
      <c r="A30844" s="1" t="str">
        <f t="shared" si="1108"/>
        <v>40900</v>
      </c>
      <c r="B30844" s="1" t="str">
        <f>"95819"</f>
        <v>95819</v>
      </c>
      <c r="C30844" s="2">
        <v>9.70805264094627E-3</v>
      </c>
      <c r="D30844" s="2">
        <v>1.10158987947687E-2</v>
      </c>
      <c r="E30844" s="2">
        <v>6.1681159420289801E-3</v>
      </c>
      <c r="F30844" s="2">
        <v>9.6809017560768092E-3</v>
      </c>
    </row>
    <row r="30845" spans="1:6" x14ac:dyDescent="0.25">
      <c r="A30845" s="1" t="str">
        <f t="shared" si="1108"/>
        <v>40900</v>
      </c>
      <c r="B30845" s="1" t="str">
        <f>"95835"</f>
        <v>95835</v>
      </c>
      <c r="C30845" s="2">
        <v>1.5429983572718801E-2</v>
      </c>
      <c r="D30845" s="2">
        <v>1.7736558680228999E-3</v>
      </c>
      <c r="E30845" s="2">
        <v>1.99420289855072E-3</v>
      </c>
      <c r="F30845" s="2">
        <v>1.37630691725018E-2</v>
      </c>
    </row>
    <row r="30846" spans="1:6" x14ac:dyDescent="0.25">
      <c r="A30846" s="1" t="str">
        <f t="shared" si="1108"/>
        <v>40900</v>
      </c>
      <c r="B30846" s="1" t="str">
        <f>"95618"</f>
        <v>95618</v>
      </c>
      <c r="C30846" s="2">
        <v>1.10234625762804E-2</v>
      </c>
      <c r="D30846" s="2">
        <v>6.1116334729463999E-3</v>
      </c>
      <c r="E30846" s="2">
        <v>1.0365217391304299E-2</v>
      </c>
      <c r="F30846" s="2">
        <v>1.0585457648746899E-2</v>
      </c>
    </row>
    <row r="30847" spans="1:6" x14ac:dyDescent="0.25">
      <c r="A30847" s="1" t="str">
        <f t="shared" si="1108"/>
        <v>40900</v>
      </c>
      <c r="B30847" s="1" t="str">
        <f>"95658"</f>
        <v>95658</v>
      </c>
      <c r="C30847" s="2">
        <v>3.5626538139728E-3</v>
      </c>
      <c r="D30847" s="2">
        <v>3.1733481494144698E-3</v>
      </c>
      <c r="E30847" s="2">
        <v>9.5072463768115898E-4</v>
      </c>
      <c r="F30847" s="2">
        <v>3.4288770494966098E-3</v>
      </c>
    </row>
    <row r="30848" spans="1:6" x14ac:dyDescent="0.25">
      <c r="A30848" s="1" t="str">
        <f t="shared" si="1108"/>
        <v>40900</v>
      </c>
      <c r="B30848" s="1" t="str">
        <f>"95661"</f>
        <v>95661</v>
      </c>
      <c r="C30848" s="2">
        <v>1.4290507159062301E-2</v>
      </c>
      <c r="D30848" s="2">
        <v>2.8154115736387701E-2</v>
      </c>
      <c r="E30848" s="2">
        <v>1.8110144927536199E-2</v>
      </c>
      <c r="F30848" s="2">
        <v>1.56026917716821E-2</v>
      </c>
    </row>
    <row r="30849" spans="1:6" x14ac:dyDescent="0.25">
      <c r="A30849" s="1" t="str">
        <f t="shared" si="1108"/>
        <v>40900</v>
      </c>
      <c r="B30849" s="1" t="str">
        <f>"95635"</f>
        <v>95635</v>
      </c>
      <c r="C30849" s="2">
        <v>4.8586292323774899E-4</v>
      </c>
      <c r="D30849" s="2">
        <v>1.0684673903752399E-4</v>
      </c>
      <c r="E30849" s="2">
        <v>2.3188405797101399E-5</v>
      </c>
      <c r="F30849" s="2">
        <v>4.3612516253738599E-4</v>
      </c>
    </row>
    <row r="30850" spans="1:6" x14ac:dyDescent="0.25">
      <c r="A30850" s="1" t="str">
        <f t="shared" si="1108"/>
        <v>40900</v>
      </c>
      <c r="B30850" s="1" t="str">
        <f>"96140"</f>
        <v>96140</v>
      </c>
      <c r="C30850" s="2">
        <v>0</v>
      </c>
      <c r="D30850" s="2">
        <v>0</v>
      </c>
      <c r="E30850" s="2">
        <v>6.4927536231884002E-4</v>
      </c>
      <c r="F30850" s="2">
        <v>2.51265525741704E-5</v>
      </c>
    </row>
    <row r="30851" spans="1:6" x14ac:dyDescent="0.25">
      <c r="A30851" s="1" t="str">
        <f t="shared" si="1108"/>
        <v>40900</v>
      </c>
      <c r="B30851" s="1" t="str">
        <f>"96148"</f>
        <v>96148</v>
      </c>
      <c r="C30851" s="2">
        <v>0</v>
      </c>
      <c r="D30851" s="2">
        <v>0</v>
      </c>
      <c r="E30851" s="2">
        <v>3.2463768115942001E-4</v>
      </c>
      <c r="F30851" s="2">
        <v>1.25632762870852E-5</v>
      </c>
    </row>
    <row r="30852" spans="1:6" x14ac:dyDescent="0.25">
      <c r="A30852" s="1" t="str">
        <f t="shared" si="1108"/>
        <v>40900</v>
      </c>
      <c r="B30852" s="1" t="str">
        <f>"95691"</f>
        <v>95691</v>
      </c>
      <c r="C30852" s="2">
        <v>1.7145335409076101E-2</v>
      </c>
      <c r="D30852" s="2">
        <v>2.0909906829643499E-2</v>
      </c>
      <c r="E30852" s="2">
        <v>1.81333333333333E-2</v>
      </c>
      <c r="F30852" s="2">
        <v>1.7499746491032E-2</v>
      </c>
    </row>
    <row r="30853" spans="1:6" x14ac:dyDescent="0.25">
      <c r="A30853" s="1" t="str">
        <f t="shared" si="1108"/>
        <v>40900</v>
      </c>
      <c r="B30853" s="1" t="str">
        <f>"95776"</f>
        <v>95776</v>
      </c>
      <c r="C30853" s="2">
        <v>1.070841882816E-2</v>
      </c>
      <c r="D30853" s="2">
        <v>1.50226515086759E-2</v>
      </c>
      <c r="E30853" s="2">
        <v>6.0289855072463696E-3</v>
      </c>
      <c r="F30853" s="2">
        <v>1.08896684102699E-2</v>
      </c>
    </row>
    <row r="30854" spans="1:6" x14ac:dyDescent="0.25">
      <c r="A30854" s="1" t="str">
        <f t="shared" si="1108"/>
        <v>40900</v>
      </c>
      <c r="B30854" s="1" t="str">
        <f>"95815"</f>
        <v>95815</v>
      </c>
      <c r="C30854" s="2">
        <v>1.0322797097506E-2</v>
      </c>
      <c r="D30854" s="2">
        <v>2.50555603042995E-2</v>
      </c>
      <c r="E30854" s="2">
        <v>3.0655072463768099E-2</v>
      </c>
      <c r="F30854" s="2">
        <v>1.23470084595718E-2</v>
      </c>
    </row>
    <row r="30855" spans="1:6" x14ac:dyDescent="0.25">
      <c r="A30855" s="1" t="str">
        <f t="shared" si="1108"/>
        <v>40900</v>
      </c>
      <c r="B30855" s="1" t="str">
        <f>"95763"</f>
        <v>95763</v>
      </c>
      <c r="C30855" s="2">
        <v>2.0099381982361599E-3</v>
      </c>
      <c r="D30855" s="2">
        <v>5.2354902128387004E-3</v>
      </c>
      <c r="E30855" s="2">
        <v>4.6376811594202797E-5</v>
      </c>
      <c r="F30855" s="2">
        <v>2.2048549883834502E-3</v>
      </c>
    </row>
    <row r="30856" spans="1:6" x14ac:dyDescent="0.25">
      <c r="A30856" s="1" t="str">
        <f t="shared" si="1108"/>
        <v>40900</v>
      </c>
      <c r="B30856" s="1" t="str">
        <f>"95683"</f>
        <v>95683</v>
      </c>
      <c r="C30856" s="2">
        <v>3.2353356341073701E-3</v>
      </c>
      <c r="D30856" s="2">
        <v>2.15830412855799E-3</v>
      </c>
      <c r="E30856" s="2">
        <v>1.3913043478260801E-4</v>
      </c>
      <c r="F30856" s="2">
        <v>3.02505745455459E-3</v>
      </c>
    </row>
    <row r="30857" spans="1:6" x14ac:dyDescent="0.25">
      <c r="A30857" s="1" t="str">
        <f t="shared" si="1108"/>
        <v>40900</v>
      </c>
      <c r="B30857" s="1" t="str">
        <f>"95822"</f>
        <v>95822</v>
      </c>
      <c r="C30857" s="2">
        <v>1.8461768213722401E-2</v>
      </c>
      <c r="D30857" s="2">
        <v>1.4445679117873301E-2</v>
      </c>
      <c r="E30857" s="2">
        <v>1.7669565217391301E-2</v>
      </c>
      <c r="F30857" s="2">
        <v>1.8093809984035598E-2</v>
      </c>
    </row>
    <row r="30858" spans="1:6" x14ac:dyDescent="0.25">
      <c r="A30858" s="1" t="str">
        <f t="shared" si="1108"/>
        <v>40900</v>
      </c>
      <c r="B30858" s="1" t="str">
        <f>"95825"</f>
        <v>95825</v>
      </c>
      <c r="C30858" s="2">
        <v>1.7509476884176398E-2</v>
      </c>
      <c r="D30858" s="2">
        <v>3.3218651166766297E-2</v>
      </c>
      <c r="E30858" s="2">
        <v>5.0898550724637601E-2</v>
      </c>
      <c r="F30858" s="2">
        <v>2.0120984350644602E-2</v>
      </c>
    </row>
    <row r="30859" spans="1:6" x14ac:dyDescent="0.25">
      <c r="A30859" s="1" t="str">
        <f t="shared" si="1108"/>
        <v>40900</v>
      </c>
      <c r="B30859" s="1" t="str">
        <f>"95726"</f>
        <v>95726</v>
      </c>
      <c r="C30859" s="2">
        <v>5.9275276635005402E-3</v>
      </c>
      <c r="D30859" s="2">
        <v>2.1796734763655E-3</v>
      </c>
      <c r="E30859" s="2">
        <v>1.8782608695652101E-3</v>
      </c>
      <c r="F30859" s="2">
        <v>5.4560514161055796E-3</v>
      </c>
    </row>
    <row r="30860" spans="1:6" x14ac:dyDescent="0.25">
      <c r="A30860" s="1" t="str">
        <f t="shared" si="1108"/>
        <v>40900</v>
      </c>
      <c r="B30860" s="1" t="str">
        <f>"95614"</f>
        <v>95614</v>
      </c>
      <c r="C30860" s="2">
        <v>2.2104205834037401E-3</v>
      </c>
      <c r="D30860" s="2">
        <v>1.51722369433284E-3</v>
      </c>
      <c r="E30860" s="2">
        <v>4.6376811594202799E-4</v>
      </c>
      <c r="F30860" s="2">
        <v>2.08460648677849E-3</v>
      </c>
    </row>
    <row r="30861" spans="1:6" x14ac:dyDescent="0.25">
      <c r="A30861" s="1" t="str">
        <f t="shared" si="1108"/>
        <v>40900</v>
      </c>
      <c r="B30861" s="1" t="str">
        <f>"95638"</f>
        <v>95638</v>
      </c>
      <c r="C30861" s="2">
        <v>1.10469885704583E-3</v>
      </c>
      <c r="D30861" s="2">
        <v>4.5944097786135502E-4</v>
      </c>
      <c r="E30861" s="2">
        <v>6.9565217391304301E-5</v>
      </c>
      <c r="F30861" s="2">
        <v>1.0104463642327101E-3</v>
      </c>
    </row>
    <row r="30862" spans="1:6" x14ac:dyDescent="0.25">
      <c r="A30862" s="1" t="str">
        <f t="shared" si="1108"/>
        <v>40900</v>
      </c>
      <c r="B30862" s="1" t="str">
        <f>"95603"</f>
        <v>95603</v>
      </c>
      <c r="C30862" s="2">
        <v>1.29147479343154E-2</v>
      </c>
      <c r="D30862" s="2">
        <v>2.49059748696469E-2</v>
      </c>
      <c r="E30862" s="2">
        <v>1.5605797101449201E-2</v>
      </c>
      <c r="F30862" s="2">
        <v>1.4026000597653E-2</v>
      </c>
    </row>
    <row r="30863" spans="1:6" x14ac:dyDescent="0.25">
      <c r="A30863" s="1" t="str">
        <f t="shared" si="1108"/>
        <v>40900</v>
      </c>
      <c r="B30863" s="1" t="str">
        <f>"95619"</f>
        <v>95619</v>
      </c>
      <c r="C30863" s="2">
        <v>3.65982639862035E-3</v>
      </c>
      <c r="D30863" s="2">
        <v>5.8124626036413296E-3</v>
      </c>
      <c r="E30863" s="2">
        <v>4.1739130434782596E-3</v>
      </c>
      <c r="F30863" s="2">
        <v>3.8605153276457501E-3</v>
      </c>
    </row>
    <row r="30864" spans="1:6" x14ac:dyDescent="0.25">
      <c r="A30864" s="1" t="str">
        <f t="shared" si="1108"/>
        <v>40900</v>
      </c>
      <c r="B30864" s="1" t="str">
        <f>"95650"</f>
        <v>95650</v>
      </c>
      <c r="C30864" s="2">
        <v>6.2487086274934898E-3</v>
      </c>
      <c r="D30864" s="2">
        <v>9.6696298828959706E-3</v>
      </c>
      <c r="E30864" s="2">
        <v>3.7565217391304301E-3</v>
      </c>
      <c r="F30864" s="2">
        <v>6.4395764740088198E-3</v>
      </c>
    </row>
    <row r="30865" spans="1:6" x14ac:dyDescent="0.25">
      <c r="A30865" s="1" t="str">
        <f t="shared" si="1108"/>
        <v>40900</v>
      </c>
      <c r="B30865" s="1" t="str">
        <f>"95626"</f>
        <v>95626</v>
      </c>
      <c r="C30865" s="2">
        <v>2.9356349256680798E-3</v>
      </c>
      <c r="D30865" s="2">
        <v>1.2073681511240201E-3</v>
      </c>
      <c r="E30865" s="2">
        <v>4.6376811594202797E-5</v>
      </c>
      <c r="F30865" s="2">
        <v>2.6786699797820899E-3</v>
      </c>
    </row>
    <row r="30866" spans="1:6" x14ac:dyDescent="0.25">
      <c r="A30866" s="1" t="str">
        <f t="shared" si="1108"/>
        <v>40900</v>
      </c>
      <c r="B30866" s="1" t="str">
        <f>"96151"</f>
        <v>96151</v>
      </c>
      <c r="C30866" s="2">
        <v>4.8473776699446197E-3</v>
      </c>
      <c r="D30866" s="2">
        <v>2.9596546713394302E-3</v>
      </c>
      <c r="E30866" s="2">
        <v>4.6376811594202797E-5</v>
      </c>
      <c r="F30866" s="2">
        <v>4.5030371720424E-3</v>
      </c>
    </row>
    <row r="30867" spans="1:6" x14ac:dyDescent="0.25">
      <c r="A30867" s="1" t="str">
        <f t="shared" si="1108"/>
        <v>40900</v>
      </c>
      <c r="B30867" s="1" t="str">
        <f>"95798"</f>
        <v>95798</v>
      </c>
      <c r="C30867" s="2">
        <v>6.4133905867382903E-4</v>
      </c>
      <c r="D30867" s="2">
        <v>1.98734934609795E-3</v>
      </c>
      <c r="E30867" s="2">
        <v>4.6376811594202797E-5</v>
      </c>
      <c r="F30867" s="2">
        <v>7.3136215528388899E-4</v>
      </c>
    </row>
    <row r="30868" spans="1:6" x14ac:dyDescent="0.25">
      <c r="A30868" s="1" t="str">
        <f t="shared" si="1108"/>
        <v>40900</v>
      </c>
      <c r="B30868" s="1" t="str">
        <f>"96142"</f>
        <v>96142</v>
      </c>
      <c r="C30868" s="2">
        <v>0</v>
      </c>
      <c r="D30868" s="2">
        <v>0</v>
      </c>
      <c r="E30868" s="2">
        <v>8.3478260869565199E-4</v>
      </c>
      <c r="F30868" s="2">
        <v>3.2305567595361902E-5</v>
      </c>
    </row>
    <row r="30869" spans="1:6" x14ac:dyDescent="0.25">
      <c r="A30869" s="1" t="str">
        <f t="shared" si="1108"/>
        <v>40900</v>
      </c>
      <c r="B30869" s="1" t="str">
        <f>"95668"</f>
        <v>95668</v>
      </c>
      <c r="C30869" s="2">
        <v>5.6257812164371E-5</v>
      </c>
      <c r="D30869" s="2">
        <v>2.1369347807504899E-5</v>
      </c>
      <c r="E30869" s="2">
        <v>0</v>
      </c>
      <c r="F30869" s="2">
        <v>5.1150482025989798E-5</v>
      </c>
    </row>
    <row r="30870" spans="1:6" x14ac:dyDescent="0.25">
      <c r="A30870" s="1" t="str">
        <f t="shared" si="1108"/>
        <v>40900</v>
      </c>
      <c r="B30870" s="1" t="str">
        <f>"95721"</f>
        <v>95721</v>
      </c>
      <c r="C30870" s="2">
        <v>0</v>
      </c>
      <c r="D30870" s="2">
        <v>1.06846739037524E-5</v>
      </c>
      <c r="E30870" s="2">
        <v>2.3188405797101399E-5</v>
      </c>
      <c r="F30870" s="2">
        <v>1.7947537552978799E-6</v>
      </c>
    </row>
    <row r="30871" spans="1:6" x14ac:dyDescent="0.25">
      <c r="A30871" s="1" t="str">
        <f t="shared" ref="A30871:A30898" si="1109">"40900"</f>
        <v>40900</v>
      </c>
      <c r="B30871" s="1" t="str">
        <f>"95672"</f>
        <v>95672</v>
      </c>
      <c r="C30871" s="2">
        <v>2.11836234531658E-3</v>
      </c>
      <c r="D30871" s="2">
        <v>8.4408923839644399E-4</v>
      </c>
      <c r="E30871" s="2">
        <v>1.6231884057971E-4</v>
      </c>
      <c r="F30871" s="2">
        <v>1.93564192508877E-3</v>
      </c>
    </row>
    <row r="30872" spans="1:6" x14ac:dyDescent="0.25">
      <c r="A30872" s="1" t="str">
        <f t="shared" si="1109"/>
        <v>40900</v>
      </c>
      <c r="B30872" s="1" t="str">
        <f>"95611"</f>
        <v>95611</v>
      </c>
      <c r="C30872" s="2">
        <v>2.80573052303399E-3</v>
      </c>
      <c r="D30872" s="2">
        <v>2.87417728010941E-3</v>
      </c>
      <c r="E30872" s="2">
        <v>4.6376811594202797E-5</v>
      </c>
      <c r="F30872" s="2">
        <v>2.7046939092339102E-3</v>
      </c>
    </row>
    <row r="30873" spans="1:6" x14ac:dyDescent="0.25">
      <c r="A30873" s="1" t="str">
        <f t="shared" si="1109"/>
        <v>40900</v>
      </c>
      <c r="B30873" s="1" t="str">
        <f>"95634"</f>
        <v>95634</v>
      </c>
      <c r="C30873" s="2">
        <v>1.1957342258208999E-3</v>
      </c>
      <c r="D30873" s="2">
        <v>5.12864347380117E-4</v>
      </c>
      <c r="E30873" s="2">
        <v>3.9420289855072402E-4</v>
      </c>
      <c r="F30873" s="2">
        <v>1.1073630670187899E-3</v>
      </c>
    </row>
    <row r="30874" spans="1:6" x14ac:dyDescent="0.25">
      <c r="A30874" s="1" t="str">
        <f t="shared" si="1109"/>
        <v>40900</v>
      </c>
      <c r="B30874" s="1" t="str">
        <f>"95655"</f>
        <v>95655</v>
      </c>
      <c r="C30874" s="2">
        <v>1.7705867792095599E-3</v>
      </c>
      <c r="D30874" s="2">
        <v>1.36763825968031E-3</v>
      </c>
      <c r="E30874" s="2">
        <v>9.0434782608695601E-4</v>
      </c>
      <c r="F30874" s="2">
        <v>1.70322131377769E-3</v>
      </c>
    </row>
    <row r="30875" spans="1:6" x14ac:dyDescent="0.25">
      <c r="A30875" s="1" t="str">
        <f t="shared" si="1109"/>
        <v>40900</v>
      </c>
      <c r="B30875" s="1" t="str">
        <f>"95637"</f>
        <v>95637</v>
      </c>
      <c r="C30875" s="2">
        <v>3.2731817986543099E-5</v>
      </c>
      <c r="D30875" s="2">
        <v>0</v>
      </c>
      <c r="E30875" s="2">
        <v>2.3188405797101399E-5</v>
      </c>
      <c r="F30875" s="2">
        <v>2.96134369624151E-5</v>
      </c>
    </row>
    <row r="30876" spans="1:6" x14ac:dyDescent="0.25">
      <c r="A30876" s="1" t="str">
        <f t="shared" si="1109"/>
        <v>40900</v>
      </c>
      <c r="B30876" s="1" t="str">
        <f>"95720"</f>
        <v>95720</v>
      </c>
      <c r="C30876" s="2">
        <v>3.0686079362384098E-6</v>
      </c>
      <c r="D30876" s="2">
        <v>0</v>
      </c>
      <c r="E30876" s="2">
        <v>2.3188405797101399E-5</v>
      </c>
      <c r="F30876" s="2">
        <v>3.58950751059577E-6</v>
      </c>
    </row>
    <row r="30877" spans="1:6" x14ac:dyDescent="0.25">
      <c r="A30877" s="1" t="str">
        <f t="shared" si="1109"/>
        <v>40900</v>
      </c>
      <c r="B30877" s="1" t="str">
        <f>"95747"</f>
        <v>95747</v>
      </c>
      <c r="C30877" s="2">
        <v>2.8332457075289301E-2</v>
      </c>
      <c r="D30877" s="2">
        <v>9.2849816223608793E-3</v>
      </c>
      <c r="E30877" s="2">
        <v>4.1971014492753599E-3</v>
      </c>
      <c r="F30877" s="2">
        <v>2.5798687855529499E-2</v>
      </c>
    </row>
    <row r="30878" spans="1:6" x14ac:dyDescent="0.25">
      <c r="A30878" s="1" t="str">
        <f t="shared" si="1109"/>
        <v>40900</v>
      </c>
      <c r="B30878" s="1" t="str">
        <f>"95833"</f>
        <v>95833</v>
      </c>
      <c r="C30878" s="2">
        <v>1.56744493383058E-2</v>
      </c>
      <c r="D30878" s="2">
        <v>9.6589452089922197E-3</v>
      </c>
      <c r="E30878" s="2">
        <v>2.8428985507246301E-2</v>
      </c>
      <c r="F30878" s="2">
        <v>1.5662816022484601E-2</v>
      </c>
    </row>
    <row r="30879" spans="1:6" x14ac:dyDescent="0.25">
      <c r="A30879" s="1" t="str">
        <f t="shared" si="1109"/>
        <v>40900</v>
      </c>
      <c r="B30879" s="1" t="str">
        <f>"95834"</f>
        <v>95834</v>
      </c>
      <c r="C30879" s="2">
        <v>1.35141493511939E-2</v>
      </c>
      <c r="D30879" s="2">
        <v>1.8602017266432999E-2</v>
      </c>
      <c r="E30879" s="2">
        <v>2.0382608695652098E-2</v>
      </c>
      <c r="F30879" s="2">
        <v>1.4207270726938E-2</v>
      </c>
    </row>
    <row r="30880" spans="1:6" x14ac:dyDescent="0.25">
      <c r="A30880" s="1" t="str">
        <f t="shared" si="1109"/>
        <v>40900</v>
      </c>
      <c r="B30880" s="1" t="str">
        <f>"95864"</f>
        <v>95864</v>
      </c>
      <c r="C30880" s="2">
        <v>1.0488501926062901E-2</v>
      </c>
      <c r="D30880" s="2">
        <v>4.0281220617146701E-3</v>
      </c>
      <c r="E30880" s="2">
        <v>8.0927536231883996E-3</v>
      </c>
      <c r="F30880" s="2">
        <v>9.8531981165853998E-3</v>
      </c>
    </row>
    <row r="30881" spans="1:6" x14ac:dyDescent="0.25">
      <c r="A30881" s="1" t="str">
        <f t="shared" si="1109"/>
        <v>40900</v>
      </c>
      <c r="B30881" s="1" t="str">
        <f>"95860"</f>
        <v>95860</v>
      </c>
      <c r="C30881" s="2">
        <v>1.21005439619001E-3</v>
      </c>
      <c r="D30881" s="2">
        <v>2.3933669544405501E-3</v>
      </c>
      <c r="E30881" s="2">
        <v>4.6376811594202797E-5</v>
      </c>
      <c r="F30881" s="2">
        <v>1.26440402060736E-3</v>
      </c>
    </row>
    <row r="30882" spans="1:6" x14ac:dyDescent="0.25">
      <c r="A30882" s="1" t="str">
        <f t="shared" si="1109"/>
        <v>40900</v>
      </c>
      <c r="B30882" s="1" t="str">
        <f>"95632"</f>
        <v>95632</v>
      </c>
      <c r="C30882" s="2">
        <v>1.11370010699213E-2</v>
      </c>
      <c r="D30882" s="2">
        <v>7.9493973843918209E-3</v>
      </c>
      <c r="E30882" s="2">
        <v>3.4782608695652101E-3</v>
      </c>
      <c r="F30882" s="2">
        <v>1.05728943724598E-2</v>
      </c>
    </row>
    <row r="30883" spans="1:6" x14ac:dyDescent="0.25">
      <c r="A30883" s="1" t="str">
        <f t="shared" si="1109"/>
        <v>40900</v>
      </c>
      <c r="B30883" s="1" t="str">
        <f>"95608"</f>
        <v>95608</v>
      </c>
      <c r="C30883" s="2">
        <v>2.7833296850994501E-2</v>
      </c>
      <c r="D30883" s="2">
        <v>1.99910248739208E-2</v>
      </c>
      <c r="E30883" s="2">
        <v>3.06086956521739E-2</v>
      </c>
      <c r="F30883" s="2">
        <v>2.72820518342832E-2</v>
      </c>
    </row>
    <row r="30884" spans="1:6" x14ac:dyDescent="0.25">
      <c r="A30884" s="1" t="str">
        <f t="shared" si="1109"/>
        <v>40900</v>
      </c>
      <c r="B30884" s="1" t="str">
        <f>"95623"</f>
        <v>95623</v>
      </c>
      <c r="C30884" s="2">
        <v>3.0706536748625699E-3</v>
      </c>
      <c r="D30884" s="2">
        <v>2.0728267373279702E-3</v>
      </c>
      <c r="E30884" s="2">
        <v>1.06666666666666E-3</v>
      </c>
      <c r="F30884" s="2">
        <v>2.9092958373378702E-3</v>
      </c>
    </row>
    <row r="30885" spans="1:6" x14ac:dyDescent="0.25">
      <c r="A30885" s="1" t="str">
        <f t="shared" si="1109"/>
        <v>40900</v>
      </c>
      <c r="B30885" s="1" t="str">
        <f>"95631"</f>
        <v>95631</v>
      </c>
      <c r="C30885" s="2">
        <v>2.3485079405344599E-3</v>
      </c>
      <c r="D30885" s="2">
        <v>6.1971108641764203E-4</v>
      </c>
      <c r="E30885" s="2">
        <v>5.3333333333333303E-4</v>
      </c>
      <c r="F30885" s="2">
        <v>2.13306483817154E-3</v>
      </c>
    </row>
    <row r="30886" spans="1:6" x14ac:dyDescent="0.25">
      <c r="A30886" s="1" t="str">
        <f t="shared" si="1109"/>
        <v>40900</v>
      </c>
      <c r="B30886" s="1" t="str">
        <f>"95633"</f>
        <v>95633</v>
      </c>
      <c r="C30886" s="2">
        <v>1.1732311009551499E-3</v>
      </c>
      <c r="D30886" s="2">
        <v>2.5643217369005801E-4</v>
      </c>
      <c r="E30886" s="2">
        <v>6.9565217391304301E-5</v>
      </c>
      <c r="F30886" s="2">
        <v>1.0535204543598599E-3</v>
      </c>
    </row>
    <row r="30887" spans="1:6" x14ac:dyDescent="0.25">
      <c r="A30887" s="1" t="str">
        <f t="shared" si="1109"/>
        <v>40900</v>
      </c>
      <c r="B30887" s="1" t="str">
        <f>"95673"</f>
        <v>95673</v>
      </c>
      <c r="C30887" s="2">
        <v>6.5361349041878304E-3</v>
      </c>
      <c r="D30887" s="2">
        <v>3.7503205402171099E-3</v>
      </c>
      <c r="E30887" s="2">
        <v>1.6695652173913001E-3</v>
      </c>
      <c r="F30887" s="2">
        <v>6.1138286674222503E-3</v>
      </c>
    </row>
    <row r="30888" spans="1:6" x14ac:dyDescent="0.25">
      <c r="A30888" s="1" t="str">
        <f t="shared" si="1109"/>
        <v>40900</v>
      </c>
      <c r="B30888" s="1" t="str">
        <f>"95663"</f>
        <v>95663</v>
      </c>
      <c r="C30888" s="2">
        <v>1.7081917511727099E-3</v>
      </c>
      <c r="D30888" s="2">
        <v>1.3142148901615499E-3</v>
      </c>
      <c r="E30888" s="2">
        <v>4.4057971014492699E-4</v>
      </c>
      <c r="F30888" s="2">
        <v>1.6260469022998799E-3</v>
      </c>
    </row>
    <row r="30889" spans="1:6" x14ac:dyDescent="0.25">
      <c r="A30889" s="1" t="str">
        <f t="shared" si="1109"/>
        <v>40900</v>
      </c>
      <c r="B30889" s="1" t="str">
        <f>"95652"</f>
        <v>95652</v>
      </c>
      <c r="C30889" s="2">
        <v>2.4958011214739099E-4</v>
      </c>
      <c r="D30889" s="2">
        <v>4.6050944525173002E-3</v>
      </c>
      <c r="E30889" s="2">
        <v>1.7391304347826001E-3</v>
      </c>
      <c r="F30889" s="2">
        <v>6.7303265823670804E-4</v>
      </c>
    </row>
    <row r="30890" spans="1:6" x14ac:dyDescent="0.25">
      <c r="A30890" s="1" t="str">
        <f t="shared" si="1109"/>
        <v>40900</v>
      </c>
      <c r="B30890" s="1" t="str">
        <f>"95852"</f>
        <v>95852</v>
      </c>
      <c r="C30890" s="2">
        <v>2.5264872008362902E-4</v>
      </c>
      <c r="D30890" s="2">
        <v>6.9450380374390895E-4</v>
      </c>
      <c r="E30890" s="2">
        <v>4.6376811594202797E-5</v>
      </c>
      <c r="F30890" s="2">
        <v>2.81776339581768E-4</v>
      </c>
    </row>
    <row r="30891" spans="1:6" x14ac:dyDescent="0.25">
      <c r="A30891" s="1" t="str">
        <f t="shared" si="1109"/>
        <v>40900</v>
      </c>
      <c r="B30891" s="1" t="str">
        <f>"95690"</f>
        <v>95690</v>
      </c>
      <c r="C30891" s="2">
        <v>3.54935651291577E-4</v>
      </c>
      <c r="D30891" s="2">
        <v>2.3506282588255399E-4</v>
      </c>
      <c r="E30891" s="2">
        <v>1.85507246376811E-4</v>
      </c>
      <c r="F30891" s="2">
        <v>3.38311082873652E-4</v>
      </c>
    </row>
    <row r="30892" spans="1:6" x14ac:dyDescent="0.25">
      <c r="A30892" s="1" t="str">
        <f t="shared" si="1109"/>
        <v>40900</v>
      </c>
      <c r="B30892" s="1" t="str">
        <f>"96141"</f>
        <v>96141</v>
      </c>
      <c r="C30892" s="2">
        <v>0</v>
      </c>
      <c r="D30892" s="2">
        <v>0</v>
      </c>
      <c r="E30892" s="2">
        <v>1.3217391304347801E-3</v>
      </c>
      <c r="F30892" s="2">
        <v>5.1150482025989798E-5</v>
      </c>
    </row>
    <row r="30893" spans="1:6" x14ac:dyDescent="0.25">
      <c r="A30893" s="1" t="str">
        <f t="shared" si="1109"/>
        <v>40900</v>
      </c>
      <c r="B30893" s="1" t="str">
        <f>"96155"</f>
        <v>96155</v>
      </c>
      <c r="C30893" s="2">
        <v>1.1425450215927699E-3</v>
      </c>
      <c r="D30893" s="2">
        <v>4.5944097786135502E-4</v>
      </c>
      <c r="E30893" s="2">
        <v>4.6376811594202797E-5</v>
      </c>
      <c r="F30893" s="2">
        <v>1.04275193182807E-3</v>
      </c>
    </row>
    <row r="30894" spans="1:6" x14ac:dyDescent="0.25">
      <c r="A30894" s="1" t="str">
        <f t="shared" si="1109"/>
        <v>40900</v>
      </c>
      <c r="B30894" s="1" t="str">
        <f>"96145"</f>
        <v>96145</v>
      </c>
      <c r="C30894" s="2">
        <v>0</v>
      </c>
      <c r="D30894" s="2">
        <v>0</v>
      </c>
      <c r="E30894" s="2">
        <v>1.6231884057970999E-3</v>
      </c>
      <c r="F30894" s="2">
        <v>6.2816381435426094E-5</v>
      </c>
    </row>
    <row r="30895" spans="1:6" x14ac:dyDescent="0.25">
      <c r="A30895" s="1" t="str">
        <f t="shared" si="1109"/>
        <v>40900</v>
      </c>
      <c r="B30895" s="1" t="str">
        <f>"95639"</f>
        <v>95639</v>
      </c>
      <c r="C30895" s="2">
        <v>0</v>
      </c>
      <c r="D30895" s="2">
        <v>1.06846739037524E-5</v>
      </c>
      <c r="E30895" s="2">
        <v>2.3188405797101399E-5</v>
      </c>
      <c r="F30895" s="2">
        <v>1.7947537552978799E-6</v>
      </c>
    </row>
    <row r="30896" spans="1:6" x14ac:dyDescent="0.25">
      <c r="A30896" s="1" t="str">
        <f t="shared" si="1109"/>
        <v>40900</v>
      </c>
      <c r="B30896" s="1" t="str">
        <f>"95701"</f>
        <v>95701</v>
      </c>
      <c r="C30896" s="2">
        <v>0</v>
      </c>
      <c r="D30896" s="2">
        <v>0</v>
      </c>
      <c r="E30896" s="2">
        <v>2.3188405797101399E-5</v>
      </c>
      <c r="F30896" s="2">
        <v>8.9737687764894398E-7</v>
      </c>
    </row>
    <row r="30897" spans="1:6" x14ac:dyDescent="0.25">
      <c r="A30897" s="1" t="str">
        <f t="shared" si="1109"/>
        <v>40900</v>
      </c>
      <c r="B30897" s="1" t="str">
        <f>"95697"</f>
        <v>95697</v>
      </c>
      <c r="C30897" s="2">
        <v>2.8640340738225199E-5</v>
      </c>
      <c r="D30897" s="2">
        <v>0</v>
      </c>
      <c r="E30897" s="2">
        <v>2.3188405797101399E-5</v>
      </c>
      <c r="F30897" s="2">
        <v>2.60239294518193E-5</v>
      </c>
    </row>
    <row r="30898" spans="1:6" x14ac:dyDescent="0.25">
      <c r="A30898" s="1" t="str">
        <f t="shared" si="1109"/>
        <v>40900</v>
      </c>
      <c r="B30898" s="1" t="str">
        <f>"95799"</f>
        <v>95799</v>
      </c>
      <c r="C30898" s="2">
        <v>0</v>
      </c>
      <c r="D30898" s="2">
        <v>0</v>
      </c>
      <c r="E30898" s="2">
        <v>1.15942028985507E-4</v>
      </c>
      <c r="F30898" s="2">
        <v>4.4868843882447204E-6</v>
      </c>
    </row>
    <row r="30899" spans="1:6" x14ac:dyDescent="0.25">
      <c r="A30899" s="1" t="str">
        <f t="shared" ref="A30899:A30909" si="1110">"40940"</f>
        <v>40940</v>
      </c>
      <c r="B30899" s="1" t="str">
        <f>"85531"</f>
        <v>85531</v>
      </c>
      <c r="C30899" s="2">
        <v>0</v>
      </c>
      <c r="D30899" s="2">
        <v>0</v>
      </c>
      <c r="E30899" s="2">
        <v>2.8653295128939801E-3</v>
      </c>
      <c r="F30899" s="2">
        <v>6.1873530503650498E-5</v>
      </c>
    </row>
    <row r="30900" spans="1:6" x14ac:dyDescent="0.25">
      <c r="A30900" s="1" t="str">
        <f t="shared" si="1110"/>
        <v>40940</v>
      </c>
      <c r="B30900" s="1" t="str">
        <f>"85550"</f>
        <v>85550</v>
      </c>
      <c r="C30900" s="2">
        <v>0</v>
      </c>
      <c r="D30900" s="2">
        <v>0</v>
      </c>
      <c r="E30900" s="2">
        <v>2.8653295128939801E-3</v>
      </c>
      <c r="F30900" s="2">
        <v>6.1873530503650498E-5</v>
      </c>
    </row>
    <row r="30901" spans="1:6" x14ac:dyDescent="0.25">
      <c r="A30901" s="1" t="str">
        <f t="shared" si="1110"/>
        <v>40940</v>
      </c>
      <c r="B30901" s="1" t="str">
        <f>"85543"</f>
        <v>85543</v>
      </c>
      <c r="C30901" s="2">
        <v>7.6539549925885894E-2</v>
      </c>
      <c r="D30901" s="2">
        <v>5.1493305870236802E-3</v>
      </c>
      <c r="E30901" s="2">
        <v>4.5845272206303703E-2</v>
      </c>
      <c r="F30901" s="2">
        <v>7.1587674792723599E-2</v>
      </c>
    </row>
    <row r="30902" spans="1:6" x14ac:dyDescent="0.25">
      <c r="A30902" s="1" t="str">
        <f t="shared" si="1110"/>
        <v>40940</v>
      </c>
      <c r="B30902" s="1" t="str">
        <f>"85548"</f>
        <v>85548</v>
      </c>
      <c r="C30902" s="2">
        <v>6.68373534564074E-2</v>
      </c>
      <c r="D30902" s="2">
        <v>0.10504634397528299</v>
      </c>
      <c r="E30902" s="2">
        <v>5.7306590257879602E-3</v>
      </c>
      <c r="F30902" s="2">
        <v>6.7813389432000895E-2</v>
      </c>
    </row>
    <row r="30903" spans="1:6" x14ac:dyDescent="0.25">
      <c r="A30903" s="1" t="str">
        <f t="shared" si="1110"/>
        <v>40940</v>
      </c>
      <c r="B30903" s="1" t="str">
        <f>"85551"</f>
        <v>85551</v>
      </c>
      <c r="C30903" s="2">
        <v>0</v>
      </c>
      <c r="D30903" s="2">
        <v>0</v>
      </c>
      <c r="E30903" s="2">
        <v>2.8653295128939801E-3</v>
      </c>
      <c r="F30903" s="2">
        <v>6.1873530503650498E-5</v>
      </c>
    </row>
    <row r="30904" spans="1:6" x14ac:dyDescent="0.25">
      <c r="A30904" s="1" t="str">
        <f t="shared" si="1110"/>
        <v>40940</v>
      </c>
      <c r="B30904" s="1" t="str">
        <f>"85530"</f>
        <v>85530</v>
      </c>
      <c r="C30904" s="2">
        <v>0</v>
      </c>
      <c r="D30904" s="2">
        <v>0</v>
      </c>
      <c r="E30904" s="2">
        <v>2.8653295128939801E-3</v>
      </c>
      <c r="F30904" s="2">
        <v>6.1873530503650498E-5</v>
      </c>
    </row>
    <row r="30905" spans="1:6" x14ac:dyDescent="0.25">
      <c r="A30905" s="1" t="str">
        <f t="shared" si="1110"/>
        <v>40940</v>
      </c>
      <c r="B30905" s="1" t="str">
        <f>"85536"</f>
        <v>85536</v>
      </c>
      <c r="C30905" s="2">
        <v>2.6950545748551401E-4</v>
      </c>
      <c r="D30905" s="2">
        <v>0</v>
      </c>
      <c r="E30905" s="2">
        <v>2.8653295128939801E-3</v>
      </c>
      <c r="F30905" s="2">
        <v>3.09367652518252E-4</v>
      </c>
    </row>
    <row r="30906" spans="1:6" x14ac:dyDescent="0.25">
      <c r="A30906" s="1" t="str">
        <f t="shared" si="1110"/>
        <v>40940</v>
      </c>
      <c r="B30906" s="1" t="str">
        <f>"85643"</f>
        <v>85643</v>
      </c>
      <c r="C30906" s="2">
        <v>1.6102951084759402E-2</v>
      </c>
      <c r="D30906" s="2">
        <v>1.13285272914521E-2</v>
      </c>
      <c r="E30906" s="2">
        <v>1.14613180515759E-2</v>
      </c>
      <c r="F30906" s="2">
        <v>1.5715876747927199E-2</v>
      </c>
    </row>
    <row r="30907" spans="1:6" x14ac:dyDescent="0.25">
      <c r="A30907" s="1" t="str">
        <f t="shared" si="1110"/>
        <v>40940</v>
      </c>
      <c r="B30907" s="1" t="str">
        <f>"85552"</f>
        <v>85552</v>
      </c>
      <c r="C30907" s="2">
        <v>0.25394151731572501</v>
      </c>
      <c r="D30907" s="2">
        <v>0.19361483007208999</v>
      </c>
      <c r="E30907" s="2">
        <v>0.19484240687679</v>
      </c>
      <c r="F30907" s="2">
        <v>0.249040960277193</v>
      </c>
    </row>
    <row r="30908" spans="1:6" x14ac:dyDescent="0.25">
      <c r="A30908" s="1" t="str">
        <f t="shared" si="1110"/>
        <v>40940</v>
      </c>
      <c r="B30908" s="1" t="str">
        <f>"85535"</f>
        <v>85535</v>
      </c>
      <c r="C30908" s="2">
        <v>2.02129093114135E-4</v>
      </c>
      <c r="D30908" s="2">
        <v>0</v>
      </c>
      <c r="E30908" s="2">
        <v>2.8653295128939801E-3</v>
      </c>
      <c r="F30908" s="2">
        <v>2.4749412201460199E-4</v>
      </c>
    </row>
    <row r="30909" spans="1:6" x14ac:dyDescent="0.25">
      <c r="A30909" s="1" t="str">
        <f t="shared" si="1110"/>
        <v>40940</v>
      </c>
      <c r="B30909" s="1" t="str">
        <f>"85546"</f>
        <v>85546</v>
      </c>
      <c r="C30909" s="2">
        <v>0.586106993666621</v>
      </c>
      <c r="D30909" s="2">
        <v>0.68486096807414998</v>
      </c>
      <c r="E30909" s="2">
        <v>0.72492836676217698</v>
      </c>
      <c r="F30909" s="2">
        <v>0.595037742853607</v>
      </c>
    </row>
    <row r="30910" spans="1:6" x14ac:dyDescent="0.25">
      <c r="A30910" s="1" t="str">
        <f t="shared" ref="A30910:A30944" si="1111">"40980"</f>
        <v>40980</v>
      </c>
      <c r="B30910" s="1" t="str">
        <f>"48415"</f>
        <v>48415</v>
      </c>
      <c r="C30910" s="2">
        <v>4.2131272174353702E-2</v>
      </c>
      <c r="D30910" s="2">
        <v>5.6463022508038502E-2</v>
      </c>
      <c r="E30910" s="2">
        <v>3.8518518518518501E-2</v>
      </c>
      <c r="F30910" s="2">
        <v>4.3068755077748502E-2</v>
      </c>
    </row>
    <row r="30911" spans="1:6" x14ac:dyDescent="0.25">
      <c r="A30911" s="1" t="str">
        <f t="shared" si="1111"/>
        <v>40980</v>
      </c>
      <c r="B30911" s="1" t="str">
        <f>"48841"</f>
        <v>48841</v>
      </c>
      <c r="C30911" s="2">
        <v>7.91941206284845E-4</v>
      </c>
      <c r="D30911" s="2">
        <v>2.5723472668810201E-4</v>
      </c>
      <c r="E30911" s="2">
        <v>0</v>
      </c>
      <c r="F30911" s="2">
        <v>7.2741700833223101E-4</v>
      </c>
    </row>
    <row r="30912" spans="1:6" x14ac:dyDescent="0.25">
      <c r="A30912" s="1" t="str">
        <f t="shared" si="1111"/>
        <v>40980</v>
      </c>
      <c r="B30912" s="1" t="str">
        <f>"48626"</f>
        <v>48626</v>
      </c>
      <c r="C30912" s="2">
        <v>2.6609224531170799E-2</v>
      </c>
      <c r="D30912" s="2">
        <v>8.4887459807073892E-3</v>
      </c>
      <c r="E30912" s="2">
        <v>1.0074074074073999E-2</v>
      </c>
      <c r="F30912" s="2">
        <v>2.4751072231564201E-2</v>
      </c>
    </row>
    <row r="30913" spans="1:6" x14ac:dyDescent="0.25">
      <c r="A30913" s="1" t="str">
        <f t="shared" si="1111"/>
        <v>40980</v>
      </c>
      <c r="B30913" s="1" t="str">
        <f>"48638"</f>
        <v>48638</v>
      </c>
      <c r="C30913" s="2">
        <v>7.0810103057948895E-2</v>
      </c>
      <c r="D30913" s="2">
        <v>4.7202572347266797E-2</v>
      </c>
      <c r="E30913" s="2">
        <v>0.10637037037037</v>
      </c>
      <c r="F30913" s="2">
        <v>7.0209911765261507E-2</v>
      </c>
    </row>
    <row r="30914" spans="1:6" x14ac:dyDescent="0.25">
      <c r="A30914" s="1" t="str">
        <f t="shared" si="1111"/>
        <v>40980</v>
      </c>
      <c r="B30914" s="1" t="str">
        <f>"48831"</f>
        <v>48831</v>
      </c>
      <c r="C30914" s="2">
        <v>2.4708565636087101E-3</v>
      </c>
      <c r="D30914" s="2">
        <v>6.4308681672025703E-4</v>
      </c>
      <c r="E30914" s="2">
        <v>0</v>
      </c>
      <c r="F30914" s="2">
        <v>2.2578268180701699E-3</v>
      </c>
    </row>
    <row r="30915" spans="1:6" x14ac:dyDescent="0.25">
      <c r="A30915" s="1" t="str">
        <f t="shared" si="1111"/>
        <v>40980</v>
      </c>
      <c r="B30915" s="1" t="str">
        <f>"48787"</f>
        <v>48787</v>
      </c>
      <c r="C30915" s="2">
        <v>0</v>
      </c>
      <c r="D30915" s="2">
        <v>1.2861736334405101E-4</v>
      </c>
      <c r="E30915" s="2">
        <v>0</v>
      </c>
      <c r="F30915" s="2">
        <v>9.44697413418482E-6</v>
      </c>
    </row>
    <row r="30916" spans="1:6" x14ac:dyDescent="0.25">
      <c r="A30916" s="1" t="str">
        <f t="shared" si="1111"/>
        <v>40980</v>
      </c>
      <c r="B30916" s="1" t="str">
        <f>"48663"</f>
        <v>48663</v>
      </c>
      <c r="C30916" s="2">
        <v>0</v>
      </c>
      <c r="D30916" s="2">
        <v>1.2861736334405101E-4</v>
      </c>
      <c r="E30916" s="2">
        <v>0</v>
      </c>
      <c r="F30916" s="2">
        <v>9.44697413418482E-6</v>
      </c>
    </row>
    <row r="30917" spans="1:6" x14ac:dyDescent="0.25">
      <c r="A30917" s="1" t="str">
        <f t="shared" si="1111"/>
        <v>40980</v>
      </c>
      <c r="B30917" s="1" t="str">
        <f>"48420"</f>
        <v>48420</v>
      </c>
      <c r="C30917" s="2">
        <v>1.68947457340767E-4</v>
      </c>
      <c r="D30917" s="2">
        <v>0</v>
      </c>
      <c r="E30917" s="2">
        <v>0</v>
      </c>
      <c r="F30917" s="2">
        <v>1.5115158614695701E-4</v>
      </c>
    </row>
    <row r="30918" spans="1:6" x14ac:dyDescent="0.25">
      <c r="A30918" s="1" t="str">
        <f t="shared" si="1111"/>
        <v>40980</v>
      </c>
      <c r="B30918" s="1" t="str">
        <f>"48609"</f>
        <v>48609</v>
      </c>
      <c r="C30918" s="2">
        <v>5.9986906572055999E-2</v>
      </c>
      <c r="D30918" s="2">
        <v>4.1157556270096401E-2</v>
      </c>
      <c r="E30918" s="2">
        <v>4.2370370370370301E-2</v>
      </c>
      <c r="F30918" s="2">
        <v>5.8042209080431499E-2</v>
      </c>
    </row>
    <row r="30919" spans="1:6" x14ac:dyDescent="0.25">
      <c r="A30919" s="1" t="str">
        <f t="shared" si="1111"/>
        <v>40980</v>
      </c>
      <c r="B30919" s="1" t="str">
        <f>"48616"</f>
        <v>48616</v>
      </c>
      <c r="C30919" s="2">
        <v>3.4898209156952097E-2</v>
      </c>
      <c r="D30919" s="2">
        <v>2.9581993569131802E-2</v>
      </c>
      <c r="E30919" s="2">
        <v>2.4592592592592499E-2</v>
      </c>
      <c r="F30919" s="2">
        <v>3.4179152417480603E-2</v>
      </c>
    </row>
    <row r="30920" spans="1:6" x14ac:dyDescent="0.25">
      <c r="A30920" s="1" t="str">
        <f t="shared" si="1111"/>
        <v>40980</v>
      </c>
      <c r="B30920" s="1" t="str">
        <f>"48614"</f>
        <v>48614</v>
      </c>
      <c r="C30920" s="2">
        <v>5.8286872782564603E-3</v>
      </c>
      <c r="D30920" s="2">
        <v>7.7170418006430798E-4</v>
      </c>
      <c r="E30920" s="2">
        <v>0</v>
      </c>
      <c r="F30920" s="2">
        <v>5.2714115668751199E-3</v>
      </c>
    </row>
    <row r="30921" spans="1:6" x14ac:dyDescent="0.25">
      <c r="A30921" s="1" t="str">
        <f t="shared" si="1111"/>
        <v>40980</v>
      </c>
      <c r="B30921" s="1" t="str">
        <f>"48602"</f>
        <v>48602</v>
      </c>
      <c r="C30921" s="2">
        <v>0.143985470518668</v>
      </c>
      <c r="D30921" s="2">
        <v>0.13118971061093199</v>
      </c>
      <c r="E30921" s="2">
        <v>0.15881481481481399</v>
      </c>
      <c r="F30921" s="2">
        <v>0.143518431046535</v>
      </c>
    </row>
    <row r="30922" spans="1:6" x14ac:dyDescent="0.25">
      <c r="A30922" s="1" t="str">
        <f t="shared" si="1111"/>
        <v>40980</v>
      </c>
      <c r="B30922" s="1" t="str">
        <f>"48747"</f>
        <v>48747</v>
      </c>
      <c r="C30922" s="2">
        <v>3.1677648251393803E-5</v>
      </c>
      <c r="D30922" s="2">
        <v>1.2861736334405101E-4</v>
      </c>
      <c r="E30922" s="2">
        <v>0</v>
      </c>
      <c r="F30922" s="2">
        <v>3.7787896536739199E-5</v>
      </c>
    </row>
    <row r="30923" spans="1:6" x14ac:dyDescent="0.25">
      <c r="A30923" s="1" t="str">
        <f t="shared" si="1111"/>
        <v>40980</v>
      </c>
      <c r="B30923" s="1" t="str">
        <f>"48608"</f>
        <v>48608</v>
      </c>
      <c r="C30923" s="2">
        <v>4.1286534887649898E-3</v>
      </c>
      <c r="D30923" s="2">
        <v>2.5080385852089999E-2</v>
      </c>
      <c r="E30923" s="2">
        <v>5.9259259259259204E-4</v>
      </c>
      <c r="F30923" s="2">
        <v>5.5548207909006699E-3</v>
      </c>
    </row>
    <row r="30924" spans="1:6" x14ac:dyDescent="0.25">
      <c r="A30924" s="1" t="str">
        <f t="shared" si="1111"/>
        <v>40980</v>
      </c>
      <c r="B30924" s="1" t="str">
        <f>"48867"</f>
        <v>48867</v>
      </c>
      <c r="C30924" s="2">
        <v>4.2236864335191703E-5</v>
      </c>
      <c r="D30924" s="2">
        <v>0</v>
      </c>
      <c r="E30924" s="2">
        <v>0</v>
      </c>
      <c r="F30924" s="2">
        <v>3.7787896536739199E-5</v>
      </c>
    </row>
    <row r="30925" spans="1:6" x14ac:dyDescent="0.25">
      <c r="A30925" s="1" t="str">
        <f t="shared" si="1111"/>
        <v>40980</v>
      </c>
      <c r="B30925" s="1" t="str">
        <f>"48757"</f>
        <v>48757</v>
      </c>
      <c r="C30925" s="2">
        <v>3.6640479810778801E-3</v>
      </c>
      <c r="D30925" s="2">
        <v>5.0160771704179999E-3</v>
      </c>
      <c r="E30925" s="2">
        <v>1.18518518518518E-3</v>
      </c>
      <c r="F30925" s="2">
        <v>3.6843199123320798E-3</v>
      </c>
    </row>
    <row r="30926" spans="1:6" x14ac:dyDescent="0.25">
      <c r="A30926" s="1" t="str">
        <f t="shared" si="1111"/>
        <v>40980</v>
      </c>
      <c r="B30926" s="1" t="str">
        <f>"48649"</f>
        <v>48649</v>
      </c>
      <c r="C30926" s="2">
        <v>7.7504646055076799E-3</v>
      </c>
      <c r="D30926" s="2">
        <v>2.5723472668810199E-3</v>
      </c>
      <c r="E30926" s="2">
        <v>0</v>
      </c>
      <c r="F30926" s="2">
        <v>7.1230184971753504E-3</v>
      </c>
    </row>
    <row r="30927" spans="1:6" x14ac:dyDescent="0.25">
      <c r="A30927" s="1" t="str">
        <f t="shared" si="1111"/>
        <v>40980</v>
      </c>
      <c r="B30927" s="1" t="str">
        <f>"48637"</f>
        <v>48637</v>
      </c>
      <c r="C30927" s="2">
        <v>1.3220138536915E-2</v>
      </c>
      <c r="D30927" s="2">
        <v>4.2443729903536903E-3</v>
      </c>
      <c r="E30927" s="2">
        <v>1.18518518518518E-3</v>
      </c>
      <c r="F30927" s="2">
        <v>1.2177149658964199E-2</v>
      </c>
    </row>
    <row r="30928" spans="1:6" x14ac:dyDescent="0.25">
      <c r="A30928" s="1" t="str">
        <f t="shared" si="1111"/>
        <v>40980</v>
      </c>
      <c r="B30928" s="1" t="str">
        <f>"48606"</f>
        <v>48606</v>
      </c>
      <c r="C30928" s="2">
        <v>2.2807906741003502E-3</v>
      </c>
      <c r="D30928" s="2">
        <v>4.7588424437299002E-3</v>
      </c>
      <c r="E30928" s="2">
        <v>5.9259259259259204E-4</v>
      </c>
      <c r="F30928" s="2">
        <v>2.4089784042171198E-3</v>
      </c>
    </row>
    <row r="30929" spans="1:6" x14ac:dyDescent="0.25">
      <c r="A30929" s="1" t="str">
        <f t="shared" si="1111"/>
        <v>40980</v>
      </c>
      <c r="B30929" s="1" t="str">
        <f>"48807"</f>
        <v>48807</v>
      </c>
      <c r="C30929" s="2">
        <v>1.25654671397195E-3</v>
      </c>
      <c r="D30929" s="2">
        <v>0</v>
      </c>
      <c r="E30929" s="2">
        <v>0</v>
      </c>
      <c r="F30929" s="2">
        <v>1.1241899219679901E-3</v>
      </c>
    </row>
    <row r="30930" spans="1:6" x14ac:dyDescent="0.25">
      <c r="A30930" s="1" t="str">
        <f t="shared" si="1111"/>
        <v>40980</v>
      </c>
      <c r="B30930" s="1" t="str">
        <f>"48604"</f>
        <v>48604</v>
      </c>
      <c r="C30930" s="2">
        <v>4.87835783071464E-2</v>
      </c>
      <c r="D30930" s="2">
        <v>0.123472668810289</v>
      </c>
      <c r="E30930" s="2">
        <v>7.4074074074074001E-2</v>
      </c>
      <c r="F30930" s="2">
        <v>5.5075859202297503E-2</v>
      </c>
    </row>
    <row r="30931" spans="1:6" x14ac:dyDescent="0.25">
      <c r="A30931" s="1" t="str">
        <f t="shared" si="1111"/>
        <v>40980</v>
      </c>
      <c r="B30931" s="1" t="str">
        <f>"48655"</f>
        <v>48655</v>
      </c>
      <c r="C30931" s="2">
        <v>2.8932252069606298E-2</v>
      </c>
      <c r="D30931" s="2">
        <v>1.68488745980707E-2</v>
      </c>
      <c r="E30931" s="2">
        <v>1.45185185185185E-2</v>
      </c>
      <c r="F30931" s="2">
        <v>2.75851644718196E-2</v>
      </c>
    </row>
    <row r="30932" spans="1:6" x14ac:dyDescent="0.25">
      <c r="A30932" s="1" t="str">
        <f t="shared" si="1111"/>
        <v>40980</v>
      </c>
      <c r="B30932" s="1" t="str">
        <f>"48623"</f>
        <v>48623</v>
      </c>
      <c r="C30932" s="2">
        <v>5.0282986991045699E-2</v>
      </c>
      <c r="D30932" s="2">
        <v>2.9453376205787699E-2</v>
      </c>
      <c r="E30932" s="2">
        <v>2.75555555555555E-2</v>
      </c>
      <c r="F30932" s="2">
        <v>4.80284164981956E-2</v>
      </c>
    </row>
    <row r="30933" spans="1:6" x14ac:dyDescent="0.25">
      <c r="A30933" s="1" t="str">
        <f t="shared" si="1111"/>
        <v>40980</v>
      </c>
      <c r="B30933" s="1" t="str">
        <f>"48734"</f>
        <v>48734</v>
      </c>
      <c r="C30933" s="2">
        <v>4.1719462747085601E-2</v>
      </c>
      <c r="D30933" s="2">
        <v>4.97749196141479E-2</v>
      </c>
      <c r="E30933" s="2">
        <v>3.9111111111111103E-2</v>
      </c>
      <c r="F30933" s="2">
        <v>4.2227974379806098E-2</v>
      </c>
    </row>
    <row r="30934" spans="1:6" x14ac:dyDescent="0.25">
      <c r="A30934" s="1" t="str">
        <f t="shared" si="1111"/>
        <v>40980</v>
      </c>
      <c r="B30934" s="1" t="str">
        <f>"48605"</f>
        <v>48605</v>
      </c>
      <c r="C30934" s="2">
        <v>9.2815509376583793E-3</v>
      </c>
      <c r="D30934" s="2">
        <v>3.4083601286173597E-2</v>
      </c>
      <c r="E30934" s="2">
        <v>5.9259259259259204E-4</v>
      </c>
      <c r="F30934" s="2">
        <v>1.08262323577758E-2</v>
      </c>
    </row>
    <row r="30935" spans="1:6" x14ac:dyDescent="0.25">
      <c r="A30935" s="1" t="str">
        <f t="shared" si="1111"/>
        <v>40980</v>
      </c>
      <c r="B30935" s="1" t="str">
        <f>"48708"</f>
        <v>48708</v>
      </c>
      <c r="C30935" s="2">
        <v>1.16151376921777E-4</v>
      </c>
      <c r="D30935" s="2">
        <v>5.14469453376205E-4</v>
      </c>
      <c r="E30935" s="2">
        <v>0</v>
      </c>
      <c r="F30935" s="2">
        <v>1.4170461201277199E-4</v>
      </c>
    </row>
    <row r="30936" spans="1:6" x14ac:dyDescent="0.25">
      <c r="A30936" s="1" t="str">
        <f t="shared" si="1111"/>
        <v>40980</v>
      </c>
      <c r="B30936" s="1" t="str">
        <f>"48722"</f>
        <v>48722</v>
      </c>
      <c r="C30936" s="2">
        <v>1.49518499746578E-2</v>
      </c>
      <c r="D30936" s="2">
        <v>2.1993569131832699E-2</v>
      </c>
      <c r="E30936" s="2">
        <v>4.4444444444444401E-3</v>
      </c>
      <c r="F30936" s="2">
        <v>1.5134052562964E-2</v>
      </c>
    </row>
    <row r="30937" spans="1:6" x14ac:dyDescent="0.25">
      <c r="A30937" s="1" t="str">
        <f t="shared" si="1111"/>
        <v>40980</v>
      </c>
      <c r="B30937" s="1" t="str">
        <f>"48607"</f>
        <v>48607</v>
      </c>
      <c r="C30937" s="2">
        <v>1.05380976516303E-2</v>
      </c>
      <c r="D30937" s="2">
        <v>5.8392282958199301E-2</v>
      </c>
      <c r="E30937" s="2">
        <v>2.8740740740740699E-2</v>
      </c>
      <c r="F30937" s="2">
        <v>1.4633362933852199E-2</v>
      </c>
    </row>
    <row r="30938" spans="1:6" x14ac:dyDescent="0.25">
      <c r="A30938" s="1" t="str">
        <f t="shared" si="1111"/>
        <v>40980</v>
      </c>
      <c r="B30938" s="1" t="str">
        <f>"48457"</f>
        <v>48457</v>
      </c>
      <c r="C30938" s="2">
        <v>5.8498057104240499E-3</v>
      </c>
      <c r="D30938" s="2">
        <v>1.2861736334405099E-3</v>
      </c>
      <c r="E30938" s="2">
        <v>1.4814814814814801E-3</v>
      </c>
      <c r="F30938" s="2">
        <v>5.3753282823511602E-3</v>
      </c>
    </row>
    <row r="30939" spans="1:6" x14ac:dyDescent="0.25">
      <c r="A30939" s="1" t="str">
        <f t="shared" si="1111"/>
        <v>40980</v>
      </c>
      <c r="B30939" s="1" t="str">
        <f>"48724"</f>
        <v>48724</v>
      </c>
      <c r="C30939" s="2">
        <v>7.1802669369825899E-3</v>
      </c>
      <c r="D30939" s="2">
        <v>5.1446945337620502E-3</v>
      </c>
      <c r="E30939" s="2">
        <v>8.8888888888888796E-4</v>
      </c>
      <c r="F30939" s="2">
        <v>6.8301622990156203E-3</v>
      </c>
    </row>
    <row r="30940" spans="1:6" x14ac:dyDescent="0.25">
      <c r="A30940" s="1" t="str">
        <f t="shared" si="1111"/>
        <v>40980</v>
      </c>
      <c r="B30940" s="1" t="str">
        <f>"48768"</f>
        <v>48768</v>
      </c>
      <c r="C30940" s="2">
        <v>2.1118432167595801E-5</v>
      </c>
      <c r="D30940" s="2">
        <v>0</v>
      </c>
      <c r="E30940" s="2">
        <v>0</v>
      </c>
      <c r="F30940" s="2">
        <v>1.8893948268369599E-5</v>
      </c>
    </row>
    <row r="30941" spans="1:6" x14ac:dyDescent="0.25">
      <c r="A30941" s="1" t="str">
        <f t="shared" si="1111"/>
        <v>40980</v>
      </c>
      <c r="B30941" s="1" t="str">
        <f>"48603"</f>
        <v>48603</v>
      </c>
      <c r="C30941" s="2">
        <v>0.15122909275215399</v>
      </c>
      <c r="D30941" s="2">
        <v>0.15691318327974199</v>
      </c>
      <c r="E30941" s="2">
        <v>0.28562962962962901</v>
      </c>
      <c r="F30941" s="2">
        <v>0.15593175505885401</v>
      </c>
    </row>
    <row r="30942" spans="1:6" x14ac:dyDescent="0.25">
      <c r="A30942" s="1" t="str">
        <f t="shared" si="1111"/>
        <v>40980</v>
      </c>
      <c r="B30942" s="1" t="str">
        <f>"48417"</f>
        <v>48417</v>
      </c>
      <c r="C30942" s="2">
        <v>1.28294475418144E-2</v>
      </c>
      <c r="D30942" s="2">
        <v>2.1864951768488699E-3</v>
      </c>
      <c r="E30942" s="2">
        <v>3.2592592592592499E-3</v>
      </c>
      <c r="F30942" s="2">
        <v>1.17425888487917E-2</v>
      </c>
    </row>
    <row r="30943" spans="1:6" x14ac:dyDescent="0.25">
      <c r="A30943" s="1" t="str">
        <f t="shared" si="1111"/>
        <v>40980</v>
      </c>
      <c r="B30943" s="1" t="str">
        <f>"48460"</f>
        <v>48460</v>
      </c>
      <c r="C30943" s="2">
        <v>3.6429295489102801E-3</v>
      </c>
      <c r="D30943" s="2">
        <v>6.4308681672025703E-4</v>
      </c>
      <c r="E30943" s="2">
        <v>5.9259259259259204E-4</v>
      </c>
      <c r="F30943" s="2">
        <v>3.3253348952330501E-3</v>
      </c>
    </row>
    <row r="30944" spans="1:6" x14ac:dyDescent="0.25">
      <c r="A30944" s="1" t="str">
        <f t="shared" si="1111"/>
        <v>40980</v>
      </c>
      <c r="B30944" s="1" t="str">
        <f>"48601"</f>
        <v>48601</v>
      </c>
      <c r="C30944" s="2">
        <v>0.19458523399222799</v>
      </c>
      <c r="D30944" s="2">
        <v>0.14147909967845601</v>
      </c>
      <c r="E30944" s="2">
        <v>0.134814814814814</v>
      </c>
      <c r="F30944" s="2">
        <v>0.18877888412341501</v>
      </c>
    </row>
    <row r="30945" spans="1:6" x14ac:dyDescent="0.25">
      <c r="A30945" s="1" t="str">
        <f t="shared" ref="A30945:A30990" si="1112">"41060"</f>
        <v>41060</v>
      </c>
      <c r="B30945" s="1" t="str">
        <f>"56369"</f>
        <v>56369</v>
      </c>
      <c r="C30945" s="2">
        <v>3.6114935783129802E-4</v>
      </c>
      <c r="D30945" s="2">
        <v>0</v>
      </c>
      <c r="E30945" s="2">
        <v>3.0931023816888298E-4</v>
      </c>
      <c r="F30945" s="2">
        <v>3.3284247473422998E-4</v>
      </c>
    </row>
    <row r="30946" spans="1:6" x14ac:dyDescent="0.25">
      <c r="A30946" s="1" t="str">
        <f t="shared" si="1112"/>
        <v>41060</v>
      </c>
      <c r="B30946" s="1" t="str">
        <f>"56333"</f>
        <v>56333</v>
      </c>
      <c r="C30946" s="2">
        <v>0</v>
      </c>
      <c r="D30946" s="2">
        <v>0</v>
      </c>
      <c r="E30946" s="2">
        <v>3.0931023816888298E-4</v>
      </c>
      <c r="F30946" s="2">
        <v>1.00861355980069E-5</v>
      </c>
    </row>
    <row r="30947" spans="1:6" x14ac:dyDescent="0.25">
      <c r="A30947" s="1" t="str">
        <f t="shared" si="1112"/>
        <v>41060</v>
      </c>
      <c r="B30947" s="1" t="str">
        <f>"56320"</f>
        <v>56320</v>
      </c>
      <c r="C30947" s="2">
        <v>4.12613141322258E-2</v>
      </c>
      <c r="D30947" s="2">
        <v>3.46243328315314E-2</v>
      </c>
      <c r="E30947" s="2">
        <v>3.0003093102381601E-2</v>
      </c>
      <c r="F30947" s="2">
        <v>4.0405059205615899E-2</v>
      </c>
    </row>
    <row r="30948" spans="1:6" x14ac:dyDescent="0.25">
      <c r="A30948" s="1" t="str">
        <f t="shared" si="1112"/>
        <v>41060</v>
      </c>
      <c r="B30948" s="1" t="str">
        <f>"56329"</f>
        <v>56329</v>
      </c>
      <c r="C30948" s="2">
        <v>3.1916574498340899E-2</v>
      </c>
      <c r="D30948" s="2">
        <v>1.19063911317914E-2</v>
      </c>
      <c r="E30948" s="2">
        <v>1.33003402412619E-2</v>
      </c>
      <c r="F30948" s="2">
        <v>2.98347890989046E-2</v>
      </c>
    </row>
    <row r="30949" spans="1:6" x14ac:dyDescent="0.25">
      <c r="A30949" s="1" t="str">
        <f t="shared" si="1112"/>
        <v>41060</v>
      </c>
      <c r="B30949" s="1" t="str">
        <f>"56368"</f>
        <v>56368</v>
      </c>
      <c r="C30949" s="2">
        <v>2.6770196149244901E-2</v>
      </c>
      <c r="D30949" s="2">
        <v>9.7167100041056498E-3</v>
      </c>
      <c r="E30949" s="2">
        <v>8.3513764305598506E-3</v>
      </c>
      <c r="F30949" s="2">
        <v>2.4912754927077198E-2</v>
      </c>
    </row>
    <row r="30950" spans="1:6" x14ac:dyDescent="0.25">
      <c r="A30950" s="1" t="str">
        <f t="shared" si="1112"/>
        <v>41060</v>
      </c>
      <c r="B30950" s="1" t="str">
        <f>"56302"</f>
        <v>56302</v>
      </c>
      <c r="C30950" s="2">
        <v>1.7775319955759199E-2</v>
      </c>
      <c r="D30950" s="2">
        <v>9.3335158067606394E-2</v>
      </c>
      <c r="E30950" s="2">
        <v>9.2793071450665001E-4</v>
      </c>
      <c r="F30950" s="2">
        <v>2.27946664514957E-2</v>
      </c>
    </row>
    <row r="30951" spans="1:6" x14ac:dyDescent="0.25">
      <c r="A30951" s="1" t="str">
        <f t="shared" si="1112"/>
        <v>41060</v>
      </c>
      <c r="B30951" s="1" t="str">
        <f>"56325"</f>
        <v>56325</v>
      </c>
      <c r="C30951" s="2">
        <v>9.5930298173938498E-4</v>
      </c>
      <c r="D30951" s="2">
        <v>0</v>
      </c>
      <c r="E30951" s="2">
        <v>3.0931023816888298E-4</v>
      </c>
      <c r="F30951" s="2">
        <v>8.6740766142859999E-4</v>
      </c>
    </row>
    <row r="30952" spans="1:6" x14ac:dyDescent="0.25">
      <c r="A30952" s="1" t="str">
        <f t="shared" si="1112"/>
        <v>41060</v>
      </c>
      <c r="B30952" s="1" t="str">
        <f>"56316"</f>
        <v>56316</v>
      </c>
      <c r="C30952" s="2">
        <v>6.5006884409633597E-3</v>
      </c>
      <c r="D30952" s="2">
        <v>1.9159709867250501E-3</v>
      </c>
      <c r="E30952" s="2">
        <v>4.0210330961954798E-3</v>
      </c>
      <c r="F30952" s="2">
        <v>6.0819397655982E-3</v>
      </c>
    </row>
    <row r="30953" spans="1:6" x14ac:dyDescent="0.25">
      <c r="A30953" s="1" t="str">
        <f t="shared" si="1112"/>
        <v>41060</v>
      </c>
      <c r="B30953" s="1" t="str">
        <f>"56321"</f>
        <v>56321</v>
      </c>
      <c r="C30953" s="2">
        <v>3.38577522966841E-5</v>
      </c>
      <c r="D30953" s="2">
        <v>0</v>
      </c>
      <c r="E30953" s="2">
        <v>6.1862047633776595E-4</v>
      </c>
      <c r="F30953" s="2">
        <v>5.0430677990034798E-5</v>
      </c>
    </row>
    <row r="30954" spans="1:6" x14ac:dyDescent="0.25">
      <c r="A30954" s="1" t="str">
        <f t="shared" si="1112"/>
        <v>41060</v>
      </c>
      <c r="B30954" s="1" t="str">
        <f>"56304"</f>
        <v>56304</v>
      </c>
      <c r="C30954" s="2">
        <v>4.3721644132451498E-2</v>
      </c>
      <c r="D30954" s="2">
        <v>4.72149993157246E-2</v>
      </c>
      <c r="E30954" s="2">
        <v>8.1657902876585198E-2</v>
      </c>
      <c r="F30954" s="2">
        <v>4.52161458858652E-2</v>
      </c>
    </row>
    <row r="30955" spans="1:6" x14ac:dyDescent="0.25">
      <c r="A30955" s="1" t="str">
        <f t="shared" si="1112"/>
        <v>41060</v>
      </c>
      <c r="B30955" s="1" t="str">
        <f>"56387"</f>
        <v>56387</v>
      </c>
      <c r="C30955" s="2">
        <v>4.7457282802518999E-2</v>
      </c>
      <c r="D30955" s="2">
        <v>0.10223073764882901</v>
      </c>
      <c r="E30955" s="2">
        <v>6.0934116919269997E-2</v>
      </c>
      <c r="F30955" s="2">
        <v>5.1933512194137901E-2</v>
      </c>
    </row>
    <row r="30956" spans="1:6" x14ac:dyDescent="0.25">
      <c r="A30956" s="1" t="str">
        <f t="shared" si="1112"/>
        <v>41060</v>
      </c>
      <c r="B30956" s="1" t="str">
        <f>"56374"</f>
        <v>56374</v>
      </c>
      <c r="C30956" s="2">
        <v>4.06970182606144E-2</v>
      </c>
      <c r="D30956" s="2">
        <v>1.76543040919666E-2</v>
      </c>
      <c r="E30956" s="2">
        <v>2.7528611197030602E-2</v>
      </c>
      <c r="F30956" s="2">
        <v>3.8569382526778599E-2</v>
      </c>
    </row>
    <row r="30957" spans="1:6" x14ac:dyDescent="0.25">
      <c r="A30957" s="1" t="str">
        <f t="shared" si="1112"/>
        <v>41060</v>
      </c>
      <c r="B30957" s="1" t="str">
        <f>"56301"</f>
        <v>56301</v>
      </c>
      <c r="C30957" s="2">
        <v>0.16373609010676399</v>
      </c>
      <c r="D30957" s="2">
        <v>0.24948679348569799</v>
      </c>
      <c r="E30957" s="2">
        <v>0.27930714506650101</v>
      </c>
      <c r="F30957" s="2">
        <v>0.173824460896052</v>
      </c>
    </row>
    <row r="30958" spans="1:6" x14ac:dyDescent="0.25">
      <c r="A30958" s="1" t="str">
        <f t="shared" si="1112"/>
        <v>41060</v>
      </c>
      <c r="B30958" s="1" t="str">
        <f>"56373"</f>
        <v>56373</v>
      </c>
      <c r="C30958" s="2">
        <v>1.4333115138929599E-3</v>
      </c>
      <c r="D30958" s="2">
        <v>2.7371014096072202E-4</v>
      </c>
      <c r="E30958" s="2">
        <v>0</v>
      </c>
      <c r="F30958" s="2">
        <v>1.3011114921429E-3</v>
      </c>
    </row>
    <row r="30959" spans="1:6" x14ac:dyDescent="0.25">
      <c r="A30959" s="1" t="str">
        <f t="shared" si="1112"/>
        <v>41060</v>
      </c>
      <c r="B30959" s="1" t="str">
        <f>"55353"</f>
        <v>55353</v>
      </c>
      <c r="C30959" s="2">
        <v>1.16470667900593E-2</v>
      </c>
      <c r="D30959" s="2">
        <v>4.2425071848912E-3</v>
      </c>
      <c r="E30959" s="2">
        <v>2.78379214351995E-3</v>
      </c>
      <c r="F30959" s="2">
        <v>1.08123373610634E-2</v>
      </c>
    </row>
    <row r="30960" spans="1:6" x14ac:dyDescent="0.25">
      <c r="A30960" s="1" t="str">
        <f t="shared" si="1112"/>
        <v>41060</v>
      </c>
      <c r="B30960" s="1" t="str">
        <f>"56399"</f>
        <v>56399</v>
      </c>
      <c r="C30960" s="2">
        <v>0</v>
      </c>
      <c r="D30960" s="2">
        <v>1.3685507048036101E-4</v>
      </c>
      <c r="E30960" s="2">
        <v>0</v>
      </c>
      <c r="F30960" s="2">
        <v>1.00861355980069E-5</v>
      </c>
    </row>
    <row r="30961" spans="1:6" x14ac:dyDescent="0.25">
      <c r="A30961" s="1" t="str">
        <f t="shared" si="1112"/>
        <v>41060</v>
      </c>
      <c r="B30961" s="1" t="str">
        <f>"55371"</f>
        <v>55371</v>
      </c>
      <c r="C30961" s="2">
        <v>6.2072545877254299E-4</v>
      </c>
      <c r="D30961" s="2">
        <v>2.7371014096072202E-4</v>
      </c>
      <c r="E30961" s="2">
        <v>0</v>
      </c>
      <c r="F30961" s="2">
        <v>5.7490972908639702E-4</v>
      </c>
    </row>
    <row r="30962" spans="1:6" x14ac:dyDescent="0.25">
      <c r="A30962" s="1" t="str">
        <f t="shared" si="1112"/>
        <v>41060</v>
      </c>
      <c r="B30962" s="1" t="str">
        <f>"56393"</f>
        <v>56393</v>
      </c>
      <c r="C30962" s="2">
        <v>0</v>
      </c>
      <c r="D30962" s="2">
        <v>1.3685507048036101E-4</v>
      </c>
      <c r="E30962" s="2">
        <v>0</v>
      </c>
      <c r="F30962" s="2">
        <v>1.00861355980069E-5</v>
      </c>
    </row>
    <row r="30963" spans="1:6" x14ac:dyDescent="0.25">
      <c r="A30963" s="1" t="str">
        <f t="shared" si="1112"/>
        <v>41060</v>
      </c>
      <c r="B30963" s="1" t="str">
        <f>"56362"</f>
        <v>56362</v>
      </c>
      <c r="C30963" s="2">
        <v>3.2063291424959901E-2</v>
      </c>
      <c r="D30963" s="2">
        <v>3.6950869029697499E-2</v>
      </c>
      <c r="E30963" s="2">
        <v>2.5672749768017301E-2</v>
      </c>
      <c r="F30963" s="2">
        <v>3.2215117100034198E-2</v>
      </c>
    </row>
    <row r="30964" spans="1:6" x14ac:dyDescent="0.25">
      <c r="A30964" s="1" t="str">
        <f t="shared" si="1112"/>
        <v>41060</v>
      </c>
      <c r="B30964" s="1" t="str">
        <f>"56377"</f>
        <v>56377</v>
      </c>
      <c r="C30964" s="2">
        <v>9.9022639550368996E-2</v>
      </c>
      <c r="D30964" s="2">
        <v>6.6100999042014497E-2</v>
      </c>
      <c r="E30964" s="2">
        <v>7.2997216207856402E-2</v>
      </c>
      <c r="F30964" s="2">
        <v>9.5747685231880195E-2</v>
      </c>
    </row>
    <row r="30965" spans="1:6" x14ac:dyDescent="0.25">
      <c r="A30965" s="1" t="str">
        <f t="shared" si="1112"/>
        <v>41060</v>
      </c>
      <c r="B30965" s="1" t="str">
        <f>"56371"</f>
        <v>56371</v>
      </c>
      <c r="C30965" s="2">
        <v>6.77155045933683E-4</v>
      </c>
      <c r="D30965" s="2">
        <v>8.2113042288216699E-4</v>
      </c>
      <c r="E30965" s="2">
        <v>0</v>
      </c>
      <c r="F30965" s="2">
        <v>6.6568494946845995E-4</v>
      </c>
    </row>
    <row r="30966" spans="1:6" x14ac:dyDescent="0.25">
      <c r="A30966" s="1" t="str">
        <f t="shared" si="1112"/>
        <v>41060</v>
      </c>
      <c r="B30966" s="1" t="str">
        <f>"55329"</f>
        <v>55329</v>
      </c>
      <c r="C30966" s="2">
        <v>5.8235333950296796E-3</v>
      </c>
      <c r="D30966" s="2">
        <v>4.1056521144108301E-4</v>
      </c>
      <c r="E30966" s="2">
        <v>3.4024126198577099E-3</v>
      </c>
      <c r="F30966" s="2">
        <v>5.3456518669436903E-3</v>
      </c>
    </row>
    <row r="30967" spans="1:6" x14ac:dyDescent="0.25">
      <c r="A30967" s="1" t="str">
        <f t="shared" si="1112"/>
        <v>41060</v>
      </c>
      <c r="B30967" s="1" t="str">
        <f>"56385"</f>
        <v>56385</v>
      </c>
      <c r="C30967" s="2">
        <v>1.91860596347877E-4</v>
      </c>
      <c r="D30967" s="2">
        <v>1.3685507048036101E-4</v>
      </c>
      <c r="E30967" s="2">
        <v>0</v>
      </c>
      <c r="F30967" s="2">
        <v>1.8155044076412501E-4</v>
      </c>
    </row>
    <row r="30968" spans="1:6" x14ac:dyDescent="0.25">
      <c r="A30968" s="1" t="str">
        <f t="shared" si="1112"/>
        <v>41060</v>
      </c>
      <c r="B30968" s="1" t="str">
        <f>"56312"</f>
        <v>56312</v>
      </c>
      <c r="C30968" s="2">
        <v>9.9203214229284607E-3</v>
      </c>
      <c r="D30968" s="2">
        <v>4.1056521144108302E-3</v>
      </c>
      <c r="E30968" s="2">
        <v>8.96999690689761E-3</v>
      </c>
      <c r="F30968" s="2">
        <v>9.4607951909305397E-3</v>
      </c>
    </row>
    <row r="30969" spans="1:6" x14ac:dyDescent="0.25">
      <c r="A30969" s="1" t="str">
        <f t="shared" si="1112"/>
        <v>41060</v>
      </c>
      <c r="B30969" s="1" t="str">
        <f>"56378"</f>
        <v>56378</v>
      </c>
      <c r="C30969" s="2">
        <v>3.3428887434259501E-2</v>
      </c>
      <c r="D30969" s="2">
        <v>4.8446694950047803E-2</v>
      </c>
      <c r="E30969" s="2">
        <v>4.1138261676461403E-2</v>
      </c>
      <c r="F30969" s="2">
        <v>3.4787081677525998E-2</v>
      </c>
    </row>
    <row r="30970" spans="1:6" x14ac:dyDescent="0.25">
      <c r="A30970" s="1" t="str">
        <f t="shared" si="1112"/>
        <v>41060</v>
      </c>
      <c r="B30970" s="1" t="str">
        <f>"56307"</f>
        <v>56307</v>
      </c>
      <c r="C30970" s="2">
        <v>2.3158702570931899E-2</v>
      </c>
      <c r="D30970" s="2">
        <v>1.4369782400437899E-2</v>
      </c>
      <c r="E30970" s="2">
        <v>1.9486545004639599E-2</v>
      </c>
      <c r="F30970" s="2">
        <v>2.23912210275754E-2</v>
      </c>
    </row>
    <row r="30971" spans="1:6" x14ac:dyDescent="0.25">
      <c r="A30971" s="1" t="str">
        <f t="shared" si="1112"/>
        <v>41060</v>
      </c>
      <c r="B30971" s="1" t="str">
        <f>"56331"</f>
        <v>56331</v>
      </c>
      <c r="C30971" s="2">
        <v>7.9904295420174694E-3</v>
      </c>
      <c r="D30971" s="2">
        <v>1.2316956343232501E-3</v>
      </c>
      <c r="E30971" s="2">
        <v>1.23724095267553E-3</v>
      </c>
      <c r="F30971" s="2">
        <v>7.27210376616303E-3</v>
      </c>
    </row>
    <row r="30972" spans="1:6" x14ac:dyDescent="0.25">
      <c r="A30972" s="1" t="str">
        <f t="shared" si="1112"/>
        <v>41060</v>
      </c>
      <c r="B30972" s="1" t="str">
        <f>"55382"</f>
        <v>55382</v>
      </c>
      <c r="C30972" s="2">
        <v>1.0913482156964501E-2</v>
      </c>
      <c r="D30972" s="2">
        <v>5.4742028192144502E-4</v>
      </c>
      <c r="E30972" s="2">
        <v>9.2793071450665001E-4</v>
      </c>
      <c r="F30972" s="2">
        <v>9.8238960724587893E-3</v>
      </c>
    </row>
    <row r="30973" spans="1:6" x14ac:dyDescent="0.25">
      <c r="A30973" s="1" t="str">
        <f t="shared" si="1112"/>
        <v>41060</v>
      </c>
      <c r="B30973" s="1" t="str">
        <f>"56376"</f>
        <v>56376</v>
      </c>
      <c r="C30973" s="2">
        <v>0</v>
      </c>
      <c r="D30973" s="2">
        <v>0</v>
      </c>
      <c r="E30973" s="2">
        <v>3.0931023816888298E-4</v>
      </c>
      <c r="F30973" s="2">
        <v>1.00861355980069E-5</v>
      </c>
    </row>
    <row r="30974" spans="1:6" x14ac:dyDescent="0.25">
      <c r="A30974" s="1" t="str">
        <f t="shared" si="1112"/>
        <v>41060</v>
      </c>
      <c r="B30974" s="1" t="str">
        <f>"56314"</f>
        <v>56314</v>
      </c>
      <c r="C30974" s="2">
        <v>3.0471977067015698E-4</v>
      </c>
      <c r="D30974" s="2">
        <v>0</v>
      </c>
      <c r="E30974" s="2">
        <v>0</v>
      </c>
      <c r="F30974" s="2">
        <v>2.72325661146188E-4</v>
      </c>
    </row>
    <row r="30975" spans="1:6" x14ac:dyDescent="0.25">
      <c r="A30975" s="1" t="str">
        <f t="shared" si="1112"/>
        <v>41060</v>
      </c>
      <c r="B30975" s="1" t="str">
        <f>"56303"</f>
        <v>56303</v>
      </c>
      <c r="C30975" s="2">
        <v>0.14047581427894201</v>
      </c>
      <c r="D30975" s="2">
        <v>0.105241549199397</v>
      </c>
      <c r="E30975" s="2">
        <v>0.14537581193937499</v>
      </c>
      <c r="F30975" s="2">
        <v>0.13803885179432299</v>
      </c>
    </row>
    <row r="30976" spans="1:6" x14ac:dyDescent="0.25">
      <c r="A30976" s="1" t="str">
        <f t="shared" si="1112"/>
        <v>41060</v>
      </c>
      <c r="B30976" s="1" t="str">
        <f>"56336"</f>
        <v>56336</v>
      </c>
      <c r="C30976" s="2">
        <v>5.41724036746947E-4</v>
      </c>
      <c r="D30976" s="2">
        <v>0</v>
      </c>
      <c r="E30976" s="2">
        <v>3.0931023816888298E-4</v>
      </c>
      <c r="F30976" s="2">
        <v>4.9422064430234202E-4</v>
      </c>
    </row>
    <row r="30977" spans="1:6" x14ac:dyDescent="0.25">
      <c r="A30977" s="1" t="str">
        <f t="shared" si="1112"/>
        <v>41060</v>
      </c>
      <c r="B30977" s="1" t="str">
        <f>"56352"</f>
        <v>56352</v>
      </c>
      <c r="C30977" s="2">
        <v>2.7402207525449699E-2</v>
      </c>
      <c r="D30977" s="2">
        <v>2.58656083207882E-2</v>
      </c>
      <c r="E30977" s="2">
        <v>1.7939993813795199E-2</v>
      </c>
      <c r="F30977" s="2">
        <v>2.6980412724668602E-2</v>
      </c>
    </row>
    <row r="30978" spans="1:6" x14ac:dyDescent="0.25">
      <c r="A30978" s="1" t="str">
        <f t="shared" si="1112"/>
        <v>41060</v>
      </c>
      <c r="B30978" s="1" t="str">
        <f>"55320"</f>
        <v>55320</v>
      </c>
      <c r="C30978" s="2">
        <v>9.0513057806469004E-3</v>
      </c>
      <c r="D30978" s="2">
        <v>4.2425071848912E-3</v>
      </c>
      <c r="E30978" s="2">
        <v>9.2793071450665001E-4</v>
      </c>
      <c r="F30978" s="2">
        <v>8.43200935993383E-3</v>
      </c>
    </row>
    <row r="30979" spans="1:6" x14ac:dyDescent="0.25">
      <c r="A30979" s="1" t="str">
        <f t="shared" si="1112"/>
        <v>41060</v>
      </c>
      <c r="B30979" s="1" t="str">
        <f>"56356"</f>
        <v>56356</v>
      </c>
      <c r="C30979" s="2">
        <v>0</v>
      </c>
      <c r="D30979" s="2">
        <v>0</v>
      </c>
      <c r="E30979" s="2">
        <v>3.0931023816888298E-4</v>
      </c>
      <c r="F30979" s="2">
        <v>1.00861355980069E-5</v>
      </c>
    </row>
    <row r="30980" spans="1:6" x14ac:dyDescent="0.25">
      <c r="A30980" s="1" t="str">
        <f t="shared" si="1112"/>
        <v>41060</v>
      </c>
      <c r="B30980" s="1" t="str">
        <f>"56395"</f>
        <v>56395</v>
      </c>
      <c r="C30980" s="2">
        <v>0</v>
      </c>
      <c r="D30980" s="2">
        <v>4.1056521144108301E-4</v>
      </c>
      <c r="E30980" s="2">
        <v>9.2793071450665001E-4</v>
      </c>
      <c r="F30980" s="2">
        <v>6.0516813588041801E-5</v>
      </c>
    </row>
    <row r="30981" spans="1:6" x14ac:dyDescent="0.25">
      <c r="A30981" s="1" t="str">
        <f t="shared" si="1112"/>
        <v>41060</v>
      </c>
      <c r="B30981" s="1" t="str">
        <f>"56335"</f>
        <v>56335</v>
      </c>
      <c r="C30981" s="2">
        <v>3.38577522966841E-5</v>
      </c>
      <c r="D30981" s="2">
        <v>0</v>
      </c>
      <c r="E30981" s="2">
        <v>3.0931023816888298E-4</v>
      </c>
      <c r="F30981" s="2">
        <v>4.0344542392027903E-5</v>
      </c>
    </row>
    <row r="30982" spans="1:6" x14ac:dyDescent="0.25">
      <c r="A30982" s="1" t="str">
        <f t="shared" si="1112"/>
        <v>41060</v>
      </c>
      <c r="B30982" s="1" t="str">
        <f>"56379"</f>
        <v>56379</v>
      </c>
      <c r="C30982" s="2">
        <v>8.75222896869286E-2</v>
      </c>
      <c r="D30982" s="2">
        <v>8.9913781305597296E-2</v>
      </c>
      <c r="E30982" s="2">
        <v>0.12248685431487701</v>
      </c>
      <c r="F30982" s="2">
        <v>8.8838682347245401E-2</v>
      </c>
    </row>
    <row r="30983" spans="1:6" x14ac:dyDescent="0.25">
      <c r="A30983" s="1" t="str">
        <f t="shared" si="1112"/>
        <v>41060</v>
      </c>
      <c r="B30983" s="1" t="str">
        <f>"56375"</f>
        <v>56375</v>
      </c>
      <c r="C30983" s="2">
        <v>3.7356386700674801E-3</v>
      </c>
      <c r="D30983" s="2">
        <v>1.9159709867250501E-3</v>
      </c>
      <c r="E30983" s="2">
        <v>2.78379214351995E-3</v>
      </c>
      <c r="F30983" s="2">
        <v>3.5704920016944698E-3</v>
      </c>
    </row>
    <row r="30984" spans="1:6" x14ac:dyDescent="0.25">
      <c r="A30984" s="1" t="str">
        <f t="shared" si="1112"/>
        <v>41060</v>
      </c>
      <c r="B30984" s="1" t="str">
        <f>"56398"</f>
        <v>56398</v>
      </c>
      <c r="C30984" s="2">
        <v>0</v>
      </c>
      <c r="D30984" s="2">
        <v>0</v>
      </c>
      <c r="E30984" s="2">
        <v>3.0931023816888298E-4</v>
      </c>
      <c r="F30984" s="2">
        <v>1.00861355980069E-5</v>
      </c>
    </row>
    <row r="30985" spans="1:6" x14ac:dyDescent="0.25">
      <c r="A30985" s="1" t="str">
        <f t="shared" si="1112"/>
        <v>41060</v>
      </c>
      <c r="B30985" s="1" t="str">
        <f>"55389"</f>
        <v>55389</v>
      </c>
      <c r="C30985" s="2">
        <v>2.2797553213100598E-3</v>
      </c>
      <c r="D30985" s="2">
        <v>2.7371014096072202E-4</v>
      </c>
      <c r="E30985" s="2">
        <v>1.23724095267553E-3</v>
      </c>
      <c r="F30985" s="2">
        <v>2.09791620438545E-3</v>
      </c>
    </row>
    <row r="30986" spans="1:6" x14ac:dyDescent="0.25">
      <c r="A30986" s="1" t="str">
        <f t="shared" si="1112"/>
        <v>41060</v>
      </c>
      <c r="B30986" s="1" t="str">
        <f>"56330"</f>
        <v>56330</v>
      </c>
      <c r="C30986" s="2">
        <v>1.0495903211972101E-3</v>
      </c>
      <c r="D30986" s="2">
        <v>0</v>
      </c>
      <c r="E30986" s="2">
        <v>0</v>
      </c>
      <c r="F30986" s="2">
        <v>9.3801061061464899E-4</v>
      </c>
    </row>
    <row r="30987" spans="1:6" x14ac:dyDescent="0.25">
      <c r="A30987" s="1" t="str">
        <f t="shared" si="1112"/>
        <v>41060</v>
      </c>
      <c r="B30987" s="1" t="str">
        <f>"56340"</f>
        <v>56340</v>
      </c>
      <c r="C30987" s="2">
        <v>7.4712773401349698E-3</v>
      </c>
      <c r="D30987" s="2">
        <v>3.69508690296975E-3</v>
      </c>
      <c r="E30987" s="2">
        <v>2.1651716671821802E-3</v>
      </c>
      <c r="F30987" s="2">
        <v>7.0199503762128504E-3</v>
      </c>
    </row>
    <row r="30988" spans="1:6" x14ac:dyDescent="0.25">
      <c r="A30988" s="1" t="str">
        <f t="shared" si="1112"/>
        <v>41060</v>
      </c>
      <c r="B30988" s="1" t="str">
        <f>"56367"</f>
        <v>56367</v>
      </c>
      <c r="C30988" s="2">
        <v>3.3417601516827301E-2</v>
      </c>
      <c r="D30988" s="2">
        <v>1.09484056384289E-2</v>
      </c>
      <c r="E30988" s="2">
        <v>1.08258583359109E-2</v>
      </c>
      <c r="F30988" s="2">
        <v>3.1024953099469399E-2</v>
      </c>
    </row>
    <row r="30989" spans="1:6" x14ac:dyDescent="0.25">
      <c r="A30989" s="1" t="str">
        <f t="shared" si="1112"/>
        <v>41060</v>
      </c>
      <c r="B30989" s="1" t="str">
        <f>"56310"</f>
        <v>56310</v>
      </c>
      <c r="C30989" s="2">
        <v>2.4806446516037198E-2</v>
      </c>
      <c r="D30989" s="2">
        <v>1.08115505679485E-2</v>
      </c>
      <c r="E30989" s="2">
        <v>9.5886173832353799E-3</v>
      </c>
      <c r="F30989" s="2">
        <v>2.3278800960200099E-2</v>
      </c>
    </row>
    <row r="30990" spans="1:6" x14ac:dyDescent="0.25">
      <c r="A30990" s="1" t="str">
        <f t="shared" si="1112"/>
        <v>41060</v>
      </c>
      <c r="B30990" s="1" t="str">
        <f>"56357"</f>
        <v>56357</v>
      </c>
      <c r="C30990" s="2">
        <v>3.8259260095253101E-3</v>
      </c>
      <c r="D30990" s="2">
        <v>4.1056521144108301E-4</v>
      </c>
      <c r="E30990" s="2">
        <v>0</v>
      </c>
      <c r="F30990" s="2">
        <v>3.4494583745183801E-3</v>
      </c>
    </row>
    <row r="30991" spans="1:6" x14ac:dyDescent="0.25">
      <c r="A30991" s="1" t="str">
        <f t="shared" ref="A30991:A31013" si="1113">"41100"</f>
        <v>41100</v>
      </c>
      <c r="B30991" s="1" t="str">
        <f>"84746"</f>
        <v>84746</v>
      </c>
      <c r="C30991" s="2">
        <v>4.7501261367691701E-3</v>
      </c>
      <c r="D30991" s="2">
        <v>1.0479434110558E-3</v>
      </c>
      <c r="E30991" s="2">
        <v>2.31213872832369E-3</v>
      </c>
      <c r="F30991" s="2">
        <v>4.3720625204940397E-3</v>
      </c>
    </row>
    <row r="30992" spans="1:6" x14ac:dyDescent="0.25">
      <c r="A30992" s="1" t="str">
        <f t="shared" si="1113"/>
        <v>41100</v>
      </c>
      <c r="B30992" s="1" t="str">
        <f>"84780"</f>
        <v>84780</v>
      </c>
      <c r="C30992" s="2">
        <v>0.16540529897490799</v>
      </c>
      <c r="D30992" s="2">
        <v>9.0385119203563E-2</v>
      </c>
      <c r="E30992" s="2">
        <v>9.9807321772639596E-2</v>
      </c>
      <c r="F30992" s="2">
        <v>0.15728494917477301</v>
      </c>
    </row>
    <row r="30993" spans="1:6" x14ac:dyDescent="0.25">
      <c r="A30993" s="1" t="str">
        <f t="shared" si="1113"/>
        <v>41100</v>
      </c>
      <c r="B30993" s="1" t="str">
        <f>"84779"</f>
        <v>84779</v>
      </c>
      <c r="C30993" s="2">
        <v>2.8180800137827399E-3</v>
      </c>
      <c r="D30993" s="2">
        <v>5.23971705527901E-4</v>
      </c>
      <c r="E30993" s="2">
        <v>7.7071290944123304E-4</v>
      </c>
      <c r="F30993" s="2">
        <v>2.5685867307902498E-3</v>
      </c>
    </row>
    <row r="30994" spans="1:6" x14ac:dyDescent="0.25">
      <c r="A30994" s="1" t="str">
        <f t="shared" si="1113"/>
        <v>41100</v>
      </c>
      <c r="B30994" s="1" t="str">
        <f>"84722"</f>
        <v>84722</v>
      </c>
      <c r="C30994" s="2">
        <v>4.5532297165922098E-3</v>
      </c>
      <c r="D30994" s="2">
        <v>7.8595755829185198E-4</v>
      </c>
      <c r="E30994" s="2">
        <v>1.92678227360308E-3</v>
      </c>
      <c r="F30994" s="2">
        <v>4.1643895507705699E-3</v>
      </c>
    </row>
    <row r="30995" spans="1:6" x14ac:dyDescent="0.25">
      <c r="A30995" s="1" t="str">
        <f t="shared" si="1113"/>
        <v>41100</v>
      </c>
      <c r="B30995" s="1" t="str">
        <f>"84771"</f>
        <v>84771</v>
      </c>
      <c r="C30995" s="2">
        <v>2.74178265096417E-2</v>
      </c>
      <c r="D30995" s="2">
        <v>6.2745611736966203E-2</v>
      </c>
      <c r="E30995" s="2">
        <v>7.7071290944123304E-4</v>
      </c>
      <c r="F30995" s="2">
        <v>2.96097934200459E-2</v>
      </c>
    </row>
    <row r="30996" spans="1:6" x14ac:dyDescent="0.25">
      <c r="A30996" s="1" t="str">
        <f t="shared" si="1113"/>
        <v>41100</v>
      </c>
      <c r="B30996" s="1" t="str">
        <f>"84790"</f>
        <v>84790</v>
      </c>
      <c r="C30996" s="2">
        <v>0.24861864855219601</v>
      </c>
      <c r="D30996" s="2">
        <v>0.293555148022006</v>
      </c>
      <c r="E30996" s="2">
        <v>0.245472061657032</v>
      </c>
      <c r="F30996" s="2">
        <v>0.25227893758880698</v>
      </c>
    </row>
    <row r="30997" spans="1:6" x14ac:dyDescent="0.25">
      <c r="A30997" s="1" t="str">
        <f t="shared" si="1113"/>
        <v>41100</v>
      </c>
      <c r="B30997" s="1" t="str">
        <f>"84791"</f>
        <v>84791</v>
      </c>
      <c r="C30997" s="2">
        <v>1.26259829438476E-2</v>
      </c>
      <c r="D30997" s="2">
        <v>5.0825255436206397E-2</v>
      </c>
      <c r="E30997" s="2">
        <v>7.7071290944123304E-4</v>
      </c>
      <c r="F30997" s="2">
        <v>1.5477101322548901E-2</v>
      </c>
    </row>
    <row r="30998" spans="1:6" x14ac:dyDescent="0.25">
      <c r="A30998" s="1" t="str">
        <f t="shared" si="1113"/>
        <v>41100</v>
      </c>
      <c r="B30998" s="1" t="str">
        <f>"84782"</f>
        <v>84782</v>
      </c>
      <c r="C30998" s="2">
        <v>4.4670875327647904E-3</v>
      </c>
      <c r="D30998" s="2">
        <v>4.5847524233691298E-3</v>
      </c>
      <c r="E30998" s="2">
        <v>2.69749518304431E-3</v>
      </c>
      <c r="F30998" s="2">
        <v>4.4267133020002101E-3</v>
      </c>
    </row>
    <row r="30999" spans="1:6" x14ac:dyDescent="0.25">
      <c r="A30999" s="1" t="str">
        <f t="shared" si="1113"/>
        <v>41100</v>
      </c>
      <c r="B30999" s="1" t="str">
        <f>"84725"</f>
        <v>84725</v>
      </c>
      <c r="C30999" s="2">
        <v>7.3836157566360203E-5</v>
      </c>
      <c r="D30999" s="2">
        <v>0</v>
      </c>
      <c r="E30999" s="2">
        <v>3.8535645472061598E-4</v>
      </c>
      <c r="F30999" s="2">
        <v>7.6511094108645694E-5</v>
      </c>
    </row>
    <row r="31000" spans="1:6" x14ac:dyDescent="0.25">
      <c r="A31000" s="1" t="str">
        <f t="shared" si="1113"/>
        <v>41100</v>
      </c>
      <c r="B31000" s="1" t="str">
        <f>"84784"</f>
        <v>84784</v>
      </c>
      <c r="C31000" s="2">
        <v>1.2306026261059999E-5</v>
      </c>
      <c r="D31000" s="2">
        <v>5.23971705527901E-4</v>
      </c>
      <c r="E31000" s="2">
        <v>3.8535645472061598E-4</v>
      </c>
      <c r="F31000" s="2">
        <v>6.5580937807410605E-5</v>
      </c>
    </row>
    <row r="31001" spans="1:6" x14ac:dyDescent="0.25">
      <c r="A31001" s="1" t="str">
        <f t="shared" si="1113"/>
        <v>41100</v>
      </c>
      <c r="B31001" s="1" t="str">
        <f>"84767"</f>
        <v>84767</v>
      </c>
      <c r="C31001" s="2">
        <v>3.4579933793578701E-3</v>
      </c>
      <c r="D31001" s="2">
        <v>3.5368090123133302E-3</v>
      </c>
      <c r="E31001" s="2">
        <v>5.3949903660886296E-3</v>
      </c>
      <c r="F31001" s="2">
        <v>3.5195103289977002E-3</v>
      </c>
    </row>
    <row r="31002" spans="1:6" x14ac:dyDescent="0.25">
      <c r="A31002" s="1" t="str">
        <f t="shared" si="1113"/>
        <v>41100</v>
      </c>
      <c r="B31002" s="1" t="str">
        <f>"84757"</f>
        <v>84757</v>
      </c>
      <c r="C31002" s="2">
        <v>5.1439189771230898E-3</v>
      </c>
      <c r="D31002" s="2">
        <v>1.0479434110558E-3</v>
      </c>
      <c r="E31002" s="2">
        <v>1.15606936416184E-3</v>
      </c>
      <c r="F31002" s="2">
        <v>4.6890370532298598E-3</v>
      </c>
    </row>
    <row r="31003" spans="1:6" x14ac:dyDescent="0.25">
      <c r="A31003" s="1" t="str">
        <f t="shared" si="1113"/>
        <v>41100</v>
      </c>
      <c r="B31003" s="1" t="str">
        <f>"84737"</f>
        <v>84737</v>
      </c>
      <c r="C31003" s="2">
        <v>0.120229876570556</v>
      </c>
      <c r="D31003" s="2">
        <v>8.7503274823159505E-2</v>
      </c>
      <c r="E31003" s="2">
        <v>8.3236994219653096E-2</v>
      </c>
      <c r="F31003" s="2">
        <v>0.116449885233358</v>
      </c>
    </row>
    <row r="31004" spans="1:6" x14ac:dyDescent="0.25">
      <c r="A31004" s="1" t="str">
        <f t="shared" si="1113"/>
        <v>41100</v>
      </c>
      <c r="B31004" s="1" t="str">
        <f>"84763"</f>
        <v>84763</v>
      </c>
      <c r="C31004" s="2">
        <v>1.2921327574113E-3</v>
      </c>
      <c r="D31004" s="2">
        <v>0</v>
      </c>
      <c r="E31004" s="2">
        <v>7.7071290944123304E-4</v>
      </c>
      <c r="F31004" s="2">
        <v>1.1695267242321501E-3</v>
      </c>
    </row>
    <row r="31005" spans="1:6" x14ac:dyDescent="0.25">
      <c r="A31005" s="1" t="str">
        <f t="shared" si="1113"/>
        <v>41100</v>
      </c>
      <c r="B31005" s="1" t="str">
        <f>"84774"</f>
        <v>84774</v>
      </c>
      <c r="C31005" s="2">
        <v>9.9309631926754495E-3</v>
      </c>
      <c r="D31005" s="2">
        <v>2.6198585276395001E-4</v>
      </c>
      <c r="E31005" s="2">
        <v>3.8535645472061598E-4</v>
      </c>
      <c r="F31005" s="2">
        <v>8.8534266040004306E-3</v>
      </c>
    </row>
    <row r="31006" spans="1:6" x14ac:dyDescent="0.25">
      <c r="A31006" s="1" t="str">
        <f t="shared" si="1113"/>
        <v>41100</v>
      </c>
      <c r="B31006" s="1" t="str">
        <f>"84783"</f>
        <v>84783</v>
      </c>
      <c r="C31006" s="2">
        <v>5.5869359225212498E-3</v>
      </c>
      <c r="D31006" s="2">
        <v>1.0479434110558E-3</v>
      </c>
      <c r="E31006" s="2">
        <v>7.7071290944123304E-4</v>
      </c>
      <c r="F31006" s="2">
        <v>5.0715925237730802E-3</v>
      </c>
    </row>
    <row r="31007" spans="1:6" x14ac:dyDescent="0.25">
      <c r="A31007" s="1" t="str">
        <f t="shared" si="1113"/>
        <v>41100</v>
      </c>
      <c r="B31007" s="1" t="str">
        <f>"84720"</f>
        <v>84720</v>
      </c>
      <c r="C31007" s="2">
        <v>3.6918078783180102E-5</v>
      </c>
      <c r="D31007" s="2">
        <v>1.30992926381975E-4</v>
      </c>
      <c r="E31007" s="2">
        <v>0</v>
      </c>
      <c r="F31007" s="2">
        <v>4.3720625204940399E-5</v>
      </c>
    </row>
    <row r="31008" spans="1:6" x14ac:dyDescent="0.25">
      <c r="A31008" s="1" t="str">
        <f t="shared" si="1113"/>
        <v>41100</v>
      </c>
      <c r="B31008" s="1" t="str">
        <f>"84733"</f>
        <v>84733</v>
      </c>
      <c r="C31008" s="2">
        <v>8.1219773322996195E-4</v>
      </c>
      <c r="D31008" s="2">
        <v>5.23971705527901E-4</v>
      </c>
      <c r="E31008" s="2">
        <v>2.0038535645471998E-2</v>
      </c>
      <c r="F31008" s="2">
        <v>1.3334790687506801E-3</v>
      </c>
    </row>
    <row r="31009" spans="1:6" x14ac:dyDescent="0.25">
      <c r="A31009" s="1" t="str">
        <f t="shared" si="1113"/>
        <v>41100</v>
      </c>
      <c r="B31009" s="1" t="str">
        <f>"84781"</f>
        <v>84781</v>
      </c>
      <c r="C31009" s="2">
        <v>3.0765065652650098E-3</v>
      </c>
      <c r="D31009" s="2">
        <v>2.6198585276395001E-4</v>
      </c>
      <c r="E31009" s="2">
        <v>7.7071290944123304E-4</v>
      </c>
      <c r="F31009" s="2">
        <v>2.7762597005137101E-3</v>
      </c>
    </row>
    <row r="31010" spans="1:6" x14ac:dyDescent="0.25">
      <c r="A31010" s="1" t="str">
        <f t="shared" si="1113"/>
        <v>41100</v>
      </c>
      <c r="B31010" s="1" t="str">
        <f>"84745"</f>
        <v>84745</v>
      </c>
      <c r="C31010" s="2">
        <v>2.0304943330749E-2</v>
      </c>
      <c r="D31010" s="2">
        <v>1.061042703694E-2</v>
      </c>
      <c r="E31010" s="2">
        <v>1.4643545279383399E-2</v>
      </c>
      <c r="F31010" s="2">
        <v>1.93354464968849E-2</v>
      </c>
    </row>
    <row r="31011" spans="1:6" x14ac:dyDescent="0.25">
      <c r="A31011" s="1" t="str">
        <f t="shared" si="1113"/>
        <v>41100</v>
      </c>
      <c r="B31011" s="1" t="str">
        <f>"84738"</f>
        <v>84738</v>
      </c>
      <c r="C31011" s="2">
        <v>5.6730781063486703E-2</v>
      </c>
      <c r="D31011" s="2">
        <v>1.13963845952318E-2</v>
      </c>
      <c r="E31011" s="2">
        <v>2.69749518304431E-2</v>
      </c>
      <c r="F31011" s="2">
        <v>5.2104055087987697E-2</v>
      </c>
    </row>
    <row r="31012" spans="1:6" x14ac:dyDescent="0.25">
      <c r="A31012" s="1" t="str">
        <f t="shared" si="1113"/>
        <v>41100</v>
      </c>
      <c r="B31012" s="1" t="str">
        <f>"84770"</f>
        <v>84770</v>
      </c>
      <c r="C31012" s="2">
        <v>0.262709048621109</v>
      </c>
      <c r="D31012" s="2">
        <v>0.35577678805344498</v>
      </c>
      <c r="E31012" s="2">
        <v>0.47899807321772597</v>
      </c>
      <c r="F31012" s="2">
        <v>0.27660946551535598</v>
      </c>
    </row>
    <row r="31013" spans="1:6" x14ac:dyDescent="0.25">
      <c r="A31013" s="1" t="str">
        <f t="shared" si="1113"/>
        <v>41100</v>
      </c>
      <c r="B31013" s="1" t="str">
        <f>"84765"</f>
        <v>84765</v>
      </c>
      <c r="C31013" s="2">
        <v>3.9945361243400798E-2</v>
      </c>
      <c r="D31013" s="2">
        <v>2.2923762116845599E-2</v>
      </c>
      <c r="E31013" s="2">
        <v>1.1560693641618399E-2</v>
      </c>
      <c r="F31013" s="2">
        <v>3.7719969395562297E-2</v>
      </c>
    </row>
    <row r="31014" spans="1:6" x14ac:dyDescent="0.25">
      <c r="A31014" s="1" t="str">
        <f t="shared" ref="A31014:A31060" si="1114">"41140"</f>
        <v>41140</v>
      </c>
      <c r="B31014" s="1" t="str">
        <f>"64423"</f>
        <v>64423</v>
      </c>
      <c r="C31014" s="2">
        <v>1.22546874179373E-4</v>
      </c>
      <c r="D31014" s="2">
        <v>0</v>
      </c>
      <c r="E31014" s="2">
        <v>0</v>
      </c>
      <c r="F31014" s="2">
        <v>1.09445113275692E-4</v>
      </c>
    </row>
    <row r="31015" spans="1:6" x14ac:dyDescent="0.25">
      <c r="A31015" s="1" t="str">
        <f t="shared" si="1114"/>
        <v>41140</v>
      </c>
      <c r="B31015" s="1" t="str">
        <f>"64480"</f>
        <v>64480</v>
      </c>
      <c r="C31015" s="2">
        <v>2.60849775038952E-3</v>
      </c>
      <c r="D31015" s="2">
        <v>2.0206102242877299E-4</v>
      </c>
      <c r="E31015" s="2">
        <v>5.2938062466913703E-4</v>
      </c>
      <c r="F31015" s="2">
        <v>2.3608874435185E-3</v>
      </c>
    </row>
    <row r="31016" spans="1:6" x14ac:dyDescent="0.25">
      <c r="A31016" s="1" t="str">
        <f t="shared" si="1114"/>
        <v>41140</v>
      </c>
      <c r="B31016" s="1" t="str">
        <f>"64474"</f>
        <v>64474</v>
      </c>
      <c r="C31016" s="2">
        <v>6.52999772412947E-3</v>
      </c>
      <c r="D31016" s="2">
        <v>2.2226712467164999E-3</v>
      </c>
      <c r="E31016" s="2">
        <v>1.58814187400741E-3</v>
      </c>
      <c r="F31016" s="2">
        <v>6.0507512625275501E-3</v>
      </c>
    </row>
    <row r="31017" spans="1:6" x14ac:dyDescent="0.25">
      <c r="A31017" s="1" t="str">
        <f t="shared" si="1114"/>
        <v>41140</v>
      </c>
      <c r="B31017" s="1" t="str">
        <f>"64440"</f>
        <v>64440</v>
      </c>
      <c r="C31017" s="2">
        <v>5.5846361233171599E-3</v>
      </c>
      <c r="D31017" s="2">
        <v>6.0618306728632001E-4</v>
      </c>
      <c r="E31017" s="2">
        <v>5.2938062466913703E-4</v>
      </c>
      <c r="F31017" s="2">
        <v>5.0501102268640796E-3</v>
      </c>
    </row>
    <row r="31018" spans="1:6" x14ac:dyDescent="0.25">
      <c r="A31018" s="1" t="str">
        <f t="shared" si="1114"/>
        <v>41140</v>
      </c>
      <c r="B31018" s="1" t="str">
        <f>"64497"</f>
        <v>64497</v>
      </c>
      <c r="C31018" s="2">
        <v>2.7135379282575501E-3</v>
      </c>
      <c r="D31018" s="2">
        <v>6.0618306728632001E-4</v>
      </c>
      <c r="E31018" s="2">
        <v>1.0587612493382699E-3</v>
      </c>
      <c r="F31018" s="2">
        <v>2.5016025891586701E-3</v>
      </c>
    </row>
    <row r="31019" spans="1:6" x14ac:dyDescent="0.25">
      <c r="A31019" s="1" t="str">
        <f t="shared" si="1114"/>
        <v>41140</v>
      </c>
      <c r="B31019" s="1" t="str">
        <f>"64469"</f>
        <v>64469</v>
      </c>
      <c r="C31019" s="2">
        <v>1.80143905043679E-2</v>
      </c>
      <c r="D31019" s="2">
        <v>1.39422105475853E-2</v>
      </c>
      <c r="E31019" s="2">
        <v>8.9994706193753295E-3</v>
      </c>
      <c r="F31019" s="2">
        <v>1.7433043043199498E-2</v>
      </c>
    </row>
    <row r="31020" spans="1:6" x14ac:dyDescent="0.25">
      <c r="A31020" s="1" t="str">
        <f t="shared" si="1114"/>
        <v>41140</v>
      </c>
      <c r="B31020" s="1" t="str">
        <f>"64485"</f>
        <v>64485</v>
      </c>
      <c r="C31020" s="2">
        <v>6.3794401358519603E-2</v>
      </c>
      <c r="D31020" s="2">
        <v>4.6271974136189102E-2</v>
      </c>
      <c r="E31020" s="2">
        <v>6.7231339332980394E-2</v>
      </c>
      <c r="F31020" s="2">
        <v>6.2540064728966893E-2</v>
      </c>
    </row>
    <row r="31021" spans="1:6" x14ac:dyDescent="0.25">
      <c r="A31021" s="1" t="str">
        <f t="shared" si="1114"/>
        <v>41140</v>
      </c>
      <c r="B31021" s="1" t="str">
        <f>"64494"</f>
        <v>64494</v>
      </c>
      <c r="C31021" s="2">
        <v>8.6132945851788295E-3</v>
      </c>
      <c r="D31021" s="2">
        <v>8.0824408971509295E-4</v>
      </c>
      <c r="E31021" s="2">
        <v>1.58814187400741E-3</v>
      </c>
      <c r="F31021" s="2">
        <v>7.8018730749386299E-3</v>
      </c>
    </row>
    <row r="31022" spans="1:6" x14ac:dyDescent="0.25">
      <c r="A31022" s="1" t="str">
        <f t="shared" si="1114"/>
        <v>41140</v>
      </c>
      <c r="B31022" s="1" t="str">
        <f>"64490"</f>
        <v>64490</v>
      </c>
      <c r="C31022" s="2">
        <v>1.1449379387615701E-2</v>
      </c>
      <c r="D31022" s="2">
        <v>5.8597696504344302E-3</v>
      </c>
      <c r="E31022" s="2">
        <v>5.2938062466913703E-3</v>
      </c>
      <c r="F31022" s="2">
        <v>1.08350662142935E-2</v>
      </c>
    </row>
    <row r="31023" spans="1:6" x14ac:dyDescent="0.25">
      <c r="A31023" s="1" t="str">
        <f t="shared" si="1114"/>
        <v>41140</v>
      </c>
      <c r="B31023" s="1" t="str">
        <f>"66041"</f>
        <v>66041</v>
      </c>
      <c r="C31023" s="2">
        <v>1.7506696311338999E-4</v>
      </c>
      <c r="D31023" s="2">
        <v>0</v>
      </c>
      <c r="E31023" s="2">
        <v>0</v>
      </c>
      <c r="F31023" s="2">
        <v>1.5635016182241699E-4</v>
      </c>
    </row>
    <row r="31024" spans="1:6" x14ac:dyDescent="0.25">
      <c r="A31024" s="1" t="str">
        <f t="shared" si="1114"/>
        <v>41140</v>
      </c>
      <c r="B31024" s="1" t="str">
        <f>"64457"</f>
        <v>64457</v>
      </c>
      <c r="C31024" s="2">
        <v>2.8010714098142497E-4</v>
      </c>
      <c r="D31024" s="2">
        <v>0</v>
      </c>
      <c r="E31024" s="2">
        <v>0</v>
      </c>
      <c r="F31024" s="2">
        <v>2.5016025891586702E-4</v>
      </c>
    </row>
    <row r="31025" spans="1:6" x14ac:dyDescent="0.25">
      <c r="A31025" s="1" t="str">
        <f t="shared" si="1114"/>
        <v>41140</v>
      </c>
      <c r="B31025" s="1" t="str">
        <f>"66532"</f>
        <v>66532</v>
      </c>
      <c r="C31025" s="2">
        <v>1.1729486528597099E-3</v>
      </c>
      <c r="D31025" s="2">
        <v>8.0824408971509295E-4</v>
      </c>
      <c r="E31025" s="2">
        <v>0</v>
      </c>
      <c r="F31025" s="2">
        <v>1.11008614893916E-3</v>
      </c>
    </row>
    <row r="31026" spans="1:6" x14ac:dyDescent="0.25">
      <c r="A31026" s="1" t="str">
        <f t="shared" si="1114"/>
        <v>41140</v>
      </c>
      <c r="B31026" s="1" t="str">
        <f>"64483"</f>
        <v>64483</v>
      </c>
      <c r="C31026" s="2">
        <v>5.0944486265996703E-3</v>
      </c>
      <c r="D31026" s="2">
        <v>1.0103051121438599E-3</v>
      </c>
      <c r="E31026" s="2">
        <v>1.0587612493382699E-3</v>
      </c>
      <c r="F31026" s="2">
        <v>4.6592348223080402E-3</v>
      </c>
    </row>
    <row r="31027" spans="1:6" x14ac:dyDescent="0.25">
      <c r="A31027" s="1" t="str">
        <f t="shared" si="1114"/>
        <v>41140</v>
      </c>
      <c r="B31027" s="1" t="str">
        <f>"64448"</f>
        <v>64448</v>
      </c>
      <c r="C31027" s="2">
        <v>8.9809352077169502E-3</v>
      </c>
      <c r="D31027" s="2">
        <v>2.2226712467164999E-3</v>
      </c>
      <c r="E31027" s="2">
        <v>1.0587612493382699E-3</v>
      </c>
      <c r="F31027" s="2">
        <v>8.2240185118591502E-3</v>
      </c>
    </row>
    <row r="31028" spans="1:6" x14ac:dyDescent="0.25">
      <c r="A31028" s="1" t="str">
        <f t="shared" si="1114"/>
        <v>41140</v>
      </c>
      <c r="B31028" s="1" t="str">
        <f>"64443"</f>
        <v>64443</v>
      </c>
      <c r="C31028" s="2">
        <v>8.8058682446035593E-3</v>
      </c>
      <c r="D31028" s="2">
        <v>1.61648817943018E-3</v>
      </c>
      <c r="E31028" s="2">
        <v>5.2938062466913703E-4</v>
      </c>
      <c r="F31028" s="2">
        <v>8.0051282853077707E-3</v>
      </c>
    </row>
    <row r="31029" spans="1:6" x14ac:dyDescent="0.25">
      <c r="A31029" s="1" t="str">
        <f t="shared" si="1114"/>
        <v>41140</v>
      </c>
      <c r="B31029" s="1" t="str">
        <f>"66024"</f>
        <v>66024</v>
      </c>
      <c r="C31029" s="2">
        <v>7.9830535179706199E-3</v>
      </c>
      <c r="D31029" s="2">
        <v>8.8906849868660293E-3</v>
      </c>
      <c r="E31029" s="2">
        <v>1.0587612493382699E-3</v>
      </c>
      <c r="F31029" s="2">
        <v>7.8487781234853494E-3</v>
      </c>
    </row>
    <row r="31030" spans="1:6" x14ac:dyDescent="0.25">
      <c r="A31030" s="1" t="str">
        <f t="shared" si="1114"/>
        <v>41140</v>
      </c>
      <c r="B31030" s="1" t="str">
        <f>"64459"</f>
        <v>64459</v>
      </c>
      <c r="C31030" s="2">
        <v>4.1140736331646797E-3</v>
      </c>
      <c r="D31030" s="2">
        <v>8.0824408971509295E-4</v>
      </c>
      <c r="E31030" s="2">
        <v>5.2938062466913703E-4</v>
      </c>
      <c r="F31030" s="2">
        <v>3.7524038837380099E-3</v>
      </c>
    </row>
    <row r="31031" spans="1:6" x14ac:dyDescent="0.25">
      <c r="A31031" s="1" t="str">
        <f t="shared" si="1114"/>
        <v>41140</v>
      </c>
      <c r="B31031" s="1" t="str">
        <f>"64507"</f>
        <v>64507</v>
      </c>
      <c r="C31031" s="2">
        <v>0.10812135641883</v>
      </c>
      <c r="D31031" s="2">
        <v>9.1533643160234296E-2</v>
      </c>
      <c r="E31031" s="2">
        <v>9.3170989941768104E-2</v>
      </c>
      <c r="F31031" s="2">
        <v>0.106396285120155</v>
      </c>
    </row>
    <row r="31032" spans="1:6" x14ac:dyDescent="0.25">
      <c r="A31032" s="1" t="str">
        <f t="shared" si="1114"/>
        <v>41140</v>
      </c>
      <c r="B31032" s="1" t="str">
        <f>"64484"</f>
        <v>64484</v>
      </c>
      <c r="C31032" s="2">
        <v>8.0530803032159808E-3</v>
      </c>
      <c r="D31032" s="2">
        <v>5.6577086280056501E-3</v>
      </c>
      <c r="E31032" s="2">
        <v>2.1175224986765399E-3</v>
      </c>
      <c r="F31032" s="2">
        <v>7.6924279616629402E-3</v>
      </c>
    </row>
    <row r="31033" spans="1:6" x14ac:dyDescent="0.25">
      <c r="A31033" s="1" t="str">
        <f t="shared" si="1114"/>
        <v>41140</v>
      </c>
      <c r="B31033" s="1" t="str">
        <f>"66090"</f>
        <v>66090</v>
      </c>
      <c r="C31033" s="2">
        <v>2.1428196285078999E-2</v>
      </c>
      <c r="D31033" s="2">
        <v>1.2729844413012699E-2</v>
      </c>
      <c r="E31033" s="2">
        <v>1.27051349920592E-2</v>
      </c>
      <c r="F31033" s="2">
        <v>2.0497506214918901E-2</v>
      </c>
    </row>
    <row r="31034" spans="1:6" x14ac:dyDescent="0.25">
      <c r="A31034" s="1" t="str">
        <f t="shared" si="1114"/>
        <v>41140</v>
      </c>
      <c r="B31034" s="1" t="str">
        <f>"66087"</f>
        <v>66087</v>
      </c>
      <c r="C31034" s="2">
        <v>1.6211200784299901E-2</v>
      </c>
      <c r="D31034" s="2">
        <v>8.2845019195797107E-3</v>
      </c>
      <c r="E31034" s="2">
        <v>0.181048173636844</v>
      </c>
      <c r="F31034" s="2">
        <v>2.0466236182554401E-2</v>
      </c>
    </row>
    <row r="31035" spans="1:6" x14ac:dyDescent="0.25">
      <c r="A31035" s="1" t="str">
        <f t="shared" si="1114"/>
        <v>41140</v>
      </c>
      <c r="B31035" s="1" t="str">
        <f>"64455"</f>
        <v>64455</v>
      </c>
      <c r="C31035" s="2">
        <v>3.5013392622678101E-5</v>
      </c>
      <c r="D31035" s="2">
        <v>0</v>
      </c>
      <c r="E31035" s="2">
        <v>0</v>
      </c>
      <c r="F31035" s="2">
        <v>3.1270032364483398E-5</v>
      </c>
    </row>
    <row r="31036" spans="1:6" x14ac:dyDescent="0.25">
      <c r="A31036" s="1" t="str">
        <f t="shared" si="1114"/>
        <v>41140</v>
      </c>
      <c r="B31036" s="1" t="str">
        <f>"64501"</f>
        <v>64501</v>
      </c>
      <c r="C31036" s="2">
        <v>0.107438595262687</v>
      </c>
      <c r="D31036" s="2">
        <v>0.16124469589816101</v>
      </c>
      <c r="E31036" s="2">
        <v>0.141874007411328</v>
      </c>
      <c r="F31036" s="2">
        <v>0.112619021560687</v>
      </c>
    </row>
    <row r="31037" spans="1:6" x14ac:dyDescent="0.25">
      <c r="A31037" s="1" t="str">
        <f t="shared" si="1114"/>
        <v>41140</v>
      </c>
      <c r="B31037" s="1" t="str">
        <f>"64506"</f>
        <v>64506</v>
      </c>
      <c r="C31037" s="2">
        <v>0.17151310376218901</v>
      </c>
      <c r="D31037" s="2">
        <v>0.26308345120226301</v>
      </c>
      <c r="E31037" s="2">
        <v>0.28745367919534098</v>
      </c>
      <c r="F31037" s="2">
        <v>0.182022858393658</v>
      </c>
    </row>
    <row r="31038" spans="1:6" x14ac:dyDescent="0.25">
      <c r="A31038" s="1" t="str">
        <f t="shared" si="1114"/>
        <v>41140</v>
      </c>
      <c r="B31038" s="1" t="str">
        <f>"64427"</f>
        <v>64427</v>
      </c>
      <c r="C31038" s="2">
        <v>4.0440468479193198E-3</v>
      </c>
      <c r="D31038" s="2">
        <v>1.0103051121438599E-3</v>
      </c>
      <c r="E31038" s="2">
        <v>1.0587612493382699E-3</v>
      </c>
      <c r="F31038" s="2">
        <v>3.72113385137353E-3</v>
      </c>
    </row>
    <row r="31039" spans="1:6" x14ac:dyDescent="0.25">
      <c r="A31039" s="1" t="str">
        <f t="shared" si="1114"/>
        <v>41140</v>
      </c>
      <c r="B31039" s="1" t="str">
        <f>"64670"</f>
        <v>64670</v>
      </c>
      <c r="C31039" s="2">
        <v>7.00267852453563E-4</v>
      </c>
      <c r="D31039" s="2">
        <v>0</v>
      </c>
      <c r="E31039" s="2">
        <v>0</v>
      </c>
      <c r="F31039" s="2">
        <v>6.2540064728966904E-4</v>
      </c>
    </row>
    <row r="31040" spans="1:6" x14ac:dyDescent="0.25">
      <c r="A31040" s="1" t="str">
        <f t="shared" si="1114"/>
        <v>41140</v>
      </c>
      <c r="B31040" s="1" t="str">
        <f>"64421"</f>
        <v>64421</v>
      </c>
      <c r="C31040" s="2">
        <v>7.8605066437912492E-3</v>
      </c>
      <c r="D31040" s="2">
        <v>1.0103051121438599E-3</v>
      </c>
      <c r="E31040" s="2">
        <v>2.1175224986765399E-3</v>
      </c>
      <c r="F31040" s="2">
        <v>7.1608374114667198E-3</v>
      </c>
    </row>
    <row r="31041" spans="1:6" x14ac:dyDescent="0.25">
      <c r="A31041" s="1" t="str">
        <f t="shared" si="1114"/>
        <v>41140</v>
      </c>
      <c r="B31041" s="1" t="str">
        <f>"66008"</f>
        <v>66008</v>
      </c>
      <c r="C31041" s="2">
        <v>1.89072320162462E-3</v>
      </c>
      <c r="D31041" s="2">
        <v>8.0824408971509295E-4</v>
      </c>
      <c r="E31041" s="2">
        <v>1.58814187400741E-3</v>
      </c>
      <c r="F31041" s="2">
        <v>1.7980268609577999E-3</v>
      </c>
    </row>
    <row r="31042" spans="1:6" x14ac:dyDescent="0.25">
      <c r="A31042" s="1" t="str">
        <f t="shared" si="1114"/>
        <v>41140</v>
      </c>
      <c r="B31042" s="1" t="str">
        <f>"64444"</f>
        <v>64444</v>
      </c>
      <c r="C31042" s="2">
        <v>5.4270758565151103E-4</v>
      </c>
      <c r="D31042" s="2">
        <v>0</v>
      </c>
      <c r="E31042" s="2">
        <v>0</v>
      </c>
      <c r="F31042" s="2">
        <v>4.8468550164949402E-4</v>
      </c>
    </row>
    <row r="31043" spans="1:6" x14ac:dyDescent="0.25">
      <c r="A31043" s="1" t="str">
        <f t="shared" si="1114"/>
        <v>41140</v>
      </c>
      <c r="B31043" s="1" t="str">
        <f>"64504"</f>
        <v>64504</v>
      </c>
      <c r="C31043" s="2">
        <v>8.39621155091822E-2</v>
      </c>
      <c r="D31043" s="2">
        <v>7.0923418872499394E-2</v>
      </c>
      <c r="E31043" s="2">
        <v>2.8057173107464198E-2</v>
      </c>
      <c r="F31043" s="2">
        <v>8.1302084147656994E-2</v>
      </c>
    </row>
    <row r="31044" spans="1:6" x14ac:dyDescent="0.25">
      <c r="A31044" s="1" t="str">
        <f t="shared" si="1114"/>
        <v>41140</v>
      </c>
      <c r="B31044" s="1" t="str">
        <f>"64503"</f>
        <v>64503</v>
      </c>
      <c r="C31044" s="2">
        <v>0.106265646609828</v>
      </c>
      <c r="D31044" s="2">
        <v>9.8605778945241404E-2</v>
      </c>
      <c r="E31044" s="2">
        <v>5.6643726839597598E-2</v>
      </c>
      <c r="F31044" s="2">
        <v>0.104207382854641</v>
      </c>
    </row>
    <row r="31045" spans="1:6" x14ac:dyDescent="0.25">
      <c r="A31045" s="1" t="str">
        <f t="shared" si="1114"/>
        <v>41140</v>
      </c>
      <c r="B31045" s="1" t="str">
        <f>"64430"</f>
        <v>64430</v>
      </c>
      <c r="C31045" s="2">
        <v>6.95015843560161E-3</v>
      </c>
      <c r="D31045" s="2">
        <v>6.0618306728632001E-4</v>
      </c>
      <c r="E31045" s="2">
        <v>1.0587612493382699E-3</v>
      </c>
      <c r="F31045" s="2">
        <v>6.2852765052611803E-3</v>
      </c>
    </row>
    <row r="31046" spans="1:6" x14ac:dyDescent="0.25">
      <c r="A31046" s="1" t="str">
        <f t="shared" si="1114"/>
        <v>41140</v>
      </c>
      <c r="B31046" s="1" t="str">
        <f>"64401"</f>
        <v>64401</v>
      </c>
      <c r="C31046" s="2">
        <v>1.08191383204075E-2</v>
      </c>
      <c r="D31046" s="2">
        <v>2.0206102242877298E-3</v>
      </c>
      <c r="E31046" s="2">
        <v>1.58814187400741E-3</v>
      </c>
      <c r="F31046" s="2">
        <v>9.8656952109945403E-3</v>
      </c>
    </row>
    <row r="31047" spans="1:6" x14ac:dyDescent="0.25">
      <c r="A31047" s="1" t="str">
        <f t="shared" si="1114"/>
        <v>41140</v>
      </c>
      <c r="B31047" s="1" t="str">
        <f>"64422"</f>
        <v>64422</v>
      </c>
      <c r="C31047" s="2">
        <v>3.2912589065317399E-3</v>
      </c>
      <c r="D31047" s="2">
        <v>6.0618306728632001E-4</v>
      </c>
      <c r="E31047" s="2">
        <v>5.2938062466913703E-4</v>
      </c>
      <c r="F31047" s="2">
        <v>3.0019231069904101E-3</v>
      </c>
    </row>
    <row r="31048" spans="1:6" x14ac:dyDescent="0.25">
      <c r="A31048" s="1" t="str">
        <f t="shared" si="1114"/>
        <v>41140</v>
      </c>
      <c r="B31048" s="1" t="str">
        <f>"64508"</f>
        <v>64508</v>
      </c>
      <c r="C31048" s="2">
        <v>5.3920624638924301E-3</v>
      </c>
      <c r="D31048" s="2">
        <v>4.64740351586179E-2</v>
      </c>
      <c r="E31048" s="2">
        <v>1.0587612493382699E-3</v>
      </c>
      <c r="F31048" s="2">
        <v>8.44290873841054E-3</v>
      </c>
    </row>
    <row r="31049" spans="1:6" x14ac:dyDescent="0.25">
      <c r="A31049" s="1" t="str">
        <f t="shared" si="1114"/>
        <v>41140</v>
      </c>
      <c r="B31049" s="1" t="str">
        <f>"66017"</f>
        <v>66017</v>
      </c>
      <c r="C31049" s="2">
        <v>2.2758705204740798E-3</v>
      </c>
      <c r="D31049" s="2">
        <v>6.0618306728632001E-4</v>
      </c>
      <c r="E31049" s="2">
        <v>1.0587612493382699E-3</v>
      </c>
      <c r="F31049" s="2">
        <v>2.1107271846026298E-3</v>
      </c>
    </row>
    <row r="31050" spans="1:6" x14ac:dyDescent="0.25">
      <c r="A31050" s="1" t="str">
        <f t="shared" si="1114"/>
        <v>41140</v>
      </c>
      <c r="B31050" s="1" t="str">
        <f>"64429"</f>
        <v>64429</v>
      </c>
      <c r="C31050" s="2">
        <v>2.3388946271948999E-2</v>
      </c>
      <c r="D31050" s="2">
        <v>4.1624570620327303E-2</v>
      </c>
      <c r="E31050" s="2">
        <v>3.75860243515087E-2</v>
      </c>
      <c r="F31050" s="2">
        <v>2.5219281101955902E-2</v>
      </c>
    </row>
    <row r="31051" spans="1:6" x14ac:dyDescent="0.25">
      <c r="A31051" s="1" t="str">
        <f t="shared" si="1114"/>
        <v>41140</v>
      </c>
      <c r="B31051" s="1" t="str">
        <f>"64463"</f>
        <v>64463</v>
      </c>
      <c r="C31051" s="2">
        <v>1.6456294532658699E-3</v>
      </c>
      <c r="D31051" s="2">
        <v>4.0412204485754599E-4</v>
      </c>
      <c r="E31051" s="2">
        <v>5.2938062466913703E-4</v>
      </c>
      <c r="F31051" s="2">
        <v>1.51659656967744E-3</v>
      </c>
    </row>
    <row r="31052" spans="1:6" x14ac:dyDescent="0.25">
      <c r="A31052" s="1" t="str">
        <f t="shared" si="1114"/>
        <v>41140</v>
      </c>
      <c r="B31052" s="1" t="str">
        <f>"64449"</f>
        <v>64449</v>
      </c>
      <c r="C31052" s="2">
        <v>3.5538593512018301E-3</v>
      </c>
      <c r="D31052" s="2">
        <v>4.0412204485754599E-4</v>
      </c>
      <c r="E31052" s="2">
        <v>5.2938062466913703E-4</v>
      </c>
      <c r="F31052" s="2">
        <v>3.2208133335418E-3</v>
      </c>
    </row>
    <row r="31053" spans="1:6" x14ac:dyDescent="0.25">
      <c r="A31053" s="1" t="str">
        <f t="shared" si="1114"/>
        <v>41140</v>
      </c>
      <c r="B31053" s="1" t="str">
        <f>"64436"</f>
        <v>64436</v>
      </c>
      <c r="C31053" s="2">
        <v>5.9697834421666204E-3</v>
      </c>
      <c r="D31053" s="2">
        <v>1.0103051121438599E-3</v>
      </c>
      <c r="E31053" s="2">
        <v>5.2938062466913703E-4</v>
      </c>
      <c r="F31053" s="2">
        <v>5.4253506152378804E-3</v>
      </c>
    </row>
    <row r="31054" spans="1:6" x14ac:dyDescent="0.25">
      <c r="A31054" s="1" t="str">
        <f t="shared" si="1114"/>
        <v>41140</v>
      </c>
      <c r="B31054" s="1" t="str">
        <f>"64439"</f>
        <v>64439</v>
      </c>
      <c r="C31054" s="2">
        <v>4.09656693685334E-3</v>
      </c>
      <c r="D31054" s="2">
        <v>4.0412204485754599E-4</v>
      </c>
      <c r="E31054" s="2">
        <v>0</v>
      </c>
      <c r="F31054" s="2">
        <v>3.6898638190090501E-3</v>
      </c>
    </row>
    <row r="31055" spans="1:6" x14ac:dyDescent="0.25">
      <c r="A31055" s="1" t="str">
        <f t="shared" si="1114"/>
        <v>41140</v>
      </c>
      <c r="B31055" s="1" t="str">
        <f>"64502"</f>
        <v>64502</v>
      </c>
      <c r="C31055" s="2">
        <v>1.3042488751947599E-2</v>
      </c>
      <c r="D31055" s="2">
        <v>3.7381289149323003E-2</v>
      </c>
      <c r="E31055" s="2">
        <v>1.0587612493382699E-3</v>
      </c>
      <c r="F31055" s="2">
        <v>1.45718350818493E-2</v>
      </c>
    </row>
    <row r="31056" spans="1:6" x14ac:dyDescent="0.25">
      <c r="A31056" s="1" t="str">
        <f t="shared" si="1114"/>
        <v>41140</v>
      </c>
      <c r="B31056" s="1" t="str">
        <f>"66035"</f>
        <v>66035</v>
      </c>
      <c r="C31056" s="2">
        <v>9.2960557413210507E-3</v>
      </c>
      <c r="D31056" s="2">
        <v>8.0824408971509297E-3</v>
      </c>
      <c r="E31056" s="2">
        <v>6.35256749602964E-3</v>
      </c>
      <c r="F31056" s="2">
        <v>9.11521443424693E-3</v>
      </c>
    </row>
    <row r="31057" spans="1:6" x14ac:dyDescent="0.25">
      <c r="A31057" s="1" t="str">
        <f t="shared" si="1114"/>
        <v>41140</v>
      </c>
      <c r="B31057" s="1" t="str">
        <f>"64454"</f>
        <v>64454</v>
      </c>
      <c r="C31057" s="2">
        <v>3.9039932774286102E-3</v>
      </c>
      <c r="D31057" s="2">
        <v>4.0412204485754599E-4</v>
      </c>
      <c r="E31057" s="2">
        <v>0</v>
      </c>
      <c r="F31057" s="2">
        <v>3.5178786410043901E-3</v>
      </c>
    </row>
    <row r="31058" spans="1:6" x14ac:dyDescent="0.25">
      <c r="A31058" s="1" t="str">
        <f t="shared" si="1114"/>
        <v>41140</v>
      </c>
      <c r="B31058" s="1" t="str">
        <f>"64505"</f>
        <v>64505</v>
      </c>
      <c r="C31058" s="2">
        <v>0.108734090789727</v>
      </c>
      <c r="D31058" s="2">
        <v>5.8799757526773001E-2</v>
      </c>
      <c r="E31058" s="2">
        <v>4.87030174695606E-2</v>
      </c>
      <c r="F31058" s="2">
        <v>0.103097296705702</v>
      </c>
    </row>
    <row r="31059" spans="1:6" x14ac:dyDescent="0.25">
      <c r="A31059" s="1" t="str">
        <f t="shared" si="1114"/>
        <v>41140</v>
      </c>
      <c r="B31059" s="1" t="str">
        <f>"66002"</f>
        <v>66002</v>
      </c>
      <c r="C31059" s="2">
        <v>1.4005357049071199E-3</v>
      </c>
      <c r="D31059" s="2">
        <v>0</v>
      </c>
      <c r="E31059" s="2">
        <v>0</v>
      </c>
      <c r="F31059" s="2">
        <v>1.2508012945793301E-3</v>
      </c>
    </row>
    <row r="31060" spans="1:6" x14ac:dyDescent="0.25">
      <c r="A31060" s="1" t="str">
        <f t="shared" si="1114"/>
        <v>41140</v>
      </c>
      <c r="B31060" s="1" t="str">
        <f>"66094"</f>
        <v>66094</v>
      </c>
      <c r="C31060" s="2">
        <v>2.1358169499833598E-3</v>
      </c>
      <c r="D31060" s="2">
        <v>4.0412204485754599E-4</v>
      </c>
      <c r="E31060" s="2">
        <v>5.2938062466913703E-4</v>
      </c>
      <c r="F31060" s="2">
        <v>1.9543770227802102E-3</v>
      </c>
    </row>
    <row r="31061" spans="1:6" x14ac:dyDescent="0.25">
      <c r="A31061" s="1" t="str">
        <f t="shared" ref="A31061:A31124" si="1115">"41180"</f>
        <v>41180</v>
      </c>
      <c r="B31061" s="1" t="str">
        <f>"62246"</f>
        <v>62246</v>
      </c>
      <c r="C31061" s="2">
        <v>2.9221304722506902E-3</v>
      </c>
      <c r="D31061" s="2">
        <v>3.4399011960909399E-3</v>
      </c>
      <c r="E31061" s="2">
        <v>1.8124415341440501E-3</v>
      </c>
      <c r="F31061" s="2">
        <v>2.9257099025173602E-3</v>
      </c>
    </row>
    <row r="31062" spans="1:6" x14ac:dyDescent="0.25">
      <c r="A31062" s="1" t="str">
        <f t="shared" si="1115"/>
        <v>41180</v>
      </c>
      <c r="B31062" s="1" t="str">
        <f>"62052"</f>
        <v>62052</v>
      </c>
      <c r="C31062" s="2">
        <v>4.2760217614147503E-3</v>
      </c>
      <c r="D31062" s="2">
        <v>4.2936598062050801E-3</v>
      </c>
      <c r="E31062" s="2">
        <v>2.7673838478328599E-3</v>
      </c>
      <c r="F31062" s="2">
        <v>4.2272491394875602E-3</v>
      </c>
    </row>
    <row r="31063" spans="1:6" x14ac:dyDescent="0.25">
      <c r="A31063" s="1" t="str">
        <f t="shared" si="1115"/>
        <v>41180</v>
      </c>
      <c r="B31063" s="1" t="str">
        <f>"62085"</f>
        <v>62085</v>
      </c>
      <c r="C31063" s="2">
        <v>5.2493361776958597E-5</v>
      </c>
      <c r="D31063" s="2">
        <v>0</v>
      </c>
      <c r="E31063" s="2">
        <v>1.94886186467103E-5</v>
      </c>
      <c r="F31063" s="2">
        <v>4.7293362020320503E-5</v>
      </c>
    </row>
    <row r="31064" spans="1:6" x14ac:dyDescent="0.25">
      <c r="A31064" s="1" t="str">
        <f t="shared" si="1115"/>
        <v>41180</v>
      </c>
      <c r="B31064" s="1" t="str">
        <f>"63044"</f>
        <v>63044</v>
      </c>
      <c r="C31064" s="2">
        <v>3.6089186221659E-3</v>
      </c>
      <c r="D31064" s="2">
        <v>1.12729292209245E-2</v>
      </c>
      <c r="E31064" s="2">
        <v>1.09720922980979E-2</v>
      </c>
      <c r="F31064" s="2">
        <v>4.4527024269268899E-3</v>
      </c>
    </row>
    <row r="31065" spans="1:6" x14ac:dyDescent="0.25">
      <c r="A31065" s="1" t="str">
        <f t="shared" si="1115"/>
        <v>41180</v>
      </c>
      <c r="B31065" s="1" t="str">
        <f>"63068"</f>
        <v>63068</v>
      </c>
      <c r="C31065" s="2">
        <v>1.7206157471336401E-3</v>
      </c>
      <c r="D31065" s="2">
        <v>1.5997612791459001E-3</v>
      </c>
      <c r="E31065" s="2">
        <v>6.8210165263486104E-4</v>
      </c>
      <c r="F31065" s="2">
        <v>1.6766468617615E-3</v>
      </c>
    </row>
    <row r="31066" spans="1:6" x14ac:dyDescent="0.25">
      <c r="A31066" s="1" t="str">
        <f t="shared" si="1115"/>
        <v>41180</v>
      </c>
      <c r="B31066" s="1" t="str">
        <f>"63089"</f>
        <v>63089</v>
      </c>
      <c r="C31066" s="2">
        <v>1.97724996026544E-3</v>
      </c>
      <c r="D31066" s="2">
        <v>9.28358877017315E-4</v>
      </c>
      <c r="E31066" s="2">
        <v>3.7028375428749602E-4</v>
      </c>
      <c r="F31066" s="2">
        <v>1.8418497016954899E-3</v>
      </c>
    </row>
    <row r="31067" spans="1:6" x14ac:dyDescent="0.25">
      <c r="A31067" s="1" t="str">
        <f t="shared" si="1115"/>
        <v>41180</v>
      </c>
      <c r="B31067" s="1" t="str">
        <f>"63107"</f>
        <v>63107</v>
      </c>
      <c r="C31067" s="2">
        <v>4.83522187923318E-3</v>
      </c>
      <c r="D31067" s="2">
        <v>3.6056795669868898E-3</v>
      </c>
      <c r="E31067" s="2">
        <v>2.0073277206111599E-3</v>
      </c>
      <c r="F31067" s="2">
        <v>4.6451151463794303E-3</v>
      </c>
    </row>
    <row r="31068" spans="1:6" x14ac:dyDescent="0.25">
      <c r="A31068" s="1" t="str">
        <f t="shared" si="1115"/>
        <v>41180</v>
      </c>
      <c r="B31068" s="1" t="str">
        <f>"63051"</f>
        <v>63051</v>
      </c>
      <c r="C31068" s="2">
        <v>4.65514048535945E-3</v>
      </c>
      <c r="D31068" s="2">
        <v>2.0224961249305801E-3</v>
      </c>
      <c r="E31068" s="2">
        <v>2.14374805113813E-4</v>
      </c>
      <c r="F31068" s="2">
        <v>4.3017523810264203E-3</v>
      </c>
    </row>
    <row r="31069" spans="1:6" x14ac:dyDescent="0.25">
      <c r="A31069" s="1" t="str">
        <f t="shared" si="1115"/>
        <v>41180</v>
      </c>
      <c r="B31069" s="1" t="str">
        <f>"63060"</f>
        <v>63060</v>
      </c>
      <c r="C31069" s="2">
        <v>7.7646430961751201E-4</v>
      </c>
      <c r="D31069" s="2">
        <v>1.57489452351151E-4</v>
      </c>
      <c r="E31069" s="2">
        <v>9.7443093233551598E-5</v>
      </c>
      <c r="F31069" s="2">
        <v>7.0551330465930305E-4</v>
      </c>
    </row>
    <row r="31070" spans="1:6" x14ac:dyDescent="0.25">
      <c r="A31070" s="1" t="str">
        <f t="shared" si="1115"/>
        <v>41180</v>
      </c>
      <c r="B31070" s="1" t="str">
        <f>"63164"</f>
        <v>63164</v>
      </c>
      <c r="C31070" s="2">
        <v>0</v>
      </c>
      <c r="D31070" s="2">
        <v>8.2889185447974602E-6</v>
      </c>
      <c r="E31070" s="2">
        <v>0</v>
      </c>
      <c r="F31070" s="2">
        <v>6.4785427425096698E-7</v>
      </c>
    </row>
    <row r="31071" spans="1:6" x14ac:dyDescent="0.25">
      <c r="A31071" s="1" t="str">
        <f t="shared" si="1115"/>
        <v>41180</v>
      </c>
      <c r="B31071" s="1" t="str">
        <f>"62672"</f>
        <v>62672</v>
      </c>
      <c r="C31071" s="2">
        <v>0</v>
      </c>
      <c r="D31071" s="2">
        <v>8.2889185447974602E-6</v>
      </c>
      <c r="E31071" s="2">
        <v>0</v>
      </c>
      <c r="F31071" s="2">
        <v>6.4785427425096698E-7</v>
      </c>
    </row>
    <row r="31072" spans="1:6" x14ac:dyDescent="0.25">
      <c r="A31072" s="1" t="str">
        <f t="shared" si="1115"/>
        <v>41180</v>
      </c>
      <c r="B31072" s="1" t="str">
        <f>"62009"</f>
        <v>62009</v>
      </c>
      <c r="C31072" s="2">
        <v>6.5033442645898696E-4</v>
      </c>
      <c r="D31072" s="2">
        <v>5.3877970541183395E-4</v>
      </c>
      <c r="E31072" s="2">
        <v>3.3130651699407501E-4</v>
      </c>
      <c r="F31072" s="2">
        <v>6.3101006312044105E-4</v>
      </c>
    </row>
    <row r="31073" spans="1:6" x14ac:dyDescent="0.25">
      <c r="A31073" s="1" t="str">
        <f t="shared" si="1115"/>
        <v>41180</v>
      </c>
      <c r="B31073" s="1" t="str">
        <f>"62019"</f>
        <v>62019</v>
      </c>
      <c r="C31073" s="2">
        <v>7.2907446912442504E-5</v>
      </c>
      <c r="D31073" s="2">
        <v>2.4866755634392299E-5</v>
      </c>
      <c r="E31073" s="2">
        <v>0</v>
      </c>
      <c r="F31073" s="2">
        <v>6.6728990247849596E-5</v>
      </c>
    </row>
    <row r="31074" spans="1:6" x14ac:dyDescent="0.25">
      <c r="A31074" s="1" t="str">
        <f t="shared" si="1115"/>
        <v>41180</v>
      </c>
      <c r="B31074" s="1" t="str">
        <f>"62081"</f>
        <v>62081</v>
      </c>
      <c r="C31074" s="2">
        <v>9.3321532047926396E-5</v>
      </c>
      <c r="D31074" s="2">
        <v>0</v>
      </c>
      <c r="E31074" s="2">
        <v>0</v>
      </c>
      <c r="F31074" s="2">
        <v>8.2925347104123706E-5</v>
      </c>
    </row>
    <row r="31075" spans="1:6" x14ac:dyDescent="0.25">
      <c r="A31075" s="1" t="str">
        <f t="shared" si="1115"/>
        <v>41180</v>
      </c>
      <c r="B31075" s="1" t="str">
        <f>"63073"</f>
        <v>63073</v>
      </c>
      <c r="C31075" s="2">
        <v>2.6975755357603698E-4</v>
      </c>
      <c r="D31075" s="2">
        <v>4.1444592723987301E-5</v>
      </c>
      <c r="E31075" s="2">
        <v>5.8465855940130903E-5</v>
      </c>
      <c r="F31075" s="2">
        <v>2.4488891566686499E-4</v>
      </c>
    </row>
    <row r="31076" spans="1:6" x14ac:dyDescent="0.25">
      <c r="A31076" s="1" t="str">
        <f t="shared" si="1115"/>
        <v>41180</v>
      </c>
      <c r="B31076" s="1" t="str">
        <f>"62206"</f>
        <v>62206</v>
      </c>
      <c r="C31076" s="2">
        <v>5.1764287307834098E-3</v>
      </c>
      <c r="D31076" s="2">
        <v>4.6417943850865697E-3</v>
      </c>
      <c r="E31076" s="2">
        <v>2.0268163392578699E-3</v>
      </c>
      <c r="F31076" s="2">
        <v>5.0299405852844998E-3</v>
      </c>
    </row>
    <row r="31077" spans="1:6" x14ac:dyDescent="0.25">
      <c r="A31077" s="1" t="str">
        <f t="shared" si="1115"/>
        <v>41180</v>
      </c>
      <c r="B31077" s="1" t="str">
        <f>"62084"</f>
        <v>62084</v>
      </c>
      <c r="C31077" s="2">
        <v>5.3003713905345703E-4</v>
      </c>
      <c r="D31077" s="2">
        <v>5.4706862395663197E-4</v>
      </c>
      <c r="E31077" s="2">
        <v>4.2874961022762703E-4</v>
      </c>
      <c r="F31077" s="2">
        <v>5.2800123351453795E-4</v>
      </c>
    </row>
    <row r="31078" spans="1:6" x14ac:dyDescent="0.25">
      <c r="A31078" s="1" t="str">
        <f t="shared" si="1115"/>
        <v>41180</v>
      </c>
      <c r="B31078" s="1" t="str">
        <f>"62036"</f>
        <v>62036</v>
      </c>
      <c r="C31078" s="2">
        <v>5.3076621352258103E-4</v>
      </c>
      <c r="D31078" s="2">
        <v>1.3262269671675901E-4</v>
      </c>
      <c r="E31078" s="2">
        <v>5.8465855940130903E-5</v>
      </c>
      <c r="F31078" s="2">
        <v>4.8394714286547198E-4</v>
      </c>
    </row>
    <row r="31079" spans="1:6" x14ac:dyDescent="0.25">
      <c r="A31079" s="1" t="str">
        <f t="shared" si="1115"/>
        <v>41180</v>
      </c>
      <c r="B31079" s="1" t="str">
        <f>"63033"</f>
        <v>63033</v>
      </c>
      <c r="C31079" s="2">
        <v>1.37744039451677E-2</v>
      </c>
      <c r="D31079" s="2">
        <v>8.6204752865893502E-3</v>
      </c>
      <c r="E31079" s="2">
        <v>1.2784533832241899E-2</v>
      </c>
      <c r="F31079" s="2">
        <v>1.33386716525531E-2</v>
      </c>
    </row>
    <row r="31080" spans="1:6" x14ac:dyDescent="0.25">
      <c r="A31080" s="1" t="str">
        <f t="shared" si="1115"/>
        <v>41180</v>
      </c>
      <c r="B31080" s="1" t="str">
        <f>"63088"</f>
        <v>63088</v>
      </c>
      <c r="C31080" s="2">
        <v>2.95493882336129E-3</v>
      </c>
      <c r="D31080" s="2">
        <v>3.2243893139262099E-3</v>
      </c>
      <c r="E31080" s="2">
        <v>6.5481758652946604E-3</v>
      </c>
      <c r="F31080" s="2">
        <v>3.0954477223711198E-3</v>
      </c>
    </row>
    <row r="31081" spans="1:6" x14ac:dyDescent="0.25">
      <c r="A31081" s="1" t="str">
        <f t="shared" si="1115"/>
        <v>41180</v>
      </c>
      <c r="B31081" s="1" t="str">
        <f>"63040"</f>
        <v>63040</v>
      </c>
      <c r="C31081" s="2">
        <v>2.7442363017843299E-3</v>
      </c>
      <c r="D31081" s="2">
        <v>3.6388352411660801E-3</v>
      </c>
      <c r="E31081" s="2">
        <v>3.2156220767072001E-3</v>
      </c>
      <c r="F31081" s="2">
        <v>2.8298274699282201E-3</v>
      </c>
    </row>
    <row r="31082" spans="1:6" x14ac:dyDescent="0.25">
      <c r="A31082" s="1" t="str">
        <f t="shared" si="1115"/>
        <v>41180</v>
      </c>
      <c r="B31082" s="1" t="str">
        <f>"63056"</f>
        <v>63056</v>
      </c>
      <c r="C31082" s="2">
        <v>7.02098713766821E-4</v>
      </c>
      <c r="D31082" s="2">
        <v>8.2889185447974602E-5</v>
      </c>
      <c r="E31082" s="2">
        <v>5.8465855940130903E-5</v>
      </c>
      <c r="F31082" s="2">
        <v>6.3230577166894304E-4</v>
      </c>
    </row>
    <row r="31083" spans="1:6" x14ac:dyDescent="0.25">
      <c r="A31083" s="1" t="str">
        <f t="shared" si="1115"/>
        <v>41180</v>
      </c>
      <c r="B31083" s="1" t="str">
        <f>"63118"</f>
        <v>63118</v>
      </c>
      <c r="C31083" s="2">
        <v>1.12656586969106E-2</v>
      </c>
      <c r="D31083" s="2">
        <v>1.08087497824158E-2</v>
      </c>
      <c r="E31083" s="2">
        <v>1.5902712815715599E-2</v>
      </c>
      <c r="F31083" s="2">
        <v>1.1384095307137901E-2</v>
      </c>
    </row>
    <row r="31084" spans="1:6" x14ac:dyDescent="0.25">
      <c r="A31084" s="1" t="str">
        <f t="shared" si="1115"/>
        <v>41180</v>
      </c>
      <c r="B31084" s="1" t="str">
        <f>"63072"</f>
        <v>63072</v>
      </c>
      <c r="C31084" s="2">
        <v>1.1307945016119801E-3</v>
      </c>
      <c r="D31084" s="2">
        <v>1.4920053380635401E-4</v>
      </c>
      <c r="E31084" s="2">
        <v>1.94886186467103E-5</v>
      </c>
      <c r="F31084" s="2">
        <v>1.0171312105740099E-3</v>
      </c>
    </row>
    <row r="31085" spans="1:6" x14ac:dyDescent="0.25">
      <c r="A31085" s="1" t="str">
        <f t="shared" si="1115"/>
        <v>41180</v>
      </c>
      <c r="B31085" s="1" t="str">
        <f>"63070"</f>
        <v>63070</v>
      </c>
      <c r="C31085" s="2">
        <v>2.58602714198433E-3</v>
      </c>
      <c r="D31085" s="2">
        <v>1.2516267002644101E-3</v>
      </c>
      <c r="E31085" s="2">
        <v>2.3776114748986499E-3</v>
      </c>
      <c r="F31085" s="2">
        <v>2.4748033276386899E-3</v>
      </c>
    </row>
    <row r="31086" spans="1:6" x14ac:dyDescent="0.25">
      <c r="A31086" s="1" t="str">
        <f t="shared" si="1115"/>
        <v>41180</v>
      </c>
      <c r="B31086" s="1" t="str">
        <f>"63101"</f>
        <v>63101</v>
      </c>
      <c r="C31086" s="2">
        <v>2.6305006846009198E-3</v>
      </c>
      <c r="D31086" s="2">
        <v>9.8140795570401899E-3</v>
      </c>
      <c r="E31086" s="2">
        <v>5.0280636108512603E-3</v>
      </c>
      <c r="F31086" s="2">
        <v>3.27166408496738E-3</v>
      </c>
    </row>
    <row r="31087" spans="1:6" x14ac:dyDescent="0.25">
      <c r="A31087" s="1" t="str">
        <f t="shared" si="1115"/>
        <v>41180</v>
      </c>
      <c r="B31087" s="1" t="str">
        <f>"63012"</f>
        <v>63012</v>
      </c>
      <c r="C31087" s="2">
        <v>3.0672162916064501E-3</v>
      </c>
      <c r="D31087" s="2">
        <v>1.17702643336123E-3</v>
      </c>
      <c r="E31087" s="2">
        <v>3.3130651699407501E-4</v>
      </c>
      <c r="F31087" s="2">
        <v>2.8285317613797201E-3</v>
      </c>
    </row>
    <row r="31088" spans="1:6" x14ac:dyDescent="0.25">
      <c r="A31088" s="1" t="str">
        <f t="shared" si="1115"/>
        <v>41180</v>
      </c>
      <c r="B31088" s="1" t="str">
        <f>"63025"</f>
        <v>63025</v>
      </c>
      <c r="C31088" s="2">
        <v>5.7305253273179802E-3</v>
      </c>
      <c r="D31088" s="2">
        <v>5.4292416468423301E-3</v>
      </c>
      <c r="E31088" s="2">
        <v>2.1632366697848398E-3</v>
      </c>
      <c r="F31088" s="2">
        <v>5.58839096968884E-3</v>
      </c>
    </row>
    <row r="31089" spans="1:6" x14ac:dyDescent="0.25">
      <c r="A31089" s="1" t="str">
        <f t="shared" si="1115"/>
        <v>41180</v>
      </c>
      <c r="B31089" s="1" t="str">
        <f>"62640"</f>
        <v>62640</v>
      </c>
      <c r="C31089" s="2">
        <v>1.32327016146083E-3</v>
      </c>
      <c r="D31089" s="2">
        <v>8.2889185447974597E-4</v>
      </c>
      <c r="E31089" s="2">
        <v>9.3545369504209499E-4</v>
      </c>
      <c r="F31089" s="2">
        <v>1.2717379403546401E-3</v>
      </c>
    </row>
    <row r="31090" spans="1:6" x14ac:dyDescent="0.25">
      <c r="A31090" s="1" t="str">
        <f t="shared" si="1115"/>
        <v>41180</v>
      </c>
      <c r="B31090" s="1" t="str">
        <f>"63139"</f>
        <v>63139</v>
      </c>
      <c r="C31090" s="2">
        <v>9.7426221309096905E-3</v>
      </c>
      <c r="D31090" s="2">
        <v>7.816450187744E-3</v>
      </c>
      <c r="E31090" s="2">
        <v>1.3583567196757001E-2</v>
      </c>
      <c r="F31090" s="2">
        <v>9.7197576765872505E-3</v>
      </c>
    </row>
    <row r="31091" spans="1:6" x14ac:dyDescent="0.25">
      <c r="A31091" s="1" t="str">
        <f t="shared" si="1115"/>
        <v>41180</v>
      </c>
      <c r="B31091" s="1" t="str">
        <f>"63146"</f>
        <v>63146</v>
      </c>
      <c r="C31091" s="2">
        <v>1.2012230953294E-2</v>
      </c>
      <c r="D31091" s="2">
        <v>1.37844715399981E-2</v>
      </c>
      <c r="E31091" s="2">
        <v>3.1142812597443E-2</v>
      </c>
      <c r="F31091" s="2">
        <v>1.2786699810891301E-2</v>
      </c>
    </row>
    <row r="31092" spans="1:6" x14ac:dyDescent="0.25">
      <c r="A31092" s="1" t="str">
        <f t="shared" si="1115"/>
        <v>41180</v>
      </c>
      <c r="B31092" s="1" t="str">
        <f>"63301"</f>
        <v>63301</v>
      </c>
      <c r="C31092" s="2">
        <v>1.7844097631820301E-2</v>
      </c>
      <c r="D31092" s="2">
        <v>1.9271735616654E-2</v>
      </c>
      <c r="E31092" s="2">
        <v>1.36420330526972E-2</v>
      </c>
      <c r="F31092" s="2">
        <v>1.7815992541901499E-2</v>
      </c>
    </row>
    <row r="31093" spans="1:6" x14ac:dyDescent="0.25">
      <c r="A31093" s="1" t="str">
        <f t="shared" si="1115"/>
        <v>41180</v>
      </c>
      <c r="B31093" s="1" t="str">
        <f>"63130"</f>
        <v>63130</v>
      </c>
      <c r="C31093" s="2">
        <v>1.0578870546995399E-2</v>
      </c>
      <c r="D31093" s="2">
        <v>7.8081612691992004E-3</v>
      </c>
      <c r="E31093" s="2">
        <v>2.2821172435297701E-2</v>
      </c>
      <c r="F31093" s="2">
        <v>1.0769281600873801E-2</v>
      </c>
    </row>
    <row r="31094" spans="1:6" x14ac:dyDescent="0.25">
      <c r="A31094" s="1" t="str">
        <f t="shared" si="1115"/>
        <v>41180</v>
      </c>
      <c r="B31094" s="1" t="str">
        <f>"63357"</f>
        <v>63357</v>
      </c>
      <c r="C31094" s="2">
        <v>1.9218403006119799E-3</v>
      </c>
      <c r="D31094" s="2">
        <v>9.28358877017315E-4</v>
      </c>
      <c r="E31094" s="2">
        <v>1.13033988150919E-3</v>
      </c>
      <c r="F31094" s="2">
        <v>1.8178790935482101E-3</v>
      </c>
    </row>
    <row r="31095" spans="1:6" x14ac:dyDescent="0.25">
      <c r="A31095" s="1" t="str">
        <f t="shared" si="1115"/>
        <v>41180</v>
      </c>
      <c r="B31095" s="1" t="str">
        <f>"63368"</f>
        <v>63368</v>
      </c>
      <c r="C31095" s="2">
        <v>1.2946175348242399E-2</v>
      </c>
      <c r="D31095" s="2">
        <v>9.6648790232338293E-3</v>
      </c>
      <c r="E31095" s="2">
        <v>1.42266916120985E-3</v>
      </c>
      <c r="F31095" s="2">
        <v>1.23066397936713E-2</v>
      </c>
    </row>
    <row r="31096" spans="1:6" x14ac:dyDescent="0.25">
      <c r="A31096" s="1" t="str">
        <f t="shared" si="1115"/>
        <v>41180</v>
      </c>
      <c r="B31096" s="1" t="str">
        <f>"62281"</f>
        <v>62281</v>
      </c>
      <c r="C31096" s="2">
        <v>8.4135193736958598E-4</v>
      </c>
      <c r="D31096" s="2">
        <v>2.07222963619936E-4</v>
      </c>
      <c r="E31096" s="2">
        <v>5.2619270346117796E-4</v>
      </c>
      <c r="F31096" s="2">
        <v>7.8131225474666597E-4</v>
      </c>
    </row>
    <row r="31097" spans="1:6" x14ac:dyDescent="0.25">
      <c r="A31097" s="1" t="str">
        <f t="shared" si="1115"/>
        <v>41180</v>
      </c>
      <c r="B31097" s="1" t="str">
        <f>"62006"</f>
        <v>62006</v>
      </c>
      <c r="C31097" s="2">
        <v>3.3974870261198201E-4</v>
      </c>
      <c r="D31097" s="2">
        <v>1.65778370895949E-5</v>
      </c>
      <c r="E31097" s="2">
        <v>1.94886186467103E-5</v>
      </c>
      <c r="F31097" s="2">
        <v>3.0384365462370299E-4</v>
      </c>
    </row>
    <row r="31098" spans="1:6" x14ac:dyDescent="0.25">
      <c r="A31098" s="1" t="str">
        <f t="shared" si="1115"/>
        <v>41180</v>
      </c>
      <c r="B31098" s="1" t="str">
        <f>"62014"</f>
        <v>62014</v>
      </c>
      <c r="C31098" s="2">
        <v>1.2707767996838701E-3</v>
      </c>
      <c r="D31098" s="2">
        <v>6.9626915776298595E-4</v>
      </c>
      <c r="E31098" s="2">
        <v>7.2107888992828102E-4</v>
      </c>
      <c r="F31098" s="2">
        <v>1.2076003672038E-3</v>
      </c>
    </row>
    <row r="31099" spans="1:6" x14ac:dyDescent="0.25">
      <c r="A31099" s="1" t="str">
        <f t="shared" si="1115"/>
        <v>41180</v>
      </c>
      <c r="B31099" s="1" t="str">
        <f>"62031"</f>
        <v>62031</v>
      </c>
      <c r="C31099" s="2">
        <v>3.5505926646359502E-4</v>
      </c>
      <c r="D31099" s="2">
        <v>1.16044859627164E-4</v>
      </c>
      <c r="E31099" s="2">
        <v>1.94886186467103E-5</v>
      </c>
      <c r="F31099" s="2">
        <v>3.2522284567398501E-4</v>
      </c>
    </row>
    <row r="31100" spans="1:6" x14ac:dyDescent="0.25">
      <c r="A31100" s="1" t="str">
        <f t="shared" si="1115"/>
        <v>41180</v>
      </c>
      <c r="B31100" s="1" t="str">
        <f>"62201"</f>
        <v>62201</v>
      </c>
      <c r="C31100" s="2">
        <v>2.11723225833733E-3</v>
      </c>
      <c r="D31100" s="2">
        <v>4.1941927836675096E-3</v>
      </c>
      <c r="E31100" s="2">
        <v>1.40318054256314E-3</v>
      </c>
      <c r="F31100" s="2">
        <v>2.2558285829418598E-3</v>
      </c>
    </row>
    <row r="31101" spans="1:6" x14ac:dyDescent="0.25">
      <c r="A31101" s="1" t="str">
        <f t="shared" si="1115"/>
        <v>41180</v>
      </c>
      <c r="B31101" s="1" t="str">
        <f>"62037"</f>
        <v>62037</v>
      </c>
      <c r="C31101" s="2">
        <v>6.9480796907557703E-4</v>
      </c>
      <c r="D31101" s="2">
        <v>7.6258050612136596E-4</v>
      </c>
      <c r="E31101" s="2">
        <v>9.7443093233551598E-5</v>
      </c>
      <c r="F31101" s="2">
        <v>6.8024698796351505E-4</v>
      </c>
    </row>
    <row r="31102" spans="1:6" x14ac:dyDescent="0.25">
      <c r="A31102" s="1" t="str">
        <f t="shared" si="1115"/>
        <v>41180</v>
      </c>
      <c r="B31102" s="1" t="str">
        <f>"62044"</f>
        <v>62044</v>
      </c>
      <c r="C31102" s="2">
        <v>1.15193766121659E-4</v>
      </c>
      <c r="D31102" s="2">
        <v>6.6311348358379601E-5</v>
      </c>
      <c r="E31102" s="2">
        <v>0</v>
      </c>
      <c r="F31102" s="2">
        <v>1.0754380952566E-4</v>
      </c>
    </row>
    <row r="31103" spans="1:6" x14ac:dyDescent="0.25">
      <c r="A31103" s="1" t="str">
        <f t="shared" si="1115"/>
        <v>41180</v>
      </c>
      <c r="B31103" s="1" t="str">
        <f>"62048"</f>
        <v>62048</v>
      </c>
      <c r="C31103" s="2">
        <v>5.0087416028847997E-4</v>
      </c>
      <c r="D31103" s="2">
        <v>5.4706862395663197E-4</v>
      </c>
      <c r="E31103" s="2">
        <v>1.7539756782039201E-4</v>
      </c>
      <c r="F31103" s="2">
        <v>4.9366495697923598E-4</v>
      </c>
    </row>
    <row r="31104" spans="1:6" x14ac:dyDescent="0.25">
      <c r="A31104" s="1" t="str">
        <f t="shared" si="1115"/>
        <v>41180</v>
      </c>
      <c r="B31104" s="1" t="str">
        <f>"62088"</f>
        <v>62088</v>
      </c>
      <c r="C31104" s="2">
        <v>2.3818862906294898E-3</v>
      </c>
      <c r="D31104" s="2">
        <v>1.81527316131064E-3</v>
      </c>
      <c r="E31104" s="2">
        <v>9.1596507639538495E-4</v>
      </c>
      <c r="F31104" s="2">
        <v>2.28886915092866E-3</v>
      </c>
    </row>
    <row r="31105" spans="1:6" x14ac:dyDescent="0.25">
      <c r="A31105" s="1" t="str">
        <f t="shared" si="1115"/>
        <v>41180</v>
      </c>
      <c r="B31105" s="1" t="str">
        <f>"62207"</f>
        <v>62207</v>
      </c>
      <c r="C31105" s="2">
        <v>3.0548220256313399E-3</v>
      </c>
      <c r="D31105" s="2">
        <v>2.2877415183640902E-3</v>
      </c>
      <c r="E31105" s="2">
        <v>1.42266916120985E-3</v>
      </c>
      <c r="F31105" s="2">
        <v>2.9406105508251301E-3</v>
      </c>
    </row>
    <row r="31106" spans="1:6" x14ac:dyDescent="0.25">
      <c r="A31106" s="1" t="str">
        <f t="shared" si="1115"/>
        <v>41180</v>
      </c>
      <c r="B31106" s="1" t="str">
        <f>"62063"</f>
        <v>62063</v>
      </c>
      <c r="C31106" s="2">
        <v>3.7620242606820298E-4</v>
      </c>
      <c r="D31106" s="2">
        <v>3.31556741791898E-5</v>
      </c>
      <c r="E31106" s="2">
        <v>1.94886186467103E-5</v>
      </c>
      <c r="F31106" s="2">
        <v>3.3753207688475299E-4</v>
      </c>
    </row>
    <row r="31107" spans="1:6" x14ac:dyDescent="0.25">
      <c r="A31107" s="1" t="str">
        <f t="shared" si="1115"/>
        <v>41180</v>
      </c>
      <c r="B31107" s="1" t="str">
        <f>"62067"</f>
        <v>62067</v>
      </c>
      <c r="C31107" s="2">
        <v>8.7270213954193697E-4</v>
      </c>
      <c r="D31107" s="2">
        <v>1.3262269671675901E-4</v>
      </c>
      <c r="E31107" s="2">
        <v>5.8465855940130903E-5</v>
      </c>
      <c r="F31107" s="2">
        <v>7.8779079748917498E-4</v>
      </c>
    </row>
    <row r="31108" spans="1:6" x14ac:dyDescent="0.25">
      <c r="A31108" s="1" t="str">
        <f t="shared" si="1115"/>
        <v>41180</v>
      </c>
      <c r="B31108" s="1" t="str">
        <f>"62074"</f>
        <v>62074</v>
      </c>
      <c r="C31108" s="2">
        <v>3.1277294725437802E-4</v>
      </c>
      <c r="D31108" s="2">
        <v>3.31556741791898E-5</v>
      </c>
      <c r="E31108" s="2">
        <v>5.8465855940130903E-5</v>
      </c>
      <c r="F31108" s="2">
        <v>2.8246446357342098E-4</v>
      </c>
    </row>
    <row r="31109" spans="1:6" x14ac:dyDescent="0.25">
      <c r="A31109" s="1" t="str">
        <f t="shared" si="1115"/>
        <v>41180</v>
      </c>
      <c r="B31109" s="1" t="str">
        <f>"62022"</f>
        <v>62022</v>
      </c>
      <c r="C31109" s="2">
        <v>3.9442928779631398E-4</v>
      </c>
      <c r="D31109" s="2">
        <v>1.16044859627164E-4</v>
      </c>
      <c r="E31109" s="2">
        <v>1.94886186467103E-5</v>
      </c>
      <c r="F31109" s="2">
        <v>3.60206976483537E-4</v>
      </c>
    </row>
    <row r="31110" spans="1:6" x14ac:dyDescent="0.25">
      <c r="A31110" s="1" t="str">
        <f t="shared" si="1115"/>
        <v>41180</v>
      </c>
      <c r="B31110" s="1" t="str">
        <f>"62053"</f>
        <v>62053</v>
      </c>
      <c r="C31110" s="2">
        <v>4.3161208572165899E-4</v>
      </c>
      <c r="D31110" s="2">
        <v>9.1178103992771995E-5</v>
      </c>
      <c r="E31110" s="2">
        <v>5.8465855940130903E-5</v>
      </c>
      <c r="F31110" s="2">
        <v>3.9259969019608598E-4</v>
      </c>
    </row>
    <row r="31111" spans="1:6" x14ac:dyDescent="0.25">
      <c r="A31111" s="1" t="str">
        <f t="shared" si="1115"/>
        <v>41180</v>
      </c>
      <c r="B31111" s="1" t="str">
        <f>"62001"</f>
        <v>62001</v>
      </c>
      <c r="C31111" s="2">
        <v>5.5118029865806504E-4</v>
      </c>
      <c r="D31111" s="2">
        <v>9.9467022537569496E-5</v>
      </c>
      <c r="E31111" s="2">
        <v>1.9488618646710301E-4</v>
      </c>
      <c r="F31111" s="2">
        <v>5.0403062536725205E-4</v>
      </c>
    </row>
    <row r="31112" spans="1:6" x14ac:dyDescent="0.25">
      <c r="A31112" s="1" t="str">
        <f t="shared" si="1115"/>
        <v>41180</v>
      </c>
      <c r="B31112" s="1" t="str">
        <f>"63050"</f>
        <v>63050</v>
      </c>
      <c r="C31112" s="2">
        <v>5.8274922317115303E-3</v>
      </c>
      <c r="D31112" s="2">
        <v>4.6003497923625897E-3</v>
      </c>
      <c r="E31112" s="2">
        <v>1.3642033052697199E-3</v>
      </c>
      <c r="F31112" s="2">
        <v>5.5832081354948299E-3</v>
      </c>
    </row>
    <row r="31113" spans="1:6" x14ac:dyDescent="0.25">
      <c r="A31113" s="1" t="str">
        <f t="shared" si="1115"/>
        <v>41180</v>
      </c>
      <c r="B31113" s="1" t="str">
        <f>"63052"</f>
        <v>63052</v>
      </c>
      <c r="C31113" s="2">
        <v>9.1112436406479407E-3</v>
      </c>
      <c r="D31113" s="2">
        <v>4.8904619414305E-3</v>
      </c>
      <c r="E31113" s="2">
        <v>2.7478952291861499E-3</v>
      </c>
      <c r="F31113" s="2">
        <v>8.5698163397917894E-3</v>
      </c>
    </row>
    <row r="31114" spans="1:6" x14ac:dyDescent="0.25">
      <c r="A31114" s="1" t="str">
        <f t="shared" si="1115"/>
        <v>41180</v>
      </c>
      <c r="B31114" s="1" t="str">
        <f>"63103"</f>
        <v>63103</v>
      </c>
      <c r="C31114" s="2">
        <v>4.5486956128672797E-3</v>
      </c>
      <c r="D31114" s="2">
        <v>1.59727460358247E-2</v>
      </c>
      <c r="E31114" s="2">
        <v>4.9111318989710001E-3</v>
      </c>
      <c r="F31114" s="2">
        <v>5.4536372806446402E-3</v>
      </c>
    </row>
    <row r="31115" spans="1:6" x14ac:dyDescent="0.25">
      <c r="A31115" s="1" t="str">
        <f t="shared" si="1115"/>
        <v>41180</v>
      </c>
      <c r="B31115" s="1" t="str">
        <f>"63109"</f>
        <v>63109</v>
      </c>
      <c r="C31115" s="2">
        <v>1.10352711646673E-2</v>
      </c>
      <c r="D31115" s="2">
        <v>7.2445148081529799E-3</v>
      </c>
      <c r="E31115" s="2">
        <v>2.2665263486124101E-2</v>
      </c>
      <c r="F31115" s="2">
        <v>1.11256014517118E-2</v>
      </c>
    </row>
    <row r="31116" spans="1:6" x14ac:dyDescent="0.25">
      <c r="A31116" s="1" t="str">
        <f t="shared" si="1115"/>
        <v>41180</v>
      </c>
      <c r="B31116" s="1" t="str">
        <f>"63038"</f>
        <v>63038</v>
      </c>
      <c r="C31116" s="2">
        <v>1.90944603463686E-3</v>
      </c>
      <c r="D31116" s="2">
        <v>3.1497890470230297E-4</v>
      </c>
      <c r="E31116" s="2">
        <v>8.7698783910196399E-4</v>
      </c>
      <c r="F31116" s="2">
        <v>1.75050224902611E-3</v>
      </c>
    </row>
    <row r="31117" spans="1:6" x14ac:dyDescent="0.25">
      <c r="A31117" s="1" t="str">
        <f t="shared" si="1115"/>
        <v>41180</v>
      </c>
      <c r="B31117" s="1" t="str">
        <f>"63069"</f>
        <v>63069</v>
      </c>
      <c r="C31117" s="2">
        <v>5.1421622307345699E-3</v>
      </c>
      <c r="D31117" s="2">
        <v>5.3795081355735496E-3</v>
      </c>
      <c r="E31117" s="2">
        <v>3.3325537885874599E-3</v>
      </c>
      <c r="F31117" s="2">
        <v>5.1005567011778597E-3</v>
      </c>
    </row>
    <row r="31118" spans="1:6" x14ac:dyDescent="0.25">
      <c r="A31118" s="1" t="str">
        <f t="shared" si="1115"/>
        <v>41180</v>
      </c>
      <c r="B31118" s="1" t="str">
        <f>"62674"</f>
        <v>62674</v>
      </c>
      <c r="C31118" s="2">
        <v>5.2055917095483902E-4</v>
      </c>
      <c r="D31118" s="2">
        <v>1.90645126530341E-4</v>
      </c>
      <c r="E31118" s="2">
        <v>6.4312441534143997E-4</v>
      </c>
      <c r="F31118" s="2">
        <v>4.9884779117324396E-4</v>
      </c>
    </row>
    <row r="31119" spans="1:6" x14ac:dyDescent="0.25">
      <c r="A31119" s="1" t="str">
        <f t="shared" si="1115"/>
        <v>41180</v>
      </c>
      <c r="B31119" s="1" t="str">
        <f>"63005"</f>
        <v>63005</v>
      </c>
      <c r="C31119" s="2">
        <v>5.1450785286110603E-3</v>
      </c>
      <c r="D31119" s="2">
        <v>1.4339829082499599E-2</v>
      </c>
      <c r="E31119" s="2">
        <v>3.4884627377611398E-3</v>
      </c>
      <c r="F31119" s="2">
        <v>5.80866142293417E-3</v>
      </c>
    </row>
    <row r="31120" spans="1:6" x14ac:dyDescent="0.25">
      <c r="A31120" s="1" t="str">
        <f t="shared" si="1115"/>
        <v>41180</v>
      </c>
      <c r="B31120" s="1" t="str">
        <f>"63031"</f>
        <v>63031</v>
      </c>
      <c r="C31120" s="2">
        <v>1.46573131272774E-2</v>
      </c>
      <c r="D31120" s="2">
        <v>8.3800966487902299E-3</v>
      </c>
      <c r="E31120" s="2">
        <v>8.08777673838478E-3</v>
      </c>
      <c r="F31120" s="2">
        <v>1.3948302524623301E-2</v>
      </c>
    </row>
    <row r="31121" spans="1:6" x14ac:dyDescent="0.25">
      <c r="A31121" s="1" t="str">
        <f t="shared" si="1115"/>
        <v>41180</v>
      </c>
      <c r="B31121" s="1" t="str">
        <f>"63129"</f>
        <v>63129</v>
      </c>
      <c r="C31121" s="2">
        <v>1.68795321091686E-2</v>
      </c>
      <c r="D31121" s="2">
        <v>9.3333222814419407E-3</v>
      </c>
      <c r="E31121" s="2">
        <v>2.2977081384471399E-2</v>
      </c>
      <c r="F31121" s="2">
        <v>1.6492426259606799E-2</v>
      </c>
    </row>
    <row r="31122" spans="1:6" x14ac:dyDescent="0.25">
      <c r="A31122" s="1" t="str">
        <f t="shared" si="1115"/>
        <v>41180</v>
      </c>
      <c r="B31122" s="1" t="str">
        <f>"63131"</f>
        <v>63131</v>
      </c>
      <c r="C31122" s="2">
        <v>5.1902811456967799E-3</v>
      </c>
      <c r="D31122" s="2">
        <v>1.39253831552597E-2</v>
      </c>
      <c r="E31122" s="2">
        <v>1.94886186467103E-3</v>
      </c>
      <c r="F31122" s="2">
        <v>5.7652551865593499E-3</v>
      </c>
    </row>
    <row r="31123" spans="1:6" x14ac:dyDescent="0.25">
      <c r="A31123" s="1" t="str">
        <f t="shared" si="1115"/>
        <v>41180</v>
      </c>
      <c r="B31123" s="1" t="str">
        <f>"63303"</f>
        <v>63303</v>
      </c>
      <c r="C31123" s="2">
        <v>1.53732642559576E-2</v>
      </c>
      <c r="D31123" s="2">
        <v>1.01953698101008E-2</v>
      </c>
      <c r="E31123" s="2">
        <v>6.0804490177736202E-3</v>
      </c>
      <c r="F31123" s="2">
        <v>1.4659646517750801E-2</v>
      </c>
    </row>
    <row r="31124" spans="1:6" x14ac:dyDescent="0.25">
      <c r="A31124" s="1" t="str">
        <f t="shared" si="1115"/>
        <v>41180</v>
      </c>
      <c r="B31124" s="1" t="str">
        <f>"63125"</f>
        <v>63125</v>
      </c>
      <c r="C31124" s="2">
        <v>1.1450114537599001E-2</v>
      </c>
      <c r="D31124" s="2">
        <v>9.3581890370763293E-3</v>
      </c>
      <c r="E31124" s="2">
        <v>1.8221858434674099E-2</v>
      </c>
      <c r="F31124" s="2">
        <v>1.15117225991654E-2</v>
      </c>
    </row>
    <row r="31125" spans="1:6" x14ac:dyDescent="0.25">
      <c r="A31125" s="1" t="str">
        <f t="shared" ref="A31125:A31188" si="1116">"41180"</f>
        <v>41180</v>
      </c>
      <c r="B31125" s="1" t="str">
        <f>"63126"</f>
        <v>63126</v>
      </c>
      <c r="C31125" s="2">
        <v>5.1829904010055302E-3</v>
      </c>
      <c r="D31125" s="2">
        <v>7.9324950473711603E-3</v>
      </c>
      <c r="E31125" s="2">
        <v>4.0536326785157398E-3</v>
      </c>
      <c r="F31125" s="2">
        <v>5.3603462651525E-3</v>
      </c>
    </row>
    <row r="31126" spans="1:6" x14ac:dyDescent="0.25">
      <c r="A31126" s="1" t="str">
        <f t="shared" si="1116"/>
        <v>41180</v>
      </c>
      <c r="B31126" s="1" t="str">
        <f>"63140"</f>
        <v>63140</v>
      </c>
      <c r="C31126" s="2">
        <v>1.7862324493548399E-4</v>
      </c>
      <c r="D31126" s="2">
        <v>3.8129025306068298E-4</v>
      </c>
      <c r="E31126" s="2">
        <v>5.2619270346117796E-4</v>
      </c>
      <c r="F31126" s="2">
        <v>2.0601765921180701E-4</v>
      </c>
    </row>
    <row r="31127" spans="1:6" x14ac:dyDescent="0.25">
      <c r="A31127" s="1" t="str">
        <f t="shared" si="1116"/>
        <v>41180</v>
      </c>
      <c r="B31127" s="1" t="str">
        <f>"63349"</f>
        <v>63349</v>
      </c>
      <c r="C31127" s="2">
        <v>7.5021762872903299E-4</v>
      </c>
      <c r="D31127" s="2">
        <v>2.4866755634392302E-4</v>
      </c>
      <c r="E31127" s="2">
        <v>1.7539756782039201E-4</v>
      </c>
      <c r="F31127" s="2">
        <v>6.9190836490003204E-4</v>
      </c>
    </row>
    <row r="31128" spans="1:6" x14ac:dyDescent="0.25">
      <c r="A31128" s="1" t="str">
        <f t="shared" si="1116"/>
        <v>41180</v>
      </c>
      <c r="B31128" s="1" t="str">
        <f>"63367"</f>
        <v>63367</v>
      </c>
      <c r="C31128" s="2">
        <v>8.9945917255880303E-3</v>
      </c>
      <c r="D31128" s="2">
        <v>5.3380635428495601E-3</v>
      </c>
      <c r="E31128" s="2">
        <v>1.9098846273776101E-3</v>
      </c>
      <c r="F31128" s="2">
        <v>8.4732860529283908E-3</v>
      </c>
    </row>
    <row r="31129" spans="1:6" x14ac:dyDescent="0.25">
      <c r="A31129" s="1" t="str">
        <f t="shared" si="1116"/>
        <v>41180</v>
      </c>
      <c r="B31129" s="1" t="str">
        <f>"63150"</f>
        <v>63150</v>
      </c>
      <c r="C31129" s="2">
        <v>0</v>
      </c>
      <c r="D31129" s="2">
        <v>8.2889185447974602E-6</v>
      </c>
      <c r="E31129" s="2">
        <v>0</v>
      </c>
      <c r="F31129" s="2">
        <v>6.4785427425096698E-7</v>
      </c>
    </row>
    <row r="31130" spans="1:6" x14ac:dyDescent="0.25">
      <c r="A31130" s="1" t="str">
        <f t="shared" si="1116"/>
        <v>41180</v>
      </c>
      <c r="B31130" s="1" t="str">
        <f>"62355"</f>
        <v>62355</v>
      </c>
      <c r="C31130" s="2">
        <v>1.4581489382488499E-6</v>
      </c>
      <c r="D31130" s="2">
        <v>0</v>
      </c>
      <c r="E31130" s="2">
        <v>0</v>
      </c>
      <c r="F31130" s="2">
        <v>1.2957085485019299E-6</v>
      </c>
    </row>
    <row r="31131" spans="1:6" x14ac:dyDescent="0.25">
      <c r="A31131" s="1" t="str">
        <f t="shared" si="1116"/>
        <v>41180</v>
      </c>
      <c r="B31131" s="1" t="str">
        <f>"63061"</f>
        <v>63061</v>
      </c>
      <c r="C31131" s="2">
        <v>7.6552819258064595E-5</v>
      </c>
      <c r="D31131" s="2">
        <v>1.65778370895949E-5</v>
      </c>
      <c r="E31131" s="2">
        <v>1.94886186467103E-5</v>
      </c>
      <c r="F31131" s="2">
        <v>6.9968261619104396E-5</v>
      </c>
    </row>
    <row r="31132" spans="1:6" x14ac:dyDescent="0.25">
      <c r="A31132" s="1" t="str">
        <f t="shared" si="1116"/>
        <v>41180</v>
      </c>
      <c r="B31132" s="1" t="str">
        <f>"63387"</f>
        <v>63387</v>
      </c>
      <c r="C31132" s="2">
        <v>1.4581489382488499E-6</v>
      </c>
      <c r="D31132" s="2">
        <v>0</v>
      </c>
      <c r="E31132" s="2">
        <v>1.94886186467103E-5</v>
      </c>
      <c r="F31132" s="2">
        <v>1.9435628227529E-6</v>
      </c>
    </row>
    <row r="31133" spans="1:6" x14ac:dyDescent="0.25">
      <c r="A31133" s="1" t="str">
        <f t="shared" si="1116"/>
        <v>41180</v>
      </c>
      <c r="B31133" s="1" t="str">
        <f>"63079"</f>
        <v>63079</v>
      </c>
      <c r="C31133" s="2">
        <v>0</v>
      </c>
      <c r="D31133" s="2">
        <v>0</v>
      </c>
      <c r="E31133" s="2">
        <v>1.94886186467103E-5</v>
      </c>
      <c r="F31133" s="2">
        <v>6.4785427425096698E-7</v>
      </c>
    </row>
    <row r="31134" spans="1:6" x14ac:dyDescent="0.25">
      <c r="A31134" s="1" t="str">
        <f t="shared" si="1116"/>
        <v>41180</v>
      </c>
      <c r="B31134" s="1" t="str">
        <f>"62284"</f>
        <v>62284</v>
      </c>
      <c r="C31134" s="2">
        <v>2.06328074762212E-4</v>
      </c>
      <c r="D31134" s="2">
        <v>9.9467022537569496E-5</v>
      </c>
      <c r="E31134" s="2">
        <v>5.8465855940130903E-5</v>
      </c>
      <c r="F31134" s="2">
        <v>1.93060573726788E-4</v>
      </c>
    </row>
    <row r="31135" spans="1:6" x14ac:dyDescent="0.25">
      <c r="A31135" s="1" t="str">
        <f t="shared" si="1116"/>
        <v>41180</v>
      </c>
      <c r="B31135" s="1" t="str">
        <f>"62572"</f>
        <v>62572</v>
      </c>
      <c r="C31135" s="2">
        <v>8.8947085233179795E-5</v>
      </c>
      <c r="D31135" s="2">
        <v>3.31556741791898E-5</v>
      </c>
      <c r="E31135" s="2">
        <v>0</v>
      </c>
      <c r="F31135" s="2">
        <v>8.1629638555621805E-5</v>
      </c>
    </row>
    <row r="31136" spans="1:6" x14ac:dyDescent="0.25">
      <c r="A31136" s="1" t="str">
        <f t="shared" si="1116"/>
        <v>41180</v>
      </c>
      <c r="B31136" s="1" t="str">
        <f>"65041"</f>
        <v>65041</v>
      </c>
      <c r="C31136" s="2">
        <v>4.5931691554838701E-5</v>
      </c>
      <c r="D31136" s="2">
        <v>2.4866755634392299E-5</v>
      </c>
      <c r="E31136" s="2">
        <v>1.94886186467103E-5</v>
      </c>
      <c r="F31136" s="2">
        <v>4.3406236374814698E-5</v>
      </c>
    </row>
    <row r="31137" spans="1:6" x14ac:dyDescent="0.25">
      <c r="A31137" s="1" t="str">
        <f t="shared" si="1116"/>
        <v>41180</v>
      </c>
      <c r="B31137" s="1" t="str">
        <f>"62070"</f>
        <v>62070</v>
      </c>
      <c r="C31137" s="2">
        <v>2.5517606419354798E-5</v>
      </c>
      <c r="D31137" s="2">
        <v>0</v>
      </c>
      <c r="E31137" s="2">
        <v>0</v>
      </c>
      <c r="F31137" s="2">
        <v>2.2674899598783799E-5</v>
      </c>
    </row>
    <row r="31138" spans="1:6" x14ac:dyDescent="0.25">
      <c r="A31138" s="1" t="str">
        <f t="shared" si="1116"/>
        <v>41180</v>
      </c>
      <c r="B31138" s="1" t="str">
        <f>"63045"</f>
        <v>63045</v>
      </c>
      <c r="C31138" s="2">
        <v>0</v>
      </c>
      <c r="D31138" s="2">
        <v>3.8957917160548001E-3</v>
      </c>
      <c r="E31138" s="2">
        <v>6.0414717804801901E-4</v>
      </c>
      <c r="F31138" s="2">
        <v>3.2457499139973401E-4</v>
      </c>
    </row>
    <row r="31139" spans="1:6" x14ac:dyDescent="0.25">
      <c r="A31139" s="1" t="str">
        <f t="shared" si="1116"/>
        <v>41180</v>
      </c>
      <c r="B31139" s="1" t="str">
        <f>"62690"</f>
        <v>62690</v>
      </c>
      <c r="C31139" s="2">
        <v>1.3436842465963099E-3</v>
      </c>
      <c r="D31139" s="2">
        <v>1.5002942566083399E-3</v>
      </c>
      <c r="E31139" s="2">
        <v>1.0523854069223501E-3</v>
      </c>
      <c r="F31139" s="2">
        <v>1.3462411818935E-3</v>
      </c>
    </row>
    <row r="31140" spans="1:6" x14ac:dyDescent="0.25">
      <c r="A31140" s="1" t="str">
        <f t="shared" si="1116"/>
        <v>41180</v>
      </c>
      <c r="B31140" s="1" t="str">
        <f>"63020"</f>
        <v>63020</v>
      </c>
      <c r="C31140" s="2">
        <v>6.7147758606359497E-3</v>
      </c>
      <c r="D31140" s="2">
        <v>3.6885687524348598E-3</v>
      </c>
      <c r="E31140" s="2">
        <v>2.0852821951980001E-3</v>
      </c>
      <c r="F31140" s="2">
        <v>6.3243534252379399E-3</v>
      </c>
    </row>
    <row r="31141" spans="1:6" x14ac:dyDescent="0.25">
      <c r="A31141" s="1" t="str">
        <f t="shared" si="1116"/>
        <v>41180</v>
      </c>
      <c r="B31141" s="1" t="str">
        <f>"63026"</f>
        <v>63026</v>
      </c>
      <c r="C31141" s="2">
        <v>1.4676269063474599E-2</v>
      </c>
      <c r="D31141" s="2">
        <v>1.6992283016834701E-2</v>
      </c>
      <c r="E31141" s="2">
        <v>1.0153570314936E-2</v>
      </c>
      <c r="F31141" s="2">
        <v>1.4706939879771201E-2</v>
      </c>
    </row>
    <row r="31142" spans="1:6" x14ac:dyDescent="0.25">
      <c r="A31142" s="1" t="str">
        <f t="shared" si="1116"/>
        <v>41180</v>
      </c>
      <c r="B31142" s="1" t="str">
        <f>"63013"</f>
        <v>63013</v>
      </c>
      <c r="C31142" s="2">
        <v>5.5847104334930901E-4</v>
      </c>
      <c r="D31142" s="2">
        <v>1.9893404507513899E-4</v>
      </c>
      <c r="E31142" s="2">
        <v>1.94886186467103E-5</v>
      </c>
      <c r="F31142" s="2">
        <v>5.12452730932514E-4</v>
      </c>
    </row>
    <row r="31143" spans="1:6" x14ac:dyDescent="0.25">
      <c r="A31143" s="1" t="str">
        <f t="shared" si="1116"/>
        <v>41180</v>
      </c>
      <c r="B31143" s="1" t="str">
        <f>"63032"</f>
        <v>63032</v>
      </c>
      <c r="C31143" s="2">
        <v>7.55321150012904E-4</v>
      </c>
      <c r="D31143" s="2">
        <v>3.4316122775461398E-3</v>
      </c>
      <c r="E31143" s="2">
        <v>3.89772372934206E-5</v>
      </c>
      <c r="F31143" s="2">
        <v>9.40684406212404E-4</v>
      </c>
    </row>
    <row r="31144" spans="1:6" x14ac:dyDescent="0.25">
      <c r="A31144" s="1" t="str">
        <f t="shared" si="1116"/>
        <v>41180</v>
      </c>
      <c r="B31144" s="1" t="str">
        <f>"63376"</f>
        <v>63376</v>
      </c>
      <c r="C31144" s="2">
        <v>2.3429537139782498E-2</v>
      </c>
      <c r="D31144" s="2">
        <v>2.5148578864915401E-2</v>
      </c>
      <c r="E31144" s="2">
        <v>1.23947614593077E-2</v>
      </c>
      <c r="F31144" s="2">
        <v>2.3197070143830101E-2</v>
      </c>
    </row>
    <row r="31145" spans="1:6" x14ac:dyDescent="0.25">
      <c r="A31145" s="1" t="str">
        <f t="shared" si="1116"/>
        <v>41180</v>
      </c>
      <c r="B31145" s="1" t="str">
        <f>"63390"</f>
        <v>63390</v>
      </c>
      <c r="C31145" s="2">
        <v>4.4852661340534601E-3</v>
      </c>
      <c r="D31145" s="2">
        <v>2.3374750296328798E-3</v>
      </c>
      <c r="E31145" s="2">
        <v>1.0718740255690599E-3</v>
      </c>
      <c r="F31145" s="2">
        <v>4.2039263856145197E-3</v>
      </c>
    </row>
    <row r="31146" spans="1:6" x14ac:dyDescent="0.25">
      <c r="A31146" s="1" t="str">
        <f t="shared" si="1116"/>
        <v>41180</v>
      </c>
      <c r="B31146" s="1" t="str">
        <f>"63136"</f>
        <v>63136</v>
      </c>
      <c r="C31146" s="2">
        <v>1.6648415502456201E-2</v>
      </c>
      <c r="D31146" s="2">
        <v>1.0419170610810401E-2</v>
      </c>
      <c r="E31146" s="2">
        <v>1.7890551917679999E-2</v>
      </c>
      <c r="F31146" s="2">
        <v>1.62028353990166E-2</v>
      </c>
    </row>
    <row r="31147" spans="1:6" x14ac:dyDescent="0.25">
      <c r="A31147" s="1" t="str">
        <f t="shared" si="1116"/>
        <v>41180</v>
      </c>
      <c r="B31147" s="1" t="str">
        <f>"63144"</f>
        <v>63144</v>
      </c>
      <c r="C31147" s="2">
        <v>3.8932576651244302E-3</v>
      </c>
      <c r="D31147" s="2">
        <v>9.4493671410690993E-3</v>
      </c>
      <c r="E31147" s="2">
        <v>1.4421577798565601E-3</v>
      </c>
      <c r="F31147" s="2">
        <v>4.2460369134408298E-3</v>
      </c>
    </row>
    <row r="31148" spans="1:6" x14ac:dyDescent="0.25">
      <c r="A31148" s="1" t="str">
        <f t="shared" si="1116"/>
        <v>41180</v>
      </c>
      <c r="B31148" s="1" t="str">
        <f>"63143"</f>
        <v>63143</v>
      </c>
      <c r="C31148" s="2">
        <v>4.1914491229963196E-3</v>
      </c>
      <c r="D31148" s="2">
        <v>5.9182878409853798E-3</v>
      </c>
      <c r="E31148" s="2">
        <v>9.7053320860617295E-3</v>
      </c>
      <c r="F31148" s="2">
        <v>4.5097136030609799E-3</v>
      </c>
    </row>
    <row r="31149" spans="1:6" x14ac:dyDescent="0.25">
      <c r="A31149" s="1" t="str">
        <f t="shared" si="1116"/>
        <v>41180</v>
      </c>
      <c r="B31149" s="1" t="str">
        <f>"63151"</f>
        <v>63151</v>
      </c>
      <c r="C31149" s="2">
        <v>6.8751722438433296E-4</v>
      </c>
      <c r="D31149" s="2">
        <v>1.6494947904146899E-3</v>
      </c>
      <c r="E31149" s="2">
        <v>3.89772372934206E-5</v>
      </c>
      <c r="F31149" s="2">
        <v>7.4114528974310605E-4</v>
      </c>
    </row>
    <row r="31150" spans="1:6" x14ac:dyDescent="0.25">
      <c r="A31150" s="1" t="str">
        <f t="shared" si="1116"/>
        <v>41180</v>
      </c>
      <c r="B31150" s="1" t="str">
        <f>"63366"</f>
        <v>63366</v>
      </c>
      <c r="C31150" s="2">
        <v>1.6859118024033198E-2</v>
      </c>
      <c r="D31150" s="2">
        <v>1.5798678746383899E-2</v>
      </c>
      <c r="E31150" s="2">
        <v>2.7673838478328599E-3</v>
      </c>
      <c r="F31150" s="2">
        <v>1.6307787791445299E-2</v>
      </c>
    </row>
    <row r="31151" spans="1:6" x14ac:dyDescent="0.25">
      <c r="A31151" s="1" t="str">
        <f t="shared" si="1116"/>
        <v>41180</v>
      </c>
      <c r="B31151" s="1" t="str">
        <f>"62240"</f>
        <v>62240</v>
      </c>
      <c r="C31151" s="2">
        <v>6.2408774557050795E-4</v>
      </c>
      <c r="D31151" s="2">
        <v>2.3208971925432799E-4</v>
      </c>
      <c r="E31151" s="2">
        <v>1.36420330526972E-4</v>
      </c>
      <c r="F31151" s="2">
        <v>5.7723815835761098E-4</v>
      </c>
    </row>
    <row r="31152" spans="1:6" x14ac:dyDescent="0.25">
      <c r="A31152" s="1" t="str">
        <f t="shared" si="1116"/>
        <v>41180</v>
      </c>
      <c r="B31152" s="1" t="str">
        <f>"62257"</f>
        <v>62257</v>
      </c>
      <c r="C31152" s="2">
        <v>1.01268443761382E-3</v>
      </c>
      <c r="D31152" s="2">
        <v>9.7809238828609995E-4</v>
      </c>
      <c r="E31152" s="2">
        <v>7.6005612722170198E-4</v>
      </c>
      <c r="F31152" s="2">
        <v>1.0015827079919899E-3</v>
      </c>
    </row>
    <row r="31153" spans="1:6" x14ac:dyDescent="0.25">
      <c r="A31153" s="1" t="str">
        <f t="shared" si="1116"/>
        <v>41180</v>
      </c>
      <c r="B31153" s="1" t="str">
        <f>"62232"</f>
        <v>62232</v>
      </c>
      <c r="C31153" s="2">
        <v>2.8178728231658999E-3</v>
      </c>
      <c r="D31153" s="2">
        <v>1.6743615460490799E-3</v>
      </c>
      <c r="E31153" s="2">
        <v>6.8210165263486104E-4</v>
      </c>
      <c r="F31153" s="2">
        <v>2.6574982329774601E-3</v>
      </c>
    </row>
    <row r="31154" spans="1:6" x14ac:dyDescent="0.25">
      <c r="A31154" s="1" t="str">
        <f t="shared" si="1116"/>
        <v>41180</v>
      </c>
      <c r="B31154" s="1" t="str">
        <f>"63381"</f>
        <v>63381</v>
      </c>
      <c r="C31154" s="2">
        <v>1.69874351305991E-4</v>
      </c>
      <c r="D31154" s="2">
        <v>4.1444592723987301E-5</v>
      </c>
      <c r="E31154" s="2">
        <v>1.94886186467103E-5</v>
      </c>
      <c r="F31154" s="2">
        <v>1.5483717154598099E-4</v>
      </c>
    </row>
    <row r="31155" spans="1:6" x14ac:dyDescent="0.25">
      <c r="A31155" s="1" t="str">
        <f t="shared" si="1116"/>
        <v>41180</v>
      </c>
      <c r="B31155" s="1" t="str">
        <f>"63627"</f>
        <v>63627</v>
      </c>
      <c r="C31155" s="2">
        <v>8.8947085233179795E-5</v>
      </c>
      <c r="D31155" s="2">
        <v>0</v>
      </c>
      <c r="E31155" s="2">
        <v>1.94886186467103E-5</v>
      </c>
      <c r="F31155" s="2">
        <v>7.9686075732868906E-5</v>
      </c>
    </row>
    <row r="31156" spans="1:6" x14ac:dyDescent="0.25">
      <c r="A31156" s="1" t="str">
        <f t="shared" si="1116"/>
        <v>41180</v>
      </c>
      <c r="B31156" s="1" t="str">
        <f>"63365"</f>
        <v>63365</v>
      </c>
      <c r="C31156" s="2">
        <v>2.9162978764976999E-6</v>
      </c>
      <c r="D31156" s="2">
        <v>0</v>
      </c>
      <c r="E31156" s="2">
        <v>1.94886186467103E-5</v>
      </c>
      <c r="F31156" s="2">
        <v>3.2392713712548299E-6</v>
      </c>
    </row>
    <row r="31157" spans="1:6" x14ac:dyDescent="0.25">
      <c r="A31157" s="1" t="str">
        <f t="shared" si="1116"/>
        <v>41180</v>
      </c>
      <c r="B31157" s="1" t="str">
        <f>"63334"</f>
        <v>63334</v>
      </c>
      <c r="C31157" s="2">
        <v>2.47885319502304E-5</v>
      </c>
      <c r="D31157" s="2">
        <v>0</v>
      </c>
      <c r="E31157" s="2">
        <v>0</v>
      </c>
      <c r="F31157" s="2">
        <v>2.2027045324532801E-5</v>
      </c>
    </row>
    <row r="31158" spans="1:6" x14ac:dyDescent="0.25">
      <c r="A31158" s="1" t="str">
        <f t="shared" si="1116"/>
        <v>41180</v>
      </c>
      <c r="B31158" s="1" t="str">
        <f>"63122"</f>
        <v>63122</v>
      </c>
      <c r="C31158" s="2">
        <v>1.3885223264474601E-2</v>
      </c>
      <c r="D31158" s="2">
        <v>1.44227182679475E-2</v>
      </c>
      <c r="E31158" s="2">
        <v>1.48113501714998E-2</v>
      </c>
      <c r="F31158" s="2">
        <v>1.3958020338737E-2</v>
      </c>
    </row>
    <row r="31159" spans="1:6" x14ac:dyDescent="0.25">
      <c r="A31159" s="1" t="str">
        <f t="shared" si="1116"/>
        <v>41180</v>
      </c>
      <c r="B31159" s="1" t="str">
        <f>"63116"</f>
        <v>63116</v>
      </c>
      <c r="C31159" s="2">
        <v>1.6296272533869099E-2</v>
      </c>
      <c r="D31159" s="2">
        <v>8.2308961149838693E-3</v>
      </c>
      <c r="E31159" s="2">
        <v>2.13790146554412E-2</v>
      </c>
      <c r="F31159" s="2">
        <v>1.5834854171242099E-2</v>
      </c>
    </row>
    <row r="31160" spans="1:6" x14ac:dyDescent="0.25">
      <c r="A31160" s="1" t="str">
        <f t="shared" si="1116"/>
        <v>41180</v>
      </c>
      <c r="B31160" s="1" t="str">
        <f>"63011"</f>
        <v>63011</v>
      </c>
      <c r="C31160" s="2">
        <v>1.14019956226368E-2</v>
      </c>
      <c r="D31160" s="2">
        <v>1.5881567931831899E-2</v>
      </c>
      <c r="E31160" s="2">
        <v>9.0232304334268692E-3</v>
      </c>
      <c r="F31160" s="2">
        <v>1.16730383134539E-2</v>
      </c>
    </row>
    <row r="31161" spans="1:6" x14ac:dyDescent="0.25">
      <c r="A31161" s="1" t="str">
        <f t="shared" si="1116"/>
        <v>41180</v>
      </c>
      <c r="B31161" s="1" t="str">
        <f>"63017"</f>
        <v>63017</v>
      </c>
      <c r="C31161" s="2">
        <v>1.3428093572333599E-2</v>
      </c>
      <c r="D31161" s="2">
        <v>1.97773596478867E-2</v>
      </c>
      <c r="E31161" s="2">
        <v>1.53570314936077E-2</v>
      </c>
      <c r="F31161" s="2">
        <v>1.3988469489626801E-2</v>
      </c>
    </row>
    <row r="31162" spans="1:6" x14ac:dyDescent="0.25">
      <c r="A31162" s="1" t="str">
        <f t="shared" si="1116"/>
        <v>41180</v>
      </c>
      <c r="B31162" s="1" t="str">
        <f>"63385"</f>
        <v>63385</v>
      </c>
      <c r="C31162" s="2">
        <v>1.44816061802184E-2</v>
      </c>
      <c r="D31162" s="2">
        <v>1.2930712929884E-2</v>
      </c>
      <c r="E31162" s="2">
        <v>5.9245400685999303E-3</v>
      </c>
      <c r="F31162" s="2">
        <v>1.4075929816650699E-2</v>
      </c>
    </row>
    <row r="31163" spans="1:6" x14ac:dyDescent="0.25">
      <c r="A31163" s="1" t="str">
        <f t="shared" si="1116"/>
        <v>41180</v>
      </c>
      <c r="B31163" s="1" t="str">
        <f>"63383"</f>
        <v>63383</v>
      </c>
      <c r="C31163" s="2">
        <v>5.6999041996147496E-3</v>
      </c>
      <c r="D31163" s="2">
        <v>5.7773762257238197E-3</v>
      </c>
      <c r="E31163" s="2">
        <v>2.6699407545993101E-3</v>
      </c>
      <c r="F31163" s="2">
        <v>5.6052351808193604E-3</v>
      </c>
    </row>
    <row r="31164" spans="1:6" x14ac:dyDescent="0.25">
      <c r="A31164" s="1" t="str">
        <f t="shared" si="1116"/>
        <v>41180</v>
      </c>
      <c r="B31164" s="1" t="str">
        <f>"63389"</f>
        <v>63389</v>
      </c>
      <c r="C31164" s="2">
        <v>2.4037585247032298E-3</v>
      </c>
      <c r="D31164" s="2">
        <v>1.0609815737340699E-3</v>
      </c>
      <c r="E31164" s="2">
        <v>8.3801060180854303E-4</v>
      </c>
      <c r="F31164" s="2">
        <v>2.2467586231023498E-3</v>
      </c>
    </row>
    <row r="31165" spans="1:6" x14ac:dyDescent="0.25">
      <c r="A31165" s="1" t="str">
        <f t="shared" si="1116"/>
        <v>41180</v>
      </c>
      <c r="B31165" s="1" t="str">
        <f>"63386"</f>
        <v>63386</v>
      </c>
      <c r="C31165" s="2">
        <v>2.17264191799078E-4</v>
      </c>
      <c r="D31165" s="2">
        <v>1.90645126530341E-4</v>
      </c>
      <c r="E31165" s="2">
        <v>1.94886186467103E-5</v>
      </c>
      <c r="F31165" s="2">
        <v>2.08609076308811E-4</v>
      </c>
    </row>
    <row r="31166" spans="1:6" x14ac:dyDescent="0.25">
      <c r="A31166" s="1" t="str">
        <f t="shared" si="1116"/>
        <v>41180</v>
      </c>
      <c r="B31166" s="1" t="str">
        <f>"63304"</f>
        <v>63304</v>
      </c>
      <c r="C31166" s="2">
        <v>1.1939323506381499E-2</v>
      </c>
      <c r="D31166" s="2">
        <v>1.16542194739852E-2</v>
      </c>
      <c r="E31166" s="2">
        <v>2.7673838478328599E-3</v>
      </c>
      <c r="F31166" s="2">
        <v>1.16121400116743E-2</v>
      </c>
    </row>
    <row r="31167" spans="1:6" x14ac:dyDescent="0.25">
      <c r="A31167" s="1" t="str">
        <f t="shared" si="1116"/>
        <v>41180</v>
      </c>
      <c r="B31167" s="1" t="str">
        <f>"63127"</f>
        <v>63127</v>
      </c>
      <c r="C31167" s="2">
        <v>2.0260979496967702E-3</v>
      </c>
      <c r="D31167" s="2">
        <v>6.3493116053148502E-3</v>
      </c>
      <c r="E31167" s="2">
        <v>2.2022139070782599E-3</v>
      </c>
      <c r="F31167" s="2">
        <v>2.3698509352100298E-3</v>
      </c>
    </row>
    <row r="31168" spans="1:6" x14ac:dyDescent="0.25">
      <c r="A31168" s="1" t="str">
        <f t="shared" si="1116"/>
        <v>41180</v>
      </c>
      <c r="B31168" s="1" t="str">
        <f>"63132"</f>
        <v>63132</v>
      </c>
      <c r="C31168" s="2">
        <v>5.1224772200682096E-3</v>
      </c>
      <c r="D31168" s="2">
        <v>1.44392961050371E-2</v>
      </c>
      <c r="E31168" s="2">
        <v>1.5259588400374099E-2</v>
      </c>
      <c r="F31168" s="2">
        <v>6.1876561733709796E-3</v>
      </c>
    </row>
    <row r="31169" spans="1:6" x14ac:dyDescent="0.25">
      <c r="A31169" s="1" t="str">
        <f t="shared" si="1116"/>
        <v>41180</v>
      </c>
      <c r="B31169" s="1" t="str">
        <f>"63134"</f>
        <v>63134</v>
      </c>
      <c r="C31169" s="2">
        <v>4.2577948996866399E-3</v>
      </c>
      <c r="D31169" s="2">
        <v>4.93190653415448E-3</v>
      </c>
      <c r="E31169" s="2">
        <v>3.8392578734019302E-3</v>
      </c>
      <c r="F31169" s="2">
        <v>4.2965695468324102E-3</v>
      </c>
    </row>
    <row r="31170" spans="1:6" x14ac:dyDescent="0.25">
      <c r="A31170" s="1" t="str">
        <f t="shared" si="1116"/>
        <v>41180</v>
      </c>
      <c r="B31170" s="1" t="str">
        <f>"63155"</f>
        <v>63155</v>
      </c>
      <c r="C31170" s="2">
        <v>0</v>
      </c>
      <c r="D31170" s="2">
        <v>9.4493671410690995E-4</v>
      </c>
      <c r="E31170" s="2">
        <v>5.8465855940130903E-5</v>
      </c>
      <c r="F31170" s="2">
        <v>7.5798950087363094E-5</v>
      </c>
    </row>
    <row r="31171" spans="1:6" x14ac:dyDescent="0.25">
      <c r="A31171" s="1" t="str">
        <f t="shared" si="1116"/>
        <v>41180</v>
      </c>
      <c r="B31171" s="1" t="str">
        <f>"62260"</f>
        <v>62260</v>
      </c>
      <c r="C31171" s="2">
        <v>2.37240832253087E-3</v>
      </c>
      <c r="D31171" s="2">
        <v>1.5168720936979299E-3</v>
      </c>
      <c r="E31171" s="2">
        <v>7.9903336451512305E-4</v>
      </c>
      <c r="F31171" s="2">
        <v>2.2532371658448599E-3</v>
      </c>
    </row>
    <row r="31172" spans="1:6" x14ac:dyDescent="0.25">
      <c r="A31172" s="1" t="str">
        <f t="shared" si="1116"/>
        <v>41180</v>
      </c>
      <c r="B31172" s="1" t="str">
        <f>"62275"</f>
        <v>62275</v>
      </c>
      <c r="C31172" s="2">
        <v>1.1774552676359401E-3</v>
      </c>
      <c r="D31172" s="2">
        <v>3.7300133451588502E-4</v>
      </c>
      <c r="E31172" s="2">
        <v>1.1693171188026099E-4</v>
      </c>
      <c r="F31172" s="2">
        <v>1.0793252209021101E-3</v>
      </c>
    </row>
    <row r="31173" spans="1:6" x14ac:dyDescent="0.25">
      <c r="A31173" s="1" t="str">
        <f t="shared" si="1116"/>
        <v>41180</v>
      </c>
      <c r="B31173" s="1" t="str">
        <f>"62285"</f>
        <v>62285</v>
      </c>
      <c r="C31173" s="2">
        <v>1.3903450126202699E-3</v>
      </c>
      <c r="D31173" s="2">
        <v>6.3824672794940396E-4</v>
      </c>
      <c r="E31173" s="2">
        <v>1.7539756782039201E-4</v>
      </c>
      <c r="F31173" s="2">
        <v>1.2911735685821699E-3</v>
      </c>
    </row>
    <row r="31174" spans="1:6" x14ac:dyDescent="0.25">
      <c r="A31174" s="1" t="str">
        <f t="shared" si="1116"/>
        <v>41180</v>
      </c>
      <c r="B31174" s="1" t="str">
        <f>"62293"</f>
        <v>62293</v>
      </c>
      <c r="C31174" s="2">
        <v>1.5121004489640499E-3</v>
      </c>
      <c r="D31174" s="2">
        <v>1.09413724791326E-3</v>
      </c>
      <c r="E31174" s="2">
        <v>2.5335204240723401E-4</v>
      </c>
      <c r="F31174" s="2">
        <v>1.4375886345628899E-3</v>
      </c>
    </row>
    <row r="31175" spans="1:6" x14ac:dyDescent="0.25">
      <c r="A31175" s="1" t="str">
        <f t="shared" si="1116"/>
        <v>41180</v>
      </c>
      <c r="B31175" s="1" t="str">
        <f>"62294"</f>
        <v>62294</v>
      </c>
      <c r="C31175" s="2">
        <v>5.1326842626359497E-3</v>
      </c>
      <c r="D31175" s="2">
        <v>3.97039198295798E-3</v>
      </c>
      <c r="E31175" s="2">
        <v>4.7162457125038901E-3</v>
      </c>
      <c r="F31175" s="2">
        <v>5.0279970224617497E-3</v>
      </c>
    </row>
    <row r="31176" spans="1:6" x14ac:dyDescent="0.25">
      <c r="A31176" s="1" t="str">
        <f t="shared" si="1116"/>
        <v>41180</v>
      </c>
      <c r="B31176" s="1" t="str">
        <f>"62244"</f>
        <v>62244</v>
      </c>
      <c r="C31176" s="2">
        <v>3.2370906429124397E-4</v>
      </c>
      <c r="D31176" s="2">
        <v>1.65778370895949E-5</v>
      </c>
      <c r="E31176" s="2">
        <v>1.94886186467103E-5</v>
      </c>
      <c r="F31176" s="2">
        <v>2.8959086059018201E-4</v>
      </c>
    </row>
    <row r="31177" spans="1:6" x14ac:dyDescent="0.25">
      <c r="A31177" s="1" t="str">
        <f t="shared" si="1116"/>
        <v>41180</v>
      </c>
      <c r="B31177" s="1" t="str">
        <f>"62262"</f>
        <v>62262</v>
      </c>
      <c r="C31177" s="2">
        <v>6.00757362558526E-4</v>
      </c>
      <c r="D31177" s="2">
        <v>2.6524539343351802E-4</v>
      </c>
      <c r="E31177" s="2">
        <v>1.36420330526972E-4</v>
      </c>
      <c r="F31177" s="2">
        <v>5.5909823867858401E-4</v>
      </c>
    </row>
    <row r="31178" spans="1:6" x14ac:dyDescent="0.25">
      <c r="A31178" s="1" t="str">
        <f t="shared" si="1116"/>
        <v>41180</v>
      </c>
      <c r="B31178" s="1" t="str">
        <f>"62265"</f>
        <v>62265</v>
      </c>
      <c r="C31178" s="2">
        <v>1.35389128916405E-3</v>
      </c>
      <c r="D31178" s="2">
        <v>9.7809238828609995E-4</v>
      </c>
      <c r="E31178" s="2">
        <v>4.2874961022762703E-4</v>
      </c>
      <c r="F31178" s="2">
        <v>1.29376498567918E-3</v>
      </c>
    </row>
    <row r="31179" spans="1:6" x14ac:dyDescent="0.25">
      <c r="A31179" s="1" t="str">
        <f t="shared" si="1116"/>
        <v>41180</v>
      </c>
      <c r="B31179" s="1" t="str">
        <f>"62225"</f>
        <v>62225</v>
      </c>
      <c r="C31179" s="2">
        <v>2.1062961413004602E-3</v>
      </c>
      <c r="D31179" s="2">
        <v>9.0349212138292302E-4</v>
      </c>
      <c r="E31179" s="2">
        <v>1.7695665731212899E-2</v>
      </c>
      <c r="F31179" s="2">
        <v>2.5305187952242699E-3</v>
      </c>
    </row>
    <row r="31180" spans="1:6" x14ac:dyDescent="0.25">
      <c r="A31180" s="1" t="str">
        <f t="shared" si="1116"/>
        <v>41180</v>
      </c>
      <c r="B31180" s="1" t="str">
        <f>"62028"</f>
        <v>62028</v>
      </c>
      <c r="C31180" s="2">
        <v>1.8591398962672801E-4</v>
      </c>
      <c r="D31180" s="2">
        <v>8.2889185447974602E-6</v>
      </c>
      <c r="E31180" s="2">
        <v>3.50795135640785E-4</v>
      </c>
      <c r="F31180" s="2">
        <v>1.7751207114476399E-4</v>
      </c>
    </row>
    <row r="31181" spans="1:6" x14ac:dyDescent="0.25">
      <c r="A31181" s="1" t="str">
        <f t="shared" si="1116"/>
        <v>41180</v>
      </c>
      <c r="B31181" s="1" t="str">
        <f>"62033"</f>
        <v>62033</v>
      </c>
      <c r="C31181" s="2">
        <v>1.7366553854543799E-3</v>
      </c>
      <c r="D31181" s="2">
        <v>1.55002776787712E-3</v>
      </c>
      <c r="E31181" s="2">
        <v>5.0670408481446802E-4</v>
      </c>
      <c r="F31181" s="2">
        <v>1.68118184168125E-3</v>
      </c>
    </row>
    <row r="31182" spans="1:6" x14ac:dyDescent="0.25">
      <c r="A31182" s="1" t="str">
        <f t="shared" si="1116"/>
        <v>41180</v>
      </c>
      <c r="B31182" s="1" t="str">
        <f>"62062"</f>
        <v>62062</v>
      </c>
      <c r="C31182" s="2">
        <v>3.0920048235566801E-3</v>
      </c>
      <c r="D31182" s="2">
        <v>3.9123695531443998E-3</v>
      </c>
      <c r="E31182" s="2">
        <v>2.7089179918927302E-3</v>
      </c>
      <c r="F31182" s="2">
        <v>3.1433889386656899E-3</v>
      </c>
    </row>
    <row r="31183" spans="1:6" x14ac:dyDescent="0.25">
      <c r="A31183" s="1" t="str">
        <f t="shared" si="1116"/>
        <v>41180</v>
      </c>
      <c r="B31183" s="1" t="str">
        <f>"62205"</f>
        <v>62205</v>
      </c>
      <c r="C31183" s="2">
        <v>3.5600706327345599E-3</v>
      </c>
      <c r="D31183" s="2">
        <v>3.2078114768366102E-3</v>
      </c>
      <c r="E31183" s="2">
        <v>6.9769254755222901E-3</v>
      </c>
      <c r="F31183" s="2">
        <v>3.64612385548444E-3</v>
      </c>
    </row>
    <row r="31184" spans="1:6" x14ac:dyDescent="0.25">
      <c r="A31184" s="1" t="str">
        <f t="shared" si="1116"/>
        <v>41180</v>
      </c>
      <c r="B31184" s="1" t="str">
        <f>"62218"</f>
        <v>62218</v>
      </c>
      <c r="C31184" s="2">
        <v>4.3525745806728098E-4</v>
      </c>
      <c r="D31184" s="2">
        <v>8.2889185447974602E-5</v>
      </c>
      <c r="E31184" s="2">
        <v>5.8465855940130903E-5</v>
      </c>
      <c r="F31184" s="2">
        <v>3.95191107293089E-4</v>
      </c>
    </row>
    <row r="31185" spans="1:6" x14ac:dyDescent="0.25">
      <c r="A31185" s="1" t="str">
        <f t="shared" si="1116"/>
        <v>41180</v>
      </c>
      <c r="B31185" s="1" t="str">
        <f>"63080"</f>
        <v>63080</v>
      </c>
      <c r="C31185" s="2">
        <v>3.6060023242894001E-3</v>
      </c>
      <c r="D31185" s="2">
        <v>4.1278814353091298E-3</v>
      </c>
      <c r="E31185" s="2">
        <v>1.59806672903024E-3</v>
      </c>
      <c r="F31185" s="2">
        <v>3.5800427195108401E-3</v>
      </c>
    </row>
    <row r="31186" spans="1:6" x14ac:dyDescent="0.25">
      <c r="A31186" s="1" t="str">
        <f t="shared" si="1116"/>
        <v>41180</v>
      </c>
      <c r="B31186" s="1" t="str">
        <f>"63090"</f>
        <v>63090</v>
      </c>
      <c r="C31186" s="2">
        <v>8.07887419236775E-3</v>
      </c>
      <c r="D31186" s="2">
        <v>1.2342199713203401E-2</v>
      </c>
      <c r="E31186" s="2">
        <v>8.3801060180854307E-3</v>
      </c>
      <c r="F31186" s="2">
        <v>8.4221055652625703E-3</v>
      </c>
    </row>
    <row r="31187" spans="1:6" x14ac:dyDescent="0.25">
      <c r="A31187" s="1" t="str">
        <f t="shared" si="1116"/>
        <v>41180</v>
      </c>
      <c r="B31187" s="1" t="str">
        <f>"63105"</f>
        <v>63105</v>
      </c>
      <c r="C31187" s="2">
        <v>6.1599501896322604E-3</v>
      </c>
      <c r="D31187" s="2">
        <v>2.18247225284517E-2</v>
      </c>
      <c r="E31187" s="2">
        <v>2.47700342999688E-2</v>
      </c>
      <c r="F31187" s="2">
        <v>8.0029438498221903E-3</v>
      </c>
    </row>
    <row r="31188" spans="1:6" x14ac:dyDescent="0.25">
      <c r="A31188" s="1" t="str">
        <f t="shared" si="1116"/>
        <v>41180</v>
      </c>
      <c r="B31188" s="1" t="str">
        <f>"63106"</f>
        <v>63106</v>
      </c>
      <c r="C31188" s="2">
        <v>4.1637442931695898E-3</v>
      </c>
      <c r="D31188" s="2">
        <v>3.9869698200475697E-3</v>
      </c>
      <c r="E31188" s="2">
        <v>3.6443716869348302E-3</v>
      </c>
      <c r="F31188" s="2">
        <v>4.13266241544691E-3</v>
      </c>
    </row>
    <row r="31189" spans="1:6" x14ac:dyDescent="0.25">
      <c r="A31189" s="1" t="str">
        <f t="shared" ref="A31189:A31252" si="1117">"41180"</f>
        <v>41180</v>
      </c>
      <c r="B31189" s="1" t="str">
        <f>"63102"</f>
        <v>63102</v>
      </c>
      <c r="C31189" s="2">
        <v>1.11694208669861E-3</v>
      </c>
      <c r="D31189" s="2">
        <v>8.3137853004318502E-3</v>
      </c>
      <c r="E31189" s="2">
        <v>1.6370439663236599E-3</v>
      </c>
      <c r="F31189" s="2">
        <v>1.69673034426328E-3</v>
      </c>
    </row>
    <row r="31190" spans="1:6" x14ac:dyDescent="0.25">
      <c r="A31190" s="1" t="str">
        <f t="shared" si="1117"/>
        <v>41180</v>
      </c>
      <c r="B31190" s="1" t="str">
        <f>"62030"</f>
        <v>62030</v>
      </c>
      <c r="C31190" s="2">
        <v>0</v>
      </c>
      <c r="D31190" s="2">
        <v>0</v>
      </c>
      <c r="E31190" s="2">
        <v>1.94886186467103E-5</v>
      </c>
      <c r="F31190" s="2">
        <v>6.4785427425096698E-7</v>
      </c>
    </row>
    <row r="31191" spans="1:6" x14ac:dyDescent="0.25">
      <c r="A31191" s="1" t="str">
        <f t="shared" si="1117"/>
        <v>41180</v>
      </c>
      <c r="B31191" s="1" t="str">
        <f>"63053"</f>
        <v>63053</v>
      </c>
      <c r="C31191" s="2">
        <v>0</v>
      </c>
      <c r="D31191" s="2">
        <v>0</v>
      </c>
      <c r="E31191" s="2">
        <v>1.94886186467103E-5</v>
      </c>
      <c r="F31191" s="2">
        <v>6.4785427425096698E-7</v>
      </c>
    </row>
    <row r="31192" spans="1:6" x14ac:dyDescent="0.25">
      <c r="A31192" s="1" t="str">
        <f t="shared" si="1117"/>
        <v>41180</v>
      </c>
      <c r="B31192" s="1" t="str">
        <f>"62058"</f>
        <v>62058</v>
      </c>
      <c r="C31192" s="2">
        <v>2.9381701105714298E-4</v>
      </c>
      <c r="D31192" s="2">
        <v>0</v>
      </c>
      <c r="E31192" s="2">
        <v>2.72840661053944E-4</v>
      </c>
      <c r="F31192" s="2">
        <v>2.7015523236265299E-4</v>
      </c>
    </row>
    <row r="31193" spans="1:6" x14ac:dyDescent="0.25">
      <c r="A31193" s="1" t="str">
        <f t="shared" si="1117"/>
        <v>41180</v>
      </c>
      <c r="B31193" s="1" t="str">
        <f>"63022"</f>
        <v>63022</v>
      </c>
      <c r="C31193" s="2">
        <v>6.8824629885345695E-4</v>
      </c>
      <c r="D31193" s="2">
        <v>2.9757217575822801E-3</v>
      </c>
      <c r="E31193" s="2">
        <v>5.8465855940130903E-5</v>
      </c>
      <c r="F31193" s="2">
        <v>8.4609768217176295E-4</v>
      </c>
    </row>
    <row r="31194" spans="1:6" x14ac:dyDescent="0.25">
      <c r="A31194" s="1" t="str">
        <f t="shared" si="1117"/>
        <v>41180</v>
      </c>
      <c r="B31194" s="1" t="str">
        <f>"62667"</f>
        <v>62667</v>
      </c>
      <c r="C31194" s="2">
        <v>2.0851529816958499E-4</v>
      </c>
      <c r="D31194" s="2">
        <v>1.65778370895949E-5</v>
      </c>
      <c r="E31194" s="2">
        <v>3.89772372934206E-5</v>
      </c>
      <c r="F31194" s="2">
        <v>1.8787773953277999E-4</v>
      </c>
    </row>
    <row r="31195" spans="1:6" x14ac:dyDescent="0.25">
      <c r="A31195" s="1" t="str">
        <f t="shared" si="1117"/>
        <v>41180</v>
      </c>
      <c r="B31195" s="1" t="str">
        <f>"62079"</f>
        <v>62079</v>
      </c>
      <c r="C31195" s="2">
        <v>1.06444872492166E-4</v>
      </c>
      <c r="D31195" s="2">
        <v>1.65778370895949E-5</v>
      </c>
      <c r="E31195" s="2">
        <v>1.94886186467103E-5</v>
      </c>
      <c r="F31195" s="2">
        <v>9.6530286863394E-5</v>
      </c>
    </row>
    <row r="31196" spans="1:6" x14ac:dyDescent="0.25">
      <c r="A31196" s="1" t="str">
        <f t="shared" si="1117"/>
        <v>41180</v>
      </c>
      <c r="B31196" s="1" t="str">
        <f>"62059"</f>
        <v>62059</v>
      </c>
      <c r="C31196" s="2">
        <v>4.3890283041290399E-4</v>
      </c>
      <c r="D31196" s="2">
        <v>2.4866755634392299E-5</v>
      </c>
      <c r="E31196" s="2">
        <v>5.8465855940130903E-5</v>
      </c>
      <c r="F31196" s="2">
        <v>3.93895398744587E-4</v>
      </c>
    </row>
    <row r="31197" spans="1:6" x14ac:dyDescent="0.25">
      <c r="A31197" s="1" t="str">
        <f t="shared" si="1117"/>
        <v>41180</v>
      </c>
      <c r="B31197" s="1" t="str">
        <f>"62082"</f>
        <v>62082</v>
      </c>
      <c r="C31197" s="2">
        <v>3.6453723456221201E-6</v>
      </c>
      <c r="D31197" s="2">
        <v>0</v>
      </c>
      <c r="E31197" s="2">
        <v>0</v>
      </c>
      <c r="F31197" s="2">
        <v>3.2392713712548299E-6</v>
      </c>
    </row>
    <row r="31198" spans="1:6" x14ac:dyDescent="0.25">
      <c r="A31198" s="1" t="str">
        <f t="shared" si="1117"/>
        <v>41180</v>
      </c>
      <c r="B31198" s="1" t="str">
        <f>"63166"</f>
        <v>63166</v>
      </c>
      <c r="C31198" s="2">
        <v>1.67687127898617E-5</v>
      </c>
      <c r="D31198" s="2">
        <v>5.8022429813582201E-5</v>
      </c>
      <c r="E31198" s="2">
        <v>3.89772372934206E-5</v>
      </c>
      <c r="F31198" s="2">
        <v>2.0731336776030899E-5</v>
      </c>
    </row>
    <row r="31199" spans="1:6" x14ac:dyDescent="0.25">
      <c r="A31199" s="1" t="str">
        <f t="shared" si="1117"/>
        <v>41180</v>
      </c>
      <c r="B31199" s="1" t="str">
        <f>"62560"</f>
        <v>62560</v>
      </c>
      <c r="C31199" s="2">
        <v>1.8955936197235001E-5</v>
      </c>
      <c r="D31199" s="2">
        <v>8.2889185447974602E-6</v>
      </c>
      <c r="E31199" s="2">
        <v>0</v>
      </c>
      <c r="F31199" s="2">
        <v>1.7492065404776099E-5</v>
      </c>
    </row>
    <row r="31200" spans="1:6" x14ac:dyDescent="0.25">
      <c r="A31200" s="1" t="str">
        <f t="shared" si="1117"/>
        <v>41180</v>
      </c>
      <c r="B31200" s="1" t="str">
        <f>"63180"</f>
        <v>63180</v>
      </c>
      <c r="C31200" s="2">
        <v>0</v>
      </c>
      <c r="D31200" s="2">
        <v>3.31556741791898E-5</v>
      </c>
      <c r="E31200" s="2">
        <v>3.89772372934206E-5</v>
      </c>
      <c r="F31200" s="2">
        <v>3.8871256455058E-6</v>
      </c>
    </row>
    <row r="31201" spans="1:6" x14ac:dyDescent="0.25">
      <c r="A31201" s="1" t="str">
        <f t="shared" si="1117"/>
        <v>41180</v>
      </c>
      <c r="B31201" s="1" t="str">
        <f>"62298"</f>
        <v>62298</v>
      </c>
      <c r="C31201" s="2">
        <v>5.5847104334930901E-3</v>
      </c>
      <c r="D31201" s="2">
        <v>3.6802798338900701E-3</v>
      </c>
      <c r="E31201" s="2">
        <v>4.7747115684440202E-3</v>
      </c>
      <c r="F31201" s="2">
        <v>5.4089353357213198E-3</v>
      </c>
    </row>
    <row r="31202" spans="1:6" x14ac:dyDescent="0.25">
      <c r="A31202" s="1" t="str">
        <f t="shared" si="1117"/>
        <v>41180</v>
      </c>
      <c r="B31202" s="1" t="str">
        <f>"62282"</f>
        <v>62282</v>
      </c>
      <c r="C31202" s="2">
        <v>2.3184568118156699E-4</v>
      </c>
      <c r="D31202" s="2">
        <v>1.65778370895949E-5</v>
      </c>
      <c r="E31202" s="2">
        <v>1.5590894917368199E-4</v>
      </c>
      <c r="F31202" s="2">
        <v>2.1249620195431699E-4</v>
      </c>
    </row>
    <row r="31203" spans="1:6" x14ac:dyDescent="0.25">
      <c r="A31203" s="1" t="str">
        <f t="shared" si="1117"/>
        <v>41180</v>
      </c>
      <c r="B31203" s="1" t="str">
        <f>"62277"</f>
        <v>62277</v>
      </c>
      <c r="C31203" s="2">
        <v>1.1592284059078299E-4</v>
      </c>
      <c r="D31203" s="2">
        <v>1.65778370895949E-5</v>
      </c>
      <c r="E31203" s="2">
        <v>0</v>
      </c>
      <c r="F31203" s="2">
        <v>1.04304538154405E-4</v>
      </c>
    </row>
    <row r="31204" spans="1:6" x14ac:dyDescent="0.25">
      <c r="A31204" s="1" t="str">
        <f t="shared" si="1117"/>
        <v>41180</v>
      </c>
      <c r="B31204" s="1" t="str">
        <f>"62253"</f>
        <v>62253</v>
      </c>
      <c r="C31204" s="2">
        <v>2.87984415304147E-4</v>
      </c>
      <c r="D31204" s="2">
        <v>2.2380080070953101E-4</v>
      </c>
      <c r="E31204" s="2">
        <v>9.7443093233551598E-5</v>
      </c>
      <c r="F31204" s="2">
        <v>2.76633775105162E-4</v>
      </c>
    </row>
    <row r="31205" spans="1:6" x14ac:dyDescent="0.25">
      <c r="A31205" s="1" t="str">
        <f t="shared" si="1117"/>
        <v>41180</v>
      </c>
      <c r="B31205" s="1" t="str">
        <f>"62035"</f>
        <v>62035</v>
      </c>
      <c r="C31205" s="2">
        <v>6.0338203064737401E-3</v>
      </c>
      <c r="D31205" s="2">
        <v>4.4677270956458301E-3</v>
      </c>
      <c r="E31205" s="2">
        <v>5.0475522294979704E-3</v>
      </c>
      <c r="F31205" s="2">
        <v>5.8786296845532698E-3</v>
      </c>
    </row>
    <row r="31206" spans="1:6" x14ac:dyDescent="0.25">
      <c r="A31206" s="1" t="str">
        <f t="shared" si="1117"/>
        <v>41180</v>
      </c>
      <c r="B31206" s="1" t="str">
        <f>"63124"</f>
        <v>63124</v>
      </c>
      <c r="C31206" s="2">
        <v>3.9340858353953904E-3</v>
      </c>
      <c r="D31206" s="2">
        <v>4.3848379101978502E-3</v>
      </c>
      <c r="E31206" s="2">
        <v>3.8197692547552202E-3</v>
      </c>
      <c r="F31206" s="2">
        <v>3.9655160126901602E-3</v>
      </c>
    </row>
    <row r="31207" spans="1:6" x14ac:dyDescent="0.25">
      <c r="A31207" s="1" t="str">
        <f t="shared" si="1117"/>
        <v>41180</v>
      </c>
      <c r="B31207" s="1" t="str">
        <f>"62071"</f>
        <v>62071</v>
      </c>
      <c r="C31207" s="2">
        <v>0</v>
      </c>
      <c r="D31207" s="2">
        <v>5.8022429813582201E-5</v>
      </c>
      <c r="E31207" s="2">
        <v>1.94886186467103E-5</v>
      </c>
      <c r="F31207" s="2">
        <v>5.1828341940077299E-6</v>
      </c>
    </row>
    <row r="31208" spans="1:6" x14ac:dyDescent="0.25">
      <c r="A31208" s="1" t="str">
        <f t="shared" si="1117"/>
        <v>41180</v>
      </c>
      <c r="B31208" s="1" t="str">
        <f>"63047"</f>
        <v>63047</v>
      </c>
      <c r="C31208" s="2">
        <v>0</v>
      </c>
      <c r="D31208" s="2">
        <v>0</v>
      </c>
      <c r="E31208" s="2">
        <v>1.94886186467103E-5</v>
      </c>
      <c r="F31208" s="2">
        <v>6.4785427425096698E-7</v>
      </c>
    </row>
    <row r="31209" spans="1:6" x14ac:dyDescent="0.25">
      <c r="A31209" s="1" t="str">
        <f t="shared" si="1117"/>
        <v>41180</v>
      </c>
      <c r="B31209" s="1" t="str">
        <f>"63160"</f>
        <v>63160</v>
      </c>
      <c r="C31209" s="2">
        <v>0</v>
      </c>
      <c r="D31209" s="2">
        <v>8.2889185447974602E-6</v>
      </c>
      <c r="E31209" s="2">
        <v>0</v>
      </c>
      <c r="F31209" s="2">
        <v>6.4785427425096698E-7</v>
      </c>
    </row>
    <row r="31210" spans="1:6" x14ac:dyDescent="0.25">
      <c r="A31210" s="1" t="str">
        <f t="shared" si="1117"/>
        <v>41180</v>
      </c>
      <c r="B31210" s="1" t="str">
        <f>"63030"</f>
        <v>63030</v>
      </c>
      <c r="C31210" s="2">
        <v>2.8433904295852501E-5</v>
      </c>
      <c r="D31210" s="2">
        <v>0</v>
      </c>
      <c r="E31210" s="2">
        <v>1.94886186467103E-5</v>
      </c>
      <c r="F31210" s="2">
        <v>2.5914170970038599E-5</v>
      </c>
    </row>
    <row r="31211" spans="1:6" x14ac:dyDescent="0.25">
      <c r="A31211" s="1" t="str">
        <f t="shared" si="1117"/>
        <v>41180</v>
      </c>
      <c r="B31211" s="1" t="str">
        <f>"63145"</f>
        <v>63145</v>
      </c>
      <c r="C31211" s="2">
        <v>4.4473542616589897E-5</v>
      </c>
      <c r="D31211" s="2">
        <v>3.8129025306068298E-4</v>
      </c>
      <c r="E31211" s="2">
        <v>3.89772372934206E-5</v>
      </c>
      <c r="F31211" s="2">
        <v>7.0616115893355394E-5</v>
      </c>
    </row>
    <row r="31212" spans="1:6" x14ac:dyDescent="0.25">
      <c r="A31212" s="1" t="str">
        <f t="shared" si="1117"/>
        <v>41180</v>
      </c>
      <c r="B31212" s="1" t="str">
        <f>"63359"</f>
        <v>63359</v>
      </c>
      <c r="C31212" s="2">
        <v>2.5517606419354798E-5</v>
      </c>
      <c r="D31212" s="2">
        <v>0</v>
      </c>
      <c r="E31212" s="2">
        <v>0</v>
      </c>
      <c r="F31212" s="2">
        <v>2.2674899598783799E-5</v>
      </c>
    </row>
    <row r="31213" spans="1:6" x14ac:dyDescent="0.25">
      <c r="A31213" s="1" t="str">
        <f t="shared" si="1117"/>
        <v>41180</v>
      </c>
      <c r="B31213" s="1" t="str">
        <f>"65441"</f>
        <v>65441</v>
      </c>
      <c r="C31213" s="2">
        <v>2.04140851354839E-5</v>
      </c>
      <c r="D31213" s="2">
        <v>8.2889185447974602E-6</v>
      </c>
      <c r="E31213" s="2">
        <v>0</v>
      </c>
      <c r="F31213" s="2">
        <v>1.8787773953278E-5</v>
      </c>
    </row>
    <row r="31214" spans="1:6" x14ac:dyDescent="0.25">
      <c r="A31214" s="1" t="str">
        <f t="shared" si="1117"/>
        <v>41180</v>
      </c>
      <c r="B31214" s="1" t="str">
        <f>"63363"</f>
        <v>63363</v>
      </c>
      <c r="C31214" s="2">
        <v>4.9577063900460901E-5</v>
      </c>
      <c r="D31214" s="2">
        <v>8.2889185447974602E-6</v>
      </c>
      <c r="E31214" s="2">
        <v>0</v>
      </c>
      <c r="F31214" s="2">
        <v>4.4701944923316701E-5</v>
      </c>
    </row>
    <row r="31215" spans="1:6" x14ac:dyDescent="0.25">
      <c r="A31215" s="1" t="str">
        <f t="shared" si="1117"/>
        <v>41180</v>
      </c>
      <c r="B31215" s="1" t="str">
        <f>"62093"</f>
        <v>62093</v>
      </c>
      <c r="C31215" s="2">
        <v>1.5748008533087501E-4</v>
      </c>
      <c r="D31215" s="2">
        <v>0</v>
      </c>
      <c r="E31215" s="2">
        <v>1.94886186467103E-5</v>
      </c>
      <c r="F31215" s="2">
        <v>1.40584377512459E-4</v>
      </c>
    </row>
    <row r="31216" spans="1:6" x14ac:dyDescent="0.25">
      <c r="A31216" s="1" t="str">
        <f t="shared" si="1117"/>
        <v>41180</v>
      </c>
      <c r="B31216" s="1" t="str">
        <f>"63380"</f>
        <v>63380</v>
      </c>
      <c r="C31216" s="2">
        <v>3.1787646853824897E-4</v>
      </c>
      <c r="D31216" s="2">
        <v>7.8744726175575795E-4</v>
      </c>
      <c r="E31216" s="2">
        <v>1.36420330526972E-4</v>
      </c>
      <c r="F31216" s="2">
        <v>3.4854559954702001E-4</v>
      </c>
    </row>
    <row r="31217" spans="1:6" x14ac:dyDescent="0.25">
      <c r="A31217" s="1" t="str">
        <f t="shared" si="1117"/>
        <v>41180</v>
      </c>
      <c r="B31217" s="1" t="str">
        <f>"62269"</f>
        <v>62269</v>
      </c>
      <c r="C31217" s="2">
        <v>1.16797729953732E-2</v>
      </c>
      <c r="D31217" s="2">
        <v>1.20852432383146E-2</v>
      </c>
      <c r="E31217" s="2">
        <v>1.37589647645774E-2</v>
      </c>
      <c r="F31217" s="2">
        <v>1.1780582122979499E-2</v>
      </c>
    </row>
    <row r="31218" spans="1:6" x14ac:dyDescent="0.25">
      <c r="A31218" s="1" t="str">
        <f t="shared" si="1117"/>
        <v>41180</v>
      </c>
      <c r="B31218" s="1" t="str">
        <f>"62234"</f>
        <v>62234</v>
      </c>
      <c r="C31218" s="2">
        <v>1.15747862718193E-2</v>
      </c>
      <c r="D31218" s="2">
        <v>9.9798579279361394E-3</v>
      </c>
      <c r="E31218" s="2">
        <v>1.21024321796071E-2</v>
      </c>
      <c r="F31218" s="2">
        <v>1.1467668508516301E-2</v>
      </c>
    </row>
    <row r="31219" spans="1:6" x14ac:dyDescent="0.25">
      <c r="A31219" s="1" t="str">
        <f t="shared" si="1117"/>
        <v>41180</v>
      </c>
      <c r="B31219" s="1" t="str">
        <f>"62223"</f>
        <v>62223</v>
      </c>
      <c r="C31219" s="2">
        <v>6.5397979880460902E-3</v>
      </c>
      <c r="D31219" s="2">
        <v>6.1337997231501202E-3</v>
      </c>
      <c r="E31219" s="2">
        <v>6.6261303398814997E-3</v>
      </c>
      <c r="F31219" s="2">
        <v>6.51093545622221E-3</v>
      </c>
    </row>
    <row r="31220" spans="1:6" x14ac:dyDescent="0.25">
      <c r="A31220" s="1" t="str">
        <f t="shared" si="1117"/>
        <v>41180</v>
      </c>
      <c r="B31220" s="1" t="str">
        <f>"62220"</f>
        <v>62220</v>
      </c>
      <c r="C31220" s="2">
        <v>6.8533000097695902E-3</v>
      </c>
      <c r="D31220" s="2">
        <v>9.2089885032699704E-3</v>
      </c>
      <c r="E31220" s="2">
        <v>8.9452759588400307E-3</v>
      </c>
      <c r="F31220" s="2">
        <v>7.1069613885331E-3</v>
      </c>
    </row>
    <row r="31221" spans="1:6" x14ac:dyDescent="0.25">
      <c r="A31221" s="1" t="str">
        <f t="shared" si="1117"/>
        <v>41180</v>
      </c>
      <c r="B31221" s="1" t="str">
        <f>"62295"</f>
        <v>62295</v>
      </c>
      <c r="C31221" s="2">
        <v>4.2577948996866399E-4</v>
      </c>
      <c r="D31221" s="2">
        <v>1.8235620798554399E-4</v>
      </c>
      <c r="E31221" s="2">
        <v>1.9488618646710301E-4</v>
      </c>
      <c r="F31221" s="2">
        <v>3.9907823293859498E-4</v>
      </c>
    </row>
    <row r="31222" spans="1:6" x14ac:dyDescent="0.25">
      <c r="A31222" s="1" t="str">
        <f t="shared" si="1117"/>
        <v>41180</v>
      </c>
      <c r="B31222" s="1" t="str">
        <f>"62255"</f>
        <v>62255</v>
      </c>
      <c r="C31222" s="2">
        <v>3.5214296858709698E-4</v>
      </c>
      <c r="D31222" s="2">
        <v>7.4600266903177101E-5</v>
      </c>
      <c r="E31222" s="2">
        <v>5.8465855940130903E-5</v>
      </c>
      <c r="F31222" s="2">
        <v>3.2068786575422802E-4</v>
      </c>
    </row>
    <row r="31223" spans="1:6" x14ac:dyDescent="0.25">
      <c r="A31223" s="1" t="str">
        <f t="shared" si="1117"/>
        <v>41180</v>
      </c>
      <c r="B31223" s="1" t="str">
        <f>"62012"</f>
        <v>62012</v>
      </c>
      <c r="C31223" s="2">
        <v>2.0676551944368701E-3</v>
      </c>
      <c r="D31223" s="2">
        <v>5.8022429813582197E-4</v>
      </c>
      <c r="E31223" s="2">
        <v>2.72840661053944E-4</v>
      </c>
      <c r="F31223" s="2">
        <v>1.8917344808128201E-3</v>
      </c>
    </row>
    <row r="31224" spans="1:6" x14ac:dyDescent="0.25">
      <c r="A31224" s="1" t="str">
        <f t="shared" si="1117"/>
        <v>41180</v>
      </c>
      <c r="B31224" s="1" t="str">
        <f>"62047"</f>
        <v>62047</v>
      </c>
      <c r="C31224" s="2">
        <v>6.48147203051614E-4</v>
      </c>
      <c r="D31224" s="2">
        <v>3.3155674179189798E-4</v>
      </c>
      <c r="E31224" s="2">
        <v>1.1693171188026099E-4</v>
      </c>
      <c r="F31224" s="2">
        <v>6.0574374642465402E-4</v>
      </c>
    </row>
    <row r="31225" spans="1:6" x14ac:dyDescent="0.25">
      <c r="A31225" s="1" t="str">
        <f t="shared" si="1117"/>
        <v>41180</v>
      </c>
      <c r="B31225" s="1" t="str">
        <f>"62060"</f>
        <v>62060</v>
      </c>
      <c r="C31225" s="2">
        <v>1.9940186730553E-3</v>
      </c>
      <c r="D31225" s="2">
        <v>2.3457639481776799E-3</v>
      </c>
      <c r="E31225" s="2">
        <v>3.3130651699407499E-3</v>
      </c>
      <c r="F31225" s="2">
        <v>2.0653594263120799E-3</v>
      </c>
    </row>
    <row r="31226" spans="1:6" x14ac:dyDescent="0.25">
      <c r="A31226" s="1" t="str">
        <f t="shared" si="1117"/>
        <v>41180</v>
      </c>
      <c r="B31226" s="1" t="str">
        <f>"62046"</f>
        <v>62046</v>
      </c>
      <c r="C31226" s="2">
        <v>2.8944256424239602E-4</v>
      </c>
      <c r="D31226" s="2">
        <v>1.65778370895949E-5</v>
      </c>
      <c r="E31226" s="2">
        <v>5.8465855940130903E-5</v>
      </c>
      <c r="F31226" s="2">
        <v>2.6043741824888802E-4</v>
      </c>
    </row>
    <row r="31227" spans="1:6" x14ac:dyDescent="0.25">
      <c r="A31227" s="1" t="str">
        <f t="shared" si="1117"/>
        <v>41180</v>
      </c>
      <c r="B31227" s="1" t="str">
        <f>"62097"</f>
        <v>62097</v>
      </c>
      <c r="C31227" s="2">
        <v>9.8570868225622294E-4</v>
      </c>
      <c r="D31227" s="2">
        <v>5.8022429813582197E-4</v>
      </c>
      <c r="E31227" s="2">
        <v>1.7539756782039201E-4</v>
      </c>
      <c r="F31227" s="2">
        <v>9.2707946645313299E-4</v>
      </c>
    </row>
    <row r="31228" spans="1:6" x14ac:dyDescent="0.25">
      <c r="A31228" s="1" t="str">
        <f t="shared" si="1117"/>
        <v>41180</v>
      </c>
      <c r="B31228" s="1" t="str">
        <f>"62204"</f>
        <v>62204</v>
      </c>
      <c r="C31228" s="2">
        <v>2.64289495057604E-3</v>
      </c>
      <c r="D31228" s="2">
        <v>1.46713858242915E-3</v>
      </c>
      <c r="E31228" s="2">
        <v>1.3642033052697199E-3</v>
      </c>
      <c r="F31228" s="2">
        <v>2.5084917498997398E-3</v>
      </c>
    </row>
    <row r="31229" spans="1:6" x14ac:dyDescent="0.25">
      <c r="A31229" s="1" t="str">
        <f t="shared" si="1117"/>
        <v>41180</v>
      </c>
      <c r="B31229" s="1" t="str">
        <f>"62021"</f>
        <v>62021</v>
      </c>
      <c r="C31229" s="2">
        <v>3.1568924513087601E-4</v>
      </c>
      <c r="D31229" s="2">
        <v>9.1178103992771995E-5</v>
      </c>
      <c r="E31229" s="2">
        <v>1.94886186467103E-5</v>
      </c>
      <c r="F31229" s="2">
        <v>2.8829515204168002E-4</v>
      </c>
    </row>
    <row r="31230" spans="1:6" x14ac:dyDescent="0.25">
      <c r="A31230" s="1" t="str">
        <f t="shared" si="1117"/>
        <v>41180</v>
      </c>
      <c r="B31230" s="1" t="str">
        <f>"62086"</f>
        <v>62086</v>
      </c>
      <c r="C31230" s="2">
        <v>4.65878585770507E-4</v>
      </c>
      <c r="D31230" s="2">
        <v>9.1178103992771995E-5</v>
      </c>
      <c r="E31230" s="2">
        <v>1.94886186467103E-5</v>
      </c>
      <c r="F31230" s="2">
        <v>4.2175313253737899E-4</v>
      </c>
    </row>
    <row r="31231" spans="1:6" x14ac:dyDescent="0.25">
      <c r="A31231" s="1" t="str">
        <f t="shared" si="1117"/>
        <v>41180</v>
      </c>
      <c r="B31231" s="1" t="str">
        <f>"63049"</f>
        <v>63049</v>
      </c>
      <c r="C31231" s="2">
        <v>5.6437654654921702E-3</v>
      </c>
      <c r="D31231" s="2">
        <v>4.9401954526992796E-3</v>
      </c>
      <c r="E31231" s="2">
        <v>3.35204240723417E-3</v>
      </c>
      <c r="F31231" s="2">
        <v>5.5125920196014699E-3</v>
      </c>
    </row>
    <row r="31232" spans="1:6" x14ac:dyDescent="0.25">
      <c r="A31232" s="1" t="str">
        <f t="shared" si="1117"/>
        <v>41180</v>
      </c>
      <c r="B31232" s="1" t="str">
        <f>"63084"</f>
        <v>63084</v>
      </c>
      <c r="C31232" s="2">
        <v>6.7796634883880297E-3</v>
      </c>
      <c r="D31232" s="2">
        <v>8.1728736851702892E-3</v>
      </c>
      <c r="E31232" s="2">
        <v>4.5213595260367896E-3</v>
      </c>
      <c r="F31232" s="2">
        <v>6.8134834022974197E-3</v>
      </c>
    </row>
    <row r="31233" spans="1:6" x14ac:dyDescent="0.25">
      <c r="A31233" s="1" t="str">
        <f t="shared" si="1117"/>
        <v>41180</v>
      </c>
      <c r="B31233" s="1" t="str">
        <f>"63112"</f>
        <v>63112</v>
      </c>
      <c r="C31233" s="2">
        <v>9.2125849918562302E-3</v>
      </c>
      <c r="D31233" s="2">
        <v>4.6998168149001499E-3</v>
      </c>
      <c r="E31233" s="2">
        <v>2.2256002494543101E-2</v>
      </c>
      <c r="F31233" s="2">
        <v>9.2934695641301197E-3</v>
      </c>
    </row>
    <row r="31234" spans="1:6" x14ac:dyDescent="0.25">
      <c r="A31234" s="1" t="str">
        <f t="shared" si="1117"/>
        <v>41180</v>
      </c>
      <c r="B31234" s="1" t="str">
        <f>"63115"</f>
        <v>63115</v>
      </c>
      <c r="C31234" s="2">
        <v>8.7824310550728198E-3</v>
      </c>
      <c r="D31234" s="2">
        <v>6.2001110715085E-3</v>
      </c>
      <c r="E31234" s="2">
        <v>7.7369816027439897E-3</v>
      </c>
      <c r="F31234" s="2">
        <v>8.5458457316445E-3</v>
      </c>
    </row>
    <row r="31235" spans="1:6" x14ac:dyDescent="0.25">
      <c r="A31235" s="1" t="str">
        <f t="shared" si="1117"/>
        <v>41180</v>
      </c>
      <c r="B31235" s="1" t="str">
        <f>"63010"</f>
        <v>63010</v>
      </c>
      <c r="C31235" s="2">
        <v>1.16280087080654E-2</v>
      </c>
      <c r="D31235" s="2">
        <v>1.1372396243462099E-2</v>
      </c>
      <c r="E31235" s="2">
        <v>5.0475522294979704E-3</v>
      </c>
      <c r="F31235" s="2">
        <v>1.1389278141332001E-2</v>
      </c>
    </row>
    <row r="31236" spans="1:6" x14ac:dyDescent="0.25">
      <c r="A31236" s="1" t="str">
        <f t="shared" si="1117"/>
        <v>41180</v>
      </c>
      <c r="B31236" s="1" t="str">
        <f>"63014"</f>
        <v>63014</v>
      </c>
      <c r="C31236" s="2">
        <v>2.8506811742764999E-4</v>
      </c>
      <c r="D31236" s="2">
        <v>2.3208971925432799E-4</v>
      </c>
      <c r="E31236" s="2">
        <v>1.36420330526972E-4</v>
      </c>
      <c r="F31236" s="2">
        <v>2.75985920830911E-4</v>
      </c>
    </row>
    <row r="31237" spans="1:6" x14ac:dyDescent="0.25">
      <c r="A31237" s="1" t="str">
        <f t="shared" si="1117"/>
        <v>41180</v>
      </c>
      <c r="B31237" s="1" t="str">
        <f>"62630"</f>
        <v>62630</v>
      </c>
      <c r="C31237" s="2">
        <v>1.8664306409585201E-4</v>
      </c>
      <c r="D31237" s="2">
        <v>8.2889185447974602E-5</v>
      </c>
      <c r="E31237" s="2">
        <v>0</v>
      </c>
      <c r="F31237" s="2">
        <v>1.7232923695075701E-4</v>
      </c>
    </row>
    <row r="31238" spans="1:6" x14ac:dyDescent="0.25">
      <c r="A31238" s="1" t="str">
        <f t="shared" si="1117"/>
        <v>41180</v>
      </c>
      <c r="B31238" s="1" t="str">
        <f>"63379"</f>
        <v>63379</v>
      </c>
      <c r="C31238" s="2">
        <v>9.2490387153124493E-3</v>
      </c>
      <c r="D31238" s="2">
        <v>8.4381190786038101E-3</v>
      </c>
      <c r="E31238" s="2">
        <v>4.1900530090427102E-3</v>
      </c>
      <c r="F31238" s="2">
        <v>9.0174836432992105E-3</v>
      </c>
    </row>
    <row r="31239" spans="1:6" x14ac:dyDescent="0.25">
      <c r="A31239" s="1" t="str">
        <f t="shared" si="1117"/>
        <v>41180</v>
      </c>
      <c r="B31239" s="1" t="str">
        <f>"63135"</f>
        <v>63135</v>
      </c>
      <c r="C31239" s="2">
        <v>6.8562163076460901E-3</v>
      </c>
      <c r="D31239" s="2">
        <v>4.2522152134810897E-3</v>
      </c>
      <c r="E31239" s="2">
        <v>4.7747115684440202E-3</v>
      </c>
      <c r="F31239" s="2">
        <v>6.58349513493832E-3</v>
      </c>
    </row>
    <row r="31240" spans="1:6" x14ac:dyDescent="0.25">
      <c r="A31240" s="1" t="str">
        <f t="shared" si="1117"/>
        <v>41180</v>
      </c>
      <c r="B31240" s="1" t="str">
        <f>"63137"</f>
        <v>63137</v>
      </c>
      <c r="C31240" s="2">
        <v>6.4909499986147501E-3</v>
      </c>
      <c r="D31240" s="2">
        <v>2.5695647488872099E-3</v>
      </c>
      <c r="E31240" s="2">
        <v>6.3338010601808499E-3</v>
      </c>
      <c r="F31240" s="2">
        <v>6.1792340678057198E-3</v>
      </c>
    </row>
    <row r="31241" spans="1:6" x14ac:dyDescent="0.25">
      <c r="A31241" s="1" t="str">
        <f t="shared" si="1117"/>
        <v>41180</v>
      </c>
      <c r="B31241" s="1" t="str">
        <f>"63362"</f>
        <v>63362</v>
      </c>
      <c r="C31241" s="2">
        <v>3.3799892388608299E-3</v>
      </c>
      <c r="D31241" s="2">
        <v>1.5168720936979299E-3</v>
      </c>
      <c r="E31241" s="2">
        <v>9.7443093233551595E-4</v>
      </c>
      <c r="F31241" s="2">
        <v>3.15440246132795E-3</v>
      </c>
    </row>
    <row r="31242" spans="1:6" x14ac:dyDescent="0.25">
      <c r="A31242" s="1" t="str">
        <f t="shared" si="1117"/>
        <v>41180</v>
      </c>
      <c r="B31242" s="1" t="str">
        <f>"63341"</f>
        <v>63341</v>
      </c>
      <c r="C31242" s="2">
        <v>1.2343230762276499E-3</v>
      </c>
      <c r="D31242" s="2">
        <v>3.9786809015027798E-4</v>
      </c>
      <c r="E31242" s="2">
        <v>1.7539756782039201E-4</v>
      </c>
      <c r="F31242" s="2">
        <v>1.13374497993919E-3</v>
      </c>
    </row>
    <row r="31243" spans="1:6" x14ac:dyDescent="0.25">
      <c r="A31243" s="1" t="str">
        <f t="shared" si="1117"/>
        <v>41180</v>
      </c>
      <c r="B31243" s="1" t="str">
        <f>"62236"</f>
        <v>62236</v>
      </c>
      <c r="C31243" s="2">
        <v>4.2556076762792702E-3</v>
      </c>
      <c r="D31243" s="2">
        <v>4.1527481909435201E-3</v>
      </c>
      <c r="E31243" s="2">
        <v>3.8002806361085101E-3</v>
      </c>
      <c r="F31243" s="2">
        <v>4.2324319736815599E-3</v>
      </c>
    </row>
    <row r="31244" spans="1:6" x14ac:dyDescent="0.25">
      <c r="A31244" s="1" t="str">
        <f t="shared" si="1117"/>
        <v>41180</v>
      </c>
      <c r="B31244" s="1" t="str">
        <f>"62245"</f>
        <v>62245</v>
      </c>
      <c r="C31244" s="2">
        <v>5.9929921362027704E-4</v>
      </c>
      <c r="D31244" s="2">
        <v>1.4920053380635401E-4</v>
      </c>
      <c r="E31244" s="2">
        <v>1.5590894917368199E-4</v>
      </c>
      <c r="F31244" s="2">
        <v>5.4938042456481996E-4</v>
      </c>
    </row>
    <row r="31245" spans="1:6" x14ac:dyDescent="0.25">
      <c r="A31245" s="1" t="str">
        <f t="shared" si="1117"/>
        <v>41180</v>
      </c>
      <c r="B31245" s="1" t="str">
        <f>"62264"</f>
        <v>62264</v>
      </c>
      <c r="C31245" s="2">
        <v>1.13881432077235E-3</v>
      </c>
      <c r="D31245" s="2">
        <v>8.5375861011413796E-4</v>
      </c>
      <c r="E31245" s="2">
        <v>7.2107888992828102E-4</v>
      </c>
      <c r="F31245" s="2">
        <v>1.1026479747751399E-3</v>
      </c>
    </row>
    <row r="31246" spans="1:6" x14ac:dyDescent="0.25">
      <c r="A31246" s="1" t="str">
        <f t="shared" si="1117"/>
        <v>41180</v>
      </c>
      <c r="B31246" s="1" t="str">
        <f>"63057"</f>
        <v>63057</v>
      </c>
      <c r="C31246" s="2">
        <v>0</v>
      </c>
      <c r="D31246" s="2">
        <v>8.2889185447974602E-6</v>
      </c>
      <c r="E31246" s="2">
        <v>7.79544745868412E-5</v>
      </c>
      <c r="F31246" s="2">
        <v>3.2392713712548299E-6</v>
      </c>
    </row>
    <row r="31247" spans="1:6" x14ac:dyDescent="0.25">
      <c r="A31247" s="1" t="str">
        <f t="shared" si="1117"/>
        <v>41180</v>
      </c>
      <c r="B31247" s="1" t="str">
        <f>"62273"</f>
        <v>62273</v>
      </c>
      <c r="C31247" s="2">
        <v>2.1872234073732699E-6</v>
      </c>
      <c r="D31247" s="2">
        <v>0</v>
      </c>
      <c r="E31247" s="2">
        <v>1.94886186467103E-5</v>
      </c>
      <c r="F31247" s="2">
        <v>2.5914170970038599E-6</v>
      </c>
    </row>
    <row r="31248" spans="1:6" x14ac:dyDescent="0.25">
      <c r="A31248" s="1" t="str">
        <f t="shared" si="1117"/>
        <v>41180</v>
      </c>
      <c r="B31248" s="1" t="str">
        <f>"62266"</f>
        <v>62266</v>
      </c>
      <c r="C31248" s="2">
        <v>2.9162978764976999E-6</v>
      </c>
      <c r="D31248" s="2">
        <v>8.2889185447974602E-6</v>
      </c>
      <c r="E31248" s="2">
        <v>1.94886186467103E-5</v>
      </c>
      <c r="F31248" s="2">
        <v>3.8871256455058E-6</v>
      </c>
    </row>
    <row r="31249" spans="1:6" x14ac:dyDescent="0.25">
      <c r="A31249" s="1" t="str">
        <f t="shared" si="1117"/>
        <v>41180</v>
      </c>
      <c r="B31249" s="1" t="str">
        <f>"62252"</f>
        <v>62252</v>
      </c>
      <c r="C31249" s="2">
        <v>0</v>
      </c>
      <c r="D31249" s="2">
        <v>0</v>
      </c>
      <c r="E31249" s="2">
        <v>1.94886186467103E-5</v>
      </c>
      <c r="F31249" s="2">
        <v>6.4785427425096698E-7</v>
      </c>
    </row>
    <row r="31250" spans="1:6" x14ac:dyDescent="0.25">
      <c r="A31250" s="1" t="str">
        <f t="shared" si="1117"/>
        <v>41180</v>
      </c>
      <c r="B31250" s="1" t="str">
        <f>"62668"</f>
        <v>62668</v>
      </c>
      <c r="C31250" s="2">
        <v>1.4581489382488499E-6</v>
      </c>
      <c r="D31250" s="2">
        <v>0</v>
      </c>
      <c r="E31250" s="2">
        <v>0</v>
      </c>
      <c r="F31250" s="2">
        <v>1.2957085485019299E-6</v>
      </c>
    </row>
    <row r="31251" spans="1:6" x14ac:dyDescent="0.25">
      <c r="A31251" s="1" t="str">
        <f t="shared" si="1117"/>
        <v>41180</v>
      </c>
      <c r="B31251" s="1" t="str">
        <f>"62222"</f>
        <v>62222</v>
      </c>
      <c r="C31251" s="2">
        <v>6.7512295840921701E-4</v>
      </c>
      <c r="D31251" s="2">
        <v>2.0307850434753698E-3</v>
      </c>
      <c r="E31251" s="2">
        <v>3.89772372934206E-5</v>
      </c>
      <c r="F31251" s="2">
        <v>7.5993306369638396E-4</v>
      </c>
    </row>
    <row r="31252" spans="1:6" x14ac:dyDescent="0.25">
      <c r="A31252" s="1" t="str">
        <f t="shared" si="1117"/>
        <v>41180</v>
      </c>
      <c r="B31252" s="1" t="str">
        <f>"63338"</f>
        <v>63338</v>
      </c>
      <c r="C31252" s="2">
        <v>1.15193766121659E-4</v>
      </c>
      <c r="D31252" s="2">
        <v>1.5583166864219201E-3</v>
      </c>
      <c r="E31252" s="2">
        <v>3.89772372934206E-5</v>
      </c>
      <c r="F31252" s="2">
        <v>2.25453287439336E-4</v>
      </c>
    </row>
    <row r="31253" spans="1:6" x14ac:dyDescent="0.25">
      <c r="A31253" s="1" t="str">
        <f t="shared" ref="A31253:A31316" si="1118">"41180"</f>
        <v>41180</v>
      </c>
      <c r="B31253" s="1" t="str">
        <f>"62278"</f>
        <v>62278</v>
      </c>
      <c r="C31253" s="2">
        <v>4.3379930912903298E-4</v>
      </c>
      <c r="D31253" s="2">
        <v>1.16044859627164E-4</v>
      </c>
      <c r="E31253" s="2">
        <v>0</v>
      </c>
      <c r="F31253" s="2">
        <v>3.94543253018838E-4</v>
      </c>
    </row>
    <row r="31254" spans="1:6" x14ac:dyDescent="0.25">
      <c r="A31254" s="1" t="str">
        <f t="shared" si="1118"/>
        <v>41180</v>
      </c>
      <c r="B31254" s="1" t="str">
        <f>"62221"</f>
        <v>62221</v>
      </c>
      <c r="C31254" s="2">
        <v>9.6689856095281204E-3</v>
      </c>
      <c r="D31254" s="2">
        <v>4.4097046658322396E-3</v>
      </c>
      <c r="E31254" s="2">
        <v>1.1888057374493201E-2</v>
      </c>
      <c r="F31254" s="2">
        <v>9.3316929663109192E-3</v>
      </c>
    </row>
    <row r="31255" spans="1:6" x14ac:dyDescent="0.25">
      <c r="A31255" s="1" t="str">
        <f t="shared" si="1118"/>
        <v>41180</v>
      </c>
      <c r="B31255" s="1" t="str">
        <f>"62226"</f>
        <v>62226</v>
      </c>
      <c r="C31255" s="2">
        <v>1.0626260387488399E-2</v>
      </c>
      <c r="D31255" s="2">
        <v>9.0846547250980104E-3</v>
      </c>
      <c r="E31255" s="2">
        <v>1.5746803866541901E-2</v>
      </c>
      <c r="F31255" s="2">
        <v>1.0675990585381601E-2</v>
      </c>
    </row>
    <row r="31256" spans="1:6" x14ac:dyDescent="0.25">
      <c r="A31256" s="1" t="str">
        <f t="shared" si="1118"/>
        <v>41180</v>
      </c>
      <c r="B31256" s="1" t="str">
        <f>"62289"</f>
        <v>62289</v>
      </c>
      <c r="C31256" s="2">
        <v>1.64041755552995E-4</v>
      </c>
      <c r="D31256" s="2">
        <v>8.2889185447974602E-6</v>
      </c>
      <c r="E31256" s="2">
        <v>5.8465855940130903E-5</v>
      </c>
      <c r="F31256" s="2">
        <v>1.4835862880347101E-4</v>
      </c>
    </row>
    <row r="31257" spans="1:6" x14ac:dyDescent="0.25">
      <c r="A31257" s="1" t="str">
        <f t="shared" si="1118"/>
        <v>41180</v>
      </c>
      <c r="B31257" s="1" t="str">
        <f>"62002"</f>
        <v>62002</v>
      </c>
      <c r="C31257" s="2">
        <v>1.19765063043069E-2</v>
      </c>
      <c r="D31257" s="2">
        <v>1.5632900375488E-2</v>
      </c>
      <c r="E31257" s="2">
        <v>1.07187402556906E-2</v>
      </c>
      <c r="F31257" s="2">
        <v>1.2220475175195899E-2</v>
      </c>
    </row>
    <row r="31258" spans="1:6" x14ac:dyDescent="0.25">
      <c r="A31258" s="1" t="str">
        <f t="shared" si="1118"/>
        <v>41180</v>
      </c>
      <c r="B31258" s="1" t="str">
        <f>"62010"</f>
        <v>62010</v>
      </c>
      <c r="C31258" s="2">
        <v>3.7700440798423998E-3</v>
      </c>
      <c r="D31258" s="2">
        <v>2.00591828784098E-3</v>
      </c>
      <c r="E31258" s="2">
        <v>4.9111318989710001E-3</v>
      </c>
      <c r="F31258" s="2">
        <v>3.6700944636317199E-3</v>
      </c>
    </row>
    <row r="31259" spans="1:6" x14ac:dyDescent="0.25">
      <c r="A31259" s="1" t="str">
        <f t="shared" si="1118"/>
        <v>41180</v>
      </c>
      <c r="B31259" s="1" t="str">
        <f>"62018"</f>
        <v>62018</v>
      </c>
      <c r="C31259" s="2">
        <v>1.2860873635354799E-3</v>
      </c>
      <c r="D31259" s="2">
        <v>7.0455807630778397E-4</v>
      </c>
      <c r="E31259" s="2">
        <v>2.14374805113813E-4</v>
      </c>
      <c r="F31259" s="2">
        <v>1.2050089501067899E-3</v>
      </c>
    </row>
    <row r="31260" spans="1:6" x14ac:dyDescent="0.25">
      <c r="A31260" s="1" t="str">
        <f t="shared" si="1118"/>
        <v>41180</v>
      </c>
      <c r="B31260" s="1" t="str">
        <f>"62090"</f>
        <v>62090</v>
      </c>
      <c r="C31260" s="2">
        <v>4.0244910695668199E-4</v>
      </c>
      <c r="D31260" s="2">
        <v>4.5589051996385997E-4</v>
      </c>
      <c r="E31260" s="2">
        <v>1.36420330526972E-4</v>
      </c>
      <c r="F31260" s="2">
        <v>3.9778252439009299E-4</v>
      </c>
    </row>
    <row r="31261" spans="1:6" x14ac:dyDescent="0.25">
      <c r="A31261" s="1" t="str">
        <f t="shared" si="1118"/>
        <v>41180</v>
      </c>
      <c r="B31261" s="1" t="str">
        <f>"62024"</f>
        <v>62024</v>
      </c>
      <c r="C31261" s="2">
        <v>3.4025905474036901E-3</v>
      </c>
      <c r="D31261" s="2">
        <v>3.0254552688510701E-3</v>
      </c>
      <c r="E31261" s="2">
        <v>3.56641721234798E-3</v>
      </c>
      <c r="F31261" s="2">
        <v>3.3785600402187902E-3</v>
      </c>
    </row>
    <row r="31262" spans="1:6" x14ac:dyDescent="0.25">
      <c r="A31262" s="1" t="str">
        <f t="shared" si="1118"/>
        <v>41180</v>
      </c>
      <c r="B31262" s="1" t="str">
        <f>"62208"</f>
        <v>62208</v>
      </c>
      <c r="C31262" s="2">
        <v>6.2087981790635996E-3</v>
      </c>
      <c r="D31262" s="2">
        <v>1.05103487148031E-2</v>
      </c>
      <c r="E31262" s="2">
        <v>6.3338010601808499E-3</v>
      </c>
      <c r="F31262" s="2">
        <v>6.5491588584030199E-3</v>
      </c>
    </row>
    <row r="31263" spans="1:6" x14ac:dyDescent="0.25">
      <c r="A31263" s="1" t="str">
        <f t="shared" si="1118"/>
        <v>41180</v>
      </c>
      <c r="B31263" s="1" t="str">
        <f>"62056"</f>
        <v>62056</v>
      </c>
      <c r="C31263" s="2">
        <v>1.0134135120829499E-4</v>
      </c>
      <c r="D31263" s="2">
        <v>2.4866755634392299E-5</v>
      </c>
      <c r="E31263" s="2">
        <v>0</v>
      </c>
      <c r="F31263" s="2">
        <v>9.1995306943637299E-5</v>
      </c>
    </row>
    <row r="31264" spans="1:6" x14ac:dyDescent="0.25">
      <c r="A31264" s="1" t="str">
        <f t="shared" si="1118"/>
        <v>41180</v>
      </c>
      <c r="B31264" s="1" t="str">
        <f>"63048"</f>
        <v>63048</v>
      </c>
      <c r="C31264" s="2">
        <v>1.29629440610322E-3</v>
      </c>
      <c r="D31264" s="2">
        <v>1.0609815737340699E-3</v>
      </c>
      <c r="E31264" s="2">
        <v>2.5335204240723401E-4</v>
      </c>
      <c r="F31264" s="2">
        <v>1.2432323522876001E-3</v>
      </c>
    </row>
    <row r="31265" spans="1:6" x14ac:dyDescent="0.25">
      <c r="A31265" s="1" t="str">
        <f t="shared" si="1118"/>
        <v>41180</v>
      </c>
      <c r="B31265" s="1" t="str">
        <f>"63037"</f>
        <v>63037</v>
      </c>
      <c r="C31265" s="2">
        <v>1.1533958101548399E-3</v>
      </c>
      <c r="D31265" s="2">
        <v>3.8129025306068298E-4</v>
      </c>
      <c r="E31265" s="2">
        <v>5.0670408481446802E-4</v>
      </c>
      <c r="F31265" s="2">
        <v>1.0715509696110901E-3</v>
      </c>
    </row>
    <row r="31266" spans="1:6" x14ac:dyDescent="0.25">
      <c r="A31266" s="1" t="str">
        <f t="shared" si="1118"/>
        <v>41180</v>
      </c>
      <c r="B31266" s="1" t="str">
        <f>"63039"</f>
        <v>63039</v>
      </c>
      <c r="C31266" s="2">
        <v>2.82151819551152E-4</v>
      </c>
      <c r="D31266" s="2">
        <v>2.3208971925432799E-4</v>
      </c>
      <c r="E31266" s="2">
        <v>1.94886186467103E-5</v>
      </c>
      <c r="F31266" s="2">
        <v>2.69507378088402E-4</v>
      </c>
    </row>
    <row r="31267" spans="1:6" x14ac:dyDescent="0.25">
      <c r="A31267" s="1" t="str">
        <f t="shared" si="1118"/>
        <v>41180</v>
      </c>
      <c r="B31267" s="1" t="str">
        <f>"63043"</f>
        <v>63043</v>
      </c>
      <c r="C31267" s="2">
        <v>7.6166409789428704E-3</v>
      </c>
      <c r="D31267" s="2">
        <v>1.20852432383146E-2</v>
      </c>
      <c r="E31267" s="2">
        <v>1.27455565949485E-2</v>
      </c>
      <c r="F31267" s="2">
        <v>8.1364018303178905E-3</v>
      </c>
    </row>
    <row r="31268" spans="1:6" x14ac:dyDescent="0.25">
      <c r="A31268" s="1" t="str">
        <f t="shared" si="1118"/>
        <v>41180</v>
      </c>
      <c r="B31268" s="1" t="str">
        <f>"63055"</f>
        <v>63055</v>
      </c>
      <c r="C31268" s="2">
        <v>8.2677044798709805E-4</v>
      </c>
      <c r="D31268" s="2">
        <v>6.3824672794940396E-4</v>
      </c>
      <c r="E31268" s="2">
        <v>2.5335204240723401E-4</v>
      </c>
      <c r="F31268" s="2">
        <v>7.9297363168318296E-4</v>
      </c>
    </row>
    <row r="31269" spans="1:6" x14ac:dyDescent="0.25">
      <c r="A31269" s="1" t="str">
        <f t="shared" si="1118"/>
        <v>41180</v>
      </c>
      <c r="B31269" s="1" t="str">
        <f>"63117"</f>
        <v>63117</v>
      </c>
      <c r="C31269" s="2">
        <v>4.0252201440359502E-3</v>
      </c>
      <c r="D31269" s="2">
        <v>9.0597879694636202E-3</v>
      </c>
      <c r="E31269" s="2">
        <v>8.0098222637979399E-3</v>
      </c>
      <c r="F31269" s="2">
        <v>4.5511762766130403E-3</v>
      </c>
    </row>
    <row r="31270" spans="1:6" x14ac:dyDescent="0.25">
      <c r="A31270" s="1" t="str">
        <f t="shared" si="1118"/>
        <v>41180</v>
      </c>
      <c r="B31270" s="1" t="str">
        <f>"63091"</f>
        <v>63091</v>
      </c>
      <c r="C31270" s="2">
        <v>5.6138734122580702E-5</v>
      </c>
      <c r="D31270" s="2">
        <v>8.2889185447974602E-6</v>
      </c>
      <c r="E31270" s="2">
        <v>0</v>
      </c>
      <c r="F31270" s="2">
        <v>5.0532633391575398E-5</v>
      </c>
    </row>
    <row r="31271" spans="1:6" x14ac:dyDescent="0.25">
      <c r="A31271" s="1" t="str">
        <f t="shared" si="1118"/>
        <v>41180</v>
      </c>
      <c r="B31271" s="1" t="str">
        <f>"63119"</f>
        <v>63119</v>
      </c>
      <c r="C31271" s="2">
        <v>1.2066182464009201E-2</v>
      </c>
      <c r="D31271" s="2">
        <v>1.4140895037424399E-2</v>
      </c>
      <c r="E31271" s="2">
        <v>9.2960710944808202E-3</v>
      </c>
      <c r="F31271" s="2">
        <v>1.21362541195433E-2</v>
      </c>
    </row>
    <row r="31272" spans="1:6" x14ac:dyDescent="0.25">
      <c r="A31272" s="1" t="str">
        <f t="shared" si="1118"/>
        <v>41180</v>
      </c>
      <c r="B31272" s="1" t="str">
        <f>"63121"</f>
        <v>63121</v>
      </c>
      <c r="C31272" s="2">
        <v>1.00349809930285E-2</v>
      </c>
      <c r="D31272" s="2">
        <v>6.5150899762107996E-3</v>
      </c>
      <c r="E31272" s="2">
        <v>1.8299812909260901E-2</v>
      </c>
      <c r="F31272" s="2">
        <v>1.00346148538732E-2</v>
      </c>
    </row>
    <row r="31273" spans="1:6" x14ac:dyDescent="0.25">
      <c r="A31273" s="1" t="str">
        <f t="shared" si="1118"/>
        <v>41180</v>
      </c>
      <c r="B31273" s="1" t="str">
        <f>"63021"</f>
        <v>63021</v>
      </c>
      <c r="C31273" s="2">
        <v>1.7081485737116101E-2</v>
      </c>
      <c r="D31273" s="2">
        <v>4.9236176156096899E-3</v>
      </c>
      <c r="E31273" s="2">
        <v>2.6348612410352301E-2</v>
      </c>
      <c r="F31273" s="2">
        <v>1.6439302209118201E-2</v>
      </c>
    </row>
    <row r="31274" spans="1:6" x14ac:dyDescent="0.25">
      <c r="A31274" s="1" t="str">
        <f t="shared" si="1118"/>
        <v>41180</v>
      </c>
      <c r="B31274" s="1" t="str">
        <f>"63015"</f>
        <v>63015</v>
      </c>
      <c r="C31274" s="2">
        <v>7.1740927761843401E-4</v>
      </c>
      <c r="D31274" s="2">
        <v>1.6577837089594899E-4</v>
      </c>
      <c r="E31274" s="2">
        <v>7.79544745868412E-5</v>
      </c>
      <c r="F31274" s="2">
        <v>6.53037108444974E-4</v>
      </c>
    </row>
    <row r="31275" spans="1:6" x14ac:dyDescent="0.25">
      <c r="A31275" s="1" t="str">
        <f t="shared" si="1118"/>
        <v>41180</v>
      </c>
      <c r="B31275" s="1" t="str">
        <f>"62649"</f>
        <v>62649</v>
      </c>
      <c r="C31275" s="2">
        <v>1.9247565984884801E-4</v>
      </c>
      <c r="D31275" s="2">
        <v>9.1178103992771995E-5</v>
      </c>
      <c r="E31275" s="2">
        <v>3.89772372934206E-5</v>
      </c>
      <c r="F31275" s="2">
        <v>1.7945563396751699E-4</v>
      </c>
    </row>
    <row r="31276" spans="1:6" x14ac:dyDescent="0.25">
      <c r="A31276" s="1" t="str">
        <f t="shared" si="1118"/>
        <v>41180</v>
      </c>
      <c r="B31276" s="1" t="str">
        <f>"63138"</f>
        <v>63138</v>
      </c>
      <c r="C31276" s="2">
        <v>6.9663065524838801E-3</v>
      </c>
      <c r="D31276" s="2">
        <v>3.6056795669868898E-3</v>
      </c>
      <c r="E31276" s="2">
        <v>7.9513564078578097E-3</v>
      </c>
      <c r="F31276" s="2">
        <v>6.7363887436615501E-3</v>
      </c>
    </row>
    <row r="31277" spans="1:6" x14ac:dyDescent="0.25">
      <c r="A31277" s="1" t="str">
        <f t="shared" si="1118"/>
        <v>41180</v>
      </c>
      <c r="B31277" s="1" t="str">
        <f>"63141"</f>
        <v>63141</v>
      </c>
      <c r="C31277" s="2">
        <v>7.5072798085742002E-3</v>
      </c>
      <c r="D31277" s="2">
        <v>2.4584932403869199E-2</v>
      </c>
      <c r="E31277" s="2">
        <v>1.4187714374805101E-2</v>
      </c>
      <c r="F31277" s="2">
        <v>9.0641291510452793E-3</v>
      </c>
    </row>
    <row r="31278" spans="1:6" x14ac:dyDescent="0.25">
      <c r="A31278" s="1" t="str">
        <f t="shared" si="1118"/>
        <v>41180</v>
      </c>
      <c r="B31278" s="1" t="str">
        <f>"63177"</f>
        <v>63177</v>
      </c>
      <c r="C31278" s="2">
        <v>4.7025303258525401E-4</v>
      </c>
      <c r="D31278" s="2">
        <v>2.2380080070953101E-3</v>
      </c>
      <c r="E31278" s="2">
        <v>3.89772372934206E-5</v>
      </c>
      <c r="F31278" s="2">
        <v>5.9408236948813595E-4</v>
      </c>
    </row>
    <row r="31279" spans="1:6" x14ac:dyDescent="0.25">
      <c r="A31279" s="1" t="str">
        <f t="shared" si="1118"/>
        <v>41180</v>
      </c>
      <c r="B31279" s="1" t="str">
        <f>"63369"</f>
        <v>63369</v>
      </c>
      <c r="C31279" s="2">
        <v>9.0988493746728199E-4</v>
      </c>
      <c r="D31279" s="2">
        <v>3.3984566033669502E-4</v>
      </c>
      <c r="E31279" s="2">
        <v>1.36420330526972E-4</v>
      </c>
      <c r="F31279" s="2">
        <v>8.3961913942925297E-4</v>
      </c>
    </row>
    <row r="31280" spans="1:6" x14ac:dyDescent="0.25">
      <c r="A31280" s="1" t="str">
        <f t="shared" si="1118"/>
        <v>41180</v>
      </c>
      <c r="B31280" s="1" t="str">
        <f>"63133"</f>
        <v>63133</v>
      </c>
      <c r="C31280" s="2">
        <v>2.8069367061290301E-3</v>
      </c>
      <c r="D31280" s="2">
        <v>3.4233233590013502E-3</v>
      </c>
      <c r="E31280" s="2">
        <v>9.93919550982226E-4</v>
      </c>
      <c r="F31280" s="2">
        <v>2.7948433391186702E-3</v>
      </c>
    </row>
    <row r="31281" spans="1:6" x14ac:dyDescent="0.25">
      <c r="A31281" s="1" t="str">
        <f t="shared" si="1118"/>
        <v>41180</v>
      </c>
      <c r="B31281" s="1" t="str">
        <f>"62638"</f>
        <v>62638</v>
      </c>
      <c r="C31281" s="2">
        <v>6.5616702221198204E-6</v>
      </c>
      <c r="D31281" s="2">
        <v>0</v>
      </c>
      <c r="E31281" s="2">
        <v>0</v>
      </c>
      <c r="F31281" s="2">
        <v>5.8306884682587E-6</v>
      </c>
    </row>
    <row r="31282" spans="1:6" x14ac:dyDescent="0.25">
      <c r="A31282" s="1" t="str">
        <f t="shared" si="1118"/>
        <v>41180</v>
      </c>
      <c r="B31282" s="1" t="str">
        <f>"63065"</f>
        <v>63065</v>
      </c>
      <c r="C31282" s="2">
        <v>0</v>
      </c>
      <c r="D31282" s="2">
        <v>0</v>
      </c>
      <c r="E31282" s="2">
        <v>1.94886186467103E-5</v>
      </c>
      <c r="F31282" s="2">
        <v>6.4785427425096698E-7</v>
      </c>
    </row>
    <row r="31283" spans="1:6" x14ac:dyDescent="0.25">
      <c r="A31283" s="1" t="str">
        <f t="shared" si="1118"/>
        <v>41180</v>
      </c>
      <c r="B31283" s="1" t="str">
        <f>"62026"</f>
        <v>62026</v>
      </c>
      <c r="C31283" s="2">
        <v>0</v>
      </c>
      <c r="D31283" s="2">
        <v>0</v>
      </c>
      <c r="E31283" s="2">
        <v>1.94886186467103E-5</v>
      </c>
      <c r="F31283" s="2">
        <v>6.4785427425096698E-7</v>
      </c>
    </row>
    <row r="31284" spans="1:6" x14ac:dyDescent="0.25">
      <c r="A31284" s="1" t="str">
        <f t="shared" si="1118"/>
        <v>41180</v>
      </c>
      <c r="B31284" s="1" t="str">
        <f>"63024"</f>
        <v>63024</v>
      </c>
      <c r="C31284" s="2">
        <v>3.0621127703225799E-5</v>
      </c>
      <c r="D31284" s="2">
        <v>1.90645126530341E-4</v>
      </c>
      <c r="E31284" s="2">
        <v>3.89772372934206E-5</v>
      </c>
      <c r="F31284" s="2">
        <v>4.3406236374814698E-5</v>
      </c>
    </row>
    <row r="31285" spans="1:6" x14ac:dyDescent="0.25">
      <c r="A31285" s="1" t="str">
        <f t="shared" si="1118"/>
        <v>41180</v>
      </c>
      <c r="B31285" s="1" t="str">
        <f>"62875"</f>
        <v>62875</v>
      </c>
      <c r="C31285" s="2">
        <v>1.0207042567741901E-5</v>
      </c>
      <c r="D31285" s="2">
        <v>0</v>
      </c>
      <c r="E31285" s="2">
        <v>0</v>
      </c>
      <c r="F31285" s="2">
        <v>9.0699598395135299E-6</v>
      </c>
    </row>
    <row r="31286" spans="1:6" x14ac:dyDescent="0.25">
      <c r="A31286" s="1" t="str">
        <f t="shared" si="1118"/>
        <v>41180</v>
      </c>
      <c r="B31286" s="1" t="str">
        <f>"62882"</f>
        <v>62882</v>
      </c>
      <c r="C31286" s="2">
        <v>1.6039638320737301E-5</v>
      </c>
      <c r="D31286" s="2">
        <v>8.2889185447974602E-6</v>
      </c>
      <c r="E31286" s="2">
        <v>0</v>
      </c>
      <c r="F31286" s="2">
        <v>1.49006483077722E-5</v>
      </c>
    </row>
    <row r="31287" spans="1:6" x14ac:dyDescent="0.25">
      <c r="A31287" s="1" t="str">
        <f t="shared" si="1118"/>
        <v>41180</v>
      </c>
      <c r="B31287" s="1" t="str">
        <f>"62017"</f>
        <v>62017</v>
      </c>
      <c r="C31287" s="2">
        <v>3.6453723456221201E-6</v>
      </c>
      <c r="D31287" s="2">
        <v>0</v>
      </c>
      <c r="E31287" s="2">
        <v>0</v>
      </c>
      <c r="F31287" s="2">
        <v>3.2392713712548299E-6</v>
      </c>
    </row>
    <row r="31288" spans="1:6" x14ac:dyDescent="0.25">
      <c r="A31288" s="1" t="str">
        <f t="shared" si="1118"/>
        <v>41180</v>
      </c>
      <c r="B31288" s="1" t="str">
        <f>"63348"</f>
        <v>63348</v>
      </c>
      <c r="C31288" s="2">
        <v>3.0154520042986201E-3</v>
      </c>
      <c r="D31288" s="2">
        <v>9.0349212138292302E-4</v>
      </c>
      <c r="E31288" s="2">
        <v>1.94886186467103E-5</v>
      </c>
      <c r="F31288" s="2">
        <v>2.7507892484695999E-3</v>
      </c>
    </row>
    <row r="31289" spans="1:6" x14ac:dyDescent="0.25">
      <c r="A31289" s="1" t="str">
        <f t="shared" si="1118"/>
        <v>41180</v>
      </c>
      <c r="B31289" s="1" t="str">
        <f>"63343"</f>
        <v>63343</v>
      </c>
      <c r="C31289" s="2">
        <v>1.6469792257520701E-3</v>
      </c>
      <c r="D31289" s="2">
        <v>1.30964913007799E-3</v>
      </c>
      <c r="E31289" s="2">
        <v>9.3545369504209499E-4</v>
      </c>
      <c r="F31289" s="2">
        <v>1.5969607860286299E-3</v>
      </c>
    </row>
    <row r="31290" spans="1:6" x14ac:dyDescent="0.25">
      <c r="A31290" s="1" t="str">
        <f t="shared" si="1118"/>
        <v>41180</v>
      </c>
      <c r="B31290" s="1" t="str">
        <f>"62231"</f>
        <v>62231</v>
      </c>
      <c r="C31290" s="2">
        <v>2.6421658761069098E-3</v>
      </c>
      <c r="D31290" s="2">
        <v>2.79336554959674E-3</v>
      </c>
      <c r="E31290" s="2">
        <v>5.6516994075459903E-4</v>
      </c>
      <c r="F31290" s="2">
        <v>2.5849385542613501E-3</v>
      </c>
    </row>
    <row r="31291" spans="1:6" x14ac:dyDescent="0.25">
      <c r="A31291" s="1" t="str">
        <f t="shared" si="1118"/>
        <v>41180</v>
      </c>
      <c r="B31291" s="1" t="str">
        <f>"62248"</f>
        <v>62248</v>
      </c>
      <c r="C31291" s="2">
        <v>1.22484510812903E-4</v>
      </c>
      <c r="D31291" s="2">
        <v>0</v>
      </c>
      <c r="E31291" s="2">
        <v>5.8465855940130903E-5</v>
      </c>
      <c r="F31291" s="2">
        <v>1.1078308089691499E-4</v>
      </c>
    </row>
    <row r="31292" spans="1:6" x14ac:dyDescent="0.25">
      <c r="A31292" s="1" t="str">
        <f t="shared" si="1118"/>
        <v>41180</v>
      </c>
      <c r="B31292" s="1" t="str">
        <f>"62045"</f>
        <v>62045</v>
      </c>
      <c r="C31292" s="2">
        <v>1.77165095997235E-4</v>
      </c>
      <c r="D31292" s="2">
        <v>2.4866755634392299E-5</v>
      </c>
      <c r="E31292" s="2">
        <v>5.8465855940130903E-5</v>
      </c>
      <c r="F31292" s="2">
        <v>1.6131571428848999E-4</v>
      </c>
    </row>
    <row r="31293" spans="1:6" x14ac:dyDescent="0.25">
      <c r="A31293" s="1" t="str">
        <f t="shared" si="1118"/>
        <v>41180</v>
      </c>
      <c r="B31293" s="1" t="str">
        <f>"62216"</f>
        <v>62216</v>
      </c>
      <c r="C31293" s="2">
        <v>9.1644660768940196E-4</v>
      </c>
      <c r="D31293" s="2">
        <v>3.3984566033669502E-4</v>
      </c>
      <c r="E31293" s="2">
        <v>9.7443093233551598E-5</v>
      </c>
      <c r="F31293" s="2">
        <v>8.4415411934901001E-4</v>
      </c>
    </row>
    <row r="31294" spans="1:6" x14ac:dyDescent="0.25">
      <c r="A31294" s="1" t="str">
        <f t="shared" si="1118"/>
        <v>41180</v>
      </c>
      <c r="B31294" s="1" t="str">
        <f>"62069"</f>
        <v>62069</v>
      </c>
      <c r="C31294" s="2">
        <v>1.22047066131428E-3</v>
      </c>
      <c r="D31294" s="2">
        <v>7.37713750486973E-4</v>
      </c>
      <c r="E31294" s="2">
        <v>3.3130651699407501E-4</v>
      </c>
      <c r="F31294" s="2">
        <v>1.1531806081667201E-3</v>
      </c>
    </row>
    <row r="31295" spans="1:6" x14ac:dyDescent="0.25">
      <c r="A31295" s="1" t="str">
        <f t="shared" si="1118"/>
        <v>41180</v>
      </c>
      <c r="B31295" s="1" t="str">
        <f>"62095"</f>
        <v>62095</v>
      </c>
      <c r="C31295" s="2">
        <v>3.88596692043318E-3</v>
      </c>
      <c r="D31295" s="2">
        <v>4.0449922498611603E-3</v>
      </c>
      <c r="E31295" s="2">
        <v>2.3191456189585202E-3</v>
      </c>
      <c r="F31295" s="2">
        <v>3.84631082622799E-3</v>
      </c>
    </row>
    <row r="31296" spans="1:6" x14ac:dyDescent="0.25">
      <c r="A31296" s="1" t="str">
        <f t="shared" si="1118"/>
        <v>41180</v>
      </c>
      <c r="B31296" s="1" t="str">
        <f>"62013"</f>
        <v>62013</v>
      </c>
      <c r="C31296" s="2">
        <v>3.4558129836497701E-4</v>
      </c>
      <c r="D31296" s="2">
        <v>1.8235620798554399E-4</v>
      </c>
      <c r="E31296" s="2">
        <v>5.8465855940130903E-5</v>
      </c>
      <c r="F31296" s="2">
        <v>3.2327928285123201E-4</v>
      </c>
    </row>
    <row r="31297" spans="1:6" x14ac:dyDescent="0.25">
      <c r="A31297" s="1" t="str">
        <f t="shared" si="1118"/>
        <v>41180</v>
      </c>
      <c r="B31297" s="1" t="str">
        <f>"62054"</f>
        <v>62054</v>
      </c>
      <c r="C31297" s="2">
        <v>2.58092362070046E-4</v>
      </c>
      <c r="D31297" s="2">
        <v>1.65778370895949E-5</v>
      </c>
      <c r="E31297" s="2">
        <v>0</v>
      </c>
      <c r="F31297" s="2">
        <v>2.3063612163334399E-4</v>
      </c>
    </row>
    <row r="31298" spans="1:6" x14ac:dyDescent="0.25">
      <c r="A31298" s="1" t="str">
        <f t="shared" si="1118"/>
        <v>41180</v>
      </c>
      <c r="B31298" s="1" t="str">
        <f>"62219"</f>
        <v>62219</v>
      </c>
      <c r="C31298" s="2">
        <v>2.9454608552626703E-4</v>
      </c>
      <c r="D31298" s="2">
        <v>1.65778370895949E-5</v>
      </c>
      <c r="E31298" s="2">
        <v>1.94886186467103E-5</v>
      </c>
      <c r="F31298" s="2">
        <v>2.6367668962014301E-4</v>
      </c>
    </row>
    <row r="31299" spans="1:6" x14ac:dyDescent="0.25">
      <c r="A31299" s="1" t="str">
        <f t="shared" si="1118"/>
        <v>41180</v>
      </c>
      <c r="B31299" s="1" t="str">
        <f>"63104"</f>
        <v>63104</v>
      </c>
      <c r="C31299" s="2">
        <v>8.5141316504350299E-3</v>
      </c>
      <c r="D31299" s="2">
        <v>7.8661836990127805E-3</v>
      </c>
      <c r="E31299" s="2">
        <v>1.6000155908949099E-2</v>
      </c>
      <c r="F31299" s="2">
        <v>8.7123442801270001E-3</v>
      </c>
    </row>
    <row r="31300" spans="1:6" x14ac:dyDescent="0.25">
      <c r="A31300" s="1" t="str">
        <f t="shared" si="1118"/>
        <v>41180</v>
      </c>
      <c r="B31300" s="1" t="str">
        <f>"63042"</f>
        <v>63042</v>
      </c>
      <c r="C31300" s="2">
        <v>7.1937777868507002E-3</v>
      </c>
      <c r="D31300" s="2">
        <v>1.0560082226071899E-2</v>
      </c>
      <c r="E31300" s="2">
        <v>1.56493607733083E-2</v>
      </c>
      <c r="F31300" s="2">
        <v>7.7379714516535502E-3</v>
      </c>
    </row>
    <row r="31301" spans="1:6" x14ac:dyDescent="0.25">
      <c r="A31301" s="1" t="str">
        <f t="shared" si="1118"/>
        <v>41180</v>
      </c>
      <c r="B31301" s="1" t="str">
        <f>"63114"</f>
        <v>63114</v>
      </c>
      <c r="C31301" s="2">
        <v>1.2528415677434099E-2</v>
      </c>
      <c r="D31301" s="2">
        <v>1.11485954427525E-2</v>
      </c>
      <c r="E31301" s="2">
        <v>1.26676021203617E-2</v>
      </c>
      <c r="F31301" s="2">
        <v>1.24251971258592E-2</v>
      </c>
    </row>
    <row r="31302" spans="1:6" x14ac:dyDescent="0.25">
      <c r="A31302" s="1" t="str">
        <f t="shared" si="1118"/>
        <v>41180</v>
      </c>
      <c r="B31302" s="1" t="str">
        <f>"63120"</f>
        <v>63120</v>
      </c>
      <c r="C31302" s="2">
        <v>3.5447600688829498E-3</v>
      </c>
      <c r="D31302" s="2">
        <v>2.6938985270591699E-3</v>
      </c>
      <c r="E31302" s="2">
        <v>3.7807920174618001E-3</v>
      </c>
      <c r="F31302" s="2">
        <v>3.4861038497444501E-3</v>
      </c>
    </row>
    <row r="31303" spans="1:6" x14ac:dyDescent="0.25">
      <c r="A31303" s="1" t="str">
        <f t="shared" si="1118"/>
        <v>41180</v>
      </c>
      <c r="B31303" s="1" t="str">
        <f>"63111"</f>
        <v>63111</v>
      </c>
      <c r="C31303" s="2">
        <v>7.9782619156285803E-3</v>
      </c>
      <c r="D31303" s="2">
        <v>5.7939540628134199E-3</v>
      </c>
      <c r="E31303" s="2">
        <v>1.3973339569691301E-2</v>
      </c>
      <c r="F31303" s="2">
        <v>8.0068309754676992E-3</v>
      </c>
    </row>
    <row r="31304" spans="1:6" x14ac:dyDescent="0.25">
      <c r="A31304" s="1" t="str">
        <f t="shared" si="1118"/>
        <v>41180</v>
      </c>
      <c r="B31304" s="1" t="str">
        <f>"62801"</f>
        <v>62801</v>
      </c>
      <c r="C31304" s="2">
        <v>1.4326313318294901E-3</v>
      </c>
      <c r="D31304" s="2">
        <v>1.3842493969811701E-3</v>
      </c>
      <c r="E31304" s="2">
        <v>4.8721546616775798E-4</v>
      </c>
      <c r="F31304" s="2">
        <v>1.3974216695593301E-3</v>
      </c>
    </row>
    <row r="31305" spans="1:6" x14ac:dyDescent="0.25">
      <c r="A31305" s="1" t="str">
        <f t="shared" si="1118"/>
        <v>41180</v>
      </c>
      <c r="B31305" s="1" t="str">
        <f>"63028"</f>
        <v>63028</v>
      </c>
      <c r="C31305" s="2">
        <v>9.1360321725981707E-3</v>
      </c>
      <c r="D31305" s="2">
        <v>7.8330280248335906E-3</v>
      </c>
      <c r="E31305" s="2">
        <v>4.4044278141565302E-3</v>
      </c>
      <c r="F31305" s="2">
        <v>8.8768992657867508E-3</v>
      </c>
    </row>
    <row r="31306" spans="1:6" x14ac:dyDescent="0.25">
      <c r="A31306" s="1" t="str">
        <f t="shared" si="1118"/>
        <v>41180</v>
      </c>
      <c r="B31306" s="1" t="str">
        <f>"62626"</f>
        <v>62626</v>
      </c>
      <c r="C31306" s="2">
        <v>2.7806900252405498E-3</v>
      </c>
      <c r="D31306" s="2">
        <v>3.8709249604204098E-3</v>
      </c>
      <c r="E31306" s="2">
        <v>2.5335204240723398E-3</v>
      </c>
      <c r="F31306" s="2">
        <v>2.8576852037210101E-3</v>
      </c>
    </row>
    <row r="31307" spans="1:6" x14ac:dyDescent="0.25">
      <c r="A31307" s="1" t="str">
        <f t="shared" si="1118"/>
        <v>41180</v>
      </c>
      <c r="B31307" s="1" t="str">
        <f>"62279"</f>
        <v>62279</v>
      </c>
      <c r="C31307" s="2">
        <v>7.2907446912442497E-7</v>
      </c>
      <c r="D31307" s="2">
        <v>0</v>
      </c>
      <c r="E31307" s="2">
        <v>1.94886186467103E-5</v>
      </c>
      <c r="F31307" s="2">
        <v>1.2957085485019299E-6</v>
      </c>
    </row>
    <row r="31308" spans="1:6" x14ac:dyDescent="0.25">
      <c r="A31308" s="1" t="str">
        <f t="shared" si="1118"/>
        <v>41180</v>
      </c>
      <c r="B31308" s="1" t="str">
        <f>"63346"</f>
        <v>63346</v>
      </c>
      <c r="C31308" s="2">
        <v>0</v>
      </c>
      <c r="D31308" s="2">
        <v>0</v>
      </c>
      <c r="E31308" s="2">
        <v>1.94886186467103E-5</v>
      </c>
      <c r="F31308" s="2">
        <v>6.4785427425096698E-7</v>
      </c>
    </row>
    <row r="31309" spans="1:6" x14ac:dyDescent="0.25">
      <c r="A31309" s="1" t="str">
        <f t="shared" si="1118"/>
        <v>41180</v>
      </c>
      <c r="B31309" s="1" t="str">
        <f>"63087"</f>
        <v>63087</v>
      </c>
      <c r="C31309" s="2">
        <v>3.7911872394470103E-5</v>
      </c>
      <c r="D31309" s="2">
        <v>8.2889185447974602E-6</v>
      </c>
      <c r="E31309" s="2">
        <v>1.94886186467103E-5</v>
      </c>
      <c r="F31309" s="2">
        <v>3.4984130809552198E-5</v>
      </c>
    </row>
    <row r="31310" spans="1:6" x14ac:dyDescent="0.25">
      <c r="A31310" s="1" t="str">
        <f t="shared" si="1118"/>
        <v>41180</v>
      </c>
      <c r="B31310" s="1" t="str">
        <f>"62256"</f>
        <v>62256</v>
      </c>
      <c r="C31310" s="2">
        <v>0</v>
      </c>
      <c r="D31310" s="2">
        <v>0</v>
      </c>
      <c r="E31310" s="2">
        <v>1.94886186467103E-5</v>
      </c>
      <c r="F31310" s="2">
        <v>6.4785427425096698E-7</v>
      </c>
    </row>
    <row r="31311" spans="1:6" x14ac:dyDescent="0.25">
      <c r="A31311" s="1" t="str">
        <f t="shared" si="1118"/>
        <v>41180</v>
      </c>
      <c r="B31311" s="1" t="str">
        <f>"63171"</f>
        <v>63171</v>
      </c>
      <c r="C31311" s="2">
        <v>0</v>
      </c>
      <c r="D31311" s="2">
        <v>8.2889185447974602E-6</v>
      </c>
      <c r="E31311" s="2">
        <v>0</v>
      </c>
      <c r="F31311" s="2">
        <v>6.4785427425096698E-7</v>
      </c>
    </row>
    <row r="31312" spans="1:6" x14ac:dyDescent="0.25">
      <c r="A31312" s="1" t="str">
        <f t="shared" si="1118"/>
        <v>41180</v>
      </c>
      <c r="B31312" s="1" t="str">
        <f>"62091"</f>
        <v>62091</v>
      </c>
      <c r="C31312" s="2">
        <v>7.2907446912442497E-7</v>
      </c>
      <c r="D31312" s="2">
        <v>0</v>
      </c>
      <c r="E31312" s="2">
        <v>0</v>
      </c>
      <c r="F31312" s="2">
        <v>6.4785427425096698E-7</v>
      </c>
    </row>
    <row r="31313" spans="1:6" x14ac:dyDescent="0.25">
      <c r="A31313" s="1" t="str">
        <f t="shared" si="1118"/>
        <v>41180</v>
      </c>
      <c r="B31313" s="1" t="str">
        <f>"63167"</f>
        <v>63167</v>
      </c>
      <c r="C31313" s="2">
        <v>0</v>
      </c>
      <c r="D31313" s="2">
        <v>8.2889185447974602E-6</v>
      </c>
      <c r="E31313" s="2">
        <v>0</v>
      </c>
      <c r="F31313" s="2">
        <v>6.4785427425096698E-7</v>
      </c>
    </row>
    <row r="31314" spans="1:6" x14ac:dyDescent="0.25">
      <c r="A31314" s="1" t="str">
        <f t="shared" si="1118"/>
        <v>41180</v>
      </c>
      <c r="B31314" s="1" t="str">
        <f>"63006"</f>
        <v>63006</v>
      </c>
      <c r="C31314" s="2">
        <v>1.0433055653170499E-3</v>
      </c>
      <c r="D31314" s="2">
        <v>6.11722188606052E-3</v>
      </c>
      <c r="E31314" s="2">
        <v>7.79544745868412E-5</v>
      </c>
      <c r="F31314" s="2">
        <v>1.40778733794735E-3</v>
      </c>
    </row>
    <row r="31315" spans="1:6" x14ac:dyDescent="0.25">
      <c r="A31315" s="1" t="str">
        <f t="shared" si="1118"/>
        <v>41180</v>
      </c>
      <c r="B31315" s="1" t="str">
        <f>"63178"</f>
        <v>63178</v>
      </c>
      <c r="C31315" s="2">
        <v>3.6235001115483899E-4</v>
      </c>
      <c r="D31315" s="2">
        <v>6.46535646494201E-4</v>
      </c>
      <c r="E31315" s="2">
        <v>3.89772372934206E-5</v>
      </c>
      <c r="F31315" s="2">
        <v>3.7381191624280801E-4</v>
      </c>
    </row>
    <row r="31316" spans="1:6" x14ac:dyDescent="0.25">
      <c r="A31316" s="1" t="str">
        <f t="shared" si="1118"/>
        <v>41180</v>
      </c>
      <c r="B31316" s="1" t="str">
        <f>"63373"</f>
        <v>63373</v>
      </c>
      <c r="C31316" s="2">
        <v>2.3840735140368699E-4</v>
      </c>
      <c r="D31316" s="2">
        <v>2.3208971925432799E-4</v>
      </c>
      <c r="E31316" s="2">
        <v>1.36420330526972E-4</v>
      </c>
      <c r="F31316" s="2">
        <v>2.3452324727885E-4</v>
      </c>
    </row>
    <row r="31317" spans="1:6" x14ac:dyDescent="0.25">
      <c r="A31317" s="1" t="str">
        <f t="shared" ref="A31317:A31360" si="1119">"41180"</f>
        <v>41180</v>
      </c>
      <c r="B31317" s="1" t="str">
        <f>"63351"</f>
        <v>63351</v>
      </c>
      <c r="C31317" s="2">
        <v>2.2601308542857099E-4</v>
      </c>
      <c r="D31317" s="2">
        <v>2.4866755634392299E-5</v>
      </c>
      <c r="E31317" s="2">
        <v>0</v>
      </c>
      <c r="F31317" s="2">
        <v>2.0277838784055199E-4</v>
      </c>
    </row>
    <row r="31318" spans="1:6" x14ac:dyDescent="0.25">
      <c r="A31318" s="1" t="str">
        <f t="shared" si="1119"/>
        <v>41180</v>
      </c>
      <c r="B31318" s="1" t="str">
        <f>"62239"</f>
        <v>62239</v>
      </c>
      <c r="C31318" s="2">
        <v>1.6972853641216601E-3</v>
      </c>
      <c r="D31318" s="2">
        <v>1.1936042704508299E-3</v>
      </c>
      <c r="E31318" s="2">
        <v>1.5201122544434001E-3</v>
      </c>
      <c r="F31318" s="2">
        <v>1.65202839933996E-3</v>
      </c>
    </row>
    <row r="31319" spans="1:6" x14ac:dyDescent="0.25">
      <c r="A31319" s="1" t="str">
        <f t="shared" si="1119"/>
        <v>41180</v>
      </c>
      <c r="B31319" s="1" t="str">
        <f>"62258"</f>
        <v>62258</v>
      </c>
      <c r="C31319" s="2">
        <v>3.4383151963907799E-3</v>
      </c>
      <c r="D31319" s="2">
        <v>2.1302520660129399E-3</v>
      </c>
      <c r="E31319" s="2">
        <v>2.6699407545993101E-3</v>
      </c>
      <c r="F31319" s="2">
        <v>3.3105353414224401E-3</v>
      </c>
    </row>
    <row r="31320" spans="1:6" x14ac:dyDescent="0.25">
      <c r="A31320" s="1" t="str">
        <f t="shared" si="1119"/>
        <v>41180</v>
      </c>
      <c r="B31320" s="1" t="str">
        <f>"62230"</f>
        <v>62230</v>
      </c>
      <c r="C31320" s="2">
        <v>2.0720296412516099E-3</v>
      </c>
      <c r="D31320" s="2">
        <v>2.6027204230663998E-3</v>
      </c>
      <c r="E31320" s="2">
        <v>6.2363579669473003E-4</v>
      </c>
      <c r="F31320" s="2">
        <v>2.0653594263120799E-3</v>
      </c>
    </row>
    <row r="31321" spans="1:6" x14ac:dyDescent="0.25">
      <c r="A31321" s="1" t="str">
        <f t="shared" si="1119"/>
        <v>41180</v>
      </c>
      <c r="B31321" s="1" t="str">
        <f>"62243"</f>
        <v>62243</v>
      </c>
      <c r="C31321" s="2">
        <v>2.0807785348811001E-3</v>
      </c>
      <c r="D31321" s="2">
        <v>1.7075172202282701E-3</v>
      </c>
      <c r="E31321" s="2">
        <v>1.0913626442157699E-3</v>
      </c>
      <c r="F31321" s="2">
        <v>2.0187139185660098E-3</v>
      </c>
    </row>
    <row r="31322" spans="1:6" x14ac:dyDescent="0.25">
      <c r="A31322" s="1" t="str">
        <f t="shared" si="1119"/>
        <v>41180</v>
      </c>
      <c r="B31322" s="1" t="str">
        <f>"62249"</f>
        <v>62249</v>
      </c>
      <c r="C31322" s="2">
        <v>5.2675630394239696E-3</v>
      </c>
      <c r="D31322" s="2">
        <v>6.0011770264333597E-3</v>
      </c>
      <c r="E31322" s="2">
        <v>7.3472092298097896E-3</v>
      </c>
      <c r="F31322" s="2">
        <v>5.3940346874135504E-3</v>
      </c>
    </row>
    <row r="31323" spans="1:6" x14ac:dyDescent="0.25">
      <c r="A31323" s="1" t="str">
        <f t="shared" si="1119"/>
        <v>41180</v>
      </c>
      <c r="B31323" s="1" t="str">
        <f>"62254"</f>
        <v>62254</v>
      </c>
      <c r="C31323" s="2">
        <v>2.1150450349299499E-3</v>
      </c>
      <c r="D31323" s="2">
        <v>1.6246280347803001E-3</v>
      </c>
      <c r="E31323" s="2">
        <v>1.42266916120985E-3</v>
      </c>
      <c r="F31323" s="2">
        <v>2.0536980493755601E-3</v>
      </c>
    </row>
    <row r="31324" spans="1:6" x14ac:dyDescent="0.25">
      <c r="A31324" s="1" t="str">
        <f t="shared" si="1119"/>
        <v>41180</v>
      </c>
      <c r="B31324" s="1" t="str">
        <f>"62025"</f>
        <v>62025</v>
      </c>
      <c r="C31324" s="2">
        <v>1.1426784154587101E-2</v>
      </c>
      <c r="D31324" s="2">
        <v>1.39336720738045E-2</v>
      </c>
      <c r="E31324" s="2">
        <v>1.32132834424695E-2</v>
      </c>
      <c r="F31324" s="2">
        <v>1.16821082732934E-2</v>
      </c>
    </row>
    <row r="31325" spans="1:6" x14ac:dyDescent="0.25">
      <c r="A31325" s="1" t="str">
        <f t="shared" si="1119"/>
        <v>41180</v>
      </c>
      <c r="B31325" s="1" t="str">
        <f>"62040"</f>
        <v>62040</v>
      </c>
      <c r="C31325" s="2">
        <v>1.53353523835631E-2</v>
      </c>
      <c r="D31325" s="2">
        <v>1.4066294770521201E-2</v>
      </c>
      <c r="E31325" s="2">
        <v>1.3700498908637299E-2</v>
      </c>
      <c r="F31325" s="2">
        <v>1.5181817062797099E-2</v>
      </c>
    </row>
    <row r="31326" spans="1:6" x14ac:dyDescent="0.25">
      <c r="A31326" s="1" t="str">
        <f t="shared" si="1119"/>
        <v>41180</v>
      </c>
      <c r="B31326" s="1" t="str">
        <f>"62034"</f>
        <v>62034</v>
      </c>
      <c r="C31326" s="2">
        <v>4.8782372729115203E-3</v>
      </c>
      <c r="D31326" s="2">
        <v>3.8543471233308101E-3</v>
      </c>
      <c r="E31326" s="2">
        <v>4.7747115684440202E-3</v>
      </c>
      <c r="F31326" s="2">
        <v>4.7947694837314004E-3</v>
      </c>
    </row>
    <row r="31327" spans="1:6" x14ac:dyDescent="0.25">
      <c r="A31327" s="1" t="str">
        <f t="shared" si="1119"/>
        <v>41180</v>
      </c>
      <c r="B31327" s="1" t="str">
        <f>"62061"</f>
        <v>62061</v>
      </c>
      <c r="C31327" s="2">
        <v>5.5118029865806504E-4</v>
      </c>
      <c r="D31327" s="2">
        <v>2.5695647488872098E-4</v>
      </c>
      <c r="E31327" s="2">
        <v>1.1693171188026099E-4</v>
      </c>
      <c r="F31327" s="2">
        <v>5.1374843948101599E-4</v>
      </c>
    </row>
    <row r="31328" spans="1:6" x14ac:dyDescent="0.25">
      <c r="A31328" s="1" t="str">
        <f t="shared" si="1119"/>
        <v>41180</v>
      </c>
      <c r="B31328" s="1" t="str">
        <f>"62065"</f>
        <v>62065</v>
      </c>
      <c r="C31328" s="2">
        <v>6.8533000097695902E-5</v>
      </c>
      <c r="D31328" s="2">
        <v>3.31556741791898E-5</v>
      </c>
      <c r="E31328" s="2">
        <v>1.94886186467103E-5</v>
      </c>
      <c r="F31328" s="2">
        <v>6.4137573150845699E-5</v>
      </c>
    </row>
    <row r="31329" spans="1:6" x14ac:dyDescent="0.25">
      <c r="A31329" s="1" t="str">
        <f t="shared" si="1119"/>
        <v>41180</v>
      </c>
      <c r="B31329" s="1" t="str">
        <f>"62203"</f>
        <v>62203</v>
      </c>
      <c r="C31329" s="2">
        <v>2.5648839823797201E-3</v>
      </c>
      <c r="D31329" s="2">
        <v>1.9727626136617901E-3</v>
      </c>
      <c r="E31329" s="2">
        <v>7.0159027128157097E-4</v>
      </c>
      <c r="F31329" s="2">
        <v>2.45666340795966E-3</v>
      </c>
    </row>
    <row r="31330" spans="1:6" x14ac:dyDescent="0.25">
      <c r="A31330" s="1" t="str">
        <f t="shared" si="1119"/>
        <v>41180</v>
      </c>
      <c r="B31330" s="1" t="str">
        <f>"62202"</f>
        <v>62202</v>
      </c>
      <c r="C31330" s="2">
        <v>9.0696863959078503E-4</v>
      </c>
      <c r="D31330" s="2">
        <v>1.24333778171961E-3</v>
      </c>
      <c r="E31330" s="2">
        <v>3.89772372934206E-5</v>
      </c>
      <c r="F31330" s="2">
        <v>9.0440456685434995E-4</v>
      </c>
    </row>
    <row r="31331" spans="1:6" x14ac:dyDescent="0.25">
      <c r="A31331" s="1" t="str">
        <f t="shared" si="1119"/>
        <v>41180</v>
      </c>
      <c r="B31331" s="1" t="str">
        <f>"62087"</f>
        <v>62087</v>
      </c>
      <c r="C31331" s="2">
        <v>6.2992034132350295E-4</v>
      </c>
      <c r="D31331" s="2">
        <v>3.9786809015027798E-4</v>
      </c>
      <c r="E31331" s="2">
        <v>4.09260991580916E-4</v>
      </c>
      <c r="F31331" s="2">
        <v>6.0444803787615203E-4</v>
      </c>
    </row>
    <row r="31332" spans="1:6" x14ac:dyDescent="0.25">
      <c r="A31332" s="1" t="str">
        <f t="shared" si="1119"/>
        <v>41180</v>
      </c>
      <c r="B31332" s="1" t="str">
        <f>"63074"</f>
        <v>63074</v>
      </c>
      <c r="C31332" s="2">
        <v>5.9317498807963196E-3</v>
      </c>
      <c r="D31332" s="2">
        <v>5.4872640766559103E-3</v>
      </c>
      <c r="E31332" s="2">
        <v>8.9062987215466106E-3</v>
      </c>
      <c r="F31332" s="2">
        <v>5.9958913081927002E-3</v>
      </c>
    </row>
    <row r="31333" spans="1:6" x14ac:dyDescent="0.25">
      <c r="A31333" s="1" t="str">
        <f t="shared" si="1119"/>
        <v>41180</v>
      </c>
      <c r="B31333" s="1" t="str">
        <f>"63077"</f>
        <v>63077</v>
      </c>
      <c r="C31333" s="2">
        <v>4.1878037506506904E-3</v>
      </c>
      <c r="D31333" s="2">
        <v>3.53936821862851E-3</v>
      </c>
      <c r="E31333" s="2">
        <v>3.4105082631743001E-3</v>
      </c>
      <c r="F31333" s="2">
        <v>4.11128322439663E-3</v>
      </c>
    </row>
    <row r="31334" spans="1:6" x14ac:dyDescent="0.25">
      <c r="A31334" s="1" t="str">
        <f t="shared" si="1119"/>
        <v>41180</v>
      </c>
      <c r="B31334" s="1" t="str">
        <f>"63108"</f>
        <v>63108</v>
      </c>
      <c r="C31334" s="2">
        <v>1.07961347387944E-2</v>
      </c>
      <c r="D31334" s="2">
        <v>1.11568843612973E-2</v>
      </c>
      <c r="E31334" s="2">
        <v>1.8065949485500402E-2</v>
      </c>
      <c r="F31334" s="2">
        <v>1.10659988584807E-2</v>
      </c>
    </row>
    <row r="31335" spans="1:6" x14ac:dyDescent="0.25">
      <c r="A31335" s="1" t="str">
        <f t="shared" si="1119"/>
        <v>41180</v>
      </c>
      <c r="B31335" s="1" t="str">
        <f>"63110"</f>
        <v>63110</v>
      </c>
      <c r="C31335" s="2">
        <v>8.0001341497023103E-3</v>
      </c>
      <c r="D31335" s="2">
        <v>1.0419170610810401E-2</v>
      </c>
      <c r="E31335" s="2">
        <v>1.6389928281883299E-2</v>
      </c>
      <c r="F31335" s="2">
        <v>8.4681032187343894E-3</v>
      </c>
    </row>
    <row r="31336" spans="1:6" x14ac:dyDescent="0.25">
      <c r="A31336" s="1" t="str">
        <f t="shared" si="1119"/>
        <v>41180</v>
      </c>
      <c r="B31336" s="1" t="str">
        <f>"63034"</f>
        <v>63034</v>
      </c>
      <c r="C31336" s="2">
        <v>5.3339088161142899E-3</v>
      </c>
      <c r="D31336" s="2">
        <v>1.53344993078753E-3</v>
      </c>
      <c r="E31336" s="2">
        <v>1.5396008730901101E-3</v>
      </c>
      <c r="F31336" s="2">
        <v>4.9107353988223296E-3</v>
      </c>
    </row>
    <row r="31337" spans="1:6" x14ac:dyDescent="0.25">
      <c r="A31337" s="1" t="str">
        <f t="shared" si="1119"/>
        <v>41180</v>
      </c>
      <c r="B31337" s="1" t="str">
        <f>"63113"</f>
        <v>63113</v>
      </c>
      <c r="C31337" s="2">
        <v>6.3050360089880299E-3</v>
      </c>
      <c r="D31337" s="2">
        <v>6.9129580663610801E-3</v>
      </c>
      <c r="E31337" s="2">
        <v>4.9890863735578403E-3</v>
      </c>
      <c r="F31337" s="2">
        <v>6.3088049226559103E-3</v>
      </c>
    </row>
    <row r="31338" spans="1:6" x14ac:dyDescent="0.25">
      <c r="A31338" s="1" t="str">
        <f t="shared" si="1119"/>
        <v>41180</v>
      </c>
      <c r="B31338" s="1" t="str">
        <f>"63041"</f>
        <v>63041</v>
      </c>
      <c r="C31338" s="2">
        <v>1.6695805342949299E-4</v>
      </c>
      <c r="D31338" s="2">
        <v>8.2889185447974602E-6</v>
      </c>
      <c r="E31338" s="2">
        <v>1.94886186467103E-5</v>
      </c>
      <c r="F31338" s="2">
        <v>1.49654337351973E-4</v>
      </c>
    </row>
    <row r="31339" spans="1:6" x14ac:dyDescent="0.25">
      <c r="A31339" s="1" t="str">
        <f t="shared" si="1119"/>
        <v>41180</v>
      </c>
      <c r="B31339" s="1" t="str">
        <f>"62685"</f>
        <v>62685</v>
      </c>
      <c r="C31339" s="2">
        <v>7.02098713766821E-4</v>
      </c>
      <c r="D31339" s="2">
        <v>2.5695647488872098E-4</v>
      </c>
      <c r="E31339" s="2">
        <v>1.5590894917368199E-4</v>
      </c>
      <c r="F31339" s="2">
        <v>6.4914998279946899E-4</v>
      </c>
    </row>
    <row r="31340" spans="1:6" x14ac:dyDescent="0.25">
      <c r="A31340" s="1" t="str">
        <f t="shared" si="1119"/>
        <v>41180</v>
      </c>
      <c r="B31340" s="1" t="str">
        <f>"63016"</f>
        <v>63016</v>
      </c>
      <c r="C31340" s="2">
        <v>2.91483972755945E-3</v>
      </c>
      <c r="D31340" s="2">
        <v>1.6080501976906999E-3</v>
      </c>
      <c r="E31340" s="2">
        <v>3.7028375428749602E-4</v>
      </c>
      <c r="F31340" s="2">
        <v>2.7281143488708201E-3</v>
      </c>
    </row>
    <row r="31341" spans="1:6" x14ac:dyDescent="0.25">
      <c r="A31341" s="1" t="str">
        <f t="shared" si="1119"/>
        <v>41180</v>
      </c>
      <c r="B31341" s="1" t="str">
        <f>"63019"</f>
        <v>63019</v>
      </c>
      <c r="C31341" s="2">
        <v>1.4362767041751099E-3</v>
      </c>
      <c r="D31341" s="2">
        <v>2.7270542012383602E-3</v>
      </c>
      <c r="E31341" s="2">
        <v>1.69550982226379E-3</v>
      </c>
      <c r="F31341" s="2">
        <v>1.5457802983628E-3</v>
      </c>
    </row>
    <row r="31342" spans="1:6" x14ac:dyDescent="0.25">
      <c r="A31342" s="1" t="str">
        <f t="shared" si="1119"/>
        <v>41180</v>
      </c>
      <c r="B31342" s="1" t="str">
        <f>"63023"</f>
        <v>63023</v>
      </c>
      <c r="C31342" s="2">
        <v>1.64114662999908E-3</v>
      </c>
      <c r="D31342" s="2">
        <v>3.1497890470230297E-4</v>
      </c>
      <c r="E31342" s="2">
        <v>1.94886186467103E-5</v>
      </c>
      <c r="F31342" s="2">
        <v>1.4835862880347101E-3</v>
      </c>
    </row>
    <row r="31343" spans="1:6" x14ac:dyDescent="0.25">
      <c r="A31343" s="1" t="str">
        <f t="shared" si="1119"/>
        <v>41180</v>
      </c>
      <c r="B31343" s="1" t="str">
        <f>"63377"</f>
        <v>63377</v>
      </c>
      <c r="C31343" s="2">
        <v>1.09215355474838E-3</v>
      </c>
      <c r="D31343" s="2">
        <v>4.9733511268784702E-4</v>
      </c>
      <c r="E31343" s="2">
        <v>9.7443093233551598E-5</v>
      </c>
      <c r="F31343" s="2">
        <v>1.01259623065426E-3</v>
      </c>
    </row>
    <row r="31344" spans="1:6" x14ac:dyDescent="0.25">
      <c r="A31344" s="1" t="str">
        <f t="shared" si="1119"/>
        <v>41180</v>
      </c>
      <c r="B31344" s="1" t="str">
        <f>"63123"</f>
        <v>63123</v>
      </c>
      <c r="C31344" s="2">
        <v>1.7634124184712399E-2</v>
      </c>
      <c r="D31344" s="2">
        <v>1.03860149366312E-2</v>
      </c>
      <c r="E31344" s="2">
        <v>2.8375428749610201E-2</v>
      </c>
      <c r="F31344" s="2">
        <v>1.7424688560254E-2</v>
      </c>
    </row>
    <row r="31345" spans="1:6" x14ac:dyDescent="0.25">
      <c r="A31345" s="1" t="str">
        <f t="shared" si="1119"/>
        <v>41180</v>
      </c>
      <c r="B31345" s="1" t="str">
        <f>"63128"</f>
        <v>63128</v>
      </c>
      <c r="C31345" s="2">
        <v>9.8126132799456409E-3</v>
      </c>
      <c r="D31345" s="2">
        <v>6.7886242881891098E-3</v>
      </c>
      <c r="E31345" s="2">
        <v>1.6078110383536001E-2</v>
      </c>
      <c r="F31345" s="2">
        <v>9.7845431040123505E-3</v>
      </c>
    </row>
    <row r="31346" spans="1:6" x14ac:dyDescent="0.25">
      <c r="A31346" s="1" t="str">
        <f t="shared" si="1119"/>
        <v>41180</v>
      </c>
      <c r="B31346" s="1" t="str">
        <f>"63147"</f>
        <v>63147</v>
      </c>
      <c r="C31346" s="2">
        <v>3.3982161005889399E-3</v>
      </c>
      <c r="D31346" s="2">
        <v>4.9650622083336699E-3</v>
      </c>
      <c r="E31346" s="2">
        <v>3.7223261615216699E-3</v>
      </c>
      <c r="F31346" s="2">
        <v>3.5314536489420198E-3</v>
      </c>
    </row>
    <row r="31347" spans="1:6" x14ac:dyDescent="0.25">
      <c r="A31347" s="1" t="str">
        <f t="shared" si="1119"/>
        <v>41180</v>
      </c>
      <c r="B31347" s="1" t="str">
        <f>"63332"</f>
        <v>63332</v>
      </c>
      <c r="C31347" s="2">
        <v>5.8909217105253503E-4</v>
      </c>
      <c r="D31347" s="2">
        <v>2.7353431197831598E-4</v>
      </c>
      <c r="E31347" s="2">
        <v>5.8465855940130903E-5</v>
      </c>
      <c r="F31347" s="2">
        <v>5.4678900746781597E-4</v>
      </c>
    </row>
    <row r="31348" spans="1:6" x14ac:dyDescent="0.25">
      <c r="A31348" s="1" t="str">
        <f t="shared" si="1119"/>
        <v>41180</v>
      </c>
      <c r="B31348" s="1" t="str">
        <f>"63302"</f>
        <v>63302</v>
      </c>
      <c r="C31348" s="2">
        <v>7.7500616067926402E-4</v>
      </c>
      <c r="D31348" s="2">
        <v>4.0035476571371699E-3</v>
      </c>
      <c r="E31348" s="2">
        <v>3.89772372934206E-5</v>
      </c>
      <c r="F31348" s="2">
        <v>1.0028784165404901E-3</v>
      </c>
    </row>
    <row r="31349" spans="1:6" x14ac:dyDescent="0.25">
      <c r="A31349" s="1" t="str">
        <f t="shared" si="1119"/>
        <v>41180</v>
      </c>
      <c r="B31349" s="1" t="str">
        <f>"63344"</f>
        <v>63344</v>
      </c>
      <c r="C31349" s="2">
        <v>2.1361881945345599E-4</v>
      </c>
      <c r="D31349" s="2">
        <v>4.1444592723987301E-5</v>
      </c>
      <c r="E31349" s="2">
        <v>0</v>
      </c>
      <c r="F31349" s="2">
        <v>1.93060573726788E-4</v>
      </c>
    </row>
    <row r="31350" spans="1:6" x14ac:dyDescent="0.25">
      <c r="A31350" s="1" t="str">
        <f t="shared" si="1119"/>
        <v>41180</v>
      </c>
      <c r="B31350" s="1" t="str">
        <f>"63347"</f>
        <v>63347</v>
      </c>
      <c r="C31350" s="2">
        <v>1.0615324270451601E-3</v>
      </c>
      <c r="D31350" s="2">
        <v>1.4920053380635401E-4</v>
      </c>
      <c r="E31350" s="2">
        <v>1.1693171188026099E-4</v>
      </c>
      <c r="F31350" s="2">
        <v>9.5882432589143097E-4</v>
      </c>
    </row>
    <row r="31351" spans="1:6" x14ac:dyDescent="0.25">
      <c r="A31351" s="1" t="str">
        <f t="shared" si="1119"/>
        <v>41180</v>
      </c>
      <c r="B31351" s="1" t="str">
        <f>"63628"</f>
        <v>63628</v>
      </c>
      <c r="C31351" s="2">
        <v>5.1035212838709698E-6</v>
      </c>
      <c r="D31351" s="2">
        <v>0</v>
      </c>
      <c r="E31351" s="2">
        <v>0</v>
      </c>
      <c r="F31351" s="2">
        <v>4.5349799197567599E-6</v>
      </c>
    </row>
    <row r="31352" spans="1:6" x14ac:dyDescent="0.25">
      <c r="A31352" s="1" t="str">
        <f t="shared" si="1119"/>
        <v>41180</v>
      </c>
      <c r="B31352" s="1" t="str">
        <f>"62250"</f>
        <v>62250</v>
      </c>
      <c r="C31352" s="2">
        <v>1.31233404442396E-5</v>
      </c>
      <c r="D31352" s="2">
        <v>0</v>
      </c>
      <c r="E31352" s="2">
        <v>0</v>
      </c>
      <c r="F31352" s="2">
        <v>1.16613769365174E-5</v>
      </c>
    </row>
    <row r="31353" spans="1:6" x14ac:dyDescent="0.25">
      <c r="A31353" s="1" t="str">
        <f t="shared" si="1119"/>
        <v>41180</v>
      </c>
      <c r="B31353" s="1" t="str">
        <f>"63066"</f>
        <v>63066</v>
      </c>
      <c r="C31353" s="2">
        <v>0</v>
      </c>
      <c r="D31353" s="2">
        <v>0</v>
      </c>
      <c r="E31353" s="2">
        <v>1.94886186467103E-5</v>
      </c>
      <c r="F31353" s="2">
        <v>6.4785427425096698E-7</v>
      </c>
    </row>
    <row r="31354" spans="1:6" x14ac:dyDescent="0.25">
      <c r="A31354" s="1" t="str">
        <f t="shared" si="1119"/>
        <v>41180</v>
      </c>
      <c r="B31354" s="1" t="str">
        <f>"63378"</f>
        <v>63378</v>
      </c>
      <c r="C31354" s="2">
        <v>0</v>
      </c>
      <c r="D31354" s="2">
        <v>0</v>
      </c>
      <c r="E31354" s="2">
        <v>1.94886186467103E-5</v>
      </c>
      <c r="F31354" s="2">
        <v>6.4785427425096698E-7</v>
      </c>
    </row>
    <row r="31355" spans="1:6" x14ac:dyDescent="0.25">
      <c r="A31355" s="1" t="str">
        <f t="shared" si="1119"/>
        <v>41180</v>
      </c>
      <c r="B31355" s="1" t="str">
        <f>"62023"</f>
        <v>62023</v>
      </c>
      <c r="C31355" s="2">
        <v>0</v>
      </c>
      <c r="D31355" s="2">
        <v>0</v>
      </c>
      <c r="E31355" s="2">
        <v>1.94886186467103E-5</v>
      </c>
      <c r="F31355" s="2">
        <v>6.4785427425096698E-7</v>
      </c>
    </row>
    <row r="31356" spans="1:6" x14ac:dyDescent="0.25">
      <c r="A31356" s="1" t="str">
        <f t="shared" si="1119"/>
        <v>41180</v>
      </c>
      <c r="B31356" s="1" t="str">
        <f>"63342"</f>
        <v>63342</v>
      </c>
      <c r="C31356" s="2">
        <v>0</v>
      </c>
      <c r="D31356" s="2">
        <v>0</v>
      </c>
      <c r="E31356" s="2">
        <v>3.89772372934206E-5</v>
      </c>
      <c r="F31356" s="2">
        <v>1.2957085485019299E-6</v>
      </c>
    </row>
    <row r="31357" spans="1:6" x14ac:dyDescent="0.25">
      <c r="A31357" s="1" t="str">
        <f t="shared" si="1119"/>
        <v>41180</v>
      </c>
      <c r="B31357" s="1" t="str">
        <f>"63333"</f>
        <v>63333</v>
      </c>
      <c r="C31357" s="2">
        <v>8.0198191603686693E-6</v>
      </c>
      <c r="D31357" s="2">
        <v>0</v>
      </c>
      <c r="E31357" s="2">
        <v>0</v>
      </c>
      <c r="F31357" s="2">
        <v>7.1263970167606299E-6</v>
      </c>
    </row>
    <row r="31358" spans="1:6" x14ac:dyDescent="0.25">
      <c r="A31358" s="1" t="str">
        <f t="shared" si="1119"/>
        <v>41180</v>
      </c>
      <c r="B31358" s="1" t="str">
        <f>"65453"</f>
        <v>65453</v>
      </c>
      <c r="C31358" s="2">
        <v>2.9162978764976999E-6</v>
      </c>
      <c r="D31358" s="2">
        <v>0</v>
      </c>
      <c r="E31358" s="2">
        <v>0</v>
      </c>
      <c r="F31358" s="2">
        <v>2.5914170970038599E-6</v>
      </c>
    </row>
    <row r="31359" spans="1:6" x14ac:dyDescent="0.25">
      <c r="A31359" s="1" t="str">
        <f t="shared" si="1119"/>
        <v>41180</v>
      </c>
      <c r="B31359" s="1" t="str">
        <f>"62215"</f>
        <v>62215</v>
      </c>
      <c r="C31359" s="2">
        <v>5.6357456463318001E-4</v>
      </c>
      <c r="D31359" s="2">
        <v>1.3262269671675901E-4</v>
      </c>
      <c r="E31359" s="2">
        <v>9.7443093233551598E-5</v>
      </c>
      <c r="F31359" s="2">
        <v>5.1439629375526705E-4</v>
      </c>
    </row>
    <row r="31360" spans="1:6" x14ac:dyDescent="0.25">
      <c r="A31360" s="1" t="str">
        <f t="shared" si="1119"/>
        <v>41180</v>
      </c>
      <c r="B31360" s="1" t="str">
        <f>"63156"</f>
        <v>63156</v>
      </c>
      <c r="C31360" s="2">
        <v>4.5275524532626798E-4</v>
      </c>
      <c r="D31360" s="2">
        <v>1.5168720936979299E-3</v>
      </c>
      <c r="E31360" s="2">
        <v>3.89772372934206E-5</v>
      </c>
      <c r="F31360" s="2">
        <v>5.2217054504627902E-4</v>
      </c>
    </row>
    <row r="31361" spans="1:6" x14ac:dyDescent="0.25">
      <c r="A31361" s="1" t="str">
        <f t="shared" ref="A31361:A31368" si="1120">"41220"</f>
        <v>41220</v>
      </c>
      <c r="B31361" s="1" t="str">
        <f>"31566"</f>
        <v>31566</v>
      </c>
      <c r="C31361" s="2">
        <v>3.9694353478217701E-4</v>
      </c>
      <c r="D31361" s="2">
        <v>0</v>
      </c>
      <c r="E31361" s="2">
        <v>0</v>
      </c>
      <c r="F31361" s="2">
        <v>3.61228175797712E-4</v>
      </c>
    </row>
    <row r="31362" spans="1:6" x14ac:dyDescent="0.25">
      <c r="A31362" s="1" t="str">
        <f t="shared" si="1120"/>
        <v>41220</v>
      </c>
      <c r="B31362" s="1" t="str">
        <f>"31547"</f>
        <v>31547</v>
      </c>
      <c r="C31362" s="2">
        <v>5.6233667427475103E-4</v>
      </c>
      <c r="D31362" s="2">
        <v>1.0722610722610699E-2</v>
      </c>
      <c r="E31362" s="2">
        <v>1.18483412322274E-3</v>
      </c>
      <c r="F31362" s="2">
        <v>1.2341962673088501E-3</v>
      </c>
    </row>
    <row r="31363" spans="1:6" x14ac:dyDescent="0.25">
      <c r="A31363" s="1" t="str">
        <f t="shared" si="1120"/>
        <v>41220</v>
      </c>
      <c r="B31363" s="1" t="str">
        <f>"31569"</f>
        <v>31569</v>
      </c>
      <c r="C31363" s="2">
        <v>0.13168601766398699</v>
      </c>
      <c r="D31363" s="2">
        <v>8.9044289044289002E-2</v>
      </c>
      <c r="E31363" s="2">
        <v>2.3696682464454898E-2</v>
      </c>
      <c r="F31363" s="2">
        <v>0.12618904274533399</v>
      </c>
    </row>
    <row r="31364" spans="1:6" x14ac:dyDescent="0.25">
      <c r="A31364" s="1" t="str">
        <f t="shared" si="1120"/>
        <v>41220</v>
      </c>
      <c r="B31364" s="1" t="str">
        <f>"31558"</f>
        <v>31558</v>
      </c>
      <c r="C31364" s="2">
        <v>0.412060467731798</v>
      </c>
      <c r="D31364" s="2">
        <v>0.46853146853146799</v>
      </c>
      <c r="E31364" s="2">
        <v>0.65047393364928896</v>
      </c>
      <c r="F31364" s="2">
        <v>0.42176399759181199</v>
      </c>
    </row>
    <row r="31365" spans="1:6" x14ac:dyDescent="0.25">
      <c r="A31365" s="1" t="str">
        <f t="shared" si="1120"/>
        <v>41220</v>
      </c>
      <c r="B31365" s="1" t="str">
        <f>"31548"</f>
        <v>31548</v>
      </c>
      <c r="C31365" s="2">
        <v>0.39089014587674897</v>
      </c>
      <c r="D31365" s="2">
        <v>0.40652680652680601</v>
      </c>
      <c r="E31365" s="2">
        <v>0.309241706161137</v>
      </c>
      <c r="F31365" s="2">
        <v>0.38982540638169699</v>
      </c>
    </row>
    <row r="31366" spans="1:6" x14ac:dyDescent="0.25">
      <c r="A31366" s="1" t="str">
        <f t="shared" si="1120"/>
        <v>41220</v>
      </c>
      <c r="B31366" s="1" t="str">
        <f>"31537"</f>
        <v>31537</v>
      </c>
      <c r="C31366" s="2">
        <v>4.3994575105024596E-3</v>
      </c>
      <c r="D31366" s="2">
        <v>9.3240093240093197E-4</v>
      </c>
      <c r="E31366" s="2">
        <v>4.7393364928909904E-3</v>
      </c>
      <c r="F31366" s="2">
        <v>4.1842263696568304E-3</v>
      </c>
    </row>
    <row r="31367" spans="1:6" x14ac:dyDescent="0.25">
      <c r="A31367" s="1" t="str">
        <f t="shared" si="1120"/>
        <v>41220</v>
      </c>
      <c r="B31367" s="1" t="str">
        <f>"31568"</f>
        <v>31568</v>
      </c>
      <c r="C31367" s="2">
        <v>2.1633422645628599E-2</v>
      </c>
      <c r="D31367" s="2">
        <v>3.7296037296037201E-3</v>
      </c>
      <c r="E31367" s="2">
        <v>3.5545023696682402E-3</v>
      </c>
      <c r="F31367" s="2">
        <v>2.0018061408789801E-2</v>
      </c>
    </row>
    <row r="31368" spans="1:6" x14ac:dyDescent="0.25">
      <c r="A31368" s="1" t="str">
        <f t="shared" si="1120"/>
        <v>41220</v>
      </c>
      <c r="B31368" s="1" t="str">
        <f>"31565"</f>
        <v>31565</v>
      </c>
      <c r="C31368" s="2">
        <v>3.8371208362277101E-2</v>
      </c>
      <c r="D31368" s="2">
        <v>2.0512820512820499E-2</v>
      </c>
      <c r="E31368" s="2">
        <v>7.10900473933649E-3</v>
      </c>
      <c r="F31368" s="2">
        <v>3.6423841059602599E-2</v>
      </c>
    </row>
    <row r="31369" spans="1:6" x14ac:dyDescent="0.25">
      <c r="A31369" s="1" t="str">
        <f t="shared" ref="A31369:A31386" si="1121">"41260"</f>
        <v>41260</v>
      </c>
      <c r="B31369" s="1" t="str">
        <f>"16735"</f>
        <v>16735</v>
      </c>
      <c r="C31369" s="2">
        <v>1.11264731055369E-2</v>
      </c>
      <c r="D31369" s="2">
        <v>4.7732696897374704E-3</v>
      </c>
      <c r="E31369" s="2">
        <v>0</v>
      </c>
      <c r="F31369" s="2">
        <v>1.00829684259045E-2</v>
      </c>
    </row>
    <row r="31370" spans="1:6" x14ac:dyDescent="0.25">
      <c r="A31370" s="1" t="str">
        <f t="shared" si="1121"/>
        <v>41260</v>
      </c>
      <c r="B31370" s="1" t="str">
        <f>"15853"</f>
        <v>15853</v>
      </c>
      <c r="C31370" s="2">
        <v>0.22371453025215601</v>
      </c>
      <c r="D31370" s="2">
        <v>0.28639618138424799</v>
      </c>
      <c r="E31370" s="2">
        <v>0.25274725274725202</v>
      </c>
      <c r="F31370" s="2">
        <v>0.22977644618575699</v>
      </c>
    </row>
    <row r="31371" spans="1:6" x14ac:dyDescent="0.25">
      <c r="A31371" s="1" t="str">
        <f t="shared" si="1121"/>
        <v>41260</v>
      </c>
      <c r="B31371" s="1" t="str">
        <f>"15822"</f>
        <v>15822</v>
      </c>
      <c r="C31371" s="2">
        <v>0</v>
      </c>
      <c r="D31371" s="2">
        <v>0</v>
      </c>
      <c r="E31371" s="2">
        <v>1.09890109890109E-3</v>
      </c>
      <c r="F31371" s="2">
        <v>5.7616962433740402E-5</v>
      </c>
    </row>
    <row r="31372" spans="1:6" x14ac:dyDescent="0.25">
      <c r="A31372" s="1" t="str">
        <f t="shared" si="1121"/>
        <v>41260</v>
      </c>
      <c r="B31372" s="1" t="str">
        <f>"15868"</f>
        <v>15868</v>
      </c>
      <c r="C31372" s="2">
        <v>4.8719468036078697E-2</v>
      </c>
      <c r="D31372" s="2">
        <v>1.7501988862370699E-2</v>
      </c>
      <c r="E31372" s="2">
        <v>2.19780219780219E-3</v>
      </c>
      <c r="F31372" s="2">
        <v>4.4019359299377697E-2</v>
      </c>
    </row>
    <row r="31373" spans="1:6" x14ac:dyDescent="0.25">
      <c r="A31373" s="1" t="str">
        <f t="shared" si="1121"/>
        <v>41260</v>
      </c>
      <c r="B31373" s="1" t="str">
        <f>"15831"</f>
        <v>15831</v>
      </c>
      <c r="C31373" s="2">
        <v>0</v>
      </c>
      <c r="D31373" s="2">
        <v>7.9554494828957796E-4</v>
      </c>
      <c r="E31373" s="2">
        <v>8.4615384615384606E-2</v>
      </c>
      <c r="F31373" s="2">
        <v>4.4941230698317498E-3</v>
      </c>
    </row>
    <row r="31374" spans="1:6" x14ac:dyDescent="0.25">
      <c r="A31374" s="1" t="str">
        <f t="shared" si="1121"/>
        <v>41260</v>
      </c>
      <c r="B31374" s="1" t="str">
        <f>"15845"</f>
        <v>15845</v>
      </c>
      <c r="C31374" s="2">
        <v>0.113569030219237</v>
      </c>
      <c r="D31374" s="2">
        <v>9.0692124105011901E-2</v>
      </c>
      <c r="E31374" s="2">
        <v>8.3516483516483497E-2</v>
      </c>
      <c r="F31374" s="2">
        <v>0.110336483060613</v>
      </c>
    </row>
    <row r="31375" spans="1:6" x14ac:dyDescent="0.25">
      <c r="A31375" s="1" t="str">
        <f t="shared" si="1121"/>
        <v>41260</v>
      </c>
      <c r="B31375" s="1" t="str">
        <f>"16734"</f>
        <v>16734</v>
      </c>
      <c r="C31375" s="2">
        <v>0</v>
      </c>
      <c r="D31375" s="2">
        <v>7.9554494828957796E-4</v>
      </c>
      <c r="E31375" s="2">
        <v>0</v>
      </c>
      <c r="F31375" s="2">
        <v>5.7616962433740402E-5</v>
      </c>
    </row>
    <row r="31376" spans="1:6" x14ac:dyDescent="0.25">
      <c r="A31376" s="1" t="str">
        <f t="shared" si="1121"/>
        <v>41260</v>
      </c>
      <c r="B31376" s="1" t="str">
        <f>"15834"</f>
        <v>15834</v>
      </c>
      <c r="C31376" s="2">
        <v>7.2420830864441304E-4</v>
      </c>
      <c r="D31376" s="2">
        <v>0</v>
      </c>
      <c r="E31376" s="2">
        <v>0</v>
      </c>
      <c r="F31376" s="2">
        <v>6.3378658677114503E-4</v>
      </c>
    </row>
    <row r="31377" spans="1:6" x14ac:dyDescent="0.25">
      <c r="A31377" s="1" t="str">
        <f t="shared" si="1121"/>
        <v>41260</v>
      </c>
      <c r="B31377" s="1" t="str">
        <f>"15846"</f>
        <v>15846</v>
      </c>
      <c r="C31377" s="2">
        <v>9.98090723549937E-2</v>
      </c>
      <c r="D31377" s="2">
        <v>6.5234685759745406E-2</v>
      </c>
      <c r="E31377" s="2">
        <v>2.5274725274725199E-2</v>
      </c>
      <c r="F31377" s="2">
        <v>9.3397096105093294E-2</v>
      </c>
    </row>
    <row r="31378" spans="1:6" x14ac:dyDescent="0.25">
      <c r="A31378" s="1" t="str">
        <f t="shared" si="1121"/>
        <v>41260</v>
      </c>
      <c r="B31378" s="1" t="str">
        <f>"15841"</f>
        <v>15841</v>
      </c>
      <c r="C31378" s="2">
        <v>0</v>
      </c>
      <c r="D31378" s="2">
        <v>7.9554494828957796E-4</v>
      </c>
      <c r="E31378" s="2">
        <v>0</v>
      </c>
      <c r="F31378" s="2">
        <v>5.7616962433740402E-5</v>
      </c>
    </row>
    <row r="31379" spans="1:6" x14ac:dyDescent="0.25">
      <c r="A31379" s="1" t="str">
        <f t="shared" si="1121"/>
        <v>41260</v>
      </c>
      <c r="B31379" s="1" t="str">
        <f>"15832"</f>
        <v>15832</v>
      </c>
      <c r="C31379" s="2">
        <v>2.3701362828362602E-3</v>
      </c>
      <c r="D31379" s="2">
        <v>1.5910898965791501E-3</v>
      </c>
      <c r="E31379" s="2">
        <v>0</v>
      </c>
      <c r="F31379" s="2">
        <v>2.1894445724821299E-3</v>
      </c>
    </row>
    <row r="31380" spans="1:6" x14ac:dyDescent="0.25">
      <c r="A31380" s="1" t="str">
        <f t="shared" si="1121"/>
        <v>41260</v>
      </c>
      <c r="B31380" s="1" t="str">
        <f>"15860"</f>
        <v>15860</v>
      </c>
      <c r="C31380" s="2">
        <v>7.3079202054118098E-3</v>
      </c>
      <c r="D31380" s="2">
        <v>2.38663484486873E-3</v>
      </c>
      <c r="E31380" s="2">
        <v>0</v>
      </c>
      <c r="F31380" s="2">
        <v>6.5683337174464104E-3</v>
      </c>
    </row>
    <row r="31381" spans="1:6" x14ac:dyDescent="0.25">
      <c r="A31381" s="1" t="str">
        <f t="shared" si="1121"/>
        <v>41260</v>
      </c>
      <c r="B31381" s="1" t="str">
        <f>"15827"</f>
        <v>15827</v>
      </c>
      <c r="C31381" s="2">
        <v>7.0445717295411102E-3</v>
      </c>
      <c r="D31381" s="2">
        <v>3.1821797931583101E-3</v>
      </c>
      <c r="E31381" s="2">
        <v>0</v>
      </c>
      <c r="F31381" s="2">
        <v>6.3954828301451896E-3</v>
      </c>
    </row>
    <row r="31382" spans="1:6" x14ac:dyDescent="0.25">
      <c r="A31382" s="1" t="str">
        <f t="shared" si="1121"/>
        <v>41260</v>
      </c>
      <c r="B31382" s="1" t="str">
        <f>"15857"</f>
        <v>15857</v>
      </c>
      <c r="C31382" s="2">
        <v>0.412206201856606</v>
      </c>
      <c r="D31382" s="2">
        <v>0.49403341288782798</v>
      </c>
      <c r="E31382" s="2">
        <v>0.54395604395604302</v>
      </c>
      <c r="F31382" s="2">
        <v>0.42504033187370299</v>
      </c>
    </row>
    <row r="31383" spans="1:6" x14ac:dyDescent="0.25">
      <c r="A31383" s="1" t="str">
        <f t="shared" si="1121"/>
        <v>41260</v>
      </c>
      <c r="B31383" s="1" t="str">
        <f>"15870"</f>
        <v>15870</v>
      </c>
      <c r="C31383" s="2">
        <v>3.2194351175192502E-2</v>
      </c>
      <c r="D31383" s="2">
        <v>1.3524264120922801E-2</v>
      </c>
      <c r="E31383" s="2">
        <v>0</v>
      </c>
      <c r="F31383" s="2">
        <v>2.9154182991472599E-2</v>
      </c>
    </row>
    <row r="31384" spans="1:6" x14ac:dyDescent="0.25">
      <c r="A31384" s="1" t="str">
        <f t="shared" si="1121"/>
        <v>41260</v>
      </c>
      <c r="B31384" s="1" t="str">
        <f>"15821"</f>
        <v>15821</v>
      </c>
      <c r="C31384" s="2">
        <v>5.5303179932846098E-3</v>
      </c>
      <c r="D31384" s="2">
        <v>4.7732696897374704E-3</v>
      </c>
      <c r="E31384" s="2">
        <v>0</v>
      </c>
      <c r="F31384" s="2">
        <v>5.1855266190366399E-3</v>
      </c>
    </row>
    <row r="31385" spans="1:6" x14ac:dyDescent="0.25">
      <c r="A31385" s="1" t="str">
        <f t="shared" si="1121"/>
        <v>41260</v>
      </c>
      <c r="B31385" s="1" t="str">
        <f>"15828"</f>
        <v>15828</v>
      </c>
      <c r="C31385" s="2">
        <v>1.3167423793534699E-4</v>
      </c>
      <c r="D31385" s="2">
        <v>0</v>
      </c>
      <c r="E31385" s="2">
        <v>0</v>
      </c>
      <c r="F31385" s="2">
        <v>1.1523392486748E-4</v>
      </c>
    </row>
    <row r="31386" spans="1:6" x14ac:dyDescent="0.25">
      <c r="A31386" s="1" t="str">
        <f t="shared" si="1121"/>
        <v>41260</v>
      </c>
      <c r="B31386" s="1" t="str">
        <f>"15823"</f>
        <v>15823</v>
      </c>
      <c r="C31386" s="2">
        <v>3.55520442425439E-2</v>
      </c>
      <c r="D31386" s="2">
        <v>1.3524264120922801E-2</v>
      </c>
      <c r="E31386" s="2">
        <v>6.5934065934065899E-3</v>
      </c>
      <c r="F31386" s="2">
        <v>3.2438349850195801E-2</v>
      </c>
    </row>
    <row r="31387" spans="1:6" x14ac:dyDescent="0.25">
      <c r="A31387" s="1" t="str">
        <f t="shared" ref="A31387:A31414" si="1122">"41400"</f>
        <v>41400</v>
      </c>
      <c r="B31387" s="1" t="str">
        <f>"44423"</f>
        <v>44423</v>
      </c>
      <c r="C31387" s="2">
        <v>2.2499643024702601E-2</v>
      </c>
      <c r="D31387" s="2">
        <v>7.5757575757575699E-3</v>
      </c>
      <c r="E31387" s="2">
        <v>3.1847133757961698E-3</v>
      </c>
      <c r="F31387" s="2">
        <v>2.08926701089652E-2</v>
      </c>
    </row>
    <row r="31388" spans="1:6" x14ac:dyDescent="0.25">
      <c r="A31388" s="1" t="str">
        <f t="shared" si="1122"/>
        <v>41400</v>
      </c>
      <c r="B31388" s="1" t="str">
        <f>"44625"</f>
        <v>44625</v>
      </c>
      <c r="C31388" s="2">
        <v>8.2206311323256408E-3</v>
      </c>
      <c r="D31388" s="2">
        <v>1.8286311389759599E-3</v>
      </c>
      <c r="E31388" s="2">
        <v>1.9108280254777001E-3</v>
      </c>
      <c r="F31388" s="2">
        <v>7.5889821943734897E-3</v>
      </c>
    </row>
    <row r="31389" spans="1:6" x14ac:dyDescent="0.25">
      <c r="A31389" s="1" t="str">
        <f t="shared" si="1122"/>
        <v>41400</v>
      </c>
      <c r="B31389" s="1" t="str">
        <f>"43932"</f>
        <v>43932</v>
      </c>
      <c r="C31389" s="2">
        <v>5.5076188727739997E-4</v>
      </c>
      <c r="D31389" s="2">
        <v>0</v>
      </c>
      <c r="E31389" s="2">
        <v>0</v>
      </c>
      <c r="F31389" s="2">
        <v>4.9613200786461102E-4</v>
      </c>
    </row>
    <row r="31390" spans="1:6" x14ac:dyDescent="0.25">
      <c r="A31390" s="1" t="str">
        <f t="shared" si="1122"/>
        <v>41400</v>
      </c>
      <c r="B31390" s="1" t="str">
        <f>"44490"</f>
        <v>44490</v>
      </c>
      <c r="C31390" s="2">
        <v>2.6314179058809098E-3</v>
      </c>
      <c r="D31390" s="2">
        <v>1.0449320794148299E-3</v>
      </c>
      <c r="E31390" s="2">
        <v>1.9108280254777001E-3</v>
      </c>
      <c r="F31390" s="2">
        <v>2.4990352988735901E-3</v>
      </c>
    </row>
    <row r="31391" spans="1:6" x14ac:dyDescent="0.25">
      <c r="A31391" s="1" t="str">
        <f t="shared" si="1122"/>
        <v>41400</v>
      </c>
      <c r="B31391" s="1" t="str">
        <f>"44609"</f>
        <v>44609</v>
      </c>
      <c r="C31391" s="2">
        <v>1.3197886706239901E-2</v>
      </c>
      <c r="D31391" s="2">
        <v>5.2246603970741903E-3</v>
      </c>
      <c r="E31391" s="2">
        <v>1.27388535031847E-3</v>
      </c>
      <c r="F31391" s="2">
        <v>1.2293048639312E-2</v>
      </c>
    </row>
    <row r="31392" spans="1:6" x14ac:dyDescent="0.25">
      <c r="A31392" s="1" t="str">
        <f t="shared" si="1122"/>
        <v>41400</v>
      </c>
      <c r="B31392" s="1" t="str">
        <f>"44441"</f>
        <v>44441</v>
      </c>
      <c r="C31392" s="2">
        <v>1.4707382249148301E-2</v>
      </c>
      <c r="D31392" s="2">
        <v>4.96342737722048E-3</v>
      </c>
      <c r="E31392" s="2">
        <v>1.9108280254777001E-3</v>
      </c>
      <c r="F31392" s="2">
        <v>1.3652817846052E-2</v>
      </c>
    </row>
    <row r="31393" spans="1:6" x14ac:dyDescent="0.25">
      <c r="A31393" s="1" t="str">
        <f t="shared" si="1122"/>
        <v>41400</v>
      </c>
      <c r="B31393" s="1" t="str">
        <f>"43920"</f>
        <v>43920</v>
      </c>
      <c r="C31393" s="2">
        <v>0.227444260857148</v>
      </c>
      <c r="D31393" s="2">
        <v>0.263322884012539</v>
      </c>
      <c r="E31393" s="2">
        <v>0.240764331210191</v>
      </c>
      <c r="F31393" s="2">
        <v>0.23035225372558299</v>
      </c>
    </row>
    <row r="31394" spans="1:6" x14ac:dyDescent="0.25">
      <c r="A31394" s="1" t="str">
        <f t="shared" si="1122"/>
        <v>41400</v>
      </c>
      <c r="B31394" s="1" t="str">
        <f>"44634"</f>
        <v>44634</v>
      </c>
      <c r="C31394" s="2">
        <v>1.28103135263039E-2</v>
      </c>
      <c r="D31394" s="2">
        <v>3.6572622779519298E-3</v>
      </c>
      <c r="E31394" s="2">
        <v>1.27388535031847E-3</v>
      </c>
      <c r="F31394" s="2">
        <v>1.18336671505485E-2</v>
      </c>
    </row>
    <row r="31395" spans="1:6" x14ac:dyDescent="0.25">
      <c r="A31395" s="1" t="str">
        <f t="shared" si="1122"/>
        <v>41400</v>
      </c>
      <c r="B31395" s="1" t="str">
        <f>"44657"</f>
        <v>44657</v>
      </c>
      <c r="C31395" s="2">
        <v>1.7012422740346301E-2</v>
      </c>
      <c r="D31395" s="2">
        <v>3.9184952978056397E-3</v>
      </c>
      <c r="E31395" s="2">
        <v>5.0955414012738799E-3</v>
      </c>
      <c r="F31395" s="2">
        <v>1.5747597434813701E-2</v>
      </c>
    </row>
    <row r="31396" spans="1:6" x14ac:dyDescent="0.25">
      <c r="A31396" s="1" t="str">
        <f t="shared" si="1122"/>
        <v>41400</v>
      </c>
      <c r="B31396" s="1" t="str">
        <f>"44427"</f>
        <v>44427</v>
      </c>
      <c r="C31396" s="2">
        <v>8.3634212512494095E-3</v>
      </c>
      <c r="D31396" s="2">
        <v>3.1347962382445101E-3</v>
      </c>
      <c r="E31396" s="2">
        <v>0</v>
      </c>
      <c r="F31396" s="2">
        <v>7.75435953032836E-3</v>
      </c>
    </row>
    <row r="31397" spans="1:6" x14ac:dyDescent="0.25">
      <c r="A31397" s="1" t="str">
        <f t="shared" si="1122"/>
        <v>41400</v>
      </c>
      <c r="B31397" s="1" t="str">
        <f>"43968"</f>
        <v>43968</v>
      </c>
      <c r="C31397" s="2">
        <v>7.1762234053403498E-2</v>
      </c>
      <c r="D31397" s="2">
        <v>4.6760710553813999E-2</v>
      </c>
      <c r="E31397" s="2">
        <v>4.5222929936305702E-2</v>
      </c>
      <c r="F31397" s="2">
        <v>6.9237977986439006E-2</v>
      </c>
    </row>
    <row r="31398" spans="1:6" x14ac:dyDescent="0.25">
      <c r="A31398" s="1" t="str">
        <f t="shared" si="1122"/>
        <v>41400</v>
      </c>
      <c r="B31398" s="1" t="str">
        <f>"44432"</f>
        <v>44432</v>
      </c>
      <c r="C31398" s="2">
        <v>0.10164616608530599</v>
      </c>
      <c r="D31398" s="2">
        <v>9.5088819226750207E-2</v>
      </c>
      <c r="E31398" s="2">
        <v>8.2802547770700605E-2</v>
      </c>
      <c r="F31398" s="2">
        <v>0.100641296558313</v>
      </c>
    </row>
    <row r="31399" spans="1:6" x14ac:dyDescent="0.25">
      <c r="A31399" s="1" t="str">
        <f t="shared" si="1122"/>
        <v>41400</v>
      </c>
      <c r="B31399" s="1" t="str">
        <f>"44460"</f>
        <v>44460</v>
      </c>
      <c r="C31399" s="2">
        <v>0.216673806172612</v>
      </c>
      <c r="D31399" s="2">
        <v>0.28422152560083502</v>
      </c>
      <c r="E31399" s="2">
        <v>0.43184713375796102</v>
      </c>
      <c r="F31399" s="2">
        <v>0.227632715312103</v>
      </c>
    </row>
    <row r="31400" spans="1:6" x14ac:dyDescent="0.25">
      <c r="A31400" s="1" t="str">
        <f t="shared" si="1122"/>
        <v>41400</v>
      </c>
      <c r="B31400" s="1" t="str">
        <f>"43962"</f>
        <v>43962</v>
      </c>
      <c r="C31400" s="2">
        <v>2.8558023784754002E-4</v>
      </c>
      <c r="D31400" s="2">
        <v>0</v>
      </c>
      <c r="E31400" s="2">
        <v>6.3694267515923499E-4</v>
      </c>
      <c r="F31400" s="2">
        <v>2.7562889325811698E-4</v>
      </c>
    </row>
    <row r="31401" spans="1:6" x14ac:dyDescent="0.25">
      <c r="A31401" s="1" t="str">
        <f t="shared" si="1122"/>
        <v>41400</v>
      </c>
      <c r="B31401" s="1" t="str">
        <f>"44443"</f>
        <v>44443</v>
      </c>
      <c r="C31401" s="2">
        <v>6.7315341778348902E-4</v>
      </c>
      <c r="D31401" s="2">
        <v>0</v>
      </c>
      <c r="E31401" s="2">
        <v>0</v>
      </c>
      <c r="F31401" s="2">
        <v>6.0638356516785701E-4</v>
      </c>
    </row>
    <row r="31402" spans="1:6" x14ac:dyDescent="0.25">
      <c r="A31402" s="1" t="str">
        <f t="shared" si="1122"/>
        <v>41400</v>
      </c>
      <c r="B31402" s="1" t="str">
        <f>"44492"</f>
        <v>44492</v>
      </c>
      <c r="C31402" s="2">
        <v>0</v>
      </c>
      <c r="D31402" s="2">
        <v>0</v>
      </c>
      <c r="E31402" s="2">
        <v>6.3694267515923499E-4</v>
      </c>
      <c r="F31402" s="2">
        <v>1.83752595505411E-5</v>
      </c>
    </row>
    <row r="31403" spans="1:6" x14ac:dyDescent="0.25">
      <c r="A31403" s="1" t="str">
        <f t="shared" si="1122"/>
        <v>41400</v>
      </c>
      <c r="B31403" s="1" t="str">
        <f>"44415"</f>
        <v>44415</v>
      </c>
      <c r="C31403" s="2">
        <v>0</v>
      </c>
      <c r="D31403" s="2">
        <v>0</v>
      </c>
      <c r="E31403" s="2">
        <v>6.3694267515923499E-4</v>
      </c>
      <c r="F31403" s="2">
        <v>1.83752595505411E-5</v>
      </c>
    </row>
    <row r="31404" spans="1:6" x14ac:dyDescent="0.25">
      <c r="A31404" s="1" t="str">
        <f t="shared" si="1122"/>
        <v>41400</v>
      </c>
      <c r="B31404" s="1" t="str">
        <f>"44454"</f>
        <v>44454</v>
      </c>
      <c r="C31404" s="2">
        <v>8.3634212512494102E-4</v>
      </c>
      <c r="D31404" s="2">
        <v>2.6123301985370899E-4</v>
      </c>
      <c r="E31404" s="2">
        <v>0</v>
      </c>
      <c r="F31404" s="2">
        <v>7.71760901122728E-4</v>
      </c>
    </row>
    <row r="31405" spans="1:6" x14ac:dyDescent="0.25">
      <c r="A31405" s="1" t="str">
        <f t="shared" si="1122"/>
        <v>41400</v>
      </c>
      <c r="B31405" s="1" t="str">
        <f>"44408"</f>
        <v>44408</v>
      </c>
      <c r="C31405" s="2">
        <v>8.6041245945780498E-2</v>
      </c>
      <c r="D31405" s="2">
        <v>0.123824451410658</v>
      </c>
      <c r="E31405" s="2">
        <v>8.6624203821656004E-2</v>
      </c>
      <c r="F31405" s="2">
        <v>8.8715753110012605E-2</v>
      </c>
    </row>
    <row r="31406" spans="1:6" x14ac:dyDescent="0.25">
      <c r="A31406" s="1" t="str">
        <f t="shared" si="1122"/>
        <v>41400</v>
      </c>
      <c r="B31406" s="1" t="str">
        <f>"43945"</f>
        <v>43945</v>
      </c>
      <c r="C31406" s="2">
        <v>2.3866348448687302E-2</v>
      </c>
      <c r="D31406" s="2">
        <v>2.0114942528735601E-2</v>
      </c>
      <c r="E31406" s="2">
        <v>1.9745222929936301E-2</v>
      </c>
      <c r="F31406" s="2">
        <v>2.3483581705591498E-2</v>
      </c>
    </row>
    <row r="31407" spans="1:6" x14ac:dyDescent="0.25">
      <c r="A31407" s="1" t="str">
        <f t="shared" si="1122"/>
        <v>41400</v>
      </c>
      <c r="B31407" s="1" t="str">
        <f>"44601"</f>
        <v>44601</v>
      </c>
      <c r="C31407" s="2">
        <v>1.2381943169532599E-2</v>
      </c>
      <c r="D31407" s="2">
        <v>9.1431556948798308E-3</v>
      </c>
      <c r="E31407" s="2">
        <v>1.27388535031847E-3</v>
      </c>
      <c r="F31407" s="2">
        <v>1.18336671505485E-2</v>
      </c>
    </row>
    <row r="31408" spans="1:6" x14ac:dyDescent="0.25">
      <c r="A31408" s="1" t="str">
        <f t="shared" si="1122"/>
        <v>41400</v>
      </c>
      <c r="B31408" s="1" t="str">
        <f>"44431"</f>
        <v>44431</v>
      </c>
      <c r="C31408" s="2">
        <v>4.2918630030801798E-2</v>
      </c>
      <c r="D31408" s="2">
        <v>3.34378265412748E-2</v>
      </c>
      <c r="E31408" s="2">
        <v>1.21019108280254E-2</v>
      </c>
      <c r="F31408" s="2">
        <v>4.1362709248268098E-2</v>
      </c>
    </row>
    <row r="31409" spans="1:6" x14ac:dyDescent="0.25">
      <c r="A31409" s="1" t="str">
        <f t="shared" si="1122"/>
        <v>41400</v>
      </c>
      <c r="B31409" s="1" t="str">
        <f>"44455"</f>
        <v>44455</v>
      </c>
      <c r="C31409" s="2">
        <v>1.49113681333251E-2</v>
      </c>
      <c r="D31409" s="2">
        <v>5.2246603970741903E-3</v>
      </c>
      <c r="E31409" s="2">
        <v>7.0063694267515899E-3</v>
      </c>
      <c r="F31409" s="2">
        <v>1.40019477775123E-2</v>
      </c>
    </row>
    <row r="31410" spans="1:6" x14ac:dyDescent="0.25">
      <c r="A31410" s="1" t="str">
        <f t="shared" si="1122"/>
        <v>41400</v>
      </c>
      <c r="B31410" s="1" t="str">
        <f>"44493"</f>
        <v>44493</v>
      </c>
      <c r="C31410" s="2">
        <v>7.5474777145421502E-4</v>
      </c>
      <c r="D31410" s="2">
        <v>0</v>
      </c>
      <c r="E31410" s="2">
        <v>1.9108280254777001E-3</v>
      </c>
      <c r="F31410" s="2">
        <v>7.35010382021646E-4</v>
      </c>
    </row>
    <row r="31411" spans="1:6" x14ac:dyDescent="0.25">
      <c r="A31411" s="1" t="str">
        <f t="shared" si="1122"/>
        <v>41400</v>
      </c>
      <c r="B31411" s="1" t="str">
        <f>"44413"</f>
        <v>44413</v>
      </c>
      <c r="C31411" s="2">
        <v>6.8070089549803106E-2</v>
      </c>
      <c r="D31411" s="2">
        <v>7.8631138975966505E-2</v>
      </c>
      <c r="E31411" s="2">
        <v>3.18471337579617E-2</v>
      </c>
      <c r="F31411" s="2">
        <v>6.7767957222395703E-2</v>
      </c>
    </row>
    <row r="31412" spans="1:6" x14ac:dyDescent="0.25">
      <c r="A31412" s="1" t="str">
        <f t="shared" si="1122"/>
        <v>41400</v>
      </c>
      <c r="B31412" s="1" t="str">
        <f>"44445"</f>
        <v>44445</v>
      </c>
      <c r="C31412" s="2">
        <v>2.9639148970891201E-2</v>
      </c>
      <c r="D31412" s="2">
        <v>8.6206896551724102E-3</v>
      </c>
      <c r="E31412" s="2">
        <v>1.71974522292993E-2</v>
      </c>
      <c r="F31412" s="2">
        <v>2.7801767699968699E-2</v>
      </c>
    </row>
    <row r="31413" spans="1:6" x14ac:dyDescent="0.25">
      <c r="A31413" s="1" t="str">
        <f t="shared" si="1122"/>
        <v>41400</v>
      </c>
      <c r="B31413" s="1" t="str">
        <f>"44665"</f>
        <v>44665</v>
      </c>
      <c r="C31413" s="2">
        <v>0</v>
      </c>
      <c r="D31413" s="2">
        <v>0</v>
      </c>
      <c r="E31413" s="2">
        <v>6.3694267515923499E-4</v>
      </c>
      <c r="F31413" s="2">
        <v>1.83752595505411E-5</v>
      </c>
    </row>
    <row r="31414" spans="1:6" x14ac:dyDescent="0.25">
      <c r="A31414" s="1" t="str">
        <f t="shared" si="1122"/>
        <v>41400</v>
      </c>
      <c r="B31414" s="1" t="str">
        <f>"43930"</f>
        <v>43930</v>
      </c>
      <c r="C31414" s="2">
        <v>2.10105460702119E-3</v>
      </c>
      <c r="D31414" s="2">
        <v>0</v>
      </c>
      <c r="E31414" s="2">
        <v>2.5477707006369399E-3</v>
      </c>
      <c r="F31414" s="2">
        <v>1.9661527719079001E-3</v>
      </c>
    </row>
    <row r="31415" spans="1:6" x14ac:dyDescent="0.25">
      <c r="A31415" s="1" t="str">
        <f t="shared" ref="A31415:A31460" si="1123">"41420"</f>
        <v>41420</v>
      </c>
      <c r="B31415" s="1" t="str">
        <f>"97301"</f>
        <v>97301</v>
      </c>
      <c r="C31415" s="2">
        <v>0.117734109792536</v>
      </c>
      <c r="D31415" s="2">
        <v>0.26140510948905099</v>
      </c>
      <c r="E31415" s="2">
        <v>0.21546406541385699</v>
      </c>
      <c r="F31415" s="2">
        <v>0.13220939214879701</v>
      </c>
    </row>
    <row r="31416" spans="1:6" x14ac:dyDescent="0.25">
      <c r="A31416" s="1" t="str">
        <f t="shared" si="1123"/>
        <v>41420</v>
      </c>
      <c r="B31416" s="1" t="str">
        <f>"97351"</f>
        <v>97351</v>
      </c>
      <c r="C31416" s="2">
        <v>2.3355907886784499E-2</v>
      </c>
      <c r="D31416" s="2">
        <v>1.7857142857142801E-2</v>
      </c>
      <c r="E31416" s="2">
        <v>1.5636207143881701E-2</v>
      </c>
      <c r="F31416" s="2">
        <v>2.26627474192156E-2</v>
      </c>
    </row>
    <row r="31417" spans="1:6" x14ac:dyDescent="0.25">
      <c r="A31417" s="1" t="str">
        <f t="shared" si="1123"/>
        <v>41420</v>
      </c>
      <c r="B31417" s="1" t="str">
        <f>"97352"</f>
        <v>97352</v>
      </c>
      <c r="C31417" s="2">
        <v>1.9181780697344698E-2</v>
      </c>
      <c r="D31417" s="2">
        <v>7.6903023983315904E-3</v>
      </c>
      <c r="E31417" s="2">
        <v>3.8731889255486998E-3</v>
      </c>
      <c r="F31417" s="2">
        <v>1.7762016071589799E-2</v>
      </c>
    </row>
    <row r="31418" spans="1:6" x14ac:dyDescent="0.25">
      <c r="A31418" s="1" t="str">
        <f t="shared" si="1123"/>
        <v>41420</v>
      </c>
      <c r="B31418" s="1" t="str">
        <f>"97378"</f>
        <v>97378</v>
      </c>
      <c r="C31418" s="2">
        <v>2.8806561117920501E-3</v>
      </c>
      <c r="D31418" s="2">
        <v>2.6068821689259597E-4</v>
      </c>
      <c r="E31418" s="2">
        <v>0</v>
      </c>
      <c r="F31418" s="2">
        <v>2.5782762668164799E-3</v>
      </c>
    </row>
    <row r="31419" spans="1:6" x14ac:dyDescent="0.25">
      <c r="A31419" s="1" t="str">
        <f t="shared" si="1123"/>
        <v>41420</v>
      </c>
      <c r="B31419" s="1" t="str">
        <f>"97071"</f>
        <v>97071</v>
      </c>
      <c r="C31419" s="2">
        <v>5.5890376914083002E-2</v>
      </c>
      <c r="D31419" s="2">
        <v>5.2789363920750697E-2</v>
      </c>
      <c r="E31419" s="2">
        <v>3.8014632047052001E-2</v>
      </c>
      <c r="F31419" s="2">
        <v>5.5026635499954797E-2</v>
      </c>
    </row>
    <row r="31420" spans="1:6" x14ac:dyDescent="0.25">
      <c r="A31420" s="1" t="str">
        <f t="shared" si="1123"/>
        <v>41420</v>
      </c>
      <c r="B31420" s="1" t="str">
        <f>"97101"</f>
        <v>97101</v>
      </c>
      <c r="C31420" s="2">
        <v>9.8846043051687999E-4</v>
      </c>
      <c r="D31420" s="2">
        <v>2.6068821689259597E-4</v>
      </c>
      <c r="E31420" s="2">
        <v>0</v>
      </c>
      <c r="F31420" s="2">
        <v>8.9788220186799597E-4</v>
      </c>
    </row>
    <row r="31421" spans="1:6" x14ac:dyDescent="0.25">
      <c r="A31421" s="1" t="str">
        <f t="shared" si="1123"/>
        <v>41420</v>
      </c>
      <c r="B31421" s="1" t="str">
        <f>"97309"</f>
        <v>97309</v>
      </c>
      <c r="C31421" s="2">
        <v>4.9761922244878302E-3</v>
      </c>
      <c r="D31421" s="2">
        <v>3.6235662148070898E-2</v>
      </c>
      <c r="E31421" s="2">
        <v>1.4345144168698799E-4</v>
      </c>
      <c r="F31421" s="2">
        <v>7.2131542250624498E-3</v>
      </c>
    </row>
    <row r="31422" spans="1:6" x14ac:dyDescent="0.25">
      <c r="A31422" s="1" t="str">
        <f t="shared" si="1123"/>
        <v>41420</v>
      </c>
      <c r="B31422" s="1" t="str">
        <f>"97312"</f>
        <v>97312</v>
      </c>
      <c r="C31422" s="2">
        <v>0</v>
      </c>
      <c r="D31422" s="2">
        <v>1.3034410844629799E-4</v>
      </c>
      <c r="E31422" s="2">
        <v>0</v>
      </c>
      <c r="F31422" s="2">
        <v>1.00322033728267E-5</v>
      </c>
    </row>
    <row r="31423" spans="1:6" x14ac:dyDescent="0.25">
      <c r="A31423" s="1" t="str">
        <f t="shared" si="1123"/>
        <v>41420</v>
      </c>
      <c r="B31423" s="1" t="str">
        <f>"97326"</f>
        <v>97326</v>
      </c>
      <c r="C31423" s="2">
        <v>2.25933812689572E-5</v>
      </c>
      <c r="D31423" s="2">
        <v>0</v>
      </c>
      <c r="E31423" s="2">
        <v>0</v>
      </c>
      <c r="F31423" s="2">
        <v>2.0064406745653499E-5</v>
      </c>
    </row>
    <row r="31424" spans="1:6" x14ac:dyDescent="0.25">
      <c r="A31424" s="1" t="str">
        <f t="shared" si="1123"/>
        <v>41420</v>
      </c>
      <c r="B31424" s="1" t="str">
        <f>"97344"</f>
        <v>97344</v>
      </c>
      <c r="C31424" s="2">
        <v>2.89760114774376E-3</v>
      </c>
      <c r="D31424" s="2">
        <v>1.17309697601668E-3</v>
      </c>
      <c r="E31424" s="2">
        <v>1.14761153349591E-3</v>
      </c>
      <c r="F31424" s="2">
        <v>2.7036788089768102E-3</v>
      </c>
    </row>
    <row r="31425" spans="1:6" x14ac:dyDescent="0.25">
      <c r="A31425" s="1" t="str">
        <f t="shared" si="1123"/>
        <v>41420</v>
      </c>
      <c r="B31425" s="1" t="str">
        <f>"97362"</f>
        <v>97362</v>
      </c>
      <c r="C31425" s="2">
        <v>8.7944736589416102E-3</v>
      </c>
      <c r="D31425" s="2">
        <v>5.4092805005213698E-3</v>
      </c>
      <c r="E31425" s="2">
        <v>6.3118634342275099E-3</v>
      </c>
      <c r="F31425" s="2">
        <v>8.4471152399201391E-3</v>
      </c>
    </row>
    <row r="31426" spans="1:6" x14ac:dyDescent="0.25">
      <c r="A31426" s="1" t="str">
        <f t="shared" si="1123"/>
        <v>41420</v>
      </c>
      <c r="B31426" s="1" t="str">
        <f>"97385"</f>
        <v>97385</v>
      </c>
      <c r="C31426" s="2">
        <v>8.3313093429279797E-3</v>
      </c>
      <c r="D31426" s="2">
        <v>2.2810218978102101E-3</v>
      </c>
      <c r="E31426" s="2">
        <v>2.29522306699182E-3</v>
      </c>
      <c r="F31426" s="2">
        <v>7.6545711734668197E-3</v>
      </c>
    </row>
    <row r="31427" spans="1:6" x14ac:dyDescent="0.25">
      <c r="A31427" s="1" t="str">
        <f t="shared" si="1123"/>
        <v>41420</v>
      </c>
      <c r="B31427" s="1" t="str">
        <f>"97325"</f>
        <v>97325</v>
      </c>
      <c r="C31427" s="2">
        <v>1.58605536508079E-2</v>
      </c>
      <c r="D31427" s="2">
        <v>3.1934306569343001E-3</v>
      </c>
      <c r="E31427" s="2">
        <v>1.0041600918089201E-3</v>
      </c>
      <c r="F31427" s="2">
        <v>1.4366115229887901E-2</v>
      </c>
    </row>
    <row r="31428" spans="1:6" x14ac:dyDescent="0.25">
      <c r="A31428" s="1" t="str">
        <f t="shared" si="1123"/>
        <v>41420</v>
      </c>
      <c r="B31428" s="1" t="str">
        <f>"97032"</f>
        <v>97032</v>
      </c>
      <c r="C31428" s="2">
        <v>1.00766480459549E-2</v>
      </c>
      <c r="D31428" s="2">
        <v>7.1037539103232499E-3</v>
      </c>
      <c r="E31428" s="2">
        <v>2.29522306699182E-3</v>
      </c>
      <c r="F31428" s="2">
        <v>9.5757381193631499E-3</v>
      </c>
    </row>
    <row r="31429" spans="1:6" x14ac:dyDescent="0.25">
      <c r="A31429" s="1" t="str">
        <f t="shared" si="1123"/>
        <v>41420</v>
      </c>
      <c r="B31429" s="1" t="str">
        <f>"97342"</f>
        <v>97342</v>
      </c>
      <c r="C31429" s="2">
        <v>1.9882175516682298E-3</v>
      </c>
      <c r="D31429" s="2">
        <v>0</v>
      </c>
      <c r="E31429" s="2">
        <v>4.3035432506096603E-4</v>
      </c>
      <c r="F31429" s="2">
        <v>1.78071609867675E-3</v>
      </c>
    </row>
    <row r="31430" spans="1:6" x14ac:dyDescent="0.25">
      <c r="A31430" s="1" t="str">
        <f t="shared" si="1123"/>
        <v>41420</v>
      </c>
      <c r="B31430" s="1" t="str">
        <f>"97308"</f>
        <v>97308</v>
      </c>
      <c r="C31430" s="2">
        <v>3.95384172206752E-3</v>
      </c>
      <c r="D31430" s="2">
        <v>2.8089155370177199E-2</v>
      </c>
      <c r="E31430" s="2">
        <v>1.4345144168698799E-4</v>
      </c>
      <c r="F31430" s="2">
        <v>5.6782271090199503E-3</v>
      </c>
    </row>
    <row r="31431" spans="1:6" x14ac:dyDescent="0.25">
      <c r="A31431" s="1" t="str">
        <f t="shared" si="1123"/>
        <v>41420</v>
      </c>
      <c r="B31431" s="1" t="str">
        <f>"97305"</f>
        <v>97305</v>
      </c>
      <c r="C31431" s="2">
        <v>9.3497060036262306E-2</v>
      </c>
      <c r="D31431" s="2">
        <v>6.0284150156412898E-2</v>
      </c>
      <c r="E31431" s="2">
        <v>0.12480275426768001</v>
      </c>
      <c r="F31431" s="2">
        <v>9.2035433742312794E-2</v>
      </c>
    </row>
    <row r="31432" spans="1:6" x14ac:dyDescent="0.25">
      <c r="A31432" s="1" t="str">
        <f t="shared" si="1123"/>
        <v>41420</v>
      </c>
      <c r="B31432" s="1" t="str">
        <f>"97306"</f>
        <v>97306</v>
      </c>
      <c r="C31432" s="2">
        <v>7.9703800771563901E-2</v>
      </c>
      <c r="D31432" s="2">
        <v>1.5901981230448298E-2</v>
      </c>
      <c r="E31432" s="2">
        <v>0.102998135131258</v>
      </c>
      <c r="F31432" s="2">
        <v>7.5607700719308904E-2</v>
      </c>
    </row>
    <row r="31433" spans="1:6" x14ac:dyDescent="0.25">
      <c r="A31433" s="1" t="str">
        <f t="shared" si="1123"/>
        <v>41420</v>
      </c>
      <c r="B31433" s="1" t="str">
        <f>"97375"</f>
        <v>97375</v>
      </c>
      <c r="C31433" s="2">
        <v>2.7225024429093402E-3</v>
      </c>
      <c r="D31433" s="2">
        <v>1.3034410844629799E-4</v>
      </c>
      <c r="E31433" s="2">
        <v>0</v>
      </c>
      <c r="F31433" s="2">
        <v>2.42779321622407E-3</v>
      </c>
    </row>
    <row r="31434" spans="1:6" x14ac:dyDescent="0.25">
      <c r="A31434" s="1" t="str">
        <f t="shared" si="1123"/>
        <v>41420</v>
      </c>
      <c r="B31434" s="1" t="str">
        <f>"97396"</f>
        <v>97396</v>
      </c>
      <c r="C31434" s="2">
        <v>2.7281507882265799E-3</v>
      </c>
      <c r="D31434" s="2">
        <v>4.5620437956204302E-4</v>
      </c>
      <c r="E31434" s="2">
        <v>1.43451441686988E-3</v>
      </c>
      <c r="F31434" s="2">
        <v>2.5080508432066902E-3</v>
      </c>
    </row>
    <row r="31435" spans="1:6" x14ac:dyDescent="0.25">
      <c r="A31435" s="1" t="str">
        <f t="shared" si="1123"/>
        <v>41420</v>
      </c>
      <c r="B31435" s="1" t="str">
        <f>"97026"</f>
        <v>97026</v>
      </c>
      <c r="C31435" s="2">
        <v>9.65867049247922E-3</v>
      </c>
      <c r="D31435" s="2">
        <v>3.9754953076120902E-3</v>
      </c>
      <c r="E31435" s="2">
        <v>8.6070865012193303E-4</v>
      </c>
      <c r="F31435" s="2">
        <v>8.9136126967565808E-3</v>
      </c>
    </row>
    <row r="31436" spans="1:6" x14ac:dyDescent="0.25">
      <c r="A31436" s="1" t="str">
        <f t="shared" si="1123"/>
        <v>41420</v>
      </c>
      <c r="B31436" s="1" t="str">
        <f>"97137"</f>
        <v>97137</v>
      </c>
      <c r="C31436" s="2">
        <v>4.78414848370169E-3</v>
      </c>
      <c r="D31436" s="2">
        <v>4.8879040667361802E-3</v>
      </c>
      <c r="E31436" s="2">
        <v>4.3035432506096603E-4</v>
      </c>
      <c r="F31436" s="2">
        <v>4.6398940599323797E-3</v>
      </c>
    </row>
    <row r="31437" spans="1:6" x14ac:dyDescent="0.25">
      <c r="A31437" s="1" t="str">
        <f t="shared" si="1123"/>
        <v>41420</v>
      </c>
      <c r="B31437" s="1" t="str">
        <f>"97317"</f>
        <v>97317</v>
      </c>
      <c r="C31437" s="2">
        <v>5.0428426992312599E-2</v>
      </c>
      <c r="D31437" s="2">
        <v>2.0985401459853999E-2</v>
      </c>
      <c r="E31437" s="2">
        <v>4.2461626739348703E-2</v>
      </c>
      <c r="F31437" s="2">
        <v>4.7883706698502101E-2</v>
      </c>
    </row>
    <row r="31438" spans="1:6" x14ac:dyDescent="0.25">
      <c r="A31438" s="1" t="str">
        <f t="shared" si="1123"/>
        <v>41420</v>
      </c>
      <c r="B31438" s="1" t="str">
        <f>"97302"</f>
        <v>97302</v>
      </c>
      <c r="C31438" s="2">
        <v>0.103206565636596</v>
      </c>
      <c r="D31438" s="2">
        <v>0.16468978102189699</v>
      </c>
      <c r="E31438" s="2">
        <v>0.11920814804188699</v>
      </c>
      <c r="F31438" s="2">
        <v>0.108498279477121</v>
      </c>
    </row>
    <row r="31439" spans="1:6" x14ac:dyDescent="0.25">
      <c r="A31439" s="1" t="str">
        <f t="shared" si="1123"/>
        <v>41420</v>
      </c>
      <c r="B31439" s="1" t="str">
        <f>"97371"</f>
        <v>97371</v>
      </c>
      <c r="C31439" s="2">
        <v>1.90914071722688E-3</v>
      </c>
      <c r="D31439" s="2">
        <v>1.04275286757038E-3</v>
      </c>
      <c r="E31439" s="2">
        <v>0</v>
      </c>
      <c r="F31439" s="2">
        <v>1.7756999969903301E-3</v>
      </c>
    </row>
    <row r="31440" spans="1:6" x14ac:dyDescent="0.25">
      <c r="A31440" s="1" t="str">
        <f t="shared" si="1123"/>
        <v>41420</v>
      </c>
      <c r="B31440" s="1" t="str">
        <f>"97381"</f>
        <v>97381</v>
      </c>
      <c r="C31440" s="2">
        <v>3.6883694921572702E-2</v>
      </c>
      <c r="D31440" s="2">
        <v>2.9588112617309599E-2</v>
      </c>
      <c r="E31440" s="2">
        <v>2.3239133553292199E-2</v>
      </c>
      <c r="F31440" s="2">
        <v>3.5845062651110003E-2</v>
      </c>
    </row>
    <row r="31441" spans="1:6" x14ac:dyDescent="0.25">
      <c r="A31441" s="1" t="str">
        <f t="shared" si="1123"/>
        <v>41420</v>
      </c>
      <c r="B31441" s="1" t="str">
        <f>"97002"</f>
        <v>97002</v>
      </c>
      <c r="C31441" s="2">
        <v>1.5917037103980299E-2</v>
      </c>
      <c r="D31441" s="2">
        <v>2.3852971845672501E-2</v>
      </c>
      <c r="E31441" s="2">
        <v>5.0208004590446102E-3</v>
      </c>
      <c r="F31441" s="2">
        <v>1.61468313285646E-2</v>
      </c>
    </row>
    <row r="31442" spans="1:6" x14ac:dyDescent="0.25">
      <c r="A31442" s="1" t="str">
        <f t="shared" si="1123"/>
        <v>41420</v>
      </c>
      <c r="B31442" s="1" t="str">
        <f>"97314"</f>
        <v>97314</v>
      </c>
      <c r="C31442" s="2">
        <v>0</v>
      </c>
      <c r="D31442" s="2">
        <v>6.5172054223149102E-5</v>
      </c>
      <c r="E31442" s="2">
        <v>0</v>
      </c>
      <c r="F31442" s="2">
        <v>5.0161016864133797E-6</v>
      </c>
    </row>
    <row r="31443" spans="1:6" x14ac:dyDescent="0.25">
      <c r="A31443" s="1" t="str">
        <f t="shared" si="1123"/>
        <v>41420</v>
      </c>
      <c r="B31443" s="1" t="str">
        <f>"97350"</f>
        <v>97350</v>
      </c>
      <c r="C31443" s="2">
        <v>9.1503194139276795E-4</v>
      </c>
      <c r="D31443" s="2">
        <v>1.9551616266944699E-4</v>
      </c>
      <c r="E31443" s="2">
        <v>5.7380576674795499E-4</v>
      </c>
      <c r="F31443" s="2">
        <v>8.4772118500386201E-4</v>
      </c>
    </row>
    <row r="31444" spans="1:6" x14ac:dyDescent="0.25">
      <c r="A31444" s="1" t="str">
        <f t="shared" si="1123"/>
        <v>41420</v>
      </c>
      <c r="B31444" s="1" t="str">
        <f>"97347"</f>
        <v>97347</v>
      </c>
      <c r="C31444" s="2">
        <v>3.33252373717119E-3</v>
      </c>
      <c r="D31444" s="2">
        <v>1.1079249217935299E-3</v>
      </c>
      <c r="E31444" s="2">
        <v>2.29522306699182E-3</v>
      </c>
      <c r="F31444" s="2">
        <v>3.12503135063554E-3</v>
      </c>
    </row>
    <row r="31445" spans="1:6" x14ac:dyDescent="0.25">
      <c r="A31445" s="1" t="str">
        <f t="shared" si="1123"/>
        <v>41420</v>
      </c>
      <c r="B31445" s="1" t="str">
        <f>"97346"</f>
        <v>97346</v>
      </c>
      <c r="C31445" s="2">
        <v>1.4233830199443E-3</v>
      </c>
      <c r="D31445" s="2">
        <v>3.9103232533889399E-4</v>
      </c>
      <c r="E31445" s="2">
        <v>2.1517716253048299E-3</v>
      </c>
      <c r="F31445" s="2">
        <v>1.3693957603908499E-3</v>
      </c>
    </row>
    <row r="31446" spans="1:6" x14ac:dyDescent="0.25">
      <c r="A31446" s="1" t="str">
        <f t="shared" si="1123"/>
        <v>41420</v>
      </c>
      <c r="B31446" s="1" t="str">
        <f>"97392"</f>
        <v>97392</v>
      </c>
      <c r="C31446" s="2">
        <v>2.0254966307620099E-2</v>
      </c>
      <c r="D31446" s="2">
        <v>1.0492700729927E-2</v>
      </c>
      <c r="E31446" s="2">
        <v>2.0083201836178402E-3</v>
      </c>
      <c r="F31446" s="2">
        <v>1.88655584426007E-2</v>
      </c>
    </row>
    <row r="31447" spans="1:6" x14ac:dyDescent="0.25">
      <c r="A31447" s="1" t="str">
        <f t="shared" si="1123"/>
        <v>41420</v>
      </c>
      <c r="B31447" s="1" t="str">
        <f>"97020"</f>
        <v>97020</v>
      </c>
      <c r="C31447" s="2">
        <v>2.1237778392819802E-3</v>
      </c>
      <c r="D31447" s="2">
        <v>1.3034410844629799E-4</v>
      </c>
      <c r="E31447" s="2">
        <v>8.6070865012193303E-4</v>
      </c>
      <c r="F31447" s="2">
        <v>1.92618304758274E-3</v>
      </c>
    </row>
    <row r="31448" spans="1:6" x14ac:dyDescent="0.25">
      <c r="A31448" s="1" t="str">
        <f t="shared" si="1123"/>
        <v>41420</v>
      </c>
      <c r="B31448" s="1" t="str">
        <f>"97370"</f>
        <v>97370</v>
      </c>
      <c r="C31448" s="2">
        <v>1.12966906344786E-4</v>
      </c>
      <c r="D31448" s="2">
        <v>0</v>
      </c>
      <c r="E31448" s="2">
        <v>0</v>
      </c>
      <c r="F31448" s="2">
        <v>1.00322033728267E-4</v>
      </c>
    </row>
    <row r="31449" spans="1:6" x14ac:dyDescent="0.25">
      <c r="A31449" s="1" t="str">
        <f t="shared" si="1123"/>
        <v>41420</v>
      </c>
      <c r="B31449" s="1" t="str">
        <f>"97303"</f>
        <v>97303</v>
      </c>
      <c r="C31449" s="2">
        <v>9.6773100320261096E-2</v>
      </c>
      <c r="D31449" s="2">
        <v>7.2797184567257506E-2</v>
      </c>
      <c r="E31449" s="2">
        <v>8.8366088079185098E-2</v>
      </c>
      <c r="F31449" s="2">
        <v>9.4633774415874894E-2</v>
      </c>
    </row>
    <row r="31450" spans="1:6" x14ac:dyDescent="0.25">
      <c r="A31450" s="1" t="str">
        <f t="shared" si="1123"/>
        <v>41420</v>
      </c>
      <c r="B31450" s="1" t="str">
        <f>"97310"</f>
        <v>97310</v>
      </c>
      <c r="C31450" s="2">
        <v>0</v>
      </c>
      <c r="D31450" s="2">
        <v>1.9551616266944699E-4</v>
      </c>
      <c r="E31450" s="2">
        <v>4.0166403672356899E-3</v>
      </c>
      <c r="F31450" s="2">
        <v>1.5549915227881401E-4</v>
      </c>
    </row>
    <row r="31451" spans="1:6" x14ac:dyDescent="0.25">
      <c r="A31451" s="1" t="str">
        <f t="shared" si="1123"/>
        <v>41420</v>
      </c>
      <c r="B31451" s="1" t="str">
        <f>"97384"</f>
        <v>97384</v>
      </c>
      <c r="C31451" s="2">
        <v>0</v>
      </c>
      <c r="D31451" s="2">
        <v>0</v>
      </c>
      <c r="E31451" s="2">
        <v>1.4345144168698799E-4</v>
      </c>
      <c r="F31451" s="2">
        <v>5.0161016864133797E-6</v>
      </c>
    </row>
    <row r="31452" spans="1:6" x14ac:dyDescent="0.25">
      <c r="A31452" s="1" t="str">
        <f t="shared" si="1123"/>
        <v>41420</v>
      </c>
      <c r="B31452" s="1" t="str">
        <f>"97338"</f>
        <v>97338</v>
      </c>
      <c r="C31452" s="2">
        <v>5.7240331444903203E-2</v>
      </c>
      <c r="D31452" s="2">
        <v>4.9726277372262699E-2</v>
      </c>
      <c r="E31452" s="2">
        <v>5.1068713240567998E-2</v>
      </c>
      <c r="F31452" s="2">
        <v>5.6446192277209803E-2</v>
      </c>
    </row>
    <row r="31453" spans="1:6" x14ac:dyDescent="0.25">
      <c r="A31453" s="1" t="str">
        <f t="shared" si="1123"/>
        <v>41420</v>
      </c>
      <c r="B31453" s="1" t="str">
        <f>"97361"</f>
        <v>97361</v>
      </c>
      <c r="C31453" s="2">
        <v>2.7998847737555201E-2</v>
      </c>
      <c r="D31453" s="2">
        <v>1.34906152241918E-2</v>
      </c>
      <c r="E31453" s="2">
        <v>5.32204848658729E-2</v>
      </c>
      <c r="F31453" s="2">
        <v>2.7764122834298001E-2</v>
      </c>
    </row>
    <row r="31454" spans="1:6" x14ac:dyDescent="0.25">
      <c r="A31454" s="1" t="str">
        <f t="shared" si="1123"/>
        <v>41420</v>
      </c>
      <c r="B31454" s="1" t="str">
        <f>"97358"</f>
        <v>97358</v>
      </c>
      <c r="C31454" s="2">
        <v>2.2254480549922899E-3</v>
      </c>
      <c r="D31454" s="2">
        <v>8.4723670490093798E-4</v>
      </c>
      <c r="E31454" s="2">
        <v>0</v>
      </c>
      <c r="F31454" s="2">
        <v>2.0415533863702398E-3</v>
      </c>
    </row>
    <row r="31455" spans="1:6" x14ac:dyDescent="0.25">
      <c r="A31455" s="1" t="str">
        <f t="shared" si="1123"/>
        <v>41420</v>
      </c>
      <c r="B31455" s="1" t="str">
        <f>"97311"</f>
        <v>97311</v>
      </c>
      <c r="C31455" s="2">
        <v>0</v>
      </c>
      <c r="D31455" s="2">
        <v>6.5172054223149102E-5</v>
      </c>
      <c r="E31455" s="2">
        <v>0</v>
      </c>
      <c r="F31455" s="2">
        <v>5.0161016864133797E-6</v>
      </c>
    </row>
    <row r="31456" spans="1:6" x14ac:dyDescent="0.25">
      <c r="A31456" s="1" t="str">
        <f t="shared" si="1123"/>
        <v>41420</v>
      </c>
      <c r="B31456" s="1" t="str">
        <f>"97307"</f>
        <v>97307</v>
      </c>
      <c r="C31456" s="2">
        <v>4.9423021525844E-3</v>
      </c>
      <c r="D31456" s="2">
        <v>2.3787799791449401E-2</v>
      </c>
      <c r="E31456" s="2">
        <v>4.3035432506096603E-4</v>
      </c>
      <c r="F31456" s="2">
        <v>6.2350143962118399E-3</v>
      </c>
    </row>
    <row r="31457" spans="1:6" x14ac:dyDescent="0.25">
      <c r="A31457" s="1" t="str">
        <f t="shared" si="1123"/>
        <v>41420</v>
      </c>
      <c r="B31457" s="1" t="str">
        <f>"97373"</f>
        <v>97373</v>
      </c>
      <c r="C31457" s="2">
        <v>0</v>
      </c>
      <c r="D31457" s="2">
        <v>0</v>
      </c>
      <c r="E31457" s="2">
        <v>1.4345144168698799E-4</v>
      </c>
      <c r="F31457" s="2">
        <v>5.0161016864133797E-6</v>
      </c>
    </row>
    <row r="31458" spans="1:6" x14ac:dyDescent="0.25">
      <c r="A31458" s="1" t="str">
        <f t="shared" si="1123"/>
        <v>41420</v>
      </c>
      <c r="B31458" s="1" t="str">
        <f>"97360"</f>
        <v>97360</v>
      </c>
      <c r="C31458" s="2">
        <v>1.18615251662025E-3</v>
      </c>
      <c r="D31458" s="2">
        <v>3.9103232533889399E-4</v>
      </c>
      <c r="E31458" s="2">
        <v>8.6070865012193303E-4</v>
      </c>
      <c r="F31458" s="2">
        <v>1.1135745743837699E-3</v>
      </c>
    </row>
    <row r="31459" spans="1:6" x14ac:dyDescent="0.25">
      <c r="A31459" s="1" t="str">
        <f t="shared" si="1123"/>
        <v>41420</v>
      </c>
      <c r="B31459" s="1" t="str">
        <f>"97304"</f>
        <v>97304</v>
      </c>
      <c r="C31459" s="2">
        <v>8.0630129403591197E-2</v>
      </c>
      <c r="D31459" s="2">
        <v>5.2398331595411803E-2</v>
      </c>
      <c r="E31459" s="2">
        <v>6.1540668483718197E-2</v>
      </c>
      <c r="F31459" s="2">
        <v>7.7789704952898803E-2</v>
      </c>
    </row>
    <row r="31460" spans="1:6" x14ac:dyDescent="0.25">
      <c r="A31460" s="1" t="str">
        <f t="shared" si="1123"/>
        <v>41420</v>
      </c>
      <c r="B31460" s="1" t="str">
        <f>"97383"</f>
        <v>97383</v>
      </c>
      <c r="C31460" s="2">
        <v>2.2469117671977901E-2</v>
      </c>
      <c r="D31460" s="2">
        <v>2.4244004171011399E-2</v>
      </c>
      <c r="E31460" s="2">
        <v>2.5104002295222999E-2</v>
      </c>
      <c r="F31460" s="2">
        <v>2.26978601310205E-2</v>
      </c>
    </row>
    <row r="31461" spans="1:6" x14ac:dyDescent="0.25">
      <c r="A31461" s="1" t="str">
        <f t="shared" ref="A31461:A31481" si="1124">"41460"</f>
        <v>41460</v>
      </c>
      <c r="B31461" s="1" t="str">
        <f>"67470"</f>
        <v>67470</v>
      </c>
      <c r="C31461" s="2">
        <v>8.6879493032605299E-3</v>
      </c>
      <c r="D31461" s="2">
        <v>2.4744819053510599E-3</v>
      </c>
      <c r="E31461" s="2">
        <v>5.9701492537313399E-3</v>
      </c>
      <c r="F31461" s="2">
        <v>8.0085742356128392E-3</v>
      </c>
    </row>
    <row r="31462" spans="1:6" x14ac:dyDescent="0.25">
      <c r="A31462" s="1" t="str">
        <f t="shared" si="1124"/>
        <v>41460</v>
      </c>
      <c r="B31462" s="1" t="str">
        <f>"67402"</f>
        <v>67402</v>
      </c>
      <c r="C31462" s="2">
        <v>5.1037443357977497E-2</v>
      </c>
      <c r="D31462" s="2">
        <v>0.16640890813485901</v>
      </c>
      <c r="E31462" s="2">
        <v>9.9502487562189005E-4</v>
      </c>
      <c r="F31462" s="2">
        <v>6.0644853970049699E-2</v>
      </c>
    </row>
    <row r="31463" spans="1:6" x14ac:dyDescent="0.25">
      <c r="A31463" s="1" t="str">
        <f t="shared" si="1124"/>
        <v>41460</v>
      </c>
      <c r="B31463" s="1" t="str">
        <f>"67416"</f>
        <v>67416</v>
      </c>
      <c r="C31463" s="2">
        <v>1.6932983544001901E-2</v>
      </c>
      <c r="D31463" s="2">
        <v>4.9489638107021302E-3</v>
      </c>
      <c r="E31463" s="2">
        <v>4.97512437810945E-3</v>
      </c>
      <c r="F31463" s="2">
        <v>1.54217154425555E-2</v>
      </c>
    </row>
    <row r="31464" spans="1:6" x14ac:dyDescent="0.25">
      <c r="A31464" s="1" t="str">
        <f t="shared" si="1124"/>
        <v>41460</v>
      </c>
      <c r="B31464" s="1" t="str">
        <f>"67418"</f>
        <v>67418</v>
      </c>
      <c r="C31464" s="2">
        <v>1.02211168273653E-4</v>
      </c>
      <c r="D31464" s="2">
        <v>0</v>
      </c>
      <c r="E31464" s="2">
        <v>0</v>
      </c>
      <c r="F31464" s="2">
        <v>8.9314954300515E-5</v>
      </c>
    </row>
    <row r="31465" spans="1:6" x14ac:dyDescent="0.25">
      <c r="A31465" s="1" t="str">
        <f t="shared" si="1124"/>
        <v>41460</v>
      </c>
      <c r="B31465" s="1" t="str">
        <f>"67445"</f>
        <v>67445</v>
      </c>
      <c r="C31465" s="2">
        <v>1.7035194712275499E-4</v>
      </c>
      <c r="D31465" s="2">
        <v>0</v>
      </c>
      <c r="E31465" s="2">
        <v>0</v>
      </c>
      <c r="F31465" s="2">
        <v>1.4885825716752499E-4</v>
      </c>
    </row>
    <row r="31466" spans="1:6" x14ac:dyDescent="0.25">
      <c r="A31466" s="1" t="str">
        <f t="shared" si="1124"/>
        <v>41460</v>
      </c>
      <c r="B31466" s="1" t="str">
        <f>"66901"</f>
        <v>66901</v>
      </c>
      <c r="C31466" s="2">
        <v>0</v>
      </c>
      <c r="D31466" s="2">
        <v>3.0931023816888298E-4</v>
      </c>
      <c r="E31466" s="2">
        <v>0</v>
      </c>
      <c r="F31466" s="2">
        <v>2.9771651433504999E-5</v>
      </c>
    </row>
    <row r="31467" spans="1:6" x14ac:dyDescent="0.25">
      <c r="A31467" s="1" t="str">
        <f t="shared" si="1124"/>
        <v>41460</v>
      </c>
      <c r="B31467" s="1" t="str">
        <f>"67467"</f>
        <v>67467</v>
      </c>
      <c r="C31467" s="2">
        <v>4.6983067016455902E-2</v>
      </c>
      <c r="D31467" s="2">
        <v>5.9387565728425601E-2</v>
      </c>
      <c r="E31467" s="2">
        <v>3.2835820895522297E-2</v>
      </c>
      <c r="F31467" s="2">
        <v>4.7753728899341999E-2</v>
      </c>
    </row>
    <row r="31468" spans="1:6" x14ac:dyDescent="0.25">
      <c r="A31468" s="1" t="str">
        <f t="shared" si="1124"/>
        <v>41460</v>
      </c>
      <c r="B31468" s="1" t="str">
        <f>"67436"</f>
        <v>67436</v>
      </c>
      <c r="C31468" s="2">
        <v>1.1515791625498199E-2</v>
      </c>
      <c r="D31468" s="2">
        <v>2.4744819053510599E-3</v>
      </c>
      <c r="E31468" s="2">
        <v>2.9850746268656699E-3</v>
      </c>
      <c r="F31468" s="2">
        <v>1.0390306350293199E-2</v>
      </c>
    </row>
    <row r="31469" spans="1:6" x14ac:dyDescent="0.25">
      <c r="A31469" s="1" t="str">
        <f t="shared" si="1124"/>
        <v>41460</v>
      </c>
      <c r="B31469" s="1" t="str">
        <f>"67456"</f>
        <v>67456</v>
      </c>
      <c r="C31469" s="2">
        <v>8.89237163980784E-3</v>
      </c>
      <c r="D31469" s="2">
        <v>5.25827404887101E-3</v>
      </c>
      <c r="E31469" s="2">
        <v>9.9502487562189005E-4</v>
      </c>
      <c r="F31469" s="2">
        <v>8.3062907499478894E-3</v>
      </c>
    </row>
    <row r="31470" spans="1:6" x14ac:dyDescent="0.25">
      <c r="A31470" s="1" t="str">
        <f t="shared" si="1124"/>
        <v>41460</v>
      </c>
      <c r="B31470" s="1" t="str">
        <f>"67442"</f>
        <v>67442</v>
      </c>
      <c r="C31470" s="2">
        <v>3.5773908895778599E-3</v>
      </c>
      <c r="D31470" s="2">
        <v>3.0931023816888298E-4</v>
      </c>
      <c r="E31470" s="2">
        <v>9.9502487562189005E-4</v>
      </c>
      <c r="F31470" s="2">
        <v>3.1855667033850298E-3</v>
      </c>
    </row>
    <row r="31471" spans="1:6" x14ac:dyDescent="0.25">
      <c r="A31471" s="1" t="str">
        <f t="shared" si="1124"/>
        <v>41460</v>
      </c>
      <c r="B31471" s="1" t="str">
        <f>"67484"</f>
        <v>67484</v>
      </c>
      <c r="C31471" s="2">
        <v>1.4343633947736001E-2</v>
      </c>
      <c r="D31471" s="2">
        <v>3.4024126198577099E-3</v>
      </c>
      <c r="E31471" s="2">
        <v>2.9850746268656699E-3</v>
      </c>
      <c r="F31471" s="2">
        <v>1.29506683735746E-2</v>
      </c>
    </row>
    <row r="31472" spans="1:6" x14ac:dyDescent="0.25">
      <c r="A31472" s="1" t="str">
        <f t="shared" si="1124"/>
        <v>41460</v>
      </c>
      <c r="B31472" s="1" t="str">
        <f>"67422"</f>
        <v>67422</v>
      </c>
      <c r="C31472" s="2">
        <v>1.9658614697965902E-2</v>
      </c>
      <c r="D31472" s="2">
        <v>8.0420661923909596E-3</v>
      </c>
      <c r="E31472" s="2">
        <v>0</v>
      </c>
      <c r="F31472" s="2">
        <v>1.7952305814403501E-2</v>
      </c>
    </row>
    <row r="31473" spans="1:6" x14ac:dyDescent="0.25">
      <c r="A31473" s="1" t="str">
        <f t="shared" si="1124"/>
        <v>41460</v>
      </c>
      <c r="B31473" s="1" t="str">
        <f>"67401"</f>
        <v>67401</v>
      </c>
      <c r="C31473" s="2">
        <v>0.78668529181288505</v>
      </c>
      <c r="D31473" s="2">
        <v>0.74048871017630602</v>
      </c>
      <c r="E31473" s="2">
        <v>0.94427860696517396</v>
      </c>
      <c r="F31473" s="2">
        <v>0.78695406234183796</v>
      </c>
    </row>
    <row r="31474" spans="1:6" x14ac:dyDescent="0.25">
      <c r="A31474" s="1" t="str">
        <f t="shared" si="1124"/>
        <v>41460</v>
      </c>
      <c r="B31474" s="1" t="str">
        <f>"67432"</f>
        <v>67432</v>
      </c>
      <c r="C31474" s="2">
        <v>6.4733739906647095E-4</v>
      </c>
      <c r="D31474" s="2">
        <v>0</v>
      </c>
      <c r="E31474" s="2">
        <v>0</v>
      </c>
      <c r="F31474" s="2">
        <v>5.6566137723659501E-4</v>
      </c>
    </row>
    <row r="31475" spans="1:6" x14ac:dyDescent="0.25">
      <c r="A31475" s="1" t="str">
        <f t="shared" si="1124"/>
        <v>41460</v>
      </c>
      <c r="B31475" s="1" t="str">
        <f>"67466"</f>
        <v>67466</v>
      </c>
      <c r="C31475" s="2">
        <v>1.32874518755749E-3</v>
      </c>
      <c r="D31475" s="2">
        <v>3.0931023816888298E-4</v>
      </c>
      <c r="E31475" s="2">
        <v>0</v>
      </c>
      <c r="F31475" s="2">
        <v>1.1908660573401999E-3</v>
      </c>
    </row>
    <row r="31476" spans="1:6" x14ac:dyDescent="0.25">
      <c r="A31476" s="1" t="str">
        <f t="shared" si="1124"/>
        <v>41460</v>
      </c>
      <c r="B31476" s="1" t="str">
        <f>"67425"</f>
        <v>67425</v>
      </c>
      <c r="C31476" s="2">
        <v>8.7560900821096292E-3</v>
      </c>
      <c r="D31476" s="2">
        <v>2.1651716671821802E-3</v>
      </c>
      <c r="E31476" s="2">
        <v>0</v>
      </c>
      <c r="F31476" s="2">
        <v>7.8597159784453193E-3</v>
      </c>
    </row>
    <row r="31477" spans="1:6" x14ac:dyDescent="0.25">
      <c r="A31477" s="1" t="str">
        <f t="shared" si="1124"/>
        <v>41460</v>
      </c>
      <c r="B31477" s="1" t="str">
        <f>"67464"</f>
        <v>67464</v>
      </c>
      <c r="C31477" s="2">
        <v>3.4070389424551102E-5</v>
      </c>
      <c r="D31477" s="2">
        <v>0</v>
      </c>
      <c r="E31477" s="2">
        <v>0</v>
      </c>
      <c r="F31477" s="2">
        <v>2.9771651433504999E-5</v>
      </c>
    </row>
    <row r="31478" spans="1:6" x14ac:dyDescent="0.25">
      <c r="A31478" s="1" t="str">
        <f t="shared" si="1124"/>
        <v>41460</v>
      </c>
      <c r="B31478" s="1" t="str">
        <f>"67458"</f>
        <v>67458</v>
      </c>
      <c r="C31478" s="2">
        <v>2.72563115396408E-4</v>
      </c>
      <c r="D31478" s="2">
        <v>0</v>
      </c>
      <c r="E31478" s="2">
        <v>0</v>
      </c>
      <c r="F31478" s="2">
        <v>2.3817321146803999E-4</v>
      </c>
    </row>
    <row r="31479" spans="1:6" x14ac:dyDescent="0.25">
      <c r="A31479" s="1" t="str">
        <f t="shared" si="1124"/>
        <v>41460</v>
      </c>
      <c r="B31479" s="1" t="str">
        <f>"67455"</f>
        <v>67455</v>
      </c>
      <c r="C31479" s="2">
        <v>3.4070389424551101E-4</v>
      </c>
      <c r="D31479" s="2">
        <v>0</v>
      </c>
      <c r="E31479" s="2">
        <v>0</v>
      </c>
      <c r="F31479" s="2">
        <v>2.9771651433504998E-4</v>
      </c>
    </row>
    <row r="31480" spans="1:6" x14ac:dyDescent="0.25">
      <c r="A31480" s="1" t="str">
        <f t="shared" si="1124"/>
        <v>41460</v>
      </c>
      <c r="B31480" s="1" t="str">
        <f>"67480"</f>
        <v>67480</v>
      </c>
      <c r="C31480" s="2">
        <v>6.0304589281455403E-3</v>
      </c>
      <c r="D31480" s="2">
        <v>6.1862047633776595E-4</v>
      </c>
      <c r="E31480" s="2">
        <v>0</v>
      </c>
      <c r="F31480" s="2">
        <v>5.32912560659739E-3</v>
      </c>
    </row>
    <row r="31481" spans="1:6" x14ac:dyDescent="0.25">
      <c r="A31481" s="1" t="str">
        <f t="shared" si="1124"/>
        <v>41460</v>
      </c>
      <c r="B31481" s="1" t="str">
        <f>"67448"</f>
        <v>67448</v>
      </c>
      <c r="C31481" s="2">
        <v>1.40029300534905E-2</v>
      </c>
      <c r="D31481" s="2">
        <v>3.4024126198577099E-3</v>
      </c>
      <c r="E31481" s="2">
        <v>2.9850746268656699E-3</v>
      </c>
      <c r="F31481" s="2">
        <v>1.26529518592396E-2</v>
      </c>
    </row>
    <row r="31482" spans="1:6" x14ac:dyDescent="0.25">
      <c r="A31482" s="1" t="str">
        <f t="shared" ref="A31482:A31519" si="1125">"41500"</f>
        <v>41500</v>
      </c>
      <c r="B31482" s="1" t="str">
        <f>"93902"</f>
        <v>93902</v>
      </c>
      <c r="C31482" s="2">
        <v>8.5443295139251592E-3</v>
      </c>
      <c r="D31482" s="2">
        <v>2.6062592514273598E-2</v>
      </c>
      <c r="E31482" s="2">
        <v>2.3028209556706899E-4</v>
      </c>
      <c r="F31482" s="2">
        <v>9.8409537770351007E-3</v>
      </c>
    </row>
    <row r="31483" spans="1:6" x14ac:dyDescent="0.25">
      <c r="A31483" s="1" t="str">
        <f t="shared" si="1125"/>
        <v>41500</v>
      </c>
      <c r="B31483" s="1" t="str">
        <f>"93942"</f>
        <v>93942</v>
      </c>
      <c r="C31483" s="2">
        <v>7.7200803352720599E-3</v>
      </c>
      <c r="D31483" s="2">
        <v>3.4891097483611702E-2</v>
      </c>
      <c r="E31483" s="2">
        <v>2.3028209556706899E-4</v>
      </c>
      <c r="F31483" s="2">
        <v>9.9660294478159193E-3</v>
      </c>
    </row>
    <row r="31484" spans="1:6" x14ac:dyDescent="0.25">
      <c r="A31484" s="1" t="str">
        <f t="shared" si="1125"/>
        <v>41500</v>
      </c>
      <c r="B31484" s="1" t="str">
        <f>"93907"</f>
        <v>93907</v>
      </c>
      <c r="C31484" s="2">
        <v>4.4178595061470399E-2</v>
      </c>
      <c r="D31484" s="2">
        <v>3.3358003806301502E-2</v>
      </c>
      <c r="E31484" s="2">
        <v>3.1778929188255603E-2</v>
      </c>
      <c r="F31484" s="2">
        <v>4.2615782548441797E-2</v>
      </c>
    </row>
    <row r="31485" spans="1:6" x14ac:dyDescent="0.25">
      <c r="A31485" s="1" t="str">
        <f t="shared" si="1125"/>
        <v>41500</v>
      </c>
      <c r="B31485" s="1" t="str">
        <f>"93933"</f>
        <v>93933</v>
      </c>
      <c r="C31485" s="2">
        <v>8.1264003529179493E-2</v>
      </c>
      <c r="D31485" s="2">
        <v>4.2979488263903499E-2</v>
      </c>
      <c r="E31485" s="2">
        <v>5.2734599884858901E-2</v>
      </c>
      <c r="F31485" s="2">
        <v>7.6401222739757496E-2</v>
      </c>
    </row>
    <row r="31486" spans="1:6" x14ac:dyDescent="0.25">
      <c r="A31486" s="1" t="str">
        <f t="shared" si="1125"/>
        <v>41500</v>
      </c>
      <c r="B31486" s="1" t="str">
        <f>"93940"</f>
        <v>93940</v>
      </c>
      <c r="C31486" s="2">
        <v>9.1445222257049597E-2</v>
      </c>
      <c r="D31486" s="2">
        <v>0.17503700570945199</v>
      </c>
      <c r="E31486" s="2">
        <v>0.199884858952216</v>
      </c>
      <c r="F31486" s="2">
        <v>0.104067961116475</v>
      </c>
    </row>
    <row r="31487" spans="1:6" x14ac:dyDescent="0.25">
      <c r="A31487" s="1" t="str">
        <f t="shared" si="1125"/>
        <v>41500</v>
      </c>
      <c r="B31487" s="1" t="str">
        <f>"93953"</f>
        <v>93953</v>
      </c>
      <c r="C31487" s="2">
        <v>2.1842603234307301E-2</v>
      </c>
      <c r="D31487" s="2">
        <v>7.5068724888982799E-3</v>
      </c>
      <c r="E31487" s="2">
        <v>3.4542314335060399E-4</v>
      </c>
      <c r="F31487" s="2">
        <v>1.9551828856458099E-2</v>
      </c>
    </row>
    <row r="31488" spans="1:6" x14ac:dyDescent="0.25">
      <c r="A31488" s="1" t="str">
        <f t="shared" si="1125"/>
        <v>41500</v>
      </c>
      <c r="B31488" s="1" t="str">
        <f>"95076"</f>
        <v>95076</v>
      </c>
      <c r="C31488" s="2">
        <v>1.8435319657762399E-2</v>
      </c>
      <c r="D31488" s="2">
        <v>1.02558680482131E-2</v>
      </c>
      <c r="E31488" s="2">
        <v>1.3241220495106501E-2</v>
      </c>
      <c r="F31488" s="2">
        <v>1.7435548506846602E-2</v>
      </c>
    </row>
    <row r="31489" spans="1:6" x14ac:dyDescent="0.25">
      <c r="A31489" s="1" t="str">
        <f t="shared" si="1125"/>
        <v>41500</v>
      </c>
      <c r="B31489" s="1" t="str">
        <f>"93925"</f>
        <v>93925</v>
      </c>
      <c r="C31489" s="2">
        <v>1.4163154900799801E-3</v>
      </c>
      <c r="D31489" s="2">
        <v>0</v>
      </c>
      <c r="E31489" s="2">
        <v>2.6482440990213E-3</v>
      </c>
      <c r="F31489" s="2">
        <v>1.3358081639391799E-3</v>
      </c>
    </row>
    <row r="31490" spans="1:6" x14ac:dyDescent="0.25">
      <c r="A31490" s="1" t="str">
        <f t="shared" si="1125"/>
        <v>41500</v>
      </c>
      <c r="B31490" s="1" t="str">
        <f>"95012"</f>
        <v>95012</v>
      </c>
      <c r="C31490" s="2">
        <v>2.1755534659097499E-2</v>
      </c>
      <c r="D31490" s="2">
        <v>1.7657009938676201E-2</v>
      </c>
      <c r="E31490" s="2">
        <v>1.6465169833045398E-2</v>
      </c>
      <c r="F31490" s="2">
        <v>2.1137788361958901E-2</v>
      </c>
    </row>
    <row r="31491" spans="1:6" x14ac:dyDescent="0.25">
      <c r="A31491" s="1" t="str">
        <f t="shared" si="1125"/>
        <v>41500</v>
      </c>
      <c r="B31491" s="1" t="str">
        <f>"93923"</f>
        <v>93923</v>
      </c>
      <c r="C31491" s="2">
        <v>3.9140226842661198E-2</v>
      </c>
      <c r="D31491" s="2">
        <v>4.1604990484246103E-2</v>
      </c>
      <c r="E31491" s="2">
        <v>1.5428900402993599E-2</v>
      </c>
      <c r="F31491" s="2">
        <v>3.83431976345689E-2</v>
      </c>
    </row>
    <row r="31492" spans="1:6" x14ac:dyDescent="0.25">
      <c r="A31492" s="1" t="str">
        <f t="shared" si="1125"/>
        <v>41500</v>
      </c>
      <c r="B31492" s="1" t="str">
        <f>"93908"</f>
        <v>93908</v>
      </c>
      <c r="C31492" s="2">
        <v>2.8715216104203599E-2</v>
      </c>
      <c r="D31492" s="2">
        <v>1.39035736942271E-2</v>
      </c>
      <c r="E31492" s="2">
        <v>5.1813471502590597E-3</v>
      </c>
      <c r="F31492" s="2">
        <v>2.6290905998128802E-2</v>
      </c>
    </row>
    <row r="31493" spans="1:6" x14ac:dyDescent="0.25">
      <c r="A31493" s="1" t="str">
        <f t="shared" si="1125"/>
        <v>41500</v>
      </c>
      <c r="B31493" s="1" t="str">
        <f>"93928"</f>
        <v>93928</v>
      </c>
      <c r="C31493" s="2">
        <v>0</v>
      </c>
      <c r="D31493" s="2">
        <v>5.2865299217593502E-5</v>
      </c>
      <c r="E31493" s="2">
        <v>0</v>
      </c>
      <c r="F31493" s="2">
        <v>5.0030268312328898E-6</v>
      </c>
    </row>
    <row r="31494" spans="1:6" x14ac:dyDescent="0.25">
      <c r="A31494" s="1" t="str">
        <f t="shared" si="1125"/>
        <v>41500</v>
      </c>
      <c r="B31494" s="1" t="str">
        <f>"93450"</f>
        <v>93450</v>
      </c>
      <c r="C31494" s="2">
        <v>5.3402059462032202E-4</v>
      </c>
      <c r="D31494" s="2">
        <v>3.1719179530556102E-4</v>
      </c>
      <c r="E31494" s="2">
        <v>2.3028209556706899E-4</v>
      </c>
      <c r="F31494" s="2">
        <v>5.0030268312328905E-4</v>
      </c>
    </row>
    <row r="31495" spans="1:6" x14ac:dyDescent="0.25">
      <c r="A31495" s="1" t="str">
        <f t="shared" si="1125"/>
        <v>41500</v>
      </c>
      <c r="B31495" s="1" t="str">
        <f>"93915"</f>
        <v>93915</v>
      </c>
      <c r="C31495" s="2">
        <v>9.51369298459466E-3</v>
      </c>
      <c r="D31495" s="2">
        <v>5.3393952209769497E-3</v>
      </c>
      <c r="E31495" s="2">
        <v>2.3028209556706899E-4</v>
      </c>
      <c r="F31495" s="2">
        <v>8.7152727400077006E-3</v>
      </c>
    </row>
    <row r="31496" spans="1:6" x14ac:dyDescent="0.25">
      <c r="A31496" s="1" t="str">
        <f t="shared" si="1125"/>
        <v>41500</v>
      </c>
      <c r="B31496" s="1" t="str">
        <f>"93906"</f>
        <v>93906</v>
      </c>
      <c r="C31496" s="2">
        <v>0.103721891361636</v>
      </c>
      <c r="D31496" s="2">
        <v>5.1913723831676799E-2</v>
      </c>
      <c r="E31496" s="2">
        <v>0.13195164075992999</v>
      </c>
      <c r="F31496" s="2">
        <v>0.100045527544164</v>
      </c>
    </row>
    <row r="31497" spans="1:6" x14ac:dyDescent="0.25">
      <c r="A31497" s="1" t="str">
        <f t="shared" si="1125"/>
        <v>41500</v>
      </c>
      <c r="B31497" s="1" t="str">
        <f>"93950"</f>
        <v>93950</v>
      </c>
      <c r="C31497" s="2">
        <v>5.6112794436898497E-2</v>
      </c>
      <c r="D31497" s="2">
        <v>6.5817297525903901E-2</v>
      </c>
      <c r="E31497" s="2">
        <v>6.0449050086355698E-2</v>
      </c>
      <c r="F31497" s="2">
        <v>5.72196178688106E-2</v>
      </c>
    </row>
    <row r="31498" spans="1:6" x14ac:dyDescent="0.25">
      <c r="A31498" s="1" t="str">
        <f t="shared" si="1125"/>
        <v>41500</v>
      </c>
      <c r="B31498" s="1" t="str">
        <f>"93943"</f>
        <v>93943</v>
      </c>
      <c r="C31498" s="2">
        <v>5.22411451259011E-5</v>
      </c>
      <c r="D31498" s="2">
        <v>1.54366673715373E-2</v>
      </c>
      <c r="E31498" s="2">
        <v>1.1514104778353399E-4</v>
      </c>
      <c r="F31498" s="2">
        <v>1.51091410303233E-3</v>
      </c>
    </row>
    <row r="31499" spans="1:6" x14ac:dyDescent="0.25">
      <c r="A31499" s="1" t="str">
        <f t="shared" si="1125"/>
        <v>41500</v>
      </c>
      <c r="B31499" s="1" t="str">
        <f>"93944"</f>
        <v>93944</v>
      </c>
      <c r="C31499" s="2">
        <v>1.22998873913093E-2</v>
      </c>
      <c r="D31499" s="2">
        <v>5.1807993233241702E-3</v>
      </c>
      <c r="E31499" s="2">
        <v>3.1088082901554398E-3</v>
      </c>
      <c r="F31499" s="2">
        <v>1.12267922092866E-2</v>
      </c>
    </row>
    <row r="31500" spans="1:6" x14ac:dyDescent="0.25">
      <c r="A31500" s="1" t="str">
        <f t="shared" si="1125"/>
        <v>41500</v>
      </c>
      <c r="B31500" s="1" t="str">
        <f>"93922"</f>
        <v>93922</v>
      </c>
      <c r="C31500" s="2">
        <v>1.3350514865507999E-2</v>
      </c>
      <c r="D31500" s="2">
        <v>2.2732078663565199E-2</v>
      </c>
      <c r="E31500" s="2">
        <v>2.3028209556706899E-4</v>
      </c>
      <c r="F31500" s="2">
        <v>1.36682693029282E-2</v>
      </c>
    </row>
    <row r="31501" spans="1:6" x14ac:dyDescent="0.25">
      <c r="A31501" s="1" t="str">
        <f t="shared" si="1125"/>
        <v>41500</v>
      </c>
      <c r="B31501" s="1" t="str">
        <f>"93920"</f>
        <v>93920</v>
      </c>
      <c r="C31501" s="2">
        <v>2.6236663996563598E-3</v>
      </c>
      <c r="D31501" s="2">
        <v>2.48466906322689E-3</v>
      </c>
      <c r="E31501" s="2">
        <v>1.2665515256188799E-3</v>
      </c>
      <c r="F31501" s="2">
        <v>2.5515436839287698E-3</v>
      </c>
    </row>
    <row r="31502" spans="1:6" x14ac:dyDescent="0.25">
      <c r="A31502" s="1" t="str">
        <f t="shared" si="1125"/>
        <v>41500</v>
      </c>
      <c r="B31502" s="1" t="str">
        <f>"93962"</f>
        <v>93962</v>
      </c>
      <c r="C31502" s="2">
        <v>3.4769384367127499E-3</v>
      </c>
      <c r="D31502" s="2">
        <v>6.0266441108056601E-3</v>
      </c>
      <c r="E31502" s="2">
        <v>8.0598733448474305E-4</v>
      </c>
      <c r="F31502" s="2">
        <v>3.6021793184876799E-3</v>
      </c>
    </row>
    <row r="31503" spans="1:6" x14ac:dyDescent="0.25">
      <c r="A31503" s="1" t="str">
        <f t="shared" si="1125"/>
        <v>41500</v>
      </c>
      <c r="B31503" s="1" t="str">
        <f>"93210"</f>
        <v>93210</v>
      </c>
      <c r="C31503" s="2">
        <v>1.7413715041967E-5</v>
      </c>
      <c r="D31503" s="2">
        <v>5.2865299217593502E-5</v>
      </c>
      <c r="E31503" s="2">
        <v>0</v>
      </c>
      <c r="F31503" s="2">
        <v>2.0012107324931498E-5</v>
      </c>
    </row>
    <row r="31504" spans="1:6" x14ac:dyDescent="0.25">
      <c r="A31504" s="1" t="str">
        <f t="shared" si="1125"/>
        <v>41500</v>
      </c>
      <c r="B31504" s="1" t="str">
        <f>"93912"</f>
        <v>93912</v>
      </c>
      <c r="C31504" s="2">
        <v>1.4882921789201101E-2</v>
      </c>
      <c r="D31504" s="2">
        <v>2.4106576443222599E-2</v>
      </c>
      <c r="E31504" s="2">
        <v>2.3028209556706899E-4</v>
      </c>
      <c r="F31504" s="2">
        <v>1.51191470839858E-2</v>
      </c>
    </row>
    <row r="31505" spans="1:6" x14ac:dyDescent="0.25">
      <c r="A31505" s="1" t="str">
        <f t="shared" si="1125"/>
        <v>41500</v>
      </c>
      <c r="B31505" s="1" t="str">
        <f>"93426"</f>
        <v>93426</v>
      </c>
      <c r="C31505" s="2">
        <v>2.6410801146983299E-3</v>
      </c>
      <c r="D31505" s="2">
        <v>8.45844787481497E-4</v>
      </c>
      <c r="E31505" s="2">
        <v>6.9084628670120797E-4</v>
      </c>
      <c r="F31505" s="2">
        <v>2.3864437984980899E-3</v>
      </c>
    </row>
    <row r="31506" spans="1:6" x14ac:dyDescent="0.25">
      <c r="A31506" s="1" t="str">
        <f t="shared" si="1125"/>
        <v>41500</v>
      </c>
      <c r="B31506" s="1" t="str">
        <f>"93905"</f>
        <v>93905</v>
      </c>
      <c r="C31506" s="2">
        <v>8.1879288127329003E-2</v>
      </c>
      <c r="D31506" s="2">
        <v>4.0124762106153497E-2</v>
      </c>
      <c r="E31506" s="2">
        <v>0.14715025906735699</v>
      </c>
      <c r="F31506" s="2">
        <v>8.0763862136592604E-2</v>
      </c>
    </row>
    <row r="31507" spans="1:6" x14ac:dyDescent="0.25">
      <c r="A31507" s="1" t="str">
        <f t="shared" si="1125"/>
        <v>41500</v>
      </c>
      <c r="B31507" s="1" t="str">
        <f>"93924"</f>
        <v>93924</v>
      </c>
      <c r="C31507" s="2">
        <v>1.6722971011968998E-2</v>
      </c>
      <c r="D31507" s="2">
        <v>1.2053288221611299E-2</v>
      </c>
      <c r="E31507" s="2">
        <v>7.0236039147956201E-3</v>
      </c>
      <c r="F31507" s="2">
        <v>1.58595950550082E-2</v>
      </c>
    </row>
    <row r="31508" spans="1:6" x14ac:dyDescent="0.25">
      <c r="A31508" s="1" t="str">
        <f t="shared" si="1125"/>
        <v>41500</v>
      </c>
      <c r="B31508" s="1" t="str">
        <f>"93955"</f>
        <v>93955</v>
      </c>
      <c r="C31508" s="2">
        <v>7.4008288928359894E-2</v>
      </c>
      <c r="D31508" s="2">
        <v>6.6451681116515102E-2</v>
      </c>
      <c r="E31508" s="2">
        <v>8.3822682786413305E-2</v>
      </c>
      <c r="F31508" s="2">
        <v>7.3719600358216703E-2</v>
      </c>
    </row>
    <row r="31509" spans="1:6" x14ac:dyDescent="0.25">
      <c r="A31509" s="1" t="str">
        <f t="shared" si="1125"/>
        <v>41500</v>
      </c>
      <c r="B31509" s="1" t="str">
        <f>"93921"</f>
        <v>93921</v>
      </c>
      <c r="C31509" s="2">
        <v>2.61495954213538E-2</v>
      </c>
      <c r="D31509" s="2">
        <v>3.0609008246986601E-2</v>
      </c>
      <c r="E31509" s="2">
        <v>3.4542314335060399E-4</v>
      </c>
      <c r="F31509" s="2">
        <v>2.54503974904817E-2</v>
      </c>
    </row>
    <row r="31510" spans="1:6" x14ac:dyDescent="0.25">
      <c r="A31510" s="1" t="str">
        <f t="shared" si="1125"/>
        <v>41500</v>
      </c>
      <c r="B31510" s="1" t="str">
        <f>"95039"</f>
        <v>95039</v>
      </c>
      <c r="C31510" s="2">
        <v>7.3660014627520603E-3</v>
      </c>
      <c r="D31510" s="2">
        <v>1.17889617255233E-2</v>
      </c>
      <c r="E31510" s="2">
        <v>2.8785261945883699E-3</v>
      </c>
      <c r="F31510" s="2">
        <v>7.5895917029803004E-3</v>
      </c>
    </row>
    <row r="31511" spans="1:6" x14ac:dyDescent="0.25">
      <c r="A31511" s="1" t="str">
        <f t="shared" si="1125"/>
        <v>41500</v>
      </c>
      <c r="B31511" s="1" t="str">
        <f>"93927"</f>
        <v>93927</v>
      </c>
      <c r="C31511" s="2">
        <v>4.3998653339370003E-2</v>
      </c>
      <c r="D31511" s="2">
        <v>1.9401564812856799E-2</v>
      </c>
      <c r="E31511" s="2">
        <v>2.3488773747841099E-2</v>
      </c>
      <c r="F31511" s="2">
        <v>4.0779671701379298E-2</v>
      </c>
    </row>
    <row r="31512" spans="1:6" x14ac:dyDescent="0.25">
      <c r="A31512" s="1" t="str">
        <f t="shared" si="1125"/>
        <v>41500</v>
      </c>
      <c r="B31512" s="1" t="str">
        <f>"93960"</f>
        <v>93960</v>
      </c>
      <c r="C31512" s="2">
        <v>3.5036394664437698E-2</v>
      </c>
      <c r="D31512" s="2">
        <v>2.0247409600338301E-2</v>
      </c>
      <c r="E31512" s="2">
        <v>1.10535405872193E-2</v>
      </c>
      <c r="F31512" s="2">
        <v>3.25947198054823E-2</v>
      </c>
    </row>
    <row r="31513" spans="1:6" x14ac:dyDescent="0.25">
      <c r="A31513" s="1" t="str">
        <f t="shared" si="1125"/>
        <v>41500</v>
      </c>
      <c r="B31513" s="1" t="str">
        <f>"93930"</f>
        <v>93930</v>
      </c>
      <c r="C31513" s="2">
        <v>3.64236872961144E-2</v>
      </c>
      <c r="D31513" s="2">
        <v>2.91816451681116E-2</v>
      </c>
      <c r="E31513" s="2">
        <v>3.4657455382843899E-2</v>
      </c>
      <c r="F31513" s="2">
        <v>3.5661575253028002E-2</v>
      </c>
    </row>
    <row r="31514" spans="1:6" x14ac:dyDescent="0.25">
      <c r="A31514" s="1" t="str">
        <f t="shared" si="1125"/>
        <v>41500</v>
      </c>
      <c r="B31514" s="1" t="str">
        <f>"93926"</f>
        <v>93926</v>
      </c>
      <c r="C31514" s="2">
        <v>2.2039958671449599E-2</v>
      </c>
      <c r="D31514" s="2">
        <v>9.4628885599492406E-3</v>
      </c>
      <c r="E31514" s="2">
        <v>1.2204951065054599E-2</v>
      </c>
      <c r="F31514" s="2">
        <v>2.0422355525092601E-2</v>
      </c>
    </row>
    <row r="31515" spans="1:6" x14ac:dyDescent="0.25">
      <c r="A31515" s="1" t="str">
        <f t="shared" si="1125"/>
        <v>41500</v>
      </c>
      <c r="B31515" s="1" t="str">
        <f>"93451"</f>
        <v>93451</v>
      </c>
      <c r="C31515" s="2">
        <v>1.48016577856719E-3</v>
      </c>
      <c r="D31515" s="2">
        <v>2.1146119687037401E-4</v>
      </c>
      <c r="E31515" s="2">
        <v>0</v>
      </c>
      <c r="F31515" s="2">
        <v>1.2957839492893199E-3</v>
      </c>
    </row>
    <row r="31516" spans="1:6" x14ac:dyDescent="0.25">
      <c r="A31516" s="1" t="str">
        <f t="shared" si="1125"/>
        <v>41500</v>
      </c>
      <c r="B31516" s="1" t="str">
        <f>"95004"</f>
        <v>95004</v>
      </c>
      <c r="C31516" s="2">
        <v>7.9522632024982796E-3</v>
      </c>
      <c r="D31516" s="2">
        <v>5.4451258194121296E-3</v>
      </c>
      <c r="E31516" s="2">
        <v>6.9084628670120797E-4</v>
      </c>
      <c r="F31516" s="2">
        <v>7.3994766833934498E-3</v>
      </c>
    </row>
    <row r="31517" spans="1:6" x14ac:dyDescent="0.25">
      <c r="A31517" s="1" t="str">
        <f t="shared" si="1125"/>
        <v>41500</v>
      </c>
      <c r="B31517" s="1" t="str">
        <f>"93932"</f>
        <v>93932</v>
      </c>
      <c r="C31517" s="2">
        <v>5.8045716806556798E-6</v>
      </c>
      <c r="D31517" s="2">
        <v>5.2865299217593502E-5</v>
      </c>
      <c r="E31517" s="2">
        <v>0</v>
      </c>
      <c r="F31517" s="2">
        <v>1.00060536624657E-5</v>
      </c>
    </row>
    <row r="31518" spans="1:6" x14ac:dyDescent="0.25">
      <c r="A31518" s="1" t="str">
        <f t="shared" si="1125"/>
        <v>41500</v>
      </c>
      <c r="B31518" s="1" t="str">
        <f>"93901"</f>
        <v>93901</v>
      </c>
      <c r="C31518" s="2">
        <v>6.2851902158139697E-2</v>
      </c>
      <c r="D31518" s="2">
        <v>0.15135335165996999</v>
      </c>
      <c r="E31518" s="2">
        <v>0.13862982153137501</v>
      </c>
      <c r="F31518" s="2">
        <v>7.4520084651213903E-2</v>
      </c>
    </row>
    <row r="31519" spans="1:6" x14ac:dyDescent="0.25">
      <c r="A31519" s="1" t="str">
        <f t="shared" si="1125"/>
        <v>41500</v>
      </c>
      <c r="B31519" s="1" t="str">
        <f>"93954"</f>
        <v>93954</v>
      </c>
      <c r="C31519" s="2">
        <v>4.00515445965242E-4</v>
      </c>
      <c r="D31519" s="2">
        <v>5.2865299217593502E-5</v>
      </c>
      <c r="E31519" s="2">
        <v>5.7570523891767398E-4</v>
      </c>
      <c r="F31519" s="2">
        <v>3.75227012342467E-4</v>
      </c>
    </row>
    <row r="31520" spans="1:6" x14ac:dyDescent="0.25">
      <c r="A31520" s="1" t="str">
        <f t="shared" ref="A31520:A31551" si="1126">"41540"</f>
        <v>41540</v>
      </c>
      <c r="B31520" s="1" t="str">
        <f>"19940"</f>
        <v>19940</v>
      </c>
      <c r="C31520" s="2">
        <v>9.9886981325009398E-3</v>
      </c>
      <c r="D31520" s="2">
        <v>1.30365506252715E-2</v>
      </c>
      <c r="E31520" s="2">
        <v>6.8959645836880598E-3</v>
      </c>
      <c r="F31520" s="2">
        <v>1.00748139292738E-2</v>
      </c>
    </row>
    <row r="31521" spans="1:6" x14ac:dyDescent="0.25">
      <c r="A31521" s="1" t="str">
        <f t="shared" si="1126"/>
        <v>41540</v>
      </c>
      <c r="B31521" s="1" t="str">
        <f>"21871"</f>
        <v>21871</v>
      </c>
      <c r="C31521" s="2">
        <v>4.26600649408894E-3</v>
      </c>
      <c r="D31521" s="2">
        <v>3.76611462507846E-3</v>
      </c>
      <c r="E31521" s="2">
        <v>5.1081219138430101E-4</v>
      </c>
      <c r="F31521" s="2">
        <v>4.0909850500687704E-3</v>
      </c>
    </row>
    <row r="31522" spans="1:6" x14ac:dyDescent="0.25">
      <c r="A31522" s="1" t="str">
        <f t="shared" si="1126"/>
        <v>41540</v>
      </c>
      <c r="B31522" s="1" t="str">
        <f>"21803"</f>
        <v>21803</v>
      </c>
      <c r="C31522" s="2">
        <v>2.8774913442046498E-3</v>
      </c>
      <c r="D31522" s="2">
        <v>1.2795133021099799E-2</v>
      </c>
      <c r="E31522" s="2">
        <v>8.5135365230716795E-5</v>
      </c>
      <c r="F31522" s="2">
        <v>3.43218541514017E-3</v>
      </c>
    </row>
    <row r="31523" spans="1:6" x14ac:dyDescent="0.25">
      <c r="A31523" s="1" t="str">
        <f t="shared" si="1126"/>
        <v>41540</v>
      </c>
      <c r="B31523" s="1" t="str">
        <f>"19947"</f>
        <v>19947</v>
      </c>
      <c r="C31523" s="2">
        <v>3.0299768580808299E-2</v>
      </c>
      <c r="D31523" s="2">
        <v>5.1035681521896498E-2</v>
      </c>
      <c r="E31523" s="2">
        <v>1.3706793802145401E-2</v>
      </c>
      <c r="F31523" s="2">
        <v>3.1053565230804801E-2</v>
      </c>
    </row>
    <row r="31524" spans="1:6" x14ac:dyDescent="0.25">
      <c r="A31524" s="1" t="str">
        <f t="shared" si="1126"/>
        <v>41540</v>
      </c>
      <c r="B31524" s="1" t="str">
        <f>"19956"</f>
        <v>19956</v>
      </c>
      <c r="C31524" s="2">
        <v>2.5750318425631899E-2</v>
      </c>
      <c r="D31524" s="2">
        <v>2.4624595625513002E-2</v>
      </c>
      <c r="E31524" s="2">
        <v>1.8644644985526902E-2</v>
      </c>
      <c r="F31524" s="2">
        <v>2.5407170310953402E-2</v>
      </c>
    </row>
    <row r="31525" spans="1:6" x14ac:dyDescent="0.25">
      <c r="A31525" s="1" t="str">
        <f t="shared" si="1126"/>
        <v>41540</v>
      </c>
      <c r="B31525" s="1" t="str">
        <f>"19958"</f>
        <v>19958</v>
      </c>
      <c r="C31525" s="2">
        <v>7.6156647471431305E-2</v>
      </c>
      <c r="D31525" s="2">
        <v>6.23823089179662E-2</v>
      </c>
      <c r="E31525" s="2">
        <v>4.2908224076281198E-2</v>
      </c>
      <c r="F31525" s="2">
        <v>7.3984805830858799E-2</v>
      </c>
    </row>
    <row r="31526" spans="1:6" x14ac:dyDescent="0.25">
      <c r="A31526" s="1" t="str">
        <f t="shared" si="1126"/>
        <v>41540</v>
      </c>
      <c r="B31526" s="1" t="str">
        <f>"19967"</f>
        <v>19967</v>
      </c>
      <c r="C31526" s="2">
        <v>6.4295068439086502E-3</v>
      </c>
      <c r="D31526" s="2">
        <v>5.8905895417893797E-3</v>
      </c>
      <c r="E31526" s="2">
        <v>1.9581134003064798E-3</v>
      </c>
      <c r="F31526" s="2">
        <v>6.2248531358862604E-3</v>
      </c>
    </row>
    <row r="31527" spans="1:6" x14ac:dyDescent="0.25">
      <c r="A31527" s="1" t="str">
        <f t="shared" si="1126"/>
        <v>41540</v>
      </c>
      <c r="B31527" s="1" t="str">
        <f>"21830"</f>
        <v>21830</v>
      </c>
      <c r="C31527" s="2">
        <v>6.2142331772599198E-3</v>
      </c>
      <c r="D31527" s="2">
        <v>1.4485056250301701E-3</v>
      </c>
      <c r="E31527" s="2">
        <v>4.2567682615358402E-4</v>
      </c>
      <c r="F31527" s="2">
        <v>5.6785314874088898E-3</v>
      </c>
    </row>
    <row r="31528" spans="1:6" x14ac:dyDescent="0.25">
      <c r="A31528" s="1" t="str">
        <f t="shared" si="1126"/>
        <v>41540</v>
      </c>
      <c r="B31528" s="1" t="str">
        <f>"21822"</f>
        <v>21822</v>
      </c>
      <c r="C31528" s="2">
        <v>5.0983980051306802E-3</v>
      </c>
      <c r="D31528" s="2">
        <v>1.6416397083675301E-3</v>
      </c>
      <c r="E31528" s="2">
        <v>1.7027073046143299E-4</v>
      </c>
      <c r="F31528" s="2">
        <v>4.6822978931266301E-3</v>
      </c>
    </row>
    <row r="31529" spans="1:6" x14ac:dyDescent="0.25">
      <c r="A31529" s="1" t="str">
        <f t="shared" si="1126"/>
        <v>41540</v>
      </c>
      <c r="B31529" s="1" t="str">
        <f>"21824"</f>
        <v>21824</v>
      </c>
      <c r="C31529" s="2">
        <v>7.4269414993810795E-4</v>
      </c>
      <c r="D31529" s="2">
        <v>5.3111872917773102E-4</v>
      </c>
      <c r="E31529" s="2">
        <v>0</v>
      </c>
      <c r="F31529" s="2">
        <v>7.0057717275333201E-4</v>
      </c>
    </row>
    <row r="31530" spans="1:6" x14ac:dyDescent="0.25">
      <c r="A31530" s="1" t="str">
        <f t="shared" si="1126"/>
        <v>41540</v>
      </c>
      <c r="B31530" s="1" t="str">
        <f>"21840"</f>
        <v>21840</v>
      </c>
      <c r="C31530" s="2">
        <v>9.0056150548050795E-4</v>
      </c>
      <c r="D31530" s="2">
        <v>2.8970112500603499E-4</v>
      </c>
      <c r="E31530" s="2">
        <v>0</v>
      </c>
      <c r="F31530" s="2">
        <v>8.2590978622755203E-4</v>
      </c>
    </row>
    <row r="31531" spans="1:6" x14ac:dyDescent="0.25">
      <c r="A31531" s="1" t="str">
        <f t="shared" si="1126"/>
        <v>41540</v>
      </c>
      <c r="B31531" s="1" t="str">
        <f>"19970"</f>
        <v>19970</v>
      </c>
      <c r="C31531" s="2">
        <v>3.3335127280555397E-2</v>
      </c>
      <c r="D31531" s="2">
        <v>1.8492588479551899E-2</v>
      </c>
      <c r="E31531" s="2">
        <v>1.8048697428911901E-2</v>
      </c>
      <c r="F31531" s="2">
        <v>3.1770210687336903E-2</v>
      </c>
    </row>
    <row r="31532" spans="1:6" x14ac:dyDescent="0.25">
      <c r="A31532" s="1" t="str">
        <f t="shared" si="1126"/>
        <v>41540</v>
      </c>
      <c r="B31532" s="1" t="str">
        <f>"19933"</f>
        <v>19933</v>
      </c>
      <c r="C31532" s="2">
        <v>1.54494734764903E-2</v>
      </c>
      <c r="D31532" s="2">
        <v>1.34711023127806E-2</v>
      </c>
      <c r="E31532" s="2">
        <v>6.0446109313808897E-3</v>
      </c>
      <c r="F31532" s="2">
        <v>1.4962785854768399E-2</v>
      </c>
    </row>
    <row r="31533" spans="1:6" x14ac:dyDescent="0.25">
      <c r="A31533" s="1" t="str">
        <f t="shared" si="1126"/>
        <v>41540</v>
      </c>
      <c r="B31533" s="1" t="str">
        <f>"19931"</f>
        <v>19931</v>
      </c>
      <c r="C31533" s="2">
        <v>3.6955312774698102E-4</v>
      </c>
      <c r="D31533" s="2">
        <v>4.8283520834339197E-5</v>
      </c>
      <c r="E31533" s="2">
        <v>8.5135365230716795E-5</v>
      </c>
      <c r="F31533" s="2">
        <v>3.3743395935366898E-4</v>
      </c>
    </row>
    <row r="31534" spans="1:6" x14ac:dyDescent="0.25">
      <c r="A31534" s="1" t="str">
        <f t="shared" si="1126"/>
        <v>41540</v>
      </c>
      <c r="B31534" s="1" t="str">
        <f>"21829"</f>
        <v>21829</v>
      </c>
      <c r="C31534" s="2">
        <v>7.5345783327054503E-4</v>
      </c>
      <c r="D31534" s="2">
        <v>1.93134083337356E-4</v>
      </c>
      <c r="E31534" s="2">
        <v>0</v>
      </c>
      <c r="F31534" s="2">
        <v>6.8772254573033504E-4</v>
      </c>
    </row>
    <row r="31535" spans="1:6" x14ac:dyDescent="0.25">
      <c r="A31535" s="1" t="str">
        <f t="shared" si="1126"/>
        <v>41540</v>
      </c>
      <c r="B31535" s="1" t="str">
        <f>"19963"</f>
        <v>19963</v>
      </c>
      <c r="C31535" s="2">
        <v>2.44192095868539E-2</v>
      </c>
      <c r="D31535" s="2">
        <v>2.3562358167157502E-2</v>
      </c>
      <c r="E31535" s="2">
        <v>3.1500085135365199E-3</v>
      </c>
      <c r="F31535" s="2">
        <v>2.3559317676397601E-2</v>
      </c>
    </row>
    <row r="31536" spans="1:6" x14ac:dyDescent="0.25">
      <c r="A31536" s="1" t="str">
        <f t="shared" si="1126"/>
        <v>41540</v>
      </c>
      <c r="B31536" s="1" t="str">
        <f>"19966"</f>
        <v>19966</v>
      </c>
      <c r="C31536" s="2">
        <v>7.8603591482338503E-2</v>
      </c>
      <c r="D31536" s="2">
        <v>4.3406885230070899E-2</v>
      </c>
      <c r="E31536" s="2">
        <v>3.0819002213519402E-2</v>
      </c>
      <c r="F31536" s="2">
        <v>7.4457213373953904E-2</v>
      </c>
    </row>
    <row r="31537" spans="1:6" x14ac:dyDescent="0.25">
      <c r="A31537" s="1" t="str">
        <f t="shared" si="1126"/>
        <v>41540</v>
      </c>
      <c r="B31537" s="1" t="str">
        <f>"19951"</f>
        <v>19951</v>
      </c>
      <c r="C31537" s="2">
        <v>3.6991191719139599E-3</v>
      </c>
      <c r="D31537" s="2">
        <v>4.1523827917531696E-3</v>
      </c>
      <c r="E31537" s="2">
        <v>1.5324365741529E-3</v>
      </c>
      <c r="F31537" s="2">
        <v>3.64750041777537E-3</v>
      </c>
    </row>
    <row r="31538" spans="1:6" x14ac:dyDescent="0.25">
      <c r="A31538" s="1" t="str">
        <f t="shared" si="1126"/>
        <v>41540</v>
      </c>
      <c r="B31538" s="1" t="str">
        <f>"21864"</f>
        <v>21864</v>
      </c>
      <c r="C31538" s="2">
        <v>1.0799562276877801E-3</v>
      </c>
      <c r="D31538" s="2">
        <v>3.8626816667471298E-4</v>
      </c>
      <c r="E31538" s="2">
        <v>0</v>
      </c>
      <c r="F31538" s="2">
        <v>9.9301993752651209E-4</v>
      </c>
    </row>
    <row r="31539" spans="1:6" x14ac:dyDescent="0.25">
      <c r="A31539" s="1" t="str">
        <f t="shared" si="1126"/>
        <v>41540</v>
      </c>
      <c r="B31539" s="1" t="str">
        <f>"19960"</f>
        <v>19960</v>
      </c>
      <c r="C31539" s="2">
        <v>1.0935902265755301E-2</v>
      </c>
      <c r="D31539" s="2">
        <v>2.5107430833856401E-3</v>
      </c>
      <c r="E31539" s="2">
        <v>8.5135365230716795E-5</v>
      </c>
      <c r="F31539" s="2">
        <v>9.9655495995783598E-3</v>
      </c>
    </row>
    <row r="31540" spans="1:6" x14ac:dyDescent="0.25">
      <c r="A31540" s="1" t="str">
        <f t="shared" si="1126"/>
        <v>41540</v>
      </c>
      <c r="B31540" s="1" t="str">
        <f>"19939"</f>
        <v>19939</v>
      </c>
      <c r="C31540" s="2">
        <v>1.5697038193136299E-2</v>
      </c>
      <c r="D31540" s="2">
        <v>1.25537154169282E-2</v>
      </c>
      <c r="E31540" s="2">
        <v>7.06623531414949E-3</v>
      </c>
      <c r="F31540" s="2">
        <v>1.5162032573624799E-2</v>
      </c>
    </row>
    <row r="31541" spans="1:6" x14ac:dyDescent="0.25">
      <c r="A31541" s="1" t="str">
        <f t="shared" si="1126"/>
        <v>41540</v>
      </c>
      <c r="B31541" s="1" t="str">
        <f>"21804"</f>
        <v>21804</v>
      </c>
      <c r="C31541" s="2">
        <v>6.4725615772383893E-2</v>
      </c>
      <c r="D31541" s="2">
        <v>6.4989619043020599E-2</v>
      </c>
      <c r="E31541" s="2">
        <v>0.10437595777285801</v>
      </c>
      <c r="F31541" s="2">
        <v>6.6239893049503104E-2</v>
      </c>
    </row>
    <row r="31542" spans="1:6" x14ac:dyDescent="0.25">
      <c r="A31542" s="1" t="str">
        <f t="shared" si="1126"/>
        <v>41540</v>
      </c>
      <c r="B31542" s="1" t="str">
        <f>"21811"</f>
        <v>21811</v>
      </c>
      <c r="C31542" s="2">
        <v>6.2088513355937E-2</v>
      </c>
      <c r="D31542" s="2">
        <v>5.5912317126164797E-2</v>
      </c>
      <c r="E31542" s="2">
        <v>3.40541460922867E-2</v>
      </c>
      <c r="F31542" s="2">
        <v>6.06192073836977E-2</v>
      </c>
    </row>
    <row r="31543" spans="1:6" x14ac:dyDescent="0.25">
      <c r="A31543" s="1" t="str">
        <f t="shared" si="1126"/>
        <v>41540</v>
      </c>
      <c r="B31543" s="1" t="str">
        <f>"21802"</f>
        <v>21802</v>
      </c>
      <c r="C31543" s="2">
        <v>7.4699962327108302E-3</v>
      </c>
      <c r="D31543" s="2">
        <v>2.66042199797209E-2</v>
      </c>
      <c r="E31543" s="2">
        <v>1.7027073046143299E-4</v>
      </c>
      <c r="F31543" s="2">
        <v>8.4679855513992205E-3</v>
      </c>
    </row>
    <row r="31544" spans="1:6" x14ac:dyDescent="0.25">
      <c r="A31544" s="1" t="str">
        <f t="shared" si="1126"/>
        <v>41540</v>
      </c>
      <c r="B31544" s="1" t="str">
        <f>"21853"</f>
        <v>21853</v>
      </c>
      <c r="C31544" s="2">
        <v>1.73474696374432E-2</v>
      </c>
      <c r="D31544" s="2">
        <v>1.4098788083627E-2</v>
      </c>
      <c r="E31544" s="2">
        <v>3.3117657074748799E-2</v>
      </c>
      <c r="F31544" s="2">
        <v>1.7726530664712699E-2</v>
      </c>
    </row>
    <row r="31545" spans="1:6" x14ac:dyDescent="0.25">
      <c r="A31545" s="1" t="str">
        <f t="shared" si="1126"/>
        <v>41540</v>
      </c>
      <c r="B31545" s="1" t="str">
        <f>"21841"</f>
        <v>21841</v>
      </c>
      <c r="C31545" s="2">
        <v>1.67195881097178E-3</v>
      </c>
      <c r="D31545" s="2">
        <v>9.1738689585244503E-4</v>
      </c>
      <c r="E31545" s="2">
        <v>1.7027073046143299E-4</v>
      </c>
      <c r="F31545" s="2">
        <v>1.5650508400498701E-3</v>
      </c>
    </row>
    <row r="31546" spans="1:6" x14ac:dyDescent="0.25">
      <c r="A31546" s="1" t="str">
        <f t="shared" si="1126"/>
        <v>41540</v>
      </c>
      <c r="B31546" s="1" t="str">
        <f>"21875"</f>
        <v>21875</v>
      </c>
      <c r="C31546" s="2">
        <v>1.17539421990205E-2</v>
      </c>
      <c r="D31546" s="2">
        <v>5.9388730626237203E-3</v>
      </c>
      <c r="E31546" s="2">
        <v>1.0471649923378099E-2</v>
      </c>
      <c r="F31546" s="2">
        <v>1.1318499093748701E-2</v>
      </c>
    </row>
    <row r="31547" spans="1:6" x14ac:dyDescent="0.25">
      <c r="A31547" s="1" t="str">
        <f t="shared" si="1126"/>
        <v>41540</v>
      </c>
      <c r="B31547" s="1" t="str">
        <f>"21857"</f>
        <v>21857</v>
      </c>
      <c r="C31547" s="2">
        <v>0</v>
      </c>
      <c r="D31547" s="2">
        <v>4.8283520834339197E-5</v>
      </c>
      <c r="E31547" s="2">
        <v>0</v>
      </c>
      <c r="F31547" s="2">
        <v>3.21365675574923E-6</v>
      </c>
    </row>
    <row r="31548" spans="1:6" x14ac:dyDescent="0.25">
      <c r="A31548" s="1" t="str">
        <f t="shared" si="1126"/>
        <v>41540</v>
      </c>
      <c r="B31548" s="1" t="str">
        <f>"21843"</f>
        <v>21843</v>
      </c>
      <c r="C31548" s="2">
        <v>9.5150960658737394E-3</v>
      </c>
      <c r="D31548" s="2">
        <v>2.3176090000482801E-2</v>
      </c>
      <c r="E31548" s="2">
        <v>3.4054146092286702E-4</v>
      </c>
      <c r="F31548" s="2">
        <v>1.0078027586029501E-2</v>
      </c>
    </row>
    <row r="31549" spans="1:6" x14ac:dyDescent="0.25">
      <c r="A31549" s="1" t="str">
        <f t="shared" si="1126"/>
        <v>41540</v>
      </c>
      <c r="B31549" s="1" t="str">
        <f>"21867"</f>
        <v>21867</v>
      </c>
      <c r="C31549" s="2">
        <v>0</v>
      </c>
      <c r="D31549" s="2">
        <v>4.8283520834339197E-5</v>
      </c>
      <c r="E31549" s="2">
        <v>0</v>
      </c>
      <c r="F31549" s="2">
        <v>3.21365675574923E-6</v>
      </c>
    </row>
    <row r="31550" spans="1:6" x14ac:dyDescent="0.25">
      <c r="A31550" s="1" t="str">
        <f t="shared" si="1126"/>
        <v>41540</v>
      </c>
      <c r="B31550" s="1" t="str">
        <f>"19968"</f>
        <v>19968</v>
      </c>
      <c r="C31550" s="2">
        <v>3.2961986258364197E-2</v>
      </c>
      <c r="D31550" s="2">
        <v>1.7816619187871099E-2</v>
      </c>
      <c r="E31550" s="2">
        <v>5.4486633747658697E-3</v>
      </c>
      <c r="F31550" s="2">
        <v>3.0915377990307601E-2</v>
      </c>
    </row>
    <row r="31551" spans="1:6" x14ac:dyDescent="0.25">
      <c r="A31551" s="1" t="str">
        <f t="shared" si="1126"/>
        <v>41540</v>
      </c>
      <c r="B31551" s="1" t="str">
        <f>"19971"</f>
        <v>19971</v>
      </c>
      <c r="C31551" s="2">
        <v>6.2820443822542704E-2</v>
      </c>
      <c r="D31551" s="2">
        <v>8.1116315001689906E-2</v>
      </c>
      <c r="E31551" s="2">
        <v>7.6877234803337302E-2</v>
      </c>
      <c r="F31551" s="2">
        <v>6.4568791536513501E-2</v>
      </c>
    </row>
    <row r="31552" spans="1:6" x14ac:dyDescent="0.25">
      <c r="A31552" s="1" t="str">
        <f t="shared" ref="A31552:A31585" si="1127">"41540"</f>
        <v>41540</v>
      </c>
      <c r="B31552" s="1" t="str">
        <f>"19941"</f>
        <v>19941</v>
      </c>
      <c r="C31552" s="2">
        <v>4.4346375329637798E-3</v>
      </c>
      <c r="D31552" s="2">
        <v>1.7864902708705499E-3</v>
      </c>
      <c r="E31552" s="2">
        <v>8.5135365230716795E-5</v>
      </c>
      <c r="F31552" s="2">
        <v>4.0941987068245202E-3</v>
      </c>
    </row>
    <row r="31553" spans="1:6" x14ac:dyDescent="0.25">
      <c r="A31553" s="1" t="str">
        <f t="shared" si="1127"/>
        <v>41540</v>
      </c>
      <c r="B31553" s="1" t="str">
        <f>"21842"</f>
        <v>21842</v>
      </c>
      <c r="C31553" s="2">
        <v>0.116143731051432</v>
      </c>
      <c r="D31553" s="2">
        <v>0.101443677272946</v>
      </c>
      <c r="E31553" s="2">
        <v>0.30640217946534898</v>
      </c>
      <c r="F31553" s="2">
        <v>0.122347126348129</v>
      </c>
    </row>
    <row r="31554" spans="1:6" x14ac:dyDescent="0.25">
      <c r="A31554" s="1" t="str">
        <f t="shared" si="1127"/>
        <v>41540</v>
      </c>
      <c r="B31554" s="1" t="str">
        <f>"21851"</f>
        <v>21851</v>
      </c>
      <c r="C31554" s="2">
        <v>1.32249789211201E-2</v>
      </c>
      <c r="D31554" s="2">
        <v>2.03273622712568E-2</v>
      </c>
      <c r="E31554" s="2">
        <v>1.5579771837221101E-2</v>
      </c>
      <c r="F31554" s="2">
        <v>1.37865874821642E-2</v>
      </c>
    </row>
    <row r="31555" spans="1:6" x14ac:dyDescent="0.25">
      <c r="A31555" s="1" t="str">
        <f t="shared" si="1127"/>
        <v>41540</v>
      </c>
      <c r="B31555" s="1" t="str">
        <f>"21837"</f>
        <v>21837</v>
      </c>
      <c r="C31555" s="2">
        <v>4.4741043718493799E-3</v>
      </c>
      <c r="D31555" s="2">
        <v>2.5590266042199699E-3</v>
      </c>
      <c r="E31555" s="2">
        <v>5.9594755661501698E-4</v>
      </c>
      <c r="F31555" s="2">
        <v>4.2002493797642397E-3</v>
      </c>
    </row>
    <row r="31556" spans="1:6" x14ac:dyDescent="0.25">
      <c r="A31556" s="1" t="str">
        <f t="shared" si="1127"/>
        <v>41540</v>
      </c>
      <c r="B31556" s="1" t="str">
        <f>"21865"</f>
        <v>21865</v>
      </c>
      <c r="C31556" s="2">
        <v>1.0189620221373E-3</v>
      </c>
      <c r="D31556" s="2">
        <v>6.2768577084641004E-4</v>
      </c>
      <c r="E31556" s="2">
        <v>0</v>
      </c>
      <c r="F31556" s="2">
        <v>9.5445605645752096E-4</v>
      </c>
    </row>
    <row r="31557" spans="1:6" x14ac:dyDescent="0.25">
      <c r="A31557" s="1" t="str">
        <f t="shared" si="1127"/>
        <v>41540</v>
      </c>
      <c r="B31557" s="1" t="str">
        <f>"21862"</f>
        <v>21862</v>
      </c>
      <c r="C31557" s="2">
        <v>2.76267872199199E-4</v>
      </c>
      <c r="D31557" s="2">
        <v>5.3111872917773102E-4</v>
      </c>
      <c r="E31557" s="2">
        <v>8.5135365230716795E-5</v>
      </c>
      <c r="F31557" s="2">
        <v>2.86015451261681E-4</v>
      </c>
    </row>
    <row r="31558" spans="1:6" x14ac:dyDescent="0.25">
      <c r="A31558" s="1" t="str">
        <f t="shared" si="1127"/>
        <v>41540</v>
      </c>
      <c r="B31558" s="1" t="str">
        <f>"21866"</f>
        <v>21866</v>
      </c>
      <c r="C31558" s="2">
        <v>7.1757888882909002E-6</v>
      </c>
      <c r="D31558" s="2">
        <v>0</v>
      </c>
      <c r="E31558" s="2">
        <v>8.5135365230716795E-5</v>
      </c>
      <c r="F31558" s="2">
        <v>9.6409702672476897E-6</v>
      </c>
    </row>
    <row r="31559" spans="1:6" x14ac:dyDescent="0.25">
      <c r="A31559" s="1" t="str">
        <f t="shared" si="1127"/>
        <v>41540</v>
      </c>
      <c r="B31559" s="1" t="str">
        <f>"19973"</f>
        <v>19973</v>
      </c>
      <c r="C31559" s="2">
        <v>4.7073175107188302E-2</v>
      </c>
      <c r="D31559" s="2">
        <v>6.0885519772101701E-2</v>
      </c>
      <c r="E31559" s="2">
        <v>2.1794653499063499E-2</v>
      </c>
      <c r="F31559" s="2">
        <v>4.70382939339015E-2</v>
      </c>
    </row>
    <row r="31560" spans="1:6" x14ac:dyDescent="0.25">
      <c r="A31560" s="1" t="str">
        <f t="shared" si="1127"/>
        <v>41540</v>
      </c>
      <c r="B31560" s="1" t="str">
        <f>"21801"</f>
        <v>21801</v>
      </c>
      <c r="C31560" s="2">
        <v>4.48845594962596E-2</v>
      </c>
      <c r="D31560" s="2">
        <v>0.109217324127275</v>
      </c>
      <c r="E31560" s="2">
        <v>0.10667461263408801</v>
      </c>
      <c r="F31560" s="2">
        <v>5.1498849510881399E-2</v>
      </c>
    </row>
    <row r="31561" spans="1:6" x14ac:dyDescent="0.25">
      <c r="A31561" s="1" t="str">
        <f t="shared" si="1127"/>
        <v>41540</v>
      </c>
      <c r="B31561" s="1" t="str">
        <f>"21817"</f>
        <v>21817</v>
      </c>
      <c r="C31561" s="2">
        <v>1.1291103815725701E-2</v>
      </c>
      <c r="D31561" s="2">
        <v>1.4098788083627E-2</v>
      </c>
      <c r="E31561" s="2">
        <v>1.21743572279925E-2</v>
      </c>
      <c r="F31561" s="2">
        <v>1.15113184990937E-2</v>
      </c>
    </row>
    <row r="31562" spans="1:6" x14ac:dyDescent="0.25">
      <c r="A31562" s="1" t="str">
        <f t="shared" si="1127"/>
        <v>41540</v>
      </c>
      <c r="B31562" s="1" t="str">
        <f>"21849"</f>
        <v>21849</v>
      </c>
      <c r="C31562" s="2">
        <v>5.5074179717632702E-3</v>
      </c>
      <c r="D31562" s="2">
        <v>1.30365506252715E-3</v>
      </c>
      <c r="E31562" s="2">
        <v>1.1918951132300301E-3</v>
      </c>
      <c r="F31562" s="2">
        <v>5.0647230470607799E-3</v>
      </c>
    </row>
    <row r="31563" spans="1:6" x14ac:dyDescent="0.25">
      <c r="A31563" s="1" t="str">
        <f t="shared" si="1127"/>
        <v>41540</v>
      </c>
      <c r="B31563" s="1" t="str">
        <f>"21863"</f>
        <v>21863</v>
      </c>
      <c r="C31563" s="2">
        <v>8.4746066770715594E-3</v>
      </c>
      <c r="D31563" s="2">
        <v>1.4485056250301699E-2</v>
      </c>
      <c r="E31563" s="2">
        <v>7.66218287076451E-3</v>
      </c>
      <c r="F31563" s="2">
        <v>8.8439833918218802E-3</v>
      </c>
    </row>
    <row r="31564" spans="1:6" x14ac:dyDescent="0.25">
      <c r="A31564" s="1" t="str">
        <f t="shared" si="1127"/>
        <v>41540</v>
      </c>
      <c r="B31564" s="1" t="str">
        <f>"21813"</f>
        <v>21813</v>
      </c>
      <c r="C31564" s="2">
        <v>5.2598532551172304E-3</v>
      </c>
      <c r="D31564" s="2">
        <v>3.5729805417410998E-3</v>
      </c>
      <c r="E31564" s="2">
        <v>1.7878426698450501E-3</v>
      </c>
      <c r="F31564" s="2">
        <v>5.0165181957245496E-3</v>
      </c>
    </row>
    <row r="31565" spans="1:6" x14ac:dyDescent="0.25">
      <c r="A31565" s="1" t="str">
        <f t="shared" si="1127"/>
        <v>41540</v>
      </c>
      <c r="B31565" s="1" t="str">
        <f>"21850"</f>
        <v>21850</v>
      </c>
      <c r="C31565" s="2">
        <v>5.2203864162316304E-3</v>
      </c>
      <c r="D31565" s="2">
        <v>2.8970112500603501E-3</v>
      </c>
      <c r="E31565" s="2">
        <v>2.0432487655372002E-3</v>
      </c>
      <c r="F31565" s="2">
        <v>4.9458177470980604E-3</v>
      </c>
    </row>
    <row r="31566" spans="1:6" x14ac:dyDescent="0.25">
      <c r="A31566" s="1" t="str">
        <f t="shared" si="1127"/>
        <v>41540</v>
      </c>
      <c r="B31566" s="1" t="str">
        <f>"21826"</f>
        <v>21826</v>
      </c>
      <c r="C31566" s="2">
        <v>1.1431031699047399E-2</v>
      </c>
      <c r="D31566" s="2">
        <v>1.12983438752353E-2</v>
      </c>
      <c r="E31566" s="2">
        <v>5.1932572790737196E-3</v>
      </c>
      <c r="F31566" s="2">
        <v>1.1186739166763E-2</v>
      </c>
    </row>
    <row r="31567" spans="1:6" x14ac:dyDescent="0.25">
      <c r="A31567" s="1" t="str">
        <f t="shared" si="1127"/>
        <v>41540</v>
      </c>
      <c r="B31567" s="1" t="str">
        <f>"21838"</f>
        <v>21838</v>
      </c>
      <c r="C31567" s="2">
        <v>3.5125486608183899E-3</v>
      </c>
      <c r="D31567" s="2">
        <v>1.93134083337356E-3</v>
      </c>
      <c r="E31567" s="2">
        <v>1.7027073046143299E-4</v>
      </c>
      <c r="F31567" s="2">
        <v>3.28114354761996E-3</v>
      </c>
    </row>
    <row r="31568" spans="1:6" x14ac:dyDescent="0.25">
      <c r="A31568" s="1" t="str">
        <f t="shared" si="1127"/>
        <v>41540</v>
      </c>
      <c r="B31568" s="1" t="str">
        <f>"19969"</f>
        <v>19969</v>
      </c>
      <c r="C31568" s="2">
        <v>1.0333135999138899E-3</v>
      </c>
      <c r="D31568" s="2">
        <v>8.4496161460093592E-3</v>
      </c>
      <c r="E31568" s="2">
        <v>2.5540609569215002E-4</v>
      </c>
      <c r="F31568" s="2">
        <v>1.49756404817914E-3</v>
      </c>
    </row>
    <row r="31569" spans="1:6" x14ac:dyDescent="0.25">
      <c r="A31569" s="1" t="str">
        <f t="shared" si="1127"/>
        <v>41540</v>
      </c>
      <c r="B31569" s="1" t="str">
        <f>"21852"</f>
        <v>21852</v>
      </c>
      <c r="C31569" s="2">
        <v>0</v>
      </c>
      <c r="D31569" s="2">
        <v>9.6567041668678394E-5</v>
      </c>
      <c r="E31569" s="2">
        <v>0</v>
      </c>
      <c r="F31569" s="2">
        <v>6.4273135114984601E-6</v>
      </c>
    </row>
    <row r="31570" spans="1:6" x14ac:dyDescent="0.25">
      <c r="A31570" s="1" t="str">
        <f t="shared" si="1127"/>
        <v>41540</v>
      </c>
      <c r="B31570" s="1" t="str">
        <f>"21792"</f>
        <v>21792</v>
      </c>
      <c r="C31570" s="2">
        <v>0</v>
      </c>
      <c r="D31570" s="2">
        <v>4.8283520834339197E-5</v>
      </c>
      <c r="E31570" s="2">
        <v>0</v>
      </c>
      <c r="F31570" s="2">
        <v>3.21365675574923E-6</v>
      </c>
    </row>
    <row r="31571" spans="1:6" x14ac:dyDescent="0.25">
      <c r="A31571" s="1" t="str">
        <f t="shared" si="1127"/>
        <v>41540</v>
      </c>
      <c r="B31571" s="1" t="str">
        <f>"21874"</f>
        <v>21874</v>
      </c>
      <c r="C31571" s="2">
        <v>3.8318712663473402E-3</v>
      </c>
      <c r="D31571" s="2">
        <v>1.7864902708705499E-3</v>
      </c>
      <c r="E31571" s="2">
        <v>5.1081219138430101E-4</v>
      </c>
      <c r="F31571" s="2">
        <v>3.5703726556373899E-3</v>
      </c>
    </row>
    <row r="31572" spans="1:6" x14ac:dyDescent="0.25">
      <c r="A31572" s="1" t="str">
        <f t="shared" si="1127"/>
        <v>41540</v>
      </c>
      <c r="B31572" s="1" t="str">
        <f>"21872"</f>
        <v>21872</v>
      </c>
      <c r="C31572" s="2">
        <v>1.31675726100138E-3</v>
      </c>
      <c r="D31572" s="2">
        <v>8.6910337501810596E-4</v>
      </c>
      <c r="E31572" s="2">
        <v>1.7027073046143299E-4</v>
      </c>
      <c r="F31572" s="2">
        <v>1.24368516447495E-3</v>
      </c>
    </row>
    <row r="31573" spans="1:6" x14ac:dyDescent="0.25">
      <c r="A31573" s="1" t="str">
        <f t="shared" si="1127"/>
        <v>41540</v>
      </c>
      <c r="B31573" s="1" t="str">
        <f>"21836"</f>
        <v>21836</v>
      </c>
      <c r="C31573" s="2">
        <v>0</v>
      </c>
      <c r="D31573" s="2">
        <v>4.8283520834339197E-5</v>
      </c>
      <c r="E31573" s="2">
        <v>0</v>
      </c>
      <c r="F31573" s="2">
        <v>3.21365675574923E-6</v>
      </c>
    </row>
    <row r="31574" spans="1:6" x14ac:dyDescent="0.25">
      <c r="A31574" s="1" t="str">
        <f t="shared" si="1127"/>
        <v>41540</v>
      </c>
      <c r="B31574" s="1" t="str">
        <f>"21890"</f>
        <v>21890</v>
      </c>
      <c r="C31574" s="2">
        <v>0</v>
      </c>
      <c r="D31574" s="2">
        <v>2.8970112500603499E-4</v>
      </c>
      <c r="E31574" s="2">
        <v>0</v>
      </c>
      <c r="F31574" s="2">
        <v>1.9281940534495302E-5</v>
      </c>
    </row>
    <row r="31575" spans="1:6" x14ac:dyDescent="0.25">
      <c r="A31575" s="1" t="str">
        <f t="shared" si="1127"/>
        <v>41540</v>
      </c>
      <c r="B31575" s="1" t="str">
        <f>"19950"</f>
        <v>19950</v>
      </c>
      <c r="C31575" s="2">
        <v>8.2987998493084299E-3</v>
      </c>
      <c r="D31575" s="2">
        <v>4.5386509584278796E-3</v>
      </c>
      <c r="E31575" s="2">
        <v>1.7878426698450501E-3</v>
      </c>
      <c r="F31575" s="2">
        <v>7.8027586029591296E-3</v>
      </c>
    </row>
    <row r="31576" spans="1:6" x14ac:dyDescent="0.25">
      <c r="A31576" s="1" t="str">
        <f t="shared" si="1127"/>
        <v>41540</v>
      </c>
      <c r="B31576" s="1" t="str">
        <f>"19930"</f>
        <v>19930</v>
      </c>
      <c r="C31576" s="2">
        <v>2.0239312559424499E-2</v>
      </c>
      <c r="D31576" s="2">
        <v>1.73337839795277E-2</v>
      </c>
      <c r="E31576" s="2">
        <v>4.4185254554742003E-2</v>
      </c>
      <c r="F31576" s="2">
        <v>2.0949828390729199E-2</v>
      </c>
    </row>
    <row r="31577" spans="1:6" x14ac:dyDescent="0.25">
      <c r="A31577" s="1" t="str">
        <f t="shared" si="1127"/>
        <v>41540</v>
      </c>
      <c r="B31577" s="1" t="str">
        <f>"21814"</f>
        <v>21814</v>
      </c>
      <c r="C31577" s="2">
        <v>7.85748883267854E-4</v>
      </c>
      <c r="D31577" s="2">
        <v>1.4485056250301701E-4</v>
      </c>
      <c r="E31577" s="2">
        <v>0</v>
      </c>
      <c r="F31577" s="2">
        <v>7.1343179977632898E-4</v>
      </c>
    </row>
    <row r="31578" spans="1:6" x14ac:dyDescent="0.25">
      <c r="A31578" s="1" t="str">
        <f t="shared" si="1127"/>
        <v>41540</v>
      </c>
      <c r="B31578" s="1" t="str">
        <f>"19952"</f>
        <v>19952</v>
      </c>
      <c r="C31578" s="2">
        <v>2.08097877760436E-4</v>
      </c>
      <c r="D31578" s="2">
        <v>2.41417604171696E-4</v>
      </c>
      <c r="E31578" s="2">
        <v>0</v>
      </c>
      <c r="F31578" s="2">
        <v>2.0246037561220099E-4</v>
      </c>
    </row>
    <row r="31579" spans="1:6" x14ac:dyDescent="0.25">
      <c r="A31579" s="1" t="str">
        <f t="shared" si="1127"/>
        <v>41540</v>
      </c>
      <c r="B31579" s="1" t="str">
        <f>"21821"</f>
        <v>21821</v>
      </c>
      <c r="C31579" s="2">
        <v>2.6980966219973799E-3</v>
      </c>
      <c r="D31579" s="2">
        <v>7.2425281251508797E-4</v>
      </c>
      <c r="E31579" s="2">
        <v>3.4054146092286702E-4</v>
      </c>
      <c r="F31579" s="2">
        <v>2.4777293586826501E-3</v>
      </c>
    </row>
    <row r="31580" spans="1:6" x14ac:dyDescent="0.25">
      <c r="A31580" s="1" t="str">
        <f t="shared" si="1127"/>
        <v>41540</v>
      </c>
      <c r="B31580" s="1" t="str">
        <f>"21861"</f>
        <v>21861</v>
      </c>
      <c r="C31580" s="2">
        <v>1.5499703998708299E-3</v>
      </c>
      <c r="D31580" s="2">
        <v>4.8283520834339197E-5</v>
      </c>
      <c r="E31580" s="2">
        <v>2.5540609569215002E-4</v>
      </c>
      <c r="F31580" s="2">
        <v>1.4011543455066599E-3</v>
      </c>
    </row>
    <row r="31581" spans="1:6" x14ac:dyDescent="0.25">
      <c r="A31581" s="1" t="str">
        <f t="shared" si="1127"/>
        <v>41540</v>
      </c>
      <c r="B31581" s="1" t="str">
        <f>"21810"</f>
        <v>21810</v>
      </c>
      <c r="C31581" s="2">
        <v>0</v>
      </c>
      <c r="D31581" s="2">
        <v>4.8283520834339197E-5</v>
      </c>
      <c r="E31581" s="2">
        <v>0</v>
      </c>
      <c r="F31581" s="2">
        <v>3.21365675574923E-6</v>
      </c>
    </row>
    <row r="31582" spans="1:6" x14ac:dyDescent="0.25">
      <c r="A31582" s="1" t="str">
        <f t="shared" si="1127"/>
        <v>41540</v>
      </c>
      <c r="B31582" s="1" t="str">
        <f>"19945"</f>
        <v>19945</v>
      </c>
      <c r="C31582" s="2">
        <v>1.8725221103995101E-2</v>
      </c>
      <c r="D31582" s="2">
        <v>5.7940225001207003E-3</v>
      </c>
      <c r="E31582" s="2">
        <v>1.24297633236846E-2</v>
      </c>
      <c r="F31582" s="2">
        <v>1.76269073052845E-2</v>
      </c>
    </row>
    <row r="31583" spans="1:6" x14ac:dyDescent="0.25">
      <c r="A31583" s="1" t="str">
        <f t="shared" si="1127"/>
        <v>41540</v>
      </c>
      <c r="B31583" s="1" t="str">
        <f>"19944"</f>
        <v>19944</v>
      </c>
      <c r="C31583" s="2">
        <v>3.5699549719247201E-3</v>
      </c>
      <c r="D31583" s="2">
        <v>5.06976968760562E-3</v>
      </c>
      <c r="E31583" s="2">
        <v>9.2797548101481303E-3</v>
      </c>
      <c r="F31583" s="2">
        <v>3.8853110177008202E-3</v>
      </c>
    </row>
    <row r="31584" spans="1:6" x14ac:dyDescent="0.25">
      <c r="A31584" s="1" t="str">
        <f t="shared" si="1127"/>
        <v>41540</v>
      </c>
      <c r="B31584" s="1" t="str">
        <f>"21856"</f>
        <v>21856</v>
      </c>
      <c r="C31584" s="2">
        <v>1.7508924887429801E-3</v>
      </c>
      <c r="D31584" s="2">
        <v>8.2081985418376699E-4</v>
      </c>
      <c r="E31584" s="2">
        <v>0</v>
      </c>
      <c r="F31584" s="2">
        <v>1.6228966616533599E-3</v>
      </c>
    </row>
    <row r="31585" spans="1:6" x14ac:dyDescent="0.25">
      <c r="A31585" s="1" t="str">
        <f t="shared" si="1127"/>
        <v>41540</v>
      </c>
      <c r="B31585" s="1" t="str">
        <f>"19975"</f>
        <v>19975</v>
      </c>
      <c r="C31585" s="2">
        <v>3.0335647525249799E-2</v>
      </c>
      <c r="D31585" s="2">
        <v>1.9796243542079001E-2</v>
      </c>
      <c r="E31585" s="2">
        <v>3.2096032691980199E-2</v>
      </c>
      <c r="F31585" s="2">
        <v>2.9700615736634399E-2</v>
      </c>
    </row>
    <row r="31586" spans="1:6" x14ac:dyDescent="0.25">
      <c r="A31586" s="1" t="str">
        <f t="shared" ref="A31586:A31617" si="1128">"41620"</f>
        <v>41620</v>
      </c>
      <c r="B31586" s="1" t="str">
        <f>"84107"</f>
        <v>84107</v>
      </c>
      <c r="C31586" s="2">
        <v>3.5086587294979599E-2</v>
      </c>
      <c r="D31586" s="2">
        <v>6.4446852526844595E-2</v>
      </c>
      <c r="E31586" s="2">
        <v>0.10404518282172499</v>
      </c>
      <c r="F31586" s="2">
        <v>4.1121866841432299E-2</v>
      </c>
    </row>
    <row r="31587" spans="1:6" x14ac:dyDescent="0.25">
      <c r="A31587" s="1" t="str">
        <f t="shared" si="1128"/>
        <v>41620</v>
      </c>
      <c r="B31587" s="1" t="str">
        <f>"84108"</f>
        <v>84108</v>
      </c>
      <c r="C31587" s="2">
        <v>1.7585962867371501E-2</v>
      </c>
      <c r="D31587" s="2">
        <v>9.0631464880307298E-3</v>
      </c>
      <c r="E31587" s="2">
        <v>5.2811090328968996E-3</v>
      </c>
      <c r="F31587" s="2">
        <v>1.6210592663422001E-2</v>
      </c>
    </row>
    <row r="31588" spans="1:6" x14ac:dyDescent="0.25">
      <c r="A31588" s="1" t="str">
        <f t="shared" si="1128"/>
        <v>41620</v>
      </c>
      <c r="B31588" s="1" t="str">
        <f>"84116"</f>
        <v>84116</v>
      </c>
      <c r="C31588" s="2">
        <v>2.81866622262925E-2</v>
      </c>
      <c r="D31588" s="2">
        <v>2.2756378681903201E-2</v>
      </c>
      <c r="E31588" s="2">
        <v>2.88260534712289E-2</v>
      </c>
      <c r="F31588" s="2">
        <v>2.7724357252597299E-2</v>
      </c>
    </row>
    <row r="31589" spans="1:6" x14ac:dyDescent="0.25">
      <c r="A31589" s="1" t="str">
        <f t="shared" si="1128"/>
        <v>41620</v>
      </c>
      <c r="B31589" s="1" t="str">
        <f>"84122"</f>
        <v>84122</v>
      </c>
      <c r="C31589" s="2">
        <v>1.5506618932645E-3</v>
      </c>
      <c r="D31589" s="2">
        <v>1.95054674416313E-3</v>
      </c>
      <c r="E31589" s="2">
        <v>1.1002310485201801E-4</v>
      </c>
      <c r="F31589" s="2">
        <v>1.5166654132241701E-3</v>
      </c>
    </row>
    <row r="31590" spans="1:6" x14ac:dyDescent="0.25">
      <c r="A31590" s="1" t="str">
        <f t="shared" si="1128"/>
        <v>41620</v>
      </c>
      <c r="B31590" s="1" t="str">
        <f>"84190"</f>
        <v>84190</v>
      </c>
      <c r="C31590" s="2">
        <v>0</v>
      </c>
      <c r="D31590" s="2">
        <v>1.97024923652842E-5</v>
      </c>
      <c r="E31590" s="2">
        <v>0</v>
      </c>
      <c r="F31590" s="2">
        <v>1.7906321289541601E-6</v>
      </c>
    </row>
    <row r="31591" spans="1:6" x14ac:dyDescent="0.25">
      <c r="A31591" s="1" t="str">
        <f t="shared" si="1128"/>
        <v>41620</v>
      </c>
      <c r="B31591" s="1" t="str">
        <f>"84151"</f>
        <v>84151</v>
      </c>
      <c r="C31591" s="2">
        <v>0</v>
      </c>
      <c r="D31591" s="2">
        <v>0</v>
      </c>
      <c r="E31591" s="2">
        <v>3.66743682840063E-5</v>
      </c>
      <c r="F31591" s="2">
        <v>1.7906321289541601E-6</v>
      </c>
    </row>
    <row r="31592" spans="1:6" x14ac:dyDescent="0.25">
      <c r="A31592" s="1" t="str">
        <f t="shared" si="1128"/>
        <v>41620</v>
      </c>
      <c r="B31592" s="1" t="str">
        <f>"84006"</f>
        <v>84006</v>
      </c>
      <c r="C31592" s="2">
        <v>6.4940471234701505E-4</v>
      </c>
      <c r="D31592" s="2">
        <v>2.95537385479263E-4</v>
      </c>
      <c r="E31592" s="2">
        <v>4.40092419408075E-4</v>
      </c>
      <c r="F31592" s="2">
        <v>6.0702429171546099E-4</v>
      </c>
    </row>
    <row r="31593" spans="1:6" x14ac:dyDescent="0.25">
      <c r="A31593" s="1" t="str">
        <f t="shared" si="1128"/>
        <v>41620</v>
      </c>
      <c r="B31593" s="1" t="str">
        <f>"84133"</f>
        <v>84133</v>
      </c>
      <c r="C31593" s="2">
        <v>0</v>
      </c>
      <c r="D31593" s="2">
        <v>5.3196729386267296E-4</v>
      </c>
      <c r="E31593" s="2">
        <v>2.5672057798804398E-4</v>
      </c>
      <c r="F31593" s="2">
        <v>6.0881492384441503E-5</v>
      </c>
    </row>
    <row r="31594" spans="1:6" x14ac:dyDescent="0.25">
      <c r="A31594" s="1" t="str">
        <f t="shared" si="1128"/>
        <v>41620</v>
      </c>
      <c r="B31594" s="1" t="str">
        <f>"84047"</f>
        <v>84047</v>
      </c>
      <c r="C31594" s="2">
        <v>3.5109482973940502E-2</v>
      </c>
      <c r="D31594" s="2">
        <v>4.2399763570091599E-2</v>
      </c>
      <c r="E31594" s="2">
        <v>7.8079730076649395E-2</v>
      </c>
      <c r="F31594" s="2">
        <v>3.7870078895251597E-2</v>
      </c>
    </row>
    <row r="31595" spans="1:6" x14ac:dyDescent="0.25">
      <c r="A31595" s="1" t="str">
        <f t="shared" si="1128"/>
        <v>41620</v>
      </c>
      <c r="B31595" s="1" t="str">
        <f>"84029"</f>
        <v>84029</v>
      </c>
      <c r="C31595" s="2">
        <v>9.3684955457497207E-3</v>
      </c>
      <c r="D31595" s="2">
        <v>2.0884641907201202E-3</v>
      </c>
      <c r="E31595" s="2">
        <v>2.5672057798804401E-3</v>
      </c>
      <c r="F31595" s="2">
        <v>8.3747864671186202E-3</v>
      </c>
    </row>
    <row r="31596" spans="1:6" x14ac:dyDescent="0.25">
      <c r="A31596" s="1" t="str">
        <f t="shared" si="1128"/>
        <v>41620</v>
      </c>
      <c r="B31596" s="1" t="str">
        <f>"84022"</f>
        <v>84022</v>
      </c>
      <c r="C31596" s="2">
        <v>8.8460577803679895E-4</v>
      </c>
      <c r="D31596" s="2">
        <v>7.8809969461136799E-4</v>
      </c>
      <c r="E31596" s="2">
        <v>1.28360288994022E-3</v>
      </c>
      <c r="F31596" s="2">
        <v>8.9531606447708096E-4</v>
      </c>
    </row>
    <row r="31597" spans="1:6" x14ac:dyDescent="0.25">
      <c r="A31597" s="1" t="str">
        <f t="shared" si="1128"/>
        <v>41620</v>
      </c>
      <c r="B31597" s="1" t="str">
        <f>"84124"</f>
        <v>84124</v>
      </c>
      <c r="C31597" s="2">
        <v>1.7914828074265199E-2</v>
      </c>
      <c r="D31597" s="2">
        <v>1.1860900403901E-2</v>
      </c>
      <c r="E31597" s="2">
        <v>1.7567022408039E-2</v>
      </c>
      <c r="F31597" s="2">
        <v>1.73476440653079E-2</v>
      </c>
    </row>
    <row r="31598" spans="1:6" x14ac:dyDescent="0.25">
      <c r="A31598" s="1" t="str">
        <f t="shared" si="1128"/>
        <v>41620</v>
      </c>
      <c r="B31598" s="1" t="str">
        <f>"84138"</f>
        <v>84138</v>
      </c>
      <c r="C31598" s="2">
        <v>0</v>
      </c>
      <c r="D31598" s="2">
        <v>2.9159688700620598E-3</v>
      </c>
      <c r="E31598" s="2">
        <v>1.4669747313602501E-4</v>
      </c>
      <c r="F31598" s="2">
        <v>2.7217608360103203E-4</v>
      </c>
    </row>
    <row r="31599" spans="1:6" x14ac:dyDescent="0.25">
      <c r="A31599" s="1" t="str">
        <f t="shared" si="1128"/>
        <v>41620</v>
      </c>
      <c r="B31599" s="1" t="str">
        <f>"84103"</f>
        <v>84103</v>
      </c>
      <c r="C31599" s="2">
        <v>2.68628756972774E-2</v>
      </c>
      <c r="D31599" s="2">
        <v>1.0560535907792301E-2</v>
      </c>
      <c r="E31599" s="2">
        <v>5.77254556790259E-2</v>
      </c>
      <c r="F31599" s="2">
        <v>2.6888132048375701E-2</v>
      </c>
    </row>
    <row r="31600" spans="1:6" x14ac:dyDescent="0.25">
      <c r="A31600" s="1" t="str">
        <f t="shared" si="1128"/>
        <v>41620</v>
      </c>
      <c r="B31600" s="1" t="str">
        <f>"84117"</f>
        <v>84117</v>
      </c>
      <c r="C31600" s="2">
        <v>2.4017567230039099E-2</v>
      </c>
      <c r="D31600" s="2">
        <v>3.13663678455324E-2</v>
      </c>
      <c r="E31600" s="2">
        <v>3.7554553122822402E-2</v>
      </c>
      <c r="F31600" s="2">
        <v>2.53463977853461E-2</v>
      </c>
    </row>
    <row r="31601" spans="1:6" x14ac:dyDescent="0.25">
      <c r="A31601" s="1" t="str">
        <f t="shared" si="1128"/>
        <v>41620</v>
      </c>
      <c r="B31601" s="1" t="str">
        <f>"84152"</f>
        <v>84152</v>
      </c>
      <c r="C31601" s="2">
        <v>3.5134460078261498E-3</v>
      </c>
      <c r="D31601" s="2">
        <v>1.0993990739828499E-2</v>
      </c>
      <c r="E31601" s="2">
        <v>7.33487365680126E-5</v>
      </c>
      <c r="F31601" s="2">
        <v>4.0253410258889498E-3</v>
      </c>
    </row>
    <row r="31602" spans="1:6" x14ac:dyDescent="0.25">
      <c r="A31602" s="1" t="str">
        <f t="shared" si="1128"/>
        <v>41620</v>
      </c>
      <c r="B31602" s="1" t="str">
        <f>"84157"</f>
        <v>84157</v>
      </c>
      <c r="C31602" s="2">
        <v>2.17092665057031E-3</v>
      </c>
      <c r="D31602" s="2">
        <v>1.1959412865727499E-2</v>
      </c>
      <c r="E31602" s="2">
        <v>7.33487365680126E-5</v>
      </c>
      <c r="F31602" s="2">
        <v>2.9581242770322699E-3</v>
      </c>
    </row>
    <row r="31603" spans="1:6" x14ac:dyDescent="0.25">
      <c r="A31603" s="1" t="str">
        <f t="shared" si="1128"/>
        <v>41620</v>
      </c>
      <c r="B31603" s="1" t="str">
        <f>"84084"</f>
        <v>84084</v>
      </c>
      <c r="C31603" s="2">
        <v>2.3212055615685599E-2</v>
      </c>
      <c r="D31603" s="2">
        <v>1.9663087380553598E-2</v>
      </c>
      <c r="E31603" s="2">
        <v>1.44863754721824E-2</v>
      </c>
      <c r="F31603" s="2">
        <v>2.2463480057729902E-2</v>
      </c>
    </row>
    <row r="31604" spans="1:6" x14ac:dyDescent="0.25">
      <c r="A31604" s="1" t="str">
        <f t="shared" si="1128"/>
        <v>41620</v>
      </c>
      <c r="B31604" s="1" t="str">
        <f>"84123"</f>
        <v>84123</v>
      </c>
      <c r="C31604" s="2">
        <v>3.2226708850220602E-2</v>
      </c>
      <c r="D31604" s="2">
        <v>2.4903950349719199E-2</v>
      </c>
      <c r="E31604" s="2">
        <v>6.19796823999706E-2</v>
      </c>
      <c r="F31604" s="2">
        <v>3.3013884561527901E-2</v>
      </c>
    </row>
    <row r="31605" spans="1:6" x14ac:dyDescent="0.25">
      <c r="A31605" s="1" t="str">
        <f t="shared" si="1128"/>
        <v>41620</v>
      </c>
      <c r="B31605" s="1" t="str">
        <f>"84170"</f>
        <v>84170</v>
      </c>
      <c r="C31605" s="2">
        <v>4.0837565564898802E-3</v>
      </c>
      <c r="D31605" s="2">
        <v>5.2408629691655896E-3</v>
      </c>
      <c r="E31605" s="2">
        <v>7.33487365680126E-5</v>
      </c>
      <c r="F31605" s="2">
        <v>3.9931096475677797E-3</v>
      </c>
    </row>
    <row r="31606" spans="1:6" x14ac:dyDescent="0.25">
      <c r="A31606" s="1" t="str">
        <f t="shared" si="1128"/>
        <v>41620</v>
      </c>
      <c r="B31606" s="1" t="str">
        <f>"84102"</f>
        <v>84102</v>
      </c>
      <c r="C31606" s="2">
        <v>2.3237032720006601E-2</v>
      </c>
      <c r="D31606" s="2">
        <v>2.1377204216333299E-2</v>
      </c>
      <c r="E31606" s="2">
        <v>5.7395386364469801E-2</v>
      </c>
      <c r="F31606" s="2">
        <v>2.4735792229372802E-2</v>
      </c>
    </row>
    <row r="31607" spans="1:6" x14ac:dyDescent="0.25">
      <c r="A31607" s="1" t="str">
        <f t="shared" si="1128"/>
        <v>41620</v>
      </c>
      <c r="B31607" s="1" t="str">
        <f>"84106"</f>
        <v>84106</v>
      </c>
      <c r="C31607" s="2">
        <v>3.4002164682374401E-2</v>
      </c>
      <c r="D31607" s="2">
        <v>2.7150034479361599E-2</v>
      </c>
      <c r="E31607" s="2">
        <v>3.8141343015366501E-2</v>
      </c>
      <c r="F31607" s="2">
        <v>3.35815149464063E-2</v>
      </c>
    </row>
    <row r="31608" spans="1:6" x14ac:dyDescent="0.25">
      <c r="A31608" s="1" t="str">
        <f t="shared" si="1128"/>
        <v>41620</v>
      </c>
      <c r="B31608" s="1" t="str">
        <f>"84112"</f>
        <v>84112</v>
      </c>
      <c r="C31608" s="2">
        <v>6.1235534093747298E-3</v>
      </c>
      <c r="D31608" s="2">
        <v>4.6497881982070699E-3</v>
      </c>
      <c r="E31608" s="2">
        <v>2.7872519895844701E-3</v>
      </c>
      <c r="F31608" s="2">
        <v>5.82671694761684E-3</v>
      </c>
    </row>
    <row r="31609" spans="1:6" x14ac:dyDescent="0.25">
      <c r="A31609" s="1" t="str">
        <f t="shared" si="1128"/>
        <v>41620</v>
      </c>
      <c r="B31609" s="1" t="str">
        <f>"84121"</f>
        <v>84121</v>
      </c>
      <c r="C31609" s="2">
        <v>3.5638165015402498E-2</v>
      </c>
      <c r="D31609" s="2">
        <v>2.81351590976258E-2</v>
      </c>
      <c r="E31609" s="2">
        <v>3.5904206550042103E-2</v>
      </c>
      <c r="F31609" s="2">
        <v>3.4969254846345797E-2</v>
      </c>
    </row>
    <row r="31610" spans="1:6" x14ac:dyDescent="0.25">
      <c r="A31610" s="1" t="str">
        <f t="shared" si="1128"/>
        <v>41620</v>
      </c>
      <c r="B31610" s="1" t="str">
        <f>"84139"</f>
        <v>84139</v>
      </c>
      <c r="C31610" s="2">
        <v>0</v>
      </c>
      <c r="D31610" s="2">
        <v>1.97024923652842E-5</v>
      </c>
      <c r="E31610" s="2">
        <v>0</v>
      </c>
      <c r="F31610" s="2">
        <v>1.7906321289541601E-6</v>
      </c>
    </row>
    <row r="31611" spans="1:6" x14ac:dyDescent="0.25">
      <c r="A31611" s="1" t="str">
        <f t="shared" si="1128"/>
        <v>41620</v>
      </c>
      <c r="B31611" s="1" t="str">
        <f>"84143"</f>
        <v>84143</v>
      </c>
      <c r="C31611" s="2">
        <v>0</v>
      </c>
      <c r="D31611" s="2">
        <v>5.91074770958526E-5</v>
      </c>
      <c r="E31611" s="2">
        <v>3.66743682840063E-5</v>
      </c>
      <c r="F31611" s="2">
        <v>7.1625285158166497E-6</v>
      </c>
    </row>
    <row r="31612" spans="1:6" x14ac:dyDescent="0.25">
      <c r="A31612" s="1" t="str">
        <f t="shared" si="1128"/>
        <v>41620</v>
      </c>
      <c r="B31612" s="1" t="str">
        <f>"84141"</f>
        <v>84141</v>
      </c>
      <c r="C31612" s="2">
        <v>0</v>
      </c>
      <c r="D31612" s="2">
        <v>0</v>
      </c>
      <c r="E31612" s="2">
        <v>3.66743682840063E-5</v>
      </c>
      <c r="F31612" s="2">
        <v>1.7906321289541601E-6</v>
      </c>
    </row>
    <row r="31613" spans="1:6" x14ac:dyDescent="0.25">
      <c r="A31613" s="1" t="str">
        <f t="shared" si="1128"/>
        <v>41620</v>
      </c>
      <c r="B31613" s="1" t="str">
        <f>"84034"</f>
        <v>84034</v>
      </c>
      <c r="C31613" s="2">
        <v>3.6216801265506602E-4</v>
      </c>
      <c r="D31613" s="2">
        <v>1.3791744655698899E-4</v>
      </c>
      <c r="E31613" s="2">
        <v>3.66743682840063E-5</v>
      </c>
      <c r="F31613" s="2">
        <v>3.2589504746965699E-4</v>
      </c>
    </row>
    <row r="31614" spans="1:6" x14ac:dyDescent="0.25">
      <c r="A31614" s="1" t="str">
        <f t="shared" si="1128"/>
        <v>41620</v>
      </c>
      <c r="B31614" s="1" t="str">
        <f>"84165"</f>
        <v>84165</v>
      </c>
      <c r="C31614" s="2">
        <v>1.78170010823411E-3</v>
      </c>
      <c r="D31614" s="2">
        <v>7.4869470988079903E-3</v>
      </c>
      <c r="E31614" s="2">
        <v>7.33487365680126E-5</v>
      </c>
      <c r="F31614" s="2">
        <v>2.2168025756452501E-3</v>
      </c>
    </row>
    <row r="31615" spans="1:6" x14ac:dyDescent="0.25">
      <c r="A31615" s="1" t="str">
        <f t="shared" si="1128"/>
        <v>41620</v>
      </c>
      <c r="B31615" s="1" t="str">
        <f>"84065"</f>
        <v>84065</v>
      </c>
      <c r="C31615" s="2">
        <v>3.18645408375655E-2</v>
      </c>
      <c r="D31615" s="2">
        <v>2.64998522313072E-2</v>
      </c>
      <c r="E31615" s="2">
        <v>1.29827263725382E-2</v>
      </c>
      <c r="F31615" s="2">
        <v>3.04550712492524E-2</v>
      </c>
    </row>
    <row r="31616" spans="1:6" x14ac:dyDescent="0.25">
      <c r="A31616" s="1" t="str">
        <f t="shared" si="1128"/>
        <v>41620</v>
      </c>
      <c r="B31616" s="1" t="str">
        <f>"84070"</f>
        <v>84070</v>
      </c>
      <c r="C31616" s="2">
        <v>2.71251352926484E-2</v>
      </c>
      <c r="D31616" s="2">
        <v>5.2684464584769899E-2</v>
      </c>
      <c r="E31616" s="2">
        <v>1.60266989401107E-2</v>
      </c>
      <c r="F31616" s="2">
        <v>2.8906174457707001E-2</v>
      </c>
    </row>
    <row r="31617" spans="1:6" x14ac:dyDescent="0.25">
      <c r="A31617" s="1" t="str">
        <f t="shared" si="1128"/>
        <v>41620</v>
      </c>
      <c r="B31617" s="1" t="str">
        <f>"84083"</f>
        <v>84083</v>
      </c>
      <c r="C31617" s="2">
        <v>1.2571809174922899E-3</v>
      </c>
      <c r="D31617" s="2">
        <v>1.18214954191705E-4</v>
      </c>
      <c r="E31617" s="2">
        <v>3.1539956724245398E-3</v>
      </c>
      <c r="F31617" s="2">
        <v>1.24627996175209E-3</v>
      </c>
    </row>
    <row r="31618" spans="1:6" x14ac:dyDescent="0.25">
      <c r="A31618" s="1" t="str">
        <f t="shared" ref="A31618:A31649" si="1129">"41620"</f>
        <v>41620</v>
      </c>
      <c r="B31618" s="1" t="str">
        <f>"84127"</f>
        <v>84127</v>
      </c>
      <c r="C31618" s="2">
        <v>1.26550661893264E-3</v>
      </c>
      <c r="D31618" s="2">
        <v>8.05831937740124E-3</v>
      </c>
      <c r="E31618" s="2">
        <v>7.33487365680126E-5</v>
      </c>
      <c r="F31618" s="2">
        <v>1.82465413940429E-3</v>
      </c>
    </row>
    <row r="31619" spans="1:6" x14ac:dyDescent="0.25">
      <c r="A31619" s="1" t="str">
        <f t="shared" si="1129"/>
        <v>41620</v>
      </c>
      <c r="B31619" s="1" t="str">
        <f>"84101"</f>
        <v>84101</v>
      </c>
      <c r="C31619" s="2">
        <v>1.1200149862625901E-2</v>
      </c>
      <c r="D31619" s="2">
        <v>4.1276721505270397E-2</v>
      </c>
      <c r="E31619" s="2">
        <v>1.5329885942714601E-2</v>
      </c>
      <c r="F31619" s="2">
        <v>1.4135250025964099E-2</v>
      </c>
    </row>
    <row r="31620" spans="1:6" x14ac:dyDescent="0.25">
      <c r="A31620" s="1" t="str">
        <f t="shared" si="1129"/>
        <v>41620</v>
      </c>
      <c r="B31620" s="1" t="str">
        <f>"84104"</f>
        <v>84104</v>
      </c>
      <c r="C31620" s="2">
        <v>1.5704354341853299E-2</v>
      </c>
      <c r="D31620" s="2">
        <v>4.8448428726233797E-2</v>
      </c>
      <c r="E31620" s="2">
        <v>2.2298015916675799E-2</v>
      </c>
      <c r="F31620" s="2">
        <v>1.9002188152461501E-2</v>
      </c>
    </row>
    <row r="31621" spans="1:6" x14ac:dyDescent="0.25">
      <c r="A31621" s="1" t="str">
        <f t="shared" si="1129"/>
        <v>41620</v>
      </c>
      <c r="B31621" s="1" t="str">
        <f>"84105"</f>
        <v>84105</v>
      </c>
      <c r="C31621" s="2">
        <v>2.1617683789859201E-2</v>
      </c>
      <c r="D31621" s="2">
        <v>9.0434439956654494E-3</v>
      </c>
      <c r="E31621" s="2">
        <v>2.3398246965196001E-2</v>
      </c>
      <c r="F31621" s="2">
        <v>2.0561828736780599E-2</v>
      </c>
    </row>
    <row r="31622" spans="1:6" x14ac:dyDescent="0.25">
      <c r="A31622" s="1" t="str">
        <f t="shared" si="1129"/>
        <v>41620</v>
      </c>
      <c r="B31622" s="1" t="str">
        <f>"84115"</f>
        <v>84115</v>
      </c>
      <c r="C31622" s="2">
        <v>2.79535425859628E-2</v>
      </c>
      <c r="D31622" s="2">
        <v>6.5353167175647695E-2</v>
      </c>
      <c r="E31622" s="2">
        <v>5.9632522829794199E-2</v>
      </c>
      <c r="F31622" s="2">
        <v>3.2899284105274797E-2</v>
      </c>
    </row>
    <row r="31623" spans="1:6" x14ac:dyDescent="0.25">
      <c r="A31623" s="1" t="str">
        <f t="shared" si="1129"/>
        <v>41620</v>
      </c>
      <c r="B31623" s="1" t="str">
        <f>"84093"</f>
        <v>84093</v>
      </c>
      <c r="C31623" s="2">
        <v>1.6489051702605902E-2</v>
      </c>
      <c r="D31623" s="2">
        <v>5.3393754309920202E-3</v>
      </c>
      <c r="E31623" s="2">
        <v>1.61367220449627E-3</v>
      </c>
      <c r="F31623" s="2">
        <v>1.47494368461954E-2</v>
      </c>
    </row>
    <row r="31624" spans="1:6" x14ac:dyDescent="0.25">
      <c r="A31624" s="1" t="str">
        <f t="shared" si="1129"/>
        <v>41620</v>
      </c>
      <c r="B31624" s="1" t="str">
        <f>"84094"</f>
        <v>84094</v>
      </c>
      <c r="C31624" s="2">
        <v>2.0549912580134801E-2</v>
      </c>
      <c r="D31624" s="2">
        <v>1.1860900403901E-2</v>
      </c>
      <c r="E31624" s="2">
        <v>6.8581068691091701E-3</v>
      </c>
      <c r="F31624" s="2">
        <v>1.9091719758909199E-2</v>
      </c>
    </row>
    <row r="31625" spans="1:6" x14ac:dyDescent="0.25">
      <c r="A31625" s="1" t="str">
        <f t="shared" si="1129"/>
        <v>41620</v>
      </c>
      <c r="B31625" s="1" t="str">
        <f>"84120"</f>
        <v>84120</v>
      </c>
      <c r="C31625" s="2">
        <v>3.0630255599034199E-2</v>
      </c>
      <c r="D31625" s="2">
        <v>1.9170525071421501E-2</v>
      </c>
      <c r="E31625" s="2">
        <v>3.61609271280302E-2</v>
      </c>
      <c r="F31625" s="2">
        <v>2.9858790750310601E-2</v>
      </c>
    </row>
    <row r="31626" spans="1:6" x14ac:dyDescent="0.25">
      <c r="A31626" s="1" t="str">
        <f t="shared" si="1129"/>
        <v>41620</v>
      </c>
      <c r="B31626" s="1" t="str">
        <f>"84091"</f>
        <v>84091</v>
      </c>
      <c r="C31626" s="2">
        <v>2.5705603197069301E-3</v>
      </c>
      <c r="D31626" s="2">
        <v>7.6642695300955504E-3</v>
      </c>
      <c r="E31626" s="2">
        <v>7.33487365680126E-5</v>
      </c>
      <c r="F31626" s="2">
        <v>2.91156784167946E-3</v>
      </c>
    </row>
    <row r="31627" spans="1:6" x14ac:dyDescent="0.25">
      <c r="A31627" s="1" t="str">
        <f t="shared" si="1129"/>
        <v>41620</v>
      </c>
      <c r="B31627" s="1" t="str">
        <f>"84069"</f>
        <v>84069</v>
      </c>
      <c r="C31627" s="2">
        <v>4.4542502705852903E-4</v>
      </c>
      <c r="D31627" s="2">
        <v>0</v>
      </c>
      <c r="E31627" s="2">
        <v>1.4669747313602501E-4</v>
      </c>
      <c r="F31627" s="2">
        <v>3.9035780411200699E-4</v>
      </c>
    </row>
    <row r="31628" spans="1:6" x14ac:dyDescent="0.25">
      <c r="A31628" s="1" t="str">
        <f t="shared" si="1129"/>
        <v>41620</v>
      </c>
      <c r="B31628" s="1" t="str">
        <f>"84119"</f>
        <v>84119</v>
      </c>
      <c r="C31628" s="2">
        <v>3.5937890267255003E-2</v>
      </c>
      <c r="D31628" s="2">
        <v>5.1324992611565298E-2</v>
      </c>
      <c r="E31628" s="2">
        <v>7.0084717790735995E-2</v>
      </c>
      <c r="F31628" s="2">
        <v>3.9003549032879503E-2</v>
      </c>
    </row>
    <row r="31629" spans="1:6" x14ac:dyDescent="0.25">
      <c r="A31629" s="1" t="str">
        <f t="shared" si="1129"/>
        <v>41620</v>
      </c>
      <c r="B31629" s="1" t="str">
        <f>"84110"</f>
        <v>84110</v>
      </c>
      <c r="C31629" s="2">
        <v>4.5062859045874601E-3</v>
      </c>
      <c r="D31629" s="2">
        <v>1.8815880208846399E-2</v>
      </c>
      <c r="E31629" s="2">
        <v>1.1002310485201801E-4</v>
      </c>
      <c r="F31629" s="2">
        <v>5.5921441387238504E-3</v>
      </c>
    </row>
    <row r="31630" spans="1:6" x14ac:dyDescent="0.25">
      <c r="A31630" s="1" t="str">
        <f t="shared" si="1129"/>
        <v>41620</v>
      </c>
      <c r="B31630" s="1" t="str">
        <f>"84199"</f>
        <v>84199</v>
      </c>
      <c r="C31630" s="2">
        <v>0</v>
      </c>
      <c r="D31630" s="2">
        <v>5.91074770958526E-5</v>
      </c>
      <c r="E31630" s="2">
        <v>7.33487365680126E-5</v>
      </c>
      <c r="F31630" s="2">
        <v>8.9531606447708102E-6</v>
      </c>
    </row>
    <row r="31631" spans="1:6" x14ac:dyDescent="0.25">
      <c r="A31631" s="1" t="str">
        <f t="shared" si="1129"/>
        <v>41620</v>
      </c>
      <c r="B31631" s="1" t="str">
        <f>"84132"</f>
        <v>84132</v>
      </c>
      <c r="C31631" s="2">
        <v>0</v>
      </c>
      <c r="D31631" s="2">
        <v>1.57619938922273E-4</v>
      </c>
      <c r="E31631" s="2">
        <v>0</v>
      </c>
      <c r="F31631" s="2">
        <v>1.4325057031633299E-5</v>
      </c>
    </row>
    <row r="31632" spans="1:6" x14ac:dyDescent="0.25">
      <c r="A31632" s="1" t="str">
        <f t="shared" si="1129"/>
        <v>41620</v>
      </c>
      <c r="B31632" s="1" t="str">
        <f>"84114"</f>
        <v>84114</v>
      </c>
      <c r="C31632" s="2">
        <v>0</v>
      </c>
      <c r="D31632" s="2">
        <v>3.54644862575115E-4</v>
      </c>
      <c r="E31632" s="2">
        <v>7.33487365680126E-5</v>
      </c>
      <c r="F31632" s="2">
        <v>3.58126425790832E-5</v>
      </c>
    </row>
    <row r="31633" spans="1:6" x14ac:dyDescent="0.25">
      <c r="A31633" s="1" t="str">
        <f t="shared" si="1129"/>
        <v>41620</v>
      </c>
      <c r="B31633" s="1" t="str">
        <f>"84071"</f>
        <v>84071</v>
      </c>
      <c r="C31633" s="2">
        <v>1.5714761468653699E-3</v>
      </c>
      <c r="D31633" s="2">
        <v>1.18214954191705E-4</v>
      </c>
      <c r="E31633" s="2">
        <v>3.66743682840063E-5</v>
      </c>
      <c r="F31633" s="2">
        <v>1.36446168226307E-3</v>
      </c>
    </row>
    <row r="31634" spans="1:6" x14ac:dyDescent="0.25">
      <c r="A31634" s="1" t="str">
        <f t="shared" si="1129"/>
        <v>41620</v>
      </c>
      <c r="B31634" s="1" t="str">
        <f>"84126"</f>
        <v>84126</v>
      </c>
      <c r="C31634" s="2">
        <v>5.7863625010407102E-4</v>
      </c>
      <c r="D31634" s="2">
        <v>3.9799034577874103E-3</v>
      </c>
      <c r="E31634" s="2">
        <v>7.33487365680126E-5</v>
      </c>
      <c r="F31634" s="2">
        <v>8.6308468615590604E-4</v>
      </c>
    </row>
    <row r="31635" spans="1:6" x14ac:dyDescent="0.25">
      <c r="A31635" s="1" t="str">
        <f t="shared" si="1129"/>
        <v>41620</v>
      </c>
      <c r="B31635" s="1" t="str">
        <f>"84095"</f>
        <v>84095</v>
      </c>
      <c r="C31635" s="2">
        <v>2.8509283157105901E-2</v>
      </c>
      <c r="D31635" s="2">
        <v>3.4774899024726601E-2</v>
      </c>
      <c r="E31635" s="2">
        <v>1.5036490996442499E-2</v>
      </c>
      <c r="F31635" s="2">
        <v>2.84209131507604E-2</v>
      </c>
    </row>
    <row r="31636" spans="1:6" x14ac:dyDescent="0.25">
      <c r="A31636" s="1" t="str">
        <f t="shared" si="1129"/>
        <v>41620</v>
      </c>
      <c r="B31636" s="1" t="str">
        <f>"84109"</f>
        <v>84109</v>
      </c>
      <c r="C31636" s="2">
        <v>2.1907001914911298E-2</v>
      </c>
      <c r="D31636" s="2">
        <v>1.79292680524086E-2</v>
      </c>
      <c r="E31636" s="2">
        <v>9.2052664392855803E-3</v>
      </c>
      <c r="F31636" s="2">
        <v>2.0925327058958301E-2</v>
      </c>
    </row>
    <row r="31637" spans="1:6" x14ac:dyDescent="0.25">
      <c r="A31637" s="1" t="str">
        <f t="shared" si="1129"/>
        <v>41620</v>
      </c>
      <c r="B31637" s="1" t="str">
        <f>"84092"</f>
        <v>84092</v>
      </c>
      <c r="C31637" s="2">
        <v>2.0089917575555699E-2</v>
      </c>
      <c r="D31637" s="2">
        <v>1.53679440449216E-3</v>
      </c>
      <c r="E31637" s="2">
        <v>3.00729819928851E-3</v>
      </c>
      <c r="F31637" s="2">
        <v>1.7569682449298199E-2</v>
      </c>
    </row>
    <row r="31638" spans="1:6" x14ac:dyDescent="0.25">
      <c r="A31638" s="1" t="str">
        <f t="shared" si="1129"/>
        <v>41620</v>
      </c>
      <c r="B31638" s="1" t="str">
        <f>"84118"</f>
        <v>84118</v>
      </c>
      <c r="C31638" s="2">
        <v>2.4954208642078E-2</v>
      </c>
      <c r="D31638" s="2">
        <v>8.1371293468623703E-3</v>
      </c>
      <c r="E31638" s="2">
        <v>3.99750614295668E-3</v>
      </c>
      <c r="F31638" s="2">
        <v>2.2402598565345499E-2</v>
      </c>
    </row>
    <row r="31639" spans="1:6" x14ac:dyDescent="0.25">
      <c r="A31639" s="1" t="str">
        <f t="shared" si="1129"/>
        <v>41620</v>
      </c>
      <c r="B31639" s="1" t="str">
        <f>"84134"</f>
        <v>84134</v>
      </c>
      <c r="C31639" s="2">
        <v>0</v>
      </c>
      <c r="D31639" s="2">
        <v>1.97024923652842E-5</v>
      </c>
      <c r="E31639" s="2">
        <v>3.66743682840063E-5</v>
      </c>
      <c r="F31639" s="2">
        <v>3.5812642579083202E-6</v>
      </c>
    </row>
    <row r="31640" spans="1:6" x14ac:dyDescent="0.25">
      <c r="A31640" s="1" t="str">
        <f t="shared" si="1129"/>
        <v>41620</v>
      </c>
      <c r="B31640" s="1" t="str">
        <f>"84171"</f>
        <v>84171</v>
      </c>
      <c r="C31640" s="2">
        <v>3.04512530180667E-3</v>
      </c>
      <c r="D31640" s="2">
        <v>9.1616589498571491E-3</v>
      </c>
      <c r="E31640" s="2">
        <v>7.33487365680126E-5</v>
      </c>
      <c r="F31640" s="2">
        <v>3.45592000888153E-3</v>
      </c>
    </row>
    <row r="31641" spans="1:6" x14ac:dyDescent="0.25">
      <c r="A31641" s="1" t="str">
        <f t="shared" si="1129"/>
        <v>41620</v>
      </c>
      <c r="B31641" s="1" t="str">
        <f>"84129"</f>
        <v>84129</v>
      </c>
      <c r="C31641" s="2">
        <v>2.68691199733577E-2</v>
      </c>
      <c r="D31641" s="2">
        <v>1.20382228351886E-2</v>
      </c>
      <c r="E31641" s="2">
        <v>1.5623280888986599E-2</v>
      </c>
      <c r="F31641" s="2">
        <v>2.4972155670394701E-2</v>
      </c>
    </row>
    <row r="31642" spans="1:6" x14ac:dyDescent="0.25">
      <c r="A31642" s="1" t="str">
        <f t="shared" si="1129"/>
        <v>41620</v>
      </c>
      <c r="B31642" s="1" t="str">
        <f>"84150"</f>
        <v>84150</v>
      </c>
      <c r="C31642" s="2">
        <v>0</v>
      </c>
      <c r="D31642" s="2">
        <v>7.2899221751551496E-4</v>
      </c>
      <c r="E31642" s="2">
        <v>2.3838339384604102E-3</v>
      </c>
      <c r="F31642" s="2">
        <v>1.8264447715332399E-4</v>
      </c>
    </row>
    <row r="31643" spans="1:6" x14ac:dyDescent="0.25">
      <c r="A31643" s="1" t="str">
        <f t="shared" si="1129"/>
        <v>41620</v>
      </c>
      <c r="B31643" s="1" t="str">
        <f>"84096"</f>
        <v>84096</v>
      </c>
      <c r="C31643" s="2">
        <v>4.4246940304720601E-2</v>
      </c>
      <c r="D31643" s="2">
        <v>6.5018224805437801E-3</v>
      </c>
      <c r="E31643" s="2">
        <v>2.5415337220816299E-2</v>
      </c>
      <c r="F31643" s="2">
        <v>3.9897074465227701E-2</v>
      </c>
    </row>
    <row r="31644" spans="1:6" x14ac:dyDescent="0.25">
      <c r="A31644" s="1" t="str">
        <f t="shared" si="1129"/>
        <v>41620</v>
      </c>
      <c r="B31644" s="1" t="str">
        <f>"84111"</f>
        <v>84111</v>
      </c>
      <c r="C31644" s="2">
        <v>1.6443260344684001E-2</v>
      </c>
      <c r="D31644" s="2">
        <v>4.1138804058713403E-2</v>
      </c>
      <c r="E31644" s="2">
        <v>2.5488685957384301E-2</v>
      </c>
      <c r="F31644" s="2">
        <v>1.91293230336173E-2</v>
      </c>
    </row>
    <row r="31645" spans="1:6" x14ac:dyDescent="0.25">
      <c r="A31645" s="1" t="str">
        <f t="shared" si="1129"/>
        <v>41620</v>
      </c>
      <c r="B31645" s="1" t="str">
        <f>"84044"</f>
        <v>84044</v>
      </c>
      <c r="C31645" s="2">
        <v>1.9856797935226E-2</v>
      </c>
      <c r="D31645" s="2">
        <v>7.3490296522509997E-3</v>
      </c>
      <c r="E31645" s="2">
        <v>1.15891003777459E-2</v>
      </c>
      <c r="F31645" s="2">
        <v>1.8316376047072098E-2</v>
      </c>
    </row>
    <row r="31646" spans="1:6" x14ac:dyDescent="0.25">
      <c r="A31646" s="1" t="str">
        <f t="shared" si="1129"/>
        <v>41620</v>
      </c>
      <c r="B31646" s="1" t="str">
        <f>"84088"</f>
        <v>84088</v>
      </c>
      <c r="C31646" s="2">
        <v>2.5505786362501E-2</v>
      </c>
      <c r="D31646" s="2">
        <v>2.6066397399271E-2</v>
      </c>
      <c r="E31646" s="2">
        <v>1.8887299666263201E-2</v>
      </c>
      <c r="F31646" s="2">
        <v>2.5233587961222E-2</v>
      </c>
    </row>
    <row r="31647" spans="1:6" x14ac:dyDescent="0.25">
      <c r="A31647" s="1" t="str">
        <f t="shared" si="1129"/>
        <v>41620</v>
      </c>
      <c r="B31647" s="1" t="str">
        <f>"84074"</f>
        <v>84074</v>
      </c>
      <c r="C31647" s="2">
        <v>4.0512863208725297E-2</v>
      </c>
      <c r="D31647" s="2">
        <v>2.11013693232193E-2</v>
      </c>
      <c r="E31647" s="2">
        <v>1.1405728536325901E-2</v>
      </c>
      <c r="F31647" s="2">
        <v>3.7327517360178399E-2</v>
      </c>
    </row>
    <row r="31648" spans="1:6" x14ac:dyDescent="0.25">
      <c r="A31648" s="1" t="str">
        <f t="shared" si="1129"/>
        <v>41620</v>
      </c>
      <c r="B31648" s="1" t="str">
        <f>"84080"</f>
        <v>84080</v>
      </c>
      <c r="C31648" s="2">
        <v>3.93389393056364E-4</v>
      </c>
      <c r="D31648" s="2">
        <v>2.3642990838340999E-4</v>
      </c>
      <c r="E31648" s="2">
        <v>3.3006931455605601E-4</v>
      </c>
      <c r="F31648" s="2">
        <v>3.7603274708037401E-4</v>
      </c>
    </row>
    <row r="31649" spans="1:6" x14ac:dyDescent="0.25">
      <c r="A31649" s="1" t="str">
        <f t="shared" si="1129"/>
        <v>41620</v>
      </c>
      <c r="B31649" s="1" t="str">
        <f>"84081"</f>
        <v>84081</v>
      </c>
      <c r="C31649" s="2">
        <v>2.9989176588127501E-2</v>
      </c>
      <c r="D31649" s="2">
        <v>5.2999704462614499E-3</v>
      </c>
      <c r="E31649" s="2">
        <v>6.5647119228371201E-3</v>
      </c>
      <c r="F31649" s="2">
        <v>2.6601630907743E-2</v>
      </c>
    </row>
    <row r="31650" spans="1:6" x14ac:dyDescent="0.25">
      <c r="A31650" s="1" t="str">
        <f t="shared" ref="A31650:A31660" si="1130">"41620"</f>
        <v>41620</v>
      </c>
      <c r="B31650" s="1" t="str">
        <f>"84009"</f>
        <v>84009</v>
      </c>
      <c r="C31650" s="2">
        <v>2.5362168012654999E-2</v>
      </c>
      <c r="D31650" s="2">
        <v>4.8271106294946299E-3</v>
      </c>
      <c r="E31650" s="2">
        <v>4.8043422452048196E-3</v>
      </c>
      <c r="F31650" s="2">
        <v>2.24921301717932E-2</v>
      </c>
    </row>
    <row r="31651" spans="1:6" x14ac:dyDescent="0.25">
      <c r="A31651" s="1" t="str">
        <f t="shared" si="1130"/>
        <v>41620</v>
      </c>
      <c r="B31651" s="1" t="str">
        <f>"84148"</f>
        <v>84148</v>
      </c>
      <c r="C31651" s="2">
        <v>0</v>
      </c>
      <c r="D31651" s="2">
        <v>1.97024923652842E-5</v>
      </c>
      <c r="E31651" s="2">
        <v>0</v>
      </c>
      <c r="F31651" s="2">
        <v>1.7906321289541601E-6</v>
      </c>
    </row>
    <row r="31652" spans="1:6" x14ac:dyDescent="0.25">
      <c r="A31652" s="1" t="str">
        <f t="shared" si="1130"/>
        <v>41620</v>
      </c>
      <c r="B31652" s="1" t="str">
        <f>"84113"</f>
        <v>84113</v>
      </c>
      <c r="C31652" s="2">
        <v>2.03979685288485E-4</v>
      </c>
      <c r="D31652" s="2">
        <v>8.0780218697665198E-4</v>
      </c>
      <c r="E31652" s="2">
        <v>4.0341805112406901E-4</v>
      </c>
      <c r="F31652" s="2">
        <v>2.6859481934312398E-4</v>
      </c>
    </row>
    <row r="31653" spans="1:6" x14ac:dyDescent="0.25">
      <c r="A31653" s="1" t="str">
        <f t="shared" si="1130"/>
        <v>41620</v>
      </c>
      <c r="B31653" s="1" t="str">
        <f>"84020"</f>
        <v>84020</v>
      </c>
      <c r="C31653" s="2">
        <v>3.3463075514111998E-2</v>
      </c>
      <c r="D31653" s="2">
        <v>4.8507536203329697E-2</v>
      </c>
      <c r="E31653" s="2">
        <v>2.77991711592767E-2</v>
      </c>
      <c r="F31653" s="2">
        <v>3.4553828192428401E-2</v>
      </c>
    </row>
    <row r="31654" spans="1:6" x14ac:dyDescent="0.25">
      <c r="A31654" s="1" t="str">
        <f t="shared" si="1130"/>
        <v>41620</v>
      </c>
      <c r="B31654" s="1" t="str">
        <f>"84125"</f>
        <v>84125</v>
      </c>
      <c r="C31654" s="2">
        <v>5.1827491466156003E-4</v>
      </c>
      <c r="D31654" s="2">
        <v>3.5464486257511499E-3</v>
      </c>
      <c r="E31654" s="2">
        <v>7.33487365680126E-5</v>
      </c>
      <c r="F31654" s="2">
        <v>7.7176244757924401E-4</v>
      </c>
    </row>
    <row r="31655" spans="1:6" x14ac:dyDescent="0.25">
      <c r="A31655" s="1" t="str">
        <f t="shared" si="1130"/>
        <v>41620</v>
      </c>
      <c r="B31655" s="1" t="str">
        <f>"84158"</f>
        <v>84158</v>
      </c>
      <c r="C31655" s="2">
        <v>1.4341020730996501E-3</v>
      </c>
      <c r="D31655" s="2">
        <v>6.4427150034479302E-3</v>
      </c>
      <c r="E31655" s="2">
        <v>7.33487365680126E-5</v>
      </c>
      <c r="F31655" s="2">
        <v>1.8228635072753299E-3</v>
      </c>
    </row>
    <row r="31656" spans="1:6" x14ac:dyDescent="0.25">
      <c r="A31656" s="1" t="str">
        <f t="shared" si="1130"/>
        <v>41620</v>
      </c>
      <c r="B31656" s="1" t="str">
        <f>"84184"</f>
        <v>84184</v>
      </c>
      <c r="C31656" s="2">
        <v>0</v>
      </c>
      <c r="D31656" s="2">
        <v>3.94049847305684E-5</v>
      </c>
      <c r="E31656" s="2">
        <v>0</v>
      </c>
      <c r="F31656" s="2">
        <v>3.5812642579083202E-6</v>
      </c>
    </row>
    <row r="31657" spans="1:6" x14ac:dyDescent="0.25">
      <c r="A31657" s="1" t="str">
        <f t="shared" si="1130"/>
        <v>41620</v>
      </c>
      <c r="B31657" s="1" t="str">
        <f>"84050"</f>
        <v>84050</v>
      </c>
      <c r="C31657" s="2">
        <v>2.0814253600865801E-6</v>
      </c>
      <c r="D31657" s="2">
        <v>0</v>
      </c>
      <c r="E31657" s="2">
        <v>0</v>
      </c>
      <c r="F31657" s="2">
        <v>1.7906321289541601E-6</v>
      </c>
    </row>
    <row r="31658" spans="1:6" x14ac:dyDescent="0.25">
      <c r="A31658" s="1" t="str">
        <f t="shared" si="1130"/>
        <v>41620</v>
      </c>
      <c r="B31658" s="1" t="str">
        <f>"84090"</f>
        <v>84090</v>
      </c>
      <c r="C31658" s="2">
        <v>4.2440263092165496E-3</v>
      </c>
      <c r="D31658" s="2">
        <v>7.1323022362328797E-3</v>
      </c>
      <c r="E31658" s="2">
        <v>7.33487365680126E-5</v>
      </c>
      <c r="F31658" s="2">
        <v>4.3028890058768501E-3</v>
      </c>
    </row>
    <row r="31659" spans="1:6" x14ac:dyDescent="0.25">
      <c r="A31659" s="1" t="str">
        <f t="shared" si="1130"/>
        <v>41620</v>
      </c>
      <c r="B31659" s="1" t="str">
        <f>"84128"</f>
        <v>84128</v>
      </c>
      <c r="C31659" s="2">
        <v>1.7613021397052699E-2</v>
      </c>
      <c r="D31659" s="2">
        <v>2.8765638853314899E-3</v>
      </c>
      <c r="E31659" s="2">
        <v>4.25422672094473E-3</v>
      </c>
      <c r="F31659" s="2">
        <v>1.56214746929961E-2</v>
      </c>
    </row>
    <row r="31660" spans="1:6" x14ac:dyDescent="0.25">
      <c r="A31660" s="1" t="str">
        <f t="shared" si="1130"/>
        <v>41620</v>
      </c>
      <c r="B31660" s="1" t="str">
        <f>"84180"</f>
        <v>84180</v>
      </c>
      <c r="C31660" s="2">
        <v>0</v>
      </c>
      <c r="D31660" s="2">
        <v>6.3047975568909396E-4</v>
      </c>
      <c r="E31660" s="2">
        <v>2.5672057798804398E-4</v>
      </c>
      <c r="F31660" s="2">
        <v>6.9834653029212298E-5</v>
      </c>
    </row>
    <row r="31661" spans="1:6" x14ac:dyDescent="0.25">
      <c r="A31661" s="1" t="str">
        <f t="shared" ref="A31661:A31682" si="1131">"41660"</f>
        <v>41660</v>
      </c>
      <c r="B31661" s="1" t="str">
        <f>"76904"</f>
        <v>76904</v>
      </c>
      <c r="C31661" s="2">
        <v>0.27658108954289201</v>
      </c>
      <c r="D31661" s="2">
        <v>0.205626255860683</v>
      </c>
      <c r="E31661" s="2">
        <v>0.28004535147392201</v>
      </c>
      <c r="F31661" s="2">
        <v>0.27074955317247501</v>
      </c>
    </row>
    <row r="31662" spans="1:6" x14ac:dyDescent="0.25">
      <c r="A31662" s="1" t="str">
        <f t="shared" si="1131"/>
        <v>41660</v>
      </c>
      <c r="B31662" s="1" t="str">
        <f>"76906"</f>
        <v>76906</v>
      </c>
      <c r="C31662" s="2">
        <v>2.2244834063869699E-2</v>
      </c>
      <c r="D31662" s="2">
        <v>6.5472203616878694E-2</v>
      </c>
      <c r="E31662" s="2">
        <v>1.13378684807256E-3</v>
      </c>
      <c r="F31662" s="2">
        <v>2.5329535299374401E-2</v>
      </c>
    </row>
    <row r="31663" spans="1:6" x14ac:dyDescent="0.25">
      <c r="A31663" s="1" t="str">
        <f t="shared" si="1131"/>
        <v>41660</v>
      </c>
      <c r="B31663" s="1" t="str">
        <f>"76951"</f>
        <v>76951</v>
      </c>
      <c r="C31663" s="2">
        <v>4.3832185347526603E-4</v>
      </c>
      <c r="D31663" s="2">
        <v>3.3489618218352299E-4</v>
      </c>
      <c r="E31663" s="2">
        <v>1.13378684807256E-3</v>
      </c>
      <c r="F31663" s="2">
        <v>4.4682752457551297E-4</v>
      </c>
    </row>
    <row r="31664" spans="1:6" x14ac:dyDescent="0.25">
      <c r="A31664" s="1" t="str">
        <f t="shared" si="1131"/>
        <v>41660</v>
      </c>
      <c r="B31664" s="1" t="str">
        <f>"76957"</f>
        <v>76957</v>
      </c>
      <c r="C31664" s="2">
        <v>7.8271759549154599E-4</v>
      </c>
      <c r="D31664" s="2">
        <v>6.6979236436704598E-4</v>
      </c>
      <c r="E31664" s="2">
        <v>0</v>
      </c>
      <c r="F31664" s="2">
        <v>7.5402144772117904E-4</v>
      </c>
    </row>
    <row r="31665" spans="1:6" x14ac:dyDescent="0.25">
      <c r="A31665" s="1" t="str">
        <f t="shared" si="1131"/>
        <v>41660</v>
      </c>
      <c r="B31665" s="1" t="str">
        <f>"76939"</f>
        <v>76939</v>
      </c>
      <c r="C31665" s="2">
        <v>3.1308703819661798E-5</v>
      </c>
      <c r="D31665" s="2">
        <v>0</v>
      </c>
      <c r="E31665" s="2">
        <v>5.6689342403628098E-4</v>
      </c>
      <c r="F31665" s="2">
        <v>4.1890080428954397E-5</v>
      </c>
    </row>
    <row r="31666" spans="1:6" x14ac:dyDescent="0.25">
      <c r="A31666" s="1" t="str">
        <f t="shared" si="1131"/>
        <v>41660</v>
      </c>
      <c r="B31666" s="1" t="str">
        <f>"76945"</f>
        <v>76945</v>
      </c>
      <c r="C31666" s="2">
        <v>6.2617407639323704E-5</v>
      </c>
      <c r="D31666" s="2">
        <v>0</v>
      </c>
      <c r="E31666" s="2">
        <v>0</v>
      </c>
      <c r="F31666" s="2">
        <v>5.5853440571939203E-5</v>
      </c>
    </row>
    <row r="31667" spans="1:6" x14ac:dyDescent="0.25">
      <c r="A31667" s="1" t="str">
        <f t="shared" si="1131"/>
        <v>41660</v>
      </c>
      <c r="B31667" s="1" t="str">
        <f>"76886"</f>
        <v>76886</v>
      </c>
      <c r="C31667" s="2">
        <v>1.5654351909830899E-5</v>
      </c>
      <c r="D31667" s="2">
        <v>0</v>
      </c>
      <c r="E31667" s="2">
        <v>0</v>
      </c>
      <c r="F31667" s="2">
        <v>1.3963360142984801E-5</v>
      </c>
    </row>
    <row r="31668" spans="1:6" x14ac:dyDescent="0.25">
      <c r="A31668" s="1" t="str">
        <f t="shared" si="1131"/>
        <v>41660</v>
      </c>
      <c r="B31668" s="1" t="str">
        <f>"76861"</f>
        <v>76861</v>
      </c>
      <c r="C31668" s="2">
        <v>7.06011271133375E-3</v>
      </c>
      <c r="D31668" s="2">
        <v>1.0046885465505599E-3</v>
      </c>
      <c r="E31668" s="2">
        <v>3.40136054421768E-3</v>
      </c>
      <c r="F31668" s="2">
        <v>6.4650357462019597E-3</v>
      </c>
    </row>
    <row r="31669" spans="1:6" x14ac:dyDescent="0.25">
      <c r="A31669" s="1" t="str">
        <f t="shared" si="1131"/>
        <v>41660</v>
      </c>
      <c r="B31669" s="1" t="str">
        <f>"76909"</f>
        <v>76909</v>
      </c>
      <c r="C31669" s="2">
        <v>4.4489668127739503E-2</v>
      </c>
      <c r="D31669" s="2">
        <v>5.0234427327528397E-4</v>
      </c>
      <c r="E31669" s="2">
        <v>5.6689342403628098E-4</v>
      </c>
      <c r="F31669" s="2">
        <v>3.9739722966934697E-2</v>
      </c>
    </row>
    <row r="31670" spans="1:6" x14ac:dyDescent="0.25">
      <c r="A31670" s="1" t="str">
        <f t="shared" si="1131"/>
        <v>41660</v>
      </c>
      <c r="B31670" s="1" t="str">
        <f>"76958"</f>
        <v>76958</v>
      </c>
      <c r="C31670" s="2">
        <v>1.5654351909830899E-5</v>
      </c>
      <c r="D31670" s="2">
        <v>0</v>
      </c>
      <c r="E31670" s="2">
        <v>5.6689342403628098E-4</v>
      </c>
      <c r="F31670" s="2">
        <v>2.7926720285969602E-5</v>
      </c>
    </row>
    <row r="31671" spans="1:6" x14ac:dyDescent="0.25">
      <c r="A31671" s="1" t="str">
        <f t="shared" si="1131"/>
        <v>41660</v>
      </c>
      <c r="B31671" s="1" t="str">
        <f>"76905"</f>
        <v>76905</v>
      </c>
      <c r="C31671" s="2">
        <v>8.27175954915466E-2</v>
      </c>
      <c r="D31671" s="2">
        <v>2.52846617548559E-2</v>
      </c>
      <c r="E31671" s="2">
        <v>4.4217687074829898E-2</v>
      </c>
      <c r="F31671" s="2">
        <v>7.6980004468275201E-2</v>
      </c>
    </row>
    <row r="31672" spans="1:6" x14ac:dyDescent="0.25">
      <c r="A31672" s="1" t="str">
        <f t="shared" si="1131"/>
        <v>41660</v>
      </c>
      <c r="B31672" s="1" t="str">
        <f>"76937"</f>
        <v>76937</v>
      </c>
      <c r="C31672" s="2">
        <v>4.5397620538509698E-4</v>
      </c>
      <c r="D31672" s="2">
        <v>0</v>
      </c>
      <c r="E31672" s="2">
        <v>0</v>
      </c>
      <c r="F31672" s="2">
        <v>4.0493744414655901E-4</v>
      </c>
    </row>
    <row r="31673" spans="1:6" x14ac:dyDescent="0.25">
      <c r="A31673" s="1" t="str">
        <f t="shared" si="1131"/>
        <v>41660</v>
      </c>
      <c r="B31673" s="1" t="str">
        <f>"76955"</f>
        <v>76955</v>
      </c>
      <c r="C31673" s="2">
        <v>3.4439574201628002E-4</v>
      </c>
      <c r="D31673" s="2">
        <v>0</v>
      </c>
      <c r="E31673" s="2">
        <v>3.40136054421768E-3</v>
      </c>
      <c r="F31673" s="2">
        <v>3.90974084003574E-4</v>
      </c>
    </row>
    <row r="31674" spans="1:6" x14ac:dyDescent="0.25">
      <c r="A31674" s="1" t="str">
        <f t="shared" si="1131"/>
        <v>41660</v>
      </c>
      <c r="B31674" s="1" t="str">
        <f>"76930"</f>
        <v>76930</v>
      </c>
      <c r="C31674" s="2">
        <v>0</v>
      </c>
      <c r="D31674" s="2">
        <v>0</v>
      </c>
      <c r="E31674" s="2">
        <v>5.6689342403628098E-4</v>
      </c>
      <c r="F31674" s="2">
        <v>1.3963360142984801E-5</v>
      </c>
    </row>
    <row r="31675" spans="1:6" x14ac:dyDescent="0.25">
      <c r="A31675" s="1" t="str">
        <f t="shared" si="1131"/>
        <v>41660</v>
      </c>
      <c r="B31675" s="1" t="str">
        <f>"76908"</f>
        <v>76908</v>
      </c>
      <c r="C31675" s="2">
        <v>5.2222917971195902E-2</v>
      </c>
      <c r="D31675" s="2">
        <v>1.6744809109176101E-4</v>
      </c>
      <c r="E31675" s="2">
        <v>6.2925170068027197E-2</v>
      </c>
      <c r="F31675" s="2">
        <v>4.8145665773011603E-2</v>
      </c>
    </row>
    <row r="31676" spans="1:6" x14ac:dyDescent="0.25">
      <c r="A31676" s="1" t="str">
        <f t="shared" si="1131"/>
        <v>41660</v>
      </c>
      <c r="B31676" s="1" t="str">
        <f>"76903"</f>
        <v>76903</v>
      </c>
      <c r="C31676" s="2">
        <v>0.243284283030682</v>
      </c>
      <c r="D31676" s="2">
        <v>0.40555927662424601</v>
      </c>
      <c r="E31676" s="2">
        <v>0.39455782312925097</v>
      </c>
      <c r="F31676" s="2">
        <v>0.26054233690795298</v>
      </c>
    </row>
    <row r="31677" spans="1:6" x14ac:dyDescent="0.25">
      <c r="A31677" s="1" t="str">
        <f t="shared" si="1131"/>
        <v>41660</v>
      </c>
      <c r="B31677" s="1" t="str">
        <f>"76935"</f>
        <v>76935</v>
      </c>
      <c r="C31677" s="2">
        <v>1.0551033187226E-2</v>
      </c>
      <c r="D31677" s="2">
        <v>1.6744809109176101E-4</v>
      </c>
      <c r="E31677" s="2">
        <v>1.70068027210884E-3</v>
      </c>
      <c r="F31677" s="2">
        <v>9.4671581769436904E-3</v>
      </c>
    </row>
    <row r="31678" spans="1:6" x14ac:dyDescent="0.25">
      <c r="A31678" s="1" t="str">
        <f t="shared" si="1131"/>
        <v>41660</v>
      </c>
      <c r="B31678" s="1" t="str">
        <f>"76934"</f>
        <v>76934</v>
      </c>
      <c r="C31678" s="2">
        <v>1.59674389480275E-3</v>
      </c>
      <c r="D31678" s="2">
        <v>3.3489618218352299E-4</v>
      </c>
      <c r="E31678" s="2">
        <v>1.13378684807256E-3</v>
      </c>
      <c r="F31678" s="2">
        <v>1.4801161751563799E-3</v>
      </c>
    </row>
    <row r="31679" spans="1:6" x14ac:dyDescent="0.25">
      <c r="A31679" s="1" t="str">
        <f t="shared" si="1131"/>
        <v>41660</v>
      </c>
      <c r="B31679" s="1" t="str">
        <f>"76901"</f>
        <v>76901</v>
      </c>
      <c r="C31679" s="2">
        <v>0.22288666249217201</v>
      </c>
      <c r="D31679" s="2">
        <v>0.17565304755525701</v>
      </c>
      <c r="E31679" s="2">
        <v>0.19841269841269801</v>
      </c>
      <c r="F31679" s="2">
        <v>0.21834506255585301</v>
      </c>
    </row>
    <row r="31680" spans="1:6" x14ac:dyDescent="0.25">
      <c r="A31680" s="1" t="str">
        <f t="shared" si="1131"/>
        <v>41660</v>
      </c>
      <c r="B31680" s="1" t="str">
        <f>"76902"</f>
        <v>76902</v>
      </c>
      <c r="C31680" s="2">
        <v>3.0510331872260401E-2</v>
      </c>
      <c r="D31680" s="2">
        <v>0.118720696584058</v>
      </c>
      <c r="E31680" s="2">
        <v>2.26757369614512E-3</v>
      </c>
      <c r="F31680" s="2">
        <v>3.7170464700625502E-2</v>
      </c>
    </row>
    <row r="31681" spans="1:6" x14ac:dyDescent="0.25">
      <c r="A31681" s="1" t="str">
        <f t="shared" si="1131"/>
        <v>41660</v>
      </c>
      <c r="B31681" s="1" t="str">
        <f>"76941"</f>
        <v>76941</v>
      </c>
      <c r="C31681" s="2">
        <v>3.4126487163431401E-3</v>
      </c>
      <c r="D31681" s="2">
        <v>5.0234427327528397E-4</v>
      </c>
      <c r="E31681" s="2">
        <v>2.26757369614512E-3</v>
      </c>
      <c r="F31681" s="2">
        <v>3.14175603217158E-3</v>
      </c>
    </row>
    <row r="31682" spans="1:6" x14ac:dyDescent="0.25">
      <c r="A31682" s="1" t="str">
        <f t="shared" si="1131"/>
        <v>41660</v>
      </c>
      <c r="B31682" s="1" t="str">
        <f>"76940"</f>
        <v>76940</v>
      </c>
      <c r="C31682" s="2">
        <v>2.9743268628678698E-4</v>
      </c>
      <c r="D31682" s="2">
        <v>0</v>
      </c>
      <c r="E31682" s="2">
        <v>1.13378684807256E-3</v>
      </c>
      <c r="F31682" s="2">
        <v>2.9323056300268002E-4</v>
      </c>
    </row>
    <row r="31683" spans="1:6" x14ac:dyDescent="0.25">
      <c r="A31683" s="1" t="str">
        <f t="shared" ref="A31683:A31714" si="1132">"41700"</f>
        <v>41700</v>
      </c>
      <c r="B31683" s="1" t="str">
        <f>"78263"</f>
        <v>78263</v>
      </c>
      <c r="C31683" s="2">
        <v>1.76616773334856E-3</v>
      </c>
      <c r="D31683" s="2">
        <v>1.67088556935175E-3</v>
      </c>
      <c r="E31683" s="2">
        <v>7.3905235529769303E-3</v>
      </c>
      <c r="F31683" s="2">
        <v>1.89064306217609E-3</v>
      </c>
    </row>
    <row r="31684" spans="1:6" x14ac:dyDescent="0.25">
      <c r="A31684" s="1" t="str">
        <f t="shared" si="1132"/>
        <v>41700</v>
      </c>
      <c r="B31684" s="1" t="str">
        <f>"78150"</f>
        <v>78150</v>
      </c>
      <c r="C31684" s="2">
        <v>2.0399781314344299E-4</v>
      </c>
      <c r="D31684" s="2">
        <v>1.40774610543588E-2</v>
      </c>
      <c r="E31684" s="2">
        <v>4.1442188147534101E-4</v>
      </c>
      <c r="F31684" s="2">
        <v>1.33457157330077E-3</v>
      </c>
    </row>
    <row r="31685" spans="1:6" x14ac:dyDescent="0.25">
      <c r="A31685" s="1" t="str">
        <f t="shared" si="1132"/>
        <v>41700</v>
      </c>
      <c r="B31685" s="1" t="str">
        <f>"78216"</f>
        <v>78216</v>
      </c>
      <c r="C31685" s="2">
        <v>1.87541989549872E-2</v>
      </c>
      <c r="D31685" s="2">
        <v>4.7905389856624001E-2</v>
      </c>
      <c r="E31685" s="2">
        <v>2.63848597872634E-2</v>
      </c>
      <c r="F31685" s="2">
        <v>2.1298755698717999E-2</v>
      </c>
    </row>
    <row r="31686" spans="1:6" x14ac:dyDescent="0.25">
      <c r="A31686" s="1" t="str">
        <f t="shared" si="1132"/>
        <v>41700</v>
      </c>
      <c r="B31686" s="1" t="str">
        <f>"78219"</f>
        <v>78219</v>
      </c>
      <c r="C31686" s="2">
        <v>5.4843678742430499E-3</v>
      </c>
      <c r="D31686" s="2">
        <v>1.0805727035328699E-2</v>
      </c>
      <c r="E31686" s="2">
        <v>7.8049454344522699E-3</v>
      </c>
      <c r="F31686" s="2">
        <v>5.97066540244963E-3</v>
      </c>
    </row>
    <row r="31687" spans="1:6" x14ac:dyDescent="0.25">
      <c r="A31687" s="1" t="str">
        <f t="shared" si="1132"/>
        <v>41700</v>
      </c>
      <c r="B31687" s="1" t="str">
        <f>"78220"</f>
        <v>78220</v>
      </c>
      <c r="C31687" s="2">
        <v>8.1753256938418908E-3</v>
      </c>
      <c r="D31687" s="2">
        <v>8.0942899736860495E-3</v>
      </c>
      <c r="E31687" s="2">
        <v>9.2208868628263496E-3</v>
      </c>
      <c r="F31687" s="2">
        <v>8.1933277915600504E-3</v>
      </c>
    </row>
    <row r="31688" spans="1:6" x14ac:dyDescent="0.25">
      <c r="A31688" s="1" t="str">
        <f t="shared" si="1132"/>
        <v>41700</v>
      </c>
      <c r="B31688" s="1" t="str">
        <f>"78235"</f>
        <v>78235</v>
      </c>
      <c r="C31688" s="2">
        <v>1.2149203093876099E-3</v>
      </c>
      <c r="D31688" s="2">
        <v>8.5045073889161195E-4</v>
      </c>
      <c r="E31688" s="2">
        <v>7.5977344937146001E-4</v>
      </c>
      <c r="F31688" s="2">
        <v>1.1746502837994E-3</v>
      </c>
    </row>
    <row r="31689" spans="1:6" x14ac:dyDescent="0.25">
      <c r="A31689" s="1" t="str">
        <f t="shared" si="1132"/>
        <v>41700</v>
      </c>
      <c r="B31689" s="1" t="str">
        <f>"78130"</f>
        <v>78130</v>
      </c>
      <c r="C31689" s="2">
        <v>3.4519149954712398E-2</v>
      </c>
      <c r="D31689" s="2">
        <v>3.3117552302720399E-2</v>
      </c>
      <c r="E31689" s="2">
        <v>2.48307777317309E-2</v>
      </c>
      <c r="F31689" s="2">
        <v>3.4177696094348599E-2</v>
      </c>
    </row>
    <row r="31690" spans="1:6" x14ac:dyDescent="0.25">
      <c r="A31690" s="1" t="str">
        <f t="shared" si="1132"/>
        <v>41700</v>
      </c>
      <c r="B31690" s="1" t="str">
        <f>"78016"</f>
        <v>78016</v>
      </c>
      <c r="C31690" s="2">
        <v>4.12891573802328E-3</v>
      </c>
      <c r="D31690" s="2">
        <v>3.2717340190300801E-3</v>
      </c>
      <c r="E31690" s="2">
        <v>3.10816411106506E-3</v>
      </c>
      <c r="F31690" s="2">
        <v>4.0353742645244202E-3</v>
      </c>
    </row>
    <row r="31691" spans="1:6" x14ac:dyDescent="0.25">
      <c r="A31691" s="1" t="str">
        <f t="shared" si="1132"/>
        <v>41700</v>
      </c>
      <c r="B31691" s="1" t="str">
        <f>"78237"</f>
        <v>78237</v>
      </c>
      <c r="C31691" s="2">
        <v>1.19742183030464E-2</v>
      </c>
      <c r="D31691" s="2">
        <v>9.5550641840175202E-3</v>
      </c>
      <c r="E31691" s="2">
        <v>8.1157618455587697E-3</v>
      </c>
      <c r="F31691" s="2">
        <v>1.1687242664727E-2</v>
      </c>
    </row>
    <row r="31692" spans="1:6" x14ac:dyDescent="0.25">
      <c r="A31692" s="1" t="str">
        <f t="shared" si="1132"/>
        <v>41700</v>
      </c>
      <c r="B31692" s="1" t="str">
        <f>"78256"</f>
        <v>78256</v>
      </c>
      <c r="C31692" s="2">
        <v>6.6693685043696296E-3</v>
      </c>
      <c r="D31692" s="2">
        <v>3.46183477242938E-3</v>
      </c>
      <c r="E31692" s="2">
        <v>3.07362895427545E-3</v>
      </c>
      <c r="F31692" s="2">
        <v>6.3246028756607899E-3</v>
      </c>
    </row>
    <row r="31693" spans="1:6" x14ac:dyDescent="0.25">
      <c r="A31693" s="1" t="str">
        <f t="shared" si="1132"/>
        <v>41700</v>
      </c>
      <c r="B31693" s="1" t="str">
        <f>"78265"</f>
        <v>78265</v>
      </c>
      <c r="C31693" s="2">
        <v>9.1119023204071204E-4</v>
      </c>
      <c r="D31693" s="2">
        <v>6.4234044043342898E-3</v>
      </c>
      <c r="E31693" s="2">
        <v>3.4535156789611798E-5</v>
      </c>
      <c r="F31693" s="2">
        <v>1.3378187060825201E-3</v>
      </c>
    </row>
    <row r="31694" spans="1:6" x14ac:dyDescent="0.25">
      <c r="A31694" s="1" t="str">
        <f t="shared" si="1132"/>
        <v>41700</v>
      </c>
      <c r="B31694" s="1" t="str">
        <f>"78154"</f>
        <v>78154</v>
      </c>
      <c r="C31694" s="2">
        <v>1.5443994440379499E-2</v>
      </c>
      <c r="D31694" s="2">
        <v>1.6908961749727301E-2</v>
      </c>
      <c r="E31694" s="2">
        <v>1.7751070589860401E-2</v>
      </c>
      <c r="F31694" s="2">
        <v>1.56170851138444E-2</v>
      </c>
    </row>
    <row r="31695" spans="1:6" x14ac:dyDescent="0.25">
      <c r="A31695" s="1" t="str">
        <f t="shared" si="1132"/>
        <v>41700</v>
      </c>
      <c r="B31695" s="1" t="str">
        <f>"78215"</f>
        <v>78215</v>
      </c>
      <c r="C31695" s="2">
        <v>2.7943167115915099E-3</v>
      </c>
      <c r="D31695" s="2">
        <v>7.5940248331615697E-3</v>
      </c>
      <c r="E31695" s="2">
        <v>7.4595938665561502E-3</v>
      </c>
      <c r="F31695" s="2">
        <v>3.2934044238936999E-3</v>
      </c>
    </row>
    <row r="31696" spans="1:6" x14ac:dyDescent="0.25">
      <c r="A31696" s="1" t="str">
        <f t="shared" si="1132"/>
        <v>41700</v>
      </c>
      <c r="B31696" s="1" t="str">
        <f>"78221"</f>
        <v>78221</v>
      </c>
      <c r="C31696" s="2">
        <v>1.2817409264039299E-2</v>
      </c>
      <c r="D31696" s="2">
        <v>1.0155382352646901E-2</v>
      </c>
      <c r="E31696" s="2">
        <v>2.2724133167564501E-2</v>
      </c>
      <c r="F31696" s="2">
        <v>1.28342923198815E-2</v>
      </c>
    </row>
    <row r="31697" spans="1:6" x14ac:dyDescent="0.25">
      <c r="A31697" s="1" t="str">
        <f t="shared" si="1132"/>
        <v>41700</v>
      </c>
      <c r="B31697" s="1" t="str">
        <f>"78623"</f>
        <v>78623</v>
      </c>
      <c r="C31697" s="2">
        <v>6.6276622847936397E-4</v>
      </c>
      <c r="D31697" s="2">
        <v>1.20063633725874E-4</v>
      </c>
      <c r="E31697" s="2">
        <v>6.9070313579223597E-5</v>
      </c>
      <c r="F31697" s="2">
        <v>6.0477848060162798E-4</v>
      </c>
    </row>
    <row r="31698" spans="1:6" x14ac:dyDescent="0.25">
      <c r="A31698" s="1" t="str">
        <f t="shared" si="1132"/>
        <v>41700</v>
      </c>
      <c r="B31698" s="1" t="str">
        <f>"78013"</f>
        <v>78013</v>
      </c>
      <c r="C31698" s="2">
        <v>1.3844651585335E-3</v>
      </c>
      <c r="D31698" s="2">
        <v>1.0405514922909101E-3</v>
      </c>
      <c r="E31698" s="2">
        <v>2.1757148777455399E-3</v>
      </c>
      <c r="F31698" s="2">
        <v>1.3751607330726901E-3</v>
      </c>
    </row>
    <row r="31699" spans="1:6" x14ac:dyDescent="0.25">
      <c r="A31699" s="1" t="str">
        <f t="shared" si="1132"/>
        <v>41700</v>
      </c>
      <c r="B31699" s="1" t="str">
        <f>"78114"</f>
        <v>78114</v>
      </c>
      <c r="C31699" s="2">
        <v>8.3938300181421992E-3</v>
      </c>
      <c r="D31699" s="2">
        <v>7.3438922628993302E-3</v>
      </c>
      <c r="E31699" s="2">
        <v>7.5286641801353702E-3</v>
      </c>
      <c r="F31699" s="2">
        <v>8.2883064254263405E-3</v>
      </c>
    </row>
    <row r="31700" spans="1:6" x14ac:dyDescent="0.25">
      <c r="A31700" s="1" t="str">
        <f t="shared" si="1132"/>
        <v>41700</v>
      </c>
      <c r="B31700" s="1" t="str">
        <f>"78003"</f>
        <v>78003</v>
      </c>
      <c r="C31700" s="2">
        <v>5.5387672910812997E-3</v>
      </c>
      <c r="D31700" s="2">
        <v>5.10270443334967E-3</v>
      </c>
      <c r="E31700" s="2">
        <v>2.10664456416632E-3</v>
      </c>
      <c r="F31700" s="2">
        <v>5.4227117455286902E-3</v>
      </c>
    </row>
    <row r="31701" spans="1:6" x14ac:dyDescent="0.25">
      <c r="A31701" s="1" t="str">
        <f t="shared" si="1132"/>
        <v>41700</v>
      </c>
      <c r="B31701" s="1" t="str">
        <f>"78229"</f>
        <v>78229</v>
      </c>
      <c r="C31701" s="2">
        <v>1.7361573883927901E-2</v>
      </c>
      <c r="D31701" s="2">
        <v>3.0716279628202899E-2</v>
      </c>
      <c r="E31701" s="2">
        <v>2.21715706589307E-2</v>
      </c>
      <c r="F31701" s="2">
        <v>1.85581756309178E-2</v>
      </c>
    </row>
    <row r="31702" spans="1:6" x14ac:dyDescent="0.25">
      <c r="A31702" s="1" t="str">
        <f t="shared" si="1132"/>
        <v>41700</v>
      </c>
      <c r="B31702" s="1" t="str">
        <f>"78240"</f>
        <v>78240</v>
      </c>
      <c r="C31702" s="2">
        <v>2.5493380044299199E-2</v>
      </c>
      <c r="D31702" s="2">
        <v>1.16761883798413E-2</v>
      </c>
      <c r="E31702" s="2">
        <v>2.4001933968780201E-2</v>
      </c>
      <c r="F31702" s="2">
        <v>2.4337260199243999E-2</v>
      </c>
    </row>
    <row r="31703" spans="1:6" x14ac:dyDescent="0.25">
      <c r="A31703" s="1" t="str">
        <f t="shared" si="1132"/>
        <v>41700</v>
      </c>
      <c r="B31703" s="1" t="str">
        <f>"78250"</f>
        <v>78250</v>
      </c>
      <c r="C31703" s="2">
        <v>1.8067859645877898E-2</v>
      </c>
      <c r="D31703" s="2">
        <v>6.8836483336168104E-3</v>
      </c>
      <c r="E31703" s="2">
        <v>6.3199336924989599E-3</v>
      </c>
      <c r="F31703" s="2">
        <v>1.6884278681923801E-2</v>
      </c>
    </row>
    <row r="31704" spans="1:6" x14ac:dyDescent="0.25">
      <c r="A31704" s="1" t="str">
        <f t="shared" si="1132"/>
        <v>41700</v>
      </c>
      <c r="B31704" s="1" t="str">
        <f>"78226"</f>
        <v>78226</v>
      </c>
      <c r="C31704" s="2">
        <v>2.9693015024212198E-3</v>
      </c>
      <c r="D31704" s="2">
        <v>3.6619408286391701E-3</v>
      </c>
      <c r="E31704" s="2">
        <v>1.44011603812681E-2</v>
      </c>
      <c r="F31704" s="2">
        <v>3.2942162070891401E-3</v>
      </c>
    </row>
    <row r="31705" spans="1:6" x14ac:dyDescent="0.25">
      <c r="A31705" s="1" t="str">
        <f t="shared" si="1132"/>
        <v>41700</v>
      </c>
      <c r="B31705" s="1" t="str">
        <f>"78148"</f>
        <v>78148</v>
      </c>
      <c r="C31705" s="2">
        <v>9.3766461490199394E-3</v>
      </c>
      <c r="D31705" s="2">
        <v>8.0742793680650699E-3</v>
      </c>
      <c r="E31705" s="2">
        <v>9.6698439010913101E-3</v>
      </c>
      <c r="F31705" s="2">
        <v>9.2778701406657903E-3</v>
      </c>
    </row>
    <row r="31706" spans="1:6" x14ac:dyDescent="0.25">
      <c r="A31706" s="1" t="str">
        <f t="shared" si="1132"/>
        <v>41700</v>
      </c>
      <c r="B31706" s="1" t="str">
        <f>"78160"</f>
        <v>78160</v>
      </c>
      <c r="C31706" s="2">
        <v>1.6854752650384899E-3</v>
      </c>
      <c r="D31706" s="2">
        <v>7.5039771078671603E-4</v>
      </c>
      <c r="E31706" s="2">
        <v>2.1757148777455399E-3</v>
      </c>
      <c r="F31706" s="2">
        <v>1.62113104129054E-3</v>
      </c>
    </row>
    <row r="31707" spans="1:6" x14ac:dyDescent="0.25">
      <c r="A31707" s="1" t="str">
        <f t="shared" si="1132"/>
        <v>41700</v>
      </c>
      <c r="B31707" s="1" t="str">
        <f>"78213"</f>
        <v>78213</v>
      </c>
      <c r="C31707" s="2">
        <v>1.7238268539094499E-2</v>
      </c>
      <c r="D31707" s="2">
        <v>1.40874663571692E-2</v>
      </c>
      <c r="E31707" s="2">
        <v>2.3034949578670999E-2</v>
      </c>
      <c r="F31707" s="2">
        <v>1.7118884025405501E-2</v>
      </c>
    </row>
    <row r="31708" spans="1:6" x14ac:dyDescent="0.25">
      <c r="A31708" s="1" t="str">
        <f t="shared" si="1132"/>
        <v>41700</v>
      </c>
      <c r="B31708" s="1" t="str">
        <f>"78648"</f>
        <v>78648</v>
      </c>
      <c r="C31708" s="2">
        <v>1.9221127282848801E-4</v>
      </c>
      <c r="D31708" s="2">
        <v>1.10058330915385E-4</v>
      </c>
      <c r="E31708" s="2">
        <v>0</v>
      </c>
      <c r="F31708" s="2">
        <v>1.8102765258276899E-4</v>
      </c>
    </row>
    <row r="31709" spans="1:6" x14ac:dyDescent="0.25">
      <c r="A31709" s="1" t="str">
        <f t="shared" si="1132"/>
        <v>41700</v>
      </c>
      <c r="B31709" s="1" t="str">
        <f>"78023"</f>
        <v>78023</v>
      </c>
      <c r="C31709" s="2">
        <v>1.0598819713985901E-2</v>
      </c>
      <c r="D31709" s="2">
        <v>1.1516103534873401E-2</v>
      </c>
      <c r="E31709" s="2">
        <v>7.0106368282912002E-3</v>
      </c>
      <c r="F31709" s="2">
        <v>1.05889000012988E-2</v>
      </c>
    </row>
    <row r="31710" spans="1:6" x14ac:dyDescent="0.25">
      <c r="A31710" s="1" t="str">
        <f t="shared" si="1132"/>
        <v>41700</v>
      </c>
      <c r="B31710" s="1" t="str">
        <f>"78026"</f>
        <v>78026</v>
      </c>
      <c r="C31710" s="2">
        <v>2.5341061677152102E-3</v>
      </c>
      <c r="D31710" s="2">
        <v>3.2217075049776299E-3</v>
      </c>
      <c r="E31710" s="2">
        <v>2.59013675922088E-3</v>
      </c>
      <c r="F31710" s="2">
        <v>2.59121195983946E-3</v>
      </c>
    </row>
    <row r="31711" spans="1:6" x14ac:dyDescent="0.25">
      <c r="A31711" s="1" t="str">
        <f t="shared" si="1132"/>
        <v>41700</v>
      </c>
      <c r="B31711" s="1" t="str">
        <f>"78069"</f>
        <v>78069</v>
      </c>
      <c r="C31711" s="2">
        <v>1.72536817071987E-3</v>
      </c>
      <c r="D31711" s="2">
        <v>6.0031816862937302E-4</v>
      </c>
      <c r="E31711" s="2">
        <v>3.7643320900676799E-3</v>
      </c>
      <c r="F31711" s="2">
        <v>1.68201478094842E-3</v>
      </c>
    </row>
    <row r="31712" spans="1:6" x14ac:dyDescent="0.25">
      <c r="A31712" s="1" t="str">
        <f t="shared" si="1132"/>
        <v>41700</v>
      </c>
      <c r="B31712" s="1" t="str">
        <f>"78101"</f>
        <v>78101</v>
      </c>
      <c r="C31712" s="2">
        <v>3.1252464973575401E-3</v>
      </c>
      <c r="D31712" s="2">
        <v>1.0205408866699301E-3</v>
      </c>
      <c r="E31712" s="2">
        <v>8.6683243541925605E-3</v>
      </c>
      <c r="F31712" s="2">
        <v>3.0847761426660201E-3</v>
      </c>
    </row>
    <row r="31713" spans="1:6" x14ac:dyDescent="0.25">
      <c r="A31713" s="1" t="str">
        <f t="shared" si="1132"/>
        <v>41700</v>
      </c>
      <c r="B31713" s="1" t="str">
        <f>"78143"</f>
        <v>78143</v>
      </c>
      <c r="C31713" s="2">
        <v>0</v>
      </c>
      <c r="D31713" s="2">
        <v>1.0005302810489501E-5</v>
      </c>
      <c r="E31713" s="2">
        <v>0</v>
      </c>
      <c r="F31713" s="2">
        <v>8.1178319543842704E-7</v>
      </c>
    </row>
    <row r="31714" spans="1:6" x14ac:dyDescent="0.25">
      <c r="A31714" s="1" t="str">
        <f t="shared" si="1132"/>
        <v>41700</v>
      </c>
      <c r="B31714" s="1" t="str">
        <f>"78147"</f>
        <v>78147</v>
      </c>
      <c r="C31714" s="2">
        <v>3.62662778921676E-6</v>
      </c>
      <c r="D31714" s="2">
        <v>1.0005302810489501E-5</v>
      </c>
      <c r="E31714" s="2">
        <v>0</v>
      </c>
      <c r="F31714" s="2">
        <v>4.05891597719213E-6</v>
      </c>
    </row>
    <row r="31715" spans="1:6" x14ac:dyDescent="0.25">
      <c r="A31715" s="1" t="str">
        <f t="shared" ref="A31715:A31746" si="1133">"41700"</f>
        <v>41700</v>
      </c>
      <c r="B31715" s="1" t="str">
        <f>"78284"</f>
        <v>78284</v>
      </c>
      <c r="C31715" s="2">
        <v>0</v>
      </c>
      <c r="D31715" s="2">
        <v>1.4007423934685301E-4</v>
      </c>
      <c r="E31715" s="2">
        <v>3.4535156789611798E-5</v>
      </c>
      <c r="F31715" s="2">
        <v>1.21767479315764E-5</v>
      </c>
    </row>
    <row r="31716" spans="1:6" x14ac:dyDescent="0.25">
      <c r="A31716" s="1" t="str">
        <f t="shared" si="1133"/>
        <v>41700</v>
      </c>
      <c r="B31716" s="1" t="str">
        <f>"78299"</f>
        <v>78299</v>
      </c>
      <c r="C31716" s="2">
        <v>1.1786540314954401E-4</v>
      </c>
      <c r="D31716" s="2">
        <v>6.8036059111329001E-4</v>
      </c>
      <c r="E31716" s="2">
        <v>6.9070313579223597E-5</v>
      </c>
      <c r="F31716" s="2">
        <v>1.6235663908768501E-4</v>
      </c>
    </row>
    <row r="31717" spans="1:6" x14ac:dyDescent="0.25">
      <c r="A31717" s="1" t="str">
        <f t="shared" si="1133"/>
        <v>41700</v>
      </c>
      <c r="B31717" s="1" t="str">
        <f>"78063"</f>
        <v>78063</v>
      </c>
      <c r="C31717" s="2">
        <v>3.9666241444558303E-3</v>
      </c>
      <c r="D31717" s="2">
        <v>1.8309704143195801E-3</v>
      </c>
      <c r="E31717" s="2">
        <v>2.7282773863793299E-3</v>
      </c>
      <c r="F31717" s="2">
        <v>3.7642386772479899E-3</v>
      </c>
    </row>
    <row r="31718" spans="1:6" x14ac:dyDescent="0.25">
      <c r="A31718" s="1" t="str">
        <f t="shared" si="1133"/>
        <v>41700</v>
      </c>
      <c r="B31718" s="1" t="str">
        <f>"78064"</f>
        <v>78064</v>
      </c>
      <c r="C31718" s="2">
        <v>6.7863272505718697E-3</v>
      </c>
      <c r="D31718" s="2">
        <v>9.4750217615336106E-3</v>
      </c>
      <c r="E31718" s="2">
        <v>8.25390247271722E-3</v>
      </c>
      <c r="F31718" s="2">
        <v>7.0389720876466002E-3</v>
      </c>
    </row>
    <row r="31719" spans="1:6" x14ac:dyDescent="0.25">
      <c r="A31719" s="1" t="str">
        <f t="shared" si="1133"/>
        <v>41700</v>
      </c>
      <c r="B31719" s="1" t="str">
        <f>"78070"</f>
        <v>78070</v>
      </c>
      <c r="C31719" s="2">
        <v>8.3430572290931707E-3</v>
      </c>
      <c r="D31719" s="2">
        <v>6.5434680380601698E-3</v>
      </c>
      <c r="E31719" s="2">
        <v>4.7313164801768203E-3</v>
      </c>
      <c r="F31719" s="2">
        <v>8.1121494720161995E-3</v>
      </c>
    </row>
    <row r="31720" spans="1:6" x14ac:dyDescent="0.25">
      <c r="A31720" s="1" t="str">
        <f t="shared" si="1133"/>
        <v>41700</v>
      </c>
      <c r="B31720" s="1" t="str">
        <f>"78124"</f>
        <v>78124</v>
      </c>
      <c r="C31720" s="2">
        <v>3.2920713756615099E-3</v>
      </c>
      <c r="D31720" s="2">
        <v>1.80095450588812E-3</v>
      </c>
      <c r="E31720" s="2">
        <v>1.1741953308468001E-3</v>
      </c>
      <c r="F31720" s="2">
        <v>3.12130638646075E-3</v>
      </c>
    </row>
    <row r="31721" spans="1:6" x14ac:dyDescent="0.25">
      <c r="A31721" s="1" t="str">
        <f t="shared" si="1133"/>
        <v>41700</v>
      </c>
      <c r="B31721" s="1" t="str">
        <f>"78231"</f>
        <v>78231</v>
      </c>
      <c r="C31721" s="2">
        <v>3.7834794411003899E-3</v>
      </c>
      <c r="D31721" s="2">
        <v>4.5524127787727403E-3</v>
      </c>
      <c r="E31721" s="2">
        <v>2.8664180135377802E-3</v>
      </c>
      <c r="F31721" s="2">
        <v>3.8243106337104301E-3</v>
      </c>
    </row>
    <row r="31722" spans="1:6" x14ac:dyDescent="0.25">
      <c r="A31722" s="1" t="str">
        <f t="shared" si="1133"/>
        <v>41700</v>
      </c>
      <c r="B31722" s="1" t="str">
        <f>"78234"</f>
        <v>78234</v>
      </c>
      <c r="C31722" s="2">
        <v>9.1635817664034603E-3</v>
      </c>
      <c r="D31722" s="2">
        <v>7.0327273454931102E-2</v>
      </c>
      <c r="E31722" s="2">
        <v>6.5271446332366301E-3</v>
      </c>
      <c r="F31722" s="2">
        <v>1.40641438609707E-2</v>
      </c>
    </row>
    <row r="31723" spans="1:6" x14ac:dyDescent="0.25">
      <c r="A31723" s="1" t="str">
        <f t="shared" si="1133"/>
        <v>41700</v>
      </c>
      <c r="B31723" s="1" t="str">
        <f>"78224"</f>
        <v>78224</v>
      </c>
      <c r="C31723" s="2">
        <v>8.4772424572941898E-3</v>
      </c>
      <c r="D31723" s="2">
        <v>8.15432179054899E-3</v>
      </c>
      <c r="E31723" s="2">
        <v>8.73739466777179E-3</v>
      </c>
      <c r="F31723" s="2">
        <v>8.4571573300775398E-3</v>
      </c>
    </row>
    <row r="31724" spans="1:6" x14ac:dyDescent="0.25">
      <c r="A31724" s="1" t="str">
        <f t="shared" si="1133"/>
        <v>41700</v>
      </c>
      <c r="B31724" s="1" t="str">
        <f>"78228"</f>
        <v>78228</v>
      </c>
      <c r="C31724" s="2">
        <v>1.9816800897227701E-2</v>
      </c>
      <c r="D31724" s="2">
        <v>1.4797842856714E-2</v>
      </c>
      <c r="E31724" s="2">
        <v>2.0030390937974801E-2</v>
      </c>
      <c r="F31724" s="2">
        <v>1.9414606902105402E-2</v>
      </c>
    </row>
    <row r="31725" spans="1:6" x14ac:dyDescent="0.25">
      <c r="A31725" s="1" t="str">
        <f t="shared" si="1133"/>
        <v>41700</v>
      </c>
      <c r="B31725" s="1" t="str">
        <f>"78253"</f>
        <v>78253</v>
      </c>
      <c r="C31725" s="2">
        <v>2.2959273876583999E-2</v>
      </c>
      <c r="D31725" s="2">
        <v>4.7124976237405804E-3</v>
      </c>
      <c r="E31725" s="2">
        <v>8.2193673159276105E-3</v>
      </c>
      <c r="F31725" s="2">
        <v>2.1132340143653099E-2</v>
      </c>
    </row>
    <row r="31726" spans="1:6" x14ac:dyDescent="0.25">
      <c r="A31726" s="1" t="str">
        <f t="shared" si="1133"/>
        <v>41700</v>
      </c>
      <c r="B31726" s="1" t="str">
        <f>"78248"</f>
        <v>78248</v>
      </c>
      <c r="C31726" s="2">
        <v>5.3628758433042897E-3</v>
      </c>
      <c r="D31726" s="2">
        <v>4.2322430888370802E-3</v>
      </c>
      <c r="E31726" s="2">
        <v>2.6592070728001099E-3</v>
      </c>
      <c r="F31726" s="2">
        <v>5.2075891987375103E-3</v>
      </c>
    </row>
    <row r="31727" spans="1:6" x14ac:dyDescent="0.25">
      <c r="A31727" s="1" t="str">
        <f t="shared" si="1133"/>
        <v>41700</v>
      </c>
      <c r="B31727" s="1" t="str">
        <f>"78260"</f>
        <v>78260</v>
      </c>
      <c r="C31727" s="2">
        <v>1.25553854062684E-2</v>
      </c>
      <c r="D31727" s="2">
        <v>2.4112779773279801E-3</v>
      </c>
      <c r="E31727" s="2">
        <v>2.8318828567481598E-3</v>
      </c>
      <c r="F31727" s="2">
        <v>1.15037796625579E-2</v>
      </c>
    </row>
    <row r="31728" spans="1:6" x14ac:dyDescent="0.25">
      <c r="A31728" s="1" t="str">
        <f t="shared" si="1133"/>
        <v>41700</v>
      </c>
      <c r="B31728" s="1" t="str">
        <f>"78204"</f>
        <v>78204</v>
      </c>
      <c r="C31728" s="2">
        <v>5.2849033458361302E-3</v>
      </c>
      <c r="D31728" s="2">
        <v>7.1838074179314997E-3</v>
      </c>
      <c r="E31728" s="2">
        <v>1.56789611824837E-2</v>
      </c>
      <c r="F31728" s="2">
        <v>5.68329415126443E-3</v>
      </c>
    </row>
    <row r="31729" spans="1:6" x14ac:dyDescent="0.25">
      <c r="A31729" s="1" t="str">
        <f t="shared" si="1133"/>
        <v>41700</v>
      </c>
      <c r="B31729" s="1" t="str">
        <f>"78210"</f>
        <v>78210</v>
      </c>
      <c r="C31729" s="2">
        <v>1.4526457609707701E-2</v>
      </c>
      <c r="D31729" s="2">
        <v>1.0505567951014001E-2</v>
      </c>
      <c r="E31729" s="2">
        <v>4.0924160795690001E-2</v>
      </c>
      <c r="F31729" s="2">
        <v>1.48207257991193E-2</v>
      </c>
    </row>
    <row r="31730" spans="1:6" x14ac:dyDescent="0.25">
      <c r="A31730" s="1" t="str">
        <f t="shared" si="1133"/>
        <v>41700</v>
      </c>
      <c r="B31730" s="1" t="str">
        <f>"78206"</f>
        <v>78206</v>
      </c>
      <c r="C31730" s="2">
        <v>1.81331389460838E-6</v>
      </c>
      <c r="D31730" s="2">
        <v>8.4044543608112205E-4</v>
      </c>
      <c r="E31730" s="2">
        <v>1.7267578394805901E-4</v>
      </c>
      <c r="F31730" s="2">
        <v>7.3872270784896906E-5</v>
      </c>
    </row>
    <row r="31731" spans="1:6" x14ac:dyDescent="0.25">
      <c r="A31731" s="1" t="str">
        <f t="shared" si="1133"/>
        <v>41700</v>
      </c>
      <c r="B31731" s="1" t="str">
        <f>"78133"</f>
        <v>78133</v>
      </c>
      <c r="C31731" s="2">
        <v>1.08218573230228E-2</v>
      </c>
      <c r="D31731" s="2">
        <v>5.2527839755070098E-3</v>
      </c>
      <c r="E31731" s="2">
        <v>7.3905235529769303E-3</v>
      </c>
      <c r="F31731" s="2">
        <v>1.0289352002181999E-2</v>
      </c>
    </row>
    <row r="31732" spans="1:6" x14ac:dyDescent="0.25">
      <c r="A31732" s="1" t="str">
        <f t="shared" si="1133"/>
        <v>41700</v>
      </c>
      <c r="B31732" s="1" t="str">
        <f>"78218"</f>
        <v>78218</v>
      </c>
      <c r="C31732" s="2">
        <v>1.5307089241336599E-2</v>
      </c>
      <c r="D31732" s="2">
        <v>1.78694708195343E-2</v>
      </c>
      <c r="E31732" s="2">
        <v>1.4504765851636899E-2</v>
      </c>
      <c r="F31732" s="2">
        <v>1.5496129417724099E-2</v>
      </c>
    </row>
    <row r="31733" spans="1:6" x14ac:dyDescent="0.25">
      <c r="A31733" s="1" t="str">
        <f t="shared" si="1133"/>
        <v>41700</v>
      </c>
      <c r="B31733" s="1" t="str">
        <f>"78214"</f>
        <v>78214</v>
      </c>
      <c r="C31733" s="2">
        <v>8.3131375498321294E-3</v>
      </c>
      <c r="D31733" s="2">
        <v>8.6245710226420004E-3</v>
      </c>
      <c r="E31733" s="2">
        <v>1.71985080812266E-2</v>
      </c>
      <c r="F31733" s="2">
        <v>8.5472652647711998E-3</v>
      </c>
    </row>
    <row r="31734" spans="1:6" x14ac:dyDescent="0.25">
      <c r="A31734" s="1" t="str">
        <f t="shared" si="1133"/>
        <v>41700</v>
      </c>
      <c r="B31734" s="1" t="str">
        <f>"78850"</f>
        <v>78850</v>
      </c>
      <c r="C31734" s="2">
        <v>1.74984790829708E-4</v>
      </c>
      <c r="D31734" s="2">
        <v>8.0042422483916399E-5</v>
      </c>
      <c r="E31734" s="2">
        <v>3.4535156789611798E-5</v>
      </c>
      <c r="F31734" s="2">
        <v>1.6398020547856199E-4</v>
      </c>
    </row>
    <row r="31735" spans="1:6" x14ac:dyDescent="0.25">
      <c r="A31735" s="1" t="str">
        <f t="shared" si="1133"/>
        <v>41700</v>
      </c>
      <c r="B31735" s="1" t="str">
        <f>"78655"</f>
        <v>78655</v>
      </c>
      <c r="C31735" s="2">
        <v>2.6111720082360698E-4</v>
      </c>
      <c r="D31735" s="2">
        <v>2.00106056209791E-5</v>
      </c>
      <c r="E31735" s="2">
        <v>1.7267578394805901E-4</v>
      </c>
      <c r="F31735" s="2">
        <v>2.39476042654336E-4</v>
      </c>
    </row>
    <row r="31736" spans="1:6" x14ac:dyDescent="0.25">
      <c r="A31736" s="1" t="str">
        <f t="shared" si="1133"/>
        <v>41700</v>
      </c>
      <c r="B31736" s="1" t="str">
        <f>"78050"</f>
        <v>78050</v>
      </c>
      <c r="C31736" s="2">
        <v>8.15991252573772E-6</v>
      </c>
      <c r="D31736" s="2">
        <v>1.0005302810489501E-5</v>
      </c>
      <c r="E31736" s="2">
        <v>0</v>
      </c>
      <c r="F31736" s="2">
        <v>8.1178319543842701E-6</v>
      </c>
    </row>
    <row r="31737" spans="1:6" x14ac:dyDescent="0.25">
      <c r="A31737" s="1" t="str">
        <f t="shared" si="1133"/>
        <v>41700</v>
      </c>
      <c r="B31737" s="1" t="str">
        <f>"78288"</f>
        <v>78288</v>
      </c>
      <c r="C31737" s="2">
        <v>1.81331389460838E-6</v>
      </c>
      <c r="D31737" s="2">
        <v>2.00106056209791E-5</v>
      </c>
      <c r="E31737" s="2">
        <v>0</v>
      </c>
      <c r="F31737" s="2">
        <v>3.2471327817537098E-6</v>
      </c>
    </row>
    <row r="31738" spans="1:6" x14ac:dyDescent="0.25">
      <c r="A31738" s="1" t="str">
        <f t="shared" si="1133"/>
        <v>41700</v>
      </c>
      <c r="B31738" s="1" t="str">
        <f>"78010"</f>
        <v>78010</v>
      </c>
      <c r="C31738" s="2">
        <v>1.81331389460838E-6</v>
      </c>
      <c r="D31738" s="2">
        <v>0</v>
      </c>
      <c r="E31738" s="2">
        <v>0</v>
      </c>
      <c r="F31738" s="2">
        <v>1.62356639087685E-6</v>
      </c>
    </row>
    <row r="31739" spans="1:6" x14ac:dyDescent="0.25">
      <c r="A31739" s="1" t="str">
        <f t="shared" si="1133"/>
        <v>41700</v>
      </c>
      <c r="B31739" s="1" t="str">
        <f>"78885"</f>
        <v>78885</v>
      </c>
      <c r="C31739" s="2">
        <v>4.6239504312513701E-5</v>
      </c>
      <c r="D31739" s="2">
        <v>6.0031816862937299E-5</v>
      </c>
      <c r="E31739" s="2">
        <v>3.4535156789611798E-5</v>
      </c>
      <c r="F31739" s="2">
        <v>4.70834253354288E-5</v>
      </c>
    </row>
    <row r="31740" spans="1:6" x14ac:dyDescent="0.25">
      <c r="A31740" s="1" t="str">
        <f t="shared" si="1133"/>
        <v>41700</v>
      </c>
      <c r="B31740" s="1" t="str">
        <f>"78295"</f>
        <v>78295</v>
      </c>
      <c r="C31740" s="2">
        <v>1.31465257359107E-4</v>
      </c>
      <c r="D31740" s="2">
        <v>5.10270443334967E-4</v>
      </c>
      <c r="E31740" s="2">
        <v>6.9070313579223597E-5</v>
      </c>
      <c r="F31740" s="2">
        <v>1.60733072696808E-4</v>
      </c>
    </row>
    <row r="31741" spans="1:6" x14ac:dyDescent="0.25">
      <c r="A31741" s="1" t="str">
        <f t="shared" si="1133"/>
        <v>41700</v>
      </c>
      <c r="B31741" s="1" t="str">
        <f>"78055"</f>
        <v>78055</v>
      </c>
      <c r="C31741" s="2">
        <v>5.7935378932737799E-4</v>
      </c>
      <c r="D31741" s="2">
        <v>2.9015378150419699E-4</v>
      </c>
      <c r="E31741" s="2">
        <v>5.1802735184417695E-4</v>
      </c>
      <c r="F31741" s="2">
        <v>5.5444792248444605E-4</v>
      </c>
    </row>
    <row r="31742" spans="1:6" x14ac:dyDescent="0.25">
      <c r="A31742" s="1" t="str">
        <f t="shared" si="1133"/>
        <v>41700</v>
      </c>
      <c r="B31742" s="1" t="str">
        <f>"78113"</f>
        <v>78113</v>
      </c>
      <c r="C31742" s="2">
        <v>5.2223440164721397E-4</v>
      </c>
      <c r="D31742" s="2">
        <v>2.7014317588321802E-4</v>
      </c>
      <c r="E31742" s="2">
        <v>2.7628125431689401E-4</v>
      </c>
      <c r="F31742" s="2">
        <v>4.9599953241287898E-4</v>
      </c>
    </row>
    <row r="31743" spans="1:6" x14ac:dyDescent="0.25">
      <c r="A31743" s="1" t="str">
        <f t="shared" si="1133"/>
        <v>41700</v>
      </c>
      <c r="B31743" s="1" t="str">
        <f>"78245"</f>
        <v>78245</v>
      </c>
      <c r="C31743" s="2">
        <v>3.2714902629577103E-2</v>
      </c>
      <c r="D31743" s="2">
        <v>1.0035318718921001E-2</v>
      </c>
      <c r="E31743" s="2">
        <v>8.1502970023483896E-3</v>
      </c>
      <c r="F31743" s="2">
        <v>3.0297372420152999E-2</v>
      </c>
    </row>
    <row r="31744" spans="1:6" x14ac:dyDescent="0.25">
      <c r="A31744" s="1" t="str">
        <f t="shared" si="1133"/>
        <v>41700</v>
      </c>
      <c r="B31744" s="1" t="str">
        <f>"78155"</f>
        <v>78155</v>
      </c>
      <c r="C31744" s="2">
        <v>1.9036169265598799E-2</v>
      </c>
      <c r="D31744" s="2">
        <v>1.7979529150449699E-2</v>
      </c>
      <c r="E31744" s="2">
        <v>1.39522033430031E-2</v>
      </c>
      <c r="F31744" s="2">
        <v>1.8830934784585199E-2</v>
      </c>
    </row>
    <row r="31745" spans="1:6" x14ac:dyDescent="0.25">
      <c r="A31745" s="1" t="str">
        <f t="shared" si="1133"/>
        <v>41700</v>
      </c>
      <c r="B31745" s="1" t="str">
        <f>"78163"</f>
        <v>78163</v>
      </c>
      <c r="C31745" s="2">
        <v>5.4471949394035799E-3</v>
      </c>
      <c r="D31745" s="2">
        <v>3.9420893073328798E-3</v>
      </c>
      <c r="E31745" s="2">
        <v>4.7313164801768203E-3</v>
      </c>
      <c r="F31745" s="2">
        <v>5.3082503149718702E-3</v>
      </c>
    </row>
    <row r="31746" spans="1:6" x14ac:dyDescent="0.25">
      <c r="A31746" s="1" t="str">
        <f t="shared" si="1133"/>
        <v>41700</v>
      </c>
      <c r="B31746" s="1" t="str">
        <f>"78861"</f>
        <v>78861</v>
      </c>
      <c r="C31746" s="2">
        <v>5.2468237540493502E-3</v>
      </c>
      <c r="D31746" s="2">
        <v>4.7725294406035096E-3</v>
      </c>
      <c r="E31746" s="2">
        <v>3.03909379748584E-3</v>
      </c>
      <c r="F31746" s="2">
        <v>5.1564468574248901E-3</v>
      </c>
    </row>
    <row r="31747" spans="1:6" x14ac:dyDescent="0.25">
      <c r="A31747" s="1" t="str">
        <f t="shared" ref="A31747:A31778" si="1134">"41700"</f>
        <v>41700</v>
      </c>
      <c r="B31747" s="1" t="str">
        <f>"78884"</f>
        <v>78884</v>
      </c>
      <c r="C31747" s="2">
        <v>1.09705490623807E-4</v>
      </c>
      <c r="D31747" s="2">
        <v>0</v>
      </c>
      <c r="E31747" s="2">
        <v>6.9070313579223597E-5</v>
      </c>
      <c r="F31747" s="2">
        <v>9.9849333038926595E-5</v>
      </c>
    </row>
    <row r="31748" spans="1:6" x14ac:dyDescent="0.25">
      <c r="A31748" s="1" t="str">
        <f t="shared" si="1134"/>
        <v>41700</v>
      </c>
      <c r="B31748" s="1" t="str">
        <f>"78606"</f>
        <v>78606</v>
      </c>
      <c r="C31748" s="2">
        <v>1.20585373991457E-4</v>
      </c>
      <c r="D31748" s="2">
        <v>4.0021211241958199E-5</v>
      </c>
      <c r="E31748" s="2">
        <v>6.9070313579223597E-5</v>
      </c>
      <c r="F31748" s="2">
        <v>1.12837864165941E-4</v>
      </c>
    </row>
    <row r="31749" spans="1:6" x14ac:dyDescent="0.25">
      <c r="A31749" s="1" t="str">
        <f t="shared" si="1134"/>
        <v>41700</v>
      </c>
      <c r="B31749" s="1" t="str">
        <f>"78115"</f>
        <v>78115</v>
      </c>
      <c r="C31749" s="2">
        <v>1.5231836714710401E-4</v>
      </c>
      <c r="D31749" s="2">
        <v>1.6008484496783201E-4</v>
      </c>
      <c r="E31749" s="2">
        <v>3.4535156789611798E-5</v>
      </c>
      <c r="F31749" s="2">
        <v>1.5017989115610899E-4</v>
      </c>
    </row>
    <row r="31750" spans="1:6" x14ac:dyDescent="0.25">
      <c r="A31750" s="1" t="str">
        <f t="shared" si="1134"/>
        <v>41700</v>
      </c>
      <c r="B31750" s="1" t="str">
        <f>"78118"</f>
        <v>78118</v>
      </c>
      <c r="C31750" s="2">
        <v>1.9039795893388001E-5</v>
      </c>
      <c r="D31750" s="2">
        <v>3.0015908431468599E-5</v>
      </c>
      <c r="E31750" s="2">
        <v>0</v>
      </c>
      <c r="F31750" s="2">
        <v>1.9482796690522199E-5</v>
      </c>
    </row>
    <row r="31751" spans="1:6" x14ac:dyDescent="0.25">
      <c r="A31751" s="1" t="str">
        <f t="shared" si="1134"/>
        <v>41700</v>
      </c>
      <c r="B31751" s="1" t="str">
        <f>"78057"</f>
        <v>78057</v>
      </c>
      <c r="C31751" s="2">
        <v>6.0746015469380799E-5</v>
      </c>
      <c r="D31751" s="2">
        <v>0</v>
      </c>
      <c r="E31751" s="2">
        <v>3.4535156789611798E-5</v>
      </c>
      <c r="F31751" s="2">
        <v>5.5201257289812999E-5</v>
      </c>
    </row>
    <row r="31752" spans="1:6" x14ac:dyDescent="0.25">
      <c r="A31752" s="1" t="str">
        <f t="shared" si="1134"/>
        <v>41700</v>
      </c>
      <c r="B31752" s="1" t="str">
        <f>"78011"</f>
        <v>78011</v>
      </c>
      <c r="C31752" s="2">
        <v>2.31197521562568E-4</v>
      </c>
      <c r="D31752" s="2">
        <v>5.0026514052447702E-5</v>
      </c>
      <c r="E31752" s="2">
        <v>6.9070313579223597E-5</v>
      </c>
      <c r="F31752" s="2">
        <v>2.12687197204868E-4</v>
      </c>
    </row>
    <row r="31753" spans="1:6" x14ac:dyDescent="0.25">
      <c r="A31753" s="1" t="str">
        <f t="shared" si="1134"/>
        <v>41700</v>
      </c>
      <c r="B31753" s="1" t="str">
        <f>"78294"</f>
        <v>78294</v>
      </c>
      <c r="C31753" s="2">
        <v>1.4778508241058299E-4</v>
      </c>
      <c r="D31753" s="2">
        <v>5.20275746145457E-4</v>
      </c>
      <c r="E31753" s="2">
        <v>6.9070313579223597E-5</v>
      </c>
      <c r="F31753" s="2">
        <v>1.7615695341013799E-4</v>
      </c>
    </row>
    <row r="31754" spans="1:6" x14ac:dyDescent="0.25">
      <c r="A31754" s="1" t="str">
        <f t="shared" si="1134"/>
        <v>41700</v>
      </c>
      <c r="B31754" s="1" t="str">
        <f>"78297"</f>
        <v>78297</v>
      </c>
      <c r="C31754" s="2">
        <v>1.3237191430641099E-4</v>
      </c>
      <c r="D31754" s="2">
        <v>6.5034468268182098E-4</v>
      </c>
      <c r="E31754" s="2">
        <v>6.9070313579223597E-5</v>
      </c>
      <c r="F31754" s="2">
        <v>1.72909820628385E-4</v>
      </c>
    </row>
    <row r="31755" spans="1:6" x14ac:dyDescent="0.25">
      <c r="A31755" s="1" t="str">
        <f t="shared" si="1134"/>
        <v>41700</v>
      </c>
      <c r="B31755" s="1" t="str">
        <f>"78241"</f>
        <v>78241</v>
      </c>
      <c r="C31755" s="2">
        <v>0</v>
      </c>
      <c r="D31755" s="2">
        <v>0</v>
      </c>
      <c r="E31755" s="2">
        <v>3.4535156789611798E-5</v>
      </c>
      <c r="F31755" s="2">
        <v>8.1178319543842704E-7</v>
      </c>
    </row>
    <row r="31756" spans="1:6" x14ac:dyDescent="0.25">
      <c r="A31756" s="1" t="str">
        <f t="shared" si="1134"/>
        <v>41700</v>
      </c>
      <c r="B31756" s="1" t="str">
        <f>"78152"</f>
        <v>78152</v>
      </c>
      <c r="C31756" s="2">
        <v>1.2430266747540399E-3</v>
      </c>
      <c r="D31756" s="2">
        <v>2.00106056209791E-4</v>
      </c>
      <c r="E31756" s="2">
        <v>2.8318828567481598E-3</v>
      </c>
      <c r="F31756" s="2">
        <v>1.1957566468808001E-3</v>
      </c>
    </row>
    <row r="31757" spans="1:6" x14ac:dyDescent="0.25">
      <c r="A31757" s="1" t="str">
        <f t="shared" si="1134"/>
        <v>41700</v>
      </c>
      <c r="B31757" s="1" t="str">
        <f>"78886"</f>
        <v>78886</v>
      </c>
      <c r="C31757" s="2">
        <v>1.72264819987796E-4</v>
      </c>
      <c r="D31757" s="2">
        <v>7.0037119673426896E-5</v>
      </c>
      <c r="E31757" s="2">
        <v>3.4535156789611798E-5</v>
      </c>
      <c r="F31757" s="2">
        <v>1.60733072696808E-4</v>
      </c>
    </row>
    <row r="31758" spans="1:6" x14ac:dyDescent="0.25">
      <c r="A31758" s="1" t="str">
        <f t="shared" si="1134"/>
        <v>41700</v>
      </c>
      <c r="B31758" s="1" t="str">
        <f>"78039"</f>
        <v>78039</v>
      </c>
      <c r="C31758" s="2">
        <v>2.7653036892777801E-4</v>
      </c>
      <c r="D31758" s="2">
        <v>9.0047725294405996E-5</v>
      </c>
      <c r="E31758" s="2">
        <v>1.38140627158447E-4</v>
      </c>
      <c r="F31758" s="2">
        <v>2.5814705614941999E-4</v>
      </c>
    </row>
    <row r="31759" spans="1:6" x14ac:dyDescent="0.25">
      <c r="A31759" s="1" t="str">
        <f t="shared" si="1134"/>
        <v>41700</v>
      </c>
      <c r="B31759" s="1" t="str">
        <f>"78291"</f>
        <v>78291</v>
      </c>
      <c r="C31759" s="2">
        <v>1.3962516988484501E-4</v>
      </c>
      <c r="D31759" s="2">
        <v>4.4023332366154E-4</v>
      </c>
      <c r="E31759" s="2">
        <v>6.9070313579223597E-5</v>
      </c>
      <c r="F31759" s="2">
        <v>1.6235663908768501E-4</v>
      </c>
    </row>
    <row r="31760" spans="1:6" x14ac:dyDescent="0.25">
      <c r="A31760" s="1" t="str">
        <f t="shared" si="1134"/>
        <v>41700</v>
      </c>
      <c r="B31760" s="1" t="str">
        <f>"78135"</f>
        <v>78135</v>
      </c>
      <c r="C31760" s="2">
        <v>0</v>
      </c>
      <c r="D31760" s="2">
        <v>2.00106056209791E-5</v>
      </c>
      <c r="E31760" s="2">
        <v>0</v>
      </c>
      <c r="F31760" s="2">
        <v>1.62356639087685E-6</v>
      </c>
    </row>
    <row r="31761" spans="1:6" x14ac:dyDescent="0.25">
      <c r="A31761" s="1" t="str">
        <f t="shared" si="1134"/>
        <v>41700</v>
      </c>
      <c r="B31761" s="1" t="str">
        <f>"78285"</f>
        <v>78285</v>
      </c>
      <c r="C31761" s="2">
        <v>0</v>
      </c>
      <c r="D31761" s="2">
        <v>0</v>
      </c>
      <c r="E31761" s="2">
        <v>6.9070313579223597E-5</v>
      </c>
      <c r="F31761" s="2">
        <v>1.62356639087685E-6</v>
      </c>
    </row>
    <row r="31762" spans="1:6" x14ac:dyDescent="0.25">
      <c r="A31762" s="1" t="str">
        <f t="shared" si="1134"/>
        <v>41700</v>
      </c>
      <c r="B31762" s="1" t="str">
        <f>"78296"</f>
        <v>78296</v>
      </c>
      <c r="C31762" s="2">
        <v>1.3599854209562801E-4</v>
      </c>
      <c r="D31762" s="2">
        <v>4.6024392928251898E-4</v>
      </c>
      <c r="E31762" s="2">
        <v>6.9070313579223597E-5</v>
      </c>
      <c r="F31762" s="2">
        <v>1.60733072696808E-4</v>
      </c>
    </row>
    <row r="31763" spans="1:6" x14ac:dyDescent="0.25">
      <c r="A31763" s="1" t="str">
        <f t="shared" si="1134"/>
        <v>41700</v>
      </c>
      <c r="B31763" s="1" t="str">
        <f>"78056"</f>
        <v>78056</v>
      </c>
      <c r="C31763" s="2">
        <v>9.8916272950887196E-4</v>
      </c>
      <c r="D31763" s="2">
        <v>1.10058330915385E-4</v>
      </c>
      <c r="E31763" s="2">
        <v>1.03605470368835E-4</v>
      </c>
      <c r="F31763" s="2">
        <v>8.9702043095946202E-4</v>
      </c>
    </row>
    <row r="31764" spans="1:6" x14ac:dyDescent="0.25">
      <c r="A31764" s="1" t="str">
        <f t="shared" si="1134"/>
        <v>41700</v>
      </c>
      <c r="B31764" s="1" t="str">
        <f>"78009"</f>
        <v>78009</v>
      </c>
      <c r="C31764" s="2">
        <v>2.95207502042244E-3</v>
      </c>
      <c r="D31764" s="2">
        <v>3.03160675157833E-3</v>
      </c>
      <c r="E31764" s="2">
        <v>5.1802735184417704E-3</v>
      </c>
      <c r="F31764" s="2">
        <v>3.0109038718811199E-3</v>
      </c>
    </row>
    <row r="31765" spans="1:6" x14ac:dyDescent="0.25">
      <c r="A31765" s="1" t="str">
        <f t="shared" si="1134"/>
        <v>41700</v>
      </c>
      <c r="B31765" s="1" t="str">
        <f>"78065"</f>
        <v>78065</v>
      </c>
      <c r="C31765" s="2">
        <v>3.4162833774421899E-3</v>
      </c>
      <c r="D31765" s="2">
        <v>9.2048785856503905E-4</v>
      </c>
      <c r="E31765" s="2">
        <v>1.58861721232214E-3</v>
      </c>
      <c r="F31765" s="2">
        <v>3.1708251613824902E-3</v>
      </c>
    </row>
    <row r="31766" spans="1:6" x14ac:dyDescent="0.25">
      <c r="A31766" s="1" t="str">
        <f t="shared" si="1134"/>
        <v>41700</v>
      </c>
      <c r="B31766" s="1" t="str">
        <f>"78232"</f>
        <v>78232</v>
      </c>
      <c r="C31766" s="2">
        <v>1.5476634090482499E-2</v>
      </c>
      <c r="D31766" s="2">
        <v>2.0380801824967199E-2</v>
      </c>
      <c r="E31766" s="2">
        <v>1.07058986047796E-2</v>
      </c>
      <c r="F31766" s="2">
        <v>1.57623943058279E-2</v>
      </c>
    </row>
    <row r="31767" spans="1:6" x14ac:dyDescent="0.25">
      <c r="A31767" s="1" t="str">
        <f t="shared" si="1134"/>
        <v>41700</v>
      </c>
      <c r="B31767" s="1" t="str">
        <f>"78239"</f>
        <v>78239</v>
      </c>
      <c r="C31767" s="2">
        <v>1.08980165065963E-2</v>
      </c>
      <c r="D31767" s="2">
        <v>3.09163856844127E-3</v>
      </c>
      <c r="E31767" s="2">
        <v>4.4550352258599197E-3</v>
      </c>
      <c r="F31767" s="2">
        <v>1.01131950487719E-2</v>
      </c>
    </row>
    <row r="31768" spans="1:6" x14ac:dyDescent="0.25">
      <c r="A31768" s="1" t="str">
        <f t="shared" si="1134"/>
        <v>41700</v>
      </c>
      <c r="B31768" s="1" t="str">
        <f>"78254"</f>
        <v>78254</v>
      </c>
      <c r="C31768" s="2">
        <v>2.33119634290853E-2</v>
      </c>
      <c r="D31768" s="2">
        <v>4.1321900607321797E-3</v>
      </c>
      <c r="E31768" s="2">
        <v>3.9370078740157402E-3</v>
      </c>
      <c r="F31768" s="2">
        <v>2.1300379265108901E-2</v>
      </c>
    </row>
    <row r="31769" spans="1:6" x14ac:dyDescent="0.25">
      <c r="A31769" s="1" t="str">
        <f t="shared" si="1134"/>
        <v>41700</v>
      </c>
      <c r="B31769" s="1" t="str">
        <f>"78255"</f>
        <v>78255</v>
      </c>
      <c r="C31769" s="2">
        <v>6.5224900789063499E-3</v>
      </c>
      <c r="D31769" s="2">
        <v>1.1506098232062899E-3</v>
      </c>
      <c r="E31769" s="2">
        <v>2.2102500345351499E-3</v>
      </c>
      <c r="F31769" s="2">
        <v>5.9852774999675203E-3</v>
      </c>
    </row>
    <row r="31770" spans="1:6" x14ac:dyDescent="0.25">
      <c r="A31770" s="1" t="str">
        <f t="shared" si="1134"/>
        <v>41700</v>
      </c>
      <c r="B31770" s="1" t="str">
        <f>"78246"</f>
        <v>78246</v>
      </c>
      <c r="C31770" s="2">
        <v>3.7172934839471797E-4</v>
      </c>
      <c r="D31770" s="2">
        <v>3.4718400752398698E-3</v>
      </c>
      <c r="E31770" s="2">
        <v>3.4535156789611798E-5</v>
      </c>
      <c r="F31770" s="2">
        <v>6.1533166214232805E-4</v>
      </c>
    </row>
    <row r="31771" spans="1:6" x14ac:dyDescent="0.25">
      <c r="A31771" s="1" t="str">
        <f t="shared" si="1134"/>
        <v>41700</v>
      </c>
      <c r="B31771" s="1" t="str">
        <f>"78257"</f>
        <v>78257</v>
      </c>
      <c r="C31771" s="2">
        <v>6.66574187658041E-3</v>
      </c>
      <c r="D31771" s="2">
        <v>8.2643801214643698E-3</v>
      </c>
      <c r="E31771" s="2">
        <v>6.3199336924989599E-3</v>
      </c>
      <c r="F31771" s="2">
        <v>6.7873192970606903E-3</v>
      </c>
    </row>
    <row r="31772" spans="1:6" x14ac:dyDescent="0.25">
      <c r="A31772" s="1" t="str">
        <f t="shared" si="1134"/>
        <v>41700</v>
      </c>
      <c r="B31772" s="1" t="str">
        <f>"78261"</f>
        <v>78261</v>
      </c>
      <c r="C31772" s="2">
        <v>9.1944081026118004E-3</v>
      </c>
      <c r="D31772" s="2">
        <v>6.1032347143986302E-4</v>
      </c>
      <c r="E31772" s="2">
        <v>7.9430860616107096E-4</v>
      </c>
      <c r="F31772" s="2">
        <v>8.3004831733579192E-3</v>
      </c>
    </row>
    <row r="31773" spans="1:6" x14ac:dyDescent="0.25">
      <c r="A31773" s="1" t="str">
        <f t="shared" si="1134"/>
        <v>41700</v>
      </c>
      <c r="B31773" s="1" t="str">
        <f>"78243"</f>
        <v>78243</v>
      </c>
      <c r="C31773" s="2">
        <v>0</v>
      </c>
      <c r="D31773" s="2">
        <v>6.9036589392377904E-4</v>
      </c>
      <c r="E31773" s="2">
        <v>4.1442188147534101E-4</v>
      </c>
      <c r="F31773" s="2">
        <v>6.5754438830512599E-5</v>
      </c>
    </row>
    <row r="31774" spans="1:6" x14ac:dyDescent="0.25">
      <c r="A31774" s="1" t="str">
        <f t="shared" si="1134"/>
        <v>41700</v>
      </c>
      <c r="B31774" s="1" t="str">
        <f>"78269"</f>
        <v>78269</v>
      </c>
      <c r="C31774" s="2">
        <v>9.8281613087774296E-4</v>
      </c>
      <c r="D31774" s="2">
        <v>6.5634786436811502E-3</v>
      </c>
      <c r="E31774" s="2">
        <v>3.4535156789611798E-5</v>
      </c>
      <c r="F31774" s="2">
        <v>1.4133145432583E-3</v>
      </c>
    </row>
    <row r="31775" spans="1:6" x14ac:dyDescent="0.25">
      <c r="A31775" s="1" t="str">
        <f t="shared" si="1134"/>
        <v>41700</v>
      </c>
      <c r="B31775" s="1" t="str">
        <f>"78638"</f>
        <v>78638</v>
      </c>
      <c r="C31775" s="2">
        <v>1.07348182560816E-3</v>
      </c>
      <c r="D31775" s="2">
        <v>4.3022802085105098E-4</v>
      </c>
      <c r="E31775" s="2">
        <v>3.4535156789611802E-4</v>
      </c>
      <c r="F31775" s="2">
        <v>1.0041758127573299E-3</v>
      </c>
    </row>
    <row r="31776" spans="1:6" x14ac:dyDescent="0.25">
      <c r="A31776" s="1" t="str">
        <f t="shared" si="1134"/>
        <v>41700</v>
      </c>
      <c r="B31776" s="1" t="str">
        <f>"78052"</f>
        <v>78052</v>
      </c>
      <c r="C31776" s="2">
        <v>1.7108616595630001E-3</v>
      </c>
      <c r="D31776" s="2">
        <v>9.2048785856503905E-4</v>
      </c>
      <c r="E31776" s="2">
        <v>1.27780080121563E-3</v>
      </c>
      <c r="F31776" s="2">
        <v>1.6365549220038701E-3</v>
      </c>
    </row>
    <row r="31777" spans="1:6" x14ac:dyDescent="0.25">
      <c r="A31777" s="1" t="str">
        <f t="shared" si="1134"/>
        <v>41700</v>
      </c>
      <c r="B31777" s="1" t="str">
        <f>"78108"</f>
        <v>78108</v>
      </c>
      <c r="C31777" s="2">
        <v>1.45128577554981E-2</v>
      </c>
      <c r="D31777" s="2">
        <v>4.6524658068776399E-3</v>
      </c>
      <c r="E31777" s="2">
        <v>2.7282773863793299E-3</v>
      </c>
      <c r="F31777" s="2">
        <v>1.3435823667701401E-2</v>
      </c>
    </row>
    <row r="31778" spans="1:6" x14ac:dyDescent="0.25">
      <c r="A31778" s="1" t="str">
        <f t="shared" si="1134"/>
        <v>41700</v>
      </c>
      <c r="B31778" s="1" t="str">
        <f>"78112"</f>
        <v>78112</v>
      </c>
      <c r="C31778" s="2">
        <v>3.1125533000952799E-3</v>
      </c>
      <c r="D31778" s="2">
        <v>9.7051437261748701E-4</v>
      </c>
      <c r="E31778" s="2">
        <v>6.6652852603950796E-3</v>
      </c>
      <c r="F31778" s="2">
        <v>3.0222688366172601E-3</v>
      </c>
    </row>
    <row r="31779" spans="1:6" x14ac:dyDescent="0.25">
      <c r="A31779" s="1" t="str">
        <f t="shared" ref="A31779:A31810" si="1135">"41700"</f>
        <v>41700</v>
      </c>
      <c r="B31779" s="1" t="str">
        <f>"78008"</f>
        <v>78008</v>
      </c>
      <c r="C31779" s="2">
        <v>3.8986248734080203E-5</v>
      </c>
      <c r="D31779" s="2">
        <v>6.0031816862937299E-5</v>
      </c>
      <c r="E31779" s="2">
        <v>0</v>
      </c>
      <c r="F31779" s="2">
        <v>3.9777376576482903E-5</v>
      </c>
    </row>
    <row r="31780" spans="1:6" x14ac:dyDescent="0.25">
      <c r="A31780" s="1" t="str">
        <f t="shared" si="1135"/>
        <v>41700</v>
      </c>
      <c r="B31780" s="1" t="str">
        <f>"78230"</f>
        <v>78230</v>
      </c>
      <c r="C31780" s="2">
        <v>1.9445978205780302E-2</v>
      </c>
      <c r="D31780" s="2">
        <v>2.0971114690786101E-2</v>
      </c>
      <c r="E31780" s="2">
        <v>1.2639867384997901E-2</v>
      </c>
      <c r="F31780" s="2">
        <v>1.9409736202932799E-2</v>
      </c>
    </row>
    <row r="31781" spans="1:6" x14ac:dyDescent="0.25">
      <c r="A31781" s="1" t="str">
        <f t="shared" si="1135"/>
        <v>41700</v>
      </c>
      <c r="B31781" s="1" t="str">
        <f>"78012"</f>
        <v>78012</v>
      </c>
      <c r="C31781" s="2">
        <v>1.9039795893388001E-5</v>
      </c>
      <c r="D31781" s="2">
        <v>3.0015908431468599E-5</v>
      </c>
      <c r="E31781" s="2">
        <v>0</v>
      </c>
      <c r="F31781" s="2">
        <v>1.9482796690522199E-5</v>
      </c>
    </row>
    <row r="31782" spans="1:6" x14ac:dyDescent="0.25">
      <c r="A31782" s="1" t="str">
        <f t="shared" si="1135"/>
        <v>41700</v>
      </c>
      <c r="B31782" s="1" t="str">
        <f>"78676"</f>
        <v>78676</v>
      </c>
      <c r="C31782" s="2">
        <v>2.5386394524517301E-5</v>
      </c>
      <c r="D31782" s="2">
        <v>0</v>
      </c>
      <c r="E31782" s="2">
        <v>0</v>
      </c>
      <c r="F31782" s="2">
        <v>2.2729929472275902E-5</v>
      </c>
    </row>
    <row r="31783" spans="1:6" x14ac:dyDescent="0.25">
      <c r="A31783" s="1" t="str">
        <f t="shared" si="1135"/>
        <v>41700</v>
      </c>
      <c r="B31783" s="1" t="str">
        <f>"78074"</f>
        <v>78074</v>
      </c>
      <c r="C31783" s="2">
        <v>2.7199708419125698E-6</v>
      </c>
      <c r="D31783" s="2">
        <v>1.0005302810489501E-5</v>
      </c>
      <c r="E31783" s="2">
        <v>0</v>
      </c>
      <c r="F31783" s="2">
        <v>3.2471327817537098E-6</v>
      </c>
    </row>
    <row r="31784" spans="1:6" x14ac:dyDescent="0.25">
      <c r="A31784" s="1" t="str">
        <f t="shared" si="1135"/>
        <v>41700</v>
      </c>
      <c r="B31784" s="1" t="str">
        <f>"78054"</f>
        <v>78054</v>
      </c>
      <c r="C31784" s="2">
        <v>9.0665694730419096E-7</v>
      </c>
      <c r="D31784" s="2">
        <v>1.0005302810489501E-5</v>
      </c>
      <c r="E31784" s="2">
        <v>0</v>
      </c>
      <c r="F31784" s="2">
        <v>1.62356639087685E-6</v>
      </c>
    </row>
    <row r="31785" spans="1:6" x14ac:dyDescent="0.25">
      <c r="A31785" s="1" t="str">
        <f t="shared" si="1135"/>
        <v>41700</v>
      </c>
      <c r="B31785" s="1" t="str">
        <f>"78027"</f>
        <v>78027</v>
      </c>
      <c r="C31785" s="2">
        <v>1.6229159356745E-4</v>
      </c>
      <c r="D31785" s="2">
        <v>3.0015908431468599E-5</v>
      </c>
      <c r="E31785" s="2">
        <v>1.03605470368835E-4</v>
      </c>
      <c r="F31785" s="2">
        <v>1.5017989115610899E-4</v>
      </c>
    </row>
    <row r="31786" spans="1:6" x14ac:dyDescent="0.25">
      <c r="A31786" s="1" t="str">
        <f t="shared" si="1135"/>
        <v>41700</v>
      </c>
      <c r="B31786" s="1" t="str">
        <f>"78066"</f>
        <v>78066</v>
      </c>
      <c r="C31786" s="2">
        <v>2.5567725913978201E-4</v>
      </c>
      <c r="D31786" s="2">
        <v>1.0005302810489501E-5</v>
      </c>
      <c r="E31786" s="2">
        <v>1.38140627158447E-4</v>
      </c>
      <c r="F31786" s="2">
        <v>2.3298177709082799E-4</v>
      </c>
    </row>
    <row r="31787" spans="1:6" x14ac:dyDescent="0.25">
      <c r="A31787" s="1" t="str">
        <f t="shared" si="1135"/>
        <v>41700</v>
      </c>
      <c r="B31787" s="1" t="str">
        <f>"78004"</f>
        <v>78004</v>
      </c>
      <c r="C31787" s="2">
        <v>2.3301083545717701E-4</v>
      </c>
      <c r="D31787" s="2">
        <v>1.0005302810489501E-5</v>
      </c>
      <c r="E31787" s="2">
        <v>0</v>
      </c>
      <c r="F31787" s="2">
        <v>2.0944006442311401E-4</v>
      </c>
    </row>
    <row r="31788" spans="1:6" x14ac:dyDescent="0.25">
      <c r="A31788" s="1" t="str">
        <f t="shared" si="1135"/>
        <v>41700</v>
      </c>
      <c r="B31788" s="1" t="str">
        <f>"78005"</f>
        <v>78005</v>
      </c>
      <c r="C31788" s="2">
        <v>8.3412439151985603E-5</v>
      </c>
      <c r="D31788" s="2">
        <v>0</v>
      </c>
      <c r="E31788" s="2">
        <v>0</v>
      </c>
      <c r="F31788" s="2">
        <v>7.4684053980335303E-5</v>
      </c>
    </row>
    <row r="31789" spans="1:6" x14ac:dyDescent="0.25">
      <c r="A31789" s="1" t="str">
        <f t="shared" si="1135"/>
        <v>41700</v>
      </c>
      <c r="B31789" s="1" t="str">
        <f>"78268"</f>
        <v>78268</v>
      </c>
      <c r="C31789" s="2">
        <v>1.13876112581406E-3</v>
      </c>
      <c r="D31789" s="2">
        <v>2.8415059981790301E-3</v>
      </c>
      <c r="E31789" s="2">
        <v>3.4535156789611798E-5</v>
      </c>
      <c r="F31789" s="2">
        <v>1.2509579041706099E-3</v>
      </c>
    </row>
    <row r="31790" spans="1:6" x14ac:dyDescent="0.25">
      <c r="A31790" s="1" t="str">
        <f t="shared" si="1135"/>
        <v>41700</v>
      </c>
      <c r="B31790" s="1" t="str">
        <f>"78278"</f>
        <v>78278</v>
      </c>
      <c r="C31790" s="2">
        <v>1.0426554893998199E-3</v>
      </c>
      <c r="D31790" s="2">
        <v>6.1332506228300903E-3</v>
      </c>
      <c r="E31790" s="2">
        <v>3.4535156789611798E-5</v>
      </c>
      <c r="F31790" s="2">
        <v>1.4319855567533799E-3</v>
      </c>
    </row>
    <row r="31791" spans="1:6" x14ac:dyDescent="0.25">
      <c r="A31791" s="1" t="str">
        <f t="shared" si="1135"/>
        <v>41700</v>
      </c>
      <c r="B31791" s="1" t="str">
        <f>"78624"</f>
        <v>78624</v>
      </c>
      <c r="C31791" s="2">
        <v>2.3210417850987299E-4</v>
      </c>
      <c r="D31791" s="2">
        <v>6.0031816862937299E-5</v>
      </c>
      <c r="E31791" s="2">
        <v>1.7267578394805901E-4</v>
      </c>
      <c r="F31791" s="2">
        <v>2.1674611318206E-4</v>
      </c>
    </row>
    <row r="31792" spans="1:6" x14ac:dyDescent="0.25">
      <c r="A31792" s="1" t="str">
        <f t="shared" si="1135"/>
        <v>41700</v>
      </c>
      <c r="B31792" s="1" t="str">
        <f>"78161"</f>
        <v>78161</v>
      </c>
      <c r="C31792" s="2">
        <v>1.6682487830397099E-4</v>
      </c>
      <c r="D31792" s="2">
        <v>2.00106056209791E-5</v>
      </c>
      <c r="E31792" s="2">
        <v>2.41746097527282E-4</v>
      </c>
      <c r="F31792" s="2">
        <v>1.56674156719616E-4</v>
      </c>
    </row>
    <row r="31793" spans="1:6" x14ac:dyDescent="0.25">
      <c r="A31793" s="1" t="str">
        <f t="shared" si="1135"/>
        <v>41700</v>
      </c>
      <c r="B31793" s="1" t="str">
        <f>"78279"</f>
        <v>78279</v>
      </c>
      <c r="C31793" s="2">
        <v>3.3546307050255002E-4</v>
      </c>
      <c r="D31793" s="2">
        <v>3.0816332656307798E-3</v>
      </c>
      <c r="E31793" s="2">
        <v>3.4535156789611798E-5</v>
      </c>
      <c r="F31793" s="2">
        <v>5.5120078970269197E-4</v>
      </c>
    </row>
    <row r="31794" spans="1:6" x14ac:dyDescent="0.25">
      <c r="A31794" s="1" t="str">
        <f t="shared" si="1135"/>
        <v>41700</v>
      </c>
      <c r="B31794" s="1" t="str">
        <f>"78109"</f>
        <v>78109</v>
      </c>
      <c r="C31794" s="2">
        <v>1.8184818392080099E-2</v>
      </c>
      <c r="D31794" s="2">
        <v>8.8546929872832594E-3</v>
      </c>
      <c r="E31794" s="2">
        <v>7.3905235529769303E-3</v>
      </c>
      <c r="F31794" s="2">
        <v>1.71740852826953E-2</v>
      </c>
    </row>
    <row r="31795" spans="1:6" x14ac:dyDescent="0.25">
      <c r="A31795" s="1" t="str">
        <f t="shared" si="1135"/>
        <v>41700</v>
      </c>
      <c r="B31795" s="1" t="str">
        <f>"78015"</f>
        <v>78015</v>
      </c>
      <c r="C31795" s="2">
        <v>7.0211513999236504E-3</v>
      </c>
      <c r="D31795" s="2">
        <v>9.9052497823846593E-4</v>
      </c>
      <c r="E31795" s="2">
        <v>1.03605470368835E-3</v>
      </c>
      <c r="F31795" s="2">
        <v>6.3911690976867401E-3</v>
      </c>
    </row>
    <row r="31796" spans="1:6" x14ac:dyDescent="0.25">
      <c r="A31796" s="1" t="str">
        <f t="shared" si="1135"/>
        <v>41700</v>
      </c>
      <c r="B31796" s="1" t="str">
        <f>"78121"</f>
        <v>78121</v>
      </c>
      <c r="C31796" s="2">
        <v>5.23775718457631E-3</v>
      </c>
      <c r="D31796" s="2">
        <v>2.0610923789608402E-3</v>
      </c>
      <c r="E31796" s="2">
        <v>4.0406133443845801E-3</v>
      </c>
      <c r="F31796" s="2">
        <v>4.9518774921743997E-3</v>
      </c>
    </row>
    <row r="31797" spans="1:6" x14ac:dyDescent="0.25">
      <c r="A31797" s="1" t="str">
        <f t="shared" si="1135"/>
        <v>41700</v>
      </c>
      <c r="B31797" s="1" t="str">
        <f>"78123"</f>
        <v>78123</v>
      </c>
      <c r="C31797" s="2">
        <v>1.13332118413023E-3</v>
      </c>
      <c r="D31797" s="2">
        <v>4.3022802085105098E-4</v>
      </c>
      <c r="E31797" s="2">
        <v>5.8709766542340103E-4</v>
      </c>
      <c r="F31797" s="2">
        <v>1.06343598602434E-3</v>
      </c>
    </row>
    <row r="31798" spans="1:6" x14ac:dyDescent="0.25">
      <c r="A31798" s="1" t="str">
        <f t="shared" si="1135"/>
        <v>41700</v>
      </c>
      <c r="B31798" s="1" t="str">
        <f>"78002"</f>
        <v>78002</v>
      </c>
      <c r="C31798" s="2">
        <v>2.3210417850987302E-3</v>
      </c>
      <c r="D31798" s="2">
        <v>5.7030226019790398E-4</v>
      </c>
      <c r="E31798" s="2">
        <v>1.3917668186213501E-2</v>
      </c>
      <c r="F31798" s="2">
        <v>2.4515852502240499E-3</v>
      </c>
    </row>
    <row r="31799" spans="1:6" x14ac:dyDescent="0.25">
      <c r="A31799" s="1" t="str">
        <f t="shared" si="1135"/>
        <v>41700</v>
      </c>
      <c r="B31799" s="1" t="str">
        <f>"78247"</f>
        <v>78247</v>
      </c>
      <c r="C31799" s="2">
        <v>1.8112285836295799E-2</v>
      </c>
      <c r="D31799" s="2">
        <v>1.2006363372587399E-2</v>
      </c>
      <c r="E31799" s="2">
        <v>5.8709766542340098E-3</v>
      </c>
      <c r="F31799" s="2">
        <v>1.73291358730241E-2</v>
      </c>
    </row>
    <row r="31800" spans="1:6" x14ac:dyDescent="0.25">
      <c r="A31800" s="1" t="str">
        <f t="shared" si="1135"/>
        <v>41700</v>
      </c>
      <c r="B31800" s="1" t="str">
        <f>"78251"</f>
        <v>78251</v>
      </c>
      <c r="C31800" s="2">
        <v>2.1497742877529601E-2</v>
      </c>
      <c r="D31800" s="2">
        <v>1.38973656037699E-2</v>
      </c>
      <c r="E31800" s="2">
        <v>1.0222406409725099E-2</v>
      </c>
      <c r="F31800" s="2">
        <v>2.06160460313543E-2</v>
      </c>
    </row>
    <row r="31801" spans="1:6" x14ac:dyDescent="0.25">
      <c r="A31801" s="1" t="str">
        <f t="shared" si="1135"/>
        <v>41700</v>
      </c>
      <c r="B31801" s="1" t="str">
        <f>"78244"</f>
        <v>78244</v>
      </c>
      <c r="C31801" s="2">
        <v>1.1406651054034E-2</v>
      </c>
      <c r="D31801" s="2">
        <v>2.7814741813160901E-3</v>
      </c>
      <c r="E31801" s="2">
        <v>5.21480867523138E-3</v>
      </c>
      <c r="F31801" s="2">
        <v>1.05612993726539E-2</v>
      </c>
    </row>
    <row r="31802" spans="1:6" x14ac:dyDescent="0.25">
      <c r="A31802" s="1" t="str">
        <f t="shared" si="1135"/>
        <v>41700</v>
      </c>
      <c r="B31802" s="1" t="str">
        <f>"78258"</f>
        <v>78258</v>
      </c>
      <c r="C31802" s="2">
        <v>1.85456678571072E-2</v>
      </c>
      <c r="D31802" s="2">
        <v>1.97504677479063E-2</v>
      </c>
      <c r="E31802" s="2">
        <v>1.49191877331123E-2</v>
      </c>
      <c r="F31802" s="2">
        <v>1.85581756309178E-2</v>
      </c>
    </row>
    <row r="31803" spans="1:6" x14ac:dyDescent="0.25">
      <c r="A31803" s="1" t="str">
        <f t="shared" si="1135"/>
        <v>41700</v>
      </c>
      <c r="B31803" s="1" t="str">
        <f>"78259"</f>
        <v>78259</v>
      </c>
      <c r="C31803" s="2">
        <v>1.19986980406236E-2</v>
      </c>
      <c r="D31803" s="2">
        <v>1.0285451289183199E-2</v>
      </c>
      <c r="E31803" s="2">
        <v>3.66072661969885E-3</v>
      </c>
      <c r="F31803" s="2">
        <v>1.16637009520593E-2</v>
      </c>
    </row>
    <row r="31804" spans="1:6" x14ac:dyDescent="0.25">
      <c r="A31804" s="1" t="str">
        <f t="shared" si="1135"/>
        <v>41700</v>
      </c>
      <c r="B31804" s="1" t="str">
        <f>"78280"</f>
        <v>78280</v>
      </c>
      <c r="C31804" s="2">
        <v>4.12528911023407E-4</v>
      </c>
      <c r="D31804" s="2">
        <v>1.5208060271944099E-3</v>
      </c>
      <c r="E31804" s="2">
        <v>1.03605470368835E-4</v>
      </c>
      <c r="F31804" s="2">
        <v>4.9518774921743995E-4</v>
      </c>
    </row>
    <row r="31805" spans="1:6" x14ac:dyDescent="0.25">
      <c r="A31805" s="1" t="str">
        <f t="shared" si="1135"/>
        <v>41700</v>
      </c>
      <c r="B31805" s="1" t="str">
        <f>"78201"</f>
        <v>78201</v>
      </c>
      <c r="C31805" s="2">
        <v>1.7539278645599499E-2</v>
      </c>
      <c r="D31805" s="2">
        <v>2.12712737751008E-2</v>
      </c>
      <c r="E31805" s="2">
        <v>4.1407652990744503E-2</v>
      </c>
      <c r="F31805" s="2">
        <v>1.8403125040589101E-2</v>
      </c>
    </row>
    <row r="31806" spans="1:6" x14ac:dyDescent="0.25">
      <c r="A31806" s="1" t="str">
        <f t="shared" si="1135"/>
        <v>41700</v>
      </c>
      <c r="B31806" s="1" t="str">
        <f>"78207"</f>
        <v>78207</v>
      </c>
      <c r="C31806" s="2">
        <v>1.65501159160907E-2</v>
      </c>
      <c r="D31806" s="2">
        <v>2.0010605620979099E-2</v>
      </c>
      <c r="E31806" s="2">
        <v>2.73863793341621E-2</v>
      </c>
      <c r="F31806" s="2">
        <v>1.7085600914392499E-2</v>
      </c>
    </row>
    <row r="31807" spans="1:6" x14ac:dyDescent="0.25">
      <c r="A31807" s="1" t="str">
        <f t="shared" si="1135"/>
        <v>41700</v>
      </c>
      <c r="B31807" s="1" t="str">
        <f>"78208"</f>
        <v>78208</v>
      </c>
      <c r="C31807" s="2">
        <v>2.21405626531683E-3</v>
      </c>
      <c r="D31807" s="2">
        <v>2.3512461604650401E-3</v>
      </c>
      <c r="E31807" s="2">
        <v>5.1802735184417704E-3</v>
      </c>
      <c r="F31807" s="2">
        <v>2.2949110935044301E-3</v>
      </c>
    </row>
    <row r="31808" spans="1:6" x14ac:dyDescent="0.25">
      <c r="A31808" s="1" t="str">
        <f t="shared" si="1135"/>
        <v>41700</v>
      </c>
      <c r="B31808" s="1" t="str">
        <f>"78209"</f>
        <v>78209</v>
      </c>
      <c r="C31808" s="2">
        <v>2.09637219355675E-2</v>
      </c>
      <c r="D31808" s="2">
        <v>3.1886900057030203E-2</v>
      </c>
      <c r="E31808" s="2">
        <v>4.3099875673435498E-2</v>
      </c>
      <c r="F31808" s="2">
        <v>2.2370309516696701E-2</v>
      </c>
    </row>
    <row r="31809" spans="1:6" x14ac:dyDescent="0.25">
      <c r="A31809" s="1" t="str">
        <f t="shared" si="1135"/>
        <v>41700</v>
      </c>
      <c r="B31809" s="1" t="str">
        <f>"78156"</f>
        <v>78156</v>
      </c>
      <c r="C31809" s="2">
        <v>1.63923576072597E-3</v>
      </c>
      <c r="D31809" s="2">
        <v>3.5818984061552601E-3</v>
      </c>
      <c r="E31809" s="2">
        <v>3.4535156789611798E-5</v>
      </c>
      <c r="F31809" s="2">
        <v>1.75913418451507E-3</v>
      </c>
    </row>
    <row r="31810" spans="1:6" x14ac:dyDescent="0.25">
      <c r="A31810" s="1" t="str">
        <f t="shared" si="1135"/>
        <v>41700</v>
      </c>
      <c r="B31810" s="1" t="str">
        <f>"78140"</f>
        <v>78140</v>
      </c>
      <c r="C31810" s="2">
        <v>1.58664965778233E-4</v>
      </c>
      <c r="D31810" s="2">
        <v>1.0005302810489501E-5</v>
      </c>
      <c r="E31810" s="2">
        <v>2.0721094073766999E-4</v>
      </c>
      <c r="F31810" s="2">
        <v>1.47744541569793E-4</v>
      </c>
    </row>
    <row r="31811" spans="1:6" x14ac:dyDescent="0.25">
      <c r="A31811" s="1" t="str">
        <f t="shared" ref="A31811:A31841" si="1136">"41700"</f>
        <v>41700</v>
      </c>
      <c r="B31811" s="1" t="str">
        <f>"78293"</f>
        <v>78293</v>
      </c>
      <c r="C31811" s="2">
        <v>1.46878425463279E-4</v>
      </c>
      <c r="D31811" s="2">
        <v>3.6019090117762398E-4</v>
      </c>
      <c r="E31811" s="2">
        <v>6.9070313579223597E-5</v>
      </c>
      <c r="F31811" s="2">
        <v>1.6235663908768501E-4</v>
      </c>
    </row>
    <row r="31812" spans="1:6" x14ac:dyDescent="0.25">
      <c r="A31812" s="1" t="str">
        <f t="shared" si="1136"/>
        <v>41700</v>
      </c>
      <c r="B31812" s="1" t="str">
        <f>"78670"</f>
        <v>78670</v>
      </c>
      <c r="C31812" s="2">
        <v>9.0665694730419096E-7</v>
      </c>
      <c r="D31812" s="2">
        <v>1.0005302810489501E-5</v>
      </c>
      <c r="E31812" s="2">
        <v>0</v>
      </c>
      <c r="F31812" s="2">
        <v>1.62356639087685E-6</v>
      </c>
    </row>
    <row r="31813" spans="1:6" x14ac:dyDescent="0.25">
      <c r="A31813" s="1" t="str">
        <f t="shared" si="1136"/>
        <v>41700</v>
      </c>
      <c r="B31813" s="1" t="str">
        <f>"78059"</f>
        <v>78059</v>
      </c>
      <c r="C31813" s="2">
        <v>1.6981684623007501E-3</v>
      </c>
      <c r="D31813" s="2">
        <v>4.3022802085105098E-4</v>
      </c>
      <c r="E31813" s="2">
        <v>1.00151954689874E-3</v>
      </c>
      <c r="F31813" s="2">
        <v>1.57891831512774E-3</v>
      </c>
    </row>
    <row r="31814" spans="1:6" x14ac:dyDescent="0.25">
      <c r="A31814" s="1" t="str">
        <f t="shared" si="1136"/>
        <v>41700</v>
      </c>
      <c r="B31814" s="1" t="str">
        <f>"78006"</f>
        <v>78006</v>
      </c>
      <c r="C31814" s="2">
        <v>1.7301734525405801E-2</v>
      </c>
      <c r="D31814" s="2">
        <v>2.4102774470469299E-2</v>
      </c>
      <c r="E31814" s="2">
        <v>1.36413869318966E-2</v>
      </c>
      <c r="F31814" s="2">
        <v>1.77674987985608E-2</v>
      </c>
    </row>
    <row r="31815" spans="1:6" x14ac:dyDescent="0.25">
      <c r="A31815" s="1" t="str">
        <f t="shared" si="1136"/>
        <v>41700</v>
      </c>
      <c r="B31815" s="1" t="str">
        <f>"78073"</f>
        <v>78073</v>
      </c>
      <c r="C31815" s="2">
        <v>2.9457284217913101E-3</v>
      </c>
      <c r="D31815" s="2">
        <v>1.31069466817413E-3</v>
      </c>
      <c r="E31815" s="2">
        <v>1.12239259566238E-2</v>
      </c>
      <c r="F31815" s="2">
        <v>3.0076567390993699E-3</v>
      </c>
    </row>
    <row r="31816" spans="1:6" x14ac:dyDescent="0.25">
      <c r="A31816" s="1" t="str">
        <f t="shared" si="1136"/>
        <v>41700</v>
      </c>
      <c r="B31816" s="1" t="str">
        <f>"78236"</f>
        <v>78236</v>
      </c>
      <c r="C31816" s="2">
        <v>9.4355788505947197E-3</v>
      </c>
      <c r="D31816" s="2">
        <v>9.0948202547350004E-3</v>
      </c>
      <c r="E31816" s="2">
        <v>2.0721094073767E-3</v>
      </c>
      <c r="F31816" s="2">
        <v>9.2348456313075498E-3</v>
      </c>
    </row>
    <row r="31817" spans="1:6" x14ac:dyDescent="0.25">
      <c r="A31817" s="1" t="str">
        <f t="shared" si="1136"/>
        <v>41700</v>
      </c>
      <c r="B31817" s="1" t="str">
        <f>"78249"</f>
        <v>78249</v>
      </c>
      <c r="C31817" s="2">
        <v>2.2875861437432001E-2</v>
      </c>
      <c r="D31817" s="2">
        <v>1.8209651115090899E-2</v>
      </c>
      <c r="E31817" s="2">
        <v>2.08937698577151E-2</v>
      </c>
      <c r="F31817" s="2">
        <v>2.2450676053045099E-2</v>
      </c>
    </row>
    <row r="31818" spans="1:6" x14ac:dyDescent="0.25">
      <c r="A31818" s="1" t="str">
        <f t="shared" si="1136"/>
        <v>41700</v>
      </c>
      <c r="B31818" s="1" t="str">
        <f>"78223"</f>
        <v>78223</v>
      </c>
      <c r="C31818" s="2">
        <v>2.0395248029607699E-2</v>
      </c>
      <c r="D31818" s="2">
        <v>1.2286511851281099E-2</v>
      </c>
      <c r="E31818" s="2">
        <v>2.90440668600635E-2</v>
      </c>
      <c r="F31818" s="2">
        <v>1.9940642412749499E-2</v>
      </c>
    </row>
    <row r="31819" spans="1:6" x14ac:dyDescent="0.25">
      <c r="A31819" s="1" t="str">
        <f t="shared" si="1136"/>
        <v>41700</v>
      </c>
      <c r="B31819" s="1" t="str">
        <f>"78225"</f>
        <v>78225</v>
      </c>
      <c r="C31819" s="2">
        <v>4.2096082063333602E-3</v>
      </c>
      <c r="D31819" s="2">
        <v>2.52133630824336E-3</v>
      </c>
      <c r="E31819" s="2">
        <v>8.8755352949302299E-3</v>
      </c>
      <c r="F31819" s="2">
        <v>4.1823070228987798E-3</v>
      </c>
    </row>
    <row r="31820" spans="1:6" x14ac:dyDescent="0.25">
      <c r="A31820" s="1" t="str">
        <f t="shared" si="1136"/>
        <v>41700</v>
      </c>
      <c r="B31820" s="1" t="str">
        <f>"78242"</f>
        <v>78242</v>
      </c>
      <c r="C31820" s="2">
        <v>1.0089278509601E-2</v>
      </c>
      <c r="D31820" s="2">
        <v>1.9610393508559501E-3</v>
      </c>
      <c r="E31820" s="2">
        <v>2.7973476999585498E-3</v>
      </c>
      <c r="F31820" s="2">
        <v>9.2583873439752596E-3</v>
      </c>
    </row>
    <row r="31821" spans="1:6" x14ac:dyDescent="0.25">
      <c r="A31821" s="1" t="str">
        <f t="shared" si="1136"/>
        <v>41700</v>
      </c>
      <c r="B31821" s="1" t="str">
        <f>"78252"</f>
        <v>78252</v>
      </c>
      <c r="C31821" s="2">
        <v>5.1380249203728497E-3</v>
      </c>
      <c r="D31821" s="2">
        <v>5.20275746145457E-4</v>
      </c>
      <c r="E31821" s="2">
        <v>3.0045586406962201E-3</v>
      </c>
      <c r="F31821" s="2">
        <v>4.71321323271551E-3</v>
      </c>
    </row>
    <row r="31822" spans="1:6" x14ac:dyDescent="0.25">
      <c r="A31822" s="1" t="str">
        <f t="shared" si="1136"/>
        <v>41700</v>
      </c>
      <c r="B31822" s="1" t="str">
        <f>"78264"</f>
        <v>78264</v>
      </c>
      <c r="C31822" s="2">
        <v>4.6919497022991901E-3</v>
      </c>
      <c r="D31822" s="2">
        <v>3.1216544768727398E-3</v>
      </c>
      <c r="E31822" s="2">
        <v>1.49882580466915E-2</v>
      </c>
      <c r="F31822" s="2">
        <v>4.8065683001909301E-3</v>
      </c>
    </row>
    <row r="31823" spans="1:6" x14ac:dyDescent="0.25">
      <c r="A31823" s="1" t="str">
        <f t="shared" si="1136"/>
        <v>41700</v>
      </c>
      <c r="B31823" s="1" t="str">
        <f>"78266"</f>
        <v>78266</v>
      </c>
      <c r="C31823" s="2">
        <v>2.86594261042854E-3</v>
      </c>
      <c r="D31823" s="2">
        <v>4.3122855113210002E-3</v>
      </c>
      <c r="E31823" s="2">
        <v>3.9370078740157402E-3</v>
      </c>
      <c r="F31823" s="2">
        <v>3.0084685222948101E-3</v>
      </c>
    </row>
    <row r="31824" spans="1:6" x14ac:dyDescent="0.25">
      <c r="A31824" s="1" t="str">
        <f t="shared" si="1136"/>
        <v>41700</v>
      </c>
      <c r="B31824" s="1" t="str">
        <f>"78270"</f>
        <v>78270</v>
      </c>
      <c r="C31824" s="2">
        <v>1.2575331859109101E-3</v>
      </c>
      <c r="D31824" s="2">
        <v>5.3628423064224001E-3</v>
      </c>
      <c r="E31824" s="2">
        <v>3.4535156789611798E-5</v>
      </c>
      <c r="F31824" s="2">
        <v>1.5618708680235299E-3</v>
      </c>
    </row>
    <row r="31825" spans="1:6" x14ac:dyDescent="0.25">
      <c r="A31825" s="1" t="str">
        <f t="shared" si="1136"/>
        <v>41700</v>
      </c>
      <c r="B31825" s="1" t="str">
        <f>"78292"</f>
        <v>78292</v>
      </c>
      <c r="C31825" s="2">
        <v>1.31465257359107E-4</v>
      </c>
      <c r="D31825" s="2">
        <v>5.3028104895594603E-4</v>
      </c>
      <c r="E31825" s="2">
        <v>6.9070313579223597E-5</v>
      </c>
      <c r="F31825" s="2">
        <v>1.6235663908768501E-4</v>
      </c>
    </row>
    <row r="31826" spans="1:6" x14ac:dyDescent="0.25">
      <c r="A31826" s="1" t="str">
        <f t="shared" si="1136"/>
        <v>41700</v>
      </c>
      <c r="B31826" s="1" t="str">
        <f>"78298"</f>
        <v>78298</v>
      </c>
      <c r="C31826" s="2">
        <v>1.3237191430641099E-4</v>
      </c>
      <c r="D31826" s="2">
        <v>5.20275746145457E-4</v>
      </c>
      <c r="E31826" s="2">
        <v>6.9070313579223597E-5</v>
      </c>
      <c r="F31826" s="2">
        <v>1.6235663908768501E-4</v>
      </c>
    </row>
    <row r="31827" spans="1:6" x14ac:dyDescent="0.25">
      <c r="A31827" s="1" t="str">
        <f t="shared" si="1136"/>
        <v>41700</v>
      </c>
      <c r="B31827" s="1" t="str">
        <f>"78205"</f>
        <v>78205</v>
      </c>
      <c r="C31827" s="2">
        <v>1.4869173935788699E-3</v>
      </c>
      <c r="D31827" s="2">
        <v>2.4683082033477698E-2</v>
      </c>
      <c r="E31827" s="2">
        <v>9.6353087443016901E-3</v>
      </c>
      <c r="F31827" s="2">
        <v>3.5604810951929398E-3</v>
      </c>
    </row>
    <row r="31828" spans="1:6" x14ac:dyDescent="0.25">
      <c r="A31828" s="1" t="str">
        <f t="shared" si="1136"/>
        <v>41700</v>
      </c>
      <c r="B31828" s="1" t="str">
        <f>"78212"</f>
        <v>78212</v>
      </c>
      <c r="C31828" s="2">
        <v>1.33958563964194E-2</v>
      </c>
      <c r="D31828" s="2">
        <v>2.49432199065504E-2</v>
      </c>
      <c r="E31828" s="2">
        <v>6.12653681447713E-2</v>
      </c>
      <c r="F31828" s="2">
        <v>1.5457975607538499E-2</v>
      </c>
    </row>
    <row r="31829" spans="1:6" x14ac:dyDescent="0.25">
      <c r="A31829" s="1" t="str">
        <f t="shared" si="1136"/>
        <v>41700</v>
      </c>
      <c r="B31829" s="1" t="str">
        <f>"78132"</f>
        <v>78132</v>
      </c>
      <c r="C31829" s="2">
        <v>1.57558844302522E-2</v>
      </c>
      <c r="D31829" s="2">
        <v>7.6440513472140204E-3</v>
      </c>
      <c r="E31829" s="2">
        <v>8.1848321591379992E-3</v>
      </c>
      <c r="F31829" s="2">
        <v>1.49197633489628E-2</v>
      </c>
    </row>
    <row r="31830" spans="1:6" x14ac:dyDescent="0.25">
      <c r="A31830" s="1" t="str">
        <f t="shared" si="1136"/>
        <v>41700</v>
      </c>
      <c r="B31830" s="1" t="str">
        <f>"78222"</f>
        <v>78222</v>
      </c>
      <c r="C31830" s="2">
        <v>8.5370818158162602E-3</v>
      </c>
      <c r="D31830" s="2">
        <v>4.83256125746645E-3</v>
      </c>
      <c r="E31830" s="2">
        <v>5.8364414974443899E-3</v>
      </c>
      <c r="F31830" s="2">
        <v>8.1730332116740894E-3</v>
      </c>
    </row>
    <row r="31831" spans="1:6" x14ac:dyDescent="0.25">
      <c r="A31831" s="1" t="str">
        <f t="shared" si="1136"/>
        <v>41700</v>
      </c>
      <c r="B31831" s="1" t="str">
        <f>"78666"</f>
        <v>78666</v>
      </c>
      <c r="C31831" s="2">
        <v>1.92936598386331E-3</v>
      </c>
      <c r="D31831" s="2">
        <v>6.2032877425035205E-4</v>
      </c>
      <c r="E31831" s="2">
        <v>1.51954689874292E-3</v>
      </c>
      <c r="F31831" s="2">
        <v>1.81352365860944E-3</v>
      </c>
    </row>
    <row r="31832" spans="1:6" x14ac:dyDescent="0.25">
      <c r="A31832" s="1" t="str">
        <f t="shared" si="1136"/>
        <v>41700</v>
      </c>
      <c r="B31832" s="1" t="str">
        <f>"78283"</f>
        <v>78283</v>
      </c>
      <c r="C31832" s="2">
        <v>9.5470976551131296E-4</v>
      </c>
      <c r="D31832" s="2">
        <v>2.8415059981790301E-3</v>
      </c>
      <c r="E31832" s="2">
        <v>3.4535156789611798E-5</v>
      </c>
      <c r="F31832" s="2">
        <v>1.08616591549661E-3</v>
      </c>
    </row>
    <row r="31833" spans="1:6" x14ac:dyDescent="0.25">
      <c r="A31833" s="1" t="str">
        <f t="shared" si="1136"/>
        <v>41700</v>
      </c>
      <c r="B31833" s="1" t="str">
        <f>"78233"</f>
        <v>78233</v>
      </c>
      <c r="C31833" s="2">
        <v>1.86780397714136E-2</v>
      </c>
      <c r="D31833" s="2">
        <v>1.46477633145567E-2</v>
      </c>
      <c r="E31833" s="2">
        <v>1.51609338306395E-2</v>
      </c>
      <c r="F31833" s="2">
        <v>1.8268369030146302E-2</v>
      </c>
    </row>
    <row r="31834" spans="1:6" x14ac:dyDescent="0.25">
      <c r="A31834" s="1" t="str">
        <f t="shared" si="1136"/>
        <v>41700</v>
      </c>
      <c r="B31834" s="1" t="str">
        <f>"78238"</f>
        <v>78238</v>
      </c>
      <c r="C31834" s="2">
        <v>1.0178130890436799E-2</v>
      </c>
      <c r="D31834" s="2">
        <v>2.1251263169479801E-2</v>
      </c>
      <c r="E31834" s="2">
        <v>9.3244923331951904E-3</v>
      </c>
      <c r="F31834" s="2">
        <v>1.10564871218713E-2</v>
      </c>
    </row>
    <row r="31835" spans="1:6" x14ac:dyDescent="0.25">
      <c r="A31835" s="1" t="str">
        <f t="shared" si="1136"/>
        <v>41700</v>
      </c>
      <c r="B31835" s="1" t="str">
        <f>"78227"</f>
        <v>78227</v>
      </c>
      <c r="C31835" s="2">
        <v>1.6321638365370001E-2</v>
      </c>
      <c r="D31835" s="2">
        <v>1.12159444505587E-2</v>
      </c>
      <c r="E31835" s="2">
        <v>9.6698439010913101E-3</v>
      </c>
      <c r="F31835" s="2">
        <v>1.57510293410918E-2</v>
      </c>
    </row>
    <row r="31836" spans="1:6" x14ac:dyDescent="0.25">
      <c r="A31836" s="1" t="str">
        <f t="shared" si="1136"/>
        <v>41700</v>
      </c>
      <c r="B31836" s="1" t="str">
        <f>"78203"</f>
        <v>78203</v>
      </c>
      <c r="C31836" s="2">
        <v>2.34552152267594E-3</v>
      </c>
      <c r="D31836" s="2">
        <v>1.9710446536664399E-3</v>
      </c>
      <c r="E31836" s="2">
        <v>6.2853985357093503E-3</v>
      </c>
      <c r="F31836" s="2">
        <v>2.40774895767037E-3</v>
      </c>
    </row>
    <row r="31837" spans="1:6" x14ac:dyDescent="0.25">
      <c r="A31837" s="1" t="str">
        <f t="shared" si="1136"/>
        <v>41700</v>
      </c>
      <c r="B31837" s="1" t="str">
        <f>"78211"</f>
        <v>78211</v>
      </c>
      <c r="C31837" s="2">
        <v>9.2977669946044793E-3</v>
      </c>
      <c r="D31837" s="2">
        <v>9.8952444795741695E-3</v>
      </c>
      <c r="E31837" s="2">
        <v>1.7129437767647401E-2</v>
      </c>
      <c r="F31837" s="2">
        <v>9.53033471444714E-3</v>
      </c>
    </row>
    <row r="31838" spans="1:6" x14ac:dyDescent="0.25">
      <c r="A31838" s="1" t="str">
        <f t="shared" si="1136"/>
        <v>41700</v>
      </c>
      <c r="B31838" s="1" t="str">
        <f>"78202"</f>
        <v>78202</v>
      </c>
      <c r="C31838" s="2">
        <v>4.7146161259817897E-3</v>
      </c>
      <c r="D31838" s="2">
        <v>4.3122855113210002E-3</v>
      </c>
      <c r="E31838" s="2">
        <v>1.1120320486254999E-2</v>
      </c>
      <c r="F31838" s="2">
        <v>4.8325453624449601E-3</v>
      </c>
    </row>
    <row r="31839" spans="1:6" x14ac:dyDescent="0.25">
      <c r="A31839" s="1" t="str">
        <f t="shared" si="1136"/>
        <v>41700</v>
      </c>
      <c r="B31839" s="1" t="str">
        <f>"78131"</f>
        <v>78131</v>
      </c>
      <c r="C31839" s="2">
        <v>1.21038702465109E-3</v>
      </c>
      <c r="D31839" s="2">
        <v>6.98370136172171E-3</v>
      </c>
      <c r="E31839" s="2">
        <v>3.4535156789611798E-5</v>
      </c>
      <c r="F31839" s="2">
        <v>1.6511670195217599E-3</v>
      </c>
    </row>
    <row r="31840" spans="1:6" x14ac:dyDescent="0.25">
      <c r="A31840" s="1" t="str">
        <f t="shared" si="1136"/>
        <v>41700</v>
      </c>
      <c r="B31840" s="1" t="str">
        <f>"78217"</f>
        <v>78217</v>
      </c>
      <c r="C31840" s="2">
        <v>1.52535964814457E-2</v>
      </c>
      <c r="D31840" s="2">
        <v>3.4028034858474901E-2</v>
      </c>
      <c r="E31840" s="2">
        <v>1.4435695538057699E-2</v>
      </c>
      <c r="F31840" s="2">
        <v>1.6757640503435398E-2</v>
      </c>
    </row>
    <row r="31841" spans="1:6" x14ac:dyDescent="0.25">
      <c r="A31841" s="1" t="str">
        <f t="shared" si="1136"/>
        <v>41700</v>
      </c>
      <c r="B31841" s="1" t="str">
        <f>"78883"</f>
        <v>78883</v>
      </c>
      <c r="C31841" s="2">
        <v>1.10612147571111E-4</v>
      </c>
      <c r="D31841" s="2">
        <v>6.0031816862937299E-5</v>
      </c>
      <c r="E31841" s="2">
        <v>3.4535156789611798E-5</v>
      </c>
      <c r="F31841" s="2">
        <v>1.04720032211557E-4</v>
      </c>
    </row>
    <row r="31842" spans="1:6" x14ac:dyDescent="0.25">
      <c r="A31842" s="1" t="str">
        <f t="shared" ref="A31842:A31873" si="1137">"41740"</f>
        <v>41740</v>
      </c>
      <c r="B31842" s="1" t="str">
        <f>"92113"</f>
        <v>92113</v>
      </c>
      <c r="C31842" s="2">
        <v>1.02306863076181E-2</v>
      </c>
      <c r="D31842" s="2">
        <v>7.8541953232462106E-3</v>
      </c>
      <c r="E31842" s="2">
        <v>1.32439193592465E-2</v>
      </c>
      <c r="F31842" s="2">
        <v>1.01938184514564E-2</v>
      </c>
    </row>
    <row r="31843" spans="1:6" x14ac:dyDescent="0.25">
      <c r="A31843" s="1" t="str">
        <f t="shared" si="1137"/>
        <v>41740</v>
      </c>
      <c r="B31843" s="1" t="str">
        <f>"92093"</f>
        <v>92093</v>
      </c>
      <c r="C31843" s="2">
        <v>0</v>
      </c>
      <c r="D31843" s="2">
        <v>4.01650618982118E-3</v>
      </c>
      <c r="E31843" s="2">
        <v>3.1533141331539399E-5</v>
      </c>
      <c r="F31843" s="2">
        <v>3.6762127118049602E-4</v>
      </c>
    </row>
    <row r="31844" spans="1:6" x14ac:dyDescent="0.25">
      <c r="A31844" s="1" t="str">
        <f t="shared" si="1137"/>
        <v>41740</v>
      </c>
      <c r="B31844" s="1" t="str">
        <f>"91910"</f>
        <v>91910</v>
      </c>
      <c r="C31844" s="2">
        <v>2.0432616091560701E-2</v>
      </c>
      <c r="D31844" s="2">
        <v>1.5281980742778501E-2</v>
      </c>
      <c r="E31844" s="2">
        <v>3.5790115411297202E-2</v>
      </c>
      <c r="F31844" s="2">
        <v>2.08786336262613E-2</v>
      </c>
    </row>
    <row r="31845" spans="1:6" x14ac:dyDescent="0.25">
      <c r="A31845" s="1" t="str">
        <f t="shared" si="1137"/>
        <v>41740</v>
      </c>
      <c r="B31845" s="1" t="str">
        <f>"91902"</f>
        <v>91902</v>
      </c>
      <c r="C31845" s="2">
        <v>4.5243597249401604E-3</v>
      </c>
      <c r="D31845" s="2">
        <v>2.2627235213204902E-3</v>
      </c>
      <c r="E31845" s="2">
        <v>1.2192814648195199E-3</v>
      </c>
      <c r="F31845" s="2">
        <v>4.1214916280048397E-3</v>
      </c>
    </row>
    <row r="31846" spans="1:6" x14ac:dyDescent="0.25">
      <c r="A31846" s="1" t="str">
        <f t="shared" si="1137"/>
        <v>41740</v>
      </c>
      <c r="B31846" s="1" t="str">
        <f>"91913"</f>
        <v>91913</v>
      </c>
      <c r="C31846" s="2">
        <v>1.2780431406842801E-2</v>
      </c>
      <c r="D31846" s="2">
        <v>1.36863823933975E-3</v>
      </c>
      <c r="E31846" s="2">
        <v>1.5346128781349101E-2</v>
      </c>
      <c r="F31846" s="2">
        <v>1.18941451145826E-2</v>
      </c>
    </row>
    <row r="31847" spans="1:6" x14ac:dyDescent="0.25">
      <c r="A31847" s="1" t="str">
        <f t="shared" si="1137"/>
        <v>41740</v>
      </c>
      <c r="B31847" s="1" t="str">
        <f>"91962"</f>
        <v>91962</v>
      </c>
      <c r="C31847" s="2">
        <v>2.8092911590648598E-4</v>
      </c>
      <c r="D31847" s="2">
        <v>1.9257221458046699E-4</v>
      </c>
      <c r="E31847" s="2">
        <v>3.1533141331539399E-5</v>
      </c>
      <c r="F31847" s="2">
        <v>2.5802378829022901E-4</v>
      </c>
    </row>
    <row r="31848" spans="1:6" x14ac:dyDescent="0.25">
      <c r="A31848" s="1" t="str">
        <f t="shared" si="1137"/>
        <v>41740</v>
      </c>
      <c r="B31848" s="1" t="str">
        <f>"92026"</f>
        <v>92026</v>
      </c>
      <c r="C31848" s="2">
        <v>1.37257099543287E-2</v>
      </c>
      <c r="D31848" s="2">
        <v>2.87482806052269E-3</v>
      </c>
      <c r="E31848" s="2">
        <v>6.9478021400491896E-3</v>
      </c>
      <c r="F31848" s="2">
        <v>1.23337875888052E-2</v>
      </c>
    </row>
    <row r="31849" spans="1:6" x14ac:dyDescent="0.25">
      <c r="A31849" s="1" t="str">
        <f t="shared" si="1137"/>
        <v>41740</v>
      </c>
      <c r="B31849" s="1" t="str">
        <f>"92027"</f>
        <v>92027</v>
      </c>
      <c r="C31849" s="2">
        <v>1.2878498526043799E-2</v>
      </c>
      <c r="D31849" s="2">
        <v>4.4497936726272296E-3</v>
      </c>
      <c r="E31849" s="2">
        <v>6.7270701507284097E-3</v>
      </c>
      <c r="F31849" s="2">
        <v>1.1744466266521E-2</v>
      </c>
    </row>
    <row r="31850" spans="1:6" x14ac:dyDescent="0.25">
      <c r="A31850" s="1" t="str">
        <f t="shared" si="1137"/>
        <v>41740</v>
      </c>
      <c r="B31850" s="1" t="str">
        <f>"92028"</f>
        <v>92028</v>
      </c>
      <c r="C31850" s="2">
        <v>1.38134542188769E-2</v>
      </c>
      <c r="D31850" s="2">
        <v>8.0192572214580395E-3</v>
      </c>
      <c r="E31850" s="2">
        <v>5.8966974289978696E-3</v>
      </c>
      <c r="F31850" s="2">
        <v>1.281413769953E-2</v>
      </c>
    </row>
    <row r="31851" spans="1:6" x14ac:dyDescent="0.25">
      <c r="A31851" s="1" t="str">
        <f t="shared" si="1137"/>
        <v>41740</v>
      </c>
      <c r="B31851" s="1" t="str">
        <f>"92059"</f>
        <v>92059</v>
      </c>
      <c r="C31851" s="2">
        <v>3.8563235595562301E-4</v>
      </c>
      <c r="D31851" s="2">
        <v>1.6506189821182901E-4</v>
      </c>
      <c r="E31851" s="2">
        <v>3.1533141331539399E-5</v>
      </c>
      <c r="F31851" s="2">
        <v>3.4444923194083902E-4</v>
      </c>
    </row>
    <row r="31852" spans="1:6" x14ac:dyDescent="0.25">
      <c r="A31852" s="1" t="str">
        <f t="shared" si="1137"/>
        <v>41740</v>
      </c>
      <c r="B31852" s="1" t="str">
        <f>"92193"</f>
        <v>92193</v>
      </c>
      <c r="C31852" s="2">
        <v>7.3218533358304801E-4</v>
      </c>
      <c r="D31852" s="2">
        <v>1.3617606602475899E-3</v>
      </c>
      <c r="E31852" s="2">
        <v>2.10220942210262E-5</v>
      </c>
      <c r="F31852" s="2">
        <v>7.4714169764622095E-4</v>
      </c>
    </row>
    <row r="31853" spans="1:6" x14ac:dyDescent="0.25">
      <c r="A31853" s="1" t="str">
        <f t="shared" si="1137"/>
        <v>41740</v>
      </c>
      <c r="B31853" s="1" t="str">
        <f>"92175"</f>
        <v>92175</v>
      </c>
      <c r="C31853" s="2">
        <v>8.9587631450493803E-4</v>
      </c>
      <c r="D31853" s="2">
        <v>1.10729023383768E-3</v>
      </c>
      <c r="E31853" s="2">
        <v>2.10220942210262E-5</v>
      </c>
      <c r="F31853" s="2">
        <v>8.6300189384450401E-4</v>
      </c>
    </row>
    <row r="31854" spans="1:6" x14ac:dyDescent="0.25">
      <c r="A31854" s="1" t="str">
        <f t="shared" si="1137"/>
        <v>41740</v>
      </c>
      <c r="B31854" s="1" t="str">
        <f>"92143"</f>
        <v>92143</v>
      </c>
      <c r="C31854" s="2">
        <v>4.12471778052726E-3</v>
      </c>
      <c r="D31854" s="2">
        <v>2.6547455295735899E-3</v>
      </c>
      <c r="E31854" s="2">
        <v>2.10220942210262E-5</v>
      </c>
      <c r="F31854" s="2">
        <v>3.7463551008547302E-3</v>
      </c>
    </row>
    <row r="31855" spans="1:6" x14ac:dyDescent="0.25">
      <c r="A31855" s="1" t="str">
        <f t="shared" si="1137"/>
        <v>41740</v>
      </c>
      <c r="B31855" s="1" t="str">
        <f>"92169"</f>
        <v>92169</v>
      </c>
      <c r="C31855" s="2">
        <v>1.71211917883165E-3</v>
      </c>
      <c r="D31855" s="2">
        <v>3.3562585969738601E-3</v>
      </c>
      <c r="E31855" s="2">
        <v>2.10220942210262E-5</v>
      </c>
      <c r="F31855" s="2">
        <v>1.7610749822138899E-3</v>
      </c>
    </row>
    <row r="31856" spans="1:6" x14ac:dyDescent="0.25">
      <c r="A31856" s="1" t="str">
        <f t="shared" si="1137"/>
        <v>41740</v>
      </c>
      <c r="B31856" s="1" t="str">
        <f>"92161"</f>
        <v>92161</v>
      </c>
      <c r="C31856" s="2">
        <v>0</v>
      </c>
      <c r="D31856" s="2">
        <v>6.8775790921595496E-6</v>
      </c>
      <c r="E31856" s="2">
        <v>0</v>
      </c>
      <c r="F31856" s="2">
        <v>6.2627133080152697E-7</v>
      </c>
    </row>
    <row r="31857" spans="1:6" x14ac:dyDescent="0.25">
      <c r="A31857" s="1" t="str">
        <f t="shared" si="1137"/>
        <v>41740</v>
      </c>
      <c r="B31857" s="1" t="str">
        <f>"92030"</f>
        <v>92030</v>
      </c>
      <c r="C31857" s="2">
        <v>1.07726361768865E-3</v>
      </c>
      <c r="D31857" s="2">
        <v>1.7812929848693201E-3</v>
      </c>
      <c r="E31857" s="2">
        <v>2.10220942210262E-5</v>
      </c>
      <c r="F31857" s="2">
        <v>1.0784392316402201E-3</v>
      </c>
    </row>
    <row r="31858" spans="1:6" x14ac:dyDescent="0.25">
      <c r="A31858" s="1" t="str">
        <f t="shared" si="1137"/>
        <v>41740</v>
      </c>
      <c r="B31858" s="1" t="str">
        <f>"92079"</f>
        <v>92079</v>
      </c>
      <c r="C31858" s="2">
        <v>1.14436217293141E-3</v>
      </c>
      <c r="D31858" s="2">
        <v>3.1499312242090701E-3</v>
      </c>
      <c r="E31858" s="2">
        <v>2.10220942210262E-5</v>
      </c>
      <c r="F31858" s="2">
        <v>1.2600579175726699E-3</v>
      </c>
    </row>
    <row r="31859" spans="1:6" x14ac:dyDescent="0.25">
      <c r="A31859" s="1" t="str">
        <f t="shared" si="1137"/>
        <v>41740</v>
      </c>
      <c r="B31859" s="1" t="str">
        <f>"92672"</f>
        <v>92672</v>
      </c>
      <c r="C31859" s="2">
        <v>9.3200630578949895E-4</v>
      </c>
      <c r="D31859" s="2">
        <v>2.0632737276478599E-5</v>
      </c>
      <c r="E31859" s="2">
        <v>1.80790010300826E-3</v>
      </c>
      <c r="F31859" s="2">
        <v>9.01204445023397E-4</v>
      </c>
    </row>
    <row r="31860" spans="1:6" x14ac:dyDescent="0.25">
      <c r="A31860" s="1" t="str">
        <f t="shared" si="1137"/>
        <v>41740</v>
      </c>
      <c r="B31860" s="1" t="str">
        <f>"92196"</f>
        <v>92196</v>
      </c>
      <c r="C31860" s="2">
        <v>1.21146072817416E-3</v>
      </c>
      <c r="D31860" s="2">
        <v>2.3452544704263998E-3</v>
      </c>
      <c r="E31860" s="2">
        <v>2.10220942210262E-5</v>
      </c>
      <c r="F31860" s="2">
        <v>1.2437748629718301E-3</v>
      </c>
    </row>
    <row r="31861" spans="1:6" x14ac:dyDescent="0.25">
      <c r="A31861" s="1" t="str">
        <f t="shared" si="1137"/>
        <v>41740</v>
      </c>
      <c r="B31861" s="1" t="str">
        <f>"91921"</f>
        <v>91921</v>
      </c>
      <c r="C31861" s="2">
        <v>1.2372678648059901E-3</v>
      </c>
      <c r="D31861" s="2">
        <v>2.8198074277854101E-3</v>
      </c>
      <c r="E31861" s="2">
        <v>3.1533141331539399E-5</v>
      </c>
      <c r="F31861" s="2">
        <v>1.3095333527059899E-3</v>
      </c>
    </row>
    <row r="31862" spans="1:6" x14ac:dyDescent="0.25">
      <c r="A31862" s="1" t="str">
        <f t="shared" si="1137"/>
        <v>41740</v>
      </c>
      <c r="B31862" s="1" t="str">
        <f>"92142"</f>
        <v>92142</v>
      </c>
      <c r="C31862" s="2">
        <v>7.3808410767032303E-4</v>
      </c>
      <c r="D31862" s="2">
        <v>1.20357634112792E-3</v>
      </c>
      <c r="E31862" s="2">
        <v>2.10220942210262E-5</v>
      </c>
      <c r="F31862" s="2">
        <v>7.3774762768419799E-4</v>
      </c>
    </row>
    <row r="31863" spans="1:6" x14ac:dyDescent="0.25">
      <c r="A31863" s="1" t="str">
        <f t="shared" si="1137"/>
        <v>41740</v>
      </c>
      <c r="B31863" s="1" t="str">
        <f>"92198"</f>
        <v>92198</v>
      </c>
      <c r="C31863" s="2">
        <v>1.1922897123905201E-3</v>
      </c>
      <c r="D31863" s="2">
        <v>3.3287482806052199E-3</v>
      </c>
      <c r="E31863" s="2">
        <v>2.10220942210262E-5</v>
      </c>
      <c r="F31863" s="2">
        <v>1.31704860867561E-3</v>
      </c>
    </row>
    <row r="31864" spans="1:6" x14ac:dyDescent="0.25">
      <c r="A31864" s="1" t="str">
        <f t="shared" si="1137"/>
        <v>41740</v>
      </c>
      <c r="B31864" s="1" t="str">
        <f>"92158"</f>
        <v>92158</v>
      </c>
      <c r="C31864" s="2">
        <v>0</v>
      </c>
      <c r="D31864" s="2">
        <v>6.8775790921595496E-6</v>
      </c>
      <c r="E31864" s="2">
        <v>0</v>
      </c>
      <c r="F31864" s="2">
        <v>6.2627133080152697E-7</v>
      </c>
    </row>
    <row r="31865" spans="1:6" x14ac:dyDescent="0.25">
      <c r="A31865" s="1" t="str">
        <f t="shared" si="1137"/>
        <v>41740</v>
      </c>
      <c r="B31865" s="1" t="str">
        <f>"92150"</f>
        <v>92150</v>
      </c>
      <c r="C31865" s="2">
        <v>2.5143524547011002E-3</v>
      </c>
      <c r="D31865" s="2">
        <v>4.9931224209078398E-3</v>
      </c>
      <c r="E31865" s="2">
        <v>2.10220942210262E-5</v>
      </c>
      <c r="F31865" s="2">
        <v>2.5915107668567101E-3</v>
      </c>
    </row>
    <row r="31866" spans="1:6" x14ac:dyDescent="0.25">
      <c r="A31866" s="1" t="str">
        <f t="shared" si="1137"/>
        <v>41740</v>
      </c>
      <c r="B31866" s="1" t="str">
        <f>"91976"</f>
        <v>91976</v>
      </c>
      <c r="C31866" s="2">
        <v>5.0139579741840102E-4</v>
      </c>
      <c r="D31866" s="2">
        <v>9.3535075653369999E-4</v>
      </c>
      <c r="E31866" s="2">
        <v>2.10220942210262E-5</v>
      </c>
      <c r="F31866" s="2">
        <v>5.1228994859564905E-4</v>
      </c>
    </row>
    <row r="31867" spans="1:6" x14ac:dyDescent="0.25">
      <c r="A31867" s="1" t="str">
        <f t="shared" si="1137"/>
        <v>41740</v>
      </c>
      <c r="B31867" s="1" t="str">
        <f>"92177"</f>
        <v>92177</v>
      </c>
      <c r="C31867" s="2">
        <v>1.0809503514932E-3</v>
      </c>
      <c r="D31867" s="2">
        <v>2.16643741403026E-3</v>
      </c>
      <c r="E31867" s="2">
        <v>2.10220942210262E-5</v>
      </c>
      <c r="F31867" s="2">
        <v>1.1166417828191201E-3</v>
      </c>
    </row>
    <row r="31868" spans="1:6" x14ac:dyDescent="0.25">
      <c r="A31868" s="1" t="str">
        <f t="shared" si="1137"/>
        <v>41740</v>
      </c>
      <c r="B31868" s="1" t="str">
        <f>"91931"</f>
        <v>91931</v>
      </c>
      <c r="C31868" s="2">
        <v>3.5392644523651798E-5</v>
      </c>
      <c r="D31868" s="2">
        <v>6.8775790921595496E-6</v>
      </c>
      <c r="E31868" s="2">
        <v>2.10220942210262E-5</v>
      </c>
      <c r="F31868" s="2">
        <v>3.1939837870877802E-5</v>
      </c>
    </row>
    <row r="31869" spans="1:6" x14ac:dyDescent="0.25">
      <c r="A31869" s="1" t="str">
        <f t="shared" si="1137"/>
        <v>41740</v>
      </c>
      <c r="B31869" s="1" t="str">
        <f>"92025"</f>
        <v>92025</v>
      </c>
      <c r="C31869" s="2">
        <v>1.2103547080328E-2</v>
      </c>
      <c r="D31869" s="2">
        <v>2.0976616231086601E-2</v>
      </c>
      <c r="E31869" s="2">
        <v>1.69543189892577E-2</v>
      </c>
      <c r="F31869" s="2">
        <v>1.32005471106345E-2</v>
      </c>
    </row>
    <row r="31870" spans="1:6" x14ac:dyDescent="0.25">
      <c r="A31870" s="1" t="str">
        <f t="shared" si="1137"/>
        <v>41740</v>
      </c>
      <c r="B31870" s="1" t="str">
        <f>"92069"</f>
        <v>92069</v>
      </c>
      <c r="C31870" s="2">
        <v>1.1926583857709699E-2</v>
      </c>
      <c r="D31870" s="2">
        <v>1.24002751031636E-2</v>
      </c>
      <c r="E31870" s="2">
        <v>1.20771931299796E-2</v>
      </c>
      <c r="F31870" s="2">
        <v>1.1978691744240801E-2</v>
      </c>
    </row>
    <row r="31871" spans="1:6" x14ac:dyDescent="0.25">
      <c r="A31871" s="1" t="str">
        <f t="shared" si="1137"/>
        <v>41740</v>
      </c>
      <c r="B31871" s="1" t="str">
        <f>"92082"</f>
        <v>92082</v>
      </c>
      <c r="C31871" s="2">
        <v>6.0536169070662801E-3</v>
      </c>
      <c r="D31871" s="2">
        <v>3.8651994497936699E-3</v>
      </c>
      <c r="E31871" s="2">
        <v>6.7270701507284101E-4</v>
      </c>
      <c r="F31871" s="2">
        <v>5.5337334789622898E-3</v>
      </c>
    </row>
    <row r="31872" spans="1:6" x14ac:dyDescent="0.25">
      <c r="A31872" s="1" t="str">
        <f t="shared" si="1137"/>
        <v>41740</v>
      </c>
      <c r="B31872" s="1" t="str">
        <f>"92130"</f>
        <v>92130</v>
      </c>
      <c r="C31872" s="2">
        <v>1.7057779966878302E-2</v>
      </c>
      <c r="D31872" s="2">
        <v>9.50481430536451E-3</v>
      </c>
      <c r="E31872" s="2">
        <v>3.4329079862935902E-2</v>
      </c>
      <c r="F31872" s="2">
        <v>1.7399070112328E-2</v>
      </c>
    </row>
    <row r="31873" spans="1:6" x14ac:dyDescent="0.25">
      <c r="A31873" s="1" t="str">
        <f t="shared" si="1137"/>
        <v>41740</v>
      </c>
      <c r="B31873" s="1" t="str">
        <f>"92129"</f>
        <v>92129</v>
      </c>
      <c r="C31873" s="2">
        <v>1.36379656897805E-2</v>
      </c>
      <c r="D31873" s="2">
        <v>2.6960110041265401E-3</v>
      </c>
      <c r="E31873" s="2">
        <v>1.1404486114906701E-2</v>
      </c>
      <c r="F31873" s="2">
        <v>1.25085172900989E-2</v>
      </c>
    </row>
    <row r="31874" spans="1:6" x14ac:dyDescent="0.25">
      <c r="A31874" s="1" t="str">
        <f t="shared" ref="A31874:A31905" si="1138">"41740"</f>
        <v>41740</v>
      </c>
      <c r="B31874" s="1" t="str">
        <f>"92134"</f>
        <v>92134</v>
      </c>
      <c r="C31874" s="2">
        <v>0</v>
      </c>
      <c r="D31874" s="2">
        <v>9.62861072902338E-4</v>
      </c>
      <c r="E31874" s="2">
        <v>1.78687800878723E-4</v>
      </c>
      <c r="F31874" s="2">
        <v>9.8324598935839702E-5</v>
      </c>
    </row>
    <row r="31875" spans="1:6" x14ac:dyDescent="0.25">
      <c r="A31875" s="1" t="str">
        <f t="shared" si="1138"/>
        <v>41740</v>
      </c>
      <c r="B31875" s="1" t="str">
        <f>"92147"</f>
        <v>92147</v>
      </c>
      <c r="C31875" s="2">
        <v>7.3513472062668498E-4</v>
      </c>
      <c r="D31875" s="2">
        <v>3.9889958734525401E-4</v>
      </c>
      <c r="E31875" s="2">
        <v>2.1022094221026199E-4</v>
      </c>
      <c r="F31875" s="2">
        <v>6.7324168061164104E-4</v>
      </c>
    </row>
    <row r="31876" spans="1:6" x14ac:dyDescent="0.25">
      <c r="A31876" s="1" t="str">
        <f t="shared" si="1138"/>
        <v>41740</v>
      </c>
      <c r="B31876" s="1" t="str">
        <f>"92136"</f>
        <v>92136</v>
      </c>
      <c r="C31876" s="2">
        <v>0</v>
      </c>
      <c r="D31876" s="2">
        <v>1.8294360385144399E-3</v>
      </c>
      <c r="E31876" s="2">
        <v>8.51394815951565E-4</v>
      </c>
      <c r="F31876" s="2">
        <v>2.17316151788129E-4</v>
      </c>
    </row>
    <row r="31877" spans="1:6" x14ac:dyDescent="0.25">
      <c r="A31877" s="1" t="str">
        <f t="shared" si="1138"/>
        <v>41740</v>
      </c>
      <c r="B31877" s="1" t="str">
        <f>"92108"</f>
        <v>92108</v>
      </c>
      <c r="C31877" s="2">
        <v>1.1058726720119301E-2</v>
      </c>
      <c r="D31877" s="2">
        <v>2.48418156808803E-2</v>
      </c>
      <c r="E31877" s="2">
        <v>1.4978242132481201E-2</v>
      </c>
      <c r="F31877" s="2">
        <v>1.25473461126085E-2</v>
      </c>
    </row>
    <row r="31878" spans="1:6" x14ac:dyDescent="0.25">
      <c r="A31878" s="1" t="str">
        <f t="shared" si="1138"/>
        <v>41740</v>
      </c>
      <c r="B31878" s="1" t="str">
        <f>"92111"</f>
        <v>92111</v>
      </c>
      <c r="C31878" s="2">
        <v>1.2936748920155601E-2</v>
      </c>
      <c r="D31878" s="2">
        <v>2.6561210453920198E-2</v>
      </c>
      <c r="E31878" s="2">
        <v>1.67440980470474E-2</v>
      </c>
      <c r="F31878" s="2">
        <v>1.44042406084351E-2</v>
      </c>
    </row>
    <row r="31879" spans="1:6" x14ac:dyDescent="0.25">
      <c r="A31879" s="1" t="str">
        <f t="shared" si="1138"/>
        <v>41740</v>
      </c>
      <c r="B31879" s="1" t="str">
        <f>"92123"</f>
        <v>92123</v>
      </c>
      <c r="C31879" s="2">
        <v>1.00168557469543E-2</v>
      </c>
      <c r="D31879" s="2">
        <v>2.26685006877579E-2</v>
      </c>
      <c r="E31879" s="2">
        <v>1.14360192562383E-2</v>
      </c>
      <c r="F31879" s="2">
        <v>1.1253469543172599E-2</v>
      </c>
    </row>
    <row r="31880" spans="1:6" x14ac:dyDescent="0.25">
      <c r="A31880" s="1" t="str">
        <f t="shared" si="1138"/>
        <v>41740</v>
      </c>
      <c r="B31880" s="1" t="str">
        <f>"92121"</f>
        <v>92121</v>
      </c>
      <c r="C31880" s="2">
        <v>1.3611421206387701E-3</v>
      </c>
      <c r="D31880" s="2">
        <v>4.18775790921595E-2</v>
      </c>
      <c r="E31880" s="2">
        <v>1.75219155332254E-2</v>
      </c>
      <c r="F31880" s="2">
        <v>6.0134573183562596E-3</v>
      </c>
    </row>
    <row r="31881" spans="1:6" x14ac:dyDescent="0.25">
      <c r="A31881" s="1" t="str">
        <f t="shared" si="1138"/>
        <v>41740</v>
      </c>
      <c r="B31881" s="1" t="str">
        <f>"92122"</f>
        <v>92122</v>
      </c>
      <c r="C31881" s="2">
        <v>1.7051143846030101E-2</v>
      </c>
      <c r="D31881" s="2">
        <v>1.0185694635488299E-2</v>
      </c>
      <c r="E31881" s="2">
        <v>2.02652988290693E-2</v>
      </c>
      <c r="F31881" s="2">
        <v>1.66174834914877E-2</v>
      </c>
    </row>
    <row r="31882" spans="1:6" x14ac:dyDescent="0.25">
      <c r="A31882" s="1" t="str">
        <f t="shared" si="1138"/>
        <v>41740</v>
      </c>
      <c r="B31882" s="1" t="str">
        <f>"91915"</f>
        <v>91915</v>
      </c>
      <c r="C31882" s="2">
        <v>7.8615911648161705E-3</v>
      </c>
      <c r="D31882" s="2">
        <v>2.61348005502063E-3</v>
      </c>
      <c r="E31882" s="2">
        <v>1.3506695537009301E-2</v>
      </c>
      <c r="F31882" s="2">
        <v>7.72004669479042E-3</v>
      </c>
    </row>
    <row r="31883" spans="1:6" x14ac:dyDescent="0.25">
      <c r="A31883" s="1" t="str">
        <f t="shared" si="1138"/>
        <v>41740</v>
      </c>
      <c r="B31883" s="1" t="str">
        <f>"91942"</f>
        <v>91942</v>
      </c>
      <c r="C31883" s="2">
        <v>1.37846976952014E-2</v>
      </c>
      <c r="D31883" s="2">
        <v>1.6712517193947701E-2</v>
      </c>
      <c r="E31883" s="2">
        <v>1.80790010300826E-2</v>
      </c>
      <c r="F31883" s="2">
        <v>1.43071685521608E-2</v>
      </c>
    </row>
    <row r="31884" spans="1:6" x14ac:dyDescent="0.25">
      <c r="A31884" s="1" t="str">
        <f t="shared" si="1138"/>
        <v>41740</v>
      </c>
      <c r="B31884" s="1" t="str">
        <f>"91978"</f>
        <v>91978</v>
      </c>
      <c r="C31884" s="2">
        <v>2.5091910273747301E-3</v>
      </c>
      <c r="D31884" s="2">
        <v>2.1526822558459399E-3</v>
      </c>
      <c r="E31884" s="2">
        <v>2.2703861758708401E-3</v>
      </c>
      <c r="F31884" s="2">
        <v>2.4624988727116001E-3</v>
      </c>
    </row>
    <row r="31885" spans="1:6" x14ac:dyDescent="0.25">
      <c r="A31885" s="1" t="str">
        <f t="shared" si="1138"/>
        <v>41740</v>
      </c>
      <c r="B31885" s="1" t="str">
        <f>"92009"</f>
        <v>92009</v>
      </c>
      <c r="C31885" s="2">
        <v>1.26853136746855E-2</v>
      </c>
      <c r="D31885" s="2">
        <v>6.9532324621733102E-3</v>
      </c>
      <c r="E31885" s="2">
        <v>1.70068742248102E-2</v>
      </c>
      <c r="F31885" s="2">
        <v>1.24208393037866E-2</v>
      </c>
    </row>
    <row r="31886" spans="1:6" x14ac:dyDescent="0.25">
      <c r="A31886" s="1" t="str">
        <f t="shared" si="1138"/>
        <v>41740</v>
      </c>
      <c r="B31886" s="1" t="str">
        <f>"91916"</f>
        <v>91916</v>
      </c>
      <c r="C31886" s="2">
        <v>9.0693651591857902E-4</v>
      </c>
      <c r="D31886" s="2">
        <v>5.5708390646492395E-4</v>
      </c>
      <c r="E31886" s="2">
        <v>1.15621518215644E-4</v>
      </c>
      <c r="F31886" s="2">
        <v>8.27930699319618E-4</v>
      </c>
    </row>
    <row r="31887" spans="1:6" x14ac:dyDescent="0.25">
      <c r="A31887" s="1" t="str">
        <f t="shared" si="1138"/>
        <v>41740</v>
      </c>
      <c r="B31887" s="1" t="str">
        <f>"91948"</f>
        <v>91948</v>
      </c>
      <c r="C31887" s="2">
        <v>0</v>
      </c>
      <c r="D31887" s="2">
        <v>6.8775790921595496E-6</v>
      </c>
      <c r="E31887" s="2">
        <v>0</v>
      </c>
      <c r="F31887" s="2">
        <v>6.2627133080152697E-7</v>
      </c>
    </row>
    <row r="31888" spans="1:6" x14ac:dyDescent="0.25">
      <c r="A31888" s="1" t="str">
        <f t="shared" si="1138"/>
        <v>41740</v>
      </c>
      <c r="B31888" s="1" t="str">
        <f>"92172"</f>
        <v>92172</v>
      </c>
      <c r="C31888" s="2">
        <v>1.38621191050969E-3</v>
      </c>
      <c r="D31888" s="2">
        <v>2.8885832187070101E-3</v>
      </c>
      <c r="E31888" s="2">
        <v>2.10220942210262E-5</v>
      </c>
      <c r="F31888" s="2">
        <v>1.4416766035051101E-3</v>
      </c>
    </row>
    <row r="31889" spans="1:6" x14ac:dyDescent="0.25">
      <c r="A31889" s="1" t="str">
        <f t="shared" si="1138"/>
        <v>41740</v>
      </c>
      <c r="B31889" s="1" t="str">
        <f>"92179"</f>
        <v>92179</v>
      </c>
      <c r="C31889" s="2">
        <v>0</v>
      </c>
      <c r="D31889" s="2">
        <v>6.8775790921595496E-6</v>
      </c>
      <c r="E31889" s="2">
        <v>1.05110471105131E-5</v>
      </c>
      <c r="F31889" s="2">
        <v>1.2525426616030499E-6</v>
      </c>
    </row>
    <row r="31890" spans="1:6" x14ac:dyDescent="0.25">
      <c r="A31890" s="1" t="str">
        <f t="shared" si="1138"/>
        <v>41740</v>
      </c>
      <c r="B31890" s="1" t="str">
        <f>"91933"</f>
        <v>91933</v>
      </c>
      <c r="C31890" s="2">
        <v>1.1126562622122999E-3</v>
      </c>
      <c r="D31890" s="2">
        <v>1.0935350756533699E-3</v>
      </c>
      <c r="E31890" s="2">
        <v>2.10220942210262E-5</v>
      </c>
      <c r="F31890" s="2">
        <v>1.0458731224385501E-3</v>
      </c>
    </row>
    <row r="31891" spans="1:6" x14ac:dyDescent="0.25">
      <c r="A31891" s="1" t="str">
        <f t="shared" si="1138"/>
        <v>41740</v>
      </c>
      <c r="B31891" s="1" t="str">
        <f>"91908"</f>
        <v>91908</v>
      </c>
      <c r="C31891" s="2">
        <v>7.5651777669305802E-4</v>
      </c>
      <c r="D31891" s="2">
        <v>2.4277854195323199E-3</v>
      </c>
      <c r="E31891" s="2">
        <v>2.10220942210262E-5</v>
      </c>
      <c r="F31891" s="2">
        <v>8.6488070783690796E-4</v>
      </c>
    </row>
    <row r="31892" spans="1:6" x14ac:dyDescent="0.25">
      <c r="A31892" s="1" t="str">
        <f t="shared" si="1138"/>
        <v>41740</v>
      </c>
      <c r="B31892" s="1" t="str">
        <f>"92195"</f>
        <v>92195</v>
      </c>
      <c r="C31892" s="2">
        <v>1.0897985126241099E-3</v>
      </c>
      <c r="D31892" s="2">
        <v>1.5543328748280601E-3</v>
      </c>
      <c r="E31892" s="2">
        <v>2.10220942210262E-5</v>
      </c>
      <c r="F31892" s="2">
        <v>1.0684188903474E-3</v>
      </c>
    </row>
    <row r="31893" spans="1:6" x14ac:dyDescent="0.25">
      <c r="A31893" s="1" t="str">
        <f t="shared" si="1138"/>
        <v>41740</v>
      </c>
      <c r="B31893" s="1" t="str">
        <f>"92013"</f>
        <v>92013</v>
      </c>
      <c r="C31893" s="2">
        <v>4.4535744358928598E-4</v>
      </c>
      <c r="D31893" s="2">
        <v>3.17056396148555E-3</v>
      </c>
      <c r="E31893" s="2">
        <v>3.1533141331539399E-5</v>
      </c>
      <c r="F31893" s="2">
        <v>6.6885778129602996E-4</v>
      </c>
    </row>
    <row r="31894" spans="1:6" x14ac:dyDescent="0.25">
      <c r="A31894" s="1" t="str">
        <f t="shared" si="1138"/>
        <v>41740</v>
      </c>
      <c r="B31894" s="1" t="str">
        <f>"92039"</f>
        <v>92039</v>
      </c>
      <c r="C31894" s="2">
        <v>6.2453270649027298E-4</v>
      </c>
      <c r="D31894" s="2">
        <v>1.0178817056396101E-3</v>
      </c>
      <c r="E31894" s="2">
        <v>4.2044188442052502E-5</v>
      </c>
      <c r="F31894" s="2">
        <v>6.2564505947072498E-4</v>
      </c>
    </row>
    <row r="31895" spans="1:6" x14ac:dyDescent="0.25">
      <c r="A31895" s="1" t="str">
        <f t="shared" si="1138"/>
        <v>41740</v>
      </c>
      <c r="B31895" s="1" t="str">
        <f>"92145"</f>
        <v>92145</v>
      </c>
      <c r="C31895" s="2">
        <v>0</v>
      </c>
      <c r="D31895" s="2">
        <v>3.9202200825309402E-4</v>
      </c>
      <c r="E31895" s="2">
        <v>5.2555235552565701E-5</v>
      </c>
      <c r="F31895" s="2">
        <v>3.8828822509694599E-5</v>
      </c>
    </row>
    <row r="31896" spans="1:6" x14ac:dyDescent="0.25">
      <c r="A31896" s="1" t="str">
        <f t="shared" si="1138"/>
        <v>41740</v>
      </c>
      <c r="B31896" s="1" t="str">
        <f>"91946"</f>
        <v>91946</v>
      </c>
      <c r="C31896" s="2">
        <v>9.6002548270405705E-4</v>
      </c>
      <c r="D31896" s="2">
        <v>1.3823933975240701E-3</v>
      </c>
      <c r="E31896" s="2">
        <v>2.10220942210262E-5</v>
      </c>
      <c r="F31896" s="2">
        <v>9.4253835285629803E-4</v>
      </c>
    </row>
    <row r="31897" spans="1:6" x14ac:dyDescent="0.25">
      <c r="A31897" s="1" t="str">
        <f t="shared" si="1138"/>
        <v>41740</v>
      </c>
      <c r="B31897" s="1" t="str">
        <f>"92049"</f>
        <v>92049</v>
      </c>
      <c r="C31897" s="2">
        <v>4.6526580613383999E-4</v>
      </c>
      <c r="D31897" s="2">
        <v>8.8033012379642301E-4</v>
      </c>
      <c r="E31897" s="2">
        <v>2.10220942210262E-5</v>
      </c>
      <c r="F31897" s="2">
        <v>4.7659248273996201E-4</v>
      </c>
    </row>
    <row r="31898" spans="1:6" x14ac:dyDescent="0.25">
      <c r="A31898" s="1" t="str">
        <f t="shared" si="1138"/>
        <v>41740</v>
      </c>
      <c r="B31898" s="1" t="str">
        <f>"92126"</f>
        <v>92126</v>
      </c>
      <c r="C31898" s="2">
        <v>1.9356827167393901E-2</v>
      </c>
      <c r="D31898" s="2">
        <v>1.97524071526822E-2</v>
      </c>
      <c r="E31898" s="2">
        <v>2.3586789715991499E-2</v>
      </c>
      <c r="F31898" s="2">
        <v>1.9644879104582302E-2</v>
      </c>
    </row>
    <row r="31899" spans="1:6" x14ac:dyDescent="0.25">
      <c r="A31899" s="1" t="str">
        <f t="shared" si="1138"/>
        <v>41740</v>
      </c>
      <c r="B31899" s="1" t="str">
        <f>"92139"</f>
        <v>92139</v>
      </c>
      <c r="C31899" s="2">
        <v>8.0171713313680493E-3</v>
      </c>
      <c r="D31899" s="2">
        <v>8.52819807427785E-4</v>
      </c>
      <c r="E31899" s="2">
        <v>6.4748050200760902E-3</v>
      </c>
      <c r="F31899" s="2">
        <v>7.2728889645981296E-3</v>
      </c>
    </row>
    <row r="31900" spans="1:6" x14ac:dyDescent="0.25">
      <c r="A31900" s="1" t="str">
        <f t="shared" si="1138"/>
        <v>41740</v>
      </c>
      <c r="B31900" s="1" t="str">
        <f>"92152"</f>
        <v>92152</v>
      </c>
      <c r="C31900" s="2">
        <v>0</v>
      </c>
      <c r="D31900" s="2">
        <v>6.6712517193947705E-4</v>
      </c>
      <c r="E31900" s="2">
        <v>2.20731989320776E-3</v>
      </c>
      <c r="F31900" s="2">
        <v>1.92265298556068E-4</v>
      </c>
    </row>
    <row r="31901" spans="1:6" x14ac:dyDescent="0.25">
      <c r="A31901" s="1" t="str">
        <f t="shared" si="1138"/>
        <v>41740</v>
      </c>
      <c r="B31901" s="1" t="str">
        <f>"92114"</f>
        <v>92114</v>
      </c>
      <c r="C31901" s="2">
        <v>1.3722023220524101E-2</v>
      </c>
      <c r="D31901" s="2">
        <v>2.7716643741403E-3</v>
      </c>
      <c r="E31901" s="2">
        <v>4.4356618806365398E-3</v>
      </c>
      <c r="F31901" s="2">
        <v>1.21715833141276E-2</v>
      </c>
    </row>
    <row r="31902" spans="1:6" x14ac:dyDescent="0.25">
      <c r="A31902" s="1" t="str">
        <f t="shared" si="1138"/>
        <v>41740</v>
      </c>
      <c r="B31902" s="1" t="str">
        <f>"92116"</f>
        <v>92116</v>
      </c>
      <c r="C31902" s="2">
        <v>1.28703877116738E-2</v>
      </c>
      <c r="D31902" s="2">
        <v>5.2269601100412601E-3</v>
      </c>
      <c r="E31902" s="2">
        <v>1.97923017090962E-2</v>
      </c>
      <c r="F31902" s="2">
        <v>1.2586801206449E-2</v>
      </c>
    </row>
    <row r="31903" spans="1:6" x14ac:dyDescent="0.25">
      <c r="A31903" s="1" t="str">
        <f t="shared" si="1138"/>
        <v>41740</v>
      </c>
      <c r="B31903" s="1" t="str">
        <f>"92117"</f>
        <v>92117</v>
      </c>
      <c r="C31903" s="2">
        <v>1.5679678870738602E-2</v>
      </c>
      <c r="D31903" s="2">
        <v>9.4635488308115502E-3</v>
      </c>
      <c r="E31903" s="2">
        <v>1.33280077361306E-2</v>
      </c>
      <c r="F31903" s="2">
        <v>1.4973521248133699E-2</v>
      </c>
    </row>
    <row r="31904" spans="1:6" x14ac:dyDescent="0.25">
      <c r="A31904" s="1" t="str">
        <f t="shared" si="1138"/>
        <v>41740</v>
      </c>
      <c r="B31904" s="1" t="str">
        <f>"92118"</f>
        <v>92118</v>
      </c>
      <c r="C31904" s="2">
        <v>7.1338299117985797E-3</v>
      </c>
      <c r="D31904" s="2">
        <v>4.2916093535075601E-3</v>
      </c>
      <c r="E31904" s="2">
        <v>5.2870566965881102E-3</v>
      </c>
      <c r="F31904" s="2">
        <v>6.7649829153180897E-3</v>
      </c>
    </row>
    <row r="31905" spans="1:6" x14ac:dyDescent="0.25">
      <c r="A31905" s="1" t="str">
        <f t="shared" si="1138"/>
        <v>41740</v>
      </c>
      <c r="B31905" s="1" t="str">
        <f>"92011"</f>
        <v>92011</v>
      </c>
      <c r="C31905" s="2">
        <v>7.4420408578587099E-3</v>
      </c>
      <c r="D31905" s="2">
        <v>7.5240715268225502E-3</v>
      </c>
      <c r="E31905" s="2">
        <v>5.97027475877146E-3</v>
      </c>
      <c r="F31905" s="2">
        <v>7.3618194935719502E-3</v>
      </c>
    </row>
    <row r="31906" spans="1:6" x14ac:dyDescent="0.25">
      <c r="A31906" s="1" t="str">
        <f t="shared" ref="A31906:A31937" si="1139">"41740"</f>
        <v>41740</v>
      </c>
      <c r="B31906" s="1" t="str">
        <f>"91906"</f>
        <v>91906</v>
      </c>
      <c r="C31906" s="2">
        <v>1.3898986443142401E-3</v>
      </c>
      <c r="D31906" s="2">
        <v>7.7028885832187001E-4</v>
      </c>
      <c r="E31906" s="2">
        <v>1.5766570665769699E-4</v>
      </c>
      <c r="F31906" s="2">
        <v>1.2600579175726699E-3</v>
      </c>
    </row>
    <row r="31907" spans="1:6" x14ac:dyDescent="0.25">
      <c r="A31907" s="1" t="str">
        <f t="shared" si="1139"/>
        <v>41740</v>
      </c>
      <c r="B31907" s="1" t="str">
        <f>"92003"</f>
        <v>92003</v>
      </c>
      <c r="C31907" s="2">
        <v>2.3410759658873798E-3</v>
      </c>
      <c r="D31907" s="2">
        <v>2.47592847317744E-3</v>
      </c>
      <c r="E31907" s="2">
        <v>4.0993083731001199E-4</v>
      </c>
      <c r="F31907" s="2">
        <v>2.2382937362846501E-3</v>
      </c>
    </row>
    <row r="31908" spans="1:6" x14ac:dyDescent="0.25">
      <c r="A31908" s="1" t="str">
        <f t="shared" si="1139"/>
        <v>41740</v>
      </c>
      <c r="B31908" s="1" t="str">
        <f>"92021"</f>
        <v>92021</v>
      </c>
      <c r="C31908" s="2">
        <v>1.9141521913208299E-2</v>
      </c>
      <c r="D31908" s="2">
        <v>1.32049518569463E-2</v>
      </c>
      <c r="E31908" s="2">
        <v>1.3748449620551099E-2</v>
      </c>
      <c r="F31908" s="2">
        <v>1.8279607603434899E-2</v>
      </c>
    </row>
    <row r="31909" spans="1:6" x14ac:dyDescent="0.25">
      <c r="A31909" s="1" t="str">
        <f t="shared" si="1139"/>
        <v>41740</v>
      </c>
      <c r="B31909" s="1" t="str">
        <f>"92014"</f>
        <v>92014</v>
      </c>
      <c r="C31909" s="2">
        <v>5.9127836757325901E-3</v>
      </c>
      <c r="D31909" s="2">
        <v>1.0453920220082499E-2</v>
      </c>
      <c r="E31909" s="2">
        <v>3.5632449704639498E-3</v>
      </c>
      <c r="F31909" s="2">
        <v>6.1863082056574804E-3</v>
      </c>
    </row>
    <row r="31910" spans="1:6" x14ac:dyDescent="0.25">
      <c r="A31910" s="1" t="str">
        <f t="shared" si="1139"/>
        <v>41740</v>
      </c>
      <c r="B31910" s="1" t="str">
        <f>"92197"</f>
        <v>92197</v>
      </c>
      <c r="C31910" s="2">
        <v>0</v>
      </c>
      <c r="D31910" s="2">
        <v>2.7510316368638199E-5</v>
      </c>
      <c r="E31910" s="2">
        <v>0</v>
      </c>
      <c r="F31910" s="2">
        <v>2.5050853232060998E-6</v>
      </c>
    </row>
    <row r="31911" spans="1:6" x14ac:dyDescent="0.25">
      <c r="A31911" s="1" t="str">
        <f t="shared" si="1139"/>
        <v>41740</v>
      </c>
      <c r="B31911" s="1" t="str">
        <f>"92096"</f>
        <v>92096</v>
      </c>
      <c r="C31911" s="2">
        <v>0</v>
      </c>
      <c r="D31911" s="2">
        <v>0</v>
      </c>
      <c r="E31911" s="2">
        <v>1.05110471105131E-5</v>
      </c>
      <c r="F31911" s="2">
        <v>6.2627133080152697E-7</v>
      </c>
    </row>
    <row r="31912" spans="1:6" x14ac:dyDescent="0.25">
      <c r="A31912" s="1" t="str">
        <f t="shared" si="1139"/>
        <v>41740</v>
      </c>
      <c r="B31912" s="1" t="str">
        <f>"92060"</f>
        <v>92060</v>
      </c>
      <c r="C31912" s="2">
        <v>6.6361208481847194E-5</v>
      </c>
      <c r="D31912" s="2">
        <v>1.0316368638239299E-4</v>
      </c>
      <c r="E31912" s="2">
        <v>0</v>
      </c>
      <c r="F31912" s="2">
        <v>6.5758489734160305E-5</v>
      </c>
    </row>
    <row r="31913" spans="1:6" x14ac:dyDescent="0.25">
      <c r="A31913" s="1" t="str">
        <f t="shared" si="1139"/>
        <v>41740</v>
      </c>
      <c r="B31913" s="1" t="str">
        <f>"92018"</f>
        <v>92018</v>
      </c>
      <c r="C31913" s="2">
        <v>1.32132539554966E-3</v>
      </c>
      <c r="D31913" s="2">
        <v>4.6079779917469E-3</v>
      </c>
      <c r="E31913" s="2">
        <v>2.10220942210262E-5</v>
      </c>
      <c r="F31913" s="2">
        <v>1.54313255909496E-3</v>
      </c>
    </row>
    <row r="31914" spans="1:6" x14ac:dyDescent="0.25">
      <c r="A31914" s="1" t="str">
        <f t="shared" si="1139"/>
        <v>41740</v>
      </c>
      <c r="B31914" s="1" t="str">
        <f>"92192"</f>
        <v>92192</v>
      </c>
      <c r="C31914" s="2">
        <v>1.5845581891943299E-3</v>
      </c>
      <c r="D31914" s="2">
        <v>3.1499312242090701E-3</v>
      </c>
      <c r="E31914" s="2">
        <v>4.2044188442052502E-5</v>
      </c>
      <c r="F31914" s="2">
        <v>1.6351944447227801E-3</v>
      </c>
    </row>
    <row r="31915" spans="1:6" x14ac:dyDescent="0.25">
      <c r="A31915" s="1" t="str">
        <f t="shared" si="1139"/>
        <v>41740</v>
      </c>
      <c r="B31915" s="1" t="str">
        <f>"92168"</f>
        <v>92168</v>
      </c>
      <c r="C31915" s="2">
        <v>1.0086903689240699E-3</v>
      </c>
      <c r="D31915" s="2">
        <v>1.5612104539202199E-3</v>
      </c>
      <c r="E31915" s="2">
        <v>2.10220942210262E-5</v>
      </c>
      <c r="F31915" s="2">
        <v>1.0001553152900299E-3</v>
      </c>
    </row>
    <row r="31916" spans="1:6" x14ac:dyDescent="0.25">
      <c r="A31916" s="1" t="str">
        <f t="shared" si="1139"/>
        <v>41740</v>
      </c>
      <c r="B31916" s="1" t="str">
        <f>"92167"</f>
        <v>92167</v>
      </c>
      <c r="C31916" s="2">
        <v>6.3706760142573295E-4</v>
      </c>
      <c r="D31916" s="2">
        <v>1.33425034387895E-3</v>
      </c>
      <c r="E31916" s="2">
        <v>2.10220942210262E-5</v>
      </c>
      <c r="F31916" s="2">
        <v>6.6384761064961796E-4</v>
      </c>
    </row>
    <row r="31917" spans="1:6" x14ac:dyDescent="0.25">
      <c r="A31917" s="1" t="str">
        <f t="shared" si="1139"/>
        <v>41740</v>
      </c>
      <c r="B31917" s="1" t="str">
        <f>"92176"</f>
        <v>92176</v>
      </c>
      <c r="C31917" s="2">
        <v>6.1863393240299796E-4</v>
      </c>
      <c r="D31917" s="2">
        <v>1.767537826685E-3</v>
      </c>
      <c r="E31917" s="2">
        <v>2.10220942210262E-5</v>
      </c>
      <c r="F31917" s="2">
        <v>6.8764592122007599E-4</v>
      </c>
    </row>
    <row r="31918" spans="1:6" x14ac:dyDescent="0.25">
      <c r="A31918" s="1" t="str">
        <f t="shared" si="1139"/>
        <v>41740</v>
      </c>
      <c r="B31918" s="1" t="str">
        <f>"92191"</f>
        <v>92191</v>
      </c>
      <c r="C31918" s="2">
        <v>4.5568029824201699E-4</v>
      </c>
      <c r="D31918" s="2">
        <v>1.89821182943603E-3</v>
      </c>
      <c r="E31918" s="2">
        <v>2.10220942210262E-5</v>
      </c>
      <c r="F31918" s="2">
        <v>5.6113911239816803E-4</v>
      </c>
    </row>
    <row r="31919" spans="1:6" x14ac:dyDescent="0.25">
      <c r="A31919" s="1" t="str">
        <f t="shared" si="1139"/>
        <v>41740</v>
      </c>
      <c r="B31919" s="1" t="str">
        <f>"92101"</f>
        <v>92101</v>
      </c>
      <c r="C31919" s="2">
        <v>2.3508826778074799E-2</v>
      </c>
      <c r="D31919" s="2">
        <v>4.9532324621733098E-2</v>
      </c>
      <c r="E31919" s="2">
        <v>1.89409068931446E-2</v>
      </c>
      <c r="F31919" s="2">
        <v>2.5606355902482E-2</v>
      </c>
    </row>
    <row r="31920" spans="1:6" x14ac:dyDescent="0.25">
      <c r="A31920" s="1" t="str">
        <f t="shared" si="1139"/>
        <v>41740</v>
      </c>
      <c r="B31920" s="1" t="str">
        <f>"92102"</f>
        <v>92102</v>
      </c>
      <c r="C31920" s="2">
        <v>1.11044422192957E-2</v>
      </c>
      <c r="D31920" s="2">
        <v>6.7056396148555703E-3</v>
      </c>
      <c r="E31920" s="2">
        <v>1.47575101431604E-2</v>
      </c>
      <c r="F31920" s="2">
        <v>1.09215457378478E-2</v>
      </c>
    </row>
    <row r="31921" spans="1:6" x14ac:dyDescent="0.25">
      <c r="A31921" s="1" t="str">
        <f t="shared" si="1139"/>
        <v>41740</v>
      </c>
      <c r="B31921" s="1" t="str">
        <f>"92115"</f>
        <v>92115</v>
      </c>
      <c r="C31921" s="2">
        <v>1.72428540038666E-2</v>
      </c>
      <c r="D31921" s="2">
        <v>9.7455295735900897E-3</v>
      </c>
      <c r="E31921" s="2">
        <v>1.9182660976686399E-2</v>
      </c>
      <c r="F31921" s="2">
        <v>1.66757267252522E-2</v>
      </c>
    </row>
    <row r="31922" spans="1:6" x14ac:dyDescent="0.25">
      <c r="A31922" s="1" t="str">
        <f t="shared" si="1139"/>
        <v>41740</v>
      </c>
      <c r="B31922" s="1" t="str">
        <f>"92088"</f>
        <v>92088</v>
      </c>
      <c r="C31922" s="2">
        <v>1.3117398876578399E-3</v>
      </c>
      <c r="D31922" s="2">
        <v>3.3700137551581802E-3</v>
      </c>
      <c r="E31922" s="2">
        <v>2.10220942210262E-5</v>
      </c>
      <c r="F31922" s="2">
        <v>1.4222621922502601E-3</v>
      </c>
    </row>
    <row r="31923" spans="1:6" x14ac:dyDescent="0.25">
      <c r="A31923" s="1" t="str">
        <f t="shared" si="1139"/>
        <v>41740</v>
      </c>
      <c r="B31923" s="1" t="str">
        <f>"92091"</f>
        <v>92091</v>
      </c>
      <c r="C31923" s="2">
        <v>6.9531799553757695E-4</v>
      </c>
      <c r="D31923" s="2">
        <v>3.57634112792297E-4</v>
      </c>
      <c r="E31923" s="2">
        <v>2.8379827198385502E-4</v>
      </c>
      <c r="F31923" s="2">
        <v>6.4004930007916004E-4</v>
      </c>
    </row>
    <row r="31924" spans="1:6" x14ac:dyDescent="0.25">
      <c r="A31924" s="1" t="str">
        <f t="shared" si="1139"/>
        <v>41740</v>
      </c>
      <c r="B31924" s="1" t="str">
        <f>"91932"</f>
        <v>91932</v>
      </c>
      <c r="C31924" s="2">
        <v>7.5946716373669603E-3</v>
      </c>
      <c r="D31924" s="2">
        <v>2.97799174690508E-3</v>
      </c>
      <c r="E31924" s="2">
        <v>9.7542517185561992E-3</v>
      </c>
      <c r="F31924" s="2">
        <v>7.3029499884765996E-3</v>
      </c>
    </row>
    <row r="31925" spans="1:6" x14ac:dyDescent="0.25">
      <c r="A31925" s="1" t="str">
        <f t="shared" si="1139"/>
        <v>41740</v>
      </c>
      <c r="B31925" s="1" t="str">
        <f>"91980"</f>
        <v>91980</v>
      </c>
      <c r="C31925" s="2">
        <v>1.2424292921323599E-3</v>
      </c>
      <c r="D31925" s="2">
        <v>7.0839064649243395E-4</v>
      </c>
      <c r="E31925" s="2">
        <v>1.05110471105131E-5</v>
      </c>
      <c r="F31925" s="2">
        <v>1.1203994108039299E-3</v>
      </c>
    </row>
    <row r="31926" spans="1:6" x14ac:dyDescent="0.25">
      <c r="A31926" s="1" t="str">
        <f t="shared" si="1139"/>
        <v>41740</v>
      </c>
      <c r="B31926" s="1" t="str">
        <f>"92010"</f>
        <v>92010</v>
      </c>
      <c r="C31926" s="2">
        <v>5.4762743932742098E-3</v>
      </c>
      <c r="D31926" s="2">
        <v>5.3713892709766099E-3</v>
      </c>
      <c r="E31926" s="2">
        <v>4.0257310433265301E-3</v>
      </c>
      <c r="F31926" s="2">
        <v>5.3802970029159097E-3</v>
      </c>
    </row>
    <row r="31927" spans="1:6" x14ac:dyDescent="0.25">
      <c r="A31927" s="1" t="str">
        <f t="shared" si="1139"/>
        <v>41740</v>
      </c>
      <c r="B31927" s="1" t="str">
        <f>"91963"</f>
        <v>91963</v>
      </c>
      <c r="C31927" s="2">
        <v>5.7439312674843301E-4</v>
      </c>
      <c r="D31927" s="2">
        <v>1.37551581843191E-4</v>
      </c>
      <c r="E31927" s="2">
        <v>3.1533141331539399E-5</v>
      </c>
      <c r="F31927" s="2">
        <v>5.0226960730282398E-4</v>
      </c>
    </row>
    <row r="31928" spans="1:6" x14ac:dyDescent="0.25">
      <c r="A31928" s="1" t="str">
        <f t="shared" si="1139"/>
        <v>41740</v>
      </c>
      <c r="B31928" s="1" t="str">
        <f>"92019"</f>
        <v>92019</v>
      </c>
      <c r="C31928" s="2">
        <v>1.15033468169477E-2</v>
      </c>
      <c r="D31928" s="2">
        <v>4.0096286107290198E-3</v>
      </c>
      <c r="E31928" s="2">
        <v>1.1152220984254399E-2</v>
      </c>
      <c r="F31928" s="2">
        <v>1.0800049099672301E-2</v>
      </c>
    </row>
    <row r="31929" spans="1:6" x14ac:dyDescent="0.25">
      <c r="A31929" s="1" t="str">
        <f t="shared" si="1139"/>
        <v>41740</v>
      </c>
      <c r="B31929" s="1" t="str">
        <f>"92065"</f>
        <v>92065</v>
      </c>
      <c r="C31929" s="2">
        <v>1.1343342569830399E-2</v>
      </c>
      <c r="D31929" s="2">
        <v>9.4291609353507506E-3</v>
      </c>
      <c r="E31929" s="2">
        <v>2.80644957850701E-3</v>
      </c>
      <c r="F31929" s="2">
        <v>1.0660390592903499E-2</v>
      </c>
    </row>
    <row r="31930" spans="1:6" x14ac:dyDescent="0.25">
      <c r="A31930" s="1" t="str">
        <f t="shared" si="1139"/>
        <v>41740</v>
      </c>
      <c r="B31930" s="1" t="str">
        <f>"92066"</f>
        <v>92066</v>
      </c>
      <c r="C31930" s="2">
        <v>1.44519965138245E-4</v>
      </c>
      <c r="D31930" s="2">
        <v>2.7510316368638199E-5</v>
      </c>
      <c r="E31930" s="2">
        <v>1.05110471105131E-5</v>
      </c>
      <c r="F31930" s="2">
        <v>1.2588053749110599E-4</v>
      </c>
    </row>
    <row r="31931" spans="1:6" x14ac:dyDescent="0.25">
      <c r="A31931" s="1" t="str">
        <f t="shared" si="1139"/>
        <v>41740</v>
      </c>
      <c r="B31931" s="1" t="str">
        <f>"92199"</f>
        <v>92199</v>
      </c>
      <c r="C31931" s="2">
        <v>0</v>
      </c>
      <c r="D31931" s="2">
        <v>6.8775790921595496E-6</v>
      </c>
      <c r="E31931" s="2">
        <v>1.05110471105131E-5</v>
      </c>
      <c r="F31931" s="2">
        <v>1.2525426616030499E-6</v>
      </c>
    </row>
    <row r="31932" spans="1:6" x14ac:dyDescent="0.25">
      <c r="A31932" s="1" t="str">
        <f t="shared" si="1139"/>
        <v>41740</v>
      </c>
      <c r="B31932" s="1" t="str">
        <f>"92132"</f>
        <v>92132</v>
      </c>
      <c r="C31932" s="2">
        <v>0</v>
      </c>
      <c r="D31932" s="2">
        <v>8.8033012379642301E-4</v>
      </c>
      <c r="E31932" s="2">
        <v>4.2044188442052502E-5</v>
      </c>
      <c r="F31932" s="2">
        <v>8.2667815665801503E-5</v>
      </c>
    </row>
    <row r="31933" spans="1:6" x14ac:dyDescent="0.25">
      <c r="A31933" s="1" t="str">
        <f t="shared" si="1139"/>
        <v>41740</v>
      </c>
      <c r="B31933" s="1" t="str">
        <f>"91934"</f>
        <v>91934</v>
      </c>
      <c r="C31933" s="2">
        <v>1.18712828506415E-4</v>
      </c>
      <c r="D31933" s="2">
        <v>2.0632737276478599E-5</v>
      </c>
      <c r="E31933" s="2">
        <v>0</v>
      </c>
      <c r="F31933" s="2">
        <v>1.0270849825145001E-4</v>
      </c>
    </row>
    <row r="31934" spans="1:6" x14ac:dyDescent="0.25">
      <c r="A31934" s="1" t="str">
        <f t="shared" si="1139"/>
        <v>41740</v>
      </c>
      <c r="B31934" s="1" t="str">
        <f>"92036"</f>
        <v>92036</v>
      </c>
      <c r="C31934" s="2">
        <v>5.3015232109386795E-4</v>
      </c>
      <c r="D31934" s="2">
        <v>2.61348005502063E-4</v>
      </c>
      <c r="E31934" s="2">
        <v>3.61580020601652E-3</v>
      </c>
      <c r="F31934" s="2">
        <v>6.8952473521248102E-4</v>
      </c>
    </row>
    <row r="31935" spans="1:6" x14ac:dyDescent="0.25">
      <c r="A31935" s="1" t="str">
        <f t="shared" si="1139"/>
        <v>41740</v>
      </c>
      <c r="B31935" s="1" t="str">
        <f>"92074"</f>
        <v>92074</v>
      </c>
      <c r="C31935" s="2">
        <v>8.4573673476309697E-4</v>
      </c>
      <c r="D31935" s="2">
        <v>2.3865199449793601E-3</v>
      </c>
      <c r="E31935" s="2">
        <v>2.10220942210262E-5</v>
      </c>
      <c r="F31935" s="2">
        <v>9.3690191087908404E-4</v>
      </c>
    </row>
    <row r="31936" spans="1:6" x14ac:dyDescent="0.25">
      <c r="A31936" s="1" t="str">
        <f t="shared" si="1139"/>
        <v>41740</v>
      </c>
      <c r="B31936" s="1" t="str">
        <f>"92103"</f>
        <v>92103</v>
      </c>
      <c r="C31936" s="2">
        <v>1.50308137211384E-2</v>
      </c>
      <c r="D31936" s="2">
        <v>2.0130674002750999E-2</v>
      </c>
      <c r="E31936" s="2">
        <v>2.0465008724169099E-2</v>
      </c>
      <c r="F31936" s="2">
        <v>1.5818987544715699E-2</v>
      </c>
    </row>
    <row r="31937" spans="1:6" x14ac:dyDescent="0.25">
      <c r="A31937" s="1" t="str">
        <f t="shared" si="1139"/>
        <v>41740</v>
      </c>
      <c r="B31937" s="1" t="str">
        <f>"92107"</f>
        <v>92107</v>
      </c>
      <c r="C31937" s="2">
        <v>1.06767810979683E-2</v>
      </c>
      <c r="D31937" s="2">
        <v>4.4291609353507497E-3</v>
      </c>
      <c r="E31937" s="2">
        <v>1.1835439046437799E-2</v>
      </c>
      <c r="F31937" s="2">
        <v>1.01769091255248E-2</v>
      </c>
    </row>
    <row r="31938" spans="1:6" x14ac:dyDescent="0.25">
      <c r="A31938" s="1" t="str">
        <f t="shared" ref="A31938:A31969" si="1140">"41740"</f>
        <v>41740</v>
      </c>
      <c r="B31938" s="1" t="str">
        <f>"92112"</f>
        <v>92112</v>
      </c>
      <c r="C31938" s="2">
        <v>3.3541904153769199E-3</v>
      </c>
      <c r="D31938" s="2">
        <v>2.3865199449793601E-3</v>
      </c>
      <c r="E31938" s="2">
        <v>4.2044188442052502E-5</v>
      </c>
      <c r="F31938" s="2">
        <v>3.06872952092748E-3</v>
      </c>
    </row>
    <row r="31939" spans="1:6" x14ac:dyDescent="0.25">
      <c r="A31939" s="1" t="str">
        <f t="shared" si="1140"/>
        <v>41740</v>
      </c>
      <c r="B31939" s="1" t="str">
        <f>"92086"</f>
        <v>92086</v>
      </c>
      <c r="C31939" s="2">
        <v>5.2277885348477396E-4</v>
      </c>
      <c r="D31939" s="2">
        <v>1.9257221458046699E-4</v>
      </c>
      <c r="E31939" s="2">
        <v>4.3095293153103901E-4</v>
      </c>
      <c r="F31939" s="2">
        <v>4.87239095363588E-4</v>
      </c>
    </row>
    <row r="31940" spans="1:6" x14ac:dyDescent="0.25">
      <c r="A31940" s="1" t="str">
        <f t="shared" si="1140"/>
        <v>41740</v>
      </c>
      <c r="B31940" s="1" t="str">
        <f>"91905"</f>
        <v>91905</v>
      </c>
      <c r="C31940" s="2">
        <v>4.04066024978358E-4</v>
      </c>
      <c r="D31940" s="2">
        <v>1.37551581843191E-4</v>
      </c>
      <c r="E31940" s="2">
        <v>1.05110471105131E-4</v>
      </c>
      <c r="F31940" s="2">
        <v>3.6198482920328197E-4</v>
      </c>
    </row>
    <row r="31941" spans="1:6" x14ac:dyDescent="0.25">
      <c r="A31941" s="1" t="str">
        <f t="shared" si="1140"/>
        <v>41740</v>
      </c>
      <c r="B31941" s="1" t="str">
        <f>"91941"</f>
        <v>91941</v>
      </c>
      <c r="C31941" s="2">
        <v>9.6127897219760294E-3</v>
      </c>
      <c r="D31941" s="2">
        <v>3.23933975240715E-3</v>
      </c>
      <c r="E31941" s="2">
        <v>8.0724841808740896E-3</v>
      </c>
      <c r="F31941" s="2">
        <v>8.9406495185226E-3</v>
      </c>
    </row>
    <row r="31942" spans="1:6" x14ac:dyDescent="0.25">
      <c r="A31942" s="1" t="str">
        <f t="shared" si="1140"/>
        <v>41740</v>
      </c>
      <c r="B31942" s="1" t="str">
        <f>"91977"</f>
        <v>91977</v>
      </c>
      <c r="C31942" s="2">
        <v>1.4221944324420701E-2</v>
      </c>
      <c r="D31942" s="2">
        <v>7.0288858321870696E-3</v>
      </c>
      <c r="E31942" s="2">
        <v>1.08684227122705E-2</v>
      </c>
      <c r="F31942" s="2">
        <v>1.33671352846277E-2</v>
      </c>
    </row>
    <row r="31943" spans="1:6" x14ac:dyDescent="0.25">
      <c r="A31943" s="1" t="str">
        <f t="shared" si="1140"/>
        <v>41740</v>
      </c>
      <c r="B31943" s="1" t="str">
        <f>"92008"</f>
        <v>92008</v>
      </c>
      <c r="C31943" s="2">
        <v>9.3738893714413792E-3</v>
      </c>
      <c r="D31943" s="2">
        <v>2.1134800550206299E-2</v>
      </c>
      <c r="E31943" s="2">
        <v>2.1211293069015501E-2</v>
      </c>
      <c r="F31943" s="2">
        <v>1.11501347735903E-2</v>
      </c>
    </row>
    <row r="31944" spans="1:6" x14ac:dyDescent="0.25">
      <c r="A31944" s="1" t="str">
        <f t="shared" si="1140"/>
        <v>41740</v>
      </c>
      <c r="B31944" s="1" t="str">
        <f>"91944"</f>
        <v>91944</v>
      </c>
      <c r="C31944" s="2">
        <v>9.1062324972312602E-4</v>
      </c>
      <c r="D31944" s="2">
        <v>2.7235213204951799E-3</v>
      </c>
      <c r="E31944" s="2">
        <v>2.10220942210262E-5</v>
      </c>
      <c r="F31944" s="2">
        <v>1.02270108319889E-3</v>
      </c>
    </row>
    <row r="31945" spans="1:6" x14ac:dyDescent="0.25">
      <c r="A31945" s="1" t="str">
        <f t="shared" si="1140"/>
        <v>41740</v>
      </c>
      <c r="B31945" s="1" t="str">
        <f>"91917"</f>
        <v>91917</v>
      </c>
      <c r="C31945" s="2">
        <v>2.7797972886284901E-4</v>
      </c>
      <c r="D31945" s="2">
        <v>2.7510316368638199E-5</v>
      </c>
      <c r="E31945" s="2">
        <v>1.78687800878723E-4</v>
      </c>
      <c r="F31945" s="2">
        <v>2.4925598965900702E-4</v>
      </c>
    </row>
    <row r="31946" spans="1:6" x14ac:dyDescent="0.25">
      <c r="A31946" s="1" t="str">
        <f t="shared" si="1140"/>
        <v>41740</v>
      </c>
      <c r="B31946" s="1" t="str">
        <f>"92051"</f>
        <v>92051</v>
      </c>
      <c r="C31946" s="2">
        <v>1.33312294372422E-3</v>
      </c>
      <c r="D31946" s="2">
        <v>1.1141678129298401E-3</v>
      </c>
      <c r="E31946" s="2">
        <v>2.10220942210262E-5</v>
      </c>
      <c r="F31946" s="2">
        <v>1.2350070643406101E-3</v>
      </c>
    </row>
    <row r="31947" spans="1:6" x14ac:dyDescent="0.25">
      <c r="A31947" s="1" t="str">
        <f t="shared" si="1140"/>
        <v>41740</v>
      </c>
      <c r="B31947" s="1" t="str">
        <f>"92054"</f>
        <v>92054</v>
      </c>
      <c r="C31947" s="2">
        <v>1.37124377126323E-2</v>
      </c>
      <c r="D31947" s="2">
        <v>1.35832187070151E-2</v>
      </c>
      <c r="E31947" s="2">
        <v>2.0233765687737802E-2</v>
      </c>
      <c r="F31947" s="2">
        <v>1.40892261290419E-2</v>
      </c>
    </row>
    <row r="31948" spans="1:6" x14ac:dyDescent="0.25">
      <c r="A31948" s="1" t="str">
        <f t="shared" si="1140"/>
        <v>41740</v>
      </c>
      <c r="B31948" s="1" t="str">
        <f>"92023"</f>
        <v>92023</v>
      </c>
      <c r="C31948" s="2">
        <v>1.8455789425562601E-3</v>
      </c>
      <c r="D31948" s="2">
        <v>6.52682255845942E-3</v>
      </c>
      <c r="E31948" s="2">
        <v>4.2044188442052502E-5</v>
      </c>
      <c r="F31948" s="2">
        <v>2.1643937192500698E-3</v>
      </c>
    </row>
    <row r="31949" spans="1:6" x14ac:dyDescent="0.25">
      <c r="A31949" s="1" t="str">
        <f t="shared" si="1140"/>
        <v>41740</v>
      </c>
      <c r="B31949" s="1" t="str">
        <f>"92071"</f>
        <v>92071</v>
      </c>
      <c r="C31949" s="2">
        <v>1.5797654352484099E-2</v>
      </c>
      <c r="D31949" s="2">
        <v>1.3486932599724799E-2</v>
      </c>
      <c r="E31949" s="2">
        <v>1.7196073072799498E-2</v>
      </c>
      <c r="F31949" s="2">
        <v>1.5670561239315799E-2</v>
      </c>
    </row>
    <row r="31950" spans="1:6" x14ac:dyDescent="0.25">
      <c r="A31950" s="1" t="str">
        <f t="shared" si="1140"/>
        <v>41740</v>
      </c>
      <c r="B31950" s="1" t="str">
        <f>"92081"</f>
        <v>92081</v>
      </c>
      <c r="C31950" s="2">
        <v>8.5193044755473603E-3</v>
      </c>
      <c r="D31950" s="2">
        <v>1.27922971114167E-2</v>
      </c>
      <c r="E31950" s="2">
        <v>8.9764342323782192E-3</v>
      </c>
      <c r="F31950" s="2">
        <v>8.9356393478761797E-3</v>
      </c>
    </row>
    <row r="31951" spans="1:6" x14ac:dyDescent="0.25">
      <c r="A31951" s="1" t="str">
        <f t="shared" si="1140"/>
        <v>41740</v>
      </c>
      <c r="B31951" s="1" t="str">
        <f>"92067"</f>
        <v>92067</v>
      </c>
      <c r="C31951" s="2">
        <v>4.2331077543809404E-3</v>
      </c>
      <c r="D31951" s="2">
        <v>4.3947730398899501E-3</v>
      </c>
      <c r="E31951" s="2">
        <v>8.9343900439361698E-4</v>
      </c>
      <c r="F31951" s="2">
        <v>4.0488441536318696E-3</v>
      </c>
    </row>
    <row r="31952" spans="1:6" x14ac:dyDescent="0.25">
      <c r="A31952" s="1" t="str">
        <f t="shared" si="1140"/>
        <v>41740</v>
      </c>
      <c r="B31952" s="1" t="str">
        <f>"92153"</f>
        <v>92153</v>
      </c>
      <c r="C31952" s="2">
        <v>1.5344186094524901E-3</v>
      </c>
      <c r="D31952" s="2">
        <v>1.0110041265474501E-3</v>
      </c>
      <c r="E31952" s="2">
        <v>3.1533141331539399E-5</v>
      </c>
      <c r="F31952" s="2">
        <v>1.3972113390182E-3</v>
      </c>
    </row>
    <row r="31953" spans="1:6" x14ac:dyDescent="0.25">
      <c r="A31953" s="1" t="str">
        <f t="shared" si="1140"/>
        <v>41740</v>
      </c>
      <c r="B31953" s="1" t="str">
        <f>"92127"</f>
        <v>92127</v>
      </c>
      <c r="C31953" s="2">
        <v>1.25621767656136E-2</v>
      </c>
      <c r="D31953" s="2">
        <v>7.7647867950481403E-3</v>
      </c>
      <c r="E31953" s="2">
        <v>1.16041960100065E-2</v>
      </c>
      <c r="F31953" s="2">
        <v>1.20682485445454E-2</v>
      </c>
    </row>
    <row r="31954" spans="1:6" x14ac:dyDescent="0.25">
      <c r="A31954" s="1" t="str">
        <f t="shared" si="1140"/>
        <v>41740</v>
      </c>
      <c r="B31954" s="1" t="str">
        <f>"92165"</f>
        <v>92165</v>
      </c>
      <c r="C31954" s="2">
        <v>7.99283888825804E-4</v>
      </c>
      <c r="D31954" s="2">
        <v>5.9834938101788096E-4</v>
      </c>
      <c r="E31954" s="2">
        <v>2.10220942210262E-5</v>
      </c>
      <c r="F31954" s="2">
        <v>7.3461627103019102E-4</v>
      </c>
    </row>
    <row r="31955" spans="1:6" x14ac:dyDescent="0.25">
      <c r="A31955" s="1" t="str">
        <f t="shared" si="1140"/>
        <v>41740</v>
      </c>
      <c r="B31955" s="1" t="str">
        <f>"92166"</f>
        <v>92166</v>
      </c>
      <c r="C31955" s="2">
        <v>9.6223752298678497E-4</v>
      </c>
      <c r="D31955" s="2">
        <v>1.80880330123796E-3</v>
      </c>
      <c r="E31955" s="2">
        <v>2.10220942210262E-5</v>
      </c>
      <c r="F31955" s="2">
        <v>9.8324598935839707E-4</v>
      </c>
    </row>
    <row r="31956" spans="1:6" x14ac:dyDescent="0.25">
      <c r="A31956" s="1" t="str">
        <f t="shared" si="1140"/>
        <v>41740</v>
      </c>
      <c r="B31956" s="1" t="str">
        <f>"92106"</f>
        <v>92106</v>
      </c>
      <c r="C31956" s="2">
        <v>6.1605321873981498E-3</v>
      </c>
      <c r="D31956" s="2">
        <v>7.9986244841815605E-3</v>
      </c>
      <c r="E31956" s="2">
        <v>5.05581366015682E-3</v>
      </c>
      <c r="F31956" s="2">
        <v>6.2620870366844597E-3</v>
      </c>
    </row>
    <row r="31957" spans="1:6" x14ac:dyDescent="0.25">
      <c r="A31957" s="1" t="str">
        <f t="shared" si="1140"/>
        <v>41740</v>
      </c>
      <c r="B31957" s="1" t="str">
        <f>"92109"</f>
        <v>92109</v>
      </c>
      <c r="C31957" s="2">
        <v>2.06626682809645E-2</v>
      </c>
      <c r="D31957" s="2">
        <v>1.3961485557083901E-2</v>
      </c>
      <c r="E31957" s="2">
        <v>3.01561941600622E-2</v>
      </c>
      <c r="F31957" s="2">
        <v>2.06181047526478E-2</v>
      </c>
    </row>
    <row r="31958" spans="1:6" x14ac:dyDescent="0.25">
      <c r="A31958" s="1" t="str">
        <f t="shared" si="1140"/>
        <v>41740</v>
      </c>
      <c r="B31958" s="1" t="str">
        <f>"92119"</f>
        <v>92119</v>
      </c>
      <c r="C31958" s="2">
        <v>7.5917222503233198E-3</v>
      </c>
      <c r="D31958" s="2">
        <v>1.7331499312242E-3</v>
      </c>
      <c r="E31958" s="2">
        <v>4.5828165401837302E-3</v>
      </c>
      <c r="F31958" s="2">
        <v>6.8789642975239703E-3</v>
      </c>
    </row>
    <row r="31959" spans="1:6" x14ac:dyDescent="0.25">
      <c r="A31959" s="1" t="str">
        <f t="shared" si="1140"/>
        <v>41740</v>
      </c>
      <c r="B31959" s="1" t="str">
        <f>"92085"</f>
        <v>92085</v>
      </c>
      <c r="C31959" s="2">
        <v>1.6922108162871E-3</v>
      </c>
      <c r="D31959" s="2">
        <v>4.0784044016506102E-3</v>
      </c>
      <c r="E31959" s="2">
        <v>2.10220942210262E-5</v>
      </c>
      <c r="F31959" s="2">
        <v>1.80992414601641E-3</v>
      </c>
    </row>
    <row r="31960" spans="1:6" x14ac:dyDescent="0.25">
      <c r="A31960" s="1" t="str">
        <f t="shared" si="1140"/>
        <v>41740</v>
      </c>
      <c r="B31960" s="1" t="str">
        <f>"91945"</f>
        <v>91945</v>
      </c>
      <c r="C31960" s="2">
        <v>6.9096764964821098E-3</v>
      </c>
      <c r="D31960" s="2">
        <v>5.6808803301237904E-3</v>
      </c>
      <c r="E31960" s="2">
        <v>4.9296810948306598E-3</v>
      </c>
      <c r="F31960" s="2">
        <v>6.67981001432908E-3</v>
      </c>
    </row>
    <row r="31961" spans="1:6" x14ac:dyDescent="0.25">
      <c r="A31961" s="1" t="str">
        <f t="shared" si="1140"/>
        <v>41740</v>
      </c>
      <c r="B31961" s="1" t="str">
        <f>"91914"</f>
        <v>91914</v>
      </c>
      <c r="C31961" s="2">
        <v>3.7516203195070898E-3</v>
      </c>
      <c r="D31961" s="2">
        <v>4.0784044016506102E-3</v>
      </c>
      <c r="E31961" s="2">
        <v>3.4266013580272802E-3</v>
      </c>
      <c r="F31961" s="2">
        <v>3.7620118841247699E-3</v>
      </c>
    </row>
    <row r="31962" spans="1:6" x14ac:dyDescent="0.25">
      <c r="A31962" s="1" t="str">
        <f t="shared" si="1140"/>
        <v>41740</v>
      </c>
      <c r="B31962" s="1" t="str">
        <f>"92004"</f>
        <v>92004</v>
      </c>
      <c r="C31962" s="2">
        <v>3.8342031567289498E-4</v>
      </c>
      <c r="D31962" s="2">
        <v>2.33837689133425E-4</v>
      </c>
      <c r="E31962" s="2">
        <v>4.2674851268683298E-3</v>
      </c>
      <c r="F31962" s="2">
        <v>6.0122047756946604E-4</v>
      </c>
    </row>
    <row r="31963" spans="1:6" x14ac:dyDescent="0.25">
      <c r="A31963" s="1" t="str">
        <f t="shared" si="1140"/>
        <v>41740</v>
      </c>
      <c r="B31963" s="1" t="str">
        <f>"92007"</f>
        <v>92007</v>
      </c>
      <c r="C31963" s="2">
        <v>3.7243384893534499E-3</v>
      </c>
      <c r="D31963" s="2">
        <v>1.8707015130674E-3</v>
      </c>
      <c r="E31963" s="2">
        <v>2.5646954949652E-3</v>
      </c>
      <c r="F31963" s="2">
        <v>3.4864524985721E-3</v>
      </c>
    </row>
    <row r="31964" spans="1:6" x14ac:dyDescent="0.25">
      <c r="A31964" s="1" t="str">
        <f t="shared" si="1140"/>
        <v>41740</v>
      </c>
      <c r="B31964" s="1" t="str">
        <f>"92022"</f>
        <v>92022</v>
      </c>
      <c r="C31964" s="2">
        <v>1.90530403018992E-3</v>
      </c>
      <c r="D31964" s="2">
        <v>2.4484181568087998E-3</v>
      </c>
      <c r="E31964" s="2">
        <v>2.10220942210262E-5</v>
      </c>
      <c r="F31964" s="2">
        <v>1.8424902552180899E-3</v>
      </c>
    </row>
    <row r="31965" spans="1:6" x14ac:dyDescent="0.25">
      <c r="A31965" s="1" t="str">
        <f t="shared" si="1140"/>
        <v>41740</v>
      </c>
      <c r="B31965" s="1" t="str">
        <f>"92024"</f>
        <v>92024</v>
      </c>
      <c r="C31965" s="2">
        <v>1.6106602645305199E-2</v>
      </c>
      <c r="D31965" s="2">
        <v>1.8541953232462102E-2</v>
      </c>
      <c r="E31965" s="2">
        <v>1.2066682082869E-2</v>
      </c>
      <c r="F31965" s="2">
        <v>1.6087657945629601E-2</v>
      </c>
    </row>
    <row r="31966" spans="1:6" x14ac:dyDescent="0.25">
      <c r="A31966" s="1" t="str">
        <f t="shared" si="1140"/>
        <v>41740</v>
      </c>
      <c r="B31966" s="1" t="str">
        <f>"92029"</f>
        <v>92029</v>
      </c>
      <c r="C31966" s="2">
        <v>5.9024608210798499E-3</v>
      </c>
      <c r="D31966" s="2">
        <v>1.15130674002751E-2</v>
      </c>
      <c r="E31966" s="2">
        <v>4.8771258592780996E-3</v>
      </c>
      <c r="F31966" s="2">
        <v>6.3522701083198801E-3</v>
      </c>
    </row>
    <row r="31967" spans="1:6" x14ac:dyDescent="0.25">
      <c r="A31967" s="1" t="str">
        <f t="shared" si="1140"/>
        <v>41740</v>
      </c>
      <c r="B31967" s="1" t="str">
        <f>"92056"</f>
        <v>92056</v>
      </c>
      <c r="C31967" s="2">
        <v>1.54134966900503E-2</v>
      </c>
      <c r="D31967" s="2">
        <v>1.0997248968363099E-2</v>
      </c>
      <c r="E31967" s="2">
        <v>1.19090163762113E-2</v>
      </c>
      <c r="F31967" s="2">
        <v>1.48025491748248E-2</v>
      </c>
    </row>
    <row r="31968" spans="1:6" x14ac:dyDescent="0.25">
      <c r="A31968" s="1" t="str">
        <f t="shared" si="1140"/>
        <v>41740</v>
      </c>
      <c r="B31968" s="1" t="str">
        <f>"92064"</f>
        <v>92064</v>
      </c>
      <c r="C31968" s="2">
        <v>1.2541531056308199E-2</v>
      </c>
      <c r="D31968" s="2">
        <v>1.4607977991746899E-2</v>
      </c>
      <c r="E31968" s="2">
        <v>6.81115852761252E-3</v>
      </c>
      <c r="F31968" s="2">
        <v>1.2388273194584999E-2</v>
      </c>
    </row>
    <row r="31969" spans="1:6" x14ac:dyDescent="0.25">
      <c r="A31969" s="1" t="str">
        <f t="shared" si="1140"/>
        <v>41740</v>
      </c>
      <c r="B31969" s="1" t="str">
        <f>"92075"</f>
        <v>92075</v>
      </c>
      <c r="C31969" s="2">
        <v>5.6259557857388197E-3</v>
      </c>
      <c r="D31969" s="2">
        <v>1.2070151306739999E-2</v>
      </c>
      <c r="E31969" s="2">
        <v>6.7480922449494399E-3</v>
      </c>
      <c r="F31969" s="2">
        <v>6.2796226339469101E-3</v>
      </c>
    </row>
    <row r="31970" spans="1:6" x14ac:dyDescent="0.25">
      <c r="A31970" s="1" t="str">
        <f t="shared" ref="A31970:A32001" si="1141">"41740"</f>
        <v>41740</v>
      </c>
      <c r="B31970" s="1" t="str">
        <f>"92078"</f>
        <v>92078</v>
      </c>
      <c r="C31970" s="2">
        <v>1.3797232590136901E-2</v>
      </c>
      <c r="D31970" s="2">
        <v>1.5110041265474499E-2</v>
      </c>
      <c r="E31970" s="2">
        <v>9.6281191532300407E-3</v>
      </c>
      <c r="F31970" s="2">
        <v>1.3668371794743299E-2</v>
      </c>
    </row>
    <row r="31971" spans="1:6" x14ac:dyDescent="0.25">
      <c r="A31971" s="1" t="str">
        <f t="shared" si="1141"/>
        <v>41740</v>
      </c>
      <c r="B31971" s="1" t="str">
        <f>"92033"</f>
        <v>92033</v>
      </c>
      <c r="C31971" s="2">
        <v>1.6361724624579801E-3</v>
      </c>
      <c r="D31971" s="2">
        <v>3.0192572214580399E-3</v>
      </c>
      <c r="E31971" s="2">
        <v>2.10220942210262E-5</v>
      </c>
      <c r="F31971" s="2">
        <v>1.66588173993206E-3</v>
      </c>
    </row>
    <row r="31972" spans="1:6" x14ac:dyDescent="0.25">
      <c r="A31972" s="1" t="str">
        <f t="shared" si="1141"/>
        <v>41740</v>
      </c>
      <c r="B31972" s="1" t="str">
        <f>"92137"</f>
        <v>92137</v>
      </c>
      <c r="C31972" s="2">
        <v>5.4858599011660403E-4</v>
      </c>
      <c r="D31972" s="2">
        <v>9.1471801925722095E-4</v>
      </c>
      <c r="E31972" s="2">
        <v>4.2044188442052502E-5</v>
      </c>
      <c r="F31972" s="2">
        <v>5.5174504243614495E-4</v>
      </c>
    </row>
    <row r="31973" spans="1:6" x14ac:dyDescent="0.25">
      <c r="A31973" s="1" t="str">
        <f t="shared" si="1141"/>
        <v>41740</v>
      </c>
      <c r="B31973" s="1" t="str">
        <f>"91912"</f>
        <v>91912</v>
      </c>
      <c r="C31973" s="2">
        <v>4.5206729911356101E-3</v>
      </c>
      <c r="D31973" s="2">
        <v>3.2530949105914701E-3</v>
      </c>
      <c r="E31973" s="2">
        <v>2.10220942210262E-5</v>
      </c>
      <c r="F31973" s="2">
        <v>4.1371484112748798E-3</v>
      </c>
    </row>
    <row r="31974" spans="1:6" x14ac:dyDescent="0.25">
      <c r="A31974" s="1" t="str">
        <f t="shared" si="1141"/>
        <v>41740</v>
      </c>
      <c r="B31974" s="1" t="str">
        <f>"92174"</f>
        <v>92174</v>
      </c>
      <c r="C31974" s="2">
        <v>1.40095884572788E-3</v>
      </c>
      <c r="D31974" s="2">
        <v>1.3892709766162299E-3</v>
      </c>
      <c r="E31974" s="2">
        <v>2.10220942210262E-5</v>
      </c>
      <c r="F31974" s="2">
        <v>1.31767488000641E-3</v>
      </c>
    </row>
    <row r="31975" spans="1:6" x14ac:dyDescent="0.25">
      <c r="A31975" s="1" t="str">
        <f t="shared" si="1141"/>
        <v>41740</v>
      </c>
      <c r="B31975" s="1" t="str">
        <f>"92070"</f>
        <v>92070</v>
      </c>
      <c r="C31975" s="2">
        <v>2.2120402827282399E-4</v>
      </c>
      <c r="D31975" s="2">
        <v>1.85694635488308E-4</v>
      </c>
      <c r="E31975" s="2">
        <v>2.8379827198385502E-4</v>
      </c>
      <c r="F31975" s="2">
        <v>2.2170005110374E-4</v>
      </c>
    </row>
    <row r="31976" spans="1:6" x14ac:dyDescent="0.25">
      <c r="A31976" s="1" t="str">
        <f t="shared" si="1141"/>
        <v>41740</v>
      </c>
      <c r="B31976" s="1" t="str">
        <f>"92131"</f>
        <v>92131</v>
      </c>
      <c r="C31976" s="2">
        <v>9.5751850371696492E-3</v>
      </c>
      <c r="D31976" s="2">
        <v>7.4690508940852803E-3</v>
      </c>
      <c r="E31976" s="2">
        <v>1.03428703567449E-2</v>
      </c>
      <c r="F31976" s="2">
        <v>9.4291411565477906E-3</v>
      </c>
    </row>
    <row r="31977" spans="1:6" x14ac:dyDescent="0.25">
      <c r="A31977" s="1" t="str">
        <f t="shared" si="1141"/>
        <v>41740</v>
      </c>
      <c r="B31977" s="1" t="str">
        <f>"92138"</f>
        <v>92138</v>
      </c>
      <c r="C31977" s="2">
        <v>2.6249544688375101E-3</v>
      </c>
      <c r="D31977" s="2">
        <v>4.8074277854195302E-3</v>
      </c>
      <c r="E31977" s="2">
        <v>4.2044188442052502E-5</v>
      </c>
      <c r="F31977" s="2">
        <v>2.66979468320691E-3</v>
      </c>
    </row>
    <row r="31978" spans="1:6" x14ac:dyDescent="0.25">
      <c r="A31978" s="1" t="str">
        <f t="shared" si="1141"/>
        <v>41740</v>
      </c>
      <c r="B31978" s="1" t="str">
        <f>"92124"</f>
        <v>92124</v>
      </c>
      <c r="C31978" s="2">
        <v>9.1261408597758092E-3</v>
      </c>
      <c r="D31978" s="2">
        <v>1.60935350756533E-3</v>
      </c>
      <c r="E31978" s="2">
        <v>4.1623746557631998E-3</v>
      </c>
      <c r="F31978" s="2">
        <v>8.1459111997354595E-3</v>
      </c>
    </row>
    <row r="31979" spans="1:6" x14ac:dyDescent="0.25">
      <c r="A31979" s="1" t="str">
        <f t="shared" si="1141"/>
        <v>41740</v>
      </c>
      <c r="B31979" s="1" t="str">
        <f>"92155"</f>
        <v>92155</v>
      </c>
      <c r="C31979" s="2">
        <v>0</v>
      </c>
      <c r="D31979" s="2">
        <v>6.3961485557083905E-4</v>
      </c>
      <c r="E31979" s="2">
        <v>1.5766570665769699E-4</v>
      </c>
      <c r="F31979" s="2">
        <v>6.7637303726564898E-5</v>
      </c>
    </row>
    <row r="31980" spans="1:6" x14ac:dyDescent="0.25">
      <c r="A31980" s="1" t="str">
        <f t="shared" si="1141"/>
        <v>41740</v>
      </c>
      <c r="B31980" s="1" t="str">
        <f>"92104"</f>
        <v>92104</v>
      </c>
      <c r="C31980" s="2">
        <v>1.71956638111684E-2</v>
      </c>
      <c r="D31980" s="2">
        <v>7.9023383768913307E-3</v>
      </c>
      <c r="E31980" s="2">
        <v>2.4942714793247701E-2</v>
      </c>
      <c r="F31980" s="2">
        <v>1.68110013327053E-2</v>
      </c>
    </row>
    <row r="31981" spans="1:6" x14ac:dyDescent="0.25">
      <c r="A31981" s="1" t="str">
        <f t="shared" si="1141"/>
        <v>41740</v>
      </c>
      <c r="B31981" s="1" t="str">
        <f>"92105"</f>
        <v>92105</v>
      </c>
      <c r="C31981" s="2">
        <v>1.6301262190185298E-2</v>
      </c>
      <c r="D31981" s="2">
        <v>7.3727647867950401E-3</v>
      </c>
      <c r="E31981" s="2">
        <v>2.4606361285711201E-2</v>
      </c>
      <c r="F31981" s="2">
        <v>1.59830706333857E-2</v>
      </c>
    </row>
    <row r="31982" spans="1:6" x14ac:dyDescent="0.25">
      <c r="A31982" s="1" t="str">
        <f t="shared" si="1141"/>
        <v>41740</v>
      </c>
      <c r="B31982" s="1" t="str">
        <f>"92084"</f>
        <v>92084</v>
      </c>
      <c r="C31982" s="2">
        <v>1.19840969050607E-2</v>
      </c>
      <c r="D31982" s="2">
        <v>8.8308115543328704E-3</v>
      </c>
      <c r="E31982" s="2">
        <v>7.6730643906745902E-3</v>
      </c>
      <c r="F31982" s="2">
        <v>1.14400983997514E-2</v>
      </c>
    </row>
    <row r="31983" spans="1:6" x14ac:dyDescent="0.25">
      <c r="A31983" s="1" t="str">
        <f t="shared" si="1141"/>
        <v>41740</v>
      </c>
      <c r="B31983" s="1" t="str">
        <f>"92120"</f>
        <v>92120</v>
      </c>
      <c r="C31983" s="2">
        <v>1.0052248391478001E-2</v>
      </c>
      <c r="D31983" s="2">
        <v>9.9381017881705596E-3</v>
      </c>
      <c r="E31983" s="2">
        <v>6.6745149151758399E-3</v>
      </c>
      <c r="F31983" s="2">
        <v>9.8406014208843907E-3</v>
      </c>
    </row>
    <row r="31984" spans="1:6" x14ac:dyDescent="0.25">
      <c r="A31984" s="1" t="str">
        <f t="shared" si="1141"/>
        <v>41740</v>
      </c>
      <c r="B31984" s="1" t="str">
        <f>"91901"</f>
        <v>91901</v>
      </c>
      <c r="C31984" s="2">
        <v>4.9439100318976201E-3</v>
      </c>
      <c r="D31984" s="2">
        <v>3.51444291609353E-3</v>
      </c>
      <c r="E31984" s="2">
        <v>1.6817675376821E-3</v>
      </c>
      <c r="F31984" s="2">
        <v>4.6193773359920597E-3</v>
      </c>
    </row>
    <row r="31985" spans="1:6" x14ac:dyDescent="0.25">
      <c r="A31985" s="1" t="str">
        <f t="shared" si="1141"/>
        <v>41740</v>
      </c>
      <c r="B31985" s="1" t="str">
        <f>"91935"</f>
        <v>91935</v>
      </c>
      <c r="C31985" s="2">
        <v>3.0599890577740602E-3</v>
      </c>
      <c r="D31985" s="2">
        <v>1.8363136176066E-3</v>
      </c>
      <c r="E31985" s="2">
        <v>4.3095293153103901E-4</v>
      </c>
      <c r="F31985" s="2">
        <v>2.7919175927131998E-3</v>
      </c>
    </row>
    <row r="31986" spans="1:6" x14ac:dyDescent="0.25">
      <c r="A31986" s="1" t="str">
        <f t="shared" si="1141"/>
        <v>41740</v>
      </c>
      <c r="B31986" s="1" t="str">
        <f>"91950"</f>
        <v>91950</v>
      </c>
      <c r="C31986" s="2">
        <v>1.3205143141126601E-2</v>
      </c>
      <c r="D31986" s="2">
        <v>1.9566712517193899E-2</v>
      </c>
      <c r="E31986" s="2">
        <v>1.6838697471042E-2</v>
      </c>
      <c r="F31986" s="2">
        <v>1.40009218713989E-2</v>
      </c>
    </row>
    <row r="31987" spans="1:6" x14ac:dyDescent="0.25">
      <c r="A31987" s="1" t="str">
        <f t="shared" si="1141"/>
        <v>41740</v>
      </c>
      <c r="B31987" s="1" t="str">
        <f>"92057"</f>
        <v>92057</v>
      </c>
      <c r="C31987" s="2">
        <v>1.46621403406836E-2</v>
      </c>
      <c r="D31987" s="2">
        <v>1.9876203576341101E-3</v>
      </c>
      <c r="E31987" s="2">
        <v>1.3979692656982399E-2</v>
      </c>
      <c r="F31987" s="2">
        <v>1.3467338697556E-2</v>
      </c>
    </row>
    <row r="31988" spans="1:6" x14ac:dyDescent="0.25">
      <c r="A31988" s="1" t="str">
        <f t="shared" si="1141"/>
        <v>41740</v>
      </c>
      <c r="B31988" s="1" t="str">
        <f>"92020"</f>
        <v>92020</v>
      </c>
      <c r="C31988" s="2">
        <v>1.5757100280634099E-2</v>
      </c>
      <c r="D31988" s="2">
        <v>2.3363136176066002E-2</v>
      </c>
      <c r="E31988" s="2">
        <v>1.92667493535706E-2</v>
      </c>
      <c r="F31988" s="2">
        <v>1.66588173993206E-2</v>
      </c>
    </row>
    <row r="31989" spans="1:6" x14ac:dyDescent="0.25">
      <c r="A31989" s="1" t="str">
        <f t="shared" si="1141"/>
        <v>41740</v>
      </c>
      <c r="B31989" s="1" t="str">
        <f>"92110"</f>
        <v>92110</v>
      </c>
      <c r="C31989" s="2">
        <v>9.6496570600215006E-3</v>
      </c>
      <c r="D31989" s="2">
        <v>1.9415405777166401E-2</v>
      </c>
      <c r="E31989" s="2">
        <v>1.26868338623893E-2</v>
      </c>
      <c r="F31989" s="2">
        <v>1.07198863693297E-2</v>
      </c>
    </row>
    <row r="31990" spans="1:6" x14ac:dyDescent="0.25">
      <c r="A31990" s="1" t="str">
        <f t="shared" si="1141"/>
        <v>41740</v>
      </c>
      <c r="B31990" s="1" t="str">
        <f>"92083"</f>
        <v>92083</v>
      </c>
      <c r="C31990" s="2">
        <v>9.4999756675568803E-3</v>
      </c>
      <c r="D31990" s="2">
        <v>8.96836313617606E-3</v>
      </c>
      <c r="E31990" s="2">
        <v>8.3773045470789797E-3</v>
      </c>
      <c r="F31990" s="2">
        <v>9.3846758920608803E-3</v>
      </c>
    </row>
    <row r="31991" spans="1:6" x14ac:dyDescent="0.25">
      <c r="A31991" s="1" t="str">
        <f t="shared" si="1141"/>
        <v>41740</v>
      </c>
      <c r="B31991" s="1" t="str">
        <f>"91911"</f>
        <v>91911</v>
      </c>
      <c r="C31991" s="2">
        <v>1.9210832508733799E-2</v>
      </c>
      <c r="D31991" s="2">
        <v>1.9649243466299801E-2</v>
      </c>
      <c r="E31991" s="2">
        <v>2.3754966469759699E-2</v>
      </c>
      <c r="F31991" s="2">
        <v>1.9521503652414399E-2</v>
      </c>
    </row>
    <row r="31992" spans="1:6" x14ac:dyDescent="0.25">
      <c r="A31992" s="1" t="str">
        <f t="shared" si="1141"/>
        <v>41740</v>
      </c>
      <c r="B31992" s="1" t="str">
        <f>"91903"</f>
        <v>91903</v>
      </c>
      <c r="C31992" s="2">
        <v>1.4039082327715201E-3</v>
      </c>
      <c r="D31992" s="2">
        <v>1.9188445667125101E-3</v>
      </c>
      <c r="E31992" s="2">
        <v>2.10220942210262E-5</v>
      </c>
      <c r="F31992" s="2">
        <v>1.3684028578013301E-3</v>
      </c>
    </row>
    <row r="31993" spans="1:6" x14ac:dyDescent="0.25">
      <c r="A31993" s="1" t="str">
        <f t="shared" si="1141"/>
        <v>41740</v>
      </c>
      <c r="B31993" s="1" t="str">
        <f>"91979"</f>
        <v>91979</v>
      </c>
      <c r="C31993" s="2">
        <v>8.8260407280856803E-4</v>
      </c>
      <c r="D31993" s="2">
        <v>1.71251719394773E-3</v>
      </c>
      <c r="E31993" s="2">
        <v>2.10220942210262E-5</v>
      </c>
      <c r="F31993" s="2">
        <v>9.0684088700061099E-4</v>
      </c>
    </row>
    <row r="31994" spans="1:6" x14ac:dyDescent="0.25">
      <c r="A31994" s="1" t="str">
        <f t="shared" si="1141"/>
        <v>41740</v>
      </c>
      <c r="B31994" s="1" t="str">
        <f>"92037"</f>
        <v>92037</v>
      </c>
      <c r="C31994" s="2">
        <v>1.5791755578396901E-2</v>
      </c>
      <c r="D31994" s="2">
        <v>2.16299862448418E-2</v>
      </c>
      <c r="E31994" s="2">
        <v>1.9939456368643398E-2</v>
      </c>
      <c r="F31994" s="2">
        <v>1.6570513141677599E-2</v>
      </c>
    </row>
    <row r="31995" spans="1:6" x14ac:dyDescent="0.25">
      <c r="A31995" s="1" t="str">
        <f t="shared" si="1141"/>
        <v>41740</v>
      </c>
      <c r="B31995" s="1" t="str">
        <f>"92040"</f>
        <v>92040</v>
      </c>
      <c r="C31995" s="2">
        <v>1.33769449364185E-2</v>
      </c>
      <c r="D31995" s="2">
        <v>7.1526822558459404E-3</v>
      </c>
      <c r="E31995" s="2">
        <v>9.9329395194349204E-3</v>
      </c>
      <c r="F31995" s="2">
        <v>1.2604963075042301E-2</v>
      </c>
    </row>
    <row r="31996" spans="1:6" x14ac:dyDescent="0.25">
      <c r="A31996" s="1" t="str">
        <f t="shared" si="1141"/>
        <v>41740</v>
      </c>
      <c r="B31996" s="1" t="str">
        <f>"92058"</f>
        <v>92058</v>
      </c>
      <c r="C31996" s="2">
        <v>1.1005637753333899E-2</v>
      </c>
      <c r="D31996" s="2">
        <v>6.1210453920220002E-3</v>
      </c>
      <c r="E31996" s="2">
        <v>1.3958670562761399E-2</v>
      </c>
      <c r="F31996" s="2">
        <v>1.07367956952613E-2</v>
      </c>
    </row>
    <row r="31997" spans="1:6" x14ac:dyDescent="0.25">
      <c r="A31997" s="1" t="str">
        <f t="shared" si="1141"/>
        <v>41740</v>
      </c>
      <c r="B31997" s="1" t="str">
        <f>"92046"</f>
        <v>92046</v>
      </c>
      <c r="C31997" s="2">
        <v>1.27413520285146E-3</v>
      </c>
      <c r="D31997" s="2">
        <v>3.7620357634112699E-3</v>
      </c>
      <c r="E31997" s="2">
        <v>2.10220942210262E-5</v>
      </c>
      <c r="F31997" s="2">
        <v>1.4260198202350699E-3</v>
      </c>
    </row>
    <row r="31998" spans="1:6" x14ac:dyDescent="0.25">
      <c r="A31998" s="1" t="str">
        <f t="shared" si="1141"/>
        <v>41740</v>
      </c>
      <c r="B31998" s="1" t="str">
        <f>"92072"</f>
        <v>92072</v>
      </c>
      <c r="C31998" s="2">
        <v>1.45552250603518E-3</v>
      </c>
      <c r="D31998" s="2">
        <v>2.87482806052269E-3</v>
      </c>
      <c r="E31998" s="2">
        <v>2.10220942210262E-5</v>
      </c>
      <c r="F31998" s="2">
        <v>1.4992935659388501E-3</v>
      </c>
    </row>
    <row r="31999" spans="1:6" x14ac:dyDescent="0.25">
      <c r="A31999" s="1" t="str">
        <f t="shared" si="1141"/>
        <v>41740</v>
      </c>
      <c r="B31999" s="1" t="str">
        <f>"92038"</f>
        <v>92038</v>
      </c>
      <c r="C31999" s="2">
        <v>2.3322278047564699E-3</v>
      </c>
      <c r="D31999" s="2">
        <v>3.54883081155433E-3</v>
      </c>
      <c r="E31999" s="2">
        <v>2.10220942210262E-5</v>
      </c>
      <c r="F31999" s="2">
        <v>2.3053047686804199E-3</v>
      </c>
    </row>
    <row r="32000" spans="1:6" x14ac:dyDescent="0.25">
      <c r="A32000" s="1" t="str">
        <f t="shared" si="1141"/>
        <v>41740</v>
      </c>
      <c r="B32000" s="1" t="str">
        <f>"92061"</f>
        <v>92061</v>
      </c>
      <c r="C32000" s="2">
        <v>1.1679572692805101E-3</v>
      </c>
      <c r="D32000" s="2">
        <v>7.3590096286107196E-4</v>
      </c>
      <c r="E32000" s="2">
        <v>6.3066282663078798E-5</v>
      </c>
      <c r="F32000" s="2">
        <v>1.0627824483701899E-3</v>
      </c>
    </row>
    <row r="32001" spans="1:6" x14ac:dyDescent="0.25">
      <c r="A32001" s="1" t="str">
        <f t="shared" si="1141"/>
        <v>41740</v>
      </c>
      <c r="B32001" s="1" t="str">
        <f>"92173"</f>
        <v>92173</v>
      </c>
      <c r="C32001" s="2">
        <v>5.9172077562980397E-3</v>
      </c>
      <c r="D32001" s="2">
        <v>6.0110041265474499E-3</v>
      </c>
      <c r="E32001" s="2">
        <v>1.26342786268368E-2</v>
      </c>
      <c r="F32001" s="2">
        <v>6.3259667124262202E-3</v>
      </c>
    </row>
    <row r="32002" spans="1:6" x14ac:dyDescent="0.25">
      <c r="A32002" s="1" t="str">
        <f t="shared" ref="A32002:A32020" si="1142">"41740"</f>
        <v>41740</v>
      </c>
      <c r="B32002" s="1" t="str">
        <f>"92170"</f>
        <v>92170</v>
      </c>
      <c r="C32002" s="2">
        <v>8.0813204995671697E-4</v>
      </c>
      <c r="D32002" s="2">
        <v>8.7345254470426405E-4</v>
      </c>
      <c r="E32002" s="2">
        <v>2.10220942210262E-5</v>
      </c>
      <c r="F32002" s="2">
        <v>7.6718238023187001E-4</v>
      </c>
    </row>
    <row r="32003" spans="1:6" x14ac:dyDescent="0.25">
      <c r="A32003" s="1" t="str">
        <f t="shared" si="1142"/>
        <v>41740</v>
      </c>
      <c r="B32003" s="1" t="str">
        <f>"92163"</f>
        <v>92163</v>
      </c>
      <c r="C32003" s="2">
        <v>1.5381053432570299E-3</v>
      </c>
      <c r="D32003" s="2">
        <v>2.9573590096286101E-3</v>
      </c>
      <c r="E32003" s="2">
        <v>2.10220942210262E-5</v>
      </c>
      <c r="F32003" s="2">
        <v>1.5769512109582401E-3</v>
      </c>
    </row>
    <row r="32004" spans="1:6" x14ac:dyDescent="0.25">
      <c r="A32004" s="1" t="str">
        <f t="shared" si="1142"/>
        <v>41740</v>
      </c>
      <c r="B32004" s="1" t="str">
        <f>"92159"</f>
        <v>92159</v>
      </c>
      <c r="C32004" s="2">
        <v>7.01954116385762E-4</v>
      </c>
      <c r="D32004" s="2">
        <v>1.7193947730398799E-3</v>
      </c>
      <c r="E32004" s="2">
        <v>2.10220942210262E-5</v>
      </c>
      <c r="F32004" s="2">
        <v>7.5403068228503797E-4</v>
      </c>
    </row>
    <row r="32005" spans="1:6" x14ac:dyDescent="0.25">
      <c r="A32005" s="1" t="str">
        <f t="shared" si="1142"/>
        <v>41740</v>
      </c>
      <c r="B32005" s="1" t="str">
        <f>"92092"</f>
        <v>92092</v>
      </c>
      <c r="C32005" s="2">
        <v>0</v>
      </c>
      <c r="D32005" s="2">
        <v>5.5020632737276397E-5</v>
      </c>
      <c r="E32005" s="2">
        <v>3.1533141331539399E-5</v>
      </c>
      <c r="F32005" s="2">
        <v>6.8889846388167896E-6</v>
      </c>
    </row>
    <row r="32006" spans="1:6" x14ac:dyDescent="0.25">
      <c r="A32006" s="1" t="str">
        <f t="shared" si="1142"/>
        <v>41740</v>
      </c>
      <c r="B32006" s="1" t="str">
        <f>"92149"</f>
        <v>92149</v>
      </c>
      <c r="C32006" s="2">
        <v>3.3917951001832998E-4</v>
      </c>
      <c r="D32006" s="2">
        <v>4.6767537826685E-4</v>
      </c>
      <c r="E32006" s="2">
        <v>2.10220942210262E-5</v>
      </c>
      <c r="F32006" s="2">
        <v>3.3192380532480898E-4</v>
      </c>
    </row>
    <row r="32007" spans="1:6" x14ac:dyDescent="0.25">
      <c r="A32007" s="1" t="str">
        <f t="shared" si="1142"/>
        <v>41740</v>
      </c>
      <c r="B32007" s="1" t="str">
        <f>"92052"</f>
        <v>92052</v>
      </c>
      <c r="C32007" s="2">
        <v>1.2999423394832899E-3</v>
      </c>
      <c r="D32007" s="2">
        <v>3.5969738651994401E-3</v>
      </c>
      <c r="E32007" s="2">
        <v>2.10220942210262E-5</v>
      </c>
      <c r="F32007" s="2">
        <v>1.4329088048738901E-3</v>
      </c>
    </row>
    <row r="32008" spans="1:6" x14ac:dyDescent="0.25">
      <c r="A32008" s="1" t="str">
        <f t="shared" si="1142"/>
        <v>41740</v>
      </c>
      <c r="B32008" s="1" t="str">
        <f>"92055"</f>
        <v>92055</v>
      </c>
      <c r="C32008" s="2">
        <v>0</v>
      </c>
      <c r="D32008" s="2">
        <v>1.0316368638239299E-4</v>
      </c>
      <c r="E32008" s="2">
        <v>2.4175408354180201E-4</v>
      </c>
      <c r="F32008" s="2">
        <v>2.3798310570458001E-5</v>
      </c>
    </row>
    <row r="32009" spans="1:6" x14ac:dyDescent="0.25">
      <c r="A32009" s="1" t="str">
        <f t="shared" si="1142"/>
        <v>41740</v>
      </c>
      <c r="B32009" s="1" t="str">
        <f>"92068"</f>
        <v>92068</v>
      </c>
      <c r="C32009" s="2">
        <v>3.6424929988925002E-4</v>
      </c>
      <c r="D32009" s="2">
        <v>6.1898211829436E-4</v>
      </c>
      <c r="E32009" s="2">
        <v>2.10220942210262E-5</v>
      </c>
      <c r="F32009" s="2">
        <v>3.6699499984969402E-4</v>
      </c>
    </row>
    <row r="32010" spans="1:6" x14ac:dyDescent="0.25">
      <c r="A32010" s="1" t="str">
        <f t="shared" si="1142"/>
        <v>41740</v>
      </c>
      <c r="B32010" s="1" t="str">
        <f>"92140"</f>
        <v>92140</v>
      </c>
      <c r="C32010" s="2">
        <v>4.40933363023829E-4</v>
      </c>
      <c r="D32010" s="2">
        <v>4.7867950481430502E-3</v>
      </c>
      <c r="E32010" s="2">
        <v>1.89198847989236E-4</v>
      </c>
      <c r="F32010" s="2">
        <v>8.2166798601160298E-4</v>
      </c>
    </row>
    <row r="32011" spans="1:6" x14ac:dyDescent="0.25">
      <c r="A32011" s="1" t="str">
        <f t="shared" si="1142"/>
        <v>41740</v>
      </c>
      <c r="B32011" s="1" t="str">
        <f>"92154"</f>
        <v>92154</v>
      </c>
      <c r="C32011" s="2">
        <v>1.7304791131783001E-2</v>
      </c>
      <c r="D32011" s="2">
        <v>1.8707015130674E-2</v>
      </c>
      <c r="E32011" s="2">
        <v>2.2546196052050702E-2</v>
      </c>
      <c r="F32011" s="2">
        <v>1.77447718869304E-2</v>
      </c>
    </row>
    <row r="32012" spans="1:6" x14ac:dyDescent="0.25">
      <c r="A32012" s="1" t="str">
        <f t="shared" si="1142"/>
        <v>41740</v>
      </c>
      <c r="B32012" s="1" t="str">
        <f>"92171"</f>
        <v>92171</v>
      </c>
      <c r="C32012" s="2">
        <v>1.35966742711695E-3</v>
      </c>
      <c r="D32012" s="2">
        <v>1.4855570839064601E-3</v>
      </c>
      <c r="E32012" s="2">
        <v>2.10220942210262E-5</v>
      </c>
      <c r="F32012" s="2">
        <v>1.2913714841127401E-3</v>
      </c>
    </row>
    <row r="32013" spans="1:6" x14ac:dyDescent="0.25">
      <c r="A32013" s="1" t="str">
        <f t="shared" si="1142"/>
        <v>41740</v>
      </c>
      <c r="B32013" s="1" t="str">
        <f>"92128"</f>
        <v>92128</v>
      </c>
      <c r="C32013" s="2">
        <v>1.55941466464731E-2</v>
      </c>
      <c r="D32013" s="2">
        <v>9.3603851444291602E-3</v>
      </c>
      <c r="E32013" s="2">
        <v>2.4679938615484801E-2</v>
      </c>
      <c r="F32013" s="2">
        <v>1.55678527410643E-2</v>
      </c>
    </row>
    <row r="32014" spans="1:6" x14ac:dyDescent="0.25">
      <c r="A32014" s="1" t="str">
        <f t="shared" si="1142"/>
        <v>41740</v>
      </c>
      <c r="B32014" s="1" t="str">
        <f>"92178"</f>
        <v>92178</v>
      </c>
      <c r="C32014" s="2">
        <v>1.1576344146277701E-3</v>
      </c>
      <c r="D32014" s="2">
        <v>1.9188445667125101E-3</v>
      </c>
      <c r="E32014" s="2">
        <v>2.10220942210262E-5</v>
      </c>
      <c r="F32014" s="2">
        <v>1.1592282333136199E-3</v>
      </c>
    </row>
    <row r="32015" spans="1:6" x14ac:dyDescent="0.25">
      <c r="A32015" s="1" t="str">
        <f t="shared" si="1142"/>
        <v>41740</v>
      </c>
      <c r="B32015" s="1" t="str">
        <f>"92160"</f>
        <v>92160</v>
      </c>
      <c r="C32015" s="2">
        <v>8.8555345985220598E-4</v>
      </c>
      <c r="D32015" s="2">
        <v>2.0288858321870699E-3</v>
      </c>
      <c r="E32015" s="2">
        <v>2.10220942210262E-5</v>
      </c>
      <c r="F32015" s="2">
        <v>9.3815445354068696E-4</v>
      </c>
    </row>
    <row r="32016" spans="1:6" x14ac:dyDescent="0.25">
      <c r="A32016" s="1" t="str">
        <f t="shared" si="1142"/>
        <v>41740</v>
      </c>
      <c r="B32016" s="1" t="str">
        <f>"92536"</f>
        <v>92536</v>
      </c>
      <c r="C32016" s="2">
        <v>8.1108143700035497E-6</v>
      </c>
      <c r="D32016" s="2">
        <v>0</v>
      </c>
      <c r="E32016" s="2">
        <v>2.10220942210262E-5</v>
      </c>
      <c r="F32016" s="2">
        <v>8.1415273004198508E-6</v>
      </c>
    </row>
    <row r="32017" spans="1:6" x14ac:dyDescent="0.25">
      <c r="A32017" s="1" t="str">
        <f t="shared" si="1142"/>
        <v>41740</v>
      </c>
      <c r="B32017" s="1" t="str">
        <f>"92182"</f>
        <v>92182</v>
      </c>
      <c r="C32017" s="2">
        <v>0</v>
      </c>
      <c r="D32017" s="2">
        <v>2.0632737276478599E-5</v>
      </c>
      <c r="E32017" s="2">
        <v>3.1533141331539399E-5</v>
      </c>
      <c r="F32017" s="2">
        <v>3.7576279848091601E-6</v>
      </c>
    </row>
    <row r="32018" spans="1:6" x14ac:dyDescent="0.25">
      <c r="A32018" s="1" t="str">
        <f t="shared" si="1142"/>
        <v>41740</v>
      </c>
      <c r="B32018" s="1" t="str">
        <f>"92135"</f>
        <v>92135</v>
      </c>
      <c r="C32018" s="2">
        <v>0</v>
      </c>
      <c r="D32018" s="2">
        <v>0</v>
      </c>
      <c r="E32018" s="2">
        <v>2.10220942210262E-5</v>
      </c>
      <c r="F32018" s="2">
        <v>1.2525426616030499E-6</v>
      </c>
    </row>
    <row r="32019" spans="1:6" x14ac:dyDescent="0.25">
      <c r="A32019" s="1" t="str">
        <f t="shared" si="1142"/>
        <v>41740</v>
      </c>
      <c r="B32019" s="1" t="str">
        <f>"91943"</f>
        <v>91943</v>
      </c>
      <c r="C32019" s="2">
        <v>3.8858174299926101E-4</v>
      </c>
      <c r="D32019" s="2">
        <v>1.24484181568088E-3</v>
      </c>
      <c r="E32019" s="2">
        <v>2.10220942210262E-5</v>
      </c>
      <c r="F32019" s="2">
        <v>4.4465264486908399E-4</v>
      </c>
    </row>
    <row r="32020" spans="1:6" x14ac:dyDescent="0.25">
      <c r="A32020" s="1" t="str">
        <f t="shared" si="1142"/>
        <v>41740</v>
      </c>
      <c r="B32020" s="1" t="str">
        <f>"91951"</f>
        <v>91951</v>
      </c>
      <c r="C32020" s="2">
        <v>1.5255704483215699E-3</v>
      </c>
      <c r="D32020" s="2">
        <v>1.37551581843191E-3</v>
      </c>
      <c r="E32020" s="2">
        <v>2.10220942210262E-5</v>
      </c>
      <c r="F32020" s="2">
        <v>1.4222621922502601E-3</v>
      </c>
    </row>
    <row r="32021" spans="1:6" x14ac:dyDescent="0.25">
      <c r="A32021" s="1" t="str">
        <f t="shared" ref="A32021:A32039" si="1143">"41760"</f>
        <v>41760</v>
      </c>
      <c r="B32021" s="1" t="str">
        <f>"83856"</f>
        <v>83856</v>
      </c>
      <c r="C32021" s="2">
        <v>0.12810151135537001</v>
      </c>
      <c r="D32021" s="2">
        <v>6.2156448202959798E-2</v>
      </c>
      <c r="E32021" s="2">
        <v>2.9116465863453799E-2</v>
      </c>
      <c r="F32021" s="2">
        <v>0.11596742603855199</v>
      </c>
    </row>
    <row r="32022" spans="1:6" x14ac:dyDescent="0.25">
      <c r="A32022" s="1" t="str">
        <f t="shared" si="1143"/>
        <v>41760</v>
      </c>
      <c r="B32022" s="1" t="str">
        <f>"83825"</f>
        <v>83825</v>
      </c>
      <c r="C32022" s="2">
        <v>0</v>
      </c>
      <c r="D32022" s="2">
        <v>0</v>
      </c>
      <c r="E32022" s="2">
        <v>7.3293172690763006E-2</v>
      </c>
      <c r="F32022" s="2">
        <v>5.0166649486307197E-3</v>
      </c>
    </row>
    <row r="32023" spans="1:6" x14ac:dyDescent="0.25">
      <c r="A32023" s="1" t="str">
        <f t="shared" si="1143"/>
        <v>41760</v>
      </c>
      <c r="B32023" s="1" t="str">
        <f>"83852"</f>
        <v>83852</v>
      </c>
      <c r="C32023" s="2">
        <v>5.2735795684150898E-2</v>
      </c>
      <c r="D32023" s="2">
        <v>0.16194503171247299</v>
      </c>
      <c r="E32023" s="2">
        <v>4.4176706827309203E-2</v>
      </c>
      <c r="F32023" s="2">
        <v>6.1024636635398401E-2</v>
      </c>
    </row>
    <row r="32024" spans="1:6" x14ac:dyDescent="0.25">
      <c r="A32024" s="1" t="str">
        <f t="shared" si="1143"/>
        <v>41760</v>
      </c>
      <c r="B32024" s="1" t="str">
        <f>"83809"</f>
        <v>83809</v>
      </c>
      <c r="C32024" s="2">
        <v>8.8499151378000403E-3</v>
      </c>
      <c r="D32024" s="2">
        <v>0</v>
      </c>
      <c r="E32024" s="2">
        <v>5.0200803212851401E-4</v>
      </c>
      <c r="F32024" s="2">
        <v>7.55935814177232E-3</v>
      </c>
    </row>
    <row r="32025" spans="1:6" x14ac:dyDescent="0.25">
      <c r="A32025" s="1" t="str">
        <f t="shared" si="1143"/>
        <v>41760</v>
      </c>
      <c r="B32025" s="1" t="str">
        <f>"83836"</f>
        <v>83836</v>
      </c>
      <c r="C32025" s="2">
        <v>2.2831972844096E-2</v>
      </c>
      <c r="D32025" s="2">
        <v>7.6109936575052802E-3</v>
      </c>
      <c r="E32025" s="2">
        <v>7.1787148594377501E-2</v>
      </c>
      <c r="F32025" s="2">
        <v>2.4945881867848602E-2</v>
      </c>
    </row>
    <row r="32026" spans="1:6" x14ac:dyDescent="0.25">
      <c r="A32026" s="1" t="str">
        <f t="shared" si="1143"/>
        <v>41760</v>
      </c>
      <c r="B32026" s="1" t="str">
        <f>"83860"</f>
        <v>83860</v>
      </c>
      <c r="C32026" s="2">
        <v>0.18112018103935901</v>
      </c>
      <c r="D32026" s="2">
        <v>5.9619450317124699E-2</v>
      </c>
      <c r="E32026" s="2">
        <v>1.15461847389558E-2</v>
      </c>
      <c r="F32026" s="2">
        <v>0.159639899666701</v>
      </c>
    </row>
    <row r="32027" spans="1:6" x14ac:dyDescent="0.25">
      <c r="A32027" s="1" t="str">
        <f t="shared" si="1143"/>
        <v>41760</v>
      </c>
      <c r="B32027" s="1" t="str">
        <f>"83848"</f>
        <v>83848</v>
      </c>
      <c r="C32027" s="2">
        <v>5.81912228238907E-3</v>
      </c>
      <c r="D32027" s="2">
        <v>2.5369978858350902E-3</v>
      </c>
      <c r="E32027" s="2">
        <v>3.6646586345381503E-2</v>
      </c>
      <c r="F32027" s="2">
        <v>7.6624402982510302E-3</v>
      </c>
    </row>
    <row r="32028" spans="1:6" x14ac:dyDescent="0.25">
      <c r="A32028" s="1" t="str">
        <f t="shared" si="1143"/>
        <v>41760</v>
      </c>
      <c r="B32028" s="1" t="str">
        <f>"83804"</f>
        <v>83804</v>
      </c>
      <c r="C32028" s="2">
        <v>3.1479835124868599E-2</v>
      </c>
      <c r="D32028" s="2">
        <v>9.30232558139534E-3</v>
      </c>
      <c r="E32028" s="2">
        <v>3.0120481927710802E-3</v>
      </c>
      <c r="F32028" s="2">
        <v>2.7729100092773899E-2</v>
      </c>
    </row>
    <row r="32029" spans="1:6" x14ac:dyDescent="0.25">
      <c r="A32029" s="1" t="str">
        <f t="shared" si="1143"/>
        <v>41760</v>
      </c>
      <c r="B32029" s="1" t="str">
        <f>"83822"</f>
        <v>83822</v>
      </c>
      <c r="C32029" s="2">
        <v>3.7541420835690599E-2</v>
      </c>
      <c r="D32029" s="2">
        <v>1.9450317124735699E-2</v>
      </c>
      <c r="E32029" s="2">
        <v>1.00401606425702E-2</v>
      </c>
      <c r="F32029" s="2">
        <v>3.4188915232106598E-2</v>
      </c>
    </row>
    <row r="32030" spans="1:6" x14ac:dyDescent="0.25">
      <c r="A32030" s="1" t="str">
        <f t="shared" si="1143"/>
        <v>41760</v>
      </c>
      <c r="B32030" s="1" t="str">
        <f>"83865"</f>
        <v>83865</v>
      </c>
      <c r="C32030" s="2">
        <v>0</v>
      </c>
      <c r="D32030" s="2">
        <v>0</v>
      </c>
      <c r="E32030" s="2">
        <v>5.0200803212851401E-4</v>
      </c>
      <c r="F32030" s="2">
        <v>3.4360718826237801E-5</v>
      </c>
    </row>
    <row r="32031" spans="1:6" x14ac:dyDescent="0.25">
      <c r="A32031" s="1" t="str">
        <f t="shared" si="1143"/>
        <v>41760</v>
      </c>
      <c r="B32031" s="1" t="str">
        <f>"83841"</f>
        <v>83841</v>
      </c>
      <c r="C32031" s="2">
        <v>0</v>
      </c>
      <c r="D32031" s="2">
        <v>0</v>
      </c>
      <c r="E32031" s="2">
        <v>6.5763052208835299E-2</v>
      </c>
      <c r="F32031" s="2">
        <v>4.5012541662371496E-3</v>
      </c>
    </row>
    <row r="32032" spans="1:6" x14ac:dyDescent="0.25">
      <c r="A32032" s="1" t="str">
        <f t="shared" si="1143"/>
        <v>41760</v>
      </c>
      <c r="B32032" s="1" t="str">
        <f>"83803"</f>
        <v>83803</v>
      </c>
      <c r="C32032" s="2">
        <v>7.2739028529863396E-4</v>
      </c>
      <c r="D32032" s="2">
        <v>0</v>
      </c>
      <c r="E32032" s="2">
        <v>0</v>
      </c>
      <c r="F32032" s="2">
        <v>6.1849293887228103E-4</v>
      </c>
    </row>
    <row r="32033" spans="1:6" x14ac:dyDescent="0.25">
      <c r="A32033" s="1" t="str">
        <f t="shared" si="1143"/>
        <v>41760</v>
      </c>
      <c r="B32033" s="1" t="str">
        <f>"83811"</f>
        <v>83811</v>
      </c>
      <c r="C32033" s="2">
        <v>2.0366927988361701E-2</v>
      </c>
      <c r="D32033" s="2">
        <v>8.4566596194503105E-3</v>
      </c>
      <c r="E32033" s="2">
        <v>8.9357429718875503E-2</v>
      </c>
      <c r="F32033" s="2">
        <v>2.4121224616018899E-2</v>
      </c>
    </row>
    <row r="32034" spans="1:6" x14ac:dyDescent="0.25">
      <c r="A32034" s="1" t="str">
        <f t="shared" si="1143"/>
        <v>41760</v>
      </c>
      <c r="B32034" s="1" t="str">
        <f>"83801"</f>
        <v>83801</v>
      </c>
      <c r="C32034" s="2">
        <v>2.0043643417117899E-2</v>
      </c>
      <c r="D32034" s="2">
        <v>4.2283298097251502E-4</v>
      </c>
      <c r="E32034" s="2">
        <v>1.00401606425702E-3</v>
      </c>
      <c r="F32034" s="2">
        <v>1.7145998694292602E-2</v>
      </c>
    </row>
    <row r="32035" spans="1:6" x14ac:dyDescent="0.25">
      <c r="A32035" s="1" t="str">
        <f t="shared" si="1143"/>
        <v>41760</v>
      </c>
      <c r="B32035" s="1" t="str">
        <f>"83840"</f>
        <v>83840</v>
      </c>
      <c r="C32035" s="2">
        <v>0</v>
      </c>
      <c r="D32035" s="2">
        <v>0</v>
      </c>
      <c r="E32035" s="2">
        <v>0.25100401606425699</v>
      </c>
      <c r="F32035" s="2">
        <v>1.7180359413118899E-2</v>
      </c>
    </row>
    <row r="32036" spans="1:6" x14ac:dyDescent="0.25">
      <c r="A32036" s="1" t="str">
        <f t="shared" si="1143"/>
        <v>41760</v>
      </c>
      <c r="B32036" s="1" t="str">
        <f>"83821"</f>
        <v>83821</v>
      </c>
      <c r="C32036" s="2">
        <v>1.03451062798027E-2</v>
      </c>
      <c r="D32036" s="2">
        <v>3.8054968287526401E-3</v>
      </c>
      <c r="E32036" s="2">
        <v>3.0120481927710802E-3</v>
      </c>
      <c r="F32036" s="2">
        <v>9.3117548019104497E-3</v>
      </c>
    </row>
    <row r="32037" spans="1:6" x14ac:dyDescent="0.25">
      <c r="A32037" s="1" t="str">
        <f t="shared" si="1143"/>
        <v>41760</v>
      </c>
      <c r="B32037" s="1" t="str">
        <f>"83864"</f>
        <v>83864</v>
      </c>
      <c r="C32037" s="2">
        <v>0.44492039117433102</v>
      </c>
      <c r="D32037" s="2">
        <v>0.66257928118393195</v>
      </c>
      <c r="E32037" s="2">
        <v>0.29317269076305202</v>
      </c>
      <c r="F32037" s="2">
        <v>0.452221420472116</v>
      </c>
    </row>
    <row r="32038" spans="1:6" x14ac:dyDescent="0.25">
      <c r="A32038" s="1" t="str">
        <f t="shared" si="1143"/>
        <v>41760</v>
      </c>
      <c r="B32038" s="1" t="str">
        <f>"83869"</f>
        <v>83869</v>
      </c>
      <c r="C32038" s="2">
        <v>1.5881354562353501E-2</v>
      </c>
      <c r="D32038" s="2">
        <v>1.2684989429175399E-3</v>
      </c>
      <c r="E32038" s="2">
        <v>6.0240963855421603E-3</v>
      </c>
      <c r="F32038" s="2">
        <v>1.4019173281105E-2</v>
      </c>
    </row>
    <row r="32039" spans="1:6" x14ac:dyDescent="0.25">
      <c r="A32039" s="1" t="str">
        <f t="shared" si="1143"/>
        <v>41760</v>
      </c>
      <c r="B32039" s="1" t="str">
        <f>"83813"</f>
        <v>83813</v>
      </c>
      <c r="C32039" s="2">
        <v>1.92354319890083E-2</v>
      </c>
      <c r="D32039" s="2">
        <v>8.4566596194503101E-4</v>
      </c>
      <c r="E32039" s="2">
        <v>1.00401606425702E-2</v>
      </c>
      <c r="F32039" s="2">
        <v>1.7111637975466401E-2</v>
      </c>
    </row>
    <row r="32040" spans="1:6" x14ac:dyDescent="0.25">
      <c r="A32040" s="1" t="str">
        <f t="shared" ref="A32040:A32054" si="1144">"41780"</f>
        <v>41780</v>
      </c>
      <c r="B32040" s="1" t="str">
        <f>"43464"</f>
        <v>43464</v>
      </c>
      <c r="C32040" s="2">
        <v>5.1059484299208497E-3</v>
      </c>
      <c r="D32040" s="2">
        <v>6.3633471205854202E-4</v>
      </c>
      <c r="E32040" s="2">
        <v>1.44717800289435E-3</v>
      </c>
      <c r="F32040" s="2">
        <v>4.6687263989014698E-3</v>
      </c>
    </row>
    <row r="32041" spans="1:6" x14ac:dyDescent="0.25">
      <c r="A32041" s="1" t="str">
        <f t="shared" si="1144"/>
        <v>41780</v>
      </c>
      <c r="B32041" s="1" t="str">
        <f>"44826"</f>
        <v>44826</v>
      </c>
      <c r="C32041" s="2">
        <v>1.63390349757467E-3</v>
      </c>
      <c r="D32041" s="2">
        <v>0</v>
      </c>
      <c r="E32041" s="2">
        <v>0</v>
      </c>
      <c r="F32041" s="2">
        <v>1.4646984780867301E-3</v>
      </c>
    </row>
    <row r="32042" spans="1:6" x14ac:dyDescent="0.25">
      <c r="A32042" s="1" t="str">
        <f t="shared" si="1144"/>
        <v>41780</v>
      </c>
      <c r="B32042" s="1" t="str">
        <f>"44857"</f>
        <v>44857</v>
      </c>
      <c r="C32042" s="2">
        <v>3.3443962215981599E-3</v>
      </c>
      <c r="D32042" s="2">
        <v>3.1816735602927101E-4</v>
      </c>
      <c r="E32042" s="2">
        <v>0</v>
      </c>
      <c r="F32042" s="2">
        <v>3.0209406110538899E-3</v>
      </c>
    </row>
    <row r="32043" spans="1:6" x14ac:dyDescent="0.25">
      <c r="A32043" s="1" t="str">
        <f t="shared" si="1144"/>
        <v>41780</v>
      </c>
      <c r="B32043" s="1" t="str">
        <f>"44847"</f>
        <v>44847</v>
      </c>
      <c r="C32043" s="2">
        <v>7.8886903242277196E-3</v>
      </c>
      <c r="D32043" s="2">
        <v>9.5450206808781401E-4</v>
      </c>
      <c r="E32043" s="2">
        <v>0</v>
      </c>
      <c r="F32043" s="2">
        <v>7.1404050806728398E-3</v>
      </c>
    </row>
    <row r="32044" spans="1:6" x14ac:dyDescent="0.25">
      <c r="A32044" s="1" t="str">
        <f t="shared" si="1144"/>
        <v>41780</v>
      </c>
      <c r="B32044" s="1" t="str">
        <f>"44870"</f>
        <v>44870</v>
      </c>
      <c r="C32044" s="2">
        <v>0.51383712024508499</v>
      </c>
      <c r="D32044" s="2">
        <v>0.62074451161310795</v>
      </c>
      <c r="E32044" s="2">
        <v>0.66714905933429802</v>
      </c>
      <c r="F32044" s="2">
        <v>0.52637601556242097</v>
      </c>
    </row>
    <row r="32045" spans="1:6" x14ac:dyDescent="0.25">
      <c r="A32045" s="1" t="str">
        <f t="shared" si="1144"/>
        <v>41780</v>
      </c>
      <c r="B32045" s="1" t="str">
        <f>"43438"</f>
        <v>43438</v>
      </c>
      <c r="C32045" s="2">
        <v>5.7697217258105603E-3</v>
      </c>
      <c r="D32045" s="2">
        <v>0</v>
      </c>
      <c r="E32045" s="2">
        <v>5.0651230101302399E-3</v>
      </c>
      <c r="F32045" s="2">
        <v>5.3324178967845198E-3</v>
      </c>
    </row>
    <row r="32046" spans="1:6" x14ac:dyDescent="0.25">
      <c r="A32046" s="1" t="str">
        <f t="shared" si="1144"/>
        <v>41780</v>
      </c>
      <c r="B32046" s="1" t="str">
        <f>"44089"</f>
        <v>44089</v>
      </c>
      <c r="C32046" s="2">
        <v>0.12315547612969099</v>
      </c>
      <c r="D32046" s="2">
        <v>9.0995863824371595E-2</v>
      </c>
      <c r="E32046" s="2">
        <v>8.3936324167872597E-2</v>
      </c>
      <c r="F32046" s="2">
        <v>0.11960178510126999</v>
      </c>
    </row>
    <row r="32047" spans="1:6" x14ac:dyDescent="0.25">
      <c r="A32047" s="1" t="str">
        <f t="shared" si="1144"/>
        <v>41780</v>
      </c>
      <c r="B32047" s="1" t="str">
        <f>"44839"</f>
        <v>44839</v>
      </c>
      <c r="C32047" s="2">
        <v>0.17357671687515899</v>
      </c>
      <c r="D32047" s="2">
        <v>0.108495068405981</v>
      </c>
      <c r="E32047" s="2">
        <v>0.203328509406657</v>
      </c>
      <c r="F32047" s="2">
        <v>0.169836365716901</v>
      </c>
    </row>
    <row r="32048" spans="1:6" x14ac:dyDescent="0.25">
      <c r="A32048" s="1" t="str">
        <f t="shared" si="1144"/>
        <v>41780</v>
      </c>
      <c r="B32048" s="1" t="str">
        <f>"44846"</f>
        <v>44846</v>
      </c>
      <c r="C32048" s="2">
        <v>3.1963237171304497E-2</v>
      </c>
      <c r="D32048" s="2">
        <v>4.1361756283805201E-2</v>
      </c>
      <c r="E32048" s="2">
        <v>1.5195369030390701E-2</v>
      </c>
      <c r="F32048" s="2">
        <v>3.21089369493077E-2</v>
      </c>
    </row>
    <row r="32049" spans="1:6" x14ac:dyDescent="0.25">
      <c r="A32049" s="1" t="str">
        <f t="shared" si="1144"/>
        <v>41780</v>
      </c>
      <c r="B32049" s="1" t="str">
        <f>"44871"</f>
        <v>44871</v>
      </c>
      <c r="C32049" s="2">
        <v>3.8090375287209502E-2</v>
      </c>
      <c r="D32049" s="2">
        <v>0.10372255806554199</v>
      </c>
      <c r="E32049" s="2">
        <v>1.44717800289435E-3</v>
      </c>
      <c r="F32049" s="2">
        <v>4.1652362970591598E-2</v>
      </c>
    </row>
    <row r="32050" spans="1:6" x14ac:dyDescent="0.25">
      <c r="A32050" s="1" t="str">
        <f t="shared" si="1144"/>
        <v>41780</v>
      </c>
      <c r="B32050" s="1" t="str">
        <f>"44814"</f>
        <v>44814</v>
      </c>
      <c r="C32050" s="2">
        <v>2.8772019402604002E-2</v>
      </c>
      <c r="D32050" s="2">
        <v>6.9996818326439701E-3</v>
      </c>
      <c r="E32050" s="2">
        <v>6.5123010130246003E-3</v>
      </c>
      <c r="F32050" s="2">
        <v>2.6501888087881901E-2</v>
      </c>
    </row>
    <row r="32051" spans="1:6" x14ac:dyDescent="0.25">
      <c r="A32051" s="1" t="str">
        <f t="shared" si="1144"/>
        <v>41780</v>
      </c>
      <c r="B32051" s="1" t="str">
        <f>"44816"</f>
        <v>44816</v>
      </c>
      <c r="C32051" s="2">
        <v>0</v>
      </c>
      <c r="D32051" s="2">
        <v>0</v>
      </c>
      <c r="E32051" s="2">
        <v>7.2358900144717795E-4</v>
      </c>
      <c r="F32051" s="2">
        <v>2.2885913720105198E-5</v>
      </c>
    </row>
    <row r="32052" spans="1:6" x14ac:dyDescent="0.25">
      <c r="A32052" s="1" t="str">
        <f t="shared" si="1144"/>
        <v>41780</v>
      </c>
      <c r="B32052" s="1" t="str">
        <f>"44811"</f>
        <v>44811</v>
      </c>
      <c r="C32052" s="2">
        <v>6.9185601225427596E-3</v>
      </c>
      <c r="D32052" s="2">
        <v>6.3633471205854202E-4</v>
      </c>
      <c r="E32052" s="2">
        <v>0</v>
      </c>
      <c r="F32052" s="2">
        <v>6.2478544455887401E-3</v>
      </c>
    </row>
    <row r="32053" spans="1:6" x14ac:dyDescent="0.25">
      <c r="A32053" s="1" t="str">
        <f t="shared" si="1144"/>
        <v>41780</v>
      </c>
      <c r="B32053" s="1" t="str">
        <f>"44824"</f>
        <v>44824</v>
      </c>
      <c r="C32053" s="2">
        <v>4.1383712024508502E-2</v>
      </c>
      <c r="D32053" s="2">
        <v>1.74992045816099E-2</v>
      </c>
      <c r="E32053" s="2">
        <v>1.2301013024602001E-2</v>
      </c>
      <c r="F32053" s="2">
        <v>3.8745851928138203E-2</v>
      </c>
    </row>
    <row r="32054" spans="1:6" x14ac:dyDescent="0.25">
      <c r="A32054" s="1" t="str">
        <f t="shared" si="1144"/>
        <v>41780</v>
      </c>
      <c r="B32054" s="1" t="str">
        <f>"44889"</f>
        <v>44889</v>
      </c>
      <c r="C32054" s="2">
        <v>1.8560122542762299E-2</v>
      </c>
      <c r="D32054" s="2">
        <v>7.6360165447025103E-3</v>
      </c>
      <c r="E32054" s="2">
        <v>2.8943560057887101E-3</v>
      </c>
      <c r="F32054" s="2">
        <v>1.72788648586794E-2</v>
      </c>
    </row>
    <row r="32055" spans="1:6" x14ac:dyDescent="0.25">
      <c r="A32055" s="1" t="str">
        <f t="shared" ref="A32055:A32060" si="1145">"41820"</f>
        <v>41820</v>
      </c>
      <c r="B32055" s="1" t="str">
        <f>"28326"</f>
        <v>28326</v>
      </c>
      <c r="C32055" s="2">
        <v>1.98722259583053E-2</v>
      </c>
      <c r="D32055" s="2">
        <v>2.6946107784431099E-3</v>
      </c>
      <c r="E32055" s="2">
        <v>0</v>
      </c>
      <c r="F32055" s="2">
        <v>1.7925430210325E-2</v>
      </c>
    </row>
    <row r="32056" spans="1:6" x14ac:dyDescent="0.25">
      <c r="A32056" s="1" t="str">
        <f t="shared" si="1145"/>
        <v>41820</v>
      </c>
      <c r="B32056" s="1" t="str">
        <f>"27505"</f>
        <v>27505</v>
      </c>
      <c r="C32056" s="2">
        <v>1.97713517148621E-2</v>
      </c>
      <c r="D32056" s="2">
        <v>6.8862275449101699E-3</v>
      </c>
      <c r="E32056" s="2">
        <v>5.1020408163265302E-3</v>
      </c>
      <c r="F32056" s="2">
        <v>1.8313814531548699E-2</v>
      </c>
    </row>
    <row r="32057" spans="1:6" x14ac:dyDescent="0.25">
      <c r="A32057" s="1" t="str">
        <f t="shared" si="1145"/>
        <v>41820</v>
      </c>
      <c r="B32057" s="1" t="str">
        <f>"28355"</f>
        <v>28355</v>
      </c>
      <c r="C32057" s="2">
        <v>0</v>
      </c>
      <c r="D32057" s="2">
        <v>0</v>
      </c>
      <c r="E32057" s="2">
        <v>2.5510204081632599E-3</v>
      </c>
      <c r="F32057" s="2">
        <v>2.9875717017208398E-5</v>
      </c>
    </row>
    <row r="32058" spans="1:6" x14ac:dyDescent="0.25">
      <c r="A32058" s="1" t="str">
        <f t="shared" si="1145"/>
        <v>41820</v>
      </c>
      <c r="B32058" s="1" t="str">
        <f>"27332"</f>
        <v>27332</v>
      </c>
      <c r="C32058" s="2">
        <v>0.28890383322125002</v>
      </c>
      <c r="D32058" s="2">
        <v>0.23413173652694599</v>
      </c>
      <c r="E32058" s="2">
        <v>0.17346938775510201</v>
      </c>
      <c r="F32058" s="2">
        <v>0.282086520076481</v>
      </c>
    </row>
    <row r="32059" spans="1:6" x14ac:dyDescent="0.25">
      <c r="A32059" s="1" t="str">
        <f t="shared" si="1145"/>
        <v>41820</v>
      </c>
      <c r="B32059" s="1" t="str">
        <f>"27331"</f>
        <v>27331</v>
      </c>
      <c r="C32059" s="2">
        <v>0.103631472763954</v>
      </c>
      <c r="D32059" s="2">
        <v>0.224550898203592</v>
      </c>
      <c r="E32059" s="2">
        <v>5.1020408163265302E-3</v>
      </c>
      <c r="F32059" s="2">
        <v>0.114543499043977</v>
      </c>
    </row>
    <row r="32060" spans="1:6" x14ac:dyDescent="0.25">
      <c r="A32060" s="1" t="str">
        <f t="shared" si="1145"/>
        <v>41820</v>
      </c>
      <c r="B32060" s="1" t="str">
        <f>"27330"</f>
        <v>27330</v>
      </c>
      <c r="C32060" s="2">
        <v>0.56782111634162702</v>
      </c>
      <c r="D32060" s="2">
        <v>0.53173652694610696</v>
      </c>
      <c r="E32060" s="2">
        <v>0.81377551020408101</v>
      </c>
      <c r="F32060" s="2">
        <v>0.56710086042065</v>
      </c>
    </row>
    <row r="32061" spans="1:6" x14ac:dyDescent="0.25">
      <c r="A32061" s="1" t="str">
        <f t="shared" ref="A32061:A32124" si="1146">"41860"</f>
        <v>41860</v>
      </c>
      <c r="B32061" s="1" t="str">
        <f>"94540"</f>
        <v>94540</v>
      </c>
      <c r="C32061" s="2">
        <v>5.6975163867873096E-4</v>
      </c>
      <c r="D32061" s="2">
        <v>1.0201753090728399E-3</v>
      </c>
      <c r="E32061" s="2">
        <v>1.39911995354921E-5</v>
      </c>
      <c r="F32061" s="2">
        <v>5.7893381851852597E-4</v>
      </c>
    </row>
    <row r="32062" spans="1:6" x14ac:dyDescent="0.25">
      <c r="A32062" s="1" t="str">
        <f t="shared" si="1146"/>
        <v>41860</v>
      </c>
      <c r="B32062" s="1" t="str">
        <f>"94565"</f>
        <v>94565</v>
      </c>
      <c r="C32062" s="2">
        <v>1.7171738467542899E-2</v>
      </c>
      <c r="D32062" s="2">
        <v>7.8616141142148904E-3</v>
      </c>
      <c r="E32062" s="2">
        <v>6.89766137099764E-3</v>
      </c>
      <c r="F32062" s="2">
        <v>1.56359726455934E-2</v>
      </c>
    </row>
    <row r="32063" spans="1:6" x14ac:dyDescent="0.25">
      <c r="A32063" s="1" t="str">
        <f t="shared" si="1146"/>
        <v>41860</v>
      </c>
      <c r="B32063" s="1" t="str">
        <f>"94580"</f>
        <v>94580</v>
      </c>
      <c r="C32063" s="2">
        <v>4.9832699733173098E-3</v>
      </c>
      <c r="D32063" s="2">
        <v>2.2685477267540902E-3</v>
      </c>
      <c r="E32063" s="2">
        <v>1.04234436539416E-3</v>
      </c>
      <c r="F32063" s="2">
        <v>4.4770016593506604E-3</v>
      </c>
    </row>
    <row r="32064" spans="1:6" x14ac:dyDescent="0.25">
      <c r="A32064" s="1" t="str">
        <f t="shared" si="1146"/>
        <v>41860</v>
      </c>
      <c r="B32064" s="1" t="str">
        <f>"94563"</f>
        <v>94563</v>
      </c>
      <c r="C32064" s="2">
        <v>4.2294289062568199E-3</v>
      </c>
      <c r="D32064" s="2">
        <v>3.8346063152431102E-3</v>
      </c>
      <c r="E32064" s="2">
        <v>5.3166558234870199E-4</v>
      </c>
      <c r="F32064" s="2">
        <v>3.9625380493218702E-3</v>
      </c>
    </row>
    <row r="32065" spans="1:6" x14ac:dyDescent="0.25">
      <c r="A32065" s="1" t="str">
        <f t="shared" si="1146"/>
        <v>41860</v>
      </c>
      <c r="B32065" s="1" t="str">
        <f>"95391"</f>
        <v>95391</v>
      </c>
      <c r="C32065" s="2">
        <v>2.6739246580590201E-5</v>
      </c>
      <c r="D32065" s="2">
        <v>2.6846718659811799E-5</v>
      </c>
      <c r="E32065" s="2">
        <v>2.7982399070984301E-5</v>
      </c>
      <c r="F32065" s="2">
        <v>2.6826529707136499E-5</v>
      </c>
    </row>
    <row r="32066" spans="1:6" x14ac:dyDescent="0.25">
      <c r="A32066" s="1" t="str">
        <f t="shared" si="1146"/>
        <v>41860</v>
      </c>
      <c r="B32066" s="1" t="str">
        <f>"94528"</f>
        <v>94528</v>
      </c>
      <c r="C32066" s="2">
        <v>2.9824544262966002E-4</v>
      </c>
      <c r="D32066" s="2">
        <v>2.01350389948588E-4</v>
      </c>
      <c r="E32066" s="2">
        <v>1.39911995354921E-5</v>
      </c>
      <c r="F32066" s="2">
        <v>2.7129409881249301E-4</v>
      </c>
    </row>
    <row r="32067" spans="1:6" x14ac:dyDescent="0.25">
      <c r="A32067" s="1" t="str">
        <f t="shared" si="1146"/>
        <v>41860</v>
      </c>
      <c r="B32067" s="1" t="str">
        <f>"94976"</f>
        <v>94976</v>
      </c>
      <c r="C32067" s="2">
        <v>3.2652733805143901E-4</v>
      </c>
      <c r="D32067" s="2">
        <v>7.78554841134542E-4</v>
      </c>
      <c r="E32067" s="2">
        <v>1.39911995354921E-5</v>
      </c>
      <c r="F32067" s="2">
        <v>3.5090831600786602E-4</v>
      </c>
    </row>
    <row r="32068" spans="1:6" x14ac:dyDescent="0.25">
      <c r="A32068" s="1" t="str">
        <f t="shared" si="1146"/>
        <v>41860</v>
      </c>
      <c r="B32068" s="1" t="str">
        <f>"94950"</f>
        <v>94950</v>
      </c>
      <c r="C32068" s="2">
        <v>0</v>
      </c>
      <c r="D32068" s="2">
        <v>4.4744531099686298E-6</v>
      </c>
      <c r="E32068" s="2">
        <v>0</v>
      </c>
      <c r="F32068" s="2">
        <v>4.3268596301833002E-7</v>
      </c>
    </row>
    <row r="32069" spans="1:6" x14ac:dyDescent="0.25">
      <c r="A32069" s="1" t="str">
        <f t="shared" si="1146"/>
        <v>41860</v>
      </c>
      <c r="B32069" s="1" t="str">
        <f>"94497"</f>
        <v>94497</v>
      </c>
      <c r="C32069" s="2">
        <v>0</v>
      </c>
      <c r="D32069" s="2">
        <v>1.3423359329905899E-5</v>
      </c>
      <c r="E32069" s="2">
        <v>0</v>
      </c>
      <c r="F32069" s="2">
        <v>1.2980578890549899E-6</v>
      </c>
    </row>
    <row r="32070" spans="1:6" x14ac:dyDescent="0.25">
      <c r="A32070" s="1" t="str">
        <f t="shared" si="1146"/>
        <v>41860</v>
      </c>
      <c r="B32070" s="1" t="str">
        <f>"94119"</f>
        <v>94119</v>
      </c>
      <c r="C32070" s="2">
        <v>1.20995090777171E-3</v>
      </c>
      <c r="D32070" s="2">
        <v>1.40497827653015E-3</v>
      </c>
      <c r="E32070" s="2">
        <v>1.39911995354921E-5</v>
      </c>
      <c r="F32070" s="2">
        <v>1.1548388352959199E-3</v>
      </c>
    </row>
    <row r="32071" spans="1:6" x14ac:dyDescent="0.25">
      <c r="A32071" s="1" t="str">
        <f t="shared" si="1146"/>
        <v>41860</v>
      </c>
      <c r="B32071" s="1" t="str">
        <f>"94820"</f>
        <v>94820</v>
      </c>
      <c r="C32071" s="2">
        <v>5.1730157807834199E-4</v>
      </c>
      <c r="D32071" s="2">
        <v>9.4858405931334995E-4</v>
      </c>
      <c r="E32071" s="2">
        <v>1.39911995354921E-5</v>
      </c>
      <c r="F32071" s="2">
        <v>5.2787687488236299E-4</v>
      </c>
    </row>
    <row r="32072" spans="1:6" x14ac:dyDescent="0.25">
      <c r="A32072" s="1" t="str">
        <f t="shared" si="1146"/>
        <v>41860</v>
      </c>
      <c r="B32072" s="1" t="str">
        <f>"94164"</f>
        <v>94164</v>
      </c>
      <c r="C32072" s="2">
        <v>9.3175990007749203E-4</v>
      </c>
      <c r="D32072" s="2">
        <v>1.0067519497429401E-3</v>
      </c>
      <c r="E32072" s="2">
        <v>1.39911995354921E-5</v>
      </c>
      <c r="F32072" s="2">
        <v>8.8224667859437605E-4</v>
      </c>
    </row>
    <row r="32073" spans="1:6" x14ac:dyDescent="0.25">
      <c r="A32073" s="1" t="str">
        <f t="shared" si="1146"/>
        <v>41860</v>
      </c>
      <c r="B32073" s="1" t="str">
        <f>"94623"</f>
        <v>94623</v>
      </c>
      <c r="C32073" s="2">
        <v>4.0520242895202197E-4</v>
      </c>
      <c r="D32073" s="2">
        <v>1.06491984017253E-3</v>
      </c>
      <c r="E32073" s="2">
        <v>1.39911995354921E-5</v>
      </c>
      <c r="F32073" s="2">
        <v>4.4480116998284398E-4</v>
      </c>
    </row>
    <row r="32074" spans="1:6" x14ac:dyDescent="0.25">
      <c r="A32074" s="1" t="str">
        <f t="shared" si="1146"/>
        <v>41860</v>
      </c>
      <c r="B32074" s="1" t="str">
        <f>"94083"</f>
        <v>94083</v>
      </c>
      <c r="C32074" s="2">
        <v>6.3248602488703896E-4</v>
      </c>
      <c r="D32074" s="2">
        <v>1.32891257366068E-3</v>
      </c>
      <c r="E32074" s="2">
        <v>3.4977998838730402E-5</v>
      </c>
      <c r="F32074" s="2">
        <v>6.6287489534408201E-4</v>
      </c>
    </row>
    <row r="32075" spans="1:6" x14ac:dyDescent="0.25">
      <c r="A32075" s="1" t="str">
        <f t="shared" si="1146"/>
        <v>41860</v>
      </c>
      <c r="B32075" s="1" t="str">
        <f>"94901"</f>
        <v>94901</v>
      </c>
      <c r="C32075" s="2">
        <v>8.5802128546871009E-3</v>
      </c>
      <c r="D32075" s="2">
        <v>1.7195323301609399E-2</v>
      </c>
      <c r="E32075" s="2">
        <v>1.57890686758029E-2</v>
      </c>
      <c r="F32075" s="2">
        <v>9.8591823533356795E-3</v>
      </c>
    </row>
    <row r="32076" spans="1:6" x14ac:dyDescent="0.25">
      <c r="A32076" s="1" t="str">
        <f t="shared" si="1146"/>
        <v>41860</v>
      </c>
      <c r="B32076" s="1" t="str">
        <f>"94925"</f>
        <v>94925</v>
      </c>
      <c r="C32076" s="2">
        <v>2.2445540639283901E-3</v>
      </c>
      <c r="D32076" s="2">
        <v>3.3916354573562198E-3</v>
      </c>
      <c r="E32076" s="2">
        <v>2.7142927098854799E-3</v>
      </c>
      <c r="F32076" s="2">
        <v>2.3845323421940201E-3</v>
      </c>
    </row>
    <row r="32077" spans="1:6" x14ac:dyDescent="0.25">
      <c r="A32077" s="1" t="str">
        <f t="shared" si="1146"/>
        <v>41860</v>
      </c>
      <c r="B32077" s="1" t="str">
        <f>"94949"</f>
        <v>94949</v>
      </c>
      <c r="C32077" s="2">
        <v>3.9018731356445899E-3</v>
      </c>
      <c r="D32077" s="2">
        <v>7.5707746620669201E-3</v>
      </c>
      <c r="E32077" s="2">
        <v>6.3030353907392199E-3</v>
      </c>
      <c r="F32077" s="2">
        <v>4.4051757894896203E-3</v>
      </c>
    </row>
    <row r="32078" spans="1:6" x14ac:dyDescent="0.25">
      <c r="A32078" s="1" t="str">
        <f t="shared" si="1146"/>
        <v>41860</v>
      </c>
      <c r="B32078" s="1" t="str">
        <f>"94107"</f>
        <v>94107</v>
      </c>
      <c r="C32078" s="2">
        <v>9.7731946252057507E-3</v>
      </c>
      <c r="D32078" s="2">
        <v>1.7092410880080101E-2</v>
      </c>
      <c r="E32078" s="2">
        <v>2.2399910456322902E-2</v>
      </c>
      <c r="F32078" s="2">
        <v>1.1261950245441099E-2</v>
      </c>
    </row>
    <row r="32079" spans="1:6" x14ac:dyDescent="0.25">
      <c r="A32079" s="1" t="str">
        <f t="shared" si="1146"/>
        <v>41860</v>
      </c>
      <c r="B32079" s="1" t="str">
        <f>"94127"</f>
        <v>94127</v>
      </c>
      <c r="C32079" s="2">
        <v>4.1060169989617897E-3</v>
      </c>
      <c r="D32079" s="2">
        <v>2.7115185846409901E-3</v>
      </c>
      <c r="E32079" s="2">
        <v>1.3081771565685101E-3</v>
      </c>
      <c r="F32079" s="2">
        <v>3.7981173833749001E-3</v>
      </c>
    </row>
    <row r="32080" spans="1:6" x14ac:dyDescent="0.25">
      <c r="A32080" s="1" t="str">
        <f t="shared" si="1146"/>
        <v>41860</v>
      </c>
      <c r="B32080" s="1" t="str">
        <f>"94128"</f>
        <v>94128</v>
      </c>
      <c r="C32080" s="2">
        <v>8.2377448119433903E-4</v>
      </c>
      <c r="D32080" s="2">
        <v>1.6958177286781099E-3</v>
      </c>
      <c r="E32080" s="2">
        <v>2.5883719140660502E-4</v>
      </c>
      <c r="F32080" s="2">
        <v>8.7316027337099099E-4</v>
      </c>
    </row>
    <row r="32081" spans="1:6" x14ac:dyDescent="0.25">
      <c r="A32081" s="1" t="str">
        <f t="shared" si="1146"/>
        <v>41860</v>
      </c>
      <c r="B32081" s="1" t="str">
        <f>"94607"</f>
        <v>94607</v>
      </c>
      <c r="C32081" s="2">
        <v>6.5048359470089804E-3</v>
      </c>
      <c r="D32081" s="2">
        <v>1.3566541829424799E-2</v>
      </c>
      <c r="E32081" s="2">
        <v>6.1771145949197897E-3</v>
      </c>
      <c r="F32081" s="2">
        <v>7.1674429773986399E-3</v>
      </c>
    </row>
    <row r="32082" spans="1:6" x14ac:dyDescent="0.25">
      <c r="A32082" s="1" t="str">
        <f t="shared" si="1146"/>
        <v>41860</v>
      </c>
      <c r="B32082" s="1" t="str">
        <f>"94706"</f>
        <v>94706</v>
      </c>
      <c r="C32082" s="2">
        <v>4.71536329123101E-3</v>
      </c>
      <c r="D32082" s="2">
        <v>3.7272194406038702E-3</v>
      </c>
      <c r="E32082" s="2">
        <v>4.3022938571638403E-3</v>
      </c>
      <c r="F32082" s="2">
        <v>4.5942595553286301E-3</v>
      </c>
    </row>
    <row r="32083" spans="1:6" x14ac:dyDescent="0.25">
      <c r="A32083" s="1" t="str">
        <f t="shared" si="1146"/>
        <v>41860</v>
      </c>
      <c r="B32083" s="1" t="str">
        <f>"94621"</f>
        <v>94621</v>
      </c>
      <c r="C32083" s="2">
        <v>5.1149093410986796E-3</v>
      </c>
      <c r="D32083" s="2">
        <v>8.8101981735282404E-3</v>
      </c>
      <c r="E32083" s="2">
        <v>6.4849209847006196E-3</v>
      </c>
      <c r="F32083" s="2">
        <v>5.5569858230444203E-3</v>
      </c>
    </row>
    <row r="32084" spans="1:6" x14ac:dyDescent="0.25">
      <c r="A32084" s="1" t="str">
        <f t="shared" si="1146"/>
        <v>41860</v>
      </c>
      <c r="B32084" s="1" t="str">
        <f>"94703"</f>
        <v>94703</v>
      </c>
      <c r="C32084" s="2">
        <v>5.0007533268507801E-3</v>
      </c>
      <c r="D32084" s="2">
        <v>2.15668639900488E-3</v>
      </c>
      <c r="E32084" s="2">
        <v>8.2897857247791092E-3</v>
      </c>
      <c r="F32084" s="2">
        <v>4.92915849070482E-3</v>
      </c>
    </row>
    <row r="32085" spans="1:6" x14ac:dyDescent="0.25">
      <c r="A32085" s="1" t="str">
        <f t="shared" si="1146"/>
        <v>41860</v>
      </c>
      <c r="B32085" s="1" t="str">
        <f>"94501"</f>
        <v>94501</v>
      </c>
      <c r="C32085" s="2">
        <v>1.53241593720802E-2</v>
      </c>
      <c r="D32085" s="2">
        <v>1.19602131629461E-2</v>
      </c>
      <c r="E32085" s="2">
        <v>2.4834379175498598E-2</v>
      </c>
      <c r="F32085" s="2">
        <v>1.55870791317723E-2</v>
      </c>
    </row>
    <row r="32086" spans="1:6" x14ac:dyDescent="0.25">
      <c r="A32086" s="1" t="str">
        <f t="shared" si="1146"/>
        <v>41860</v>
      </c>
      <c r="B32086" s="1" t="str">
        <f>"94598"</f>
        <v>94598</v>
      </c>
      <c r="C32086" s="2">
        <v>6.3629122536196896E-3</v>
      </c>
      <c r="D32086" s="2">
        <v>6.0494606046775897E-3</v>
      </c>
      <c r="E32086" s="2">
        <v>4.1204082632024398E-3</v>
      </c>
      <c r="F32086" s="2">
        <v>6.1938995606074E-3</v>
      </c>
    </row>
    <row r="32087" spans="1:6" x14ac:dyDescent="0.25">
      <c r="A32087" s="1" t="str">
        <f t="shared" si="1146"/>
        <v>41860</v>
      </c>
      <c r="B32087" s="1" t="str">
        <f>"94802"</f>
        <v>94802</v>
      </c>
      <c r="C32087" s="2">
        <v>5.6306682703358298E-4</v>
      </c>
      <c r="D32087" s="2">
        <v>4.0717523300714501E-4</v>
      </c>
      <c r="E32087" s="2">
        <v>1.39911995354921E-5</v>
      </c>
      <c r="F32087" s="2">
        <v>5.14030924065776E-4</v>
      </c>
    </row>
    <row r="32088" spans="1:6" x14ac:dyDescent="0.25">
      <c r="A32088" s="1" t="str">
        <f t="shared" si="1146"/>
        <v>41860</v>
      </c>
      <c r="B32088" s="1" t="str">
        <f>"94537"</f>
        <v>94537</v>
      </c>
      <c r="C32088" s="2">
        <v>6.5562575750485795E-4</v>
      </c>
      <c r="D32088" s="2">
        <v>1.4228760889700199E-3</v>
      </c>
      <c r="E32088" s="2">
        <v>6.9955997677460803E-6</v>
      </c>
      <c r="F32088" s="2">
        <v>6.8970142505121897E-4</v>
      </c>
    </row>
    <row r="32089" spans="1:6" x14ac:dyDescent="0.25">
      <c r="A32089" s="1" t="str">
        <f t="shared" si="1146"/>
        <v>41860</v>
      </c>
      <c r="B32089" s="1" t="str">
        <f>"94551"</f>
        <v>94551</v>
      </c>
      <c r="C32089" s="2">
        <v>8.2860811423006095E-3</v>
      </c>
      <c r="D32089" s="2">
        <v>1.11458626969318E-2</v>
      </c>
      <c r="E32089" s="2">
        <v>5.1557570288288598E-3</v>
      </c>
      <c r="F32089" s="2">
        <v>8.3690118967005497E-3</v>
      </c>
    </row>
    <row r="32090" spans="1:6" x14ac:dyDescent="0.25">
      <c r="A32090" s="1" t="str">
        <f t="shared" si="1146"/>
        <v>41860</v>
      </c>
      <c r="B32090" s="1" t="str">
        <f>"94578"</f>
        <v>94578</v>
      </c>
      <c r="C32090" s="2">
        <v>7.9708665624178797E-3</v>
      </c>
      <c r="D32090" s="2">
        <v>5.1814167013436701E-3</v>
      </c>
      <c r="E32090" s="2">
        <v>5.1487614290611199E-3</v>
      </c>
      <c r="F32090" s="2">
        <v>7.5265723267038597E-3</v>
      </c>
    </row>
    <row r="32091" spans="1:6" x14ac:dyDescent="0.25">
      <c r="A32091" s="1" t="str">
        <f t="shared" si="1146"/>
        <v>41860</v>
      </c>
      <c r="B32091" s="1" t="str">
        <f>"94596"</f>
        <v>94596</v>
      </c>
      <c r="C32091" s="2">
        <v>6.1073467622629E-3</v>
      </c>
      <c r="D32091" s="2">
        <v>1.43853667485491E-2</v>
      </c>
      <c r="E32091" s="2">
        <v>5.4845502179129303E-3</v>
      </c>
      <c r="F32091" s="2">
        <v>6.8693223488790096E-3</v>
      </c>
    </row>
    <row r="32092" spans="1:6" x14ac:dyDescent="0.25">
      <c r="A32092" s="1" t="str">
        <f t="shared" si="1146"/>
        <v>41860</v>
      </c>
      <c r="B32092" s="1" t="str">
        <f>"94070"</f>
        <v>94070</v>
      </c>
      <c r="C32092" s="2">
        <v>7.0745875856877104E-3</v>
      </c>
      <c r="D32092" s="2">
        <v>1.27029723792009E-2</v>
      </c>
      <c r="E32092" s="2">
        <v>9.2411872931925793E-3</v>
      </c>
      <c r="F32092" s="2">
        <v>7.7528670853624498E-3</v>
      </c>
    </row>
    <row r="32093" spans="1:6" x14ac:dyDescent="0.25">
      <c r="A32093" s="1" t="str">
        <f t="shared" si="1146"/>
        <v>41860</v>
      </c>
      <c r="B32093" s="1" t="str">
        <f>"94065"</f>
        <v>94065</v>
      </c>
      <c r="C32093" s="2">
        <v>2.6523275742823902E-3</v>
      </c>
      <c r="D32093" s="2">
        <v>2.4027813200531499E-3</v>
      </c>
      <c r="E32093" s="2">
        <v>1.9937459338076301E-3</v>
      </c>
      <c r="F32093" s="2">
        <v>2.5874620588496101E-3</v>
      </c>
    </row>
    <row r="32094" spans="1:6" x14ac:dyDescent="0.25">
      <c r="A32094" s="1" t="str">
        <f t="shared" si="1146"/>
        <v>41860</v>
      </c>
      <c r="B32094" s="1" t="str">
        <f>"94109"</f>
        <v>94109</v>
      </c>
      <c r="C32094" s="2">
        <v>1.9285167379970301E-2</v>
      </c>
      <c r="D32094" s="2">
        <v>1.2398709567723E-2</v>
      </c>
      <c r="E32094" s="2">
        <v>3.1704058147425197E-2</v>
      </c>
      <c r="F32094" s="2">
        <v>1.9387359944962299E-2</v>
      </c>
    </row>
    <row r="32095" spans="1:6" x14ac:dyDescent="0.25">
      <c r="A32095" s="1" t="str">
        <f t="shared" si="1146"/>
        <v>41860</v>
      </c>
      <c r="B32095" s="1" t="str">
        <f>"94112"</f>
        <v>94112</v>
      </c>
      <c r="C32095" s="2">
        <v>1.1192945775379E-2</v>
      </c>
      <c r="D32095" s="2">
        <v>5.1187743578041097E-3</v>
      </c>
      <c r="E32095" s="2">
        <v>5.4915458176806702E-3</v>
      </c>
      <c r="F32095" s="2">
        <v>1.0252926579682299E-2</v>
      </c>
    </row>
    <row r="32096" spans="1:6" x14ac:dyDescent="0.25">
      <c r="A32096" s="1" t="str">
        <f t="shared" si="1146"/>
        <v>41860</v>
      </c>
      <c r="B32096" s="1" t="str">
        <f>"94114"</f>
        <v>94114</v>
      </c>
      <c r="C32096" s="2">
        <v>9.5253423780548904E-3</v>
      </c>
      <c r="D32096" s="2">
        <v>5.1008765453642397E-3</v>
      </c>
      <c r="E32096" s="2">
        <v>1.3760344743156501E-2</v>
      </c>
      <c r="F32096" s="2">
        <v>9.3594300660495098E-3</v>
      </c>
    </row>
    <row r="32097" spans="1:6" x14ac:dyDescent="0.25">
      <c r="A32097" s="1" t="str">
        <f t="shared" si="1146"/>
        <v>41860</v>
      </c>
      <c r="B32097" s="1" t="str">
        <f>"94118"</f>
        <v>94118</v>
      </c>
      <c r="C32097" s="2">
        <v>9.5731644921317107E-3</v>
      </c>
      <c r="D32097" s="2">
        <v>8.0853367697133194E-3</v>
      </c>
      <c r="E32097" s="2">
        <v>1.69083646386422E-2</v>
      </c>
      <c r="F32097" s="2">
        <v>9.8829800813016906E-3</v>
      </c>
    </row>
    <row r="32098" spans="1:6" x14ac:dyDescent="0.25">
      <c r="A32098" s="1" t="str">
        <f t="shared" si="1146"/>
        <v>41860</v>
      </c>
      <c r="B32098" s="1" t="str">
        <f>"94104"</f>
        <v>94104</v>
      </c>
      <c r="C32098" s="2">
        <v>3.2704155433183502E-4</v>
      </c>
      <c r="D32098" s="2">
        <v>1.7642768612606299E-2</v>
      </c>
      <c r="E32098" s="2">
        <v>3.14801989548573E-3</v>
      </c>
      <c r="F32098" s="2">
        <v>2.1759777080191801E-3</v>
      </c>
    </row>
    <row r="32099" spans="1:6" x14ac:dyDescent="0.25">
      <c r="A32099" s="1" t="str">
        <f t="shared" si="1146"/>
        <v>41860</v>
      </c>
      <c r="B32099" s="1" t="str">
        <f>"94102"</f>
        <v>94102</v>
      </c>
      <c r="C32099" s="2">
        <v>1.02323897635993E-2</v>
      </c>
      <c r="D32099" s="2">
        <v>1.7602498534616599E-2</v>
      </c>
      <c r="E32099" s="2">
        <v>2.67301867125578E-2</v>
      </c>
      <c r="F32099" s="2">
        <v>1.19654976213089E-2</v>
      </c>
    </row>
    <row r="32100" spans="1:6" x14ac:dyDescent="0.25">
      <c r="A32100" s="1" t="str">
        <f t="shared" si="1146"/>
        <v>41860</v>
      </c>
      <c r="B32100" s="1" t="str">
        <f>"94130"</f>
        <v>94130</v>
      </c>
      <c r="C32100" s="2">
        <v>5.5638201538843598E-4</v>
      </c>
      <c r="D32100" s="2">
        <v>6.5327015405541996E-4</v>
      </c>
      <c r="E32100" s="2">
        <v>3.53277788271177E-3</v>
      </c>
      <c r="F32100" s="2">
        <v>7.4984477391076701E-4</v>
      </c>
    </row>
    <row r="32101" spans="1:6" x14ac:dyDescent="0.25">
      <c r="A32101" s="1" t="str">
        <f t="shared" si="1146"/>
        <v>41860</v>
      </c>
      <c r="B32101" s="1" t="str">
        <f>"94134"</f>
        <v>94134</v>
      </c>
      <c r="C32101" s="2">
        <v>6.3762818769099901E-3</v>
      </c>
      <c r="D32101" s="2">
        <v>2.7338908501908302E-3</v>
      </c>
      <c r="E32101" s="2">
        <v>2.3645127214981698E-3</v>
      </c>
      <c r="F32101" s="2">
        <v>5.7759249203316902E-3</v>
      </c>
    </row>
    <row r="32102" spans="1:6" x14ac:dyDescent="0.25">
      <c r="A32102" s="1" t="str">
        <f t="shared" si="1146"/>
        <v>41860</v>
      </c>
      <c r="B32102" s="1" t="str">
        <f>"94303"</f>
        <v>94303</v>
      </c>
      <c r="C32102" s="2">
        <v>3.95380897996459E-3</v>
      </c>
      <c r="D32102" s="2">
        <v>1.43629944829993E-3</v>
      </c>
      <c r="E32102" s="2">
        <v>3.50479548364078E-3</v>
      </c>
      <c r="F32102" s="2">
        <v>3.6825902312490099E-3</v>
      </c>
    </row>
    <row r="32103" spans="1:6" x14ac:dyDescent="0.25">
      <c r="A32103" s="1" t="str">
        <f t="shared" si="1146"/>
        <v>41860</v>
      </c>
      <c r="B32103" s="1" t="str">
        <f>"94707"</f>
        <v>94707</v>
      </c>
      <c r="C32103" s="2">
        <v>3.16500120583717E-3</v>
      </c>
      <c r="D32103" s="2">
        <v>2.7383653033007998E-3</v>
      </c>
      <c r="E32103" s="2">
        <v>6.3659957886489304E-4</v>
      </c>
      <c r="F32103" s="2">
        <v>2.9673603343797102E-3</v>
      </c>
    </row>
    <row r="32104" spans="1:6" x14ac:dyDescent="0.25">
      <c r="A32104" s="1" t="str">
        <f t="shared" si="1146"/>
        <v>41860</v>
      </c>
      <c r="B32104" s="1" t="str">
        <f>"94662"</f>
        <v>94662</v>
      </c>
      <c r="C32104" s="2">
        <v>5.0650303619002705E-4</v>
      </c>
      <c r="D32104" s="2">
        <v>1.1767811679217501E-3</v>
      </c>
      <c r="E32104" s="2">
        <v>6.9955997677460803E-6</v>
      </c>
      <c r="F32104" s="2">
        <v>5.4042476780989505E-4</v>
      </c>
    </row>
    <row r="32105" spans="1:6" x14ac:dyDescent="0.25">
      <c r="A32105" s="1" t="str">
        <f t="shared" si="1146"/>
        <v>41860</v>
      </c>
      <c r="B32105" s="1" t="str">
        <f>"94542"</f>
        <v>94542</v>
      </c>
      <c r="C32105" s="2">
        <v>3.1032952521896601E-3</v>
      </c>
      <c r="D32105" s="2">
        <v>1.2975914018909001E-4</v>
      </c>
      <c r="E32105" s="2">
        <v>6.0162158002616305E-4</v>
      </c>
      <c r="F32105" s="2">
        <v>2.6610186725627301E-3</v>
      </c>
    </row>
    <row r="32106" spans="1:6" x14ac:dyDescent="0.25">
      <c r="A32106" s="1" t="str">
        <f t="shared" si="1146"/>
        <v>41860</v>
      </c>
      <c r="B32106" s="1" t="str">
        <f>"94545"</f>
        <v>94545</v>
      </c>
      <c r="C32106" s="2">
        <v>5.7108860100776098E-3</v>
      </c>
      <c r="D32106" s="2">
        <v>1.51997172145634E-2</v>
      </c>
      <c r="E32106" s="2">
        <v>2.7003015103499802E-3</v>
      </c>
      <c r="F32106" s="2">
        <v>6.4422613033799196E-3</v>
      </c>
    </row>
    <row r="32107" spans="1:6" x14ac:dyDescent="0.25">
      <c r="A32107" s="1" t="str">
        <f t="shared" si="1146"/>
        <v>41860</v>
      </c>
      <c r="B32107" s="1" t="str">
        <f>"94502"</f>
        <v>94502</v>
      </c>
      <c r="C32107" s="2">
        <v>2.7124908790887199E-3</v>
      </c>
      <c r="D32107" s="2">
        <v>1.3781315578703299E-3</v>
      </c>
      <c r="E32107" s="2">
        <v>4.6170958467124098E-4</v>
      </c>
      <c r="F32107" s="2">
        <v>2.44424300509055E-3</v>
      </c>
    </row>
    <row r="32108" spans="1:6" x14ac:dyDescent="0.25">
      <c r="A32108" s="1" t="str">
        <f t="shared" si="1146"/>
        <v>41860</v>
      </c>
      <c r="B32108" s="1" t="str">
        <f>"94566"</f>
        <v>94566</v>
      </c>
      <c r="C32108" s="2">
        <v>9.3294259752240306E-3</v>
      </c>
      <c r="D32108" s="2">
        <v>1.0224125356278301E-2</v>
      </c>
      <c r="E32108" s="2">
        <v>7.4363225531140897E-3</v>
      </c>
      <c r="F32108" s="2">
        <v>9.2988540312269399E-3</v>
      </c>
    </row>
    <row r="32109" spans="1:6" x14ac:dyDescent="0.25">
      <c r="A32109" s="1" t="str">
        <f t="shared" si="1146"/>
        <v>41860</v>
      </c>
      <c r="B32109" s="1" t="str">
        <f>"94572"</f>
        <v>94572</v>
      </c>
      <c r="C32109" s="2">
        <v>1.82855309308805E-3</v>
      </c>
      <c r="D32109" s="2">
        <v>1.2483724176812401E-3</v>
      </c>
      <c r="E32109" s="2">
        <v>8.1148957305854602E-4</v>
      </c>
      <c r="F32109" s="2">
        <v>1.70954223988542E-3</v>
      </c>
    </row>
    <row r="32110" spans="1:6" x14ac:dyDescent="0.25">
      <c r="A32110" s="1" t="str">
        <f t="shared" si="1146"/>
        <v>41860</v>
      </c>
      <c r="B32110" s="1" t="str">
        <f>"94025"</f>
        <v>94025</v>
      </c>
      <c r="C32110" s="2">
        <v>8.9298799253563592E-3</v>
      </c>
      <c r="D32110" s="2">
        <v>1.0474694730436499E-2</v>
      </c>
      <c r="E32110" s="2">
        <v>1.56351654809125E-2</v>
      </c>
      <c r="F32110" s="2">
        <v>9.4939954005482108E-3</v>
      </c>
    </row>
    <row r="32111" spans="1:6" x14ac:dyDescent="0.25">
      <c r="A32111" s="1" t="str">
        <f t="shared" si="1146"/>
        <v>41860</v>
      </c>
      <c r="B32111" s="1" t="str">
        <f>"94026"</f>
        <v>94026</v>
      </c>
      <c r="C32111" s="2">
        <v>9.1376233026363299E-4</v>
      </c>
      <c r="D32111" s="2">
        <v>2.9665624119092002E-3</v>
      </c>
      <c r="E32111" s="2">
        <v>2.0986799303238199E-5</v>
      </c>
      <c r="F32111" s="2">
        <v>1.0570518076537801E-3</v>
      </c>
    </row>
    <row r="32112" spans="1:6" x14ac:dyDescent="0.25">
      <c r="A32112" s="1" t="str">
        <f t="shared" si="1146"/>
        <v>41860</v>
      </c>
      <c r="B32112" s="1" t="str">
        <f>"94014"</f>
        <v>94014</v>
      </c>
      <c r="C32112" s="2">
        <v>7.2951863699775802E-3</v>
      </c>
      <c r="D32112" s="2">
        <v>4.5952633439377798E-3</v>
      </c>
      <c r="E32112" s="2">
        <v>1.09830916353613E-2</v>
      </c>
      <c r="F32112" s="2">
        <v>7.2622012032996603E-3</v>
      </c>
    </row>
    <row r="32113" spans="1:6" x14ac:dyDescent="0.25">
      <c r="A32113" s="1" t="str">
        <f t="shared" si="1146"/>
        <v>41860</v>
      </c>
      <c r="B32113" s="1" t="str">
        <f>"94011"</f>
        <v>94011</v>
      </c>
      <c r="C32113" s="2">
        <v>9.2661773727353196E-4</v>
      </c>
      <c r="D32113" s="2">
        <v>2.8547010841599801E-3</v>
      </c>
      <c r="E32113" s="2">
        <v>4.19735986064765E-5</v>
      </c>
      <c r="F32113" s="2">
        <v>1.05834986554283E-3</v>
      </c>
    </row>
    <row r="32114" spans="1:6" x14ac:dyDescent="0.25">
      <c r="A32114" s="1" t="str">
        <f t="shared" si="1146"/>
        <v>41860</v>
      </c>
      <c r="B32114" s="1" t="str">
        <f>"94964"</f>
        <v>94964</v>
      </c>
      <c r="C32114" s="2">
        <v>0</v>
      </c>
      <c r="D32114" s="2">
        <v>4.4744531099686298E-6</v>
      </c>
      <c r="E32114" s="2">
        <v>0</v>
      </c>
      <c r="F32114" s="2">
        <v>4.3268596301833002E-7</v>
      </c>
    </row>
    <row r="32115" spans="1:6" x14ac:dyDescent="0.25">
      <c r="A32115" s="1" t="str">
        <f t="shared" si="1146"/>
        <v>41860</v>
      </c>
      <c r="B32115" s="1" t="str">
        <f>"94915"</f>
        <v>94915</v>
      </c>
      <c r="C32115" s="2">
        <v>4.8490595241339603E-4</v>
      </c>
      <c r="D32115" s="2">
        <v>1.70924108800801E-3</v>
      </c>
      <c r="E32115" s="2">
        <v>1.39911995354921E-5</v>
      </c>
      <c r="F32115" s="2">
        <v>5.7417427292532405E-4</v>
      </c>
    </row>
    <row r="32116" spans="1:6" x14ac:dyDescent="0.25">
      <c r="A32116" s="1" t="str">
        <f t="shared" si="1146"/>
        <v>41860</v>
      </c>
      <c r="B32116" s="1" t="str">
        <f>"94940"</f>
        <v>94940</v>
      </c>
      <c r="C32116" s="2">
        <v>1.7483353533462801E-5</v>
      </c>
      <c r="D32116" s="2">
        <v>0</v>
      </c>
      <c r="E32116" s="2">
        <v>2.7982399070984301E-5</v>
      </c>
      <c r="F32116" s="2">
        <v>1.6442066594696499E-5</v>
      </c>
    </row>
    <row r="32117" spans="1:6" x14ac:dyDescent="0.25">
      <c r="A32117" s="1" t="str">
        <f t="shared" si="1146"/>
        <v>41860</v>
      </c>
      <c r="B32117" s="1" t="str">
        <f>"94971"</f>
        <v>94971</v>
      </c>
      <c r="C32117" s="2">
        <v>2.05686512158386E-6</v>
      </c>
      <c r="D32117" s="2">
        <v>1.3423359329905899E-5</v>
      </c>
      <c r="E32117" s="2">
        <v>0</v>
      </c>
      <c r="F32117" s="2">
        <v>3.0288017411283098E-6</v>
      </c>
    </row>
    <row r="32118" spans="1:6" x14ac:dyDescent="0.25">
      <c r="A32118" s="1" t="str">
        <f t="shared" si="1146"/>
        <v>41860</v>
      </c>
      <c r="B32118" s="1" t="str">
        <f>"94970"</f>
        <v>94970</v>
      </c>
      <c r="C32118" s="2">
        <v>7.1990279255435296E-6</v>
      </c>
      <c r="D32118" s="2">
        <v>8.9489062199372595E-6</v>
      </c>
      <c r="E32118" s="2">
        <v>4.8969198374222598E-5</v>
      </c>
      <c r="F32118" s="2">
        <v>9.9517771494215998E-6</v>
      </c>
    </row>
    <row r="32119" spans="1:6" x14ac:dyDescent="0.25">
      <c r="A32119" s="1" t="str">
        <f t="shared" si="1146"/>
        <v>41860</v>
      </c>
      <c r="B32119" s="1" t="str">
        <f>"94850"</f>
        <v>94850</v>
      </c>
      <c r="C32119" s="2">
        <v>0</v>
      </c>
      <c r="D32119" s="2">
        <v>8.9489062199372595E-6</v>
      </c>
      <c r="E32119" s="2">
        <v>0</v>
      </c>
      <c r="F32119" s="2">
        <v>8.6537192603666099E-7</v>
      </c>
    </row>
    <row r="32120" spans="1:6" x14ac:dyDescent="0.25">
      <c r="A32120" s="1" t="str">
        <f t="shared" si="1146"/>
        <v>41860</v>
      </c>
      <c r="B32120" s="1" t="str">
        <f>"94933"</f>
        <v>94933</v>
      </c>
      <c r="C32120" s="2">
        <v>5.1421628039596701E-7</v>
      </c>
      <c r="D32120" s="2">
        <v>4.4744531099686298E-6</v>
      </c>
      <c r="E32120" s="2">
        <v>0</v>
      </c>
      <c r="F32120" s="2">
        <v>8.6537192603666099E-7</v>
      </c>
    </row>
    <row r="32121" spans="1:6" x14ac:dyDescent="0.25">
      <c r="A32121" s="1" t="str">
        <f t="shared" si="1146"/>
        <v>41860</v>
      </c>
      <c r="B32121" s="1" t="str">
        <f>"94979"</f>
        <v>94979</v>
      </c>
      <c r="C32121" s="2">
        <v>5.95976668978925E-4</v>
      </c>
      <c r="D32121" s="2">
        <v>1.3020658550008701E-3</v>
      </c>
      <c r="E32121" s="2">
        <v>1.39911995354921E-5</v>
      </c>
      <c r="F32121" s="2">
        <v>6.2826001830261599E-4</v>
      </c>
    </row>
    <row r="32122" spans="1:6" x14ac:dyDescent="0.25">
      <c r="A32122" s="1" t="str">
        <f t="shared" si="1146"/>
        <v>41860</v>
      </c>
      <c r="B32122" s="1" t="str">
        <f>"94126"</f>
        <v>94126</v>
      </c>
      <c r="C32122" s="2">
        <v>7.2967290188187702E-4</v>
      </c>
      <c r="D32122" s="2">
        <v>9.1726288754356898E-4</v>
      </c>
      <c r="E32122" s="2">
        <v>1.39911995354921E-5</v>
      </c>
      <c r="F32122" s="2">
        <v>7.0354737586780498E-4</v>
      </c>
    </row>
    <row r="32123" spans="1:6" x14ac:dyDescent="0.25">
      <c r="A32123" s="1" t="str">
        <f t="shared" si="1146"/>
        <v>41860</v>
      </c>
      <c r="B32123" s="1" t="str">
        <f>"94522"</f>
        <v>94522</v>
      </c>
      <c r="C32123" s="2">
        <v>3.7692053353024298E-4</v>
      </c>
      <c r="D32123" s="2">
        <v>8.4567163778407099E-4</v>
      </c>
      <c r="E32123" s="2">
        <v>1.39911995354921E-5</v>
      </c>
      <c r="F32123" s="2">
        <v>3.9980182982893699E-4</v>
      </c>
    </row>
    <row r="32124" spans="1:6" x14ac:dyDescent="0.25">
      <c r="A32124" s="1" t="str">
        <f t="shared" si="1146"/>
        <v>41860</v>
      </c>
      <c r="B32124" s="1" t="str">
        <f>"94159"</f>
        <v>94159</v>
      </c>
      <c r="C32124" s="2">
        <v>5.4352660837853701E-4</v>
      </c>
      <c r="D32124" s="2">
        <v>1.1051899181622499E-3</v>
      </c>
      <c r="E32124" s="2">
        <v>1.39911995354921E-5</v>
      </c>
      <c r="F32124" s="2">
        <v>5.6508786770193898E-4</v>
      </c>
    </row>
    <row r="32125" spans="1:6" x14ac:dyDescent="0.25">
      <c r="A32125" s="1" t="str">
        <f t="shared" ref="A32125:A32188" si="1147">"41860"</f>
        <v>41860</v>
      </c>
      <c r="B32125" s="1" t="str">
        <f>"94038"</f>
        <v>94038</v>
      </c>
      <c r="C32125" s="2">
        <v>4.0674507779320902E-4</v>
      </c>
      <c r="D32125" s="2">
        <v>1.96875936838619E-4</v>
      </c>
      <c r="E32125" s="2">
        <v>2.6583279117435099E-4</v>
      </c>
      <c r="F32125" s="2">
        <v>3.77734845715002E-4</v>
      </c>
    </row>
    <row r="32126" spans="1:6" x14ac:dyDescent="0.25">
      <c r="A32126" s="1" t="str">
        <f t="shared" si="1147"/>
        <v>41860</v>
      </c>
      <c r="B32126" s="1" t="str">
        <f>"94903"</f>
        <v>94903</v>
      </c>
      <c r="C32126" s="2">
        <v>6.82673533853685E-3</v>
      </c>
      <c r="D32126" s="2">
        <v>9.9780304352300505E-3</v>
      </c>
      <c r="E32126" s="2">
        <v>8.0869133315144698E-3</v>
      </c>
      <c r="F32126" s="2">
        <v>7.2094135158114201E-3</v>
      </c>
    </row>
    <row r="32127" spans="1:6" x14ac:dyDescent="0.25">
      <c r="A32127" s="1" t="str">
        <f t="shared" si="1147"/>
        <v>41860</v>
      </c>
      <c r="B32127" s="1" t="str">
        <f>"94973"</f>
        <v>94973</v>
      </c>
      <c r="C32127" s="2">
        <v>4.6382308491716199E-4</v>
      </c>
      <c r="D32127" s="2">
        <v>3.49007342577553E-4</v>
      </c>
      <c r="E32127" s="2">
        <v>1.39911995354921E-5</v>
      </c>
      <c r="F32127" s="2">
        <v>4.2489761568400002E-4</v>
      </c>
    </row>
    <row r="32128" spans="1:6" x14ac:dyDescent="0.25">
      <c r="A32128" s="1" t="str">
        <f t="shared" si="1147"/>
        <v>41860</v>
      </c>
      <c r="B32128" s="1" t="str">
        <f>"94111"</f>
        <v>94111</v>
      </c>
      <c r="C32128" s="2">
        <v>1.30765200104694E-3</v>
      </c>
      <c r="D32128" s="2">
        <v>1.75264328317471E-2</v>
      </c>
      <c r="E32128" s="2">
        <v>4.49117505089298E-3</v>
      </c>
      <c r="F32128" s="2">
        <v>3.0729357093561799E-3</v>
      </c>
    </row>
    <row r="32129" spans="1:6" x14ac:dyDescent="0.25">
      <c r="A32129" s="1" t="str">
        <f t="shared" si="1147"/>
        <v>41860</v>
      </c>
      <c r="B32129" s="1" t="str">
        <f>"94158"</f>
        <v>94158</v>
      </c>
      <c r="C32129" s="2">
        <v>2.7515713163988099E-3</v>
      </c>
      <c r="D32129" s="2">
        <v>1.4720950731796801E-3</v>
      </c>
      <c r="E32129" s="2">
        <v>7.9050277375530701E-4</v>
      </c>
      <c r="F32129" s="2">
        <v>2.5065497837651802E-3</v>
      </c>
    </row>
    <row r="32130" spans="1:6" x14ac:dyDescent="0.25">
      <c r="A32130" s="1" t="str">
        <f t="shared" si="1147"/>
        <v>41860</v>
      </c>
      <c r="B32130" s="1" t="str">
        <f>"94188"</f>
        <v>94188</v>
      </c>
      <c r="C32130" s="2">
        <v>9.4153000940501495E-4</v>
      </c>
      <c r="D32130" s="2">
        <v>1.7584600722176701E-3</v>
      </c>
      <c r="E32130" s="2">
        <v>1.74889994193652E-4</v>
      </c>
      <c r="F32130" s="2">
        <v>9.7311073082822499E-4</v>
      </c>
    </row>
    <row r="32131" spans="1:6" x14ac:dyDescent="0.25">
      <c r="A32131" s="1" t="str">
        <f t="shared" si="1147"/>
        <v>41860</v>
      </c>
      <c r="B32131" s="1" t="str">
        <f>"94124"</f>
        <v>94124</v>
      </c>
      <c r="C32131" s="2">
        <v>6.3593127396569197E-3</v>
      </c>
      <c r="D32131" s="2">
        <v>1.25687387859018E-2</v>
      </c>
      <c r="E32131" s="2">
        <v>5.1067878304546397E-3</v>
      </c>
      <c r="F32131" s="2">
        <v>6.8823029277695598E-3</v>
      </c>
    </row>
    <row r="32132" spans="1:6" x14ac:dyDescent="0.25">
      <c r="A32132" s="1" t="str">
        <f t="shared" si="1147"/>
        <v>41860</v>
      </c>
      <c r="B32132" s="1" t="str">
        <f>"94611"</f>
        <v>94611</v>
      </c>
      <c r="C32132" s="2">
        <v>9.7073749413150601E-3</v>
      </c>
      <c r="D32132" s="2">
        <v>4.9576940458452403E-3</v>
      </c>
      <c r="E32132" s="2">
        <v>6.4919165844683603E-3</v>
      </c>
      <c r="F32132" s="2">
        <v>9.0491942305653602E-3</v>
      </c>
    </row>
    <row r="32133" spans="1:6" x14ac:dyDescent="0.25">
      <c r="A32133" s="1" t="str">
        <f t="shared" si="1147"/>
        <v>41860</v>
      </c>
      <c r="B32133" s="1" t="str">
        <f>"94704"</f>
        <v>94704</v>
      </c>
      <c r="C32133" s="2">
        <v>5.7525375287896799E-3</v>
      </c>
      <c r="D32133" s="2">
        <v>8.0137455199538205E-3</v>
      </c>
      <c r="E32133" s="2">
        <v>8.4227021203662801E-3</v>
      </c>
      <c r="F32133" s="2">
        <v>6.1363523275259598E-3</v>
      </c>
    </row>
    <row r="32134" spans="1:6" x14ac:dyDescent="0.25">
      <c r="A32134" s="1" t="str">
        <f t="shared" si="1147"/>
        <v>41860</v>
      </c>
      <c r="B32134" s="1" t="str">
        <f>"94710"</f>
        <v>94710</v>
      </c>
      <c r="C32134" s="2">
        <v>1.8902590467355701E-3</v>
      </c>
      <c r="D32134" s="2">
        <v>8.8101981735282404E-3</v>
      </c>
      <c r="E32134" s="2">
        <v>3.80560627365387E-3</v>
      </c>
      <c r="F32134" s="2">
        <v>2.6778934251204399E-3</v>
      </c>
    </row>
    <row r="32135" spans="1:6" x14ac:dyDescent="0.25">
      <c r="A32135" s="1" t="str">
        <f t="shared" si="1147"/>
        <v>41860</v>
      </c>
      <c r="B32135" s="1" t="str">
        <f>"94603"</f>
        <v>94603</v>
      </c>
      <c r="C32135" s="2">
        <v>5.4887445769465498E-3</v>
      </c>
      <c r="D32135" s="2">
        <v>2.8815478028198001E-3</v>
      </c>
      <c r="E32135" s="2">
        <v>4.1134126634346903E-3</v>
      </c>
      <c r="F32135" s="2">
        <v>5.1515590756962401E-3</v>
      </c>
    </row>
    <row r="32136" spans="1:6" x14ac:dyDescent="0.25">
      <c r="A32136" s="1" t="str">
        <f t="shared" si="1147"/>
        <v>41860</v>
      </c>
      <c r="B32136" s="1" t="str">
        <f>"94608"</f>
        <v>94608</v>
      </c>
      <c r="C32136" s="2">
        <v>8.2932801702261492E-3</v>
      </c>
      <c r="D32136" s="2">
        <v>9.4500449682537492E-3</v>
      </c>
      <c r="E32136" s="2">
        <v>8.3737329219920591E-3</v>
      </c>
      <c r="F32136" s="2">
        <v>8.4101170631872904E-3</v>
      </c>
    </row>
    <row r="32137" spans="1:6" x14ac:dyDescent="0.25">
      <c r="A32137" s="1" t="str">
        <f t="shared" si="1147"/>
        <v>41860</v>
      </c>
      <c r="B32137" s="1" t="str">
        <f>"94804"</f>
        <v>94804</v>
      </c>
      <c r="C32137" s="2">
        <v>8.2814531957770502E-3</v>
      </c>
      <c r="D32137" s="2">
        <v>6.3492489630454898E-3</v>
      </c>
      <c r="E32137" s="2">
        <v>4.2673158583251096E-3</v>
      </c>
      <c r="F32137" s="2">
        <v>7.8463272533743997E-3</v>
      </c>
    </row>
    <row r="32138" spans="1:6" x14ac:dyDescent="0.25">
      <c r="A32138" s="1" t="str">
        <f t="shared" si="1147"/>
        <v>41860</v>
      </c>
      <c r="B32138" s="1" t="str">
        <f>"94805"</f>
        <v>94805</v>
      </c>
      <c r="C32138" s="2">
        <v>2.8914381446665202E-3</v>
      </c>
      <c r="D32138" s="2">
        <v>2.1432630396749702E-3</v>
      </c>
      <c r="E32138" s="2">
        <v>9.4440596864572097E-4</v>
      </c>
      <c r="F32138" s="2">
        <v>2.6986623513453201E-3</v>
      </c>
    </row>
    <row r="32139" spans="1:6" x14ac:dyDescent="0.25">
      <c r="A32139" s="1" t="str">
        <f t="shared" si="1147"/>
        <v>41860</v>
      </c>
      <c r="B32139" s="1" t="str">
        <f>"94530"</f>
        <v>94530</v>
      </c>
      <c r="C32139" s="2">
        <v>6.5999659588822299E-3</v>
      </c>
      <c r="D32139" s="2">
        <v>4.33127061044963E-3</v>
      </c>
      <c r="E32139" s="2">
        <v>3.8265930729571001E-3</v>
      </c>
      <c r="F32139" s="2">
        <v>6.2090435693130403E-3</v>
      </c>
    </row>
    <row r="32140" spans="1:6" x14ac:dyDescent="0.25">
      <c r="A32140" s="1" t="str">
        <f t="shared" si="1147"/>
        <v>41860</v>
      </c>
      <c r="B32140" s="1" t="str">
        <f>"94507"</f>
        <v>94507</v>
      </c>
      <c r="C32140" s="2">
        <v>3.2246502943631002E-3</v>
      </c>
      <c r="D32140" s="2">
        <v>2.93971569324939E-3</v>
      </c>
      <c r="E32140" s="2">
        <v>5.7363918095517904E-4</v>
      </c>
      <c r="F32140" s="2">
        <v>3.0331286007584902E-3</v>
      </c>
    </row>
    <row r="32141" spans="1:6" x14ac:dyDescent="0.25">
      <c r="A32141" s="1" t="str">
        <f t="shared" si="1147"/>
        <v>41860</v>
      </c>
      <c r="B32141" s="1" t="str">
        <f>"94514"</f>
        <v>94514</v>
      </c>
      <c r="C32141" s="2">
        <v>1.1467023052830001E-4</v>
      </c>
      <c r="D32141" s="2">
        <v>1.65554765068839E-4</v>
      </c>
      <c r="E32141" s="2">
        <v>1.4690759512266699E-4</v>
      </c>
      <c r="F32141" s="2">
        <v>1.2158475560815E-4</v>
      </c>
    </row>
    <row r="32142" spans="1:6" x14ac:dyDescent="0.25">
      <c r="A32142" s="1" t="str">
        <f t="shared" si="1147"/>
        <v>41860</v>
      </c>
      <c r="B32142" s="1" t="str">
        <f>"94536"</f>
        <v>94536</v>
      </c>
      <c r="C32142" s="2">
        <v>1.31572519664916E-2</v>
      </c>
      <c r="D32142" s="2">
        <v>5.5259495908112598E-3</v>
      </c>
      <c r="E32142" s="2">
        <v>4.5471398490349504E-3</v>
      </c>
      <c r="F32142" s="2">
        <v>1.1886748776039501E-2</v>
      </c>
    </row>
    <row r="32143" spans="1:6" x14ac:dyDescent="0.25">
      <c r="A32143" s="1" t="str">
        <f t="shared" si="1147"/>
        <v>41860</v>
      </c>
      <c r="B32143" s="1" t="str">
        <f>"94539"</f>
        <v>94539</v>
      </c>
      <c r="C32143" s="2">
        <v>9.4338118801444108E-3</v>
      </c>
      <c r="D32143" s="2">
        <v>7.8660885673248505E-3</v>
      </c>
      <c r="E32143" s="2">
        <v>2.0077371333431199E-3</v>
      </c>
      <c r="F32143" s="2">
        <v>8.8228994719067796E-3</v>
      </c>
    </row>
    <row r="32144" spans="1:6" x14ac:dyDescent="0.25">
      <c r="A32144" s="1" t="str">
        <f t="shared" si="1147"/>
        <v>41860</v>
      </c>
      <c r="B32144" s="1" t="str">
        <f>"94525"</f>
        <v>94525</v>
      </c>
      <c r="C32144" s="2">
        <v>8.67482865027996E-4</v>
      </c>
      <c r="D32144" s="2">
        <v>4.5639421721679999E-4</v>
      </c>
      <c r="E32144" s="2">
        <v>4.96687583509972E-4</v>
      </c>
      <c r="F32144" s="2">
        <v>8.04795891214095E-4</v>
      </c>
    </row>
    <row r="32145" spans="1:6" x14ac:dyDescent="0.25">
      <c r="A32145" s="1" t="str">
        <f t="shared" si="1147"/>
        <v>41860</v>
      </c>
      <c r="B32145" s="1" t="str">
        <f>"94544"</f>
        <v>94544</v>
      </c>
      <c r="C32145" s="2">
        <v>1.2519109562520199E-2</v>
      </c>
      <c r="D32145" s="2">
        <v>8.3403805969815299E-3</v>
      </c>
      <c r="E32145" s="2">
        <v>9.2341916934248307E-3</v>
      </c>
      <c r="F32145" s="2">
        <v>1.19118445618946E-2</v>
      </c>
    </row>
    <row r="32146" spans="1:6" x14ac:dyDescent="0.25">
      <c r="A32146" s="1" t="str">
        <f t="shared" si="1147"/>
        <v>41860</v>
      </c>
      <c r="B32146" s="1" t="str">
        <f>"94546"</f>
        <v>94546</v>
      </c>
      <c r="C32146" s="2">
        <v>9.3438240310751101E-3</v>
      </c>
      <c r="D32146" s="2">
        <v>6.3537234161554603E-3</v>
      </c>
      <c r="E32146" s="2">
        <v>3.9035446704023102E-3</v>
      </c>
      <c r="F32146" s="2">
        <v>8.7181894688563404E-3</v>
      </c>
    </row>
    <row r="32147" spans="1:6" x14ac:dyDescent="0.25">
      <c r="A32147" s="1" t="str">
        <f t="shared" si="1147"/>
        <v>41860</v>
      </c>
      <c r="B32147" s="1" t="str">
        <f>"94044"</f>
        <v>94044</v>
      </c>
      <c r="C32147" s="2">
        <v>8.1009632813580593E-3</v>
      </c>
      <c r="D32147" s="2">
        <v>4.4297085788689398E-3</v>
      </c>
      <c r="E32147" s="2">
        <v>7.5972213477722497E-3</v>
      </c>
      <c r="F32147" s="2">
        <v>7.7147907206168301E-3</v>
      </c>
    </row>
    <row r="32148" spans="1:6" x14ac:dyDescent="0.25">
      <c r="A32148" s="1" t="str">
        <f t="shared" si="1147"/>
        <v>41860</v>
      </c>
      <c r="B32148" s="1" t="str">
        <f>"94027"</f>
        <v>94027</v>
      </c>
      <c r="C32148" s="2">
        <v>1.3842702268259399E-3</v>
      </c>
      <c r="D32148" s="2">
        <v>2.8636499903799198E-4</v>
      </c>
      <c r="E32148" s="2">
        <v>7.9050277375530701E-4</v>
      </c>
      <c r="F32148" s="2">
        <v>1.24137602789959E-3</v>
      </c>
    </row>
    <row r="32149" spans="1:6" x14ac:dyDescent="0.25">
      <c r="A32149" s="1" t="str">
        <f t="shared" si="1147"/>
        <v>41860</v>
      </c>
      <c r="B32149" s="1" t="str">
        <f>"94019"</f>
        <v>94019</v>
      </c>
      <c r="C32149" s="2">
        <v>3.8741054565032099E-3</v>
      </c>
      <c r="D32149" s="2">
        <v>4.1433435798309496E-3</v>
      </c>
      <c r="E32149" s="2">
        <v>1.7698867412397599E-3</v>
      </c>
      <c r="F32149" s="2">
        <v>3.7699927957787101E-3</v>
      </c>
    </row>
    <row r="32150" spans="1:6" x14ac:dyDescent="0.25">
      <c r="A32150" s="1" t="str">
        <f t="shared" si="1147"/>
        <v>41860</v>
      </c>
      <c r="B32150" s="1" t="str">
        <f>"94021"</f>
        <v>94021</v>
      </c>
      <c r="C32150" s="2">
        <v>4.0108869870885402E-5</v>
      </c>
      <c r="D32150" s="2">
        <v>1.7897812439874499E-5</v>
      </c>
      <c r="E32150" s="2">
        <v>0</v>
      </c>
      <c r="F32150" s="2">
        <v>3.54802489675031E-5</v>
      </c>
    </row>
    <row r="32151" spans="1:6" x14ac:dyDescent="0.25">
      <c r="A32151" s="1" t="str">
        <f t="shared" si="1147"/>
        <v>41860</v>
      </c>
      <c r="B32151" s="1" t="str">
        <f>"94037"</f>
        <v>94037</v>
      </c>
      <c r="C32151" s="2">
        <v>6.3248602488703894E-5</v>
      </c>
      <c r="D32151" s="2">
        <v>0</v>
      </c>
      <c r="E32151" s="2">
        <v>1.39911995354921E-5</v>
      </c>
      <c r="F32151" s="2">
        <v>5.4085745377291303E-5</v>
      </c>
    </row>
    <row r="32152" spans="1:6" x14ac:dyDescent="0.25">
      <c r="A32152" s="1" t="str">
        <f t="shared" si="1147"/>
        <v>41860</v>
      </c>
      <c r="B32152" s="1" t="str">
        <f>"94615"</f>
        <v>94615</v>
      </c>
      <c r="C32152" s="2">
        <v>0</v>
      </c>
      <c r="D32152" s="2">
        <v>4.4744531099686298E-6</v>
      </c>
      <c r="E32152" s="2">
        <v>3.2179758931632E-4</v>
      </c>
      <c r="F32152" s="2">
        <v>2.0336240261861499E-5</v>
      </c>
    </row>
    <row r="32153" spans="1:6" x14ac:dyDescent="0.25">
      <c r="A32153" s="1" t="str">
        <f t="shared" si="1147"/>
        <v>41860</v>
      </c>
      <c r="B32153" s="1" t="str">
        <f>"94920"</f>
        <v>94920</v>
      </c>
      <c r="C32153" s="2">
        <v>3.4493628088961398E-3</v>
      </c>
      <c r="D32153" s="2">
        <v>2.8010076468403598E-3</v>
      </c>
      <c r="E32153" s="2">
        <v>3.7496414755119E-3</v>
      </c>
      <c r="F32153" s="2">
        <v>3.4052385289542598E-3</v>
      </c>
    </row>
    <row r="32154" spans="1:6" x14ac:dyDescent="0.25">
      <c r="A32154" s="1" t="str">
        <f t="shared" si="1147"/>
        <v>41860</v>
      </c>
      <c r="B32154" s="1" t="str">
        <f>"94941"</f>
        <v>94941</v>
      </c>
      <c r="C32154" s="2">
        <v>7.1548053254294804E-3</v>
      </c>
      <c r="D32154" s="2">
        <v>6.6490373214133898E-3</v>
      </c>
      <c r="E32154" s="2">
        <v>8.7444997096826002E-3</v>
      </c>
      <c r="F32154" s="2">
        <v>7.2042212842552003E-3</v>
      </c>
    </row>
    <row r="32155" spans="1:6" x14ac:dyDescent="0.25">
      <c r="A32155" s="1" t="str">
        <f t="shared" si="1147"/>
        <v>41860</v>
      </c>
      <c r="B32155" s="1" t="str">
        <f>"94965"</f>
        <v>94965</v>
      </c>
      <c r="C32155" s="2">
        <v>3.3496048504993198E-3</v>
      </c>
      <c r="D32155" s="2">
        <v>6.9309278673414104E-3</v>
      </c>
      <c r="E32155" s="2">
        <v>5.4355810195387102E-3</v>
      </c>
      <c r="F32155" s="2">
        <v>3.82494391308204E-3</v>
      </c>
    </row>
    <row r="32156" spans="1:6" x14ac:dyDescent="0.25">
      <c r="A32156" s="1" t="str">
        <f t="shared" si="1147"/>
        <v>41860</v>
      </c>
      <c r="B32156" s="1" t="str">
        <f>"94939"</f>
        <v>94939</v>
      </c>
      <c r="C32156" s="2">
        <v>1.91854094215735E-3</v>
      </c>
      <c r="D32156" s="2">
        <v>2.4341024918229301E-3</v>
      </c>
      <c r="E32156" s="2">
        <v>3.3159142899116399E-3</v>
      </c>
      <c r="F32156" s="2">
        <v>2.0548256383740499E-3</v>
      </c>
    </row>
    <row r="32157" spans="1:6" x14ac:dyDescent="0.25">
      <c r="A32157" s="1" t="str">
        <f t="shared" si="1147"/>
        <v>41860</v>
      </c>
      <c r="B32157" s="1" t="str">
        <f>"94401"</f>
        <v>94401</v>
      </c>
      <c r="C32157" s="2">
        <v>7.3538070259427197E-3</v>
      </c>
      <c r="D32157" s="2">
        <v>9.3113369218447203E-3</v>
      </c>
      <c r="E32157" s="2">
        <v>1.82305329947463E-2</v>
      </c>
      <c r="F32157" s="2">
        <v>8.2158410657920608E-3</v>
      </c>
    </row>
    <row r="32158" spans="1:6" x14ac:dyDescent="0.25">
      <c r="A32158" s="1" t="str">
        <f t="shared" si="1147"/>
        <v>41860</v>
      </c>
      <c r="B32158" s="1" t="str">
        <f>"94105"</f>
        <v>94105</v>
      </c>
      <c r="C32158" s="2">
        <v>4.9447037522876098E-3</v>
      </c>
      <c r="D32158" s="2">
        <v>1.7562228456626802E-2</v>
      </c>
      <c r="E32158" s="2">
        <v>8.0869133315144698E-3</v>
      </c>
      <c r="F32158" s="2">
        <v>6.3591855984803996E-3</v>
      </c>
    </row>
    <row r="32159" spans="1:6" x14ac:dyDescent="0.25">
      <c r="A32159" s="1" t="str">
        <f t="shared" si="1147"/>
        <v>41860</v>
      </c>
      <c r="B32159" s="1" t="str">
        <f>"94121"</f>
        <v>94121</v>
      </c>
      <c r="C32159" s="2">
        <v>1.0049842984058701E-2</v>
      </c>
      <c r="D32159" s="2">
        <v>3.8525041276829901E-3</v>
      </c>
      <c r="E32159" s="2">
        <v>2.4750431978285602E-2</v>
      </c>
      <c r="F32159" s="2">
        <v>1.03598000125478E-2</v>
      </c>
    </row>
    <row r="32160" spans="1:6" x14ac:dyDescent="0.25">
      <c r="A32160" s="1" t="str">
        <f t="shared" si="1147"/>
        <v>41860</v>
      </c>
      <c r="B32160" s="1" t="str">
        <f>"94122"</f>
        <v>94122</v>
      </c>
      <c r="C32160" s="2">
        <v>1.2155558652280201E-2</v>
      </c>
      <c r="D32160" s="2">
        <v>6.1613219324267998E-3</v>
      </c>
      <c r="E32160" s="2">
        <v>2.2301972059574501E-2</v>
      </c>
      <c r="F32160" s="2">
        <v>1.2203474900969E-2</v>
      </c>
    </row>
    <row r="32161" spans="1:6" x14ac:dyDescent="0.25">
      <c r="A32161" s="1" t="str">
        <f t="shared" si="1147"/>
        <v>41860</v>
      </c>
      <c r="B32161" s="1" t="str">
        <f>"94103"</f>
        <v>94103</v>
      </c>
      <c r="C32161" s="2">
        <v>9.6965763994267505E-3</v>
      </c>
      <c r="D32161" s="2">
        <v>2.7428397564107702E-2</v>
      </c>
      <c r="E32161" s="2">
        <v>2.1861249274206501E-2</v>
      </c>
      <c r="F32161" s="2">
        <v>1.21636677923713E-2</v>
      </c>
    </row>
    <row r="32162" spans="1:6" x14ac:dyDescent="0.25">
      <c r="A32162" s="1" t="str">
        <f t="shared" si="1147"/>
        <v>41860</v>
      </c>
      <c r="B32162" s="1" t="str">
        <f>"94133"</f>
        <v>94133</v>
      </c>
      <c r="C32162" s="2">
        <v>7.4725909867141898E-3</v>
      </c>
      <c r="D32162" s="2">
        <v>1.25687387859018E-2</v>
      </c>
      <c r="E32162" s="2">
        <v>2.0364190923908801E-2</v>
      </c>
      <c r="F32162" s="2">
        <v>8.7627561230472304E-3</v>
      </c>
    </row>
    <row r="32163" spans="1:6" x14ac:dyDescent="0.25">
      <c r="A32163" s="1" t="str">
        <f t="shared" si="1147"/>
        <v>41860</v>
      </c>
      <c r="B32163" s="1" t="str">
        <f>"94605"</f>
        <v>94605</v>
      </c>
      <c r="C32163" s="2">
        <v>9.0630619419789192E-3</v>
      </c>
      <c r="D32163" s="2">
        <v>3.8614530339029299E-3</v>
      </c>
      <c r="E32163" s="2">
        <v>7.2684281586881802E-3</v>
      </c>
      <c r="F32163" s="2">
        <v>8.4490587998589401E-3</v>
      </c>
    </row>
    <row r="32164" spans="1:6" x14ac:dyDescent="0.25">
      <c r="A32164" s="1" t="str">
        <f t="shared" si="1147"/>
        <v>41860</v>
      </c>
      <c r="B32164" s="1" t="str">
        <f>"94606"</f>
        <v>94606</v>
      </c>
      <c r="C32164" s="2">
        <v>8.39663764258574E-3</v>
      </c>
      <c r="D32164" s="2">
        <v>4.9934896707249897E-3</v>
      </c>
      <c r="E32164" s="2">
        <v>1.33685911561627E-2</v>
      </c>
      <c r="F32164" s="2">
        <v>8.3750695001828003E-3</v>
      </c>
    </row>
    <row r="32165" spans="1:6" x14ac:dyDescent="0.25">
      <c r="A32165" s="1" t="str">
        <f t="shared" si="1147"/>
        <v>41860</v>
      </c>
      <c r="B32165" s="1" t="str">
        <f>"94610"</f>
        <v>94610</v>
      </c>
      <c r="C32165" s="2">
        <v>8.7761292575179693E-3</v>
      </c>
      <c r="D32165" s="2">
        <v>4.68922685924712E-3</v>
      </c>
      <c r="E32165" s="2">
        <v>1.16476736132972E-2</v>
      </c>
      <c r="F32165" s="2">
        <v>8.5585283485025802E-3</v>
      </c>
    </row>
    <row r="32166" spans="1:6" x14ac:dyDescent="0.25">
      <c r="A32166" s="1" t="str">
        <f t="shared" si="1147"/>
        <v>41860</v>
      </c>
      <c r="B32166" s="1" t="str">
        <f>"94619"</f>
        <v>94619</v>
      </c>
      <c r="C32166" s="2">
        <v>5.2367785995525197E-3</v>
      </c>
      <c r="D32166" s="2">
        <v>2.3625112420634299E-3</v>
      </c>
      <c r="E32166" s="2">
        <v>3.7076678769054198E-3</v>
      </c>
      <c r="F32166" s="2">
        <v>4.8642555962520699E-3</v>
      </c>
    </row>
    <row r="32167" spans="1:6" x14ac:dyDescent="0.25">
      <c r="A32167" s="1" t="str">
        <f t="shared" si="1147"/>
        <v>41860</v>
      </c>
      <c r="B32167" s="1" t="str">
        <f>"94541"</f>
        <v>94541</v>
      </c>
      <c r="C32167" s="2">
        <v>1.1774010172226399E-2</v>
      </c>
      <c r="D32167" s="2">
        <v>7.92425645775445E-3</v>
      </c>
      <c r="E32167" s="2">
        <v>8.1358825298886994E-3</v>
      </c>
      <c r="F32167" s="2">
        <v>1.11767111107265E-2</v>
      </c>
    </row>
    <row r="32168" spans="1:6" x14ac:dyDescent="0.25">
      <c r="A32168" s="1" t="str">
        <f t="shared" si="1147"/>
        <v>41860</v>
      </c>
      <c r="B32168" s="1" t="str">
        <f>"94579"</f>
        <v>94579</v>
      </c>
      <c r="C32168" s="2">
        <v>3.6457934280074E-3</v>
      </c>
      <c r="D32168" s="2">
        <v>9.6200741864325599E-4</v>
      </c>
      <c r="E32168" s="2">
        <v>4.8269638397447999E-4</v>
      </c>
      <c r="F32168" s="2">
        <v>3.1906262912971702E-3</v>
      </c>
    </row>
    <row r="32169" spans="1:6" x14ac:dyDescent="0.25">
      <c r="A32169" s="1" t="str">
        <f t="shared" si="1147"/>
        <v>41860</v>
      </c>
      <c r="B32169" s="1" t="str">
        <f>"94583"</f>
        <v>94583</v>
      </c>
      <c r="C32169" s="2">
        <v>8.0274303532614395E-3</v>
      </c>
      <c r="D32169" s="2">
        <v>1.22734248806439E-2</v>
      </c>
      <c r="E32169" s="2">
        <v>4.2533246587896202E-3</v>
      </c>
      <c r="F32169" s="2">
        <v>8.2045912307535801E-3</v>
      </c>
    </row>
    <row r="32170" spans="1:6" x14ac:dyDescent="0.25">
      <c r="A32170" s="1" t="str">
        <f t="shared" si="1147"/>
        <v>41860</v>
      </c>
      <c r="B32170" s="1" t="str">
        <f>"94963"</f>
        <v>94963</v>
      </c>
      <c r="C32170" s="2">
        <v>3.0852976823757999E-6</v>
      </c>
      <c r="D32170" s="2">
        <v>4.4744531099686298E-6</v>
      </c>
      <c r="E32170" s="2">
        <v>0</v>
      </c>
      <c r="F32170" s="2">
        <v>3.0288017411283098E-6</v>
      </c>
    </row>
    <row r="32171" spans="1:6" x14ac:dyDescent="0.25">
      <c r="A32171" s="1" t="str">
        <f t="shared" si="1147"/>
        <v>41860</v>
      </c>
      <c r="B32171" s="1" t="str">
        <f>"94516"</f>
        <v>94516</v>
      </c>
      <c r="C32171" s="2">
        <v>0</v>
      </c>
      <c r="D32171" s="2">
        <v>0</v>
      </c>
      <c r="E32171" s="2">
        <v>6.9955997677460803E-6</v>
      </c>
      <c r="F32171" s="2">
        <v>4.3268596301833002E-7</v>
      </c>
    </row>
    <row r="32172" spans="1:6" x14ac:dyDescent="0.25">
      <c r="A32172" s="1" t="str">
        <f t="shared" si="1147"/>
        <v>41860</v>
      </c>
      <c r="B32172" s="1" t="str">
        <f>"94614"</f>
        <v>94614</v>
      </c>
      <c r="C32172" s="2">
        <v>3.6920728932430402E-4</v>
      </c>
      <c r="D32172" s="2">
        <v>5.6378109185604704E-4</v>
      </c>
      <c r="E32172" s="2">
        <v>1.39911995354921E-5</v>
      </c>
      <c r="F32172" s="2">
        <v>3.6605232471350702E-4</v>
      </c>
    </row>
    <row r="32173" spans="1:6" x14ac:dyDescent="0.25">
      <c r="A32173" s="1" t="str">
        <f t="shared" si="1147"/>
        <v>41860</v>
      </c>
      <c r="B32173" s="1" t="str">
        <f>"94018"</f>
        <v>94018</v>
      </c>
      <c r="C32173" s="2">
        <v>1.47528650845602E-3</v>
      </c>
      <c r="D32173" s="2">
        <v>6.2194898228563997E-4</v>
      </c>
      <c r="E32173" s="2">
        <v>1.39911995354921E-5</v>
      </c>
      <c r="F32173" s="2">
        <v>1.30238474868517E-3</v>
      </c>
    </row>
    <row r="32174" spans="1:6" x14ac:dyDescent="0.25">
      <c r="A32174" s="1" t="str">
        <f t="shared" si="1147"/>
        <v>41860</v>
      </c>
      <c r="B32174" s="1" t="str">
        <f>"94956"</f>
        <v>94956</v>
      </c>
      <c r="C32174" s="2">
        <v>6.37628187690999E-5</v>
      </c>
      <c r="D32174" s="2">
        <v>1.7897812439874499E-5</v>
      </c>
      <c r="E32174" s="2">
        <v>2.5184159163885899E-4</v>
      </c>
      <c r="F32174" s="2">
        <v>7.09604979350062E-5</v>
      </c>
    </row>
    <row r="32175" spans="1:6" x14ac:dyDescent="0.25">
      <c r="A32175" s="1" t="str">
        <f t="shared" si="1147"/>
        <v>41860</v>
      </c>
      <c r="B32175" s="1" t="str">
        <f>"94937"</f>
        <v>94937</v>
      </c>
      <c r="C32175" s="2">
        <v>5.96490885259321E-5</v>
      </c>
      <c r="D32175" s="2">
        <v>8.9489062199372595E-6</v>
      </c>
      <c r="E32175" s="2">
        <v>5.5964798141968703E-5</v>
      </c>
      <c r="F32175" s="2">
        <v>5.4518431340309603E-5</v>
      </c>
    </row>
    <row r="32176" spans="1:6" x14ac:dyDescent="0.25">
      <c r="A32176" s="1" t="str">
        <f t="shared" si="1147"/>
        <v>41860</v>
      </c>
      <c r="B32176" s="1" t="str">
        <f>"94807"</f>
        <v>94807</v>
      </c>
      <c r="C32176" s="2">
        <v>3.7126415444588799E-4</v>
      </c>
      <c r="D32176" s="2">
        <v>6.5774460716538897E-4</v>
      </c>
      <c r="E32176" s="2">
        <v>6.9955997677460803E-6</v>
      </c>
      <c r="F32176" s="2">
        <v>3.7643678782594702E-4</v>
      </c>
    </row>
    <row r="32177" spans="1:6" x14ac:dyDescent="0.25">
      <c r="A32177" s="1" t="str">
        <f t="shared" si="1147"/>
        <v>41860</v>
      </c>
      <c r="B32177" s="1" t="str">
        <f>"94125"</f>
        <v>94125</v>
      </c>
      <c r="C32177" s="2">
        <v>3.25498905490647E-4</v>
      </c>
      <c r="D32177" s="2">
        <v>2.2372265549843099E-4</v>
      </c>
      <c r="E32177" s="2">
        <v>1.39911995354921E-5</v>
      </c>
      <c r="F32177" s="2">
        <v>2.9638988466755599E-4</v>
      </c>
    </row>
    <row r="32178" spans="1:6" x14ac:dyDescent="0.25">
      <c r="A32178" s="1" t="str">
        <f t="shared" si="1147"/>
        <v>41860</v>
      </c>
      <c r="B32178" s="1" t="str">
        <f>"94403"</f>
        <v>94403</v>
      </c>
      <c r="C32178" s="2">
        <v>9.6487542853499197E-3</v>
      </c>
      <c r="D32178" s="2">
        <v>7.9018841922046008E-3</v>
      </c>
      <c r="E32178" s="2">
        <v>1.6166831063261201E-2</v>
      </c>
      <c r="F32178" s="2">
        <v>9.8829800813016906E-3</v>
      </c>
    </row>
    <row r="32179" spans="1:6" x14ac:dyDescent="0.25">
      <c r="A32179" s="1" t="str">
        <f t="shared" si="1147"/>
        <v>41860</v>
      </c>
      <c r="B32179" s="1" t="str">
        <f>"94957"</f>
        <v>94957</v>
      </c>
      <c r="C32179" s="2">
        <v>9.9038055604263198E-4</v>
      </c>
      <c r="D32179" s="2">
        <v>6.0852562295573404E-4</v>
      </c>
      <c r="E32179" s="2">
        <v>1.11929596283937E-4</v>
      </c>
      <c r="F32179" s="2">
        <v>8.9912143115209104E-4</v>
      </c>
    </row>
    <row r="32180" spans="1:6" x14ac:dyDescent="0.25">
      <c r="A32180" s="1" t="str">
        <f t="shared" si="1147"/>
        <v>41860</v>
      </c>
      <c r="B32180" s="1" t="str">
        <f>"94702"</f>
        <v>94702</v>
      </c>
      <c r="C32180" s="2">
        <v>4.5431008372983604E-3</v>
      </c>
      <c r="D32180" s="2">
        <v>3.1365916300880102E-3</v>
      </c>
      <c r="E32180" s="2">
        <v>4.9738714348674601E-3</v>
      </c>
      <c r="F32180" s="2">
        <v>4.4337330630488296E-3</v>
      </c>
    </row>
    <row r="32181" spans="1:6" x14ac:dyDescent="0.25">
      <c r="A32181" s="1" t="str">
        <f t="shared" si="1147"/>
        <v>41860</v>
      </c>
      <c r="B32181" s="1" t="str">
        <f>"94601"</f>
        <v>94601</v>
      </c>
      <c r="C32181" s="2">
        <v>8.8501764018949804E-3</v>
      </c>
      <c r="D32181" s="2">
        <v>7.9287309108644101E-3</v>
      </c>
      <c r="E32181" s="2">
        <v>1.1325876023980899E-2</v>
      </c>
      <c r="F32181" s="2">
        <v>8.9141962101036403E-3</v>
      </c>
    </row>
    <row r="32182" spans="1:6" x14ac:dyDescent="0.25">
      <c r="A32182" s="1" t="str">
        <f t="shared" si="1147"/>
        <v>41860</v>
      </c>
      <c r="B32182" s="1" t="str">
        <f>"94712"</f>
        <v>94712</v>
      </c>
      <c r="C32182" s="2">
        <v>5.4506925721972503E-4</v>
      </c>
      <c r="D32182" s="2">
        <v>5.8615335740589097E-4</v>
      </c>
      <c r="E32182" s="2">
        <v>6.9955997677460803E-6</v>
      </c>
      <c r="F32182" s="2">
        <v>5.1576166791785004E-4</v>
      </c>
    </row>
    <row r="32183" spans="1:6" x14ac:dyDescent="0.25">
      <c r="A32183" s="1" t="str">
        <f t="shared" si="1147"/>
        <v>41860</v>
      </c>
      <c r="B32183" s="1" t="str">
        <f>"94806"</f>
        <v>94806</v>
      </c>
      <c r="C32183" s="2">
        <v>1.12232845359223E-2</v>
      </c>
      <c r="D32183" s="2">
        <v>5.8033656836293098E-3</v>
      </c>
      <c r="E32183" s="2">
        <v>6.54088578284259E-3</v>
      </c>
      <c r="F32183" s="2">
        <v>1.0409558898295E-2</v>
      </c>
    </row>
    <row r="32184" spans="1:6" x14ac:dyDescent="0.25">
      <c r="A32184" s="1" t="str">
        <f t="shared" si="1147"/>
        <v>41860</v>
      </c>
      <c r="B32184" s="1" t="str">
        <f>"94597"</f>
        <v>94597</v>
      </c>
      <c r="C32184" s="2">
        <v>5.9062881966280697E-3</v>
      </c>
      <c r="D32184" s="2">
        <v>3.6690515501742699E-3</v>
      </c>
      <c r="E32184" s="2">
        <v>5.5894842144291199E-3</v>
      </c>
      <c r="F32184" s="2">
        <v>5.6703495453552201E-3</v>
      </c>
    </row>
    <row r="32185" spans="1:6" x14ac:dyDescent="0.25">
      <c r="A32185" s="1" t="str">
        <f t="shared" si="1147"/>
        <v>41860</v>
      </c>
      <c r="B32185" s="1" t="str">
        <f>"94521"</f>
        <v>94521</v>
      </c>
      <c r="C32185" s="2">
        <v>8.4629715427568201E-3</v>
      </c>
      <c r="D32185" s="2">
        <v>2.7831098344004899E-3</v>
      </c>
      <c r="E32185" s="2">
        <v>6.1281453965455696E-3</v>
      </c>
      <c r="F32185" s="2">
        <v>7.7693091519571399E-3</v>
      </c>
    </row>
    <row r="32186" spans="1:6" x14ac:dyDescent="0.25">
      <c r="A32186" s="1" t="str">
        <f t="shared" si="1147"/>
        <v>41860</v>
      </c>
      <c r="B32186" s="1" t="str">
        <f>"94524"</f>
        <v>94524</v>
      </c>
      <c r="C32186" s="2">
        <v>4.3914070345815498E-4</v>
      </c>
      <c r="D32186" s="2">
        <v>1.5794819478189199E-3</v>
      </c>
      <c r="E32186" s="2">
        <v>1.39911995354921E-5</v>
      </c>
      <c r="F32186" s="2">
        <v>5.2311732928916096E-4</v>
      </c>
    </row>
    <row r="32187" spans="1:6" x14ac:dyDescent="0.25">
      <c r="A32187" s="1" t="str">
        <f t="shared" si="1147"/>
        <v>41860</v>
      </c>
      <c r="B32187" s="1" t="str">
        <f>"94506"</f>
        <v>94506</v>
      </c>
      <c r="C32187" s="2">
        <v>4.4932218580999604E-3</v>
      </c>
      <c r="D32187" s="2">
        <v>1.2438979645712799E-3</v>
      </c>
      <c r="E32187" s="2">
        <v>2.7282839094209702E-4</v>
      </c>
      <c r="F32187" s="2">
        <v>3.9179713951309801E-3</v>
      </c>
    </row>
    <row r="32188" spans="1:6" x14ac:dyDescent="0.25">
      <c r="A32188" s="1" t="str">
        <f t="shared" si="1147"/>
        <v>41860</v>
      </c>
      <c r="B32188" s="1" t="str">
        <f>"94519"</f>
        <v>94519</v>
      </c>
      <c r="C32188" s="2">
        <v>3.7604636585356998E-3</v>
      </c>
      <c r="D32188" s="2">
        <v>1.8747958530768499E-3</v>
      </c>
      <c r="E32188" s="2">
        <v>2.7632619082597E-3</v>
      </c>
      <c r="F32188" s="2">
        <v>3.5164388214499699E-3</v>
      </c>
    </row>
    <row r="32189" spans="1:6" x14ac:dyDescent="0.25">
      <c r="A32189" s="1" t="str">
        <f t="shared" ref="A32189:A32252" si="1148">"41860"</f>
        <v>41860</v>
      </c>
      <c r="B32189" s="1" t="str">
        <f>"94577"</f>
        <v>94577</v>
      </c>
      <c r="C32189" s="2">
        <v>9.7006901296699099E-3</v>
      </c>
      <c r="D32189" s="2">
        <v>1.4967045652845E-2</v>
      </c>
      <c r="E32189" s="2">
        <v>5.4985414174484196E-3</v>
      </c>
      <c r="F32189" s="2">
        <v>9.9500464055695299E-3</v>
      </c>
    </row>
    <row r="32190" spans="1:6" x14ac:dyDescent="0.25">
      <c r="A32190" s="1" t="str">
        <f t="shared" si="1148"/>
        <v>41860</v>
      </c>
      <c r="B32190" s="1" t="str">
        <f>"94582"</f>
        <v>94582</v>
      </c>
      <c r="C32190" s="2">
        <v>8.0809088464226207E-3</v>
      </c>
      <c r="D32190" s="2">
        <v>4.4297085788689401E-4</v>
      </c>
      <c r="E32190" s="2">
        <v>2.6233499129047801E-3</v>
      </c>
      <c r="F32190" s="2">
        <v>7.0047530553037501E-3</v>
      </c>
    </row>
    <row r="32191" spans="1:6" x14ac:dyDescent="0.25">
      <c r="A32191" s="1" t="str">
        <f t="shared" si="1148"/>
        <v>41860</v>
      </c>
      <c r="B32191" s="1" t="str">
        <f>"94587"</f>
        <v>94587</v>
      </c>
      <c r="C32191" s="2">
        <v>1.18963936469606E-2</v>
      </c>
      <c r="D32191" s="2">
        <v>7.3515264596784599E-3</v>
      </c>
      <c r="E32191" s="2">
        <v>4.2673158583251096E-3</v>
      </c>
      <c r="F32191" s="2">
        <v>1.09850312291093E-2</v>
      </c>
    </row>
    <row r="32192" spans="1:6" x14ac:dyDescent="0.25">
      <c r="A32192" s="1" t="str">
        <f t="shared" si="1148"/>
        <v>41860</v>
      </c>
      <c r="B32192" s="1" t="str">
        <f>"94010"</f>
        <v>94010</v>
      </c>
      <c r="C32192" s="2">
        <v>9.2296680168272097E-3</v>
      </c>
      <c r="D32192" s="2">
        <v>1.52355128394431E-2</v>
      </c>
      <c r="E32192" s="2">
        <v>1.41520983301503E-2</v>
      </c>
      <c r="F32192" s="2">
        <v>1.0114899757479499E-2</v>
      </c>
    </row>
    <row r="32193" spans="1:6" x14ac:dyDescent="0.25">
      <c r="A32193" s="1" t="str">
        <f t="shared" si="1148"/>
        <v>41860</v>
      </c>
      <c r="B32193" s="1" t="str">
        <f>"94061"</f>
        <v>94061</v>
      </c>
      <c r="C32193" s="2">
        <v>7.3476364305779703E-3</v>
      </c>
      <c r="D32193" s="2">
        <v>2.1074674147952199E-3</v>
      </c>
      <c r="E32193" s="2">
        <v>6.9746129684428396E-3</v>
      </c>
      <c r="F32193" s="2">
        <v>6.8178327192798304E-3</v>
      </c>
    </row>
    <row r="32194" spans="1:6" x14ac:dyDescent="0.25">
      <c r="A32194" s="1" t="str">
        <f t="shared" si="1148"/>
        <v>41860</v>
      </c>
      <c r="B32194" s="1" t="str">
        <f>"94063"</f>
        <v>94063</v>
      </c>
      <c r="C32194" s="2">
        <v>6.5146060563364997E-3</v>
      </c>
      <c r="D32194" s="2">
        <v>1.5593469088240599E-2</v>
      </c>
      <c r="E32194" s="2">
        <v>1.0745241243257901E-2</v>
      </c>
      <c r="F32194" s="2">
        <v>7.6542146857942698E-3</v>
      </c>
    </row>
    <row r="32195" spans="1:6" x14ac:dyDescent="0.25">
      <c r="A32195" s="1" t="str">
        <f t="shared" si="1148"/>
        <v>41860</v>
      </c>
      <c r="B32195" s="1" t="str">
        <f>"94074"</f>
        <v>94074</v>
      </c>
      <c r="C32195" s="2">
        <v>5.1421628039596702E-5</v>
      </c>
      <c r="D32195" s="2">
        <v>8.9489062199372595E-6</v>
      </c>
      <c r="E32195" s="2">
        <v>2.0986799303238199E-5</v>
      </c>
      <c r="F32195" s="2">
        <v>4.5432026116924698E-5</v>
      </c>
    </row>
    <row r="32196" spans="1:6" x14ac:dyDescent="0.25">
      <c r="A32196" s="1" t="str">
        <f t="shared" si="1148"/>
        <v>41860</v>
      </c>
      <c r="B32196" s="1" t="str">
        <f>"94548"</f>
        <v>94548</v>
      </c>
      <c r="C32196" s="2">
        <v>4.1548675455994102E-4</v>
      </c>
      <c r="D32196" s="2">
        <v>3.0426281147786702E-4</v>
      </c>
      <c r="E32196" s="2">
        <v>1.39911995354921E-5</v>
      </c>
      <c r="F32196" s="2">
        <v>3.7989827553009401E-4</v>
      </c>
    </row>
    <row r="32197" spans="1:6" x14ac:dyDescent="0.25">
      <c r="A32197" s="1" t="str">
        <f t="shared" si="1148"/>
        <v>41860</v>
      </c>
      <c r="B32197" s="1" t="str">
        <f>"94404"</f>
        <v>94404</v>
      </c>
      <c r="C32197" s="2">
        <v>8.2043207537176501E-3</v>
      </c>
      <c r="D32197" s="2">
        <v>6.1344752137669897E-3</v>
      </c>
      <c r="E32197" s="2">
        <v>1.6292751859080599E-2</v>
      </c>
      <c r="F32197" s="2">
        <v>8.5044426031252902E-3</v>
      </c>
    </row>
    <row r="32198" spans="1:6" x14ac:dyDescent="0.25">
      <c r="A32198" s="1" t="str">
        <f t="shared" si="1148"/>
        <v>41860</v>
      </c>
      <c r="B32198" s="1" t="str">
        <f>"94402"</f>
        <v>94402</v>
      </c>
      <c r="C32198" s="2">
        <v>5.6949453053853297E-3</v>
      </c>
      <c r="D32198" s="2">
        <v>8.0808623166033506E-3</v>
      </c>
      <c r="E32198" s="2">
        <v>8.8214513071278103E-3</v>
      </c>
      <c r="F32198" s="2">
        <v>6.1190448890052302E-3</v>
      </c>
    </row>
    <row r="32199" spans="1:6" x14ac:dyDescent="0.25">
      <c r="A32199" s="1" t="str">
        <f t="shared" si="1148"/>
        <v>41860</v>
      </c>
      <c r="B32199" s="1" t="str">
        <f>"94938"</f>
        <v>94938</v>
      </c>
      <c r="C32199" s="2">
        <v>6.1705953647515998E-6</v>
      </c>
      <c r="D32199" s="2">
        <v>4.4744531099686298E-6</v>
      </c>
      <c r="E32199" s="2">
        <v>0</v>
      </c>
      <c r="F32199" s="2">
        <v>5.6249175192382897E-6</v>
      </c>
    </row>
    <row r="32200" spans="1:6" x14ac:dyDescent="0.25">
      <c r="A32200" s="1" t="str">
        <f t="shared" si="1148"/>
        <v>41860</v>
      </c>
      <c r="B32200" s="1" t="str">
        <f>"94609"</f>
        <v>94609</v>
      </c>
      <c r="C32200" s="2">
        <v>5.89908916870253E-3</v>
      </c>
      <c r="D32200" s="2">
        <v>6.2060664635264903E-3</v>
      </c>
      <c r="E32200" s="2">
        <v>8.6115833140954293E-3</v>
      </c>
      <c r="F32200" s="2">
        <v>6.0965452189282801E-3</v>
      </c>
    </row>
    <row r="32201" spans="1:6" x14ac:dyDescent="0.25">
      <c r="A32201" s="1" t="str">
        <f t="shared" si="1148"/>
        <v>41860</v>
      </c>
      <c r="B32201" s="1" t="str">
        <f>"94705"</f>
        <v>94705</v>
      </c>
      <c r="C32201" s="2">
        <v>3.4442206460921802E-3</v>
      </c>
      <c r="D32201" s="2">
        <v>3.82565740902318E-3</v>
      </c>
      <c r="E32201" s="2">
        <v>4.8269638397447998E-3</v>
      </c>
      <c r="F32201" s="2">
        <v>3.5666303931600998E-3</v>
      </c>
    </row>
    <row r="32202" spans="1:6" x14ac:dyDescent="0.25">
      <c r="A32202" s="1" t="str">
        <f t="shared" si="1148"/>
        <v>41860</v>
      </c>
      <c r="B32202" s="1" t="str">
        <f>"94708"</f>
        <v>94708</v>
      </c>
      <c r="C32202" s="2">
        <v>2.5124607460146899E-3</v>
      </c>
      <c r="D32202" s="2">
        <v>1.2975914018909001E-4</v>
      </c>
      <c r="E32202" s="2">
        <v>2.8681959047758898E-4</v>
      </c>
      <c r="F32202" s="2">
        <v>2.1443916327188398E-3</v>
      </c>
    </row>
    <row r="32203" spans="1:6" x14ac:dyDescent="0.25">
      <c r="A32203" s="1" t="str">
        <f t="shared" si="1148"/>
        <v>41860</v>
      </c>
      <c r="B32203" s="1" t="str">
        <f>"94709"</f>
        <v>94709</v>
      </c>
      <c r="C32203" s="2">
        <v>3.32337982019913E-3</v>
      </c>
      <c r="D32203" s="2">
        <v>2.7338908501908302E-3</v>
      </c>
      <c r="E32203" s="2">
        <v>5.5754930148936297E-3</v>
      </c>
      <c r="F32203" s="2">
        <v>3.40567121491728E-3</v>
      </c>
    </row>
    <row r="32204" spans="1:6" x14ac:dyDescent="0.25">
      <c r="A32204" s="1" t="str">
        <f t="shared" si="1148"/>
        <v>41860</v>
      </c>
      <c r="B32204" s="1" t="str">
        <f>"94720"</f>
        <v>94720</v>
      </c>
      <c r="C32204" s="2">
        <v>3.8566221029697498E-5</v>
      </c>
      <c r="D32204" s="2">
        <v>4.2686282669100696E-3</v>
      </c>
      <c r="E32204" s="2">
        <v>2.4274731194078901E-3</v>
      </c>
      <c r="F32204" s="2">
        <v>5.9537588511322304E-4</v>
      </c>
    </row>
    <row r="32205" spans="1:6" x14ac:dyDescent="0.25">
      <c r="A32205" s="1" t="str">
        <f t="shared" si="1148"/>
        <v>41860</v>
      </c>
      <c r="B32205" s="1" t="str">
        <f>"94518"</f>
        <v>94518</v>
      </c>
      <c r="C32205" s="2">
        <v>5.4265244070186404E-3</v>
      </c>
      <c r="D32205" s="2">
        <v>2.63992733488149E-3</v>
      </c>
      <c r="E32205" s="2">
        <v>4.2253422597186303E-3</v>
      </c>
      <c r="F32205" s="2">
        <v>5.0827620075763304E-3</v>
      </c>
    </row>
    <row r="32206" spans="1:6" x14ac:dyDescent="0.25">
      <c r="A32206" s="1" t="str">
        <f t="shared" si="1148"/>
        <v>41860</v>
      </c>
      <c r="B32206" s="1" t="str">
        <f>"94523"</f>
        <v>94523</v>
      </c>
      <c r="C32206" s="2">
        <v>7.7759785921478102E-3</v>
      </c>
      <c r="D32206" s="2">
        <v>7.2441395850392099E-3</v>
      </c>
      <c r="E32206" s="2">
        <v>4.4142234534477803E-3</v>
      </c>
      <c r="F32206" s="2">
        <v>7.51662054955444E-3</v>
      </c>
    </row>
    <row r="32207" spans="1:6" x14ac:dyDescent="0.25">
      <c r="A32207" s="1" t="str">
        <f t="shared" si="1148"/>
        <v>41860</v>
      </c>
      <c r="B32207" s="1" t="str">
        <f>"94526"</f>
        <v>94526</v>
      </c>
      <c r="C32207" s="2">
        <v>7.2427363093771902E-3</v>
      </c>
      <c r="D32207" s="2">
        <v>8.2508915347821593E-3</v>
      </c>
      <c r="E32207" s="2">
        <v>2.0706975312528401E-3</v>
      </c>
      <c r="F32207" s="2">
        <v>7.0203297499724102E-3</v>
      </c>
    </row>
    <row r="32208" spans="1:6" x14ac:dyDescent="0.25">
      <c r="A32208" s="1" t="str">
        <f t="shared" si="1148"/>
        <v>41860</v>
      </c>
      <c r="B32208" s="1" t="str">
        <f>"94588"</f>
        <v>94588</v>
      </c>
      <c r="C32208" s="2">
        <v>7.4283683866001402E-3</v>
      </c>
      <c r="D32208" s="2">
        <v>1.01480596534088E-2</v>
      </c>
      <c r="E32208" s="2">
        <v>5.7573786088550303E-3</v>
      </c>
      <c r="F32208" s="2">
        <v>7.5880137334524596E-3</v>
      </c>
    </row>
    <row r="32209" spans="1:6" x14ac:dyDescent="0.25">
      <c r="A32209" s="1" t="str">
        <f t="shared" si="1148"/>
        <v>41860</v>
      </c>
      <c r="B32209" s="1" t="str">
        <f>"94595"</f>
        <v>94595</v>
      </c>
      <c r="C32209" s="2">
        <v>5.6476374075888998E-3</v>
      </c>
      <c r="D32209" s="2">
        <v>1.9150659310665701E-3</v>
      </c>
      <c r="E32209" s="2">
        <v>1.58100554751061E-2</v>
      </c>
      <c r="F32209" s="2">
        <v>5.9152498004235903E-3</v>
      </c>
    </row>
    <row r="32210" spans="1:6" x14ac:dyDescent="0.25">
      <c r="A32210" s="1" t="str">
        <f t="shared" si="1148"/>
        <v>41860</v>
      </c>
      <c r="B32210" s="1" t="str">
        <f>"94062"</f>
        <v>94062</v>
      </c>
      <c r="C32210" s="2">
        <v>5.7828762893330403E-3</v>
      </c>
      <c r="D32210" s="2">
        <v>2.9486645994693198E-3</v>
      </c>
      <c r="E32210" s="2">
        <v>3.09205509734377E-3</v>
      </c>
      <c r="F32210" s="2">
        <v>5.3423735853873203E-3</v>
      </c>
    </row>
    <row r="32211" spans="1:6" x14ac:dyDescent="0.25">
      <c r="A32211" s="1" t="str">
        <f t="shared" si="1148"/>
        <v>41860</v>
      </c>
      <c r="B32211" s="1" t="str">
        <f>"94060"</f>
        <v>94060</v>
      </c>
      <c r="C32211" s="2">
        <v>9.71868769948377E-5</v>
      </c>
      <c r="D32211" s="2">
        <v>1.25284687079121E-4</v>
      </c>
      <c r="E32211" s="2">
        <v>2.4484599187111301E-4</v>
      </c>
      <c r="F32211" s="2">
        <v>1.09036862680619E-4</v>
      </c>
    </row>
    <row r="32212" spans="1:6" x14ac:dyDescent="0.25">
      <c r="A32212" s="1" t="str">
        <f t="shared" si="1148"/>
        <v>41860</v>
      </c>
      <c r="B32212" s="1" t="str">
        <f>"94020"</f>
        <v>94020</v>
      </c>
      <c r="C32212" s="2">
        <v>1.8717472606413199E-4</v>
      </c>
      <c r="D32212" s="2">
        <v>8.9489062199372595E-6</v>
      </c>
      <c r="E32212" s="2">
        <v>2.7982399070984301E-5</v>
      </c>
      <c r="F32212" s="2">
        <v>1.6009380631678199E-4</v>
      </c>
    </row>
    <row r="32213" spans="1:6" x14ac:dyDescent="0.25">
      <c r="A32213" s="1" t="str">
        <f t="shared" si="1148"/>
        <v>41860</v>
      </c>
      <c r="B32213" s="1" t="str">
        <f>"94952"</f>
        <v>94952</v>
      </c>
      <c r="C32213" s="2">
        <v>1.21869258453844E-4</v>
      </c>
      <c r="D32213" s="2">
        <v>3.13211717697804E-5</v>
      </c>
      <c r="E32213" s="2">
        <v>1.39911995354921E-5</v>
      </c>
      <c r="F32213" s="2">
        <v>1.06440746902509E-4</v>
      </c>
    </row>
    <row r="32214" spans="1:6" x14ac:dyDescent="0.25">
      <c r="A32214" s="1" t="str">
        <f t="shared" si="1148"/>
        <v>41860</v>
      </c>
      <c r="B32214" s="1" t="str">
        <f>"94108"</f>
        <v>94108</v>
      </c>
      <c r="C32214" s="2">
        <v>4.19857592943307E-3</v>
      </c>
      <c r="D32214" s="2">
        <v>1.6327279398275499E-2</v>
      </c>
      <c r="E32214" s="2">
        <v>1.0108641664393E-2</v>
      </c>
      <c r="F32214" s="2">
        <v>5.7369831836600396E-3</v>
      </c>
    </row>
    <row r="32215" spans="1:6" x14ac:dyDescent="0.25">
      <c r="A32215" s="1" t="str">
        <f t="shared" si="1148"/>
        <v>41860</v>
      </c>
      <c r="B32215" s="1" t="str">
        <f>"94116"</f>
        <v>94116</v>
      </c>
      <c r="C32215" s="2">
        <v>8.1009632813580593E-3</v>
      </c>
      <c r="D32215" s="2">
        <v>3.3200442075967201E-3</v>
      </c>
      <c r="E32215" s="2">
        <v>5.91128180374544E-3</v>
      </c>
      <c r="F32215" s="2">
        <v>7.5032072847008701E-3</v>
      </c>
    </row>
    <row r="32216" spans="1:6" x14ac:dyDescent="0.25">
      <c r="A32216" s="1" t="str">
        <f t="shared" si="1148"/>
        <v>41860</v>
      </c>
      <c r="B32216" s="1" t="str">
        <f>"94661"</f>
        <v>94661</v>
      </c>
      <c r="C32216" s="2">
        <v>6.6848116451475695E-5</v>
      </c>
      <c r="D32216" s="2">
        <v>4.7429202965667498E-4</v>
      </c>
      <c r="E32216" s="2">
        <v>6.9955997677460803E-6</v>
      </c>
      <c r="F32216" s="2">
        <v>1.02546573235344E-4</v>
      </c>
    </row>
    <row r="32217" spans="1:6" x14ac:dyDescent="0.25">
      <c r="A32217" s="1" t="str">
        <f t="shared" si="1148"/>
        <v>41860</v>
      </c>
      <c r="B32217" s="1" t="str">
        <f>"94064"</f>
        <v>94064</v>
      </c>
      <c r="C32217" s="2">
        <v>1.0094065584172801E-3</v>
      </c>
      <c r="D32217" s="2">
        <v>1.59290530714883E-3</v>
      </c>
      <c r="E32217" s="2">
        <v>1.39911995354921E-5</v>
      </c>
      <c r="F32217" s="2">
        <v>1.00426412016554E-3</v>
      </c>
    </row>
    <row r="32218" spans="1:6" x14ac:dyDescent="0.25">
      <c r="A32218" s="1" t="str">
        <f t="shared" si="1148"/>
        <v>41860</v>
      </c>
      <c r="B32218" s="1" t="str">
        <f>"95035"</f>
        <v>95035</v>
      </c>
      <c r="C32218" s="2">
        <v>1.7997569813858801E-5</v>
      </c>
      <c r="D32218" s="2">
        <v>8.9489062199372595E-6</v>
      </c>
      <c r="E32218" s="2">
        <v>0</v>
      </c>
      <c r="F32218" s="2">
        <v>1.60093806316782E-5</v>
      </c>
    </row>
    <row r="32219" spans="1:6" x14ac:dyDescent="0.25">
      <c r="A32219" s="1" t="str">
        <f t="shared" si="1148"/>
        <v>41860</v>
      </c>
      <c r="B32219" s="1" t="str">
        <f>"94942"</f>
        <v>94942</v>
      </c>
      <c r="C32219" s="2">
        <v>7.0704738554445404E-4</v>
      </c>
      <c r="D32219" s="2">
        <v>1.83005132197717E-3</v>
      </c>
      <c r="E32219" s="2">
        <v>1.39911995354921E-5</v>
      </c>
      <c r="F32219" s="2">
        <v>7.7277712995073799E-4</v>
      </c>
    </row>
    <row r="32220" spans="1:6" x14ac:dyDescent="0.25">
      <c r="A32220" s="1" t="str">
        <f t="shared" si="1148"/>
        <v>41860</v>
      </c>
      <c r="B32220" s="1" t="str">
        <f>"94701"</f>
        <v>94701</v>
      </c>
      <c r="C32220" s="2">
        <v>5.3427071533140901E-4</v>
      </c>
      <c r="D32220" s="2">
        <v>6.5327015405541996E-4</v>
      </c>
      <c r="E32220" s="2">
        <v>6.9955997677460803E-6</v>
      </c>
      <c r="F32220" s="2">
        <v>5.1316555213973996E-4</v>
      </c>
    </row>
    <row r="32221" spans="1:6" x14ac:dyDescent="0.25">
      <c r="A32221" s="1" t="str">
        <f t="shared" si="1148"/>
        <v>41860</v>
      </c>
      <c r="B32221" s="1" t="str">
        <f>"94946"</f>
        <v>94946</v>
      </c>
      <c r="C32221" s="2">
        <v>7.7646658339791002E-5</v>
      </c>
      <c r="D32221" s="2">
        <v>0</v>
      </c>
      <c r="E32221" s="2">
        <v>2.7982399070984301E-5</v>
      </c>
      <c r="F32221" s="2">
        <v>6.7066324267841201E-5</v>
      </c>
    </row>
    <row r="32222" spans="1:6" x14ac:dyDescent="0.25">
      <c r="A32222" s="1" t="str">
        <f t="shared" si="1148"/>
        <v>41860</v>
      </c>
      <c r="B32222" s="1" t="str">
        <f>"94930"</f>
        <v>94930</v>
      </c>
      <c r="C32222" s="2">
        <v>1.9905312214127798E-3</v>
      </c>
      <c r="D32222" s="2">
        <v>1.2975914018909E-3</v>
      </c>
      <c r="E32222" s="2">
        <v>9.4440596864572097E-4</v>
      </c>
      <c r="F32222" s="2">
        <v>1.85881889712674E-3</v>
      </c>
    </row>
    <row r="32223" spans="1:6" x14ac:dyDescent="0.25">
      <c r="A32223" s="1" t="str">
        <f t="shared" si="1148"/>
        <v>41860</v>
      </c>
      <c r="B32223" s="1" t="str">
        <f>"94960"</f>
        <v>94960</v>
      </c>
      <c r="C32223" s="2">
        <v>3.3526901481817002E-3</v>
      </c>
      <c r="D32223" s="2">
        <v>2.8144310061702701E-3</v>
      </c>
      <c r="E32223" s="2">
        <v>2.8891827040791302E-3</v>
      </c>
      <c r="F32223" s="2">
        <v>3.2719712523446099E-3</v>
      </c>
    </row>
    <row r="32224" spans="1:6" x14ac:dyDescent="0.25">
      <c r="A32224" s="1" t="str">
        <f t="shared" si="1148"/>
        <v>41860</v>
      </c>
      <c r="B32224" s="1" t="str">
        <f>"94924"</f>
        <v>94924</v>
      </c>
      <c r="C32224" s="2">
        <v>8.9987849069294193E-5</v>
      </c>
      <c r="D32224" s="2">
        <v>2.23722655498431E-5</v>
      </c>
      <c r="E32224" s="2">
        <v>9.7938396748445197E-5</v>
      </c>
      <c r="F32224" s="2">
        <v>8.3941076825556104E-5</v>
      </c>
    </row>
    <row r="32225" spans="1:6" x14ac:dyDescent="0.25">
      <c r="A32225" s="1" t="str">
        <f t="shared" si="1148"/>
        <v>41860</v>
      </c>
      <c r="B32225" s="1" t="str">
        <f>"94966"</f>
        <v>94966</v>
      </c>
      <c r="C32225" s="2">
        <v>1.1724131193028E-3</v>
      </c>
      <c r="D32225" s="2">
        <v>1.39602937031021E-3</v>
      </c>
      <c r="E32225" s="2">
        <v>1.39911995354921E-5</v>
      </c>
      <c r="F32225" s="2">
        <v>1.1223873880695399E-3</v>
      </c>
    </row>
    <row r="32226" spans="1:6" x14ac:dyDescent="0.25">
      <c r="A32226" s="1" t="str">
        <f t="shared" si="1148"/>
        <v>41860</v>
      </c>
      <c r="B32226" s="1" t="str">
        <f>"94131"</f>
        <v>94131</v>
      </c>
      <c r="C32226" s="2">
        <v>7.4839037448829002E-3</v>
      </c>
      <c r="D32226" s="2">
        <v>2.09404405546532E-3</v>
      </c>
      <c r="E32226" s="2">
        <v>8.3177681238500896E-3</v>
      </c>
      <c r="F32226" s="2">
        <v>7.0142721464901501E-3</v>
      </c>
    </row>
    <row r="32227" spans="1:6" x14ac:dyDescent="0.25">
      <c r="A32227" s="1" t="str">
        <f t="shared" si="1148"/>
        <v>41860</v>
      </c>
      <c r="B32227" s="1" t="str">
        <f>"94801"</f>
        <v>94801</v>
      </c>
      <c r="C32227" s="2">
        <v>5.4296097047010104E-3</v>
      </c>
      <c r="D32227" s="2">
        <v>3.6869493626141502E-3</v>
      </c>
      <c r="E32227" s="2">
        <v>4.3372718560025702E-3</v>
      </c>
      <c r="F32227" s="2">
        <v>5.1935296141090203E-3</v>
      </c>
    </row>
    <row r="32228" spans="1:6" x14ac:dyDescent="0.25">
      <c r="A32228" s="1" t="str">
        <f t="shared" si="1148"/>
        <v>41860</v>
      </c>
      <c r="B32228" s="1" t="str">
        <f>"94602"</f>
        <v>94602</v>
      </c>
      <c r="C32228" s="2">
        <v>6.5644850355349102E-3</v>
      </c>
      <c r="D32228" s="2">
        <v>2.63992733488149E-3</v>
      </c>
      <c r="E32228" s="2">
        <v>6.4429473860941402E-3</v>
      </c>
      <c r="F32228" s="2">
        <v>6.1774574940126996E-3</v>
      </c>
    </row>
    <row r="32229" spans="1:6" x14ac:dyDescent="0.25">
      <c r="A32229" s="1" t="str">
        <f t="shared" si="1148"/>
        <v>41860</v>
      </c>
      <c r="B32229" s="1" t="str">
        <f>"94624"</f>
        <v>94624</v>
      </c>
      <c r="C32229" s="2">
        <v>2.8744690074134502E-4</v>
      </c>
      <c r="D32229" s="2">
        <v>1.4318249951899599E-4</v>
      </c>
      <c r="E32229" s="2">
        <v>1.39911995354921E-5</v>
      </c>
      <c r="F32229" s="2">
        <v>2.5658277606986998E-4</v>
      </c>
    </row>
    <row r="32230" spans="1:6" x14ac:dyDescent="0.25">
      <c r="A32230" s="1" t="str">
        <f t="shared" si="1148"/>
        <v>41860</v>
      </c>
      <c r="B32230" s="1" t="str">
        <f>"94513"</f>
        <v>94513</v>
      </c>
      <c r="C32230" s="2">
        <v>1.2172013573252901E-2</v>
      </c>
      <c r="D32230" s="2">
        <v>1.04254757462269E-2</v>
      </c>
      <c r="E32230" s="2">
        <v>3.4768130845698E-3</v>
      </c>
      <c r="F32230" s="2">
        <v>1.14653126480597E-2</v>
      </c>
    </row>
    <row r="32231" spans="1:6" x14ac:dyDescent="0.25">
      <c r="A32231" s="1" t="str">
        <f t="shared" si="1148"/>
        <v>41860</v>
      </c>
      <c r="B32231" s="1" t="str">
        <f>"94517"</f>
        <v>94517</v>
      </c>
      <c r="C32231" s="2">
        <v>2.9598289099591799E-3</v>
      </c>
      <c r="D32231" s="2">
        <v>1.7897812439874501E-3</v>
      </c>
      <c r="E32231" s="2">
        <v>3.0780638978082701E-4</v>
      </c>
      <c r="F32231" s="2">
        <v>2.6826529707136499E-3</v>
      </c>
    </row>
    <row r="32232" spans="1:6" x14ac:dyDescent="0.25">
      <c r="A32232" s="1" t="str">
        <f t="shared" si="1148"/>
        <v>41860</v>
      </c>
      <c r="B32232" s="1" t="str">
        <f>"94538"</f>
        <v>94538</v>
      </c>
      <c r="C32232" s="2">
        <v>1.17421287628419E-2</v>
      </c>
      <c r="D32232" s="2">
        <v>1.9244622825975E-2</v>
      </c>
      <c r="E32232" s="2">
        <v>5.7154050102485501E-3</v>
      </c>
      <c r="F32232" s="2">
        <v>1.20948707242513E-2</v>
      </c>
    </row>
    <row r="32233" spans="1:6" x14ac:dyDescent="0.25">
      <c r="A32233" s="1" t="str">
        <f t="shared" si="1148"/>
        <v>41860</v>
      </c>
      <c r="B32233" s="1" t="str">
        <f>"94505"</f>
        <v>94505</v>
      </c>
      <c r="C32233" s="2">
        <v>3.4411353484098098E-3</v>
      </c>
      <c r="D32233" s="2">
        <v>1.2170512459114601E-3</v>
      </c>
      <c r="E32233" s="2">
        <v>2.0287239326463599E-4</v>
      </c>
      <c r="F32233" s="2">
        <v>3.0257729393871799E-3</v>
      </c>
    </row>
    <row r="32234" spans="1:6" x14ac:dyDescent="0.25">
      <c r="A32234" s="1" t="str">
        <f t="shared" si="1148"/>
        <v>41860</v>
      </c>
      <c r="B32234" s="1" t="str">
        <f>"94531"</f>
        <v>94531</v>
      </c>
      <c r="C32234" s="2">
        <v>7.4725909867141898E-3</v>
      </c>
      <c r="D32234" s="2">
        <v>3.1589638956378498E-3</v>
      </c>
      <c r="E32234" s="2">
        <v>5.2466998258095601E-4</v>
      </c>
      <c r="F32234" s="2">
        <v>6.62572015169969E-3</v>
      </c>
    </row>
    <row r="32235" spans="1:6" x14ac:dyDescent="0.25">
      <c r="A32235" s="1" t="str">
        <f t="shared" si="1148"/>
        <v>41860</v>
      </c>
      <c r="B32235" s="1" t="str">
        <f>"94547"</f>
        <v>94547</v>
      </c>
      <c r="C32235" s="2">
        <v>4.8269482240769403E-3</v>
      </c>
      <c r="D32235" s="2">
        <v>1.6018542133687699E-3</v>
      </c>
      <c r="E32235" s="2">
        <v>1.11230036307162E-3</v>
      </c>
      <c r="F32235" s="2">
        <v>4.2853217777335398E-3</v>
      </c>
    </row>
    <row r="32236" spans="1:6" x14ac:dyDescent="0.25">
      <c r="A32236" s="1" t="str">
        <f t="shared" si="1148"/>
        <v>41860</v>
      </c>
      <c r="B32236" s="1" t="str">
        <f>"94552"</f>
        <v>94552</v>
      </c>
      <c r="C32236" s="2">
        <v>2.60913340672913E-3</v>
      </c>
      <c r="D32236" s="2">
        <v>4.1164968611711401E-4</v>
      </c>
      <c r="E32236" s="2">
        <v>4.19735986064765E-5</v>
      </c>
      <c r="F32236" s="2">
        <v>2.2378518007308001E-3</v>
      </c>
    </row>
    <row r="32237" spans="1:6" x14ac:dyDescent="0.25">
      <c r="A32237" s="1" t="str">
        <f t="shared" si="1148"/>
        <v>41860</v>
      </c>
      <c r="B32237" s="1" t="str">
        <f>"94586"</f>
        <v>94586</v>
      </c>
      <c r="C32237" s="2">
        <v>3.9954604986766601E-4</v>
      </c>
      <c r="D32237" s="2">
        <v>4.2954749855698802E-4</v>
      </c>
      <c r="E32237" s="2">
        <v>1.39911995354921E-5</v>
      </c>
      <c r="F32237" s="2">
        <v>3.7860021764103902E-4</v>
      </c>
    </row>
    <row r="32238" spans="1:6" x14ac:dyDescent="0.25">
      <c r="A32238" s="1" t="str">
        <f t="shared" si="1148"/>
        <v>41860</v>
      </c>
      <c r="B32238" s="1" t="str">
        <f>"94002"</f>
        <v>94002</v>
      </c>
      <c r="C32238" s="2">
        <v>6.2065905043793201E-3</v>
      </c>
      <c r="D32238" s="2">
        <v>6.2194898228564001E-3</v>
      </c>
      <c r="E32238" s="2">
        <v>4.6101002469446702E-3</v>
      </c>
      <c r="F32238" s="2">
        <v>6.1090931118558097E-3</v>
      </c>
    </row>
    <row r="32239" spans="1:6" x14ac:dyDescent="0.25">
      <c r="A32239" s="1" t="str">
        <f t="shared" si="1148"/>
        <v>41860</v>
      </c>
      <c r="B32239" s="1" t="str">
        <f>"94080"</f>
        <v>94080</v>
      </c>
      <c r="C32239" s="2">
        <v>1.1636714425360699E-2</v>
      </c>
      <c r="D32239" s="2">
        <v>1.6152775726986701E-2</v>
      </c>
      <c r="E32239" s="2">
        <v>1.25221235842654E-2</v>
      </c>
      <c r="F32239" s="2">
        <v>1.21281875434038E-2</v>
      </c>
    </row>
    <row r="32240" spans="1:6" x14ac:dyDescent="0.25">
      <c r="A32240" s="1" t="str">
        <f t="shared" si="1148"/>
        <v>41860</v>
      </c>
      <c r="B32240" s="1" t="str">
        <f>"94977"</f>
        <v>94977</v>
      </c>
      <c r="C32240" s="2">
        <v>4.3451275693459201E-4</v>
      </c>
      <c r="D32240" s="2">
        <v>4.4297085788689401E-4</v>
      </c>
      <c r="E32240" s="2">
        <v>1.39911995354921E-5</v>
      </c>
      <c r="F32240" s="2">
        <v>4.0932092101534002E-4</v>
      </c>
    </row>
    <row r="32241" spans="1:6" x14ac:dyDescent="0.25">
      <c r="A32241" s="1" t="str">
        <f t="shared" si="1148"/>
        <v>41860</v>
      </c>
      <c r="B32241" s="1" t="str">
        <f>"94511"</f>
        <v>94511</v>
      </c>
      <c r="C32241" s="2">
        <v>1.05414337481173E-4</v>
      </c>
      <c r="D32241" s="2">
        <v>0</v>
      </c>
      <c r="E32241" s="2">
        <v>5.5964798141968703E-5</v>
      </c>
      <c r="F32241" s="2">
        <v>9.2162110122904396E-5</v>
      </c>
    </row>
    <row r="32242" spans="1:6" x14ac:dyDescent="0.25">
      <c r="A32242" s="1" t="str">
        <f t="shared" si="1148"/>
        <v>41860</v>
      </c>
      <c r="B32242" s="1" t="str">
        <f>"94141"</f>
        <v>94141</v>
      </c>
      <c r="C32242" s="2">
        <v>3.9286123822251798E-4</v>
      </c>
      <c r="D32242" s="2">
        <v>9.4410960620338095E-4</v>
      </c>
      <c r="E32242" s="2">
        <v>6.9955997677460803E-6</v>
      </c>
      <c r="F32242" s="2">
        <v>4.2230149990588999E-4</v>
      </c>
    </row>
    <row r="32243" spans="1:6" x14ac:dyDescent="0.25">
      <c r="A32243" s="1" t="str">
        <f t="shared" si="1148"/>
        <v>41860</v>
      </c>
      <c r="B32243" s="1" t="str">
        <f>"94557"</f>
        <v>94557</v>
      </c>
      <c r="C32243" s="2">
        <v>1.59921263203145E-4</v>
      </c>
      <c r="D32243" s="2">
        <v>2.9531390525792901E-4</v>
      </c>
      <c r="E32243" s="2">
        <v>1.39911995354921E-5</v>
      </c>
      <c r="F32243" s="2">
        <v>1.6398797998394701E-4</v>
      </c>
    </row>
    <row r="32244" spans="1:6" x14ac:dyDescent="0.25">
      <c r="A32244" s="1" t="str">
        <f t="shared" si="1148"/>
        <v>41860</v>
      </c>
      <c r="B32244" s="1" t="str">
        <f>"94569"</f>
        <v>94569</v>
      </c>
      <c r="C32244" s="2">
        <v>0</v>
      </c>
      <c r="D32244" s="2">
        <v>0</v>
      </c>
      <c r="E32244" s="2">
        <v>6.9955997677460803E-6</v>
      </c>
      <c r="F32244" s="2">
        <v>4.3268596301833002E-7</v>
      </c>
    </row>
    <row r="32245" spans="1:6" x14ac:dyDescent="0.25">
      <c r="A32245" s="1" t="str">
        <f t="shared" si="1148"/>
        <v>41860</v>
      </c>
      <c r="B32245" s="1" t="str">
        <f>"94564"</f>
        <v>94564</v>
      </c>
      <c r="C32245" s="2">
        <v>4.1183581896912999E-3</v>
      </c>
      <c r="D32245" s="2">
        <v>3.76301506548362E-3</v>
      </c>
      <c r="E32245" s="2">
        <v>2.3575171217304299E-3</v>
      </c>
      <c r="F32245" s="2">
        <v>3.9750859422493998E-3</v>
      </c>
    </row>
    <row r="32246" spans="1:6" x14ac:dyDescent="0.25">
      <c r="A32246" s="1" t="str">
        <f t="shared" si="1148"/>
        <v>41860</v>
      </c>
      <c r="B32246" s="1" t="str">
        <f>"94005"</f>
        <v>94005</v>
      </c>
      <c r="C32246" s="2">
        <v>1.53956354350552E-3</v>
      </c>
      <c r="D32246" s="2">
        <v>3.06500038032851E-3</v>
      </c>
      <c r="E32246" s="2">
        <v>9.37410368877975E-4</v>
      </c>
      <c r="F32246" s="2">
        <v>1.6498315769888901E-3</v>
      </c>
    </row>
    <row r="32247" spans="1:6" x14ac:dyDescent="0.25">
      <c r="A32247" s="1" t="str">
        <f t="shared" si="1148"/>
        <v>41860</v>
      </c>
      <c r="B32247" s="1" t="str">
        <f>"94666"</f>
        <v>94666</v>
      </c>
      <c r="C32247" s="2">
        <v>0</v>
      </c>
      <c r="D32247" s="2">
        <v>4.4744531099686298E-6</v>
      </c>
      <c r="E32247" s="2">
        <v>0</v>
      </c>
      <c r="F32247" s="2">
        <v>4.3268596301833002E-7</v>
      </c>
    </row>
    <row r="32248" spans="1:6" x14ac:dyDescent="0.25">
      <c r="A32248" s="1" t="str">
        <f t="shared" si="1148"/>
        <v>41860</v>
      </c>
      <c r="B32248" s="1" t="str">
        <f>"94978"</f>
        <v>94978</v>
      </c>
      <c r="C32248" s="2">
        <v>3.8052004749301502E-4</v>
      </c>
      <c r="D32248" s="2">
        <v>9.9332859041303609E-4</v>
      </c>
      <c r="E32248" s="2">
        <v>1.39911995354921E-5</v>
      </c>
      <c r="F32248" s="2">
        <v>4.1710926834966999E-4</v>
      </c>
    </row>
    <row r="32249" spans="1:6" x14ac:dyDescent="0.25">
      <c r="A32249" s="1" t="str">
        <f t="shared" si="1148"/>
        <v>41860</v>
      </c>
      <c r="B32249" s="1" t="str">
        <f>"94146"</f>
        <v>94146</v>
      </c>
      <c r="C32249" s="2">
        <v>3.0647290311599601E-4</v>
      </c>
      <c r="D32249" s="2">
        <v>6.9801468515510599E-4</v>
      </c>
      <c r="E32249" s="2">
        <v>1.39911995354921E-5</v>
      </c>
      <c r="F32249" s="2">
        <v>3.26245216115821E-4</v>
      </c>
    </row>
    <row r="32250" spans="1:6" x14ac:dyDescent="0.25">
      <c r="A32250" s="1" t="str">
        <f t="shared" si="1148"/>
        <v>41860</v>
      </c>
      <c r="B32250" s="1" t="str">
        <f>"94570"</f>
        <v>94570</v>
      </c>
      <c r="C32250" s="2">
        <v>2.85904251900157E-4</v>
      </c>
      <c r="D32250" s="2">
        <v>8.4567163778407099E-4</v>
      </c>
      <c r="E32250" s="2">
        <v>1.39911995354921E-5</v>
      </c>
      <c r="F32250" s="2">
        <v>3.2321641437469301E-4</v>
      </c>
    </row>
    <row r="32251" spans="1:6" x14ac:dyDescent="0.25">
      <c r="A32251" s="1" t="str">
        <f t="shared" si="1148"/>
        <v>41860</v>
      </c>
      <c r="B32251" s="1" t="str">
        <f>"94974"</f>
        <v>94974</v>
      </c>
      <c r="C32251" s="2">
        <v>0</v>
      </c>
      <c r="D32251" s="2">
        <v>4.4744531099686298E-6</v>
      </c>
      <c r="E32251" s="2">
        <v>0</v>
      </c>
      <c r="F32251" s="2">
        <v>4.3268596301833002E-7</v>
      </c>
    </row>
    <row r="32252" spans="1:6" x14ac:dyDescent="0.25">
      <c r="A32252" s="1" t="str">
        <f t="shared" si="1148"/>
        <v>41860</v>
      </c>
      <c r="B32252" s="1" t="str">
        <f>"94017"</f>
        <v>94017</v>
      </c>
      <c r="C32252" s="2">
        <v>5.5946731307081202E-4</v>
      </c>
      <c r="D32252" s="2">
        <v>7.8302929424451002E-4</v>
      </c>
      <c r="E32252" s="2">
        <v>1.39911995354921E-5</v>
      </c>
      <c r="F32252" s="2">
        <v>5.4734774321818795E-4</v>
      </c>
    </row>
    <row r="32253" spans="1:6" x14ac:dyDescent="0.25">
      <c r="A32253" s="1" t="str">
        <f t="shared" ref="A32253:A32292" si="1149">"41860"</f>
        <v>41860</v>
      </c>
      <c r="B32253" s="1" t="str">
        <f>"94030"</f>
        <v>94030</v>
      </c>
      <c r="C32253" s="2">
        <v>4.9930400826448404E-3</v>
      </c>
      <c r="D32253" s="2">
        <v>4.2686282669100696E-3</v>
      </c>
      <c r="E32253" s="2">
        <v>4.16238186180892E-3</v>
      </c>
      <c r="F32253" s="2">
        <v>4.8716112576233797E-3</v>
      </c>
    </row>
    <row r="32254" spans="1:6" x14ac:dyDescent="0.25">
      <c r="A32254" s="1" t="str">
        <f t="shared" si="1149"/>
        <v>41860</v>
      </c>
      <c r="B32254" s="1" t="str">
        <f>"94066"</f>
        <v>94066</v>
      </c>
      <c r="C32254" s="2">
        <v>8.8784582973167603E-3</v>
      </c>
      <c r="D32254" s="2">
        <v>7.0964826324102503E-3</v>
      </c>
      <c r="E32254" s="2">
        <v>1.20534183998265E-2</v>
      </c>
      <c r="F32254" s="2">
        <v>8.9025136891021494E-3</v>
      </c>
    </row>
    <row r="32255" spans="1:6" x14ac:dyDescent="0.25">
      <c r="A32255" s="1" t="str">
        <f t="shared" si="1149"/>
        <v>41860</v>
      </c>
      <c r="B32255" s="1" t="str">
        <f>"94912"</f>
        <v>94912</v>
      </c>
      <c r="C32255" s="2">
        <v>1.30456670336456E-3</v>
      </c>
      <c r="D32255" s="2">
        <v>2.2148542894344699E-3</v>
      </c>
      <c r="E32255" s="2">
        <v>1.39911995354921E-5</v>
      </c>
      <c r="F32255" s="2">
        <v>1.3127692117976099E-3</v>
      </c>
    </row>
    <row r="32256" spans="1:6" x14ac:dyDescent="0.25">
      <c r="A32256" s="1" t="str">
        <f t="shared" si="1149"/>
        <v>41860</v>
      </c>
      <c r="B32256" s="1" t="str">
        <f>"94620"</f>
        <v>94620</v>
      </c>
      <c r="C32256" s="2">
        <v>6.2065905043793201E-4</v>
      </c>
      <c r="D32256" s="2">
        <v>7.5618257558469903E-4</v>
      </c>
      <c r="E32256" s="2">
        <v>1.39911995354921E-5</v>
      </c>
      <c r="F32256" s="2">
        <v>5.9624125703925898E-4</v>
      </c>
    </row>
    <row r="32257" spans="1:6" x14ac:dyDescent="0.25">
      <c r="A32257" s="1" t="str">
        <f t="shared" si="1149"/>
        <v>41860</v>
      </c>
      <c r="B32257" s="1" t="str">
        <f>"94948"</f>
        <v>94948</v>
      </c>
      <c r="C32257" s="2">
        <v>1.04180218408222E-3</v>
      </c>
      <c r="D32257" s="2">
        <v>2.8412777248300802E-3</v>
      </c>
      <c r="E32257" s="2">
        <v>1.39911995354921E-5</v>
      </c>
      <c r="F32257" s="2">
        <v>1.1522427195178101E-3</v>
      </c>
    </row>
    <row r="32258" spans="1:6" x14ac:dyDescent="0.25">
      <c r="A32258" s="1" t="str">
        <f t="shared" si="1149"/>
        <v>41860</v>
      </c>
      <c r="B32258" s="1" t="str">
        <f>"94914"</f>
        <v>94914</v>
      </c>
      <c r="C32258" s="2">
        <v>2.2111300057026499E-4</v>
      </c>
      <c r="D32258" s="2">
        <v>5.14562107646392E-4</v>
      </c>
      <c r="E32258" s="2">
        <v>1.39911995354921E-5</v>
      </c>
      <c r="F32258" s="2">
        <v>2.36679221771026E-4</v>
      </c>
    </row>
    <row r="32259" spans="1:6" x14ac:dyDescent="0.25">
      <c r="A32259" s="1" t="str">
        <f t="shared" si="1149"/>
        <v>41860</v>
      </c>
      <c r="B32259" s="1" t="str">
        <f>"94147"</f>
        <v>94147</v>
      </c>
      <c r="C32259" s="2">
        <v>1.11019294937489E-3</v>
      </c>
      <c r="D32259" s="2">
        <v>1.3065403081108399E-3</v>
      </c>
      <c r="E32259" s="2">
        <v>2.7982399070984301E-5</v>
      </c>
      <c r="F32259" s="2">
        <v>1.06224403921E-3</v>
      </c>
    </row>
    <row r="32260" spans="1:6" x14ac:dyDescent="0.25">
      <c r="A32260" s="1" t="str">
        <f t="shared" si="1149"/>
        <v>41860</v>
      </c>
      <c r="B32260" s="1" t="str">
        <f>"95377"</f>
        <v>95377</v>
      </c>
      <c r="C32260" s="2">
        <v>1.0284325607919299E-5</v>
      </c>
      <c r="D32260" s="2">
        <v>8.9489062199372595E-6</v>
      </c>
      <c r="E32260" s="2">
        <v>0</v>
      </c>
      <c r="F32260" s="2">
        <v>9.5190911864032699E-6</v>
      </c>
    </row>
    <row r="32261" spans="1:6" x14ac:dyDescent="0.25">
      <c r="A32261" s="1" t="str">
        <f t="shared" si="1149"/>
        <v>41860</v>
      </c>
      <c r="B32261" s="1" t="str">
        <f>"94945"</f>
        <v>94945</v>
      </c>
      <c r="C32261" s="2">
        <v>3.6303669395955202E-3</v>
      </c>
      <c r="D32261" s="2">
        <v>5.1321977171340204E-3</v>
      </c>
      <c r="E32261" s="2">
        <v>4.2603202585573601E-3</v>
      </c>
      <c r="F32261" s="2">
        <v>3.8145594499696001E-3</v>
      </c>
    </row>
    <row r="32262" spans="1:6" x14ac:dyDescent="0.25">
      <c r="A32262" s="1" t="str">
        <f t="shared" si="1149"/>
        <v>41860</v>
      </c>
      <c r="B32262" s="1" t="str">
        <f>"94947"</f>
        <v>94947</v>
      </c>
      <c r="C32262" s="2">
        <v>4.9920116500840397E-3</v>
      </c>
      <c r="D32262" s="2">
        <v>1.6823943693482001E-3</v>
      </c>
      <c r="E32262" s="2">
        <v>4.2883026576283501E-3</v>
      </c>
      <c r="F32262" s="2">
        <v>4.6284417464070799E-3</v>
      </c>
    </row>
    <row r="32263" spans="1:6" x14ac:dyDescent="0.25">
      <c r="A32263" s="1" t="str">
        <f t="shared" si="1149"/>
        <v>41860</v>
      </c>
      <c r="B32263" s="1" t="str">
        <f>"94904"</f>
        <v>94904</v>
      </c>
      <c r="C32263" s="2">
        <v>2.9212626889294799E-3</v>
      </c>
      <c r="D32263" s="2">
        <v>2.5235915540223002E-3</v>
      </c>
      <c r="E32263" s="2">
        <v>3.5887426808537399E-3</v>
      </c>
      <c r="F32263" s="2">
        <v>2.9240917380778698E-3</v>
      </c>
    </row>
    <row r="32264" spans="1:6" x14ac:dyDescent="0.25">
      <c r="A32264" s="1" t="str">
        <f t="shared" si="1149"/>
        <v>41860</v>
      </c>
      <c r="B32264" s="1" t="str">
        <f>"94110"</f>
        <v>94110</v>
      </c>
      <c r="C32264" s="2">
        <v>1.50685938807234E-2</v>
      </c>
      <c r="D32264" s="2">
        <v>1.4609089404047501E-2</v>
      </c>
      <c r="E32264" s="2">
        <v>2.1721337278851598E-2</v>
      </c>
      <c r="F32264" s="2">
        <v>1.54356390447159E-2</v>
      </c>
    </row>
    <row r="32265" spans="1:6" x14ac:dyDescent="0.25">
      <c r="A32265" s="1" t="str">
        <f t="shared" si="1149"/>
        <v>41860</v>
      </c>
      <c r="B32265" s="1" t="str">
        <f>"94115"</f>
        <v>94115</v>
      </c>
      <c r="C32265" s="2">
        <v>1.07424923137521E-2</v>
      </c>
      <c r="D32265" s="2">
        <v>7.9197820046444795E-3</v>
      </c>
      <c r="E32265" s="2">
        <v>2.3680105213820499E-2</v>
      </c>
      <c r="F32265" s="2">
        <v>1.12697385927754E-2</v>
      </c>
    </row>
    <row r="32266" spans="1:6" x14ac:dyDescent="0.25">
      <c r="A32266" s="1" t="str">
        <f t="shared" si="1149"/>
        <v>41860</v>
      </c>
      <c r="B32266" s="1" t="str">
        <f>"94117"</f>
        <v>94117</v>
      </c>
      <c r="C32266" s="2">
        <v>1.0180453919279299E-2</v>
      </c>
      <c r="D32266" s="2">
        <v>4.7921392807764003E-3</v>
      </c>
      <c r="E32266" s="2">
        <v>1.81465857975333E-2</v>
      </c>
      <c r="F32266" s="2">
        <v>1.0152110750299001E-2</v>
      </c>
    </row>
    <row r="32267" spans="1:6" x14ac:dyDescent="0.25">
      <c r="A32267" s="1" t="str">
        <f t="shared" si="1149"/>
        <v>41860</v>
      </c>
      <c r="B32267" s="1" t="str">
        <f>"94123"</f>
        <v>94123</v>
      </c>
      <c r="C32267" s="2">
        <v>8.1395295023877594E-3</v>
      </c>
      <c r="D32267" s="2">
        <v>6.2508109946261799E-3</v>
      </c>
      <c r="E32267" s="2">
        <v>1.5061526299957301E-2</v>
      </c>
      <c r="F32267" s="2">
        <v>8.3850212773322295E-3</v>
      </c>
    </row>
    <row r="32268" spans="1:6" x14ac:dyDescent="0.25">
      <c r="A32268" s="1" t="str">
        <f t="shared" si="1149"/>
        <v>41860</v>
      </c>
      <c r="B32268" s="1" t="str">
        <f>"94612"</f>
        <v>94612</v>
      </c>
      <c r="C32268" s="2">
        <v>6.35159949545098E-3</v>
      </c>
      <c r="D32268" s="2">
        <v>1.97144404025218E-2</v>
      </c>
      <c r="E32268" s="2">
        <v>5.4565678188419403E-3</v>
      </c>
      <c r="F32268" s="2">
        <v>7.5884464194154802E-3</v>
      </c>
    </row>
    <row r="32269" spans="1:6" x14ac:dyDescent="0.25">
      <c r="A32269" s="1" t="str">
        <f t="shared" si="1149"/>
        <v>41860</v>
      </c>
      <c r="B32269" s="1" t="str">
        <f>"94618"</f>
        <v>94618</v>
      </c>
      <c r="C32269" s="2">
        <v>4.0242566103788303E-3</v>
      </c>
      <c r="D32269" s="2">
        <v>2.49227038225252E-3</v>
      </c>
      <c r="E32269" s="2">
        <v>2.7702575080274499E-3</v>
      </c>
      <c r="F32269" s="2">
        <v>3.7985500693379199E-3</v>
      </c>
    </row>
    <row r="32270" spans="1:6" x14ac:dyDescent="0.25">
      <c r="A32270" s="1" t="str">
        <f t="shared" si="1149"/>
        <v>41860</v>
      </c>
      <c r="B32270" s="1" t="str">
        <f>"94604"</f>
        <v>94604</v>
      </c>
      <c r="C32270" s="2">
        <v>1.67428820896926E-3</v>
      </c>
      <c r="D32270" s="2">
        <v>1.4541972607397999E-3</v>
      </c>
      <c r="E32270" s="2">
        <v>6.9955997677460803E-6</v>
      </c>
      <c r="F32270" s="2">
        <v>1.5498811195316601E-3</v>
      </c>
    </row>
    <row r="32271" spans="1:6" x14ac:dyDescent="0.25">
      <c r="A32271" s="1" t="str">
        <f t="shared" si="1149"/>
        <v>41860</v>
      </c>
      <c r="B32271" s="1" t="str">
        <f>"94803"</f>
        <v>94803</v>
      </c>
      <c r="C32271" s="2">
        <v>5.0485754409275996E-3</v>
      </c>
      <c r="D32271" s="2">
        <v>1.8524235875270101E-3</v>
      </c>
      <c r="E32271" s="2">
        <v>2.8052355068661802E-3</v>
      </c>
      <c r="F32271" s="2">
        <v>4.60074984477391E-3</v>
      </c>
    </row>
    <row r="32272" spans="1:6" x14ac:dyDescent="0.25">
      <c r="A32272" s="1" t="str">
        <f t="shared" si="1149"/>
        <v>41860</v>
      </c>
      <c r="B32272" s="1" t="str">
        <f>"94520"</f>
        <v>94520</v>
      </c>
      <c r="C32272" s="2">
        <v>7.0740733694073096E-3</v>
      </c>
      <c r="D32272" s="2">
        <v>1.5043111355714499E-2</v>
      </c>
      <c r="E32272" s="2">
        <v>1.0997082834896799E-2</v>
      </c>
      <c r="F32272" s="2">
        <v>8.0873333347756104E-3</v>
      </c>
    </row>
    <row r="32273" spans="1:6" x14ac:dyDescent="0.25">
      <c r="A32273" s="1" t="str">
        <f t="shared" si="1149"/>
        <v>41860</v>
      </c>
      <c r="B32273" s="1" t="str">
        <f>"94509"</f>
        <v>94509</v>
      </c>
      <c r="C32273" s="2">
        <v>1.2539678213736E-2</v>
      </c>
      <c r="D32273" s="2">
        <v>8.5954244242497403E-3</v>
      </c>
      <c r="E32273" s="2">
        <v>6.7997229742491902E-3</v>
      </c>
      <c r="F32273" s="2">
        <v>1.1803240385176999E-2</v>
      </c>
    </row>
    <row r="32274" spans="1:6" x14ac:dyDescent="0.25">
      <c r="A32274" s="1" t="str">
        <f t="shared" si="1149"/>
        <v>41860</v>
      </c>
      <c r="B32274" s="1" t="str">
        <f>"94550"</f>
        <v>94550</v>
      </c>
      <c r="C32274" s="2">
        <v>9.5042595105586502E-3</v>
      </c>
      <c r="D32274" s="2">
        <v>6.0360372453476798E-3</v>
      </c>
      <c r="E32274" s="2">
        <v>3.8265930729571001E-3</v>
      </c>
      <c r="F32274" s="2">
        <v>8.8177072403505599E-3</v>
      </c>
    </row>
    <row r="32275" spans="1:6" x14ac:dyDescent="0.25">
      <c r="A32275" s="1" t="str">
        <f t="shared" si="1149"/>
        <v>41860</v>
      </c>
      <c r="B32275" s="1" t="str">
        <f>"94549"</f>
        <v>94549</v>
      </c>
      <c r="C32275" s="2">
        <v>6.2389861300442603E-3</v>
      </c>
      <c r="D32275" s="2">
        <v>7.4857600529775201E-3</v>
      </c>
      <c r="E32275" s="2">
        <v>3.7146634766731701E-3</v>
      </c>
      <c r="F32275" s="2">
        <v>6.2034186517938E-3</v>
      </c>
    </row>
    <row r="32276" spans="1:6" x14ac:dyDescent="0.25">
      <c r="A32276" s="1" t="str">
        <f t="shared" si="1149"/>
        <v>41860</v>
      </c>
      <c r="B32276" s="1" t="str">
        <f>"94556"</f>
        <v>94556</v>
      </c>
      <c r="C32276" s="2">
        <v>3.1048379010308398E-3</v>
      </c>
      <c r="D32276" s="2">
        <v>1.76293452532764E-3</v>
      </c>
      <c r="E32276" s="2">
        <v>1.74889994193652E-3</v>
      </c>
      <c r="F32276" s="2">
        <v>2.8912076048884798E-3</v>
      </c>
    </row>
    <row r="32277" spans="1:6" x14ac:dyDescent="0.25">
      <c r="A32277" s="1" t="str">
        <f t="shared" si="1149"/>
        <v>41860</v>
      </c>
      <c r="B32277" s="1" t="str">
        <f>"94560"</f>
        <v>94560</v>
      </c>
      <c r="C32277" s="2">
        <v>8.50513727774929E-3</v>
      </c>
      <c r="D32277" s="2">
        <v>8.4790886433905605E-3</v>
      </c>
      <c r="E32277" s="2">
        <v>6.2820485914359802E-3</v>
      </c>
      <c r="F32277" s="2">
        <v>8.3651177230333797E-3</v>
      </c>
    </row>
    <row r="32278" spans="1:6" x14ac:dyDescent="0.25">
      <c r="A32278" s="1" t="str">
        <f t="shared" si="1149"/>
        <v>41860</v>
      </c>
      <c r="B32278" s="1" t="str">
        <f>"94561"</f>
        <v>94561</v>
      </c>
      <c r="C32278" s="2">
        <v>7.6458818732076297E-3</v>
      </c>
      <c r="D32278" s="2">
        <v>2.5056937415824298E-3</v>
      </c>
      <c r="E32278" s="2">
        <v>9.1642356957473696E-4</v>
      </c>
      <c r="F32278" s="2">
        <v>6.7325935845652203E-3</v>
      </c>
    </row>
    <row r="32279" spans="1:6" x14ac:dyDescent="0.25">
      <c r="A32279" s="1" t="str">
        <f t="shared" si="1149"/>
        <v>41860</v>
      </c>
      <c r="B32279" s="1" t="str">
        <f>"94568"</f>
        <v>94568</v>
      </c>
      <c r="C32279" s="2">
        <v>1.2410095711076201E-2</v>
      </c>
      <c r="D32279" s="2">
        <v>8.1300813008130003E-3</v>
      </c>
      <c r="E32279" s="2">
        <v>4.8619418385835297E-3</v>
      </c>
      <c r="F32279" s="2">
        <v>1.15293501705864E-2</v>
      </c>
    </row>
    <row r="32280" spans="1:6" x14ac:dyDescent="0.25">
      <c r="A32280" s="1" t="str">
        <f t="shared" si="1149"/>
        <v>41860</v>
      </c>
      <c r="B32280" s="1" t="str">
        <f>"94553"</f>
        <v>94553</v>
      </c>
      <c r="C32280" s="2">
        <v>1.1212485994034E-2</v>
      </c>
      <c r="D32280" s="2">
        <v>9.0160230165867907E-3</v>
      </c>
      <c r="E32280" s="2">
        <v>4.95288463556423E-3</v>
      </c>
      <c r="F32280" s="2">
        <v>1.06129213009136E-2</v>
      </c>
    </row>
    <row r="32281" spans="1:6" x14ac:dyDescent="0.25">
      <c r="A32281" s="1" t="str">
        <f t="shared" si="1149"/>
        <v>41860</v>
      </c>
      <c r="B32281" s="1" t="str">
        <f>"94555"</f>
        <v>94555</v>
      </c>
      <c r="C32281" s="2">
        <v>6.06312416214884E-3</v>
      </c>
      <c r="D32281" s="2">
        <v>9.8885413730306795E-4</v>
      </c>
      <c r="E32281" s="2">
        <v>1.3291639558717501E-4</v>
      </c>
      <c r="F32281" s="2">
        <v>5.2056448210735301E-3</v>
      </c>
    </row>
    <row r="32282" spans="1:6" x14ac:dyDescent="0.25">
      <c r="A32282" s="1" t="str">
        <f t="shared" si="1149"/>
        <v>41860</v>
      </c>
      <c r="B32282" s="1" t="str">
        <f>"94015"</f>
        <v>94015</v>
      </c>
      <c r="C32282" s="2">
        <v>1.0790828644109299E-2</v>
      </c>
      <c r="D32282" s="2">
        <v>6.1523730262068701E-3</v>
      </c>
      <c r="E32282" s="2">
        <v>1.22283083940201E-2</v>
      </c>
      <c r="F32282" s="2">
        <v>1.04311931964459E-2</v>
      </c>
    </row>
    <row r="32283" spans="1:6" x14ac:dyDescent="0.25">
      <c r="A32283" s="1" t="str">
        <f t="shared" si="1149"/>
        <v>41860</v>
      </c>
      <c r="B32283" s="1" t="str">
        <f>"94028"</f>
        <v>94028</v>
      </c>
      <c r="C32283" s="2">
        <v>1.4927698619894899E-3</v>
      </c>
      <c r="D32283" s="2">
        <v>5.9957671673579603E-4</v>
      </c>
      <c r="E32283" s="2">
        <v>1.8538339384527099E-3</v>
      </c>
      <c r="F32283" s="2">
        <v>1.4287290498865199E-3</v>
      </c>
    </row>
    <row r="32284" spans="1:6" x14ac:dyDescent="0.25">
      <c r="A32284" s="1" t="str">
        <f t="shared" si="1149"/>
        <v>41860</v>
      </c>
      <c r="B32284" s="1" t="str">
        <f>"94929"</f>
        <v>94929</v>
      </c>
      <c r="C32284" s="2">
        <v>0</v>
      </c>
      <c r="D32284" s="2">
        <v>4.4744531099686298E-6</v>
      </c>
      <c r="E32284" s="2">
        <v>0</v>
      </c>
      <c r="F32284" s="2">
        <v>4.3268596301833002E-7</v>
      </c>
    </row>
    <row r="32285" spans="1:6" x14ac:dyDescent="0.25">
      <c r="A32285" s="1" t="str">
        <f t="shared" si="1149"/>
        <v>41860</v>
      </c>
      <c r="B32285" s="1" t="str">
        <f>"94543"</f>
        <v>94543</v>
      </c>
      <c r="C32285" s="2">
        <v>2.4630959830966798E-4</v>
      </c>
      <c r="D32285" s="2">
        <v>5.5483218563611E-4</v>
      </c>
      <c r="E32285" s="2">
        <v>1.39911995354921E-5</v>
      </c>
      <c r="F32285" s="2">
        <v>2.6177500762608998E-4</v>
      </c>
    </row>
    <row r="32286" spans="1:6" x14ac:dyDescent="0.25">
      <c r="A32286" s="1" t="str">
        <f t="shared" si="1149"/>
        <v>41860</v>
      </c>
      <c r="B32286" s="1" t="str">
        <f>"94613"</f>
        <v>94613</v>
      </c>
      <c r="C32286" s="2">
        <v>0</v>
      </c>
      <c r="D32286" s="2">
        <v>4.4744531099686298E-6</v>
      </c>
      <c r="E32286" s="2">
        <v>0</v>
      </c>
      <c r="F32286" s="2">
        <v>4.3268596301833002E-7</v>
      </c>
    </row>
    <row r="32287" spans="1:6" x14ac:dyDescent="0.25">
      <c r="A32287" s="1" t="str">
        <f t="shared" si="1149"/>
        <v>41860</v>
      </c>
      <c r="B32287" s="1" t="str">
        <f>"94575"</f>
        <v>94575</v>
      </c>
      <c r="C32287" s="2">
        <v>0</v>
      </c>
      <c r="D32287" s="2">
        <v>8.9489062199372595E-6</v>
      </c>
      <c r="E32287" s="2">
        <v>0</v>
      </c>
      <c r="F32287" s="2">
        <v>8.6537192603666099E-7</v>
      </c>
    </row>
    <row r="32288" spans="1:6" x14ac:dyDescent="0.25">
      <c r="A32288" s="1" t="str">
        <f t="shared" si="1149"/>
        <v>41860</v>
      </c>
      <c r="B32288" s="1" t="str">
        <f>"94140"</f>
        <v>94140</v>
      </c>
      <c r="C32288" s="2">
        <v>4.71536329123101E-4</v>
      </c>
      <c r="D32288" s="2">
        <v>5.2351101386633001E-4</v>
      </c>
      <c r="E32288" s="2">
        <v>1.39911995354921E-5</v>
      </c>
      <c r="F32288" s="2">
        <v>4.4826265768698999E-4</v>
      </c>
    </row>
    <row r="32289" spans="1:6" x14ac:dyDescent="0.25">
      <c r="A32289" s="1" t="str">
        <f t="shared" si="1149"/>
        <v>41860</v>
      </c>
      <c r="B32289" s="1" t="str">
        <f>"94913"</f>
        <v>94913</v>
      </c>
      <c r="C32289" s="2">
        <v>1.3163936778136701E-4</v>
      </c>
      <c r="D32289" s="2">
        <v>6.1747452917567097E-4</v>
      </c>
      <c r="E32289" s="2">
        <v>1.39911995354921E-5</v>
      </c>
      <c r="F32289" s="2">
        <v>1.7134364135525801E-4</v>
      </c>
    </row>
    <row r="32290" spans="1:6" x14ac:dyDescent="0.25">
      <c r="A32290" s="1" t="str">
        <f t="shared" si="1149"/>
        <v>41860</v>
      </c>
      <c r="B32290" s="1" t="str">
        <f>"94129"</f>
        <v>94129</v>
      </c>
      <c r="C32290" s="2">
        <v>9.996364490897601E-4</v>
      </c>
      <c r="D32290" s="2">
        <v>2.8681244434898899E-3</v>
      </c>
      <c r="E32290" s="2">
        <v>6.89766137099764E-3</v>
      </c>
      <c r="F32290" s="2">
        <v>1.5451215739384499E-3</v>
      </c>
    </row>
    <row r="32291" spans="1:6" x14ac:dyDescent="0.25">
      <c r="A32291" s="1" t="str">
        <f t="shared" si="1149"/>
        <v>41860</v>
      </c>
      <c r="B32291" s="1" t="str">
        <f>"94132"</f>
        <v>94132</v>
      </c>
      <c r="C32291" s="2">
        <v>6.3623980373393001E-3</v>
      </c>
      <c r="D32291" s="2">
        <v>3.19028506740763E-3</v>
      </c>
      <c r="E32291" s="2">
        <v>2.9101695033823699E-3</v>
      </c>
      <c r="F32291" s="2">
        <v>5.8421258726735004E-3</v>
      </c>
    </row>
    <row r="32292" spans="1:6" x14ac:dyDescent="0.25">
      <c r="A32292" s="1" t="str">
        <f t="shared" si="1149"/>
        <v>41860</v>
      </c>
      <c r="B32292" s="1" t="str">
        <f>"94143"</f>
        <v>94143</v>
      </c>
      <c r="C32292" s="2">
        <v>0</v>
      </c>
      <c r="D32292" s="2">
        <v>1.8792703061868199E-4</v>
      </c>
      <c r="E32292" s="2">
        <v>0</v>
      </c>
      <c r="F32292" s="2">
        <v>1.8172810446769799E-5</v>
      </c>
    </row>
    <row r="32293" spans="1:6" x14ac:dyDescent="0.25">
      <c r="A32293" s="1" t="str">
        <f t="shared" ref="A32293:A32324" si="1150">"41884"</f>
        <v>41884</v>
      </c>
      <c r="B32293" s="1" t="str">
        <f>"94158"</f>
        <v>94158</v>
      </c>
      <c r="C32293" s="2">
        <v>4.15526250311022E-2</v>
      </c>
      <c r="D32293" s="2">
        <v>3.87096774193548E-3</v>
      </c>
      <c r="E32293" s="2">
        <v>7.9744816586921792E-3</v>
      </c>
      <c r="F32293" s="2">
        <v>2.9761904761904701E-2</v>
      </c>
    </row>
    <row r="32294" spans="1:6" x14ac:dyDescent="0.25">
      <c r="A32294" s="1" t="str">
        <f t="shared" si="1150"/>
        <v>41884</v>
      </c>
      <c r="B32294" s="1" t="str">
        <f>"94105"</f>
        <v>94105</v>
      </c>
      <c r="C32294" s="2">
        <v>0.13137596417019101</v>
      </c>
      <c r="D32294" s="2">
        <v>7.8709677419354807E-2</v>
      </c>
      <c r="E32294" s="2">
        <v>3.3492822966507102E-2</v>
      </c>
      <c r="F32294" s="2">
        <v>0.10433201058201</v>
      </c>
    </row>
    <row r="32295" spans="1:6" x14ac:dyDescent="0.25">
      <c r="A32295" s="1" t="str">
        <f t="shared" si="1150"/>
        <v>41884</v>
      </c>
      <c r="B32295" s="1" t="str">
        <f>"94038"</f>
        <v>94038</v>
      </c>
      <c r="C32295" s="2">
        <v>4.9763622791739197E-4</v>
      </c>
      <c r="D32295" s="2">
        <v>9.0322580645161195E-3</v>
      </c>
      <c r="E32295" s="2">
        <v>7.9744816586921796E-4</v>
      </c>
      <c r="F32295" s="2">
        <v>1.6534391534391501E-3</v>
      </c>
    </row>
    <row r="32296" spans="1:6" x14ac:dyDescent="0.25">
      <c r="A32296" s="1" t="str">
        <f t="shared" si="1150"/>
        <v>41884</v>
      </c>
      <c r="B32296" s="1" t="str">
        <f>"94130"</f>
        <v>94130</v>
      </c>
      <c r="C32296" s="2">
        <v>2.4881811395869598E-4</v>
      </c>
      <c r="D32296" s="2">
        <v>0</v>
      </c>
      <c r="E32296" s="2">
        <v>7.9744816586921796E-4</v>
      </c>
      <c r="F32296" s="2">
        <v>3.3068783068783002E-4</v>
      </c>
    </row>
    <row r="32297" spans="1:6" x14ac:dyDescent="0.25">
      <c r="A32297" s="1" t="str">
        <f t="shared" si="1150"/>
        <v>41884</v>
      </c>
      <c r="B32297" s="1" t="str">
        <f>"94063"</f>
        <v>94063</v>
      </c>
      <c r="C32297" s="2">
        <v>6.2204528489673998E-2</v>
      </c>
      <c r="D32297" s="2">
        <v>7.7419354838709599E-3</v>
      </c>
      <c r="E32297" s="2">
        <v>3.5885167464114798E-2</v>
      </c>
      <c r="F32297" s="2">
        <v>4.9768518518518497E-2</v>
      </c>
    </row>
    <row r="32298" spans="1:6" x14ac:dyDescent="0.25">
      <c r="A32298" s="1" t="str">
        <f t="shared" si="1150"/>
        <v>41884</v>
      </c>
      <c r="B32298" s="1" t="str">
        <f>"94403"</f>
        <v>94403</v>
      </c>
      <c r="C32298" s="2">
        <v>4.2299079372978303E-3</v>
      </c>
      <c r="D32298" s="2">
        <v>7.7419354838709599E-3</v>
      </c>
      <c r="E32298" s="2">
        <v>0.163476874003189</v>
      </c>
      <c r="F32298" s="2">
        <v>3.7698412698412599E-2</v>
      </c>
    </row>
    <row r="32299" spans="1:6" x14ac:dyDescent="0.25">
      <c r="A32299" s="1" t="str">
        <f t="shared" si="1150"/>
        <v>41884</v>
      </c>
      <c r="B32299" s="1" t="str">
        <f>"94127"</f>
        <v>94127</v>
      </c>
      <c r="C32299" s="2">
        <v>0</v>
      </c>
      <c r="D32299" s="2">
        <v>0</v>
      </c>
      <c r="E32299" s="2">
        <v>1.5948963317384301E-3</v>
      </c>
      <c r="F32299" s="2">
        <v>3.3068783068783002E-4</v>
      </c>
    </row>
    <row r="32300" spans="1:6" x14ac:dyDescent="0.25">
      <c r="A32300" s="1" t="str">
        <f t="shared" si="1150"/>
        <v>41884</v>
      </c>
      <c r="B32300" s="1" t="str">
        <f>"94188"</f>
        <v>94188</v>
      </c>
      <c r="C32300" s="2">
        <v>0</v>
      </c>
      <c r="D32300" s="2">
        <v>0</v>
      </c>
      <c r="E32300" s="2">
        <v>7.9744816586921796E-4</v>
      </c>
      <c r="F32300" s="2">
        <v>1.6534391534391501E-4</v>
      </c>
    </row>
    <row r="32301" spans="1:6" x14ac:dyDescent="0.25">
      <c r="A32301" s="1" t="str">
        <f t="shared" si="1150"/>
        <v>41884</v>
      </c>
      <c r="B32301" s="1" t="str">
        <f>"94102"</f>
        <v>94102</v>
      </c>
      <c r="C32301" s="2">
        <v>5.7476984324458802E-2</v>
      </c>
      <c r="D32301" s="2">
        <v>2.4516129032257999E-2</v>
      </c>
      <c r="E32301" s="2">
        <v>0.130781499202551</v>
      </c>
      <c r="F32301" s="2">
        <v>6.8452380952380903E-2</v>
      </c>
    </row>
    <row r="32302" spans="1:6" x14ac:dyDescent="0.25">
      <c r="A32302" s="1" t="str">
        <f t="shared" si="1150"/>
        <v>41884</v>
      </c>
      <c r="B32302" s="1" t="str">
        <f>"94010"</f>
        <v>94010</v>
      </c>
      <c r="C32302" s="2">
        <v>7.4645434187608801E-4</v>
      </c>
      <c r="D32302" s="2">
        <v>1.9354838709677399E-2</v>
      </c>
      <c r="E32302" s="2">
        <v>1.3556618819776701E-2</v>
      </c>
      <c r="F32302" s="2">
        <v>5.7870370370370298E-3</v>
      </c>
    </row>
    <row r="32303" spans="1:6" x14ac:dyDescent="0.25">
      <c r="A32303" s="1" t="str">
        <f t="shared" si="1150"/>
        <v>41884</v>
      </c>
      <c r="B32303" s="1" t="str">
        <f>"94015"</f>
        <v>94015</v>
      </c>
      <c r="C32303" s="2">
        <v>0</v>
      </c>
      <c r="D32303" s="2">
        <v>1.29032258064516E-3</v>
      </c>
      <c r="E32303" s="2">
        <v>1.43540669856459E-2</v>
      </c>
      <c r="F32303" s="2">
        <v>3.1415343915343901E-3</v>
      </c>
    </row>
    <row r="32304" spans="1:6" x14ac:dyDescent="0.25">
      <c r="A32304" s="1" t="str">
        <f t="shared" si="1150"/>
        <v>41884</v>
      </c>
      <c r="B32304" s="1" t="str">
        <f>"94123"</f>
        <v>94123</v>
      </c>
      <c r="C32304" s="2">
        <v>2.4881811395869598E-4</v>
      </c>
      <c r="D32304" s="2">
        <v>0</v>
      </c>
      <c r="E32304" s="2">
        <v>7.9744816586921792E-3</v>
      </c>
      <c r="F32304" s="2">
        <v>1.81878306878306E-3</v>
      </c>
    </row>
    <row r="32305" spans="1:6" x14ac:dyDescent="0.25">
      <c r="A32305" s="1" t="str">
        <f t="shared" si="1150"/>
        <v>41884</v>
      </c>
      <c r="B32305" s="1" t="str">
        <f>"94131"</f>
        <v>94131</v>
      </c>
      <c r="C32305" s="2">
        <v>1.02015426723065E-2</v>
      </c>
      <c r="D32305" s="2">
        <v>1.29032258064516E-3</v>
      </c>
      <c r="E32305" s="2">
        <v>3.1897926634768701E-3</v>
      </c>
      <c r="F32305" s="2">
        <v>7.6058201058201002E-3</v>
      </c>
    </row>
    <row r="32306" spans="1:6" x14ac:dyDescent="0.25">
      <c r="A32306" s="1" t="str">
        <f t="shared" si="1150"/>
        <v>41884</v>
      </c>
      <c r="B32306" s="1" t="str">
        <f>"94134"</f>
        <v>94134</v>
      </c>
      <c r="C32306" s="2">
        <v>0</v>
      </c>
      <c r="D32306" s="2">
        <v>0</v>
      </c>
      <c r="E32306" s="2">
        <v>6.3795853269537402E-3</v>
      </c>
      <c r="F32306" s="2">
        <v>1.3227513227513201E-3</v>
      </c>
    </row>
    <row r="32307" spans="1:6" x14ac:dyDescent="0.25">
      <c r="A32307" s="1" t="str">
        <f t="shared" si="1150"/>
        <v>41884</v>
      </c>
      <c r="B32307" s="1" t="str">
        <f>"94107"</f>
        <v>94107</v>
      </c>
      <c r="C32307" s="2">
        <v>0.174172679771087</v>
      </c>
      <c r="D32307" s="2">
        <v>2.0645161290322501E-2</v>
      </c>
      <c r="E32307" s="2">
        <v>3.11004784688995E-2</v>
      </c>
      <c r="F32307" s="2">
        <v>0.12483465608465601</v>
      </c>
    </row>
    <row r="32308" spans="1:6" x14ac:dyDescent="0.25">
      <c r="A32308" s="1" t="str">
        <f t="shared" si="1150"/>
        <v>41884</v>
      </c>
      <c r="B32308" s="1" t="str">
        <f>"94002"</f>
        <v>94002</v>
      </c>
      <c r="C32308" s="2">
        <v>2.4881811395869598E-4</v>
      </c>
      <c r="D32308" s="2">
        <v>0.24645161290322501</v>
      </c>
      <c r="E32308" s="2">
        <v>3.1897926634768701E-3</v>
      </c>
      <c r="F32308" s="2">
        <v>3.2407407407407399E-2</v>
      </c>
    </row>
    <row r="32309" spans="1:6" x14ac:dyDescent="0.25">
      <c r="A32309" s="1" t="str">
        <f t="shared" si="1150"/>
        <v>41884</v>
      </c>
      <c r="B32309" s="1" t="str">
        <f>"94020"</f>
        <v>94020</v>
      </c>
      <c r="C32309" s="2">
        <v>1.7417267977108701E-3</v>
      </c>
      <c r="D32309" s="2">
        <v>0</v>
      </c>
      <c r="E32309" s="2">
        <v>7.9744816586921796E-4</v>
      </c>
      <c r="F32309" s="2">
        <v>1.3227513227513201E-3</v>
      </c>
    </row>
    <row r="32310" spans="1:6" x14ac:dyDescent="0.25">
      <c r="A32310" s="1" t="str">
        <f t="shared" si="1150"/>
        <v>41884</v>
      </c>
      <c r="B32310" s="1" t="str">
        <f>"94110"</f>
        <v>94110</v>
      </c>
      <c r="C32310" s="2">
        <v>1.0450360786265199E-2</v>
      </c>
      <c r="D32310" s="2">
        <v>5.16129032258064E-3</v>
      </c>
      <c r="E32310" s="2">
        <v>1.2759170653907401E-2</v>
      </c>
      <c r="F32310" s="2">
        <v>1.02513227513227E-2</v>
      </c>
    </row>
    <row r="32311" spans="1:6" x14ac:dyDescent="0.25">
      <c r="A32311" s="1" t="str">
        <f t="shared" si="1150"/>
        <v>41884</v>
      </c>
      <c r="B32311" s="1" t="str">
        <f>"94062"</f>
        <v>94062</v>
      </c>
      <c r="C32311" s="2">
        <v>7.4645434187608801E-4</v>
      </c>
      <c r="D32311" s="2">
        <v>0</v>
      </c>
      <c r="E32311" s="2">
        <v>1.5948963317384299E-2</v>
      </c>
      <c r="F32311" s="2">
        <v>3.8029100529100501E-3</v>
      </c>
    </row>
    <row r="32312" spans="1:6" x14ac:dyDescent="0.25">
      <c r="A32312" s="1" t="str">
        <f t="shared" si="1150"/>
        <v>41884</v>
      </c>
      <c r="B32312" s="1" t="str">
        <f>"94122"</f>
        <v>94122</v>
      </c>
      <c r="C32312" s="2">
        <v>3.23463548146305E-3</v>
      </c>
      <c r="D32312" s="2">
        <v>0</v>
      </c>
      <c r="E32312" s="2">
        <v>8.6921850079744803E-2</v>
      </c>
      <c r="F32312" s="2">
        <v>2.0171957671957601E-2</v>
      </c>
    </row>
    <row r="32313" spans="1:6" x14ac:dyDescent="0.25">
      <c r="A32313" s="1" t="str">
        <f t="shared" si="1150"/>
        <v>41884</v>
      </c>
      <c r="B32313" s="1" t="str">
        <f>"94030"</f>
        <v>94030</v>
      </c>
      <c r="C32313" s="2">
        <v>0</v>
      </c>
      <c r="D32313" s="2">
        <v>0</v>
      </c>
      <c r="E32313" s="2">
        <v>3.1897926634768701E-3</v>
      </c>
      <c r="F32313" s="2">
        <v>6.6137566137566101E-4</v>
      </c>
    </row>
    <row r="32314" spans="1:6" x14ac:dyDescent="0.25">
      <c r="A32314" s="1" t="str">
        <f t="shared" si="1150"/>
        <v>41884</v>
      </c>
      <c r="B32314" s="1" t="str">
        <f>"94118"</f>
        <v>94118</v>
      </c>
      <c r="C32314" s="2">
        <v>1.4929086837521699E-3</v>
      </c>
      <c r="D32314" s="2">
        <v>1.29032258064516E-3</v>
      </c>
      <c r="E32314" s="2">
        <v>5.5821371610845199E-3</v>
      </c>
      <c r="F32314" s="2">
        <v>2.3148148148148099E-3</v>
      </c>
    </row>
    <row r="32315" spans="1:6" x14ac:dyDescent="0.25">
      <c r="A32315" s="1" t="str">
        <f t="shared" si="1150"/>
        <v>41884</v>
      </c>
      <c r="B32315" s="1" t="str">
        <f>"94018"</f>
        <v>94018</v>
      </c>
      <c r="C32315" s="2">
        <v>2.4881811395869598E-4</v>
      </c>
      <c r="D32315" s="2">
        <v>0</v>
      </c>
      <c r="E32315" s="2">
        <v>0</v>
      </c>
      <c r="F32315" s="2">
        <v>1.6534391534391501E-4</v>
      </c>
    </row>
    <row r="32316" spans="1:6" x14ac:dyDescent="0.25">
      <c r="A32316" s="1" t="str">
        <f t="shared" si="1150"/>
        <v>41884</v>
      </c>
      <c r="B32316" s="1" t="str">
        <f>"94133"</f>
        <v>94133</v>
      </c>
      <c r="C32316" s="2">
        <v>2.7369992535456501E-3</v>
      </c>
      <c r="D32316" s="2">
        <v>1.29032258064516E-3</v>
      </c>
      <c r="E32316" s="2">
        <v>2.31259968102073E-2</v>
      </c>
      <c r="F32316" s="2">
        <v>6.7791005291005201E-3</v>
      </c>
    </row>
    <row r="32317" spans="1:6" x14ac:dyDescent="0.25">
      <c r="A32317" s="1" t="str">
        <f t="shared" si="1150"/>
        <v>41884</v>
      </c>
      <c r="B32317" s="1" t="str">
        <f>"94014"</f>
        <v>94014</v>
      </c>
      <c r="C32317" s="2">
        <v>3.3590445384423899E-2</v>
      </c>
      <c r="D32317" s="2">
        <v>0</v>
      </c>
      <c r="E32317" s="2">
        <v>3.1897926634768701E-3</v>
      </c>
      <c r="F32317" s="2">
        <v>2.2982804232804199E-2</v>
      </c>
    </row>
    <row r="32318" spans="1:6" x14ac:dyDescent="0.25">
      <c r="A32318" s="1" t="str">
        <f t="shared" si="1150"/>
        <v>41884</v>
      </c>
      <c r="B32318" s="1" t="str">
        <f>"94037"</f>
        <v>94037</v>
      </c>
      <c r="C32318" s="2">
        <v>1.7417267977108701E-3</v>
      </c>
      <c r="D32318" s="2">
        <v>0</v>
      </c>
      <c r="E32318" s="2">
        <v>0</v>
      </c>
      <c r="F32318" s="2">
        <v>1.1574074074074E-3</v>
      </c>
    </row>
    <row r="32319" spans="1:6" x14ac:dyDescent="0.25">
      <c r="A32319" s="1" t="str">
        <f t="shared" si="1150"/>
        <v>41884</v>
      </c>
      <c r="B32319" s="1" t="str">
        <f>"94115"</f>
        <v>94115</v>
      </c>
      <c r="C32319" s="2">
        <v>1.0450360786265199E-2</v>
      </c>
      <c r="D32319" s="2">
        <v>3.87096774193548E-3</v>
      </c>
      <c r="E32319" s="2">
        <v>1.1961722488038199E-2</v>
      </c>
      <c r="F32319" s="2">
        <v>9.9206349206349201E-3</v>
      </c>
    </row>
    <row r="32320" spans="1:6" x14ac:dyDescent="0.25">
      <c r="A32320" s="1" t="str">
        <f t="shared" si="1150"/>
        <v>41884</v>
      </c>
      <c r="B32320" s="1" t="str">
        <f>"94028"</f>
        <v>94028</v>
      </c>
      <c r="C32320" s="2">
        <v>0</v>
      </c>
      <c r="D32320" s="2">
        <v>1.29032258064516E-3</v>
      </c>
      <c r="E32320" s="2">
        <v>1.5948963317384301E-3</v>
      </c>
      <c r="F32320" s="2">
        <v>4.96031746031746E-4</v>
      </c>
    </row>
    <row r="32321" spans="1:6" x14ac:dyDescent="0.25">
      <c r="A32321" s="1" t="str">
        <f t="shared" si="1150"/>
        <v>41884</v>
      </c>
      <c r="B32321" s="1" t="str">
        <f>"94128"</f>
        <v>94128</v>
      </c>
      <c r="C32321" s="2">
        <v>0</v>
      </c>
      <c r="D32321" s="2">
        <v>0</v>
      </c>
      <c r="E32321" s="2">
        <v>3.9872408293460896E-3</v>
      </c>
      <c r="F32321" s="2">
        <v>8.2671957671957602E-4</v>
      </c>
    </row>
    <row r="32322" spans="1:6" x14ac:dyDescent="0.25">
      <c r="A32322" s="1" t="str">
        <f t="shared" si="1150"/>
        <v>41884</v>
      </c>
      <c r="B32322" s="1" t="str">
        <f>"94025"</f>
        <v>94025</v>
      </c>
      <c r="C32322" s="2">
        <v>4.2299079372978303E-3</v>
      </c>
      <c r="D32322" s="2">
        <v>9.0322580645161195E-3</v>
      </c>
      <c r="E32322" s="2">
        <v>7.1770334928229597E-3</v>
      </c>
      <c r="F32322" s="2">
        <v>5.4563492063492E-3</v>
      </c>
    </row>
    <row r="32323" spans="1:6" x14ac:dyDescent="0.25">
      <c r="A32323" s="1" t="str">
        <f t="shared" si="1150"/>
        <v>41884</v>
      </c>
      <c r="B32323" s="1" t="str">
        <f>"94108"</f>
        <v>94108</v>
      </c>
      <c r="C32323" s="2">
        <v>1.0699178900223901E-2</v>
      </c>
      <c r="D32323" s="2">
        <v>4.5161290322580601E-2</v>
      </c>
      <c r="E32323" s="2">
        <v>1.1961722488038199E-2</v>
      </c>
      <c r="F32323" s="2">
        <v>1.53769841269841E-2</v>
      </c>
    </row>
    <row r="32324" spans="1:6" x14ac:dyDescent="0.25">
      <c r="A32324" s="1" t="str">
        <f t="shared" si="1150"/>
        <v>41884</v>
      </c>
      <c r="B32324" s="1" t="str">
        <f>"94104"</f>
        <v>94104</v>
      </c>
      <c r="C32324" s="2">
        <v>0</v>
      </c>
      <c r="D32324" s="2">
        <v>0.11741935483870899</v>
      </c>
      <c r="E32324" s="2">
        <v>1.7543859649122799E-2</v>
      </c>
      <c r="F32324" s="2">
        <v>1.86838624338624E-2</v>
      </c>
    </row>
    <row r="32325" spans="1:6" x14ac:dyDescent="0.25">
      <c r="A32325" s="1" t="str">
        <f t="shared" ref="A32325:A32349" si="1151">"41884"</f>
        <v>41884</v>
      </c>
      <c r="B32325" s="1" t="str">
        <f>"94116"</f>
        <v>94116</v>
      </c>
      <c r="C32325" s="2">
        <v>0</v>
      </c>
      <c r="D32325" s="2">
        <v>0</v>
      </c>
      <c r="E32325" s="2">
        <v>1.5948963317384301E-3</v>
      </c>
      <c r="F32325" s="2">
        <v>3.3068783068783002E-4</v>
      </c>
    </row>
    <row r="32326" spans="1:6" x14ac:dyDescent="0.25">
      <c r="A32326" s="1" t="str">
        <f t="shared" si="1151"/>
        <v>41884</v>
      </c>
      <c r="B32326" s="1" t="str">
        <f>"94070"</f>
        <v>94070</v>
      </c>
      <c r="C32326" s="2">
        <v>3.9810898233391297E-3</v>
      </c>
      <c r="D32326" s="2">
        <v>2.58064516129032E-3</v>
      </c>
      <c r="E32326" s="2">
        <v>9.5693779904306199E-3</v>
      </c>
      <c r="F32326" s="2">
        <v>4.96031746031746E-3</v>
      </c>
    </row>
    <row r="32327" spans="1:6" x14ac:dyDescent="0.25">
      <c r="A32327" s="1" t="str">
        <f t="shared" si="1151"/>
        <v>41884</v>
      </c>
      <c r="B32327" s="1" t="str">
        <f>"94080"</f>
        <v>94080</v>
      </c>
      <c r="C32327" s="2">
        <v>6.0462801691963101E-2</v>
      </c>
      <c r="D32327" s="2">
        <v>2.58064516129032E-3</v>
      </c>
      <c r="E32327" s="2">
        <v>2.6315789473684199E-2</v>
      </c>
      <c r="F32327" s="2">
        <v>4.5965608465608397E-2</v>
      </c>
    </row>
    <row r="32328" spans="1:6" x14ac:dyDescent="0.25">
      <c r="A32328" s="1" t="str">
        <f t="shared" si="1151"/>
        <v>41884</v>
      </c>
      <c r="B32328" s="1" t="str">
        <f>"94404"</f>
        <v>94404</v>
      </c>
      <c r="C32328" s="2">
        <v>0.174919134112963</v>
      </c>
      <c r="D32328" s="2">
        <v>0.26967741935483802</v>
      </c>
      <c r="E32328" s="2">
        <v>3.9872408293460896E-3</v>
      </c>
      <c r="F32328" s="2">
        <v>0.15162037037036999</v>
      </c>
    </row>
    <row r="32329" spans="1:6" x14ac:dyDescent="0.25">
      <c r="A32329" s="1" t="str">
        <f t="shared" si="1151"/>
        <v>41884</v>
      </c>
      <c r="B32329" s="1" t="str">
        <f>"94109"</f>
        <v>94109</v>
      </c>
      <c r="C32329" s="2">
        <v>9.9527245583478398E-3</v>
      </c>
      <c r="D32329" s="2">
        <v>1.03225806451612E-2</v>
      </c>
      <c r="E32329" s="2">
        <v>1.2759170653907401E-2</v>
      </c>
      <c r="F32329" s="2">
        <v>1.05820105820105E-2</v>
      </c>
    </row>
    <row r="32330" spans="1:6" x14ac:dyDescent="0.25">
      <c r="A32330" s="1" t="str">
        <f t="shared" si="1151"/>
        <v>41884</v>
      </c>
      <c r="B32330" s="1" t="str">
        <f>"94132"</f>
        <v>94132</v>
      </c>
      <c r="C32330" s="2">
        <v>0</v>
      </c>
      <c r="D32330" s="2">
        <v>0</v>
      </c>
      <c r="E32330" s="2">
        <v>6.7783094098883501E-2</v>
      </c>
      <c r="F32330" s="2">
        <v>1.40542328042328E-2</v>
      </c>
    </row>
    <row r="32331" spans="1:6" x14ac:dyDescent="0.25">
      <c r="A32331" s="1" t="str">
        <f t="shared" si="1151"/>
        <v>41884</v>
      </c>
      <c r="B32331" s="1" t="str">
        <f>"94401"</f>
        <v>94401</v>
      </c>
      <c r="C32331" s="2">
        <v>0</v>
      </c>
      <c r="D32331" s="2">
        <v>3.87096774193548E-3</v>
      </c>
      <c r="E32331" s="2">
        <v>1.43540669856459E-2</v>
      </c>
      <c r="F32331" s="2">
        <v>3.4722222222222199E-3</v>
      </c>
    </row>
    <row r="32332" spans="1:6" x14ac:dyDescent="0.25">
      <c r="A32332" s="1" t="str">
        <f t="shared" si="1151"/>
        <v>41884</v>
      </c>
      <c r="B32332" s="1" t="str">
        <f>"94112"</f>
        <v>94112</v>
      </c>
      <c r="C32332" s="2">
        <v>1.4929086837521699E-3</v>
      </c>
      <c r="D32332" s="2">
        <v>0</v>
      </c>
      <c r="E32332" s="2">
        <v>5.5821371610845199E-3</v>
      </c>
      <c r="F32332" s="2">
        <v>2.1494708994708898E-3</v>
      </c>
    </row>
    <row r="32333" spans="1:6" x14ac:dyDescent="0.25">
      <c r="A32333" s="1" t="str">
        <f t="shared" si="1151"/>
        <v>41884</v>
      </c>
      <c r="B32333" s="1" t="str">
        <f>"94066"</f>
        <v>94066</v>
      </c>
      <c r="C32333" s="2">
        <v>2.1398357800447802E-2</v>
      </c>
      <c r="D32333" s="2">
        <v>1.03225806451612E-2</v>
      </c>
      <c r="E32333" s="2">
        <v>1.9936204146730401E-2</v>
      </c>
      <c r="F32333" s="2">
        <v>1.9675925925925899E-2</v>
      </c>
    </row>
    <row r="32334" spans="1:6" x14ac:dyDescent="0.25">
      <c r="A32334" s="1" t="str">
        <f t="shared" si="1151"/>
        <v>41884</v>
      </c>
      <c r="B32334" s="1" t="str">
        <f>"94111"</f>
        <v>94111</v>
      </c>
      <c r="C32334" s="2">
        <v>2.4881811395869598E-4</v>
      </c>
      <c r="D32334" s="2">
        <v>3.8709677419354799E-2</v>
      </c>
      <c r="E32334" s="2">
        <v>3.7480063795853197E-2</v>
      </c>
      <c r="F32334" s="2">
        <v>1.2896825396825301E-2</v>
      </c>
    </row>
    <row r="32335" spans="1:6" x14ac:dyDescent="0.25">
      <c r="A32335" s="1" t="str">
        <f t="shared" si="1151"/>
        <v>41884</v>
      </c>
      <c r="B32335" s="1" t="str">
        <f>"94103"</f>
        <v>94103</v>
      </c>
      <c r="C32335" s="2">
        <v>1.6173177407315199E-2</v>
      </c>
      <c r="D32335" s="2">
        <v>7.7419354838709599E-3</v>
      </c>
      <c r="E32335" s="2">
        <v>4.2264752791068498E-2</v>
      </c>
      <c r="F32335" s="2">
        <v>2.0502645502645502E-2</v>
      </c>
    </row>
    <row r="32336" spans="1:6" x14ac:dyDescent="0.25">
      <c r="A32336" s="1" t="str">
        <f t="shared" si="1151"/>
        <v>41884</v>
      </c>
      <c r="B32336" s="1" t="str">
        <f>"94005"</f>
        <v>94005</v>
      </c>
      <c r="C32336" s="2">
        <v>7.4645434187608801E-4</v>
      </c>
      <c r="D32336" s="2">
        <v>0</v>
      </c>
      <c r="E32336" s="2">
        <v>4.78468899521531E-3</v>
      </c>
      <c r="F32336" s="2">
        <v>1.48809523809523E-3</v>
      </c>
    </row>
    <row r="32337" spans="1:6" x14ac:dyDescent="0.25">
      <c r="A32337" s="1" t="str">
        <f t="shared" si="1151"/>
        <v>41884</v>
      </c>
      <c r="B32337" s="1" t="str">
        <f>"94044"</f>
        <v>94044</v>
      </c>
      <c r="C32337" s="2">
        <v>9.7039064443891505E-3</v>
      </c>
      <c r="D32337" s="2">
        <v>0</v>
      </c>
      <c r="E32337" s="2">
        <v>5.5821371610845199E-3</v>
      </c>
      <c r="F32337" s="2">
        <v>7.6058201058201002E-3</v>
      </c>
    </row>
    <row r="32338" spans="1:6" x14ac:dyDescent="0.25">
      <c r="A32338" s="1" t="str">
        <f t="shared" si="1151"/>
        <v>41884</v>
      </c>
      <c r="B32338" s="1" t="str">
        <f>"94121"</f>
        <v>94121</v>
      </c>
      <c r="C32338" s="2">
        <v>2.4881811395869599E-3</v>
      </c>
      <c r="D32338" s="2">
        <v>1.29032258064516E-3</v>
      </c>
      <c r="E32338" s="2">
        <v>7.1770334928229597E-3</v>
      </c>
      <c r="F32338" s="2">
        <v>3.3068783068783002E-3</v>
      </c>
    </row>
    <row r="32339" spans="1:6" x14ac:dyDescent="0.25">
      <c r="A32339" s="1" t="str">
        <f t="shared" si="1151"/>
        <v>41884</v>
      </c>
      <c r="B32339" s="1" t="str">
        <f>"94129"</f>
        <v>94129</v>
      </c>
      <c r="C32339" s="2">
        <v>5.72281662105001E-2</v>
      </c>
      <c r="D32339" s="2">
        <v>2.1935483870967699E-2</v>
      </c>
      <c r="E32339" s="2">
        <v>3.1897926634768701E-3</v>
      </c>
      <c r="F32339" s="2">
        <v>4.1501322751322699E-2</v>
      </c>
    </row>
    <row r="32340" spans="1:6" x14ac:dyDescent="0.25">
      <c r="A32340" s="1" t="str">
        <f t="shared" si="1151"/>
        <v>41884</v>
      </c>
      <c r="B32340" s="1" t="str">
        <f>"94124"</f>
        <v>94124</v>
      </c>
      <c r="C32340" s="2">
        <v>1.9656631002736898E-2</v>
      </c>
      <c r="D32340" s="2">
        <v>1.29032258064516E-3</v>
      </c>
      <c r="E32340" s="2">
        <v>1.8341307814991999E-2</v>
      </c>
      <c r="F32340" s="2">
        <v>1.7030423280423201E-2</v>
      </c>
    </row>
    <row r="32341" spans="1:6" x14ac:dyDescent="0.25">
      <c r="A32341" s="1" t="str">
        <f t="shared" si="1151"/>
        <v>41884</v>
      </c>
      <c r="B32341" s="1" t="str">
        <f>"94021"</f>
        <v>94021</v>
      </c>
      <c r="C32341" s="2">
        <v>0</v>
      </c>
      <c r="D32341" s="2">
        <v>0</v>
      </c>
      <c r="E32341" s="2">
        <v>7.9744816586921796E-4</v>
      </c>
      <c r="F32341" s="2">
        <v>1.6534391534391501E-4</v>
      </c>
    </row>
    <row r="32342" spans="1:6" x14ac:dyDescent="0.25">
      <c r="A32342" s="1" t="str">
        <f t="shared" si="1151"/>
        <v>41884</v>
      </c>
      <c r="B32342" s="1" t="str">
        <f>"94060"</f>
        <v>94060</v>
      </c>
      <c r="C32342" s="2">
        <v>7.4645434187608801E-4</v>
      </c>
      <c r="D32342" s="2">
        <v>0</v>
      </c>
      <c r="E32342" s="2">
        <v>1.5948963317384301E-3</v>
      </c>
      <c r="F32342" s="2">
        <v>8.2671957671957602E-4</v>
      </c>
    </row>
    <row r="32343" spans="1:6" x14ac:dyDescent="0.25">
      <c r="A32343" s="1" t="str">
        <f t="shared" si="1151"/>
        <v>41884</v>
      </c>
      <c r="B32343" s="1" t="str">
        <f>"94114"</f>
        <v>94114</v>
      </c>
      <c r="C32343" s="2">
        <v>1.9905449116695601E-3</v>
      </c>
      <c r="D32343" s="2">
        <v>0</v>
      </c>
      <c r="E32343" s="2">
        <v>1.3556618819776701E-2</v>
      </c>
      <c r="F32343" s="2">
        <v>4.1335978835978799E-3</v>
      </c>
    </row>
    <row r="32344" spans="1:6" x14ac:dyDescent="0.25">
      <c r="A32344" s="1" t="str">
        <f t="shared" si="1151"/>
        <v>41884</v>
      </c>
      <c r="B32344" s="1" t="str">
        <f>"94402"</f>
        <v>94402</v>
      </c>
      <c r="C32344" s="2">
        <v>4.9763622791739202E-2</v>
      </c>
      <c r="D32344" s="2">
        <v>3.87096774193548E-3</v>
      </c>
      <c r="E32344" s="2">
        <v>2.3923444976076502E-3</v>
      </c>
      <c r="F32344" s="2">
        <v>3.40608465608465E-2</v>
      </c>
    </row>
    <row r="32345" spans="1:6" x14ac:dyDescent="0.25">
      <c r="A32345" s="1" t="str">
        <f t="shared" si="1151"/>
        <v>41884</v>
      </c>
      <c r="B32345" s="1" t="str">
        <f>"94061"</f>
        <v>94061</v>
      </c>
      <c r="C32345" s="2">
        <v>2.4881811395869598E-4</v>
      </c>
      <c r="D32345" s="2">
        <v>0</v>
      </c>
      <c r="E32345" s="2">
        <v>1.8341307814991999E-2</v>
      </c>
      <c r="F32345" s="2">
        <v>3.9682539682539602E-3</v>
      </c>
    </row>
    <row r="32346" spans="1:6" x14ac:dyDescent="0.25">
      <c r="A32346" s="1" t="str">
        <f t="shared" si="1151"/>
        <v>41884</v>
      </c>
      <c r="B32346" s="1" t="str">
        <f>"94065"</f>
        <v>94065</v>
      </c>
      <c r="C32346" s="2">
        <v>0</v>
      </c>
      <c r="D32346" s="2">
        <v>9.0322580645161195E-3</v>
      </c>
      <c r="E32346" s="2">
        <v>3.1897926634768701E-3</v>
      </c>
      <c r="F32346" s="2">
        <v>1.81878306878306E-3</v>
      </c>
    </row>
    <row r="32347" spans="1:6" x14ac:dyDescent="0.25">
      <c r="A32347" s="1" t="str">
        <f t="shared" si="1151"/>
        <v>41884</v>
      </c>
      <c r="B32347" s="1" t="str">
        <f>"94019"</f>
        <v>94019</v>
      </c>
      <c r="C32347" s="2">
        <v>2.4881811395869598E-4</v>
      </c>
      <c r="D32347" s="2">
        <v>1.16129032258064E-2</v>
      </c>
      <c r="E32347" s="2">
        <v>7.1770334928229597E-3</v>
      </c>
      <c r="F32347" s="2">
        <v>3.1415343915343901E-3</v>
      </c>
    </row>
    <row r="32348" spans="1:6" x14ac:dyDescent="0.25">
      <c r="A32348" s="1" t="str">
        <f t="shared" si="1151"/>
        <v>41884</v>
      </c>
      <c r="B32348" s="1" t="str">
        <f>"94117"</f>
        <v>94117</v>
      </c>
      <c r="C32348" s="2">
        <v>3.9810898233391297E-3</v>
      </c>
      <c r="D32348" s="2">
        <v>0</v>
      </c>
      <c r="E32348" s="2">
        <v>9.5693779904306199E-3</v>
      </c>
      <c r="F32348" s="2">
        <v>4.6296296296296198E-3</v>
      </c>
    </row>
    <row r="32349" spans="1:6" x14ac:dyDescent="0.25">
      <c r="A32349" s="1" t="str">
        <f t="shared" si="1151"/>
        <v>41884</v>
      </c>
      <c r="B32349" s="1" t="str">
        <f>"94027"</f>
        <v>94027</v>
      </c>
      <c r="C32349" s="2">
        <v>0</v>
      </c>
      <c r="D32349" s="2">
        <v>0</v>
      </c>
      <c r="E32349" s="2">
        <v>1.5948963317384301E-3</v>
      </c>
      <c r="F32349" s="2">
        <v>3.3068783068783002E-4</v>
      </c>
    </row>
    <row r="32350" spans="1:6" x14ac:dyDescent="0.25">
      <c r="A32350" s="1" t="str">
        <f t="shared" ref="A32350:A32357" si="1152">"41900"</f>
        <v>41900</v>
      </c>
      <c r="B32350" s="1" t="str">
        <f>"00683"</f>
        <v>00683</v>
      </c>
      <c r="C32350" s="2">
        <v>0.247741117788952</v>
      </c>
      <c r="D32350" s="2">
        <v>0.31183932346722998</v>
      </c>
      <c r="E32350" s="2">
        <v>0.29921259842519599</v>
      </c>
      <c r="F32350" s="2">
        <v>0.251722026634011</v>
      </c>
    </row>
    <row r="32351" spans="1:6" x14ac:dyDescent="0.25">
      <c r="A32351" s="1" t="str">
        <f t="shared" si="1152"/>
        <v>41900</v>
      </c>
      <c r="B32351" s="1" t="str">
        <f>"00622"</f>
        <v>00622</v>
      </c>
      <c r="C32351" s="2">
        <v>5.8281205282309102E-2</v>
      </c>
      <c r="D32351" s="2">
        <v>2.4665257223396701E-3</v>
      </c>
      <c r="E32351" s="2">
        <v>1.3779527559055101E-2</v>
      </c>
      <c r="F32351" s="2">
        <v>5.481784784938E-2</v>
      </c>
    </row>
    <row r="32352" spans="1:6" x14ac:dyDescent="0.25">
      <c r="A32352" s="1" t="str">
        <f t="shared" si="1152"/>
        <v>41900</v>
      </c>
      <c r="B32352" s="1" t="str">
        <f>"00698"</f>
        <v>00698</v>
      </c>
      <c r="C32352" s="2">
        <v>1.6353898360521601E-4</v>
      </c>
      <c r="D32352" s="2">
        <v>0</v>
      </c>
      <c r="E32352" s="2">
        <v>0</v>
      </c>
      <c r="F32352" s="2">
        <v>1.53069034134394E-4</v>
      </c>
    </row>
    <row r="32353" spans="1:6" x14ac:dyDescent="0.25">
      <c r="A32353" s="1" t="str">
        <f t="shared" si="1152"/>
        <v>41900</v>
      </c>
      <c r="B32353" s="1" t="str">
        <f>"00667"</f>
        <v>00667</v>
      </c>
      <c r="C32353" s="2">
        <v>0.17913651416656401</v>
      </c>
      <c r="D32353" s="2">
        <v>0.164904862579281</v>
      </c>
      <c r="E32353" s="2">
        <v>0.102362204724409</v>
      </c>
      <c r="F32353" s="2">
        <v>0.17761748048369799</v>
      </c>
    </row>
    <row r="32354" spans="1:6" x14ac:dyDescent="0.25">
      <c r="A32354" s="1" t="str">
        <f t="shared" si="1152"/>
        <v>41900</v>
      </c>
      <c r="B32354" s="1" t="str">
        <f>"00637"</f>
        <v>00637</v>
      </c>
      <c r="C32354" s="2">
        <v>0.199762868473772</v>
      </c>
      <c r="D32354" s="2">
        <v>0.18957011980267699</v>
      </c>
      <c r="E32354" s="2">
        <v>0.22244094488188901</v>
      </c>
      <c r="F32354" s="2">
        <v>0.19942981784784899</v>
      </c>
    </row>
    <row r="32355" spans="1:6" x14ac:dyDescent="0.25">
      <c r="A32355" s="1" t="str">
        <f t="shared" si="1152"/>
        <v>41900</v>
      </c>
      <c r="B32355" s="1" t="str">
        <f>"00680"</f>
        <v>00680</v>
      </c>
      <c r="C32355" s="2">
        <v>0</v>
      </c>
      <c r="D32355" s="2">
        <v>3.5236081747709602E-4</v>
      </c>
      <c r="E32355" s="2">
        <v>0</v>
      </c>
      <c r="F32355" s="2">
        <v>1.91336292667993E-5</v>
      </c>
    </row>
    <row r="32356" spans="1:6" x14ac:dyDescent="0.25">
      <c r="A32356" s="1" t="str">
        <f t="shared" si="1152"/>
        <v>41900</v>
      </c>
      <c r="B32356" s="1" t="str">
        <f>"00623"</f>
        <v>00623</v>
      </c>
      <c r="C32356" s="2">
        <v>0.31473077394823901</v>
      </c>
      <c r="D32356" s="2">
        <v>0.33086680761099302</v>
      </c>
      <c r="E32356" s="2">
        <v>0.36220472440944801</v>
      </c>
      <c r="F32356" s="2">
        <v>0.31606842185825801</v>
      </c>
    </row>
    <row r="32357" spans="1:6" x14ac:dyDescent="0.25">
      <c r="A32357" s="1" t="str">
        <f t="shared" si="1152"/>
        <v>41900</v>
      </c>
      <c r="B32357" s="1" t="str">
        <f>"00647"</f>
        <v>00647</v>
      </c>
      <c r="C32357" s="2">
        <v>1.83981356555869E-4</v>
      </c>
      <c r="D32357" s="2">
        <v>0</v>
      </c>
      <c r="E32357" s="2">
        <v>0</v>
      </c>
      <c r="F32357" s="2">
        <v>1.7220266340119299E-4</v>
      </c>
    </row>
    <row r="32358" spans="1:6" x14ac:dyDescent="0.25">
      <c r="A32358" s="1" t="str">
        <f t="shared" ref="A32358:A32389" si="1153">"41940"</f>
        <v>41940</v>
      </c>
      <c r="B32358" s="1" t="str">
        <f>"95013"</f>
        <v>95013</v>
      </c>
      <c r="C32358" s="2">
        <v>3.4115630994837999E-5</v>
      </c>
      <c r="D32358" s="2">
        <v>1.22737035900583E-5</v>
      </c>
      <c r="E32358" s="2">
        <v>1.7520422242176E-4</v>
      </c>
      <c r="F32358" s="2">
        <v>3.9359010402024098E-5</v>
      </c>
    </row>
    <row r="32359" spans="1:6" x14ac:dyDescent="0.25">
      <c r="A32359" s="1" t="str">
        <f t="shared" si="1153"/>
        <v>41940</v>
      </c>
      <c r="B32359" s="1" t="str">
        <f>"94306"</f>
        <v>94306</v>
      </c>
      <c r="C32359" s="2">
        <v>1.6567075266954799E-2</v>
      </c>
      <c r="D32359" s="2">
        <v>1.98343050015342E-2</v>
      </c>
      <c r="E32359" s="2">
        <v>2.8777293532774102E-2</v>
      </c>
      <c r="F32359" s="2">
        <v>1.7493393308968201E-2</v>
      </c>
    </row>
    <row r="32360" spans="1:6" x14ac:dyDescent="0.25">
      <c r="A32360" s="1" t="str">
        <f t="shared" si="1153"/>
        <v>41940</v>
      </c>
      <c r="B32360" s="1" t="str">
        <f>"94089"</f>
        <v>94089</v>
      </c>
      <c r="C32360" s="2">
        <v>1.2084806210094501E-2</v>
      </c>
      <c r="D32360" s="2">
        <v>1.49861920834611E-2</v>
      </c>
      <c r="E32360" s="2">
        <v>1.14320755130198E-2</v>
      </c>
      <c r="F32360" s="2">
        <v>1.2317121169524801E-2</v>
      </c>
    </row>
    <row r="32361" spans="1:6" x14ac:dyDescent="0.25">
      <c r="A32361" s="1" t="str">
        <f t="shared" si="1153"/>
        <v>41940</v>
      </c>
      <c r="B32361" s="1" t="str">
        <f>"94303"</f>
        <v>94303</v>
      </c>
      <c r="C32361" s="2">
        <v>1.0031307652135999E-2</v>
      </c>
      <c r="D32361" s="2">
        <v>1.5280760969622499E-2</v>
      </c>
      <c r="E32361" s="2">
        <v>7.6870852587547301E-3</v>
      </c>
      <c r="F32361" s="2">
        <v>1.03919032892887E-2</v>
      </c>
    </row>
    <row r="32362" spans="1:6" x14ac:dyDescent="0.25">
      <c r="A32362" s="1" t="str">
        <f t="shared" si="1153"/>
        <v>41940</v>
      </c>
      <c r="B32362" s="1" t="str">
        <f>"95130"</f>
        <v>95130</v>
      </c>
      <c r="C32362" s="2">
        <v>6.6748544181054201E-3</v>
      </c>
      <c r="D32362" s="2">
        <v>1.35010739490641E-3</v>
      </c>
      <c r="E32362" s="2">
        <v>7.2928757583057696E-3</v>
      </c>
      <c r="F32362" s="2">
        <v>6.2187236435198197E-3</v>
      </c>
    </row>
    <row r="32363" spans="1:6" x14ac:dyDescent="0.25">
      <c r="A32363" s="1" t="str">
        <f t="shared" si="1153"/>
        <v>41940</v>
      </c>
      <c r="B32363" s="1" t="str">
        <f>"95131"</f>
        <v>95131</v>
      </c>
      <c r="C32363" s="2">
        <v>1.3053165274486399E-2</v>
      </c>
      <c r="D32363" s="2">
        <v>2.85854556612457E-2</v>
      </c>
      <c r="E32363" s="2">
        <v>7.5337815641356902E-3</v>
      </c>
      <c r="F32363" s="2">
        <v>1.41928591509699E-2</v>
      </c>
    </row>
    <row r="32364" spans="1:6" x14ac:dyDescent="0.25">
      <c r="A32364" s="1" t="str">
        <f t="shared" si="1153"/>
        <v>41940</v>
      </c>
      <c r="B32364" s="1" t="str">
        <f>"95070"</f>
        <v>95070</v>
      </c>
      <c r="C32364" s="2">
        <v>1.6780954030499302E-2</v>
      </c>
      <c r="D32364" s="2">
        <v>1.33660632095734E-2</v>
      </c>
      <c r="E32364" s="2">
        <v>4.8619171722038496E-3</v>
      </c>
      <c r="F32364" s="2">
        <v>1.5856058476243998E-2</v>
      </c>
    </row>
    <row r="32365" spans="1:6" x14ac:dyDescent="0.25">
      <c r="A32365" s="1" t="str">
        <f t="shared" si="1153"/>
        <v>41940</v>
      </c>
      <c r="B32365" s="1" t="str">
        <f>"95023"</f>
        <v>95023</v>
      </c>
      <c r="C32365" s="2">
        <v>2.2724946661522999E-2</v>
      </c>
      <c r="D32365" s="2">
        <v>1.85578398281681E-2</v>
      </c>
      <c r="E32365" s="2">
        <v>1.7958432798230398E-2</v>
      </c>
      <c r="F32365" s="2">
        <v>2.2098397526004999E-2</v>
      </c>
    </row>
    <row r="32366" spans="1:6" x14ac:dyDescent="0.25">
      <c r="A32366" s="1" t="str">
        <f t="shared" si="1153"/>
        <v>41940</v>
      </c>
      <c r="B32366" s="1" t="str">
        <f>"95032"</f>
        <v>95032</v>
      </c>
      <c r="C32366" s="2">
        <v>1.6884613063137498E-2</v>
      </c>
      <c r="D32366" s="2">
        <v>1.7465480208652899E-2</v>
      </c>
      <c r="E32366" s="2">
        <v>1.1672981318849701E-2</v>
      </c>
      <c r="F32366" s="2">
        <v>1.66702277199887E-2</v>
      </c>
    </row>
    <row r="32367" spans="1:6" x14ac:dyDescent="0.25">
      <c r="A32367" s="1" t="str">
        <f t="shared" si="1153"/>
        <v>41940</v>
      </c>
      <c r="B32367" s="1" t="str">
        <f>"95038"</f>
        <v>95038</v>
      </c>
      <c r="C32367" s="2">
        <v>1.7858220686144E-3</v>
      </c>
      <c r="D32367" s="2">
        <v>6.0263884627186201E-3</v>
      </c>
      <c r="E32367" s="2">
        <v>4.3801055605440001E-5</v>
      </c>
      <c r="F32367" s="2">
        <v>2.0849030081529301E-3</v>
      </c>
    </row>
    <row r="32368" spans="1:6" x14ac:dyDescent="0.25">
      <c r="A32368" s="1" t="str">
        <f t="shared" si="1153"/>
        <v>41940</v>
      </c>
      <c r="B32368" s="1" t="str">
        <f>"95118"</f>
        <v>95118</v>
      </c>
      <c r="C32368" s="2">
        <v>1.55291728009195E-2</v>
      </c>
      <c r="D32368" s="2">
        <v>8.1865602945688804E-3</v>
      </c>
      <c r="E32368" s="2">
        <v>1.6337793740829099E-2</v>
      </c>
      <c r="F32368" s="2">
        <v>1.48979477087433E-2</v>
      </c>
    </row>
    <row r="32369" spans="1:6" x14ac:dyDescent="0.25">
      <c r="A32369" s="1" t="str">
        <f t="shared" si="1153"/>
        <v>41940</v>
      </c>
      <c r="B32369" s="1" t="str">
        <f>"95045"</f>
        <v>95045</v>
      </c>
      <c r="C32369" s="2">
        <v>2.94444138278525E-3</v>
      </c>
      <c r="D32369" s="2">
        <v>2.4056459036514198E-3</v>
      </c>
      <c r="E32369" s="2">
        <v>6.1321477847616098E-4</v>
      </c>
      <c r="F32369" s="2">
        <v>2.7753725049198701E-3</v>
      </c>
    </row>
    <row r="32370" spans="1:6" x14ac:dyDescent="0.25">
      <c r="A32370" s="1" t="str">
        <f t="shared" si="1153"/>
        <v>41940</v>
      </c>
      <c r="B32370" s="1" t="str">
        <f>"95191"</f>
        <v>95191</v>
      </c>
      <c r="C32370" s="2">
        <v>0</v>
      </c>
      <c r="D32370" s="2">
        <v>1.22737035900583E-5</v>
      </c>
      <c r="E32370" s="2">
        <v>0</v>
      </c>
      <c r="F32370" s="2">
        <v>1.1245431543435401E-6</v>
      </c>
    </row>
    <row r="32371" spans="1:6" x14ac:dyDescent="0.25">
      <c r="A32371" s="1" t="str">
        <f t="shared" si="1153"/>
        <v>41940</v>
      </c>
      <c r="B32371" s="1" t="str">
        <f>"95156"</f>
        <v>95156</v>
      </c>
      <c r="C32371" s="2">
        <v>1.2727754640381799E-3</v>
      </c>
      <c r="D32371" s="2">
        <v>2.1356244246701398E-3</v>
      </c>
      <c r="E32371" s="2">
        <v>2.1900527802720001E-5</v>
      </c>
      <c r="F32371" s="2">
        <v>1.28760191172336E-3</v>
      </c>
    </row>
    <row r="32372" spans="1:6" x14ac:dyDescent="0.25">
      <c r="A32372" s="1" t="str">
        <f t="shared" si="1153"/>
        <v>41940</v>
      </c>
      <c r="B32372" s="1" t="str">
        <f>"95076"</f>
        <v>95076</v>
      </c>
      <c r="C32372" s="2">
        <v>5.2485586145904603E-5</v>
      </c>
      <c r="D32372" s="2">
        <v>1.22737035900583E-5</v>
      </c>
      <c r="E32372" s="2">
        <v>0</v>
      </c>
      <c r="F32372" s="2">
        <v>4.6106269328085403E-5</v>
      </c>
    </row>
    <row r="32373" spans="1:6" x14ac:dyDescent="0.25">
      <c r="A32373" s="1" t="str">
        <f t="shared" si="1153"/>
        <v>41940</v>
      </c>
      <c r="B32373" s="1" t="str">
        <f>"95071"</f>
        <v>95071</v>
      </c>
      <c r="C32373" s="2">
        <v>5.0123734769338903E-4</v>
      </c>
      <c r="D32373" s="2">
        <v>8.5915925130408102E-4</v>
      </c>
      <c r="E32373" s="2">
        <v>4.3801055605440001E-5</v>
      </c>
      <c r="F32373" s="2">
        <v>5.1054259207197002E-4</v>
      </c>
    </row>
    <row r="32374" spans="1:6" x14ac:dyDescent="0.25">
      <c r="A32374" s="1" t="str">
        <f t="shared" si="1153"/>
        <v>41940</v>
      </c>
      <c r="B32374" s="1" t="str">
        <f>"94043"</f>
        <v>94043</v>
      </c>
      <c r="C32374" s="2">
        <v>1.9990447623321399E-2</v>
      </c>
      <c r="D32374" s="2">
        <v>2.6363915311445201E-2</v>
      </c>
      <c r="E32374" s="2">
        <v>3.6924289875385902E-2</v>
      </c>
      <c r="F32374" s="2">
        <v>2.1443913410177099E-2</v>
      </c>
    </row>
    <row r="32375" spans="1:6" x14ac:dyDescent="0.25">
      <c r="A32375" s="1" t="str">
        <f t="shared" si="1153"/>
        <v>41940</v>
      </c>
      <c r="B32375" s="1" t="str">
        <f>"95164"</f>
        <v>95164</v>
      </c>
      <c r="C32375" s="2">
        <v>1.35281598291069E-3</v>
      </c>
      <c r="D32375" s="2">
        <v>1.95151887081926E-3</v>
      </c>
      <c r="E32375" s="2">
        <v>4.3801055605440001E-5</v>
      </c>
      <c r="F32375" s="2">
        <v>1.3404554399774999E-3</v>
      </c>
    </row>
    <row r="32376" spans="1:6" x14ac:dyDescent="0.25">
      <c r="A32376" s="1" t="str">
        <f t="shared" si="1153"/>
        <v>41940</v>
      </c>
      <c r="B32376" s="1" t="str">
        <f>"95052"</f>
        <v>95052</v>
      </c>
      <c r="C32376" s="2">
        <v>9.4080413166534101E-4</v>
      </c>
      <c r="D32376" s="2">
        <v>2.6756673826326999E-3</v>
      </c>
      <c r="E32376" s="2">
        <v>4.3801055605440001E-5</v>
      </c>
      <c r="F32376" s="2">
        <v>1.0536969356198999E-3</v>
      </c>
    </row>
    <row r="32377" spans="1:6" x14ac:dyDescent="0.25">
      <c r="A32377" s="1" t="str">
        <f t="shared" si="1153"/>
        <v>41940</v>
      </c>
      <c r="B32377" s="1" t="str">
        <f>"95044"</f>
        <v>95044</v>
      </c>
      <c r="C32377" s="2">
        <v>5.8915070448778005E-4</v>
      </c>
      <c r="D32377" s="2">
        <v>6.8732740104326397E-4</v>
      </c>
      <c r="E32377" s="2">
        <v>4.3801055605440001E-5</v>
      </c>
      <c r="F32377" s="2">
        <v>5.7014337925217801E-4</v>
      </c>
    </row>
    <row r="32378" spans="1:6" x14ac:dyDescent="0.25">
      <c r="A32378" s="1" t="str">
        <f t="shared" si="1153"/>
        <v>41940</v>
      </c>
      <c r="B32378" s="1" t="str">
        <f>"95109"</f>
        <v>95109</v>
      </c>
      <c r="C32378" s="2">
        <v>1.71365438766378E-3</v>
      </c>
      <c r="D32378" s="2">
        <v>2.2951825713409001E-3</v>
      </c>
      <c r="E32378" s="2">
        <v>4.3801055605440001E-5</v>
      </c>
      <c r="F32378" s="2">
        <v>1.6811920157436E-3</v>
      </c>
    </row>
    <row r="32379" spans="1:6" x14ac:dyDescent="0.25">
      <c r="A32379" s="1" t="str">
        <f t="shared" si="1153"/>
        <v>41940</v>
      </c>
      <c r="B32379" s="1" t="str">
        <f>"95155"</f>
        <v>95155</v>
      </c>
      <c r="C32379" s="2">
        <v>5.4453795626376099E-4</v>
      </c>
      <c r="D32379" s="2">
        <v>2.4424670144216E-3</v>
      </c>
      <c r="E32379" s="2">
        <v>4.3801055605440001E-5</v>
      </c>
      <c r="F32379" s="2">
        <v>6.9271858307562505E-4</v>
      </c>
    </row>
    <row r="32380" spans="1:6" x14ac:dyDescent="0.25">
      <c r="A32380" s="1" t="str">
        <f t="shared" si="1153"/>
        <v>41940</v>
      </c>
      <c r="B32380" s="1" t="str">
        <f>"95033"</f>
        <v>95033</v>
      </c>
      <c r="C32380" s="2">
        <v>2.1427240544065499E-3</v>
      </c>
      <c r="D32380" s="2">
        <v>1.47284443080699E-4</v>
      </c>
      <c r="E32380" s="2">
        <v>1.5330369461904E-4</v>
      </c>
      <c r="F32380" s="2">
        <v>1.8577452909755399E-3</v>
      </c>
    </row>
    <row r="32381" spans="1:6" x14ac:dyDescent="0.25">
      <c r="A32381" s="1" t="str">
        <f t="shared" si="1153"/>
        <v>41940</v>
      </c>
      <c r="B32381" s="1" t="str">
        <f>"95050"</f>
        <v>95050</v>
      </c>
      <c r="C32381" s="2">
        <v>2.0562540512311801E-2</v>
      </c>
      <c r="D32381" s="2">
        <v>3.4722307456274901E-2</v>
      </c>
      <c r="E32381" s="2">
        <v>3.6113970346685301E-2</v>
      </c>
      <c r="F32381" s="2">
        <v>2.2658420016868099E-2</v>
      </c>
    </row>
    <row r="32382" spans="1:6" x14ac:dyDescent="0.25">
      <c r="A32382" s="1" t="str">
        <f t="shared" si="1153"/>
        <v>41940</v>
      </c>
      <c r="B32382" s="1" t="str">
        <f>"95051"</f>
        <v>95051</v>
      </c>
      <c r="C32382" s="2">
        <v>3.2177600726400503E-2</v>
      </c>
      <c r="D32382" s="2">
        <v>1.7539122430193298E-2</v>
      </c>
      <c r="E32382" s="2">
        <v>2.8996298810801301E-2</v>
      </c>
      <c r="F32382" s="2">
        <v>3.0673039077874598E-2</v>
      </c>
    </row>
    <row r="32383" spans="1:6" x14ac:dyDescent="0.25">
      <c r="A32383" s="1" t="str">
        <f t="shared" si="1153"/>
        <v>41940</v>
      </c>
      <c r="B32383" s="1" t="str">
        <f>"95110"</f>
        <v>95110</v>
      </c>
      <c r="C32383" s="2">
        <v>1.03199783759385E-2</v>
      </c>
      <c r="D32383" s="2">
        <v>2.21417612764651E-2</v>
      </c>
      <c r="E32383" s="2">
        <v>1.3293620376251E-2</v>
      </c>
      <c r="F32383" s="2">
        <v>1.15558054540342E-2</v>
      </c>
    </row>
    <row r="32384" spans="1:6" x14ac:dyDescent="0.25">
      <c r="A32384" s="1" t="str">
        <f t="shared" si="1153"/>
        <v>41940</v>
      </c>
      <c r="B32384" s="1" t="str">
        <f>"95123"</f>
        <v>95123</v>
      </c>
      <c r="C32384" s="2">
        <v>3.2992439451315601E-2</v>
      </c>
      <c r="D32384" s="2">
        <v>1.3685179502915E-2</v>
      </c>
      <c r="E32384" s="2">
        <v>3.0507435229189001E-2</v>
      </c>
      <c r="F32384" s="2">
        <v>3.10958673039077E-2</v>
      </c>
    </row>
    <row r="32385" spans="1:6" x14ac:dyDescent="0.25">
      <c r="A32385" s="1" t="str">
        <f t="shared" si="1153"/>
        <v>41940</v>
      </c>
      <c r="B32385" s="1" t="str">
        <f>"95043"</f>
        <v>95043</v>
      </c>
      <c r="C32385" s="2">
        <v>3.0441639964624698E-4</v>
      </c>
      <c r="D32385" s="2">
        <v>1.10463332310524E-4</v>
      </c>
      <c r="E32385" s="2">
        <v>0</v>
      </c>
      <c r="F32385" s="2">
        <v>2.7101490019679501E-4</v>
      </c>
    </row>
    <row r="32386" spans="1:6" x14ac:dyDescent="0.25">
      <c r="A32386" s="1" t="str">
        <f t="shared" si="1153"/>
        <v>41940</v>
      </c>
      <c r="B32386" s="1" t="str">
        <f>"95119"</f>
        <v>95119</v>
      </c>
      <c r="C32386" s="2">
        <v>4.13455204864364E-3</v>
      </c>
      <c r="D32386" s="2">
        <v>6.6768947529917098E-3</v>
      </c>
      <c r="E32386" s="2">
        <v>3.65738814305424E-3</v>
      </c>
      <c r="F32386" s="2">
        <v>4.3429856620747801E-3</v>
      </c>
    </row>
    <row r="32387" spans="1:6" x14ac:dyDescent="0.25">
      <c r="A32387" s="1" t="str">
        <f t="shared" si="1153"/>
        <v>41940</v>
      </c>
      <c r="B32387" s="1" t="str">
        <f>"95103"</f>
        <v>95103</v>
      </c>
      <c r="C32387" s="2">
        <v>3.1622565652907498E-4</v>
      </c>
      <c r="D32387" s="2">
        <v>7.1187480822338105E-4</v>
      </c>
      <c r="E32387" s="2">
        <v>4.3801055605440001E-5</v>
      </c>
      <c r="F32387" s="2">
        <v>3.38487489457407E-4</v>
      </c>
    </row>
    <row r="32388" spans="1:6" x14ac:dyDescent="0.25">
      <c r="A32388" s="1" t="str">
        <f t="shared" si="1153"/>
        <v>41940</v>
      </c>
      <c r="B32388" s="1" t="str">
        <f>"95009"</f>
        <v>95009</v>
      </c>
      <c r="C32388" s="2">
        <v>1.4919027861973399E-3</v>
      </c>
      <c r="D32388" s="2">
        <v>2.78613071494323E-3</v>
      </c>
      <c r="E32388" s="2">
        <v>4.3801055605440001E-5</v>
      </c>
      <c r="F32388" s="2">
        <v>1.5361259488332799E-3</v>
      </c>
    </row>
    <row r="32389" spans="1:6" x14ac:dyDescent="0.25">
      <c r="A32389" s="1" t="str">
        <f t="shared" si="1153"/>
        <v>41940</v>
      </c>
      <c r="B32389" s="1" t="str">
        <f>"94550"</f>
        <v>94550</v>
      </c>
      <c r="C32389" s="2">
        <v>9.7098334369923606E-5</v>
      </c>
      <c r="D32389" s="2">
        <v>1.22737035900583E-5</v>
      </c>
      <c r="E32389" s="2">
        <v>0</v>
      </c>
      <c r="F32389" s="2">
        <v>8.4340736575766006E-5</v>
      </c>
    </row>
    <row r="32390" spans="1:6" x14ac:dyDescent="0.25">
      <c r="A32390" s="1" t="str">
        <f t="shared" ref="A32390:A32421" si="1154">"41940"</f>
        <v>41940</v>
      </c>
      <c r="B32390" s="1" t="str">
        <f>"94301"</f>
        <v>94301</v>
      </c>
      <c r="C32390" s="2">
        <v>1.08632041925486E-2</v>
      </c>
      <c r="D32390" s="2">
        <v>1.9613378336913099E-2</v>
      </c>
      <c r="E32390" s="2">
        <v>1.6359694268631798E-2</v>
      </c>
      <c r="F32390" s="2">
        <v>1.1947146471745799E-2</v>
      </c>
    </row>
    <row r="32391" spans="1:6" x14ac:dyDescent="0.25">
      <c r="A32391" s="1" t="str">
        <f t="shared" si="1154"/>
        <v>41940</v>
      </c>
      <c r="B32391" s="1" t="str">
        <f>"94304"</f>
        <v>94304</v>
      </c>
      <c r="C32391" s="2">
        <v>3.0047998068530399E-3</v>
      </c>
      <c r="D32391" s="2">
        <v>8.0515495550782402E-3</v>
      </c>
      <c r="E32391" s="2">
        <v>1.0139944372659301E-2</v>
      </c>
      <c r="F32391" s="2">
        <v>3.83356761315715E-3</v>
      </c>
    </row>
    <row r="32392" spans="1:6" x14ac:dyDescent="0.25">
      <c r="A32392" s="1" t="str">
        <f t="shared" si="1154"/>
        <v>41940</v>
      </c>
      <c r="B32392" s="1" t="str">
        <f>"94023"</f>
        <v>94023</v>
      </c>
      <c r="C32392" s="2">
        <v>1.6099953550256199E-3</v>
      </c>
      <c r="D32392" s="2">
        <v>5.0322184719238999E-3</v>
      </c>
      <c r="E32392" s="2">
        <v>4.3801055605440001E-5</v>
      </c>
      <c r="F32392" s="2">
        <v>1.8431262299690701E-3</v>
      </c>
    </row>
    <row r="32393" spans="1:6" x14ac:dyDescent="0.25">
      <c r="A32393" s="1" t="str">
        <f t="shared" si="1154"/>
        <v>41940</v>
      </c>
      <c r="B32393" s="1" t="str">
        <f>"94041"</f>
        <v>94041</v>
      </c>
      <c r="C32393" s="2">
        <v>9.7596947438309701E-3</v>
      </c>
      <c r="D32393" s="2">
        <v>9.4507517643448898E-3</v>
      </c>
      <c r="E32393" s="2">
        <v>2.2272836775366199E-2</v>
      </c>
      <c r="F32393" s="2">
        <v>1.0373910598819199E-2</v>
      </c>
    </row>
    <row r="32394" spans="1:6" x14ac:dyDescent="0.25">
      <c r="A32394" s="1" t="str">
        <f t="shared" si="1154"/>
        <v>41940</v>
      </c>
      <c r="B32394" s="1" t="str">
        <f>"95132"</f>
        <v>95132</v>
      </c>
      <c r="C32394" s="2">
        <v>1.5897884043594501E-2</v>
      </c>
      <c r="D32394" s="2">
        <v>3.3752684872660299E-3</v>
      </c>
      <c r="E32394" s="2">
        <v>6.0007446179452901E-3</v>
      </c>
      <c r="F32394" s="2">
        <v>1.4242339049761001E-2</v>
      </c>
    </row>
    <row r="32395" spans="1:6" x14ac:dyDescent="0.25">
      <c r="A32395" s="1" t="str">
        <f t="shared" si="1154"/>
        <v>41940</v>
      </c>
      <c r="B32395" s="1" t="str">
        <f>"95158"</f>
        <v>95158</v>
      </c>
      <c r="C32395" s="2">
        <v>8.0565374733963596E-4</v>
      </c>
      <c r="D32395" s="2">
        <v>3.3384473764958502E-3</v>
      </c>
      <c r="E32395" s="2">
        <v>4.3801055605440001E-5</v>
      </c>
      <c r="F32395" s="2">
        <v>9.9859432105707004E-4</v>
      </c>
    </row>
    <row r="32396" spans="1:6" x14ac:dyDescent="0.25">
      <c r="A32396" s="1" t="str">
        <f t="shared" si="1154"/>
        <v>41940</v>
      </c>
      <c r="B32396" s="1" t="str">
        <f>"94035"</f>
        <v>94035</v>
      </c>
      <c r="C32396" s="2">
        <v>4.54000320162075E-4</v>
      </c>
      <c r="D32396" s="2">
        <v>9.8189628720466403E-4</v>
      </c>
      <c r="E32396" s="2">
        <v>6.5701583408160107E-5</v>
      </c>
      <c r="F32396" s="2">
        <v>4.8242901321338198E-4</v>
      </c>
    </row>
    <row r="32397" spans="1:6" x14ac:dyDescent="0.25">
      <c r="A32397" s="1" t="str">
        <f t="shared" si="1154"/>
        <v>41940</v>
      </c>
      <c r="B32397" s="1" t="str">
        <f>"95106"</f>
        <v>95106</v>
      </c>
      <c r="C32397" s="2">
        <v>3.2016207549001802E-4</v>
      </c>
      <c r="D32397" s="2">
        <v>5.1549555078244801E-4</v>
      </c>
      <c r="E32397" s="2">
        <v>4.3801055605440001E-5</v>
      </c>
      <c r="F32397" s="2">
        <v>3.2386842845094101E-4</v>
      </c>
    </row>
    <row r="32398" spans="1:6" x14ac:dyDescent="0.25">
      <c r="A32398" s="1" t="str">
        <f t="shared" si="1154"/>
        <v>41940</v>
      </c>
      <c r="B32398" s="1" t="str">
        <f>"95134"</f>
        <v>95134</v>
      </c>
      <c r="C32398" s="2">
        <v>1.8455244228553699E-2</v>
      </c>
      <c r="D32398" s="2">
        <v>8.6775084381712098E-3</v>
      </c>
      <c r="E32398" s="2">
        <v>6.8767657300540901E-3</v>
      </c>
      <c r="F32398" s="2">
        <v>1.69648580264267E-2</v>
      </c>
    </row>
    <row r="32399" spans="1:6" x14ac:dyDescent="0.25">
      <c r="A32399" s="1" t="str">
        <f t="shared" si="1154"/>
        <v>41940</v>
      </c>
      <c r="B32399" s="1" t="str">
        <f>"95161"</f>
        <v>95161</v>
      </c>
      <c r="C32399" s="2">
        <v>2.1742154060940999E-3</v>
      </c>
      <c r="D32399" s="2">
        <v>5.7318195765572203E-3</v>
      </c>
      <c r="E32399" s="2">
        <v>4.3801055605440001E-5</v>
      </c>
      <c r="F32399" s="2">
        <v>2.3907787461343801E-3</v>
      </c>
    </row>
    <row r="32400" spans="1:6" x14ac:dyDescent="0.25">
      <c r="A32400" s="1" t="str">
        <f t="shared" si="1154"/>
        <v>41940</v>
      </c>
      <c r="B32400" s="1" t="str">
        <f>"95126"</f>
        <v>95126</v>
      </c>
      <c r="C32400" s="2">
        <v>2.2295876994780299E-2</v>
      </c>
      <c r="D32400" s="2">
        <v>1.9429272783062199E-2</v>
      </c>
      <c r="E32400" s="2">
        <v>2.6981450252951001E-2</v>
      </c>
      <c r="F32400" s="2">
        <v>2.22738262580826E-2</v>
      </c>
    </row>
    <row r="32401" spans="1:6" x14ac:dyDescent="0.25">
      <c r="A32401" s="1" t="str">
        <f t="shared" si="1154"/>
        <v>41940</v>
      </c>
      <c r="B32401" s="1" t="str">
        <f>"95021"</f>
        <v>95021</v>
      </c>
      <c r="C32401" s="2">
        <v>2.42745835924809E-3</v>
      </c>
      <c r="D32401" s="2">
        <v>4.8849340288432E-3</v>
      </c>
      <c r="E32401" s="2">
        <v>4.3801055605440001E-5</v>
      </c>
      <c r="F32401" s="2">
        <v>2.53022209727298E-3</v>
      </c>
    </row>
    <row r="32402" spans="1:6" x14ac:dyDescent="0.25">
      <c r="A32402" s="1" t="str">
        <f t="shared" si="1154"/>
        <v>41940</v>
      </c>
      <c r="B32402" s="1" t="str">
        <f>"95120"</f>
        <v>95120</v>
      </c>
      <c r="C32402" s="2">
        <v>1.7157538111096202E-2</v>
      </c>
      <c r="D32402" s="2">
        <v>4.2589751457502304E-3</v>
      </c>
      <c r="E32402" s="2">
        <v>9.4172269551696095E-4</v>
      </c>
      <c r="F32402" s="2">
        <v>1.51430981163902E-2</v>
      </c>
    </row>
    <row r="32403" spans="1:6" x14ac:dyDescent="0.25">
      <c r="A32403" s="1" t="str">
        <f t="shared" si="1154"/>
        <v>41940</v>
      </c>
      <c r="B32403" s="1" t="str">
        <f>"95140"</f>
        <v>95140</v>
      </c>
      <c r="C32403" s="2">
        <v>1.91572389432552E-4</v>
      </c>
      <c r="D32403" s="2">
        <v>2.45474071801166E-5</v>
      </c>
      <c r="E32403" s="2">
        <v>2.1900527802720001E-5</v>
      </c>
      <c r="F32403" s="2">
        <v>1.67556929997188E-4</v>
      </c>
    </row>
    <row r="32404" spans="1:6" x14ac:dyDescent="0.25">
      <c r="A32404" s="1" t="str">
        <f t="shared" si="1154"/>
        <v>41940</v>
      </c>
      <c r="B32404" s="1" t="str">
        <f>"95150"</f>
        <v>95150</v>
      </c>
      <c r="C32404" s="2">
        <v>1.8907932409062099E-3</v>
      </c>
      <c r="D32404" s="2">
        <v>5.8791040196379202E-3</v>
      </c>
      <c r="E32404" s="2">
        <v>4.3801055605440001E-5</v>
      </c>
      <c r="F32404" s="2">
        <v>2.1613719426482902E-3</v>
      </c>
    </row>
    <row r="32405" spans="1:6" x14ac:dyDescent="0.25">
      <c r="A32405" s="1" t="str">
        <f t="shared" si="1154"/>
        <v>41940</v>
      </c>
      <c r="B32405" s="1" t="str">
        <f>"94039"</f>
        <v>94039</v>
      </c>
      <c r="C32405" s="2">
        <v>1.3501917036033899E-3</v>
      </c>
      <c r="D32405" s="2">
        <v>3.8416692236882401E-3</v>
      </c>
      <c r="E32405" s="2">
        <v>4.3801055605440001E-5</v>
      </c>
      <c r="F32405" s="2">
        <v>1.5113859994377199E-3</v>
      </c>
    </row>
    <row r="32406" spans="1:6" x14ac:dyDescent="0.25">
      <c r="A32406" s="1" t="str">
        <f t="shared" si="1154"/>
        <v>41940</v>
      </c>
      <c r="B32406" s="1" t="str">
        <f>"95160"</f>
        <v>95160</v>
      </c>
      <c r="C32406" s="2">
        <v>7.4398318361819805E-4</v>
      </c>
      <c r="D32406" s="2">
        <v>4.5780914390917398E-3</v>
      </c>
      <c r="E32406" s="2">
        <v>4.3801055605440001E-5</v>
      </c>
      <c r="F32406" s="2">
        <v>1.0593196513916201E-3</v>
      </c>
    </row>
    <row r="32407" spans="1:6" x14ac:dyDescent="0.25">
      <c r="A32407" s="1" t="str">
        <f t="shared" si="1154"/>
        <v>41940</v>
      </c>
      <c r="B32407" s="1" t="str">
        <f>"94302"</f>
        <v>94302</v>
      </c>
      <c r="C32407" s="2">
        <v>1.1402493590197699E-3</v>
      </c>
      <c r="D32407" s="2">
        <v>5.1304081006443604E-3</v>
      </c>
      <c r="E32407" s="2">
        <v>4.3801055605440001E-5</v>
      </c>
      <c r="F32407" s="2">
        <v>1.4495361259488301E-3</v>
      </c>
    </row>
    <row r="32408" spans="1:6" x14ac:dyDescent="0.25">
      <c r="A32408" s="1" t="str">
        <f t="shared" si="1154"/>
        <v>41940</v>
      </c>
      <c r="B32408" s="1" t="str">
        <f>"95014"</f>
        <v>95014</v>
      </c>
      <c r="C32408" s="2">
        <v>2.9822310048102998E-2</v>
      </c>
      <c r="D32408" s="2">
        <v>2.3320036821110699E-2</v>
      </c>
      <c r="E32408" s="2">
        <v>2.78793718928626E-2</v>
      </c>
      <c r="F32408" s="2">
        <v>2.9126792240652202E-2</v>
      </c>
    </row>
    <row r="32409" spans="1:6" x14ac:dyDescent="0.25">
      <c r="A32409" s="1" t="str">
        <f t="shared" si="1154"/>
        <v>41940</v>
      </c>
      <c r="B32409" s="1" t="str">
        <f>"95008"</f>
        <v>95008</v>
      </c>
      <c r="C32409" s="2">
        <v>2.7222961394227099E-2</v>
      </c>
      <c r="D32409" s="2">
        <v>4.3129794415464801E-2</v>
      </c>
      <c r="E32409" s="2">
        <v>4.7677449026521497E-2</v>
      </c>
      <c r="F32409" s="2">
        <v>2.9730671914534702E-2</v>
      </c>
    </row>
    <row r="32410" spans="1:6" x14ac:dyDescent="0.25">
      <c r="A32410" s="1" t="str">
        <f t="shared" si="1154"/>
        <v>41940</v>
      </c>
      <c r="B32410" s="1" t="str">
        <f>"94024"</f>
        <v>94024</v>
      </c>
      <c r="C32410" s="2">
        <v>1.1458915595304601E-2</v>
      </c>
      <c r="D32410" s="2">
        <v>6.7259895673519397E-3</v>
      </c>
      <c r="E32410" s="2">
        <v>3.4602833928297598E-3</v>
      </c>
      <c r="F32410" s="2">
        <v>1.0614562833848699E-2</v>
      </c>
    </row>
    <row r="32411" spans="1:6" x14ac:dyDescent="0.25">
      <c r="A32411" s="1" t="str">
        <f t="shared" si="1154"/>
        <v>41940</v>
      </c>
      <c r="B32411" s="1" t="str">
        <f>"94087"</f>
        <v>94087</v>
      </c>
      <c r="C32411" s="2">
        <v>2.9368309727940901E-2</v>
      </c>
      <c r="D32411" s="2">
        <v>1.84351027922675E-2</v>
      </c>
      <c r="E32411" s="2">
        <v>2.9324806727842101E-2</v>
      </c>
      <c r="F32411" s="2">
        <v>2.8364351982007301E-2</v>
      </c>
    </row>
    <row r="32412" spans="1:6" x14ac:dyDescent="0.25">
      <c r="A32412" s="1" t="str">
        <f t="shared" si="1154"/>
        <v>41940</v>
      </c>
      <c r="B32412" s="1" t="str">
        <f>"93925"</f>
        <v>93925</v>
      </c>
      <c r="C32412" s="2">
        <v>1.3121396536476099E-6</v>
      </c>
      <c r="D32412" s="2">
        <v>0</v>
      </c>
      <c r="E32412" s="2">
        <v>0</v>
      </c>
      <c r="F32412" s="2">
        <v>1.1245431543435401E-6</v>
      </c>
    </row>
    <row r="32413" spans="1:6" x14ac:dyDescent="0.25">
      <c r="A32413" s="1" t="str">
        <f t="shared" si="1154"/>
        <v>41940</v>
      </c>
      <c r="B32413" s="1" t="str">
        <f>"95172"</f>
        <v>95172</v>
      </c>
      <c r="C32413" s="2">
        <v>9.3161915408980804E-4</v>
      </c>
      <c r="D32413" s="2">
        <v>7.3642221540349802E-4</v>
      </c>
      <c r="E32413" s="2">
        <v>4.3801055605440001E-5</v>
      </c>
      <c r="F32413" s="2">
        <v>8.6814731515321905E-4</v>
      </c>
    </row>
    <row r="32414" spans="1:6" x14ac:dyDescent="0.25">
      <c r="A32414" s="1" t="str">
        <f t="shared" si="1154"/>
        <v>41940</v>
      </c>
      <c r="B32414" s="1" t="str">
        <f>"95135"</f>
        <v>95135</v>
      </c>
      <c r="C32414" s="2">
        <v>9.8016832127476895E-3</v>
      </c>
      <c r="D32414" s="2">
        <v>1.7060447990181E-3</v>
      </c>
      <c r="E32414" s="2">
        <v>5.91314250673441E-4</v>
      </c>
      <c r="F32414" s="2">
        <v>8.58701152656733E-3</v>
      </c>
    </row>
    <row r="32415" spans="1:6" x14ac:dyDescent="0.25">
      <c r="A32415" s="1" t="str">
        <f t="shared" si="1154"/>
        <v>41940</v>
      </c>
      <c r="B32415" s="1" t="str">
        <f>"95151"</f>
        <v>95151</v>
      </c>
      <c r="C32415" s="2">
        <v>2.58229083837851E-3</v>
      </c>
      <c r="D32415" s="2">
        <v>2.01288738876956E-3</v>
      </c>
      <c r="E32415" s="2">
        <v>4.3801055605440001E-5</v>
      </c>
      <c r="F32415" s="2">
        <v>2.39977509136913E-3</v>
      </c>
    </row>
    <row r="32416" spans="1:6" x14ac:dyDescent="0.25">
      <c r="A32416" s="1" t="str">
        <f t="shared" si="1154"/>
        <v>41940</v>
      </c>
      <c r="B32416" s="1" t="str">
        <f>"95153"</f>
        <v>95153</v>
      </c>
      <c r="C32416" s="2">
        <v>1.38430733459823E-3</v>
      </c>
      <c r="D32416" s="2">
        <v>4.5535440319116197E-3</v>
      </c>
      <c r="E32416" s="2">
        <v>4.3801055605440001E-5</v>
      </c>
      <c r="F32416" s="2">
        <v>1.6058476244025801E-3</v>
      </c>
    </row>
    <row r="32417" spans="1:6" x14ac:dyDescent="0.25">
      <c r="A32417" s="1" t="str">
        <f t="shared" si="1154"/>
        <v>41940</v>
      </c>
      <c r="B32417" s="1" t="str">
        <f>"95030"</f>
        <v>95030</v>
      </c>
      <c r="C32417" s="2">
        <v>7.3558548983485399E-3</v>
      </c>
      <c r="D32417" s="2">
        <v>1.18809450751764E-2</v>
      </c>
      <c r="E32417" s="2">
        <v>6.2416504237752099E-3</v>
      </c>
      <c r="F32417" s="2">
        <v>7.71324149564239E-3</v>
      </c>
    </row>
    <row r="32418" spans="1:6" x14ac:dyDescent="0.25">
      <c r="A32418" s="1" t="str">
        <f t="shared" si="1154"/>
        <v>41940</v>
      </c>
      <c r="B32418" s="1" t="str">
        <f>"95020"</f>
        <v>95020</v>
      </c>
      <c r="C32418" s="2">
        <v>2.7064192496135699E-2</v>
      </c>
      <c r="D32418" s="2">
        <v>2.80699601104633E-2</v>
      </c>
      <c r="E32418" s="2">
        <v>2.5974025974025899E-2</v>
      </c>
      <c r="F32418" s="2">
        <v>2.7100365476525098E-2</v>
      </c>
    </row>
    <row r="32419" spans="1:6" x14ac:dyDescent="0.25">
      <c r="A32419" s="1" t="str">
        <f t="shared" si="1154"/>
        <v>41940</v>
      </c>
      <c r="B32419" s="1" t="str">
        <f>"95113"</f>
        <v>95113</v>
      </c>
      <c r="C32419" s="2">
        <v>2.3067415111125101E-3</v>
      </c>
      <c r="D32419" s="2">
        <v>2.0828474992328899E-2</v>
      </c>
      <c r="E32419" s="2">
        <v>4.0077965878977601E-3</v>
      </c>
      <c r="F32419" s="2">
        <v>4.0910879955018201E-3</v>
      </c>
    </row>
    <row r="32420" spans="1:6" x14ac:dyDescent="0.25">
      <c r="A32420" s="1" t="str">
        <f t="shared" si="1154"/>
        <v>41940</v>
      </c>
      <c r="B32420" s="1" t="str">
        <f>"94088"</f>
        <v>94088</v>
      </c>
      <c r="C32420" s="2">
        <v>2.5088110177742401E-3</v>
      </c>
      <c r="D32420" s="2">
        <v>3.7803007057379502E-3</v>
      </c>
      <c r="E32420" s="2">
        <v>4.3801055605440001E-5</v>
      </c>
      <c r="F32420" s="2">
        <v>2.4987348889513599E-3</v>
      </c>
    </row>
    <row r="32421" spans="1:6" x14ac:dyDescent="0.25">
      <c r="A32421" s="1" t="str">
        <f t="shared" si="1154"/>
        <v>41940</v>
      </c>
      <c r="B32421" s="1" t="str">
        <f>"95055"</f>
        <v>95055</v>
      </c>
      <c r="C32421" s="2">
        <v>1.5942496791818499E-3</v>
      </c>
      <c r="D32421" s="2">
        <v>3.12979441546486E-3</v>
      </c>
      <c r="E32421" s="2">
        <v>4.3801055605440001E-5</v>
      </c>
      <c r="F32421" s="2">
        <v>1.6553275231937E-3</v>
      </c>
    </row>
    <row r="32422" spans="1:6" x14ac:dyDescent="0.25">
      <c r="A32422" s="1" t="str">
        <f t="shared" ref="A32422:A32453" si="1155">"41940"</f>
        <v>41940</v>
      </c>
      <c r="B32422" s="1" t="str">
        <f>"95026"</f>
        <v>95026</v>
      </c>
      <c r="C32422" s="2">
        <v>1.31213965364761E-5</v>
      </c>
      <c r="D32422" s="2">
        <v>0</v>
      </c>
      <c r="E32422" s="2">
        <v>4.3801055605440001E-5</v>
      </c>
      <c r="F32422" s="2">
        <v>1.34945178521225E-5</v>
      </c>
    </row>
    <row r="32423" spans="1:6" x14ac:dyDescent="0.25">
      <c r="A32423" s="1" t="str">
        <f t="shared" si="1155"/>
        <v>41940</v>
      </c>
      <c r="B32423" s="1" t="str">
        <f>"94028"</f>
        <v>94028</v>
      </c>
      <c r="C32423" s="2">
        <v>7.4791960257914101E-5</v>
      </c>
      <c r="D32423" s="2">
        <v>3.6821110770174898E-5</v>
      </c>
      <c r="E32423" s="2">
        <v>2.1900527802720001E-5</v>
      </c>
      <c r="F32423" s="2">
        <v>6.8597132414956394E-5</v>
      </c>
    </row>
    <row r="32424" spans="1:6" x14ac:dyDescent="0.25">
      <c r="A32424" s="1" t="str">
        <f t="shared" si="1155"/>
        <v>41940</v>
      </c>
      <c r="B32424" s="1" t="str">
        <f>"95004"</f>
        <v>95004</v>
      </c>
      <c r="C32424" s="2">
        <v>6.1276921825343701E-4</v>
      </c>
      <c r="D32424" s="2">
        <v>9.81896287204664E-5</v>
      </c>
      <c r="E32424" s="2">
        <v>0</v>
      </c>
      <c r="F32424" s="2">
        <v>5.34157998313185E-4</v>
      </c>
    </row>
    <row r="32425" spans="1:6" x14ac:dyDescent="0.25">
      <c r="A32425" s="1" t="str">
        <f t="shared" si="1155"/>
        <v>41940</v>
      </c>
      <c r="B32425" s="1" t="str">
        <f>"94040"</f>
        <v>94040</v>
      </c>
      <c r="C32425" s="2">
        <v>2.4666913348921501E-2</v>
      </c>
      <c r="D32425" s="2">
        <v>1.6949984657870499E-2</v>
      </c>
      <c r="E32425" s="2">
        <v>4.0647379601848402E-2</v>
      </c>
      <c r="F32425" s="2">
        <v>2.47804329491144E-2</v>
      </c>
    </row>
    <row r="32426" spans="1:6" x14ac:dyDescent="0.25">
      <c r="A32426" s="1" t="str">
        <f t="shared" si="1155"/>
        <v>41940</v>
      </c>
      <c r="B32426" s="1" t="str">
        <f>"94085"</f>
        <v>94085</v>
      </c>
      <c r="C32426" s="2">
        <v>1.2962627638384801E-2</v>
      </c>
      <c r="D32426" s="2">
        <v>1.69868057686406E-2</v>
      </c>
      <c r="E32426" s="2">
        <v>2.2404239942182599E-2</v>
      </c>
      <c r="F32426" s="2">
        <v>1.38161371942648E-2</v>
      </c>
    </row>
    <row r="32427" spans="1:6" x14ac:dyDescent="0.25">
      <c r="A32427" s="1" t="str">
        <f t="shared" si="1155"/>
        <v>41940</v>
      </c>
      <c r="B32427" s="1" t="str">
        <f>"95124"</f>
        <v>95124</v>
      </c>
      <c r="C32427" s="2">
        <v>2.2879779140653402E-2</v>
      </c>
      <c r="D32427" s="2">
        <v>1.27523780300705E-2</v>
      </c>
      <c r="E32427" s="2">
        <v>1.56807779067475E-2</v>
      </c>
      <c r="F32427" s="2">
        <v>2.1582232218161301E-2</v>
      </c>
    </row>
    <row r="32428" spans="1:6" x14ac:dyDescent="0.25">
      <c r="A32428" s="1" t="str">
        <f t="shared" si="1155"/>
        <v>41940</v>
      </c>
      <c r="B32428" s="1" t="str">
        <f>"95128"</f>
        <v>95128</v>
      </c>
      <c r="C32428" s="2">
        <v>1.8990597207241899E-2</v>
      </c>
      <c r="D32428" s="2">
        <v>2.2571340902117199E-2</v>
      </c>
      <c r="E32428" s="2">
        <v>3.2719388537263701E-2</v>
      </c>
      <c r="F32428" s="2">
        <v>2.0023615406241198E-2</v>
      </c>
    </row>
    <row r="32429" spans="1:6" x14ac:dyDescent="0.25">
      <c r="A32429" s="1" t="str">
        <f t="shared" si="1155"/>
        <v>41940</v>
      </c>
      <c r="B32429" s="1" t="str">
        <f>"95138"</f>
        <v>95138</v>
      </c>
      <c r="C32429" s="2">
        <v>7.9305720666461906E-3</v>
      </c>
      <c r="D32429" s="2">
        <v>3.4980055231666101E-3</v>
      </c>
      <c r="E32429" s="2">
        <v>4.0515976435032E-3</v>
      </c>
      <c r="F32429" s="2">
        <v>7.3252741073938704E-3</v>
      </c>
    </row>
    <row r="32430" spans="1:6" x14ac:dyDescent="0.25">
      <c r="A32430" s="1" t="str">
        <f t="shared" si="1155"/>
        <v>41940</v>
      </c>
      <c r="B32430" s="1" t="str">
        <f>"95152"</f>
        <v>95152</v>
      </c>
      <c r="C32430" s="2">
        <v>8.08278026646932E-4</v>
      </c>
      <c r="D32430" s="2">
        <v>1.8410555385087401E-3</v>
      </c>
      <c r="E32430" s="2">
        <v>4.3801055605440001E-5</v>
      </c>
      <c r="F32430" s="2">
        <v>8.6364914253584399E-4</v>
      </c>
    </row>
    <row r="32431" spans="1:6" x14ac:dyDescent="0.25">
      <c r="A32431" s="1" t="str">
        <f t="shared" si="1155"/>
        <v>41940</v>
      </c>
      <c r="B32431" s="1" t="str">
        <f>"95054"</f>
        <v>95054</v>
      </c>
      <c r="C32431" s="2">
        <v>1.3309032506947699E-2</v>
      </c>
      <c r="D32431" s="2">
        <v>3.7582080392758503E-2</v>
      </c>
      <c r="E32431" s="2">
        <v>1.6819605352488901E-2</v>
      </c>
      <c r="F32431" s="2">
        <v>1.5713241495642301E-2</v>
      </c>
    </row>
    <row r="32432" spans="1:6" x14ac:dyDescent="0.25">
      <c r="A32432" s="1" t="str">
        <f t="shared" si="1155"/>
        <v>41940</v>
      </c>
      <c r="B32432" s="1" t="str">
        <f>"95111"</f>
        <v>95111</v>
      </c>
      <c r="C32432" s="2">
        <v>2.1275032344242401E-2</v>
      </c>
      <c r="D32432" s="2">
        <v>9.9294262043571595E-3</v>
      </c>
      <c r="E32432" s="2">
        <v>1.3381222487461901E-2</v>
      </c>
      <c r="F32432" s="2">
        <v>1.9830193983694101E-2</v>
      </c>
    </row>
    <row r="32433" spans="1:6" x14ac:dyDescent="0.25">
      <c r="A32433" s="1" t="str">
        <f t="shared" si="1155"/>
        <v>41940</v>
      </c>
      <c r="B32433" s="1" t="str">
        <f>"95121"</f>
        <v>95121</v>
      </c>
      <c r="C32433" s="2">
        <v>1.28707778626294E-2</v>
      </c>
      <c r="D32433" s="2">
        <v>4.8972077324332597E-3</v>
      </c>
      <c r="E32433" s="2">
        <v>2.1024506690611199E-3</v>
      </c>
      <c r="F32433" s="2">
        <v>1.15872926623559E-2</v>
      </c>
    </row>
    <row r="32434" spans="1:6" x14ac:dyDescent="0.25">
      <c r="A32434" s="1" t="str">
        <f t="shared" si="1155"/>
        <v>41940</v>
      </c>
      <c r="B32434" s="1" t="str">
        <f>"95122"</f>
        <v>95122</v>
      </c>
      <c r="C32434" s="2">
        <v>1.71076768042576E-2</v>
      </c>
      <c r="D32434" s="2">
        <v>1.96501994476833E-2</v>
      </c>
      <c r="E32434" s="2">
        <v>2.4200083222005599E-2</v>
      </c>
      <c r="F32434" s="2">
        <v>1.7704807421984801E-2</v>
      </c>
    </row>
    <row r="32435" spans="1:6" x14ac:dyDescent="0.25">
      <c r="A32435" s="1" t="str">
        <f t="shared" si="1155"/>
        <v>41940</v>
      </c>
      <c r="B32435" s="1" t="str">
        <f>"95015"</f>
        <v>95015</v>
      </c>
      <c r="C32435" s="2">
        <v>2.33167216453181E-3</v>
      </c>
      <c r="D32435" s="2">
        <v>6.4436943847806004E-3</v>
      </c>
      <c r="E32435" s="2">
        <v>4.3801055605440001E-5</v>
      </c>
      <c r="F32435" s="2">
        <v>2.5909474276075298E-3</v>
      </c>
    </row>
    <row r="32436" spans="1:6" x14ac:dyDescent="0.25">
      <c r="A32436" s="1" t="str">
        <f t="shared" si="1155"/>
        <v>41940</v>
      </c>
      <c r="B32436" s="1" t="str">
        <f>"95011"</f>
        <v>95011</v>
      </c>
      <c r="C32436" s="2">
        <v>2.0062615304272001E-3</v>
      </c>
      <c r="D32436" s="2">
        <v>3.2525314513654402E-3</v>
      </c>
      <c r="E32436" s="2">
        <v>4.3801055605440001E-5</v>
      </c>
      <c r="F32436" s="2">
        <v>2.0196795052010099E-3</v>
      </c>
    </row>
    <row r="32437" spans="1:6" x14ac:dyDescent="0.25">
      <c r="A32437" s="1" t="str">
        <f t="shared" si="1155"/>
        <v>41940</v>
      </c>
      <c r="B32437" s="1" t="str">
        <f>"94305"</f>
        <v>94305</v>
      </c>
      <c r="C32437" s="2">
        <v>7.8505315477736901E-3</v>
      </c>
      <c r="D32437" s="2">
        <v>5.5845351334765196E-3</v>
      </c>
      <c r="E32437" s="2">
        <v>2.2229035719760801E-2</v>
      </c>
      <c r="F32437" s="2">
        <v>8.3812201293224607E-3</v>
      </c>
    </row>
    <row r="32438" spans="1:6" x14ac:dyDescent="0.25">
      <c r="A32438" s="1" t="str">
        <f t="shared" si="1155"/>
        <v>41940</v>
      </c>
      <c r="B32438" s="1" t="str">
        <f>"95108"</f>
        <v>95108</v>
      </c>
      <c r="C32438" s="2">
        <v>3.1491351687542798E-4</v>
      </c>
      <c r="D32438" s="2">
        <v>5.5231666155262297E-4</v>
      </c>
      <c r="E32438" s="2">
        <v>4.3801055605440001E-5</v>
      </c>
      <c r="F32438" s="2">
        <v>3.2274388529659798E-4</v>
      </c>
    </row>
    <row r="32439" spans="1:6" x14ac:dyDescent="0.25">
      <c r="A32439" s="1" t="str">
        <f t="shared" si="1155"/>
        <v>41940</v>
      </c>
      <c r="B32439" s="1" t="str">
        <f>"95192"</f>
        <v>95192</v>
      </c>
      <c r="C32439" s="2">
        <v>0</v>
      </c>
      <c r="D32439" s="2">
        <v>1.22737035900583E-5</v>
      </c>
      <c r="E32439" s="2">
        <v>0</v>
      </c>
      <c r="F32439" s="2">
        <v>1.1245431543435401E-6</v>
      </c>
    </row>
    <row r="32440" spans="1:6" x14ac:dyDescent="0.25">
      <c r="A32440" s="1" t="str">
        <f t="shared" si="1155"/>
        <v>41940</v>
      </c>
      <c r="B32440" s="1" t="str">
        <f>"95159"</f>
        <v>95159</v>
      </c>
      <c r="C32440" s="2">
        <v>2.4208976609798498E-3</v>
      </c>
      <c r="D32440" s="2">
        <v>4.2344277385701103E-3</v>
      </c>
      <c r="E32440" s="2">
        <v>4.3801055605440001E-5</v>
      </c>
      <c r="F32440" s="2">
        <v>2.4649985943210502E-3</v>
      </c>
    </row>
    <row r="32441" spans="1:6" x14ac:dyDescent="0.25">
      <c r="A32441" s="1" t="str">
        <f t="shared" si="1155"/>
        <v>41940</v>
      </c>
      <c r="B32441" s="1" t="str">
        <f>"95075"</f>
        <v>95075</v>
      </c>
      <c r="C32441" s="2">
        <v>1.11531870560047E-4</v>
      </c>
      <c r="D32441" s="2">
        <v>9.81896287204664E-5</v>
      </c>
      <c r="E32441" s="2">
        <v>6.5701583408160107E-5</v>
      </c>
      <c r="F32441" s="2">
        <v>1.0795614281698E-4</v>
      </c>
    </row>
    <row r="32442" spans="1:6" x14ac:dyDescent="0.25">
      <c r="A32442" s="1" t="str">
        <f t="shared" si="1155"/>
        <v>41940</v>
      </c>
      <c r="B32442" s="1" t="str">
        <f>"95154"</f>
        <v>95154</v>
      </c>
      <c r="C32442" s="2">
        <v>9.8148046092841703E-4</v>
      </c>
      <c r="D32442" s="2">
        <v>3.4611844123964399E-3</v>
      </c>
      <c r="E32442" s="2">
        <v>4.3801055605440001E-5</v>
      </c>
      <c r="F32442" s="2">
        <v>1.1605285352825399E-3</v>
      </c>
    </row>
    <row r="32443" spans="1:6" x14ac:dyDescent="0.25">
      <c r="A32443" s="1" t="str">
        <f t="shared" si="1155"/>
        <v>41940</v>
      </c>
      <c r="B32443" s="1" t="str">
        <f>"95141"</f>
        <v>95141</v>
      </c>
      <c r="C32443" s="2">
        <v>2.49306534193047E-5</v>
      </c>
      <c r="D32443" s="2">
        <v>6.1368517950291502E-5</v>
      </c>
      <c r="E32443" s="2">
        <v>0</v>
      </c>
      <c r="F32443" s="2">
        <v>2.6989035704245101E-5</v>
      </c>
    </row>
    <row r="32444" spans="1:6" x14ac:dyDescent="0.25">
      <c r="A32444" s="1" t="str">
        <f t="shared" si="1155"/>
        <v>41940</v>
      </c>
      <c r="B32444" s="1" t="str">
        <f>"95002"</f>
        <v>95002</v>
      </c>
      <c r="C32444" s="2">
        <v>1.4853420879290999E-3</v>
      </c>
      <c r="D32444" s="2">
        <v>2.7124884934028801E-3</v>
      </c>
      <c r="E32444" s="2">
        <v>1.9710475022448001E-4</v>
      </c>
      <c r="F32444" s="2">
        <v>1.5316277762159099E-3</v>
      </c>
    </row>
    <row r="32445" spans="1:6" x14ac:dyDescent="0.25">
      <c r="A32445" s="1" t="str">
        <f t="shared" si="1155"/>
        <v>41940</v>
      </c>
      <c r="B32445" s="1" t="str">
        <f>"94022"</f>
        <v>94022</v>
      </c>
      <c r="C32445" s="2">
        <v>1.08015336288271E-2</v>
      </c>
      <c r="D32445" s="2">
        <v>1.63976679963178E-2</v>
      </c>
      <c r="E32445" s="2">
        <v>1.8046034909441299E-2</v>
      </c>
      <c r="F32445" s="2">
        <v>1.1686252459938099E-2</v>
      </c>
    </row>
    <row r="32446" spans="1:6" x14ac:dyDescent="0.25">
      <c r="A32446" s="1" t="str">
        <f t="shared" si="1155"/>
        <v>41940</v>
      </c>
      <c r="B32446" s="1" t="str">
        <f>"95136"</f>
        <v>95136</v>
      </c>
      <c r="C32446" s="2">
        <v>2.2638345444382299E-2</v>
      </c>
      <c r="D32446" s="2">
        <v>4.17305922061982E-3</v>
      </c>
      <c r="E32446" s="2">
        <v>1.01837454282648E-2</v>
      </c>
      <c r="F32446" s="2">
        <v>2.03070002811357E-2</v>
      </c>
    </row>
    <row r="32447" spans="1:6" x14ac:dyDescent="0.25">
      <c r="A32447" s="1" t="str">
        <f t="shared" si="1155"/>
        <v>41940</v>
      </c>
      <c r="B32447" s="1" t="str">
        <f>"95125"</f>
        <v>95125</v>
      </c>
      <c r="C32447" s="2">
        <v>2.8532476768567398E-2</v>
      </c>
      <c r="D32447" s="2">
        <v>2.52224608775698E-2</v>
      </c>
      <c r="E32447" s="2">
        <v>1.63158932130264E-2</v>
      </c>
      <c r="F32447" s="2">
        <v>2.76019117233623E-2</v>
      </c>
    </row>
    <row r="32448" spans="1:6" x14ac:dyDescent="0.25">
      <c r="A32448" s="1" t="str">
        <f t="shared" si="1155"/>
        <v>41940</v>
      </c>
      <c r="B32448" s="1" t="str">
        <f>"95127"</f>
        <v>95127</v>
      </c>
      <c r="C32448" s="2">
        <v>2.1122824144419301E-2</v>
      </c>
      <c r="D32448" s="2">
        <v>6.6032525314513599E-3</v>
      </c>
      <c r="E32448" s="2">
        <v>6.8110641466459301E-3</v>
      </c>
      <c r="F32448" s="2">
        <v>1.90576328366601E-2</v>
      </c>
    </row>
    <row r="32449" spans="1:6" x14ac:dyDescent="0.25">
      <c r="A32449" s="1" t="str">
        <f t="shared" si="1155"/>
        <v>41940</v>
      </c>
      <c r="B32449" s="1" t="str">
        <f>"95129"</f>
        <v>95129</v>
      </c>
      <c r="C32449" s="2">
        <v>2.0187268571368499E-2</v>
      </c>
      <c r="D32449" s="2">
        <v>1.5894446149125399E-2</v>
      </c>
      <c r="E32449" s="2">
        <v>2.2316637830971701E-2</v>
      </c>
      <c r="F32449" s="2">
        <v>1.9903289288726402E-2</v>
      </c>
    </row>
    <row r="32450" spans="1:6" x14ac:dyDescent="0.25">
      <c r="A32450" s="1" t="str">
        <f t="shared" si="1155"/>
        <v>41940</v>
      </c>
      <c r="B32450" s="1" t="str">
        <f>"95035"</f>
        <v>95035</v>
      </c>
      <c r="C32450" s="2">
        <v>3.3884694415796002E-2</v>
      </c>
      <c r="D32450" s="2">
        <v>3.8490334458422801E-2</v>
      </c>
      <c r="E32450" s="2">
        <v>1.6972909047107999E-2</v>
      </c>
      <c r="F32450" s="2">
        <v>3.34382906944053E-2</v>
      </c>
    </row>
    <row r="32451" spans="1:6" x14ac:dyDescent="0.25">
      <c r="A32451" s="1" t="str">
        <f t="shared" si="1155"/>
        <v>41940</v>
      </c>
      <c r="B32451" s="1" t="str">
        <f>"95112"</f>
        <v>95112</v>
      </c>
      <c r="C32451" s="2">
        <v>3.0389154378478798E-2</v>
      </c>
      <c r="D32451" s="2">
        <v>4.9008898435102699E-2</v>
      </c>
      <c r="E32451" s="2">
        <v>5.0196009723834298E-2</v>
      </c>
      <c r="F32451" s="2">
        <v>3.3112173179645703E-2</v>
      </c>
    </row>
    <row r="32452" spans="1:6" x14ac:dyDescent="0.25">
      <c r="A32452" s="1" t="str">
        <f t="shared" si="1155"/>
        <v>41940</v>
      </c>
      <c r="B32452" s="1" t="str">
        <f>"95117"</f>
        <v>95117</v>
      </c>
      <c r="C32452" s="2">
        <v>1.4605426484751599E-2</v>
      </c>
      <c r="D32452" s="2">
        <v>5.9036514268180403E-3</v>
      </c>
      <c r="E32452" s="2">
        <v>3.1711964258338603E-2</v>
      </c>
      <c r="F32452" s="2">
        <v>1.46865335957267E-2</v>
      </c>
    </row>
    <row r="32453" spans="1:6" x14ac:dyDescent="0.25">
      <c r="A32453" s="1" t="str">
        <f t="shared" si="1155"/>
        <v>41940</v>
      </c>
      <c r="B32453" s="1" t="str">
        <f>"94020"</f>
        <v>94020</v>
      </c>
      <c r="C32453" s="2">
        <v>9.1849775755333104E-6</v>
      </c>
      <c r="D32453" s="2">
        <v>0</v>
      </c>
      <c r="E32453" s="2">
        <v>0</v>
      </c>
      <c r="F32453" s="2">
        <v>7.8718020804048297E-6</v>
      </c>
    </row>
    <row r="32454" spans="1:6" x14ac:dyDescent="0.25">
      <c r="A32454" s="1" t="str">
        <f t="shared" ref="A32454:A32469" si="1156">"41940"</f>
        <v>41940</v>
      </c>
      <c r="B32454" s="1" t="str">
        <f>"94042"</f>
        <v>94042</v>
      </c>
      <c r="C32454" s="2">
        <v>1.5706311654161899E-3</v>
      </c>
      <c r="D32454" s="2">
        <v>3.8171218165081299E-3</v>
      </c>
      <c r="E32454" s="2">
        <v>4.3801055605440001E-5</v>
      </c>
      <c r="F32454" s="2">
        <v>1.69806016305875E-3</v>
      </c>
    </row>
    <row r="32455" spans="1:6" x14ac:dyDescent="0.25">
      <c r="A32455" s="1" t="str">
        <f t="shared" si="1156"/>
        <v>41940</v>
      </c>
      <c r="B32455" s="1" t="str">
        <f>"95173"</f>
        <v>95173</v>
      </c>
      <c r="C32455" s="2">
        <v>1.2307869951214601E-3</v>
      </c>
      <c r="D32455" s="2">
        <v>2.8106781221233501E-3</v>
      </c>
      <c r="E32455" s="2">
        <v>4.3801055605440001E-5</v>
      </c>
      <c r="F32455" s="2">
        <v>1.3145909474275999E-3</v>
      </c>
    </row>
    <row r="32456" spans="1:6" x14ac:dyDescent="0.25">
      <c r="A32456" s="1" t="str">
        <f t="shared" si="1156"/>
        <v>41940</v>
      </c>
      <c r="B32456" s="1" t="str">
        <f>"94086"</f>
        <v>94086</v>
      </c>
      <c r="C32456" s="2">
        <v>2.7796366422871099E-2</v>
      </c>
      <c r="D32456" s="2">
        <v>2.0018410555384999E-2</v>
      </c>
      <c r="E32456" s="2">
        <v>7.4177087667812697E-2</v>
      </c>
      <c r="F32456" s="2">
        <v>2.9465279730109602E-2</v>
      </c>
    </row>
    <row r="32457" spans="1:6" x14ac:dyDescent="0.25">
      <c r="A32457" s="1" t="str">
        <f t="shared" si="1156"/>
        <v>41940</v>
      </c>
      <c r="B32457" s="1" t="str">
        <f>"95133"</f>
        <v>95133</v>
      </c>
      <c r="C32457" s="2">
        <v>1.2198962359961801E-2</v>
      </c>
      <c r="D32457" s="2">
        <v>7.4746854863455003E-3</v>
      </c>
      <c r="E32457" s="2">
        <v>1.27023061255776E-2</v>
      </c>
      <c r="F32457" s="2">
        <v>1.1791959516446401E-2</v>
      </c>
    </row>
    <row r="32458" spans="1:6" x14ac:dyDescent="0.25">
      <c r="A32458" s="1" t="str">
        <f t="shared" si="1156"/>
        <v>41940</v>
      </c>
      <c r="B32458" s="1" t="str">
        <f>"95139"</f>
        <v>95139</v>
      </c>
      <c r="C32458" s="2">
        <v>2.9195107293659402E-3</v>
      </c>
      <c r="D32458" s="2">
        <v>7.3642221540349802E-4</v>
      </c>
      <c r="E32458" s="2">
        <v>1.9710475022448001E-4</v>
      </c>
      <c r="F32458" s="2">
        <v>2.5797019960640899E-3</v>
      </c>
    </row>
    <row r="32459" spans="1:6" x14ac:dyDescent="0.25">
      <c r="A32459" s="1" t="str">
        <f t="shared" si="1156"/>
        <v>41940</v>
      </c>
      <c r="B32459" s="1" t="str">
        <f>"95148"</f>
        <v>95148</v>
      </c>
      <c r="C32459" s="2">
        <v>1.5373028182135399E-2</v>
      </c>
      <c r="D32459" s="2">
        <v>3.8416692236882401E-3</v>
      </c>
      <c r="E32459" s="2">
        <v>9.4172269551696095E-4</v>
      </c>
      <c r="F32459" s="2">
        <v>1.3575484959235299E-2</v>
      </c>
    </row>
    <row r="32460" spans="1:6" x14ac:dyDescent="0.25">
      <c r="A32460" s="1" t="str">
        <f t="shared" si="1156"/>
        <v>41940</v>
      </c>
      <c r="B32460" s="1" t="str">
        <f>"95037"</f>
        <v>95037</v>
      </c>
      <c r="C32460" s="2">
        <v>2.3609328788081502E-2</v>
      </c>
      <c r="D32460" s="2">
        <v>2.20803927585148E-2</v>
      </c>
      <c r="E32460" s="2">
        <v>2.0958805107203E-2</v>
      </c>
      <c r="F32460" s="2">
        <v>2.33331459094742E-2</v>
      </c>
    </row>
    <row r="32461" spans="1:6" x14ac:dyDescent="0.25">
      <c r="A32461" s="1" t="str">
        <f t="shared" si="1156"/>
        <v>41940</v>
      </c>
      <c r="B32461" s="1" t="str">
        <f>"95046"</f>
        <v>95046</v>
      </c>
      <c r="C32461" s="2">
        <v>3.4535515684005198E-3</v>
      </c>
      <c r="D32461" s="2">
        <v>3.9766799631788799E-3</v>
      </c>
      <c r="E32461" s="2">
        <v>8.7602111210880102E-4</v>
      </c>
      <c r="F32461" s="2">
        <v>3.3691312904132599E-3</v>
      </c>
    </row>
    <row r="32462" spans="1:6" x14ac:dyDescent="0.25">
      <c r="A32462" s="1" t="str">
        <f t="shared" si="1156"/>
        <v>41940</v>
      </c>
      <c r="B32462" s="1" t="str">
        <f>"95116"</f>
        <v>95116</v>
      </c>
      <c r="C32462" s="2">
        <v>1.7901521294714399E-2</v>
      </c>
      <c r="D32462" s="2">
        <v>1.3169683952132499E-2</v>
      </c>
      <c r="E32462" s="2">
        <v>2.2535643108998901E-2</v>
      </c>
      <c r="F32462" s="2">
        <v>1.7705931965139102E-2</v>
      </c>
    </row>
    <row r="32463" spans="1:6" x14ac:dyDescent="0.25">
      <c r="A32463" s="1" t="str">
        <f t="shared" si="1156"/>
        <v>41940</v>
      </c>
      <c r="B32463" s="1" t="str">
        <f>"95056"</f>
        <v>95056</v>
      </c>
      <c r="C32463" s="2">
        <v>1.78450992896075E-3</v>
      </c>
      <c r="D32463" s="2">
        <v>2.0497084995397298E-3</v>
      </c>
      <c r="E32463" s="2">
        <v>4.3801055605440001E-5</v>
      </c>
      <c r="F32463" s="2">
        <v>1.71942648299128E-3</v>
      </c>
    </row>
    <row r="32464" spans="1:6" x14ac:dyDescent="0.25">
      <c r="A32464" s="1" t="str">
        <f t="shared" si="1156"/>
        <v>41940</v>
      </c>
      <c r="B32464" s="1" t="str">
        <f>"95101"</f>
        <v>95101</v>
      </c>
      <c r="C32464" s="2">
        <v>0</v>
      </c>
      <c r="D32464" s="2">
        <v>1.22737035900583E-5</v>
      </c>
      <c r="E32464" s="2">
        <v>4.3801055605440001E-5</v>
      </c>
      <c r="F32464" s="2">
        <v>3.3736294630306402E-6</v>
      </c>
    </row>
    <row r="32465" spans="1:6" x14ac:dyDescent="0.25">
      <c r="A32465" s="1" t="str">
        <f t="shared" si="1156"/>
        <v>41940</v>
      </c>
      <c r="B32465" s="1" t="str">
        <f>"95170"</f>
        <v>95170</v>
      </c>
      <c r="C32465" s="2">
        <v>1.2898332795356E-3</v>
      </c>
      <c r="D32465" s="2">
        <v>1.09235961951518E-3</v>
      </c>
      <c r="E32465" s="2">
        <v>4.3801055605440001E-5</v>
      </c>
      <c r="F32465" s="2">
        <v>1.2077593477649699E-3</v>
      </c>
    </row>
    <row r="32466" spans="1:6" x14ac:dyDescent="0.25">
      <c r="A32466" s="1" t="str">
        <f t="shared" si="1156"/>
        <v>41940</v>
      </c>
      <c r="B32466" s="1" t="str">
        <f>"95157"</f>
        <v>95157</v>
      </c>
      <c r="C32466" s="2">
        <v>1.11925512456141E-3</v>
      </c>
      <c r="D32466" s="2">
        <v>3.0316047867443999E-3</v>
      </c>
      <c r="E32466" s="2">
        <v>4.3801055605440001E-5</v>
      </c>
      <c r="F32466" s="2">
        <v>1.23924655608658E-3</v>
      </c>
    </row>
    <row r="32467" spans="1:6" x14ac:dyDescent="0.25">
      <c r="A32467" s="1" t="str">
        <f t="shared" si="1156"/>
        <v>41940</v>
      </c>
      <c r="B32467" s="1" t="str">
        <f>"95024"</f>
        <v>95024</v>
      </c>
      <c r="C32467" s="2">
        <v>1.9459031063594099E-3</v>
      </c>
      <c r="D32467" s="2">
        <v>6.0509358698987402E-3</v>
      </c>
      <c r="E32467" s="2">
        <v>4.3801055605440001E-5</v>
      </c>
      <c r="F32467" s="2">
        <v>2.22434635929153E-3</v>
      </c>
    </row>
    <row r="32468" spans="1:6" x14ac:dyDescent="0.25">
      <c r="A32468" s="1" t="str">
        <f t="shared" si="1156"/>
        <v>41940</v>
      </c>
      <c r="B32468" s="1" t="str">
        <f>"95031"</f>
        <v>95031</v>
      </c>
      <c r="C32468" s="2">
        <v>2.04956213899757E-3</v>
      </c>
      <c r="D32468" s="2">
        <v>6.6768947529917098E-3</v>
      </c>
      <c r="E32468" s="2">
        <v>4.3801055605440001E-5</v>
      </c>
      <c r="F32468" s="2">
        <v>2.3705369693561898E-3</v>
      </c>
    </row>
    <row r="32469" spans="1:6" x14ac:dyDescent="0.25">
      <c r="A32469" s="1" t="str">
        <f t="shared" si="1156"/>
        <v>41940</v>
      </c>
      <c r="B32469" s="1" t="str">
        <f>"95036"</f>
        <v>95036</v>
      </c>
      <c r="C32469" s="2">
        <v>2.01807078731003E-3</v>
      </c>
      <c r="D32469" s="2">
        <v>3.12979441546486E-3</v>
      </c>
      <c r="E32469" s="2">
        <v>4.3801055605440001E-5</v>
      </c>
      <c r="F32469" s="2">
        <v>2.0185549620466599E-3</v>
      </c>
    </row>
    <row r="32470" spans="1:6" x14ac:dyDescent="0.25">
      <c r="A32470" s="1" t="str">
        <f t="shared" ref="A32470:A32501" si="1157">"41980"</f>
        <v>41980</v>
      </c>
      <c r="B32470" s="1" t="str">
        <f>"00650"</f>
        <v>00650</v>
      </c>
      <c r="C32470" s="2">
        <v>5.3862316500774398E-3</v>
      </c>
      <c r="D32470" s="2">
        <v>2.1474196769295999E-3</v>
      </c>
      <c r="E32470" s="2">
        <v>1.2302284710017501E-3</v>
      </c>
      <c r="F32470" s="2">
        <v>5.0605691500000497E-3</v>
      </c>
    </row>
    <row r="32471" spans="1:6" x14ac:dyDescent="0.25">
      <c r="A32471" s="1" t="str">
        <f t="shared" si="1157"/>
        <v>41980</v>
      </c>
      <c r="B32471" s="1" t="str">
        <f>"00726"</f>
        <v>00726</v>
      </c>
      <c r="C32471" s="2">
        <v>5.3569840846447898E-3</v>
      </c>
      <c r="D32471" s="2">
        <v>1.18450028039556E-2</v>
      </c>
      <c r="E32471" s="2">
        <v>2.3432923257176301E-4</v>
      </c>
      <c r="F32471" s="2">
        <v>5.7664243618465597E-3</v>
      </c>
    </row>
    <row r="32472" spans="1:6" x14ac:dyDescent="0.25">
      <c r="A32472" s="1" t="str">
        <f t="shared" si="1157"/>
        <v>41980</v>
      </c>
      <c r="B32472" s="1" t="str">
        <f>"00771"</f>
        <v>00771</v>
      </c>
      <c r="C32472" s="2">
        <v>1.3861006209842999E-2</v>
      </c>
      <c r="D32472" s="2">
        <v>7.4680964560736402E-3</v>
      </c>
      <c r="E32472" s="2">
        <v>4.3936731107205602E-3</v>
      </c>
      <c r="F32472" s="2">
        <v>1.31953652721352E-2</v>
      </c>
    </row>
    <row r="32473" spans="1:6" x14ac:dyDescent="0.25">
      <c r="A32473" s="1" t="str">
        <f t="shared" si="1157"/>
        <v>41980</v>
      </c>
      <c r="B32473" s="1" t="str">
        <f>"00778"</f>
        <v>00778</v>
      </c>
      <c r="C32473" s="2">
        <v>1.8265689564000601E-2</v>
      </c>
      <c r="D32473" s="2">
        <v>6.37386986910314E-3</v>
      </c>
      <c r="E32473" s="2">
        <v>1.01933216168717E-2</v>
      </c>
      <c r="F32473" s="2">
        <v>1.7199797238592801E-2</v>
      </c>
    </row>
    <row r="32474" spans="1:6" x14ac:dyDescent="0.25">
      <c r="A32474" s="1" t="str">
        <f t="shared" si="1157"/>
        <v>41980</v>
      </c>
      <c r="B32474" s="1" t="str">
        <f>"00907"</f>
        <v>00907</v>
      </c>
      <c r="C32474" s="2">
        <v>1.36188363680607E-2</v>
      </c>
      <c r="D32474" s="2">
        <v>2.8955971057706701E-2</v>
      </c>
      <c r="E32474" s="2">
        <v>6.3620386643233703E-2</v>
      </c>
      <c r="F32474" s="2">
        <v>1.57087177880804E-2</v>
      </c>
    </row>
    <row r="32475" spans="1:6" x14ac:dyDescent="0.25">
      <c r="A32475" s="1" t="str">
        <f t="shared" si="1157"/>
        <v>41980</v>
      </c>
      <c r="B32475" s="1" t="str">
        <f>"00926"</f>
        <v>00926</v>
      </c>
      <c r="C32475" s="2">
        <v>4.9185045836784499E-2</v>
      </c>
      <c r="D32475" s="2">
        <v>3.1486370040075998E-2</v>
      </c>
      <c r="E32475" s="2">
        <v>3.9601640304627997E-2</v>
      </c>
      <c r="F32475" s="2">
        <v>4.7642581165412402E-2</v>
      </c>
    </row>
    <row r="32476" spans="1:6" x14ac:dyDescent="0.25">
      <c r="A32476" s="1" t="str">
        <f t="shared" si="1157"/>
        <v>41980</v>
      </c>
      <c r="B32476" s="1" t="str">
        <f>"00934"</f>
        <v>00934</v>
      </c>
      <c r="C32476" s="2">
        <v>7.97873585002784E-4</v>
      </c>
      <c r="D32476" s="2">
        <v>2.6398216410663199E-3</v>
      </c>
      <c r="E32476" s="2">
        <v>5.8582308142940799E-4</v>
      </c>
      <c r="F32476" s="2">
        <v>9.36554516468014E-4</v>
      </c>
    </row>
    <row r="32477" spans="1:6" x14ac:dyDescent="0.25">
      <c r="A32477" s="1" t="str">
        <f t="shared" si="1157"/>
        <v>41980</v>
      </c>
      <c r="B32477" s="1" t="str">
        <f>"00949"</f>
        <v>00949</v>
      </c>
      <c r="C32477" s="2">
        <v>2.41853968075697E-2</v>
      </c>
      <c r="D32477" s="2">
        <v>1.5100326900192799E-2</v>
      </c>
      <c r="E32477" s="2">
        <v>1.21265377855887E-2</v>
      </c>
      <c r="F32477" s="2">
        <v>2.326464914128E-2</v>
      </c>
    </row>
    <row r="32478" spans="1:6" x14ac:dyDescent="0.25">
      <c r="A32478" s="1" t="str">
        <f t="shared" si="1157"/>
        <v>41980</v>
      </c>
      <c r="B32478" s="1" t="str">
        <f>"00976"</f>
        <v>00976</v>
      </c>
      <c r="C32478" s="2">
        <v>2.2111159467085899E-2</v>
      </c>
      <c r="D32478" s="2">
        <v>8.8222018574496304E-3</v>
      </c>
      <c r="E32478" s="2">
        <v>1.7691857059168099E-2</v>
      </c>
      <c r="F32478" s="2">
        <v>2.1003161003774699E-2</v>
      </c>
    </row>
    <row r="32479" spans="1:6" x14ac:dyDescent="0.25">
      <c r="A32479" s="1" t="str">
        <f t="shared" si="1157"/>
        <v>41980</v>
      </c>
      <c r="B32479" s="1" t="str">
        <f>"00979"</f>
        <v>00979</v>
      </c>
      <c r="C32479" s="2">
        <v>1.3327530616351399E-2</v>
      </c>
      <c r="D32479" s="2">
        <v>1.20228146243383E-2</v>
      </c>
      <c r="E32479" s="2">
        <v>2.0855301698886899E-2</v>
      </c>
      <c r="F32479" s="2">
        <v>1.3362569355301199E-2</v>
      </c>
    </row>
    <row r="32480" spans="1:6" x14ac:dyDescent="0.25">
      <c r="A32480" s="1" t="str">
        <f t="shared" si="1157"/>
        <v>41980</v>
      </c>
      <c r="B32480" s="1" t="str">
        <f>"00987"</f>
        <v>00987</v>
      </c>
      <c r="C32480" s="2">
        <v>2.1884198359328502E-2</v>
      </c>
      <c r="D32480" s="2">
        <v>1.3034974217285999E-2</v>
      </c>
      <c r="E32480" s="2">
        <v>4.8506151142355E-2</v>
      </c>
      <c r="F32480" s="2">
        <v>2.16804433659663E-2</v>
      </c>
    </row>
    <row r="32481" spans="1:6" x14ac:dyDescent="0.25">
      <c r="A32481" s="1" t="str">
        <f t="shared" si="1157"/>
        <v>41980</v>
      </c>
      <c r="B32481" s="1" t="str">
        <f>"00922"</f>
        <v>00922</v>
      </c>
      <c r="C32481" s="2">
        <v>1.2751938528636801E-3</v>
      </c>
      <c r="D32481" s="2">
        <v>6.07295755768625E-3</v>
      </c>
      <c r="E32481" s="2">
        <v>1.17164616285881E-4</v>
      </c>
      <c r="F32481" s="2">
        <v>1.62547766925974E-3</v>
      </c>
    </row>
    <row r="32482" spans="1:6" x14ac:dyDescent="0.25">
      <c r="A32482" s="1" t="str">
        <f t="shared" si="1157"/>
        <v>41980</v>
      </c>
      <c r="B32482" s="1" t="str">
        <f>"00742"</f>
        <v>00742</v>
      </c>
      <c r="C32482" s="2">
        <v>0</v>
      </c>
      <c r="D32482" s="2">
        <v>0</v>
      </c>
      <c r="E32482" s="2">
        <v>5.8582308142940799E-5</v>
      </c>
      <c r="F32482" s="2">
        <v>1.0582536909243099E-6</v>
      </c>
    </row>
    <row r="32483" spans="1:6" x14ac:dyDescent="0.25">
      <c r="A32483" s="1" t="str">
        <f t="shared" si="1157"/>
        <v>41980</v>
      </c>
      <c r="B32483" s="1" t="str">
        <f>"00782"</f>
        <v>00782</v>
      </c>
      <c r="C32483" s="2">
        <v>6.8451002138581896E-3</v>
      </c>
      <c r="D32483" s="2">
        <v>3.4604915812941899E-3</v>
      </c>
      <c r="E32483" s="2">
        <v>3.3391915641476201E-3</v>
      </c>
      <c r="F32483" s="2">
        <v>6.5199009897846704E-3</v>
      </c>
    </row>
    <row r="32484" spans="1:6" x14ac:dyDescent="0.25">
      <c r="A32484" s="1" t="str">
        <f t="shared" si="1157"/>
        <v>41980</v>
      </c>
      <c r="B32484" s="1" t="str">
        <f>"00916"</f>
        <v>00916</v>
      </c>
      <c r="C32484" s="2">
        <v>1.06578128436588E-3</v>
      </c>
      <c r="D32484" s="2">
        <v>8.4802560490213497E-4</v>
      </c>
      <c r="E32484" s="2">
        <v>1.17164616285881E-4</v>
      </c>
      <c r="F32484" s="2">
        <v>1.0317973486512E-3</v>
      </c>
    </row>
    <row r="32485" spans="1:6" x14ac:dyDescent="0.25">
      <c r="A32485" s="1" t="str">
        <f t="shared" si="1157"/>
        <v>41980</v>
      </c>
      <c r="B32485" s="1" t="str">
        <f>"00962"</f>
        <v>00962</v>
      </c>
      <c r="C32485" s="2">
        <v>9.7604975361850806E-3</v>
      </c>
      <c r="D32485" s="2">
        <v>8.31612206097577E-3</v>
      </c>
      <c r="E32485" s="2">
        <v>2.4428822495606298E-2</v>
      </c>
      <c r="F32485" s="2">
        <v>9.91372057657894E-3</v>
      </c>
    </row>
    <row r="32486" spans="1:6" x14ac:dyDescent="0.25">
      <c r="A32486" s="1" t="str">
        <f t="shared" si="1157"/>
        <v>41980</v>
      </c>
      <c r="B32486" s="1" t="str">
        <f>"00957"</f>
        <v>00957</v>
      </c>
      <c r="C32486" s="2">
        <v>1.7907699363105E-2</v>
      </c>
      <c r="D32486" s="2">
        <v>8.7811683604382303E-3</v>
      </c>
      <c r="E32486" s="2">
        <v>2.3315758640890399E-2</v>
      </c>
      <c r="F32486" s="2">
        <v>1.7299273085539701E-2</v>
      </c>
    </row>
    <row r="32487" spans="1:6" x14ac:dyDescent="0.25">
      <c r="A32487" s="1" t="str">
        <f t="shared" si="1157"/>
        <v>41980</v>
      </c>
      <c r="B32487" s="1" t="str">
        <f>"00983"</f>
        <v>00983</v>
      </c>
      <c r="C32487" s="2">
        <v>1.5495360166219699E-2</v>
      </c>
      <c r="D32487" s="2">
        <v>1.3623121007782599E-2</v>
      </c>
      <c r="E32487" s="2">
        <v>1.8043350908025699E-2</v>
      </c>
      <c r="F32487" s="2">
        <v>1.5396532949257699E-2</v>
      </c>
    </row>
    <row r="32488" spans="1:6" x14ac:dyDescent="0.25">
      <c r="A32488" s="1" t="str">
        <f t="shared" si="1157"/>
        <v>41980</v>
      </c>
      <c r="B32488" s="1" t="str">
        <f>"00735"</f>
        <v>00735</v>
      </c>
      <c r="C32488" s="2">
        <v>8.0606290332392704E-3</v>
      </c>
      <c r="D32488" s="2">
        <v>3.87082655140813E-3</v>
      </c>
      <c r="E32488" s="2">
        <v>2.2847100175746901E-3</v>
      </c>
      <c r="F32488" s="2">
        <v>7.6321256189461201E-3</v>
      </c>
    </row>
    <row r="32489" spans="1:6" x14ac:dyDescent="0.25">
      <c r="A32489" s="1" t="str">
        <f t="shared" si="1157"/>
        <v>41980</v>
      </c>
      <c r="B32489" s="1" t="str">
        <f>"00739"</f>
        <v>00739</v>
      </c>
      <c r="C32489" s="2">
        <v>1.5643937798617599E-2</v>
      </c>
      <c r="D32489" s="2">
        <v>8.6443900370669208E-3</v>
      </c>
      <c r="E32489" s="2">
        <v>5.3309900410076104E-3</v>
      </c>
      <c r="F32489" s="2">
        <v>1.49160857735781E-2</v>
      </c>
    </row>
    <row r="32490" spans="1:6" x14ac:dyDescent="0.25">
      <c r="A32490" s="1" t="str">
        <f t="shared" si="1157"/>
        <v>41980</v>
      </c>
      <c r="B32490" s="1" t="str">
        <f>"00773"</f>
        <v>00773</v>
      </c>
      <c r="C32490" s="2">
        <v>1.18019776033842E-2</v>
      </c>
      <c r="D32490" s="2">
        <v>5.4711329348524802E-3</v>
      </c>
      <c r="E32490" s="2">
        <v>7.2056239015817203E-3</v>
      </c>
      <c r="F32490" s="2">
        <v>1.12291299143978E-2</v>
      </c>
    </row>
    <row r="32491" spans="1:6" x14ac:dyDescent="0.25">
      <c r="A32491" s="1" t="str">
        <f t="shared" si="1157"/>
        <v>41980</v>
      </c>
      <c r="B32491" s="1" t="str">
        <f>"00783"</f>
        <v>00783</v>
      </c>
      <c r="C32491" s="2">
        <v>1.0207400335996E-2</v>
      </c>
      <c r="D32491" s="2">
        <v>6.9209831625883901E-3</v>
      </c>
      <c r="E32491" s="2">
        <v>5.8582308142940799E-3</v>
      </c>
      <c r="F32491" s="2">
        <v>9.8745651900147401E-3</v>
      </c>
    </row>
    <row r="32492" spans="1:6" x14ac:dyDescent="0.25">
      <c r="A32492" s="1" t="str">
        <f t="shared" si="1157"/>
        <v>41980</v>
      </c>
      <c r="B32492" s="1" t="str">
        <f>"00794"</f>
        <v>00794</v>
      </c>
      <c r="C32492" s="2">
        <v>7.3914447361401597E-3</v>
      </c>
      <c r="D32492" s="2">
        <v>6.8662718332398601E-3</v>
      </c>
      <c r="E32492" s="2">
        <v>4.9794961921499703E-3</v>
      </c>
      <c r="F32492" s="2">
        <v>7.3072417358323602E-3</v>
      </c>
    </row>
    <row r="32493" spans="1:6" x14ac:dyDescent="0.25">
      <c r="A32493" s="1" t="str">
        <f t="shared" si="1157"/>
        <v>41980</v>
      </c>
      <c r="B32493" s="1" t="str">
        <f>"00914"</f>
        <v>00914</v>
      </c>
      <c r="C32493" s="2">
        <v>8.8561628130074397E-4</v>
      </c>
      <c r="D32493" s="2">
        <v>2.4209763236722201E-3</v>
      </c>
      <c r="E32493" s="2">
        <v>1.17164616285881E-4</v>
      </c>
      <c r="F32493" s="2">
        <v>9.9052545470515408E-4</v>
      </c>
    </row>
    <row r="32494" spans="1:6" x14ac:dyDescent="0.25">
      <c r="A32494" s="1" t="str">
        <f t="shared" si="1157"/>
        <v>41980</v>
      </c>
      <c r="B32494" s="1" t="str">
        <f>"00921"</f>
        <v>00921</v>
      </c>
      <c r="C32494" s="2">
        <v>1.6166884268553401E-2</v>
      </c>
      <c r="D32494" s="2">
        <v>2.25957790209407E-2</v>
      </c>
      <c r="E32494" s="2">
        <v>2.1968365553602799E-2</v>
      </c>
      <c r="F32494" s="2">
        <v>1.6769087986386599E-2</v>
      </c>
    </row>
    <row r="32495" spans="1:6" x14ac:dyDescent="0.25">
      <c r="A32495" s="1" t="str">
        <f t="shared" si="1157"/>
        <v>41980</v>
      </c>
      <c r="B32495" s="1" t="str">
        <f>"00918"</f>
        <v>00918</v>
      </c>
      <c r="C32495" s="2">
        <v>1.1057919538777499E-2</v>
      </c>
      <c r="D32495" s="2">
        <v>5.32614791207889E-2</v>
      </c>
      <c r="E32495" s="2">
        <v>3.1927357937902703E-2</v>
      </c>
      <c r="F32495" s="2">
        <v>1.4700202020629501E-2</v>
      </c>
    </row>
    <row r="32496" spans="1:6" x14ac:dyDescent="0.25">
      <c r="A32496" s="1" t="str">
        <f t="shared" si="1157"/>
        <v>41980</v>
      </c>
      <c r="B32496" s="1" t="str">
        <f>"00919"</f>
        <v>00919</v>
      </c>
      <c r="C32496" s="2">
        <v>3.8653582475794701E-3</v>
      </c>
      <c r="D32496" s="2">
        <v>1.9203676601332199E-2</v>
      </c>
      <c r="E32496" s="2">
        <v>1.17164616285881E-4</v>
      </c>
      <c r="F32496" s="2">
        <v>4.9843748842535E-3</v>
      </c>
    </row>
    <row r="32497" spans="1:6" x14ac:dyDescent="0.25">
      <c r="A32497" s="1" t="str">
        <f t="shared" si="1157"/>
        <v>41980</v>
      </c>
      <c r="B32497" s="1" t="str">
        <f>"00953"</f>
        <v>00953</v>
      </c>
      <c r="C32497" s="2">
        <v>2.4128071579321699E-2</v>
      </c>
      <c r="D32497" s="2">
        <v>7.8510757615133098E-3</v>
      </c>
      <c r="E32497" s="2">
        <v>3.4563561804335E-3</v>
      </c>
      <c r="F32497" s="2">
        <v>2.2495298707978E-2</v>
      </c>
    </row>
    <row r="32498" spans="1:6" x14ac:dyDescent="0.25">
      <c r="A32498" s="1" t="str">
        <f t="shared" si="1157"/>
        <v>41980</v>
      </c>
      <c r="B32498" s="1" t="str">
        <f>"00956"</f>
        <v>00956</v>
      </c>
      <c r="C32498" s="2">
        <v>2.9077929553143901E-2</v>
      </c>
      <c r="D32498" s="2">
        <v>2.2718879511974901E-2</v>
      </c>
      <c r="E32498" s="2">
        <v>2.5893380199179802E-2</v>
      </c>
      <c r="F32498" s="2">
        <v>2.8528402999937499E-2</v>
      </c>
    </row>
    <row r="32499" spans="1:6" x14ac:dyDescent="0.25">
      <c r="A32499" s="1" t="str">
        <f t="shared" si="1157"/>
        <v>41980</v>
      </c>
      <c r="B32499" s="1" t="str">
        <f>"00954"</f>
        <v>00954</v>
      </c>
      <c r="C32499" s="2">
        <v>1.71507723697079E-3</v>
      </c>
      <c r="D32499" s="2">
        <v>7.1124728153082201E-4</v>
      </c>
      <c r="E32499" s="2">
        <v>1.17164616285881E-4</v>
      </c>
      <c r="F32499" s="2">
        <v>1.60854561020495E-3</v>
      </c>
    </row>
    <row r="32500" spans="1:6" x14ac:dyDescent="0.25">
      <c r="A32500" s="1" t="str">
        <f t="shared" si="1157"/>
        <v>41980</v>
      </c>
      <c r="B32500" s="1" t="str">
        <f>"00936"</f>
        <v>00936</v>
      </c>
      <c r="C32500" s="2">
        <v>4.6000570912477197E-3</v>
      </c>
      <c r="D32500" s="2">
        <v>2.4360219392430601E-2</v>
      </c>
      <c r="E32500" s="2">
        <v>2.75336848271821E-3</v>
      </c>
      <c r="F32500" s="2">
        <v>6.0955412597240204E-3</v>
      </c>
    </row>
    <row r="32501" spans="1:6" x14ac:dyDescent="0.25">
      <c r="A32501" s="1" t="str">
        <f t="shared" si="1157"/>
        <v>41980</v>
      </c>
      <c r="B32501" s="1" t="str">
        <f>"00940"</f>
        <v>00940</v>
      </c>
      <c r="C32501" s="2">
        <v>1.2787035607156E-3</v>
      </c>
      <c r="D32501" s="2">
        <v>1.75076253915279E-3</v>
      </c>
      <c r="E32501" s="2">
        <v>1.7574692442882199E-4</v>
      </c>
      <c r="F32501" s="2">
        <v>1.29530251769135E-3</v>
      </c>
    </row>
    <row r="32502" spans="1:6" x14ac:dyDescent="0.25">
      <c r="A32502" s="1" t="str">
        <f t="shared" ref="A32502:A32533" si="1158">"41980"</f>
        <v>41980</v>
      </c>
      <c r="B32502" s="1" t="str">
        <f>"00958"</f>
        <v>00958</v>
      </c>
      <c r="C32502" s="2">
        <v>8.1893183211429398E-4</v>
      </c>
      <c r="D32502" s="2">
        <v>2.8039556291118901E-3</v>
      </c>
      <c r="E32502" s="2">
        <v>1.17164616285881E-4</v>
      </c>
      <c r="F32502" s="2">
        <v>9.5983609766834904E-4</v>
      </c>
    </row>
    <row r="32503" spans="1:6" x14ac:dyDescent="0.25">
      <c r="A32503" s="1" t="str">
        <f t="shared" si="1158"/>
        <v>41980</v>
      </c>
      <c r="B32503" s="1" t="str">
        <f>"00736"</f>
        <v>00736</v>
      </c>
      <c r="C32503" s="2">
        <v>1.71332238304483E-2</v>
      </c>
      <c r="D32503" s="2">
        <v>1.44574687803476E-2</v>
      </c>
      <c r="E32503" s="2">
        <v>9.0216754540128792E-3</v>
      </c>
      <c r="F32503" s="2">
        <v>1.6779670523295799E-2</v>
      </c>
    </row>
    <row r="32504" spans="1:6" x14ac:dyDescent="0.25">
      <c r="A32504" s="1" t="str">
        <f t="shared" si="1158"/>
        <v>41980</v>
      </c>
      <c r="B32504" s="1" t="str">
        <f>"00745"</f>
        <v>00745</v>
      </c>
      <c r="C32504" s="2">
        <v>2.1339023739663902E-2</v>
      </c>
      <c r="D32504" s="2">
        <v>9.2735703245749607E-3</v>
      </c>
      <c r="E32504" s="2">
        <v>3.3977738722905599E-3</v>
      </c>
      <c r="F32504" s="2">
        <v>2.0081422038979699E-2</v>
      </c>
    </row>
    <row r="32505" spans="1:6" x14ac:dyDescent="0.25">
      <c r="A32505" s="1" t="str">
        <f t="shared" si="1158"/>
        <v>41980</v>
      </c>
      <c r="B32505" s="1" t="str">
        <f>"00737"</f>
        <v>00737</v>
      </c>
      <c r="C32505" s="2">
        <v>3.7319893492065701E-3</v>
      </c>
      <c r="D32505" s="2">
        <v>2.0516748505696801E-3</v>
      </c>
      <c r="E32505" s="2">
        <v>1.17164616285881E-4</v>
      </c>
      <c r="F32505" s="2">
        <v>3.5366838350690401E-3</v>
      </c>
    </row>
    <row r="32506" spans="1:6" x14ac:dyDescent="0.25">
      <c r="A32506" s="1" t="str">
        <f t="shared" si="1158"/>
        <v>41980</v>
      </c>
      <c r="B32506" s="1" t="str">
        <f>"00738"</f>
        <v>00738</v>
      </c>
      <c r="C32506" s="2">
        <v>1.8874038924999802E-2</v>
      </c>
      <c r="D32506" s="2">
        <v>1.9846534721177301E-2</v>
      </c>
      <c r="E32506" s="2">
        <v>1.54657293497363E-2</v>
      </c>
      <c r="F32506" s="2">
        <v>1.8887711875617001E-2</v>
      </c>
    </row>
    <row r="32507" spans="1:6" x14ac:dyDescent="0.25">
      <c r="A32507" s="1" t="str">
        <f t="shared" si="1158"/>
        <v>41980</v>
      </c>
      <c r="B32507" s="1" t="str">
        <f>"00911"</f>
        <v>00911</v>
      </c>
      <c r="C32507" s="2">
        <v>5.61202285521753E-3</v>
      </c>
      <c r="D32507" s="2">
        <v>8.9316245161466801E-3</v>
      </c>
      <c r="E32507" s="2">
        <v>3.7844171060339701E-2</v>
      </c>
      <c r="F32507" s="2">
        <v>6.4511144998745896E-3</v>
      </c>
    </row>
    <row r="32508" spans="1:6" x14ac:dyDescent="0.25">
      <c r="A32508" s="1" t="str">
        <f t="shared" si="1158"/>
        <v>41980</v>
      </c>
      <c r="B32508" s="1" t="str">
        <f>"00917"</f>
        <v>00917</v>
      </c>
      <c r="C32508" s="2">
        <v>1.06215458625224E-2</v>
      </c>
      <c r="D32508" s="2">
        <v>2.0434681511674001E-2</v>
      </c>
      <c r="E32508" s="2">
        <v>2.1968365553602799E-2</v>
      </c>
      <c r="F32508" s="2">
        <v>1.15857614082393E-2</v>
      </c>
    </row>
    <row r="32509" spans="1:6" x14ac:dyDescent="0.25">
      <c r="A32509" s="1" t="str">
        <f t="shared" si="1158"/>
        <v>41980</v>
      </c>
      <c r="B32509" s="1" t="str">
        <f>"00923"</f>
        <v>00923</v>
      </c>
      <c r="C32509" s="2">
        <v>1.33170014927957E-2</v>
      </c>
      <c r="D32509" s="2">
        <v>6.9346609949255201E-3</v>
      </c>
      <c r="E32509" s="2">
        <v>2.3725834797891001E-2</v>
      </c>
      <c r="F32509" s="2">
        <v>1.3011229129914301E-2</v>
      </c>
    </row>
    <row r="32510" spans="1:6" x14ac:dyDescent="0.25">
      <c r="A32510" s="1" t="str">
        <f t="shared" si="1158"/>
        <v>41980</v>
      </c>
      <c r="B32510" s="1" t="str">
        <f>"00925"</f>
        <v>00925</v>
      </c>
      <c r="C32510" s="2">
        <v>3.9332125993832203E-3</v>
      </c>
      <c r="D32510" s="2">
        <v>1.5661118026015199E-2</v>
      </c>
      <c r="E32510" s="2">
        <v>2.91154071470415E-2</v>
      </c>
      <c r="F32510" s="2">
        <v>5.2955014693852401E-3</v>
      </c>
    </row>
    <row r="32511" spans="1:6" x14ac:dyDescent="0.25">
      <c r="A32511" s="1" t="str">
        <f t="shared" si="1158"/>
        <v>41980</v>
      </c>
      <c r="B32511" s="1" t="str">
        <f>"00959"</f>
        <v>00959</v>
      </c>
      <c r="C32511" s="2">
        <v>2.2210601189556901E-2</v>
      </c>
      <c r="D32511" s="2">
        <v>2.98587079919574E-2</v>
      </c>
      <c r="E32511" s="2">
        <v>3.0638547158757998E-2</v>
      </c>
      <c r="F32511" s="2">
        <v>2.2954580809839201E-2</v>
      </c>
    </row>
    <row r="32512" spans="1:6" x14ac:dyDescent="0.25">
      <c r="A32512" s="1" t="str">
        <f t="shared" si="1158"/>
        <v>41980</v>
      </c>
      <c r="B32512" s="1" t="str">
        <f>"00960"</f>
        <v>00960</v>
      </c>
      <c r="C32512" s="2">
        <v>5.6482898363540198E-3</v>
      </c>
      <c r="D32512" s="2">
        <v>1.35136983490856E-2</v>
      </c>
      <c r="E32512" s="2">
        <v>1.17164616285881E-4</v>
      </c>
      <c r="F32512" s="2">
        <v>6.1569199737976296E-3</v>
      </c>
    </row>
    <row r="32513" spans="1:6" x14ac:dyDescent="0.25">
      <c r="A32513" s="1" t="str">
        <f t="shared" si="1158"/>
        <v>41980</v>
      </c>
      <c r="B32513" s="1" t="str">
        <f>"00977"</f>
        <v>00977</v>
      </c>
      <c r="C32513" s="2">
        <v>2.1561305236952001E-3</v>
      </c>
      <c r="D32513" s="2">
        <v>2.7629221321004999E-3</v>
      </c>
      <c r="E32513" s="2">
        <v>1.17164616285881E-4</v>
      </c>
      <c r="F32513" s="2">
        <v>2.16624530532206E-3</v>
      </c>
    </row>
    <row r="32514" spans="1:6" x14ac:dyDescent="0.25">
      <c r="A32514" s="1" t="str">
        <f t="shared" si="1158"/>
        <v>41980</v>
      </c>
      <c r="B32514" s="1" t="str">
        <f>"00982"</f>
        <v>00982</v>
      </c>
      <c r="C32514" s="2">
        <v>6.7023720945468398E-3</v>
      </c>
      <c r="D32514" s="2">
        <v>8.0152097495588808E-3</v>
      </c>
      <c r="E32514" s="2">
        <v>5.9753954305799602E-3</v>
      </c>
      <c r="F32514" s="2">
        <v>6.7908139346613003E-3</v>
      </c>
    </row>
    <row r="32515" spans="1:6" x14ac:dyDescent="0.25">
      <c r="A32515" s="1" t="str">
        <f t="shared" si="1158"/>
        <v>41980</v>
      </c>
      <c r="B32515" s="1" t="str">
        <f>"00968"</f>
        <v>00968</v>
      </c>
      <c r="C32515" s="2">
        <v>2.6311109863214901E-3</v>
      </c>
      <c r="D32515" s="2">
        <v>1.5715829355363701E-2</v>
      </c>
      <c r="E32515" s="2">
        <v>9.1974223784417105E-3</v>
      </c>
      <c r="F32515" s="2">
        <v>3.7620918712359202E-3</v>
      </c>
    </row>
    <row r="32516" spans="1:6" x14ac:dyDescent="0.25">
      <c r="A32516" s="1" t="str">
        <f t="shared" si="1158"/>
        <v>41980</v>
      </c>
      <c r="B32516" s="1" t="str">
        <f>"00984"</f>
        <v>00984</v>
      </c>
      <c r="C32516" s="2">
        <v>2.8557322888442698E-3</v>
      </c>
      <c r="D32516" s="2">
        <v>6.2507693780689596E-3</v>
      </c>
      <c r="E32516" s="2">
        <v>1.17164616285881E-4</v>
      </c>
      <c r="F32516" s="2">
        <v>3.0689357036804998E-3</v>
      </c>
    </row>
    <row r="32517" spans="1:6" x14ac:dyDescent="0.25">
      <c r="A32517" s="1" t="str">
        <f t="shared" si="1158"/>
        <v>41980</v>
      </c>
      <c r="B32517" s="1" t="str">
        <f>"00721"</f>
        <v>00721</v>
      </c>
      <c r="C32517" s="2">
        <v>5.75592087714618E-4</v>
      </c>
      <c r="D32517" s="2">
        <v>2.18845317394099E-4</v>
      </c>
      <c r="E32517" s="2">
        <v>1.17164616285881E-4</v>
      </c>
      <c r="F32517" s="2">
        <v>5.3970938237139798E-4</v>
      </c>
    </row>
    <row r="32518" spans="1:6" x14ac:dyDescent="0.25">
      <c r="A32518" s="1" t="str">
        <f t="shared" si="1158"/>
        <v>41980</v>
      </c>
      <c r="B32518" s="1" t="str">
        <f>"00963"</f>
        <v>00963</v>
      </c>
      <c r="C32518" s="2">
        <v>1.3758054779520099E-3</v>
      </c>
      <c r="D32518" s="2">
        <v>1.31307190436459E-3</v>
      </c>
      <c r="E32518" s="2">
        <v>1.17164616285881E-4</v>
      </c>
      <c r="F32518" s="2">
        <v>1.3482152022375701E-3</v>
      </c>
    </row>
    <row r="32519" spans="1:6" x14ac:dyDescent="0.25">
      <c r="A32519" s="1" t="str">
        <f t="shared" si="1158"/>
        <v>41980</v>
      </c>
      <c r="B32519" s="1" t="str">
        <f>"00638"</f>
        <v>00638</v>
      </c>
      <c r="C32519" s="2">
        <v>7.4054835675478299E-3</v>
      </c>
      <c r="D32519" s="2">
        <v>4.1990945274992799E-3</v>
      </c>
      <c r="E32519" s="2">
        <v>2.9876977152899801E-3</v>
      </c>
      <c r="F32519" s="2">
        <v>7.0776006849017801E-3</v>
      </c>
    </row>
    <row r="32520" spans="1:6" x14ac:dyDescent="0.25">
      <c r="A32520" s="1" t="str">
        <f t="shared" si="1158"/>
        <v>41980</v>
      </c>
      <c r="B32520" s="1" t="str">
        <f>"00703"</f>
        <v>00703</v>
      </c>
      <c r="C32520" s="2">
        <v>8.1109348457834296E-3</v>
      </c>
      <c r="D32520" s="2">
        <v>3.8434708867338698E-3</v>
      </c>
      <c r="E32520" s="2">
        <v>2.1089630931458601E-3</v>
      </c>
      <c r="F32520" s="2">
        <v>7.6723392592012501E-3</v>
      </c>
    </row>
    <row r="32521" spans="1:6" x14ac:dyDescent="0.25">
      <c r="A32521" s="1" t="str">
        <f t="shared" si="1158"/>
        <v>41980</v>
      </c>
      <c r="B32521" s="1" t="str">
        <f>"00727"</f>
        <v>00727</v>
      </c>
      <c r="C32521" s="2">
        <v>2.16139508547308E-2</v>
      </c>
      <c r="D32521" s="2">
        <v>5.6352669228980504E-3</v>
      </c>
      <c r="E32521" s="2">
        <v>1.0603397773872199E-2</v>
      </c>
      <c r="F32521" s="2">
        <v>2.0178781378544699E-2</v>
      </c>
    </row>
    <row r="32522" spans="1:6" x14ac:dyDescent="0.25">
      <c r="A32522" s="1" t="str">
        <f t="shared" si="1158"/>
        <v>41980</v>
      </c>
      <c r="B32522" s="1" t="str">
        <f>"00719"</f>
        <v>00719</v>
      </c>
      <c r="C32522" s="2">
        <v>6.8731778766735396E-3</v>
      </c>
      <c r="D32522" s="2">
        <v>5.7583674139322404E-3</v>
      </c>
      <c r="E32522" s="2">
        <v>1.0544815465729301E-3</v>
      </c>
      <c r="F32522" s="2">
        <v>6.6818138044960904E-3</v>
      </c>
    </row>
    <row r="32523" spans="1:6" x14ac:dyDescent="0.25">
      <c r="A32523" s="1" t="str">
        <f t="shared" si="1158"/>
        <v>41980</v>
      </c>
      <c r="B32523" s="1" t="str">
        <f>"00754"</f>
        <v>00754</v>
      </c>
      <c r="C32523" s="2">
        <v>1.40891372202177E-2</v>
      </c>
      <c r="D32523" s="2">
        <v>9.3146038215863505E-3</v>
      </c>
      <c r="E32523" s="2">
        <v>6.4440538957234901E-3</v>
      </c>
      <c r="F32523" s="2">
        <v>1.3581627869322601E-2</v>
      </c>
    </row>
    <row r="32524" spans="1:6" x14ac:dyDescent="0.25">
      <c r="A32524" s="1" t="str">
        <f t="shared" si="1158"/>
        <v>41980</v>
      </c>
      <c r="B32524" s="1" t="str">
        <f>"00777"</f>
        <v>00777</v>
      </c>
      <c r="C32524" s="2">
        <v>1.6537743398239501E-2</v>
      </c>
      <c r="D32524" s="2">
        <v>9.1778254982150392E-3</v>
      </c>
      <c r="E32524" s="2">
        <v>1.0251903925014599E-2</v>
      </c>
      <c r="F32524" s="2">
        <v>1.5854756797428E-2</v>
      </c>
    </row>
    <row r="32525" spans="1:6" x14ac:dyDescent="0.25">
      <c r="A32525" s="1" t="str">
        <f t="shared" si="1158"/>
        <v>41980</v>
      </c>
      <c r="B32525" s="1" t="str">
        <f>"00915"</f>
        <v>00915</v>
      </c>
      <c r="C32525" s="2">
        <v>1.2908705479355799E-2</v>
      </c>
      <c r="D32525" s="2">
        <v>1.0504575234916699E-2</v>
      </c>
      <c r="E32525" s="2">
        <v>2.5307557117750401E-2</v>
      </c>
      <c r="F32525" s="2">
        <v>1.2946675654768E-2</v>
      </c>
    </row>
    <row r="32526" spans="1:6" x14ac:dyDescent="0.25">
      <c r="A32526" s="1" t="str">
        <f t="shared" si="1158"/>
        <v>41980</v>
      </c>
      <c r="B32526" s="1" t="str">
        <f>"00937"</f>
        <v>00937</v>
      </c>
      <c r="C32526" s="2">
        <v>1.0189851796736399E-3</v>
      </c>
      <c r="D32526" s="2">
        <v>1.7097290421414001E-3</v>
      </c>
      <c r="E32526" s="2">
        <v>1.17164616285881E-4</v>
      </c>
      <c r="F32526" s="2">
        <v>1.0561371835424601E-3</v>
      </c>
    </row>
    <row r="32527" spans="1:6" x14ac:dyDescent="0.25">
      <c r="A32527" s="1" t="str">
        <f t="shared" si="1158"/>
        <v>41980</v>
      </c>
      <c r="B32527" s="1" t="str">
        <f>"00961"</f>
        <v>00961</v>
      </c>
      <c r="C32527" s="2">
        <v>1.40891372202177E-2</v>
      </c>
      <c r="D32527" s="2">
        <v>2.7670254818016399E-2</v>
      </c>
      <c r="E32527" s="2">
        <v>1.39425893380199E-2</v>
      </c>
      <c r="F32527" s="2">
        <v>1.5137260794981299E-2</v>
      </c>
    </row>
    <row r="32528" spans="1:6" x14ac:dyDescent="0.25">
      <c r="A32528" s="1" t="str">
        <f t="shared" si="1158"/>
        <v>41980</v>
      </c>
      <c r="B32528" s="1" t="str">
        <f>"00740"</f>
        <v>00740</v>
      </c>
      <c r="C32528" s="2">
        <v>1.7326257762303799E-3</v>
      </c>
      <c r="D32528" s="2">
        <v>1.94225219187263E-3</v>
      </c>
      <c r="E32528" s="2">
        <v>5.2724077328646698E-4</v>
      </c>
      <c r="F32528" s="2">
        <v>1.72707002358847E-3</v>
      </c>
    </row>
    <row r="32529" spans="1:6" x14ac:dyDescent="0.25">
      <c r="A32529" s="1" t="str">
        <f t="shared" si="1158"/>
        <v>41980</v>
      </c>
      <c r="B32529" s="1" t="str">
        <f>"00951"</f>
        <v>00951</v>
      </c>
      <c r="C32529" s="2">
        <v>2.79372745012705E-3</v>
      </c>
      <c r="D32529" s="2">
        <v>1.3951388983873801E-3</v>
      </c>
      <c r="E32529" s="2">
        <v>1.17164616285881E-4</v>
      </c>
      <c r="F32529" s="2">
        <v>2.63716819778338E-3</v>
      </c>
    </row>
    <row r="32530" spans="1:6" x14ac:dyDescent="0.25">
      <c r="A32530" s="1" t="str">
        <f t="shared" si="1158"/>
        <v>41980</v>
      </c>
      <c r="B32530" s="1" t="str">
        <f>"00687"</f>
        <v>00687</v>
      </c>
      <c r="C32530" s="2">
        <v>1.10544098309256E-2</v>
      </c>
      <c r="D32530" s="2">
        <v>5.6626225875723198E-3</v>
      </c>
      <c r="E32530" s="2">
        <v>4.3936731107205602E-3</v>
      </c>
      <c r="F32530" s="2">
        <v>1.0516925180405701E-2</v>
      </c>
    </row>
    <row r="32531" spans="1:6" x14ac:dyDescent="0.25">
      <c r="A32531" s="1" t="str">
        <f t="shared" si="1158"/>
        <v>41980</v>
      </c>
      <c r="B32531" s="1" t="str">
        <f>"00692"</f>
        <v>00692</v>
      </c>
      <c r="C32531" s="2">
        <v>1.40914770254524E-2</v>
      </c>
      <c r="D32531" s="2">
        <v>1.1352600839818899E-2</v>
      </c>
      <c r="E32531" s="2">
        <v>6.4440538957234901E-3</v>
      </c>
      <c r="F32531" s="2">
        <v>1.37414241766521E-2</v>
      </c>
    </row>
    <row r="32532" spans="1:6" x14ac:dyDescent="0.25">
      <c r="A32532" s="1" t="str">
        <f t="shared" si="1158"/>
        <v>41980</v>
      </c>
      <c r="B32532" s="1" t="str">
        <f>"00694"</f>
        <v>00694</v>
      </c>
      <c r="C32532" s="2">
        <v>3.4301544739415799E-3</v>
      </c>
      <c r="D32532" s="2">
        <v>2.31155366497517E-3</v>
      </c>
      <c r="E32532" s="2">
        <v>1.17164616285881E-4</v>
      </c>
      <c r="F32532" s="2">
        <v>3.2837612029381299E-3</v>
      </c>
    </row>
    <row r="32533" spans="1:6" x14ac:dyDescent="0.25">
      <c r="A32533" s="1" t="str">
        <f t="shared" si="1158"/>
        <v>41980</v>
      </c>
      <c r="B32533" s="1" t="str">
        <f>"00720"</f>
        <v>00720</v>
      </c>
      <c r="C32533" s="2">
        <v>3.6044699639202001E-3</v>
      </c>
      <c r="D32533" s="2">
        <v>3.5288807429798498E-3</v>
      </c>
      <c r="E32533" s="2">
        <v>4.2765084944346799E-3</v>
      </c>
      <c r="F32533" s="2">
        <v>3.6107615934337402E-3</v>
      </c>
    </row>
    <row r="32534" spans="1:6" x14ac:dyDescent="0.25">
      <c r="A32534" s="1" t="str">
        <f t="shared" ref="A32534:A32565" si="1159">"41980"</f>
        <v>41980</v>
      </c>
      <c r="B32534" s="1" t="str">
        <f>"00741"</f>
        <v>00741</v>
      </c>
      <c r="C32534" s="2">
        <v>2.6767371883964302E-3</v>
      </c>
      <c r="D32534" s="2">
        <v>8.34347772565003E-4</v>
      </c>
      <c r="E32534" s="2">
        <v>1.17164616285881E-4</v>
      </c>
      <c r="F32534" s="2">
        <v>2.48795442736305E-3</v>
      </c>
    </row>
    <row r="32535" spans="1:6" x14ac:dyDescent="0.25">
      <c r="A32535" s="1" t="str">
        <f t="shared" si="1159"/>
        <v>41980</v>
      </c>
      <c r="B32535" s="1" t="str">
        <f>"00792"</f>
        <v>00792</v>
      </c>
      <c r="C32535" s="2">
        <v>2.5667663423696598E-3</v>
      </c>
      <c r="D32535" s="2">
        <v>3.50152507830559E-3</v>
      </c>
      <c r="E32535" s="2">
        <v>1.17164616285881E-4</v>
      </c>
      <c r="F32535" s="2">
        <v>2.5948380501464E-3</v>
      </c>
    </row>
    <row r="32536" spans="1:6" x14ac:dyDescent="0.25">
      <c r="A32536" s="1" t="str">
        <f t="shared" si="1159"/>
        <v>41980</v>
      </c>
      <c r="B32536" s="1" t="str">
        <f>"00908"</f>
        <v>00908</v>
      </c>
      <c r="C32536" s="2">
        <v>1.5723491176594399E-3</v>
      </c>
      <c r="D32536" s="2">
        <v>5.3480324438182998E-3</v>
      </c>
      <c r="E32536" s="2">
        <v>1.17164616285881E-4</v>
      </c>
      <c r="F32536" s="2">
        <v>1.8381866611355199E-3</v>
      </c>
    </row>
    <row r="32537" spans="1:6" x14ac:dyDescent="0.25">
      <c r="A32537" s="1" t="str">
        <f t="shared" si="1159"/>
        <v>41980</v>
      </c>
      <c r="B32537" s="1" t="str">
        <f>"00902"</f>
        <v>00902</v>
      </c>
      <c r="C32537" s="2">
        <v>4.1437950704983299E-3</v>
      </c>
      <c r="D32537" s="2">
        <v>8.7674905281011004E-3</v>
      </c>
      <c r="E32537" s="2">
        <v>1.17164616285881E-4</v>
      </c>
      <c r="F32537" s="2">
        <v>4.4287916965182299E-3</v>
      </c>
    </row>
    <row r="32538" spans="1:6" x14ac:dyDescent="0.25">
      <c r="A32538" s="1" t="str">
        <f t="shared" si="1159"/>
        <v>41980</v>
      </c>
      <c r="B32538" s="1" t="str">
        <f>"00924"</f>
        <v>00924</v>
      </c>
      <c r="C32538" s="2">
        <v>2.43842802525117E-2</v>
      </c>
      <c r="D32538" s="2">
        <v>1.4594247103719E-2</v>
      </c>
      <c r="E32538" s="2">
        <v>1.8980667838312801E-2</v>
      </c>
      <c r="F32538" s="2">
        <v>2.3529212564011099E-2</v>
      </c>
    </row>
    <row r="32539" spans="1:6" x14ac:dyDescent="0.25">
      <c r="A32539" s="1" t="str">
        <f t="shared" si="1159"/>
        <v>41980</v>
      </c>
      <c r="B32539" s="1" t="str">
        <f>"00950"</f>
        <v>00950</v>
      </c>
      <c r="C32539" s="2">
        <v>2.37256250789684E-3</v>
      </c>
      <c r="D32539" s="2">
        <v>4.2674836891849303E-3</v>
      </c>
      <c r="E32539" s="2">
        <v>1.17164616285881E-4</v>
      </c>
      <c r="F32539" s="2">
        <v>2.4784301441447298E-3</v>
      </c>
    </row>
    <row r="32540" spans="1:6" x14ac:dyDescent="0.25">
      <c r="A32540" s="1" t="str">
        <f t="shared" si="1159"/>
        <v>41980</v>
      </c>
      <c r="B32540" s="1" t="str">
        <f>"00969"</f>
        <v>00969</v>
      </c>
      <c r="C32540" s="2">
        <v>1.7577786825024599E-2</v>
      </c>
      <c r="D32540" s="2">
        <v>1.48404480857873E-2</v>
      </c>
      <c r="E32540" s="2">
        <v>1.8101933216168702E-2</v>
      </c>
      <c r="F32540" s="2">
        <v>1.73754673512862E-2</v>
      </c>
    </row>
    <row r="32541" spans="1:6" x14ac:dyDescent="0.25">
      <c r="A32541" s="1" t="str">
        <f t="shared" si="1159"/>
        <v>41980</v>
      </c>
      <c r="B32541" s="1" t="str">
        <f>"00971"</f>
        <v>00971</v>
      </c>
      <c r="C32541" s="2">
        <v>7.56225051826685E-3</v>
      </c>
      <c r="D32541" s="2">
        <v>4.78724131799592E-4</v>
      </c>
      <c r="E32541" s="2">
        <v>2.2261277094317499E-3</v>
      </c>
      <c r="F32541" s="2">
        <v>6.9178043775722101E-3</v>
      </c>
    </row>
    <row r="32542" spans="1:6" x14ac:dyDescent="0.25">
      <c r="A32542" s="1" t="str">
        <f t="shared" si="1159"/>
        <v>41980</v>
      </c>
      <c r="B32542" s="1" t="str">
        <f>"00986"</f>
        <v>00986</v>
      </c>
      <c r="C32542" s="2">
        <v>2.3772421183660599E-3</v>
      </c>
      <c r="D32542" s="2">
        <v>1.60030638344435E-3</v>
      </c>
      <c r="E32542" s="2">
        <v>1.17164616285881E-4</v>
      </c>
      <c r="F32542" s="2">
        <v>2.2763036891781901E-3</v>
      </c>
    </row>
    <row r="32543" spans="1:6" x14ac:dyDescent="0.25">
      <c r="A32543" s="1" t="str">
        <f t="shared" si="1159"/>
        <v>41980</v>
      </c>
      <c r="B32543" s="1" t="str">
        <f>"00612"</f>
        <v>00612</v>
      </c>
      <c r="C32543" s="2">
        <v>7.6043670124898799E-5</v>
      </c>
      <c r="D32543" s="2">
        <v>1.3677832337131201E-5</v>
      </c>
      <c r="E32543" s="2">
        <v>0</v>
      </c>
      <c r="F32543" s="2">
        <v>6.9844743601004398E-5</v>
      </c>
    </row>
    <row r="32544" spans="1:6" x14ac:dyDescent="0.25">
      <c r="A32544" s="1" t="str">
        <f t="shared" si="1159"/>
        <v>41980</v>
      </c>
      <c r="B32544" s="1" t="str">
        <f>"00935"</f>
        <v>00935</v>
      </c>
      <c r="C32544" s="2">
        <v>0</v>
      </c>
      <c r="D32544" s="2">
        <v>1.3677832337131201E-5</v>
      </c>
      <c r="E32544" s="2">
        <v>0</v>
      </c>
      <c r="F32544" s="2">
        <v>1.0582536909243099E-6</v>
      </c>
    </row>
    <row r="32545" spans="1:6" x14ac:dyDescent="0.25">
      <c r="A32545" s="1" t="str">
        <f t="shared" si="1159"/>
        <v>41980</v>
      </c>
      <c r="B32545" s="1" t="str">
        <f>"00693"</f>
        <v>00693</v>
      </c>
      <c r="C32545" s="2">
        <v>2.2214110897408799E-2</v>
      </c>
      <c r="D32545" s="2">
        <v>1.7904282529304701E-2</v>
      </c>
      <c r="E32545" s="2">
        <v>9.1974223784417105E-3</v>
      </c>
      <c r="F32545" s="2">
        <v>2.16455209941658E-2</v>
      </c>
    </row>
    <row r="32546" spans="1:6" x14ac:dyDescent="0.25">
      <c r="A32546" s="1" t="str">
        <f t="shared" si="1159"/>
        <v>41980</v>
      </c>
      <c r="B32546" s="1" t="str">
        <f>"00707"</f>
        <v>00707</v>
      </c>
      <c r="C32546" s="2">
        <v>5.34879476632365E-3</v>
      </c>
      <c r="D32546" s="2">
        <v>2.8860226231346799E-3</v>
      </c>
      <c r="E32546" s="2">
        <v>1.81605155243116E-3</v>
      </c>
      <c r="F32546" s="2">
        <v>5.0944332681096298E-3</v>
      </c>
    </row>
    <row r="32547" spans="1:6" x14ac:dyDescent="0.25">
      <c r="A32547" s="1" t="str">
        <f t="shared" si="1159"/>
        <v>41980</v>
      </c>
      <c r="B32547" s="1" t="str">
        <f>"00729"</f>
        <v>00729</v>
      </c>
      <c r="C32547" s="2">
        <v>1.7058350062940701E-2</v>
      </c>
      <c r="D32547" s="2">
        <v>1.28161288998919E-2</v>
      </c>
      <c r="E32547" s="2">
        <v>7.26420620972466E-3</v>
      </c>
      <c r="F32547" s="2">
        <v>1.6553204233438E-2</v>
      </c>
    </row>
    <row r="32548" spans="1:6" x14ac:dyDescent="0.25">
      <c r="A32548" s="1" t="str">
        <f t="shared" si="1159"/>
        <v>41980</v>
      </c>
      <c r="B32548" s="1" t="str">
        <f>"00744"</f>
        <v>00744</v>
      </c>
      <c r="C32548" s="2">
        <v>9.5815024357372397E-4</v>
      </c>
      <c r="D32548" s="2">
        <v>2.8723447907975501E-4</v>
      </c>
      <c r="E32548" s="2">
        <v>1.7574692442882199E-4</v>
      </c>
      <c r="F32548" s="2">
        <v>8.9210786144919296E-4</v>
      </c>
    </row>
    <row r="32549" spans="1:6" x14ac:dyDescent="0.25">
      <c r="A32549" s="1" t="str">
        <f t="shared" si="1159"/>
        <v>41980</v>
      </c>
      <c r="B32549" s="1" t="str">
        <f>"00767"</f>
        <v>00767</v>
      </c>
      <c r="C32549" s="2">
        <v>1.2137739654551101E-2</v>
      </c>
      <c r="D32549" s="2">
        <v>6.9073053302512602E-3</v>
      </c>
      <c r="E32549" s="2">
        <v>4.6865846514352596E-3</v>
      </c>
      <c r="F32549" s="2">
        <v>1.15984604525304E-2</v>
      </c>
    </row>
    <row r="32550" spans="1:6" x14ac:dyDescent="0.25">
      <c r="A32550" s="1" t="str">
        <f t="shared" si="1159"/>
        <v>41980</v>
      </c>
      <c r="B32550" s="1" t="str">
        <f>"00791"</f>
        <v>00791</v>
      </c>
      <c r="C32550" s="2">
        <v>2.27487563935178E-2</v>
      </c>
      <c r="D32550" s="2">
        <v>2.2445322865232299E-2</v>
      </c>
      <c r="E32550" s="2">
        <v>2.56004686584651E-2</v>
      </c>
      <c r="F32550" s="2">
        <v>2.2776794189763899E-2</v>
      </c>
    </row>
    <row r="32551" spans="1:6" x14ac:dyDescent="0.25">
      <c r="A32551" s="1" t="str">
        <f t="shared" si="1159"/>
        <v>41980</v>
      </c>
      <c r="B32551" s="1" t="str">
        <f>"00901"</f>
        <v>00901</v>
      </c>
      <c r="C32551" s="2">
        <v>4.6000570912477197E-3</v>
      </c>
      <c r="D32551" s="2">
        <v>1.8588174146161301E-2</v>
      </c>
      <c r="E32551" s="2">
        <v>3.2337434094903299E-2</v>
      </c>
      <c r="F32551" s="2">
        <v>6.1833763160707399E-3</v>
      </c>
    </row>
    <row r="32552" spans="1:6" x14ac:dyDescent="0.25">
      <c r="A32552" s="1" t="str">
        <f t="shared" si="1159"/>
        <v>41980</v>
      </c>
      <c r="B32552" s="1" t="str">
        <f>"00909"</f>
        <v>00909</v>
      </c>
      <c r="C32552" s="2">
        <v>4.0104261721254303E-3</v>
      </c>
      <c r="D32552" s="2">
        <v>1.8232550505395899E-2</v>
      </c>
      <c r="E32552" s="2">
        <v>2.2612770943175101E-2</v>
      </c>
      <c r="F32552" s="2">
        <v>5.4468317471874196E-3</v>
      </c>
    </row>
    <row r="32553" spans="1:6" x14ac:dyDescent="0.25">
      <c r="A32553" s="1" t="str">
        <f t="shared" si="1159"/>
        <v>41980</v>
      </c>
      <c r="B32553" s="1" t="str">
        <f>"00966"</f>
        <v>00966</v>
      </c>
      <c r="C32553" s="2">
        <v>9.0608957710360104E-3</v>
      </c>
      <c r="D32553" s="2">
        <v>7.3449959650394598E-3</v>
      </c>
      <c r="E32553" s="2">
        <v>8.9630931458699395E-3</v>
      </c>
      <c r="F32553" s="2">
        <v>8.9263698829465492E-3</v>
      </c>
    </row>
    <row r="32554" spans="1:6" x14ac:dyDescent="0.25">
      <c r="A32554" s="1" t="str">
        <f t="shared" si="1159"/>
        <v>41980</v>
      </c>
      <c r="B32554" s="1" t="str">
        <f>"00965"</f>
        <v>00965</v>
      </c>
      <c r="C32554" s="2">
        <v>2.50359160103512E-3</v>
      </c>
      <c r="D32554" s="2">
        <v>2.4893654853578801E-3</v>
      </c>
      <c r="E32554" s="2">
        <v>3.80785002929115E-3</v>
      </c>
      <c r="F32554" s="2">
        <v>2.5260515602363201E-3</v>
      </c>
    </row>
    <row r="32555" spans="1:6" x14ac:dyDescent="0.25">
      <c r="A32555" s="1" t="str">
        <f t="shared" si="1159"/>
        <v>41980</v>
      </c>
      <c r="B32555" s="1" t="str">
        <f>"00981"</f>
        <v>00981</v>
      </c>
      <c r="C32555" s="2">
        <v>4.0127659773600397E-4</v>
      </c>
      <c r="D32555" s="2">
        <v>1.1079044193076199E-3</v>
      </c>
      <c r="E32555" s="2">
        <v>1.17164616285881E-4</v>
      </c>
      <c r="F32555" s="2">
        <v>4.50816072333756E-4</v>
      </c>
    </row>
    <row r="32556" spans="1:6" x14ac:dyDescent="0.25">
      <c r="A32556" s="1" t="str">
        <f t="shared" si="1159"/>
        <v>41980</v>
      </c>
      <c r="B32556" s="1" t="str">
        <f>"00970"</f>
        <v>00970</v>
      </c>
      <c r="C32556" s="2">
        <v>3.71561071256428E-3</v>
      </c>
      <c r="D32556" s="2">
        <v>5.5805555935495299E-3</v>
      </c>
      <c r="E32556" s="2">
        <v>1.17164616285881E-4</v>
      </c>
      <c r="F32556" s="2">
        <v>3.79489773565457E-3</v>
      </c>
    </row>
    <row r="32557" spans="1:6" x14ac:dyDescent="0.25">
      <c r="A32557" s="1" t="str">
        <f t="shared" si="1159"/>
        <v>41980</v>
      </c>
      <c r="B32557" s="1" t="str">
        <f>"00910"</f>
        <v>00910</v>
      </c>
      <c r="C32557" s="2">
        <v>1.97830532586467E-3</v>
      </c>
      <c r="D32557" s="2">
        <v>5.0197644677271499E-3</v>
      </c>
      <c r="E32557" s="2">
        <v>1.17164616285881E-4</v>
      </c>
      <c r="F32557" s="2">
        <v>2.1800026033040698E-3</v>
      </c>
    </row>
    <row r="32558" spans="1:6" x14ac:dyDescent="0.25">
      <c r="A32558" s="1" t="str">
        <f t="shared" si="1159"/>
        <v>41980</v>
      </c>
      <c r="B32558" s="1" t="str">
        <f>"00931"</f>
        <v>00931</v>
      </c>
      <c r="C32558" s="2">
        <v>2.1783586734240201E-3</v>
      </c>
      <c r="D32558" s="2">
        <v>1.28571623969033E-3</v>
      </c>
      <c r="E32558" s="2">
        <v>1.17164616285881E-4</v>
      </c>
      <c r="F32558" s="2">
        <v>2.0720607268298E-3</v>
      </c>
    </row>
    <row r="32559" spans="1:6" x14ac:dyDescent="0.25">
      <c r="A32559" s="1" t="str">
        <f t="shared" si="1159"/>
        <v>41980</v>
      </c>
      <c r="B32559" s="1" t="str">
        <f>"00988"</f>
        <v>00988</v>
      </c>
      <c r="C32559" s="2">
        <v>1.39686372506352E-3</v>
      </c>
      <c r="D32559" s="2">
        <v>1.6686955451299999E-3</v>
      </c>
      <c r="E32559" s="2">
        <v>1.17164616285881E-4</v>
      </c>
      <c r="F32559" s="2">
        <v>1.3947783646382399E-3</v>
      </c>
    </row>
    <row r="32560" spans="1:6" x14ac:dyDescent="0.25">
      <c r="A32560" s="1" t="str">
        <f t="shared" si="1159"/>
        <v>41980</v>
      </c>
      <c r="B32560" s="1" t="str">
        <f>"00975"</f>
        <v>00975</v>
      </c>
      <c r="C32560" s="2">
        <v>0</v>
      </c>
      <c r="D32560" s="2">
        <v>1.3677832337131201E-5</v>
      </c>
      <c r="E32560" s="2">
        <v>5.8582308142940799E-5</v>
      </c>
      <c r="F32560" s="2">
        <v>2.1165073818486198E-6</v>
      </c>
    </row>
    <row r="32561" spans="1:6" x14ac:dyDescent="0.25">
      <c r="A32561" s="1" t="str">
        <f t="shared" si="1159"/>
        <v>41980</v>
      </c>
      <c r="B32561" s="1" t="str">
        <f>"00617"</f>
        <v>00617</v>
      </c>
      <c r="C32561" s="2">
        <v>1.2554224986312101E-2</v>
      </c>
      <c r="D32561" s="2">
        <v>8.6991013664154508E-3</v>
      </c>
      <c r="E32561" s="2">
        <v>6.4440538957234901E-3</v>
      </c>
      <c r="F32561" s="2">
        <v>1.21455776107383E-2</v>
      </c>
    </row>
    <row r="32562" spans="1:6" x14ac:dyDescent="0.25">
      <c r="A32562" s="1" t="str">
        <f t="shared" si="1159"/>
        <v>41980</v>
      </c>
      <c r="B32562" s="1" t="str">
        <f>"00646"</f>
        <v>00646</v>
      </c>
      <c r="C32562" s="2">
        <v>1.7046651036767599E-2</v>
      </c>
      <c r="D32562" s="2">
        <v>1.28845180615776E-2</v>
      </c>
      <c r="E32562" s="2">
        <v>7.9086115992970107E-3</v>
      </c>
      <c r="F32562" s="2">
        <v>1.65595537555836E-2</v>
      </c>
    </row>
    <row r="32563" spans="1:6" x14ac:dyDescent="0.25">
      <c r="A32563" s="1" t="str">
        <f t="shared" si="1159"/>
        <v>41980</v>
      </c>
      <c r="B32563" s="1" t="str">
        <f>"00674"</f>
        <v>00674</v>
      </c>
      <c r="C32563" s="2">
        <v>1.9936310501513801E-2</v>
      </c>
      <c r="D32563" s="2">
        <v>2.39498844223167E-2</v>
      </c>
      <c r="E32563" s="2">
        <v>1.3239601640304599E-2</v>
      </c>
      <c r="F32563" s="2">
        <v>2.0125868693998499E-2</v>
      </c>
    </row>
    <row r="32564" spans="1:6" x14ac:dyDescent="0.25">
      <c r="A32564" s="1" t="str">
        <f t="shared" si="1159"/>
        <v>41980</v>
      </c>
      <c r="B32564" s="1" t="str">
        <f>"00705"</f>
        <v>00705</v>
      </c>
      <c r="C32564" s="2">
        <v>8.9930414192322602E-3</v>
      </c>
      <c r="D32564" s="2">
        <v>1.1475701330853001E-2</v>
      </c>
      <c r="E32564" s="2">
        <v>4.5108377270064396E-3</v>
      </c>
      <c r="F32564" s="2">
        <v>9.1041565030218399E-3</v>
      </c>
    </row>
    <row r="32565" spans="1:6" x14ac:dyDescent="0.25">
      <c r="A32565" s="1" t="str">
        <f t="shared" si="1159"/>
        <v>41980</v>
      </c>
      <c r="B32565" s="1" t="str">
        <f>"00725"</f>
        <v>00725</v>
      </c>
      <c r="C32565" s="2">
        <v>3.3341054690607497E-2</v>
      </c>
      <c r="D32565" s="2">
        <v>4.0335927562199898E-2</v>
      </c>
      <c r="E32565" s="2">
        <v>3.9074399531341501E-2</v>
      </c>
      <c r="F32565" s="2">
        <v>3.39858172840342E-2</v>
      </c>
    </row>
    <row r="32566" spans="1:6" x14ac:dyDescent="0.25">
      <c r="A32566" s="1" t="str">
        <f t="shared" ref="A32566:A32577" si="1160">"41980"</f>
        <v>41980</v>
      </c>
      <c r="B32566" s="1" t="str">
        <f>"00718"</f>
        <v>00718</v>
      </c>
      <c r="C32566" s="2">
        <v>1.01009391978211E-2</v>
      </c>
      <c r="D32566" s="2">
        <v>5.00608663539002E-3</v>
      </c>
      <c r="E32566" s="2">
        <v>3.0462800234329198E-3</v>
      </c>
      <c r="F32566" s="2">
        <v>9.5793124102468499E-3</v>
      </c>
    </row>
    <row r="32567" spans="1:6" x14ac:dyDescent="0.25">
      <c r="A32567" s="1" t="str">
        <f t="shared" si="1160"/>
        <v>41980</v>
      </c>
      <c r="B32567" s="1" t="str">
        <f>"00772"</f>
        <v>00772</v>
      </c>
      <c r="C32567" s="2">
        <v>5.5734160688464202E-3</v>
      </c>
      <c r="D32567" s="2">
        <v>2.13374184459246E-3</v>
      </c>
      <c r="E32567" s="2">
        <v>9.9589923842999402E-4</v>
      </c>
      <c r="F32567" s="2">
        <v>5.2245984720933197E-3</v>
      </c>
    </row>
    <row r="32568" spans="1:6" x14ac:dyDescent="0.25">
      <c r="A32568" s="1" t="str">
        <f t="shared" si="1160"/>
        <v>41980</v>
      </c>
      <c r="B32568" s="1" t="str">
        <f>"00912"</f>
        <v>00912</v>
      </c>
      <c r="C32568" s="2">
        <v>3.4652515524607702E-3</v>
      </c>
      <c r="D32568" s="2">
        <v>4.9240196413672301E-3</v>
      </c>
      <c r="E32568" s="2">
        <v>1.4586994727592201E-2</v>
      </c>
      <c r="F32568" s="2">
        <v>3.7790239302907102E-3</v>
      </c>
    </row>
    <row r="32569" spans="1:6" x14ac:dyDescent="0.25">
      <c r="A32569" s="1" t="str">
        <f t="shared" si="1160"/>
        <v>41980</v>
      </c>
      <c r="B32569" s="1" t="str">
        <f>"00913"</f>
        <v>00913</v>
      </c>
      <c r="C32569" s="2">
        <v>4.13209604432527E-3</v>
      </c>
      <c r="D32569" s="2">
        <v>1.9285743595355001E-3</v>
      </c>
      <c r="E32569" s="2">
        <v>2.2319859402460399E-2</v>
      </c>
      <c r="F32569" s="2">
        <v>4.2901604630071503E-3</v>
      </c>
    </row>
    <row r="32570" spans="1:6" x14ac:dyDescent="0.25">
      <c r="A32570" s="1" t="str">
        <f t="shared" si="1160"/>
        <v>41980</v>
      </c>
      <c r="B32570" s="1" t="str">
        <f>"00920"</f>
        <v>00920</v>
      </c>
      <c r="C32570" s="2">
        <v>7.8851436406433498E-3</v>
      </c>
      <c r="D32570" s="2">
        <v>2.8190012446827398E-2</v>
      </c>
      <c r="E32570" s="2">
        <v>1.7398945518453401E-2</v>
      </c>
      <c r="F32570" s="2">
        <v>9.6279920800293704E-3</v>
      </c>
    </row>
    <row r="32571" spans="1:6" x14ac:dyDescent="0.25">
      <c r="A32571" s="1" t="str">
        <f t="shared" si="1160"/>
        <v>41980</v>
      </c>
      <c r="B32571" s="1" t="str">
        <f>"00927"</f>
        <v>00927</v>
      </c>
      <c r="C32571" s="2">
        <v>8.2875901409966597E-3</v>
      </c>
      <c r="D32571" s="2">
        <v>1.16124796542243E-2</v>
      </c>
      <c r="E32571" s="2">
        <v>2.0035149384885698E-2</v>
      </c>
      <c r="F32571" s="2">
        <v>8.7570492923986602E-3</v>
      </c>
    </row>
    <row r="32572" spans="1:6" x14ac:dyDescent="0.25">
      <c r="A32572" s="1" t="str">
        <f t="shared" si="1160"/>
        <v>41980</v>
      </c>
      <c r="B32572" s="1" t="str">
        <f>"00952"</f>
        <v>00952</v>
      </c>
      <c r="C32572" s="2">
        <v>6.8532895321793399E-3</v>
      </c>
      <c r="D32572" s="2">
        <v>2.31155366497517E-3</v>
      </c>
      <c r="E32572" s="2">
        <v>4.10076157000585E-4</v>
      </c>
      <c r="F32572" s="2">
        <v>6.3855027710372804E-3</v>
      </c>
    </row>
    <row r="32573" spans="1:6" x14ac:dyDescent="0.25">
      <c r="A32573" s="1" t="str">
        <f t="shared" si="1160"/>
        <v>41980</v>
      </c>
      <c r="B32573" s="1" t="str">
        <f>"00985"</f>
        <v>00985</v>
      </c>
      <c r="C32573" s="2">
        <v>1.50215496062107E-2</v>
      </c>
      <c r="D32573" s="2">
        <v>8.6854235340783105E-3</v>
      </c>
      <c r="E32573" s="2">
        <v>1.6110134739308699E-2</v>
      </c>
      <c r="F32573" s="2">
        <v>1.45509882502092E-2</v>
      </c>
    </row>
    <row r="32574" spans="1:6" x14ac:dyDescent="0.25">
      <c r="A32574" s="1" t="str">
        <f t="shared" si="1160"/>
        <v>41980</v>
      </c>
      <c r="B32574" s="1" t="str">
        <f>"00723"</f>
        <v>00723</v>
      </c>
      <c r="C32574" s="2">
        <v>1.1792618382445799E-3</v>
      </c>
      <c r="D32574" s="2">
        <v>2.7355664674262402E-5</v>
      </c>
      <c r="E32574" s="2">
        <v>0</v>
      </c>
      <c r="F32574" s="2">
        <v>1.0688362278335501E-3</v>
      </c>
    </row>
    <row r="32575" spans="1:6" x14ac:dyDescent="0.25">
      <c r="A32575" s="1" t="str">
        <f t="shared" si="1160"/>
        <v>41980</v>
      </c>
      <c r="B32575" s="1" t="str">
        <f>"00928"</f>
        <v>00928</v>
      </c>
      <c r="C32575" s="2">
        <v>2.8615818019308002E-3</v>
      </c>
      <c r="D32575" s="2">
        <v>2.94073395248321E-3</v>
      </c>
      <c r="E32575" s="2">
        <v>1.17164616285881E-4</v>
      </c>
      <c r="F32575" s="2">
        <v>2.8181295789314301E-3</v>
      </c>
    </row>
    <row r="32576" spans="1:6" x14ac:dyDescent="0.25">
      <c r="A32576" s="1" t="str">
        <f t="shared" si="1160"/>
        <v>41980</v>
      </c>
      <c r="B32576" s="1" t="str">
        <f>"00929"</f>
        <v>00929</v>
      </c>
      <c r="C32576" s="2">
        <v>2.0461596776684301E-3</v>
      </c>
      <c r="D32576" s="2">
        <v>6.3601920367660101E-3</v>
      </c>
      <c r="E32576" s="2">
        <v>1.17164616285881E-4</v>
      </c>
      <c r="F32576" s="2">
        <v>2.34509017908827E-3</v>
      </c>
    </row>
    <row r="32577" spans="1:6" x14ac:dyDescent="0.25">
      <c r="A32577" s="1" t="str">
        <f t="shared" si="1160"/>
        <v>41980</v>
      </c>
      <c r="B32577" s="1" t="str">
        <f>"00786"</f>
        <v>00786</v>
      </c>
      <c r="C32577" s="2">
        <v>0</v>
      </c>
      <c r="D32577" s="2">
        <v>0</v>
      </c>
      <c r="E32577" s="2">
        <v>5.8582308142940799E-5</v>
      </c>
      <c r="F32577" s="2">
        <v>1.0582536909243099E-6</v>
      </c>
    </row>
    <row r="32578" spans="1:6" x14ac:dyDescent="0.25">
      <c r="A32578" s="1" t="str">
        <f t="shared" ref="A32578:A32617" si="1161">"42020"</f>
        <v>42020</v>
      </c>
      <c r="B32578" s="1" t="str">
        <f>"93403"</f>
        <v>93403</v>
      </c>
      <c r="C32578" s="2">
        <v>5.5072260418128202E-3</v>
      </c>
      <c r="D32578" s="2">
        <v>1.9376671579062199E-2</v>
      </c>
      <c r="E32578" s="2">
        <v>1.5774114677813699E-4</v>
      </c>
      <c r="F32578" s="2">
        <v>6.5806154200760596E-3</v>
      </c>
    </row>
    <row r="32579" spans="1:6" x14ac:dyDescent="0.25">
      <c r="A32579" s="1" t="str">
        <f t="shared" si="1161"/>
        <v>42020</v>
      </c>
      <c r="B32579" s="1" t="str">
        <f>"93412"</f>
        <v>93412</v>
      </c>
      <c r="C32579" s="2">
        <v>5.8790514943173802E-3</v>
      </c>
      <c r="D32579" s="2">
        <v>1.1898913814748099E-2</v>
      </c>
      <c r="E32579" s="2">
        <v>1.5774114677813699E-4</v>
      </c>
      <c r="F32579" s="2">
        <v>6.09657715800391E-3</v>
      </c>
    </row>
    <row r="32580" spans="1:6" x14ac:dyDescent="0.25">
      <c r="A32580" s="1" t="str">
        <f t="shared" si="1161"/>
        <v>42020</v>
      </c>
      <c r="B32580" s="1" t="str">
        <f>"93447"</f>
        <v>93447</v>
      </c>
      <c r="C32580" s="2">
        <v>2.2632243580749199E-2</v>
      </c>
      <c r="D32580" s="2">
        <v>3.97358222804432E-2</v>
      </c>
      <c r="E32580" s="2">
        <v>1.5774114677813699E-4</v>
      </c>
      <c r="F32580" s="2">
        <v>2.27958971994929E-2</v>
      </c>
    </row>
    <row r="32581" spans="1:6" x14ac:dyDescent="0.25">
      <c r="A32581" s="1" t="str">
        <f t="shared" si="1161"/>
        <v>42020</v>
      </c>
      <c r="B32581" s="1" t="str">
        <f>"93432"</f>
        <v>93432</v>
      </c>
      <c r="C32581" s="2">
        <v>3.1991020064543198E-3</v>
      </c>
      <c r="D32581" s="2">
        <v>1.03706129578079E-3</v>
      </c>
      <c r="E32581" s="2">
        <v>0</v>
      </c>
      <c r="F32581" s="2">
        <v>2.73712112481272E-3</v>
      </c>
    </row>
    <row r="32582" spans="1:6" x14ac:dyDescent="0.25">
      <c r="A32582" s="1" t="str">
        <f t="shared" si="1161"/>
        <v>42020</v>
      </c>
      <c r="B32582" s="1" t="str">
        <f>"93442"</f>
        <v>93442</v>
      </c>
      <c r="C32582" s="2">
        <v>4.5923951171600898E-2</v>
      </c>
      <c r="D32582" s="2">
        <v>3.7170460127722203E-2</v>
      </c>
      <c r="E32582" s="2">
        <v>2.0821831374713998E-2</v>
      </c>
      <c r="F32582" s="2">
        <v>4.3165840728362298E-2</v>
      </c>
    </row>
    <row r="32583" spans="1:6" x14ac:dyDescent="0.25">
      <c r="A32583" s="1" t="str">
        <f t="shared" si="1161"/>
        <v>42020</v>
      </c>
      <c r="B32583" s="1" t="str">
        <f>"93424"</f>
        <v>93424</v>
      </c>
      <c r="C32583" s="2">
        <v>3.6270520555633499E-3</v>
      </c>
      <c r="D32583" s="2">
        <v>3.9299164892746003E-3</v>
      </c>
      <c r="E32583" s="2">
        <v>1.10418802744695E-3</v>
      </c>
      <c r="F32583" s="2">
        <v>3.4747032384464601E-3</v>
      </c>
    </row>
    <row r="32584" spans="1:6" x14ac:dyDescent="0.25">
      <c r="A32584" s="1" t="str">
        <f t="shared" si="1161"/>
        <v>42020</v>
      </c>
      <c r="B32584" s="1" t="str">
        <f>"93409"</f>
        <v>93409</v>
      </c>
      <c r="C32584" s="2">
        <v>0</v>
      </c>
      <c r="D32584" s="2">
        <v>5.45821734621472E-5</v>
      </c>
      <c r="E32584" s="2">
        <v>0</v>
      </c>
      <c r="F32584" s="2">
        <v>5.7623602627636198E-6</v>
      </c>
    </row>
    <row r="32585" spans="1:6" x14ac:dyDescent="0.25">
      <c r="A32585" s="1" t="str">
        <f t="shared" si="1161"/>
        <v>42020</v>
      </c>
      <c r="B32585" s="1" t="str">
        <f>"93448"</f>
        <v>93448</v>
      </c>
      <c r="C32585" s="2">
        <v>1.28876104952995E-2</v>
      </c>
      <c r="D32585" s="2">
        <v>2.24878554664046E-2</v>
      </c>
      <c r="E32585" s="2">
        <v>3.1548229355627397E-4</v>
      </c>
      <c r="F32585" s="2">
        <v>1.29825976720064E-2</v>
      </c>
    </row>
    <row r="32586" spans="1:6" x14ac:dyDescent="0.25">
      <c r="A32586" s="1" t="str">
        <f t="shared" si="1161"/>
        <v>42020</v>
      </c>
      <c r="B32586" s="1" t="str">
        <f>"93449"</f>
        <v>93449</v>
      </c>
      <c r="C32586" s="2">
        <v>4.2030307282166397E-2</v>
      </c>
      <c r="D32586" s="2">
        <v>3.5642159270782098E-2</v>
      </c>
      <c r="E32586" s="2">
        <v>2.3187948576386098E-2</v>
      </c>
      <c r="F32586" s="2">
        <v>3.9979255503053999E-2</v>
      </c>
    </row>
    <row r="32587" spans="1:6" x14ac:dyDescent="0.25">
      <c r="A32587" s="1" t="str">
        <f t="shared" si="1161"/>
        <v>42020</v>
      </c>
      <c r="B32587" s="1" t="str">
        <f>"93422"</f>
        <v>93422</v>
      </c>
      <c r="C32587" s="2">
        <v>9.3868387820962504E-2</v>
      </c>
      <c r="D32587" s="2">
        <v>7.7561268489711205E-2</v>
      </c>
      <c r="E32587" s="2">
        <v>5.5209401372347901E-2</v>
      </c>
      <c r="F32587" s="2">
        <v>8.9322346433098901E-2</v>
      </c>
    </row>
    <row r="32588" spans="1:6" x14ac:dyDescent="0.25">
      <c r="A32588" s="1" t="str">
        <f t="shared" si="1161"/>
        <v>42020</v>
      </c>
      <c r="B32588" s="1" t="str">
        <f>"93407"</f>
        <v>93407</v>
      </c>
      <c r="C32588" s="2">
        <v>0</v>
      </c>
      <c r="D32588" s="2">
        <v>5.45821734621472E-5</v>
      </c>
      <c r="E32588" s="2">
        <v>7.8870573389068494E-5</v>
      </c>
      <c r="F32588" s="2">
        <v>1.1524720525527201E-5</v>
      </c>
    </row>
    <row r="32589" spans="1:6" x14ac:dyDescent="0.25">
      <c r="A32589" s="1" t="str">
        <f t="shared" si="1161"/>
        <v>42020</v>
      </c>
      <c r="B32589" s="1" t="str">
        <f>"93458"</f>
        <v>93458</v>
      </c>
      <c r="C32589" s="2">
        <v>4.7705907113792601E-4</v>
      </c>
      <c r="D32589" s="2">
        <v>0</v>
      </c>
      <c r="E32589" s="2">
        <v>1.5774114677813699E-4</v>
      </c>
      <c r="F32589" s="2">
        <v>4.0336521839345299E-4</v>
      </c>
    </row>
    <row r="32590" spans="1:6" x14ac:dyDescent="0.25">
      <c r="A32590" s="1" t="str">
        <f t="shared" si="1161"/>
        <v>42020</v>
      </c>
      <c r="B32590" s="1" t="str">
        <f>"93452"</f>
        <v>93452</v>
      </c>
      <c r="C32590" s="2">
        <v>2.13975024554511E-3</v>
      </c>
      <c r="D32590" s="2">
        <v>2.2378691119480298E-3</v>
      </c>
      <c r="E32590" s="2">
        <v>2.05063490811578E-3</v>
      </c>
      <c r="F32590" s="2">
        <v>2.14359801774806E-3</v>
      </c>
    </row>
    <row r="32591" spans="1:6" x14ac:dyDescent="0.25">
      <c r="A32591" s="1" t="str">
        <f t="shared" si="1161"/>
        <v>42020</v>
      </c>
      <c r="B32591" s="1" t="str">
        <f>"93435"</f>
        <v>93435</v>
      </c>
      <c r="C32591" s="2">
        <v>1.8240493896450101E-4</v>
      </c>
      <c r="D32591" s="2">
        <v>2.7291086731073599E-4</v>
      </c>
      <c r="E32591" s="2">
        <v>0</v>
      </c>
      <c r="F32591" s="2">
        <v>1.7863316814567201E-4</v>
      </c>
    </row>
    <row r="32592" spans="1:6" x14ac:dyDescent="0.25">
      <c r="A32592" s="1" t="str">
        <f t="shared" si="1161"/>
        <v>42020</v>
      </c>
      <c r="B32592" s="1" t="str">
        <f>"93426"</f>
        <v>93426</v>
      </c>
      <c r="C32592" s="2">
        <v>4.5180300266591802E-3</v>
      </c>
      <c r="D32592" s="2">
        <v>4.3665738769717798E-4</v>
      </c>
      <c r="E32592" s="2">
        <v>3.9435286694534201E-4</v>
      </c>
      <c r="F32592" s="2">
        <v>3.7858706926356999E-3</v>
      </c>
    </row>
    <row r="32593" spans="1:6" x14ac:dyDescent="0.25">
      <c r="A32593" s="1" t="str">
        <f t="shared" si="1161"/>
        <v>42020</v>
      </c>
      <c r="B32593" s="1" t="str">
        <f>"93475"</f>
        <v>93475</v>
      </c>
      <c r="C32593" s="2">
        <v>6.0053318366774201E-3</v>
      </c>
      <c r="D32593" s="2">
        <v>4.0936630096610402E-3</v>
      </c>
      <c r="E32593" s="2">
        <v>1.5774114677813699E-4</v>
      </c>
      <c r="F32593" s="2">
        <v>5.3762821251584596E-3</v>
      </c>
    </row>
    <row r="32594" spans="1:6" x14ac:dyDescent="0.25">
      <c r="A32594" s="1" t="str">
        <f t="shared" si="1161"/>
        <v>42020</v>
      </c>
      <c r="B32594" s="1" t="str">
        <f>"93461"</f>
        <v>93461</v>
      </c>
      <c r="C32594" s="2">
        <v>2.3221551845096101E-3</v>
      </c>
      <c r="D32594" s="2">
        <v>9.8247912231865008E-4</v>
      </c>
      <c r="E32594" s="2">
        <v>7.8870573389068494E-5</v>
      </c>
      <c r="F32594" s="2">
        <v>2.01682609196726E-3</v>
      </c>
    </row>
    <row r="32595" spans="1:6" x14ac:dyDescent="0.25">
      <c r="A32595" s="1" t="str">
        <f t="shared" si="1161"/>
        <v>42020</v>
      </c>
      <c r="B32595" s="1" t="str">
        <f>"93433"</f>
        <v>93433</v>
      </c>
      <c r="C32595" s="2">
        <v>4.0802581731443799E-2</v>
      </c>
      <c r="D32595" s="2">
        <v>4.5248621800120001E-2</v>
      </c>
      <c r="E32595" s="2">
        <v>4.6375897152772301E-2</v>
      </c>
      <c r="F32595" s="2">
        <v>4.1679151780569301E-2</v>
      </c>
    </row>
    <row r="32596" spans="1:6" x14ac:dyDescent="0.25">
      <c r="A32596" s="1" t="str">
        <f t="shared" si="1161"/>
        <v>42020</v>
      </c>
      <c r="B32596" s="1" t="str">
        <f>"93420"</f>
        <v>93420</v>
      </c>
      <c r="C32596" s="2">
        <v>9.05780833450259E-2</v>
      </c>
      <c r="D32596" s="2">
        <v>6.0640794716445602E-2</v>
      </c>
      <c r="E32596" s="2">
        <v>3.00496884612351E-2</v>
      </c>
      <c r="F32596" s="2">
        <v>8.2995274864584495E-2</v>
      </c>
    </row>
    <row r="32597" spans="1:6" x14ac:dyDescent="0.25">
      <c r="A32597" s="1" t="str">
        <f t="shared" si="1161"/>
        <v>42020</v>
      </c>
      <c r="B32597" s="1" t="str">
        <f>"93254"</f>
        <v>93254</v>
      </c>
      <c r="C32597" s="2">
        <v>0</v>
      </c>
      <c r="D32597" s="2">
        <v>5.45821734621472E-5</v>
      </c>
      <c r="E32597" s="2">
        <v>0</v>
      </c>
      <c r="F32597" s="2">
        <v>5.7623602627636198E-6</v>
      </c>
    </row>
    <row r="32598" spans="1:6" x14ac:dyDescent="0.25">
      <c r="A32598" s="1" t="str">
        <f t="shared" si="1161"/>
        <v>42020</v>
      </c>
      <c r="B32598" s="1" t="str">
        <f>"93454"</f>
        <v>93454</v>
      </c>
      <c r="C32598" s="2">
        <v>9.9621158972919809E-4</v>
      </c>
      <c r="D32598" s="2">
        <v>5.45821734621472E-5</v>
      </c>
      <c r="E32598" s="2">
        <v>0</v>
      </c>
      <c r="F32598" s="2">
        <v>8.24017517575198E-4</v>
      </c>
    </row>
    <row r="32599" spans="1:6" x14ac:dyDescent="0.25">
      <c r="A32599" s="1" t="str">
        <f t="shared" si="1161"/>
        <v>42020</v>
      </c>
      <c r="B32599" s="1" t="str">
        <f>"93465"</f>
        <v>93465</v>
      </c>
      <c r="C32599" s="2">
        <v>3.63827697488424E-2</v>
      </c>
      <c r="D32599" s="2">
        <v>3.4659680148463497E-2</v>
      </c>
      <c r="E32599" s="2">
        <v>1.42755737834214E-2</v>
      </c>
      <c r="F32599" s="2">
        <v>3.4585686297107197E-2</v>
      </c>
    </row>
    <row r="32600" spans="1:6" x14ac:dyDescent="0.25">
      <c r="A32600" s="1" t="str">
        <f t="shared" si="1161"/>
        <v>42020</v>
      </c>
      <c r="B32600" s="1" t="str">
        <f>"93430"</f>
        <v>93430</v>
      </c>
      <c r="C32600" s="2">
        <v>2.0836256489406398E-2</v>
      </c>
      <c r="D32600" s="2">
        <v>1.1789749467823799E-2</v>
      </c>
      <c r="E32600" s="2">
        <v>3.7069169492862201E-3</v>
      </c>
      <c r="F32600" s="2">
        <v>1.86297107295148E-2</v>
      </c>
    </row>
    <row r="32601" spans="1:6" x14ac:dyDescent="0.25">
      <c r="A32601" s="1" t="str">
        <f t="shared" si="1161"/>
        <v>42020</v>
      </c>
      <c r="B32601" s="1" t="str">
        <f>"93423"</f>
        <v>93423</v>
      </c>
      <c r="C32601" s="2">
        <v>1.65567559983162E-2</v>
      </c>
      <c r="D32601" s="2">
        <v>2.6144861088368498E-2</v>
      </c>
      <c r="E32601" s="2">
        <v>1.5774114677813699E-4</v>
      </c>
      <c r="F32601" s="2">
        <v>1.6370865506511401E-2</v>
      </c>
    </row>
    <row r="32602" spans="1:6" x14ac:dyDescent="0.25">
      <c r="A32602" s="1" t="str">
        <f t="shared" si="1161"/>
        <v>42020</v>
      </c>
      <c r="B32602" s="1" t="str">
        <f>"93410"</f>
        <v>93410</v>
      </c>
      <c r="C32602" s="2">
        <v>0</v>
      </c>
      <c r="D32602" s="2">
        <v>1.14622564270509E-3</v>
      </c>
      <c r="E32602" s="2">
        <v>0.455793043615427</v>
      </c>
      <c r="F32602" s="2">
        <v>3.3421689524028998E-2</v>
      </c>
    </row>
    <row r="32603" spans="1:6" x14ac:dyDescent="0.25">
      <c r="A32603" s="1" t="str">
        <f t="shared" si="1161"/>
        <v>42020</v>
      </c>
      <c r="B32603" s="1" t="str">
        <f>"93483"</f>
        <v>93483</v>
      </c>
      <c r="C32603" s="2">
        <v>6.9945278518310601E-3</v>
      </c>
      <c r="D32603" s="2">
        <v>1.01522842639593E-2</v>
      </c>
      <c r="E32603" s="2">
        <v>1.5774114677813699E-4</v>
      </c>
      <c r="F32603" s="2">
        <v>6.8283969113748901E-3</v>
      </c>
    </row>
    <row r="32604" spans="1:6" x14ac:dyDescent="0.25">
      <c r="A32604" s="1" t="str">
        <f t="shared" si="1161"/>
        <v>42020</v>
      </c>
      <c r="B32604" s="1" t="str">
        <f>"93443"</f>
        <v>93443</v>
      </c>
      <c r="C32604" s="2">
        <v>9.8077732566297093E-3</v>
      </c>
      <c r="D32604" s="2">
        <v>1.25538998962938E-2</v>
      </c>
      <c r="E32604" s="2">
        <v>1.5774114677813699E-4</v>
      </c>
      <c r="F32604" s="2">
        <v>9.3926472283047107E-3</v>
      </c>
    </row>
    <row r="32605" spans="1:6" x14ac:dyDescent="0.25">
      <c r="A32605" s="1" t="str">
        <f t="shared" si="1161"/>
        <v>42020</v>
      </c>
      <c r="B32605" s="1" t="str">
        <f>"93445"</f>
        <v>93445</v>
      </c>
      <c r="C32605" s="2">
        <v>1.9896169496281702E-2</v>
      </c>
      <c r="D32605" s="2">
        <v>7.6960864581627599E-3</v>
      </c>
      <c r="E32605" s="2">
        <v>1.4827667797144801E-2</v>
      </c>
      <c r="F32605" s="2">
        <v>1.8237870231646799E-2</v>
      </c>
    </row>
    <row r="32606" spans="1:6" x14ac:dyDescent="0.25">
      <c r="A32606" s="1" t="str">
        <f t="shared" si="1161"/>
        <v>42020</v>
      </c>
      <c r="B32606" s="1" t="str">
        <f>"93453"</f>
        <v>93453</v>
      </c>
      <c r="C32606" s="2">
        <v>8.2082222534025501E-3</v>
      </c>
      <c r="D32606" s="2">
        <v>1.6920473773265601E-3</v>
      </c>
      <c r="E32606" s="2">
        <v>7.0983516050161604E-4</v>
      </c>
      <c r="F32606" s="2">
        <v>6.9724559179439802E-3</v>
      </c>
    </row>
    <row r="32607" spans="1:6" x14ac:dyDescent="0.25">
      <c r="A32607" s="1" t="str">
        <f t="shared" si="1161"/>
        <v>42020</v>
      </c>
      <c r="B32607" s="1" t="str">
        <f>"93408"</f>
        <v>93408</v>
      </c>
      <c r="C32607" s="2">
        <v>0</v>
      </c>
      <c r="D32607" s="2">
        <v>6.5498608154576697E-4</v>
      </c>
      <c r="E32607" s="2">
        <v>5.5209401372347899E-4</v>
      </c>
      <c r="F32607" s="2">
        <v>1.09484844992508E-4</v>
      </c>
    </row>
    <row r="32608" spans="1:6" x14ac:dyDescent="0.25">
      <c r="A32608" s="1" t="str">
        <f t="shared" si="1161"/>
        <v>42020</v>
      </c>
      <c r="B32608" s="1" t="str">
        <f>"93401"</f>
        <v>93401</v>
      </c>
      <c r="C32608" s="2">
        <v>0.103388522519994</v>
      </c>
      <c r="D32608" s="2">
        <v>0.21794661863435399</v>
      </c>
      <c r="E32608" s="2">
        <v>0.138417856297815</v>
      </c>
      <c r="F32608" s="2">
        <v>0.118041949982712</v>
      </c>
    </row>
    <row r="32609" spans="1:6" x14ac:dyDescent="0.25">
      <c r="A32609" s="1" t="str">
        <f t="shared" si="1161"/>
        <v>42020</v>
      </c>
      <c r="B32609" s="1" t="str">
        <f>"93428"</f>
        <v>93428</v>
      </c>
      <c r="C32609" s="2">
        <v>3.6326645152237901E-2</v>
      </c>
      <c r="D32609" s="2">
        <v>3.71158779542601E-2</v>
      </c>
      <c r="E32609" s="2">
        <v>9.3855982332991493E-3</v>
      </c>
      <c r="F32609" s="2">
        <v>3.44416272905382E-2</v>
      </c>
    </row>
    <row r="32610" spans="1:6" x14ac:dyDescent="0.25">
      <c r="A32610" s="1" t="str">
        <f t="shared" si="1161"/>
        <v>42020</v>
      </c>
      <c r="B32610" s="1" t="str">
        <f>"93402"</f>
        <v>93402</v>
      </c>
      <c r="C32610" s="2">
        <v>4.5054019924231699E-2</v>
      </c>
      <c r="D32610" s="2">
        <v>2.0359150701380901E-2</v>
      </c>
      <c r="E32610" s="2">
        <v>1.9954255067434298E-2</v>
      </c>
      <c r="F32610" s="2">
        <v>4.0613115131957998E-2</v>
      </c>
    </row>
    <row r="32611" spans="1:6" x14ac:dyDescent="0.25">
      <c r="A32611" s="1" t="str">
        <f t="shared" si="1161"/>
        <v>42020</v>
      </c>
      <c r="B32611" s="1" t="str">
        <f>"93406"</f>
        <v>93406</v>
      </c>
      <c r="C32611" s="2">
        <v>1.9299845657359298E-2</v>
      </c>
      <c r="D32611" s="2">
        <v>4.0445390535451098E-2</v>
      </c>
      <c r="E32611" s="2">
        <v>1.5774114677813699E-4</v>
      </c>
      <c r="F32611" s="2">
        <v>2.0133686758096101E-2</v>
      </c>
    </row>
    <row r="32612" spans="1:6" x14ac:dyDescent="0.25">
      <c r="A32612" s="1" t="str">
        <f t="shared" si="1161"/>
        <v>42020</v>
      </c>
      <c r="B32612" s="1" t="str">
        <f>"93421"</f>
        <v>93421</v>
      </c>
      <c r="C32612" s="2">
        <v>7.1208081941911E-3</v>
      </c>
      <c r="D32612" s="2">
        <v>2.4179902843731199E-2</v>
      </c>
      <c r="E32612" s="2">
        <v>3.1548229355627397E-4</v>
      </c>
      <c r="F32612" s="2">
        <v>8.4245707041604202E-3</v>
      </c>
    </row>
    <row r="32613" spans="1:6" x14ac:dyDescent="0.25">
      <c r="A32613" s="1" t="str">
        <f t="shared" si="1161"/>
        <v>42020</v>
      </c>
      <c r="B32613" s="1" t="str">
        <f>"93252"</f>
        <v>93252</v>
      </c>
      <c r="C32613" s="2">
        <v>2.10467237266732E-5</v>
      </c>
      <c r="D32613" s="2">
        <v>5.45821734621472E-5</v>
      </c>
      <c r="E32613" s="2">
        <v>0</v>
      </c>
      <c r="F32613" s="2">
        <v>2.30494410510545E-5</v>
      </c>
    </row>
    <row r="32614" spans="1:6" x14ac:dyDescent="0.25">
      <c r="A32614" s="1" t="str">
        <f t="shared" si="1161"/>
        <v>42020</v>
      </c>
      <c r="B32614" s="1" t="str">
        <f>"93405"</f>
        <v>93405</v>
      </c>
      <c r="C32614" s="2">
        <v>7.4168654412796395E-2</v>
      </c>
      <c r="D32614" s="2">
        <v>3.4878008842312097E-2</v>
      </c>
      <c r="E32614" s="2">
        <v>5.82064831611325E-2</v>
      </c>
      <c r="F32614" s="2">
        <v>6.8854442779762506E-2</v>
      </c>
    </row>
    <row r="32615" spans="1:6" x14ac:dyDescent="0.25">
      <c r="A32615" s="1" t="str">
        <f t="shared" si="1161"/>
        <v>42020</v>
      </c>
      <c r="B32615" s="1" t="str">
        <f>"93444"</f>
        <v>93444</v>
      </c>
      <c r="C32615" s="2">
        <v>6.8843833309948005E-2</v>
      </c>
      <c r="D32615" s="2">
        <v>3.1330167567272499E-2</v>
      </c>
      <c r="E32615" s="2">
        <v>1.6010726397980901E-2</v>
      </c>
      <c r="F32615" s="2">
        <v>6.1023395182666799E-2</v>
      </c>
    </row>
    <row r="32616" spans="1:6" x14ac:dyDescent="0.25">
      <c r="A32616" s="1" t="str">
        <f t="shared" si="1161"/>
        <v>42020</v>
      </c>
      <c r="B32616" s="1" t="str">
        <f>"93446"</f>
        <v>93446</v>
      </c>
      <c r="C32616" s="2">
        <v>0.13591974182685501</v>
      </c>
      <c r="D32616" s="2">
        <v>0.12379236941214899</v>
      </c>
      <c r="E32616" s="2">
        <v>8.6047795567473703E-2</v>
      </c>
      <c r="F32616" s="2">
        <v>0.13099573585340499</v>
      </c>
    </row>
    <row r="32617" spans="1:6" x14ac:dyDescent="0.25">
      <c r="A32617" s="1" t="str">
        <f t="shared" si="1161"/>
        <v>42020</v>
      </c>
      <c r="B32617" s="1" t="str">
        <f>"93451"</f>
        <v>93451</v>
      </c>
      <c r="C32617" s="2">
        <v>7.5978672653290299E-3</v>
      </c>
      <c r="D32617" s="2">
        <v>4.3665738769717798E-4</v>
      </c>
      <c r="E32617" s="2">
        <v>7.0983516050161604E-4</v>
      </c>
      <c r="F32617" s="2">
        <v>6.33859628903999E-3</v>
      </c>
    </row>
    <row r="32618" spans="1:6" x14ac:dyDescent="0.25">
      <c r="A32618" s="1" t="str">
        <f t="shared" ref="A32618:A32638" si="1162">"42034"</f>
        <v>42034</v>
      </c>
      <c r="B32618" s="1" t="str">
        <f>"94941"</f>
        <v>94941</v>
      </c>
      <c r="C32618" s="2">
        <v>4.3478260869565202E-2</v>
      </c>
      <c r="D32618" s="2">
        <v>0.422222222222222</v>
      </c>
      <c r="E32618" s="2">
        <v>1.5950920245398698E-2</v>
      </c>
      <c r="F32618" s="2">
        <v>3.8634321653189502E-2</v>
      </c>
    </row>
    <row r="32619" spans="1:6" x14ac:dyDescent="0.25">
      <c r="A32619" s="1" t="str">
        <f t="shared" si="1162"/>
        <v>42034</v>
      </c>
      <c r="B32619" s="1" t="str">
        <f>"94965"</f>
        <v>94965</v>
      </c>
      <c r="C32619" s="2">
        <v>3.1620553359683702E-2</v>
      </c>
      <c r="D32619" s="2">
        <v>0.28888888888888797</v>
      </c>
      <c r="E32619" s="2">
        <v>0.14233128834355799</v>
      </c>
      <c r="F32619" s="2">
        <v>0.12309074573225499</v>
      </c>
    </row>
    <row r="32620" spans="1:6" x14ac:dyDescent="0.25">
      <c r="A32620" s="1" t="str">
        <f t="shared" si="1162"/>
        <v>42034</v>
      </c>
      <c r="B32620" s="1" t="str">
        <f>"94960"</f>
        <v>94960</v>
      </c>
      <c r="C32620" s="2">
        <v>0</v>
      </c>
      <c r="D32620" s="2">
        <v>0</v>
      </c>
      <c r="E32620" s="2">
        <v>1.1042944785275999E-2</v>
      </c>
      <c r="F32620" s="2">
        <v>8.0862533692722307E-3</v>
      </c>
    </row>
    <row r="32621" spans="1:6" x14ac:dyDescent="0.25">
      <c r="A32621" s="1" t="str">
        <f t="shared" si="1162"/>
        <v>42034</v>
      </c>
      <c r="B32621" s="1" t="str">
        <f>"94956"</f>
        <v>94956</v>
      </c>
      <c r="C32621" s="2">
        <v>3.9525691699604697E-3</v>
      </c>
      <c r="D32621" s="2">
        <v>0</v>
      </c>
      <c r="E32621" s="2">
        <v>0</v>
      </c>
      <c r="F32621" s="2">
        <v>8.9847259658580396E-4</v>
      </c>
    </row>
    <row r="32622" spans="1:6" x14ac:dyDescent="0.25">
      <c r="A32622" s="1" t="str">
        <f t="shared" si="1162"/>
        <v>42034</v>
      </c>
      <c r="B32622" s="1" t="str">
        <f>"94945"</f>
        <v>94945</v>
      </c>
      <c r="C32622" s="2">
        <v>7.9051383399209394E-3</v>
      </c>
      <c r="D32622" s="2">
        <v>6.6666666666666596E-2</v>
      </c>
      <c r="E32622" s="2">
        <v>2.45398773006134E-2</v>
      </c>
      <c r="F32622" s="2">
        <v>2.2461814914645099E-2</v>
      </c>
    </row>
    <row r="32623" spans="1:6" x14ac:dyDescent="0.25">
      <c r="A32623" s="1" t="str">
        <f t="shared" si="1162"/>
        <v>42034</v>
      </c>
      <c r="B32623" s="1" t="str">
        <f>"94949"</f>
        <v>94949</v>
      </c>
      <c r="C32623" s="2">
        <v>0</v>
      </c>
      <c r="D32623" s="2">
        <v>0</v>
      </c>
      <c r="E32623" s="2">
        <v>1.9631901840490702E-2</v>
      </c>
      <c r="F32623" s="2">
        <v>1.4375561545372799E-2</v>
      </c>
    </row>
    <row r="32624" spans="1:6" x14ac:dyDescent="0.25">
      <c r="A32624" s="1" t="str">
        <f t="shared" si="1162"/>
        <v>42034</v>
      </c>
      <c r="B32624" s="1" t="str">
        <f>"94947"</f>
        <v>94947</v>
      </c>
      <c r="C32624" s="2">
        <v>0.84980237154150096</v>
      </c>
      <c r="D32624" s="2">
        <v>4.4444444444444398E-2</v>
      </c>
      <c r="E32624" s="2">
        <v>3.6809815950920202E-3</v>
      </c>
      <c r="F32624" s="2">
        <v>0.197663971248876</v>
      </c>
    </row>
    <row r="32625" spans="1:6" x14ac:dyDescent="0.25">
      <c r="A32625" s="1" t="str">
        <f t="shared" si="1162"/>
        <v>42034</v>
      </c>
      <c r="B32625" s="1" t="str">
        <f>"94939"</f>
        <v>94939</v>
      </c>
      <c r="C32625" s="2">
        <v>0</v>
      </c>
      <c r="D32625" s="2">
        <v>2.2222222222222199E-2</v>
      </c>
      <c r="E32625" s="2">
        <v>3.3128834355828203E-2</v>
      </c>
      <c r="F32625" s="2">
        <v>2.51572327044025E-2</v>
      </c>
    </row>
    <row r="32626" spans="1:6" x14ac:dyDescent="0.25">
      <c r="A32626" s="1" t="str">
        <f t="shared" si="1162"/>
        <v>42034</v>
      </c>
      <c r="B32626" s="1" t="str">
        <f>"94904"</f>
        <v>94904</v>
      </c>
      <c r="C32626" s="2">
        <v>3.9525691699604697E-3</v>
      </c>
      <c r="D32626" s="2">
        <v>0</v>
      </c>
      <c r="E32626" s="2">
        <v>6.13496932515337E-3</v>
      </c>
      <c r="F32626" s="2">
        <v>5.3908355795148199E-3</v>
      </c>
    </row>
    <row r="32627" spans="1:6" x14ac:dyDescent="0.25">
      <c r="A32627" s="1" t="str">
        <f t="shared" si="1162"/>
        <v>42034</v>
      </c>
      <c r="B32627" s="1" t="str">
        <f>"94933"</f>
        <v>94933</v>
      </c>
      <c r="C32627" s="2">
        <v>3.9525691699604697E-3</v>
      </c>
      <c r="D32627" s="2">
        <v>0</v>
      </c>
      <c r="E32627" s="2">
        <v>1.2269938650306699E-3</v>
      </c>
      <c r="F32627" s="2">
        <v>1.7969451931715999E-3</v>
      </c>
    </row>
    <row r="32628" spans="1:6" x14ac:dyDescent="0.25">
      <c r="A32628" s="1" t="str">
        <f t="shared" si="1162"/>
        <v>42034</v>
      </c>
      <c r="B32628" s="1" t="str">
        <f>"94938"</f>
        <v>94938</v>
      </c>
      <c r="C32628" s="2">
        <v>1.18577075098814E-2</v>
      </c>
      <c r="D32628" s="2">
        <v>0</v>
      </c>
      <c r="E32628" s="2">
        <v>0</v>
      </c>
      <c r="F32628" s="2">
        <v>2.6954177897574099E-3</v>
      </c>
    </row>
    <row r="32629" spans="1:6" x14ac:dyDescent="0.25">
      <c r="A32629" s="1" t="str">
        <f t="shared" si="1162"/>
        <v>42034</v>
      </c>
      <c r="B32629" s="1" t="str">
        <f>"94946"</f>
        <v>94946</v>
      </c>
      <c r="C32629" s="2">
        <v>3.9525691699604697E-3</v>
      </c>
      <c r="D32629" s="2">
        <v>0</v>
      </c>
      <c r="E32629" s="2">
        <v>2.4539877300613399E-3</v>
      </c>
      <c r="F32629" s="2">
        <v>2.6954177897574099E-3</v>
      </c>
    </row>
    <row r="32630" spans="1:6" x14ac:dyDescent="0.25">
      <c r="A32630" s="1" t="str">
        <f t="shared" si="1162"/>
        <v>42034</v>
      </c>
      <c r="B32630" s="1" t="str">
        <f>"94903"</f>
        <v>94903</v>
      </c>
      <c r="C32630" s="2">
        <v>0</v>
      </c>
      <c r="D32630" s="2">
        <v>6.6666666666666596E-2</v>
      </c>
      <c r="E32630" s="2">
        <v>0.251533742331288</v>
      </c>
      <c r="F32630" s="2">
        <v>0.18688230008984699</v>
      </c>
    </row>
    <row r="32631" spans="1:6" x14ac:dyDescent="0.25">
      <c r="A32631" s="1" t="str">
        <f t="shared" si="1162"/>
        <v>42034</v>
      </c>
      <c r="B32631" s="1" t="str">
        <f>"94970"</f>
        <v>94970</v>
      </c>
      <c r="C32631" s="2">
        <v>7.9051383399209394E-3</v>
      </c>
      <c r="D32631" s="2">
        <v>0</v>
      </c>
      <c r="E32631" s="2">
        <v>0</v>
      </c>
      <c r="F32631" s="2">
        <v>1.7969451931715999E-3</v>
      </c>
    </row>
    <row r="32632" spans="1:6" x14ac:dyDescent="0.25">
      <c r="A32632" s="1" t="str">
        <f t="shared" si="1162"/>
        <v>42034</v>
      </c>
      <c r="B32632" s="1" t="str">
        <f>"94940"</f>
        <v>94940</v>
      </c>
      <c r="C32632" s="2">
        <v>0</v>
      </c>
      <c r="D32632" s="2">
        <v>0</v>
      </c>
      <c r="E32632" s="2">
        <v>1.2269938650306699E-3</v>
      </c>
      <c r="F32632" s="2">
        <v>8.9847259658580396E-4</v>
      </c>
    </row>
    <row r="32633" spans="1:6" x14ac:dyDescent="0.25">
      <c r="A32633" s="1" t="str">
        <f t="shared" si="1162"/>
        <v>42034</v>
      </c>
      <c r="B32633" s="1" t="str">
        <f>"94930"</f>
        <v>94930</v>
      </c>
      <c r="C32633" s="2">
        <v>0</v>
      </c>
      <c r="D32633" s="2">
        <v>4.4444444444444398E-2</v>
      </c>
      <c r="E32633" s="2">
        <v>8.5889570552147194E-3</v>
      </c>
      <c r="F32633" s="2">
        <v>8.0862533692722307E-3</v>
      </c>
    </row>
    <row r="32634" spans="1:6" x14ac:dyDescent="0.25">
      <c r="A32634" s="1" t="str">
        <f t="shared" si="1162"/>
        <v>42034</v>
      </c>
      <c r="B32634" s="1" t="str">
        <f>"94924"</f>
        <v>94924</v>
      </c>
      <c r="C32634" s="2">
        <v>0</v>
      </c>
      <c r="D32634" s="2">
        <v>0</v>
      </c>
      <c r="E32634" s="2">
        <v>1.1042944785275999E-2</v>
      </c>
      <c r="F32634" s="2">
        <v>8.0862533692722307E-3</v>
      </c>
    </row>
    <row r="32635" spans="1:6" x14ac:dyDescent="0.25">
      <c r="A32635" s="1" t="str">
        <f t="shared" si="1162"/>
        <v>42034</v>
      </c>
      <c r="B32635" s="1" t="str">
        <f>"94929"</f>
        <v>94929</v>
      </c>
      <c r="C32635" s="2">
        <v>0</v>
      </c>
      <c r="D32635" s="2">
        <v>0</v>
      </c>
      <c r="E32635" s="2">
        <v>1.2269938650306699E-3</v>
      </c>
      <c r="F32635" s="2">
        <v>8.9847259658580396E-4</v>
      </c>
    </row>
    <row r="32636" spans="1:6" x14ac:dyDescent="0.25">
      <c r="A32636" s="1" t="str">
        <f t="shared" si="1162"/>
        <v>42034</v>
      </c>
      <c r="B32636" s="1" t="str">
        <f>"94901"</f>
        <v>94901</v>
      </c>
      <c r="C32636" s="2">
        <v>3.9525691699604697E-3</v>
      </c>
      <c r="D32636" s="2">
        <v>2.2222222222222199E-2</v>
      </c>
      <c r="E32636" s="2">
        <v>0.434355828220858</v>
      </c>
      <c r="F32636" s="2">
        <v>0.31985624438454602</v>
      </c>
    </row>
    <row r="32637" spans="1:6" x14ac:dyDescent="0.25">
      <c r="A32637" s="1" t="str">
        <f t="shared" si="1162"/>
        <v>42034</v>
      </c>
      <c r="B32637" s="1" t="str">
        <f>"94937"</f>
        <v>94937</v>
      </c>
      <c r="C32637" s="2">
        <v>7.9051383399209394E-3</v>
      </c>
      <c r="D32637" s="2">
        <v>2.2222222222222199E-2</v>
      </c>
      <c r="E32637" s="2">
        <v>1.2269938650306699E-3</v>
      </c>
      <c r="F32637" s="2">
        <v>3.5938903863432098E-3</v>
      </c>
    </row>
    <row r="32638" spans="1:6" x14ac:dyDescent="0.25">
      <c r="A32638" s="1" t="str">
        <f t="shared" si="1162"/>
        <v>42034</v>
      </c>
      <c r="B32638" s="1" t="str">
        <f>"94925"</f>
        <v>94925</v>
      </c>
      <c r="C32638" s="2">
        <v>1.9762845849802299E-2</v>
      </c>
      <c r="D32638" s="2">
        <v>0</v>
      </c>
      <c r="E32638" s="2">
        <v>3.0674846625766802E-2</v>
      </c>
      <c r="F32638" s="2">
        <v>2.6954177897574101E-2</v>
      </c>
    </row>
    <row r="32639" spans="1:6" x14ac:dyDescent="0.25">
      <c r="A32639" s="1" t="str">
        <f t="shared" ref="A32639:A32661" si="1163">"42100"</f>
        <v>42100</v>
      </c>
      <c r="B32639" s="1" t="str">
        <f>"95061"</f>
        <v>95061</v>
      </c>
      <c r="C32639" s="2">
        <v>1.5071893187264601E-2</v>
      </c>
      <c r="D32639" s="2">
        <v>3.9385004212299901E-2</v>
      </c>
      <c r="E32639" s="2">
        <v>3.2685079261317198E-4</v>
      </c>
      <c r="F32639" s="2">
        <v>1.69384051369139E-2</v>
      </c>
    </row>
    <row r="32640" spans="1:6" x14ac:dyDescent="0.25">
      <c r="A32640" s="1" t="str">
        <f t="shared" si="1163"/>
        <v>42100</v>
      </c>
      <c r="B32640" s="1" t="str">
        <f>"95007"</f>
        <v>95007</v>
      </c>
      <c r="C32640" s="2">
        <v>6.4190345771995795E-4</v>
      </c>
      <c r="D32640" s="2">
        <v>1.404099971918E-4</v>
      </c>
      <c r="E32640" s="2">
        <v>6.5370158522634397E-4</v>
      </c>
      <c r="F32640" s="2">
        <v>5.9036609986662001E-4</v>
      </c>
    </row>
    <row r="32641" spans="1:6" x14ac:dyDescent="0.25">
      <c r="A32641" s="1" t="str">
        <f t="shared" si="1163"/>
        <v>42100</v>
      </c>
      <c r="B32641" s="1" t="str">
        <f>"95065"</f>
        <v>95065</v>
      </c>
      <c r="C32641" s="2">
        <v>2.7687435809654201E-2</v>
      </c>
      <c r="D32641" s="2">
        <v>2.0640269587194601E-2</v>
      </c>
      <c r="E32641" s="2">
        <v>1.3564307893446601E-2</v>
      </c>
      <c r="F32641" s="2">
        <v>2.6325954971830001E-2</v>
      </c>
    </row>
    <row r="32642" spans="1:6" x14ac:dyDescent="0.25">
      <c r="A32642" s="1" t="str">
        <f t="shared" si="1163"/>
        <v>42100</v>
      </c>
      <c r="B32642" s="1" t="str">
        <f>"95076"</f>
        <v>95076</v>
      </c>
      <c r="C32642" s="2">
        <v>0.176078397808969</v>
      </c>
      <c r="D32642" s="2">
        <v>0.136197697276046</v>
      </c>
      <c r="E32642" s="2">
        <v>0.18646837718581399</v>
      </c>
      <c r="F32642" s="2">
        <v>0.17240147810178999</v>
      </c>
    </row>
    <row r="32643" spans="1:6" x14ac:dyDescent="0.25">
      <c r="A32643" s="1" t="str">
        <f t="shared" si="1163"/>
        <v>42100</v>
      </c>
      <c r="B32643" s="1" t="str">
        <f>"95062"</f>
        <v>95062</v>
      </c>
      <c r="C32643" s="2">
        <v>0.14292194453954099</v>
      </c>
      <c r="D32643" s="2">
        <v>0.103973602920527</v>
      </c>
      <c r="E32643" s="2">
        <v>0.17698970420003199</v>
      </c>
      <c r="F32643" s="2">
        <v>0.14039780471272401</v>
      </c>
    </row>
    <row r="32644" spans="1:6" x14ac:dyDescent="0.25">
      <c r="A32644" s="1" t="str">
        <f t="shared" si="1163"/>
        <v>42100</v>
      </c>
      <c r="B32644" s="1" t="str">
        <f>"95010"</f>
        <v>95010</v>
      </c>
      <c r="C32644" s="2">
        <v>5.3192399863060499E-2</v>
      </c>
      <c r="D32644" s="2">
        <v>8.2420668351586596E-2</v>
      </c>
      <c r="E32644" s="2">
        <v>0.16440594868442501</v>
      </c>
      <c r="F32644" s="2">
        <v>6.1186708745435497E-2</v>
      </c>
    </row>
    <row r="32645" spans="1:6" x14ac:dyDescent="0.25">
      <c r="A32645" s="1" t="str">
        <f t="shared" si="1163"/>
        <v>42100</v>
      </c>
      <c r="B32645" s="1" t="str">
        <f>"95041"</f>
        <v>95041</v>
      </c>
      <c r="C32645" s="2">
        <v>6.7613830879835598E-4</v>
      </c>
      <c r="D32645" s="2">
        <v>7.0204998595900002E-5</v>
      </c>
      <c r="E32645" s="2">
        <v>0</v>
      </c>
      <c r="F32645" s="2">
        <v>5.8307762949789705E-4</v>
      </c>
    </row>
    <row r="32646" spans="1:6" x14ac:dyDescent="0.25">
      <c r="A32646" s="1" t="str">
        <f t="shared" si="1163"/>
        <v>42100</v>
      </c>
      <c r="B32646" s="1" t="str">
        <f>"95066"</f>
        <v>95066</v>
      </c>
      <c r="C32646" s="2">
        <v>5.4176651831564497E-2</v>
      </c>
      <c r="D32646" s="2">
        <v>7.2732378545352402E-2</v>
      </c>
      <c r="E32646" s="2">
        <v>5.57280601405458E-2</v>
      </c>
      <c r="F32646" s="2">
        <v>5.6172241131753599E-2</v>
      </c>
    </row>
    <row r="32647" spans="1:6" x14ac:dyDescent="0.25">
      <c r="A32647" s="1" t="str">
        <f t="shared" si="1163"/>
        <v>42100</v>
      </c>
      <c r="B32647" s="1" t="str">
        <f>"95001"</f>
        <v>95001</v>
      </c>
      <c r="C32647" s="2">
        <v>1.4849366655255001E-2</v>
      </c>
      <c r="D32647" s="2">
        <v>3.4611064307778702E-2</v>
      </c>
      <c r="E32647" s="2">
        <v>3.2685079261317198E-4</v>
      </c>
      <c r="F32647" s="2">
        <v>1.6253288922253799E-2</v>
      </c>
    </row>
    <row r="32648" spans="1:6" x14ac:dyDescent="0.25">
      <c r="A32648" s="1" t="str">
        <f t="shared" si="1163"/>
        <v>42100</v>
      </c>
      <c r="B32648" s="1" t="str">
        <f>"95005"</f>
        <v>95005</v>
      </c>
      <c r="C32648" s="2">
        <v>2.70883259157822E-2</v>
      </c>
      <c r="D32648" s="2">
        <v>1.11625947767481E-2</v>
      </c>
      <c r="E32648" s="2">
        <v>9.9689491747017404E-3</v>
      </c>
      <c r="F32648" s="2">
        <v>2.46714721981297E-2</v>
      </c>
    </row>
    <row r="32649" spans="1:6" x14ac:dyDescent="0.25">
      <c r="A32649" s="1" t="str">
        <f t="shared" si="1163"/>
        <v>42100</v>
      </c>
      <c r="B32649" s="1" t="str">
        <f>"95003"</f>
        <v>95003</v>
      </c>
      <c r="C32649" s="2">
        <v>0.10264464224580599</v>
      </c>
      <c r="D32649" s="2">
        <v>9.8848638023027194E-2</v>
      </c>
      <c r="E32649" s="2">
        <v>7.0436345808138498E-2</v>
      </c>
      <c r="F32649" s="2">
        <v>0.10081412214018599</v>
      </c>
    </row>
    <row r="32650" spans="1:6" x14ac:dyDescent="0.25">
      <c r="A32650" s="1" t="str">
        <f t="shared" si="1163"/>
        <v>42100</v>
      </c>
      <c r="B32650" s="1" t="str">
        <f>"95060"</f>
        <v>95060</v>
      </c>
      <c r="C32650" s="2">
        <v>0.168906196508045</v>
      </c>
      <c r="D32650" s="2">
        <v>0.190466161190676</v>
      </c>
      <c r="E32650" s="2">
        <v>0.232717764340578</v>
      </c>
      <c r="F32650" s="2">
        <v>0.17399036464217199</v>
      </c>
    </row>
    <row r="32651" spans="1:6" x14ac:dyDescent="0.25">
      <c r="A32651" s="1" t="str">
        <f t="shared" si="1163"/>
        <v>42100</v>
      </c>
      <c r="B32651" s="1" t="str">
        <f>"95018"</f>
        <v>95018</v>
      </c>
      <c r="C32651" s="2">
        <v>3.8402944197192701E-2</v>
      </c>
      <c r="D32651" s="2">
        <v>2.90648694187026E-2</v>
      </c>
      <c r="E32651" s="2">
        <v>1.5198561856512499E-2</v>
      </c>
      <c r="F32651" s="2">
        <v>3.6398621021406202E-2</v>
      </c>
    </row>
    <row r="32652" spans="1:6" x14ac:dyDescent="0.25">
      <c r="A32652" s="1" t="str">
        <f t="shared" si="1163"/>
        <v>42100</v>
      </c>
      <c r="B32652" s="1" t="str">
        <f>"95067"</f>
        <v>95067</v>
      </c>
      <c r="C32652" s="2">
        <v>6.8726463539883599E-3</v>
      </c>
      <c r="D32652" s="2">
        <v>1.6147149677057E-2</v>
      </c>
      <c r="E32652" s="2">
        <v>3.2685079261317198E-4</v>
      </c>
      <c r="F32652" s="2">
        <v>7.5435668316290398E-3</v>
      </c>
    </row>
    <row r="32653" spans="1:6" x14ac:dyDescent="0.25">
      <c r="A32653" s="1" t="str">
        <f t="shared" si="1163"/>
        <v>42100</v>
      </c>
      <c r="B32653" s="1" t="str">
        <f>"95006"</f>
        <v>95006</v>
      </c>
      <c r="C32653" s="2">
        <v>3.58524477918521E-2</v>
      </c>
      <c r="D32653" s="2">
        <v>8.0033698399326007E-3</v>
      </c>
      <c r="E32653" s="2">
        <v>1.17666285340741E-2</v>
      </c>
      <c r="F32653" s="2">
        <v>3.1887057863166202E-2</v>
      </c>
    </row>
    <row r="32654" spans="1:6" x14ac:dyDescent="0.25">
      <c r="A32654" s="1" t="str">
        <f t="shared" si="1163"/>
        <v>42100</v>
      </c>
      <c r="B32654" s="1" t="str">
        <f>"95019"</f>
        <v>95019</v>
      </c>
      <c r="C32654" s="2">
        <v>2.94248545018829E-2</v>
      </c>
      <c r="D32654" s="2">
        <v>3.02583543948329E-2</v>
      </c>
      <c r="E32654" s="2">
        <v>1.8467069782644199E-2</v>
      </c>
      <c r="F32654" s="2">
        <v>2.9022689008257802E-2</v>
      </c>
    </row>
    <row r="32655" spans="1:6" x14ac:dyDescent="0.25">
      <c r="A32655" s="1" t="str">
        <f t="shared" si="1163"/>
        <v>42100</v>
      </c>
      <c r="B32655" s="1" t="str">
        <f>"95063"</f>
        <v>95063</v>
      </c>
      <c r="C32655" s="2">
        <v>1.6270112975008501E-2</v>
      </c>
      <c r="D32655" s="2">
        <v>2.8713844425723101E-2</v>
      </c>
      <c r="E32655" s="2">
        <v>3.2685079261317198E-4</v>
      </c>
      <c r="F32655" s="2">
        <v>1.6850943492489199E-2</v>
      </c>
    </row>
    <row r="32656" spans="1:6" x14ac:dyDescent="0.25">
      <c r="A32656" s="1" t="str">
        <f t="shared" si="1163"/>
        <v>42100</v>
      </c>
      <c r="B32656" s="1" t="str">
        <f>"95073"</f>
        <v>95073</v>
      </c>
      <c r="C32656" s="2">
        <v>4.8313933584388902E-2</v>
      </c>
      <c r="D32656" s="2">
        <v>6.5641673687166502E-2</v>
      </c>
      <c r="E32656" s="2">
        <v>3.8568393528354297E-2</v>
      </c>
      <c r="F32656" s="2">
        <v>4.9678214033220799E-2</v>
      </c>
    </row>
    <row r="32657" spans="1:6" x14ac:dyDescent="0.25">
      <c r="A32657" s="1" t="str">
        <f t="shared" si="1163"/>
        <v>42100</v>
      </c>
      <c r="B32657" s="1" t="str">
        <f>"95017"</f>
        <v>95017</v>
      </c>
      <c r="C32657" s="2">
        <v>1.9257103731598699E-3</v>
      </c>
      <c r="D32657" s="2">
        <v>5.6163998876720001E-4</v>
      </c>
      <c r="E32657" s="2">
        <v>1.6342539630658599E-4</v>
      </c>
      <c r="F32657" s="2">
        <v>1.70550206628134E-3</v>
      </c>
    </row>
    <row r="32658" spans="1:6" x14ac:dyDescent="0.25">
      <c r="A32658" s="1" t="str">
        <f t="shared" si="1163"/>
        <v>42100</v>
      </c>
      <c r="B32658" s="1" t="str">
        <f>"95064"</f>
        <v>95064</v>
      </c>
      <c r="C32658" s="2">
        <v>4.2536802464909198E-3</v>
      </c>
      <c r="D32658" s="2">
        <v>2.3167649536647E-3</v>
      </c>
      <c r="E32658" s="2">
        <v>3.2685079261317198E-4</v>
      </c>
      <c r="F32658" s="2">
        <v>3.87746623616101E-3</v>
      </c>
    </row>
    <row r="32659" spans="1:6" x14ac:dyDescent="0.25">
      <c r="A32659" s="1" t="str">
        <f t="shared" si="1163"/>
        <v>42100</v>
      </c>
      <c r="B32659" s="1" t="str">
        <f>"95077"</f>
        <v>95077</v>
      </c>
      <c r="C32659" s="2">
        <v>1.5662444368366901E-2</v>
      </c>
      <c r="D32659" s="2">
        <v>2.78011794439764E-2</v>
      </c>
      <c r="E32659" s="2">
        <v>3.2685079261317198E-4</v>
      </c>
      <c r="F32659" s="2">
        <v>1.6238711981516399E-2</v>
      </c>
    </row>
    <row r="32660" spans="1:6" x14ac:dyDescent="0.25">
      <c r="A32660" s="1" t="str">
        <f t="shared" si="1163"/>
        <v>42100</v>
      </c>
      <c r="B32660" s="1" t="str">
        <f>"94060"</f>
        <v>94060</v>
      </c>
      <c r="C32660" s="2">
        <v>8.5587127695994494E-6</v>
      </c>
      <c r="D32660" s="2">
        <v>0</v>
      </c>
      <c r="E32660" s="2">
        <v>0</v>
      </c>
      <c r="F32660" s="2">
        <v>7.2884703687237099E-6</v>
      </c>
    </row>
    <row r="32661" spans="1:6" x14ac:dyDescent="0.25">
      <c r="A32661" s="1" t="str">
        <f t="shared" si="1163"/>
        <v>42100</v>
      </c>
      <c r="B32661" s="1" t="str">
        <f>"95033"</f>
        <v>95033</v>
      </c>
      <c r="C32661" s="2">
        <v>1.9077370763437101E-2</v>
      </c>
      <c r="D32661" s="2">
        <v>8.4245998315079997E-4</v>
      </c>
      <c r="E32661" s="2">
        <v>2.9416571335185398E-3</v>
      </c>
      <c r="F32661" s="2">
        <v>1.6464654562946799E-2</v>
      </c>
    </row>
    <row r="32662" spans="1:6" x14ac:dyDescent="0.25">
      <c r="A32662" s="1" t="str">
        <f t="shared" ref="A32662:A32682" si="1164">"42140"</f>
        <v>42140</v>
      </c>
      <c r="B32662" s="1" t="str">
        <f>"87504"</f>
        <v>87504</v>
      </c>
      <c r="C32662" s="2">
        <v>3.1967418261245398E-2</v>
      </c>
      <c r="D32662" s="2">
        <v>5.4642683519688803E-2</v>
      </c>
      <c r="E32662" s="2">
        <v>2.3073373327180401E-4</v>
      </c>
      <c r="F32662" s="2">
        <v>3.2900576467260301E-2</v>
      </c>
    </row>
    <row r="32663" spans="1:6" x14ac:dyDescent="0.25">
      <c r="A32663" s="1" t="str">
        <f t="shared" si="1164"/>
        <v>42140</v>
      </c>
      <c r="B32663" s="1" t="str">
        <f>"87532"</f>
        <v>87532</v>
      </c>
      <c r="C32663" s="2">
        <v>2.5244021751495899E-2</v>
      </c>
      <c r="D32663" s="2">
        <v>1.7598444336412201E-2</v>
      </c>
      <c r="E32663" s="2">
        <v>2.65343793262574E-2</v>
      </c>
      <c r="F32663" s="2">
        <v>2.4531559387832701E-2</v>
      </c>
    </row>
    <row r="32664" spans="1:6" x14ac:dyDescent="0.25">
      <c r="A32664" s="1" t="str">
        <f t="shared" si="1164"/>
        <v>42140</v>
      </c>
      <c r="B32664" s="1" t="str">
        <f>"87056"</f>
        <v>87056</v>
      </c>
      <c r="C32664" s="2">
        <v>4.8008008919023402E-3</v>
      </c>
      <c r="D32664" s="2">
        <v>9.7228974234321794E-5</v>
      </c>
      <c r="E32664" s="2">
        <v>6.9220119981541295E-4</v>
      </c>
      <c r="F32664" s="2">
        <v>4.1552462422332903E-3</v>
      </c>
    </row>
    <row r="32665" spans="1:6" x14ac:dyDescent="0.25">
      <c r="A32665" s="1" t="str">
        <f t="shared" si="1164"/>
        <v>42140</v>
      </c>
      <c r="B32665" s="1" t="str">
        <f>"87535"</f>
        <v>87535</v>
      </c>
      <c r="C32665" s="2">
        <v>5.7222816318172496E-3</v>
      </c>
      <c r="D32665" s="2">
        <v>9.7228974234321794E-5</v>
      </c>
      <c r="E32665" s="2">
        <v>9.2293493308721701E-4</v>
      </c>
      <c r="F32665" s="2">
        <v>4.9550823733673999E-3</v>
      </c>
    </row>
    <row r="32666" spans="1:6" x14ac:dyDescent="0.25">
      <c r="A32666" s="1" t="str">
        <f t="shared" si="1164"/>
        <v>42140</v>
      </c>
      <c r="B32666" s="1" t="str">
        <f>"87508"</f>
        <v>87508</v>
      </c>
      <c r="C32666" s="2">
        <v>0.102193351687106</v>
      </c>
      <c r="D32666" s="2">
        <v>3.9766650461837597E-2</v>
      </c>
      <c r="E32666" s="2">
        <v>2.4457775726811199E-2</v>
      </c>
      <c r="F32666" s="2">
        <v>9.2644433823314207E-2</v>
      </c>
    </row>
    <row r="32667" spans="1:6" x14ac:dyDescent="0.25">
      <c r="A32667" s="1" t="str">
        <f t="shared" si="1164"/>
        <v>42140</v>
      </c>
      <c r="B32667" s="1" t="str">
        <f>"87506"</f>
        <v>87506</v>
      </c>
      <c r="C32667" s="2">
        <v>9.64028122227025E-2</v>
      </c>
      <c r="D32667" s="2">
        <v>2.2362664073893999E-2</v>
      </c>
      <c r="E32667" s="2">
        <v>4.2685740655283799E-2</v>
      </c>
      <c r="F32667" s="2">
        <v>8.6704187434769403E-2</v>
      </c>
    </row>
    <row r="32668" spans="1:6" x14ac:dyDescent="0.25">
      <c r="A32668" s="1" t="str">
        <f t="shared" si="1164"/>
        <v>42140</v>
      </c>
      <c r="B32668" s="1" t="str">
        <f>"87501"</f>
        <v>87501</v>
      </c>
      <c r="C32668" s="2">
        <v>0.123103001069372</v>
      </c>
      <c r="D32668" s="2">
        <v>0.23373845405930899</v>
      </c>
      <c r="E32668" s="2">
        <v>0.29741578218735498</v>
      </c>
      <c r="F32668" s="2">
        <v>0.14157099521073699</v>
      </c>
    </row>
    <row r="32669" spans="1:6" x14ac:dyDescent="0.25">
      <c r="A32669" s="1" t="str">
        <f t="shared" si="1164"/>
        <v>42140</v>
      </c>
      <c r="B32669" s="1" t="str">
        <f>"87567"</f>
        <v>87567</v>
      </c>
      <c r="C32669" s="2">
        <v>2.7758185251757599E-3</v>
      </c>
      <c r="D32669" s="2">
        <v>5.8337384540593003E-4</v>
      </c>
      <c r="E32669" s="2">
        <v>2.3073373327180401E-4</v>
      </c>
      <c r="F32669" s="2">
        <v>2.4482788892031802E-3</v>
      </c>
    </row>
    <row r="32670" spans="1:6" x14ac:dyDescent="0.25">
      <c r="A32670" s="1" t="str">
        <f t="shared" si="1164"/>
        <v>42140</v>
      </c>
      <c r="B32670" s="1" t="str">
        <f>"87552"</f>
        <v>87552</v>
      </c>
      <c r="C32670" s="2">
        <v>1.1376305431048199E-5</v>
      </c>
      <c r="D32670" s="2">
        <v>0</v>
      </c>
      <c r="E32670" s="2">
        <v>0</v>
      </c>
      <c r="F32670" s="2">
        <v>9.7540991601720593E-6</v>
      </c>
    </row>
    <row r="32671" spans="1:6" x14ac:dyDescent="0.25">
      <c r="A32671" s="1" t="str">
        <f t="shared" si="1164"/>
        <v>42140</v>
      </c>
      <c r="B32671" s="1" t="str">
        <f>"87015"</f>
        <v>87015</v>
      </c>
      <c r="C32671" s="2">
        <v>4.0215239698755401E-2</v>
      </c>
      <c r="D32671" s="2">
        <v>1.22508507535245E-2</v>
      </c>
      <c r="E32671" s="2">
        <v>8.3064143977849506E-3</v>
      </c>
      <c r="F32671" s="2">
        <v>3.6060904595156103E-2</v>
      </c>
    </row>
    <row r="32672" spans="1:6" x14ac:dyDescent="0.25">
      <c r="A32672" s="1" t="str">
        <f t="shared" si="1164"/>
        <v>42140</v>
      </c>
      <c r="B32672" s="1" t="str">
        <f>"87522"</f>
        <v>87522</v>
      </c>
      <c r="C32672" s="2">
        <v>2.9123341903483399E-3</v>
      </c>
      <c r="D32672" s="2">
        <v>1.9445794846864299E-4</v>
      </c>
      <c r="E32672" s="2">
        <v>1.8458698661744299E-3</v>
      </c>
      <c r="F32672" s="2">
        <v>2.5945903766057599E-3</v>
      </c>
    </row>
    <row r="32673" spans="1:6" x14ac:dyDescent="0.25">
      <c r="A32673" s="1" t="str">
        <f t="shared" si="1164"/>
        <v>42140</v>
      </c>
      <c r="B32673" s="1" t="str">
        <f>"87505"</f>
        <v>87505</v>
      </c>
      <c r="C32673" s="2">
        <v>0.21785624900457301</v>
      </c>
      <c r="D32673" s="2">
        <v>0.27729703451628501</v>
      </c>
      <c r="E32673" s="2">
        <v>0.36663590216889702</v>
      </c>
      <c r="F32673" s="2">
        <v>0.23010895328761899</v>
      </c>
    </row>
    <row r="32674" spans="1:6" x14ac:dyDescent="0.25">
      <c r="A32674" s="1" t="str">
        <f t="shared" si="1164"/>
        <v>42140</v>
      </c>
      <c r="B32674" s="1" t="str">
        <f>"87010"</f>
        <v>87010</v>
      </c>
      <c r="C32674" s="2">
        <v>5.7677868535414402E-3</v>
      </c>
      <c r="D32674" s="2">
        <v>1.3612056392804999E-3</v>
      </c>
      <c r="E32674" s="2">
        <v>2.3073373327180401E-4</v>
      </c>
      <c r="F32674" s="2">
        <v>5.0916397616098102E-3</v>
      </c>
    </row>
    <row r="32675" spans="1:6" x14ac:dyDescent="0.25">
      <c r="A32675" s="1" t="str">
        <f t="shared" si="1164"/>
        <v>42140</v>
      </c>
      <c r="B32675" s="1" t="str">
        <f>"87540"</f>
        <v>87540</v>
      </c>
      <c r="C32675" s="2">
        <v>7.36046961388819E-3</v>
      </c>
      <c r="D32675" s="2">
        <v>3.11132717549829E-3</v>
      </c>
      <c r="E32675" s="2">
        <v>4.6146746654360802E-4</v>
      </c>
      <c r="F32675" s="2">
        <v>6.6425415280771697E-3</v>
      </c>
    </row>
    <row r="32676" spans="1:6" x14ac:dyDescent="0.25">
      <c r="A32676" s="1" t="str">
        <f t="shared" si="1164"/>
        <v>42140</v>
      </c>
      <c r="B32676" s="1" t="str">
        <f>"87047"</f>
        <v>87047</v>
      </c>
      <c r="C32676" s="2">
        <v>1.3082751245705401E-3</v>
      </c>
      <c r="D32676" s="2">
        <v>7.7783179387457403E-4</v>
      </c>
      <c r="E32676" s="2">
        <v>2.3073373327180401E-4</v>
      </c>
      <c r="F32676" s="2">
        <v>1.20950829586133E-3</v>
      </c>
    </row>
    <row r="32677" spans="1:6" x14ac:dyDescent="0.25">
      <c r="A32677" s="1" t="str">
        <f t="shared" si="1164"/>
        <v>42140</v>
      </c>
      <c r="B32677" s="1" t="str">
        <f>"87592"</f>
        <v>87592</v>
      </c>
      <c r="C32677" s="2">
        <v>1.8850538099246798E-2</v>
      </c>
      <c r="D32677" s="2">
        <v>2.5376762275157901E-2</v>
      </c>
      <c r="E32677" s="2">
        <v>2.3073373327180401E-4</v>
      </c>
      <c r="F32677" s="2">
        <v>1.8718116288370099E-2</v>
      </c>
    </row>
    <row r="32678" spans="1:6" x14ac:dyDescent="0.25">
      <c r="A32678" s="1" t="str">
        <f t="shared" si="1164"/>
        <v>42140</v>
      </c>
      <c r="B32678" s="1" t="str">
        <f>"87035"</f>
        <v>87035</v>
      </c>
      <c r="C32678" s="2">
        <v>7.0533093672498902E-4</v>
      </c>
      <c r="D32678" s="2">
        <v>0</v>
      </c>
      <c r="E32678" s="2">
        <v>2.3073373327180401E-4</v>
      </c>
      <c r="F32678" s="2">
        <v>6.1450824709083905E-4</v>
      </c>
    </row>
    <row r="32679" spans="1:6" x14ac:dyDescent="0.25">
      <c r="A32679" s="1" t="str">
        <f t="shared" si="1164"/>
        <v>42140</v>
      </c>
      <c r="B32679" s="1" t="str">
        <f>"87574"</f>
        <v>87574</v>
      </c>
      <c r="C32679" s="2">
        <v>8.2023162157857602E-3</v>
      </c>
      <c r="D32679" s="2">
        <v>4.6669907632474403E-3</v>
      </c>
      <c r="E32679" s="2">
        <v>4.6146746654360802E-4</v>
      </c>
      <c r="F32679" s="2">
        <v>7.5204104524926596E-3</v>
      </c>
    </row>
    <row r="32680" spans="1:6" x14ac:dyDescent="0.25">
      <c r="A32680" s="1" t="str">
        <f t="shared" si="1164"/>
        <v>42140</v>
      </c>
      <c r="B32680" s="1" t="str">
        <f>"87594"</f>
        <v>87594</v>
      </c>
      <c r="C32680" s="2">
        <v>2.09210256876976E-2</v>
      </c>
      <c r="D32680" s="2">
        <v>2.1390374331550801E-2</v>
      </c>
      <c r="E32680" s="2">
        <v>2.3073373327180401E-4</v>
      </c>
      <c r="F32680" s="2">
        <v>2.0093444269954401E-2</v>
      </c>
    </row>
    <row r="32681" spans="1:6" x14ac:dyDescent="0.25">
      <c r="A32681" s="1" t="str">
        <f t="shared" si="1164"/>
        <v>42140</v>
      </c>
      <c r="B32681" s="1" t="str">
        <f>"87502"</f>
        <v>87502</v>
      </c>
      <c r="C32681" s="2">
        <v>3.4003776933403097E-2</v>
      </c>
      <c r="D32681" s="2">
        <v>7.4088478366553204E-2</v>
      </c>
      <c r="E32681" s="2">
        <v>2.3073373327180401E-4</v>
      </c>
      <c r="F32681" s="2">
        <v>3.6597380048965497E-2</v>
      </c>
    </row>
    <row r="32682" spans="1:6" x14ac:dyDescent="0.25">
      <c r="A32682" s="1" t="str">
        <f t="shared" si="1164"/>
        <v>42140</v>
      </c>
      <c r="B32682" s="1" t="str">
        <f>"87507"</f>
        <v>87507</v>
      </c>
      <c r="C32682" s="2">
        <v>0.24967577529521501</v>
      </c>
      <c r="D32682" s="2">
        <v>0.21059795819154101</v>
      </c>
      <c r="E32682" s="2">
        <v>0.22773419473927001</v>
      </c>
      <c r="F32682" s="2">
        <v>0.24482788892031801</v>
      </c>
    </row>
    <row r="32683" spans="1:6" x14ac:dyDescent="0.25">
      <c r="A32683" s="1" t="str">
        <f>"42180"</f>
        <v>42180</v>
      </c>
      <c r="B32683" s="1" t="str">
        <f>"00757"</f>
        <v>00757</v>
      </c>
      <c r="C32683" s="2">
        <v>0.99864096861872897</v>
      </c>
      <c r="D32683" s="2">
        <v>1</v>
      </c>
      <c r="E32683" s="2">
        <v>1</v>
      </c>
      <c r="F32683" s="2">
        <v>0.99871645274212295</v>
      </c>
    </row>
    <row r="32684" spans="1:6" x14ac:dyDescent="0.25">
      <c r="A32684" s="1" t="str">
        <f>"42180"</f>
        <v>42180</v>
      </c>
      <c r="B32684" s="1" t="str">
        <f>"00751"</f>
        <v>00751</v>
      </c>
      <c r="C32684" s="2">
        <v>1.3590313812700699E-3</v>
      </c>
      <c r="D32684" s="2">
        <v>0</v>
      </c>
      <c r="E32684" s="2">
        <v>0</v>
      </c>
      <c r="F32684" s="2">
        <v>1.28354725787631E-3</v>
      </c>
    </row>
    <row r="32685" spans="1:6" x14ac:dyDescent="0.25">
      <c r="A32685" s="1" t="str">
        <f t="shared" ref="A32685:A32725" si="1165">"42200"</f>
        <v>42200</v>
      </c>
      <c r="B32685" s="1" t="str">
        <f>"93464"</f>
        <v>93464</v>
      </c>
      <c r="C32685" s="2">
        <v>5.9822703313048599E-3</v>
      </c>
      <c r="D32685" s="2">
        <v>1.08973552956955E-2</v>
      </c>
      <c r="E32685" s="2">
        <v>1.4990256333383299E-4</v>
      </c>
      <c r="F32685" s="2">
        <v>6.1604610409553198E-3</v>
      </c>
    </row>
    <row r="32686" spans="1:6" x14ac:dyDescent="0.25">
      <c r="A32686" s="1" t="str">
        <f t="shared" si="1165"/>
        <v>42200</v>
      </c>
      <c r="B32686" s="1" t="str">
        <f>"93103"</f>
        <v>93103</v>
      </c>
      <c r="C32686" s="2">
        <v>4.2006177698400197E-2</v>
      </c>
      <c r="D32686" s="2">
        <v>3.8350308059851602E-2</v>
      </c>
      <c r="E32686" s="2">
        <v>5.6438315095188103E-2</v>
      </c>
      <c r="F32686" s="2">
        <v>4.2481888967174301E-2</v>
      </c>
    </row>
    <row r="32687" spans="1:6" x14ac:dyDescent="0.25">
      <c r="A32687" s="1" t="str">
        <f t="shared" si="1165"/>
        <v>42200</v>
      </c>
      <c r="B32687" s="1" t="str">
        <f>"93067"</f>
        <v>93067</v>
      </c>
      <c r="C32687" s="2">
        <v>6.7802682793101296E-3</v>
      </c>
      <c r="D32687" s="2">
        <v>4.6942453581457697E-3</v>
      </c>
      <c r="E32687" s="2">
        <v>1.4990256333383299E-4</v>
      </c>
      <c r="F32687" s="2">
        <v>6.1559445739164899E-3</v>
      </c>
    </row>
    <row r="32688" spans="1:6" x14ac:dyDescent="0.25">
      <c r="A32688" s="1" t="str">
        <f t="shared" si="1165"/>
        <v>42200</v>
      </c>
      <c r="B32688" s="1" t="str">
        <f>"93436"</f>
        <v>93436</v>
      </c>
      <c r="C32688" s="2">
        <v>0.104885158866734</v>
      </c>
      <c r="D32688" s="2">
        <v>6.3791441384802305E-2</v>
      </c>
      <c r="E32688" s="2">
        <v>0.118797781442062</v>
      </c>
      <c r="F32688" s="2">
        <v>0.101295322746734</v>
      </c>
    </row>
    <row r="32689" spans="1:6" x14ac:dyDescent="0.25">
      <c r="A32689" s="1" t="str">
        <f t="shared" si="1165"/>
        <v>42200</v>
      </c>
      <c r="B32689" s="1" t="str">
        <f>"93454"</f>
        <v>93454</v>
      </c>
      <c r="C32689" s="2">
        <v>6.9105536585763003E-2</v>
      </c>
      <c r="D32689" s="2">
        <v>9.4597426547634006E-2</v>
      </c>
      <c r="E32689" s="2">
        <v>6.3933443261879705E-2</v>
      </c>
      <c r="F32689" s="2">
        <v>7.1540837894965001E-2</v>
      </c>
    </row>
    <row r="32690" spans="1:6" x14ac:dyDescent="0.25">
      <c r="A32690" s="1" t="str">
        <f t="shared" si="1165"/>
        <v>42200</v>
      </c>
      <c r="B32690" s="1" t="str">
        <f>"93460"</f>
        <v>93460</v>
      </c>
      <c r="C32690" s="2">
        <v>1.7778525712362402E-2</v>
      </c>
      <c r="D32690" s="2">
        <v>1.9112284672450599E-2</v>
      </c>
      <c r="E32690" s="2">
        <v>2.17358716834057E-3</v>
      </c>
      <c r="F32690" s="2">
        <v>1.6981916065976502E-2</v>
      </c>
    </row>
    <row r="32691" spans="1:6" x14ac:dyDescent="0.25">
      <c r="A32691" s="1" t="str">
        <f t="shared" si="1165"/>
        <v>42200</v>
      </c>
      <c r="B32691" s="1" t="str">
        <f>"93434"</f>
        <v>93434</v>
      </c>
      <c r="C32691" s="2">
        <v>1.17093984615468E-2</v>
      </c>
      <c r="D32691" s="2">
        <v>8.1730164717716495E-3</v>
      </c>
      <c r="E32691" s="2">
        <v>1.1017838405036701E-2</v>
      </c>
      <c r="F32691" s="2">
        <v>1.128665113002E-2</v>
      </c>
    </row>
    <row r="32692" spans="1:6" x14ac:dyDescent="0.25">
      <c r="A32692" s="1" t="str">
        <f t="shared" si="1165"/>
        <v>42200</v>
      </c>
      <c r="B32692" s="1" t="str">
        <f>"93441"</f>
        <v>93441</v>
      </c>
      <c r="C32692" s="2">
        <v>4.8259875903176198E-3</v>
      </c>
      <c r="D32692" s="2">
        <v>9.4723165262584307E-3</v>
      </c>
      <c r="E32692" s="2">
        <v>4.4970769000149901E-4</v>
      </c>
      <c r="F32692" s="2">
        <v>5.0629595505212004E-3</v>
      </c>
    </row>
    <row r="32693" spans="1:6" x14ac:dyDescent="0.25">
      <c r="A32693" s="1" t="str">
        <f t="shared" si="1165"/>
        <v>42200</v>
      </c>
      <c r="B32693" s="1" t="str">
        <f>"93118"</f>
        <v>93118</v>
      </c>
      <c r="C32693" s="2">
        <v>4.5708453892547097E-3</v>
      </c>
      <c r="D32693" s="2">
        <v>5.5325034578146597E-3</v>
      </c>
      <c r="E32693" s="2">
        <v>1.4990256333383299E-4</v>
      </c>
      <c r="F32693" s="2">
        <v>4.4080718298917798E-3</v>
      </c>
    </row>
    <row r="32694" spans="1:6" x14ac:dyDescent="0.25">
      <c r="A32694" s="1" t="str">
        <f t="shared" si="1165"/>
        <v>42200</v>
      </c>
      <c r="B32694" s="1" t="str">
        <f>"93254"</f>
        <v>93254</v>
      </c>
      <c r="C32694" s="2">
        <v>6.4056978139198997E-4</v>
      </c>
      <c r="D32694" s="2">
        <v>3.3530323986755498E-4</v>
      </c>
      <c r="E32694" s="2">
        <v>2.2485384500074899E-4</v>
      </c>
      <c r="F32694" s="2">
        <v>5.8262424800823798E-4</v>
      </c>
    </row>
    <row r="32695" spans="1:6" x14ac:dyDescent="0.25">
      <c r="A32695" s="1" t="str">
        <f t="shared" si="1165"/>
        <v>42200</v>
      </c>
      <c r="B32695" s="1" t="str">
        <f>"93101"</f>
        <v>93101</v>
      </c>
      <c r="C32695" s="2">
        <v>7.15429588895342E-2</v>
      </c>
      <c r="D32695" s="2">
        <v>0.16408902301018399</v>
      </c>
      <c r="E32695" s="2">
        <v>0.19015140158896701</v>
      </c>
      <c r="F32695" s="2">
        <v>8.86627644391451E-2</v>
      </c>
    </row>
    <row r="32696" spans="1:6" x14ac:dyDescent="0.25">
      <c r="A32696" s="1" t="str">
        <f t="shared" si="1165"/>
        <v>42200</v>
      </c>
      <c r="B32696" s="1" t="str">
        <f>"93110"</f>
        <v>93110</v>
      </c>
      <c r="C32696" s="2">
        <v>3.61650498613003E-2</v>
      </c>
      <c r="D32696" s="2">
        <v>1.2238568255165699E-2</v>
      </c>
      <c r="E32696" s="2">
        <v>3.1104781891770301E-2</v>
      </c>
      <c r="F32696" s="2">
        <v>3.3281845609090699E-2</v>
      </c>
    </row>
    <row r="32697" spans="1:6" x14ac:dyDescent="0.25">
      <c r="A32697" s="1" t="str">
        <f t="shared" si="1165"/>
        <v>42200</v>
      </c>
      <c r="B32697" s="1" t="str">
        <f>"93140"</f>
        <v>93140</v>
      </c>
      <c r="C32697" s="2">
        <v>6.9268393309845702E-3</v>
      </c>
      <c r="D32697" s="2">
        <v>1.07297036757617E-2</v>
      </c>
      <c r="E32697" s="2">
        <v>7.4951281666916497E-5</v>
      </c>
      <c r="F32697" s="2">
        <v>6.9237439705165001E-3</v>
      </c>
    </row>
    <row r="32698" spans="1:6" x14ac:dyDescent="0.25">
      <c r="A32698" s="1" t="str">
        <f t="shared" si="1165"/>
        <v>42200</v>
      </c>
      <c r="B32698" s="1" t="str">
        <f>"93458"</f>
        <v>93458</v>
      </c>
      <c r="C32698" s="2">
        <v>7.9935508737263197E-2</v>
      </c>
      <c r="D32698" s="2">
        <v>4.62718471017226E-2</v>
      </c>
      <c r="E32698" s="2">
        <v>8.4844850846949399E-2</v>
      </c>
      <c r="F32698" s="2">
        <v>7.6603797445486205E-2</v>
      </c>
    </row>
    <row r="32699" spans="1:6" x14ac:dyDescent="0.25">
      <c r="A32699" s="1" t="str">
        <f t="shared" si="1165"/>
        <v>42200</v>
      </c>
      <c r="B32699" s="1" t="str">
        <f>"93438"</f>
        <v>93438</v>
      </c>
      <c r="C32699" s="2">
        <v>1.1676827116730199E-2</v>
      </c>
      <c r="D32699" s="2">
        <v>1.1274571440546499E-2</v>
      </c>
      <c r="E32699" s="2">
        <v>1.4990256333383299E-4</v>
      </c>
      <c r="F32699" s="2">
        <v>1.09388831680306E-2</v>
      </c>
    </row>
    <row r="32700" spans="1:6" x14ac:dyDescent="0.25">
      <c r="A32700" s="1" t="str">
        <f t="shared" si="1165"/>
        <v>42200</v>
      </c>
      <c r="B32700" s="1" t="str">
        <f>"93252"</f>
        <v>93252</v>
      </c>
      <c r="C32700" s="2">
        <v>4.5057026996216202E-4</v>
      </c>
      <c r="D32700" s="2">
        <v>3.3530323986755498E-4</v>
      </c>
      <c r="E32700" s="2">
        <v>0</v>
      </c>
      <c r="F32700" s="2">
        <v>4.1099850053294298E-4</v>
      </c>
    </row>
    <row r="32701" spans="1:6" x14ac:dyDescent="0.25">
      <c r="A32701" s="1" t="str">
        <f t="shared" si="1165"/>
        <v>42200</v>
      </c>
      <c r="B32701" s="1" t="str">
        <f>"93160"</f>
        <v>93160</v>
      </c>
      <c r="C32701" s="2">
        <v>7.2308385492723002E-3</v>
      </c>
      <c r="D32701" s="2">
        <v>1.36216941196194E-2</v>
      </c>
      <c r="E32701" s="2">
        <v>1.4990256333383299E-4</v>
      </c>
      <c r="F32701" s="2">
        <v>7.4928188174082696E-3</v>
      </c>
    </row>
    <row r="32702" spans="1:6" x14ac:dyDescent="0.25">
      <c r="A32702" s="1" t="str">
        <f t="shared" si="1165"/>
        <v>42200</v>
      </c>
      <c r="B32702" s="1" t="str">
        <f>"93437"</f>
        <v>93437</v>
      </c>
      <c r="C32702" s="2">
        <v>1.14868276053004E-2</v>
      </c>
      <c r="D32702" s="2">
        <v>4.1493775933609898E-3</v>
      </c>
      <c r="E32702" s="2">
        <v>1.19922050667066E-3</v>
      </c>
      <c r="F32702" s="2">
        <v>1.00762379636153E-2</v>
      </c>
    </row>
    <row r="32703" spans="1:6" x14ac:dyDescent="0.25">
      <c r="A32703" s="1" t="str">
        <f t="shared" si="1165"/>
        <v>42200</v>
      </c>
      <c r="B32703" s="1" t="str">
        <f>"93013"</f>
        <v>93013</v>
      </c>
      <c r="C32703" s="2">
        <v>3.7831617004413398E-2</v>
      </c>
      <c r="D32703" s="2">
        <v>3.0428769017980601E-2</v>
      </c>
      <c r="E32703" s="2">
        <v>6.6856543246889499E-2</v>
      </c>
      <c r="F32703" s="2">
        <v>3.8782902462377797E-2</v>
      </c>
    </row>
    <row r="32704" spans="1:6" x14ac:dyDescent="0.25">
      <c r="A32704" s="1" t="str">
        <f t="shared" si="1165"/>
        <v>42200</v>
      </c>
      <c r="B32704" s="1" t="str">
        <f>"93199"</f>
        <v>93199</v>
      </c>
      <c r="C32704" s="2">
        <v>0</v>
      </c>
      <c r="D32704" s="2">
        <v>0</v>
      </c>
      <c r="E32704" s="2">
        <v>7.4951281666916497E-5</v>
      </c>
      <c r="F32704" s="2">
        <v>4.5164670388235498E-6</v>
      </c>
    </row>
    <row r="32705" spans="1:6" x14ac:dyDescent="0.25">
      <c r="A32705" s="1" t="str">
        <f t="shared" si="1165"/>
        <v>42200</v>
      </c>
      <c r="B32705" s="1" t="str">
        <f>"93429"</f>
        <v>93429</v>
      </c>
      <c r="C32705" s="2">
        <v>0</v>
      </c>
      <c r="D32705" s="2">
        <v>4.1912904983444399E-5</v>
      </c>
      <c r="E32705" s="2">
        <v>0</v>
      </c>
      <c r="F32705" s="2">
        <v>4.5164670388235498E-6</v>
      </c>
    </row>
    <row r="32706" spans="1:6" x14ac:dyDescent="0.25">
      <c r="A32706" s="1" t="str">
        <f t="shared" si="1165"/>
        <v>42200</v>
      </c>
      <c r="B32706" s="1" t="str">
        <f>"93121"</f>
        <v>93121</v>
      </c>
      <c r="C32706" s="2">
        <v>6.7042684747382003E-3</v>
      </c>
      <c r="D32706" s="2">
        <v>7.3766712770862103E-3</v>
      </c>
      <c r="E32706" s="2">
        <v>1.4990256333383299E-4</v>
      </c>
      <c r="F32706" s="2">
        <v>6.38176792585767E-3</v>
      </c>
    </row>
    <row r="32707" spans="1:6" x14ac:dyDescent="0.25">
      <c r="A32707" s="1" t="str">
        <f t="shared" si="1165"/>
        <v>42200</v>
      </c>
      <c r="B32707" s="1" t="str">
        <f>"93456"</f>
        <v>93456</v>
      </c>
      <c r="C32707" s="2">
        <v>1.9081379505024101E-2</v>
      </c>
      <c r="D32707" s="2">
        <v>3.4871536946225697E-2</v>
      </c>
      <c r="E32707" s="2">
        <v>7.4951281666916497E-5</v>
      </c>
      <c r="F32707" s="2">
        <v>1.9637598684804702E-2</v>
      </c>
    </row>
    <row r="32708" spans="1:6" x14ac:dyDescent="0.25">
      <c r="A32708" s="1" t="str">
        <f t="shared" si="1165"/>
        <v>42200</v>
      </c>
      <c r="B32708" s="1" t="str">
        <f>"93440"</f>
        <v>93440</v>
      </c>
      <c r="C32708" s="2">
        <v>1.79685252237922E-3</v>
      </c>
      <c r="D32708" s="2">
        <v>1.2154742445198801E-3</v>
      </c>
      <c r="E32708" s="2">
        <v>1.6489281966721599E-3</v>
      </c>
      <c r="F32708" s="2">
        <v>1.72529040883059E-3</v>
      </c>
    </row>
    <row r="32709" spans="1:6" x14ac:dyDescent="0.25">
      <c r="A32709" s="1" t="str">
        <f t="shared" si="1165"/>
        <v>42200</v>
      </c>
      <c r="B32709" s="1" t="str">
        <f>"93105"</f>
        <v>93105</v>
      </c>
      <c r="C32709" s="2">
        <v>6.5761545184597994E-2</v>
      </c>
      <c r="D32709" s="2">
        <v>4.7361582631292101E-2</v>
      </c>
      <c r="E32709" s="2">
        <v>7.9898066256932895E-2</v>
      </c>
      <c r="F32709" s="2">
        <v>6.4630643325564993E-2</v>
      </c>
    </row>
    <row r="32710" spans="1:6" x14ac:dyDescent="0.25">
      <c r="A32710" s="1" t="str">
        <f t="shared" si="1165"/>
        <v>42200</v>
      </c>
      <c r="B32710" s="1" t="str">
        <f>"93106"</f>
        <v>93106</v>
      </c>
      <c r="C32710" s="2">
        <v>1.87502374993892E-2</v>
      </c>
      <c r="D32710" s="2">
        <v>1.2573871495033301E-4</v>
      </c>
      <c r="E32710" s="2">
        <v>7.4951281666916497E-5</v>
      </c>
      <c r="F32710" s="2">
        <v>1.5617943020251801E-2</v>
      </c>
    </row>
    <row r="32711" spans="1:6" x14ac:dyDescent="0.25">
      <c r="A32711" s="1" t="str">
        <f t="shared" si="1165"/>
        <v>42200</v>
      </c>
      <c r="B32711" s="1" t="str">
        <f>"93150"</f>
        <v>93150</v>
      </c>
      <c r="C32711" s="2">
        <v>4.6142738490101004E-3</v>
      </c>
      <c r="D32711" s="2">
        <v>1.2154742445198799E-2</v>
      </c>
      <c r="E32711" s="2">
        <v>1.4990256333383299E-4</v>
      </c>
      <c r="F32711" s="2">
        <v>5.1578053583364904E-3</v>
      </c>
    </row>
    <row r="32712" spans="1:6" x14ac:dyDescent="0.25">
      <c r="A32712" s="1" t="str">
        <f t="shared" si="1165"/>
        <v>42200</v>
      </c>
      <c r="B32712" s="1" t="str">
        <f>"93108"</f>
        <v>93108</v>
      </c>
      <c r="C32712" s="2">
        <v>2.8147070478961599E-2</v>
      </c>
      <c r="D32712" s="2">
        <v>2.2758707406010301E-2</v>
      </c>
      <c r="E32712" s="2">
        <v>9.3689102083645594E-3</v>
      </c>
      <c r="F32712" s="2">
        <v>2.64348815782342E-2</v>
      </c>
    </row>
    <row r="32713" spans="1:6" x14ac:dyDescent="0.25">
      <c r="A32713" s="1" t="str">
        <f t="shared" si="1165"/>
        <v>42200</v>
      </c>
      <c r="B32713" s="1" t="str">
        <f>"93190"</f>
        <v>93190</v>
      </c>
      <c r="C32713" s="2">
        <v>5.40141468207653E-3</v>
      </c>
      <c r="D32713" s="2">
        <v>8.7597971415398802E-3</v>
      </c>
      <c r="E32713" s="2">
        <v>1.4990256333383299E-4</v>
      </c>
      <c r="F32713" s="2">
        <v>5.4468592488211998E-3</v>
      </c>
    </row>
    <row r="32714" spans="1:6" x14ac:dyDescent="0.25">
      <c r="A32714" s="1" t="str">
        <f t="shared" si="1165"/>
        <v>42200</v>
      </c>
      <c r="B32714" s="1" t="str">
        <f>"93463"</f>
        <v>93463</v>
      </c>
      <c r="C32714" s="2">
        <v>1.9803377648457399E-2</v>
      </c>
      <c r="D32714" s="2">
        <v>3.34045852718051E-2</v>
      </c>
      <c r="E32714" s="2">
        <v>1.8363064008394499E-2</v>
      </c>
      <c r="F32714" s="2">
        <v>2.1182230412082399E-2</v>
      </c>
    </row>
    <row r="32715" spans="1:6" x14ac:dyDescent="0.25">
      <c r="A32715" s="1" t="str">
        <f t="shared" si="1165"/>
        <v>42200</v>
      </c>
      <c r="B32715" s="1" t="str">
        <f>"93102"</f>
        <v>93102</v>
      </c>
      <c r="C32715" s="2">
        <v>4.86398749260359E-3</v>
      </c>
      <c r="D32715" s="2">
        <v>1.44180393143048E-2</v>
      </c>
      <c r="E32715" s="2">
        <v>2.2485384500074899E-4</v>
      </c>
      <c r="F32715" s="2">
        <v>5.6139685292576702E-3</v>
      </c>
    </row>
    <row r="32716" spans="1:6" x14ac:dyDescent="0.25">
      <c r="A32716" s="1" t="str">
        <f t="shared" si="1165"/>
        <v>42200</v>
      </c>
      <c r="B32716" s="1" t="str">
        <f>"93120"</f>
        <v>93120</v>
      </c>
      <c r="C32716" s="2">
        <v>3.8108473435353998E-3</v>
      </c>
      <c r="D32716" s="2">
        <v>6.9156293222683201E-3</v>
      </c>
      <c r="E32716" s="2">
        <v>1.4990256333383299E-4</v>
      </c>
      <c r="F32716" s="2">
        <v>3.9248098567376596E-3</v>
      </c>
    </row>
    <row r="32717" spans="1:6" x14ac:dyDescent="0.25">
      <c r="A32717" s="1" t="str">
        <f t="shared" si="1165"/>
        <v>42200</v>
      </c>
      <c r="B32717" s="1" t="str">
        <f>"93014"</f>
        <v>93014</v>
      </c>
      <c r="C32717" s="2">
        <v>4.6739879811737604E-3</v>
      </c>
      <c r="D32717" s="2">
        <v>1.00171842910432E-2</v>
      </c>
      <c r="E32717" s="2">
        <v>1.4990256333383299E-4</v>
      </c>
      <c r="F32717" s="2">
        <v>4.9771466767835502E-3</v>
      </c>
    </row>
    <row r="32718" spans="1:6" x14ac:dyDescent="0.25">
      <c r="A32718" s="1" t="str">
        <f t="shared" si="1165"/>
        <v>42200</v>
      </c>
      <c r="B32718" s="1" t="str">
        <f>"93457"</f>
        <v>93457</v>
      </c>
      <c r="C32718" s="2">
        <v>3.1322776598574401E-3</v>
      </c>
      <c r="D32718" s="2">
        <v>1.35378683096525E-2</v>
      </c>
      <c r="E32718" s="2">
        <v>1.4990256333383299E-4</v>
      </c>
      <c r="F32718" s="2">
        <v>4.0738532690188399E-3</v>
      </c>
    </row>
    <row r="32719" spans="1:6" x14ac:dyDescent="0.25">
      <c r="A32719" s="1" t="str">
        <f t="shared" si="1165"/>
        <v>42200</v>
      </c>
      <c r="B32719" s="1" t="str">
        <f>"93427"</f>
        <v>93427</v>
      </c>
      <c r="C32719" s="2">
        <v>1.7707954465259901E-2</v>
      </c>
      <c r="D32719" s="2">
        <v>2.75367785741229E-2</v>
      </c>
      <c r="E32719" s="2">
        <v>1.04931794333683E-2</v>
      </c>
      <c r="F32719" s="2">
        <v>1.8332339710584698E-2</v>
      </c>
    </row>
    <row r="32720" spans="1:6" x14ac:dyDescent="0.25">
      <c r="A32720" s="1" t="str">
        <f t="shared" si="1165"/>
        <v>42200</v>
      </c>
      <c r="B32720" s="1" t="str">
        <f>"93111"</f>
        <v>93111</v>
      </c>
      <c r="C32720" s="2">
        <v>3.9177899256830399E-2</v>
      </c>
      <c r="D32720" s="2">
        <v>2.9255207678444101E-2</v>
      </c>
      <c r="E32720" s="2">
        <v>2.37595562884125E-2</v>
      </c>
      <c r="F32720" s="2">
        <v>3.7179556663595403E-2</v>
      </c>
    </row>
    <row r="32721" spans="1:6" x14ac:dyDescent="0.25">
      <c r="A32721" s="1" t="str">
        <f t="shared" si="1165"/>
        <v>42200</v>
      </c>
      <c r="B32721" s="1" t="str">
        <f>"93117"</f>
        <v>93117</v>
      </c>
      <c r="C32721" s="2">
        <v>9.5233183686098996E-2</v>
      </c>
      <c r="D32721" s="2">
        <v>7.4814535395448203E-2</v>
      </c>
      <c r="E32721" s="2">
        <v>0.15409983510718001</v>
      </c>
      <c r="F32721" s="2">
        <v>9.6580131158202798E-2</v>
      </c>
    </row>
    <row r="32722" spans="1:6" x14ac:dyDescent="0.25">
      <c r="A32722" s="1" t="str">
        <f t="shared" si="1165"/>
        <v>42200</v>
      </c>
      <c r="B32722" s="1" t="str">
        <f>"93116"</f>
        <v>93116</v>
      </c>
      <c r="C32722" s="2">
        <v>7.1005531700061297E-3</v>
      </c>
      <c r="D32722" s="2">
        <v>1.07297036757617E-2</v>
      </c>
      <c r="E32722" s="2">
        <v>1.4990256333383299E-4</v>
      </c>
      <c r="F32722" s="2">
        <v>7.0727873827976804E-3</v>
      </c>
    </row>
    <row r="32723" spans="1:6" x14ac:dyDescent="0.25">
      <c r="A32723" s="1" t="str">
        <f t="shared" si="1165"/>
        <v>42200</v>
      </c>
      <c r="B32723" s="1" t="str">
        <f>"93455"</f>
        <v>93455</v>
      </c>
      <c r="C32723" s="2">
        <v>9.0488624457822797E-2</v>
      </c>
      <c r="D32723" s="2">
        <v>7.0246028752252804E-2</v>
      </c>
      <c r="E32723" s="2">
        <v>4.2422425423474699E-2</v>
      </c>
      <c r="F32723" s="2">
        <v>8.5410908171192096E-2</v>
      </c>
    </row>
    <row r="32724" spans="1:6" x14ac:dyDescent="0.25">
      <c r="A32724" s="1" t="str">
        <f t="shared" si="1165"/>
        <v>42200</v>
      </c>
      <c r="B32724" s="1" t="str">
        <f>"93130"</f>
        <v>93130</v>
      </c>
      <c r="C32724" s="2">
        <v>6.5631259805331897E-3</v>
      </c>
      <c r="D32724" s="2">
        <v>1.89027201475334E-2</v>
      </c>
      <c r="E32724" s="2">
        <v>1.4990256333383299E-4</v>
      </c>
      <c r="F32724" s="2">
        <v>7.5063682185247402E-3</v>
      </c>
    </row>
    <row r="32725" spans="1:6" x14ac:dyDescent="0.25">
      <c r="A32725" s="1" t="str">
        <f t="shared" si="1165"/>
        <v>42200</v>
      </c>
      <c r="B32725" s="1" t="str">
        <f>"93109"</f>
        <v>93109</v>
      </c>
      <c r="C32725" s="2">
        <v>2.5655362600496098E-2</v>
      </c>
      <c r="D32725" s="2">
        <v>7.4604970870530999E-3</v>
      </c>
      <c r="E32725" s="2">
        <v>3.0280317793434201E-2</v>
      </c>
      <c r="F32725" s="2">
        <v>2.3973407042075401E-2</v>
      </c>
    </row>
    <row r="32726" spans="1:6" x14ac:dyDescent="0.25">
      <c r="A32726" s="1" t="str">
        <f t="shared" ref="A32726:A32757" si="1166">"42220"</f>
        <v>42220</v>
      </c>
      <c r="B32726" s="1" t="str">
        <f>"95402"</f>
        <v>95402</v>
      </c>
      <c r="C32726" s="2">
        <v>1.4725586356718201E-2</v>
      </c>
      <c r="D32726" s="2">
        <v>3.1348863963186598E-2</v>
      </c>
      <c r="E32726" s="2">
        <v>1.77856825255669E-4</v>
      </c>
      <c r="F32726" s="2">
        <v>1.5833580539899101E-2</v>
      </c>
    </row>
    <row r="32727" spans="1:6" x14ac:dyDescent="0.25">
      <c r="A32727" s="1" t="str">
        <f t="shared" si="1166"/>
        <v>42220</v>
      </c>
      <c r="B32727" s="1" t="str">
        <f>"95465"</f>
        <v>95465</v>
      </c>
      <c r="C32727" s="2">
        <v>2.78814841795342E-3</v>
      </c>
      <c r="D32727" s="2">
        <v>5.3925798101811897E-4</v>
      </c>
      <c r="E32727" s="2">
        <v>7.1142730102267601E-4</v>
      </c>
      <c r="F32727" s="2">
        <v>2.4695935924058101E-3</v>
      </c>
    </row>
    <row r="32728" spans="1:6" x14ac:dyDescent="0.25">
      <c r="A32728" s="1" t="str">
        <f t="shared" si="1166"/>
        <v>42220</v>
      </c>
      <c r="B32728" s="1" t="str">
        <f>"94999"</f>
        <v>94999</v>
      </c>
      <c r="C32728" s="2">
        <v>0</v>
      </c>
      <c r="D32728" s="2">
        <v>3.5950532067874602E-5</v>
      </c>
      <c r="E32728" s="2">
        <v>9.782125389061801E-4</v>
      </c>
      <c r="F32728" s="2">
        <v>4.4497181845149803E-5</v>
      </c>
    </row>
    <row r="32729" spans="1:6" x14ac:dyDescent="0.25">
      <c r="A32729" s="1" t="str">
        <f t="shared" si="1166"/>
        <v>42220</v>
      </c>
      <c r="B32729" s="1" t="str">
        <f>"94922"</f>
        <v>94922</v>
      </c>
      <c r="C32729" s="2">
        <v>5.2033874052007801E-5</v>
      </c>
      <c r="D32729" s="2">
        <v>0</v>
      </c>
      <c r="E32729" s="2">
        <v>4.4464206313917198E-4</v>
      </c>
      <c r="F32729" s="2">
        <v>6.3037674280628795E-5</v>
      </c>
    </row>
    <row r="32730" spans="1:6" x14ac:dyDescent="0.25">
      <c r="A32730" s="1" t="str">
        <f t="shared" si="1166"/>
        <v>42220</v>
      </c>
      <c r="B32730" s="1" t="str">
        <f>"95430"</f>
        <v>95430</v>
      </c>
      <c r="C32730" s="2">
        <v>4.3361561710006501E-6</v>
      </c>
      <c r="D32730" s="2">
        <v>3.5950532067874602E-5</v>
      </c>
      <c r="E32730" s="2">
        <v>0</v>
      </c>
      <c r="F32730" s="2">
        <v>7.4161969741916298E-6</v>
      </c>
    </row>
    <row r="32731" spans="1:6" x14ac:dyDescent="0.25">
      <c r="A32731" s="1" t="str">
        <f t="shared" si="1166"/>
        <v>42220</v>
      </c>
      <c r="B32731" s="1" t="str">
        <f>"95439"</f>
        <v>95439</v>
      </c>
      <c r="C32731" s="2">
        <v>2.80982919880842E-3</v>
      </c>
      <c r="D32731" s="2">
        <v>4.3500143802128197E-3</v>
      </c>
      <c r="E32731" s="2">
        <v>6.2249888839484204E-4</v>
      </c>
      <c r="F32731" s="2">
        <v>2.87748442598635E-3</v>
      </c>
    </row>
    <row r="32732" spans="1:6" x14ac:dyDescent="0.25">
      <c r="A32732" s="1" t="str">
        <f t="shared" si="1166"/>
        <v>42220</v>
      </c>
      <c r="B32732" s="1" t="str">
        <f>"95403"</f>
        <v>95403</v>
      </c>
      <c r="C32732" s="2">
        <v>8.3479678604104601E-2</v>
      </c>
      <c r="D32732" s="2">
        <v>9.6383376473971799E-2</v>
      </c>
      <c r="E32732" s="2">
        <v>0.12574477545575799</v>
      </c>
      <c r="F32732" s="2">
        <v>8.6572975378226003E-2</v>
      </c>
    </row>
    <row r="32733" spans="1:6" x14ac:dyDescent="0.25">
      <c r="A32733" s="1" t="str">
        <f t="shared" si="1166"/>
        <v>42220</v>
      </c>
      <c r="B32733" s="1" t="str">
        <f>"95492"</f>
        <v>95492</v>
      </c>
      <c r="C32733" s="2">
        <v>5.1617603059591698E-2</v>
      </c>
      <c r="D32733" s="2">
        <v>4.79220592464768E-2</v>
      </c>
      <c r="E32733" s="2">
        <v>2.0987105380168899E-2</v>
      </c>
      <c r="F32733" s="2">
        <v>4.9959210916641898E-2</v>
      </c>
    </row>
    <row r="32734" spans="1:6" x14ac:dyDescent="0.25">
      <c r="A32734" s="1" t="str">
        <f t="shared" si="1166"/>
        <v>42220</v>
      </c>
      <c r="B32734" s="1" t="str">
        <f>"95450"</f>
        <v>95450</v>
      </c>
      <c r="C32734" s="2">
        <v>8.49886609516128E-4</v>
      </c>
      <c r="D32734" s="2">
        <v>5.0330744895024399E-4</v>
      </c>
      <c r="E32734" s="2">
        <v>6.2249888839484204E-4</v>
      </c>
      <c r="F32734" s="2">
        <v>8.04657371699792E-4</v>
      </c>
    </row>
    <row r="32735" spans="1:6" x14ac:dyDescent="0.25">
      <c r="A32735" s="1" t="str">
        <f t="shared" si="1166"/>
        <v>42220</v>
      </c>
      <c r="B32735" s="1" t="str">
        <f>"94558"</f>
        <v>94558</v>
      </c>
      <c r="C32735" s="2">
        <v>8.6723123420013002E-6</v>
      </c>
      <c r="D32735" s="2">
        <v>0</v>
      </c>
      <c r="E32735" s="2">
        <v>0</v>
      </c>
      <c r="F32735" s="2">
        <v>7.4161969741916298E-6</v>
      </c>
    </row>
    <row r="32736" spans="1:6" x14ac:dyDescent="0.25">
      <c r="A32736" s="1" t="str">
        <f t="shared" si="1166"/>
        <v>42220</v>
      </c>
      <c r="B32736" s="1" t="str">
        <f>"95445"</f>
        <v>95445</v>
      </c>
      <c r="C32736" s="2">
        <v>8.6723123420013002E-6</v>
      </c>
      <c r="D32736" s="2">
        <v>0</v>
      </c>
      <c r="E32736" s="2">
        <v>0</v>
      </c>
      <c r="F32736" s="2">
        <v>7.4161969741916298E-6</v>
      </c>
    </row>
    <row r="32737" spans="1:6" x14ac:dyDescent="0.25">
      <c r="A32737" s="1" t="str">
        <f t="shared" si="1166"/>
        <v>42220</v>
      </c>
      <c r="B32737" s="1" t="str">
        <f>"95486"</f>
        <v>95486</v>
      </c>
      <c r="C32737" s="2">
        <v>0</v>
      </c>
      <c r="D32737" s="2">
        <v>3.5950532067874602E-5</v>
      </c>
      <c r="E32737" s="2">
        <v>0</v>
      </c>
      <c r="F32737" s="2">
        <v>3.7080984870958098E-6</v>
      </c>
    </row>
    <row r="32738" spans="1:6" x14ac:dyDescent="0.25">
      <c r="A32738" s="1" t="str">
        <f t="shared" si="1166"/>
        <v>42220</v>
      </c>
      <c r="B32738" s="1" t="str">
        <f>"95497"</f>
        <v>95497</v>
      </c>
      <c r="C32738" s="2">
        <v>1.30084685130019E-5</v>
      </c>
      <c r="D32738" s="2">
        <v>0</v>
      </c>
      <c r="E32738" s="2">
        <v>8.8928412627834502E-5</v>
      </c>
      <c r="F32738" s="2">
        <v>1.48323939483832E-5</v>
      </c>
    </row>
    <row r="32739" spans="1:6" x14ac:dyDescent="0.25">
      <c r="A32739" s="1" t="str">
        <f t="shared" si="1166"/>
        <v>42220</v>
      </c>
      <c r="B32739" s="1" t="str">
        <f>"94574"</f>
        <v>94574</v>
      </c>
      <c r="C32739" s="2">
        <v>4.3361561710006498E-5</v>
      </c>
      <c r="D32739" s="2">
        <v>3.5950532067874602E-5</v>
      </c>
      <c r="E32739" s="2">
        <v>0</v>
      </c>
      <c r="F32739" s="2">
        <v>4.0789083358053897E-5</v>
      </c>
    </row>
    <row r="32740" spans="1:6" x14ac:dyDescent="0.25">
      <c r="A32740" s="1" t="str">
        <f t="shared" si="1166"/>
        <v>42220</v>
      </c>
      <c r="B32740" s="1" t="str">
        <f>"95412"</f>
        <v>95412</v>
      </c>
      <c r="C32740" s="2">
        <v>6.2874264479509401E-4</v>
      </c>
      <c r="D32740" s="2">
        <v>2.1570319240724699E-4</v>
      </c>
      <c r="E32740" s="2">
        <v>1.77856825255669E-4</v>
      </c>
      <c r="F32740" s="2">
        <v>5.6733906852566001E-4</v>
      </c>
    </row>
    <row r="32741" spans="1:6" x14ac:dyDescent="0.25">
      <c r="A32741" s="1" t="str">
        <f t="shared" si="1166"/>
        <v>42220</v>
      </c>
      <c r="B32741" s="1" t="str">
        <f>"95404"</f>
        <v>95404</v>
      </c>
      <c r="C32741" s="2">
        <v>7.8163551138457799E-2</v>
      </c>
      <c r="D32741" s="2">
        <v>6.9708081679608805E-2</v>
      </c>
      <c r="E32741" s="2">
        <v>0.107959092930191</v>
      </c>
      <c r="F32741" s="2">
        <v>7.8533817858202307E-2</v>
      </c>
    </row>
    <row r="32742" spans="1:6" x14ac:dyDescent="0.25">
      <c r="A32742" s="1" t="str">
        <f t="shared" si="1166"/>
        <v>42220</v>
      </c>
      <c r="B32742" s="1" t="str">
        <f>"95444"</f>
        <v>95444</v>
      </c>
      <c r="C32742" s="2">
        <v>4.0673144883986096E-3</v>
      </c>
      <c r="D32742" s="2">
        <v>2.3727351164797199E-3</v>
      </c>
      <c r="E32742" s="2">
        <v>1.15606936416184E-3</v>
      </c>
      <c r="F32742" s="2">
        <v>3.77113616137644E-3</v>
      </c>
    </row>
    <row r="32743" spans="1:6" x14ac:dyDescent="0.25">
      <c r="A32743" s="1" t="str">
        <f t="shared" si="1166"/>
        <v>42220</v>
      </c>
      <c r="B32743" s="1" t="str">
        <f>"94955"</f>
        <v>94955</v>
      </c>
      <c r="C32743" s="2">
        <v>4.3665092641976501E-3</v>
      </c>
      <c r="D32743" s="2">
        <v>8.4843255680184006E-3</v>
      </c>
      <c r="E32743" s="2">
        <v>1.77856825255669E-4</v>
      </c>
      <c r="F32743" s="2">
        <v>4.61658261643429E-3</v>
      </c>
    </row>
    <row r="32744" spans="1:6" x14ac:dyDescent="0.25">
      <c r="A32744" s="1" t="str">
        <f t="shared" si="1166"/>
        <v>42220</v>
      </c>
      <c r="B32744" s="1" t="str">
        <f>"94954"</f>
        <v>94954</v>
      </c>
      <c r="C32744" s="2">
        <v>6.6733443471700002E-2</v>
      </c>
      <c r="D32744" s="2">
        <v>5.7448950244463601E-2</v>
      </c>
      <c r="E32744" s="2">
        <v>5.2200978212538898E-2</v>
      </c>
      <c r="F32744" s="2">
        <v>6.5169830910708895E-2</v>
      </c>
    </row>
    <row r="32745" spans="1:6" x14ac:dyDescent="0.25">
      <c r="A32745" s="1" t="str">
        <f t="shared" si="1166"/>
        <v>42220</v>
      </c>
      <c r="B32745" s="1" t="str">
        <f>"95401"</f>
        <v>95401</v>
      </c>
      <c r="C32745" s="2">
        <v>6.2653120514788399E-2</v>
      </c>
      <c r="D32745" s="2">
        <v>7.6107276387690506E-2</v>
      </c>
      <c r="E32745" s="2">
        <v>7.7100933748332504E-2</v>
      </c>
      <c r="F32745" s="2">
        <v>6.4643280925541294E-2</v>
      </c>
    </row>
    <row r="32746" spans="1:6" x14ac:dyDescent="0.25">
      <c r="A32746" s="1" t="str">
        <f t="shared" si="1166"/>
        <v>42220</v>
      </c>
      <c r="B32746" s="1" t="str">
        <f>"95448"</f>
        <v>95448</v>
      </c>
      <c r="C32746" s="2">
        <v>4.3170770838482503E-2</v>
      </c>
      <c r="D32746" s="2">
        <v>6.1259706643658297E-2</v>
      </c>
      <c r="E32746" s="2">
        <v>4.9799911071587301E-2</v>
      </c>
      <c r="F32746" s="2">
        <v>4.5312963512310803E-2</v>
      </c>
    </row>
    <row r="32747" spans="1:6" x14ac:dyDescent="0.25">
      <c r="A32747" s="1" t="str">
        <f t="shared" si="1166"/>
        <v>42220</v>
      </c>
      <c r="B32747" s="1" t="str">
        <f>"95441"</f>
        <v>95441</v>
      </c>
      <c r="C32747" s="2">
        <v>6.6429912539729997E-3</v>
      </c>
      <c r="D32747" s="2">
        <v>6.2913431118780498E-3</v>
      </c>
      <c r="E32747" s="2">
        <v>1.51178301467318E-3</v>
      </c>
      <c r="F32747" s="2">
        <v>6.3927617917531798E-3</v>
      </c>
    </row>
    <row r="32748" spans="1:6" x14ac:dyDescent="0.25">
      <c r="A32748" s="1" t="str">
        <f t="shared" si="1166"/>
        <v>42220</v>
      </c>
      <c r="B32748" s="1" t="str">
        <f>"95480"</f>
        <v>95480</v>
      </c>
      <c r="C32748" s="2">
        <v>0</v>
      </c>
      <c r="D32748" s="2">
        <v>0</v>
      </c>
      <c r="E32748" s="2">
        <v>1.77856825255669E-4</v>
      </c>
      <c r="F32748" s="2">
        <v>7.4161969741916298E-6</v>
      </c>
    </row>
    <row r="32749" spans="1:6" x14ac:dyDescent="0.25">
      <c r="A32749" s="1" t="str">
        <f t="shared" si="1166"/>
        <v>42220</v>
      </c>
      <c r="B32749" s="1" t="str">
        <f>"94945"</f>
        <v>94945</v>
      </c>
      <c r="C32749" s="2">
        <v>4.3361561710006501E-6</v>
      </c>
      <c r="D32749" s="2">
        <v>0</v>
      </c>
      <c r="E32749" s="2">
        <v>0</v>
      </c>
      <c r="F32749" s="2">
        <v>3.7080984870958098E-6</v>
      </c>
    </row>
    <row r="32750" spans="1:6" x14ac:dyDescent="0.25">
      <c r="A32750" s="1" t="str">
        <f t="shared" si="1166"/>
        <v>42220</v>
      </c>
      <c r="B32750" s="1" t="str">
        <f>"95473"</f>
        <v>95473</v>
      </c>
      <c r="C32750" s="2">
        <v>6.1226525134529201E-3</v>
      </c>
      <c r="D32750" s="2">
        <v>1.7112453264308301E-2</v>
      </c>
      <c r="E32750" s="2">
        <v>1.77856825255669E-4</v>
      </c>
      <c r="F32750" s="2">
        <v>7.0083061406110902E-3</v>
      </c>
    </row>
    <row r="32751" spans="1:6" x14ac:dyDescent="0.25">
      <c r="A32751" s="1" t="str">
        <f t="shared" si="1166"/>
        <v>42220</v>
      </c>
      <c r="B32751" s="1" t="str">
        <f>"95406"</f>
        <v>95406</v>
      </c>
      <c r="C32751" s="2">
        <v>4.4055346697366602E-3</v>
      </c>
      <c r="D32751" s="2">
        <v>1.14322691975841E-2</v>
      </c>
      <c r="E32751" s="2">
        <v>1.77856825255669E-4</v>
      </c>
      <c r="F32751" s="2">
        <v>4.95401957876001E-3</v>
      </c>
    </row>
    <row r="32752" spans="1:6" x14ac:dyDescent="0.25">
      <c r="A32752" s="1" t="str">
        <f t="shared" si="1166"/>
        <v>42220</v>
      </c>
      <c r="B32752" s="1" t="str">
        <f>"95487"</f>
        <v>95487</v>
      </c>
      <c r="C32752" s="2">
        <v>1.6780924381772501E-3</v>
      </c>
      <c r="D32752" s="2">
        <v>3.6669542709232002E-3</v>
      </c>
      <c r="E32752" s="2">
        <v>8.8928412627834502E-5</v>
      </c>
      <c r="F32752" s="2">
        <v>1.8169682586769501E-3</v>
      </c>
    </row>
    <row r="32753" spans="1:6" x14ac:dyDescent="0.25">
      <c r="A32753" s="1" t="str">
        <f t="shared" si="1166"/>
        <v>42220</v>
      </c>
      <c r="B32753" s="1" t="str">
        <f>"94928"</f>
        <v>94928</v>
      </c>
      <c r="C32753" s="2">
        <v>8.13202728309462E-2</v>
      </c>
      <c r="D32753" s="2">
        <v>5.4321253954558502E-2</v>
      </c>
      <c r="E32753" s="2">
        <v>0.122187638950644</v>
      </c>
      <c r="F32753" s="2">
        <v>8.0239543162266294E-2</v>
      </c>
    </row>
    <row r="32754" spans="1:6" x14ac:dyDescent="0.25">
      <c r="A32754" s="1" t="str">
        <f t="shared" si="1166"/>
        <v>42220</v>
      </c>
      <c r="B32754" s="1" t="str">
        <f>"95405"</f>
        <v>95405</v>
      </c>
      <c r="C32754" s="2">
        <v>4.4059682853537598E-2</v>
      </c>
      <c r="D32754" s="2">
        <v>3.9833189531205002E-2</v>
      </c>
      <c r="E32754" s="2">
        <v>3.7261004891062599E-2</v>
      </c>
      <c r="F32754" s="2">
        <v>4.3340255117175902E-2</v>
      </c>
    </row>
    <row r="32755" spans="1:6" x14ac:dyDescent="0.25">
      <c r="A32755" s="1" t="str">
        <f t="shared" si="1166"/>
        <v>42220</v>
      </c>
      <c r="B32755" s="1" t="str">
        <f>"95407"</f>
        <v>95407</v>
      </c>
      <c r="C32755" s="2">
        <v>6.2973996071442495E-2</v>
      </c>
      <c r="D32755" s="2">
        <v>7.21527178602243E-2</v>
      </c>
      <c r="E32755" s="2">
        <v>6.71409515340151E-2</v>
      </c>
      <c r="F32755" s="2">
        <v>6.4094482349451198E-2</v>
      </c>
    </row>
    <row r="32756" spans="1:6" x14ac:dyDescent="0.25">
      <c r="A32756" s="1" t="str">
        <f t="shared" si="1166"/>
        <v>42220</v>
      </c>
      <c r="B32756" s="1" t="str">
        <f>"95421"</f>
        <v>95421</v>
      </c>
      <c r="C32756" s="2">
        <v>2.7794761056114102E-3</v>
      </c>
      <c r="D32756" s="2">
        <v>1.11446649410411E-3</v>
      </c>
      <c r="E32756" s="2">
        <v>6.2249888839484204E-4</v>
      </c>
      <c r="F32756" s="2">
        <v>2.5177988727380501E-3</v>
      </c>
    </row>
    <row r="32757" spans="1:6" x14ac:dyDescent="0.25">
      <c r="A32757" s="1" t="str">
        <f t="shared" si="1166"/>
        <v>42220</v>
      </c>
      <c r="B32757" s="1" t="str">
        <f>"95436"</f>
        <v>95436</v>
      </c>
      <c r="C32757" s="2">
        <v>1.7691517177682602E-2</v>
      </c>
      <c r="D32757" s="2">
        <v>8.5562266321541503E-3</v>
      </c>
      <c r="E32757" s="2">
        <v>6.4028457092040903E-3</v>
      </c>
      <c r="F32757" s="2">
        <v>1.6278552358350601E-2</v>
      </c>
    </row>
    <row r="32758" spans="1:6" x14ac:dyDescent="0.25">
      <c r="A32758" s="1" t="str">
        <f t="shared" ref="A32758:A32780" si="1167">"42220"</f>
        <v>42220</v>
      </c>
      <c r="B32758" s="1" t="str">
        <f>"95476"</f>
        <v>95476</v>
      </c>
      <c r="C32758" s="2">
        <v>7.7682237803476703E-2</v>
      </c>
      <c r="D32758" s="2">
        <v>8.8366407822835696E-2</v>
      </c>
      <c r="E32758" s="2">
        <v>8.0569141840818106E-2</v>
      </c>
      <c r="F32758" s="2">
        <v>7.8904627706911798E-2</v>
      </c>
    </row>
    <row r="32759" spans="1:6" x14ac:dyDescent="0.25">
      <c r="A32759" s="1" t="str">
        <f t="shared" si="1167"/>
        <v>42220</v>
      </c>
      <c r="B32759" s="1" t="str">
        <f>"94923"</f>
        <v>94923</v>
      </c>
      <c r="C32759" s="2">
        <v>5.4462121507768196E-3</v>
      </c>
      <c r="D32759" s="2">
        <v>3.1995973540408298E-3</v>
      </c>
      <c r="E32759" s="2">
        <v>1.3339261894175099E-3</v>
      </c>
      <c r="F32759" s="2">
        <v>5.0430139424503103E-3</v>
      </c>
    </row>
    <row r="32760" spans="1:6" x14ac:dyDescent="0.25">
      <c r="A32760" s="1" t="str">
        <f t="shared" si="1167"/>
        <v>42220</v>
      </c>
      <c r="B32760" s="1" t="str">
        <f>"95425"</f>
        <v>95425</v>
      </c>
      <c r="C32760" s="2">
        <v>2.4330172275484601E-2</v>
      </c>
      <c r="D32760" s="2">
        <v>1.9808743169398901E-2</v>
      </c>
      <c r="E32760" s="2">
        <v>2.55224544241885E-2</v>
      </c>
      <c r="F32760" s="2">
        <v>2.3913527143280901E-2</v>
      </c>
    </row>
    <row r="32761" spans="1:6" x14ac:dyDescent="0.25">
      <c r="A32761" s="1" t="str">
        <f t="shared" si="1167"/>
        <v>42220</v>
      </c>
      <c r="B32761" s="1" t="str">
        <f>"95472"</f>
        <v>95472</v>
      </c>
      <c r="C32761" s="2">
        <v>5.4371062228177197E-2</v>
      </c>
      <c r="D32761" s="2">
        <v>4.5549324129997099E-2</v>
      </c>
      <c r="E32761" s="2">
        <v>3.9306358381502801E-2</v>
      </c>
      <c r="F32761" s="2">
        <v>5.2832987244141198E-2</v>
      </c>
    </row>
    <row r="32762" spans="1:6" x14ac:dyDescent="0.25">
      <c r="A32762" s="1" t="str">
        <f t="shared" si="1167"/>
        <v>42220</v>
      </c>
      <c r="B32762" s="1" t="str">
        <f>"95452"</f>
        <v>95452</v>
      </c>
      <c r="C32762" s="2">
        <v>2.0813549620803101E-3</v>
      </c>
      <c r="D32762" s="2">
        <v>8.9876330169686499E-4</v>
      </c>
      <c r="E32762" s="2">
        <v>8.8928412627834505E-4</v>
      </c>
      <c r="F32762" s="2">
        <v>1.90967072085434E-3</v>
      </c>
    </row>
    <row r="32763" spans="1:6" x14ac:dyDescent="0.25">
      <c r="A32763" s="1" t="str">
        <f t="shared" si="1167"/>
        <v>42220</v>
      </c>
      <c r="B32763" s="1" t="str">
        <f>"94953"</f>
        <v>94953</v>
      </c>
      <c r="C32763" s="2">
        <v>3.3691933448674999E-3</v>
      </c>
      <c r="D32763" s="2">
        <v>1.5566580385389699E-2</v>
      </c>
      <c r="E32763" s="2">
        <v>1.77856825255669E-4</v>
      </c>
      <c r="F32763" s="2">
        <v>4.4942153663601299E-3</v>
      </c>
    </row>
    <row r="32764" spans="1:6" x14ac:dyDescent="0.25">
      <c r="A32764" s="1" t="str">
        <f t="shared" si="1167"/>
        <v>42220</v>
      </c>
      <c r="B32764" s="1" t="str">
        <f>"94515"</f>
        <v>94515</v>
      </c>
      <c r="C32764" s="2">
        <v>1.3658891938652001E-3</v>
      </c>
      <c r="D32764" s="2">
        <v>3.2355478861087098E-4</v>
      </c>
      <c r="E32764" s="2">
        <v>8.8928412627834502E-5</v>
      </c>
      <c r="F32764" s="2">
        <v>1.2051320083061401E-3</v>
      </c>
    </row>
    <row r="32765" spans="1:6" x14ac:dyDescent="0.25">
      <c r="A32765" s="1" t="str">
        <f t="shared" si="1167"/>
        <v>42220</v>
      </c>
      <c r="B32765" s="1" t="str">
        <f>"95461"</f>
        <v>95461</v>
      </c>
      <c r="C32765" s="2">
        <v>4.3361561710006501E-6</v>
      </c>
      <c r="D32765" s="2">
        <v>0</v>
      </c>
      <c r="E32765" s="2">
        <v>0</v>
      </c>
      <c r="F32765" s="2">
        <v>3.7080984870958098E-6</v>
      </c>
    </row>
    <row r="32766" spans="1:6" x14ac:dyDescent="0.25">
      <c r="A32766" s="1" t="str">
        <f t="shared" si="1167"/>
        <v>42220</v>
      </c>
      <c r="B32766" s="1" t="str">
        <f>"95431"</f>
        <v>95431</v>
      </c>
      <c r="C32766" s="2">
        <v>0</v>
      </c>
      <c r="D32766" s="2">
        <v>3.5950532067874602E-5</v>
      </c>
      <c r="E32766" s="2">
        <v>0</v>
      </c>
      <c r="F32766" s="2">
        <v>3.7080984870958098E-6</v>
      </c>
    </row>
    <row r="32767" spans="1:6" x14ac:dyDescent="0.25">
      <c r="A32767" s="1" t="str">
        <f t="shared" si="1167"/>
        <v>42220</v>
      </c>
      <c r="B32767" s="1" t="str">
        <f>"94972"</f>
        <v>94972</v>
      </c>
      <c r="C32767" s="2">
        <v>1.30084685130019E-5</v>
      </c>
      <c r="D32767" s="2">
        <v>3.5950532067874602E-5</v>
      </c>
      <c r="E32767" s="2">
        <v>0</v>
      </c>
      <c r="F32767" s="2">
        <v>1.48323939483832E-5</v>
      </c>
    </row>
    <row r="32768" spans="1:6" x14ac:dyDescent="0.25">
      <c r="A32768" s="1" t="str">
        <f t="shared" si="1167"/>
        <v>42220</v>
      </c>
      <c r="B32768" s="1" t="str">
        <f>"95433"</f>
        <v>95433</v>
      </c>
      <c r="C32768" s="2">
        <v>2.6840806698494001E-3</v>
      </c>
      <c r="D32768" s="2">
        <v>2.76819096922634E-3</v>
      </c>
      <c r="E32768" s="2">
        <v>8.8928412627834502E-5</v>
      </c>
      <c r="F32768" s="2">
        <v>2.5845446455057802E-3</v>
      </c>
    </row>
    <row r="32769" spans="1:6" x14ac:dyDescent="0.25">
      <c r="A32769" s="1" t="str">
        <f t="shared" si="1167"/>
        <v>42220</v>
      </c>
      <c r="B32769" s="1" t="str">
        <f>"95462"</f>
        <v>95462</v>
      </c>
      <c r="C32769" s="2">
        <v>1.8385302165042699E-3</v>
      </c>
      <c r="D32769" s="2">
        <v>3.9545585274662002E-4</v>
      </c>
      <c r="E32769" s="2">
        <v>5.3357047576700698E-4</v>
      </c>
      <c r="F32769" s="2">
        <v>1.63527143280925E-3</v>
      </c>
    </row>
    <row r="32770" spans="1:6" x14ac:dyDescent="0.25">
      <c r="A32770" s="1" t="str">
        <f t="shared" si="1167"/>
        <v>42220</v>
      </c>
      <c r="B32770" s="1" t="str">
        <f>"94931"</f>
        <v>94931</v>
      </c>
      <c r="C32770" s="2">
        <v>2.1316543736639201E-2</v>
      </c>
      <c r="D32770" s="2">
        <v>2.7142651711245299E-2</v>
      </c>
      <c r="E32770" s="2">
        <v>2.7123165851489502E-2</v>
      </c>
      <c r="F32770" s="2">
        <v>2.2159596558884598E-2</v>
      </c>
    </row>
    <row r="32771" spans="1:6" x14ac:dyDescent="0.25">
      <c r="A32771" s="1" t="str">
        <f t="shared" si="1167"/>
        <v>42220</v>
      </c>
      <c r="B32771" s="1" t="str">
        <f>"94951"</f>
        <v>94951</v>
      </c>
      <c r="C32771" s="2">
        <v>9.8560829766844802E-3</v>
      </c>
      <c r="D32771" s="2">
        <v>7.0822548173712901E-3</v>
      </c>
      <c r="E32771" s="2">
        <v>3.46820809248554E-3</v>
      </c>
      <c r="F32771" s="2">
        <v>9.3036191041234E-3</v>
      </c>
    </row>
    <row r="32772" spans="1:6" x14ac:dyDescent="0.25">
      <c r="A32772" s="1" t="str">
        <f t="shared" si="1167"/>
        <v>42220</v>
      </c>
      <c r="B32772" s="1" t="str">
        <f>"95446"</f>
        <v>95446</v>
      </c>
      <c r="C32772" s="2">
        <v>1.26312229261249E-2</v>
      </c>
      <c r="D32772" s="2">
        <v>4.6376186367558204E-3</v>
      </c>
      <c r="E32772" s="2">
        <v>8.2703423743886104E-3</v>
      </c>
      <c r="F32772" s="2">
        <v>1.16248887570453E-2</v>
      </c>
    </row>
    <row r="32773" spans="1:6" x14ac:dyDescent="0.25">
      <c r="A32773" s="1" t="str">
        <f t="shared" si="1167"/>
        <v>42220</v>
      </c>
      <c r="B32773" s="1" t="str">
        <f>"95442"</f>
        <v>95442</v>
      </c>
      <c r="C32773" s="2">
        <v>6.5866212237499899E-3</v>
      </c>
      <c r="D32773" s="2">
        <v>2.3367845844118398E-3</v>
      </c>
      <c r="E32773" s="2">
        <v>1.06714095153401E-2</v>
      </c>
      <c r="F32773" s="2">
        <v>6.3185998220112701E-3</v>
      </c>
    </row>
    <row r="32774" spans="1:6" x14ac:dyDescent="0.25">
      <c r="A32774" s="1" t="str">
        <f t="shared" si="1167"/>
        <v>42220</v>
      </c>
      <c r="B32774" s="1" t="str">
        <f>"95416"</f>
        <v>95416</v>
      </c>
      <c r="C32774" s="2">
        <v>6.8121013446420199E-3</v>
      </c>
      <c r="D32774" s="2">
        <v>3.27149841817658E-3</v>
      </c>
      <c r="E32774" s="2">
        <v>8.8928412627834502E-5</v>
      </c>
      <c r="F32774" s="2">
        <v>6.16656778404034E-3</v>
      </c>
    </row>
    <row r="32775" spans="1:6" x14ac:dyDescent="0.25">
      <c r="A32775" s="1" t="str">
        <f t="shared" si="1167"/>
        <v>42220</v>
      </c>
      <c r="B32775" s="1" t="str">
        <f>"95471"</f>
        <v>95471</v>
      </c>
      <c r="C32775" s="2">
        <v>3.0353093197004498E-5</v>
      </c>
      <c r="D32775" s="2">
        <v>1.0785159620362301E-4</v>
      </c>
      <c r="E32775" s="2">
        <v>0</v>
      </c>
      <c r="F32775" s="2">
        <v>3.70809848709581E-5</v>
      </c>
    </row>
    <row r="32776" spans="1:6" x14ac:dyDescent="0.25">
      <c r="A32776" s="1" t="str">
        <f t="shared" si="1167"/>
        <v>42220</v>
      </c>
      <c r="B32776" s="1" t="str">
        <f>"94975"</f>
        <v>94975</v>
      </c>
      <c r="C32776" s="2">
        <v>3.23910865973748E-3</v>
      </c>
      <c r="D32776" s="2">
        <v>1.13603681334483E-2</v>
      </c>
      <c r="E32776" s="2">
        <v>1.77856825255669E-4</v>
      </c>
      <c r="F32776" s="2">
        <v>3.9491248887570402E-3</v>
      </c>
    </row>
    <row r="32777" spans="1:6" x14ac:dyDescent="0.25">
      <c r="A32777" s="1" t="str">
        <f t="shared" si="1167"/>
        <v>42220</v>
      </c>
      <c r="B32777" s="1" t="str">
        <f>"95419"</f>
        <v>95419</v>
      </c>
      <c r="C32777" s="2">
        <v>1.5176546598502199E-4</v>
      </c>
      <c r="D32777" s="2">
        <v>3.5950532067874602E-5</v>
      </c>
      <c r="E32777" s="2">
        <v>0</v>
      </c>
      <c r="F32777" s="2">
        <v>1.3349154553544899E-4</v>
      </c>
    </row>
    <row r="32778" spans="1:6" x14ac:dyDescent="0.25">
      <c r="A32778" s="1" t="str">
        <f t="shared" si="1167"/>
        <v>42220</v>
      </c>
      <c r="B32778" s="1" t="str">
        <f>"94952"</f>
        <v>94952</v>
      </c>
      <c r="C32778" s="2">
        <v>6.1113785074083202E-2</v>
      </c>
      <c r="D32778" s="2">
        <v>7.1577509347138302E-2</v>
      </c>
      <c r="E32778" s="2">
        <v>9.4619831036015997E-2</v>
      </c>
      <c r="F32778" s="2">
        <v>6.3590180955206105E-2</v>
      </c>
    </row>
    <row r="32779" spans="1:6" x14ac:dyDescent="0.25">
      <c r="A32779" s="1" t="str">
        <f t="shared" si="1167"/>
        <v>42220</v>
      </c>
      <c r="B32779" s="1" t="str">
        <f>"94927"</f>
        <v>94927</v>
      </c>
      <c r="C32779" s="2">
        <v>3.6597158083245501E-3</v>
      </c>
      <c r="D32779" s="2">
        <v>9.3471383376473906E-3</v>
      </c>
      <c r="E32779" s="2">
        <v>1.77856825255669E-4</v>
      </c>
      <c r="F32779" s="2">
        <v>4.1011569267279703E-3</v>
      </c>
    </row>
    <row r="32780" spans="1:6" x14ac:dyDescent="0.25">
      <c r="A32780" s="1" t="str">
        <f t="shared" si="1167"/>
        <v>42220</v>
      </c>
      <c r="B32780" s="1" t="str">
        <f>"95409"</f>
        <v>95409</v>
      </c>
      <c r="C32780" s="2">
        <v>5.75538008576916E-2</v>
      </c>
      <c r="D32780" s="2">
        <v>1.48835202761E-2</v>
      </c>
      <c r="E32780" s="2">
        <v>3.2192085371276102E-2</v>
      </c>
      <c r="F32780" s="2">
        <v>5.2095075645209099E-2</v>
      </c>
    </row>
    <row r="32781" spans="1:6" x14ac:dyDescent="0.25">
      <c r="A32781" s="1" t="str">
        <f t="shared" ref="A32781:A32798" si="1168">"42300"</f>
        <v>42300</v>
      </c>
      <c r="B32781" s="1" t="str">
        <f>"49780"</f>
        <v>49780</v>
      </c>
      <c r="C32781" s="2">
        <v>4.4726642186862502E-2</v>
      </c>
      <c r="D32781" s="2">
        <v>1.8867924528301799E-2</v>
      </c>
      <c r="E32781" s="2">
        <v>0</v>
      </c>
      <c r="F32781" s="2">
        <v>4.1643709825528001E-2</v>
      </c>
    </row>
    <row r="32782" spans="1:6" x14ac:dyDescent="0.25">
      <c r="A32782" s="1" t="str">
        <f t="shared" si="1168"/>
        <v>42300</v>
      </c>
      <c r="B32782" s="1" t="str">
        <f>"49719"</f>
        <v>49719</v>
      </c>
      <c r="C32782" s="2">
        <v>2.03998368013055E-4</v>
      </c>
      <c r="D32782" s="2">
        <v>0</v>
      </c>
      <c r="E32782" s="2">
        <v>0</v>
      </c>
      <c r="F32782" s="2">
        <v>1.8365472910927399E-4</v>
      </c>
    </row>
    <row r="32783" spans="1:6" x14ac:dyDescent="0.25">
      <c r="A32783" s="1" t="str">
        <f t="shared" si="1168"/>
        <v>42300</v>
      </c>
      <c r="B32783" s="1" t="str">
        <f>"49793"</f>
        <v>49793</v>
      </c>
      <c r="C32783" s="2">
        <v>7.7519379844961196E-3</v>
      </c>
      <c r="D32783" s="2">
        <v>1.88679245283018E-3</v>
      </c>
      <c r="E32783" s="2">
        <v>0</v>
      </c>
      <c r="F32783" s="2">
        <v>7.1166207529843803E-3</v>
      </c>
    </row>
    <row r="32784" spans="1:6" x14ac:dyDescent="0.25">
      <c r="A32784" s="1" t="str">
        <f t="shared" si="1168"/>
        <v>42300</v>
      </c>
      <c r="B32784" s="1" t="str">
        <f>"49715"</f>
        <v>49715</v>
      </c>
      <c r="C32784" s="2">
        <v>8.5373317013463804E-2</v>
      </c>
      <c r="D32784" s="2">
        <v>4.0880503144654003E-2</v>
      </c>
      <c r="E32784" s="2">
        <v>2.06185567010309E-2</v>
      </c>
      <c r="F32784" s="2">
        <v>8.0394857667584904E-2</v>
      </c>
    </row>
    <row r="32785" spans="1:6" x14ac:dyDescent="0.25">
      <c r="A32785" s="1" t="str">
        <f t="shared" si="1168"/>
        <v>42300</v>
      </c>
      <c r="B32785" s="1" t="str">
        <f>"49783"</f>
        <v>49783</v>
      </c>
      <c r="C32785" s="2">
        <v>0.56385148918808603</v>
      </c>
      <c r="D32785" s="2">
        <v>0.73836477987421301</v>
      </c>
      <c r="E32785" s="2">
        <v>0.89347079037800603</v>
      </c>
      <c r="F32785" s="2">
        <v>0.58539944903581198</v>
      </c>
    </row>
    <row r="32786" spans="1:6" x14ac:dyDescent="0.25">
      <c r="A32786" s="1" t="str">
        <f t="shared" si="1168"/>
        <v>42300</v>
      </c>
      <c r="B32786" s="1" t="str">
        <f>"49768"</f>
        <v>49768</v>
      </c>
      <c r="C32786" s="2">
        <v>1.7798857609139102E-2</v>
      </c>
      <c r="D32786" s="2">
        <v>1.63522012578616E-2</v>
      </c>
      <c r="E32786" s="2">
        <v>3.4364261168384801E-3</v>
      </c>
      <c r="F32786" s="2">
        <v>1.7309458218549099E-2</v>
      </c>
    </row>
    <row r="32787" spans="1:6" x14ac:dyDescent="0.25">
      <c r="A32787" s="1" t="str">
        <f t="shared" si="1168"/>
        <v>42300</v>
      </c>
      <c r="B32787" s="1" t="str">
        <f>"49728"</f>
        <v>49728</v>
      </c>
      <c r="C32787" s="2">
        <v>2.1674826601387101E-2</v>
      </c>
      <c r="D32787" s="2">
        <v>1.0062893081761001E-2</v>
      </c>
      <c r="E32787" s="2">
        <v>0</v>
      </c>
      <c r="F32787" s="2">
        <v>2.0247933884297499E-2</v>
      </c>
    </row>
    <row r="32788" spans="1:6" x14ac:dyDescent="0.25">
      <c r="A32788" s="1" t="str">
        <f t="shared" si="1168"/>
        <v>42300</v>
      </c>
      <c r="B32788" s="1" t="str">
        <f>"49788"</f>
        <v>49788</v>
      </c>
      <c r="C32788" s="2">
        <v>5.3447572419420601E-2</v>
      </c>
      <c r="D32788" s="2">
        <v>6.9811320754716896E-2</v>
      </c>
      <c r="E32788" s="2">
        <v>4.1237113402061799E-2</v>
      </c>
      <c r="F32788" s="2">
        <v>5.4315886134067903E-2</v>
      </c>
    </row>
    <row r="32789" spans="1:6" x14ac:dyDescent="0.25">
      <c r="A32789" s="1" t="str">
        <f t="shared" si="1168"/>
        <v>42300</v>
      </c>
      <c r="B32789" s="1" t="str">
        <f>"49868"</f>
        <v>49868</v>
      </c>
      <c r="C32789" s="2">
        <v>1.5299877600979099E-4</v>
      </c>
      <c r="D32789" s="2">
        <v>0</v>
      </c>
      <c r="E32789" s="2">
        <v>0</v>
      </c>
      <c r="F32789" s="2">
        <v>1.3774104683195499E-4</v>
      </c>
    </row>
    <row r="32790" spans="1:6" x14ac:dyDescent="0.25">
      <c r="A32790" s="1" t="str">
        <f t="shared" si="1168"/>
        <v>42300</v>
      </c>
      <c r="B32790" s="1" t="str">
        <f>"49724"</f>
        <v>49724</v>
      </c>
      <c r="C32790" s="2">
        <v>2.8967768257853899E-2</v>
      </c>
      <c r="D32790" s="2">
        <v>9.4339622641509396E-3</v>
      </c>
      <c r="E32790" s="2">
        <v>3.4364261168384801E-3</v>
      </c>
      <c r="F32790" s="2">
        <v>2.6859504132231399E-2</v>
      </c>
    </row>
    <row r="32791" spans="1:6" x14ac:dyDescent="0.25">
      <c r="A32791" s="1" t="str">
        <f t="shared" si="1168"/>
        <v>42300</v>
      </c>
      <c r="B32791" s="1" t="str">
        <f>"49748"</f>
        <v>49748</v>
      </c>
      <c r="C32791" s="2">
        <v>4.5899632802937499E-3</v>
      </c>
      <c r="D32791" s="2">
        <v>6.2893081761006197E-3</v>
      </c>
      <c r="E32791" s="2">
        <v>3.4364261168384801E-3</v>
      </c>
      <c r="F32791" s="2">
        <v>4.6831955922864996E-3</v>
      </c>
    </row>
    <row r="32792" spans="1:6" x14ac:dyDescent="0.25">
      <c r="A32792" s="1" t="str">
        <f t="shared" si="1168"/>
        <v>42300</v>
      </c>
      <c r="B32792" s="1" t="str">
        <f>"49736"</f>
        <v>49736</v>
      </c>
      <c r="C32792" s="2">
        <v>2.1674826601387101E-2</v>
      </c>
      <c r="D32792" s="2">
        <v>3.77358490566037E-3</v>
      </c>
      <c r="E32792" s="2">
        <v>0</v>
      </c>
      <c r="F32792" s="2">
        <v>1.97887970615243E-2</v>
      </c>
    </row>
    <row r="32793" spans="1:6" x14ac:dyDescent="0.25">
      <c r="A32793" s="1" t="str">
        <f t="shared" si="1168"/>
        <v>42300</v>
      </c>
      <c r="B32793" s="1" t="str">
        <f>"49760"</f>
        <v>49760</v>
      </c>
      <c r="C32793" s="2">
        <v>1.6829865361077099E-3</v>
      </c>
      <c r="D32793" s="2">
        <v>0</v>
      </c>
      <c r="E32793" s="2">
        <v>0</v>
      </c>
      <c r="F32793" s="2">
        <v>1.5151515151515099E-3</v>
      </c>
    </row>
    <row r="32794" spans="1:6" x14ac:dyDescent="0.25">
      <c r="A32794" s="1" t="str">
        <f t="shared" si="1168"/>
        <v>42300</v>
      </c>
      <c r="B32794" s="1" t="str">
        <f>"49710"</f>
        <v>49710</v>
      </c>
      <c r="C32794" s="2">
        <v>2.01448388412892E-2</v>
      </c>
      <c r="D32794" s="2">
        <v>4.4025157232704401E-3</v>
      </c>
      <c r="E32794" s="2">
        <v>0</v>
      </c>
      <c r="F32794" s="2">
        <v>1.8457300275482001E-2</v>
      </c>
    </row>
    <row r="32795" spans="1:6" x14ac:dyDescent="0.25">
      <c r="A32795" s="1" t="str">
        <f t="shared" si="1168"/>
        <v>42300</v>
      </c>
      <c r="B32795" s="1" t="str">
        <f>"49725"</f>
        <v>49725</v>
      </c>
      <c r="C32795" s="2">
        <v>2.8202774377804898E-2</v>
      </c>
      <c r="D32795" s="2">
        <v>2.51572327044025E-2</v>
      </c>
      <c r="E32795" s="2">
        <v>0</v>
      </c>
      <c r="F32795" s="2">
        <v>2.72268135904499E-2</v>
      </c>
    </row>
    <row r="32796" spans="1:6" x14ac:dyDescent="0.25">
      <c r="A32796" s="1" t="str">
        <f t="shared" si="1168"/>
        <v>42300</v>
      </c>
      <c r="B32796" s="1" t="str">
        <f>"49752"</f>
        <v>49752</v>
      </c>
      <c r="C32796" s="2">
        <v>1.3922888616891E-2</v>
      </c>
      <c r="D32796" s="2">
        <v>9.4339622641509396E-3</v>
      </c>
      <c r="E32796" s="2">
        <v>1.20274914089347E-2</v>
      </c>
      <c r="F32796" s="2">
        <v>1.3544536271808899E-2</v>
      </c>
    </row>
    <row r="32797" spans="1:6" x14ac:dyDescent="0.25">
      <c r="A32797" s="1" t="str">
        <f t="shared" si="1168"/>
        <v>42300</v>
      </c>
      <c r="B32797" s="1" t="str">
        <f>"49726"</f>
        <v>49726</v>
      </c>
      <c r="C32797" s="2">
        <v>4.5389636882904899E-2</v>
      </c>
      <c r="D32797" s="2">
        <v>1.94968553459119E-2</v>
      </c>
      <c r="E32797" s="2">
        <v>2.2336769759450099E-2</v>
      </c>
      <c r="F32797" s="2">
        <v>4.2883379247015602E-2</v>
      </c>
    </row>
    <row r="32798" spans="1:6" x14ac:dyDescent="0.25">
      <c r="A32798" s="1" t="str">
        <f t="shared" si="1168"/>
        <v>42300</v>
      </c>
      <c r="B32798" s="1" t="str">
        <f>"49774"</f>
        <v>49774</v>
      </c>
      <c r="C32798" s="2">
        <v>4.0442676458588303E-2</v>
      </c>
      <c r="D32798" s="2">
        <v>2.57861635220125E-2</v>
      </c>
      <c r="E32798" s="2">
        <v>0</v>
      </c>
      <c r="F32798" s="2">
        <v>3.82920110192837E-2</v>
      </c>
    </row>
    <row r="32799" spans="1:6" x14ac:dyDescent="0.25">
      <c r="A32799" s="1" t="str">
        <f t="shared" ref="A32799:A32830" si="1169">"42340"</f>
        <v>42340</v>
      </c>
      <c r="B32799" s="1" t="str">
        <f>"31406"</f>
        <v>31406</v>
      </c>
      <c r="C32799" s="2">
        <v>7.9791923368407999E-2</v>
      </c>
      <c r="D32799" s="2">
        <v>0.13009472917172599</v>
      </c>
      <c r="E32799" s="2">
        <v>0.12439156300703</v>
      </c>
      <c r="F32799" s="2">
        <v>8.5620561656345504E-2</v>
      </c>
    </row>
    <row r="32800" spans="1:6" x14ac:dyDescent="0.25">
      <c r="A32800" s="1" t="str">
        <f t="shared" si="1169"/>
        <v>42340</v>
      </c>
      <c r="B32800" s="1" t="str">
        <f>"31308"</f>
        <v>31308</v>
      </c>
      <c r="C32800" s="2">
        <v>1.43632679785736E-2</v>
      </c>
      <c r="D32800" s="2">
        <v>3.9834831187758003E-3</v>
      </c>
      <c r="E32800" s="2">
        <v>1.0816657652785199E-3</v>
      </c>
      <c r="F32800" s="2">
        <v>1.3057760371469201E-2</v>
      </c>
    </row>
    <row r="32801" spans="1:6" x14ac:dyDescent="0.25">
      <c r="A32801" s="1" t="str">
        <f t="shared" si="1169"/>
        <v>42340</v>
      </c>
      <c r="B32801" s="1" t="str">
        <f>"31415"</f>
        <v>31415</v>
      </c>
      <c r="C32801" s="2">
        <v>3.02835018327859E-2</v>
      </c>
      <c r="D32801" s="2">
        <v>3.2305076512023301E-2</v>
      </c>
      <c r="E32801" s="2">
        <v>3.1188029565530899E-2</v>
      </c>
      <c r="F32801" s="2">
        <v>3.04953679934938E-2</v>
      </c>
    </row>
    <row r="32802" spans="1:6" x14ac:dyDescent="0.25">
      <c r="A32802" s="1" t="str">
        <f t="shared" si="1169"/>
        <v>42340</v>
      </c>
      <c r="B32802" s="1" t="str">
        <f>"31403"</f>
        <v>31403</v>
      </c>
      <c r="C32802" s="2">
        <v>5.6865343073821796E-3</v>
      </c>
      <c r="D32802" s="2">
        <v>1.3407821229050199E-2</v>
      </c>
      <c r="E32802" s="2">
        <v>3.6055525509284201E-4</v>
      </c>
      <c r="F32802" s="2">
        <v>6.2744492251214203E-3</v>
      </c>
    </row>
    <row r="32803" spans="1:6" x14ac:dyDescent="0.25">
      <c r="A32803" s="1" t="str">
        <f t="shared" si="1169"/>
        <v>42340</v>
      </c>
      <c r="B32803" s="1" t="str">
        <f>"31401"</f>
        <v>31401</v>
      </c>
      <c r="C32803" s="2">
        <v>6.6753623038970505E-2</v>
      </c>
      <c r="D32803" s="2">
        <v>0.13529268885110499</v>
      </c>
      <c r="E32803" s="2">
        <v>0.29403281052821301</v>
      </c>
      <c r="F32803" s="2">
        <v>7.8891771430129098E-2</v>
      </c>
    </row>
    <row r="32804" spans="1:6" x14ac:dyDescent="0.25">
      <c r="A32804" s="1" t="str">
        <f t="shared" si="1169"/>
        <v>42340</v>
      </c>
      <c r="B32804" s="1" t="str">
        <f>"31412"</f>
        <v>31412</v>
      </c>
      <c r="C32804" s="2">
        <v>7.9394948625281601E-3</v>
      </c>
      <c r="D32804" s="2">
        <v>2.0403206218119901E-2</v>
      </c>
      <c r="E32804" s="2">
        <v>3.6055525509284201E-4</v>
      </c>
      <c r="F32804" s="2">
        <v>8.9141704414831494E-3</v>
      </c>
    </row>
    <row r="32805" spans="1:6" x14ac:dyDescent="0.25">
      <c r="A32805" s="1" t="str">
        <f t="shared" si="1169"/>
        <v>42340</v>
      </c>
      <c r="B32805" s="1" t="str">
        <f>"31318"</f>
        <v>31318</v>
      </c>
      <c r="C32805" s="2">
        <v>0</v>
      </c>
      <c r="D32805" s="2">
        <v>4.85790624240952E-5</v>
      </c>
      <c r="E32805" s="2">
        <v>0</v>
      </c>
      <c r="F32805" s="2">
        <v>4.5434100109496104E-6</v>
      </c>
    </row>
    <row r="32806" spans="1:6" x14ac:dyDescent="0.25">
      <c r="A32806" s="1" t="str">
        <f t="shared" si="1169"/>
        <v>42340</v>
      </c>
      <c r="B32806" s="1" t="str">
        <f>"31419"</f>
        <v>31419</v>
      </c>
      <c r="C32806" s="2">
        <v>0.127573246995622</v>
      </c>
      <c r="D32806" s="2">
        <v>5.57687636628613E-2</v>
      </c>
      <c r="E32806" s="2">
        <v>5.67874526771227E-2</v>
      </c>
      <c r="F32806" s="2">
        <v>0.119073689566967</v>
      </c>
    </row>
    <row r="32807" spans="1:6" x14ac:dyDescent="0.25">
      <c r="A32807" s="1" t="str">
        <f t="shared" si="1169"/>
        <v>42340</v>
      </c>
      <c r="B32807" s="1" t="str">
        <f>"31411"</f>
        <v>31411</v>
      </c>
      <c r="C32807" s="2">
        <v>2.4179370717699399E-2</v>
      </c>
      <c r="D32807" s="2">
        <v>5.2465387418022796E-3</v>
      </c>
      <c r="E32807" s="2">
        <v>5.9491617090318997E-3</v>
      </c>
      <c r="F32807" s="2">
        <v>2.1949213762897601E-2</v>
      </c>
    </row>
    <row r="32808" spans="1:6" x14ac:dyDescent="0.25">
      <c r="A32808" s="1" t="str">
        <f t="shared" si="1169"/>
        <v>42340</v>
      </c>
      <c r="B32808" s="1" t="str">
        <f>"31321"</f>
        <v>31321</v>
      </c>
      <c r="C32808" s="2">
        <v>8.9396649945609301E-3</v>
      </c>
      <c r="D32808" s="2">
        <v>2.6232693709011398E-3</v>
      </c>
      <c r="E32808" s="2">
        <v>1.9830539030106301E-3</v>
      </c>
      <c r="F32808" s="2">
        <v>8.1735946096983605E-3</v>
      </c>
    </row>
    <row r="32809" spans="1:6" x14ac:dyDescent="0.25">
      <c r="A32809" s="1" t="str">
        <f t="shared" si="1169"/>
        <v>42340</v>
      </c>
      <c r="B32809" s="1" t="str">
        <f>"31312"</f>
        <v>31312</v>
      </c>
      <c r="C32809" s="2">
        <v>4.6322312558321699E-2</v>
      </c>
      <c r="D32809" s="2">
        <v>5.4894340539227496E-3</v>
      </c>
      <c r="E32809" s="2">
        <v>1.6224986479177899E-3</v>
      </c>
      <c r="F32809" s="2">
        <v>4.1376834969718099E-2</v>
      </c>
    </row>
    <row r="32810" spans="1:6" x14ac:dyDescent="0.25">
      <c r="A32810" s="1" t="str">
        <f t="shared" si="1169"/>
        <v>42340</v>
      </c>
      <c r="B32810" s="1" t="str">
        <f>"31416"</f>
        <v>31416</v>
      </c>
      <c r="C32810" s="2">
        <v>9.1149525434738796E-3</v>
      </c>
      <c r="D32810" s="2">
        <v>3.2450813699295603E-2</v>
      </c>
      <c r="E32810" s="2">
        <v>3.6055525509284201E-4</v>
      </c>
      <c r="F32810" s="2">
        <v>1.10768336066951E-2</v>
      </c>
    </row>
    <row r="32811" spans="1:6" x14ac:dyDescent="0.25">
      <c r="A32811" s="1" t="str">
        <f t="shared" si="1169"/>
        <v>42340</v>
      </c>
      <c r="B32811" s="1" t="str">
        <f>"31410"</f>
        <v>31410</v>
      </c>
      <c r="C32811" s="2">
        <v>5.9633855243417598E-2</v>
      </c>
      <c r="D32811" s="2">
        <v>3.3470974010201597E-2</v>
      </c>
      <c r="E32811" s="2">
        <v>2.93852532900667E-2</v>
      </c>
      <c r="F32811" s="2">
        <v>5.6424608925983298E-2</v>
      </c>
    </row>
    <row r="32812" spans="1:6" x14ac:dyDescent="0.25">
      <c r="A32812" s="1" t="str">
        <f t="shared" si="1169"/>
        <v>42340</v>
      </c>
      <c r="B32812" s="1" t="str">
        <f>"31322"</f>
        <v>31322</v>
      </c>
      <c r="C32812" s="2">
        <v>6.8068279655817701E-2</v>
      </c>
      <c r="D32812" s="2">
        <v>7.9475346125819704E-2</v>
      </c>
      <c r="E32812" s="2">
        <v>4.0742743825491201E-2</v>
      </c>
      <c r="F32812" s="2">
        <v>6.8446471814955903E-2</v>
      </c>
    </row>
    <row r="32813" spans="1:6" x14ac:dyDescent="0.25">
      <c r="A32813" s="1" t="str">
        <f t="shared" si="1169"/>
        <v>42340</v>
      </c>
      <c r="B32813" s="1" t="str">
        <f>"31302"</f>
        <v>31302</v>
      </c>
      <c r="C32813" s="2">
        <v>2.2029520485443401E-2</v>
      </c>
      <c r="D32813" s="2">
        <v>1.31163468545057E-2</v>
      </c>
      <c r="E32813" s="2">
        <v>7.9322156120425393E-3</v>
      </c>
      <c r="F32813" s="2">
        <v>2.0840621720225799E-2</v>
      </c>
    </row>
    <row r="32814" spans="1:6" x14ac:dyDescent="0.25">
      <c r="A32814" s="1" t="str">
        <f t="shared" si="1169"/>
        <v>42340</v>
      </c>
      <c r="B32814" s="1" t="str">
        <f>"31328"</f>
        <v>31328</v>
      </c>
      <c r="C32814" s="2">
        <v>9.1201080596183797E-3</v>
      </c>
      <c r="D32814" s="2">
        <v>1.89458343453971E-3</v>
      </c>
      <c r="E32814" s="2">
        <v>2.12727600504777E-2</v>
      </c>
      <c r="F32814" s="2">
        <v>8.7506076810889601E-3</v>
      </c>
    </row>
    <row r="32815" spans="1:6" x14ac:dyDescent="0.25">
      <c r="A32815" s="1" t="str">
        <f t="shared" si="1169"/>
        <v>42340</v>
      </c>
      <c r="B32815" s="1" t="str">
        <f>"31326"</f>
        <v>31326</v>
      </c>
      <c r="C32815" s="2">
        <v>4.87402496300917E-2</v>
      </c>
      <c r="D32815" s="2">
        <v>2.9633228078698001E-2</v>
      </c>
      <c r="E32815" s="2">
        <v>3.3892193978727198E-2</v>
      </c>
      <c r="F32815" s="2">
        <v>4.6579039432255401E-2</v>
      </c>
    </row>
    <row r="32816" spans="1:6" x14ac:dyDescent="0.25">
      <c r="A32816" s="1" t="str">
        <f t="shared" si="1169"/>
        <v>42340</v>
      </c>
      <c r="B32816" s="1" t="str">
        <f>"31407"</f>
        <v>31407</v>
      </c>
      <c r="C32816" s="2">
        <v>5.3065727675326198E-2</v>
      </c>
      <c r="D32816" s="2">
        <v>2.51153752732572E-2</v>
      </c>
      <c r="E32816" s="2">
        <v>2.4878312601406102E-2</v>
      </c>
      <c r="F32816" s="2">
        <v>4.9741252799876401E-2</v>
      </c>
    </row>
    <row r="32817" spans="1:6" x14ac:dyDescent="0.25">
      <c r="A32817" s="1" t="str">
        <f t="shared" si="1169"/>
        <v>42340</v>
      </c>
      <c r="B32817" s="1" t="str">
        <f>"31408"</f>
        <v>31408</v>
      </c>
      <c r="C32817" s="2">
        <v>2.3648352554816E-2</v>
      </c>
      <c r="D32817" s="2">
        <v>5.8877823658003398E-2</v>
      </c>
      <c r="E32817" s="2">
        <v>3.1909140075716602E-2</v>
      </c>
      <c r="F32817" s="2">
        <v>2.71514182254349E-2</v>
      </c>
    </row>
    <row r="32818" spans="1:6" x14ac:dyDescent="0.25">
      <c r="A32818" s="1" t="str">
        <f t="shared" si="1169"/>
        <v>42340</v>
      </c>
      <c r="B32818" s="1" t="str">
        <f>"31402"</f>
        <v>31402</v>
      </c>
      <c r="C32818" s="2">
        <v>7.0011909242293701E-3</v>
      </c>
      <c r="D32818" s="2">
        <v>1.8654359970852501E-2</v>
      </c>
      <c r="E32818" s="2">
        <v>3.6055525509284201E-4</v>
      </c>
      <c r="F32818" s="2">
        <v>7.9237070590961294E-3</v>
      </c>
    </row>
    <row r="32819" spans="1:6" x14ac:dyDescent="0.25">
      <c r="A32819" s="1" t="str">
        <f t="shared" si="1169"/>
        <v>42340</v>
      </c>
      <c r="B32819" s="1" t="str">
        <f>"31404"</f>
        <v>31404</v>
      </c>
      <c r="C32819" s="2">
        <v>7.3816680156933906E-2</v>
      </c>
      <c r="D32819" s="2">
        <v>5.3534126791352901E-2</v>
      </c>
      <c r="E32819" s="2">
        <v>9.6268253109788995E-2</v>
      </c>
      <c r="F32819" s="2">
        <v>7.2485563314690193E-2</v>
      </c>
    </row>
    <row r="32820" spans="1:6" x14ac:dyDescent="0.25">
      <c r="A32820" s="1" t="str">
        <f t="shared" si="1169"/>
        <v>42340</v>
      </c>
      <c r="B32820" s="1" t="str">
        <f>"30446"</f>
        <v>30446</v>
      </c>
      <c r="C32820" s="2">
        <v>6.6506158264034601E-4</v>
      </c>
      <c r="D32820" s="2">
        <v>9.7158124848190401E-5</v>
      </c>
      <c r="E32820" s="2">
        <v>0</v>
      </c>
      <c r="F32820" s="2">
        <v>5.9518671143439896E-4</v>
      </c>
    </row>
    <row r="32821" spans="1:6" x14ac:dyDescent="0.25">
      <c r="A32821" s="1" t="str">
        <f t="shared" si="1169"/>
        <v>42340</v>
      </c>
      <c r="B32821" s="1" t="str">
        <f>"31329"</f>
        <v>31329</v>
      </c>
      <c r="C32821" s="2">
        <v>1.86217243139296E-2</v>
      </c>
      <c r="D32821" s="2">
        <v>1.0055865921787701E-2</v>
      </c>
      <c r="E32821" s="2">
        <v>6.1294393365783299E-3</v>
      </c>
      <c r="F32821" s="2">
        <v>1.7505758772188799E-2</v>
      </c>
    </row>
    <row r="32822" spans="1:6" x14ac:dyDescent="0.25">
      <c r="A32822" s="1" t="str">
        <f t="shared" si="1169"/>
        <v>42340</v>
      </c>
      <c r="B32822" s="1" t="str">
        <f>"31421"</f>
        <v>31421</v>
      </c>
      <c r="C32822" s="2">
        <v>3.0933096866992797E-5</v>
      </c>
      <c r="D32822" s="2">
        <v>3.40053436968666E-4</v>
      </c>
      <c r="E32822" s="2">
        <v>1.8027762754642101E-4</v>
      </c>
      <c r="F32822" s="2">
        <v>6.36077401532946E-5</v>
      </c>
    </row>
    <row r="32823" spans="1:6" x14ac:dyDescent="0.25">
      <c r="A32823" s="1" t="str">
        <f t="shared" si="1169"/>
        <v>42340</v>
      </c>
      <c r="B32823" s="1" t="str">
        <f>"31420"</f>
        <v>31420</v>
      </c>
      <c r="C32823" s="2">
        <v>3.9749029474085698E-3</v>
      </c>
      <c r="D32823" s="2">
        <v>1.26791352926888E-2</v>
      </c>
      <c r="E32823" s="2">
        <v>3.6055525509284201E-4</v>
      </c>
      <c r="F32823" s="2">
        <v>4.6978859513219003E-3</v>
      </c>
    </row>
    <row r="32824" spans="1:6" x14ac:dyDescent="0.25">
      <c r="A32824" s="1" t="str">
        <f t="shared" si="1169"/>
        <v>42340</v>
      </c>
      <c r="B32824" s="1" t="str">
        <f>"31405"</f>
        <v>31405</v>
      </c>
      <c r="C32824" s="2">
        <v>9.2984889182180397E-2</v>
      </c>
      <c r="D32824" s="2">
        <v>0.115472431382074</v>
      </c>
      <c r="E32824" s="2">
        <v>0.15431764917973601</v>
      </c>
      <c r="F32824" s="2">
        <v>9.6633787522887399E-2</v>
      </c>
    </row>
    <row r="32825" spans="1:6" x14ac:dyDescent="0.25">
      <c r="A32825" s="1" t="str">
        <f t="shared" si="1169"/>
        <v>42340</v>
      </c>
      <c r="B32825" s="1" t="str">
        <f>"31414"</f>
        <v>31414</v>
      </c>
      <c r="C32825" s="2">
        <v>6.7382596008599398E-3</v>
      </c>
      <c r="D32825" s="2">
        <v>1.05902356084527E-2</v>
      </c>
      <c r="E32825" s="2">
        <v>1.8027762754642101E-4</v>
      </c>
      <c r="F32825" s="2">
        <v>6.9332436767091101E-3</v>
      </c>
    </row>
    <row r="32826" spans="1:6" x14ac:dyDescent="0.25">
      <c r="A32826" s="1" t="str">
        <f t="shared" si="1169"/>
        <v>42340</v>
      </c>
      <c r="B32826" s="1" t="str">
        <f>"31303"</f>
        <v>31303</v>
      </c>
      <c r="C32826" s="2">
        <v>5.9082215015956296E-3</v>
      </c>
      <c r="D32826" s="2">
        <v>4.3721156181685602E-4</v>
      </c>
      <c r="E32826" s="2">
        <v>0</v>
      </c>
      <c r="F32826" s="2">
        <v>5.2476385626467996E-3</v>
      </c>
    </row>
    <row r="32827" spans="1:6" x14ac:dyDescent="0.25">
      <c r="A32827" s="1" t="str">
        <f t="shared" si="1169"/>
        <v>42340</v>
      </c>
      <c r="B32827" s="1" t="str">
        <f>"31409"</f>
        <v>31409</v>
      </c>
      <c r="C32827" s="2">
        <v>4.1244129155990398E-4</v>
      </c>
      <c r="D32827" s="2">
        <v>2.6718484333252301E-2</v>
      </c>
      <c r="E32827" s="2">
        <v>6.3097169641247496E-3</v>
      </c>
      <c r="F32827" s="2">
        <v>3.0213676572814901E-3</v>
      </c>
    </row>
    <row r="32828" spans="1:6" x14ac:dyDescent="0.25">
      <c r="A32828" s="1" t="str">
        <f t="shared" si="1169"/>
        <v>42340</v>
      </c>
      <c r="B32828" s="1" t="str">
        <f>"31324"</f>
        <v>31324</v>
      </c>
      <c r="C32828" s="2">
        <v>8.0771471435862802E-2</v>
      </c>
      <c r="D32828" s="2">
        <v>6.21326208404177E-2</v>
      </c>
      <c r="E32828" s="2">
        <v>2.7402199387056E-2</v>
      </c>
      <c r="F32828" s="2">
        <v>7.7683224367216502E-2</v>
      </c>
    </row>
    <row r="32829" spans="1:6" x14ac:dyDescent="0.25">
      <c r="A32829" s="1" t="str">
        <f t="shared" si="1169"/>
        <v>42340</v>
      </c>
      <c r="B32829" s="1" t="str">
        <f>"31307"</f>
        <v>31307</v>
      </c>
      <c r="C32829" s="2">
        <v>0</v>
      </c>
      <c r="D32829" s="2">
        <v>9.7158124848190401E-5</v>
      </c>
      <c r="E32829" s="2">
        <v>0</v>
      </c>
      <c r="F32829" s="2">
        <v>9.0868200218992293E-6</v>
      </c>
    </row>
    <row r="32830" spans="1:6" x14ac:dyDescent="0.25">
      <c r="A32830" s="1" t="str">
        <f t="shared" si="1169"/>
        <v>42340</v>
      </c>
      <c r="B32830" s="1" t="str">
        <f>"31418"</f>
        <v>31418</v>
      </c>
      <c r="C32830" s="2">
        <v>3.82023746307361E-3</v>
      </c>
      <c r="D32830" s="2">
        <v>1.04930774836045E-2</v>
      </c>
      <c r="E32830" s="2">
        <v>3.6055525509284201E-4</v>
      </c>
      <c r="F32830" s="2">
        <v>4.3571302005006802E-3</v>
      </c>
    </row>
    <row r="32831" spans="1:6" x14ac:dyDescent="0.25">
      <c r="A32831" s="1" t="str">
        <f t="shared" ref="A32831:A32861" si="1170">"42380"</f>
        <v>42380</v>
      </c>
      <c r="B32831" s="1" t="str">
        <f>"16945"</f>
        <v>16945</v>
      </c>
      <c r="C32831" s="2">
        <v>5.3583389149363596E-4</v>
      </c>
      <c r="D32831" s="2">
        <v>1.99501246882793E-3</v>
      </c>
      <c r="E32831" s="2">
        <v>0</v>
      </c>
      <c r="F32831" s="2">
        <v>6.1128430833180499E-4</v>
      </c>
    </row>
    <row r="32832" spans="1:6" x14ac:dyDescent="0.25">
      <c r="A32832" s="1" t="str">
        <f t="shared" si="1170"/>
        <v>42380</v>
      </c>
      <c r="B32832" s="1" t="str">
        <f>"18840"</f>
        <v>18840</v>
      </c>
      <c r="C32832" s="2">
        <v>0.202712659075686</v>
      </c>
      <c r="D32832" s="2">
        <v>0.25985037406483702</v>
      </c>
      <c r="E32832" s="2">
        <v>0.30715123094958902</v>
      </c>
      <c r="F32832" s="2">
        <v>0.20893697658780999</v>
      </c>
    </row>
    <row r="32833" spans="1:6" x14ac:dyDescent="0.25">
      <c r="A32833" s="1" t="str">
        <f t="shared" si="1170"/>
        <v>42380</v>
      </c>
      <c r="B32833" s="1" t="str">
        <f>"16947"</f>
        <v>16947</v>
      </c>
      <c r="C32833" s="2">
        <v>6.8519758874748801E-2</v>
      </c>
      <c r="D32833" s="2">
        <v>0.10224438902743101</v>
      </c>
      <c r="E32833" s="2">
        <v>6.6822977725673999E-2</v>
      </c>
      <c r="F32833" s="2">
        <v>7.0542209181490304E-2</v>
      </c>
    </row>
    <row r="32834" spans="1:6" x14ac:dyDescent="0.25">
      <c r="A32834" s="1" t="str">
        <f t="shared" si="1170"/>
        <v>42380</v>
      </c>
      <c r="B32834" s="1" t="str">
        <f>"18848"</f>
        <v>18848</v>
      </c>
      <c r="C32834" s="2">
        <v>0.14946416610850599</v>
      </c>
      <c r="D32834" s="2">
        <v>0.239401496259351</v>
      </c>
      <c r="E32834" s="2">
        <v>0.29073856975381002</v>
      </c>
      <c r="F32834" s="2">
        <v>0.15865884222752</v>
      </c>
    </row>
    <row r="32835" spans="1:6" x14ac:dyDescent="0.25">
      <c r="A32835" s="1" t="str">
        <f t="shared" si="1170"/>
        <v>42380</v>
      </c>
      <c r="B32835" s="1" t="str">
        <f>"18830"</f>
        <v>18830</v>
      </c>
      <c r="C32835" s="2">
        <v>6.6979236436704598E-4</v>
      </c>
      <c r="D32835" s="2">
        <v>0</v>
      </c>
      <c r="E32835" s="2">
        <v>0</v>
      </c>
      <c r="F32835" s="2">
        <v>6.1128430833180499E-4</v>
      </c>
    </row>
    <row r="32836" spans="1:6" x14ac:dyDescent="0.25">
      <c r="A32836" s="1" t="str">
        <f t="shared" si="1170"/>
        <v>42380</v>
      </c>
      <c r="B32836" s="1" t="str">
        <f>"18817"</f>
        <v>18817</v>
      </c>
      <c r="C32836" s="2">
        <v>1.57401205626255E-3</v>
      </c>
      <c r="D32836" s="2">
        <v>3.4912718204488701E-3</v>
      </c>
      <c r="E32836" s="2">
        <v>0</v>
      </c>
      <c r="F32836" s="2">
        <v>1.65046763249587E-3</v>
      </c>
    </row>
    <row r="32837" spans="1:6" x14ac:dyDescent="0.25">
      <c r="A32837" s="1" t="str">
        <f t="shared" si="1170"/>
        <v>42380</v>
      </c>
      <c r="B32837" s="1" t="str">
        <f>"18850"</f>
        <v>18850</v>
      </c>
      <c r="C32837" s="2">
        <v>3.4728734092431303E-2</v>
      </c>
      <c r="D32837" s="2">
        <v>1.24688279301745E-2</v>
      </c>
      <c r="E32837" s="2">
        <v>1.0550996483001099E-2</v>
      </c>
      <c r="F32837" s="2">
        <v>3.2734274711168097E-2</v>
      </c>
    </row>
    <row r="32838" spans="1:6" x14ac:dyDescent="0.25">
      <c r="A32838" s="1" t="str">
        <f t="shared" si="1170"/>
        <v>42380</v>
      </c>
      <c r="B32838" s="1" t="str">
        <f>"17765"</f>
        <v>17765</v>
      </c>
      <c r="C32838" s="2">
        <v>1.00468854655056E-4</v>
      </c>
      <c r="D32838" s="2">
        <v>0</v>
      </c>
      <c r="E32838" s="2">
        <v>0</v>
      </c>
      <c r="F32838" s="2">
        <v>9.16926462497707E-5</v>
      </c>
    </row>
    <row r="32839" spans="1:6" x14ac:dyDescent="0.25">
      <c r="A32839" s="1" t="str">
        <f t="shared" si="1170"/>
        <v>42380</v>
      </c>
      <c r="B32839" s="1" t="str">
        <f>"16925"</f>
        <v>16925</v>
      </c>
      <c r="C32839" s="2">
        <v>5.7501674480910897E-2</v>
      </c>
      <c r="D32839" s="2">
        <v>2.1945137157107199E-2</v>
      </c>
      <c r="E32839" s="2">
        <v>2.69636576787807E-2</v>
      </c>
      <c r="F32839" s="2">
        <v>5.4526560303196997E-2</v>
      </c>
    </row>
    <row r="32840" spans="1:6" x14ac:dyDescent="0.25">
      <c r="A32840" s="1" t="str">
        <f t="shared" si="1170"/>
        <v>42380</v>
      </c>
      <c r="B32840" s="1" t="str">
        <f>"18829"</f>
        <v>18829</v>
      </c>
      <c r="C32840" s="2">
        <v>1.22906898861352E-2</v>
      </c>
      <c r="D32840" s="2">
        <v>4.9875311720698201E-3</v>
      </c>
      <c r="E32840" s="2">
        <v>2.3446658851113702E-3</v>
      </c>
      <c r="F32840" s="2">
        <v>1.1583837642887699E-2</v>
      </c>
    </row>
    <row r="32841" spans="1:6" x14ac:dyDescent="0.25">
      <c r="A32841" s="1" t="str">
        <f t="shared" si="1170"/>
        <v>42380</v>
      </c>
      <c r="B32841" s="1" t="str">
        <f>"18851"</f>
        <v>18851</v>
      </c>
      <c r="C32841" s="2">
        <v>1.1486939048894799E-2</v>
      </c>
      <c r="D32841" s="2">
        <v>1.49625935162094E-3</v>
      </c>
      <c r="E32841" s="2">
        <v>0</v>
      </c>
      <c r="F32841" s="2">
        <v>1.05752185341402E-2</v>
      </c>
    </row>
    <row r="32842" spans="1:6" x14ac:dyDescent="0.25">
      <c r="A32842" s="1" t="str">
        <f t="shared" si="1170"/>
        <v>42380</v>
      </c>
      <c r="B32842" s="1" t="str">
        <f>"18853"</f>
        <v>18853</v>
      </c>
      <c r="C32842" s="2">
        <v>6.6744809109176101E-2</v>
      </c>
      <c r="D32842" s="2">
        <v>5.1870324189526099E-2</v>
      </c>
      <c r="E32842" s="2">
        <v>3.39976553341148E-2</v>
      </c>
      <c r="F32842" s="2">
        <v>6.4979521975670806E-2</v>
      </c>
    </row>
    <row r="32843" spans="1:6" x14ac:dyDescent="0.25">
      <c r="A32843" s="1" t="str">
        <f t="shared" si="1170"/>
        <v>42380</v>
      </c>
      <c r="B32843" s="1" t="str">
        <f>"18846"</f>
        <v>18846</v>
      </c>
      <c r="C32843" s="2">
        <v>1.2458137977227E-2</v>
      </c>
      <c r="D32843" s="2">
        <v>2.4937655860349101E-3</v>
      </c>
      <c r="E32843" s="2">
        <v>0</v>
      </c>
      <c r="F32843" s="2">
        <v>1.15227092120545E-2</v>
      </c>
    </row>
    <row r="32844" spans="1:6" x14ac:dyDescent="0.25">
      <c r="A32844" s="1" t="str">
        <f t="shared" si="1170"/>
        <v>42380</v>
      </c>
      <c r="B32844" s="1" t="str">
        <f>"18854"</f>
        <v>18854</v>
      </c>
      <c r="C32844" s="2">
        <v>2.3040857334226301E-2</v>
      </c>
      <c r="D32844" s="2">
        <v>3.2917705735660802E-2</v>
      </c>
      <c r="E32844" s="2">
        <v>9.3786635404454807E-3</v>
      </c>
      <c r="F32844" s="2">
        <v>2.3289932147441701E-2</v>
      </c>
    </row>
    <row r="32845" spans="1:6" x14ac:dyDescent="0.25">
      <c r="A32845" s="1" t="str">
        <f t="shared" si="1170"/>
        <v>42380</v>
      </c>
      <c r="B32845" s="1" t="str">
        <f>"18818"</f>
        <v>18818</v>
      </c>
      <c r="C32845" s="2">
        <v>3.3489618218352301E-5</v>
      </c>
      <c r="D32845" s="2">
        <v>0</v>
      </c>
      <c r="E32845" s="2">
        <v>0</v>
      </c>
      <c r="F32845" s="2">
        <v>3.0564215416590199E-5</v>
      </c>
    </row>
    <row r="32846" spans="1:6" x14ac:dyDescent="0.25">
      <c r="A32846" s="1" t="str">
        <f t="shared" si="1170"/>
        <v>42380</v>
      </c>
      <c r="B32846" s="1" t="str">
        <f>"18845"</f>
        <v>18845</v>
      </c>
      <c r="C32846" s="2">
        <v>5.5592766242464802E-3</v>
      </c>
      <c r="D32846" s="2">
        <v>3.4912718204488701E-3</v>
      </c>
      <c r="E32846" s="2">
        <v>0</v>
      </c>
      <c r="F32846" s="2">
        <v>5.2876092670701104E-3</v>
      </c>
    </row>
    <row r="32847" spans="1:6" x14ac:dyDescent="0.25">
      <c r="A32847" s="1" t="str">
        <f t="shared" si="1170"/>
        <v>42380</v>
      </c>
      <c r="B32847" s="1" t="str">
        <f>"16910"</f>
        <v>16910</v>
      </c>
      <c r="C32847" s="2">
        <v>8.0375083724045502E-4</v>
      </c>
      <c r="D32847" s="2">
        <v>1.99501246882793E-3</v>
      </c>
      <c r="E32847" s="2">
        <v>0</v>
      </c>
      <c r="F32847" s="2">
        <v>8.5579803166452697E-4</v>
      </c>
    </row>
    <row r="32848" spans="1:6" x14ac:dyDescent="0.25">
      <c r="A32848" s="1" t="str">
        <f t="shared" si="1170"/>
        <v>42380</v>
      </c>
      <c r="B32848" s="1" t="str">
        <f>"18833"</f>
        <v>18833</v>
      </c>
      <c r="C32848" s="2">
        <v>2.9269926322839899E-2</v>
      </c>
      <c r="D32848" s="2">
        <v>9.9750623441396506E-3</v>
      </c>
      <c r="E32848" s="2">
        <v>1.8757327080890899E-2</v>
      </c>
      <c r="F32848" s="2">
        <v>2.78134360290971E-2</v>
      </c>
    </row>
    <row r="32849" spans="1:6" x14ac:dyDescent="0.25">
      <c r="A32849" s="1" t="str">
        <f t="shared" si="1170"/>
        <v>42380</v>
      </c>
      <c r="B32849" s="1" t="str">
        <f>"16936"</f>
        <v>16936</v>
      </c>
      <c r="C32849" s="2">
        <v>4.9564634963161396E-3</v>
      </c>
      <c r="D32849" s="2">
        <v>4.9875311720698201E-3</v>
      </c>
      <c r="E32849" s="2">
        <v>4.6893317702227403E-3</v>
      </c>
      <c r="F32849" s="2">
        <v>4.9514028974876204E-3</v>
      </c>
    </row>
    <row r="32850" spans="1:6" x14ac:dyDescent="0.25">
      <c r="A32850" s="1" t="str">
        <f t="shared" si="1170"/>
        <v>42380</v>
      </c>
      <c r="B32850" s="1" t="str">
        <f>"17735"</f>
        <v>17735</v>
      </c>
      <c r="C32850" s="2">
        <v>8.3724045545880701E-4</v>
      </c>
      <c r="D32850" s="2">
        <v>1.49625935162094E-3</v>
      </c>
      <c r="E32850" s="2">
        <v>0</v>
      </c>
      <c r="F32850" s="2">
        <v>8.5579803166452697E-4</v>
      </c>
    </row>
    <row r="32851" spans="1:6" x14ac:dyDescent="0.25">
      <c r="A32851" s="1" t="str">
        <f t="shared" si="1170"/>
        <v>42380</v>
      </c>
      <c r="B32851" s="1" t="str">
        <f>"18616"</f>
        <v>18616</v>
      </c>
      <c r="C32851" s="2">
        <v>1.6744809109176101E-4</v>
      </c>
      <c r="D32851" s="2">
        <v>0</v>
      </c>
      <c r="E32851" s="2">
        <v>0</v>
      </c>
      <c r="F32851" s="2">
        <v>1.52821077082951E-4</v>
      </c>
    </row>
    <row r="32852" spans="1:6" x14ac:dyDescent="0.25">
      <c r="A32852" s="1" t="str">
        <f t="shared" si="1170"/>
        <v>42380</v>
      </c>
      <c r="B32852" s="1" t="str">
        <f>"18837"</f>
        <v>18837</v>
      </c>
      <c r="C32852" s="2">
        <v>4.4072337575351603E-2</v>
      </c>
      <c r="D32852" s="2">
        <v>3.1421446384039903E-2</v>
      </c>
      <c r="E32852" s="2">
        <v>8.2063305978897997E-3</v>
      </c>
      <c r="F32852" s="2">
        <v>4.2362002567394003E-2</v>
      </c>
    </row>
    <row r="32853" spans="1:6" x14ac:dyDescent="0.25">
      <c r="A32853" s="1" t="str">
        <f t="shared" si="1170"/>
        <v>42380</v>
      </c>
      <c r="B32853" s="1" t="str">
        <f>"16914"</f>
        <v>16914</v>
      </c>
      <c r="C32853" s="2">
        <v>3.3690555927662402E-2</v>
      </c>
      <c r="D32853" s="2">
        <v>1.0972568578553599E-2</v>
      </c>
      <c r="E32853" s="2">
        <v>7.0339976553341101E-3</v>
      </c>
      <c r="F32853" s="2">
        <v>3.1603398740754303E-2</v>
      </c>
    </row>
    <row r="32854" spans="1:6" x14ac:dyDescent="0.25">
      <c r="A32854" s="1" t="str">
        <f t="shared" si="1170"/>
        <v>42380</v>
      </c>
      <c r="B32854" s="1" t="str">
        <f>"18832"</f>
        <v>18832</v>
      </c>
      <c r="C32854" s="2">
        <v>2.5351640991292598E-2</v>
      </c>
      <c r="D32854" s="2">
        <v>1.54613466334164E-2</v>
      </c>
      <c r="E32854" s="2">
        <v>1.4067995310668199E-2</v>
      </c>
      <c r="F32854" s="2">
        <v>2.44513723332722E-2</v>
      </c>
    </row>
    <row r="32855" spans="1:6" x14ac:dyDescent="0.25">
      <c r="A32855" s="1" t="str">
        <f t="shared" si="1170"/>
        <v>42380</v>
      </c>
      <c r="B32855" s="1" t="str">
        <f>"18810"</f>
        <v>18810</v>
      </c>
      <c r="C32855" s="2">
        <v>9.5344943067648999E-2</v>
      </c>
      <c r="D32855" s="2">
        <v>7.53117206982543E-2</v>
      </c>
      <c r="E32855" s="2">
        <v>0.13599062133645901</v>
      </c>
      <c r="F32855" s="2">
        <v>9.5176966807261995E-2</v>
      </c>
    </row>
    <row r="32856" spans="1:6" x14ac:dyDescent="0.25">
      <c r="A32856" s="1" t="str">
        <f t="shared" si="1170"/>
        <v>42380</v>
      </c>
      <c r="B32856" s="1" t="str">
        <f>"18814"</f>
        <v>18814</v>
      </c>
      <c r="C32856" s="2">
        <v>1.77494976557267E-3</v>
      </c>
      <c r="D32856" s="2">
        <v>3.9900249376558601E-3</v>
      </c>
      <c r="E32856" s="2">
        <v>0</v>
      </c>
      <c r="F32856" s="2">
        <v>1.8644171404119999E-3</v>
      </c>
    </row>
    <row r="32857" spans="1:6" x14ac:dyDescent="0.25">
      <c r="A32857" s="1" t="str">
        <f t="shared" si="1170"/>
        <v>42380</v>
      </c>
      <c r="B32857" s="1" t="str">
        <f>"18623"</f>
        <v>18623</v>
      </c>
      <c r="C32857" s="2">
        <v>1.46014735432016E-2</v>
      </c>
      <c r="D32857" s="2">
        <v>8.4788029925186997E-3</v>
      </c>
      <c r="E32857" s="2">
        <v>3.5169988276670498E-3</v>
      </c>
      <c r="F32857" s="2">
        <v>1.39372822299651E-2</v>
      </c>
    </row>
    <row r="32858" spans="1:6" x14ac:dyDescent="0.25">
      <c r="A32858" s="1" t="str">
        <f t="shared" si="1170"/>
        <v>42380</v>
      </c>
      <c r="B32858" s="1" t="str">
        <f>"17724"</f>
        <v>17724</v>
      </c>
      <c r="C32858" s="2">
        <v>7.0060281312793002E-2</v>
      </c>
      <c r="D32858" s="2">
        <v>8.4289276807979999E-2</v>
      </c>
      <c r="E32858" s="2">
        <v>5.74443141852286E-2</v>
      </c>
      <c r="F32858" s="2">
        <v>7.0603337612323402E-2</v>
      </c>
    </row>
    <row r="32859" spans="1:6" x14ac:dyDescent="0.25">
      <c r="A32859" s="1" t="str">
        <f t="shared" si="1170"/>
        <v>42380</v>
      </c>
      <c r="B32859" s="1" t="str">
        <f>"16926"</f>
        <v>16926</v>
      </c>
      <c r="C32859" s="2">
        <v>1.24916275954454E-2</v>
      </c>
      <c r="D32859" s="2">
        <v>4.4887780548628397E-3</v>
      </c>
      <c r="E32859" s="2">
        <v>0</v>
      </c>
      <c r="F32859" s="2">
        <v>1.16755302891374E-2</v>
      </c>
    </row>
    <row r="32860" spans="1:6" x14ac:dyDescent="0.25">
      <c r="A32860" s="1" t="str">
        <f t="shared" si="1170"/>
        <v>42380</v>
      </c>
      <c r="B32860" s="1" t="str">
        <f>"18831"</f>
        <v>18831</v>
      </c>
      <c r="C32860" s="2">
        <v>1.87206965840589E-2</v>
      </c>
      <c r="D32860" s="2">
        <v>8.4788029925186997E-3</v>
      </c>
      <c r="E32860" s="2">
        <v>2.3446658851113702E-3</v>
      </c>
      <c r="F32860" s="2">
        <v>1.7666116510789101E-2</v>
      </c>
    </row>
    <row r="32861" spans="1:6" x14ac:dyDescent="0.25">
      <c r="A32861" s="1" t="str">
        <f t="shared" si="1170"/>
        <v>42380</v>
      </c>
      <c r="B32861" s="1" t="str">
        <f>"18614"</f>
        <v>18614</v>
      </c>
      <c r="C32861" s="2">
        <v>4.3536503683857999E-4</v>
      </c>
      <c r="D32861" s="2">
        <v>0</v>
      </c>
      <c r="E32861" s="2">
        <v>0</v>
      </c>
      <c r="F32861" s="2">
        <v>3.9733480041567298E-4</v>
      </c>
    </row>
    <row r="32862" spans="1:6" x14ac:dyDescent="0.25">
      <c r="A32862" s="1" t="str">
        <f t="shared" ref="A32862:A32878" si="1171">"42420"</f>
        <v>42420</v>
      </c>
      <c r="B32862" s="1" t="str">
        <f>"69352"</f>
        <v>69352</v>
      </c>
      <c r="C32862" s="2">
        <v>1.8665934669228602E-2</v>
      </c>
      <c r="D32862" s="2">
        <v>5.1098620337250798E-3</v>
      </c>
      <c r="E32862" s="2">
        <v>1.6260162601626001E-3</v>
      </c>
      <c r="F32862" s="2">
        <v>1.6885553470919301E-2</v>
      </c>
    </row>
    <row r="32863" spans="1:6" x14ac:dyDescent="0.25">
      <c r="A32863" s="1" t="str">
        <f t="shared" si="1171"/>
        <v>42420</v>
      </c>
      <c r="B32863" s="1" t="str">
        <f>"69345"</f>
        <v>69345</v>
      </c>
      <c r="C32863" s="2">
        <v>1.3175953884161399E-2</v>
      </c>
      <c r="D32863" s="2">
        <v>2.5549310168625399E-3</v>
      </c>
      <c r="E32863" s="2">
        <v>9.7560975609755993E-3</v>
      </c>
      <c r="F32863" s="2">
        <v>1.2074854476355401E-2</v>
      </c>
    </row>
    <row r="32864" spans="1:6" x14ac:dyDescent="0.25">
      <c r="A32864" s="1" t="str">
        <f t="shared" si="1171"/>
        <v>42420</v>
      </c>
      <c r="B32864" s="1" t="str">
        <f>"69334"</f>
        <v>69334</v>
      </c>
      <c r="C32864" s="2">
        <v>7.3016744441394398E-3</v>
      </c>
      <c r="D32864" s="2">
        <v>0</v>
      </c>
      <c r="E32864" s="2">
        <v>0</v>
      </c>
      <c r="F32864" s="2">
        <v>6.3982296627700004E-3</v>
      </c>
    </row>
    <row r="32865" spans="1:6" x14ac:dyDescent="0.25">
      <c r="A32865" s="1" t="str">
        <f t="shared" si="1171"/>
        <v>42420</v>
      </c>
      <c r="B32865" s="1" t="str">
        <f>"69348"</f>
        <v>69348</v>
      </c>
      <c r="C32865" s="2">
        <v>4.3919846280537998E-4</v>
      </c>
      <c r="D32865" s="2">
        <v>0</v>
      </c>
      <c r="E32865" s="2">
        <v>0</v>
      </c>
      <c r="F32865" s="2">
        <v>3.8485591956511202E-4</v>
      </c>
    </row>
    <row r="32866" spans="1:6" x14ac:dyDescent="0.25">
      <c r="A32866" s="1" t="str">
        <f t="shared" si="1171"/>
        <v>42420</v>
      </c>
      <c r="B32866" s="1" t="str">
        <f>"69341"</f>
        <v>69341</v>
      </c>
      <c r="C32866" s="2">
        <v>0.28542410101564603</v>
      </c>
      <c r="D32866" s="2">
        <v>0.21768012263668801</v>
      </c>
      <c r="E32866" s="2">
        <v>0.25691056910569099</v>
      </c>
      <c r="F32866" s="2">
        <v>0.27820272285563002</v>
      </c>
    </row>
    <row r="32867" spans="1:6" x14ac:dyDescent="0.25">
      <c r="A32867" s="1" t="str">
        <f t="shared" si="1171"/>
        <v>42420</v>
      </c>
      <c r="B32867" s="1" t="str">
        <f>"69358"</f>
        <v>69358</v>
      </c>
      <c r="C32867" s="2">
        <v>5.5448805929179203E-2</v>
      </c>
      <c r="D32867" s="2">
        <v>2.4016351558507901E-2</v>
      </c>
      <c r="E32867" s="2">
        <v>9.7560975609755993E-3</v>
      </c>
      <c r="F32867" s="2">
        <v>5.1137730312214302E-2</v>
      </c>
    </row>
    <row r="32868" spans="1:6" x14ac:dyDescent="0.25">
      <c r="A32868" s="1" t="str">
        <f t="shared" si="1171"/>
        <v>42420</v>
      </c>
      <c r="B32868" s="1" t="str">
        <f>"69357"</f>
        <v>69357</v>
      </c>
      <c r="C32868" s="2">
        <v>9.4262970079604699E-2</v>
      </c>
      <c r="D32868" s="2">
        <v>6.8472151251916094E-2</v>
      </c>
      <c r="E32868" s="2">
        <v>2.7642276422764199E-2</v>
      </c>
      <c r="F32868" s="2">
        <v>8.9863857218453802E-2</v>
      </c>
    </row>
    <row r="32869" spans="1:6" x14ac:dyDescent="0.25">
      <c r="A32869" s="1" t="str">
        <f t="shared" si="1171"/>
        <v>42420</v>
      </c>
      <c r="B32869" s="1" t="str">
        <f>"69356"</f>
        <v>69356</v>
      </c>
      <c r="C32869" s="2">
        <v>3.9033763381828103E-2</v>
      </c>
      <c r="D32869" s="2">
        <v>7.1538068472151196E-3</v>
      </c>
      <c r="E32869" s="2">
        <v>6.5040650406504004E-3</v>
      </c>
      <c r="F32869" s="2">
        <v>3.5069995670370897E-2</v>
      </c>
    </row>
    <row r="32870" spans="1:6" x14ac:dyDescent="0.25">
      <c r="A32870" s="1" t="str">
        <f t="shared" si="1171"/>
        <v>42420</v>
      </c>
      <c r="B32870" s="1" t="str">
        <f>"69156"</f>
        <v>69156</v>
      </c>
      <c r="C32870" s="2">
        <v>1.3724951962668099E-3</v>
      </c>
      <c r="D32870" s="2">
        <v>0</v>
      </c>
      <c r="E32870" s="2">
        <v>0</v>
      </c>
      <c r="F32870" s="2">
        <v>1.2026747486409699E-3</v>
      </c>
    </row>
    <row r="32871" spans="1:6" x14ac:dyDescent="0.25">
      <c r="A32871" s="1" t="str">
        <f t="shared" si="1171"/>
        <v>42420</v>
      </c>
      <c r="B32871" s="1" t="str">
        <f>"69346"</f>
        <v>69346</v>
      </c>
      <c r="C32871" s="2">
        <v>1.8446335437825898E-2</v>
      </c>
      <c r="D32871" s="2">
        <v>1.17526826775677E-2</v>
      </c>
      <c r="E32871" s="2">
        <v>6.5040650406504004E-3</v>
      </c>
      <c r="F32871" s="2">
        <v>1.7462837350266901E-2</v>
      </c>
    </row>
    <row r="32872" spans="1:6" x14ac:dyDescent="0.25">
      <c r="A32872" s="1" t="str">
        <f t="shared" si="1171"/>
        <v>42420</v>
      </c>
      <c r="B32872" s="1" t="str">
        <f>"69361"</f>
        <v>69361</v>
      </c>
      <c r="C32872" s="2">
        <v>0.45940159209442699</v>
      </c>
      <c r="D32872" s="2">
        <v>0.66274910577414403</v>
      </c>
      <c r="E32872" s="2">
        <v>0.67804878048780404</v>
      </c>
      <c r="F32872" s="2">
        <v>0.48501467263193299</v>
      </c>
    </row>
    <row r="32873" spans="1:6" x14ac:dyDescent="0.25">
      <c r="A32873" s="1" t="str">
        <f t="shared" si="1171"/>
        <v>42420</v>
      </c>
      <c r="B32873" s="1" t="str">
        <f>"69145"</f>
        <v>69145</v>
      </c>
      <c r="C32873" s="2">
        <v>1.0979961570134499E-4</v>
      </c>
      <c r="D32873" s="2">
        <v>0</v>
      </c>
      <c r="E32873" s="2">
        <v>0</v>
      </c>
      <c r="F32873" s="2">
        <v>9.6213979891278194E-5</v>
      </c>
    </row>
    <row r="32874" spans="1:6" x14ac:dyDescent="0.25">
      <c r="A32874" s="1" t="str">
        <f t="shared" si="1171"/>
        <v>42420</v>
      </c>
      <c r="B32874" s="1" t="str">
        <f>"69301"</f>
        <v>69301</v>
      </c>
      <c r="C32874" s="2">
        <v>4.9409827065605204E-4</v>
      </c>
      <c r="D32874" s="2">
        <v>0</v>
      </c>
      <c r="E32874" s="2">
        <v>0</v>
      </c>
      <c r="F32874" s="2">
        <v>4.3296290951075101E-4</v>
      </c>
    </row>
    <row r="32875" spans="1:6" x14ac:dyDescent="0.25">
      <c r="A32875" s="1" t="str">
        <f t="shared" si="1171"/>
        <v>42420</v>
      </c>
      <c r="B32875" s="1" t="str">
        <f>"69353"</f>
        <v>69353</v>
      </c>
      <c r="C32875" s="2">
        <v>0</v>
      </c>
      <c r="D32875" s="2">
        <v>0</v>
      </c>
      <c r="E32875" s="2">
        <v>1.6260162601626001E-3</v>
      </c>
      <c r="F32875" s="2">
        <v>4.8106989945639097E-5</v>
      </c>
    </row>
    <row r="32876" spans="1:6" x14ac:dyDescent="0.25">
      <c r="A32876" s="1" t="str">
        <f t="shared" si="1171"/>
        <v>42420</v>
      </c>
      <c r="B32876" s="1" t="str">
        <f>"69355"</f>
        <v>69355</v>
      </c>
      <c r="C32876" s="2">
        <v>2.0312928904748801E-3</v>
      </c>
      <c r="D32876" s="2">
        <v>0</v>
      </c>
      <c r="E32876" s="2">
        <v>1.6260162601626001E-3</v>
      </c>
      <c r="F32876" s="2">
        <v>1.8280656179342799E-3</v>
      </c>
    </row>
    <row r="32877" spans="1:6" x14ac:dyDescent="0.25">
      <c r="A32877" s="1" t="str">
        <f t="shared" si="1171"/>
        <v>42420</v>
      </c>
      <c r="B32877" s="1" t="str">
        <f>"69354"</f>
        <v>69354</v>
      </c>
      <c r="C32877" s="2">
        <v>4.9409827065605204E-4</v>
      </c>
      <c r="D32877" s="2">
        <v>0</v>
      </c>
      <c r="E32877" s="2">
        <v>0</v>
      </c>
      <c r="F32877" s="2">
        <v>4.3296290951075101E-4</v>
      </c>
    </row>
    <row r="32878" spans="1:6" x14ac:dyDescent="0.25">
      <c r="A32878" s="1" t="str">
        <f t="shared" si="1171"/>
        <v>42420</v>
      </c>
      <c r="B32878" s="1" t="str">
        <f>"69339"</f>
        <v>69339</v>
      </c>
      <c r="C32878" s="2">
        <v>3.89788635739774E-3</v>
      </c>
      <c r="D32878" s="2">
        <v>5.1098620337250802E-4</v>
      </c>
      <c r="E32878" s="2">
        <v>0</v>
      </c>
      <c r="F32878" s="2">
        <v>3.4637032760860098E-3</v>
      </c>
    </row>
    <row r="32879" spans="1:6" x14ac:dyDescent="0.25">
      <c r="A32879" s="1" t="str">
        <f t="shared" ref="A32879:A32900" si="1172">"42460"</f>
        <v>42460</v>
      </c>
      <c r="B32879" s="1" t="str">
        <f>"35744"</f>
        <v>35744</v>
      </c>
      <c r="C32879" s="2">
        <v>4.4809322033898299E-2</v>
      </c>
      <c r="D32879" s="2">
        <v>1.26518218623481E-2</v>
      </c>
      <c r="E32879" s="2">
        <v>3.4482758620689599E-2</v>
      </c>
      <c r="F32879" s="2">
        <v>4.26107651680631E-2</v>
      </c>
    </row>
    <row r="32880" spans="1:6" x14ac:dyDescent="0.25">
      <c r="A32880" s="1" t="str">
        <f t="shared" si="1172"/>
        <v>42460</v>
      </c>
      <c r="B32880" s="1" t="str">
        <f>"35746"</f>
        <v>35746</v>
      </c>
      <c r="C32880" s="2">
        <v>1.4971751412429299E-2</v>
      </c>
      <c r="D32880" s="2">
        <v>3.5425101214574799E-3</v>
      </c>
      <c r="E32880" s="2">
        <v>5.3050397877984004E-3</v>
      </c>
      <c r="F32880" s="2">
        <v>1.41166498223193E-2</v>
      </c>
    </row>
    <row r="32881" spans="1:6" x14ac:dyDescent="0.25">
      <c r="A32881" s="1" t="str">
        <f t="shared" si="1172"/>
        <v>42460</v>
      </c>
      <c r="B32881" s="1" t="str">
        <f>"35751"</f>
        <v>35751</v>
      </c>
      <c r="C32881" s="2">
        <v>5.0494350282485802E-3</v>
      </c>
      <c r="D32881" s="2">
        <v>0</v>
      </c>
      <c r="E32881" s="2">
        <v>2.6525198938992002E-3</v>
      </c>
      <c r="F32881" s="2">
        <v>4.6946826198937096E-3</v>
      </c>
    </row>
    <row r="32882" spans="1:6" x14ac:dyDescent="0.25">
      <c r="A32882" s="1" t="str">
        <f t="shared" si="1172"/>
        <v>42460</v>
      </c>
      <c r="B32882" s="1" t="str">
        <f>"35740"</f>
        <v>35740</v>
      </c>
      <c r="C32882" s="2">
        <v>6.0169491525423703E-2</v>
      </c>
      <c r="D32882" s="2">
        <v>3.2388663967611302E-2</v>
      </c>
      <c r="E32882" s="2">
        <v>8.75331564986737E-2</v>
      </c>
      <c r="F32882" s="2">
        <v>5.8716134711309598E-2</v>
      </c>
    </row>
    <row r="32883" spans="1:6" x14ac:dyDescent="0.25">
      <c r="A32883" s="1" t="str">
        <f t="shared" si="1172"/>
        <v>42460</v>
      </c>
      <c r="B32883" s="1" t="str">
        <f>"35958"</f>
        <v>35958</v>
      </c>
      <c r="C32883" s="2">
        <v>6.14759887005649E-2</v>
      </c>
      <c r="D32883" s="2">
        <v>2.6315789473684199E-2</v>
      </c>
      <c r="E32883" s="2">
        <v>1.8567639257294401E-2</v>
      </c>
      <c r="F32883" s="2">
        <v>5.8683532748671399E-2</v>
      </c>
    </row>
    <row r="32884" spans="1:6" x14ac:dyDescent="0.25">
      <c r="A32884" s="1" t="str">
        <f t="shared" si="1172"/>
        <v>42460</v>
      </c>
      <c r="B32884" s="1" t="str">
        <f>"35771"</f>
        <v>35771</v>
      </c>
      <c r="C32884" s="2">
        <v>6.86440677966101E-2</v>
      </c>
      <c r="D32884" s="2">
        <v>3.3400809716599103E-2</v>
      </c>
      <c r="E32884" s="2">
        <v>6.1007957559681601E-2</v>
      </c>
      <c r="F32884" s="2">
        <v>6.6279790043360598E-2</v>
      </c>
    </row>
    <row r="32885" spans="1:6" x14ac:dyDescent="0.25">
      <c r="A32885" s="1" t="str">
        <f t="shared" si="1172"/>
        <v>42460</v>
      </c>
      <c r="B32885" s="1" t="str">
        <f>"35755"</f>
        <v>35755</v>
      </c>
      <c r="C32885" s="2">
        <v>8.4392655367231603E-3</v>
      </c>
      <c r="D32885" s="2">
        <v>3.0364372469635602E-3</v>
      </c>
      <c r="E32885" s="2">
        <v>2.6525198938992002E-3</v>
      </c>
      <c r="F32885" s="2">
        <v>8.0200828089851007E-3</v>
      </c>
    </row>
    <row r="32886" spans="1:6" x14ac:dyDescent="0.25">
      <c r="A32886" s="1" t="str">
        <f t="shared" si="1172"/>
        <v>42460</v>
      </c>
      <c r="B32886" s="1" t="str">
        <f>"35769"</f>
        <v>35769</v>
      </c>
      <c r="C32886" s="2">
        <v>0.163276836158192</v>
      </c>
      <c r="D32886" s="2">
        <v>0.16497975708502</v>
      </c>
      <c r="E32886" s="2">
        <v>0.19893899204244</v>
      </c>
      <c r="F32886" s="2">
        <v>0.163824862256707</v>
      </c>
    </row>
    <row r="32887" spans="1:6" x14ac:dyDescent="0.25">
      <c r="A32887" s="1" t="str">
        <f t="shared" si="1172"/>
        <v>42460</v>
      </c>
      <c r="B32887" s="1" t="str">
        <f>"35979"</f>
        <v>35979</v>
      </c>
      <c r="C32887" s="2">
        <v>7.48587570621468E-3</v>
      </c>
      <c r="D32887" s="2">
        <v>3.5425101214574799E-3</v>
      </c>
      <c r="E32887" s="2">
        <v>2.6525198938992002E-3</v>
      </c>
      <c r="F32887" s="2">
        <v>7.1724317803931702E-3</v>
      </c>
    </row>
    <row r="32888" spans="1:6" x14ac:dyDescent="0.25">
      <c r="A32888" s="1" t="str">
        <f t="shared" si="1172"/>
        <v>42460</v>
      </c>
      <c r="B32888" s="1" t="str">
        <f>"35978"</f>
        <v>35978</v>
      </c>
      <c r="C32888" s="2">
        <v>2.1257062146892599E-2</v>
      </c>
      <c r="D32888" s="2">
        <v>6.5789473684210497E-3</v>
      </c>
      <c r="E32888" s="2">
        <v>1.5915119363395201E-2</v>
      </c>
      <c r="F32888" s="2">
        <v>2.0245818798291602E-2</v>
      </c>
    </row>
    <row r="32889" spans="1:6" x14ac:dyDescent="0.25">
      <c r="A32889" s="1" t="str">
        <f t="shared" si="1172"/>
        <v>42460</v>
      </c>
      <c r="B32889" s="1" t="str">
        <f>"35772"</f>
        <v>35772</v>
      </c>
      <c r="C32889" s="2">
        <v>8.7429378531073396E-2</v>
      </c>
      <c r="D32889" s="2">
        <v>8.8056680161943304E-2</v>
      </c>
      <c r="E32889" s="2">
        <v>0.100795755968169</v>
      </c>
      <c r="F32889" s="2">
        <v>8.7634075571349307E-2</v>
      </c>
    </row>
    <row r="32890" spans="1:6" x14ac:dyDescent="0.25">
      <c r="A32890" s="1" t="str">
        <f t="shared" si="1172"/>
        <v>42460</v>
      </c>
      <c r="B32890" s="1" t="str">
        <f>"35765"</f>
        <v>35765</v>
      </c>
      <c r="C32890" s="2">
        <v>7.1963276836158094E-2</v>
      </c>
      <c r="D32890" s="2">
        <v>3.74493927125506E-2</v>
      </c>
      <c r="E32890" s="2">
        <v>5.03978779840848E-2</v>
      </c>
      <c r="F32890" s="2">
        <v>6.9474782381899303E-2</v>
      </c>
    </row>
    <row r="32891" spans="1:6" x14ac:dyDescent="0.25">
      <c r="A32891" s="1" t="str">
        <f t="shared" si="1172"/>
        <v>42460</v>
      </c>
      <c r="B32891" s="1" t="str">
        <f>"35764"</f>
        <v>35764</v>
      </c>
      <c r="C32891" s="2">
        <v>1.1864406779661E-2</v>
      </c>
      <c r="D32891" s="2">
        <v>7.0850202429149703E-3</v>
      </c>
      <c r="E32891" s="2">
        <v>2.6525198938992002E-3</v>
      </c>
      <c r="F32891" s="2">
        <v>1.14432888859909E-2</v>
      </c>
    </row>
    <row r="32892" spans="1:6" x14ac:dyDescent="0.25">
      <c r="A32892" s="1" t="str">
        <f t="shared" si="1172"/>
        <v>42460</v>
      </c>
      <c r="B32892" s="1" t="str">
        <f>"35748"</f>
        <v>35748</v>
      </c>
      <c r="C32892" s="2">
        <v>2.8248587570621399E-3</v>
      </c>
      <c r="D32892" s="2">
        <v>3.0364372469635602E-3</v>
      </c>
      <c r="E32892" s="2">
        <v>0</v>
      </c>
      <c r="F32892" s="2">
        <v>2.80376878688097E-3</v>
      </c>
    </row>
    <row r="32893" spans="1:6" x14ac:dyDescent="0.25">
      <c r="A32893" s="1" t="str">
        <f t="shared" si="1172"/>
        <v>42460</v>
      </c>
      <c r="B32893" s="1" t="str">
        <f>"35774"</f>
        <v>35774</v>
      </c>
      <c r="C32893" s="2">
        <v>2.6129943502824801E-3</v>
      </c>
      <c r="D32893" s="2">
        <v>1.5182186234817801E-3</v>
      </c>
      <c r="E32893" s="2">
        <v>7.9575596816976093E-3</v>
      </c>
      <c r="F32893" s="2">
        <v>2.6081570110520601E-3</v>
      </c>
    </row>
    <row r="32894" spans="1:6" x14ac:dyDescent="0.25">
      <c r="A32894" s="1" t="str">
        <f t="shared" si="1172"/>
        <v>42460</v>
      </c>
      <c r="B32894" s="1" t="str">
        <f>"35966"</f>
        <v>35966</v>
      </c>
      <c r="C32894" s="2">
        <v>4.8375706214689201E-2</v>
      </c>
      <c r="D32894" s="2">
        <v>2.6315789473684199E-2</v>
      </c>
      <c r="E32894" s="2">
        <v>1.8567639257294401E-2</v>
      </c>
      <c r="F32894" s="2">
        <v>4.65882046099175E-2</v>
      </c>
    </row>
    <row r="32895" spans="1:6" x14ac:dyDescent="0.25">
      <c r="A32895" s="1" t="str">
        <f t="shared" si="1172"/>
        <v>42460</v>
      </c>
      <c r="B32895" s="1" t="str">
        <f>"35752"</f>
        <v>35752</v>
      </c>
      <c r="C32895" s="2">
        <v>4.0395480225988697E-2</v>
      </c>
      <c r="D32895" s="2">
        <v>2.0748987854251E-2</v>
      </c>
      <c r="E32895" s="2">
        <v>2.1220159151193602E-2</v>
      </c>
      <c r="F32895" s="2">
        <v>3.88941414273139E-2</v>
      </c>
    </row>
    <row r="32896" spans="1:6" x14ac:dyDescent="0.25">
      <c r="A32896" s="1" t="str">
        <f t="shared" si="1172"/>
        <v>42460</v>
      </c>
      <c r="B32896" s="1" t="str">
        <f>"35766"</f>
        <v>35766</v>
      </c>
      <c r="C32896" s="2">
        <v>3.10734463276836E-3</v>
      </c>
      <c r="D32896" s="2">
        <v>1.5182186234817801E-3</v>
      </c>
      <c r="E32896" s="2">
        <v>2.6525198938992002E-3</v>
      </c>
      <c r="F32896" s="2">
        <v>2.9993805627098699E-3</v>
      </c>
    </row>
    <row r="32897" spans="1:6" x14ac:dyDescent="0.25">
      <c r="A32897" s="1" t="str">
        <f t="shared" si="1172"/>
        <v>42460</v>
      </c>
      <c r="B32897" s="1" t="str">
        <f>"35745"</f>
        <v>35745</v>
      </c>
      <c r="C32897" s="2">
        <v>7.6624293785310703E-3</v>
      </c>
      <c r="D32897" s="2">
        <v>4.5546558704453403E-3</v>
      </c>
      <c r="E32897" s="2">
        <v>2.6525198938992002E-3</v>
      </c>
      <c r="F32897" s="2">
        <v>7.4006455188602299E-3</v>
      </c>
    </row>
    <row r="32898" spans="1:6" x14ac:dyDescent="0.25">
      <c r="A32898" s="1" t="str">
        <f t="shared" si="1172"/>
        <v>42460</v>
      </c>
      <c r="B32898" s="1" t="str">
        <f>"35971"</f>
        <v>35971</v>
      </c>
      <c r="C32898" s="2">
        <v>1.4477401129943501E-3</v>
      </c>
      <c r="D32898" s="2">
        <v>1.0121457489878499E-3</v>
      </c>
      <c r="E32898" s="2">
        <v>7.9575596816976093E-3</v>
      </c>
      <c r="F32898" s="2">
        <v>1.4996902813549299E-3</v>
      </c>
    </row>
    <row r="32899" spans="1:6" x14ac:dyDescent="0.25">
      <c r="A32899" s="1" t="str">
        <f t="shared" si="1172"/>
        <v>42460</v>
      </c>
      <c r="B32899" s="1" t="str">
        <f>"35776"</f>
        <v>35776</v>
      </c>
      <c r="C32899" s="2">
        <v>5.6108757062146797E-2</v>
      </c>
      <c r="D32899" s="2">
        <v>1.9736842105263101E-2</v>
      </c>
      <c r="E32899" s="2">
        <v>1.0610079575596801E-2</v>
      </c>
      <c r="F32899" s="2">
        <v>5.3206403025462097E-2</v>
      </c>
    </row>
    <row r="32900" spans="1:6" x14ac:dyDescent="0.25">
      <c r="A32900" s="1" t="str">
        <f t="shared" si="1172"/>
        <v>42460</v>
      </c>
      <c r="B32900" s="1" t="str">
        <f>"35768"</f>
        <v>35768</v>
      </c>
      <c r="C32900" s="2">
        <v>0.21062853107344601</v>
      </c>
      <c r="D32900" s="2">
        <v>0.50253036437246901</v>
      </c>
      <c r="E32900" s="2">
        <v>0.34482758620689602</v>
      </c>
      <c r="F32900" s="2">
        <v>0.231082711179212</v>
      </c>
    </row>
    <row r="32901" spans="1:6" x14ac:dyDescent="0.25">
      <c r="A32901" s="1" t="str">
        <f t="shared" ref="A32901:A32908" si="1173">"42500"</f>
        <v>42500</v>
      </c>
      <c r="B32901" s="1" t="str">
        <f>"47230"</f>
        <v>47230</v>
      </c>
      <c r="C32901" s="2">
        <v>1.2016718913270601E-2</v>
      </c>
      <c r="D32901" s="2">
        <v>2.4844720496894398E-3</v>
      </c>
      <c r="E32901" s="2">
        <v>0</v>
      </c>
      <c r="F32901" s="2">
        <v>1.09246976199765E-2</v>
      </c>
    </row>
    <row r="32902" spans="1:6" x14ac:dyDescent="0.25">
      <c r="A32902" s="1" t="str">
        <f t="shared" si="1173"/>
        <v>42500</v>
      </c>
      <c r="B32902" s="1" t="str">
        <f>"47177"</f>
        <v>47177</v>
      </c>
      <c r="C32902" s="2">
        <v>2.7951933124346899E-2</v>
      </c>
      <c r="D32902" s="2">
        <v>7.4534161490683202E-3</v>
      </c>
      <c r="E32902" s="2">
        <v>1.7110266159695801E-2</v>
      </c>
      <c r="F32902" s="2">
        <v>2.6219274287943801E-2</v>
      </c>
    </row>
    <row r="32903" spans="1:6" x14ac:dyDescent="0.25">
      <c r="A32903" s="1" t="str">
        <f t="shared" si="1173"/>
        <v>42500</v>
      </c>
      <c r="B32903" s="1" t="str">
        <f>"47170"</f>
        <v>47170</v>
      </c>
      <c r="C32903" s="2">
        <v>0.5716649251132</v>
      </c>
      <c r="D32903" s="2">
        <v>0.76397515527950299</v>
      </c>
      <c r="E32903" s="2">
        <v>0.61406844106463798</v>
      </c>
      <c r="F32903" s="2">
        <v>0.58548575887631604</v>
      </c>
    </row>
    <row r="32904" spans="1:6" x14ac:dyDescent="0.25">
      <c r="A32904" s="1" t="str">
        <f t="shared" si="1173"/>
        <v>42500</v>
      </c>
      <c r="B32904" s="1" t="str">
        <f>"47138"</f>
        <v>47138</v>
      </c>
      <c r="C32904" s="2">
        <v>0.10806339254615099</v>
      </c>
      <c r="D32904" s="2">
        <v>2.4844720496894401E-2</v>
      </c>
      <c r="E32904" s="2">
        <v>7.7946768060836502E-2</v>
      </c>
      <c r="F32904" s="2">
        <v>0.101599687865782</v>
      </c>
    </row>
    <row r="32905" spans="1:6" x14ac:dyDescent="0.25">
      <c r="A32905" s="1" t="str">
        <f t="shared" si="1173"/>
        <v>42500</v>
      </c>
      <c r="B32905" s="1" t="str">
        <f>"47147"</f>
        <v>47147</v>
      </c>
      <c r="C32905" s="2">
        <v>8.6206896551724102E-3</v>
      </c>
      <c r="D32905" s="2">
        <v>8.6956521739130401E-3</v>
      </c>
      <c r="E32905" s="2">
        <v>3.8022813688212902E-3</v>
      </c>
      <c r="F32905" s="2">
        <v>8.42762387826765E-3</v>
      </c>
    </row>
    <row r="32906" spans="1:6" x14ac:dyDescent="0.25">
      <c r="A32906" s="1" t="str">
        <f t="shared" si="1173"/>
        <v>42500</v>
      </c>
      <c r="B32906" s="1" t="str">
        <f>"47126"</f>
        <v>47126</v>
      </c>
      <c r="C32906" s="2">
        <v>7.8369905956112795E-4</v>
      </c>
      <c r="D32906" s="2">
        <v>0</v>
      </c>
      <c r="E32906" s="2">
        <v>0</v>
      </c>
      <c r="F32906" s="2">
        <v>7.0230198985563703E-4</v>
      </c>
    </row>
    <row r="32907" spans="1:6" x14ac:dyDescent="0.25">
      <c r="A32907" s="1" t="str">
        <f t="shared" si="1173"/>
        <v>42500</v>
      </c>
      <c r="B32907" s="1" t="str">
        <f>"47141"</f>
        <v>47141</v>
      </c>
      <c r="C32907" s="2">
        <v>1.6544757924068199E-3</v>
      </c>
      <c r="D32907" s="2">
        <v>0</v>
      </c>
      <c r="E32907" s="2">
        <v>0</v>
      </c>
      <c r="F32907" s="2">
        <v>1.4826375341396799E-3</v>
      </c>
    </row>
    <row r="32908" spans="1:6" x14ac:dyDescent="0.25">
      <c r="A32908" s="1" t="str">
        <f t="shared" si="1173"/>
        <v>42500</v>
      </c>
      <c r="B32908" s="1" t="str">
        <f>"47102"</f>
        <v>47102</v>
      </c>
      <c r="C32908" s="2">
        <v>0.269244165795889</v>
      </c>
      <c r="D32908" s="2">
        <v>0.19254658385093101</v>
      </c>
      <c r="E32908" s="2">
        <v>0.28707224334600701</v>
      </c>
      <c r="F32908" s="2">
        <v>0.26515801794771698</v>
      </c>
    </row>
    <row r="32909" spans="1:6" x14ac:dyDescent="0.25">
      <c r="A32909" s="1" t="str">
        <f t="shared" ref="A32909:A32940" si="1174">"42540"</f>
        <v>42540</v>
      </c>
      <c r="B32909" s="1" t="str">
        <f>"18641"</f>
        <v>18641</v>
      </c>
      <c r="C32909" s="2">
        <v>1.2314675165760699E-2</v>
      </c>
      <c r="D32909" s="2">
        <v>1.01769911504424E-2</v>
      </c>
      <c r="E32909" s="2">
        <v>1.28615127919911E-2</v>
      </c>
      <c r="F32909" s="2">
        <v>1.21733484823892E-2</v>
      </c>
    </row>
    <row r="32910" spans="1:6" x14ac:dyDescent="0.25">
      <c r="A32910" s="1" t="str">
        <f t="shared" si="1174"/>
        <v>42540</v>
      </c>
      <c r="B32910" s="1" t="str">
        <f>"18201"</f>
        <v>18201</v>
      </c>
      <c r="C32910" s="2">
        <v>4.4470846020318103E-2</v>
      </c>
      <c r="D32910" s="2">
        <v>5.7079646017699097E-2</v>
      </c>
      <c r="E32910" s="2">
        <v>6.0761957730812E-2</v>
      </c>
      <c r="F32910" s="2">
        <v>4.6180689947935498E-2</v>
      </c>
    </row>
    <row r="32911" spans="1:6" x14ac:dyDescent="0.25">
      <c r="A32911" s="1" t="str">
        <f t="shared" si="1174"/>
        <v>42540</v>
      </c>
      <c r="B32911" s="1" t="str">
        <f>"18655"</f>
        <v>18655</v>
      </c>
      <c r="C32911" s="2">
        <v>1.05076691044648E-2</v>
      </c>
      <c r="D32911" s="2">
        <v>4.6661303298471402E-3</v>
      </c>
      <c r="E32911" s="2">
        <v>3.9627363737486003E-3</v>
      </c>
      <c r="F32911" s="2">
        <v>9.7605283857515601E-3</v>
      </c>
    </row>
    <row r="32912" spans="1:6" x14ac:dyDescent="0.25">
      <c r="A32912" s="1" t="str">
        <f t="shared" si="1174"/>
        <v>42540</v>
      </c>
      <c r="B32912" s="1" t="str">
        <f>"18622"</f>
        <v>18622</v>
      </c>
      <c r="C32912" s="2">
        <v>3.1302467203551401E-4</v>
      </c>
      <c r="D32912" s="2">
        <v>4.0225261464199503E-5</v>
      </c>
      <c r="E32912" s="2">
        <v>0</v>
      </c>
      <c r="F32912" s="2">
        <v>2.7780205511093302E-4</v>
      </c>
    </row>
    <row r="32913" spans="1:6" x14ac:dyDescent="0.25">
      <c r="A32913" s="1" t="str">
        <f t="shared" si="1174"/>
        <v>42540</v>
      </c>
      <c r="B32913" s="1" t="str">
        <f>"18434"</f>
        <v>18434</v>
      </c>
      <c r="C32913" s="2">
        <v>7.2956091175549898E-3</v>
      </c>
      <c r="D32913" s="2">
        <v>7.4416733708769101E-3</v>
      </c>
      <c r="E32913" s="2">
        <v>7.2997775305895397E-3</v>
      </c>
      <c r="F32913" s="2">
        <v>7.3071304608392697E-3</v>
      </c>
    </row>
    <row r="32914" spans="1:6" x14ac:dyDescent="0.25">
      <c r="A32914" s="1" t="str">
        <f t="shared" si="1174"/>
        <v>42540</v>
      </c>
      <c r="B32914" s="1" t="str">
        <f>"18452"</f>
        <v>18452</v>
      </c>
      <c r="C32914" s="2">
        <v>8.4516661449588696E-3</v>
      </c>
      <c r="D32914" s="2">
        <v>8.5277554304102905E-3</v>
      </c>
      <c r="E32914" s="2">
        <v>1.1262513904338099E-2</v>
      </c>
      <c r="F32914" s="2">
        <v>8.5837713657872707E-3</v>
      </c>
    </row>
    <row r="32915" spans="1:6" x14ac:dyDescent="0.25">
      <c r="A32915" s="1" t="str">
        <f t="shared" si="1174"/>
        <v>42540</v>
      </c>
      <c r="B32915" s="1" t="str">
        <f>"18507"</f>
        <v>18507</v>
      </c>
      <c r="C32915" s="2">
        <v>8.9069747588287097E-3</v>
      </c>
      <c r="D32915" s="2">
        <v>1.4843121480289601E-2</v>
      </c>
      <c r="E32915" s="2">
        <v>8.75973303670745E-3</v>
      </c>
      <c r="F32915" s="2">
        <v>9.3609928458167294E-3</v>
      </c>
    </row>
    <row r="32916" spans="1:6" x14ac:dyDescent="0.25">
      <c r="A32916" s="1" t="str">
        <f t="shared" si="1174"/>
        <v>42540</v>
      </c>
      <c r="B32916" s="1" t="str">
        <f>"18707"</f>
        <v>18707</v>
      </c>
      <c r="C32916" s="2">
        <v>2.4359010842036299E-2</v>
      </c>
      <c r="D32916" s="2">
        <v>1.4883346741753799E-2</v>
      </c>
      <c r="E32916" s="2">
        <v>3.7541713014460501E-3</v>
      </c>
      <c r="F32916" s="2">
        <v>2.26986128625472E-2</v>
      </c>
    </row>
    <row r="32917" spans="1:6" x14ac:dyDescent="0.25">
      <c r="A32917" s="1" t="str">
        <f t="shared" si="1174"/>
        <v>42540</v>
      </c>
      <c r="B32917" s="1" t="str">
        <f>"17815"</f>
        <v>17815</v>
      </c>
      <c r="C32917" s="2">
        <v>4.8732250078256098E-4</v>
      </c>
      <c r="D32917" s="2">
        <v>2.81576830249396E-4</v>
      </c>
      <c r="E32917" s="2">
        <v>0</v>
      </c>
      <c r="F32917" s="2">
        <v>4.4947748242667803E-4</v>
      </c>
    </row>
    <row r="32918" spans="1:6" x14ac:dyDescent="0.25">
      <c r="A32918" s="1" t="str">
        <f t="shared" si="1174"/>
        <v>42540</v>
      </c>
      <c r="B32918" s="1" t="str">
        <f>"18472"</f>
        <v>18472</v>
      </c>
      <c r="C32918" s="2">
        <v>1.06712956375743E-5</v>
      </c>
      <c r="D32918" s="2">
        <v>0</v>
      </c>
      <c r="E32918" s="2">
        <v>6.9521690767519398E-5</v>
      </c>
      <c r="F32918" s="2">
        <v>1.24854856229633E-5</v>
      </c>
    </row>
    <row r="32919" spans="1:6" x14ac:dyDescent="0.25">
      <c r="A32919" s="1" t="str">
        <f t="shared" si="1174"/>
        <v>42540</v>
      </c>
      <c r="B32919" s="1" t="str">
        <f>"18601"</f>
        <v>18601</v>
      </c>
      <c r="C32919" s="2">
        <v>0</v>
      </c>
      <c r="D32919" s="2">
        <v>4.0225261464199503E-5</v>
      </c>
      <c r="E32919" s="2">
        <v>0</v>
      </c>
      <c r="F32919" s="2">
        <v>3.1213714057408199E-6</v>
      </c>
    </row>
    <row r="32920" spans="1:6" x14ac:dyDescent="0.25">
      <c r="A32920" s="1" t="str">
        <f t="shared" si="1174"/>
        <v>42540</v>
      </c>
      <c r="B32920" s="1" t="str">
        <f>"18610"</f>
        <v>18610</v>
      </c>
      <c r="C32920" s="2">
        <v>3.2013886912722999E-5</v>
      </c>
      <c r="D32920" s="2">
        <v>0</v>
      </c>
      <c r="E32920" s="2">
        <v>0</v>
      </c>
      <c r="F32920" s="2">
        <v>2.80923426516674E-5</v>
      </c>
    </row>
    <row r="32921" spans="1:6" x14ac:dyDescent="0.25">
      <c r="A32921" s="1" t="str">
        <f t="shared" si="1174"/>
        <v>42540</v>
      </c>
      <c r="B32921" s="1" t="str">
        <f>"18410"</f>
        <v>18410</v>
      </c>
      <c r="C32921" s="2">
        <v>1.30901226487578E-3</v>
      </c>
      <c r="D32921" s="2">
        <v>3.8616251005631499E-3</v>
      </c>
      <c r="E32921" s="2">
        <v>6.9521690767519398E-5</v>
      </c>
      <c r="F32921" s="2">
        <v>1.45143770366948E-3</v>
      </c>
    </row>
    <row r="32922" spans="1:6" x14ac:dyDescent="0.25">
      <c r="A32922" s="1" t="str">
        <f t="shared" si="1174"/>
        <v>42540</v>
      </c>
      <c r="B32922" s="1" t="str">
        <f>"18416"</f>
        <v>18416</v>
      </c>
      <c r="C32922" s="2">
        <v>0</v>
      </c>
      <c r="D32922" s="2">
        <v>4.0225261464199503E-5</v>
      </c>
      <c r="E32922" s="2">
        <v>0</v>
      </c>
      <c r="F32922" s="2">
        <v>3.1213714057408199E-6</v>
      </c>
    </row>
    <row r="32923" spans="1:6" x14ac:dyDescent="0.25">
      <c r="A32923" s="1" t="str">
        <f t="shared" si="1174"/>
        <v>42540</v>
      </c>
      <c r="B32923" s="1" t="str">
        <f>"17985"</f>
        <v>17985</v>
      </c>
      <c r="C32923" s="2">
        <v>3.5570985458581099E-6</v>
      </c>
      <c r="D32923" s="2">
        <v>0</v>
      </c>
      <c r="E32923" s="2">
        <v>0</v>
      </c>
      <c r="F32923" s="2">
        <v>3.1213714057408199E-6</v>
      </c>
    </row>
    <row r="32924" spans="1:6" x14ac:dyDescent="0.25">
      <c r="A32924" s="1" t="str">
        <f t="shared" si="1174"/>
        <v>42540</v>
      </c>
      <c r="B32924" s="1" t="str">
        <f>"18654"</f>
        <v>18654</v>
      </c>
      <c r="C32924" s="2">
        <v>0</v>
      </c>
      <c r="D32924" s="2">
        <v>4.0225261464199503E-5</v>
      </c>
      <c r="E32924" s="2">
        <v>0</v>
      </c>
      <c r="F32924" s="2">
        <v>3.1213714057408199E-6</v>
      </c>
    </row>
    <row r="32925" spans="1:6" x14ac:dyDescent="0.25">
      <c r="A32925" s="1" t="str">
        <f t="shared" si="1174"/>
        <v>42540</v>
      </c>
      <c r="B32925" s="1" t="str">
        <f>"18503"</f>
        <v>18503</v>
      </c>
      <c r="C32925" s="2">
        <v>3.4895136734868098E-3</v>
      </c>
      <c r="D32925" s="2">
        <v>3.9702333065164901E-2</v>
      </c>
      <c r="E32925" s="2">
        <v>1.32091212458286E-2</v>
      </c>
      <c r="F32925" s="2">
        <v>6.7359194935887002E-3</v>
      </c>
    </row>
    <row r="32926" spans="1:6" x14ac:dyDescent="0.25">
      <c r="A32926" s="1" t="str">
        <f t="shared" si="1174"/>
        <v>42540</v>
      </c>
      <c r="B32926" s="1" t="str">
        <f>"18710"</f>
        <v>18710</v>
      </c>
      <c r="C32926" s="2">
        <v>1.77854927292905E-4</v>
      </c>
      <c r="D32926" s="2">
        <v>2.41351568785197E-4</v>
      </c>
      <c r="E32926" s="2">
        <v>6.9521690767519398E-5</v>
      </c>
      <c r="F32926" s="2">
        <v>1.77918170127227E-4</v>
      </c>
    </row>
    <row r="32927" spans="1:6" x14ac:dyDescent="0.25">
      <c r="A32927" s="1" t="str">
        <f t="shared" si="1174"/>
        <v>42540</v>
      </c>
      <c r="B32927" s="1" t="str">
        <f>"18222"</f>
        <v>18222</v>
      </c>
      <c r="C32927" s="2">
        <v>1.5704590079963499E-2</v>
      </c>
      <c r="D32927" s="2">
        <v>5.8728881737731197E-3</v>
      </c>
      <c r="E32927" s="2">
        <v>1.73804226918798E-3</v>
      </c>
      <c r="F32927" s="2">
        <v>1.43146092667274E-2</v>
      </c>
    </row>
    <row r="32928" spans="1:6" x14ac:dyDescent="0.25">
      <c r="A32928" s="1" t="str">
        <f t="shared" si="1174"/>
        <v>42540</v>
      </c>
      <c r="B32928" s="1" t="str">
        <f>"18701"</f>
        <v>18701</v>
      </c>
      <c r="C32928" s="2">
        <v>6.7833869269514199E-3</v>
      </c>
      <c r="D32928" s="2">
        <v>3.2904263877715202E-2</v>
      </c>
      <c r="E32928" s="2">
        <v>2.1968854282536102E-2</v>
      </c>
      <c r="F32928" s="2">
        <v>9.4920904448578501E-3</v>
      </c>
    </row>
    <row r="32929" spans="1:6" x14ac:dyDescent="0.25">
      <c r="A32929" s="1" t="str">
        <f t="shared" si="1174"/>
        <v>42540</v>
      </c>
      <c r="B32929" s="1" t="str">
        <f>"18656"</f>
        <v>18656</v>
      </c>
      <c r="C32929" s="2">
        <v>3.7100537833300098E-3</v>
      </c>
      <c r="D32929" s="2">
        <v>1.3274336283185799E-3</v>
      </c>
      <c r="E32929" s="2">
        <v>7.6473859844271405E-4</v>
      </c>
      <c r="F32929" s="2">
        <v>3.3929307180402702E-3</v>
      </c>
    </row>
    <row r="32930" spans="1:6" x14ac:dyDescent="0.25">
      <c r="A32930" s="1" t="str">
        <f t="shared" si="1174"/>
        <v>42540</v>
      </c>
      <c r="B32930" s="1" t="str">
        <f>"18519"</f>
        <v>18519</v>
      </c>
      <c r="C32930" s="2">
        <v>9.2128852337725105E-3</v>
      </c>
      <c r="D32930" s="2">
        <v>1.3113435237329E-2</v>
      </c>
      <c r="E32930" s="2">
        <v>1.16796440489432E-2</v>
      </c>
      <c r="F32930" s="2">
        <v>9.6263094153046999E-3</v>
      </c>
    </row>
    <row r="32931" spans="1:6" x14ac:dyDescent="0.25">
      <c r="A32931" s="1" t="str">
        <f t="shared" si="1174"/>
        <v>42540</v>
      </c>
      <c r="B32931" s="1" t="str">
        <f>"18411"</f>
        <v>18411</v>
      </c>
      <c r="C32931" s="2">
        <v>3.68657693292734E-2</v>
      </c>
      <c r="D32931" s="2">
        <v>3.45937248592115E-2</v>
      </c>
      <c r="E32931" s="2">
        <v>2.1204115684093399E-2</v>
      </c>
      <c r="F32931" s="2">
        <v>3.5986290936785903E-2</v>
      </c>
    </row>
    <row r="32932" spans="1:6" x14ac:dyDescent="0.25">
      <c r="A32932" s="1" t="str">
        <f t="shared" si="1174"/>
        <v>42540</v>
      </c>
      <c r="B32932" s="1" t="str">
        <f>"18225"</f>
        <v>18225</v>
      </c>
      <c r="C32932" s="2">
        <v>0</v>
      </c>
      <c r="D32932" s="2">
        <v>4.0225261464199503E-5</v>
      </c>
      <c r="E32932" s="2">
        <v>0</v>
      </c>
      <c r="F32932" s="2">
        <v>3.1213714057408199E-6</v>
      </c>
    </row>
    <row r="32933" spans="1:6" x14ac:dyDescent="0.25">
      <c r="A32933" s="1" t="str">
        <f t="shared" si="1174"/>
        <v>42540</v>
      </c>
      <c r="B32933" s="1" t="str">
        <f>"18251"</f>
        <v>18251</v>
      </c>
      <c r="C32933" s="2">
        <v>0</v>
      </c>
      <c r="D32933" s="2">
        <v>4.0225261464199503E-5</v>
      </c>
      <c r="E32933" s="2">
        <v>0</v>
      </c>
      <c r="F32933" s="2">
        <v>3.1213714057408199E-6</v>
      </c>
    </row>
    <row r="32934" spans="1:6" x14ac:dyDescent="0.25">
      <c r="A32934" s="1" t="str">
        <f t="shared" si="1174"/>
        <v>42540</v>
      </c>
      <c r="B32934" s="1" t="str">
        <f>"18627"</f>
        <v>18627</v>
      </c>
      <c r="C32934" s="2">
        <v>0</v>
      </c>
      <c r="D32934" s="2">
        <v>4.0225261464199503E-5</v>
      </c>
      <c r="E32934" s="2">
        <v>0</v>
      </c>
      <c r="F32934" s="2">
        <v>3.1213714057408199E-6</v>
      </c>
    </row>
    <row r="32935" spans="1:6" x14ac:dyDescent="0.25">
      <c r="A32935" s="1" t="str">
        <f t="shared" si="1174"/>
        <v>42540</v>
      </c>
      <c r="B32935" s="1" t="str">
        <f>"18625"</f>
        <v>18625</v>
      </c>
      <c r="C32935" s="2">
        <v>1.35881164451779E-3</v>
      </c>
      <c r="D32935" s="2">
        <v>1.28720836685438E-3</v>
      </c>
      <c r="E32935" s="2">
        <v>6.9521690767519398E-5</v>
      </c>
      <c r="F32935" s="2">
        <v>1.2953691333824401E-3</v>
      </c>
    </row>
    <row r="32936" spans="1:6" x14ac:dyDescent="0.25">
      <c r="A32936" s="1" t="str">
        <f t="shared" si="1174"/>
        <v>42540</v>
      </c>
      <c r="B32936" s="1" t="str">
        <f>"18515"</f>
        <v>18515</v>
      </c>
      <c r="C32936" s="2">
        <v>0</v>
      </c>
      <c r="D32936" s="2">
        <v>4.0225261464199503E-5</v>
      </c>
      <c r="E32936" s="2">
        <v>2.08565072302558E-4</v>
      </c>
      <c r="F32936" s="2">
        <v>1.24854856229633E-5</v>
      </c>
    </row>
    <row r="32937" spans="1:6" x14ac:dyDescent="0.25">
      <c r="A32937" s="1" t="str">
        <f t="shared" si="1174"/>
        <v>42540</v>
      </c>
      <c r="B32937" s="1" t="str">
        <f>"18440"</f>
        <v>18440</v>
      </c>
      <c r="C32937" s="2">
        <v>0</v>
      </c>
      <c r="D32937" s="2">
        <v>4.0225261464199503E-5</v>
      </c>
      <c r="E32937" s="2">
        <v>6.9521690767519398E-5</v>
      </c>
      <c r="F32937" s="2">
        <v>6.24274281148165E-6</v>
      </c>
    </row>
    <row r="32938" spans="1:6" x14ac:dyDescent="0.25">
      <c r="A32938" s="1" t="str">
        <f t="shared" si="1174"/>
        <v>42540</v>
      </c>
      <c r="B32938" s="1" t="str">
        <f>"18611"</f>
        <v>18611</v>
      </c>
      <c r="C32938" s="2">
        <v>0</v>
      </c>
      <c r="D32938" s="2">
        <v>4.0225261464199503E-5</v>
      </c>
      <c r="E32938" s="2">
        <v>0</v>
      </c>
      <c r="F32938" s="2">
        <v>3.1213714057408199E-6</v>
      </c>
    </row>
    <row r="32939" spans="1:6" x14ac:dyDescent="0.25">
      <c r="A32939" s="1" t="str">
        <f t="shared" si="1174"/>
        <v>42540</v>
      </c>
      <c r="B32939" s="1" t="str">
        <f>"18436"</f>
        <v>18436</v>
      </c>
      <c r="C32939" s="2">
        <v>5.8158561224780098E-3</v>
      </c>
      <c r="D32939" s="2">
        <v>1.48833467417538E-3</v>
      </c>
      <c r="E32939" s="2">
        <v>8.3426028921023299E-4</v>
      </c>
      <c r="F32939" s="2">
        <v>5.2563894472675496E-3</v>
      </c>
    </row>
    <row r="32940" spans="1:6" x14ac:dyDescent="0.25">
      <c r="A32940" s="1" t="str">
        <f t="shared" si="1174"/>
        <v>42540</v>
      </c>
      <c r="B32940" s="1" t="str">
        <f>"18223"</f>
        <v>18223</v>
      </c>
      <c r="C32940" s="2">
        <v>0</v>
      </c>
      <c r="D32940" s="2">
        <v>4.0225261464199503E-5</v>
      </c>
      <c r="E32940" s="2">
        <v>0</v>
      </c>
      <c r="F32940" s="2">
        <v>3.1213714057408199E-6</v>
      </c>
    </row>
    <row r="32941" spans="1:6" x14ac:dyDescent="0.25">
      <c r="A32941" s="1" t="str">
        <f t="shared" ref="A32941:A32972" si="1175">"42540"</f>
        <v>42540</v>
      </c>
      <c r="B32941" s="1" t="str">
        <f>"18702"</f>
        <v>18702</v>
      </c>
      <c r="C32941" s="2">
        <v>7.1479895279018796E-2</v>
      </c>
      <c r="D32941" s="2">
        <v>8.9460981496379696E-2</v>
      </c>
      <c r="E32941" s="2">
        <v>7.3345383759732999E-2</v>
      </c>
      <c r="F32941" s="2">
        <v>7.2958935237786002E-2</v>
      </c>
    </row>
    <row r="32942" spans="1:6" x14ac:dyDescent="0.25">
      <c r="A32942" s="1" t="str">
        <f t="shared" si="1175"/>
        <v>42540</v>
      </c>
      <c r="B32942" s="1" t="str">
        <f>"18634"</f>
        <v>18634</v>
      </c>
      <c r="C32942" s="2">
        <v>2.5909905808030501E-2</v>
      </c>
      <c r="D32942" s="2">
        <v>1.43604183427192E-2</v>
      </c>
      <c r="E32942" s="2">
        <v>2.6209677419354802E-2</v>
      </c>
      <c r="F32942" s="2">
        <v>2.5027155931229901E-2</v>
      </c>
    </row>
    <row r="32943" spans="1:6" x14ac:dyDescent="0.25">
      <c r="A32943" s="1" t="str">
        <f t="shared" si="1175"/>
        <v>42540</v>
      </c>
      <c r="B32943" s="1" t="str">
        <f>"18642"</f>
        <v>18642</v>
      </c>
      <c r="C32943" s="2">
        <v>8.2844825133035396E-3</v>
      </c>
      <c r="D32943" s="2">
        <v>4.8672566371681398E-3</v>
      </c>
      <c r="E32943" s="2">
        <v>4.7969966629588402E-3</v>
      </c>
      <c r="F32943" s="2">
        <v>7.8627345710611408E-3</v>
      </c>
    </row>
    <row r="32944" spans="1:6" x14ac:dyDescent="0.25">
      <c r="A32944" s="1" t="str">
        <f t="shared" si="1175"/>
        <v>42540</v>
      </c>
      <c r="B32944" s="1" t="str">
        <f>"18660"</f>
        <v>18660</v>
      </c>
      <c r="C32944" s="2">
        <v>5.96525426140405E-3</v>
      </c>
      <c r="D32944" s="2">
        <v>1.7699115044247701E-3</v>
      </c>
      <c r="E32944" s="2">
        <v>4.1713014460511601E-4</v>
      </c>
      <c r="F32944" s="2">
        <v>5.3906084177144003E-3</v>
      </c>
    </row>
    <row r="32945" spans="1:6" x14ac:dyDescent="0.25">
      <c r="A32945" s="1" t="str">
        <f t="shared" si="1175"/>
        <v>42540</v>
      </c>
      <c r="B32945" s="1" t="str">
        <f>"18623"</f>
        <v>18623</v>
      </c>
      <c r="C32945" s="2">
        <v>2.1911727042485899E-3</v>
      </c>
      <c r="D32945" s="2">
        <v>1.1665325824617801E-3</v>
      </c>
      <c r="E32945" s="2">
        <v>1.3209121245828599E-3</v>
      </c>
      <c r="F32945" s="2">
        <v>2.0725906134118999E-3</v>
      </c>
    </row>
    <row r="32946" spans="1:6" x14ac:dyDescent="0.25">
      <c r="A32946" s="1" t="str">
        <f t="shared" si="1175"/>
        <v>42540</v>
      </c>
      <c r="B32946" s="1" t="str">
        <f>"18421"</f>
        <v>18421</v>
      </c>
      <c r="C32946" s="2">
        <v>1.85324834239207E-3</v>
      </c>
      <c r="D32946" s="2">
        <v>1.48833467417538E-3</v>
      </c>
      <c r="E32946" s="2">
        <v>1.5294771968854201E-3</v>
      </c>
      <c r="F32946" s="2">
        <v>1.81039541532967E-3</v>
      </c>
    </row>
    <row r="32947" spans="1:6" x14ac:dyDescent="0.25">
      <c r="A32947" s="1" t="str">
        <f t="shared" si="1175"/>
        <v>42540</v>
      </c>
      <c r="B32947" s="1" t="str">
        <f>"18612"</f>
        <v>18612</v>
      </c>
      <c r="C32947" s="2">
        <v>2.7752482854785002E-2</v>
      </c>
      <c r="D32947" s="2">
        <v>2.3008849557522099E-2</v>
      </c>
      <c r="E32947" s="2">
        <v>1.03587319243604E-2</v>
      </c>
      <c r="F32947" s="2">
        <v>2.6603448491129E-2</v>
      </c>
    </row>
    <row r="32948" spans="1:6" x14ac:dyDescent="0.25">
      <c r="A32948" s="1" t="str">
        <f t="shared" si="1175"/>
        <v>42540</v>
      </c>
      <c r="B32948" s="1" t="str">
        <f>"18510"</f>
        <v>18510</v>
      </c>
      <c r="C32948" s="2">
        <v>2.13497054722404E-2</v>
      </c>
      <c r="D32948" s="2">
        <v>1.52855993563958E-2</v>
      </c>
      <c r="E32948" s="2">
        <v>5.2141268075639499E-2</v>
      </c>
      <c r="F32948" s="2">
        <v>2.2261620865743501E-2</v>
      </c>
    </row>
    <row r="32949" spans="1:6" x14ac:dyDescent="0.25">
      <c r="A32949" s="1" t="str">
        <f t="shared" si="1175"/>
        <v>42540</v>
      </c>
      <c r="B32949" s="1" t="str">
        <f>"18603"</f>
        <v>18603</v>
      </c>
      <c r="C32949" s="2">
        <v>6.1573375828803904E-3</v>
      </c>
      <c r="D32949" s="2">
        <v>2.4537409493161702E-3</v>
      </c>
      <c r="E32949" s="2">
        <v>1.4599555061179E-3</v>
      </c>
      <c r="F32949" s="2">
        <v>5.6590463586081103E-3</v>
      </c>
    </row>
    <row r="32950" spans="1:6" x14ac:dyDescent="0.25">
      <c r="A32950" s="1" t="str">
        <f t="shared" si="1175"/>
        <v>42540</v>
      </c>
      <c r="B32950" s="1" t="str">
        <f>"18704"</f>
        <v>18704</v>
      </c>
      <c r="C32950" s="2">
        <v>5.7440027318516801E-2</v>
      </c>
      <c r="D32950" s="2">
        <v>7.2284794851166498E-2</v>
      </c>
      <c r="E32950" s="2">
        <v>6.9452169076751905E-2</v>
      </c>
      <c r="F32950" s="2">
        <v>5.91312599103542E-2</v>
      </c>
    </row>
    <row r="32951" spans="1:6" x14ac:dyDescent="0.25">
      <c r="A32951" s="1" t="str">
        <f t="shared" si="1175"/>
        <v>42540</v>
      </c>
      <c r="B32951" s="1" t="str">
        <f>"18766"</f>
        <v>18766</v>
      </c>
      <c r="C32951" s="2">
        <v>0</v>
      </c>
      <c r="D32951" s="2">
        <v>1.20675784392598E-4</v>
      </c>
      <c r="E32951" s="2">
        <v>0</v>
      </c>
      <c r="F32951" s="2">
        <v>9.3641142172224707E-6</v>
      </c>
    </row>
    <row r="32952" spans="1:6" x14ac:dyDescent="0.25">
      <c r="A32952" s="1" t="str">
        <f t="shared" si="1175"/>
        <v>42540</v>
      </c>
      <c r="B32952" s="1" t="str">
        <f>"18540"</f>
        <v>18540</v>
      </c>
      <c r="C32952" s="2">
        <v>0</v>
      </c>
      <c r="D32952" s="2">
        <v>0</v>
      </c>
      <c r="E32952" s="2">
        <v>6.9521690767519398E-5</v>
      </c>
      <c r="F32952" s="2">
        <v>3.1213714057408199E-6</v>
      </c>
    </row>
    <row r="32953" spans="1:6" x14ac:dyDescent="0.25">
      <c r="A32953" s="1" t="str">
        <f t="shared" si="1175"/>
        <v>42540</v>
      </c>
      <c r="B32953" s="1" t="str">
        <f>"18256"</f>
        <v>18256</v>
      </c>
      <c r="C32953" s="2">
        <v>0</v>
      </c>
      <c r="D32953" s="2">
        <v>4.0225261464199503E-5</v>
      </c>
      <c r="E32953" s="2">
        <v>0</v>
      </c>
      <c r="F32953" s="2">
        <v>3.1213714057408199E-6</v>
      </c>
    </row>
    <row r="32954" spans="1:6" x14ac:dyDescent="0.25">
      <c r="A32954" s="1" t="str">
        <f t="shared" si="1175"/>
        <v>42540</v>
      </c>
      <c r="B32954" s="1" t="str">
        <f>"18614"</f>
        <v>18614</v>
      </c>
      <c r="C32954" s="2">
        <v>7.8256168008878502E-5</v>
      </c>
      <c r="D32954" s="2">
        <v>0</v>
      </c>
      <c r="E32954" s="2">
        <v>0</v>
      </c>
      <c r="F32954" s="2">
        <v>6.8670170926298104E-5</v>
      </c>
    </row>
    <row r="32955" spans="1:6" x14ac:dyDescent="0.25">
      <c r="A32955" s="1" t="str">
        <f t="shared" si="1175"/>
        <v>42540</v>
      </c>
      <c r="B32955" s="1" t="str">
        <f>"18651"</f>
        <v>18651</v>
      </c>
      <c r="C32955" s="2">
        <v>1.72625992430494E-2</v>
      </c>
      <c r="D32955" s="2">
        <v>1.19871279163314E-2</v>
      </c>
      <c r="E32955" s="2">
        <v>1.03587319243604E-2</v>
      </c>
      <c r="F32955" s="2">
        <v>1.65432684504263E-2</v>
      </c>
    </row>
    <row r="32956" spans="1:6" x14ac:dyDescent="0.25">
      <c r="A32956" s="1" t="str">
        <f t="shared" si="1175"/>
        <v>42540</v>
      </c>
      <c r="B32956" s="1" t="str">
        <f>"18424"</f>
        <v>18424</v>
      </c>
      <c r="C32956" s="2">
        <v>5.9154548817620398E-3</v>
      </c>
      <c r="D32956" s="2">
        <v>2.3330651649235701E-3</v>
      </c>
      <c r="E32956" s="2">
        <v>1.04282536151279E-3</v>
      </c>
      <c r="F32956" s="2">
        <v>5.4187007603660698E-3</v>
      </c>
    </row>
    <row r="32957" spans="1:6" x14ac:dyDescent="0.25">
      <c r="A32957" s="1" t="str">
        <f t="shared" si="1175"/>
        <v>42540</v>
      </c>
      <c r="B32957" s="1" t="str">
        <f>"18446"</f>
        <v>18446</v>
      </c>
      <c r="C32957" s="2">
        <v>3.0306479610711099E-3</v>
      </c>
      <c r="D32957" s="2">
        <v>9.2518101367658804E-4</v>
      </c>
      <c r="E32957" s="2">
        <v>9.7330367074527195E-4</v>
      </c>
      <c r="F32957" s="2">
        <v>2.7748991797035901E-3</v>
      </c>
    </row>
    <row r="32958" spans="1:6" x14ac:dyDescent="0.25">
      <c r="A32958" s="1" t="str">
        <f t="shared" si="1175"/>
        <v>42540</v>
      </c>
      <c r="B32958" s="1" t="str">
        <f>"18615"</f>
        <v>18615</v>
      </c>
      <c r="C32958" s="2">
        <v>2.94527759597051E-3</v>
      </c>
      <c r="D32958" s="2">
        <v>2.2928399034593699E-3</v>
      </c>
      <c r="E32958" s="2">
        <v>1.39043381535038E-3</v>
      </c>
      <c r="F32958" s="2">
        <v>2.8248411221954402E-3</v>
      </c>
    </row>
    <row r="32959" spans="1:6" x14ac:dyDescent="0.25">
      <c r="A32959" s="1" t="str">
        <f t="shared" si="1175"/>
        <v>42540</v>
      </c>
      <c r="B32959" s="1" t="str">
        <f>"18509"</f>
        <v>18509</v>
      </c>
      <c r="C32959" s="2">
        <v>2.1965083520673799E-2</v>
      </c>
      <c r="D32959" s="2">
        <v>2.7312952534191401E-2</v>
      </c>
      <c r="E32959" s="2">
        <v>4.7622358175750799E-2</v>
      </c>
      <c r="F32959" s="2">
        <v>2.3532019027880002E-2</v>
      </c>
    </row>
    <row r="32960" spans="1:6" x14ac:dyDescent="0.25">
      <c r="A32960" s="1" t="str">
        <f t="shared" si="1175"/>
        <v>42540</v>
      </c>
      <c r="B32960" s="1" t="str">
        <f>"18705"</f>
        <v>18705</v>
      </c>
      <c r="C32960" s="2">
        <v>2.7307845536552699E-2</v>
      </c>
      <c r="D32960" s="2">
        <v>2.0635559131134299E-2</v>
      </c>
      <c r="E32960" s="2">
        <v>2.52363737486095E-2</v>
      </c>
      <c r="F32960" s="2">
        <v>2.66970896333012E-2</v>
      </c>
    </row>
    <row r="32961" spans="1:6" x14ac:dyDescent="0.25">
      <c r="A32961" s="1" t="str">
        <f t="shared" si="1175"/>
        <v>42540</v>
      </c>
      <c r="B32961" s="1" t="str">
        <f>"18708"</f>
        <v>18708</v>
      </c>
      <c r="C32961" s="2">
        <v>1.39900685808599E-2</v>
      </c>
      <c r="D32961" s="2">
        <v>7.7634754625905003E-3</v>
      </c>
      <c r="E32961" s="2">
        <v>6.5350389321468198E-3</v>
      </c>
      <c r="F32961" s="2">
        <v>1.31721873322262E-2</v>
      </c>
    </row>
    <row r="32962" spans="1:6" x14ac:dyDescent="0.25">
      <c r="A32962" s="1" t="str">
        <f t="shared" si="1175"/>
        <v>42540</v>
      </c>
      <c r="B32962" s="1" t="str">
        <f>"18420"</f>
        <v>18420</v>
      </c>
      <c r="C32962" s="2">
        <v>3.1302467203551401E-4</v>
      </c>
      <c r="D32962" s="2">
        <v>6.0337892196299196E-4</v>
      </c>
      <c r="E32962" s="2">
        <v>0</v>
      </c>
      <c r="F32962" s="2">
        <v>3.2150125479130499E-4</v>
      </c>
    </row>
    <row r="32963" spans="1:6" x14ac:dyDescent="0.25">
      <c r="A32963" s="1" t="str">
        <f t="shared" si="1175"/>
        <v>42540</v>
      </c>
      <c r="B32963" s="1" t="str">
        <f>"18630"</f>
        <v>18630</v>
      </c>
      <c r="C32963" s="2">
        <v>2.64648131811843E-3</v>
      </c>
      <c r="D32963" s="2">
        <v>1.20675784392598E-3</v>
      </c>
      <c r="E32963" s="2">
        <v>2.5027808676306999E-3</v>
      </c>
      <c r="F32963" s="2">
        <v>2.5283108386500602E-3</v>
      </c>
    </row>
    <row r="32964" spans="1:6" x14ac:dyDescent="0.25">
      <c r="A32964" s="1" t="str">
        <f t="shared" si="1175"/>
        <v>42540</v>
      </c>
      <c r="B32964" s="1" t="str">
        <f>"18621"</f>
        <v>18621</v>
      </c>
      <c r="C32964" s="2">
        <v>8.2204547394781006E-3</v>
      </c>
      <c r="D32964" s="2">
        <v>3.6604987932421498E-3</v>
      </c>
      <c r="E32964" s="2">
        <v>0</v>
      </c>
      <c r="F32964" s="2">
        <v>7.4975341165894596E-3</v>
      </c>
    </row>
    <row r="32965" spans="1:6" x14ac:dyDescent="0.25">
      <c r="A32965" s="1" t="str">
        <f t="shared" si="1175"/>
        <v>42540</v>
      </c>
      <c r="B32965" s="1" t="str">
        <f>"18414"</f>
        <v>18414</v>
      </c>
      <c r="C32965" s="2">
        <v>1.11266042514441E-2</v>
      </c>
      <c r="D32965" s="2">
        <v>4.9477071600965402E-3</v>
      </c>
      <c r="E32965" s="2">
        <v>8.3426028921023299E-4</v>
      </c>
      <c r="F32965" s="2">
        <v>1.01850348969323E-2</v>
      </c>
    </row>
    <row r="32966" spans="1:6" x14ac:dyDescent="0.25">
      <c r="A32966" s="1" t="str">
        <f t="shared" si="1175"/>
        <v>42540</v>
      </c>
      <c r="B32966" s="1" t="str">
        <f>"18643"</f>
        <v>18643</v>
      </c>
      <c r="C32966" s="2">
        <v>2.2420392134543599E-2</v>
      </c>
      <c r="D32966" s="2">
        <v>1.5808527755430402E-2</v>
      </c>
      <c r="E32966" s="2">
        <v>1.4043381535038899E-2</v>
      </c>
      <c r="F32966" s="2">
        <v>2.1531219956800199E-2</v>
      </c>
    </row>
    <row r="32967" spans="1:6" x14ac:dyDescent="0.25">
      <c r="A32967" s="1" t="str">
        <f t="shared" si="1175"/>
        <v>42540</v>
      </c>
      <c r="B32967" s="1" t="str">
        <f>"18635"</f>
        <v>18635</v>
      </c>
      <c r="C32967" s="2">
        <v>4.1511340030164099E-3</v>
      </c>
      <c r="D32967" s="2">
        <v>1.48833467417538E-3</v>
      </c>
      <c r="E32967" s="2">
        <v>5.5617352614015497E-4</v>
      </c>
      <c r="F32967" s="2">
        <v>3.7831021437578802E-3</v>
      </c>
    </row>
    <row r="32968" spans="1:6" x14ac:dyDescent="0.25">
      <c r="A32968" s="1" t="str">
        <f t="shared" si="1175"/>
        <v>42540</v>
      </c>
      <c r="B32968" s="1" t="str">
        <f>"18618"</f>
        <v>18618</v>
      </c>
      <c r="C32968" s="2">
        <v>7.0892974018952198E-3</v>
      </c>
      <c r="D32968" s="2">
        <v>1.85036202735317E-3</v>
      </c>
      <c r="E32968" s="2">
        <v>9.7330367074527195E-4</v>
      </c>
      <c r="F32968" s="2">
        <v>6.4081754959859098E-3</v>
      </c>
    </row>
    <row r="32969" spans="1:6" x14ac:dyDescent="0.25">
      <c r="A32969" s="1" t="str">
        <f t="shared" si="1175"/>
        <v>42540</v>
      </c>
      <c r="B32969" s="1" t="str">
        <f>"18505"</f>
        <v>18505</v>
      </c>
      <c r="C32969" s="2">
        <v>3.7893770809026402E-2</v>
      </c>
      <c r="D32969" s="2">
        <v>3.6806114239742498E-2</v>
      </c>
      <c r="E32969" s="2">
        <v>0.13918242491657301</v>
      </c>
      <c r="F32969" s="2">
        <v>4.2357009975902998E-2</v>
      </c>
    </row>
    <row r="32970" spans="1:6" x14ac:dyDescent="0.25">
      <c r="A32970" s="1" t="str">
        <f t="shared" si="1175"/>
        <v>42540</v>
      </c>
      <c r="B32970" s="1" t="str">
        <f>"18517"</f>
        <v>18517</v>
      </c>
      <c r="C32970" s="2">
        <v>1.0215987023704499E-2</v>
      </c>
      <c r="D32970" s="2">
        <v>8.7691069991954907E-3</v>
      </c>
      <c r="E32970" s="2">
        <v>6.1179087875417098E-3</v>
      </c>
      <c r="F32970" s="2">
        <v>9.91971832744434E-3</v>
      </c>
    </row>
    <row r="32971" spans="1:6" x14ac:dyDescent="0.25">
      <c r="A32971" s="1" t="str">
        <f t="shared" si="1175"/>
        <v>42540</v>
      </c>
      <c r="B32971" s="1" t="str">
        <f>"18407"</f>
        <v>18407</v>
      </c>
      <c r="C32971" s="2">
        <v>2.4796533963176898E-2</v>
      </c>
      <c r="D32971" s="2">
        <v>2.4818986323411101E-2</v>
      </c>
      <c r="E32971" s="2">
        <v>2.9685761957730799E-2</v>
      </c>
      <c r="F32971" s="2">
        <v>2.5017791817012702E-2</v>
      </c>
    </row>
    <row r="32972" spans="1:6" x14ac:dyDescent="0.25">
      <c r="A32972" s="1" t="str">
        <f t="shared" si="1175"/>
        <v>42540</v>
      </c>
      <c r="B32972" s="1" t="str">
        <f>"18844"</f>
        <v>18844</v>
      </c>
      <c r="C32972" s="2">
        <v>6.0470675279587899E-5</v>
      </c>
      <c r="D32972" s="2">
        <v>0</v>
      </c>
      <c r="E32972" s="2">
        <v>1.3904338153503801E-4</v>
      </c>
      <c r="F32972" s="2">
        <v>5.9306056709075598E-5</v>
      </c>
    </row>
    <row r="32973" spans="1:6" x14ac:dyDescent="0.25">
      <c r="A32973" s="1" t="str">
        <f t="shared" ref="A32973:A33004" si="1176">"42540"</f>
        <v>42540</v>
      </c>
      <c r="B32973" s="1" t="str">
        <f>"18706"</f>
        <v>18706</v>
      </c>
      <c r="C32973" s="2">
        <v>2.9687544463731799E-2</v>
      </c>
      <c r="D32973" s="2">
        <v>2.3813354786806101E-2</v>
      </c>
      <c r="E32973" s="2">
        <v>2.0786985539488299E-2</v>
      </c>
      <c r="F32973" s="2">
        <v>2.8832107674828002E-2</v>
      </c>
    </row>
    <row r="32974" spans="1:6" x14ac:dyDescent="0.25">
      <c r="A32974" s="1" t="str">
        <f t="shared" si="1176"/>
        <v>42540</v>
      </c>
      <c r="B32974" s="1" t="str">
        <f>"18216"</f>
        <v>18216</v>
      </c>
      <c r="C32974" s="2">
        <v>6.8296292080475705E-4</v>
      </c>
      <c r="D32974" s="2">
        <v>1.6090104585679801E-4</v>
      </c>
      <c r="E32974" s="2">
        <v>0</v>
      </c>
      <c r="F32974" s="2">
        <v>6.1178879552520099E-4</v>
      </c>
    </row>
    <row r="32975" spans="1:6" x14ac:dyDescent="0.25">
      <c r="A32975" s="1" t="str">
        <f t="shared" si="1176"/>
        <v>42540</v>
      </c>
      <c r="B32975" s="1" t="str">
        <f>"18234"</f>
        <v>18234</v>
      </c>
      <c r="C32975" s="2">
        <v>3.5570985458581099E-6</v>
      </c>
      <c r="D32975" s="2">
        <v>4.0225261464199503E-5</v>
      </c>
      <c r="E32975" s="2">
        <v>0</v>
      </c>
      <c r="F32975" s="2">
        <v>6.24274281148165E-6</v>
      </c>
    </row>
    <row r="32976" spans="1:6" x14ac:dyDescent="0.25">
      <c r="A32976" s="1" t="str">
        <f t="shared" si="1176"/>
        <v>42540</v>
      </c>
      <c r="B32976" s="1" t="str">
        <f>"18247"</f>
        <v>18247</v>
      </c>
      <c r="C32976" s="2">
        <v>0</v>
      </c>
      <c r="D32976" s="2">
        <v>4.0225261464199503E-5</v>
      </c>
      <c r="E32976" s="2">
        <v>0</v>
      </c>
      <c r="F32976" s="2">
        <v>3.1213714057408199E-6</v>
      </c>
    </row>
    <row r="32977" spans="1:6" x14ac:dyDescent="0.25">
      <c r="A32977" s="1" t="str">
        <f t="shared" si="1176"/>
        <v>42540</v>
      </c>
      <c r="B32977" s="1" t="str">
        <f>"18448"</f>
        <v>18448</v>
      </c>
      <c r="C32977" s="2">
        <v>0</v>
      </c>
      <c r="D32977" s="2">
        <v>8.0450522928399005E-5</v>
      </c>
      <c r="E32977" s="2">
        <v>0</v>
      </c>
      <c r="F32977" s="2">
        <v>6.24274281148165E-6</v>
      </c>
    </row>
    <row r="32978" spans="1:6" x14ac:dyDescent="0.25">
      <c r="A32978" s="1" t="str">
        <f t="shared" si="1176"/>
        <v>42540</v>
      </c>
      <c r="B32978" s="1" t="str">
        <f>"18249"</f>
        <v>18249</v>
      </c>
      <c r="C32978" s="2">
        <v>6.0079394439543502E-3</v>
      </c>
      <c r="D32978" s="2">
        <v>2.9766693483507601E-3</v>
      </c>
      <c r="E32978" s="2">
        <v>7.6473859844271405E-4</v>
      </c>
      <c r="F32978" s="2">
        <v>5.5373128737842203E-3</v>
      </c>
    </row>
    <row r="32979" spans="1:6" x14ac:dyDescent="0.25">
      <c r="A32979" s="1" t="str">
        <f t="shared" si="1176"/>
        <v>42540</v>
      </c>
      <c r="B32979" s="1" t="str">
        <f>"18644"</f>
        <v>18644</v>
      </c>
      <c r="C32979" s="2">
        <v>1.3136364929854E-2</v>
      </c>
      <c r="D32979" s="2">
        <v>1.25905068382944E-2</v>
      </c>
      <c r="E32979" s="2">
        <v>1.20967741935483E-2</v>
      </c>
      <c r="F32979" s="2">
        <v>1.30473324759966E-2</v>
      </c>
    </row>
    <row r="32980" spans="1:6" x14ac:dyDescent="0.25">
      <c r="A32980" s="1" t="str">
        <f t="shared" si="1176"/>
        <v>42540</v>
      </c>
      <c r="B32980" s="1" t="str">
        <f>"18636"</f>
        <v>18636</v>
      </c>
      <c r="C32980" s="2">
        <v>2.3868131242707901E-3</v>
      </c>
      <c r="D32980" s="2">
        <v>7.2405470635559101E-4</v>
      </c>
      <c r="E32980" s="2">
        <v>5.5617352614015497E-4</v>
      </c>
      <c r="F32980" s="2">
        <v>2.1755958698013501E-3</v>
      </c>
    </row>
    <row r="32981" spans="1:6" x14ac:dyDescent="0.25">
      <c r="A32981" s="1" t="str">
        <f t="shared" si="1176"/>
        <v>42540</v>
      </c>
      <c r="B32981" s="1" t="str">
        <f>"18501"</f>
        <v>18501</v>
      </c>
      <c r="C32981" s="2">
        <v>2.2374149853447499E-3</v>
      </c>
      <c r="D32981" s="2">
        <v>1.0458567980691801E-2</v>
      </c>
      <c r="E32981" s="2">
        <v>6.9521690767519398E-5</v>
      </c>
      <c r="F32981" s="2">
        <v>2.77802055110933E-3</v>
      </c>
    </row>
    <row r="32982" spans="1:6" x14ac:dyDescent="0.25">
      <c r="A32982" s="1" t="str">
        <f t="shared" si="1176"/>
        <v>42540</v>
      </c>
      <c r="B32982" s="1" t="str">
        <f>"18765"</f>
        <v>18765</v>
      </c>
      <c r="C32982" s="2">
        <v>0</v>
      </c>
      <c r="D32982" s="2">
        <v>0</v>
      </c>
      <c r="E32982" s="2">
        <v>6.9521690767519398E-5</v>
      </c>
      <c r="F32982" s="2">
        <v>3.1213714057408199E-6</v>
      </c>
    </row>
    <row r="32983" spans="1:6" x14ac:dyDescent="0.25">
      <c r="A32983" s="1" t="str">
        <f t="shared" si="1176"/>
        <v>42540</v>
      </c>
      <c r="B32983" s="1" t="str">
        <f>"18762"</f>
        <v>18762</v>
      </c>
      <c r="C32983" s="2">
        <v>0</v>
      </c>
      <c r="D32983" s="2">
        <v>4.0225261464199503E-5</v>
      </c>
      <c r="E32983" s="2">
        <v>0</v>
      </c>
      <c r="F32983" s="2">
        <v>3.1213714057408199E-6</v>
      </c>
    </row>
    <row r="32984" spans="1:6" x14ac:dyDescent="0.25">
      <c r="A32984" s="1" t="str">
        <f t="shared" si="1176"/>
        <v>42540</v>
      </c>
      <c r="B32984" s="1" t="str">
        <f>"18255"</f>
        <v>18255</v>
      </c>
      <c r="C32984" s="2">
        <v>2.1342591275148599E-4</v>
      </c>
      <c r="D32984" s="2">
        <v>1.20675784392598E-4</v>
      </c>
      <c r="E32984" s="2">
        <v>0</v>
      </c>
      <c r="F32984" s="2">
        <v>1.96646398561672E-4</v>
      </c>
    </row>
    <row r="32985" spans="1:6" x14ac:dyDescent="0.25">
      <c r="A32985" s="1" t="str">
        <f t="shared" si="1176"/>
        <v>42540</v>
      </c>
      <c r="B32985" s="1" t="str">
        <f>"17878"</f>
        <v>17878</v>
      </c>
      <c r="C32985" s="2">
        <v>8.4658945391423099E-4</v>
      </c>
      <c r="D32985" s="2">
        <v>2.01126307320997E-4</v>
      </c>
      <c r="E32985" s="2">
        <v>4.1713014460511601E-4</v>
      </c>
      <c r="F32985" s="2">
        <v>7.7722148002946499E-4</v>
      </c>
    </row>
    <row r="32986" spans="1:6" x14ac:dyDescent="0.25">
      <c r="A32986" s="1" t="str">
        <f t="shared" si="1176"/>
        <v>42540</v>
      </c>
      <c r="B32986" s="1" t="str">
        <f>"18769"</f>
        <v>18769</v>
      </c>
      <c r="C32986" s="2">
        <v>0</v>
      </c>
      <c r="D32986" s="2">
        <v>1.20675784392598E-4</v>
      </c>
      <c r="E32986" s="2">
        <v>0</v>
      </c>
      <c r="F32986" s="2">
        <v>9.3641142172224707E-6</v>
      </c>
    </row>
    <row r="32987" spans="1:6" x14ac:dyDescent="0.25">
      <c r="A32987" s="1" t="str">
        <f t="shared" si="1176"/>
        <v>42540</v>
      </c>
      <c r="B32987" s="1" t="str">
        <f>"18602"</f>
        <v>18602</v>
      </c>
      <c r="C32987" s="2">
        <v>5.69135767337298E-5</v>
      </c>
      <c r="D32987" s="2">
        <v>4.0225261464199503E-5</v>
      </c>
      <c r="E32987" s="2">
        <v>6.9521690767519398E-5</v>
      </c>
      <c r="F32987" s="2">
        <v>5.6184685303334801E-5</v>
      </c>
    </row>
    <row r="32988" spans="1:6" x14ac:dyDescent="0.25">
      <c r="A32988" s="1" t="str">
        <f t="shared" si="1176"/>
        <v>42540</v>
      </c>
      <c r="B32988" s="1" t="str">
        <f>"18202"</f>
        <v>18202</v>
      </c>
      <c r="C32988" s="2">
        <v>2.1865484761389799E-2</v>
      </c>
      <c r="D32988" s="2">
        <v>3.4875301689460902E-2</v>
      </c>
      <c r="E32988" s="2">
        <v>2.08565072302558E-2</v>
      </c>
      <c r="F32988" s="2">
        <v>2.2829710461588399E-2</v>
      </c>
    </row>
    <row r="32989" spans="1:6" x14ac:dyDescent="0.25">
      <c r="A32989" s="1" t="str">
        <f t="shared" si="1176"/>
        <v>42540</v>
      </c>
      <c r="B32989" s="1" t="str">
        <f>"18224"</f>
        <v>18224</v>
      </c>
      <c r="C32989" s="2">
        <v>1.21225918442844E-2</v>
      </c>
      <c r="D32989" s="2">
        <v>5.8728881737731197E-3</v>
      </c>
      <c r="E32989" s="2">
        <v>8.6206896551724102E-3</v>
      </c>
      <c r="F32989" s="2">
        <v>1.14804040303147E-2</v>
      </c>
    </row>
    <row r="32990" spans="1:6" x14ac:dyDescent="0.25">
      <c r="A32990" s="1" t="str">
        <f t="shared" si="1176"/>
        <v>42540</v>
      </c>
      <c r="B32990" s="1" t="str">
        <f>"18433"</f>
        <v>18433</v>
      </c>
      <c r="C32990" s="2">
        <v>1.1350701459833201E-2</v>
      </c>
      <c r="D32990" s="2">
        <v>8.2059533386966994E-3</v>
      </c>
      <c r="E32990" s="2">
        <v>6.2569521690767496E-3</v>
      </c>
      <c r="F32990" s="2">
        <v>1.08779793490067E-2</v>
      </c>
    </row>
    <row r="32991" spans="1:6" x14ac:dyDescent="0.25">
      <c r="A32991" s="1" t="str">
        <f t="shared" si="1176"/>
        <v>42540</v>
      </c>
      <c r="B32991" s="1" t="str">
        <f>"18512"</f>
        <v>18512</v>
      </c>
      <c r="C32991" s="2">
        <v>2.39606158049002E-2</v>
      </c>
      <c r="D32991" s="2">
        <v>2.9927594529364401E-2</v>
      </c>
      <c r="E32991" s="2">
        <v>3.9835928809788597E-2</v>
      </c>
      <c r="F32991" s="2">
        <v>2.51364039304308E-2</v>
      </c>
    </row>
    <row r="32992" spans="1:6" x14ac:dyDescent="0.25">
      <c r="A32992" s="1" t="str">
        <f t="shared" si="1176"/>
        <v>42540</v>
      </c>
      <c r="B32992" s="1" t="str">
        <f>"18504"</f>
        <v>18504</v>
      </c>
      <c r="C32992" s="2">
        <v>3.7890213710480597E-2</v>
      </c>
      <c r="D32992" s="2">
        <v>2.2445695897023301E-2</v>
      </c>
      <c r="E32992" s="2">
        <v>3.7472191323692901E-2</v>
      </c>
      <c r="F32992" s="2">
        <v>3.6672992646048903E-2</v>
      </c>
    </row>
    <row r="32993" spans="1:6" x14ac:dyDescent="0.25">
      <c r="A32993" s="1" t="str">
        <f t="shared" si="1176"/>
        <v>42540</v>
      </c>
      <c r="B32993" s="1" t="str">
        <f>"18518"</f>
        <v>18518</v>
      </c>
      <c r="C32993" s="2">
        <v>1.53026379442816E-2</v>
      </c>
      <c r="D32993" s="2">
        <v>1.23491552695092E-2</v>
      </c>
      <c r="E32993" s="2">
        <v>1.6198553948832E-2</v>
      </c>
      <c r="F32993" s="2">
        <v>1.5113680346597E-2</v>
      </c>
    </row>
    <row r="32994" spans="1:6" x14ac:dyDescent="0.25">
      <c r="A32994" s="1" t="str">
        <f t="shared" si="1176"/>
        <v>42540</v>
      </c>
      <c r="B32994" s="1" t="str">
        <f>"18471"</f>
        <v>18471</v>
      </c>
      <c r="C32994" s="2">
        <v>2.7745368657693201E-3</v>
      </c>
      <c r="D32994" s="2">
        <v>2.0514883346741701E-3</v>
      </c>
      <c r="E32994" s="2">
        <v>1.3904338153503801E-4</v>
      </c>
      <c r="F32994" s="2">
        <v>2.6001023809821E-3</v>
      </c>
    </row>
    <row r="32995" spans="1:6" x14ac:dyDescent="0.25">
      <c r="A32995" s="1" t="str">
        <f t="shared" si="1176"/>
        <v>42540</v>
      </c>
      <c r="B32995" s="1" t="str">
        <f>"18246"</f>
        <v>18246</v>
      </c>
      <c r="C32995" s="2">
        <v>0</v>
      </c>
      <c r="D32995" s="2">
        <v>4.0225261464199503E-5</v>
      </c>
      <c r="E32995" s="2">
        <v>0</v>
      </c>
      <c r="F32995" s="2">
        <v>3.1213714057408199E-6</v>
      </c>
    </row>
    <row r="32996" spans="1:6" x14ac:dyDescent="0.25">
      <c r="A32996" s="1" t="str">
        <f t="shared" si="1176"/>
        <v>42540</v>
      </c>
      <c r="B32996" s="1" t="str">
        <f>"18629"</f>
        <v>18629</v>
      </c>
      <c r="C32996" s="2">
        <v>3.2085028883640102E-3</v>
      </c>
      <c r="D32996" s="2">
        <v>7.6427996781979E-4</v>
      </c>
      <c r="E32996" s="2">
        <v>1.39043381535038E-3</v>
      </c>
      <c r="F32996" s="2">
        <v>2.9372104928021099E-3</v>
      </c>
    </row>
    <row r="32997" spans="1:6" x14ac:dyDescent="0.25">
      <c r="A32997" s="1" t="str">
        <f t="shared" si="1176"/>
        <v>42540</v>
      </c>
      <c r="B32997" s="1" t="str">
        <f>"18617"</f>
        <v>18617</v>
      </c>
      <c r="C32997" s="2">
        <v>4.0977775248285404E-3</v>
      </c>
      <c r="D32997" s="2">
        <v>2.13193885760257E-3</v>
      </c>
      <c r="E32997" s="2">
        <v>4.5189098998887596E-3</v>
      </c>
      <c r="F32997" s="2">
        <v>3.9641416852908397E-3</v>
      </c>
    </row>
    <row r="32998" spans="1:6" x14ac:dyDescent="0.25">
      <c r="A32998" s="1" t="str">
        <f t="shared" si="1176"/>
        <v>42540</v>
      </c>
      <c r="B32998" s="1" t="str">
        <f>"18419"</f>
        <v>18419</v>
      </c>
      <c r="C32998" s="2">
        <v>8.9959022224751703E-3</v>
      </c>
      <c r="D32998" s="2">
        <v>4.6259050683829404E-3</v>
      </c>
      <c r="E32998" s="2">
        <v>3.6846496106785298E-3</v>
      </c>
      <c r="F32998" s="2">
        <v>8.4183386812829997E-3</v>
      </c>
    </row>
    <row r="32999" spans="1:6" x14ac:dyDescent="0.25">
      <c r="A32999" s="1" t="str">
        <f t="shared" si="1176"/>
        <v>42540</v>
      </c>
      <c r="B32999" s="1" t="str">
        <f>"18444"</f>
        <v>18444</v>
      </c>
      <c r="C32999" s="2">
        <v>1.8624967986113E-2</v>
      </c>
      <c r="D32999" s="2">
        <v>9.8954143201930803E-3</v>
      </c>
      <c r="E32999" s="2">
        <v>6.6740823136818596E-3</v>
      </c>
      <c r="F32999" s="2">
        <v>1.7411009701222301E-2</v>
      </c>
    </row>
    <row r="33000" spans="1:6" x14ac:dyDescent="0.25">
      <c r="A33000" s="1" t="str">
        <f t="shared" si="1176"/>
        <v>42540</v>
      </c>
      <c r="B33000" s="1" t="str">
        <f>"18447"</f>
        <v>18447</v>
      </c>
      <c r="C33000" s="2">
        <v>1.8777923223584899E-2</v>
      </c>
      <c r="D33000" s="2">
        <v>1.9147224456958899E-2</v>
      </c>
      <c r="E33000" s="2">
        <v>2.32202447163515E-2</v>
      </c>
      <c r="F33000" s="2">
        <v>1.9006030489555799E-2</v>
      </c>
    </row>
    <row r="33001" spans="1:6" x14ac:dyDescent="0.25">
      <c r="A33001" s="1" t="str">
        <f t="shared" si="1176"/>
        <v>42540</v>
      </c>
      <c r="B33001" s="1" t="str">
        <f>"18508"</f>
        <v>18508</v>
      </c>
      <c r="C33001" s="2">
        <v>2.0478216328505099E-2</v>
      </c>
      <c r="D33001" s="2">
        <v>3.2341110217216397E-2</v>
      </c>
      <c r="E33001" s="2">
        <v>2.2664071190211299E-2</v>
      </c>
      <c r="F33001" s="2">
        <v>2.1496884871337E-2</v>
      </c>
    </row>
    <row r="33002" spans="1:6" x14ac:dyDescent="0.25">
      <c r="A33002" s="1" t="str">
        <f t="shared" si="1176"/>
        <v>42540</v>
      </c>
      <c r="B33002" s="1" t="str">
        <f>"18403"</f>
        <v>18403</v>
      </c>
      <c r="C33002" s="2">
        <v>1.16886258216897E-2</v>
      </c>
      <c r="D33002" s="2">
        <v>1.2751407884151199E-2</v>
      </c>
      <c r="E33002" s="2">
        <v>1.2166295884315901E-2</v>
      </c>
      <c r="F33002" s="2">
        <v>1.17925411708888E-2</v>
      </c>
    </row>
    <row r="33003" spans="1:6" x14ac:dyDescent="0.25">
      <c r="A33003" s="1" t="str">
        <f t="shared" si="1176"/>
        <v>42540</v>
      </c>
      <c r="B33003" s="1" t="str">
        <f>"18709"</f>
        <v>18709</v>
      </c>
      <c r="C33003" s="2">
        <v>5.8087419253862998E-3</v>
      </c>
      <c r="D33003" s="2">
        <v>8.2864038616251006E-3</v>
      </c>
      <c r="E33003" s="2">
        <v>8.2730812013348098E-3</v>
      </c>
      <c r="F33003" s="2">
        <v>6.1116452124405302E-3</v>
      </c>
    </row>
    <row r="33004" spans="1:6" x14ac:dyDescent="0.25">
      <c r="A33004" s="1" t="str">
        <f t="shared" si="1176"/>
        <v>42540</v>
      </c>
      <c r="B33004" s="1" t="str">
        <f>"18703"</f>
        <v>18703</v>
      </c>
      <c r="C33004" s="2">
        <v>6.02572493668364E-3</v>
      </c>
      <c r="D33004" s="2">
        <v>1.30329847144006E-2</v>
      </c>
      <c r="E33004" s="2">
        <v>6.9521690767519398E-5</v>
      </c>
      <c r="F33004" s="2">
        <v>6.30204886819072E-3</v>
      </c>
    </row>
    <row r="33005" spans="1:6" x14ac:dyDescent="0.25">
      <c r="A33005" s="1" t="str">
        <f t="shared" ref="A33005:A33014" si="1177">"42540"</f>
        <v>42540</v>
      </c>
      <c r="B33005" s="1" t="str">
        <f>"18764"</f>
        <v>18764</v>
      </c>
      <c r="C33005" s="2">
        <v>0</v>
      </c>
      <c r="D33005" s="2">
        <v>0</v>
      </c>
      <c r="E33005" s="2">
        <v>6.9521690767519398E-5</v>
      </c>
      <c r="F33005" s="2">
        <v>3.1213714057408199E-6</v>
      </c>
    </row>
    <row r="33006" spans="1:6" x14ac:dyDescent="0.25">
      <c r="A33006" s="1" t="str">
        <f t="shared" si="1177"/>
        <v>42540</v>
      </c>
      <c r="B33006" s="1" t="str">
        <f>"18653"</f>
        <v>18653</v>
      </c>
      <c r="C33006" s="2">
        <v>0</v>
      </c>
      <c r="D33006" s="2">
        <v>4.0225261464199503E-5</v>
      </c>
      <c r="E33006" s="2">
        <v>0</v>
      </c>
      <c r="F33006" s="2">
        <v>3.1213714057408199E-6</v>
      </c>
    </row>
    <row r="33007" spans="1:6" x14ac:dyDescent="0.25">
      <c r="A33007" s="1" t="str">
        <f t="shared" si="1177"/>
        <v>42540</v>
      </c>
      <c r="B33007" s="1" t="str">
        <f>"18711"</f>
        <v>18711</v>
      </c>
      <c r="C33007" s="2">
        <v>0</v>
      </c>
      <c r="D33007" s="2">
        <v>1.00563153660498E-3</v>
      </c>
      <c r="E33007" s="2">
        <v>4.8665183537263597E-4</v>
      </c>
      <c r="F33007" s="2">
        <v>9.98838849837064E-5</v>
      </c>
    </row>
    <row r="33008" spans="1:6" x14ac:dyDescent="0.25">
      <c r="A33008" s="1" t="str">
        <f t="shared" si="1177"/>
        <v>42540</v>
      </c>
      <c r="B33008" s="1" t="str">
        <f>"18239"</f>
        <v>18239</v>
      </c>
      <c r="C33008" s="2">
        <v>0</v>
      </c>
      <c r="D33008" s="2">
        <v>4.0225261464199503E-5</v>
      </c>
      <c r="E33008" s="2">
        <v>0</v>
      </c>
      <c r="F33008" s="2">
        <v>3.1213714057408199E-6</v>
      </c>
    </row>
    <row r="33009" spans="1:6" x14ac:dyDescent="0.25">
      <c r="A33009" s="1" t="str">
        <f t="shared" si="1177"/>
        <v>42540</v>
      </c>
      <c r="B33009" s="1" t="str">
        <f>"17814"</f>
        <v>17814</v>
      </c>
      <c r="C33009" s="2">
        <v>1.1453857317663099E-3</v>
      </c>
      <c r="D33009" s="2">
        <v>2.41351568785197E-4</v>
      </c>
      <c r="E33009" s="2">
        <v>1.3904338153503801E-4</v>
      </c>
      <c r="F33009" s="2">
        <v>1.03005256389447E-3</v>
      </c>
    </row>
    <row r="33010" spans="1:6" x14ac:dyDescent="0.25">
      <c r="A33010" s="1" t="str">
        <f t="shared" si="1177"/>
        <v>42540</v>
      </c>
      <c r="B33010" s="1" t="str">
        <f>"18219"</f>
        <v>18219</v>
      </c>
      <c r="C33010" s="2">
        <v>3.53931305312882E-3</v>
      </c>
      <c r="D33010" s="2">
        <v>4.2236524537409403E-3</v>
      </c>
      <c r="E33010" s="2">
        <v>6.9521690767519398E-5</v>
      </c>
      <c r="F33010" s="2">
        <v>3.43662991772064E-3</v>
      </c>
    </row>
    <row r="33011" spans="1:6" x14ac:dyDescent="0.25">
      <c r="A33011" s="1" t="str">
        <f t="shared" si="1177"/>
        <v>42540</v>
      </c>
      <c r="B33011" s="1" t="str">
        <f>"18221"</f>
        <v>18221</v>
      </c>
      <c r="C33011" s="2">
        <v>3.5570985458581099E-6</v>
      </c>
      <c r="D33011" s="2">
        <v>4.0225261464199503E-5</v>
      </c>
      <c r="E33011" s="2">
        <v>0</v>
      </c>
      <c r="F33011" s="2">
        <v>6.24274281148165E-6</v>
      </c>
    </row>
    <row r="33012" spans="1:6" x14ac:dyDescent="0.25">
      <c r="A33012" s="1" t="str">
        <f t="shared" si="1177"/>
        <v>42540</v>
      </c>
      <c r="B33012" s="1" t="str">
        <f>"18657"</f>
        <v>18657</v>
      </c>
      <c r="C33012" s="2">
        <v>1.9944651546626401E-2</v>
      </c>
      <c r="D33012" s="2">
        <v>2.2284794851166499E-2</v>
      </c>
      <c r="E33012" s="2">
        <v>1.5572858731924299E-2</v>
      </c>
      <c r="F33012" s="2">
        <v>1.99299564256551E-2</v>
      </c>
    </row>
    <row r="33013" spans="1:6" x14ac:dyDescent="0.25">
      <c r="A33013" s="1" t="str">
        <f t="shared" si="1177"/>
        <v>42540</v>
      </c>
      <c r="B33013" s="1" t="str">
        <f>"18661"</f>
        <v>18661</v>
      </c>
      <c r="C33013" s="2">
        <v>1.0411627443726699E-2</v>
      </c>
      <c r="D33013" s="2">
        <v>5.5510860820595304E-3</v>
      </c>
      <c r="E33013" s="2">
        <v>2.2942157953281402E-3</v>
      </c>
      <c r="F33013" s="2">
        <v>9.6700086149850706E-3</v>
      </c>
    </row>
    <row r="33014" spans="1:6" x14ac:dyDescent="0.25">
      <c r="A33014" s="1" t="str">
        <f t="shared" si="1177"/>
        <v>42540</v>
      </c>
      <c r="B33014" s="1" t="str">
        <f>"18640"</f>
        <v>18640</v>
      </c>
      <c r="C33014" s="2">
        <v>3.5329102757462698E-2</v>
      </c>
      <c r="D33014" s="2">
        <v>4.4167337087691001E-2</v>
      </c>
      <c r="E33014" s="2">
        <v>2.5583982202447099E-2</v>
      </c>
      <c r="F33014" s="2">
        <v>3.5577391282633902E-2</v>
      </c>
    </row>
    <row r="33015" spans="1:6" x14ac:dyDescent="0.25">
      <c r="A33015" s="1" t="str">
        <f t="shared" ref="A33015:A33036" si="1178">"42620"</f>
        <v>42620</v>
      </c>
      <c r="B33015" s="1" t="str">
        <f>"72045"</f>
        <v>72045</v>
      </c>
      <c r="C33015" s="2">
        <v>1.55210643015521E-2</v>
      </c>
      <c r="D33015" s="2">
        <v>8.5795996186844598E-3</v>
      </c>
      <c r="E33015" s="2">
        <v>1.5923566878980799E-3</v>
      </c>
      <c r="F33015" s="2">
        <v>1.48172008374939E-2</v>
      </c>
    </row>
    <row r="33016" spans="1:6" x14ac:dyDescent="0.25">
      <c r="A33016" s="1" t="str">
        <f t="shared" si="1178"/>
        <v>42620</v>
      </c>
      <c r="B33016" s="1" t="str">
        <f>"72010"</f>
        <v>72010</v>
      </c>
      <c r="C33016" s="2">
        <v>7.2339246119733899E-2</v>
      </c>
      <c r="D33016" s="2">
        <v>4.1626946298061601E-2</v>
      </c>
      <c r="E33016" s="2">
        <v>3.8216560509554097E-2</v>
      </c>
      <c r="F33016" s="2">
        <v>6.9622437475553897E-2</v>
      </c>
    </row>
    <row r="33017" spans="1:6" x14ac:dyDescent="0.25">
      <c r="A33017" s="1" t="str">
        <f t="shared" si="1178"/>
        <v>42620</v>
      </c>
      <c r="B33017" s="1" t="str">
        <f>"72145"</f>
        <v>72145</v>
      </c>
      <c r="C33017" s="2">
        <v>2.8144527313041699E-2</v>
      </c>
      <c r="D33017" s="2">
        <v>0.10422624721957401</v>
      </c>
      <c r="E33017" s="2">
        <v>3.1847133757961698E-3</v>
      </c>
      <c r="F33017" s="2">
        <v>3.3292685732692097E-2</v>
      </c>
    </row>
    <row r="33018" spans="1:6" x14ac:dyDescent="0.25">
      <c r="A33018" s="1" t="str">
        <f t="shared" si="1178"/>
        <v>42620</v>
      </c>
      <c r="B33018" s="1" t="str">
        <f>"72139"</f>
        <v>72139</v>
      </c>
      <c r="C33018" s="2">
        <v>7.5589598871195294E-5</v>
      </c>
      <c r="D33018" s="2">
        <v>0</v>
      </c>
      <c r="E33018" s="2">
        <v>1.5923566878980799E-3</v>
      </c>
      <c r="F33018" s="2">
        <v>9.2032303338471802E-5</v>
      </c>
    </row>
    <row r="33019" spans="1:6" x14ac:dyDescent="0.25">
      <c r="A33019" s="1" t="str">
        <f t="shared" si="1178"/>
        <v>42620</v>
      </c>
      <c r="B33019" s="1" t="str">
        <f>"72173"</f>
        <v>72173</v>
      </c>
      <c r="C33019" s="2">
        <v>5.5432372505543205E-4</v>
      </c>
      <c r="D33019" s="2">
        <v>0</v>
      </c>
      <c r="E33019" s="2">
        <v>0</v>
      </c>
      <c r="F33019" s="2">
        <v>5.0617766836159395E-4</v>
      </c>
    </row>
    <row r="33020" spans="1:6" x14ac:dyDescent="0.25">
      <c r="A33020" s="1" t="str">
        <f t="shared" si="1178"/>
        <v>42620</v>
      </c>
      <c r="B33020" s="1" t="str">
        <f>"72068"</f>
        <v>72068</v>
      </c>
      <c r="C33020" s="2">
        <v>4.0818383390445398E-3</v>
      </c>
      <c r="D33020" s="2">
        <v>0</v>
      </c>
      <c r="E33020" s="2">
        <v>1.5923566878980799E-3</v>
      </c>
      <c r="F33020" s="2">
        <v>3.7503163610427201E-3</v>
      </c>
    </row>
    <row r="33021" spans="1:6" x14ac:dyDescent="0.25">
      <c r="A33021" s="1" t="str">
        <f t="shared" si="1178"/>
        <v>42620</v>
      </c>
      <c r="B33021" s="1" t="str">
        <f>"72060"</f>
        <v>72060</v>
      </c>
      <c r="C33021" s="2">
        <v>5.9967748437814898E-3</v>
      </c>
      <c r="D33021" s="2">
        <v>4.44868128376231E-3</v>
      </c>
      <c r="E33021" s="2">
        <v>1.5923566878980799E-3</v>
      </c>
      <c r="F33021" s="2">
        <v>5.8210431861583402E-3</v>
      </c>
    </row>
    <row r="33022" spans="1:6" x14ac:dyDescent="0.25">
      <c r="A33022" s="1" t="str">
        <f t="shared" si="1178"/>
        <v>42620</v>
      </c>
      <c r="B33022" s="1" t="str">
        <f>"72136"</f>
        <v>72136</v>
      </c>
      <c r="C33022" s="2">
        <v>2.4994960693408501E-2</v>
      </c>
      <c r="D33022" s="2">
        <v>4.1309183349221403E-3</v>
      </c>
      <c r="E33022" s="2">
        <v>3.1847133757961698E-3</v>
      </c>
      <c r="F33022" s="2">
        <v>2.3169132365460199E-2</v>
      </c>
    </row>
    <row r="33023" spans="1:6" x14ac:dyDescent="0.25">
      <c r="A33023" s="1" t="str">
        <f t="shared" si="1178"/>
        <v>42620</v>
      </c>
      <c r="B33023" s="1" t="str">
        <f>"72012"</f>
        <v>72012</v>
      </c>
      <c r="C33023" s="2">
        <v>0.15221225559363</v>
      </c>
      <c r="D33023" s="2">
        <v>0.12869399428026601</v>
      </c>
      <c r="E33023" s="2">
        <v>0.22292993630573199</v>
      </c>
      <c r="F33023" s="2">
        <v>0.151531187446793</v>
      </c>
    </row>
    <row r="33024" spans="1:6" x14ac:dyDescent="0.25">
      <c r="A33024" s="1" t="str">
        <f t="shared" si="1178"/>
        <v>42620</v>
      </c>
      <c r="B33024" s="1" t="str">
        <f>"72020"</f>
        <v>72020</v>
      </c>
      <c r="C33024" s="2">
        <v>2.4239064704696601E-2</v>
      </c>
      <c r="D33024" s="2">
        <v>1.08039402605656E-2</v>
      </c>
      <c r="E33024" s="2">
        <v>7.9617834394904406E-3</v>
      </c>
      <c r="F33024" s="2">
        <v>2.3031083910452499E-2</v>
      </c>
    </row>
    <row r="33025" spans="1:6" x14ac:dyDescent="0.25">
      <c r="A33025" s="1" t="str">
        <f t="shared" si="1178"/>
        <v>42620</v>
      </c>
      <c r="B33025" s="1" t="str">
        <f>"72052"</f>
        <v>72052</v>
      </c>
      <c r="C33025" s="2">
        <v>5.0393065914130203E-5</v>
      </c>
      <c r="D33025" s="2">
        <v>0</v>
      </c>
      <c r="E33025" s="2">
        <v>1.5923566878980799E-3</v>
      </c>
      <c r="F33025" s="2">
        <v>6.9024227503853804E-5</v>
      </c>
    </row>
    <row r="33026" spans="1:6" x14ac:dyDescent="0.25">
      <c r="A33026" s="1" t="str">
        <f t="shared" si="1178"/>
        <v>42620</v>
      </c>
      <c r="B33026" s="1" t="str">
        <f>"72137"</f>
        <v>72137</v>
      </c>
      <c r="C33026" s="2">
        <v>2.2475307397702E-2</v>
      </c>
      <c r="D33026" s="2">
        <v>1.49348585954877E-2</v>
      </c>
      <c r="E33026" s="2">
        <v>1.5923566878980799E-3</v>
      </c>
      <c r="F33026" s="2">
        <v>2.1627591284540799E-2</v>
      </c>
    </row>
    <row r="33027" spans="1:6" x14ac:dyDescent="0.25">
      <c r="A33027" s="1" t="str">
        <f t="shared" si="1178"/>
        <v>42620</v>
      </c>
      <c r="B33027" s="1" t="str">
        <f>"72111"</f>
        <v>72111</v>
      </c>
      <c r="C33027" s="2">
        <v>5.7700060471679001E-3</v>
      </c>
      <c r="D33027" s="2">
        <v>9.5328884652049503E-4</v>
      </c>
      <c r="E33027" s="2">
        <v>0</v>
      </c>
      <c r="F33027" s="2">
        <v>5.3378735936313601E-3</v>
      </c>
    </row>
    <row r="33028" spans="1:6" x14ac:dyDescent="0.25">
      <c r="A33028" s="1" t="str">
        <f t="shared" si="1178"/>
        <v>42620</v>
      </c>
      <c r="B33028" s="1" t="str">
        <f>"72102"</f>
        <v>72102</v>
      </c>
      <c r="C33028" s="2">
        <v>3.67365450514009E-2</v>
      </c>
      <c r="D33028" s="2">
        <v>1.04861773117254E-2</v>
      </c>
      <c r="E33028" s="2">
        <v>1.7515923566878901E-2</v>
      </c>
      <c r="F33028" s="2">
        <v>3.4558129903596101E-2</v>
      </c>
    </row>
    <row r="33029" spans="1:6" x14ac:dyDescent="0.25">
      <c r="A33029" s="1" t="str">
        <f t="shared" si="1178"/>
        <v>42620</v>
      </c>
      <c r="B33029" s="1" t="str">
        <f>"72143"</f>
        <v>72143</v>
      </c>
      <c r="C33029" s="2">
        <v>0.41624672445071498</v>
      </c>
      <c r="D33029" s="2">
        <v>0.587225929456625</v>
      </c>
      <c r="E33029" s="2">
        <v>0.61624203821655998</v>
      </c>
      <c r="F33029" s="2">
        <v>0.43151646227825902</v>
      </c>
    </row>
    <row r="33030" spans="1:6" x14ac:dyDescent="0.25">
      <c r="A33030" s="1" t="str">
        <f t="shared" si="1178"/>
        <v>42620</v>
      </c>
      <c r="B33030" s="1" t="str">
        <f>"72082"</f>
        <v>72082</v>
      </c>
      <c r="C33030" s="2">
        <v>3.9634146341463401E-2</v>
      </c>
      <c r="D33030" s="2">
        <v>2.25611693676517E-2</v>
      </c>
      <c r="E33030" s="2">
        <v>2.8662420382165599E-2</v>
      </c>
      <c r="F33030" s="2">
        <v>3.8239422037134999E-2</v>
      </c>
    </row>
    <row r="33031" spans="1:6" x14ac:dyDescent="0.25">
      <c r="A33031" s="1" t="str">
        <f t="shared" si="1178"/>
        <v>42620</v>
      </c>
      <c r="B33031" s="1" t="str">
        <f>"72178"</f>
        <v>72178</v>
      </c>
      <c r="C33031" s="2">
        <v>0</v>
      </c>
      <c r="D33031" s="2">
        <v>0</v>
      </c>
      <c r="E33031" s="2">
        <v>1.5923566878980799E-3</v>
      </c>
      <c r="F33031" s="2">
        <v>2.30080758346179E-5</v>
      </c>
    </row>
    <row r="33032" spans="1:6" x14ac:dyDescent="0.25">
      <c r="A33032" s="1" t="str">
        <f t="shared" si="1178"/>
        <v>42620</v>
      </c>
      <c r="B33032" s="1" t="str">
        <f>"72149"</f>
        <v>72149</v>
      </c>
      <c r="C33032" s="2">
        <v>0</v>
      </c>
      <c r="D33032" s="2">
        <v>6.3552589768032998E-4</v>
      </c>
      <c r="E33032" s="2">
        <v>0</v>
      </c>
      <c r="F33032" s="2">
        <v>4.6016151669235901E-5</v>
      </c>
    </row>
    <row r="33033" spans="1:6" x14ac:dyDescent="0.25">
      <c r="A33033" s="1" t="str">
        <f t="shared" si="1178"/>
        <v>42620</v>
      </c>
      <c r="B33033" s="1" t="str">
        <f>"72568"</f>
        <v>72568</v>
      </c>
      <c r="C33033" s="2">
        <v>7.8109252166901804E-4</v>
      </c>
      <c r="D33033" s="2">
        <v>3.1776294884016499E-4</v>
      </c>
      <c r="E33033" s="2">
        <v>0</v>
      </c>
      <c r="F33033" s="2">
        <v>7.3625842670777398E-4</v>
      </c>
    </row>
    <row r="33034" spans="1:6" x14ac:dyDescent="0.25">
      <c r="A33034" s="1" t="str">
        <f t="shared" si="1178"/>
        <v>42620</v>
      </c>
      <c r="B33034" s="1" t="str">
        <f>"72081"</f>
        <v>72081</v>
      </c>
      <c r="C33034" s="2">
        <v>0.121724450715581</v>
      </c>
      <c r="D33034" s="2">
        <v>4.8299968223705102E-2</v>
      </c>
      <c r="E33034" s="2">
        <v>3.8216560509554097E-2</v>
      </c>
      <c r="F33034" s="2">
        <v>0.115201435703932</v>
      </c>
    </row>
    <row r="33035" spans="1:6" x14ac:dyDescent="0.25">
      <c r="A33035" s="1" t="str">
        <f t="shared" si="1178"/>
        <v>42620</v>
      </c>
      <c r="B33035" s="1" t="str">
        <f>"72121"</f>
        <v>72121</v>
      </c>
      <c r="C33035" s="2">
        <v>2.8371296109655299E-2</v>
      </c>
      <c r="D33035" s="2">
        <v>1.2074992055926201E-2</v>
      </c>
      <c r="E33035" s="2">
        <v>1.1146496815286599E-2</v>
      </c>
      <c r="F33035" s="2">
        <v>2.6942456802337599E-2</v>
      </c>
    </row>
    <row r="33036" spans="1:6" x14ac:dyDescent="0.25">
      <c r="A33036" s="1" t="str">
        <f t="shared" si="1178"/>
        <v>42620</v>
      </c>
      <c r="B33036" s="1" t="str">
        <f>"72085"</f>
        <v>72085</v>
      </c>
      <c r="C33036" s="2">
        <v>5.0393065914130203E-5</v>
      </c>
      <c r="D33036" s="2">
        <v>0</v>
      </c>
      <c r="E33036" s="2">
        <v>1.5923566878980799E-3</v>
      </c>
      <c r="F33036" s="2">
        <v>6.9024227503853804E-5</v>
      </c>
    </row>
    <row r="33037" spans="1:6" x14ac:dyDescent="0.25">
      <c r="A33037" s="1" t="str">
        <f t="shared" ref="A33037:A33068" si="1179">"42644"</f>
        <v>42644</v>
      </c>
      <c r="B33037" s="1" t="str">
        <f>"98292"</f>
        <v>98292</v>
      </c>
      <c r="C33037" s="2">
        <v>1.23228589032655E-3</v>
      </c>
      <c r="D33037" s="2">
        <v>4.5045045045045001E-3</v>
      </c>
      <c r="E33037" s="2">
        <v>5.8675607711651196E-3</v>
      </c>
      <c r="F33037" s="2">
        <v>2.3537013106885701E-3</v>
      </c>
    </row>
    <row r="33038" spans="1:6" x14ac:dyDescent="0.25">
      <c r="A33038" s="1" t="str">
        <f t="shared" si="1179"/>
        <v>42644</v>
      </c>
      <c r="B33038" s="1" t="str">
        <f>"98296"</f>
        <v>98296</v>
      </c>
      <c r="C33038" s="2">
        <v>3.2655576093653699E-3</v>
      </c>
      <c r="D33038" s="2">
        <v>0</v>
      </c>
      <c r="E33038" s="2">
        <v>2.0955574182732599E-4</v>
      </c>
      <c r="F33038" s="2">
        <v>2.49215432896437E-3</v>
      </c>
    </row>
    <row r="33039" spans="1:6" x14ac:dyDescent="0.25">
      <c r="A33039" s="1" t="str">
        <f t="shared" si="1179"/>
        <v>42644</v>
      </c>
      <c r="B33039" s="1" t="str">
        <f>"98027"</f>
        <v>98027</v>
      </c>
      <c r="C33039" s="2">
        <v>9.5502156500308008E-3</v>
      </c>
      <c r="D33039" s="2">
        <v>3.0030030030029999E-3</v>
      </c>
      <c r="E33039" s="2">
        <v>8.1517183570829793E-2</v>
      </c>
      <c r="F33039" s="2">
        <v>2.5198449326195301E-2</v>
      </c>
    </row>
    <row r="33040" spans="1:6" x14ac:dyDescent="0.25">
      <c r="A33040" s="1" t="str">
        <f t="shared" si="1179"/>
        <v>42644</v>
      </c>
      <c r="B33040" s="1" t="str">
        <f>"98144"</f>
        <v>98144</v>
      </c>
      <c r="C33040" s="2">
        <v>1.1706715958102199E-2</v>
      </c>
      <c r="D33040" s="2">
        <v>1.8018018018018001E-2</v>
      </c>
      <c r="E33040" s="2">
        <v>2.5146689019279098E-3</v>
      </c>
      <c r="F33040" s="2">
        <v>9.8763153036736193E-3</v>
      </c>
    </row>
    <row r="33041" spans="1:6" x14ac:dyDescent="0.25">
      <c r="A33041" s="1" t="str">
        <f t="shared" si="1179"/>
        <v>42644</v>
      </c>
      <c r="B33041" s="1" t="str">
        <f>"98118"</f>
        <v>98118</v>
      </c>
      <c r="C33041" s="2">
        <v>1.25693160813308E-2</v>
      </c>
      <c r="D33041" s="2">
        <v>6.0060060060059999E-3</v>
      </c>
      <c r="E33041" s="2">
        <v>1.2573344509639499E-3</v>
      </c>
      <c r="F33041" s="2">
        <v>9.8763153036736193E-3</v>
      </c>
    </row>
    <row r="33042" spans="1:6" x14ac:dyDescent="0.25">
      <c r="A33042" s="1" t="str">
        <f t="shared" si="1179"/>
        <v>42644</v>
      </c>
      <c r="B33042" s="1" t="str">
        <f>"98108"</f>
        <v>98108</v>
      </c>
      <c r="C33042" s="2">
        <v>6.8391866913123803E-3</v>
      </c>
      <c r="D33042" s="2">
        <v>1.5015015015014999E-2</v>
      </c>
      <c r="E33042" s="2">
        <v>1.4668901927912799E-3</v>
      </c>
      <c r="F33042" s="2">
        <v>5.9073287797673903E-3</v>
      </c>
    </row>
    <row r="33043" spans="1:6" x14ac:dyDescent="0.25">
      <c r="A33043" s="1" t="str">
        <f t="shared" si="1179"/>
        <v>42644</v>
      </c>
      <c r="B33043" s="1" t="str">
        <f>"98038"</f>
        <v>98038</v>
      </c>
      <c r="C33043" s="2">
        <v>6.0998151571164498E-3</v>
      </c>
      <c r="D33043" s="2">
        <v>6.0060060060059999E-3</v>
      </c>
      <c r="E33043" s="2">
        <v>4.1911148365465198E-4</v>
      </c>
      <c r="F33043" s="2">
        <v>4.8458556396529396E-3</v>
      </c>
    </row>
    <row r="33044" spans="1:6" x14ac:dyDescent="0.25">
      <c r="A33044" s="1" t="str">
        <f t="shared" si="1179"/>
        <v>42644</v>
      </c>
      <c r="B33044" s="1" t="str">
        <f>"98031"</f>
        <v>98031</v>
      </c>
      <c r="C33044" s="2">
        <v>3.6968576709796599E-3</v>
      </c>
      <c r="D33044" s="2">
        <v>1.0510510510510499E-2</v>
      </c>
      <c r="E33044" s="2">
        <v>1.0477787091366299E-3</v>
      </c>
      <c r="F33044" s="2">
        <v>3.3228724386191598E-3</v>
      </c>
    </row>
    <row r="33045" spans="1:6" x14ac:dyDescent="0.25">
      <c r="A33045" s="1" t="str">
        <f t="shared" si="1179"/>
        <v>42644</v>
      </c>
      <c r="B33045" s="1" t="str">
        <f>"98168"</f>
        <v>98168</v>
      </c>
      <c r="C33045" s="2">
        <v>5.5452865064695004E-4</v>
      </c>
      <c r="D33045" s="2">
        <v>1.35135135135135E-2</v>
      </c>
      <c r="E33045" s="2">
        <v>1.4668901927912799E-3</v>
      </c>
      <c r="F33045" s="2">
        <v>1.1537751522983199E-3</v>
      </c>
    </row>
    <row r="33046" spans="1:6" x14ac:dyDescent="0.25">
      <c r="A33046" s="1" t="str">
        <f t="shared" si="1179"/>
        <v>42644</v>
      </c>
      <c r="B33046" s="1" t="str">
        <f>"98014"</f>
        <v>98014</v>
      </c>
      <c r="C33046" s="2">
        <v>2.4645717806531098E-4</v>
      </c>
      <c r="D33046" s="2">
        <v>0</v>
      </c>
      <c r="E33046" s="2">
        <v>2.0955574182732599E-4</v>
      </c>
      <c r="F33046" s="2">
        <v>2.30755030459664E-4</v>
      </c>
    </row>
    <row r="33047" spans="1:6" x14ac:dyDescent="0.25">
      <c r="A33047" s="1" t="str">
        <f t="shared" si="1179"/>
        <v>42644</v>
      </c>
      <c r="B33047" s="1" t="str">
        <f>"98251"</f>
        <v>98251</v>
      </c>
      <c r="C33047" s="2">
        <v>3.6968576709796601E-4</v>
      </c>
      <c r="D33047" s="2">
        <v>1.5015015015015E-3</v>
      </c>
      <c r="E33047" s="2">
        <v>4.1911148365465198E-4</v>
      </c>
      <c r="F33047" s="2">
        <v>4.1535905482739498E-4</v>
      </c>
    </row>
    <row r="33048" spans="1:6" x14ac:dyDescent="0.25">
      <c r="A33048" s="1" t="str">
        <f t="shared" si="1179"/>
        <v>42644</v>
      </c>
      <c r="B33048" s="1" t="str">
        <f>"98117"</f>
        <v>98117</v>
      </c>
      <c r="C33048" s="2">
        <v>4.8059149722735599E-3</v>
      </c>
      <c r="D33048" s="2">
        <v>0</v>
      </c>
      <c r="E33048" s="2">
        <v>6.28667225481978E-4</v>
      </c>
      <c r="F33048" s="2">
        <v>3.73823149344655E-3</v>
      </c>
    </row>
    <row r="33049" spans="1:6" x14ac:dyDescent="0.25">
      <c r="A33049" s="1" t="str">
        <f t="shared" si="1179"/>
        <v>42644</v>
      </c>
      <c r="B33049" s="1" t="str">
        <f>"98043"</f>
        <v>98043</v>
      </c>
      <c r="C33049" s="2">
        <v>1.6635859519408499E-3</v>
      </c>
      <c r="D33049" s="2">
        <v>3.0030030030029999E-3</v>
      </c>
      <c r="E33049" s="2">
        <v>1.0477787091366299E-3</v>
      </c>
      <c r="F33049" s="2">
        <v>1.5691342071257101E-3</v>
      </c>
    </row>
    <row r="33050" spans="1:6" x14ac:dyDescent="0.25">
      <c r="A33050" s="1" t="str">
        <f t="shared" si="1179"/>
        <v>42644</v>
      </c>
      <c r="B33050" s="1" t="str">
        <f>"98158"</f>
        <v>98158</v>
      </c>
      <c r="C33050" s="2">
        <v>0</v>
      </c>
      <c r="D33050" s="2">
        <v>0</v>
      </c>
      <c r="E33050" s="2">
        <v>2.0955574182732599E-4</v>
      </c>
      <c r="F33050" s="2">
        <v>4.6151006091932798E-5</v>
      </c>
    </row>
    <row r="33051" spans="1:6" x14ac:dyDescent="0.25">
      <c r="A33051" s="1" t="str">
        <f t="shared" si="1179"/>
        <v>42644</v>
      </c>
      <c r="B33051" s="1" t="str">
        <f>"98055"</f>
        <v>98055</v>
      </c>
      <c r="C33051" s="2">
        <v>4.5594577942082498E-3</v>
      </c>
      <c r="D33051" s="2">
        <v>1.5015015015015E-3</v>
      </c>
      <c r="E33051" s="2">
        <v>1.0477787091366299E-3</v>
      </c>
      <c r="F33051" s="2">
        <v>3.6920804873546201E-3</v>
      </c>
    </row>
    <row r="33052" spans="1:6" x14ac:dyDescent="0.25">
      <c r="A33052" s="1" t="str">
        <f t="shared" si="1179"/>
        <v>42644</v>
      </c>
      <c r="B33052" s="1" t="str">
        <f>"98012"</f>
        <v>98012</v>
      </c>
      <c r="C33052" s="2">
        <v>3.0991990141712802E-2</v>
      </c>
      <c r="D33052" s="2">
        <v>1.8018018018018001E-2</v>
      </c>
      <c r="E33052" s="2">
        <v>1.802179379715E-2</v>
      </c>
      <c r="F33052" s="2">
        <v>2.7736754661251601E-2</v>
      </c>
    </row>
    <row r="33053" spans="1:6" x14ac:dyDescent="0.25">
      <c r="A33053" s="1" t="str">
        <f t="shared" si="1179"/>
        <v>42644</v>
      </c>
      <c r="B33053" s="1" t="str">
        <f>"98005"</f>
        <v>98005</v>
      </c>
      <c r="C33053" s="2">
        <v>1.97165742452248E-3</v>
      </c>
      <c r="D33053" s="2">
        <v>1.0510510510510499E-2</v>
      </c>
      <c r="E33053" s="2">
        <v>6.28667225481978E-3</v>
      </c>
      <c r="F33053" s="2">
        <v>3.1844194203433599E-3</v>
      </c>
    </row>
    <row r="33054" spans="1:6" x14ac:dyDescent="0.25">
      <c r="A33054" s="1" t="str">
        <f t="shared" si="1179"/>
        <v>42644</v>
      </c>
      <c r="B33054" s="1" t="str">
        <f>"98077"</f>
        <v>98077</v>
      </c>
      <c r="C33054" s="2">
        <v>0</v>
      </c>
      <c r="D33054" s="2">
        <v>0</v>
      </c>
      <c r="E33054" s="2">
        <v>6.28667225481978E-4</v>
      </c>
      <c r="F33054" s="2">
        <v>1.38453018275798E-4</v>
      </c>
    </row>
    <row r="33055" spans="1:6" x14ac:dyDescent="0.25">
      <c r="A33055" s="1" t="str">
        <f t="shared" si="1179"/>
        <v>42644</v>
      </c>
      <c r="B33055" s="1" t="str">
        <f>"98045"</f>
        <v>98045</v>
      </c>
      <c r="C33055" s="2">
        <v>1.1090573012939E-2</v>
      </c>
      <c r="D33055" s="2">
        <v>1.5015015015015E-3</v>
      </c>
      <c r="E33055" s="2">
        <v>8.3822296730930396E-4</v>
      </c>
      <c r="F33055" s="2">
        <v>8.5379361270075602E-3</v>
      </c>
    </row>
    <row r="33056" spans="1:6" x14ac:dyDescent="0.25">
      <c r="A33056" s="1" t="str">
        <f t="shared" si="1179"/>
        <v>42644</v>
      </c>
      <c r="B33056" s="1" t="str">
        <f>"98023"</f>
        <v>98023</v>
      </c>
      <c r="C33056" s="2">
        <v>1.23228589032655E-4</v>
      </c>
      <c r="D33056" s="2">
        <v>0</v>
      </c>
      <c r="E33056" s="2">
        <v>4.8197820620284899E-3</v>
      </c>
      <c r="F33056" s="2">
        <v>1.1537751522983199E-3</v>
      </c>
    </row>
    <row r="33057" spans="1:6" x14ac:dyDescent="0.25">
      <c r="A33057" s="1" t="str">
        <f t="shared" si="1179"/>
        <v>42644</v>
      </c>
      <c r="B33057" s="1" t="str">
        <f>"98034"</f>
        <v>98034</v>
      </c>
      <c r="C33057" s="2">
        <v>4.8059149722735599E-3</v>
      </c>
      <c r="D33057" s="2">
        <v>5.8558558558558502E-2</v>
      </c>
      <c r="E33057" s="2">
        <v>2.9966471081307601E-2</v>
      </c>
      <c r="F33057" s="2">
        <v>1.19992615839025E-2</v>
      </c>
    </row>
    <row r="33058" spans="1:6" x14ac:dyDescent="0.25">
      <c r="A33058" s="1" t="str">
        <f t="shared" si="1179"/>
        <v>42644</v>
      </c>
      <c r="B33058" s="1" t="str">
        <f>"98119"</f>
        <v>98119</v>
      </c>
      <c r="C33058" s="2">
        <v>2.0209488601355501E-2</v>
      </c>
      <c r="D33058" s="2">
        <v>3.0030030030029999E-3</v>
      </c>
      <c r="E33058" s="2">
        <v>4.4006705783738399E-3</v>
      </c>
      <c r="F33058" s="2">
        <v>1.61990031382684E-2</v>
      </c>
    </row>
    <row r="33059" spans="1:6" x14ac:dyDescent="0.25">
      <c r="A33059" s="1" t="str">
        <f t="shared" si="1179"/>
        <v>42644</v>
      </c>
      <c r="B33059" s="1" t="str">
        <f>"98087"</f>
        <v>98087</v>
      </c>
      <c r="C33059" s="2">
        <v>1.0166358595194E-2</v>
      </c>
      <c r="D33059" s="2">
        <v>4.5045045045045001E-3</v>
      </c>
      <c r="E33059" s="2">
        <v>2.0955574182732598E-3</v>
      </c>
      <c r="F33059" s="2">
        <v>8.2148790843640292E-3</v>
      </c>
    </row>
    <row r="33060" spans="1:6" x14ac:dyDescent="0.25">
      <c r="A33060" s="1" t="str">
        <f t="shared" si="1179"/>
        <v>42644</v>
      </c>
      <c r="B33060" s="1" t="str">
        <f>"98271"</f>
        <v>98271</v>
      </c>
      <c r="C33060" s="2">
        <v>8.6260012322858905E-4</v>
      </c>
      <c r="D33060" s="2">
        <v>7.5075075075074996E-3</v>
      </c>
      <c r="E33060" s="2">
        <v>1.4668901927912799E-3</v>
      </c>
      <c r="F33060" s="2">
        <v>1.1999261583902499E-3</v>
      </c>
    </row>
    <row r="33061" spans="1:6" x14ac:dyDescent="0.25">
      <c r="A33061" s="1" t="str">
        <f t="shared" si="1179"/>
        <v>42644</v>
      </c>
      <c r="B33061" s="1" t="str">
        <f>"98007"</f>
        <v>98007</v>
      </c>
      <c r="C33061" s="2">
        <v>0</v>
      </c>
      <c r="D33061" s="2">
        <v>1.2012012012012E-2</v>
      </c>
      <c r="E33061" s="2">
        <v>5.4484492875104696E-3</v>
      </c>
      <c r="F33061" s="2">
        <v>1.5691342071257101E-3</v>
      </c>
    </row>
    <row r="33062" spans="1:6" x14ac:dyDescent="0.25">
      <c r="A33062" s="1" t="str">
        <f t="shared" si="1179"/>
        <v>42644</v>
      </c>
      <c r="B33062" s="1" t="str">
        <f>"98109"</f>
        <v>98109</v>
      </c>
      <c r="C33062" s="2">
        <v>5.2248921749845897E-2</v>
      </c>
      <c r="D33062" s="2">
        <v>1.5015015015014999E-2</v>
      </c>
      <c r="E33062" s="2">
        <v>2.0955574182732598E-3</v>
      </c>
      <c r="F33062" s="2">
        <v>4.0059073287797599E-2</v>
      </c>
    </row>
    <row r="33063" spans="1:6" x14ac:dyDescent="0.25">
      <c r="A33063" s="1" t="str">
        <f t="shared" si="1179"/>
        <v>42644</v>
      </c>
      <c r="B33063" s="1" t="str">
        <f>"98174"</f>
        <v>98174</v>
      </c>
      <c r="C33063" s="2">
        <v>0</v>
      </c>
      <c r="D33063" s="2">
        <v>0</v>
      </c>
      <c r="E33063" s="2">
        <v>2.0955574182732599E-4</v>
      </c>
      <c r="F33063" s="2">
        <v>4.6151006091932798E-5</v>
      </c>
    </row>
    <row r="33064" spans="1:6" x14ac:dyDescent="0.25">
      <c r="A33064" s="1" t="str">
        <f t="shared" si="1179"/>
        <v>42644</v>
      </c>
      <c r="B33064" s="1" t="str">
        <f>"98166"</f>
        <v>98166</v>
      </c>
      <c r="C33064" s="2">
        <v>1.84842883548983E-4</v>
      </c>
      <c r="D33064" s="2">
        <v>3.0030030030029999E-3</v>
      </c>
      <c r="E33064" s="2">
        <v>0</v>
      </c>
      <c r="F33064" s="2">
        <v>2.30755030459664E-4</v>
      </c>
    </row>
    <row r="33065" spans="1:6" x14ac:dyDescent="0.25">
      <c r="A33065" s="1" t="str">
        <f t="shared" si="1179"/>
        <v>42644</v>
      </c>
      <c r="B33065" s="1" t="str">
        <f>"98002"</f>
        <v>98002</v>
      </c>
      <c r="C33065" s="2">
        <v>2.4645717806531098E-4</v>
      </c>
      <c r="D33065" s="2">
        <v>3.0030030030029999E-3</v>
      </c>
      <c r="E33065" s="2">
        <v>7.5440067057837299E-3</v>
      </c>
      <c r="F33065" s="2">
        <v>1.9383422558611699E-3</v>
      </c>
    </row>
    <row r="33066" spans="1:6" x14ac:dyDescent="0.25">
      <c r="A33066" s="1" t="str">
        <f t="shared" si="1179"/>
        <v>42644</v>
      </c>
      <c r="B33066" s="1" t="str">
        <f>"98252"</f>
        <v>98252</v>
      </c>
      <c r="C33066" s="2">
        <v>8.1330868761552606E-3</v>
      </c>
      <c r="D33066" s="2">
        <v>3.0030030030029999E-3</v>
      </c>
      <c r="E33066" s="2">
        <v>1.0477787091366299E-3</v>
      </c>
      <c r="F33066" s="2">
        <v>6.4149898467786501E-3</v>
      </c>
    </row>
    <row r="33067" spans="1:6" x14ac:dyDescent="0.25">
      <c r="A33067" s="1" t="str">
        <f t="shared" si="1179"/>
        <v>42644</v>
      </c>
      <c r="B33067" s="1" t="str">
        <f>"98121"</f>
        <v>98121</v>
      </c>
      <c r="C33067" s="2">
        <v>2.9944547134935301E-2</v>
      </c>
      <c r="D33067" s="2">
        <v>1.35135135135135E-2</v>
      </c>
      <c r="E33067" s="2">
        <v>2.0955574182732598E-3</v>
      </c>
      <c r="F33067" s="2">
        <v>2.3306258076426001E-2</v>
      </c>
    </row>
    <row r="33068" spans="1:6" x14ac:dyDescent="0.25">
      <c r="A33068" s="1" t="str">
        <f t="shared" si="1179"/>
        <v>42644</v>
      </c>
      <c r="B33068" s="1" t="str">
        <f>"98008"</f>
        <v>98008</v>
      </c>
      <c r="C33068" s="2">
        <v>4.9291435613062196E-4</v>
      </c>
      <c r="D33068" s="2">
        <v>1.5015015015015E-3</v>
      </c>
      <c r="E33068" s="2">
        <v>3.9815590947191899E-3</v>
      </c>
      <c r="F33068" s="2">
        <v>1.29222817057411E-3</v>
      </c>
    </row>
    <row r="33069" spans="1:6" x14ac:dyDescent="0.25">
      <c r="A33069" s="1" t="str">
        <f t="shared" ref="A33069:A33100" si="1180">"42644"</f>
        <v>42644</v>
      </c>
      <c r="B33069" s="1" t="str">
        <f>"98199"</f>
        <v>98199</v>
      </c>
      <c r="C33069" s="2">
        <v>6.1614294516327704E-5</v>
      </c>
      <c r="D33069" s="2">
        <v>6.0060060060059999E-3</v>
      </c>
      <c r="E33069" s="2">
        <v>1.2573344509639499E-3</v>
      </c>
      <c r="F33069" s="2">
        <v>5.0766106701126E-4</v>
      </c>
    </row>
    <row r="33070" spans="1:6" x14ac:dyDescent="0.25">
      <c r="A33070" s="1" t="str">
        <f t="shared" si="1180"/>
        <v>42644</v>
      </c>
      <c r="B33070" s="1" t="str">
        <f>"98201"</f>
        <v>98201</v>
      </c>
      <c r="C33070" s="2">
        <v>1.23228589032655E-3</v>
      </c>
      <c r="D33070" s="2">
        <v>1.2012012012012E-2</v>
      </c>
      <c r="E33070" s="2">
        <v>3.3528918692372102E-3</v>
      </c>
      <c r="F33070" s="2">
        <v>2.03064426804504E-3</v>
      </c>
    </row>
    <row r="33071" spans="1:6" x14ac:dyDescent="0.25">
      <c r="A33071" s="1" t="str">
        <f t="shared" si="1180"/>
        <v>42644</v>
      </c>
      <c r="B33071" s="1" t="str">
        <f>"98204"</f>
        <v>98204</v>
      </c>
      <c r="C33071" s="2">
        <v>4.5594577942082498E-3</v>
      </c>
      <c r="D33071" s="2">
        <v>2.1021021021020998E-2</v>
      </c>
      <c r="E33071" s="2">
        <v>8.3822296730930396E-4</v>
      </c>
      <c r="F33071" s="2">
        <v>4.2458925604578097E-3</v>
      </c>
    </row>
    <row r="33072" spans="1:6" x14ac:dyDescent="0.25">
      <c r="A33072" s="1" t="str">
        <f t="shared" si="1180"/>
        <v>42644</v>
      </c>
      <c r="B33072" s="1" t="str">
        <f>"98056"</f>
        <v>98056</v>
      </c>
      <c r="C33072" s="2">
        <v>8.0098582871226097E-4</v>
      </c>
      <c r="D33072" s="2">
        <v>0</v>
      </c>
      <c r="E33072" s="2">
        <v>1.0896898575020899E-2</v>
      </c>
      <c r="F33072" s="2">
        <v>2.9998153959756302E-3</v>
      </c>
    </row>
    <row r="33073" spans="1:6" x14ac:dyDescent="0.25">
      <c r="A33073" s="1" t="str">
        <f t="shared" si="1180"/>
        <v>42644</v>
      </c>
      <c r="B33073" s="1" t="str">
        <f>"98026"</f>
        <v>98026</v>
      </c>
      <c r="C33073" s="2">
        <v>2.2181146025878002E-3</v>
      </c>
      <c r="D33073" s="2">
        <v>0</v>
      </c>
      <c r="E33073" s="2">
        <v>6.0771165129924502E-3</v>
      </c>
      <c r="F33073" s="2">
        <v>2.9998153959756302E-3</v>
      </c>
    </row>
    <row r="33074" spans="1:6" x14ac:dyDescent="0.25">
      <c r="A33074" s="1" t="str">
        <f t="shared" si="1180"/>
        <v>42644</v>
      </c>
      <c r="B33074" s="1" t="str">
        <f>"98126"</f>
        <v>98126</v>
      </c>
      <c r="C33074" s="2">
        <v>5.5452865064695004E-4</v>
      </c>
      <c r="D33074" s="2">
        <v>1.5015015015015E-3</v>
      </c>
      <c r="E33074" s="2">
        <v>2.0955574182732599E-4</v>
      </c>
      <c r="F33074" s="2">
        <v>5.0766106701126E-4</v>
      </c>
    </row>
    <row r="33075" spans="1:6" x14ac:dyDescent="0.25">
      <c r="A33075" s="1" t="str">
        <f t="shared" si="1180"/>
        <v>42644</v>
      </c>
      <c r="B33075" s="1" t="str">
        <f>"98047"</f>
        <v>98047</v>
      </c>
      <c r="C33075" s="2">
        <v>8.0098582871226097E-4</v>
      </c>
      <c r="D33075" s="2">
        <v>0</v>
      </c>
      <c r="E33075" s="2">
        <v>1.0477787091366299E-3</v>
      </c>
      <c r="F33075" s="2">
        <v>8.3071810965478995E-4</v>
      </c>
    </row>
    <row r="33076" spans="1:6" x14ac:dyDescent="0.25">
      <c r="A33076" s="1" t="str">
        <f t="shared" si="1180"/>
        <v>42644</v>
      </c>
      <c r="B33076" s="1" t="str">
        <f>"98177"</f>
        <v>98177</v>
      </c>
      <c r="C33076" s="2">
        <v>0</v>
      </c>
      <c r="D33076" s="2">
        <v>0</v>
      </c>
      <c r="E33076" s="2">
        <v>3.5624476110645399E-3</v>
      </c>
      <c r="F33076" s="2">
        <v>7.8456710356285698E-4</v>
      </c>
    </row>
    <row r="33077" spans="1:6" x14ac:dyDescent="0.25">
      <c r="A33077" s="1" t="str">
        <f t="shared" si="1180"/>
        <v>42644</v>
      </c>
      <c r="B33077" s="1" t="str">
        <f>"98030"</f>
        <v>98030</v>
      </c>
      <c r="C33077" s="2">
        <v>1.23228589032655E-4</v>
      </c>
      <c r="D33077" s="2">
        <v>6.0060060060059999E-3</v>
      </c>
      <c r="E33077" s="2">
        <v>4.1911148365465197E-3</v>
      </c>
      <c r="F33077" s="2">
        <v>1.1999261583902499E-3</v>
      </c>
    </row>
    <row r="33078" spans="1:6" x14ac:dyDescent="0.25">
      <c r="A33078" s="1" t="str">
        <f t="shared" si="1180"/>
        <v>42644</v>
      </c>
      <c r="B33078" s="1" t="str">
        <f>"98203"</f>
        <v>98203</v>
      </c>
      <c r="C33078" s="2">
        <v>5.5452865064695004E-4</v>
      </c>
      <c r="D33078" s="2">
        <v>0</v>
      </c>
      <c r="E33078" s="2">
        <v>8.3822296730930396E-4</v>
      </c>
      <c r="F33078" s="2">
        <v>5.9996307919512595E-4</v>
      </c>
    </row>
    <row r="33079" spans="1:6" x14ac:dyDescent="0.25">
      <c r="A33079" s="1" t="str">
        <f t="shared" si="1180"/>
        <v>42644</v>
      </c>
      <c r="B33079" s="1" t="str">
        <f>"98028"</f>
        <v>98028</v>
      </c>
      <c r="C33079" s="2">
        <v>2.34134319162045E-3</v>
      </c>
      <c r="D33079" s="2">
        <v>4.5045045045045001E-3</v>
      </c>
      <c r="E33079" s="2">
        <v>5.0293378038558196E-3</v>
      </c>
      <c r="F33079" s="2">
        <v>2.9998153959756302E-3</v>
      </c>
    </row>
    <row r="33080" spans="1:6" x14ac:dyDescent="0.25">
      <c r="A33080" s="1" t="str">
        <f t="shared" si="1180"/>
        <v>42644</v>
      </c>
      <c r="B33080" s="1" t="str">
        <f>"98029"</f>
        <v>98029</v>
      </c>
      <c r="C33080" s="2">
        <v>1.1460258780036901E-2</v>
      </c>
      <c r="D33080" s="2">
        <v>0</v>
      </c>
      <c r="E33080" s="2">
        <v>4.1911148365465198E-4</v>
      </c>
      <c r="F33080" s="2">
        <v>8.6763891452833596E-3</v>
      </c>
    </row>
    <row r="33081" spans="1:6" x14ac:dyDescent="0.25">
      <c r="A33081" s="1" t="str">
        <f t="shared" si="1180"/>
        <v>42644</v>
      </c>
      <c r="B33081" s="1" t="str">
        <f>"98033"</f>
        <v>98033</v>
      </c>
      <c r="C33081" s="2">
        <v>3.9433148490449696E-3</v>
      </c>
      <c r="D33081" s="2">
        <v>4.9549549549549501E-2</v>
      </c>
      <c r="E33081" s="2">
        <v>1.7602682313495301E-2</v>
      </c>
      <c r="F33081" s="2">
        <v>8.3533321026398304E-3</v>
      </c>
    </row>
    <row r="33082" spans="1:6" x14ac:dyDescent="0.25">
      <c r="A33082" s="1" t="str">
        <f t="shared" si="1180"/>
        <v>42644</v>
      </c>
      <c r="B33082" s="1" t="str">
        <f>"98105"</f>
        <v>98105</v>
      </c>
      <c r="C33082" s="2">
        <v>2.4584103512014701E-2</v>
      </c>
      <c r="D33082" s="2">
        <v>1.9519519519519499E-2</v>
      </c>
      <c r="E33082" s="2">
        <v>2.72422464375523E-3</v>
      </c>
      <c r="F33082" s="2">
        <v>1.9614177589071399E-2</v>
      </c>
    </row>
    <row r="33083" spans="1:6" x14ac:dyDescent="0.25">
      <c r="A33083" s="1" t="str">
        <f t="shared" si="1180"/>
        <v>42644</v>
      </c>
      <c r="B33083" s="1" t="str">
        <f>"98057"</f>
        <v>98057</v>
      </c>
      <c r="C33083" s="2">
        <v>0</v>
      </c>
      <c r="D33083" s="2">
        <v>1.6516516516516502E-2</v>
      </c>
      <c r="E33083" s="2">
        <v>3.14333612740989E-3</v>
      </c>
      <c r="F33083" s="2">
        <v>1.1999261583902499E-3</v>
      </c>
    </row>
    <row r="33084" spans="1:6" x14ac:dyDescent="0.25">
      <c r="A33084" s="1" t="str">
        <f t="shared" si="1180"/>
        <v>42644</v>
      </c>
      <c r="B33084" s="1" t="str">
        <f>"98058"</f>
        <v>98058</v>
      </c>
      <c r="C33084" s="2">
        <v>9.3653727664818193E-3</v>
      </c>
      <c r="D33084" s="2">
        <v>0</v>
      </c>
      <c r="E33084" s="2">
        <v>5.4065381391450097E-2</v>
      </c>
      <c r="F33084" s="2">
        <v>1.89219124976924E-2</v>
      </c>
    </row>
    <row r="33085" spans="1:6" x14ac:dyDescent="0.25">
      <c r="A33085" s="1" t="str">
        <f t="shared" si="1180"/>
        <v>42644</v>
      </c>
      <c r="B33085" s="1" t="str">
        <f>"98161"</f>
        <v>98161</v>
      </c>
      <c r="C33085" s="2">
        <v>0</v>
      </c>
      <c r="D33085" s="2">
        <v>0</v>
      </c>
      <c r="E33085" s="2">
        <v>2.0955574182732599E-4</v>
      </c>
      <c r="F33085" s="2">
        <v>4.6151006091932798E-5</v>
      </c>
    </row>
    <row r="33086" spans="1:6" x14ac:dyDescent="0.25">
      <c r="A33086" s="1" t="str">
        <f t="shared" si="1180"/>
        <v>42644</v>
      </c>
      <c r="B33086" s="1" t="str">
        <f>"98131"</f>
        <v>98131</v>
      </c>
      <c r="C33086" s="2">
        <v>0</v>
      </c>
      <c r="D33086" s="2">
        <v>0</v>
      </c>
      <c r="E33086" s="2">
        <v>2.0955574182732599E-4</v>
      </c>
      <c r="F33086" s="2">
        <v>4.6151006091932798E-5</v>
      </c>
    </row>
    <row r="33087" spans="1:6" x14ac:dyDescent="0.25">
      <c r="A33087" s="1" t="str">
        <f t="shared" si="1180"/>
        <v>42644</v>
      </c>
      <c r="B33087" s="1" t="str">
        <f>"98146"</f>
        <v>98146</v>
      </c>
      <c r="C33087" s="2">
        <v>6.7775723967960502E-4</v>
      </c>
      <c r="D33087" s="2">
        <v>0</v>
      </c>
      <c r="E33087" s="2">
        <v>1.0477787091366299E-3</v>
      </c>
      <c r="F33087" s="2">
        <v>7.38416097470924E-4</v>
      </c>
    </row>
    <row r="33088" spans="1:6" x14ac:dyDescent="0.25">
      <c r="A33088" s="1" t="str">
        <f t="shared" si="1180"/>
        <v>42644</v>
      </c>
      <c r="B33088" s="1" t="str">
        <f>"98178"</f>
        <v>98178</v>
      </c>
      <c r="C33088" s="2">
        <v>2.4645717806531098E-4</v>
      </c>
      <c r="D33088" s="2">
        <v>0</v>
      </c>
      <c r="E33088" s="2">
        <v>0</v>
      </c>
      <c r="F33088" s="2">
        <v>1.84604024367731E-4</v>
      </c>
    </row>
    <row r="33089" spans="1:6" x14ac:dyDescent="0.25">
      <c r="A33089" s="1" t="str">
        <f t="shared" si="1180"/>
        <v>42644</v>
      </c>
      <c r="B33089" s="1" t="str">
        <f>"98136"</f>
        <v>98136</v>
      </c>
      <c r="C33089" s="2">
        <v>4.3130006161429398E-4</v>
      </c>
      <c r="D33089" s="2">
        <v>0</v>
      </c>
      <c r="E33089" s="2">
        <v>6.28667225481978E-4</v>
      </c>
      <c r="F33089" s="2">
        <v>4.61510060919328E-4</v>
      </c>
    </row>
    <row r="33090" spans="1:6" x14ac:dyDescent="0.25">
      <c r="A33090" s="1" t="str">
        <f t="shared" si="1180"/>
        <v>42644</v>
      </c>
      <c r="B33090" s="1" t="str">
        <f>"98270"</f>
        <v>98270</v>
      </c>
      <c r="C33090" s="2">
        <v>2.3721503388786098E-2</v>
      </c>
      <c r="D33090" s="2">
        <v>3.0030030030029999E-3</v>
      </c>
      <c r="E33090" s="2">
        <v>2.5146689019279098E-3</v>
      </c>
      <c r="F33090" s="2">
        <v>1.8414251430681101E-2</v>
      </c>
    </row>
    <row r="33091" spans="1:6" x14ac:dyDescent="0.25">
      <c r="A33091" s="1" t="str">
        <f t="shared" si="1180"/>
        <v>42644</v>
      </c>
      <c r="B33091" s="1" t="str">
        <f>"98101"</f>
        <v>98101</v>
      </c>
      <c r="C33091" s="2">
        <v>0</v>
      </c>
      <c r="D33091" s="2">
        <v>6.0060060060059999E-3</v>
      </c>
      <c r="E33091" s="2">
        <v>8.3822296730930396E-4</v>
      </c>
      <c r="F33091" s="2">
        <v>3.69208048735462E-4</v>
      </c>
    </row>
    <row r="33092" spans="1:6" x14ac:dyDescent="0.25">
      <c r="A33092" s="1" t="str">
        <f t="shared" si="1180"/>
        <v>42644</v>
      </c>
      <c r="B33092" s="1" t="str">
        <f>"98272"</f>
        <v>98272</v>
      </c>
      <c r="C33092" s="2">
        <v>2.0209488601355501E-2</v>
      </c>
      <c r="D33092" s="2">
        <v>0</v>
      </c>
      <c r="E33092" s="2">
        <v>3.14333612740989E-3</v>
      </c>
      <c r="F33092" s="2">
        <v>1.5829795089532899E-2</v>
      </c>
    </row>
    <row r="33093" spans="1:6" x14ac:dyDescent="0.25">
      <c r="A33093" s="1" t="str">
        <f t="shared" si="1180"/>
        <v>42644</v>
      </c>
      <c r="B33093" s="1" t="str">
        <f>"98032"</f>
        <v>98032</v>
      </c>
      <c r="C33093" s="2">
        <v>2.1626617375231E-2</v>
      </c>
      <c r="D33093" s="2">
        <v>2.1021021021020998E-2</v>
      </c>
      <c r="E33093" s="2">
        <v>2.0117351215423299E-2</v>
      </c>
      <c r="F33093" s="2">
        <v>2.1275613808381E-2</v>
      </c>
    </row>
    <row r="33094" spans="1:6" x14ac:dyDescent="0.25">
      <c r="A33094" s="1" t="str">
        <f t="shared" si="1180"/>
        <v>42644</v>
      </c>
      <c r="B33094" s="1" t="str">
        <f>"98122"</f>
        <v>98122</v>
      </c>
      <c r="C33094" s="2">
        <v>2.03943314849044E-2</v>
      </c>
      <c r="D33094" s="2">
        <v>6.0060060060059999E-3</v>
      </c>
      <c r="E33094" s="2">
        <v>1.6764459346185999E-3</v>
      </c>
      <c r="F33094" s="2">
        <v>1.5829795089532899E-2</v>
      </c>
    </row>
    <row r="33095" spans="1:6" x14ac:dyDescent="0.25">
      <c r="A33095" s="1" t="str">
        <f t="shared" si="1180"/>
        <v>42644</v>
      </c>
      <c r="B33095" s="1" t="str">
        <f>"98188"</f>
        <v>98188</v>
      </c>
      <c r="C33095" s="2">
        <v>1.5403573629081901E-3</v>
      </c>
      <c r="D33095" s="2">
        <v>1.0510510510510499E-2</v>
      </c>
      <c r="E33095" s="2">
        <v>4.1911148365465198E-4</v>
      </c>
      <c r="F33095" s="2">
        <v>1.5691342071257101E-3</v>
      </c>
    </row>
    <row r="33096" spans="1:6" x14ac:dyDescent="0.25">
      <c r="A33096" s="1" t="str">
        <f t="shared" si="1180"/>
        <v>42644</v>
      </c>
      <c r="B33096" s="1" t="str">
        <f>"98020"</f>
        <v>98020</v>
      </c>
      <c r="C33096" s="2">
        <v>7.6401725200246403E-3</v>
      </c>
      <c r="D33096" s="2">
        <v>6.0060060060059999E-3</v>
      </c>
      <c r="E33096" s="2">
        <v>3.6253143336127398E-2</v>
      </c>
      <c r="F33096" s="2">
        <v>1.38914528336717E-2</v>
      </c>
    </row>
    <row r="33097" spans="1:6" x14ac:dyDescent="0.25">
      <c r="A33097" s="1" t="str">
        <f t="shared" si="1180"/>
        <v>42644</v>
      </c>
      <c r="B33097" s="1" t="str">
        <f>"98198"</f>
        <v>98198</v>
      </c>
      <c r="C33097" s="2">
        <v>3.2717190388170003E-2</v>
      </c>
      <c r="D33097" s="2">
        <v>7.5075075075074996E-3</v>
      </c>
      <c r="E33097" s="2">
        <v>8.3822296730930396E-4</v>
      </c>
      <c r="F33097" s="2">
        <v>2.4921543289643699E-2</v>
      </c>
    </row>
    <row r="33098" spans="1:6" x14ac:dyDescent="0.25">
      <c r="A33098" s="1" t="str">
        <f t="shared" si="1180"/>
        <v>42644</v>
      </c>
      <c r="B33098" s="1" t="str">
        <f>"98133"</f>
        <v>98133</v>
      </c>
      <c r="C33098" s="2">
        <v>1.8792359827479899E-2</v>
      </c>
      <c r="D33098" s="2">
        <v>7.5075075075074996E-3</v>
      </c>
      <c r="E33098" s="2">
        <v>3.10142497904442E-2</v>
      </c>
      <c r="F33098" s="2">
        <v>2.1137160790105199E-2</v>
      </c>
    </row>
    <row r="33099" spans="1:6" x14ac:dyDescent="0.25">
      <c r="A33099" s="1" t="str">
        <f t="shared" si="1180"/>
        <v>42644</v>
      </c>
      <c r="B33099" s="1" t="str">
        <f>"98059"</f>
        <v>98059</v>
      </c>
      <c r="C33099" s="2">
        <v>1.60197165742452E-3</v>
      </c>
      <c r="D33099" s="2">
        <v>0</v>
      </c>
      <c r="E33099" s="2">
        <v>4.8826487845766903E-2</v>
      </c>
      <c r="F33099" s="2">
        <v>1.19531105778105E-2</v>
      </c>
    </row>
    <row r="33100" spans="1:6" x14ac:dyDescent="0.25">
      <c r="A33100" s="1" t="str">
        <f t="shared" si="1180"/>
        <v>42644</v>
      </c>
      <c r="B33100" s="1" t="str">
        <f>"98241"</f>
        <v>98241</v>
      </c>
      <c r="C33100" s="2">
        <v>1.23228589032655E-3</v>
      </c>
      <c r="D33100" s="2">
        <v>1.5015015015015E-3</v>
      </c>
      <c r="E33100" s="2">
        <v>4.1911148365465198E-4</v>
      </c>
      <c r="F33100" s="2">
        <v>1.0614731401144501E-3</v>
      </c>
    </row>
    <row r="33101" spans="1:6" x14ac:dyDescent="0.25">
      <c r="A33101" s="1" t="str">
        <f t="shared" ref="A33101:A33132" si="1181">"42644"</f>
        <v>42644</v>
      </c>
      <c r="B33101" s="1" t="str">
        <f>"98275"</f>
        <v>98275</v>
      </c>
      <c r="C33101" s="2">
        <v>4.3130006161429398E-4</v>
      </c>
      <c r="D33101" s="2">
        <v>3.0030030030029999E-3</v>
      </c>
      <c r="E33101" s="2">
        <v>2.0955574182732599E-4</v>
      </c>
      <c r="F33101" s="2">
        <v>4.61510060919328E-4</v>
      </c>
    </row>
    <row r="33102" spans="1:6" x14ac:dyDescent="0.25">
      <c r="A33102" s="1" t="str">
        <f t="shared" si="1181"/>
        <v>42644</v>
      </c>
      <c r="B33102" s="1" t="str">
        <f>"98195"</f>
        <v>98195</v>
      </c>
      <c r="C33102" s="2">
        <v>0</v>
      </c>
      <c r="D33102" s="2">
        <v>0</v>
      </c>
      <c r="E33102" s="2">
        <v>4.1911148365465198E-4</v>
      </c>
      <c r="F33102" s="2">
        <v>9.2302012183865595E-5</v>
      </c>
    </row>
    <row r="33103" spans="1:6" x14ac:dyDescent="0.25">
      <c r="A33103" s="1" t="str">
        <f t="shared" si="1181"/>
        <v>42644</v>
      </c>
      <c r="B33103" s="1" t="str">
        <f>"98053"</f>
        <v>98053</v>
      </c>
      <c r="C33103" s="2">
        <v>4.3130006161429398E-4</v>
      </c>
      <c r="D33103" s="2">
        <v>3.0030030030029999E-3</v>
      </c>
      <c r="E33103" s="2">
        <v>5.8675607711651196E-3</v>
      </c>
      <c r="F33103" s="2">
        <v>1.70758722540151E-3</v>
      </c>
    </row>
    <row r="33104" spans="1:6" x14ac:dyDescent="0.25">
      <c r="A33104" s="1" t="str">
        <f t="shared" si="1181"/>
        <v>42644</v>
      </c>
      <c r="B33104" s="1" t="str">
        <f>"98107"</f>
        <v>98107</v>
      </c>
      <c r="C33104" s="2">
        <v>1.47258163894023E-2</v>
      </c>
      <c r="D33104" s="2">
        <v>3.0030030030029999E-3</v>
      </c>
      <c r="E33104" s="2">
        <v>8.3822296730930396E-4</v>
      </c>
      <c r="F33104" s="2">
        <v>1.1306996492523501E-2</v>
      </c>
    </row>
    <row r="33105" spans="1:6" x14ac:dyDescent="0.25">
      <c r="A33105" s="1" t="str">
        <f t="shared" si="1181"/>
        <v>42644</v>
      </c>
      <c r="B33105" s="1" t="str">
        <f>"98112"</f>
        <v>98112</v>
      </c>
      <c r="C33105" s="2">
        <v>4.0665434380776303E-3</v>
      </c>
      <c r="D33105" s="2">
        <v>1.5015015015014999E-2</v>
      </c>
      <c r="E33105" s="2">
        <v>1.6764459346185999E-3</v>
      </c>
      <c r="F33105" s="2">
        <v>3.8766845117223499E-3</v>
      </c>
    </row>
    <row r="33106" spans="1:6" x14ac:dyDescent="0.25">
      <c r="A33106" s="1" t="str">
        <f t="shared" si="1181"/>
        <v>42644</v>
      </c>
      <c r="B33106" s="1" t="str">
        <f>"98070"</f>
        <v>98070</v>
      </c>
      <c r="C33106" s="2">
        <v>3.6968576709796601E-4</v>
      </c>
      <c r="D33106" s="2">
        <v>1.5015015015015E-3</v>
      </c>
      <c r="E33106" s="2">
        <v>8.3822296730930394E-3</v>
      </c>
      <c r="F33106" s="2">
        <v>2.1690972863208399E-3</v>
      </c>
    </row>
    <row r="33107" spans="1:6" x14ac:dyDescent="0.25">
      <c r="A33107" s="1" t="str">
        <f t="shared" si="1181"/>
        <v>42644</v>
      </c>
      <c r="B33107" s="1" t="str">
        <f>"98036"</f>
        <v>98036</v>
      </c>
      <c r="C33107" s="2">
        <v>2.3475046210720801E-2</v>
      </c>
      <c r="D33107" s="2">
        <v>9.0090090090090003E-3</v>
      </c>
      <c r="E33107" s="2">
        <v>1.0477787091366299E-3</v>
      </c>
      <c r="F33107" s="2">
        <v>1.80911943880376E-2</v>
      </c>
    </row>
    <row r="33108" spans="1:6" x14ac:dyDescent="0.25">
      <c r="A33108" s="1" t="str">
        <f t="shared" si="1181"/>
        <v>42644</v>
      </c>
      <c r="B33108" s="1" t="str">
        <f>"98011"</f>
        <v>98011</v>
      </c>
      <c r="C33108" s="2">
        <v>2.2797288971041201E-3</v>
      </c>
      <c r="D33108" s="2">
        <v>4.5045045045045001E-3</v>
      </c>
      <c r="E33108" s="2">
        <v>7.5440067057837299E-3</v>
      </c>
      <c r="F33108" s="2">
        <v>3.50747646298689E-3</v>
      </c>
    </row>
    <row r="33109" spans="1:6" x14ac:dyDescent="0.25">
      <c r="A33109" s="1" t="str">
        <f t="shared" si="1181"/>
        <v>42644</v>
      </c>
      <c r="B33109" s="1" t="str">
        <f>"98102"</f>
        <v>98102</v>
      </c>
      <c r="C33109" s="2">
        <v>4.2513863216266101E-3</v>
      </c>
      <c r="D33109" s="2">
        <v>3.7537537537537503E-2</v>
      </c>
      <c r="E33109" s="2">
        <v>1.0477787091366299E-3</v>
      </c>
      <c r="F33109" s="2">
        <v>4.5689496031013398E-3</v>
      </c>
    </row>
    <row r="33110" spans="1:6" x14ac:dyDescent="0.25">
      <c r="A33110" s="1" t="str">
        <f t="shared" si="1181"/>
        <v>42644</v>
      </c>
      <c r="B33110" s="1" t="str">
        <f>"98065"</f>
        <v>98065</v>
      </c>
      <c r="C33110" s="2">
        <v>4.3130006161429398E-4</v>
      </c>
      <c r="D33110" s="2">
        <v>3.0030030030029999E-3</v>
      </c>
      <c r="E33110" s="2">
        <v>1.21542330259849E-2</v>
      </c>
      <c r="F33110" s="2">
        <v>3.0921174081594898E-3</v>
      </c>
    </row>
    <row r="33111" spans="1:6" x14ac:dyDescent="0.25">
      <c r="A33111" s="1" t="str">
        <f t="shared" si="1181"/>
        <v>42644</v>
      </c>
      <c r="B33111" s="1" t="str">
        <f>"98290"</f>
        <v>98290</v>
      </c>
      <c r="C33111" s="2">
        <v>8.0098582871226103E-3</v>
      </c>
      <c r="D33111" s="2">
        <v>0</v>
      </c>
      <c r="E33111" s="2">
        <v>1.6764459346185999E-3</v>
      </c>
      <c r="F33111" s="2">
        <v>6.3688388406867198E-3</v>
      </c>
    </row>
    <row r="33112" spans="1:6" x14ac:dyDescent="0.25">
      <c r="A33112" s="1" t="str">
        <f t="shared" si="1181"/>
        <v>42644</v>
      </c>
      <c r="B33112" s="1" t="str">
        <f>"98021"</f>
        <v>98021</v>
      </c>
      <c r="C33112" s="2">
        <v>1.3493530499075699E-2</v>
      </c>
      <c r="D33112" s="2">
        <v>1.5015015015015E-3</v>
      </c>
      <c r="E33112" s="2">
        <v>3.0804694048616899E-2</v>
      </c>
      <c r="F33112" s="2">
        <v>1.6937419235739298E-2</v>
      </c>
    </row>
    <row r="33113" spans="1:6" x14ac:dyDescent="0.25">
      <c r="A33113" s="1" t="str">
        <f t="shared" si="1181"/>
        <v>42644</v>
      </c>
      <c r="B33113" s="1" t="str">
        <f>"98052"</f>
        <v>98052</v>
      </c>
      <c r="C33113" s="2">
        <v>5.9827479975354203E-2</v>
      </c>
      <c r="D33113" s="2">
        <v>2.5525525525525498E-2</v>
      </c>
      <c r="E33113" s="2">
        <v>0.219823973176865</v>
      </c>
      <c r="F33113" s="2">
        <v>9.4009599409267106E-2</v>
      </c>
    </row>
    <row r="33114" spans="1:6" x14ac:dyDescent="0.25">
      <c r="A33114" s="1" t="str">
        <f t="shared" si="1181"/>
        <v>42644</v>
      </c>
      <c r="B33114" s="1" t="str">
        <f>"98006"</f>
        <v>98006</v>
      </c>
      <c r="C33114" s="2">
        <v>2.03327171903881E-3</v>
      </c>
      <c r="D33114" s="2">
        <v>0</v>
      </c>
      <c r="E33114" s="2">
        <v>1.8440905280804599E-2</v>
      </c>
      <c r="F33114" s="2">
        <v>5.5842717371238602E-3</v>
      </c>
    </row>
    <row r="33115" spans="1:6" x14ac:dyDescent="0.25">
      <c r="A33115" s="1" t="str">
        <f t="shared" si="1181"/>
        <v>42644</v>
      </c>
      <c r="B33115" s="1" t="str">
        <f>"98116"</f>
        <v>98116</v>
      </c>
      <c r="C33115" s="2">
        <v>1.7560073937153399E-2</v>
      </c>
      <c r="D33115" s="2">
        <v>4.5045045045045001E-3</v>
      </c>
      <c r="E33115" s="2">
        <v>1.6764459346185999E-3</v>
      </c>
      <c r="F33115" s="2">
        <v>1.36606978032121E-2</v>
      </c>
    </row>
    <row r="33116" spans="1:6" x14ac:dyDescent="0.25">
      <c r="A33116" s="1" t="str">
        <f t="shared" si="1181"/>
        <v>42644</v>
      </c>
      <c r="B33116" s="1" t="str">
        <f>"98125"</f>
        <v>98125</v>
      </c>
      <c r="C33116" s="2">
        <v>3.0745532963647501E-2</v>
      </c>
      <c r="D33116" s="2">
        <v>1.5015015015015E-3</v>
      </c>
      <c r="E33116" s="2">
        <v>1.6764459346185999E-3</v>
      </c>
      <c r="F33116" s="2">
        <v>2.3444711094701799E-2</v>
      </c>
    </row>
    <row r="33117" spans="1:6" x14ac:dyDescent="0.25">
      <c r="A33117" s="1" t="str">
        <f t="shared" si="1181"/>
        <v>42644</v>
      </c>
      <c r="B33117" s="1" t="str">
        <f>"98115"</f>
        <v>98115</v>
      </c>
      <c r="C33117" s="2">
        <v>5.6623536660505201E-2</v>
      </c>
      <c r="D33117" s="2">
        <v>6.0060060060059999E-3</v>
      </c>
      <c r="E33117" s="2">
        <v>3.14333612740989E-3</v>
      </c>
      <c r="F33117" s="2">
        <v>4.3289643714232898E-2</v>
      </c>
    </row>
    <row r="33118" spans="1:6" x14ac:dyDescent="0.25">
      <c r="A33118" s="1" t="str">
        <f t="shared" si="1181"/>
        <v>42644</v>
      </c>
      <c r="B33118" s="1" t="str">
        <f>"98258"</f>
        <v>98258</v>
      </c>
      <c r="C33118" s="2">
        <v>4.65187923598274E-2</v>
      </c>
      <c r="D33118" s="2">
        <v>4.5045045045045001E-3</v>
      </c>
      <c r="E33118" s="2">
        <v>2.0955574182732598E-3</v>
      </c>
      <c r="F33118" s="2">
        <v>3.5443972678604302E-2</v>
      </c>
    </row>
    <row r="33119" spans="1:6" x14ac:dyDescent="0.25">
      <c r="A33119" s="1" t="str">
        <f t="shared" si="1181"/>
        <v>42644</v>
      </c>
      <c r="B33119" s="1" t="str">
        <f>"98001"</f>
        <v>98001</v>
      </c>
      <c r="C33119" s="2">
        <v>6.7775723967960502E-4</v>
      </c>
      <c r="D33119" s="2">
        <v>1.0510510510510499E-2</v>
      </c>
      <c r="E33119" s="2">
        <v>5.4484492875104696E-3</v>
      </c>
      <c r="F33119" s="2">
        <v>2.03064426804504E-3</v>
      </c>
    </row>
    <row r="33120" spans="1:6" x14ac:dyDescent="0.25">
      <c r="A33120" s="1" t="str">
        <f t="shared" si="1181"/>
        <v>42644</v>
      </c>
      <c r="B33120" s="1" t="str">
        <f>"98104"</f>
        <v>98104</v>
      </c>
      <c r="C33120" s="2">
        <v>3.0437461491065899E-2</v>
      </c>
      <c r="D33120" s="2">
        <v>3.0030030030029999E-2</v>
      </c>
      <c r="E33120" s="2">
        <v>7.0829840737636193E-2</v>
      </c>
      <c r="F33120" s="2">
        <v>3.9320657190326701E-2</v>
      </c>
    </row>
    <row r="33121" spans="1:6" x14ac:dyDescent="0.25">
      <c r="A33121" s="1" t="str">
        <f t="shared" si="1181"/>
        <v>42644</v>
      </c>
      <c r="B33121" s="1" t="str">
        <f>"98037"</f>
        <v>98037</v>
      </c>
      <c r="C33121" s="2">
        <v>3.0807147258163798E-4</v>
      </c>
      <c r="D33121" s="2">
        <v>6.0060060060059999E-3</v>
      </c>
      <c r="E33121" s="2">
        <v>6.28667225481978E-4</v>
      </c>
      <c r="F33121" s="2">
        <v>5.5381207310319298E-4</v>
      </c>
    </row>
    <row r="33122" spans="1:6" x14ac:dyDescent="0.25">
      <c r="A33122" s="1" t="str">
        <f t="shared" si="1181"/>
        <v>42644</v>
      </c>
      <c r="B33122" s="1" t="str">
        <f>"98223"</f>
        <v>98223</v>
      </c>
      <c r="C33122" s="2">
        <v>1.47874306839186E-2</v>
      </c>
      <c r="D33122" s="2">
        <v>1.35135135135135E-2</v>
      </c>
      <c r="E33122" s="2">
        <v>2.9337803855825598E-3</v>
      </c>
      <c r="F33122" s="2">
        <v>1.2137714602178299E-2</v>
      </c>
    </row>
    <row r="33123" spans="1:6" x14ac:dyDescent="0.25">
      <c r="A33123" s="1" t="str">
        <f t="shared" si="1181"/>
        <v>42644</v>
      </c>
      <c r="B33123" s="1" t="str">
        <f>"98040"</f>
        <v>98040</v>
      </c>
      <c r="C33123" s="2">
        <v>5.6069008009858199E-3</v>
      </c>
      <c r="D33123" s="2">
        <v>1.5015015015015E-3</v>
      </c>
      <c r="E33123" s="2">
        <v>4.6102263202011697E-3</v>
      </c>
      <c r="F33123" s="2">
        <v>5.2612146944803302E-3</v>
      </c>
    </row>
    <row r="33124" spans="1:6" x14ac:dyDescent="0.25">
      <c r="A33124" s="1" t="str">
        <f t="shared" si="1181"/>
        <v>42644</v>
      </c>
      <c r="B33124" s="1" t="str">
        <f>"98010"</f>
        <v>98010</v>
      </c>
      <c r="C33124" s="2">
        <v>1.30622304374614E-2</v>
      </c>
      <c r="D33124" s="2">
        <v>0</v>
      </c>
      <c r="E33124" s="2">
        <v>0</v>
      </c>
      <c r="F33124" s="2">
        <v>9.7840132914897501E-3</v>
      </c>
    </row>
    <row r="33125" spans="1:6" x14ac:dyDescent="0.25">
      <c r="A33125" s="1" t="str">
        <f t="shared" si="1181"/>
        <v>42644</v>
      </c>
      <c r="B33125" s="1" t="str">
        <f>"98024"</f>
        <v>98024</v>
      </c>
      <c r="C33125" s="2">
        <v>5.5452865064695004E-4</v>
      </c>
      <c r="D33125" s="2">
        <v>0</v>
      </c>
      <c r="E33125" s="2">
        <v>1.4668901927912799E-3</v>
      </c>
      <c r="F33125" s="2">
        <v>7.38416097470924E-4</v>
      </c>
    </row>
    <row r="33126" spans="1:6" x14ac:dyDescent="0.25">
      <c r="A33126" s="1" t="str">
        <f t="shared" si="1181"/>
        <v>42644</v>
      </c>
      <c r="B33126" s="1" t="str">
        <f>"98148"</f>
        <v>98148</v>
      </c>
      <c r="C33126" s="2">
        <v>0</v>
      </c>
      <c r="D33126" s="2">
        <v>3.0030030030029999E-3</v>
      </c>
      <c r="E33126" s="2">
        <v>4.1911148365465198E-4</v>
      </c>
      <c r="F33126" s="2">
        <v>1.84604024367731E-4</v>
      </c>
    </row>
    <row r="33127" spans="1:6" x14ac:dyDescent="0.25">
      <c r="A33127" s="1" t="str">
        <f t="shared" si="1181"/>
        <v>42644</v>
      </c>
      <c r="B33127" s="1" t="str">
        <f>"98170"</f>
        <v>98170</v>
      </c>
      <c r="C33127" s="2">
        <v>0</v>
      </c>
      <c r="D33127" s="2">
        <v>0</v>
      </c>
      <c r="E33127" s="2">
        <v>4.8197820620284899E-3</v>
      </c>
      <c r="F33127" s="2">
        <v>1.0614731401144501E-3</v>
      </c>
    </row>
    <row r="33128" spans="1:6" x14ac:dyDescent="0.25">
      <c r="A33128" s="1" t="str">
        <f t="shared" si="1181"/>
        <v>42644</v>
      </c>
      <c r="B33128" s="1" t="str">
        <f>"98134"</f>
        <v>98134</v>
      </c>
      <c r="C33128" s="2">
        <v>0</v>
      </c>
      <c r="D33128" s="2">
        <v>2.5525525525525498E-2</v>
      </c>
      <c r="E33128" s="2">
        <v>1.4668901927912799E-3</v>
      </c>
      <c r="F33128" s="2">
        <v>1.1076241462063801E-3</v>
      </c>
    </row>
    <row r="33129" spans="1:6" x14ac:dyDescent="0.25">
      <c r="A33129" s="1" t="str">
        <f t="shared" si="1181"/>
        <v>42644</v>
      </c>
      <c r="B33129" s="1" t="str">
        <f>"98103"</f>
        <v>98103</v>
      </c>
      <c r="C33129" s="2">
        <v>1.5280345040049201E-2</v>
      </c>
      <c r="D33129" s="2">
        <v>4.5045045045045001E-3</v>
      </c>
      <c r="E33129" s="2">
        <v>3.7720033528918602E-3</v>
      </c>
      <c r="F33129" s="2">
        <v>1.24146206387299E-2</v>
      </c>
    </row>
    <row r="33130" spans="1:6" x14ac:dyDescent="0.25">
      <c r="A33130" s="1" t="str">
        <f t="shared" si="1181"/>
        <v>42644</v>
      </c>
      <c r="B33130" s="1" t="str">
        <f>"98074"</f>
        <v>98074</v>
      </c>
      <c r="C33130" s="2">
        <v>1.41712877387553E-3</v>
      </c>
      <c r="D33130" s="2">
        <v>0</v>
      </c>
      <c r="E33130" s="2">
        <v>3.7720033528918602E-3</v>
      </c>
      <c r="F33130" s="2">
        <v>1.8921912497692399E-3</v>
      </c>
    </row>
    <row r="33131" spans="1:6" x14ac:dyDescent="0.25">
      <c r="A33131" s="1" t="str">
        <f t="shared" si="1181"/>
        <v>42644</v>
      </c>
      <c r="B33131" s="1" t="str">
        <f>"98294"</f>
        <v>98294</v>
      </c>
      <c r="C33131" s="2">
        <v>9.3284041897720202E-2</v>
      </c>
      <c r="D33131" s="2">
        <v>0.262762762762762</v>
      </c>
      <c r="E33131" s="2">
        <v>6.28667225481978E-4</v>
      </c>
      <c r="F33131" s="2">
        <v>7.8087502307550294E-2</v>
      </c>
    </row>
    <row r="33132" spans="1:6" x14ac:dyDescent="0.25">
      <c r="A33132" s="1" t="str">
        <f t="shared" si="1181"/>
        <v>42644</v>
      </c>
      <c r="B33132" s="1" t="str">
        <f>"98155"</f>
        <v>98155</v>
      </c>
      <c r="C33132" s="2">
        <v>3.0191004313000602E-3</v>
      </c>
      <c r="D33132" s="2">
        <v>0</v>
      </c>
      <c r="E33132" s="2">
        <v>6.7057837384744299E-3</v>
      </c>
      <c r="F33132" s="2">
        <v>3.73823149344655E-3</v>
      </c>
    </row>
    <row r="33133" spans="1:6" x14ac:dyDescent="0.25">
      <c r="A33133" s="1" t="str">
        <f t="shared" ref="A33133:A33147" si="1182">"42644"</f>
        <v>42644</v>
      </c>
      <c r="B33133" s="1" t="str">
        <f>"98022"</f>
        <v>98022</v>
      </c>
      <c r="C33133" s="2">
        <v>1.4171287738755299E-2</v>
      </c>
      <c r="D33133" s="2">
        <v>1.5015015015015E-3</v>
      </c>
      <c r="E33133" s="2">
        <v>0</v>
      </c>
      <c r="F33133" s="2">
        <v>1.0660882407236401E-2</v>
      </c>
    </row>
    <row r="33134" spans="1:6" x14ac:dyDescent="0.25">
      <c r="A33134" s="1" t="str">
        <f t="shared" si="1182"/>
        <v>42644</v>
      </c>
      <c r="B33134" s="1" t="str">
        <f>"98042"</f>
        <v>98042</v>
      </c>
      <c r="C33134" s="2">
        <v>7.6401725200246403E-3</v>
      </c>
      <c r="D33134" s="2">
        <v>1.5015015015015E-3</v>
      </c>
      <c r="E33134" s="2">
        <v>5.2388935456831503E-3</v>
      </c>
      <c r="F33134" s="2">
        <v>6.9226509137899203E-3</v>
      </c>
    </row>
    <row r="33135" spans="1:6" x14ac:dyDescent="0.25">
      <c r="A33135" s="1" t="str">
        <f t="shared" si="1182"/>
        <v>42644</v>
      </c>
      <c r="B33135" s="1" t="str">
        <f>"98154"</f>
        <v>98154</v>
      </c>
      <c r="C33135" s="2">
        <v>0</v>
      </c>
      <c r="D33135" s="2">
        <v>3.0030030030029999E-3</v>
      </c>
      <c r="E33135" s="2">
        <v>2.3051131601005801E-3</v>
      </c>
      <c r="F33135" s="2">
        <v>5.9996307919512595E-4</v>
      </c>
    </row>
    <row r="33136" spans="1:6" x14ac:dyDescent="0.25">
      <c r="A33136" s="1" t="str">
        <f t="shared" si="1182"/>
        <v>42644</v>
      </c>
      <c r="B33136" s="1" t="str">
        <f>"98208"</f>
        <v>98208</v>
      </c>
      <c r="C33136" s="2">
        <v>5.2372150338878603E-3</v>
      </c>
      <c r="D33136" s="2">
        <v>4.5045045045045001E-3</v>
      </c>
      <c r="E33136" s="2">
        <v>3.9815590947191899E-3</v>
      </c>
      <c r="F33136" s="2">
        <v>4.9381576518368097E-3</v>
      </c>
    </row>
    <row r="33137" spans="1:6" x14ac:dyDescent="0.25">
      <c r="A33137" s="1" t="str">
        <f t="shared" si="1182"/>
        <v>42644</v>
      </c>
      <c r="B33137" s="1" t="str">
        <f>"98092"</f>
        <v>98092</v>
      </c>
      <c r="C33137" s="2">
        <v>2.9574861367837298E-3</v>
      </c>
      <c r="D33137" s="2">
        <v>1.5015015015015E-3</v>
      </c>
      <c r="E33137" s="2">
        <v>5.0293378038558196E-3</v>
      </c>
      <c r="F33137" s="2">
        <v>3.3690234447110901E-3</v>
      </c>
    </row>
    <row r="33138" spans="1:6" x14ac:dyDescent="0.25">
      <c r="A33138" s="1" t="str">
        <f t="shared" si="1182"/>
        <v>42644</v>
      </c>
      <c r="B33138" s="1" t="str">
        <f>"98164"</f>
        <v>98164</v>
      </c>
      <c r="C33138" s="2">
        <v>0</v>
      </c>
      <c r="D33138" s="2">
        <v>0</v>
      </c>
      <c r="E33138" s="2">
        <v>2.0955574182732599E-4</v>
      </c>
      <c r="F33138" s="2">
        <v>4.6151006091932798E-5</v>
      </c>
    </row>
    <row r="33139" spans="1:6" x14ac:dyDescent="0.25">
      <c r="A33139" s="1" t="str">
        <f t="shared" si="1182"/>
        <v>42644</v>
      </c>
      <c r="B33139" s="1" t="str">
        <f>"98009"</f>
        <v>98009</v>
      </c>
      <c r="C33139" s="2">
        <v>0</v>
      </c>
      <c r="D33139" s="2">
        <v>0</v>
      </c>
      <c r="E33139" s="2">
        <v>2.0955574182732599E-4</v>
      </c>
      <c r="F33139" s="2">
        <v>4.6151006091932798E-5</v>
      </c>
    </row>
    <row r="33140" spans="1:6" x14ac:dyDescent="0.25">
      <c r="A33140" s="1" t="str">
        <f t="shared" si="1182"/>
        <v>42644</v>
      </c>
      <c r="B33140" s="1" t="str">
        <f>"98185"</f>
        <v>98185</v>
      </c>
      <c r="C33140" s="2">
        <v>0</v>
      </c>
      <c r="D33140" s="2">
        <v>0</v>
      </c>
      <c r="E33140" s="2">
        <v>6.0771165129924502E-3</v>
      </c>
      <c r="F33140" s="2">
        <v>1.3383791766660501E-3</v>
      </c>
    </row>
    <row r="33141" spans="1:6" x14ac:dyDescent="0.25">
      <c r="A33141" s="1" t="str">
        <f t="shared" si="1182"/>
        <v>42644</v>
      </c>
      <c r="B33141" s="1" t="str">
        <f>"98075"</f>
        <v>98075</v>
      </c>
      <c r="C33141" s="2">
        <v>2.2797288971041201E-3</v>
      </c>
      <c r="D33141" s="2">
        <v>0</v>
      </c>
      <c r="E33141" s="2">
        <v>2.9337803855825598E-3</v>
      </c>
      <c r="F33141" s="2">
        <v>2.3537013106885701E-3</v>
      </c>
    </row>
    <row r="33142" spans="1:6" x14ac:dyDescent="0.25">
      <c r="A33142" s="1" t="str">
        <f t="shared" si="1182"/>
        <v>42644</v>
      </c>
      <c r="B33142" s="1" t="str">
        <f>"98106"</f>
        <v>98106</v>
      </c>
      <c r="C33142" s="2">
        <v>3.8200862600123201E-3</v>
      </c>
      <c r="D33142" s="2">
        <v>1.0510510510510499E-2</v>
      </c>
      <c r="E33142" s="2">
        <v>1.2573344509639499E-3</v>
      </c>
      <c r="F33142" s="2">
        <v>3.4613254568949601E-3</v>
      </c>
    </row>
    <row r="33143" spans="1:6" x14ac:dyDescent="0.25">
      <c r="A33143" s="1" t="str">
        <f t="shared" si="1182"/>
        <v>42644</v>
      </c>
      <c r="B33143" s="1" t="str">
        <f>"98051"</f>
        <v>98051</v>
      </c>
      <c r="C33143" s="2">
        <v>2.4645717806531098E-4</v>
      </c>
      <c r="D33143" s="2">
        <v>0</v>
      </c>
      <c r="E33143" s="2">
        <v>2.0955574182732599E-4</v>
      </c>
      <c r="F33143" s="2">
        <v>2.30755030459664E-4</v>
      </c>
    </row>
    <row r="33144" spans="1:6" x14ac:dyDescent="0.25">
      <c r="A33144" s="1" t="str">
        <f t="shared" si="1182"/>
        <v>42644</v>
      </c>
      <c r="B33144" s="1" t="str">
        <f>"98072"</f>
        <v>98072</v>
      </c>
      <c r="C33144" s="2">
        <v>1.54651879235982E-2</v>
      </c>
      <c r="D33144" s="2">
        <v>3.9039039039038999E-2</v>
      </c>
      <c r="E33144" s="2">
        <v>2.9337803855825598E-3</v>
      </c>
      <c r="F33144" s="2">
        <v>1.3429942772752401E-2</v>
      </c>
    </row>
    <row r="33145" spans="1:6" x14ac:dyDescent="0.25">
      <c r="A33145" s="1" t="str">
        <f t="shared" si="1182"/>
        <v>42644</v>
      </c>
      <c r="B33145" s="1" t="str">
        <f>"98003"</f>
        <v>98003</v>
      </c>
      <c r="C33145" s="2">
        <v>1.84842883548983E-4</v>
      </c>
      <c r="D33145" s="2">
        <v>4.5045045045045001E-3</v>
      </c>
      <c r="E33145" s="2">
        <v>7.2715842414082105E-2</v>
      </c>
      <c r="F33145" s="2">
        <v>1.6291305150452198E-2</v>
      </c>
    </row>
    <row r="33146" spans="1:6" x14ac:dyDescent="0.25">
      <c r="A33146" s="1" t="str">
        <f t="shared" si="1182"/>
        <v>42644</v>
      </c>
      <c r="B33146" s="1" t="str">
        <f>"98019"</f>
        <v>98019</v>
      </c>
      <c r="C33146" s="2">
        <v>2.03327171903881E-3</v>
      </c>
      <c r="D33146" s="2">
        <v>0</v>
      </c>
      <c r="E33146" s="2">
        <v>1.0477787091366299E-3</v>
      </c>
      <c r="F33146" s="2">
        <v>1.75373823149344E-3</v>
      </c>
    </row>
    <row r="33147" spans="1:6" x14ac:dyDescent="0.25">
      <c r="A33147" s="1" t="str">
        <f t="shared" si="1182"/>
        <v>42644</v>
      </c>
      <c r="B33147" s="1" t="str">
        <f>"98004"</f>
        <v>98004</v>
      </c>
      <c r="C33147" s="2">
        <v>3.0191004313000602E-2</v>
      </c>
      <c r="D33147" s="2">
        <v>1.0510510510510499E-2</v>
      </c>
      <c r="E33147" s="2">
        <v>1.6135792120704099E-2</v>
      </c>
      <c r="F33147" s="2">
        <v>2.6490677496769401E-2</v>
      </c>
    </row>
    <row r="33148" spans="1:6" x14ac:dyDescent="0.25">
      <c r="A33148" s="1" t="str">
        <f t="shared" ref="A33148:A33211" si="1183">"42660"</f>
        <v>42660</v>
      </c>
      <c r="B33148" s="1" t="str">
        <f>"98038"</f>
        <v>98038</v>
      </c>
      <c r="C33148" s="2">
        <v>8.0493569183178997E-3</v>
      </c>
      <c r="D33148" s="2">
        <v>5.6853663613655198E-3</v>
      </c>
      <c r="E33148" s="2">
        <v>1.01961170373599E-3</v>
      </c>
      <c r="F33148" s="2">
        <v>7.3842169133846404E-3</v>
      </c>
    </row>
    <row r="33149" spans="1:6" x14ac:dyDescent="0.25">
      <c r="A33149" s="1" t="str">
        <f t="shared" si="1183"/>
        <v>42660</v>
      </c>
      <c r="B33149" s="1" t="str">
        <f>"98040"</f>
        <v>98040</v>
      </c>
      <c r="C33149" s="2">
        <v>6.7211046678741998E-3</v>
      </c>
      <c r="D33149" s="2">
        <v>8.1377497918401296E-3</v>
      </c>
      <c r="E33149" s="2">
        <v>2.9603898432610598E-3</v>
      </c>
      <c r="F33149" s="2">
        <v>6.5664050091466999E-3</v>
      </c>
    </row>
    <row r="33150" spans="1:6" x14ac:dyDescent="0.25">
      <c r="A33150" s="1" t="str">
        <f t="shared" si="1183"/>
        <v>42660</v>
      </c>
      <c r="B33150" s="1" t="str">
        <f>"98051"</f>
        <v>98051</v>
      </c>
      <c r="C33150" s="2">
        <v>1.39155667285643E-3</v>
      </c>
      <c r="D33150" s="2">
        <v>9.17204412989175E-4</v>
      </c>
      <c r="E33150" s="2">
        <v>5.6254438826813599E-5</v>
      </c>
      <c r="F33150" s="2">
        <v>1.26331445111695E-3</v>
      </c>
    </row>
    <row r="33151" spans="1:6" x14ac:dyDescent="0.25">
      <c r="A33151" s="1" t="str">
        <f t="shared" si="1183"/>
        <v>42660</v>
      </c>
      <c r="B33151" s="1" t="str">
        <f>"98053"</f>
        <v>98053</v>
      </c>
      <c r="C33151" s="2">
        <v>4.9075185122662204E-3</v>
      </c>
      <c r="D33151" s="2">
        <v>1.09283930058284E-3</v>
      </c>
      <c r="E33151" s="2">
        <v>1.02664350858934E-3</v>
      </c>
      <c r="F33151" s="2">
        <v>4.3520670488652298E-3</v>
      </c>
    </row>
    <row r="33152" spans="1:6" x14ac:dyDescent="0.25">
      <c r="A33152" s="1" t="str">
        <f t="shared" si="1183"/>
        <v>42660</v>
      </c>
      <c r="B33152" s="1" t="str">
        <f>"98008"</f>
        <v>98008</v>
      </c>
      <c r="C33152" s="2">
        <v>5.7527180979929596E-3</v>
      </c>
      <c r="D33152" s="2">
        <v>4.2542672772689404E-3</v>
      </c>
      <c r="E33152" s="2">
        <v>2.7283402831004598E-3</v>
      </c>
      <c r="F33152" s="2">
        <v>5.4304467077947302E-3</v>
      </c>
    </row>
    <row r="33153" spans="1:6" x14ac:dyDescent="0.25">
      <c r="A33153" s="1" t="str">
        <f t="shared" si="1183"/>
        <v>42660</v>
      </c>
      <c r="B33153" s="1" t="str">
        <f>"98010"</f>
        <v>98010</v>
      </c>
      <c r="C33153" s="2">
        <v>1.82556266795632E-3</v>
      </c>
      <c r="D33153" s="2">
        <v>1.5937239800166501E-3</v>
      </c>
      <c r="E33153" s="2">
        <v>1.8985873104049601E-4</v>
      </c>
      <c r="F33153" s="2">
        <v>1.6946663146887499E-3</v>
      </c>
    </row>
    <row r="33154" spans="1:6" x14ac:dyDescent="0.25">
      <c r="A33154" s="1" t="str">
        <f t="shared" si="1183"/>
        <v>42660</v>
      </c>
      <c r="B33154" s="1" t="str">
        <f>"98009"</f>
        <v>98009</v>
      </c>
      <c r="C33154" s="2">
        <v>8.3094183293107402E-4</v>
      </c>
      <c r="D33154" s="2">
        <v>4.6966069941715202E-3</v>
      </c>
      <c r="E33154" s="2">
        <v>1.40636097067034E-5</v>
      </c>
      <c r="F33154" s="2">
        <v>1.06422897562227E-3</v>
      </c>
    </row>
    <row r="33155" spans="1:6" x14ac:dyDescent="0.25">
      <c r="A33155" s="1" t="str">
        <f t="shared" si="1183"/>
        <v>42660</v>
      </c>
      <c r="B33155" s="1" t="str">
        <f>"98201"</f>
        <v>98201</v>
      </c>
      <c r="C33155" s="2">
        <v>8.3156917405408301E-3</v>
      </c>
      <c r="D33155" s="2">
        <v>1.5709564945878399E-2</v>
      </c>
      <c r="E33155" s="2">
        <v>1.2115799762324899E-2</v>
      </c>
      <c r="F33155" s="2">
        <v>9.1340220975118704E-3</v>
      </c>
    </row>
    <row r="33156" spans="1:6" x14ac:dyDescent="0.25">
      <c r="A33156" s="1" t="str">
        <f t="shared" si="1183"/>
        <v>42660</v>
      </c>
      <c r="B33156" s="1" t="str">
        <f>"98125"</f>
        <v>98125</v>
      </c>
      <c r="C33156" s="2">
        <v>1.1515701777998801E-2</v>
      </c>
      <c r="D33156" s="2">
        <v>8.2093047460449608E-3</v>
      </c>
      <c r="E33156" s="2">
        <v>1.28400756622202E-2</v>
      </c>
      <c r="F33156" s="2">
        <v>1.13595830135197E-2</v>
      </c>
    </row>
    <row r="33157" spans="1:6" x14ac:dyDescent="0.25">
      <c r="A33157" s="1" t="str">
        <f t="shared" si="1183"/>
        <v>42660</v>
      </c>
      <c r="B33157" s="1" t="str">
        <f>"98165"</f>
        <v>98165</v>
      </c>
      <c r="C33157" s="2">
        <v>5.5719297925439901E-4</v>
      </c>
      <c r="D33157" s="2">
        <v>2.1531536219816798E-3</v>
      </c>
      <c r="E33157" s="2">
        <v>7.0318048533516998E-6</v>
      </c>
      <c r="F33157" s="2">
        <v>6.3873256721208604E-4</v>
      </c>
    </row>
    <row r="33158" spans="1:6" x14ac:dyDescent="0.25">
      <c r="A33158" s="1" t="str">
        <f t="shared" si="1183"/>
        <v>42660</v>
      </c>
      <c r="B33158" s="1" t="str">
        <f>"98070"</f>
        <v>98070</v>
      </c>
      <c r="C33158" s="2">
        <v>3.9670771378644797E-3</v>
      </c>
      <c r="D33158" s="2">
        <v>3.81843255620316E-3</v>
      </c>
      <c r="E33158" s="2">
        <v>9.6335726490918397E-4</v>
      </c>
      <c r="F33158" s="2">
        <v>3.7474913034291901E-3</v>
      </c>
    </row>
    <row r="33159" spans="1:6" x14ac:dyDescent="0.25">
      <c r="A33159" s="1" t="str">
        <f t="shared" si="1183"/>
        <v>42660</v>
      </c>
      <c r="B33159" s="1" t="str">
        <f>"98109"</f>
        <v>98109</v>
      </c>
      <c r="C33159" s="2">
        <v>1.30452734979172E-2</v>
      </c>
      <c r="D33159" s="2">
        <v>1.6145399666944199E-2</v>
      </c>
      <c r="E33159" s="2">
        <v>1.41901821940637E-2</v>
      </c>
      <c r="F33159" s="2">
        <v>1.33572691328217E-2</v>
      </c>
    </row>
    <row r="33160" spans="1:6" x14ac:dyDescent="0.25">
      <c r="A33160" s="1" t="str">
        <f t="shared" si="1183"/>
        <v>42660</v>
      </c>
      <c r="B33160" s="1" t="str">
        <f>"98580"</f>
        <v>98580</v>
      </c>
      <c r="C33160" s="2">
        <v>3.1013463881119901E-3</v>
      </c>
      <c r="D33160" s="2">
        <v>5.8544962531223899E-4</v>
      </c>
      <c r="E33160" s="2">
        <v>2.6017677957401302E-4</v>
      </c>
      <c r="F33160" s="2">
        <v>2.7154673311957601E-3</v>
      </c>
    </row>
    <row r="33161" spans="1:6" x14ac:dyDescent="0.25">
      <c r="A33161" s="1" t="str">
        <f t="shared" si="1183"/>
        <v>42660</v>
      </c>
      <c r="B33161" s="1" t="str">
        <f>"98134"</f>
        <v>98134</v>
      </c>
      <c r="C33161" s="2">
        <v>1.2546822460180899E-4</v>
      </c>
      <c r="D33161" s="2">
        <v>1.16764675270607E-2</v>
      </c>
      <c r="E33161" s="2">
        <v>3.4877752072624401E-3</v>
      </c>
      <c r="F33161" s="2">
        <v>1.2252539925664901E-3</v>
      </c>
    </row>
    <row r="33162" spans="1:6" x14ac:dyDescent="0.25">
      <c r="A33162" s="1" t="str">
        <f t="shared" si="1183"/>
        <v>42660</v>
      </c>
      <c r="B33162" s="1" t="str">
        <f>"98178"</f>
        <v>98178</v>
      </c>
      <c r="C33162" s="2">
        <v>5.8268584125303899E-3</v>
      </c>
      <c r="D33162" s="2">
        <v>1.81489383846794E-3</v>
      </c>
      <c r="E33162" s="2">
        <v>2.7705311122205702E-3</v>
      </c>
      <c r="F33162" s="2">
        <v>5.3138255591593702E-3</v>
      </c>
    </row>
    <row r="33163" spans="1:6" x14ac:dyDescent="0.25">
      <c r="A33163" s="1" t="str">
        <f t="shared" si="1183"/>
        <v>42660</v>
      </c>
      <c r="B33163" s="1" t="str">
        <f>"98168"</f>
        <v>98168</v>
      </c>
      <c r="C33163" s="2">
        <v>8.0533490891006795E-3</v>
      </c>
      <c r="D33163" s="2">
        <v>7.4677352206494498E-3</v>
      </c>
      <c r="E33163" s="2">
        <v>6.8489779271645604E-3</v>
      </c>
      <c r="F33163" s="2">
        <v>7.9258465158333902E-3</v>
      </c>
    </row>
    <row r="33164" spans="1:6" x14ac:dyDescent="0.25">
      <c r="A33164" s="1" t="str">
        <f t="shared" si="1183"/>
        <v>42660</v>
      </c>
      <c r="B33164" s="1" t="str">
        <f>"98198"</f>
        <v>98198</v>
      </c>
      <c r="C33164" s="2">
        <v>8.9972123241733905E-3</v>
      </c>
      <c r="D33164" s="2">
        <v>5.9325562031640197E-3</v>
      </c>
      <c r="E33164" s="2">
        <v>1.01609580130932E-2</v>
      </c>
      <c r="F33164" s="2">
        <v>8.8480807037866708E-3</v>
      </c>
    </row>
    <row r="33165" spans="1:6" x14ac:dyDescent="0.25">
      <c r="A33165" s="1" t="str">
        <f t="shared" si="1183"/>
        <v>42660</v>
      </c>
      <c r="B33165" s="1" t="str">
        <f>"98119"</f>
        <v>98119</v>
      </c>
      <c r="C33165" s="2">
        <v>8.0402319565286793E-3</v>
      </c>
      <c r="D33165" s="2">
        <v>7.1034554537884997E-3</v>
      </c>
      <c r="E33165" s="2">
        <v>1.10750926440289E-2</v>
      </c>
      <c r="F33165" s="2">
        <v>8.1805588153633403E-3</v>
      </c>
    </row>
    <row r="33166" spans="1:6" x14ac:dyDescent="0.25">
      <c r="A33166" s="1" t="str">
        <f t="shared" si="1183"/>
        <v>42660</v>
      </c>
      <c r="B33166" s="1" t="str">
        <f>"98203"</f>
        <v>98203</v>
      </c>
      <c r="C33166" s="2">
        <v>8.5095971785618101E-3</v>
      </c>
      <c r="D33166" s="2">
        <v>5.5552664446294701E-3</v>
      </c>
      <c r="E33166" s="2">
        <v>9.1624417239172702E-3</v>
      </c>
      <c r="F33166" s="2">
        <v>8.3332886041619508E-3</v>
      </c>
    </row>
    <row r="33167" spans="1:6" x14ac:dyDescent="0.25">
      <c r="A33167" s="1" t="str">
        <f t="shared" si="1183"/>
        <v>42660</v>
      </c>
      <c r="B33167" s="1" t="str">
        <f>"98195"</f>
        <v>98195</v>
      </c>
      <c r="C33167" s="2">
        <v>0</v>
      </c>
      <c r="D33167" s="2">
        <v>6.5049958368026604E-6</v>
      </c>
      <c r="E33167" s="2">
        <v>8.4381658240220499E-5</v>
      </c>
      <c r="F33167" s="2">
        <v>6.3434097584087901E-6</v>
      </c>
    </row>
    <row r="33168" spans="1:6" x14ac:dyDescent="0.25">
      <c r="A33168" s="1" t="str">
        <f t="shared" si="1183"/>
        <v>42660</v>
      </c>
      <c r="B33168" s="1" t="str">
        <f>"98129"</f>
        <v>98129</v>
      </c>
      <c r="C33168" s="2">
        <v>0</v>
      </c>
      <c r="D33168" s="2">
        <v>6.5049958368026604E-6</v>
      </c>
      <c r="E33168" s="2">
        <v>0</v>
      </c>
      <c r="F33168" s="2">
        <v>4.8795459680067597E-7</v>
      </c>
    </row>
    <row r="33169" spans="1:6" x14ac:dyDescent="0.25">
      <c r="A33169" s="1" t="str">
        <f t="shared" si="1183"/>
        <v>42660</v>
      </c>
      <c r="B33169" s="1" t="str">
        <f>"98087"</f>
        <v>98087</v>
      </c>
      <c r="C33169" s="2">
        <v>9.1740084588395696E-3</v>
      </c>
      <c r="D33169" s="2">
        <v>3.8834825145711901E-3</v>
      </c>
      <c r="E33169" s="2">
        <v>4.9011679827861403E-3</v>
      </c>
      <c r="F33169" s="2">
        <v>8.4806508923957608E-3</v>
      </c>
    </row>
    <row r="33170" spans="1:6" x14ac:dyDescent="0.25">
      <c r="A33170" s="1" t="str">
        <f t="shared" si="1183"/>
        <v>42660</v>
      </c>
      <c r="B33170" s="1" t="str">
        <f>"98077"</f>
        <v>98077</v>
      </c>
      <c r="C33170" s="2">
        <v>2.7192386131883002E-3</v>
      </c>
      <c r="D33170" s="2">
        <v>2.08159866777685E-4</v>
      </c>
      <c r="E33170" s="2">
        <v>1.19540682506979E-4</v>
      </c>
      <c r="F33170" s="2">
        <v>2.3504772927888601E-3</v>
      </c>
    </row>
    <row r="33171" spans="1:6" x14ac:dyDescent="0.25">
      <c r="A33171" s="1" t="str">
        <f t="shared" si="1183"/>
        <v>42660</v>
      </c>
      <c r="B33171" s="1" t="str">
        <f>"98332"</f>
        <v>98332</v>
      </c>
      <c r="C33171" s="2">
        <v>4.78147997755259E-3</v>
      </c>
      <c r="D33171" s="2">
        <v>2.59549333888426E-3</v>
      </c>
      <c r="E33171" s="2">
        <v>1.21650223962984E-3</v>
      </c>
      <c r="F33171" s="2">
        <v>4.3701213689468603E-3</v>
      </c>
    </row>
    <row r="33172" spans="1:6" x14ac:dyDescent="0.25">
      <c r="A33172" s="1" t="str">
        <f t="shared" si="1183"/>
        <v>42660</v>
      </c>
      <c r="B33172" s="1" t="str">
        <f>"98391"</f>
        <v>98391</v>
      </c>
      <c r="C33172" s="2">
        <v>1.20124418853996E-2</v>
      </c>
      <c r="D33172" s="2">
        <v>5.3796315570357996E-3</v>
      </c>
      <c r="E33172" s="2">
        <v>1.9267145298183599E-3</v>
      </c>
      <c r="F33172" s="2">
        <v>1.0815025683490199E-2</v>
      </c>
    </row>
    <row r="33173" spans="1:6" x14ac:dyDescent="0.25">
      <c r="A33173" s="1" t="str">
        <f t="shared" si="1183"/>
        <v>42660</v>
      </c>
      <c r="B33173" s="1" t="str">
        <f>"98351"</f>
        <v>98351</v>
      </c>
      <c r="C33173" s="2">
        <v>4.1575607152144999E-4</v>
      </c>
      <c r="D33173" s="2">
        <v>5.2039966694421297E-5</v>
      </c>
      <c r="E33173" s="2">
        <v>7.0318048533516998E-6</v>
      </c>
      <c r="F33173" s="2">
        <v>3.6011049243889898E-4</v>
      </c>
    </row>
    <row r="33174" spans="1:6" x14ac:dyDescent="0.25">
      <c r="A33174" s="1" t="str">
        <f t="shared" si="1183"/>
        <v>42660</v>
      </c>
      <c r="B33174" s="1" t="str">
        <f>"98388"</f>
        <v>98388</v>
      </c>
      <c r="C33174" s="2">
        <v>2.2207875754520199E-3</v>
      </c>
      <c r="D33174" s="2">
        <v>9.2370940882597805E-4</v>
      </c>
      <c r="E33174" s="2">
        <v>1.5118380434706101E-3</v>
      </c>
      <c r="F33174" s="2">
        <v>2.0742949909996699E-3</v>
      </c>
    </row>
    <row r="33175" spans="1:6" x14ac:dyDescent="0.25">
      <c r="A33175" s="1" t="str">
        <f t="shared" si="1183"/>
        <v>42660</v>
      </c>
      <c r="B33175" s="1" t="str">
        <f>"98467"</f>
        <v>98467</v>
      </c>
      <c r="C33175" s="2">
        <v>3.8444604638218E-3</v>
      </c>
      <c r="D33175" s="2">
        <v>1.06681931723563E-3</v>
      </c>
      <c r="E33175" s="2">
        <v>9.8867176238124996E-3</v>
      </c>
      <c r="F33175" s="2">
        <v>4.0553906540104203E-3</v>
      </c>
    </row>
    <row r="33176" spans="1:6" x14ac:dyDescent="0.25">
      <c r="A33176" s="1" t="str">
        <f t="shared" si="1183"/>
        <v>42660</v>
      </c>
      <c r="B33176" s="1" t="str">
        <f>"98447"</f>
        <v>98447</v>
      </c>
      <c r="C33176" s="2">
        <v>0</v>
      </c>
      <c r="D33176" s="2">
        <v>1.9514987510407902E-5</v>
      </c>
      <c r="E33176" s="2">
        <v>0</v>
      </c>
      <c r="F33176" s="2">
        <v>1.46386379040203E-6</v>
      </c>
    </row>
    <row r="33177" spans="1:6" x14ac:dyDescent="0.25">
      <c r="A33177" s="1" t="str">
        <f t="shared" si="1183"/>
        <v>42660</v>
      </c>
      <c r="B33177" s="1" t="str">
        <f>"98528"</f>
        <v>98528</v>
      </c>
      <c r="C33177" s="2">
        <v>1.7109303354792199E-6</v>
      </c>
      <c r="D33177" s="2">
        <v>0</v>
      </c>
      <c r="E33177" s="2">
        <v>0</v>
      </c>
      <c r="F33177" s="2">
        <v>1.46386379040203E-6</v>
      </c>
    </row>
    <row r="33178" spans="1:6" x14ac:dyDescent="0.25">
      <c r="A33178" s="1" t="str">
        <f t="shared" si="1183"/>
        <v>42660</v>
      </c>
      <c r="B33178" s="1" t="str">
        <f>"98131"</f>
        <v>98131</v>
      </c>
      <c r="C33178" s="2">
        <v>0</v>
      </c>
      <c r="D33178" s="2">
        <v>6.5049958368026604E-6</v>
      </c>
      <c r="E33178" s="2">
        <v>7.0318048533516998E-6</v>
      </c>
      <c r="F33178" s="2">
        <v>9.7590919360135299E-7</v>
      </c>
    </row>
    <row r="33179" spans="1:6" x14ac:dyDescent="0.25">
      <c r="A33179" s="1" t="str">
        <f t="shared" si="1183"/>
        <v>42660</v>
      </c>
      <c r="B33179" s="1" t="str">
        <f>"98110"</f>
        <v>98110</v>
      </c>
      <c r="C33179" s="2">
        <v>0</v>
      </c>
      <c r="D33179" s="2">
        <v>0</v>
      </c>
      <c r="E33179" s="2">
        <v>7.0318048533516998E-6</v>
      </c>
      <c r="F33179" s="2">
        <v>4.8795459680067597E-7</v>
      </c>
    </row>
    <row r="33180" spans="1:6" x14ac:dyDescent="0.25">
      <c r="A33180" s="1" t="str">
        <f t="shared" si="1183"/>
        <v>42660</v>
      </c>
      <c r="B33180" s="1" t="str">
        <f>"98282"</f>
        <v>98282</v>
      </c>
      <c r="C33180" s="2">
        <v>1.1406202236528099E-6</v>
      </c>
      <c r="D33180" s="2">
        <v>0</v>
      </c>
      <c r="E33180" s="2">
        <v>0</v>
      </c>
      <c r="F33180" s="2">
        <v>9.7590919360135299E-7</v>
      </c>
    </row>
    <row r="33181" spans="1:6" x14ac:dyDescent="0.25">
      <c r="A33181" s="1" t="str">
        <f t="shared" si="1183"/>
        <v>42660</v>
      </c>
      <c r="B33181" s="1" t="str">
        <f>"98395"</f>
        <v>98395</v>
      </c>
      <c r="C33181" s="2">
        <v>4.1518576140962398E-4</v>
      </c>
      <c r="D33181" s="2">
        <v>1.03429433805162E-3</v>
      </c>
      <c r="E33181" s="2">
        <v>7.0318048533516998E-6</v>
      </c>
      <c r="F33181" s="2">
        <v>4.33303681959001E-4</v>
      </c>
    </row>
    <row r="33182" spans="1:6" x14ac:dyDescent="0.25">
      <c r="A33182" s="1" t="str">
        <f t="shared" si="1183"/>
        <v>42660</v>
      </c>
      <c r="B33182" s="1" t="str">
        <f>"98114"</f>
        <v>98114</v>
      </c>
      <c r="C33182" s="2">
        <v>2.0474133014568001E-4</v>
      </c>
      <c r="D33182" s="2">
        <v>8.71669442131557E-4</v>
      </c>
      <c r="E33182" s="2">
        <v>1.40636097067034E-5</v>
      </c>
      <c r="F33182" s="2">
        <v>2.4153752541633501E-4</v>
      </c>
    </row>
    <row r="33183" spans="1:6" x14ac:dyDescent="0.25">
      <c r="A33183" s="1" t="str">
        <f t="shared" si="1183"/>
        <v>42660</v>
      </c>
      <c r="B33183" s="1" t="str">
        <f>"98206"</f>
        <v>98206</v>
      </c>
      <c r="C33183" s="2">
        <v>1.4252049694541899E-3</v>
      </c>
      <c r="D33183" s="2">
        <v>3.2004579517069102E-3</v>
      </c>
      <c r="E33183" s="2">
        <v>0</v>
      </c>
      <c r="F33183" s="2">
        <v>1.4594721990308201E-3</v>
      </c>
    </row>
    <row r="33184" spans="1:6" x14ac:dyDescent="0.25">
      <c r="A33184" s="1" t="str">
        <f t="shared" si="1183"/>
        <v>42660</v>
      </c>
      <c r="B33184" s="1" t="str">
        <f>"98401"</f>
        <v>98401</v>
      </c>
      <c r="C33184" s="2">
        <v>5.5719297925439901E-4</v>
      </c>
      <c r="D33184" s="2">
        <v>2.55646336386344E-3</v>
      </c>
      <c r="E33184" s="2">
        <v>7.0318048533516998E-6</v>
      </c>
      <c r="F33184" s="2">
        <v>6.6898575221372803E-4</v>
      </c>
    </row>
    <row r="33185" spans="1:6" x14ac:dyDescent="0.25">
      <c r="A33185" s="1" t="str">
        <f t="shared" si="1183"/>
        <v>42660</v>
      </c>
      <c r="B33185" s="1" t="str">
        <f>"98113"</f>
        <v>98113</v>
      </c>
      <c r="C33185" s="2">
        <v>1.95046058244631E-4</v>
      </c>
      <c r="D33185" s="2">
        <v>9.8875936719400401E-4</v>
      </c>
      <c r="E33185" s="2">
        <v>7.0318048533516998E-6</v>
      </c>
      <c r="F33185" s="2">
        <v>2.4153752541633501E-4</v>
      </c>
    </row>
    <row r="33186" spans="1:6" x14ac:dyDescent="0.25">
      <c r="A33186" s="1" t="str">
        <f t="shared" si="1183"/>
        <v>42660</v>
      </c>
      <c r="B33186" s="1" t="str">
        <f>"98490"</f>
        <v>98490</v>
      </c>
      <c r="C33186" s="2">
        <v>2.97701878373384E-4</v>
      </c>
      <c r="D33186" s="2">
        <v>3.9029975020815898E-4</v>
      </c>
      <c r="E33186" s="2">
        <v>7.0318048533516998E-6</v>
      </c>
      <c r="F33186" s="2">
        <v>2.8447752993479401E-4</v>
      </c>
    </row>
    <row r="33187" spans="1:6" x14ac:dyDescent="0.25">
      <c r="A33187" s="1" t="str">
        <f t="shared" si="1183"/>
        <v>42660</v>
      </c>
      <c r="B33187" s="1" t="str">
        <f>"98404"</f>
        <v>98404</v>
      </c>
      <c r="C33187" s="2">
        <v>7.1180405057053803E-3</v>
      </c>
      <c r="D33187" s="2">
        <v>2.8621981681931702E-3</v>
      </c>
      <c r="E33187" s="2">
        <v>5.4355851516408697E-3</v>
      </c>
      <c r="F33187" s="2">
        <v>6.6820502485884599E-3</v>
      </c>
    </row>
    <row r="33188" spans="1:6" x14ac:dyDescent="0.25">
      <c r="A33188" s="1" t="str">
        <f t="shared" si="1183"/>
        <v>42660</v>
      </c>
      <c r="B33188" s="1" t="str">
        <f>"98446"</f>
        <v>98446</v>
      </c>
      <c r="C33188" s="2">
        <v>2.70441055028082E-3</v>
      </c>
      <c r="D33188" s="2">
        <v>1.06031432139883E-3</v>
      </c>
      <c r="E33188" s="2">
        <v>6.6802146106841205E-4</v>
      </c>
      <c r="F33188" s="2">
        <v>2.4397729840033799E-3</v>
      </c>
    </row>
    <row r="33189" spans="1:6" x14ac:dyDescent="0.25">
      <c r="A33189" s="1" t="str">
        <f t="shared" si="1183"/>
        <v>42660</v>
      </c>
      <c r="B33189" s="1" t="str">
        <f>"98411"</f>
        <v>98411</v>
      </c>
      <c r="C33189" s="2">
        <v>7.1003608922387605E-4</v>
      </c>
      <c r="D33189" s="2">
        <v>2.6019983347210598E-3</v>
      </c>
      <c r="E33189" s="2">
        <v>7.0318048533516998E-6</v>
      </c>
      <c r="F33189" s="2">
        <v>8.0317326633391403E-4</v>
      </c>
    </row>
    <row r="33190" spans="1:6" x14ac:dyDescent="0.25">
      <c r="A33190" s="1" t="str">
        <f t="shared" si="1183"/>
        <v>42660</v>
      </c>
      <c r="B33190" s="1" t="str">
        <f>"98272"</f>
        <v>98272</v>
      </c>
      <c r="C33190" s="2">
        <v>6.40857472659333E-3</v>
      </c>
      <c r="D33190" s="2">
        <v>1.01608034970857E-2</v>
      </c>
      <c r="E33190" s="2">
        <v>3.1994712082750198E-3</v>
      </c>
      <c r="F33190" s="2">
        <v>6.4673502259961699E-3</v>
      </c>
    </row>
    <row r="33191" spans="1:6" x14ac:dyDescent="0.25">
      <c r="A33191" s="1" t="str">
        <f t="shared" si="1183"/>
        <v>42660</v>
      </c>
      <c r="B33191" s="1" t="str">
        <f>"98290"</f>
        <v>98290</v>
      </c>
      <c r="C33191" s="2">
        <v>8.2809028237194205E-3</v>
      </c>
      <c r="D33191" s="2">
        <v>6.27732098251457E-3</v>
      </c>
      <c r="E33191" s="2">
        <v>4.1557966683308601E-3</v>
      </c>
      <c r="F33191" s="2">
        <v>7.8443580981676798E-3</v>
      </c>
    </row>
    <row r="33192" spans="1:6" x14ac:dyDescent="0.25">
      <c r="A33192" s="1" t="str">
        <f t="shared" si="1183"/>
        <v>42660</v>
      </c>
      <c r="B33192" s="1" t="str">
        <f>"98294"</f>
        <v>98294</v>
      </c>
      <c r="C33192" s="2">
        <v>1.5232983086883301E-3</v>
      </c>
      <c r="D33192" s="2">
        <v>7.3506452955870104E-4</v>
      </c>
      <c r="E33192" s="2">
        <v>7.3130770474857704E-4</v>
      </c>
      <c r="F33192" s="2">
        <v>1.4092128755603501E-3</v>
      </c>
    </row>
    <row r="33193" spans="1:6" x14ac:dyDescent="0.25">
      <c r="A33193" s="1" t="str">
        <f t="shared" si="1183"/>
        <v>42660</v>
      </c>
      <c r="B33193" s="1" t="str">
        <f>"98032"</f>
        <v>98032</v>
      </c>
      <c r="C33193" s="2">
        <v>9.0262981398765308E-3</v>
      </c>
      <c r="D33193" s="2">
        <v>2.3470024979184E-2</v>
      </c>
      <c r="E33193" s="2">
        <v>1.34518426844618E-2</v>
      </c>
      <c r="F33193" s="2">
        <v>1.0416854732500799E-2</v>
      </c>
    </row>
    <row r="33194" spans="1:6" x14ac:dyDescent="0.25">
      <c r="A33194" s="1" t="str">
        <f t="shared" si="1183"/>
        <v>42660</v>
      </c>
      <c r="B33194" s="1" t="str">
        <f>"98042"</f>
        <v>98042</v>
      </c>
      <c r="C33194" s="2">
        <v>1.08313296438071E-2</v>
      </c>
      <c r="D33194" s="2">
        <v>5.5942964196502897E-3</v>
      </c>
      <c r="E33194" s="2">
        <v>3.1572803791549099E-3</v>
      </c>
      <c r="F33194" s="2">
        <v>9.9059662696505402E-3</v>
      </c>
    </row>
    <row r="33195" spans="1:6" x14ac:dyDescent="0.25">
      <c r="A33195" s="1" t="str">
        <f t="shared" si="1183"/>
        <v>42660</v>
      </c>
      <c r="B33195" s="1" t="str">
        <f>"98043"</f>
        <v>98043</v>
      </c>
      <c r="C33195" s="2">
        <v>5.4202273027981604E-3</v>
      </c>
      <c r="D33195" s="2">
        <v>4.9958368026644401E-3</v>
      </c>
      <c r="E33195" s="2">
        <v>7.8474942163404993E-3</v>
      </c>
      <c r="F33195" s="2">
        <v>5.5568269483661E-3</v>
      </c>
    </row>
    <row r="33196" spans="1:6" x14ac:dyDescent="0.25">
      <c r="A33196" s="1" t="str">
        <f t="shared" si="1183"/>
        <v>42660</v>
      </c>
      <c r="B33196" s="1" t="str">
        <f>"98045"</f>
        <v>98045</v>
      </c>
      <c r="C33196" s="2">
        <v>3.4771807518055998E-3</v>
      </c>
      <c r="D33196" s="2">
        <v>2.1271336386344702E-3</v>
      </c>
      <c r="E33196" s="2">
        <v>1.1672796056563801E-3</v>
      </c>
      <c r="F33196" s="2">
        <v>3.2156207929164601E-3</v>
      </c>
    </row>
    <row r="33197" spans="1:6" x14ac:dyDescent="0.25">
      <c r="A33197" s="1" t="str">
        <f t="shared" si="1183"/>
        <v>42660</v>
      </c>
      <c r="B33197" s="1" t="str">
        <f>"98001"</f>
        <v>98001</v>
      </c>
      <c r="C33197" s="2">
        <v>7.00055662266914E-3</v>
      </c>
      <c r="D33197" s="2">
        <v>9.1069941715237294E-3</v>
      </c>
      <c r="E33197" s="2">
        <v>3.07993052576804E-3</v>
      </c>
      <c r="F33197" s="2">
        <v>6.88650322464795E-3</v>
      </c>
    </row>
    <row r="33198" spans="1:6" x14ac:dyDescent="0.25">
      <c r="A33198" s="1" t="str">
        <f t="shared" si="1183"/>
        <v>42660</v>
      </c>
      <c r="B33198" s="1" t="str">
        <f>"98011"</f>
        <v>98011</v>
      </c>
      <c r="C33198" s="2">
        <v>7.2446493505308402E-3</v>
      </c>
      <c r="D33198" s="2">
        <v>5.3666215653621896E-3</v>
      </c>
      <c r="E33198" s="2">
        <v>8.2272116784214994E-3</v>
      </c>
      <c r="F33198" s="2">
        <v>7.1719566637763396E-3</v>
      </c>
    </row>
    <row r="33199" spans="1:6" x14ac:dyDescent="0.25">
      <c r="A33199" s="1" t="str">
        <f t="shared" si="1183"/>
        <v>42660</v>
      </c>
      <c r="B33199" s="1" t="str">
        <f>"98068"</f>
        <v>98068</v>
      </c>
      <c r="C33199" s="2">
        <v>0</v>
      </c>
      <c r="D33199" s="2">
        <v>0</v>
      </c>
      <c r="E33199" s="2">
        <v>7.0318048533516998E-6</v>
      </c>
      <c r="F33199" s="2">
        <v>4.8795459680067597E-7</v>
      </c>
    </row>
    <row r="33200" spans="1:6" x14ac:dyDescent="0.25">
      <c r="A33200" s="1" t="str">
        <f t="shared" si="1183"/>
        <v>42660</v>
      </c>
      <c r="B33200" s="1" t="str">
        <f>"98431"</f>
        <v>98431</v>
      </c>
      <c r="C33200" s="2">
        <v>0</v>
      </c>
      <c r="D33200" s="2">
        <v>6.5049958368026604E-6</v>
      </c>
      <c r="E33200" s="2">
        <v>0</v>
      </c>
      <c r="F33200" s="2">
        <v>4.8795459680067597E-7</v>
      </c>
    </row>
    <row r="33201" spans="1:6" x14ac:dyDescent="0.25">
      <c r="A33201" s="1" t="str">
        <f t="shared" si="1183"/>
        <v>42660</v>
      </c>
      <c r="B33201" s="1" t="str">
        <f>"98293"</f>
        <v>98293</v>
      </c>
      <c r="C33201" s="2">
        <v>2.2812404473056198E-6</v>
      </c>
      <c r="D33201" s="2">
        <v>6.5049958368026604E-6</v>
      </c>
      <c r="E33201" s="2">
        <v>0</v>
      </c>
      <c r="F33201" s="2">
        <v>2.4397729840033798E-6</v>
      </c>
    </row>
    <row r="33202" spans="1:6" x14ac:dyDescent="0.25">
      <c r="A33202" s="1" t="str">
        <f t="shared" si="1183"/>
        <v>42660</v>
      </c>
      <c r="B33202" s="1" t="str">
        <f>"98127"</f>
        <v>98127</v>
      </c>
      <c r="C33202" s="2">
        <v>4.9388855684166799E-4</v>
      </c>
      <c r="D33202" s="2">
        <v>2.5239383846794301E-3</v>
      </c>
      <c r="E33202" s="2">
        <v>7.0318048533516998E-6</v>
      </c>
      <c r="F33202" s="2">
        <v>6.1238301898484905E-4</v>
      </c>
    </row>
    <row r="33203" spans="1:6" x14ac:dyDescent="0.25">
      <c r="A33203" s="1" t="str">
        <f t="shared" si="1183"/>
        <v>42660</v>
      </c>
      <c r="B33203" s="1" t="str">
        <f>"98438"</f>
        <v>98438</v>
      </c>
      <c r="C33203" s="2">
        <v>1.93905438020978E-5</v>
      </c>
      <c r="D33203" s="2">
        <v>4.9437968359700201E-4</v>
      </c>
      <c r="E33203" s="2">
        <v>7.0318048533516998E-6</v>
      </c>
      <c r="F33203" s="2">
        <v>5.4162960244875098E-5</v>
      </c>
    </row>
    <row r="33204" spans="1:6" x14ac:dyDescent="0.25">
      <c r="A33204" s="1" t="str">
        <f t="shared" si="1183"/>
        <v>42660</v>
      </c>
      <c r="B33204" s="1" t="str">
        <f>"98259"</f>
        <v>98259</v>
      </c>
      <c r="C33204" s="2">
        <v>1.1577295270076E-4</v>
      </c>
      <c r="D33204" s="2">
        <v>3.3825978351373798E-4</v>
      </c>
      <c r="E33204" s="2">
        <v>7.0318048533516998E-6</v>
      </c>
      <c r="F33204" s="2">
        <v>1.2491637678097299E-4</v>
      </c>
    </row>
    <row r="33205" spans="1:6" x14ac:dyDescent="0.25">
      <c r="A33205" s="1" t="str">
        <f t="shared" si="1183"/>
        <v>42660</v>
      </c>
      <c r="B33205" s="1" t="str">
        <f>"98138"</f>
        <v>98138</v>
      </c>
      <c r="C33205" s="2">
        <v>4.6366212091486801E-4</v>
      </c>
      <c r="D33205" s="2">
        <v>2.12062864279766E-3</v>
      </c>
      <c r="E33205" s="2">
        <v>7.0318048533516998E-6</v>
      </c>
      <c r="F33205" s="2">
        <v>5.5626824035277095E-4</v>
      </c>
    </row>
    <row r="33206" spans="1:6" x14ac:dyDescent="0.25">
      <c r="A33206" s="1" t="str">
        <f t="shared" si="1183"/>
        <v>42660</v>
      </c>
      <c r="B33206" s="1" t="str">
        <f>"98021"</f>
        <v>98021</v>
      </c>
      <c r="C33206" s="2">
        <v>7.1032124427978897E-3</v>
      </c>
      <c r="D33206" s="2">
        <v>4.2217422980849201E-3</v>
      </c>
      <c r="E33206" s="2">
        <v>5.6043484681213103E-3</v>
      </c>
      <c r="F33206" s="2">
        <v>6.7830568501262003E-3</v>
      </c>
    </row>
    <row r="33207" spans="1:6" x14ac:dyDescent="0.25">
      <c r="A33207" s="1" t="str">
        <f t="shared" si="1183"/>
        <v>42660</v>
      </c>
      <c r="B33207" s="1" t="str">
        <f>"98033"</f>
        <v>98033</v>
      </c>
      <c r="C33207" s="2">
        <v>1.09978601964604E-2</v>
      </c>
      <c r="D33207" s="2">
        <v>1.1702487510407899E-2</v>
      </c>
      <c r="E33207" s="2">
        <v>1.30229025884073E-2</v>
      </c>
      <c r="F33207" s="2">
        <v>1.11912386776235E-2</v>
      </c>
    </row>
    <row r="33208" spans="1:6" x14ac:dyDescent="0.25">
      <c r="A33208" s="1" t="str">
        <f t="shared" si="1183"/>
        <v>42660</v>
      </c>
      <c r="B33208" s="1" t="str">
        <f>"98136"</f>
        <v>98136</v>
      </c>
      <c r="C33208" s="2">
        <v>4.4700906564953697E-3</v>
      </c>
      <c r="D33208" s="2">
        <v>1.37255412156536E-3</v>
      </c>
      <c r="E33208" s="2">
        <v>4.5284823255584998E-3</v>
      </c>
      <c r="F33208" s="2">
        <v>4.24178930998828E-3</v>
      </c>
    </row>
    <row r="33209" spans="1:6" x14ac:dyDescent="0.25">
      <c r="A33209" s="1" t="str">
        <f t="shared" si="1183"/>
        <v>42660</v>
      </c>
      <c r="B33209" s="1" t="str">
        <f>"98118"</f>
        <v>98118</v>
      </c>
      <c r="C33209" s="2">
        <v>1.1277312151255299E-2</v>
      </c>
      <c r="D33209" s="2">
        <v>8.7036844296419606E-3</v>
      </c>
      <c r="E33209" s="2">
        <v>1.07867886450415E-2</v>
      </c>
      <c r="F33209" s="2">
        <v>1.10502197991481E-2</v>
      </c>
    </row>
    <row r="33210" spans="1:6" x14ac:dyDescent="0.25">
      <c r="A33210" s="1" t="str">
        <f t="shared" si="1183"/>
        <v>42660</v>
      </c>
      <c r="B33210" s="1" t="str">
        <f>"98126"</f>
        <v>98126</v>
      </c>
      <c r="C33210" s="2">
        <v>6.2061146368949504E-3</v>
      </c>
      <c r="D33210" s="2">
        <v>2.3808284762697699E-3</v>
      </c>
      <c r="E33210" s="2">
        <v>4.2120511071576704E-3</v>
      </c>
      <c r="F33210" s="2">
        <v>5.7807981082976098E-3</v>
      </c>
    </row>
    <row r="33211" spans="1:6" x14ac:dyDescent="0.25">
      <c r="A33211" s="1" t="str">
        <f t="shared" si="1183"/>
        <v>42660</v>
      </c>
      <c r="B33211" s="1" t="str">
        <f>"98072"</f>
        <v>98072</v>
      </c>
      <c r="C33211" s="2">
        <v>6.35496557608165E-3</v>
      </c>
      <c r="D33211" s="2">
        <v>1.53452851790174E-2</v>
      </c>
      <c r="E33211" s="2">
        <v>3.0236760869412301E-3</v>
      </c>
      <c r="F33211" s="2">
        <v>6.7981834426270298E-3</v>
      </c>
    </row>
    <row r="33212" spans="1:6" x14ac:dyDescent="0.25">
      <c r="A33212" s="1" t="str">
        <f t="shared" ref="A33212:A33275" si="1184">"42660"</f>
        <v>42660</v>
      </c>
      <c r="B33212" s="1" t="str">
        <f>"98101"</f>
        <v>98101</v>
      </c>
      <c r="C33212" s="2">
        <v>7.17735275733532E-3</v>
      </c>
      <c r="D33212" s="2">
        <v>2.61761032472939E-2</v>
      </c>
      <c r="E33212" s="2">
        <v>8.9796147977301306E-3</v>
      </c>
      <c r="F33212" s="2">
        <v>8.7275559183769003E-3</v>
      </c>
    </row>
    <row r="33213" spans="1:6" x14ac:dyDescent="0.25">
      <c r="A33213" s="1" t="str">
        <f t="shared" si="1184"/>
        <v>42660</v>
      </c>
      <c r="B33213" s="1" t="str">
        <f>"98104"</f>
        <v>98104</v>
      </c>
      <c r="C33213" s="2">
        <v>6.3190360390365796E-3</v>
      </c>
      <c r="D33213" s="2">
        <v>2.3639154870940801E-2</v>
      </c>
      <c r="E33213" s="2">
        <v>1.8957745884636199E-2</v>
      </c>
      <c r="F33213" s="2">
        <v>8.4952895302997794E-3</v>
      </c>
    </row>
    <row r="33214" spans="1:6" x14ac:dyDescent="0.25">
      <c r="A33214" s="1" t="str">
        <f t="shared" si="1184"/>
        <v>42660</v>
      </c>
      <c r="B33214" s="1" t="str">
        <f>"98111"</f>
        <v>98111</v>
      </c>
      <c r="C33214" s="2">
        <v>1.48565784130778E-3</v>
      </c>
      <c r="D33214" s="2">
        <v>2.9597731057452101E-3</v>
      </c>
      <c r="E33214" s="2">
        <v>7.0318048533516998E-6</v>
      </c>
      <c r="F33214" s="2">
        <v>1.4936290208068699E-3</v>
      </c>
    </row>
    <row r="33215" spans="1:6" x14ac:dyDescent="0.25">
      <c r="A33215" s="1" t="str">
        <f t="shared" si="1184"/>
        <v>42660</v>
      </c>
      <c r="B33215" s="1" t="str">
        <f>"98558"</f>
        <v>98558</v>
      </c>
      <c r="C33215" s="2">
        <v>4.5282622879016599E-4</v>
      </c>
      <c r="D33215" s="2">
        <v>4.2282472939217299E-4</v>
      </c>
      <c r="E33215" s="2">
        <v>1.68763316480441E-4</v>
      </c>
      <c r="F33215" s="2">
        <v>4.3086390897499702E-4</v>
      </c>
    </row>
    <row r="33216" spans="1:6" x14ac:dyDescent="0.25">
      <c r="A33216" s="1" t="str">
        <f t="shared" si="1184"/>
        <v>42660</v>
      </c>
      <c r="B33216" s="1" t="str">
        <f>"98413"</f>
        <v>98413</v>
      </c>
      <c r="C33216" s="2">
        <v>0</v>
      </c>
      <c r="D33216" s="2">
        <v>6.5049958368026604E-6</v>
      </c>
      <c r="E33216" s="2">
        <v>0</v>
      </c>
      <c r="F33216" s="2">
        <v>4.8795459680067597E-7</v>
      </c>
    </row>
    <row r="33217" spans="1:6" x14ac:dyDescent="0.25">
      <c r="A33217" s="1" t="str">
        <f t="shared" si="1184"/>
        <v>42660</v>
      </c>
      <c r="B33217" s="1" t="str">
        <f>"98493"</f>
        <v>98493</v>
      </c>
      <c r="C33217" s="2">
        <v>0</v>
      </c>
      <c r="D33217" s="2">
        <v>1.30099916736053E-5</v>
      </c>
      <c r="E33217" s="2">
        <v>0</v>
      </c>
      <c r="F33217" s="2">
        <v>9.7590919360135299E-7</v>
      </c>
    </row>
    <row r="33218" spans="1:6" x14ac:dyDescent="0.25">
      <c r="A33218" s="1" t="str">
        <f t="shared" si="1184"/>
        <v>42660</v>
      </c>
      <c r="B33218" s="1" t="str">
        <f>"98213"</f>
        <v>98213</v>
      </c>
      <c r="C33218" s="2">
        <v>6.3247391401548498E-4</v>
      </c>
      <c r="D33218" s="2">
        <v>1.4766340549541999E-3</v>
      </c>
      <c r="E33218" s="2">
        <v>0</v>
      </c>
      <c r="F33218" s="2">
        <v>6.5190734132570399E-4</v>
      </c>
    </row>
    <row r="33219" spans="1:6" x14ac:dyDescent="0.25">
      <c r="A33219" s="1" t="str">
        <f t="shared" si="1184"/>
        <v>42660</v>
      </c>
      <c r="B33219" s="1" t="str">
        <f>"98371"</f>
        <v>98371</v>
      </c>
      <c r="C33219" s="2">
        <v>6.5716834185756802E-3</v>
      </c>
      <c r="D33219" s="2">
        <v>7.2270503746877596E-3</v>
      </c>
      <c r="E33219" s="2">
        <v>5.4004261273741102E-3</v>
      </c>
      <c r="F33219" s="2">
        <v>6.53956750632267E-3</v>
      </c>
    </row>
    <row r="33220" spans="1:6" x14ac:dyDescent="0.25">
      <c r="A33220" s="1" t="str">
        <f t="shared" si="1184"/>
        <v>42660</v>
      </c>
      <c r="B33220" s="1" t="str">
        <f>"98374"</f>
        <v>98374</v>
      </c>
      <c r="C33220" s="2">
        <v>9.2721017980737196E-3</v>
      </c>
      <c r="D33220" s="2">
        <v>2.88171315570358E-3</v>
      </c>
      <c r="E33220" s="2">
        <v>5.1824401769202102E-3</v>
      </c>
      <c r="F33220" s="2">
        <v>8.5089522590102006E-3</v>
      </c>
    </row>
    <row r="33221" spans="1:6" x14ac:dyDescent="0.25">
      <c r="A33221" s="1" t="str">
        <f t="shared" si="1184"/>
        <v>42660</v>
      </c>
      <c r="B33221" s="1" t="str">
        <f>"98375"</f>
        <v>98375</v>
      </c>
      <c r="C33221" s="2">
        <v>6.2352004525981003E-3</v>
      </c>
      <c r="D33221" s="2">
        <v>3.2524979184013298E-3</v>
      </c>
      <c r="E33221" s="2">
        <v>1.42042458037704E-3</v>
      </c>
      <c r="F33221" s="2">
        <v>5.6773517337758697E-3</v>
      </c>
    </row>
    <row r="33222" spans="1:6" x14ac:dyDescent="0.25">
      <c r="A33222" s="1" t="str">
        <f t="shared" si="1184"/>
        <v>42660</v>
      </c>
      <c r="B33222" s="1" t="str">
        <f>"98466"</f>
        <v>98466</v>
      </c>
      <c r="C33222" s="2">
        <v>7.2349540786297902E-3</v>
      </c>
      <c r="D33222" s="2">
        <v>6.4789758534554501E-3</v>
      </c>
      <c r="E33222" s="2">
        <v>1.8022515839140399E-2</v>
      </c>
      <c r="F33222" s="2">
        <v>7.9268224250269893E-3</v>
      </c>
    </row>
    <row r="33223" spans="1:6" x14ac:dyDescent="0.25">
      <c r="A33223" s="1" t="str">
        <f t="shared" si="1184"/>
        <v>42660</v>
      </c>
      <c r="B33223" s="1" t="str">
        <f>"98443"</f>
        <v>98443</v>
      </c>
      <c r="C33223" s="2">
        <v>1.3065804661942901E-3</v>
      </c>
      <c r="D33223" s="2">
        <v>2.1466486261448699E-4</v>
      </c>
      <c r="E33223" s="2">
        <v>1.1250887765362699E-4</v>
      </c>
      <c r="F33223" s="2">
        <v>1.1418137565135801E-3</v>
      </c>
    </row>
    <row r="33224" spans="1:6" x14ac:dyDescent="0.25">
      <c r="A33224" s="1" t="str">
        <f t="shared" si="1184"/>
        <v>42660</v>
      </c>
      <c r="B33224" s="1" t="str">
        <f>"98416"</f>
        <v>98416</v>
      </c>
      <c r="C33224" s="2">
        <v>0</v>
      </c>
      <c r="D33224" s="2">
        <v>6.5049958368026604E-6</v>
      </c>
      <c r="E33224" s="2">
        <v>7.0880592921785199E-3</v>
      </c>
      <c r="F33224" s="2">
        <v>4.92346188171882E-4</v>
      </c>
    </row>
    <row r="33225" spans="1:6" x14ac:dyDescent="0.25">
      <c r="A33225" s="1" t="str">
        <f t="shared" si="1184"/>
        <v>42660</v>
      </c>
      <c r="B33225" s="1" t="str">
        <f>"98291"</f>
        <v>98291</v>
      </c>
      <c r="C33225" s="2">
        <v>8.24668421700984E-4</v>
      </c>
      <c r="D33225" s="2">
        <v>3.33055786844296E-3</v>
      </c>
      <c r="E33225" s="2">
        <v>7.0318048533516998E-6</v>
      </c>
      <c r="F33225" s="2">
        <v>9.5590305513252596E-4</v>
      </c>
    </row>
    <row r="33226" spans="1:6" x14ac:dyDescent="0.25">
      <c r="A33226" s="1" t="str">
        <f t="shared" si="1184"/>
        <v>42660</v>
      </c>
      <c r="B33226" s="1" t="str">
        <f>"98050"</f>
        <v>98050</v>
      </c>
      <c r="C33226" s="2">
        <v>2.3953024696709001E-4</v>
      </c>
      <c r="D33226" s="2">
        <v>4.8787468776019901E-4</v>
      </c>
      <c r="E33226" s="2">
        <v>7.2427589989522596E-4</v>
      </c>
      <c r="F33226" s="2">
        <v>2.9179684888680399E-4</v>
      </c>
    </row>
    <row r="33227" spans="1:6" x14ac:dyDescent="0.25">
      <c r="A33227" s="1" t="str">
        <f t="shared" si="1184"/>
        <v>42660</v>
      </c>
      <c r="B33227" s="1" t="str">
        <f>"98422"</f>
        <v>98422</v>
      </c>
      <c r="C33227" s="2">
        <v>4.7130427641334204E-3</v>
      </c>
      <c r="D33227" s="2">
        <v>1.1253642797668601E-3</v>
      </c>
      <c r="E33227" s="2">
        <v>1.0547707280027499E-3</v>
      </c>
      <c r="F33227" s="2">
        <v>4.1900661227274099E-3</v>
      </c>
    </row>
    <row r="33228" spans="1:6" x14ac:dyDescent="0.25">
      <c r="A33228" s="1" t="str">
        <f t="shared" si="1184"/>
        <v>42660</v>
      </c>
      <c r="B33228" s="1" t="str">
        <f>"98496"</f>
        <v>98496</v>
      </c>
      <c r="C33228" s="2">
        <v>9.7465998111132901E-4</v>
      </c>
      <c r="D33228" s="2">
        <v>2.9402581182347998E-3</v>
      </c>
      <c r="E33228" s="2">
        <v>7.0318048533516998E-6</v>
      </c>
      <c r="F33228" s="2">
        <v>1.05495783828306E-3</v>
      </c>
    </row>
    <row r="33229" spans="1:6" x14ac:dyDescent="0.25">
      <c r="A33229" s="1" t="str">
        <f t="shared" si="1184"/>
        <v>42660</v>
      </c>
      <c r="B33229" s="1" t="str">
        <f>"98036"</f>
        <v>98036</v>
      </c>
      <c r="C33229" s="2">
        <v>9.7294905077584901E-3</v>
      </c>
      <c r="D33229" s="2">
        <v>1.54103351373855E-2</v>
      </c>
      <c r="E33229" s="2">
        <v>9.5702864054116703E-3</v>
      </c>
      <c r="F33229" s="2">
        <v>1.0144576067486E-2</v>
      </c>
    </row>
    <row r="33230" spans="1:6" x14ac:dyDescent="0.25">
      <c r="A33230" s="1" t="str">
        <f t="shared" si="1184"/>
        <v>42660</v>
      </c>
      <c r="B33230" s="1" t="str">
        <f>"98024"</f>
        <v>98024</v>
      </c>
      <c r="C33230" s="2">
        <v>1.5404076120431199E-3</v>
      </c>
      <c r="D33230" s="2">
        <v>1.4245940882597801E-3</v>
      </c>
      <c r="E33230" s="2">
        <v>1.4837108240572099E-3</v>
      </c>
      <c r="F33230" s="2">
        <v>1.5277858425829099E-3</v>
      </c>
    </row>
    <row r="33231" spans="1:6" x14ac:dyDescent="0.25">
      <c r="A33231" s="1" t="str">
        <f t="shared" si="1184"/>
        <v>42660</v>
      </c>
      <c r="B33231" s="1" t="str">
        <f>"98028"</f>
        <v>98028</v>
      </c>
      <c r="C33231" s="2">
        <v>5.91411585963983E-3</v>
      </c>
      <c r="D33231" s="2">
        <v>3.8704725228975801E-3</v>
      </c>
      <c r="E33231" s="2">
        <v>5.3512034934006499E-3</v>
      </c>
      <c r="F33231" s="2">
        <v>5.7217556020847304E-3</v>
      </c>
    </row>
    <row r="33232" spans="1:6" x14ac:dyDescent="0.25">
      <c r="A33232" s="1" t="str">
        <f t="shared" si="1184"/>
        <v>42660</v>
      </c>
      <c r="B33232" s="1" t="str">
        <f>"98037"</f>
        <v>98037</v>
      </c>
      <c r="C33232" s="2">
        <v>6.6076129556207402E-3</v>
      </c>
      <c r="D33232" s="2">
        <v>7.5588051623646903E-3</v>
      </c>
      <c r="E33232" s="2">
        <v>6.4270696359634604E-3</v>
      </c>
      <c r="F33232" s="2">
        <v>6.6664357014908403E-3</v>
      </c>
    </row>
    <row r="33233" spans="1:6" x14ac:dyDescent="0.25">
      <c r="A33233" s="1" t="str">
        <f t="shared" si="1184"/>
        <v>42660</v>
      </c>
      <c r="B33233" s="1" t="str">
        <f>"98005"</f>
        <v>98005</v>
      </c>
      <c r="C33233" s="2">
        <v>5.2827825658480002E-3</v>
      </c>
      <c r="D33233" s="2">
        <v>1.50200353871773E-2</v>
      </c>
      <c r="E33233" s="2">
        <v>1.5765306481214499E-2</v>
      </c>
      <c r="F33233" s="2">
        <v>6.7406048002045501E-3</v>
      </c>
    </row>
    <row r="33234" spans="1:6" x14ac:dyDescent="0.25">
      <c r="A33234" s="1" t="str">
        <f t="shared" si="1184"/>
        <v>42660</v>
      </c>
      <c r="B33234" s="1" t="str">
        <f>"98188"</f>
        <v>98188</v>
      </c>
      <c r="C33234" s="2">
        <v>6.1525054863832704E-3</v>
      </c>
      <c r="D33234" s="2">
        <v>1.4863915487094001E-2</v>
      </c>
      <c r="E33234" s="2">
        <v>8.1217346056212201E-3</v>
      </c>
      <c r="F33234" s="2">
        <v>6.9426180032800301E-3</v>
      </c>
    </row>
    <row r="33235" spans="1:6" x14ac:dyDescent="0.25">
      <c r="A33235" s="1" t="str">
        <f t="shared" si="1184"/>
        <v>42660</v>
      </c>
      <c r="B33235" s="1" t="str">
        <f>"98122"</f>
        <v>98122</v>
      </c>
      <c r="C33235" s="2">
        <v>1.44020412539522E-2</v>
      </c>
      <c r="D33235" s="2">
        <v>1.0876353039134E-2</v>
      </c>
      <c r="E33235" s="2">
        <v>2.14048139736026E-2</v>
      </c>
      <c r="F33235" s="2">
        <v>1.4623511311519399E-2</v>
      </c>
    </row>
    <row r="33236" spans="1:6" x14ac:dyDescent="0.25">
      <c r="A33236" s="1" t="str">
        <f t="shared" si="1184"/>
        <v>42660</v>
      </c>
      <c r="B33236" s="1" t="str">
        <f>"98146"</f>
        <v>98146</v>
      </c>
      <c r="C33236" s="2">
        <v>6.7342218004462096E-3</v>
      </c>
      <c r="D33236" s="2">
        <v>3.1939529558701E-3</v>
      </c>
      <c r="E33236" s="2">
        <v>4.16986027803756E-3</v>
      </c>
      <c r="F33236" s="2">
        <v>6.2907106619543201E-3</v>
      </c>
    </row>
    <row r="33237" spans="1:6" x14ac:dyDescent="0.25">
      <c r="A33237" s="1" t="str">
        <f t="shared" si="1184"/>
        <v>42660</v>
      </c>
      <c r="B33237" s="1" t="str">
        <f>"98124"</f>
        <v>98124</v>
      </c>
      <c r="C33237" s="2">
        <v>5.4578677701787098E-4</v>
      </c>
      <c r="D33237" s="2">
        <v>7.9230849292256395E-3</v>
      </c>
      <c r="E33237" s="2">
        <v>7.0318048533516998E-6</v>
      </c>
      <c r="F33237" s="2">
        <v>1.0617892026382699E-3</v>
      </c>
    </row>
    <row r="33238" spans="1:6" x14ac:dyDescent="0.25">
      <c r="A33238" s="1" t="str">
        <f t="shared" si="1184"/>
        <v>42660</v>
      </c>
      <c r="B33238" s="1" t="str">
        <f>"98145"</f>
        <v>98145</v>
      </c>
      <c r="C33238" s="2">
        <v>1.0556440169906701E-3</v>
      </c>
      <c r="D33238" s="2">
        <v>1.34002914238134E-3</v>
      </c>
      <c r="E33238" s="2">
        <v>7.0318048533516998E-6</v>
      </c>
      <c r="F33238" s="2">
        <v>1.0042105602157899E-3</v>
      </c>
    </row>
    <row r="33239" spans="1:6" x14ac:dyDescent="0.25">
      <c r="A33239" s="1" t="str">
        <f t="shared" si="1184"/>
        <v>42660</v>
      </c>
      <c r="B33239" s="1" t="str">
        <f>"98224"</f>
        <v>98224</v>
      </c>
      <c r="C33239" s="2">
        <v>0</v>
      </c>
      <c r="D33239" s="2">
        <v>6.5049958368026604E-6</v>
      </c>
      <c r="E33239" s="2">
        <v>1.1250887765362699E-4</v>
      </c>
      <c r="F33239" s="2">
        <v>8.2952281456115008E-6</v>
      </c>
    </row>
    <row r="33240" spans="1:6" x14ac:dyDescent="0.25">
      <c r="A33240" s="1" t="str">
        <f t="shared" si="1184"/>
        <v>42660</v>
      </c>
      <c r="B33240" s="1" t="str">
        <f>"98092"</f>
        <v>98092</v>
      </c>
      <c r="C33240" s="2">
        <v>1.01395434781616E-2</v>
      </c>
      <c r="D33240" s="2">
        <v>1.5872189841798501E-3</v>
      </c>
      <c r="E33240" s="2">
        <v>4.4441006673182799E-3</v>
      </c>
      <c r="F33240" s="2">
        <v>9.1027930033166192E-3</v>
      </c>
    </row>
    <row r="33241" spans="1:6" x14ac:dyDescent="0.25">
      <c r="A33241" s="1" t="str">
        <f t="shared" si="1184"/>
        <v>42660</v>
      </c>
      <c r="B33241" s="1" t="str">
        <f>"98064"</f>
        <v>98064</v>
      </c>
      <c r="C33241" s="2">
        <v>5.1042755008463402E-4</v>
      </c>
      <c r="D33241" s="2">
        <v>2.0685886761032399E-3</v>
      </c>
      <c r="E33241" s="2">
        <v>7.0318048533516998E-6</v>
      </c>
      <c r="F33241" s="2">
        <v>5.9237688051602103E-4</v>
      </c>
    </row>
    <row r="33242" spans="1:6" x14ac:dyDescent="0.25">
      <c r="A33242" s="1" t="str">
        <f t="shared" si="1184"/>
        <v>42660</v>
      </c>
      <c r="B33242" s="1" t="str">
        <f>"98338"</f>
        <v>98338</v>
      </c>
      <c r="C33242" s="2">
        <v>6.7558935846956103E-3</v>
      </c>
      <c r="D33242" s="2">
        <v>3.0508430474604398E-3</v>
      </c>
      <c r="E33242" s="2">
        <v>9.3523004549577696E-4</v>
      </c>
      <c r="F33242" s="2">
        <v>6.0740588209748196E-3</v>
      </c>
    </row>
    <row r="33243" spans="1:6" x14ac:dyDescent="0.25">
      <c r="A33243" s="1" t="str">
        <f t="shared" si="1184"/>
        <v>42660</v>
      </c>
      <c r="B33243" s="1" t="str">
        <f>"98387"</f>
        <v>98387</v>
      </c>
      <c r="C33243" s="2">
        <v>1.09516650774024E-2</v>
      </c>
      <c r="D33243" s="2">
        <v>5.4446815154038297E-3</v>
      </c>
      <c r="E33243" s="2">
        <v>2.0532870171786899E-3</v>
      </c>
      <c r="F33243" s="2">
        <v>9.9210928621513601E-3</v>
      </c>
    </row>
    <row r="33244" spans="1:6" x14ac:dyDescent="0.25">
      <c r="A33244" s="1" t="str">
        <f t="shared" si="1184"/>
        <v>42660</v>
      </c>
      <c r="B33244" s="1" t="str">
        <f>"98445"</f>
        <v>98445</v>
      </c>
      <c r="C33244" s="2">
        <v>7.0108222046820099E-3</v>
      </c>
      <c r="D33244" s="2">
        <v>2.28325353871773E-3</v>
      </c>
      <c r="E33244" s="2">
        <v>9.3804276743711806E-3</v>
      </c>
      <c r="F33244" s="2">
        <v>6.82062935407986E-3</v>
      </c>
    </row>
    <row r="33245" spans="1:6" x14ac:dyDescent="0.25">
      <c r="A33245" s="1" t="str">
        <f t="shared" si="1184"/>
        <v>42660</v>
      </c>
      <c r="B33245" s="1" t="str">
        <f>"98402"</f>
        <v>98402</v>
      </c>
      <c r="C33245" s="2">
        <v>2.55555961109412E-3</v>
      </c>
      <c r="D33245" s="2">
        <v>1.371253122398E-2</v>
      </c>
      <c r="E33245" s="2">
        <v>4.9363270070528998E-3</v>
      </c>
      <c r="F33245" s="2">
        <v>3.5576769652737299E-3</v>
      </c>
    </row>
    <row r="33246" spans="1:6" x14ac:dyDescent="0.25">
      <c r="A33246" s="1" t="str">
        <f t="shared" si="1184"/>
        <v>42660</v>
      </c>
      <c r="B33246" s="1" t="str">
        <f>"98396"</f>
        <v>98396</v>
      </c>
      <c r="C33246" s="2">
        <v>0</v>
      </c>
      <c r="D33246" s="2">
        <v>0</v>
      </c>
      <c r="E33246" s="2">
        <v>1.3782337512569299E-3</v>
      </c>
      <c r="F33246" s="2">
        <v>9.5639100972932595E-5</v>
      </c>
    </row>
    <row r="33247" spans="1:6" x14ac:dyDescent="0.25">
      <c r="A33247" s="1" t="str">
        <f t="shared" si="1184"/>
        <v>42660</v>
      </c>
      <c r="B33247" s="1" t="str">
        <f>"98439"</f>
        <v>98439</v>
      </c>
      <c r="C33247" s="2">
        <v>1.2290182909859E-3</v>
      </c>
      <c r="D33247" s="2">
        <v>1.1058492922564499E-4</v>
      </c>
      <c r="E33247" s="2">
        <v>4.1276694489174497E-3</v>
      </c>
      <c r="F33247" s="2">
        <v>1.34626673257306E-3</v>
      </c>
    </row>
    <row r="33248" spans="1:6" x14ac:dyDescent="0.25">
      <c r="A33248" s="1" t="str">
        <f t="shared" si="1184"/>
        <v>42660</v>
      </c>
      <c r="B33248" s="1" t="str">
        <f>"98252"</f>
        <v>98252</v>
      </c>
      <c r="C33248" s="2">
        <v>3.04944816793579E-3</v>
      </c>
      <c r="D33248" s="2">
        <v>1.37905911740216E-3</v>
      </c>
      <c r="E33248" s="2">
        <v>6.75053265921764E-4</v>
      </c>
      <c r="F33248" s="2">
        <v>2.75938324490782E-3</v>
      </c>
    </row>
    <row r="33249" spans="1:6" x14ac:dyDescent="0.25">
      <c r="A33249" s="1" t="str">
        <f t="shared" si="1184"/>
        <v>42660</v>
      </c>
      <c r="B33249" s="1" t="str">
        <f>"98352"</f>
        <v>98352</v>
      </c>
      <c r="C33249" s="2">
        <v>0</v>
      </c>
      <c r="D33249" s="2">
        <v>6.5049958368026604E-6</v>
      </c>
      <c r="E33249" s="2">
        <v>7.0318048533516998E-6</v>
      </c>
      <c r="F33249" s="2">
        <v>9.7590919360135299E-7</v>
      </c>
    </row>
    <row r="33250" spans="1:6" x14ac:dyDescent="0.25">
      <c r="A33250" s="1" t="str">
        <f t="shared" si="1184"/>
        <v>42660</v>
      </c>
      <c r="B33250" s="1" t="str">
        <f>"98041"</f>
        <v>98041</v>
      </c>
      <c r="C33250" s="2">
        <v>5.5890390958987805E-4</v>
      </c>
      <c r="D33250" s="2">
        <v>2.7971482098251401E-3</v>
      </c>
      <c r="E33250" s="2">
        <v>7.0318048533516998E-6</v>
      </c>
      <c r="F33250" s="2">
        <v>6.8850393608575495E-4</v>
      </c>
    </row>
    <row r="33251" spans="1:6" x14ac:dyDescent="0.25">
      <c r="A33251" s="1" t="str">
        <f t="shared" si="1184"/>
        <v>42660</v>
      </c>
      <c r="B33251" s="1" t="str">
        <f>"98430"</f>
        <v>98430</v>
      </c>
      <c r="C33251" s="2">
        <v>0</v>
      </c>
      <c r="D33251" s="2">
        <v>6.5049958368026604E-6</v>
      </c>
      <c r="E33251" s="2">
        <v>2.1798595045390299E-4</v>
      </c>
      <c r="F33251" s="2">
        <v>1.56145470976216E-5</v>
      </c>
    </row>
    <row r="33252" spans="1:6" x14ac:dyDescent="0.25">
      <c r="A33252" s="1" t="str">
        <f t="shared" si="1184"/>
        <v>42660</v>
      </c>
      <c r="B33252" s="1" t="str">
        <f>"98174"</f>
        <v>98174</v>
      </c>
      <c r="C33252" s="2">
        <v>0</v>
      </c>
      <c r="D33252" s="2">
        <v>6.8952955870108196E-4</v>
      </c>
      <c r="E33252" s="2">
        <v>4.92226339734619E-5</v>
      </c>
      <c r="F33252" s="2">
        <v>5.51388694384764E-5</v>
      </c>
    </row>
    <row r="33253" spans="1:6" x14ac:dyDescent="0.25">
      <c r="A33253" s="1" t="str">
        <f t="shared" si="1184"/>
        <v>42660</v>
      </c>
      <c r="B33253" s="1" t="str">
        <f>"98025"</f>
        <v>98025</v>
      </c>
      <c r="C33253" s="2">
        <v>1.9789760880376301E-4</v>
      </c>
      <c r="D33253" s="2">
        <v>6.3748959200666101E-4</v>
      </c>
      <c r="E33253" s="2">
        <v>7.0318048533516998E-6</v>
      </c>
      <c r="F33253" s="2">
        <v>2.1762775017310099E-4</v>
      </c>
    </row>
    <row r="33254" spans="1:6" x14ac:dyDescent="0.25">
      <c r="A33254" s="1" t="str">
        <f t="shared" si="1184"/>
        <v>42660</v>
      </c>
      <c r="B33254" s="1" t="str">
        <f>"98158"</f>
        <v>98158</v>
      </c>
      <c r="C33254" s="2">
        <v>0</v>
      </c>
      <c r="D33254" s="2">
        <v>5.3340965861781804E-4</v>
      </c>
      <c r="E33254" s="2">
        <v>9.8445267946923896E-5</v>
      </c>
      <c r="F33254" s="2">
        <v>4.68436412928649E-5</v>
      </c>
    </row>
    <row r="33255" spans="1:6" x14ac:dyDescent="0.25">
      <c r="A33255" s="1" t="str">
        <f t="shared" si="1184"/>
        <v>42660</v>
      </c>
      <c r="B33255" s="1" t="str">
        <f>"98161"</f>
        <v>98161</v>
      </c>
      <c r="C33255" s="2">
        <v>0</v>
      </c>
      <c r="D33255" s="2">
        <v>2.8621981681931698E-4</v>
      </c>
      <c r="E33255" s="2">
        <v>4.2190829120110202E-5</v>
      </c>
      <c r="F33255" s="2">
        <v>2.43977298400338E-5</v>
      </c>
    </row>
    <row r="33256" spans="1:6" x14ac:dyDescent="0.25">
      <c r="A33256" s="1" t="str">
        <f t="shared" si="1184"/>
        <v>42660</v>
      </c>
      <c r="B33256" s="1" t="str">
        <f>"98014"</f>
        <v>98014</v>
      </c>
      <c r="C33256" s="2">
        <v>1.5033374547744E-3</v>
      </c>
      <c r="D33256" s="2">
        <v>2.2767485428809299E-4</v>
      </c>
      <c r="E33256" s="2">
        <v>2.6087996005934801E-3</v>
      </c>
      <c r="F33256" s="2">
        <v>1.4843578834676499E-3</v>
      </c>
    </row>
    <row r="33257" spans="1:6" x14ac:dyDescent="0.25">
      <c r="A33257" s="1" t="str">
        <f t="shared" si="1184"/>
        <v>42660</v>
      </c>
      <c r="B33257" s="1" t="str">
        <f>"98373"</f>
        <v>98373</v>
      </c>
      <c r="C33257" s="2">
        <v>7.30966470327905E-3</v>
      </c>
      <c r="D33257" s="2">
        <v>9.9006036636136493E-3</v>
      </c>
      <c r="E33257" s="2">
        <v>1.35432561475553E-2</v>
      </c>
      <c r="F33257" s="2">
        <v>7.936581516963E-3</v>
      </c>
    </row>
    <row r="33258" spans="1:6" x14ac:dyDescent="0.25">
      <c r="A33258" s="1" t="str">
        <f t="shared" si="1184"/>
        <v>42660</v>
      </c>
      <c r="B33258" s="1" t="str">
        <f>"98329"</f>
        <v>98329</v>
      </c>
      <c r="C33258" s="2">
        <v>2.4905442583459101E-3</v>
      </c>
      <c r="D33258" s="2">
        <v>4.7486469608659399E-4</v>
      </c>
      <c r="E33258" s="2">
        <v>1.4766790192038501E-4</v>
      </c>
      <c r="F33258" s="2">
        <v>2.17676545632781E-3</v>
      </c>
    </row>
    <row r="33259" spans="1:6" x14ac:dyDescent="0.25">
      <c r="A33259" s="1" t="str">
        <f t="shared" si="1184"/>
        <v>42660</v>
      </c>
      <c r="B33259" s="1" t="str">
        <f>"98321"</f>
        <v>98321</v>
      </c>
      <c r="C33259" s="2">
        <v>4.0155534973697199E-3</v>
      </c>
      <c r="D33259" s="2">
        <v>2.4588884263114E-3</v>
      </c>
      <c r="E33259" s="2">
        <v>5.8926524671087301E-3</v>
      </c>
      <c r="F33259" s="2">
        <v>4.0290411057831797E-3</v>
      </c>
    </row>
    <row r="33260" spans="1:6" x14ac:dyDescent="0.25">
      <c r="A33260" s="1" t="str">
        <f t="shared" si="1184"/>
        <v>42660</v>
      </c>
      <c r="B33260" s="1" t="str">
        <f>"98333"</f>
        <v>98333</v>
      </c>
      <c r="C33260" s="2">
        <v>1.2917524032868099E-3</v>
      </c>
      <c r="D33260" s="2">
        <v>3.7728975853455402E-4</v>
      </c>
      <c r="E33260" s="2">
        <v>1.61731511627089E-4</v>
      </c>
      <c r="F33260" s="2">
        <v>1.1447414840943799E-3</v>
      </c>
    </row>
    <row r="33261" spans="1:6" x14ac:dyDescent="0.25">
      <c r="A33261" s="1" t="str">
        <f t="shared" si="1184"/>
        <v>42660</v>
      </c>
      <c r="B33261" s="1" t="str">
        <f>"98155"</f>
        <v>98155</v>
      </c>
      <c r="C33261" s="2">
        <v>8.8386661130856504E-3</v>
      </c>
      <c r="D33261" s="2">
        <v>6.5180058284762601E-3</v>
      </c>
      <c r="E33261" s="2">
        <v>5.1191539332400404E-3</v>
      </c>
      <c r="F33261" s="2">
        <v>8.4064817936820597E-3</v>
      </c>
    </row>
    <row r="33262" spans="1:6" x14ac:dyDescent="0.25">
      <c r="A33262" s="1" t="str">
        <f t="shared" si="1184"/>
        <v>42660</v>
      </c>
      <c r="B33262" s="1" t="str">
        <f>"98121"</f>
        <v>98121</v>
      </c>
      <c r="C33262" s="2">
        <v>8.8877127827027193E-3</v>
      </c>
      <c r="D33262" s="2">
        <v>1.0941402997502001E-2</v>
      </c>
      <c r="E33262" s="2">
        <v>1.5948133407401598E-2</v>
      </c>
      <c r="F33262" s="2">
        <v>9.5317050939044204E-3</v>
      </c>
    </row>
    <row r="33263" spans="1:6" x14ac:dyDescent="0.25">
      <c r="A33263" s="1" t="str">
        <f t="shared" si="1184"/>
        <v>42660</v>
      </c>
      <c r="B33263" s="1" t="str">
        <f>"98208"</f>
        <v>98208</v>
      </c>
      <c r="C33263" s="2">
        <v>1.27047983611568E-2</v>
      </c>
      <c r="D33263" s="2">
        <v>7.5848251457118999E-3</v>
      </c>
      <c r="E33263" s="2">
        <v>5.4426169564942197E-3</v>
      </c>
      <c r="F33263" s="2">
        <v>1.18167964707219E-2</v>
      </c>
    </row>
    <row r="33264" spans="1:6" x14ac:dyDescent="0.25">
      <c r="A33264" s="1" t="str">
        <f t="shared" si="1184"/>
        <v>42660</v>
      </c>
      <c r="B33264" s="1" t="str">
        <f>"98105"</f>
        <v>98105</v>
      </c>
      <c r="C33264" s="2">
        <v>1.1385671072502299E-2</v>
      </c>
      <c r="D33264" s="2">
        <v>1.07527581182348E-2</v>
      </c>
      <c r="E33264" s="2">
        <v>1.6187214772415599E-2</v>
      </c>
      <c r="F33264" s="2">
        <v>1.16713860008753E-2</v>
      </c>
    </row>
    <row r="33265" spans="1:6" x14ac:dyDescent="0.25">
      <c r="A33265" s="1" t="str">
        <f t="shared" si="1184"/>
        <v>42660</v>
      </c>
      <c r="B33265" s="1" t="str">
        <f>"98058"</f>
        <v>98058</v>
      </c>
      <c r="C33265" s="2">
        <v>9.99810657042873E-3</v>
      </c>
      <c r="D33265" s="2">
        <v>3.4671627810158199E-3</v>
      </c>
      <c r="E33265" s="2">
        <v>6.2723699291897198E-3</v>
      </c>
      <c r="F33265" s="2">
        <v>9.2496673369536295E-3</v>
      </c>
    </row>
    <row r="33266" spans="1:6" x14ac:dyDescent="0.25">
      <c r="A33266" s="1" t="str">
        <f t="shared" si="1184"/>
        <v>42660</v>
      </c>
      <c r="B33266" s="1" t="str">
        <f>"98102"</f>
        <v>98102</v>
      </c>
      <c r="C33266" s="2">
        <v>1.0321472403834299E-2</v>
      </c>
      <c r="D33266" s="2">
        <v>6.0366361365528703E-3</v>
      </c>
      <c r="E33266" s="2">
        <v>1.8451455935194799E-2</v>
      </c>
      <c r="F33266" s="2">
        <v>1.0564217020734601E-2</v>
      </c>
    </row>
    <row r="33267" spans="1:6" x14ac:dyDescent="0.25">
      <c r="A33267" s="1" t="str">
        <f t="shared" si="1184"/>
        <v>42660</v>
      </c>
      <c r="B33267" s="1" t="str">
        <f>"98057"</f>
        <v>98057</v>
      </c>
      <c r="C33267" s="2">
        <v>4.4695203463835402E-3</v>
      </c>
      <c r="D33267" s="2">
        <v>1.6255984596169799E-2</v>
      </c>
      <c r="E33267" s="2">
        <v>5.5691894438545499E-3</v>
      </c>
      <c r="F33267" s="2">
        <v>5.4299587531979297E-3</v>
      </c>
    </row>
    <row r="33268" spans="1:6" x14ac:dyDescent="0.25">
      <c r="A33268" s="1" t="str">
        <f t="shared" si="1184"/>
        <v>42660</v>
      </c>
      <c r="B33268" s="1" t="str">
        <f>"98181"</f>
        <v>98181</v>
      </c>
      <c r="C33268" s="2">
        <v>0</v>
      </c>
      <c r="D33268" s="2">
        <v>6.5049958368026604E-6</v>
      </c>
      <c r="E33268" s="2">
        <v>0</v>
      </c>
      <c r="F33268" s="2">
        <v>4.8795459680067597E-7</v>
      </c>
    </row>
    <row r="33269" spans="1:6" x14ac:dyDescent="0.25">
      <c r="A33269" s="1" t="str">
        <f t="shared" si="1184"/>
        <v>42660</v>
      </c>
      <c r="B33269" s="1" t="str">
        <f>"98185"</f>
        <v>98185</v>
      </c>
      <c r="C33269" s="2">
        <v>0</v>
      </c>
      <c r="D33269" s="2">
        <v>1.30099916736053E-5</v>
      </c>
      <c r="E33269" s="2">
        <v>2.8127219413406799E-5</v>
      </c>
      <c r="F33269" s="2">
        <v>2.92772758080406E-6</v>
      </c>
    </row>
    <row r="33270" spans="1:6" x14ac:dyDescent="0.25">
      <c r="A33270" s="1" t="str">
        <f t="shared" si="1184"/>
        <v>42660</v>
      </c>
      <c r="B33270" s="1" t="str">
        <f>"98359"</f>
        <v>98359</v>
      </c>
      <c r="C33270" s="2">
        <v>2.8515505591320298E-6</v>
      </c>
      <c r="D33270" s="2">
        <v>0</v>
      </c>
      <c r="E33270" s="2">
        <v>0</v>
      </c>
      <c r="F33270" s="2">
        <v>2.4397729840033798E-6</v>
      </c>
    </row>
    <row r="33271" spans="1:6" x14ac:dyDescent="0.25">
      <c r="A33271" s="1" t="str">
        <f t="shared" si="1184"/>
        <v>42660</v>
      </c>
      <c r="B33271" s="1" t="str">
        <f>"98419"</f>
        <v>98419</v>
      </c>
      <c r="C33271" s="2">
        <v>4.7050584225678501E-4</v>
      </c>
      <c r="D33271" s="2">
        <v>8.5215445462114904E-4</v>
      </c>
      <c r="E33271" s="2">
        <v>7.0318048533516998E-6</v>
      </c>
      <c r="F33271" s="2">
        <v>4.6697254913824699E-4</v>
      </c>
    </row>
    <row r="33272" spans="1:6" x14ac:dyDescent="0.25">
      <c r="A33272" s="1" t="str">
        <f t="shared" si="1184"/>
        <v>42660</v>
      </c>
      <c r="B33272" s="1" t="str">
        <f>"98323"</f>
        <v>98323</v>
      </c>
      <c r="C33272" s="2">
        <v>1.1406202236528101E-5</v>
      </c>
      <c r="D33272" s="2">
        <v>6.5049958368026604E-6</v>
      </c>
      <c r="E33272" s="2">
        <v>4.1487648634775E-4</v>
      </c>
      <c r="F33272" s="2">
        <v>3.9036367744054098E-5</v>
      </c>
    </row>
    <row r="33273" spans="1:6" x14ac:dyDescent="0.25">
      <c r="A33273" s="1" t="str">
        <f t="shared" si="1184"/>
        <v>42660</v>
      </c>
      <c r="B33273" s="1" t="str">
        <f>"98139"</f>
        <v>98139</v>
      </c>
      <c r="C33273" s="2">
        <v>2.6234265144014699E-4</v>
      </c>
      <c r="D33273" s="2">
        <v>1.06681931723563E-3</v>
      </c>
      <c r="E33273" s="2">
        <v>7.0318048533516998E-6</v>
      </c>
      <c r="F33273" s="2">
        <v>3.0497162300042302E-4</v>
      </c>
    </row>
    <row r="33274" spans="1:6" x14ac:dyDescent="0.25">
      <c r="A33274" s="1" t="str">
        <f t="shared" si="1184"/>
        <v>42660</v>
      </c>
      <c r="B33274" s="1" t="str">
        <f>"98063"</f>
        <v>98063</v>
      </c>
      <c r="C33274" s="2">
        <v>6.1365368032521297E-4</v>
      </c>
      <c r="D33274" s="2">
        <v>2.0555786844296399E-3</v>
      </c>
      <c r="E33274" s="2">
        <v>7.0318048533516998E-6</v>
      </c>
      <c r="F33274" s="2">
        <v>6.79720753343342E-4</v>
      </c>
    </row>
    <row r="33275" spans="1:6" x14ac:dyDescent="0.25">
      <c r="A33275" s="1" t="str">
        <f t="shared" si="1184"/>
        <v>42660</v>
      </c>
      <c r="B33275" s="1" t="str">
        <f>"98385"</f>
        <v>98385</v>
      </c>
      <c r="C33275" s="2">
        <v>3.1652211206365498E-4</v>
      </c>
      <c r="D33275" s="2">
        <v>2.99229808492922E-4</v>
      </c>
      <c r="E33275" s="2">
        <v>1.40636097067034E-5</v>
      </c>
      <c r="F33275" s="2">
        <v>2.9423662187080802E-4</v>
      </c>
    </row>
    <row r="33276" spans="1:6" x14ac:dyDescent="0.25">
      <c r="A33276" s="1" t="str">
        <f t="shared" ref="A33276:A33339" si="1185">"42660"</f>
        <v>42660</v>
      </c>
      <c r="B33276" s="1" t="str">
        <f>"98448"</f>
        <v>98448</v>
      </c>
      <c r="C33276" s="2">
        <v>5.6460701070814201E-4</v>
      </c>
      <c r="D33276" s="2">
        <v>1.82139883430474E-3</v>
      </c>
      <c r="E33276" s="2">
        <v>7.0318048533516998E-6</v>
      </c>
      <c r="F33276" s="2">
        <v>6.2019029253366001E-4</v>
      </c>
    </row>
    <row r="33277" spans="1:6" x14ac:dyDescent="0.25">
      <c r="A33277" s="1" t="str">
        <f t="shared" si="1185"/>
        <v>42660</v>
      </c>
      <c r="B33277" s="1" t="str">
        <f>"98372"</f>
        <v>98372</v>
      </c>
      <c r="C33277" s="2">
        <v>6.3099110772473601E-3</v>
      </c>
      <c r="D33277" s="2">
        <v>5.6853663613655198E-3</v>
      </c>
      <c r="E33277" s="2">
        <v>6.7645962689243397E-3</v>
      </c>
      <c r="F33277" s="2">
        <v>6.2946142987287297E-3</v>
      </c>
    </row>
    <row r="33278" spans="1:6" x14ac:dyDescent="0.25">
      <c r="A33278" s="1" t="str">
        <f t="shared" si="1185"/>
        <v>42660</v>
      </c>
      <c r="B33278" s="1" t="str">
        <f>"98328"</f>
        <v>98328</v>
      </c>
      <c r="C33278" s="2">
        <v>2.95192513881348E-3</v>
      </c>
      <c r="D33278" s="2">
        <v>1.2424542048293E-3</v>
      </c>
      <c r="E33278" s="2">
        <v>1.8634282861382E-3</v>
      </c>
      <c r="F33278" s="2">
        <v>2.7481602891814101E-3</v>
      </c>
    </row>
    <row r="33279" spans="1:6" x14ac:dyDescent="0.25">
      <c r="A33279" s="1" t="str">
        <f t="shared" si="1185"/>
        <v>42660</v>
      </c>
      <c r="B33279" s="1" t="str">
        <f>"98390"</f>
        <v>98390</v>
      </c>
      <c r="C33279" s="2">
        <v>3.5672897494741702E-3</v>
      </c>
      <c r="D33279" s="2">
        <v>8.71018942547876E-3</v>
      </c>
      <c r="E33279" s="2">
        <v>4.5003551061450903E-3</v>
      </c>
      <c r="F33279" s="2">
        <v>4.0178181500567702E-3</v>
      </c>
    </row>
    <row r="33280" spans="1:6" x14ac:dyDescent="0.25">
      <c r="A33280" s="1" t="str">
        <f t="shared" si="1185"/>
        <v>42660</v>
      </c>
      <c r="B33280" s="1" t="str">
        <f>"98407"</f>
        <v>98407</v>
      </c>
      <c r="C33280" s="2">
        <v>5.8479598866679697E-3</v>
      </c>
      <c r="D33280" s="2">
        <v>2.3808284762697699E-3</v>
      </c>
      <c r="E33280" s="2">
        <v>4.3737826187847601E-3</v>
      </c>
      <c r="F33280" s="2">
        <v>5.4855855772331999E-3</v>
      </c>
    </row>
    <row r="33281" spans="1:6" x14ac:dyDescent="0.25">
      <c r="A33281" s="1" t="str">
        <f t="shared" si="1185"/>
        <v>42660</v>
      </c>
      <c r="B33281" s="1" t="str">
        <f>"98498"</f>
        <v>98498</v>
      </c>
      <c r="C33281" s="2">
        <v>7.2246884966169203E-3</v>
      </c>
      <c r="D33281" s="2">
        <v>2.0230537052456201E-3</v>
      </c>
      <c r="E33281" s="2">
        <v>7.9037486551673201E-3</v>
      </c>
      <c r="F33281" s="2">
        <v>6.8816236786799403E-3</v>
      </c>
    </row>
    <row r="33282" spans="1:6" x14ac:dyDescent="0.25">
      <c r="A33282" s="1" t="str">
        <f t="shared" si="1185"/>
        <v>42660</v>
      </c>
      <c r="B33282" s="1" t="str">
        <f>"98406"</f>
        <v>98406</v>
      </c>
      <c r="C33282" s="2">
        <v>5.8200146911884798E-3</v>
      </c>
      <c r="D33282" s="2">
        <v>3.85746253122398E-3</v>
      </c>
      <c r="E33282" s="2">
        <v>1.2129863372031599E-2</v>
      </c>
      <c r="F33282" s="2">
        <v>6.1106554157348697E-3</v>
      </c>
    </row>
    <row r="33283" spans="1:6" x14ac:dyDescent="0.25">
      <c r="A33283" s="1" t="str">
        <f t="shared" si="1185"/>
        <v>42660</v>
      </c>
      <c r="B33283" s="1" t="str">
        <f>"98408"</f>
        <v>98408</v>
      </c>
      <c r="C33283" s="2">
        <v>4.56989492606499E-3</v>
      </c>
      <c r="D33283" s="2">
        <v>2.71908825978351E-3</v>
      </c>
      <c r="E33283" s="2">
        <v>2.43300447925969E-3</v>
      </c>
      <c r="F33283" s="2">
        <v>4.2827774961195402E-3</v>
      </c>
    </row>
    <row r="33284" spans="1:6" x14ac:dyDescent="0.25">
      <c r="A33284" s="1" t="str">
        <f t="shared" si="1185"/>
        <v>42660</v>
      </c>
      <c r="B33284" s="1" t="str">
        <f>"98418"</f>
        <v>98418</v>
      </c>
      <c r="C33284" s="2">
        <v>2.49225518868139E-3</v>
      </c>
      <c r="D33284" s="2">
        <v>1.83440882597835E-3</v>
      </c>
      <c r="E33284" s="2">
        <v>2.22908213851249E-3</v>
      </c>
      <c r="F33284" s="2">
        <v>2.4246463915025599E-3</v>
      </c>
    </row>
    <row r="33285" spans="1:6" x14ac:dyDescent="0.25">
      <c r="A33285" s="1" t="str">
        <f t="shared" si="1185"/>
        <v>42660</v>
      </c>
      <c r="B33285" s="1" t="str">
        <f>"98241"</f>
        <v>98241</v>
      </c>
      <c r="C33285" s="2">
        <v>2.3724900651978499E-4</v>
      </c>
      <c r="D33285" s="2">
        <v>3.25249791840133E-5</v>
      </c>
      <c r="E33285" s="2">
        <v>3.6284113043294798E-3</v>
      </c>
      <c r="F33285" s="2">
        <v>4.5721345720223401E-4</v>
      </c>
    </row>
    <row r="33286" spans="1:6" x14ac:dyDescent="0.25">
      <c r="A33286" s="1" t="str">
        <f t="shared" si="1185"/>
        <v>42660</v>
      </c>
      <c r="B33286" s="1" t="str">
        <f>"98304"</f>
        <v>98304</v>
      </c>
      <c r="C33286" s="2">
        <v>1.0949954147066999E-4</v>
      </c>
      <c r="D33286" s="2">
        <v>6.5049958368026601E-5</v>
      </c>
      <c r="E33286" s="2">
        <v>5.6254438826813599E-5</v>
      </c>
      <c r="F33286" s="2">
        <v>1.02470465328142E-4</v>
      </c>
    </row>
    <row r="33287" spans="1:6" x14ac:dyDescent="0.25">
      <c r="A33287" s="1" t="str">
        <f t="shared" si="1185"/>
        <v>42660</v>
      </c>
      <c r="B33287" s="1" t="str">
        <f>"98003"</f>
        <v>98003</v>
      </c>
      <c r="C33287" s="2">
        <v>1.1379967971384099E-2</v>
      </c>
      <c r="D33287" s="2">
        <v>1.6216954621148999E-2</v>
      </c>
      <c r="E33287" s="2">
        <v>1.6025483260788499E-2</v>
      </c>
      <c r="F33287" s="2">
        <v>1.2065165360493501E-2</v>
      </c>
    </row>
    <row r="33288" spans="1:6" x14ac:dyDescent="0.25">
      <c r="A33288" s="1" t="str">
        <f t="shared" si="1185"/>
        <v>42660</v>
      </c>
      <c r="B33288" s="1" t="str">
        <f>"98006"</f>
        <v>98006</v>
      </c>
      <c r="C33288" s="2">
        <v>8.5820265627637605E-3</v>
      </c>
      <c r="D33288" s="2">
        <v>3.7663925895087399E-3</v>
      </c>
      <c r="E33288" s="2">
        <v>4.9222633973461903E-3</v>
      </c>
      <c r="F33288" s="2">
        <v>7.9668347019646504E-3</v>
      </c>
    </row>
    <row r="33289" spans="1:6" x14ac:dyDescent="0.25">
      <c r="A33289" s="1" t="str">
        <f t="shared" si="1185"/>
        <v>42660</v>
      </c>
      <c r="B33289" s="1" t="str">
        <f>"98177"</f>
        <v>98177</v>
      </c>
      <c r="C33289" s="2">
        <v>4.9873619279219199E-3</v>
      </c>
      <c r="D33289" s="2">
        <v>1.99703372189841E-3</v>
      </c>
      <c r="E33289" s="2">
        <v>1.5962197017108299E-3</v>
      </c>
      <c r="F33289" s="2">
        <v>4.5277307037134796E-3</v>
      </c>
    </row>
    <row r="33290" spans="1:6" x14ac:dyDescent="0.25">
      <c r="A33290" s="1" t="str">
        <f t="shared" si="1185"/>
        <v>42660</v>
      </c>
      <c r="B33290" s="1" t="str">
        <f>"98148"</f>
        <v>98148</v>
      </c>
      <c r="C33290" s="2">
        <v>2.77512900414729E-3</v>
      </c>
      <c r="D33290" s="2">
        <v>3.9029975020815899E-3</v>
      </c>
      <c r="E33290" s="2">
        <v>3.2346302325417802E-3</v>
      </c>
      <c r="F33290" s="2">
        <v>2.8916189406408099E-3</v>
      </c>
    </row>
    <row r="33291" spans="1:6" x14ac:dyDescent="0.25">
      <c r="A33291" s="1" t="str">
        <f t="shared" si="1185"/>
        <v>42660</v>
      </c>
      <c r="B33291" s="1" t="str">
        <f>"98059"</f>
        <v>98059</v>
      </c>
      <c r="C33291" s="2">
        <v>9.2293285396867399E-3</v>
      </c>
      <c r="D33291" s="2">
        <v>2.2377185678601101E-3</v>
      </c>
      <c r="E33291" s="2">
        <v>3.4385525732889802E-3</v>
      </c>
      <c r="F33291" s="2">
        <v>8.3030354191603092E-3</v>
      </c>
    </row>
    <row r="33292" spans="1:6" x14ac:dyDescent="0.25">
      <c r="A33292" s="1" t="str">
        <f t="shared" si="1185"/>
        <v>42660</v>
      </c>
      <c r="B33292" s="1" t="str">
        <f>"98074"</f>
        <v>98074</v>
      </c>
      <c r="C33292" s="2">
        <v>5.8821784933775498E-3</v>
      </c>
      <c r="D33292" s="2">
        <v>9.8875936719400401E-4</v>
      </c>
      <c r="E33292" s="2">
        <v>1.43448819008374E-3</v>
      </c>
      <c r="F33292" s="2">
        <v>5.2064755478632204E-3</v>
      </c>
    </row>
    <row r="33293" spans="1:6" x14ac:dyDescent="0.25">
      <c r="A33293" s="1" t="str">
        <f t="shared" si="1185"/>
        <v>42660</v>
      </c>
      <c r="B33293" s="1" t="str">
        <f>"98107"</f>
        <v>98107</v>
      </c>
      <c r="C33293" s="2">
        <v>9.0576651960269892E-3</v>
      </c>
      <c r="D33293" s="2">
        <v>1.28798917568692E-2</v>
      </c>
      <c r="E33293" s="2">
        <v>1.05406754751742E-2</v>
      </c>
      <c r="F33293" s="2">
        <v>9.4472889486579004E-3</v>
      </c>
    </row>
    <row r="33294" spans="1:6" x14ac:dyDescent="0.25">
      <c r="A33294" s="1" t="str">
        <f t="shared" si="1185"/>
        <v>42660</v>
      </c>
      <c r="B33294" s="1" t="str">
        <f>"98108"</f>
        <v>98108</v>
      </c>
      <c r="C33294" s="2">
        <v>5.1938141884030802E-3</v>
      </c>
      <c r="D33294" s="2">
        <v>1.6873959200666099E-2</v>
      </c>
      <c r="E33294" s="2">
        <v>6.1598610515360896E-3</v>
      </c>
      <c r="F33294" s="2">
        <v>6.1370049639621104E-3</v>
      </c>
    </row>
    <row r="33295" spans="1:6" x14ac:dyDescent="0.25">
      <c r="A33295" s="1" t="str">
        <f t="shared" si="1185"/>
        <v>42660</v>
      </c>
      <c r="B33295" s="1" t="str">
        <f>"98073"</f>
        <v>98073</v>
      </c>
      <c r="C33295" s="2">
        <v>6.6783314094872204E-4</v>
      </c>
      <c r="D33295" s="2">
        <v>3.62978767693588E-3</v>
      </c>
      <c r="E33295" s="2">
        <v>1.40636097067034E-5</v>
      </c>
      <c r="F33295" s="2">
        <v>8.4464940706197099E-4</v>
      </c>
    </row>
    <row r="33296" spans="1:6" x14ac:dyDescent="0.25">
      <c r="A33296" s="1" t="str">
        <f t="shared" si="1185"/>
        <v>42660</v>
      </c>
      <c r="B33296" s="1" t="str">
        <f>"98116"</f>
        <v>98116</v>
      </c>
      <c r="C33296" s="2">
        <v>8.32709794277736E-3</v>
      </c>
      <c r="D33296" s="2">
        <v>5.4251665278934203E-3</v>
      </c>
      <c r="E33296" s="2">
        <v>9.1976007481840306E-3</v>
      </c>
      <c r="F33296" s="2">
        <v>8.1698238142337305E-3</v>
      </c>
    </row>
    <row r="33297" spans="1:6" x14ac:dyDescent="0.25">
      <c r="A33297" s="1" t="str">
        <f t="shared" si="1185"/>
        <v>42660</v>
      </c>
      <c r="B33297" s="1" t="str">
        <f>"98360"</f>
        <v>98360</v>
      </c>
      <c r="C33297" s="2">
        <v>3.5650085090268599E-3</v>
      </c>
      <c r="D33297" s="2">
        <v>1.94499375520399E-3</v>
      </c>
      <c r="E33297" s="2">
        <v>1.9056191152583099E-3</v>
      </c>
      <c r="F33297" s="2">
        <v>3.32833830477741E-3</v>
      </c>
    </row>
    <row r="33298" spans="1:6" x14ac:dyDescent="0.25">
      <c r="A33298" s="1" t="str">
        <f t="shared" si="1185"/>
        <v>42660</v>
      </c>
      <c r="B33298" s="1" t="str">
        <f>"98335"</f>
        <v>98335</v>
      </c>
      <c r="C33298" s="2">
        <v>7.7100224017811903E-3</v>
      </c>
      <c r="D33298" s="2">
        <v>1.32701915070774E-2</v>
      </c>
      <c r="E33298" s="2">
        <v>6.18095646609615E-3</v>
      </c>
      <c r="F33298" s="2">
        <v>8.0209976622095201E-3</v>
      </c>
    </row>
    <row r="33299" spans="1:6" x14ac:dyDescent="0.25">
      <c r="A33299" s="1" t="str">
        <f t="shared" si="1185"/>
        <v>42660</v>
      </c>
      <c r="B33299" s="1" t="str">
        <f>"98327"</f>
        <v>98327</v>
      </c>
      <c r="C33299" s="2">
        <v>2.5846454267972698E-3</v>
      </c>
      <c r="D33299" s="2">
        <v>1.65226894254787E-3</v>
      </c>
      <c r="E33299" s="2">
        <v>1.4063609706703401E-3</v>
      </c>
      <c r="F33299" s="2">
        <v>2.4329416196481701E-3</v>
      </c>
    </row>
    <row r="33300" spans="1:6" x14ac:dyDescent="0.25">
      <c r="A33300" s="1" t="str">
        <f t="shared" si="1185"/>
        <v>42660</v>
      </c>
      <c r="B33300" s="1" t="str">
        <f>"98433"</f>
        <v>98433</v>
      </c>
      <c r="C33300" s="2">
        <v>3.0386122758110901E-3</v>
      </c>
      <c r="D33300" s="2">
        <v>3.7078476269775102E-4</v>
      </c>
      <c r="E33300" s="2">
        <v>3.8604608644900798E-3</v>
      </c>
      <c r="F33300" s="2">
        <v>2.89552257741521E-3</v>
      </c>
    </row>
    <row r="33301" spans="1:6" x14ac:dyDescent="0.25">
      <c r="A33301" s="1" t="str">
        <f t="shared" si="1185"/>
        <v>42660</v>
      </c>
      <c r="B33301" s="1" t="str">
        <f>"98444"</f>
        <v>98444</v>
      </c>
      <c r="C33301" s="2">
        <v>8.0755911834619106E-3</v>
      </c>
      <c r="D33301" s="2">
        <v>6.6481057452123203E-3</v>
      </c>
      <c r="E33301" s="2">
        <v>2.42386313295033E-2</v>
      </c>
      <c r="F33301" s="2">
        <v>9.0901061837998006E-3</v>
      </c>
    </row>
    <row r="33302" spans="1:6" x14ac:dyDescent="0.25">
      <c r="A33302" s="1" t="str">
        <f t="shared" si="1185"/>
        <v>42660</v>
      </c>
      <c r="B33302" s="1" t="str">
        <f>"98403"</f>
        <v>98403</v>
      </c>
      <c r="C33302" s="2">
        <v>2.7814024153773802E-3</v>
      </c>
      <c r="D33302" s="2">
        <v>1.68479392173189E-3</v>
      </c>
      <c r="E33302" s="2">
        <v>5.1332175429467403E-3</v>
      </c>
      <c r="F33302" s="2">
        <v>2.86234166483277E-3</v>
      </c>
    </row>
    <row r="33303" spans="1:6" x14ac:dyDescent="0.25">
      <c r="A33303" s="1" t="str">
        <f t="shared" si="1185"/>
        <v>42660</v>
      </c>
      <c r="B33303" s="1" t="str">
        <f>"98405"</f>
        <v>98405</v>
      </c>
      <c r="C33303" s="2">
        <v>6.6794720297108697E-3</v>
      </c>
      <c r="D33303" s="2">
        <v>7.0709304746044898E-3</v>
      </c>
      <c r="E33303" s="2">
        <v>7.9881303134075408E-3</v>
      </c>
      <c r="F33303" s="2">
        <v>6.7996473064174303E-3</v>
      </c>
    </row>
    <row r="33304" spans="1:6" x14ac:dyDescent="0.25">
      <c r="A33304" s="1" t="str">
        <f t="shared" si="1185"/>
        <v>42660</v>
      </c>
      <c r="B33304" s="1" t="str">
        <f>"98499"</f>
        <v>98499</v>
      </c>
      <c r="C33304" s="2">
        <v>7.9672322622149003E-3</v>
      </c>
      <c r="D33304" s="2">
        <v>1.6399094504579499E-2</v>
      </c>
      <c r="E33304" s="2">
        <v>2.62005048835884E-2</v>
      </c>
      <c r="F33304" s="2">
        <v>9.86497808351928E-3</v>
      </c>
    </row>
    <row r="33305" spans="1:6" x14ac:dyDescent="0.25">
      <c r="A33305" s="1" t="str">
        <f t="shared" si="1185"/>
        <v>42660</v>
      </c>
      <c r="B33305" s="1" t="str">
        <f>"98258"</f>
        <v>98258</v>
      </c>
      <c r="C33305" s="2">
        <v>1.08182125112351E-2</v>
      </c>
      <c r="D33305" s="2">
        <v>4.5600020815986598E-3</v>
      </c>
      <c r="E33305" s="2">
        <v>2.5103543326465598E-3</v>
      </c>
      <c r="F33305" s="2">
        <v>9.7722667101271497E-3</v>
      </c>
    </row>
    <row r="33306" spans="1:6" x14ac:dyDescent="0.25">
      <c r="A33306" s="1" t="str">
        <f t="shared" si="1185"/>
        <v>42660</v>
      </c>
      <c r="B33306" s="1" t="str">
        <f>"98270"</f>
        <v>98270</v>
      </c>
      <c r="C33306" s="2">
        <v>1.12727496703607E-2</v>
      </c>
      <c r="D33306" s="2">
        <v>8.7166944213155698E-3</v>
      </c>
      <c r="E33306" s="2">
        <v>5.3160444691338904E-3</v>
      </c>
      <c r="F33306" s="2">
        <v>1.0667663395256301E-2</v>
      </c>
    </row>
    <row r="33307" spans="1:6" x14ac:dyDescent="0.25">
      <c r="A33307" s="1" t="str">
        <f t="shared" si="1185"/>
        <v>42660</v>
      </c>
      <c r="B33307" s="1" t="str">
        <f>"98296"</f>
        <v>98296</v>
      </c>
      <c r="C33307" s="2">
        <v>5.4778286240926297E-3</v>
      </c>
      <c r="D33307" s="2">
        <v>1.82790383014154E-3</v>
      </c>
      <c r="E33307" s="2">
        <v>6.8208507077511496E-4</v>
      </c>
      <c r="F33307" s="2">
        <v>4.8712507398611504E-3</v>
      </c>
    </row>
    <row r="33308" spans="1:6" x14ac:dyDescent="0.25">
      <c r="A33308" s="1" t="str">
        <f t="shared" si="1185"/>
        <v>42660</v>
      </c>
      <c r="B33308" s="1" t="str">
        <f>"98251"</f>
        <v>98251</v>
      </c>
      <c r="C33308" s="2">
        <v>9.832146327887249E-4</v>
      </c>
      <c r="D33308" s="2">
        <v>3.25249791840133E-5</v>
      </c>
      <c r="E33308" s="2">
        <v>6.75053265921764E-4</v>
      </c>
      <c r="F33308" s="2">
        <v>8.9051713916123501E-4</v>
      </c>
    </row>
    <row r="33309" spans="1:6" x14ac:dyDescent="0.25">
      <c r="A33309" s="1" t="str">
        <f t="shared" si="1185"/>
        <v>42660</v>
      </c>
      <c r="B33309" s="1" t="str">
        <f>"98022"</f>
        <v>98022</v>
      </c>
      <c r="C33309" s="2">
        <v>5.8051866282809901E-3</v>
      </c>
      <c r="D33309" s="2">
        <v>6.1537260616153196E-3</v>
      </c>
      <c r="E33309" s="2">
        <v>2.2853365773392999E-3</v>
      </c>
      <c r="F33309" s="2">
        <v>5.5870801333677503E-3</v>
      </c>
    </row>
    <row r="33310" spans="1:6" x14ac:dyDescent="0.25">
      <c r="A33310" s="1" t="str">
        <f t="shared" si="1185"/>
        <v>42660</v>
      </c>
      <c r="B33310" s="1" t="str">
        <f>"98030"</f>
        <v>98030</v>
      </c>
      <c r="C33310" s="2">
        <v>8.6453309851764904E-3</v>
      </c>
      <c r="D33310" s="2">
        <v>4.26727726894254E-3</v>
      </c>
      <c r="E33310" s="2">
        <v>7.4677767542595096E-3</v>
      </c>
      <c r="F33310" s="2">
        <v>8.23520973020502E-3</v>
      </c>
    </row>
    <row r="33311" spans="1:6" x14ac:dyDescent="0.25">
      <c r="A33311" s="1" t="str">
        <f t="shared" si="1185"/>
        <v>42660</v>
      </c>
      <c r="B33311" s="1" t="str">
        <f>"98020"</f>
        <v>98020</v>
      </c>
      <c r="C33311" s="2">
        <v>5.9272329922118398E-3</v>
      </c>
      <c r="D33311" s="2">
        <v>8.5540695253955006E-3</v>
      </c>
      <c r="E33311" s="2">
        <v>7.2779180232190096E-3</v>
      </c>
      <c r="F33311" s="2">
        <v>6.2180054270310203E-3</v>
      </c>
    </row>
    <row r="33312" spans="1:6" x14ac:dyDescent="0.25">
      <c r="A33312" s="1" t="str">
        <f t="shared" si="1185"/>
        <v>42660</v>
      </c>
      <c r="B33312" s="1" t="str">
        <f>"98015"</f>
        <v>98015</v>
      </c>
      <c r="C33312" s="2">
        <v>1.15887014723125E-3</v>
      </c>
      <c r="D33312" s="2">
        <v>3.5582327227310501E-3</v>
      </c>
      <c r="E33312" s="2">
        <v>7.0318048533516998E-6</v>
      </c>
      <c r="F33312" s="2">
        <v>1.2589228597457401E-3</v>
      </c>
    </row>
    <row r="33313" spans="1:6" x14ac:dyDescent="0.25">
      <c r="A33313" s="1" t="str">
        <f t="shared" si="1185"/>
        <v>42660</v>
      </c>
      <c r="B33313" s="1" t="str">
        <f>"98004"</f>
        <v>98004</v>
      </c>
      <c r="C33313" s="2">
        <v>1.20192856067415E-2</v>
      </c>
      <c r="D33313" s="2">
        <v>2.1303861365528701E-2</v>
      </c>
      <c r="E33313" s="2">
        <v>1.1623573422590299E-2</v>
      </c>
      <c r="F33313" s="2">
        <v>1.2688283380608E-2</v>
      </c>
    </row>
    <row r="33314" spans="1:6" x14ac:dyDescent="0.25">
      <c r="A33314" s="1" t="str">
        <f t="shared" si="1185"/>
        <v>42660</v>
      </c>
      <c r="B33314" s="1" t="str">
        <f>"98348"</f>
        <v>98348</v>
      </c>
      <c r="C33314" s="2">
        <v>0</v>
      </c>
      <c r="D33314" s="2">
        <v>6.5049958368026604E-6</v>
      </c>
      <c r="E33314" s="2">
        <v>0</v>
      </c>
      <c r="F33314" s="2">
        <v>4.8795459680067597E-7</v>
      </c>
    </row>
    <row r="33315" spans="1:6" x14ac:dyDescent="0.25">
      <c r="A33315" s="1" t="str">
        <f t="shared" si="1185"/>
        <v>42660</v>
      </c>
      <c r="B33315" s="1" t="str">
        <f>"98191"</f>
        <v>98191</v>
      </c>
      <c r="C33315" s="2">
        <v>0</v>
      </c>
      <c r="D33315" s="2">
        <v>6.5049958368026604E-6</v>
      </c>
      <c r="E33315" s="2">
        <v>0</v>
      </c>
      <c r="F33315" s="2">
        <v>4.8795459680067597E-7</v>
      </c>
    </row>
    <row r="33316" spans="1:6" x14ac:dyDescent="0.25">
      <c r="A33316" s="1" t="str">
        <f t="shared" si="1185"/>
        <v>42660</v>
      </c>
      <c r="B33316" s="1" t="str">
        <f>"98103"</f>
        <v>98103</v>
      </c>
      <c r="C33316" s="2">
        <v>1.53858261968528E-2</v>
      </c>
      <c r="D33316" s="2">
        <v>1.7569993755203898E-2</v>
      </c>
      <c r="E33316" s="2">
        <v>1.9963293978665499E-2</v>
      </c>
      <c r="F33316" s="2">
        <v>1.5867307578764402E-2</v>
      </c>
    </row>
    <row r="33317" spans="1:6" x14ac:dyDescent="0.25">
      <c r="A33317" s="1" t="str">
        <f t="shared" si="1185"/>
        <v>42660</v>
      </c>
      <c r="B33317" s="1" t="str">
        <f>"98075"</f>
        <v>98075</v>
      </c>
      <c r="C33317" s="2">
        <v>4.9297606066274497E-3</v>
      </c>
      <c r="D33317" s="2">
        <v>6.2447960033305502E-4</v>
      </c>
      <c r="E33317" s="2">
        <v>7.1021229018852197E-4</v>
      </c>
      <c r="F33317" s="2">
        <v>4.3140065903147801E-3</v>
      </c>
    </row>
    <row r="33318" spans="1:6" x14ac:dyDescent="0.25">
      <c r="A33318" s="1" t="str">
        <f t="shared" si="1185"/>
        <v>42660</v>
      </c>
      <c r="B33318" s="1" t="str">
        <f>"98115"</f>
        <v>98115</v>
      </c>
      <c r="C33318" s="2">
        <v>1.3990277353213501E-2</v>
      </c>
      <c r="D33318" s="2">
        <v>9.63389883430474E-3</v>
      </c>
      <c r="E33318" s="2">
        <v>1.0709438791654599E-2</v>
      </c>
      <c r="F33318" s="2">
        <v>1.34358298229066E-2</v>
      </c>
    </row>
    <row r="33319" spans="1:6" x14ac:dyDescent="0.25">
      <c r="A33319" s="1" t="str">
        <f t="shared" si="1185"/>
        <v>42660</v>
      </c>
      <c r="B33319" s="1" t="str">
        <f>"98117"</f>
        <v>98117</v>
      </c>
      <c r="C33319" s="2">
        <v>8.6145342391378693E-3</v>
      </c>
      <c r="D33319" s="2">
        <v>3.0898730224812598E-3</v>
      </c>
      <c r="E33319" s="2">
        <v>3.7268565722764001E-3</v>
      </c>
      <c r="F33319" s="2">
        <v>7.8609485544589002E-3</v>
      </c>
    </row>
    <row r="33320" spans="1:6" x14ac:dyDescent="0.25">
      <c r="A33320" s="1" t="str">
        <f t="shared" si="1185"/>
        <v>42660</v>
      </c>
      <c r="B33320" s="1" t="str">
        <f>"98071"</f>
        <v>98071</v>
      </c>
      <c r="C33320" s="2">
        <v>7.0946577911204902E-4</v>
      </c>
      <c r="D33320" s="2">
        <v>3.2264779350541198E-3</v>
      </c>
      <c r="E33320" s="2">
        <v>7.0318048533516998E-6</v>
      </c>
      <c r="F33320" s="2">
        <v>8.4952895302997796E-4</v>
      </c>
    </row>
    <row r="33321" spans="1:6" x14ac:dyDescent="0.25">
      <c r="A33321" s="1" t="str">
        <f t="shared" si="1185"/>
        <v>42660</v>
      </c>
      <c r="B33321" s="1" t="str">
        <f>"98083"</f>
        <v>98083</v>
      </c>
      <c r="C33321" s="2">
        <v>5.8913034551667798E-4</v>
      </c>
      <c r="D33321" s="2">
        <v>3.7794025811823399E-3</v>
      </c>
      <c r="E33321" s="2">
        <v>7.0318048533516998E-6</v>
      </c>
      <c r="F33321" s="2">
        <v>7.8804667383309298E-4</v>
      </c>
    </row>
    <row r="33322" spans="1:6" x14ac:dyDescent="0.25">
      <c r="A33322" s="1" t="str">
        <f t="shared" si="1185"/>
        <v>42660</v>
      </c>
      <c r="B33322" s="1" t="str">
        <f>"98093"</f>
        <v>98093</v>
      </c>
      <c r="C33322" s="2">
        <v>1.52900140980659E-3</v>
      </c>
      <c r="D33322" s="2">
        <v>3.0053080766028299E-3</v>
      </c>
      <c r="E33322" s="2">
        <v>7.0318048533516998E-6</v>
      </c>
      <c r="F33322" s="2">
        <v>1.5341292523413199E-3</v>
      </c>
    </row>
    <row r="33323" spans="1:6" x14ac:dyDescent="0.25">
      <c r="A33323" s="1" t="str">
        <f t="shared" si="1185"/>
        <v>42660</v>
      </c>
      <c r="B33323" s="1" t="str">
        <f>"98464"</f>
        <v>98464</v>
      </c>
      <c r="C33323" s="2">
        <v>7.1973136112492503E-4</v>
      </c>
      <c r="D33323" s="2">
        <v>2.55646336386344E-3</v>
      </c>
      <c r="E33323" s="2">
        <v>7.0318048533516998E-6</v>
      </c>
      <c r="F33323" s="2">
        <v>8.0805281230192003E-4</v>
      </c>
    </row>
    <row r="33324" spans="1:6" x14ac:dyDescent="0.25">
      <c r="A33324" s="1" t="str">
        <f t="shared" si="1185"/>
        <v>42660</v>
      </c>
      <c r="B33324" s="1" t="str">
        <f>"98421"</f>
        <v>98421</v>
      </c>
      <c r="C33324" s="2">
        <v>2.8515505591320299E-5</v>
      </c>
      <c r="D33324" s="2">
        <v>4.8071919233971597E-3</v>
      </c>
      <c r="E33324" s="2">
        <v>9.9148448432259109E-4</v>
      </c>
      <c r="F33324" s="2">
        <v>4.5379777502462898E-4</v>
      </c>
    </row>
    <row r="33325" spans="1:6" x14ac:dyDescent="0.25">
      <c r="A33325" s="1" t="str">
        <f t="shared" si="1185"/>
        <v>42660</v>
      </c>
      <c r="B33325" s="1" t="str">
        <f>"98417"</f>
        <v>98417</v>
      </c>
      <c r="C33325" s="2">
        <v>3.4446730754314898E-4</v>
      </c>
      <c r="D33325" s="2">
        <v>1.9645087427144002E-3</v>
      </c>
      <c r="E33325" s="2">
        <v>7.0318048533516998E-6</v>
      </c>
      <c r="F33325" s="2">
        <v>4.4257481929821298E-4</v>
      </c>
    </row>
    <row r="33326" spans="1:6" x14ac:dyDescent="0.25">
      <c r="A33326" s="1" t="str">
        <f t="shared" si="1185"/>
        <v>42660</v>
      </c>
      <c r="B33326" s="1" t="str">
        <f>"98465"</f>
        <v>98465</v>
      </c>
      <c r="C33326" s="2">
        <v>1.99722601161607E-3</v>
      </c>
      <c r="D33326" s="2">
        <v>7.5457951706910901E-4</v>
      </c>
      <c r="E33326" s="2">
        <v>2.7494356976605098E-3</v>
      </c>
      <c r="F33326" s="2">
        <v>1.9562099785739098E-3</v>
      </c>
    </row>
    <row r="33327" spans="1:6" x14ac:dyDescent="0.25">
      <c r="A33327" s="1" t="str">
        <f t="shared" si="1185"/>
        <v>42660</v>
      </c>
      <c r="B33327" s="1" t="str">
        <f>"98271"</f>
        <v>98271</v>
      </c>
      <c r="C33327" s="2">
        <v>7.0245096473658501E-3</v>
      </c>
      <c r="D33327" s="2">
        <v>5.2235116569525298E-3</v>
      </c>
      <c r="E33327" s="2">
        <v>2.2572093579258899E-3</v>
      </c>
      <c r="F33327" s="2">
        <v>6.5585977355978901E-3</v>
      </c>
    </row>
    <row r="33328" spans="1:6" x14ac:dyDescent="0.25">
      <c r="A33328" s="1" t="str">
        <f t="shared" si="1185"/>
        <v>42660</v>
      </c>
      <c r="B33328" s="1" t="str">
        <f>"98275"</f>
        <v>98275</v>
      </c>
      <c r="C33328" s="2">
        <v>5.7133667002769398E-3</v>
      </c>
      <c r="D33328" s="2">
        <v>6.6155807660283001E-3</v>
      </c>
      <c r="E33328" s="2">
        <v>4.3245599848112997E-3</v>
      </c>
      <c r="F33328" s="2">
        <v>5.6846710527278799E-3</v>
      </c>
    </row>
    <row r="33329" spans="1:6" x14ac:dyDescent="0.25">
      <c r="A33329" s="1" t="str">
        <f t="shared" si="1185"/>
        <v>42660</v>
      </c>
      <c r="B33329" s="1" t="str">
        <f>"98023"</f>
        <v>98023</v>
      </c>
      <c r="C33329" s="2">
        <v>1.0592940017063599E-2</v>
      </c>
      <c r="D33329" s="2">
        <v>1.7758638634471199E-3</v>
      </c>
      <c r="E33329" s="2">
        <v>6.8208507077511501E-3</v>
      </c>
      <c r="F33329" s="2">
        <v>9.6697962447990105E-3</v>
      </c>
    </row>
    <row r="33330" spans="1:6" x14ac:dyDescent="0.25">
      <c r="A33330" s="1" t="str">
        <f t="shared" si="1185"/>
        <v>42660</v>
      </c>
      <c r="B33330" s="1" t="str">
        <f>"98026"</f>
        <v>98026</v>
      </c>
      <c r="C33330" s="2">
        <v>9.0713526387108199E-3</v>
      </c>
      <c r="D33330" s="2">
        <v>5.1389467110740999E-3</v>
      </c>
      <c r="E33330" s="2">
        <v>1.20243862992314E-2</v>
      </c>
      <c r="F33330" s="2">
        <v>8.9812923087132495E-3</v>
      </c>
    </row>
    <row r="33331" spans="1:6" x14ac:dyDescent="0.25">
      <c r="A33331" s="1" t="str">
        <f t="shared" si="1185"/>
        <v>42660</v>
      </c>
      <c r="B33331" s="1" t="str">
        <f>"98027"</f>
        <v>98027</v>
      </c>
      <c r="C33331" s="2">
        <v>8.1708329721369207E-3</v>
      </c>
      <c r="D33331" s="2">
        <v>1.35434013322231E-2</v>
      </c>
      <c r="E33331" s="2">
        <v>5.4215215419341602E-3</v>
      </c>
      <c r="F33331" s="2">
        <v>8.3830599730356208E-3</v>
      </c>
    </row>
    <row r="33332" spans="1:6" x14ac:dyDescent="0.25">
      <c r="A33332" s="1" t="str">
        <f t="shared" si="1185"/>
        <v>42660</v>
      </c>
      <c r="B33332" s="1" t="str">
        <f>"98031"</f>
        <v>98031</v>
      </c>
      <c r="C33332" s="2">
        <v>8.9464547242208408E-3</v>
      </c>
      <c r="D33332" s="2">
        <v>3.3630828476269698E-3</v>
      </c>
      <c r="E33332" s="2">
        <v>4.3315917896646497E-3</v>
      </c>
      <c r="F33332" s="2">
        <v>8.2073963181873797E-3</v>
      </c>
    </row>
    <row r="33333" spans="1:6" x14ac:dyDescent="0.25">
      <c r="A33333" s="1" t="str">
        <f t="shared" si="1185"/>
        <v>42660</v>
      </c>
      <c r="B33333" s="1" t="str">
        <f>"98034"</f>
        <v>98034</v>
      </c>
      <c r="C33333" s="2">
        <v>1.2859352401461801E-2</v>
      </c>
      <c r="D33333" s="2">
        <v>8.5670795170690994E-3</v>
      </c>
      <c r="E33333" s="2">
        <v>3.0138315601465401E-2</v>
      </c>
      <c r="F33333" s="2">
        <v>1.37364098545358E-2</v>
      </c>
    </row>
    <row r="33334" spans="1:6" x14ac:dyDescent="0.25">
      <c r="A33334" s="1" t="str">
        <f t="shared" si="1185"/>
        <v>42660</v>
      </c>
      <c r="B33334" s="1" t="str">
        <f>"98012"</f>
        <v>98012</v>
      </c>
      <c r="C33334" s="2">
        <v>1.5760519940322699E-2</v>
      </c>
      <c r="D33334" s="2">
        <v>5.7894462947543704E-3</v>
      </c>
      <c r="E33334" s="2">
        <v>8.4662930434354494E-3</v>
      </c>
      <c r="F33334" s="2">
        <v>1.45064022082873E-2</v>
      </c>
    </row>
    <row r="33335" spans="1:6" x14ac:dyDescent="0.25">
      <c r="A33335" s="1" t="str">
        <f t="shared" si="1185"/>
        <v>42660</v>
      </c>
      <c r="B33335" s="1" t="str">
        <f>"98029"</f>
        <v>98029</v>
      </c>
      <c r="C33335" s="2">
        <v>7.0963687214559701E-3</v>
      </c>
      <c r="D33335" s="2">
        <v>1.8864487926727701E-3</v>
      </c>
      <c r="E33335" s="2">
        <v>2.5947359908867801E-3</v>
      </c>
      <c r="F33335" s="2">
        <v>6.3931811272824601E-3</v>
      </c>
    </row>
    <row r="33336" spans="1:6" x14ac:dyDescent="0.25">
      <c r="A33336" s="1" t="str">
        <f t="shared" si="1185"/>
        <v>42660</v>
      </c>
      <c r="B33336" s="1" t="str">
        <f>"98039"</f>
        <v>98039</v>
      </c>
      <c r="C33336" s="2">
        <v>9.3416796317165405E-4</v>
      </c>
      <c r="D33336" s="2">
        <v>8.58659450457951E-4</v>
      </c>
      <c r="E33336" s="2">
        <v>5.6254438826813599E-5</v>
      </c>
      <c r="F33336" s="2">
        <v>8.67583273111603E-4</v>
      </c>
    </row>
    <row r="33337" spans="1:6" x14ac:dyDescent="0.25">
      <c r="A33337" s="1" t="str">
        <f t="shared" si="1185"/>
        <v>42660</v>
      </c>
      <c r="B33337" s="1" t="str">
        <f>"98052"</f>
        <v>98052</v>
      </c>
      <c r="C33337" s="2">
        <v>1.7657371372257299E-2</v>
      </c>
      <c r="D33337" s="2">
        <v>2.0380151956702699E-2</v>
      </c>
      <c r="E33337" s="2">
        <v>4.6438039251534599E-2</v>
      </c>
      <c r="F33337" s="2">
        <v>1.9858776180593899E-2</v>
      </c>
    </row>
    <row r="33338" spans="1:6" x14ac:dyDescent="0.25">
      <c r="A33338" s="1" t="str">
        <f t="shared" si="1185"/>
        <v>42660</v>
      </c>
      <c r="B33338" s="1" t="str">
        <f>"98047"</f>
        <v>98047</v>
      </c>
      <c r="C33338" s="2">
        <v>1.41493938744131E-3</v>
      </c>
      <c r="D33338" s="2">
        <v>1.5937239800166501E-3</v>
      </c>
      <c r="E33338" s="2">
        <v>1.2586930687499499E-3</v>
      </c>
      <c r="F33338" s="2">
        <v>1.4175081037059601E-3</v>
      </c>
    </row>
    <row r="33339" spans="1:6" x14ac:dyDescent="0.25">
      <c r="A33339" s="1" t="str">
        <f t="shared" si="1185"/>
        <v>42660</v>
      </c>
      <c r="B33339" s="1" t="str">
        <f>"98035"</f>
        <v>98035</v>
      </c>
      <c r="C33339" s="2">
        <v>5.3666181522864795E-4</v>
      </c>
      <c r="D33339" s="2">
        <v>1.6392589508742699E-3</v>
      </c>
      <c r="E33339" s="2">
        <v>7.0318048533516998E-6</v>
      </c>
      <c r="F33339" s="2">
        <v>5.8261778858000805E-4</v>
      </c>
    </row>
    <row r="33340" spans="1:6" x14ac:dyDescent="0.25">
      <c r="A33340" s="1" t="str">
        <f t="shared" ref="A33340:A33375" si="1186">"42660"</f>
        <v>42660</v>
      </c>
      <c r="B33340" s="1" t="str">
        <f>"98002"</f>
        <v>98002</v>
      </c>
      <c r="C33340" s="2">
        <v>8.5905812144411592E-3</v>
      </c>
      <c r="D33340" s="2">
        <v>9.9721586178184805E-3</v>
      </c>
      <c r="E33340" s="2">
        <v>1.0463325621787299E-2</v>
      </c>
      <c r="F33340" s="2">
        <v>8.8241709285434393E-3</v>
      </c>
    </row>
    <row r="33341" spans="1:6" x14ac:dyDescent="0.25">
      <c r="A33341" s="1" t="str">
        <f t="shared" si="1186"/>
        <v>42660</v>
      </c>
      <c r="B33341" s="1" t="str">
        <f>"98007"</f>
        <v>98007</v>
      </c>
      <c r="C33341" s="2">
        <v>7.46992184470227E-3</v>
      </c>
      <c r="D33341" s="2">
        <v>6.9083055786844198E-3</v>
      </c>
      <c r="E33341" s="2">
        <v>2.0089866466025799E-2</v>
      </c>
      <c r="F33341" s="2">
        <v>8.3035233737571105E-3</v>
      </c>
    </row>
    <row r="33342" spans="1:6" x14ac:dyDescent="0.25">
      <c r="A33342" s="1" t="str">
        <f t="shared" si="1186"/>
        <v>42660</v>
      </c>
      <c r="B33342" s="1" t="str">
        <f>"98144"</f>
        <v>98144</v>
      </c>
      <c r="C33342" s="2">
        <v>8.5118784190091196E-3</v>
      </c>
      <c r="D33342" s="2">
        <v>6.5960657785179002E-3</v>
      </c>
      <c r="E33342" s="2">
        <v>1.11313470828557E-2</v>
      </c>
      <c r="F33342" s="2">
        <v>8.5499404451414608E-3</v>
      </c>
    </row>
    <row r="33343" spans="1:6" x14ac:dyDescent="0.25">
      <c r="A33343" s="1" t="str">
        <f t="shared" si="1186"/>
        <v>42660</v>
      </c>
      <c r="B33343" s="1" t="str">
        <f>"98166"</f>
        <v>98166</v>
      </c>
      <c r="C33343" s="2">
        <v>5.8217256215239502E-3</v>
      </c>
      <c r="D33343" s="2">
        <v>6.9538405495420397E-3</v>
      </c>
      <c r="E33343" s="2">
        <v>5.6324756875347102E-3</v>
      </c>
      <c r="F33343" s="2">
        <v>5.8935156201585697E-3</v>
      </c>
    </row>
    <row r="33344" spans="1:6" x14ac:dyDescent="0.25">
      <c r="A33344" s="1" t="str">
        <f t="shared" si="1186"/>
        <v>42660</v>
      </c>
      <c r="B33344" s="1" t="str">
        <f>"98199"</f>
        <v>98199</v>
      </c>
      <c r="C33344" s="2">
        <v>5.83484275409596E-3</v>
      </c>
      <c r="D33344" s="2">
        <v>3.9290174854288004E-3</v>
      </c>
      <c r="E33344" s="2">
        <v>4.7113092517456403E-3</v>
      </c>
      <c r="F33344" s="2">
        <v>5.6139176361917802E-3</v>
      </c>
    </row>
    <row r="33345" spans="1:6" x14ac:dyDescent="0.25">
      <c r="A33345" s="1" t="str">
        <f t="shared" si="1186"/>
        <v>42660</v>
      </c>
      <c r="B33345" s="1" t="str">
        <f>"98164"</f>
        <v>98164</v>
      </c>
      <c r="C33345" s="2">
        <v>7.1859074090127199E-5</v>
      </c>
      <c r="D33345" s="2">
        <v>9.4972939217318896E-4</v>
      </c>
      <c r="E33345" s="2">
        <v>2.6017677957401302E-4</v>
      </c>
      <c r="F33345" s="2">
        <v>1.5077797041140899E-4</v>
      </c>
    </row>
    <row r="33346" spans="1:6" x14ac:dyDescent="0.25">
      <c r="A33346" s="1" t="str">
        <f t="shared" si="1186"/>
        <v>42660</v>
      </c>
      <c r="B33346" s="1" t="str">
        <f>"98194"</f>
        <v>98194</v>
      </c>
      <c r="C33346" s="2">
        <v>1.97327298691936E-4</v>
      </c>
      <c r="D33346" s="2">
        <v>8.9768942547876704E-4</v>
      </c>
      <c r="E33346" s="2">
        <v>1.40636097067034E-5</v>
      </c>
      <c r="F33346" s="2">
        <v>2.3714593404512799E-4</v>
      </c>
    </row>
    <row r="33347" spans="1:6" x14ac:dyDescent="0.25">
      <c r="A33347" s="1" t="str">
        <f t="shared" si="1186"/>
        <v>42660</v>
      </c>
      <c r="B33347" s="1" t="str">
        <f>"98409"</f>
        <v>98409</v>
      </c>
      <c r="C33347" s="2">
        <v>6.6760501690399099E-3</v>
      </c>
      <c r="D33347" s="2">
        <v>1.4258950874271399E-2</v>
      </c>
      <c r="E33347" s="2">
        <v>1.7516225889699099E-2</v>
      </c>
      <c r="F33347" s="2">
        <v>7.9970878869662903E-3</v>
      </c>
    </row>
    <row r="33348" spans="1:6" x14ac:dyDescent="0.25">
      <c r="A33348" s="1" t="str">
        <f t="shared" si="1186"/>
        <v>42660</v>
      </c>
      <c r="B33348" s="1" t="str">
        <f>"98344"</f>
        <v>98344</v>
      </c>
      <c r="C33348" s="2">
        <v>0</v>
      </c>
      <c r="D33348" s="2">
        <v>0</v>
      </c>
      <c r="E33348" s="2">
        <v>7.0318048533516998E-6</v>
      </c>
      <c r="F33348" s="2">
        <v>4.8795459680067597E-7</v>
      </c>
    </row>
    <row r="33349" spans="1:6" x14ac:dyDescent="0.25">
      <c r="A33349" s="1" t="str">
        <f t="shared" si="1186"/>
        <v>42660</v>
      </c>
      <c r="B33349" s="1" t="str">
        <f>"98398"</f>
        <v>98398</v>
      </c>
      <c r="C33349" s="2">
        <v>0</v>
      </c>
      <c r="D33349" s="2">
        <v>6.5049958368026604E-6</v>
      </c>
      <c r="E33349" s="2">
        <v>0</v>
      </c>
      <c r="F33349" s="2">
        <v>4.8795459680067597E-7</v>
      </c>
    </row>
    <row r="33350" spans="1:6" x14ac:dyDescent="0.25">
      <c r="A33350" s="1" t="str">
        <f t="shared" si="1186"/>
        <v>42660</v>
      </c>
      <c r="B33350" s="1" t="str">
        <f>"98287"</f>
        <v>98287</v>
      </c>
      <c r="C33350" s="2">
        <v>1.60827451535046E-4</v>
      </c>
      <c r="D33350" s="2">
        <v>5.1389467110740997E-4</v>
      </c>
      <c r="E33350" s="2">
        <v>1.68763316480441E-4</v>
      </c>
      <c r="F33350" s="2">
        <v>1.8786251976825999E-4</v>
      </c>
    </row>
    <row r="33351" spans="1:6" x14ac:dyDescent="0.25">
      <c r="A33351" s="1" t="str">
        <f t="shared" si="1186"/>
        <v>42660</v>
      </c>
      <c r="B33351" s="1" t="str">
        <f>"98256"</f>
        <v>98256</v>
      </c>
      <c r="C33351" s="2">
        <v>0</v>
      </c>
      <c r="D33351" s="2">
        <v>6.5049958368026604E-6</v>
      </c>
      <c r="E33351" s="2">
        <v>4.92226339734619E-5</v>
      </c>
      <c r="F33351" s="2">
        <v>3.9036367744054103E-6</v>
      </c>
    </row>
    <row r="33352" spans="1:6" x14ac:dyDescent="0.25">
      <c r="A33352" s="1" t="str">
        <f t="shared" si="1186"/>
        <v>42660</v>
      </c>
      <c r="B33352" s="1" t="str">
        <f>"98207"</f>
        <v>98207</v>
      </c>
      <c r="C33352" s="2">
        <v>0</v>
      </c>
      <c r="D33352" s="2">
        <v>6.5049958368026604E-6</v>
      </c>
      <c r="E33352" s="2">
        <v>0</v>
      </c>
      <c r="F33352" s="2">
        <v>4.8795459680067597E-7</v>
      </c>
    </row>
    <row r="33353" spans="1:6" x14ac:dyDescent="0.25">
      <c r="A33353" s="1" t="str">
        <f t="shared" si="1186"/>
        <v>42660</v>
      </c>
      <c r="B33353" s="1" t="str">
        <f>"98062"</f>
        <v>98062</v>
      </c>
      <c r="C33353" s="2">
        <v>2.0987412115211699E-4</v>
      </c>
      <c r="D33353" s="2">
        <v>5.7243963363863397E-4</v>
      </c>
      <c r="E33353" s="2">
        <v>1.40636097067034E-5</v>
      </c>
      <c r="F33353" s="2">
        <v>2.2348320533471E-4</v>
      </c>
    </row>
    <row r="33354" spans="1:6" x14ac:dyDescent="0.25">
      <c r="A33354" s="1" t="str">
        <f t="shared" si="1186"/>
        <v>42660</v>
      </c>
      <c r="B33354" s="1" t="str">
        <f>"98330"</f>
        <v>98330</v>
      </c>
      <c r="C33354" s="2">
        <v>2.3953024696708999E-5</v>
      </c>
      <c r="D33354" s="2">
        <v>0</v>
      </c>
      <c r="E33354" s="2">
        <v>7.0318048533516998E-6</v>
      </c>
      <c r="F33354" s="2">
        <v>2.0982047662429101E-5</v>
      </c>
    </row>
    <row r="33355" spans="1:6" x14ac:dyDescent="0.25">
      <c r="A33355" s="1" t="str">
        <f t="shared" si="1186"/>
        <v>42660</v>
      </c>
      <c r="B33355" s="1" t="str">
        <f>"98089"</f>
        <v>98089</v>
      </c>
      <c r="C33355" s="2">
        <v>6.1422399043704E-4</v>
      </c>
      <c r="D33355" s="2">
        <v>4.8136969192339699E-4</v>
      </c>
      <c r="E33355" s="2">
        <v>7.0318048533516998E-6</v>
      </c>
      <c r="F33355" s="2">
        <v>5.6212369551437904E-4</v>
      </c>
    </row>
    <row r="33356" spans="1:6" x14ac:dyDescent="0.25">
      <c r="A33356" s="1" t="str">
        <f t="shared" si="1186"/>
        <v>42660</v>
      </c>
      <c r="B33356" s="1" t="str">
        <f>"98175"</f>
        <v>98175</v>
      </c>
      <c r="C33356" s="2">
        <v>1.67100862765137E-4</v>
      </c>
      <c r="D33356" s="2">
        <v>1.1253642797668601E-3</v>
      </c>
      <c r="E33356" s="2">
        <v>7.0318048533516998E-6</v>
      </c>
      <c r="F33356" s="2">
        <v>2.2787479670591601E-4</v>
      </c>
    </row>
    <row r="33357" spans="1:6" x14ac:dyDescent="0.25">
      <c r="A33357" s="1" t="str">
        <f t="shared" si="1186"/>
        <v>42660</v>
      </c>
      <c r="B33357" s="1" t="str">
        <f>"98394"</f>
        <v>98394</v>
      </c>
      <c r="C33357" s="2">
        <v>2.8572536602502899E-4</v>
      </c>
      <c r="D33357" s="2">
        <v>3.25249791840133E-5</v>
      </c>
      <c r="E33357" s="2">
        <v>2.1095414560055101E-5</v>
      </c>
      <c r="F33357" s="2">
        <v>2.4836888977154399E-4</v>
      </c>
    </row>
    <row r="33358" spans="1:6" x14ac:dyDescent="0.25">
      <c r="A33358" s="1" t="str">
        <f t="shared" si="1186"/>
        <v>42660</v>
      </c>
      <c r="B33358" s="1" t="str">
        <f>"98288"</f>
        <v>98288</v>
      </c>
      <c r="C33358" s="2">
        <v>0</v>
      </c>
      <c r="D33358" s="2">
        <v>6.5049958368026604E-6</v>
      </c>
      <c r="E33358" s="2">
        <v>5.2738536400137798E-4</v>
      </c>
      <c r="F33358" s="2">
        <v>3.7084549356851397E-5</v>
      </c>
    </row>
    <row r="33359" spans="1:6" x14ac:dyDescent="0.25">
      <c r="A33359" s="1" t="str">
        <f t="shared" si="1186"/>
        <v>42660</v>
      </c>
      <c r="B33359" s="1" t="str">
        <f>"98424"</f>
        <v>98424</v>
      </c>
      <c r="C33359" s="2">
        <v>2.63483271663799E-3</v>
      </c>
      <c r="D33359" s="2">
        <v>6.9473355537052403E-3</v>
      </c>
      <c r="E33359" s="2">
        <v>8.2483070929815494E-3</v>
      </c>
      <c r="F33359" s="2">
        <v>3.3478564886494401E-3</v>
      </c>
    </row>
    <row r="33360" spans="1:6" x14ac:dyDescent="0.25">
      <c r="A33360" s="1" t="str">
        <f t="shared" si="1186"/>
        <v>42660</v>
      </c>
      <c r="B33360" s="1" t="str">
        <f>"98292"</f>
        <v>98292</v>
      </c>
      <c r="C33360" s="2">
        <v>6.1371071133639599E-3</v>
      </c>
      <c r="D33360" s="2">
        <v>5.0999167360532803E-3</v>
      </c>
      <c r="E33360" s="2">
        <v>2.0743824317387498E-3</v>
      </c>
      <c r="F33360" s="2">
        <v>5.7773824261200101E-3</v>
      </c>
    </row>
    <row r="33361" spans="1:6" x14ac:dyDescent="0.25">
      <c r="A33361" s="1" t="str">
        <f t="shared" si="1186"/>
        <v>42660</v>
      </c>
      <c r="B33361" s="1" t="str">
        <f>"98303"</f>
        <v>98303</v>
      </c>
      <c r="C33361" s="2">
        <v>6.2106771177895597E-4</v>
      </c>
      <c r="D33361" s="2">
        <v>1.7563488759367101E-4</v>
      </c>
      <c r="E33361" s="2">
        <v>2.1095414560055101E-5</v>
      </c>
      <c r="F33361" s="2">
        <v>5.4602119381995699E-4</v>
      </c>
    </row>
    <row r="33362" spans="1:6" x14ac:dyDescent="0.25">
      <c r="A33362" s="1" t="str">
        <f t="shared" si="1186"/>
        <v>42660</v>
      </c>
      <c r="B33362" s="1" t="str">
        <f>"98019"</f>
        <v>98019</v>
      </c>
      <c r="C33362" s="2">
        <v>3.09450266677008E-3</v>
      </c>
      <c r="D33362" s="2">
        <v>2.6475333055786801E-3</v>
      </c>
      <c r="E33362" s="2">
        <v>3.1432167694482099E-3</v>
      </c>
      <c r="F33362" s="2">
        <v>3.0643548679082501E-3</v>
      </c>
    </row>
    <row r="33363" spans="1:6" x14ac:dyDescent="0.25">
      <c r="A33363" s="1" t="str">
        <f t="shared" si="1186"/>
        <v>42660</v>
      </c>
      <c r="B33363" s="1" t="str">
        <f>"98046"</f>
        <v>98046</v>
      </c>
      <c r="C33363" s="2">
        <v>1.0094488979327299E-3</v>
      </c>
      <c r="D33363" s="2">
        <v>3.7078476269775101E-3</v>
      </c>
      <c r="E33363" s="2">
        <v>7.0318048533516998E-6</v>
      </c>
      <c r="F33363" s="2">
        <v>1.1423017111103801E-3</v>
      </c>
    </row>
    <row r="33364" spans="1:6" x14ac:dyDescent="0.25">
      <c r="A33364" s="1" t="str">
        <f t="shared" si="1186"/>
        <v>42660</v>
      </c>
      <c r="B33364" s="1" t="str">
        <f>"98133"</f>
        <v>98133</v>
      </c>
      <c r="C33364" s="2">
        <v>1.46563995638268E-2</v>
      </c>
      <c r="D33364" s="2">
        <v>1.08568380516236E-2</v>
      </c>
      <c r="E33364" s="2">
        <v>1.31354114660609E-2</v>
      </c>
      <c r="F33364" s="2">
        <v>1.42658405920645E-2</v>
      </c>
    </row>
    <row r="33365" spans="1:6" x14ac:dyDescent="0.25">
      <c r="A33365" s="1" t="str">
        <f t="shared" si="1186"/>
        <v>42660</v>
      </c>
      <c r="B33365" s="1" t="str">
        <f>"98055"</f>
        <v>98055</v>
      </c>
      <c r="C33365" s="2">
        <v>5.9015690371796497E-3</v>
      </c>
      <c r="D33365" s="2">
        <v>2.3873334721065701E-3</v>
      </c>
      <c r="E33365" s="2">
        <v>4.0292241809705203E-3</v>
      </c>
      <c r="F33365" s="2">
        <v>5.5080314886860396E-3</v>
      </c>
    </row>
    <row r="33366" spans="1:6" x14ac:dyDescent="0.25">
      <c r="A33366" s="1" t="str">
        <f t="shared" si="1186"/>
        <v>42660</v>
      </c>
      <c r="B33366" s="1" t="str">
        <f>"98204"</f>
        <v>98204</v>
      </c>
      <c r="C33366" s="2">
        <v>1.06602366102591E-2</v>
      </c>
      <c r="D33366" s="2">
        <v>9.0744691923397101E-3</v>
      </c>
      <c r="E33366" s="2">
        <v>1.22704994690987E-2</v>
      </c>
      <c r="F33366" s="2">
        <v>1.0653024757352299E-2</v>
      </c>
    </row>
    <row r="33367" spans="1:6" x14ac:dyDescent="0.25">
      <c r="A33367" s="1" t="str">
        <f t="shared" si="1186"/>
        <v>42660</v>
      </c>
      <c r="B33367" s="1" t="str">
        <f>"98223"</f>
        <v>98223</v>
      </c>
      <c r="C33367" s="2">
        <v>1.0326034884728901E-2</v>
      </c>
      <c r="D33367" s="2">
        <v>1.06942131557035E-2</v>
      </c>
      <c r="E33367" s="2">
        <v>4.7464682760123998E-3</v>
      </c>
      <c r="F33367" s="2">
        <v>9.96647263965382E-3</v>
      </c>
    </row>
    <row r="33368" spans="1:6" x14ac:dyDescent="0.25">
      <c r="A33368" s="1" t="str">
        <f t="shared" si="1186"/>
        <v>42660</v>
      </c>
      <c r="B33368" s="1" t="str">
        <f>"98154"</f>
        <v>98154</v>
      </c>
      <c r="C33368" s="2">
        <v>0</v>
      </c>
      <c r="D33368" s="2">
        <v>2.01654870940882E-4</v>
      </c>
      <c r="E33368" s="2">
        <v>7.7349853386868804E-4</v>
      </c>
      <c r="F33368" s="2">
        <v>6.8801598148895399E-5</v>
      </c>
    </row>
    <row r="33369" spans="1:6" x14ac:dyDescent="0.25">
      <c r="A33369" s="1" t="str">
        <f t="shared" si="1186"/>
        <v>42660</v>
      </c>
      <c r="B33369" s="1" t="str">
        <f>"98082"</f>
        <v>98082</v>
      </c>
      <c r="C33369" s="2">
        <v>8.6744168008796396E-4</v>
      </c>
      <c r="D33369" s="2">
        <v>4.5079621149042397E-3</v>
      </c>
      <c r="E33369" s="2">
        <v>7.0318048533516998E-6</v>
      </c>
      <c r="F33369" s="2">
        <v>1.08081943191349E-3</v>
      </c>
    </row>
    <row r="33370" spans="1:6" x14ac:dyDescent="0.25">
      <c r="A33370" s="1" t="str">
        <f t="shared" si="1186"/>
        <v>42660</v>
      </c>
      <c r="B33370" s="1" t="str">
        <f>"98106"</f>
        <v>98106</v>
      </c>
      <c r="C33370" s="2">
        <v>6.4119965872642898E-3</v>
      </c>
      <c r="D33370" s="2">
        <v>3.6167776852622799E-3</v>
      </c>
      <c r="E33370" s="2">
        <v>7.8334306066337994E-3</v>
      </c>
      <c r="F33370" s="2">
        <v>6.3009577084871399E-3</v>
      </c>
    </row>
    <row r="33371" spans="1:6" x14ac:dyDescent="0.25">
      <c r="A33371" s="1" t="str">
        <f t="shared" si="1186"/>
        <v>42660</v>
      </c>
      <c r="B33371" s="1" t="str">
        <f>"98056"</f>
        <v>98056</v>
      </c>
      <c r="C33371" s="2">
        <v>9.1683053577213108E-3</v>
      </c>
      <c r="D33371" s="2">
        <v>5.2820566194837597E-3</v>
      </c>
      <c r="E33371" s="2">
        <v>7.5873174367664898E-3</v>
      </c>
      <c r="F33371" s="2">
        <v>8.76708024071776E-3</v>
      </c>
    </row>
    <row r="33372" spans="1:6" x14ac:dyDescent="0.25">
      <c r="A33372" s="1" t="str">
        <f t="shared" si="1186"/>
        <v>42660</v>
      </c>
      <c r="B33372" s="1" t="str">
        <f>"98065"</f>
        <v>98065</v>
      </c>
      <c r="C33372" s="2">
        <v>3.7942731739810799E-3</v>
      </c>
      <c r="D33372" s="2">
        <v>2.5629683597002402E-3</v>
      </c>
      <c r="E33372" s="2">
        <v>4.7183410565989903E-3</v>
      </c>
      <c r="F33372" s="2">
        <v>3.7660335781076202E-3</v>
      </c>
    </row>
    <row r="33373" spans="1:6" x14ac:dyDescent="0.25">
      <c r="A33373" s="1" t="str">
        <f t="shared" si="1186"/>
        <v>42660</v>
      </c>
      <c r="B33373" s="1" t="str">
        <f>"98112"</f>
        <v>98112</v>
      </c>
      <c r="C33373" s="2">
        <v>6.5408866725370496E-3</v>
      </c>
      <c r="D33373" s="2">
        <v>3.8704725228975801E-3</v>
      </c>
      <c r="E33373" s="2">
        <v>1.0027353720879499E-2</v>
      </c>
      <c r="F33373" s="2">
        <v>6.5825075108411303E-3</v>
      </c>
    </row>
    <row r="33374" spans="1:6" x14ac:dyDescent="0.25">
      <c r="A33374" s="1" t="str">
        <f t="shared" si="1186"/>
        <v>42660</v>
      </c>
      <c r="B33374" s="1" t="str">
        <f>"98349"</f>
        <v>98349</v>
      </c>
      <c r="C33374" s="2">
        <v>1.29118209317498E-3</v>
      </c>
      <c r="D33374" s="2">
        <v>3.57774771024146E-4</v>
      </c>
      <c r="E33374" s="2">
        <v>1.68763316480441E-4</v>
      </c>
      <c r="F33374" s="2">
        <v>1.1432776203039801E-3</v>
      </c>
    </row>
    <row r="33375" spans="1:6" x14ac:dyDescent="0.25">
      <c r="A33375" s="1" t="str">
        <f t="shared" si="1186"/>
        <v>42660</v>
      </c>
      <c r="B33375" s="1" t="str">
        <f>"98354"</f>
        <v>98354</v>
      </c>
      <c r="C33375" s="2">
        <v>3.0369013454756102E-3</v>
      </c>
      <c r="D33375" s="2">
        <v>3.7533825978351299E-3</v>
      </c>
      <c r="E33375" s="2">
        <v>2.67208584427364E-3</v>
      </c>
      <c r="F33375" s="2">
        <v>3.0653307771018501E-3</v>
      </c>
    </row>
    <row r="33376" spans="1:6" x14ac:dyDescent="0.25">
      <c r="A33376" s="1" t="str">
        <f t="shared" ref="A33376:A33391" si="1187">"42680"</f>
        <v>42680</v>
      </c>
      <c r="B33376" s="1" t="str">
        <f>"32969"</f>
        <v>32969</v>
      </c>
      <c r="C33376" s="2">
        <v>6.41996969455299E-3</v>
      </c>
      <c r="D33376" s="2">
        <v>1.53672779428337E-2</v>
      </c>
      <c r="E33376" s="2">
        <v>4.1169205434335101E-4</v>
      </c>
      <c r="F33376" s="2">
        <v>6.9258946672351197E-3</v>
      </c>
    </row>
    <row r="33377" spans="1:6" x14ac:dyDescent="0.25">
      <c r="A33377" s="1" t="str">
        <f t="shared" si="1187"/>
        <v>42680</v>
      </c>
      <c r="B33377" s="1" t="str">
        <f>"32970"</f>
        <v>32970</v>
      </c>
      <c r="C33377" s="2">
        <v>1.1922800861312701E-2</v>
      </c>
      <c r="D33377" s="2">
        <v>8.7081241676057707E-3</v>
      </c>
      <c r="E33377" s="2">
        <v>2.0584602717167499E-4</v>
      </c>
      <c r="F33377" s="2">
        <v>1.11545187982354E-2</v>
      </c>
    </row>
    <row r="33378" spans="1:6" x14ac:dyDescent="0.25">
      <c r="A33378" s="1" t="str">
        <f t="shared" si="1187"/>
        <v>42680</v>
      </c>
      <c r="B33378" s="1" t="str">
        <f>"32961"</f>
        <v>32961</v>
      </c>
      <c r="C33378" s="2">
        <v>2.5071776058696801E-2</v>
      </c>
      <c r="D33378" s="2">
        <v>7.3045794488269603E-2</v>
      </c>
      <c r="E33378" s="2">
        <v>4.1169205434335101E-4</v>
      </c>
      <c r="F33378" s="2">
        <v>2.8103818813026898E-2</v>
      </c>
    </row>
    <row r="33379" spans="1:6" x14ac:dyDescent="0.25">
      <c r="A33379" s="1" t="str">
        <f t="shared" si="1187"/>
        <v>42680</v>
      </c>
      <c r="B33379" s="1" t="str">
        <f>"32962"</f>
        <v>32962</v>
      </c>
      <c r="C33379" s="2">
        <v>0.141508493500279</v>
      </c>
      <c r="D33379" s="2">
        <v>8.4929822764060997E-2</v>
      </c>
      <c r="E33379" s="2">
        <v>0.14162206669411201</v>
      </c>
      <c r="F33379" s="2">
        <v>0.136708111823615</v>
      </c>
    </row>
    <row r="33380" spans="1:6" x14ac:dyDescent="0.25">
      <c r="A33380" s="1" t="str">
        <f t="shared" si="1187"/>
        <v>42680</v>
      </c>
      <c r="B33380" s="1" t="str">
        <f>"32948"</f>
        <v>32948</v>
      </c>
      <c r="C33380" s="2">
        <v>3.2827577956774802E-2</v>
      </c>
      <c r="D33380" s="2">
        <v>1.8850527609875999E-2</v>
      </c>
      <c r="E33380" s="2">
        <v>1.85261424454508E-2</v>
      </c>
      <c r="F33380" s="2">
        <v>3.1036012912094998E-2</v>
      </c>
    </row>
    <row r="33381" spans="1:6" x14ac:dyDescent="0.25">
      <c r="A33381" s="1" t="str">
        <f t="shared" si="1187"/>
        <v>42680</v>
      </c>
      <c r="B33381" s="1" t="str">
        <f>"32960"</f>
        <v>32960</v>
      </c>
      <c r="C33381" s="2">
        <v>0.12886793205199701</v>
      </c>
      <c r="D33381" s="2">
        <v>0.33295768876139697</v>
      </c>
      <c r="E33381" s="2">
        <v>0.31247426924660299</v>
      </c>
      <c r="F33381" s="2">
        <v>0.15396194238281999</v>
      </c>
    </row>
    <row r="33382" spans="1:6" x14ac:dyDescent="0.25">
      <c r="A33382" s="1" t="str">
        <f t="shared" si="1187"/>
        <v>42680</v>
      </c>
      <c r="B33382" s="1" t="str">
        <f>"32963"</f>
        <v>32963</v>
      </c>
      <c r="C33382" s="2">
        <v>0.12751216205439</v>
      </c>
      <c r="D33382" s="2">
        <v>9.3023255813953404E-2</v>
      </c>
      <c r="E33382" s="2">
        <v>0.14676821737340401</v>
      </c>
      <c r="F33382" s="2">
        <v>0.125396977316824</v>
      </c>
    </row>
    <row r="33383" spans="1:6" x14ac:dyDescent="0.25">
      <c r="A33383" s="1" t="str">
        <f t="shared" si="1187"/>
        <v>42680</v>
      </c>
      <c r="B33383" s="1" t="str">
        <f>"32967"</f>
        <v>32967</v>
      </c>
      <c r="C33383" s="2">
        <v>0.13617513358322</v>
      </c>
      <c r="D33383" s="2">
        <v>6.5054809957996104E-2</v>
      </c>
      <c r="E33383" s="2">
        <v>9.6541786743515795E-2</v>
      </c>
      <c r="F33383" s="2">
        <v>0.128459684506355</v>
      </c>
    </row>
    <row r="33384" spans="1:6" x14ac:dyDescent="0.25">
      <c r="A33384" s="1" t="str">
        <f t="shared" si="1187"/>
        <v>42680</v>
      </c>
      <c r="B33384" s="1" t="str">
        <f>"32957"</f>
        <v>32957</v>
      </c>
      <c r="C33384" s="2">
        <v>1.01184304968498E-2</v>
      </c>
      <c r="D33384" s="2">
        <v>8.81057268722466E-3</v>
      </c>
      <c r="E33384" s="2">
        <v>2.0584602717167499E-4</v>
      </c>
      <c r="F33384" s="2">
        <v>9.5883617126797799E-3</v>
      </c>
    </row>
    <row r="33385" spans="1:6" x14ac:dyDescent="0.25">
      <c r="A33385" s="1" t="str">
        <f t="shared" si="1187"/>
        <v>42680</v>
      </c>
      <c r="B33385" s="1" t="str">
        <f>"32971"</f>
        <v>32971</v>
      </c>
      <c r="C33385" s="2">
        <v>5.5825823430895598E-4</v>
      </c>
      <c r="D33385" s="2">
        <v>1.1269337158078001E-3</v>
      </c>
      <c r="E33385" s="2">
        <v>4.1169205434335101E-4</v>
      </c>
      <c r="F33385" s="2">
        <v>6.0036021612967696E-4</v>
      </c>
    </row>
    <row r="33386" spans="1:6" x14ac:dyDescent="0.25">
      <c r="A33386" s="1" t="str">
        <f t="shared" si="1187"/>
        <v>42680</v>
      </c>
      <c r="B33386" s="1" t="str">
        <f>"32965"</f>
        <v>32965</v>
      </c>
      <c r="C33386" s="2">
        <v>8.5333758672940397E-3</v>
      </c>
      <c r="D33386" s="2">
        <v>3.02223132875729E-2</v>
      </c>
      <c r="E33386" s="2">
        <v>4.1169205434335101E-4</v>
      </c>
      <c r="F33386" s="2">
        <v>1.00321062202538E-2</v>
      </c>
    </row>
    <row r="33387" spans="1:6" x14ac:dyDescent="0.25">
      <c r="A33387" s="1" t="str">
        <f t="shared" si="1187"/>
        <v>42680</v>
      </c>
      <c r="B33387" s="1" t="str">
        <f>"32968"</f>
        <v>32968</v>
      </c>
      <c r="C33387" s="2">
        <v>6.7300023925352795E-2</v>
      </c>
      <c r="D33387" s="2">
        <v>2.86855854932896E-2</v>
      </c>
      <c r="E33387" s="2">
        <v>9.2630712227254001E-3</v>
      </c>
      <c r="F33387" s="2">
        <v>6.1567375207733303E-2</v>
      </c>
    </row>
    <row r="33388" spans="1:6" x14ac:dyDescent="0.25">
      <c r="A33388" s="1" t="str">
        <f t="shared" si="1187"/>
        <v>42680</v>
      </c>
      <c r="B33388" s="1" t="str">
        <f>"32966"</f>
        <v>32966</v>
      </c>
      <c r="C33388" s="2">
        <v>0.12869846080229599</v>
      </c>
      <c r="D33388" s="2">
        <v>7.8168220469214206E-2</v>
      </c>
      <c r="E33388" s="2">
        <v>0.11259777686290599</v>
      </c>
      <c r="F33388" s="2">
        <v>0.123726409758898</v>
      </c>
    </row>
    <row r="33389" spans="1:6" x14ac:dyDescent="0.25">
      <c r="A33389" s="1" t="str">
        <f t="shared" si="1187"/>
        <v>42680</v>
      </c>
      <c r="B33389" s="1" t="str">
        <f>"32978"</f>
        <v>32978</v>
      </c>
      <c r="C33389" s="2">
        <v>1.4424994018661701E-2</v>
      </c>
      <c r="D33389" s="2">
        <v>1.9977461325683801E-2</v>
      </c>
      <c r="E33389" s="2">
        <v>4.1169205434335101E-4</v>
      </c>
      <c r="F33389" s="2">
        <v>1.4304234714741799E-2</v>
      </c>
    </row>
    <row r="33390" spans="1:6" x14ac:dyDescent="0.25">
      <c r="A33390" s="1" t="str">
        <f t="shared" si="1187"/>
        <v>42680</v>
      </c>
      <c r="B33390" s="1" t="str">
        <f>"32964"</f>
        <v>32964</v>
      </c>
      <c r="C33390" s="2">
        <v>9.1414785868091496E-3</v>
      </c>
      <c r="D33390" s="2">
        <v>2.62268210224362E-2</v>
      </c>
      <c r="E33390" s="2">
        <v>4.1169205434335101E-4</v>
      </c>
      <c r="F33390" s="2">
        <v>1.02235254195995E-2</v>
      </c>
    </row>
    <row r="33391" spans="1:6" x14ac:dyDescent="0.25">
      <c r="A33391" s="1" t="str">
        <f t="shared" si="1187"/>
        <v>42680</v>
      </c>
      <c r="B33391" s="1" t="str">
        <f>"32958"</f>
        <v>32958</v>
      </c>
      <c r="C33391" s="2">
        <v>0.150919132307201</v>
      </c>
      <c r="D33391" s="2">
        <v>0.114844790492777</v>
      </c>
      <c r="E33391" s="2">
        <v>0.159324825030876</v>
      </c>
      <c r="F33391" s="2">
        <v>0.14821066552975201</v>
      </c>
    </row>
    <row r="33392" spans="1:6" x14ac:dyDescent="0.25">
      <c r="A33392" s="1" t="str">
        <f t="shared" ref="A33392:A33404" si="1188">"42700"</f>
        <v>42700</v>
      </c>
      <c r="B33392" s="1" t="str">
        <f>"33843"</f>
        <v>33843</v>
      </c>
      <c r="C33392" s="2">
        <v>1.4886712120761E-5</v>
      </c>
      <c r="D33392" s="2">
        <v>0</v>
      </c>
      <c r="E33392" s="2">
        <v>0</v>
      </c>
      <c r="F33392" s="2">
        <v>1.35900955383716E-5</v>
      </c>
    </row>
    <row r="33393" spans="1:6" x14ac:dyDescent="0.25">
      <c r="A33393" s="1" t="str">
        <f t="shared" si="1188"/>
        <v>42700</v>
      </c>
      <c r="B33393" s="1" t="str">
        <f>"33871"</f>
        <v>33871</v>
      </c>
      <c r="C33393" s="2">
        <v>2.9728764105159702E-2</v>
      </c>
      <c r="D33393" s="2">
        <v>6.1471533951201002E-2</v>
      </c>
      <c r="E33393" s="2">
        <v>1.7825311942959001E-3</v>
      </c>
      <c r="F33393" s="2">
        <v>3.1583382031175597E-2</v>
      </c>
    </row>
    <row r="33394" spans="1:6" x14ac:dyDescent="0.25">
      <c r="A33394" s="1" t="str">
        <f t="shared" si="1188"/>
        <v>42700</v>
      </c>
      <c r="B33394" s="1" t="str">
        <f>"33875"</f>
        <v>33875</v>
      </c>
      <c r="C33394" s="2">
        <v>8.8739690951856298E-2</v>
      </c>
      <c r="D33394" s="2">
        <v>1.8536031776054399E-2</v>
      </c>
      <c r="E33394" s="2">
        <v>2.6737967914438501E-3</v>
      </c>
      <c r="F33394" s="2">
        <v>8.2383159153608804E-2</v>
      </c>
    </row>
    <row r="33395" spans="1:6" x14ac:dyDescent="0.25">
      <c r="A33395" s="1" t="str">
        <f t="shared" si="1188"/>
        <v>42700</v>
      </c>
      <c r="B33395" s="1" t="str">
        <f>"34266"</f>
        <v>34266</v>
      </c>
      <c r="C33395" s="2">
        <v>1.4886712120761E-5</v>
      </c>
      <c r="D33395" s="2">
        <v>0</v>
      </c>
      <c r="E33395" s="2">
        <v>0</v>
      </c>
      <c r="F33395" s="2">
        <v>1.35900955383716E-5</v>
      </c>
    </row>
    <row r="33396" spans="1:6" x14ac:dyDescent="0.25">
      <c r="A33396" s="1" t="str">
        <f t="shared" si="1188"/>
        <v>42700</v>
      </c>
      <c r="B33396" s="1" t="str">
        <f>"33960"</f>
        <v>33960</v>
      </c>
      <c r="C33396" s="2">
        <v>9.1404412421472493E-3</v>
      </c>
      <c r="D33396" s="2">
        <v>7.7548704369207397E-3</v>
      </c>
      <c r="E33396" s="2">
        <v>2.6737967914438501E-3</v>
      </c>
      <c r="F33396" s="2">
        <v>8.9422828642485297E-3</v>
      </c>
    </row>
    <row r="33397" spans="1:6" x14ac:dyDescent="0.25">
      <c r="A33397" s="1" t="str">
        <f t="shared" si="1188"/>
        <v>42700</v>
      </c>
      <c r="B33397" s="1" t="str">
        <f>"33876"</f>
        <v>33876</v>
      </c>
      <c r="C33397" s="2">
        <v>4.5702206210736201E-2</v>
      </c>
      <c r="D33397" s="2">
        <v>4.78532248912426E-2</v>
      </c>
      <c r="E33397" s="2">
        <v>1.6934046345810999E-2</v>
      </c>
      <c r="F33397" s="2">
        <v>4.5418099289237998E-2</v>
      </c>
    </row>
    <row r="33398" spans="1:6" x14ac:dyDescent="0.25">
      <c r="A33398" s="1" t="str">
        <f t="shared" si="1188"/>
        <v>42700</v>
      </c>
      <c r="B33398" s="1" t="str">
        <f>"33862"</f>
        <v>33862</v>
      </c>
      <c r="C33398" s="2">
        <v>3.5341054574686601E-2</v>
      </c>
      <c r="D33398" s="2">
        <v>5.1825231700397198E-2</v>
      </c>
      <c r="E33398" s="2">
        <v>1.7825311942959001E-3</v>
      </c>
      <c r="F33398" s="2">
        <v>3.6013753176684801E-2</v>
      </c>
    </row>
    <row r="33399" spans="1:6" x14ac:dyDescent="0.25">
      <c r="A33399" s="1" t="str">
        <f t="shared" si="1188"/>
        <v>42700</v>
      </c>
      <c r="B33399" s="1" t="str">
        <f>"34974"</f>
        <v>34974</v>
      </c>
      <c r="C33399" s="2">
        <v>6.5352666210140801E-3</v>
      </c>
      <c r="D33399" s="2">
        <v>1.5131454511064801E-3</v>
      </c>
      <c r="E33399" s="2">
        <v>5.3475935828877002E-3</v>
      </c>
      <c r="F33399" s="2">
        <v>6.1563132788823496E-3</v>
      </c>
    </row>
    <row r="33400" spans="1:6" x14ac:dyDescent="0.25">
      <c r="A33400" s="1" t="str">
        <f t="shared" si="1188"/>
        <v>42700</v>
      </c>
      <c r="B33400" s="1" t="str">
        <f>"33870"</f>
        <v>33870</v>
      </c>
      <c r="C33400" s="2">
        <v>0.21972787090243201</v>
      </c>
      <c r="D33400" s="2">
        <v>0.419519576319273</v>
      </c>
      <c r="E33400" s="2">
        <v>0.26559714795008899</v>
      </c>
      <c r="F33400" s="2">
        <v>0.23478249052090799</v>
      </c>
    </row>
    <row r="33401" spans="1:6" x14ac:dyDescent="0.25">
      <c r="A33401" s="1" t="str">
        <f t="shared" si="1188"/>
        <v>42700</v>
      </c>
      <c r="B33401" s="1" t="str">
        <f>"33872"</f>
        <v>33872</v>
      </c>
      <c r="C33401" s="2">
        <v>0.14313573704111701</v>
      </c>
      <c r="D33401" s="2">
        <v>5.6175524872328297E-2</v>
      </c>
      <c r="E33401" s="2">
        <v>2.4064171122994599E-2</v>
      </c>
      <c r="F33401" s="2">
        <v>0.135071959555875</v>
      </c>
    </row>
    <row r="33402" spans="1:6" x14ac:dyDescent="0.25">
      <c r="A33402" s="1" t="str">
        <f t="shared" si="1188"/>
        <v>42700</v>
      </c>
      <c r="B33402" s="1" t="str">
        <f>"33825"</f>
        <v>33825</v>
      </c>
      <c r="C33402" s="2">
        <v>0.19464376097895</v>
      </c>
      <c r="D33402" s="2">
        <v>0.17174200870058601</v>
      </c>
      <c r="E33402" s="2">
        <v>0.61853832442067702</v>
      </c>
      <c r="F33402" s="2">
        <v>0.19946183221668001</v>
      </c>
    </row>
    <row r="33403" spans="1:6" x14ac:dyDescent="0.25">
      <c r="A33403" s="1" t="str">
        <f t="shared" si="1188"/>
        <v>42700</v>
      </c>
      <c r="B33403" s="1" t="str">
        <f>"33852"</f>
        <v>33852</v>
      </c>
      <c r="C33403" s="2">
        <v>0.21106380444814901</v>
      </c>
      <c r="D33403" s="2">
        <v>0.15831284282201599</v>
      </c>
      <c r="E33403" s="2">
        <v>5.7932263814616698E-2</v>
      </c>
      <c r="F33403" s="2">
        <v>0.20493864071864401</v>
      </c>
    </row>
    <row r="33404" spans="1:6" x14ac:dyDescent="0.25">
      <c r="A33404" s="1" t="str">
        <f t="shared" si="1188"/>
        <v>42700</v>
      </c>
      <c r="B33404" s="1" t="str">
        <f>"33857"</f>
        <v>33857</v>
      </c>
      <c r="C33404" s="2">
        <v>1.62116294995087E-2</v>
      </c>
      <c r="D33404" s="2">
        <v>5.2960090788727E-3</v>
      </c>
      <c r="E33404" s="2">
        <v>2.6737967914438501E-3</v>
      </c>
      <c r="F33404" s="2">
        <v>1.52209070029762E-2</v>
      </c>
    </row>
    <row r="33405" spans="1:6" x14ac:dyDescent="0.25">
      <c r="A33405" s="1" t="str">
        <f t="shared" ref="A33405:A33422" si="1189">"42740"</f>
        <v>42740</v>
      </c>
      <c r="B33405" s="1" t="str">
        <f>"65302"</f>
        <v>65302</v>
      </c>
      <c r="C33405" s="2">
        <v>5.93236173393124E-2</v>
      </c>
      <c r="D33405" s="2">
        <v>0.121773015099853</v>
      </c>
      <c r="E33405" s="2">
        <v>4.1152263374485496E-3</v>
      </c>
      <c r="F33405" s="2">
        <v>6.3557021756378604E-2</v>
      </c>
    </row>
    <row r="33406" spans="1:6" x14ac:dyDescent="0.25">
      <c r="A33406" s="1" t="str">
        <f t="shared" si="1189"/>
        <v>42740</v>
      </c>
      <c r="B33406" s="1" t="str">
        <f>"65301"</f>
        <v>65301</v>
      </c>
      <c r="C33406" s="2">
        <v>0.76597533632286896</v>
      </c>
      <c r="D33406" s="2">
        <v>0.82951777886020395</v>
      </c>
      <c r="E33406" s="2">
        <v>0.88888888888888795</v>
      </c>
      <c r="F33406" s="2">
        <v>0.77391740092704697</v>
      </c>
    </row>
    <row r="33407" spans="1:6" x14ac:dyDescent="0.25">
      <c r="A33407" s="1" t="str">
        <f t="shared" si="1189"/>
        <v>42740</v>
      </c>
      <c r="B33407" s="1" t="str">
        <f>"65351"</f>
        <v>65351</v>
      </c>
      <c r="C33407" s="2">
        <v>3.6902092675635198E-3</v>
      </c>
      <c r="D33407" s="2">
        <v>1.4612761811982401E-3</v>
      </c>
      <c r="E33407" s="2">
        <v>0</v>
      </c>
      <c r="F33407" s="2">
        <v>3.42422850461435E-3</v>
      </c>
    </row>
    <row r="33408" spans="1:6" x14ac:dyDescent="0.25">
      <c r="A33408" s="1" t="str">
        <f t="shared" si="1189"/>
        <v>42740</v>
      </c>
      <c r="B33408" s="1" t="str">
        <f>"65078"</f>
        <v>65078</v>
      </c>
      <c r="C33408" s="2">
        <v>9.3423019431988004E-5</v>
      </c>
      <c r="D33408" s="2">
        <v>0</v>
      </c>
      <c r="E33408" s="2">
        <v>0</v>
      </c>
      <c r="F33408" s="2">
        <v>8.3517768405228207E-5</v>
      </c>
    </row>
    <row r="33409" spans="1:6" x14ac:dyDescent="0.25">
      <c r="A33409" s="1" t="str">
        <f t="shared" si="1189"/>
        <v>42740</v>
      </c>
      <c r="B33409" s="1" t="str">
        <f>"65347"</f>
        <v>65347</v>
      </c>
      <c r="C33409" s="2">
        <v>2.2888639760836999E-3</v>
      </c>
      <c r="D33409" s="2">
        <v>0</v>
      </c>
      <c r="E33409" s="2">
        <v>0</v>
      </c>
      <c r="F33409" s="2">
        <v>2.0461853259280899E-3</v>
      </c>
    </row>
    <row r="33410" spans="1:6" x14ac:dyDescent="0.25">
      <c r="A33410" s="1" t="str">
        <f t="shared" si="1189"/>
        <v>42740</v>
      </c>
      <c r="B33410" s="1" t="str">
        <f>"65360"</f>
        <v>65360</v>
      </c>
      <c r="C33410" s="2">
        <v>1.10239162929745E-2</v>
      </c>
      <c r="D33410" s="2">
        <v>4.8709206039941498E-3</v>
      </c>
      <c r="E33410" s="2">
        <v>0</v>
      </c>
      <c r="F33410" s="2">
        <v>1.0272685513843E-2</v>
      </c>
    </row>
    <row r="33411" spans="1:6" x14ac:dyDescent="0.25">
      <c r="A33411" s="1" t="str">
        <f t="shared" si="1189"/>
        <v>42740</v>
      </c>
      <c r="B33411" s="1" t="str">
        <f>"65335"</f>
        <v>65335</v>
      </c>
      <c r="C33411" s="2">
        <v>2.7559790732436399E-3</v>
      </c>
      <c r="D33411" s="2">
        <v>0</v>
      </c>
      <c r="E33411" s="2">
        <v>0</v>
      </c>
      <c r="F33411" s="2">
        <v>2.4637741679542301E-3</v>
      </c>
    </row>
    <row r="33412" spans="1:6" x14ac:dyDescent="0.25">
      <c r="A33412" s="1" t="str">
        <f t="shared" si="1189"/>
        <v>42740</v>
      </c>
      <c r="B33412" s="1" t="str">
        <f>"64020"</f>
        <v>64020</v>
      </c>
      <c r="C33412" s="2">
        <v>4.6711509715994002E-5</v>
      </c>
      <c r="D33412" s="2">
        <v>0</v>
      </c>
      <c r="E33412" s="2">
        <v>0</v>
      </c>
      <c r="F33412" s="2">
        <v>4.1758884202614103E-5</v>
      </c>
    </row>
    <row r="33413" spans="1:6" x14ac:dyDescent="0.25">
      <c r="A33413" s="1" t="str">
        <f t="shared" si="1189"/>
        <v>42740</v>
      </c>
      <c r="B33413" s="1" t="str">
        <f>"65332"</f>
        <v>65332</v>
      </c>
      <c r="C33413" s="2">
        <v>3.6621823617339302E-2</v>
      </c>
      <c r="D33413" s="2">
        <v>8.2805650267900599E-3</v>
      </c>
      <c r="E33413" s="2">
        <v>1.44032921810699E-2</v>
      </c>
      <c r="F33413" s="2">
        <v>3.3741178435712102E-2</v>
      </c>
    </row>
    <row r="33414" spans="1:6" x14ac:dyDescent="0.25">
      <c r="A33414" s="1" t="str">
        <f t="shared" si="1189"/>
        <v>42740</v>
      </c>
      <c r="B33414" s="1" t="str">
        <f>"65348"</f>
        <v>65348</v>
      </c>
      <c r="C33414" s="2">
        <v>5.1382660687593405E-4</v>
      </c>
      <c r="D33414" s="2">
        <v>0</v>
      </c>
      <c r="E33414" s="2">
        <v>0</v>
      </c>
      <c r="F33414" s="2">
        <v>4.5934772622875501E-4</v>
      </c>
    </row>
    <row r="33415" spans="1:6" x14ac:dyDescent="0.25">
      <c r="A33415" s="1" t="str">
        <f t="shared" si="1189"/>
        <v>42740</v>
      </c>
      <c r="B33415" s="1" t="str">
        <f>"65350"</f>
        <v>65350</v>
      </c>
      <c r="C33415" s="2">
        <v>3.2511210762331801E-2</v>
      </c>
      <c r="D33415" s="2">
        <v>3.8967364831953202E-3</v>
      </c>
      <c r="E33415" s="2">
        <v>1.44032921810699E-2</v>
      </c>
      <c r="F33415" s="2">
        <v>2.96905666680586E-2</v>
      </c>
    </row>
    <row r="33416" spans="1:6" x14ac:dyDescent="0.25">
      <c r="A33416" s="1" t="str">
        <f t="shared" si="1189"/>
        <v>42740</v>
      </c>
      <c r="B33416" s="1" t="str">
        <f>"65340"</f>
        <v>65340</v>
      </c>
      <c r="C33416" s="2">
        <v>2.5224215246636701E-3</v>
      </c>
      <c r="D33416" s="2">
        <v>0</v>
      </c>
      <c r="E33416" s="2">
        <v>0</v>
      </c>
      <c r="F33416" s="2">
        <v>2.2549797469411598E-3</v>
      </c>
    </row>
    <row r="33417" spans="1:6" x14ac:dyDescent="0.25">
      <c r="A33417" s="1" t="str">
        <f t="shared" si="1189"/>
        <v>42740</v>
      </c>
      <c r="B33417" s="1" t="str">
        <f>"65334"</f>
        <v>65334</v>
      </c>
      <c r="C33417" s="2">
        <v>1.9338565022421501E-2</v>
      </c>
      <c r="D33417" s="2">
        <v>6.8192888455918099E-3</v>
      </c>
      <c r="E33417" s="2">
        <v>2.05761316872427E-3</v>
      </c>
      <c r="F33417" s="2">
        <v>1.79145613229214E-2</v>
      </c>
    </row>
    <row r="33418" spans="1:6" x14ac:dyDescent="0.25">
      <c r="A33418" s="1" t="str">
        <f t="shared" si="1189"/>
        <v>42740</v>
      </c>
      <c r="B33418" s="1" t="str">
        <f>"65336"</f>
        <v>65336</v>
      </c>
      <c r="C33418" s="2">
        <v>2.14872944693572E-3</v>
      </c>
      <c r="D33418" s="2">
        <v>1.4612761811982401E-3</v>
      </c>
      <c r="E33418" s="2">
        <v>0</v>
      </c>
      <c r="F33418" s="2">
        <v>2.0461853259280899E-3</v>
      </c>
    </row>
    <row r="33419" spans="1:6" x14ac:dyDescent="0.25">
      <c r="A33419" s="1" t="str">
        <f t="shared" si="1189"/>
        <v>42740</v>
      </c>
      <c r="B33419" s="1" t="str">
        <f>"65325"</f>
        <v>65325</v>
      </c>
      <c r="C33419" s="2">
        <v>6.07249626307922E-4</v>
      </c>
      <c r="D33419" s="2">
        <v>9.7418412079883004E-4</v>
      </c>
      <c r="E33419" s="2">
        <v>0</v>
      </c>
      <c r="F33419" s="2">
        <v>6.2638326303921096E-4</v>
      </c>
    </row>
    <row r="33420" spans="1:6" x14ac:dyDescent="0.25">
      <c r="A33420" s="1" t="str">
        <f t="shared" si="1189"/>
        <v>42740</v>
      </c>
      <c r="B33420" s="1" t="str">
        <f>"65337"</f>
        <v>65337</v>
      </c>
      <c r="C33420" s="2">
        <v>4.1573243647234602E-2</v>
      </c>
      <c r="D33420" s="2">
        <v>1.7048222113979501E-2</v>
      </c>
      <c r="E33420" s="2">
        <v>7.4074074074074001E-2</v>
      </c>
      <c r="F33420" s="2">
        <v>4.0130287718712097E-2</v>
      </c>
    </row>
    <row r="33421" spans="1:6" x14ac:dyDescent="0.25">
      <c r="A33421" s="1" t="str">
        <f t="shared" si="1189"/>
        <v>42740</v>
      </c>
      <c r="B33421" s="1" t="str">
        <f>"65333"</f>
        <v>65333</v>
      </c>
      <c r="C33421" s="2">
        <v>1.39200298953662E-2</v>
      </c>
      <c r="D33421" s="2">
        <v>2.9225523623964901E-3</v>
      </c>
      <c r="E33421" s="2">
        <v>2.05761316872427E-3</v>
      </c>
      <c r="F33421" s="2">
        <v>1.2736459681797299E-2</v>
      </c>
    </row>
    <row r="33422" spans="1:6" x14ac:dyDescent="0.25">
      <c r="A33422" s="1" t="str">
        <f t="shared" si="1189"/>
        <v>42740</v>
      </c>
      <c r="B33422" s="1" t="str">
        <f>"65345"</f>
        <v>65345</v>
      </c>
      <c r="C33422" s="2">
        <v>5.0448430493273497E-3</v>
      </c>
      <c r="D33422" s="2">
        <v>9.7418412079883004E-4</v>
      </c>
      <c r="E33422" s="2">
        <v>0</v>
      </c>
      <c r="F33422" s="2">
        <v>4.5934772622875496E-3</v>
      </c>
    </row>
    <row r="33423" spans="1:6" x14ac:dyDescent="0.25">
      <c r="A33423" s="1" t="str">
        <f t="shared" ref="A33423:A33442" si="1190">"42780"</f>
        <v>42780</v>
      </c>
      <c r="B33423" s="1" t="str">
        <f>"17870"</f>
        <v>17870</v>
      </c>
      <c r="C33423" s="2">
        <v>0.36360153256704902</v>
      </c>
      <c r="D33423" s="2">
        <v>0.528912875867386</v>
      </c>
      <c r="E33423" s="2">
        <v>0.54901960784313697</v>
      </c>
      <c r="F33423" s="2">
        <v>0.37980824766085203</v>
      </c>
    </row>
    <row r="33424" spans="1:6" x14ac:dyDescent="0.25">
      <c r="A33424" s="1" t="str">
        <f t="shared" si="1190"/>
        <v>42780</v>
      </c>
      <c r="B33424" s="1" t="str">
        <f>"17831"</f>
        <v>17831</v>
      </c>
      <c r="C33424" s="2">
        <v>6.3856960408684499E-5</v>
      </c>
      <c r="D33424" s="2">
        <v>7.7101002313030001E-4</v>
      </c>
      <c r="E33424" s="2">
        <v>0</v>
      </c>
      <c r="F33424" s="2">
        <v>1.1551345731777699E-4</v>
      </c>
    </row>
    <row r="33425" spans="1:6" x14ac:dyDescent="0.25">
      <c r="A33425" s="1" t="str">
        <f t="shared" si="1190"/>
        <v>42780</v>
      </c>
      <c r="B33425" s="1" t="str">
        <f>"17844"</f>
        <v>17844</v>
      </c>
      <c r="C33425" s="2">
        <v>1.27713920817369E-4</v>
      </c>
      <c r="D33425" s="2">
        <v>7.7101002313030001E-4</v>
      </c>
      <c r="E33425" s="2">
        <v>0</v>
      </c>
      <c r="F33425" s="2">
        <v>1.7327018597666601E-4</v>
      </c>
    </row>
    <row r="33426" spans="1:6" x14ac:dyDescent="0.25">
      <c r="A33426" s="1" t="str">
        <f t="shared" si="1190"/>
        <v>42780</v>
      </c>
      <c r="B33426" s="1" t="str">
        <f>"17843"</f>
        <v>17843</v>
      </c>
      <c r="C33426" s="2">
        <v>0</v>
      </c>
      <c r="D33426" s="2">
        <v>0</v>
      </c>
      <c r="E33426" s="2">
        <v>2.80112044817927E-3</v>
      </c>
      <c r="F33426" s="2">
        <v>5.77567286588887E-5</v>
      </c>
    </row>
    <row r="33427" spans="1:6" x14ac:dyDescent="0.25">
      <c r="A33427" s="1" t="str">
        <f t="shared" si="1190"/>
        <v>42780</v>
      </c>
      <c r="B33427" s="1" t="str">
        <f>"17853"</f>
        <v>17853</v>
      </c>
      <c r="C33427" s="2">
        <v>7.1136653895274501E-2</v>
      </c>
      <c r="D33427" s="2">
        <v>6.4764841942945198E-2</v>
      </c>
      <c r="E33427" s="2">
        <v>5.0420168067226802E-2</v>
      </c>
      <c r="F33427" s="2">
        <v>7.0232182049208697E-2</v>
      </c>
    </row>
    <row r="33428" spans="1:6" x14ac:dyDescent="0.25">
      <c r="A33428" s="1" t="str">
        <f t="shared" si="1190"/>
        <v>42780</v>
      </c>
      <c r="B33428" s="1" t="str">
        <f>"17861"</f>
        <v>17861</v>
      </c>
      <c r="C33428" s="2">
        <v>4.4699872286079102E-4</v>
      </c>
      <c r="D33428" s="2">
        <v>7.7101002313030001E-4</v>
      </c>
      <c r="E33428" s="2">
        <v>0</v>
      </c>
      <c r="F33428" s="2">
        <v>4.6205382927110998E-4</v>
      </c>
    </row>
    <row r="33429" spans="1:6" x14ac:dyDescent="0.25">
      <c r="A33429" s="1" t="str">
        <f t="shared" si="1190"/>
        <v>42780</v>
      </c>
      <c r="B33429" s="1" t="str">
        <f>"17889"</f>
        <v>17889</v>
      </c>
      <c r="C33429" s="2">
        <v>3.4610472541507002E-2</v>
      </c>
      <c r="D33429" s="2">
        <v>9.2521202775635997E-3</v>
      </c>
      <c r="E33429" s="2">
        <v>1.1204481792717E-2</v>
      </c>
      <c r="F33429" s="2">
        <v>3.2228254591659899E-2</v>
      </c>
    </row>
    <row r="33430" spans="1:6" x14ac:dyDescent="0.25">
      <c r="A33430" s="1" t="str">
        <f t="shared" si="1190"/>
        <v>42780</v>
      </c>
      <c r="B33430" s="1" t="str">
        <f>"17813"</f>
        <v>17813</v>
      </c>
      <c r="C33430" s="2">
        <v>5.2426564495530001E-2</v>
      </c>
      <c r="D33430" s="2">
        <v>3.4695451040863502E-2</v>
      </c>
      <c r="E33430" s="2">
        <v>2.2408963585434101E-2</v>
      </c>
      <c r="F33430" s="2">
        <v>5.0479380847868703E-2</v>
      </c>
    </row>
    <row r="33431" spans="1:6" x14ac:dyDescent="0.25">
      <c r="A33431" s="1" t="str">
        <f t="shared" si="1190"/>
        <v>42780</v>
      </c>
      <c r="B33431" s="1" t="str">
        <f>"17063"</f>
        <v>17063</v>
      </c>
      <c r="C33431" s="2">
        <v>7.6628352490421404E-4</v>
      </c>
      <c r="D33431" s="2">
        <v>0</v>
      </c>
      <c r="E33431" s="2">
        <v>0</v>
      </c>
      <c r="F33431" s="2">
        <v>6.93080743906665E-4</v>
      </c>
    </row>
    <row r="33432" spans="1:6" x14ac:dyDescent="0.25">
      <c r="A33432" s="1" t="str">
        <f t="shared" si="1190"/>
        <v>42780</v>
      </c>
      <c r="B33432" s="1" t="str">
        <f>"17841"</f>
        <v>17841</v>
      </c>
      <c r="C33432" s="2">
        <v>5.0702426564495501E-2</v>
      </c>
      <c r="D33432" s="2">
        <v>1.5420200462606001E-2</v>
      </c>
      <c r="E33432" s="2">
        <v>1.1204481792717E-2</v>
      </c>
      <c r="F33432" s="2">
        <v>4.7245004042971002E-2</v>
      </c>
    </row>
    <row r="33433" spans="1:6" x14ac:dyDescent="0.25">
      <c r="A33433" s="1" t="str">
        <f t="shared" si="1190"/>
        <v>42780</v>
      </c>
      <c r="B33433" s="1" t="str">
        <f>"17086"</f>
        <v>17086</v>
      </c>
      <c r="C33433" s="2">
        <v>2.2413793103448199E-2</v>
      </c>
      <c r="D33433" s="2">
        <v>1.5420200462606001E-2</v>
      </c>
      <c r="E33433" s="2">
        <v>0</v>
      </c>
      <c r="F33433" s="2">
        <v>2.1427746332447699E-2</v>
      </c>
    </row>
    <row r="33434" spans="1:6" x14ac:dyDescent="0.25">
      <c r="A33434" s="1" t="str">
        <f t="shared" si="1190"/>
        <v>42780</v>
      </c>
      <c r="B33434" s="1" t="str">
        <f>"17833"</f>
        <v>17833</v>
      </c>
      <c r="C33434" s="2">
        <v>0</v>
      </c>
      <c r="D33434" s="2">
        <v>2.3130300693908999E-3</v>
      </c>
      <c r="E33434" s="2">
        <v>0</v>
      </c>
      <c r="F33434" s="2">
        <v>1.7327018597666601E-4</v>
      </c>
    </row>
    <row r="33435" spans="1:6" x14ac:dyDescent="0.25">
      <c r="A33435" s="1" t="str">
        <f t="shared" si="1190"/>
        <v>42780</v>
      </c>
      <c r="B33435" s="1" t="str">
        <f>"17045"</f>
        <v>17045</v>
      </c>
      <c r="C33435" s="2">
        <v>5.8109833971902898E-3</v>
      </c>
      <c r="D33435" s="2">
        <v>3.8550501156515002E-3</v>
      </c>
      <c r="E33435" s="2">
        <v>0</v>
      </c>
      <c r="F33435" s="2">
        <v>5.54464595125332E-3</v>
      </c>
    </row>
    <row r="33436" spans="1:6" x14ac:dyDescent="0.25">
      <c r="A33436" s="1" t="str">
        <f t="shared" si="1190"/>
        <v>42780</v>
      </c>
      <c r="B33436" s="1" t="str">
        <f>"17862"</f>
        <v>17862</v>
      </c>
      <c r="C33436" s="2">
        <v>5.7471264367816004E-4</v>
      </c>
      <c r="D33436" s="2">
        <v>7.7101002313030001E-4</v>
      </c>
      <c r="E33436" s="2">
        <v>0</v>
      </c>
      <c r="F33436" s="2">
        <v>5.7756728658888703E-4</v>
      </c>
    </row>
    <row r="33437" spans="1:6" x14ac:dyDescent="0.25">
      <c r="A33437" s="1" t="str">
        <f t="shared" si="1190"/>
        <v>42780</v>
      </c>
      <c r="B33437" s="1" t="str">
        <f>"17876"</f>
        <v>17876</v>
      </c>
      <c r="C33437" s="2">
        <v>5.3065134099616801E-2</v>
      </c>
      <c r="D33437" s="2">
        <v>6.1680801850424002E-2</v>
      </c>
      <c r="E33437" s="2">
        <v>5.6022408963585402E-2</v>
      </c>
      <c r="F33437" s="2">
        <v>5.3771514381425398E-2</v>
      </c>
    </row>
    <row r="33438" spans="1:6" x14ac:dyDescent="0.25">
      <c r="A33438" s="1" t="str">
        <f t="shared" si="1190"/>
        <v>42780</v>
      </c>
      <c r="B33438" s="1" t="str">
        <f>"17864"</f>
        <v>17864</v>
      </c>
      <c r="C33438" s="2">
        <v>5.4022988505747098E-2</v>
      </c>
      <c r="D33438" s="2">
        <v>3.8550501156515003E-2</v>
      </c>
      <c r="E33438" s="2">
        <v>3.3613445378151197E-2</v>
      </c>
      <c r="F33438" s="2">
        <v>5.2443109622270903E-2</v>
      </c>
    </row>
    <row r="33439" spans="1:6" x14ac:dyDescent="0.25">
      <c r="A33439" s="1" t="str">
        <f t="shared" si="1190"/>
        <v>42780</v>
      </c>
      <c r="B33439" s="1" t="str">
        <f>"17882"</f>
        <v>17882</v>
      </c>
      <c r="C33439" s="2">
        <v>0</v>
      </c>
      <c r="D33439" s="2">
        <v>7.7101002313030001E-4</v>
      </c>
      <c r="E33439" s="2">
        <v>0</v>
      </c>
      <c r="F33439" s="2">
        <v>5.77567286588887E-5</v>
      </c>
    </row>
    <row r="33440" spans="1:6" x14ac:dyDescent="0.25">
      <c r="A33440" s="1" t="str">
        <f t="shared" si="1190"/>
        <v>42780</v>
      </c>
      <c r="B33440" s="1" t="str">
        <f>"17812"</f>
        <v>17812</v>
      </c>
      <c r="C33440" s="2">
        <v>4.1698595146870999E-2</v>
      </c>
      <c r="D33440" s="2">
        <v>3.2382420971472599E-2</v>
      </c>
      <c r="E33440" s="2">
        <v>2.2408963585434101E-2</v>
      </c>
      <c r="F33440" s="2">
        <v>4.0602980247198703E-2</v>
      </c>
    </row>
    <row r="33441" spans="1:6" x14ac:dyDescent="0.25">
      <c r="A33441" s="1" t="str">
        <f t="shared" si="1190"/>
        <v>42780</v>
      </c>
      <c r="B33441" s="1" t="str">
        <f>"17827"</f>
        <v>17827</v>
      </c>
      <c r="C33441" s="2">
        <v>1.3920817369093201E-2</v>
      </c>
      <c r="D33441" s="2">
        <v>1.5420200462606E-3</v>
      </c>
      <c r="E33441" s="2">
        <v>2.80112044817927E-3</v>
      </c>
      <c r="F33441" s="2">
        <v>1.2764237033614401E-2</v>
      </c>
    </row>
    <row r="33442" spans="1:6" x14ac:dyDescent="0.25">
      <c r="A33442" s="1" t="str">
        <f t="shared" si="1190"/>
        <v>42780</v>
      </c>
      <c r="B33442" s="1" t="str">
        <f>"17842"</f>
        <v>17842</v>
      </c>
      <c r="C33442" s="2">
        <v>0.23461047254150699</v>
      </c>
      <c r="D33442" s="2">
        <v>0.18735543562066301</v>
      </c>
      <c r="E33442" s="2">
        <v>0.238095238095238</v>
      </c>
      <c r="F33442" s="2">
        <v>0.231142428092872</v>
      </c>
    </row>
    <row r="33443" spans="1:6" x14ac:dyDescent="0.25">
      <c r="A33443" s="1" t="str">
        <f t="shared" ref="A33443:A33452" si="1191">"42820"</f>
        <v>42820</v>
      </c>
      <c r="B33443" s="1" t="str">
        <f>"36767"</f>
        <v>36767</v>
      </c>
      <c r="C33443" s="2">
        <v>3.8991014755584801E-2</v>
      </c>
      <c r="D33443" s="2">
        <v>6.8088969586926904E-3</v>
      </c>
      <c r="E33443" s="2">
        <v>1.5743440233236101E-2</v>
      </c>
      <c r="F33443" s="2">
        <v>3.5060326472675603E-2</v>
      </c>
    </row>
    <row r="33444" spans="1:6" x14ac:dyDescent="0.25">
      <c r="A33444" s="1" t="str">
        <f t="shared" si="1191"/>
        <v>42820</v>
      </c>
      <c r="B33444" s="1" t="str">
        <f>"36773"</f>
        <v>36773</v>
      </c>
      <c r="C33444" s="2">
        <v>8.5730772401285908E-3</v>
      </c>
      <c r="D33444" s="2">
        <v>1.81570585565138E-3</v>
      </c>
      <c r="E33444" s="2">
        <v>2.3323615160349802E-3</v>
      </c>
      <c r="F33444" s="2">
        <v>7.6650106458481101E-3</v>
      </c>
    </row>
    <row r="33445" spans="1:6" x14ac:dyDescent="0.25">
      <c r="A33445" s="1" t="str">
        <f t="shared" si="1191"/>
        <v>42820</v>
      </c>
      <c r="B33445" s="1" t="str">
        <f>"36703"</f>
        <v>36703</v>
      </c>
      <c r="C33445" s="2">
        <v>0.28880553952683202</v>
      </c>
      <c r="D33445" s="2">
        <v>0.34679981842941399</v>
      </c>
      <c r="E33445" s="2">
        <v>0.33177842565597598</v>
      </c>
      <c r="F33445" s="2">
        <v>0.29595457771469103</v>
      </c>
    </row>
    <row r="33446" spans="1:6" x14ac:dyDescent="0.25">
      <c r="A33446" s="1" t="str">
        <f t="shared" si="1191"/>
        <v>42820</v>
      </c>
      <c r="B33446" s="1" t="str">
        <f>"36701"</f>
        <v>36701</v>
      </c>
      <c r="C33446" s="2">
        <v>0.55271618168328995</v>
      </c>
      <c r="D33446" s="2">
        <v>0.60099863822060795</v>
      </c>
      <c r="E33446" s="2">
        <v>0.63673469387755099</v>
      </c>
      <c r="F33446" s="2">
        <v>0.56160397444996402</v>
      </c>
    </row>
    <row r="33447" spans="1:6" x14ac:dyDescent="0.25">
      <c r="A33447" s="1" t="str">
        <f t="shared" si="1191"/>
        <v>42820</v>
      </c>
      <c r="B33447" s="1" t="str">
        <f>"36785"</f>
        <v>36785</v>
      </c>
      <c r="C33447" s="2">
        <v>6.6358915175995297E-3</v>
      </c>
      <c r="D33447" s="2">
        <v>2.2696323195642298E-3</v>
      </c>
      <c r="E33447" s="2">
        <v>0</v>
      </c>
      <c r="F33447" s="2">
        <v>5.89070262597586E-3</v>
      </c>
    </row>
    <row r="33448" spans="1:6" x14ac:dyDescent="0.25">
      <c r="A33448" s="1" t="str">
        <f t="shared" si="1191"/>
        <v>42820</v>
      </c>
      <c r="B33448" s="1" t="str">
        <f>"36775"</f>
        <v>36775</v>
      </c>
      <c r="C33448" s="2">
        <v>1.9413073942791102E-2</v>
      </c>
      <c r="D33448" s="2">
        <v>7.2628234226055303E-3</v>
      </c>
      <c r="E33448" s="2">
        <v>2.91545189504373E-3</v>
      </c>
      <c r="F33448" s="2">
        <v>1.7459190915542901E-2</v>
      </c>
    </row>
    <row r="33449" spans="1:6" x14ac:dyDescent="0.25">
      <c r="A33449" s="1" t="str">
        <f t="shared" si="1191"/>
        <v>42820</v>
      </c>
      <c r="B33449" s="1" t="str">
        <f>"36758"</f>
        <v>36758</v>
      </c>
      <c r="C33449" s="2">
        <v>1.7311021350259598E-2</v>
      </c>
      <c r="D33449" s="2">
        <v>5.9010440308669898E-3</v>
      </c>
      <c r="E33449" s="2">
        <v>5.8309037900874602E-4</v>
      </c>
      <c r="F33449" s="2">
        <v>1.5400993612491099E-2</v>
      </c>
    </row>
    <row r="33450" spans="1:6" x14ac:dyDescent="0.25">
      <c r="A33450" s="1" t="str">
        <f t="shared" si="1191"/>
        <v>42820</v>
      </c>
      <c r="B33450" s="1" t="str">
        <f>"36759"</f>
        <v>36759</v>
      </c>
      <c r="C33450" s="2">
        <v>4.0680900173110199E-2</v>
      </c>
      <c r="D33450" s="2">
        <v>1.3617793917385299E-2</v>
      </c>
      <c r="E33450" s="2">
        <v>1.7492711370262299E-3</v>
      </c>
      <c r="F33450" s="2">
        <v>3.6195883605393803E-2</v>
      </c>
    </row>
    <row r="33451" spans="1:6" x14ac:dyDescent="0.25">
      <c r="A33451" s="1" t="str">
        <f t="shared" si="1191"/>
        <v>42820</v>
      </c>
      <c r="B33451" s="1" t="str">
        <f>"36761"</f>
        <v>36761</v>
      </c>
      <c r="C33451" s="2">
        <v>1.5992086390239801E-2</v>
      </c>
      <c r="D33451" s="2">
        <v>1.18020880617339E-2</v>
      </c>
      <c r="E33451" s="2">
        <v>1.7492711370262299E-3</v>
      </c>
      <c r="F33451" s="2">
        <v>1.4797728885734499E-2</v>
      </c>
    </row>
    <row r="33452" spans="1:6" x14ac:dyDescent="0.25">
      <c r="A33452" s="1" t="str">
        <f t="shared" si="1191"/>
        <v>42820</v>
      </c>
      <c r="B33452" s="1" t="str">
        <f>"36749"</f>
        <v>36749</v>
      </c>
      <c r="C33452" s="2">
        <v>1.08812134201632E-2</v>
      </c>
      <c r="D33452" s="2">
        <v>2.7235587834770702E-3</v>
      </c>
      <c r="E33452" s="2">
        <v>6.4139941690961998E-3</v>
      </c>
      <c r="F33452" s="2">
        <v>9.9716110716820405E-3</v>
      </c>
    </row>
    <row r="33453" spans="1:6" x14ac:dyDescent="0.25">
      <c r="A33453" s="1" t="str">
        <f t="shared" ref="A33453:A33466" si="1192">"42860"</f>
        <v>42860</v>
      </c>
      <c r="B33453" s="1" t="str">
        <f>"29676"</f>
        <v>29676</v>
      </c>
      <c r="C33453" s="2">
        <v>7.9068804966373502E-2</v>
      </c>
      <c r="D33453" s="2">
        <v>3.3418295100538002E-2</v>
      </c>
      <c r="E33453" s="2">
        <v>0.14920071047957301</v>
      </c>
      <c r="F33453" s="2">
        <v>7.6746981056487099E-2</v>
      </c>
    </row>
    <row r="33454" spans="1:6" x14ac:dyDescent="0.25">
      <c r="A33454" s="1" t="str">
        <f t="shared" si="1192"/>
        <v>42860</v>
      </c>
      <c r="B33454" s="1" t="str">
        <f>"29691"</f>
        <v>29691</v>
      </c>
      <c r="C33454" s="2">
        <v>0.13239524055871699</v>
      </c>
      <c r="D33454" s="2">
        <v>0.15406400453129401</v>
      </c>
      <c r="E33454" s="2">
        <v>0.11190053285968</v>
      </c>
      <c r="F33454" s="2">
        <v>0.13363475075831199</v>
      </c>
    </row>
    <row r="33455" spans="1:6" x14ac:dyDescent="0.25">
      <c r="A33455" s="1" t="str">
        <f t="shared" si="1192"/>
        <v>42860</v>
      </c>
      <c r="B33455" s="1" t="str">
        <f>"29675"</f>
        <v>29675</v>
      </c>
      <c r="C33455" s="2">
        <v>0</v>
      </c>
      <c r="D33455" s="2">
        <v>2.8320589068252602E-4</v>
      </c>
      <c r="E33455" s="2">
        <v>0</v>
      </c>
      <c r="F33455" s="2">
        <v>1.9077052213891899E-5</v>
      </c>
    </row>
    <row r="33456" spans="1:6" x14ac:dyDescent="0.25">
      <c r="A33456" s="1" t="str">
        <f t="shared" si="1192"/>
        <v>42860</v>
      </c>
      <c r="B33456" s="1" t="str">
        <f>"29643"</f>
        <v>29643</v>
      </c>
      <c r="C33456" s="2">
        <v>3.0646663217796102E-2</v>
      </c>
      <c r="D33456" s="2">
        <v>1.7841971112999101E-2</v>
      </c>
      <c r="E33456" s="2">
        <v>7.1047957371225502E-3</v>
      </c>
      <c r="F33456" s="2">
        <v>2.9531276827104599E-2</v>
      </c>
    </row>
    <row r="33457" spans="1:6" x14ac:dyDescent="0.25">
      <c r="A33457" s="1" t="str">
        <f t="shared" si="1192"/>
        <v>42860</v>
      </c>
      <c r="B33457" s="1" t="str">
        <f>"29678"</f>
        <v>29678</v>
      </c>
      <c r="C33457" s="2">
        <v>0.26832902224521399</v>
      </c>
      <c r="D33457" s="2">
        <v>0.36930048145001398</v>
      </c>
      <c r="E33457" s="2">
        <v>0.46181172291296602</v>
      </c>
      <c r="F33457" s="2">
        <v>0.27720864572006298</v>
      </c>
    </row>
    <row r="33458" spans="1:6" x14ac:dyDescent="0.25">
      <c r="A33458" s="1" t="str">
        <f t="shared" si="1192"/>
        <v>42860</v>
      </c>
      <c r="B33458" s="1" t="str">
        <f>"29658"</f>
        <v>29658</v>
      </c>
      <c r="C33458" s="2">
        <v>3.9524055871701996E-3</v>
      </c>
      <c r="D33458" s="2">
        <v>7.3633531577456798E-3</v>
      </c>
      <c r="E33458" s="2">
        <v>0</v>
      </c>
      <c r="F33458" s="2">
        <v>4.1397203304145399E-3</v>
      </c>
    </row>
    <row r="33459" spans="1:6" x14ac:dyDescent="0.25">
      <c r="A33459" s="1" t="str">
        <f t="shared" si="1192"/>
        <v>42860</v>
      </c>
      <c r="B33459" s="1" t="str">
        <f>"29686"</f>
        <v>29686</v>
      </c>
      <c r="C33459" s="2">
        <v>1.34299017071908E-2</v>
      </c>
      <c r="D33459" s="2">
        <v>6.5137354856981003E-3</v>
      </c>
      <c r="E33459" s="2">
        <v>5.6838365896980401E-2</v>
      </c>
      <c r="F33459" s="2">
        <v>1.3430244758579899E-2</v>
      </c>
    </row>
    <row r="33460" spans="1:6" x14ac:dyDescent="0.25">
      <c r="A33460" s="1" t="str">
        <f t="shared" si="1192"/>
        <v>42860</v>
      </c>
      <c r="B33460" s="1" t="str">
        <f>"29696"</f>
        <v>29696</v>
      </c>
      <c r="C33460" s="2">
        <v>7.4806001034661104E-2</v>
      </c>
      <c r="D33460" s="2">
        <v>6.2022090059473199E-2</v>
      </c>
      <c r="E33460" s="2">
        <v>1.9538188277087001E-2</v>
      </c>
      <c r="F33460" s="2">
        <v>7.3351265762414297E-2</v>
      </c>
    </row>
    <row r="33461" spans="1:6" x14ac:dyDescent="0.25">
      <c r="A33461" s="1" t="str">
        <f t="shared" si="1192"/>
        <v>42860</v>
      </c>
      <c r="B33461" s="1" t="str">
        <f>"29665"</f>
        <v>29665</v>
      </c>
      <c r="C33461" s="2">
        <v>6.2079668908432401E-5</v>
      </c>
      <c r="D33461" s="2">
        <v>2.8320589068252602E-4</v>
      </c>
      <c r="E33461" s="2">
        <v>0</v>
      </c>
      <c r="F33461" s="2">
        <v>7.6308208855567595E-5</v>
      </c>
    </row>
    <row r="33462" spans="1:6" x14ac:dyDescent="0.25">
      <c r="A33462" s="1" t="str">
        <f t="shared" si="1192"/>
        <v>42860</v>
      </c>
      <c r="B33462" s="1" t="str">
        <f>"29693"</f>
        <v>29693</v>
      </c>
      <c r="C33462" s="2">
        <v>0.19776513191929601</v>
      </c>
      <c r="D33462" s="2">
        <v>0.15038232795242101</v>
      </c>
      <c r="E33462" s="2">
        <v>7.2824156305506205E-2</v>
      </c>
      <c r="F33462" s="2">
        <v>0.19323146187451101</v>
      </c>
    </row>
    <row r="33463" spans="1:6" x14ac:dyDescent="0.25">
      <c r="A33463" s="1" t="str">
        <f t="shared" si="1192"/>
        <v>42860</v>
      </c>
      <c r="B33463" s="1" t="str">
        <f>"29689"</f>
        <v>29689</v>
      </c>
      <c r="C33463" s="2">
        <v>5.9389549922400399E-3</v>
      </c>
      <c r="D33463" s="2">
        <v>1.9824412347776801E-3</v>
      </c>
      <c r="E33463" s="2">
        <v>0</v>
      </c>
      <c r="F33463" s="2">
        <v>5.60865335088422E-3</v>
      </c>
    </row>
    <row r="33464" spans="1:6" x14ac:dyDescent="0.25">
      <c r="A33464" s="1" t="str">
        <f t="shared" si="1192"/>
        <v>42860</v>
      </c>
      <c r="B33464" s="1" t="str">
        <f>"29664"</f>
        <v>29664</v>
      </c>
      <c r="C33464" s="2">
        <v>2.2886704604242102E-2</v>
      </c>
      <c r="D33464" s="2">
        <v>1.04786179552534E-2</v>
      </c>
      <c r="E33464" s="2">
        <v>5.3285968028419098E-3</v>
      </c>
      <c r="F33464" s="2">
        <v>2.18623018371201E-2</v>
      </c>
    </row>
    <row r="33465" spans="1:6" x14ac:dyDescent="0.25">
      <c r="A33465" s="1" t="str">
        <f t="shared" si="1192"/>
        <v>42860</v>
      </c>
      <c r="B33465" s="1" t="str">
        <f>"29679"</f>
        <v>29679</v>
      </c>
      <c r="C33465" s="2">
        <v>2.0569063631660601E-2</v>
      </c>
      <c r="D33465" s="2">
        <v>9.4873973378646198E-2</v>
      </c>
      <c r="E33465" s="2">
        <v>3.5523978685612699E-3</v>
      </c>
      <c r="F33465" s="2">
        <v>2.5391556496690101E-2</v>
      </c>
    </row>
    <row r="33466" spans="1:6" x14ac:dyDescent="0.25">
      <c r="A33466" s="1" t="str">
        <f t="shared" si="1192"/>
        <v>42860</v>
      </c>
      <c r="B33466" s="1" t="str">
        <f>"29672"</f>
        <v>29672</v>
      </c>
      <c r="C33466" s="2">
        <v>0.15015002586652801</v>
      </c>
      <c r="D33466" s="2">
        <v>9.1192296799773406E-2</v>
      </c>
      <c r="E33466" s="2">
        <v>0.11190053285968</v>
      </c>
      <c r="F33466" s="2">
        <v>0.145767755966348</v>
      </c>
    </row>
    <row r="33467" spans="1:6" x14ac:dyDescent="0.25">
      <c r="A33467" s="1" t="str">
        <f t="shared" ref="A33467:A33481" si="1193">"42900"</f>
        <v>42900</v>
      </c>
      <c r="B33467" s="1" t="str">
        <f>"14886"</f>
        <v>14886</v>
      </c>
      <c r="C33467" s="2">
        <v>2.22705746832202E-2</v>
      </c>
      <c r="D33467" s="2">
        <v>7.9575596816976093E-3</v>
      </c>
      <c r="E33467" s="2">
        <v>3.7878787878787802E-3</v>
      </c>
      <c r="F33467" s="2">
        <v>2.07694532831935E-2</v>
      </c>
    </row>
    <row r="33468" spans="1:6" x14ac:dyDescent="0.25">
      <c r="A33468" s="1" t="str">
        <f t="shared" si="1193"/>
        <v>42900</v>
      </c>
      <c r="B33468" s="1" t="str">
        <f>"13065"</f>
        <v>13065</v>
      </c>
      <c r="C33468" s="2">
        <v>4.6077051068731598E-3</v>
      </c>
      <c r="D33468" s="2">
        <v>0</v>
      </c>
      <c r="E33468" s="2">
        <v>1.8939393939393901E-3</v>
      </c>
      <c r="F33468" s="2">
        <v>4.2233150130170597E-3</v>
      </c>
    </row>
    <row r="33469" spans="1:6" x14ac:dyDescent="0.25">
      <c r="A33469" s="1" t="str">
        <f t="shared" si="1193"/>
        <v>42900</v>
      </c>
      <c r="B33469" s="1" t="str">
        <f>"14489"</f>
        <v>14489</v>
      </c>
      <c r="C33469" s="2">
        <v>2.1758607449123201E-3</v>
      </c>
      <c r="D33469" s="2">
        <v>0</v>
      </c>
      <c r="E33469" s="2">
        <v>0</v>
      </c>
      <c r="F33469" s="2">
        <v>1.9670234307202698E-3</v>
      </c>
    </row>
    <row r="33470" spans="1:6" x14ac:dyDescent="0.25">
      <c r="A33470" s="1" t="str">
        <f t="shared" si="1193"/>
        <v>42900</v>
      </c>
      <c r="B33470" s="1" t="str">
        <f>"14860"</f>
        <v>14860</v>
      </c>
      <c r="C33470" s="2">
        <v>3.6541661333674598E-2</v>
      </c>
      <c r="D33470" s="2">
        <v>1.4146772767462399E-2</v>
      </c>
      <c r="E33470" s="2">
        <v>1.7045454545454499E-2</v>
      </c>
      <c r="F33470" s="2">
        <v>3.4480763667920099E-2</v>
      </c>
    </row>
    <row r="33471" spans="1:6" x14ac:dyDescent="0.25">
      <c r="A33471" s="1" t="str">
        <f t="shared" si="1193"/>
        <v>42900</v>
      </c>
      <c r="B33471" s="1" t="str">
        <f>"14456"</f>
        <v>14456</v>
      </c>
      <c r="C33471" s="2">
        <v>4.2045309100217497E-2</v>
      </c>
      <c r="D33471" s="2">
        <v>4.68611847922192E-2</v>
      </c>
      <c r="E33471" s="2">
        <v>1.51515151515151E-2</v>
      </c>
      <c r="F33471" s="2">
        <v>4.1538906566387E-2</v>
      </c>
    </row>
    <row r="33472" spans="1:6" x14ac:dyDescent="0.25">
      <c r="A33472" s="1" t="str">
        <f t="shared" si="1193"/>
        <v>42900</v>
      </c>
      <c r="B33472" s="1" t="str">
        <f>"13148"</f>
        <v>13148</v>
      </c>
      <c r="C33472" s="2">
        <v>0.334890567003711</v>
      </c>
      <c r="D33472" s="2">
        <v>0.34394341290892999</v>
      </c>
      <c r="E33472" s="2">
        <v>0.41287878787878701</v>
      </c>
      <c r="F33472" s="2">
        <v>0.33786520104136503</v>
      </c>
    </row>
    <row r="33473" spans="1:6" x14ac:dyDescent="0.25">
      <c r="A33473" s="1" t="str">
        <f t="shared" si="1193"/>
        <v>42900</v>
      </c>
      <c r="B33473" s="1" t="str">
        <f>"14847"</f>
        <v>14847</v>
      </c>
      <c r="C33473" s="2">
        <v>6.9051580698835199E-2</v>
      </c>
      <c r="D33473" s="2">
        <v>1.8567639257294401E-2</v>
      </c>
      <c r="E33473" s="2">
        <v>3.9772727272727203E-2</v>
      </c>
      <c r="F33473" s="2">
        <v>6.4853919583453795E-2</v>
      </c>
    </row>
    <row r="33474" spans="1:6" x14ac:dyDescent="0.25">
      <c r="A33474" s="1" t="str">
        <f t="shared" si="1193"/>
        <v>42900</v>
      </c>
      <c r="B33474" s="1" t="str">
        <f>"14521"</f>
        <v>14521</v>
      </c>
      <c r="C33474" s="2">
        <v>8.3898630487648701E-2</v>
      </c>
      <c r="D33474" s="2">
        <v>5.8355437665782398E-2</v>
      </c>
      <c r="E33474" s="2">
        <v>7.7651515151515096E-2</v>
      </c>
      <c r="F33474" s="2">
        <v>8.2036447787098593E-2</v>
      </c>
    </row>
    <row r="33475" spans="1:6" x14ac:dyDescent="0.25">
      <c r="A33475" s="1" t="str">
        <f t="shared" si="1193"/>
        <v>42900</v>
      </c>
      <c r="B33475" s="1" t="str">
        <f>"14532"</f>
        <v>14532</v>
      </c>
      <c r="C33475" s="2">
        <v>5.8876231921156999E-3</v>
      </c>
      <c r="D33475" s="2">
        <v>5.3050397877984004E-3</v>
      </c>
      <c r="E33475" s="2">
        <v>0</v>
      </c>
      <c r="F33475" s="2">
        <v>5.6696557708996202E-3</v>
      </c>
    </row>
    <row r="33476" spans="1:6" x14ac:dyDescent="0.25">
      <c r="A33476" s="1" t="str">
        <f t="shared" si="1193"/>
        <v>42900</v>
      </c>
      <c r="B33476" s="1" t="str">
        <f>"14841"</f>
        <v>14841</v>
      </c>
      <c r="C33476" s="2">
        <v>2.68782797900934E-3</v>
      </c>
      <c r="D33476" s="2">
        <v>2.6525198938992002E-3</v>
      </c>
      <c r="E33476" s="2">
        <v>0</v>
      </c>
      <c r="F33476" s="2">
        <v>2.6034133641886E-3</v>
      </c>
    </row>
    <row r="33477" spans="1:6" x14ac:dyDescent="0.25">
      <c r="A33477" s="1" t="str">
        <f t="shared" si="1193"/>
        <v>42900</v>
      </c>
      <c r="B33477" s="1" t="str">
        <f>"14433"</f>
        <v>14433</v>
      </c>
      <c r="C33477" s="2">
        <v>7.42352489440675E-3</v>
      </c>
      <c r="D33477" s="2">
        <v>4.4208664898320003E-3</v>
      </c>
      <c r="E33477" s="2">
        <v>1.8939393939393901E-3</v>
      </c>
      <c r="F33477" s="2">
        <v>7.0581428984668702E-3</v>
      </c>
    </row>
    <row r="33478" spans="1:6" x14ac:dyDescent="0.25">
      <c r="A33478" s="1" t="str">
        <f t="shared" si="1193"/>
        <v>42900</v>
      </c>
      <c r="B33478" s="1" t="str">
        <f>"14588"</f>
        <v>14588</v>
      </c>
      <c r="C33478" s="2">
        <v>0</v>
      </c>
      <c r="D33478" s="2">
        <v>0</v>
      </c>
      <c r="E33478" s="2">
        <v>1.8939393939393901E-3</v>
      </c>
      <c r="F33478" s="2">
        <v>5.78536303153022E-5</v>
      </c>
    </row>
    <row r="33479" spans="1:6" x14ac:dyDescent="0.25">
      <c r="A33479" s="1" t="str">
        <f t="shared" si="1193"/>
        <v>42900</v>
      </c>
      <c r="B33479" s="1" t="str">
        <f>"13165"</f>
        <v>13165</v>
      </c>
      <c r="C33479" s="2">
        <v>0.30993216434148202</v>
      </c>
      <c r="D33479" s="2">
        <v>0.449160035366931</v>
      </c>
      <c r="E33479" s="2">
        <v>0.39583333333333298</v>
      </c>
      <c r="F33479" s="2">
        <v>0.32166618455307999</v>
      </c>
    </row>
    <row r="33480" spans="1:6" x14ac:dyDescent="0.25">
      <c r="A33480" s="1" t="str">
        <f t="shared" si="1193"/>
        <v>42900</v>
      </c>
      <c r="B33480" s="1" t="str">
        <f>"14541"</f>
        <v>14541</v>
      </c>
      <c r="C33480" s="2">
        <v>7.5259183412261593E-2</v>
      </c>
      <c r="D33480" s="2">
        <v>4.33244916003536E-2</v>
      </c>
      <c r="E33480" s="2">
        <v>3.2196969696969599E-2</v>
      </c>
      <c r="F33480" s="2">
        <v>7.18542088516054E-2</v>
      </c>
    </row>
    <row r="33481" spans="1:6" x14ac:dyDescent="0.25">
      <c r="A33481" s="1" t="str">
        <f t="shared" si="1193"/>
        <v>42900</v>
      </c>
      <c r="B33481" s="1" t="str">
        <f>"13146"</f>
        <v>13146</v>
      </c>
      <c r="C33481" s="2">
        <v>3.3277870216306101E-3</v>
      </c>
      <c r="D33481" s="2">
        <v>5.3050397877984004E-3</v>
      </c>
      <c r="E33481" s="2">
        <v>0</v>
      </c>
      <c r="F33481" s="2">
        <v>3.3555105582875298E-3</v>
      </c>
    </row>
    <row r="33482" spans="1:6" x14ac:dyDescent="0.25">
      <c r="A33482" s="1" t="str">
        <f t="shared" ref="A33482:A33494" si="1194">"42940"</f>
        <v>42940</v>
      </c>
      <c r="B33482" s="1" t="str">
        <f>"37738"</f>
        <v>37738</v>
      </c>
      <c r="C33482" s="2">
        <v>0.10274452016945999</v>
      </c>
      <c r="D33482" s="2">
        <v>0.226019481591546</v>
      </c>
      <c r="E33482" s="2">
        <v>0.14753218884120101</v>
      </c>
      <c r="F33482" s="2">
        <v>0.116088794586166</v>
      </c>
    </row>
    <row r="33483" spans="1:6" x14ac:dyDescent="0.25">
      <c r="A33483" s="1" t="str">
        <f t="shared" si="1194"/>
        <v>42940</v>
      </c>
      <c r="B33483" s="1" t="str">
        <f>"37862"</f>
        <v>37862</v>
      </c>
      <c r="C33483" s="2">
        <v>0.218916927610978</v>
      </c>
      <c r="D33483" s="2">
        <v>0.27819052336139999</v>
      </c>
      <c r="E33483" s="2">
        <v>0.31652360515021399</v>
      </c>
      <c r="F33483" s="2">
        <v>0.22761248010801899</v>
      </c>
    </row>
    <row r="33484" spans="1:6" x14ac:dyDescent="0.25">
      <c r="A33484" s="1" t="str">
        <f t="shared" si="1194"/>
        <v>42940</v>
      </c>
      <c r="B33484" s="1" t="str">
        <f>"37871"</f>
        <v>37871</v>
      </c>
      <c r="C33484" s="2">
        <v>1.7277583348682901E-2</v>
      </c>
      <c r="D33484" s="2">
        <v>3.13686643552913E-3</v>
      </c>
      <c r="E33484" s="2">
        <v>7.5107296137339003E-3</v>
      </c>
      <c r="F33484" s="2">
        <v>1.56081721881982E-2</v>
      </c>
    </row>
    <row r="33485" spans="1:6" x14ac:dyDescent="0.25">
      <c r="A33485" s="1" t="str">
        <f t="shared" si="1194"/>
        <v>42940</v>
      </c>
      <c r="B33485" s="1" t="str">
        <f>"37864"</f>
        <v>37864</v>
      </c>
      <c r="C33485" s="2">
        <v>3.3302634002578699E-2</v>
      </c>
      <c r="D33485" s="2">
        <v>6.6369489846458601E-2</v>
      </c>
      <c r="E33485" s="2">
        <v>1.0729613733905499E-3</v>
      </c>
      <c r="F33485" s="2">
        <v>3.5556412853032397E-2</v>
      </c>
    </row>
    <row r="33486" spans="1:6" x14ac:dyDescent="0.25">
      <c r="A33486" s="1" t="str">
        <f t="shared" si="1194"/>
        <v>42940</v>
      </c>
      <c r="B33486" s="1" t="str">
        <f>"37863"</f>
        <v>37863</v>
      </c>
      <c r="C33486" s="2">
        <v>6.9515564560692494E-2</v>
      </c>
      <c r="D33486" s="2">
        <v>0.17814099389136501</v>
      </c>
      <c r="E33486" s="2">
        <v>0.160944206008583</v>
      </c>
      <c r="F33486" s="2">
        <v>8.2831010592981896E-2</v>
      </c>
    </row>
    <row r="33487" spans="1:6" x14ac:dyDescent="0.25">
      <c r="A33487" s="1" t="str">
        <f t="shared" si="1194"/>
        <v>42940</v>
      </c>
      <c r="B33487" s="1" t="str">
        <f>"37920"</f>
        <v>37920</v>
      </c>
      <c r="C33487" s="2">
        <v>7.5520353656290205E-4</v>
      </c>
      <c r="D33487" s="2">
        <v>6.6039293379560799E-4</v>
      </c>
      <c r="E33487" s="2">
        <v>0</v>
      </c>
      <c r="F33487" s="2">
        <v>7.2334474610599405E-4</v>
      </c>
    </row>
    <row r="33488" spans="1:6" x14ac:dyDescent="0.25">
      <c r="A33488" s="1" t="str">
        <f t="shared" si="1194"/>
        <v>42940</v>
      </c>
      <c r="B33488" s="1" t="str">
        <f>"37876"</f>
        <v>37876</v>
      </c>
      <c r="C33488" s="2">
        <v>0.29524774359918898</v>
      </c>
      <c r="D33488" s="2">
        <v>0.110285619943866</v>
      </c>
      <c r="E33488" s="2">
        <v>0.186695278969957</v>
      </c>
      <c r="F33488" s="2">
        <v>0.27398691549725901</v>
      </c>
    </row>
    <row r="33489" spans="1:6" x14ac:dyDescent="0.25">
      <c r="A33489" s="1" t="str">
        <f t="shared" si="1194"/>
        <v>42940</v>
      </c>
      <c r="B33489" s="1" t="str">
        <f>"37865"</f>
        <v>37865</v>
      </c>
      <c r="C33489" s="2">
        <v>0.14354393074230901</v>
      </c>
      <c r="D33489" s="2">
        <v>7.26432227175169E-2</v>
      </c>
      <c r="E33489" s="2">
        <v>0.120171673819742</v>
      </c>
      <c r="F33489" s="2">
        <v>0.135940589284853</v>
      </c>
    </row>
    <row r="33490" spans="1:6" x14ac:dyDescent="0.25">
      <c r="A33490" s="1" t="str">
        <f t="shared" si="1194"/>
        <v>42940</v>
      </c>
      <c r="B33490" s="1" t="str">
        <f>"37764"</f>
        <v>37764</v>
      </c>
      <c r="C33490" s="2">
        <v>7.8449069810278105E-2</v>
      </c>
      <c r="D33490" s="2">
        <v>2.9882780254251201E-2</v>
      </c>
      <c r="E33490" s="2">
        <v>5.2575107296137298E-2</v>
      </c>
      <c r="F33490" s="2">
        <v>7.2945299062866606E-2</v>
      </c>
    </row>
    <row r="33491" spans="1:6" x14ac:dyDescent="0.25">
      <c r="A33491" s="1" t="str">
        <f t="shared" si="1194"/>
        <v>42940</v>
      </c>
      <c r="B33491" s="1" t="str">
        <f>"37820"</f>
        <v>37820</v>
      </c>
      <c r="C33491" s="2">
        <v>3.1313317369681301E-4</v>
      </c>
      <c r="D33491" s="2">
        <v>0</v>
      </c>
      <c r="E33491" s="2">
        <v>0</v>
      </c>
      <c r="F33491" s="2">
        <v>2.7326357075115298E-4</v>
      </c>
    </row>
    <row r="33492" spans="1:6" x14ac:dyDescent="0.25">
      <c r="A33492" s="1" t="str">
        <f t="shared" si="1194"/>
        <v>42940</v>
      </c>
      <c r="B33492" s="1" t="str">
        <f>"37725"</f>
        <v>37725</v>
      </c>
      <c r="C33492" s="2">
        <v>1.9708970344446399E-3</v>
      </c>
      <c r="D33492" s="2">
        <v>1.9811788013868199E-3</v>
      </c>
      <c r="E33492" s="2">
        <v>0</v>
      </c>
      <c r="F33492" s="2">
        <v>1.9128449952580701E-3</v>
      </c>
    </row>
    <row r="33493" spans="1:6" x14ac:dyDescent="0.25">
      <c r="A33493" s="1" t="str">
        <f t="shared" si="1194"/>
        <v>42940</v>
      </c>
      <c r="B33493" s="1" t="str">
        <f>"37722"</f>
        <v>37722</v>
      </c>
      <c r="C33493" s="2">
        <v>1.4146251611714801E-2</v>
      </c>
      <c r="D33493" s="2">
        <v>1.9811788013868199E-3</v>
      </c>
      <c r="E33493" s="2">
        <v>5.9012875536480604E-3</v>
      </c>
      <c r="F33493" s="2">
        <v>1.2714793203774199E-2</v>
      </c>
    </row>
    <row r="33494" spans="1:6" x14ac:dyDescent="0.25">
      <c r="A33494" s="1" t="str">
        <f t="shared" si="1194"/>
        <v>42940</v>
      </c>
      <c r="B33494" s="1" t="str">
        <f>"37868"</f>
        <v>37868</v>
      </c>
      <c r="C33494" s="2">
        <v>2.38165407994105E-2</v>
      </c>
      <c r="D33494" s="2">
        <v>3.0708271421495702E-2</v>
      </c>
      <c r="E33494" s="2">
        <v>1.0729613733905499E-3</v>
      </c>
      <c r="F33494" s="2">
        <v>2.3806079310732801E-2</v>
      </c>
    </row>
    <row r="33495" spans="1:6" x14ac:dyDescent="0.25">
      <c r="A33495" s="1" t="str">
        <f t="shared" ref="A33495:A33504" si="1195">"42980"</f>
        <v>42980</v>
      </c>
      <c r="B33495" s="1" t="str">
        <f>"47220"</f>
        <v>47220</v>
      </c>
      <c r="C33495" s="2">
        <v>0.124286557764219</v>
      </c>
      <c r="D33495" s="2">
        <v>0.13377082281675901</v>
      </c>
      <c r="E33495" s="2">
        <v>7.7922077922077906E-2</v>
      </c>
      <c r="F33495" s="2">
        <v>0.123706409252978</v>
      </c>
    </row>
    <row r="33496" spans="1:6" x14ac:dyDescent="0.25">
      <c r="A33496" s="1" t="str">
        <f t="shared" si="1195"/>
        <v>42980</v>
      </c>
      <c r="B33496" s="1" t="str">
        <f>"47274"</f>
        <v>47274</v>
      </c>
      <c r="C33496" s="2">
        <v>0.68948041724069997</v>
      </c>
      <c r="D33496" s="2">
        <v>0.78394750126198798</v>
      </c>
      <c r="E33496" s="2">
        <v>0.87734487734487698</v>
      </c>
      <c r="F33496" s="2">
        <v>0.70327854596051798</v>
      </c>
    </row>
    <row r="33497" spans="1:6" x14ac:dyDescent="0.25">
      <c r="A33497" s="1" t="str">
        <f t="shared" si="1195"/>
        <v>42980</v>
      </c>
      <c r="B33497" s="1" t="str">
        <f>"47281"</f>
        <v>47281</v>
      </c>
      <c r="C33497" s="2">
        <v>2.4601456406219201E-2</v>
      </c>
      <c r="D33497" s="2">
        <v>3.53356890459363E-3</v>
      </c>
      <c r="E33497" s="2">
        <v>7.2150072150072098E-3</v>
      </c>
      <c r="F33497" s="2">
        <v>2.22628054613444E-2</v>
      </c>
    </row>
    <row r="33498" spans="1:6" x14ac:dyDescent="0.25">
      <c r="A33498" s="1" t="str">
        <f t="shared" si="1195"/>
        <v>42980</v>
      </c>
      <c r="B33498" s="1" t="str">
        <f>"47201"</f>
        <v>47201</v>
      </c>
      <c r="C33498" s="2">
        <v>3.9362330249950701E-4</v>
      </c>
      <c r="D33498" s="2">
        <v>0</v>
      </c>
      <c r="E33498" s="2">
        <v>0</v>
      </c>
      <c r="F33498" s="2">
        <v>3.4785633533350701E-4</v>
      </c>
    </row>
    <row r="33499" spans="1:6" x14ac:dyDescent="0.25">
      <c r="A33499" s="1" t="str">
        <f t="shared" si="1195"/>
        <v>42980</v>
      </c>
      <c r="B33499" s="1" t="str">
        <f>"47229"</f>
        <v>47229</v>
      </c>
      <c r="C33499" s="2">
        <v>6.97697303680377E-2</v>
      </c>
      <c r="D33499" s="2">
        <v>5.75466935890964E-2</v>
      </c>
      <c r="E33499" s="2">
        <v>1.4430014430014401E-2</v>
      </c>
      <c r="F33499" s="2">
        <v>6.7049308635533503E-2</v>
      </c>
    </row>
    <row r="33500" spans="1:6" x14ac:dyDescent="0.25">
      <c r="A33500" s="1" t="str">
        <f t="shared" si="1195"/>
        <v>42980</v>
      </c>
      <c r="B33500" s="1" t="str">
        <f>"47102"</f>
        <v>47102</v>
      </c>
      <c r="C33500" s="2">
        <v>5.8551466246801803E-3</v>
      </c>
      <c r="D33500" s="2">
        <v>0</v>
      </c>
      <c r="E33500" s="2">
        <v>7.2150072150072098E-3</v>
      </c>
      <c r="F33500" s="2">
        <v>5.3917731976693599E-3</v>
      </c>
    </row>
    <row r="33501" spans="1:6" x14ac:dyDescent="0.25">
      <c r="A33501" s="1" t="str">
        <f t="shared" si="1195"/>
        <v>42980</v>
      </c>
      <c r="B33501" s="1" t="str">
        <f>"47228"</f>
        <v>47228</v>
      </c>
      <c r="C33501" s="2">
        <v>0</v>
      </c>
      <c r="D33501" s="2">
        <v>0</v>
      </c>
      <c r="E33501" s="2">
        <v>1.44300144300144E-3</v>
      </c>
      <c r="F33501" s="2">
        <v>4.3482041916688397E-5</v>
      </c>
    </row>
    <row r="33502" spans="1:6" x14ac:dyDescent="0.25">
      <c r="A33502" s="1" t="str">
        <f t="shared" si="1195"/>
        <v>42980</v>
      </c>
      <c r="B33502" s="1" t="str">
        <f>"47260"</f>
        <v>47260</v>
      </c>
      <c r="C33502" s="2">
        <v>2.8193269041527198E-2</v>
      </c>
      <c r="D33502" s="2">
        <v>7.5719333669863704E-3</v>
      </c>
      <c r="E33502" s="2">
        <v>2.8860028860028799E-3</v>
      </c>
      <c r="F33502" s="2">
        <v>2.5654404730846101E-2</v>
      </c>
    </row>
    <row r="33503" spans="1:6" x14ac:dyDescent="0.25">
      <c r="A33503" s="1" t="str">
        <f t="shared" si="1195"/>
        <v>42980</v>
      </c>
      <c r="B33503" s="1" t="str">
        <f>"47235"</f>
        <v>47235</v>
      </c>
      <c r="C33503" s="2">
        <v>3.1243849635898401E-2</v>
      </c>
      <c r="D33503" s="2">
        <v>8.07672892478546E-3</v>
      </c>
      <c r="E33503" s="2">
        <v>1.01010101010101E-2</v>
      </c>
      <c r="F33503" s="2">
        <v>2.86111835811809E-2</v>
      </c>
    </row>
    <row r="33504" spans="1:6" x14ac:dyDescent="0.25">
      <c r="A33504" s="1" t="str">
        <f t="shared" si="1195"/>
        <v>42980</v>
      </c>
      <c r="B33504" s="1" t="str">
        <f>"47264"</f>
        <v>47264</v>
      </c>
      <c r="C33504" s="2">
        <v>2.6175949616217199E-2</v>
      </c>
      <c r="D33504" s="2">
        <v>5.5527511357899998E-3</v>
      </c>
      <c r="E33504" s="2">
        <v>1.44300144300144E-3</v>
      </c>
      <c r="F33504" s="2">
        <v>2.3654230802678401E-2</v>
      </c>
    </row>
    <row r="33505" spans="1:6" x14ac:dyDescent="0.25">
      <c r="A33505" s="1" t="str">
        <f t="shared" ref="A33505:A33532" si="1196">"43020"</f>
        <v>43020</v>
      </c>
      <c r="B33505" s="1" t="str">
        <f>"54427"</f>
        <v>54427</v>
      </c>
      <c r="C33505" s="2">
        <v>8.2606700321248196E-3</v>
      </c>
      <c r="D33505" s="2">
        <v>3.1347962382445101E-3</v>
      </c>
      <c r="E33505" s="2">
        <v>2.2988505747126402E-3</v>
      </c>
      <c r="F33505" s="2">
        <v>7.9371926494694097E-3</v>
      </c>
    </row>
    <row r="33506" spans="1:6" x14ac:dyDescent="0.25">
      <c r="A33506" s="1" t="str">
        <f t="shared" si="1196"/>
        <v>43020</v>
      </c>
      <c r="B33506" s="1" t="str">
        <f>"54166"</f>
        <v>54166</v>
      </c>
      <c r="C33506" s="2">
        <v>0.39417163836622299</v>
      </c>
      <c r="D33506" s="2">
        <v>0.67189132706374</v>
      </c>
      <c r="E33506" s="2">
        <v>0.6</v>
      </c>
      <c r="F33506" s="2">
        <v>0.40949874902941902</v>
      </c>
    </row>
    <row r="33507" spans="1:6" x14ac:dyDescent="0.25">
      <c r="A33507" s="1" t="str">
        <f t="shared" si="1196"/>
        <v>43020</v>
      </c>
      <c r="B33507" s="1" t="str">
        <f>"54150"</f>
        <v>54150</v>
      </c>
      <c r="C33507" s="2">
        <v>6.5626434144102699E-3</v>
      </c>
      <c r="D33507" s="2">
        <v>2.0898641588296702E-3</v>
      </c>
      <c r="E33507" s="2">
        <v>1.6091954022988499E-2</v>
      </c>
      <c r="F33507" s="2">
        <v>6.5568113191269003E-3</v>
      </c>
    </row>
    <row r="33508" spans="1:6" x14ac:dyDescent="0.25">
      <c r="A33508" s="1" t="str">
        <f t="shared" si="1196"/>
        <v>43020</v>
      </c>
      <c r="B33508" s="1" t="str">
        <f>"54928"</f>
        <v>54928</v>
      </c>
      <c r="C33508" s="2">
        <v>8.2147774208352394E-3</v>
      </c>
      <c r="D33508" s="2">
        <v>9.4043887147335394E-3</v>
      </c>
      <c r="E33508" s="2">
        <v>2.2988505747126402E-3</v>
      </c>
      <c r="F33508" s="2">
        <v>8.1528772323354298E-3</v>
      </c>
    </row>
    <row r="33509" spans="1:6" x14ac:dyDescent="0.25">
      <c r="A33509" s="1" t="str">
        <f t="shared" si="1196"/>
        <v>43020</v>
      </c>
      <c r="B33509" s="1" t="str">
        <f>"54170"</f>
        <v>54170</v>
      </c>
      <c r="C33509" s="2">
        <v>4.81872418540614E-3</v>
      </c>
      <c r="D33509" s="2">
        <v>4.17972831765935E-3</v>
      </c>
      <c r="E33509" s="2">
        <v>0</v>
      </c>
      <c r="F33509" s="2">
        <v>4.7019239064791602E-3</v>
      </c>
    </row>
    <row r="33510" spans="1:6" x14ac:dyDescent="0.25">
      <c r="A33510" s="1" t="str">
        <f t="shared" si="1196"/>
        <v>43020</v>
      </c>
      <c r="B33510" s="1" t="str">
        <f>"54409"</f>
        <v>54409</v>
      </c>
      <c r="C33510" s="2">
        <v>2.7535566773749399E-3</v>
      </c>
      <c r="D33510" s="2">
        <v>0</v>
      </c>
      <c r="E33510" s="2">
        <v>0</v>
      </c>
      <c r="F33510" s="2">
        <v>2.5882149943921998E-3</v>
      </c>
    </row>
    <row r="33511" spans="1:6" x14ac:dyDescent="0.25">
      <c r="A33511" s="1" t="str">
        <f t="shared" si="1196"/>
        <v>43020</v>
      </c>
      <c r="B33511" s="1" t="str">
        <f>"54950"</f>
        <v>54950</v>
      </c>
      <c r="C33511" s="2">
        <v>1.5832950894905901E-2</v>
      </c>
      <c r="D33511" s="2">
        <v>1.67189132706374E-2</v>
      </c>
      <c r="E33511" s="2">
        <v>4.5977011494252804E-3</v>
      </c>
      <c r="F33511" s="2">
        <v>1.5658700716072799E-2</v>
      </c>
    </row>
    <row r="33512" spans="1:6" x14ac:dyDescent="0.25">
      <c r="A33512" s="1" t="str">
        <f t="shared" si="1196"/>
        <v>43020</v>
      </c>
      <c r="B33512" s="1" t="str">
        <f>"54111"</f>
        <v>54111</v>
      </c>
      <c r="C33512" s="2">
        <v>4.8646167966957303E-2</v>
      </c>
      <c r="D33512" s="2">
        <v>1.56739811912225E-2</v>
      </c>
      <c r="E33512" s="2">
        <v>3.90804597701149E-2</v>
      </c>
      <c r="F33512" s="2">
        <v>4.7105512897937997E-2</v>
      </c>
    </row>
    <row r="33513" spans="1:6" x14ac:dyDescent="0.25">
      <c r="A33513" s="1" t="str">
        <f t="shared" si="1196"/>
        <v>43020</v>
      </c>
      <c r="B33513" s="1" t="str">
        <f>"54174"</f>
        <v>54174</v>
      </c>
      <c r="C33513" s="2">
        <v>1.8357044515832899E-4</v>
      </c>
      <c r="D33513" s="2">
        <v>0</v>
      </c>
      <c r="E33513" s="2">
        <v>0</v>
      </c>
      <c r="F33513" s="2">
        <v>1.72547666292813E-4</v>
      </c>
    </row>
    <row r="33514" spans="1:6" x14ac:dyDescent="0.25">
      <c r="A33514" s="1" t="str">
        <f t="shared" si="1196"/>
        <v>43020</v>
      </c>
      <c r="B33514" s="1" t="str">
        <f>"54416"</f>
        <v>54416</v>
      </c>
      <c r="C33514" s="2">
        <v>3.5337310692978401E-2</v>
      </c>
      <c r="D33514" s="2">
        <v>2.1943573667711502E-2</v>
      </c>
      <c r="E33514" s="2">
        <v>2.9885057471264301E-2</v>
      </c>
      <c r="F33514" s="2">
        <v>3.4682080924855398E-2</v>
      </c>
    </row>
    <row r="33515" spans="1:6" x14ac:dyDescent="0.25">
      <c r="A33515" s="1" t="str">
        <f t="shared" si="1196"/>
        <v>43020</v>
      </c>
      <c r="B33515" s="1" t="str">
        <f>"54486"</f>
        <v>54486</v>
      </c>
      <c r="C33515" s="2">
        <v>4.7728315741165601E-2</v>
      </c>
      <c r="D33515" s="2">
        <v>1.35841170323928E-2</v>
      </c>
      <c r="E33515" s="2">
        <v>1.6091954022988499E-2</v>
      </c>
      <c r="F33515" s="2">
        <v>4.5725131567595501E-2</v>
      </c>
    </row>
    <row r="33516" spans="1:6" x14ac:dyDescent="0.25">
      <c r="A33516" s="1" t="str">
        <f t="shared" si="1196"/>
        <v>43020</v>
      </c>
      <c r="B33516" s="1" t="str">
        <f>"54162"</f>
        <v>54162</v>
      </c>
      <c r="C33516" s="2">
        <v>4.71317117944011E-2</v>
      </c>
      <c r="D33516" s="2">
        <v>2.0898641588296699E-2</v>
      </c>
      <c r="E33516" s="2">
        <v>1.6091954022988499E-2</v>
      </c>
      <c r="F33516" s="2">
        <v>4.5466310068156303E-2</v>
      </c>
    </row>
    <row r="33517" spans="1:6" x14ac:dyDescent="0.25">
      <c r="A33517" s="1" t="str">
        <f t="shared" si="1196"/>
        <v>43020</v>
      </c>
      <c r="B33517" s="1" t="str">
        <f>"54107"</f>
        <v>54107</v>
      </c>
      <c r="C33517" s="2">
        <v>7.6411197797154606E-2</v>
      </c>
      <c r="D33517" s="2">
        <v>6.0606060606060601E-2</v>
      </c>
      <c r="E33517" s="2">
        <v>8.9655172413793102E-2</v>
      </c>
      <c r="F33517" s="2">
        <v>7.6007247001984204E-2</v>
      </c>
    </row>
    <row r="33518" spans="1:6" x14ac:dyDescent="0.25">
      <c r="A33518" s="1" t="str">
        <f t="shared" si="1196"/>
        <v>43020</v>
      </c>
      <c r="B33518" s="1" t="str">
        <f>"54165"</f>
        <v>54165</v>
      </c>
      <c r="C33518" s="2">
        <v>6.2413951353831997E-3</v>
      </c>
      <c r="D33518" s="2">
        <v>3.1347962382445101E-3</v>
      </c>
      <c r="E33518" s="2">
        <v>0</v>
      </c>
      <c r="F33518" s="2">
        <v>5.9960314036752596E-3</v>
      </c>
    </row>
    <row r="33519" spans="1:6" x14ac:dyDescent="0.25">
      <c r="A33519" s="1" t="str">
        <f t="shared" si="1196"/>
        <v>43020</v>
      </c>
      <c r="B33519" s="1" t="str">
        <f>"54408"</f>
        <v>54408</v>
      </c>
      <c r="C33519" s="2">
        <v>1.25286828820559E-2</v>
      </c>
      <c r="D33519" s="2">
        <v>1.1494252873563199E-2</v>
      </c>
      <c r="E33519" s="2">
        <v>2.2988505747126402E-3</v>
      </c>
      <c r="F33519" s="2">
        <v>1.22940212233629E-2</v>
      </c>
    </row>
    <row r="33520" spans="1:6" x14ac:dyDescent="0.25">
      <c r="A33520" s="1" t="str">
        <f t="shared" si="1196"/>
        <v>43020</v>
      </c>
      <c r="B33520" s="1" t="str">
        <f>"54948"</f>
        <v>54948</v>
      </c>
      <c r="C33520" s="2">
        <v>6.4708581918311104E-3</v>
      </c>
      <c r="D33520" s="2">
        <v>3.1347962382445101E-3</v>
      </c>
      <c r="E33520" s="2">
        <v>2.2988505747126402E-3</v>
      </c>
      <c r="F33520" s="2">
        <v>6.2548529031144799E-3</v>
      </c>
    </row>
    <row r="33521" spans="1:6" x14ac:dyDescent="0.25">
      <c r="A33521" s="1" t="str">
        <f t="shared" si="1196"/>
        <v>43020</v>
      </c>
      <c r="B33521" s="1" t="str">
        <f>"54450"</f>
        <v>54450</v>
      </c>
      <c r="C33521" s="2">
        <v>6.7003212482790201E-3</v>
      </c>
      <c r="D33521" s="2">
        <v>2.0898641588296702E-3</v>
      </c>
      <c r="E33521" s="2">
        <v>1.6091954022988499E-2</v>
      </c>
      <c r="F33521" s="2">
        <v>6.6862220688465096E-3</v>
      </c>
    </row>
    <row r="33522" spans="1:6" x14ac:dyDescent="0.25">
      <c r="A33522" s="1" t="str">
        <f t="shared" si="1196"/>
        <v>43020</v>
      </c>
      <c r="B33522" s="1" t="str">
        <f>"54137"</f>
        <v>54137</v>
      </c>
      <c r="C33522" s="2">
        <v>1.4456172556218399E-2</v>
      </c>
      <c r="D33522" s="2">
        <v>4.17972831765935E-3</v>
      </c>
      <c r="E33522" s="2">
        <v>2.2988505747126402E-3</v>
      </c>
      <c r="F33522" s="2">
        <v>1.3803813303425E-2</v>
      </c>
    </row>
    <row r="33523" spans="1:6" x14ac:dyDescent="0.25">
      <c r="A33523" s="1" t="str">
        <f t="shared" si="1196"/>
        <v>43020</v>
      </c>
      <c r="B33523" s="1" t="str">
        <f>"54128"</f>
        <v>54128</v>
      </c>
      <c r="C33523" s="2">
        <v>3.8320330426801198E-2</v>
      </c>
      <c r="D33523" s="2">
        <v>1.9853709508881899E-2</v>
      </c>
      <c r="E33523" s="2">
        <v>1.6091954022988499E-2</v>
      </c>
      <c r="F33523" s="2">
        <v>3.7140885169528001E-2</v>
      </c>
    </row>
    <row r="33524" spans="1:6" x14ac:dyDescent="0.25">
      <c r="A33524" s="1" t="str">
        <f t="shared" si="1196"/>
        <v>43020</v>
      </c>
      <c r="B33524" s="1" t="str">
        <f>"54929"</f>
        <v>54929</v>
      </c>
      <c r="C33524" s="2">
        <v>3.9329967875171998E-2</v>
      </c>
      <c r="D33524" s="2">
        <v>1.67189132706374E-2</v>
      </c>
      <c r="E33524" s="2">
        <v>1.8390804597701101E-2</v>
      </c>
      <c r="F33524" s="2">
        <v>3.8003623500992102E-2</v>
      </c>
    </row>
    <row r="33525" spans="1:6" x14ac:dyDescent="0.25">
      <c r="A33525" s="1" t="str">
        <f t="shared" si="1196"/>
        <v>43020</v>
      </c>
      <c r="B33525" s="1" t="str">
        <f>"54414"</f>
        <v>54414</v>
      </c>
      <c r="C33525" s="2">
        <v>6.6773749426342302E-2</v>
      </c>
      <c r="D33525" s="2">
        <v>2.6123301985370901E-2</v>
      </c>
      <c r="E33525" s="2">
        <v>2.9885057471264301E-2</v>
      </c>
      <c r="F33525" s="2">
        <v>6.4403416443792494E-2</v>
      </c>
    </row>
    <row r="33526" spans="1:6" x14ac:dyDescent="0.25">
      <c r="A33526" s="1" t="str">
        <f t="shared" si="1196"/>
        <v>43020</v>
      </c>
      <c r="B33526" s="1" t="str">
        <f>"54499"</f>
        <v>54499</v>
      </c>
      <c r="C33526" s="2">
        <v>6.23680587425424E-2</v>
      </c>
      <c r="D33526" s="2">
        <v>5.6426332288401201E-2</v>
      </c>
      <c r="E33526" s="2">
        <v>8.2758620689655102E-2</v>
      </c>
      <c r="F33526" s="2">
        <v>6.2505392114571595E-2</v>
      </c>
    </row>
    <row r="33527" spans="1:6" x14ac:dyDescent="0.25">
      <c r="A33527" s="1" t="str">
        <f t="shared" si="1196"/>
        <v>43020</v>
      </c>
      <c r="B33527" s="1" t="str">
        <f>"54978"</f>
        <v>54978</v>
      </c>
      <c r="C33527" s="2">
        <v>5.0481872418540596E-4</v>
      </c>
      <c r="D33527" s="2">
        <v>1.0449320794148299E-3</v>
      </c>
      <c r="E33527" s="2">
        <v>2.2988505747126402E-3</v>
      </c>
      <c r="F33527" s="2">
        <v>5.6077991545164295E-4</v>
      </c>
    </row>
    <row r="33528" spans="1:6" x14ac:dyDescent="0.25">
      <c r="A33528" s="1" t="str">
        <f t="shared" si="1196"/>
        <v>43020</v>
      </c>
      <c r="B33528" s="1" t="str">
        <f>"54154"</f>
        <v>54154</v>
      </c>
      <c r="C33528" s="2">
        <v>3.9926571821936596E-3</v>
      </c>
      <c r="D33528" s="2">
        <v>1.0449320794148299E-3</v>
      </c>
      <c r="E33528" s="2">
        <v>0</v>
      </c>
      <c r="F33528" s="2">
        <v>3.7960486584418902E-3</v>
      </c>
    </row>
    <row r="33529" spans="1:6" x14ac:dyDescent="0.25">
      <c r="A33529" s="1" t="str">
        <f t="shared" si="1196"/>
        <v>43020</v>
      </c>
      <c r="B33529" s="1" t="str">
        <f>"54127"</f>
        <v>54127</v>
      </c>
      <c r="C33529" s="2">
        <v>1.7439192290041299E-3</v>
      </c>
      <c r="D33529" s="2">
        <v>8.3594566353186999E-3</v>
      </c>
      <c r="E33529" s="2">
        <v>4.5977011494252804E-3</v>
      </c>
      <c r="F33529" s="2">
        <v>2.0705719955137602E-3</v>
      </c>
    </row>
    <row r="33530" spans="1:6" x14ac:dyDescent="0.25">
      <c r="A33530" s="1" t="str">
        <f t="shared" si="1196"/>
        <v>43020</v>
      </c>
      <c r="B33530" s="1" t="str">
        <f>"54135"</f>
        <v>54135</v>
      </c>
      <c r="C33530" s="2">
        <v>3.6668196420376303E-2</v>
      </c>
      <c r="D33530" s="2">
        <v>4.17972831765935E-3</v>
      </c>
      <c r="E33530" s="2">
        <v>6.8965517241379301E-3</v>
      </c>
      <c r="F33530" s="2">
        <v>3.4768354758001802E-2</v>
      </c>
    </row>
    <row r="33531" spans="1:6" x14ac:dyDescent="0.25">
      <c r="A33531" s="1" t="str">
        <f t="shared" si="1196"/>
        <v>43020</v>
      </c>
      <c r="B33531" s="1" t="str">
        <f>"54106"</f>
        <v>54106</v>
      </c>
      <c r="C33531" s="2">
        <v>7.3428178063331801E-4</v>
      </c>
      <c r="D33531" s="2">
        <v>0</v>
      </c>
      <c r="E33531" s="2">
        <v>0</v>
      </c>
      <c r="F33531" s="2">
        <v>6.9019066517125296E-4</v>
      </c>
    </row>
    <row r="33532" spans="1:6" x14ac:dyDescent="0.25">
      <c r="A33532" s="1" t="str">
        <f t="shared" si="1196"/>
        <v>43020</v>
      </c>
      <c r="B33532" s="1" t="str">
        <f>"54124"</f>
        <v>54124</v>
      </c>
      <c r="C33532" s="2">
        <v>7.1133547498852603E-3</v>
      </c>
      <c r="D33532" s="2">
        <v>2.0898641588296702E-3</v>
      </c>
      <c r="E33532" s="2">
        <v>0</v>
      </c>
      <c r="F33532" s="2">
        <v>6.7724959019929204E-3</v>
      </c>
    </row>
    <row r="33533" spans="1:6" x14ac:dyDescent="0.25">
      <c r="A33533" s="1" t="str">
        <f t="shared" ref="A33533:A33550" si="1197">"43060"</f>
        <v>43060</v>
      </c>
      <c r="B33533" s="1" t="str">
        <f>"74802"</f>
        <v>74802</v>
      </c>
      <c r="C33533" s="2">
        <v>3.4989844278943798E-2</v>
      </c>
      <c r="D33533" s="2">
        <v>0.130448416431483</v>
      </c>
      <c r="E33533" s="2">
        <v>0</v>
      </c>
      <c r="F33533" s="2">
        <v>4.2053428536255003E-2</v>
      </c>
    </row>
    <row r="33534" spans="1:6" x14ac:dyDescent="0.25">
      <c r="A33534" s="1" t="str">
        <f t="shared" si="1197"/>
        <v>43060</v>
      </c>
      <c r="B33534" s="1" t="str">
        <f>"74878"</f>
        <v>74878</v>
      </c>
      <c r="C33534" s="2">
        <v>1.6384563303994501E-2</v>
      </c>
      <c r="D33534" s="2">
        <v>3.4493571652555598E-3</v>
      </c>
      <c r="E33534" s="2">
        <v>1.9960079840319299E-3</v>
      </c>
      <c r="F33534" s="2">
        <v>1.5191431737042901E-2</v>
      </c>
    </row>
    <row r="33535" spans="1:6" x14ac:dyDescent="0.25">
      <c r="A33535" s="1" t="str">
        <f t="shared" si="1197"/>
        <v>43060</v>
      </c>
      <c r="B33535" s="1" t="str">
        <f>"73051"</f>
        <v>73051</v>
      </c>
      <c r="C33535" s="2">
        <v>1.8957345971563899E-4</v>
      </c>
      <c r="D33535" s="2">
        <v>0</v>
      </c>
      <c r="E33535" s="2">
        <v>0</v>
      </c>
      <c r="F33535" s="2">
        <v>1.7235011695186501E-4</v>
      </c>
    </row>
    <row r="33536" spans="1:6" x14ac:dyDescent="0.25">
      <c r="A33536" s="1" t="str">
        <f t="shared" si="1197"/>
        <v>43060</v>
      </c>
      <c r="B33536" s="1" t="str">
        <f>"74855"</f>
        <v>74855</v>
      </c>
      <c r="C33536" s="2">
        <v>5.9038591740013498E-3</v>
      </c>
      <c r="D33536" s="2">
        <v>3.1357792411414198E-4</v>
      </c>
      <c r="E33536" s="2">
        <v>0</v>
      </c>
      <c r="F33536" s="2">
        <v>5.3920965160654897E-3</v>
      </c>
    </row>
    <row r="33537" spans="1:6" x14ac:dyDescent="0.25">
      <c r="A33537" s="1" t="str">
        <f t="shared" si="1197"/>
        <v>43060</v>
      </c>
      <c r="B33537" s="1" t="str">
        <f>"74079"</f>
        <v>74079</v>
      </c>
      <c r="C33537" s="2">
        <v>2.7081922816519899E-5</v>
      </c>
      <c r="D33537" s="2">
        <v>0</v>
      </c>
      <c r="E33537" s="2">
        <v>0</v>
      </c>
      <c r="F33537" s="2">
        <v>2.4621445278837799E-5</v>
      </c>
    </row>
    <row r="33538" spans="1:6" x14ac:dyDescent="0.25">
      <c r="A33538" s="1" t="str">
        <f t="shared" si="1197"/>
        <v>43060</v>
      </c>
      <c r="B33538" s="1" t="str">
        <f>"73045"</f>
        <v>73045</v>
      </c>
      <c r="C33538" s="2">
        <v>4.6310088016249104E-3</v>
      </c>
      <c r="D33538" s="2">
        <v>6.2715584822828395E-4</v>
      </c>
      <c r="E33538" s="2">
        <v>5.9880239520958001E-3</v>
      </c>
      <c r="F33538" s="2">
        <v>4.3333743690754604E-3</v>
      </c>
    </row>
    <row r="33539" spans="1:6" x14ac:dyDescent="0.25">
      <c r="A33539" s="1" t="str">
        <f t="shared" si="1197"/>
        <v>43060</v>
      </c>
      <c r="B33539" s="1" t="str">
        <f>"74840"</f>
        <v>74840</v>
      </c>
      <c r="C33539" s="2">
        <v>1.4136763710223399E-2</v>
      </c>
      <c r="D33539" s="2">
        <v>5.0172467858262699E-3</v>
      </c>
      <c r="E33539" s="2">
        <v>1.9960079840319299E-3</v>
      </c>
      <c r="F33539" s="2">
        <v>1.3270959005293599E-2</v>
      </c>
    </row>
    <row r="33540" spans="1:6" x14ac:dyDescent="0.25">
      <c r="A33540" s="1" t="str">
        <f t="shared" si="1197"/>
        <v>43060</v>
      </c>
      <c r="B33540" s="1" t="str">
        <f>"74857"</f>
        <v>74857</v>
      </c>
      <c r="C33540" s="2">
        <v>1.2457684495599101E-3</v>
      </c>
      <c r="D33540" s="2">
        <v>0</v>
      </c>
      <c r="E33540" s="2">
        <v>0</v>
      </c>
      <c r="F33540" s="2">
        <v>1.1325864828265399E-3</v>
      </c>
    </row>
    <row r="33541" spans="1:6" x14ac:dyDescent="0.25">
      <c r="A33541" s="1" t="str">
        <f t="shared" si="1197"/>
        <v>43060</v>
      </c>
      <c r="B33541" s="1" t="str">
        <f>"74851"</f>
        <v>74851</v>
      </c>
      <c r="C33541" s="2">
        <v>0.124360189573459</v>
      </c>
      <c r="D33541" s="2">
        <v>5.3308247099404203E-2</v>
      </c>
      <c r="E33541" s="2">
        <v>2.7944111776447102E-2</v>
      </c>
      <c r="F33541" s="2">
        <v>0.11759202265172899</v>
      </c>
    </row>
    <row r="33542" spans="1:6" x14ac:dyDescent="0.25">
      <c r="A33542" s="1" t="str">
        <f t="shared" si="1197"/>
        <v>43060</v>
      </c>
      <c r="B33542" s="1" t="str">
        <f>"74864"</f>
        <v>74864</v>
      </c>
      <c r="C33542" s="2">
        <v>1.17535545023696E-2</v>
      </c>
      <c r="D33542" s="2">
        <v>3.7629350893696998E-3</v>
      </c>
      <c r="E33542" s="2">
        <v>0</v>
      </c>
      <c r="F33542" s="2">
        <v>1.09811645943616E-2</v>
      </c>
    </row>
    <row r="33543" spans="1:6" x14ac:dyDescent="0.25">
      <c r="A33543" s="1" t="str">
        <f t="shared" si="1197"/>
        <v>43060</v>
      </c>
      <c r="B33543" s="1" t="str">
        <f>"74801"</f>
        <v>74801</v>
      </c>
      <c r="C33543" s="2">
        <v>0.29668246445497598</v>
      </c>
      <c r="D33543" s="2">
        <v>0.35371589840075202</v>
      </c>
      <c r="E33543" s="2">
        <v>0.51097804391217505</v>
      </c>
      <c r="F33543" s="2">
        <v>0.30380401329557999</v>
      </c>
    </row>
    <row r="33544" spans="1:6" x14ac:dyDescent="0.25">
      <c r="A33544" s="1" t="str">
        <f t="shared" si="1197"/>
        <v>43060</v>
      </c>
      <c r="B33544" s="1" t="str">
        <f>"74804"</f>
        <v>74804</v>
      </c>
      <c r="C33544" s="2">
        <v>0.26589031821259301</v>
      </c>
      <c r="D33544" s="2">
        <v>0.30918783317654402</v>
      </c>
      <c r="E33544" s="2">
        <v>0.34730538922155602</v>
      </c>
      <c r="F33544" s="2">
        <v>0.27029422627108202</v>
      </c>
    </row>
    <row r="33545" spans="1:6" x14ac:dyDescent="0.25">
      <c r="A33545" s="1" t="str">
        <f t="shared" si="1197"/>
        <v>43060</v>
      </c>
      <c r="B33545" s="1" t="str">
        <f>"74866"</f>
        <v>74866</v>
      </c>
      <c r="C33545" s="2">
        <v>0</v>
      </c>
      <c r="D33545" s="2">
        <v>0</v>
      </c>
      <c r="E33545" s="2">
        <v>1.9960079840319299E-3</v>
      </c>
      <c r="F33545" s="2">
        <v>2.4621445278837799E-5</v>
      </c>
    </row>
    <row r="33546" spans="1:6" x14ac:dyDescent="0.25">
      <c r="A33546" s="1" t="str">
        <f t="shared" si="1197"/>
        <v>43060</v>
      </c>
      <c r="B33546" s="1" t="str">
        <f>"74854"</f>
        <v>74854</v>
      </c>
      <c r="C33546" s="2">
        <v>1.0155721056194901E-2</v>
      </c>
      <c r="D33546" s="2">
        <v>2.5086233929131302E-3</v>
      </c>
      <c r="E33546" s="2">
        <v>1.9960079840319299E-3</v>
      </c>
      <c r="F33546" s="2">
        <v>9.4546349870737404E-3</v>
      </c>
    </row>
    <row r="33547" spans="1:6" x14ac:dyDescent="0.25">
      <c r="A33547" s="1" t="str">
        <f t="shared" si="1197"/>
        <v>43060</v>
      </c>
      <c r="B33547" s="1" t="str">
        <f>"74852"</f>
        <v>74852</v>
      </c>
      <c r="C33547" s="2">
        <v>2.4184157075152299E-2</v>
      </c>
      <c r="D33547" s="2">
        <v>1.2229539040451501E-2</v>
      </c>
      <c r="E33547" s="2">
        <v>1.9960079840319299E-3</v>
      </c>
      <c r="F33547" s="2">
        <v>2.29718084451557E-2</v>
      </c>
    </row>
    <row r="33548" spans="1:6" x14ac:dyDescent="0.25">
      <c r="A33548" s="1" t="str">
        <f t="shared" si="1197"/>
        <v>43060</v>
      </c>
      <c r="B33548" s="1" t="str">
        <f>"74873"</f>
        <v>74873</v>
      </c>
      <c r="C33548" s="2">
        <v>0.16268111035883501</v>
      </c>
      <c r="D33548" s="2">
        <v>0.118218877391031</v>
      </c>
      <c r="E33548" s="2">
        <v>9.1816367265469004E-2</v>
      </c>
      <c r="F33548" s="2">
        <v>0.15831589314292699</v>
      </c>
    </row>
    <row r="33549" spans="1:6" x14ac:dyDescent="0.25">
      <c r="A33549" s="1" t="str">
        <f t="shared" si="1197"/>
        <v>43060</v>
      </c>
      <c r="B33549" s="1" t="str">
        <f>"74826"</f>
        <v>74826</v>
      </c>
      <c r="C33549" s="2">
        <v>2.1394719025050701E-2</v>
      </c>
      <c r="D33549" s="2">
        <v>6.5851364063969804E-3</v>
      </c>
      <c r="E33549" s="2">
        <v>5.9880239520958001E-3</v>
      </c>
      <c r="F33549" s="2">
        <v>2.0041856456974001E-2</v>
      </c>
    </row>
    <row r="33550" spans="1:6" x14ac:dyDescent="0.25">
      <c r="A33550" s="1" t="str">
        <f t="shared" si="1197"/>
        <v>43060</v>
      </c>
      <c r="B33550" s="1" t="str">
        <f>"74849"</f>
        <v>74849</v>
      </c>
      <c r="C33550" s="2">
        <v>5.3893026404874698E-3</v>
      </c>
      <c r="D33550" s="2">
        <v>6.2715584822828395E-4</v>
      </c>
      <c r="E33550" s="2">
        <v>0</v>
      </c>
      <c r="F33550" s="2">
        <v>4.94891050104641E-3</v>
      </c>
    </row>
    <row r="33551" spans="1:6" x14ac:dyDescent="0.25">
      <c r="A33551" s="1" t="str">
        <f t="shared" ref="A33551:A33572" si="1198">"43100"</f>
        <v>43100</v>
      </c>
      <c r="B33551" s="1" t="str">
        <f>"53040"</f>
        <v>53040</v>
      </c>
      <c r="C33551" s="2">
        <v>2.83196392972257E-3</v>
      </c>
      <c r="D33551" s="2">
        <v>1.59659393294305E-3</v>
      </c>
      <c r="E33551" s="2">
        <v>0</v>
      </c>
      <c r="F33551" s="2">
        <v>2.66545203029842E-3</v>
      </c>
    </row>
    <row r="33552" spans="1:6" x14ac:dyDescent="0.25">
      <c r="A33552" s="1" t="str">
        <f t="shared" si="1198"/>
        <v>43100</v>
      </c>
      <c r="B33552" s="1" t="str">
        <f>"53093"</f>
        <v>53093</v>
      </c>
      <c r="C33552" s="2">
        <v>1.3619510740968401E-2</v>
      </c>
      <c r="D33552" s="2">
        <v>6.9185737094199003E-3</v>
      </c>
      <c r="E33552" s="2">
        <v>5.4171180931744298E-4</v>
      </c>
      <c r="F33552" s="2">
        <v>1.2787421765608899E-2</v>
      </c>
    </row>
    <row r="33553" spans="1:6" x14ac:dyDescent="0.25">
      <c r="A33553" s="1" t="str">
        <f t="shared" si="1198"/>
        <v>43100</v>
      </c>
      <c r="B33553" s="1" t="str">
        <f>"53083"</f>
        <v>53083</v>
      </c>
      <c r="C33553" s="2">
        <v>0.17500419205186901</v>
      </c>
      <c r="D33553" s="2">
        <v>0.112825971261309</v>
      </c>
      <c r="E33553" s="2">
        <v>0.121885157096424</v>
      </c>
      <c r="F33553" s="2">
        <v>0.16940803346997901</v>
      </c>
    </row>
    <row r="33554" spans="1:6" x14ac:dyDescent="0.25">
      <c r="A33554" s="1" t="str">
        <f t="shared" si="1198"/>
        <v>43100</v>
      </c>
      <c r="B33554" s="1" t="str">
        <f>"53004"</f>
        <v>53004</v>
      </c>
      <c r="C33554" s="2">
        <v>9.3156708214558505E-5</v>
      </c>
      <c r="D33554" s="2">
        <v>2.6609898882384202E-4</v>
      </c>
      <c r="E33554" s="2">
        <v>0</v>
      </c>
      <c r="F33554" s="2">
        <v>1.0121969735310399E-4</v>
      </c>
    </row>
    <row r="33555" spans="1:6" x14ac:dyDescent="0.25">
      <c r="A33555" s="1" t="str">
        <f t="shared" si="1198"/>
        <v>43100</v>
      </c>
      <c r="B33555" s="1" t="str">
        <f>"53075"</f>
        <v>53075</v>
      </c>
      <c r="C33555" s="2">
        <v>2.6288823058148399E-2</v>
      </c>
      <c r="D33555" s="2">
        <v>1.2506652474720501E-2</v>
      </c>
      <c r="E33555" s="2">
        <v>2.05850487540628E-2</v>
      </c>
      <c r="F33555" s="2">
        <v>2.5237444540040802E-2</v>
      </c>
    </row>
    <row r="33556" spans="1:6" x14ac:dyDescent="0.25">
      <c r="A33556" s="1" t="str">
        <f t="shared" si="1198"/>
        <v>43100</v>
      </c>
      <c r="B33556" s="1" t="str">
        <f>"53070"</f>
        <v>53070</v>
      </c>
      <c r="C33556" s="2">
        <v>4.2963873828554301E-2</v>
      </c>
      <c r="D33556" s="2">
        <v>3.1399680681213397E-2</v>
      </c>
      <c r="E33556" s="2">
        <v>2.5460455037919799E-2</v>
      </c>
      <c r="F33556" s="2">
        <v>4.1685645359920302E-2</v>
      </c>
    </row>
    <row r="33557" spans="1:6" x14ac:dyDescent="0.25">
      <c r="A33557" s="1" t="str">
        <f t="shared" si="1198"/>
        <v>43100</v>
      </c>
      <c r="B33557" s="1" t="str">
        <f>"53020"</f>
        <v>53020</v>
      </c>
      <c r="C33557" s="2">
        <v>3.2902949341382E-2</v>
      </c>
      <c r="D33557" s="2">
        <v>1.4103246407663601E-2</v>
      </c>
      <c r="E33557" s="2">
        <v>7.0422535211267599E-3</v>
      </c>
      <c r="F33557" s="2">
        <v>3.0905747591814699E-2</v>
      </c>
    </row>
    <row r="33558" spans="1:6" x14ac:dyDescent="0.25">
      <c r="A33558" s="1" t="str">
        <f t="shared" si="1198"/>
        <v>43100</v>
      </c>
      <c r="B33558" s="1" t="str">
        <f>"53042"</f>
        <v>53042</v>
      </c>
      <c r="C33558" s="2">
        <v>1.86313416429117E-5</v>
      </c>
      <c r="D33558" s="2">
        <v>0</v>
      </c>
      <c r="E33558" s="2">
        <v>0</v>
      </c>
      <c r="F33558" s="2">
        <v>1.68699495588508E-5</v>
      </c>
    </row>
    <row r="33559" spans="1:6" x14ac:dyDescent="0.25">
      <c r="A33559" s="1" t="str">
        <f t="shared" si="1198"/>
        <v>43100</v>
      </c>
      <c r="B33559" s="1" t="str">
        <f>"53031"</f>
        <v>53031</v>
      </c>
      <c r="C33559" s="2">
        <v>0</v>
      </c>
      <c r="D33559" s="2">
        <v>0</v>
      </c>
      <c r="E33559" s="2">
        <v>1.6251354279523201E-3</v>
      </c>
      <c r="F33559" s="2">
        <v>5.0609848676552397E-5</v>
      </c>
    </row>
    <row r="33560" spans="1:6" x14ac:dyDescent="0.25">
      <c r="A33560" s="1" t="str">
        <f t="shared" si="1198"/>
        <v>43100</v>
      </c>
      <c r="B33560" s="1" t="str">
        <f>"53026"</f>
        <v>53026</v>
      </c>
      <c r="C33560" s="2">
        <v>2.4220744135785199E-4</v>
      </c>
      <c r="D33560" s="2">
        <v>0</v>
      </c>
      <c r="E33560" s="2">
        <v>5.4171180931744298E-4</v>
      </c>
      <c r="F33560" s="2">
        <v>2.3617929382391099E-4</v>
      </c>
    </row>
    <row r="33561" spans="1:6" x14ac:dyDescent="0.25">
      <c r="A33561" s="1" t="str">
        <f t="shared" si="1198"/>
        <v>43100</v>
      </c>
      <c r="B33561" s="1" t="str">
        <f>"53015"</f>
        <v>53015</v>
      </c>
      <c r="C33561" s="2">
        <v>2.98101466286587E-3</v>
      </c>
      <c r="D33561" s="2">
        <v>1.59659393294305E-3</v>
      </c>
      <c r="E33561" s="2">
        <v>0</v>
      </c>
      <c r="F33561" s="2">
        <v>2.8004116267692299E-3</v>
      </c>
    </row>
    <row r="33562" spans="1:6" x14ac:dyDescent="0.25">
      <c r="A33562" s="1" t="str">
        <f t="shared" si="1198"/>
        <v>43100</v>
      </c>
      <c r="B33562" s="1" t="str">
        <f>"53082"</f>
        <v>53082</v>
      </c>
      <c r="C33562" s="2">
        <v>1.1141542302461199E-2</v>
      </c>
      <c r="D33562" s="2">
        <v>7.5306013837147398E-2</v>
      </c>
      <c r="E33562" s="2">
        <v>5.4171180931744298E-4</v>
      </c>
      <c r="F33562" s="2">
        <v>1.4879295510906399E-2</v>
      </c>
    </row>
    <row r="33563" spans="1:6" x14ac:dyDescent="0.25">
      <c r="A33563" s="1" t="str">
        <f t="shared" si="1198"/>
        <v>43100</v>
      </c>
      <c r="B33563" s="1" t="str">
        <f>"53079"</f>
        <v>53079</v>
      </c>
      <c r="C33563" s="2">
        <v>2.9810146628658698E-4</v>
      </c>
      <c r="D33563" s="2">
        <v>0</v>
      </c>
      <c r="E33563" s="2">
        <v>0</v>
      </c>
      <c r="F33563" s="2">
        <v>2.6991919294161302E-4</v>
      </c>
    </row>
    <row r="33564" spans="1:6" x14ac:dyDescent="0.25">
      <c r="A33564" s="1" t="str">
        <f t="shared" si="1198"/>
        <v>43100</v>
      </c>
      <c r="B33564" s="1" t="str">
        <f>"53001"</f>
        <v>53001</v>
      </c>
      <c r="C33564" s="2">
        <v>1.5929797104689499E-2</v>
      </c>
      <c r="D33564" s="2">
        <v>1.09100585417775E-2</v>
      </c>
      <c r="E33564" s="2">
        <v>5.95882990249187E-3</v>
      </c>
      <c r="F33564" s="2">
        <v>1.5301044249877599E-2</v>
      </c>
    </row>
    <row r="33565" spans="1:6" x14ac:dyDescent="0.25">
      <c r="A33565" s="1" t="str">
        <f t="shared" si="1198"/>
        <v>43100</v>
      </c>
      <c r="B33565" s="1" t="str">
        <f>"53021"</f>
        <v>53021</v>
      </c>
      <c r="C33565" s="2">
        <v>7.4525366571646798E-5</v>
      </c>
      <c r="D33565" s="2">
        <v>0</v>
      </c>
      <c r="E33565" s="2">
        <v>0</v>
      </c>
      <c r="F33565" s="2">
        <v>6.7479798235403201E-5</v>
      </c>
    </row>
    <row r="33566" spans="1:6" x14ac:dyDescent="0.25">
      <c r="A33566" s="1" t="str">
        <f t="shared" si="1198"/>
        <v>43100</v>
      </c>
      <c r="B33566" s="1" t="str">
        <f>"53011"</f>
        <v>53011</v>
      </c>
      <c r="C33566" s="2">
        <v>1.8333240176625101E-2</v>
      </c>
      <c r="D33566" s="2">
        <v>6.9185737094199003E-3</v>
      </c>
      <c r="E33566" s="2">
        <v>8.1256771397616393E-3</v>
      </c>
      <c r="F33566" s="2">
        <v>1.7291698297822001E-2</v>
      </c>
    </row>
    <row r="33567" spans="1:6" x14ac:dyDescent="0.25">
      <c r="A33567" s="1" t="str">
        <f t="shared" si="1198"/>
        <v>43100</v>
      </c>
      <c r="B33567" s="1" t="str">
        <f>"53044"</f>
        <v>53044</v>
      </c>
      <c r="C33567" s="2">
        <v>1.8053770051981399E-2</v>
      </c>
      <c r="D33567" s="2">
        <v>2.1287919105907299E-2</v>
      </c>
      <c r="E33567" s="2">
        <v>1.24593716143011E-2</v>
      </c>
      <c r="F33567" s="2">
        <v>1.8084585927088E-2</v>
      </c>
    </row>
    <row r="33568" spans="1:6" x14ac:dyDescent="0.25">
      <c r="A33568" s="1" t="str">
        <f t="shared" si="1198"/>
        <v>43100</v>
      </c>
      <c r="B33568" s="1" t="str">
        <f>"53081"</f>
        <v>53081</v>
      </c>
      <c r="C33568" s="2">
        <v>0.37374471335680798</v>
      </c>
      <c r="D33568" s="2">
        <v>0.45981905268759898</v>
      </c>
      <c r="E33568" s="2">
        <v>0.458829902491874</v>
      </c>
      <c r="F33568" s="2">
        <v>0.38185130826458802</v>
      </c>
    </row>
    <row r="33569" spans="1:6" x14ac:dyDescent="0.25">
      <c r="A33569" s="1" t="str">
        <f t="shared" si="1198"/>
        <v>43100</v>
      </c>
      <c r="B33569" s="1" t="str">
        <f>"53073"</f>
        <v>53073</v>
      </c>
      <c r="C33569" s="2">
        <v>0.12689806792987099</v>
      </c>
      <c r="D33569" s="2">
        <v>0.13970196913251701</v>
      </c>
      <c r="E33569" s="2">
        <v>0.196641386782231</v>
      </c>
      <c r="F33569" s="2">
        <v>0.12988174165359201</v>
      </c>
    </row>
    <row r="33570" spans="1:6" x14ac:dyDescent="0.25">
      <c r="A33570" s="1" t="str">
        <f t="shared" si="1198"/>
        <v>43100</v>
      </c>
      <c r="B33570" s="1" t="str">
        <f>"53023"</f>
        <v>53023</v>
      </c>
      <c r="C33570" s="2">
        <v>1.1402381085461899E-2</v>
      </c>
      <c r="D33570" s="2">
        <v>3.9914848323576299E-3</v>
      </c>
      <c r="E33570" s="2">
        <v>5.4171180931744303E-3</v>
      </c>
      <c r="F33570" s="2">
        <v>1.07461578689879E-2</v>
      </c>
    </row>
    <row r="33571" spans="1:6" x14ac:dyDescent="0.25">
      <c r="A33571" s="1" t="str">
        <f t="shared" si="1198"/>
        <v>43100</v>
      </c>
      <c r="B33571" s="1" t="str">
        <f>"53085"</f>
        <v>53085</v>
      </c>
      <c r="C33571" s="2">
        <v>0.10323626404337299</v>
      </c>
      <c r="D33571" s="2">
        <v>8.8344864289515601E-2</v>
      </c>
      <c r="E33571" s="2">
        <v>0.11971830985915401</v>
      </c>
      <c r="F33571" s="2">
        <v>0.102805472611636</v>
      </c>
    </row>
    <row r="33572" spans="1:6" x14ac:dyDescent="0.25">
      <c r="A33572" s="1" t="str">
        <f t="shared" si="1198"/>
        <v>43100</v>
      </c>
      <c r="B33572" s="1" t="str">
        <f>"53013"</f>
        <v>53013</v>
      </c>
      <c r="C33572" s="2">
        <v>2.3941274011141499E-2</v>
      </c>
      <c r="D33572" s="2">
        <v>1.2506652474720501E-2</v>
      </c>
      <c r="E33572" s="2">
        <v>1.46262188515709E-2</v>
      </c>
      <c r="F33572" s="2">
        <v>2.29262614504782E-2</v>
      </c>
    </row>
    <row r="33573" spans="1:6" x14ac:dyDescent="0.25">
      <c r="A33573" s="1" t="str">
        <f t="shared" ref="A33573:A33590" si="1199">"43140"</f>
        <v>43140</v>
      </c>
      <c r="B33573" s="1" t="str">
        <f>"28042"</f>
        <v>28042</v>
      </c>
      <c r="C33573" s="2">
        <v>0</v>
      </c>
      <c r="D33573" s="2">
        <v>0</v>
      </c>
      <c r="E33573" s="2">
        <v>6.4641241111829302E-4</v>
      </c>
      <c r="F33573" s="2">
        <v>1.8830264000301201E-5</v>
      </c>
    </row>
    <row r="33574" spans="1:6" x14ac:dyDescent="0.25">
      <c r="A33574" s="1" t="str">
        <f t="shared" si="1199"/>
        <v>43140</v>
      </c>
      <c r="B33574" s="1" t="str">
        <f>"28089"</f>
        <v>28089</v>
      </c>
      <c r="C33574" s="2">
        <v>0</v>
      </c>
      <c r="D33574" s="2">
        <v>0</v>
      </c>
      <c r="E33574" s="2">
        <v>6.4641241111829302E-4</v>
      </c>
      <c r="F33574" s="2">
        <v>1.8830264000301201E-5</v>
      </c>
    </row>
    <row r="33575" spans="1:6" x14ac:dyDescent="0.25">
      <c r="A33575" s="1" t="str">
        <f t="shared" si="1199"/>
        <v>43140</v>
      </c>
      <c r="B33575" s="1" t="str">
        <f>"28114"</f>
        <v>28114</v>
      </c>
      <c r="C33575" s="2">
        <v>2.8823058446757401E-2</v>
      </c>
      <c r="D33575" s="2">
        <v>9.2750793263363402E-3</v>
      </c>
      <c r="E33575" s="2">
        <v>1.8099547511312201E-2</v>
      </c>
      <c r="F33575" s="2">
        <v>2.7002598576431999E-2</v>
      </c>
    </row>
    <row r="33576" spans="1:6" x14ac:dyDescent="0.25">
      <c r="A33576" s="1" t="str">
        <f t="shared" si="1199"/>
        <v>43140</v>
      </c>
      <c r="B33576" s="1" t="str">
        <f>"28136"</f>
        <v>28136</v>
      </c>
      <c r="C33576" s="2">
        <v>1.07032994816906E-2</v>
      </c>
      <c r="D33576" s="2">
        <v>1.1715889675372199E-2</v>
      </c>
      <c r="E33576" s="2">
        <v>6.4641241111829302E-4</v>
      </c>
      <c r="F33576" s="2">
        <v>1.0488457048167799E-2</v>
      </c>
    </row>
    <row r="33577" spans="1:6" x14ac:dyDescent="0.25">
      <c r="A33577" s="1" t="str">
        <f t="shared" si="1199"/>
        <v>43140</v>
      </c>
      <c r="B33577" s="1" t="str">
        <f>"28040"</f>
        <v>28040</v>
      </c>
      <c r="C33577" s="2">
        <v>1.11668281994016E-3</v>
      </c>
      <c r="D33577" s="2">
        <v>0</v>
      </c>
      <c r="E33577" s="2">
        <v>0</v>
      </c>
      <c r="F33577" s="2">
        <v>9.9800399201596798E-4</v>
      </c>
    </row>
    <row r="33578" spans="1:6" x14ac:dyDescent="0.25">
      <c r="A33578" s="1" t="str">
        <f t="shared" si="1199"/>
        <v>43140</v>
      </c>
      <c r="B33578" s="1" t="str">
        <f>"28020"</f>
        <v>28020</v>
      </c>
      <c r="C33578" s="2">
        <v>2.31342969112131E-2</v>
      </c>
      <c r="D33578" s="2">
        <v>4.1493775933609898E-3</v>
      </c>
      <c r="E33578" s="2">
        <v>1.93923723335488E-3</v>
      </c>
      <c r="F33578" s="2">
        <v>2.1052235152336798E-2</v>
      </c>
    </row>
    <row r="33579" spans="1:6" x14ac:dyDescent="0.25">
      <c r="A33579" s="1" t="str">
        <f t="shared" si="1199"/>
        <v>43140</v>
      </c>
      <c r="B33579" s="1" t="str">
        <f>"28073"</f>
        <v>28073</v>
      </c>
      <c r="C33579" s="2">
        <v>4.9365808436222597E-2</v>
      </c>
      <c r="D33579" s="2">
        <v>2.1479131071515702E-2</v>
      </c>
      <c r="E33579" s="2">
        <v>4.52488687782805E-2</v>
      </c>
      <c r="F33579" s="2">
        <v>4.70944902647535E-2</v>
      </c>
    </row>
    <row r="33580" spans="1:6" x14ac:dyDescent="0.25">
      <c r="A33580" s="1" t="str">
        <f t="shared" si="1199"/>
        <v>43140</v>
      </c>
      <c r="B33580" s="1" t="str">
        <f>"28151"</f>
        <v>28151</v>
      </c>
      <c r="C33580" s="2">
        <v>3.7208714339892902E-2</v>
      </c>
      <c r="D33580" s="2">
        <v>0.14205516231388801</v>
      </c>
      <c r="E33580" s="2">
        <v>6.4641241111829302E-4</v>
      </c>
      <c r="F33580" s="2">
        <v>4.4232290136707701E-2</v>
      </c>
    </row>
    <row r="33581" spans="1:6" x14ac:dyDescent="0.25">
      <c r="A33581" s="1" t="str">
        <f t="shared" si="1199"/>
        <v>43140</v>
      </c>
      <c r="B33581" s="1" t="str">
        <f>"28152"</f>
        <v>28152</v>
      </c>
      <c r="C33581" s="2">
        <v>0.23772702372424201</v>
      </c>
      <c r="D33581" s="2">
        <v>0.24920673663656301</v>
      </c>
      <c r="E33581" s="2">
        <v>0.26955397543632797</v>
      </c>
      <c r="F33581" s="2">
        <v>0.23953978834783199</v>
      </c>
    </row>
    <row r="33582" spans="1:6" x14ac:dyDescent="0.25">
      <c r="A33582" s="1" t="str">
        <f t="shared" si="1199"/>
        <v>43140</v>
      </c>
      <c r="B33582" s="1" t="str">
        <f>"28017"</f>
        <v>28017</v>
      </c>
      <c r="C33582" s="2">
        <v>4.2138974337364603E-5</v>
      </c>
      <c r="D33582" s="2">
        <v>0</v>
      </c>
      <c r="E33582" s="2">
        <v>1.29282482223658E-3</v>
      </c>
      <c r="F33582" s="2">
        <v>7.5321056001205103E-5</v>
      </c>
    </row>
    <row r="33583" spans="1:6" x14ac:dyDescent="0.25">
      <c r="A33583" s="1" t="str">
        <f t="shared" si="1199"/>
        <v>43140</v>
      </c>
      <c r="B33583" s="1" t="str">
        <f>"28169"</f>
        <v>28169</v>
      </c>
      <c r="C33583" s="2">
        <v>0</v>
      </c>
      <c r="D33583" s="2">
        <v>0</v>
      </c>
      <c r="E33583" s="2">
        <v>6.4641241111829302E-4</v>
      </c>
      <c r="F33583" s="2">
        <v>1.8830264000301201E-5</v>
      </c>
    </row>
    <row r="33584" spans="1:6" x14ac:dyDescent="0.25">
      <c r="A33584" s="1" t="str">
        <f t="shared" si="1199"/>
        <v>43140</v>
      </c>
      <c r="B33584" s="1" t="str">
        <f>"28168"</f>
        <v>28168</v>
      </c>
      <c r="C33584" s="2">
        <v>8.8491846108465695E-4</v>
      </c>
      <c r="D33584" s="2">
        <v>0</v>
      </c>
      <c r="E33584" s="2">
        <v>1.29282482223658E-3</v>
      </c>
      <c r="F33584" s="2">
        <v>8.28531616013256E-4</v>
      </c>
    </row>
    <row r="33585" spans="1:6" x14ac:dyDescent="0.25">
      <c r="A33585" s="1" t="str">
        <f t="shared" si="1199"/>
        <v>43140</v>
      </c>
      <c r="B33585" s="1" t="str">
        <f>"28150"</f>
        <v>28150</v>
      </c>
      <c r="C33585" s="2">
        <v>0.291770258311912</v>
      </c>
      <c r="D33585" s="2">
        <v>0.33487917988772198</v>
      </c>
      <c r="E33585" s="2">
        <v>0.44085326438267602</v>
      </c>
      <c r="F33585" s="2">
        <v>0.29943885813279097</v>
      </c>
    </row>
    <row r="33586" spans="1:6" x14ac:dyDescent="0.25">
      <c r="A33586" s="1" t="str">
        <f t="shared" si="1199"/>
        <v>43140</v>
      </c>
      <c r="B33586" s="1" t="str">
        <f>"28612"</f>
        <v>28612</v>
      </c>
      <c r="C33586" s="2">
        <v>8.6384897391597398E-4</v>
      </c>
      <c r="D33586" s="2">
        <v>0</v>
      </c>
      <c r="E33586" s="2">
        <v>0</v>
      </c>
      <c r="F33586" s="2">
        <v>7.7204082401235205E-4</v>
      </c>
    </row>
    <row r="33587" spans="1:6" x14ac:dyDescent="0.25">
      <c r="A33587" s="1" t="str">
        <f t="shared" si="1199"/>
        <v>43140</v>
      </c>
      <c r="B33587" s="1" t="str">
        <f>"28021"</f>
        <v>28021</v>
      </c>
      <c r="C33587" s="2">
        <v>2.4314188192659299E-2</v>
      </c>
      <c r="D33587" s="2">
        <v>6.1020258725896902E-3</v>
      </c>
      <c r="E33587" s="2">
        <v>1.4221073044602401E-2</v>
      </c>
      <c r="F33587" s="2">
        <v>2.2615147064361799E-2</v>
      </c>
    </row>
    <row r="33588" spans="1:6" x14ac:dyDescent="0.25">
      <c r="A33588" s="1" t="str">
        <f t="shared" si="1199"/>
        <v>43140</v>
      </c>
      <c r="B33588" s="1" t="str">
        <f>"28090"</f>
        <v>28090</v>
      </c>
      <c r="C33588" s="2">
        <v>7.1952298681050103E-2</v>
      </c>
      <c r="D33588" s="2">
        <v>2.85574810837197E-2</v>
      </c>
      <c r="E33588" s="2">
        <v>1.5513897866839E-2</v>
      </c>
      <c r="F33588" s="2">
        <v>6.6960418785071293E-2</v>
      </c>
    </row>
    <row r="33589" spans="1:6" x14ac:dyDescent="0.25">
      <c r="A33589" s="1" t="str">
        <f t="shared" si="1199"/>
        <v>43140</v>
      </c>
      <c r="B33589" s="1" t="str">
        <f>"28086"</f>
        <v>28086</v>
      </c>
      <c r="C33589" s="2">
        <v>0.22209346424508</v>
      </c>
      <c r="D33589" s="2">
        <v>0.19257993653892999</v>
      </c>
      <c r="E33589" s="2">
        <v>0.18810601163542301</v>
      </c>
      <c r="F33589" s="2">
        <v>0.218826497947501</v>
      </c>
    </row>
    <row r="33590" spans="1:6" x14ac:dyDescent="0.25">
      <c r="A33590" s="1" t="str">
        <f t="shared" si="1199"/>
        <v>43140</v>
      </c>
      <c r="B33590" s="1" t="str">
        <f>"28038"</f>
        <v>28038</v>
      </c>
      <c r="C33590" s="2">
        <v>0</v>
      </c>
      <c r="D33590" s="2">
        <v>0</v>
      </c>
      <c r="E33590" s="2">
        <v>6.4641241111829302E-4</v>
      </c>
      <c r="F33590" s="2">
        <v>1.8830264000301201E-5</v>
      </c>
    </row>
    <row r="33591" spans="1:6" x14ac:dyDescent="0.25">
      <c r="A33591" s="1" t="str">
        <f t="shared" ref="A33591:A33604" si="1200">"43180"</f>
        <v>43180</v>
      </c>
      <c r="B33591" s="1" t="str">
        <f>"37183"</f>
        <v>37183</v>
      </c>
      <c r="C33591" s="2">
        <v>6.0623283129676901E-2</v>
      </c>
      <c r="D33591" s="2">
        <v>2.3286759813705898E-2</v>
      </c>
      <c r="E33591" s="2">
        <v>3.66300366300366E-3</v>
      </c>
      <c r="F33591" s="2">
        <v>5.7492354740061098E-2</v>
      </c>
    </row>
    <row r="33592" spans="1:6" x14ac:dyDescent="0.25">
      <c r="A33592" s="1" t="str">
        <f t="shared" si="1200"/>
        <v>43180</v>
      </c>
      <c r="B33592" s="1" t="str">
        <f>"37180"</f>
        <v>37180</v>
      </c>
      <c r="C33592" s="2">
        <v>6.4080704745666295E-2</v>
      </c>
      <c r="D33592" s="2">
        <v>1.13107119095143E-2</v>
      </c>
      <c r="E33592" s="2">
        <v>2.19780219780219E-2</v>
      </c>
      <c r="F33592" s="2">
        <v>6.0113586719091297E-2</v>
      </c>
    </row>
    <row r="33593" spans="1:6" x14ac:dyDescent="0.25">
      <c r="A33593" s="1" t="str">
        <f t="shared" si="1200"/>
        <v>43180</v>
      </c>
      <c r="B33593" s="1" t="str">
        <f>"37018"</f>
        <v>37018</v>
      </c>
      <c r="C33593" s="2">
        <v>2.46282087714312E-3</v>
      </c>
      <c r="D33593" s="2">
        <v>1.33067198935462E-3</v>
      </c>
      <c r="E33593" s="2">
        <v>0</v>
      </c>
      <c r="F33593" s="2">
        <v>2.35910878112712E-3</v>
      </c>
    </row>
    <row r="33594" spans="1:6" x14ac:dyDescent="0.25">
      <c r="A33594" s="1" t="str">
        <f t="shared" si="1200"/>
        <v>43180</v>
      </c>
      <c r="B33594" s="1" t="str">
        <f>"37153"</f>
        <v>37153</v>
      </c>
      <c r="C33594" s="2">
        <v>5.7307947333522704E-3</v>
      </c>
      <c r="D33594" s="2">
        <v>1.9960079840319299E-3</v>
      </c>
      <c r="E33594" s="2">
        <v>0</v>
      </c>
      <c r="F33594" s="2">
        <v>5.4172127566622904E-3</v>
      </c>
    </row>
    <row r="33595" spans="1:6" x14ac:dyDescent="0.25">
      <c r="A33595" s="1" t="str">
        <f t="shared" si="1200"/>
        <v>43180</v>
      </c>
      <c r="B33595" s="1" t="str">
        <f>"37060"</f>
        <v>37060</v>
      </c>
      <c r="C33595" s="2">
        <v>6.9148432319787803E-3</v>
      </c>
      <c r="D33595" s="2">
        <v>3.9920159680638702E-3</v>
      </c>
      <c r="E33595" s="2">
        <v>0</v>
      </c>
      <c r="F33595" s="2">
        <v>6.6404543468763597E-3</v>
      </c>
    </row>
    <row r="33596" spans="1:6" x14ac:dyDescent="0.25">
      <c r="A33596" s="1" t="str">
        <f t="shared" si="1200"/>
        <v>43180</v>
      </c>
      <c r="B33596" s="1" t="str">
        <f>"37161"</f>
        <v>37161</v>
      </c>
      <c r="C33596" s="2">
        <v>0</v>
      </c>
      <c r="D33596" s="2">
        <v>6.6533599467731195E-4</v>
      </c>
      <c r="E33596" s="2">
        <v>0</v>
      </c>
      <c r="F33596" s="2">
        <v>4.3687199650502399E-5</v>
      </c>
    </row>
    <row r="33597" spans="1:6" x14ac:dyDescent="0.25">
      <c r="A33597" s="1" t="str">
        <f t="shared" si="1200"/>
        <v>43180</v>
      </c>
      <c r="B33597" s="1" t="str">
        <f>"37334"</f>
        <v>37334</v>
      </c>
      <c r="C33597" s="2">
        <v>1.3734962584067401E-3</v>
      </c>
      <c r="D33597" s="2">
        <v>0</v>
      </c>
      <c r="E33597" s="2">
        <v>0</v>
      </c>
      <c r="F33597" s="2">
        <v>1.2669287898645601E-3</v>
      </c>
    </row>
    <row r="33598" spans="1:6" x14ac:dyDescent="0.25">
      <c r="A33598" s="1" t="str">
        <f t="shared" si="1200"/>
        <v>43180</v>
      </c>
      <c r="B33598" s="1" t="str">
        <f>"37388"</f>
        <v>37388</v>
      </c>
      <c r="C33598" s="2">
        <v>2.7469925168134802E-3</v>
      </c>
      <c r="D33598" s="2">
        <v>1.33067198935462E-3</v>
      </c>
      <c r="E33598" s="2">
        <v>0</v>
      </c>
      <c r="F33598" s="2">
        <v>2.6212319790301399E-3</v>
      </c>
    </row>
    <row r="33599" spans="1:6" x14ac:dyDescent="0.25">
      <c r="A33599" s="1" t="str">
        <f t="shared" si="1200"/>
        <v>43180</v>
      </c>
      <c r="B33599" s="1" t="str">
        <f>"37360"</f>
        <v>37360</v>
      </c>
      <c r="C33599" s="2">
        <v>1.7002936440276499E-2</v>
      </c>
      <c r="D33599" s="2">
        <v>1.19760479041916E-2</v>
      </c>
      <c r="E33599" s="2">
        <v>0</v>
      </c>
      <c r="F33599" s="2">
        <v>1.6470074268239401E-2</v>
      </c>
    </row>
    <row r="33600" spans="1:6" x14ac:dyDescent="0.25">
      <c r="A33600" s="1" t="str">
        <f t="shared" si="1200"/>
        <v>43180</v>
      </c>
      <c r="B33600" s="1" t="str">
        <f>"37020"</f>
        <v>37020</v>
      </c>
      <c r="C33600" s="2">
        <v>7.1184995737425399E-2</v>
      </c>
      <c r="D33600" s="2">
        <v>1.0645375914836899E-2</v>
      </c>
      <c r="E33600" s="2">
        <v>0</v>
      </c>
      <c r="F33600" s="2">
        <v>6.6360856269113103E-2</v>
      </c>
    </row>
    <row r="33601" spans="1:6" x14ac:dyDescent="0.25">
      <c r="A33601" s="1" t="str">
        <f t="shared" si="1200"/>
        <v>43180</v>
      </c>
      <c r="B33601" s="1" t="str">
        <f>"37091"</f>
        <v>37091</v>
      </c>
      <c r="C33601" s="2">
        <v>1.37349625840674E-2</v>
      </c>
      <c r="D33601" s="2">
        <v>1.9960079840319299E-3</v>
      </c>
      <c r="E33601" s="2">
        <v>7.3260073260073199E-3</v>
      </c>
      <c r="F33601" s="2">
        <v>1.28877238968982E-2</v>
      </c>
    </row>
    <row r="33602" spans="1:6" x14ac:dyDescent="0.25">
      <c r="A33602" s="1" t="str">
        <f t="shared" si="1200"/>
        <v>43180</v>
      </c>
      <c r="B33602" s="1" t="str">
        <f>"37160"</f>
        <v>37160</v>
      </c>
      <c r="C33602" s="2">
        <v>0.72653215875722199</v>
      </c>
      <c r="D33602" s="2">
        <v>0.92548236859614097</v>
      </c>
      <c r="E33602" s="2">
        <v>0.96703296703296704</v>
      </c>
      <c r="F33602" s="2">
        <v>0.74246395806028798</v>
      </c>
    </row>
    <row r="33603" spans="1:6" x14ac:dyDescent="0.25">
      <c r="A33603" s="1" t="str">
        <f t="shared" si="1200"/>
        <v>43180</v>
      </c>
      <c r="B33603" s="1" t="str">
        <f>"37034"</f>
        <v>37034</v>
      </c>
      <c r="C33603" s="2">
        <v>2.03182722364308E-2</v>
      </c>
      <c r="D33603" s="2">
        <v>3.3266799733865601E-3</v>
      </c>
      <c r="E33603" s="2">
        <v>0</v>
      </c>
      <c r="F33603" s="2">
        <v>1.8960244648318001E-2</v>
      </c>
    </row>
    <row r="33604" spans="1:6" x14ac:dyDescent="0.25">
      <c r="A33604" s="1" t="str">
        <f t="shared" si="1200"/>
        <v>43180</v>
      </c>
      <c r="B33604" s="1" t="str">
        <f>"37144"</f>
        <v>37144</v>
      </c>
      <c r="C33604" s="2">
        <v>7.2937387515392598E-3</v>
      </c>
      <c r="D33604" s="2">
        <v>2.66134397870924E-3</v>
      </c>
      <c r="E33604" s="2">
        <v>0</v>
      </c>
      <c r="F33604" s="2">
        <v>6.9025775447793701E-3</v>
      </c>
    </row>
    <row r="33605" spans="1:6" x14ac:dyDescent="0.25">
      <c r="A33605" s="1" t="str">
        <f t="shared" ref="A33605:A33619" si="1201">"43220"</f>
        <v>43220</v>
      </c>
      <c r="B33605" s="1" t="str">
        <f>"98557"</f>
        <v>98557</v>
      </c>
      <c r="C33605" s="2">
        <v>7.1052631578947297E-4</v>
      </c>
      <c r="D33605" s="2">
        <v>0</v>
      </c>
      <c r="E33605" s="2">
        <v>0</v>
      </c>
      <c r="F33605" s="2">
        <v>6.61294668005584E-4</v>
      </c>
    </row>
    <row r="33606" spans="1:6" x14ac:dyDescent="0.25">
      <c r="A33606" s="1" t="str">
        <f t="shared" si="1201"/>
        <v>43220</v>
      </c>
      <c r="B33606" s="1" t="str">
        <f>"98524"</f>
        <v>98524</v>
      </c>
      <c r="C33606" s="2">
        <v>8.5289473684210498E-2</v>
      </c>
      <c r="D33606" s="2">
        <v>5.74265975820379E-2</v>
      </c>
      <c r="E33606" s="2">
        <v>3.7037037037037E-2</v>
      </c>
      <c r="F33606" s="2">
        <v>8.3102696612701699E-2</v>
      </c>
    </row>
    <row r="33607" spans="1:6" x14ac:dyDescent="0.25">
      <c r="A33607" s="1" t="str">
        <f t="shared" si="1201"/>
        <v>43220</v>
      </c>
      <c r="B33607" s="1" t="str">
        <f>"98380"</f>
        <v>98380</v>
      </c>
      <c r="C33607" s="2">
        <v>1.8421052631578899E-4</v>
      </c>
      <c r="D33607" s="2">
        <v>0</v>
      </c>
      <c r="E33607" s="2">
        <v>0</v>
      </c>
      <c r="F33607" s="2">
        <v>1.7144676577922501E-4</v>
      </c>
    </row>
    <row r="33608" spans="1:6" x14ac:dyDescent="0.25">
      <c r="A33608" s="1" t="str">
        <f t="shared" si="1201"/>
        <v>43220</v>
      </c>
      <c r="B33608" s="1" t="str">
        <f>"98528"</f>
        <v>98528</v>
      </c>
      <c r="C33608" s="2">
        <v>0.18763157894736801</v>
      </c>
      <c r="D33608" s="2">
        <v>0.24697754749568199</v>
      </c>
      <c r="E33608" s="2">
        <v>0.122807017543859</v>
      </c>
      <c r="F33608" s="2">
        <v>0.190183448039383</v>
      </c>
    </row>
    <row r="33609" spans="1:6" x14ac:dyDescent="0.25">
      <c r="A33609" s="1" t="str">
        <f t="shared" si="1201"/>
        <v>43220</v>
      </c>
      <c r="B33609" s="1" t="str">
        <f>"98584"</f>
        <v>98584</v>
      </c>
      <c r="C33609" s="2">
        <v>0.51300000000000001</v>
      </c>
      <c r="D33609" s="2">
        <v>0.62780656303972304</v>
      </c>
      <c r="E33609" s="2">
        <v>0.79142300194931703</v>
      </c>
      <c r="F33609" s="2">
        <v>0.52301060520708298</v>
      </c>
    </row>
    <row r="33610" spans="1:6" x14ac:dyDescent="0.25">
      <c r="A33610" s="1" t="str">
        <f t="shared" si="1201"/>
        <v>43220</v>
      </c>
      <c r="B33610" s="1" t="str">
        <f>"98312"</f>
        <v>98312</v>
      </c>
      <c r="C33610" s="2">
        <v>3.9473684210526299E-4</v>
      </c>
      <c r="D33610" s="2">
        <v>0</v>
      </c>
      <c r="E33610" s="2">
        <v>0</v>
      </c>
      <c r="F33610" s="2">
        <v>3.6738592666976899E-4</v>
      </c>
    </row>
    <row r="33611" spans="1:6" x14ac:dyDescent="0.25">
      <c r="A33611" s="1" t="str">
        <f t="shared" si="1201"/>
        <v>43220</v>
      </c>
      <c r="B33611" s="1" t="str">
        <f>"98563"</f>
        <v>98563</v>
      </c>
      <c r="C33611" s="2">
        <v>1.0526315789473599E-4</v>
      </c>
      <c r="D33611" s="2">
        <v>0</v>
      </c>
      <c r="E33611" s="2">
        <v>0</v>
      </c>
      <c r="F33611" s="2">
        <v>9.7969580445271705E-5</v>
      </c>
    </row>
    <row r="33612" spans="1:6" x14ac:dyDescent="0.25">
      <c r="A33612" s="1" t="str">
        <f t="shared" si="1201"/>
        <v>43220</v>
      </c>
      <c r="B33612" s="1" t="str">
        <f>"98541"</f>
        <v>98541</v>
      </c>
      <c r="C33612" s="2">
        <v>2.12894736842105E-2</v>
      </c>
      <c r="D33612" s="2">
        <v>5.1813471502590597E-3</v>
      </c>
      <c r="E33612" s="2">
        <v>1.1695906432748499E-2</v>
      </c>
      <c r="F33612" s="2">
        <v>2.02552107570599E-2</v>
      </c>
    </row>
    <row r="33613" spans="1:6" x14ac:dyDescent="0.25">
      <c r="A33613" s="1" t="str">
        <f t="shared" si="1201"/>
        <v>43220</v>
      </c>
      <c r="B33613" s="1" t="str">
        <f>"98588"</f>
        <v>98588</v>
      </c>
      <c r="C33613" s="2">
        <v>3.1E-2</v>
      </c>
      <c r="D33613" s="2">
        <v>7.34024179620034E-3</v>
      </c>
      <c r="E33613" s="2">
        <v>7.7972709551656898E-3</v>
      </c>
      <c r="F33613" s="2">
        <v>2.9366381738470199E-2</v>
      </c>
    </row>
    <row r="33614" spans="1:6" x14ac:dyDescent="0.25">
      <c r="A33614" s="1" t="str">
        <f t="shared" si="1201"/>
        <v>43220</v>
      </c>
      <c r="B33614" s="1" t="str">
        <f>"98560"</f>
        <v>98560</v>
      </c>
      <c r="C33614" s="2">
        <v>2.0526315789473602E-3</v>
      </c>
      <c r="D33614" s="2">
        <v>4.31778929188255E-4</v>
      </c>
      <c r="E33614" s="2">
        <v>1.9493177387914201E-3</v>
      </c>
      <c r="F33614" s="2">
        <v>1.95939160890543E-3</v>
      </c>
    </row>
    <row r="33615" spans="1:6" x14ac:dyDescent="0.25">
      <c r="A33615" s="1" t="str">
        <f t="shared" si="1201"/>
        <v>43220</v>
      </c>
      <c r="B33615" s="1" t="str">
        <f>"98548"</f>
        <v>98548</v>
      </c>
      <c r="C33615" s="2">
        <v>5.1368421052631501E-2</v>
      </c>
      <c r="D33615" s="2">
        <v>9.9309153713298699E-3</v>
      </c>
      <c r="E33615" s="2">
        <v>3.8986354775828401E-3</v>
      </c>
      <c r="F33615" s="2">
        <v>4.8421465135075503E-2</v>
      </c>
    </row>
    <row r="33616" spans="1:6" x14ac:dyDescent="0.25">
      <c r="A33616" s="1" t="str">
        <f t="shared" si="1201"/>
        <v>43220</v>
      </c>
      <c r="B33616" s="1" t="str">
        <f>"98555"</f>
        <v>98555</v>
      </c>
      <c r="C33616" s="2">
        <v>1.5578947368421E-2</v>
      </c>
      <c r="D33616" s="2">
        <v>6.9084628670120799E-3</v>
      </c>
      <c r="E33616" s="2">
        <v>1.1695906432748499E-2</v>
      </c>
      <c r="F33616" s="2">
        <v>1.5038330598349201E-2</v>
      </c>
    </row>
    <row r="33617" spans="1:6" x14ac:dyDescent="0.25">
      <c r="A33617" s="1" t="str">
        <f t="shared" si="1201"/>
        <v>43220</v>
      </c>
      <c r="B33617" s="1" t="str">
        <f>"98546"</f>
        <v>98546</v>
      </c>
      <c r="C33617" s="2">
        <v>4.5763157894736797E-2</v>
      </c>
      <c r="D33617" s="2">
        <v>4.3177892918825501E-3</v>
      </c>
      <c r="E33617" s="2">
        <v>0</v>
      </c>
      <c r="F33617" s="2">
        <v>4.2837199049694998E-2</v>
      </c>
    </row>
    <row r="33618" spans="1:6" x14ac:dyDescent="0.25">
      <c r="A33618" s="1" t="str">
        <f t="shared" si="1201"/>
        <v>43220</v>
      </c>
      <c r="B33618" s="1" t="str">
        <f>"98502"</f>
        <v>98502</v>
      </c>
      <c r="C33618" s="2">
        <v>6.3157894736842095E-4</v>
      </c>
      <c r="D33618" s="2">
        <v>0</v>
      </c>
      <c r="E33618" s="2">
        <v>0</v>
      </c>
      <c r="F33618" s="2">
        <v>5.8781748267163001E-4</v>
      </c>
    </row>
    <row r="33619" spans="1:6" x14ac:dyDescent="0.25">
      <c r="A33619" s="1" t="str">
        <f t="shared" si="1201"/>
        <v>43220</v>
      </c>
      <c r="B33619" s="1" t="str">
        <f>"98592"</f>
        <v>98592</v>
      </c>
      <c r="C33619" s="2">
        <v>4.4999999999999998E-2</v>
      </c>
      <c r="D33619" s="2">
        <v>3.3678756476683898E-2</v>
      </c>
      <c r="E33619" s="2">
        <v>1.1695906432748499E-2</v>
      </c>
      <c r="F33619" s="2">
        <v>4.3939356829704297E-2</v>
      </c>
    </row>
    <row r="33620" spans="1:6" x14ac:dyDescent="0.25">
      <c r="A33620" s="1" t="str">
        <f t="shared" ref="A33620:A33631" si="1202">"43260"</f>
        <v>43260</v>
      </c>
      <c r="B33620" s="1" t="str">
        <f>"82832"</f>
        <v>82832</v>
      </c>
      <c r="C33620" s="2">
        <v>1.6627389368944701E-2</v>
      </c>
      <c r="D33620" s="2">
        <v>3.5407182599898799E-3</v>
      </c>
      <c r="E33620" s="2">
        <v>1.2610340479192899E-3</v>
      </c>
      <c r="F33620" s="2">
        <v>1.45184528427352E-2</v>
      </c>
    </row>
    <row r="33621" spans="1:6" x14ac:dyDescent="0.25">
      <c r="A33621" s="1" t="str">
        <f t="shared" si="1202"/>
        <v>43260</v>
      </c>
      <c r="B33621" s="1" t="str">
        <f>"82801"</f>
        <v>82801</v>
      </c>
      <c r="C33621" s="2">
        <v>0.91509557475778902</v>
      </c>
      <c r="D33621" s="2">
        <v>0.99241274658573497</v>
      </c>
      <c r="E33621" s="2">
        <v>0.95208070617906604</v>
      </c>
      <c r="F33621" s="2">
        <v>0.92519117810040996</v>
      </c>
    </row>
    <row r="33622" spans="1:6" x14ac:dyDescent="0.25">
      <c r="A33622" s="1" t="str">
        <f t="shared" si="1202"/>
        <v>43260</v>
      </c>
      <c r="B33622" s="1" t="str">
        <f>"82842"</f>
        <v>82842</v>
      </c>
      <c r="C33622" s="2">
        <v>3.2731081434930601E-4</v>
      </c>
      <c r="D33622" s="2">
        <v>0</v>
      </c>
      <c r="E33622" s="2">
        <v>1.2610340479192899E-3</v>
      </c>
      <c r="F33622" s="2">
        <v>3.3248365288706598E-4</v>
      </c>
    </row>
    <row r="33623" spans="1:6" x14ac:dyDescent="0.25">
      <c r="A33623" s="1" t="str">
        <f t="shared" si="1202"/>
        <v>43260</v>
      </c>
      <c r="B33623" s="1" t="str">
        <f>"82845"</f>
        <v>82845</v>
      </c>
      <c r="C33623" s="2">
        <v>3.6004189578423599E-3</v>
      </c>
      <c r="D33623" s="2">
        <v>5.05816894284269E-4</v>
      </c>
      <c r="E33623" s="2">
        <v>1.2610340479192899E-3</v>
      </c>
      <c r="F33623" s="2">
        <v>3.1585947024271302E-3</v>
      </c>
    </row>
    <row r="33624" spans="1:6" x14ac:dyDescent="0.25">
      <c r="A33624" s="1" t="str">
        <f t="shared" si="1202"/>
        <v>43260</v>
      </c>
      <c r="B33624" s="1" t="str">
        <f>"82844"</f>
        <v>82844</v>
      </c>
      <c r="C33624" s="2">
        <v>9.8193244304791804E-4</v>
      </c>
      <c r="D33624" s="2">
        <v>5.05816894284269E-4</v>
      </c>
      <c r="E33624" s="2">
        <v>1.2610340479192899E-3</v>
      </c>
      <c r="F33624" s="2">
        <v>9.42037016513354E-4</v>
      </c>
    </row>
    <row r="33625" spans="1:6" x14ac:dyDescent="0.25">
      <c r="A33625" s="1" t="str">
        <f t="shared" si="1202"/>
        <v>43260</v>
      </c>
      <c r="B33625" s="1" t="str">
        <f>"82833"</f>
        <v>82833</v>
      </c>
      <c r="C33625" s="2">
        <v>1.24378109452736E-2</v>
      </c>
      <c r="D33625" s="2">
        <v>0</v>
      </c>
      <c r="E33625" s="2">
        <v>1.2610340479192899E-3</v>
      </c>
      <c r="F33625" s="2">
        <v>1.0584062950238201E-2</v>
      </c>
    </row>
    <row r="33626" spans="1:6" x14ac:dyDescent="0.25">
      <c r="A33626" s="1" t="str">
        <f t="shared" si="1202"/>
        <v>43260</v>
      </c>
      <c r="B33626" s="1" t="str">
        <f>"82838"</f>
        <v>82838</v>
      </c>
      <c r="C33626" s="2">
        <v>6.6116784498559799E-3</v>
      </c>
      <c r="D33626" s="2">
        <v>5.05816894284269E-4</v>
      </c>
      <c r="E33626" s="2">
        <v>1.51324085750315E-2</v>
      </c>
      <c r="F33626" s="2">
        <v>6.3171894048542603E-3</v>
      </c>
    </row>
    <row r="33627" spans="1:6" x14ac:dyDescent="0.25">
      <c r="A33627" s="1" t="str">
        <f t="shared" si="1202"/>
        <v>43260</v>
      </c>
      <c r="B33627" s="1" t="str">
        <f>"82831"</f>
        <v>82831</v>
      </c>
      <c r="C33627" s="2">
        <v>4.0586540979313896E-3</v>
      </c>
      <c r="D33627" s="2">
        <v>0</v>
      </c>
      <c r="E33627" s="2">
        <v>1.38713745271122E-2</v>
      </c>
      <c r="F33627" s="2">
        <v>4.04521777679264E-3</v>
      </c>
    </row>
    <row r="33628" spans="1:6" x14ac:dyDescent="0.25">
      <c r="A33628" s="1" t="str">
        <f t="shared" si="1202"/>
        <v>43260</v>
      </c>
      <c r="B33628" s="1" t="str">
        <f>"82836"</f>
        <v>82836</v>
      </c>
      <c r="C33628" s="2">
        <v>5.2369730295888904E-4</v>
      </c>
      <c r="D33628" s="2">
        <v>0</v>
      </c>
      <c r="E33628" s="2">
        <v>2.5220680958385798E-3</v>
      </c>
      <c r="F33628" s="2">
        <v>5.5413942147844301E-4</v>
      </c>
    </row>
    <row r="33629" spans="1:6" x14ac:dyDescent="0.25">
      <c r="A33629" s="1" t="str">
        <f t="shared" si="1202"/>
        <v>43260</v>
      </c>
      <c r="B33629" s="1" t="str">
        <f>"82835"</f>
        <v>82835</v>
      </c>
      <c r="C33629" s="2">
        <v>6.4152919612463898E-3</v>
      </c>
      <c r="D33629" s="2">
        <v>1.01163378856853E-3</v>
      </c>
      <c r="E33629" s="2">
        <v>1.2610340479192899E-3</v>
      </c>
      <c r="F33629" s="2">
        <v>5.5968081569322797E-3</v>
      </c>
    </row>
    <row r="33630" spans="1:6" x14ac:dyDescent="0.25">
      <c r="A33630" s="1" t="str">
        <f t="shared" si="1202"/>
        <v>43260</v>
      </c>
      <c r="B33630" s="1" t="str">
        <f>"82839"</f>
        <v>82839</v>
      </c>
      <c r="C33630" s="2">
        <v>3.3058392249279901E-2</v>
      </c>
      <c r="D33630" s="2">
        <v>1.5174506828528E-3</v>
      </c>
      <c r="E33630" s="2">
        <v>7.5662042875157603E-3</v>
      </c>
      <c r="F33630" s="2">
        <v>2.8482766263992002E-2</v>
      </c>
    </row>
    <row r="33631" spans="1:6" x14ac:dyDescent="0.25">
      <c r="A33631" s="1" t="str">
        <f t="shared" si="1202"/>
        <v>43260</v>
      </c>
      <c r="B33631" s="1" t="str">
        <f>"82837"</f>
        <v>82837</v>
      </c>
      <c r="C33631" s="2">
        <v>2.6184865147944398E-4</v>
      </c>
      <c r="D33631" s="2">
        <v>0</v>
      </c>
      <c r="E33631" s="2">
        <v>1.2610340479192899E-3</v>
      </c>
      <c r="F33631" s="2">
        <v>2.7706971073922102E-4</v>
      </c>
    </row>
    <row r="33632" spans="1:6" x14ac:dyDescent="0.25">
      <c r="A33632" s="1" t="str">
        <f t="shared" ref="A33632:A33653" si="1203">"43300"</f>
        <v>43300</v>
      </c>
      <c r="B33632" s="1" t="str">
        <f>"76264"</f>
        <v>76264</v>
      </c>
      <c r="C33632" s="2">
        <v>9.7857313861623094E-3</v>
      </c>
      <c r="D33632" s="2">
        <v>6.4787819889860696E-4</v>
      </c>
      <c r="E33632" s="2">
        <v>8.85878061490359E-3</v>
      </c>
      <c r="F33632" s="2">
        <v>9.0090090090090003E-3</v>
      </c>
    </row>
    <row r="33633" spans="1:6" x14ac:dyDescent="0.25">
      <c r="A33633" s="1" t="str">
        <f t="shared" si="1203"/>
        <v>43300</v>
      </c>
      <c r="B33633" s="1" t="str">
        <f>"75091"</f>
        <v>75091</v>
      </c>
      <c r="C33633" s="2">
        <v>2.88035671534594E-2</v>
      </c>
      <c r="D33633" s="2">
        <v>8.2928409459021704E-2</v>
      </c>
      <c r="E33633" s="2">
        <v>1.0422094841063001E-3</v>
      </c>
      <c r="F33633" s="2">
        <v>3.2552552552552502E-2</v>
      </c>
    </row>
    <row r="33634" spans="1:6" x14ac:dyDescent="0.25">
      <c r="A33634" s="1" t="str">
        <f t="shared" si="1203"/>
        <v>43300</v>
      </c>
      <c r="B33634" s="1" t="str">
        <f>"75058"</f>
        <v>75058</v>
      </c>
      <c r="C33634" s="2">
        <v>2.1756045008379198E-2</v>
      </c>
      <c r="D33634" s="2">
        <v>9.88014253320375E-3</v>
      </c>
      <c r="E33634" s="2">
        <v>7.7644606565919705E-2</v>
      </c>
      <c r="F33634" s="2">
        <v>2.2208875542208802E-2</v>
      </c>
    </row>
    <row r="33635" spans="1:6" x14ac:dyDescent="0.25">
      <c r="A33635" s="1" t="str">
        <f t="shared" si="1203"/>
        <v>43300</v>
      </c>
      <c r="B33635" s="1" t="str">
        <f>"75090"</f>
        <v>75090</v>
      </c>
      <c r="C33635" s="2">
        <v>0.15120002394062701</v>
      </c>
      <c r="D33635" s="2">
        <v>0.32167152575315799</v>
      </c>
      <c r="E33635" s="2">
        <v>0.202709744658676</v>
      </c>
      <c r="F33635" s="2">
        <v>0.16656656656656599</v>
      </c>
    </row>
    <row r="33636" spans="1:6" x14ac:dyDescent="0.25">
      <c r="A33636" s="1" t="str">
        <f t="shared" si="1203"/>
        <v>43300</v>
      </c>
      <c r="B33636" s="1" t="str">
        <f>"75020"</f>
        <v>75020</v>
      </c>
      <c r="C33636" s="2">
        <v>0.17228273880775599</v>
      </c>
      <c r="D33636" s="2">
        <v>0.22934888241010601</v>
      </c>
      <c r="E33636" s="2">
        <v>0.35539343408024998</v>
      </c>
      <c r="F33636" s="2">
        <v>0.18167500834167499</v>
      </c>
    </row>
    <row r="33637" spans="1:6" x14ac:dyDescent="0.25">
      <c r="A33637" s="1" t="str">
        <f t="shared" si="1203"/>
        <v>43300</v>
      </c>
      <c r="B33637" s="1" t="str">
        <f>"76258"</f>
        <v>76258</v>
      </c>
      <c r="C33637" s="2">
        <v>1.85539861144361E-3</v>
      </c>
      <c r="D33637" s="2">
        <v>1.61969549724651E-3</v>
      </c>
      <c r="E33637" s="2">
        <v>1.5633142261594499E-2</v>
      </c>
      <c r="F33637" s="2">
        <v>2.1888555221888499E-3</v>
      </c>
    </row>
    <row r="33638" spans="1:6" x14ac:dyDescent="0.25">
      <c r="A33638" s="1" t="str">
        <f t="shared" si="1203"/>
        <v>43300</v>
      </c>
      <c r="B33638" s="1" t="str">
        <f>"76233"</f>
        <v>76233</v>
      </c>
      <c r="C33638" s="2">
        <v>1.6967919559492398E-2</v>
      </c>
      <c r="D33638" s="2">
        <v>5.1830255911888496E-3</v>
      </c>
      <c r="E33638" s="2">
        <v>1.8238665971860302E-2</v>
      </c>
      <c r="F33638" s="2">
        <v>1.6029362696029299E-2</v>
      </c>
    </row>
    <row r="33639" spans="1:6" x14ac:dyDescent="0.25">
      <c r="A33639" s="1" t="str">
        <f t="shared" si="1203"/>
        <v>43300</v>
      </c>
      <c r="B33639" s="1" t="str">
        <f>"75491"</f>
        <v>75491</v>
      </c>
      <c r="C33639" s="2">
        <v>3.1930811587263498E-2</v>
      </c>
      <c r="D33639" s="2">
        <v>5.50696469063816E-3</v>
      </c>
      <c r="E33639" s="2">
        <v>2.3970818134445002E-2</v>
      </c>
      <c r="F33639" s="2">
        <v>2.9549549549549501E-2</v>
      </c>
    </row>
    <row r="33640" spans="1:6" x14ac:dyDescent="0.25">
      <c r="A33640" s="1" t="str">
        <f t="shared" si="1203"/>
        <v>43300</v>
      </c>
      <c r="B33640" s="1" t="str">
        <f>"75489"</f>
        <v>75489</v>
      </c>
      <c r="C33640" s="2">
        <v>9.6211395738568291E-3</v>
      </c>
      <c r="D33640" s="2">
        <v>6.31681243926141E-3</v>
      </c>
      <c r="E33640" s="2">
        <v>5.2110474205315199E-4</v>
      </c>
      <c r="F33640" s="2">
        <v>9.1157824491157804E-3</v>
      </c>
    </row>
    <row r="33641" spans="1:6" x14ac:dyDescent="0.25">
      <c r="A33641" s="1" t="str">
        <f t="shared" si="1203"/>
        <v>43300</v>
      </c>
      <c r="B33641" s="1" t="str">
        <f>"75479"</f>
        <v>75479</v>
      </c>
      <c r="C33641" s="2">
        <v>3.2918362461096401E-4</v>
      </c>
      <c r="D33641" s="2">
        <v>1.6196954972465101E-4</v>
      </c>
      <c r="E33641" s="2">
        <v>0</v>
      </c>
      <c r="F33641" s="2">
        <v>3.0697364030697301E-4</v>
      </c>
    </row>
    <row r="33642" spans="1:6" x14ac:dyDescent="0.25">
      <c r="A33642" s="1" t="str">
        <f t="shared" si="1203"/>
        <v>43300</v>
      </c>
      <c r="B33642" s="1" t="str">
        <f>"75490"</f>
        <v>75490</v>
      </c>
      <c r="C33642" s="2">
        <v>8.9777352166626703E-5</v>
      </c>
      <c r="D33642" s="2">
        <v>0</v>
      </c>
      <c r="E33642" s="2">
        <v>0</v>
      </c>
      <c r="F33642" s="2">
        <v>8.0080080080079997E-5</v>
      </c>
    </row>
    <row r="33643" spans="1:6" x14ac:dyDescent="0.25">
      <c r="A33643" s="1" t="str">
        <f t="shared" si="1203"/>
        <v>43300</v>
      </c>
      <c r="B33643" s="1" t="str">
        <f>"75459"</f>
        <v>75459</v>
      </c>
      <c r="C33643" s="2">
        <v>5.4240483600670297E-2</v>
      </c>
      <c r="D33643" s="2">
        <v>2.0894071914479999E-2</v>
      </c>
      <c r="E33643" s="2">
        <v>7.2954663887441302E-3</v>
      </c>
      <c r="F33643" s="2">
        <v>5.0290290290290203E-2</v>
      </c>
    </row>
    <row r="33644" spans="1:6" x14ac:dyDescent="0.25">
      <c r="A33644" s="1" t="str">
        <f t="shared" si="1203"/>
        <v>43300</v>
      </c>
      <c r="B33644" s="1" t="str">
        <f>"76245"</f>
        <v>76245</v>
      </c>
      <c r="C33644" s="2">
        <v>2.4643883169738999E-2</v>
      </c>
      <c r="D33644" s="2">
        <v>4.6971169420149004E-3</v>
      </c>
      <c r="E33644" s="2">
        <v>1.56331422615945E-3</v>
      </c>
      <c r="F33644" s="2">
        <v>2.2409075742408999E-2</v>
      </c>
    </row>
    <row r="33645" spans="1:6" x14ac:dyDescent="0.25">
      <c r="A33645" s="1" t="str">
        <f t="shared" si="1203"/>
        <v>43300</v>
      </c>
      <c r="B33645" s="1" t="str">
        <f>"76268"</f>
        <v>76268</v>
      </c>
      <c r="C33645" s="2">
        <v>0</v>
      </c>
      <c r="D33645" s="2">
        <v>0</v>
      </c>
      <c r="E33645" s="2">
        <v>5.2110474205315199E-4</v>
      </c>
      <c r="F33645" s="2">
        <v>1.3346680013346601E-5</v>
      </c>
    </row>
    <row r="33646" spans="1:6" x14ac:dyDescent="0.25">
      <c r="A33646" s="1" t="str">
        <f t="shared" si="1203"/>
        <v>43300</v>
      </c>
      <c r="B33646" s="1" t="str">
        <f>"75076"</f>
        <v>75076</v>
      </c>
      <c r="C33646" s="2">
        <v>7.0983959779746197E-2</v>
      </c>
      <c r="D33646" s="2">
        <v>4.7942986718496901E-2</v>
      </c>
      <c r="E33646" s="2">
        <v>3.9082855653986399E-2</v>
      </c>
      <c r="F33646" s="2">
        <v>6.8268268268268206E-2</v>
      </c>
    </row>
    <row r="33647" spans="1:6" x14ac:dyDescent="0.25">
      <c r="A33647" s="1" t="str">
        <f t="shared" si="1203"/>
        <v>43300</v>
      </c>
      <c r="B33647" s="1" t="str">
        <f>"75495"</f>
        <v>75495</v>
      </c>
      <c r="C33647" s="2">
        <v>5.1636940387838101E-2</v>
      </c>
      <c r="D33647" s="2">
        <v>2.3323615160349798E-2</v>
      </c>
      <c r="E33647" s="2">
        <v>7.2954663887441302E-3</v>
      </c>
      <c r="F33647" s="2">
        <v>4.8168168168168102E-2</v>
      </c>
    </row>
    <row r="33648" spans="1:6" x14ac:dyDescent="0.25">
      <c r="A33648" s="1" t="str">
        <f t="shared" si="1203"/>
        <v>43300</v>
      </c>
      <c r="B33648" s="1" t="str">
        <f>"75414"</f>
        <v>75414</v>
      </c>
      <c r="C33648" s="2">
        <v>2.0918123054824E-2</v>
      </c>
      <c r="D33648" s="2">
        <v>6.15484288953676E-3</v>
      </c>
      <c r="E33648" s="2">
        <v>2.5534132360604402E-2</v>
      </c>
      <c r="F33648" s="2">
        <v>1.9819819819819801E-2</v>
      </c>
    </row>
    <row r="33649" spans="1:6" x14ac:dyDescent="0.25">
      <c r="A33649" s="1" t="str">
        <f t="shared" si="1203"/>
        <v>43300</v>
      </c>
      <c r="B33649" s="1" t="str">
        <f>"76240"</f>
        <v>76240</v>
      </c>
      <c r="C33649" s="2">
        <v>8.9777352166626703E-5</v>
      </c>
      <c r="D33649" s="2">
        <v>0</v>
      </c>
      <c r="E33649" s="2">
        <v>0</v>
      </c>
      <c r="F33649" s="2">
        <v>8.0080080080079997E-5</v>
      </c>
    </row>
    <row r="33650" spans="1:6" x14ac:dyDescent="0.25">
      <c r="A33650" s="1" t="str">
        <f t="shared" si="1203"/>
        <v>43300</v>
      </c>
      <c r="B33650" s="1" t="str">
        <f>"75021"</f>
        <v>75021</v>
      </c>
      <c r="C33650" s="2">
        <v>8.2116351448407898E-2</v>
      </c>
      <c r="D33650" s="2">
        <v>7.6611597019760197E-2</v>
      </c>
      <c r="E33650" s="2">
        <v>2.2407503908285501E-2</v>
      </c>
      <c r="F33650" s="2">
        <v>8.0133466800133404E-2</v>
      </c>
    </row>
    <row r="33651" spans="1:6" x14ac:dyDescent="0.25">
      <c r="A33651" s="1" t="str">
        <f t="shared" si="1203"/>
        <v>43300</v>
      </c>
      <c r="B33651" s="1" t="str">
        <f>"76271"</f>
        <v>76271</v>
      </c>
      <c r="C33651" s="2">
        <v>8.5587742398850804E-3</v>
      </c>
      <c r="D33651" s="2">
        <v>4.37317784256559E-3</v>
      </c>
      <c r="E33651" s="2">
        <v>8.85878061490359E-3</v>
      </c>
      <c r="F33651" s="2">
        <v>8.2215548882215508E-3</v>
      </c>
    </row>
    <row r="33652" spans="1:6" x14ac:dyDescent="0.25">
      <c r="A33652" s="1" t="str">
        <f t="shared" si="1203"/>
        <v>43300</v>
      </c>
      <c r="B33652" s="1" t="str">
        <f>"75092"</f>
        <v>75092</v>
      </c>
      <c r="C33652" s="2">
        <v>0.19159983241560899</v>
      </c>
      <c r="D33652" s="2">
        <v>0.11062520246193699</v>
      </c>
      <c r="E33652" s="2">
        <v>0.15164147993746699</v>
      </c>
      <c r="F33652" s="2">
        <v>0.18390390390390299</v>
      </c>
    </row>
    <row r="33653" spans="1:6" x14ac:dyDescent="0.25">
      <c r="A33653" s="1" t="str">
        <f t="shared" si="1203"/>
        <v>43300</v>
      </c>
      <c r="B33653" s="1" t="str">
        <f>"76273"</f>
        <v>76273</v>
      </c>
      <c r="C33653" s="2">
        <v>5.0589537945894103E-2</v>
      </c>
      <c r="D33653" s="2">
        <v>4.21120829284094E-2</v>
      </c>
      <c r="E33653" s="2">
        <v>3.17873892652423E-2</v>
      </c>
      <c r="F33653" s="2">
        <v>4.9409409409409397E-2</v>
      </c>
    </row>
    <row r="33654" spans="1:6" x14ac:dyDescent="0.25">
      <c r="A33654" s="1" t="str">
        <f t="shared" ref="A33654:A33681" si="1204">"43320"</f>
        <v>43320</v>
      </c>
      <c r="B33654" s="1" t="str">
        <f>"85939"</f>
        <v>85939</v>
      </c>
      <c r="C33654" s="2">
        <v>7.4010114715677798E-5</v>
      </c>
      <c r="D33654" s="2">
        <v>1.7873100983020499E-3</v>
      </c>
      <c r="E33654" s="2">
        <v>4.1518386714116196E-3</v>
      </c>
      <c r="F33654" s="2">
        <v>3.5104655754969498E-4</v>
      </c>
    </row>
    <row r="33655" spans="1:6" x14ac:dyDescent="0.25">
      <c r="A33655" s="1" t="str">
        <f t="shared" si="1204"/>
        <v>43320</v>
      </c>
      <c r="B33655" s="1" t="str">
        <f>"85937"</f>
        <v>85937</v>
      </c>
      <c r="C33655" s="2">
        <v>6.4931540643887897E-2</v>
      </c>
      <c r="D33655" s="2">
        <v>7.4173369079535201E-2</v>
      </c>
      <c r="E33655" s="2">
        <v>0.106168446026097</v>
      </c>
      <c r="F33655" s="2">
        <v>6.7137654131379093E-2</v>
      </c>
    </row>
    <row r="33656" spans="1:6" x14ac:dyDescent="0.25">
      <c r="A33656" s="1" t="str">
        <f t="shared" si="1204"/>
        <v>43320</v>
      </c>
      <c r="B33656" s="1" t="str">
        <f>"85941"</f>
        <v>85941</v>
      </c>
      <c r="C33656" s="2">
        <v>0</v>
      </c>
      <c r="D33656" s="2">
        <v>0</v>
      </c>
      <c r="E33656" s="2">
        <v>5.9311981020166002E-4</v>
      </c>
      <c r="F33656" s="2">
        <v>2.1940409846855899E-5</v>
      </c>
    </row>
    <row r="33657" spans="1:6" x14ac:dyDescent="0.25">
      <c r="A33657" s="1" t="str">
        <f t="shared" si="1204"/>
        <v>43320</v>
      </c>
      <c r="B33657" s="1" t="str">
        <f>"85935"</f>
        <v>85935</v>
      </c>
      <c r="C33657" s="2">
        <v>0.174836560996669</v>
      </c>
      <c r="D33657" s="2">
        <v>0.106344950848972</v>
      </c>
      <c r="E33657" s="2">
        <v>6.6429418742585997E-2</v>
      </c>
      <c r="F33657" s="2">
        <v>0.165781736802843</v>
      </c>
    </row>
    <row r="33658" spans="1:6" x14ac:dyDescent="0.25">
      <c r="A33658" s="1" t="str">
        <f t="shared" si="1204"/>
        <v>43320</v>
      </c>
      <c r="B33658" s="1" t="str">
        <f>"86042"</f>
        <v>86042</v>
      </c>
      <c r="C33658" s="2">
        <v>0</v>
      </c>
      <c r="D33658" s="2">
        <v>0</v>
      </c>
      <c r="E33658" s="2">
        <v>5.9311981020166002E-4</v>
      </c>
      <c r="F33658" s="2">
        <v>2.1940409846855899E-5</v>
      </c>
    </row>
    <row r="33659" spans="1:6" x14ac:dyDescent="0.25">
      <c r="A33659" s="1" t="str">
        <f t="shared" si="1204"/>
        <v>43320</v>
      </c>
      <c r="B33659" s="1" t="str">
        <f>"86034"</f>
        <v>86034</v>
      </c>
      <c r="C33659" s="2">
        <v>0</v>
      </c>
      <c r="D33659" s="2">
        <v>0</v>
      </c>
      <c r="E33659" s="2">
        <v>5.9311981020166002E-4</v>
      </c>
      <c r="F33659" s="2">
        <v>2.1940409846855899E-5</v>
      </c>
    </row>
    <row r="33660" spans="1:6" x14ac:dyDescent="0.25">
      <c r="A33660" s="1" t="str">
        <f t="shared" si="1204"/>
        <v>43320</v>
      </c>
      <c r="B33660" s="1" t="str">
        <f>"86510"</f>
        <v>86510</v>
      </c>
      <c r="C33660" s="2">
        <v>0</v>
      </c>
      <c r="D33660" s="2">
        <v>0</v>
      </c>
      <c r="E33660" s="2">
        <v>5.9311981020166002E-4</v>
      </c>
      <c r="F33660" s="2">
        <v>2.1940409846855899E-5</v>
      </c>
    </row>
    <row r="33661" spans="1:6" x14ac:dyDescent="0.25">
      <c r="A33661" s="1" t="str">
        <f t="shared" si="1204"/>
        <v>43320</v>
      </c>
      <c r="B33661" s="1" t="str">
        <f>"86033"</f>
        <v>86033</v>
      </c>
      <c r="C33661" s="2">
        <v>0</v>
      </c>
      <c r="D33661" s="2">
        <v>0</v>
      </c>
      <c r="E33661" s="2">
        <v>5.9311981020166002E-4</v>
      </c>
      <c r="F33661" s="2">
        <v>2.1940409846855899E-5</v>
      </c>
    </row>
    <row r="33662" spans="1:6" x14ac:dyDescent="0.25">
      <c r="A33662" s="1" t="str">
        <f t="shared" si="1204"/>
        <v>43320</v>
      </c>
      <c r="B33662" s="1" t="str">
        <f>"86520"</f>
        <v>86520</v>
      </c>
      <c r="C33662" s="2">
        <v>0</v>
      </c>
      <c r="D33662" s="2">
        <v>0</v>
      </c>
      <c r="E33662" s="2">
        <v>5.9311981020166002E-4</v>
      </c>
      <c r="F33662" s="2">
        <v>2.1940409846855899E-5</v>
      </c>
    </row>
    <row r="33663" spans="1:6" x14ac:dyDescent="0.25">
      <c r="A33663" s="1" t="str">
        <f t="shared" si="1204"/>
        <v>43320</v>
      </c>
      <c r="B33663" s="1" t="str">
        <f>"85942"</f>
        <v>85942</v>
      </c>
      <c r="C33663" s="2">
        <v>0</v>
      </c>
      <c r="D33663" s="2">
        <v>0</v>
      </c>
      <c r="E33663" s="2">
        <v>5.9311981020166002E-4</v>
      </c>
      <c r="F33663" s="2">
        <v>2.1940409846855899E-5</v>
      </c>
    </row>
    <row r="33664" spans="1:6" x14ac:dyDescent="0.25">
      <c r="A33664" s="1" t="str">
        <f t="shared" si="1204"/>
        <v>43320</v>
      </c>
      <c r="B33664" s="1" t="str">
        <f>"85926"</f>
        <v>85926</v>
      </c>
      <c r="C33664" s="2">
        <v>0</v>
      </c>
      <c r="D33664" s="2">
        <v>2.9788501638367497E-4</v>
      </c>
      <c r="E33664" s="2">
        <v>0</v>
      </c>
      <c r="F33664" s="2">
        <v>2.1940409846855899E-5</v>
      </c>
    </row>
    <row r="33665" spans="1:6" x14ac:dyDescent="0.25">
      <c r="A33665" s="1" t="str">
        <f t="shared" si="1204"/>
        <v>43320</v>
      </c>
      <c r="B33665" s="1" t="str">
        <f>"86030"</f>
        <v>86030</v>
      </c>
      <c r="C33665" s="2">
        <v>0</v>
      </c>
      <c r="D33665" s="2">
        <v>0</v>
      </c>
      <c r="E33665" s="2">
        <v>5.9311981020166002E-4</v>
      </c>
      <c r="F33665" s="2">
        <v>2.1940409846855899E-5</v>
      </c>
    </row>
    <row r="33666" spans="1:6" x14ac:dyDescent="0.25">
      <c r="A33666" s="1" t="str">
        <f t="shared" si="1204"/>
        <v>43320</v>
      </c>
      <c r="B33666" s="1" t="str">
        <f>"86025"</f>
        <v>86025</v>
      </c>
      <c r="C33666" s="2">
        <v>8.6419143949673094E-2</v>
      </c>
      <c r="D33666" s="2">
        <v>0.121537086684539</v>
      </c>
      <c r="E33666" s="2">
        <v>7.71055753262158E-2</v>
      </c>
      <c r="F33666" s="2">
        <v>8.8661196191144806E-2</v>
      </c>
    </row>
    <row r="33667" spans="1:6" x14ac:dyDescent="0.25">
      <c r="A33667" s="1" t="str">
        <f t="shared" si="1204"/>
        <v>43320</v>
      </c>
      <c r="B33667" s="1" t="str">
        <f>"86047"</f>
        <v>86047</v>
      </c>
      <c r="C33667" s="2">
        <v>0.142691501171826</v>
      </c>
      <c r="D33667" s="2">
        <v>0.14804885314268601</v>
      </c>
      <c r="E33667" s="2">
        <v>0.243772241992882</v>
      </c>
      <c r="F33667" s="2">
        <v>0.14682522269515899</v>
      </c>
    </row>
    <row r="33668" spans="1:6" x14ac:dyDescent="0.25">
      <c r="A33668" s="1" t="str">
        <f t="shared" si="1204"/>
        <v>43320</v>
      </c>
      <c r="B33668" s="1" t="str">
        <f>"85902"</f>
        <v>85902</v>
      </c>
      <c r="C33668" s="2">
        <v>6.5498951523374802E-2</v>
      </c>
      <c r="D33668" s="2">
        <v>0.114983616324098</v>
      </c>
      <c r="E33668" s="2">
        <v>1.18623962040332E-3</v>
      </c>
      <c r="F33668" s="2">
        <v>6.6764667163982605E-2</v>
      </c>
    </row>
    <row r="33669" spans="1:6" x14ac:dyDescent="0.25">
      <c r="A33669" s="1" t="str">
        <f t="shared" si="1204"/>
        <v>43320</v>
      </c>
      <c r="B33669" s="1" t="str">
        <f>"85911"</f>
        <v>85911</v>
      </c>
      <c r="C33669" s="2">
        <v>0</v>
      </c>
      <c r="D33669" s="2">
        <v>2.9788501638367497E-4</v>
      </c>
      <c r="E33669" s="2">
        <v>0</v>
      </c>
      <c r="F33669" s="2">
        <v>2.1940409846855899E-5</v>
      </c>
    </row>
    <row r="33670" spans="1:6" x14ac:dyDescent="0.25">
      <c r="A33670" s="1" t="str">
        <f t="shared" si="1204"/>
        <v>43320</v>
      </c>
      <c r="B33670" s="1" t="str">
        <f>"86054"</f>
        <v>86054</v>
      </c>
      <c r="C33670" s="2">
        <v>0</v>
      </c>
      <c r="D33670" s="2">
        <v>0</v>
      </c>
      <c r="E33670" s="2">
        <v>1.18623962040332E-3</v>
      </c>
      <c r="F33670" s="2">
        <v>4.3880819693711798E-5</v>
      </c>
    </row>
    <row r="33671" spans="1:6" x14ac:dyDescent="0.25">
      <c r="A33671" s="1" t="str">
        <f t="shared" si="1204"/>
        <v>43320</v>
      </c>
      <c r="B33671" s="1" t="str">
        <f>"85934"</f>
        <v>85934</v>
      </c>
      <c r="C33671" s="2">
        <v>4.93400764771185E-5</v>
      </c>
      <c r="D33671" s="2">
        <v>0</v>
      </c>
      <c r="E33671" s="2">
        <v>5.9311981020166002E-4</v>
      </c>
      <c r="F33671" s="2">
        <v>6.5821229540567806E-5</v>
      </c>
    </row>
    <row r="33672" spans="1:6" x14ac:dyDescent="0.25">
      <c r="A33672" s="1" t="str">
        <f t="shared" si="1204"/>
        <v>43320</v>
      </c>
      <c r="B33672" s="1" t="str">
        <f>"85923"</f>
        <v>85923</v>
      </c>
      <c r="C33672" s="2">
        <v>2.4670038238559199E-5</v>
      </c>
      <c r="D33672" s="2">
        <v>0</v>
      </c>
      <c r="E33672" s="2">
        <v>5.9311981020166002E-4</v>
      </c>
      <c r="F33672" s="2">
        <v>4.3880819693711798E-5</v>
      </c>
    </row>
    <row r="33673" spans="1:6" x14ac:dyDescent="0.25">
      <c r="A33673" s="1" t="str">
        <f t="shared" si="1204"/>
        <v>43320</v>
      </c>
      <c r="B33673" s="1" t="str">
        <f>"85933"</f>
        <v>85933</v>
      </c>
      <c r="C33673" s="2">
        <v>5.6741087948686297E-4</v>
      </c>
      <c r="D33673" s="2">
        <v>0</v>
      </c>
      <c r="E33673" s="2">
        <v>5.9311981020166002E-4</v>
      </c>
      <c r="F33673" s="2">
        <v>5.2656983632454202E-4</v>
      </c>
    </row>
    <row r="33674" spans="1:6" x14ac:dyDescent="0.25">
      <c r="A33674" s="1" t="str">
        <f t="shared" si="1204"/>
        <v>43320</v>
      </c>
      <c r="B33674" s="1" t="str">
        <f>"86032"</f>
        <v>86032</v>
      </c>
      <c r="C33674" s="2">
        <v>0</v>
      </c>
      <c r="D33674" s="2">
        <v>1.1915400655346999E-3</v>
      </c>
      <c r="E33674" s="2">
        <v>5.9311981020166002E-4</v>
      </c>
      <c r="F33674" s="2">
        <v>1.0970204923427899E-4</v>
      </c>
    </row>
    <row r="33675" spans="1:6" x14ac:dyDescent="0.25">
      <c r="A33675" s="1" t="str">
        <f t="shared" si="1204"/>
        <v>43320</v>
      </c>
      <c r="B33675" s="1" t="str">
        <f>"86029"</f>
        <v>86029</v>
      </c>
      <c r="C33675" s="2">
        <v>0</v>
      </c>
      <c r="D33675" s="2">
        <v>0</v>
      </c>
      <c r="E33675" s="2">
        <v>5.9311981020166002E-4</v>
      </c>
      <c r="F33675" s="2">
        <v>2.1940409846855899E-5</v>
      </c>
    </row>
    <row r="33676" spans="1:6" x14ac:dyDescent="0.25">
      <c r="A33676" s="1" t="str">
        <f t="shared" si="1204"/>
        <v>43320</v>
      </c>
      <c r="B33676" s="1" t="str">
        <f>"85928"</f>
        <v>85928</v>
      </c>
      <c r="C33676" s="2">
        <v>3.3057851239669399E-3</v>
      </c>
      <c r="D33676" s="2">
        <v>3.27673518022043E-3</v>
      </c>
      <c r="E33676" s="2">
        <v>8.3036773428232496E-3</v>
      </c>
      <c r="F33676" s="2">
        <v>3.4885251656500901E-3</v>
      </c>
    </row>
    <row r="33677" spans="1:6" x14ac:dyDescent="0.25">
      <c r="A33677" s="1" t="str">
        <f t="shared" si="1204"/>
        <v>43320</v>
      </c>
      <c r="B33677" s="1" t="str">
        <f>"85929"</f>
        <v>85929</v>
      </c>
      <c r="C33677" s="2">
        <v>0.162945602565683</v>
      </c>
      <c r="D33677" s="2">
        <v>0.16175156389633599</v>
      </c>
      <c r="E33677" s="2">
        <v>0.13523131672597799</v>
      </c>
      <c r="F33677" s="2">
        <v>0.16183246303040899</v>
      </c>
    </row>
    <row r="33678" spans="1:6" x14ac:dyDescent="0.25">
      <c r="A33678" s="1" t="str">
        <f t="shared" si="1204"/>
        <v>43320</v>
      </c>
      <c r="B33678" s="1" t="str">
        <f>"86031"</f>
        <v>86031</v>
      </c>
      <c r="C33678" s="2">
        <v>0</v>
      </c>
      <c r="D33678" s="2">
        <v>0</v>
      </c>
      <c r="E33678" s="2">
        <v>5.9311981020166002E-4</v>
      </c>
      <c r="F33678" s="2">
        <v>2.1940409846855899E-5</v>
      </c>
    </row>
    <row r="33679" spans="1:6" x14ac:dyDescent="0.25">
      <c r="A33679" s="1" t="str">
        <f t="shared" si="1204"/>
        <v>43320</v>
      </c>
      <c r="B33679" s="1" t="str">
        <f>"85901"</f>
        <v>85901</v>
      </c>
      <c r="C33679" s="2">
        <v>0.29865548291599803</v>
      </c>
      <c r="D33679" s="2">
        <v>0.26630920464700603</v>
      </c>
      <c r="E33679" s="2">
        <v>0.34697508896797102</v>
      </c>
      <c r="F33679" s="2">
        <v>0.29806046776953699</v>
      </c>
    </row>
    <row r="33680" spans="1:6" x14ac:dyDescent="0.25">
      <c r="A33680" s="1" t="str">
        <f t="shared" si="1204"/>
        <v>43320</v>
      </c>
      <c r="B33680" s="1" t="str">
        <f>"86039"</f>
        <v>86039</v>
      </c>
      <c r="C33680" s="2">
        <v>0</v>
      </c>
      <c r="D33680" s="2">
        <v>0</v>
      </c>
      <c r="E33680" s="2">
        <v>5.9311981020166002E-4</v>
      </c>
      <c r="F33680" s="2">
        <v>2.1940409846855899E-5</v>
      </c>
    </row>
    <row r="33681" spans="1:6" x14ac:dyDescent="0.25">
      <c r="A33681" s="1" t="str">
        <f t="shared" si="1204"/>
        <v>43320</v>
      </c>
      <c r="B33681" s="1" t="str">
        <f>"86043"</f>
        <v>86043</v>
      </c>
      <c r="C33681" s="2">
        <v>0</v>
      </c>
      <c r="D33681" s="2">
        <v>0</v>
      </c>
      <c r="E33681" s="2">
        <v>5.9311981020166002E-4</v>
      </c>
      <c r="F33681" s="2">
        <v>2.1940409846855899E-5</v>
      </c>
    </row>
    <row r="33682" spans="1:6" x14ac:dyDescent="0.25">
      <c r="A33682" s="1" t="str">
        <f t="shared" ref="A33682:A33713" si="1205">"43340"</f>
        <v>43340</v>
      </c>
      <c r="B33682" s="1" t="str">
        <f>"71033"</f>
        <v>71033</v>
      </c>
      <c r="C33682" s="2">
        <v>8.0385212304508701E-3</v>
      </c>
      <c r="D33682" s="2">
        <v>4.3768130693673897E-3</v>
      </c>
      <c r="E33682" s="2">
        <v>3.1170303202040198E-3</v>
      </c>
      <c r="F33682" s="2">
        <v>7.64015877971544E-3</v>
      </c>
    </row>
    <row r="33683" spans="1:6" x14ac:dyDescent="0.25">
      <c r="A33683" s="1" t="str">
        <f t="shared" si="1205"/>
        <v>43340</v>
      </c>
      <c r="B33683" s="1" t="str">
        <f>"71067"</f>
        <v>71067</v>
      </c>
      <c r="C33683" s="2">
        <v>6.8844761033069303E-3</v>
      </c>
      <c r="D33683" s="2">
        <v>1.5267952567560601E-3</v>
      </c>
      <c r="E33683" s="2">
        <v>1.4168319637290999E-3</v>
      </c>
      <c r="F33683" s="2">
        <v>6.3288880959814402E-3</v>
      </c>
    </row>
    <row r="33684" spans="1:6" x14ac:dyDescent="0.25">
      <c r="A33684" s="1" t="str">
        <f t="shared" si="1205"/>
        <v>43340</v>
      </c>
      <c r="B33684" s="1" t="str">
        <f>"71129"</f>
        <v>71129</v>
      </c>
      <c r="C33684" s="2">
        <v>3.4576584822316798E-2</v>
      </c>
      <c r="D33684" s="2">
        <v>2.8347498600437601E-2</v>
      </c>
      <c r="E33684" s="2">
        <v>2.57863417398696E-2</v>
      </c>
      <c r="F33684" s="2">
        <v>3.3892333080594E-2</v>
      </c>
    </row>
    <row r="33685" spans="1:6" x14ac:dyDescent="0.25">
      <c r="A33685" s="1" t="str">
        <f t="shared" si="1205"/>
        <v>43340</v>
      </c>
      <c r="B33685" s="1" t="str">
        <f>"71133"</f>
        <v>71133</v>
      </c>
      <c r="C33685" s="2">
        <v>9.7695889211667705E-3</v>
      </c>
      <c r="D33685" s="2">
        <v>2.1680492645936099E-2</v>
      </c>
      <c r="E33685" s="2">
        <v>5.6673278549163996E-4</v>
      </c>
      <c r="F33685" s="2">
        <v>1.0668569644529601E-2</v>
      </c>
    </row>
    <row r="33686" spans="1:6" x14ac:dyDescent="0.25">
      <c r="A33686" s="1" t="str">
        <f t="shared" si="1205"/>
        <v>43340</v>
      </c>
      <c r="B33686" s="1" t="str">
        <f>"71163"</f>
        <v>71163</v>
      </c>
      <c r="C33686" s="2">
        <v>1.2386087787018901E-3</v>
      </c>
      <c r="D33686" s="2">
        <v>4.6821721207186097E-3</v>
      </c>
      <c r="E33686" s="2">
        <v>5.6673278549163996E-4</v>
      </c>
      <c r="F33686" s="2">
        <v>1.5298157976896599E-3</v>
      </c>
    </row>
    <row r="33687" spans="1:6" x14ac:dyDescent="0.25">
      <c r="A33687" s="1" t="str">
        <f t="shared" si="1205"/>
        <v>43340</v>
      </c>
      <c r="B33687" s="1" t="str">
        <f>"71148"</f>
        <v>71148</v>
      </c>
      <c r="C33687" s="2">
        <v>3.94464562855664E-3</v>
      </c>
      <c r="D33687" s="2">
        <v>9.7714896432388402E-3</v>
      </c>
      <c r="E33687" s="2">
        <v>5.6673278549163996E-4</v>
      </c>
      <c r="F33687" s="2">
        <v>4.4021230096784204E-3</v>
      </c>
    </row>
    <row r="33688" spans="1:6" x14ac:dyDescent="0.25">
      <c r="A33688" s="1" t="str">
        <f t="shared" si="1205"/>
        <v>43340</v>
      </c>
      <c r="B33688" s="1" t="str">
        <f>"71113"</f>
        <v>71113</v>
      </c>
      <c r="C33688" s="2">
        <v>3.6959290063273498E-3</v>
      </c>
      <c r="D33688" s="2">
        <v>6.1071810270242697E-3</v>
      </c>
      <c r="E33688" s="2">
        <v>5.6673278549163996E-4</v>
      </c>
      <c r="F33688" s="2">
        <v>3.8579902769724801E-3</v>
      </c>
    </row>
    <row r="33689" spans="1:6" x14ac:dyDescent="0.25">
      <c r="A33689" s="1" t="str">
        <f t="shared" si="1205"/>
        <v>43340</v>
      </c>
      <c r="B33689" s="1" t="str">
        <f>"71047"</f>
        <v>71047</v>
      </c>
      <c r="C33689" s="2">
        <v>2.5105455847825201E-2</v>
      </c>
      <c r="D33689" s="2">
        <v>6.9214718306275097E-3</v>
      </c>
      <c r="E33689" s="2">
        <v>8.5009917823746107E-3</v>
      </c>
      <c r="F33689" s="2">
        <v>2.3250524062262998E-2</v>
      </c>
    </row>
    <row r="33690" spans="1:6" x14ac:dyDescent="0.25">
      <c r="A33690" s="1" t="str">
        <f t="shared" si="1205"/>
        <v>43340</v>
      </c>
      <c r="B33690" s="1" t="str">
        <f>"71069"</f>
        <v>71069</v>
      </c>
      <c r="C33690" s="2">
        <v>1.33312109514903E-3</v>
      </c>
      <c r="D33690" s="2">
        <v>4.5803857702682001E-4</v>
      </c>
      <c r="E33690" s="2">
        <v>2.8336639274581998E-4</v>
      </c>
      <c r="F33690" s="2">
        <v>1.23990901387092E-3</v>
      </c>
    </row>
    <row r="33691" spans="1:6" x14ac:dyDescent="0.25">
      <c r="A33691" s="1" t="str">
        <f t="shared" si="1205"/>
        <v>43340</v>
      </c>
      <c r="B33691" s="1" t="str">
        <f>"71107"</f>
        <v>71107</v>
      </c>
      <c r="C33691" s="2">
        <v>7.0909108997572495E-2</v>
      </c>
      <c r="D33691" s="2">
        <v>6.3972721258079193E-2</v>
      </c>
      <c r="E33691" s="2">
        <v>6.8858033437234303E-2</v>
      </c>
      <c r="F33691" s="2">
        <v>7.0268944293296401E-2</v>
      </c>
    </row>
    <row r="33692" spans="1:6" x14ac:dyDescent="0.25">
      <c r="A33692" s="1" t="str">
        <f t="shared" si="1205"/>
        <v>43340</v>
      </c>
      <c r="B33692" s="1" t="str">
        <f>"71108"</f>
        <v>71108</v>
      </c>
      <c r="C33692" s="2">
        <v>4.0545783755819902E-2</v>
      </c>
      <c r="D33692" s="2">
        <v>3.6286833935569203E-2</v>
      </c>
      <c r="E33692" s="2">
        <v>2.63530745253612E-2</v>
      </c>
      <c r="F33692" s="2">
        <v>3.9949154810222501E-2</v>
      </c>
    </row>
    <row r="33693" spans="1:6" x14ac:dyDescent="0.25">
      <c r="A33693" s="1" t="str">
        <f t="shared" si="1205"/>
        <v>43340</v>
      </c>
      <c r="B33693" s="1" t="str">
        <f>"71051"</f>
        <v>71051</v>
      </c>
      <c r="C33693" s="2">
        <v>5.81996896016554E-3</v>
      </c>
      <c r="D33693" s="2">
        <v>2.03572700900809E-3</v>
      </c>
      <c r="E33693" s="2">
        <v>2.8336639274581998E-4</v>
      </c>
      <c r="F33693" s="2">
        <v>5.4011863877614702E-3</v>
      </c>
    </row>
    <row r="33694" spans="1:6" x14ac:dyDescent="0.25">
      <c r="A33694" s="1" t="str">
        <f t="shared" si="1205"/>
        <v>43340</v>
      </c>
      <c r="B33694" s="1" t="str">
        <f>"71043"</f>
        <v>71043</v>
      </c>
      <c r="C33694" s="2">
        <v>7.0138087468661701E-4</v>
      </c>
      <c r="D33694" s="2">
        <v>3.5625222657641599E-4</v>
      </c>
      <c r="E33694" s="2">
        <v>2.8336639274581998E-4</v>
      </c>
      <c r="F33694" s="2">
        <v>6.6455555059988399E-4</v>
      </c>
    </row>
    <row r="33695" spans="1:6" x14ac:dyDescent="0.25">
      <c r="A33695" s="1" t="str">
        <f t="shared" si="1205"/>
        <v>43340</v>
      </c>
      <c r="B33695" s="1" t="str">
        <f>"71135"</f>
        <v>71135</v>
      </c>
      <c r="C33695" s="2">
        <v>5.0340244339209597E-3</v>
      </c>
      <c r="D33695" s="2">
        <v>2.6260878416204302E-2</v>
      </c>
      <c r="E33695" s="2">
        <v>5.6673278549163996E-4</v>
      </c>
      <c r="F33695" s="2">
        <v>6.82395968065652E-3</v>
      </c>
    </row>
    <row r="33696" spans="1:6" x14ac:dyDescent="0.25">
      <c r="A33696" s="1" t="str">
        <f t="shared" si="1205"/>
        <v>43340</v>
      </c>
      <c r="B33696" s="1" t="str">
        <f>"71102"</f>
        <v>71102</v>
      </c>
      <c r="C33696" s="2">
        <v>0</v>
      </c>
      <c r="D33696" s="2">
        <v>2.03572700900809E-4</v>
      </c>
      <c r="E33696" s="2">
        <v>5.6673278549163996E-4</v>
      </c>
      <c r="F33696" s="2">
        <v>2.6760626198653001E-5</v>
      </c>
    </row>
    <row r="33697" spans="1:6" x14ac:dyDescent="0.25">
      <c r="A33697" s="1" t="str">
        <f t="shared" si="1205"/>
        <v>43340</v>
      </c>
      <c r="B33697" s="1" t="str">
        <f>"71166"</f>
        <v>71166</v>
      </c>
      <c r="C33697" s="2">
        <v>1.6763500338254601E-3</v>
      </c>
      <c r="D33697" s="2">
        <v>5.1911038729706297E-3</v>
      </c>
      <c r="E33697" s="2">
        <v>5.6673278549163996E-4</v>
      </c>
      <c r="F33697" s="2">
        <v>1.9669060256009901E-3</v>
      </c>
    </row>
    <row r="33698" spans="1:6" x14ac:dyDescent="0.25">
      <c r="A33698" s="1" t="str">
        <f t="shared" si="1205"/>
        <v>43340</v>
      </c>
      <c r="B33698" s="1" t="str">
        <f>"71137"</f>
        <v>71137</v>
      </c>
      <c r="C33698" s="2">
        <v>4.6957698276891202E-3</v>
      </c>
      <c r="D33698" s="2">
        <v>1.24688279301745E-2</v>
      </c>
      <c r="E33698" s="2">
        <v>2.8336639274581998E-4</v>
      </c>
      <c r="F33698" s="2">
        <v>5.3075241960661799E-3</v>
      </c>
    </row>
    <row r="33699" spans="1:6" x14ac:dyDescent="0.25">
      <c r="A33699" s="1" t="str">
        <f t="shared" si="1205"/>
        <v>43340</v>
      </c>
      <c r="B33699" s="1" t="str">
        <f>"71138"</f>
        <v>71138</v>
      </c>
      <c r="C33699" s="2">
        <v>4.1386445938954904E-3</v>
      </c>
      <c r="D33699" s="2">
        <v>1.01277418698152E-2</v>
      </c>
      <c r="E33699" s="2">
        <v>5.6673278549163996E-4</v>
      </c>
      <c r="F33699" s="2">
        <v>4.6072878105347598E-3</v>
      </c>
    </row>
    <row r="33700" spans="1:6" x14ac:dyDescent="0.25">
      <c r="A33700" s="1" t="str">
        <f t="shared" si="1205"/>
        <v>43340</v>
      </c>
      <c r="B33700" s="1" t="str">
        <f>"71049"</f>
        <v>71049</v>
      </c>
      <c r="C33700" s="2">
        <v>7.69529229177444E-3</v>
      </c>
      <c r="D33700" s="2">
        <v>2.3410860603593001E-3</v>
      </c>
      <c r="E33700" s="2">
        <v>3.4003967129498402E-3</v>
      </c>
      <c r="F33700" s="2">
        <v>7.15846750813969E-3</v>
      </c>
    </row>
    <row r="33701" spans="1:6" x14ac:dyDescent="0.25">
      <c r="A33701" s="1" t="str">
        <f t="shared" si="1205"/>
        <v>43340</v>
      </c>
      <c r="B33701" s="1" t="str">
        <f>"71023"</f>
        <v>71023</v>
      </c>
      <c r="C33701" s="2">
        <v>4.6758724979107801E-4</v>
      </c>
      <c r="D33701" s="2">
        <v>1.01786350450404E-4</v>
      </c>
      <c r="E33701" s="2">
        <v>0</v>
      </c>
      <c r="F33701" s="2">
        <v>4.2817001917844802E-4</v>
      </c>
    </row>
    <row r="33702" spans="1:6" x14ac:dyDescent="0.25">
      <c r="A33702" s="1" t="str">
        <f t="shared" si="1205"/>
        <v>43340</v>
      </c>
      <c r="B33702" s="1" t="str">
        <f>"71052"</f>
        <v>71052</v>
      </c>
      <c r="C33702" s="2">
        <v>2.53740697998328E-2</v>
      </c>
      <c r="D33702" s="2">
        <v>2.27492493256654E-2</v>
      </c>
      <c r="E33702" s="2">
        <v>1.50184188155284E-2</v>
      </c>
      <c r="F33702" s="2">
        <v>2.4981044556442601E-2</v>
      </c>
    </row>
    <row r="33703" spans="1:6" x14ac:dyDescent="0.25">
      <c r="A33703" s="1" t="str">
        <f t="shared" si="1205"/>
        <v>43340</v>
      </c>
      <c r="B33703" s="1" t="str">
        <f>"71030"</f>
        <v>71030</v>
      </c>
      <c r="C33703" s="2">
        <v>3.15372676986748E-3</v>
      </c>
      <c r="D33703" s="2">
        <v>8.14290803603236E-4</v>
      </c>
      <c r="E33703" s="2">
        <v>8.5009917823746103E-4</v>
      </c>
      <c r="F33703" s="2">
        <v>2.9124481512867399E-3</v>
      </c>
    </row>
    <row r="33704" spans="1:6" x14ac:dyDescent="0.25">
      <c r="A33704" s="1" t="str">
        <f t="shared" si="1205"/>
        <v>43340</v>
      </c>
      <c r="B33704" s="1" t="str">
        <f>"71172"</f>
        <v>71172</v>
      </c>
      <c r="C33704" s="2">
        <v>2.0742966293923301E-3</v>
      </c>
      <c r="D33704" s="2">
        <v>3.0535905135121301E-3</v>
      </c>
      <c r="E33704" s="2">
        <v>5.6673278549163996E-4</v>
      </c>
      <c r="F33704" s="2">
        <v>2.1363899915258001E-3</v>
      </c>
    </row>
    <row r="33705" spans="1:6" x14ac:dyDescent="0.25">
      <c r="A33705" s="1" t="str">
        <f t="shared" si="1205"/>
        <v>43340</v>
      </c>
      <c r="B33705" s="1" t="str">
        <f>"71115"</f>
        <v>71115</v>
      </c>
      <c r="C33705" s="2">
        <v>3.8133232520195702E-2</v>
      </c>
      <c r="D33705" s="2">
        <v>1.1552750776120901E-2</v>
      </c>
      <c r="E33705" s="2">
        <v>1.7852082742986601E-2</v>
      </c>
      <c r="F33705" s="2">
        <v>3.5484590339413903E-2</v>
      </c>
    </row>
    <row r="33706" spans="1:6" x14ac:dyDescent="0.25">
      <c r="A33706" s="1" t="str">
        <f t="shared" si="1205"/>
        <v>43340</v>
      </c>
      <c r="B33706" s="1" t="str">
        <f>"71136"</f>
        <v>71136</v>
      </c>
      <c r="C33706" s="2">
        <v>3.9545942934458098E-3</v>
      </c>
      <c r="D33706" s="2">
        <v>9.9241691689144398E-3</v>
      </c>
      <c r="E33706" s="2">
        <v>5.6673278549163996E-4</v>
      </c>
      <c r="F33706" s="2">
        <v>4.42442353151063E-3</v>
      </c>
    </row>
    <row r="33707" spans="1:6" x14ac:dyDescent="0.25">
      <c r="A33707" s="1" t="str">
        <f t="shared" si="1205"/>
        <v>43340</v>
      </c>
      <c r="B33707" s="1" t="str">
        <f>"71061"</f>
        <v>71061</v>
      </c>
      <c r="C33707" s="2">
        <v>3.1487524374228899E-3</v>
      </c>
      <c r="D33707" s="2">
        <v>1.47590208153086E-3</v>
      </c>
      <c r="E33707" s="2">
        <v>1.4168319637290999E-3</v>
      </c>
      <c r="F33707" s="2">
        <v>2.9748896124169302E-3</v>
      </c>
    </row>
    <row r="33708" spans="1:6" x14ac:dyDescent="0.25">
      <c r="A33708" s="1" t="str">
        <f t="shared" si="1205"/>
        <v>43340</v>
      </c>
      <c r="B33708" s="1" t="str">
        <f>"71032"</f>
        <v>71032</v>
      </c>
      <c r="C33708" s="2">
        <v>5.4369453619324201E-3</v>
      </c>
      <c r="D33708" s="2">
        <v>1.9848338337828801E-3</v>
      </c>
      <c r="E33708" s="2">
        <v>1.4168319637290999E-3</v>
      </c>
      <c r="F33708" s="2">
        <v>5.07113866464475E-3</v>
      </c>
    </row>
    <row r="33709" spans="1:6" x14ac:dyDescent="0.25">
      <c r="A33709" s="1" t="str">
        <f t="shared" si="1205"/>
        <v>43340</v>
      </c>
      <c r="B33709" s="1" t="str">
        <f>"71103"</f>
        <v>71103</v>
      </c>
      <c r="C33709" s="2">
        <v>1.84647220343029E-2</v>
      </c>
      <c r="D33709" s="2">
        <v>3.6846658863046403E-2</v>
      </c>
      <c r="E33709" s="2">
        <v>2.5502975347123799E-2</v>
      </c>
      <c r="F33709" s="2">
        <v>2.0186432362517201E-2</v>
      </c>
    </row>
    <row r="33710" spans="1:6" x14ac:dyDescent="0.25">
      <c r="A33710" s="1" t="str">
        <f t="shared" si="1205"/>
        <v>43340</v>
      </c>
      <c r="B33710" s="1" t="str">
        <f>"71419"</f>
        <v>71419</v>
      </c>
      <c r="C33710" s="2">
        <v>7.9589319113374901E-4</v>
      </c>
      <c r="D33710" s="2">
        <v>2.5446587612601098E-4</v>
      </c>
      <c r="E33710" s="2">
        <v>0</v>
      </c>
      <c r="F33710" s="2">
        <v>7.35917220462958E-4</v>
      </c>
    </row>
    <row r="33711" spans="1:6" x14ac:dyDescent="0.25">
      <c r="A33711" s="1" t="str">
        <f t="shared" si="1205"/>
        <v>43340</v>
      </c>
      <c r="B33711" s="1" t="str">
        <f>"71071"</f>
        <v>71071</v>
      </c>
      <c r="C33711" s="2">
        <v>7.4614986668789004E-5</v>
      </c>
      <c r="D33711" s="2">
        <v>0</v>
      </c>
      <c r="E33711" s="2">
        <v>0</v>
      </c>
      <c r="F33711" s="2">
        <v>6.6901565496632596E-5</v>
      </c>
    </row>
    <row r="33712" spans="1:6" x14ac:dyDescent="0.25">
      <c r="A33712" s="1" t="str">
        <f t="shared" si="1205"/>
        <v>43340</v>
      </c>
      <c r="B33712" s="1" t="str">
        <f>"71165"</f>
        <v>71165</v>
      </c>
      <c r="C33712" s="2">
        <v>3.23331608898085E-4</v>
      </c>
      <c r="D33712" s="2">
        <v>2.6464451117105101E-3</v>
      </c>
      <c r="E33712" s="2">
        <v>5.6673278549163996E-4</v>
      </c>
      <c r="F33712" s="2">
        <v>5.3075241960661801E-4</v>
      </c>
    </row>
    <row r="33713" spans="1:6" x14ac:dyDescent="0.25">
      <c r="A33713" s="1" t="str">
        <f t="shared" si="1205"/>
        <v>43340</v>
      </c>
      <c r="B33713" s="1" t="str">
        <f>"71044"</f>
        <v>71044</v>
      </c>
      <c r="C33713" s="2">
        <v>1.72111902582673E-3</v>
      </c>
      <c r="D33713" s="2">
        <v>8.6518397882843904E-4</v>
      </c>
      <c r="E33713" s="2">
        <v>1.7001983564749201E-3</v>
      </c>
      <c r="F33713" s="2">
        <v>1.6457785112171601E-3</v>
      </c>
    </row>
    <row r="33714" spans="1:6" x14ac:dyDescent="0.25">
      <c r="A33714" s="1" t="str">
        <f t="shared" ref="A33714:A33744" si="1206">"43340"</f>
        <v>43340</v>
      </c>
      <c r="B33714" s="1" t="str">
        <f>"71162"</f>
        <v>71162</v>
      </c>
      <c r="C33714" s="2">
        <v>2.60157586851844E-3</v>
      </c>
      <c r="D33714" s="2">
        <v>6.9214718306275097E-3</v>
      </c>
      <c r="E33714" s="2">
        <v>5.6673278549163996E-4</v>
      </c>
      <c r="F33714" s="2">
        <v>2.9481289862182702E-3</v>
      </c>
    </row>
    <row r="33715" spans="1:6" x14ac:dyDescent="0.25">
      <c r="A33715" s="1" t="str">
        <f t="shared" si="1206"/>
        <v>43340</v>
      </c>
      <c r="B33715" s="1" t="str">
        <f>"71063"</f>
        <v>71063</v>
      </c>
      <c r="C33715" s="2">
        <v>1.72111902582673E-3</v>
      </c>
      <c r="D33715" s="2">
        <v>7.1250445315283197E-4</v>
      </c>
      <c r="E33715" s="2">
        <v>2.8336639274581998E-4</v>
      </c>
      <c r="F33715" s="2">
        <v>1.61009767628562E-3</v>
      </c>
    </row>
    <row r="33716" spans="1:6" x14ac:dyDescent="0.25">
      <c r="A33716" s="1" t="str">
        <f t="shared" si="1206"/>
        <v>43340</v>
      </c>
      <c r="B33716" s="1" t="str">
        <f>"71119"</f>
        <v>71119</v>
      </c>
      <c r="C33716" s="2">
        <v>2.6448525607863399E-2</v>
      </c>
      <c r="D33716" s="2">
        <v>7.6848694590055397E-3</v>
      </c>
      <c r="E33716" s="2">
        <v>1.7001983564749201E-2</v>
      </c>
      <c r="F33716" s="2">
        <v>2.4655456937692301E-2</v>
      </c>
    </row>
    <row r="33717" spans="1:6" x14ac:dyDescent="0.25">
      <c r="A33717" s="1" t="str">
        <f t="shared" si="1206"/>
        <v>43340</v>
      </c>
      <c r="B33717" s="1" t="str">
        <f>"71060"</f>
        <v>71060</v>
      </c>
      <c r="C33717" s="2">
        <v>6.9342194277527899E-3</v>
      </c>
      <c r="D33717" s="2">
        <v>1.67947478243167E-3</v>
      </c>
      <c r="E33717" s="2">
        <v>3.1170303202040198E-3</v>
      </c>
      <c r="F33717" s="2">
        <v>6.4136300789438402E-3</v>
      </c>
    </row>
    <row r="33718" spans="1:6" x14ac:dyDescent="0.25">
      <c r="A33718" s="1" t="str">
        <f t="shared" si="1206"/>
        <v>43340</v>
      </c>
      <c r="B33718" s="1" t="str">
        <f>"71112"</f>
        <v>71112</v>
      </c>
      <c r="C33718" s="2">
        <v>7.13120299255839E-2</v>
      </c>
      <c r="D33718" s="2">
        <v>4.2750267189169897E-2</v>
      </c>
      <c r="E33718" s="2">
        <v>5.8940209691130598E-2</v>
      </c>
      <c r="F33718" s="2">
        <v>6.8614245573346402E-2</v>
      </c>
    </row>
    <row r="33719" spans="1:6" x14ac:dyDescent="0.25">
      <c r="A33719" s="1" t="str">
        <f t="shared" si="1206"/>
        <v>43340</v>
      </c>
      <c r="B33719" s="1" t="str">
        <f>"71105"</f>
        <v>71105</v>
      </c>
      <c r="C33719" s="2">
        <v>5.72247204425166E-2</v>
      </c>
      <c r="D33719" s="2">
        <v>7.9851391928342397E-2</v>
      </c>
      <c r="E33719" s="2">
        <v>9.4077642391612301E-2</v>
      </c>
      <c r="F33719" s="2">
        <v>5.9787699032157297E-2</v>
      </c>
    </row>
    <row r="33720" spans="1:6" x14ac:dyDescent="0.25">
      <c r="A33720" s="1" t="str">
        <f t="shared" si="1206"/>
        <v>43340</v>
      </c>
      <c r="B33720" s="1" t="str">
        <f>"71046"</f>
        <v>71046</v>
      </c>
      <c r="C33720" s="2">
        <v>3.3527000676509201E-3</v>
      </c>
      <c r="D33720" s="2">
        <v>1.17054303017965E-3</v>
      </c>
      <c r="E33720" s="2">
        <v>8.5009917823746103E-4</v>
      </c>
      <c r="F33720" s="2">
        <v>3.1220730565095201E-3</v>
      </c>
    </row>
    <row r="33721" spans="1:6" x14ac:dyDescent="0.25">
      <c r="A33721" s="1" t="str">
        <f t="shared" si="1206"/>
        <v>43340</v>
      </c>
      <c r="B33721" s="1" t="str">
        <f>"71004"</f>
        <v>71004</v>
      </c>
      <c r="C33721" s="2">
        <v>1.1043018026980699E-3</v>
      </c>
      <c r="D33721" s="2">
        <v>4.5803857702682001E-4</v>
      </c>
      <c r="E33721" s="2">
        <v>2.8336639274581998E-4</v>
      </c>
      <c r="F33721" s="2">
        <v>1.0347442130145799E-3</v>
      </c>
    </row>
    <row r="33722" spans="1:6" x14ac:dyDescent="0.25">
      <c r="A33722" s="1" t="str">
        <f t="shared" si="1206"/>
        <v>43340</v>
      </c>
      <c r="B33722" s="1" t="str">
        <f>"71171"</f>
        <v>71171</v>
      </c>
      <c r="C33722" s="2">
        <v>4.3326435592343504E-3</v>
      </c>
      <c r="D33722" s="2">
        <v>1.6031350195938699E-2</v>
      </c>
      <c r="E33722" s="2">
        <v>5.6673278549163996E-4</v>
      </c>
      <c r="F33722" s="2">
        <v>5.2986039873333E-3</v>
      </c>
    </row>
    <row r="33723" spans="1:6" x14ac:dyDescent="0.25">
      <c r="A33723" s="1" t="str">
        <f t="shared" si="1206"/>
        <v>43340</v>
      </c>
      <c r="B33723" s="1" t="str">
        <f>"71037"</f>
        <v>71037</v>
      </c>
      <c r="C33723" s="2">
        <v>4.64055473755422E-2</v>
      </c>
      <c r="D33723" s="2">
        <v>1.5675097969362301E-2</v>
      </c>
      <c r="E33723" s="2">
        <v>6.51742703315386E-3</v>
      </c>
      <c r="F33723" s="2">
        <v>4.3084608179831403E-2</v>
      </c>
    </row>
    <row r="33724" spans="1:6" x14ac:dyDescent="0.25">
      <c r="A33724" s="1" t="str">
        <f t="shared" si="1206"/>
        <v>43340</v>
      </c>
      <c r="B33724" s="1" t="str">
        <f>"71064"</f>
        <v>71064</v>
      </c>
      <c r="C33724" s="2">
        <v>7.6853436268852701E-3</v>
      </c>
      <c r="D33724" s="2">
        <v>2.9009109878365301E-3</v>
      </c>
      <c r="E33724" s="2">
        <v>1.4168319637290999E-3</v>
      </c>
      <c r="F33724" s="2">
        <v>7.1673877168725699E-3</v>
      </c>
    </row>
    <row r="33725" spans="1:6" x14ac:dyDescent="0.25">
      <c r="A33725" s="1" t="str">
        <f t="shared" si="1206"/>
        <v>43340</v>
      </c>
      <c r="B33725" s="1" t="str">
        <f>"71007"</f>
        <v>71007</v>
      </c>
      <c r="C33725" s="2">
        <v>2.71598551474392E-3</v>
      </c>
      <c r="D33725" s="2">
        <v>5.0893175225202305E-4</v>
      </c>
      <c r="E33725" s="2">
        <v>1.4168319637290999E-3</v>
      </c>
      <c r="F33725" s="2">
        <v>2.5021185495740601E-3</v>
      </c>
    </row>
    <row r="33726" spans="1:6" x14ac:dyDescent="0.25">
      <c r="A33726" s="1" t="str">
        <f t="shared" si="1206"/>
        <v>43340</v>
      </c>
      <c r="B33726" s="1" t="str">
        <f>"71109"</f>
        <v>71109</v>
      </c>
      <c r="C33726" s="2">
        <v>4.9683632456524303E-2</v>
      </c>
      <c r="D33726" s="2">
        <v>4.4277062445926003E-2</v>
      </c>
      <c r="E33726" s="2">
        <v>3.9954661377160597E-2</v>
      </c>
      <c r="F33726" s="2">
        <v>4.9056687926497401E-2</v>
      </c>
    </row>
    <row r="33727" spans="1:6" x14ac:dyDescent="0.25">
      <c r="A33727" s="1" t="str">
        <f t="shared" si="1206"/>
        <v>43340</v>
      </c>
      <c r="B33727" s="1" t="str">
        <f>"71075"</f>
        <v>71075</v>
      </c>
      <c r="C33727" s="2">
        <v>4.4271558756814799E-4</v>
      </c>
      <c r="D33727" s="2">
        <v>1.01786350450404E-4</v>
      </c>
      <c r="E33727" s="2">
        <v>0</v>
      </c>
      <c r="F33727" s="2">
        <v>4.05869497346237E-4</v>
      </c>
    </row>
    <row r="33728" spans="1:6" x14ac:dyDescent="0.25">
      <c r="A33728" s="1" t="str">
        <f t="shared" si="1206"/>
        <v>43340</v>
      </c>
      <c r="B33728" s="1" t="str">
        <f>"71009"</f>
        <v>71009</v>
      </c>
      <c r="C33728" s="2">
        <v>0</v>
      </c>
      <c r="D33728" s="2">
        <v>5.0893175225202297E-5</v>
      </c>
      <c r="E33728" s="2">
        <v>2.8336639274581998E-4</v>
      </c>
      <c r="F33728" s="2">
        <v>8.9202087328843393E-6</v>
      </c>
    </row>
    <row r="33729" spans="1:6" x14ac:dyDescent="0.25">
      <c r="A33729" s="1" t="str">
        <f t="shared" si="1206"/>
        <v>43340</v>
      </c>
      <c r="B33729" s="1" t="str">
        <f>"71018"</f>
        <v>71018</v>
      </c>
      <c r="C33729" s="2">
        <v>4.0292092801146002E-4</v>
      </c>
      <c r="D33729" s="2">
        <v>5.0893175225202297E-5</v>
      </c>
      <c r="E33729" s="2">
        <v>0</v>
      </c>
      <c r="F33729" s="2">
        <v>3.65728558048258E-4</v>
      </c>
    </row>
    <row r="33730" spans="1:6" x14ac:dyDescent="0.25">
      <c r="A33730" s="1" t="str">
        <f t="shared" si="1206"/>
        <v>43340</v>
      </c>
      <c r="B33730" s="1" t="str">
        <f>"71101"</f>
        <v>71101</v>
      </c>
      <c r="C33730" s="2">
        <v>2.3165466194436699E-2</v>
      </c>
      <c r="D33730" s="2">
        <v>9.6289887526082696E-2</v>
      </c>
      <c r="E33730" s="2">
        <v>0.10626239727968199</v>
      </c>
      <c r="F33730" s="2">
        <v>3.0881762633245598E-2</v>
      </c>
    </row>
    <row r="33731" spans="1:6" x14ac:dyDescent="0.25">
      <c r="A33731" s="1" t="str">
        <f t="shared" si="1206"/>
        <v>43340</v>
      </c>
      <c r="B33731" s="1" t="str">
        <f>"71104"</f>
        <v>71104</v>
      </c>
      <c r="C33731" s="2">
        <v>4.0237375144255599E-2</v>
      </c>
      <c r="D33731" s="2">
        <v>3.5727009008092003E-2</v>
      </c>
      <c r="E33731" s="2">
        <v>9.86115046755454E-2</v>
      </c>
      <c r="F33731" s="2">
        <v>4.0760893804915002E-2</v>
      </c>
    </row>
    <row r="33732" spans="1:6" x14ac:dyDescent="0.25">
      <c r="A33732" s="1" t="str">
        <f t="shared" si="1206"/>
        <v>43340</v>
      </c>
      <c r="B33732" s="1" t="str">
        <f>"71111"</f>
        <v>71111</v>
      </c>
      <c r="C33732" s="2">
        <v>9.68800986907557E-2</v>
      </c>
      <c r="D33732" s="2">
        <v>0.12779276299048201</v>
      </c>
      <c r="E33732" s="2">
        <v>0.15783508075942099</v>
      </c>
      <c r="F33732" s="2">
        <v>0.100548592837072</v>
      </c>
    </row>
    <row r="33733" spans="1:6" x14ac:dyDescent="0.25">
      <c r="A33733" s="1" t="str">
        <f t="shared" si="1206"/>
        <v>43340</v>
      </c>
      <c r="B33733" s="1" t="str">
        <f>"71110"</f>
        <v>71110</v>
      </c>
      <c r="C33733" s="2">
        <v>1.5997453141788302E-2</v>
      </c>
      <c r="D33733" s="2">
        <v>5.5982492747722497E-3</v>
      </c>
      <c r="E33733" s="2">
        <v>1.04845565315953E-2</v>
      </c>
      <c r="F33733" s="2">
        <v>1.4999330984345E-2</v>
      </c>
    </row>
    <row r="33734" spans="1:6" x14ac:dyDescent="0.25">
      <c r="A33734" s="1" t="str">
        <f t="shared" si="1206"/>
        <v>43340</v>
      </c>
      <c r="B33734" s="1" t="str">
        <f>"71082"</f>
        <v>71082</v>
      </c>
      <c r="C33734" s="2">
        <v>1.14260416252138E-2</v>
      </c>
      <c r="D33734" s="2">
        <v>1.2214362054048499E-2</v>
      </c>
      <c r="E33734" s="2">
        <v>1.4451686030036799E-2</v>
      </c>
      <c r="F33734" s="2">
        <v>1.15427501003523E-2</v>
      </c>
    </row>
    <row r="33735" spans="1:6" x14ac:dyDescent="0.25">
      <c r="A33735" s="1" t="str">
        <f t="shared" si="1206"/>
        <v>43340</v>
      </c>
      <c r="B33735" s="1" t="str">
        <f>"71118"</f>
        <v>71118</v>
      </c>
      <c r="C33735" s="2">
        <v>5.3862071709976499E-2</v>
      </c>
      <c r="D33735" s="2">
        <v>3.9391317624306497E-2</v>
      </c>
      <c r="E33735" s="2">
        <v>4.2504958911873003E-2</v>
      </c>
      <c r="F33735" s="2">
        <v>5.2415146514428398E-2</v>
      </c>
    </row>
    <row r="33736" spans="1:6" x14ac:dyDescent="0.25">
      <c r="A33736" s="1" t="str">
        <f t="shared" si="1206"/>
        <v>43340</v>
      </c>
      <c r="B33736" s="1" t="str">
        <f>"71149"</f>
        <v>71149</v>
      </c>
      <c r="C33736" s="2">
        <v>4.0640296072267101E-3</v>
      </c>
      <c r="D33736" s="2">
        <v>1.1552750776120901E-2</v>
      </c>
      <c r="E33736" s="2">
        <v>5.6673278549163996E-4</v>
      </c>
      <c r="F33736" s="2">
        <v>4.6652691672985098E-3</v>
      </c>
    </row>
    <row r="33737" spans="1:6" x14ac:dyDescent="0.25">
      <c r="A33737" s="1" t="str">
        <f t="shared" si="1206"/>
        <v>43340</v>
      </c>
      <c r="B33737" s="1" t="str">
        <f>"71164"</f>
        <v>71164</v>
      </c>
      <c r="C33737" s="2">
        <v>3.5815193601018702E-4</v>
      </c>
      <c r="D33737" s="2">
        <v>2.4937655860349101E-3</v>
      </c>
      <c r="E33737" s="2">
        <v>5.6673278549163996E-4</v>
      </c>
      <c r="F33737" s="2">
        <v>5.4859283707238697E-4</v>
      </c>
    </row>
    <row r="33738" spans="1:6" x14ac:dyDescent="0.25">
      <c r="A33738" s="1" t="str">
        <f t="shared" si="1206"/>
        <v>43340</v>
      </c>
      <c r="B33738" s="1" t="str">
        <f>"71006"</f>
        <v>71006</v>
      </c>
      <c r="C33738" s="2">
        <v>3.04230172310875E-2</v>
      </c>
      <c r="D33738" s="2">
        <v>9.0080920148608006E-3</v>
      </c>
      <c r="E33738" s="2">
        <v>9.6344573533578906E-3</v>
      </c>
      <c r="F33738" s="2">
        <v>2.8219080326479601E-2</v>
      </c>
    </row>
    <row r="33739" spans="1:6" x14ac:dyDescent="0.25">
      <c r="A33739" s="1" t="str">
        <f t="shared" si="1206"/>
        <v>43340</v>
      </c>
      <c r="B33739" s="1" t="str">
        <f>"71027"</f>
        <v>71027</v>
      </c>
      <c r="C33739" s="2">
        <v>4.4371045405706497E-3</v>
      </c>
      <c r="D33739" s="2">
        <v>2.1884065346836901E-3</v>
      </c>
      <c r="E33739" s="2">
        <v>1.4168319637290999E-3</v>
      </c>
      <c r="F33739" s="2">
        <v>4.1924981044556397E-3</v>
      </c>
    </row>
    <row r="33740" spans="1:6" x14ac:dyDescent="0.25">
      <c r="A33740" s="1" t="str">
        <f t="shared" si="1206"/>
        <v>43340</v>
      </c>
      <c r="B33740" s="1" t="str">
        <f>"71106"</f>
        <v>71106</v>
      </c>
      <c r="C33740" s="2">
        <v>7.9554498786262806E-2</v>
      </c>
      <c r="D33740" s="2">
        <v>7.6696015064379799E-2</v>
      </c>
      <c r="E33740" s="2">
        <v>0.117313686596769</v>
      </c>
      <c r="F33740" s="2">
        <v>7.9898309620445099E-2</v>
      </c>
    </row>
    <row r="33741" spans="1:6" x14ac:dyDescent="0.25">
      <c r="A33741" s="1" t="str">
        <f t="shared" si="1206"/>
        <v>43340</v>
      </c>
      <c r="B33741" s="1" t="str">
        <f>"71029"</f>
        <v>71029</v>
      </c>
      <c r="C33741" s="2">
        <v>1.5917863822674901E-4</v>
      </c>
      <c r="D33741" s="2">
        <v>2.03572700900809E-4</v>
      </c>
      <c r="E33741" s="2">
        <v>2.8336639274581998E-4</v>
      </c>
      <c r="F33741" s="2">
        <v>1.6502386155836001E-4</v>
      </c>
    </row>
    <row r="33742" spans="1:6" x14ac:dyDescent="0.25">
      <c r="A33742" s="1" t="str">
        <f t="shared" si="1206"/>
        <v>43340</v>
      </c>
      <c r="B33742" s="1" t="str">
        <f>"71078"</f>
        <v>71078</v>
      </c>
      <c r="C33742" s="2">
        <v>1.3943053842174299E-2</v>
      </c>
      <c r="D33742" s="2">
        <v>4.8348516463942101E-3</v>
      </c>
      <c r="E33742" s="2">
        <v>5.1005950694247596E-3</v>
      </c>
      <c r="F33742" s="2">
        <v>1.30056643325453E-2</v>
      </c>
    </row>
    <row r="33743" spans="1:6" x14ac:dyDescent="0.25">
      <c r="A33743" s="1" t="str">
        <f t="shared" si="1206"/>
        <v>43340</v>
      </c>
      <c r="B33743" s="1" t="str">
        <f>"71134"</f>
        <v>71134</v>
      </c>
      <c r="C33743" s="2">
        <v>3.7804926578853099E-3</v>
      </c>
      <c r="D33743" s="2">
        <v>1.46572344648582E-2</v>
      </c>
      <c r="E33743" s="2">
        <v>5.6673278549163996E-4</v>
      </c>
      <c r="F33743" s="2">
        <v>4.6831095847642799E-3</v>
      </c>
    </row>
    <row r="33744" spans="1:6" x14ac:dyDescent="0.25">
      <c r="A33744" s="1" t="str">
        <f t="shared" si="1206"/>
        <v>43340</v>
      </c>
      <c r="B33744" s="1" t="str">
        <f>"71161"</f>
        <v>71161</v>
      </c>
      <c r="C33744" s="2">
        <v>4.1784392534521798E-4</v>
      </c>
      <c r="D33744" s="2">
        <v>5.1402106977454301E-3</v>
      </c>
      <c r="E33744" s="2">
        <v>5.6673278549163996E-4</v>
      </c>
      <c r="F33744" s="2">
        <v>8.3403951652468605E-4</v>
      </c>
    </row>
    <row r="33745" spans="1:6" x14ac:dyDescent="0.25">
      <c r="A33745" s="1" t="str">
        <f t="shared" ref="A33745:A33766" si="1207">"43380"</f>
        <v>43380</v>
      </c>
      <c r="B33745" s="1" t="str">
        <f>"45334"</f>
        <v>45334</v>
      </c>
      <c r="C33745" s="2">
        <v>4.0025972821297703E-2</v>
      </c>
      <c r="D33745" s="2">
        <v>4.2755344418052198E-2</v>
      </c>
      <c r="E33745" s="2">
        <v>1.34099616858237E-2</v>
      </c>
      <c r="F33745" s="2">
        <v>3.96347877308873E-2</v>
      </c>
    </row>
    <row r="33746" spans="1:6" x14ac:dyDescent="0.25">
      <c r="A33746" s="1" t="str">
        <f t="shared" si="1207"/>
        <v>43380</v>
      </c>
      <c r="B33746" s="1" t="str">
        <f>"45869"</f>
        <v>45869</v>
      </c>
      <c r="C33746" s="2">
        <v>1.80882148323361E-3</v>
      </c>
      <c r="D33746" s="2">
        <v>0</v>
      </c>
      <c r="E33746" s="2">
        <v>0</v>
      </c>
      <c r="F33746" s="2">
        <v>1.6409307022341899E-3</v>
      </c>
    </row>
    <row r="33747" spans="1:6" x14ac:dyDescent="0.25">
      <c r="A33747" s="1" t="str">
        <f t="shared" si="1207"/>
        <v>43380</v>
      </c>
      <c r="B33747" s="1" t="str">
        <f>"43343"</f>
        <v>43343</v>
      </c>
      <c r="C33747" s="2">
        <v>4.6380038031631099E-4</v>
      </c>
      <c r="D33747" s="2">
        <v>0</v>
      </c>
      <c r="E33747" s="2">
        <v>0</v>
      </c>
      <c r="F33747" s="2">
        <v>4.2075146211133002E-4</v>
      </c>
    </row>
    <row r="33748" spans="1:6" x14ac:dyDescent="0.25">
      <c r="A33748" s="1" t="str">
        <f t="shared" si="1207"/>
        <v>43380</v>
      </c>
      <c r="B33748" s="1" t="str">
        <f>"45363"</f>
        <v>45363</v>
      </c>
      <c r="C33748" s="2">
        <v>2.9868744492370401E-2</v>
      </c>
      <c r="D33748" s="2">
        <v>2.0190023752969102E-2</v>
      </c>
      <c r="E33748" s="2">
        <v>1.72413793103448E-2</v>
      </c>
      <c r="F33748" s="2">
        <v>2.8905625447048399E-2</v>
      </c>
    </row>
    <row r="33749" spans="1:6" x14ac:dyDescent="0.25">
      <c r="A33749" s="1" t="str">
        <f t="shared" si="1207"/>
        <v>43380</v>
      </c>
      <c r="B33749" s="1" t="str">
        <f>"45356"</f>
        <v>45356</v>
      </c>
      <c r="C33749" s="2">
        <v>1.24762302305087E-2</v>
      </c>
      <c r="D33749" s="2">
        <v>4.75059382422802E-3</v>
      </c>
      <c r="E33749" s="2">
        <v>0</v>
      </c>
      <c r="F33749" s="2">
        <v>1.1654815500483799E-2</v>
      </c>
    </row>
    <row r="33750" spans="1:6" x14ac:dyDescent="0.25">
      <c r="A33750" s="1" t="str">
        <f t="shared" si="1207"/>
        <v>43380</v>
      </c>
      <c r="B33750" s="1" t="str">
        <f>"45380"</f>
        <v>45380</v>
      </c>
      <c r="C33750" s="2">
        <v>1.85520152126524E-4</v>
      </c>
      <c r="D33750" s="2">
        <v>0</v>
      </c>
      <c r="E33750" s="2">
        <v>0</v>
      </c>
      <c r="F33750" s="2">
        <v>1.6830058484453199E-4</v>
      </c>
    </row>
    <row r="33751" spans="1:6" x14ac:dyDescent="0.25">
      <c r="A33751" s="1" t="str">
        <f t="shared" si="1207"/>
        <v>43380</v>
      </c>
      <c r="B33751" s="1" t="str">
        <f>"45306"</f>
        <v>45306</v>
      </c>
      <c r="C33751" s="2">
        <v>3.9330272250823202E-2</v>
      </c>
      <c r="D33751" s="2">
        <v>3.9192399049881199E-2</v>
      </c>
      <c r="E33751" s="2">
        <v>5.3639846743295E-2</v>
      </c>
      <c r="F33751" s="2">
        <v>3.96347877308873E-2</v>
      </c>
    </row>
    <row r="33752" spans="1:6" x14ac:dyDescent="0.25">
      <c r="A33752" s="1" t="str">
        <f t="shared" si="1207"/>
        <v>43380</v>
      </c>
      <c r="B33752" s="1" t="str">
        <f>"45360"</f>
        <v>45360</v>
      </c>
      <c r="C33752" s="2">
        <v>5.0554241454477903E-3</v>
      </c>
      <c r="D33752" s="2">
        <v>5.9382422802850305E-4</v>
      </c>
      <c r="E33752" s="2">
        <v>0</v>
      </c>
      <c r="F33752" s="2">
        <v>4.6282660832246301E-3</v>
      </c>
    </row>
    <row r="33753" spans="1:6" x14ac:dyDescent="0.25">
      <c r="A33753" s="1" t="str">
        <f t="shared" si="1207"/>
        <v>43380</v>
      </c>
      <c r="B33753" s="1" t="str">
        <f>"45302"</f>
        <v>45302</v>
      </c>
      <c r="C33753" s="2">
        <v>7.8011223969203597E-2</v>
      </c>
      <c r="D33753" s="2">
        <v>5.4038004750593803E-2</v>
      </c>
      <c r="E33753" s="2">
        <v>7.0881226053639806E-2</v>
      </c>
      <c r="F33753" s="2">
        <v>7.6156014642150799E-2</v>
      </c>
    </row>
    <row r="33754" spans="1:6" x14ac:dyDescent="0.25">
      <c r="A33754" s="1" t="str">
        <f t="shared" si="1207"/>
        <v>43380</v>
      </c>
      <c r="B33754" s="1" t="str">
        <f>"45367"</f>
        <v>45367</v>
      </c>
      <c r="C33754" s="2">
        <v>0</v>
      </c>
      <c r="D33754" s="2">
        <v>0</v>
      </c>
      <c r="E33754" s="2">
        <v>1.91570881226053E-3</v>
      </c>
      <c r="F33754" s="2">
        <v>4.2075146211132997E-5</v>
      </c>
    </row>
    <row r="33755" spans="1:6" x14ac:dyDescent="0.25">
      <c r="A33755" s="1" t="str">
        <f t="shared" si="1207"/>
        <v>43380</v>
      </c>
      <c r="B33755" s="1" t="str">
        <f>"45326"</f>
        <v>45326</v>
      </c>
      <c r="C33755" s="2">
        <v>4.6380038031631101E-5</v>
      </c>
      <c r="D33755" s="2">
        <v>0</v>
      </c>
      <c r="E33755" s="2">
        <v>0</v>
      </c>
      <c r="F33755" s="2">
        <v>4.2075146211132997E-5</v>
      </c>
    </row>
    <row r="33756" spans="1:6" x14ac:dyDescent="0.25">
      <c r="A33756" s="1" t="str">
        <f t="shared" si="1207"/>
        <v>43380</v>
      </c>
      <c r="B33756" s="1" t="str">
        <f>"45336"</f>
        <v>45336</v>
      </c>
      <c r="C33756" s="2">
        <v>4.6380038031631101E-5</v>
      </c>
      <c r="D33756" s="2">
        <v>5.9382422802850305E-4</v>
      </c>
      <c r="E33756" s="2">
        <v>0</v>
      </c>
      <c r="F33756" s="2">
        <v>8.4150292422266102E-5</v>
      </c>
    </row>
    <row r="33757" spans="1:6" x14ac:dyDescent="0.25">
      <c r="A33757" s="1" t="str">
        <f t="shared" si="1207"/>
        <v>43380</v>
      </c>
      <c r="B33757" s="1" t="str">
        <f>"45871"</f>
        <v>45871</v>
      </c>
      <c r="C33757" s="2">
        <v>4.0350633087519096E-3</v>
      </c>
      <c r="D33757" s="2">
        <v>0</v>
      </c>
      <c r="E33757" s="2">
        <v>0</v>
      </c>
      <c r="F33757" s="2">
        <v>3.6605377203685701E-3</v>
      </c>
    </row>
    <row r="33758" spans="1:6" x14ac:dyDescent="0.25">
      <c r="A33758" s="1" t="str">
        <f t="shared" si="1207"/>
        <v>43380</v>
      </c>
      <c r="B33758" s="1" t="str">
        <f>"45895"</f>
        <v>45895</v>
      </c>
      <c r="C33758" s="2">
        <v>7.8846064653772998E-4</v>
      </c>
      <c r="D33758" s="2">
        <v>0</v>
      </c>
      <c r="E33758" s="2">
        <v>0</v>
      </c>
      <c r="F33758" s="2">
        <v>7.15277485589262E-4</v>
      </c>
    </row>
    <row r="33759" spans="1:6" x14ac:dyDescent="0.25">
      <c r="A33759" s="1" t="str">
        <f t="shared" si="1207"/>
        <v>43380</v>
      </c>
      <c r="B33759" s="1" t="str">
        <f>"45865"</f>
        <v>45865</v>
      </c>
      <c r="C33759" s="2">
        <v>3.1538425861509199E-2</v>
      </c>
      <c r="D33759" s="2">
        <v>8.3135391923990394E-3</v>
      </c>
      <c r="E33759" s="2">
        <v>3.83141762452107E-3</v>
      </c>
      <c r="F33759" s="2">
        <v>2.9284301762948599E-2</v>
      </c>
    </row>
    <row r="33760" spans="1:6" x14ac:dyDescent="0.25">
      <c r="A33760" s="1" t="str">
        <f t="shared" si="1207"/>
        <v>43380</v>
      </c>
      <c r="B33760" s="1" t="str">
        <f>"45388"</f>
        <v>45388</v>
      </c>
      <c r="C33760" s="2">
        <v>2.3190019015815501E-4</v>
      </c>
      <c r="D33760" s="2">
        <v>0</v>
      </c>
      <c r="E33760" s="2">
        <v>0</v>
      </c>
      <c r="F33760" s="2">
        <v>2.1037573105566501E-4</v>
      </c>
    </row>
    <row r="33761" spans="1:6" x14ac:dyDescent="0.25">
      <c r="A33761" s="1" t="str">
        <f t="shared" si="1207"/>
        <v>43380</v>
      </c>
      <c r="B33761" s="1" t="str">
        <f>"45333"</f>
        <v>45333</v>
      </c>
      <c r="C33761" s="2">
        <v>2.69468020963777E-2</v>
      </c>
      <c r="D33761" s="2">
        <v>1.24703087885985E-2</v>
      </c>
      <c r="E33761" s="2">
        <v>3.83141762452107E-3</v>
      </c>
      <c r="F33761" s="2">
        <v>2.5413388311524301E-2</v>
      </c>
    </row>
    <row r="33762" spans="1:6" x14ac:dyDescent="0.25">
      <c r="A33762" s="1" t="str">
        <f t="shared" si="1207"/>
        <v>43380</v>
      </c>
      <c r="B33762" s="1" t="str">
        <f>"45845"</f>
        <v>45845</v>
      </c>
      <c r="C33762" s="2">
        <v>5.7464867121190998E-2</v>
      </c>
      <c r="D33762" s="2">
        <v>5.0475059382422797E-2</v>
      </c>
      <c r="E33762" s="2">
        <v>5.1724137931034399E-2</v>
      </c>
      <c r="F33762" s="2">
        <v>5.6843522531240698E-2</v>
      </c>
    </row>
    <row r="33763" spans="1:6" x14ac:dyDescent="0.25">
      <c r="A33763" s="1" t="str">
        <f t="shared" si="1207"/>
        <v>43380</v>
      </c>
      <c r="B33763" s="1" t="str">
        <f>"45365"</f>
        <v>45365</v>
      </c>
      <c r="C33763" s="2">
        <v>0.65521079727285303</v>
      </c>
      <c r="D33763" s="2">
        <v>0.76365795724465502</v>
      </c>
      <c r="E33763" s="2">
        <v>0.783524904214559</v>
      </c>
      <c r="F33763" s="2">
        <v>0.66571296335254704</v>
      </c>
    </row>
    <row r="33764" spans="1:6" x14ac:dyDescent="0.25">
      <c r="A33764" s="1" t="str">
        <f t="shared" si="1207"/>
        <v>43380</v>
      </c>
      <c r="B33764" s="1" t="str">
        <f>"45340"</f>
        <v>45340</v>
      </c>
      <c r="C33764" s="2">
        <v>1.49343722461852E-2</v>
      </c>
      <c r="D33764" s="2">
        <v>1.7814726840855099E-3</v>
      </c>
      <c r="E33764" s="2">
        <v>0</v>
      </c>
      <c r="F33764" s="2">
        <v>1.3674422518618201E-2</v>
      </c>
    </row>
    <row r="33765" spans="1:6" x14ac:dyDescent="0.25">
      <c r="A33765" s="1" t="str">
        <f t="shared" si="1207"/>
        <v>43380</v>
      </c>
      <c r="B33765" s="1" t="str">
        <f>"45317"</f>
        <v>45317</v>
      </c>
      <c r="C33765" s="2">
        <v>1.5305412550438199E-3</v>
      </c>
      <c r="D33765" s="2">
        <v>5.9382422802850305E-4</v>
      </c>
      <c r="E33765" s="2">
        <v>0</v>
      </c>
      <c r="F33765" s="2">
        <v>1.4305549711785201E-3</v>
      </c>
    </row>
    <row r="33766" spans="1:6" x14ac:dyDescent="0.25">
      <c r="A33766" s="1" t="str">
        <f t="shared" si="1207"/>
        <v>43380</v>
      </c>
      <c r="B33766" s="1" t="str">
        <f>"45353"</f>
        <v>45353</v>
      </c>
      <c r="C33766" s="2">
        <v>0</v>
      </c>
      <c r="D33766" s="2">
        <v>5.9382422802850305E-4</v>
      </c>
      <c r="E33766" s="2">
        <v>0</v>
      </c>
      <c r="F33766" s="2">
        <v>4.2075146211132997E-5</v>
      </c>
    </row>
    <row r="33767" spans="1:6" x14ac:dyDescent="0.25">
      <c r="A33767" s="1" t="str">
        <f t="shared" ref="A33767:A33791" si="1208">"43420"</f>
        <v>43420</v>
      </c>
      <c r="B33767" s="1" t="str">
        <f>"85607"</f>
        <v>85607</v>
      </c>
      <c r="C33767" s="2">
        <v>0.112693479769483</v>
      </c>
      <c r="D33767" s="2">
        <v>0.151215121512151</v>
      </c>
      <c r="E33767" s="2">
        <v>9.7345132743362803E-2</v>
      </c>
      <c r="F33767" s="2">
        <v>0.114327023119434</v>
      </c>
    </row>
    <row r="33768" spans="1:6" x14ac:dyDescent="0.25">
      <c r="A33768" s="1" t="str">
        <f t="shared" si="1208"/>
        <v>43420</v>
      </c>
      <c r="B33768" s="1" t="str">
        <f>"85632"</f>
        <v>85632</v>
      </c>
      <c r="C33768" s="2">
        <v>1.1933138219231801E-2</v>
      </c>
      <c r="D33768" s="2">
        <v>1.3501350135013499E-3</v>
      </c>
      <c r="E33768" s="2">
        <v>6.1031431187061303E-4</v>
      </c>
      <c r="F33768" s="2">
        <v>1.0796276027943299E-2</v>
      </c>
    </row>
    <row r="33769" spans="1:6" x14ac:dyDescent="0.25">
      <c r="A33769" s="1" t="str">
        <f t="shared" si="1208"/>
        <v>43420</v>
      </c>
      <c r="B33769" s="1" t="str">
        <f>"85650"</f>
        <v>85650</v>
      </c>
      <c r="C33769" s="2">
        <v>0.101605165494976</v>
      </c>
      <c r="D33769" s="2">
        <v>3.5778577857785702E-2</v>
      </c>
      <c r="E33769" s="2">
        <v>2.2886786695148001E-2</v>
      </c>
      <c r="F33769" s="2">
        <v>9.4166768008431601E-2</v>
      </c>
    </row>
    <row r="33770" spans="1:6" x14ac:dyDescent="0.25">
      <c r="A33770" s="1" t="str">
        <f t="shared" si="1208"/>
        <v>43420</v>
      </c>
      <c r="B33770" s="1" t="str">
        <f>"85624"</f>
        <v>85624</v>
      </c>
      <c r="C33770" s="2">
        <v>1.50861418700781E-5</v>
      </c>
      <c r="D33770" s="2">
        <v>0</v>
      </c>
      <c r="E33770" s="2">
        <v>0</v>
      </c>
      <c r="F33770" s="2">
        <v>1.3512235329090399E-5</v>
      </c>
    </row>
    <row r="33771" spans="1:6" x14ac:dyDescent="0.25">
      <c r="A33771" s="1" t="str">
        <f t="shared" si="1208"/>
        <v>43420</v>
      </c>
      <c r="B33771" s="1" t="str">
        <f>"85630"</f>
        <v>85630</v>
      </c>
      <c r="C33771" s="2">
        <v>1.33059771294089E-2</v>
      </c>
      <c r="D33771" s="2">
        <v>2.7002700270026998E-3</v>
      </c>
      <c r="E33771" s="2">
        <v>3.0515715593530597E-4</v>
      </c>
      <c r="F33771" s="2">
        <v>1.20934506195359E-2</v>
      </c>
    </row>
    <row r="33772" spans="1:6" x14ac:dyDescent="0.25">
      <c r="A33772" s="1" t="str">
        <f t="shared" si="1208"/>
        <v>43420</v>
      </c>
      <c r="B33772" s="1" t="str">
        <f>"85635"</f>
        <v>85635</v>
      </c>
      <c r="C33772" s="2">
        <v>0.27784147482122901</v>
      </c>
      <c r="D33772" s="2">
        <v>0.36746174617461702</v>
      </c>
      <c r="E33772" s="2">
        <v>0.67897467195605699</v>
      </c>
      <c r="F33772" s="2">
        <v>0.30098504195548997</v>
      </c>
    </row>
    <row r="33773" spans="1:6" x14ac:dyDescent="0.25">
      <c r="A33773" s="1" t="str">
        <f t="shared" si="1208"/>
        <v>43420</v>
      </c>
      <c r="B33773" s="1" t="str">
        <f>"85608"</f>
        <v>85608</v>
      </c>
      <c r="C33773" s="2">
        <v>3.09718492592704E-2</v>
      </c>
      <c r="D33773" s="2">
        <v>3.17281728172817E-2</v>
      </c>
      <c r="E33773" s="2">
        <v>6.1031431187061303E-4</v>
      </c>
      <c r="F33773" s="2">
        <v>2.9672868782682701E-2</v>
      </c>
    </row>
    <row r="33774" spans="1:6" x14ac:dyDescent="0.25">
      <c r="A33774" s="1" t="str">
        <f t="shared" si="1208"/>
        <v>43420</v>
      </c>
      <c r="B33774" s="1" t="str">
        <f>"85617"</f>
        <v>85617</v>
      </c>
      <c r="C33774" s="2">
        <v>7.7090184956099296E-3</v>
      </c>
      <c r="D33774" s="2">
        <v>3.1503150315031498E-3</v>
      </c>
      <c r="E33774" s="2">
        <v>1.5257857796765299E-3</v>
      </c>
      <c r="F33774" s="2">
        <v>7.1614847244179597E-3</v>
      </c>
    </row>
    <row r="33775" spans="1:6" x14ac:dyDescent="0.25">
      <c r="A33775" s="1" t="str">
        <f t="shared" si="1208"/>
        <v>43420</v>
      </c>
      <c r="B33775" s="1" t="str">
        <f>"85638"</f>
        <v>85638</v>
      </c>
      <c r="C33775" s="2">
        <v>1.1933138219231801E-2</v>
      </c>
      <c r="D33775" s="2">
        <v>2.2502250225022501E-4</v>
      </c>
      <c r="E33775" s="2">
        <v>5.79798596277082E-3</v>
      </c>
      <c r="F33775" s="2">
        <v>1.09584228518923E-2</v>
      </c>
    </row>
    <row r="33776" spans="1:6" x14ac:dyDescent="0.25">
      <c r="A33776" s="1" t="str">
        <f t="shared" si="1208"/>
        <v>43420</v>
      </c>
      <c r="B33776" s="1" t="str">
        <f>"85609"</f>
        <v>85609</v>
      </c>
      <c r="C33776" s="2">
        <v>3.4999849138581201E-3</v>
      </c>
      <c r="D33776" s="2">
        <v>0</v>
      </c>
      <c r="E33776" s="2">
        <v>9.1547146780592004E-4</v>
      </c>
      <c r="F33776" s="2">
        <v>3.17537530233626E-3</v>
      </c>
    </row>
    <row r="33777" spans="1:6" x14ac:dyDescent="0.25">
      <c r="A33777" s="1" t="str">
        <f t="shared" si="1208"/>
        <v>43420</v>
      </c>
      <c r="B33777" s="1" t="str">
        <f>"85613"</f>
        <v>85613</v>
      </c>
      <c r="C33777" s="2">
        <v>1.9249917026219698E-2</v>
      </c>
      <c r="D33777" s="2">
        <v>1.82268226822682E-2</v>
      </c>
      <c r="E33777" s="2">
        <v>2.7158986878242201E-2</v>
      </c>
      <c r="F33777" s="2">
        <v>1.95386922858648E-2</v>
      </c>
    </row>
    <row r="33778" spans="1:6" x14ac:dyDescent="0.25">
      <c r="A33778" s="1" t="str">
        <f t="shared" si="1208"/>
        <v>43420</v>
      </c>
      <c r="B33778" s="1" t="str">
        <f>"85625"</f>
        <v>85625</v>
      </c>
      <c r="C33778" s="2">
        <v>1.7696044413601598E-2</v>
      </c>
      <c r="D33778" s="2">
        <v>7.6507650765076504E-3</v>
      </c>
      <c r="E33778" s="2">
        <v>2.7464144034177601E-3</v>
      </c>
      <c r="F33778" s="2">
        <v>1.6430878160173999E-2</v>
      </c>
    </row>
    <row r="33779" spans="1:6" x14ac:dyDescent="0.25">
      <c r="A33779" s="1" t="str">
        <f t="shared" si="1208"/>
        <v>43420</v>
      </c>
      <c r="B33779" s="1" t="str">
        <f>"85616"</f>
        <v>85616</v>
      </c>
      <c r="C33779" s="2">
        <v>3.9027849017892101E-2</v>
      </c>
      <c r="D33779" s="2">
        <v>2.6102610261026098E-2</v>
      </c>
      <c r="E33779" s="2">
        <v>2.5633201098565699E-2</v>
      </c>
      <c r="F33779" s="2">
        <v>3.7658599862175103E-2</v>
      </c>
    </row>
    <row r="33780" spans="1:6" x14ac:dyDescent="0.25">
      <c r="A33780" s="1" t="str">
        <f t="shared" si="1208"/>
        <v>43420</v>
      </c>
      <c r="B33780" s="1" t="str">
        <f>"85610"</f>
        <v>85610</v>
      </c>
      <c r="C33780" s="2">
        <v>6.8491084090154704E-3</v>
      </c>
      <c r="D33780" s="2">
        <v>4.7254725472547204E-3</v>
      </c>
      <c r="E33780" s="2">
        <v>1.22062862374122E-3</v>
      </c>
      <c r="F33780" s="2">
        <v>6.4723607226343403E-3</v>
      </c>
    </row>
    <row r="33781" spans="1:6" x14ac:dyDescent="0.25">
      <c r="A33781" s="1" t="str">
        <f t="shared" si="1208"/>
        <v>43420</v>
      </c>
      <c r="B33781" s="1" t="str">
        <f>"85643"</f>
        <v>85643</v>
      </c>
      <c r="C33781" s="2">
        <v>5.4672178137163199E-2</v>
      </c>
      <c r="D33781" s="2">
        <v>8.0108010801080098E-2</v>
      </c>
      <c r="E33781" s="2">
        <v>2.5633201098565699E-2</v>
      </c>
      <c r="F33781" s="2">
        <v>5.49137243774237E-2</v>
      </c>
    </row>
    <row r="33782" spans="1:6" x14ac:dyDescent="0.25">
      <c r="A33782" s="1" t="str">
        <f t="shared" si="1208"/>
        <v>43420</v>
      </c>
      <c r="B33782" s="1" t="str">
        <f>"85603"</f>
        <v>85603</v>
      </c>
      <c r="C33782" s="2">
        <v>4.2754126059801403E-2</v>
      </c>
      <c r="D33782" s="2">
        <v>5.4680468046804598E-2</v>
      </c>
      <c r="E33782" s="2">
        <v>4.36374732987488E-2</v>
      </c>
      <c r="F33782" s="2">
        <v>4.3509397759671303E-2</v>
      </c>
    </row>
    <row r="33783" spans="1:6" x14ac:dyDescent="0.25">
      <c r="A33783" s="1" t="str">
        <f t="shared" si="1208"/>
        <v>43420</v>
      </c>
      <c r="B33783" s="1" t="str">
        <f>"85602"</f>
        <v>85602</v>
      </c>
      <c r="C33783" s="2">
        <v>0.116299067676432</v>
      </c>
      <c r="D33783" s="2">
        <v>0.11656165616561601</v>
      </c>
      <c r="E33783" s="2">
        <v>4.8519987793713699E-2</v>
      </c>
      <c r="F33783" s="2">
        <v>0.113313605469752</v>
      </c>
    </row>
    <row r="33784" spans="1:6" x14ac:dyDescent="0.25">
      <c r="A33784" s="1" t="str">
        <f t="shared" si="1208"/>
        <v>43420</v>
      </c>
      <c r="B33784" s="1" t="str">
        <f>"85626"</f>
        <v>85626</v>
      </c>
      <c r="C33784" s="2">
        <v>7.5883293606492999E-3</v>
      </c>
      <c r="D33784" s="2">
        <v>0</v>
      </c>
      <c r="E33784" s="2">
        <v>3.0515715593530597E-4</v>
      </c>
      <c r="F33784" s="2">
        <v>6.8101666058615999E-3</v>
      </c>
    </row>
    <row r="33785" spans="1:6" x14ac:dyDescent="0.25">
      <c r="A33785" s="1" t="str">
        <f t="shared" si="1208"/>
        <v>43420</v>
      </c>
      <c r="B33785" s="1" t="str">
        <f>"85627"</f>
        <v>85627</v>
      </c>
      <c r="C33785" s="2">
        <v>0</v>
      </c>
      <c r="D33785" s="2">
        <v>0</v>
      </c>
      <c r="E33785" s="2">
        <v>3.0515715593530597E-4</v>
      </c>
      <c r="F33785" s="2">
        <v>1.3512235329090399E-5</v>
      </c>
    </row>
    <row r="33786" spans="1:6" x14ac:dyDescent="0.25">
      <c r="A33786" s="1" t="str">
        <f t="shared" si="1208"/>
        <v>43420</v>
      </c>
      <c r="B33786" s="1" t="str">
        <f>"85611"</f>
        <v>85611</v>
      </c>
      <c r="C33786" s="2">
        <v>9.2025465407476604E-4</v>
      </c>
      <c r="D33786" s="2">
        <v>2.2502250225022501E-4</v>
      </c>
      <c r="E33786" s="2">
        <v>0</v>
      </c>
      <c r="F33786" s="2">
        <v>8.3775859040360998E-4</v>
      </c>
    </row>
    <row r="33787" spans="1:6" x14ac:dyDescent="0.25">
      <c r="A33787" s="1" t="str">
        <f t="shared" si="1208"/>
        <v>43420</v>
      </c>
      <c r="B33787" s="1" t="str">
        <f>"85620"</f>
        <v>85620</v>
      </c>
      <c r="C33787" s="2">
        <v>4.8275653984250003E-3</v>
      </c>
      <c r="D33787" s="2">
        <v>0</v>
      </c>
      <c r="E33787" s="2">
        <v>3.0515715593530597E-4</v>
      </c>
      <c r="F33787" s="2">
        <v>4.33742754063804E-3</v>
      </c>
    </row>
    <row r="33788" spans="1:6" x14ac:dyDescent="0.25">
      <c r="A33788" s="1" t="str">
        <f t="shared" si="1208"/>
        <v>43420</v>
      </c>
      <c r="B33788" s="1" t="str">
        <f>"85636"</f>
        <v>85636</v>
      </c>
      <c r="C33788" s="2">
        <v>4.0461032495549498E-2</v>
      </c>
      <c r="D33788" s="2">
        <v>8.2133213321332096E-2</v>
      </c>
      <c r="E33788" s="2">
        <v>6.1031431187061303E-4</v>
      </c>
      <c r="F33788" s="2">
        <v>4.11988055183969E-2</v>
      </c>
    </row>
    <row r="33789" spans="1:6" x14ac:dyDescent="0.25">
      <c r="A33789" s="1" t="str">
        <f t="shared" si="1208"/>
        <v>43420</v>
      </c>
      <c r="B33789" s="1" t="str">
        <f>"85615"</f>
        <v>85615</v>
      </c>
      <c r="C33789" s="2">
        <v>6.2079473795371501E-2</v>
      </c>
      <c r="D33789" s="2">
        <v>1.3051305130513001E-2</v>
      </c>
      <c r="E33789" s="2">
        <v>1.43423863289594E-2</v>
      </c>
      <c r="F33789" s="2">
        <v>5.7021633088761799E-2</v>
      </c>
    </row>
    <row r="33790" spans="1:6" x14ac:dyDescent="0.25">
      <c r="A33790" s="1" t="str">
        <f t="shared" si="1208"/>
        <v>43420</v>
      </c>
      <c r="B33790" s="1" t="str">
        <f>"85606"</f>
        <v>85606</v>
      </c>
      <c r="C33790" s="2">
        <v>9.6551307968500092E-3</v>
      </c>
      <c r="D33790" s="2">
        <v>2.92529252925292E-3</v>
      </c>
      <c r="E33790" s="2">
        <v>3.0515715593530597E-4</v>
      </c>
      <c r="F33790" s="2">
        <v>8.8370019052251801E-3</v>
      </c>
    </row>
    <row r="33791" spans="1:6" x14ac:dyDescent="0.25">
      <c r="A33791" s="1" t="str">
        <f t="shared" si="1208"/>
        <v>43420</v>
      </c>
      <c r="B33791" s="1" t="str">
        <f>"85605"</f>
        <v>85605</v>
      </c>
      <c r="C33791" s="2">
        <v>6.4116102947832099E-3</v>
      </c>
      <c r="D33791" s="2">
        <v>0</v>
      </c>
      <c r="E33791" s="2">
        <v>3.0515715593530597E-4</v>
      </c>
      <c r="F33791" s="2">
        <v>5.7562122501925404E-3</v>
      </c>
    </row>
    <row r="33792" spans="1:6" x14ac:dyDescent="0.25">
      <c r="A33792" s="1" t="str">
        <f t="shared" ref="A33792:A33805" si="1209">"43460"</f>
        <v>43460</v>
      </c>
      <c r="B33792" s="1" t="str">
        <f>"63736"</f>
        <v>63736</v>
      </c>
      <c r="C33792" s="2">
        <v>7.1539908626713195E-2</v>
      </c>
      <c r="D33792" s="2">
        <v>3.0123722431414701E-2</v>
      </c>
      <c r="E33792" s="2">
        <v>2.2653721682847801E-2</v>
      </c>
      <c r="F33792" s="2">
        <v>6.7106339960525604E-2</v>
      </c>
    </row>
    <row r="33793" spans="1:6" x14ac:dyDescent="0.25">
      <c r="A33793" s="1" t="str">
        <f t="shared" si="1209"/>
        <v>43460</v>
      </c>
      <c r="B33793" s="1" t="str">
        <f>"63767"</f>
        <v>63767</v>
      </c>
      <c r="C33793" s="2">
        <v>5.3748992206396099E-5</v>
      </c>
      <c r="D33793" s="2">
        <v>0</v>
      </c>
      <c r="E33793" s="2">
        <v>3.2362459546925498E-3</v>
      </c>
      <c r="F33793" s="2">
        <v>9.6278823472777098E-5</v>
      </c>
    </row>
    <row r="33794" spans="1:6" x14ac:dyDescent="0.25">
      <c r="A33794" s="1" t="str">
        <f t="shared" si="1209"/>
        <v>43460</v>
      </c>
      <c r="B33794" s="1" t="str">
        <f>"63780"</f>
        <v>63780</v>
      </c>
      <c r="C33794" s="2">
        <v>0.15958075786079001</v>
      </c>
      <c r="D33794" s="2">
        <v>0.106508875739644</v>
      </c>
      <c r="E33794" s="2">
        <v>0.18122977346278299</v>
      </c>
      <c r="F33794" s="2">
        <v>0.15515332402637999</v>
      </c>
    </row>
    <row r="33795" spans="1:6" x14ac:dyDescent="0.25">
      <c r="A33795" s="1" t="str">
        <f t="shared" si="1209"/>
        <v>43460</v>
      </c>
      <c r="B33795" s="1" t="str">
        <f>"63834"</f>
        <v>63834</v>
      </c>
      <c r="C33795" s="2">
        <v>7.6861058855146403E-3</v>
      </c>
      <c r="D33795" s="2">
        <v>2.15169445938676E-3</v>
      </c>
      <c r="E33795" s="2">
        <v>0</v>
      </c>
      <c r="F33795" s="2">
        <v>7.0764935252491199E-3</v>
      </c>
    </row>
    <row r="33796" spans="1:6" x14ac:dyDescent="0.25">
      <c r="A33796" s="1" t="str">
        <f t="shared" si="1209"/>
        <v>43460</v>
      </c>
      <c r="B33796" s="1" t="str">
        <f>"63735"</f>
        <v>63735</v>
      </c>
      <c r="C33796" s="2">
        <v>6.9873689868314899E-4</v>
      </c>
      <c r="D33796" s="2">
        <v>0</v>
      </c>
      <c r="E33796" s="2">
        <v>0</v>
      </c>
      <c r="F33796" s="2">
        <v>6.2581235257305095E-4</v>
      </c>
    </row>
    <row r="33797" spans="1:6" x14ac:dyDescent="0.25">
      <c r="A33797" s="1" t="str">
        <f t="shared" si="1209"/>
        <v>43460</v>
      </c>
      <c r="B33797" s="1" t="str">
        <f>"63823"</f>
        <v>63823</v>
      </c>
      <c r="C33797" s="2">
        <v>2.3112066648750301E-3</v>
      </c>
      <c r="D33797" s="2">
        <v>5.3792361484669097E-4</v>
      </c>
      <c r="E33797" s="2">
        <v>3.2362459546925498E-3</v>
      </c>
      <c r="F33797" s="2">
        <v>2.1662735281374802E-3</v>
      </c>
    </row>
    <row r="33798" spans="1:6" x14ac:dyDescent="0.25">
      <c r="A33798" s="1" t="str">
        <f t="shared" si="1209"/>
        <v>43460</v>
      </c>
      <c r="B33798" s="1" t="str">
        <f>"63774"</f>
        <v>63774</v>
      </c>
      <c r="C33798" s="2">
        <v>5.3748992206396099E-5</v>
      </c>
      <c r="D33798" s="2">
        <v>0</v>
      </c>
      <c r="E33798" s="2">
        <v>3.2362459546925498E-3</v>
      </c>
      <c r="F33798" s="2">
        <v>9.6278823472777098E-5</v>
      </c>
    </row>
    <row r="33799" spans="1:6" x14ac:dyDescent="0.25">
      <c r="A33799" s="1" t="str">
        <f t="shared" si="1209"/>
        <v>43460</v>
      </c>
      <c r="B33799" s="1" t="str">
        <f>"63784"</f>
        <v>63784</v>
      </c>
      <c r="C33799" s="2">
        <v>3.06369255576457E-3</v>
      </c>
      <c r="D33799" s="2">
        <v>0</v>
      </c>
      <c r="E33799" s="2">
        <v>6.4724919093851101E-3</v>
      </c>
      <c r="F33799" s="2">
        <v>2.84022529244692E-3</v>
      </c>
    </row>
    <row r="33800" spans="1:6" x14ac:dyDescent="0.25">
      <c r="A33800" s="1" t="str">
        <f t="shared" si="1209"/>
        <v>43460</v>
      </c>
      <c r="B33800" s="1" t="str">
        <f>"63771"</f>
        <v>63771</v>
      </c>
      <c r="C33800" s="2">
        <v>6.1220102123085103E-2</v>
      </c>
      <c r="D33800" s="2">
        <v>2.09790209790209E-2</v>
      </c>
      <c r="E33800" s="2">
        <v>0.103559870550161</v>
      </c>
      <c r="F33800" s="2">
        <v>5.8248688201030102E-2</v>
      </c>
    </row>
    <row r="33801" spans="1:6" x14ac:dyDescent="0.25">
      <c r="A33801" s="1" t="str">
        <f t="shared" si="1209"/>
        <v>43460</v>
      </c>
      <c r="B33801" s="1" t="str">
        <f>"63740"</f>
        <v>63740</v>
      </c>
      <c r="C33801" s="2">
        <v>0.108142972319269</v>
      </c>
      <c r="D33801" s="2">
        <v>7.2619688004303296E-2</v>
      </c>
      <c r="E33801" s="2">
        <v>0.113268608414239</v>
      </c>
      <c r="F33801" s="2">
        <v>0.105040196408799</v>
      </c>
    </row>
    <row r="33802" spans="1:6" x14ac:dyDescent="0.25">
      <c r="A33802" s="1" t="str">
        <f t="shared" si="1209"/>
        <v>43460</v>
      </c>
      <c r="B33802" s="1" t="str">
        <f>"63742"</f>
        <v>63742</v>
      </c>
      <c r="C33802" s="2">
        <v>0</v>
      </c>
      <c r="D33802" s="2">
        <v>0</v>
      </c>
      <c r="E33802" s="2">
        <v>3.2362459546925498E-3</v>
      </c>
      <c r="F33802" s="2">
        <v>4.8139411736388501E-5</v>
      </c>
    </row>
    <row r="33803" spans="1:6" x14ac:dyDescent="0.25">
      <c r="A33803" s="1" t="str">
        <f t="shared" si="1209"/>
        <v>43460</v>
      </c>
      <c r="B33803" s="1" t="str">
        <f>"63801"</f>
        <v>63801</v>
      </c>
      <c r="C33803" s="2">
        <v>0.58559527008868495</v>
      </c>
      <c r="D33803" s="2">
        <v>0.76707907477138204</v>
      </c>
      <c r="E33803" s="2">
        <v>0.55339805825242705</v>
      </c>
      <c r="F33803" s="2">
        <v>0.60135753141096604</v>
      </c>
    </row>
    <row r="33804" spans="1:6" x14ac:dyDescent="0.25">
      <c r="A33804" s="1" t="str">
        <f t="shared" si="1209"/>
        <v>43460</v>
      </c>
      <c r="B33804" s="1" t="str">
        <f>"63824"</f>
        <v>63824</v>
      </c>
      <c r="C33804" s="2">
        <v>5.3748992206396099E-5</v>
      </c>
      <c r="D33804" s="2">
        <v>0</v>
      </c>
      <c r="E33804" s="2">
        <v>3.2362459546925498E-3</v>
      </c>
      <c r="F33804" s="2">
        <v>9.6278823472777098E-5</v>
      </c>
    </row>
    <row r="33805" spans="1:6" x14ac:dyDescent="0.25">
      <c r="A33805" s="1" t="str">
        <f t="shared" si="1209"/>
        <v>43460</v>
      </c>
      <c r="B33805" s="1" t="str">
        <f>"63758"</f>
        <v>63758</v>
      </c>
      <c r="C33805" s="2">
        <v>0</v>
      </c>
      <c r="D33805" s="2">
        <v>0</v>
      </c>
      <c r="E33805" s="2">
        <v>3.2362459546925498E-3</v>
      </c>
      <c r="F33805" s="2">
        <v>4.8139411736388501E-5</v>
      </c>
    </row>
    <row r="33806" spans="1:6" x14ac:dyDescent="0.25">
      <c r="A33806" s="1" t="str">
        <f t="shared" ref="A33806:A33824" si="1210">"43500"</f>
        <v>43500</v>
      </c>
      <c r="B33806" s="1" t="str">
        <f>"88022"</f>
        <v>88022</v>
      </c>
      <c r="C33806" s="2">
        <v>3.8627935723114903E-2</v>
      </c>
      <c r="D33806" s="2">
        <v>5.9982862039417301E-3</v>
      </c>
      <c r="E33806" s="2">
        <v>1.0377358490566001E-2</v>
      </c>
      <c r="F33806" s="2">
        <v>3.4144090699360599E-2</v>
      </c>
    </row>
    <row r="33807" spans="1:6" x14ac:dyDescent="0.25">
      <c r="A33807" s="1" t="str">
        <f t="shared" si="1210"/>
        <v>43500</v>
      </c>
      <c r="B33807" s="1" t="str">
        <f>"88041"</f>
        <v>88041</v>
      </c>
      <c r="C33807" s="2">
        <v>2.3563040791100099E-2</v>
      </c>
      <c r="D33807" s="2">
        <v>8.5689802913453197E-3</v>
      </c>
      <c r="E33807" s="2">
        <v>5.6603773584905596E-3</v>
      </c>
      <c r="F33807" s="2">
        <v>2.1158789796321902E-2</v>
      </c>
    </row>
    <row r="33808" spans="1:6" x14ac:dyDescent="0.25">
      <c r="A33808" s="1" t="str">
        <f t="shared" si="1210"/>
        <v>43500</v>
      </c>
      <c r="B33808" s="1" t="str">
        <f>"88062"</f>
        <v>88062</v>
      </c>
      <c r="C33808" s="2">
        <v>0.173980222496909</v>
      </c>
      <c r="D33808" s="2">
        <v>0.231362467866323</v>
      </c>
      <c r="E33808" s="2">
        <v>1.88679245283018E-3</v>
      </c>
      <c r="F33808" s="2">
        <v>0.16637004811812001</v>
      </c>
    </row>
    <row r="33809" spans="1:6" x14ac:dyDescent="0.25">
      <c r="A33809" s="1" t="str">
        <f t="shared" si="1210"/>
        <v>43500</v>
      </c>
      <c r="B33809" s="1" t="str">
        <f>"88043"</f>
        <v>88043</v>
      </c>
      <c r="C33809" s="2">
        <v>2.81983930778739E-2</v>
      </c>
      <c r="D33809" s="2">
        <v>8.5689802913453197E-3</v>
      </c>
      <c r="E33809" s="2">
        <v>1.88679245283018E-3</v>
      </c>
      <c r="F33809" s="2">
        <v>2.4850042844901402E-2</v>
      </c>
    </row>
    <row r="33810" spans="1:6" x14ac:dyDescent="0.25">
      <c r="A33810" s="1" t="str">
        <f t="shared" si="1210"/>
        <v>43500</v>
      </c>
      <c r="B33810" s="1" t="str">
        <f>"88049"</f>
        <v>88049</v>
      </c>
      <c r="C33810" s="2">
        <v>3.4301606922125999E-2</v>
      </c>
      <c r="D33810" s="2">
        <v>1.1139674378748901E-2</v>
      </c>
      <c r="E33810" s="2">
        <v>1.88679245283018E-3</v>
      </c>
      <c r="F33810" s="2">
        <v>3.025509195175E-2</v>
      </c>
    </row>
    <row r="33811" spans="1:6" x14ac:dyDescent="0.25">
      <c r="A33811" s="1" t="str">
        <f t="shared" si="1210"/>
        <v>43500</v>
      </c>
      <c r="B33811" s="1" t="str">
        <f>"88026"</f>
        <v>88026</v>
      </c>
      <c r="C33811" s="2">
        <v>0</v>
      </c>
      <c r="D33811" s="2">
        <v>8.5689802913453195E-4</v>
      </c>
      <c r="E33811" s="2">
        <v>0.40188679245282999</v>
      </c>
      <c r="F33811" s="2">
        <v>2.81458044954188E-2</v>
      </c>
    </row>
    <row r="33812" spans="1:6" x14ac:dyDescent="0.25">
      <c r="A33812" s="1" t="str">
        <f t="shared" si="1210"/>
        <v>43500</v>
      </c>
      <c r="B33812" s="1" t="str">
        <f>"88036"</f>
        <v>88036</v>
      </c>
      <c r="C33812" s="2">
        <v>0</v>
      </c>
      <c r="D33812" s="2">
        <v>8.5689802913453195E-4</v>
      </c>
      <c r="E33812" s="2">
        <v>0</v>
      </c>
      <c r="F33812" s="2">
        <v>6.59152330103486E-5</v>
      </c>
    </row>
    <row r="33813" spans="1:6" x14ac:dyDescent="0.25">
      <c r="A33813" s="1" t="str">
        <f t="shared" si="1210"/>
        <v>43500</v>
      </c>
      <c r="B33813" s="1" t="str">
        <f>"88051"</f>
        <v>88051</v>
      </c>
      <c r="C33813" s="2">
        <v>0</v>
      </c>
      <c r="D33813" s="2">
        <v>8.5689802913453195E-4</v>
      </c>
      <c r="E33813" s="2">
        <v>0</v>
      </c>
      <c r="F33813" s="2">
        <v>6.59152330103486E-5</v>
      </c>
    </row>
    <row r="33814" spans="1:6" x14ac:dyDescent="0.25">
      <c r="A33814" s="1" t="str">
        <f t="shared" si="1210"/>
        <v>43500</v>
      </c>
      <c r="B33814" s="1" t="str">
        <f>"88038"</f>
        <v>88038</v>
      </c>
      <c r="C33814" s="2">
        <v>0</v>
      </c>
      <c r="D33814" s="2">
        <v>8.5689802913453195E-4</v>
      </c>
      <c r="E33814" s="2">
        <v>0</v>
      </c>
      <c r="F33814" s="2">
        <v>6.59152330103486E-5</v>
      </c>
    </row>
    <row r="33815" spans="1:6" x14ac:dyDescent="0.25">
      <c r="A33815" s="1" t="str">
        <f t="shared" si="1210"/>
        <v>43500</v>
      </c>
      <c r="B33815" s="1" t="str">
        <f>"87821"</f>
        <v>87821</v>
      </c>
      <c r="C33815" s="2">
        <v>3.8627935723114902E-4</v>
      </c>
      <c r="D33815" s="2">
        <v>0</v>
      </c>
      <c r="E33815" s="2">
        <v>0</v>
      </c>
      <c r="F33815" s="2">
        <v>3.2957616505174299E-4</v>
      </c>
    </row>
    <row r="33816" spans="1:6" x14ac:dyDescent="0.25">
      <c r="A33816" s="1" t="str">
        <f t="shared" si="1210"/>
        <v>43500</v>
      </c>
      <c r="B33816" s="1" t="str">
        <f>"88053"</f>
        <v>88053</v>
      </c>
      <c r="C33816" s="2">
        <v>7.0302843016069204E-3</v>
      </c>
      <c r="D33816" s="2">
        <v>8.5689802913453195E-4</v>
      </c>
      <c r="E33816" s="2">
        <v>3.77358490566037E-3</v>
      </c>
      <c r="F33816" s="2">
        <v>6.3278623689934704E-3</v>
      </c>
    </row>
    <row r="33817" spans="1:6" x14ac:dyDescent="0.25">
      <c r="A33817" s="1" t="str">
        <f t="shared" si="1210"/>
        <v>43500</v>
      </c>
      <c r="B33817" s="1" t="str">
        <f>"88028"</f>
        <v>88028</v>
      </c>
      <c r="C33817" s="2">
        <v>0</v>
      </c>
      <c r="D33817" s="2">
        <v>8.5689802913453195E-4</v>
      </c>
      <c r="E33817" s="2">
        <v>9.8113207547169803E-2</v>
      </c>
      <c r="F33817" s="2">
        <v>6.9210994660866103E-3</v>
      </c>
    </row>
    <row r="33818" spans="1:6" x14ac:dyDescent="0.25">
      <c r="A33818" s="1" t="str">
        <f t="shared" si="1210"/>
        <v>43500</v>
      </c>
      <c r="B33818" s="1" t="str">
        <f>"88040"</f>
        <v>88040</v>
      </c>
      <c r="C33818" s="2">
        <v>0</v>
      </c>
      <c r="D33818" s="2">
        <v>8.5689802913453195E-4</v>
      </c>
      <c r="E33818" s="2">
        <v>0</v>
      </c>
      <c r="F33818" s="2">
        <v>6.59152330103486E-5</v>
      </c>
    </row>
    <row r="33819" spans="1:6" x14ac:dyDescent="0.25">
      <c r="A33819" s="1" t="str">
        <f t="shared" si="1210"/>
        <v>43500</v>
      </c>
      <c r="B33819" s="1" t="str">
        <f>"88061"</f>
        <v>88061</v>
      </c>
      <c r="C33819" s="2">
        <v>0.657833745364647</v>
      </c>
      <c r="D33819" s="2">
        <v>0.70694087403598904</v>
      </c>
      <c r="E33819" s="2">
        <v>0.27547169811320699</v>
      </c>
      <c r="F33819" s="2">
        <v>0.63489552435567798</v>
      </c>
    </row>
    <row r="33820" spans="1:6" x14ac:dyDescent="0.25">
      <c r="A33820" s="1" t="str">
        <f t="shared" si="1210"/>
        <v>43500</v>
      </c>
      <c r="B33820" s="1" t="str">
        <f>"88023"</f>
        <v>88023</v>
      </c>
      <c r="C33820" s="2">
        <v>3.09023485784919E-2</v>
      </c>
      <c r="D33820" s="2">
        <v>1.79948586118251E-2</v>
      </c>
      <c r="E33820" s="2">
        <v>2.7358490566037699E-2</v>
      </c>
      <c r="F33820" s="2">
        <v>2.9661854854656899E-2</v>
      </c>
    </row>
    <row r="33821" spans="1:6" x14ac:dyDescent="0.25">
      <c r="A33821" s="1" t="str">
        <f t="shared" si="1210"/>
        <v>43500</v>
      </c>
      <c r="B33821" s="1" t="str">
        <f>"88034"</f>
        <v>88034</v>
      </c>
      <c r="C33821" s="2">
        <v>1.4678615574783599E-3</v>
      </c>
      <c r="D33821" s="2">
        <v>8.5689802913453195E-4</v>
      </c>
      <c r="E33821" s="2">
        <v>0</v>
      </c>
      <c r="F33821" s="2">
        <v>1.31830466020697E-3</v>
      </c>
    </row>
    <row r="33822" spans="1:6" x14ac:dyDescent="0.25">
      <c r="A33822" s="1" t="str">
        <f t="shared" si="1210"/>
        <v>43500</v>
      </c>
      <c r="B33822" s="1" t="str">
        <f>"88055"</f>
        <v>88055</v>
      </c>
      <c r="C33822" s="2">
        <v>2.78121137206427E-3</v>
      </c>
      <c r="D33822" s="2">
        <v>8.5689802913453195E-4</v>
      </c>
      <c r="E33822" s="2">
        <v>0</v>
      </c>
      <c r="F33822" s="2">
        <v>2.4388636213828999E-3</v>
      </c>
    </row>
    <row r="33823" spans="1:6" x14ac:dyDescent="0.25">
      <c r="A33823" s="1" t="str">
        <f t="shared" si="1210"/>
        <v>43500</v>
      </c>
      <c r="B33823" s="1" t="str">
        <f>"88065"</f>
        <v>88065</v>
      </c>
      <c r="C33823" s="2">
        <v>0</v>
      </c>
      <c r="D33823" s="2">
        <v>8.5689802913453195E-4</v>
      </c>
      <c r="E33823" s="2">
        <v>0.13773584905660299</v>
      </c>
      <c r="F33823" s="2">
        <v>9.6895392525212492E-3</v>
      </c>
    </row>
    <row r="33824" spans="1:6" x14ac:dyDescent="0.25">
      <c r="A33824" s="1" t="str">
        <f t="shared" si="1210"/>
        <v>43500</v>
      </c>
      <c r="B33824" s="1" t="str">
        <f>"88025"</f>
        <v>88025</v>
      </c>
      <c r="C33824" s="2">
        <v>9.2707045735475801E-4</v>
      </c>
      <c r="D33824" s="2">
        <v>8.5689802913453195E-4</v>
      </c>
      <c r="E33824" s="2">
        <v>3.3962264150943298E-2</v>
      </c>
      <c r="F33824" s="2">
        <v>3.2298464175070799E-3</v>
      </c>
    </row>
    <row r="33825" spans="1:6" x14ac:dyDescent="0.25">
      <c r="A33825" s="1" t="str">
        <f t="shared" ref="A33825:A33856" si="1211">"43580"</f>
        <v>43580</v>
      </c>
      <c r="B33825" s="1" t="str">
        <f>"68787"</f>
        <v>68787</v>
      </c>
      <c r="C33825" s="2">
        <v>1.7621404132219201E-4</v>
      </c>
      <c r="D33825" s="2">
        <v>2.9730935037906902E-4</v>
      </c>
      <c r="E33825" s="2">
        <v>0</v>
      </c>
      <c r="F33825" s="2">
        <v>1.8090192531334699E-4</v>
      </c>
    </row>
    <row r="33826" spans="1:6" x14ac:dyDescent="0.25">
      <c r="A33826" s="1" t="str">
        <f t="shared" si="1211"/>
        <v>43580</v>
      </c>
      <c r="B33826" s="1" t="str">
        <f>"51026"</f>
        <v>51026</v>
      </c>
      <c r="C33826" s="2">
        <v>5.1542607086741297E-3</v>
      </c>
      <c r="D33826" s="2">
        <v>1.3378920767058099E-3</v>
      </c>
      <c r="E33826" s="2">
        <v>1.1700468018720699E-3</v>
      </c>
      <c r="F33826" s="2">
        <v>4.69052849205323E-3</v>
      </c>
    </row>
    <row r="33827" spans="1:6" x14ac:dyDescent="0.25">
      <c r="A33827" s="1" t="str">
        <f t="shared" si="1211"/>
        <v>43580</v>
      </c>
      <c r="B33827" s="1" t="str">
        <f>"68710"</f>
        <v>68710</v>
      </c>
      <c r="C33827" s="2">
        <v>4.9046241501343596E-3</v>
      </c>
      <c r="D33827" s="2">
        <v>2.9730935037906902E-4</v>
      </c>
      <c r="E33827" s="2">
        <v>0</v>
      </c>
      <c r="F33827" s="2">
        <v>4.3416462075203501E-3</v>
      </c>
    </row>
    <row r="33828" spans="1:6" x14ac:dyDescent="0.25">
      <c r="A33828" s="1" t="str">
        <f t="shared" si="1211"/>
        <v>43580</v>
      </c>
      <c r="B33828" s="1" t="str">
        <f>"68776"</f>
        <v>68776</v>
      </c>
      <c r="C33828" s="2">
        <v>9.9781200898691594E-2</v>
      </c>
      <c r="D33828" s="2">
        <v>0.106882711461275</v>
      </c>
      <c r="E33828" s="2">
        <v>0.100624024960998</v>
      </c>
      <c r="F33828" s="2">
        <v>0.10042641168109501</v>
      </c>
    </row>
    <row r="33829" spans="1:6" x14ac:dyDescent="0.25">
      <c r="A33829" s="1" t="str">
        <f t="shared" si="1211"/>
        <v>43580</v>
      </c>
      <c r="B33829" s="1" t="str">
        <f>"68732"</f>
        <v>68732</v>
      </c>
      <c r="C33829" s="2">
        <v>1.86493193732653E-3</v>
      </c>
      <c r="D33829" s="2">
        <v>5.9461870075813803E-4</v>
      </c>
      <c r="E33829" s="2">
        <v>1.1700468018720699E-3</v>
      </c>
      <c r="F33829" s="2">
        <v>1.7314898565706099E-3</v>
      </c>
    </row>
    <row r="33830" spans="1:6" x14ac:dyDescent="0.25">
      <c r="A33830" s="1" t="str">
        <f t="shared" si="1211"/>
        <v>43580</v>
      </c>
      <c r="B33830" s="1" t="str">
        <f>"51018"</f>
        <v>51018</v>
      </c>
      <c r="C33830" s="2">
        <v>2.3495205509625602E-3</v>
      </c>
      <c r="D33830" s="2">
        <v>1.3378920767058099E-3</v>
      </c>
      <c r="E33830" s="2">
        <v>1.5600624024960899E-3</v>
      </c>
      <c r="F33830" s="2">
        <v>2.2354309342292201E-3</v>
      </c>
    </row>
    <row r="33831" spans="1:6" x14ac:dyDescent="0.25">
      <c r="A33831" s="1" t="str">
        <f t="shared" si="1211"/>
        <v>43580</v>
      </c>
      <c r="B33831" s="1" t="str">
        <f>"51111"</f>
        <v>51111</v>
      </c>
      <c r="C33831" s="2">
        <v>6.7548715840173802E-4</v>
      </c>
      <c r="D33831" s="2">
        <v>1.6649323621227799E-2</v>
      </c>
      <c r="E33831" s="2">
        <v>2.7301092043681701E-3</v>
      </c>
      <c r="F33831" s="2">
        <v>2.13205840547874E-3</v>
      </c>
    </row>
    <row r="33832" spans="1:6" x14ac:dyDescent="0.25">
      <c r="A33832" s="1" t="str">
        <f t="shared" si="1211"/>
        <v>43580</v>
      </c>
      <c r="B33832" s="1" t="str">
        <f>"51044"</f>
        <v>51044</v>
      </c>
      <c r="C33832" s="2">
        <v>2.1145684958663101E-3</v>
      </c>
      <c r="D33832" s="2">
        <v>0</v>
      </c>
      <c r="E33832" s="2">
        <v>3.90015600624024E-4</v>
      </c>
      <c r="F33832" s="2">
        <v>1.87362708360253E-3</v>
      </c>
    </row>
    <row r="33833" spans="1:6" x14ac:dyDescent="0.25">
      <c r="A33833" s="1" t="str">
        <f t="shared" si="1211"/>
        <v>43580</v>
      </c>
      <c r="B33833" s="1" t="str">
        <f>"51039"</f>
        <v>51039</v>
      </c>
      <c r="C33833" s="2">
        <v>1.7885725194202499E-2</v>
      </c>
      <c r="D33833" s="2">
        <v>8.0273524602348708E-3</v>
      </c>
      <c r="E33833" s="2">
        <v>1.44305772230889E-2</v>
      </c>
      <c r="F33833" s="2">
        <v>1.6914330016797999E-2</v>
      </c>
    </row>
    <row r="33834" spans="1:6" x14ac:dyDescent="0.25">
      <c r="A33834" s="1" t="str">
        <f t="shared" si="1211"/>
        <v>43580</v>
      </c>
      <c r="B33834" s="1" t="str">
        <f>"57049"</f>
        <v>57049</v>
      </c>
      <c r="C33834" s="2">
        <v>6.77836678952701E-2</v>
      </c>
      <c r="D33834" s="2">
        <v>9.4247064070165004E-2</v>
      </c>
      <c r="E33834" s="2">
        <v>7.1762870514820498E-2</v>
      </c>
      <c r="F33834" s="2">
        <v>7.0215790153766597E-2</v>
      </c>
    </row>
    <row r="33835" spans="1:6" x14ac:dyDescent="0.25">
      <c r="A33835" s="1" t="str">
        <f t="shared" si="1211"/>
        <v>43580</v>
      </c>
      <c r="B33835" s="1" t="str">
        <f>"51101"</f>
        <v>51101</v>
      </c>
      <c r="C33835" s="2">
        <v>9.8973553209298192E-3</v>
      </c>
      <c r="D33835" s="2">
        <v>0.182845250483127</v>
      </c>
      <c r="E33835" s="2">
        <v>6.0452418096723803E-2</v>
      </c>
      <c r="F33835" s="2">
        <v>2.6605504587155899E-2</v>
      </c>
    </row>
    <row r="33836" spans="1:6" x14ac:dyDescent="0.25">
      <c r="A33836" s="1" t="str">
        <f t="shared" si="1211"/>
        <v>43580</v>
      </c>
      <c r="B33836" s="1" t="str">
        <f>"51103"</f>
        <v>51103</v>
      </c>
      <c r="C33836" s="2">
        <v>9.8533018105992701E-2</v>
      </c>
      <c r="D33836" s="2">
        <v>6.4664783707447507E-2</v>
      </c>
      <c r="E33836" s="2">
        <v>0.10023400936037399</v>
      </c>
      <c r="F33836" s="2">
        <v>9.5645432226385801E-2</v>
      </c>
    </row>
    <row r="33837" spans="1:6" x14ac:dyDescent="0.25">
      <c r="A33837" s="1" t="str">
        <f t="shared" si="1211"/>
        <v>43580</v>
      </c>
      <c r="B33837" s="1" t="str">
        <f>"57004"</f>
        <v>57004</v>
      </c>
      <c r="C33837" s="2">
        <v>1.43173908574281E-2</v>
      </c>
      <c r="D33837" s="2">
        <v>1.88791437490709E-2</v>
      </c>
      <c r="E33837" s="2">
        <v>2.3010920436817399E-2</v>
      </c>
      <c r="F33837" s="2">
        <v>1.5001938234914001E-2</v>
      </c>
    </row>
    <row r="33838" spans="1:6" x14ac:dyDescent="0.25">
      <c r="A33838" s="1" t="str">
        <f t="shared" si="1211"/>
        <v>43580</v>
      </c>
      <c r="B33838" s="1" t="str">
        <f>"57001"</f>
        <v>57001</v>
      </c>
      <c r="C33838" s="2">
        <v>1.04406819483399E-2</v>
      </c>
      <c r="D33838" s="2">
        <v>1.18923740151627E-3</v>
      </c>
      <c r="E33838" s="2">
        <v>1.20904836193447E-2</v>
      </c>
      <c r="F33838" s="2">
        <v>9.6911745703579192E-3</v>
      </c>
    </row>
    <row r="33839" spans="1:6" x14ac:dyDescent="0.25">
      <c r="A33839" s="1" t="str">
        <f t="shared" si="1211"/>
        <v>43580</v>
      </c>
      <c r="B33839" s="1" t="str">
        <f>"51015"</f>
        <v>51015</v>
      </c>
      <c r="C33839" s="2">
        <v>6.7548715840173802E-4</v>
      </c>
      <c r="D33839" s="2">
        <v>7.4327337594767297E-4</v>
      </c>
      <c r="E33839" s="2">
        <v>0</v>
      </c>
      <c r="F33839" s="2">
        <v>6.5899987078433901E-4</v>
      </c>
    </row>
    <row r="33840" spans="1:6" x14ac:dyDescent="0.25">
      <c r="A33840" s="1" t="str">
        <f t="shared" si="1211"/>
        <v>43580</v>
      </c>
      <c r="B33840" s="1" t="str">
        <f>"51028"</f>
        <v>51028</v>
      </c>
      <c r="C33840" s="2">
        <v>1.1013377582637001E-3</v>
      </c>
      <c r="D33840" s="2">
        <v>1.4865467518953399E-4</v>
      </c>
      <c r="E33840" s="2">
        <v>0</v>
      </c>
      <c r="F33840" s="2">
        <v>9.8203902312960292E-4</v>
      </c>
    </row>
    <row r="33841" spans="1:6" x14ac:dyDescent="0.25">
      <c r="A33841" s="1" t="str">
        <f t="shared" si="1211"/>
        <v>43580</v>
      </c>
      <c r="B33841" s="1" t="str">
        <f>"68745"</f>
        <v>68745</v>
      </c>
      <c r="C33841" s="2">
        <v>1.9089854476570799E-4</v>
      </c>
      <c r="D33841" s="2">
        <v>1.4865467518953399E-4</v>
      </c>
      <c r="E33841" s="2">
        <v>0</v>
      </c>
      <c r="F33841" s="2">
        <v>1.8090192531334699E-4</v>
      </c>
    </row>
    <row r="33842" spans="1:6" x14ac:dyDescent="0.25">
      <c r="A33842" s="1" t="str">
        <f t="shared" si="1211"/>
        <v>43580</v>
      </c>
      <c r="B33842" s="1" t="str">
        <f>"51004"</f>
        <v>51004</v>
      </c>
      <c r="C33842" s="2">
        <v>8.2967444455865694E-3</v>
      </c>
      <c r="D33842" s="2">
        <v>2.37847480303255E-3</v>
      </c>
      <c r="E33842" s="2">
        <v>1.9500780031201201E-3</v>
      </c>
      <c r="F33842" s="2">
        <v>7.5720377309729898E-3</v>
      </c>
    </row>
    <row r="33843" spans="1:6" x14ac:dyDescent="0.25">
      <c r="A33843" s="1" t="str">
        <f t="shared" si="1211"/>
        <v>43580</v>
      </c>
      <c r="B33843" s="1" t="str">
        <f>"57025"</f>
        <v>57025</v>
      </c>
      <c r="C33843" s="2">
        <v>1.8531843345717201E-2</v>
      </c>
      <c r="D33843" s="2">
        <v>7.4327337594767302E-3</v>
      </c>
      <c r="E33843" s="2">
        <v>1.8330733229329099E-2</v>
      </c>
      <c r="F33843" s="2">
        <v>1.7560408321488499E-2</v>
      </c>
    </row>
    <row r="33844" spans="1:6" x14ac:dyDescent="0.25">
      <c r="A33844" s="1" t="str">
        <f t="shared" si="1211"/>
        <v>43580</v>
      </c>
      <c r="B33844" s="1" t="str">
        <f>"68739"</f>
        <v>68739</v>
      </c>
      <c r="C33844" s="2">
        <v>2.9369006887032099E-5</v>
      </c>
      <c r="D33844" s="2">
        <v>0</v>
      </c>
      <c r="E33844" s="2">
        <v>0</v>
      </c>
      <c r="F33844" s="2">
        <v>2.5843132187621099E-5</v>
      </c>
    </row>
    <row r="33845" spans="1:6" x14ac:dyDescent="0.25">
      <c r="A33845" s="1" t="str">
        <f t="shared" si="1211"/>
        <v>43580</v>
      </c>
      <c r="B33845" s="1" t="str">
        <f>"57034"</f>
        <v>57034</v>
      </c>
      <c r="C33845" s="2">
        <v>7.3422517217580196E-5</v>
      </c>
      <c r="D33845" s="2">
        <v>0</v>
      </c>
      <c r="E33845" s="2">
        <v>0</v>
      </c>
      <c r="F33845" s="2">
        <v>6.4607830469052806E-5</v>
      </c>
    </row>
    <row r="33846" spans="1:6" x14ac:dyDescent="0.25">
      <c r="A33846" s="1" t="str">
        <f t="shared" si="1211"/>
        <v>43580</v>
      </c>
      <c r="B33846" s="1" t="str">
        <f>"68751"</f>
        <v>68751</v>
      </c>
      <c r="C33846" s="2">
        <v>4.55219606748997E-4</v>
      </c>
      <c r="D33846" s="2">
        <v>0</v>
      </c>
      <c r="E33846" s="2">
        <v>3.90015600624024E-4</v>
      </c>
      <c r="F33846" s="2">
        <v>4.1349011500193801E-4</v>
      </c>
    </row>
    <row r="33847" spans="1:6" x14ac:dyDescent="0.25">
      <c r="A33847" s="1" t="str">
        <f t="shared" si="1211"/>
        <v>43580</v>
      </c>
      <c r="B33847" s="1" t="str">
        <f>"68731"</f>
        <v>68731</v>
      </c>
      <c r="C33847" s="2">
        <v>1.49341400020558E-2</v>
      </c>
      <c r="D33847" s="2">
        <v>8.0273524602348708E-3</v>
      </c>
      <c r="E33847" s="2">
        <v>7.8003120124804899E-3</v>
      </c>
      <c r="F33847" s="2">
        <v>1.40974286083473E-2</v>
      </c>
    </row>
    <row r="33848" spans="1:6" x14ac:dyDescent="0.25">
      <c r="A33848" s="1" t="str">
        <f t="shared" si="1211"/>
        <v>43580</v>
      </c>
      <c r="B33848" s="1" t="str">
        <f>"51106"</f>
        <v>51106</v>
      </c>
      <c r="C33848" s="2">
        <v>0.18518627292618101</v>
      </c>
      <c r="D33848" s="2">
        <v>0.17080422179277499</v>
      </c>
      <c r="E33848" s="2">
        <v>0.168876755070202</v>
      </c>
      <c r="F33848" s="2">
        <v>0.18339578756945299</v>
      </c>
    </row>
    <row r="33849" spans="1:6" x14ac:dyDescent="0.25">
      <c r="A33849" s="1" t="str">
        <f t="shared" si="1211"/>
        <v>43580</v>
      </c>
      <c r="B33849" s="1" t="str">
        <f>"51108"</f>
        <v>51108</v>
      </c>
      <c r="C33849" s="2">
        <v>3.1733211941438202E-2</v>
      </c>
      <c r="D33849" s="2">
        <v>2.0365690500966201E-2</v>
      </c>
      <c r="E33849" s="2">
        <v>9.7503900156006192E-3</v>
      </c>
      <c r="F33849" s="2">
        <v>3.0016798035921902E-2</v>
      </c>
    </row>
    <row r="33850" spans="1:6" x14ac:dyDescent="0.25">
      <c r="A33850" s="1" t="str">
        <f t="shared" si="1211"/>
        <v>43580</v>
      </c>
      <c r="B33850" s="1" t="str">
        <f>"51056"</f>
        <v>51056</v>
      </c>
      <c r="C33850" s="2">
        <v>3.0690612196948501E-3</v>
      </c>
      <c r="D33850" s="2">
        <v>7.4327337594767297E-4</v>
      </c>
      <c r="E33850" s="2">
        <v>0</v>
      </c>
      <c r="F33850" s="2">
        <v>2.76521514407546E-3</v>
      </c>
    </row>
    <row r="33851" spans="1:6" x14ac:dyDescent="0.25">
      <c r="A33851" s="1" t="str">
        <f t="shared" si="1211"/>
        <v>43580</v>
      </c>
      <c r="B33851" s="1" t="str">
        <f>"51019"</f>
        <v>51019</v>
      </c>
      <c r="C33851" s="2">
        <v>5.0514691845695197E-3</v>
      </c>
      <c r="D33851" s="2">
        <v>8.9192805113720802E-4</v>
      </c>
      <c r="E33851" s="2">
        <v>3.51014040561622E-3</v>
      </c>
      <c r="F33851" s="2">
        <v>4.63884222767799E-3</v>
      </c>
    </row>
    <row r="33852" spans="1:6" x14ac:dyDescent="0.25">
      <c r="A33852" s="1" t="str">
        <f t="shared" si="1211"/>
        <v>43580</v>
      </c>
      <c r="B33852" s="1" t="str">
        <f>"51030"</f>
        <v>51030</v>
      </c>
      <c r="C33852" s="2">
        <v>1.1263014141176799E-2</v>
      </c>
      <c r="D33852" s="2">
        <v>4.1623309053069697E-3</v>
      </c>
      <c r="E33852" s="2">
        <v>2.7301092043681701E-3</v>
      </c>
      <c r="F33852" s="2">
        <v>1.0363096007236E-2</v>
      </c>
    </row>
    <row r="33853" spans="1:6" x14ac:dyDescent="0.25">
      <c r="A33853" s="1" t="str">
        <f t="shared" si="1211"/>
        <v>43580</v>
      </c>
      <c r="B33853" s="1" t="str">
        <f>"68785"</f>
        <v>68785</v>
      </c>
      <c r="C33853" s="2">
        <v>1.9236699511006E-3</v>
      </c>
      <c r="D33853" s="2">
        <v>2.9730935037906902E-4</v>
      </c>
      <c r="E33853" s="2">
        <v>1.9500780031201201E-3</v>
      </c>
      <c r="F33853" s="2">
        <v>1.7831761209458499E-3</v>
      </c>
    </row>
    <row r="33854" spans="1:6" x14ac:dyDescent="0.25">
      <c r="A33854" s="1" t="str">
        <f t="shared" si="1211"/>
        <v>43580</v>
      </c>
      <c r="B33854" s="1" t="str">
        <f>"51102"</f>
        <v>51102</v>
      </c>
      <c r="C33854" s="2">
        <v>1.7709511152880299E-2</v>
      </c>
      <c r="D33854" s="2">
        <v>7.2840790842871997E-2</v>
      </c>
      <c r="E33854" s="2">
        <v>7.8003120124804897E-4</v>
      </c>
      <c r="F33854" s="2">
        <v>2.1940819227290301E-2</v>
      </c>
    </row>
    <row r="33855" spans="1:6" x14ac:dyDescent="0.25">
      <c r="A33855" s="1" t="str">
        <f t="shared" si="1211"/>
        <v>43580</v>
      </c>
      <c r="B33855" s="1" t="str">
        <f>"68741"</f>
        <v>68741</v>
      </c>
      <c r="C33855" s="2">
        <v>4.5815650743770003E-3</v>
      </c>
      <c r="D33855" s="2">
        <v>1.4865467518953399E-4</v>
      </c>
      <c r="E33855" s="2">
        <v>3.1201248049921898E-3</v>
      </c>
      <c r="F33855" s="2">
        <v>4.1478227161131902E-3</v>
      </c>
    </row>
    <row r="33856" spans="1:6" x14ac:dyDescent="0.25">
      <c r="A33856" s="1" t="str">
        <f t="shared" si="1211"/>
        <v>43580</v>
      </c>
      <c r="B33856" s="1" t="str">
        <f>"68728"</f>
        <v>68728</v>
      </c>
      <c r="C33856" s="2">
        <v>1.5565573650127E-3</v>
      </c>
      <c r="D33856" s="2">
        <v>1.18923740151627E-3</v>
      </c>
      <c r="E33856" s="2">
        <v>1.36505460218408E-2</v>
      </c>
      <c r="F33856" s="2">
        <v>1.92531334797777E-3</v>
      </c>
    </row>
    <row r="33857" spans="1:6" x14ac:dyDescent="0.25">
      <c r="A33857" s="1" t="str">
        <f t="shared" ref="A33857:A33878" si="1212">"43580"</f>
        <v>43580</v>
      </c>
      <c r="B33857" s="1" t="str">
        <f>"51007"</f>
        <v>51007</v>
      </c>
      <c r="C33857" s="2">
        <v>4.6549875915945903E-3</v>
      </c>
      <c r="D33857" s="2">
        <v>7.4327337594767297E-4</v>
      </c>
      <c r="E33857" s="2">
        <v>3.90015600624024E-4</v>
      </c>
      <c r="F33857" s="2">
        <v>4.1736658483008098E-3</v>
      </c>
    </row>
    <row r="33858" spans="1:6" x14ac:dyDescent="0.25">
      <c r="A33858" s="1" t="str">
        <f t="shared" si="1212"/>
        <v>43580</v>
      </c>
      <c r="B33858" s="1" t="str">
        <f>"51055"</f>
        <v>51055</v>
      </c>
      <c r="C33858" s="2">
        <v>8.8841245833272096E-3</v>
      </c>
      <c r="D33858" s="2">
        <v>7.2840790842872002E-3</v>
      </c>
      <c r="E33858" s="2">
        <v>1.5210608424336899E-2</v>
      </c>
      <c r="F33858" s="2">
        <v>8.9546453030107196E-3</v>
      </c>
    </row>
    <row r="33859" spans="1:6" x14ac:dyDescent="0.25">
      <c r="A33859" s="1" t="str">
        <f t="shared" si="1212"/>
        <v>43580</v>
      </c>
      <c r="B33859" s="1" t="str">
        <f>"68733"</f>
        <v>68733</v>
      </c>
      <c r="C33859" s="2">
        <v>7.0485616528876997E-3</v>
      </c>
      <c r="D33859" s="2">
        <v>1.04058272632674E-3</v>
      </c>
      <c r="E33859" s="2">
        <v>2.3400936037441399E-3</v>
      </c>
      <c r="F33859" s="2">
        <v>6.3703320842486101E-3</v>
      </c>
    </row>
    <row r="33860" spans="1:6" x14ac:dyDescent="0.25">
      <c r="A33860" s="1" t="str">
        <f t="shared" si="1212"/>
        <v>43580</v>
      </c>
      <c r="B33860" s="1" t="str">
        <f>"68784"</f>
        <v>68784</v>
      </c>
      <c r="C33860" s="2">
        <v>1.0381943934565801E-2</v>
      </c>
      <c r="D33860" s="2">
        <v>2.37847480303255E-3</v>
      </c>
      <c r="E33860" s="2">
        <v>8.1903276131045193E-3</v>
      </c>
      <c r="F33860" s="2">
        <v>9.6136451737950605E-3</v>
      </c>
    </row>
    <row r="33861" spans="1:6" x14ac:dyDescent="0.25">
      <c r="A33861" s="1" t="str">
        <f t="shared" si="1212"/>
        <v>43580</v>
      </c>
      <c r="B33861" s="1" t="str">
        <f>"51054"</f>
        <v>51054</v>
      </c>
      <c r="C33861" s="2">
        <v>4.4288462385644399E-2</v>
      </c>
      <c r="D33861" s="2">
        <v>3.6123086071056902E-2</v>
      </c>
      <c r="E33861" s="2">
        <v>1.6770670826832999E-2</v>
      </c>
      <c r="F33861" s="2">
        <v>4.2667011241762497E-2</v>
      </c>
    </row>
    <row r="33862" spans="1:6" x14ac:dyDescent="0.25">
      <c r="A33862" s="1" t="str">
        <f t="shared" si="1212"/>
        <v>43580</v>
      </c>
      <c r="B33862" s="1" t="str">
        <f>"51105"</f>
        <v>51105</v>
      </c>
      <c r="C33862" s="2">
        <v>6.6359271061249003E-2</v>
      </c>
      <c r="D33862" s="2">
        <v>7.6705812397799902E-2</v>
      </c>
      <c r="E33862" s="2">
        <v>0.15795631825272999</v>
      </c>
      <c r="F33862" s="2">
        <v>7.02933195503294E-2</v>
      </c>
    </row>
    <row r="33863" spans="1:6" x14ac:dyDescent="0.25">
      <c r="A33863" s="1" t="str">
        <f t="shared" si="1212"/>
        <v>43580</v>
      </c>
      <c r="B33863" s="1" t="str">
        <f>"51048"</f>
        <v>51048</v>
      </c>
      <c r="C33863" s="2">
        <v>3.5389653298873599E-3</v>
      </c>
      <c r="D33863" s="2">
        <v>8.9192805113720802E-4</v>
      </c>
      <c r="E33863" s="2">
        <v>3.90015600624024E-4</v>
      </c>
      <c r="F33863" s="2">
        <v>3.2045483912650202E-3</v>
      </c>
    </row>
    <row r="33864" spans="1:6" x14ac:dyDescent="0.25">
      <c r="A33864" s="1" t="str">
        <f t="shared" si="1212"/>
        <v>43580</v>
      </c>
      <c r="B33864" s="1" t="str">
        <f>"51052"</f>
        <v>51052</v>
      </c>
      <c r="C33864" s="2">
        <v>6.8576631081219896E-3</v>
      </c>
      <c r="D33864" s="2">
        <v>8.9192805113720802E-4</v>
      </c>
      <c r="E33864" s="2">
        <v>1.5600624024960899E-3</v>
      </c>
      <c r="F33864" s="2">
        <v>6.1635870267476396E-3</v>
      </c>
    </row>
    <row r="33865" spans="1:6" x14ac:dyDescent="0.25">
      <c r="A33865" s="1" t="str">
        <f t="shared" si="1212"/>
        <v>43580</v>
      </c>
      <c r="B33865" s="1" t="str">
        <f>"57038"</f>
        <v>57038</v>
      </c>
      <c r="C33865" s="2">
        <v>1.0117622872582501E-2</v>
      </c>
      <c r="D33865" s="2">
        <v>1.18923740151627E-3</v>
      </c>
      <c r="E33865" s="2">
        <v>3.1201248049921898E-3</v>
      </c>
      <c r="F33865" s="2">
        <v>9.1097040961364492E-3</v>
      </c>
    </row>
    <row r="33866" spans="1:6" x14ac:dyDescent="0.25">
      <c r="A33866" s="1" t="str">
        <f t="shared" si="1212"/>
        <v>43580</v>
      </c>
      <c r="B33866" s="1" t="str">
        <f>"51063"</f>
        <v>51063</v>
      </c>
      <c r="C33866" s="2">
        <v>1.4684503443516E-5</v>
      </c>
      <c r="D33866" s="2">
        <v>0</v>
      </c>
      <c r="E33866" s="2">
        <v>0</v>
      </c>
      <c r="F33866" s="2">
        <v>1.29215660938105E-5</v>
      </c>
    </row>
    <row r="33867" spans="1:6" x14ac:dyDescent="0.25">
      <c r="A33867" s="1" t="str">
        <f t="shared" si="1212"/>
        <v>43580</v>
      </c>
      <c r="B33867" s="1" t="str">
        <f>"68792"</f>
        <v>68792</v>
      </c>
      <c r="C33867" s="2">
        <v>1.4684503443516E-5</v>
      </c>
      <c r="D33867" s="2">
        <v>0</v>
      </c>
      <c r="E33867" s="2">
        <v>0</v>
      </c>
      <c r="F33867" s="2">
        <v>1.29215660938105E-5</v>
      </c>
    </row>
    <row r="33868" spans="1:6" x14ac:dyDescent="0.25">
      <c r="A33868" s="1" t="str">
        <f t="shared" si="1212"/>
        <v>43580</v>
      </c>
      <c r="B33868" s="1" t="str">
        <f>"51104"</f>
        <v>51104</v>
      </c>
      <c r="C33868" s="2">
        <v>0.13912098562387101</v>
      </c>
      <c r="D33868" s="2">
        <v>6.4367474357068494E-2</v>
      </c>
      <c r="E33868" s="2">
        <v>0.14469578783151299</v>
      </c>
      <c r="F33868" s="2">
        <v>0.132807856312185</v>
      </c>
    </row>
    <row r="33869" spans="1:6" x14ac:dyDescent="0.25">
      <c r="A33869" s="1" t="str">
        <f t="shared" si="1212"/>
        <v>43580</v>
      </c>
      <c r="B33869" s="1" t="str">
        <f>"51016"</f>
        <v>51016</v>
      </c>
      <c r="C33869" s="2">
        <v>9.7798792933816905E-3</v>
      </c>
      <c r="D33869" s="2">
        <v>3.41905752935929E-3</v>
      </c>
      <c r="E33869" s="2">
        <v>2.7301092043681701E-3</v>
      </c>
      <c r="F33869" s="2">
        <v>8.9934100012921507E-3</v>
      </c>
    </row>
    <row r="33870" spans="1:6" x14ac:dyDescent="0.25">
      <c r="A33870" s="1" t="str">
        <f t="shared" si="1212"/>
        <v>43580</v>
      </c>
      <c r="B33870" s="1" t="str">
        <f>"51109"</f>
        <v>51109</v>
      </c>
      <c r="C33870" s="2">
        <v>1.8531843345717201E-2</v>
      </c>
      <c r="D33870" s="2">
        <v>1.1446409989594101E-2</v>
      </c>
      <c r="E33870" s="2">
        <v>1.1700468018720701E-2</v>
      </c>
      <c r="F33870" s="2">
        <v>1.76896239824266E-2</v>
      </c>
    </row>
    <row r="33871" spans="1:6" x14ac:dyDescent="0.25">
      <c r="A33871" s="1" t="str">
        <f t="shared" si="1212"/>
        <v>43580</v>
      </c>
      <c r="B33871" s="1" t="str">
        <f>"51006"</f>
        <v>51006</v>
      </c>
      <c r="C33871" s="2">
        <v>2.4963655853977202E-4</v>
      </c>
      <c r="D33871" s="2">
        <v>0</v>
      </c>
      <c r="E33871" s="2">
        <v>0</v>
      </c>
      <c r="F33871" s="2">
        <v>2.1966662359477901E-4</v>
      </c>
    </row>
    <row r="33872" spans="1:6" x14ac:dyDescent="0.25">
      <c r="A33872" s="1" t="str">
        <f t="shared" si="1212"/>
        <v>43580</v>
      </c>
      <c r="B33872" s="1" t="str">
        <f>"68030"</f>
        <v>68030</v>
      </c>
      <c r="C33872" s="2">
        <v>5.1102071983435797E-3</v>
      </c>
      <c r="D33872" s="2">
        <v>1.4865467518953399E-4</v>
      </c>
      <c r="E33872" s="2">
        <v>2.7301092043681701E-3</v>
      </c>
      <c r="F33872" s="2">
        <v>4.6000775293965597E-3</v>
      </c>
    </row>
    <row r="33873" spans="1:6" x14ac:dyDescent="0.25">
      <c r="A33873" s="1" t="str">
        <f t="shared" si="1212"/>
        <v>43580</v>
      </c>
      <c r="B33873" s="1" t="str">
        <f>"51061"</f>
        <v>51061</v>
      </c>
      <c r="C33873" s="2">
        <v>1.4684503443516E-5</v>
      </c>
      <c r="D33873" s="2">
        <v>1.4865467518953399E-4</v>
      </c>
      <c r="E33873" s="2">
        <v>0</v>
      </c>
      <c r="F33873" s="2">
        <v>2.5843132187621099E-5</v>
      </c>
    </row>
    <row r="33874" spans="1:6" x14ac:dyDescent="0.25">
      <c r="A33874" s="1" t="str">
        <f t="shared" si="1212"/>
        <v>43580</v>
      </c>
      <c r="B33874" s="1" t="str">
        <f>"51034"</f>
        <v>51034</v>
      </c>
      <c r="C33874" s="2">
        <v>5.5801113085361003E-4</v>
      </c>
      <c r="D33874" s="2">
        <v>1.4865467518953399E-4</v>
      </c>
      <c r="E33874" s="2">
        <v>0</v>
      </c>
      <c r="F33874" s="2">
        <v>5.0394107765861201E-4</v>
      </c>
    </row>
    <row r="33875" spans="1:6" x14ac:dyDescent="0.25">
      <c r="A33875" s="1" t="str">
        <f t="shared" si="1212"/>
        <v>43580</v>
      </c>
      <c r="B33875" s="1" t="str">
        <f>"68743"</f>
        <v>68743</v>
      </c>
      <c r="C33875" s="2">
        <v>4.2585059986196497E-3</v>
      </c>
      <c r="D33875" s="2">
        <v>4.4596402556860401E-4</v>
      </c>
      <c r="E33875" s="2">
        <v>2.7301092043681701E-3</v>
      </c>
      <c r="F33875" s="2">
        <v>3.8764698281431699E-3</v>
      </c>
    </row>
    <row r="33876" spans="1:6" x14ac:dyDescent="0.25">
      <c r="A33876" s="1" t="str">
        <f t="shared" si="1212"/>
        <v>43580</v>
      </c>
      <c r="B33876" s="1" t="str">
        <f>"57010"</f>
        <v>57010</v>
      </c>
      <c r="C33876" s="2">
        <v>1.0572842479331501E-3</v>
      </c>
      <c r="D33876" s="2">
        <v>8.9192805113720802E-4</v>
      </c>
      <c r="E33876" s="2">
        <v>3.90015600624024E-4</v>
      </c>
      <c r="F33876" s="2">
        <v>1.0208037214110299E-3</v>
      </c>
    </row>
    <row r="33877" spans="1:6" x14ac:dyDescent="0.25">
      <c r="A33877" s="1" t="str">
        <f t="shared" si="1212"/>
        <v>43580</v>
      </c>
      <c r="B33877" s="1" t="str">
        <f>"68757"</f>
        <v>68757</v>
      </c>
      <c r="C33877" s="2">
        <v>3.6123878471049499E-3</v>
      </c>
      <c r="D33877" s="2">
        <v>2.8244388286011498E-3</v>
      </c>
      <c r="E33877" s="2">
        <v>1.1700468018720699E-3</v>
      </c>
      <c r="F33877" s="2">
        <v>3.4629797131412298E-3</v>
      </c>
    </row>
    <row r="33878" spans="1:6" x14ac:dyDescent="0.25">
      <c r="A33878" s="1" t="str">
        <f t="shared" si="1212"/>
        <v>43580</v>
      </c>
      <c r="B33878" s="1" t="str">
        <f>"68770"</f>
        <v>68770</v>
      </c>
      <c r="C33878" s="2">
        <v>1.3304160119825501E-2</v>
      </c>
      <c r="D33878" s="2">
        <v>1.3378920767058099E-3</v>
      </c>
      <c r="E33878" s="2">
        <v>5.4602184087363401E-3</v>
      </c>
      <c r="F33878" s="2">
        <v>1.200413490115E-2</v>
      </c>
    </row>
    <row r="33879" spans="1:6" x14ac:dyDescent="0.25">
      <c r="A33879" s="1" t="str">
        <f t="shared" ref="A33879:A33910" si="1213">"43620"</f>
        <v>43620</v>
      </c>
      <c r="B33879" s="1" t="str">
        <f>"57110"</f>
        <v>57110</v>
      </c>
      <c r="C33879" s="2">
        <v>8.0039150023862096E-2</v>
      </c>
      <c r="D33879" s="2">
        <v>3.3763996554694198E-2</v>
      </c>
      <c r="E33879" s="2">
        <v>5.5729314756895E-2</v>
      </c>
      <c r="F33879" s="2">
        <v>7.5060975181168305E-2</v>
      </c>
    </row>
    <row r="33880" spans="1:6" x14ac:dyDescent="0.25">
      <c r="A33880" s="1" t="str">
        <f t="shared" si="1213"/>
        <v>43620</v>
      </c>
      <c r="B33880" s="1" t="str">
        <f>"57374"</f>
        <v>57374</v>
      </c>
      <c r="C33880" s="2">
        <v>7.7652939891771199E-4</v>
      </c>
      <c r="D33880" s="2">
        <v>5.1679586563307402E-4</v>
      </c>
      <c r="E33880" s="2">
        <v>1.4216661927779299E-4</v>
      </c>
      <c r="F33880" s="2">
        <v>7.2397045075946599E-4</v>
      </c>
    </row>
    <row r="33881" spans="1:6" x14ac:dyDescent="0.25">
      <c r="A33881" s="1" t="str">
        <f t="shared" si="1213"/>
        <v>43620</v>
      </c>
      <c r="B33881" s="1" t="str">
        <f>"57109"</f>
        <v>57109</v>
      </c>
      <c r="C33881" s="2">
        <v>1.16317632879548E-2</v>
      </c>
      <c r="D33881" s="2">
        <v>4.7631352282514999E-2</v>
      </c>
      <c r="E33881" s="2">
        <v>2.8433323855558702E-4</v>
      </c>
      <c r="F33881" s="2">
        <v>1.40084767802292E-2</v>
      </c>
    </row>
    <row r="33882" spans="1:6" x14ac:dyDescent="0.25">
      <c r="A33882" s="1" t="str">
        <f t="shared" si="1213"/>
        <v>43620</v>
      </c>
      <c r="B33882" s="1" t="str">
        <f>"57034"</f>
        <v>57034</v>
      </c>
      <c r="C33882" s="2">
        <v>2.5641647860095199E-3</v>
      </c>
      <c r="D33882" s="2">
        <v>6.0292850990525395E-4</v>
      </c>
      <c r="E33882" s="2">
        <v>7.1083309638896703E-4</v>
      </c>
      <c r="F33882" s="2">
        <v>2.3124881388336301E-3</v>
      </c>
    </row>
    <row r="33883" spans="1:6" x14ac:dyDescent="0.25">
      <c r="A33883" s="1" t="str">
        <f t="shared" si="1213"/>
        <v>43620</v>
      </c>
      <c r="B33883" s="1" t="str">
        <f>"57193"</f>
        <v>57193</v>
      </c>
      <c r="C33883" s="2">
        <v>0</v>
      </c>
      <c r="D33883" s="2">
        <v>1.7226528854435801E-4</v>
      </c>
      <c r="E33883" s="2">
        <v>0</v>
      </c>
      <c r="F33883" s="2">
        <v>1.40576786555236E-5</v>
      </c>
    </row>
    <row r="33884" spans="1:6" x14ac:dyDescent="0.25">
      <c r="A33884" s="1" t="str">
        <f t="shared" si="1213"/>
        <v>43620</v>
      </c>
      <c r="B33884" s="1" t="str">
        <f>"57070"</f>
        <v>57070</v>
      </c>
      <c r="C33884" s="2">
        <v>4.6187321539793002E-3</v>
      </c>
      <c r="D33884" s="2">
        <v>1.2058570198105001E-3</v>
      </c>
      <c r="E33884" s="2">
        <v>3.4119988626670401E-3</v>
      </c>
      <c r="F33884" s="2">
        <v>4.2805631506069404E-3</v>
      </c>
    </row>
    <row r="33885" spans="1:6" x14ac:dyDescent="0.25">
      <c r="A33885" s="1" t="str">
        <f t="shared" si="1213"/>
        <v>43620</v>
      </c>
      <c r="B33885" s="1" t="str">
        <f>"57047"</f>
        <v>57047</v>
      </c>
      <c r="C33885" s="2">
        <v>9.7066174864713999E-4</v>
      </c>
      <c r="D33885" s="2">
        <v>4.3066322136089502E-4</v>
      </c>
      <c r="E33885" s="2">
        <v>2.8433323855558702E-4</v>
      </c>
      <c r="F33885" s="2">
        <v>8.9266259462574904E-4</v>
      </c>
    </row>
    <row r="33886" spans="1:6" x14ac:dyDescent="0.25">
      <c r="A33886" s="1" t="str">
        <f t="shared" si="1213"/>
        <v>43620</v>
      </c>
      <c r="B33886" s="1" t="str">
        <f>"57039"</f>
        <v>57039</v>
      </c>
      <c r="C33886" s="2">
        <v>1.2117094162278399E-2</v>
      </c>
      <c r="D33886" s="2">
        <v>2.8423772609819098E-3</v>
      </c>
      <c r="E33886" s="2">
        <v>7.53483082172305E-3</v>
      </c>
      <c r="F33886" s="2">
        <v>1.1133681495174699E-2</v>
      </c>
    </row>
    <row r="33887" spans="1:6" x14ac:dyDescent="0.25">
      <c r="A33887" s="1" t="str">
        <f t="shared" si="1213"/>
        <v>43620</v>
      </c>
      <c r="B33887" s="1" t="str">
        <f>"57029"</f>
        <v>57029</v>
      </c>
      <c r="C33887" s="2">
        <v>8.8168442168781898E-4</v>
      </c>
      <c r="D33887" s="2">
        <v>2.5839793281653701E-4</v>
      </c>
      <c r="E33887" s="2">
        <v>0</v>
      </c>
      <c r="F33887" s="2">
        <v>7.87230004709322E-4</v>
      </c>
    </row>
    <row r="33888" spans="1:6" x14ac:dyDescent="0.25">
      <c r="A33888" s="1" t="str">
        <f t="shared" si="1213"/>
        <v>43620</v>
      </c>
      <c r="B33888" s="1" t="str">
        <f>"57015"</f>
        <v>57015</v>
      </c>
      <c r="C33888" s="2">
        <v>2.9766960291845602E-3</v>
      </c>
      <c r="D33888" s="2">
        <v>1.3781223083548599E-3</v>
      </c>
      <c r="E33888" s="2">
        <v>1.56383281205572E-3</v>
      </c>
      <c r="F33888" s="2">
        <v>2.7763915344659099E-3</v>
      </c>
    </row>
    <row r="33889" spans="1:6" x14ac:dyDescent="0.25">
      <c r="A33889" s="1" t="str">
        <f t="shared" si="1213"/>
        <v>43620</v>
      </c>
      <c r="B33889" s="1" t="str">
        <f>"57048"</f>
        <v>57048</v>
      </c>
      <c r="C33889" s="2">
        <v>3.7127811885753099E-3</v>
      </c>
      <c r="D33889" s="2">
        <v>8.6132644272179102E-4</v>
      </c>
      <c r="E33889" s="2">
        <v>3.5541654819448302E-3</v>
      </c>
      <c r="F33889" s="2">
        <v>3.4722466279143299E-3</v>
      </c>
    </row>
    <row r="33890" spans="1:6" x14ac:dyDescent="0.25">
      <c r="A33890" s="1" t="str">
        <f t="shared" si="1213"/>
        <v>43620</v>
      </c>
      <c r="B33890" s="1" t="str">
        <f>"57058"</f>
        <v>57058</v>
      </c>
      <c r="C33890" s="2">
        <v>7.8704490119472208E-3</v>
      </c>
      <c r="D33890" s="2">
        <v>3.18690783807062E-3</v>
      </c>
      <c r="E33890" s="2">
        <v>5.5444981518339397E-3</v>
      </c>
      <c r="F33890" s="2">
        <v>7.3732524548221299E-3</v>
      </c>
    </row>
    <row r="33891" spans="1:6" x14ac:dyDescent="0.25">
      <c r="A33891" s="1" t="str">
        <f t="shared" si="1213"/>
        <v>43620</v>
      </c>
      <c r="B33891" s="1" t="str">
        <f>"57005"</f>
        <v>57005</v>
      </c>
      <c r="C33891" s="2">
        <v>3.8405849854805101E-2</v>
      </c>
      <c r="D33891" s="2">
        <v>2.7131782945736399E-2</v>
      </c>
      <c r="E33891" s="2">
        <v>2.5163491612169402E-2</v>
      </c>
      <c r="F33891" s="2">
        <v>3.6831118077471803E-2</v>
      </c>
    </row>
    <row r="33892" spans="1:6" x14ac:dyDescent="0.25">
      <c r="A33892" s="1" t="str">
        <f t="shared" si="1213"/>
        <v>43620</v>
      </c>
      <c r="B33892" s="1" t="str">
        <f>"57105"</f>
        <v>57105</v>
      </c>
      <c r="C33892" s="2">
        <v>8.4026952041220695E-2</v>
      </c>
      <c r="D33892" s="2">
        <v>0.121963824289405</v>
      </c>
      <c r="E33892" s="2">
        <v>9.0702303099232301E-2</v>
      </c>
      <c r="F33892" s="2">
        <v>8.7452818916012295E-2</v>
      </c>
    </row>
    <row r="33893" spans="1:6" x14ac:dyDescent="0.25">
      <c r="A33893" s="1" t="str">
        <f t="shared" si="1213"/>
        <v>43620</v>
      </c>
      <c r="B33893" s="1" t="str">
        <f>"57108"</f>
        <v>57108</v>
      </c>
      <c r="C33893" s="2">
        <v>0.12033779028852901</v>
      </c>
      <c r="D33893" s="2">
        <v>0.10534022394487499</v>
      </c>
      <c r="E33893" s="2">
        <v>0.134916121694626</v>
      </c>
      <c r="F33893" s="2">
        <v>0.119834681699011</v>
      </c>
    </row>
    <row r="33894" spans="1:6" x14ac:dyDescent="0.25">
      <c r="A33894" s="1" t="str">
        <f t="shared" si="1213"/>
        <v>43620</v>
      </c>
      <c r="B33894" s="1" t="str">
        <f>"57055"</f>
        <v>57055</v>
      </c>
      <c r="C33894" s="2">
        <v>4.0686904964125897E-3</v>
      </c>
      <c r="D33894" s="2">
        <v>1.03359173126614E-3</v>
      </c>
      <c r="E33894" s="2">
        <v>2.5589991470002802E-3</v>
      </c>
      <c r="F33894" s="2">
        <v>3.74637136169704E-3</v>
      </c>
    </row>
    <row r="33895" spans="1:6" x14ac:dyDescent="0.25">
      <c r="A33895" s="1" t="str">
        <f t="shared" si="1213"/>
        <v>43620</v>
      </c>
      <c r="B33895" s="1" t="str">
        <f>"57012"</f>
        <v>57012</v>
      </c>
      <c r="C33895" s="2">
        <v>3.6399815574267701E-3</v>
      </c>
      <c r="D33895" s="2">
        <v>6.8906115417743301E-4</v>
      </c>
      <c r="E33895" s="2">
        <v>7.1083309638896703E-4</v>
      </c>
      <c r="F33895" s="2">
        <v>3.2543526087537101E-3</v>
      </c>
    </row>
    <row r="33896" spans="1:6" x14ac:dyDescent="0.25">
      <c r="A33896" s="1" t="str">
        <f t="shared" si="1213"/>
        <v>43620</v>
      </c>
      <c r="B33896" s="1" t="str">
        <f>"57014"</f>
        <v>57014</v>
      </c>
      <c r="C33896" s="2">
        <v>5.56512735891027E-3</v>
      </c>
      <c r="D33896" s="2">
        <v>8.6132644272179102E-4</v>
      </c>
      <c r="E33896" s="2">
        <v>3.12766562411145E-3</v>
      </c>
      <c r="F33896" s="2">
        <v>5.0607643159884998E-3</v>
      </c>
    </row>
    <row r="33897" spans="1:6" x14ac:dyDescent="0.25">
      <c r="A33897" s="1" t="str">
        <f t="shared" si="1213"/>
        <v>43620</v>
      </c>
      <c r="B33897" s="1" t="str">
        <f>"57016"</f>
        <v>57016</v>
      </c>
      <c r="C33897" s="2">
        <v>8.0888479053928293E-6</v>
      </c>
      <c r="D33897" s="2">
        <v>0</v>
      </c>
      <c r="E33897" s="2">
        <v>0</v>
      </c>
      <c r="F33897" s="2">
        <v>7.0288393277617998E-6</v>
      </c>
    </row>
    <row r="33898" spans="1:6" x14ac:dyDescent="0.25">
      <c r="A33898" s="1" t="str">
        <f t="shared" si="1213"/>
        <v>43620</v>
      </c>
      <c r="B33898" s="1" t="str">
        <f>"57045"</f>
        <v>57045</v>
      </c>
      <c r="C33898" s="2">
        <v>4.0444239526964101E-5</v>
      </c>
      <c r="D33898" s="2">
        <v>0</v>
      </c>
      <c r="E33898" s="2">
        <v>0</v>
      </c>
      <c r="F33898" s="2">
        <v>3.5144196638809003E-5</v>
      </c>
    </row>
    <row r="33899" spans="1:6" x14ac:dyDescent="0.25">
      <c r="A33899" s="1" t="str">
        <f t="shared" si="1213"/>
        <v>43620</v>
      </c>
      <c r="B33899" s="1" t="str">
        <f>"57103"</f>
        <v>57103</v>
      </c>
      <c r="C33899" s="2">
        <v>0.120378234528056</v>
      </c>
      <c r="D33899" s="2">
        <v>7.3471145564168797E-2</v>
      </c>
      <c r="E33899" s="2">
        <v>0.10619846460051099</v>
      </c>
      <c r="F33899" s="2">
        <v>0.11584932980017</v>
      </c>
    </row>
    <row r="33900" spans="1:6" x14ac:dyDescent="0.25">
      <c r="A33900" s="1" t="str">
        <f t="shared" si="1213"/>
        <v>43620</v>
      </c>
      <c r="B33900" s="1" t="str">
        <f>"57033"</f>
        <v>57033</v>
      </c>
      <c r="C33900" s="2">
        <v>1.7997686589499001E-2</v>
      </c>
      <c r="D33900" s="2">
        <v>7.9242032730404803E-3</v>
      </c>
      <c r="E33900" s="2">
        <v>1.73443275518908E-2</v>
      </c>
      <c r="F33900" s="2">
        <v>1.7143339120411001E-2</v>
      </c>
    </row>
    <row r="33901" spans="1:6" x14ac:dyDescent="0.25">
      <c r="A33901" s="1" t="str">
        <f t="shared" si="1213"/>
        <v>43620</v>
      </c>
      <c r="B33901" s="1" t="str">
        <f>"57101"</f>
        <v>57101</v>
      </c>
      <c r="C33901" s="2">
        <v>9.8117725092414995E-3</v>
      </c>
      <c r="D33901" s="2">
        <v>5.7192075796726902E-2</v>
      </c>
      <c r="E33901" s="2">
        <v>2.8433323855558702E-4</v>
      </c>
      <c r="F33901" s="2">
        <v>1.32071890968644E-2</v>
      </c>
    </row>
    <row r="33902" spans="1:6" x14ac:dyDescent="0.25">
      <c r="A33902" s="1" t="str">
        <f t="shared" si="1213"/>
        <v>43620</v>
      </c>
      <c r="B33902" s="1" t="str">
        <f>"57021"</f>
        <v>57021</v>
      </c>
      <c r="C33902" s="2">
        <v>9.7875059655253309E-4</v>
      </c>
      <c r="D33902" s="2">
        <v>5.1679586563307402E-4</v>
      </c>
      <c r="E33902" s="2">
        <v>4.2649985783338001E-4</v>
      </c>
      <c r="F33902" s="2">
        <v>9.1374911260903402E-4</v>
      </c>
    </row>
    <row r="33903" spans="1:6" x14ac:dyDescent="0.25">
      <c r="A33903" s="1" t="str">
        <f t="shared" si="1213"/>
        <v>43620</v>
      </c>
      <c r="B33903" s="1" t="str">
        <f>"57037"</f>
        <v>57037</v>
      </c>
      <c r="C33903" s="2">
        <v>9.3021750912017603E-4</v>
      </c>
      <c r="D33903" s="2">
        <v>3.4453057708871602E-4</v>
      </c>
      <c r="E33903" s="2">
        <v>5.6866647711117403E-4</v>
      </c>
      <c r="F33903" s="2">
        <v>8.6454723731470198E-4</v>
      </c>
    </row>
    <row r="33904" spans="1:6" x14ac:dyDescent="0.25">
      <c r="A33904" s="1" t="str">
        <f t="shared" si="1213"/>
        <v>43620</v>
      </c>
      <c r="B33904" s="1" t="str">
        <f>"57030"</f>
        <v>57030</v>
      </c>
      <c r="C33904" s="2">
        <v>9.9088386841062193E-3</v>
      </c>
      <c r="D33904" s="2">
        <v>2.7562446167097299E-3</v>
      </c>
      <c r="E33904" s="2">
        <v>5.1179982940005603E-3</v>
      </c>
      <c r="F33904" s="2">
        <v>9.0882892507960101E-3</v>
      </c>
    </row>
    <row r="33905" spans="1:6" x14ac:dyDescent="0.25">
      <c r="A33905" s="1" t="str">
        <f t="shared" si="1213"/>
        <v>43620</v>
      </c>
      <c r="B33905" s="1" t="str">
        <f>"57027"</f>
        <v>57027</v>
      </c>
      <c r="C33905" s="2">
        <v>5.0959741803974798E-4</v>
      </c>
      <c r="D33905" s="2">
        <v>5.1679586563307402E-4</v>
      </c>
      <c r="E33905" s="2">
        <v>1.4216661927779299E-4</v>
      </c>
      <c r="F33905" s="2">
        <v>4.9201875294332595E-4</v>
      </c>
    </row>
    <row r="33906" spans="1:6" x14ac:dyDescent="0.25">
      <c r="A33906" s="1" t="str">
        <f t="shared" si="1213"/>
        <v>43620</v>
      </c>
      <c r="B33906" s="1" t="str">
        <f>"57043"</f>
        <v>57043</v>
      </c>
      <c r="C33906" s="2">
        <v>4.7885979599925502E-3</v>
      </c>
      <c r="D33906" s="2">
        <v>1.03359173126614E-3</v>
      </c>
      <c r="E33906" s="2">
        <v>2.4168325277224901E-3</v>
      </c>
      <c r="F33906" s="2">
        <v>4.3649092225400803E-3</v>
      </c>
    </row>
    <row r="33907" spans="1:6" x14ac:dyDescent="0.25">
      <c r="A33907" s="1" t="str">
        <f t="shared" si="1213"/>
        <v>43620</v>
      </c>
      <c r="B33907" s="1" t="str">
        <f>"57003"</f>
        <v>57003</v>
      </c>
      <c r="C33907" s="2">
        <v>6.5519668033681899E-3</v>
      </c>
      <c r="D33907" s="2">
        <v>1.4642549526270401E-3</v>
      </c>
      <c r="E33907" s="2">
        <v>1.8481660506113099E-3</v>
      </c>
      <c r="F33907" s="2">
        <v>5.9042250353199101E-3</v>
      </c>
    </row>
    <row r="33908" spans="1:6" x14ac:dyDescent="0.25">
      <c r="A33908" s="1" t="str">
        <f t="shared" si="1213"/>
        <v>43620</v>
      </c>
      <c r="B33908" s="1" t="str">
        <f>"57198"</f>
        <v>57198</v>
      </c>
      <c r="C33908" s="2">
        <v>0</v>
      </c>
      <c r="D33908" s="2">
        <v>8.6132644272179099E-5</v>
      </c>
      <c r="E33908" s="2">
        <v>0</v>
      </c>
      <c r="F33908" s="2">
        <v>7.0288393277617998E-6</v>
      </c>
    </row>
    <row r="33909" spans="1:6" x14ac:dyDescent="0.25">
      <c r="A33909" s="1" t="str">
        <f t="shared" si="1213"/>
        <v>43620</v>
      </c>
      <c r="B33909" s="1" t="str">
        <f>"57118"</f>
        <v>57118</v>
      </c>
      <c r="C33909" s="2">
        <v>6.5600556512735797E-3</v>
      </c>
      <c r="D33909" s="2">
        <v>1.05081826012058E-2</v>
      </c>
      <c r="E33909" s="2">
        <v>2.8433323855558702E-4</v>
      </c>
      <c r="F33909" s="2">
        <v>6.5719647714572796E-3</v>
      </c>
    </row>
    <row r="33910" spans="1:6" x14ac:dyDescent="0.25">
      <c r="A33910" s="1" t="str">
        <f t="shared" si="1213"/>
        <v>43620</v>
      </c>
      <c r="B33910" s="1" t="str">
        <f>"57197"</f>
        <v>57197</v>
      </c>
      <c r="C33910" s="2">
        <v>0</v>
      </c>
      <c r="D33910" s="2">
        <v>8.6132644272179099E-5</v>
      </c>
      <c r="E33910" s="2">
        <v>0</v>
      </c>
      <c r="F33910" s="2">
        <v>7.0288393277617998E-6</v>
      </c>
    </row>
    <row r="33911" spans="1:6" x14ac:dyDescent="0.25">
      <c r="A33911" s="1" t="str">
        <f t="shared" ref="A33911:A33933" si="1214">"43620"</f>
        <v>43620</v>
      </c>
      <c r="B33911" s="1" t="str">
        <f>"57321"</f>
        <v>57321</v>
      </c>
      <c r="C33911" s="2">
        <v>1.29421566486285E-4</v>
      </c>
      <c r="D33911" s="2">
        <v>8.6132644272179099E-5</v>
      </c>
      <c r="E33911" s="2">
        <v>0</v>
      </c>
      <c r="F33911" s="2">
        <v>1.1949026857194999E-4</v>
      </c>
    </row>
    <row r="33912" spans="1:6" x14ac:dyDescent="0.25">
      <c r="A33912" s="1" t="str">
        <f t="shared" si="1214"/>
        <v>43620</v>
      </c>
      <c r="B33912" s="1" t="str">
        <f>"57332"</f>
        <v>57332</v>
      </c>
      <c r="C33912" s="2">
        <v>1.94132349729428E-4</v>
      </c>
      <c r="D33912" s="2">
        <v>0</v>
      </c>
      <c r="E33912" s="2">
        <v>0</v>
      </c>
      <c r="F33912" s="2">
        <v>1.68692143866283E-4</v>
      </c>
    </row>
    <row r="33913" spans="1:6" x14ac:dyDescent="0.25">
      <c r="A33913" s="1" t="str">
        <f t="shared" si="1214"/>
        <v>43620</v>
      </c>
      <c r="B33913" s="1" t="str">
        <f>"57001"</f>
        <v>57001</v>
      </c>
      <c r="C33913" s="2">
        <v>1.61776958107856E-4</v>
      </c>
      <c r="D33913" s="2">
        <v>0</v>
      </c>
      <c r="E33913" s="2">
        <v>0</v>
      </c>
      <c r="F33913" s="2">
        <v>1.4057678655523601E-4</v>
      </c>
    </row>
    <row r="33914" spans="1:6" x14ac:dyDescent="0.25">
      <c r="A33914" s="1" t="str">
        <f t="shared" si="1214"/>
        <v>43620</v>
      </c>
      <c r="B33914" s="1" t="str">
        <f>"57042"</f>
        <v>57042</v>
      </c>
      <c r="C33914" s="2">
        <v>2.42665437161785E-5</v>
      </c>
      <c r="D33914" s="2">
        <v>0</v>
      </c>
      <c r="E33914" s="2">
        <v>0</v>
      </c>
      <c r="F33914" s="2">
        <v>2.1086517983285399E-5</v>
      </c>
    </row>
    <row r="33915" spans="1:6" x14ac:dyDescent="0.25">
      <c r="A33915" s="1" t="str">
        <f t="shared" si="1214"/>
        <v>43620</v>
      </c>
      <c r="B33915" s="1" t="str">
        <f>"57107"</f>
        <v>57107</v>
      </c>
      <c r="C33915" s="2">
        <v>4.1301657404935799E-2</v>
      </c>
      <c r="D33915" s="2">
        <v>4.4358311800172197E-2</v>
      </c>
      <c r="E33915" s="2">
        <v>2.1751492749502398E-2</v>
      </c>
      <c r="F33915" s="2">
        <v>4.0584518278496601E-2</v>
      </c>
    </row>
    <row r="33916" spans="1:6" x14ac:dyDescent="0.25">
      <c r="A33916" s="1" t="str">
        <f t="shared" si="1214"/>
        <v>43620</v>
      </c>
      <c r="B33916" s="1" t="str">
        <f>"57036"</f>
        <v>57036</v>
      </c>
      <c r="C33916" s="2">
        <v>3.0252291166169201E-3</v>
      </c>
      <c r="D33916" s="2">
        <v>8.6132644272179102E-4</v>
      </c>
      <c r="E33916" s="2">
        <v>7.1083309638896703E-4</v>
      </c>
      <c r="F33916" s="2">
        <v>2.73421849849934E-3</v>
      </c>
    </row>
    <row r="33917" spans="1:6" x14ac:dyDescent="0.25">
      <c r="A33917" s="1" t="str">
        <f t="shared" si="1214"/>
        <v>43620</v>
      </c>
      <c r="B33917" s="1" t="str">
        <f>"57068"</f>
        <v>57068</v>
      </c>
      <c r="C33917" s="2">
        <v>5.4680611840455503E-3</v>
      </c>
      <c r="D33917" s="2">
        <v>4.3066322136089502E-4</v>
      </c>
      <c r="E33917" s="2">
        <v>2.8433323855558698E-3</v>
      </c>
      <c r="F33917" s="2">
        <v>4.9272163687610199E-3</v>
      </c>
    </row>
    <row r="33918" spans="1:6" x14ac:dyDescent="0.25">
      <c r="A33918" s="1" t="str">
        <f t="shared" si="1214"/>
        <v>43620</v>
      </c>
      <c r="B33918" s="1" t="str">
        <f>"57020"</f>
        <v>57020</v>
      </c>
      <c r="C33918" s="2">
        <v>5.0878853324920897E-3</v>
      </c>
      <c r="D33918" s="2">
        <v>6.0292850990525395E-4</v>
      </c>
      <c r="E33918" s="2">
        <v>1.70599943133352E-3</v>
      </c>
      <c r="F33918" s="2">
        <v>4.55468788438965E-3</v>
      </c>
    </row>
    <row r="33919" spans="1:6" x14ac:dyDescent="0.25">
      <c r="A33919" s="1" t="str">
        <f t="shared" si="1214"/>
        <v>43620</v>
      </c>
      <c r="B33919" s="1" t="str">
        <f>"57041"</f>
        <v>57041</v>
      </c>
      <c r="C33919" s="2">
        <v>4.2870893898582001E-4</v>
      </c>
      <c r="D33919" s="2">
        <v>6.8906115417743301E-4</v>
      </c>
      <c r="E33919" s="2">
        <v>1.4216661927779299E-4</v>
      </c>
      <c r="F33919" s="2">
        <v>4.3578803832123198E-4</v>
      </c>
    </row>
    <row r="33920" spans="1:6" x14ac:dyDescent="0.25">
      <c r="A33920" s="1" t="str">
        <f t="shared" si="1214"/>
        <v>43620</v>
      </c>
      <c r="B33920" s="1" t="str">
        <f>"57035"</f>
        <v>57035</v>
      </c>
      <c r="C33920" s="2">
        <v>4.2223786066150496E-3</v>
      </c>
      <c r="D33920" s="2">
        <v>6.8906115417743301E-4</v>
      </c>
      <c r="E33920" s="2">
        <v>1.4216661927779299E-3</v>
      </c>
      <c r="F33920" s="2">
        <v>3.7955732369913701E-3</v>
      </c>
    </row>
    <row r="33921" spans="1:6" x14ac:dyDescent="0.25">
      <c r="A33921" s="1" t="str">
        <f t="shared" si="1214"/>
        <v>43620</v>
      </c>
      <c r="B33921" s="1" t="str">
        <f>"57022"</f>
        <v>57022</v>
      </c>
      <c r="C33921" s="2">
        <v>1.6250495441934201E-2</v>
      </c>
      <c r="D33921" s="2">
        <v>1.6365202411713999E-2</v>
      </c>
      <c r="E33921" s="2">
        <v>2.1182826272391202E-2</v>
      </c>
      <c r="F33921" s="2">
        <v>1.6503714741584699E-2</v>
      </c>
    </row>
    <row r="33922" spans="1:6" x14ac:dyDescent="0.25">
      <c r="A33922" s="1" t="str">
        <f t="shared" si="1214"/>
        <v>43620</v>
      </c>
      <c r="B33922" s="1" t="str">
        <f>"57077"</f>
        <v>57077</v>
      </c>
      <c r="C33922" s="2">
        <v>4.5297548270199798E-3</v>
      </c>
      <c r="D33922" s="2">
        <v>2.4117140396210102E-3</v>
      </c>
      <c r="E33922" s="2">
        <v>3.8384987205004198E-3</v>
      </c>
      <c r="F33922" s="2">
        <v>4.3227361865735099E-3</v>
      </c>
    </row>
    <row r="33923" spans="1:6" x14ac:dyDescent="0.25">
      <c r="A33923" s="1" t="str">
        <f t="shared" si="1214"/>
        <v>43620</v>
      </c>
      <c r="B33923" s="1" t="str">
        <f>"57004"</f>
        <v>57004</v>
      </c>
      <c r="C33923" s="2">
        <v>3.9311800820209103E-3</v>
      </c>
      <c r="D33923" s="2">
        <v>3.5314384151593401E-3</v>
      </c>
      <c r="E33923" s="2">
        <v>2.5589991470002802E-3</v>
      </c>
      <c r="F33923" s="2">
        <v>3.8307174336301799E-3</v>
      </c>
    </row>
    <row r="33924" spans="1:6" x14ac:dyDescent="0.25">
      <c r="A33924" s="1" t="str">
        <f t="shared" si="1214"/>
        <v>43620</v>
      </c>
      <c r="B33924" s="1" t="str">
        <f>"57073"</f>
        <v>57073</v>
      </c>
      <c r="C33924" s="2">
        <v>4.8533087432357E-5</v>
      </c>
      <c r="D33924" s="2">
        <v>0</v>
      </c>
      <c r="E33924" s="2">
        <v>0</v>
      </c>
      <c r="F33924" s="2">
        <v>4.2173035966570797E-5</v>
      </c>
    </row>
    <row r="33925" spans="1:6" x14ac:dyDescent="0.25">
      <c r="A33925" s="1" t="str">
        <f t="shared" si="1214"/>
        <v>43620</v>
      </c>
      <c r="B33925" s="1" t="str">
        <f>"57064"</f>
        <v>57064</v>
      </c>
      <c r="C33925" s="2">
        <v>1.9429412668753501E-2</v>
      </c>
      <c r="D33925" s="2">
        <v>2.7131782945736399E-2</v>
      </c>
      <c r="E33925" s="2">
        <v>3.3409155530281398E-2</v>
      </c>
      <c r="F33925" s="2">
        <v>2.0749133695552799E-2</v>
      </c>
    </row>
    <row r="33926" spans="1:6" x14ac:dyDescent="0.25">
      <c r="A33926" s="1" t="str">
        <f t="shared" si="1214"/>
        <v>43620</v>
      </c>
      <c r="B33926" s="1" t="str">
        <f>"57104"</f>
        <v>57104</v>
      </c>
      <c r="C33926" s="2">
        <v>0.108139807647196</v>
      </c>
      <c r="D33926" s="2">
        <v>0.23703703703703699</v>
      </c>
      <c r="E33926" s="2">
        <v>0.21751492749502399</v>
      </c>
      <c r="F33926" s="2">
        <v>0.124066042974323</v>
      </c>
    </row>
    <row r="33927" spans="1:6" x14ac:dyDescent="0.25">
      <c r="A33927" s="1" t="str">
        <f t="shared" si="1214"/>
        <v>43620</v>
      </c>
      <c r="B33927" s="1" t="str">
        <f>"57053"</f>
        <v>57053</v>
      </c>
      <c r="C33927" s="2">
        <v>6.6004998908005498E-3</v>
      </c>
      <c r="D33927" s="2">
        <v>1.3781223083548599E-3</v>
      </c>
      <c r="E33927" s="2">
        <v>2.4168325277224901E-3</v>
      </c>
      <c r="F33927" s="2">
        <v>5.9674845892697696E-3</v>
      </c>
    </row>
    <row r="33928" spans="1:6" x14ac:dyDescent="0.25">
      <c r="A33928" s="1" t="str">
        <f t="shared" si="1214"/>
        <v>43620</v>
      </c>
      <c r="B33928" s="1" t="str">
        <f>"57319"</f>
        <v>57319</v>
      </c>
      <c r="C33928" s="2">
        <v>3.6966034927645199E-3</v>
      </c>
      <c r="D33928" s="2">
        <v>1.6365202411713999E-3</v>
      </c>
      <c r="E33928" s="2">
        <v>2.9854990048336599E-3</v>
      </c>
      <c r="F33928" s="2">
        <v>3.4933331458976099E-3</v>
      </c>
    </row>
    <row r="33929" spans="1:6" x14ac:dyDescent="0.25">
      <c r="A33929" s="1" t="str">
        <f t="shared" si="1214"/>
        <v>43620</v>
      </c>
      <c r="B33929" s="1" t="str">
        <f>"57013"</f>
        <v>57013</v>
      </c>
      <c r="C33929" s="2">
        <v>1.55791210657866E-2</v>
      </c>
      <c r="D33929" s="2">
        <v>2.1619293712316901E-2</v>
      </c>
      <c r="E33929" s="2">
        <v>1.47853284048905E-2</v>
      </c>
      <c r="F33929" s="2">
        <v>1.6032782506624599E-2</v>
      </c>
    </row>
    <row r="33930" spans="1:6" x14ac:dyDescent="0.25">
      <c r="A33930" s="1" t="str">
        <f t="shared" si="1214"/>
        <v>43620</v>
      </c>
      <c r="B33930" s="1" t="str">
        <f>"57018"</f>
        <v>57018</v>
      </c>
      <c r="C33930" s="2">
        <v>4.6591763935062702E-3</v>
      </c>
      <c r="D33930" s="2">
        <v>1.55038759689922E-3</v>
      </c>
      <c r="E33930" s="2">
        <v>1.9903326698891099E-3</v>
      </c>
      <c r="F33930" s="2">
        <v>4.2735343112791698E-3</v>
      </c>
    </row>
    <row r="33931" spans="1:6" x14ac:dyDescent="0.25">
      <c r="A33931" s="1" t="str">
        <f t="shared" si="1214"/>
        <v>43620</v>
      </c>
      <c r="B33931" s="1" t="str">
        <f>"57186"</f>
        <v>57186</v>
      </c>
      <c r="C33931" s="2">
        <v>0</v>
      </c>
      <c r="D33931" s="2">
        <v>8.6132644272179099E-5</v>
      </c>
      <c r="E33931" s="2">
        <v>0</v>
      </c>
      <c r="F33931" s="2">
        <v>7.0288393277617998E-6</v>
      </c>
    </row>
    <row r="33932" spans="1:6" x14ac:dyDescent="0.25">
      <c r="A33932" s="1" t="str">
        <f t="shared" si="1214"/>
        <v>43620</v>
      </c>
      <c r="B33932" s="1" t="str">
        <f>"57106"</f>
        <v>57106</v>
      </c>
      <c r="C33932" s="2">
        <v>0.168498790717238</v>
      </c>
      <c r="D33932" s="2">
        <v>0.11912144702842301</v>
      </c>
      <c r="E33932" s="2">
        <v>0.17486494171168601</v>
      </c>
      <c r="F33932" s="2">
        <v>0.16478410920004699</v>
      </c>
    </row>
    <row r="33933" spans="1:6" x14ac:dyDescent="0.25">
      <c r="A33933" s="1" t="str">
        <f t="shared" si="1214"/>
        <v>43620</v>
      </c>
      <c r="B33933" s="1" t="str">
        <f>"57032"</f>
        <v>57032</v>
      </c>
      <c r="C33933" s="2">
        <v>2.5924757536783999E-2</v>
      </c>
      <c r="D33933" s="2">
        <v>1.46425495262704E-2</v>
      </c>
      <c r="E33933" s="2">
        <v>2.53056582314472E-2</v>
      </c>
      <c r="F33933" s="2">
        <v>2.49734661315376E-2</v>
      </c>
    </row>
    <row r="33934" spans="1:6" x14ac:dyDescent="0.25">
      <c r="A33934" s="1" t="str">
        <f t="shared" ref="A33934:A33942" si="1215">"43660"</f>
        <v>43660</v>
      </c>
      <c r="B33934" s="1" t="str">
        <f>"79516"</f>
        <v>79516</v>
      </c>
      <c r="C33934" s="2">
        <v>0</v>
      </c>
      <c r="D33934" s="2">
        <v>1.10253583241455E-3</v>
      </c>
      <c r="E33934" s="2">
        <v>0</v>
      </c>
      <c r="F33934" s="2">
        <v>1.1560693641618401E-4</v>
      </c>
    </row>
    <row r="33935" spans="1:6" x14ac:dyDescent="0.25">
      <c r="A33935" s="1" t="str">
        <f t="shared" si="1215"/>
        <v>43660</v>
      </c>
      <c r="B33935" s="1" t="str">
        <f>"79532"</f>
        <v>79532</v>
      </c>
      <c r="C33935" s="2">
        <v>1.06269925611052E-3</v>
      </c>
      <c r="D33935" s="2">
        <v>0</v>
      </c>
      <c r="E33935" s="2">
        <v>0</v>
      </c>
      <c r="F33935" s="2">
        <v>9.2485549132947898E-4</v>
      </c>
    </row>
    <row r="33936" spans="1:6" x14ac:dyDescent="0.25">
      <c r="A33936" s="1" t="str">
        <f t="shared" si="1215"/>
        <v>43660</v>
      </c>
      <c r="B33936" s="1" t="str">
        <f>"79546"</f>
        <v>79546</v>
      </c>
      <c r="C33936" s="2">
        <v>3.9851222104144498E-4</v>
      </c>
      <c r="D33936" s="2">
        <v>0</v>
      </c>
      <c r="E33936" s="2">
        <v>4.65116279069767E-3</v>
      </c>
      <c r="F33936" s="2">
        <v>4.62427745664739E-4</v>
      </c>
    </row>
    <row r="33937" spans="1:6" x14ac:dyDescent="0.25">
      <c r="A33937" s="1" t="str">
        <f t="shared" si="1215"/>
        <v>43660</v>
      </c>
      <c r="B33937" s="1" t="str">
        <f>"79526"</f>
        <v>79526</v>
      </c>
      <c r="C33937" s="2">
        <v>6.9075451647183803E-2</v>
      </c>
      <c r="D33937" s="2">
        <v>2.6460859977949201E-2</v>
      </c>
      <c r="E33937" s="2">
        <v>7.9069767441860395E-2</v>
      </c>
      <c r="F33937" s="2">
        <v>6.4855491329479695E-2</v>
      </c>
    </row>
    <row r="33938" spans="1:6" x14ac:dyDescent="0.25">
      <c r="A33938" s="1" t="str">
        <f t="shared" si="1215"/>
        <v>43660</v>
      </c>
      <c r="B33938" s="1" t="str">
        <f>"79527"</f>
        <v>79527</v>
      </c>
      <c r="C33938" s="2">
        <v>1.80658873538788E-2</v>
      </c>
      <c r="D33938" s="2">
        <v>7.7177508269018697E-3</v>
      </c>
      <c r="E33938" s="2">
        <v>4.65116279069767E-3</v>
      </c>
      <c r="F33938" s="2">
        <v>1.66473988439306E-2</v>
      </c>
    </row>
    <row r="33939" spans="1:6" x14ac:dyDescent="0.25">
      <c r="A33939" s="1" t="str">
        <f t="shared" si="1215"/>
        <v>43660</v>
      </c>
      <c r="B33939" s="1" t="str">
        <f>"79517"</f>
        <v>79517</v>
      </c>
      <c r="C33939" s="2">
        <v>1.1158342189160401E-2</v>
      </c>
      <c r="D33939" s="2">
        <v>5.5126791620727601E-3</v>
      </c>
      <c r="E33939" s="2">
        <v>1.3953488372093001E-2</v>
      </c>
      <c r="F33939" s="2">
        <v>1.0635838150289E-2</v>
      </c>
    </row>
    <row r="33940" spans="1:6" x14ac:dyDescent="0.25">
      <c r="A33940" s="1" t="str">
        <f t="shared" si="1215"/>
        <v>43660</v>
      </c>
      <c r="B33940" s="1" t="str">
        <f>"79549"</f>
        <v>79549</v>
      </c>
      <c r="C33940" s="2">
        <v>0.89731668437832002</v>
      </c>
      <c r="D33940" s="2">
        <v>0.95700110253583204</v>
      </c>
      <c r="E33940" s="2">
        <v>0.89767441860465103</v>
      </c>
      <c r="F33940" s="2">
        <v>0.90358381502890095</v>
      </c>
    </row>
    <row r="33941" spans="1:6" x14ac:dyDescent="0.25">
      <c r="A33941" s="1" t="str">
        <f t="shared" si="1215"/>
        <v>43660</v>
      </c>
      <c r="B33941" s="1" t="str">
        <f>"79512"</f>
        <v>79512</v>
      </c>
      <c r="C33941" s="2">
        <v>1.4612114771519601E-3</v>
      </c>
      <c r="D33941" s="2">
        <v>2.2050716648291E-3</v>
      </c>
      <c r="E33941" s="2">
        <v>0</v>
      </c>
      <c r="F33941" s="2">
        <v>1.5028901734104E-3</v>
      </c>
    </row>
    <row r="33942" spans="1:6" x14ac:dyDescent="0.25">
      <c r="A33942" s="1" t="str">
        <f t="shared" si="1215"/>
        <v>43660</v>
      </c>
      <c r="B33942" s="1" t="str">
        <f>"79545"</f>
        <v>79545</v>
      </c>
      <c r="C33942" s="2">
        <v>1.4612114771519601E-3</v>
      </c>
      <c r="D33942" s="2">
        <v>0</v>
      </c>
      <c r="E33942" s="2">
        <v>0</v>
      </c>
      <c r="F33942" s="2">
        <v>1.2716763005780299E-3</v>
      </c>
    </row>
    <row r="33943" spans="1:6" x14ac:dyDescent="0.25">
      <c r="A33943" s="1" t="str">
        <f t="shared" ref="A33943:A33957" si="1216">"43700"</f>
        <v>43700</v>
      </c>
      <c r="B33943" s="1" t="str">
        <f>"42564"</f>
        <v>42564</v>
      </c>
      <c r="C33943" s="2">
        <v>2.1166652850313598E-2</v>
      </c>
      <c r="D33943" s="2">
        <v>3.2391235312797702E-2</v>
      </c>
      <c r="E33943" s="2">
        <v>1.50262960180315E-3</v>
      </c>
      <c r="F33943" s="2">
        <v>2.13922152007671E-2</v>
      </c>
    </row>
    <row r="33944" spans="1:6" x14ac:dyDescent="0.25">
      <c r="A33944" s="1" t="str">
        <f t="shared" si="1216"/>
        <v>43700</v>
      </c>
      <c r="B33944" s="1" t="str">
        <f>"42518"</f>
        <v>42518</v>
      </c>
      <c r="C33944" s="2">
        <v>4.1946447815634502E-2</v>
      </c>
      <c r="D33944" s="2">
        <v>1.7783423308986902E-2</v>
      </c>
      <c r="E33944" s="2">
        <v>3.7565740045078802E-2</v>
      </c>
      <c r="F33944" s="2">
        <v>3.9932135041431997E-2</v>
      </c>
    </row>
    <row r="33945" spans="1:6" x14ac:dyDescent="0.25">
      <c r="A33945" s="1" t="str">
        <f t="shared" si="1216"/>
        <v>43700</v>
      </c>
      <c r="B33945" s="1" t="str">
        <f>"40456"</f>
        <v>40456</v>
      </c>
      <c r="C33945" s="2">
        <v>1.6579623642543301E-4</v>
      </c>
      <c r="D33945" s="2">
        <v>0</v>
      </c>
      <c r="E33945" s="2">
        <v>0</v>
      </c>
      <c r="F33945" s="2">
        <v>1.4753251862597999E-4</v>
      </c>
    </row>
    <row r="33946" spans="1:6" x14ac:dyDescent="0.25">
      <c r="A33946" s="1" t="str">
        <f t="shared" si="1216"/>
        <v>43700</v>
      </c>
      <c r="B33946" s="1" t="str">
        <f>"42502"</f>
        <v>42502</v>
      </c>
      <c r="C33946" s="2">
        <v>3.0506507502279599E-2</v>
      </c>
      <c r="D33946" s="2">
        <v>0.11495712924738</v>
      </c>
      <c r="E33946" s="2">
        <v>1.50262960180315E-3</v>
      </c>
      <c r="F33946" s="2">
        <v>3.6096289557156498E-2</v>
      </c>
    </row>
    <row r="33947" spans="1:6" x14ac:dyDescent="0.25">
      <c r="A33947" s="1" t="str">
        <f t="shared" si="1216"/>
        <v>43700</v>
      </c>
      <c r="B33947" s="1" t="str">
        <f>"42642"</f>
        <v>42642</v>
      </c>
      <c r="C33947" s="2">
        <v>6.9081765177263796E-4</v>
      </c>
      <c r="D33947" s="2">
        <v>0</v>
      </c>
      <c r="E33947" s="2">
        <v>0</v>
      </c>
      <c r="F33947" s="2">
        <v>6.1471882760825102E-4</v>
      </c>
    </row>
    <row r="33948" spans="1:6" x14ac:dyDescent="0.25">
      <c r="A33948" s="1" t="str">
        <f t="shared" si="1216"/>
        <v>43700</v>
      </c>
      <c r="B33948" s="1" t="str">
        <f>"42501"</f>
        <v>42501</v>
      </c>
      <c r="C33948" s="2">
        <v>0.25748155516869697</v>
      </c>
      <c r="D33948" s="2">
        <v>0.46808510638297801</v>
      </c>
      <c r="E33948" s="2">
        <v>0.46280991735537103</v>
      </c>
      <c r="F33948" s="2">
        <v>0.28050849541419698</v>
      </c>
    </row>
    <row r="33949" spans="1:6" x14ac:dyDescent="0.25">
      <c r="A33949" s="1" t="str">
        <f t="shared" si="1216"/>
        <v>43700</v>
      </c>
      <c r="B33949" s="1" t="str">
        <f>"42519"</f>
        <v>42519</v>
      </c>
      <c r="C33949" s="2">
        <v>8.8977313548315701E-2</v>
      </c>
      <c r="D33949" s="2">
        <v>3.3979040965385801E-2</v>
      </c>
      <c r="E33949" s="2">
        <v>1.2772351615326799E-2</v>
      </c>
      <c r="F33949" s="2">
        <v>8.2224790380879695E-2</v>
      </c>
    </row>
    <row r="33950" spans="1:6" x14ac:dyDescent="0.25">
      <c r="A33950" s="1" t="str">
        <f t="shared" si="1216"/>
        <v>43700</v>
      </c>
      <c r="B33950" s="1" t="str">
        <f>"42544"</f>
        <v>42544</v>
      </c>
      <c r="C33950" s="2">
        <v>7.2397689905772403E-2</v>
      </c>
      <c r="D33950" s="2">
        <v>2.15941568751984E-2</v>
      </c>
      <c r="E33950" s="2">
        <v>5.0338091660405697E-2</v>
      </c>
      <c r="F33950" s="2">
        <v>6.7742014802429307E-2</v>
      </c>
    </row>
    <row r="33951" spans="1:6" x14ac:dyDescent="0.25">
      <c r="A33951" s="1" t="str">
        <f t="shared" si="1216"/>
        <v>43700</v>
      </c>
      <c r="B33951" s="1" t="str">
        <f>"42567"</f>
        <v>42567</v>
      </c>
      <c r="C33951" s="2">
        <v>7.3033242145403202E-2</v>
      </c>
      <c r="D33951" s="2">
        <v>2.60400127024452E-2</v>
      </c>
      <c r="E33951" s="2">
        <v>4.0570999248685097E-2</v>
      </c>
      <c r="F33951" s="2">
        <v>6.8332144876933204E-2</v>
      </c>
    </row>
    <row r="33952" spans="1:6" x14ac:dyDescent="0.25">
      <c r="A33952" s="1" t="str">
        <f t="shared" si="1216"/>
        <v>43700</v>
      </c>
      <c r="B33952" s="1" t="str">
        <f>"42558"</f>
        <v>42558</v>
      </c>
      <c r="C33952" s="2">
        <v>9.0358948851861007E-3</v>
      </c>
      <c r="D33952" s="2">
        <v>1.5878056525881199E-3</v>
      </c>
      <c r="E33952" s="2">
        <v>2.2539444027047302E-3</v>
      </c>
      <c r="F33952" s="2">
        <v>8.2372322899505693E-3</v>
      </c>
    </row>
    <row r="33953" spans="1:6" x14ac:dyDescent="0.25">
      <c r="A33953" s="1" t="str">
        <f t="shared" si="1216"/>
        <v>43700</v>
      </c>
      <c r="B33953" s="1" t="str">
        <f>"40409"</f>
        <v>40409</v>
      </c>
      <c r="C33953" s="2">
        <v>2.2106164856724401E-4</v>
      </c>
      <c r="D33953" s="2">
        <v>0</v>
      </c>
      <c r="E33953" s="2">
        <v>1.50262960180315E-3</v>
      </c>
      <c r="F33953" s="2">
        <v>2.4588753104330002E-4</v>
      </c>
    </row>
    <row r="33954" spans="1:6" x14ac:dyDescent="0.25">
      <c r="A33954" s="1" t="str">
        <f t="shared" si="1216"/>
        <v>43700</v>
      </c>
      <c r="B33954" s="1" t="str">
        <f>"40419"</f>
        <v>40419</v>
      </c>
      <c r="C33954" s="2">
        <v>3.2606593163668502E-3</v>
      </c>
      <c r="D33954" s="2">
        <v>3.17561130517624E-4</v>
      </c>
      <c r="E33954" s="2">
        <v>0</v>
      </c>
      <c r="F33954" s="2">
        <v>2.9260616194152701E-3</v>
      </c>
    </row>
    <row r="33955" spans="1:6" x14ac:dyDescent="0.25">
      <c r="A33955" s="1" t="str">
        <f t="shared" si="1216"/>
        <v>43700</v>
      </c>
      <c r="B33955" s="1" t="str">
        <f>"42503"</f>
        <v>42503</v>
      </c>
      <c r="C33955" s="2">
        <v>0.32565144104562099</v>
      </c>
      <c r="D33955" s="2">
        <v>0.26230549380755702</v>
      </c>
      <c r="E33955" s="2">
        <v>0.34259954921111901</v>
      </c>
      <c r="F33955" s="2">
        <v>0.32130123681428102</v>
      </c>
    </row>
    <row r="33956" spans="1:6" x14ac:dyDescent="0.25">
      <c r="A33956" s="1" t="str">
        <f t="shared" si="1216"/>
        <v>43700</v>
      </c>
      <c r="B33956" s="1" t="str">
        <f>"42553"</f>
        <v>42553</v>
      </c>
      <c r="C33956" s="2">
        <v>6.4688164911989796E-2</v>
      </c>
      <c r="D33956" s="2">
        <v>1.81009844395046E-2</v>
      </c>
      <c r="E33956" s="2">
        <v>4.1322314049586702E-2</v>
      </c>
      <c r="F33956" s="2">
        <v>6.0316211364921601E-2</v>
      </c>
    </row>
    <row r="33957" spans="1:6" x14ac:dyDescent="0.25">
      <c r="A33957" s="1" t="str">
        <f t="shared" si="1216"/>
        <v>43700</v>
      </c>
      <c r="B33957" s="1" t="str">
        <f>"42533"</f>
        <v>42533</v>
      </c>
      <c r="C33957" s="2">
        <v>1.07767553676531E-2</v>
      </c>
      <c r="D33957" s="2">
        <v>2.85805017465862E-3</v>
      </c>
      <c r="E33957" s="2">
        <v>5.2592036063110401E-3</v>
      </c>
      <c r="F33957" s="2">
        <v>9.9830337603580097E-3</v>
      </c>
    </row>
    <row r="33958" spans="1:6" x14ac:dyDescent="0.25">
      <c r="A33958" s="1" t="str">
        <f t="shared" ref="A33958:A34003" si="1217">"43740"</f>
        <v>43740</v>
      </c>
      <c r="B33958" s="1" t="str">
        <f>"15546"</f>
        <v>15546</v>
      </c>
      <c r="C33958" s="2">
        <v>5.1654701453335604E-3</v>
      </c>
      <c r="D33958" s="2">
        <v>2.5631636763090398E-3</v>
      </c>
      <c r="E33958" s="2">
        <v>2.8517110266159601E-3</v>
      </c>
      <c r="F33958" s="2">
        <v>4.9147152356172298E-3</v>
      </c>
    </row>
    <row r="33959" spans="1:6" x14ac:dyDescent="0.25">
      <c r="A33959" s="1" t="str">
        <f t="shared" si="1217"/>
        <v>43740</v>
      </c>
      <c r="B33959" s="1" t="str">
        <f>"15924"</f>
        <v>15924</v>
      </c>
      <c r="C33959" s="2">
        <v>1.0797875445047501E-2</v>
      </c>
      <c r="D33959" s="2">
        <v>6.9571585499816901E-3</v>
      </c>
      <c r="E33959" s="2">
        <v>1.9011406844106401E-3</v>
      </c>
      <c r="F33959" s="2">
        <v>1.02762227653814E-2</v>
      </c>
    </row>
    <row r="33960" spans="1:6" x14ac:dyDescent="0.25">
      <c r="A33960" s="1" t="str">
        <f t="shared" si="1217"/>
        <v>43740</v>
      </c>
      <c r="B33960" s="1" t="str">
        <f>"15532"</f>
        <v>15532</v>
      </c>
      <c r="C33960" s="2">
        <v>0</v>
      </c>
      <c r="D33960" s="2">
        <v>3.6616623947271999E-4</v>
      </c>
      <c r="E33960" s="2">
        <v>0</v>
      </c>
      <c r="F33960" s="2">
        <v>2.6281899655707101E-5</v>
      </c>
    </row>
    <row r="33961" spans="1:6" x14ac:dyDescent="0.25">
      <c r="A33961" s="1" t="str">
        <f t="shared" si="1217"/>
        <v>43740</v>
      </c>
      <c r="B33961" s="1" t="str">
        <f>"15559"</f>
        <v>15559</v>
      </c>
      <c r="C33961" s="2">
        <v>2.6265102433899401E-4</v>
      </c>
      <c r="D33961" s="2">
        <v>3.6616623947271999E-4</v>
      </c>
      <c r="E33961" s="2">
        <v>0</v>
      </c>
      <c r="F33961" s="2">
        <v>2.6281899655707103E-4</v>
      </c>
    </row>
    <row r="33962" spans="1:6" x14ac:dyDescent="0.25">
      <c r="A33962" s="1" t="str">
        <f t="shared" si="1217"/>
        <v>43740</v>
      </c>
      <c r="B33962" s="1" t="str">
        <f>"15548"</f>
        <v>15548</v>
      </c>
      <c r="C33962" s="2">
        <v>5.8366894297554397E-4</v>
      </c>
      <c r="D33962" s="2">
        <v>7.3233247894544096E-4</v>
      </c>
      <c r="E33962" s="2">
        <v>0</v>
      </c>
      <c r="F33962" s="2">
        <v>5.7820179242555603E-4</v>
      </c>
    </row>
    <row r="33963" spans="1:6" x14ac:dyDescent="0.25">
      <c r="A33963" s="1" t="str">
        <f t="shared" si="1217"/>
        <v>43740</v>
      </c>
      <c r="B33963" s="1" t="str">
        <f>"15534"</f>
        <v>15534</v>
      </c>
      <c r="C33963" s="2">
        <v>1.4591723574388599E-4</v>
      </c>
      <c r="D33963" s="2">
        <v>3.6616623947271999E-4</v>
      </c>
      <c r="E33963" s="2">
        <v>0</v>
      </c>
      <c r="F33963" s="2">
        <v>1.5769139793424199E-4</v>
      </c>
    </row>
    <row r="33964" spans="1:6" x14ac:dyDescent="0.25">
      <c r="A33964" s="1" t="str">
        <f t="shared" si="1217"/>
        <v>43740</v>
      </c>
      <c r="B33964" s="1" t="str">
        <f>"15541"</f>
        <v>15541</v>
      </c>
      <c r="C33964" s="2">
        <v>4.9728593941516297E-2</v>
      </c>
      <c r="D33964" s="2">
        <v>2.1603808128890501E-2</v>
      </c>
      <c r="E33964" s="2">
        <v>7.6045627376425803E-3</v>
      </c>
      <c r="F33964" s="2">
        <v>4.65452442902572E-2</v>
      </c>
    </row>
    <row r="33965" spans="1:6" x14ac:dyDescent="0.25">
      <c r="A33965" s="1" t="str">
        <f t="shared" si="1217"/>
        <v>43740</v>
      </c>
      <c r="B33965" s="1" t="str">
        <f>"15542"</f>
        <v>15542</v>
      </c>
      <c r="C33965" s="2">
        <v>1.28115332983131E-2</v>
      </c>
      <c r="D33965" s="2">
        <v>6.5909923105089696E-3</v>
      </c>
      <c r="E33965" s="2">
        <v>0.10836501901140599</v>
      </c>
      <c r="F33965" s="2">
        <v>1.50069647034087E-2</v>
      </c>
    </row>
    <row r="33966" spans="1:6" x14ac:dyDescent="0.25">
      <c r="A33966" s="1" t="str">
        <f t="shared" si="1217"/>
        <v>43740</v>
      </c>
      <c r="B33966" s="1" t="str">
        <f>"15540"</f>
        <v>15540</v>
      </c>
      <c r="C33966" s="2">
        <v>5.1654701453335604E-3</v>
      </c>
      <c r="D33966" s="2">
        <v>2.9293299157817599E-3</v>
      </c>
      <c r="E33966" s="2">
        <v>0</v>
      </c>
      <c r="F33966" s="2">
        <v>4.8621514363058104E-3</v>
      </c>
    </row>
    <row r="33967" spans="1:6" x14ac:dyDescent="0.25">
      <c r="A33967" s="1" t="str">
        <f t="shared" si="1217"/>
        <v>43740</v>
      </c>
      <c r="B33967" s="1" t="str">
        <f>"15557"</f>
        <v>15557</v>
      </c>
      <c r="C33967" s="2">
        <v>5.6236502655693597E-2</v>
      </c>
      <c r="D33967" s="2">
        <v>4.5038447455144598E-2</v>
      </c>
      <c r="E33967" s="2">
        <v>2.3764258555132999E-2</v>
      </c>
      <c r="F33967" s="2">
        <v>5.4534941785592199E-2</v>
      </c>
    </row>
    <row r="33968" spans="1:6" x14ac:dyDescent="0.25">
      <c r="A33968" s="1" t="str">
        <f t="shared" si="1217"/>
        <v>43740</v>
      </c>
      <c r="B33968" s="1" t="str">
        <f>"15552"</f>
        <v>15552</v>
      </c>
      <c r="C33968" s="2">
        <v>8.4427712601412394E-2</v>
      </c>
      <c r="D33968" s="2">
        <v>8.4584401318198402E-2</v>
      </c>
      <c r="E33968" s="2">
        <v>6.5589353612167306E-2</v>
      </c>
      <c r="F33968" s="2">
        <v>8.3918105600672796E-2</v>
      </c>
    </row>
    <row r="33969" spans="1:6" x14ac:dyDescent="0.25">
      <c r="A33969" s="1" t="str">
        <f t="shared" si="1217"/>
        <v>43740</v>
      </c>
      <c r="B33969" s="1" t="str">
        <f>"15538"</f>
        <v>15538</v>
      </c>
      <c r="C33969" s="2">
        <v>1.1177260257981599E-2</v>
      </c>
      <c r="D33969" s="2">
        <v>6.2248260710362499E-3</v>
      </c>
      <c r="E33969" s="2">
        <v>1.9011406844106401E-3</v>
      </c>
      <c r="F33969" s="2">
        <v>1.0565323661594199E-2</v>
      </c>
    </row>
    <row r="33970" spans="1:6" x14ac:dyDescent="0.25">
      <c r="A33970" s="1" t="str">
        <f t="shared" si="1217"/>
        <v>43740</v>
      </c>
      <c r="B33970" s="1" t="str">
        <f>"15424"</f>
        <v>15424</v>
      </c>
      <c r="C33970" s="2">
        <v>3.2481176676589001E-2</v>
      </c>
      <c r="D33970" s="2">
        <v>3.4053460270963003E-2</v>
      </c>
      <c r="E33970" s="2">
        <v>1.42585551330798E-2</v>
      </c>
      <c r="F33970" s="2">
        <v>3.2090199479618303E-2</v>
      </c>
    </row>
    <row r="33971" spans="1:6" x14ac:dyDescent="0.25">
      <c r="A33971" s="1" t="str">
        <f t="shared" si="1217"/>
        <v>43740</v>
      </c>
      <c r="B33971" s="1" t="str">
        <f>"15926"</f>
        <v>15926</v>
      </c>
      <c r="C33971" s="2">
        <v>4.4563123796182803E-2</v>
      </c>
      <c r="D33971" s="2">
        <v>3.2954961552544799E-2</v>
      </c>
      <c r="E33971" s="2">
        <v>1.42585551330798E-2</v>
      </c>
      <c r="F33971" s="2">
        <v>4.2892060238114003E-2</v>
      </c>
    </row>
    <row r="33972" spans="1:6" x14ac:dyDescent="0.25">
      <c r="A33972" s="1" t="str">
        <f t="shared" si="1217"/>
        <v>43740</v>
      </c>
      <c r="B33972" s="1" t="str">
        <f>"15936"</f>
        <v>15936</v>
      </c>
      <c r="C33972" s="2">
        <v>1.5846611801785999E-2</v>
      </c>
      <c r="D33972" s="2">
        <v>6.2248260710362499E-3</v>
      </c>
      <c r="E33972" s="2">
        <v>1.42585551330798E-2</v>
      </c>
      <c r="F33972" s="2">
        <v>1.5112092302031499E-2</v>
      </c>
    </row>
    <row r="33973" spans="1:6" x14ac:dyDescent="0.25">
      <c r="A33973" s="1" t="str">
        <f t="shared" si="1217"/>
        <v>43740</v>
      </c>
      <c r="B33973" s="1" t="str">
        <f>"15544"</f>
        <v>15544</v>
      </c>
      <c r="C33973" s="2">
        <v>0</v>
      </c>
      <c r="D33973" s="2">
        <v>3.6616623947271999E-4</v>
      </c>
      <c r="E33973" s="2">
        <v>0</v>
      </c>
      <c r="F33973" s="2">
        <v>2.6281899655707101E-5</v>
      </c>
    </row>
    <row r="33974" spans="1:6" x14ac:dyDescent="0.25">
      <c r="A33974" s="1" t="str">
        <f t="shared" si="1217"/>
        <v>43740</v>
      </c>
      <c r="B33974" s="1" t="str">
        <f>"15904"</f>
        <v>15904</v>
      </c>
      <c r="C33974" s="2">
        <v>2.9183447148777201E-5</v>
      </c>
      <c r="D33974" s="2">
        <v>0</v>
      </c>
      <c r="E33974" s="2">
        <v>0</v>
      </c>
      <c r="F33974" s="2">
        <v>2.6281899655707101E-5</v>
      </c>
    </row>
    <row r="33975" spans="1:6" x14ac:dyDescent="0.25">
      <c r="A33975" s="1" t="str">
        <f t="shared" si="1217"/>
        <v>43740</v>
      </c>
      <c r="B33975" s="1" t="str">
        <f>"15510"</f>
        <v>15510</v>
      </c>
      <c r="C33975" s="2">
        <v>0</v>
      </c>
      <c r="D33975" s="2">
        <v>7.3233247894544096E-4</v>
      </c>
      <c r="E33975" s="2">
        <v>0</v>
      </c>
      <c r="F33975" s="2">
        <v>5.2563799311414201E-5</v>
      </c>
    </row>
    <row r="33976" spans="1:6" x14ac:dyDescent="0.25">
      <c r="A33976" s="1" t="str">
        <f t="shared" si="1217"/>
        <v>43740</v>
      </c>
      <c r="B33976" s="1" t="str">
        <f>"15953"</f>
        <v>15953</v>
      </c>
      <c r="C33976" s="2">
        <v>1.6342730403315199E-3</v>
      </c>
      <c r="D33976" s="2">
        <v>0</v>
      </c>
      <c r="E33976" s="2">
        <v>9.5057034220532297E-4</v>
      </c>
      <c r="F33976" s="2">
        <v>1.4980682803753E-3</v>
      </c>
    </row>
    <row r="33977" spans="1:6" x14ac:dyDescent="0.25">
      <c r="A33977" s="1" t="str">
        <f t="shared" si="1217"/>
        <v>43740</v>
      </c>
      <c r="B33977" s="1" t="str">
        <f>"15561"</f>
        <v>15561</v>
      </c>
      <c r="C33977" s="2">
        <v>0</v>
      </c>
      <c r="D33977" s="2">
        <v>3.6616623947271999E-4</v>
      </c>
      <c r="E33977" s="2">
        <v>4.7528517110266098E-3</v>
      </c>
      <c r="F33977" s="2">
        <v>1.5769139793424199E-4</v>
      </c>
    </row>
    <row r="33978" spans="1:6" x14ac:dyDescent="0.25">
      <c r="A33978" s="1" t="str">
        <f t="shared" si="1217"/>
        <v>43740</v>
      </c>
      <c r="B33978" s="1" t="str">
        <f>"15520"</f>
        <v>15520</v>
      </c>
      <c r="C33978" s="2">
        <v>0</v>
      </c>
      <c r="D33978" s="2">
        <v>3.6616623947271999E-4</v>
      </c>
      <c r="E33978" s="2">
        <v>9.5057034220532297E-4</v>
      </c>
      <c r="F33978" s="2">
        <v>5.2563799311414201E-5</v>
      </c>
    </row>
    <row r="33979" spans="1:6" x14ac:dyDescent="0.25">
      <c r="A33979" s="1" t="str">
        <f t="shared" si="1217"/>
        <v>43740</v>
      </c>
      <c r="B33979" s="1" t="str">
        <f>"15530"</f>
        <v>15530</v>
      </c>
      <c r="C33979" s="2">
        <v>6.7851514620906994E-2</v>
      </c>
      <c r="D33979" s="2">
        <v>4.76016111314536E-2</v>
      </c>
      <c r="E33979" s="2">
        <v>4.1825095057034203E-2</v>
      </c>
      <c r="F33979" s="2">
        <v>6.5678467239612001E-2</v>
      </c>
    </row>
    <row r="33980" spans="1:6" x14ac:dyDescent="0.25">
      <c r="A33980" s="1" t="str">
        <f t="shared" si="1217"/>
        <v>43740</v>
      </c>
      <c r="B33980" s="1" t="str">
        <f>"15545"</f>
        <v>15545</v>
      </c>
      <c r="C33980" s="2">
        <v>7.8503472830210707E-3</v>
      </c>
      <c r="D33980" s="2">
        <v>2.1969974368363202E-3</v>
      </c>
      <c r="E33980" s="2">
        <v>0</v>
      </c>
      <c r="F33980" s="2">
        <v>7.22752240531945E-3</v>
      </c>
    </row>
    <row r="33981" spans="1:6" x14ac:dyDescent="0.25">
      <c r="A33981" s="1" t="str">
        <f t="shared" si="1217"/>
        <v>43740</v>
      </c>
      <c r="B33981" s="1" t="str">
        <f>"15411"</f>
        <v>15411</v>
      </c>
      <c r="C33981" s="2">
        <v>1.2344598143932701E-2</v>
      </c>
      <c r="D33981" s="2">
        <v>5.1263273526180797E-3</v>
      </c>
      <c r="E33981" s="2">
        <v>1.9011406844106401E-3</v>
      </c>
      <c r="F33981" s="2">
        <v>1.15377539488554E-2</v>
      </c>
    </row>
    <row r="33982" spans="1:6" x14ac:dyDescent="0.25">
      <c r="A33982" s="1" t="str">
        <f t="shared" si="1217"/>
        <v>43740</v>
      </c>
      <c r="B33982" s="1" t="str">
        <f>"15501"</f>
        <v>15501</v>
      </c>
      <c r="C33982" s="2">
        <v>0.23107453452401699</v>
      </c>
      <c r="D33982" s="2">
        <v>0.44928597583302798</v>
      </c>
      <c r="E33982" s="2">
        <v>0.39258555133079798</v>
      </c>
      <c r="F33982" s="2">
        <v>0.251202396909248</v>
      </c>
    </row>
    <row r="33983" spans="1:6" x14ac:dyDescent="0.25">
      <c r="A33983" s="1" t="str">
        <f t="shared" si="1217"/>
        <v>43740</v>
      </c>
      <c r="B33983" s="1" t="str">
        <f>"15563"</f>
        <v>15563</v>
      </c>
      <c r="C33983" s="2">
        <v>4.4125372088951099E-2</v>
      </c>
      <c r="D33983" s="2">
        <v>3.3321127792017499E-2</v>
      </c>
      <c r="E33983" s="2">
        <v>4.7528517110266098E-3</v>
      </c>
      <c r="F33983" s="2">
        <v>4.2261294646376998E-2</v>
      </c>
    </row>
    <row r="33984" spans="1:6" x14ac:dyDescent="0.25">
      <c r="A33984" s="1" t="str">
        <f t="shared" si="1217"/>
        <v>43740</v>
      </c>
      <c r="B33984" s="1" t="str">
        <f>"15622"</f>
        <v>15622</v>
      </c>
      <c r="C33984" s="2">
        <v>9.6889044533940306E-3</v>
      </c>
      <c r="D33984" s="2">
        <v>6.9571585499816901E-3</v>
      </c>
      <c r="E33984" s="2">
        <v>1.33079847908745E-2</v>
      </c>
      <c r="F33984" s="2">
        <v>9.5928933743330905E-3</v>
      </c>
    </row>
    <row r="33985" spans="1:6" x14ac:dyDescent="0.25">
      <c r="A33985" s="1" t="str">
        <f t="shared" si="1217"/>
        <v>43740</v>
      </c>
      <c r="B33985" s="1" t="str">
        <f>"15928"</f>
        <v>15928</v>
      </c>
      <c r="C33985" s="2">
        <v>2.16541177843926E-2</v>
      </c>
      <c r="D33985" s="2">
        <v>8.4218235078725705E-3</v>
      </c>
      <c r="E33985" s="2">
        <v>3.8022813688212899E-2</v>
      </c>
      <c r="F33985" s="2">
        <v>2.1156929222844199E-2</v>
      </c>
    </row>
    <row r="33986" spans="1:6" x14ac:dyDescent="0.25">
      <c r="A33986" s="1" t="str">
        <f t="shared" si="1217"/>
        <v>43740</v>
      </c>
      <c r="B33986" s="1" t="str">
        <f>"15553"</f>
        <v>15553</v>
      </c>
      <c r="C33986" s="2">
        <v>0</v>
      </c>
      <c r="D33986" s="2">
        <v>3.6616623947271999E-4</v>
      </c>
      <c r="E33986" s="2">
        <v>0</v>
      </c>
      <c r="F33986" s="2">
        <v>2.6281899655707101E-5</v>
      </c>
    </row>
    <row r="33987" spans="1:6" x14ac:dyDescent="0.25">
      <c r="A33987" s="1" t="str">
        <f t="shared" si="1217"/>
        <v>43740</v>
      </c>
      <c r="B33987" s="1" t="str">
        <f>"15565"</f>
        <v>15565</v>
      </c>
      <c r="C33987" s="2">
        <v>6.1285239012432097E-4</v>
      </c>
      <c r="D33987" s="2">
        <v>1.46466495789088E-3</v>
      </c>
      <c r="E33987" s="2">
        <v>9.5057034220532297E-4</v>
      </c>
      <c r="F33987" s="2">
        <v>6.8332939104838398E-4</v>
      </c>
    </row>
    <row r="33988" spans="1:6" x14ac:dyDescent="0.25">
      <c r="A33988" s="1" t="str">
        <f t="shared" si="1217"/>
        <v>43740</v>
      </c>
      <c r="B33988" s="1" t="str">
        <f>"15560"</f>
        <v>15560</v>
      </c>
      <c r="C33988" s="2">
        <v>0</v>
      </c>
      <c r="D33988" s="2">
        <v>3.6616623947271999E-4</v>
      </c>
      <c r="E33988" s="2">
        <v>1.9011406844106401E-3</v>
      </c>
      <c r="F33988" s="2">
        <v>7.8845698967121305E-5</v>
      </c>
    </row>
    <row r="33989" spans="1:6" x14ac:dyDescent="0.25">
      <c r="A33989" s="1" t="str">
        <f t="shared" si="1217"/>
        <v>43740</v>
      </c>
      <c r="B33989" s="1" t="str">
        <f>"15549"</f>
        <v>15549</v>
      </c>
      <c r="C33989" s="2">
        <v>0</v>
      </c>
      <c r="D33989" s="2">
        <v>3.6616623947271999E-4</v>
      </c>
      <c r="E33989" s="2">
        <v>9.5057034220532297E-4</v>
      </c>
      <c r="F33989" s="2">
        <v>5.2563799311414201E-5</v>
      </c>
    </row>
    <row r="33990" spans="1:6" x14ac:dyDescent="0.25">
      <c r="A33990" s="1" t="str">
        <f t="shared" si="1217"/>
        <v>43740</v>
      </c>
      <c r="B33990" s="1" t="str">
        <f>"15564"</f>
        <v>15564</v>
      </c>
      <c r="C33990" s="2">
        <v>1.7510068289266301E-3</v>
      </c>
      <c r="D33990" s="2">
        <v>7.3233247894544096E-4</v>
      </c>
      <c r="E33990" s="2">
        <v>1.9011406844106401E-3</v>
      </c>
      <c r="F33990" s="2">
        <v>1.6820415779652501E-3</v>
      </c>
    </row>
    <row r="33991" spans="1:6" x14ac:dyDescent="0.25">
      <c r="A33991" s="1" t="str">
        <f t="shared" si="1217"/>
        <v>43740</v>
      </c>
      <c r="B33991" s="1" t="str">
        <f>"15905"</f>
        <v>15905</v>
      </c>
      <c r="C33991" s="2">
        <v>3.2802194595225501E-2</v>
      </c>
      <c r="D33991" s="2">
        <v>2.0139143170999602E-2</v>
      </c>
      <c r="E33991" s="2">
        <v>1.9011406844106401E-2</v>
      </c>
      <c r="F33991" s="2">
        <v>3.1511997687192803E-2</v>
      </c>
    </row>
    <row r="33992" spans="1:6" x14ac:dyDescent="0.25">
      <c r="A33992" s="1" t="str">
        <f t="shared" si="1217"/>
        <v>43740</v>
      </c>
      <c r="B33992" s="1" t="str">
        <f>"15935"</f>
        <v>15935</v>
      </c>
      <c r="C33992" s="2">
        <v>3.1255471896340301E-2</v>
      </c>
      <c r="D33992" s="2">
        <v>1.20834859025997E-2</v>
      </c>
      <c r="E33992" s="2">
        <v>0.124524714828897</v>
      </c>
      <c r="F33992" s="2">
        <v>3.2458146074798203E-2</v>
      </c>
    </row>
    <row r="33993" spans="1:6" x14ac:dyDescent="0.25">
      <c r="A33993" s="1" t="str">
        <f t="shared" si="1217"/>
        <v>43740</v>
      </c>
      <c r="B33993" s="1" t="str">
        <f>"15551"</f>
        <v>15551</v>
      </c>
      <c r="C33993" s="2">
        <v>1.0506040973559699E-2</v>
      </c>
      <c r="D33993" s="2">
        <v>4.76016111314536E-3</v>
      </c>
      <c r="E33993" s="2">
        <v>0</v>
      </c>
      <c r="F33993" s="2">
        <v>9.8031485715787507E-3</v>
      </c>
    </row>
    <row r="33994" spans="1:6" x14ac:dyDescent="0.25">
      <c r="A33994" s="1" t="str">
        <f t="shared" si="1217"/>
        <v>43740</v>
      </c>
      <c r="B33994" s="1" t="str">
        <f>"15558"</f>
        <v>15558</v>
      </c>
      <c r="C33994" s="2">
        <v>1.61384462732737E-2</v>
      </c>
      <c r="D33994" s="2">
        <v>8.05565726839985E-3</v>
      </c>
      <c r="E33994" s="2">
        <v>9.5057034220532297E-4</v>
      </c>
      <c r="F33994" s="2">
        <v>1.51383742016872E-2</v>
      </c>
    </row>
    <row r="33995" spans="1:6" x14ac:dyDescent="0.25">
      <c r="A33995" s="1" t="str">
        <f t="shared" si="1217"/>
        <v>43740</v>
      </c>
      <c r="B33995" s="1" t="str">
        <f>"15963"</f>
        <v>15963</v>
      </c>
      <c r="C33995" s="2">
        <v>0.12111130566742501</v>
      </c>
      <c r="D33995" s="2">
        <v>9.8132552178689103E-2</v>
      </c>
      <c r="E33995" s="2">
        <v>6.0836501901140601E-2</v>
      </c>
      <c r="F33995" s="2">
        <v>0.117795474256879</v>
      </c>
    </row>
    <row r="33996" spans="1:6" x14ac:dyDescent="0.25">
      <c r="A33996" s="1" t="str">
        <f t="shared" si="1217"/>
        <v>43740</v>
      </c>
      <c r="B33996" s="1" t="str">
        <f>"15562"</f>
        <v>15562</v>
      </c>
      <c r="C33996" s="2">
        <v>1.4008054631413E-3</v>
      </c>
      <c r="D33996" s="2">
        <v>2.9293299157817599E-3</v>
      </c>
      <c r="E33996" s="2">
        <v>9.5057034220532297E-4</v>
      </c>
      <c r="F33996" s="2">
        <v>1.4980682803753E-3</v>
      </c>
    </row>
    <row r="33997" spans="1:6" x14ac:dyDescent="0.25">
      <c r="A33997" s="1" t="str">
        <f t="shared" si="1217"/>
        <v>43740</v>
      </c>
      <c r="B33997" s="1" t="str">
        <f>"15555"</f>
        <v>15555</v>
      </c>
      <c r="C33997" s="2">
        <v>1.8385571703729601E-3</v>
      </c>
      <c r="D33997" s="2">
        <v>0</v>
      </c>
      <c r="E33997" s="2">
        <v>0</v>
      </c>
      <c r="F33997" s="2">
        <v>1.65575967830954E-3</v>
      </c>
    </row>
    <row r="33998" spans="1:6" x14ac:dyDescent="0.25">
      <c r="A33998" s="1" t="str">
        <f t="shared" si="1217"/>
        <v>43740</v>
      </c>
      <c r="B33998" s="1" t="str">
        <f>"15550"</f>
        <v>15550</v>
      </c>
      <c r="C33998" s="2">
        <v>1.1673378859510801E-4</v>
      </c>
      <c r="D33998" s="2">
        <v>0</v>
      </c>
      <c r="E33998" s="2">
        <v>0</v>
      </c>
      <c r="F33998" s="2">
        <v>1.05127598622828E-4</v>
      </c>
    </row>
    <row r="33999" spans="1:6" x14ac:dyDescent="0.25">
      <c r="A33999" s="1" t="str">
        <f t="shared" si="1217"/>
        <v>43740</v>
      </c>
      <c r="B33999" s="1" t="str">
        <f>"15531"</f>
        <v>15531</v>
      </c>
      <c r="C33999" s="2">
        <v>5.68201715986692E-2</v>
      </c>
      <c r="D33999" s="2">
        <v>4.3573782497253702E-2</v>
      </c>
      <c r="E33999" s="2">
        <v>1.9961977186311701E-2</v>
      </c>
      <c r="F33999" s="2">
        <v>5.4850324581460698E-2</v>
      </c>
    </row>
    <row r="34000" spans="1:6" x14ac:dyDescent="0.25">
      <c r="A34000" s="1" t="str">
        <f t="shared" si="1217"/>
        <v>43740</v>
      </c>
      <c r="B34000" s="1" t="str">
        <f>"15502"</f>
        <v>15502</v>
      </c>
      <c r="C34000" s="2">
        <v>0</v>
      </c>
      <c r="D34000" s="2">
        <v>0</v>
      </c>
      <c r="E34000" s="2">
        <v>2.8517110266159601E-3</v>
      </c>
      <c r="F34000" s="2">
        <v>7.8845698967121305E-5</v>
      </c>
    </row>
    <row r="34001" spans="1:6" x14ac:dyDescent="0.25">
      <c r="A34001" s="1" t="str">
        <f t="shared" si="1217"/>
        <v>43740</v>
      </c>
      <c r="B34001" s="1" t="str">
        <f>"15485"</f>
        <v>15485</v>
      </c>
      <c r="C34001" s="2">
        <v>0</v>
      </c>
      <c r="D34001" s="2">
        <v>0</v>
      </c>
      <c r="E34001" s="2">
        <v>9.5057034220532297E-4</v>
      </c>
      <c r="F34001" s="2">
        <v>2.6281899655707101E-5</v>
      </c>
    </row>
    <row r="34002" spans="1:6" x14ac:dyDescent="0.25">
      <c r="A34002" s="1" t="str">
        <f t="shared" si="1217"/>
        <v>43740</v>
      </c>
      <c r="B34002" s="1" t="str">
        <f>"15547"</f>
        <v>15547</v>
      </c>
      <c r="C34002" s="2">
        <v>0</v>
      </c>
      <c r="D34002" s="2">
        <v>3.6616623947271999E-4</v>
      </c>
      <c r="E34002" s="2">
        <v>8.5551330798479003E-3</v>
      </c>
      <c r="F34002" s="2">
        <v>2.6281899655707103E-4</v>
      </c>
    </row>
    <row r="34003" spans="1:6" x14ac:dyDescent="0.25">
      <c r="A34003" s="1" t="str">
        <f t="shared" si="1217"/>
        <v>43740</v>
      </c>
      <c r="B34003" s="1" t="str">
        <f>"15937"</f>
        <v>15937</v>
      </c>
      <c r="C34003" s="2">
        <v>0</v>
      </c>
      <c r="D34003" s="2">
        <v>3.6616623947271999E-4</v>
      </c>
      <c r="E34003" s="2">
        <v>1.9011406844106401E-3</v>
      </c>
      <c r="F34003" s="2">
        <v>7.8845698967121305E-5</v>
      </c>
    </row>
    <row r="34004" spans="1:6" x14ac:dyDescent="0.25">
      <c r="A34004" s="1" t="str">
        <f t="shared" ref="A34004:A34020" si="1218">"43760"</f>
        <v>43760</v>
      </c>
      <c r="B34004" s="1" t="str">
        <f>"95373"</f>
        <v>95373</v>
      </c>
      <c r="C34004" s="2">
        <v>0</v>
      </c>
      <c r="D34004" s="2">
        <v>0</v>
      </c>
      <c r="E34004" s="2">
        <v>1.0604453870625601E-3</v>
      </c>
      <c r="F34004" s="2">
        <v>2.6896180742334502E-5</v>
      </c>
    </row>
    <row r="34005" spans="1:6" x14ac:dyDescent="0.25">
      <c r="A34005" s="1" t="str">
        <f t="shared" si="1218"/>
        <v>43760</v>
      </c>
      <c r="B34005" s="1" t="str">
        <f>"95329"</f>
        <v>95329</v>
      </c>
      <c r="C34005" s="2">
        <v>2.0303809580766701E-2</v>
      </c>
      <c r="D34005" s="2">
        <v>6.4400715563506204E-3</v>
      </c>
      <c r="E34005" s="2">
        <v>6.36267232237539E-3</v>
      </c>
      <c r="F34005" s="2">
        <v>1.89080150618612E-2</v>
      </c>
    </row>
    <row r="34006" spans="1:6" x14ac:dyDescent="0.25">
      <c r="A34006" s="1" t="str">
        <f t="shared" si="1218"/>
        <v>43760</v>
      </c>
      <c r="B34006" s="1" t="str">
        <f>"95383"</f>
        <v>95383</v>
      </c>
      <c r="C34006" s="2">
        <v>9.9904311943065593E-2</v>
      </c>
      <c r="D34006" s="2">
        <v>5.6529516994633197E-2</v>
      </c>
      <c r="E34006" s="2">
        <v>3.0752916224814401E-2</v>
      </c>
      <c r="F34006" s="2">
        <v>9.4889725658956398E-2</v>
      </c>
    </row>
    <row r="34007" spans="1:6" x14ac:dyDescent="0.25">
      <c r="A34007" s="1" t="str">
        <f t="shared" si="1218"/>
        <v>43760</v>
      </c>
      <c r="B34007" s="1" t="str">
        <f>"95379"</f>
        <v>95379</v>
      </c>
      <c r="C34007" s="2">
        <v>3.6391364152861601E-2</v>
      </c>
      <c r="D34007" s="2">
        <v>1.53846153846153E-2</v>
      </c>
      <c r="E34007" s="2">
        <v>1.0604453870625599E-2</v>
      </c>
      <c r="F34007" s="2">
        <v>3.4158149542764901E-2</v>
      </c>
    </row>
    <row r="34008" spans="1:6" x14ac:dyDescent="0.25">
      <c r="A34008" s="1" t="str">
        <f t="shared" si="1218"/>
        <v>43760</v>
      </c>
      <c r="B34008" s="1" t="str">
        <f>"95321"</f>
        <v>95321</v>
      </c>
      <c r="C34008" s="2">
        <v>0.11016087554572</v>
      </c>
      <c r="D34008" s="2">
        <v>9.1949910554561698E-2</v>
      </c>
      <c r="E34008" s="2">
        <v>2.1208907741251299E-2</v>
      </c>
      <c r="F34008" s="2">
        <v>0.106535771920387</v>
      </c>
    </row>
    <row r="34009" spans="1:6" x14ac:dyDescent="0.25">
      <c r="A34009" s="1" t="str">
        <f t="shared" si="1218"/>
        <v>43760</v>
      </c>
      <c r="B34009" s="1" t="str">
        <f>"95375"</f>
        <v>95375</v>
      </c>
      <c r="C34009" s="2">
        <v>0</v>
      </c>
      <c r="D34009" s="2">
        <v>0</v>
      </c>
      <c r="E34009" s="2">
        <v>1.0604453870625601E-3</v>
      </c>
      <c r="F34009" s="2">
        <v>2.6896180742334502E-5</v>
      </c>
    </row>
    <row r="34010" spans="1:6" x14ac:dyDescent="0.25">
      <c r="A34010" s="1" t="str">
        <f t="shared" si="1218"/>
        <v>43760</v>
      </c>
      <c r="B34010" s="1" t="str">
        <f>"95335"</f>
        <v>95335</v>
      </c>
      <c r="C34010" s="2">
        <v>4.4554751510077102E-3</v>
      </c>
      <c r="D34010" s="2">
        <v>7.1556350626118001E-4</v>
      </c>
      <c r="E34010" s="2">
        <v>1.0604453870625601E-3</v>
      </c>
      <c r="F34010" s="2">
        <v>4.08821947283485E-3</v>
      </c>
    </row>
    <row r="34011" spans="1:6" x14ac:dyDescent="0.25">
      <c r="A34011" s="1" t="str">
        <f t="shared" si="1218"/>
        <v>43760</v>
      </c>
      <c r="B34011" s="1" t="str">
        <f>"95311"</f>
        <v>95311</v>
      </c>
      <c r="C34011" s="2">
        <v>1.85395610310388E-3</v>
      </c>
      <c r="D34011" s="2">
        <v>0</v>
      </c>
      <c r="E34011" s="2">
        <v>0</v>
      </c>
      <c r="F34011" s="2">
        <v>1.66756320602474E-3</v>
      </c>
    </row>
    <row r="34012" spans="1:6" x14ac:dyDescent="0.25">
      <c r="A34012" s="1" t="str">
        <f t="shared" si="1218"/>
        <v>43760</v>
      </c>
      <c r="B34012" s="1" t="str">
        <f>"95372"</f>
        <v>95372</v>
      </c>
      <c r="C34012" s="2">
        <v>5.0116619819388697E-2</v>
      </c>
      <c r="D34012" s="2">
        <v>3.3631484794275399E-2</v>
      </c>
      <c r="E34012" s="2">
        <v>3.1813361611876898E-3</v>
      </c>
      <c r="F34012" s="2">
        <v>4.7686928456159197E-2</v>
      </c>
    </row>
    <row r="34013" spans="1:6" x14ac:dyDescent="0.25">
      <c r="A34013" s="1" t="str">
        <f t="shared" si="1218"/>
        <v>43760</v>
      </c>
      <c r="B34013" s="1" t="str">
        <f>"95327"</f>
        <v>95327</v>
      </c>
      <c r="C34013" s="2">
        <v>0.11943065606124</v>
      </c>
      <c r="D34013" s="2">
        <v>9.9105545617173496E-2</v>
      </c>
      <c r="E34013" s="2">
        <v>0.139978791092258</v>
      </c>
      <c r="F34013" s="2">
        <v>0.118423883808499</v>
      </c>
    </row>
    <row r="34014" spans="1:6" x14ac:dyDescent="0.25">
      <c r="A34014" s="1" t="str">
        <f t="shared" si="1218"/>
        <v>43760</v>
      </c>
      <c r="B34014" s="1" t="str">
        <f>"95370"</f>
        <v>95370</v>
      </c>
      <c r="C34014" s="2">
        <v>0.43550026912265999</v>
      </c>
      <c r="D34014" s="2">
        <v>0.63112701252236103</v>
      </c>
      <c r="E34014" s="2">
        <v>0.74761399787910898</v>
      </c>
      <c r="F34014" s="2">
        <v>0.458122646584185</v>
      </c>
    </row>
    <row r="34015" spans="1:6" x14ac:dyDescent="0.25">
      <c r="A34015" s="1" t="str">
        <f t="shared" si="1218"/>
        <v>43760</v>
      </c>
      <c r="B34015" s="1" t="str">
        <f>"95346"</f>
        <v>95346</v>
      </c>
      <c r="C34015" s="2">
        <v>4.1624304766461298E-2</v>
      </c>
      <c r="D34015" s="2">
        <v>1.9320214669051799E-2</v>
      </c>
      <c r="E34015" s="2">
        <v>6.36267232237539E-3</v>
      </c>
      <c r="F34015" s="2">
        <v>3.9053254437869798E-2</v>
      </c>
    </row>
    <row r="34016" spans="1:6" x14ac:dyDescent="0.25">
      <c r="A34016" s="1" t="str">
        <f t="shared" si="1218"/>
        <v>43760</v>
      </c>
      <c r="B34016" s="1" t="str">
        <f>"95310"</f>
        <v>95310</v>
      </c>
      <c r="C34016" s="2">
        <v>8.0168650200346803E-2</v>
      </c>
      <c r="D34016" s="2">
        <v>4.5080500894454298E-2</v>
      </c>
      <c r="E34016" s="2">
        <v>2.6511134676564099E-2</v>
      </c>
      <c r="F34016" s="2">
        <v>7.6169983862291499E-2</v>
      </c>
    </row>
    <row r="34017" spans="1:6" x14ac:dyDescent="0.25">
      <c r="A34017" s="1" t="str">
        <f t="shared" si="1218"/>
        <v>43760</v>
      </c>
      <c r="B34017" s="1" t="str">
        <f>"95364"</f>
        <v>95364</v>
      </c>
      <c r="C34017" s="2">
        <v>5.9805035583996098E-5</v>
      </c>
      <c r="D34017" s="2">
        <v>7.1556350626118001E-4</v>
      </c>
      <c r="E34017" s="2">
        <v>1.0604453870625601E-3</v>
      </c>
      <c r="F34017" s="2">
        <v>1.3448090371167201E-4</v>
      </c>
    </row>
    <row r="34018" spans="1:6" x14ac:dyDescent="0.25">
      <c r="A34018" s="1" t="str">
        <f t="shared" si="1218"/>
        <v>43760</v>
      </c>
      <c r="B34018" s="1" t="str">
        <f>"95305"</f>
        <v>95305</v>
      </c>
      <c r="C34018" s="2">
        <v>0</v>
      </c>
      <c r="D34018" s="2">
        <v>0</v>
      </c>
      <c r="E34018" s="2">
        <v>1.0604453870625601E-3</v>
      </c>
      <c r="F34018" s="2">
        <v>2.6896180742334502E-5</v>
      </c>
    </row>
    <row r="34019" spans="1:6" x14ac:dyDescent="0.25">
      <c r="A34019" s="1" t="str">
        <f t="shared" si="1218"/>
        <v>43760</v>
      </c>
      <c r="B34019" s="1" t="str">
        <f>"95309"</f>
        <v>95309</v>
      </c>
      <c r="C34019" s="2">
        <v>2.9902517791998002E-5</v>
      </c>
      <c r="D34019" s="2">
        <v>0</v>
      </c>
      <c r="E34019" s="2">
        <v>1.0604453870625601E-3</v>
      </c>
      <c r="F34019" s="2">
        <v>5.3792361484669098E-5</v>
      </c>
    </row>
    <row r="34020" spans="1:6" x14ac:dyDescent="0.25">
      <c r="A34020" s="1" t="str">
        <f t="shared" si="1218"/>
        <v>43760</v>
      </c>
      <c r="B34020" s="1" t="str">
        <f>"95347"</f>
        <v>95347</v>
      </c>
      <c r="C34020" s="2">
        <v>0</v>
      </c>
      <c r="D34020" s="2">
        <v>0</v>
      </c>
      <c r="E34020" s="2">
        <v>1.0604453870625601E-3</v>
      </c>
      <c r="F34020" s="2">
        <v>2.6896180742334502E-5</v>
      </c>
    </row>
    <row r="34021" spans="1:6" x14ac:dyDescent="0.25">
      <c r="A34021" s="1" t="str">
        <f t="shared" ref="A34021:A34066" si="1219">"43780"</f>
        <v>43780</v>
      </c>
      <c r="B34021" s="1" t="str">
        <f>"49095"</f>
        <v>49095</v>
      </c>
      <c r="C34021" s="2">
        <v>9.0032445288969806E-3</v>
      </c>
      <c r="D34021" s="2">
        <v>1.14007752527171E-3</v>
      </c>
      <c r="E34021" s="2">
        <v>5.0242840395243603E-4</v>
      </c>
      <c r="F34021" s="2">
        <v>8.1161921196433694E-3</v>
      </c>
    </row>
    <row r="34022" spans="1:6" x14ac:dyDescent="0.25">
      <c r="A34022" s="1" t="str">
        <f t="shared" si="1219"/>
        <v>43780</v>
      </c>
      <c r="B34022" s="1" t="str">
        <f>"49067"</f>
        <v>49067</v>
      </c>
      <c r="C34022" s="2">
        <v>1.0845257946510501E-2</v>
      </c>
      <c r="D34022" s="2">
        <v>2.5841757239492202E-3</v>
      </c>
      <c r="E34022" s="2">
        <v>3.1820465583654299E-3</v>
      </c>
      <c r="F34022" s="2">
        <v>9.9568593615185497E-3</v>
      </c>
    </row>
    <row r="34023" spans="1:6" x14ac:dyDescent="0.25">
      <c r="A34023" s="1" t="str">
        <f t="shared" si="1219"/>
        <v>43780</v>
      </c>
      <c r="B34023" s="1" t="str">
        <f>"49099"</f>
        <v>49099</v>
      </c>
      <c r="C34023" s="2">
        <v>2.56589237471077E-3</v>
      </c>
      <c r="D34023" s="2">
        <v>7.6005168351447796E-4</v>
      </c>
      <c r="E34023" s="2">
        <v>6.6990453860324905E-4</v>
      </c>
      <c r="F34023" s="2">
        <v>2.3641069887834301E-3</v>
      </c>
    </row>
    <row r="34024" spans="1:6" x14ac:dyDescent="0.25">
      <c r="A34024" s="1" t="str">
        <f t="shared" si="1219"/>
        <v>43780</v>
      </c>
      <c r="B34024" s="1" t="str">
        <f>"46637"</f>
        <v>46637</v>
      </c>
      <c r="C34024" s="2">
        <v>5.4413722676800898E-2</v>
      </c>
      <c r="D34024" s="2">
        <v>3.5570418788477602E-2</v>
      </c>
      <c r="E34024" s="2">
        <v>6.5315692513816706E-2</v>
      </c>
      <c r="F34024" s="2">
        <v>5.3362093758987601E-2</v>
      </c>
    </row>
    <row r="34025" spans="1:6" x14ac:dyDescent="0.25">
      <c r="A34025" s="1" t="str">
        <f t="shared" si="1219"/>
        <v>43780</v>
      </c>
      <c r="B34025" s="1" t="str">
        <f>"49047"</f>
        <v>49047</v>
      </c>
      <c r="C34025" s="2">
        <v>4.4492703041584203E-2</v>
      </c>
      <c r="D34025" s="2">
        <v>3.0554077677282E-2</v>
      </c>
      <c r="E34025" s="2">
        <v>3.1820465583654298E-2</v>
      </c>
      <c r="F34025" s="2">
        <v>4.30025884383088E-2</v>
      </c>
    </row>
    <row r="34026" spans="1:6" x14ac:dyDescent="0.25">
      <c r="A34026" s="1" t="str">
        <f t="shared" si="1219"/>
        <v>43780</v>
      </c>
      <c r="B34026" s="1" t="str">
        <f>"49111"</f>
        <v>49111</v>
      </c>
      <c r="C34026" s="2">
        <v>1.4994635539871499E-3</v>
      </c>
      <c r="D34026" s="2">
        <v>1.5201033670289501E-4</v>
      </c>
      <c r="E34026" s="2">
        <v>6.6990453860324905E-4</v>
      </c>
      <c r="F34026" s="2">
        <v>1.3689962611446601E-3</v>
      </c>
    </row>
    <row r="34027" spans="1:6" x14ac:dyDescent="0.25">
      <c r="A34027" s="1" t="str">
        <f t="shared" si="1219"/>
        <v>43780</v>
      </c>
      <c r="B34027" s="1" t="str">
        <f>"46613"</f>
        <v>46613</v>
      </c>
      <c r="C34027" s="2">
        <v>3.3298432026473201E-2</v>
      </c>
      <c r="D34027" s="2">
        <v>2.99460363304704E-2</v>
      </c>
      <c r="E34027" s="2">
        <v>1.4905375983922199E-2</v>
      </c>
      <c r="F34027" s="2">
        <v>3.2412999712395703E-2</v>
      </c>
    </row>
    <row r="34028" spans="1:6" x14ac:dyDescent="0.25">
      <c r="A34028" s="1" t="str">
        <f t="shared" si="1219"/>
        <v>43780</v>
      </c>
      <c r="B34028" s="1" t="str">
        <f>"46574"</f>
        <v>46574</v>
      </c>
      <c r="C34028" s="2">
        <v>8.07900621760318E-3</v>
      </c>
      <c r="D34028" s="2">
        <v>1.1172759747662801E-2</v>
      </c>
      <c r="E34028" s="2">
        <v>5.6941885781276102E-3</v>
      </c>
      <c r="F34028" s="2">
        <v>8.2312338222605592E-3</v>
      </c>
    </row>
    <row r="34029" spans="1:6" x14ac:dyDescent="0.25">
      <c r="A34029" s="1" t="str">
        <f t="shared" si="1219"/>
        <v>43780</v>
      </c>
      <c r="B34029" s="1" t="str">
        <f>"46634"</f>
        <v>46634</v>
      </c>
      <c r="C34029" s="2">
        <v>5.96553819107819E-3</v>
      </c>
      <c r="D34029" s="2">
        <v>2.27255453370829E-2</v>
      </c>
      <c r="E34029" s="2">
        <v>3.3495226930162398E-4</v>
      </c>
      <c r="F34029" s="2">
        <v>7.0405522001725602E-3</v>
      </c>
    </row>
    <row r="34030" spans="1:6" x14ac:dyDescent="0.25">
      <c r="A34030" s="1" t="str">
        <f t="shared" si="1219"/>
        <v>43780</v>
      </c>
      <c r="B34030" s="1" t="str">
        <f>"46563"</f>
        <v>46563</v>
      </c>
      <c r="C34030" s="2">
        <v>3.8779229844495198E-5</v>
      </c>
      <c r="D34030" s="2">
        <v>0</v>
      </c>
      <c r="E34030" s="2">
        <v>0</v>
      </c>
      <c r="F34030" s="2">
        <v>3.4512510785159602E-5</v>
      </c>
    </row>
    <row r="34031" spans="1:6" x14ac:dyDescent="0.25">
      <c r="A34031" s="1" t="str">
        <f t="shared" si="1219"/>
        <v>43780</v>
      </c>
      <c r="B34031" s="1" t="str">
        <f>"46626"</f>
        <v>46626</v>
      </c>
      <c r="C34031" s="2">
        <v>0</v>
      </c>
      <c r="D34031" s="2">
        <v>7.6005168351447801E-5</v>
      </c>
      <c r="E34031" s="2">
        <v>0</v>
      </c>
      <c r="F34031" s="2">
        <v>5.7520851308599303E-6</v>
      </c>
    </row>
    <row r="34032" spans="1:6" x14ac:dyDescent="0.25">
      <c r="A34032" s="1" t="str">
        <f t="shared" si="1219"/>
        <v>43780</v>
      </c>
      <c r="B34032" s="1" t="str">
        <f>"46517"</f>
        <v>46517</v>
      </c>
      <c r="C34032" s="2">
        <v>1.9389614922247599E-5</v>
      </c>
      <c r="D34032" s="2">
        <v>0</v>
      </c>
      <c r="E34032" s="2">
        <v>0</v>
      </c>
      <c r="F34032" s="2">
        <v>1.7256255392579801E-5</v>
      </c>
    </row>
    <row r="34033" spans="1:6" x14ac:dyDescent="0.25">
      <c r="A34033" s="1" t="str">
        <f t="shared" si="1219"/>
        <v>43780</v>
      </c>
      <c r="B34033" s="1" t="str">
        <f>"46552"</f>
        <v>46552</v>
      </c>
      <c r="C34033" s="2">
        <v>9.1842142681713007E-3</v>
      </c>
      <c r="D34033" s="2">
        <v>4.1802842593296301E-3</v>
      </c>
      <c r="E34033" s="2">
        <v>1.50728521185731E-3</v>
      </c>
      <c r="F34033" s="2">
        <v>8.5418464193270007E-3</v>
      </c>
    </row>
    <row r="34034" spans="1:6" x14ac:dyDescent="0.25">
      <c r="A34034" s="1" t="str">
        <f t="shared" si="1219"/>
        <v>43780</v>
      </c>
      <c r="B34034" s="1" t="str">
        <f>"46573"</f>
        <v>46573</v>
      </c>
      <c r="C34034" s="2">
        <v>1.42836829927224E-3</v>
      </c>
      <c r="D34034" s="2">
        <v>3.8002584175723898E-4</v>
      </c>
      <c r="E34034" s="2">
        <v>0</v>
      </c>
      <c r="F34034" s="2">
        <v>1.29997123957434E-3</v>
      </c>
    </row>
    <row r="34035" spans="1:6" x14ac:dyDescent="0.25">
      <c r="A34035" s="1" t="str">
        <f t="shared" si="1219"/>
        <v>43780</v>
      </c>
      <c r="B34035" s="1" t="str">
        <f>"49130"</f>
        <v>49130</v>
      </c>
      <c r="C34035" s="2">
        <v>8.7899587647522603E-3</v>
      </c>
      <c r="D34035" s="2">
        <v>5.9284031314129296E-3</v>
      </c>
      <c r="E34035" s="2">
        <v>1.67476134650812E-3</v>
      </c>
      <c r="F34035" s="2">
        <v>8.3290192694851807E-3</v>
      </c>
    </row>
    <row r="34036" spans="1:6" x14ac:dyDescent="0.25">
      <c r="A34036" s="1" t="str">
        <f t="shared" si="1219"/>
        <v>43780</v>
      </c>
      <c r="B34036" s="1" t="str">
        <f>"49093"</f>
        <v>49093</v>
      </c>
      <c r="C34036" s="2">
        <v>1.86786623750985E-3</v>
      </c>
      <c r="D34036" s="2">
        <v>9.1206202021737405E-4</v>
      </c>
      <c r="E34036" s="2">
        <v>3.3495226930162398E-4</v>
      </c>
      <c r="F34036" s="2">
        <v>1.7428817946505599E-3</v>
      </c>
    </row>
    <row r="34037" spans="1:6" x14ac:dyDescent="0.25">
      <c r="A34037" s="1" t="str">
        <f t="shared" si="1219"/>
        <v>43780</v>
      </c>
      <c r="B34037" s="1" t="str">
        <f>"49102"</f>
        <v>49102</v>
      </c>
      <c r="C34037" s="2">
        <v>5.8168844766742902E-5</v>
      </c>
      <c r="D34037" s="2">
        <v>7.6005168351447801E-5</v>
      </c>
      <c r="E34037" s="2">
        <v>0</v>
      </c>
      <c r="F34037" s="2">
        <v>5.7520851308599303E-5</v>
      </c>
    </row>
    <row r="34038" spans="1:6" x14ac:dyDescent="0.25">
      <c r="A34038" s="1" t="str">
        <f t="shared" si="1219"/>
        <v>43780</v>
      </c>
      <c r="B34038" s="1" t="str">
        <f>"46506"</f>
        <v>46506</v>
      </c>
      <c r="C34038" s="2">
        <v>2.9278318532593899E-3</v>
      </c>
      <c r="D34038" s="2">
        <v>5.3203617846013496E-4</v>
      </c>
      <c r="E34038" s="2">
        <v>0</v>
      </c>
      <c r="F34038" s="2">
        <v>2.6459591601955702E-3</v>
      </c>
    </row>
    <row r="34039" spans="1:6" x14ac:dyDescent="0.25">
      <c r="A34039" s="1" t="str">
        <f t="shared" si="1219"/>
        <v>43780</v>
      </c>
      <c r="B34039" s="1" t="str">
        <f>"49120"</f>
        <v>49120</v>
      </c>
      <c r="C34039" s="2">
        <v>2.76366644691769E-2</v>
      </c>
      <c r="D34039" s="2">
        <v>7.6765220034962301E-3</v>
      </c>
      <c r="E34039" s="2">
        <v>4.5218556355719301E-3</v>
      </c>
      <c r="F34039" s="2">
        <v>2.5332182916307101E-2</v>
      </c>
    </row>
    <row r="34040" spans="1:6" x14ac:dyDescent="0.25">
      <c r="A34040" s="1" t="str">
        <f t="shared" si="1219"/>
        <v>43780</v>
      </c>
      <c r="B34040" s="1" t="str">
        <f>"49061"</f>
        <v>49061</v>
      </c>
      <c r="C34040" s="2">
        <v>5.3709233334625897E-3</v>
      </c>
      <c r="D34040" s="2">
        <v>1.0640723569202699E-3</v>
      </c>
      <c r="E34040" s="2">
        <v>3.3495226930162398E-4</v>
      </c>
      <c r="F34040" s="2">
        <v>4.8720161058383596E-3</v>
      </c>
    </row>
    <row r="34041" spans="1:6" x14ac:dyDescent="0.25">
      <c r="A34041" s="1" t="str">
        <f t="shared" si="1219"/>
        <v>43780</v>
      </c>
      <c r="B34041" s="1" t="str">
        <f>"46536"</f>
        <v>46536</v>
      </c>
      <c r="C34041" s="2">
        <v>8.6089890254779505E-3</v>
      </c>
      <c r="D34041" s="2">
        <v>2.28015505054343E-3</v>
      </c>
      <c r="E34041" s="2">
        <v>1.4402947579969801E-2</v>
      </c>
      <c r="F34041" s="2">
        <v>8.3290192694851807E-3</v>
      </c>
    </row>
    <row r="34042" spans="1:6" x14ac:dyDescent="0.25">
      <c r="A34042" s="1" t="str">
        <f t="shared" si="1219"/>
        <v>43780</v>
      </c>
      <c r="B34042" s="1" t="str">
        <f>"46614"</f>
        <v>46614</v>
      </c>
      <c r="C34042" s="2">
        <v>9.2449683949276704E-2</v>
      </c>
      <c r="D34042" s="2">
        <v>4.3550961465379602E-2</v>
      </c>
      <c r="E34042" s="2">
        <v>4.90705074526879E-2</v>
      </c>
      <c r="F34042" s="2">
        <v>8.7259131435145201E-2</v>
      </c>
    </row>
    <row r="34043" spans="1:6" x14ac:dyDescent="0.25">
      <c r="A34043" s="1" t="str">
        <f t="shared" si="1219"/>
        <v>43780</v>
      </c>
      <c r="B34043" s="1" t="str">
        <f>"46530"</f>
        <v>46530</v>
      </c>
      <c r="C34043" s="2">
        <v>7.7493827639249696E-2</v>
      </c>
      <c r="D34043" s="2">
        <v>7.6841225203313795E-2</v>
      </c>
      <c r="E34043" s="2">
        <v>5.4094791492212302E-2</v>
      </c>
      <c r="F34043" s="2">
        <v>7.6640782283577694E-2</v>
      </c>
    </row>
    <row r="34044" spans="1:6" x14ac:dyDescent="0.25">
      <c r="A34044" s="1" t="str">
        <f t="shared" si="1219"/>
        <v>43780</v>
      </c>
      <c r="B34044" s="1" t="str">
        <f>"46619"</f>
        <v>46619</v>
      </c>
      <c r="C34044" s="2">
        <v>5.9099546283010798E-2</v>
      </c>
      <c r="D34044" s="2">
        <v>5.8143953788857602E-2</v>
      </c>
      <c r="E34044" s="2">
        <v>3.4500083738067303E-2</v>
      </c>
      <c r="F34044" s="2">
        <v>5.8182341098648199E-2</v>
      </c>
    </row>
    <row r="34045" spans="1:6" x14ac:dyDescent="0.25">
      <c r="A34045" s="1" t="str">
        <f t="shared" si="1219"/>
        <v>43780</v>
      </c>
      <c r="B34045" s="1" t="str">
        <f>"46546"</f>
        <v>46546</v>
      </c>
      <c r="C34045" s="2">
        <v>6.2369927999896503E-3</v>
      </c>
      <c r="D34045" s="2">
        <v>3.06300828456335E-2</v>
      </c>
      <c r="E34045" s="2">
        <v>3.3495226930162398E-4</v>
      </c>
      <c r="F34045" s="2">
        <v>7.8803566292781103E-3</v>
      </c>
    </row>
    <row r="34046" spans="1:6" x14ac:dyDescent="0.25">
      <c r="A34046" s="1" t="str">
        <f t="shared" si="1219"/>
        <v>43780</v>
      </c>
      <c r="B34046" s="1" t="str">
        <f>"46556"</f>
        <v>46556</v>
      </c>
      <c r="C34046" s="2">
        <v>3.91023900931994E-3</v>
      </c>
      <c r="D34046" s="2">
        <v>1.7481188720832999E-2</v>
      </c>
      <c r="E34046" s="2">
        <v>2.1604421369954701E-2</v>
      </c>
      <c r="F34046" s="2">
        <v>5.5450100661489704E-3</v>
      </c>
    </row>
    <row r="34047" spans="1:6" x14ac:dyDescent="0.25">
      <c r="A34047" s="1" t="str">
        <f t="shared" si="1219"/>
        <v>43780</v>
      </c>
      <c r="B34047" s="1" t="str">
        <f>"46624"</f>
        <v>46624</v>
      </c>
      <c r="C34047" s="2">
        <v>4.71167642610617E-3</v>
      </c>
      <c r="D34047" s="2">
        <v>2.5233715892680701E-2</v>
      </c>
      <c r="E34047" s="2">
        <v>3.3495226930162398E-4</v>
      </c>
      <c r="F34047" s="2">
        <v>6.1144664941041099E-3</v>
      </c>
    </row>
    <row r="34048" spans="1:6" x14ac:dyDescent="0.25">
      <c r="A34048" s="1" t="str">
        <f t="shared" si="1219"/>
        <v>43780</v>
      </c>
      <c r="B34048" s="1" t="str">
        <f>"49065"</f>
        <v>49065</v>
      </c>
      <c r="C34048" s="2">
        <v>6.4632049740825398E-6</v>
      </c>
      <c r="D34048" s="2">
        <v>0</v>
      </c>
      <c r="E34048" s="2">
        <v>0</v>
      </c>
      <c r="F34048" s="2">
        <v>5.7520851308599303E-6</v>
      </c>
    </row>
    <row r="34049" spans="1:6" x14ac:dyDescent="0.25">
      <c r="A34049" s="1" t="str">
        <f t="shared" si="1219"/>
        <v>43780</v>
      </c>
      <c r="B34049" s="1" t="str">
        <f>"49045"</f>
        <v>49045</v>
      </c>
      <c r="C34049" s="2">
        <v>1.71921252310595E-3</v>
      </c>
      <c r="D34049" s="2">
        <v>6.8404651516303105E-4</v>
      </c>
      <c r="E34049" s="2">
        <v>0</v>
      </c>
      <c r="F34049" s="2">
        <v>1.5818234109864801E-3</v>
      </c>
    </row>
    <row r="34050" spans="1:6" x14ac:dyDescent="0.25">
      <c r="A34050" s="1" t="str">
        <f t="shared" si="1219"/>
        <v>43780</v>
      </c>
      <c r="B34050" s="1" t="str">
        <f>"46554"</f>
        <v>46554</v>
      </c>
      <c r="C34050" s="2">
        <v>1.0903426791277201E-2</v>
      </c>
      <c r="D34050" s="2">
        <v>5.3963669529527997E-3</v>
      </c>
      <c r="E34050" s="2">
        <v>3.1820465583654299E-3</v>
      </c>
      <c r="F34050" s="2">
        <v>1.0221455277538099E-2</v>
      </c>
    </row>
    <row r="34051" spans="1:6" x14ac:dyDescent="0.25">
      <c r="A34051" s="1" t="str">
        <f t="shared" si="1219"/>
        <v>43780</v>
      </c>
      <c r="B34051" s="1" t="str">
        <f>"46628"</f>
        <v>46628</v>
      </c>
      <c r="C34051" s="2">
        <v>8.17143004873256E-2</v>
      </c>
      <c r="D34051" s="2">
        <v>7.6461199361556501E-2</v>
      </c>
      <c r="E34051" s="2">
        <v>4.2371462066655499E-2</v>
      </c>
      <c r="F34051" s="2">
        <v>7.9965487489214795E-2</v>
      </c>
    </row>
    <row r="34052" spans="1:6" x14ac:dyDescent="0.25">
      <c r="A34052" s="1" t="str">
        <f t="shared" si="1219"/>
        <v>43780</v>
      </c>
      <c r="B34052" s="1" t="str">
        <f>"46545"</f>
        <v>46545</v>
      </c>
      <c r="C34052" s="2">
        <v>8.65746306278357E-2</v>
      </c>
      <c r="D34052" s="2">
        <v>0.136581287527551</v>
      </c>
      <c r="E34052" s="2">
        <v>0.248367107687154</v>
      </c>
      <c r="F34052" s="2">
        <v>9.5916019557089394E-2</v>
      </c>
    </row>
    <row r="34053" spans="1:6" x14ac:dyDescent="0.25">
      <c r="A34053" s="1" t="str">
        <f t="shared" si="1219"/>
        <v>43780</v>
      </c>
      <c r="B34053" s="1" t="str">
        <f>"46544"</f>
        <v>46544</v>
      </c>
      <c r="C34053" s="2">
        <v>9.7258308449994099E-2</v>
      </c>
      <c r="D34053" s="2">
        <v>6.9924754883331997E-2</v>
      </c>
      <c r="E34053" s="2">
        <v>0.16027466086082701</v>
      </c>
      <c r="F34053" s="2">
        <v>9.7354040839804395E-2</v>
      </c>
    </row>
    <row r="34054" spans="1:6" x14ac:dyDescent="0.25">
      <c r="A34054" s="1" t="str">
        <f t="shared" si="1219"/>
        <v>43780</v>
      </c>
      <c r="B34054" s="1" t="str">
        <f>"49031"</f>
        <v>49031</v>
      </c>
      <c r="C34054" s="2">
        <v>2.8386396246170498E-2</v>
      </c>
      <c r="D34054" s="2">
        <v>1.92293075929163E-2</v>
      </c>
      <c r="E34054" s="2">
        <v>1.2895662368112499E-2</v>
      </c>
      <c r="F34054" s="2">
        <v>2.7161345987920599E-2</v>
      </c>
    </row>
    <row r="34055" spans="1:6" x14ac:dyDescent="0.25">
      <c r="A34055" s="1" t="str">
        <f t="shared" si="1219"/>
        <v>43780</v>
      </c>
      <c r="B34055" s="1" t="str">
        <f>"46561"</f>
        <v>46561</v>
      </c>
      <c r="C34055" s="2">
        <v>3.24711417897907E-2</v>
      </c>
      <c r="D34055" s="2">
        <v>2.5537736566086398E-2</v>
      </c>
      <c r="E34055" s="2">
        <v>3.1820465583654299E-3</v>
      </c>
      <c r="F34055" s="2">
        <v>3.0940465918895502E-2</v>
      </c>
    </row>
    <row r="34056" spans="1:6" x14ac:dyDescent="0.25">
      <c r="A34056" s="1" t="str">
        <f t="shared" si="1219"/>
        <v>43780</v>
      </c>
      <c r="B34056" s="1" t="str">
        <f>"49112"</f>
        <v>49112</v>
      </c>
      <c r="C34056" s="2">
        <v>3.4397176872067302E-2</v>
      </c>
      <c r="D34056" s="2">
        <v>2.5233715892680701E-2</v>
      </c>
      <c r="E34056" s="2">
        <v>1.9259755484843401E-2</v>
      </c>
      <c r="F34056" s="2">
        <v>3.3183779119930902E-2</v>
      </c>
    </row>
    <row r="34057" spans="1:6" x14ac:dyDescent="0.25">
      <c r="A34057" s="1" t="str">
        <f t="shared" si="1219"/>
        <v>43780</v>
      </c>
      <c r="B34057" s="1" t="str">
        <f>"46635"</f>
        <v>46635</v>
      </c>
      <c r="C34057" s="2">
        <v>1.7528211889711799E-2</v>
      </c>
      <c r="D34057" s="2">
        <v>1.9533328266322099E-2</v>
      </c>
      <c r="E34057" s="2">
        <v>6.5315692513816699E-3</v>
      </c>
      <c r="F34057" s="2">
        <v>1.7302272073626598E-2</v>
      </c>
    </row>
    <row r="34058" spans="1:6" x14ac:dyDescent="0.25">
      <c r="A34058" s="1" t="str">
        <f t="shared" si="1219"/>
        <v>43780</v>
      </c>
      <c r="B34058" s="1" t="str">
        <f>"46601"</f>
        <v>46601</v>
      </c>
      <c r="C34058" s="2">
        <v>2.1548325383591201E-2</v>
      </c>
      <c r="D34058" s="2">
        <v>0.101542904917534</v>
      </c>
      <c r="E34058" s="2">
        <v>6.0961313012895597E-2</v>
      </c>
      <c r="F34058" s="2">
        <v>2.8955996548748902E-2</v>
      </c>
    </row>
    <row r="34059" spans="1:6" x14ac:dyDescent="0.25">
      <c r="A34059" s="1" t="str">
        <f t="shared" si="1219"/>
        <v>43780</v>
      </c>
      <c r="B34059" s="1" t="str">
        <f>"46617"</f>
        <v>46617</v>
      </c>
      <c r="C34059" s="2">
        <v>3.39253629089592E-2</v>
      </c>
      <c r="D34059" s="2">
        <v>3.7622558333966702E-2</v>
      </c>
      <c r="E34059" s="2">
        <v>3.8519510969686803E-2</v>
      </c>
      <c r="F34059" s="2">
        <v>3.4362956571757197E-2</v>
      </c>
    </row>
    <row r="34060" spans="1:6" x14ac:dyDescent="0.25">
      <c r="A34060" s="1" t="str">
        <f t="shared" si="1219"/>
        <v>43780</v>
      </c>
      <c r="B34060" s="1" t="str">
        <f>"46616"</f>
        <v>46616</v>
      </c>
      <c r="C34060" s="2">
        <v>2.00811778544744E-2</v>
      </c>
      <c r="D34060" s="2">
        <v>7.9805426769020207E-3</v>
      </c>
      <c r="E34060" s="2">
        <v>3.0983084910400201E-2</v>
      </c>
      <c r="F34060" s="2">
        <v>1.9539833189531199E-2</v>
      </c>
    </row>
    <row r="34061" spans="1:6" x14ac:dyDescent="0.25">
      <c r="A34061" s="1" t="str">
        <f t="shared" si="1219"/>
        <v>43780</v>
      </c>
      <c r="B34061" s="1" t="str">
        <f>"46615"</f>
        <v>46615</v>
      </c>
      <c r="C34061" s="2">
        <v>4.6483370173601601E-2</v>
      </c>
      <c r="D34061" s="2">
        <v>3.1086113855742101E-2</v>
      </c>
      <c r="E34061" s="2">
        <v>6.6822977725673999E-2</v>
      </c>
      <c r="F34061" s="2">
        <v>4.60166810468794E-2</v>
      </c>
    </row>
    <row r="34062" spans="1:6" x14ac:dyDescent="0.25">
      <c r="A34062" s="1" t="str">
        <f t="shared" si="1219"/>
        <v>43780</v>
      </c>
      <c r="B34062" s="1" t="str">
        <f>"46680"</f>
        <v>46680</v>
      </c>
      <c r="C34062" s="2">
        <v>2.4818707100476901E-3</v>
      </c>
      <c r="D34062" s="2">
        <v>1.4060956145017799E-2</v>
      </c>
      <c r="E34062" s="2">
        <v>3.3495226930162398E-4</v>
      </c>
      <c r="F34062" s="2">
        <v>3.2844406097210202E-3</v>
      </c>
    </row>
    <row r="34063" spans="1:6" x14ac:dyDescent="0.25">
      <c r="A34063" s="1" t="str">
        <f t="shared" si="1219"/>
        <v>43780</v>
      </c>
      <c r="B34063" s="1" t="str">
        <f>"46550"</f>
        <v>46550</v>
      </c>
      <c r="C34063" s="2">
        <v>2.5206499398921898E-4</v>
      </c>
      <c r="D34063" s="2">
        <v>1.5201033670289501E-4</v>
      </c>
      <c r="E34063" s="2">
        <v>0</v>
      </c>
      <c r="F34063" s="2">
        <v>2.3583549036525699E-4</v>
      </c>
    </row>
    <row r="34064" spans="1:6" x14ac:dyDescent="0.25">
      <c r="A34064" s="1" t="str">
        <f t="shared" si="1219"/>
        <v>43780</v>
      </c>
      <c r="B34064" s="1" t="str">
        <f>"49042"</f>
        <v>49042</v>
      </c>
      <c r="C34064" s="2">
        <v>2.71454608911467E-4</v>
      </c>
      <c r="D34064" s="2">
        <v>7.6005168351447801E-5</v>
      </c>
      <c r="E34064" s="2">
        <v>0</v>
      </c>
      <c r="F34064" s="2">
        <v>2.4733966062697702E-4</v>
      </c>
    </row>
    <row r="34065" spans="1:6" x14ac:dyDescent="0.25">
      <c r="A34065" s="1" t="str">
        <f t="shared" si="1219"/>
        <v>43780</v>
      </c>
      <c r="B34065" s="1" t="str">
        <f>"46660"</f>
        <v>46660</v>
      </c>
      <c r="C34065" s="2">
        <v>4.0007238789570897E-3</v>
      </c>
      <c r="D34065" s="2">
        <v>1.93053127612677E-2</v>
      </c>
      <c r="E34065" s="2">
        <v>3.3495226930162398E-4</v>
      </c>
      <c r="F34065" s="2">
        <v>5.0330744895024397E-3</v>
      </c>
    </row>
    <row r="34066" spans="1:6" x14ac:dyDescent="0.25">
      <c r="A34066" s="1" t="str">
        <f t="shared" si="1219"/>
        <v>43780</v>
      </c>
      <c r="B34066" s="1" t="str">
        <f>"46595"</f>
        <v>46595</v>
      </c>
      <c r="C34066" s="2">
        <v>0</v>
      </c>
      <c r="D34066" s="2">
        <v>0</v>
      </c>
      <c r="E34066" s="2">
        <v>1.6747613465081199E-4</v>
      </c>
      <c r="F34066" s="2">
        <v>5.7520851308599303E-6</v>
      </c>
    </row>
    <row r="34067" spans="1:6" x14ac:dyDescent="0.25">
      <c r="A34067" s="1" t="str">
        <f t="shared" ref="A34067:A34106" si="1220">"43900"</f>
        <v>43900</v>
      </c>
      <c r="B34067" s="1" t="str">
        <f>"29368"</f>
        <v>29368</v>
      </c>
      <c r="C34067" s="2">
        <v>1.85960018596001E-4</v>
      </c>
      <c r="D34067" s="2">
        <v>7.0671378091872699E-5</v>
      </c>
      <c r="E34067" s="2">
        <v>0</v>
      </c>
      <c r="F34067" s="2">
        <v>1.7401652595652899E-4</v>
      </c>
    </row>
    <row r="34068" spans="1:6" x14ac:dyDescent="0.25">
      <c r="A34068" s="1" t="str">
        <f t="shared" si="1220"/>
        <v>43900</v>
      </c>
      <c r="B34068" s="1" t="str">
        <f>"29329"</f>
        <v>29329</v>
      </c>
      <c r="C34068" s="2">
        <v>2.5414535874786898E-4</v>
      </c>
      <c r="D34068" s="2">
        <v>2.8268551236749101E-4</v>
      </c>
      <c r="E34068" s="2">
        <v>0</v>
      </c>
      <c r="F34068" s="2">
        <v>2.52604634453026E-4</v>
      </c>
    </row>
    <row r="34069" spans="1:6" x14ac:dyDescent="0.25">
      <c r="A34069" s="1" t="str">
        <f t="shared" si="1220"/>
        <v>43900</v>
      </c>
      <c r="B34069" s="1" t="str">
        <f>"29335"</f>
        <v>29335</v>
      </c>
      <c r="C34069" s="2">
        <v>1.04819463815279E-2</v>
      </c>
      <c r="D34069" s="2">
        <v>3.3215547703180199E-3</v>
      </c>
      <c r="E34069" s="2">
        <v>7.4934432371674697E-4</v>
      </c>
      <c r="F34069" s="2">
        <v>9.7673791988503594E-3</v>
      </c>
    </row>
    <row r="34070" spans="1:6" x14ac:dyDescent="0.25">
      <c r="A34070" s="1" t="str">
        <f t="shared" si="1220"/>
        <v>43900</v>
      </c>
      <c r="B34070" s="1" t="str">
        <f>"29388"</f>
        <v>29388</v>
      </c>
      <c r="C34070" s="2">
        <v>5.0698899736556599E-2</v>
      </c>
      <c r="D34070" s="2">
        <v>3.7243816254416903E-2</v>
      </c>
      <c r="E34070" s="2">
        <v>1.64855751217684E-2</v>
      </c>
      <c r="F34070" s="2">
        <v>4.9117567810310701E-2</v>
      </c>
    </row>
    <row r="34071" spans="1:6" x14ac:dyDescent="0.25">
      <c r="A34071" s="1" t="str">
        <f t="shared" si="1220"/>
        <v>43900</v>
      </c>
      <c r="B34071" s="1" t="str">
        <f>"29306"</f>
        <v>29306</v>
      </c>
      <c r="C34071" s="2">
        <v>5.4765225476522503E-2</v>
      </c>
      <c r="D34071" s="2">
        <v>8.6855123674911605E-2</v>
      </c>
      <c r="E34071" s="2">
        <v>0.112401648557512</v>
      </c>
      <c r="F34071" s="2">
        <v>5.8177654032692601E-2</v>
      </c>
    </row>
    <row r="34072" spans="1:6" x14ac:dyDescent="0.25">
      <c r="A34072" s="1" t="str">
        <f t="shared" si="1220"/>
        <v>43900</v>
      </c>
      <c r="B34072" s="1" t="str">
        <f>"29323"</f>
        <v>29323</v>
      </c>
      <c r="C34072" s="2">
        <v>4.2684022935068899E-2</v>
      </c>
      <c r="D34072" s="2">
        <v>2.0848056537102401E-2</v>
      </c>
      <c r="E34072" s="2">
        <v>2.4353690520794301E-2</v>
      </c>
      <c r="F34072" s="2">
        <v>4.0674959583258397E-2</v>
      </c>
    </row>
    <row r="34073" spans="1:6" x14ac:dyDescent="0.25">
      <c r="A34073" s="1" t="str">
        <f t="shared" si="1220"/>
        <v>43900</v>
      </c>
      <c r="B34073" s="1" t="str">
        <f>"29374"</f>
        <v>29374</v>
      </c>
      <c r="C34073" s="2">
        <v>1.00480396714706E-2</v>
      </c>
      <c r="D34073" s="2">
        <v>2.47349823321554E-3</v>
      </c>
      <c r="E34073" s="2">
        <v>0</v>
      </c>
      <c r="F34073" s="2">
        <v>9.2958505478713798E-3</v>
      </c>
    </row>
    <row r="34074" spans="1:6" x14ac:dyDescent="0.25">
      <c r="A34074" s="1" t="str">
        <f t="shared" si="1220"/>
        <v>43900</v>
      </c>
      <c r="B34074" s="1" t="str">
        <f>"29651"</f>
        <v>29651</v>
      </c>
      <c r="C34074" s="2">
        <v>5.68355803502247E-2</v>
      </c>
      <c r="D34074" s="2">
        <v>6.5441696113074196E-2</v>
      </c>
      <c r="E34074" s="2">
        <v>7.2311727238666093E-2</v>
      </c>
      <c r="F34074" s="2">
        <v>5.7751032872282997E-2</v>
      </c>
    </row>
    <row r="34075" spans="1:6" x14ac:dyDescent="0.25">
      <c r="A34075" s="1" t="str">
        <f t="shared" si="1220"/>
        <v>43900</v>
      </c>
      <c r="B34075" s="1" t="str">
        <f>"29307"</f>
        <v>29307</v>
      </c>
      <c r="C34075" s="2">
        <v>5.9947311328064398E-2</v>
      </c>
      <c r="D34075" s="2">
        <v>5.1448763250883302E-2</v>
      </c>
      <c r="E34075" s="2">
        <v>6.7066316972648907E-2</v>
      </c>
      <c r="F34075" s="2">
        <v>5.9378929405424802E-2</v>
      </c>
    </row>
    <row r="34076" spans="1:6" x14ac:dyDescent="0.25">
      <c r="A34076" s="1" t="str">
        <f t="shared" si="1220"/>
        <v>43900</v>
      </c>
      <c r="B34076" s="1" t="str">
        <f>"29356"</f>
        <v>29356</v>
      </c>
      <c r="C34076" s="2">
        <v>1.46598481326514E-2</v>
      </c>
      <c r="D34076" s="2">
        <v>2.02826855123674E-2</v>
      </c>
      <c r="E34076" s="2">
        <v>1.08654926938928E-2</v>
      </c>
      <c r="F34076" s="2">
        <v>1.50496227770792E-2</v>
      </c>
    </row>
    <row r="34077" spans="1:6" x14ac:dyDescent="0.25">
      <c r="A34077" s="1" t="str">
        <f t="shared" si="1220"/>
        <v>43900</v>
      </c>
      <c r="B34077" s="1" t="str">
        <f>"29365"</f>
        <v>29365</v>
      </c>
      <c r="C34077" s="2">
        <v>4.2095149542848202E-2</v>
      </c>
      <c r="D34077" s="2">
        <v>2.8904593639575898E-2</v>
      </c>
      <c r="E34077" s="2">
        <v>1.64855751217684E-2</v>
      </c>
      <c r="F34077" s="2">
        <v>4.0663732710616102E-2</v>
      </c>
    </row>
    <row r="34078" spans="1:6" x14ac:dyDescent="0.25">
      <c r="A34078" s="1" t="str">
        <f t="shared" si="1220"/>
        <v>43900</v>
      </c>
      <c r="B34078" s="1" t="str">
        <f>"29331"</f>
        <v>29331</v>
      </c>
      <c r="C34078" s="2">
        <v>6.1986672865333899E-6</v>
      </c>
      <c r="D34078" s="2">
        <v>7.0671378091872699E-5</v>
      </c>
      <c r="E34078" s="2">
        <v>0</v>
      </c>
      <c r="F34078" s="2">
        <v>1.12268726423567E-5</v>
      </c>
    </row>
    <row r="34079" spans="1:6" x14ac:dyDescent="0.25">
      <c r="A34079" s="1" t="str">
        <f t="shared" si="1220"/>
        <v>43900</v>
      </c>
      <c r="B34079" s="1" t="str">
        <f>"29375"</f>
        <v>29375</v>
      </c>
      <c r="C34079" s="2">
        <v>3.0435456376878898E-3</v>
      </c>
      <c r="D34079" s="2">
        <v>8.1978798586572407E-3</v>
      </c>
      <c r="E34079" s="2">
        <v>3.74672161858373E-4</v>
      </c>
      <c r="F34079" s="2">
        <v>3.4129692832764501E-3</v>
      </c>
    </row>
    <row r="34080" spans="1:6" x14ac:dyDescent="0.25">
      <c r="A34080" s="1" t="str">
        <f t="shared" si="1220"/>
        <v>43900</v>
      </c>
      <c r="B34080" s="1" t="str">
        <f>"29385"</f>
        <v>29385</v>
      </c>
      <c r="C34080" s="2">
        <v>2.62327599566093E-2</v>
      </c>
      <c r="D34080" s="2">
        <v>1.2932862190812701E-2</v>
      </c>
      <c r="E34080" s="2">
        <v>7.4934432371674704E-3</v>
      </c>
      <c r="F34080" s="2">
        <v>2.4895590084426E-2</v>
      </c>
    </row>
    <row r="34081" spans="1:6" x14ac:dyDescent="0.25">
      <c r="A34081" s="1" t="str">
        <f t="shared" si="1220"/>
        <v>43900</v>
      </c>
      <c r="B34081" s="1" t="str">
        <f>"29377"</f>
        <v>29377</v>
      </c>
      <c r="C34081" s="2">
        <v>2.7274136060746903E-4</v>
      </c>
      <c r="D34081" s="2">
        <v>1.4134275618374499E-4</v>
      </c>
      <c r="E34081" s="2">
        <v>0</v>
      </c>
      <c r="F34081" s="2">
        <v>2.5821807077420502E-4</v>
      </c>
    </row>
    <row r="34082" spans="1:6" x14ac:dyDescent="0.25">
      <c r="A34082" s="1" t="str">
        <f t="shared" si="1220"/>
        <v>43900</v>
      </c>
      <c r="B34082" s="1" t="str">
        <f>"29316"</f>
        <v>29316</v>
      </c>
      <c r="C34082" s="2">
        <v>8.5405237873857107E-2</v>
      </c>
      <c r="D34082" s="2">
        <v>6.7420494699646602E-2</v>
      </c>
      <c r="E34082" s="2">
        <v>3.3345822405395201E-2</v>
      </c>
      <c r="F34082" s="2">
        <v>8.3196739716184603E-2</v>
      </c>
    </row>
    <row r="34083" spans="1:6" x14ac:dyDescent="0.25">
      <c r="A34083" s="1" t="str">
        <f t="shared" si="1220"/>
        <v>43900</v>
      </c>
      <c r="B34083" s="1" t="str">
        <f>"29302"</f>
        <v>29302</v>
      </c>
      <c r="C34083" s="2">
        <v>5.1027429102742897E-2</v>
      </c>
      <c r="D34083" s="2">
        <v>7.0530035335688995E-2</v>
      </c>
      <c r="E34083" s="2">
        <v>0.103784188834769</v>
      </c>
      <c r="F34083" s="2">
        <v>5.3366939105442698E-2</v>
      </c>
    </row>
    <row r="34084" spans="1:6" x14ac:dyDescent="0.25">
      <c r="A34084" s="1" t="str">
        <f t="shared" si="1220"/>
        <v>43900</v>
      </c>
      <c r="B34084" s="1" t="str">
        <f>"29320"</f>
        <v>29320</v>
      </c>
      <c r="C34084" s="2">
        <v>9.2360142569347496E-4</v>
      </c>
      <c r="D34084" s="2">
        <v>7.0671378091872699E-5</v>
      </c>
      <c r="E34084" s="2">
        <v>7.4934432371674697E-4</v>
      </c>
      <c r="F34084" s="2">
        <v>8.5324232081911199E-4</v>
      </c>
    </row>
    <row r="34085" spans="1:6" x14ac:dyDescent="0.25">
      <c r="A34085" s="1" t="str">
        <f t="shared" si="1220"/>
        <v>43900</v>
      </c>
      <c r="B34085" s="1" t="str">
        <f>"29334"</f>
        <v>29334</v>
      </c>
      <c r="C34085" s="2">
        <v>5.1139005113900501E-2</v>
      </c>
      <c r="D34085" s="2">
        <v>5.2862190812720797E-2</v>
      </c>
      <c r="E34085" s="2">
        <v>5.2828774822030702E-2</v>
      </c>
      <c r="F34085" s="2">
        <v>5.1301194539249098E-2</v>
      </c>
    </row>
    <row r="34086" spans="1:6" x14ac:dyDescent="0.25">
      <c r="A34086" s="1" t="str">
        <f t="shared" si="1220"/>
        <v>43900</v>
      </c>
      <c r="B34086" s="1" t="str">
        <f>"29369"</f>
        <v>29369</v>
      </c>
      <c r="C34086" s="2">
        <v>4.3700604370060403E-2</v>
      </c>
      <c r="D34086" s="2">
        <v>1.4911660777385099E-2</v>
      </c>
      <c r="E34086" s="2">
        <v>7.8681153990258507E-3</v>
      </c>
      <c r="F34086" s="2">
        <v>4.0877043290820897E-2</v>
      </c>
    </row>
    <row r="34087" spans="1:6" x14ac:dyDescent="0.25">
      <c r="A34087" s="1" t="str">
        <f t="shared" si="1220"/>
        <v>43900</v>
      </c>
      <c r="B34087" s="1" t="str">
        <f>"29372"</f>
        <v>29372</v>
      </c>
      <c r="C34087" s="2">
        <v>9.6699209669920908E-3</v>
      </c>
      <c r="D34087" s="2">
        <v>3.8162544169611299E-3</v>
      </c>
      <c r="E34087" s="2">
        <v>4.8707381041588598E-3</v>
      </c>
      <c r="F34087" s="2">
        <v>9.1330608945572097E-3</v>
      </c>
    </row>
    <row r="34088" spans="1:6" x14ac:dyDescent="0.25">
      <c r="A34088" s="1" t="str">
        <f t="shared" si="1220"/>
        <v>43900</v>
      </c>
      <c r="B34088" s="1" t="str">
        <f>"29303"</f>
        <v>29303</v>
      </c>
      <c r="C34088" s="2">
        <v>7.1997520533085294E-2</v>
      </c>
      <c r="D34088" s="2">
        <v>0.128127208480565</v>
      </c>
      <c r="E34088" s="2">
        <v>0.15473960284750801</v>
      </c>
      <c r="F34088" s="2">
        <v>7.7695572121429801E-2</v>
      </c>
    </row>
    <row r="34089" spans="1:6" x14ac:dyDescent="0.25">
      <c r="A34089" s="1" t="str">
        <f t="shared" si="1220"/>
        <v>43900</v>
      </c>
      <c r="B34089" s="1" t="str">
        <f>"29349"</f>
        <v>29349</v>
      </c>
      <c r="C34089" s="2">
        <v>9.9339841933984097E-2</v>
      </c>
      <c r="D34089" s="2">
        <v>4.9681978798586497E-2</v>
      </c>
      <c r="E34089" s="2">
        <v>3.7467216185837302E-2</v>
      </c>
      <c r="F34089" s="2">
        <v>9.4468519849110796E-2</v>
      </c>
    </row>
    <row r="34090" spans="1:6" x14ac:dyDescent="0.25">
      <c r="A34090" s="1" t="str">
        <f t="shared" si="1220"/>
        <v>43900</v>
      </c>
      <c r="B34090" s="1" t="str">
        <f>"29324"</f>
        <v>29324</v>
      </c>
      <c r="C34090" s="2">
        <v>0</v>
      </c>
      <c r="D34090" s="2">
        <v>1.4134275618374499E-4</v>
      </c>
      <c r="E34090" s="2">
        <v>0</v>
      </c>
      <c r="F34090" s="2">
        <v>1.12268726423567E-5</v>
      </c>
    </row>
    <row r="34091" spans="1:6" x14ac:dyDescent="0.25">
      <c r="A34091" s="1" t="str">
        <f t="shared" si="1220"/>
        <v>43900</v>
      </c>
      <c r="B34091" s="1" t="str">
        <f>"29373"</f>
        <v>29373</v>
      </c>
      <c r="C34091" s="2">
        <v>0</v>
      </c>
      <c r="D34091" s="2">
        <v>7.0671378091872699E-5</v>
      </c>
      <c r="E34091" s="2">
        <v>0</v>
      </c>
      <c r="F34091" s="2">
        <v>5.6134363211783702E-6</v>
      </c>
    </row>
    <row r="34092" spans="1:6" x14ac:dyDescent="0.25">
      <c r="A34092" s="1" t="str">
        <f t="shared" si="1220"/>
        <v>43900</v>
      </c>
      <c r="B34092" s="1" t="str">
        <f>"29378"</f>
        <v>29378</v>
      </c>
      <c r="C34092" s="2">
        <v>6.45901131256779E-3</v>
      </c>
      <c r="D34092" s="2">
        <v>2.7561837455830299E-3</v>
      </c>
      <c r="E34092" s="2">
        <v>3.74672161858373E-4</v>
      </c>
      <c r="F34092" s="2">
        <v>6.0737380995149904E-3</v>
      </c>
    </row>
    <row r="34093" spans="1:6" x14ac:dyDescent="0.25">
      <c r="A34093" s="1" t="str">
        <f t="shared" si="1220"/>
        <v>43900</v>
      </c>
      <c r="B34093" s="1" t="str">
        <f>"29650"</f>
        <v>29650</v>
      </c>
      <c r="C34093" s="2">
        <v>3.9671470633813701E-4</v>
      </c>
      <c r="D34093" s="2">
        <v>3.3215547703180199E-3</v>
      </c>
      <c r="E34093" s="2">
        <v>3.74672161858373E-4</v>
      </c>
      <c r="F34093" s="2">
        <v>6.2870486797197696E-4</v>
      </c>
    </row>
    <row r="34094" spans="1:6" x14ac:dyDescent="0.25">
      <c r="A34094" s="1" t="str">
        <f t="shared" si="1220"/>
        <v>43900</v>
      </c>
      <c r="B34094" s="1" t="str">
        <f>"29346"</f>
        <v>29346</v>
      </c>
      <c r="C34094" s="2">
        <v>8.3682008368200799E-4</v>
      </c>
      <c r="D34094" s="2">
        <v>7.0671378091872699E-5</v>
      </c>
      <c r="E34094" s="2">
        <v>0</v>
      </c>
      <c r="F34094" s="2">
        <v>7.63427339680258E-4</v>
      </c>
    </row>
    <row r="34095" spans="1:6" x14ac:dyDescent="0.25">
      <c r="A34095" s="1" t="str">
        <f t="shared" si="1220"/>
        <v>43900</v>
      </c>
      <c r="B34095" s="1" t="str">
        <f>"29333"</f>
        <v>29333</v>
      </c>
      <c r="C34095" s="2">
        <v>4.7109871377653796E-3</v>
      </c>
      <c r="D34095" s="2">
        <v>8.1978798586572407E-3</v>
      </c>
      <c r="E34095" s="2">
        <v>3.74672161858373E-4</v>
      </c>
      <c r="F34095" s="2">
        <v>4.9229836536734302E-3</v>
      </c>
    </row>
    <row r="34096" spans="1:6" x14ac:dyDescent="0.25">
      <c r="A34096" s="1" t="str">
        <f t="shared" si="1220"/>
        <v>43900</v>
      </c>
      <c r="B34096" s="1" t="str">
        <f>"29304"</f>
        <v>29304</v>
      </c>
      <c r="C34096" s="2">
        <v>1.44057027739036E-2</v>
      </c>
      <c r="D34096" s="2">
        <v>6.2614840989399206E-2</v>
      </c>
      <c r="E34096" s="2">
        <v>3.74672161858373E-4</v>
      </c>
      <c r="F34096" s="2">
        <v>1.80247440273037E-2</v>
      </c>
    </row>
    <row r="34097" spans="1:6" x14ac:dyDescent="0.25">
      <c r="A34097" s="1" t="str">
        <f t="shared" si="1220"/>
        <v>43900</v>
      </c>
      <c r="B34097" s="1" t="str">
        <f>"29305"</f>
        <v>29305</v>
      </c>
      <c r="C34097" s="2">
        <v>6.3226406322640599E-4</v>
      </c>
      <c r="D34097" s="2">
        <v>6.5017667844522904E-3</v>
      </c>
      <c r="E34097" s="2">
        <v>3.74672161858373E-4</v>
      </c>
      <c r="F34097" s="2">
        <v>1.0946200826297799E-3</v>
      </c>
    </row>
    <row r="34098" spans="1:6" x14ac:dyDescent="0.25">
      <c r="A34098" s="1" t="str">
        <f t="shared" si="1220"/>
        <v>43900</v>
      </c>
      <c r="B34098" s="1" t="str">
        <f>"29376"</f>
        <v>29376</v>
      </c>
      <c r="C34098" s="2">
        <v>2.7174957384162399E-2</v>
      </c>
      <c r="D34098" s="2">
        <v>3.3780918727915103E-2</v>
      </c>
      <c r="E34098" s="2">
        <v>1.1240164855751199E-2</v>
      </c>
      <c r="F34098" s="2">
        <v>2.7460930483204499E-2</v>
      </c>
    </row>
    <row r="34099" spans="1:6" x14ac:dyDescent="0.25">
      <c r="A34099" s="1" t="str">
        <f t="shared" si="1220"/>
        <v>43900</v>
      </c>
      <c r="B34099" s="1" t="str">
        <f>"29301"</f>
        <v>29301</v>
      </c>
      <c r="C34099" s="2">
        <v>0.105674879900821</v>
      </c>
      <c r="D34099" s="2">
        <v>0.12650176678445199</v>
      </c>
      <c r="E34099" s="2">
        <v>0.248407643312101</v>
      </c>
      <c r="F34099" s="2">
        <v>0.10946762169929899</v>
      </c>
    </row>
    <row r="34100" spans="1:6" x14ac:dyDescent="0.25">
      <c r="A34100" s="1" t="str">
        <f t="shared" si="1220"/>
        <v>43900</v>
      </c>
      <c r="B34100" s="1" t="str">
        <f>"29386"</f>
        <v>29386</v>
      </c>
      <c r="C34100" s="2">
        <v>0</v>
      </c>
      <c r="D34100" s="2">
        <v>7.0671378091872699E-5</v>
      </c>
      <c r="E34100" s="2">
        <v>0</v>
      </c>
      <c r="F34100" s="2">
        <v>5.6134363211783702E-6</v>
      </c>
    </row>
    <row r="34101" spans="1:6" x14ac:dyDescent="0.25">
      <c r="A34101" s="1" t="str">
        <f t="shared" si="1220"/>
        <v>43900</v>
      </c>
      <c r="B34101" s="1" t="str">
        <f>"29348"</f>
        <v>29348</v>
      </c>
      <c r="C34101" s="2">
        <v>0</v>
      </c>
      <c r="D34101" s="2">
        <v>7.0671378091872699E-5</v>
      </c>
      <c r="E34101" s="2">
        <v>0</v>
      </c>
      <c r="F34101" s="2">
        <v>5.6134363211783702E-6</v>
      </c>
    </row>
    <row r="34102" spans="1:6" x14ac:dyDescent="0.25">
      <c r="A34102" s="1" t="str">
        <f t="shared" si="1220"/>
        <v>43900</v>
      </c>
      <c r="B34102" s="1" t="str">
        <f>"29336"</f>
        <v>29336</v>
      </c>
      <c r="C34102" s="2">
        <v>4.1593057492639003E-3</v>
      </c>
      <c r="D34102" s="2">
        <v>7.6325088339222599E-3</v>
      </c>
      <c r="E34102" s="2">
        <v>3.74672161858373E-4</v>
      </c>
      <c r="F34102" s="2">
        <v>4.37848033051913E-3</v>
      </c>
    </row>
    <row r="34103" spans="1:6" x14ac:dyDescent="0.25">
      <c r="A34103" s="1" t="str">
        <f t="shared" si="1220"/>
        <v>43900</v>
      </c>
      <c r="B34103" s="1" t="str">
        <f>"29322"</f>
        <v>29322</v>
      </c>
      <c r="C34103" s="2">
        <v>2.6976600030993302E-2</v>
      </c>
      <c r="D34103" s="2">
        <v>7.3498233215547699E-3</v>
      </c>
      <c r="E34103" s="2">
        <v>4.1213937804421103E-3</v>
      </c>
      <c r="F34103" s="2">
        <v>2.5075220046703699E-2</v>
      </c>
    </row>
    <row r="34104" spans="1:6" x14ac:dyDescent="0.25">
      <c r="A34104" s="1" t="str">
        <f t="shared" si="1220"/>
        <v>43900</v>
      </c>
      <c r="B34104" s="1" t="str">
        <f>"29319"</f>
        <v>29319</v>
      </c>
      <c r="C34104" s="2">
        <v>0</v>
      </c>
      <c r="D34104" s="2">
        <v>1.4134275618374499E-4</v>
      </c>
      <c r="E34104" s="2">
        <v>0</v>
      </c>
      <c r="F34104" s="2">
        <v>1.12268726423567E-5</v>
      </c>
    </row>
    <row r="34105" spans="1:6" x14ac:dyDescent="0.25">
      <c r="A34105" s="1" t="str">
        <f t="shared" si="1220"/>
        <v>43900</v>
      </c>
      <c r="B34105" s="1" t="str">
        <f>"29330"</f>
        <v>29330</v>
      </c>
      <c r="C34105" s="2">
        <v>2.3152022315202199E-2</v>
      </c>
      <c r="D34105" s="2">
        <v>1.4770318021201399E-2</v>
      </c>
      <c r="E34105" s="2">
        <v>9.7414762083177196E-3</v>
      </c>
      <c r="F34105" s="2">
        <v>2.2285342195078099E-2</v>
      </c>
    </row>
    <row r="34106" spans="1:6" x14ac:dyDescent="0.25">
      <c r="A34106" s="1" t="str">
        <f t="shared" si="1220"/>
        <v>43900</v>
      </c>
      <c r="B34106" s="1" t="str">
        <f>"29338"</f>
        <v>29338</v>
      </c>
      <c r="C34106" s="2">
        <v>6.1986672865333899E-6</v>
      </c>
      <c r="D34106" s="2">
        <v>7.0671378091872699E-5</v>
      </c>
      <c r="E34106" s="2">
        <v>0</v>
      </c>
      <c r="F34106" s="2">
        <v>1.12268726423567E-5</v>
      </c>
    </row>
    <row r="34107" spans="1:6" x14ac:dyDescent="0.25">
      <c r="A34107" s="1" t="str">
        <f t="shared" ref="A34107:A34115" si="1221">"43940"</f>
        <v>43940</v>
      </c>
      <c r="B34107" s="1" t="str">
        <f>"57779"</f>
        <v>57779</v>
      </c>
      <c r="C34107" s="2">
        <v>1.03227492486606E-2</v>
      </c>
      <c r="D34107" s="2">
        <v>5.8513750731421798E-4</v>
      </c>
      <c r="E34107" s="2">
        <v>1.3623978201634801E-3</v>
      </c>
      <c r="F34107" s="2">
        <v>9.0145923714011998E-3</v>
      </c>
    </row>
    <row r="34108" spans="1:6" x14ac:dyDescent="0.25">
      <c r="A34108" s="1" t="str">
        <f t="shared" si="1221"/>
        <v>43940</v>
      </c>
      <c r="B34108" s="1" t="str">
        <f>"57732"</f>
        <v>57732</v>
      </c>
      <c r="C34108" s="2">
        <v>9.0552724421795294E-2</v>
      </c>
      <c r="D34108" s="2">
        <v>0.188999414862492</v>
      </c>
      <c r="E34108" s="2">
        <v>0.13079019073569401</v>
      </c>
      <c r="F34108" s="2">
        <v>0.101695870189869</v>
      </c>
    </row>
    <row r="34109" spans="1:6" x14ac:dyDescent="0.25">
      <c r="A34109" s="1" t="str">
        <f t="shared" si="1221"/>
        <v>43940</v>
      </c>
      <c r="B34109" s="1" t="str">
        <f>"57785"</f>
        <v>57785</v>
      </c>
      <c r="C34109" s="2">
        <v>3.2405592578073898E-2</v>
      </c>
      <c r="D34109" s="2">
        <v>8.1919251023990607E-3</v>
      </c>
      <c r="E34109" s="2">
        <v>6.81198910081743E-3</v>
      </c>
      <c r="F34109" s="2">
        <v>2.9015719195447601E-2</v>
      </c>
    </row>
    <row r="34110" spans="1:6" x14ac:dyDescent="0.25">
      <c r="A34110" s="1" t="str">
        <f t="shared" si="1221"/>
        <v>43940</v>
      </c>
      <c r="B34110" s="1" t="str">
        <f>"57799"</f>
        <v>57799</v>
      </c>
      <c r="C34110" s="2">
        <v>7.5003266692800205E-2</v>
      </c>
      <c r="D34110" s="2">
        <v>5.26623756582796E-3</v>
      </c>
      <c r="E34110" s="2">
        <v>1.3623978201634801E-3</v>
      </c>
      <c r="F34110" s="2">
        <v>6.52431122880162E-2</v>
      </c>
    </row>
    <row r="34111" spans="1:6" x14ac:dyDescent="0.25">
      <c r="A34111" s="1" t="str">
        <f t="shared" si="1221"/>
        <v>43940</v>
      </c>
      <c r="B34111" s="1" t="str">
        <f>"57759"</f>
        <v>57759</v>
      </c>
      <c r="C34111" s="2">
        <v>8.4934012805435704E-3</v>
      </c>
      <c r="D34111" s="2">
        <v>0</v>
      </c>
      <c r="E34111" s="2">
        <v>1.3623978201634801E-3</v>
      </c>
      <c r="F34111" s="2">
        <v>7.38069750408473E-3</v>
      </c>
    </row>
    <row r="34112" spans="1:6" x14ac:dyDescent="0.25">
      <c r="A34112" s="1" t="str">
        <f t="shared" si="1221"/>
        <v>43940</v>
      </c>
      <c r="B34112" s="1" t="str">
        <f>"57783"</f>
        <v>57783</v>
      </c>
      <c r="C34112" s="2">
        <v>0.57676728080491302</v>
      </c>
      <c r="D34112" s="2">
        <v>0.67056758338209399</v>
      </c>
      <c r="E34112" s="2">
        <v>0.64168937329700204</v>
      </c>
      <c r="F34112" s="2">
        <v>0.58848385824553395</v>
      </c>
    </row>
    <row r="34113" spans="1:6" x14ac:dyDescent="0.25">
      <c r="A34113" s="1" t="str">
        <f t="shared" si="1221"/>
        <v>43940</v>
      </c>
      <c r="B34113" s="1" t="str">
        <f>"57754"</f>
        <v>57754</v>
      </c>
      <c r="C34113" s="2">
        <v>0.15294655690578801</v>
      </c>
      <c r="D34113" s="2">
        <v>0.107080163838502</v>
      </c>
      <c r="E34113" s="2">
        <v>0.20027247956403199</v>
      </c>
      <c r="F34113" s="2">
        <v>0.15048735140007799</v>
      </c>
    </row>
    <row r="34114" spans="1:6" x14ac:dyDescent="0.25">
      <c r="A34114" s="1" t="str">
        <f t="shared" si="1221"/>
        <v>43940</v>
      </c>
      <c r="B34114" s="1" t="str">
        <f>"57793"</f>
        <v>57793</v>
      </c>
      <c r="C34114" s="2">
        <v>5.2397752515353398E-2</v>
      </c>
      <c r="D34114" s="2">
        <v>1.8139262726740699E-2</v>
      </c>
      <c r="E34114" s="2">
        <v>1.6348773841961799E-2</v>
      </c>
      <c r="F34114" s="2">
        <v>4.7608315961462602E-2</v>
      </c>
    </row>
    <row r="34115" spans="1:6" x14ac:dyDescent="0.25">
      <c r="A34115" s="1" t="str">
        <f t="shared" si="1221"/>
        <v>43940</v>
      </c>
      <c r="B34115" s="1" t="str">
        <f>"57717"</f>
        <v>57717</v>
      </c>
      <c r="C34115" s="2">
        <v>1.11067555207108E-3</v>
      </c>
      <c r="D34115" s="2">
        <v>1.1702750146284299E-3</v>
      </c>
      <c r="E34115" s="2">
        <v>0</v>
      </c>
      <c r="F34115" s="2">
        <v>1.0704828441038901E-3</v>
      </c>
    </row>
    <row r="34116" spans="1:6" x14ac:dyDescent="0.25">
      <c r="A34116" s="1" t="str">
        <f t="shared" ref="A34116:A34134" si="1222">"43980"</f>
        <v>43980</v>
      </c>
      <c r="B34116" s="1" t="str">
        <f>"51047"</f>
        <v>51047</v>
      </c>
      <c r="C34116" s="2">
        <v>3.3567188343227097E-2</v>
      </c>
      <c r="D34116" s="2">
        <v>1.22887864823348E-2</v>
      </c>
      <c r="E34116" s="2">
        <v>6.0000000000000001E-3</v>
      </c>
      <c r="F34116" s="2">
        <v>2.9818378964488999E-2</v>
      </c>
    </row>
    <row r="34117" spans="1:6" x14ac:dyDescent="0.25">
      <c r="A34117" s="1" t="str">
        <f t="shared" si="1222"/>
        <v>43980</v>
      </c>
      <c r="B34117" s="1" t="str">
        <f>"50585"</f>
        <v>50585</v>
      </c>
      <c r="C34117" s="2">
        <v>1.03615758229897E-2</v>
      </c>
      <c r="D34117" s="2">
        <v>1.53609831029185E-3</v>
      </c>
      <c r="E34117" s="2">
        <v>0</v>
      </c>
      <c r="F34117" s="2">
        <v>8.8551549652118901E-3</v>
      </c>
    </row>
    <row r="34118" spans="1:6" x14ac:dyDescent="0.25">
      <c r="A34118" s="1" t="str">
        <f t="shared" si="1222"/>
        <v>43980</v>
      </c>
      <c r="B34118" s="1" t="str">
        <f>"51033"</f>
        <v>51033</v>
      </c>
      <c r="C34118" s="2">
        <v>8.6346465191581203E-3</v>
      </c>
      <c r="D34118" s="2">
        <v>7.6804915514592901E-4</v>
      </c>
      <c r="E34118" s="2">
        <v>0</v>
      </c>
      <c r="F34118" s="2">
        <v>7.3190566549200297E-3</v>
      </c>
    </row>
    <row r="34119" spans="1:6" x14ac:dyDescent="0.25">
      <c r="A34119" s="1" t="str">
        <f t="shared" si="1222"/>
        <v>43980</v>
      </c>
      <c r="B34119" s="1" t="str">
        <f>"51346"</f>
        <v>51346</v>
      </c>
      <c r="C34119" s="2">
        <v>3.2379924446842901E-3</v>
      </c>
      <c r="D34119" s="2">
        <v>0</v>
      </c>
      <c r="E34119" s="2">
        <v>2E-3</v>
      </c>
      <c r="F34119" s="2">
        <v>2.80112044817927E-3</v>
      </c>
    </row>
    <row r="34120" spans="1:6" x14ac:dyDescent="0.25">
      <c r="A34120" s="1" t="str">
        <f t="shared" si="1222"/>
        <v>43980</v>
      </c>
      <c r="B34120" s="1" t="str">
        <f>"51333"</f>
        <v>51333</v>
      </c>
      <c r="C34120" s="2">
        <v>2.52563410685375E-2</v>
      </c>
      <c r="D34120" s="2">
        <v>6.1443932411674304E-3</v>
      </c>
      <c r="E34120" s="2">
        <v>2E-3</v>
      </c>
      <c r="F34120" s="2">
        <v>2.195716996476E-2</v>
      </c>
    </row>
    <row r="34121" spans="1:6" x14ac:dyDescent="0.25">
      <c r="A34121" s="1" t="str">
        <f t="shared" si="1222"/>
        <v>43980</v>
      </c>
      <c r="B34121" s="1" t="str">
        <f>"50565"</f>
        <v>50565</v>
      </c>
      <c r="C34121" s="2">
        <v>1.07933081489476E-4</v>
      </c>
      <c r="D34121" s="2">
        <v>0</v>
      </c>
      <c r="E34121" s="2">
        <v>0</v>
      </c>
      <c r="F34121" s="2">
        <v>9.0358724134815199E-5</v>
      </c>
    </row>
    <row r="34122" spans="1:6" x14ac:dyDescent="0.25">
      <c r="A34122" s="1" t="str">
        <f t="shared" si="1222"/>
        <v>43980</v>
      </c>
      <c r="B34122" s="1" t="str">
        <f>"51364"</f>
        <v>51364</v>
      </c>
      <c r="C34122" s="2">
        <v>1.51106314085267E-3</v>
      </c>
      <c r="D34122" s="2">
        <v>0</v>
      </c>
      <c r="E34122" s="2">
        <v>0</v>
      </c>
      <c r="F34122" s="2">
        <v>1.26502213788741E-3</v>
      </c>
    </row>
    <row r="34123" spans="1:6" x14ac:dyDescent="0.25">
      <c r="A34123" s="1" t="str">
        <f t="shared" si="1222"/>
        <v>43980</v>
      </c>
      <c r="B34123" s="1" t="str">
        <f>"51341"</f>
        <v>51341</v>
      </c>
      <c r="C34123" s="2">
        <v>8.6346465191581201E-4</v>
      </c>
      <c r="D34123" s="2">
        <v>0</v>
      </c>
      <c r="E34123" s="2">
        <v>2E-3</v>
      </c>
      <c r="F34123" s="2">
        <v>8.13228517213336E-4</v>
      </c>
    </row>
    <row r="34124" spans="1:6" x14ac:dyDescent="0.25">
      <c r="A34124" s="1" t="str">
        <f t="shared" si="1222"/>
        <v>43980</v>
      </c>
      <c r="B34124" s="1" t="str">
        <f>"51357"</f>
        <v>51357</v>
      </c>
      <c r="C34124" s="2">
        <v>2.9465731246626999E-2</v>
      </c>
      <c r="D34124" s="2">
        <v>3.8402457757296402E-3</v>
      </c>
      <c r="E34124" s="2">
        <v>6.0000000000000001E-3</v>
      </c>
      <c r="F34124" s="2">
        <v>2.5390801481883E-2</v>
      </c>
    </row>
    <row r="34125" spans="1:6" x14ac:dyDescent="0.25">
      <c r="A34125" s="1" t="str">
        <f t="shared" si="1222"/>
        <v>43980</v>
      </c>
      <c r="B34125" s="1" t="str">
        <f>"51340"</f>
        <v>51340</v>
      </c>
      <c r="C34125" s="2">
        <v>2.8062601187263799E-3</v>
      </c>
      <c r="D34125" s="2">
        <v>0</v>
      </c>
      <c r="E34125" s="2">
        <v>2E-3</v>
      </c>
      <c r="F34125" s="2">
        <v>2.4396855516400102E-3</v>
      </c>
    </row>
    <row r="34126" spans="1:6" x14ac:dyDescent="0.25">
      <c r="A34126" s="1" t="str">
        <f t="shared" si="1222"/>
        <v>43980</v>
      </c>
      <c r="B34126" s="1" t="str">
        <f>"51366"</f>
        <v>51366</v>
      </c>
      <c r="C34126" s="2">
        <v>1.7269293038316199E-2</v>
      </c>
      <c r="D34126" s="2">
        <v>7.6804915514592899E-3</v>
      </c>
      <c r="E34126" s="2">
        <v>6.0000000000000001E-3</v>
      </c>
      <c r="F34126" s="2">
        <v>1.5632059275323001E-2</v>
      </c>
    </row>
    <row r="34127" spans="1:6" x14ac:dyDescent="0.25">
      <c r="A34127" s="1" t="str">
        <f t="shared" si="1222"/>
        <v>43980</v>
      </c>
      <c r="B34127" s="1" t="str">
        <f>"51343"</f>
        <v>51343</v>
      </c>
      <c r="C34127" s="2">
        <v>1.28440366972477E-2</v>
      </c>
      <c r="D34127" s="2">
        <v>5.3763440860214997E-3</v>
      </c>
      <c r="E34127" s="2">
        <v>2E-3</v>
      </c>
      <c r="F34127" s="2">
        <v>1.1475557965121499E-2</v>
      </c>
    </row>
    <row r="34128" spans="1:6" x14ac:dyDescent="0.25">
      <c r="A34128" s="1" t="str">
        <f t="shared" si="1222"/>
        <v>43980</v>
      </c>
      <c r="B34128" s="1" t="str">
        <f>"50554"</f>
        <v>50554</v>
      </c>
      <c r="C34128" s="2">
        <v>2.15866162978953E-4</v>
      </c>
      <c r="D34128" s="2">
        <v>0</v>
      </c>
      <c r="E34128" s="2">
        <v>0</v>
      </c>
      <c r="F34128" s="2">
        <v>1.8071744826962999E-4</v>
      </c>
    </row>
    <row r="34129" spans="1:6" x14ac:dyDescent="0.25">
      <c r="A34129" s="1" t="str">
        <f t="shared" si="1222"/>
        <v>43980</v>
      </c>
      <c r="B34129" s="1" t="str">
        <f>"51351"</f>
        <v>51351</v>
      </c>
      <c r="C34129" s="2">
        <v>2.15866162978953E-4</v>
      </c>
      <c r="D34129" s="2">
        <v>0</v>
      </c>
      <c r="E34129" s="2">
        <v>0</v>
      </c>
      <c r="F34129" s="2">
        <v>1.8071744826962999E-4</v>
      </c>
    </row>
    <row r="34130" spans="1:6" x14ac:dyDescent="0.25">
      <c r="A34130" s="1" t="str">
        <f t="shared" si="1222"/>
        <v>43980</v>
      </c>
      <c r="B34130" s="1" t="str">
        <f>"51338"</f>
        <v>51338</v>
      </c>
      <c r="C34130" s="2">
        <v>5.0944414463032897E-2</v>
      </c>
      <c r="D34130" s="2">
        <v>4.60829493087557E-3</v>
      </c>
      <c r="E34130" s="2">
        <v>2.1999999999999999E-2</v>
      </c>
      <c r="F34130" s="2">
        <v>4.4185416101924599E-2</v>
      </c>
    </row>
    <row r="34131" spans="1:6" x14ac:dyDescent="0.25">
      <c r="A34131" s="1" t="str">
        <f t="shared" si="1222"/>
        <v>43980</v>
      </c>
      <c r="B34131" s="1" t="str">
        <f>"51301"</f>
        <v>51301</v>
      </c>
      <c r="C34131" s="2">
        <v>0.79093362115488297</v>
      </c>
      <c r="D34131" s="2">
        <v>0.95622119815668205</v>
      </c>
      <c r="E34131" s="2">
        <v>0.94599999999999995</v>
      </c>
      <c r="F34131" s="2">
        <v>0.81738501852353795</v>
      </c>
    </row>
    <row r="34132" spans="1:6" x14ac:dyDescent="0.25">
      <c r="A34132" s="1" t="str">
        <f t="shared" si="1222"/>
        <v>43980</v>
      </c>
      <c r="B34132" s="1" t="str">
        <f>"51058"</f>
        <v>51058</v>
      </c>
      <c r="C34132" s="2">
        <v>7.5553157042633501E-4</v>
      </c>
      <c r="D34132" s="2">
        <v>0</v>
      </c>
      <c r="E34132" s="2">
        <v>0</v>
      </c>
      <c r="F34132" s="2">
        <v>6.3251106894370598E-4</v>
      </c>
    </row>
    <row r="34133" spans="1:6" x14ac:dyDescent="0.25">
      <c r="A34133" s="1" t="str">
        <f t="shared" si="1222"/>
        <v>43980</v>
      </c>
      <c r="B34133" s="1" t="str">
        <f>"50515"</f>
        <v>50515</v>
      </c>
      <c r="C34133" s="2">
        <v>1.0793308148947601E-3</v>
      </c>
      <c r="D34133" s="2">
        <v>0</v>
      </c>
      <c r="E34133" s="2">
        <v>0</v>
      </c>
      <c r="F34133" s="2">
        <v>9.0358724134815204E-4</v>
      </c>
    </row>
    <row r="34134" spans="1:6" x14ac:dyDescent="0.25">
      <c r="A34134" s="1" t="str">
        <f t="shared" si="1222"/>
        <v>43980</v>
      </c>
      <c r="B34134" s="1" t="str">
        <f>"51358"</f>
        <v>51358</v>
      </c>
      <c r="C34134" s="2">
        <v>9.92984349703184E-3</v>
      </c>
      <c r="D34134" s="2">
        <v>1.53609831029185E-3</v>
      </c>
      <c r="E34134" s="2">
        <v>4.0000000000000001E-3</v>
      </c>
      <c r="F34134" s="2">
        <v>8.67443751694226E-3</v>
      </c>
    </row>
    <row r="34135" spans="1:6" x14ac:dyDescent="0.25">
      <c r="A34135" s="1" t="str">
        <f t="shared" ref="A34135:A34146" si="1223">"44020"</f>
        <v>44020</v>
      </c>
      <c r="B34135" s="1" t="str">
        <f>"51331"</f>
        <v>51331</v>
      </c>
      <c r="C34135" s="2">
        <v>7.6002990281584804E-2</v>
      </c>
      <c r="D34135" s="2">
        <v>2.3779724655819699E-2</v>
      </c>
      <c r="E34135" s="2">
        <v>6.6141732283464497E-2</v>
      </c>
      <c r="F34135" s="2">
        <v>7.24411786536035E-2</v>
      </c>
    </row>
    <row r="34136" spans="1:6" x14ac:dyDescent="0.25">
      <c r="A34136" s="1" t="str">
        <f t="shared" si="1223"/>
        <v>44020</v>
      </c>
      <c r="B34136" s="1" t="str">
        <f>"51355"</f>
        <v>51355</v>
      </c>
      <c r="C34136" s="2">
        <v>8.2481933715424796E-2</v>
      </c>
      <c r="D34136" s="2">
        <v>7.3842302878598207E-2</v>
      </c>
      <c r="E34136" s="2">
        <v>0.15275590551181101</v>
      </c>
      <c r="F34136" s="2">
        <v>8.5281674460031098E-2</v>
      </c>
    </row>
    <row r="34137" spans="1:6" x14ac:dyDescent="0.25">
      <c r="A34137" s="1" t="str">
        <f t="shared" si="1223"/>
        <v>44020</v>
      </c>
      <c r="B34137" s="1" t="str">
        <f>"51333"</f>
        <v>51333</v>
      </c>
      <c r="C34137" s="2">
        <v>2.4919013207076903E-4</v>
      </c>
      <c r="D34137" s="2">
        <v>0</v>
      </c>
      <c r="E34137" s="2">
        <v>0</v>
      </c>
      <c r="F34137" s="2">
        <v>2.22667557336896E-4</v>
      </c>
    </row>
    <row r="34138" spans="1:6" x14ac:dyDescent="0.25">
      <c r="A34138" s="1" t="str">
        <f t="shared" si="1223"/>
        <v>44020</v>
      </c>
      <c r="B34138" s="1" t="str">
        <f>"51351"</f>
        <v>51351</v>
      </c>
      <c r="C34138" s="2">
        <v>0.23747819586344299</v>
      </c>
      <c r="D34138" s="2">
        <v>0.24530663329161401</v>
      </c>
      <c r="E34138" s="2">
        <v>0.17795275590551099</v>
      </c>
      <c r="F34138" s="2">
        <v>0.23513694054776199</v>
      </c>
    </row>
    <row r="34139" spans="1:6" x14ac:dyDescent="0.25">
      <c r="A34139" s="1" t="str">
        <f t="shared" si="1223"/>
        <v>44020</v>
      </c>
      <c r="B34139" s="1" t="str">
        <f>"51338"</f>
        <v>51338</v>
      </c>
      <c r="C34139" s="2">
        <v>1.91045767920923E-3</v>
      </c>
      <c r="D34139" s="2">
        <v>1.2515644555694599E-3</v>
      </c>
      <c r="E34139" s="2">
        <v>0</v>
      </c>
      <c r="F34139" s="2">
        <v>1.7813404586951599E-3</v>
      </c>
    </row>
    <row r="34140" spans="1:6" x14ac:dyDescent="0.25">
      <c r="A34140" s="1" t="str">
        <f t="shared" si="1223"/>
        <v>44020</v>
      </c>
      <c r="B34140" s="1" t="str">
        <f>"51301"</f>
        <v>51301</v>
      </c>
      <c r="C34140" s="2">
        <v>4.15316886784616E-4</v>
      </c>
      <c r="D34140" s="2">
        <v>1.2515644555694599E-3</v>
      </c>
      <c r="E34140" s="2">
        <v>0</v>
      </c>
      <c r="F34140" s="2">
        <v>4.4533511467379199E-4</v>
      </c>
    </row>
    <row r="34141" spans="1:6" x14ac:dyDescent="0.25">
      <c r="A34141" s="1" t="str">
        <f t="shared" si="1223"/>
        <v>44020</v>
      </c>
      <c r="B34141" s="1" t="str">
        <f>"51363"</f>
        <v>51363</v>
      </c>
      <c r="C34141" s="2">
        <v>7.4757039621230897E-4</v>
      </c>
      <c r="D34141" s="2">
        <v>0</v>
      </c>
      <c r="E34141" s="2">
        <v>1.5748031496062901E-3</v>
      </c>
      <c r="F34141" s="2">
        <v>7.4222519112298604E-4</v>
      </c>
    </row>
    <row r="34142" spans="1:6" x14ac:dyDescent="0.25">
      <c r="A34142" s="1" t="str">
        <f t="shared" si="1223"/>
        <v>44020</v>
      </c>
      <c r="B34142" s="1" t="str">
        <f>"51364"</f>
        <v>51364</v>
      </c>
      <c r="C34142" s="2">
        <v>2.38391893014369E-2</v>
      </c>
      <c r="D34142" s="2">
        <v>0</v>
      </c>
      <c r="E34142" s="2">
        <v>7.8740157480314907E-3</v>
      </c>
      <c r="F34142" s="2">
        <v>2.16729755807912E-2</v>
      </c>
    </row>
    <row r="34143" spans="1:6" x14ac:dyDescent="0.25">
      <c r="A34143" s="1" t="str">
        <f t="shared" si="1223"/>
        <v>44020</v>
      </c>
      <c r="B34143" s="1" t="str">
        <f>"51360"</f>
        <v>51360</v>
      </c>
      <c r="C34143" s="2">
        <v>0.50228424287731499</v>
      </c>
      <c r="D34143" s="2">
        <v>0.63579474342928599</v>
      </c>
      <c r="E34143" s="2">
        <v>0.56220472440944802</v>
      </c>
      <c r="F34143" s="2">
        <v>0.51302605210420804</v>
      </c>
    </row>
    <row r="34144" spans="1:6" x14ac:dyDescent="0.25">
      <c r="A34144" s="1" t="str">
        <f t="shared" si="1223"/>
        <v>44020</v>
      </c>
      <c r="B34144" s="1" t="str">
        <f>"51347"</f>
        <v>51347</v>
      </c>
      <c r="C34144" s="2">
        <v>7.0686934130741702E-2</v>
      </c>
      <c r="D34144" s="2">
        <v>1.6270337922403001E-2</v>
      </c>
      <c r="E34144" s="2">
        <v>2.8346456692913299E-2</v>
      </c>
      <c r="F34144" s="2">
        <v>6.5464261857047401E-2</v>
      </c>
    </row>
    <row r="34145" spans="1:6" x14ac:dyDescent="0.25">
      <c r="A34145" s="1" t="str">
        <f t="shared" si="1223"/>
        <v>44020</v>
      </c>
      <c r="B34145" s="1" t="str">
        <f>"51334"</f>
        <v>51334</v>
      </c>
      <c r="C34145" s="2">
        <v>3.4055984716338502E-3</v>
      </c>
      <c r="D34145" s="2">
        <v>2.5031289111389198E-3</v>
      </c>
      <c r="E34145" s="2">
        <v>0</v>
      </c>
      <c r="F34145" s="2">
        <v>3.1915683218288401E-3</v>
      </c>
    </row>
    <row r="34146" spans="1:6" x14ac:dyDescent="0.25">
      <c r="A34146" s="1" t="str">
        <f t="shared" si="1223"/>
        <v>44020</v>
      </c>
      <c r="B34146" s="1" t="str">
        <f>"51345"</f>
        <v>51345</v>
      </c>
      <c r="C34146" s="2">
        <v>4.9838026414153903E-4</v>
      </c>
      <c r="D34146" s="2">
        <v>0</v>
      </c>
      <c r="E34146" s="2">
        <v>3.1496062992125901E-3</v>
      </c>
      <c r="F34146" s="2">
        <v>5.9378015289838896E-4</v>
      </c>
    </row>
    <row r="34147" spans="1:6" x14ac:dyDescent="0.25">
      <c r="A34147" s="1" t="str">
        <f t="shared" ref="A34147:A34178" si="1224">"44060"</f>
        <v>44060</v>
      </c>
      <c r="B34147" s="1" t="str">
        <f>"99003"</f>
        <v>99003</v>
      </c>
      <c r="C34147" s="2">
        <v>8.4964989872476603E-3</v>
      </c>
      <c r="D34147" s="2">
        <v>1.71368310044819E-3</v>
      </c>
      <c r="E34147" s="2">
        <v>2.57571720401456E-3</v>
      </c>
      <c r="F34147" s="2">
        <v>7.7539433236465003E-3</v>
      </c>
    </row>
    <row r="34148" spans="1:6" x14ac:dyDescent="0.25">
      <c r="A34148" s="1" t="str">
        <f t="shared" si="1224"/>
        <v>44060</v>
      </c>
      <c r="B34148" s="1" t="str">
        <f>"99220"</f>
        <v>99220</v>
      </c>
      <c r="C34148" s="2">
        <v>4.6882467626063002E-3</v>
      </c>
      <c r="D34148" s="2">
        <v>1.99929695052289E-2</v>
      </c>
      <c r="E34148" s="2">
        <v>8.8817834621191902E-5</v>
      </c>
      <c r="F34148" s="2">
        <v>5.6844333204548797E-3</v>
      </c>
    </row>
    <row r="34149" spans="1:6" x14ac:dyDescent="0.25">
      <c r="A34149" s="1" t="str">
        <f t="shared" si="1224"/>
        <v>44060</v>
      </c>
      <c r="B34149" s="1" t="str">
        <f>"99256"</f>
        <v>99256</v>
      </c>
      <c r="C34149" s="2">
        <v>0</v>
      </c>
      <c r="D34149" s="2">
        <v>4.3940592319184399E-5</v>
      </c>
      <c r="E34149" s="2">
        <v>0</v>
      </c>
      <c r="F34149" s="2">
        <v>3.3595941610253401E-6</v>
      </c>
    </row>
    <row r="34150" spans="1:6" x14ac:dyDescent="0.25">
      <c r="A34150" s="1" t="str">
        <f t="shared" si="1224"/>
        <v>44060</v>
      </c>
      <c r="B34150" s="1" t="str">
        <f>"99251"</f>
        <v>99251</v>
      </c>
      <c r="C34150" s="2">
        <v>0</v>
      </c>
      <c r="D34150" s="2">
        <v>4.3940592319184399E-5</v>
      </c>
      <c r="E34150" s="2">
        <v>0</v>
      </c>
      <c r="F34150" s="2">
        <v>3.3595941610253401E-6</v>
      </c>
    </row>
    <row r="34151" spans="1:6" x14ac:dyDescent="0.25">
      <c r="A34151" s="1" t="str">
        <f t="shared" si="1224"/>
        <v>44060</v>
      </c>
      <c r="B34151" s="1" t="str">
        <f>"99020"</f>
        <v>99020</v>
      </c>
      <c r="C34151" s="2">
        <v>0</v>
      </c>
      <c r="D34151" s="2">
        <v>0</v>
      </c>
      <c r="E34151" s="2">
        <v>8.8817834621191902E-5</v>
      </c>
      <c r="F34151" s="2">
        <v>3.3595941610253401E-6</v>
      </c>
    </row>
    <row r="34152" spans="1:6" x14ac:dyDescent="0.25">
      <c r="A34152" s="1" t="str">
        <f t="shared" si="1224"/>
        <v>44060</v>
      </c>
      <c r="B34152" s="1" t="str">
        <f>"99167"</f>
        <v>99167</v>
      </c>
      <c r="C34152" s="2">
        <v>1.604472799824E-3</v>
      </c>
      <c r="D34152" s="2">
        <v>3.9546533087266001E-4</v>
      </c>
      <c r="E34152" s="2">
        <v>3.5527133848476701E-4</v>
      </c>
      <c r="F34152" s="2">
        <v>1.46478305420705E-3</v>
      </c>
    </row>
    <row r="34153" spans="1:6" x14ac:dyDescent="0.25">
      <c r="A34153" s="1" t="str">
        <f t="shared" si="1224"/>
        <v>44060</v>
      </c>
      <c r="B34153" s="1" t="str">
        <f>"99260"</f>
        <v>99260</v>
      </c>
      <c r="C34153" s="2">
        <v>0</v>
      </c>
      <c r="D34153" s="2">
        <v>4.3940592319184399E-5</v>
      </c>
      <c r="E34153" s="2">
        <v>1.33226751931787E-3</v>
      </c>
      <c r="F34153" s="2">
        <v>5.3753506576405503E-5</v>
      </c>
    </row>
    <row r="34154" spans="1:6" x14ac:dyDescent="0.25">
      <c r="A34154" s="1" t="str">
        <f t="shared" si="1224"/>
        <v>44060</v>
      </c>
      <c r="B34154" s="1" t="str">
        <f>"99156"</f>
        <v>99156</v>
      </c>
      <c r="C34154" s="2">
        <v>2.5792943354144602E-4</v>
      </c>
      <c r="D34154" s="2">
        <v>0</v>
      </c>
      <c r="E34154" s="2">
        <v>8.8817834621191902E-5</v>
      </c>
      <c r="F34154" s="2">
        <v>2.3181199711074901E-4</v>
      </c>
    </row>
    <row r="34155" spans="1:6" x14ac:dyDescent="0.25">
      <c r="A34155" s="1" t="str">
        <f t="shared" si="1224"/>
        <v>44060</v>
      </c>
      <c r="B34155" s="1" t="str">
        <f>"99013"</f>
        <v>99013</v>
      </c>
      <c r="C34155" s="2">
        <v>1.66516207830434E-3</v>
      </c>
      <c r="D34155" s="2">
        <v>1.3182177695755299E-4</v>
      </c>
      <c r="E34155" s="2">
        <v>6.2172484234834303E-4</v>
      </c>
      <c r="F34155" s="2">
        <v>1.50845777830038E-3</v>
      </c>
    </row>
    <row r="34156" spans="1:6" x14ac:dyDescent="0.25">
      <c r="A34156" s="1" t="str">
        <f t="shared" si="1224"/>
        <v>44060</v>
      </c>
      <c r="B34156" s="1" t="str">
        <f>"99022"</f>
        <v>99022</v>
      </c>
      <c r="C34156" s="2">
        <v>1.09733801652265E-2</v>
      </c>
      <c r="D34156" s="2">
        <v>1.71368310044819E-3</v>
      </c>
      <c r="E34156" s="2">
        <v>5.5067057465138904E-3</v>
      </c>
      <c r="F34156" s="2">
        <v>1.00586249181098E-2</v>
      </c>
    </row>
    <row r="34157" spans="1:6" x14ac:dyDescent="0.25">
      <c r="A34157" s="1" t="str">
        <f t="shared" si="1224"/>
        <v>44060</v>
      </c>
      <c r="B34157" s="1" t="str">
        <f>"99027"</f>
        <v>99027</v>
      </c>
      <c r="C34157" s="2">
        <v>1.25930252846706E-2</v>
      </c>
      <c r="D34157" s="2">
        <v>6.7229106248352204E-3</v>
      </c>
      <c r="E34157" s="2">
        <v>1.8651745270450301E-3</v>
      </c>
      <c r="F34157" s="2">
        <v>1.17384219986225E-2</v>
      </c>
    </row>
    <row r="34158" spans="1:6" x14ac:dyDescent="0.25">
      <c r="A34158" s="1" t="str">
        <f t="shared" si="1224"/>
        <v>44060</v>
      </c>
      <c r="B34158" s="1" t="str">
        <f>"99201"</f>
        <v>99201</v>
      </c>
      <c r="C34158" s="2">
        <v>3.3534619440293102E-2</v>
      </c>
      <c r="D34158" s="2">
        <v>0.12641708410229299</v>
      </c>
      <c r="E34158" s="2">
        <v>0.12958522071231901</v>
      </c>
      <c r="F34158" s="2">
        <v>4.4269372259830998E-2</v>
      </c>
    </row>
    <row r="34159" spans="1:6" x14ac:dyDescent="0.25">
      <c r="A34159" s="1" t="str">
        <f t="shared" si="1224"/>
        <v>44060</v>
      </c>
      <c r="B34159" s="1" t="str">
        <f>"99218"</f>
        <v>99218</v>
      </c>
      <c r="C34159" s="2">
        <v>2.3372958374741098E-2</v>
      </c>
      <c r="D34159" s="2">
        <v>3.4844889709113203E-2</v>
      </c>
      <c r="E34159" s="2">
        <v>2.8155253574917799E-2</v>
      </c>
      <c r="F34159" s="2">
        <v>2.4430968738976301E-2</v>
      </c>
    </row>
    <row r="34160" spans="1:6" x14ac:dyDescent="0.25">
      <c r="A34160" s="1" t="str">
        <f t="shared" si="1224"/>
        <v>44060</v>
      </c>
      <c r="B34160" s="1" t="str">
        <f>"99160"</f>
        <v>99160</v>
      </c>
      <c r="C34160" s="2">
        <v>1.51723196200851E-5</v>
      </c>
      <c r="D34160" s="2">
        <v>0</v>
      </c>
      <c r="E34160" s="2">
        <v>0</v>
      </c>
      <c r="F34160" s="2">
        <v>1.34383766441013E-5</v>
      </c>
    </row>
    <row r="34161" spans="1:6" x14ac:dyDescent="0.25">
      <c r="A34161" s="1" t="str">
        <f t="shared" si="1224"/>
        <v>44060</v>
      </c>
      <c r="B34161" s="1" t="str">
        <f>"99141"</f>
        <v>99141</v>
      </c>
      <c r="C34161" s="2">
        <v>8.2499487934212801E-3</v>
      </c>
      <c r="D34161" s="2">
        <v>2.3288513929167701E-3</v>
      </c>
      <c r="E34161" s="2">
        <v>7.2830624389377298E-3</v>
      </c>
      <c r="F34161" s="2">
        <v>7.7606625119685498E-3</v>
      </c>
    </row>
    <row r="34162" spans="1:6" x14ac:dyDescent="0.25">
      <c r="A34162" s="1" t="str">
        <f t="shared" si="1224"/>
        <v>44060</v>
      </c>
      <c r="B34162" s="1" t="str">
        <f>"99181"</f>
        <v>99181</v>
      </c>
      <c r="C34162" s="2">
        <v>3.34170339632374E-3</v>
      </c>
      <c r="D34162" s="2">
        <v>5.2728710783021295E-4</v>
      </c>
      <c r="E34162" s="2">
        <v>2.3092637001509899E-3</v>
      </c>
      <c r="F34162" s="2">
        <v>3.0874670339822901E-3</v>
      </c>
    </row>
    <row r="34163" spans="1:6" x14ac:dyDescent="0.25">
      <c r="A34163" s="1" t="str">
        <f t="shared" si="1224"/>
        <v>44060</v>
      </c>
      <c r="B34163" s="1" t="str">
        <f>"99037"</f>
        <v>99037</v>
      </c>
      <c r="C34163" s="2">
        <v>2.9149819070088501E-2</v>
      </c>
      <c r="D34163" s="2">
        <v>2.9352315669215201E-2</v>
      </c>
      <c r="E34163" s="2">
        <v>2.0072830624389301E-2</v>
      </c>
      <c r="F34163" s="2">
        <v>2.8821958307436401E-2</v>
      </c>
    </row>
    <row r="34164" spans="1:6" x14ac:dyDescent="0.25">
      <c r="A34164" s="1" t="str">
        <f t="shared" si="1224"/>
        <v>44060</v>
      </c>
      <c r="B34164" s="1" t="str">
        <f>"99001"</f>
        <v>99001</v>
      </c>
      <c r="C34164" s="2">
        <v>1.5760247005363399E-2</v>
      </c>
      <c r="D34164" s="2">
        <v>1.4851920203884299E-2</v>
      </c>
      <c r="E34164" s="2">
        <v>3.0819788613553601E-2</v>
      </c>
      <c r="F34164" s="2">
        <v>1.6260435739362599E-2</v>
      </c>
    </row>
    <row r="34165" spans="1:6" x14ac:dyDescent="0.25">
      <c r="A34165" s="1" t="str">
        <f t="shared" si="1224"/>
        <v>44060</v>
      </c>
      <c r="B34165" s="1" t="str">
        <f>"99207"</f>
        <v>99207</v>
      </c>
      <c r="C34165" s="2">
        <v>5.1229337197217298E-2</v>
      </c>
      <c r="D34165" s="2">
        <v>5.8572809561472802E-2</v>
      </c>
      <c r="E34165" s="2">
        <v>5.3823607780442297E-2</v>
      </c>
      <c r="F34165" s="2">
        <v>5.18889318170365E-2</v>
      </c>
    </row>
    <row r="34166" spans="1:6" x14ac:dyDescent="0.25">
      <c r="A34166" s="1" t="str">
        <f t="shared" si="1224"/>
        <v>44060</v>
      </c>
      <c r="B34166" s="1" t="str">
        <f>"99212"</f>
        <v>99212</v>
      </c>
      <c r="C34166" s="2">
        <v>3.6402187848489198E-2</v>
      </c>
      <c r="D34166" s="2">
        <v>6.20001757623692E-2</v>
      </c>
      <c r="E34166" s="2">
        <v>3.6326494360067497E-2</v>
      </c>
      <c r="F34166" s="2">
        <v>3.8356486536426301E-2</v>
      </c>
    </row>
    <row r="34167" spans="1:6" x14ac:dyDescent="0.25">
      <c r="A34167" s="1" t="str">
        <f t="shared" si="1224"/>
        <v>44060</v>
      </c>
      <c r="B34167" s="1" t="str">
        <f>"99036"</f>
        <v>99036</v>
      </c>
      <c r="C34167" s="2">
        <v>2.10895242719183E-3</v>
      </c>
      <c r="D34167" s="2">
        <v>8.7881184638368906E-5</v>
      </c>
      <c r="E34167" s="2">
        <v>2.2204458655297899E-3</v>
      </c>
      <c r="F34167" s="2">
        <v>1.9586433958777702E-3</v>
      </c>
    </row>
    <row r="34168" spans="1:6" x14ac:dyDescent="0.25">
      <c r="A34168" s="1" t="str">
        <f t="shared" si="1224"/>
        <v>44060</v>
      </c>
      <c r="B34168" s="1" t="str">
        <f>"99029"</f>
        <v>99029</v>
      </c>
      <c r="C34168" s="2">
        <v>5.9551354508834001E-4</v>
      </c>
      <c r="D34168" s="2">
        <v>0</v>
      </c>
      <c r="E34168" s="2">
        <v>1.7763566924238299E-4</v>
      </c>
      <c r="F34168" s="2">
        <v>5.3417547160302997E-4</v>
      </c>
    </row>
    <row r="34169" spans="1:6" x14ac:dyDescent="0.25">
      <c r="A34169" s="1" t="str">
        <f t="shared" si="1224"/>
        <v>44060</v>
      </c>
      <c r="B34169" s="1" t="str">
        <f>"99122"</f>
        <v>99122</v>
      </c>
      <c r="C34169" s="2">
        <v>6.0689278480340399E-5</v>
      </c>
      <c r="D34169" s="2">
        <v>0</v>
      </c>
      <c r="E34169" s="2">
        <v>8.8817834621191902E-5</v>
      </c>
      <c r="F34169" s="2">
        <v>5.7113100737430903E-5</v>
      </c>
    </row>
    <row r="34170" spans="1:6" x14ac:dyDescent="0.25">
      <c r="A34170" s="1" t="str">
        <f t="shared" si="1224"/>
        <v>44060</v>
      </c>
      <c r="B34170" s="1" t="str">
        <f>"99205"</f>
        <v>99205</v>
      </c>
      <c r="C34170" s="2">
        <v>7.1514728529271099E-2</v>
      </c>
      <c r="D34170" s="2">
        <v>3.9722295456542697E-2</v>
      </c>
      <c r="E34170" s="2">
        <v>4.0945021760369398E-2</v>
      </c>
      <c r="F34170" s="2">
        <v>6.7927634341771501E-2</v>
      </c>
    </row>
    <row r="34171" spans="1:6" x14ac:dyDescent="0.25">
      <c r="A34171" s="1" t="str">
        <f t="shared" si="1224"/>
        <v>44060</v>
      </c>
      <c r="B34171" s="1" t="str">
        <f>"99021"</f>
        <v>99021</v>
      </c>
      <c r="C34171" s="2">
        <v>1.81650596651469E-2</v>
      </c>
      <c r="D34171" s="2">
        <v>1.14684945953071E-2</v>
      </c>
      <c r="E34171" s="2">
        <v>3.10862421174171E-3</v>
      </c>
      <c r="F34171" s="2">
        <v>1.7083536308813801E-2</v>
      </c>
    </row>
    <row r="34172" spans="1:6" x14ac:dyDescent="0.25">
      <c r="A34172" s="1" t="str">
        <f t="shared" si="1224"/>
        <v>44060</v>
      </c>
      <c r="B34172" s="1" t="str">
        <f>"99030"</f>
        <v>99030</v>
      </c>
      <c r="C34172" s="2">
        <v>1.19861324998672E-3</v>
      </c>
      <c r="D34172" s="2">
        <v>3.9546533087266001E-4</v>
      </c>
      <c r="E34172" s="2">
        <v>6.2172484234834303E-4</v>
      </c>
      <c r="F34172" s="2">
        <v>1.11538526146041E-3</v>
      </c>
    </row>
    <row r="34173" spans="1:6" x14ac:dyDescent="0.25">
      <c r="A34173" s="1" t="str">
        <f t="shared" si="1224"/>
        <v>44060</v>
      </c>
      <c r="B34173" s="1" t="str">
        <f>"99216"</f>
        <v>99216</v>
      </c>
      <c r="C34173" s="2">
        <v>4.8172114793770197E-2</v>
      </c>
      <c r="D34173" s="2">
        <v>5.6727304684067101E-2</v>
      </c>
      <c r="E34173" s="2">
        <v>5.39124256150635E-2</v>
      </c>
      <c r="F34173" s="2">
        <v>4.9043355562648001E-2</v>
      </c>
    </row>
    <row r="34174" spans="1:6" x14ac:dyDescent="0.25">
      <c r="A34174" s="1" t="str">
        <f t="shared" si="1224"/>
        <v>44060</v>
      </c>
      <c r="B34174" s="1" t="str">
        <f>"99217"</f>
        <v>99217</v>
      </c>
      <c r="C34174" s="2">
        <v>3.2620487183183E-2</v>
      </c>
      <c r="D34174" s="2">
        <v>3.2384216539238897E-2</v>
      </c>
      <c r="E34174" s="2">
        <v>1.7141842081889999E-2</v>
      </c>
      <c r="F34174" s="2">
        <v>3.2016932354571502E-2</v>
      </c>
    </row>
    <row r="34175" spans="1:6" x14ac:dyDescent="0.25">
      <c r="A34175" s="1" t="str">
        <f t="shared" si="1224"/>
        <v>44060</v>
      </c>
      <c r="B34175" s="1" t="str">
        <f>"99210"</f>
        <v>99210</v>
      </c>
      <c r="C34175" s="2">
        <v>4.7147983219414501E-3</v>
      </c>
      <c r="D34175" s="2">
        <v>1.6214078565779E-2</v>
      </c>
      <c r="E34175" s="2">
        <v>8.8817834621191902E-5</v>
      </c>
      <c r="F34175" s="2">
        <v>5.4190253817338798E-3</v>
      </c>
    </row>
    <row r="34176" spans="1:6" x14ac:dyDescent="0.25">
      <c r="A34176" s="1" t="str">
        <f t="shared" si="1224"/>
        <v>44060</v>
      </c>
      <c r="B34176" s="1" t="str">
        <f>"99033"</f>
        <v>99033</v>
      </c>
      <c r="C34176" s="2">
        <v>4.93100387652766E-5</v>
      </c>
      <c r="D34176" s="2">
        <v>0</v>
      </c>
      <c r="E34176" s="2">
        <v>8.8817834621191902E-5</v>
      </c>
      <c r="F34176" s="2">
        <v>4.7034318254354799E-5</v>
      </c>
    </row>
    <row r="34177" spans="1:6" x14ac:dyDescent="0.25">
      <c r="A34177" s="1" t="str">
        <f t="shared" si="1224"/>
        <v>44060</v>
      </c>
      <c r="B34177" s="1" t="str">
        <f>"99137"</f>
        <v>99137</v>
      </c>
      <c r="C34177" s="2">
        <v>6.7516822309378701E-4</v>
      </c>
      <c r="D34177" s="2">
        <v>4.3940592319184399E-5</v>
      </c>
      <c r="E34177" s="2">
        <v>2.6645350386357499E-4</v>
      </c>
      <c r="F34177" s="2">
        <v>6.1144613730661299E-4</v>
      </c>
    </row>
    <row r="34178" spans="1:6" x14ac:dyDescent="0.25">
      <c r="A34178" s="1" t="str">
        <f t="shared" si="1224"/>
        <v>44060</v>
      </c>
      <c r="B34178" s="1" t="str">
        <f>"99211"</f>
        <v>99211</v>
      </c>
      <c r="C34178" s="2">
        <v>1.3617156859026299E-3</v>
      </c>
      <c r="D34178" s="2">
        <v>7.7335442481764596E-3</v>
      </c>
      <c r="E34178" s="2">
        <v>8.8817834621191902E-5</v>
      </c>
      <c r="F34178" s="2">
        <v>1.8007424703095801E-3</v>
      </c>
    </row>
    <row r="34179" spans="1:6" x14ac:dyDescent="0.25">
      <c r="A34179" s="1" t="str">
        <f t="shared" ref="A34179:A34210" si="1225">"44060"</f>
        <v>44060</v>
      </c>
      <c r="B34179" s="1" t="str">
        <f>"99252"</f>
        <v>99252</v>
      </c>
      <c r="C34179" s="2">
        <v>0</v>
      </c>
      <c r="D34179" s="2">
        <v>4.3940592319184399E-5</v>
      </c>
      <c r="E34179" s="2">
        <v>0</v>
      </c>
      <c r="F34179" s="2">
        <v>3.3595941610253401E-6</v>
      </c>
    </row>
    <row r="34180" spans="1:6" x14ac:dyDescent="0.25">
      <c r="A34180" s="1" t="str">
        <f t="shared" si="1225"/>
        <v>44060</v>
      </c>
      <c r="B34180" s="1" t="str">
        <f>"99151"</f>
        <v>99151</v>
      </c>
      <c r="C34180" s="2">
        <v>0</v>
      </c>
      <c r="D34180" s="2">
        <v>0</v>
      </c>
      <c r="E34180" s="2">
        <v>7.3718802735589298E-3</v>
      </c>
      <c r="F34180" s="2">
        <v>2.7884631536510298E-4</v>
      </c>
    </row>
    <row r="34181" spans="1:6" x14ac:dyDescent="0.25">
      <c r="A34181" s="1" t="str">
        <f t="shared" si="1225"/>
        <v>44060</v>
      </c>
      <c r="B34181" s="1" t="str">
        <f>"99018"</f>
        <v>99018</v>
      </c>
      <c r="C34181" s="2">
        <v>3.4896335126195701E-4</v>
      </c>
      <c r="D34181" s="2">
        <v>4.3940592319184399E-5</v>
      </c>
      <c r="E34181" s="2">
        <v>8.8817834621191902E-5</v>
      </c>
      <c r="F34181" s="2">
        <v>3.1580185113638202E-4</v>
      </c>
    </row>
    <row r="34182" spans="1:6" x14ac:dyDescent="0.25">
      <c r="A34182" s="1" t="str">
        <f t="shared" si="1225"/>
        <v>44060</v>
      </c>
      <c r="B34182" s="1" t="str">
        <f>"99224"</f>
        <v>99224</v>
      </c>
      <c r="C34182" s="2">
        <v>4.0479748746386997E-2</v>
      </c>
      <c r="D34182" s="2">
        <v>1.9597504174356201E-2</v>
      </c>
      <c r="E34182" s="2">
        <v>1.7497113420374799E-2</v>
      </c>
      <c r="F34182" s="2">
        <v>3.8013807932001799E-2</v>
      </c>
    </row>
    <row r="34183" spans="1:6" x14ac:dyDescent="0.25">
      <c r="A34183" s="1" t="str">
        <f t="shared" si="1225"/>
        <v>44060</v>
      </c>
      <c r="B34183" s="1" t="str">
        <f>"99019"</f>
        <v>99019</v>
      </c>
      <c r="C34183" s="2">
        <v>2.2375378359720501E-2</v>
      </c>
      <c r="D34183" s="2">
        <v>2.87371473767466E-2</v>
      </c>
      <c r="E34183" s="2">
        <v>1.62536637356781E-2</v>
      </c>
      <c r="F34183" s="2">
        <v>2.26302262686667E-2</v>
      </c>
    </row>
    <row r="34184" spans="1:6" x14ac:dyDescent="0.25">
      <c r="A34184" s="1" t="str">
        <f t="shared" si="1225"/>
        <v>44060</v>
      </c>
      <c r="B34184" s="1" t="str">
        <f>"99173"</f>
        <v>99173</v>
      </c>
      <c r="C34184" s="2">
        <v>2.68170749285004E-3</v>
      </c>
      <c r="D34184" s="2">
        <v>1.3182177695755299E-4</v>
      </c>
      <c r="E34184" s="2">
        <v>4.4408917310595902E-3</v>
      </c>
      <c r="F34184" s="2">
        <v>2.55329156237926E-3</v>
      </c>
    </row>
    <row r="34185" spans="1:6" x14ac:dyDescent="0.25">
      <c r="A34185" s="1" t="str">
        <f t="shared" si="1225"/>
        <v>44060</v>
      </c>
      <c r="B34185" s="1" t="str">
        <f>"99039"</f>
        <v>99039</v>
      </c>
      <c r="C34185" s="2">
        <v>0</v>
      </c>
      <c r="D34185" s="2">
        <v>0</v>
      </c>
      <c r="E34185" s="2">
        <v>4.4408917310595902E-3</v>
      </c>
      <c r="F34185" s="2">
        <v>1.6797970805126699E-4</v>
      </c>
    </row>
    <row r="34186" spans="1:6" x14ac:dyDescent="0.25">
      <c r="A34186" s="1" t="str">
        <f t="shared" si="1225"/>
        <v>44060</v>
      </c>
      <c r="B34186" s="1" t="str">
        <f>"99213"</f>
        <v>99213</v>
      </c>
      <c r="C34186" s="2">
        <v>1.4413703639080801E-3</v>
      </c>
      <c r="D34186" s="2">
        <v>6.4153264786009304E-3</v>
      </c>
      <c r="E34186" s="2">
        <v>1.7763566924238299E-4</v>
      </c>
      <c r="F34186" s="2">
        <v>1.7738657170213801E-3</v>
      </c>
    </row>
    <row r="34187" spans="1:6" x14ac:dyDescent="0.25">
      <c r="A34187" s="1" t="str">
        <f t="shared" si="1225"/>
        <v>44060</v>
      </c>
      <c r="B34187" s="1" t="str">
        <f>"99157"</f>
        <v>99157</v>
      </c>
      <c r="C34187" s="2">
        <v>4.6313505640309801E-3</v>
      </c>
      <c r="D34187" s="2">
        <v>2.68037613147025E-3</v>
      </c>
      <c r="E34187" s="2">
        <v>1.59872102318145E-3</v>
      </c>
      <c r="F34187" s="2">
        <v>4.3674724093329502E-3</v>
      </c>
    </row>
    <row r="34188" spans="1:6" x14ac:dyDescent="0.25">
      <c r="A34188" s="1" t="str">
        <f t="shared" si="1225"/>
        <v>44060</v>
      </c>
      <c r="B34188" s="1" t="str">
        <f>"99016"</f>
        <v>99016</v>
      </c>
      <c r="C34188" s="2">
        <v>2.9855331932422399E-2</v>
      </c>
      <c r="D34188" s="2">
        <v>1.0765445118200099E-2</v>
      </c>
      <c r="E34188" s="2">
        <v>7.6383337774225003E-3</v>
      </c>
      <c r="F34188" s="2">
        <v>2.7555391308729901E-2</v>
      </c>
    </row>
    <row r="34189" spans="1:6" x14ac:dyDescent="0.25">
      <c r="A34189" s="1" t="str">
        <f t="shared" si="1225"/>
        <v>44060</v>
      </c>
      <c r="B34189" s="1" t="str">
        <f>"99126"</f>
        <v>99126</v>
      </c>
      <c r="C34189" s="2">
        <v>1.5248181218185501E-3</v>
      </c>
      <c r="D34189" s="2">
        <v>8.7881184638368906E-5</v>
      </c>
      <c r="E34189" s="2">
        <v>7.10542676969535E-4</v>
      </c>
      <c r="F34189" s="2">
        <v>1.38415279434244E-3</v>
      </c>
    </row>
    <row r="34190" spans="1:6" x14ac:dyDescent="0.25">
      <c r="A34190" s="1" t="str">
        <f t="shared" si="1225"/>
        <v>44060</v>
      </c>
      <c r="B34190" s="1" t="str">
        <f>"99005"</f>
        <v>99005</v>
      </c>
      <c r="C34190" s="2">
        <v>1.34995713819707E-2</v>
      </c>
      <c r="D34190" s="2">
        <v>1.1424554002987899E-3</v>
      </c>
      <c r="E34190" s="2">
        <v>3.10862421174171E-3</v>
      </c>
      <c r="F34190" s="2">
        <v>1.2161730862911699E-2</v>
      </c>
    </row>
    <row r="34191" spans="1:6" x14ac:dyDescent="0.25">
      <c r="A34191" s="1" t="str">
        <f t="shared" si="1225"/>
        <v>44060</v>
      </c>
      <c r="B34191" s="1" t="str">
        <f>"99129"</f>
        <v>99129</v>
      </c>
      <c r="C34191" s="2">
        <v>1.604472799824E-3</v>
      </c>
      <c r="D34191" s="2">
        <v>4.3940592319184401E-4</v>
      </c>
      <c r="E34191" s="2">
        <v>1.7763566924238299E-4</v>
      </c>
      <c r="F34191" s="2">
        <v>1.46142346004602E-3</v>
      </c>
    </row>
    <row r="34192" spans="1:6" x14ac:dyDescent="0.25">
      <c r="A34192" s="1" t="str">
        <f t="shared" si="1225"/>
        <v>44060</v>
      </c>
      <c r="B34192" s="1" t="str">
        <f>"99219"</f>
        <v>99219</v>
      </c>
      <c r="C34192" s="2">
        <v>1.4944734825783801E-3</v>
      </c>
      <c r="D34192" s="2">
        <v>5.4486334475788703E-3</v>
      </c>
      <c r="E34192" s="2">
        <v>8.8817834621191902E-5</v>
      </c>
      <c r="F34192" s="2">
        <v>1.74362936957215E-3</v>
      </c>
    </row>
    <row r="34193" spans="1:6" x14ac:dyDescent="0.25">
      <c r="A34193" s="1" t="str">
        <f t="shared" si="1225"/>
        <v>44060</v>
      </c>
      <c r="B34193" s="1" t="str">
        <f>"99223"</f>
        <v>99223</v>
      </c>
      <c r="C34193" s="2">
        <v>6.0837208596636203E-2</v>
      </c>
      <c r="D34193" s="2">
        <v>3.47570085244749E-2</v>
      </c>
      <c r="E34193" s="2">
        <v>7.3097077893240894E-2</v>
      </c>
      <c r="F34193" s="2">
        <v>5.9306915724580397E-2</v>
      </c>
    </row>
    <row r="34194" spans="1:6" x14ac:dyDescent="0.25">
      <c r="A34194" s="1" t="str">
        <f t="shared" si="1225"/>
        <v>44060</v>
      </c>
      <c r="B34194" s="1" t="str">
        <f>"99228"</f>
        <v>99228</v>
      </c>
      <c r="C34194" s="2">
        <v>5.5341035814260404E-3</v>
      </c>
      <c r="D34194" s="2">
        <v>1.2435187626329201E-2</v>
      </c>
      <c r="E34194" s="2">
        <v>8.8817834621191902E-5</v>
      </c>
      <c r="F34194" s="2">
        <v>5.8557726226671804E-3</v>
      </c>
    </row>
    <row r="34195" spans="1:6" x14ac:dyDescent="0.25">
      <c r="A34195" s="1" t="str">
        <f t="shared" si="1225"/>
        <v>44060</v>
      </c>
      <c r="B34195" s="1" t="str">
        <f>"99114"</f>
        <v>99114</v>
      </c>
      <c r="C34195" s="2">
        <v>2.4931914215704801E-2</v>
      </c>
      <c r="D34195" s="2">
        <v>2.9132612707619202E-2</v>
      </c>
      <c r="E34195" s="2">
        <v>3.3217870148325702E-2</v>
      </c>
      <c r="F34195" s="2">
        <v>2.5566511565402801E-2</v>
      </c>
    </row>
    <row r="34196" spans="1:6" x14ac:dyDescent="0.25">
      <c r="A34196" s="1" t="str">
        <f t="shared" si="1225"/>
        <v>44060</v>
      </c>
      <c r="B34196" s="1" t="str">
        <f>"99170"</f>
        <v>99170</v>
      </c>
      <c r="C34196" s="2">
        <v>4.43790348887489E-4</v>
      </c>
      <c r="D34196" s="2">
        <v>1.3182177695755299E-4</v>
      </c>
      <c r="E34196" s="2">
        <v>0</v>
      </c>
      <c r="F34196" s="2">
        <v>4.0315129932304099E-4</v>
      </c>
    </row>
    <row r="34197" spans="1:6" x14ac:dyDescent="0.25">
      <c r="A34197" s="1" t="str">
        <f t="shared" si="1225"/>
        <v>44060</v>
      </c>
      <c r="B34197" s="1" t="str">
        <f>"99204"</f>
        <v>99204</v>
      </c>
      <c r="C34197" s="2">
        <v>1.6647827703138302E-2</v>
      </c>
      <c r="D34197" s="2">
        <v>2.3991563406274698E-2</v>
      </c>
      <c r="E34197" s="2">
        <v>7.1675992539301805E-2</v>
      </c>
      <c r="F34197" s="2">
        <v>1.92907896726075E-2</v>
      </c>
    </row>
    <row r="34198" spans="1:6" x14ac:dyDescent="0.25">
      <c r="A34198" s="1" t="str">
        <f t="shared" si="1225"/>
        <v>44060</v>
      </c>
      <c r="B34198" s="1" t="str">
        <f>"99008"</f>
        <v>99008</v>
      </c>
      <c r="C34198" s="2">
        <v>4.1723878955234002E-4</v>
      </c>
      <c r="D34198" s="2">
        <v>0</v>
      </c>
      <c r="E34198" s="2">
        <v>8.8817834621191902E-5</v>
      </c>
      <c r="F34198" s="2">
        <v>3.7291495187381302E-4</v>
      </c>
    </row>
    <row r="34199" spans="1:6" x14ac:dyDescent="0.25">
      <c r="A34199" s="1" t="str">
        <f t="shared" si="1225"/>
        <v>44060</v>
      </c>
      <c r="B34199" s="1" t="str">
        <f>"99031"</f>
        <v>99031</v>
      </c>
      <c r="C34199" s="2">
        <v>1.5248181218185501E-3</v>
      </c>
      <c r="D34199" s="2">
        <v>2.1970296159592201E-4</v>
      </c>
      <c r="E34199" s="2">
        <v>5.3290700772715095E-4</v>
      </c>
      <c r="F34199" s="2">
        <v>1.3875123885034599E-3</v>
      </c>
    </row>
    <row r="34200" spans="1:6" x14ac:dyDescent="0.25">
      <c r="A34200" s="1" t="str">
        <f t="shared" si="1225"/>
        <v>44060</v>
      </c>
      <c r="B34200" s="1" t="str">
        <f>"99258"</f>
        <v>99258</v>
      </c>
      <c r="C34200" s="2">
        <v>0</v>
      </c>
      <c r="D34200" s="2">
        <v>4.3940592319184399E-5</v>
      </c>
      <c r="E34200" s="2">
        <v>0</v>
      </c>
      <c r="F34200" s="2">
        <v>3.3595941610253401E-6</v>
      </c>
    </row>
    <row r="34201" spans="1:6" x14ac:dyDescent="0.25">
      <c r="A34201" s="1" t="str">
        <f t="shared" si="1225"/>
        <v>44060</v>
      </c>
      <c r="B34201" s="1" t="str">
        <f>"99032"</f>
        <v>99032</v>
      </c>
      <c r="C34201" s="2">
        <v>7.5861598100425499E-6</v>
      </c>
      <c r="D34201" s="2">
        <v>4.3940592319184399E-5</v>
      </c>
      <c r="E34201" s="2">
        <v>0</v>
      </c>
      <c r="F34201" s="2">
        <v>1.0078782483076E-5</v>
      </c>
    </row>
    <row r="34202" spans="1:6" x14ac:dyDescent="0.25">
      <c r="A34202" s="1" t="str">
        <f t="shared" si="1225"/>
        <v>44060</v>
      </c>
      <c r="B34202" s="1" t="str">
        <f>"99131"</f>
        <v>99131</v>
      </c>
      <c r="C34202" s="2">
        <v>4.0206646993225502E-4</v>
      </c>
      <c r="D34202" s="2">
        <v>8.7881184638368906E-5</v>
      </c>
      <c r="E34202" s="2">
        <v>8.8817834621191902E-5</v>
      </c>
      <c r="F34202" s="2">
        <v>3.6619576355176201E-4</v>
      </c>
    </row>
    <row r="34203" spans="1:6" x14ac:dyDescent="0.25">
      <c r="A34203" s="1" t="str">
        <f t="shared" si="1225"/>
        <v>44060</v>
      </c>
      <c r="B34203" s="1" t="str">
        <f>"99110"</f>
        <v>99110</v>
      </c>
      <c r="C34203" s="2">
        <v>2.6210182143697001E-3</v>
      </c>
      <c r="D34203" s="2">
        <v>8.78811846383689E-4</v>
      </c>
      <c r="E34203" s="2">
        <v>1.9539923616662199E-3</v>
      </c>
      <c r="F34203" s="2">
        <v>2.4625825200315799E-3</v>
      </c>
    </row>
    <row r="34204" spans="1:6" x14ac:dyDescent="0.25">
      <c r="A34204" s="1" t="str">
        <f t="shared" si="1225"/>
        <v>44060</v>
      </c>
      <c r="B34204" s="1" t="str">
        <f>"99012"</f>
        <v>99012</v>
      </c>
      <c r="C34204" s="2">
        <v>1.0051661748306301E-3</v>
      </c>
      <c r="D34204" s="2">
        <v>2.1970296159592201E-4</v>
      </c>
      <c r="E34204" s="2">
        <v>4.4408917310595902E-3</v>
      </c>
      <c r="F34204" s="2">
        <v>1.07507013152811E-3</v>
      </c>
    </row>
    <row r="34205" spans="1:6" x14ac:dyDescent="0.25">
      <c r="A34205" s="1" t="str">
        <f t="shared" si="1225"/>
        <v>44060</v>
      </c>
      <c r="B34205" s="1" t="str">
        <f>"99040"</f>
        <v>99040</v>
      </c>
      <c r="C34205" s="2">
        <v>2.0861939477617001E-4</v>
      </c>
      <c r="D34205" s="2">
        <v>1.3182177695755299E-4</v>
      </c>
      <c r="E34205" s="2">
        <v>6.0396127542410496E-3</v>
      </c>
      <c r="F34205" s="2">
        <v>4.2330886428919301E-4</v>
      </c>
    </row>
    <row r="34206" spans="1:6" x14ac:dyDescent="0.25">
      <c r="A34206" s="1" t="str">
        <f t="shared" si="1225"/>
        <v>44060</v>
      </c>
      <c r="B34206" s="1" t="str">
        <f>"99214"</f>
        <v>99214</v>
      </c>
      <c r="C34206" s="2">
        <v>4.2444564137188098E-3</v>
      </c>
      <c r="D34206" s="2">
        <v>1.6829246858247601E-2</v>
      </c>
      <c r="E34206" s="2">
        <v>8.8817834621191902E-5</v>
      </c>
      <c r="F34206" s="2">
        <v>5.0494700240210902E-3</v>
      </c>
    </row>
    <row r="34207" spans="1:6" x14ac:dyDescent="0.25">
      <c r="A34207" s="1" t="str">
        <f t="shared" si="1225"/>
        <v>44060</v>
      </c>
      <c r="B34207" s="1" t="str">
        <f>"99014"</f>
        <v>99014</v>
      </c>
      <c r="C34207" s="2">
        <v>3.7930799050212698E-6</v>
      </c>
      <c r="D34207" s="2">
        <v>0</v>
      </c>
      <c r="E34207" s="2">
        <v>1.7763566924238299E-4</v>
      </c>
      <c r="F34207" s="2">
        <v>1.0078782483076E-5</v>
      </c>
    </row>
    <row r="34208" spans="1:6" x14ac:dyDescent="0.25">
      <c r="A34208" s="1" t="str">
        <f t="shared" si="1225"/>
        <v>44060</v>
      </c>
      <c r="B34208" s="1" t="str">
        <f>"99148"</f>
        <v>99148</v>
      </c>
      <c r="C34208" s="2">
        <v>5.1130717119686796E-3</v>
      </c>
      <c r="D34208" s="2">
        <v>1.45003954653308E-3</v>
      </c>
      <c r="E34208" s="2">
        <v>5.2402522426503199E-3</v>
      </c>
      <c r="F34208" s="2">
        <v>4.8378155918764997E-3</v>
      </c>
    </row>
    <row r="34209" spans="1:6" x14ac:dyDescent="0.25">
      <c r="A34209" s="1" t="str">
        <f t="shared" si="1225"/>
        <v>44060</v>
      </c>
      <c r="B34209" s="1" t="str">
        <f>"99023"</f>
        <v>99023</v>
      </c>
      <c r="C34209" s="2">
        <v>8.8758069777497897E-4</v>
      </c>
      <c r="D34209" s="2">
        <v>4.3940592319184399E-5</v>
      </c>
      <c r="E34209" s="2">
        <v>1.7763566924238299E-4</v>
      </c>
      <c r="F34209" s="2">
        <v>7.9622381616300695E-4</v>
      </c>
    </row>
    <row r="34210" spans="1:6" x14ac:dyDescent="0.25">
      <c r="A34210" s="1" t="str">
        <f t="shared" si="1225"/>
        <v>44060</v>
      </c>
      <c r="B34210" s="1" t="str">
        <f>"99034"</f>
        <v>99034</v>
      </c>
      <c r="C34210" s="2">
        <v>6.7896130299880796E-4</v>
      </c>
      <c r="D34210" s="2">
        <v>1.3182177695755299E-4</v>
      </c>
      <c r="E34210" s="2">
        <v>3.5527133848476701E-4</v>
      </c>
      <c r="F34210" s="2">
        <v>6.2488451395071405E-4</v>
      </c>
    </row>
    <row r="34211" spans="1:6" x14ac:dyDescent="0.25">
      <c r="A34211" s="1" t="str">
        <f t="shared" ref="A34211:A34223" si="1226">"44060"</f>
        <v>44060</v>
      </c>
      <c r="B34211" s="1" t="str">
        <f>"99101"</f>
        <v>99101</v>
      </c>
      <c r="C34211" s="2">
        <v>2.6172251344646802E-3</v>
      </c>
      <c r="D34211" s="2">
        <v>5.2728710783021295E-4</v>
      </c>
      <c r="E34211" s="2">
        <v>1.50990318856026E-3</v>
      </c>
      <c r="F34211" s="2">
        <v>2.4155482017772199E-3</v>
      </c>
    </row>
    <row r="34212" spans="1:6" x14ac:dyDescent="0.25">
      <c r="A34212" s="1" t="str">
        <f t="shared" si="1226"/>
        <v>44060</v>
      </c>
      <c r="B34212" s="1" t="str">
        <f>"99202"</f>
        <v>99202</v>
      </c>
      <c r="C34212" s="2">
        <v>3.3747031914974301E-2</v>
      </c>
      <c r="D34212" s="2">
        <v>8.7178135161261897E-2</v>
      </c>
      <c r="E34212" s="2">
        <v>6.6879829469757499E-2</v>
      </c>
      <c r="F34212" s="2">
        <v>3.9085518469368898E-2</v>
      </c>
    </row>
    <row r="34213" spans="1:6" x14ac:dyDescent="0.25">
      <c r="A34213" s="1" t="str">
        <f t="shared" si="1226"/>
        <v>44060</v>
      </c>
      <c r="B34213" s="1" t="str">
        <f>"99206"</f>
        <v>99206</v>
      </c>
      <c r="C34213" s="2">
        <v>6.2104097284913402E-2</v>
      </c>
      <c r="D34213" s="2">
        <v>7.4435363388698397E-2</v>
      </c>
      <c r="E34213" s="2">
        <v>6.4748201438848907E-2</v>
      </c>
      <c r="F34213" s="2">
        <v>6.3146931850632401E-2</v>
      </c>
    </row>
    <row r="34214" spans="1:6" x14ac:dyDescent="0.25">
      <c r="A34214" s="1" t="str">
        <f t="shared" si="1226"/>
        <v>44060</v>
      </c>
      <c r="B34214" s="1" t="str">
        <f>"99006"</f>
        <v>99006</v>
      </c>
      <c r="C34214" s="2">
        <v>1.8039888028281201E-2</v>
      </c>
      <c r="D34214" s="2">
        <v>3.8667721240882298E-3</v>
      </c>
      <c r="E34214" s="2">
        <v>1.35003108624211E-2</v>
      </c>
      <c r="F34214" s="2">
        <v>1.6784532428482601E-2</v>
      </c>
    </row>
    <row r="34215" spans="1:6" x14ac:dyDescent="0.25">
      <c r="A34215" s="1" t="str">
        <f t="shared" si="1226"/>
        <v>44060</v>
      </c>
      <c r="B34215" s="1" t="str">
        <f>"99025"</f>
        <v>99025</v>
      </c>
      <c r="C34215" s="2">
        <v>9.3689073654025495E-3</v>
      </c>
      <c r="D34215" s="2">
        <v>4.2182968626417001E-3</v>
      </c>
      <c r="E34215" s="2">
        <v>6.12843058886224E-3</v>
      </c>
      <c r="F34215" s="2">
        <v>8.8525306143017908E-3</v>
      </c>
    </row>
    <row r="34216" spans="1:6" x14ac:dyDescent="0.25">
      <c r="A34216" s="1" t="str">
        <f t="shared" si="1226"/>
        <v>44060</v>
      </c>
      <c r="B34216" s="1" t="str">
        <f>"99011"</f>
        <v>99011</v>
      </c>
      <c r="C34216" s="2">
        <v>4.8930730774774502E-3</v>
      </c>
      <c r="D34216" s="2">
        <v>2.5046137621935098E-3</v>
      </c>
      <c r="E34216" s="2">
        <v>6.2172484234834303E-4</v>
      </c>
      <c r="F34216" s="2">
        <v>4.5488904940283199E-3</v>
      </c>
    </row>
    <row r="34217" spans="1:6" x14ac:dyDescent="0.25">
      <c r="A34217" s="1" t="str">
        <f t="shared" si="1226"/>
        <v>44060</v>
      </c>
      <c r="B34217" s="1" t="str">
        <f>"99004"</f>
        <v>99004</v>
      </c>
      <c r="C34217" s="2">
        <v>3.6918046715572098E-2</v>
      </c>
      <c r="D34217" s="2">
        <v>2.6715880130064099E-2</v>
      </c>
      <c r="E34217" s="2">
        <v>3.0286881605826401E-2</v>
      </c>
      <c r="F34217" s="2">
        <v>3.5887184828072703E-2</v>
      </c>
    </row>
    <row r="34218" spans="1:6" x14ac:dyDescent="0.25">
      <c r="A34218" s="1" t="str">
        <f t="shared" si="1226"/>
        <v>44060</v>
      </c>
      <c r="B34218" s="1" t="str">
        <f>"99203"</f>
        <v>99203</v>
      </c>
      <c r="C34218" s="2">
        <v>3.8006660648313199E-2</v>
      </c>
      <c r="D34218" s="2">
        <v>1.7883821073907999E-2</v>
      </c>
      <c r="E34218" s="2">
        <v>2.70894395594635E-2</v>
      </c>
      <c r="F34218" s="2">
        <v>3.6055164536124E-2</v>
      </c>
    </row>
    <row r="34219" spans="1:6" x14ac:dyDescent="0.25">
      <c r="A34219" s="1" t="str">
        <f t="shared" si="1226"/>
        <v>44060</v>
      </c>
      <c r="B34219" s="1" t="str">
        <f>"99208"</f>
        <v>99208</v>
      </c>
      <c r="C34219" s="2">
        <v>9.1773568301989794E-2</v>
      </c>
      <c r="D34219" s="2">
        <v>3.2691800685473199E-2</v>
      </c>
      <c r="E34219" s="2">
        <v>7.8870237143618405E-2</v>
      </c>
      <c r="F34219" s="2">
        <v>8.6768238396801603E-2</v>
      </c>
    </row>
    <row r="34220" spans="1:6" x14ac:dyDescent="0.25">
      <c r="A34220" s="1" t="str">
        <f t="shared" si="1226"/>
        <v>44060</v>
      </c>
      <c r="B34220" s="1" t="str">
        <f>"99026"</f>
        <v>99026</v>
      </c>
      <c r="C34220" s="2">
        <v>1.6424035988742099E-2</v>
      </c>
      <c r="D34220" s="2">
        <v>7.4699006942613496E-3</v>
      </c>
      <c r="E34220" s="2">
        <v>2.66453503863575E-3</v>
      </c>
      <c r="F34220" s="2">
        <v>1.52189615494448E-2</v>
      </c>
    </row>
    <row r="34221" spans="1:6" x14ac:dyDescent="0.25">
      <c r="A34221" s="1" t="str">
        <f t="shared" si="1226"/>
        <v>44060</v>
      </c>
      <c r="B34221" s="1" t="str">
        <f>"99109"</f>
        <v>99109</v>
      </c>
      <c r="C34221" s="2">
        <v>8.0185709192149793E-3</v>
      </c>
      <c r="D34221" s="2">
        <v>2.68037613147025E-3</v>
      </c>
      <c r="E34221" s="2">
        <v>5.3290700772715104E-3</v>
      </c>
      <c r="F34221" s="2">
        <v>7.5086929498916497E-3</v>
      </c>
    </row>
    <row r="34222" spans="1:6" x14ac:dyDescent="0.25">
      <c r="A34222" s="1" t="str">
        <f t="shared" si="1226"/>
        <v>44060</v>
      </c>
      <c r="B34222" s="1" t="str">
        <f>"99209"</f>
        <v>99209</v>
      </c>
      <c r="C34222" s="2">
        <v>5.0144516344381301E-3</v>
      </c>
      <c r="D34222" s="2">
        <v>1.7180771596801099E-2</v>
      </c>
      <c r="E34222" s="2">
        <v>8.8817834621191902E-5</v>
      </c>
      <c r="F34222" s="2">
        <v>5.75834439199744E-3</v>
      </c>
    </row>
    <row r="34223" spans="1:6" x14ac:dyDescent="0.25">
      <c r="A34223" s="1" t="str">
        <f t="shared" si="1226"/>
        <v>44060</v>
      </c>
      <c r="B34223" s="1" t="str">
        <f>"99009"</f>
        <v>99009</v>
      </c>
      <c r="C34223" s="2">
        <v>5.0561755133933604E-3</v>
      </c>
      <c r="D34223" s="2">
        <v>2.1091484313208501E-3</v>
      </c>
      <c r="E34223" s="2">
        <v>1.7763566924238301E-3</v>
      </c>
      <c r="F34223" s="2">
        <v>4.7067914195965104E-3</v>
      </c>
    </row>
    <row r="34224" spans="1:6" x14ac:dyDescent="0.25">
      <c r="A34224" s="1" t="str">
        <f t="shared" ref="A34224:A34255" si="1227">"44100"</f>
        <v>44100</v>
      </c>
      <c r="B34224" s="1" t="str">
        <f>"62675"</f>
        <v>62675</v>
      </c>
      <c r="C34224" s="2">
        <v>2.8023828974784899E-2</v>
      </c>
      <c r="D34224" s="2">
        <v>2.3401416401519E-2</v>
      </c>
      <c r="E34224" s="2">
        <v>1.08251633986928E-2</v>
      </c>
      <c r="F34224" s="2">
        <v>2.6978038872975001E-2</v>
      </c>
    </row>
    <row r="34225" spans="1:6" x14ac:dyDescent="0.25">
      <c r="A34225" s="1" t="str">
        <f t="shared" si="1227"/>
        <v>44100</v>
      </c>
      <c r="B34225" s="1" t="str">
        <f>"62666"</f>
        <v>62666</v>
      </c>
      <c r="C34225" s="2">
        <v>1.6522401622866999E-4</v>
      </c>
      <c r="D34225" s="2">
        <v>1.02637791234732E-4</v>
      </c>
      <c r="E34225" s="2">
        <v>0</v>
      </c>
      <c r="F34225" s="2">
        <v>1.5374407276140501E-4</v>
      </c>
    </row>
    <row r="34226" spans="1:6" x14ac:dyDescent="0.25">
      <c r="A34226" s="1" t="str">
        <f t="shared" si="1227"/>
        <v>44100</v>
      </c>
      <c r="B34226" s="1" t="str">
        <f>"62561"</f>
        <v>62561</v>
      </c>
      <c r="C34226" s="2">
        <v>2.2103301726590901E-2</v>
      </c>
      <c r="D34226" s="2">
        <v>8.62157446371754E-3</v>
      </c>
      <c r="E34226" s="2">
        <v>1.0620915032679701E-2</v>
      </c>
      <c r="F34226" s="2">
        <v>2.0585522163421799E-2</v>
      </c>
    </row>
    <row r="34227" spans="1:6" x14ac:dyDescent="0.25">
      <c r="A34227" s="1" t="str">
        <f t="shared" si="1227"/>
        <v>44100</v>
      </c>
      <c r="B34227" s="1" t="str">
        <f>"62769"</f>
        <v>62769</v>
      </c>
      <c r="C34227" s="2">
        <v>0</v>
      </c>
      <c r="D34227" s="2">
        <v>1.02637791234732E-4</v>
      </c>
      <c r="E34227" s="2">
        <v>0</v>
      </c>
      <c r="F34227" s="2">
        <v>8.0917933032318593E-6</v>
      </c>
    </row>
    <row r="34228" spans="1:6" x14ac:dyDescent="0.25">
      <c r="A34228" s="1" t="str">
        <f t="shared" si="1227"/>
        <v>44100</v>
      </c>
      <c r="B34228" s="1" t="str">
        <f>"62764"</f>
        <v>62764</v>
      </c>
      <c r="C34228" s="2">
        <v>0</v>
      </c>
      <c r="D34228" s="2">
        <v>0</v>
      </c>
      <c r="E34228" s="2">
        <v>2.0424836601307101E-4</v>
      </c>
      <c r="F34228" s="2">
        <v>8.0917933032318593E-6</v>
      </c>
    </row>
    <row r="34229" spans="1:6" x14ac:dyDescent="0.25">
      <c r="A34229" s="1" t="str">
        <f t="shared" si="1227"/>
        <v>44100</v>
      </c>
      <c r="B34229" s="1" t="str">
        <f>"62766"</f>
        <v>62766</v>
      </c>
      <c r="C34229" s="2">
        <v>0</v>
      </c>
      <c r="D34229" s="2">
        <v>1.02637791234732E-4</v>
      </c>
      <c r="E34229" s="2">
        <v>0</v>
      </c>
      <c r="F34229" s="2">
        <v>8.0917933032318593E-6</v>
      </c>
    </row>
    <row r="34230" spans="1:6" x14ac:dyDescent="0.25">
      <c r="A34230" s="1" t="str">
        <f t="shared" si="1227"/>
        <v>44100</v>
      </c>
      <c r="B34230" s="1" t="str">
        <f>"62796"</f>
        <v>62796</v>
      </c>
      <c r="C34230" s="2">
        <v>0</v>
      </c>
      <c r="D34230" s="2">
        <v>0</v>
      </c>
      <c r="E34230" s="2">
        <v>4.0849673202614299E-4</v>
      </c>
      <c r="F34230" s="2">
        <v>1.6183586606463702E-5</v>
      </c>
    </row>
    <row r="34231" spans="1:6" x14ac:dyDescent="0.25">
      <c r="A34231" s="1" t="str">
        <f t="shared" si="1227"/>
        <v>44100</v>
      </c>
      <c r="B34231" s="1" t="str">
        <f>"62781"</f>
        <v>62781</v>
      </c>
      <c r="C34231" s="2">
        <v>0</v>
      </c>
      <c r="D34231" s="2">
        <v>0</v>
      </c>
      <c r="E34231" s="2">
        <v>2.0424836601307101E-4</v>
      </c>
      <c r="F34231" s="2">
        <v>8.0917933032318593E-6</v>
      </c>
    </row>
    <row r="34232" spans="1:6" x14ac:dyDescent="0.25">
      <c r="A34232" s="1" t="str">
        <f t="shared" si="1227"/>
        <v>44100</v>
      </c>
      <c r="B34232" s="1" t="str">
        <f>"62757"</f>
        <v>62757</v>
      </c>
      <c r="C34232" s="2">
        <v>0</v>
      </c>
      <c r="D34232" s="2">
        <v>1.02637791234732E-4</v>
      </c>
      <c r="E34232" s="2">
        <v>0</v>
      </c>
      <c r="F34232" s="2">
        <v>8.0917933032318593E-6</v>
      </c>
    </row>
    <row r="34233" spans="1:6" x14ac:dyDescent="0.25">
      <c r="A34233" s="1" t="str">
        <f t="shared" si="1227"/>
        <v>44100</v>
      </c>
      <c r="B34233" s="1" t="str">
        <f>"62536"</f>
        <v>62536</v>
      </c>
      <c r="C34233" s="2">
        <v>3.0382860762049801E-3</v>
      </c>
      <c r="D34233" s="2">
        <v>8.2110232987786102E-4</v>
      </c>
      <c r="E34233" s="2">
        <v>0</v>
      </c>
      <c r="F34233" s="2">
        <v>2.7431179297956001E-3</v>
      </c>
    </row>
    <row r="34234" spans="1:6" x14ac:dyDescent="0.25">
      <c r="A34234" s="1" t="str">
        <f t="shared" si="1227"/>
        <v>44100</v>
      </c>
      <c r="B34234" s="1" t="str">
        <f>"62715"</f>
        <v>62715</v>
      </c>
      <c r="C34234" s="2">
        <v>0</v>
      </c>
      <c r="D34234" s="2">
        <v>1.02637791234732E-4</v>
      </c>
      <c r="E34234" s="2">
        <v>0</v>
      </c>
      <c r="F34234" s="2">
        <v>8.0917933032318593E-6</v>
      </c>
    </row>
    <row r="34235" spans="1:6" x14ac:dyDescent="0.25">
      <c r="A34235" s="1" t="str">
        <f t="shared" si="1227"/>
        <v>44100</v>
      </c>
      <c r="B34235" s="1" t="str">
        <f>"62776"</f>
        <v>62776</v>
      </c>
      <c r="C34235" s="2">
        <v>0</v>
      </c>
      <c r="D34235" s="2">
        <v>0</v>
      </c>
      <c r="E34235" s="2">
        <v>2.0424836601307101E-4</v>
      </c>
      <c r="F34235" s="2">
        <v>8.0917933032318593E-6</v>
      </c>
    </row>
    <row r="34236" spans="1:6" x14ac:dyDescent="0.25">
      <c r="A34236" s="1" t="str">
        <f t="shared" si="1227"/>
        <v>44100</v>
      </c>
      <c r="B34236" s="1" t="str">
        <f>"62722"</f>
        <v>62722</v>
      </c>
      <c r="C34236" s="2">
        <v>0</v>
      </c>
      <c r="D34236" s="2">
        <v>1.02637791234732E-4</v>
      </c>
      <c r="E34236" s="2">
        <v>0</v>
      </c>
      <c r="F34236" s="2">
        <v>8.0917933032318593E-6</v>
      </c>
    </row>
    <row r="34237" spans="1:6" x14ac:dyDescent="0.25">
      <c r="A34237" s="1" t="str">
        <f t="shared" si="1227"/>
        <v>44100</v>
      </c>
      <c r="B34237" s="1" t="str">
        <f>"62762"</f>
        <v>62762</v>
      </c>
      <c r="C34237" s="2">
        <v>0</v>
      </c>
      <c r="D34237" s="2">
        <v>1.02637791234732E-4</v>
      </c>
      <c r="E34237" s="2">
        <v>0</v>
      </c>
      <c r="F34237" s="2">
        <v>8.0917933032318593E-6</v>
      </c>
    </row>
    <row r="34238" spans="1:6" x14ac:dyDescent="0.25">
      <c r="A34238" s="1" t="str">
        <f t="shared" si="1227"/>
        <v>44100</v>
      </c>
      <c r="B34238" s="1" t="str">
        <f>"62692"</f>
        <v>62692</v>
      </c>
      <c r="C34238" s="2">
        <v>9.4544853730849998E-4</v>
      </c>
      <c r="D34238" s="2">
        <v>5.1318895617366296E-4</v>
      </c>
      <c r="E34238" s="2">
        <v>2.0424836601307101E-4</v>
      </c>
      <c r="F34238" s="2">
        <v>8.82005470052272E-4</v>
      </c>
    </row>
    <row r="34239" spans="1:6" x14ac:dyDescent="0.25">
      <c r="A34239" s="1" t="str">
        <f t="shared" si="1227"/>
        <v>44100</v>
      </c>
      <c r="B34239" s="1" t="str">
        <f>"62711"</f>
        <v>62711</v>
      </c>
      <c r="C34239" s="2">
        <v>7.7985735659932207E-2</v>
      </c>
      <c r="D34239" s="2">
        <v>6.5996099763933003E-2</v>
      </c>
      <c r="E34239" s="2">
        <v>5.22875816993464E-2</v>
      </c>
      <c r="F34239" s="2">
        <v>7.6022398083863296E-2</v>
      </c>
    </row>
    <row r="34240" spans="1:6" x14ac:dyDescent="0.25">
      <c r="A34240" s="1" t="str">
        <f t="shared" si="1227"/>
        <v>44100</v>
      </c>
      <c r="B34240" s="1" t="str">
        <f>"62563"</f>
        <v>62563</v>
      </c>
      <c r="C34240" s="2">
        <v>2.1965615046400402E-2</v>
      </c>
      <c r="D34240" s="2">
        <v>8.7242122549522697E-3</v>
      </c>
      <c r="E34240" s="2">
        <v>3.4722222222222199E-3</v>
      </c>
      <c r="F34240" s="2">
        <v>2.0189024291563398E-2</v>
      </c>
    </row>
    <row r="34241" spans="1:6" x14ac:dyDescent="0.25">
      <c r="A34241" s="1" t="str">
        <f t="shared" si="1227"/>
        <v>44100</v>
      </c>
      <c r="B34241" s="1" t="str">
        <f>"62530"</f>
        <v>62530</v>
      </c>
      <c r="C34241" s="2">
        <v>6.5814233131086799E-3</v>
      </c>
      <c r="D34241" s="2">
        <v>2.8738581545725101E-3</v>
      </c>
      <c r="E34241" s="2">
        <v>2.04248366013071E-3</v>
      </c>
      <c r="F34241" s="2">
        <v>6.1093039439400502E-3</v>
      </c>
    </row>
    <row r="34242" spans="1:6" x14ac:dyDescent="0.25">
      <c r="A34242" s="1" t="str">
        <f t="shared" si="1227"/>
        <v>44100</v>
      </c>
      <c r="B34242" s="1" t="str">
        <f>"62661"</f>
        <v>62661</v>
      </c>
      <c r="C34242" s="2">
        <v>5.3514223034063597E-3</v>
      </c>
      <c r="D34242" s="2">
        <v>6.1582674740839503E-4</v>
      </c>
      <c r="E34242" s="2">
        <v>8.1699346405228696E-4</v>
      </c>
      <c r="F34242" s="2">
        <v>4.7984334288164896E-3</v>
      </c>
    </row>
    <row r="34243" spans="1:6" x14ac:dyDescent="0.25">
      <c r="A34243" s="1" t="str">
        <f t="shared" si="1227"/>
        <v>44100</v>
      </c>
      <c r="B34243" s="1" t="str">
        <f>"62763"</f>
        <v>62763</v>
      </c>
      <c r="C34243" s="2">
        <v>0</v>
      </c>
      <c r="D34243" s="2">
        <v>1.02637791234732E-4</v>
      </c>
      <c r="E34243" s="2">
        <v>0</v>
      </c>
      <c r="F34243" s="2">
        <v>8.0917933032318593E-6</v>
      </c>
    </row>
    <row r="34244" spans="1:6" x14ac:dyDescent="0.25">
      <c r="A34244" s="1" t="str">
        <f t="shared" si="1227"/>
        <v>44100</v>
      </c>
      <c r="B34244" s="1" t="str">
        <f>"62706"</f>
        <v>62706</v>
      </c>
      <c r="C34244" s="2">
        <v>0</v>
      </c>
      <c r="D34244" s="2">
        <v>1.02637791234732E-4</v>
      </c>
      <c r="E34244" s="2">
        <v>1.02124183006535E-3</v>
      </c>
      <c r="F34244" s="2">
        <v>4.8550759819391102E-5</v>
      </c>
    </row>
    <row r="34245" spans="1:6" x14ac:dyDescent="0.25">
      <c r="A34245" s="1" t="str">
        <f t="shared" si="1227"/>
        <v>44100</v>
      </c>
      <c r="B34245" s="1" t="str">
        <f>"62767"</f>
        <v>62767</v>
      </c>
      <c r="C34245" s="2">
        <v>0</v>
      </c>
      <c r="D34245" s="2">
        <v>1.02637791234732E-4</v>
      </c>
      <c r="E34245" s="2">
        <v>0</v>
      </c>
      <c r="F34245" s="2">
        <v>8.0917933032318593E-6</v>
      </c>
    </row>
    <row r="34246" spans="1:6" x14ac:dyDescent="0.25">
      <c r="A34246" s="1" t="str">
        <f t="shared" si="1227"/>
        <v>44100</v>
      </c>
      <c r="B34246" s="1" t="str">
        <f>"62642"</f>
        <v>62642</v>
      </c>
      <c r="C34246" s="2">
        <v>6.51716952901976E-3</v>
      </c>
      <c r="D34246" s="2">
        <v>1.0263779123473201E-3</v>
      </c>
      <c r="E34246" s="2">
        <v>4.0849673202614299E-4</v>
      </c>
      <c r="F34246" s="2">
        <v>5.8422747649334002E-3</v>
      </c>
    </row>
    <row r="34247" spans="1:6" x14ac:dyDescent="0.25">
      <c r="A34247" s="1" t="str">
        <f t="shared" si="1227"/>
        <v>44100</v>
      </c>
      <c r="B34247" s="1" t="str">
        <f>"62723"</f>
        <v>62723</v>
      </c>
      <c r="C34247" s="2">
        <v>0</v>
      </c>
      <c r="D34247" s="2">
        <v>1.02637791234732E-4</v>
      </c>
      <c r="E34247" s="2">
        <v>0</v>
      </c>
      <c r="F34247" s="2">
        <v>8.0917933032318593E-6</v>
      </c>
    </row>
    <row r="34248" spans="1:6" x14ac:dyDescent="0.25">
      <c r="A34248" s="1" t="str">
        <f t="shared" si="1227"/>
        <v>44100</v>
      </c>
      <c r="B34248" s="1" t="str">
        <f>"62719"</f>
        <v>62719</v>
      </c>
      <c r="C34248" s="2">
        <v>0</v>
      </c>
      <c r="D34248" s="2">
        <v>0</v>
      </c>
      <c r="E34248" s="2">
        <v>2.0424836601307101E-4</v>
      </c>
      <c r="F34248" s="2">
        <v>8.0917933032318593E-6</v>
      </c>
    </row>
    <row r="34249" spans="1:6" x14ac:dyDescent="0.25">
      <c r="A34249" s="1" t="str">
        <f t="shared" si="1227"/>
        <v>44100</v>
      </c>
      <c r="B34249" s="1" t="str">
        <f>"62690"</f>
        <v>62690</v>
      </c>
      <c r="C34249" s="2">
        <v>1.3309712418420601E-3</v>
      </c>
      <c r="D34249" s="2">
        <v>2.0527558246946501E-4</v>
      </c>
      <c r="E34249" s="2">
        <v>6.1274509803921503E-4</v>
      </c>
      <c r="F34249" s="2">
        <v>1.21376899548477E-3</v>
      </c>
    </row>
    <row r="34250" spans="1:6" x14ac:dyDescent="0.25">
      <c r="A34250" s="1" t="str">
        <f t="shared" si="1227"/>
        <v>44100</v>
      </c>
      <c r="B34250" s="1" t="str">
        <f>"62670"</f>
        <v>62670</v>
      </c>
      <c r="C34250" s="2">
        <v>1.27589656976584E-2</v>
      </c>
      <c r="D34250" s="2">
        <v>6.6714564302576204E-3</v>
      </c>
      <c r="E34250" s="2">
        <v>3.4722222222222199E-3</v>
      </c>
      <c r="F34250" s="2">
        <v>1.19111197423573E-2</v>
      </c>
    </row>
    <row r="34251" spans="1:6" x14ac:dyDescent="0.25">
      <c r="A34251" s="1" t="str">
        <f t="shared" si="1227"/>
        <v>44100</v>
      </c>
      <c r="B34251" s="1" t="str">
        <f>"62707"</f>
        <v>62707</v>
      </c>
      <c r="C34251" s="2">
        <v>3.3604729078508901E-2</v>
      </c>
      <c r="D34251" s="2">
        <v>2.7712203633377799E-2</v>
      </c>
      <c r="E34251" s="2">
        <v>8.3741830065359405E-3</v>
      </c>
      <c r="F34251" s="2">
        <v>3.2140603000436897E-2</v>
      </c>
    </row>
    <row r="34252" spans="1:6" x14ac:dyDescent="0.25">
      <c r="A34252" s="1" t="str">
        <f t="shared" si="1227"/>
        <v>44100</v>
      </c>
      <c r="B34252" s="1" t="str">
        <f>"62791"</f>
        <v>62791</v>
      </c>
      <c r="C34252" s="2">
        <v>9.3810524769833703E-3</v>
      </c>
      <c r="D34252" s="2">
        <v>3.7668069383146797E-2</v>
      </c>
      <c r="E34252" s="2">
        <v>8.1699346405228696E-4</v>
      </c>
      <c r="F34252" s="2">
        <v>1.1271868071401899E-2</v>
      </c>
    </row>
    <row r="34253" spans="1:6" x14ac:dyDescent="0.25">
      <c r="A34253" s="1" t="str">
        <f t="shared" si="1227"/>
        <v>44100</v>
      </c>
      <c r="B34253" s="1" t="str">
        <f>"62673"</f>
        <v>62673</v>
      </c>
      <c r="C34253" s="2">
        <v>9.9134409737202007E-4</v>
      </c>
      <c r="D34253" s="2">
        <v>3.0791337370419697E-4</v>
      </c>
      <c r="E34253" s="2">
        <v>0</v>
      </c>
      <c r="F34253" s="2">
        <v>8.9818905665873595E-4</v>
      </c>
    </row>
    <row r="34254" spans="1:6" x14ac:dyDescent="0.25">
      <c r="A34254" s="1" t="str">
        <f t="shared" si="1227"/>
        <v>44100</v>
      </c>
      <c r="B34254" s="1" t="str">
        <f>"62558"</f>
        <v>62558</v>
      </c>
      <c r="C34254" s="2">
        <v>1.4558071652148299E-2</v>
      </c>
      <c r="D34254" s="2">
        <v>3.5923226932156401E-3</v>
      </c>
      <c r="E34254" s="2">
        <v>9.3954248366012998E-3</v>
      </c>
      <c r="F34254" s="2">
        <v>1.34890194364875E-2</v>
      </c>
    </row>
    <row r="34255" spans="1:6" x14ac:dyDescent="0.25">
      <c r="A34255" s="1" t="str">
        <f t="shared" si="1227"/>
        <v>44100</v>
      </c>
      <c r="B34255" s="1" t="str">
        <f>"62625"</f>
        <v>62625</v>
      </c>
      <c r="C34255" s="2">
        <v>3.8460479333229298E-3</v>
      </c>
      <c r="D34255" s="2">
        <v>9.2374012111259298E-4</v>
      </c>
      <c r="E34255" s="2">
        <v>0</v>
      </c>
      <c r="F34255" s="2">
        <v>3.4632875337832301E-3</v>
      </c>
    </row>
    <row r="34256" spans="1:6" x14ac:dyDescent="0.25">
      <c r="A34256" s="1" t="str">
        <f t="shared" ref="A34256:A34284" si="1228">"44100"</f>
        <v>44100</v>
      </c>
      <c r="B34256" s="1" t="str">
        <f>"62702"</f>
        <v>62702</v>
      </c>
      <c r="C34256" s="2">
        <v>0.175486263458872</v>
      </c>
      <c r="D34256" s="2">
        <v>0.13784255362824499</v>
      </c>
      <c r="E34256" s="2">
        <v>0.20036764705882301</v>
      </c>
      <c r="F34256" s="2">
        <v>0.173504232007897</v>
      </c>
    </row>
    <row r="34257" spans="1:6" x14ac:dyDescent="0.25">
      <c r="A34257" s="1" t="str">
        <f t="shared" si="1228"/>
        <v>44100</v>
      </c>
      <c r="B34257" s="1" t="str">
        <f>"62689"</f>
        <v>62689</v>
      </c>
      <c r="C34257" s="2">
        <v>1.92761352266781E-3</v>
      </c>
      <c r="D34257" s="2">
        <v>1.02637791234732E-4</v>
      </c>
      <c r="E34257" s="2">
        <v>0</v>
      </c>
      <c r="F34257" s="2">
        <v>1.7073683869819199E-3</v>
      </c>
    </row>
    <row r="34258" spans="1:6" x14ac:dyDescent="0.25">
      <c r="A34258" s="1" t="str">
        <f t="shared" si="1228"/>
        <v>44100</v>
      </c>
      <c r="B34258" s="1" t="str">
        <f>"62545"</f>
        <v>62545</v>
      </c>
      <c r="C34258" s="2">
        <v>3.5706745729418101E-3</v>
      </c>
      <c r="D34258" s="2">
        <v>1.33429128605152E-3</v>
      </c>
      <c r="E34258" s="2">
        <v>4.0849673202614299E-4</v>
      </c>
      <c r="F34258" s="2">
        <v>3.2690844945056701E-3</v>
      </c>
    </row>
    <row r="34259" spans="1:6" x14ac:dyDescent="0.25">
      <c r="A34259" s="1" t="str">
        <f t="shared" si="1228"/>
        <v>44100</v>
      </c>
      <c r="B34259" s="1" t="str">
        <f>"62539"</f>
        <v>62539</v>
      </c>
      <c r="C34259" s="2">
        <v>5.2688102952920301E-3</v>
      </c>
      <c r="D34259" s="2">
        <v>4.6187006055629599E-3</v>
      </c>
      <c r="E34259" s="2">
        <v>4.4934640522875796E-3</v>
      </c>
      <c r="F34259" s="2">
        <v>5.1868395073716199E-3</v>
      </c>
    </row>
    <row r="34260" spans="1:6" x14ac:dyDescent="0.25">
      <c r="A34260" s="1" t="str">
        <f t="shared" si="1228"/>
        <v>44100</v>
      </c>
      <c r="B34260" s="1" t="str">
        <f>"62708"</f>
        <v>62708</v>
      </c>
      <c r="C34260" s="2">
        <v>1.92669561146654E-2</v>
      </c>
      <c r="D34260" s="2">
        <v>4.36210612747613E-2</v>
      </c>
      <c r="E34260" s="2">
        <v>4.0849673202614299E-4</v>
      </c>
      <c r="F34260" s="2">
        <v>2.04398698839636E-2</v>
      </c>
    </row>
    <row r="34261" spans="1:6" x14ac:dyDescent="0.25">
      <c r="A34261" s="1" t="str">
        <f t="shared" si="1228"/>
        <v>44100</v>
      </c>
      <c r="B34261" s="1" t="str">
        <f>"62712"</f>
        <v>62712</v>
      </c>
      <c r="C34261" s="2">
        <v>4.1939362786044002E-2</v>
      </c>
      <c r="D34261" s="2">
        <v>9.7505901672995908E-3</v>
      </c>
      <c r="E34261" s="2">
        <v>3.4517973856209097E-2</v>
      </c>
      <c r="F34261" s="2">
        <v>3.9107637034519499E-2</v>
      </c>
    </row>
    <row r="34262" spans="1:6" x14ac:dyDescent="0.25">
      <c r="A34262" s="1" t="str">
        <f t="shared" si="1228"/>
        <v>44100</v>
      </c>
      <c r="B34262" s="1" t="str">
        <f>"62629"</f>
        <v>62629</v>
      </c>
      <c r="C34262" s="2">
        <v>6.2115050989967197E-2</v>
      </c>
      <c r="D34262" s="2">
        <v>3.7975982756850997E-2</v>
      </c>
      <c r="E34262" s="2">
        <v>3.28839869281045E-2</v>
      </c>
      <c r="F34262" s="2">
        <v>5.9053907526986103E-2</v>
      </c>
    </row>
    <row r="34263" spans="1:6" x14ac:dyDescent="0.25">
      <c r="A34263" s="1" t="str">
        <f t="shared" si="1228"/>
        <v>44100</v>
      </c>
      <c r="B34263" s="1" t="str">
        <f>"62612"</f>
        <v>62612</v>
      </c>
      <c r="C34263" s="2">
        <v>9.1791120127038893E-6</v>
      </c>
      <c r="D34263" s="2">
        <v>0</v>
      </c>
      <c r="E34263" s="2">
        <v>0</v>
      </c>
      <c r="F34263" s="2">
        <v>8.0917933032318593E-6</v>
      </c>
    </row>
    <row r="34264" spans="1:6" x14ac:dyDescent="0.25">
      <c r="A34264" s="1" t="str">
        <f t="shared" si="1228"/>
        <v>44100</v>
      </c>
      <c r="B34264" s="1" t="str">
        <f>"62704"</f>
        <v>62704</v>
      </c>
      <c r="C34264" s="2">
        <v>0.191641500601231</v>
      </c>
      <c r="D34264" s="2">
        <v>0.219542235451093</v>
      </c>
      <c r="E34264" s="2">
        <v>0.37418300653594699</v>
      </c>
      <c r="F34264" s="2">
        <v>0.201072971792008</v>
      </c>
    </row>
    <row r="34265" spans="1:6" x14ac:dyDescent="0.25">
      <c r="A34265" s="1" t="str">
        <f t="shared" si="1228"/>
        <v>44100</v>
      </c>
      <c r="B34265" s="1" t="str">
        <f>"62701"</f>
        <v>62701</v>
      </c>
      <c r="C34265" s="2">
        <v>9.6839631734025999E-3</v>
      </c>
      <c r="D34265" s="2">
        <v>8.0673303910499802E-2</v>
      </c>
      <c r="E34265" s="2">
        <v>4.5138888888888798E-2</v>
      </c>
      <c r="F34265" s="2">
        <v>1.6685277791264001E-2</v>
      </c>
    </row>
    <row r="34266" spans="1:6" x14ac:dyDescent="0.25">
      <c r="A34266" s="1" t="str">
        <f t="shared" si="1228"/>
        <v>44100</v>
      </c>
      <c r="B34266" s="1" t="str">
        <f>"62684"</f>
        <v>62684</v>
      </c>
      <c r="C34266" s="2">
        <v>2.02766584360628E-2</v>
      </c>
      <c r="D34266" s="2">
        <v>1.09822436621163E-2</v>
      </c>
      <c r="E34266" s="2">
        <v>2.2467320261437898E-3</v>
      </c>
      <c r="F34266" s="2">
        <v>1.88296030166205E-2</v>
      </c>
    </row>
    <row r="34267" spans="1:6" x14ac:dyDescent="0.25">
      <c r="A34267" s="1" t="str">
        <f t="shared" si="1228"/>
        <v>44100</v>
      </c>
      <c r="B34267" s="1" t="str">
        <f>"62705"</f>
        <v>62705</v>
      </c>
      <c r="C34267" s="2">
        <v>1.47049374443516E-2</v>
      </c>
      <c r="D34267" s="2">
        <v>5.2037360156009398E-2</v>
      </c>
      <c r="E34267" s="2">
        <v>4.0849673202614299E-4</v>
      </c>
      <c r="F34267" s="2">
        <v>1.7081775663122401E-2</v>
      </c>
    </row>
    <row r="34268" spans="1:6" x14ac:dyDescent="0.25">
      <c r="A34268" s="1" t="str">
        <f t="shared" si="1228"/>
        <v>44100</v>
      </c>
      <c r="B34268" s="1" t="str">
        <f>"62613"</f>
        <v>62613</v>
      </c>
      <c r="C34268" s="2">
        <v>1.5971654902104698E-2</v>
      </c>
      <c r="D34268" s="2">
        <v>6.6714564302576204E-3</v>
      </c>
      <c r="E34268" s="2">
        <v>8.7826797385620898E-3</v>
      </c>
      <c r="F34268" s="2">
        <v>1.49536340243724E-2</v>
      </c>
    </row>
    <row r="34269" spans="1:6" x14ac:dyDescent="0.25">
      <c r="A34269" s="1" t="str">
        <f t="shared" si="1228"/>
        <v>44100</v>
      </c>
      <c r="B34269" s="1" t="str">
        <f>"62615"</f>
        <v>62615</v>
      </c>
      <c r="C34269" s="2">
        <v>2.15892714538795E-2</v>
      </c>
      <c r="D34269" s="2">
        <v>1.6011495432618199E-2</v>
      </c>
      <c r="E34269" s="2">
        <v>1.0620915032679701E-2</v>
      </c>
      <c r="F34269" s="2">
        <v>2.0714990856273499E-2</v>
      </c>
    </row>
    <row r="34270" spans="1:6" x14ac:dyDescent="0.25">
      <c r="A34270" s="1" t="str">
        <f t="shared" si="1228"/>
        <v>44100</v>
      </c>
      <c r="B34270" s="1" t="str">
        <f>"62515"</f>
        <v>62515</v>
      </c>
      <c r="C34270" s="2">
        <v>3.9837346135134797E-3</v>
      </c>
      <c r="D34270" s="2">
        <v>1.33429128605152E-3</v>
      </c>
      <c r="E34270" s="2">
        <v>1.2254901960784301E-3</v>
      </c>
      <c r="F34270" s="2">
        <v>3.66558236636403E-3</v>
      </c>
    </row>
    <row r="34271" spans="1:6" x14ac:dyDescent="0.25">
      <c r="A34271" s="1" t="str">
        <f t="shared" si="1228"/>
        <v>44100</v>
      </c>
      <c r="B34271" s="1" t="str">
        <f>"62662"</f>
        <v>62662</v>
      </c>
      <c r="C34271" s="2">
        <v>0</v>
      </c>
      <c r="D34271" s="2">
        <v>1.02637791234732E-4</v>
      </c>
      <c r="E34271" s="2">
        <v>0</v>
      </c>
      <c r="F34271" s="2">
        <v>8.0917933032318593E-6</v>
      </c>
    </row>
    <row r="34272" spans="1:6" x14ac:dyDescent="0.25">
      <c r="A34272" s="1" t="str">
        <f t="shared" si="1228"/>
        <v>44100</v>
      </c>
      <c r="B34272" s="1" t="str">
        <f>"62716"</f>
        <v>62716</v>
      </c>
      <c r="C34272" s="2">
        <v>0</v>
      </c>
      <c r="D34272" s="2">
        <v>0</v>
      </c>
      <c r="E34272" s="2">
        <v>2.0424836601307101E-4</v>
      </c>
      <c r="F34272" s="2">
        <v>8.0917933032318593E-6</v>
      </c>
    </row>
    <row r="34273" spans="1:6" x14ac:dyDescent="0.25">
      <c r="A34273" s="1" t="str">
        <f t="shared" si="1228"/>
        <v>44100</v>
      </c>
      <c r="B34273" s="1" t="str">
        <f>"62739"</f>
        <v>62739</v>
      </c>
      <c r="C34273" s="2">
        <v>0</v>
      </c>
      <c r="D34273" s="2">
        <v>1.02637791234732E-4</v>
      </c>
      <c r="E34273" s="2">
        <v>0</v>
      </c>
      <c r="F34273" s="2">
        <v>8.0917933032318593E-6</v>
      </c>
    </row>
    <row r="34274" spans="1:6" x14ac:dyDescent="0.25">
      <c r="A34274" s="1" t="str">
        <f t="shared" si="1228"/>
        <v>44100</v>
      </c>
      <c r="B34274" s="1" t="str">
        <f>"62703"</f>
        <v>62703</v>
      </c>
      <c r="C34274" s="2">
        <v>0.137356232158101</v>
      </c>
      <c r="D34274" s="2">
        <v>0.17848711895720001</v>
      </c>
      <c r="E34274" s="2">
        <v>0.17320261437908399</v>
      </c>
      <c r="F34274" s="2">
        <v>0.142019064265022</v>
      </c>
    </row>
    <row r="34275" spans="1:6" x14ac:dyDescent="0.25">
      <c r="A34275" s="1" t="str">
        <f t="shared" si="1228"/>
        <v>44100</v>
      </c>
      <c r="B34275" s="1" t="str">
        <f>"62693"</f>
        <v>62693</v>
      </c>
      <c r="C34275" s="2">
        <v>7.0954535858200997E-3</v>
      </c>
      <c r="D34275" s="2">
        <v>3.5923226932156401E-3</v>
      </c>
      <c r="E34275" s="2">
        <v>1.8382352941176401E-3</v>
      </c>
      <c r="F34275" s="2">
        <v>6.6109951287404304E-3</v>
      </c>
    </row>
    <row r="34276" spans="1:6" x14ac:dyDescent="0.25">
      <c r="A34276" s="1" t="str">
        <f t="shared" si="1228"/>
        <v>44100</v>
      </c>
      <c r="B34276" s="1" t="str">
        <f>"62677"</f>
        <v>62677</v>
      </c>
      <c r="C34276" s="2">
        <v>1.07762775029143E-2</v>
      </c>
      <c r="D34276" s="2">
        <v>2.36066919839885E-3</v>
      </c>
      <c r="E34276" s="2">
        <v>1.8382352941176401E-3</v>
      </c>
      <c r="F34276" s="2">
        <v>9.7587027236976202E-3</v>
      </c>
    </row>
    <row r="34277" spans="1:6" x14ac:dyDescent="0.25">
      <c r="A34277" s="1" t="str">
        <f t="shared" si="1228"/>
        <v>44100</v>
      </c>
      <c r="B34277" s="1" t="str">
        <f>"62520"</f>
        <v>62520</v>
      </c>
      <c r="C34277" s="2">
        <v>5.6818703358637E-3</v>
      </c>
      <c r="D34277" s="2">
        <v>4.1055116493893002E-4</v>
      </c>
      <c r="E34277" s="2">
        <v>8.1699346405228696E-4</v>
      </c>
      <c r="F34277" s="2">
        <v>5.0735544011263701E-3</v>
      </c>
    </row>
    <row r="34278" spans="1:6" x14ac:dyDescent="0.25">
      <c r="A34278" s="1" t="str">
        <f t="shared" si="1228"/>
        <v>44100</v>
      </c>
      <c r="B34278" s="1" t="str">
        <f>"62765"</f>
        <v>62765</v>
      </c>
      <c r="C34278" s="2">
        <v>0</v>
      </c>
      <c r="D34278" s="2">
        <v>1.02637791234732E-4</v>
      </c>
      <c r="E34278" s="2">
        <v>0</v>
      </c>
      <c r="F34278" s="2">
        <v>8.0917933032318593E-6</v>
      </c>
    </row>
    <row r="34279" spans="1:6" x14ac:dyDescent="0.25">
      <c r="A34279" s="1" t="str">
        <f t="shared" si="1228"/>
        <v>44100</v>
      </c>
      <c r="B34279" s="1" t="str">
        <f>"62548"</f>
        <v>62548</v>
      </c>
      <c r="C34279" s="2">
        <v>1.8358224025407701E-5</v>
      </c>
      <c r="D34279" s="2">
        <v>0</v>
      </c>
      <c r="E34279" s="2">
        <v>0</v>
      </c>
      <c r="F34279" s="2">
        <v>1.6183586606463702E-5</v>
      </c>
    </row>
    <row r="34280" spans="1:6" x14ac:dyDescent="0.25">
      <c r="A34280" s="1" t="str">
        <f t="shared" si="1228"/>
        <v>44100</v>
      </c>
      <c r="B34280" s="1" t="str">
        <f>"62659"</f>
        <v>62659</v>
      </c>
      <c r="C34280" s="2">
        <v>0</v>
      </c>
      <c r="D34280" s="2">
        <v>1.02637791234732E-4</v>
      </c>
      <c r="E34280" s="2">
        <v>2.0424836601307101E-4</v>
      </c>
      <c r="F34280" s="2">
        <v>1.6183586606463702E-5</v>
      </c>
    </row>
    <row r="34281" spans="1:6" x14ac:dyDescent="0.25">
      <c r="A34281" s="1" t="str">
        <f t="shared" si="1228"/>
        <v>44100</v>
      </c>
      <c r="B34281" s="1" t="str">
        <f>"62756"</f>
        <v>62756</v>
      </c>
      <c r="C34281" s="2">
        <v>0</v>
      </c>
      <c r="D34281" s="2">
        <v>9.2374012111259298E-4</v>
      </c>
      <c r="E34281" s="2">
        <v>2.0424836601307101E-4</v>
      </c>
      <c r="F34281" s="2">
        <v>8.09179330323186E-5</v>
      </c>
    </row>
    <row r="34282" spans="1:6" x14ac:dyDescent="0.25">
      <c r="A34282" s="1" t="str">
        <f t="shared" si="1228"/>
        <v>44100</v>
      </c>
      <c r="B34282" s="1" t="str">
        <f>"62736"</f>
        <v>62736</v>
      </c>
      <c r="C34282" s="2">
        <v>0</v>
      </c>
      <c r="D34282" s="2">
        <v>0</v>
      </c>
      <c r="E34282" s="2">
        <v>2.0424836601307101E-4</v>
      </c>
      <c r="F34282" s="2">
        <v>8.0917933032318593E-6</v>
      </c>
    </row>
    <row r="34283" spans="1:6" x14ac:dyDescent="0.25">
      <c r="A34283" s="1" t="str">
        <f t="shared" si="1228"/>
        <v>44100</v>
      </c>
      <c r="B34283" s="1" t="str">
        <f>"62726"</f>
        <v>62726</v>
      </c>
      <c r="C34283" s="2">
        <v>0</v>
      </c>
      <c r="D34283" s="2">
        <v>0</v>
      </c>
      <c r="E34283" s="2">
        <v>2.0424836601307101E-4</v>
      </c>
      <c r="F34283" s="2">
        <v>8.0917933032318593E-6</v>
      </c>
    </row>
    <row r="34284" spans="1:6" x14ac:dyDescent="0.25">
      <c r="A34284" s="1" t="str">
        <f t="shared" si="1228"/>
        <v>44100</v>
      </c>
      <c r="B34284" s="1" t="str">
        <f>"62688"</f>
        <v>62688</v>
      </c>
      <c r="C34284" s="2">
        <v>2.4875393554427499E-3</v>
      </c>
      <c r="D34284" s="2">
        <v>5.1318895617366296E-4</v>
      </c>
      <c r="E34284" s="2">
        <v>0</v>
      </c>
      <c r="F34284" s="2">
        <v>2.23333495169199E-3</v>
      </c>
    </row>
    <row r="34285" spans="1:6" x14ac:dyDescent="0.25">
      <c r="A34285" s="1" t="str">
        <f t="shared" ref="A34285:A34316" si="1229">"44140"</f>
        <v>44140</v>
      </c>
      <c r="B34285" s="1" t="str">
        <f>"01104"</f>
        <v>01104</v>
      </c>
      <c r="C34285" s="2">
        <v>3.0439924833494801E-2</v>
      </c>
      <c r="D34285" s="2">
        <v>3.0990199391686301E-2</v>
      </c>
      <c r="E34285" s="2">
        <v>2.2458270106221499E-2</v>
      </c>
      <c r="F34285" s="2">
        <v>3.0055498357867898E-2</v>
      </c>
    </row>
    <row r="34286" spans="1:6" x14ac:dyDescent="0.25">
      <c r="A34286" s="1" t="str">
        <f t="shared" si="1229"/>
        <v>44140</v>
      </c>
      <c r="B34286" s="1" t="str">
        <f>"01089"</f>
        <v>01089</v>
      </c>
      <c r="C34286" s="2">
        <v>4.0529051728735499E-2</v>
      </c>
      <c r="D34286" s="2">
        <v>5.6877323420074302E-2</v>
      </c>
      <c r="E34286" s="2">
        <v>4.3550834597875503E-2</v>
      </c>
      <c r="F34286" s="2">
        <v>4.2005438458759203E-2</v>
      </c>
    </row>
    <row r="34287" spans="1:6" x14ac:dyDescent="0.25">
      <c r="A34287" s="1" t="str">
        <f t="shared" si="1229"/>
        <v>44140</v>
      </c>
      <c r="B34287" s="1" t="str">
        <f>"01103"</f>
        <v>01103</v>
      </c>
      <c r="C34287" s="2">
        <v>5.3425942483192601E-3</v>
      </c>
      <c r="D34287" s="2">
        <v>4.6130449476174298E-2</v>
      </c>
      <c r="E34287" s="2">
        <v>9.2058674759736905E-3</v>
      </c>
      <c r="F34287" s="2">
        <v>8.8286668169803694E-3</v>
      </c>
    </row>
    <row r="34288" spans="1:6" x14ac:dyDescent="0.25">
      <c r="A34288" s="1" t="str">
        <f t="shared" si="1229"/>
        <v>44140</v>
      </c>
      <c r="B34288" s="1" t="str">
        <f>"01013"</f>
        <v>01013</v>
      </c>
      <c r="C34288" s="2">
        <v>3.3238277193741901E-2</v>
      </c>
      <c r="D34288" s="2">
        <v>2.3521459952686698E-2</v>
      </c>
      <c r="E34288" s="2">
        <v>4.8912493677288803E-2</v>
      </c>
      <c r="F34288" s="2">
        <v>3.3299014720783199E-2</v>
      </c>
    </row>
    <row r="34289" spans="1:6" x14ac:dyDescent="0.25">
      <c r="A34289" s="1" t="str">
        <f t="shared" si="1229"/>
        <v>44140</v>
      </c>
      <c r="B34289" s="1" t="str">
        <f>"01032"</f>
        <v>01032</v>
      </c>
      <c r="C34289" s="2">
        <v>2.7293347011378497E-4</v>
      </c>
      <c r="D34289" s="2">
        <v>1.01385603244339E-4</v>
      </c>
      <c r="E34289" s="2">
        <v>3.3889731917046001E-3</v>
      </c>
      <c r="F34289" s="2">
        <v>4.2649252008182097E-4</v>
      </c>
    </row>
    <row r="34290" spans="1:6" x14ac:dyDescent="0.25">
      <c r="A34290" s="1" t="str">
        <f t="shared" si="1229"/>
        <v>44140</v>
      </c>
      <c r="B34290" s="1" t="str">
        <f>"01116"</f>
        <v>01116</v>
      </c>
      <c r="C34290" s="2">
        <v>1.36153018424577E-3</v>
      </c>
      <c r="D34290" s="2">
        <v>4.5285569449138204E-3</v>
      </c>
      <c r="E34290" s="2">
        <v>1.01163378856853E-4</v>
      </c>
      <c r="F34290" s="2">
        <v>1.5484123340550201E-3</v>
      </c>
    </row>
    <row r="34291" spans="1:6" x14ac:dyDescent="0.25">
      <c r="A34291" s="1" t="str">
        <f t="shared" si="1229"/>
        <v>44140</v>
      </c>
      <c r="B34291" s="1" t="str">
        <f>"01138"</f>
        <v>01138</v>
      </c>
      <c r="C34291" s="2">
        <v>3.71754209292914E-3</v>
      </c>
      <c r="D34291" s="2">
        <v>4.4947617438323697E-3</v>
      </c>
      <c r="E34291" s="2">
        <v>1.01163378856853E-4</v>
      </c>
      <c r="F34291" s="2">
        <v>3.5857969841274098E-3</v>
      </c>
    </row>
    <row r="34292" spans="1:6" x14ac:dyDescent="0.25">
      <c r="A34292" s="1" t="str">
        <f t="shared" si="1229"/>
        <v>44140</v>
      </c>
      <c r="B34292" s="1" t="str">
        <f>"01077"</f>
        <v>01077</v>
      </c>
      <c r="C34292" s="2">
        <v>1.2743169604622901E-2</v>
      </c>
      <c r="D34292" s="2">
        <v>7.5025346400811E-3</v>
      </c>
      <c r="E34292" s="2">
        <v>2.3773394031360601E-3</v>
      </c>
      <c r="F34292" s="2">
        <v>1.1765217225951301E-2</v>
      </c>
    </row>
    <row r="34293" spans="1:6" x14ac:dyDescent="0.25">
      <c r="A34293" s="1" t="str">
        <f t="shared" si="1229"/>
        <v>44140</v>
      </c>
      <c r="B34293" s="1" t="str">
        <f>"01001"</f>
        <v>01001</v>
      </c>
      <c r="C34293" s="2">
        <v>2.5771821344652199E-2</v>
      </c>
      <c r="D34293" s="2">
        <v>2.9739776951672799E-2</v>
      </c>
      <c r="E34293" s="2">
        <v>1.3100657561962501E-2</v>
      </c>
      <c r="F34293" s="2">
        <v>2.5410261355702901E-2</v>
      </c>
    </row>
    <row r="34294" spans="1:6" x14ac:dyDescent="0.25">
      <c r="A34294" s="1" t="str">
        <f t="shared" si="1229"/>
        <v>44140</v>
      </c>
      <c r="B34294" s="1" t="str">
        <f>"01028"</f>
        <v>01028</v>
      </c>
      <c r="C34294" s="2">
        <v>2.3001703481313401E-2</v>
      </c>
      <c r="D34294" s="2">
        <v>2.91990537343697E-2</v>
      </c>
      <c r="E34294" s="2">
        <v>4.6029337379868401E-3</v>
      </c>
      <c r="F34294" s="2">
        <v>2.2511742126866501E-2</v>
      </c>
    </row>
    <row r="34295" spans="1:6" x14ac:dyDescent="0.25">
      <c r="A34295" s="1" t="str">
        <f t="shared" si="1229"/>
        <v>44140</v>
      </c>
      <c r="B34295" s="1" t="str">
        <f>"01364"</f>
        <v>01364</v>
      </c>
      <c r="C34295" s="2">
        <v>1.14161482499317E-2</v>
      </c>
      <c r="D34295" s="2">
        <v>1.2369043595809299E-2</v>
      </c>
      <c r="E34295" s="2">
        <v>1.0015174506828499E-2</v>
      </c>
      <c r="F34295" s="2">
        <v>1.14175035790057E-2</v>
      </c>
    </row>
    <row r="34296" spans="1:6" x14ac:dyDescent="0.25">
      <c r="A34296" s="1" t="str">
        <f t="shared" si="1229"/>
        <v>44140</v>
      </c>
      <c r="B34296" s="1" t="str">
        <f>"01378"</f>
        <v>01378</v>
      </c>
      <c r="C34296" s="2">
        <v>1.23604353131989E-3</v>
      </c>
      <c r="D34296" s="2">
        <v>2.7036160865157098E-4</v>
      </c>
      <c r="E34296" s="2">
        <v>1.5174506828528E-4</v>
      </c>
      <c r="F34296" s="2">
        <v>1.1001877110390901E-3</v>
      </c>
    </row>
    <row r="34297" spans="1:6" x14ac:dyDescent="0.25">
      <c r="A34297" s="1" t="str">
        <f t="shared" si="1229"/>
        <v>44140</v>
      </c>
      <c r="B34297" s="1" t="str">
        <f>"01106"</f>
        <v>01106</v>
      </c>
      <c r="C34297" s="2">
        <v>1.9441019704541599E-2</v>
      </c>
      <c r="D34297" s="2">
        <v>9.1247042919905298E-3</v>
      </c>
      <c r="E34297" s="2">
        <v>2.8325746079918999E-3</v>
      </c>
      <c r="F34297" s="2">
        <v>1.77198134298963E-2</v>
      </c>
    </row>
    <row r="34298" spans="1:6" x14ac:dyDescent="0.25">
      <c r="A34298" s="1" t="str">
        <f t="shared" si="1229"/>
        <v>44140</v>
      </c>
      <c r="B34298" s="1" t="str">
        <f>"01129"</f>
        <v>01129</v>
      </c>
      <c r="C34298" s="2">
        <v>9.6781581069083494E-3</v>
      </c>
      <c r="D34298" s="2">
        <v>9.7668131125380094E-3</v>
      </c>
      <c r="E34298" s="2">
        <v>3.0349013657056099E-3</v>
      </c>
      <c r="F34298" s="2">
        <v>9.3285051844648002E-3</v>
      </c>
    </row>
    <row r="34299" spans="1:6" x14ac:dyDescent="0.25">
      <c r="A34299" s="1" t="str">
        <f t="shared" si="1229"/>
        <v>44140</v>
      </c>
      <c r="B34299" s="1" t="str">
        <f>"01105"</f>
        <v>01105</v>
      </c>
      <c r="C34299" s="2">
        <v>1.8324188493501301E-2</v>
      </c>
      <c r="D34299" s="2">
        <v>2.4535315985130101E-2</v>
      </c>
      <c r="E34299" s="2">
        <v>5.6095093576125403E-2</v>
      </c>
      <c r="F34299" s="2">
        <v>2.0851952765274202E-2</v>
      </c>
    </row>
    <row r="34300" spans="1:6" x14ac:dyDescent="0.25">
      <c r="A34300" s="1" t="str">
        <f t="shared" si="1229"/>
        <v>44140</v>
      </c>
      <c r="B34300" s="1" t="str">
        <f>"01118"</f>
        <v>01118</v>
      </c>
      <c r="C34300" s="2">
        <v>1.8829272271527999E-2</v>
      </c>
      <c r="D34300" s="2">
        <v>5.2720513687056396E-3</v>
      </c>
      <c r="E34300" s="2">
        <v>2.4785027819929101E-3</v>
      </c>
      <c r="F34300" s="2">
        <v>1.6861395363999099E-2</v>
      </c>
    </row>
    <row r="34301" spans="1:6" x14ac:dyDescent="0.25">
      <c r="A34301" s="1" t="str">
        <f t="shared" si="1229"/>
        <v>44140</v>
      </c>
      <c r="B34301" s="1" t="str">
        <f>"01355"</f>
        <v>01355</v>
      </c>
      <c r="C34301" s="2">
        <v>1.31447268939857E-3</v>
      </c>
      <c r="D34301" s="2">
        <v>7.4349442379182101E-4</v>
      </c>
      <c r="E34301" s="2">
        <v>1.01163378856853E-4</v>
      </c>
      <c r="F34301" s="2">
        <v>1.2034151999760899E-3</v>
      </c>
    </row>
    <row r="34302" spans="1:6" x14ac:dyDescent="0.25">
      <c r="A34302" s="1" t="str">
        <f t="shared" si="1229"/>
        <v>44140</v>
      </c>
      <c r="B34302" s="1" t="str">
        <f>"01521"</f>
        <v>01521</v>
      </c>
      <c r="C34302" s="2">
        <v>4.1034135506762097E-3</v>
      </c>
      <c r="D34302" s="2">
        <v>6.7590402162892799E-4</v>
      </c>
      <c r="E34302" s="2">
        <v>8.0930703085482997E-4</v>
      </c>
      <c r="F34302" s="2">
        <v>3.6509932929297299E-3</v>
      </c>
    </row>
    <row r="34303" spans="1:6" x14ac:dyDescent="0.25">
      <c r="A34303" s="1" t="str">
        <f t="shared" si="1229"/>
        <v>44140</v>
      </c>
      <c r="B34303" s="1" t="str">
        <f>"01098"</f>
        <v>01098</v>
      </c>
      <c r="C34303" s="2">
        <v>1.6281893217132599E-3</v>
      </c>
      <c r="D34303" s="2">
        <v>2.3656640757012501E-4</v>
      </c>
      <c r="E34303" s="2">
        <v>5.05816894284269E-4</v>
      </c>
      <c r="F34303" s="2">
        <v>1.45605089658507E-3</v>
      </c>
    </row>
    <row r="34304" spans="1:6" x14ac:dyDescent="0.25">
      <c r="A34304" s="1" t="str">
        <f t="shared" si="1229"/>
        <v>44140</v>
      </c>
      <c r="B34304" s="1" t="str">
        <f>"01101"</f>
        <v>01101</v>
      </c>
      <c r="C34304" s="2">
        <v>9.40836180311771E-3</v>
      </c>
      <c r="D34304" s="2">
        <v>1.4836093274754899E-2</v>
      </c>
      <c r="E34304" s="2">
        <v>5.05816894284269E-5</v>
      </c>
      <c r="F34304" s="2">
        <v>9.3420877487986193E-3</v>
      </c>
    </row>
    <row r="34305" spans="1:6" x14ac:dyDescent="0.25">
      <c r="A34305" s="1" t="str">
        <f t="shared" si="1229"/>
        <v>44140</v>
      </c>
      <c r="B34305" s="1" t="str">
        <f>"01070"</f>
        <v>01070</v>
      </c>
      <c r="C34305" s="2">
        <v>8.9409240209688105E-4</v>
      </c>
      <c r="D34305" s="2">
        <v>1.01385603244339E-4</v>
      </c>
      <c r="E34305" s="2">
        <v>5.05816894284269E-5</v>
      </c>
      <c r="F34305" s="2">
        <v>7.8507221849456201E-4</v>
      </c>
    </row>
    <row r="34306" spans="1:6" x14ac:dyDescent="0.25">
      <c r="A34306" s="1" t="str">
        <f t="shared" si="1229"/>
        <v>44140</v>
      </c>
      <c r="B34306" s="1" t="str">
        <f>"01072"</f>
        <v>01072</v>
      </c>
      <c r="C34306" s="2">
        <v>1.9042599581502E-3</v>
      </c>
      <c r="D34306" s="2">
        <v>6.7590402162892799E-5</v>
      </c>
      <c r="E34306" s="2">
        <v>1.26454223571067E-3</v>
      </c>
      <c r="F34306" s="2">
        <v>1.7222691575278599E-3</v>
      </c>
    </row>
    <row r="34307" spans="1:6" x14ac:dyDescent="0.25">
      <c r="A34307" s="1" t="str">
        <f t="shared" si="1229"/>
        <v>44140</v>
      </c>
      <c r="B34307" s="1" t="str">
        <f>"01008"</f>
        <v>01008</v>
      </c>
      <c r="C34307" s="2">
        <v>1.4838796708485E-3</v>
      </c>
      <c r="D34307" s="2">
        <v>6.4210882054748202E-4</v>
      </c>
      <c r="E34307" s="2">
        <v>3.3889731917046001E-3</v>
      </c>
      <c r="F34307" s="2">
        <v>1.51853069252062E-3</v>
      </c>
    </row>
    <row r="34308" spans="1:6" x14ac:dyDescent="0.25">
      <c r="A34308" s="1" t="str">
        <f t="shared" si="1229"/>
        <v>44140</v>
      </c>
      <c r="B34308" s="1" t="str">
        <f>"01344"</f>
        <v>01344</v>
      </c>
      <c r="C34308" s="2">
        <v>2.2681712516352398E-3</v>
      </c>
      <c r="D34308" s="2">
        <v>1.11524163568773E-3</v>
      </c>
      <c r="E34308" s="2">
        <v>8.5988872028325703E-4</v>
      </c>
      <c r="F34308" s="2">
        <v>2.0998644460079401E-3</v>
      </c>
    </row>
    <row r="34309" spans="1:6" x14ac:dyDescent="0.25">
      <c r="A34309" s="1" t="str">
        <f t="shared" si="1229"/>
        <v>44140</v>
      </c>
      <c r="B34309" s="1" t="str">
        <f>"01301"</f>
        <v>01301</v>
      </c>
      <c r="C34309" s="2">
        <v>2.7578829146784799E-2</v>
      </c>
      <c r="D34309" s="2">
        <v>3.4809057113889798E-2</v>
      </c>
      <c r="E34309" s="2">
        <v>3.87961557916034E-2</v>
      </c>
      <c r="F34309" s="2">
        <v>2.8762438233288602E-2</v>
      </c>
    </row>
    <row r="34310" spans="1:6" x14ac:dyDescent="0.25">
      <c r="A34310" s="1" t="str">
        <f t="shared" si="1229"/>
        <v>44140</v>
      </c>
      <c r="B34310" s="1" t="str">
        <f>"01342"</f>
        <v>01342</v>
      </c>
      <c r="C34310" s="2">
        <v>1.3301585210143E-3</v>
      </c>
      <c r="D34310" s="2">
        <v>9.4626563028050005E-4</v>
      </c>
      <c r="E34310" s="2">
        <v>1.2696004046535101E-2</v>
      </c>
      <c r="F34310" s="2">
        <v>1.9097085453345199E-3</v>
      </c>
    </row>
    <row r="34311" spans="1:6" x14ac:dyDescent="0.25">
      <c r="A34311" s="1" t="str">
        <f t="shared" si="1229"/>
        <v>44140</v>
      </c>
      <c r="B34311" s="1" t="str">
        <f>"01095"</f>
        <v>01095</v>
      </c>
      <c r="C34311" s="2">
        <v>2.0435501428979201E-2</v>
      </c>
      <c r="D34311" s="2">
        <v>1.8249408583981001E-2</v>
      </c>
      <c r="E34311" s="2">
        <v>4.6029337379868401E-3</v>
      </c>
      <c r="F34311" s="2">
        <v>1.9409484433023001E-2</v>
      </c>
    </row>
    <row r="34312" spans="1:6" x14ac:dyDescent="0.25">
      <c r="A34312" s="1" t="str">
        <f t="shared" si="1229"/>
        <v>44140</v>
      </c>
      <c r="B34312" s="1" t="str">
        <f>"01079"</f>
        <v>01079</v>
      </c>
      <c r="C34312" s="2">
        <v>0</v>
      </c>
      <c r="D34312" s="2">
        <v>3.37952010814464E-5</v>
      </c>
      <c r="E34312" s="2">
        <v>1.7804754678806201E-2</v>
      </c>
      <c r="F34312" s="2">
        <v>9.5892904196740695E-4</v>
      </c>
    </row>
    <row r="34313" spans="1:6" x14ac:dyDescent="0.25">
      <c r="A34313" s="1" t="str">
        <f t="shared" si="1229"/>
        <v>44140</v>
      </c>
      <c r="B34313" s="1" t="str">
        <f>"01071"</f>
        <v>01071</v>
      </c>
      <c r="C34313" s="2">
        <v>1.0446763856079299E-3</v>
      </c>
      <c r="D34313" s="2">
        <v>2.7036160865157098E-4</v>
      </c>
      <c r="E34313" s="2">
        <v>1.49215983813859E-2</v>
      </c>
      <c r="F34313" s="2">
        <v>1.72770218326139E-3</v>
      </c>
    </row>
    <row r="34314" spans="1:6" x14ac:dyDescent="0.25">
      <c r="A34314" s="1" t="str">
        <f t="shared" si="1229"/>
        <v>44140</v>
      </c>
      <c r="B34314" s="1" t="str">
        <f>"01004"</f>
        <v>01004</v>
      </c>
      <c r="C34314" s="2">
        <v>6.2210008188004103E-3</v>
      </c>
      <c r="D34314" s="2">
        <v>1.0645488340655601E-2</v>
      </c>
      <c r="E34314" s="2">
        <v>2.02326757713707E-4</v>
      </c>
      <c r="F34314" s="2">
        <v>6.25341261928887E-3</v>
      </c>
    </row>
    <row r="34315" spans="1:6" x14ac:dyDescent="0.25">
      <c r="A34315" s="1" t="str">
        <f t="shared" si="1229"/>
        <v>44140</v>
      </c>
      <c r="B34315" s="1" t="str">
        <f>"01040"</f>
        <v>01040</v>
      </c>
      <c r="C34315" s="2">
        <v>5.3014973694860301E-2</v>
      </c>
      <c r="D34315" s="2">
        <v>6.8604258195336207E-2</v>
      </c>
      <c r="E34315" s="2">
        <v>8.6292362164896302E-2</v>
      </c>
      <c r="F34315" s="2">
        <v>5.6055243005658402E-2</v>
      </c>
    </row>
    <row r="34316" spans="1:6" x14ac:dyDescent="0.25">
      <c r="A34316" s="1" t="str">
        <f t="shared" si="1229"/>
        <v>44140</v>
      </c>
      <c r="B34316" s="1" t="str">
        <f>"01054"</f>
        <v>01054</v>
      </c>
      <c r="C34316" s="2">
        <v>2.5160073911638498E-3</v>
      </c>
      <c r="D34316" s="2">
        <v>4.3933761405880298E-4</v>
      </c>
      <c r="E34316" s="2">
        <v>9.1047040971168399E-4</v>
      </c>
      <c r="F34316" s="2">
        <v>2.2628552180137401E-3</v>
      </c>
    </row>
    <row r="34317" spans="1:6" x14ac:dyDescent="0.25">
      <c r="A34317" s="1" t="str">
        <f t="shared" ref="A34317:A34348" si="1230">"44140"</f>
        <v>44140</v>
      </c>
      <c r="B34317" s="1" t="str">
        <f>"01030"</f>
        <v>01030</v>
      </c>
      <c r="C34317" s="2">
        <v>1.7025401635718501E-2</v>
      </c>
      <c r="D34317" s="2">
        <v>1.25042244001351E-2</v>
      </c>
      <c r="E34317" s="2">
        <v>6.0192210419828E-3</v>
      </c>
      <c r="F34317" s="2">
        <v>1.6070890119771E-2</v>
      </c>
    </row>
    <row r="34318" spans="1:6" x14ac:dyDescent="0.25">
      <c r="A34318" s="1" t="str">
        <f t="shared" si="1230"/>
        <v>44140</v>
      </c>
      <c r="B34318" s="1" t="str">
        <f>"01011"</f>
        <v>01011</v>
      </c>
      <c r="C34318" s="2">
        <v>1.64701231965215E-3</v>
      </c>
      <c r="D34318" s="2">
        <v>1.3180128421764099E-3</v>
      </c>
      <c r="E34318" s="2">
        <v>7.5872534142640302E-4</v>
      </c>
      <c r="F34318" s="2">
        <v>1.5728609498558801E-3</v>
      </c>
    </row>
    <row r="34319" spans="1:6" x14ac:dyDescent="0.25">
      <c r="A34319" s="1" t="str">
        <f t="shared" si="1230"/>
        <v>44140</v>
      </c>
      <c r="B34319" s="1" t="str">
        <f>"01302"</f>
        <v>01302</v>
      </c>
      <c r="C34319" s="2">
        <v>2.80776385921652E-3</v>
      </c>
      <c r="D34319" s="2">
        <v>9.3950659006421001E-3</v>
      </c>
      <c r="E34319" s="2">
        <v>1.01163378856853E-4</v>
      </c>
      <c r="F34319" s="2">
        <v>3.1919026184467499E-3</v>
      </c>
    </row>
    <row r="34320" spans="1:6" x14ac:dyDescent="0.25">
      <c r="A34320" s="1" t="str">
        <f t="shared" si="1230"/>
        <v>44140</v>
      </c>
      <c r="B34320" s="1" t="str">
        <f>"01360"</f>
        <v>01360</v>
      </c>
      <c r="C34320" s="2">
        <v>4.4861478421001398E-3</v>
      </c>
      <c r="D34320" s="2">
        <v>2.66982088543426E-3</v>
      </c>
      <c r="E34320" s="2">
        <v>2.6302478502781899E-3</v>
      </c>
      <c r="F34320" s="2">
        <v>4.2404765850173401E-3</v>
      </c>
    </row>
    <row r="34321" spans="1:6" x14ac:dyDescent="0.25">
      <c r="A34321" s="1" t="str">
        <f t="shared" si="1230"/>
        <v>44140</v>
      </c>
      <c r="B34321" s="1" t="str">
        <f>"01375"</f>
        <v>01375</v>
      </c>
      <c r="C34321" s="2">
        <v>5.4837667328608702E-3</v>
      </c>
      <c r="D34321" s="2">
        <v>2.5008448800270299E-3</v>
      </c>
      <c r="E34321" s="2">
        <v>4.4511886697015599E-3</v>
      </c>
      <c r="F34321" s="2">
        <v>5.1885395755176898E-3</v>
      </c>
    </row>
    <row r="34322" spans="1:6" x14ac:dyDescent="0.25">
      <c r="A34322" s="1" t="str">
        <f t="shared" si="1230"/>
        <v>44140</v>
      </c>
      <c r="B34322" s="1" t="str">
        <f>"01108"</f>
        <v>01108</v>
      </c>
      <c r="C34322" s="2">
        <v>3.4016294441882401E-2</v>
      </c>
      <c r="D34322" s="2">
        <v>1.7843866171003701E-2</v>
      </c>
      <c r="E34322" s="2">
        <v>5.9585230146686798E-2</v>
      </c>
      <c r="F34322" s="2">
        <v>3.4089519965011299E-2</v>
      </c>
    </row>
    <row r="34323" spans="1:6" x14ac:dyDescent="0.25">
      <c r="A34323" s="1" t="str">
        <f t="shared" si="1230"/>
        <v>44140</v>
      </c>
      <c r="B34323" s="1" t="str">
        <f>"01139"</f>
        <v>01139</v>
      </c>
      <c r="C34323" s="2">
        <v>3.1842238179941502E-3</v>
      </c>
      <c r="D34323" s="2">
        <v>4.2919905373436902E-3</v>
      </c>
      <c r="E34323" s="2">
        <v>1.01163378856853E-4</v>
      </c>
      <c r="F34323" s="2">
        <v>3.1076907195770899E-3</v>
      </c>
    </row>
    <row r="34324" spans="1:6" x14ac:dyDescent="0.25">
      <c r="A34324" s="1" t="str">
        <f t="shared" si="1230"/>
        <v>44140</v>
      </c>
      <c r="B34324" s="1" t="str">
        <f>"01085"</f>
        <v>01085</v>
      </c>
      <c r="C34324" s="2">
        <v>5.4815707164346701E-2</v>
      </c>
      <c r="D34324" s="2">
        <v>4.8665089557282798E-2</v>
      </c>
      <c r="E34324" s="2">
        <v>4.9317147192716203E-2</v>
      </c>
      <c r="F34324" s="2">
        <v>5.4026007894186302E-2</v>
      </c>
    </row>
    <row r="34325" spans="1:6" x14ac:dyDescent="0.25">
      <c r="A34325" s="1" t="str">
        <f t="shared" si="1230"/>
        <v>44140</v>
      </c>
      <c r="B34325" s="1" t="str">
        <f>"01059"</f>
        <v>01059</v>
      </c>
      <c r="C34325" s="2">
        <v>0</v>
      </c>
      <c r="D34325" s="2">
        <v>3.37952010814464E-5</v>
      </c>
      <c r="E34325" s="2">
        <v>0</v>
      </c>
      <c r="F34325" s="2">
        <v>2.7165128667631899E-6</v>
      </c>
    </row>
    <row r="34326" spans="1:6" x14ac:dyDescent="0.25">
      <c r="A34326" s="1" t="str">
        <f t="shared" si="1230"/>
        <v>44140</v>
      </c>
      <c r="B34326" s="1" t="str">
        <f>"01066"</f>
        <v>01066</v>
      </c>
      <c r="C34326" s="2">
        <v>0</v>
      </c>
      <c r="D34326" s="2">
        <v>3.37952010814464E-5</v>
      </c>
      <c r="E34326" s="2">
        <v>8.1436519979767308E-3</v>
      </c>
      <c r="F34326" s="2">
        <v>4.4007508441563697E-4</v>
      </c>
    </row>
    <row r="34327" spans="1:6" x14ac:dyDescent="0.25">
      <c r="A34327" s="1" t="str">
        <f t="shared" si="1230"/>
        <v>44140</v>
      </c>
      <c r="B34327" s="1" t="str">
        <f>"01223"</f>
        <v>01223</v>
      </c>
      <c r="C34327" s="2">
        <v>6.2743326462939004E-6</v>
      </c>
      <c r="D34327" s="2">
        <v>0</v>
      </c>
      <c r="E34327" s="2">
        <v>0</v>
      </c>
      <c r="F34327" s="2">
        <v>5.4330257335263797E-6</v>
      </c>
    </row>
    <row r="34328" spans="1:6" x14ac:dyDescent="0.25">
      <c r="A34328" s="1" t="str">
        <f t="shared" si="1230"/>
        <v>44140</v>
      </c>
      <c r="B34328" s="1" t="str">
        <f>"01069"</f>
        <v>01069</v>
      </c>
      <c r="C34328" s="2">
        <v>1.22380858265962E-2</v>
      </c>
      <c r="D34328" s="2">
        <v>1.50726596823251E-2</v>
      </c>
      <c r="E34328" s="2">
        <v>1.0672736469398E-2</v>
      </c>
      <c r="F34328" s="2">
        <v>1.23818656467066E-2</v>
      </c>
    </row>
    <row r="34329" spans="1:6" x14ac:dyDescent="0.25">
      <c r="A34329" s="1" t="str">
        <f t="shared" si="1230"/>
        <v>44140</v>
      </c>
      <c r="B34329" s="1" t="str">
        <f>"01053"</f>
        <v>01053</v>
      </c>
      <c r="C34329" s="2">
        <v>2.5191445574870002E-3</v>
      </c>
      <c r="D34329" s="2">
        <v>9.12470429199053E-4</v>
      </c>
      <c r="E34329" s="2">
        <v>3.2878098128477401E-3</v>
      </c>
      <c r="F34329" s="2">
        <v>2.4312790157530501E-3</v>
      </c>
    </row>
    <row r="34330" spans="1:6" x14ac:dyDescent="0.25">
      <c r="A34330" s="1" t="str">
        <f t="shared" si="1230"/>
        <v>44140</v>
      </c>
      <c r="B34330" s="1" t="str">
        <f>"01370"</f>
        <v>01370</v>
      </c>
      <c r="C34330" s="2">
        <v>6.5943236112548896E-3</v>
      </c>
      <c r="D34330" s="2">
        <v>7.9080770530584599E-3</v>
      </c>
      <c r="E34330" s="2">
        <v>5.7157309054122396E-3</v>
      </c>
      <c r="F34330" s="2">
        <v>6.6527400107030598E-3</v>
      </c>
    </row>
    <row r="34331" spans="1:6" x14ac:dyDescent="0.25">
      <c r="A34331" s="1" t="str">
        <f t="shared" si="1230"/>
        <v>44140</v>
      </c>
      <c r="B34331" s="1" t="str">
        <f>"01379"</f>
        <v>01379</v>
      </c>
      <c r="C34331" s="2">
        <v>1.16702587221066E-3</v>
      </c>
      <c r="D34331" s="2">
        <v>3.37952010814464E-5</v>
      </c>
      <c r="E34331" s="2">
        <v>6.57561962569549E-4</v>
      </c>
      <c r="F34331" s="2">
        <v>1.04857396657059E-3</v>
      </c>
    </row>
    <row r="34332" spans="1:6" x14ac:dyDescent="0.25">
      <c r="A34332" s="1" t="str">
        <f t="shared" si="1230"/>
        <v>44140</v>
      </c>
      <c r="B34332" s="1" t="str">
        <f>"01109"</f>
        <v>01109</v>
      </c>
      <c r="C34332" s="2">
        <v>3.4778625858407103E-2</v>
      </c>
      <c r="D34332" s="2">
        <v>1.9871578235890499E-2</v>
      </c>
      <c r="E34332" s="2">
        <v>3.3687405159332301E-2</v>
      </c>
      <c r="F34332" s="2">
        <v>3.3521768775857802E-2</v>
      </c>
    </row>
    <row r="34333" spans="1:6" x14ac:dyDescent="0.25">
      <c r="A34333" s="1" t="str">
        <f t="shared" si="1230"/>
        <v>44140</v>
      </c>
      <c r="B34333" s="1" t="str">
        <f>"01090"</f>
        <v>01090</v>
      </c>
      <c r="C34333" s="2">
        <v>2.5411047217490301E-3</v>
      </c>
      <c r="D34333" s="2">
        <v>7.7053058465697804E-3</v>
      </c>
      <c r="E34333" s="2">
        <v>5.05816894284269E-5</v>
      </c>
      <c r="F34333" s="2">
        <v>2.8224568685669498E-3</v>
      </c>
    </row>
    <row r="34334" spans="1:6" x14ac:dyDescent="0.25">
      <c r="A34334" s="1" t="str">
        <f t="shared" si="1230"/>
        <v>44140</v>
      </c>
      <c r="B34334" s="1" t="str">
        <f>"01021"</f>
        <v>01021</v>
      </c>
      <c r="C34334" s="2">
        <v>3.2532414771033898E-3</v>
      </c>
      <c r="D34334" s="2">
        <v>5.8803649881716703E-3</v>
      </c>
      <c r="E34334" s="2">
        <v>1.01163378856853E-4</v>
      </c>
      <c r="F34334" s="2">
        <v>3.2951301073837502E-3</v>
      </c>
    </row>
    <row r="34335" spans="1:6" x14ac:dyDescent="0.25">
      <c r="A34335" s="1" t="str">
        <f t="shared" si="1230"/>
        <v>44140</v>
      </c>
      <c r="B34335" s="1" t="str">
        <f>"01351"</f>
        <v>01351</v>
      </c>
      <c r="C34335" s="2">
        <v>3.2940246393043E-3</v>
      </c>
      <c r="D34335" s="2">
        <v>8.1108482595471402E-4</v>
      </c>
      <c r="E34335" s="2">
        <v>1.01163378856853E-3</v>
      </c>
      <c r="F34335" s="2">
        <v>2.9718650762389298E-3</v>
      </c>
    </row>
    <row r="34336" spans="1:6" x14ac:dyDescent="0.25">
      <c r="A34336" s="1" t="str">
        <f t="shared" si="1230"/>
        <v>44140</v>
      </c>
      <c r="B34336" s="1" t="str">
        <f>"01020"</f>
        <v>01020</v>
      </c>
      <c r="C34336" s="2">
        <v>4.3785430372162003E-2</v>
      </c>
      <c r="D34336" s="2">
        <v>2.9063872930043901E-2</v>
      </c>
      <c r="E34336" s="2">
        <v>4.4056651492159801E-2</v>
      </c>
      <c r="F34336" s="2">
        <v>4.2616653853780898E-2</v>
      </c>
    </row>
    <row r="34337" spans="1:6" x14ac:dyDescent="0.25">
      <c r="A34337" s="1" t="str">
        <f t="shared" si="1230"/>
        <v>44140</v>
      </c>
      <c r="B34337" s="1" t="str">
        <f>"01027"</f>
        <v>01027</v>
      </c>
      <c r="C34337" s="2">
        <v>3.0571685819066999E-2</v>
      </c>
      <c r="D34337" s="2">
        <v>4.1061169313957403E-2</v>
      </c>
      <c r="E34337" s="2">
        <v>3.04501770359129E-2</v>
      </c>
      <c r="F34337" s="2">
        <v>3.1408321765516001E-2</v>
      </c>
    </row>
    <row r="34338" spans="1:6" x14ac:dyDescent="0.25">
      <c r="A34338" s="1" t="str">
        <f t="shared" si="1230"/>
        <v>44140</v>
      </c>
      <c r="B34338" s="1" t="str">
        <f>"01041"</f>
        <v>01041</v>
      </c>
      <c r="C34338" s="2">
        <v>5.9668903466254999E-3</v>
      </c>
      <c r="D34338" s="2">
        <v>1.56133828996282E-2</v>
      </c>
      <c r="E34338" s="2">
        <v>2.02326757713707E-4</v>
      </c>
      <c r="F34338" s="2">
        <v>6.4327024684952402E-3</v>
      </c>
    </row>
    <row r="34339" spans="1:6" x14ac:dyDescent="0.25">
      <c r="A34339" s="1" t="str">
        <f t="shared" si="1230"/>
        <v>44140</v>
      </c>
      <c r="B34339" s="1" t="str">
        <f>"01050"</f>
        <v>01050</v>
      </c>
      <c r="C34339" s="2">
        <v>3.1904981506404501E-3</v>
      </c>
      <c r="D34339" s="2">
        <v>6.4210882054748202E-4</v>
      </c>
      <c r="E34339" s="2">
        <v>1.1836115326251799E-2</v>
      </c>
      <c r="F34339" s="2">
        <v>3.4499713407892501E-3</v>
      </c>
    </row>
    <row r="34340" spans="1:6" x14ac:dyDescent="0.25">
      <c r="A34340" s="1" t="str">
        <f t="shared" si="1230"/>
        <v>44140</v>
      </c>
      <c r="B34340" s="1" t="str">
        <f>"01340"</f>
        <v>01340</v>
      </c>
      <c r="C34340" s="2">
        <v>2.6571798757054699E-3</v>
      </c>
      <c r="D34340" s="2">
        <v>5.4072321730314196E-4</v>
      </c>
      <c r="E34340" s="2">
        <v>4.0465351542741499E-4</v>
      </c>
      <c r="F34340" s="2">
        <v>2.36608270695074E-3</v>
      </c>
    </row>
    <row r="34341" spans="1:6" x14ac:dyDescent="0.25">
      <c r="A34341" s="1" t="str">
        <f t="shared" si="1230"/>
        <v>44140</v>
      </c>
      <c r="B34341" s="1" t="str">
        <f>"01380"</f>
        <v>01380</v>
      </c>
      <c r="C34341" s="2">
        <v>2.0705297732769799E-4</v>
      </c>
      <c r="D34341" s="2">
        <v>0</v>
      </c>
      <c r="E34341" s="2">
        <v>3.0349013657056102E-4</v>
      </c>
      <c r="F34341" s="2">
        <v>1.95588926406949E-4</v>
      </c>
    </row>
    <row r="34342" spans="1:6" x14ac:dyDescent="0.25">
      <c r="A34342" s="1" t="str">
        <f t="shared" si="1230"/>
        <v>44140</v>
      </c>
      <c r="B34342" s="1" t="str">
        <f>"01341"</f>
        <v>01341</v>
      </c>
      <c r="C34342" s="2">
        <v>1.8289679663946699E-3</v>
      </c>
      <c r="D34342" s="2">
        <v>1.01385603244339E-4</v>
      </c>
      <c r="E34342" s="2">
        <v>3.0349013657056099E-3</v>
      </c>
      <c r="F34342" s="2">
        <v>1.75486731192902E-3</v>
      </c>
    </row>
    <row r="34343" spans="1:6" x14ac:dyDescent="0.25">
      <c r="A34343" s="1" t="str">
        <f t="shared" si="1230"/>
        <v>44140</v>
      </c>
      <c r="B34343" s="1" t="str">
        <f>"01119"</f>
        <v>01119</v>
      </c>
      <c r="C34343" s="2">
        <v>1.65736496851853E-2</v>
      </c>
      <c r="D34343" s="2">
        <v>6.2183169989861401E-3</v>
      </c>
      <c r="E34343" s="2">
        <v>1.31512392513909E-3</v>
      </c>
      <c r="F34343" s="2">
        <v>1.4921805177130199E-2</v>
      </c>
    </row>
    <row r="34344" spans="1:6" x14ac:dyDescent="0.25">
      <c r="A34344" s="1" t="str">
        <f t="shared" si="1230"/>
        <v>44140</v>
      </c>
      <c r="B34344" s="1" t="str">
        <f>"01144"</f>
        <v>01144</v>
      </c>
      <c r="C34344" s="2">
        <v>0</v>
      </c>
      <c r="D34344" s="2">
        <v>5.4072321730314196E-3</v>
      </c>
      <c r="E34344" s="2">
        <v>3.0349013657056102E-4</v>
      </c>
      <c r="F34344" s="2">
        <v>4.5094113588268998E-4</v>
      </c>
    </row>
    <row r="34345" spans="1:6" x14ac:dyDescent="0.25">
      <c r="A34345" s="1" t="str">
        <f t="shared" si="1230"/>
        <v>44140</v>
      </c>
      <c r="B34345" s="1" t="str">
        <f>"01111"</f>
        <v>01111</v>
      </c>
      <c r="C34345" s="2">
        <v>0</v>
      </c>
      <c r="D34345" s="2">
        <v>3.37952010814464E-5</v>
      </c>
      <c r="E34345" s="2">
        <v>0</v>
      </c>
      <c r="F34345" s="2">
        <v>2.7165128667631899E-6</v>
      </c>
    </row>
    <row r="34346" spans="1:6" x14ac:dyDescent="0.25">
      <c r="A34346" s="1" t="str">
        <f t="shared" si="1230"/>
        <v>44140</v>
      </c>
      <c r="B34346" s="1" t="str">
        <f>"01060"</f>
        <v>01060</v>
      </c>
      <c r="C34346" s="2">
        <v>2.4661264466258201E-2</v>
      </c>
      <c r="D34346" s="2">
        <v>5.4613044947617401E-2</v>
      </c>
      <c r="E34346" s="2">
        <v>5.27567020738492E-2</v>
      </c>
      <c r="F34346" s="2">
        <v>2.8577715358348701E-2</v>
      </c>
    </row>
    <row r="34347" spans="1:6" x14ac:dyDescent="0.25">
      <c r="A34347" s="1" t="str">
        <f t="shared" si="1230"/>
        <v>44140</v>
      </c>
      <c r="B34347" s="1" t="str">
        <f>"01056"</f>
        <v>01056</v>
      </c>
      <c r="C34347" s="2">
        <v>2.80054837667328E-2</v>
      </c>
      <c r="D34347" s="2">
        <v>1.8249408583981001E-2</v>
      </c>
      <c r="E34347" s="2">
        <v>1.41122913505311E-2</v>
      </c>
      <c r="F34347" s="2">
        <v>2.6475134399474E-2</v>
      </c>
    </row>
    <row r="34348" spans="1:6" x14ac:dyDescent="0.25">
      <c r="A34348" s="1" t="str">
        <f t="shared" si="1230"/>
        <v>44140</v>
      </c>
      <c r="B34348" s="1" t="str">
        <f>"01061"</f>
        <v>01061</v>
      </c>
      <c r="C34348" s="2">
        <v>4.6555548235500798E-3</v>
      </c>
      <c r="D34348" s="2">
        <v>9.1584994930719796E-3</v>
      </c>
      <c r="E34348" s="2">
        <v>5.05816894284269E-5</v>
      </c>
      <c r="F34348" s="2">
        <v>4.7701965940361597E-3</v>
      </c>
    </row>
    <row r="34349" spans="1:6" x14ac:dyDescent="0.25">
      <c r="A34349" s="1" t="str">
        <f t="shared" ref="A34349:A34380" si="1231">"44140"</f>
        <v>44140</v>
      </c>
      <c r="B34349" s="1" t="str">
        <f>"01033"</f>
        <v>01033</v>
      </c>
      <c r="C34349" s="2">
        <v>1.0823223814856901E-2</v>
      </c>
      <c r="D34349" s="2">
        <v>7.2321730314295297E-3</v>
      </c>
      <c r="E34349" s="2">
        <v>1.9726858877086402E-3</v>
      </c>
      <c r="F34349" s="2">
        <v>1.00592471456241E-2</v>
      </c>
    </row>
    <row r="34350" spans="1:6" x14ac:dyDescent="0.25">
      <c r="A34350" s="1" t="str">
        <f t="shared" si="1231"/>
        <v>44140</v>
      </c>
      <c r="B34350" s="1" t="str">
        <f>"01034"</f>
        <v>01034</v>
      </c>
      <c r="C34350" s="2">
        <v>2.8642328530331601E-3</v>
      </c>
      <c r="D34350" s="2">
        <v>8.4488002703615999E-4</v>
      </c>
      <c r="E34350" s="2">
        <v>4.5523520485584199E-4</v>
      </c>
      <c r="F34350" s="2">
        <v>2.5725376848247401E-3</v>
      </c>
    </row>
    <row r="34351" spans="1:6" x14ac:dyDescent="0.25">
      <c r="A34351" s="1" t="str">
        <f t="shared" si="1231"/>
        <v>44140</v>
      </c>
      <c r="B34351" s="1" t="str">
        <f>"01010"</f>
        <v>01010</v>
      </c>
      <c r="C34351" s="2">
        <v>5.1355412709915603E-3</v>
      </c>
      <c r="D34351" s="2">
        <v>1.4531936465021901E-3</v>
      </c>
      <c r="E34351" s="2">
        <v>1.41628730399595E-3</v>
      </c>
      <c r="F34351" s="2">
        <v>4.6398039764315299E-3</v>
      </c>
    </row>
    <row r="34352" spans="1:6" x14ac:dyDescent="0.25">
      <c r="A34352" s="1" t="str">
        <f t="shared" si="1231"/>
        <v>44140</v>
      </c>
      <c r="B34352" s="1" t="str">
        <f>"01035"</f>
        <v>01035</v>
      </c>
      <c r="C34352" s="2">
        <v>9.7095297701398197E-3</v>
      </c>
      <c r="D34352" s="2">
        <v>2.2338627914835998E-2</v>
      </c>
      <c r="E34352" s="2">
        <v>5.7157309054122396E-3</v>
      </c>
      <c r="F34352" s="2">
        <v>1.05101882815067E-2</v>
      </c>
    </row>
    <row r="34353" spans="1:6" x14ac:dyDescent="0.25">
      <c r="A34353" s="1" t="str">
        <f t="shared" si="1231"/>
        <v>44140</v>
      </c>
      <c r="B34353" s="1" t="str">
        <f>"01346"</f>
        <v>01346</v>
      </c>
      <c r="C34353" s="2">
        <v>1.8195564674252301E-4</v>
      </c>
      <c r="D34353" s="2">
        <v>0</v>
      </c>
      <c r="E34353" s="2">
        <v>5.00758725341426E-3</v>
      </c>
      <c r="F34353" s="2">
        <v>4.2649252008182097E-4</v>
      </c>
    </row>
    <row r="34354" spans="1:6" x14ac:dyDescent="0.25">
      <c r="A34354" s="1" t="str">
        <f t="shared" si="1231"/>
        <v>44140</v>
      </c>
      <c r="B34354" s="1" t="str">
        <f>"01337"</f>
        <v>01337</v>
      </c>
      <c r="C34354" s="2">
        <v>3.4791174523699699E-3</v>
      </c>
      <c r="D34354" s="2">
        <v>1.68976005407232E-3</v>
      </c>
      <c r="E34354" s="2">
        <v>4.7546788062721203E-3</v>
      </c>
      <c r="F34354" s="2">
        <v>3.4037906220542799E-3</v>
      </c>
    </row>
    <row r="34355" spans="1:6" x14ac:dyDescent="0.25">
      <c r="A34355" s="1" t="str">
        <f t="shared" si="1231"/>
        <v>44140</v>
      </c>
      <c r="B34355" s="1" t="str">
        <f>"01339"</f>
        <v>01339</v>
      </c>
      <c r="C34355" s="2">
        <v>2.5442418880721701E-3</v>
      </c>
      <c r="D34355" s="2">
        <v>4.3933761405880298E-4</v>
      </c>
      <c r="E34355" s="2">
        <v>5.5639858371269596E-4</v>
      </c>
      <c r="F34355" s="2">
        <v>2.26828824374726E-3</v>
      </c>
    </row>
    <row r="34356" spans="1:6" x14ac:dyDescent="0.25">
      <c r="A34356" s="1" t="str">
        <f t="shared" si="1231"/>
        <v>44140</v>
      </c>
      <c r="B34356" s="1" t="str">
        <f>"01107"</f>
        <v>01107</v>
      </c>
      <c r="C34356" s="2">
        <v>1.5792495270721699E-2</v>
      </c>
      <c r="D34356" s="2">
        <v>1.098344035147E-2</v>
      </c>
      <c r="E34356" s="2">
        <v>2.4785027819929101E-2</v>
      </c>
      <c r="F34356" s="2">
        <v>1.58888837576979E-2</v>
      </c>
    </row>
    <row r="34357" spans="1:6" x14ac:dyDescent="0.25">
      <c r="A34357" s="1" t="str">
        <f t="shared" si="1231"/>
        <v>44140</v>
      </c>
      <c r="B34357" s="1" t="str">
        <f>"01151"</f>
        <v>01151</v>
      </c>
      <c r="C34357" s="2">
        <v>1.4355673094720399E-2</v>
      </c>
      <c r="D34357" s="2">
        <v>1.7370733355863401E-2</v>
      </c>
      <c r="E34357" s="2">
        <v>1.1026808295396999E-2</v>
      </c>
      <c r="F34357" s="2">
        <v>1.4419250296779E-2</v>
      </c>
    </row>
    <row r="34358" spans="1:6" x14ac:dyDescent="0.25">
      <c r="A34358" s="1" t="str">
        <f t="shared" si="1231"/>
        <v>44140</v>
      </c>
      <c r="B34358" s="1" t="str">
        <f>"01152"</f>
        <v>01152</v>
      </c>
      <c r="C34358" s="2">
        <v>0</v>
      </c>
      <c r="D34358" s="2">
        <v>1.01385603244339E-4</v>
      </c>
      <c r="E34358" s="2">
        <v>6.0698027314112204E-4</v>
      </c>
      <c r="F34358" s="2">
        <v>4.0747693001447902E-5</v>
      </c>
    </row>
    <row r="34359" spans="1:6" x14ac:dyDescent="0.25">
      <c r="A34359" s="1" t="str">
        <f t="shared" si="1231"/>
        <v>44140</v>
      </c>
      <c r="B34359" s="1" t="str">
        <f>"01014"</f>
        <v>01014</v>
      </c>
      <c r="C34359" s="2">
        <v>2.0015121141677499E-3</v>
      </c>
      <c r="D34359" s="2">
        <v>2.29807367353835E-3</v>
      </c>
      <c r="E34359" s="2">
        <v>1.01163378856853E-4</v>
      </c>
      <c r="F34359" s="2">
        <v>1.9232911096683401E-3</v>
      </c>
    </row>
    <row r="34360" spans="1:6" x14ac:dyDescent="0.25">
      <c r="A34360" s="1" t="str">
        <f t="shared" si="1231"/>
        <v>44140</v>
      </c>
      <c r="B34360" s="1" t="str">
        <f>"01331"</f>
        <v>01331</v>
      </c>
      <c r="C34360" s="2">
        <v>2.8234496908322501E-5</v>
      </c>
      <c r="D34360" s="2">
        <v>3.37952010814464E-5</v>
      </c>
      <c r="E34360" s="2">
        <v>0</v>
      </c>
      <c r="F34360" s="2">
        <v>2.7165128667631899E-5</v>
      </c>
    </row>
    <row r="34361" spans="1:6" x14ac:dyDescent="0.25">
      <c r="A34361" s="1" t="str">
        <f t="shared" si="1231"/>
        <v>44140</v>
      </c>
      <c r="B34361" s="1" t="str">
        <f>"01347"</f>
        <v>01347</v>
      </c>
      <c r="C34361" s="2">
        <v>0</v>
      </c>
      <c r="D34361" s="2">
        <v>0</v>
      </c>
      <c r="E34361" s="2">
        <v>4.7546788062721203E-3</v>
      </c>
      <c r="F34361" s="2">
        <v>2.5535220947574001E-4</v>
      </c>
    </row>
    <row r="34362" spans="1:6" x14ac:dyDescent="0.25">
      <c r="A34362" s="1" t="str">
        <f t="shared" si="1231"/>
        <v>44140</v>
      </c>
      <c r="B34362" s="1" t="str">
        <f>"01199"</f>
        <v>01199</v>
      </c>
      <c r="C34362" s="2">
        <v>0</v>
      </c>
      <c r="D34362" s="2">
        <v>1.68976005407232E-4</v>
      </c>
      <c r="E34362" s="2">
        <v>0</v>
      </c>
      <c r="F34362" s="2">
        <v>1.3582564333815901E-5</v>
      </c>
    </row>
    <row r="34363" spans="1:6" x14ac:dyDescent="0.25">
      <c r="A34363" s="1" t="str">
        <f t="shared" si="1231"/>
        <v>44140</v>
      </c>
      <c r="B34363" s="1" t="str">
        <f>"01038"</f>
        <v>01038</v>
      </c>
      <c r="C34363" s="2">
        <v>5.11985543937582E-3</v>
      </c>
      <c r="D34363" s="2">
        <v>3.37952010814464E-3</v>
      </c>
      <c r="E34363" s="2">
        <v>4.1476985331310003E-3</v>
      </c>
      <c r="F34363" s="2">
        <v>4.9277543403084302E-3</v>
      </c>
    </row>
    <row r="34364" spans="1:6" x14ac:dyDescent="0.25">
      <c r="A34364" s="1" t="str">
        <f t="shared" si="1231"/>
        <v>44140</v>
      </c>
      <c r="B34364" s="1" t="str">
        <f>"01084"</f>
        <v>01084</v>
      </c>
      <c r="C34364" s="2">
        <v>1.5058398351105301E-4</v>
      </c>
      <c r="D34364" s="2">
        <v>0</v>
      </c>
      <c r="E34364" s="2">
        <v>1.01163378856853E-4</v>
      </c>
      <c r="F34364" s="2">
        <v>1.3582564333815901E-4</v>
      </c>
    </row>
    <row r="34365" spans="1:6" x14ac:dyDescent="0.25">
      <c r="A34365" s="1" t="str">
        <f t="shared" si="1231"/>
        <v>44140</v>
      </c>
      <c r="B34365" s="1" t="str">
        <f>"01247"</f>
        <v>01247</v>
      </c>
      <c r="C34365" s="2">
        <v>9.7252156017555507E-5</v>
      </c>
      <c r="D34365" s="2">
        <v>0</v>
      </c>
      <c r="E34365" s="2">
        <v>0</v>
      </c>
      <c r="F34365" s="2">
        <v>8.4211898869658905E-5</v>
      </c>
    </row>
    <row r="34366" spans="1:6" x14ac:dyDescent="0.25">
      <c r="A34366" s="1" t="str">
        <f t="shared" si="1231"/>
        <v>44140</v>
      </c>
      <c r="B34366" s="1" t="str">
        <f>"01026"</f>
        <v>01026</v>
      </c>
      <c r="C34366" s="2">
        <v>1.6658353175910299E-3</v>
      </c>
      <c r="D34366" s="2">
        <v>8.4488002703615999E-4</v>
      </c>
      <c r="E34366" s="2">
        <v>1.16337885685381E-3</v>
      </c>
      <c r="F34366" s="2">
        <v>1.5728609498558801E-3</v>
      </c>
    </row>
    <row r="34367" spans="1:6" x14ac:dyDescent="0.25">
      <c r="A34367" s="1" t="str">
        <f t="shared" si="1231"/>
        <v>44140</v>
      </c>
      <c r="B34367" s="1" t="str">
        <f>"01081"</f>
        <v>01081</v>
      </c>
      <c r="C34367" s="2">
        <v>2.8171753581859599E-3</v>
      </c>
      <c r="D34367" s="2">
        <v>8.4488002703615999E-4</v>
      </c>
      <c r="E34367" s="2">
        <v>3.5407182599898798E-4</v>
      </c>
      <c r="F34367" s="2">
        <v>2.5263569660897598E-3</v>
      </c>
    </row>
    <row r="34368" spans="1:6" x14ac:dyDescent="0.25">
      <c r="A34368" s="1" t="str">
        <f t="shared" si="1231"/>
        <v>44140</v>
      </c>
      <c r="B34368" s="1" t="str">
        <f>"01075"</f>
        <v>01075</v>
      </c>
      <c r="C34368" s="2">
        <v>2.57404496814207E-2</v>
      </c>
      <c r="D34368" s="2">
        <v>1.99729638391348E-2</v>
      </c>
      <c r="E34368" s="2">
        <v>2.3722812341932201E-2</v>
      </c>
      <c r="F34368" s="2">
        <v>2.5168491710560899E-2</v>
      </c>
    </row>
    <row r="34369" spans="1:6" x14ac:dyDescent="0.25">
      <c r="A34369" s="1" t="str">
        <f t="shared" si="1231"/>
        <v>44140</v>
      </c>
      <c r="B34369" s="1" t="str">
        <f>"01062"</f>
        <v>01062</v>
      </c>
      <c r="C34369" s="2">
        <v>1.6774428329866701E-2</v>
      </c>
      <c r="D34369" s="2">
        <v>1.7776275768840801E-2</v>
      </c>
      <c r="E34369" s="2">
        <v>1.0318664643399001E-2</v>
      </c>
      <c r="F34369" s="2">
        <v>1.65082486913199E-2</v>
      </c>
    </row>
    <row r="34370" spans="1:6" x14ac:dyDescent="0.25">
      <c r="A34370" s="1" t="str">
        <f t="shared" si="1231"/>
        <v>44140</v>
      </c>
      <c r="B34370" s="1" t="str">
        <f>"01002"</f>
        <v>01002</v>
      </c>
      <c r="C34370" s="2">
        <v>3.5239789307909698E-2</v>
      </c>
      <c r="D34370" s="2">
        <v>3.0348090571138801E-2</v>
      </c>
      <c r="E34370" s="2">
        <v>3.7329286798178998E-2</v>
      </c>
      <c r="F34370" s="2">
        <v>3.4958804082375498E-2</v>
      </c>
    </row>
    <row r="34371" spans="1:6" x14ac:dyDescent="0.25">
      <c r="A34371" s="1" t="str">
        <f t="shared" si="1231"/>
        <v>44140</v>
      </c>
      <c r="B34371" s="1" t="str">
        <f>"01022"</f>
        <v>01022</v>
      </c>
      <c r="C34371" s="2">
        <v>3.9653782324577504E-3</v>
      </c>
      <c r="D34371" s="2">
        <v>3.0753632984116199E-3</v>
      </c>
      <c r="E34371" s="2">
        <v>5.10875063227111E-3</v>
      </c>
      <c r="F34371" s="2">
        <v>3.9552427340071999E-3</v>
      </c>
    </row>
    <row r="34372" spans="1:6" x14ac:dyDescent="0.25">
      <c r="A34372" s="1" t="str">
        <f t="shared" si="1231"/>
        <v>44140</v>
      </c>
      <c r="B34372" s="1" t="str">
        <f>"01007"</f>
        <v>01007</v>
      </c>
      <c r="C34372" s="2">
        <v>1.9895908821397901E-2</v>
      </c>
      <c r="D34372" s="2">
        <v>6.0155457924974598E-3</v>
      </c>
      <c r="E34372" s="2">
        <v>9.3576125442589708E-3</v>
      </c>
      <c r="F34372" s="2">
        <v>1.8214218771647198E-2</v>
      </c>
    </row>
    <row r="34373" spans="1:6" x14ac:dyDescent="0.25">
      <c r="A34373" s="1" t="str">
        <f t="shared" si="1231"/>
        <v>44140</v>
      </c>
      <c r="B34373" s="1" t="str">
        <f>"01012"</f>
        <v>01012</v>
      </c>
      <c r="C34373" s="2">
        <v>3.1999096496098902E-4</v>
      </c>
      <c r="D34373" s="2">
        <v>3.37952010814464E-5</v>
      </c>
      <c r="E34373" s="2">
        <v>3.0349013657056102E-4</v>
      </c>
      <c r="F34373" s="2">
        <v>2.96099902477188E-4</v>
      </c>
    </row>
    <row r="34374" spans="1:6" x14ac:dyDescent="0.25">
      <c r="A34374" s="1" t="str">
        <f t="shared" si="1231"/>
        <v>44140</v>
      </c>
      <c r="B34374" s="1" t="str">
        <f>"01036"</f>
        <v>01036</v>
      </c>
      <c r="C34374" s="2">
        <v>7.8868361363914393E-3</v>
      </c>
      <c r="D34374" s="2">
        <v>5.7113889827644397E-3</v>
      </c>
      <c r="E34374" s="2">
        <v>2.2761760242792101E-3</v>
      </c>
      <c r="F34374" s="2">
        <v>7.41064710052999E-3</v>
      </c>
    </row>
    <row r="34375" spans="1:6" x14ac:dyDescent="0.25">
      <c r="A34375" s="1" t="str">
        <f t="shared" si="1231"/>
        <v>44140</v>
      </c>
      <c r="B34375" s="1" t="str">
        <f>"01376"</f>
        <v>01376</v>
      </c>
      <c r="C34375" s="2">
        <v>9.3299326450390404E-3</v>
      </c>
      <c r="D34375" s="2">
        <v>9.4288611017235499E-3</v>
      </c>
      <c r="E34375" s="2">
        <v>1.5225088517956399E-2</v>
      </c>
      <c r="F34375" s="2">
        <v>9.6544867284763802E-3</v>
      </c>
    </row>
    <row r="34376" spans="1:6" x14ac:dyDescent="0.25">
      <c r="A34376" s="1" t="str">
        <f t="shared" si="1231"/>
        <v>44140</v>
      </c>
      <c r="B34376" s="1" t="str">
        <f>"01373"</f>
        <v>01373</v>
      </c>
      <c r="C34376" s="2">
        <v>6.59118644493175E-3</v>
      </c>
      <c r="D34376" s="2">
        <v>9.3274754984792093E-3</v>
      </c>
      <c r="E34376" s="2">
        <v>2.4279210925644899E-3</v>
      </c>
      <c r="F34376" s="2">
        <v>6.5875437019007402E-3</v>
      </c>
    </row>
    <row r="34377" spans="1:6" x14ac:dyDescent="0.25">
      <c r="A34377" s="1" t="str">
        <f t="shared" si="1231"/>
        <v>44140</v>
      </c>
      <c r="B34377" s="1" t="str">
        <f>"01330"</f>
        <v>01330</v>
      </c>
      <c r="C34377" s="2">
        <v>2.1175872681241902E-3</v>
      </c>
      <c r="D34377" s="2">
        <v>7.0969922271037504E-4</v>
      </c>
      <c r="E34377" s="2">
        <v>2.4279210925644899E-3</v>
      </c>
      <c r="F34377" s="2">
        <v>2.02108557287181E-3</v>
      </c>
    </row>
    <row r="34378" spans="1:6" x14ac:dyDescent="0.25">
      <c r="A34378" s="1" t="str">
        <f t="shared" si="1231"/>
        <v>44140</v>
      </c>
      <c r="B34378" s="1" t="str">
        <f>"01128"</f>
        <v>01128</v>
      </c>
      <c r="C34378" s="2">
        <v>3.4791174523699699E-3</v>
      </c>
      <c r="D34378" s="2">
        <v>1.75735045623521E-3</v>
      </c>
      <c r="E34378" s="2">
        <v>4.0465351542741499E-4</v>
      </c>
      <c r="F34378" s="2">
        <v>3.1756035412461702E-3</v>
      </c>
    </row>
    <row r="34379" spans="1:6" x14ac:dyDescent="0.25">
      <c r="A34379" s="1" t="str">
        <f t="shared" si="1231"/>
        <v>44140</v>
      </c>
      <c r="B34379" s="1" t="str">
        <f>"01235"</f>
        <v>01235</v>
      </c>
      <c r="C34379" s="2">
        <v>1.28623819249025E-4</v>
      </c>
      <c r="D34379" s="2">
        <v>3.37952010814464E-5</v>
      </c>
      <c r="E34379" s="2">
        <v>0</v>
      </c>
      <c r="F34379" s="2">
        <v>1.1409354040405401E-4</v>
      </c>
    </row>
    <row r="34380" spans="1:6" x14ac:dyDescent="0.25">
      <c r="A34380" s="1" t="str">
        <f t="shared" si="1231"/>
        <v>44140</v>
      </c>
      <c r="B34380" s="1" t="str">
        <f>"01243"</f>
        <v>01243</v>
      </c>
      <c r="C34380" s="2">
        <v>0</v>
      </c>
      <c r="D34380" s="2">
        <v>6.7590402162892799E-5</v>
      </c>
      <c r="E34380" s="2">
        <v>6.0698027314112204E-4</v>
      </c>
      <c r="F34380" s="2">
        <v>3.8031180134684698E-5</v>
      </c>
    </row>
    <row r="34381" spans="1:6" x14ac:dyDescent="0.25">
      <c r="A34381" s="1" t="str">
        <f t="shared" ref="A34381:A34399" si="1232">"44140"</f>
        <v>44140</v>
      </c>
      <c r="B34381" s="1" t="str">
        <f>"01350"</f>
        <v>01350</v>
      </c>
      <c r="C34381" s="2">
        <v>1.1293798763329E-4</v>
      </c>
      <c r="D34381" s="2">
        <v>2.3656640757012501E-4</v>
      </c>
      <c r="E34381" s="2">
        <v>1.01163378856853E-4</v>
      </c>
      <c r="F34381" s="2">
        <v>1.2224307900434301E-4</v>
      </c>
    </row>
    <row r="34382" spans="1:6" x14ac:dyDescent="0.25">
      <c r="A34382" s="1" t="str">
        <f t="shared" si="1232"/>
        <v>44140</v>
      </c>
      <c r="B34382" s="1" t="str">
        <f>"01338"</f>
        <v>01338</v>
      </c>
      <c r="C34382" s="2">
        <v>1.6626981512678801E-4</v>
      </c>
      <c r="D34382" s="2">
        <v>3.37952010814464E-5</v>
      </c>
      <c r="E34382" s="2">
        <v>8.5988872028325703E-4</v>
      </c>
      <c r="F34382" s="2">
        <v>1.92872413540186E-4</v>
      </c>
    </row>
    <row r="34383" spans="1:6" x14ac:dyDescent="0.25">
      <c r="A34383" s="1" t="str">
        <f t="shared" si="1232"/>
        <v>44140</v>
      </c>
      <c r="B34383" s="1" t="str">
        <f>"01354"</f>
        <v>01354</v>
      </c>
      <c r="C34383" s="2">
        <v>2.14268459870936E-3</v>
      </c>
      <c r="D34383" s="2">
        <v>2.0615072659682298E-3</v>
      </c>
      <c r="E34383" s="2">
        <v>1.06221547799696E-3</v>
      </c>
      <c r="F34383" s="2">
        <v>2.0781323430738401E-3</v>
      </c>
    </row>
    <row r="34384" spans="1:6" x14ac:dyDescent="0.25">
      <c r="A34384" s="1" t="str">
        <f t="shared" si="1232"/>
        <v>44140</v>
      </c>
      <c r="B34384" s="1" t="str">
        <f>"01367"</f>
        <v>01367</v>
      </c>
      <c r="C34384" s="2">
        <v>8.9095523577373498E-4</v>
      </c>
      <c r="D34384" s="2">
        <v>5.0692801622169599E-4</v>
      </c>
      <c r="E34384" s="2">
        <v>2.02326757713707E-4</v>
      </c>
      <c r="F34384" s="2">
        <v>8.2310339862924696E-4</v>
      </c>
    </row>
    <row r="34385" spans="1:6" x14ac:dyDescent="0.25">
      <c r="A34385" s="1" t="str">
        <f t="shared" si="1232"/>
        <v>44140</v>
      </c>
      <c r="B34385" s="1" t="str">
        <f>"01080"</f>
        <v>01080</v>
      </c>
      <c r="C34385" s="2">
        <v>3.4226484585533198E-3</v>
      </c>
      <c r="D34385" s="2">
        <v>2.1290976681311198E-3</v>
      </c>
      <c r="E34385" s="2">
        <v>9.6105209914011105E-4</v>
      </c>
      <c r="F34385" s="2">
        <v>3.18646959271322E-3</v>
      </c>
    </row>
    <row r="34386" spans="1:6" x14ac:dyDescent="0.25">
      <c r="A34386" s="1" t="str">
        <f t="shared" si="1232"/>
        <v>44140</v>
      </c>
      <c r="B34386" s="1" t="str">
        <f>"01003"</f>
        <v>01003</v>
      </c>
      <c r="C34386" s="2">
        <v>4.7998644744148399E-4</v>
      </c>
      <c r="D34386" s="2">
        <v>4.8665089557282798E-3</v>
      </c>
      <c r="E34386" s="2">
        <v>4.0465351542741499E-4</v>
      </c>
      <c r="F34386" s="2">
        <v>8.2853642436277295E-4</v>
      </c>
    </row>
    <row r="34387" spans="1:6" x14ac:dyDescent="0.25">
      <c r="A34387" s="1" t="str">
        <f t="shared" si="1232"/>
        <v>44140</v>
      </c>
      <c r="B34387" s="1" t="str">
        <f>"01343"</f>
        <v>01343</v>
      </c>
      <c r="C34387" s="2">
        <v>1.56858316157347E-5</v>
      </c>
      <c r="D34387" s="2">
        <v>6.7590402162892799E-5</v>
      </c>
      <c r="E34387" s="2">
        <v>0</v>
      </c>
      <c r="F34387" s="2">
        <v>1.9015590067342301E-5</v>
      </c>
    </row>
    <row r="34388" spans="1:6" x14ac:dyDescent="0.25">
      <c r="A34388" s="1" t="str">
        <f t="shared" si="1232"/>
        <v>44140</v>
      </c>
      <c r="B34388" s="1" t="str">
        <f>"01097"</f>
        <v>01097</v>
      </c>
      <c r="C34388" s="2">
        <v>0</v>
      </c>
      <c r="D34388" s="2">
        <v>0</v>
      </c>
      <c r="E34388" s="2">
        <v>2.7314112291350499E-3</v>
      </c>
      <c r="F34388" s="2">
        <v>1.4669169480521199E-4</v>
      </c>
    </row>
    <row r="34389" spans="1:6" x14ac:dyDescent="0.25">
      <c r="A34389" s="1" t="str">
        <f t="shared" si="1232"/>
        <v>44140</v>
      </c>
      <c r="B34389" s="1" t="str">
        <f>"01073"</f>
        <v>01073</v>
      </c>
      <c r="C34389" s="2">
        <v>8.1534952738589305E-3</v>
      </c>
      <c r="D34389" s="2">
        <v>3.5822913146333199E-3</v>
      </c>
      <c r="E34389" s="2">
        <v>3.1360647445624599E-3</v>
      </c>
      <c r="F34389" s="2">
        <v>7.5165911023337504E-3</v>
      </c>
    </row>
    <row r="34390" spans="1:6" x14ac:dyDescent="0.25">
      <c r="A34390" s="1" t="str">
        <f t="shared" si="1232"/>
        <v>44140</v>
      </c>
      <c r="B34390" s="1" t="str">
        <f>"01088"</f>
        <v>01088</v>
      </c>
      <c r="C34390" s="2">
        <v>9.6311006120611395E-4</v>
      </c>
      <c r="D34390" s="2">
        <v>1.72355525515376E-3</v>
      </c>
      <c r="E34390" s="2">
        <v>1.06221547799696E-3</v>
      </c>
      <c r="F34390" s="2">
        <v>1.0295583765032501E-3</v>
      </c>
    </row>
    <row r="34391" spans="1:6" x14ac:dyDescent="0.25">
      <c r="A34391" s="1" t="str">
        <f t="shared" si="1232"/>
        <v>44140</v>
      </c>
      <c r="B34391" s="1" t="str">
        <f>"01057"</f>
        <v>01057</v>
      </c>
      <c r="C34391" s="2">
        <v>1.12373297695123E-2</v>
      </c>
      <c r="D34391" s="2">
        <v>6.2859074011490301E-3</v>
      </c>
      <c r="E34391" s="2">
        <v>6.52503793626707E-3</v>
      </c>
      <c r="F34391" s="2">
        <v>1.0586250641776099E-2</v>
      </c>
    </row>
    <row r="34392" spans="1:6" x14ac:dyDescent="0.25">
      <c r="A34392" s="1" t="str">
        <f t="shared" si="1232"/>
        <v>44140</v>
      </c>
      <c r="B34392" s="1" t="str">
        <f>"01082"</f>
        <v>01082</v>
      </c>
      <c r="C34392" s="2">
        <v>1.50395753531664E-2</v>
      </c>
      <c r="D34392" s="2">
        <v>1.18959107806691E-2</v>
      </c>
      <c r="E34392" s="2">
        <v>1.54274152756702E-2</v>
      </c>
      <c r="F34392" s="2">
        <v>1.48077116367261E-2</v>
      </c>
    </row>
    <row r="34393" spans="1:6" x14ac:dyDescent="0.25">
      <c r="A34393" s="1" t="str">
        <f t="shared" si="1232"/>
        <v>44140</v>
      </c>
      <c r="B34393" s="1" t="str">
        <f>"01039"</f>
        <v>01039</v>
      </c>
      <c r="C34393" s="2">
        <v>2.0015121141677499E-3</v>
      </c>
      <c r="D34393" s="2">
        <v>3.04156809733017E-4</v>
      </c>
      <c r="E34393" s="2">
        <v>2.6808295397066201E-3</v>
      </c>
      <c r="F34393" s="2">
        <v>1.9015590067342301E-3</v>
      </c>
    </row>
    <row r="34394" spans="1:6" x14ac:dyDescent="0.25">
      <c r="A34394" s="1" t="str">
        <f t="shared" si="1232"/>
        <v>44140</v>
      </c>
      <c r="B34394" s="1" t="str">
        <f>"01093"</f>
        <v>01093</v>
      </c>
      <c r="C34394" s="2">
        <v>0</v>
      </c>
      <c r="D34394" s="2">
        <v>0</v>
      </c>
      <c r="E34394" s="2">
        <v>7.7389984825493099E-3</v>
      </c>
      <c r="F34394" s="2">
        <v>4.1562646861476802E-4</v>
      </c>
    </row>
    <row r="34395" spans="1:6" x14ac:dyDescent="0.25">
      <c r="A34395" s="1" t="str">
        <f t="shared" si="1232"/>
        <v>44140</v>
      </c>
      <c r="B34395" s="1" t="str">
        <f>"01009"</f>
        <v>01009</v>
      </c>
      <c r="C34395" s="2">
        <v>0</v>
      </c>
      <c r="D34395" s="2">
        <v>3.37952010814464E-5</v>
      </c>
      <c r="E34395" s="2">
        <v>2.74658573596358E-2</v>
      </c>
      <c r="F34395" s="2">
        <v>1.4777829995191701E-3</v>
      </c>
    </row>
    <row r="34396" spans="1:6" x14ac:dyDescent="0.25">
      <c r="A34396" s="1" t="str">
        <f t="shared" si="1232"/>
        <v>44140</v>
      </c>
      <c r="B34396" s="1" t="str">
        <f>"01063"</f>
        <v>01063</v>
      </c>
      <c r="C34396" s="2">
        <v>0</v>
      </c>
      <c r="D34396" s="2">
        <v>3.24433930381885E-3</v>
      </c>
      <c r="E34396" s="2">
        <v>5.05816894284269E-5</v>
      </c>
      <c r="F34396" s="2">
        <v>2.6350174807602899E-4</v>
      </c>
    </row>
    <row r="34397" spans="1:6" x14ac:dyDescent="0.25">
      <c r="A34397" s="1" t="str">
        <f t="shared" si="1232"/>
        <v>44140</v>
      </c>
      <c r="B34397" s="1" t="str">
        <f>"01115"</f>
        <v>01115</v>
      </c>
      <c r="C34397" s="2">
        <v>0</v>
      </c>
      <c r="D34397" s="2">
        <v>2.3318688746198002E-3</v>
      </c>
      <c r="E34397" s="2">
        <v>5.05816894284269E-5</v>
      </c>
      <c r="F34397" s="2">
        <v>1.9015590067342301E-4</v>
      </c>
    </row>
    <row r="34398" spans="1:6" x14ac:dyDescent="0.25">
      <c r="A34398" s="1" t="str">
        <f t="shared" si="1232"/>
        <v>44140</v>
      </c>
      <c r="B34398" s="1" t="str">
        <f>"01349"</f>
        <v>01349</v>
      </c>
      <c r="C34398" s="2">
        <v>1.3019240241059799E-3</v>
      </c>
      <c r="D34398" s="2">
        <v>8.4488002703615999E-4</v>
      </c>
      <c r="E34398" s="2">
        <v>1.11279716742539E-3</v>
      </c>
      <c r="F34398" s="2">
        <v>1.2550289444445901E-3</v>
      </c>
    </row>
    <row r="34399" spans="1:6" x14ac:dyDescent="0.25">
      <c r="A34399" s="1" t="str">
        <f t="shared" si="1232"/>
        <v>44140</v>
      </c>
      <c r="B34399" s="1" t="str">
        <f>"01096"</f>
        <v>01096</v>
      </c>
      <c r="C34399" s="2">
        <v>3.38500246267556E-3</v>
      </c>
      <c r="D34399" s="2">
        <v>5.7451841838458901E-4</v>
      </c>
      <c r="E34399" s="2">
        <v>1.21396054628224E-3</v>
      </c>
      <c r="F34399" s="2">
        <v>3.0424944107747699E-3</v>
      </c>
    </row>
    <row r="34400" spans="1:6" x14ac:dyDescent="0.25">
      <c r="A34400" s="1" t="str">
        <f t="shared" ref="A34400:A34431" si="1233">"44180"</f>
        <v>44180</v>
      </c>
      <c r="B34400" s="1" t="str">
        <f>"65669"</f>
        <v>65669</v>
      </c>
      <c r="C34400" s="2">
        <v>3.85654867411944E-3</v>
      </c>
      <c r="D34400" s="2">
        <v>1.3591744273848401E-3</v>
      </c>
      <c r="E34400" s="2">
        <v>9.2044707429322795E-4</v>
      </c>
      <c r="F34400" s="2">
        <v>3.5748686343453598E-3</v>
      </c>
    </row>
    <row r="34401" spans="1:6" x14ac:dyDescent="0.25">
      <c r="A34401" s="1" t="str">
        <f t="shared" si="1233"/>
        <v>44180</v>
      </c>
      <c r="B34401" s="1" t="str">
        <f>"65631"</f>
        <v>65631</v>
      </c>
      <c r="C34401" s="2">
        <v>8.5905828258542299E-3</v>
      </c>
      <c r="D34401" s="2">
        <v>3.3224263780518401E-3</v>
      </c>
      <c r="E34401" s="2">
        <v>5.1282051282051204E-3</v>
      </c>
      <c r="F34401" s="2">
        <v>8.0777152164890308E-3</v>
      </c>
    </row>
    <row r="34402" spans="1:6" x14ac:dyDescent="0.25">
      <c r="A34402" s="1" t="str">
        <f t="shared" si="1233"/>
        <v>44180</v>
      </c>
      <c r="B34402" s="1" t="str">
        <f>"65601"</f>
        <v>65601</v>
      </c>
      <c r="C34402" s="2">
        <v>1.4610133202295501E-3</v>
      </c>
      <c r="D34402" s="2">
        <v>2.0135917442738399E-4</v>
      </c>
      <c r="E34402" s="2">
        <v>7.8895463510848102E-4</v>
      </c>
      <c r="F34402" s="2">
        <v>1.3430229371089301E-3</v>
      </c>
    </row>
    <row r="34403" spans="1:6" x14ac:dyDescent="0.25">
      <c r="A34403" s="1" t="str">
        <f t="shared" si="1233"/>
        <v>44180</v>
      </c>
      <c r="B34403" s="1" t="str">
        <f>"65771"</f>
        <v>65771</v>
      </c>
      <c r="C34403" s="2">
        <v>4.3874273880767204E-6</v>
      </c>
      <c r="D34403" s="2">
        <v>0</v>
      </c>
      <c r="E34403" s="2">
        <v>0</v>
      </c>
      <c r="F34403" s="2">
        <v>3.9155187670814499E-6</v>
      </c>
    </row>
    <row r="34404" spans="1:6" x14ac:dyDescent="0.25">
      <c r="A34404" s="1" t="str">
        <f t="shared" si="1233"/>
        <v>44180</v>
      </c>
      <c r="B34404" s="1" t="str">
        <f>"65737"</f>
        <v>65737</v>
      </c>
      <c r="C34404" s="2">
        <v>5.7036556044997401E-5</v>
      </c>
      <c r="D34404" s="2">
        <v>0</v>
      </c>
      <c r="E34404" s="2">
        <v>0</v>
      </c>
      <c r="F34404" s="2">
        <v>5.0901743972058797E-5</v>
      </c>
    </row>
    <row r="34405" spans="1:6" x14ac:dyDescent="0.25">
      <c r="A34405" s="1" t="str">
        <f t="shared" si="1233"/>
        <v>44180</v>
      </c>
      <c r="B34405" s="1" t="str">
        <f>"65786"</f>
        <v>65786</v>
      </c>
      <c r="C34405" s="2">
        <v>5.7036556044997401E-5</v>
      </c>
      <c r="D34405" s="2">
        <v>0</v>
      </c>
      <c r="E34405" s="2">
        <v>0</v>
      </c>
      <c r="F34405" s="2">
        <v>5.0901743972058797E-5</v>
      </c>
    </row>
    <row r="34406" spans="1:6" x14ac:dyDescent="0.25">
      <c r="A34406" s="1" t="str">
        <f t="shared" si="1233"/>
        <v>44180</v>
      </c>
      <c r="B34406" s="1" t="str">
        <f>"65728"</f>
        <v>65728</v>
      </c>
      <c r="C34406" s="2">
        <v>4.38742738807672E-5</v>
      </c>
      <c r="D34406" s="2">
        <v>0</v>
      </c>
      <c r="E34406" s="2">
        <v>0</v>
      </c>
      <c r="F34406" s="2">
        <v>3.9155187670814497E-5</v>
      </c>
    </row>
    <row r="34407" spans="1:6" x14ac:dyDescent="0.25">
      <c r="A34407" s="1" t="str">
        <f t="shared" si="1233"/>
        <v>44180</v>
      </c>
      <c r="B34407" s="1" t="str">
        <f>"65662"</f>
        <v>65662</v>
      </c>
      <c r="C34407" s="2">
        <v>1.31622821642301E-5</v>
      </c>
      <c r="D34407" s="2">
        <v>0</v>
      </c>
      <c r="E34407" s="2">
        <v>0</v>
      </c>
      <c r="F34407" s="2">
        <v>1.17465563012443E-5</v>
      </c>
    </row>
    <row r="34408" spans="1:6" x14ac:dyDescent="0.25">
      <c r="A34408" s="1" t="str">
        <f t="shared" si="1233"/>
        <v>44180</v>
      </c>
      <c r="B34408" s="1" t="str">
        <f>"65898"</f>
        <v>65898</v>
      </c>
      <c r="C34408" s="2">
        <v>0</v>
      </c>
      <c r="D34408" s="2">
        <v>0</v>
      </c>
      <c r="E34408" s="2">
        <v>2.6298487836949299E-4</v>
      </c>
      <c r="F34408" s="2">
        <v>7.8310375341628997E-6</v>
      </c>
    </row>
    <row r="34409" spans="1:6" x14ac:dyDescent="0.25">
      <c r="A34409" s="1" t="str">
        <f t="shared" si="1233"/>
        <v>44180</v>
      </c>
      <c r="B34409" s="1" t="str">
        <f>"65814"</f>
        <v>65814</v>
      </c>
      <c r="C34409" s="2">
        <v>1.6759972622452999E-3</v>
      </c>
      <c r="D34409" s="2">
        <v>1.4397180971558E-2</v>
      </c>
      <c r="E34409" s="2">
        <v>2.6298487836949299E-4</v>
      </c>
      <c r="F34409" s="2">
        <v>2.6233975739445698E-3</v>
      </c>
    </row>
    <row r="34410" spans="1:6" x14ac:dyDescent="0.25">
      <c r="A34410" s="1" t="str">
        <f t="shared" si="1233"/>
        <v>44180</v>
      </c>
      <c r="B34410" s="1" t="str">
        <f>"65649"</f>
        <v>65649</v>
      </c>
      <c r="C34410" s="2">
        <v>2.6719432793387201E-3</v>
      </c>
      <c r="D34410" s="2">
        <v>1.8122325698464599E-3</v>
      </c>
      <c r="E34410" s="2">
        <v>7.8895463510848102E-4</v>
      </c>
      <c r="F34410" s="2">
        <v>2.54900271737002E-3</v>
      </c>
    </row>
    <row r="34411" spans="1:6" x14ac:dyDescent="0.25">
      <c r="A34411" s="1" t="str">
        <f t="shared" si="1233"/>
        <v>44180</v>
      </c>
      <c r="B34411" s="1" t="str">
        <f>"65612"</f>
        <v>65612</v>
      </c>
      <c r="C34411" s="2">
        <v>2.1893262666502801E-3</v>
      </c>
      <c r="D34411" s="2">
        <v>2.5169896803423102E-4</v>
      </c>
      <c r="E34411" s="2">
        <v>1.3149243918474601E-4</v>
      </c>
      <c r="F34411" s="2">
        <v>1.9773369773761298E-3</v>
      </c>
    </row>
    <row r="34412" spans="1:6" x14ac:dyDescent="0.25">
      <c r="A34412" s="1" t="str">
        <f t="shared" si="1233"/>
        <v>44180</v>
      </c>
      <c r="B34412" s="1" t="str">
        <f>"65705"</f>
        <v>65705</v>
      </c>
      <c r="C34412" s="2">
        <v>1.7549709552306898E-5</v>
      </c>
      <c r="D34412" s="2">
        <v>0</v>
      </c>
      <c r="E34412" s="2">
        <v>0</v>
      </c>
      <c r="F34412" s="2">
        <v>1.5662075068325799E-5</v>
      </c>
    </row>
    <row r="34413" spans="1:6" x14ac:dyDescent="0.25">
      <c r="A34413" s="1" t="str">
        <f t="shared" si="1233"/>
        <v>44180</v>
      </c>
      <c r="B34413" s="1" t="str">
        <f>"65714"</f>
        <v>65714</v>
      </c>
      <c r="C34413" s="2">
        <v>6.9431038416314206E-2</v>
      </c>
      <c r="D34413" s="2">
        <v>7.7674301535363699E-2</v>
      </c>
      <c r="E34413" s="2">
        <v>4.3918474687705399E-2</v>
      </c>
      <c r="F34413" s="2">
        <v>6.9312513214875804E-2</v>
      </c>
    </row>
    <row r="34414" spans="1:6" x14ac:dyDescent="0.25">
      <c r="A34414" s="1" t="str">
        <f t="shared" si="1233"/>
        <v>44180</v>
      </c>
      <c r="B34414" s="1" t="str">
        <f>"65667"</f>
        <v>65667</v>
      </c>
      <c r="C34414" s="2">
        <v>2.6324564328460299E-5</v>
      </c>
      <c r="D34414" s="2">
        <v>0</v>
      </c>
      <c r="E34414" s="2">
        <v>0</v>
      </c>
      <c r="F34414" s="2">
        <v>2.3493112602488701E-5</v>
      </c>
    </row>
    <row r="34415" spans="1:6" x14ac:dyDescent="0.25">
      <c r="A34415" s="1" t="str">
        <f t="shared" si="1233"/>
        <v>44180</v>
      </c>
      <c r="B34415" s="1" t="str">
        <f>"65805"</f>
        <v>65805</v>
      </c>
      <c r="C34415" s="2">
        <v>3.0711991716536998E-4</v>
      </c>
      <c r="D34415" s="2">
        <v>6.5441731688899998E-4</v>
      </c>
      <c r="E34415" s="2">
        <v>2.6298487836949299E-4</v>
      </c>
      <c r="F34415" s="2">
        <v>3.3281909520192299E-4</v>
      </c>
    </row>
    <row r="34416" spans="1:6" x14ac:dyDescent="0.25">
      <c r="A34416" s="1" t="str">
        <f t="shared" si="1233"/>
        <v>44180</v>
      </c>
      <c r="B34416" s="1" t="str">
        <f>"65897"</f>
        <v>65897</v>
      </c>
      <c r="C34416" s="2">
        <v>0</v>
      </c>
      <c r="D34416" s="2">
        <v>3.5237855524792298E-4</v>
      </c>
      <c r="E34416" s="2">
        <v>0</v>
      </c>
      <c r="F34416" s="2">
        <v>2.7408631369570099E-5</v>
      </c>
    </row>
    <row r="34417" spans="1:6" x14ac:dyDescent="0.25">
      <c r="A34417" s="1" t="str">
        <f t="shared" si="1233"/>
        <v>44180</v>
      </c>
      <c r="B34417" s="1" t="str">
        <f>"65727"</f>
        <v>65727</v>
      </c>
      <c r="C34417" s="2">
        <v>5.7036556044997395E-4</v>
      </c>
      <c r="D34417" s="2">
        <v>1.0067958721369199E-4</v>
      </c>
      <c r="E34417" s="2">
        <v>1.3149243918474601E-4</v>
      </c>
      <c r="F34417" s="2">
        <v>5.20763996021832E-4</v>
      </c>
    </row>
    <row r="34418" spans="1:6" x14ac:dyDescent="0.25">
      <c r="A34418" s="1" t="str">
        <f t="shared" si="1233"/>
        <v>44180</v>
      </c>
      <c r="B34418" s="1" t="str">
        <f>"65710"</f>
        <v>65710</v>
      </c>
      <c r="C34418" s="2">
        <v>2.5403204576964198E-3</v>
      </c>
      <c r="D34418" s="2">
        <v>9.0611628492323095E-4</v>
      </c>
      <c r="E34418" s="2">
        <v>2.6298487836949299E-4</v>
      </c>
      <c r="F34418" s="2">
        <v>2.3453957414817802E-3</v>
      </c>
    </row>
    <row r="34419" spans="1:6" x14ac:dyDescent="0.25">
      <c r="A34419" s="1" t="str">
        <f t="shared" si="1233"/>
        <v>44180</v>
      </c>
      <c r="B34419" s="1" t="str">
        <f>"65765"</f>
        <v>65765</v>
      </c>
      <c r="C34419" s="2">
        <v>0</v>
      </c>
      <c r="D34419" s="2">
        <v>0</v>
      </c>
      <c r="E34419" s="2">
        <v>1.3149243918474601E-4</v>
      </c>
      <c r="F34419" s="2">
        <v>3.9155187670814499E-6</v>
      </c>
    </row>
    <row r="34420" spans="1:6" x14ac:dyDescent="0.25">
      <c r="A34420" s="1" t="str">
        <f t="shared" si="1233"/>
        <v>44180</v>
      </c>
      <c r="B34420" s="1" t="str">
        <f>"65663"</f>
        <v>65663</v>
      </c>
      <c r="C34420" s="2">
        <v>4.8875941103174699E-3</v>
      </c>
      <c r="D34420" s="2">
        <v>1.1578152529574601E-3</v>
      </c>
      <c r="E34420" s="2">
        <v>5.2596975673898695E-4</v>
      </c>
      <c r="F34420" s="2">
        <v>4.4676069132399297E-3</v>
      </c>
    </row>
    <row r="34421" spans="1:6" x14ac:dyDescent="0.25">
      <c r="A34421" s="1" t="str">
        <f t="shared" si="1233"/>
        <v>44180</v>
      </c>
      <c r="B34421" s="1" t="str">
        <f>"65809"</f>
        <v>65809</v>
      </c>
      <c r="C34421" s="2">
        <v>2.2415366525683902E-2</v>
      </c>
      <c r="D34421" s="2">
        <v>5.4366977095393898E-3</v>
      </c>
      <c r="E34421" s="2">
        <v>6.4431295200525901E-3</v>
      </c>
      <c r="F34421" s="2">
        <v>2.06191218274509E-2</v>
      </c>
    </row>
    <row r="34422" spans="1:6" x14ac:dyDescent="0.25">
      <c r="A34422" s="1" t="str">
        <f t="shared" si="1233"/>
        <v>44180</v>
      </c>
      <c r="B34422" s="1" t="str">
        <f>"65632"</f>
        <v>65632</v>
      </c>
      <c r="C34422" s="2">
        <v>3.1019111633702398E-3</v>
      </c>
      <c r="D34422" s="2">
        <v>4.5305814246161499E-4</v>
      </c>
      <c r="E34422" s="2">
        <v>5.2596975673898695E-4</v>
      </c>
      <c r="F34422" s="2">
        <v>2.81917351229864E-3</v>
      </c>
    </row>
    <row r="34423" spans="1:6" x14ac:dyDescent="0.25">
      <c r="A34423" s="1" t="str">
        <f t="shared" si="1233"/>
        <v>44180</v>
      </c>
      <c r="B34423" s="1" t="str">
        <f>"65610"</f>
        <v>65610</v>
      </c>
      <c r="C34423" s="2">
        <v>8.7397553570488402E-3</v>
      </c>
      <c r="D34423" s="2">
        <v>5.1346589478983096E-3</v>
      </c>
      <c r="E34423" s="2">
        <v>2.4983563445101901E-3</v>
      </c>
      <c r="F34423" s="2">
        <v>8.2734911548430993E-3</v>
      </c>
    </row>
    <row r="34424" spans="1:6" x14ac:dyDescent="0.25">
      <c r="A34424" s="1" t="str">
        <f t="shared" si="1233"/>
        <v>44180</v>
      </c>
      <c r="B34424" s="1" t="str">
        <f>"65713"</f>
        <v>65713</v>
      </c>
      <c r="C34424" s="2">
        <v>4.9753426580789999E-3</v>
      </c>
      <c r="D34424" s="2">
        <v>6.5441731688899998E-4</v>
      </c>
      <c r="E34424" s="2">
        <v>5.2596975673898695E-4</v>
      </c>
      <c r="F34424" s="2">
        <v>4.5067621009107399E-3</v>
      </c>
    </row>
    <row r="34425" spans="1:6" x14ac:dyDescent="0.25">
      <c r="A34425" s="1" t="str">
        <f t="shared" si="1233"/>
        <v>44180</v>
      </c>
      <c r="B34425" s="1" t="str">
        <f>"65604"</f>
        <v>65604</v>
      </c>
      <c r="C34425" s="2">
        <v>5.39653568733437E-3</v>
      </c>
      <c r="D34425" s="2">
        <v>2.6680090611628398E-3</v>
      </c>
      <c r="E34425" s="2">
        <v>2.2353714661406902E-3</v>
      </c>
      <c r="F34425" s="2">
        <v>5.0901743972058804E-3</v>
      </c>
    </row>
    <row r="34426" spans="1:6" x14ac:dyDescent="0.25">
      <c r="A34426" s="1" t="str">
        <f t="shared" si="1233"/>
        <v>44180</v>
      </c>
      <c r="B34426" s="1" t="str">
        <f>"65629"</f>
        <v>65629</v>
      </c>
      <c r="C34426" s="2">
        <v>1.2065425317211E-3</v>
      </c>
      <c r="D34426" s="2">
        <v>0</v>
      </c>
      <c r="E34426" s="2">
        <v>1.3149243918474601E-4</v>
      </c>
      <c r="F34426" s="2">
        <v>1.0806831797144801E-3</v>
      </c>
    </row>
    <row r="34427" spans="1:6" x14ac:dyDescent="0.25">
      <c r="A34427" s="1" t="str">
        <f t="shared" si="1233"/>
        <v>44180</v>
      </c>
      <c r="B34427" s="1" t="str">
        <f>"65653"</f>
        <v>65653</v>
      </c>
      <c r="C34427" s="2">
        <v>1.7549709552306899E-4</v>
      </c>
      <c r="D34427" s="2">
        <v>5.0339793606846201E-5</v>
      </c>
      <c r="E34427" s="2">
        <v>0</v>
      </c>
      <c r="F34427" s="2">
        <v>1.6053626945033899E-4</v>
      </c>
    </row>
    <row r="34428" spans="1:6" x14ac:dyDescent="0.25">
      <c r="A34428" s="1" t="str">
        <f t="shared" si="1233"/>
        <v>44180</v>
      </c>
      <c r="B34428" s="1" t="str">
        <f>"65808"</f>
        <v>65808</v>
      </c>
      <c r="C34428" s="2">
        <v>6.5767536547270099E-3</v>
      </c>
      <c r="D34428" s="2">
        <v>3.0757613893782999E-2</v>
      </c>
      <c r="E34428" s="2">
        <v>2.6298487836949299E-4</v>
      </c>
      <c r="F34428" s="2">
        <v>8.2695756360760195E-3</v>
      </c>
    </row>
    <row r="34429" spans="1:6" x14ac:dyDescent="0.25">
      <c r="A34429" s="1" t="str">
        <f t="shared" si="1233"/>
        <v>44180</v>
      </c>
      <c r="B34429" s="1" t="str">
        <f>"65613"</f>
        <v>65613</v>
      </c>
      <c r="C34429" s="2">
        <v>3.4875660307821903E-2</v>
      </c>
      <c r="D34429" s="2">
        <v>4.05235338535112E-2</v>
      </c>
      <c r="E34429" s="2">
        <v>2.6166995397764601E-2</v>
      </c>
      <c r="F34429" s="2">
        <v>3.5055639521680199E-2</v>
      </c>
    </row>
    <row r="34430" spans="1:6" x14ac:dyDescent="0.25">
      <c r="A34430" s="1" t="str">
        <f t="shared" si="1233"/>
        <v>44180</v>
      </c>
      <c r="B34430" s="1" t="str">
        <f>"65721"</f>
        <v>65721</v>
      </c>
      <c r="C34430" s="2">
        <v>6.4609255716817804E-2</v>
      </c>
      <c r="D34430" s="2">
        <v>7.5711049584696696E-2</v>
      </c>
      <c r="E34430" s="2">
        <v>2.9059829059829002E-2</v>
      </c>
      <c r="F34430" s="2">
        <v>6.44141992372569E-2</v>
      </c>
    </row>
    <row r="34431" spans="1:6" x14ac:dyDescent="0.25">
      <c r="A34431" s="1" t="str">
        <f t="shared" si="1233"/>
        <v>44180</v>
      </c>
      <c r="B34431" s="1" t="str">
        <f>"65590"</f>
        <v>65590</v>
      </c>
      <c r="C34431" s="2">
        <v>3.4441304996402299E-3</v>
      </c>
      <c r="D34431" s="2">
        <v>2.5169896803423102E-4</v>
      </c>
      <c r="E34431" s="2">
        <v>1.3149243918474601E-4</v>
      </c>
      <c r="F34431" s="2">
        <v>3.0971753447614201E-3</v>
      </c>
    </row>
    <row r="34432" spans="1:6" x14ac:dyDescent="0.25">
      <c r="A34432" s="1" t="str">
        <f t="shared" ref="A34432:A34463" si="1234">"44180"</f>
        <v>44180</v>
      </c>
      <c r="B34432" s="1" t="str">
        <f>"65802"</f>
        <v>65802</v>
      </c>
      <c r="C34432" s="2">
        <v>9.4255102578052294E-2</v>
      </c>
      <c r="D34432" s="2">
        <v>0.10178706267304299</v>
      </c>
      <c r="E34432" s="2">
        <v>8.9151873767258305E-2</v>
      </c>
      <c r="F34432" s="2">
        <v>9.4688990344330703E-2</v>
      </c>
    </row>
    <row r="34433" spans="1:6" x14ac:dyDescent="0.25">
      <c r="A34433" s="1" t="str">
        <f t="shared" si="1234"/>
        <v>44180</v>
      </c>
      <c r="B34433" s="1" t="str">
        <f>"65781"</f>
        <v>65781</v>
      </c>
      <c r="C34433" s="2">
        <v>1.65757006721538E-2</v>
      </c>
      <c r="D34433" s="2">
        <v>4.4802416310093102E-3</v>
      </c>
      <c r="E34433" s="2">
        <v>6.4431295200525901E-3</v>
      </c>
      <c r="F34433" s="2">
        <v>1.5333171491890899E-2</v>
      </c>
    </row>
    <row r="34434" spans="1:6" x14ac:dyDescent="0.25">
      <c r="A34434" s="1" t="str">
        <f t="shared" si="1234"/>
        <v>44180</v>
      </c>
      <c r="B34434" s="1" t="str">
        <f>"65650"</f>
        <v>65650</v>
      </c>
      <c r="C34434" s="2">
        <v>5.7431424509924297E-3</v>
      </c>
      <c r="D34434" s="2">
        <v>8.0543669770953899E-4</v>
      </c>
      <c r="E34434" s="2">
        <v>5.2596975673898695E-4</v>
      </c>
      <c r="F34434" s="2">
        <v>5.20372444145124E-3</v>
      </c>
    </row>
    <row r="34435" spans="1:6" x14ac:dyDescent="0.25">
      <c r="A34435" s="1" t="str">
        <f t="shared" si="1234"/>
        <v>44180</v>
      </c>
      <c r="B34435" s="1" t="str">
        <f>"65720"</f>
        <v>65720</v>
      </c>
      <c r="C34435" s="2">
        <v>1.20215510433302E-3</v>
      </c>
      <c r="D34435" s="2">
        <v>2.0135917442738399E-4</v>
      </c>
      <c r="E34435" s="2">
        <v>1.3149243918474601E-4</v>
      </c>
      <c r="F34435" s="2">
        <v>1.09242973601572E-3</v>
      </c>
    </row>
    <row r="34436" spans="1:6" x14ac:dyDescent="0.25">
      <c r="A34436" s="1" t="str">
        <f t="shared" si="1234"/>
        <v>44180</v>
      </c>
      <c r="B34436" s="1" t="str">
        <f>"65630"</f>
        <v>65630</v>
      </c>
      <c r="C34436" s="2">
        <v>9.9155858970533992E-4</v>
      </c>
      <c r="D34436" s="2">
        <v>4.0271834885476901E-4</v>
      </c>
      <c r="E34436" s="2">
        <v>3.9447731755424002E-4</v>
      </c>
      <c r="F34436" s="2">
        <v>9.2797794779830303E-4</v>
      </c>
    </row>
    <row r="34437" spans="1:6" x14ac:dyDescent="0.25">
      <c r="A34437" s="1" t="str">
        <f t="shared" si="1234"/>
        <v>44180</v>
      </c>
      <c r="B34437" s="1" t="str">
        <f>"65614"</f>
        <v>65614</v>
      </c>
      <c r="C34437" s="2">
        <v>8.7748547761534496E-5</v>
      </c>
      <c r="D34437" s="2">
        <v>0</v>
      </c>
      <c r="E34437" s="2">
        <v>0</v>
      </c>
      <c r="F34437" s="2">
        <v>7.8310375341628994E-5</v>
      </c>
    </row>
    <row r="34438" spans="1:6" x14ac:dyDescent="0.25">
      <c r="A34438" s="1" t="str">
        <f t="shared" si="1234"/>
        <v>44180</v>
      </c>
      <c r="B34438" s="1" t="str">
        <f>"65890"</f>
        <v>65890</v>
      </c>
      <c r="C34438" s="2">
        <v>0</v>
      </c>
      <c r="D34438" s="2">
        <v>0</v>
      </c>
      <c r="E34438" s="2">
        <v>1.3149243918474599E-3</v>
      </c>
      <c r="F34438" s="2">
        <v>3.9155187670814497E-5</v>
      </c>
    </row>
    <row r="34439" spans="1:6" x14ac:dyDescent="0.25">
      <c r="A34439" s="1" t="str">
        <f t="shared" si="1234"/>
        <v>44180</v>
      </c>
      <c r="B34439" s="1" t="str">
        <f>"65536"</f>
        <v>65536</v>
      </c>
      <c r="C34439" s="2">
        <v>6.9321352731612201E-4</v>
      </c>
      <c r="D34439" s="2">
        <v>5.0339793606846205E-4</v>
      </c>
      <c r="E34439" s="2">
        <v>1.3149243918474601E-4</v>
      </c>
      <c r="F34439" s="2">
        <v>6.6172267163676498E-4</v>
      </c>
    </row>
    <row r="34440" spans="1:6" x14ac:dyDescent="0.25">
      <c r="A34440" s="1" t="str">
        <f t="shared" si="1234"/>
        <v>44180</v>
      </c>
      <c r="B34440" s="1" t="str">
        <f>"65732"</f>
        <v>65732</v>
      </c>
      <c r="C34440" s="2">
        <v>1.00910829925764E-4</v>
      </c>
      <c r="D34440" s="2">
        <v>0</v>
      </c>
      <c r="E34440" s="2">
        <v>0</v>
      </c>
      <c r="F34440" s="2">
        <v>9.00569316428733E-5</v>
      </c>
    </row>
    <row r="34441" spans="1:6" x14ac:dyDescent="0.25">
      <c r="A34441" s="1" t="str">
        <f t="shared" si="1234"/>
        <v>44180</v>
      </c>
      <c r="B34441" s="1" t="str">
        <f>"65803"</f>
        <v>65803</v>
      </c>
      <c r="C34441" s="2">
        <v>8.8766430915568295E-2</v>
      </c>
      <c r="D34441" s="2">
        <v>9.5796627233828299E-2</v>
      </c>
      <c r="E34441" s="2">
        <v>5.9960552268244503E-2</v>
      </c>
      <c r="F34441" s="2">
        <v>8.8455484467136997E-2</v>
      </c>
    </row>
    <row r="34442" spans="1:6" x14ac:dyDescent="0.25">
      <c r="A34442" s="1" t="str">
        <f t="shared" si="1234"/>
        <v>44180</v>
      </c>
      <c r="B34442" s="1" t="str">
        <f>"65807"</f>
        <v>65807</v>
      </c>
      <c r="C34442" s="2">
        <v>0.11960127059897099</v>
      </c>
      <c r="D34442" s="2">
        <v>0.11970802919708</v>
      </c>
      <c r="E34442" s="2">
        <v>0.16383957922419401</v>
      </c>
      <c r="F34442" s="2">
        <v>0.120926881602543</v>
      </c>
    </row>
    <row r="34443" spans="1:6" x14ac:dyDescent="0.25">
      <c r="A34443" s="1" t="str">
        <f t="shared" si="1234"/>
        <v>44180</v>
      </c>
      <c r="B34443" s="1" t="str">
        <f>"65810"</f>
        <v>65810</v>
      </c>
      <c r="C34443" s="2">
        <v>4.3694389357856099E-2</v>
      </c>
      <c r="D34443" s="2">
        <v>2.2199848980619101E-2</v>
      </c>
      <c r="E34443" s="2">
        <v>2.7481919789612001E-2</v>
      </c>
      <c r="F34443" s="2">
        <v>4.1539738599967103E-2</v>
      </c>
    </row>
    <row r="34444" spans="1:6" x14ac:dyDescent="0.25">
      <c r="A34444" s="1" t="str">
        <f t="shared" si="1234"/>
        <v>44180</v>
      </c>
      <c r="B34444" s="1" t="str">
        <f>"65783"</f>
        <v>65783</v>
      </c>
      <c r="C34444" s="2">
        <v>8.7309805022726798E-4</v>
      </c>
      <c r="D34444" s="2">
        <v>1.5101938082053801E-4</v>
      </c>
      <c r="E34444" s="2">
        <v>1.3149243918474601E-4</v>
      </c>
      <c r="F34444" s="2">
        <v>7.94850309717534E-4</v>
      </c>
    </row>
    <row r="34445" spans="1:6" x14ac:dyDescent="0.25">
      <c r="A34445" s="1" t="str">
        <f t="shared" si="1234"/>
        <v>44180</v>
      </c>
      <c r="B34445" s="1" t="str">
        <f>"65801"</f>
        <v>65801</v>
      </c>
      <c r="C34445" s="2">
        <v>1.01963812498903E-2</v>
      </c>
      <c r="D34445" s="2">
        <v>4.02718348854769E-2</v>
      </c>
      <c r="E34445" s="2">
        <v>1.05193951347797E-3</v>
      </c>
      <c r="F34445" s="2">
        <v>1.2263404778499101E-2</v>
      </c>
    </row>
    <row r="34446" spans="1:6" x14ac:dyDescent="0.25">
      <c r="A34446" s="1" t="str">
        <f t="shared" si="1234"/>
        <v>44180</v>
      </c>
      <c r="B34446" s="1" t="str">
        <f>"65622"</f>
        <v>65622</v>
      </c>
      <c r="C34446" s="2">
        <v>2.44686825433039E-2</v>
      </c>
      <c r="D34446" s="2">
        <v>1.26856279889252E-2</v>
      </c>
      <c r="E34446" s="2">
        <v>1.8014464168310301E-2</v>
      </c>
      <c r="F34446" s="2">
        <v>2.3359984964407901E-2</v>
      </c>
    </row>
    <row r="34447" spans="1:6" x14ac:dyDescent="0.25">
      <c r="A34447" s="1" t="str">
        <f t="shared" si="1234"/>
        <v>44180</v>
      </c>
      <c r="B34447" s="1" t="str">
        <f>"65652"</f>
        <v>65652</v>
      </c>
      <c r="C34447" s="2">
        <v>7.5639248170442704E-3</v>
      </c>
      <c r="D34447" s="2">
        <v>2.6680090611628398E-3</v>
      </c>
      <c r="E34447" s="2">
        <v>1.7094017094017001E-3</v>
      </c>
      <c r="F34447" s="2">
        <v>7.0087785930757901E-3</v>
      </c>
    </row>
    <row r="34448" spans="1:6" x14ac:dyDescent="0.25">
      <c r="A34448" s="1" t="str">
        <f t="shared" si="1234"/>
        <v>44180</v>
      </c>
      <c r="B34448" s="1" t="str">
        <f>"65742"</f>
        <v>65742</v>
      </c>
      <c r="C34448" s="2">
        <v>2.6118355241220699E-2</v>
      </c>
      <c r="D34448" s="2">
        <v>2.32066448527561E-2</v>
      </c>
      <c r="E34448" s="2">
        <v>6.3247863247863204E-2</v>
      </c>
      <c r="F34448" s="2">
        <v>2.69975018990266E-2</v>
      </c>
    </row>
    <row r="34449" spans="1:6" x14ac:dyDescent="0.25">
      <c r="A34449" s="1" t="str">
        <f t="shared" si="1234"/>
        <v>44180</v>
      </c>
      <c r="B34449" s="1" t="str">
        <f>"65746"</f>
        <v>65746</v>
      </c>
      <c r="C34449" s="2">
        <v>1.4342500131622801E-2</v>
      </c>
      <c r="D34449" s="2">
        <v>6.34281399446262E-3</v>
      </c>
      <c r="E34449" s="2">
        <v>9.7435897435897395E-2</v>
      </c>
      <c r="F34449" s="2">
        <v>1.6194585620648801E-2</v>
      </c>
    </row>
    <row r="34450" spans="1:6" x14ac:dyDescent="0.25">
      <c r="A34450" s="1" t="str">
        <f t="shared" si="1234"/>
        <v>44180</v>
      </c>
      <c r="B34450" s="1" t="str">
        <f>"65767"</f>
        <v>65767</v>
      </c>
      <c r="C34450" s="2">
        <v>6.1511731980835697E-3</v>
      </c>
      <c r="D34450" s="2">
        <v>1.51019380820538E-3</v>
      </c>
      <c r="E34450" s="2">
        <v>2.6298487836949299E-4</v>
      </c>
      <c r="F34450" s="2">
        <v>5.6148539119948004E-3</v>
      </c>
    </row>
    <row r="34451" spans="1:6" x14ac:dyDescent="0.25">
      <c r="A34451" s="1" t="str">
        <f t="shared" si="1234"/>
        <v>44180</v>
      </c>
      <c r="B34451" s="1" t="str">
        <f>"65764"</f>
        <v>65764</v>
      </c>
      <c r="C34451" s="2">
        <v>2.7202049806075699E-3</v>
      </c>
      <c r="D34451" s="2">
        <v>7.0475711049584595E-4</v>
      </c>
      <c r="E34451" s="2">
        <v>2.6298487836949299E-4</v>
      </c>
      <c r="F34451" s="2">
        <v>2.4902699358637999E-3</v>
      </c>
    </row>
    <row r="34452" spans="1:6" x14ac:dyDescent="0.25">
      <c r="A34452" s="1" t="str">
        <f t="shared" si="1234"/>
        <v>44180</v>
      </c>
      <c r="B34452" s="1" t="str">
        <f>"65674"</f>
        <v>65674</v>
      </c>
      <c r="C34452" s="2">
        <v>4.1329565995682702E-3</v>
      </c>
      <c r="D34452" s="2">
        <v>1.9129121570601499E-3</v>
      </c>
      <c r="E34452" s="2">
        <v>9.2044707429322795E-4</v>
      </c>
      <c r="F34452" s="2">
        <v>3.8646170231093901E-3</v>
      </c>
    </row>
    <row r="34453" spans="1:6" x14ac:dyDescent="0.25">
      <c r="A34453" s="1" t="str">
        <f t="shared" si="1234"/>
        <v>44180</v>
      </c>
      <c r="B34453" s="1" t="str">
        <f>"65706"</f>
        <v>65706</v>
      </c>
      <c r="C34453" s="2">
        <v>3.2515224373036597E-2</v>
      </c>
      <c r="D34453" s="2">
        <v>4.1228290964007E-2</v>
      </c>
      <c r="E34453" s="2">
        <v>0.12649572649572599</v>
      </c>
      <c r="F34453" s="2">
        <v>3.5991448507012601E-2</v>
      </c>
    </row>
    <row r="34454" spans="1:6" x14ac:dyDescent="0.25">
      <c r="A34454" s="1" t="str">
        <f t="shared" si="1234"/>
        <v>44180</v>
      </c>
      <c r="B34454" s="1" t="str">
        <f>"65725"</f>
        <v>65725</v>
      </c>
      <c r="C34454" s="2">
        <v>5.31317456696091E-3</v>
      </c>
      <c r="D34454" s="2">
        <v>2.0639315378806898E-3</v>
      </c>
      <c r="E34454" s="2">
        <v>9.2044707429322795E-4</v>
      </c>
      <c r="F34454" s="2">
        <v>4.9296381277555397E-3</v>
      </c>
    </row>
    <row r="34455" spans="1:6" x14ac:dyDescent="0.25">
      <c r="A34455" s="1" t="str">
        <f t="shared" si="1234"/>
        <v>44180</v>
      </c>
      <c r="B34455" s="1" t="str">
        <f>"65738"</f>
        <v>65738</v>
      </c>
      <c r="C34455" s="2">
        <v>3.7920534915147103E-2</v>
      </c>
      <c r="D34455" s="2">
        <v>2.59753335011326E-2</v>
      </c>
      <c r="E34455" s="2">
        <v>7.3635765943458201E-3</v>
      </c>
      <c r="F34455" s="2">
        <v>3.6081505438655501E-2</v>
      </c>
    </row>
    <row r="34456" spans="1:6" x14ac:dyDescent="0.25">
      <c r="A34456" s="1" t="str">
        <f t="shared" si="1234"/>
        <v>44180</v>
      </c>
      <c r="B34456" s="1" t="str">
        <f>"65640"</f>
        <v>65640</v>
      </c>
      <c r="C34456" s="2">
        <v>1.6189607062003101E-3</v>
      </c>
      <c r="D34456" s="2">
        <v>1.5101938082053801E-4</v>
      </c>
      <c r="E34456" s="2">
        <v>2.6298487836949299E-4</v>
      </c>
      <c r="F34456" s="2">
        <v>1.4644040188884599E-3</v>
      </c>
    </row>
    <row r="34457" spans="1:6" x14ac:dyDescent="0.25">
      <c r="A34457" s="1" t="str">
        <f t="shared" si="1234"/>
        <v>44180</v>
      </c>
      <c r="B34457" s="1" t="str">
        <f>"65722"</f>
        <v>65722</v>
      </c>
      <c r="C34457" s="2">
        <v>4.87004440076516E-4</v>
      </c>
      <c r="D34457" s="2">
        <v>1.5101938082053801E-4</v>
      </c>
      <c r="E34457" s="2">
        <v>0</v>
      </c>
      <c r="F34457" s="2">
        <v>4.46369139447285E-4</v>
      </c>
    </row>
    <row r="34458" spans="1:6" x14ac:dyDescent="0.25">
      <c r="A34458" s="1" t="str">
        <f t="shared" si="1234"/>
        <v>44180</v>
      </c>
      <c r="B34458" s="1" t="str">
        <f>"65753"</f>
        <v>65753</v>
      </c>
      <c r="C34458" s="2">
        <v>1.09729558975798E-2</v>
      </c>
      <c r="D34458" s="2">
        <v>4.17820286936823E-3</v>
      </c>
      <c r="E34458" s="2">
        <v>7.8895463510848102E-4</v>
      </c>
      <c r="F34458" s="2">
        <v>1.01411936067409E-2</v>
      </c>
    </row>
    <row r="34459" spans="1:6" x14ac:dyDescent="0.25">
      <c r="A34459" s="1" t="str">
        <f t="shared" si="1234"/>
        <v>44180</v>
      </c>
      <c r="B34459" s="1" t="str">
        <f>"65754"</f>
        <v>65754</v>
      </c>
      <c r="C34459" s="2">
        <v>1.64528527052877E-3</v>
      </c>
      <c r="D34459" s="2">
        <v>1.2081550465643E-3</v>
      </c>
      <c r="E34459" s="2">
        <v>1.3149243918474601E-4</v>
      </c>
      <c r="F34459" s="2">
        <v>1.56620750683258E-3</v>
      </c>
    </row>
    <row r="34460" spans="1:6" x14ac:dyDescent="0.25">
      <c r="A34460" s="1" t="str">
        <f t="shared" si="1234"/>
        <v>44180</v>
      </c>
      <c r="B34460" s="1" t="str">
        <f>"65899"</f>
        <v>65899</v>
      </c>
      <c r="C34460" s="2">
        <v>0</v>
      </c>
      <c r="D34460" s="2">
        <v>5.0339793606846201E-5</v>
      </c>
      <c r="E34460" s="2">
        <v>0</v>
      </c>
      <c r="F34460" s="2">
        <v>3.9155187670814499E-6</v>
      </c>
    </row>
    <row r="34461" spans="1:6" x14ac:dyDescent="0.25">
      <c r="A34461" s="1" t="str">
        <f t="shared" si="1234"/>
        <v>44180</v>
      </c>
      <c r="B34461" s="1" t="str">
        <f>"65757"</f>
        <v>65757</v>
      </c>
      <c r="C34461" s="2">
        <v>1.61632824976746E-2</v>
      </c>
      <c r="D34461" s="2">
        <v>1.44978605587717E-2</v>
      </c>
      <c r="E34461" s="2">
        <v>8.1525312294543004E-3</v>
      </c>
      <c r="F34461" s="2">
        <v>1.5795202706406501E-2</v>
      </c>
    </row>
    <row r="34462" spans="1:6" x14ac:dyDescent="0.25">
      <c r="A34462" s="1" t="str">
        <f t="shared" si="1234"/>
        <v>44180</v>
      </c>
      <c r="B34462" s="1" t="str">
        <f>"65770"</f>
        <v>65770</v>
      </c>
      <c r="C34462" s="2">
        <v>5.8659904178585799E-3</v>
      </c>
      <c r="D34462" s="2">
        <v>1.40951422099169E-3</v>
      </c>
      <c r="E34462" s="2">
        <v>7.8895463510848102E-4</v>
      </c>
      <c r="F34462" s="2">
        <v>5.3681762296686596E-3</v>
      </c>
    </row>
    <row r="34463" spans="1:6" x14ac:dyDescent="0.25">
      <c r="A34463" s="1" t="str">
        <f t="shared" si="1234"/>
        <v>44180</v>
      </c>
      <c r="B34463" s="1" t="str">
        <f>"65617"</f>
        <v>65617</v>
      </c>
      <c r="C34463" s="2">
        <v>3.6503395868798302E-3</v>
      </c>
      <c r="D34463" s="2">
        <v>1.2584948401711501E-3</v>
      </c>
      <c r="E34463" s="2">
        <v>1.3149243918474601E-4</v>
      </c>
      <c r="F34463" s="2">
        <v>3.3595151021558801E-3</v>
      </c>
    </row>
    <row r="34464" spans="1:6" x14ac:dyDescent="0.25">
      <c r="A34464" s="1" t="str">
        <f t="shared" ref="A34464:A34476" si="1235">"44180"</f>
        <v>44180</v>
      </c>
      <c r="B34464" s="1" t="str">
        <f>"65657"</f>
        <v>65657</v>
      </c>
      <c r="C34464" s="2">
        <v>2.5447078850845002E-4</v>
      </c>
      <c r="D34464" s="2">
        <v>5.0339793606846201E-5</v>
      </c>
      <c r="E34464" s="2">
        <v>1.3149243918474601E-4</v>
      </c>
      <c r="F34464" s="2">
        <v>2.34931126024887E-4</v>
      </c>
    </row>
    <row r="34465" spans="1:6" x14ac:dyDescent="0.25">
      <c r="A34465" s="1" t="str">
        <f t="shared" si="1235"/>
        <v>44180</v>
      </c>
      <c r="B34465" s="1" t="str">
        <f>"65648"</f>
        <v>65648</v>
      </c>
      <c r="C34465" s="2">
        <v>1.19601270598971E-2</v>
      </c>
      <c r="D34465" s="2">
        <v>4.9332997734709196E-3</v>
      </c>
      <c r="E34465" s="2">
        <v>1.9723865877711998E-3</v>
      </c>
      <c r="F34465" s="2">
        <v>1.11161577797442E-2</v>
      </c>
    </row>
    <row r="34466" spans="1:6" x14ac:dyDescent="0.25">
      <c r="A34466" s="1" t="str">
        <f t="shared" si="1235"/>
        <v>44180</v>
      </c>
      <c r="B34466" s="1" t="str">
        <f>"65619"</f>
        <v>65619</v>
      </c>
      <c r="C34466" s="2">
        <v>1.7001281128797299E-2</v>
      </c>
      <c r="D34466" s="2">
        <v>5.4366977095393898E-3</v>
      </c>
      <c r="E34466" s="2">
        <v>5.1282051282051204E-3</v>
      </c>
      <c r="F34466" s="2">
        <v>1.5748216481201501E-2</v>
      </c>
    </row>
    <row r="34467" spans="1:6" x14ac:dyDescent="0.25">
      <c r="A34467" s="1" t="str">
        <f t="shared" si="1235"/>
        <v>44180</v>
      </c>
      <c r="B34467" s="1" t="str">
        <f>"65804"</f>
        <v>65804</v>
      </c>
      <c r="C34467" s="2">
        <v>8.8494410417507496E-2</v>
      </c>
      <c r="D34467" s="2">
        <v>0.14397180971557999</v>
      </c>
      <c r="E34467" s="2">
        <v>8.7573964497041398E-2</v>
      </c>
      <c r="F34467" s="2">
        <v>9.2782132704762002E-2</v>
      </c>
    </row>
    <row r="34468" spans="1:6" x14ac:dyDescent="0.25">
      <c r="A34468" s="1" t="str">
        <f t="shared" si="1235"/>
        <v>44180</v>
      </c>
      <c r="B34468" s="1" t="str">
        <f>"65806"</f>
        <v>65806</v>
      </c>
      <c r="C34468" s="2">
        <v>3.3616468647443797E-2</v>
      </c>
      <c r="D34468" s="2">
        <v>5.2605084319154199E-2</v>
      </c>
      <c r="E34468" s="2">
        <v>0.104930966469428</v>
      </c>
      <c r="F34468" s="2">
        <v>3.72170058811091E-2</v>
      </c>
    </row>
    <row r="34469" spans="1:6" x14ac:dyDescent="0.25">
      <c r="A34469" s="1" t="str">
        <f t="shared" si="1235"/>
        <v>44180</v>
      </c>
      <c r="B34469" s="1" t="str">
        <f>"65636"</f>
        <v>65636</v>
      </c>
      <c r="C34469" s="2">
        <v>0</v>
      </c>
      <c r="D34469" s="2">
        <v>0</v>
      </c>
      <c r="E34469" s="2">
        <v>1.3149243918474601E-4</v>
      </c>
      <c r="F34469" s="2">
        <v>3.9155187670814499E-6</v>
      </c>
    </row>
    <row r="34470" spans="1:6" x14ac:dyDescent="0.25">
      <c r="A34470" s="1" t="str">
        <f t="shared" si="1235"/>
        <v>44180</v>
      </c>
      <c r="B34470" s="1" t="str">
        <f>"65656"</f>
        <v>65656</v>
      </c>
      <c r="C34470" s="2">
        <v>2.19371369403836E-5</v>
      </c>
      <c r="D34470" s="2">
        <v>0</v>
      </c>
      <c r="E34470" s="2">
        <v>0</v>
      </c>
      <c r="F34470" s="2">
        <v>1.9577593835407201E-5</v>
      </c>
    </row>
    <row r="34471" spans="1:6" x14ac:dyDescent="0.25">
      <c r="A34471" s="1" t="str">
        <f t="shared" si="1235"/>
        <v>44180</v>
      </c>
      <c r="B34471" s="1" t="str">
        <f>"65620"</f>
        <v>65620</v>
      </c>
      <c r="C34471" s="2">
        <v>1.0661448553026399E-3</v>
      </c>
      <c r="D34471" s="2">
        <v>5.0339793606846201E-5</v>
      </c>
      <c r="E34471" s="2">
        <v>1.3149243918474601E-4</v>
      </c>
      <c r="F34471" s="2">
        <v>9.5930209793495505E-4</v>
      </c>
    </row>
    <row r="34472" spans="1:6" x14ac:dyDescent="0.25">
      <c r="A34472" s="1" t="str">
        <f t="shared" si="1235"/>
        <v>44180</v>
      </c>
      <c r="B34472" s="1" t="str">
        <f>"65759"</f>
        <v>65759</v>
      </c>
      <c r="C34472" s="2">
        <v>2.6324564328460299E-5</v>
      </c>
      <c r="D34472" s="2">
        <v>0</v>
      </c>
      <c r="E34472" s="2">
        <v>0</v>
      </c>
      <c r="F34472" s="2">
        <v>2.3493112602488701E-5</v>
      </c>
    </row>
    <row r="34473" spans="1:6" x14ac:dyDescent="0.25">
      <c r="A34473" s="1" t="str">
        <f t="shared" si="1235"/>
        <v>44180</v>
      </c>
      <c r="B34473" s="1" t="str">
        <f>"65685"</f>
        <v>65685</v>
      </c>
      <c r="C34473" s="2">
        <v>2.1103525736649001E-3</v>
      </c>
      <c r="D34473" s="2">
        <v>3.02038761641077E-4</v>
      </c>
      <c r="E34473" s="2">
        <v>3.9447731755424002E-4</v>
      </c>
      <c r="F34473" s="2">
        <v>1.9186041958699101E-3</v>
      </c>
    </row>
    <row r="34474" spans="1:6" x14ac:dyDescent="0.25">
      <c r="A34474" s="1" t="str">
        <f t="shared" si="1235"/>
        <v>44180</v>
      </c>
      <c r="B34474" s="1" t="str">
        <f>"65724"</f>
        <v>65724</v>
      </c>
      <c r="C34474" s="2">
        <v>1.32500307119917E-3</v>
      </c>
      <c r="D34474" s="2">
        <v>8.5577649131638497E-4</v>
      </c>
      <c r="E34474" s="2">
        <v>1.3149243918474601E-4</v>
      </c>
      <c r="F34474" s="2">
        <v>1.25296600546606E-3</v>
      </c>
    </row>
    <row r="34475" spans="1:6" x14ac:dyDescent="0.25">
      <c r="A34475" s="1" t="str">
        <f t="shared" si="1235"/>
        <v>44180</v>
      </c>
      <c r="B34475" s="1" t="str">
        <f>"65463"</f>
        <v>65463</v>
      </c>
      <c r="C34475" s="2">
        <v>6.1423983433074095E-5</v>
      </c>
      <c r="D34475" s="2">
        <v>0</v>
      </c>
      <c r="E34475" s="2">
        <v>0</v>
      </c>
      <c r="F34475" s="2">
        <v>5.48172627391403E-5</v>
      </c>
    </row>
    <row r="34476" spans="1:6" x14ac:dyDescent="0.25">
      <c r="A34476" s="1" t="str">
        <f t="shared" si="1235"/>
        <v>44180</v>
      </c>
      <c r="B34476" s="1" t="str">
        <f>"65644"</f>
        <v>65644</v>
      </c>
      <c r="C34476" s="2">
        <v>5.71243045927589E-3</v>
      </c>
      <c r="D34476" s="2">
        <v>4.5305814246161499E-4</v>
      </c>
      <c r="E34476" s="2">
        <v>5.2596975673898695E-4</v>
      </c>
      <c r="F34476" s="2">
        <v>5.1489071787121001E-3</v>
      </c>
    </row>
    <row r="34477" spans="1:6" x14ac:dyDescent="0.25">
      <c r="A34477" s="1" t="str">
        <f t="shared" ref="A34477:A34499" si="1236">"44220"</f>
        <v>44220</v>
      </c>
      <c r="B34477" s="1" t="str">
        <f>"43044"</f>
        <v>43044</v>
      </c>
      <c r="C34477" s="2">
        <v>4.38016782958841E-3</v>
      </c>
      <c r="D34477" s="2">
        <v>2.1159542953872099E-4</v>
      </c>
      <c r="E34477" s="2">
        <v>3.35758254057078E-3</v>
      </c>
      <c r="F34477" s="2">
        <v>4.0794087651406102E-3</v>
      </c>
    </row>
    <row r="34478" spans="1:6" x14ac:dyDescent="0.25">
      <c r="A34478" s="1" t="str">
        <f t="shared" si="1236"/>
        <v>44220</v>
      </c>
      <c r="B34478" s="1" t="str">
        <f>"45324"</f>
        <v>45324</v>
      </c>
      <c r="C34478" s="2">
        <v>1.2664064180985399E-2</v>
      </c>
      <c r="D34478" s="2">
        <v>1.24841303427845E-2</v>
      </c>
      <c r="E34478" s="2">
        <v>8.9535534415220996E-3</v>
      </c>
      <c r="F34478" s="2">
        <v>1.25595495885664E-2</v>
      </c>
    </row>
    <row r="34479" spans="1:6" x14ac:dyDescent="0.25">
      <c r="A34479" s="1" t="str">
        <f t="shared" si="1236"/>
        <v>44220</v>
      </c>
      <c r="B34479" s="1" t="str">
        <f>"45502"</f>
        <v>45502</v>
      </c>
      <c r="C34479" s="2">
        <v>0.11234746257646</v>
      </c>
      <c r="D34479" s="2">
        <v>0.13647905205247499</v>
      </c>
      <c r="E34479" s="2">
        <v>7.6105204252937805E-2</v>
      </c>
      <c r="F34479" s="2">
        <v>0.113035946297098</v>
      </c>
    </row>
    <row r="34480" spans="1:6" x14ac:dyDescent="0.25">
      <c r="A34480" s="1" t="str">
        <f t="shared" si="1236"/>
        <v>44220</v>
      </c>
      <c r="B34480" s="1" t="str">
        <f>"45504"</f>
        <v>45504</v>
      </c>
      <c r="C34480" s="2">
        <v>0.122660068238404</v>
      </c>
      <c r="D34480" s="2">
        <v>0.19911129919593701</v>
      </c>
      <c r="E34480" s="2">
        <v>0.20872971460548401</v>
      </c>
      <c r="F34480" s="2">
        <v>0.129856522164321</v>
      </c>
    </row>
    <row r="34481" spans="1:6" x14ac:dyDescent="0.25">
      <c r="A34481" s="1" t="str">
        <f t="shared" si="1236"/>
        <v>44220</v>
      </c>
      <c r="B34481" s="1" t="str">
        <f>"45323"</f>
        <v>45323</v>
      </c>
      <c r="C34481" s="2">
        <v>4.0727876310208001E-2</v>
      </c>
      <c r="D34481" s="2">
        <v>3.9145154464663497E-2</v>
      </c>
      <c r="E34481" s="2">
        <v>4.4208170117515301E-2</v>
      </c>
      <c r="F34481" s="2">
        <v>4.0710264183629198E-2</v>
      </c>
    </row>
    <row r="34482" spans="1:6" x14ac:dyDescent="0.25">
      <c r="A34482" s="1" t="str">
        <f t="shared" si="1236"/>
        <v>44220</v>
      </c>
      <c r="B34482" s="1" t="str">
        <f>"43140"</f>
        <v>43140</v>
      </c>
      <c r="C34482" s="2">
        <v>8.2992653613254204E-4</v>
      </c>
      <c r="D34482" s="2">
        <v>0</v>
      </c>
      <c r="E34482" s="2">
        <v>0</v>
      </c>
      <c r="F34482" s="2">
        <v>7.5441120999175703E-4</v>
      </c>
    </row>
    <row r="34483" spans="1:6" x14ac:dyDescent="0.25">
      <c r="A34483" s="1" t="str">
        <f t="shared" si="1236"/>
        <v>44220</v>
      </c>
      <c r="B34483" s="1" t="str">
        <f>"45312"</f>
        <v>45312</v>
      </c>
      <c r="C34483" s="2">
        <v>3.0738019856760797E-5</v>
      </c>
      <c r="D34483" s="2">
        <v>0</v>
      </c>
      <c r="E34483" s="2">
        <v>0</v>
      </c>
      <c r="F34483" s="2">
        <v>2.7941155925620599E-5</v>
      </c>
    </row>
    <row r="34484" spans="1:6" x14ac:dyDescent="0.25">
      <c r="A34484" s="1" t="str">
        <f t="shared" si="1236"/>
        <v>44220</v>
      </c>
      <c r="B34484" s="1" t="str">
        <f>"45387"</f>
        <v>45387</v>
      </c>
      <c r="C34484" s="2">
        <v>1.84428119140564E-3</v>
      </c>
      <c r="D34484" s="2">
        <v>6.3478628861616496E-4</v>
      </c>
      <c r="E34484" s="2">
        <v>0</v>
      </c>
      <c r="F34484" s="2">
        <v>1.71838108942566E-3</v>
      </c>
    </row>
    <row r="34485" spans="1:6" x14ac:dyDescent="0.25">
      <c r="A34485" s="1" t="str">
        <f t="shared" si="1236"/>
        <v>44220</v>
      </c>
      <c r="B34485" s="1" t="str">
        <f>"43010"</f>
        <v>43010</v>
      </c>
      <c r="C34485" s="2">
        <v>1.7059601020502199E-3</v>
      </c>
      <c r="D34485" s="2">
        <v>2.1159542953872099E-4</v>
      </c>
      <c r="E34485" s="2">
        <v>0</v>
      </c>
      <c r="F34485" s="2">
        <v>1.56470473183475E-3</v>
      </c>
    </row>
    <row r="34486" spans="1:6" x14ac:dyDescent="0.25">
      <c r="A34486" s="1" t="str">
        <f t="shared" si="1236"/>
        <v>44220</v>
      </c>
      <c r="B34486" s="1" t="str">
        <f>"45341"</f>
        <v>45341</v>
      </c>
      <c r="C34486" s="2">
        <v>2.8340454307933399E-2</v>
      </c>
      <c r="D34486" s="2">
        <v>1.24841303427845E-2</v>
      </c>
      <c r="E34486" s="2">
        <v>1.9026301063234399E-2</v>
      </c>
      <c r="F34486" s="2">
        <v>2.7061009513963501E-2</v>
      </c>
    </row>
    <row r="34487" spans="1:6" x14ac:dyDescent="0.25">
      <c r="A34487" s="1" t="str">
        <f t="shared" si="1236"/>
        <v>44220</v>
      </c>
      <c r="B34487" s="1" t="str">
        <f>"45349"</f>
        <v>45349</v>
      </c>
      <c r="C34487" s="2">
        <v>9.2214059570282404E-5</v>
      </c>
      <c r="D34487" s="2">
        <v>2.1159542953872099E-4</v>
      </c>
      <c r="E34487" s="2">
        <v>0</v>
      </c>
      <c r="F34487" s="2">
        <v>9.7794045739672201E-5</v>
      </c>
    </row>
    <row r="34488" spans="1:6" x14ac:dyDescent="0.25">
      <c r="A34488" s="1" t="str">
        <f t="shared" si="1236"/>
        <v>44220</v>
      </c>
      <c r="B34488" s="1" t="str">
        <f>"45506"</f>
        <v>45506</v>
      </c>
      <c r="C34488" s="2">
        <v>0.101235668398241</v>
      </c>
      <c r="D34488" s="2">
        <v>6.8556919170545905E-2</v>
      </c>
      <c r="E34488" s="2">
        <v>5.5400111919418002E-2</v>
      </c>
      <c r="F34488" s="2">
        <v>9.7933751519300297E-2</v>
      </c>
    </row>
    <row r="34489" spans="1:6" x14ac:dyDescent="0.25">
      <c r="A34489" s="1" t="str">
        <f t="shared" si="1236"/>
        <v>44220</v>
      </c>
      <c r="B34489" s="1" t="str">
        <f>"43153"</f>
        <v>43153</v>
      </c>
      <c r="C34489" s="2">
        <v>4.1496326806627102E-4</v>
      </c>
      <c r="D34489" s="2">
        <v>6.3478628861616496E-4</v>
      </c>
      <c r="E34489" s="2">
        <v>0</v>
      </c>
      <c r="F34489" s="2">
        <v>4.1911733888430901E-4</v>
      </c>
    </row>
    <row r="34490" spans="1:6" x14ac:dyDescent="0.25">
      <c r="A34490" s="1" t="str">
        <f t="shared" si="1236"/>
        <v>44220</v>
      </c>
      <c r="B34490" s="1" t="str">
        <f>"45319"</f>
        <v>45319</v>
      </c>
      <c r="C34490" s="2">
        <v>1.5676390126948001E-3</v>
      </c>
      <c r="D34490" s="2">
        <v>2.7507405840033802E-3</v>
      </c>
      <c r="E34490" s="2">
        <v>3.35758254057078E-3</v>
      </c>
      <c r="F34490" s="2">
        <v>1.69043993350004E-3</v>
      </c>
    </row>
    <row r="34491" spans="1:6" x14ac:dyDescent="0.25">
      <c r="A34491" s="1" t="str">
        <f t="shared" si="1236"/>
        <v>44220</v>
      </c>
      <c r="B34491" s="1" t="str">
        <f>"45344"</f>
        <v>45344</v>
      </c>
      <c r="C34491" s="2">
        <v>0.10355638889742701</v>
      </c>
      <c r="D34491" s="2">
        <v>9.7757088446889503E-2</v>
      </c>
      <c r="E34491" s="2">
        <v>6.04364857302742E-2</v>
      </c>
      <c r="F34491" s="2">
        <v>0.102096983752217</v>
      </c>
    </row>
    <row r="34492" spans="1:6" x14ac:dyDescent="0.25">
      <c r="A34492" s="1" t="str">
        <f t="shared" si="1236"/>
        <v>44220</v>
      </c>
      <c r="B34492" s="1" t="str">
        <f>"45503"</f>
        <v>45503</v>
      </c>
      <c r="C34492" s="2">
        <v>0.239310853594811</v>
      </c>
      <c r="D34492" s="2">
        <v>0.16567922132881899</v>
      </c>
      <c r="E34492" s="2">
        <v>0.28987129266927802</v>
      </c>
      <c r="F34492" s="2">
        <v>0.23571159138853501</v>
      </c>
    </row>
    <row r="34493" spans="1:6" x14ac:dyDescent="0.25">
      <c r="A34493" s="1" t="str">
        <f t="shared" si="1236"/>
        <v>44220</v>
      </c>
      <c r="B34493" s="1" t="str">
        <f>"45501"</f>
        <v>45501</v>
      </c>
      <c r="C34493" s="2">
        <v>2.3330157071281402E-2</v>
      </c>
      <c r="D34493" s="2">
        <v>0.10262378332628</v>
      </c>
      <c r="E34493" s="2">
        <v>5.5959709009513101E-4</v>
      </c>
      <c r="F34493" s="2">
        <v>2.7997038237471801E-2</v>
      </c>
    </row>
    <row r="34494" spans="1:6" x14ac:dyDescent="0.25">
      <c r="A34494" s="1" t="str">
        <f t="shared" si="1236"/>
        <v>44220</v>
      </c>
      <c r="B34494" s="1" t="str">
        <f>"45369"</f>
        <v>45369</v>
      </c>
      <c r="C34494" s="2">
        <v>2.1378292810377099E-2</v>
      </c>
      <c r="D34494" s="2">
        <v>4.2319085907744297E-3</v>
      </c>
      <c r="E34494" s="2">
        <v>3.9171796306659203E-3</v>
      </c>
      <c r="F34494" s="2">
        <v>1.9810279551264999E-2</v>
      </c>
    </row>
    <row r="34495" spans="1:6" x14ac:dyDescent="0.25">
      <c r="A34495" s="1" t="str">
        <f t="shared" si="1236"/>
        <v>44220</v>
      </c>
      <c r="B34495" s="1" t="str">
        <f>"45505"</f>
        <v>45505</v>
      </c>
      <c r="C34495" s="2">
        <v>0.15089293947683799</v>
      </c>
      <c r="D34495" s="2">
        <v>0.14388489208633001</v>
      </c>
      <c r="E34495" s="2">
        <v>0.21208729714605401</v>
      </c>
      <c r="F34495" s="2">
        <v>0.15195797650148701</v>
      </c>
    </row>
    <row r="34496" spans="1:6" x14ac:dyDescent="0.25">
      <c r="A34496" s="1" t="str">
        <f t="shared" si="1236"/>
        <v>44220</v>
      </c>
      <c r="B34496" s="1" t="str">
        <f>"45372"</f>
        <v>45372</v>
      </c>
      <c r="C34496" s="2">
        <v>0</v>
      </c>
      <c r="D34496" s="2">
        <v>4.2319085907744302E-4</v>
      </c>
      <c r="E34496" s="2">
        <v>0</v>
      </c>
      <c r="F34496" s="2">
        <v>2.7941155925620599E-5</v>
      </c>
    </row>
    <row r="34497" spans="1:6" x14ac:dyDescent="0.25">
      <c r="A34497" s="1" t="str">
        <f t="shared" si="1236"/>
        <v>44220</v>
      </c>
      <c r="B34497" s="1" t="str">
        <f>"45314"</f>
        <v>45314</v>
      </c>
      <c r="C34497" s="2">
        <v>1.07583069498662E-4</v>
      </c>
      <c r="D34497" s="2">
        <v>0</v>
      </c>
      <c r="E34497" s="2">
        <v>0</v>
      </c>
      <c r="F34497" s="2">
        <v>9.7794045739672201E-5</v>
      </c>
    </row>
    <row r="34498" spans="1:6" x14ac:dyDescent="0.25">
      <c r="A34498" s="1" t="str">
        <f t="shared" si="1236"/>
        <v>44220</v>
      </c>
      <c r="B34498" s="1" t="str">
        <f>"43078"</f>
        <v>43078</v>
      </c>
      <c r="C34498" s="2">
        <v>4.3033227799465102E-4</v>
      </c>
      <c r="D34498" s="2">
        <v>1.0579771476936001E-3</v>
      </c>
      <c r="E34498" s="2">
        <v>5.5959709009513101E-4</v>
      </c>
      <c r="F34498" s="2">
        <v>4.7499965073555001E-4</v>
      </c>
    </row>
    <row r="34499" spans="1:6" x14ac:dyDescent="0.25">
      <c r="A34499" s="1" t="str">
        <f t="shared" si="1236"/>
        <v>44220</v>
      </c>
      <c r="B34499" s="1" t="str">
        <f>"45368"</f>
        <v>45368</v>
      </c>
      <c r="C34499" s="2">
        <v>3.2151968770171797E-2</v>
      </c>
      <c r="D34499" s="2">
        <v>1.14261531950909E-2</v>
      </c>
      <c r="E34499" s="2">
        <v>1.3430330162283099E-2</v>
      </c>
      <c r="F34499" s="2">
        <v>3.03161541792983E-2</v>
      </c>
    </row>
    <row r="34500" spans="1:6" x14ac:dyDescent="0.25">
      <c r="A34500" s="1" t="str">
        <f t="shared" ref="A34500:A34518" si="1237">"44260"</f>
        <v>44260</v>
      </c>
      <c r="B34500" s="1" t="str">
        <f>"39743"</f>
        <v>39743</v>
      </c>
      <c r="C34500" s="2">
        <v>9.2974638279143904E-3</v>
      </c>
      <c r="D34500" s="2">
        <v>4.5398266611638401E-3</v>
      </c>
      <c r="E34500" s="2">
        <v>0</v>
      </c>
      <c r="F34500" s="2">
        <v>8.7993545459129595E-3</v>
      </c>
    </row>
    <row r="34501" spans="1:6" x14ac:dyDescent="0.25">
      <c r="A34501" s="1" t="str">
        <f t="shared" si="1237"/>
        <v>44260</v>
      </c>
      <c r="B34501" s="1" t="str">
        <f>"39759"</f>
        <v>39759</v>
      </c>
      <c r="C34501" s="2">
        <v>0.75218682950981997</v>
      </c>
      <c r="D34501" s="2">
        <v>0.66116384647131599</v>
      </c>
      <c r="E34501" s="2">
        <v>0.95367231638418004</v>
      </c>
      <c r="F34501" s="2">
        <v>0.75112198073722902</v>
      </c>
    </row>
    <row r="34502" spans="1:6" x14ac:dyDescent="0.25">
      <c r="A34502" s="1" t="str">
        <f t="shared" si="1237"/>
        <v>44260</v>
      </c>
      <c r="B34502" s="1" t="str">
        <f>"39752"</f>
        <v>39752</v>
      </c>
      <c r="C34502" s="2">
        <v>1.90350442867359E-2</v>
      </c>
      <c r="D34502" s="2">
        <v>1.7746595130004102E-2</v>
      </c>
      <c r="E34502" s="2">
        <v>4.51977401129943E-3</v>
      </c>
      <c r="F34502" s="2">
        <v>1.8632444153093598E-2</v>
      </c>
    </row>
    <row r="34503" spans="1:6" x14ac:dyDescent="0.25">
      <c r="A34503" s="1" t="str">
        <f t="shared" si="1237"/>
        <v>44260</v>
      </c>
      <c r="B34503" s="1" t="str">
        <f>"39769"</f>
        <v>39769</v>
      </c>
      <c r="C34503" s="2">
        <v>2.5114155251141499E-2</v>
      </c>
      <c r="D34503" s="2">
        <v>1.0317787866281399E-2</v>
      </c>
      <c r="E34503" s="2">
        <v>0</v>
      </c>
      <c r="F34503" s="2">
        <v>2.3649841157783201E-2</v>
      </c>
    </row>
    <row r="34504" spans="1:6" x14ac:dyDescent="0.25">
      <c r="A34504" s="1" t="str">
        <f t="shared" si="1237"/>
        <v>44260</v>
      </c>
      <c r="B34504" s="1" t="str">
        <f>"39762"</f>
        <v>39762</v>
      </c>
      <c r="C34504" s="2">
        <v>0</v>
      </c>
      <c r="D34504" s="2">
        <v>2.4762690879075499E-3</v>
      </c>
      <c r="E34504" s="2">
        <v>0</v>
      </c>
      <c r="F34504" s="2">
        <v>1.5127830164893299E-4</v>
      </c>
    </row>
    <row r="34505" spans="1:6" x14ac:dyDescent="0.25">
      <c r="A34505" s="1" t="str">
        <f t="shared" si="1237"/>
        <v>44260</v>
      </c>
      <c r="B34505" s="1" t="str">
        <f>"39737"</f>
        <v>39737</v>
      </c>
      <c r="C34505" s="2">
        <v>3.16333828464543E-3</v>
      </c>
      <c r="D34505" s="2">
        <v>8.2542302930251705E-4</v>
      </c>
      <c r="E34505" s="2">
        <v>0</v>
      </c>
      <c r="F34505" s="2">
        <v>2.9499268821541998E-3</v>
      </c>
    </row>
    <row r="34506" spans="1:6" x14ac:dyDescent="0.25">
      <c r="A34506" s="1" t="str">
        <f t="shared" si="1237"/>
        <v>44260</v>
      </c>
      <c r="B34506" s="1" t="str">
        <f>"38925"</f>
        <v>38925</v>
      </c>
      <c r="C34506" s="2">
        <v>3.85102052043791E-4</v>
      </c>
      <c r="D34506" s="2">
        <v>0</v>
      </c>
      <c r="E34506" s="2">
        <v>0</v>
      </c>
      <c r="F34506" s="2">
        <v>3.5298270384751098E-4</v>
      </c>
    </row>
    <row r="34507" spans="1:6" x14ac:dyDescent="0.25">
      <c r="A34507" s="1" t="str">
        <f t="shared" si="1237"/>
        <v>44260</v>
      </c>
      <c r="B34507" s="1" t="str">
        <f>"39739"</f>
        <v>39739</v>
      </c>
      <c r="C34507" s="2">
        <v>1.37536447158497E-4</v>
      </c>
      <c r="D34507" s="2">
        <v>4.1271151465125798E-4</v>
      </c>
      <c r="E34507" s="2">
        <v>0</v>
      </c>
      <c r="F34507" s="2">
        <v>1.5127830164893299E-4</v>
      </c>
    </row>
    <row r="34508" spans="1:6" x14ac:dyDescent="0.25">
      <c r="A34508" s="1" t="str">
        <f t="shared" si="1237"/>
        <v>44260</v>
      </c>
      <c r="B34508" s="1" t="str">
        <f>"39735"</f>
        <v>39735</v>
      </c>
      <c r="C34508" s="2">
        <v>2.4756560488529403E-4</v>
      </c>
      <c r="D34508" s="2">
        <v>0</v>
      </c>
      <c r="E34508" s="2">
        <v>0</v>
      </c>
      <c r="F34508" s="2">
        <v>2.2691745247340001E-4</v>
      </c>
    </row>
    <row r="34509" spans="1:6" x14ac:dyDescent="0.25">
      <c r="A34509" s="1" t="str">
        <f t="shared" si="1237"/>
        <v>44260</v>
      </c>
      <c r="B34509" s="1" t="str">
        <f>"38916"</f>
        <v>38916</v>
      </c>
      <c r="C34509" s="2">
        <v>1.01776970897287E-3</v>
      </c>
      <c r="D34509" s="2">
        <v>0</v>
      </c>
      <c r="E34509" s="2">
        <v>0</v>
      </c>
      <c r="F34509" s="2">
        <v>9.3288286016842304E-4</v>
      </c>
    </row>
    <row r="34510" spans="1:6" x14ac:dyDescent="0.25">
      <c r="A34510" s="1" t="str">
        <f t="shared" si="1237"/>
        <v>44260</v>
      </c>
      <c r="B34510" s="1" t="str">
        <f>"39701"</f>
        <v>39701</v>
      </c>
      <c r="C34510" s="2">
        <v>2.7507289431699401E-5</v>
      </c>
      <c r="D34510" s="2">
        <v>0</v>
      </c>
      <c r="E34510" s="2">
        <v>0</v>
      </c>
      <c r="F34510" s="2">
        <v>2.5213050274822199E-5</v>
      </c>
    </row>
    <row r="34511" spans="1:6" x14ac:dyDescent="0.25">
      <c r="A34511" s="1" t="str">
        <f t="shared" si="1237"/>
        <v>44260</v>
      </c>
      <c r="B34511" s="1" t="str">
        <f>"39750"</f>
        <v>39750</v>
      </c>
      <c r="C34511" s="2">
        <v>4.0078120701985999E-2</v>
      </c>
      <c r="D34511" s="2">
        <v>2.6000825423029301E-2</v>
      </c>
      <c r="E34511" s="2">
        <v>2.2598870056497098E-3</v>
      </c>
      <c r="F34511" s="2">
        <v>3.8374262518279398E-2</v>
      </c>
    </row>
    <row r="34512" spans="1:6" x14ac:dyDescent="0.25">
      <c r="A34512" s="1" t="str">
        <f t="shared" si="1237"/>
        <v>44260</v>
      </c>
      <c r="B34512" s="1" t="str">
        <f>"39767"</f>
        <v>39767</v>
      </c>
      <c r="C34512" s="2">
        <v>6.0240963855421603E-3</v>
      </c>
      <c r="D34512" s="2">
        <v>8.2542302930251705E-4</v>
      </c>
      <c r="E34512" s="2">
        <v>0</v>
      </c>
      <c r="F34512" s="2">
        <v>5.5720841107357102E-3</v>
      </c>
    </row>
    <row r="34513" spans="1:6" x14ac:dyDescent="0.25">
      <c r="A34513" s="1" t="str">
        <f t="shared" si="1237"/>
        <v>44260</v>
      </c>
      <c r="B34513" s="1" t="str">
        <f>"39755"</f>
        <v>39755</v>
      </c>
      <c r="C34513" s="2">
        <v>2.66820707487484E-3</v>
      </c>
      <c r="D34513" s="2">
        <v>4.1271151465125798E-4</v>
      </c>
      <c r="E34513" s="2">
        <v>0</v>
      </c>
      <c r="F34513" s="2">
        <v>2.4708789269325799E-3</v>
      </c>
    </row>
    <row r="34514" spans="1:6" x14ac:dyDescent="0.25">
      <c r="A34514" s="1" t="str">
        <f t="shared" si="1237"/>
        <v>44260</v>
      </c>
      <c r="B34514" s="1" t="str">
        <f>"39771"</f>
        <v>39771</v>
      </c>
      <c r="C34514" s="2">
        <v>2.0630467073774498E-3</v>
      </c>
      <c r="D34514" s="2">
        <v>2.4762690879075499E-3</v>
      </c>
      <c r="E34514" s="2">
        <v>2.2598870056497098E-3</v>
      </c>
      <c r="F34514" s="2">
        <v>2.0926831728102402E-3</v>
      </c>
    </row>
    <row r="34515" spans="1:6" x14ac:dyDescent="0.25">
      <c r="A34515" s="1" t="str">
        <f t="shared" si="1237"/>
        <v>44260</v>
      </c>
      <c r="B34515" s="1" t="str">
        <f>"39751"</f>
        <v>39751</v>
      </c>
      <c r="C34515" s="2">
        <v>1.42487759256202E-2</v>
      </c>
      <c r="D34515" s="2">
        <v>1.07304993809327E-2</v>
      </c>
      <c r="E34515" s="2">
        <v>0</v>
      </c>
      <c r="F34515" s="2">
        <v>1.37158993495033E-2</v>
      </c>
    </row>
    <row r="34516" spans="1:6" x14ac:dyDescent="0.25">
      <c r="A34516" s="1" t="str">
        <f t="shared" si="1237"/>
        <v>44260</v>
      </c>
      <c r="B34516" s="1" t="str">
        <f>"39760"</f>
        <v>39760</v>
      </c>
      <c r="C34516" s="2">
        <v>4.4479287011057897E-2</v>
      </c>
      <c r="D34516" s="2">
        <v>0.16302104828724701</v>
      </c>
      <c r="E34516" s="2">
        <v>2.2598870056497098E-3</v>
      </c>
      <c r="F34516" s="2">
        <v>5.0779083253492001E-2</v>
      </c>
    </row>
    <row r="34517" spans="1:6" x14ac:dyDescent="0.25">
      <c r="A34517" s="1" t="str">
        <f t="shared" si="1237"/>
        <v>44260</v>
      </c>
      <c r="B34517" s="1" t="str">
        <f>"38929"</f>
        <v>38929</v>
      </c>
      <c r="C34517" s="2">
        <v>1.01776970897287E-3</v>
      </c>
      <c r="D34517" s="2">
        <v>1.65084605860503E-3</v>
      </c>
      <c r="E34517" s="2">
        <v>0</v>
      </c>
      <c r="F34517" s="2">
        <v>1.0337350612677099E-3</v>
      </c>
    </row>
    <row r="34518" spans="1:6" x14ac:dyDescent="0.25">
      <c r="A34518" s="1" t="str">
        <f t="shared" si="1237"/>
        <v>44260</v>
      </c>
      <c r="B34518" s="1" t="str">
        <f>"39744"</f>
        <v>39744</v>
      </c>
      <c r="C34518" s="2">
        <v>7.8808384221818698E-2</v>
      </c>
      <c r="D34518" s="2">
        <v>9.7399917457696994E-2</v>
      </c>
      <c r="E34518" s="2">
        <v>3.5028248587570601E-2</v>
      </c>
      <c r="F34518" s="2">
        <v>7.8967273460743198E-2</v>
      </c>
    </row>
    <row r="34519" spans="1:6" x14ac:dyDescent="0.25">
      <c r="A34519" s="1" t="str">
        <f t="shared" ref="A34519:A34554" si="1238">"44300"</f>
        <v>44300</v>
      </c>
      <c r="B34519" s="1" t="str">
        <f>"16823"</f>
        <v>16823</v>
      </c>
      <c r="C34519" s="2">
        <v>0.192462369297943</v>
      </c>
      <c r="D34519" s="2">
        <v>0.184460141271442</v>
      </c>
      <c r="E34519" s="2">
        <v>0.13404417364813401</v>
      </c>
      <c r="F34519" s="2">
        <v>0.18964409798254001</v>
      </c>
    </row>
    <row r="34520" spans="1:6" x14ac:dyDescent="0.25">
      <c r="A34520" s="1" t="str">
        <f t="shared" si="1238"/>
        <v>44300</v>
      </c>
      <c r="B34520" s="1" t="str">
        <f>"16872"</f>
        <v>16872</v>
      </c>
      <c r="C34520" s="2">
        <v>6.7464421135569001E-3</v>
      </c>
      <c r="D34520" s="2">
        <v>6.4581231079717397E-3</v>
      </c>
      <c r="E34520" s="2">
        <v>0</v>
      </c>
      <c r="F34520" s="2">
        <v>6.4669644681907001E-3</v>
      </c>
    </row>
    <row r="34521" spans="1:6" x14ac:dyDescent="0.25">
      <c r="A34521" s="1" t="str">
        <f t="shared" si="1238"/>
        <v>44300</v>
      </c>
      <c r="B34521" s="1" t="str">
        <f>"16860"</f>
        <v>16860</v>
      </c>
      <c r="C34521" s="2">
        <v>1.1654437714417E-3</v>
      </c>
      <c r="D34521" s="2">
        <v>0</v>
      </c>
      <c r="E34521" s="2">
        <v>0</v>
      </c>
      <c r="F34521" s="2">
        <v>1.0364660885813499E-3</v>
      </c>
    </row>
    <row r="34522" spans="1:6" x14ac:dyDescent="0.25">
      <c r="A34522" s="1" t="str">
        <f t="shared" si="1238"/>
        <v>44300</v>
      </c>
      <c r="B34522" s="1" t="str">
        <f>"16859"</f>
        <v>16859</v>
      </c>
      <c r="C34522" s="2">
        <v>3.26652550023801E-3</v>
      </c>
      <c r="D34522" s="2">
        <v>4.03632694248234E-4</v>
      </c>
      <c r="E34522" s="2">
        <v>7.6161462300076098E-4</v>
      </c>
      <c r="F34522" s="2">
        <v>2.9634171265072499E-3</v>
      </c>
    </row>
    <row r="34523" spans="1:6" x14ac:dyDescent="0.25">
      <c r="A34523" s="1" t="str">
        <f t="shared" si="1238"/>
        <v>44300</v>
      </c>
      <c r="B34523" s="1" t="str">
        <f>"16852"</f>
        <v>16852</v>
      </c>
      <c r="C34523" s="2">
        <v>1.2803466784852501E-3</v>
      </c>
      <c r="D34523" s="2">
        <v>1.0090817356205801E-3</v>
      </c>
      <c r="E34523" s="2">
        <v>7.6161462300076098E-4</v>
      </c>
      <c r="F34523" s="2">
        <v>1.24083968351289E-3</v>
      </c>
    </row>
    <row r="34524" spans="1:6" x14ac:dyDescent="0.25">
      <c r="A34524" s="1" t="str">
        <f t="shared" si="1238"/>
        <v>44300</v>
      </c>
      <c r="B34524" s="1" t="str">
        <f>"16864"</f>
        <v>16864</v>
      </c>
      <c r="C34524" s="2">
        <v>8.3714975131727904E-4</v>
      </c>
      <c r="D34524" s="2">
        <v>4.03632694248234E-4</v>
      </c>
      <c r="E34524" s="2">
        <v>3.8080731150038E-4</v>
      </c>
      <c r="F34524" s="2">
        <v>7.8829815187877702E-4</v>
      </c>
    </row>
    <row r="34525" spans="1:6" x14ac:dyDescent="0.25">
      <c r="A34525" s="1" t="str">
        <f t="shared" si="1238"/>
        <v>44300</v>
      </c>
      <c r="B34525" s="1" t="str">
        <f>"16868"</f>
        <v>16868</v>
      </c>
      <c r="C34525" s="2">
        <v>6.5658804024884595E-5</v>
      </c>
      <c r="D34525" s="2">
        <v>2.01816347124117E-4</v>
      </c>
      <c r="E34525" s="2">
        <v>0</v>
      </c>
      <c r="F34525" s="2">
        <v>7.2990569618405305E-5</v>
      </c>
    </row>
    <row r="34526" spans="1:6" x14ac:dyDescent="0.25">
      <c r="A34526" s="1" t="str">
        <f t="shared" si="1238"/>
        <v>44300</v>
      </c>
      <c r="B34526" s="1" t="str">
        <f>"16856"</f>
        <v>16856</v>
      </c>
      <c r="C34526" s="2">
        <v>0</v>
      </c>
      <c r="D34526" s="2">
        <v>2.01816347124117E-4</v>
      </c>
      <c r="E34526" s="2">
        <v>1.1424219345011399E-3</v>
      </c>
      <c r="F34526" s="2">
        <v>5.8392455694724203E-5</v>
      </c>
    </row>
    <row r="34527" spans="1:6" x14ac:dyDescent="0.25">
      <c r="A34527" s="1" t="str">
        <f t="shared" si="1238"/>
        <v>44300</v>
      </c>
      <c r="B34527" s="1" t="str">
        <f>"16828"</f>
        <v>16828</v>
      </c>
      <c r="C34527" s="2">
        <v>2.5754665878761001E-2</v>
      </c>
      <c r="D34527" s="2">
        <v>2.0181634712411699E-2</v>
      </c>
      <c r="E34527" s="2">
        <v>7.8827113480578803E-2</v>
      </c>
      <c r="F34527" s="2">
        <v>2.73860617208256E-2</v>
      </c>
    </row>
    <row r="34528" spans="1:6" x14ac:dyDescent="0.25">
      <c r="A34528" s="1" t="str">
        <f t="shared" si="1238"/>
        <v>44300</v>
      </c>
      <c r="B34528" s="1" t="str">
        <f>"16801"</f>
        <v>16801</v>
      </c>
      <c r="C34528" s="2">
        <v>0.31357003332184302</v>
      </c>
      <c r="D34528" s="2">
        <v>0.41432896064581198</v>
      </c>
      <c r="E34528" s="2">
        <v>0.42155369383092101</v>
      </c>
      <c r="F34528" s="2">
        <v>0.32499781028291103</v>
      </c>
    </row>
    <row r="34529" spans="1:6" x14ac:dyDescent="0.25">
      <c r="A34529" s="1" t="str">
        <f t="shared" si="1238"/>
        <v>44300</v>
      </c>
      <c r="B34529" s="1" t="str">
        <f>"16666"</f>
        <v>16666</v>
      </c>
      <c r="C34529" s="2">
        <v>3.5127460153313301E-3</v>
      </c>
      <c r="D34529" s="2">
        <v>1.4127144298688101E-3</v>
      </c>
      <c r="E34529" s="2">
        <v>7.6161462300076098E-4</v>
      </c>
      <c r="F34529" s="2">
        <v>3.2553794049808701E-3</v>
      </c>
    </row>
    <row r="34530" spans="1:6" x14ac:dyDescent="0.25">
      <c r="A34530" s="1" t="str">
        <f t="shared" si="1238"/>
        <v>44300</v>
      </c>
      <c r="B34530" s="1" t="str">
        <f>"16854"</f>
        <v>16854</v>
      </c>
      <c r="C34530" s="2">
        <v>1.0833702664105899E-3</v>
      </c>
      <c r="D34530" s="2">
        <v>4.03632694248234E-4</v>
      </c>
      <c r="E34530" s="2">
        <v>6.4737242955064701E-3</v>
      </c>
      <c r="F34530" s="2">
        <v>1.24083968351289E-3</v>
      </c>
    </row>
    <row r="34531" spans="1:6" x14ac:dyDescent="0.25">
      <c r="A34531" s="1" t="str">
        <f t="shared" si="1238"/>
        <v>44300</v>
      </c>
      <c r="B34531" s="1" t="str">
        <f>"16832"</f>
        <v>16832</v>
      </c>
      <c r="C34531" s="2">
        <v>1.52656719357856E-3</v>
      </c>
      <c r="D34531" s="2">
        <v>2.01816347124117E-4</v>
      </c>
      <c r="E34531" s="2">
        <v>1.52322924600152E-3</v>
      </c>
      <c r="F34531" s="2">
        <v>1.43061516452074E-3</v>
      </c>
    </row>
    <row r="34532" spans="1:6" x14ac:dyDescent="0.25">
      <c r="A34532" s="1" t="str">
        <f t="shared" si="1238"/>
        <v>44300</v>
      </c>
      <c r="B34532" s="1" t="str">
        <f>"16865"</f>
        <v>16865</v>
      </c>
      <c r="C34532" s="2">
        <v>1.07352144580686E-2</v>
      </c>
      <c r="D34532" s="2">
        <v>2.8254288597376301E-3</v>
      </c>
      <c r="E34532" s="2">
        <v>1.0281797410510199E-2</v>
      </c>
      <c r="F34532" s="2">
        <v>1.01456891769583E-2</v>
      </c>
    </row>
    <row r="34533" spans="1:6" x14ac:dyDescent="0.25">
      <c r="A34533" s="1" t="str">
        <f t="shared" si="1238"/>
        <v>44300</v>
      </c>
      <c r="B34533" s="1" t="str">
        <f>"16829"</f>
        <v>16829</v>
      </c>
      <c r="C34533" s="2">
        <v>4.4812133746983699E-3</v>
      </c>
      <c r="D34533" s="2">
        <v>1.2108980827446999E-3</v>
      </c>
      <c r="E34533" s="2">
        <v>0</v>
      </c>
      <c r="F34533" s="2">
        <v>4.0728737847070097E-3</v>
      </c>
    </row>
    <row r="34534" spans="1:6" x14ac:dyDescent="0.25">
      <c r="A34534" s="1" t="str">
        <f t="shared" si="1238"/>
        <v>44300</v>
      </c>
      <c r="B34534" s="1" t="str">
        <f>"16866"</f>
        <v>16866</v>
      </c>
      <c r="C34534" s="2">
        <v>4.7307168299929397E-2</v>
      </c>
      <c r="D34534" s="2">
        <v>6.2764883955600398E-2</v>
      </c>
      <c r="E34534" s="2">
        <v>5.1028179741050998E-2</v>
      </c>
      <c r="F34534" s="2">
        <v>4.85679250240868E-2</v>
      </c>
    </row>
    <row r="34535" spans="1:6" x14ac:dyDescent="0.25">
      <c r="A34535" s="1" t="str">
        <f t="shared" si="1238"/>
        <v>44300</v>
      </c>
      <c r="B34535" s="1" t="str">
        <f>"16827"</f>
        <v>16827</v>
      </c>
      <c r="C34535" s="2">
        <v>4.4336107417803299E-2</v>
      </c>
      <c r="D34535" s="2">
        <v>3.8748738647830398E-2</v>
      </c>
      <c r="E34535" s="2">
        <v>3.8461538461538401E-2</v>
      </c>
      <c r="F34535" s="2">
        <v>4.3706753087501E-2</v>
      </c>
    </row>
    <row r="34536" spans="1:6" x14ac:dyDescent="0.25">
      <c r="A34536" s="1" t="str">
        <f t="shared" si="1238"/>
        <v>44300</v>
      </c>
      <c r="B34536" s="1" t="str">
        <f>"16882"</f>
        <v>16882</v>
      </c>
      <c r="C34536" s="2">
        <v>1.65788480162833E-3</v>
      </c>
      <c r="D34536" s="2">
        <v>2.01816347124117E-4</v>
      </c>
      <c r="E34536" s="2">
        <v>0</v>
      </c>
      <c r="F34536" s="2">
        <v>1.48900762021546E-3</v>
      </c>
    </row>
    <row r="34537" spans="1:6" x14ac:dyDescent="0.25">
      <c r="A34537" s="1" t="str">
        <f t="shared" si="1238"/>
        <v>44300</v>
      </c>
      <c r="B34537" s="1" t="str">
        <f>"16835"</f>
        <v>16835</v>
      </c>
      <c r="C34537" s="2">
        <v>0</v>
      </c>
      <c r="D34537" s="2">
        <v>2.01816347124117E-4</v>
      </c>
      <c r="E34537" s="2">
        <v>1.9040365575018999E-3</v>
      </c>
      <c r="F34537" s="2">
        <v>8.7588683542086298E-5</v>
      </c>
    </row>
    <row r="34538" spans="1:6" x14ac:dyDescent="0.25">
      <c r="A34538" s="1" t="str">
        <f t="shared" si="1238"/>
        <v>44300</v>
      </c>
      <c r="B34538" s="1" t="str">
        <f>"16874"</f>
        <v>16874</v>
      </c>
      <c r="C34538" s="2">
        <v>7.5015183598430698E-3</v>
      </c>
      <c r="D34538" s="2">
        <v>4.2381432896064497E-3</v>
      </c>
      <c r="E34538" s="2">
        <v>3.8080731150038E-4</v>
      </c>
      <c r="F34538" s="2">
        <v>6.99249656944322E-3</v>
      </c>
    </row>
    <row r="34539" spans="1:6" x14ac:dyDescent="0.25">
      <c r="A34539" s="1" t="str">
        <f t="shared" si="1238"/>
        <v>44300</v>
      </c>
      <c r="B34539" s="1" t="str">
        <f>"16845"</f>
        <v>16845</v>
      </c>
      <c r="C34539" s="2">
        <v>2.36371694489584E-3</v>
      </c>
      <c r="D34539" s="2">
        <v>6.0544904137235095E-4</v>
      </c>
      <c r="E34539" s="2">
        <v>0</v>
      </c>
      <c r="F34539" s="2">
        <v>2.1459227467811098E-3</v>
      </c>
    </row>
    <row r="34540" spans="1:6" x14ac:dyDescent="0.25">
      <c r="A34540" s="1" t="str">
        <f t="shared" si="1238"/>
        <v>44300</v>
      </c>
      <c r="B34540" s="1" t="str">
        <f>"16851"</f>
        <v>16851</v>
      </c>
      <c r="C34540" s="2">
        <v>0</v>
      </c>
      <c r="D34540" s="2">
        <v>2.01816347124117E-4</v>
      </c>
      <c r="E34540" s="2">
        <v>3.4272658035034201E-3</v>
      </c>
      <c r="F34540" s="2">
        <v>1.4598113923681001E-4</v>
      </c>
    </row>
    <row r="34541" spans="1:6" x14ac:dyDescent="0.25">
      <c r="A34541" s="1" t="str">
        <f t="shared" si="1238"/>
        <v>44300</v>
      </c>
      <c r="B34541" s="1" t="str">
        <f>"16803"</f>
        <v>16803</v>
      </c>
      <c r="C34541" s="2">
        <v>0.183056745621378</v>
      </c>
      <c r="D34541" s="2">
        <v>0.12411705348133099</v>
      </c>
      <c r="E34541" s="2">
        <v>0.19878141660319801</v>
      </c>
      <c r="F34541" s="2">
        <v>0.179396222008116</v>
      </c>
    </row>
    <row r="34542" spans="1:6" x14ac:dyDescent="0.25">
      <c r="A34542" s="1" t="str">
        <f t="shared" si="1238"/>
        <v>44300</v>
      </c>
      <c r="B34542" s="1" t="str">
        <f>"16826"</f>
        <v>16826</v>
      </c>
      <c r="C34542" s="2">
        <v>0</v>
      </c>
      <c r="D34542" s="2">
        <v>2.01816347124117E-4</v>
      </c>
      <c r="E34542" s="2">
        <v>1.52322924600152E-3</v>
      </c>
      <c r="F34542" s="2">
        <v>7.2990569618405305E-5</v>
      </c>
    </row>
    <row r="34543" spans="1:6" x14ac:dyDescent="0.25">
      <c r="A34543" s="1" t="str">
        <f t="shared" si="1238"/>
        <v>44300</v>
      </c>
      <c r="B34543" s="1" t="str">
        <f>"16870"</f>
        <v>16870</v>
      </c>
      <c r="C34543" s="2">
        <v>4.6831141970749002E-2</v>
      </c>
      <c r="D34543" s="2">
        <v>1.37235116044399E-2</v>
      </c>
      <c r="E34543" s="2">
        <v>1.1424219345011401E-2</v>
      </c>
      <c r="F34543" s="2">
        <v>4.3079034188782797E-2</v>
      </c>
    </row>
    <row r="34544" spans="1:6" x14ac:dyDescent="0.25">
      <c r="A34544" s="1" t="str">
        <f t="shared" si="1238"/>
        <v>44300</v>
      </c>
      <c r="B34544" s="1" t="str">
        <f>"16802"</f>
        <v>16802</v>
      </c>
      <c r="C34544" s="2">
        <v>1.4773230905599E-4</v>
      </c>
      <c r="D34544" s="2">
        <v>1.2310797174571101E-2</v>
      </c>
      <c r="E34544" s="2">
        <v>1.06626047220106E-2</v>
      </c>
      <c r="F34544" s="2">
        <v>1.43061516452074E-3</v>
      </c>
    </row>
    <row r="34545" spans="1:6" x14ac:dyDescent="0.25">
      <c r="A34545" s="1" t="str">
        <f t="shared" si="1238"/>
        <v>44300</v>
      </c>
      <c r="B34545" s="1" t="str">
        <f>"16804"</f>
        <v>16804</v>
      </c>
      <c r="C34545" s="2">
        <v>1.02756028298944E-2</v>
      </c>
      <c r="D34545" s="2">
        <v>6.7003027245206806E-2</v>
      </c>
      <c r="E34545" s="2">
        <v>3.8080731150038E-4</v>
      </c>
      <c r="F34545" s="2">
        <v>1.39995912528101E-2</v>
      </c>
    </row>
    <row r="34546" spans="1:6" x14ac:dyDescent="0.25">
      <c r="A34546" s="1" t="str">
        <f t="shared" si="1238"/>
        <v>44300</v>
      </c>
      <c r="B34546" s="1" t="str">
        <f>"16875"</f>
        <v>16875</v>
      </c>
      <c r="C34546" s="2">
        <v>2.58695687858045E-2</v>
      </c>
      <c r="D34546" s="2">
        <v>1.8567103935418699E-2</v>
      </c>
      <c r="E34546" s="2">
        <v>9.5201827875095197E-3</v>
      </c>
      <c r="F34546" s="2">
        <v>2.4714606872791998E-2</v>
      </c>
    </row>
    <row r="34547" spans="1:6" x14ac:dyDescent="0.25">
      <c r="A34547" s="1" t="str">
        <f t="shared" si="1238"/>
        <v>44300</v>
      </c>
      <c r="B34547" s="1" t="str">
        <f>"16877"</f>
        <v>16877</v>
      </c>
      <c r="C34547" s="2">
        <v>4.0708458495428501E-3</v>
      </c>
      <c r="D34547" s="2">
        <v>4.03632694248234E-4</v>
      </c>
      <c r="E34547" s="2">
        <v>0</v>
      </c>
      <c r="F34547" s="2">
        <v>3.6495284809202602E-3</v>
      </c>
    </row>
    <row r="34548" spans="1:6" x14ac:dyDescent="0.25">
      <c r="A34548" s="1" t="str">
        <f t="shared" si="1238"/>
        <v>44300</v>
      </c>
      <c r="B34548" s="1" t="str">
        <f>"16844"</f>
        <v>16844</v>
      </c>
      <c r="C34548" s="2">
        <v>1.86799297450796E-2</v>
      </c>
      <c r="D34548" s="2">
        <v>6.6599394550958596E-3</v>
      </c>
      <c r="E34548" s="2">
        <v>1.1424219345011399E-3</v>
      </c>
      <c r="F34548" s="2">
        <v>1.71381857464015E-2</v>
      </c>
    </row>
    <row r="34549" spans="1:6" x14ac:dyDescent="0.25">
      <c r="A34549" s="1" t="str">
        <f t="shared" si="1238"/>
        <v>44300</v>
      </c>
      <c r="B34549" s="1" t="str">
        <f>"16853"</f>
        <v>16853</v>
      </c>
      <c r="C34549" s="2">
        <v>5.41685133205298E-4</v>
      </c>
      <c r="D34549" s="2">
        <v>4.03632694248234E-4</v>
      </c>
      <c r="E34549" s="2">
        <v>3.4272658035034201E-3</v>
      </c>
      <c r="F34549" s="2">
        <v>6.4231701264196603E-4</v>
      </c>
    </row>
    <row r="34550" spans="1:6" x14ac:dyDescent="0.25">
      <c r="A34550" s="1" t="str">
        <f t="shared" si="1238"/>
        <v>44300</v>
      </c>
      <c r="B34550" s="1" t="str">
        <f>"16822"</f>
        <v>16822</v>
      </c>
      <c r="C34550" s="2">
        <v>1.7563730076656601E-3</v>
      </c>
      <c r="D34550" s="2">
        <v>6.0544904137235095E-4</v>
      </c>
      <c r="E34550" s="2">
        <v>1.52322924600152E-3</v>
      </c>
      <c r="F34550" s="2">
        <v>1.66418498729964E-3</v>
      </c>
    </row>
    <row r="34551" spans="1:6" x14ac:dyDescent="0.25">
      <c r="A34551" s="1" t="str">
        <f t="shared" si="1238"/>
        <v>44300</v>
      </c>
      <c r="B34551" s="1" t="str">
        <f>"16686"</f>
        <v>16686</v>
      </c>
      <c r="C34551" s="2">
        <v>2.19956993483363E-3</v>
      </c>
      <c r="D34551" s="2">
        <v>1.4127144298688101E-3</v>
      </c>
      <c r="E34551" s="2">
        <v>0</v>
      </c>
      <c r="F34551" s="2">
        <v>2.0583340632390201E-3</v>
      </c>
    </row>
    <row r="34552" spans="1:6" x14ac:dyDescent="0.25">
      <c r="A34552" s="1" t="str">
        <f t="shared" si="1238"/>
        <v>44300</v>
      </c>
      <c r="B34552" s="1" t="str">
        <f>"16841"</f>
        <v>16841</v>
      </c>
      <c r="C34552" s="2">
        <v>3.2862231414454698E-2</v>
      </c>
      <c r="D34552" s="2">
        <v>1.15035317860746E-2</v>
      </c>
      <c r="E34552" s="2">
        <v>3.8080731150037998E-3</v>
      </c>
      <c r="F34552" s="2">
        <v>3.0203497708096098E-2</v>
      </c>
    </row>
    <row r="34553" spans="1:6" x14ac:dyDescent="0.25">
      <c r="A34553" s="1" t="str">
        <f t="shared" si="1238"/>
        <v>44300</v>
      </c>
      <c r="B34553" s="1" t="str">
        <f>"16677"</f>
        <v>16677</v>
      </c>
      <c r="C34553" s="2">
        <v>0</v>
      </c>
      <c r="D34553" s="2">
        <v>2.01816347124117E-4</v>
      </c>
      <c r="E34553" s="2">
        <v>1.1424219345011399E-3</v>
      </c>
      <c r="F34553" s="2">
        <v>5.8392455694724203E-5</v>
      </c>
    </row>
    <row r="34554" spans="1:6" x14ac:dyDescent="0.25">
      <c r="A34554" s="1" t="str">
        <f t="shared" si="1238"/>
        <v>44300</v>
      </c>
      <c r="B34554" s="1" t="str">
        <f>"16820"</f>
        <v>16820</v>
      </c>
      <c r="C34554" s="2">
        <v>4.0544311485366203E-3</v>
      </c>
      <c r="D34554" s="2">
        <v>2.21997981836528E-3</v>
      </c>
      <c r="E34554" s="2">
        <v>4.9504950495049497E-3</v>
      </c>
      <c r="F34554" s="2">
        <v>3.9560888733175597E-3</v>
      </c>
    </row>
    <row r="34555" spans="1:6" x14ac:dyDescent="0.25">
      <c r="A34555" s="1" t="str">
        <f t="shared" ref="A34555:A34567" si="1239">"44340"</f>
        <v>44340</v>
      </c>
      <c r="B34555" s="1" t="str">
        <f>"30452"</f>
        <v>30452</v>
      </c>
      <c r="C34555" s="2">
        <v>2.20331342274315E-2</v>
      </c>
      <c r="D34555" s="2">
        <v>1.05379922351636E-2</v>
      </c>
      <c r="E34555" s="2">
        <v>1.8348623853210999E-3</v>
      </c>
      <c r="F34555" s="2">
        <v>2.0453866825918099E-2</v>
      </c>
    </row>
    <row r="34556" spans="1:6" x14ac:dyDescent="0.25">
      <c r="A34556" s="1" t="str">
        <f t="shared" si="1239"/>
        <v>44340</v>
      </c>
      <c r="B34556" s="1" t="str">
        <f>"30450"</f>
        <v>30450</v>
      </c>
      <c r="C34556" s="2">
        <v>3.3641383973853203E-2</v>
      </c>
      <c r="D34556" s="2">
        <v>9.1514143094841901E-3</v>
      </c>
      <c r="E34556" s="2">
        <v>3.6697247706421999E-3</v>
      </c>
      <c r="F34556" s="2">
        <v>3.06310341395441E-2</v>
      </c>
    </row>
    <row r="34557" spans="1:6" x14ac:dyDescent="0.25">
      <c r="A34557" s="1" t="str">
        <f t="shared" si="1239"/>
        <v>44340</v>
      </c>
      <c r="B34557" s="1" t="str">
        <f>"30461"</f>
        <v>30461</v>
      </c>
      <c r="C34557" s="2">
        <v>0.21737292911078501</v>
      </c>
      <c r="D34557" s="2">
        <v>6.6555740432612295E-2</v>
      </c>
      <c r="E34557" s="2">
        <v>8.1651376146788898E-2</v>
      </c>
      <c r="F34557" s="2">
        <v>0.20015925151786601</v>
      </c>
    </row>
    <row r="34558" spans="1:6" x14ac:dyDescent="0.25">
      <c r="A34558" s="1" t="str">
        <f t="shared" si="1239"/>
        <v>44340</v>
      </c>
      <c r="B34558" s="1" t="str">
        <f>"30439"</f>
        <v>30439</v>
      </c>
      <c r="C34558" s="2">
        <v>3.3810436154626302E-4</v>
      </c>
      <c r="D34558" s="2">
        <v>0</v>
      </c>
      <c r="E34558" s="2">
        <v>0</v>
      </c>
      <c r="F34558" s="2">
        <v>2.9859659599880498E-4</v>
      </c>
    </row>
    <row r="34559" spans="1:6" x14ac:dyDescent="0.25">
      <c r="A34559" s="1" t="str">
        <f t="shared" si="1239"/>
        <v>44340</v>
      </c>
      <c r="B34559" s="1" t="str">
        <f>"31321"</f>
        <v>31321</v>
      </c>
      <c r="C34559" s="2">
        <v>3.1556407077651297E-2</v>
      </c>
      <c r="D34559" s="2">
        <v>1.9412090959511901E-3</v>
      </c>
      <c r="E34559" s="2">
        <v>0</v>
      </c>
      <c r="F34559" s="2">
        <v>2.8043196974221099E-2</v>
      </c>
    </row>
    <row r="34560" spans="1:6" x14ac:dyDescent="0.25">
      <c r="A34560" s="1" t="str">
        <f t="shared" si="1239"/>
        <v>44340</v>
      </c>
      <c r="B34560" s="1" t="str">
        <f>"31308"</f>
        <v>31308</v>
      </c>
      <c r="C34560" s="2">
        <v>2.1469626958187701E-2</v>
      </c>
      <c r="D34560" s="2">
        <v>1.9412090959511901E-3</v>
      </c>
      <c r="E34560" s="2">
        <v>0</v>
      </c>
      <c r="F34560" s="2">
        <v>1.9135065193590099E-2</v>
      </c>
    </row>
    <row r="34561" spans="1:6" x14ac:dyDescent="0.25">
      <c r="A34561" s="1" t="str">
        <f t="shared" si="1239"/>
        <v>44340</v>
      </c>
      <c r="B34561" s="1" t="str">
        <f>"30458"</f>
        <v>30458</v>
      </c>
      <c r="C34561" s="2">
        <v>0.52445621548517896</v>
      </c>
      <c r="D34561" s="2">
        <v>0.67027176927343302</v>
      </c>
      <c r="E34561" s="2">
        <v>0.89541284403669696</v>
      </c>
      <c r="F34561" s="2">
        <v>0.54760127401214198</v>
      </c>
    </row>
    <row r="34562" spans="1:6" x14ac:dyDescent="0.25">
      <c r="A34562" s="1" t="str">
        <f t="shared" si="1239"/>
        <v>44340</v>
      </c>
      <c r="B34562" s="1" t="str">
        <f>"30417"</f>
        <v>30417</v>
      </c>
      <c r="C34562" s="2">
        <v>2.81753634621886E-5</v>
      </c>
      <c r="D34562" s="2">
        <v>0</v>
      </c>
      <c r="E34562" s="2">
        <v>0</v>
      </c>
      <c r="F34562" s="2">
        <v>2.4883049666567099E-5</v>
      </c>
    </row>
    <row r="34563" spans="1:6" x14ac:dyDescent="0.25">
      <c r="A34563" s="1" t="str">
        <f t="shared" si="1239"/>
        <v>44340</v>
      </c>
      <c r="B34563" s="1" t="str">
        <f>"30471"</f>
        <v>30471</v>
      </c>
      <c r="C34563" s="2">
        <v>4.3390059731770502E-3</v>
      </c>
      <c r="D34563" s="2">
        <v>5.54631170271769E-4</v>
      </c>
      <c r="E34563" s="2">
        <v>0</v>
      </c>
      <c r="F34563" s="2">
        <v>3.8817557479844701E-3</v>
      </c>
    </row>
    <row r="34564" spans="1:6" x14ac:dyDescent="0.25">
      <c r="A34564" s="1" t="str">
        <f t="shared" si="1239"/>
        <v>44340</v>
      </c>
      <c r="B34564" s="1" t="str">
        <f>"30425"</f>
        <v>30425</v>
      </c>
      <c r="C34564" s="2">
        <v>2.8175363462188598E-3</v>
      </c>
      <c r="D34564" s="2">
        <v>0</v>
      </c>
      <c r="E34564" s="2">
        <v>0</v>
      </c>
      <c r="F34564" s="2">
        <v>2.4883049666567102E-3</v>
      </c>
    </row>
    <row r="34565" spans="1:6" x14ac:dyDescent="0.25">
      <c r="A34565" s="1" t="str">
        <f t="shared" si="1239"/>
        <v>44340</v>
      </c>
      <c r="B34565" s="1" t="str">
        <f>"30415"</f>
        <v>30415</v>
      </c>
      <c r="C34565" s="2">
        <v>9.9036402569593104E-2</v>
      </c>
      <c r="D34565" s="2">
        <v>4.3538546866333801E-2</v>
      </c>
      <c r="E34565" s="2">
        <v>1.55963302752293E-2</v>
      </c>
      <c r="F34565" s="2">
        <v>9.1793570219966106E-2</v>
      </c>
    </row>
    <row r="34566" spans="1:6" x14ac:dyDescent="0.25">
      <c r="A34566" s="1" t="str">
        <f t="shared" si="1239"/>
        <v>44340</v>
      </c>
      <c r="B34566" s="1" t="str">
        <f>"30460"</f>
        <v>30460</v>
      </c>
      <c r="C34566" s="2">
        <v>0</v>
      </c>
      <c r="D34566" s="2">
        <v>2.7731558513588401E-4</v>
      </c>
      <c r="E34566" s="2">
        <v>0</v>
      </c>
      <c r="F34566" s="2">
        <v>2.4883049666567099E-5</v>
      </c>
    </row>
    <row r="34567" spans="1:6" x14ac:dyDescent="0.25">
      <c r="A34567" s="1" t="str">
        <f t="shared" si="1239"/>
        <v>44340</v>
      </c>
      <c r="B34567" s="1" t="str">
        <f>"30459"</f>
        <v>30459</v>
      </c>
      <c r="C34567" s="2">
        <v>4.2911078552913297E-2</v>
      </c>
      <c r="D34567" s="2">
        <v>0.195230171935662</v>
      </c>
      <c r="E34567" s="2">
        <v>1.8348623853210999E-3</v>
      </c>
      <c r="F34567" s="2">
        <v>5.54643177067781E-2</v>
      </c>
    </row>
    <row r="34568" spans="1:6" x14ac:dyDescent="0.25">
      <c r="A34568" s="1" t="str">
        <f t="shared" ref="A34568:A34598" si="1240">"44420"</f>
        <v>44420</v>
      </c>
      <c r="B34568" s="1" t="str">
        <f>"24437"</f>
        <v>24437</v>
      </c>
      <c r="C34568" s="2">
        <v>6.4730290456431498E-3</v>
      </c>
      <c r="D34568" s="2">
        <v>9.6469226316804905E-4</v>
      </c>
      <c r="E34568" s="2">
        <v>0</v>
      </c>
      <c r="F34568" s="2">
        <v>5.8495120470330297E-3</v>
      </c>
    </row>
    <row r="34569" spans="1:6" x14ac:dyDescent="0.25">
      <c r="A34569" s="1" t="str">
        <f t="shared" si="1240"/>
        <v>44420</v>
      </c>
      <c r="B34569" s="1" t="str">
        <f>"24439"</f>
        <v>24439</v>
      </c>
      <c r="C34569" s="2">
        <v>1.64315352697095E-3</v>
      </c>
      <c r="D34569" s="2">
        <v>3.8587690526721899E-4</v>
      </c>
      <c r="E34569" s="2">
        <v>0</v>
      </c>
      <c r="F34569" s="2">
        <v>1.49569801708946E-3</v>
      </c>
    </row>
    <row r="34570" spans="1:6" x14ac:dyDescent="0.25">
      <c r="A34570" s="1" t="str">
        <f t="shared" si="1240"/>
        <v>44420</v>
      </c>
      <c r="B34570" s="1" t="str">
        <f>"22920"</f>
        <v>22920</v>
      </c>
      <c r="C34570" s="2">
        <v>9.7925311203319503E-4</v>
      </c>
      <c r="D34570" s="2">
        <v>3.8587690526721899E-4</v>
      </c>
      <c r="E34570" s="2">
        <v>0</v>
      </c>
      <c r="F34570" s="2">
        <v>9.03342366757E-4</v>
      </c>
    </row>
    <row r="34571" spans="1:6" x14ac:dyDescent="0.25">
      <c r="A34571" s="1" t="str">
        <f t="shared" si="1240"/>
        <v>44420</v>
      </c>
      <c r="B34571" s="1" t="str">
        <f>"24411"</f>
        <v>24411</v>
      </c>
      <c r="C34571" s="2">
        <v>0</v>
      </c>
      <c r="D34571" s="2">
        <v>0</v>
      </c>
      <c r="E34571" s="2">
        <v>4.7755491881566297E-4</v>
      </c>
      <c r="F34571" s="2">
        <v>1.48088912583114E-5</v>
      </c>
    </row>
    <row r="34572" spans="1:6" x14ac:dyDescent="0.25">
      <c r="A34572" s="1" t="str">
        <f t="shared" si="1240"/>
        <v>44420</v>
      </c>
      <c r="B34572" s="1" t="str">
        <f>"24432"</f>
        <v>24432</v>
      </c>
      <c r="C34572" s="2">
        <v>2.88796680497925E-3</v>
      </c>
      <c r="D34572" s="2">
        <v>3.8587690526721899E-4</v>
      </c>
      <c r="E34572" s="2">
        <v>4.7755491881566297E-4</v>
      </c>
      <c r="F34572" s="2">
        <v>2.6211737527211299E-3</v>
      </c>
    </row>
    <row r="34573" spans="1:6" x14ac:dyDescent="0.25">
      <c r="A34573" s="1" t="str">
        <f t="shared" si="1240"/>
        <v>44420</v>
      </c>
      <c r="B34573" s="1" t="str">
        <f>"24421"</f>
        <v>24421</v>
      </c>
      <c r="C34573" s="2">
        <v>2.6456431535269699E-2</v>
      </c>
      <c r="D34573" s="2">
        <v>5.9810920316419004E-3</v>
      </c>
      <c r="E34573" s="2">
        <v>3.3428844317096398E-3</v>
      </c>
      <c r="F34573" s="2">
        <v>2.41681105335643E-2</v>
      </c>
    </row>
    <row r="34574" spans="1:6" x14ac:dyDescent="0.25">
      <c r="A34574" s="1" t="str">
        <f t="shared" si="1240"/>
        <v>44420</v>
      </c>
      <c r="B34574" s="1" t="str">
        <f>"24479"</f>
        <v>24479</v>
      </c>
      <c r="C34574" s="2">
        <v>1.2066390041493701E-2</v>
      </c>
      <c r="D34574" s="2">
        <v>2.8940767895041402E-3</v>
      </c>
      <c r="E34574" s="2">
        <v>9.5510983763132703E-4</v>
      </c>
      <c r="F34574" s="2">
        <v>1.10178150961837E-2</v>
      </c>
    </row>
    <row r="34575" spans="1:6" x14ac:dyDescent="0.25">
      <c r="A34575" s="1" t="str">
        <f t="shared" si="1240"/>
        <v>44420</v>
      </c>
      <c r="B34575" s="1" t="str">
        <f>"24477"</f>
        <v>24477</v>
      </c>
      <c r="C34575" s="2">
        <v>8.9975103734439801E-2</v>
      </c>
      <c r="D34575" s="2">
        <v>6.9843719853366695E-2</v>
      </c>
      <c r="E34575" s="2">
        <v>7.9274116523400107E-2</v>
      </c>
      <c r="F34575" s="2">
        <v>8.8098094095694995E-2</v>
      </c>
    </row>
    <row r="34576" spans="1:6" x14ac:dyDescent="0.25">
      <c r="A34576" s="1" t="str">
        <f t="shared" si="1240"/>
        <v>44420</v>
      </c>
      <c r="B34576" s="1" t="str">
        <f>"22952"</f>
        <v>22952</v>
      </c>
      <c r="C34576" s="2">
        <v>2.0049792531120301E-2</v>
      </c>
      <c r="D34576" s="2">
        <v>1.11904302527493E-2</v>
      </c>
      <c r="E34576" s="2">
        <v>4.29799426934097E-3</v>
      </c>
      <c r="F34576" s="2">
        <v>1.8881336354347099E-2</v>
      </c>
    </row>
    <row r="34577" spans="1:6" x14ac:dyDescent="0.25">
      <c r="A34577" s="1" t="str">
        <f t="shared" si="1240"/>
        <v>44420</v>
      </c>
      <c r="B34577" s="1" t="str">
        <f>"24441"</f>
        <v>24441</v>
      </c>
      <c r="C34577" s="2">
        <v>1.6199170124481299E-2</v>
      </c>
      <c r="D34577" s="2">
        <v>2.3152614316033098E-3</v>
      </c>
      <c r="E34577" s="2">
        <v>0</v>
      </c>
      <c r="F34577" s="2">
        <v>1.46311845632117E-2</v>
      </c>
    </row>
    <row r="34578" spans="1:6" x14ac:dyDescent="0.25">
      <c r="A34578" s="1" t="str">
        <f t="shared" si="1240"/>
        <v>44420</v>
      </c>
      <c r="B34578" s="1" t="str">
        <f>"22980"</f>
        <v>22980</v>
      </c>
      <c r="C34578" s="2">
        <v>0.27965145228215699</v>
      </c>
      <c r="D34578" s="2">
        <v>0.316612000771753</v>
      </c>
      <c r="E34578" s="2">
        <v>0.35530085959885299</v>
      </c>
      <c r="F34578" s="2">
        <v>0.28483421446236301</v>
      </c>
    </row>
    <row r="34579" spans="1:6" x14ac:dyDescent="0.25">
      <c r="A34579" s="1" t="str">
        <f t="shared" si="1240"/>
        <v>44420</v>
      </c>
      <c r="B34579" s="1" t="str">
        <f>"24472"</f>
        <v>24472</v>
      </c>
      <c r="C34579" s="2">
        <v>6.5892116182572598E-3</v>
      </c>
      <c r="D34579" s="2">
        <v>9.6469226316804905E-4</v>
      </c>
      <c r="E34579" s="2">
        <v>0</v>
      </c>
      <c r="F34579" s="2">
        <v>5.9531742858412104E-3</v>
      </c>
    </row>
    <row r="34580" spans="1:6" x14ac:dyDescent="0.25">
      <c r="A34580" s="1" t="str">
        <f t="shared" si="1240"/>
        <v>44420</v>
      </c>
      <c r="B34580" s="1" t="str">
        <f>"24401"</f>
        <v>24401</v>
      </c>
      <c r="C34580" s="2">
        <v>0.30788381742738502</v>
      </c>
      <c r="D34580" s="2">
        <v>0.35153386069843701</v>
      </c>
      <c r="E34580" s="2">
        <v>0.39780324737344702</v>
      </c>
      <c r="F34580" s="2">
        <v>0.314022539132495</v>
      </c>
    </row>
    <row r="34581" spans="1:6" x14ac:dyDescent="0.25">
      <c r="A34581" s="1" t="str">
        <f t="shared" si="1240"/>
        <v>44420</v>
      </c>
      <c r="B34581" s="1" t="str">
        <f>"24483"</f>
        <v>24483</v>
      </c>
      <c r="C34581" s="2">
        <v>1.4937759336099501E-4</v>
      </c>
      <c r="D34581" s="2">
        <v>0</v>
      </c>
      <c r="E34581" s="2">
        <v>0</v>
      </c>
      <c r="F34581" s="2">
        <v>1.3328002132480301E-4</v>
      </c>
    </row>
    <row r="34582" spans="1:6" x14ac:dyDescent="0.25">
      <c r="A34582" s="1" t="str">
        <f t="shared" si="1240"/>
        <v>44420</v>
      </c>
      <c r="B34582" s="1" t="str">
        <f>"24463"</f>
        <v>24463</v>
      </c>
      <c r="C34582" s="2">
        <v>0</v>
      </c>
      <c r="D34582" s="2">
        <v>0</v>
      </c>
      <c r="E34582" s="2">
        <v>9.5510983763132703E-4</v>
      </c>
      <c r="F34582" s="2">
        <v>2.9617782516622901E-5</v>
      </c>
    </row>
    <row r="34583" spans="1:6" x14ac:dyDescent="0.25">
      <c r="A34583" s="1" t="str">
        <f t="shared" si="1240"/>
        <v>44420</v>
      </c>
      <c r="B34583" s="1" t="str">
        <f>"22967"</f>
        <v>22967</v>
      </c>
      <c r="C34583" s="2">
        <v>7.4688796680497896E-4</v>
      </c>
      <c r="D34583" s="2">
        <v>0</v>
      </c>
      <c r="E34583" s="2">
        <v>0</v>
      </c>
      <c r="F34583" s="2">
        <v>6.6640010662401695E-4</v>
      </c>
    </row>
    <row r="34584" spans="1:6" x14ac:dyDescent="0.25">
      <c r="A34584" s="1" t="str">
        <f t="shared" si="1240"/>
        <v>44420</v>
      </c>
      <c r="B34584" s="1" t="str">
        <f>"24402"</f>
        <v>24402</v>
      </c>
      <c r="C34584" s="2">
        <v>2.2954356846473001E-2</v>
      </c>
      <c r="D34584" s="2">
        <v>8.2770596179818606E-2</v>
      </c>
      <c r="E34584" s="2">
        <v>1.9102196752626499E-3</v>
      </c>
      <c r="F34584" s="2">
        <v>2.6892946525093601E-2</v>
      </c>
    </row>
    <row r="34585" spans="1:6" x14ac:dyDescent="0.25">
      <c r="A34585" s="1" t="str">
        <f t="shared" si="1240"/>
        <v>44420</v>
      </c>
      <c r="B34585" s="1" t="str">
        <f>"24469"</f>
        <v>24469</v>
      </c>
      <c r="C34585" s="2">
        <v>0</v>
      </c>
      <c r="D34585" s="2">
        <v>0</v>
      </c>
      <c r="E34585" s="2">
        <v>4.7755491881566297E-4</v>
      </c>
      <c r="F34585" s="2">
        <v>1.48088912583114E-5</v>
      </c>
    </row>
    <row r="34586" spans="1:6" x14ac:dyDescent="0.25">
      <c r="A34586" s="1" t="str">
        <f t="shared" si="1240"/>
        <v>44420</v>
      </c>
      <c r="B34586" s="1" t="str">
        <f>"24486"</f>
        <v>24486</v>
      </c>
      <c r="C34586" s="2">
        <v>2.2954356846473001E-2</v>
      </c>
      <c r="D34586" s="2">
        <v>1.7364460737024801E-2</v>
      </c>
      <c r="E34586" s="2">
        <v>1.24164278892072E-2</v>
      </c>
      <c r="F34586" s="2">
        <v>2.2198527996208899E-2</v>
      </c>
    </row>
    <row r="34587" spans="1:6" x14ac:dyDescent="0.25">
      <c r="A34587" s="1" t="str">
        <f t="shared" si="1240"/>
        <v>44420</v>
      </c>
      <c r="B34587" s="1" t="str">
        <f>"24476"</f>
        <v>24476</v>
      </c>
      <c r="C34587" s="2">
        <v>2.5560165975103701E-3</v>
      </c>
      <c r="D34587" s="2">
        <v>9.6469226316804905E-4</v>
      </c>
      <c r="E34587" s="2">
        <v>0</v>
      </c>
      <c r="F34587" s="2">
        <v>2.35461371007152E-3</v>
      </c>
    </row>
    <row r="34588" spans="1:6" x14ac:dyDescent="0.25">
      <c r="A34588" s="1" t="str">
        <f t="shared" si="1240"/>
        <v>44420</v>
      </c>
      <c r="B34588" s="1" t="str">
        <f>"22843"</f>
        <v>22843</v>
      </c>
      <c r="C34588" s="2">
        <v>1.8091286307053901E-2</v>
      </c>
      <c r="D34588" s="2">
        <v>3.4728921474049702E-3</v>
      </c>
      <c r="E34588" s="2">
        <v>1.4326647564469901E-3</v>
      </c>
      <c r="F34588" s="2">
        <v>1.6452678187984002E-2</v>
      </c>
    </row>
    <row r="34589" spans="1:6" x14ac:dyDescent="0.25">
      <c r="A34589" s="1" t="str">
        <f t="shared" si="1240"/>
        <v>44420</v>
      </c>
      <c r="B34589" s="1" t="str">
        <f>"22939"</f>
        <v>22939</v>
      </c>
      <c r="C34589" s="2">
        <v>5.3477178423236502E-2</v>
      </c>
      <c r="D34589" s="2">
        <v>8.3156473085085794E-2</v>
      </c>
      <c r="E34589" s="2">
        <v>8.5959885386819396E-2</v>
      </c>
      <c r="F34589" s="2">
        <v>5.6762480193107902E-2</v>
      </c>
    </row>
    <row r="34590" spans="1:6" x14ac:dyDescent="0.25">
      <c r="A34590" s="1" t="str">
        <f t="shared" si="1240"/>
        <v>44420</v>
      </c>
      <c r="B34590" s="1" t="str">
        <f>"24467"</f>
        <v>24467</v>
      </c>
      <c r="C34590" s="2">
        <v>1.54356846473029E-2</v>
      </c>
      <c r="D34590" s="2">
        <v>2.8940767895041402E-3</v>
      </c>
      <c r="E34590" s="2">
        <v>1.4326647564469901E-3</v>
      </c>
      <c r="F34590" s="2">
        <v>1.4038828912879201E-2</v>
      </c>
    </row>
    <row r="34591" spans="1:6" x14ac:dyDescent="0.25">
      <c r="A34591" s="1" t="str">
        <f t="shared" si="1240"/>
        <v>44420</v>
      </c>
      <c r="B34591" s="1" t="str">
        <f>"24440"</f>
        <v>24440</v>
      </c>
      <c r="C34591" s="2">
        <v>1.65975103734439E-2</v>
      </c>
      <c r="D34591" s="2">
        <v>2.8940767895041402E-3</v>
      </c>
      <c r="E34591" s="2">
        <v>3.3428844317096398E-3</v>
      </c>
      <c r="F34591" s="2">
        <v>1.51346868659943E-2</v>
      </c>
    </row>
    <row r="34592" spans="1:6" x14ac:dyDescent="0.25">
      <c r="A34592" s="1" t="str">
        <f t="shared" si="1240"/>
        <v>44420</v>
      </c>
      <c r="B34592" s="1" t="str">
        <f>"24482"</f>
        <v>24482</v>
      </c>
      <c r="C34592" s="2">
        <v>3.1004149377593299E-2</v>
      </c>
      <c r="D34592" s="2">
        <v>3.5886552189851401E-2</v>
      </c>
      <c r="E34592" s="2">
        <v>4.2502387774594003E-2</v>
      </c>
      <c r="F34592" s="2">
        <v>3.1735453966561501E-2</v>
      </c>
    </row>
    <row r="34593" spans="1:6" x14ac:dyDescent="0.25">
      <c r="A34593" s="1" t="str">
        <f t="shared" si="1240"/>
        <v>44420</v>
      </c>
      <c r="B34593" s="1" t="str">
        <f>"24430"</f>
        <v>24430</v>
      </c>
      <c r="C34593" s="2">
        <v>1.04730290456431E-2</v>
      </c>
      <c r="D34593" s="2">
        <v>2.7011383368705298E-3</v>
      </c>
      <c r="E34593" s="2">
        <v>3.8204393505253099E-3</v>
      </c>
      <c r="F34593" s="2">
        <v>9.6702059916773993E-3</v>
      </c>
    </row>
    <row r="34594" spans="1:6" x14ac:dyDescent="0.25">
      <c r="A34594" s="1" t="str">
        <f t="shared" si="1240"/>
        <v>44420</v>
      </c>
      <c r="B34594" s="1" t="str">
        <f>"24485"</f>
        <v>24485</v>
      </c>
      <c r="C34594" s="2">
        <v>4.2987551867219899E-3</v>
      </c>
      <c r="D34594" s="2">
        <v>3.8587690526721899E-4</v>
      </c>
      <c r="E34594" s="2">
        <v>4.7755491881566297E-4</v>
      </c>
      <c r="F34594" s="2">
        <v>3.8799295096776099E-3</v>
      </c>
    </row>
    <row r="34595" spans="1:6" x14ac:dyDescent="0.25">
      <c r="A34595" s="1" t="str">
        <f t="shared" si="1240"/>
        <v>44420</v>
      </c>
      <c r="B34595" s="1" t="str">
        <f>"22841"</f>
        <v>22841</v>
      </c>
      <c r="C34595" s="2">
        <v>3.8174273858921102E-4</v>
      </c>
      <c r="D34595" s="2">
        <v>1.9293845263360901E-4</v>
      </c>
      <c r="E34595" s="2">
        <v>0</v>
      </c>
      <c r="F34595" s="2">
        <v>3.5541339019947501E-4</v>
      </c>
    </row>
    <row r="34596" spans="1:6" x14ac:dyDescent="0.25">
      <c r="A34596" s="1" t="str">
        <f t="shared" si="1240"/>
        <v>44420</v>
      </c>
      <c r="B34596" s="1" t="str">
        <f>"24459"</f>
        <v>24459</v>
      </c>
      <c r="C34596" s="2">
        <v>5.7261410788381701E-3</v>
      </c>
      <c r="D34596" s="2">
        <v>3.8587690526721899E-4</v>
      </c>
      <c r="E34596" s="2">
        <v>4.7755491881566297E-4</v>
      </c>
      <c r="F34596" s="2">
        <v>5.1534941578923899E-3</v>
      </c>
    </row>
    <row r="34597" spans="1:6" x14ac:dyDescent="0.25">
      <c r="A34597" s="1" t="str">
        <f t="shared" si="1240"/>
        <v>44420</v>
      </c>
      <c r="B34597" s="1" t="str">
        <f>"22812"</f>
        <v>22812</v>
      </c>
      <c r="C34597" s="2">
        <v>5.5103734439834002E-3</v>
      </c>
      <c r="D34597" s="2">
        <v>7.7175381053443896E-4</v>
      </c>
      <c r="E34597" s="2">
        <v>0</v>
      </c>
      <c r="F34597" s="2">
        <v>4.9757874627926598E-3</v>
      </c>
    </row>
    <row r="34598" spans="1:6" x14ac:dyDescent="0.25">
      <c r="A34598" s="1" t="str">
        <f t="shared" si="1240"/>
        <v>44420</v>
      </c>
      <c r="B34598" s="1" t="str">
        <f>"24431"</f>
        <v>24431</v>
      </c>
      <c r="C34598" s="2">
        <v>1.8788381742738499E-2</v>
      </c>
      <c r="D34598" s="2">
        <v>2.7011383368705298E-3</v>
      </c>
      <c r="E34598" s="2">
        <v>2.8653295128939801E-3</v>
      </c>
      <c r="F34598" s="2">
        <v>1.7059842729574799E-2</v>
      </c>
    </row>
    <row r="34599" spans="1:6" x14ac:dyDescent="0.25">
      <c r="A34599" s="1" t="str">
        <f t="shared" ref="A34599:A34609" si="1241">"44460"</f>
        <v>44460</v>
      </c>
      <c r="B34599" s="1" t="str">
        <f>"80463"</f>
        <v>80463</v>
      </c>
      <c r="C34599" s="2">
        <v>8.3600390135153896E-4</v>
      </c>
      <c r="D34599" s="2">
        <v>6.8259385665529E-4</v>
      </c>
      <c r="E34599" s="2">
        <v>0</v>
      </c>
      <c r="F34599" s="2">
        <v>7.8678206136900003E-4</v>
      </c>
    </row>
    <row r="34600" spans="1:6" x14ac:dyDescent="0.25">
      <c r="A34600" s="1" t="str">
        <f t="shared" si="1241"/>
        <v>44460</v>
      </c>
      <c r="B34600" s="1" t="str">
        <f>"81638"</f>
        <v>81638</v>
      </c>
      <c r="C34600" s="2">
        <v>1.3933398355858899E-4</v>
      </c>
      <c r="D34600" s="2">
        <v>0</v>
      </c>
      <c r="E34600" s="2">
        <v>0</v>
      </c>
      <c r="F34600" s="2">
        <v>1.21043394056769E-4</v>
      </c>
    </row>
    <row r="34601" spans="1:6" x14ac:dyDescent="0.25">
      <c r="A34601" s="1" t="str">
        <f t="shared" si="1241"/>
        <v>44460</v>
      </c>
      <c r="B34601" s="1" t="str">
        <f>"81639"</f>
        <v>81639</v>
      </c>
      <c r="C34601" s="2">
        <v>6.13069527657795E-3</v>
      </c>
      <c r="D34601" s="2">
        <v>1.36518771331058E-3</v>
      </c>
      <c r="E34601" s="2">
        <v>1.4204545454545401E-3</v>
      </c>
      <c r="F34601" s="2">
        <v>5.5074744295830003E-3</v>
      </c>
    </row>
    <row r="34602" spans="1:6" x14ac:dyDescent="0.25">
      <c r="A34602" s="1" t="str">
        <f t="shared" si="1241"/>
        <v>44460</v>
      </c>
      <c r="B34602" s="1" t="str">
        <f>"80477"</f>
        <v>80477</v>
      </c>
      <c r="C34602" s="2">
        <v>0.32757419534624399</v>
      </c>
      <c r="D34602" s="2">
        <v>0.36928327645051101</v>
      </c>
      <c r="E34602" s="2">
        <v>2.8409090909090901E-3</v>
      </c>
      <c r="F34602" s="2">
        <v>0.31743630091387698</v>
      </c>
    </row>
    <row r="34603" spans="1:6" x14ac:dyDescent="0.25">
      <c r="A34603" s="1" t="str">
        <f t="shared" si="1241"/>
        <v>44460</v>
      </c>
      <c r="B34603" s="1" t="str">
        <f>"80487"</f>
        <v>80487</v>
      </c>
      <c r="C34603" s="2">
        <v>0.54458687473874801</v>
      </c>
      <c r="D34603" s="2">
        <v>0.62116040955631302</v>
      </c>
      <c r="E34603" s="2">
        <v>0.85369318181818099</v>
      </c>
      <c r="F34603" s="2">
        <v>0.56454638988077199</v>
      </c>
    </row>
    <row r="34604" spans="1:6" x14ac:dyDescent="0.25">
      <c r="A34604" s="1" t="str">
        <f t="shared" si="1241"/>
        <v>44460</v>
      </c>
      <c r="B34604" s="1" t="str">
        <f>"80467"</f>
        <v>80467</v>
      </c>
      <c r="C34604" s="2">
        <v>8.9034415493938895E-2</v>
      </c>
      <c r="D34604" s="2">
        <v>4.7781569965870303E-3</v>
      </c>
      <c r="E34604" s="2">
        <v>0.115056818181818</v>
      </c>
      <c r="F34604" s="2">
        <v>8.26726381407734E-2</v>
      </c>
    </row>
    <row r="34605" spans="1:6" x14ac:dyDescent="0.25">
      <c r="A34605" s="1" t="str">
        <f t="shared" si="1241"/>
        <v>44460</v>
      </c>
      <c r="B34605" s="1" t="str">
        <f>"81625"</f>
        <v>81625</v>
      </c>
      <c r="C34605" s="2">
        <v>3.48334958896474E-4</v>
      </c>
      <c r="D34605" s="2">
        <v>0</v>
      </c>
      <c r="E34605" s="2">
        <v>0</v>
      </c>
      <c r="F34605" s="2">
        <v>3.02608485141923E-4</v>
      </c>
    </row>
    <row r="34606" spans="1:6" x14ac:dyDescent="0.25">
      <c r="A34606" s="1" t="str">
        <f t="shared" si="1241"/>
        <v>44460</v>
      </c>
      <c r="B34606" s="1" t="str">
        <f>"80483"</f>
        <v>80483</v>
      </c>
      <c r="C34606" s="2">
        <v>1.8043750870837299E-2</v>
      </c>
      <c r="D34606" s="2">
        <v>0</v>
      </c>
      <c r="E34606" s="2">
        <v>2.13068181818181E-2</v>
      </c>
      <c r="F34606" s="2">
        <v>1.6582944985777399E-2</v>
      </c>
    </row>
    <row r="34607" spans="1:6" x14ac:dyDescent="0.25">
      <c r="A34607" s="1" t="str">
        <f t="shared" si="1241"/>
        <v>44460</v>
      </c>
      <c r="B34607" s="1" t="str">
        <f>"80469"</f>
        <v>80469</v>
      </c>
      <c r="C34607" s="2">
        <v>8.7083739724118699E-3</v>
      </c>
      <c r="D34607" s="2">
        <v>0</v>
      </c>
      <c r="E34607" s="2">
        <v>1.4204545454545401E-3</v>
      </c>
      <c r="F34607" s="2">
        <v>7.6257338255764596E-3</v>
      </c>
    </row>
    <row r="34608" spans="1:6" x14ac:dyDescent="0.25">
      <c r="A34608" s="1" t="str">
        <f t="shared" si="1241"/>
        <v>44460</v>
      </c>
      <c r="B34608" s="1" t="str">
        <f>"80479"</f>
        <v>80479</v>
      </c>
      <c r="C34608" s="2">
        <v>1.88100877804096E-3</v>
      </c>
      <c r="D34608" s="2">
        <v>0</v>
      </c>
      <c r="E34608" s="2">
        <v>1.4204545454545401E-3</v>
      </c>
      <c r="F34608" s="2">
        <v>1.6946075167947701E-3</v>
      </c>
    </row>
    <row r="34609" spans="1:6" x14ac:dyDescent="0.25">
      <c r="A34609" s="1" t="str">
        <f t="shared" si="1241"/>
        <v>44460</v>
      </c>
      <c r="B34609" s="1" t="str">
        <f>"80428"</f>
        <v>80428</v>
      </c>
      <c r="C34609" s="2">
        <v>2.7170126793925001E-3</v>
      </c>
      <c r="D34609" s="2">
        <v>2.73037542662116E-3</v>
      </c>
      <c r="E34609" s="2">
        <v>2.8409090909090901E-3</v>
      </c>
      <c r="F34609" s="2">
        <v>2.72347636627731E-3</v>
      </c>
    </row>
    <row r="34610" spans="1:6" x14ac:dyDescent="0.25">
      <c r="A34610" s="1" t="str">
        <f t="shared" ref="A34610:A34625" si="1242">"44500"</f>
        <v>44500</v>
      </c>
      <c r="B34610" s="1" t="str">
        <f>"76465"</f>
        <v>76465</v>
      </c>
      <c r="C34610" s="2">
        <v>4.9224710804823998E-5</v>
      </c>
      <c r="D34610" s="2">
        <v>0</v>
      </c>
      <c r="E34610" s="2">
        <v>0</v>
      </c>
      <c r="F34610" s="2">
        <v>4.3777087072626098E-5</v>
      </c>
    </row>
    <row r="34611" spans="1:6" x14ac:dyDescent="0.25">
      <c r="A34611" s="1" t="str">
        <f t="shared" si="1242"/>
        <v>44500</v>
      </c>
      <c r="B34611" s="1" t="str">
        <f>"76433"</f>
        <v>76433</v>
      </c>
      <c r="C34611" s="2">
        <v>3.1159241939453599E-2</v>
      </c>
      <c r="D34611" s="2">
        <v>3.55149670218163E-3</v>
      </c>
      <c r="E34611" s="2">
        <v>5.3859964093357204E-3</v>
      </c>
      <c r="F34611" s="2">
        <v>2.8148666987698599E-2</v>
      </c>
    </row>
    <row r="34612" spans="1:6" x14ac:dyDescent="0.25">
      <c r="A34612" s="1" t="str">
        <f t="shared" si="1242"/>
        <v>44500</v>
      </c>
      <c r="B34612" s="1" t="str">
        <f>"76649"</f>
        <v>76649</v>
      </c>
      <c r="C34612" s="2">
        <v>1.5259660349495399E-3</v>
      </c>
      <c r="D34612" s="2">
        <v>5.0735667174023303E-4</v>
      </c>
      <c r="E34612" s="2">
        <v>0</v>
      </c>
      <c r="F34612" s="2">
        <v>1.4008667863240299E-3</v>
      </c>
    </row>
    <row r="34613" spans="1:6" x14ac:dyDescent="0.25">
      <c r="A34613" s="1" t="str">
        <f t="shared" si="1242"/>
        <v>44500</v>
      </c>
      <c r="B34613" s="1" t="str">
        <f>"76462"</f>
        <v>76462</v>
      </c>
      <c r="C34613" s="2">
        <v>9.1065714988924403E-3</v>
      </c>
      <c r="D34613" s="2">
        <v>1.01471334348046E-3</v>
      </c>
      <c r="E34613" s="2">
        <v>1.79533213644524E-3</v>
      </c>
      <c r="F34613" s="2">
        <v>8.2300923696537204E-3</v>
      </c>
    </row>
    <row r="34614" spans="1:6" x14ac:dyDescent="0.25">
      <c r="A34614" s="1" t="str">
        <f t="shared" si="1242"/>
        <v>44500</v>
      </c>
      <c r="B34614" s="1" t="str">
        <f>"76457"</f>
        <v>76457</v>
      </c>
      <c r="C34614" s="2">
        <v>3.4506522274181599E-2</v>
      </c>
      <c r="D34614" s="2">
        <v>5.58092338914256E-3</v>
      </c>
      <c r="E34614" s="2">
        <v>1.43626570915619E-2</v>
      </c>
      <c r="F34614" s="2">
        <v>3.1519502692290799E-2</v>
      </c>
    </row>
    <row r="34615" spans="1:6" x14ac:dyDescent="0.25">
      <c r="A34615" s="1" t="str">
        <f t="shared" si="1242"/>
        <v>44500</v>
      </c>
      <c r="B34615" s="1" t="str">
        <f>"76446"</f>
        <v>76446</v>
      </c>
      <c r="C34615" s="2">
        <v>0.17691361063253699</v>
      </c>
      <c r="D34615" s="2">
        <v>0.13850837138508301</v>
      </c>
      <c r="E34615" s="2">
        <v>9.5152603231597799E-2</v>
      </c>
      <c r="F34615" s="2">
        <v>0.17160618132469399</v>
      </c>
    </row>
    <row r="34616" spans="1:6" x14ac:dyDescent="0.25">
      <c r="A34616" s="1" t="str">
        <f t="shared" si="1242"/>
        <v>44500</v>
      </c>
      <c r="B34616" s="1" t="str">
        <f>"76461"</f>
        <v>76461</v>
      </c>
      <c r="C34616" s="2">
        <v>0</v>
      </c>
      <c r="D34616" s="2">
        <v>0</v>
      </c>
      <c r="E34616" s="2">
        <v>1.79533213644524E-3</v>
      </c>
      <c r="F34616" s="2">
        <v>4.3777087072626098E-5</v>
      </c>
    </row>
    <row r="34617" spans="1:6" x14ac:dyDescent="0.25">
      <c r="A34617" s="1" t="str">
        <f t="shared" si="1242"/>
        <v>44500</v>
      </c>
      <c r="B34617" s="1" t="str">
        <f>"76445"</f>
        <v>76445</v>
      </c>
      <c r="C34617" s="2">
        <v>7.8759537287718397E-4</v>
      </c>
      <c r="D34617" s="2">
        <v>5.0735667174023303E-4</v>
      </c>
      <c r="E34617" s="2">
        <v>1.79533213644524E-3</v>
      </c>
      <c r="F34617" s="2">
        <v>7.8798756730727101E-4</v>
      </c>
    </row>
    <row r="34618" spans="1:6" x14ac:dyDescent="0.25">
      <c r="A34618" s="1" t="str">
        <f t="shared" si="1242"/>
        <v>44500</v>
      </c>
      <c r="B34618" s="1" t="str">
        <f>"76463"</f>
        <v>76463</v>
      </c>
      <c r="C34618" s="2">
        <v>6.2515382722126501E-3</v>
      </c>
      <c r="D34618" s="2">
        <v>5.58092338914256E-3</v>
      </c>
      <c r="E34618" s="2">
        <v>1.79533213644524E-3</v>
      </c>
      <c r="F34618" s="2">
        <v>6.0850151030950404E-3</v>
      </c>
    </row>
    <row r="34619" spans="1:6" x14ac:dyDescent="0.25">
      <c r="A34619" s="1" t="str">
        <f t="shared" si="1242"/>
        <v>44500</v>
      </c>
      <c r="B34619" s="1" t="str">
        <f>"76402"</f>
        <v>76402</v>
      </c>
      <c r="C34619" s="2">
        <v>0</v>
      </c>
      <c r="D34619" s="2">
        <v>5.0735667174023303E-4</v>
      </c>
      <c r="E34619" s="2">
        <v>0</v>
      </c>
      <c r="F34619" s="2">
        <v>4.3777087072626098E-5</v>
      </c>
    </row>
    <row r="34620" spans="1:6" x14ac:dyDescent="0.25">
      <c r="A34620" s="1" t="str">
        <f t="shared" si="1242"/>
        <v>44500</v>
      </c>
      <c r="B34620" s="1" t="str">
        <f>"76401"</f>
        <v>76401</v>
      </c>
      <c r="C34620" s="2">
        <v>0.73590942653211899</v>
      </c>
      <c r="D34620" s="2">
        <v>0.84170471841704697</v>
      </c>
      <c r="E34620" s="2">
        <v>0.87791741472172302</v>
      </c>
      <c r="F34620" s="2">
        <v>0.74850063476776196</v>
      </c>
    </row>
    <row r="34621" spans="1:6" x14ac:dyDescent="0.25">
      <c r="A34621" s="1" t="str">
        <f t="shared" si="1242"/>
        <v>44500</v>
      </c>
      <c r="B34621" s="1" t="str">
        <f>"76436"</f>
        <v>76436</v>
      </c>
      <c r="C34621" s="2">
        <v>2.4612355402411999E-4</v>
      </c>
      <c r="D34621" s="2">
        <v>5.0735667174023303E-4</v>
      </c>
      <c r="E34621" s="2">
        <v>0</v>
      </c>
      <c r="F34621" s="2">
        <v>2.6266252243575702E-4</v>
      </c>
    </row>
    <row r="34622" spans="1:6" x14ac:dyDescent="0.25">
      <c r="A34622" s="1" t="str">
        <f t="shared" si="1242"/>
        <v>44500</v>
      </c>
      <c r="B34622" s="1" t="str">
        <f>"76453"</f>
        <v>76453</v>
      </c>
      <c r="C34622" s="2">
        <v>2.8550332266797898E-3</v>
      </c>
      <c r="D34622" s="2">
        <v>1.5220700152207001E-3</v>
      </c>
      <c r="E34622" s="2">
        <v>0</v>
      </c>
      <c r="F34622" s="2">
        <v>2.6704023114301899E-3</v>
      </c>
    </row>
    <row r="34623" spans="1:6" x14ac:dyDescent="0.25">
      <c r="A34623" s="1" t="str">
        <f t="shared" si="1242"/>
        <v>44500</v>
      </c>
      <c r="B34623" s="1" t="str">
        <f>"76470"</f>
        <v>76470</v>
      </c>
      <c r="C34623" s="2">
        <v>1.9689884321929599E-4</v>
      </c>
      <c r="D34623" s="2">
        <v>5.0735667174023303E-4</v>
      </c>
      <c r="E34623" s="2">
        <v>0</v>
      </c>
      <c r="F34623" s="2">
        <v>2.1888543536313E-4</v>
      </c>
    </row>
    <row r="34624" spans="1:6" x14ac:dyDescent="0.25">
      <c r="A34624" s="1" t="str">
        <f t="shared" si="1242"/>
        <v>44500</v>
      </c>
      <c r="B34624" s="1" t="str">
        <f>"76444"</f>
        <v>76444</v>
      </c>
      <c r="C34624" s="2">
        <v>4.4302239724341601E-4</v>
      </c>
      <c r="D34624" s="2">
        <v>0</v>
      </c>
      <c r="E34624" s="2">
        <v>0</v>
      </c>
      <c r="F34624" s="2">
        <v>3.9399378365363502E-4</v>
      </c>
    </row>
    <row r="34625" spans="1:6" x14ac:dyDescent="0.25">
      <c r="A34625" s="1" t="str">
        <f t="shared" si="1242"/>
        <v>44500</v>
      </c>
      <c r="B34625" s="1" t="str">
        <f>"76690"</f>
        <v>76690</v>
      </c>
      <c r="C34625" s="2">
        <v>4.9224710804823998E-5</v>
      </c>
      <c r="D34625" s="2">
        <v>0</v>
      </c>
      <c r="E34625" s="2">
        <v>0</v>
      </c>
      <c r="F34625" s="2">
        <v>4.3777087072626098E-5</v>
      </c>
    </row>
    <row r="34626" spans="1:6" x14ac:dyDescent="0.25">
      <c r="A34626" s="1" t="str">
        <f t="shared" ref="A34626:A34634" si="1243">"44540"</f>
        <v>44540</v>
      </c>
      <c r="B34626" s="1" t="str">
        <f>"80751"</f>
        <v>80751</v>
      </c>
      <c r="C34626" s="2">
        <v>0.80456206400177099</v>
      </c>
      <c r="D34626" s="2">
        <v>0.96059637912673002</v>
      </c>
      <c r="E34626" s="2">
        <v>0.942922374429223</v>
      </c>
      <c r="F34626" s="2">
        <v>0.82446195234435005</v>
      </c>
    </row>
    <row r="34627" spans="1:6" x14ac:dyDescent="0.25">
      <c r="A34627" s="1" t="str">
        <f t="shared" si="1243"/>
        <v>44540</v>
      </c>
      <c r="B34627" s="1" t="str">
        <f>"80731"</f>
        <v>80731</v>
      </c>
      <c r="C34627" s="2">
        <v>6.5330528180710798E-3</v>
      </c>
      <c r="D34627" s="2">
        <v>5.3248136315228898E-3</v>
      </c>
      <c r="E34627" s="2">
        <v>0</v>
      </c>
      <c r="F34627" s="2">
        <v>6.14911606456571E-3</v>
      </c>
    </row>
    <row r="34628" spans="1:6" x14ac:dyDescent="0.25">
      <c r="A34628" s="1" t="str">
        <f t="shared" si="1243"/>
        <v>44540</v>
      </c>
      <c r="B34628" s="1" t="str">
        <f>"80722"</f>
        <v>80722</v>
      </c>
      <c r="C34628" s="2">
        <v>1.9488428745432301E-2</v>
      </c>
      <c r="D34628" s="2">
        <v>6.3897763578274697E-3</v>
      </c>
      <c r="E34628" s="2">
        <v>2.2831050228310501E-3</v>
      </c>
      <c r="F34628" s="2">
        <v>1.75826287471176E-2</v>
      </c>
    </row>
    <row r="34629" spans="1:6" x14ac:dyDescent="0.25">
      <c r="A34629" s="1" t="str">
        <f t="shared" si="1243"/>
        <v>44540</v>
      </c>
      <c r="B34629" s="1" t="str">
        <f>"80736"</f>
        <v>80736</v>
      </c>
      <c r="C34629" s="2">
        <v>2.3806887387886101E-2</v>
      </c>
      <c r="D34629" s="2">
        <v>9.5846645367412102E-3</v>
      </c>
      <c r="E34629" s="2">
        <v>1.5981735159817299E-2</v>
      </c>
      <c r="F34629" s="2">
        <v>2.2194465795541799E-2</v>
      </c>
    </row>
    <row r="34630" spans="1:6" x14ac:dyDescent="0.25">
      <c r="A34630" s="1" t="str">
        <f t="shared" si="1243"/>
        <v>44540</v>
      </c>
      <c r="B34630" s="1" t="str">
        <f>"80726"</f>
        <v>80726</v>
      </c>
      <c r="C34630" s="2">
        <v>2.3363968552762699E-2</v>
      </c>
      <c r="D34630" s="2">
        <v>4.25985090521831E-3</v>
      </c>
      <c r="E34630" s="2">
        <v>2.2831050228310501E-3</v>
      </c>
      <c r="F34630" s="2">
        <v>2.0753266717909301E-2</v>
      </c>
    </row>
    <row r="34631" spans="1:6" x14ac:dyDescent="0.25">
      <c r="A34631" s="1" t="str">
        <f t="shared" si="1243"/>
        <v>44540</v>
      </c>
      <c r="B34631" s="1" t="str">
        <f>"80747"</f>
        <v>80747</v>
      </c>
      <c r="C34631" s="2">
        <v>2.3474698261543501E-2</v>
      </c>
      <c r="D34631" s="2">
        <v>2.1299254526091502E-3</v>
      </c>
      <c r="E34631" s="2">
        <v>6.8493150684931503E-3</v>
      </c>
      <c r="F34631" s="2">
        <v>2.0849346656418102E-2</v>
      </c>
    </row>
    <row r="34632" spans="1:6" x14ac:dyDescent="0.25">
      <c r="A34632" s="1" t="str">
        <f t="shared" si="1243"/>
        <v>44540</v>
      </c>
      <c r="B34632" s="1" t="str">
        <f>"80745"</f>
        <v>80745</v>
      </c>
      <c r="C34632" s="2">
        <v>7.6403499058797404E-3</v>
      </c>
      <c r="D34632" s="2">
        <v>1.0649627263045699E-3</v>
      </c>
      <c r="E34632" s="2">
        <v>0</v>
      </c>
      <c r="F34632" s="2">
        <v>6.7255956956187501E-3</v>
      </c>
    </row>
    <row r="34633" spans="1:6" x14ac:dyDescent="0.25">
      <c r="A34633" s="1" t="str">
        <f t="shared" si="1243"/>
        <v>44540</v>
      </c>
      <c r="B34633" s="1" t="str">
        <f>"80728"</f>
        <v>80728</v>
      </c>
      <c r="C34633" s="2">
        <v>4.7503045066991399E-2</v>
      </c>
      <c r="D34633" s="2">
        <v>8.5197018104366303E-3</v>
      </c>
      <c r="E34633" s="2">
        <v>1.3698630136986301E-2</v>
      </c>
      <c r="F34633" s="2">
        <v>4.2563412759415803E-2</v>
      </c>
    </row>
    <row r="34634" spans="1:6" x14ac:dyDescent="0.25">
      <c r="A34634" s="1" t="str">
        <f t="shared" si="1243"/>
        <v>44540</v>
      </c>
      <c r="B34634" s="1" t="str">
        <f>"80741"</f>
        <v>80741</v>
      </c>
      <c r="C34634" s="2">
        <v>4.3627505259661102E-2</v>
      </c>
      <c r="D34634" s="2">
        <v>2.1299254526091502E-3</v>
      </c>
      <c r="E34634" s="2">
        <v>1.5981735159817299E-2</v>
      </c>
      <c r="F34634" s="2">
        <v>3.8720215219062201E-2</v>
      </c>
    </row>
    <row r="34635" spans="1:6" x14ac:dyDescent="0.25">
      <c r="A34635" s="1" t="str">
        <f t="shared" ref="A34635:A34652" si="1244">"44580"</f>
        <v>44580</v>
      </c>
      <c r="B34635" s="1" t="str">
        <f>"61261"</f>
        <v>61261</v>
      </c>
      <c r="C34635" s="2">
        <v>1.82271323884983E-2</v>
      </c>
      <c r="D34635" s="2">
        <v>5.5839925546765897E-3</v>
      </c>
      <c r="E34635" s="2">
        <v>0</v>
      </c>
      <c r="F34635" s="2">
        <v>1.6756792843313901E-2</v>
      </c>
    </row>
    <row r="34636" spans="1:6" x14ac:dyDescent="0.25">
      <c r="A34636" s="1" t="str">
        <f t="shared" si="1244"/>
        <v>44580</v>
      </c>
      <c r="B34636" s="1" t="str">
        <f>"61283"</f>
        <v>61283</v>
      </c>
      <c r="C34636" s="2">
        <v>1.9380277498790999E-2</v>
      </c>
      <c r="D34636" s="2">
        <v>4.6533271288971599E-3</v>
      </c>
      <c r="E34636" s="2">
        <v>3.2397408207343399E-3</v>
      </c>
      <c r="F34636" s="2">
        <v>1.7824954936911601E-2</v>
      </c>
    </row>
    <row r="34637" spans="1:6" x14ac:dyDescent="0.25">
      <c r="A34637" s="1" t="str">
        <f t="shared" si="1244"/>
        <v>44580</v>
      </c>
      <c r="B34637" s="1" t="str">
        <f>"61250"</f>
        <v>61250</v>
      </c>
      <c r="C34637" s="2">
        <v>4.5605029200609999E-2</v>
      </c>
      <c r="D34637" s="2">
        <v>1.1633317822242899E-2</v>
      </c>
      <c r="E34637" s="2">
        <v>1.9438444924405999E-2</v>
      </c>
      <c r="F34637" s="2">
        <v>4.2359303024233901E-2</v>
      </c>
    </row>
    <row r="34638" spans="1:6" x14ac:dyDescent="0.25">
      <c r="A34638" s="1" t="str">
        <f t="shared" si="1244"/>
        <v>44580</v>
      </c>
      <c r="B34638" s="1" t="str">
        <f>"61230"</f>
        <v>61230</v>
      </c>
      <c r="C34638" s="2">
        <v>2.2058550013019301E-2</v>
      </c>
      <c r="D34638" s="2">
        <v>3.7226617031177198E-3</v>
      </c>
      <c r="E34638" s="2">
        <v>2.15982721382289E-3</v>
      </c>
      <c r="F34638" s="2">
        <v>2.0128179451231701E-2</v>
      </c>
    </row>
    <row r="34639" spans="1:6" x14ac:dyDescent="0.25">
      <c r="A34639" s="1" t="str">
        <f t="shared" si="1244"/>
        <v>44580</v>
      </c>
      <c r="B34639" s="1" t="str">
        <f>"61071"</f>
        <v>61071</v>
      </c>
      <c r="C34639" s="2">
        <v>0.24104452628054901</v>
      </c>
      <c r="D34639" s="2">
        <v>0.242903676128431</v>
      </c>
      <c r="E34639" s="2">
        <v>0.220302375809935</v>
      </c>
      <c r="F34639" s="2">
        <v>0.24053675145203199</v>
      </c>
    </row>
    <row r="34640" spans="1:6" x14ac:dyDescent="0.25">
      <c r="A34640" s="1" t="str">
        <f t="shared" si="1244"/>
        <v>44580</v>
      </c>
      <c r="B34640" s="1" t="str">
        <f>"61014"</f>
        <v>61014</v>
      </c>
      <c r="C34640" s="2">
        <v>2.8642636610497299E-3</v>
      </c>
      <c r="D34640" s="2">
        <v>4.6533271288971601E-4</v>
      </c>
      <c r="E34640" s="2">
        <v>0</v>
      </c>
      <c r="F34640" s="2">
        <v>2.6036451031444001E-3</v>
      </c>
    </row>
    <row r="34641" spans="1:6" x14ac:dyDescent="0.25">
      <c r="A34641" s="1" t="str">
        <f t="shared" si="1244"/>
        <v>44580</v>
      </c>
      <c r="B34641" s="1" t="str">
        <f>"61251"</f>
        <v>61251</v>
      </c>
      <c r="C34641" s="2">
        <v>6.0261131570137202E-3</v>
      </c>
      <c r="D34641" s="2">
        <v>2.7919962773382901E-3</v>
      </c>
      <c r="E34641" s="2">
        <v>0</v>
      </c>
      <c r="F34641" s="2">
        <v>5.6078509913879398E-3</v>
      </c>
    </row>
    <row r="34642" spans="1:6" x14ac:dyDescent="0.25">
      <c r="A34642" s="1" t="str">
        <f t="shared" si="1244"/>
        <v>44580</v>
      </c>
      <c r="B34642" s="1" t="str">
        <f>"61042"</f>
        <v>61042</v>
      </c>
      <c r="C34642" s="2">
        <v>7.4396458728564504E-5</v>
      </c>
      <c r="D34642" s="2">
        <v>0</v>
      </c>
      <c r="E34642" s="2">
        <v>0</v>
      </c>
      <c r="F34642" s="2">
        <v>6.67601308498564E-5</v>
      </c>
    </row>
    <row r="34643" spans="1:6" x14ac:dyDescent="0.25">
      <c r="A34643" s="1" t="str">
        <f t="shared" si="1244"/>
        <v>44580</v>
      </c>
      <c r="B34643" s="1" t="str">
        <f>"61252"</f>
        <v>61252</v>
      </c>
      <c r="C34643" s="2">
        <v>0.10058401220101899</v>
      </c>
      <c r="D34643" s="2">
        <v>0.112610516519311</v>
      </c>
      <c r="E34643" s="2">
        <v>8.3153347732181401E-2</v>
      </c>
      <c r="F34643" s="2">
        <v>0.100907937779558</v>
      </c>
    </row>
    <row r="34644" spans="1:6" x14ac:dyDescent="0.25">
      <c r="A34644" s="1" t="str">
        <f t="shared" si="1244"/>
        <v>44580</v>
      </c>
      <c r="B34644" s="1" t="str">
        <f>"61037"</f>
        <v>61037</v>
      </c>
      <c r="C34644" s="2">
        <v>0</v>
      </c>
      <c r="D34644" s="2">
        <v>0</v>
      </c>
      <c r="E34644" s="2">
        <v>1.07991360691144E-3</v>
      </c>
      <c r="F34644" s="2">
        <v>3.33800654249282E-5</v>
      </c>
    </row>
    <row r="34645" spans="1:6" x14ac:dyDescent="0.25">
      <c r="A34645" s="1" t="str">
        <f t="shared" si="1244"/>
        <v>44580</v>
      </c>
      <c r="B34645" s="1" t="str">
        <f>"61081"</f>
        <v>61081</v>
      </c>
      <c r="C34645" s="2">
        <v>0.36495182829297301</v>
      </c>
      <c r="D34645" s="2">
        <v>0.43089809213587699</v>
      </c>
      <c r="E34645" s="2">
        <v>0.51511879049676002</v>
      </c>
      <c r="F34645" s="2">
        <v>0.37432405367514499</v>
      </c>
    </row>
    <row r="34646" spans="1:6" x14ac:dyDescent="0.25">
      <c r="A34646" s="1" t="str">
        <f t="shared" si="1244"/>
        <v>44580</v>
      </c>
      <c r="B34646" s="1" t="str">
        <f>"61064"</f>
        <v>61064</v>
      </c>
      <c r="C34646" s="2">
        <v>1.4879291745712901E-4</v>
      </c>
      <c r="D34646" s="2">
        <v>0</v>
      </c>
      <c r="E34646" s="2">
        <v>0</v>
      </c>
      <c r="F34646" s="2">
        <v>1.3352026169971201E-4</v>
      </c>
    </row>
    <row r="34647" spans="1:6" x14ac:dyDescent="0.25">
      <c r="A34647" s="1" t="str">
        <f t="shared" si="1244"/>
        <v>44580</v>
      </c>
      <c r="B34647" s="1" t="str">
        <f>"61277"</f>
        <v>61277</v>
      </c>
      <c r="C34647" s="2">
        <v>5.02548078711453E-2</v>
      </c>
      <c r="D34647" s="2">
        <v>5.5839925546765902E-2</v>
      </c>
      <c r="E34647" s="2">
        <v>2.9157667386609E-2</v>
      </c>
      <c r="F34647" s="2">
        <v>5.00033380065424E-2</v>
      </c>
    </row>
    <row r="34648" spans="1:6" x14ac:dyDescent="0.25">
      <c r="A34648" s="1" t="str">
        <f t="shared" si="1244"/>
        <v>44580</v>
      </c>
      <c r="B34648" s="1" t="str">
        <f>"61376"</f>
        <v>61376</v>
      </c>
      <c r="C34648" s="2">
        <v>3.7198229364282198E-5</v>
      </c>
      <c r="D34648" s="2">
        <v>0</v>
      </c>
      <c r="E34648" s="2">
        <v>0</v>
      </c>
      <c r="F34648" s="2">
        <v>3.33800654249282E-5</v>
      </c>
    </row>
    <row r="34649" spans="1:6" x14ac:dyDescent="0.25">
      <c r="A34649" s="1" t="str">
        <f t="shared" si="1244"/>
        <v>44580</v>
      </c>
      <c r="B34649" s="1" t="str">
        <f>"61254"</f>
        <v>61254</v>
      </c>
      <c r="C34649" s="2">
        <v>3.7198229364282198E-5</v>
      </c>
      <c r="D34649" s="2">
        <v>0</v>
      </c>
      <c r="E34649" s="2">
        <v>0</v>
      </c>
      <c r="F34649" s="2">
        <v>3.33800654249282E-5</v>
      </c>
    </row>
    <row r="34650" spans="1:6" x14ac:dyDescent="0.25">
      <c r="A34650" s="1" t="str">
        <f t="shared" si="1244"/>
        <v>44580</v>
      </c>
      <c r="B34650" s="1" t="str">
        <f>"61051"</f>
        <v>61051</v>
      </c>
      <c r="C34650" s="2">
        <v>2.23189376185693E-4</v>
      </c>
      <c r="D34650" s="2">
        <v>0</v>
      </c>
      <c r="E34650" s="2">
        <v>0</v>
      </c>
      <c r="F34650" s="2">
        <v>2.00280392549569E-4</v>
      </c>
    </row>
    <row r="34651" spans="1:6" x14ac:dyDescent="0.25">
      <c r="A34651" s="1" t="str">
        <f t="shared" si="1244"/>
        <v>44580</v>
      </c>
      <c r="B34651" s="1" t="str">
        <f>"61243"</f>
        <v>61243</v>
      </c>
      <c r="C34651" s="2">
        <v>3.7942193951567898E-3</v>
      </c>
      <c r="D34651" s="2">
        <v>2.32666356444858E-3</v>
      </c>
      <c r="E34651" s="2">
        <v>0</v>
      </c>
      <c r="F34651" s="2">
        <v>3.5716670004673199E-3</v>
      </c>
    </row>
    <row r="34652" spans="1:6" x14ac:dyDescent="0.25">
      <c r="A34652" s="1" t="str">
        <f t="shared" si="1244"/>
        <v>44580</v>
      </c>
      <c r="B34652" s="1" t="str">
        <f>"61270"</f>
        <v>61270</v>
      </c>
      <c r="C34652" s="2">
        <v>0.124688464829074</v>
      </c>
      <c r="D34652" s="2">
        <v>0.126570497906002</v>
      </c>
      <c r="E34652" s="2">
        <v>0.126349892008639</v>
      </c>
      <c r="F34652" s="2">
        <v>0.124874824754656</v>
      </c>
    </row>
    <row r="34653" spans="1:6" x14ac:dyDescent="0.25">
      <c r="A34653" s="1" t="str">
        <f t="shared" ref="A34653:A34674" si="1245">"44620"</f>
        <v>44620</v>
      </c>
      <c r="B34653" s="1" t="str">
        <f>"54443"</f>
        <v>54443</v>
      </c>
      <c r="C34653" s="2">
        <v>3.4066474166001101E-2</v>
      </c>
      <c r="D34653" s="2">
        <v>5.8848255569567002E-3</v>
      </c>
      <c r="E34653" s="2">
        <v>3.9215686274509803E-3</v>
      </c>
      <c r="F34653" s="2">
        <v>3.11533362792752E-2</v>
      </c>
    </row>
    <row r="34654" spans="1:6" x14ac:dyDescent="0.25">
      <c r="A34654" s="1" t="str">
        <f t="shared" si="1245"/>
        <v>44620</v>
      </c>
      <c r="B34654" s="1" t="str">
        <f>"54475"</f>
        <v>54475</v>
      </c>
      <c r="C34654" s="2">
        <v>1.41303680039319E-3</v>
      </c>
      <c r="D34654" s="2">
        <v>4.2034468263976401E-4</v>
      </c>
      <c r="E34654" s="2">
        <v>0</v>
      </c>
      <c r="F34654" s="2">
        <v>1.29805567830313E-3</v>
      </c>
    </row>
    <row r="34655" spans="1:6" x14ac:dyDescent="0.25">
      <c r="A34655" s="1" t="str">
        <f t="shared" si="1245"/>
        <v>44620</v>
      </c>
      <c r="B34655" s="1" t="str">
        <f>"54966"</f>
        <v>54966</v>
      </c>
      <c r="C34655" s="2">
        <v>3.6861829575474498E-3</v>
      </c>
      <c r="D34655" s="2">
        <v>2.5220680958385798E-3</v>
      </c>
      <c r="E34655" s="2">
        <v>7.8431372549019605E-4</v>
      </c>
      <c r="F34655" s="2">
        <v>3.5075121520105998E-3</v>
      </c>
    </row>
    <row r="34656" spans="1:6" x14ac:dyDescent="0.25">
      <c r="A34656" s="1" t="str">
        <f t="shared" si="1245"/>
        <v>44620</v>
      </c>
      <c r="B34656" s="1" t="str">
        <f>"54494"</f>
        <v>54494</v>
      </c>
      <c r="C34656" s="2">
        <v>2.69091355900964E-2</v>
      </c>
      <c r="D34656" s="2">
        <v>9.6679277007145799E-3</v>
      </c>
      <c r="E34656" s="2">
        <v>1.5686274509803899E-3</v>
      </c>
      <c r="F34656" s="2">
        <v>2.4884003535130299E-2</v>
      </c>
    </row>
    <row r="34657" spans="1:6" x14ac:dyDescent="0.25">
      <c r="A34657" s="1" t="str">
        <f t="shared" si="1245"/>
        <v>44620</v>
      </c>
      <c r="B34657" s="1" t="str">
        <f>"54482"</f>
        <v>54482</v>
      </c>
      <c r="C34657" s="2">
        <v>0.122719174295017</v>
      </c>
      <c r="D34657" s="2">
        <v>0.119377889869693</v>
      </c>
      <c r="E34657" s="2">
        <v>4.6274509803921497E-2</v>
      </c>
      <c r="F34657" s="2">
        <v>0.119807777286787</v>
      </c>
    </row>
    <row r="34658" spans="1:6" x14ac:dyDescent="0.25">
      <c r="A34658" s="1" t="str">
        <f t="shared" si="1245"/>
        <v>44620</v>
      </c>
      <c r="B34658" s="1" t="str">
        <f>"54481"</f>
        <v>54481</v>
      </c>
      <c r="C34658" s="2">
        <v>0.40167106960742099</v>
      </c>
      <c r="D34658" s="2">
        <v>0.59773013871374503</v>
      </c>
      <c r="E34658" s="2">
        <v>0.51215686274509797</v>
      </c>
      <c r="F34658" s="2">
        <v>0.41844343791427302</v>
      </c>
    </row>
    <row r="34659" spans="1:6" x14ac:dyDescent="0.25">
      <c r="A34659" s="1" t="str">
        <f t="shared" si="1245"/>
        <v>44620</v>
      </c>
      <c r="B34659" s="1" t="str">
        <f>"54909"</f>
        <v>54909</v>
      </c>
      <c r="C34659" s="2">
        <v>2.7738526755544599E-2</v>
      </c>
      <c r="D34659" s="2">
        <v>8.8272383354350507E-3</v>
      </c>
      <c r="E34659" s="2">
        <v>3.9215686274509803E-3</v>
      </c>
      <c r="F34659" s="2">
        <v>2.5657313300927902E-2</v>
      </c>
    </row>
    <row r="34660" spans="1:6" x14ac:dyDescent="0.25">
      <c r="A34660" s="1" t="str">
        <f t="shared" si="1245"/>
        <v>44620</v>
      </c>
      <c r="B34660" s="1" t="str">
        <f>"54423"</f>
        <v>54423</v>
      </c>
      <c r="C34660" s="2">
        <v>3.0103827486637501E-2</v>
      </c>
      <c r="D34660" s="2">
        <v>7.9865489701555197E-3</v>
      </c>
      <c r="E34660" s="2">
        <v>7.8431372549019605E-4</v>
      </c>
      <c r="F34660" s="2">
        <v>2.76182059213433E-2</v>
      </c>
    </row>
    <row r="34661" spans="1:6" x14ac:dyDescent="0.25">
      <c r="A34661" s="1" t="str">
        <f t="shared" si="1245"/>
        <v>44620</v>
      </c>
      <c r="B34661" s="1" t="str">
        <f>"54921"</f>
        <v>54921</v>
      </c>
      <c r="C34661" s="2">
        <v>1.8062296491982498E-2</v>
      </c>
      <c r="D34661" s="2">
        <v>7.5662042875157603E-3</v>
      </c>
      <c r="E34661" s="2">
        <v>7.8431372549019605E-4</v>
      </c>
      <c r="F34661" s="2">
        <v>1.6764250994255402E-2</v>
      </c>
    </row>
    <row r="34662" spans="1:6" x14ac:dyDescent="0.25">
      <c r="A34662" s="1" t="str">
        <f t="shared" si="1245"/>
        <v>44620</v>
      </c>
      <c r="B34662" s="1" t="str">
        <f>"54406"</f>
        <v>54406</v>
      </c>
      <c r="C34662" s="2">
        <v>4.8780487804878002E-2</v>
      </c>
      <c r="D34662" s="2">
        <v>1.4291719209751899E-2</v>
      </c>
      <c r="E34662" s="2">
        <v>2.0392156862744999E-2</v>
      </c>
      <c r="F34662" s="2">
        <v>4.5514803358373802E-2</v>
      </c>
    </row>
    <row r="34663" spans="1:6" x14ac:dyDescent="0.25">
      <c r="A34663" s="1" t="str">
        <f t="shared" si="1245"/>
        <v>44620</v>
      </c>
      <c r="B34663" s="1" t="str">
        <f>"54984"</f>
        <v>54984</v>
      </c>
      <c r="C34663" s="2">
        <v>3.9933648706764102E-4</v>
      </c>
      <c r="D34663" s="2">
        <v>0</v>
      </c>
      <c r="E34663" s="2">
        <v>0</v>
      </c>
      <c r="F34663" s="2">
        <v>3.5903667697746299E-4</v>
      </c>
    </row>
    <row r="34664" spans="1:6" x14ac:dyDescent="0.25">
      <c r="A34664" s="1" t="str">
        <f t="shared" si="1245"/>
        <v>44620</v>
      </c>
      <c r="B34664" s="1" t="str">
        <f>"54458"</f>
        <v>54458</v>
      </c>
      <c r="C34664" s="2">
        <v>1.1058548872642301E-3</v>
      </c>
      <c r="D34664" s="2">
        <v>0</v>
      </c>
      <c r="E34664" s="2">
        <v>7.8431372549019605E-4</v>
      </c>
      <c r="F34664" s="2">
        <v>1.0218736190897E-3</v>
      </c>
    </row>
    <row r="34665" spans="1:6" x14ac:dyDescent="0.25">
      <c r="A34665" s="1" t="str">
        <f t="shared" si="1245"/>
        <v>44620</v>
      </c>
      <c r="B34665" s="1" t="str">
        <f>"54473"</f>
        <v>54473</v>
      </c>
      <c r="C34665" s="2">
        <v>3.4342937887817102E-2</v>
      </c>
      <c r="D34665" s="2">
        <v>1.00882723833543E-2</v>
      </c>
      <c r="E34665" s="2">
        <v>5.49019607843137E-3</v>
      </c>
      <c r="F34665" s="2">
        <v>3.1733318603623502E-2</v>
      </c>
    </row>
    <row r="34666" spans="1:6" x14ac:dyDescent="0.25">
      <c r="A34666" s="1" t="str">
        <f t="shared" si="1245"/>
        <v>44620</v>
      </c>
      <c r="B34666" s="1" t="str">
        <f>"54467"</f>
        <v>54467</v>
      </c>
      <c r="C34666" s="2">
        <v>0.21063463783252401</v>
      </c>
      <c r="D34666" s="2">
        <v>0.20849096258932301</v>
      </c>
      <c r="E34666" s="2">
        <v>0.39450980392156798</v>
      </c>
      <c r="F34666" s="2">
        <v>0.21696862571807299</v>
      </c>
    </row>
    <row r="34667" spans="1:6" x14ac:dyDescent="0.25">
      <c r="A34667" s="1" t="str">
        <f t="shared" si="1245"/>
        <v>44620</v>
      </c>
      <c r="B34667" s="1" t="str">
        <f>"54407"</f>
        <v>54407</v>
      </c>
      <c r="C34667" s="2">
        <v>2.27928979541684E-2</v>
      </c>
      <c r="D34667" s="2">
        <v>2.5220680958385798E-3</v>
      </c>
      <c r="E34667" s="2">
        <v>3.9215686274509803E-3</v>
      </c>
      <c r="F34667" s="2">
        <v>2.0796509058771499E-2</v>
      </c>
    </row>
    <row r="34668" spans="1:6" x14ac:dyDescent="0.25">
      <c r="A34668" s="1" t="str">
        <f t="shared" si="1245"/>
        <v>44620</v>
      </c>
      <c r="B34668" s="1" t="str">
        <f>"54454"</f>
        <v>54454</v>
      </c>
      <c r="C34668" s="2">
        <v>5.5292744363211795E-4</v>
      </c>
      <c r="D34668" s="2">
        <v>0</v>
      </c>
      <c r="E34668" s="2">
        <v>1.5686274509803899E-3</v>
      </c>
      <c r="F34668" s="2">
        <v>5.5236411842686604E-4</v>
      </c>
    </row>
    <row r="34669" spans="1:6" x14ac:dyDescent="0.25">
      <c r="A34669" s="1" t="str">
        <f t="shared" si="1245"/>
        <v>44620</v>
      </c>
      <c r="B34669" s="1" t="str">
        <f>"54499"</f>
        <v>54499</v>
      </c>
      <c r="C34669" s="2">
        <v>6.1436382625790903E-4</v>
      </c>
      <c r="D34669" s="2">
        <v>0</v>
      </c>
      <c r="E34669" s="2">
        <v>0</v>
      </c>
      <c r="F34669" s="2">
        <v>5.5236411842686604E-4</v>
      </c>
    </row>
    <row r="34670" spans="1:6" x14ac:dyDescent="0.25">
      <c r="A34670" s="1" t="str">
        <f t="shared" si="1245"/>
        <v>44620</v>
      </c>
      <c r="B34670" s="1" t="str">
        <f>"54981"</f>
        <v>54981</v>
      </c>
      <c r="C34670" s="2">
        <v>6.7272838975241103E-3</v>
      </c>
      <c r="D34670" s="2">
        <v>1.2610340479192899E-3</v>
      </c>
      <c r="E34670" s="2">
        <v>0</v>
      </c>
      <c r="F34670" s="2">
        <v>6.1312417145382202E-3</v>
      </c>
    </row>
    <row r="34671" spans="1:6" x14ac:dyDescent="0.25">
      <c r="A34671" s="1" t="str">
        <f t="shared" si="1245"/>
        <v>44620</v>
      </c>
      <c r="B34671" s="1" t="str">
        <f>"54492"</f>
        <v>54492</v>
      </c>
      <c r="C34671" s="2">
        <v>0</v>
      </c>
      <c r="D34671" s="2">
        <v>4.2034468263976401E-4</v>
      </c>
      <c r="E34671" s="2">
        <v>0</v>
      </c>
      <c r="F34671" s="2">
        <v>2.76182059213433E-5</v>
      </c>
    </row>
    <row r="34672" spans="1:6" x14ac:dyDescent="0.25">
      <c r="A34672" s="1" t="str">
        <f t="shared" si="1245"/>
        <v>44620</v>
      </c>
      <c r="B34672" s="1" t="str">
        <f>"54945"</f>
        <v>54945</v>
      </c>
      <c r="C34672" s="2">
        <v>5.8364563494501403E-4</v>
      </c>
      <c r="D34672" s="2">
        <v>0</v>
      </c>
      <c r="E34672" s="2">
        <v>0</v>
      </c>
      <c r="F34672" s="2">
        <v>5.2474591250552304E-4</v>
      </c>
    </row>
    <row r="34673" spans="1:6" x14ac:dyDescent="0.25">
      <c r="A34673" s="1" t="str">
        <f t="shared" si="1245"/>
        <v>44620</v>
      </c>
      <c r="B34673" s="1" t="str">
        <f>"54977"</f>
        <v>54977</v>
      </c>
      <c r="C34673" s="2">
        <v>9.2154573938686398E-4</v>
      </c>
      <c r="D34673" s="2">
        <v>0</v>
      </c>
      <c r="E34673" s="2">
        <v>0</v>
      </c>
      <c r="F34673" s="2">
        <v>8.2854617764030003E-4</v>
      </c>
    </row>
    <row r="34674" spans="1:6" x14ac:dyDescent="0.25">
      <c r="A34674" s="1" t="str">
        <f t="shared" si="1245"/>
        <v>44620</v>
      </c>
      <c r="B34674" s="1" t="str">
        <f>"54455"</f>
        <v>54455</v>
      </c>
      <c r="C34674" s="2">
        <v>6.1743564538919897E-3</v>
      </c>
      <c r="D34674" s="2">
        <v>2.9424127784783501E-3</v>
      </c>
      <c r="E34674" s="2">
        <v>3.1372549019607798E-3</v>
      </c>
      <c r="F34674" s="2">
        <v>5.8550596553247902E-3</v>
      </c>
    </row>
    <row r="34675" spans="1:6" x14ac:dyDescent="0.25">
      <c r="A34675" s="1" t="str">
        <f t="shared" ref="A34675:A34691" si="1246">"44660"</f>
        <v>44660</v>
      </c>
      <c r="B34675" s="1" t="str">
        <f>"73073"</f>
        <v>73073</v>
      </c>
      <c r="C34675" s="2">
        <v>1.5324155317729001E-3</v>
      </c>
      <c r="D34675" s="2">
        <v>1.25754527162977E-3</v>
      </c>
      <c r="E34675" s="2">
        <v>0</v>
      </c>
      <c r="F34675" s="2">
        <v>1.46952383041256E-3</v>
      </c>
    </row>
    <row r="34676" spans="1:6" x14ac:dyDescent="0.25">
      <c r="A34676" s="1" t="str">
        <f t="shared" si="1246"/>
        <v>44660</v>
      </c>
      <c r="B34676" s="1" t="str">
        <f>"74030"</f>
        <v>74030</v>
      </c>
      <c r="C34676" s="2">
        <v>3.3367112385377698E-3</v>
      </c>
      <c r="D34676" s="2">
        <v>7.5452716297786705E-4</v>
      </c>
      <c r="E34676" s="2">
        <v>0</v>
      </c>
      <c r="F34676" s="2">
        <v>3.0267804268198999E-3</v>
      </c>
    </row>
    <row r="34677" spans="1:6" x14ac:dyDescent="0.25">
      <c r="A34677" s="1" t="str">
        <f t="shared" si="1246"/>
        <v>44660</v>
      </c>
      <c r="B34677" s="1" t="str">
        <f>"74023"</f>
        <v>74023</v>
      </c>
      <c r="C34677" s="2">
        <v>0.124273956350873</v>
      </c>
      <c r="D34677" s="2">
        <v>0.15065392354124699</v>
      </c>
      <c r="E34677" s="2">
        <v>9.7582037996545704E-2</v>
      </c>
      <c r="F34677" s="2">
        <v>0.12589651920250899</v>
      </c>
    </row>
    <row r="34678" spans="1:6" x14ac:dyDescent="0.25">
      <c r="A34678" s="1" t="str">
        <f t="shared" si="1246"/>
        <v>44660</v>
      </c>
      <c r="B34678" s="1" t="str">
        <f>"74077"</f>
        <v>74077</v>
      </c>
      <c r="C34678" s="2">
        <v>0</v>
      </c>
      <c r="D34678" s="2">
        <v>4.7786720321931504E-3</v>
      </c>
      <c r="E34678" s="2">
        <v>2.5906735751295299E-3</v>
      </c>
      <c r="F34678" s="2">
        <v>4.8253021297128899E-4</v>
      </c>
    </row>
    <row r="34679" spans="1:6" x14ac:dyDescent="0.25">
      <c r="A34679" s="1" t="str">
        <f t="shared" si="1246"/>
        <v>44660</v>
      </c>
      <c r="B34679" s="1" t="str">
        <f>"74075"</f>
        <v>74075</v>
      </c>
      <c r="C34679" s="2">
        <v>0.31634494179292599</v>
      </c>
      <c r="D34679" s="2">
        <v>0.182847082494969</v>
      </c>
      <c r="E34679" s="2">
        <v>0.35578583765112198</v>
      </c>
      <c r="F34679" s="2">
        <v>0.30570482310880998</v>
      </c>
    </row>
    <row r="34680" spans="1:6" x14ac:dyDescent="0.25">
      <c r="A34680" s="1" t="str">
        <f t="shared" si="1246"/>
        <v>44660</v>
      </c>
      <c r="B34680" s="1" t="str">
        <f>"74074"</f>
        <v>74074</v>
      </c>
      <c r="C34680" s="2">
        <v>0.387948293333992</v>
      </c>
      <c r="D34680" s="2">
        <v>0.359909456740442</v>
      </c>
      <c r="E34680" s="2">
        <v>0.45854922279792698</v>
      </c>
      <c r="F34680" s="2">
        <v>0.387296295483955</v>
      </c>
    </row>
    <row r="34681" spans="1:6" x14ac:dyDescent="0.25">
      <c r="A34681" s="1" t="str">
        <f t="shared" si="1246"/>
        <v>44660</v>
      </c>
      <c r="B34681" s="1" t="str">
        <f>"73027"</f>
        <v>73027</v>
      </c>
      <c r="C34681" s="2">
        <v>7.1183173088805902E-3</v>
      </c>
      <c r="D34681" s="2">
        <v>3.01810865191146E-3</v>
      </c>
      <c r="E34681" s="2">
        <v>0</v>
      </c>
      <c r="F34681" s="2">
        <v>6.5799574496084902E-3</v>
      </c>
    </row>
    <row r="34682" spans="1:6" x14ac:dyDescent="0.25">
      <c r="A34682" s="1" t="str">
        <f t="shared" si="1246"/>
        <v>44660</v>
      </c>
      <c r="B34682" s="1" t="str">
        <f>"74045"</f>
        <v>74045</v>
      </c>
      <c r="C34682" s="2">
        <v>4.9432759089448495E-4</v>
      </c>
      <c r="D34682" s="2">
        <v>0</v>
      </c>
      <c r="E34682" s="2">
        <v>0</v>
      </c>
      <c r="F34682" s="2">
        <v>4.3866382997389901E-4</v>
      </c>
    </row>
    <row r="34683" spans="1:6" x14ac:dyDescent="0.25">
      <c r="A34683" s="1" t="str">
        <f t="shared" si="1246"/>
        <v>44660</v>
      </c>
      <c r="B34683" s="1" t="str">
        <f>"73063"</f>
        <v>73063</v>
      </c>
      <c r="C34683" s="2">
        <v>1.6807138090412499E-3</v>
      </c>
      <c r="D34683" s="2">
        <v>2.51509054325955E-4</v>
      </c>
      <c r="E34683" s="2">
        <v>0</v>
      </c>
      <c r="F34683" s="2">
        <v>1.51339021340995E-3</v>
      </c>
    </row>
    <row r="34684" spans="1:6" x14ac:dyDescent="0.25">
      <c r="A34684" s="1" t="str">
        <f t="shared" si="1246"/>
        <v>44660</v>
      </c>
      <c r="B34684" s="1" t="str">
        <f>"74824"</f>
        <v>74824</v>
      </c>
      <c r="C34684" s="2">
        <v>1.38411725450456E-3</v>
      </c>
      <c r="D34684" s="2">
        <v>2.51509054325955E-4</v>
      </c>
      <c r="E34684" s="2">
        <v>0</v>
      </c>
      <c r="F34684" s="2">
        <v>1.25019191542561E-3</v>
      </c>
    </row>
    <row r="34685" spans="1:6" x14ac:dyDescent="0.25">
      <c r="A34685" s="1" t="str">
        <f t="shared" si="1246"/>
        <v>44660</v>
      </c>
      <c r="B34685" s="1" t="str">
        <f>"74078"</f>
        <v>74078</v>
      </c>
      <c r="C34685" s="2">
        <v>0</v>
      </c>
      <c r="D34685" s="2">
        <v>7.5201207243460702E-2</v>
      </c>
      <c r="E34685" s="2">
        <v>1.72711571675302E-3</v>
      </c>
      <c r="F34685" s="2">
        <v>6.6018906411071804E-3</v>
      </c>
    </row>
    <row r="34686" spans="1:6" x14ac:dyDescent="0.25">
      <c r="A34686" s="1" t="str">
        <f t="shared" si="1246"/>
        <v>44660</v>
      </c>
      <c r="B34686" s="1" t="str">
        <f>"74062"</f>
        <v>74062</v>
      </c>
      <c r="C34686" s="2">
        <v>9.4663733656294002E-3</v>
      </c>
      <c r="D34686" s="2">
        <v>2.2635814889336E-3</v>
      </c>
      <c r="E34686" s="2">
        <v>2.5906735751295299E-3</v>
      </c>
      <c r="F34686" s="2">
        <v>8.6636106419845094E-3</v>
      </c>
    </row>
    <row r="34687" spans="1:6" x14ac:dyDescent="0.25">
      <c r="A34687" s="1" t="str">
        <f t="shared" si="1246"/>
        <v>44660</v>
      </c>
      <c r="B34687" s="1" t="str">
        <f>"74032"</f>
        <v>74032</v>
      </c>
      <c r="C34687" s="2">
        <v>2.3628858844756399E-2</v>
      </c>
      <c r="D34687" s="2">
        <v>8.2997987927565294E-3</v>
      </c>
      <c r="E34687" s="2">
        <v>1.2089810017271101E-2</v>
      </c>
      <c r="F34687" s="2">
        <v>2.1998991073191001E-2</v>
      </c>
    </row>
    <row r="34688" spans="1:6" x14ac:dyDescent="0.25">
      <c r="A34688" s="1" t="str">
        <f t="shared" si="1246"/>
        <v>44660</v>
      </c>
      <c r="B34688" s="1" t="str">
        <f>"73077"</f>
        <v>73077</v>
      </c>
      <c r="C34688" s="2">
        <v>2.47163795447242E-5</v>
      </c>
      <c r="D34688" s="2">
        <v>0</v>
      </c>
      <c r="E34688" s="2">
        <v>0</v>
      </c>
      <c r="F34688" s="2">
        <v>2.1933191498694901E-5</v>
      </c>
    </row>
    <row r="34689" spans="1:6" x14ac:dyDescent="0.25">
      <c r="A34689" s="1" t="str">
        <f t="shared" si="1246"/>
        <v>44660</v>
      </c>
      <c r="B34689" s="1" t="str">
        <f>"74085"</f>
        <v>74085</v>
      </c>
      <c r="C34689" s="2">
        <v>3.2625620999036001E-2</v>
      </c>
      <c r="D34689" s="2">
        <v>3.4959758551307799E-2</v>
      </c>
      <c r="E34689" s="2">
        <v>2.3316062176165799E-2</v>
      </c>
      <c r="F34689" s="2">
        <v>3.2592722567060702E-2</v>
      </c>
    </row>
    <row r="34690" spans="1:6" x14ac:dyDescent="0.25">
      <c r="A34690" s="1" t="str">
        <f t="shared" si="1246"/>
        <v>44660</v>
      </c>
      <c r="B34690" s="1" t="str">
        <f>"74076"</f>
        <v>74076</v>
      </c>
      <c r="C34690" s="2">
        <v>2.6644257149212699E-2</v>
      </c>
      <c r="D34690" s="2">
        <v>0.14537223340040201</v>
      </c>
      <c r="E34690" s="2">
        <v>1.72711571675302E-3</v>
      </c>
      <c r="F34690" s="2">
        <v>3.6365231504836198E-2</v>
      </c>
    </row>
    <row r="34691" spans="1:6" x14ac:dyDescent="0.25">
      <c r="A34691" s="1" t="str">
        <f t="shared" si="1246"/>
        <v>44660</v>
      </c>
      <c r="B34691" s="1" t="str">
        <f>"74059"</f>
        <v>74059</v>
      </c>
      <c r="C34691" s="2">
        <v>6.3496379050396595E-2</v>
      </c>
      <c r="D34691" s="2">
        <v>3.0181086519114601E-2</v>
      </c>
      <c r="E34691" s="2">
        <v>4.4041450777202E-2</v>
      </c>
      <c r="F34691" s="2">
        <v>6.0096944706424203E-2</v>
      </c>
    </row>
    <row r="34692" spans="1:6" x14ac:dyDescent="0.25">
      <c r="A34692" s="1" t="str">
        <f t="shared" ref="A34692:A34736" si="1247">"44700"</f>
        <v>44700</v>
      </c>
      <c r="B34692" s="1" t="str">
        <f>"95269"</f>
        <v>95269</v>
      </c>
      <c r="C34692" s="2">
        <v>8.0167318629800095E-3</v>
      </c>
      <c r="D34692" s="2">
        <v>1.7040246646112801E-2</v>
      </c>
      <c r="E34692" s="2">
        <v>2.8101728256287701E-4</v>
      </c>
      <c r="F34692" s="2">
        <v>8.5546076335471094E-3</v>
      </c>
    </row>
    <row r="34693" spans="1:6" x14ac:dyDescent="0.25">
      <c r="A34693" s="1" t="str">
        <f t="shared" si="1247"/>
        <v>44700</v>
      </c>
      <c r="B34693" s="1" t="str">
        <f>"95230"</f>
        <v>95230</v>
      </c>
      <c r="C34693" s="2">
        <v>6.5010568861051897E-4</v>
      </c>
      <c r="D34693" s="2">
        <v>3.7496875260394899E-4</v>
      </c>
      <c r="E34693" s="2">
        <v>1.4050864128143799E-4</v>
      </c>
      <c r="F34693" s="2">
        <v>6.1603830759292104E-4</v>
      </c>
    </row>
    <row r="34694" spans="1:6" x14ac:dyDescent="0.25">
      <c r="A34694" s="1" t="str">
        <f t="shared" si="1247"/>
        <v>44700</v>
      </c>
      <c r="B34694" s="1" t="str">
        <f>"95211"</f>
        <v>95211</v>
      </c>
      <c r="C34694" s="2">
        <v>0</v>
      </c>
      <c r="D34694" s="2">
        <v>4.1663194733772101E-5</v>
      </c>
      <c r="E34694" s="2">
        <v>4.21525923844316E-4</v>
      </c>
      <c r="F34694" s="2">
        <v>1.33197471911983E-5</v>
      </c>
    </row>
    <row r="34695" spans="1:6" x14ac:dyDescent="0.25">
      <c r="A34695" s="1" t="str">
        <f t="shared" si="1247"/>
        <v>44700</v>
      </c>
      <c r="B34695" s="1" t="str">
        <f>"95213"</f>
        <v>95213</v>
      </c>
      <c r="C34695" s="2">
        <v>4.9853819092303799E-3</v>
      </c>
      <c r="D34695" s="2">
        <v>7.9993333888842503E-3</v>
      </c>
      <c r="E34695" s="2">
        <v>2.8101728256287701E-4</v>
      </c>
      <c r="F34695" s="2">
        <v>5.1147829214201503E-3</v>
      </c>
    </row>
    <row r="34696" spans="1:6" x14ac:dyDescent="0.25">
      <c r="A34696" s="1" t="str">
        <f t="shared" si="1247"/>
        <v>44700</v>
      </c>
      <c r="B34696" s="1" t="str">
        <f>"95376"</f>
        <v>95376</v>
      </c>
      <c r="C34696" s="2">
        <v>6.3877527518044999E-2</v>
      </c>
      <c r="D34696" s="2">
        <v>5.4578785101241499E-2</v>
      </c>
      <c r="E34696" s="2">
        <v>0.10060418715751</v>
      </c>
      <c r="F34696" s="2">
        <v>6.4004715190505601E-2</v>
      </c>
    </row>
    <row r="34697" spans="1:6" x14ac:dyDescent="0.25">
      <c r="A34697" s="1" t="str">
        <f t="shared" si="1247"/>
        <v>44700</v>
      </c>
      <c r="B34697" s="1" t="str">
        <f>"95377"</f>
        <v>95377</v>
      </c>
      <c r="C34697" s="2">
        <v>3.7074598699045599E-2</v>
      </c>
      <c r="D34697" s="2">
        <v>1.5707024414632099E-2</v>
      </c>
      <c r="E34697" s="2">
        <v>1.0678656737389301E-2</v>
      </c>
      <c r="F34697" s="2">
        <v>3.4741230611442901E-2</v>
      </c>
    </row>
    <row r="34698" spans="1:6" x14ac:dyDescent="0.25">
      <c r="A34698" s="1" t="str">
        <f t="shared" si="1247"/>
        <v>44700</v>
      </c>
      <c r="B34698" s="1" t="str">
        <f>"95320"</f>
        <v>95320</v>
      </c>
      <c r="C34698" s="2">
        <v>1.8931077652338299E-2</v>
      </c>
      <c r="D34698" s="2">
        <v>1.72485626197816E-2</v>
      </c>
      <c r="E34698" s="2">
        <v>7.1659407053533703E-3</v>
      </c>
      <c r="F34698" s="2">
        <v>1.8517778532563402E-2</v>
      </c>
    </row>
    <row r="34699" spans="1:6" x14ac:dyDescent="0.25">
      <c r="A34699" s="1" t="str">
        <f t="shared" si="1247"/>
        <v>44700</v>
      </c>
      <c r="B34699" s="1" t="str">
        <f>"95209"</f>
        <v>95209</v>
      </c>
      <c r="C34699" s="2">
        <v>5.1700119247957699E-2</v>
      </c>
      <c r="D34699" s="2">
        <v>1.2040663278060099E-2</v>
      </c>
      <c r="E34699" s="2">
        <v>2.36054517352817E-2</v>
      </c>
      <c r="F34699" s="2">
        <v>4.7864511531571098E-2</v>
      </c>
    </row>
    <row r="34700" spans="1:6" x14ac:dyDescent="0.25">
      <c r="A34700" s="1" t="str">
        <f t="shared" si="1247"/>
        <v>44700</v>
      </c>
      <c r="B34700" s="1" t="str">
        <f>"95210"</f>
        <v>95210</v>
      </c>
      <c r="C34700" s="2">
        <v>4.5611415112914E-2</v>
      </c>
      <c r="D34700" s="2">
        <v>2.92892258978418E-2</v>
      </c>
      <c r="E34700" s="2">
        <v>4.6929886188000501E-2</v>
      </c>
      <c r="F34700" s="2">
        <v>4.4338108462701302E-2</v>
      </c>
    </row>
    <row r="34701" spans="1:6" x14ac:dyDescent="0.25">
      <c r="A34701" s="1" t="str">
        <f t="shared" si="1247"/>
        <v>44700</v>
      </c>
      <c r="B34701" s="1" t="str">
        <f>"95366"</f>
        <v>95366</v>
      </c>
      <c r="C34701" s="2">
        <v>2.7267290025149798E-2</v>
      </c>
      <c r="D34701" s="2">
        <v>2.87476043663028E-2</v>
      </c>
      <c r="E34701" s="2">
        <v>1.6720528312491201E-2</v>
      </c>
      <c r="F34701" s="2">
        <v>2.71356549652687E-2</v>
      </c>
    </row>
    <row r="34702" spans="1:6" x14ac:dyDescent="0.25">
      <c r="A34702" s="1" t="str">
        <f t="shared" si="1247"/>
        <v>44700</v>
      </c>
      <c r="B34702" s="1" t="str">
        <f>"95205"</f>
        <v>95205</v>
      </c>
      <c r="C34702" s="2">
        <v>4.56188448922124E-2</v>
      </c>
      <c r="D34702" s="2">
        <v>7.3452212315640295E-2</v>
      </c>
      <c r="E34702" s="2">
        <v>5.5781930588731203E-2</v>
      </c>
      <c r="F34702" s="2">
        <v>4.8084287360225901E-2</v>
      </c>
    </row>
    <row r="34703" spans="1:6" x14ac:dyDescent="0.25">
      <c r="A34703" s="1" t="str">
        <f t="shared" si="1247"/>
        <v>44700</v>
      </c>
      <c r="B34703" s="1" t="str">
        <f>"95207"</f>
        <v>95207</v>
      </c>
      <c r="C34703" s="2">
        <v>7.2232314339102502E-2</v>
      </c>
      <c r="D34703" s="2">
        <v>8.9117573535538702E-2</v>
      </c>
      <c r="E34703" s="2">
        <v>0.12758184628354599</v>
      </c>
      <c r="F34703" s="2">
        <v>7.4893608519310303E-2</v>
      </c>
    </row>
    <row r="34704" spans="1:6" x14ac:dyDescent="0.25">
      <c r="A34704" s="1" t="str">
        <f t="shared" si="1247"/>
        <v>44700</v>
      </c>
      <c r="B34704" s="1" t="str">
        <f>"95240"</f>
        <v>95240</v>
      </c>
      <c r="C34704" s="2">
        <v>6.3933250862783106E-2</v>
      </c>
      <c r="D34704" s="2">
        <v>0.100033330555787</v>
      </c>
      <c r="E34704" s="2">
        <v>0.168469860896445</v>
      </c>
      <c r="F34704" s="2">
        <v>6.9295984762209203E-2</v>
      </c>
    </row>
    <row r="34705" spans="1:6" x14ac:dyDescent="0.25">
      <c r="A34705" s="1" t="str">
        <f t="shared" si="1247"/>
        <v>44700</v>
      </c>
      <c r="B34705" s="1" t="str">
        <f>"95686"</f>
        <v>95686</v>
      </c>
      <c r="C34705" s="2">
        <v>0</v>
      </c>
      <c r="D34705" s="2">
        <v>0</v>
      </c>
      <c r="E34705" s="2">
        <v>1.4050864128143799E-4</v>
      </c>
      <c r="F34705" s="2">
        <v>3.3299367977995699E-6</v>
      </c>
    </row>
    <row r="34706" spans="1:6" x14ac:dyDescent="0.25">
      <c r="A34706" s="1" t="str">
        <f t="shared" si="1247"/>
        <v>44700</v>
      </c>
      <c r="B34706" s="1" t="str">
        <f>"95267"</f>
        <v>95267</v>
      </c>
      <c r="C34706" s="2">
        <v>2.8270310230434602E-3</v>
      </c>
      <c r="D34706" s="2">
        <v>9.5408715940338302E-3</v>
      </c>
      <c r="E34706" s="2">
        <v>2.8101728256287701E-4</v>
      </c>
      <c r="F34706" s="2">
        <v>3.30329730341718E-3</v>
      </c>
    </row>
    <row r="34707" spans="1:6" x14ac:dyDescent="0.25">
      <c r="A34707" s="1" t="str">
        <f t="shared" si="1247"/>
        <v>44700</v>
      </c>
      <c r="B34707" s="1" t="str">
        <f>"95201"</f>
        <v>95201</v>
      </c>
      <c r="C34707" s="2">
        <v>6.4081846448751202E-3</v>
      </c>
      <c r="D34707" s="2">
        <v>1.1790684109657499E-2</v>
      </c>
      <c r="E34707" s="2">
        <v>2.8101728256287701E-4</v>
      </c>
      <c r="F34707" s="2">
        <v>6.6931729635771502E-3</v>
      </c>
    </row>
    <row r="34708" spans="1:6" x14ac:dyDescent="0.25">
      <c r="A34708" s="1" t="str">
        <f t="shared" si="1247"/>
        <v>44700</v>
      </c>
      <c r="B34708" s="1" t="str">
        <f>"95258"</f>
        <v>95258</v>
      </c>
      <c r="C34708" s="2">
        <v>1.01899423077637E-2</v>
      </c>
      <c r="D34708" s="2">
        <v>1.54153820514957E-2</v>
      </c>
      <c r="E34708" s="2">
        <v>1.96712097794014E-3</v>
      </c>
      <c r="F34708" s="2">
        <v>1.0412712366719199E-2</v>
      </c>
    </row>
    <row r="34709" spans="1:6" x14ac:dyDescent="0.25">
      <c r="A34709" s="1" t="str">
        <f t="shared" si="1247"/>
        <v>44700</v>
      </c>
      <c r="B34709" s="1" t="str">
        <f>"95220"</f>
        <v>95220</v>
      </c>
      <c r="C34709" s="2">
        <v>1.15570216986704E-2</v>
      </c>
      <c r="D34709" s="2">
        <v>5.7911840679943302E-3</v>
      </c>
      <c r="E34709" s="2">
        <v>4.0747505971617196E-3</v>
      </c>
      <c r="F34709" s="2">
        <v>1.09188627599848E-2</v>
      </c>
    </row>
    <row r="34710" spans="1:6" x14ac:dyDescent="0.25">
      <c r="A34710" s="1" t="str">
        <f t="shared" si="1247"/>
        <v>44700</v>
      </c>
      <c r="B34710" s="1" t="str">
        <f>"95237"</f>
        <v>95237</v>
      </c>
      <c r="C34710" s="2">
        <v>3.8151916697314499E-3</v>
      </c>
      <c r="D34710" s="2">
        <v>4.4579618365136204E-3</v>
      </c>
      <c r="E34710" s="2">
        <v>3.3722073907545302E-3</v>
      </c>
      <c r="F34710" s="2">
        <v>3.8560668118519099E-3</v>
      </c>
    </row>
    <row r="34711" spans="1:6" x14ac:dyDescent="0.25">
      <c r="A34711" s="1" t="str">
        <f t="shared" si="1247"/>
        <v>44700</v>
      </c>
      <c r="B34711" s="1" t="str">
        <f>"95231"</f>
        <v>95231</v>
      </c>
      <c r="C34711" s="2">
        <v>7.3183326089298504E-3</v>
      </c>
      <c r="D34711" s="2">
        <v>1.5748687609365802E-2</v>
      </c>
      <c r="E34711" s="2">
        <v>1.40508641281438E-3</v>
      </c>
      <c r="F34711" s="2">
        <v>7.8519909692114E-3</v>
      </c>
    </row>
    <row r="34712" spans="1:6" x14ac:dyDescent="0.25">
      <c r="A34712" s="1" t="str">
        <f t="shared" si="1247"/>
        <v>44700</v>
      </c>
      <c r="B34712" s="1" t="str">
        <f>"95378"</f>
        <v>95378</v>
      </c>
      <c r="C34712" s="2">
        <v>3.3285411256858601E-3</v>
      </c>
      <c r="D34712" s="2">
        <v>1.58320139988334E-2</v>
      </c>
      <c r="E34712" s="2">
        <v>2.8101728256287701E-4</v>
      </c>
      <c r="F34712" s="2">
        <v>4.2556592275878602E-3</v>
      </c>
    </row>
    <row r="34713" spans="1:6" x14ac:dyDescent="0.25">
      <c r="A34713" s="1" t="str">
        <f t="shared" si="1247"/>
        <v>44700</v>
      </c>
      <c r="B34713" s="1" t="str">
        <f>"95337"</f>
        <v>95337</v>
      </c>
      <c r="C34713" s="2">
        <v>5.4701750084513702E-2</v>
      </c>
      <c r="D34713" s="2">
        <v>3.62469794183818E-2</v>
      </c>
      <c r="E34713" s="2">
        <v>3.9482928200084297E-2</v>
      </c>
      <c r="F34713" s="2">
        <v>5.2866076601865999E-2</v>
      </c>
    </row>
    <row r="34714" spans="1:6" x14ac:dyDescent="0.25">
      <c r="A34714" s="1" t="str">
        <f t="shared" si="1247"/>
        <v>44700</v>
      </c>
      <c r="B34714" s="1" t="str">
        <f>"95215"</f>
        <v>95215</v>
      </c>
      <c r="C34714" s="2">
        <v>2.7341587818133801E-2</v>
      </c>
      <c r="D34714" s="2">
        <v>2.7581034913757099E-2</v>
      </c>
      <c r="E34714" s="2">
        <v>1.7704088801461199E-2</v>
      </c>
      <c r="F34714" s="2">
        <v>2.7132325028470902E-2</v>
      </c>
    </row>
    <row r="34715" spans="1:6" x14ac:dyDescent="0.25">
      <c r="A34715" s="1" t="str">
        <f t="shared" si="1247"/>
        <v>44700</v>
      </c>
      <c r="B34715" s="1" t="str">
        <f>"95236"</f>
        <v>95236</v>
      </c>
      <c r="C34715" s="2">
        <v>5.6429173771393101E-3</v>
      </c>
      <c r="D34715" s="2">
        <v>2.1248229314223799E-3</v>
      </c>
      <c r="E34715" s="2">
        <v>5.62034565125755E-4</v>
      </c>
      <c r="F34715" s="2">
        <v>5.2413205197365297E-3</v>
      </c>
    </row>
    <row r="34716" spans="1:6" x14ac:dyDescent="0.25">
      <c r="A34716" s="1" t="str">
        <f t="shared" si="1247"/>
        <v>44700</v>
      </c>
      <c r="B34716" s="1" t="str">
        <f>"95242"</f>
        <v>95242</v>
      </c>
      <c r="C34716" s="2">
        <v>4.1153547533870502E-2</v>
      </c>
      <c r="D34716" s="2">
        <v>2.80393300558286E-2</v>
      </c>
      <c r="E34716" s="2">
        <v>3.3300547983700898E-2</v>
      </c>
      <c r="F34716" s="2">
        <v>3.99192823320213E-2</v>
      </c>
    </row>
    <row r="34717" spans="1:6" x14ac:dyDescent="0.25">
      <c r="A34717" s="1" t="str">
        <f t="shared" si="1247"/>
        <v>44700</v>
      </c>
      <c r="B34717" s="1" t="str">
        <f>"95632"</f>
        <v>95632</v>
      </c>
      <c r="C34717" s="2">
        <v>1.54539409406843E-3</v>
      </c>
      <c r="D34717" s="2">
        <v>2.0831597366885999E-4</v>
      </c>
      <c r="E34717" s="2">
        <v>0</v>
      </c>
      <c r="F34717" s="2">
        <v>1.4019033918736201E-3</v>
      </c>
    </row>
    <row r="34718" spans="1:6" x14ac:dyDescent="0.25">
      <c r="A34718" s="1" t="str">
        <f t="shared" si="1247"/>
        <v>44700</v>
      </c>
      <c r="B34718" s="1" t="str">
        <f>"95336"</f>
        <v>95336</v>
      </c>
      <c r="C34718" s="2">
        <v>6.9646751143257205E-2</v>
      </c>
      <c r="D34718" s="2">
        <v>6.9535872010665703E-2</v>
      </c>
      <c r="E34718" s="2">
        <v>5.7608542925389902E-2</v>
      </c>
      <c r="F34718" s="2">
        <v>6.9352593687771802E-2</v>
      </c>
    </row>
    <row r="34719" spans="1:6" x14ac:dyDescent="0.25">
      <c r="A34719" s="1" t="str">
        <f t="shared" si="1247"/>
        <v>44700</v>
      </c>
      <c r="B34719" s="1" t="str">
        <f>"95304"</f>
        <v>95304</v>
      </c>
      <c r="C34719" s="2">
        <v>1.7876048991964599E-2</v>
      </c>
      <c r="D34719" s="2">
        <v>3.7705191234063802E-2</v>
      </c>
      <c r="E34719" s="2">
        <v>1.7001545595053999E-2</v>
      </c>
      <c r="F34719" s="2">
        <v>1.9440171025553898E-2</v>
      </c>
    </row>
    <row r="34720" spans="1:6" x14ac:dyDescent="0.25">
      <c r="A34720" s="1" t="str">
        <f t="shared" si="1247"/>
        <v>44700</v>
      </c>
      <c r="B34720" s="1" t="str">
        <f>"95330"</f>
        <v>95330</v>
      </c>
      <c r="C34720" s="2">
        <v>3.2059497672621597E-2</v>
      </c>
      <c r="D34720" s="2">
        <v>2.6539455045412799E-2</v>
      </c>
      <c r="E34720" s="2">
        <v>7.3064493466348098E-3</v>
      </c>
      <c r="F34720" s="2">
        <v>3.1031681018694201E-2</v>
      </c>
    </row>
    <row r="34721" spans="1:6" x14ac:dyDescent="0.25">
      <c r="A34721" s="1" t="str">
        <f t="shared" si="1247"/>
        <v>44700</v>
      </c>
      <c r="B34721" s="1" t="str">
        <f>"95206"</f>
        <v>95206</v>
      </c>
      <c r="C34721" s="2">
        <v>7.2035425187694693E-2</v>
      </c>
      <c r="D34721" s="2">
        <v>4.7996000333305498E-2</v>
      </c>
      <c r="E34721" s="2">
        <v>4.1450049178024397E-2</v>
      </c>
      <c r="F34721" s="2">
        <v>6.93892229925476E-2</v>
      </c>
    </row>
    <row r="34722" spans="1:6" x14ac:dyDescent="0.25">
      <c r="A34722" s="1" t="str">
        <f t="shared" si="1247"/>
        <v>44700</v>
      </c>
      <c r="B34722" s="1" t="str">
        <f>"95391"</f>
        <v>95391</v>
      </c>
      <c r="C34722" s="2">
        <v>2.5952219089331902E-2</v>
      </c>
      <c r="D34722" s="2">
        <v>1.2082326472793901E-3</v>
      </c>
      <c r="E34722" s="2">
        <v>4.21525923844316E-4</v>
      </c>
      <c r="F34722" s="2">
        <v>2.3369496446957402E-2</v>
      </c>
    </row>
    <row r="34723" spans="1:6" x14ac:dyDescent="0.25">
      <c r="A34723" s="1" t="str">
        <f t="shared" si="1247"/>
        <v>44700</v>
      </c>
      <c r="B34723" s="1" t="str">
        <f>"95367"</f>
        <v>95367</v>
      </c>
      <c r="C34723" s="2">
        <v>4.45786757904356E-5</v>
      </c>
      <c r="D34723" s="2">
        <v>8.3326389467544296E-5</v>
      </c>
      <c r="E34723" s="2">
        <v>0</v>
      </c>
      <c r="F34723" s="2">
        <v>4.6619115169194001E-5</v>
      </c>
    </row>
    <row r="34724" spans="1:6" x14ac:dyDescent="0.25">
      <c r="A34724" s="1" t="str">
        <f t="shared" si="1247"/>
        <v>44700</v>
      </c>
      <c r="B34724" s="1" t="str">
        <f>"95234"</f>
        <v>95234</v>
      </c>
      <c r="C34724" s="2">
        <v>0</v>
      </c>
      <c r="D34724" s="2">
        <v>0</v>
      </c>
      <c r="E34724" s="2">
        <v>1.4050864128143799E-4</v>
      </c>
      <c r="F34724" s="2">
        <v>3.3299367977995699E-6</v>
      </c>
    </row>
    <row r="34725" spans="1:6" x14ac:dyDescent="0.25">
      <c r="A34725" s="1" t="str">
        <f t="shared" si="1247"/>
        <v>44700</v>
      </c>
      <c r="B34725" s="1" t="str">
        <f>"95227"</f>
        <v>95227</v>
      </c>
      <c r="C34725" s="2">
        <v>1.44880696318915E-4</v>
      </c>
      <c r="D34725" s="2">
        <v>0</v>
      </c>
      <c r="E34725" s="2">
        <v>1.4050864128143799E-4</v>
      </c>
      <c r="F34725" s="2">
        <v>1.3319747191198301E-4</v>
      </c>
    </row>
    <row r="34726" spans="1:6" x14ac:dyDescent="0.25">
      <c r="A34726" s="1" t="str">
        <f t="shared" si="1247"/>
        <v>44700</v>
      </c>
      <c r="B34726" s="1" t="str">
        <f>"95202"</f>
        <v>95202</v>
      </c>
      <c r="C34726" s="2">
        <v>1.41648742324109E-2</v>
      </c>
      <c r="D34726" s="2">
        <v>5.9495042079826602E-2</v>
      </c>
      <c r="E34726" s="2">
        <v>7.1097372488408001E-2</v>
      </c>
      <c r="F34726" s="2">
        <v>1.9137146776954099E-2</v>
      </c>
    </row>
    <row r="34727" spans="1:6" x14ac:dyDescent="0.25">
      <c r="A34727" s="1" t="str">
        <f t="shared" si="1247"/>
        <v>44700</v>
      </c>
      <c r="B34727" s="1" t="str">
        <f>"95253"</f>
        <v>95253</v>
      </c>
      <c r="C34727" s="2">
        <v>1.5639685423144501E-3</v>
      </c>
      <c r="D34727" s="2">
        <v>2.5414548787601001E-3</v>
      </c>
      <c r="E34727" s="2">
        <v>2.8101728256287701E-4</v>
      </c>
      <c r="F34727" s="2">
        <v>1.6116894101349899E-3</v>
      </c>
    </row>
    <row r="34728" spans="1:6" x14ac:dyDescent="0.25">
      <c r="A34728" s="1" t="str">
        <f t="shared" si="1247"/>
        <v>44700</v>
      </c>
      <c r="B34728" s="1" t="str">
        <f>"95690"</f>
        <v>95690</v>
      </c>
      <c r="C34728" s="2">
        <v>4.2349742000913798E-4</v>
      </c>
      <c r="D34728" s="2">
        <v>8.3326389467544296E-5</v>
      </c>
      <c r="E34728" s="2">
        <v>5.62034565125755E-4</v>
      </c>
      <c r="F34728" s="2">
        <v>3.9959241573594902E-4</v>
      </c>
    </row>
    <row r="34729" spans="1:6" x14ac:dyDescent="0.25">
      <c r="A34729" s="1" t="str">
        <f t="shared" si="1247"/>
        <v>44700</v>
      </c>
      <c r="B34729" s="1" t="str">
        <f>"95208"</f>
        <v>95208</v>
      </c>
      <c r="C34729" s="2">
        <v>2.9681968297131699E-3</v>
      </c>
      <c r="D34729" s="2">
        <v>8.7492708940921492E-3</v>
      </c>
      <c r="E34729" s="2">
        <v>2.8101728256287701E-4</v>
      </c>
      <c r="F34729" s="2">
        <v>3.3665661025753702E-3</v>
      </c>
    </row>
    <row r="34730" spans="1:6" x14ac:dyDescent="0.25">
      <c r="A34730" s="1" t="str">
        <f t="shared" si="1247"/>
        <v>44700</v>
      </c>
      <c r="B34730" s="1" t="str">
        <f>"95204"</f>
        <v>95204</v>
      </c>
      <c r="C34730" s="2">
        <v>4.6848473366098597E-2</v>
      </c>
      <c r="D34730" s="2">
        <v>4.0996583618031802E-2</v>
      </c>
      <c r="E34730" s="2">
        <v>3.5548686244204E-2</v>
      </c>
      <c r="F34730" s="2">
        <v>4.6112964775928501E-2</v>
      </c>
    </row>
    <row r="34731" spans="1:6" x14ac:dyDescent="0.25">
      <c r="A34731" s="1" t="str">
        <f t="shared" si="1247"/>
        <v>44700</v>
      </c>
      <c r="B34731" s="1" t="str">
        <f>"95212"</f>
        <v>95212</v>
      </c>
      <c r="C34731" s="2">
        <v>3.0577256702589602E-2</v>
      </c>
      <c r="D34731" s="2">
        <v>8.7076076993583794E-3</v>
      </c>
      <c r="E34731" s="2">
        <v>9.5545876071378294E-3</v>
      </c>
      <c r="F34731" s="2">
        <v>2.83311022756788E-2</v>
      </c>
    </row>
    <row r="34732" spans="1:6" x14ac:dyDescent="0.25">
      <c r="A34732" s="1" t="str">
        <f t="shared" si="1247"/>
        <v>44700</v>
      </c>
      <c r="B34732" s="1" t="str">
        <f>"95361"</f>
        <v>95361</v>
      </c>
      <c r="C34732" s="2">
        <v>6.64965247207331E-4</v>
      </c>
      <c r="D34732" s="2">
        <v>4.1663194733772101E-5</v>
      </c>
      <c r="E34732" s="2">
        <v>0</v>
      </c>
      <c r="F34732" s="2">
        <v>5.9938862360392302E-4</v>
      </c>
    </row>
    <row r="34733" spans="1:6" x14ac:dyDescent="0.25">
      <c r="A34733" s="1" t="str">
        <f t="shared" si="1247"/>
        <v>44700</v>
      </c>
      <c r="B34733" s="1" t="str">
        <f>"95203"</f>
        <v>95203</v>
      </c>
      <c r="C34733" s="2">
        <v>2.2029295619773601E-2</v>
      </c>
      <c r="D34733" s="2">
        <v>2.9664194650445699E-2</v>
      </c>
      <c r="E34733" s="2">
        <v>5.71870170015455E-2</v>
      </c>
      <c r="F34733" s="2">
        <v>2.3472724487689198E-2</v>
      </c>
    </row>
    <row r="34734" spans="1:6" x14ac:dyDescent="0.25">
      <c r="A34734" s="1" t="str">
        <f t="shared" si="1247"/>
        <v>44700</v>
      </c>
      <c r="B34734" s="1" t="str">
        <f>"95219"</f>
        <v>95219</v>
      </c>
      <c r="C34734" s="2">
        <v>4.1844517008622198E-2</v>
      </c>
      <c r="D34734" s="2">
        <v>2.5872843929672502E-2</v>
      </c>
      <c r="E34734" s="2">
        <v>3.9482928200084297E-2</v>
      </c>
      <c r="F34734" s="2">
        <v>4.0512011082029599E-2</v>
      </c>
    </row>
    <row r="34735" spans="1:6" x14ac:dyDescent="0.25">
      <c r="A34735" s="1" t="str">
        <f t="shared" si="1247"/>
        <v>44700</v>
      </c>
      <c r="B34735" s="1" t="str">
        <f>"95241"</f>
        <v>95241</v>
      </c>
      <c r="C34735" s="2">
        <v>5.3791602120459E-3</v>
      </c>
      <c r="D34735" s="2">
        <v>2.2248145987834301E-2</v>
      </c>
      <c r="E34735" s="2">
        <v>2.8101728256287701E-4</v>
      </c>
      <c r="F34735" s="2">
        <v>6.60659460683436E-3</v>
      </c>
    </row>
    <row r="34736" spans="1:6" x14ac:dyDescent="0.25">
      <c r="A34736" s="1" t="str">
        <f t="shared" si="1247"/>
        <v>44700</v>
      </c>
      <c r="B34736" s="1" t="str">
        <f>"95385"</f>
        <v>95385</v>
      </c>
      <c r="C34736" s="2">
        <v>4.8293565439638599E-5</v>
      </c>
      <c r="D34736" s="2">
        <v>8.3326389467544296E-5</v>
      </c>
      <c r="E34736" s="2">
        <v>1.4050864128143799E-4</v>
      </c>
      <c r="F34736" s="2">
        <v>5.32789887647932E-5</v>
      </c>
    </row>
    <row r="34737" spans="1:6" x14ac:dyDescent="0.25">
      <c r="A34737" s="1" t="str">
        <f t="shared" ref="A34737:A34753" si="1248">"44740"</f>
        <v>44740</v>
      </c>
      <c r="B34737" s="1" t="str">
        <f>"51020"</f>
        <v>51020</v>
      </c>
      <c r="C34737" s="2">
        <v>5.8247903075489202E-4</v>
      </c>
      <c r="D34737" s="2">
        <v>0</v>
      </c>
      <c r="E34737" s="2">
        <v>0</v>
      </c>
      <c r="F34737" s="2">
        <v>5.1150895140664903E-4</v>
      </c>
    </row>
    <row r="34738" spans="1:6" x14ac:dyDescent="0.25">
      <c r="A34738" s="1" t="str">
        <f t="shared" si="1248"/>
        <v>44740</v>
      </c>
      <c r="B34738" s="1" t="str">
        <f>"50588"</f>
        <v>50588</v>
      </c>
      <c r="C34738" s="2">
        <v>0.57432432432432401</v>
      </c>
      <c r="D34738" s="2">
        <v>0.83021390374331505</v>
      </c>
      <c r="E34738" s="2">
        <v>0.81941309255078998</v>
      </c>
      <c r="F34738" s="2">
        <v>0.60501278772378497</v>
      </c>
    </row>
    <row r="34739" spans="1:6" x14ac:dyDescent="0.25">
      <c r="A34739" s="1" t="str">
        <f t="shared" si="1248"/>
        <v>44740</v>
      </c>
      <c r="B34739" s="1" t="str">
        <f>"50568"</f>
        <v>50568</v>
      </c>
      <c r="C34739" s="2">
        <v>7.1994408201304705E-2</v>
      </c>
      <c r="D34739" s="2">
        <v>8.0213903743315499E-3</v>
      </c>
      <c r="E34739" s="2">
        <v>1.8058690744920902E-2</v>
      </c>
      <c r="F34739" s="2">
        <v>6.4654731457800499E-2</v>
      </c>
    </row>
    <row r="34740" spans="1:6" x14ac:dyDescent="0.25">
      <c r="A34740" s="1" t="str">
        <f t="shared" si="1248"/>
        <v>44740</v>
      </c>
      <c r="B34740" s="1" t="str">
        <f>"51002"</f>
        <v>51002</v>
      </c>
      <c r="C34740" s="2">
        <v>0.15144454799627199</v>
      </c>
      <c r="D34740" s="2">
        <v>0.11363636363636299</v>
      </c>
      <c r="E34740" s="2">
        <v>0.10158013544018001</v>
      </c>
      <c r="F34740" s="2">
        <v>0.14629156010230099</v>
      </c>
    </row>
    <row r="34741" spans="1:6" x14ac:dyDescent="0.25">
      <c r="A34741" s="1" t="str">
        <f t="shared" si="1248"/>
        <v>44740</v>
      </c>
      <c r="B34741" s="1" t="str">
        <f>"50510"</f>
        <v>50510</v>
      </c>
      <c r="C34741" s="2">
        <v>6.0111835973904897E-2</v>
      </c>
      <c r="D34741" s="2">
        <v>6.6844919786096203E-3</v>
      </c>
      <c r="E34741" s="2">
        <v>2.4830699774266302E-2</v>
      </c>
      <c r="F34741" s="2">
        <v>5.4424552429667497E-2</v>
      </c>
    </row>
    <row r="34742" spans="1:6" x14ac:dyDescent="0.25">
      <c r="A34742" s="1" t="str">
        <f t="shared" si="1248"/>
        <v>44740</v>
      </c>
      <c r="B34742" s="1" t="str">
        <f>"50576"</f>
        <v>50576</v>
      </c>
      <c r="C34742" s="2">
        <v>2.0969245107176099E-2</v>
      </c>
      <c r="D34742" s="2">
        <v>1.3368983957219201E-3</v>
      </c>
      <c r="E34742" s="2">
        <v>2.2573363431151201E-3</v>
      </c>
      <c r="F34742" s="2">
        <v>1.8618925831202001E-2</v>
      </c>
    </row>
    <row r="34743" spans="1:6" x14ac:dyDescent="0.25">
      <c r="A34743" s="1" t="str">
        <f t="shared" si="1248"/>
        <v>44740</v>
      </c>
      <c r="B34743" s="1" t="str">
        <f>"51366"</f>
        <v>51366</v>
      </c>
      <c r="C34743" s="2">
        <v>4.6598322460391403E-4</v>
      </c>
      <c r="D34743" s="2">
        <v>0</v>
      </c>
      <c r="E34743" s="2">
        <v>0</v>
      </c>
      <c r="F34743" s="2">
        <v>4.0920716112531901E-4</v>
      </c>
    </row>
    <row r="34744" spans="1:6" x14ac:dyDescent="0.25">
      <c r="A34744" s="1" t="str">
        <f t="shared" si="1248"/>
        <v>44740</v>
      </c>
      <c r="B34744" s="1" t="str">
        <f>"50592"</f>
        <v>50592</v>
      </c>
      <c r="C34744" s="2">
        <v>0</v>
      </c>
      <c r="D34744" s="2">
        <v>1.3368983957219201E-3</v>
      </c>
      <c r="E34744" s="2">
        <v>2.2573363431151201E-3</v>
      </c>
      <c r="F34744" s="2">
        <v>2.0460358056265899E-4</v>
      </c>
    </row>
    <row r="34745" spans="1:6" x14ac:dyDescent="0.25">
      <c r="A34745" s="1" t="str">
        <f t="shared" si="1248"/>
        <v>44740</v>
      </c>
      <c r="B34745" s="1" t="str">
        <f>"50540"</f>
        <v>50540</v>
      </c>
      <c r="C34745" s="2">
        <v>4.6598322460391403E-4</v>
      </c>
      <c r="D34745" s="2">
        <v>0</v>
      </c>
      <c r="E34745" s="2">
        <v>0</v>
      </c>
      <c r="F34745" s="2">
        <v>4.0920716112531901E-4</v>
      </c>
    </row>
    <row r="34746" spans="1:6" x14ac:dyDescent="0.25">
      <c r="A34746" s="1" t="str">
        <f t="shared" si="1248"/>
        <v>44740</v>
      </c>
      <c r="B34746" s="1" t="str">
        <f>"50567"</f>
        <v>50567</v>
      </c>
      <c r="C34746" s="2">
        <v>1.1649580615097801E-4</v>
      </c>
      <c r="D34746" s="2">
        <v>0</v>
      </c>
      <c r="E34746" s="2">
        <v>0</v>
      </c>
      <c r="F34746" s="2">
        <v>1.0230179028132901E-4</v>
      </c>
    </row>
    <row r="34747" spans="1:6" x14ac:dyDescent="0.25">
      <c r="A34747" s="1" t="str">
        <f t="shared" si="1248"/>
        <v>44740</v>
      </c>
      <c r="B34747" s="1" t="str">
        <f>"50565"</f>
        <v>50565</v>
      </c>
      <c r="C34747" s="2">
        <v>3.1803355079217097E-2</v>
      </c>
      <c r="D34747" s="2">
        <v>2.6737967914438501E-3</v>
      </c>
      <c r="E34747" s="2">
        <v>2.03160270880361E-2</v>
      </c>
      <c r="F34747" s="2">
        <v>2.9053708439897599E-2</v>
      </c>
    </row>
    <row r="34748" spans="1:6" x14ac:dyDescent="0.25">
      <c r="A34748" s="1" t="str">
        <f t="shared" si="1248"/>
        <v>44740</v>
      </c>
      <c r="B34748" s="1" t="str">
        <f>"51053"</f>
        <v>51053</v>
      </c>
      <c r="C34748" s="2">
        <v>4.6598322460391403E-4</v>
      </c>
      <c r="D34748" s="2">
        <v>0</v>
      </c>
      <c r="E34748" s="2">
        <v>0</v>
      </c>
      <c r="F34748" s="2">
        <v>4.0920716112531901E-4</v>
      </c>
    </row>
    <row r="34749" spans="1:6" x14ac:dyDescent="0.25">
      <c r="A34749" s="1" t="str">
        <f t="shared" si="1248"/>
        <v>44740</v>
      </c>
      <c r="B34749" s="1" t="str">
        <f>"51047"</f>
        <v>51047</v>
      </c>
      <c r="C34749" s="2">
        <v>4.3103448275861999E-3</v>
      </c>
      <c r="D34749" s="2">
        <v>4.0106951871657697E-3</v>
      </c>
      <c r="E34749" s="2">
        <v>0</v>
      </c>
      <c r="F34749" s="2">
        <v>4.0920716112531896E-3</v>
      </c>
    </row>
    <row r="34750" spans="1:6" x14ac:dyDescent="0.25">
      <c r="A34750" s="1" t="str">
        <f t="shared" si="1248"/>
        <v>44740</v>
      </c>
      <c r="B34750" s="1" t="str">
        <f>"51005"</f>
        <v>51005</v>
      </c>
      <c r="C34750" s="2">
        <v>2.9123951537744601E-3</v>
      </c>
      <c r="D34750" s="2">
        <v>1.3368983957219201E-3</v>
      </c>
      <c r="E34750" s="2">
        <v>0</v>
      </c>
      <c r="F34750" s="2">
        <v>2.65984654731457E-3</v>
      </c>
    </row>
    <row r="34751" spans="1:6" x14ac:dyDescent="0.25">
      <c r="A34751" s="1" t="str">
        <f t="shared" si="1248"/>
        <v>44740</v>
      </c>
      <c r="B34751" s="1" t="str">
        <f>"50554"</f>
        <v>50554</v>
      </c>
      <c r="C34751" s="2">
        <v>4.6598322460391403E-4</v>
      </c>
      <c r="D34751" s="2">
        <v>0</v>
      </c>
      <c r="E34751" s="2">
        <v>0</v>
      </c>
      <c r="F34751" s="2">
        <v>4.0920716112531901E-4</v>
      </c>
    </row>
    <row r="34752" spans="1:6" x14ac:dyDescent="0.25">
      <c r="A34752" s="1" t="str">
        <f t="shared" si="1248"/>
        <v>44740</v>
      </c>
      <c r="B34752" s="1" t="str">
        <f>"50585"</f>
        <v>50585</v>
      </c>
      <c r="C34752" s="2">
        <v>5.8597390493942199E-2</v>
      </c>
      <c r="D34752" s="2">
        <v>2.4064171122994599E-2</v>
      </c>
      <c r="E34752" s="2">
        <v>1.12866817155756E-2</v>
      </c>
      <c r="F34752" s="2">
        <v>5.3810741687979502E-2</v>
      </c>
    </row>
    <row r="34753" spans="1:6" x14ac:dyDescent="0.25">
      <c r="A34753" s="1" t="str">
        <f t="shared" si="1248"/>
        <v>44740</v>
      </c>
      <c r="B34753" s="1" t="str">
        <f>"51033"</f>
        <v>51033</v>
      </c>
      <c r="C34753" s="2">
        <v>2.0969245107176099E-2</v>
      </c>
      <c r="D34753" s="2">
        <v>6.6844919786096203E-3</v>
      </c>
      <c r="E34753" s="2">
        <v>0</v>
      </c>
      <c r="F34753" s="2">
        <v>1.8925831202045999E-2</v>
      </c>
    </row>
    <row r="34754" spans="1:6" x14ac:dyDescent="0.25">
      <c r="A34754" s="1" t="str">
        <f t="shared" ref="A34754:A34768" si="1249">"44780"</f>
        <v>44780</v>
      </c>
      <c r="B34754" s="1" t="str">
        <f>"49040"</f>
        <v>49040</v>
      </c>
      <c r="C34754" s="2">
        <v>5.5649009578083601E-2</v>
      </c>
      <c r="D34754" s="2">
        <v>1.8455560951918401E-2</v>
      </c>
      <c r="E34754" s="2">
        <v>1.6229712858926298E-2</v>
      </c>
      <c r="F34754" s="2">
        <v>5.2267967113695302E-2</v>
      </c>
    </row>
    <row r="34755" spans="1:6" x14ac:dyDescent="0.25">
      <c r="A34755" s="1" t="str">
        <f t="shared" si="1249"/>
        <v>44780</v>
      </c>
      <c r="B34755" s="1" t="str">
        <f>"49087"</f>
        <v>49087</v>
      </c>
      <c r="C34755" s="2">
        <v>6.8660098183940399E-5</v>
      </c>
      <c r="D34755" s="2">
        <v>0</v>
      </c>
      <c r="E34755" s="2">
        <v>0</v>
      </c>
      <c r="F34755" s="2">
        <v>6.2521491762793403E-5</v>
      </c>
    </row>
    <row r="34756" spans="1:6" x14ac:dyDescent="0.25">
      <c r="A34756" s="1" t="str">
        <f t="shared" si="1249"/>
        <v>44780</v>
      </c>
      <c r="B34756" s="1" t="str">
        <f>"49030"</f>
        <v>49030</v>
      </c>
      <c r="C34756" s="2">
        <v>3.7831714099351099E-2</v>
      </c>
      <c r="D34756" s="2">
        <v>1.2627489072365199E-2</v>
      </c>
      <c r="E34756" s="2">
        <v>7.4906367041198503E-3</v>
      </c>
      <c r="F34756" s="2">
        <v>3.5449685829503801E-2</v>
      </c>
    </row>
    <row r="34757" spans="1:6" x14ac:dyDescent="0.25">
      <c r="A34757" s="1" t="str">
        <f t="shared" si="1249"/>
        <v>44780</v>
      </c>
      <c r="B34757" s="1" t="str">
        <f>"49042"</f>
        <v>49042</v>
      </c>
      <c r="C34757" s="2">
        <v>7.2470733633149001E-2</v>
      </c>
      <c r="D34757" s="2">
        <v>6.1194754735308401E-2</v>
      </c>
      <c r="E34757" s="2">
        <v>3.6204744069912601E-2</v>
      </c>
      <c r="F34757" s="2">
        <v>7.0836850167244905E-2</v>
      </c>
    </row>
    <row r="34758" spans="1:6" x14ac:dyDescent="0.25">
      <c r="A34758" s="1" t="str">
        <f t="shared" si="1249"/>
        <v>44780</v>
      </c>
      <c r="B34758" s="1" t="str">
        <f>"49052"</f>
        <v>49052</v>
      </c>
      <c r="C34758" s="2">
        <v>2.40310343643791E-4</v>
      </c>
      <c r="D34758" s="2">
        <v>0</v>
      </c>
      <c r="E34758" s="2">
        <v>0</v>
      </c>
      <c r="F34758" s="2">
        <v>2.1882522116977701E-4</v>
      </c>
    </row>
    <row r="34759" spans="1:6" x14ac:dyDescent="0.25">
      <c r="A34759" s="1" t="str">
        <f t="shared" si="1249"/>
        <v>44780</v>
      </c>
      <c r="B34759" s="1" t="str">
        <f>"49011"</f>
        <v>49011</v>
      </c>
      <c r="C34759" s="2">
        <v>3.7763054001167199E-4</v>
      </c>
      <c r="D34759" s="2">
        <v>4.8567265662943099E-4</v>
      </c>
      <c r="E34759" s="2">
        <v>0</v>
      </c>
      <c r="F34759" s="2">
        <v>3.7512895057676001E-4</v>
      </c>
    </row>
    <row r="34760" spans="1:6" x14ac:dyDescent="0.25">
      <c r="A34760" s="1" t="str">
        <f t="shared" si="1249"/>
        <v>44780</v>
      </c>
      <c r="B34760" s="1" t="str">
        <f>"49097"</f>
        <v>49097</v>
      </c>
      <c r="C34760" s="2">
        <v>1.8538226509663899E-3</v>
      </c>
      <c r="D34760" s="2">
        <v>0</v>
      </c>
      <c r="E34760" s="2">
        <v>0</v>
      </c>
      <c r="F34760" s="2">
        <v>1.68808027759542E-3</v>
      </c>
    </row>
    <row r="34761" spans="1:6" x14ac:dyDescent="0.25">
      <c r="A34761" s="1" t="str">
        <f t="shared" si="1249"/>
        <v>44780</v>
      </c>
      <c r="B34761" s="1" t="str">
        <f>"49075"</f>
        <v>49075</v>
      </c>
      <c r="C34761" s="2">
        <v>0</v>
      </c>
      <c r="D34761" s="2">
        <v>9.7134531325886295E-4</v>
      </c>
      <c r="E34761" s="2">
        <v>0</v>
      </c>
      <c r="F34761" s="2">
        <v>6.2521491762793403E-5</v>
      </c>
    </row>
    <row r="34762" spans="1:6" x14ac:dyDescent="0.25">
      <c r="A34762" s="1" t="str">
        <f t="shared" si="1249"/>
        <v>44780</v>
      </c>
      <c r="B34762" s="1" t="str">
        <f>"49072"</f>
        <v>49072</v>
      </c>
      <c r="C34762" s="2">
        <v>4.7753098286930501E-2</v>
      </c>
      <c r="D34762" s="2">
        <v>1.4084507042253501E-2</v>
      </c>
      <c r="E34762" s="2">
        <v>1.2484394506866401E-2</v>
      </c>
      <c r="F34762" s="2">
        <v>4.4702866610397303E-2</v>
      </c>
    </row>
    <row r="34763" spans="1:6" x14ac:dyDescent="0.25">
      <c r="A34763" s="1" t="str">
        <f t="shared" si="1249"/>
        <v>44780</v>
      </c>
      <c r="B34763" s="1" t="str">
        <f>"49093"</f>
        <v>49093</v>
      </c>
      <c r="C34763" s="2">
        <v>0.30310000343300397</v>
      </c>
      <c r="D34763" s="2">
        <v>0.34482758620689602</v>
      </c>
      <c r="E34763" s="2">
        <v>0.38077403245942498</v>
      </c>
      <c r="F34763" s="2">
        <v>0.30773078245646901</v>
      </c>
    </row>
    <row r="34764" spans="1:6" x14ac:dyDescent="0.25">
      <c r="A34764" s="1" t="str">
        <f t="shared" si="1249"/>
        <v>44780</v>
      </c>
      <c r="B34764" s="1" t="str">
        <f>"49032"</f>
        <v>49032</v>
      </c>
      <c r="C34764" s="2">
        <v>4.04064677812489E-2</v>
      </c>
      <c r="D34764" s="2">
        <v>3.4482758620689599E-2</v>
      </c>
      <c r="E34764" s="2">
        <v>4.2446941323345803E-2</v>
      </c>
      <c r="F34764" s="2">
        <v>4.00762762199506E-2</v>
      </c>
    </row>
    <row r="34765" spans="1:6" x14ac:dyDescent="0.25">
      <c r="A34765" s="1" t="str">
        <f t="shared" si="1249"/>
        <v>44780</v>
      </c>
      <c r="B34765" s="1" t="str">
        <f>"49067"</f>
        <v>49067</v>
      </c>
      <c r="C34765" s="2">
        <v>1.1912527034913601E-2</v>
      </c>
      <c r="D34765" s="2">
        <v>1.94269062651772E-3</v>
      </c>
      <c r="E34765" s="2">
        <v>0</v>
      </c>
      <c r="F34765" s="2">
        <v>1.09725218043702E-2</v>
      </c>
    </row>
    <row r="34766" spans="1:6" x14ac:dyDescent="0.25">
      <c r="A34766" s="1" t="str">
        <f t="shared" si="1249"/>
        <v>44780</v>
      </c>
      <c r="B34766" s="1" t="str">
        <f>"49099"</f>
        <v>49099</v>
      </c>
      <c r="C34766" s="2">
        <v>8.0469635071578102E-2</v>
      </c>
      <c r="D34766" s="2">
        <v>5.6338028169014003E-2</v>
      </c>
      <c r="E34766" s="2">
        <v>2.8714107365792701E-2</v>
      </c>
      <c r="F34766" s="2">
        <v>7.7620432023508004E-2</v>
      </c>
    </row>
    <row r="34767" spans="1:6" x14ac:dyDescent="0.25">
      <c r="A34767" s="1" t="str">
        <f t="shared" si="1249"/>
        <v>44780</v>
      </c>
      <c r="B34767" s="1" t="str">
        <f>"49091"</f>
        <v>49091</v>
      </c>
      <c r="C34767" s="2">
        <v>0.33705242198496299</v>
      </c>
      <c r="D34767" s="2">
        <v>0.45264691597862999</v>
      </c>
      <c r="E34767" s="2">
        <v>0.47565543071160998</v>
      </c>
      <c r="F34767" s="2">
        <v>0.34796336240582698</v>
      </c>
    </row>
    <row r="34768" spans="1:6" x14ac:dyDescent="0.25">
      <c r="A34768" s="1" t="str">
        <f t="shared" si="1249"/>
        <v>44780</v>
      </c>
      <c r="B34768" s="1" t="str">
        <f>"49066"</f>
        <v>49066</v>
      </c>
      <c r="C34768" s="2">
        <v>1.08139654639706E-2</v>
      </c>
      <c r="D34768" s="2">
        <v>1.94269062651772E-3</v>
      </c>
      <c r="E34768" s="2">
        <v>0</v>
      </c>
      <c r="F34768" s="2">
        <v>9.9721779361655501E-3</v>
      </c>
    </row>
    <row r="34769" spans="1:6" x14ac:dyDescent="0.25">
      <c r="A34769" s="1" t="str">
        <f t="shared" ref="A34769:A34782" si="1250">"44860"</f>
        <v>44860</v>
      </c>
      <c r="B34769" s="1" t="str">
        <f>"75478"</f>
        <v>75478</v>
      </c>
      <c r="C34769" s="2">
        <v>2.50966987496626E-2</v>
      </c>
      <c r="D34769" s="2">
        <v>2.7901785714285702E-3</v>
      </c>
      <c r="E34769" s="2">
        <v>2.3980815347721799E-3</v>
      </c>
      <c r="F34769" s="2">
        <v>2.30740907417256E-2</v>
      </c>
    </row>
    <row r="34770" spans="1:6" x14ac:dyDescent="0.25">
      <c r="A34770" s="1" t="str">
        <f t="shared" si="1250"/>
        <v>44860</v>
      </c>
      <c r="B34770" s="1" t="str">
        <f>"75497"</f>
        <v>75497</v>
      </c>
      <c r="C34770" s="2">
        <v>9.5799226410002592E-3</v>
      </c>
      <c r="D34770" s="2">
        <v>1.1160714285714201E-3</v>
      </c>
      <c r="E34770" s="2">
        <v>0</v>
      </c>
      <c r="F34770" s="2">
        <v>8.7959743075727206E-3</v>
      </c>
    </row>
    <row r="34771" spans="1:6" x14ac:dyDescent="0.25">
      <c r="A34771" s="1" t="str">
        <f t="shared" si="1250"/>
        <v>44860</v>
      </c>
      <c r="B34771" s="1" t="str">
        <f>"75471"</f>
        <v>75471</v>
      </c>
      <c r="C34771" s="2">
        <v>4.5380948097508297E-2</v>
      </c>
      <c r="D34771" s="2">
        <v>1.1160714285714201E-3</v>
      </c>
      <c r="E34771" s="2">
        <v>1.9184652278177401E-2</v>
      </c>
      <c r="F34771" s="2">
        <v>4.1688827067053902E-2</v>
      </c>
    </row>
    <row r="34772" spans="1:6" x14ac:dyDescent="0.25">
      <c r="A34772" s="1" t="str">
        <f t="shared" si="1250"/>
        <v>44860</v>
      </c>
      <c r="B34772" s="1" t="str">
        <f>"75431"</f>
        <v>75431</v>
      </c>
      <c r="C34772" s="2">
        <v>4.38517585679589E-2</v>
      </c>
      <c r="D34772" s="2">
        <v>1.5625E-2</v>
      </c>
      <c r="E34772" s="2">
        <v>2.3980815347721798E-2</v>
      </c>
      <c r="F34772" s="2">
        <v>4.1443358016609998E-2</v>
      </c>
    </row>
    <row r="34773" spans="1:6" x14ac:dyDescent="0.25">
      <c r="A34773" s="1" t="str">
        <f t="shared" si="1250"/>
        <v>44860</v>
      </c>
      <c r="B34773" s="1" t="str">
        <f>"75482"</f>
        <v>75482</v>
      </c>
      <c r="C34773" s="2">
        <v>0.64761176576414503</v>
      </c>
      <c r="D34773" s="2">
        <v>0.73325892857142805</v>
      </c>
      <c r="E34773" s="2">
        <v>0.91127098321342903</v>
      </c>
      <c r="F34773" s="2">
        <v>0.65838890479891898</v>
      </c>
    </row>
    <row r="34774" spans="1:6" x14ac:dyDescent="0.25">
      <c r="A34774" s="1" t="str">
        <f t="shared" si="1250"/>
        <v>44860</v>
      </c>
      <c r="B34774" s="1" t="str">
        <f>"75483"</f>
        <v>75483</v>
      </c>
      <c r="C34774" s="2">
        <v>4.29972114779167E-2</v>
      </c>
      <c r="D34774" s="2">
        <v>0.202566964285714</v>
      </c>
      <c r="E34774" s="2">
        <v>4.7961630695443598E-3</v>
      </c>
      <c r="F34774" s="2">
        <v>5.4044102606063002E-2</v>
      </c>
    </row>
    <row r="34775" spans="1:6" x14ac:dyDescent="0.25">
      <c r="A34775" s="1" t="str">
        <f t="shared" si="1250"/>
        <v>44860</v>
      </c>
      <c r="B34775" s="1" t="str">
        <f>"75457"</f>
        <v>75457</v>
      </c>
      <c r="C34775" s="2">
        <v>4.4976162633803998E-5</v>
      </c>
      <c r="D34775" s="2">
        <v>0</v>
      </c>
      <c r="E34775" s="2">
        <v>0</v>
      </c>
      <c r="F34775" s="2">
        <v>4.09115084073149E-5</v>
      </c>
    </row>
    <row r="34776" spans="1:6" x14ac:dyDescent="0.25">
      <c r="A34776" s="1" t="str">
        <f t="shared" si="1250"/>
        <v>44860</v>
      </c>
      <c r="B34776" s="1" t="str">
        <f>"75420"</f>
        <v>75420</v>
      </c>
      <c r="C34776" s="2">
        <v>3.7285238823423501E-2</v>
      </c>
      <c r="D34776" s="2">
        <v>6.6964285714285702E-3</v>
      </c>
      <c r="E34776" s="2">
        <v>2.3980815347721799E-3</v>
      </c>
      <c r="F34776" s="2">
        <v>3.4447490078959198E-2</v>
      </c>
    </row>
    <row r="34777" spans="1:6" x14ac:dyDescent="0.25">
      <c r="A34777" s="1" t="str">
        <f t="shared" si="1250"/>
        <v>44860</v>
      </c>
      <c r="B34777" s="1" t="str">
        <f>"75437"</f>
        <v>75437</v>
      </c>
      <c r="C34777" s="2">
        <v>3.7959881262930602E-2</v>
      </c>
      <c r="D34777" s="2">
        <v>3.90625E-3</v>
      </c>
      <c r="E34777" s="2">
        <v>4.7961630695443598E-3</v>
      </c>
      <c r="F34777" s="2">
        <v>3.4897516671439602E-2</v>
      </c>
    </row>
    <row r="34778" spans="1:6" x14ac:dyDescent="0.25">
      <c r="A34778" s="1" t="str">
        <f t="shared" si="1250"/>
        <v>44860</v>
      </c>
      <c r="B34778" s="1" t="str">
        <f>"75453"</f>
        <v>75453</v>
      </c>
      <c r="C34778" s="2">
        <v>3.5980930107043199E-3</v>
      </c>
      <c r="D34778" s="2">
        <v>0</v>
      </c>
      <c r="E34778" s="2">
        <v>0</v>
      </c>
      <c r="F34778" s="2">
        <v>3.2729206725851901E-3</v>
      </c>
    </row>
    <row r="34779" spans="1:6" x14ac:dyDescent="0.25">
      <c r="A34779" s="1" t="str">
        <f t="shared" si="1250"/>
        <v>44860</v>
      </c>
      <c r="B34779" s="1" t="str">
        <f>"75472"</f>
        <v>75472</v>
      </c>
      <c r="C34779" s="2">
        <v>9.4449941530988502E-4</v>
      </c>
      <c r="D34779" s="2">
        <v>0</v>
      </c>
      <c r="E34779" s="2">
        <v>0</v>
      </c>
      <c r="F34779" s="2">
        <v>8.5914167655361403E-4</v>
      </c>
    </row>
    <row r="34780" spans="1:6" x14ac:dyDescent="0.25">
      <c r="A34780" s="1" t="str">
        <f t="shared" si="1250"/>
        <v>44860</v>
      </c>
      <c r="B34780" s="1" t="str">
        <f>"75481"</f>
        <v>75481</v>
      </c>
      <c r="C34780" s="2">
        <v>1.1019159845282E-2</v>
      </c>
      <c r="D34780" s="2">
        <v>1.6741071428571399E-3</v>
      </c>
      <c r="E34780" s="2">
        <v>4.7961630695443598E-3</v>
      </c>
      <c r="F34780" s="2">
        <v>1.02278771018287E-2</v>
      </c>
    </row>
    <row r="34781" spans="1:6" x14ac:dyDescent="0.25">
      <c r="A34781" s="1" t="str">
        <f t="shared" si="1250"/>
        <v>44860</v>
      </c>
      <c r="B34781" s="1" t="str">
        <f>"75433"</f>
        <v>75433</v>
      </c>
      <c r="C34781" s="2">
        <v>7.8843213097058495E-2</v>
      </c>
      <c r="D34781" s="2">
        <v>2.34375E-2</v>
      </c>
      <c r="E34781" s="2">
        <v>2.6378896882494E-2</v>
      </c>
      <c r="F34781" s="2">
        <v>7.3886184183610801E-2</v>
      </c>
    </row>
    <row r="34782" spans="1:6" x14ac:dyDescent="0.25">
      <c r="A34782" s="1" t="str">
        <f t="shared" si="1250"/>
        <v>44860</v>
      </c>
      <c r="B34782" s="1" t="str">
        <f>"75494"</f>
        <v>75494</v>
      </c>
      <c r="C34782" s="2">
        <v>1.57866330844652E-2</v>
      </c>
      <c r="D34782" s="2">
        <v>7.8125E-3</v>
      </c>
      <c r="E34782" s="2">
        <v>0</v>
      </c>
      <c r="F34782" s="2">
        <v>1.49327005686699E-2</v>
      </c>
    </row>
    <row r="34783" spans="1:6" x14ac:dyDescent="0.25">
      <c r="A34783" s="1" t="str">
        <f t="shared" ref="A34783:A34788" si="1251">"44900"</f>
        <v>44900</v>
      </c>
      <c r="B34783" s="1" t="str">
        <f>"30747"</f>
        <v>30747</v>
      </c>
      <c r="C34783" s="2">
        <v>0.61634639590500895</v>
      </c>
      <c r="D34783" s="2">
        <v>0.69034852546916803</v>
      </c>
      <c r="E34783" s="2">
        <v>0.66</v>
      </c>
      <c r="F34783" s="2">
        <v>0.62101386821280202</v>
      </c>
    </row>
    <row r="34784" spans="1:6" x14ac:dyDescent="0.25">
      <c r="A34784" s="1" t="str">
        <f t="shared" si="1251"/>
        <v>44900</v>
      </c>
      <c r="B34784" s="1" t="str">
        <f>"30165"</f>
        <v>30165</v>
      </c>
      <c r="C34784" s="2">
        <v>1.9300159436099599E-3</v>
      </c>
      <c r="D34784" s="2">
        <v>0</v>
      </c>
      <c r="E34784" s="2">
        <v>0</v>
      </c>
      <c r="F34784" s="2">
        <v>1.80208414949463E-3</v>
      </c>
    </row>
    <row r="34785" spans="1:6" x14ac:dyDescent="0.25">
      <c r="A34785" s="1" t="str">
        <f t="shared" si="1251"/>
        <v>44900</v>
      </c>
      <c r="B34785" s="1" t="str">
        <f>"30105"</f>
        <v>30105</v>
      </c>
      <c r="C34785" s="2">
        <v>6.4613577242594597E-3</v>
      </c>
      <c r="D34785" s="2">
        <v>2.6809651474530801E-3</v>
      </c>
      <c r="E34785" s="2">
        <v>0</v>
      </c>
      <c r="F34785" s="2">
        <v>6.1897672960902596E-3</v>
      </c>
    </row>
    <row r="34786" spans="1:6" x14ac:dyDescent="0.25">
      <c r="A34786" s="1" t="str">
        <f t="shared" si="1251"/>
        <v>44900</v>
      </c>
      <c r="B34786" s="1" t="str">
        <f>"30730"</f>
        <v>30730</v>
      </c>
      <c r="C34786" s="2">
        <v>8.1312410841654706E-2</v>
      </c>
      <c r="D34786" s="2">
        <v>4.5576407506702402E-2</v>
      </c>
      <c r="E34786" s="2">
        <v>0.12</v>
      </c>
      <c r="F34786" s="2">
        <v>7.9526757032045703E-2</v>
      </c>
    </row>
    <row r="34787" spans="1:6" x14ac:dyDescent="0.25">
      <c r="A34787" s="1" t="str">
        <f t="shared" si="1251"/>
        <v>44900</v>
      </c>
      <c r="B34787" s="1" t="str">
        <f>"30753"</f>
        <v>30753</v>
      </c>
      <c r="C34787" s="2">
        <v>0.207602584543089</v>
      </c>
      <c r="D34787" s="2">
        <v>0.20643431635388701</v>
      </c>
      <c r="E34787" s="2">
        <v>0.22</v>
      </c>
      <c r="F34787" s="2">
        <v>0.20763143461568501</v>
      </c>
    </row>
    <row r="34788" spans="1:6" x14ac:dyDescent="0.25">
      <c r="A34788" s="1" t="str">
        <f t="shared" si="1251"/>
        <v>44900</v>
      </c>
      <c r="B34788" s="1" t="str">
        <f>"30731"</f>
        <v>30731</v>
      </c>
      <c r="C34788" s="2">
        <v>8.6347235042376402E-2</v>
      </c>
      <c r="D34788" s="2">
        <v>5.4959785522788199E-2</v>
      </c>
      <c r="E34788" s="2">
        <v>0</v>
      </c>
      <c r="F34788" s="2">
        <v>8.3836088693880706E-2</v>
      </c>
    </row>
    <row r="34789" spans="1:6" x14ac:dyDescent="0.25">
      <c r="A34789" s="1" t="str">
        <f t="shared" ref="A34789:A34811" si="1252">"44940"</f>
        <v>44940</v>
      </c>
      <c r="B34789" s="1" t="str">
        <f>"29080"</f>
        <v>29080</v>
      </c>
      <c r="C34789" s="2">
        <v>1.0656876091470299E-2</v>
      </c>
      <c r="D34789" s="2">
        <v>6.5099457504520699E-3</v>
      </c>
      <c r="E34789" s="2">
        <v>0</v>
      </c>
      <c r="F34789" s="2">
        <v>1.01842201097534E-2</v>
      </c>
    </row>
    <row r="34790" spans="1:6" x14ac:dyDescent="0.25">
      <c r="A34790" s="1" t="str">
        <f t="shared" si="1252"/>
        <v>44940</v>
      </c>
      <c r="B34790" s="1" t="str">
        <f>"29154"</f>
        <v>29154</v>
      </c>
      <c r="C34790" s="2">
        <v>0.19314384720102301</v>
      </c>
      <c r="D34790" s="2">
        <v>7.3779385171790196E-2</v>
      </c>
      <c r="E34790" s="2">
        <v>0.153623188405797</v>
      </c>
      <c r="F34790" s="2">
        <v>0.18416987932138601</v>
      </c>
    </row>
    <row r="34791" spans="1:6" x14ac:dyDescent="0.25">
      <c r="A34791" s="1" t="str">
        <f t="shared" si="1252"/>
        <v>44940</v>
      </c>
      <c r="B34791" s="1" t="str">
        <f>"29168"</f>
        <v>29168</v>
      </c>
      <c r="C34791" s="2">
        <v>2.0914978755001801E-2</v>
      </c>
      <c r="D34791" s="2">
        <v>4.1591320072332698E-3</v>
      </c>
      <c r="E34791" s="2">
        <v>7.2463768115942004E-3</v>
      </c>
      <c r="F34791" s="2">
        <v>1.9514522873683E-2</v>
      </c>
    </row>
    <row r="34792" spans="1:6" x14ac:dyDescent="0.25">
      <c r="A34792" s="1" t="str">
        <f t="shared" si="1252"/>
        <v>44940</v>
      </c>
      <c r="B34792" s="1" t="str">
        <f>"29051"</f>
        <v>29051</v>
      </c>
      <c r="C34792" s="2">
        <v>5.5003231439846997E-3</v>
      </c>
      <c r="D34792" s="2">
        <v>3.4358047016274798E-3</v>
      </c>
      <c r="E34792" s="2">
        <v>0</v>
      </c>
      <c r="F34792" s="2">
        <v>5.2616377632388502E-3</v>
      </c>
    </row>
    <row r="34793" spans="1:6" x14ac:dyDescent="0.25">
      <c r="A34793" s="1" t="str">
        <f t="shared" si="1252"/>
        <v>44940</v>
      </c>
      <c r="B34793" s="1" t="str">
        <f>"29153"</f>
        <v>29153</v>
      </c>
      <c r="C34793" s="2">
        <v>0.103653589648391</v>
      </c>
      <c r="D34793" s="2">
        <v>7.4683544303797395E-2</v>
      </c>
      <c r="E34793" s="2">
        <v>8.3333333333333301E-2</v>
      </c>
      <c r="F34793" s="2">
        <v>0.101289666344354</v>
      </c>
    </row>
    <row r="34794" spans="1:6" x14ac:dyDescent="0.25">
      <c r="A34794" s="1" t="str">
        <f t="shared" si="1252"/>
        <v>44940</v>
      </c>
      <c r="B34794" s="1" t="str">
        <f>"29162"</f>
        <v>29162</v>
      </c>
      <c r="C34794" s="2">
        <v>1.9072370501766901E-2</v>
      </c>
      <c r="D34794" s="2">
        <v>6.3291139240506302E-3</v>
      </c>
      <c r="E34794" s="2">
        <v>0</v>
      </c>
      <c r="F34794" s="2">
        <v>1.7856918614142299E-2</v>
      </c>
    </row>
    <row r="34795" spans="1:6" x14ac:dyDescent="0.25">
      <c r="A34795" s="1" t="str">
        <f t="shared" si="1252"/>
        <v>44940</v>
      </c>
      <c r="B34795" s="1" t="str">
        <f>"29114"</f>
        <v>29114</v>
      </c>
      <c r="C34795" s="2">
        <v>3.2726922706709E-3</v>
      </c>
      <c r="D34795" s="2">
        <v>1.2658227848101201E-3</v>
      </c>
      <c r="E34795" s="2">
        <v>0</v>
      </c>
      <c r="F34795" s="2">
        <v>3.0766139665716402E-3</v>
      </c>
    </row>
    <row r="34796" spans="1:6" x14ac:dyDescent="0.25">
      <c r="A34796" s="1" t="str">
        <f t="shared" si="1252"/>
        <v>44940</v>
      </c>
      <c r="B34796" s="1" t="str">
        <f>"29102"</f>
        <v>29102</v>
      </c>
      <c r="C34796" s="2">
        <v>0.133479091896648</v>
      </c>
      <c r="D34796" s="2">
        <v>0.156057866184448</v>
      </c>
      <c r="E34796" s="2">
        <v>2.9710144927536201E-2</v>
      </c>
      <c r="F34796" s="2">
        <v>0.13324877877261901</v>
      </c>
    </row>
    <row r="34797" spans="1:6" x14ac:dyDescent="0.25">
      <c r="A34797" s="1" t="str">
        <f t="shared" si="1252"/>
        <v>44940</v>
      </c>
      <c r="B34797" s="1" t="str">
        <f>"29001"</f>
        <v>29001</v>
      </c>
      <c r="C34797" s="2">
        <v>1.3970820785721099E-2</v>
      </c>
      <c r="D34797" s="2">
        <v>4.5207956600361596E-3</v>
      </c>
      <c r="E34797" s="2">
        <v>1.4492753623188399E-3</v>
      </c>
      <c r="F34797" s="2">
        <v>1.30975851719764E-2</v>
      </c>
    </row>
    <row r="34798" spans="1:6" x14ac:dyDescent="0.25">
      <c r="A34798" s="1" t="str">
        <f t="shared" si="1252"/>
        <v>44940</v>
      </c>
      <c r="B34798" s="1" t="str">
        <f>"29152"</f>
        <v>29152</v>
      </c>
      <c r="C34798" s="2">
        <v>2.12587489515009E-2</v>
      </c>
      <c r="D34798" s="2">
        <v>1.4828209764918601E-2</v>
      </c>
      <c r="E34798" s="2">
        <v>0.24492753623188401</v>
      </c>
      <c r="F34798" s="2">
        <v>2.4688257380734099E-2</v>
      </c>
    </row>
    <row r="34799" spans="1:6" x14ac:dyDescent="0.25">
      <c r="A34799" s="1" t="str">
        <f t="shared" si="1252"/>
        <v>44940</v>
      </c>
      <c r="B34799" s="1" t="str">
        <f>"29111"</f>
        <v>29111</v>
      </c>
      <c r="C34799" s="2">
        <v>8.6905105674958405E-3</v>
      </c>
      <c r="D34799" s="2">
        <v>1.9891500904159099E-3</v>
      </c>
      <c r="E34799" s="2">
        <v>0</v>
      </c>
      <c r="F34799" s="2">
        <v>8.07454196124722E-3</v>
      </c>
    </row>
    <row r="34800" spans="1:6" x14ac:dyDescent="0.25">
      <c r="A34800" s="1" t="str">
        <f t="shared" si="1252"/>
        <v>44940</v>
      </c>
      <c r="B34800" s="1" t="str">
        <f>"29125"</f>
        <v>29125</v>
      </c>
      <c r="C34800" s="2">
        <v>2.15200143008401E-2</v>
      </c>
      <c r="D34800" s="2">
        <v>8.1374321880650895E-3</v>
      </c>
      <c r="E34800" s="2">
        <v>0</v>
      </c>
      <c r="F34800" s="2">
        <v>2.0217748923185098E-2</v>
      </c>
    </row>
    <row r="34801" spans="1:6" x14ac:dyDescent="0.25">
      <c r="A34801" s="1" t="str">
        <f t="shared" si="1252"/>
        <v>44940</v>
      </c>
      <c r="B34801" s="1" t="str">
        <f>"29151"</f>
        <v>29151</v>
      </c>
      <c r="C34801" s="2">
        <v>2.82716609600814E-2</v>
      </c>
      <c r="D34801" s="2">
        <v>0.121157323688969</v>
      </c>
      <c r="E34801" s="2">
        <v>7.2463768115941997E-4</v>
      </c>
      <c r="F34801" s="2">
        <v>3.42445970891464E-2</v>
      </c>
    </row>
    <row r="34802" spans="1:6" x14ac:dyDescent="0.25">
      <c r="A34802" s="1" t="str">
        <f t="shared" si="1252"/>
        <v>44940</v>
      </c>
      <c r="B34802" s="1" t="str">
        <f>"29560"</f>
        <v>29560</v>
      </c>
      <c r="C34802" s="2">
        <v>4.3452552837479202E-3</v>
      </c>
      <c r="D34802" s="2">
        <v>3.0741410488245901E-3</v>
      </c>
      <c r="E34802" s="2">
        <v>0</v>
      </c>
      <c r="F34802" s="2">
        <v>4.1816834729320696E-3</v>
      </c>
    </row>
    <row r="34803" spans="1:6" x14ac:dyDescent="0.25">
      <c r="A34803" s="1" t="str">
        <f t="shared" si="1252"/>
        <v>44940</v>
      </c>
      <c r="B34803" s="1" t="str">
        <f>"29104"</f>
        <v>29104</v>
      </c>
      <c r="C34803" s="2">
        <v>4.7440287116868101E-3</v>
      </c>
      <c r="D34803" s="2">
        <v>1.6274864376130101E-3</v>
      </c>
      <c r="E34803" s="2">
        <v>4.3478260869565201E-3</v>
      </c>
      <c r="F34803" s="2">
        <v>4.5207388896562903E-3</v>
      </c>
    </row>
    <row r="34804" spans="1:6" x14ac:dyDescent="0.25">
      <c r="A34804" s="1" t="str">
        <f t="shared" si="1252"/>
        <v>44940</v>
      </c>
      <c r="B34804" s="1" t="str">
        <f>"29062"</f>
        <v>29062</v>
      </c>
      <c r="C34804" s="2">
        <v>0</v>
      </c>
      <c r="D34804" s="2">
        <v>0</v>
      </c>
      <c r="E34804" s="2">
        <v>7.2463768115941997E-4</v>
      </c>
      <c r="F34804" s="2">
        <v>1.2557608026822999E-5</v>
      </c>
    </row>
    <row r="34805" spans="1:6" x14ac:dyDescent="0.25">
      <c r="A34805" s="1" t="str">
        <f t="shared" si="1252"/>
        <v>44940</v>
      </c>
      <c r="B34805" s="1" t="str">
        <f>"29056"</f>
        <v>29056</v>
      </c>
      <c r="C34805" s="2">
        <v>1.1413170523768201E-3</v>
      </c>
      <c r="D34805" s="2">
        <v>9.0415913200723303E-4</v>
      </c>
      <c r="E34805" s="2">
        <v>0</v>
      </c>
      <c r="F34805" s="2">
        <v>1.1050695063604199E-3</v>
      </c>
    </row>
    <row r="34806" spans="1:6" x14ac:dyDescent="0.25">
      <c r="A34806" s="1" t="str">
        <f t="shared" si="1252"/>
        <v>44940</v>
      </c>
      <c r="B34806" s="1" t="str">
        <f>"29518"</f>
        <v>29518</v>
      </c>
      <c r="C34806" s="2">
        <v>1.5125888645957901E-4</v>
      </c>
      <c r="D34806" s="2">
        <v>3.6166365280289298E-4</v>
      </c>
      <c r="E34806" s="2">
        <v>0</v>
      </c>
      <c r="F34806" s="2">
        <v>1.6324890434869899E-4</v>
      </c>
    </row>
    <row r="34807" spans="1:6" x14ac:dyDescent="0.25">
      <c r="A34807" s="1" t="str">
        <f t="shared" si="1252"/>
        <v>44940</v>
      </c>
      <c r="B34807" s="1" t="str">
        <f>"29041"</f>
        <v>29041</v>
      </c>
      <c r="C34807" s="2">
        <v>0</v>
      </c>
      <c r="D34807" s="2">
        <v>0</v>
      </c>
      <c r="E34807" s="2">
        <v>7.2463768115941997E-4</v>
      </c>
      <c r="F34807" s="2">
        <v>1.2557608026822999E-5</v>
      </c>
    </row>
    <row r="34808" spans="1:6" x14ac:dyDescent="0.25">
      <c r="A34808" s="1" t="str">
        <f t="shared" si="1252"/>
        <v>44940</v>
      </c>
      <c r="B34808" s="1" t="str">
        <f>"29148"</f>
        <v>29148</v>
      </c>
      <c r="C34808" s="2">
        <v>5.35593966145511E-2</v>
      </c>
      <c r="D34808" s="2">
        <v>2.0433996383363399E-2</v>
      </c>
      <c r="E34808" s="2">
        <v>1.30434782608695E-2</v>
      </c>
      <c r="F34808" s="2">
        <v>5.0556929915989597E-2</v>
      </c>
    </row>
    <row r="34809" spans="1:6" x14ac:dyDescent="0.25">
      <c r="A34809" s="1" t="str">
        <f t="shared" si="1252"/>
        <v>44940</v>
      </c>
      <c r="B34809" s="1" t="str">
        <f>"29150"</f>
        <v>29150</v>
      </c>
      <c r="C34809" s="2">
        <v>0.27552493709005399</v>
      </c>
      <c r="D34809" s="2">
        <v>0.47884267631103</v>
      </c>
      <c r="E34809" s="2">
        <v>0.42536231884057901</v>
      </c>
      <c r="F34809" s="2">
        <v>0.29224065400022597</v>
      </c>
    </row>
    <row r="34810" spans="1:6" x14ac:dyDescent="0.25">
      <c r="A34810" s="1" t="str">
        <f t="shared" si="1252"/>
        <v>44940</v>
      </c>
      <c r="B34810" s="1" t="str">
        <f>"29128"</f>
        <v>29128</v>
      </c>
      <c r="C34810" s="2">
        <v>2.4792706571510999E-2</v>
      </c>
      <c r="D34810" s="2">
        <v>5.2441229656419496E-3</v>
      </c>
      <c r="E34810" s="2">
        <v>4.3478260869565201E-3</v>
      </c>
      <c r="F34810" s="2">
        <v>2.30808835533007E-2</v>
      </c>
    </row>
    <row r="34811" spans="1:6" x14ac:dyDescent="0.25">
      <c r="A34811" s="1" t="str">
        <f t="shared" si="1252"/>
        <v>44940</v>
      </c>
      <c r="B34811" s="1" t="str">
        <f>"29040"</f>
        <v>29040</v>
      </c>
      <c r="C34811" s="2">
        <v>5.2335574715014502E-2</v>
      </c>
      <c r="D34811" s="2">
        <v>1.26582278481012E-2</v>
      </c>
      <c r="E34811" s="2">
        <v>3.0434782608695601E-2</v>
      </c>
      <c r="F34811" s="2">
        <v>4.9200708249092701E-2</v>
      </c>
    </row>
    <row r="34812" spans="1:6" x14ac:dyDescent="0.25">
      <c r="A34812" s="1" t="str">
        <f t="shared" ref="A34812:A34841" si="1253">"44980"</f>
        <v>44980</v>
      </c>
      <c r="B34812" s="1" t="str">
        <f>"17777"</f>
        <v>17777</v>
      </c>
      <c r="C34812" s="2">
        <v>6.7922423410280597E-2</v>
      </c>
      <c r="D34812" s="2">
        <v>4.9001248439450598E-2</v>
      </c>
      <c r="E34812" s="2">
        <v>7.3115003808073106E-2</v>
      </c>
      <c r="F34812" s="2">
        <v>6.6870073735062194E-2</v>
      </c>
    </row>
    <row r="34813" spans="1:6" x14ac:dyDescent="0.25">
      <c r="A34813" s="1" t="str">
        <f t="shared" si="1253"/>
        <v>44980</v>
      </c>
      <c r="B34813" s="1" t="str">
        <f>"17851"</f>
        <v>17851</v>
      </c>
      <c r="C34813" s="2">
        <v>0.100553505535055</v>
      </c>
      <c r="D34813" s="2">
        <v>0.113920099875156</v>
      </c>
      <c r="E34813" s="2">
        <v>0.121096725057121</v>
      </c>
      <c r="F34813" s="2">
        <v>0.101918676289385</v>
      </c>
    </row>
    <row r="34814" spans="1:6" x14ac:dyDescent="0.25">
      <c r="A34814" s="1" t="str">
        <f t="shared" si="1253"/>
        <v>44980</v>
      </c>
      <c r="B34814" s="1" t="str">
        <f>"17857"</f>
        <v>17857</v>
      </c>
      <c r="C34814" s="2">
        <v>8.0944821076117696E-2</v>
      </c>
      <c r="D34814" s="2">
        <v>8.4893882646691607E-2</v>
      </c>
      <c r="E34814" s="2">
        <v>6.3214013709063197E-2</v>
      </c>
      <c r="F34814" s="2">
        <v>8.0736959455494903E-2</v>
      </c>
    </row>
    <row r="34815" spans="1:6" x14ac:dyDescent="0.25">
      <c r="A34815" s="1" t="str">
        <f t="shared" si="1253"/>
        <v>44980</v>
      </c>
      <c r="B34815" s="1" t="str">
        <f>"17872"</f>
        <v>17872</v>
      </c>
      <c r="C34815" s="2">
        <v>0.12436711576418</v>
      </c>
      <c r="D34815" s="2">
        <v>0.16229712858926301</v>
      </c>
      <c r="E34815" s="2">
        <v>0.26732673267326701</v>
      </c>
      <c r="F34815" s="2">
        <v>0.13041522423673399</v>
      </c>
    </row>
    <row r="34816" spans="1:6" x14ac:dyDescent="0.25">
      <c r="A34816" s="1" t="str">
        <f t="shared" si="1253"/>
        <v>44980</v>
      </c>
      <c r="B34816" s="1" t="str">
        <f>"17860"</f>
        <v>17860</v>
      </c>
      <c r="C34816" s="2">
        <v>1.9994851111301799E-2</v>
      </c>
      <c r="D34816" s="2">
        <v>1.68539325842696E-2</v>
      </c>
      <c r="E34816" s="2">
        <v>1.52322924600152E-3</v>
      </c>
      <c r="F34816" s="2">
        <v>1.9323671497584499E-2</v>
      </c>
    </row>
    <row r="34817" spans="1:6" x14ac:dyDescent="0.25">
      <c r="A34817" s="1" t="str">
        <f t="shared" si="1253"/>
        <v>44980</v>
      </c>
      <c r="B34817" s="1" t="str">
        <f>"17850"</f>
        <v>17850</v>
      </c>
      <c r="C34817" s="2">
        <v>6.3932034669183903E-3</v>
      </c>
      <c r="D34817" s="2">
        <v>3.1210986267165999E-4</v>
      </c>
      <c r="E34817" s="2">
        <v>0</v>
      </c>
      <c r="F34817" s="2">
        <v>5.84795321637426E-3</v>
      </c>
    </row>
    <row r="34818" spans="1:6" x14ac:dyDescent="0.25">
      <c r="A34818" s="1" t="str">
        <f t="shared" si="1253"/>
        <v>44980</v>
      </c>
      <c r="B34818" s="1" t="str">
        <f>"17730"</f>
        <v>17730</v>
      </c>
      <c r="C34818" s="2">
        <v>2.1453702909122098E-5</v>
      </c>
      <c r="D34818" s="2">
        <v>3.1210986267165999E-4</v>
      </c>
      <c r="E34818" s="2">
        <v>0</v>
      </c>
      <c r="F34818" s="2">
        <v>3.9116743922235902E-5</v>
      </c>
    </row>
    <row r="34819" spans="1:6" x14ac:dyDescent="0.25">
      <c r="A34819" s="1" t="str">
        <f t="shared" si="1253"/>
        <v>44980</v>
      </c>
      <c r="B34819" s="1" t="str">
        <f>"17821"</f>
        <v>17821</v>
      </c>
      <c r="C34819" s="2">
        <v>3.8294859692782901E-2</v>
      </c>
      <c r="D34819" s="2">
        <v>1.12359550561797E-2</v>
      </c>
      <c r="E34819" s="2">
        <v>1.2185833968012099E-2</v>
      </c>
      <c r="F34819" s="2">
        <v>3.5928729292573597E-2</v>
      </c>
    </row>
    <row r="34820" spans="1:6" x14ac:dyDescent="0.25">
      <c r="A34820" s="1" t="str">
        <f t="shared" si="1253"/>
        <v>44980</v>
      </c>
      <c r="B34820" s="1" t="str">
        <f>"17840"</f>
        <v>17840</v>
      </c>
      <c r="C34820" s="2">
        <v>3.51840727709602E-3</v>
      </c>
      <c r="D34820" s="2">
        <v>1.24843945068664E-3</v>
      </c>
      <c r="E34820" s="2">
        <v>0</v>
      </c>
      <c r="F34820" s="2">
        <v>3.2858064894678101E-3</v>
      </c>
    </row>
    <row r="34821" spans="1:6" x14ac:dyDescent="0.25">
      <c r="A34821" s="1" t="str">
        <f t="shared" si="1253"/>
        <v>44980</v>
      </c>
      <c r="B34821" s="1" t="str">
        <f>"17868"</f>
        <v>17868</v>
      </c>
      <c r="C34821" s="2">
        <v>2.6817128636402602E-3</v>
      </c>
      <c r="D34821" s="2">
        <v>3.1210986267165999E-4</v>
      </c>
      <c r="E34821" s="2">
        <v>1.52322924600152E-3</v>
      </c>
      <c r="F34821" s="2">
        <v>2.5034716110230899E-3</v>
      </c>
    </row>
    <row r="34822" spans="1:6" x14ac:dyDescent="0.25">
      <c r="A34822" s="1" t="str">
        <f t="shared" si="1253"/>
        <v>44980</v>
      </c>
      <c r="B34822" s="1" t="str">
        <f>"17836"</f>
        <v>17836</v>
      </c>
      <c r="C34822" s="2">
        <v>1.9308332618209901E-3</v>
      </c>
      <c r="D34822" s="2">
        <v>1.5605493133583001E-3</v>
      </c>
      <c r="E34822" s="2">
        <v>2.2848438690022798E-3</v>
      </c>
      <c r="F34822" s="2">
        <v>1.9167204521895499E-3</v>
      </c>
    </row>
    <row r="34823" spans="1:6" x14ac:dyDescent="0.25">
      <c r="A34823" s="1" t="str">
        <f t="shared" si="1253"/>
        <v>44980</v>
      </c>
      <c r="B34823" s="1" t="str">
        <f>"17801"</f>
        <v>17801</v>
      </c>
      <c r="C34823" s="2">
        <v>0.17034240109842899</v>
      </c>
      <c r="D34823" s="2">
        <v>0.21598002496878899</v>
      </c>
      <c r="E34823" s="2">
        <v>0.17517136329017499</v>
      </c>
      <c r="F34823" s="2">
        <v>0.17332629231942701</v>
      </c>
    </row>
    <row r="34824" spans="1:6" x14ac:dyDescent="0.25">
      <c r="A34824" s="1" t="str">
        <f t="shared" si="1253"/>
        <v>44980</v>
      </c>
      <c r="B34824" s="1" t="str">
        <f>"17823"</f>
        <v>17823</v>
      </c>
      <c r="C34824" s="2">
        <v>1.15420921651076E-2</v>
      </c>
      <c r="D34824" s="2">
        <v>7.1785268414481804E-3</v>
      </c>
      <c r="E34824" s="2">
        <v>1.52322924600152E-3</v>
      </c>
      <c r="F34824" s="2">
        <v>1.1011363414109399E-2</v>
      </c>
    </row>
    <row r="34825" spans="1:6" x14ac:dyDescent="0.25">
      <c r="A34825" s="1" t="str">
        <f t="shared" si="1253"/>
        <v>44980</v>
      </c>
      <c r="B34825" s="1" t="str">
        <f>"17867"</f>
        <v>17867</v>
      </c>
      <c r="C34825" s="2">
        <v>1.4373980949111799E-3</v>
      </c>
      <c r="D34825" s="2">
        <v>3.1210986267165999E-4</v>
      </c>
      <c r="E34825" s="2">
        <v>0</v>
      </c>
      <c r="F34825" s="2">
        <v>1.3299692933560201E-3</v>
      </c>
    </row>
    <row r="34826" spans="1:6" x14ac:dyDescent="0.25">
      <c r="A34826" s="1" t="str">
        <f t="shared" si="1253"/>
        <v>44980</v>
      </c>
      <c r="B34826" s="1" t="str">
        <f>"17832"</f>
        <v>17832</v>
      </c>
      <c r="C34826" s="2">
        <v>4.2907405818244197E-5</v>
      </c>
      <c r="D34826" s="2">
        <v>3.1210986267165999E-4</v>
      </c>
      <c r="E34826" s="2">
        <v>0</v>
      </c>
      <c r="F34826" s="2">
        <v>5.8675115883353799E-5</v>
      </c>
    </row>
    <row r="34827" spans="1:6" x14ac:dyDescent="0.25">
      <c r="A34827" s="1" t="str">
        <f t="shared" si="1253"/>
        <v>44980</v>
      </c>
      <c r="B34827" s="1" t="str">
        <f>"17756"</f>
        <v>17756</v>
      </c>
      <c r="C34827" s="2">
        <v>8.04513859092079E-3</v>
      </c>
      <c r="D34827" s="2">
        <v>2.49687890137328E-3</v>
      </c>
      <c r="E34827" s="2">
        <v>0</v>
      </c>
      <c r="F34827" s="2">
        <v>7.4908564611081696E-3</v>
      </c>
    </row>
    <row r="34828" spans="1:6" x14ac:dyDescent="0.25">
      <c r="A34828" s="1" t="str">
        <f t="shared" si="1253"/>
        <v>44980</v>
      </c>
      <c r="B34828" s="1" t="str">
        <f>"17881"</f>
        <v>17881</v>
      </c>
      <c r="C34828" s="2">
        <v>1.6733888269115201E-2</v>
      </c>
      <c r="D34828" s="2">
        <v>1.4981273408239701E-2</v>
      </c>
      <c r="E34828" s="2">
        <v>1.82787509520182E-2</v>
      </c>
      <c r="F34828" s="2">
        <v>1.6663732910872399E-2</v>
      </c>
    </row>
    <row r="34829" spans="1:6" x14ac:dyDescent="0.25">
      <c r="A34829" s="1" t="str">
        <f t="shared" si="1253"/>
        <v>44980</v>
      </c>
      <c r="B34829" s="1" t="str">
        <f>"17824"</f>
        <v>17824</v>
      </c>
      <c r="C34829" s="2">
        <v>3.3896850596412897E-2</v>
      </c>
      <c r="D34829" s="2">
        <v>3.4644194756554302E-2</v>
      </c>
      <c r="E34829" s="2">
        <v>1.6755521706016699E-2</v>
      </c>
      <c r="F34829" s="2">
        <v>3.3503491169395001E-2</v>
      </c>
    </row>
    <row r="34830" spans="1:6" x14ac:dyDescent="0.25">
      <c r="A34830" s="1" t="str">
        <f t="shared" si="1253"/>
        <v>44980</v>
      </c>
      <c r="B34830" s="1" t="str">
        <f>"17017"</f>
        <v>17017</v>
      </c>
      <c r="C34830" s="2">
        <v>1.44383420578391E-2</v>
      </c>
      <c r="D34830" s="2">
        <v>8.7390761548064907E-3</v>
      </c>
      <c r="E34830" s="2">
        <v>1.37090632140137E-2</v>
      </c>
      <c r="F34830" s="2">
        <v>1.4062469440043799E-2</v>
      </c>
    </row>
    <row r="34831" spans="1:6" x14ac:dyDescent="0.25">
      <c r="A34831" s="1" t="str">
        <f t="shared" si="1253"/>
        <v>44980</v>
      </c>
      <c r="B34831" s="1" t="str">
        <f>"17941"</f>
        <v>17941</v>
      </c>
      <c r="C34831" s="2">
        <v>1.7162962327297599E-3</v>
      </c>
      <c r="D34831" s="2">
        <v>9.3632958801498096E-4</v>
      </c>
      <c r="E34831" s="2">
        <v>0</v>
      </c>
      <c r="F34831" s="2">
        <v>1.6233448727727899E-3</v>
      </c>
    </row>
    <row r="34832" spans="1:6" x14ac:dyDescent="0.25">
      <c r="A34832" s="1" t="str">
        <f t="shared" si="1253"/>
        <v>44980</v>
      </c>
      <c r="B34832" s="1" t="str">
        <f>"17964"</f>
        <v>17964</v>
      </c>
      <c r="C34832" s="2">
        <v>2.5744443490946501E-4</v>
      </c>
      <c r="D34832" s="2">
        <v>0</v>
      </c>
      <c r="E34832" s="2">
        <v>0</v>
      </c>
      <c r="F34832" s="2">
        <v>2.3470046353341501E-4</v>
      </c>
    </row>
    <row r="34833" spans="1:6" x14ac:dyDescent="0.25">
      <c r="A34833" s="1" t="str">
        <f t="shared" si="1253"/>
        <v>44980</v>
      </c>
      <c r="B34833" s="1" t="str">
        <f>"17830"</f>
        <v>17830</v>
      </c>
      <c r="C34833" s="2">
        <v>1.8557453016390599E-2</v>
      </c>
      <c r="D34833" s="2">
        <v>1.4981273408239701E-2</v>
      </c>
      <c r="E34833" s="2">
        <v>4.5696877380045596E-3</v>
      </c>
      <c r="F34833" s="2">
        <v>1.7974143832267399E-2</v>
      </c>
    </row>
    <row r="34834" spans="1:6" x14ac:dyDescent="0.25">
      <c r="A34834" s="1" t="str">
        <f t="shared" si="1253"/>
        <v>44980</v>
      </c>
      <c r="B34834" s="1" t="str">
        <f>"17820"</f>
        <v>17820</v>
      </c>
      <c r="C34834" s="2">
        <v>1.5017592036385401E-4</v>
      </c>
      <c r="D34834" s="2">
        <v>0</v>
      </c>
      <c r="E34834" s="2">
        <v>0</v>
      </c>
      <c r="F34834" s="2">
        <v>1.3690860372782499E-4</v>
      </c>
    </row>
    <row r="34835" spans="1:6" x14ac:dyDescent="0.25">
      <c r="A34835" s="1" t="str">
        <f t="shared" si="1253"/>
        <v>44980</v>
      </c>
      <c r="B34835" s="1" t="str">
        <f>"17865"</f>
        <v>17865</v>
      </c>
      <c r="C34835" s="2">
        <v>2.1453702909122098E-5</v>
      </c>
      <c r="D34835" s="2">
        <v>3.1210986267165999E-4</v>
      </c>
      <c r="E34835" s="2">
        <v>0</v>
      </c>
      <c r="F34835" s="2">
        <v>3.9116743922235902E-5</v>
      </c>
    </row>
    <row r="34836" spans="1:6" x14ac:dyDescent="0.25">
      <c r="A34836" s="1" t="str">
        <f t="shared" si="1253"/>
        <v>44980</v>
      </c>
      <c r="B34836" s="1" t="str">
        <f>"17834"</f>
        <v>17834</v>
      </c>
      <c r="C34836" s="2">
        <v>3.9067192997511303E-2</v>
      </c>
      <c r="D34836" s="2">
        <v>3.7141073657927501E-2</v>
      </c>
      <c r="E34836" s="2">
        <v>4.1888804265041803E-2</v>
      </c>
      <c r="F34836" s="2">
        <v>3.90189520624303E-2</v>
      </c>
    </row>
    <row r="34837" spans="1:6" x14ac:dyDescent="0.25">
      <c r="A34837" s="1" t="str">
        <f t="shared" si="1253"/>
        <v>44980</v>
      </c>
      <c r="B34837" s="1" t="str">
        <f>"17749"</f>
        <v>17749</v>
      </c>
      <c r="C34837" s="2">
        <v>2.3599073200034301E-4</v>
      </c>
      <c r="D34837" s="2">
        <v>3.1210986267165999E-4</v>
      </c>
      <c r="E34837" s="2">
        <v>0</v>
      </c>
      <c r="F34837" s="2">
        <v>2.3470046353341501E-4</v>
      </c>
    </row>
    <row r="34838" spans="1:6" x14ac:dyDescent="0.25">
      <c r="A34838" s="1" t="str">
        <f t="shared" si="1253"/>
        <v>44980</v>
      </c>
      <c r="B34838" s="1" t="str">
        <f>"17847"</f>
        <v>17847</v>
      </c>
      <c r="C34838" s="2">
        <v>0.122886810263451</v>
      </c>
      <c r="D34838" s="2">
        <v>0.125156054931335</v>
      </c>
      <c r="E34838" s="2">
        <v>0.13099771515613001</v>
      </c>
      <c r="F34838" s="2">
        <v>0.12323730172700401</v>
      </c>
    </row>
    <row r="34839" spans="1:6" x14ac:dyDescent="0.25">
      <c r="A34839" s="1" t="str">
        <f t="shared" si="1253"/>
        <v>44980</v>
      </c>
      <c r="B34839" s="1" t="str">
        <f>"17772"</f>
        <v>17772</v>
      </c>
      <c r="C34839" s="2">
        <v>1.3794730970565499E-2</v>
      </c>
      <c r="D34839" s="2">
        <v>1.6541822721598001E-2</v>
      </c>
      <c r="E34839" s="2">
        <v>9.1393754760091296E-3</v>
      </c>
      <c r="F34839" s="2">
        <v>1.3847327348471499E-2</v>
      </c>
    </row>
    <row r="34840" spans="1:6" x14ac:dyDescent="0.25">
      <c r="A34840" s="1" t="str">
        <f t="shared" si="1253"/>
        <v>44980</v>
      </c>
      <c r="B34840" s="1" t="str">
        <f>"17866"</f>
        <v>17866</v>
      </c>
      <c r="C34840" s="2">
        <v>0.100210246288509</v>
      </c>
      <c r="D34840" s="2">
        <v>7.77153558052434E-2</v>
      </c>
      <c r="E34840" s="2">
        <v>4.5696877380045603E-2</v>
      </c>
      <c r="F34840" s="2">
        <v>9.7400692366367406E-2</v>
      </c>
    </row>
    <row r="34841" spans="1:6" x14ac:dyDescent="0.25">
      <c r="A34841" s="1" t="str">
        <f t="shared" si="1253"/>
        <v>44980</v>
      </c>
      <c r="B34841" s="1" t="str">
        <f>"17877"</f>
        <v>17877</v>
      </c>
      <c r="C34841" s="2">
        <v>0</v>
      </c>
      <c r="D34841" s="2">
        <v>3.1210986267165999E-4</v>
      </c>
      <c r="E34841" s="2">
        <v>0</v>
      </c>
      <c r="F34841" s="2">
        <v>1.95583719611179E-5</v>
      </c>
    </row>
    <row r="34842" spans="1:6" x14ac:dyDescent="0.25">
      <c r="A34842" s="1" t="str">
        <f t="shared" ref="A34842:A34857" si="1254">"45000"</f>
        <v>45000</v>
      </c>
      <c r="B34842" s="1" t="str">
        <f>"96109"</f>
        <v>96109</v>
      </c>
      <c r="C34842" s="2">
        <v>8.7858756589406697E-3</v>
      </c>
      <c r="D34842" s="2">
        <v>2.74473924977127E-3</v>
      </c>
      <c r="E34842" s="2">
        <v>5.8548009367681399E-3</v>
      </c>
      <c r="F34842" s="2">
        <v>8.1306662829184004E-3</v>
      </c>
    </row>
    <row r="34843" spans="1:6" x14ac:dyDescent="0.25">
      <c r="A34843" s="1" t="str">
        <f t="shared" si="1254"/>
        <v>45000</v>
      </c>
      <c r="B34843" s="1" t="str">
        <f>"96137"</f>
        <v>96137</v>
      </c>
      <c r="C34843" s="2">
        <v>1.17981758848631E-2</v>
      </c>
      <c r="D34843" s="2">
        <v>4.5745654162854497E-3</v>
      </c>
      <c r="E34843" s="2">
        <v>3.51288056206088E-2</v>
      </c>
      <c r="F34843" s="2">
        <v>1.26636926176428E-2</v>
      </c>
    </row>
    <row r="34844" spans="1:6" x14ac:dyDescent="0.25">
      <c r="A34844" s="1" t="str">
        <f t="shared" si="1254"/>
        <v>45000</v>
      </c>
      <c r="B34844" s="1" t="str">
        <f>"96113"</f>
        <v>96113</v>
      </c>
      <c r="C34844" s="2">
        <v>0</v>
      </c>
      <c r="D34844" s="2">
        <v>0</v>
      </c>
      <c r="E34844" s="2">
        <v>0.36182669789227101</v>
      </c>
      <c r="F34844" s="2">
        <v>2.2233414879838799E-2</v>
      </c>
    </row>
    <row r="34845" spans="1:6" x14ac:dyDescent="0.25">
      <c r="A34845" s="1" t="str">
        <f t="shared" si="1254"/>
        <v>45000</v>
      </c>
      <c r="B34845" s="1" t="str">
        <f>"96132"</f>
        <v>96132</v>
      </c>
      <c r="C34845" s="2">
        <v>7.7817755836331604E-3</v>
      </c>
      <c r="D34845" s="2">
        <v>9.1491308325708997E-4</v>
      </c>
      <c r="E34845" s="2">
        <v>1.17096018735362E-3</v>
      </c>
      <c r="F34845" s="2">
        <v>6.8355159015685701E-3</v>
      </c>
    </row>
    <row r="34846" spans="1:6" x14ac:dyDescent="0.25">
      <c r="A34846" s="1" t="str">
        <f t="shared" si="1254"/>
        <v>45000</v>
      </c>
      <c r="B34846" s="1" t="str">
        <f>"96114"</f>
        <v>96114</v>
      </c>
      <c r="C34846" s="2">
        <v>9.2377206928290503E-2</v>
      </c>
      <c r="D34846" s="2">
        <v>5.48947849954254E-3</v>
      </c>
      <c r="E34846" s="2">
        <v>2.5761124121779801E-2</v>
      </c>
      <c r="F34846" s="2">
        <v>8.1450568427111805E-2</v>
      </c>
    </row>
    <row r="34847" spans="1:6" x14ac:dyDescent="0.25">
      <c r="A34847" s="1" t="str">
        <f t="shared" si="1254"/>
        <v>45000</v>
      </c>
      <c r="B34847" s="1" t="str">
        <f>"96117"</f>
        <v>96117</v>
      </c>
      <c r="C34847" s="2">
        <v>5.4388754079156502E-3</v>
      </c>
      <c r="D34847" s="2">
        <v>9.1491308325708997E-4</v>
      </c>
      <c r="E34847" s="2">
        <v>2.34192037470725E-3</v>
      </c>
      <c r="F34847" s="2">
        <v>4.8927903295438099E-3</v>
      </c>
    </row>
    <row r="34848" spans="1:6" x14ac:dyDescent="0.25">
      <c r="A34848" s="1" t="str">
        <f t="shared" si="1254"/>
        <v>45000</v>
      </c>
      <c r="B34848" s="1" t="str">
        <f>"96123"</f>
        <v>96123</v>
      </c>
      <c r="C34848" s="2">
        <v>3.5143502635762601E-3</v>
      </c>
      <c r="D34848" s="2">
        <v>0</v>
      </c>
      <c r="E34848" s="2">
        <v>1.63934426229508E-2</v>
      </c>
      <c r="F34848" s="2">
        <v>4.0293567419772596E-3</v>
      </c>
    </row>
    <row r="34849" spans="1:6" x14ac:dyDescent="0.25">
      <c r="A34849" s="1" t="str">
        <f t="shared" si="1254"/>
        <v>45000</v>
      </c>
      <c r="B34849" s="1" t="str">
        <f>"96009"</f>
        <v>96009</v>
      </c>
      <c r="C34849" s="2">
        <v>0</v>
      </c>
      <c r="D34849" s="2">
        <v>0</v>
      </c>
      <c r="E34849" s="2">
        <v>1.17096018735362E-3</v>
      </c>
      <c r="F34849" s="2">
        <v>7.1952798963879599E-5</v>
      </c>
    </row>
    <row r="34850" spans="1:6" x14ac:dyDescent="0.25">
      <c r="A34850" s="1" t="str">
        <f t="shared" si="1254"/>
        <v>45000</v>
      </c>
      <c r="B34850" s="1" t="str">
        <f>"96128"</f>
        <v>96128</v>
      </c>
      <c r="C34850" s="2">
        <v>6.5266504894987802E-3</v>
      </c>
      <c r="D34850" s="2">
        <v>1.8298261665141799E-3</v>
      </c>
      <c r="E34850" s="2">
        <v>1.05386416861826E-2</v>
      </c>
      <c r="F34850" s="2">
        <v>6.4037991077852902E-3</v>
      </c>
    </row>
    <row r="34851" spans="1:6" x14ac:dyDescent="0.25">
      <c r="A34851" s="1" t="str">
        <f t="shared" si="1254"/>
        <v>45000</v>
      </c>
      <c r="B34851" s="1" t="str">
        <f>"96130"</f>
        <v>96130</v>
      </c>
      <c r="C34851" s="2">
        <v>0.76018743201405703</v>
      </c>
      <c r="D34851" s="2">
        <v>0.93595608417200304</v>
      </c>
      <c r="E34851" s="2">
        <v>0.53161592505854804</v>
      </c>
      <c r="F34851" s="2">
        <v>0.759965462656497</v>
      </c>
    </row>
    <row r="34852" spans="1:6" x14ac:dyDescent="0.25">
      <c r="A34852" s="1" t="str">
        <f t="shared" si="1254"/>
        <v>45000</v>
      </c>
      <c r="B34852" s="1" t="str">
        <f>"96121"</f>
        <v>96121</v>
      </c>
      <c r="C34852" s="2">
        <v>1.2300225922516899E-2</v>
      </c>
      <c r="D34852" s="2">
        <v>9.1491308325708997E-4</v>
      </c>
      <c r="E34852" s="2">
        <v>2.34192037470725E-3</v>
      </c>
      <c r="F34852" s="2">
        <v>1.0792919844581901E-2</v>
      </c>
    </row>
    <row r="34853" spans="1:6" x14ac:dyDescent="0.25">
      <c r="A34853" s="1" t="str">
        <f t="shared" si="1254"/>
        <v>45000</v>
      </c>
      <c r="B34853" s="1" t="str">
        <f>"96136"</f>
        <v>96136</v>
      </c>
      <c r="C34853" s="2">
        <v>8.7022006526650403E-3</v>
      </c>
      <c r="D34853" s="2">
        <v>2.74473924977127E-3</v>
      </c>
      <c r="E34853" s="2">
        <v>1.17096018735362E-3</v>
      </c>
      <c r="F34853" s="2">
        <v>7.7709022880990001E-3</v>
      </c>
    </row>
    <row r="34854" spans="1:6" x14ac:dyDescent="0.25">
      <c r="A34854" s="1" t="str">
        <f t="shared" si="1254"/>
        <v>45000</v>
      </c>
      <c r="B34854" s="1" t="str">
        <f>"96068"</f>
        <v>96068</v>
      </c>
      <c r="C34854" s="2">
        <v>9.2042506903188004E-4</v>
      </c>
      <c r="D34854" s="2">
        <v>0</v>
      </c>
      <c r="E34854" s="2">
        <v>1.17096018735362E-3</v>
      </c>
      <c r="F34854" s="2">
        <v>8.63433587566556E-4</v>
      </c>
    </row>
    <row r="34855" spans="1:6" x14ac:dyDescent="0.25">
      <c r="A34855" s="1" t="str">
        <f t="shared" si="1254"/>
        <v>45000</v>
      </c>
      <c r="B34855" s="1" t="str">
        <f>"96127"</f>
        <v>96127</v>
      </c>
      <c r="C34855" s="2">
        <v>6.2421554681616601E-2</v>
      </c>
      <c r="D34855" s="2">
        <v>4.2086001829826102E-2</v>
      </c>
      <c r="E34855" s="2">
        <v>1.17096018735362E-3</v>
      </c>
      <c r="F34855" s="2">
        <v>5.7058569578356498E-2</v>
      </c>
    </row>
    <row r="34856" spans="1:6" x14ac:dyDescent="0.25">
      <c r="A34856" s="1" t="str">
        <f t="shared" si="1254"/>
        <v>45000</v>
      </c>
      <c r="B34856" s="1" t="str">
        <f>"96119"</f>
        <v>96119</v>
      </c>
      <c r="C34856" s="2">
        <v>0</v>
      </c>
      <c r="D34856" s="2">
        <v>0</v>
      </c>
      <c r="E34856" s="2">
        <v>2.34192037470725E-3</v>
      </c>
      <c r="F34856" s="2">
        <v>1.4390559792775901E-4</v>
      </c>
    </row>
    <row r="34857" spans="1:6" x14ac:dyDescent="0.25">
      <c r="A34857" s="1" t="str">
        <f t="shared" si="1254"/>
        <v>45000</v>
      </c>
      <c r="B34857" s="1" t="str">
        <f>"96056"</f>
        <v>96056</v>
      </c>
      <c r="C34857" s="2">
        <v>1.9245251443393799E-2</v>
      </c>
      <c r="D34857" s="2">
        <v>1.8298261665141799E-3</v>
      </c>
      <c r="E34857" s="2">
        <v>0</v>
      </c>
      <c r="F34857" s="2">
        <v>1.6693049359619998E-2</v>
      </c>
    </row>
    <row r="34858" spans="1:6" x14ac:dyDescent="0.25">
      <c r="A34858" s="1" t="str">
        <f t="shared" ref="A34858:A34865" si="1255">"45020"</f>
        <v>45020</v>
      </c>
      <c r="B34858" s="1" t="str">
        <f>"79506"</f>
        <v>79506</v>
      </c>
      <c r="C34858" s="2">
        <v>2.22190571143711E-2</v>
      </c>
      <c r="D34858" s="2">
        <v>6.0313630880579E-3</v>
      </c>
      <c r="E34858" s="2">
        <v>8.6021505376343996E-2</v>
      </c>
      <c r="F34858" s="2">
        <v>2.2758026817566699E-2</v>
      </c>
    </row>
    <row r="34859" spans="1:6" x14ac:dyDescent="0.25">
      <c r="A34859" s="1" t="str">
        <f t="shared" si="1255"/>
        <v>45020</v>
      </c>
      <c r="B34859" s="1" t="str">
        <f>"79561"</f>
        <v>79561</v>
      </c>
      <c r="C34859" s="2">
        <v>1.01125195841048E-2</v>
      </c>
      <c r="D34859" s="2">
        <v>0</v>
      </c>
      <c r="E34859" s="2">
        <v>2.5089605734767002E-2</v>
      </c>
      <c r="F34859" s="2">
        <v>9.5952761717308394E-3</v>
      </c>
    </row>
    <row r="34860" spans="1:6" x14ac:dyDescent="0.25">
      <c r="A34860" s="1" t="str">
        <f t="shared" si="1255"/>
        <v>45020</v>
      </c>
      <c r="B34860" s="1" t="str">
        <f>"79545"</f>
        <v>79545</v>
      </c>
      <c r="C34860" s="2">
        <v>6.9078478849166694E-2</v>
      </c>
      <c r="D34860" s="2">
        <v>3.9806996381182097E-2</v>
      </c>
      <c r="E34860" s="2">
        <v>0.121863799283154</v>
      </c>
      <c r="F34860" s="2">
        <v>6.7905031369172003E-2</v>
      </c>
    </row>
    <row r="34861" spans="1:6" x14ac:dyDescent="0.25">
      <c r="A34861" s="1" t="str">
        <f t="shared" si="1255"/>
        <v>45020</v>
      </c>
      <c r="B34861" s="1" t="str">
        <f>"79536"</f>
        <v>79536</v>
      </c>
      <c r="C34861" s="2">
        <v>9.97008973080757E-4</v>
      </c>
      <c r="D34861" s="2">
        <v>0</v>
      </c>
      <c r="E34861" s="2">
        <v>7.1684587813620002E-3</v>
      </c>
      <c r="F34861" s="2">
        <v>1.10714725058432E-3</v>
      </c>
    </row>
    <row r="34862" spans="1:6" x14ac:dyDescent="0.25">
      <c r="A34862" s="1" t="str">
        <f t="shared" si="1255"/>
        <v>45020</v>
      </c>
      <c r="B34862" s="1" t="str">
        <f>"79537"</f>
        <v>79537</v>
      </c>
      <c r="C34862" s="2">
        <v>5.8396239851872898E-3</v>
      </c>
      <c r="D34862" s="2">
        <v>0</v>
      </c>
      <c r="E34862" s="2">
        <v>2.1505376344085999E-2</v>
      </c>
      <c r="F34862" s="2">
        <v>5.7817689752737104E-3</v>
      </c>
    </row>
    <row r="34863" spans="1:6" x14ac:dyDescent="0.25">
      <c r="A34863" s="1" t="str">
        <f t="shared" si="1255"/>
        <v>45020</v>
      </c>
      <c r="B34863" s="1" t="str">
        <f>"79556"</f>
        <v>79556</v>
      </c>
      <c r="C34863" s="2">
        <v>0.87679817689787698</v>
      </c>
      <c r="D34863" s="2">
        <v>0.94813027744270195</v>
      </c>
      <c r="E34863" s="2">
        <v>0.70609318996415704</v>
      </c>
      <c r="F34863" s="2">
        <v>0.878213802435723</v>
      </c>
    </row>
    <row r="34864" spans="1:6" x14ac:dyDescent="0.25">
      <c r="A34864" s="1" t="str">
        <f t="shared" si="1255"/>
        <v>45020</v>
      </c>
      <c r="B34864" s="1" t="str">
        <f>"79535"</f>
        <v>79535</v>
      </c>
      <c r="C34864" s="2">
        <v>1.2533827090158E-2</v>
      </c>
      <c r="D34864" s="2">
        <v>6.0313630880579E-3</v>
      </c>
      <c r="E34864" s="2">
        <v>2.8673835125448001E-2</v>
      </c>
      <c r="F34864" s="2">
        <v>1.2424652478779601E-2</v>
      </c>
    </row>
    <row r="34865" spans="1:6" x14ac:dyDescent="0.25">
      <c r="A34865" s="1" t="str">
        <f t="shared" si="1255"/>
        <v>45020</v>
      </c>
      <c r="B34865" s="1" t="str">
        <f>"79532"</f>
        <v>79532</v>
      </c>
      <c r="C34865" s="2">
        <v>2.4213075060532602E-3</v>
      </c>
      <c r="D34865" s="2">
        <v>0</v>
      </c>
      <c r="E34865" s="2">
        <v>3.5842293906810001E-3</v>
      </c>
      <c r="F34865" s="2">
        <v>2.2142945011686499E-3</v>
      </c>
    </row>
    <row r="34866" spans="1:6" x14ac:dyDescent="0.25">
      <c r="A34866" s="1" t="str">
        <f t="shared" ref="A34866:A34897" si="1256">"45060"</f>
        <v>45060</v>
      </c>
      <c r="B34866" s="1" t="str">
        <f>"13132"</f>
        <v>13132</v>
      </c>
      <c r="C34866" s="2">
        <v>6.0074957672279399E-3</v>
      </c>
      <c r="D34866" s="2">
        <v>2.00916177770634E-4</v>
      </c>
      <c r="E34866" s="2">
        <v>1.7100106875667901E-3</v>
      </c>
      <c r="F34866" s="2">
        <v>5.4245739461071703E-3</v>
      </c>
    </row>
    <row r="34867" spans="1:6" x14ac:dyDescent="0.25">
      <c r="A34867" s="1" t="str">
        <f t="shared" si="1256"/>
        <v>45060</v>
      </c>
      <c r="B34867" s="1" t="str">
        <f>"13210"</f>
        <v>13210</v>
      </c>
      <c r="C34867" s="2">
        <v>3.2511530103090797E-2</v>
      </c>
      <c r="D34867" s="2">
        <v>3.58434461142811E-2</v>
      </c>
      <c r="E34867" s="2">
        <v>5.4292839330245798E-2</v>
      </c>
      <c r="F34867" s="2">
        <v>3.36175589986452E-2</v>
      </c>
    </row>
    <row r="34868" spans="1:6" x14ac:dyDescent="0.25">
      <c r="A34868" s="1" t="str">
        <f t="shared" si="1256"/>
        <v>45060</v>
      </c>
      <c r="B34868" s="1" t="str">
        <f>"13302"</f>
        <v>13302</v>
      </c>
      <c r="C34868" s="2">
        <v>2.3812343371430898E-3</v>
      </c>
      <c r="D34868" s="2">
        <v>4.82198826649521E-4</v>
      </c>
      <c r="E34868" s="2">
        <v>2.13751335945849E-4</v>
      </c>
      <c r="F34868" s="2">
        <v>2.16015300372263E-3</v>
      </c>
    </row>
    <row r="34869" spans="1:6" x14ac:dyDescent="0.25">
      <c r="A34869" s="1" t="str">
        <f t="shared" si="1256"/>
        <v>45060</v>
      </c>
      <c r="B34869" s="1" t="str">
        <f>"13212"</f>
        <v>13212</v>
      </c>
      <c r="C34869" s="2">
        <v>3.0530368739258001E-2</v>
      </c>
      <c r="D34869" s="2">
        <v>3.7450775536446101E-2</v>
      </c>
      <c r="E34869" s="2">
        <v>2.4652654079087899E-2</v>
      </c>
      <c r="F34869" s="2">
        <v>3.0785737867282899E-2</v>
      </c>
    </row>
    <row r="34870" spans="1:6" x14ac:dyDescent="0.25">
      <c r="A34870" s="1" t="str">
        <f t="shared" si="1256"/>
        <v>45060</v>
      </c>
      <c r="B34870" s="1" t="str">
        <f>"13114"</f>
        <v>13114</v>
      </c>
      <c r="C34870" s="2">
        <v>8.6223727207842705E-3</v>
      </c>
      <c r="D34870" s="2">
        <v>3.4155750221007701E-3</v>
      </c>
      <c r="E34870" s="2">
        <v>7.4812967581047302E-3</v>
      </c>
      <c r="F34870" s="2">
        <v>8.2080122038683499E-3</v>
      </c>
    </row>
    <row r="34871" spans="1:6" x14ac:dyDescent="0.25">
      <c r="A34871" s="1" t="str">
        <f t="shared" si="1256"/>
        <v>45060</v>
      </c>
      <c r="B34871" s="1" t="str">
        <f>"13080"</f>
        <v>13080</v>
      </c>
      <c r="C34871" s="2">
        <v>3.2773977973582298E-3</v>
      </c>
      <c r="D34871" s="2">
        <v>1.28586353773205E-3</v>
      </c>
      <c r="E34871" s="2">
        <v>1.63876024225151E-3</v>
      </c>
      <c r="F34871" s="2">
        <v>3.07088944797987E-3</v>
      </c>
    </row>
    <row r="34872" spans="1:6" x14ac:dyDescent="0.25">
      <c r="A34872" s="1" t="str">
        <f t="shared" si="1256"/>
        <v>45060</v>
      </c>
      <c r="B34872" s="1" t="str">
        <f>"13122"</f>
        <v>13122</v>
      </c>
      <c r="C34872" s="2">
        <v>1.5746872229494601E-3</v>
      </c>
      <c r="D34872" s="2">
        <v>2.00916177770634E-4</v>
      </c>
      <c r="E34872" s="2">
        <v>1.7100106875667901E-3</v>
      </c>
      <c r="F34872" s="2">
        <v>1.48279277330631E-3</v>
      </c>
    </row>
    <row r="34873" spans="1:6" x14ac:dyDescent="0.25">
      <c r="A34873" s="1" t="str">
        <f t="shared" si="1256"/>
        <v>45060</v>
      </c>
      <c r="B34873" s="1" t="str">
        <f>"13074"</f>
        <v>13074</v>
      </c>
      <c r="C34873" s="2">
        <v>6.0074957672279399E-3</v>
      </c>
      <c r="D34873" s="2">
        <v>2.2904444265852198E-3</v>
      </c>
      <c r="E34873" s="2">
        <v>3.7050231563947201E-3</v>
      </c>
      <c r="F34873" s="2">
        <v>5.6522580571714796E-3</v>
      </c>
    </row>
    <row r="34874" spans="1:6" x14ac:dyDescent="0.25">
      <c r="A34874" s="1" t="str">
        <f t="shared" si="1256"/>
        <v>45060</v>
      </c>
      <c r="B34874" s="1" t="str">
        <f>"13480"</f>
        <v>13480</v>
      </c>
      <c r="C34874" s="2">
        <v>1.3442451903227101E-4</v>
      </c>
      <c r="D34874" s="2">
        <v>1.2054970666237999E-4</v>
      </c>
      <c r="E34874" s="2">
        <v>0</v>
      </c>
      <c r="F34874" s="2">
        <v>1.2807231247367399E-4</v>
      </c>
    </row>
    <row r="34875" spans="1:6" x14ac:dyDescent="0.25">
      <c r="A34875" s="1" t="str">
        <f t="shared" si="1256"/>
        <v>45060</v>
      </c>
      <c r="B34875" s="1" t="str">
        <f>"13093"</f>
        <v>13093</v>
      </c>
      <c r="C34875" s="2">
        <v>3.2005837864826501E-6</v>
      </c>
      <c r="D34875" s="2">
        <v>0</v>
      </c>
      <c r="E34875" s="2">
        <v>7.1250445315283194E-5</v>
      </c>
      <c r="F34875" s="2">
        <v>5.6921027766077301E-6</v>
      </c>
    </row>
    <row r="34876" spans="1:6" x14ac:dyDescent="0.25">
      <c r="A34876" s="1" t="str">
        <f t="shared" si="1256"/>
        <v>45060</v>
      </c>
      <c r="B34876" s="1" t="str">
        <f>"13426"</f>
        <v>13426</v>
      </c>
      <c r="C34876" s="2">
        <v>0</v>
      </c>
      <c r="D34876" s="2">
        <v>0</v>
      </c>
      <c r="E34876" s="2">
        <v>7.1250445315283194E-5</v>
      </c>
      <c r="F34876" s="2">
        <v>2.8460513883038599E-6</v>
      </c>
    </row>
    <row r="34877" spans="1:6" x14ac:dyDescent="0.25">
      <c r="A34877" s="1" t="str">
        <f t="shared" si="1256"/>
        <v>45060</v>
      </c>
      <c r="B34877" s="1" t="str">
        <f>"13661"</f>
        <v>13661</v>
      </c>
      <c r="C34877" s="2">
        <v>2.62447870491577E-4</v>
      </c>
      <c r="D34877" s="2">
        <v>4.01832355541268E-5</v>
      </c>
      <c r="E34877" s="2">
        <v>5.7000356252226501E-4</v>
      </c>
      <c r="F34877" s="2">
        <v>2.5899067633565102E-4</v>
      </c>
    </row>
    <row r="34878" spans="1:6" x14ac:dyDescent="0.25">
      <c r="A34878" s="1" t="str">
        <f t="shared" si="1256"/>
        <v>45060</v>
      </c>
      <c r="B34878" s="1" t="str">
        <f>"13425"</f>
        <v>13425</v>
      </c>
      <c r="C34878" s="2">
        <v>1.92035027188959E-4</v>
      </c>
      <c r="D34878" s="2">
        <v>1.2054970666237999E-4</v>
      </c>
      <c r="E34878" s="2">
        <v>2.13751335945849E-4</v>
      </c>
      <c r="F34878" s="2">
        <v>1.8783939162805499E-4</v>
      </c>
    </row>
    <row r="34879" spans="1:6" x14ac:dyDescent="0.25">
      <c r="A34879" s="1" t="str">
        <f t="shared" si="1256"/>
        <v>45060</v>
      </c>
      <c r="B34879" s="1" t="str">
        <f>"13201"</f>
        <v>13201</v>
      </c>
      <c r="C34879" s="2">
        <v>3.30620305143658E-3</v>
      </c>
      <c r="D34879" s="2">
        <v>3.8977738487502999E-3</v>
      </c>
      <c r="E34879" s="2">
        <v>2.13751335945849E-4</v>
      </c>
      <c r="F34879" s="2">
        <v>3.2245762229482799E-3</v>
      </c>
    </row>
    <row r="34880" spans="1:6" x14ac:dyDescent="0.25">
      <c r="A34880" s="1" t="str">
        <f t="shared" si="1256"/>
        <v>45060</v>
      </c>
      <c r="B34880" s="1" t="str">
        <f>"13077"</f>
        <v>13077</v>
      </c>
      <c r="C34880" s="2">
        <v>3.00854875929369E-4</v>
      </c>
      <c r="D34880" s="2">
        <v>4.01832355541268E-5</v>
      </c>
      <c r="E34880" s="2">
        <v>7.1250445315283194E-5</v>
      </c>
      <c r="F34880" s="2">
        <v>2.73220933277171E-4</v>
      </c>
    </row>
    <row r="34881" spans="1:6" x14ac:dyDescent="0.25">
      <c r="A34881" s="1" t="str">
        <f t="shared" si="1256"/>
        <v>45060</v>
      </c>
      <c r="B34881" s="1" t="str">
        <f>"13355"</f>
        <v>13355</v>
      </c>
      <c r="C34881" s="2">
        <v>1.07539615225817E-3</v>
      </c>
      <c r="D34881" s="2">
        <v>2.8128264887888698E-4</v>
      </c>
      <c r="E34881" s="2">
        <v>2.13751335945849E-4</v>
      </c>
      <c r="F34881" s="2">
        <v>9.8473378035313802E-4</v>
      </c>
    </row>
    <row r="34882" spans="1:6" x14ac:dyDescent="0.25">
      <c r="A34882" s="1" t="str">
        <f t="shared" si="1256"/>
        <v>45060</v>
      </c>
      <c r="B34882" s="1" t="str">
        <f>"13153"</f>
        <v>13153</v>
      </c>
      <c r="C34882" s="2">
        <v>4.2567764360219298E-4</v>
      </c>
      <c r="D34882" s="2">
        <v>3.6164911998714101E-4</v>
      </c>
      <c r="E34882" s="2">
        <v>7.1250445315283194E-5</v>
      </c>
      <c r="F34882" s="2">
        <v>4.06985348527453E-4</v>
      </c>
    </row>
    <row r="34883" spans="1:6" x14ac:dyDescent="0.25">
      <c r="A34883" s="1" t="str">
        <f t="shared" si="1256"/>
        <v>45060</v>
      </c>
      <c r="B34883" s="1" t="str">
        <f>"13218"</f>
        <v>13218</v>
      </c>
      <c r="C34883" s="2">
        <v>2.0355712882029601E-3</v>
      </c>
      <c r="D34883" s="2">
        <v>6.5900506308767901E-3</v>
      </c>
      <c r="E34883" s="2">
        <v>5.7000356252226501E-4</v>
      </c>
      <c r="F34883" s="2">
        <v>2.2996095217495201E-3</v>
      </c>
    </row>
    <row r="34884" spans="1:6" x14ac:dyDescent="0.25">
      <c r="A34884" s="1" t="str">
        <f t="shared" si="1256"/>
        <v>45060</v>
      </c>
      <c r="B34884" s="1" t="str">
        <f>"13072"</f>
        <v>13072</v>
      </c>
      <c r="C34884" s="2">
        <v>7.4253543846397499E-4</v>
      </c>
      <c r="D34884" s="2">
        <v>8.03664711082536E-5</v>
      </c>
      <c r="E34884" s="2">
        <v>2.8500178126113202E-4</v>
      </c>
      <c r="F34884" s="2">
        <v>6.7736023041632004E-4</v>
      </c>
    </row>
    <row r="34885" spans="1:6" x14ac:dyDescent="0.25">
      <c r="A34885" s="1" t="str">
        <f t="shared" si="1256"/>
        <v>45060</v>
      </c>
      <c r="B34885" s="1" t="str">
        <f>"13037"</f>
        <v>13037</v>
      </c>
      <c r="C34885" s="2">
        <v>1.3324030303127199E-2</v>
      </c>
      <c r="D34885" s="2">
        <v>7.9964638752712293E-3</v>
      </c>
      <c r="E34885" s="2">
        <v>1.28963306020662E-2</v>
      </c>
      <c r="F34885" s="2">
        <v>1.2929611457064401E-2</v>
      </c>
    </row>
    <row r="34886" spans="1:6" x14ac:dyDescent="0.25">
      <c r="A34886" s="1" t="str">
        <f t="shared" si="1256"/>
        <v>45060</v>
      </c>
      <c r="B34886" s="1" t="str">
        <f>"13205"</f>
        <v>13205</v>
      </c>
      <c r="C34886" s="2">
        <v>3.0789616025963099E-2</v>
      </c>
      <c r="D34886" s="2">
        <v>2.0171984248171598E-2</v>
      </c>
      <c r="E34886" s="2">
        <v>2.1303883149269599E-2</v>
      </c>
      <c r="F34886" s="2">
        <v>2.96587015175146E-2</v>
      </c>
    </row>
    <row r="34887" spans="1:6" x14ac:dyDescent="0.25">
      <c r="A34887" s="1" t="str">
        <f t="shared" si="1256"/>
        <v>45060</v>
      </c>
      <c r="B34887" s="1" t="str">
        <f>"13135"</f>
        <v>13135</v>
      </c>
      <c r="C34887" s="2">
        <v>9.5953501918749906E-3</v>
      </c>
      <c r="D34887" s="2">
        <v>8.2777465241501199E-3</v>
      </c>
      <c r="E34887" s="2">
        <v>1.04025650160313E-2</v>
      </c>
      <c r="F34887" s="2">
        <v>9.53427215081795E-3</v>
      </c>
    </row>
    <row r="34888" spans="1:6" x14ac:dyDescent="0.25">
      <c r="A34888" s="1" t="str">
        <f t="shared" si="1256"/>
        <v>45060</v>
      </c>
      <c r="B34888" s="1" t="str">
        <f>"13209"</f>
        <v>13209</v>
      </c>
      <c r="C34888" s="2">
        <v>2.17671703318685E-2</v>
      </c>
      <c r="D34888" s="2">
        <v>2.4310857510246701E-2</v>
      </c>
      <c r="E34888" s="2">
        <v>2.23726398289989E-2</v>
      </c>
      <c r="F34888" s="2">
        <v>2.1971516717705801E-2</v>
      </c>
    </row>
    <row r="34889" spans="1:6" x14ac:dyDescent="0.25">
      <c r="A34889" s="1" t="str">
        <f t="shared" si="1256"/>
        <v>45060</v>
      </c>
      <c r="B34889" s="1" t="str">
        <f>"13224"</f>
        <v>13224</v>
      </c>
      <c r="C34889" s="2">
        <v>1.30487800974897E-2</v>
      </c>
      <c r="D34889" s="2">
        <v>9.1617777063409105E-3</v>
      </c>
      <c r="E34889" s="2">
        <v>1.5603847524047001E-2</v>
      </c>
      <c r="F34889" s="2">
        <v>1.28755364806866E-2</v>
      </c>
    </row>
    <row r="34890" spans="1:6" x14ac:dyDescent="0.25">
      <c r="A34890" s="1" t="str">
        <f t="shared" si="1256"/>
        <v>45060</v>
      </c>
      <c r="B34890" s="1" t="str">
        <f>"13211"</f>
        <v>13211</v>
      </c>
      <c r="C34890" s="2">
        <v>9.0288468616675603E-3</v>
      </c>
      <c r="D34890" s="2">
        <v>1.81226392349111E-2</v>
      </c>
      <c r="E34890" s="2">
        <v>8.6925543284645506E-3</v>
      </c>
      <c r="F34890" s="2">
        <v>9.6594984119033195E-3</v>
      </c>
    </row>
    <row r="34891" spans="1:6" x14ac:dyDescent="0.25">
      <c r="A34891" s="1" t="str">
        <f t="shared" si="1256"/>
        <v>45060</v>
      </c>
      <c r="B34891" s="1" t="str">
        <f>"13078"</f>
        <v>13078</v>
      </c>
      <c r="C34891" s="2">
        <v>1.44058276229584E-2</v>
      </c>
      <c r="D34891" s="2">
        <v>6.6302338664309202E-3</v>
      </c>
      <c r="E34891" s="2">
        <v>5.8425365158532201E-3</v>
      </c>
      <c r="F34891" s="2">
        <v>1.35130519916667E-2</v>
      </c>
    </row>
    <row r="34892" spans="1:6" x14ac:dyDescent="0.25">
      <c r="A34892" s="1" t="str">
        <f t="shared" si="1256"/>
        <v>45060</v>
      </c>
      <c r="B34892" s="1" t="str">
        <f>"13088"</f>
        <v>13088</v>
      </c>
      <c r="C34892" s="2">
        <v>3.6499457501048098E-2</v>
      </c>
      <c r="D34892" s="2">
        <v>4.1469099091858801E-2</v>
      </c>
      <c r="E34892" s="2">
        <v>3.7050231563947197E-2</v>
      </c>
      <c r="F34892" s="2">
        <v>3.6873441786864899E-2</v>
      </c>
    </row>
    <row r="34893" spans="1:6" x14ac:dyDescent="0.25">
      <c r="A34893" s="1" t="str">
        <f t="shared" si="1256"/>
        <v>45060</v>
      </c>
      <c r="B34893" s="1" t="str">
        <f>"13110"</f>
        <v>13110</v>
      </c>
      <c r="C34893" s="2">
        <v>3.7798894518360098E-3</v>
      </c>
      <c r="D34893" s="2">
        <v>8.03664711082536E-4</v>
      </c>
      <c r="E34893" s="2">
        <v>3.0637691485571701E-3</v>
      </c>
      <c r="F34893" s="2">
        <v>3.5404879270500098E-3</v>
      </c>
    </row>
    <row r="34894" spans="1:6" x14ac:dyDescent="0.25">
      <c r="A34894" s="1" t="str">
        <f t="shared" si="1256"/>
        <v>45060</v>
      </c>
      <c r="B34894" s="1" t="str">
        <f>"13084"</f>
        <v>13084</v>
      </c>
      <c r="C34894" s="2">
        <v>6.3339553134491699E-3</v>
      </c>
      <c r="D34894" s="2">
        <v>2.6520935465723702E-3</v>
      </c>
      <c r="E34894" s="2">
        <v>4.2037762736017101E-3</v>
      </c>
      <c r="F34894" s="2">
        <v>5.9880921209913302E-3</v>
      </c>
    </row>
    <row r="34895" spans="1:6" x14ac:dyDescent="0.25">
      <c r="A34895" s="1" t="str">
        <f t="shared" si="1256"/>
        <v>45060</v>
      </c>
      <c r="B34895" s="1" t="str">
        <f>"13089"</f>
        <v>13089</v>
      </c>
      <c r="C34895" s="2">
        <v>1.7091117419817301E-3</v>
      </c>
      <c r="D34895" s="2">
        <v>6.2685847464437798E-3</v>
      </c>
      <c r="E34895" s="2">
        <v>1.4250089063056601E-4</v>
      </c>
      <c r="F34895" s="2">
        <v>1.96946756070627E-3</v>
      </c>
    </row>
    <row r="34896" spans="1:6" x14ac:dyDescent="0.25">
      <c r="A34896" s="1" t="str">
        <f t="shared" si="1256"/>
        <v>45060</v>
      </c>
      <c r="B34896" s="1" t="str">
        <f>"13483"</f>
        <v>13483</v>
      </c>
      <c r="C34896" s="2">
        <v>4.1607589224274498E-5</v>
      </c>
      <c r="D34896" s="2">
        <v>0</v>
      </c>
      <c r="E34896" s="2">
        <v>0</v>
      </c>
      <c r="F34896" s="2">
        <v>3.6998668047950197E-5</v>
      </c>
    </row>
    <row r="34897" spans="1:6" x14ac:dyDescent="0.25">
      <c r="A34897" s="1" t="str">
        <f t="shared" si="1256"/>
        <v>45060</v>
      </c>
      <c r="B34897" s="1" t="str">
        <f>"13042"</f>
        <v>13042</v>
      </c>
      <c r="C34897" s="2">
        <v>1.37305044440105E-3</v>
      </c>
      <c r="D34897" s="2">
        <v>1.6073294221650701E-4</v>
      </c>
      <c r="E34897" s="2">
        <v>2.8500178126113202E-4</v>
      </c>
      <c r="F34897" s="2">
        <v>1.24372445668878E-3</v>
      </c>
    </row>
    <row r="34898" spans="1:6" x14ac:dyDescent="0.25">
      <c r="A34898" s="1" t="str">
        <f t="shared" ref="A34898:A34929" si="1257">"45060"</f>
        <v>45060</v>
      </c>
      <c r="B34898" s="1" t="str">
        <f>"13316"</f>
        <v>13316</v>
      </c>
      <c r="C34898" s="2">
        <v>1.47226854178202E-4</v>
      </c>
      <c r="D34898" s="2">
        <v>0</v>
      </c>
      <c r="E34898" s="2">
        <v>0</v>
      </c>
      <c r="F34898" s="2">
        <v>1.30918363861977E-4</v>
      </c>
    </row>
    <row r="34899" spans="1:6" x14ac:dyDescent="0.25">
      <c r="A34899" s="1" t="str">
        <f t="shared" si="1257"/>
        <v>45060</v>
      </c>
      <c r="B34899" s="1" t="str">
        <f>"13057"</f>
        <v>13057</v>
      </c>
      <c r="C34899" s="2">
        <v>2.3754732863274199E-2</v>
      </c>
      <c r="D34899" s="2">
        <v>6.4494093064373495E-2</v>
      </c>
      <c r="E34899" s="2">
        <v>3.7192732454577798E-2</v>
      </c>
      <c r="F34899" s="2">
        <v>2.7176944706913599E-2</v>
      </c>
    </row>
    <row r="34900" spans="1:6" x14ac:dyDescent="0.25">
      <c r="A34900" s="1" t="str">
        <f t="shared" si="1257"/>
        <v>45060</v>
      </c>
      <c r="B34900" s="1" t="str">
        <f>"13031"</f>
        <v>13031</v>
      </c>
      <c r="C34900" s="2">
        <v>2.5540658616131501E-2</v>
      </c>
      <c r="D34900" s="2">
        <v>2.4953789279112699E-2</v>
      </c>
      <c r="E34900" s="2">
        <v>1.9308870680441698E-2</v>
      </c>
      <c r="F34900" s="2">
        <v>2.5250167917031899E-2</v>
      </c>
    </row>
    <row r="34901" spans="1:6" x14ac:dyDescent="0.25">
      <c r="A34901" s="1" t="str">
        <f t="shared" si="1257"/>
        <v>45060</v>
      </c>
      <c r="B34901" s="1" t="str">
        <f>"13421"</f>
        <v>13421</v>
      </c>
      <c r="C34901" s="2">
        <v>1.6233360965040002E-2</v>
      </c>
      <c r="D34901" s="2">
        <v>2.1538214257011901E-2</v>
      </c>
      <c r="E34901" s="2">
        <v>2.3797648735304499E-2</v>
      </c>
      <c r="F34901" s="2">
        <v>1.69112373493015E-2</v>
      </c>
    </row>
    <row r="34902" spans="1:6" x14ac:dyDescent="0.25">
      <c r="A34902" s="1" t="str">
        <f t="shared" si="1257"/>
        <v>45060</v>
      </c>
      <c r="B34902" s="1" t="str">
        <f>"13167"</f>
        <v>13167</v>
      </c>
      <c r="C34902" s="2">
        <v>5.2425562422585802E-3</v>
      </c>
      <c r="D34902" s="2">
        <v>1.28586353773205E-3</v>
      </c>
      <c r="E34902" s="2">
        <v>2.2087638047737701E-3</v>
      </c>
      <c r="F34902" s="2">
        <v>4.8411334115048702E-3</v>
      </c>
    </row>
    <row r="34903" spans="1:6" x14ac:dyDescent="0.25">
      <c r="A34903" s="1" t="str">
        <f t="shared" si="1257"/>
        <v>45060</v>
      </c>
      <c r="B34903" s="1" t="str">
        <f>"13051"</f>
        <v>13051</v>
      </c>
      <c r="C34903" s="2">
        <v>3.2005837864826501E-6</v>
      </c>
      <c r="D34903" s="2">
        <v>0</v>
      </c>
      <c r="E34903" s="2">
        <v>7.1250445315283194E-5</v>
      </c>
      <c r="F34903" s="2">
        <v>5.6921027766077301E-6</v>
      </c>
    </row>
    <row r="34904" spans="1:6" x14ac:dyDescent="0.25">
      <c r="A34904" s="1" t="str">
        <f t="shared" si="1257"/>
        <v>45060</v>
      </c>
      <c r="B34904" s="1" t="str">
        <f>"13033"</f>
        <v>13033</v>
      </c>
      <c r="C34904" s="2">
        <v>1.9203502718895899E-5</v>
      </c>
      <c r="D34904" s="2">
        <v>0</v>
      </c>
      <c r="E34904" s="2">
        <v>0</v>
      </c>
      <c r="F34904" s="2">
        <v>1.7076308329823201E-5</v>
      </c>
    </row>
    <row r="34905" spans="1:6" x14ac:dyDescent="0.25">
      <c r="A34905" s="1" t="str">
        <f t="shared" si="1257"/>
        <v>45060</v>
      </c>
      <c r="B34905" s="1" t="str">
        <f>"13252"</f>
        <v>13252</v>
      </c>
      <c r="C34905" s="2">
        <v>0</v>
      </c>
      <c r="D34905" s="2">
        <v>4.01832355541268E-5</v>
      </c>
      <c r="E34905" s="2">
        <v>0</v>
      </c>
      <c r="F34905" s="2">
        <v>2.8460513883038599E-6</v>
      </c>
    </row>
    <row r="34906" spans="1:6" x14ac:dyDescent="0.25">
      <c r="A34906" s="1" t="str">
        <f t="shared" si="1257"/>
        <v>45060</v>
      </c>
      <c r="B34906" s="1" t="str">
        <f>"13261"</f>
        <v>13261</v>
      </c>
      <c r="C34906" s="2">
        <v>0</v>
      </c>
      <c r="D34906" s="2">
        <v>0</v>
      </c>
      <c r="E34906" s="2">
        <v>7.8375489846811502E-4</v>
      </c>
      <c r="F34906" s="2">
        <v>3.1306565271342499E-5</v>
      </c>
    </row>
    <row r="34907" spans="1:6" x14ac:dyDescent="0.25">
      <c r="A34907" s="1" t="str">
        <f t="shared" si="1257"/>
        <v>45060</v>
      </c>
      <c r="B34907" s="1" t="str">
        <f>"13464"</f>
        <v>13464</v>
      </c>
      <c r="C34907" s="2">
        <v>9.6017513594479597E-6</v>
      </c>
      <c r="D34907" s="2">
        <v>0</v>
      </c>
      <c r="E34907" s="2">
        <v>0</v>
      </c>
      <c r="F34907" s="2">
        <v>8.5381541649116006E-6</v>
      </c>
    </row>
    <row r="34908" spans="1:6" x14ac:dyDescent="0.25">
      <c r="A34908" s="1" t="str">
        <f t="shared" si="1257"/>
        <v>45060</v>
      </c>
      <c r="B34908" s="1" t="str">
        <f>"13020"</f>
        <v>13020</v>
      </c>
      <c r="C34908" s="2">
        <v>2.01636778548407E-4</v>
      </c>
      <c r="D34908" s="2">
        <v>0</v>
      </c>
      <c r="E34908" s="2">
        <v>7.1250445315283194E-5</v>
      </c>
      <c r="F34908" s="2">
        <v>1.8214728885144701E-4</v>
      </c>
    </row>
    <row r="34909" spans="1:6" x14ac:dyDescent="0.25">
      <c r="A34909" s="1" t="str">
        <f t="shared" si="1257"/>
        <v>45060</v>
      </c>
      <c r="B34909" s="1" t="str">
        <f>"13063"</f>
        <v>13063</v>
      </c>
      <c r="C34909" s="2">
        <v>2.3428273317053E-3</v>
      </c>
      <c r="D34909" s="2">
        <v>6.4293176886602902E-4</v>
      </c>
      <c r="E34909" s="2">
        <v>1.28250801567509E-3</v>
      </c>
      <c r="F34909" s="2">
        <v>2.1800753634407602E-3</v>
      </c>
    </row>
    <row r="34910" spans="1:6" x14ac:dyDescent="0.25">
      <c r="A34910" s="1" t="str">
        <f t="shared" si="1257"/>
        <v>45060</v>
      </c>
      <c r="B34910" s="1" t="str">
        <f>"13485"</f>
        <v>13485</v>
      </c>
      <c r="C34910" s="2">
        <v>1.17141366585265E-3</v>
      </c>
      <c r="D34910" s="2">
        <v>8.03664711082536E-5</v>
      </c>
      <c r="E34910" s="2">
        <v>2.13751335945849E-4</v>
      </c>
      <c r="F34910" s="2">
        <v>1.0558850650607299E-3</v>
      </c>
    </row>
    <row r="34911" spans="1:6" x14ac:dyDescent="0.25">
      <c r="A34911" s="1" t="str">
        <f t="shared" si="1257"/>
        <v>45060</v>
      </c>
      <c r="B34911" s="1" t="str">
        <f>"13044"</f>
        <v>13044</v>
      </c>
      <c r="C34911" s="2">
        <v>3.7958923707684198E-3</v>
      </c>
      <c r="D34911" s="2">
        <v>1.28586353773205E-3</v>
      </c>
      <c r="E34911" s="2">
        <v>1.63876024225151E-3</v>
      </c>
      <c r="F34911" s="2">
        <v>3.5319497728850901E-3</v>
      </c>
    </row>
    <row r="34912" spans="1:6" x14ac:dyDescent="0.25">
      <c r="A34912" s="1" t="str">
        <f t="shared" si="1257"/>
        <v>45060</v>
      </c>
      <c r="B34912" s="1" t="str">
        <f>"13069"</f>
        <v>13069</v>
      </c>
      <c r="C34912" s="2">
        <v>3.6243410798129497E-2</v>
      </c>
      <c r="D34912" s="2">
        <v>2.7445149883468599E-2</v>
      </c>
      <c r="E34912" s="2">
        <v>3.5625222657641599E-2</v>
      </c>
      <c r="F34912" s="2">
        <v>3.5595564713516402E-2</v>
      </c>
    </row>
    <row r="34913" spans="1:6" x14ac:dyDescent="0.25">
      <c r="A34913" s="1" t="str">
        <f t="shared" si="1257"/>
        <v>45060</v>
      </c>
      <c r="B34913" s="1" t="str">
        <f>"13203"</f>
        <v>13203</v>
      </c>
      <c r="C34913" s="2">
        <v>2.6555243676446499E-2</v>
      </c>
      <c r="D34913" s="2">
        <v>2.5034155750220999E-2</v>
      </c>
      <c r="E34913" s="2">
        <v>4.28927680798004E-2</v>
      </c>
      <c r="F34913" s="2">
        <v>2.7100101319429401E-2</v>
      </c>
    </row>
    <row r="34914" spans="1:6" x14ac:dyDescent="0.25">
      <c r="A34914" s="1" t="str">
        <f t="shared" si="1257"/>
        <v>45060</v>
      </c>
      <c r="B34914" s="1" t="str">
        <f>"13207"</f>
        <v>13207</v>
      </c>
      <c r="C34914" s="2">
        <v>1.9309121983849799E-2</v>
      </c>
      <c r="D34914" s="2">
        <v>6.1480350397814E-3</v>
      </c>
      <c r="E34914" s="2">
        <v>1.36800855005343E-2</v>
      </c>
      <c r="F34914" s="2">
        <v>1.8152115754601999E-2</v>
      </c>
    </row>
    <row r="34915" spans="1:6" x14ac:dyDescent="0.25">
      <c r="A34915" s="1" t="str">
        <f t="shared" si="1257"/>
        <v>45060</v>
      </c>
      <c r="B34915" s="1" t="str">
        <f>"13138"</f>
        <v>13138</v>
      </c>
      <c r="C34915" s="2">
        <v>1.0881984874041E-4</v>
      </c>
      <c r="D34915" s="2">
        <v>4.01832355541268E-5</v>
      </c>
      <c r="E34915" s="2">
        <v>2.13751335945849E-4</v>
      </c>
      <c r="F34915" s="2">
        <v>1.08149952755546E-4</v>
      </c>
    </row>
    <row r="34916" spans="1:6" x14ac:dyDescent="0.25">
      <c r="A34916" s="1" t="str">
        <f t="shared" si="1257"/>
        <v>45060</v>
      </c>
      <c r="B34916" s="1" t="str">
        <f>"13164"</f>
        <v>13164</v>
      </c>
      <c r="C34916" s="2">
        <v>3.1845808675502402E-3</v>
      </c>
      <c r="D34916" s="2">
        <v>1.2456803021779299E-3</v>
      </c>
      <c r="E34916" s="2">
        <v>9.9750623441396502E-4</v>
      </c>
      <c r="F34916" s="2">
        <v>2.9598934438360199E-3</v>
      </c>
    </row>
    <row r="34917" spans="1:6" x14ac:dyDescent="0.25">
      <c r="A34917" s="1" t="str">
        <f t="shared" si="1257"/>
        <v>45060</v>
      </c>
      <c r="B34917" s="1" t="str">
        <f>"13219"</f>
        <v>13219</v>
      </c>
      <c r="C34917" s="2">
        <v>2.2183246224111199E-2</v>
      </c>
      <c r="D34917" s="2">
        <v>1.6836775697179101E-2</v>
      </c>
      <c r="E34917" s="2">
        <v>1.2753829711435599E-2</v>
      </c>
      <c r="F34917" s="2">
        <v>2.1427920902539799E-2</v>
      </c>
    </row>
    <row r="34918" spans="1:6" x14ac:dyDescent="0.25">
      <c r="A34918" s="1" t="str">
        <f t="shared" si="1257"/>
        <v>45060</v>
      </c>
      <c r="B34918" s="1" t="str">
        <f>"13215"</f>
        <v>13215</v>
      </c>
      <c r="C34918" s="2">
        <v>1.88098309131585E-2</v>
      </c>
      <c r="D34918" s="2">
        <v>6.3489512175520296E-3</v>
      </c>
      <c r="E34918" s="2">
        <v>8.7638047737798302E-3</v>
      </c>
      <c r="F34918" s="2">
        <v>1.7525984449175198E-2</v>
      </c>
    </row>
    <row r="34919" spans="1:6" x14ac:dyDescent="0.25">
      <c r="A34919" s="1" t="str">
        <f t="shared" si="1257"/>
        <v>45060</v>
      </c>
      <c r="B34919" s="1" t="str">
        <f>"13244"</f>
        <v>13244</v>
      </c>
      <c r="C34919" s="2">
        <v>4.1671600900004104E-3</v>
      </c>
      <c r="D34919" s="2">
        <v>1.5269629510568099E-3</v>
      </c>
      <c r="E34919" s="2">
        <v>1.97363733523334E-2</v>
      </c>
      <c r="F34919" s="2">
        <v>4.6020650948873504E-3</v>
      </c>
    </row>
    <row r="34920" spans="1:6" x14ac:dyDescent="0.25">
      <c r="A34920" s="1" t="str">
        <f t="shared" si="1257"/>
        <v>45060</v>
      </c>
      <c r="B34920" s="1" t="str">
        <f>"13484"</f>
        <v>13484</v>
      </c>
      <c r="C34920" s="2">
        <v>0</v>
      </c>
      <c r="D34920" s="2">
        <v>0</v>
      </c>
      <c r="E34920" s="2">
        <v>7.1250445315283194E-5</v>
      </c>
      <c r="F34920" s="2">
        <v>2.8460513883038599E-6</v>
      </c>
    </row>
    <row r="34921" spans="1:6" x14ac:dyDescent="0.25">
      <c r="A34921" s="1" t="str">
        <f t="shared" si="1257"/>
        <v>45060</v>
      </c>
      <c r="B34921" s="1" t="str">
        <f>"13137"</f>
        <v>13137</v>
      </c>
      <c r="C34921" s="2">
        <v>0</v>
      </c>
      <c r="D34921" s="2">
        <v>0</v>
      </c>
      <c r="E34921" s="2">
        <v>7.1250445315283194E-5</v>
      </c>
      <c r="F34921" s="2">
        <v>2.8460513883038599E-6</v>
      </c>
    </row>
    <row r="34922" spans="1:6" x14ac:dyDescent="0.25">
      <c r="A34922" s="1" t="str">
        <f t="shared" si="1257"/>
        <v>45060</v>
      </c>
      <c r="B34922" s="1" t="str">
        <f>"13121"</f>
        <v>13121</v>
      </c>
      <c r="C34922" s="2">
        <v>0</v>
      </c>
      <c r="D34922" s="2">
        <v>0</v>
      </c>
      <c r="E34922" s="2">
        <v>7.1250445315283194E-5</v>
      </c>
      <c r="F34922" s="2">
        <v>2.8460513883038599E-6</v>
      </c>
    </row>
    <row r="34923" spans="1:6" x14ac:dyDescent="0.25">
      <c r="A34923" s="1" t="str">
        <f t="shared" si="1257"/>
        <v>45060</v>
      </c>
      <c r="B34923" s="1" t="str">
        <f>"13290"</f>
        <v>13290</v>
      </c>
      <c r="C34923" s="2">
        <v>9.6017513594479596E-4</v>
      </c>
      <c r="D34923" s="2">
        <v>3.6164911998714101E-4</v>
      </c>
      <c r="E34923" s="2">
        <v>2.8500178126113202E-4</v>
      </c>
      <c r="F34923" s="2">
        <v>8.9081408453910995E-4</v>
      </c>
    </row>
    <row r="34924" spans="1:6" x14ac:dyDescent="0.25">
      <c r="A34924" s="1" t="str">
        <f t="shared" si="1257"/>
        <v>45060</v>
      </c>
      <c r="B34924" s="1" t="str">
        <f>"13141"</f>
        <v>13141</v>
      </c>
      <c r="C34924" s="2">
        <v>3.10456627288817E-4</v>
      </c>
      <c r="D34924" s="2">
        <v>0</v>
      </c>
      <c r="E34924" s="2">
        <v>0</v>
      </c>
      <c r="F34924" s="2">
        <v>2.7606698466547502E-4</v>
      </c>
    </row>
    <row r="34925" spans="1:6" x14ac:dyDescent="0.25">
      <c r="A34925" s="1" t="str">
        <f t="shared" si="1257"/>
        <v>45060</v>
      </c>
      <c r="B34925" s="1" t="str">
        <f>"13166"</f>
        <v>13166</v>
      </c>
      <c r="C34925" s="2">
        <v>1.12020432526892E-4</v>
      </c>
      <c r="D34925" s="2">
        <v>2.00916177770634E-4</v>
      </c>
      <c r="E34925" s="2">
        <v>1.4250089063056601E-4</v>
      </c>
      <c r="F34925" s="2">
        <v>1.19534158308762E-4</v>
      </c>
    </row>
    <row r="34926" spans="1:6" x14ac:dyDescent="0.25">
      <c r="A34926" s="1" t="str">
        <f t="shared" si="1257"/>
        <v>45060</v>
      </c>
      <c r="B34926" s="1" t="str">
        <f>"13115"</f>
        <v>13115</v>
      </c>
      <c r="C34926" s="2">
        <v>3.00854875929369E-4</v>
      </c>
      <c r="D34926" s="2">
        <v>0</v>
      </c>
      <c r="E34926" s="2">
        <v>7.1250445315283194E-5</v>
      </c>
      <c r="F34926" s="2">
        <v>2.7037488188886698E-4</v>
      </c>
    </row>
    <row r="34927" spans="1:6" x14ac:dyDescent="0.25">
      <c r="A34927" s="1" t="str">
        <f t="shared" si="1257"/>
        <v>45060</v>
      </c>
      <c r="B34927" s="1" t="str">
        <f>"13364"</f>
        <v>13364</v>
      </c>
      <c r="C34927" s="2">
        <v>3.0405545971585199E-4</v>
      </c>
      <c r="D34927" s="2">
        <v>0</v>
      </c>
      <c r="E34927" s="2">
        <v>7.1250445315283194E-5</v>
      </c>
      <c r="F34927" s="2">
        <v>2.73220933277171E-4</v>
      </c>
    </row>
    <row r="34928" spans="1:6" x14ac:dyDescent="0.25">
      <c r="A34928" s="1" t="str">
        <f t="shared" si="1257"/>
        <v>45060</v>
      </c>
      <c r="B34928" s="1" t="str">
        <f>"13076"</f>
        <v>13076</v>
      </c>
      <c r="C34928" s="2">
        <v>2.9925458403612798E-3</v>
      </c>
      <c r="D34928" s="2">
        <v>8.03664711082536E-4</v>
      </c>
      <c r="E34928" s="2">
        <v>9.9750623441396502E-4</v>
      </c>
      <c r="F34928" s="2">
        <v>2.7578237952664399E-3</v>
      </c>
    </row>
    <row r="34929" spans="1:6" x14ac:dyDescent="0.25">
      <c r="A34929" s="1" t="str">
        <f t="shared" si="1257"/>
        <v>45060</v>
      </c>
      <c r="B34929" s="1" t="str">
        <f>"13060"</f>
        <v>13060</v>
      </c>
      <c r="C34929" s="2">
        <v>4.5672330633107399E-3</v>
      </c>
      <c r="D34929" s="2">
        <v>2.8530097243430002E-3</v>
      </c>
      <c r="E34929" s="2">
        <v>3.6337727110794401E-3</v>
      </c>
      <c r="F34929" s="2">
        <v>4.4085336004826897E-3</v>
      </c>
    </row>
    <row r="34930" spans="1:6" x14ac:dyDescent="0.25">
      <c r="A34930" s="1" t="str">
        <f t="shared" ref="A34930:A34961" si="1258">"45060"</f>
        <v>45060</v>
      </c>
      <c r="B34930" s="1" t="str">
        <f>"13066"</f>
        <v>13066</v>
      </c>
      <c r="C34930" s="2">
        <v>2.01860819413461E-2</v>
      </c>
      <c r="D34930" s="2">
        <v>2.45921401591256E-2</v>
      </c>
      <c r="E34930" s="2">
        <v>8.4788029925186997E-3</v>
      </c>
      <c r="F34930" s="2">
        <v>2.0030509670882601E-2</v>
      </c>
    </row>
    <row r="34931" spans="1:6" x14ac:dyDescent="0.25">
      <c r="A34931" s="1" t="str">
        <f t="shared" si="1258"/>
        <v>45060</v>
      </c>
      <c r="B34931" s="1" t="str">
        <f>"13029"</f>
        <v>13029</v>
      </c>
      <c r="C34931" s="2">
        <v>1.00498330895555E-2</v>
      </c>
      <c r="D34931" s="2">
        <v>6.0274853331190202E-3</v>
      </c>
      <c r="E34931" s="2">
        <v>6.2700391877449201E-3</v>
      </c>
      <c r="F34931" s="2">
        <v>9.6139615896904604E-3</v>
      </c>
    </row>
    <row r="34932" spans="1:6" x14ac:dyDescent="0.25">
      <c r="A34932" s="1" t="str">
        <f t="shared" si="1258"/>
        <v>45060</v>
      </c>
      <c r="B34932" s="1" t="str">
        <f>"13346"</f>
        <v>13346</v>
      </c>
      <c r="C34932" s="2">
        <v>6.7308277029730201E-3</v>
      </c>
      <c r="D34932" s="2">
        <v>7.9160974041629795E-3</v>
      </c>
      <c r="E34932" s="2">
        <v>8.1225507659422793E-3</v>
      </c>
      <c r="F34932" s="2">
        <v>6.8703680513655298E-3</v>
      </c>
    </row>
    <row r="34933" spans="1:6" x14ac:dyDescent="0.25">
      <c r="A34933" s="1" t="str">
        <f t="shared" si="1258"/>
        <v>45060</v>
      </c>
      <c r="B34933" s="1" t="str">
        <f>"13126"</f>
        <v>13126</v>
      </c>
      <c r="C34933" s="2">
        <v>5.0265168366710002E-2</v>
      </c>
      <c r="D34933" s="2">
        <v>4.4201559109539497E-2</v>
      </c>
      <c r="E34933" s="2">
        <v>5.6857855361596002E-2</v>
      </c>
      <c r="F34933" s="2">
        <v>5.0099042588312902E-2</v>
      </c>
    </row>
    <row r="34934" spans="1:6" x14ac:dyDescent="0.25">
      <c r="A34934" s="1" t="str">
        <f t="shared" si="1258"/>
        <v>45060</v>
      </c>
      <c r="B34934" s="1" t="str">
        <f>"13206"</f>
        <v>13206</v>
      </c>
      <c r="C34934" s="2">
        <v>2.9227731138159602E-2</v>
      </c>
      <c r="D34934" s="2">
        <v>4.9345013260467703E-2</v>
      </c>
      <c r="E34934" s="2">
        <v>5.1229070181688603E-2</v>
      </c>
      <c r="F34934" s="2">
        <v>3.1531403331018497E-2</v>
      </c>
    </row>
    <row r="34935" spans="1:6" x14ac:dyDescent="0.25">
      <c r="A34935" s="1" t="str">
        <f t="shared" si="1258"/>
        <v>45060</v>
      </c>
      <c r="B34935" s="1" t="str">
        <f>"13145"</f>
        <v>13145</v>
      </c>
      <c r="C34935" s="2">
        <v>3.1589761972583702E-3</v>
      </c>
      <c r="D34935" s="2">
        <v>6.8311500442015498E-4</v>
      </c>
      <c r="E34935" s="2">
        <v>1.14000712504453E-3</v>
      </c>
      <c r="F34935" s="2">
        <v>2.90297241606994E-3</v>
      </c>
    </row>
    <row r="34936" spans="1:6" x14ac:dyDescent="0.25">
      <c r="A34936" s="1" t="str">
        <f t="shared" si="1258"/>
        <v>45060</v>
      </c>
      <c r="B34936" s="1" t="str">
        <f>"13028"</f>
        <v>13028</v>
      </c>
      <c r="C34936" s="2">
        <v>2.2052022288865398E-3</v>
      </c>
      <c r="D34936" s="2">
        <v>3.2146588443301402E-4</v>
      </c>
      <c r="E34936" s="2">
        <v>3.5625222657641599E-4</v>
      </c>
      <c r="F34936" s="2">
        <v>1.9979280745893099E-3</v>
      </c>
    </row>
    <row r="34937" spans="1:6" x14ac:dyDescent="0.25">
      <c r="A34937" s="1" t="str">
        <f t="shared" si="1258"/>
        <v>45060</v>
      </c>
      <c r="B34937" s="1" t="str">
        <f>"13030"</f>
        <v>13030</v>
      </c>
      <c r="C34937" s="2">
        <v>5.9210800049929102E-3</v>
      </c>
      <c r="D34937" s="2">
        <v>1.6073294221650701E-3</v>
      </c>
      <c r="E34937" s="2">
        <v>2.8500178126113201E-3</v>
      </c>
      <c r="F34937" s="2">
        <v>5.4928791794264598E-3</v>
      </c>
    </row>
    <row r="34938" spans="1:6" x14ac:dyDescent="0.25">
      <c r="A34938" s="1" t="str">
        <f t="shared" si="1258"/>
        <v>45060</v>
      </c>
      <c r="B34938" s="1" t="str">
        <f>"13332"</f>
        <v>13332</v>
      </c>
      <c r="C34938" s="2">
        <v>2.3460279154917801E-3</v>
      </c>
      <c r="D34938" s="2">
        <v>6.8311500442015498E-4</v>
      </c>
      <c r="E34938" s="2">
        <v>2.8500178126113202E-4</v>
      </c>
      <c r="F34938" s="2">
        <v>2.1459227467811098E-3</v>
      </c>
    </row>
    <row r="34939" spans="1:6" x14ac:dyDescent="0.25">
      <c r="A34939" s="1" t="str">
        <f t="shared" si="1258"/>
        <v>45060</v>
      </c>
      <c r="B34939" s="1" t="str">
        <f>"13402"</f>
        <v>13402</v>
      </c>
      <c r="C34939" s="2">
        <v>1.9235508556760699E-3</v>
      </c>
      <c r="D34939" s="2">
        <v>7.6348147552840896E-4</v>
      </c>
      <c r="E34939" s="2">
        <v>1.14000712504453E-3</v>
      </c>
      <c r="F34939" s="2">
        <v>1.8100886829612499E-3</v>
      </c>
    </row>
    <row r="34940" spans="1:6" x14ac:dyDescent="0.25">
      <c r="A34940" s="1" t="str">
        <f t="shared" si="1258"/>
        <v>45060</v>
      </c>
      <c r="B34940" s="1" t="str">
        <f>"13202"</f>
        <v>13202</v>
      </c>
      <c r="C34940" s="2">
        <v>1.2187823058925899E-2</v>
      </c>
      <c r="D34940" s="2">
        <v>8.3540946717029593E-2</v>
      </c>
      <c r="E34940" s="2">
        <v>2.9711435696473099E-2</v>
      </c>
      <c r="F34940" s="2">
        <v>1.79415079518675E-2</v>
      </c>
    </row>
    <row r="34941" spans="1:6" x14ac:dyDescent="0.25">
      <c r="A34941" s="1" t="str">
        <f t="shared" si="1258"/>
        <v>45060</v>
      </c>
      <c r="B34941" s="1" t="str">
        <f>"13152"</f>
        <v>13152</v>
      </c>
      <c r="C34941" s="2">
        <v>1.45050457203393E-2</v>
      </c>
      <c r="D34941" s="2">
        <v>1.7881539821586401E-2</v>
      </c>
      <c r="E34941" s="2">
        <v>1.5318845742785799E-2</v>
      </c>
      <c r="F34941" s="2">
        <v>1.4776698808073601E-2</v>
      </c>
    </row>
    <row r="34942" spans="1:6" x14ac:dyDescent="0.25">
      <c r="A34942" s="1" t="str">
        <f t="shared" si="1258"/>
        <v>45060</v>
      </c>
      <c r="B34942" s="1" t="str">
        <f>"13090"</f>
        <v>13090</v>
      </c>
      <c r="C34942" s="2">
        <v>4.3547142998882897E-2</v>
      </c>
      <c r="D34942" s="2">
        <v>2.4953789279112699E-2</v>
      </c>
      <c r="E34942" s="2">
        <v>3.8688991806198697E-2</v>
      </c>
      <c r="F34942" s="2">
        <v>4.20361790052481E-2</v>
      </c>
    </row>
    <row r="34943" spans="1:6" x14ac:dyDescent="0.25">
      <c r="A34943" s="1" t="str">
        <f t="shared" si="1258"/>
        <v>45060</v>
      </c>
      <c r="B34943" s="1" t="str">
        <f>"13104"</f>
        <v>13104</v>
      </c>
      <c r="C34943" s="2">
        <v>2.2976991003158899E-2</v>
      </c>
      <c r="D34943" s="2">
        <v>1.9167403359318401E-2</v>
      </c>
      <c r="E34943" s="2">
        <v>2.0235126469540399E-2</v>
      </c>
      <c r="F34943" s="2">
        <v>2.2597648023132699E-2</v>
      </c>
    </row>
    <row r="34944" spans="1:6" x14ac:dyDescent="0.25">
      <c r="A34944" s="1" t="str">
        <f t="shared" si="1258"/>
        <v>45060</v>
      </c>
      <c r="B34944" s="1" t="str">
        <f>"13112"</f>
        <v>13112</v>
      </c>
      <c r="C34944" s="2">
        <v>2.4868536020970201E-3</v>
      </c>
      <c r="D34944" s="2">
        <v>5.2238206220364799E-4</v>
      </c>
      <c r="E34944" s="2">
        <v>1.56750979693623E-3</v>
      </c>
      <c r="F34944" s="2">
        <v>2.3109937273027401E-3</v>
      </c>
    </row>
    <row r="34945" spans="1:6" x14ac:dyDescent="0.25">
      <c r="A34945" s="1" t="str">
        <f t="shared" si="1258"/>
        <v>45060</v>
      </c>
      <c r="B34945" s="1" t="str">
        <f>"13082"</f>
        <v>13082</v>
      </c>
      <c r="C34945" s="2">
        <v>6.8236446327810101E-3</v>
      </c>
      <c r="D34945" s="2">
        <v>1.68769589327332E-3</v>
      </c>
      <c r="E34945" s="2">
        <v>3.0637691485571701E-3</v>
      </c>
      <c r="F34945" s="2">
        <v>6.3096959278696697E-3</v>
      </c>
    </row>
    <row r="34946" spans="1:6" x14ac:dyDescent="0.25">
      <c r="A34946" s="1" t="str">
        <f t="shared" si="1258"/>
        <v>45060</v>
      </c>
      <c r="B34946" s="1" t="str">
        <f>"13116"</f>
        <v>13116</v>
      </c>
      <c r="C34946" s="2">
        <v>4.8264803500158403E-3</v>
      </c>
      <c r="D34946" s="2">
        <v>1.6475126577191899E-3</v>
      </c>
      <c r="E34946" s="2">
        <v>1.7100106875667901E-3</v>
      </c>
      <c r="F34946" s="2">
        <v>4.4768388338019801E-3</v>
      </c>
    </row>
    <row r="34947" spans="1:6" x14ac:dyDescent="0.25">
      <c r="A34947" s="1" t="str">
        <f t="shared" si="1258"/>
        <v>45060</v>
      </c>
      <c r="B34947" s="1" t="str">
        <f>"13103"</f>
        <v>13103</v>
      </c>
      <c r="C34947" s="2">
        <v>5.6970391399391198E-4</v>
      </c>
      <c r="D34947" s="2">
        <v>4.01832355541268E-5</v>
      </c>
      <c r="E34947" s="2">
        <v>2.13751335945849E-4</v>
      </c>
      <c r="F34947" s="2">
        <v>5.1798135267130301E-4</v>
      </c>
    </row>
    <row r="34948" spans="1:6" x14ac:dyDescent="0.25">
      <c r="A34948" s="1" t="str">
        <f t="shared" si="1258"/>
        <v>45060</v>
      </c>
      <c r="B34948" s="1" t="str">
        <f>"13437"</f>
        <v>13437</v>
      </c>
      <c r="C34948" s="2">
        <v>7.4253543846397499E-4</v>
      </c>
      <c r="D34948" s="2">
        <v>2.00916177770634E-4</v>
      </c>
      <c r="E34948" s="2">
        <v>7.1250445315283194E-5</v>
      </c>
      <c r="F34948" s="2">
        <v>6.7736023041632004E-4</v>
      </c>
    </row>
    <row r="34949" spans="1:6" x14ac:dyDescent="0.25">
      <c r="A34949" s="1" t="str">
        <f t="shared" si="1258"/>
        <v>45060</v>
      </c>
      <c r="B34949" s="1" t="str">
        <f>"13493"</f>
        <v>13493</v>
      </c>
      <c r="C34949" s="2">
        <v>2.8581213213290102E-3</v>
      </c>
      <c r="D34949" s="2">
        <v>9.2421441774491605E-4</v>
      </c>
      <c r="E34949" s="2">
        <v>9.26255789098681E-4</v>
      </c>
      <c r="F34949" s="2">
        <v>2.64398173973429E-3</v>
      </c>
    </row>
    <row r="34950" spans="1:6" x14ac:dyDescent="0.25">
      <c r="A34950" s="1" t="str">
        <f t="shared" si="1258"/>
        <v>45060</v>
      </c>
      <c r="B34950" s="1" t="str">
        <f>"13235"</f>
        <v>13235</v>
      </c>
      <c r="C34950" s="2">
        <v>0</v>
      </c>
      <c r="D34950" s="2">
        <v>0</v>
      </c>
      <c r="E34950" s="2">
        <v>2.8500178126113202E-4</v>
      </c>
      <c r="F34950" s="2">
        <v>1.1384205553215401E-5</v>
      </c>
    </row>
    <row r="34951" spans="1:6" x14ac:dyDescent="0.25">
      <c r="A34951" s="1" t="str">
        <f t="shared" si="1258"/>
        <v>45060</v>
      </c>
      <c r="B34951" s="1" t="str">
        <f>"13158"</f>
        <v>13158</v>
      </c>
      <c r="C34951" s="2">
        <v>7.3613427089100998E-5</v>
      </c>
      <c r="D34951" s="2">
        <v>4.01832355541268E-5</v>
      </c>
      <c r="E34951" s="2">
        <v>0</v>
      </c>
      <c r="F34951" s="2">
        <v>6.8305233319292805E-5</v>
      </c>
    </row>
    <row r="34952" spans="1:6" x14ac:dyDescent="0.25">
      <c r="A34952" s="1" t="str">
        <f t="shared" si="1258"/>
        <v>45060</v>
      </c>
      <c r="B34952" s="1" t="str">
        <f>"13314"</f>
        <v>13314</v>
      </c>
      <c r="C34952" s="2">
        <v>2.2404086505378501E-5</v>
      </c>
      <c r="D34952" s="2">
        <v>0</v>
      </c>
      <c r="E34952" s="2">
        <v>7.1250445315283194E-5</v>
      </c>
      <c r="F34952" s="2">
        <v>2.27684111064309E-5</v>
      </c>
    </row>
    <row r="34953" spans="1:6" x14ac:dyDescent="0.25">
      <c r="A34953" s="1" t="str">
        <f t="shared" si="1258"/>
        <v>45060</v>
      </c>
      <c r="B34953" s="1" t="str">
        <f>"13418"</f>
        <v>13418</v>
      </c>
      <c r="C34953" s="2">
        <v>2.6564845427806E-4</v>
      </c>
      <c r="D34953" s="2">
        <v>4.01832355541268E-5</v>
      </c>
      <c r="E34953" s="2">
        <v>7.1250445315283194E-5</v>
      </c>
      <c r="F34953" s="2">
        <v>2.4191436800582799E-4</v>
      </c>
    </row>
    <row r="34954" spans="1:6" x14ac:dyDescent="0.25">
      <c r="A34954" s="1" t="str">
        <f t="shared" si="1258"/>
        <v>45060</v>
      </c>
      <c r="B34954" s="1" t="str">
        <f>"13460"</f>
        <v>13460</v>
      </c>
      <c r="C34954" s="2">
        <v>2.5604670291861201E-5</v>
      </c>
      <c r="D34954" s="2">
        <v>0</v>
      </c>
      <c r="E34954" s="2">
        <v>0</v>
      </c>
      <c r="F34954" s="2">
        <v>2.27684111064309E-5</v>
      </c>
    </row>
    <row r="34955" spans="1:6" x14ac:dyDescent="0.25">
      <c r="A34955" s="1" t="str">
        <f t="shared" si="1258"/>
        <v>45060</v>
      </c>
      <c r="B34955" s="1" t="str">
        <f>"13310"</f>
        <v>13310</v>
      </c>
      <c r="C34955" s="2">
        <v>9.4097163322589997E-4</v>
      </c>
      <c r="D34955" s="2">
        <v>9.6439765329904299E-4</v>
      </c>
      <c r="E34955" s="2">
        <v>9.26255789098681E-4</v>
      </c>
      <c r="F34955" s="2">
        <v>9.4204300952858001E-4</v>
      </c>
    </row>
    <row r="34956" spans="1:6" x14ac:dyDescent="0.25">
      <c r="A34956" s="1" t="str">
        <f t="shared" si="1258"/>
        <v>45060</v>
      </c>
      <c r="B34956" s="1" t="str">
        <f>"13083"</f>
        <v>13083</v>
      </c>
      <c r="C34956" s="2">
        <v>2.5732693643320502E-3</v>
      </c>
      <c r="D34956" s="2">
        <v>4.4201559109539499E-4</v>
      </c>
      <c r="E34956" s="2">
        <v>1.78126113288208E-3</v>
      </c>
      <c r="F34956" s="2">
        <v>2.39068316617524E-3</v>
      </c>
    </row>
    <row r="34957" spans="1:6" x14ac:dyDescent="0.25">
      <c r="A34957" s="1" t="str">
        <f t="shared" si="1258"/>
        <v>45060</v>
      </c>
      <c r="B34957" s="1" t="str">
        <f>"13032"</f>
        <v>13032</v>
      </c>
      <c r="C34957" s="2">
        <v>1.8387353853342801E-2</v>
      </c>
      <c r="D34957" s="2">
        <v>1.2617535963995801E-2</v>
      </c>
      <c r="E34957" s="2">
        <v>2.3441396508728101E-2</v>
      </c>
      <c r="F34957" s="2">
        <v>1.8180576268485099E-2</v>
      </c>
    </row>
    <row r="34958" spans="1:6" x14ac:dyDescent="0.25">
      <c r="A34958" s="1" t="str">
        <f t="shared" si="1258"/>
        <v>45060</v>
      </c>
      <c r="B34958" s="1" t="str">
        <f>"13027"</f>
        <v>13027</v>
      </c>
      <c r="C34958" s="2">
        <v>5.1494192540719401E-2</v>
      </c>
      <c r="D34958" s="2">
        <v>2.9936510487824398E-2</v>
      </c>
      <c r="E34958" s="2">
        <v>4.6241539009618797E-2</v>
      </c>
      <c r="F34958" s="2">
        <v>4.9757516421716497E-2</v>
      </c>
    </row>
    <row r="34959" spans="1:6" x14ac:dyDescent="0.25">
      <c r="A34959" s="1" t="str">
        <f t="shared" si="1258"/>
        <v>45060</v>
      </c>
      <c r="B34959" s="1" t="str">
        <f>"13204"</f>
        <v>13204</v>
      </c>
      <c r="C34959" s="2">
        <v>3.4275051769442698E-2</v>
      </c>
      <c r="D34959" s="2">
        <v>5.7622759784617797E-2</v>
      </c>
      <c r="E34959" s="2">
        <v>5.0944068400427499E-2</v>
      </c>
      <c r="F34959" s="2">
        <v>3.6594528750811102E-2</v>
      </c>
    </row>
    <row r="34960" spans="1:6" x14ac:dyDescent="0.25">
      <c r="A34960" s="1" t="str">
        <f t="shared" si="1258"/>
        <v>45060</v>
      </c>
      <c r="B34960" s="1" t="str">
        <f>"13134"</f>
        <v>13134</v>
      </c>
      <c r="C34960" s="2">
        <v>0</v>
      </c>
      <c r="D34960" s="2">
        <v>0</v>
      </c>
      <c r="E34960" s="2">
        <v>7.1250445315283194E-5</v>
      </c>
      <c r="F34960" s="2">
        <v>2.8460513883038599E-6</v>
      </c>
    </row>
    <row r="34961" spans="1:6" x14ac:dyDescent="0.25">
      <c r="A34961" s="1" t="str">
        <f t="shared" si="1258"/>
        <v>45060</v>
      </c>
      <c r="B34961" s="1" t="str">
        <f>"13225"</f>
        <v>13225</v>
      </c>
      <c r="C34961" s="2">
        <v>0</v>
      </c>
      <c r="D34961" s="2">
        <v>0</v>
      </c>
      <c r="E34961" s="2">
        <v>7.1250445315283194E-5</v>
      </c>
      <c r="F34961" s="2">
        <v>2.8460513883038599E-6</v>
      </c>
    </row>
    <row r="34962" spans="1:6" x14ac:dyDescent="0.25">
      <c r="A34962" s="1" t="str">
        <f t="shared" ref="A34962:A34987" si="1259">"45060"</f>
        <v>45060</v>
      </c>
      <c r="B34962" s="1" t="str">
        <f>"13111"</f>
        <v>13111</v>
      </c>
      <c r="C34962" s="2">
        <v>4.4168056253460599E-4</v>
      </c>
      <c r="D34962" s="2">
        <v>8.03664711082536E-5</v>
      </c>
      <c r="E34962" s="2">
        <v>0</v>
      </c>
      <c r="F34962" s="2">
        <v>3.98447194362541E-4</v>
      </c>
    </row>
    <row r="34963" spans="1:6" x14ac:dyDescent="0.25">
      <c r="A34963" s="1" t="str">
        <f t="shared" si="1259"/>
        <v>45060</v>
      </c>
      <c r="B34963" s="1" t="str">
        <f>"13108"</f>
        <v>13108</v>
      </c>
      <c r="C34963" s="2">
        <v>8.51995403961682E-3</v>
      </c>
      <c r="D34963" s="2">
        <v>5.6256529775777497E-3</v>
      </c>
      <c r="E34963" s="2">
        <v>6.1275382971143497E-3</v>
      </c>
      <c r="F34963" s="2">
        <v>8.2193964094215595E-3</v>
      </c>
    </row>
    <row r="34964" spans="1:6" x14ac:dyDescent="0.25">
      <c r="A34964" s="1" t="str">
        <f t="shared" si="1259"/>
        <v>45060</v>
      </c>
      <c r="B34964" s="1" t="str">
        <f>"13120"</f>
        <v>13120</v>
      </c>
      <c r="C34964" s="2">
        <v>4.2663781873813703E-3</v>
      </c>
      <c r="D34964" s="2">
        <v>2.9333761954512499E-3</v>
      </c>
      <c r="E34964" s="2">
        <v>1.7100106875667901E-3</v>
      </c>
      <c r="F34964" s="2">
        <v>4.0698534852745298E-3</v>
      </c>
    </row>
    <row r="34965" spans="1:6" x14ac:dyDescent="0.25">
      <c r="A34965" s="1" t="str">
        <f t="shared" si="1259"/>
        <v>45060</v>
      </c>
      <c r="B34965" s="1" t="str">
        <f>"13043"</f>
        <v>13043</v>
      </c>
      <c r="C34965" s="2">
        <v>0</v>
      </c>
      <c r="D34965" s="2">
        <v>0</v>
      </c>
      <c r="E34965" s="2">
        <v>7.1250445315283194E-5</v>
      </c>
      <c r="F34965" s="2">
        <v>2.8460513883038599E-6</v>
      </c>
    </row>
    <row r="34966" spans="1:6" x14ac:dyDescent="0.25">
      <c r="A34966" s="1" t="str">
        <f t="shared" si="1259"/>
        <v>45060</v>
      </c>
      <c r="B34966" s="1" t="str">
        <f>"13163"</f>
        <v>13163</v>
      </c>
      <c r="C34966" s="2">
        <v>2.6564845427806E-4</v>
      </c>
      <c r="D34966" s="2">
        <v>2.00916177770634E-4</v>
      </c>
      <c r="E34966" s="2">
        <v>2.13751335945849E-4</v>
      </c>
      <c r="F34966" s="2">
        <v>2.5899067633565102E-4</v>
      </c>
    </row>
    <row r="34967" spans="1:6" x14ac:dyDescent="0.25">
      <c r="A34967" s="1" t="str">
        <f t="shared" si="1259"/>
        <v>45060</v>
      </c>
      <c r="B34967" s="1" t="str">
        <f>"13061"</f>
        <v>13061</v>
      </c>
      <c r="C34967" s="2">
        <v>2.0355712882029601E-3</v>
      </c>
      <c r="D34967" s="2">
        <v>4.01832355541268E-4</v>
      </c>
      <c r="E34967" s="2">
        <v>3.5625222657641601E-3</v>
      </c>
      <c r="F34967" s="2">
        <v>1.9808517662594899E-3</v>
      </c>
    </row>
    <row r="34968" spans="1:6" x14ac:dyDescent="0.25">
      <c r="A34968" s="1" t="str">
        <f t="shared" si="1259"/>
        <v>45060</v>
      </c>
      <c r="B34968" s="1" t="str">
        <f>"13131"</f>
        <v>13131</v>
      </c>
      <c r="C34968" s="2">
        <v>5.2137509881802404E-3</v>
      </c>
      <c r="D34968" s="2">
        <v>1.00458088885317E-3</v>
      </c>
      <c r="E34968" s="2">
        <v>8.5500534378339795E-4</v>
      </c>
      <c r="F34968" s="2">
        <v>4.7415216129142396E-3</v>
      </c>
    </row>
    <row r="34969" spans="1:6" x14ac:dyDescent="0.25">
      <c r="A34969" s="1" t="str">
        <f t="shared" si="1259"/>
        <v>45060</v>
      </c>
      <c r="B34969" s="1" t="str">
        <f>"13220"</f>
        <v>13220</v>
      </c>
      <c r="C34969" s="2">
        <v>4.7720704256456296E-3</v>
      </c>
      <c r="D34969" s="2">
        <v>1.3742666559511301E-2</v>
      </c>
      <c r="E34969" s="2">
        <v>2.8500178126113202E-4</v>
      </c>
      <c r="F34969" s="2">
        <v>5.2281964003142002E-3</v>
      </c>
    </row>
    <row r="34970" spans="1:6" x14ac:dyDescent="0.25">
      <c r="A34970" s="1" t="str">
        <f t="shared" si="1259"/>
        <v>45060</v>
      </c>
      <c r="B34970" s="1" t="str">
        <f>"13491"</f>
        <v>13491</v>
      </c>
      <c r="C34970" s="2">
        <v>5.5690157884798099E-4</v>
      </c>
      <c r="D34970" s="2">
        <v>8.03664711082536E-5</v>
      </c>
      <c r="E34970" s="2">
        <v>4.9875311720698197E-4</v>
      </c>
      <c r="F34970" s="2">
        <v>5.2082740405960703E-4</v>
      </c>
    </row>
    <row r="34971" spans="1:6" x14ac:dyDescent="0.25">
      <c r="A34971" s="1" t="str">
        <f t="shared" si="1259"/>
        <v>45060</v>
      </c>
      <c r="B34971" s="1" t="str">
        <f>"13036"</f>
        <v>13036</v>
      </c>
      <c r="C34971" s="2">
        <v>1.29623643352547E-2</v>
      </c>
      <c r="D34971" s="2">
        <v>1.0688740657397699E-2</v>
      </c>
      <c r="E34971" s="2">
        <v>1.0117563234770199E-2</v>
      </c>
      <c r="F34971" s="2">
        <v>1.26876970890586E-2</v>
      </c>
    </row>
    <row r="34972" spans="1:6" x14ac:dyDescent="0.25">
      <c r="A34972" s="1" t="str">
        <f t="shared" si="1259"/>
        <v>45060</v>
      </c>
      <c r="B34972" s="1" t="str">
        <f>"13409"</f>
        <v>13409</v>
      </c>
      <c r="C34972" s="2">
        <v>3.0021475917207199E-3</v>
      </c>
      <c r="D34972" s="2">
        <v>6.0274853331190197E-4</v>
      </c>
      <c r="E34972" s="2">
        <v>4.9875311720698197E-4</v>
      </c>
      <c r="F34972" s="2">
        <v>2.7322093327717101E-3</v>
      </c>
    </row>
    <row r="34973" spans="1:6" x14ac:dyDescent="0.25">
      <c r="A34973" s="1" t="str">
        <f t="shared" si="1259"/>
        <v>45060</v>
      </c>
      <c r="B34973" s="1" t="str">
        <f>"13334"</f>
        <v>13334</v>
      </c>
      <c r="C34973" s="2">
        <v>1.6675041527574601E-3</v>
      </c>
      <c r="D34973" s="2">
        <v>2.4109941332475999E-4</v>
      </c>
      <c r="E34973" s="2">
        <v>9.9750623441396502E-4</v>
      </c>
      <c r="F34973" s="2">
        <v>1.5397138010723899E-3</v>
      </c>
    </row>
    <row r="34974" spans="1:6" x14ac:dyDescent="0.25">
      <c r="A34974" s="1" t="str">
        <f t="shared" si="1259"/>
        <v>45060</v>
      </c>
      <c r="B34974" s="1" t="str">
        <f>"13052"</f>
        <v>13052</v>
      </c>
      <c r="C34974" s="2">
        <v>1.8851438502382801E-3</v>
      </c>
      <c r="D34974" s="2">
        <v>5.6256529775777504E-4</v>
      </c>
      <c r="E34974" s="2">
        <v>1.99501246882793E-3</v>
      </c>
      <c r="F34974" s="2">
        <v>1.7958584260197401E-3</v>
      </c>
    </row>
    <row r="34975" spans="1:6" x14ac:dyDescent="0.25">
      <c r="A34975" s="1" t="str">
        <f t="shared" si="1259"/>
        <v>45060</v>
      </c>
      <c r="B34975" s="1" t="str">
        <f>"13408"</f>
        <v>13408</v>
      </c>
      <c r="C34975" s="2">
        <v>3.9111133870817997E-3</v>
      </c>
      <c r="D34975" s="2">
        <v>7.2329823997428202E-4</v>
      </c>
      <c r="E34975" s="2">
        <v>3.8475240470252901E-3</v>
      </c>
      <c r="F34975" s="2">
        <v>3.6827904964652001E-3</v>
      </c>
    </row>
    <row r="34976" spans="1:6" x14ac:dyDescent="0.25">
      <c r="A34976" s="1" t="str">
        <f t="shared" si="1259"/>
        <v>45060</v>
      </c>
      <c r="B34976" s="1" t="str">
        <f>"13119"</f>
        <v>13119</v>
      </c>
      <c r="C34976" s="2">
        <v>2.2404086505378501E-5</v>
      </c>
      <c r="D34976" s="2">
        <v>0</v>
      </c>
      <c r="E34976" s="2">
        <v>7.1250445315283194E-5</v>
      </c>
      <c r="F34976" s="2">
        <v>2.27684111064309E-5</v>
      </c>
    </row>
    <row r="34977" spans="1:6" x14ac:dyDescent="0.25">
      <c r="A34977" s="1" t="str">
        <f t="shared" si="1259"/>
        <v>45060</v>
      </c>
      <c r="B34977" s="1" t="str">
        <f>"13217"</f>
        <v>13217</v>
      </c>
      <c r="C34977" s="2">
        <v>2.2916179911215799E-3</v>
      </c>
      <c r="D34977" s="2">
        <v>5.94711886201076E-3</v>
      </c>
      <c r="E34977" s="2">
        <v>4.9875311720698197E-4</v>
      </c>
      <c r="F34977" s="2">
        <v>2.4789107592126602E-3</v>
      </c>
    </row>
    <row r="34978" spans="1:6" x14ac:dyDescent="0.25">
      <c r="A34978" s="1" t="str">
        <f t="shared" si="1259"/>
        <v>45060</v>
      </c>
      <c r="B34978" s="1" t="str">
        <f>"13208"</f>
        <v>13208</v>
      </c>
      <c r="C34978" s="2">
        <v>3.3420495898451801E-2</v>
      </c>
      <c r="D34978" s="2">
        <v>3.4075383749899497E-2</v>
      </c>
      <c r="E34978" s="2">
        <v>5.3651585322408199E-2</v>
      </c>
      <c r="F34978" s="2">
        <v>3.4274996869343398E-2</v>
      </c>
    </row>
    <row r="34979" spans="1:6" x14ac:dyDescent="0.25">
      <c r="A34979" s="1" t="str">
        <f t="shared" si="1259"/>
        <v>45060</v>
      </c>
      <c r="B34979" s="1" t="str">
        <f>"13142"</f>
        <v>13142</v>
      </c>
      <c r="C34979" s="2">
        <v>1.11060257390948E-2</v>
      </c>
      <c r="D34979" s="2">
        <v>1.07691071285059E-2</v>
      </c>
      <c r="E34979" s="2">
        <v>9.0488065550409606E-3</v>
      </c>
      <c r="F34979" s="2">
        <v>1.09999886157944E-2</v>
      </c>
    </row>
    <row r="34980" spans="1:6" x14ac:dyDescent="0.25">
      <c r="A34980" s="1" t="str">
        <f t="shared" si="1259"/>
        <v>45060</v>
      </c>
      <c r="B34980" s="1" t="str">
        <f>"13144"</f>
        <v>13144</v>
      </c>
      <c r="C34980" s="2">
        <v>1.8147310069356599E-3</v>
      </c>
      <c r="D34980" s="2">
        <v>1.6073294221650701E-4</v>
      </c>
      <c r="E34980" s="2">
        <v>3.5625222657641599E-4</v>
      </c>
      <c r="F34980" s="2">
        <v>1.63932559966302E-3</v>
      </c>
    </row>
    <row r="34981" spans="1:6" x14ac:dyDescent="0.25">
      <c r="A34981" s="1" t="str">
        <f t="shared" si="1259"/>
        <v>45060</v>
      </c>
      <c r="B34981" s="1" t="str">
        <f>"13159"</f>
        <v>13159</v>
      </c>
      <c r="C34981" s="2">
        <v>5.8602689130497401E-3</v>
      </c>
      <c r="D34981" s="2">
        <v>3.4155750221007701E-3</v>
      </c>
      <c r="E34981" s="2">
        <v>3.4200213751335901E-3</v>
      </c>
      <c r="F34981" s="2">
        <v>5.5896449266287897E-3</v>
      </c>
    </row>
    <row r="34982" spans="1:6" x14ac:dyDescent="0.25">
      <c r="A34982" s="1" t="str">
        <f t="shared" si="1259"/>
        <v>45060</v>
      </c>
      <c r="B34982" s="1" t="str">
        <f>"13214"</f>
        <v>13214</v>
      </c>
      <c r="C34982" s="2">
        <v>1.23286487455311E-2</v>
      </c>
      <c r="D34982" s="2">
        <v>2.94543116611749E-2</v>
      </c>
      <c r="E34982" s="2">
        <v>2.0306376914855699E-2</v>
      </c>
      <c r="F34982" s="2">
        <v>1.38602702610398E-2</v>
      </c>
    </row>
    <row r="34983" spans="1:6" x14ac:dyDescent="0.25">
      <c r="A34983" s="1" t="str">
        <f t="shared" si="1259"/>
        <v>45060</v>
      </c>
      <c r="B34983" s="1" t="str">
        <f>"13039"</f>
        <v>13039</v>
      </c>
      <c r="C34983" s="2">
        <v>2.5210998486123799E-2</v>
      </c>
      <c r="D34983" s="2">
        <v>2.9615044603391399E-2</v>
      </c>
      <c r="E34983" s="2">
        <v>1.5247595297470599E-2</v>
      </c>
      <c r="F34983" s="2">
        <v>2.51249416559465E-2</v>
      </c>
    </row>
    <row r="34984" spans="1:6" x14ac:dyDescent="0.25">
      <c r="A34984" s="1" t="str">
        <f t="shared" si="1259"/>
        <v>45060</v>
      </c>
      <c r="B34984" s="1" t="str">
        <f>"13041"</f>
        <v>13041</v>
      </c>
      <c r="C34984" s="2">
        <v>1.55388342833732E-2</v>
      </c>
      <c r="D34984" s="2">
        <v>8.9608615285702801E-3</v>
      </c>
      <c r="E34984" s="2">
        <v>1.9237620235126401E-3</v>
      </c>
      <c r="F34984" s="2">
        <v>1.4529092337291201E-2</v>
      </c>
    </row>
    <row r="34985" spans="1:6" x14ac:dyDescent="0.25">
      <c r="A34985" s="1" t="str">
        <f t="shared" si="1259"/>
        <v>45060</v>
      </c>
      <c r="B34985" s="1" t="str">
        <f>"13035"</f>
        <v>13035</v>
      </c>
      <c r="C34985" s="2">
        <v>1.15605086367753E-2</v>
      </c>
      <c r="D34985" s="2">
        <v>1.04476412440729E-2</v>
      </c>
      <c r="E34985" s="2">
        <v>2.6291414321339499E-2</v>
      </c>
      <c r="F34985" s="2">
        <v>1.20701039377967E-2</v>
      </c>
    </row>
    <row r="34986" spans="1:6" x14ac:dyDescent="0.25">
      <c r="A34986" s="1" t="str">
        <f t="shared" si="1259"/>
        <v>45060</v>
      </c>
      <c r="B34986" s="1" t="str">
        <f>"13156"</f>
        <v>13156</v>
      </c>
      <c r="C34986" s="2">
        <v>9.6017513594479597E-6</v>
      </c>
      <c r="D34986" s="2">
        <v>0</v>
      </c>
      <c r="E34986" s="2">
        <v>0</v>
      </c>
      <c r="F34986" s="2">
        <v>8.5381541649116006E-6</v>
      </c>
    </row>
    <row r="34987" spans="1:6" x14ac:dyDescent="0.25">
      <c r="A34987" s="1" t="str">
        <f t="shared" si="1259"/>
        <v>45060</v>
      </c>
      <c r="B34987" s="1" t="str">
        <f>"13021"</f>
        <v>13021</v>
      </c>
      <c r="C34987" s="2">
        <v>8.0014594662066303E-5</v>
      </c>
      <c r="D34987" s="2">
        <v>0</v>
      </c>
      <c r="E34987" s="2">
        <v>0</v>
      </c>
      <c r="F34987" s="2">
        <v>7.1151284707596607E-5</v>
      </c>
    </row>
    <row r="34988" spans="1:6" x14ac:dyDescent="0.25">
      <c r="A34988" s="1" t="str">
        <f t="shared" ref="A34988:A35019" si="1260">"45104"</f>
        <v>45104</v>
      </c>
      <c r="B34988" s="1" t="str">
        <f>"98466"</f>
        <v>98466</v>
      </c>
      <c r="C34988" s="2">
        <v>2.9861796643632699E-2</v>
      </c>
      <c r="D34988" s="2">
        <v>5.8823529411764698E-2</v>
      </c>
      <c r="E34988" s="2">
        <v>5.6615776081424901E-2</v>
      </c>
      <c r="F34988" s="2">
        <v>3.8031319910514498E-2</v>
      </c>
    </row>
    <row r="34989" spans="1:6" x14ac:dyDescent="0.25">
      <c r="A34989" s="1" t="str">
        <f t="shared" si="1260"/>
        <v>45104</v>
      </c>
      <c r="B34989" s="1" t="str">
        <f>"98443"</f>
        <v>98443</v>
      </c>
      <c r="C34989" s="2">
        <v>0</v>
      </c>
      <c r="D34989" s="2">
        <v>0</v>
      </c>
      <c r="E34989" s="2">
        <v>6.36132315521628E-4</v>
      </c>
      <c r="F34989" s="2">
        <v>1.7208742040956799E-4</v>
      </c>
    </row>
    <row r="34990" spans="1:6" x14ac:dyDescent="0.25">
      <c r="A34990" s="1" t="str">
        <f t="shared" si="1260"/>
        <v>45104</v>
      </c>
      <c r="B34990" s="1" t="str">
        <f>"98335"</f>
        <v>98335</v>
      </c>
      <c r="C34990" s="2">
        <v>6.81145113524185E-2</v>
      </c>
      <c r="D34990" s="2">
        <v>6.9518716577540093E-2</v>
      </c>
      <c r="E34990" s="2">
        <v>2.4173027989821801E-2</v>
      </c>
      <c r="F34990" s="2">
        <v>5.6272586473928701E-2</v>
      </c>
    </row>
    <row r="34991" spans="1:6" x14ac:dyDescent="0.25">
      <c r="A34991" s="1" t="str">
        <f t="shared" si="1260"/>
        <v>45104</v>
      </c>
      <c r="B34991" s="1" t="str">
        <f>"98303"</f>
        <v>98303</v>
      </c>
      <c r="C34991" s="2">
        <v>9.8716683119447093E-4</v>
      </c>
      <c r="D34991" s="2">
        <v>0</v>
      </c>
      <c r="E34991" s="2">
        <v>1.2722646310432499E-3</v>
      </c>
      <c r="F34991" s="2">
        <v>1.0325245224574E-3</v>
      </c>
    </row>
    <row r="34992" spans="1:6" x14ac:dyDescent="0.25">
      <c r="A34992" s="1" t="str">
        <f t="shared" si="1260"/>
        <v>45104</v>
      </c>
      <c r="B34992" s="1" t="str">
        <f>"98408"</f>
        <v>98408</v>
      </c>
      <c r="C34992" s="2">
        <v>2.4679170779861697E-4</v>
      </c>
      <c r="D34992" s="2">
        <v>6.9518716577540093E-2</v>
      </c>
      <c r="E34992" s="2">
        <v>1.90839694656488E-3</v>
      </c>
      <c r="F34992" s="2">
        <v>2.9254861469626501E-3</v>
      </c>
    </row>
    <row r="34993" spans="1:6" x14ac:dyDescent="0.25">
      <c r="A34993" s="1" t="str">
        <f t="shared" si="1260"/>
        <v>45104</v>
      </c>
      <c r="B34993" s="1" t="str">
        <f>"98404"</f>
        <v>98404</v>
      </c>
      <c r="C34993" s="2">
        <v>1.06120434353405E-2</v>
      </c>
      <c r="D34993" s="2">
        <v>0</v>
      </c>
      <c r="E34993" s="2">
        <v>1.2722646310432499E-3</v>
      </c>
      <c r="F34993" s="2">
        <v>7.7439339184305596E-3</v>
      </c>
    </row>
    <row r="34994" spans="1:6" x14ac:dyDescent="0.25">
      <c r="A34994" s="1" t="str">
        <f t="shared" si="1260"/>
        <v>45104</v>
      </c>
      <c r="B34994" s="1" t="str">
        <f>"98446"</f>
        <v>98446</v>
      </c>
      <c r="C34994" s="2">
        <v>4.7630799605133202E-2</v>
      </c>
      <c r="D34994" s="2">
        <v>0</v>
      </c>
      <c r="E34994" s="2">
        <v>6.9974554707379101E-3</v>
      </c>
      <c r="F34994" s="2">
        <v>3.5105833763551801E-2</v>
      </c>
    </row>
    <row r="34995" spans="1:6" x14ac:dyDescent="0.25">
      <c r="A34995" s="1" t="str">
        <f t="shared" si="1260"/>
        <v>45104</v>
      </c>
      <c r="B34995" s="1" t="str">
        <f>"98407"</f>
        <v>98407</v>
      </c>
      <c r="C34995" s="2">
        <v>4.1214215202369203E-2</v>
      </c>
      <c r="D34995" s="2">
        <v>1.06951871657754E-2</v>
      </c>
      <c r="E34995" s="2">
        <v>7.9516539440203496E-2</v>
      </c>
      <c r="F34995" s="2">
        <v>5.0593701600413002E-2</v>
      </c>
    </row>
    <row r="34996" spans="1:6" x14ac:dyDescent="0.25">
      <c r="A34996" s="1" t="str">
        <f t="shared" si="1260"/>
        <v>45104</v>
      </c>
      <c r="B34996" s="1" t="str">
        <f>"98467"</f>
        <v>98467</v>
      </c>
      <c r="C34996" s="2">
        <v>0</v>
      </c>
      <c r="D34996" s="2">
        <v>0</v>
      </c>
      <c r="E34996" s="2">
        <v>4.1984732824427398E-2</v>
      </c>
      <c r="F34996" s="2">
        <v>1.13577697470314E-2</v>
      </c>
    </row>
    <row r="34997" spans="1:6" x14ac:dyDescent="0.25">
      <c r="A34997" s="1" t="str">
        <f t="shared" si="1260"/>
        <v>45104</v>
      </c>
      <c r="B34997" s="1" t="str">
        <f>"98375"</f>
        <v>98375</v>
      </c>
      <c r="C34997" s="2">
        <v>4.9358341559723503E-4</v>
      </c>
      <c r="D34997" s="2">
        <v>5.3475935828876997E-2</v>
      </c>
      <c r="E34997" s="2">
        <v>9.5419847328244208E-3</v>
      </c>
      <c r="F34997" s="2">
        <v>4.6463603510583304E-3</v>
      </c>
    </row>
    <row r="34998" spans="1:6" x14ac:dyDescent="0.25">
      <c r="A34998" s="1" t="str">
        <f t="shared" si="1260"/>
        <v>45104</v>
      </c>
      <c r="B34998" s="1" t="str">
        <f>"98321"</f>
        <v>98321</v>
      </c>
      <c r="C34998" s="2">
        <v>5.2813425468904197E-2</v>
      </c>
      <c r="D34998" s="2">
        <v>5.3475935828877002E-3</v>
      </c>
      <c r="E34998" s="2">
        <v>1.2722646310432499E-3</v>
      </c>
      <c r="F34998" s="2">
        <v>3.7342970228876199E-2</v>
      </c>
    </row>
    <row r="34999" spans="1:6" x14ac:dyDescent="0.25">
      <c r="A34999" s="1" t="str">
        <f t="shared" si="1260"/>
        <v>45104</v>
      </c>
      <c r="B34999" s="1" t="str">
        <f>"98387"</f>
        <v>98387</v>
      </c>
      <c r="C34999" s="2">
        <v>6.8854886475814406E-2</v>
      </c>
      <c r="D34999" s="2">
        <v>1.06951871657754E-2</v>
      </c>
      <c r="E34999" s="2">
        <v>1.90839694656488E-3</v>
      </c>
      <c r="F34999" s="2">
        <v>4.8872827396317299E-2</v>
      </c>
    </row>
    <row r="35000" spans="1:6" x14ac:dyDescent="0.25">
      <c r="A35000" s="1" t="str">
        <f t="shared" si="1260"/>
        <v>45104</v>
      </c>
      <c r="B35000" s="1" t="str">
        <f>"98373"</f>
        <v>98373</v>
      </c>
      <c r="C35000" s="2">
        <v>2.0483711747285201E-2</v>
      </c>
      <c r="D35000" s="2">
        <v>1.06951871657754E-2</v>
      </c>
      <c r="E35000" s="2">
        <v>0.24236641221374</v>
      </c>
      <c r="F35000" s="2">
        <v>8.0192737910858694E-2</v>
      </c>
    </row>
    <row r="35001" spans="1:6" x14ac:dyDescent="0.25">
      <c r="A35001" s="1" t="str">
        <f t="shared" si="1260"/>
        <v>45104</v>
      </c>
      <c r="B35001" s="1" t="str">
        <f>"98328"</f>
        <v>98328</v>
      </c>
      <c r="C35001" s="2">
        <v>6.66337611056268E-3</v>
      </c>
      <c r="D35001" s="2">
        <v>0</v>
      </c>
      <c r="E35001" s="2">
        <v>0</v>
      </c>
      <c r="F35001" s="2">
        <v>4.6463603510583304E-3</v>
      </c>
    </row>
    <row r="35002" spans="1:6" x14ac:dyDescent="0.25">
      <c r="A35002" s="1" t="str">
        <f t="shared" si="1260"/>
        <v>45104</v>
      </c>
      <c r="B35002" s="1" t="str">
        <f>"98390"</f>
        <v>98390</v>
      </c>
      <c r="C35002" s="2">
        <v>2.6653504442250699E-2</v>
      </c>
      <c r="D35002" s="2">
        <v>5.3475935828877002E-3</v>
      </c>
      <c r="E35002" s="2">
        <v>5.0890585241730197E-3</v>
      </c>
      <c r="F35002" s="2">
        <v>2.0134228187919399E-2</v>
      </c>
    </row>
    <row r="35003" spans="1:6" x14ac:dyDescent="0.25">
      <c r="A35003" s="1" t="str">
        <f t="shared" si="1260"/>
        <v>45104</v>
      </c>
      <c r="B35003" s="1" t="str">
        <f>"98398"</f>
        <v>98398</v>
      </c>
      <c r="C35003" s="2">
        <v>0</v>
      </c>
      <c r="D35003" s="2">
        <v>5.3475935828877002E-3</v>
      </c>
      <c r="E35003" s="2">
        <v>0</v>
      </c>
      <c r="F35003" s="2">
        <v>1.7208742040956799E-4</v>
      </c>
    </row>
    <row r="35004" spans="1:6" x14ac:dyDescent="0.25">
      <c r="A35004" s="1" t="str">
        <f t="shared" si="1260"/>
        <v>45104</v>
      </c>
      <c r="B35004" s="1" t="str">
        <f>"98388"</f>
        <v>98388</v>
      </c>
      <c r="C35004" s="2">
        <v>2.4679170779861697E-4</v>
      </c>
      <c r="D35004" s="2">
        <v>0</v>
      </c>
      <c r="E35004" s="2">
        <v>0</v>
      </c>
      <c r="F35004" s="2">
        <v>1.7208742040956799E-4</v>
      </c>
    </row>
    <row r="35005" spans="1:6" x14ac:dyDescent="0.25">
      <c r="A35005" s="1" t="str">
        <f t="shared" si="1260"/>
        <v>45104</v>
      </c>
      <c r="B35005" s="1" t="str">
        <f>"98354"</f>
        <v>98354</v>
      </c>
      <c r="C35005" s="2">
        <v>0</v>
      </c>
      <c r="D35005" s="2">
        <v>0</v>
      </c>
      <c r="E35005" s="2">
        <v>2.03562340966921E-2</v>
      </c>
      <c r="F35005" s="2">
        <v>5.5067974531061697E-3</v>
      </c>
    </row>
    <row r="35006" spans="1:6" x14ac:dyDescent="0.25">
      <c r="A35006" s="1" t="str">
        <f t="shared" si="1260"/>
        <v>45104</v>
      </c>
      <c r="B35006" s="1" t="str">
        <f>"98498"</f>
        <v>98498</v>
      </c>
      <c r="C35006" s="2">
        <v>2.4679170779861697E-4</v>
      </c>
      <c r="D35006" s="2">
        <v>0</v>
      </c>
      <c r="E35006" s="2">
        <v>1.2722646310432499E-3</v>
      </c>
      <c r="F35006" s="2">
        <v>5.16262261228704E-4</v>
      </c>
    </row>
    <row r="35007" spans="1:6" x14ac:dyDescent="0.25">
      <c r="A35007" s="1" t="str">
        <f t="shared" si="1260"/>
        <v>45104</v>
      </c>
      <c r="B35007" s="1" t="str">
        <f>"98394"</f>
        <v>98394</v>
      </c>
      <c r="C35007" s="2">
        <v>1.23395853899308E-3</v>
      </c>
      <c r="D35007" s="2">
        <v>0</v>
      </c>
      <c r="E35007" s="2">
        <v>0</v>
      </c>
      <c r="F35007" s="2">
        <v>8.6043710204784004E-4</v>
      </c>
    </row>
    <row r="35008" spans="1:6" x14ac:dyDescent="0.25">
      <c r="A35008" s="1" t="str">
        <f t="shared" si="1260"/>
        <v>45104</v>
      </c>
      <c r="B35008" s="1" t="str">
        <f>"98438"</f>
        <v>98438</v>
      </c>
      <c r="C35008" s="2">
        <v>3.7018756169792601E-3</v>
      </c>
      <c r="D35008" s="2">
        <v>0</v>
      </c>
      <c r="E35008" s="2">
        <v>0</v>
      </c>
      <c r="F35008" s="2">
        <v>2.58131130614352E-3</v>
      </c>
    </row>
    <row r="35009" spans="1:6" x14ac:dyDescent="0.25">
      <c r="A35009" s="1" t="str">
        <f t="shared" si="1260"/>
        <v>45104</v>
      </c>
      <c r="B35009" s="1" t="str">
        <f>"98447"</f>
        <v>98447</v>
      </c>
      <c r="C35009" s="2">
        <v>0</v>
      </c>
      <c r="D35009" s="2">
        <v>0</v>
      </c>
      <c r="E35009" s="2">
        <v>6.36132315521628E-4</v>
      </c>
      <c r="F35009" s="2">
        <v>1.7208742040956799E-4</v>
      </c>
    </row>
    <row r="35010" spans="1:6" x14ac:dyDescent="0.25">
      <c r="A35010" s="1" t="str">
        <f t="shared" si="1260"/>
        <v>45104</v>
      </c>
      <c r="B35010" s="1" t="str">
        <f>"98403"</f>
        <v>98403</v>
      </c>
      <c r="C35010" s="2">
        <v>0</v>
      </c>
      <c r="D35010" s="2">
        <v>0</v>
      </c>
      <c r="E35010" s="2">
        <v>1.2722646310432499E-3</v>
      </c>
      <c r="F35010" s="2">
        <v>3.4417484081913598E-4</v>
      </c>
    </row>
    <row r="35011" spans="1:6" x14ac:dyDescent="0.25">
      <c r="A35011" s="1" t="str">
        <f t="shared" si="1260"/>
        <v>45104</v>
      </c>
      <c r="B35011" s="1" t="str">
        <f>"98402"</f>
        <v>98402</v>
      </c>
      <c r="C35011" s="2">
        <v>6.2438302073050303E-2</v>
      </c>
      <c r="D35011" s="2">
        <v>7.4866310160427801E-2</v>
      </c>
      <c r="E35011" s="2">
        <v>8.9058524173027901E-3</v>
      </c>
      <c r="F35011" s="2">
        <v>4.8356565135088597E-2</v>
      </c>
    </row>
    <row r="35012" spans="1:6" x14ac:dyDescent="0.25">
      <c r="A35012" s="1" t="str">
        <f t="shared" si="1260"/>
        <v>45104</v>
      </c>
      <c r="B35012" s="1" t="str">
        <f>"98329"</f>
        <v>98329</v>
      </c>
      <c r="C35012" s="2">
        <v>5.6762092793682098E-3</v>
      </c>
      <c r="D35012" s="2">
        <v>0</v>
      </c>
      <c r="E35012" s="2">
        <v>6.36132315521628E-4</v>
      </c>
      <c r="F35012" s="2">
        <v>4.1300980898296303E-3</v>
      </c>
    </row>
    <row r="35013" spans="1:6" x14ac:dyDescent="0.25">
      <c r="A35013" s="1" t="str">
        <f t="shared" si="1260"/>
        <v>45104</v>
      </c>
      <c r="B35013" s="1" t="str">
        <f>"98421"</f>
        <v>98421</v>
      </c>
      <c r="C35013" s="2">
        <v>0</v>
      </c>
      <c r="D35013" s="2">
        <v>5.3475935828877002E-3</v>
      </c>
      <c r="E35013" s="2">
        <v>0</v>
      </c>
      <c r="F35013" s="2">
        <v>1.7208742040956799E-4</v>
      </c>
    </row>
    <row r="35014" spans="1:6" x14ac:dyDescent="0.25">
      <c r="A35014" s="1" t="str">
        <f t="shared" si="1260"/>
        <v>45104</v>
      </c>
      <c r="B35014" s="1" t="str">
        <f>"98499"</f>
        <v>98499</v>
      </c>
      <c r="C35014" s="2">
        <v>5.4047384007897298E-2</v>
      </c>
      <c r="D35014" s="2">
        <v>2.6737967914438499E-2</v>
      </c>
      <c r="E35014" s="2">
        <v>3.8804071246819297E-2</v>
      </c>
      <c r="F35014" s="2">
        <v>4.9044914816726799E-2</v>
      </c>
    </row>
    <row r="35015" spans="1:6" x14ac:dyDescent="0.25">
      <c r="A35015" s="1" t="str">
        <f t="shared" si="1260"/>
        <v>45104</v>
      </c>
      <c r="B35015" s="1" t="str">
        <f>"98374"</f>
        <v>98374</v>
      </c>
      <c r="C35015" s="2">
        <v>0.120681145113524</v>
      </c>
      <c r="D35015" s="2">
        <v>1.06951871657754E-2</v>
      </c>
      <c r="E35015" s="2">
        <v>1.27226463104325E-2</v>
      </c>
      <c r="F35015" s="2">
        <v>8.7936671829289201E-2</v>
      </c>
    </row>
    <row r="35016" spans="1:6" x14ac:dyDescent="0.25">
      <c r="A35016" s="1" t="str">
        <f t="shared" si="1260"/>
        <v>45104</v>
      </c>
      <c r="B35016" s="1" t="str">
        <f>"98327"</f>
        <v>98327</v>
      </c>
      <c r="C35016" s="2">
        <v>2.4679170779861697E-4</v>
      </c>
      <c r="D35016" s="2">
        <v>4.8128342245989303E-2</v>
      </c>
      <c r="E35016" s="2">
        <v>1.2722646310432499E-3</v>
      </c>
      <c r="F35016" s="2">
        <v>2.0650490449148099E-3</v>
      </c>
    </row>
    <row r="35017" spans="1:6" x14ac:dyDescent="0.25">
      <c r="A35017" s="1" t="str">
        <f t="shared" si="1260"/>
        <v>45104</v>
      </c>
      <c r="B35017" s="1" t="str">
        <f>"98349"</f>
        <v>98349</v>
      </c>
      <c r="C35017" s="2">
        <v>5.6762092793682098E-3</v>
      </c>
      <c r="D35017" s="2">
        <v>5.3475935828877002E-3</v>
      </c>
      <c r="E35017" s="2">
        <v>0</v>
      </c>
      <c r="F35017" s="2">
        <v>4.1300980898296303E-3</v>
      </c>
    </row>
    <row r="35018" spans="1:6" x14ac:dyDescent="0.25">
      <c r="A35018" s="1" t="str">
        <f t="shared" si="1260"/>
        <v>45104</v>
      </c>
      <c r="B35018" s="1" t="str">
        <f>"98332"</f>
        <v>98332</v>
      </c>
      <c r="C35018" s="2">
        <v>3.6031589338598201E-2</v>
      </c>
      <c r="D35018" s="2">
        <v>2.6737967914438499E-2</v>
      </c>
      <c r="E35018" s="2">
        <v>3.81679389312977E-3</v>
      </c>
      <c r="F35018" s="2">
        <v>2.70177250043021E-2</v>
      </c>
    </row>
    <row r="35019" spans="1:6" x14ac:dyDescent="0.25">
      <c r="A35019" s="1" t="str">
        <f t="shared" si="1260"/>
        <v>45104</v>
      </c>
      <c r="B35019" s="1" t="str">
        <f>"98445"</f>
        <v>98445</v>
      </c>
      <c r="C35019" s="2">
        <v>8.3909180651530104E-3</v>
      </c>
      <c r="D35019" s="2">
        <v>5.3475935828877002E-3</v>
      </c>
      <c r="E35019" s="2">
        <v>5.0890585241730197E-3</v>
      </c>
      <c r="F35019" s="2">
        <v>7.3997590776114196E-3</v>
      </c>
    </row>
    <row r="35020" spans="1:6" x14ac:dyDescent="0.25">
      <c r="A35020" s="1" t="str">
        <f t="shared" ref="A35020:A35040" si="1261">"45104"</f>
        <v>45104</v>
      </c>
      <c r="B35020" s="1" t="str">
        <f>"98493"</f>
        <v>98493</v>
      </c>
      <c r="C35020" s="2">
        <v>0</v>
      </c>
      <c r="D35020" s="2">
        <v>1.06951871657754E-2</v>
      </c>
      <c r="E35020" s="2">
        <v>0</v>
      </c>
      <c r="F35020" s="2">
        <v>3.4417484081913598E-4</v>
      </c>
    </row>
    <row r="35021" spans="1:6" x14ac:dyDescent="0.25">
      <c r="A35021" s="1" t="str">
        <f t="shared" si="1261"/>
        <v>45104</v>
      </c>
      <c r="B35021" s="1" t="str">
        <f>"98409"</f>
        <v>98409</v>
      </c>
      <c r="C35021" s="2">
        <v>2.8381046396841001E-2</v>
      </c>
      <c r="D35021" s="2">
        <v>1.06951871657754E-2</v>
      </c>
      <c r="E35021" s="2">
        <v>1.8447837150127201E-2</v>
      </c>
      <c r="F35021" s="2">
        <v>2.51247633797969E-2</v>
      </c>
    </row>
    <row r="35022" spans="1:6" x14ac:dyDescent="0.25">
      <c r="A35022" s="1" t="str">
        <f t="shared" si="1261"/>
        <v>45104</v>
      </c>
      <c r="B35022" s="1" t="str">
        <f>"98424"</f>
        <v>98424</v>
      </c>
      <c r="C35022" s="2">
        <v>2.4679170779861697E-4</v>
      </c>
      <c r="D35022" s="2">
        <v>0</v>
      </c>
      <c r="E35022" s="2">
        <v>1.3358778625954099E-2</v>
      </c>
      <c r="F35022" s="2">
        <v>3.7859232490104898E-3</v>
      </c>
    </row>
    <row r="35023" spans="1:6" x14ac:dyDescent="0.25">
      <c r="A35023" s="1" t="str">
        <f t="shared" si="1261"/>
        <v>45104</v>
      </c>
      <c r="B35023" s="1" t="str">
        <f>"98580"</f>
        <v>98580</v>
      </c>
      <c r="C35023" s="2">
        <v>6.1697926949654397E-3</v>
      </c>
      <c r="D35023" s="2">
        <v>0</v>
      </c>
      <c r="E35023" s="2">
        <v>6.36132315521628E-4</v>
      </c>
      <c r="F35023" s="2">
        <v>4.4742729306487599E-3</v>
      </c>
    </row>
    <row r="35024" spans="1:6" x14ac:dyDescent="0.25">
      <c r="A35024" s="1" t="str">
        <f t="shared" si="1261"/>
        <v>45104</v>
      </c>
      <c r="B35024" s="1" t="str">
        <f>"98372"</f>
        <v>98372</v>
      </c>
      <c r="C35024" s="2">
        <v>7.5271470878578398E-2</v>
      </c>
      <c r="D35024" s="2">
        <v>5.3475935828876997E-2</v>
      </c>
      <c r="E35024" s="2">
        <v>3.5623409669211098E-2</v>
      </c>
      <c r="F35024" s="2">
        <v>6.3844432971949694E-2</v>
      </c>
    </row>
    <row r="35025" spans="1:6" x14ac:dyDescent="0.25">
      <c r="A35025" s="1" t="str">
        <f t="shared" si="1261"/>
        <v>45104</v>
      </c>
      <c r="B35025" s="1" t="str">
        <f>"98351"</f>
        <v>98351</v>
      </c>
      <c r="C35025" s="2">
        <v>1.23395853899308E-3</v>
      </c>
      <c r="D35025" s="2">
        <v>0</v>
      </c>
      <c r="E35025" s="2">
        <v>6.36132315521628E-4</v>
      </c>
      <c r="F35025" s="2">
        <v>1.0325245224574E-3</v>
      </c>
    </row>
    <row r="35026" spans="1:6" x14ac:dyDescent="0.25">
      <c r="A35026" s="1" t="str">
        <f t="shared" si="1261"/>
        <v>45104</v>
      </c>
      <c r="B35026" s="1" t="str">
        <f>"98405"</f>
        <v>98405</v>
      </c>
      <c r="C35026" s="2">
        <v>6.9101678183612998E-3</v>
      </c>
      <c r="D35026" s="2">
        <v>1.60427807486631E-2</v>
      </c>
      <c r="E35026" s="2">
        <v>1.2722646310432499E-3</v>
      </c>
      <c r="F35026" s="2">
        <v>5.6788848735157401E-3</v>
      </c>
    </row>
    <row r="35027" spans="1:6" x14ac:dyDescent="0.25">
      <c r="A35027" s="1" t="str">
        <f t="shared" si="1261"/>
        <v>45104</v>
      </c>
      <c r="B35027" s="1" t="str">
        <f>"98406"</f>
        <v>98406</v>
      </c>
      <c r="C35027" s="2">
        <v>3.8252714708785697E-2</v>
      </c>
      <c r="D35027" s="2">
        <v>1.60427807486631E-2</v>
      </c>
      <c r="E35027" s="2">
        <v>1.2722646310432499E-3</v>
      </c>
      <c r="F35027" s="2">
        <v>2.7533987265530802E-2</v>
      </c>
    </row>
    <row r="35028" spans="1:6" x14ac:dyDescent="0.25">
      <c r="A35028" s="1" t="str">
        <f t="shared" si="1261"/>
        <v>45104</v>
      </c>
      <c r="B35028" s="1" t="str">
        <f>"98418"</f>
        <v>98418</v>
      </c>
      <c r="C35028" s="2">
        <v>1.72754195459032E-3</v>
      </c>
      <c r="D35028" s="2">
        <v>0</v>
      </c>
      <c r="E35028" s="2">
        <v>1.2722646310432499E-3</v>
      </c>
      <c r="F35028" s="2">
        <v>1.5487867836861101E-3</v>
      </c>
    </row>
    <row r="35029" spans="1:6" x14ac:dyDescent="0.25">
      <c r="A35029" s="1" t="str">
        <f t="shared" si="1261"/>
        <v>45104</v>
      </c>
      <c r="B35029" s="1" t="str">
        <f>"98391"</f>
        <v>98391</v>
      </c>
      <c r="C35029" s="2">
        <v>6.0957551826258602E-2</v>
      </c>
      <c r="D35029" s="2">
        <v>0.31550802139037398</v>
      </c>
      <c r="E35029" s="2">
        <v>1.3994910941475799E-2</v>
      </c>
      <c r="F35029" s="2">
        <v>5.6444673894338299E-2</v>
      </c>
    </row>
    <row r="35030" spans="1:6" x14ac:dyDescent="0.25">
      <c r="A35030" s="1" t="str">
        <f t="shared" si="1261"/>
        <v>45104</v>
      </c>
      <c r="B35030" s="1" t="str">
        <f>"98323"</f>
        <v>98323</v>
      </c>
      <c r="C35030" s="2">
        <v>0</v>
      </c>
      <c r="D35030" s="2">
        <v>0</v>
      </c>
      <c r="E35030" s="2">
        <v>0.130407124681933</v>
      </c>
      <c r="F35030" s="2">
        <v>3.5277921183961398E-2</v>
      </c>
    </row>
    <row r="35031" spans="1:6" x14ac:dyDescent="0.25">
      <c r="A35031" s="1" t="str">
        <f t="shared" si="1261"/>
        <v>45104</v>
      </c>
      <c r="B35031" s="1" t="str">
        <f>"98304"</f>
        <v>98304</v>
      </c>
      <c r="C35031" s="2">
        <v>7.4037512339585304E-4</v>
      </c>
      <c r="D35031" s="2">
        <v>0</v>
      </c>
      <c r="E35031" s="2">
        <v>6.36132315521628E-4</v>
      </c>
      <c r="F35031" s="2">
        <v>6.8834968163827197E-4</v>
      </c>
    </row>
    <row r="35032" spans="1:6" x14ac:dyDescent="0.25">
      <c r="A35032" s="1" t="str">
        <f t="shared" si="1261"/>
        <v>45104</v>
      </c>
      <c r="B35032" s="1" t="str">
        <f>"98422"</f>
        <v>98422</v>
      </c>
      <c r="C35032" s="2">
        <v>1.1599210266534999E-2</v>
      </c>
      <c r="D35032" s="2">
        <v>5.3475935828877002E-3</v>
      </c>
      <c r="E35032" s="2">
        <v>4.4529262086513898E-3</v>
      </c>
      <c r="F35032" s="2">
        <v>9.4648081225262408E-3</v>
      </c>
    </row>
    <row r="35033" spans="1:6" x14ac:dyDescent="0.25">
      <c r="A35033" s="1" t="str">
        <f t="shared" si="1261"/>
        <v>45104</v>
      </c>
      <c r="B35033" s="1" t="str">
        <f>"98371"</f>
        <v>98371</v>
      </c>
      <c r="C35033" s="2">
        <v>1.9990128331687999E-2</v>
      </c>
      <c r="D35033" s="2">
        <v>5.3475935828877002E-3</v>
      </c>
      <c r="E35033" s="2">
        <v>1.27226463104325E-2</v>
      </c>
      <c r="F35033" s="2">
        <v>1.7552916881775901E-2</v>
      </c>
    </row>
    <row r="35034" spans="1:6" x14ac:dyDescent="0.25">
      <c r="A35034" s="1" t="str">
        <f t="shared" si="1261"/>
        <v>45104</v>
      </c>
      <c r="B35034" s="1" t="str">
        <f>"98360"</f>
        <v>98360</v>
      </c>
      <c r="C35034" s="2">
        <v>4.1954590325765E-3</v>
      </c>
      <c r="D35034" s="2">
        <v>1.06951871657754E-2</v>
      </c>
      <c r="E35034" s="2">
        <v>0.13613231552162799</v>
      </c>
      <c r="F35034" s="2">
        <v>4.0096368955429298E-2</v>
      </c>
    </row>
    <row r="35035" spans="1:6" x14ac:dyDescent="0.25">
      <c r="A35035" s="1" t="str">
        <f t="shared" si="1261"/>
        <v>45104</v>
      </c>
      <c r="B35035" s="1" t="str">
        <f>"98444"</f>
        <v>98444</v>
      </c>
      <c r="C35035" s="2">
        <v>1.55478775913129E-2</v>
      </c>
      <c r="D35035" s="2">
        <v>3.20855614973262E-2</v>
      </c>
      <c r="E35035" s="2">
        <v>5.2162849872773497E-2</v>
      </c>
      <c r="F35035" s="2">
        <v>2.59852004818447E-2</v>
      </c>
    </row>
    <row r="35036" spans="1:6" x14ac:dyDescent="0.25">
      <c r="A35036" s="1" t="str">
        <f t="shared" si="1261"/>
        <v>45104</v>
      </c>
      <c r="B35036" s="1" t="str">
        <f>"98338"</f>
        <v>98338</v>
      </c>
      <c r="C35036" s="2">
        <v>1.38203356367226E-2</v>
      </c>
      <c r="D35036" s="2">
        <v>1.06951871657754E-2</v>
      </c>
      <c r="E35036" s="2">
        <v>3.1806615776081401E-3</v>
      </c>
      <c r="F35036" s="2">
        <v>1.08415074858027E-2</v>
      </c>
    </row>
    <row r="35037" spans="1:6" x14ac:dyDescent="0.25">
      <c r="A35037" s="1" t="str">
        <f t="shared" si="1261"/>
        <v>45104</v>
      </c>
      <c r="B35037" s="1" t="str">
        <f>"98385"</f>
        <v>98385</v>
      </c>
      <c r="C35037" s="2">
        <v>0</v>
      </c>
      <c r="D35037" s="2">
        <v>0</v>
      </c>
      <c r="E35037" s="2">
        <v>6.36132315521628E-4</v>
      </c>
      <c r="F35037" s="2">
        <v>1.7208742040956799E-4</v>
      </c>
    </row>
    <row r="35038" spans="1:6" x14ac:dyDescent="0.25">
      <c r="A35038" s="1" t="str">
        <f t="shared" si="1261"/>
        <v>45104</v>
      </c>
      <c r="B35038" s="1" t="str">
        <f>"98439"</f>
        <v>98439</v>
      </c>
      <c r="C35038" s="2">
        <v>0</v>
      </c>
      <c r="D35038" s="2">
        <v>0</v>
      </c>
      <c r="E35038" s="2">
        <v>6.36132315521628E-4</v>
      </c>
      <c r="F35038" s="2">
        <v>1.7208742040956799E-4</v>
      </c>
    </row>
    <row r="35039" spans="1:6" x14ac:dyDescent="0.25">
      <c r="A35039" s="1" t="str">
        <f t="shared" si="1261"/>
        <v>45104</v>
      </c>
      <c r="B35039" s="1" t="str">
        <f>"98397"</f>
        <v>98397</v>
      </c>
      <c r="C35039" s="2">
        <v>0</v>
      </c>
      <c r="D35039" s="2">
        <v>5.3475935828877002E-3</v>
      </c>
      <c r="E35039" s="2">
        <v>0</v>
      </c>
      <c r="F35039" s="2">
        <v>1.7208742040956799E-4</v>
      </c>
    </row>
    <row r="35040" spans="1:6" x14ac:dyDescent="0.25">
      <c r="A35040" s="1" t="str">
        <f t="shared" si="1261"/>
        <v>45104</v>
      </c>
      <c r="B35040" s="1" t="str">
        <f>"98465"</f>
        <v>98465</v>
      </c>
      <c r="C35040" s="2">
        <v>4.1707798617966398E-2</v>
      </c>
      <c r="D35040" s="2">
        <v>5.3475935828877002E-3</v>
      </c>
      <c r="E35040" s="2">
        <v>3.1806615776081401E-3</v>
      </c>
      <c r="F35040" s="2">
        <v>3.0115298571674401E-2</v>
      </c>
    </row>
    <row r="35041" spans="1:6" x14ac:dyDescent="0.25">
      <c r="A35041" s="1" t="str">
        <f t="shared" ref="A35041:A35057" si="1262">"45140"</f>
        <v>45140</v>
      </c>
      <c r="B35041" s="1" t="str">
        <f>"74457"</f>
        <v>74457</v>
      </c>
      <c r="C35041" s="2">
        <v>1.4298447597118E-2</v>
      </c>
      <c r="D35041" s="2">
        <v>0</v>
      </c>
      <c r="E35041" s="2">
        <v>1.18343195266272E-3</v>
      </c>
      <c r="F35041" s="2">
        <v>1.2895897367366E-2</v>
      </c>
    </row>
    <row r="35042" spans="1:6" x14ac:dyDescent="0.25">
      <c r="A35042" s="1" t="str">
        <f t="shared" si="1262"/>
        <v>45140</v>
      </c>
      <c r="B35042" s="1" t="str">
        <f>"74960"</f>
        <v>74960</v>
      </c>
      <c r="C35042" s="2">
        <v>2.86340340191636E-2</v>
      </c>
      <c r="D35042" s="2">
        <v>5.55298472929199E-3</v>
      </c>
      <c r="E35042" s="2">
        <v>0</v>
      </c>
      <c r="F35042" s="2">
        <v>2.6159294400641402E-2</v>
      </c>
    </row>
    <row r="35043" spans="1:6" x14ac:dyDescent="0.25">
      <c r="A35043" s="1" t="str">
        <f t="shared" si="1262"/>
        <v>45140</v>
      </c>
      <c r="B35043" s="1" t="str">
        <f>"74364"</f>
        <v>74364</v>
      </c>
      <c r="C35043" s="2">
        <v>6.61071083710911E-3</v>
      </c>
      <c r="D35043" s="2">
        <v>2.7764923646459898E-3</v>
      </c>
      <c r="E35043" s="2">
        <v>0</v>
      </c>
      <c r="F35043" s="2">
        <v>6.1472671388480499E-3</v>
      </c>
    </row>
    <row r="35044" spans="1:6" x14ac:dyDescent="0.25">
      <c r="A35044" s="1" t="str">
        <f t="shared" si="1262"/>
        <v>45140</v>
      </c>
      <c r="B35044" s="1" t="str">
        <f>"74444"</f>
        <v>74444</v>
      </c>
      <c r="C35044" s="2">
        <v>0</v>
      </c>
      <c r="D35044" s="2">
        <v>0</v>
      </c>
      <c r="E35044" s="2">
        <v>1.18343195266272E-3</v>
      </c>
      <c r="F35044" s="2">
        <v>3.3409060537217598E-5</v>
      </c>
    </row>
    <row r="35045" spans="1:6" x14ac:dyDescent="0.25">
      <c r="A35045" s="1" t="str">
        <f t="shared" si="1262"/>
        <v>45140</v>
      </c>
      <c r="B35045" s="1" t="str">
        <f>"74352"</f>
        <v>74352</v>
      </c>
      <c r="C35045" s="2">
        <v>4.9023248904404597E-3</v>
      </c>
      <c r="D35045" s="2">
        <v>9.2549745488199899E-4</v>
      </c>
      <c r="E35045" s="2">
        <v>0</v>
      </c>
      <c r="F35045" s="2">
        <v>4.4768141119871704E-3</v>
      </c>
    </row>
    <row r="35046" spans="1:6" x14ac:dyDescent="0.25">
      <c r="A35046" s="1" t="str">
        <f t="shared" si="1262"/>
        <v>45140</v>
      </c>
      <c r="B35046" s="1" t="str">
        <f>"74452"</f>
        <v>74452</v>
      </c>
      <c r="C35046" s="2">
        <v>5.1622966649335199E-3</v>
      </c>
      <c r="D35046" s="2">
        <v>9.2549745488199899E-4</v>
      </c>
      <c r="E35046" s="2">
        <v>1.18343195266272E-3</v>
      </c>
      <c r="F35046" s="2">
        <v>4.7440865962849101E-3</v>
      </c>
    </row>
    <row r="35047" spans="1:6" x14ac:dyDescent="0.25">
      <c r="A35047" s="1" t="str">
        <f t="shared" si="1262"/>
        <v>45140</v>
      </c>
      <c r="B35047" s="1" t="str">
        <f>"74347"</f>
        <v>74347</v>
      </c>
      <c r="C35047" s="2">
        <v>1.0398870979722199E-3</v>
      </c>
      <c r="D35047" s="2">
        <v>0</v>
      </c>
      <c r="E35047" s="2">
        <v>0</v>
      </c>
      <c r="F35047" s="2">
        <v>9.3545369504209499E-4</v>
      </c>
    </row>
    <row r="35048" spans="1:6" x14ac:dyDescent="0.25">
      <c r="A35048" s="1" t="str">
        <f t="shared" si="1262"/>
        <v>45140</v>
      </c>
      <c r="B35048" s="1" t="str">
        <f>"74931"</f>
        <v>74931</v>
      </c>
      <c r="C35048" s="2">
        <v>1.74923865408898E-2</v>
      </c>
      <c r="D35048" s="2">
        <v>1.3882461823229899E-3</v>
      </c>
      <c r="E35048" s="2">
        <v>1.18343195266272E-3</v>
      </c>
      <c r="F35048" s="2">
        <v>1.58693037551784E-2</v>
      </c>
    </row>
    <row r="35049" spans="1:6" x14ac:dyDescent="0.25">
      <c r="A35049" s="1" t="str">
        <f t="shared" si="1262"/>
        <v>45140</v>
      </c>
      <c r="B35049" s="1" t="str">
        <f>"74471"</f>
        <v>74471</v>
      </c>
      <c r="C35049" s="2">
        <v>2.7445591621481E-2</v>
      </c>
      <c r="D35049" s="2">
        <v>7.8667283664969907E-3</v>
      </c>
      <c r="E35049" s="2">
        <v>5.9171597633135998E-3</v>
      </c>
      <c r="F35049" s="2">
        <v>2.54242950688226E-2</v>
      </c>
    </row>
    <row r="35050" spans="1:6" x14ac:dyDescent="0.25">
      <c r="A35050" s="1" t="str">
        <f t="shared" si="1262"/>
        <v>45140</v>
      </c>
      <c r="B35050" s="1" t="str">
        <f>"74464"</f>
        <v>74464</v>
      </c>
      <c r="C35050" s="2">
        <v>0.56484438832355299</v>
      </c>
      <c r="D35050" s="2">
        <v>0.74039796390559898</v>
      </c>
      <c r="E35050" s="2">
        <v>0.906508875739644</v>
      </c>
      <c r="F35050" s="2">
        <v>0.58716423894159997</v>
      </c>
    </row>
    <row r="35051" spans="1:6" x14ac:dyDescent="0.25">
      <c r="A35051" s="1" t="str">
        <f t="shared" si="1262"/>
        <v>45140</v>
      </c>
      <c r="B35051" s="1" t="str">
        <f>"74434"</f>
        <v>74434</v>
      </c>
      <c r="C35051" s="2">
        <v>3.6693159028448302E-2</v>
      </c>
      <c r="D35051" s="2">
        <v>4.1647385469689904E-3</v>
      </c>
      <c r="E35051" s="2">
        <v>8.2840236686390501E-3</v>
      </c>
      <c r="F35051" s="2">
        <v>3.3542696779366499E-2</v>
      </c>
    </row>
    <row r="35052" spans="1:6" x14ac:dyDescent="0.25">
      <c r="A35052" s="1" t="str">
        <f t="shared" si="1262"/>
        <v>45140</v>
      </c>
      <c r="B35052" s="1" t="str">
        <f>"74427"</f>
        <v>74427</v>
      </c>
      <c r="C35052" s="2">
        <v>3.40191636336626E-2</v>
      </c>
      <c r="D35052" s="2">
        <v>2.0823692734844901E-2</v>
      </c>
      <c r="E35052" s="2">
        <v>1.18343195266272E-3</v>
      </c>
      <c r="F35052" s="2">
        <v>3.2139516236803403E-2</v>
      </c>
    </row>
    <row r="35053" spans="1:6" x14ac:dyDescent="0.25">
      <c r="A35053" s="1" t="str">
        <f t="shared" si="1262"/>
        <v>45140</v>
      </c>
      <c r="B35053" s="1" t="str">
        <f>"74359"</f>
        <v>74359</v>
      </c>
      <c r="C35053" s="2">
        <v>4.8280472405853002E-4</v>
      </c>
      <c r="D35053" s="2">
        <v>0</v>
      </c>
      <c r="E35053" s="2">
        <v>0</v>
      </c>
      <c r="F35053" s="2">
        <v>4.3431778698382997E-4</v>
      </c>
    </row>
    <row r="35054" spans="1:6" x14ac:dyDescent="0.25">
      <c r="A35054" s="1" t="str">
        <f t="shared" si="1262"/>
        <v>45140</v>
      </c>
      <c r="B35054" s="1" t="str">
        <f>"74962"</f>
        <v>74962</v>
      </c>
      <c r="C35054" s="2">
        <v>2.3397459704374902E-3</v>
      </c>
      <c r="D35054" s="2">
        <v>0</v>
      </c>
      <c r="E35054" s="2">
        <v>0</v>
      </c>
      <c r="F35054" s="2">
        <v>2.1047708138447101E-3</v>
      </c>
    </row>
    <row r="35055" spans="1:6" x14ac:dyDescent="0.25">
      <c r="A35055" s="1" t="str">
        <f t="shared" si="1262"/>
        <v>45140</v>
      </c>
      <c r="B35055" s="1" t="str">
        <f>"74441"</f>
        <v>74441</v>
      </c>
      <c r="C35055" s="2">
        <v>9.5001114164747796E-2</v>
      </c>
      <c r="D35055" s="2">
        <v>3.0541416011105899E-2</v>
      </c>
      <c r="E35055" s="2">
        <v>3.0769230769230702E-2</v>
      </c>
      <c r="F35055" s="2">
        <v>8.8534010423626797E-2</v>
      </c>
    </row>
    <row r="35056" spans="1:6" x14ac:dyDescent="0.25">
      <c r="A35056" s="1" t="str">
        <f t="shared" si="1262"/>
        <v>45140</v>
      </c>
      <c r="B35056" s="1" t="str">
        <f>"74451"</f>
        <v>74451</v>
      </c>
      <c r="C35056" s="2">
        <v>0.120218376290574</v>
      </c>
      <c r="D35056" s="2">
        <v>5.3678852383155902E-2</v>
      </c>
      <c r="E35056" s="2">
        <v>4.0236686390532503E-2</v>
      </c>
      <c r="F35056" s="2">
        <v>0.113156488039556</v>
      </c>
    </row>
    <row r="35057" spans="1:6" x14ac:dyDescent="0.25">
      <c r="A35057" s="1" t="str">
        <f t="shared" si="1262"/>
        <v>45140</v>
      </c>
      <c r="B35057" s="1" t="str">
        <f>"74465"</f>
        <v>74465</v>
      </c>
      <c r="C35057" s="2">
        <v>4.08155685954096E-2</v>
      </c>
      <c r="D35057" s="2">
        <v>0.13095788986580201</v>
      </c>
      <c r="E35057" s="2">
        <v>2.3668639053254399E-3</v>
      </c>
      <c r="F35057" s="2">
        <v>4.62381397835092E-2</v>
      </c>
    </row>
    <row r="35058" spans="1:6" x14ac:dyDescent="0.25">
      <c r="A35058" s="1" t="str">
        <f t="shared" ref="A35058:A35070" si="1263">"45180"</f>
        <v>45180</v>
      </c>
      <c r="B35058" s="1" t="str">
        <f>"35072"</f>
        <v>35072</v>
      </c>
      <c r="C35058" s="2">
        <v>3.55641095374573E-4</v>
      </c>
      <c r="D35058" s="2">
        <v>0</v>
      </c>
      <c r="E35058" s="2">
        <v>0</v>
      </c>
      <c r="F35058" s="2">
        <v>3.2805866460825899E-4</v>
      </c>
    </row>
    <row r="35059" spans="1:6" x14ac:dyDescent="0.25">
      <c r="A35059" s="1" t="str">
        <f t="shared" si="1263"/>
        <v>45180</v>
      </c>
      <c r="B35059" s="1" t="str">
        <f>"35150"</f>
        <v>35150</v>
      </c>
      <c r="C35059" s="2">
        <v>0.24066442124641699</v>
      </c>
      <c r="D35059" s="2">
        <v>0.36810906935388199</v>
      </c>
      <c r="E35059" s="2">
        <v>0.182945736434108</v>
      </c>
      <c r="F35059" s="2">
        <v>0.24824392126591999</v>
      </c>
    </row>
    <row r="35060" spans="1:6" x14ac:dyDescent="0.25">
      <c r="A35060" s="1" t="str">
        <f t="shared" si="1263"/>
        <v>45180</v>
      </c>
      <c r="B35060" s="1" t="str">
        <f>"35151"</f>
        <v>35151</v>
      </c>
      <c r="C35060" s="2">
        <v>7.4036108031212702E-2</v>
      </c>
      <c r="D35060" s="2">
        <v>3.40841730883224E-2</v>
      </c>
      <c r="E35060" s="2">
        <v>3.8759689922480599E-2</v>
      </c>
      <c r="F35060" s="2">
        <v>7.0995754534928499E-2</v>
      </c>
    </row>
    <row r="35061" spans="1:6" x14ac:dyDescent="0.25">
      <c r="A35061" s="1" t="str">
        <f t="shared" si="1263"/>
        <v>45180</v>
      </c>
      <c r="B35061" s="1" t="str">
        <f>"35044"</f>
        <v>35044</v>
      </c>
      <c r="C35061" s="2">
        <v>8.6922867722432504E-2</v>
      </c>
      <c r="D35061" s="2">
        <v>0.110254890337877</v>
      </c>
      <c r="E35061" s="2">
        <v>8.21705426356589E-2</v>
      </c>
      <c r="F35061" s="2">
        <v>8.8382863759166305E-2</v>
      </c>
    </row>
    <row r="35062" spans="1:6" x14ac:dyDescent="0.25">
      <c r="A35062" s="1" t="str">
        <f t="shared" si="1263"/>
        <v>45180</v>
      </c>
      <c r="B35062" s="1" t="str">
        <f>"35160"</f>
        <v>35160</v>
      </c>
      <c r="C35062" s="2">
        <v>0.31219012154557402</v>
      </c>
      <c r="D35062" s="2">
        <v>0.34943687018375802</v>
      </c>
      <c r="E35062" s="2">
        <v>0.55658914728682096</v>
      </c>
      <c r="F35062" s="2">
        <v>0.31765727518332598</v>
      </c>
    </row>
    <row r="35063" spans="1:6" x14ac:dyDescent="0.25">
      <c r="A35063" s="1" t="str">
        <f t="shared" si="1263"/>
        <v>45180</v>
      </c>
      <c r="B35063" s="1" t="str">
        <f>"35149"</f>
        <v>35149</v>
      </c>
      <c r="C35063" s="2">
        <v>9.9997907993556595E-3</v>
      </c>
      <c r="D35063" s="2">
        <v>5.0385299347954901E-3</v>
      </c>
      <c r="E35063" s="2">
        <v>1.55038759689922E-3</v>
      </c>
      <c r="F35063" s="2">
        <v>9.5715939791586203E-3</v>
      </c>
    </row>
    <row r="35064" spans="1:6" x14ac:dyDescent="0.25">
      <c r="A35064" s="1" t="str">
        <f t="shared" si="1263"/>
        <v>45180</v>
      </c>
      <c r="B35064" s="1" t="str">
        <f>"35032"</f>
        <v>35032</v>
      </c>
      <c r="C35064" s="2">
        <v>0</v>
      </c>
      <c r="D35064" s="2">
        <v>5.9276822762299904E-4</v>
      </c>
      <c r="E35064" s="2">
        <v>0</v>
      </c>
      <c r="F35064" s="2">
        <v>3.8595137012736299E-5</v>
      </c>
    </row>
    <row r="35065" spans="1:6" x14ac:dyDescent="0.25">
      <c r="A35065" s="1" t="str">
        <f t="shared" si="1263"/>
        <v>45180</v>
      </c>
      <c r="B35065" s="1" t="str">
        <f>"36268"</f>
        <v>36268</v>
      </c>
      <c r="C35065" s="2">
        <v>6.1965230852911002E-2</v>
      </c>
      <c r="D35065" s="2">
        <v>1.51155898043864E-2</v>
      </c>
      <c r="E35065" s="2">
        <v>1.70542635658914E-2</v>
      </c>
      <c r="F35065" s="2">
        <v>5.8355847163257403E-2</v>
      </c>
    </row>
    <row r="35066" spans="1:6" x14ac:dyDescent="0.25">
      <c r="A35066" s="1" t="str">
        <f t="shared" si="1263"/>
        <v>45180</v>
      </c>
      <c r="B35066" s="1" t="str">
        <f>"36260"</f>
        <v>36260</v>
      </c>
      <c r="C35066" s="2">
        <v>1.47486454258279E-2</v>
      </c>
      <c r="D35066" s="2">
        <v>1.36336692353289E-2</v>
      </c>
      <c r="E35066" s="2">
        <v>6.2015503875968896E-3</v>
      </c>
      <c r="F35066" s="2">
        <v>1.4569664222307901E-2</v>
      </c>
    </row>
    <row r="35067" spans="1:6" x14ac:dyDescent="0.25">
      <c r="A35067" s="1" t="str">
        <f t="shared" si="1263"/>
        <v>45180</v>
      </c>
      <c r="B35067" s="1" t="str">
        <f>"35082"</f>
        <v>35082</v>
      </c>
      <c r="C35067" s="2">
        <v>4.0794125645906903E-3</v>
      </c>
      <c r="D35067" s="2">
        <v>1.48192056905749E-3</v>
      </c>
      <c r="E35067" s="2">
        <v>3.10077519379844E-3</v>
      </c>
      <c r="F35067" s="2">
        <v>3.89810883828637E-3</v>
      </c>
    </row>
    <row r="35068" spans="1:6" x14ac:dyDescent="0.25">
      <c r="A35068" s="1" t="str">
        <f t="shared" si="1263"/>
        <v>45180</v>
      </c>
      <c r="B35068" s="1" t="str">
        <f>"36203"</f>
        <v>36203</v>
      </c>
      <c r="C35068" s="2">
        <v>5.25512018577017E-2</v>
      </c>
      <c r="D35068" s="2">
        <v>1.9857735625370399E-2</v>
      </c>
      <c r="E35068" s="2">
        <v>1.86046511627906E-2</v>
      </c>
      <c r="F35068" s="2">
        <v>0.05</v>
      </c>
    </row>
    <row r="35069" spans="1:6" x14ac:dyDescent="0.25">
      <c r="A35069" s="1" t="str">
        <f t="shared" si="1263"/>
        <v>45180</v>
      </c>
      <c r="B35069" s="1" t="str">
        <f>"35096"</f>
        <v>35096</v>
      </c>
      <c r="C35069" s="2">
        <v>9.5876655300098299E-2</v>
      </c>
      <c r="D35069" s="2">
        <v>7.0243034973325402E-2</v>
      </c>
      <c r="E35069" s="2">
        <v>7.5968992248062001E-2</v>
      </c>
      <c r="F35069" s="2">
        <v>9.3959861057506699E-2</v>
      </c>
    </row>
    <row r="35070" spans="1:6" x14ac:dyDescent="0.25">
      <c r="A35070" s="1" t="str">
        <f t="shared" si="1263"/>
        <v>45180</v>
      </c>
      <c r="B35070" s="1" t="str">
        <f>"35014"</f>
        <v>35014</v>
      </c>
      <c r="C35070" s="2">
        <v>4.6609903558502898E-2</v>
      </c>
      <c r="D35070" s="2">
        <v>1.21517486662714E-2</v>
      </c>
      <c r="E35070" s="2">
        <v>1.70542635658914E-2</v>
      </c>
      <c r="F35070" s="2">
        <v>4.3998456194519399E-2</v>
      </c>
    </row>
    <row r="35071" spans="1:6" x14ac:dyDescent="0.25">
      <c r="A35071" s="1" t="str">
        <f t="shared" ref="A35071:A35109" si="1264">"45220"</f>
        <v>45220</v>
      </c>
      <c r="B35071" s="1" t="str">
        <f>"32303"</f>
        <v>32303</v>
      </c>
      <c r="C35071" s="2">
        <v>0.127385343596085</v>
      </c>
      <c r="D35071" s="2">
        <v>0.14156387315368699</v>
      </c>
      <c r="E35071" s="2">
        <v>0.160340115396295</v>
      </c>
      <c r="F35071" s="2">
        <v>0.12966083002079001</v>
      </c>
    </row>
    <row r="35072" spans="1:6" x14ac:dyDescent="0.25">
      <c r="A35072" s="1" t="str">
        <f t="shared" si="1264"/>
        <v>45220</v>
      </c>
      <c r="B35072" s="1" t="str">
        <f>"32316"</f>
        <v>32316</v>
      </c>
      <c r="C35072" s="2">
        <v>7.7130551587386098E-3</v>
      </c>
      <c r="D35072" s="2">
        <v>1.44528561596696E-2</v>
      </c>
      <c r="E35072" s="2">
        <v>3.0367446097783097E-4</v>
      </c>
      <c r="F35072" s="2">
        <v>8.0815096748154402E-3</v>
      </c>
    </row>
    <row r="35073" spans="1:6" x14ac:dyDescent="0.25">
      <c r="A35073" s="1" t="str">
        <f t="shared" si="1264"/>
        <v>45220</v>
      </c>
      <c r="B35073" s="1" t="str">
        <f>"32336"</f>
        <v>32336</v>
      </c>
      <c r="C35073" s="2">
        <v>2.5265985799876301E-3</v>
      </c>
      <c r="D35073" s="2">
        <v>2.0117528720419199E-3</v>
      </c>
      <c r="E35073" s="2">
        <v>0</v>
      </c>
      <c r="F35073" s="2">
        <v>2.4028646652180601E-3</v>
      </c>
    </row>
    <row r="35074" spans="1:6" x14ac:dyDescent="0.25">
      <c r="A35074" s="1" t="str">
        <f t="shared" si="1264"/>
        <v>45220</v>
      </c>
      <c r="B35074" s="1" t="str">
        <f>"32351"</f>
        <v>32351</v>
      </c>
      <c r="C35074" s="2">
        <v>4.1470331123003697E-2</v>
      </c>
      <c r="D35074" s="2">
        <v>4.0976229551590797E-2</v>
      </c>
      <c r="E35074" s="2">
        <v>1.24506529000911E-2</v>
      </c>
      <c r="F35074" s="2">
        <v>4.05295688453578E-2</v>
      </c>
    </row>
    <row r="35075" spans="1:6" x14ac:dyDescent="0.25">
      <c r="A35075" s="1" t="str">
        <f t="shared" si="1264"/>
        <v>45220</v>
      </c>
      <c r="B35075" s="1" t="str">
        <f>"32395"</f>
        <v>32395</v>
      </c>
      <c r="C35075" s="2">
        <v>0</v>
      </c>
      <c r="D35075" s="2">
        <v>5.29408650537349E-5</v>
      </c>
      <c r="E35075" s="2">
        <v>0</v>
      </c>
      <c r="F35075" s="2">
        <v>4.6930950492540304E-6</v>
      </c>
    </row>
    <row r="35076" spans="1:6" x14ac:dyDescent="0.25">
      <c r="A35076" s="1" t="str">
        <f t="shared" si="1264"/>
        <v>45220</v>
      </c>
      <c r="B35076" s="1" t="str">
        <f>"32309"</f>
        <v>32309</v>
      </c>
      <c r="C35076" s="2">
        <v>7.3122108270612496E-2</v>
      </c>
      <c r="D35076" s="2">
        <v>2.9964529620413901E-2</v>
      </c>
      <c r="E35076" s="2">
        <v>4.29699362283631E-2</v>
      </c>
      <c r="F35076" s="2">
        <v>6.8364315582483404E-2</v>
      </c>
    </row>
    <row r="35077" spans="1:6" x14ac:dyDescent="0.25">
      <c r="A35077" s="1" t="str">
        <f t="shared" si="1264"/>
        <v>45220</v>
      </c>
      <c r="B35077" s="1" t="str">
        <f>"32311"</f>
        <v>32311</v>
      </c>
      <c r="C35077" s="2">
        <v>5.5675785164495402E-2</v>
      </c>
      <c r="D35077" s="2">
        <v>1.54057917306368E-2</v>
      </c>
      <c r="E35077" s="2">
        <v>2.55086547221378E-2</v>
      </c>
      <c r="F35077" s="2">
        <v>5.1173508417065902E-2</v>
      </c>
    </row>
    <row r="35078" spans="1:6" x14ac:dyDescent="0.25">
      <c r="A35078" s="1" t="str">
        <f t="shared" si="1264"/>
        <v>45220</v>
      </c>
      <c r="B35078" s="1" t="str">
        <f>"32312"</f>
        <v>32312</v>
      </c>
      <c r="C35078" s="2">
        <v>7.6245709046715404E-2</v>
      </c>
      <c r="D35078" s="2">
        <v>3.4411562284927699E-2</v>
      </c>
      <c r="E35078" s="2">
        <v>2.7178864257515901E-2</v>
      </c>
      <c r="F35078" s="2">
        <v>7.10206073803612E-2</v>
      </c>
    </row>
    <row r="35079" spans="1:6" x14ac:dyDescent="0.25">
      <c r="A35079" s="1" t="str">
        <f t="shared" si="1264"/>
        <v>45220</v>
      </c>
      <c r="B35079" s="1" t="str">
        <f>"32317"</f>
        <v>32317</v>
      </c>
      <c r="C35079" s="2">
        <v>4.0121745804993399E-2</v>
      </c>
      <c r="D35079" s="2">
        <v>5.95584731854518E-2</v>
      </c>
      <c r="E35079" s="2">
        <v>4.5551169146674699E-3</v>
      </c>
      <c r="F35079" s="2">
        <v>4.0745451217623498E-2</v>
      </c>
    </row>
    <row r="35080" spans="1:6" x14ac:dyDescent="0.25">
      <c r="A35080" s="1" t="str">
        <f t="shared" si="1264"/>
        <v>45220</v>
      </c>
      <c r="B35080" s="1" t="str">
        <f>"32332"</f>
        <v>32332</v>
      </c>
      <c r="C35080" s="2">
        <v>3.0116628643312498E-3</v>
      </c>
      <c r="D35080" s="2">
        <v>1.85293027688072E-3</v>
      </c>
      <c r="E35080" s="2">
        <v>6.0734892195566303E-4</v>
      </c>
      <c r="F35080" s="2">
        <v>2.8346294097494301E-3</v>
      </c>
    </row>
    <row r="35081" spans="1:6" x14ac:dyDescent="0.25">
      <c r="A35081" s="1" t="str">
        <f t="shared" si="1264"/>
        <v>45220</v>
      </c>
      <c r="B35081" s="1" t="str">
        <f>"32330"</f>
        <v>32330</v>
      </c>
      <c r="C35081" s="2">
        <v>0</v>
      </c>
      <c r="D35081" s="2">
        <v>5.29408650537349E-5</v>
      </c>
      <c r="E35081" s="2">
        <v>3.0367446097783097E-4</v>
      </c>
      <c r="F35081" s="2">
        <v>1.4079285147762001E-5</v>
      </c>
    </row>
    <row r="35082" spans="1:6" x14ac:dyDescent="0.25">
      <c r="A35082" s="1" t="str">
        <f t="shared" si="1264"/>
        <v>45220</v>
      </c>
      <c r="B35082" s="1" t="str">
        <f>"32306"</f>
        <v>32306</v>
      </c>
      <c r="C35082" s="2">
        <v>0</v>
      </c>
      <c r="D35082" s="2">
        <v>1.5882259516120399E-4</v>
      </c>
      <c r="E35082" s="2">
        <v>1.51837230488915E-4</v>
      </c>
      <c r="F35082" s="2">
        <v>1.8772380197016101E-5</v>
      </c>
    </row>
    <row r="35083" spans="1:6" x14ac:dyDescent="0.25">
      <c r="A35083" s="1" t="str">
        <f t="shared" si="1264"/>
        <v>45220</v>
      </c>
      <c r="B35083" s="1" t="str">
        <f>"32344"</f>
        <v>32344</v>
      </c>
      <c r="C35083" s="2">
        <v>3.1710411291870098E-2</v>
      </c>
      <c r="D35083" s="2">
        <v>3.1235110381703599E-2</v>
      </c>
      <c r="E35083" s="2">
        <v>6.5290009110233801E-3</v>
      </c>
      <c r="F35083" s="2">
        <v>3.088995161419E-2</v>
      </c>
    </row>
    <row r="35084" spans="1:6" x14ac:dyDescent="0.25">
      <c r="A35084" s="1" t="str">
        <f t="shared" si="1264"/>
        <v>45220</v>
      </c>
      <c r="B35084" s="1" t="str">
        <f>"32399"</f>
        <v>32399</v>
      </c>
      <c r="C35084" s="2">
        <v>0</v>
      </c>
      <c r="D35084" s="2">
        <v>5.92937688601831E-3</v>
      </c>
      <c r="E35084" s="2">
        <v>8.5028849073792798E-3</v>
      </c>
      <c r="F35084" s="2">
        <v>7.8843996827467695E-4</v>
      </c>
    </row>
    <row r="35085" spans="1:6" x14ac:dyDescent="0.25">
      <c r="A35085" s="1" t="str">
        <f t="shared" si="1264"/>
        <v>45220</v>
      </c>
      <c r="B35085" s="1" t="str">
        <f>"32358"</f>
        <v>32358</v>
      </c>
      <c r="C35085" s="2">
        <v>1.07833521673311E-2</v>
      </c>
      <c r="D35085" s="2">
        <v>4.4999735295674697E-3</v>
      </c>
      <c r="E35085" s="2">
        <v>3.0367446097783097E-4</v>
      </c>
      <c r="F35085" s="2">
        <v>9.9024305539260008E-3</v>
      </c>
    </row>
    <row r="35086" spans="1:6" x14ac:dyDescent="0.25">
      <c r="A35086" s="1" t="str">
        <f t="shared" si="1264"/>
        <v>45220</v>
      </c>
      <c r="B35086" s="1" t="str">
        <f>"32315"</f>
        <v>32315</v>
      </c>
      <c r="C35086" s="2">
        <v>6.9188290228353296E-3</v>
      </c>
      <c r="D35086" s="2">
        <v>1.8794007094075901E-2</v>
      </c>
      <c r="E35086" s="2">
        <v>3.0367446097783097E-4</v>
      </c>
      <c r="F35086" s="2">
        <v>7.7670723065154197E-3</v>
      </c>
    </row>
    <row r="35087" spans="1:6" x14ac:dyDescent="0.25">
      <c r="A35087" s="1" t="str">
        <f t="shared" si="1264"/>
        <v>45220</v>
      </c>
      <c r="B35087" s="1" t="str">
        <f>"32313"</f>
        <v>32313</v>
      </c>
      <c r="C35087" s="2">
        <v>0</v>
      </c>
      <c r="D35087" s="2">
        <v>5.29408650537349E-5</v>
      </c>
      <c r="E35087" s="2">
        <v>0</v>
      </c>
      <c r="F35087" s="2">
        <v>4.6930950492540304E-6</v>
      </c>
    </row>
    <row r="35088" spans="1:6" x14ac:dyDescent="0.25">
      <c r="A35088" s="1" t="str">
        <f t="shared" si="1264"/>
        <v>45220</v>
      </c>
      <c r="B35088" s="1" t="str">
        <f>"32327"</f>
        <v>32327</v>
      </c>
      <c r="C35088" s="2">
        <v>6.4033815910108496E-2</v>
      </c>
      <c r="D35088" s="2">
        <v>3.1393932976864797E-2</v>
      </c>
      <c r="E35088" s="2">
        <v>2.5204980261160002E-2</v>
      </c>
      <c r="F35088" s="2">
        <v>5.9940209969072497E-2</v>
      </c>
    </row>
    <row r="35089" spans="1:6" x14ac:dyDescent="0.25">
      <c r="A35089" s="1" t="str">
        <f t="shared" si="1264"/>
        <v>45220</v>
      </c>
      <c r="B35089" s="1" t="str">
        <f>"32343"</f>
        <v>32343</v>
      </c>
      <c r="C35089" s="2">
        <v>8.1927890663311999E-3</v>
      </c>
      <c r="D35089" s="2">
        <v>7.7823071628990402E-3</v>
      </c>
      <c r="E35089" s="2">
        <v>2.12572122684482E-3</v>
      </c>
      <c r="F35089" s="2">
        <v>7.9688753936333397E-3</v>
      </c>
    </row>
    <row r="35090" spans="1:6" x14ac:dyDescent="0.25">
      <c r="A35090" s="1" t="str">
        <f t="shared" si="1264"/>
        <v>45220</v>
      </c>
      <c r="B35090" s="1" t="str">
        <f>"32346"</f>
        <v>32346</v>
      </c>
      <c r="C35090" s="2">
        <v>5.1384831879917204E-3</v>
      </c>
      <c r="D35090" s="2">
        <v>3.8117422838689101E-3</v>
      </c>
      <c r="E35090" s="2">
        <v>2.42939568782265E-3</v>
      </c>
      <c r="F35090" s="2">
        <v>4.9371359918152398E-3</v>
      </c>
    </row>
    <row r="35091" spans="1:6" x14ac:dyDescent="0.25">
      <c r="A35091" s="1" t="str">
        <f t="shared" si="1264"/>
        <v>45220</v>
      </c>
      <c r="B35091" s="1" t="str">
        <f>"32352"</f>
        <v>32352</v>
      </c>
      <c r="C35091" s="2">
        <v>1.48610903818681E-2</v>
      </c>
      <c r="D35091" s="2">
        <v>2.5941023876330099E-3</v>
      </c>
      <c r="E35091" s="2">
        <v>1.21469784391132E-3</v>
      </c>
      <c r="F35091" s="2">
        <v>1.3351855415127701E-2</v>
      </c>
    </row>
    <row r="35092" spans="1:6" x14ac:dyDescent="0.25">
      <c r="A35092" s="1" t="str">
        <f t="shared" si="1264"/>
        <v>45220</v>
      </c>
      <c r="B35092" s="1" t="str">
        <f>"32318"</f>
        <v>32318</v>
      </c>
      <c r="C35092" s="2">
        <v>8.0968422848126907E-3</v>
      </c>
      <c r="D35092" s="2">
        <v>1.34999205887024E-2</v>
      </c>
      <c r="E35092" s="2">
        <v>3.0367446097783097E-4</v>
      </c>
      <c r="F35092" s="2">
        <v>8.3349368074751608E-3</v>
      </c>
    </row>
    <row r="35093" spans="1:6" x14ac:dyDescent="0.25">
      <c r="A35093" s="1" t="str">
        <f t="shared" si="1264"/>
        <v>45220</v>
      </c>
      <c r="B35093" s="1" t="str">
        <f>"32355"</f>
        <v>32355</v>
      </c>
      <c r="C35093" s="2">
        <v>0</v>
      </c>
      <c r="D35093" s="2">
        <v>5.29408650537349E-5</v>
      </c>
      <c r="E35093" s="2">
        <v>1.51837230488915E-4</v>
      </c>
      <c r="F35093" s="2">
        <v>9.3861900985080608E-6</v>
      </c>
    </row>
    <row r="35094" spans="1:6" x14ac:dyDescent="0.25">
      <c r="A35094" s="1" t="str">
        <f t="shared" si="1264"/>
        <v>45220</v>
      </c>
      <c r="B35094" s="1" t="str">
        <f>"32301"</f>
        <v>32301</v>
      </c>
      <c r="C35094" s="2">
        <v>8.3063260911281203E-2</v>
      </c>
      <c r="D35094" s="2">
        <v>0.17168722536926201</v>
      </c>
      <c r="E35094" s="2">
        <v>0.23458852110537501</v>
      </c>
      <c r="F35094" s="2">
        <v>9.5603039248353797E-2</v>
      </c>
    </row>
    <row r="35095" spans="1:6" x14ac:dyDescent="0.25">
      <c r="A35095" s="1" t="str">
        <f t="shared" si="1264"/>
        <v>45220</v>
      </c>
      <c r="B35095" s="1" t="str">
        <f>"32345"</f>
        <v>32345</v>
      </c>
      <c r="C35095" s="2">
        <v>5.2397603462612701E-3</v>
      </c>
      <c r="D35095" s="2">
        <v>7.2528985123616902E-3</v>
      </c>
      <c r="E35095" s="2">
        <v>3.0367446097783097E-4</v>
      </c>
      <c r="F35095" s="2">
        <v>5.2656526452630201E-3</v>
      </c>
    </row>
    <row r="35096" spans="1:6" x14ac:dyDescent="0.25">
      <c r="A35096" s="1" t="str">
        <f t="shared" si="1264"/>
        <v>45220</v>
      </c>
      <c r="B35096" s="1" t="str">
        <f>"32361"</f>
        <v>32361</v>
      </c>
      <c r="C35096" s="2">
        <v>0</v>
      </c>
      <c r="D35096" s="2">
        <v>5.29408650537349E-5</v>
      </c>
      <c r="E35096" s="2">
        <v>0</v>
      </c>
      <c r="F35096" s="2">
        <v>4.6930950492540304E-6</v>
      </c>
    </row>
    <row r="35097" spans="1:6" x14ac:dyDescent="0.25">
      <c r="A35097" s="1" t="str">
        <f t="shared" si="1264"/>
        <v>45220</v>
      </c>
      <c r="B35097" s="1" t="str">
        <f>"32305"</f>
        <v>32305</v>
      </c>
      <c r="C35097" s="2">
        <v>5.2370951578857503E-2</v>
      </c>
      <c r="D35097" s="2">
        <v>2.3505744083858301E-2</v>
      </c>
      <c r="E35097" s="2">
        <v>1.62465836623139E-2</v>
      </c>
      <c r="F35097" s="2">
        <v>4.8695554231059798E-2</v>
      </c>
    </row>
    <row r="35098" spans="1:6" x14ac:dyDescent="0.25">
      <c r="A35098" s="1" t="str">
        <f t="shared" si="1264"/>
        <v>45220</v>
      </c>
      <c r="B35098" s="1" t="str">
        <f>"32308"</f>
        <v>32308</v>
      </c>
      <c r="C35098" s="2">
        <v>6.5531651777147606E-2</v>
      </c>
      <c r="D35098" s="2">
        <v>0.131028641007994</v>
      </c>
      <c r="E35098" s="2">
        <v>0.159277254782872</v>
      </c>
      <c r="F35098" s="2">
        <v>7.4235377489100196E-2</v>
      </c>
    </row>
    <row r="35099" spans="1:6" x14ac:dyDescent="0.25">
      <c r="A35099" s="1" t="str">
        <f t="shared" si="1264"/>
        <v>45220</v>
      </c>
      <c r="B35099" s="1" t="str">
        <f>"32331"</f>
        <v>32331</v>
      </c>
      <c r="C35099" s="2">
        <v>2.00422165838681E-3</v>
      </c>
      <c r="D35099" s="2">
        <v>1.00587643602096E-3</v>
      </c>
      <c r="E35099" s="2">
        <v>3.0367446097783097E-4</v>
      </c>
      <c r="F35099" s="2">
        <v>1.86315873455385E-3</v>
      </c>
    </row>
    <row r="35100" spans="1:6" x14ac:dyDescent="0.25">
      <c r="A35100" s="1" t="str">
        <f t="shared" si="1264"/>
        <v>45220</v>
      </c>
      <c r="B35100" s="1" t="str">
        <f>"32314"</f>
        <v>32314</v>
      </c>
      <c r="C35100" s="2">
        <v>6.5403722735122901E-3</v>
      </c>
      <c r="D35100" s="2">
        <v>2.44586796548255E-2</v>
      </c>
      <c r="E35100" s="2">
        <v>3.0367446097783097E-4</v>
      </c>
      <c r="F35100" s="2">
        <v>7.9360237282885601E-3</v>
      </c>
    </row>
    <row r="35101" spans="1:6" x14ac:dyDescent="0.25">
      <c r="A35101" s="1" t="str">
        <f t="shared" si="1264"/>
        <v>45220</v>
      </c>
      <c r="B35101" s="1" t="str">
        <f>"32337"</f>
        <v>32337</v>
      </c>
      <c r="C35101" s="2">
        <v>0</v>
      </c>
      <c r="D35101" s="2">
        <v>0</v>
      </c>
      <c r="E35101" s="2">
        <v>1.51837230488915E-4</v>
      </c>
      <c r="F35101" s="2">
        <v>4.6930950492540304E-6</v>
      </c>
    </row>
    <row r="35102" spans="1:6" x14ac:dyDescent="0.25">
      <c r="A35102" s="1" t="str">
        <f t="shared" si="1264"/>
        <v>45220</v>
      </c>
      <c r="B35102" s="1" t="str">
        <f>"32304"</f>
        <v>32304</v>
      </c>
      <c r="C35102" s="2">
        <v>0.100712138333937</v>
      </c>
      <c r="D35102" s="2">
        <v>7.1311345227381001E-2</v>
      </c>
      <c r="E35102" s="2">
        <v>0.18949286365016699</v>
      </c>
      <c r="F35102" s="2">
        <v>0.100849919513419</v>
      </c>
    </row>
    <row r="35103" spans="1:6" x14ac:dyDescent="0.25">
      <c r="A35103" s="1" t="str">
        <f t="shared" si="1264"/>
        <v>45220</v>
      </c>
      <c r="B35103" s="1" t="str">
        <f>"32333"</f>
        <v>32333</v>
      </c>
      <c r="C35103" s="2">
        <v>3.0169932410822699E-2</v>
      </c>
      <c r="D35103" s="2">
        <v>1.8476361903753499E-2</v>
      </c>
      <c r="E35103" s="2">
        <v>3.6440935317339799E-3</v>
      </c>
      <c r="F35103" s="2">
        <v>2.8313442432149501E-2</v>
      </c>
    </row>
    <row r="35104" spans="1:6" x14ac:dyDescent="0.25">
      <c r="A35104" s="1" t="str">
        <f t="shared" si="1264"/>
        <v>45220</v>
      </c>
      <c r="B35104" s="1" t="str">
        <f>"32324"</f>
        <v>32324</v>
      </c>
      <c r="C35104" s="2">
        <v>1.1918722415300301E-2</v>
      </c>
      <c r="D35104" s="2">
        <v>1.09058182010694E-2</v>
      </c>
      <c r="E35104" s="2">
        <v>4.2514424536896399E-3</v>
      </c>
      <c r="F35104" s="2">
        <v>1.1591944771657399E-2</v>
      </c>
    </row>
    <row r="35105" spans="1:6" x14ac:dyDescent="0.25">
      <c r="A35105" s="1" t="str">
        <f t="shared" si="1264"/>
        <v>45220</v>
      </c>
      <c r="B35105" s="1" t="str">
        <f>"32302"</f>
        <v>32302</v>
      </c>
      <c r="C35105" s="2">
        <v>7.9422613590328494E-3</v>
      </c>
      <c r="D35105" s="2">
        <v>3.4199798824712697E-2</v>
      </c>
      <c r="E35105" s="2">
        <v>3.0367446097783097E-4</v>
      </c>
      <c r="F35105" s="2">
        <v>1.00338372153051E-2</v>
      </c>
    </row>
    <row r="35106" spans="1:6" x14ac:dyDescent="0.25">
      <c r="A35106" s="1" t="str">
        <f t="shared" si="1264"/>
        <v>45220</v>
      </c>
      <c r="B35106" s="1" t="str">
        <f>"32326"</f>
        <v>32326</v>
      </c>
      <c r="C35106" s="2">
        <v>7.1427048463785399E-3</v>
      </c>
      <c r="D35106" s="2">
        <v>1.0852877336015599E-2</v>
      </c>
      <c r="E35106" s="2">
        <v>3.0367446097783097E-4</v>
      </c>
      <c r="F35106" s="2">
        <v>7.2602180411959804E-3</v>
      </c>
    </row>
    <row r="35107" spans="1:6" x14ac:dyDescent="0.25">
      <c r="A35107" s="1" t="str">
        <f t="shared" si="1264"/>
        <v>45220</v>
      </c>
      <c r="B35107" s="1" t="str">
        <f>"32362"</f>
        <v>32362</v>
      </c>
      <c r="C35107" s="2">
        <v>0</v>
      </c>
      <c r="D35107" s="2">
        <v>0</v>
      </c>
      <c r="E35107" s="2">
        <v>1.51837230488915E-4</v>
      </c>
      <c r="F35107" s="2">
        <v>4.6930950492540304E-6</v>
      </c>
    </row>
    <row r="35108" spans="1:6" x14ac:dyDescent="0.25">
      <c r="A35108" s="1" t="str">
        <f t="shared" si="1264"/>
        <v>45220</v>
      </c>
      <c r="B35108" s="1" t="str">
        <f>"32307"</f>
        <v>32307</v>
      </c>
      <c r="C35108" s="2">
        <v>0</v>
      </c>
      <c r="D35108" s="2">
        <v>1.5882259516120399E-4</v>
      </c>
      <c r="E35108" s="2">
        <v>1.51837230488915E-4</v>
      </c>
      <c r="F35108" s="2">
        <v>1.8772380197016101E-5</v>
      </c>
    </row>
    <row r="35109" spans="1:6" x14ac:dyDescent="0.25">
      <c r="A35109" s="1" t="str">
        <f t="shared" si="1264"/>
        <v>45220</v>
      </c>
      <c r="B35109" s="1" t="str">
        <f>"32310"</f>
        <v>32310</v>
      </c>
      <c r="C35109" s="2">
        <v>5.0356069166968699E-2</v>
      </c>
      <c r="D35109" s="2">
        <v>3.49939118005188E-2</v>
      </c>
      <c r="E35109" s="2">
        <v>6.9085939872456703E-2</v>
      </c>
      <c r="F35109" s="2">
        <v>4.9573163005270302E-2</v>
      </c>
    </row>
    <row r="35110" spans="1:6" x14ac:dyDescent="0.25">
      <c r="A35110" s="1" t="str">
        <f t="shared" ref="A35110:A35173" si="1265">"45300"</f>
        <v>45300</v>
      </c>
      <c r="B35110" s="1" t="str">
        <f>"34668"</f>
        <v>34668</v>
      </c>
      <c r="C35110" s="2">
        <v>1.4931890760486601E-2</v>
      </c>
      <c r="D35110" s="2">
        <v>1.1668791777751999E-2</v>
      </c>
      <c r="E35110" s="2">
        <v>1.13136229482731E-2</v>
      </c>
      <c r="F35110" s="2">
        <v>1.4506734786908801E-2</v>
      </c>
    </row>
    <row r="35111" spans="1:6" x14ac:dyDescent="0.25">
      <c r="A35111" s="1" t="str">
        <f t="shared" si="1265"/>
        <v>45300</v>
      </c>
      <c r="B35111" s="1" t="str">
        <f>"34683"</f>
        <v>34683</v>
      </c>
      <c r="C35111" s="2">
        <v>9.3026650527202499E-3</v>
      </c>
      <c r="D35111" s="2">
        <v>5.1582241799003102E-3</v>
      </c>
      <c r="E35111" s="2">
        <v>9.7214311603583004E-3</v>
      </c>
      <c r="F35111" s="2">
        <v>8.9721453604350593E-3</v>
      </c>
    </row>
    <row r="35112" spans="1:6" x14ac:dyDescent="0.25">
      <c r="A35112" s="1" t="str">
        <f t="shared" si="1265"/>
        <v>45300</v>
      </c>
      <c r="B35112" s="1" t="str">
        <f>"34689"</f>
        <v>34689</v>
      </c>
      <c r="C35112" s="2">
        <v>8.9525780567202701E-3</v>
      </c>
      <c r="D35112" s="2">
        <v>1.30726530401967E-2</v>
      </c>
      <c r="E35112" s="2">
        <v>9.0741987262465598E-3</v>
      </c>
      <c r="F35112" s="2">
        <v>9.3036258996073602E-3</v>
      </c>
    </row>
    <row r="35113" spans="1:6" x14ac:dyDescent="0.25">
      <c r="A35113" s="1" t="str">
        <f t="shared" si="1265"/>
        <v>45300</v>
      </c>
      <c r="B35113" s="1" t="str">
        <f>"34638"</f>
        <v>34638</v>
      </c>
      <c r="C35113" s="2">
        <v>7.4631620030666604E-3</v>
      </c>
      <c r="D35113" s="2">
        <v>3.1168295918498701E-3</v>
      </c>
      <c r="E35113" s="2">
        <v>1.7993061668306299E-3</v>
      </c>
      <c r="F35113" s="2">
        <v>6.8615930857377303E-3</v>
      </c>
    </row>
    <row r="35114" spans="1:6" x14ac:dyDescent="0.25">
      <c r="A35114" s="1" t="str">
        <f t="shared" si="1265"/>
        <v>45300</v>
      </c>
      <c r="B35114" s="1" t="str">
        <f>"34604"</f>
        <v>34604</v>
      </c>
      <c r="C35114" s="2">
        <v>3.50952935566055E-3</v>
      </c>
      <c r="D35114" s="2">
        <v>3.1554679752199099E-3</v>
      </c>
      <c r="E35114" s="2">
        <v>9.0612540775643306E-5</v>
      </c>
      <c r="F35114" s="2">
        <v>3.3369761945060698E-3</v>
      </c>
    </row>
    <row r="35115" spans="1:6" x14ac:dyDescent="0.25">
      <c r="A35115" s="1" t="str">
        <f t="shared" si="1265"/>
        <v>45300</v>
      </c>
      <c r="B35115" s="1" t="str">
        <f>"33711"</f>
        <v>33711</v>
      </c>
      <c r="C35115" s="2">
        <v>5.7560240013706503E-3</v>
      </c>
      <c r="D35115" s="2">
        <v>4.4176551653078797E-3</v>
      </c>
      <c r="E35115" s="2">
        <v>8.0774607777144899E-3</v>
      </c>
      <c r="F35115" s="2">
        <v>5.74061566697074E-3</v>
      </c>
    </row>
    <row r="35116" spans="1:6" x14ac:dyDescent="0.25">
      <c r="A35116" s="1" t="str">
        <f t="shared" si="1265"/>
        <v>45300</v>
      </c>
      <c r="B35116" s="1" t="str">
        <f>"33687"</f>
        <v>33687</v>
      </c>
      <c r="C35116" s="2">
        <v>1.3255060643603299E-3</v>
      </c>
      <c r="D35116" s="2">
        <v>3.09751040016485E-3</v>
      </c>
      <c r="E35116" s="2">
        <v>2.58892973644695E-5</v>
      </c>
      <c r="F35116" s="2">
        <v>1.4200128806956601E-3</v>
      </c>
    </row>
    <row r="35117" spans="1:6" x14ac:dyDescent="0.25">
      <c r="A35117" s="1" t="str">
        <f t="shared" si="1265"/>
        <v>45300</v>
      </c>
      <c r="B35117" s="1" t="str">
        <f>"33714"</f>
        <v>33714</v>
      </c>
      <c r="C35117" s="2">
        <v>6.8384484589677601E-3</v>
      </c>
      <c r="D35117" s="2">
        <v>5.5703669358473998E-3</v>
      </c>
      <c r="E35117" s="2">
        <v>1.06146119194325E-2</v>
      </c>
      <c r="F35117" s="2">
        <v>6.8897121526822003E-3</v>
      </c>
    </row>
    <row r="35118" spans="1:6" x14ac:dyDescent="0.25">
      <c r="A35118" s="1" t="str">
        <f t="shared" si="1265"/>
        <v>45300</v>
      </c>
      <c r="B35118" s="1" t="str">
        <f>"33573"</f>
        <v>33573</v>
      </c>
      <c r="C35118" s="2">
        <v>1.17334811203526E-2</v>
      </c>
      <c r="D35118" s="2">
        <v>3.2842625864533798E-3</v>
      </c>
      <c r="E35118" s="2">
        <v>6.8218298555377203E-3</v>
      </c>
      <c r="F35118" s="2">
        <v>1.08188110068843E-2</v>
      </c>
    </row>
    <row r="35119" spans="1:6" x14ac:dyDescent="0.25">
      <c r="A35119" s="1" t="str">
        <f t="shared" si="1265"/>
        <v>45300</v>
      </c>
      <c r="B35119" s="1" t="str">
        <f>"33612"</f>
        <v>33612</v>
      </c>
      <c r="C35119" s="2">
        <v>1.2900643949773E-2</v>
      </c>
      <c r="D35119" s="2">
        <v>1.7142562755174302E-2</v>
      </c>
      <c r="E35119" s="2">
        <v>3.7254698907471601E-2</v>
      </c>
      <c r="F35119" s="2">
        <v>1.42742117333295E-2</v>
      </c>
    </row>
    <row r="35120" spans="1:6" x14ac:dyDescent="0.25">
      <c r="A35120" s="1" t="str">
        <f t="shared" si="1265"/>
        <v>45300</v>
      </c>
      <c r="B35120" s="1" t="str">
        <f>"33568"</f>
        <v>33568</v>
      </c>
      <c r="C35120" s="2">
        <v>1.22839712730734E-3</v>
      </c>
      <c r="D35120" s="2">
        <v>4.9070746879950498E-3</v>
      </c>
      <c r="E35120" s="2">
        <v>2.58892973644695E-5</v>
      </c>
      <c r="F35120" s="2">
        <v>1.48706604033247E-3</v>
      </c>
    </row>
    <row r="35121" spans="1:6" x14ac:dyDescent="0.25">
      <c r="A35121" s="1" t="str">
        <f t="shared" si="1265"/>
        <v>45300</v>
      </c>
      <c r="B35121" s="1" t="str">
        <f>"33765"</f>
        <v>33765</v>
      </c>
      <c r="C35121" s="2">
        <v>4.3099049260209204E-3</v>
      </c>
      <c r="D35121" s="2">
        <v>1.2357842947851E-2</v>
      </c>
      <c r="E35121" s="2">
        <v>6.8477191529021904E-3</v>
      </c>
      <c r="F35121" s="2">
        <v>5.0917141220983902E-3</v>
      </c>
    </row>
    <row r="35122" spans="1:6" x14ac:dyDescent="0.25">
      <c r="A35122" s="1" t="str">
        <f t="shared" si="1265"/>
        <v>45300</v>
      </c>
      <c r="B35122" s="1" t="str">
        <f>"33764"</f>
        <v>33764</v>
      </c>
      <c r="C35122" s="2">
        <v>9.7288310248827697E-3</v>
      </c>
      <c r="D35122" s="2">
        <v>6.2014605308913801E-3</v>
      </c>
      <c r="E35122" s="2">
        <v>5.5532542846787099E-3</v>
      </c>
      <c r="F35122" s="2">
        <v>9.2582027914662902E-3</v>
      </c>
    </row>
    <row r="35123" spans="1:6" x14ac:dyDescent="0.25">
      <c r="A35123" s="1" t="str">
        <f t="shared" si="1265"/>
        <v>45300</v>
      </c>
      <c r="B35123" s="1" t="str">
        <f>"33774"</f>
        <v>33774</v>
      </c>
      <c r="C35123" s="2">
        <v>6.1865196713635599E-3</v>
      </c>
      <c r="D35123" s="2">
        <v>3.79300130082557E-3</v>
      </c>
      <c r="E35123" s="2">
        <v>4.3623466059131101E-3</v>
      </c>
      <c r="F35123" s="2">
        <v>5.90933006863756E-3</v>
      </c>
    </row>
    <row r="35124" spans="1:6" x14ac:dyDescent="0.25">
      <c r="A35124" s="1" t="str">
        <f t="shared" si="1265"/>
        <v>45300</v>
      </c>
      <c r="B35124" s="1" t="str">
        <f>"33543"</f>
        <v>33543</v>
      </c>
      <c r="C35124" s="2">
        <v>8.807842443533E-3</v>
      </c>
      <c r="D35124" s="2">
        <v>2.4342181523125E-3</v>
      </c>
      <c r="E35124" s="2">
        <v>1.73458292341945E-3</v>
      </c>
      <c r="F35124" s="2">
        <v>7.9771629916307908E-3</v>
      </c>
    </row>
    <row r="35125" spans="1:6" x14ac:dyDescent="0.25">
      <c r="A35125" s="1" t="str">
        <f t="shared" si="1265"/>
        <v>45300</v>
      </c>
      <c r="B35125" s="1" t="str">
        <f>"33545"</f>
        <v>33545</v>
      </c>
      <c r="C35125" s="2">
        <v>5.4263484379996497E-3</v>
      </c>
      <c r="D35125" s="2">
        <v>2.2217070437772798E-3</v>
      </c>
      <c r="E35125" s="2">
        <v>8.1551286698079001E-4</v>
      </c>
      <c r="F35125" s="2">
        <v>4.9646375695608898E-3</v>
      </c>
    </row>
    <row r="35126" spans="1:6" x14ac:dyDescent="0.25">
      <c r="A35126" s="1" t="str">
        <f t="shared" si="1265"/>
        <v>45300</v>
      </c>
      <c r="B35126" s="1" t="str">
        <f>"33548"</f>
        <v>33548</v>
      </c>
      <c r="C35126" s="2">
        <v>3.0295514247489202E-3</v>
      </c>
      <c r="D35126" s="2">
        <v>5.1324652576536104E-3</v>
      </c>
      <c r="E35126" s="2">
        <v>1.8640294102418001E-3</v>
      </c>
      <c r="F35126" s="2">
        <v>3.1574467670913899E-3</v>
      </c>
    </row>
    <row r="35127" spans="1:6" x14ac:dyDescent="0.25">
      <c r="A35127" s="1" t="str">
        <f t="shared" si="1265"/>
        <v>45300</v>
      </c>
      <c r="B35127" s="1" t="str">
        <f>"33849"</f>
        <v>33849</v>
      </c>
      <c r="C35127" s="2">
        <v>1.60817347985855E-5</v>
      </c>
      <c r="D35127" s="2">
        <v>0</v>
      </c>
      <c r="E35127" s="2">
        <v>0</v>
      </c>
      <c r="F35127" s="2">
        <v>1.40595334722343E-5</v>
      </c>
    </row>
    <row r="35128" spans="1:6" x14ac:dyDescent="0.25">
      <c r="A35128" s="1" t="str">
        <f t="shared" si="1265"/>
        <v>45300</v>
      </c>
      <c r="B35128" s="1" t="str">
        <f>"34692"</f>
        <v>34692</v>
      </c>
      <c r="C35128" s="2">
        <v>4.3915506565368197E-4</v>
      </c>
      <c r="D35128" s="2">
        <v>9.4020066200430096E-4</v>
      </c>
      <c r="E35128" s="2">
        <v>2.58892973644695E-5</v>
      </c>
      <c r="F35128" s="2">
        <v>4.6396460458373201E-4</v>
      </c>
    </row>
    <row r="35129" spans="1:6" x14ac:dyDescent="0.25">
      <c r="A35129" s="1" t="str">
        <f t="shared" si="1265"/>
        <v>45300</v>
      </c>
      <c r="B35129" s="1" t="str">
        <f>"33675"</f>
        <v>33675</v>
      </c>
      <c r="C35129" s="2">
        <v>1.27045704908825E-3</v>
      </c>
      <c r="D35129" s="2">
        <v>3.4903339644269198E-3</v>
      </c>
      <c r="E35129" s="2">
        <v>2.58892973644695E-5</v>
      </c>
      <c r="F35129" s="2">
        <v>1.4048718446486399E-3</v>
      </c>
    </row>
    <row r="35130" spans="1:6" x14ac:dyDescent="0.25">
      <c r="A35130" s="1" t="str">
        <f t="shared" si="1265"/>
        <v>45300</v>
      </c>
      <c r="B35130" s="1" t="str">
        <f>"33637"</f>
        <v>33637</v>
      </c>
      <c r="C35130" s="2">
        <v>5.0131715593283001E-3</v>
      </c>
      <c r="D35130" s="2">
        <v>3.8123204925105902E-3</v>
      </c>
      <c r="E35130" s="2">
        <v>6.3817118003417304E-3</v>
      </c>
      <c r="F35130" s="2">
        <v>4.9695043311474302E-3</v>
      </c>
    </row>
    <row r="35131" spans="1:6" x14ac:dyDescent="0.25">
      <c r="A35131" s="1" t="str">
        <f t="shared" si="1265"/>
        <v>45300</v>
      </c>
      <c r="B35131" s="1" t="str">
        <f>"33703"</f>
        <v>33703</v>
      </c>
      <c r="C35131" s="2">
        <v>7.5584153553352003E-3</v>
      </c>
      <c r="D35131" s="2">
        <v>2.3118632716407099E-3</v>
      </c>
      <c r="E35131" s="2">
        <v>3.3914979547454999E-3</v>
      </c>
      <c r="F35131" s="2">
        <v>6.94378728142157E-3</v>
      </c>
    </row>
    <row r="35132" spans="1:6" x14ac:dyDescent="0.25">
      <c r="A35132" s="1" t="str">
        <f t="shared" si="1265"/>
        <v>45300</v>
      </c>
      <c r="B35132" s="1" t="str">
        <f>"33709"</f>
        <v>33709</v>
      </c>
      <c r="C35132" s="2">
        <v>9.0193791089605499E-3</v>
      </c>
      <c r="D35132" s="2">
        <v>6.7617170897569601E-3</v>
      </c>
      <c r="E35132" s="2">
        <v>9.7473204577227697E-3</v>
      </c>
      <c r="F35132" s="2">
        <v>8.86020984394458E-3</v>
      </c>
    </row>
    <row r="35133" spans="1:6" x14ac:dyDescent="0.25">
      <c r="A35133" s="1" t="str">
        <f t="shared" si="1265"/>
        <v>45300</v>
      </c>
      <c r="B35133" s="1" t="str">
        <f>"33618"</f>
        <v>33618</v>
      </c>
      <c r="C35133" s="2">
        <v>7.7167585902751202E-3</v>
      </c>
      <c r="D35133" s="2">
        <v>1.07092719240626E-2</v>
      </c>
      <c r="E35133" s="2">
        <v>1.0718169108890299E-2</v>
      </c>
      <c r="F35133" s="2">
        <v>8.0934245184204195E-3</v>
      </c>
    </row>
    <row r="35134" spans="1:6" x14ac:dyDescent="0.25">
      <c r="A35134" s="1" t="str">
        <f t="shared" si="1265"/>
        <v>45300</v>
      </c>
      <c r="B35134" s="1" t="str">
        <f>"33619"</f>
        <v>33619</v>
      </c>
      <c r="C35134" s="2">
        <v>9.7622315510029097E-3</v>
      </c>
      <c r="D35134" s="2">
        <v>2.50827505377175E-2</v>
      </c>
      <c r="E35134" s="2">
        <v>2.1073888054678101E-2</v>
      </c>
      <c r="F35134" s="2">
        <v>1.15212469292086E-2</v>
      </c>
    </row>
    <row r="35135" spans="1:6" x14ac:dyDescent="0.25">
      <c r="A35135" s="1" t="str">
        <f t="shared" si="1265"/>
        <v>45300</v>
      </c>
      <c r="B35135" s="1" t="str">
        <f>"33634"</f>
        <v>33634</v>
      </c>
      <c r="C35135" s="2">
        <v>5.1919262268971898E-3</v>
      </c>
      <c r="D35135" s="2">
        <v>1.5133366819932201E-2</v>
      </c>
      <c r="E35135" s="2">
        <v>8.5434681302749404E-3</v>
      </c>
      <c r="F35135" s="2">
        <v>6.1667276814369202E-3</v>
      </c>
    </row>
    <row r="35136" spans="1:6" x14ac:dyDescent="0.25">
      <c r="A35136" s="1" t="str">
        <f t="shared" si="1265"/>
        <v>45300</v>
      </c>
      <c r="B35136" s="1" t="str">
        <f>"33708"</f>
        <v>33708</v>
      </c>
      <c r="C35136" s="2">
        <v>8.1194204885012503E-3</v>
      </c>
      <c r="D35136" s="2">
        <v>6.3173756810015001E-3</v>
      </c>
      <c r="E35136" s="2">
        <v>1.51711282555791E-2</v>
      </c>
      <c r="F35136" s="2">
        <v>8.2626796713746193E-3</v>
      </c>
    </row>
    <row r="35137" spans="1:6" x14ac:dyDescent="0.25">
      <c r="A35137" s="1" t="str">
        <f t="shared" si="1265"/>
        <v>45300</v>
      </c>
      <c r="B35137" s="1" t="str">
        <f>"33681"</f>
        <v>33681</v>
      </c>
      <c r="C35137" s="2">
        <v>7.0635927461479601E-4</v>
      </c>
      <c r="D35137" s="2">
        <v>2.2667851577089998E-3</v>
      </c>
      <c r="E35137" s="2">
        <v>2.58892973644695E-5</v>
      </c>
      <c r="F35137" s="2">
        <v>8.0896392594086597E-4</v>
      </c>
    </row>
    <row r="35138" spans="1:6" x14ac:dyDescent="0.25">
      <c r="A35138" s="1" t="str">
        <f t="shared" si="1265"/>
        <v>45300</v>
      </c>
      <c r="B35138" s="1" t="str">
        <f>"33579"</f>
        <v>33579</v>
      </c>
      <c r="C35138" s="2">
        <v>9.1548367982255598E-3</v>
      </c>
      <c r="D35138" s="2">
        <v>1.3330242262663699E-3</v>
      </c>
      <c r="E35138" s="2">
        <v>5.1778594728939E-5</v>
      </c>
      <c r="F35138" s="2">
        <v>8.1177583263531295E-3</v>
      </c>
    </row>
    <row r="35139" spans="1:6" x14ac:dyDescent="0.25">
      <c r="A35139" s="1" t="str">
        <f t="shared" si="1265"/>
        <v>45300</v>
      </c>
      <c r="B35139" s="1" t="str">
        <f>"33604"</f>
        <v>33604</v>
      </c>
      <c r="C35139" s="2">
        <v>1.03949859625011E-2</v>
      </c>
      <c r="D35139" s="2">
        <v>9.7819507231817395E-3</v>
      </c>
      <c r="E35139" s="2">
        <v>2.1591674001967501E-2</v>
      </c>
      <c r="F35139" s="2">
        <v>1.08112404888607E-2</v>
      </c>
    </row>
    <row r="35140" spans="1:6" x14ac:dyDescent="0.25">
      <c r="A35140" s="1" t="str">
        <f t="shared" si="1265"/>
        <v>45300</v>
      </c>
      <c r="B35140" s="1" t="str">
        <f>"33607"</f>
        <v>33607</v>
      </c>
      <c r="C35140" s="2">
        <v>8.1769436168192596E-3</v>
      </c>
      <c r="D35140" s="2">
        <v>2.1998119598675901E-2</v>
      </c>
      <c r="E35140" s="2">
        <v>1.42650028478227E-2</v>
      </c>
      <c r="F35140" s="2">
        <v>9.5918463357881605E-3</v>
      </c>
    </row>
    <row r="35141" spans="1:6" x14ac:dyDescent="0.25">
      <c r="A35141" s="1" t="str">
        <f t="shared" si="1265"/>
        <v>45300</v>
      </c>
      <c r="B35141" s="1" t="str">
        <f>"33572"</f>
        <v>33572</v>
      </c>
      <c r="C35141" s="2">
        <v>6.8891677764094496E-3</v>
      </c>
      <c r="D35141" s="2">
        <v>4.0956686372242103E-3</v>
      </c>
      <c r="E35141" s="2">
        <v>1.54041319318593E-3</v>
      </c>
      <c r="F35141" s="2">
        <v>6.4311550609724103E-3</v>
      </c>
    </row>
    <row r="35142" spans="1:6" x14ac:dyDescent="0.25">
      <c r="A35142" s="1" t="str">
        <f t="shared" si="1265"/>
        <v>45300</v>
      </c>
      <c r="B35142" s="1" t="str">
        <f>"33614"</f>
        <v>33614</v>
      </c>
      <c r="C35142" s="2">
        <v>1.2935281532416101E-2</v>
      </c>
      <c r="D35142" s="2">
        <v>1.70588462578725E-2</v>
      </c>
      <c r="E35142" s="2">
        <v>3.4665769171024603E-2</v>
      </c>
      <c r="F35142" s="2">
        <v>1.41893137812087E-2</v>
      </c>
    </row>
    <row r="35143" spans="1:6" x14ac:dyDescent="0.25">
      <c r="A35143" s="1" t="str">
        <f t="shared" si="1265"/>
        <v>45300</v>
      </c>
      <c r="B35143" s="1" t="str">
        <f>"33601"</f>
        <v>33601</v>
      </c>
      <c r="C35143" s="2">
        <v>5.6038660490455696E-4</v>
      </c>
      <c r="D35143" s="2">
        <v>2.1766289298455698E-3</v>
      </c>
      <c r="E35143" s="2">
        <v>2.58892973644695E-5</v>
      </c>
      <c r="F35143" s="2">
        <v>6.73776104092459E-4</v>
      </c>
    </row>
    <row r="35144" spans="1:6" x14ac:dyDescent="0.25">
      <c r="A35144" s="1" t="str">
        <f t="shared" si="1265"/>
        <v>45300</v>
      </c>
      <c r="B35144" s="1" t="str">
        <f>"33779"</f>
        <v>33779</v>
      </c>
      <c r="C35144" s="2">
        <v>1.15726637723667E-3</v>
      </c>
      <c r="D35144" s="2">
        <v>3.1232693224115498E-3</v>
      </c>
      <c r="E35144" s="2">
        <v>2.58892973644695E-5</v>
      </c>
      <c r="F35144" s="2">
        <v>1.2750915356741701E-3</v>
      </c>
    </row>
    <row r="35145" spans="1:6" x14ac:dyDescent="0.25">
      <c r="A35145" s="1" t="str">
        <f t="shared" si="1265"/>
        <v>45300</v>
      </c>
      <c r="B35145" s="1" t="str">
        <f>"34614"</f>
        <v>34614</v>
      </c>
      <c r="C35145" s="2">
        <v>2.1766009521624E-3</v>
      </c>
      <c r="D35145" s="2">
        <v>3.21986528083664E-4</v>
      </c>
      <c r="E35145" s="2">
        <v>3.8833946046704197E-5</v>
      </c>
      <c r="F35145" s="2">
        <v>1.93156359857003E-3</v>
      </c>
    </row>
    <row r="35146" spans="1:6" x14ac:dyDescent="0.25">
      <c r="A35146" s="1" t="str">
        <f t="shared" si="1265"/>
        <v>45300</v>
      </c>
      <c r="B35146" s="1" t="str">
        <f>"34637"</f>
        <v>34637</v>
      </c>
      <c r="C35146" s="2">
        <v>2.5149359111941798E-3</v>
      </c>
      <c r="D35146" s="2">
        <v>2.3827003078191199E-4</v>
      </c>
      <c r="E35146" s="2">
        <v>6.7312173147620702E-4</v>
      </c>
      <c r="F35146" s="2">
        <v>2.2468215991205201E-3</v>
      </c>
    </row>
    <row r="35147" spans="1:6" x14ac:dyDescent="0.25">
      <c r="A35147" s="1" t="str">
        <f t="shared" si="1265"/>
        <v>45300</v>
      </c>
      <c r="B35147" s="1" t="str">
        <f>"34684"</f>
        <v>34684</v>
      </c>
      <c r="C35147" s="2">
        <v>9.12762155472026E-3</v>
      </c>
      <c r="D35147" s="2">
        <v>7.9144288602964793E-3</v>
      </c>
      <c r="E35147" s="2">
        <v>1.20126339771138E-2</v>
      </c>
      <c r="F35147" s="2">
        <v>9.1462672749758108E-3</v>
      </c>
    </row>
    <row r="35148" spans="1:6" x14ac:dyDescent="0.25">
      <c r="A35148" s="1" t="str">
        <f t="shared" si="1265"/>
        <v>45300</v>
      </c>
      <c r="B35148" s="1" t="str">
        <f>"34695"</f>
        <v>34695</v>
      </c>
      <c r="C35148" s="2">
        <v>6.05106198209855E-3</v>
      </c>
      <c r="D35148" s="2">
        <v>7.8693507463647693E-3</v>
      </c>
      <c r="E35148" s="2">
        <v>5.6309221767721204E-3</v>
      </c>
      <c r="F35148" s="2">
        <v>6.1861947277830898E-3</v>
      </c>
    </row>
    <row r="35149" spans="1:6" x14ac:dyDescent="0.25">
      <c r="A35149" s="1" t="str">
        <f t="shared" si="1265"/>
        <v>45300</v>
      </c>
      <c r="B35149" s="1" t="str">
        <f>"34697"</f>
        <v>34697</v>
      </c>
      <c r="C35149" s="2">
        <v>9.9583050098933494E-4</v>
      </c>
      <c r="D35149" s="2">
        <v>2.9107582138763301E-3</v>
      </c>
      <c r="E35149" s="2">
        <v>2.58892973644695E-5</v>
      </c>
      <c r="F35149" s="2">
        <v>1.1161106571804401E-3</v>
      </c>
    </row>
    <row r="35150" spans="1:6" x14ac:dyDescent="0.25">
      <c r="A35150" s="1" t="str">
        <f t="shared" si="1265"/>
        <v>45300</v>
      </c>
      <c r="B35150" s="1" t="str">
        <f>"33586"</f>
        <v>33586</v>
      </c>
      <c r="C35150" s="2">
        <v>0</v>
      </c>
      <c r="D35150" s="2">
        <v>0</v>
      </c>
      <c r="E35150" s="2">
        <v>3.8833946046704197E-5</v>
      </c>
      <c r="F35150" s="2">
        <v>1.6222538621808799E-6</v>
      </c>
    </row>
    <row r="35151" spans="1:6" x14ac:dyDescent="0.25">
      <c r="A35151" s="1" t="str">
        <f t="shared" si="1265"/>
        <v>45300</v>
      </c>
      <c r="B35151" s="1" t="str">
        <f>"33809"</f>
        <v>33809</v>
      </c>
      <c r="C35151" s="2">
        <v>6.1852826148405901E-6</v>
      </c>
      <c r="D35151" s="2">
        <v>0</v>
      </c>
      <c r="E35151" s="2">
        <v>0</v>
      </c>
      <c r="F35151" s="2">
        <v>5.4075128739362703E-6</v>
      </c>
    </row>
    <row r="35152" spans="1:6" x14ac:dyDescent="0.25">
      <c r="A35152" s="1" t="str">
        <f t="shared" si="1265"/>
        <v>45300</v>
      </c>
      <c r="B35152" s="1" t="str">
        <f>"33503"</f>
        <v>33503</v>
      </c>
      <c r="C35152" s="2">
        <v>0</v>
      </c>
      <c r="D35152" s="2">
        <v>0</v>
      </c>
      <c r="E35152" s="2">
        <v>1.2944648682234699E-5</v>
      </c>
      <c r="F35152" s="2">
        <v>5.4075128739362699E-7</v>
      </c>
    </row>
    <row r="35153" spans="1:6" x14ac:dyDescent="0.25">
      <c r="A35153" s="1" t="str">
        <f t="shared" si="1265"/>
        <v>45300</v>
      </c>
      <c r="B35153" s="1" t="str">
        <f>"33508"</f>
        <v>33508</v>
      </c>
      <c r="C35153" s="2">
        <v>4.1998068954767598E-4</v>
      </c>
      <c r="D35153" s="2">
        <v>1.52621614311657E-3</v>
      </c>
      <c r="E35153" s="2">
        <v>2.58892973644695E-5</v>
      </c>
      <c r="F35153" s="2">
        <v>4.9640968182734996E-4</v>
      </c>
    </row>
    <row r="35154" spans="1:6" x14ac:dyDescent="0.25">
      <c r="A35154" s="1" t="str">
        <f t="shared" si="1265"/>
        <v>45300</v>
      </c>
      <c r="B35154" s="1" t="str">
        <f>"33734"</f>
        <v>33734</v>
      </c>
      <c r="C35154" s="2">
        <v>5.3255283313777496E-4</v>
      </c>
      <c r="D35154" s="2">
        <v>2.0671535102971201E-3</v>
      </c>
      <c r="E35154" s="2">
        <v>2.58892973644695E-5</v>
      </c>
      <c r="F35154" s="2">
        <v>6.4024952427405404E-4</v>
      </c>
    </row>
    <row r="35155" spans="1:6" x14ac:dyDescent="0.25">
      <c r="A35155" s="1" t="str">
        <f t="shared" si="1265"/>
        <v>45300</v>
      </c>
      <c r="B35155" s="1" t="str">
        <f>"33596"</f>
        <v>33596</v>
      </c>
      <c r="C35155" s="2">
        <v>6.6411379435543398E-3</v>
      </c>
      <c r="D35155" s="2">
        <v>2.4599770745591999E-3</v>
      </c>
      <c r="E35155" s="2">
        <v>4.2717340651374702E-4</v>
      </c>
      <c r="F35155" s="2">
        <v>6.03045835701373E-3</v>
      </c>
    </row>
    <row r="35156" spans="1:6" x14ac:dyDescent="0.25">
      <c r="A35156" s="1" t="str">
        <f t="shared" si="1265"/>
        <v>45300</v>
      </c>
      <c r="B35156" s="1" t="str">
        <f>"33598"</f>
        <v>33598</v>
      </c>
      <c r="C35156" s="2">
        <v>6.5730998347910997E-3</v>
      </c>
      <c r="D35156" s="2">
        <v>1.62281210154167E-3</v>
      </c>
      <c r="E35156" s="2">
        <v>2.4594832496246E-4</v>
      </c>
      <c r="F35156" s="2">
        <v>5.8931075300157499E-3</v>
      </c>
    </row>
    <row r="35157" spans="1:6" x14ac:dyDescent="0.25">
      <c r="A35157" s="1" t="str">
        <f t="shared" si="1265"/>
        <v>45300</v>
      </c>
      <c r="B35157" s="1" t="str">
        <f>"33566"</f>
        <v>33566</v>
      </c>
      <c r="C35157" s="2">
        <v>5.1430624942399496E-3</v>
      </c>
      <c r="D35157" s="2">
        <v>3.4581353116185602E-3</v>
      </c>
      <c r="E35157" s="2">
        <v>3.5079997928856199E-3</v>
      </c>
      <c r="F35157" s="2">
        <v>4.9332739948920604E-3</v>
      </c>
    </row>
    <row r="35158" spans="1:6" x14ac:dyDescent="0.25">
      <c r="A35158" s="1" t="str">
        <f t="shared" si="1265"/>
        <v>45300</v>
      </c>
      <c r="B35158" s="1" t="str">
        <f>"33558"</f>
        <v>33558</v>
      </c>
      <c r="C35158" s="2">
        <v>7.3246116724942304E-3</v>
      </c>
      <c r="D35158" s="2">
        <v>2.78840333320453E-3</v>
      </c>
      <c r="E35158" s="2">
        <v>1.1701962408740199E-2</v>
      </c>
      <c r="F35158" s="2">
        <v>7.1265612165606097E-3</v>
      </c>
    </row>
    <row r="35159" spans="1:6" x14ac:dyDescent="0.25">
      <c r="A35159" s="1" t="str">
        <f t="shared" si="1265"/>
        <v>45300</v>
      </c>
      <c r="B35159" s="1" t="str">
        <f>"33613"</f>
        <v>33613</v>
      </c>
      <c r="C35159" s="2">
        <v>1.1972851557546901E-2</v>
      </c>
      <c r="D35159" s="2">
        <v>8.1977770050101102E-3</v>
      </c>
      <c r="E35159" s="2">
        <v>4.3998860870915903E-2</v>
      </c>
      <c r="F35159" s="2">
        <v>1.2993712684781399E-2</v>
      </c>
    </row>
    <row r="35160" spans="1:6" x14ac:dyDescent="0.25">
      <c r="A35160" s="1" t="str">
        <f t="shared" si="1265"/>
        <v>45300</v>
      </c>
      <c r="B35160" s="1" t="str">
        <f>"33576"</f>
        <v>33576</v>
      </c>
      <c r="C35160" s="2">
        <v>2.11969635210587E-3</v>
      </c>
      <c r="D35160" s="2">
        <v>1.86752186288525E-3</v>
      </c>
      <c r="E35160" s="2">
        <v>2.2005902759798999E-4</v>
      </c>
      <c r="F35160" s="2">
        <v>2.0191653071278E-3</v>
      </c>
    </row>
    <row r="35161" spans="1:6" x14ac:dyDescent="0.25">
      <c r="A35161" s="1" t="str">
        <f t="shared" si="1265"/>
        <v>45300</v>
      </c>
      <c r="B35161" s="1" t="str">
        <f>"33583"</f>
        <v>33583</v>
      </c>
      <c r="C35161" s="2">
        <v>1.04964245973844E-3</v>
      </c>
      <c r="D35161" s="2">
        <v>2.0542740491737801E-3</v>
      </c>
      <c r="E35161" s="2">
        <v>2.58892973644695E-5</v>
      </c>
      <c r="F35161" s="2">
        <v>1.0912360979603399E-3</v>
      </c>
    </row>
    <row r="35162" spans="1:6" x14ac:dyDescent="0.25">
      <c r="A35162" s="1" t="str">
        <f t="shared" si="1265"/>
        <v>45300</v>
      </c>
      <c r="B35162" s="1" t="str">
        <f>"33772"</f>
        <v>33772</v>
      </c>
      <c r="C35162" s="2">
        <v>8.4379625431655406E-3</v>
      </c>
      <c r="D35162" s="2">
        <v>4.9843514547351303E-3</v>
      </c>
      <c r="E35162" s="2">
        <v>5.7344793662300001E-3</v>
      </c>
      <c r="F35162" s="2">
        <v>8.0350233793819101E-3</v>
      </c>
    </row>
    <row r="35163" spans="1:6" x14ac:dyDescent="0.25">
      <c r="A35163" s="1" t="str">
        <f t="shared" si="1265"/>
        <v>45300</v>
      </c>
      <c r="B35163" s="1" t="str">
        <f>"33777"</f>
        <v>33777</v>
      </c>
      <c r="C35163" s="2">
        <v>5.3904737988335703E-3</v>
      </c>
      <c r="D35163" s="2">
        <v>4.41121543474621E-3</v>
      </c>
      <c r="E35163" s="2">
        <v>4.1552322269973498E-3</v>
      </c>
      <c r="F35163" s="2">
        <v>5.2566432647534501E-3</v>
      </c>
    </row>
    <row r="35164" spans="1:6" x14ac:dyDescent="0.25">
      <c r="A35164" s="1" t="str">
        <f t="shared" si="1265"/>
        <v>45300</v>
      </c>
      <c r="B35164" s="1" t="str">
        <f>"33781"</f>
        <v>33781</v>
      </c>
      <c r="C35164" s="2">
        <v>7.7996413773139903E-3</v>
      </c>
      <c r="D35164" s="2">
        <v>1.3864739899282601E-2</v>
      </c>
      <c r="E35164" s="2">
        <v>8.3881323460881195E-3</v>
      </c>
      <c r="F35164" s="2">
        <v>8.3335180900231901E-3</v>
      </c>
    </row>
    <row r="35165" spans="1:6" x14ac:dyDescent="0.25">
      <c r="A35165" s="1" t="str">
        <f t="shared" si="1265"/>
        <v>45300</v>
      </c>
      <c r="B35165" s="1" t="str">
        <f>"33782"</f>
        <v>33782</v>
      </c>
      <c r="C35165" s="2">
        <v>6.60031507829639E-3</v>
      </c>
      <c r="D35165" s="2">
        <v>4.3661373208144904E-3</v>
      </c>
      <c r="E35165" s="2">
        <v>4.4011805519598097E-3</v>
      </c>
      <c r="F35165" s="2">
        <v>6.3208417983441102E-3</v>
      </c>
    </row>
    <row r="35166" spans="1:6" x14ac:dyDescent="0.25">
      <c r="A35166" s="1" t="str">
        <f t="shared" si="1265"/>
        <v>45300</v>
      </c>
      <c r="B35166" s="1" t="str">
        <f>"33762"</f>
        <v>33762</v>
      </c>
      <c r="C35166" s="2">
        <v>2.3497888653779401E-3</v>
      </c>
      <c r="D35166" s="2">
        <v>1.36135904073773E-2</v>
      </c>
      <c r="E35166" s="2">
        <v>5.6179775280898797E-3</v>
      </c>
      <c r="F35166" s="2">
        <v>3.4321484210873502E-3</v>
      </c>
    </row>
    <row r="35167" spans="1:6" x14ac:dyDescent="0.25">
      <c r="A35167" s="1" t="str">
        <f t="shared" si="1265"/>
        <v>45300</v>
      </c>
      <c r="B35167" s="1" t="str">
        <f>"33776"</f>
        <v>33776</v>
      </c>
      <c r="C35167" s="2">
        <v>3.46685090561815E-3</v>
      </c>
      <c r="D35167" s="2">
        <v>1.2815063817729799E-3</v>
      </c>
      <c r="E35167" s="2">
        <v>1.20385232744783E-3</v>
      </c>
      <c r="F35167" s="2">
        <v>3.1888103417602202E-3</v>
      </c>
    </row>
    <row r="35168" spans="1:6" x14ac:dyDescent="0.25">
      <c r="A35168" s="1" t="str">
        <f t="shared" si="1265"/>
        <v>45300</v>
      </c>
      <c r="B35168" s="1" t="str">
        <f>"33527"</f>
        <v>33527</v>
      </c>
      <c r="C35168" s="2">
        <v>4.7379264829678896E-3</v>
      </c>
      <c r="D35168" s="2">
        <v>2.2796646188323398E-3</v>
      </c>
      <c r="E35168" s="2">
        <v>5.3073059597162501E-4</v>
      </c>
      <c r="F35168" s="2">
        <v>4.3557516199556603E-3</v>
      </c>
    </row>
    <row r="35169" spans="1:6" x14ac:dyDescent="0.25">
      <c r="A35169" s="1" t="str">
        <f t="shared" si="1265"/>
        <v>45300</v>
      </c>
      <c r="B35169" s="1" t="str">
        <f>"33556"</f>
        <v>33556</v>
      </c>
      <c r="C35169" s="2">
        <v>8.1064313950100792E-3</v>
      </c>
      <c r="D35169" s="2">
        <v>4.7911595378849299E-3</v>
      </c>
      <c r="E35169" s="2">
        <v>2.0970330865220299E-3</v>
      </c>
      <c r="F35169" s="2">
        <v>7.5770070389594999E-3</v>
      </c>
    </row>
    <row r="35170" spans="1:6" x14ac:dyDescent="0.25">
      <c r="A35170" s="1" t="str">
        <f t="shared" si="1265"/>
        <v>45300</v>
      </c>
      <c r="B35170" s="1" t="str">
        <f>"33542"</f>
        <v>33542</v>
      </c>
      <c r="C35170" s="2">
        <v>8.7831013130736397E-3</v>
      </c>
      <c r="D35170" s="2">
        <v>6.2079002614530603E-3</v>
      </c>
      <c r="E35170" s="2">
        <v>2.3170921141200201E-3</v>
      </c>
      <c r="F35170" s="2">
        <v>8.2967470024804205E-3</v>
      </c>
    </row>
    <row r="35171" spans="1:6" x14ac:dyDescent="0.25">
      <c r="A35171" s="1" t="str">
        <f t="shared" si="1265"/>
        <v>45300</v>
      </c>
      <c r="B35171" s="1" t="str">
        <f>"33547"</f>
        <v>33547</v>
      </c>
      <c r="C35171" s="2">
        <v>6.8056664611090998E-3</v>
      </c>
      <c r="D35171" s="2">
        <v>3.1619077057815901E-3</v>
      </c>
      <c r="E35171" s="2">
        <v>9.7084865116760699E-4</v>
      </c>
      <c r="F35171" s="2">
        <v>6.2559516438568698E-3</v>
      </c>
    </row>
    <row r="35172" spans="1:6" x14ac:dyDescent="0.25">
      <c r="A35172" s="1" t="str">
        <f t="shared" si="1265"/>
        <v>45300</v>
      </c>
      <c r="B35172" s="1" t="str">
        <f>"33593"</f>
        <v>33593</v>
      </c>
      <c r="C35172" s="2">
        <v>0</v>
      </c>
      <c r="D35172" s="2">
        <v>0</v>
      </c>
      <c r="E35172" s="2">
        <v>2.58892973644695E-5</v>
      </c>
      <c r="F35172" s="2">
        <v>1.08150257478725E-6</v>
      </c>
    </row>
    <row r="35173" spans="1:6" x14ac:dyDescent="0.25">
      <c r="A35173" s="1" t="str">
        <f t="shared" si="1265"/>
        <v>45300</v>
      </c>
      <c r="B35173" s="1" t="str">
        <f>"33674"</f>
        <v>33674</v>
      </c>
      <c r="C35173" s="2">
        <v>7.9047911817662795E-4</v>
      </c>
      <c r="D35173" s="2">
        <v>1.2943858428963301E-3</v>
      </c>
      <c r="E35173" s="2">
        <v>2.58892973644695E-5</v>
      </c>
      <c r="F35173" s="2">
        <v>8.00852656629962E-4</v>
      </c>
    </row>
    <row r="35174" spans="1:6" x14ac:dyDescent="0.25">
      <c r="A35174" s="1" t="str">
        <f t="shared" ref="A35174:A35237" si="1266">"45300"</f>
        <v>45300</v>
      </c>
      <c r="B35174" s="1" t="str">
        <f>"33742"</f>
        <v>33742</v>
      </c>
      <c r="C35174" s="2">
        <v>1.08551709890452E-3</v>
      </c>
      <c r="D35174" s="2">
        <v>2.0027562046803899E-3</v>
      </c>
      <c r="E35174" s="2">
        <v>2.58892973644695E-5</v>
      </c>
      <c r="F35174" s="2">
        <v>1.11827366233002E-3</v>
      </c>
    </row>
    <row r="35175" spans="1:6" x14ac:dyDescent="0.25">
      <c r="A35175" s="1" t="str">
        <f t="shared" si="1266"/>
        <v>45300</v>
      </c>
      <c r="B35175" s="1" t="str">
        <f>"34660"</f>
        <v>34660</v>
      </c>
      <c r="C35175" s="2">
        <v>4.8059645917311399E-4</v>
      </c>
      <c r="D35175" s="2">
        <v>2.7690841415195099E-4</v>
      </c>
      <c r="E35175" s="2">
        <v>3.8833946046704197E-5</v>
      </c>
      <c r="F35175" s="2">
        <v>4.4503830952495501E-4</v>
      </c>
    </row>
    <row r="35176" spans="1:6" x14ac:dyDescent="0.25">
      <c r="A35176" s="1" t="str">
        <f t="shared" si="1266"/>
        <v>45300</v>
      </c>
      <c r="B35176" s="1" t="str">
        <f>"33539"</f>
        <v>33539</v>
      </c>
      <c r="C35176" s="2">
        <v>1.78136139307409E-3</v>
      </c>
      <c r="D35176" s="2">
        <v>1.86752186288525E-3</v>
      </c>
      <c r="E35176" s="2">
        <v>2.58892973644695E-5</v>
      </c>
      <c r="F35176" s="2">
        <v>1.71526308361258E-3</v>
      </c>
    </row>
    <row r="35177" spans="1:6" x14ac:dyDescent="0.25">
      <c r="A35177" s="1" t="str">
        <f t="shared" si="1266"/>
        <v>45300</v>
      </c>
      <c r="B35177" s="1" t="str">
        <f>"34669"</f>
        <v>34669</v>
      </c>
      <c r="C35177" s="2">
        <v>4.3006270020986602E-3</v>
      </c>
      <c r="D35177" s="2">
        <v>2.2989838105173599E-3</v>
      </c>
      <c r="E35177" s="2">
        <v>5.82509190700564E-4</v>
      </c>
      <c r="F35177" s="2">
        <v>3.9772257187801197E-3</v>
      </c>
    </row>
    <row r="35178" spans="1:6" x14ac:dyDescent="0.25">
      <c r="A35178" s="1" t="str">
        <f t="shared" si="1266"/>
        <v>45300</v>
      </c>
      <c r="B35178" s="1" t="str">
        <f>"34677"</f>
        <v>34677</v>
      </c>
      <c r="C35178" s="2">
        <v>7.2627588463458201E-3</v>
      </c>
      <c r="D35178" s="2">
        <v>1.15142382442718E-2</v>
      </c>
      <c r="E35178" s="2">
        <v>6.5888261792574898E-3</v>
      </c>
      <c r="F35178" s="2">
        <v>7.5916073237191298E-3</v>
      </c>
    </row>
    <row r="35179" spans="1:6" x14ac:dyDescent="0.25">
      <c r="A35179" s="1" t="str">
        <f t="shared" si="1266"/>
        <v>45300</v>
      </c>
      <c r="B35179" s="1" t="str">
        <f>"34656"</f>
        <v>34656</v>
      </c>
      <c r="C35179" s="2">
        <v>8.2449817255825101E-4</v>
      </c>
      <c r="D35179" s="2">
        <v>2.0285151269270798E-3</v>
      </c>
      <c r="E35179" s="2">
        <v>2.58892973644695E-5</v>
      </c>
      <c r="F35179" s="2">
        <v>8.9223962419948503E-4</v>
      </c>
    </row>
    <row r="35180" spans="1:6" x14ac:dyDescent="0.25">
      <c r="A35180" s="1" t="str">
        <f t="shared" si="1266"/>
        <v>45300</v>
      </c>
      <c r="B35180" s="1" t="str">
        <f>"34691"</f>
        <v>34691</v>
      </c>
      <c r="C35180" s="2">
        <v>8.0501453232150293E-3</v>
      </c>
      <c r="D35180" s="2">
        <v>4.0892289066625396E-3</v>
      </c>
      <c r="E35180" s="2">
        <v>2.7054315745870601E-3</v>
      </c>
      <c r="F35180" s="2">
        <v>7.4942720919882796E-3</v>
      </c>
    </row>
    <row r="35181" spans="1:6" x14ac:dyDescent="0.25">
      <c r="A35181" s="1" t="str">
        <f t="shared" si="1266"/>
        <v>45300</v>
      </c>
      <c r="B35181" s="1" t="str">
        <f>"34602"</f>
        <v>34602</v>
      </c>
      <c r="C35181" s="2">
        <v>2.3306144892719302E-3</v>
      </c>
      <c r="D35181" s="2">
        <v>6.8261143953736903E-4</v>
      </c>
      <c r="E35181" s="2">
        <v>6.4723243411173796E-5</v>
      </c>
      <c r="F35181" s="2">
        <v>2.0975742437998801E-3</v>
      </c>
    </row>
    <row r="35182" spans="1:6" x14ac:dyDescent="0.25">
      <c r="A35182" s="1" t="str">
        <f t="shared" si="1266"/>
        <v>45300</v>
      </c>
      <c r="B35182" s="1" t="str">
        <f>"33559"</f>
        <v>33559</v>
      </c>
      <c r="C35182" s="2">
        <v>4.5560791740915799E-3</v>
      </c>
      <c r="D35182" s="2">
        <v>4.1407467511559298E-3</v>
      </c>
      <c r="E35182" s="2">
        <v>3.6762802257546698E-3</v>
      </c>
      <c r="F35182" s="2">
        <v>4.4844504263553504E-3</v>
      </c>
    </row>
    <row r="35183" spans="1:6" x14ac:dyDescent="0.25">
      <c r="A35183" s="1" t="str">
        <f t="shared" si="1266"/>
        <v>45300</v>
      </c>
      <c r="B35183" s="1" t="str">
        <f>"33564"</f>
        <v>33564</v>
      </c>
      <c r="C35183" s="2">
        <v>2.0535138281270701E-4</v>
      </c>
      <c r="D35183" s="2">
        <v>7.2124982290740897E-4</v>
      </c>
      <c r="E35183" s="2">
        <v>2.58892973644695E-5</v>
      </c>
      <c r="F35183" s="2">
        <v>2.4117507417755699E-4</v>
      </c>
    </row>
    <row r="35184" spans="1:6" x14ac:dyDescent="0.25">
      <c r="A35184" s="1" t="str">
        <f t="shared" si="1266"/>
        <v>45300</v>
      </c>
      <c r="B35184" s="1" t="str">
        <f>"33770"</f>
        <v>33770</v>
      </c>
      <c r="C35184" s="2">
        <v>8.7800086717662196E-3</v>
      </c>
      <c r="D35184" s="2">
        <v>8.4618059580387102E-3</v>
      </c>
      <c r="E35184" s="2">
        <v>1.15336819758711E-2</v>
      </c>
      <c r="F35184" s="2">
        <v>8.8683211132554902E-3</v>
      </c>
    </row>
    <row r="35185" spans="1:6" x14ac:dyDescent="0.25">
      <c r="A35185" s="1" t="str">
        <f t="shared" si="1266"/>
        <v>45300</v>
      </c>
      <c r="B35185" s="1" t="str">
        <f>"33773"</f>
        <v>33773</v>
      </c>
      <c r="C35185" s="2">
        <v>5.4183075706003602E-3</v>
      </c>
      <c r="D35185" s="2">
        <v>1.1707430161122001E-2</v>
      </c>
      <c r="E35185" s="2">
        <v>5.0484129860715503E-3</v>
      </c>
      <c r="F35185" s="2">
        <v>5.9309601201332999E-3</v>
      </c>
    </row>
    <row r="35186" spans="1:6" x14ac:dyDescent="0.25">
      <c r="A35186" s="1" t="str">
        <f t="shared" si="1266"/>
        <v>45300</v>
      </c>
      <c r="B35186" s="1" t="str">
        <f>"33761"</f>
        <v>33761</v>
      </c>
      <c r="C35186" s="2">
        <v>6.5842333434978102E-3</v>
      </c>
      <c r="D35186" s="2">
        <v>8.9898638640959205E-3</v>
      </c>
      <c r="E35186" s="2">
        <v>6.5111582871640802E-3</v>
      </c>
      <c r="F35186" s="2">
        <v>6.7831841490656603E-3</v>
      </c>
    </row>
    <row r="35187" spans="1:6" x14ac:dyDescent="0.25">
      <c r="A35187" s="1" t="str">
        <f t="shared" si="1266"/>
        <v>45300</v>
      </c>
      <c r="B35187" s="1" t="str">
        <f>"33763"</f>
        <v>33763</v>
      </c>
      <c r="C35187" s="2">
        <v>7.3060558246497102E-3</v>
      </c>
      <c r="D35187" s="2">
        <v>3.70284507296214E-3</v>
      </c>
      <c r="E35187" s="2">
        <v>1.0536944027339E-2</v>
      </c>
      <c r="F35187" s="2">
        <v>7.1384577448832696E-3</v>
      </c>
    </row>
    <row r="35188" spans="1:6" x14ac:dyDescent="0.25">
      <c r="A35188" s="1" t="str">
        <f t="shared" si="1266"/>
        <v>45300</v>
      </c>
      <c r="B35188" s="1" t="str">
        <f>"33525"</f>
        <v>33525</v>
      </c>
      <c r="C35188" s="2">
        <v>5.6446889143035202E-3</v>
      </c>
      <c r="D35188" s="2">
        <v>4.5271305848563204E-3</v>
      </c>
      <c r="E35188" s="2">
        <v>2.8089887640449398E-3</v>
      </c>
      <c r="F35188" s="2">
        <v>5.43238743315638E-3</v>
      </c>
    </row>
    <row r="35189" spans="1:6" x14ac:dyDescent="0.25">
      <c r="A35189" s="1" t="str">
        <f t="shared" si="1266"/>
        <v>45300</v>
      </c>
      <c r="B35189" s="1" t="str">
        <f>"33523"</f>
        <v>33523</v>
      </c>
      <c r="C35189" s="2">
        <v>5.6193292555826802E-3</v>
      </c>
      <c r="D35189" s="2">
        <v>3.80588076194892E-3</v>
      </c>
      <c r="E35189" s="2">
        <v>1.32035416558794E-3</v>
      </c>
      <c r="F35189" s="2">
        <v>5.2874660881348798E-3</v>
      </c>
    </row>
    <row r="35190" spans="1:6" x14ac:dyDescent="0.25">
      <c r="A35190" s="1" t="str">
        <f t="shared" si="1266"/>
        <v>45300</v>
      </c>
      <c r="B35190" s="1" t="str">
        <f>"33534"</f>
        <v>33534</v>
      </c>
      <c r="C35190" s="2">
        <v>5.3447027074837502E-3</v>
      </c>
      <c r="D35190" s="2">
        <v>2.3376221938874002E-3</v>
      </c>
      <c r="E35190" s="2">
        <v>1.9028633562885101E-3</v>
      </c>
      <c r="F35190" s="2">
        <v>4.9484150309390797E-3</v>
      </c>
    </row>
    <row r="35191" spans="1:6" x14ac:dyDescent="0.25">
      <c r="A35191" s="1" t="str">
        <f t="shared" si="1266"/>
        <v>45300</v>
      </c>
      <c r="B35191" s="1" t="str">
        <f>"33550"</f>
        <v>33550</v>
      </c>
      <c r="C35191" s="2">
        <v>9.8036729445223408E-4</v>
      </c>
      <c r="D35191" s="2">
        <v>1.21066934559458E-3</v>
      </c>
      <c r="E35191" s="2">
        <v>3.8833946046704197E-5</v>
      </c>
      <c r="F35191" s="2">
        <v>9.6037428641108198E-4</v>
      </c>
    </row>
    <row r="35192" spans="1:6" x14ac:dyDescent="0.25">
      <c r="A35192" s="1" t="str">
        <f t="shared" si="1266"/>
        <v>45300</v>
      </c>
      <c r="B35192" s="1" t="str">
        <f>"34688"</f>
        <v>34688</v>
      </c>
      <c r="C35192" s="2">
        <v>3.3258264619997801E-3</v>
      </c>
      <c r="D35192" s="2">
        <v>3.9153561814973597E-3</v>
      </c>
      <c r="E35192" s="2">
        <v>2.2005902759799001E-3</v>
      </c>
      <c r="F35192" s="2">
        <v>3.3283241739077698E-3</v>
      </c>
    </row>
    <row r="35193" spans="1:6" x14ac:dyDescent="0.25">
      <c r="A35193" s="1" t="str">
        <f t="shared" si="1266"/>
        <v>45300</v>
      </c>
      <c r="B35193" s="1" t="str">
        <f>"33622"</f>
        <v>33622</v>
      </c>
      <c r="C35193" s="2">
        <v>9.0490684655117901E-4</v>
      </c>
      <c r="D35193" s="2">
        <v>4.8941952268716999E-3</v>
      </c>
      <c r="E35193" s="2">
        <v>2.58892973644695E-5</v>
      </c>
      <c r="F35193" s="2">
        <v>1.2031716144508199E-3</v>
      </c>
    </row>
    <row r="35194" spans="1:6" x14ac:dyDescent="0.25">
      <c r="A35194" s="1" t="str">
        <f t="shared" si="1266"/>
        <v>45300</v>
      </c>
      <c r="B35194" s="1" t="str">
        <f>"33677"</f>
        <v>33677</v>
      </c>
      <c r="C35194" s="2">
        <v>4.31114198254389E-4</v>
      </c>
      <c r="D35194" s="2">
        <v>1.51333668199322E-3</v>
      </c>
      <c r="E35194" s="2">
        <v>2.58892973644695E-5</v>
      </c>
      <c r="F35194" s="2">
        <v>5.0506170242564804E-4</v>
      </c>
    </row>
    <row r="35195" spans="1:6" x14ac:dyDescent="0.25">
      <c r="A35195" s="1" t="str">
        <f t="shared" si="1266"/>
        <v>45300</v>
      </c>
      <c r="B35195" s="1" t="str">
        <f>"33694"</f>
        <v>33694</v>
      </c>
      <c r="C35195" s="2">
        <v>7.3110040507415796E-4</v>
      </c>
      <c r="D35195" s="2">
        <v>2.7690841415195099E-3</v>
      </c>
      <c r="E35195" s="2">
        <v>2.58892973644695E-5</v>
      </c>
      <c r="F35195" s="2">
        <v>8.7277257785331398E-4</v>
      </c>
    </row>
    <row r="35196" spans="1:6" x14ac:dyDescent="0.25">
      <c r="A35196" s="1" t="str">
        <f t="shared" si="1266"/>
        <v>45300</v>
      </c>
      <c r="B35196" s="1" t="str">
        <f>"33578"</f>
        <v>33578</v>
      </c>
      <c r="C35196" s="2">
        <v>1.56048495089813E-2</v>
      </c>
      <c r="D35196" s="2">
        <v>7.54092448771943E-3</v>
      </c>
      <c r="E35196" s="2">
        <v>1.55206337699994E-2</v>
      </c>
      <c r="F35196" s="2">
        <v>1.49241947807767E-2</v>
      </c>
    </row>
    <row r="35197" spans="1:6" x14ac:dyDescent="0.25">
      <c r="A35197" s="1" t="str">
        <f t="shared" si="1266"/>
        <v>45300</v>
      </c>
      <c r="B35197" s="1" t="str">
        <f>"33537"</f>
        <v>33537</v>
      </c>
      <c r="C35197" s="2">
        <v>0</v>
      </c>
      <c r="D35197" s="2">
        <v>0</v>
      </c>
      <c r="E35197" s="2">
        <v>1.2944648682234699E-5</v>
      </c>
      <c r="F35197" s="2">
        <v>5.4075128739362699E-7</v>
      </c>
    </row>
    <row r="35198" spans="1:6" x14ac:dyDescent="0.25">
      <c r="A35198" s="1" t="str">
        <f t="shared" si="1266"/>
        <v>45300</v>
      </c>
      <c r="B35198" s="1" t="str">
        <f>"34636"</f>
        <v>34636</v>
      </c>
      <c r="C35198" s="2">
        <v>0</v>
      </c>
      <c r="D35198" s="2">
        <v>0</v>
      </c>
      <c r="E35198" s="2">
        <v>1.2944648682234699E-5</v>
      </c>
      <c r="F35198" s="2">
        <v>5.4075128739362699E-7</v>
      </c>
    </row>
    <row r="35199" spans="1:6" x14ac:dyDescent="0.25">
      <c r="A35199" s="1" t="str">
        <f t="shared" si="1266"/>
        <v>45300</v>
      </c>
      <c r="B35199" s="1" t="str">
        <f>"33729"</f>
        <v>33729</v>
      </c>
      <c r="C35199" s="2">
        <v>0</v>
      </c>
      <c r="D35199" s="2">
        <v>6.4397305616732901E-6</v>
      </c>
      <c r="E35199" s="2">
        <v>0</v>
      </c>
      <c r="F35199" s="2">
        <v>5.4075128739362699E-7</v>
      </c>
    </row>
    <row r="35200" spans="1:6" x14ac:dyDescent="0.25">
      <c r="A35200" s="1" t="str">
        <f t="shared" si="1266"/>
        <v>45300</v>
      </c>
      <c r="B35200" s="1" t="str">
        <f>"33530"</f>
        <v>33530</v>
      </c>
      <c r="C35200" s="2">
        <v>4.9977083527912003E-4</v>
      </c>
      <c r="D35200" s="2">
        <v>3.3486598920701101E-4</v>
      </c>
      <c r="E35200" s="2">
        <v>2.58892973644695E-5</v>
      </c>
      <c r="F35200" s="2">
        <v>4.6612760973330599E-4</v>
      </c>
    </row>
    <row r="35201" spans="1:6" x14ac:dyDescent="0.25">
      <c r="A35201" s="1" t="str">
        <f t="shared" si="1266"/>
        <v>45300</v>
      </c>
      <c r="B35201" s="1" t="str">
        <f>"34679"</f>
        <v>34679</v>
      </c>
      <c r="C35201" s="2">
        <v>0</v>
      </c>
      <c r="D35201" s="2">
        <v>0</v>
      </c>
      <c r="E35201" s="2">
        <v>1.2944648682234699E-5</v>
      </c>
      <c r="F35201" s="2">
        <v>5.4075128739362699E-7</v>
      </c>
    </row>
    <row r="35202" spans="1:6" x14ac:dyDescent="0.25">
      <c r="A35202" s="1" t="str">
        <f t="shared" si="1266"/>
        <v>45300</v>
      </c>
      <c r="B35202" s="1" t="str">
        <f>"33757"</f>
        <v>33757</v>
      </c>
      <c r="C35202" s="2">
        <v>8.5666164215542203E-4</v>
      </c>
      <c r="D35202" s="2">
        <v>2.4857359968058902E-3</v>
      </c>
      <c r="E35202" s="2">
        <v>2.58892973644695E-5</v>
      </c>
      <c r="F35202" s="2">
        <v>9.5875203254890096E-4</v>
      </c>
    </row>
    <row r="35203" spans="1:6" x14ac:dyDescent="0.25">
      <c r="A35203" s="1" t="str">
        <f t="shared" si="1266"/>
        <v>45300</v>
      </c>
      <c r="B35203" s="1" t="str">
        <f>"33775"</f>
        <v>33775</v>
      </c>
      <c r="C35203" s="2">
        <v>1.4702416775476E-3</v>
      </c>
      <c r="D35203" s="2">
        <v>3.14258851409657E-3</v>
      </c>
      <c r="E35203" s="2">
        <v>2.58892973644695E-5</v>
      </c>
      <c r="F35203" s="2">
        <v>1.5503339409575199E-3</v>
      </c>
    </row>
    <row r="35204" spans="1:6" x14ac:dyDescent="0.25">
      <c r="A35204" s="1" t="str">
        <f t="shared" si="1266"/>
        <v>45300</v>
      </c>
      <c r="B35204" s="1" t="str">
        <f>"33646"</f>
        <v>33646</v>
      </c>
      <c r="C35204" s="2">
        <v>8.2511670081973501E-4</v>
      </c>
      <c r="D35204" s="2">
        <v>3.4967736949886E-3</v>
      </c>
      <c r="E35204" s="2">
        <v>2.58892973644695E-5</v>
      </c>
      <c r="F35204" s="2">
        <v>1.0160716690126199E-3</v>
      </c>
    </row>
    <row r="35205" spans="1:6" x14ac:dyDescent="0.25">
      <c r="A35205" s="1" t="str">
        <f t="shared" si="1266"/>
        <v>45300</v>
      </c>
      <c r="B35205" s="1" t="str">
        <f>"33738"</f>
        <v>33738</v>
      </c>
      <c r="C35205" s="2">
        <v>6.1234297886921896E-4</v>
      </c>
      <c r="D35205" s="2">
        <v>1.32658449570469E-3</v>
      </c>
      <c r="E35205" s="2">
        <v>2.58892973644695E-5</v>
      </c>
      <c r="F35205" s="2">
        <v>6.4782004229756499E-4</v>
      </c>
    </row>
    <row r="35206" spans="1:6" x14ac:dyDescent="0.25">
      <c r="A35206" s="1" t="str">
        <f t="shared" si="1266"/>
        <v>45300</v>
      </c>
      <c r="B35206" s="1" t="str">
        <f>"33623"</f>
        <v>33623</v>
      </c>
      <c r="C35206" s="2">
        <v>1.05026098799993E-3</v>
      </c>
      <c r="D35206" s="2">
        <v>2.7690841415195099E-3</v>
      </c>
      <c r="E35206" s="2">
        <v>2.58892973644695E-5</v>
      </c>
      <c r="F35206" s="2">
        <v>1.1518002421484199E-3</v>
      </c>
    </row>
    <row r="35207" spans="1:6" x14ac:dyDescent="0.25">
      <c r="A35207" s="1" t="str">
        <f t="shared" si="1266"/>
        <v>45300</v>
      </c>
      <c r="B35207" s="1" t="str">
        <f>"33524"</f>
        <v>33524</v>
      </c>
      <c r="C35207" s="2">
        <v>6.2718765714483602E-4</v>
      </c>
      <c r="D35207" s="2">
        <v>2.7046868359027802E-4</v>
      </c>
      <c r="E35207" s="2">
        <v>2.58892973644695E-5</v>
      </c>
      <c r="F35207" s="2">
        <v>5.7211486206245699E-4</v>
      </c>
    </row>
    <row r="35208" spans="1:6" x14ac:dyDescent="0.25">
      <c r="A35208" s="1" t="str">
        <f t="shared" si="1266"/>
        <v>45300</v>
      </c>
      <c r="B35208" s="1" t="str">
        <f>"33509"</f>
        <v>33509</v>
      </c>
      <c r="C35208" s="2">
        <v>1.9001188192790299E-3</v>
      </c>
      <c r="D35208" s="2">
        <v>3.9861932176757696E-3</v>
      </c>
      <c r="E35208" s="2">
        <v>2.58892973644695E-5</v>
      </c>
      <c r="F35208" s="2">
        <v>1.99699450434466E-3</v>
      </c>
    </row>
    <row r="35209" spans="1:6" x14ac:dyDescent="0.25">
      <c r="A35209" s="1" t="str">
        <f t="shared" si="1266"/>
        <v>45300</v>
      </c>
      <c r="B35209" s="1" t="str">
        <f>"33706"</f>
        <v>33706</v>
      </c>
      <c r="C35209" s="2">
        <v>8.6229024933492694E-3</v>
      </c>
      <c r="D35209" s="2">
        <v>6.0855453807812602E-3</v>
      </c>
      <c r="E35209" s="2">
        <v>1.8329622534044399E-2</v>
      </c>
      <c r="F35209" s="2">
        <v>8.8153274870909105E-3</v>
      </c>
    </row>
    <row r="35210" spans="1:6" x14ac:dyDescent="0.25">
      <c r="A35210" s="1" t="str">
        <f t="shared" si="1266"/>
        <v>45300</v>
      </c>
      <c r="B35210" s="1" t="str">
        <f>"33617"</f>
        <v>33617</v>
      </c>
      <c r="C35210" s="2">
        <v>1.2452210960197E-2</v>
      </c>
      <c r="D35210" s="2">
        <v>9.8463480287984701E-3</v>
      </c>
      <c r="E35210" s="2">
        <v>4.2691451354010201E-2</v>
      </c>
      <c r="F35210" s="2">
        <v>1.3496611382057501E-2</v>
      </c>
    </row>
    <row r="35211" spans="1:6" x14ac:dyDescent="0.25">
      <c r="A35211" s="1" t="str">
        <f t="shared" si="1266"/>
        <v>45300</v>
      </c>
      <c r="B35211" s="1" t="str">
        <f>"33680"</f>
        <v>33680</v>
      </c>
      <c r="C35211" s="2">
        <v>1.0632500814910901E-3</v>
      </c>
      <c r="D35211" s="2">
        <v>2.2152673132156101E-3</v>
      </c>
      <c r="E35211" s="2">
        <v>2.58892973644695E-5</v>
      </c>
      <c r="F35211" s="2">
        <v>1.11665140846784E-3</v>
      </c>
    </row>
    <row r="35212" spans="1:6" x14ac:dyDescent="0.25">
      <c r="A35212" s="1" t="str">
        <f t="shared" si="1266"/>
        <v>45300</v>
      </c>
      <c r="B35212" s="1" t="str">
        <f>"33732"</f>
        <v>33732</v>
      </c>
      <c r="C35212" s="2">
        <v>7.0883338766073204E-4</v>
      </c>
      <c r="D35212" s="2">
        <v>1.62925183210334E-3</v>
      </c>
      <c r="E35212" s="2">
        <v>2.58892973644695E-5</v>
      </c>
      <c r="F35212" s="2">
        <v>7.5759255363847195E-4</v>
      </c>
    </row>
    <row r="35213" spans="1:6" x14ac:dyDescent="0.25">
      <c r="A35213" s="1" t="str">
        <f t="shared" si="1266"/>
        <v>45300</v>
      </c>
      <c r="B35213" s="1" t="str">
        <f>"33594"</f>
        <v>33594</v>
      </c>
      <c r="C35213" s="2">
        <v>8.3198236452220794E-3</v>
      </c>
      <c r="D35213" s="2">
        <v>1.8417629406385599E-3</v>
      </c>
      <c r="E35213" s="2">
        <v>1.69574897737275E-3</v>
      </c>
      <c r="F35213" s="2">
        <v>7.49913885357482E-3</v>
      </c>
    </row>
    <row r="35214" spans="1:6" x14ac:dyDescent="0.25">
      <c r="A35214" s="1" t="str">
        <f t="shared" si="1266"/>
        <v>45300</v>
      </c>
      <c r="B35214" s="1" t="str">
        <f>"33605"</f>
        <v>33605</v>
      </c>
      <c r="C35214" s="2">
        <v>5.1993485660349996E-3</v>
      </c>
      <c r="D35214" s="2">
        <v>1.15206779748335E-2</v>
      </c>
      <c r="E35214" s="2">
        <v>2.1889400921658898E-2</v>
      </c>
      <c r="F35214" s="2">
        <v>6.4273698019606503E-3</v>
      </c>
    </row>
    <row r="35215" spans="1:6" x14ac:dyDescent="0.25">
      <c r="A35215" s="1" t="str">
        <f t="shared" si="1266"/>
        <v>45300</v>
      </c>
      <c r="B35215" s="1" t="str">
        <f>"33563"</f>
        <v>33563</v>
      </c>
      <c r="C35215" s="2">
        <v>7.8410827708334206E-3</v>
      </c>
      <c r="D35215" s="2">
        <v>1.2995376273456699E-2</v>
      </c>
      <c r="E35215" s="2">
        <v>8.89297364469528E-3</v>
      </c>
      <c r="F35215" s="2">
        <v>8.3178363026887702E-3</v>
      </c>
    </row>
    <row r="35216" spans="1:6" x14ac:dyDescent="0.25">
      <c r="A35216" s="1" t="str">
        <f t="shared" si="1266"/>
        <v>45300</v>
      </c>
      <c r="B35216" s="1" t="str">
        <f>"33584"</f>
        <v>33584</v>
      </c>
      <c r="C35216" s="2">
        <v>6.63680824572395E-3</v>
      </c>
      <c r="D35216" s="2">
        <v>3.4967736949886E-3</v>
      </c>
      <c r="E35216" s="2">
        <v>5.9286490964635197E-3</v>
      </c>
      <c r="F35216" s="2">
        <v>6.34355335241464E-3</v>
      </c>
    </row>
    <row r="35217" spans="1:6" x14ac:dyDescent="0.25">
      <c r="A35217" s="1" t="str">
        <f t="shared" si="1266"/>
        <v>45300</v>
      </c>
      <c r="B35217" s="1" t="str">
        <f>"33602"</f>
        <v>33602</v>
      </c>
      <c r="C35217" s="2">
        <v>7.8373716012645096E-3</v>
      </c>
      <c r="D35217" s="2">
        <v>1.78509331169583E-2</v>
      </c>
      <c r="E35217" s="2">
        <v>8.4269662921348295E-3</v>
      </c>
      <c r="F35217" s="2">
        <v>8.7028512193130392E-3</v>
      </c>
    </row>
    <row r="35218" spans="1:6" x14ac:dyDescent="0.25">
      <c r="A35218" s="1" t="str">
        <f t="shared" si="1266"/>
        <v>45300</v>
      </c>
      <c r="B35218" s="1" t="str">
        <f>"33610"</f>
        <v>33610</v>
      </c>
      <c r="C35218" s="2">
        <v>1.12949445829604E-2</v>
      </c>
      <c r="D35218" s="2">
        <v>1.4953054364205401E-2</v>
      </c>
      <c r="E35218" s="2">
        <v>1.7410552477605701E-2</v>
      </c>
      <c r="F35218" s="2">
        <v>1.18575942299674E-2</v>
      </c>
    </row>
    <row r="35219" spans="1:6" x14ac:dyDescent="0.25">
      <c r="A35219" s="1" t="str">
        <f t="shared" si="1266"/>
        <v>45300</v>
      </c>
      <c r="B35219" s="1" t="str">
        <f>"33611"</f>
        <v>33611</v>
      </c>
      <c r="C35219" s="2">
        <v>1.1801519229115799E-2</v>
      </c>
      <c r="D35219" s="2">
        <v>6.1113043030279601E-3</v>
      </c>
      <c r="E35219" s="2">
        <v>7.94801429089214E-3</v>
      </c>
      <c r="F35219" s="2">
        <v>1.11627288256666E-2</v>
      </c>
    </row>
    <row r="35220" spans="1:6" x14ac:dyDescent="0.25">
      <c r="A35220" s="1" t="str">
        <f t="shared" si="1266"/>
        <v>45300</v>
      </c>
      <c r="B35220" s="1" t="str">
        <f>"33597"</f>
        <v>33597</v>
      </c>
      <c r="C35220" s="2">
        <v>4.1193982214838301E-4</v>
      </c>
      <c r="D35220" s="2">
        <v>7.0837036178406204E-5</v>
      </c>
      <c r="E35220" s="2">
        <v>0</v>
      </c>
      <c r="F35220" s="2">
        <v>3.6608862156548499E-4</v>
      </c>
    </row>
    <row r="35221" spans="1:6" x14ac:dyDescent="0.25">
      <c r="A35221" s="1" t="str">
        <f t="shared" si="1266"/>
        <v>45300</v>
      </c>
      <c r="B35221" s="1" t="str">
        <f>"33778"</f>
        <v>33778</v>
      </c>
      <c r="C35221" s="2">
        <v>4.9525557897028604E-3</v>
      </c>
      <c r="D35221" s="2">
        <v>3.4710147727419001E-3</v>
      </c>
      <c r="E35221" s="2">
        <v>1.92875265365297E-3</v>
      </c>
      <c r="F35221" s="2">
        <v>4.7018324438875903E-3</v>
      </c>
    </row>
    <row r="35222" spans="1:6" x14ac:dyDescent="0.25">
      <c r="A35222" s="1" t="str">
        <f t="shared" si="1266"/>
        <v>45300</v>
      </c>
      <c r="B35222" s="1" t="str">
        <f>"33759"</f>
        <v>33759</v>
      </c>
      <c r="C35222" s="2">
        <v>5.9415824798158701E-3</v>
      </c>
      <c r="D35222" s="2">
        <v>6.1499426863980003E-3</v>
      </c>
      <c r="E35222" s="2">
        <v>7.4820069383316904E-3</v>
      </c>
      <c r="F35222" s="2">
        <v>6.0234285902776097E-3</v>
      </c>
    </row>
    <row r="35223" spans="1:6" x14ac:dyDescent="0.25">
      <c r="A35223" s="1" t="str">
        <f t="shared" si="1266"/>
        <v>45300</v>
      </c>
      <c r="B35223" s="1" t="str">
        <f>"33736"</f>
        <v>33736</v>
      </c>
      <c r="C35223" s="2">
        <v>4.5771091349820401E-4</v>
      </c>
      <c r="D35223" s="2">
        <v>1.51333668199322E-3</v>
      </c>
      <c r="E35223" s="2">
        <v>2.58892973644695E-5</v>
      </c>
      <c r="F35223" s="2">
        <v>5.2831400778357402E-4</v>
      </c>
    </row>
    <row r="35224" spans="1:6" x14ac:dyDescent="0.25">
      <c r="A35224" s="1" t="str">
        <f t="shared" si="1266"/>
        <v>45300</v>
      </c>
      <c r="B35224" s="1" t="str">
        <f>"33571"</f>
        <v>33571</v>
      </c>
      <c r="C35224" s="2">
        <v>4.9667819397169902E-4</v>
      </c>
      <c r="D35224" s="2">
        <v>1.2815063817729799E-3</v>
      </c>
      <c r="E35224" s="2">
        <v>2.58892973644695E-5</v>
      </c>
      <c r="F35224" s="2">
        <v>5.4291429254320095E-4</v>
      </c>
    </row>
    <row r="35225" spans="1:6" x14ac:dyDescent="0.25">
      <c r="A35225" s="1" t="str">
        <f t="shared" si="1266"/>
        <v>45300</v>
      </c>
      <c r="B35225" s="1" t="str">
        <f>"34674"</f>
        <v>34674</v>
      </c>
      <c r="C35225" s="2">
        <v>9.4820382485506305E-4</v>
      </c>
      <c r="D35225" s="2">
        <v>1.46825856806151E-3</v>
      </c>
      <c r="E35225" s="2">
        <v>2.58892973644695E-5</v>
      </c>
      <c r="F35225" s="2">
        <v>9.5334451967496502E-4</v>
      </c>
    </row>
    <row r="35226" spans="1:6" x14ac:dyDescent="0.25">
      <c r="A35226" s="1" t="str">
        <f t="shared" si="1266"/>
        <v>45300</v>
      </c>
      <c r="B35226" s="1" t="str">
        <f>"33744"</f>
        <v>33744</v>
      </c>
      <c r="C35226" s="2">
        <v>5.6842747230385004E-4</v>
      </c>
      <c r="D35226" s="2">
        <v>2.9622760583697101E-4</v>
      </c>
      <c r="E35226" s="2">
        <v>3.8833946046704197E-5</v>
      </c>
      <c r="F35226" s="2">
        <v>5.2344724619703099E-4</v>
      </c>
    </row>
    <row r="35227" spans="1:6" x14ac:dyDescent="0.25">
      <c r="A35227" s="1" t="str">
        <f t="shared" si="1266"/>
        <v>45300</v>
      </c>
      <c r="B35227" s="1" t="str">
        <f>"33685"</f>
        <v>33685</v>
      </c>
      <c r="C35227" s="2">
        <v>1.13623641634621E-3</v>
      </c>
      <c r="D35227" s="2">
        <v>2.6596087219710701E-3</v>
      </c>
      <c r="E35227" s="2">
        <v>2.58892973644695E-5</v>
      </c>
      <c r="F35227" s="2">
        <v>1.2177718992104399E-3</v>
      </c>
    </row>
    <row r="35228" spans="1:6" x14ac:dyDescent="0.25">
      <c r="A35228" s="1" t="str">
        <f t="shared" si="1266"/>
        <v>45300</v>
      </c>
      <c r="B35228" s="1" t="str">
        <f>"33688"</f>
        <v>33688</v>
      </c>
      <c r="C35228" s="2">
        <v>1.4034406253073299E-3</v>
      </c>
      <c r="D35228" s="2">
        <v>4.6430457349664403E-3</v>
      </c>
      <c r="E35228" s="2">
        <v>3.8833946046704197E-5</v>
      </c>
      <c r="F35228" s="2">
        <v>1.61846860316912E-3</v>
      </c>
    </row>
    <row r="35229" spans="1:6" x14ac:dyDescent="0.25">
      <c r="A35229" s="1" t="str">
        <f t="shared" si="1266"/>
        <v>45300</v>
      </c>
      <c r="B35229" s="1" t="str">
        <f>"34654"</f>
        <v>34654</v>
      </c>
      <c r="C35229" s="2">
        <v>6.9930805243387699E-3</v>
      </c>
      <c r="D35229" s="2">
        <v>3.2520639336450102E-3</v>
      </c>
      <c r="E35229" s="2">
        <v>1.9158080049707399E-3</v>
      </c>
      <c r="F35229" s="2">
        <v>6.46684464594039E-3</v>
      </c>
    </row>
    <row r="35230" spans="1:6" x14ac:dyDescent="0.25">
      <c r="A35230" s="1" t="str">
        <f t="shared" si="1266"/>
        <v>45300</v>
      </c>
      <c r="B35230" s="1" t="str">
        <f>"34655"</f>
        <v>34655</v>
      </c>
      <c r="C35230" s="2">
        <v>1.2696529623483201E-2</v>
      </c>
      <c r="D35230" s="2">
        <v>5.9631905001094696E-3</v>
      </c>
      <c r="E35230" s="2">
        <v>4.4270698493242798E-3</v>
      </c>
      <c r="F35230" s="2">
        <v>1.1785674308744099E-2</v>
      </c>
    </row>
    <row r="35231" spans="1:6" x14ac:dyDescent="0.25">
      <c r="A35231" s="1" t="str">
        <f t="shared" si="1266"/>
        <v>45300</v>
      </c>
      <c r="B35231" s="1" t="str">
        <f>"34606"</f>
        <v>34606</v>
      </c>
      <c r="C35231" s="2">
        <v>8.6346545303174708E-3</v>
      </c>
      <c r="D35231" s="2">
        <v>7.9723864353515392E-3</v>
      </c>
      <c r="E35231" s="2">
        <v>1.3074095169057099E-3</v>
      </c>
      <c r="F35231" s="2">
        <v>8.2729539458351008E-3</v>
      </c>
    </row>
    <row r="35232" spans="1:6" x14ac:dyDescent="0.25">
      <c r="A35232" s="1" t="str">
        <f t="shared" si="1266"/>
        <v>45300</v>
      </c>
      <c r="B35232" s="1" t="str">
        <f>"33684"</f>
        <v>33684</v>
      </c>
      <c r="C35232" s="2">
        <v>1.01747899014127E-3</v>
      </c>
      <c r="D35232" s="2">
        <v>2.7240060275877998E-3</v>
      </c>
      <c r="E35232" s="2">
        <v>2.58892973644695E-5</v>
      </c>
      <c r="F35232" s="2">
        <v>1.1193551649047999E-3</v>
      </c>
    </row>
    <row r="35233" spans="1:6" x14ac:dyDescent="0.25">
      <c r="A35233" s="1" t="str">
        <f t="shared" si="1266"/>
        <v>45300</v>
      </c>
      <c r="B35233" s="1" t="str">
        <f>"33701"</f>
        <v>33701</v>
      </c>
      <c r="C35233" s="2">
        <v>8.7150632043103901E-3</v>
      </c>
      <c r="D35233" s="2">
        <v>1.60800072124982E-2</v>
      </c>
      <c r="E35233" s="2">
        <v>2.0607880702117699E-2</v>
      </c>
      <c r="F35233" s="2">
        <v>9.8303176535287501E-3</v>
      </c>
    </row>
    <row r="35234" spans="1:6" x14ac:dyDescent="0.25">
      <c r="A35234" s="1" t="str">
        <f t="shared" si="1266"/>
        <v>45300</v>
      </c>
      <c r="B35234" s="1" t="str">
        <f>"33755"</f>
        <v>33755</v>
      </c>
      <c r="C35234" s="2">
        <v>7.8503606947556807E-3</v>
      </c>
      <c r="D35234" s="2">
        <v>9.1894955115077899E-3</v>
      </c>
      <c r="E35234" s="2">
        <v>9.9544348366385291E-3</v>
      </c>
      <c r="F35234" s="2">
        <v>8.0507051667163196E-3</v>
      </c>
    </row>
    <row r="35235" spans="1:6" x14ac:dyDescent="0.25">
      <c r="A35235" s="1" t="str">
        <f t="shared" si="1266"/>
        <v>45300</v>
      </c>
      <c r="B35235" s="1" t="str">
        <f>"33635"</f>
        <v>33635</v>
      </c>
      <c r="C35235" s="2">
        <v>5.0787355550456102E-3</v>
      </c>
      <c r="D35235" s="2">
        <v>2.3569413855724199E-3</v>
      </c>
      <c r="E35235" s="2">
        <v>4.8671879045202697E-3</v>
      </c>
      <c r="F35235" s="2">
        <v>4.8413462760351399E-3</v>
      </c>
    </row>
    <row r="35236" spans="1:6" x14ac:dyDescent="0.25">
      <c r="A35236" s="1" t="str">
        <f t="shared" si="1266"/>
        <v>45300</v>
      </c>
      <c r="B35236" s="1" t="str">
        <f>"33609"</f>
        <v>33609</v>
      </c>
      <c r="C35236" s="2">
        <v>5.8228250536109302E-3</v>
      </c>
      <c r="D35236" s="2">
        <v>1.36071506768156E-2</v>
      </c>
      <c r="E35236" s="2">
        <v>1.38119401439444E-2</v>
      </c>
      <c r="F35236" s="2">
        <v>6.8102217134353403E-3</v>
      </c>
    </row>
    <row r="35237" spans="1:6" x14ac:dyDescent="0.25">
      <c r="A35237" s="1" t="str">
        <f t="shared" si="1266"/>
        <v>45300</v>
      </c>
      <c r="B35237" s="1" t="str">
        <f>"33565"</f>
        <v>33565</v>
      </c>
      <c r="C35237" s="2">
        <v>4.8344168917594001E-3</v>
      </c>
      <c r="D35237" s="2">
        <v>7.2768955346908199E-4</v>
      </c>
      <c r="E35237" s="2">
        <v>2.5889297364469502E-4</v>
      </c>
      <c r="F35237" s="2">
        <v>4.2984319834919399E-3</v>
      </c>
    </row>
    <row r="35238" spans="1:6" x14ac:dyDescent="0.25">
      <c r="A35238" s="1" t="str">
        <f t="shared" ref="A35238:A35301" si="1267">"45300"</f>
        <v>45300</v>
      </c>
      <c r="B35238" s="1" t="str">
        <f>"33603"</f>
        <v>33603</v>
      </c>
      <c r="C35238" s="2">
        <v>5.6966452882681803E-3</v>
      </c>
      <c r="D35238" s="2">
        <v>5.78287804438262E-3</v>
      </c>
      <c r="E35238" s="2">
        <v>8.4010769947703602E-3</v>
      </c>
      <c r="F35238" s="2">
        <v>5.8168615984932502E-3</v>
      </c>
    </row>
    <row r="35239" spans="1:6" x14ac:dyDescent="0.25">
      <c r="A35239" s="1" t="str">
        <f t="shared" si="1267"/>
        <v>45300</v>
      </c>
      <c r="B35239" s="1" t="str">
        <f>"33567"</f>
        <v>33567</v>
      </c>
      <c r="C35239" s="2">
        <v>2.6813200135333902E-3</v>
      </c>
      <c r="D35239" s="2">
        <v>7.1481009234573595E-4</v>
      </c>
      <c r="E35239" s="2">
        <v>5.9545383938279896E-4</v>
      </c>
      <c r="F35239" s="2">
        <v>2.4290547829721701E-3</v>
      </c>
    </row>
    <row r="35240" spans="1:6" x14ac:dyDescent="0.25">
      <c r="A35240" s="1" t="str">
        <f t="shared" si="1267"/>
        <v>45300</v>
      </c>
      <c r="B35240" s="1" t="str">
        <f>"33570"</f>
        <v>33570</v>
      </c>
      <c r="C35240" s="2">
        <v>8.94639277410543E-3</v>
      </c>
      <c r="D35240" s="2">
        <v>3.4710147727419001E-3</v>
      </c>
      <c r="E35240" s="2">
        <v>4.6989074716512098E-3</v>
      </c>
      <c r="F35240" s="2">
        <v>8.3091842820904697E-3</v>
      </c>
    </row>
    <row r="35241" spans="1:6" x14ac:dyDescent="0.25">
      <c r="A35241" s="1" t="str">
        <f t="shared" si="1267"/>
        <v>45300</v>
      </c>
      <c r="B35241" s="1" t="str">
        <f>"33615"</f>
        <v>33615</v>
      </c>
      <c r="C35241" s="2">
        <v>1.24509739036741E-2</v>
      </c>
      <c r="D35241" s="2">
        <v>6.2529783753847703E-3</v>
      </c>
      <c r="E35241" s="2">
        <v>2.1876456272976699E-2</v>
      </c>
      <c r="F35241" s="2">
        <v>1.2324262590988099E-2</v>
      </c>
    </row>
    <row r="35242" spans="1:6" x14ac:dyDescent="0.25">
      <c r="A35242" s="1" t="str">
        <f t="shared" si="1267"/>
        <v>45300</v>
      </c>
      <c r="B35242" s="1" t="str">
        <f>"33767"</f>
        <v>33767</v>
      </c>
      <c r="C35242" s="2">
        <v>5.5401576381127202E-3</v>
      </c>
      <c r="D35242" s="2">
        <v>4.4434140875545701E-3</v>
      </c>
      <c r="E35242" s="2">
        <v>5.3461399057629496E-3</v>
      </c>
      <c r="F35242" s="2">
        <v>5.4399579511798897E-3</v>
      </c>
    </row>
    <row r="35243" spans="1:6" x14ac:dyDescent="0.25">
      <c r="A35243" s="1" t="str">
        <f t="shared" si="1267"/>
        <v>45300</v>
      </c>
      <c r="B35243" s="1" t="str">
        <f>"33760"</f>
        <v>33760</v>
      </c>
      <c r="C35243" s="2">
        <v>5.1344030985791701E-3</v>
      </c>
      <c r="D35243" s="2">
        <v>8.0496632020916198E-3</v>
      </c>
      <c r="E35243" s="2">
        <v>1.54817998239527E-2</v>
      </c>
      <c r="F35243" s="2">
        <v>5.81145408561931E-3</v>
      </c>
    </row>
    <row r="35244" spans="1:6" x14ac:dyDescent="0.25">
      <c r="A35244" s="1" t="str">
        <f t="shared" si="1267"/>
        <v>45300</v>
      </c>
      <c r="B35244" s="1" t="str">
        <f>"33780"</f>
        <v>33780</v>
      </c>
      <c r="C35244" s="2">
        <v>1.1399475859151199E-3</v>
      </c>
      <c r="D35244" s="2">
        <v>2.6338497997243698E-3</v>
      </c>
      <c r="E35244" s="2">
        <v>2.58892973644695E-5</v>
      </c>
      <c r="F35244" s="2">
        <v>1.2188534017852301E-3</v>
      </c>
    </row>
    <row r="35245" spans="1:6" x14ac:dyDescent="0.25">
      <c r="A35245" s="1" t="str">
        <f t="shared" si="1267"/>
        <v>45300</v>
      </c>
      <c r="B35245" s="1" t="str">
        <f>"33784"</f>
        <v>33784</v>
      </c>
      <c r="C35245" s="2">
        <v>1.9112523279857401E-4</v>
      </c>
      <c r="D35245" s="2">
        <v>1.8675218628852499E-4</v>
      </c>
      <c r="E35245" s="2">
        <v>1.2944648682234699E-5</v>
      </c>
      <c r="F35245" s="2">
        <v>1.8331468642643901E-4</v>
      </c>
    </row>
    <row r="35246" spans="1:6" x14ac:dyDescent="0.25">
      <c r="A35246" s="1" t="str">
        <f t="shared" si="1267"/>
        <v>45300</v>
      </c>
      <c r="B35246" s="1" t="str">
        <f>"33544"</f>
        <v>33544</v>
      </c>
      <c r="C35246" s="2">
        <v>6.5131025934271397E-3</v>
      </c>
      <c r="D35246" s="2">
        <v>5.8472753499993497E-3</v>
      </c>
      <c r="E35246" s="2">
        <v>6.4593796924351399E-3</v>
      </c>
      <c r="F35246" s="2">
        <v>6.4549481176177301E-3</v>
      </c>
    </row>
    <row r="35247" spans="1:6" x14ac:dyDescent="0.25">
      <c r="A35247" s="1" t="str">
        <f t="shared" si="1267"/>
        <v>45300</v>
      </c>
      <c r="B35247" s="1" t="str">
        <f>"33526"</f>
        <v>33526</v>
      </c>
      <c r="C35247" s="2">
        <v>1.1498440380988599E-3</v>
      </c>
      <c r="D35247" s="2">
        <v>1.9512383601869999E-3</v>
      </c>
      <c r="E35247" s="2">
        <v>2.58892973644695E-5</v>
      </c>
      <c r="F35247" s="2">
        <v>1.1701857859198E-3</v>
      </c>
    </row>
    <row r="35248" spans="1:6" x14ac:dyDescent="0.25">
      <c r="A35248" s="1" t="str">
        <f t="shared" si="1267"/>
        <v>45300</v>
      </c>
      <c r="B35248" s="1" t="str">
        <f>"34661"</f>
        <v>34661</v>
      </c>
      <c r="C35248" s="2">
        <v>8.6593956607768302E-5</v>
      </c>
      <c r="D35248" s="2">
        <v>0</v>
      </c>
      <c r="E35248" s="2">
        <v>2.58892973644695E-5</v>
      </c>
      <c r="F35248" s="2">
        <v>7.6786682809895003E-5</v>
      </c>
    </row>
    <row r="35249" spans="1:6" x14ac:dyDescent="0.25">
      <c r="A35249" s="1" t="str">
        <f t="shared" si="1267"/>
        <v>45300</v>
      </c>
      <c r="B35249" s="1" t="str">
        <f>"34673"</f>
        <v>34673</v>
      </c>
      <c r="C35249" s="2">
        <v>7.6697504424023304E-4</v>
      </c>
      <c r="D35249" s="2">
        <v>1.3394639568280399E-3</v>
      </c>
      <c r="E35249" s="2">
        <v>2.58892973644695E-5</v>
      </c>
      <c r="F35249" s="2">
        <v>7.8408936672075898E-4</v>
      </c>
    </row>
    <row r="35250" spans="1:6" x14ac:dyDescent="0.25">
      <c r="A35250" s="1" t="str">
        <f t="shared" si="1267"/>
        <v>45300</v>
      </c>
      <c r="B35250" s="1" t="str">
        <f>"33810"</f>
        <v>33810</v>
      </c>
      <c r="C35250" s="2">
        <v>2.1153666542754801E-4</v>
      </c>
      <c r="D35250" s="2">
        <v>1.2879461123346501E-5</v>
      </c>
      <c r="E35250" s="2">
        <v>5.1778594728939E-5</v>
      </c>
      <c r="F35250" s="2">
        <v>1.8818144801298201E-4</v>
      </c>
    </row>
    <row r="35251" spans="1:6" x14ac:dyDescent="0.25">
      <c r="A35251" s="1" t="str">
        <f t="shared" si="1267"/>
        <v>45300</v>
      </c>
      <c r="B35251" s="1" t="str">
        <f>"34680"</f>
        <v>34680</v>
      </c>
      <c r="C35251" s="2">
        <v>7.3481157464306201E-4</v>
      </c>
      <c r="D35251" s="2">
        <v>1.9963164741187201E-3</v>
      </c>
      <c r="E35251" s="2">
        <v>2.58892973644695E-5</v>
      </c>
      <c r="F35251" s="2">
        <v>8.1112693109044098E-4</v>
      </c>
    </row>
    <row r="35252" spans="1:6" x14ac:dyDescent="0.25">
      <c r="A35252" s="1" t="str">
        <f t="shared" si="1267"/>
        <v>45300</v>
      </c>
      <c r="B35252" s="1" t="str">
        <f>"33624"</f>
        <v>33624</v>
      </c>
      <c r="C35252" s="2">
        <v>1.03603483798579E-2</v>
      </c>
      <c r="D35252" s="2">
        <v>4.9457130713650901E-3</v>
      </c>
      <c r="E35252" s="2">
        <v>4.8671879045202697E-3</v>
      </c>
      <c r="F35252" s="2">
        <v>9.6762035366215592E-3</v>
      </c>
    </row>
    <row r="35253" spans="1:6" x14ac:dyDescent="0.25">
      <c r="A35253" s="1" t="str">
        <f t="shared" si="1267"/>
        <v>45300</v>
      </c>
      <c r="B35253" s="1" t="str">
        <f>"33682"</f>
        <v>33682</v>
      </c>
      <c r="C35253" s="2">
        <v>1.0552092140917999E-3</v>
      </c>
      <c r="D35253" s="2">
        <v>2.3247427327640598E-3</v>
      </c>
      <c r="E35253" s="2">
        <v>2.58892973644695E-5</v>
      </c>
      <c r="F35253" s="2">
        <v>1.1188144136174099E-3</v>
      </c>
    </row>
    <row r="35254" spans="1:6" x14ac:dyDescent="0.25">
      <c r="A35254" s="1" t="str">
        <f t="shared" si="1267"/>
        <v>45300</v>
      </c>
      <c r="B35254" s="1" t="str">
        <f>"33707"</f>
        <v>33707</v>
      </c>
      <c r="C35254" s="2">
        <v>1.00554139469463E-2</v>
      </c>
      <c r="D35254" s="2">
        <v>8.1140605077083504E-3</v>
      </c>
      <c r="E35254" s="2">
        <v>1.1701962408740199E-2</v>
      </c>
      <c r="F35254" s="2">
        <v>9.9611794650780097E-3</v>
      </c>
    </row>
    <row r="35255" spans="1:6" x14ac:dyDescent="0.25">
      <c r="A35255" s="1" t="str">
        <f t="shared" si="1267"/>
        <v>45300</v>
      </c>
      <c r="B35255" s="1" t="str">
        <f>"33625"</f>
        <v>33625</v>
      </c>
      <c r="C35255" s="2">
        <v>7.2132765854271003E-3</v>
      </c>
      <c r="D35255" s="2">
        <v>4.61728681271975E-3</v>
      </c>
      <c r="E35255" s="2">
        <v>4.4011805519598097E-3</v>
      </c>
      <c r="F35255" s="2">
        <v>6.8778156243595404E-3</v>
      </c>
    </row>
    <row r="35256" spans="1:6" x14ac:dyDescent="0.25">
      <c r="A35256" s="1" t="str">
        <f t="shared" si="1267"/>
        <v>45300</v>
      </c>
      <c r="B35256" s="1" t="str">
        <f>"33710"</f>
        <v>33710</v>
      </c>
      <c r="C35256" s="2">
        <v>9.7461498162043202E-3</v>
      </c>
      <c r="D35256" s="2">
        <v>1.0052419406772E-2</v>
      </c>
      <c r="E35256" s="2">
        <v>6.1487081240615103E-3</v>
      </c>
      <c r="F35256" s="2">
        <v>9.6215876565948107E-3</v>
      </c>
    </row>
    <row r="35257" spans="1:6" x14ac:dyDescent="0.25">
      <c r="A35257" s="1" t="str">
        <f t="shared" si="1267"/>
        <v>45300</v>
      </c>
      <c r="B35257" s="1" t="str">
        <f>"33758"</f>
        <v>33758</v>
      </c>
      <c r="C35257" s="2">
        <v>1.5457021254486601E-3</v>
      </c>
      <c r="D35257" s="2">
        <v>4.2695413623893902E-3</v>
      </c>
      <c r="E35257" s="2">
        <v>2.58892973644695E-5</v>
      </c>
      <c r="F35257" s="2">
        <v>1.71093707331343E-3</v>
      </c>
    </row>
    <row r="35258" spans="1:6" x14ac:dyDescent="0.25">
      <c r="A35258" s="1" t="str">
        <f t="shared" si="1267"/>
        <v>45300</v>
      </c>
      <c r="B35258" s="1" t="str">
        <f>"33712"</f>
        <v>33712</v>
      </c>
      <c r="C35258" s="2">
        <v>7.5955270510242503E-3</v>
      </c>
      <c r="D35258" s="2">
        <v>5.5703669358473998E-3</v>
      </c>
      <c r="E35258" s="2">
        <v>1.69704344224097E-2</v>
      </c>
      <c r="F35258" s="2">
        <v>7.8171006105622696E-3</v>
      </c>
    </row>
    <row r="35259" spans="1:6" x14ac:dyDescent="0.25">
      <c r="A35259" s="1" t="str">
        <f t="shared" si="1267"/>
        <v>45300</v>
      </c>
      <c r="B35259" s="1" t="str">
        <f>"33715"</f>
        <v>33715</v>
      </c>
      <c r="C35259" s="2">
        <v>4.3167087368972496E-3</v>
      </c>
      <c r="D35259" s="2">
        <v>1.22354880671792E-3</v>
      </c>
      <c r="E35259" s="2">
        <v>6.7829959094910103E-3</v>
      </c>
      <c r="F35259" s="2">
        <v>4.1599996539191698E-3</v>
      </c>
    </row>
    <row r="35260" spans="1:6" x14ac:dyDescent="0.25">
      <c r="A35260" s="1" t="str">
        <f t="shared" si="1267"/>
        <v>45300</v>
      </c>
      <c r="B35260" s="1" t="str">
        <f>"33733"</f>
        <v>33733</v>
      </c>
      <c r="C35260" s="2">
        <v>2.41102316326486E-3</v>
      </c>
      <c r="D35260" s="2">
        <v>4.4369743569929003E-3</v>
      </c>
      <c r="E35260" s="2">
        <v>2.58892973644695E-5</v>
      </c>
      <c r="F35260" s="2">
        <v>2.4815076578493501E-3</v>
      </c>
    </row>
    <row r="35261" spans="1:6" x14ac:dyDescent="0.25">
      <c r="A35261" s="1" t="str">
        <f t="shared" si="1267"/>
        <v>45300</v>
      </c>
      <c r="B35261" s="1" t="str">
        <f>"33620"</f>
        <v>33620</v>
      </c>
      <c r="C35261" s="2">
        <v>0</v>
      </c>
      <c r="D35261" s="2">
        <v>4.7583169120204001E-2</v>
      </c>
      <c r="E35261" s="2">
        <v>1.2944648682234699E-5</v>
      </c>
      <c r="F35261" s="2">
        <v>3.9961520138388999E-3</v>
      </c>
    </row>
    <row r="35262" spans="1:6" x14ac:dyDescent="0.25">
      <c r="A35262" s="1" t="str">
        <f t="shared" si="1267"/>
        <v>45300</v>
      </c>
      <c r="B35262" s="1" t="str">
        <f>"33741"</f>
        <v>33741</v>
      </c>
      <c r="C35262" s="2">
        <v>7.5460447901055206E-5</v>
      </c>
      <c r="D35262" s="2">
        <v>1.41674072356812E-4</v>
      </c>
      <c r="E35262" s="2">
        <v>1.2944648682234699E-5</v>
      </c>
      <c r="F35262" s="2">
        <v>7.8408936672075906E-5</v>
      </c>
    </row>
    <row r="35263" spans="1:6" x14ac:dyDescent="0.25">
      <c r="A35263" s="1" t="str">
        <f t="shared" si="1267"/>
        <v>45300</v>
      </c>
      <c r="B35263" s="1" t="str">
        <f>"33592"</f>
        <v>33592</v>
      </c>
      <c r="C35263" s="2">
        <v>3.9734255517735904E-3</v>
      </c>
      <c r="D35263" s="2">
        <v>2.8399211776979202E-3</v>
      </c>
      <c r="E35263" s="2">
        <v>4.2329001190907602E-3</v>
      </c>
      <c r="F35263" s="2">
        <v>3.8890832589349601E-3</v>
      </c>
    </row>
    <row r="35264" spans="1:6" x14ac:dyDescent="0.25">
      <c r="A35264" s="1" t="str">
        <f t="shared" si="1267"/>
        <v>45300</v>
      </c>
      <c r="B35264" s="1" t="str">
        <f>"33702"</f>
        <v>33702</v>
      </c>
      <c r="C35264" s="2">
        <v>1.0493331956077E-2</v>
      </c>
      <c r="D35264" s="2">
        <v>7.4056901459242904E-3</v>
      </c>
      <c r="E35264" s="2">
        <v>1.01356599181898E-2</v>
      </c>
      <c r="F35264" s="2">
        <v>1.02191178291647E-2</v>
      </c>
    </row>
    <row r="35265" spans="1:6" x14ac:dyDescent="0.25">
      <c r="A35265" s="1" t="str">
        <f t="shared" si="1267"/>
        <v>45300</v>
      </c>
      <c r="B35265" s="1" t="str">
        <f>"33647"</f>
        <v>33647</v>
      </c>
      <c r="C35265" s="2">
        <v>1.67287153600978E-2</v>
      </c>
      <c r="D35265" s="2">
        <v>6.1370632252746504E-3</v>
      </c>
      <c r="E35265" s="2">
        <v>6.2393206648371502E-3</v>
      </c>
      <c r="F35265" s="2">
        <v>1.54011374162579E-2</v>
      </c>
    </row>
    <row r="35266" spans="1:6" x14ac:dyDescent="0.25">
      <c r="A35266" s="1" t="str">
        <f t="shared" si="1267"/>
        <v>45300</v>
      </c>
      <c r="B35266" s="1" t="str">
        <f>"33716"</f>
        <v>33716</v>
      </c>
      <c r="C35266" s="2">
        <v>6.7277319001621096E-3</v>
      </c>
      <c r="D35266" s="2">
        <v>5.5317285524773604E-3</v>
      </c>
      <c r="E35266" s="2">
        <v>1.03816082431522E-2</v>
      </c>
      <c r="F35266" s="2">
        <v>6.7799396413413E-3</v>
      </c>
    </row>
    <row r="35267" spans="1:6" x14ac:dyDescent="0.25">
      <c r="A35267" s="1" t="str">
        <f t="shared" si="1267"/>
        <v>45300</v>
      </c>
      <c r="B35267" s="1" t="str">
        <f>"33621"</f>
        <v>33621</v>
      </c>
      <c r="C35267" s="2">
        <v>8.4181696387980497E-4</v>
      </c>
      <c r="D35267" s="2">
        <v>9.0800200919593501E-4</v>
      </c>
      <c r="E35267" s="2">
        <v>5.1778594728939004E-4</v>
      </c>
      <c r="F35267" s="2">
        <v>8.3383848516097297E-4</v>
      </c>
    </row>
    <row r="35268" spans="1:6" x14ac:dyDescent="0.25">
      <c r="A35268" s="1" t="str">
        <f t="shared" si="1267"/>
        <v>45300</v>
      </c>
      <c r="B35268" s="1" t="str">
        <f>"33606"</f>
        <v>33606</v>
      </c>
      <c r="C35268" s="2">
        <v>6.6429935283387996E-3</v>
      </c>
      <c r="D35268" s="2">
        <v>9.7819507231817395E-3</v>
      </c>
      <c r="E35268" s="2">
        <v>1.83814011287733E-2</v>
      </c>
      <c r="F35268" s="2">
        <v>7.3969368602574302E-3</v>
      </c>
    </row>
    <row r="35269" spans="1:6" x14ac:dyDescent="0.25">
      <c r="A35269" s="1" t="str">
        <f t="shared" si="1267"/>
        <v>45300</v>
      </c>
      <c r="B35269" s="1" t="str">
        <f>"33771"</f>
        <v>33771</v>
      </c>
      <c r="C35269" s="2">
        <v>1.05155989734904E-2</v>
      </c>
      <c r="D35269" s="2">
        <v>1.2827943278853201E-2</v>
      </c>
      <c r="E35269" s="2">
        <v>1.29575933309169E-2</v>
      </c>
      <c r="F35269" s="2">
        <v>1.0811781240148101E-2</v>
      </c>
    </row>
    <row r="35270" spans="1:6" x14ac:dyDescent="0.25">
      <c r="A35270" s="1" t="str">
        <f t="shared" si="1267"/>
        <v>45300</v>
      </c>
      <c r="B35270" s="1" t="str">
        <f>"33766"</f>
        <v>33766</v>
      </c>
      <c r="C35270" s="2">
        <v>5.4306781358300397E-4</v>
      </c>
      <c r="D35270" s="2">
        <v>1.7065285988434201E-3</v>
      </c>
      <c r="E35270" s="2">
        <v>1.2944648682234699E-5</v>
      </c>
      <c r="F35270" s="2">
        <v>6.1861947277830895E-4</v>
      </c>
    </row>
    <row r="35271" spans="1:6" x14ac:dyDescent="0.25">
      <c r="A35271" s="1" t="str">
        <f t="shared" si="1267"/>
        <v>45300</v>
      </c>
      <c r="B35271" s="1" t="str">
        <f>"33511"</f>
        <v>33511</v>
      </c>
      <c r="C35271" s="2">
        <v>1.45620108601192E-2</v>
      </c>
      <c r="D35271" s="2">
        <v>1.9802171477145299E-2</v>
      </c>
      <c r="E35271" s="2">
        <v>2.35074820069383E-2</v>
      </c>
      <c r="F35271" s="2">
        <v>1.5375722105750399E-2</v>
      </c>
    </row>
    <row r="35272" spans="1:6" x14ac:dyDescent="0.25">
      <c r="A35272" s="1" t="str">
        <f t="shared" si="1267"/>
        <v>45300</v>
      </c>
      <c r="B35272" s="1" t="str">
        <f>"33574"</f>
        <v>33574</v>
      </c>
      <c r="C35272" s="2">
        <v>0</v>
      </c>
      <c r="D35272" s="2">
        <v>6.4397305616732901E-6</v>
      </c>
      <c r="E35272" s="2">
        <v>1.2944648682234699E-5</v>
      </c>
      <c r="F35272" s="2">
        <v>1.08150257478725E-6</v>
      </c>
    </row>
    <row r="35273" spans="1:6" x14ac:dyDescent="0.25">
      <c r="A35273" s="1" t="str">
        <f t="shared" si="1267"/>
        <v>45300</v>
      </c>
      <c r="B35273" s="1" t="str">
        <f>"34605"</f>
        <v>34605</v>
      </c>
      <c r="C35273" s="2">
        <v>7.4161538551938697E-4</v>
      </c>
      <c r="D35273" s="2">
        <v>1.57129425704828E-3</v>
      </c>
      <c r="E35273" s="2">
        <v>2.58892973644695E-5</v>
      </c>
      <c r="F35273" s="2">
        <v>7.8138561028379095E-4</v>
      </c>
    </row>
    <row r="35274" spans="1:6" x14ac:dyDescent="0.25">
      <c r="A35274" s="1" t="str">
        <f t="shared" si="1267"/>
        <v>45300</v>
      </c>
      <c r="B35274" s="1" t="str">
        <f>"33587"</f>
        <v>33587</v>
      </c>
      <c r="C35274" s="2">
        <v>6.0368358320844198E-4</v>
      </c>
      <c r="D35274" s="2">
        <v>1.93191916850198E-4</v>
      </c>
      <c r="E35274" s="2">
        <v>3.8833946046704197E-5</v>
      </c>
      <c r="F35274" s="2">
        <v>5.4561804898016996E-4</v>
      </c>
    </row>
    <row r="35275" spans="1:6" x14ac:dyDescent="0.25">
      <c r="A35275" s="1" t="str">
        <f t="shared" si="1267"/>
        <v>45300</v>
      </c>
      <c r="B35275" s="1" t="str">
        <f>"33630"</f>
        <v>33630</v>
      </c>
      <c r="C35275" s="2">
        <v>0</v>
      </c>
      <c r="D35275" s="2">
        <v>1.2879461123346501E-5</v>
      </c>
      <c r="E35275" s="2">
        <v>1.03557189457878E-4</v>
      </c>
      <c r="F35275" s="2">
        <v>5.4075128739362703E-6</v>
      </c>
    </row>
    <row r="35276" spans="1:6" x14ac:dyDescent="0.25">
      <c r="A35276" s="1" t="str">
        <f t="shared" si="1267"/>
        <v>45300</v>
      </c>
      <c r="B35276" s="1" t="str">
        <f>"33731"</f>
        <v>33731</v>
      </c>
      <c r="C35276" s="2">
        <v>1.2599420686430201E-3</v>
      </c>
      <c r="D35276" s="2">
        <v>3.1039501307265301E-3</v>
      </c>
      <c r="E35276" s="2">
        <v>2.58892973644695E-5</v>
      </c>
      <c r="F35276" s="2">
        <v>1.3632339955193301E-3</v>
      </c>
    </row>
    <row r="35277" spans="1:6" x14ac:dyDescent="0.25">
      <c r="A35277" s="1" t="str">
        <f t="shared" si="1267"/>
        <v>45300</v>
      </c>
      <c r="B35277" s="1" t="str">
        <f>"33689"</f>
        <v>33689</v>
      </c>
      <c r="C35277" s="2">
        <v>3.3400526120139202E-4</v>
      </c>
      <c r="D35277" s="2">
        <v>1.3909818013214299E-3</v>
      </c>
      <c r="E35277" s="2">
        <v>2.58892973644695E-5</v>
      </c>
      <c r="F35277" s="2">
        <v>4.0988947584436899E-4</v>
      </c>
    </row>
    <row r="35278" spans="1:6" x14ac:dyDescent="0.25">
      <c r="A35278" s="1" t="str">
        <f t="shared" si="1267"/>
        <v>45300</v>
      </c>
      <c r="B35278" s="1" t="str">
        <f>"34607"</f>
        <v>34607</v>
      </c>
      <c r="C35278" s="2">
        <v>3.1254233052789501E-3</v>
      </c>
      <c r="D35278" s="2">
        <v>1.4038612624447701E-3</v>
      </c>
      <c r="E35278" s="2">
        <v>6.4723243411173796E-5</v>
      </c>
      <c r="F35278" s="2">
        <v>2.85300379228877E-3</v>
      </c>
    </row>
    <row r="35279" spans="1:6" x14ac:dyDescent="0.25">
      <c r="A35279" s="1" t="str">
        <f t="shared" si="1267"/>
        <v>45300</v>
      </c>
      <c r="B35279" s="1" t="str">
        <f>"34690"</f>
        <v>34690</v>
      </c>
      <c r="C35279" s="2">
        <v>4.5616459284449299E-3</v>
      </c>
      <c r="D35279" s="2">
        <v>2.2603454271473201E-3</v>
      </c>
      <c r="E35279" s="2">
        <v>6.2134313674726803E-4</v>
      </c>
      <c r="F35279" s="2">
        <v>4.2038005081980502E-3</v>
      </c>
    </row>
    <row r="35280" spans="1:6" x14ac:dyDescent="0.25">
      <c r="A35280" s="1" t="str">
        <f t="shared" si="1267"/>
        <v>45300</v>
      </c>
      <c r="B35280" s="1" t="str">
        <f>"34698"</f>
        <v>34698</v>
      </c>
      <c r="C35280" s="2">
        <v>1.46974685493842E-2</v>
      </c>
      <c r="D35280" s="2">
        <v>9.0349419780276306E-3</v>
      </c>
      <c r="E35280" s="2">
        <v>2.04137109718842E-2</v>
      </c>
      <c r="F35280" s="2">
        <v>1.44607709274803E-2</v>
      </c>
    </row>
    <row r="35281" spans="1:6" x14ac:dyDescent="0.25">
      <c r="A35281" s="1" t="str">
        <f t="shared" si="1267"/>
        <v>45300</v>
      </c>
      <c r="B35281" s="1" t="str">
        <f>"33549"</f>
        <v>33549</v>
      </c>
      <c r="C35281" s="2">
        <v>4.5591718153989999E-3</v>
      </c>
      <c r="D35281" s="2">
        <v>5.20974202439369E-3</v>
      </c>
      <c r="E35281" s="2">
        <v>4.9319111479314403E-3</v>
      </c>
      <c r="F35281" s="2">
        <v>4.6293717713768402E-3</v>
      </c>
    </row>
    <row r="35282" spans="1:6" x14ac:dyDescent="0.25">
      <c r="A35282" s="1" t="str">
        <f t="shared" si="1267"/>
        <v>45300</v>
      </c>
      <c r="B35282" s="1" t="str">
        <f>"34652"</f>
        <v>34652</v>
      </c>
      <c r="C35282" s="2">
        <v>9.6063624291089205E-3</v>
      </c>
      <c r="D35282" s="2">
        <v>1.25188362118928E-2</v>
      </c>
      <c r="E35282" s="2">
        <v>5.8768705017345803E-3</v>
      </c>
      <c r="F35282" s="2">
        <v>9.6951298316803394E-3</v>
      </c>
    </row>
    <row r="35283" spans="1:6" x14ac:dyDescent="0.25">
      <c r="A35283" s="1" t="str">
        <f t="shared" si="1267"/>
        <v>45300</v>
      </c>
      <c r="B35283" s="1" t="str">
        <f>"34609"</f>
        <v>34609</v>
      </c>
      <c r="C35283" s="2">
        <v>1.13846311808756E-2</v>
      </c>
      <c r="D35283" s="2">
        <v>5.76999858325927E-3</v>
      </c>
      <c r="E35283" s="2">
        <v>1.3462434629524099E-3</v>
      </c>
      <c r="F35283" s="2">
        <v>1.04938194831607E-2</v>
      </c>
    </row>
    <row r="35284" spans="1:6" x14ac:dyDescent="0.25">
      <c r="A35284" s="1" t="str">
        <f t="shared" si="1267"/>
        <v>45300</v>
      </c>
      <c r="B35284" s="1" t="str">
        <f>"34601"</f>
        <v>34601</v>
      </c>
      <c r="C35284" s="2">
        <v>8.1812733146496494E-3</v>
      </c>
      <c r="D35284" s="2">
        <v>8.2235359272567997E-3</v>
      </c>
      <c r="E35284" s="2">
        <v>1.4109667063635801E-3</v>
      </c>
      <c r="F35284" s="2">
        <v>7.9019985626830706E-3</v>
      </c>
    </row>
    <row r="35285" spans="1:6" x14ac:dyDescent="0.25">
      <c r="A35285" s="1" t="str">
        <f t="shared" si="1267"/>
        <v>45300</v>
      </c>
      <c r="B35285" s="1" t="str">
        <f>"33626"</f>
        <v>33626</v>
      </c>
      <c r="C35285" s="2">
        <v>8.0513823797380007E-3</v>
      </c>
      <c r="D35285" s="2">
        <v>5.9438713084244499E-3</v>
      </c>
      <c r="E35285" s="2">
        <v>5.1649148242116699E-3</v>
      </c>
      <c r="F35285" s="2">
        <v>7.7538327099372197E-3</v>
      </c>
    </row>
    <row r="35286" spans="1:6" x14ac:dyDescent="0.25">
      <c r="A35286" s="1" t="str">
        <f t="shared" si="1267"/>
        <v>45300</v>
      </c>
      <c r="B35286" s="1" t="str">
        <f>"33704"</f>
        <v>33704</v>
      </c>
      <c r="C35286" s="2">
        <v>5.3842885162187302E-3</v>
      </c>
      <c r="D35286" s="2">
        <v>3.4130571976868401E-3</v>
      </c>
      <c r="E35286" s="2">
        <v>7.9609589395743703E-3</v>
      </c>
      <c r="F35286" s="2">
        <v>5.3264001808272302E-3</v>
      </c>
    </row>
    <row r="35287" spans="1:6" x14ac:dyDescent="0.25">
      <c r="A35287" s="1" t="str">
        <f t="shared" si="1267"/>
        <v>45300</v>
      </c>
      <c r="B35287" s="1" t="str">
        <f>"33629"</f>
        <v>33629</v>
      </c>
      <c r="C35287" s="2">
        <v>7.1396717223104903E-3</v>
      </c>
      <c r="D35287" s="2">
        <v>7.3155339180608599E-3</v>
      </c>
      <c r="E35287" s="2">
        <v>9.9544348366385291E-3</v>
      </c>
      <c r="F35287" s="2">
        <v>7.2720233128695001E-3</v>
      </c>
    </row>
    <row r="35288" spans="1:6" x14ac:dyDescent="0.25">
      <c r="A35288" s="1" t="str">
        <f t="shared" si="1267"/>
        <v>45300</v>
      </c>
      <c r="B35288" s="1" t="str">
        <f>"33756"</f>
        <v>33756</v>
      </c>
      <c r="C35288" s="2">
        <v>1.01147926600488E-2</v>
      </c>
      <c r="D35288" s="2">
        <v>1.1984338575273999E-2</v>
      </c>
      <c r="E35288" s="2">
        <v>1.3074095169057101E-2</v>
      </c>
      <c r="F35288" s="2">
        <v>1.0395402748855E-2</v>
      </c>
    </row>
    <row r="35289" spans="1:6" x14ac:dyDescent="0.25">
      <c r="A35289" s="1" t="str">
        <f t="shared" si="1267"/>
        <v>45300</v>
      </c>
      <c r="B35289" s="1" t="str">
        <f>"33713"</f>
        <v>33713</v>
      </c>
      <c r="C35289" s="2">
        <v>9.6824414052714605E-3</v>
      </c>
      <c r="D35289" s="2">
        <v>1.15142382442718E-2</v>
      </c>
      <c r="E35289" s="2">
        <v>1.0096825972143101E-2</v>
      </c>
      <c r="F35289" s="2">
        <v>9.8535699588866692E-3</v>
      </c>
    </row>
    <row r="35290" spans="1:6" x14ac:dyDescent="0.25">
      <c r="A35290" s="1" t="str">
        <f t="shared" si="1267"/>
        <v>45300</v>
      </c>
      <c r="B35290" s="1" t="str">
        <f>"33679"</f>
        <v>33679</v>
      </c>
      <c r="C35290" s="2">
        <v>7.1068897244518396E-4</v>
      </c>
      <c r="D35290" s="2">
        <v>4.4047757041845298E-3</v>
      </c>
      <c r="E35290" s="2">
        <v>2.58892973644695E-5</v>
      </c>
      <c r="F35290" s="2">
        <v>9.9227861236730604E-4</v>
      </c>
    </row>
    <row r="35291" spans="1:6" x14ac:dyDescent="0.25">
      <c r="A35291" s="1" t="str">
        <f t="shared" si="1267"/>
        <v>45300</v>
      </c>
      <c r="B35291" s="1" t="str">
        <f>"33747"</f>
        <v>33747</v>
      </c>
      <c r="C35291" s="2">
        <v>6.75432861540593E-4</v>
      </c>
      <c r="D35291" s="2">
        <v>1.3974215318831001E-3</v>
      </c>
      <c r="E35291" s="2">
        <v>2.58892973644695E-5</v>
      </c>
      <c r="F35291" s="2">
        <v>7.0892493777304497E-4</v>
      </c>
    </row>
    <row r="35292" spans="1:6" x14ac:dyDescent="0.25">
      <c r="A35292" s="1" t="str">
        <f t="shared" si="1267"/>
        <v>45300</v>
      </c>
      <c r="B35292" s="1" t="str">
        <f>"33743"</f>
        <v>33743</v>
      </c>
      <c r="C35292" s="2">
        <v>1.3094243295617501E-3</v>
      </c>
      <c r="D35292" s="2">
        <v>3.2585036642066799E-3</v>
      </c>
      <c r="E35292" s="2">
        <v>2.58892973644695E-5</v>
      </c>
      <c r="F35292" s="2">
        <v>1.4194721294082701E-3</v>
      </c>
    </row>
    <row r="35293" spans="1:6" x14ac:dyDescent="0.25">
      <c r="A35293" s="1" t="str">
        <f t="shared" si="1267"/>
        <v>45300</v>
      </c>
      <c r="B35293" s="1" t="str">
        <f>"33616"</f>
        <v>33616</v>
      </c>
      <c r="C35293" s="2">
        <v>4.5938093980421096E-3</v>
      </c>
      <c r="D35293" s="2">
        <v>8.6936362582589496E-4</v>
      </c>
      <c r="E35293" s="2">
        <v>4.9836897426603797E-3</v>
      </c>
      <c r="F35293" s="2">
        <v>4.29735048091715E-3</v>
      </c>
    </row>
    <row r="35294" spans="1:6" x14ac:dyDescent="0.25">
      <c r="A35294" s="1" t="str">
        <f t="shared" si="1267"/>
        <v>45300</v>
      </c>
      <c r="B35294" s="1" t="str">
        <f>"33569"</f>
        <v>33569</v>
      </c>
      <c r="C35294" s="2">
        <v>6.6949499023034598E-3</v>
      </c>
      <c r="D35294" s="2">
        <v>1.5970531792949699E-3</v>
      </c>
      <c r="E35294" s="2">
        <v>4.5306270387821597E-4</v>
      </c>
      <c r="F35294" s="2">
        <v>6.0061245490810201E-3</v>
      </c>
    </row>
    <row r="35295" spans="1:6" x14ac:dyDescent="0.25">
      <c r="A35295" s="1" t="str">
        <f t="shared" si="1267"/>
        <v>45300</v>
      </c>
      <c r="B35295" s="1" t="str">
        <f>"33730"</f>
        <v>33730</v>
      </c>
      <c r="C35295" s="2">
        <v>0</v>
      </c>
      <c r="D35295" s="2">
        <v>6.4397305616732901E-6</v>
      </c>
      <c r="E35295" s="2">
        <v>1.2944648682234699E-5</v>
      </c>
      <c r="F35295" s="2">
        <v>1.08150257478725E-6</v>
      </c>
    </row>
    <row r="35296" spans="1:6" x14ac:dyDescent="0.25">
      <c r="A35296" s="1" t="str">
        <f t="shared" si="1267"/>
        <v>45300</v>
      </c>
      <c r="B35296" s="1" t="str">
        <f>"34681"</f>
        <v>34681</v>
      </c>
      <c r="C35296" s="2">
        <v>0</v>
      </c>
      <c r="D35296" s="2">
        <v>0</v>
      </c>
      <c r="E35296" s="2">
        <v>2.58892973644695E-5</v>
      </c>
      <c r="F35296" s="2">
        <v>1.08150257478725E-6</v>
      </c>
    </row>
    <row r="35297" spans="1:6" x14ac:dyDescent="0.25">
      <c r="A35297" s="1" t="str">
        <f t="shared" si="1267"/>
        <v>45300</v>
      </c>
      <c r="B35297" s="1" t="str">
        <f>"33672"</f>
        <v>33672</v>
      </c>
      <c r="C35297" s="2">
        <v>5.7894245274907905E-4</v>
      </c>
      <c r="D35297" s="2">
        <v>1.4875777597465299E-3</v>
      </c>
      <c r="E35297" s="2">
        <v>2.58892973644695E-5</v>
      </c>
      <c r="F35297" s="2">
        <v>6.3213825496314996E-4</v>
      </c>
    </row>
    <row r="35298" spans="1:6" x14ac:dyDescent="0.25">
      <c r="A35298" s="1" t="str">
        <f t="shared" si="1267"/>
        <v>45300</v>
      </c>
      <c r="B35298" s="1" t="str">
        <f>"33860"</f>
        <v>33860</v>
      </c>
      <c r="C35298" s="2">
        <v>6.80381087632465E-6</v>
      </c>
      <c r="D35298" s="2">
        <v>6.4397305616732901E-6</v>
      </c>
      <c r="E35298" s="2">
        <v>0</v>
      </c>
      <c r="F35298" s="2">
        <v>6.4890154487235196E-6</v>
      </c>
    </row>
    <row r="35299" spans="1:6" x14ac:dyDescent="0.25">
      <c r="A35299" s="1" t="str">
        <f t="shared" si="1267"/>
        <v>45300</v>
      </c>
      <c r="B35299" s="1" t="str">
        <f>"33595"</f>
        <v>33595</v>
      </c>
      <c r="C35299" s="2">
        <v>9.1109212916601898E-4</v>
      </c>
      <c r="D35299" s="2">
        <v>3.5096531561119399E-3</v>
      </c>
      <c r="E35299" s="2">
        <v>2.58892973644695E-5</v>
      </c>
      <c r="F35299" s="2">
        <v>1.0923176005351201E-3</v>
      </c>
    </row>
    <row r="35300" spans="1:6" x14ac:dyDescent="0.25">
      <c r="A35300" s="1" t="str">
        <f t="shared" si="1267"/>
        <v>45300</v>
      </c>
      <c r="B35300" s="1" t="str">
        <f>"34603"</f>
        <v>34603</v>
      </c>
      <c r="C35300" s="2">
        <v>5.8265362231798396E-4</v>
      </c>
      <c r="D35300" s="2">
        <v>1.5390956042399099E-3</v>
      </c>
      <c r="E35300" s="2">
        <v>2.58892973644695E-5</v>
      </c>
      <c r="F35300" s="2">
        <v>6.3970877298666102E-4</v>
      </c>
    </row>
    <row r="35301" spans="1:6" x14ac:dyDescent="0.25">
      <c r="A35301" s="1" t="str">
        <f t="shared" si="1267"/>
        <v>45300</v>
      </c>
      <c r="B35301" s="1" t="str">
        <f>"33785"</f>
        <v>33785</v>
      </c>
      <c r="C35301" s="2">
        <v>3.9925999278795999E-3</v>
      </c>
      <c r="D35301" s="2">
        <v>3.6835258812771198E-3</v>
      </c>
      <c r="E35301" s="2">
        <v>9.6437632682648908E-3</v>
      </c>
      <c r="F35301" s="2">
        <v>4.2027190056232698E-3</v>
      </c>
    </row>
    <row r="35302" spans="1:6" x14ac:dyDescent="0.25">
      <c r="A35302" s="1" t="str">
        <f t="shared" ref="A35302:A35316" si="1268">"45300"</f>
        <v>45300</v>
      </c>
      <c r="B35302" s="1" t="str">
        <f>"33541"</f>
        <v>33541</v>
      </c>
      <c r="C35302" s="2">
        <v>8.0334450601549593E-3</v>
      </c>
      <c r="D35302" s="2">
        <v>3.1232693224115498E-3</v>
      </c>
      <c r="E35302" s="2">
        <v>1.3462434629524099E-3</v>
      </c>
      <c r="F35302" s="2">
        <v>7.3417802289432801E-3</v>
      </c>
    </row>
    <row r="35303" spans="1:6" x14ac:dyDescent="0.25">
      <c r="A35303" s="1" t="str">
        <f t="shared" si="1268"/>
        <v>45300</v>
      </c>
      <c r="B35303" s="1" t="str">
        <f>"33786"</f>
        <v>33786</v>
      </c>
      <c r="C35303" s="2">
        <v>7.6078976162539296E-4</v>
      </c>
      <c r="D35303" s="2">
        <v>5.7957575055059602E-5</v>
      </c>
      <c r="E35303" s="2">
        <v>4.0128410914927698E-4</v>
      </c>
      <c r="F35303" s="2">
        <v>6.86754134989906E-4</v>
      </c>
    </row>
    <row r="35304" spans="1:6" x14ac:dyDescent="0.25">
      <c r="A35304" s="1" t="str">
        <f t="shared" si="1268"/>
        <v>45300</v>
      </c>
      <c r="B35304" s="1" t="str">
        <f>"33510"</f>
        <v>33510</v>
      </c>
      <c r="C35304" s="2">
        <v>7.4730584552504002E-3</v>
      </c>
      <c r="D35304" s="2">
        <v>2.7690841415195099E-3</v>
      </c>
      <c r="E35304" s="2">
        <v>1.0731113757572601E-2</v>
      </c>
      <c r="F35304" s="2">
        <v>7.21416292511838E-3</v>
      </c>
    </row>
    <row r="35305" spans="1:6" x14ac:dyDescent="0.25">
      <c r="A35305" s="1" t="str">
        <f t="shared" si="1268"/>
        <v>45300</v>
      </c>
      <c r="B35305" s="1" t="str">
        <f>"33540"</f>
        <v>33540</v>
      </c>
      <c r="C35305" s="2">
        <v>3.4804585273707999E-3</v>
      </c>
      <c r="D35305" s="2">
        <v>6.4397305616732898E-4</v>
      </c>
      <c r="E35305" s="2">
        <v>4.14228757831512E-4</v>
      </c>
      <c r="F35305" s="2">
        <v>3.1141866640999002E-3</v>
      </c>
    </row>
    <row r="35306" spans="1:6" x14ac:dyDescent="0.25">
      <c r="A35306" s="1" t="str">
        <f t="shared" si="1268"/>
        <v>45300</v>
      </c>
      <c r="B35306" s="1" t="str">
        <f>"34613"</f>
        <v>34613</v>
      </c>
      <c r="C35306" s="2">
        <v>6.7283504284235997E-3</v>
      </c>
      <c r="D35306" s="2">
        <v>5.3127777133804696E-3</v>
      </c>
      <c r="E35306" s="2">
        <v>3.6245016310257301E-4</v>
      </c>
      <c r="F35306" s="2">
        <v>6.34355335241464E-3</v>
      </c>
    </row>
    <row r="35307" spans="1:6" x14ac:dyDescent="0.25">
      <c r="A35307" s="1" t="str">
        <f t="shared" si="1268"/>
        <v>45300</v>
      </c>
      <c r="B35307" s="1" t="str">
        <f>"34653"</f>
        <v>34653</v>
      </c>
      <c r="C35307" s="2">
        <v>1.03993156603314E-2</v>
      </c>
      <c r="D35307" s="2">
        <v>5.5896861275324203E-3</v>
      </c>
      <c r="E35307" s="2">
        <v>1.1546626624553399E-2</v>
      </c>
      <c r="F35307" s="2">
        <v>1.0043373660761801E-2</v>
      </c>
    </row>
    <row r="35308" spans="1:6" x14ac:dyDescent="0.25">
      <c r="A35308" s="1" t="str">
        <f t="shared" si="1268"/>
        <v>45300</v>
      </c>
      <c r="B35308" s="1" t="str">
        <f>"34667"</f>
        <v>34667</v>
      </c>
      <c r="C35308" s="2">
        <v>1.22864453861193E-2</v>
      </c>
      <c r="D35308" s="2">
        <v>1.01876537485671E-2</v>
      </c>
      <c r="E35308" s="2">
        <v>7.7408999119763797E-3</v>
      </c>
      <c r="F35308" s="2">
        <v>1.1920321379305101E-2</v>
      </c>
    </row>
    <row r="35309" spans="1:6" x14ac:dyDescent="0.25">
      <c r="A35309" s="1" t="str">
        <f t="shared" si="1268"/>
        <v>45300</v>
      </c>
      <c r="B35309" s="1" t="str">
        <f>"34685"</f>
        <v>34685</v>
      </c>
      <c r="C35309" s="2">
        <v>4.8690544744025097E-3</v>
      </c>
      <c r="D35309" s="2">
        <v>1.67432994603505E-3</v>
      </c>
      <c r="E35309" s="2">
        <v>5.15197017552943E-3</v>
      </c>
      <c r="F35309" s="2">
        <v>4.6126084814676399E-3</v>
      </c>
    </row>
    <row r="35310" spans="1:6" x14ac:dyDescent="0.25">
      <c r="A35310" s="1" t="str">
        <f t="shared" si="1268"/>
        <v>45300</v>
      </c>
      <c r="B35310" s="1" t="str">
        <f>"34610"</f>
        <v>34610</v>
      </c>
      <c r="C35310" s="2">
        <v>4.1422837671587403E-3</v>
      </c>
      <c r="D35310" s="2">
        <v>1.4424996458148099E-3</v>
      </c>
      <c r="E35310" s="2">
        <v>1.5533578418681701E-4</v>
      </c>
      <c r="F35310" s="2">
        <v>3.7490286755000098E-3</v>
      </c>
    </row>
    <row r="35311" spans="1:6" x14ac:dyDescent="0.25">
      <c r="A35311" s="1" t="str">
        <f t="shared" si="1268"/>
        <v>45300</v>
      </c>
      <c r="B35311" s="1" t="str">
        <f>"34639"</f>
        <v>34639</v>
      </c>
      <c r="C35311" s="2">
        <v>7.9258211426567297E-3</v>
      </c>
      <c r="D35311" s="2">
        <v>6.0469069974112199E-3</v>
      </c>
      <c r="E35311" s="2">
        <v>1.54041319318593E-3</v>
      </c>
      <c r="F35311" s="2">
        <v>7.5013018587243999E-3</v>
      </c>
    </row>
    <row r="35312" spans="1:6" x14ac:dyDescent="0.25">
      <c r="A35312" s="1" t="str">
        <f t="shared" si="1268"/>
        <v>45300</v>
      </c>
      <c r="B35312" s="1" t="str">
        <f>"34682"</f>
        <v>34682</v>
      </c>
      <c r="C35312" s="2">
        <v>7.6511945945578102E-4</v>
      </c>
      <c r="D35312" s="2">
        <v>3.0137939028631001E-3</v>
      </c>
      <c r="E35312" s="2">
        <v>2.58892973644695E-5</v>
      </c>
      <c r="F35312" s="2">
        <v>9.2306244758092197E-4</v>
      </c>
    </row>
    <row r="35313" spans="1:6" x14ac:dyDescent="0.25">
      <c r="A35313" s="1" t="str">
        <f t="shared" si="1268"/>
        <v>45300</v>
      </c>
      <c r="B35313" s="1" t="str">
        <f>"34611"</f>
        <v>34611</v>
      </c>
      <c r="C35313" s="2">
        <v>1.4182853035829401E-3</v>
      </c>
      <c r="D35313" s="2">
        <v>2.8270417165745698E-3</v>
      </c>
      <c r="E35313" s="2">
        <v>5.1778594728939E-5</v>
      </c>
      <c r="F35313" s="2">
        <v>1.4794955223089599E-3</v>
      </c>
    </row>
    <row r="35314" spans="1:6" x14ac:dyDescent="0.25">
      <c r="A35314" s="1" t="str">
        <f t="shared" si="1268"/>
        <v>45300</v>
      </c>
      <c r="B35314" s="1" t="str">
        <f>"34608"</f>
        <v>34608</v>
      </c>
      <c r="C35314" s="2">
        <v>8.9439186610594992E-3</v>
      </c>
      <c r="D35314" s="2">
        <v>2.2345865049006302E-3</v>
      </c>
      <c r="E35314" s="2">
        <v>7.5078962356961605E-4</v>
      </c>
      <c r="F35314" s="2">
        <v>8.0382678871062704E-3</v>
      </c>
    </row>
    <row r="35315" spans="1:6" x14ac:dyDescent="0.25">
      <c r="A35315" s="1" t="str">
        <f t="shared" si="1268"/>
        <v>45300</v>
      </c>
      <c r="B35315" s="1" t="str">
        <f>"33673"</f>
        <v>33673</v>
      </c>
      <c r="C35315" s="2">
        <v>5.8822037667134004E-4</v>
      </c>
      <c r="D35315" s="2">
        <v>5.8601548111226998E-4</v>
      </c>
      <c r="E35315" s="2">
        <v>2.58892973644695E-5</v>
      </c>
      <c r="F35315" s="2">
        <v>5.6454434403894701E-4</v>
      </c>
    </row>
    <row r="35316" spans="1:6" x14ac:dyDescent="0.25">
      <c r="A35316" s="1" t="str">
        <f t="shared" si="1268"/>
        <v>45300</v>
      </c>
      <c r="B35316" s="1" t="str">
        <f>"33705"</f>
        <v>33705</v>
      </c>
      <c r="C35316" s="2">
        <v>9.49007911594992E-3</v>
      </c>
      <c r="D35316" s="2">
        <v>5.4866504385456503E-3</v>
      </c>
      <c r="E35316" s="2">
        <v>1.40449438202247E-2</v>
      </c>
      <c r="F35316" s="2">
        <v>9.3441822461618803E-3</v>
      </c>
    </row>
    <row r="35317" spans="1:6" x14ac:dyDescent="0.25">
      <c r="A35317" s="1" t="str">
        <f t="shared" ref="A35317:A35337" si="1269">"45340"</f>
        <v>45340</v>
      </c>
      <c r="B35317" s="1" t="str">
        <f>"87513"</f>
        <v>87513</v>
      </c>
      <c r="C35317" s="2">
        <v>6.6715591433718E-5</v>
      </c>
      <c r="D35317" s="2">
        <v>1.08636610537751E-3</v>
      </c>
      <c r="E35317" s="2">
        <v>3.6991368680641102E-3</v>
      </c>
      <c r="F35317" s="2">
        <v>3.4011677342554199E-4</v>
      </c>
    </row>
    <row r="35318" spans="1:6" x14ac:dyDescent="0.25">
      <c r="A35318" s="1" t="str">
        <f t="shared" si="1269"/>
        <v>45340</v>
      </c>
      <c r="B35318" s="1" t="str">
        <f>"87517"</f>
        <v>87517</v>
      </c>
      <c r="C35318" s="2">
        <v>6.6715591433718E-5</v>
      </c>
      <c r="D35318" s="2">
        <v>0</v>
      </c>
      <c r="E35318" s="2">
        <v>1.2330456226880299E-3</v>
      </c>
      <c r="F35318" s="2">
        <v>1.13372257808514E-4</v>
      </c>
    </row>
    <row r="35319" spans="1:6" x14ac:dyDescent="0.25">
      <c r="A35319" s="1" t="str">
        <f t="shared" si="1269"/>
        <v>45340</v>
      </c>
      <c r="B35319" s="1" t="str">
        <f>"87557"</f>
        <v>87557</v>
      </c>
      <c r="C35319" s="2">
        <v>0.25038361465074299</v>
      </c>
      <c r="D35319" s="2">
        <v>8.3107007061379606E-2</v>
      </c>
      <c r="E35319" s="2">
        <v>4.1923551171393299E-2</v>
      </c>
      <c r="F35319" s="2">
        <v>0.22334334788277299</v>
      </c>
    </row>
    <row r="35320" spans="1:6" x14ac:dyDescent="0.25">
      <c r="A35320" s="1" t="str">
        <f t="shared" si="1269"/>
        <v>45340</v>
      </c>
      <c r="B35320" s="1" t="str">
        <f>"87580"</f>
        <v>87580</v>
      </c>
      <c r="C35320" s="2">
        <v>7.5388618320101396E-3</v>
      </c>
      <c r="D35320" s="2">
        <v>0</v>
      </c>
      <c r="E35320" s="2">
        <v>1.2330456226880299E-3</v>
      </c>
      <c r="F35320" s="2">
        <v>6.4622186950853101E-3</v>
      </c>
    </row>
    <row r="35321" spans="1:6" x14ac:dyDescent="0.25">
      <c r="A35321" s="1" t="str">
        <f t="shared" si="1269"/>
        <v>45340</v>
      </c>
      <c r="B35321" s="1" t="str">
        <f>"87543"</f>
        <v>87543</v>
      </c>
      <c r="C35321" s="2">
        <v>0</v>
      </c>
      <c r="D35321" s="2">
        <v>0</v>
      </c>
      <c r="E35321" s="2">
        <v>1.2330456226880299E-3</v>
      </c>
      <c r="F35321" s="2">
        <v>5.66861289042571E-5</v>
      </c>
    </row>
    <row r="35322" spans="1:6" x14ac:dyDescent="0.25">
      <c r="A35322" s="1" t="str">
        <f t="shared" si="1269"/>
        <v>45340</v>
      </c>
      <c r="B35322" s="1" t="str">
        <f>"87524"</f>
        <v>87524</v>
      </c>
      <c r="C35322" s="2">
        <v>6.6715591433718E-5</v>
      </c>
      <c r="D35322" s="2">
        <v>0</v>
      </c>
      <c r="E35322" s="2">
        <v>1.2330456226880299E-3</v>
      </c>
      <c r="F35322" s="2">
        <v>1.13372257808514E-4</v>
      </c>
    </row>
    <row r="35323" spans="1:6" x14ac:dyDescent="0.25">
      <c r="A35323" s="1" t="str">
        <f t="shared" si="1269"/>
        <v>45340</v>
      </c>
      <c r="B35323" s="1" t="str">
        <f>"87558"</f>
        <v>87558</v>
      </c>
      <c r="C35323" s="2">
        <v>6.6715591433718E-5</v>
      </c>
      <c r="D35323" s="2">
        <v>0</v>
      </c>
      <c r="E35323" s="2">
        <v>1.2330456226880299E-3</v>
      </c>
      <c r="F35323" s="2">
        <v>1.13372257808514E-4</v>
      </c>
    </row>
    <row r="35324" spans="1:6" x14ac:dyDescent="0.25">
      <c r="A35324" s="1" t="str">
        <f t="shared" si="1269"/>
        <v>45340</v>
      </c>
      <c r="B35324" s="1" t="str">
        <f>"87512"</f>
        <v>87512</v>
      </c>
      <c r="C35324" s="2">
        <v>0</v>
      </c>
      <c r="D35324" s="2">
        <v>0</v>
      </c>
      <c r="E35324" s="2">
        <v>1.2330456226880299E-3</v>
      </c>
      <c r="F35324" s="2">
        <v>5.66861289042571E-5</v>
      </c>
    </row>
    <row r="35325" spans="1:6" x14ac:dyDescent="0.25">
      <c r="A35325" s="1" t="str">
        <f t="shared" si="1269"/>
        <v>45340</v>
      </c>
      <c r="B35325" s="1" t="str">
        <f>"87529"</f>
        <v>87529</v>
      </c>
      <c r="C35325" s="2">
        <v>0.16832343718727</v>
      </c>
      <c r="D35325" s="2">
        <v>5.5404671374253103E-2</v>
      </c>
      <c r="E35325" s="2">
        <v>3.82244143033292E-2</v>
      </c>
      <c r="F35325" s="2">
        <v>0.15055835836970599</v>
      </c>
    </row>
    <row r="35326" spans="1:6" x14ac:dyDescent="0.25">
      <c r="A35326" s="1" t="str">
        <f t="shared" si="1269"/>
        <v>45340</v>
      </c>
      <c r="B35326" s="1" t="str">
        <f>"87553"</f>
        <v>87553</v>
      </c>
      <c r="C35326" s="2">
        <v>7.0051371005403901E-3</v>
      </c>
      <c r="D35326" s="2">
        <v>0</v>
      </c>
      <c r="E35326" s="2">
        <v>2.4660912453760698E-3</v>
      </c>
      <c r="F35326" s="2">
        <v>6.0654157927555099E-3</v>
      </c>
    </row>
    <row r="35327" spans="1:6" x14ac:dyDescent="0.25">
      <c r="A35327" s="1" t="str">
        <f t="shared" si="1269"/>
        <v>45340</v>
      </c>
      <c r="B35327" s="1" t="str">
        <f>"87521"</f>
        <v>87521</v>
      </c>
      <c r="C35327" s="2">
        <v>1.36099806524784E-2</v>
      </c>
      <c r="D35327" s="2">
        <v>5.4318305268875595E-4</v>
      </c>
      <c r="E35327" s="2">
        <v>4.9321824907521501E-3</v>
      </c>
      <c r="F35327" s="2">
        <v>1.18474009409897E-2</v>
      </c>
    </row>
    <row r="35328" spans="1:6" x14ac:dyDescent="0.25">
      <c r="A35328" s="1" t="str">
        <f t="shared" si="1269"/>
        <v>45340</v>
      </c>
      <c r="B35328" s="1" t="str">
        <f>"87556"</f>
        <v>87556</v>
      </c>
      <c r="C35328" s="2">
        <v>1.9080659150043301E-2</v>
      </c>
      <c r="D35328" s="2">
        <v>0</v>
      </c>
      <c r="E35328" s="2">
        <v>1.2330456226880299E-3</v>
      </c>
      <c r="F35328" s="2">
        <v>1.62689189955217E-2</v>
      </c>
    </row>
    <row r="35329" spans="1:6" x14ac:dyDescent="0.25">
      <c r="A35329" s="1" t="str">
        <f t="shared" si="1269"/>
        <v>45340</v>
      </c>
      <c r="B35329" s="1" t="str">
        <f>"87571"</f>
        <v>87571</v>
      </c>
      <c r="C35329" s="2">
        <v>0.50416972446460695</v>
      </c>
      <c r="D35329" s="2">
        <v>0.85605649103747905</v>
      </c>
      <c r="E35329" s="2">
        <v>0.88039457459925996</v>
      </c>
      <c r="F35329" s="2">
        <v>0.55818831132021896</v>
      </c>
    </row>
    <row r="35330" spans="1:6" x14ac:dyDescent="0.25">
      <c r="A35330" s="1" t="str">
        <f t="shared" si="1269"/>
        <v>45340</v>
      </c>
      <c r="B35330" s="1" t="str">
        <f>"87577"</f>
        <v>87577</v>
      </c>
      <c r="C35330" s="2">
        <v>0</v>
      </c>
      <c r="D35330" s="2">
        <v>0</v>
      </c>
      <c r="E35330" s="2">
        <v>2.4660912453760698E-3</v>
      </c>
      <c r="F35330" s="2">
        <v>1.13372257808514E-4</v>
      </c>
    </row>
    <row r="35331" spans="1:6" x14ac:dyDescent="0.25">
      <c r="A35331" s="1" t="str">
        <f t="shared" si="1269"/>
        <v>45340</v>
      </c>
      <c r="B35331" s="1" t="str">
        <f>"87549"</f>
        <v>87549</v>
      </c>
      <c r="C35331" s="2">
        <v>1.1875375275201799E-2</v>
      </c>
      <c r="D35331" s="2">
        <v>5.4318305268875595E-4</v>
      </c>
      <c r="E35331" s="2">
        <v>1.2330456226880299E-3</v>
      </c>
      <c r="F35331" s="2">
        <v>1.0203503202766201E-2</v>
      </c>
    </row>
    <row r="35332" spans="1:6" x14ac:dyDescent="0.25">
      <c r="A35332" s="1" t="str">
        <f t="shared" si="1269"/>
        <v>45340</v>
      </c>
      <c r="B35332" s="1" t="str">
        <f>"87579"</f>
        <v>87579</v>
      </c>
      <c r="C35332" s="2">
        <v>1.54780172126225E-2</v>
      </c>
      <c r="D35332" s="2">
        <v>2.71591526344378E-3</v>
      </c>
      <c r="E35332" s="2">
        <v>2.4660912453760698E-3</v>
      </c>
      <c r="F35332" s="2">
        <v>1.35479848081174E-2</v>
      </c>
    </row>
    <row r="35333" spans="1:6" x14ac:dyDescent="0.25">
      <c r="A35333" s="1" t="str">
        <f t="shared" si="1269"/>
        <v>45340</v>
      </c>
      <c r="B35333" s="1" t="str">
        <f>"87519"</f>
        <v>87519</v>
      </c>
      <c r="C35333" s="2">
        <v>6.6715591433718E-5</v>
      </c>
      <c r="D35333" s="2">
        <v>5.4318305268875595E-4</v>
      </c>
      <c r="E35333" s="2">
        <v>1.2330456226880299E-3</v>
      </c>
      <c r="F35333" s="2">
        <v>1.7005838671277099E-4</v>
      </c>
    </row>
    <row r="35334" spans="1:6" x14ac:dyDescent="0.25">
      <c r="A35334" s="1" t="str">
        <f t="shared" si="1269"/>
        <v>45340</v>
      </c>
      <c r="B35334" s="1" t="str">
        <f>"87564"</f>
        <v>87564</v>
      </c>
      <c r="C35334" s="2">
        <v>0</v>
      </c>
      <c r="D35334" s="2">
        <v>0</v>
      </c>
      <c r="E35334" s="2">
        <v>2.4660912453760698E-3</v>
      </c>
      <c r="F35334" s="2">
        <v>1.13372257808514E-4</v>
      </c>
    </row>
    <row r="35335" spans="1:6" x14ac:dyDescent="0.25">
      <c r="A35335" s="1" t="str">
        <f t="shared" si="1269"/>
        <v>45340</v>
      </c>
      <c r="B35335" s="1" t="str">
        <f>"87576"</f>
        <v>87576</v>
      </c>
      <c r="C35335" s="2">
        <v>2.1348989258789699E-3</v>
      </c>
      <c r="D35335" s="2">
        <v>0</v>
      </c>
      <c r="E35335" s="2">
        <v>1.2330456226880299E-3</v>
      </c>
      <c r="F35335" s="2">
        <v>1.8706422538404799E-3</v>
      </c>
    </row>
    <row r="35336" spans="1:6" x14ac:dyDescent="0.25">
      <c r="A35336" s="1" t="str">
        <f t="shared" si="1269"/>
        <v>45340</v>
      </c>
      <c r="B35336" s="1" t="str">
        <f>"87514"</f>
        <v>87514</v>
      </c>
      <c r="C35336" s="2">
        <v>6.6715591433718E-5</v>
      </c>
      <c r="D35336" s="2">
        <v>0</v>
      </c>
      <c r="E35336" s="2">
        <v>6.1652281134401904E-3</v>
      </c>
      <c r="F35336" s="2">
        <v>3.4011677342554199E-4</v>
      </c>
    </row>
    <row r="35337" spans="1:6" x14ac:dyDescent="0.25">
      <c r="A35337" s="1" t="str">
        <f t="shared" si="1269"/>
        <v>45340</v>
      </c>
      <c r="B35337" s="1" t="str">
        <f>"87525"</f>
        <v>87525</v>
      </c>
      <c r="C35337" s="2">
        <v>0</v>
      </c>
      <c r="D35337" s="2">
        <v>0</v>
      </c>
      <c r="E35337" s="2">
        <v>2.4660912453760698E-3</v>
      </c>
      <c r="F35337" s="2">
        <v>1.13372257808514E-4</v>
      </c>
    </row>
    <row r="35338" spans="1:6" x14ac:dyDescent="0.25">
      <c r="A35338" s="1" t="str">
        <f t="shared" ref="A35338:A35357" si="1270">"45380"</f>
        <v>45380</v>
      </c>
      <c r="B35338" s="1" t="str">
        <f>"62546"</f>
        <v>62546</v>
      </c>
      <c r="C35338" s="2">
        <v>4.4238293575665701E-2</v>
      </c>
      <c r="D35338" s="2">
        <v>3.3762057877813501E-2</v>
      </c>
      <c r="E35338" s="2">
        <v>1.42857142857142E-2</v>
      </c>
      <c r="F35338" s="2">
        <v>4.2775556824671601E-2</v>
      </c>
    </row>
    <row r="35339" spans="1:6" x14ac:dyDescent="0.25">
      <c r="A35339" s="1" t="str">
        <f t="shared" si="1270"/>
        <v>45380</v>
      </c>
      <c r="B35339" s="1" t="str">
        <f>"62557"</f>
        <v>62557</v>
      </c>
      <c r="C35339" s="2">
        <v>0.207244730531364</v>
      </c>
      <c r="D35339" s="2">
        <v>0.25643086816720201</v>
      </c>
      <c r="E35339" s="2">
        <v>0.25238095238095198</v>
      </c>
      <c r="F35339" s="2">
        <v>0.21182181610508199</v>
      </c>
    </row>
    <row r="35340" spans="1:6" x14ac:dyDescent="0.25">
      <c r="A35340" s="1" t="str">
        <f t="shared" si="1270"/>
        <v>45380</v>
      </c>
      <c r="B35340" s="1" t="str">
        <f>"62545"</f>
        <v>62545</v>
      </c>
      <c r="C35340" s="2">
        <v>8.1408557364634603E-3</v>
      </c>
      <c r="D35340" s="2">
        <v>0</v>
      </c>
      <c r="E35340" s="2">
        <v>0</v>
      </c>
      <c r="F35340" s="2">
        <v>7.36721873215305E-3</v>
      </c>
    </row>
    <row r="35341" spans="1:6" x14ac:dyDescent="0.25">
      <c r="A35341" s="1" t="str">
        <f t="shared" si="1270"/>
        <v>45380</v>
      </c>
      <c r="B35341" s="1" t="str">
        <f>"62567"</f>
        <v>62567</v>
      </c>
      <c r="C35341" s="2">
        <v>3.3257604442761497E-2</v>
      </c>
      <c r="D35341" s="2">
        <v>2.6527331189710599E-2</v>
      </c>
      <c r="E35341" s="2">
        <v>2.1428571428571401E-2</v>
      </c>
      <c r="F35341" s="2">
        <v>3.2495716733295203E-2</v>
      </c>
    </row>
    <row r="35342" spans="1:6" x14ac:dyDescent="0.25">
      <c r="A35342" s="1" t="str">
        <f t="shared" si="1270"/>
        <v>45380</v>
      </c>
      <c r="B35342" s="1" t="str">
        <f>"62510"</f>
        <v>62510</v>
      </c>
      <c r="C35342" s="2">
        <v>4.58790862047204E-2</v>
      </c>
      <c r="D35342" s="2">
        <v>6.91318327974276E-2</v>
      </c>
      <c r="E35342" s="2">
        <v>6.4285714285714196E-2</v>
      </c>
      <c r="F35342" s="2">
        <v>4.7972587093089603E-2</v>
      </c>
    </row>
    <row r="35343" spans="1:6" x14ac:dyDescent="0.25">
      <c r="A35343" s="1" t="str">
        <f t="shared" si="1270"/>
        <v>45380</v>
      </c>
      <c r="B35343" s="1" t="str">
        <f>"62538"</f>
        <v>62538</v>
      </c>
      <c r="C35343" s="2">
        <v>2.4611889435819699E-3</v>
      </c>
      <c r="D35343" s="2">
        <v>1.60771704180064E-3</v>
      </c>
      <c r="E35343" s="2">
        <v>0</v>
      </c>
      <c r="F35343" s="2">
        <v>2.3415191319246099E-3</v>
      </c>
    </row>
    <row r="35344" spans="1:6" x14ac:dyDescent="0.25">
      <c r="A35344" s="1" t="str">
        <f t="shared" si="1270"/>
        <v>45380</v>
      </c>
      <c r="B35344" s="1" t="str">
        <f>"62550"</f>
        <v>62550</v>
      </c>
      <c r="C35344" s="2">
        <v>1.08544743152846E-2</v>
      </c>
      <c r="D35344" s="2">
        <v>4.8231511254019201E-3</v>
      </c>
      <c r="E35344" s="2">
        <v>0</v>
      </c>
      <c r="F35344" s="2">
        <v>1.01656196459166E-2</v>
      </c>
    </row>
    <row r="35345" spans="1:6" x14ac:dyDescent="0.25">
      <c r="A35345" s="1" t="str">
        <f t="shared" si="1270"/>
        <v>45380</v>
      </c>
      <c r="B35345" s="1" t="str">
        <f>"62540"</f>
        <v>62540</v>
      </c>
      <c r="C35345" s="2">
        <v>4.6573267701628097E-2</v>
      </c>
      <c r="D35345" s="2">
        <v>3.2154340836012797E-2</v>
      </c>
      <c r="E35345" s="2">
        <v>1.6666666666666601E-2</v>
      </c>
      <c r="F35345" s="2">
        <v>4.48315248429468E-2</v>
      </c>
    </row>
    <row r="35346" spans="1:6" x14ac:dyDescent="0.25">
      <c r="A35346" s="1" t="str">
        <f t="shared" si="1270"/>
        <v>45380</v>
      </c>
      <c r="B35346" s="1" t="str">
        <f>"62568"</f>
        <v>62568</v>
      </c>
      <c r="C35346" s="2">
        <v>0.45702385460053002</v>
      </c>
      <c r="D35346" s="2">
        <v>0.53697749196141398</v>
      </c>
      <c r="E35346" s="2">
        <v>0.588095238095238</v>
      </c>
      <c r="F35346" s="2">
        <v>0.46584808680753798</v>
      </c>
    </row>
    <row r="35347" spans="1:6" x14ac:dyDescent="0.25">
      <c r="A35347" s="1" t="str">
        <f t="shared" si="1270"/>
        <v>45380</v>
      </c>
      <c r="B35347" s="1" t="str">
        <f>"62083"</f>
        <v>62083</v>
      </c>
      <c r="C35347" s="2">
        <v>5.0485927047835399E-3</v>
      </c>
      <c r="D35347" s="2">
        <v>0</v>
      </c>
      <c r="E35347" s="2">
        <v>2.3809523809523799E-3</v>
      </c>
      <c r="F35347" s="2">
        <v>4.6259280411193602E-3</v>
      </c>
    </row>
    <row r="35348" spans="1:6" x14ac:dyDescent="0.25">
      <c r="A35348" s="1" t="str">
        <f t="shared" si="1270"/>
        <v>45380</v>
      </c>
      <c r="B35348" s="1" t="str">
        <f>"62555"</f>
        <v>62555</v>
      </c>
      <c r="C35348" s="2">
        <v>1.4767133661491801E-2</v>
      </c>
      <c r="D35348" s="2">
        <v>6.4308681672025697E-3</v>
      </c>
      <c r="E35348" s="2">
        <v>4.7619047619047597E-3</v>
      </c>
      <c r="F35348" s="2">
        <v>1.3934894346087899E-2</v>
      </c>
    </row>
    <row r="35349" spans="1:6" x14ac:dyDescent="0.25">
      <c r="A35349" s="1" t="str">
        <f t="shared" si="1270"/>
        <v>45380</v>
      </c>
      <c r="B35349" s="1" t="str">
        <f>"62547"</f>
        <v>62547</v>
      </c>
      <c r="C35349" s="2">
        <v>2.2087593083427899E-2</v>
      </c>
      <c r="D35349" s="2">
        <v>1.04501607717041E-2</v>
      </c>
      <c r="E35349" s="2">
        <v>0</v>
      </c>
      <c r="F35349" s="2">
        <v>2.07310108509423E-2</v>
      </c>
    </row>
    <row r="35350" spans="1:6" x14ac:dyDescent="0.25">
      <c r="A35350" s="1" t="str">
        <f t="shared" si="1270"/>
        <v>45380</v>
      </c>
      <c r="B35350" s="1" t="str">
        <f>"62563"</f>
        <v>62563</v>
      </c>
      <c r="C35350" s="2">
        <v>1.26214817619588E-3</v>
      </c>
      <c r="D35350" s="2">
        <v>0</v>
      </c>
      <c r="E35350" s="2">
        <v>0</v>
      </c>
      <c r="F35350" s="2">
        <v>1.1422044545973699E-3</v>
      </c>
    </row>
    <row r="35351" spans="1:6" x14ac:dyDescent="0.25">
      <c r="A35351" s="1" t="str">
        <f t="shared" si="1270"/>
        <v>45380</v>
      </c>
      <c r="B35351" s="1" t="str">
        <f>"62075"</f>
        <v>62075</v>
      </c>
      <c r="C35351" s="2">
        <v>3.9757667550170302E-3</v>
      </c>
      <c r="D35351" s="2">
        <v>1.60771704180064E-3</v>
      </c>
      <c r="E35351" s="2">
        <v>0</v>
      </c>
      <c r="F35351" s="2">
        <v>3.7121644774414601E-3</v>
      </c>
    </row>
    <row r="35352" spans="1:6" x14ac:dyDescent="0.25">
      <c r="A35352" s="1" t="str">
        <f t="shared" si="1270"/>
        <v>45380</v>
      </c>
      <c r="B35352" s="1" t="str">
        <f>"62556"</f>
        <v>62556</v>
      </c>
      <c r="C35352" s="2">
        <v>1.1864192856241299E-2</v>
      </c>
      <c r="D35352" s="2">
        <v>8.0385852090032099E-4</v>
      </c>
      <c r="E35352" s="2">
        <v>0</v>
      </c>
      <c r="F35352" s="2">
        <v>1.0793832095945101E-2</v>
      </c>
    </row>
    <row r="35353" spans="1:6" x14ac:dyDescent="0.25">
      <c r="A35353" s="1" t="str">
        <f t="shared" si="1270"/>
        <v>45380</v>
      </c>
      <c r="B35353" s="1" t="str">
        <f>"62517"</f>
        <v>62517</v>
      </c>
      <c r="C35353" s="2">
        <v>6.6262779250283897E-3</v>
      </c>
      <c r="D35353" s="2">
        <v>1.60771704180064E-3</v>
      </c>
      <c r="E35353" s="2">
        <v>4.7619047619047597E-3</v>
      </c>
      <c r="F35353" s="2">
        <v>6.2250142775556799E-3</v>
      </c>
    </row>
    <row r="35354" spans="1:6" x14ac:dyDescent="0.25">
      <c r="A35354" s="1" t="str">
        <f t="shared" si="1270"/>
        <v>45380</v>
      </c>
      <c r="B35354" s="1" t="str">
        <f>"62570"</f>
        <v>62570</v>
      </c>
      <c r="C35354" s="2">
        <v>1.35680928941057E-2</v>
      </c>
      <c r="D35354" s="2">
        <v>8.0385852090032099E-4</v>
      </c>
      <c r="E35354" s="2">
        <v>4.7619047619047597E-3</v>
      </c>
      <c r="F35354" s="2">
        <v>1.2450028555111301E-2</v>
      </c>
    </row>
    <row r="35355" spans="1:6" x14ac:dyDescent="0.25">
      <c r="A35355" s="1" t="str">
        <f t="shared" si="1270"/>
        <v>45380</v>
      </c>
      <c r="B35355" s="1" t="str">
        <f>"62558"</f>
        <v>62558</v>
      </c>
      <c r="C35355" s="2">
        <v>4.8592704783541503E-3</v>
      </c>
      <c r="D35355" s="2">
        <v>2.41157556270096E-3</v>
      </c>
      <c r="E35355" s="2">
        <v>0</v>
      </c>
      <c r="F35355" s="2">
        <v>4.56881781838949E-3</v>
      </c>
    </row>
    <row r="35356" spans="1:6" x14ac:dyDescent="0.25">
      <c r="A35356" s="1" t="str">
        <f t="shared" si="1270"/>
        <v>45380</v>
      </c>
      <c r="B35356" s="1" t="str">
        <f>"62513"</f>
        <v>62513</v>
      </c>
      <c r="C35356" s="2">
        <v>6.3738482897892201E-3</v>
      </c>
      <c r="D35356" s="2">
        <v>4.0192926045015996E-3</v>
      </c>
      <c r="E35356" s="2">
        <v>0</v>
      </c>
      <c r="F35356" s="2">
        <v>6.0536836093660704E-3</v>
      </c>
    </row>
    <row r="35357" spans="1:6" x14ac:dyDescent="0.25">
      <c r="A35357" s="1" t="str">
        <f t="shared" si="1270"/>
        <v>45380</v>
      </c>
      <c r="B35357" s="1" t="str">
        <f>"62531"</f>
        <v>62531</v>
      </c>
      <c r="C35357" s="2">
        <v>5.38937271235643E-2</v>
      </c>
      <c r="D35357" s="2">
        <v>1.04501607717041E-2</v>
      </c>
      <c r="E35357" s="2">
        <v>2.6190476190476101E-2</v>
      </c>
      <c r="F35357" s="2">
        <v>5.0142775556824601E-2</v>
      </c>
    </row>
    <row r="35358" spans="1:6" x14ac:dyDescent="0.25">
      <c r="A35358" s="1" t="str">
        <f t="shared" ref="A35358:A35389" si="1271">"45460"</f>
        <v>45460</v>
      </c>
      <c r="B35358" s="1" t="str">
        <f>"47833"</f>
        <v>47833</v>
      </c>
      <c r="C35358" s="2">
        <v>3.0346426623022301E-3</v>
      </c>
      <c r="D35358" s="2">
        <v>1.1938516639307499E-3</v>
      </c>
      <c r="E35358" s="2">
        <v>7.8709169618260502E-4</v>
      </c>
      <c r="F35358" s="2">
        <v>2.8490321518935199E-3</v>
      </c>
    </row>
    <row r="35359" spans="1:6" x14ac:dyDescent="0.25">
      <c r="A35359" s="1" t="str">
        <f t="shared" si="1271"/>
        <v>45460</v>
      </c>
      <c r="B35359" s="1" t="str">
        <f>"47857"</f>
        <v>47857</v>
      </c>
      <c r="C35359" s="2">
        <v>7.3877068557919598E-4</v>
      </c>
      <c r="D35359" s="2">
        <v>1.4923145799134401E-4</v>
      </c>
      <c r="E35359" s="2">
        <v>0</v>
      </c>
      <c r="F35359" s="2">
        <v>6.7883076543311398E-4</v>
      </c>
    </row>
    <row r="35360" spans="1:6" x14ac:dyDescent="0.25">
      <c r="A35360" s="1" t="str">
        <f t="shared" si="1271"/>
        <v>45460</v>
      </c>
      <c r="B35360" s="1" t="str">
        <f>"47989"</f>
        <v>47989</v>
      </c>
      <c r="C35360" s="2">
        <v>1.52300418257865E-3</v>
      </c>
      <c r="D35360" s="2">
        <v>2.9846291598268899E-4</v>
      </c>
      <c r="E35360" s="2">
        <v>0</v>
      </c>
      <c r="F35360" s="2">
        <v>1.39880278937732E-3</v>
      </c>
    </row>
    <row r="35361" spans="1:6" x14ac:dyDescent="0.25">
      <c r="A35361" s="1" t="str">
        <f t="shared" si="1271"/>
        <v>45460</v>
      </c>
      <c r="B35361" s="1" t="str">
        <f>"46171"</f>
        <v>46171</v>
      </c>
      <c r="C35361" s="2">
        <v>5.6828514275322698E-5</v>
      </c>
      <c r="D35361" s="2">
        <v>0</v>
      </c>
      <c r="E35361" s="2">
        <v>0</v>
      </c>
      <c r="F35361" s="2">
        <v>5.1426573138872298E-5</v>
      </c>
    </row>
    <row r="35362" spans="1:6" x14ac:dyDescent="0.25">
      <c r="A35362" s="1" t="str">
        <f t="shared" si="1271"/>
        <v>45460</v>
      </c>
      <c r="B35362" s="1" t="str">
        <f>"47860"</f>
        <v>47860</v>
      </c>
      <c r="C35362" s="2">
        <v>1.36388434260774E-3</v>
      </c>
      <c r="D35362" s="2">
        <v>1.3430831219220999E-3</v>
      </c>
      <c r="E35362" s="2">
        <v>1.57418339236521E-3</v>
      </c>
      <c r="F35362" s="2">
        <v>1.367946845494E-3</v>
      </c>
    </row>
    <row r="35363" spans="1:6" x14ac:dyDescent="0.25">
      <c r="A35363" s="1" t="str">
        <f t="shared" si="1271"/>
        <v>45460</v>
      </c>
      <c r="B35363" s="1" t="str">
        <f>"47838"</f>
        <v>47838</v>
      </c>
      <c r="C35363" s="2">
        <v>1.0490543735224501E-2</v>
      </c>
      <c r="D35363" s="2">
        <v>6.8646470676018501E-3</v>
      </c>
      <c r="E35363" s="2">
        <v>2.7548209366391099E-3</v>
      </c>
      <c r="F35363" s="2">
        <v>1.00384670767078E-2</v>
      </c>
    </row>
    <row r="35364" spans="1:6" x14ac:dyDescent="0.25">
      <c r="A35364" s="1" t="str">
        <f t="shared" si="1271"/>
        <v>45460</v>
      </c>
      <c r="B35364" s="1" t="str">
        <f>"47438"</f>
        <v>47438</v>
      </c>
      <c r="C35364" s="2">
        <v>6.3647935988361496E-3</v>
      </c>
      <c r="D35364" s="2">
        <v>1.64154603790479E-3</v>
      </c>
      <c r="E35364" s="2">
        <v>7.9102715466351795E-2</v>
      </c>
      <c r="F35364" s="2">
        <v>7.9402628926418806E-3</v>
      </c>
    </row>
    <row r="35365" spans="1:6" x14ac:dyDescent="0.25">
      <c r="A35365" s="1" t="str">
        <f t="shared" si="1271"/>
        <v>45460</v>
      </c>
      <c r="B35365" s="1" t="str">
        <f>"47807"</f>
        <v>47807</v>
      </c>
      <c r="C35365" s="2">
        <v>8.6879432624113406E-2</v>
      </c>
      <c r="D35365" s="2">
        <v>0.17624235188777701</v>
      </c>
      <c r="E35365" s="2">
        <v>0.28768201495474199</v>
      </c>
      <c r="F35365" s="2">
        <v>9.8286466583012697E-2</v>
      </c>
    </row>
    <row r="35366" spans="1:6" x14ac:dyDescent="0.25">
      <c r="A35366" s="1" t="str">
        <f t="shared" si="1271"/>
        <v>45460</v>
      </c>
      <c r="B35366" s="1" t="str">
        <f>"47872"</f>
        <v>47872</v>
      </c>
      <c r="C35366" s="2">
        <v>4.6292507728677899E-2</v>
      </c>
      <c r="D35366" s="2">
        <v>5.0887927175048503E-2</v>
      </c>
      <c r="E35366" s="2">
        <v>4.7619047619047603E-2</v>
      </c>
      <c r="F35366" s="2">
        <v>4.6643901836957102E-2</v>
      </c>
    </row>
    <row r="35367" spans="1:6" x14ac:dyDescent="0.25">
      <c r="A35367" s="1" t="str">
        <f t="shared" si="1271"/>
        <v>45460</v>
      </c>
      <c r="B35367" s="1" t="str">
        <f>"47885"</f>
        <v>47885</v>
      </c>
      <c r="C35367" s="2">
        <v>5.1259319876341101E-2</v>
      </c>
      <c r="D35367" s="2">
        <v>2.79062826443814E-2</v>
      </c>
      <c r="E35367" s="2">
        <v>8.2644628099173504E-3</v>
      </c>
      <c r="F35367" s="2">
        <v>4.8526114413839902E-2</v>
      </c>
    </row>
    <row r="35368" spans="1:6" x14ac:dyDescent="0.25">
      <c r="A35368" s="1" t="str">
        <f t="shared" si="1271"/>
        <v>45460</v>
      </c>
      <c r="B35368" s="1" t="str">
        <f>"47859"</f>
        <v>47859</v>
      </c>
      <c r="C35368" s="2">
        <v>3.4210765593744299E-3</v>
      </c>
      <c r="D35368" s="2">
        <v>2.0892404118788201E-3</v>
      </c>
      <c r="E35368" s="2">
        <v>3.9354584809130202E-4</v>
      </c>
      <c r="F35368" s="2">
        <v>3.2501594223767298E-3</v>
      </c>
    </row>
    <row r="35369" spans="1:6" x14ac:dyDescent="0.25">
      <c r="A35369" s="1" t="str">
        <f t="shared" si="1271"/>
        <v>45460</v>
      </c>
      <c r="B35369" s="1" t="str">
        <f>"47841"</f>
        <v>47841</v>
      </c>
      <c r="C35369" s="2">
        <v>1.23772504091653E-2</v>
      </c>
      <c r="D35369" s="2">
        <v>1.52216087151171E-2</v>
      </c>
      <c r="E35369" s="2">
        <v>5.1160960251869303E-3</v>
      </c>
      <c r="F35369" s="2">
        <v>1.23835188118404E-2</v>
      </c>
    </row>
    <row r="35370" spans="1:6" x14ac:dyDescent="0.25">
      <c r="A35370" s="1" t="str">
        <f t="shared" si="1271"/>
        <v>45460</v>
      </c>
      <c r="B35370" s="1" t="str">
        <f>"47852"</f>
        <v>47852</v>
      </c>
      <c r="C35370" s="2">
        <v>0</v>
      </c>
      <c r="D35370" s="2">
        <v>0</v>
      </c>
      <c r="E35370" s="2">
        <v>3.9354584809130202E-4</v>
      </c>
      <c r="F35370" s="2">
        <v>1.0285314627774399E-5</v>
      </c>
    </row>
    <row r="35371" spans="1:6" x14ac:dyDescent="0.25">
      <c r="A35371" s="1" t="str">
        <f t="shared" si="1271"/>
        <v>45460</v>
      </c>
      <c r="B35371" s="1" t="str">
        <f>"47528"</f>
        <v>47528</v>
      </c>
      <c r="C35371" s="2">
        <v>3.4097108565193601E-5</v>
      </c>
      <c r="D35371" s="2">
        <v>0</v>
      </c>
      <c r="E35371" s="2">
        <v>0</v>
      </c>
      <c r="F35371" s="2">
        <v>3.0855943883323303E-5</v>
      </c>
    </row>
    <row r="35372" spans="1:6" x14ac:dyDescent="0.25">
      <c r="A35372" s="1" t="str">
        <f t="shared" si="1271"/>
        <v>45460</v>
      </c>
      <c r="B35372" s="1" t="str">
        <f>"46135"</f>
        <v>46135</v>
      </c>
      <c r="C35372" s="2">
        <v>7.61502091289325E-4</v>
      </c>
      <c r="D35372" s="2">
        <v>0</v>
      </c>
      <c r="E35372" s="2">
        <v>0</v>
      </c>
      <c r="F35372" s="2">
        <v>6.8911608006088905E-4</v>
      </c>
    </row>
    <row r="35373" spans="1:6" x14ac:dyDescent="0.25">
      <c r="A35373" s="1" t="str">
        <f t="shared" si="1271"/>
        <v>45460</v>
      </c>
      <c r="B35373" s="1" t="str">
        <f>"47836"</f>
        <v>47836</v>
      </c>
      <c r="C35373" s="2">
        <v>0</v>
      </c>
      <c r="D35373" s="2">
        <v>0</v>
      </c>
      <c r="E35373" s="2">
        <v>3.9354584809130202E-4</v>
      </c>
      <c r="F35373" s="2">
        <v>1.0285314627774399E-5</v>
      </c>
    </row>
    <row r="35374" spans="1:6" x14ac:dyDescent="0.25">
      <c r="A35374" s="1" t="str">
        <f t="shared" si="1271"/>
        <v>45460</v>
      </c>
      <c r="B35374" s="1" t="str">
        <f>"47866"</f>
        <v>47866</v>
      </c>
      <c r="C35374" s="2">
        <v>1.9549008910711E-3</v>
      </c>
      <c r="D35374" s="2">
        <v>1.1938516639307499E-3</v>
      </c>
      <c r="E35374" s="2">
        <v>1.1806375442739E-3</v>
      </c>
      <c r="F35374" s="2">
        <v>1.8822125768827201E-3</v>
      </c>
    </row>
    <row r="35375" spans="1:6" x14ac:dyDescent="0.25">
      <c r="A35375" s="1" t="str">
        <f t="shared" si="1271"/>
        <v>45460</v>
      </c>
      <c r="B35375" s="1" t="str">
        <f>"47832"</f>
        <v>47832</v>
      </c>
      <c r="C35375" s="2">
        <v>4.5917439534460796E-3</v>
      </c>
      <c r="D35375" s="2">
        <v>1.9400089538874701E-3</v>
      </c>
      <c r="E35375" s="2">
        <v>3.9354584809130202E-4</v>
      </c>
      <c r="F35375" s="2">
        <v>4.2992615144097201E-3</v>
      </c>
    </row>
    <row r="35376" spans="1:6" x14ac:dyDescent="0.25">
      <c r="A35376" s="1" t="str">
        <f t="shared" si="1271"/>
        <v>45460</v>
      </c>
      <c r="B35376" s="1" t="str">
        <f>"47801"</f>
        <v>47801</v>
      </c>
      <c r="C35376" s="2">
        <v>9.4335333697035794E-3</v>
      </c>
      <c r="D35376" s="2">
        <v>2.5220116400537201E-2</v>
      </c>
      <c r="E35376" s="2">
        <v>7.8709169618260502E-4</v>
      </c>
      <c r="F35376" s="2">
        <v>1.02955999424022E-2</v>
      </c>
    </row>
    <row r="35377" spans="1:6" x14ac:dyDescent="0.25">
      <c r="A35377" s="1" t="str">
        <f t="shared" si="1271"/>
        <v>45460</v>
      </c>
      <c r="B35377" s="1" t="str">
        <f>"47851"</f>
        <v>47851</v>
      </c>
      <c r="C35377" s="2">
        <v>0</v>
      </c>
      <c r="D35377" s="2">
        <v>0</v>
      </c>
      <c r="E35377" s="2">
        <v>3.9354584809130202E-4</v>
      </c>
      <c r="F35377" s="2">
        <v>1.0285314627774399E-5</v>
      </c>
    </row>
    <row r="35378" spans="1:6" x14ac:dyDescent="0.25">
      <c r="A35378" s="1" t="str">
        <f t="shared" si="1271"/>
        <v>45460</v>
      </c>
      <c r="B35378" s="1" t="str">
        <f>"47427"</f>
        <v>47427</v>
      </c>
      <c r="C35378" s="2">
        <v>6.8194217130387305E-4</v>
      </c>
      <c r="D35378" s="2">
        <v>0</v>
      </c>
      <c r="E35378" s="2">
        <v>0</v>
      </c>
      <c r="F35378" s="2">
        <v>6.1711887766646701E-4</v>
      </c>
    </row>
    <row r="35379" spans="1:6" x14ac:dyDescent="0.25">
      <c r="A35379" s="1" t="str">
        <f t="shared" si="1271"/>
        <v>45460</v>
      </c>
      <c r="B35379" s="1" t="str">
        <f>"47840"</f>
        <v>47840</v>
      </c>
      <c r="C35379" s="2">
        <v>7.7741407528641501E-3</v>
      </c>
      <c r="D35379" s="2">
        <v>3.1338606178182302E-3</v>
      </c>
      <c r="E35379" s="2">
        <v>3.1483667847304201E-3</v>
      </c>
      <c r="F35379" s="2">
        <v>7.33342932960319E-3</v>
      </c>
    </row>
    <row r="35380" spans="1:6" x14ac:dyDescent="0.25">
      <c r="A35380" s="1" t="str">
        <f t="shared" si="1271"/>
        <v>45460</v>
      </c>
      <c r="B35380" s="1" t="str">
        <f>"47802"</f>
        <v>47802</v>
      </c>
      <c r="C35380" s="2">
        <v>0.18291962174940801</v>
      </c>
      <c r="D35380" s="2">
        <v>0.24339650798388299</v>
      </c>
      <c r="E35380" s="2">
        <v>0.156631247540338</v>
      </c>
      <c r="F35380" s="2">
        <v>0.18640075699915601</v>
      </c>
    </row>
    <row r="35381" spans="1:6" x14ac:dyDescent="0.25">
      <c r="A35381" s="1" t="str">
        <f t="shared" si="1271"/>
        <v>45460</v>
      </c>
      <c r="B35381" s="1" t="str">
        <f>"47858"</f>
        <v>47858</v>
      </c>
      <c r="C35381" s="2">
        <v>3.6938534278959799E-3</v>
      </c>
      <c r="D35381" s="2">
        <v>1.3430831219220999E-3</v>
      </c>
      <c r="E35381" s="2">
        <v>7.8709169618260502E-4</v>
      </c>
      <c r="F35381" s="2">
        <v>3.45586571493221E-3</v>
      </c>
    </row>
    <row r="35382" spans="1:6" x14ac:dyDescent="0.25">
      <c r="A35382" s="1" t="str">
        <f t="shared" si="1271"/>
        <v>45460</v>
      </c>
      <c r="B35382" s="1" t="str">
        <f>"47871"</f>
        <v>47871</v>
      </c>
      <c r="C35382" s="2">
        <v>9.7745044553555109E-4</v>
      </c>
      <c r="D35382" s="2">
        <v>0</v>
      </c>
      <c r="E35382" s="2">
        <v>3.9354584809130202E-4</v>
      </c>
      <c r="F35382" s="2">
        <v>8.9482237261637805E-4</v>
      </c>
    </row>
    <row r="35383" spans="1:6" x14ac:dyDescent="0.25">
      <c r="A35383" s="1" t="str">
        <f t="shared" si="1271"/>
        <v>45460</v>
      </c>
      <c r="B35383" s="1" t="str">
        <f>"47874"</f>
        <v>47874</v>
      </c>
      <c r="C35383" s="2">
        <v>1.93444262593198E-2</v>
      </c>
      <c r="D35383" s="2">
        <v>6.2677212356364699E-3</v>
      </c>
      <c r="E35383" s="2">
        <v>9.4451003541912593E-3</v>
      </c>
      <c r="F35383" s="2">
        <v>1.8184436261905201E-2</v>
      </c>
    </row>
    <row r="35384" spans="1:6" x14ac:dyDescent="0.25">
      <c r="A35384" s="1" t="str">
        <f t="shared" si="1271"/>
        <v>45460</v>
      </c>
      <c r="B35384" s="1" t="str">
        <f>"47848"</f>
        <v>47848</v>
      </c>
      <c r="C35384" s="2">
        <v>8.6833969812693205E-3</v>
      </c>
      <c r="D35384" s="2">
        <v>3.28309207580958E-3</v>
      </c>
      <c r="E35384" s="2">
        <v>1.57418339236521E-3</v>
      </c>
      <c r="F35384" s="2">
        <v>8.1253985559418193E-3</v>
      </c>
    </row>
    <row r="35385" spans="1:6" x14ac:dyDescent="0.25">
      <c r="A35385" s="1" t="str">
        <f t="shared" si="1271"/>
        <v>45460</v>
      </c>
      <c r="B35385" s="1" t="str">
        <f>"47862"</f>
        <v>47862</v>
      </c>
      <c r="C35385" s="2">
        <v>3.9779959992725898E-3</v>
      </c>
      <c r="D35385" s="2">
        <v>4.1784808237576403E-3</v>
      </c>
      <c r="E35385" s="2">
        <v>3.9354584809130202E-4</v>
      </c>
      <c r="F35385" s="2">
        <v>3.8981342439265202E-3</v>
      </c>
    </row>
    <row r="35386" spans="1:6" x14ac:dyDescent="0.25">
      <c r="A35386" s="1" t="str">
        <f t="shared" si="1271"/>
        <v>45460</v>
      </c>
      <c r="B35386" s="1" t="str">
        <f>"47831"</f>
        <v>47831</v>
      </c>
      <c r="C35386" s="2">
        <v>0</v>
      </c>
      <c r="D35386" s="2">
        <v>0</v>
      </c>
      <c r="E35386" s="2">
        <v>3.9354584809130202E-4</v>
      </c>
      <c r="F35386" s="2">
        <v>1.0285314627774399E-5</v>
      </c>
    </row>
    <row r="35387" spans="1:6" x14ac:dyDescent="0.25">
      <c r="A35387" s="1" t="str">
        <f t="shared" si="1271"/>
        <v>45460</v>
      </c>
      <c r="B35387" s="1" t="str">
        <f>"47875"</f>
        <v>47875</v>
      </c>
      <c r="C35387" s="2">
        <v>0</v>
      </c>
      <c r="D35387" s="2">
        <v>0</v>
      </c>
      <c r="E35387" s="2">
        <v>3.9354584809130202E-4</v>
      </c>
      <c r="F35387" s="2">
        <v>1.0285314627774399E-5</v>
      </c>
    </row>
    <row r="35388" spans="1:6" x14ac:dyDescent="0.25">
      <c r="A35388" s="1" t="str">
        <f t="shared" si="1271"/>
        <v>45460</v>
      </c>
      <c r="B35388" s="1" t="str">
        <f>"47847"</f>
        <v>47847</v>
      </c>
      <c r="C35388" s="2">
        <v>3.3301509365339099E-3</v>
      </c>
      <c r="D35388" s="2">
        <v>4.47694373974033E-4</v>
      </c>
      <c r="E35388" s="2">
        <v>1.57418339236521E-3</v>
      </c>
      <c r="F35388" s="2">
        <v>3.0855943883323299E-3</v>
      </c>
    </row>
    <row r="35389" spans="1:6" x14ac:dyDescent="0.25">
      <c r="A35389" s="1" t="str">
        <f t="shared" si="1271"/>
        <v>45460</v>
      </c>
      <c r="B35389" s="1" t="str">
        <f>"47561"</f>
        <v>47561</v>
      </c>
      <c r="C35389" s="2">
        <v>4.0916530278232402E-4</v>
      </c>
      <c r="D35389" s="2">
        <v>4.47694373974033E-4</v>
      </c>
      <c r="E35389" s="2">
        <v>0</v>
      </c>
      <c r="F35389" s="2">
        <v>4.0112727048320401E-4</v>
      </c>
    </row>
    <row r="35390" spans="1:6" x14ac:dyDescent="0.25">
      <c r="A35390" s="1" t="str">
        <f t="shared" ref="A35390:A35422" si="1272">"45460"</f>
        <v>45460</v>
      </c>
      <c r="B35390" s="1" t="str">
        <f>"47809"</f>
        <v>47809</v>
      </c>
      <c r="C35390" s="2">
        <v>0</v>
      </c>
      <c r="D35390" s="2">
        <v>2.9846291598268899E-4</v>
      </c>
      <c r="E35390" s="2">
        <v>1.81031090121999E-2</v>
      </c>
      <c r="F35390" s="2">
        <v>4.9369510213317404E-4</v>
      </c>
    </row>
    <row r="35391" spans="1:6" x14ac:dyDescent="0.25">
      <c r="A35391" s="1" t="str">
        <f t="shared" si="1272"/>
        <v>45460</v>
      </c>
      <c r="B35391" s="1" t="str">
        <f>"47846"</f>
        <v>47846</v>
      </c>
      <c r="C35391" s="2">
        <v>3.6597563193307798E-3</v>
      </c>
      <c r="D35391" s="2">
        <v>0</v>
      </c>
      <c r="E35391" s="2">
        <v>1.1806375442739E-3</v>
      </c>
      <c r="F35391" s="2">
        <v>3.3427272540267E-3</v>
      </c>
    </row>
    <row r="35392" spans="1:6" x14ac:dyDescent="0.25">
      <c r="A35392" s="1" t="str">
        <f t="shared" si="1272"/>
        <v>45460</v>
      </c>
      <c r="B35392" s="1" t="str">
        <f>"47849"</f>
        <v>47849</v>
      </c>
      <c r="C35392" s="2">
        <v>1.9889979996362901E-3</v>
      </c>
      <c r="D35392" s="2">
        <v>7.4615728995672205E-4</v>
      </c>
      <c r="E35392" s="2">
        <v>3.9354584809130202E-4</v>
      </c>
      <c r="F35392" s="2">
        <v>1.8616419476271699E-3</v>
      </c>
    </row>
    <row r="35393" spans="1:6" x14ac:dyDescent="0.25">
      <c r="A35393" s="1" t="str">
        <f t="shared" si="1272"/>
        <v>45460</v>
      </c>
      <c r="B35393" s="1" t="str">
        <f>"47805"</f>
        <v>47805</v>
      </c>
      <c r="C35393" s="2">
        <v>6.7569103473358705E-2</v>
      </c>
      <c r="D35393" s="2">
        <v>3.3278615132069797E-2</v>
      </c>
      <c r="E35393" s="2">
        <v>5.3128689492325798E-2</v>
      </c>
      <c r="F35393" s="2">
        <v>6.4828338098862404E-2</v>
      </c>
    </row>
    <row r="35394" spans="1:6" x14ac:dyDescent="0.25">
      <c r="A35394" s="1" t="str">
        <f t="shared" si="1272"/>
        <v>45460</v>
      </c>
      <c r="B35394" s="1" t="str">
        <f>"47834"</f>
        <v>47834</v>
      </c>
      <c r="C35394" s="2">
        <v>0.10134797235861</v>
      </c>
      <c r="D35394" s="2">
        <v>9.2225041038650896E-2</v>
      </c>
      <c r="E35394" s="2">
        <v>5.7064147973238798E-2</v>
      </c>
      <c r="F35394" s="2">
        <v>9.9561845596856796E-2</v>
      </c>
    </row>
    <row r="35395" spans="1:6" x14ac:dyDescent="0.25">
      <c r="A35395" s="1" t="str">
        <f t="shared" si="1272"/>
        <v>45460</v>
      </c>
      <c r="B35395" s="1" t="str">
        <f>"47855"</f>
        <v>47855</v>
      </c>
      <c r="C35395" s="2">
        <v>3.8302418621567499E-3</v>
      </c>
      <c r="D35395" s="2">
        <v>1.4923145799134401E-4</v>
      </c>
      <c r="E35395" s="2">
        <v>1.1806375442739E-3</v>
      </c>
      <c r="F35395" s="2">
        <v>3.5072922880710899E-3</v>
      </c>
    </row>
    <row r="35396" spans="1:6" x14ac:dyDescent="0.25">
      <c r="A35396" s="1" t="str">
        <f t="shared" si="1272"/>
        <v>45460</v>
      </c>
      <c r="B35396" s="1" t="str">
        <f>"47952"</f>
        <v>47952</v>
      </c>
      <c r="C35396" s="2">
        <v>3.7961447535915598E-3</v>
      </c>
      <c r="D35396" s="2">
        <v>7.4615728995672205E-4</v>
      </c>
      <c r="E35396" s="2">
        <v>7.8709169618260502E-4</v>
      </c>
      <c r="F35396" s="2">
        <v>3.5072922880710899E-3</v>
      </c>
    </row>
    <row r="35397" spans="1:6" x14ac:dyDescent="0.25">
      <c r="A35397" s="1" t="str">
        <f t="shared" si="1272"/>
        <v>45460</v>
      </c>
      <c r="B35397" s="1" t="str">
        <f>"47928"</f>
        <v>47928</v>
      </c>
      <c r="C35397" s="2">
        <v>8.7288597926895705E-3</v>
      </c>
      <c r="D35397" s="2">
        <v>4.4769437397403303E-3</v>
      </c>
      <c r="E35397" s="2">
        <v>2.3612750885478101E-3</v>
      </c>
      <c r="F35397" s="2">
        <v>8.2693929607306604E-3</v>
      </c>
    </row>
    <row r="35398" spans="1:6" x14ac:dyDescent="0.25">
      <c r="A35398" s="1" t="str">
        <f t="shared" si="1272"/>
        <v>45460</v>
      </c>
      <c r="B35398" s="1" t="str">
        <f>"47837"</f>
        <v>47837</v>
      </c>
      <c r="C35398" s="2">
        <v>6.1715766503000497E-3</v>
      </c>
      <c r="D35398" s="2">
        <v>1.1938516639307499E-3</v>
      </c>
      <c r="E35398" s="2">
        <v>1.1806375442739E-3</v>
      </c>
      <c r="F35398" s="2">
        <v>5.6980643037870503E-3</v>
      </c>
    </row>
    <row r="35399" spans="1:6" x14ac:dyDescent="0.25">
      <c r="A35399" s="1" t="str">
        <f t="shared" si="1272"/>
        <v>45460</v>
      </c>
      <c r="B35399" s="1" t="str">
        <f>"47966"</f>
        <v>47966</v>
      </c>
      <c r="C35399" s="2">
        <v>0</v>
      </c>
      <c r="D35399" s="2">
        <v>0</v>
      </c>
      <c r="E35399" s="2">
        <v>3.9354584809130202E-4</v>
      </c>
      <c r="F35399" s="2">
        <v>1.0285314627774399E-5</v>
      </c>
    </row>
    <row r="35400" spans="1:6" x14ac:dyDescent="0.25">
      <c r="A35400" s="1" t="str">
        <f t="shared" si="1272"/>
        <v>45460</v>
      </c>
      <c r="B35400" s="1" t="str">
        <f>"47869"</f>
        <v>47869</v>
      </c>
      <c r="C35400" s="2">
        <v>0</v>
      </c>
      <c r="D35400" s="2">
        <v>0</v>
      </c>
      <c r="E35400" s="2">
        <v>3.9354584809130202E-4</v>
      </c>
      <c r="F35400" s="2">
        <v>1.0285314627774399E-5</v>
      </c>
    </row>
    <row r="35401" spans="1:6" x14ac:dyDescent="0.25">
      <c r="A35401" s="1" t="str">
        <f t="shared" si="1272"/>
        <v>45460</v>
      </c>
      <c r="B35401" s="1" t="str">
        <f>"47870"</f>
        <v>47870</v>
      </c>
      <c r="C35401" s="2">
        <v>0</v>
      </c>
      <c r="D35401" s="2">
        <v>0</v>
      </c>
      <c r="E35401" s="2">
        <v>3.9354584809130202E-4</v>
      </c>
      <c r="F35401" s="2">
        <v>1.0285314627774399E-5</v>
      </c>
    </row>
    <row r="35402" spans="1:6" x14ac:dyDescent="0.25">
      <c r="A35402" s="1" t="str">
        <f t="shared" si="1272"/>
        <v>45460</v>
      </c>
      <c r="B35402" s="1" t="str">
        <f>"47884"</f>
        <v>47884</v>
      </c>
      <c r="C35402" s="2">
        <v>1.1365702855064499E-5</v>
      </c>
      <c r="D35402" s="2">
        <v>0</v>
      </c>
      <c r="E35402" s="2">
        <v>3.9354584809130202E-4</v>
      </c>
      <c r="F35402" s="2">
        <v>2.05706292555489E-5</v>
      </c>
    </row>
    <row r="35403" spans="1:6" x14ac:dyDescent="0.25">
      <c r="A35403" s="1" t="str">
        <f t="shared" si="1272"/>
        <v>45460</v>
      </c>
      <c r="B35403" s="1" t="str">
        <f>"47880"</f>
        <v>47880</v>
      </c>
      <c r="C35403" s="2">
        <v>0</v>
      </c>
      <c r="D35403" s="2">
        <v>0</v>
      </c>
      <c r="E35403" s="2">
        <v>3.9354584809130202E-4</v>
      </c>
      <c r="F35403" s="2">
        <v>1.0285314627774399E-5</v>
      </c>
    </row>
    <row r="35404" spans="1:6" x14ac:dyDescent="0.25">
      <c r="A35404" s="1" t="str">
        <f t="shared" si="1272"/>
        <v>45460</v>
      </c>
      <c r="B35404" s="1" t="str">
        <f>"47578"</f>
        <v>47578</v>
      </c>
      <c r="C35404" s="2">
        <v>1.1365702855064499E-5</v>
      </c>
      <c r="D35404" s="2">
        <v>0</v>
      </c>
      <c r="E35404" s="2">
        <v>0</v>
      </c>
      <c r="F35404" s="2">
        <v>1.0285314627774399E-5</v>
      </c>
    </row>
    <row r="35405" spans="1:6" x14ac:dyDescent="0.25">
      <c r="A35405" s="1" t="str">
        <f t="shared" si="1272"/>
        <v>45460</v>
      </c>
      <c r="B35405" s="1" t="str">
        <f>"47861"</f>
        <v>47861</v>
      </c>
      <c r="C35405" s="2">
        <v>3.3301509365339099E-3</v>
      </c>
      <c r="D35405" s="2">
        <v>1.49231457991344E-3</v>
      </c>
      <c r="E35405" s="2">
        <v>1.57418339236521E-3</v>
      </c>
      <c r="F35405" s="2">
        <v>3.15759159072676E-3</v>
      </c>
    </row>
    <row r="35406" spans="1:6" x14ac:dyDescent="0.25">
      <c r="A35406" s="1" t="str">
        <f t="shared" si="1272"/>
        <v>45460</v>
      </c>
      <c r="B35406" s="1" t="str">
        <f>"47842"</f>
        <v>47842</v>
      </c>
      <c r="C35406" s="2">
        <v>5.4021185670121798E-2</v>
      </c>
      <c r="D35406" s="2">
        <v>4.4321743023429297E-2</v>
      </c>
      <c r="E35406" s="2">
        <v>3.62062180243998E-2</v>
      </c>
      <c r="F35406" s="2">
        <v>5.2887087816016198E-2</v>
      </c>
    </row>
    <row r="35407" spans="1:6" x14ac:dyDescent="0.25">
      <c r="A35407" s="1" t="str">
        <f t="shared" si="1272"/>
        <v>45460</v>
      </c>
      <c r="B35407" s="1" t="str">
        <f>"47882"</f>
        <v>47882</v>
      </c>
      <c r="C35407" s="2">
        <v>5.2009456264775399E-2</v>
      </c>
      <c r="D35407" s="2">
        <v>5.8349500074615701E-2</v>
      </c>
      <c r="E35407" s="2">
        <v>4.3683589138134499E-2</v>
      </c>
      <c r="F35407" s="2">
        <v>5.2228827679838698E-2</v>
      </c>
    </row>
    <row r="35408" spans="1:6" x14ac:dyDescent="0.25">
      <c r="A35408" s="1" t="str">
        <f t="shared" si="1272"/>
        <v>45460</v>
      </c>
      <c r="B35408" s="1" t="str">
        <f>"47974"</f>
        <v>47974</v>
      </c>
      <c r="C35408" s="2">
        <v>6.1943080560101799E-3</v>
      </c>
      <c r="D35408" s="2">
        <v>1.3430831219220999E-3</v>
      </c>
      <c r="E35408" s="2">
        <v>1.9677292404565098E-3</v>
      </c>
      <c r="F35408" s="2">
        <v>5.7494908769259202E-3</v>
      </c>
    </row>
    <row r="35409" spans="1:6" x14ac:dyDescent="0.25">
      <c r="A35409" s="1" t="str">
        <f t="shared" si="1272"/>
        <v>45460</v>
      </c>
      <c r="B35409" s="1" t="str">
        <f>"47804"</f>
        <v>47804</v>
      </c>
      <c r="C35409" s="2">
        <v>5.9794962720494602E-2</v>
      </c>
      <c r="D35409" s="2">
        <v>7.6108043575585704E-2</v>
      </c>
      <c r="E35409" s="2">
        <v>5.5096418732782301E-2</v>
      </c>
      <c r="F35409" s="2">
        <v>6.0796494764774799E-2</v>
      </c>
    </row>
    <row r="35410" spans="1:6" x14ac:dyDescent="0.25">
      <c r="A35410" s="1" t="str">
        <f t="shared" si="1272"/>
        <v>45460</v>
      </c>
      <c r="B35410" s="1" t="str">
        <f>"47850"</f>
        <v>47850</v>
      </c>
      <c r="C35410" s="2">
        <v>1.1536188397890499E-2</v>
      </c>
      <c r="D35410" s="2">
        <v>4.7754066557230204E-3</v>
      </c>
      <c r="E35410" s="2">
        <v>6.2967335694608401E-3</v>
      </c>
      <c r="F35410" s="2">
        <v>1.09332894493242E-2</v>
      </c>
    </row>
    <row r="35411" spans="1:6" x14ac:dyDescent="0.25">
      <c r="A35411" s="1" t="str">
        <f t="shared" si="1272"/>
        <v>45460</v>
      </c>
      <c r="B35411" s="1" t="str">
        <f>"47932"</f>
        <v>47932</v>
      </c>
      <c r="C35411" s="2">
        <v>2.3867975995635498E-3</v>
      </c>
      <c r="D35411" s="2">
        <v>1.7907774958961301E-3</v>
      </c>
      <c r="E35411" s="2">
        <v>1.1806375442739E-3</v>
      </c>
      <c r="F35411" s="2">
        <v>2.3141957912492499E-3</v>
      </c>
    </row>
    <row r="35412" spans="1:6" x14ac:dyDescent="0.25">
      <c r="A35412" s="1" t="str">
        <f t="shared" si="1272"/>
        <v>45460</v>
      </c>
      <c r="B35412" s="1" t="str">
        <f>"47853"</f>
        <v>47853</v>
      </c>
      <c r="C35412" s="2">
        <v>0</v>
      </c>
      <c r="D35412" s="2">
        <v>0</v>
      </c>
      <c r="E35412" s="2">
        <v>3.9354584809130202E-4</v>
      </c>
      <c r="F35412" s="2">
        <v>1.0285314627774399E-5</v>
      </c>
    </row>
    <row r="35413" spans="1:6" x14ac:dyDescent="0.25">
      <c r="A35413" s="1" t="str">
        <f t="shared" si="1272"/>
        <v>45460</v>
      </c>
      <c r="B35413" s="1" t="str">
        <f>"47878"</f>
        <v>47878</v>
      </c>
      <c r="C35413" s="2">
        <v>0</v>
      </c>
      <c r="D35413" s="2">
        <v>0</v>
      </c>
      <c r="E35413" s="2">
        <v>3.9354584809130202E-4</v>
      </c>
      <c r="F35413" s="2">
        <v>1.0285314627774399E-5</v>
      </c>
    </row>
    <row r="35414" spans="1:6" x14ac:dyDescent="0.25">
      <c r="A35414" s="1" t="str">
        <f t="shared" si="1272"/>
        <v>45460</v>
      </c>
      <c r="B35414" s="1" t="str">
        <f>"47876"</f>
        <v>47876</v>
      </c>
      <c r="C35414" s="2">
        <v>0</v>
      </c>
      <c r="D35414" s="2">
        <v>2.9846291598268899E-4</v>
      </c>
      <c r="E35414" s="2">
        <v>1.1806375442739E-3</v>
      </c>
      <c r="F35414" s="2">
        <v>5.1426573138872298E-5</v>
      </c>
    </row>
    <row r="35415" spans="1:6" x14ac:dyDescent="0.25">
      <c r="A35415" s="1" t="str">
        <f t="shared" si="1272"/>
        <v>45460</v>
      </c>
      <c r="B35415" s="1" t="str">
        <f>"47845"</f>
        <v>47845</v>
      </c>
      <c r="C35415" s="2">
        <v>9.8881614839061598E-4</v>
      </c>
      <c r="D35415" s="2">
        <v>0</v>
      </c>
      <c r="E35415" s="2">
        <v>1.1806375442739E-3</v>
      </c>
      <c r="F35415" s="2">
        <v>9.25678316499701E-4</v>
      </c>
    </row>
    <row r="35416" spans="1:6" x14ac:dyDescent="0.25">
      <c r="A35416" s="1" t="str">
        <f t="shared" si="1272"/>
        <v>45460</v>
      </c>
      <c r="B35416" s="1" t="str">
        <f>"47803"</f>
        <v>47803</v>
      </c>
      <c r="C35416" s="2">
        <v>0.11733951627568601</v>
      </c>
      <c r="D35416" s="2">
        <v>9.0285032084763406E-2</v>
      </c>
      <c r="E35416" s="2">
        <v>9.7599370326642995E-2</v>
      </c>
      <c r="F35416" s="2">
        <v>0.11495896159463501</v>
      </c>
    </row>
    <row r="35417" spans="1:6" x14ac:dyDescent="0.25">
      <c r="A35417" s="1" t="str">
        <f t="shared" si="1272"/>
        <v>45460</v>
      </c>
      <c r="B35417" s="1" t="str">
        <f>"47879"</f>
        <v>47879</v>
      </c>
      <c r="C35417" s="2">
        <v>1.7366793962538599E-2</v>
      </c>
      <c r="D35417" s="2">
        <v>1.1192359349350801E-2</v>
      </c>
      <c r="E35417" s="2">
        <v>2.7548209366391099E-3</v>
      </c>
      <c r="F35417" s="2">
        <v>1.6559356550716799E-2</v>
      </c>
    </row>
    <row r="35418" spans="1:6" x14ac:dyDescent="0.25">
      <c r="A35418" s="1" t="str">
        <f t="shared" si="1272"/>
        <v>45460</v>
      </c>
      <c r="B35418" s="1" t="str">
        <f>"47854"</f>
        <v>47854</v>
      </c>
      <c r="C35418" s="2">
        <v>3.77341334788143E-3</v>
      </c>
      <c r="D35418" s="2">
        <v>1.9400089538874701E-3</v>
      </c>
      <c r="E35418" s="2">
        <v>3.9354584809130202E-4</v>
      </c>
      <c r="F35418" s="2">
        <v>3.5587188612099599E-3</v>
      </c>
    </row>
    <row r="35419" spans="1:6" x14ac:dyDescent="0.25">
      <c r="A35419" s="1" t="str">
        <f t="shared" si="1272"/>
        <v>45460</v>
      </c>
      <c r="B35419" s="1" t="str">
        <f>"47881"</f>
        <v>47881</v>
      </c>
      <c r="C35419" s="2">
        <v>0</v>
      </c>
      <c r="D35419" s="2">
        <v>0</v>
      </c>
      <c r="E35419" s="2">
        <v>3.9354584809130202E-4</v>
      </c>
      <c r="F35419" s="2">
        <v>1.0285314627774399E-5</v>
      </c>
    </row>
    <row r="35420" spans="1:6" x14ac:dyDescent="0.25">
      <c r="A35420" s="1" t="str">
        <f t="shared" si="1272"/>
        <v>45460</v>
      </c>
      <c r="B35420" s="1" t="str">
        <f>"46175"</f>
        <v>46175</v>
      </c>
      <c r="C35420" s="2">
        <v>1.5911983997090299E-4</v>
      </c>
      <c r="D35420" s="2">
        <v>0</v>
      </c>
      <c r="E35420" s="2">
        <v>0</v>
      </c>
      <c r="F35420" s="2">
        <v>1.43994404788842E-4</v>
      </c>
    </row>
    <row r="35421" spans="1:6" x14ac:dyDescent="0.25">
      <c r="A35421" s="1" t="str">
        <f t="shared" si="1272"/>
        <v>45460</v>
      </c>
      <c r="B35421" s="1" t="str">
        <f>"47863"</f>
        <v>47863</v>
      </c>
      <c r="C35421" s="2">
        <v>4.54628114202582E-5</v>
      </c>
      <c r="D35421" s="2">
        <v>0</v>
      </c>
      <c r="E35421" s="2">
        <v>3.9354584809130202E-4</v>
      </c>
      <c r="F35421" s="2">
        <v>5.1426573138872298E-5</v>
      </c>
    </row>
    <row r="35422" spans="1:6" x14ac:dyDescent="0.25">
      <c r="A35422" s="1" t="str">
        <f t="shared" si="1272"/>
        <v>45460</v>
      </c>
      <c r="B35422" s="1" t="str">
        <f>"47868"</f>
        <v>47868</v>
      </c>
      <c r="C35422" s="2">
        <v>1.5684669939989E-3</v>
      </c>
      <c r="D35422" s="2">
        <v>2.9846291598268899E-4</v>
      </c>
      <c r="E35422" s="2">
        <v>3.9354584809130202E-4</v>
      </c>
      <c r="F35422" s="2">
        <v>1.45022936251619E-3</v>
      </c>
    </row>
    <row r="35423" spans="1:6" x14ac:dyDescent="0.25">
      <c r="A35423" s="1" t="str">
        <f t="shared" ref="A35423:A35446" si="1273">"45500"</f>
        <v>45500</v>
      </c>
      <c r="B35423" s="1" t="str">
        <f>"71854"</f>
        <v>71854</v>
      </c>
      <c r="C35423" s="2">
        <v>0.24741023588101199</v>
      </c>
      <c r="D35423" s="2">
        <v>0.20056918281609901</v>
      </c>
      <c r="E35423" s="2">
        <v>0.12833473743330501</v>
      </c>
      <c r="F35423" s="2">
        <v>0.239055630936227</v>
      </c>
    </row>
    <row r="35424" spans="1:6" x14ac:dyDescent="0.25">
      <c r="A35424" s="1" t="str">
        <f t="shared" si="1273"/>
        <v>45500</v>
      </c>
      <c r="B35424" s="1" t="str">
        <f>"75503"</f>
        <v>75503</v>
      </c>
      <c r="C35424" s="2">
        <v>0.15765227566668699</v>
      </c>
      <c r="D35424" s="2">
        <v>0.21032660252066601</v>
      </c>
      <c r="E35424" s="2">
        <v>0.16680707666385799</v>
      </c>
      <c r="F35424" s="2">
        <v>0.16222523744911799</v>
      </c>
    </row>
    <row r="35425" spans="1:6" x14ac:dyDescent="0.25">
      <c r="A35425" s="1" t="str">
        <f t="shared" si="1273"/>
        <v>45500</v>
      </c>
      <c r="B35425" s="1" t="str">
        <f>"71853"</f>
        <v>71853</v>
      </c>
      <c r="C35425" s="2">
        <v>2.5127794543326901E-3</v>
      </c>
      <c r="D35425" s="2">
        <v>1.08415774495189E-3</v>
      </c>
      <c r="E35425" s="2">
        <v>2.8081999438360001E-4</v>
      </c>
      <c r="F35425" s="2">
        <v>2.3120759837177698E-3</v>
      </c>
    </row>
    <row r="35426" spans="1:6" x14ac:dyDescent="0.25">
      <c r="A35426" s="1" t="str">
        <f t="shared" si="1273"/>
        <v>45500</v>
      </c>
      <c r="B35426" s="1" t="str">
        <f>"75561"</f>
        <v>75561</v>
      </c>
      <c r="C35426" s="2">
        <v>2.6753710660836299E-2</v>
      </c>
      <c r="D35426" s="2">
        <v>8.6732619596151198E-3</v>
      </c>
      <c r="E35426" s="2">
        <v>0.12636899747262001</v>
      </c>
      <c r="F35426" s="2">
        <v>2.9156037991858799E-2</v>
      </c>
    </row>
    <row r="35427" spans="1:6" x14ac:dyDescent="0.25">
      <c r="A35427" s="1" t="str">
        <f t="shared" si="1273"/>
        <v>45500</v>
      </c>
      <c r="B35427" s="1" t="str">
        <f>"75569"</f>
        <v>75569</v>
      </c>
      <c r="C35427" s="2">
        <v>3.41319209213524E-2</v>
      </c>
      <c r="D35427" s="2">
        <v>3.7267922482721198E-2</v>
      </c>
      <c r="E35427" s="2">
        <v>1.31985397360292E-2</v>
      </c>
      <c r="F35427" s="2">
        <v>3.3573948439619999E-2</v>
      </c>
    </row>
    <row r="35428" spans="1:6" x14ac:dyDescent="0.25">
      <c r="A35428" s="1" t="str">
        <f t="shared" si="1273"/>
        <v>45500</v>
      </c>
      <c r="B35428" s="1" t="str">
        <f>"71820"</f>
        <v>71820</v>
      </c>
      <c r="C35428" s="2">
        <v>0</v>
      </c>
      <c r="D35428" s="2">
        <v>0</v>
      </c>
      <c r="E35428" s="2">
        <v>2.8081999438360001E-4</v>
      </c>
      <c r="F35428" s="2">
        <v>1.0854816824965999E-5</v>
      </c>
    </row>
    <row r="35429" spans="1:6" x14ac:dyDescent="0.25">
      <c r="A35429" s="1" t="str">
        <f t="shared" si="1273"/>
        <v>45500</v>
      </c>
      <c r="B35429" s="1" t="str">
        <f>"75567"</f>
        <v>75567</v>
      </c>
      <c r="C35429" s="2">
        <v>2.62733263533904E-2</v>
      </c>
      <c r="D35429" s="2">
        <v>5.9628675972353898E-3</v>
      </c>
      <c r="E35429" s="2">
        <v>1.7410839651783201E-2</v>
      </c>
      <c r="F35429" s="2">
        <v>2.4303934871099001E-2</v>
      </c>
    </row>
    <row r="35430" spans="1:6" x14ac:dyDescent="0.25">
      <c r="A35430" s="1" t="str">
        <f t="shared" si="1273"/>
        <v>45500</v>
      </c>
      <c r="B35430" s="1" t="str">
        <f>"75599"</f>
        <v>75599</v>
      </c>
      <c r="C35430" s="2">
        <v>0</v>
      </c>
      <c r="D35430" s="2">
        <v>1.35519718118986E-4</v>
      </c>
      <c r="E35430" s="2">
        <v>0</v>
      </c>
      <c r="F35430" s="2">
        <v>1.0854816824965999E-5</v>
      </c>
    </row>
    <row r="35431" spans="1:6" x14ac:dyDescent="0.25">
      <c r="A35431" s="1" t="str">
        <f t="shared" si="1273"/>
        <v>45500</v>
      </c>
      <c r="B35431" s="1" t="str">
        <f>"75574"</f>
        <v>75574</v>
      </c>
      <c r="C35431" s="2">
        <v>1.69366262240561E-2</v>
      </c>
      <c r="D35431" s="2">
        <v>4.7431901341645202E-3</v>
      </c>
      <c r="E35431" s="2">
        <v>8.4245998315079997E-4</v>
      </c>
      <c r="F35431" s="2">
        <v>1.5337856173677E-2</v>
      </c>
    </row>
    <row r="35432" spans="1:6" x14ac:dyDescent="0.25">
      <c r="A35432" s="1" t="str">
        <f t="shared" si="1273"/>
        <v>45500</v>
      </c>
      <c r="B35432" s="1" t="str">
        <f>"75501"</f>
        <v>75501</v>
      </c>
      <c r="C35432" s="2">
        <v>0.23580710722424</v>
      </c>
      <c r="D35432" s="2">
        <v>0.26195961512400001</v>
      </c>
      <c r="E35432" s="2">
        <v>0.17888233642235299</v>
      </c>
      <c r="F35432" s="2">
        <v>0.23570149253731301</v>
      </c>
    </row>
    <row r="35433" spans="1:6" x14ac:dyDescent="0.25">
      <c r="A35433" s="1" t="str">
        <f t="shared" si="1273"/>
        <v>45500</v>
      </c>
      <c r="B35433" s="1" t="str">
        <f>"71837"</f>
        <v>71837</v>
      </c>
      <c r="C35433" s="2">
        <v>2.8773788261378299E-2</v>
      </c>
      <c r="D35433" s="2">
        <v>3.65903238921263E-3</v>
      </c>
      <c r="E35433" s="2">
        <v>5.6163998876720001E-4</v>
      </c>
      <c r="F35433" s="2">
        <v>2.56716417910447E-2</v>
      </c>
    </row>
    <row r="35434" spans="1:6" x14ac:dyDescent="0.25">
      <c r="A35434" s="1" t="str">
        <f t="shared" si="1273"/>
        <v>45500</v>
      </c>
      <c r="B35434" s="1" t="str">
        <f>"71822"</f>
        <v>71822</v>
      </c>
      <c r="C35434" s="2">
        <v>5.4689905770770403E-2</v>
      </c>
      <c r="D35434" s="2">
        <v>5.8680037945520999E-2</v>
      </c>
      <c r="E35434" s="2">
        <v>1.01095197978096E-2</v>
      </c>
      <c r="F35434" s="2">
        <v>5.3286295793758397E-2</v>
      </c>
    </row>
    <row r="35435" spans="1:6" x14ac:dyDescent="0.25">
      <c r="A35435" s="1" t="str">
        <f t="shared" si="1273"/>
        <v>45500</v>
      </c>
      <c r="B35435" s="1" t="str">
        <f>"75554"</f>
        <v>75554</v>
      </c>
      <c r="C35435" s="2">
        <v>9.8540370758144909E-4</v>
      </c>
      <c r="D35435" s="2">
        <v>1.35519718118986E-4</v>
      </c>
      <c r="E35435" s="2">
        <v>0</v>
      </c>
      <c r="F35435" s="2">
        <v>8.7924016282225198E-4</v>
      </c>
    </row>
    <row r="35436" spans="1:6" x14ac:dyDescent="0.25">
      <c r="A35436" s="1" t="str">
        <f t="shared" si="1273"/>
        <v>45500</v>
      </c>
      <c r="B35436" s="1" t="str">
        <f>"75570"</f>
        <v>75570</v>
      </c>
      <c r="C35436" s="2">
        <v>5.4763811048838998E-2</v>
      </c>
      <c r="D35436" s="2">
        <v>5.50210055563084E-2</v>
      </c>
      <c r="E35436" s="2">
        <v>2.3027239539455201E-2</v>
      </c>
      <c r="F35436" s="2">
        <v>5.3557666214382599E-2</v>
      </c>
    </row>
    <row r="35437" spans="1:6" x14ac:dyDescent="0.25">
      <c r="A35437" s="1" t="str">
        <f t="shared" si="1273"/>
        <v>45500</v>
      </c>
      <c r="B35437" s="1" t="str">
        <f>"75559"</f>
        <v>75559</v>
      </c>
      <c r="C35437" s="2">
        <v>3.7593151444232302E-2</v>
      </c>
      <c r="D35437" s="2">
        <v>2.4529068979536502E-2</v>
      </c>
      <c r="E35437" s="2">
        <v>0.32294299354113998</v>
      </c>
      <c r="F35437" s="2">
        <v>4.7576662143826297E-2</v>
      </c>
    </row>
    <row r="35438" spans="1:6" x14ac:dyDescent="0.25">
      <c r="A35438" s="1" t="str">
        <f t="shared" si="1273"/>
        <v>45500</v>
      </c>
      <c r="B35438" s="1" t="str">
        <f>"71834"</f>
        <v>71834</v>
      </c>
      <c r="C35438" s="2">
        <v>1.13075075444971E-2</v>
      </c>
      <c r="D35438" s="2">
        <v>5.1497492885214701E-3</v>
      </c>
      <c r="E35438" s="2">
        <v>2.8081999438360001E-4</v>
      </c>
      <c r="F35438" s="2">
        <v>1.0388059701492499E-2</v>
      </c>
    </row>
    <row r="35439" spans="1:6" x14ac:dyDescent="0.25">
      <c r="A35439" s="1" t="str">
        <f t="shared" si="1273"/>
        <v>45500</v>
      </c>
      <c r="B35439" s="1" t="str">
        <f>"71840"</f>
        <v>71840</v>
      </c>
      <c r="C35439" s="2">
        <v>0</v>
      </c>
      <c r="D35439" s="2">
        <v>0</v>
      </c>
      <c r="E35439" s="2">
        <v>2.8081999438360001E-4</v>
      </c>
      <c r="F35439" s="2">
        <v>1.0854816824965999E-5</v>
      </c>
    </row>
    <row r="35440" spans="1:6" x14ac:dyDescent="0.25">
      <c r="A35440" s="1" t="str">
        <f t="shared" si="1273"/>
        <v>45500</v>
      </c>
      <c r="B35440" s="1" t="str">
        <f>"71866"</f>
        <v>71866</v>
      </c>
      <c r="C35440" s="2">
        <v>3.9908850157048701E-3</v>
      </c>
      <c r="D35440" s="2">
        <v>6.7759859059493099E-4</v>
      </c>
      <c r="E35440" s="2">
        <v>2.8081999438360001E-4</v>
      </c>
      <c r="F35440" s="2">
        <v>3.5820895522387999E-3</v>
      </c>
    </row>
    <row r="35441" spans="1:6" x14ac:dyDescent="0.25">
      <c r="A35441" s="1" t="str">
        <f t="shared" si="1273"/>
        <v>45500</v>
      </c>
      <c r="B35441" s="1" t="str">
        <f>"71836"</f>
        <v>71836</v>
      </c>
      <c r="C35441" s="2">
        <v>1.6924308677711299E-2</v>
      </c>
      <c r="D35441" s="2">
        <v>4.60767041604553E-3</v>
      </c>
      <c r="E35441" s="2">
        <v>1.6849199663015999E-3</v>
      </c>
      <c r="F35441" s="2">
        <v>1.5348710990502E-2</v>
      </c>
    </row>
    <row r="35442" spans="1:6" x14ac:dyDescent="0.25">
      <c r="A35442" s="1" t="str">
        <f t="shared" si="1273"/>
        <v>45500</v>
      </c>
      <c r="B35442" s="1" t="str">
        <f>"75505"</f>
        <v>75505</v>
      </c>
      <c r="C35442" s="2">
        <v>2.2651967728028501E-2</v>
      </c>
      <c r="D35442" s="2">
        <v>4.7973980214121102E-2</v>
      </c>
      <c r="E35442" s="2">
        <v>5.6163998876720001E-4</v>
      </c>
      <c r="F35442" s="2">
        <v>2.38263229308005E-2</v>
      </c>
    </row>
    <row r="35443" spans="1:6" x14ac:dyDescent="0.25">
      <c r="A35443" s="1" t="str">
        <f t="shared" si="1273"/>
        <v>45500</v>
      </c>
      <c r="B35443" s="1" t="str">
        <f>"75504"</f>
        <v>75504</v>
      </c>
      <c r="C35443" s="2">
        <v>1.8969021370942901E-2</v>
      </c>
      <c r="D35443" s="2">
        <v>6.5998102723946295E-2</v>
      </c>
      <c r="E35443" s="2">
        <v>2.8081999438360001E-4</v>
      </c>
      <c r="F35443" s="2">
        <v>2.2013568521031202E-2</v>
      </c>
    </row>
    <row r="35444" spans="1:6" x14ac:dyDescent="0.25">
      <c r="A35444" s="1" t="str">
        <f t="shared" si="1273"/>
        <v>45500</v>
      </c>
      <c r="B35444" s="1" t="str">
        <f>"71839"</f>
        <v>71839</v>
      </c>
      <c r="C35444" s="2">
        <v>1.7614091273018401E-3</v>
      </c>
      <c r="D35444" s="2">
        <v>2.7103943623797201E-3</v>
      </c>
      <c r="E35444" s="2">
        <v>7.0204998595900002E-3</v>
      </c>
      <c r="F35444" s="2">
        <v>2.0407055630936202E-3</v>
      </c>
    </row>
    <row r="35445" spans="1:6" x14ac:dyDescent="0.25">
      <c r="A35445" s="1" t="str">
        <f t="shared" si="1273"/>
        <v>45500</v>
      </c>
      <c r="B35445" s="1" t="str">
        <f>"75573"</f>
        <v>75573</v>
      </c>
      <c r="C35445" s="2">
        <v>0</v>
      </c>
      <c r="D35445" s="2">
        <v>1.35519718118986E-4</v>
      </c>
      <c r="E35445" s="2">
        <v>2.8081999438360001E-4</v>
      </c>
      <c r="F35445" s="2">
        <v>2.1709633649932101E-5</v>
      </c>
    </row>
    <row r="35446" spans="1:6" x14ac:dyDescent="0.25">
      <c r="A35446" s="1" t="str">
        <f t="shared" si="1273"/>
        <v>45500</v>
      </c>
      <c r="B35446" s="1" t="str">
        <f>"71865"</f>
        <v>71865</v>
      </c>
      <c r="C35446" s="2">
        <v>1.1085791710291301E-4</v>
      </c>
      <c r="D35446" s="2">
        <v>0</v>
      </c>
      <c r="E35446" s="2">
        <v>2.8081999438360001E-4</v>
      </c>
      <c r="F35446" s="2">
        <v>1.0854816824966E-4</v>
      </c>
    </row>
    <row r="35447" spans="1:6" x14ac:dyDescent="0.25">
      <c r="A35447" s="1" t="str">
        <f t="shared" ref="A35447:A35453" si="1274">"45520"</f>
        <v>45520</v>
      </c>
      <c r="B35447" s="1" t="str">
        <f>"97037"</f>
        <v>97037</v>
      </c>
      <c r="C35447" s="2">
        <v>5.1633508550136403E-2</v>
      </c>
      <c r="D35447" s="2">
        <v>1.1846689895470301E-2</v>
      </c>
      <c r="E35447" s="2">
        <v>4.2372881355932203E-3</v>
      </c>
      <c r="F35447" s="2">
        <v>4.6941426547000398E-2</v>
      </c>
    </row>
    <row r="35448" spans="1:6" x14ac:dyDescent="0.25">
      <c r="A35448" s="1" t="str">
        <f t="shared" si="1274"/>
        <v>45520</v>
      </c>
      <c r="B35448" s="1" t="str">
        <f>"97057"</f>
        <v>97057</v>
      </c>
      <c r="C35448" s="2">
        <v>0</v>
      </c>
      <c r="D35448" s="2">
        <v>0</v>
      </c>
      <c r="E35448" s="2">
        <v>2.1186440677966102E-3</v>
      </c>
      <c r="F35448" s="2">
        <v>5.90458195559754E-5</v>
      </c>
    </row>
    <row r="35449" spans="1:6" x14ac:dyDescent="0.25">
      <c r="A35449" s="1" t="str">
        <f t="shared" si="1274"/>
        <v>45520</v>
      </c>
      <c r="B35449" s="1" t="str">
        <f>"97063"</f>
        <v>97063</v>
      </c>
      <c r="C35449" s="2">
        <v>7.9313327566704298E-2</v>
      </c>
      <c r="D35449" s="2">
        <v>2.8571428571428501E-2</v>
      </c>
      <c r="E35449" s="2">
        <v>3.6016949152542298E-2</v>
      </c>
      <c r="F35449" s="2">
        <v>7.3807274444969206E-2</v>
      </c>
    </row>
    <row r="35450" spans="1:6" x14ac:dyDescent="0.25">
      <c r="A35450" s="1" t="str">
        <f t="shared" si="1274"/>
        <v>45520</v>
      </c>
      <c r="B35450" s="1" t="str">
        <f>"97058"</f>
        <v>97058</v>
      </c>
      <c r="C35450" s="2">
        <v>0.73225098143588996</v>
      </c>
      <c r="D35450" s="2">
        <v>0.93170731707317</v>
      </c>
      <c r="E35450" s="2">
        <v>0.91101694915254205</v>
      </c>
      <c r="F35450" s="2">
        <v>0.75413320736891798</v>
      </c>
    </row>
    <row r="35451" spans="1:6" x14ac:dyDescent="0.25">
      <c r="A35451" s="1" t="str">
        <f t="shared" si="1274"/>
        <v>45520</v>
      </c>
      <c r="B35451" s="1" t="str">
        <f>"97021"</f>
        <v>97021</v>
      </c>
      <c r="C35451" s="2">
        <v>5.2631578947368397E-2</v>
      </c>
      <c r="D35451" s="2">
        <v>4.1811846689895401E-3</v>
      </c>
      <c r="E35451" s="2">
        <v>1.48305084745762E-2</v>
      </c>
      <c r="F35451" s="2">
        <v>4.7472838923004197E-2</v>
      </c>
    </row>
    <row r="35452" spans="1:6" x14ac:dyDescent="0.25">
      <c r="A35452" s="1" t="str">
        <f t="shared" si="1274"/>
        <v>45520</v>
      </c>
      <c r="B35452" s="1" t="str">
        <f>"97040"</f>
        <v>97040</v>
      </c>
      <c r="C35452" s="2">
        <v>8.0045245858007805E-2</v>
      </c>
      <c r="D35452" s="2">
        <v>2.3693379790940699E-2</v>
      </c>
      <c r="E35452" s="2">
        <v>2.9661016949152502E-2</v>
      </c>
      <c r="F35452" s="2">
        <v>7.3866320264525206E-2</v>
      </c>
    </row>
    <row r="35453" spans="1:6" x14ac:dyDescent="0.25">
      <c r="A35453" s="1" t="str">
        <f t="shared" si="1274"/>
        <v>45520</v>
      </c>
      <c r="B35453" s="1" t="str">
        <f>"97001"</f>
        <v>97001</v>
      </c>
      <c r="C35453" s="2">
        <v>4.1253576418923401E-3</v>
      </c>
      <c r="D35453" s="2">
        <v>0</v>
      </c>
      <c r="E35453" s="2">
        <v>2.1186440677966102E-3</v>
      </c>
      <c r="F35453" s="2">
        <v>3.7198866320264502E-3</v>
      </c>
    </row>
    <row r="35454" spans="1:6" x14ac:dyDescent="0.25">
      <c r="A35454" s="1" t="str">
        <f t="shared" ref="A35454:A35466" si="1275">"45540"</f>
        <v>45540</v>
      </c>
      <c r="B35454" s="1" t="str">
        <f>"33514"</f>
        <v>33514</v>
      </c>
      <c r="C35454" s="2">
        <v>9.0152565880721198E-3</v>
      </c>
      <c r="D35454" s="2">
        <v>6.8236096895257503E-3</v>
      </c>
      <c r="E35454" s="2">
        <v>5.1216389244558196E-3</v>
      </c>
      <c r="F35454" s="2">
        <v>8.9012550890125493E-3</v>
      </c>
    </row>
    <row r="35455" spans="1:6" x14ac:dyDescent="0.25">
      <c r="A35455" s="1" t="str">
        <f t="shared" si="1275"/>
        <v>45540</v>
      </c>
      <c r="B35455" s="1" t="str">
        <f>"32159"</f>
        <v>32159</v>
      </c>
      <c r="C35455" s="2">
        <v>7.3420754003278202E-2</v>
      </c>
      <c r="D35455" s="2">
        <v>9.8601160013647202E-2</v>
      </c>
      <c r="E35455" s="2">
        <v>0.185659411011523</v>
      </c>
      <c r="F35455" s="2">
        <v>7.5365565753655606E-2</v>
      </c>
    </row>
    <row r="35456" spans="1:6" x14ac:dyDescent="0.25">
      <c r="A35456" s="1" t="str">
        <f t="shared" si="1275"/>
        <v>45540</v>
      </c>
      <c r="B35456" s="1" t="str">
        <f>"33538"</f>
        <v>33538</v>
      </c>
      <c r="C35456" s="2">
        <v>3.2757533728407499E-2</v>
      </c>
      <c r="D35456" s="2">
        <v>3.5823950870010203E-2</v>
      </c>
      <c r="E35456" s="2">
        <v>3.58514724711907E-2</v>
      </c>
      <c r="F35456" s="2">
        <v>3.2894895328948903E-2</v>
      </c>
    </row>
    <row r="35457" spans="1:6" x14ac:dyDescent="0.25">
      <c r="A35457" s="1" t="str">
        <f t="shared" si="1275"/>
        <v>45540</v>
      </c>
      <c r="B35457" s="1" t="str">
        <f>"33521"</f>
        <v>33521</v>
      </c>
      <c r="C35457" s="2">
        <v>0</v>
      </c>
      <c r="D35457" s="2">
        <v>3.4118048447628701E-4</v>
      </c>
      <c r="E35457" s="2">
        <v>1.2804097311139499E-3</v>
      </c>
      <c r="F35457" s="2">
        <v>2.40900002409E-5</v>
      </c>
    </row>
    <row r="35458" spans="1:6" x14ac:dyDescent="0.25">
      <c r="A35458" s="1" t="str">
        <f t="shared" si="1275"/>
        <v>45540</v>
      </c>
      <c r="B35458" s="1" t="str">
        <f>"33597"</f>
        <v>33597</v>
      </c>
      <c r="C35458" s="2">
        <v>4.87076030765351E-2</v>
      </c>
      <c r="D35458" s="2">
        <v>3.6506311838962802E-2</v>
      </c>
      <c r="E35458" s="2">
        <v>2.0486555697823299E-2</v>
      </c>
      <c r="F35458" s="2">
        <v>4.8011370480113703E-2</v>
      </c>
    </row>
    <row r="35459" spans="1:6" x14ac:dyDescent="0.25">
      <c r="A35459" s="1" t="str">
        <f t="shared" si="1275"/>
        <v>45540</v>
      </c>
      <c r="B35459" s="1" t="str">
        <f>"32163"</f>
        <v>32163</v>
      </c>
      <c r="C35459" s="2">
        <v>0.21978312949186701</v>
      </c>
      <c r="D35459" s="2">
        <v>7.9495052882974995E-2</v>
      </c>
      <c r="E35459" s="2">
        <v>8.1946222791293197E-2</v>
      </c>
      <c r="F35459" s="2">
        <v>0.21353376213533701</v>
      </c>
    </row>
    <row r="35460" spans="1:6" x14ac:dyDescent="0.25">
      <c r="A35460" s="1" t="str">
        <f t="shared" si="1275"/>
        <v>45540</v>
      </c>
      <c r="B35460" s="1" t="str">
        <f>"34785"</f>
        <v>34785</v>
      </c>
      <c r="C35460" s="2">
        <v>0.105320892699533</v>
      </c>
      <c r="D35460" s="2">
        <v>0.267485499829409</v>
      </c>
      <c r="E35460" s="2">
        <v>0.119078104993597</v>
      </c>
      <c r="F35460" s="2">
        <v>0.111175351111753</v>
      </c>
    </row>
    <row r="35461" spans="1:6" x14ac:dyDescent="0.25">
      <c r="A35461" s="1" t="str">
        <f t="shared" si="1275"/>
        <v>45540</v>
      </c>
      <c r="B35461" s="1" t="str">
        <f>"34491"</f>
        <v>34491</v>
      </c>
      <c r="C35461" s="2">
        <v>2.5217500945656199E-5</v>
      </c>
      <c r="D35461" s="2">
        <v>0</v>
      </c>
      <c r="E35461" s="2">
        <v>0</v>
      </c>
      <c r="F35461" s="2">
        <v>2.40900002409E-5</v>
      </c>
    </row>
    <row r="35462" spans="1:6" x14ac:dyDescent="0.25">
      <c r="A35462" s="1" t="str">
        <f t="shared" si="1275"/>
        <v>45540</v>
      </c>
      <c r="B35462" s="1" t="str">
        <f>"34731"</f>
        <v>34731</v>
      </c>
      <c r="C35462" s="2">
        <v>1.51305005673937E-4</v>
      </c>
      <c r="D35462" s="2">
        <v>0</v>
      </c>
      <c r="E35462" s="2">
        <v>1.2804097311139499E-3</v>
      </c>
      <c r="F35462" s="2">
        <v>1.5658500156585001E-4</v>
      </c>
    </row>
    <row r="35463" spans="1:6" x14ac:dyDescent="0.25">
      <c r="A35463" s="1" t="str">
        <f t="shared" si="1275"/>
        <v>45540</v>
      </c>
      <c r="B35463" s="1" t="str">
        <f>"33585"</f>
        <v>33585</v>
      </c>
      <c r="C35463" s="2">
        <v>7.0356827638381001E-3</v>
      </c>
      <c r="D35463" s="2">
        <v>2.9000341180484401E-2</v>
      </c>
      <c r="E35463" s="2">
        <v>2.8169014084507001E-2</v>
      </c>
      <c r="F35463" s="2">
        <v>8.0099250800992495E-3</v>
      </c>
    </row>
    <row r="35464" spans="1:6" x14ac:dyDescent="0.25">
      <c r="A35464" s="1" t="str">
        <f t="shared" si="1275"/>
        <v>45540</v>
      </c>
      <c r="B35464" s="1" t="str">
        <f>"34484"</f>
        <v>34484</v>
      </c>
      <c r="C35464" s="2">
        <v>5.34358845038456E-2</v>
      </c>
      <c r="D35464" s="2">
        <v>0.10201296485840999</v>
      </c>
      <c r="E35464" s="2">
        <v>2.94494238156209E-2</v>
      </c>
      <c r="F35464" s="2">
        <v>5.4925200549251998E-2</v>
      </c>
    </row>
    <row r="35465" spans="1:6" x14ac:dyDescent="0.25">
      <c r="A35465" s="1" t="str">
        <f t="shared" si="1275"/>
        <v>45540</v>
      </c>
      <c r="B35465" s="1" t="str">
        <f>"32162"</f>
        <v>32162</v>
      </c>
      <c r="C35465" s="2">
        <v>0.37924599672172399</v>
      </c>
      <c r="D35465" s="2">
        <v>0.182190378710337</v>
      </c>
      <c r="E35465" s="2">
        <v>0.28681177976952599</v>
      </c>
      <c r="F35465" s="2">
        <v>0.37141962371419601</v>
      </c>
    </row>
    <row r="35466" spans="1:6" x14ac:dyDescent="0.25">
      <c r="A35466" s="1" t="str">
        <f t="shared" si="1275"/>
        <v>45540</v>
      </c>
      <c r="B35466" s="1" t="str">
        <f>"33513"</f>
        <v>33513</v>
      </c>
      <c r="C35466" s="2">
        <v>7.1100743916277798E-2</v>
      </c>
      <c r="D35466" s="2">
        <v>0.16171954964176</v>
      </c>
      <c r="E35466" s="2">
        <v>0.204865556978233</v>
      </c>
      <c r="F35466" s="2">
        <v>7.5558285755582794E-2</v>
      </c>
    </row>
    <row r="35467" spans="1:6" x14ac:dyDescent="0.25">
      <c r="A35467" s="1" t="str">
        <f t="shared" ref="A35467:A35473" si="1276">"45580"</f>
        <v>45580</v>
      </c>
      <c r="B35467" s="1" t="str">
        <f>"30285"</f>
        <v>30285</v>
      </c>
      <c r="C35467" s="2">
        <v>1.31459970786673E-2</v>
      </c>
      <c r="D35467" s="2">
        <v>2.2455089820359198E-3</v>
      </c>
      <c r="E35467" s="2">
        <v>8.0321285140562207E-3</v>
      </c>
      <c r="F35467" s="2">
        <v>1.21538654303971E-2</v>
      </c>
    </row>
    <row r="35468" spans="1:6" x14ac:dyDescent="0.25">
      <c r="A35468" s="1" t="str">
        <f t="shared" si="1276"/>
        <v>45580</v>
      </c>
      <c r="B35468" s="1" t="str">
        <f>"30258"</f>
        <v>30258</v>
      </c>
      <c r="C35468" s="2">
        <v>2.5665994296445699E-2</v>
      </c>
      <c r="D35468" s="2">
        <v>1.49700598802395E-2</v>
      </c>
      <c r="E35468" s="2">
        <v>4.0160642570281103E-3</v>
      </c>
      <c r="F35468" s="2">
        <v>2.4433028442550998E-2</v>
      </c>
    </row>
    <row r="35469" spans="1:6" x14ac:dyDescent="0.25">
      <c r="A35469" s="1" t="str">
        <f t="shared" si="1276"/>
        <v>45580</v>
      </c>
      <c r="B35469" s="1" t="str">
        <f>"30204"</f>
        <v>30204</v>
      </c>
      <c r="C35469" s="2">
        <v>8.2075537316547206E-3</v>
      </c>
      <c r="D35469" s="2">
        <v>0</v>
      </c>
      <c r="E35469" s="2">
        <v>0</v>
      </c>
      <c r="F35469" s="2">
        <v>7.3925573236436502E-3</v>
      </c>
    </row>
    <row r="35470" spans="1:6" x14ac:dyDescent="0.25">
      <c r="A35470" s="1" t="str">
        <f t="shared" si="1276"/>
        <v>45580</v>
      </c>
      <c r="B35470" s="1" t="str">
        <f>"31097"</f>
        <v>31097</v>
      </c>
      <c r="C35470" s="2">
        <v>3.9298880155804398E-2</v>
      </c>
      <c r="D35470" s="2">
        <v>1.2724550898203501E-2</v>
      </c>
      <c r="E35470" s="2">
        <v>0</v>
      </c>
      <c r="F35470" s="2">
        <v>3.64615962911915E-2</v>
      </c>
    </row>
    <row r="35471" spans="1:6" x14ac:dyDescent="0.25">
      <c r="A35471" s="1" t="str">
        <f t="shared" si="1276"/>
        <v>45580</v>
      </c>
      <c r="B35471" s="1" t="str">
        <f>"30256"</f>
        <v>30256</v>
      </c>
      <c r="C35471" s="2">
        <v>1.9684217847951501E-2</v>
      </c>
      <c r="D35471" s="2">
        <v>2.9940119760479E-3</v>
      </c>
      <c r="E35471" s="2">
        <v>0</v>
      </c>
      <c r="F35471" s="2">
        <v>1.7980202982082399E-2</v>
      </c>
    </row>
    <row r="35472" spans="1:6" x14ac:dyDescent="0.25">
      <c r="A35472" s="1" t="str">
        <f t="shared" si="1276"/>
        <v>45580</v>
      </c>
      <c r="B35472" s="1" t="str">
        <f>"30286"</f>
        <v>30286</v>
      </c>
      <c r="C35472" s="2">
        <v>0.87473047228211698</v>
      </c>
      <c r="D35472" s="2">
        <v>0.96482035928143695</v>
      </c>
      <c r="E35472" s="2">
        <v>0.96385542168674598</v>
      </c>
      <c r="F35472" s="2">
        <v>0.88366119533892895</v>
      </c>
    </row>
    <row r="35473" spans="1:6" x14ac:dyDescent="0.25">
      <c r="A35473" s="1" t="str">
        <f t="shared" si="1276"/>
        <v>45580</v>
      </c>
      <c r="B35473" s="1" t="str">
        <f>"31016"</f>
        <v>31016</v>
      </c>
      <c r="C35473" s="2">
        <v>1.9266884607358901E-2</v>
      </c>
      <c r="D35473" s="2">
        <v>2.2455089820359198E-3</v>
      </c>
      <c r="E35473" s="2">
        <v>2.40963855421686E-2</v>
      </c>
      <c r="F35473" s="2">
        <v>1.79175541912041E-2</v>
      </c>
    </row>
    <row r="35474" spans="1:6" x14ac:dyDescent="0.25">
      <c r="A35474" s="1" t="str">
        <f t="shared" ref="A35474:A35484" si="1277">"45620"</f>
        <v>45620</v>
      </c>
      <c r="B35474" s="1" t="str">
        <f>"31778"</f>
        <v>31778</v>
      </c>
      <c r="C35474" s="2">
        <v>2.3807701140626102E-2</v>
      </c>
      <c r="D35474" s="2">
        <v>5.3134962805526003E-3</v>
      </c>
      <c r="E35474" s="2">
        <v>2.0964360587002002E-3</v>
      </c>
      <c r="F35474" s="2">
        <v>2.1681506151022899E-2</v>
      </c>
    </row>
    <row r="35475" spans="1:6" x14ac:dyDescent="0.25">
      <c r="A35475" s="1" t="str">
        <f t="shared" si="1277"/>
        <v>45620</v>
      </c>
      <c r="B35475" s="1" t="str">
        <f>"31779"</f>
        <v>31779</v>
      </c>
      <c r="C35475" s="2">
        <v>9.1862512439715204E-4</v>
      </c>
      <c r="D35475" s="2">
        <v>0</v>
      </c>
      <c r="E35475" s="2">
        <v>0</v>
      </c>
      <c r="F35475" s="2">
        <v>8.1560524706042199E-4</v>
      </c>
    </row>
    <row r="35476" spans="1:6" x14ac:dyDescent="0.25">
      <c r="A35476" s="1" t="str">
        <f t="shared" si="1277"/>
        <v>45620</v>
      </c>
      <c r="B35476" s="1" t="str">
        <f>"31792"</f>
        <v>31792</v>
      </c>
      <c r="C35476" s="2">
        <v>0.49548342647171401</v>
      </c>
      <c r="D35476" s="2">
        <v>0.61707403471484201</v>
      </c>
      <c r="E35476" s="2">
        <v>0.737945492662473</v>
      </c>
      <c r="F35476" s="2">
        <v>0.51107863793923702</v>
      </c>
    </row>
    <row r="35477" spans="1:6" x14ac:dyDescent="0.25">
      <c r="A35477" s="1" t="str">
        <f t="shared" si="1277"/>
        <v>45620</v>
      </c>
      <c r="B35477" s="1" t="str">
        <f>"31626"</f>
        <v>31626</v>
      </c>
      <c r="C35477" s="2">
        <v>9.2053892673964605E-2</v>
      </c>
      <c r="D35477" s="2">
        <v>3.3297910024796297E-2</v>
      </c>
      <c r="E35477" s="2">
        <v>1.0482180293501E-2</v>
      </c>
      <c r="F35477" s="2">
        <v>8.5094814109970704E-2</v>
      </c>
    </row>
    <row r="35478" spans="1:6" x14ac:dyDescent="0.25">
      <c r="A35478" s="1" t="str">
        <f t="shared" si="1277"/>
        <v>45620</v>
      </c>
      <c r="B35478" s="1" t="str">
        <f>"31757"</f>
        <v>31757</v>
      </c>
      <c r="C35478" s="2">
        <v>0.217369670060476</v>
      </c>
      <c r="D35478" s="2">
        <v>0.117605384342897</v>
      </c>
      <c r="E35478" s="2">
        <v>0.169811320754716</v>
      </c>
      <c r="F35478" s="2">
        <v>0.20702779854550299</v>
      </c>
    </row>
    <row r="35479" spans="1:6" x14ac:dyDescent="0.25">
      <c r="A35479" s="1" t="str">
        <f t="shared" si="1277"/>
        <v>45620</v>
      </c>
      <c r="B35479" s="1" t="str">
        <f>"39828"</f>
        <v>39828</v>
      </c>
      <c r="C35479" s="2">
        <v>7.6552093699762598E-5</v>
      </c>
      <c r="D35479" s="2">
        <v>3.5423308537017298E-4</v>
      </c>
      <c r="E35479" s="2">
        <v>0</v>
      </c>
      <c r="F35479" s="2">
        <v>1.01950655882552E-4</v>
      </c>
    </row>
    <row r="35480" spans="1:6" x14ac:dyDescent="0.25">
      <c r="A35480" s="1" t="str">
        <f t="shared" si="1277"/>
        <v>45620</v>
      </c>
      <c r="B35480" s="1" t="str">
        <f>"31738"</f>
        <v>31738</v>
      </c>
      <c r="C35480" s="2">
        <v>3.8429151037280798E-2</v>
      </c>
      <c r="D35480" s="2">
        <v>1.4523556500177099E-2</v>
      </c>
      <c r="E35480" s="2">
        <v>2.3060796645702299E-2</v>
      </c>
      <c r="F35480" s="2">
        <v>3.5886630870658603E-2</v>
      </c>
    </row>
    <row r="35481" spans="1:6" x14ac:dyDescent="0.25">
      <c r="A35481" s="1" t="str">
        <f t="shared" si="1277"/>
        <v>45620</v>
      </c>
      <c r="B35481" s="1" t="str">
        <f>"31799"</f>
        <v>31799</v>
      </c>
      <c r="C35481" s="2">
        <v>5.9902013320064298E-2</v>
      </c>
      <c r="D35481" s="2">
        <v>0.18951470067304199</v>
      </c>
      <c r="E35481" s="2">
        <v>4.19287211740041E-3</v>
      </c>
      <c r="F35481" s="2">
        <v>7.1433426221708604E-2</v>
      </c>
    </row>
    <row r="35482" spans="1:6" x14ac:dyDescent="0.25">
      <c r="A35482" s="1" t="str">
        <f t="shared" si="1277"/>
        <v>45620</v>
      </c>
      <c r="B35482" s="1" t="str">
        <f>"31773"</f>
        <v>31773</v>
      </c>
      <c r="C35482" s="2">
        <v>5.5194059557528798E-2</v>
      </c>
      <c r="D35482" s="2">
        <v>1.62947219270279E-2</v>
      </c>
      <c r="E35482" s="2">
        <v>4.1928721174004098E-2</v>
      </c>
      <c r="F35482" s="2">
        <v>5.1247196356963197E-2</v>
      </c>
    </row>
    <row r="35483" spans="1:6" x14ac:dyDescent="0.25">
      <c r="A35483" s="1" t="str">
        <f t="shared" si="1277"/>
        <v>45620</v>
      </c>
      <c r="B35483" s="1" t="str">
        <f>"31765"</f>
        <v>31765</v>
      </c>
      <c r="C35483" s="2">
        <v>1.65735282859986E-2</v>
      </c>
      <c r="D35483" s="2">
        <v>6.0219624512929497E-3</v>
      </c>
      <c r="E35483" s="2">
        <v>6.2893081761006197E-3</v>
      </c>
      <c r="F35483" s="2">
        <v>1.53945490382654E-2</v>
      </c>
    </row>
    <row r="35484" spans="1:6" x14ac:dyDescent="0.25">
      <c r="A35484" s="1" t="str">
        <f t="shared" si="1277"/>
        <v>45620</v>
      </c>
      <c r="B35484" s="1" t="str">
        <f>"31720"</f>
        <v>31720</v>
      </c>
      <c r="C35484" s="2">
        <v>1.9138023424940601E-4</v>
      </c>
      <c r="D35484" s="2">
        <v>0</v>
      </c>
      <c r="E35484" s="2">
        <v>4.19287211740041E-3</v>
      </c>
      <c r="F35484" s="2">
        <v>2.3788486372595599E-4</v>
      </c>
    </row>
    <row r="35485" spans="1:6" x14ac:dyDescent="0.25">
      <c r="A35485" s="1" t="str">
        <f t="shared" ref="A35485:A35505" si="1278">"45660"</f>
        <v>45660</v>
      </c>
      <c r="B35485" s="1" t="str">
        <f>"44830"</f>
        <v>44830</v>
      </c>
      <c r="C35485" s="2">
        <v>0.24514125005247001</v>
      </c>
      <c r="D35485" s="2">
        <v>0.25778863775198502</v>
      </c>
      <c r="E35485" s="2">
        <v>0.236666666666666</v>
      </c>
      <c r="F35485" s="2">
        <v>0.245740598618572</v>
      </c>
    </row>
    <row r="35486" spans="1:6" x14ac:dyDescent="0.25">
      <c r="A35486" s="1" t="str">
        <f t="shared" si="1278"/>
        <v>45660</v>
      </c>
      <c r="B35486" s="1" t="str">
        <f>"44841"</f>
        <v>44841</v>
      </c>
      <c r="C35486" s="2">
        <v>1.0536036603282501E-2</v>
      </c>
      <c r="D35486" s="2">
        <v>4.8869883934025598E-3</v>
      </c>
      <c r="E35486" s="2">
        <v>0</v>
      </c>
      <c r="F35486" s="2">
        <v>9.9386032233307695E-3</v>
      </c>
    </row>
    <row r="35487" spans="1:6" x14ac:dyDescent="0.25">
      <c r="A35487" s="1" t="str">
        <f t="shared" si="1278"/>
        <v>45660</v>
      </c>
      <c r="B35487" s="1" t="str">
        <f>"44883"</f>
        <v>44883</v>
      </c>
      <c r="C35487" s="2">
        <v>0.538555177769382</v>
      </c>
      <c r="D35487" s="2">
        <v>0.68295662797800805</v>
      </c>
      <c r="E35487" s="2">
        <v>0.67833333333333301</v>
      </c>
      <c r="F35487" s="2">
        <v>0.550844205679201</v>
      </c>
    </row>
    <row r="35488" spans="1:6" x14ac:dyDescent="0.25">
      <c r="A35488" s="1" t="str">
        <f t="shared" si="1278"/>
        <v>45660</v>
      </c>
      <c r="B35488" s="1" t="str">
        <f>"44807"</f>
        <v>44807</v>
      </c>
      <c r="C35488" s="2">
        <v>3.8030474751290698E-2</v>
      </c>
      <c r="D35488" s="2">
        <v>7.9413561392791595E-3</v>
      </c>
      <c r="E35488" s="2">
        <v>3.5000000000000003E-2</v>
      </c>
      <c r="F35488" s="2">
        <v>3.6070606293169598E-2</v>
      </c>
    </row>
    <row r="35489" spans="1:6" x14ac:dyDescent="0.25">
      <c r="A35489" s="1" t="str">
        <f t="shared" si="1278"/>
        <v>45660</v>
      </c>
      <c r="B35489" s="1" t="str">
        <f>"44867"</f>
        <v>44867</v>
      </c>
      <c r="C35489" s="2">
        <v>3.4294589262477401E-2</v>
      </c>
      <c r="D35489" s="2">
        <v>3.66524129505192E-3</v>
      </c>
      <c r="E35489" s="2">
        <v>6.6666666666666602E-3</v>
      </c>
      <c r="F35489" s="2">
        <v>3.1734458940905597E-2</v>
      </c>
    </row>
    <row r="35490" spans="1:6" x14ac:dyDescent="0.25">
      <c r="A35490" s="1" t="str">
        <f t="shared" si="1278"/>
        <v>45660</v>
      </c>
      <c r="B35490" s="1" t="str">
        <f>"43457"</f>
        <v>43457</v>
      </c>
      <c r="C35490" s="2">
        <v>7.9754858749947499E-4</v>
      </c>
      <c r="D35490" s="2">
        <v>0</v>
      </c>
      <c r="E35490" s="2">
        <v>0</v>
      </c>
      <c r="F35490" s="2">
        <v>7.2908672294704499E-4</v>
      </c>
    </row>
    <row r="35491" spans="1:6" x14ac:dyDescent="0.25">
      <c r="A35491" s="1" t="str">
        <f t="shared" si="1278"/>
        <v>45660</v>
      </c>
      <c r="B35491" s="1" t="str">
        <f>"44882"</f>
        <v>44882</v>
      </c>
      <c r="C35491" s="2">
        <v>2.35066952105108E-3</v>
      </c>
      <c r="D35491" s="2">
        <v>0</v>
      </c>
      <c r="E35491" s="2">
        <v>0</v>
      </c>
      <c r="F35491" s="2">
        <v>2.1488871834228701E-3</v>
      </c>
    </row>
    <row r="35492" spans="1:6" x14ac:dyDescent="0.25">
      <c r="A35492" s="1" t="str">
        <f t="shared" si="1278"/>
        <v>45660</v>
      </c>
      <c r="B35492" s="1" t="str">
        <f>"44809"</f>
        <v>44809</v>
      </c>
      <c r="C35492" s="2">
        <v>8.3952482894681597E-5</v>
      </c>
      <c r="D35492" s="2">
        <v>0</v>
      </c>
      <c r="E35492" s="2">
        <v>1.6666666666666601E-3</v>
      </c>
      <c r="F35492" s="2">
        <v>1.15118956254796E-4</v>
      </c>
    </row>
    <row r="35493" spans="1:6" x14ac:dyDescent="0.25">
      <c r="A35493" s="1" t="str">
        <f t="shared" si="1278"/>
        <v>45660</v>
      </c>
      <c r="B35493" s="1" t="str">
        <f>"44818"</f>
        <v>44818</v>
      </c>
      <c r="C35493" s="2">
        <v>2.74524619065608E-2</v>
      </c>
      <c r="D35493" s="2">
        <v>6.7196090409285198E-3</v>
      </c>
      <c r="E35493" s="2">
        <v>8.3333333333333297E-3</v>
      </c>
      <c r="F35493" s="2">
        <v>2.5709900230237899E-2</v>
      </c>
    </row>
    <row r="35494" spans="1:6" x14ac:dyDescent="0.25">
      <c r="A35494" s="1" t="str">
        <f t="shared" si="1278"/>
        <v>45660</v>
      </c>
      <c r="B35494" s="1" t="str">
        <f>"44811"</f>
        <v>44811</v>
      </c>
      <c r="C35494" s="2">
        <v>2.05263820677496E-2</v>
      </c>
      <c r="D35494" s="2">
        <v>7.9413561392791595E-3</v>
      </c>
      <c r="E35494" s="2">
        <v>3.3333333333333301E-3</v>
      </c>
      <c r="F35494" s="2">
        <v>1.9339984650805799E-2</v>
      </c>
    </row>
    <row r="35495" spans="1:6" x14ac:dyDescent="0.25">
      <c r="A35495" s="1" t="str">
        <f t="shared" si="1278"/>
        <v>45660</v>
      </c>
      <c r="B35495" s="1" t="str">
        <f>"44836"</f>
        <v>44836</v>
      </c>
      <c r="C35495" s="2">
        <v>2.7620366872350199E-2</v>
      </c>
      <c r="D35495" s="2">
        <v>1.0384850335980401E-2</v>
      </c>
      <c r="E35495" s="2">
        <v>1.4999999999999999E-2</v>
      </c>
      <c r="F35495" s="2">
        <v>2.6247122026093601E-2</v>
      </c>
    </row>
    <row r="35496" spans="1:6" x14ac:dyDescent="0.25">
      <c r="A35496" s="1" t="str">
        <f t="shared" si="1278"/>
        <v>45660</v>
      </c>
      <c r="B35496" s="1" t="str">
        <f>"44802"</f>
        <v>44802</v>
      </c>
      <c r="C35496" s="2">
        <v>9.3187256013096496E-3</v>
      </c>
      <c r="D35496" s="2">
        <v>5.4978619425778801E-3</v>
      </c>
      <c r="E35496" s="2">
        <v>5.0000000000000001E-3</v>
      </c>
      <c r="F35496" s="2">
        <v>8.9792785878741298E-3</v>
      </c>
    </row>
    <row r="35497" spans="1:6" x14ac:dyDescent="0.25">
      <c r="A35497" s="1" t="str">
        <f t="shared" si="1278"/>
        <v>45660</v>
      </c>
      <c r="B35497" s="1" t="str">
        <f>"44844"</f>
        <v>44844</v>
      </c>
      <c r="C35497" s="2">
        <v>5.7507450782856902E-3</v>
      </c>
      <c r="D35497" s="2">
        <v>1.83262064752596E-3</v>
      </c>
      <c r="E35497" s="2">
        <v>1.6666666666666601E-3</v>
      </c>
      <c r="F35497" s="2">
        <v>5.4105909439754402E-3</v>
      </c>
    </row>
    <row r="35498" spans="1:6" x14ac:dyDescent="0.25">
      <c r="A35498" s="1" t="str">
        <f t="shared" si="1278"/>
        <v>45660</v>
      </c>
      <c r="B35498" s="1" t="str">
        <f>"44861"</f>
        <v>44861</v>
      </c>
      <c r="C35498" s="2">
        <v>3.7778617302606702E-4</v>
      </c>
      <c r="D35498" s="2">
        <v>0</v>
      </c>
      <c r="E35498" s="2">
        <v>1.6666666666666601E-3</v>
      </c>
      <c r="F35498" s="2">
        <v>3.8372985418265503E-4</v>
      </c>
    </row>
    <row r="35499" spans="1:6" x14ac:dyDescent="0.25">
      <c r="A35499" s="1" t="str">
        <f t="shared" si="1278"/>
        <v>45660</v>
      </c>
      <c r="B35499" s="1" t="str">
        <f>"44845"</f>
        <v>44845</v>
      </c>
      <c r="C35499" s="2">
        <v>0</v>
      </c>
      <c r="D35499" s="2">
        <v>6.1087354917531997E-4</v>
      </c>
      <c r="E35499" s="2">
        <v>0</v>
      </c>
      <c r="F35499" s="2">
        <v>3.8372985418265499E-5</v>
      </c>
    </row>
    <row r="35500" spans="1:6" x14ac:dyDescent="0.25">
      <c r="A35500" s="1" t="str">
        <f t="shared" si="1278"/>
        <v>45660</v>
      </c>
      <c r="B35500" s="1" t="str">
        <f>"44815"</f>
        <v>44815</v>
      </c>
      <c r="C35500" s="2">
        <v>4.1976241447340798E-5</v>
      </c>
      <c r="D35500" s="2">
        <v>0</v>
      </c>
      <c r="E35500" s="2">
        <v>1.6666666666666601E-3</v>
      </c>
      <c r="F35500" s="2">
        <v>7.6745970836530997E-5</v>
      </c>
    </row>
    <row r="35501" spans="1:6" x14ac:dyDescent="0.25">
      <c r="A35501" s="1" t="str">
        <f t="shared" si="1278"/>
        <v>45660</v>
      </c>
      <c r="B35501" s="1" t="str">
        <f>"43316"</f>
        <v>43316</v>
      </c>
      <c r="C35501" s="2">
        <v>8.7730344624942207E-3</v>
      </c>
      <c r="D35501" s="2">
        <v>1.83262064752596E-3</v>
      </c>
      <c r="E35501" s="2">
        <v>0</v>
      </c>
      <c r="F35501" s="2">
        <v>8.1350729086722903E-3</v>
      </c>
    </row>
    <row r="35502" spans="1:6" x14ac:dyDescent="0.25">
      <c r="A35502" s="1" t="str">
        <f t="shared" si="1278"/>
        <v>45660</v>
      </c>
      <c r="B35502" s="1" t="str">
        <f>"43410"</f>
        <v>43410</v>
      </c>
      <c r="C35502" s="2">
        <v>6.2124837342064296E-3</v>
      </c>
      <c r="D35502" s="2">
        <v>1.2217470983506399E-3</v>
      </c>
      <c r="E35502" s="2">
        <v>0</v>
      </c>
      <c r="F35502" s="2">
        <v>5.7559478127398303E-3</v>
      </c>
    </row>
    <row r="35503" spans="1:6" x14ac:dyDescent="0.25">
      <c r="A35503" s="1" t="str">
        <f t="shared" si="1278"/>
        <v>45660</v>
      </c>
      <c r="B35503" s="1" t="str">
        <f>"44854"</f>
        <v>44854</v>
      </c>
      <c r="C35503" s="2">
        <v>5.8766738026277097E-4</v>
      </c>
      <c r="D35503" s="2">
        <v>0</v>
      </c>
      <c r="E35503" s="2">
        <v>0</v>
      </c>
      <c r="F35503" s="2">
        <v>5.3722179585571699E-4</v>
      </c>
    </row>
    <row r="35504" spans="1:6" x14ac:dyDescent="0.25">
      <c r="A35504" s="1" t="str">
        <f t="shared" si="1278"/>
        <v>45660</v>
      </c>
      <c r="B35504" s="1" t="str">
        <f>"44828"</f>
        <v>44828</v>
      </c>
      <c r="C35504" s="2">
        <v>4.1976241447340802E-4</v>
      </c>
      <c r="D35504" s="2">
        <v>6.1087354917531997E-4</v>
      </c>
      <c r="E35504" s="2">
        <v>0</v>
      </c>
      <c r="F35504" s="2">
        <v>4.2210283960091998E-4</v>
      </c>
    </row>
    <row r="35505" spans="1:6" x14ac:dyDescent="0.25">
      <c r="A35505" s="1" t="str">
        <f t="shared" si="1278"/>
        <v>45660</v>
      </c>
      <c r="B35505" s="1" t="str">
        <f>"44853"</f>
        <v>44853</v>
      </c>
      <c r="C35505" s="2">
        <v>2.3128909037484699E-2</v>
      </c>
      <c r="D35505" s="2">
        <v>6.1087354917532003E-3</v>
      </c>
      <c r="E35505" s="2">
        <v>5.0000000000000001E-3</v>
      </c>
      <c r="F35505" s="2">
        <v>2.1642363775901698E-2</v>
      </c>
    </row>
    <row r="35506" spans="1:6" x14ac:dyDescent="0.25">
      <c r="A35506" s="1" t="str">
        <f t="shared" ref="A35506:A35515" si="1279">"45700"</f>
        <v>45700</v>
      </c>
      <c r="B35506" s="1" t="str">
        <f>"31795"</f>
        <v>31795</v>
      </c>
      <c r="C35506" s="2">
        <v>3.4908881088618497E-2</v>
      </c>
      <c r="D35506" s="2">
        <v>1.3347763347763299E-2</v>
      </c>
      <c r="E35506" s="2">
        <v>5.16129032258064E-3</v>
      </c>
      <c r="F35506" s="2">
        <v>3.1506736772921401E-2</v>
      </c>
    </row>
    <row r="35507" spans="1:6" x14ac:dyDescent="0.25">
      <c r="A35507" s="1" t="str">
        <f t="shared" si="1279"/>
        <v>45700</v>
      </c>
      <c r="B35507" s="1" t="str">
        <f>"31793"</f>
        <v>31793</v>
      </c>
      <c r="C35507" s="2">
        <v>0.285954705005529</v>
      </c>
      <c r="D35507" s="2">
        <v>0.32178932178932101</v>
      </c>
      <c r="E35507" s="2">
        <v>0.12645161290322501</v>
      </c>
      <c r="F35507" s="2">
        <v>0.284957279000985</v>
      </c>
    </row>
    <row r="35508" spans="1:6" x14ac:dyDescent="0.25">
      <c r="A35508" s="1" t="str">
        <f t="shared" si="1279"/>
        <v>45700</v>
      </c>
      <c r="B35508" s="1" t="str">
        <f>"31749"</f>
        <v>31749</v>
      </c>
      <c r="C35508" s="2">
        <v>7.9819204692984508E-3</v>
      </c>
      <c r="D35508" s="2">
        <v>1.44300144300144E-3</v>
      </c>
      <c r="E35508" s="2">
        <v>0</v>
      </c>
      <c r="F35508" s="2">
        <v>6.9832402234636798E-3</v>
      </c>
    </row>
    <row r="35509" spans="1:6" x14ac:dyDescent="0.25">
      <c r="A35509" s="1" t="str">
        <f t="shared" si="1279"/>
        <v>45700</v>
      </c>
      <c r="B35509" s="1" t="str">
        <f>"31714"</f>
        <v>31714</v>
      </c>
      <c r="C35509" s="2">
        <v>4.80838582487858E-4</v>
      </c>
      <c r="D35509" s="2">
        <v>0</v>
      </c>
      <c r="E35509" s="2">
        <v>0</v>
      </c>
      <c r="F35509" s="2">
        <v>4.1077883667433403E-4</v>
      </c>
    </row>
    <row r="35510" spans="1:6" x14ac:dyDescent="0.25">
      <c r="A35510" s="1" t="str">
        <f t="shared" si="1279"/>
        <v>45700</v>
      </c>
      <c r="B35510" s="1" t="str">
        <f>"31775"</f>
        <v>31775</v>
      </c>
      <c r="C35510" s="2">
        <v>3.5678222820599098E-2</v>
      </c>
      <c r="D35510" s="2">
        <v>1.1183261183261101E-2</v>
      </c>
      <c r="E35510" s="2">
        <v>2.7096774193548299E-2</v>
      </c>
      <c r="F35510" s="2">
        <v>3.2615839631942103E-2</v>
      </c>
    </row>
    <row r="35511" spans="1:6" x14ac:dyDescent="0.25">
      <c r="A35511" s="1" t="str">
        <f t="shared" si="1279"/>
        <v>45700</v>
      </c>
      <c r="B35511" s="1" t="str">
        <f>"31727"</f>
        <v>31727</v>
      </c>
      <c r="C35511" s="2">
        <v>9.6167716497571698E-5</v>
      </c>
      <c r="D35511" s="2">
        <v>0</v>
      </c>
      <c r="E35511" s="2">
        <v>1.29032258064516E-3</v>
      </c>
      <c r="F35511" s="2">
        <v>1.2323365100229999E-4</v>
      </c>
    </row>
    <row r="35512" spans="1:6" x14ac:dyDescent="0.25">
      <c r="A35512" s="1" t="str">
        <f t="shared" si="1279"/>
        <v>45700</v>
      </c>
      <c r="B35512" s="1" t="str">
        <f>"31637"</f>
        <v>31637</v>
      </c>
      <c r="C35512" s="2">
        <v>5.2892244073664404E-3</v>
      </c>
      <c r="D35512" s="2">
        <v>1.44300144300144E-3</v>
      </c>
      <c r="E35512" s="2">
        <v>0</v>
      </c>
      <c r="F35512" s="2">
        <v>4.6828787380874103E-3</v>
      </c>
    </row>
    <row r="35513" spans="1:6" x14ac:dyDescent="0.25">
      <c r="A35513" s="1" t="str">
        <f t="shared" si="1279"/>
        <v>45700</v>
      </c>
      <c r="B35513" s="1" t="str">
        <f>"31733"</f>
        <v>31733</v>
      </c>
      <c r="C35513" s="2">
        <v>2.3416838967158699E-2</v>
      </c>
      <c r="D35513" s="2">
        <v>1.04617604617604E-2</v>
      </c>
      <c r="E35513" s="2">
        <v>6.4516129032258004E-3</v>
      </c>
      <c r="F35513" s="2">
        <v>2.1401577390732798E-2</v>
      </c>
    </row>
    <row r="35514" spans="1:6" x14ac:dyDescent="0.25">
      <c r="A35514" s="1" t="str">
        <f t="shared" si="1279"/>
        <v>45700</v>
      </c>
      <c r="B35514" s="1" t="str">
        <f>"31790"</f>
        <v>31790</v>
      </c>
      <c r="C35514" s="2">
        <v>1.29826417271721E-3</v>
      </c>
      <c r="D35514" s="2">
        <v>0</v>
      </c>
      <c r="E35514" s="2">
        <v>0</v>
      </c>
      <c r="F35514" s="2">
        <v>1.1091028590207001E-3</v>
      </c>
    </row>
    <row r="35515" spans="1:6" x14ac:dyDescent="0.25">
      <c r="A35515" s="1" t="str">
        <f t="shared" si="1279"/>
        <v>45700</v>
      </c>
      <c r="B35515" s="1" t="str">
        <f>"31794"</f>
        <v>31794</v>
      </c>
      <c r="C35515" s="2">
        <v>0.60489493676972605</v>
      </c>
      <c r="D35515" s="2">
        <v>0.64033189033188997</v>
      </c>
      <c r="E35515" s="2">
        <v>0.83354838709677403</v>
      </c>
      <c r="F35515" s="2">
        <v>0.61620933289516899</v>
      </c>
    </row>
    <row r="35516" spans="1:6" x14ac:dyDescent="0.25">
      <c r="A35516" s="1" t="str">
        <f>"45740"</f>
        <v>45740</v>
      </c>
      <c r="B35516" s="1" t="str">
        <f>"30538"</f>
        <v>30538</v>
      </c>
      <c r="C35516" s="2">
        <v>9.9025286057352696E-2</v>
      </c>
      <c r="D35516" s="2">
        <v>0.124369747899159</v>
      </c>
      <c r="E35516" s="2">
        <v>2.33644859813084E-2</v>
      </c>
      <c r="F35516" s="2">
        <v>9.9922889088806005E-2</v>
      </c>
    </row>
    <row r="35517" spans="1:6" x14ac:dyDescent="0.25">
      <c r="A35517" s="1" t="str">
        <f>"45740"</f>
        <v>45740</v>
      </c>
      <c r="B35517" s="1" t="str">
        <f>"30577"</f>
        <v>30577</v>
      </c>
      <c r="C35517" s="2">
        <v>0.748481423929933</v>
      </c>
      <c r="D35517" s="2">
        <v>0.85966386554621799</v>
      </c>
      <c r="E35517" s="2">
        <v>0.95327102803738295</v>
      </c>
      <c r="F35517" s="2">
        <v>0.75979951163089499</v>
      </c>
    </row>
    <row r="35518" spans="1:6" x14ac:dyDescent="0.25">
      <c r="A35518" s="1" t="str">
        <f>"45740"</f>
        <v>45740</v>
      </c>
      <c r="B35518" s="1" t="str">
        <f>"30557"</f>
        <v>30557</v>
      </c>
      <c r="C35518" s="2">
        <v>0.152493290012713</v>
      </c>
      <c r="D35518" s="2">
        <v>1.42857142857142E-2</v>
      </c>
      <c r="E35518" s="2">
        <v>1.86915887850467E-2</v>
      </c>
      <c r="F35518" s="2">
        <v>0.14008482200231301</v>
      </c>
    </row>
    <row r="35519" spans="1:6" x14ac:dyDescent="0.25">
      <c r="A35519" s="1" t="str">
        <f>"45740"</f>
        <v>45740</v>
      </c>
      <c r="B35519" s="1" t="str">
        <f>"30598"</f>
        <v>30598</v>
      </c>
      <c r="C35519" s="2">
        <v>0</v>
      </c>
      <c r="D35519" s="2">
        <v>1.6806722689075601E-3</v>
      </c>
      <c r="E35519" s="2">
        <v>4.6728971962616802E-3</v>
      </c>
      <c r="F35519" s="2">
        <v>1.9277727798483401E-4</v>
      </c>
    </row>
    <row r="35520" spans="1:6" x14ac:dyDescent="0.25">
      <c r="A35520" s="1" t="str">
        <f t="shared" ref="A35520:A35551" si="1280">"45780"</f>
        <v>45780</v>
      </c>
      <c r="B35520" s="1" t="str">
        <f>"43656"</f>
        <v>43656</v>
      </c>
      <c r="C35520" s="2">
        <v>0</v>
      </c>
      <c r="D35520" s="2">
        <v>3.7266154878139602E-5</v>
      </c>
      <c r="E35520" s="2">
        <v>0</v>
      </c>
      <c r="F35520" s="2">
        <v>2.7237566051097599E-6</v>
      </c>
    </row>
    <row r="35521" spans="1:6" x14ac:dyDescent="0.25">
      <c r="A35521" s="1" t="str">
        <f t="shared" si="1280"/>
        <v>45780</v>
      </c>
      <c r="B35521" s="1" t="str">
        <f>"43660"</f>
        <v>43660</v>
      </c>
      <c r="C35521" s="2">
        <v>0</v>
      </c>
      <c r="D35521" s="2">
        <v>3.7266154878139602E-5</v>
      </c>
      <c r="E35521" s="2">
        <v>0</v>
      </c>
      <c r="F35521" s="2">
        <v>2.7237566051097599E-6</v>
      </c>
    </row>
    <row r="35522" spans="1:6" x14ac:dyDescent="0.25">
      <c r="A35522" s="1" t="str">
        <f t="shared" si="1280"/>
        <v>45780</v>
      </c>
      <c r="B35522" s="1" t="str">
        <f>"43457"</f>
        <v>43457</v>
      </c>
      <c r="C35522" s="2">
        <v>9.1617040769583098E-4</v>
      </c>
      <c r="D35522" s="2">
        <v>1.49064619512558E-4</v>
      </c>
      <c r="E35522" s="2">
        <v>0</v>
      </c>
      <c r="F35522" s="2">
        <v>8.2257449474314897E-4</v>
      </c>
    </row>
    <row r="35523" spans="1:6" x14ac:dyDescent="0.25">
      <c r="A35523" s="1" t="str">
        <f t="shared" si="1280"/>
        <v>45780</v>
      </c>
      <c r="B35523" s="1" t="str">
        <f>"43437"</f>
        <v>43437</v>
      </c>
      <c r="C35523" s="2">
        <v>2.4595178730089402E-4</v>
      </c>
      <c r="D35523" s="2">
        <v>3.7266154878139602E-5</v>
      </c>
      <c r="E35523" s="2">
        <v>0</v>
      </c>
      <c r="F35523" s="2">
        <v>2.2062428501389101E-4</v>
      </c>
    </row>
    <row r="35524" spans="1:6" x14ac:dyDescent="0.25">
      <c r="A35524" s="1" t="str">
        <f t="shared" si="1280"/>
        <v>45780</v>
      </c>
      <c r="B35524" s="1" t="str">
        <f>"45889"</f>
        <v>45889</v>
      </c>
      <c r="C35524" s="2">
        <v>9.2231920237835296E-6</v>
      </c>
      <c r="D35524" s="2">
        <v>0</v>
      </c>
      <c r="E35524" s="2">
        <v>0</v>
      </c>
      <c r="F35524" s="2">
        <v>8.1712698153292996E-6</v>
      </c>
    </row>
    <row r="35525" spans="1:6" x14ac:dyDescent="0.25">
      <c r="A35525" s="1" t="str">
        <f t="shared" si="1280"/>
        <v>45780</v>
      </c>
      <c r="B35525" s="1" t="str">
        <f>"43436"</f>
        <v>43436</v>
      </c>
      <c r="C35525" s="2">
        <v>2.7669576071350601E-5</v>
      </c>
      <c r="D35525" s="2">
        <v>1.49064619512558E-4</v>
      </c>
      <c r="E35525" s="2">
        <v>0</v>
      </c>
      <c r="F35525" s="2">
        <v>3.54088358664269E-5</v>
      </c>
    </row>
    <row r="35526" spans="1:6" x14ac:dyDescent="0.25">
      <c r="A35526" s="1" t="str">
        <f t="shared" si="1280"/>
        <v>45780</v>
      </c>
      <c r="B35526" s="1" t="str">
        <f>"43406"</f>
        <v>43406</v>
      </c>
      <c r="C35526" s="2">
        <v>2.3765091447948898E-3</v>
      </c>
      <c r="D35526" s="2">
        <v>6.3352463292837399E-4</v>
      </c>
      <c r="E35526" s="2">
        <v>1.3963694394574101E-3</v>
      </c>
      <c r="F35526" s="2">
        <v>2.2089666067440202E-3</v>
      </c>
    </row>
    <row r="35527" spans="1:6" x14ac:dyDescent="0.25">
      <c r="A35527" s="1" t="str">
        <f t="shared" si="1280"/>
        <v>45780</v>
      </c>
      <c r="B35527" s="1" t="str">
        <f>"43613"</f>
        <v>43613</v>
      </c>
      <c r="C35527" s="2">
        <v>4.9937436014105302E-2</v>
      </c>
      <c r="D35527" s="2">
        <v>3.4918387120816803E-2</v>
      </c>
      <c r="E35527" s="2">
        <v>3.5241704900591697E-2</v>
      </c>
      <c r="F35527" s="2">
        <v>4.82377294764939E-2</v>
      </c>
    </row>
    <row r="35528" spans="1:6" x14ac:dyDescent="0.25">
      <c r="A35528" s="1" t="str">
        <f t="shared" si="1280"/>
        <v>45780</v>
      </c>
      <c r="B35528" s="1" t="str">
        <f>"43620"</f>
        <v>43620</v>
      </c>
      <c r="C35528" s="2">
        <v>1.08618458066757E-2</v>
      </c>
      <c r="D35528" s="2">
        <v>4.9563985987925701E-3</v>
      </c>
      <c r="E35528" s="2">
        <v>2.06130726777046E-2</v>
      </c>
      <c r="F35528" s="2">
        <v>1.08296562619164E-2</v>
      </c>
    </row>
    <row r="35529" spans="1:6" x14ac:dyDescent="0.25">
      <c r="A35529" s="1" t="str">
        <f t="shared" si="1280"/>
        <v>45780</v>
      </c>
      <c r="B35529" s="1" t="str">
        <f>"43460"</f>
        <v>43460</v>
      </c>
      <c r="C35529" s="2">
        <v>8.7312884491817407E-3</v>
      </c>
      <c r="D35529" s="2">
        <v>9.3910710292911901E-3</v>
      </c>
      <c r="E35529" s="2">
        <v>1.16364119954784E-2</v>
      </c>
      <c r="F35529" s="2">
        <v>8.8985128288936108E-3</v>
      </c>
    </row>
    <row r="35530" spans="1:6" x14ac:dyDescent="0.25">
      <c r="A35530" s="1" t="str">
        <f t="shared" si="1280"/>
        <v>45780</v>
      </c>
      <c r="B35530" s="1" t="str">
        <f>"43408"</f>
        <v>43408</v>
      </c>
      <c r="C35530" s="2">
        <v>2.76695760713506E-4</v>
      </c>
      <c r="D35530" s="2">
        <v>0</v>
      </c>
      <c r="E35530" s="2">
        <v>6.6493782831305207E-5</v>
      </c>
      <c r="F35530" s="2">
        <v>2.4786185106498801E-4</v>
      </c>
    </row>
    <row r="35531" spans="1:6" x14ac:dyDescent="0.25">
      <c r="A35531" s="1" t="str">
        <f t="shared" si="1280"/>
        <v>45780</v>
      </c>
      <c r="B35531" s="1" t="str">
        <f>"43511"</f>
        <v>43511</v>
      </c>
      <c r="C35531" s="2">
        <v>1.08833665880645E-3</v>
      </c>
      <c r="D35531" s="2">
        <v>5.2172616829395497E-4</v>
      </c>
      <c r="E35531" s="2">
        <v>1.3298756566261001E-4</v>
      </c>
      <c r="F35531" s="2">
        <v>1.00778994389061E-3</v>
      </c>
    </row>
    <row r="35532" spans="1:6" x14ac:dyDescent="0.25">
      <c r="A35532" s="1" t="str">
        <f t="shared" si="1280"/>
        <v>45780</v>
      </c>
      <c r="B35532" s="1" t="str">
        <f>"43558"</f>
        <v>43558</v>
      </c>
      <c r="C35532" s="2">
        <v>1.8369524114035501E-2</v>
      </c>
      <c r="D35532" s="2">
        <v>1.3415815756130199E-2</v>
      </c>
      <c r="E35532" s="2">
        <v>8.4447104195757607E-3</v>
      </c>
      <c r="F35532" s="2">
        <v>1.76009151822193E-2</v>
      </c>
    </row>
    <row r="35533" spans="1:6" x14ac:dyDescent="0.25">
      <c r="A35533" s="1" t="str">
        <f t="shared" si="1280"/>
        <v>45780</v>
      </c>
      <c r="B35533" s="1" t="str">
        <f>"43607"</f>
        <v>43607</v>
      </c>
      <c r="C35533" s="2">
        <v>3.8894200764295103E-2</v>
      </c>
      <c r="D35533" s="2">
        <v>2.5005589923231701E-2</v>
      </c>
      <c r="E35533" s="2">
        <v>3.2382472238845599E-2</v>
      </c>
      <c r="F35533" s="2">
        <v>3.7612354959960702E-2</v>
      </c>
    </row>
    <row r="35534" spans="1:6" x14ac:dyDescent="0.25">
      <c r="A35534" s="1" t="str">
        <f t="shared" si="1280"/>
        <v>45780</v>
      </c>
      <c r="B35534" s="1" t="str">
        <f>"43542"</f>
        <v>43542</v>
      </c>
      <c r="C35534" s="2">
        <v>4.7499438922485203E-3</v>
      </c>
      <c r="D35534" s="2">
        <v>2.19870313781024E-3</v>
      </c>
      <c r="E35534" s="2">
        <v>1.5958507879513201E-3</v>
      </c>
      <c r="F35534" s="2">
        <v>4.4342757531186999E-3</v>
      </c>
    </row>
    <row r="35535" spans="1:6" x14ac:dyDescent="0.25">
      <c r="A35535" s="1" t="str">
        <f t="shared" si="1280"/>
        <v>45780</v>
      </c>
      <c r="B35535" s="1" t="str">
        <f>"44830"</f>
        <v>44830</v>
      </c>
      <c r="C35535" s="2">
        <v>3.5847472999105301E-3</v>
      </c>
      <c r="D35535" s="2">
        <v>3.0185585451293099E-3</v>
      </c>
      <c r="E35535" s="2">
        <v>2.3272823990956801E-3</v>
      </c>
      <c r="F35535" s="2">
        <v>3.4918559677507201E-3</v>
      </c>
    </row>
    <row r="35536" spans="1:6" x14ac:dyDescent="0.25">
      <c r="A35536" s="1" t="str">
        <f t="shared" si="1280"/>
        <v>45780</v>
      </c>
      <c r="B35536" s="1" t="str">
        <f>"43547"</f>
        <v>43547</v>
      </c>
      <c r="C35536" s="2">
        <v>3.3818370753872902E-5</v>
      </c>
      <c r="D35536" s="2">
        <v>3.7266154878139602E-5</v>
      </c>
      <c r="E35536" s="2">
        <v>0</v>
      </c>
      <c r="F35536" s="2">
        <v>3.2685079261317198E-5</v>
      </c>
    </row>
    <row r="35537" spans="1:6" x14ac:dyDescent="0.25">
      <c r="A35537" s="1" t="str">
        <f t="shared" si="1280"/>
        <v>45780</v>
      </c>
      <c r="B35537" s="1" t="str">
        <f>"43654"</f>
        <v>43654</v>
      </c>
      <c r="C35537" s="2">
        <v>0</v>
      </c>
      <c r="D35537" s="2">
        <v>3.7266154878139602E-5</v>
      </c>
      <c r="E35537" s="2">
        <v>0</v>
      </c>
      <c r="F35537" s="2">
        <v>2.7237566051097599E-6</v>
      </c>
    </row>
    <row r="35538" spans="1:6" x14ac:dyDescent="0.25">
      <c r="A35538" s="1" t="str">
        <f t="shared" si="1280"/>
        <v>45780</v>
      </c>
      <c r="B35538" s="1" t="str">
        <f>"43657"</f>
        <v>43657</v>
      </c>
      <c r="C35538" s="2">
        <v>0</v>
      </c>
      <c r="D35538" s="2">
        <v>7.4532309756279299E-5</v>
      </c>
      <c r="E35538" s="2">
        <v>0</v>
      </c>
      <c r="F35538" s="2">
        <v>5.44751321021953E-6</v>
      </c>
    </row>
    <row r="35539" spans="1:6" x14ac:dyDescent="0.25">
      <c r="A35539" s="1" t="str">
        <f t="shared" si="1280"/>
        <v>45780</v>
      </c>
      <c r="B35539" s="1" t="str">
        <f>"43652"</f>
        <v>43652</v>
      </c>
      <c r="C35539" s="2">
        <v>0</v>
      </c>
      <c r="D35539" s="2">
        <v>3.7266154878139602E-5</v>
      </c>
      <c r="E35539" s="2">
        <v>0</v>
      </c>
      <c r="F35539" s="2">
        <v>2.7237566051097599E-6</v>
      </c>
    </row>
    <row r="35540" spans="1:6" x14ac:dyDescent="0.25">
      <c r="A35540" s="1" t="str">
        <f t="shared" si="1280"/>
        <v>45780</v>
      </c>
      <c r="B35540" s="1" t="str">
        <f>"43666"</f>
        <v>43666</v>
      </c>
      <c r="C35540" s="2">
        <v>0</v>
      </c>
      <c r="D35540" s="2">
        <v>3.7266154878139602E-5</v>
      </c>
      <c r="E35540" s="2">
        <v>0</v>
      </c>
      <c r="F35540" s="2">
        <v>2.7237566051097599E-6</v>
      </c>
    </row>
    <row r="35541" spans="1:6" x14ac:dyDescent="0.25">
      <c r="A35541" s="1" t="str">
        <f t="shared" si="1280"/>
        <v>45780</v>
      </c>
      <c r="B35541" s="1" t="str">
        <f>"43565"</f>
        <v>43565</v>
      </c>
      <c r="C35541" s="2">
        <v>2.3980299261837099E-4</v>
      </c>
      <c r="D35541" s="2">
        <v>0</v>
      </c>
      <c r="E35541" s="2">
        <v>1.9948134849391501E-4</v>
      </c>
      <c r="F35541" s="2">
        <v>2.2062428501389101E-4</v>
      </c>
    </row>
    <row r="35542" spans="1:6" x14ac:dyDescent="0.25">
      <c r="A35542" s="1" t="str">
        <f t="shared" si="1280"/>
        <v>45780</v>
      </c>
      <c r="B35542" s="1" t="str">
        <f>"45858"</f>
        <v>45858</v>
      </c>
      <c r="C35542" s="2">
        <v>9.2231920237835296E-6</v>
      </c>
      <c r="D35542" s="2">
        <v>0</v>
      </c>
      <c r="E35542" s="2">
        <v>0</v>
      </c>
      <c r="F35542" s="2">
        <v>8.1712698153292996E-6</v>
      </c>
    </row>
    <row r="35543" spans="1:6" x14ac:dyDescent="0.25">
      <c r="A35543" s="1" t="str">
        <f t="shared" si="1280"/>
        <v>45780</v>
      </c>
      <c r="B35543" s="1" t="str">
        <f>"43403"</f>
        <v>43403</v>
      </c>
      <c r="C35543" s="2">
        <v>0</v>
      </c>
      <c r="D35543" s="2">
        <v>7.4532309756279299E-5</v>
      </c>
      <c r="E35543" s="2">
        <v>3.7901456213844001E-3</v>
      </c>
      <c r="F35543" s="2">
        <v>1.60701639701476E-4</v>
      </c>
    </row>
    <row r="35544" spans="1:6" x14ac:dyDescent="0.25">
      <c r="A35544" s="1" t="str">
        <f t="shared" si="1280"/>
        <v>45780</v>
      </c>
      <c r="B35544" s="1" t="str">
        <f>"43525"</f>
        <v>43525</v>
      </c>
      <c r="C35544" s="2">
        <v>1.22361014182194E-3</v>
      </c>
      <c r="D35544" s="2">
        <v>1.49064619512558E-4</v>
      </c>
      <c r="E35544" s="2">
        <v>0</v>
      </c>
      <c r="F35544" s="2">
        <v>1.09495015525412E-3</v>
      </c>
    </row>
    <row r="35545" spans="1:6" x14ac:dyDescent="0.25">
      <c r="A35545" s="1" t="str">
        <f t="shared" si="1280"/>
        <v>45780</v>
      </c>
      <c r="B35545" s="1" t="str">
        <f>"43412"</f>
        <v>43412</v>
      </c>
      <c r="C35545" s="2">
        <v>5.7214534520870497E-3</v>
      </c>
      <c r="D35545" s="2">
        <v>1.4533800402474399E-3</v>
      </c>
      <c r="E35545" s="2">
        <v>1.46286322228871E-3</v>
      </c>
      <c r="F35545" s="2">
        <v>5.2350601950209696E-3</v>
      </c>
    </row>
    <row r="35546" spans="1:6" x14ac:dyDescent="0.25">
      <c r="A35546" s="1" t="str">
        <f t="shared" si="1280"/>
        <v>45780</v>
      </c>
      <c r="B35546" s="1" t="str">
        <f>"43552"</f>
        <v>43552</v>
      </c>
      <c r="C35546" s="2">
        <v>1.8538615967804901E-3</v>
      </c>
      <c r="D35546" s="2">
        <v>1.32667511366177E-2</v>
      </c>
      <c r="E35546" s="2">
        <v>1.3298756566261001E-4</v>
      </c>
      <c r="F35546" s="2">
        <v>2.61753009751048E-3</v>
      </c>
    </row>
    <row r="35547" spans="1:6" x14ac:dyDescent="0.25">
      <c r="A35547" s="1" t="str">
        <f t="shared" si="1280"/>
        <v>45780</v>
      </c>
      <c r="B35547" s="1" t="str">
        <f>"43465"</f>
        <v>43465</v>
      </c>
      <c r="C35547" s="2">
        <v>9.2170432291010101E-3</v>
      </c>
      <c r="D35547" s="2">
        <v>4.80733397928001E-3</v>
      </c>
      <c r="E35547" s="2">
        <v>7.2478223286122703E-3</v>
      </c>
      <c r="F35547" s="2">
        <v>8.8140763741352008E-3</v>
      </c>
    </row>
    <row r="35548" spans="1:6" x14ac:dyDescent="0.25">
      <c r="A35548" s="1" t="str">
        <f t="shared" si="1280"/>
        <v>45780</v>
      </c>
      <c r="B35548" s="1" t="str">
        <f>"43468"</f>
        <v>43468</v>
      </c>
      <c r="C35548" s="2">
        <v>4.21192435752781E-4</v>
      </c>
      <c r="D35548" s="2">
        <v>0</v>
      </c>
      <c r="E35548" s="2">
        <v>6.6493782831305207E-5</v>
      </c>
      <c r="F35548" s="2">
        <v>3.7587841150514702E-4</v>
      </c>
    </row>
    <row r="35549" spans="1:6" x14ac:dyDescent="0.25">
      <c r="A35549" s="1" t="str">
        <f t="shared" si="1280"/>
        <v>45780</v>
      </c>
      <c r="B35549" s="1" t="str">
        <f>"43432"</f>
        <v>43432</v>
      </c>
      <c r="C35549" s="2">
        <v>1.66939775630482E-3</v>
      </c>
      <c r="D35549" s="2">
        <v>4.8446001341581499E-4</v>
      </c>
      <c r="E35549" s="2">
        <v>2.6597513132522099E-4</v>
      </c>
      <c r="F35549" s="2">
        <v>1.52530369886146E-3</v>
      </c>
    </row>
    <row r="35550" spans="1:6" x14ac:dyDescent="0.25">
      <c r="A35550" s="1" t="str">
        <f t="shared" si="1280"/>
        <v>45780</v>
      </c>
      <c r="B35550" s="1" t="str">
        <f>"43606"</f>
        <v>43606</v>
      </c>
      <c r="C35550" s="2">
        <v>3.62840374215644E-2</v>
      </c>
      <c r="D35550" s="2">
        <v>3.57382425281359E-2</v>
      </c>
      <c r="E35550" s="2">
        <v>7.3076667331604395E-2</v>
      </c>
      <c r="F35550" s="2">
        <v>3.7751266546821302E-2</v>
      </c>
    </row>
    <row r="35551" spans="1:6" x14ac:dyDescent="0.25">
      <c r="A35551" s="1" t="str">
        <f t="shared" si="1280"/>
        <v>45780</v>
      </c>
      <c r="B35551" s="1" t="str">
        <f>"43615"</f>
        <v>43615</v>
      </c>
      <c r="C35551" s="2">
        <v>6.6662157550566106E-2</v>
      </c>
      <c r="D35551" s="2">
        <v>5.8582395468435501E-2</v>
      </c>
      <c r="E35551" s="2">
        <v>8.07234523572046E-2</v>
      </c>
      <c r="F35551" s="2">
        <v>6.6647600370430798E-2</v>
      </c>
    </row>
    <row r="35552" spans="1:6" x14ac:dyDescent="0.25">
      <c r="A35552" s="1" t="str">
        <f t="shared" ref="A35552:A35583" si="1281">"45780"</f>
        <v>45780</v>
      </c>
      <c r="B35552" s="1" t="str">
        <f>"43623"</f>
        <v>43623</v>
      </c>
      <c r="C35552" s="2">
        <v>3.1527944734633301E-2</v>
      </c>
      <c r="D35552" s="2">
        <v>5.3514198405008498E-2</v>
      </c>
      <c r="E35552" s="2">
        <v>4.2755502360529198E-2</v>
      </c>
      <c r="F35552" s="2">
        <v>3.3594813967423802E-2</v>
      </c>
    </row>
    <row r="35553" spans="1:6" x14ac:dyDescent="0.25">
      <c r="A35553" s="1" t="str">
        <f t="shared" si="1281"/>
        <v>45780</v>
      </c>
      <c r="B35553" s="1" t="str">
        <f>"43441"</f>
        <v>43441</v>
      </c>
      <c r="C35553" s="2">
        <v>3.0743973412611701E-6</v>
      </c>
      <c r="D35553" s="2">
        <v>3.7266154878139602E-5</v>
      </c>
      <c r="E35553" s="2">
        <v>0</v>
      </c>
      <c r="F35553" s="2">
        <v>5.44751321021953E-6</v>
      </c>
    </row>
    <row r="35554" spans="1:6" x14ac:dyDescent="0.25">
      <c r="A35554" s="1" t="str">
        <f t="shared" si="1281"/>
        <v>45780</v>
      </c>
      <c r="B35554" s="1" t="str">
        <f>"45348"</f>
        <v>45348</v>
      </c>
      <c r="C35554" s="2">
        <v>3.0743973412611701E-6</v>
      </c>
      <c r="D35554" s="2">
        <v>0</v>
      </c>
      <c r="E35554" s="2">
        <v>0</v>
      </c>
      <c r="F35554" s="2">
        <v>2.7237566051097599E-6</v>
      </c>
    </row>
    <row r="35555" spans="1:6" x14ac:dyDescent="0.25">
      <c r="A35555" s="1" t="str">
        <f t="shared" si="1281"/>
        <v>45780</v>
      </c>
      <c r="B35555" s="1" t="str">
        <f>"43553"</f>
        <v>43553</v>
      </c>
      <c r="C35555" s="2">
        <v>1.26050290991708E-4</v>
      </c>
      <c r="D35555" s="2">
        <v>3.7266154878139602E-5</v>
      </c>
      <c r="E35555" s="2">
        <v>2.6597513132522099E-4</v>
      </c>
      <c r="F35555" s="2">
        <v>1.25292803835049E-4</v>
      </c>
    </row>
    <row r="35556" spans="1:6" x14ac:dyDescent="0.25">
      <c r="A35556" s="1" t="str">
        <f t="shared" si="1281"/>
        <v>45780</v>
      </c>
      <c r="B35556" s="1" t="str">
        <f>"43420"</f>
        <v>43420</v>
      </c>
      <c r="C35556" s="2">
        <v>8.9157522896574103E-5</v>
      </c>
      <c r="D35556" s="2">
        <v>3.7266154878139602E-5</v>
      </c>
      <c r="E35556" s="2">
        <v>0</v>
      </c>
      <c r="F35556" s="2">
        <v>8.1712698153292996E-5</v>
      </c>
    </row>
    <row r="35557" spans="1:6" x14ac:dyDescent="0.25">
      <c r="A35557" s="1" t="str">
        <f t="shared" si="1281"/>
        <v>45780</v>
      </c>
      <c r="B35557" s="1" t="str">
        <f>"43440"</f>
        <v>43440</v>
      </c>
      <c r="C35557" s="2">
        <v>1.7594775984037699E-2</v>
      </c>
      <c r="D35557" s="2">
        <v>7.7513602146530502E-3</v>
      </c>
      <c r="E35557" s="2">
        <v>9.9075736418644793E-3</v>
      </c>
      <c r="F35557" s="2">
        <v>1.65604401590673E-2</v>
      </c>
    </row>
    <row r="35558" spans="1:6" x14ac:dyDescent="0.25">
      <c r="A35558" s="1" t="str">
        <f t="shared" si="1281"/>
        <v>45780</v>
      </c>
      <c r="B35558" s="1" t="str">
        <f>"43447"</f>
        <v>43447</v>
      </c>
      <c r="C35558" s="2">
        <v>4.6792327533995096E-3</v>
      </c>
      <c r="D35558" s="2">
        <v>3.9874785719609396E-3</v>
      </c>
      <c r="E35558" s="2">
        <v>7.0483409801183504E-3</v>
      </c>
      <c r="F35558" s="2">
        <v>4.7257177098654398E-3</v>
      </c>
    </row>
    <row r="35559" spans="1:6" x14ac:dyDescent="0.25">
      <c r="A35559" s="1" t="str">
        <f t="shared" si="1281"/>
        <v>45780</v>
      </c>
      <c r="B35559" s="1" t="str">
        <f>"43443"</f>
        <v>43443</v>
      </c>
      <c r="C35559" s="2">
        <v>2.4349226942788501E-3</v>
      </c>
      <c r="D35559" s="2">
        <v>4.4719385853767598E-4</v>
      </c>
      <c r="E35559" s="2">
        <v>1.3963694394574101E-3</v>
      </c>
      <c r="F35559" s="2">
        <v>2.2470991992155501E-3</v>
      </c>
    </row>
    <row r="35560" spans="1:6" x14ac:dyDescent="0.25">
      <c r="A35560" s="1" t="str">
        <f t="shared" si="1281"/>
        <v>45780</v>
      </c>
      <c r="B35560" s="1" t="str">
        <f>"43604"</f>
        <v>43604</v>
      </c>
      <c r="C35560" s="2">
        <v>1.9740705328238E-2</v>
      </c>
      <c r="D35560" s="2">
        <v>8.3215323842885797E-2</v>
      </c>
      <c r="E35560" s="2">
        <v>4.1226145355409201E-2</v>
      </c>
      <c r="F35560" s="2">
        <v>2.5260118755787899E-2</v>
      </c>
    </row>
    <row r="35561" spans="1:6" x14ac:dyDescent="0.25">
      <c r="A35561" s="1" t="str">
        <f t="shared" si="1281"/>
        <v>45780</v>
      </c>
      <c r="B35561" s="1" t="str">
        <f>"43610"</f>
        <v>43610</v>
      </c>
      <c r="C35561" s="2">
        <v>8.5191550326347201E-3</v>
      </c>
      <c r="D35561" s="2">
        <v>3.4657524036669799E-3</v>
      </c>
      <c r="E35561" s="2">
        <v>1.11044617328279E-2</v>
      </c>
      <c r="F35561" s="2">
        <v>8.2557062700877003E-3</v>
      </c>
    </row>
    <row r="35562" spans="1:6" x14ac:dyDescent="0.25">
      <c r="A35562" s="1" t="str">
        <f t="shared" si="1281"/>
        <v>45780</v>
      </c>
      <c r="B35562" s="1" t="str">
        <f>"43537"</f>
        <v>43537</v>
      </c>
      <c r="C35562" s="2">
        <v>4.43604792370575E-2</v>
      </c>
      <c r="D35562" s="2">
        <v>6.7898934187970397E-2</v>
      </c>
      <c r="E35562" s="2">
        <v>4.4883303411130997E-2</v>
      </c>
      <c r="F35562" s="2">
        <v>4.6102304298087898E-2</v>
      </c>
    </row>
    <row r="35563" spans="1:6" x14ac:dyDescent="0.25">
      <c r="A35563" s="1" t="str">
        <f t="shared" si="1281"/>
        <v>45780</v>
      </c>
      <c r="B35563" s="1" t="str">
        <f>"43605"</f>
        <v>43605</v>
      </c>
      <c r="C35563" s="2">
        <v>3.9838040748062298E-2</v>
      </c>
      <c r="D35563" s="2">
        <v>2.5564582246403799E-2</v>
      </c>
      <c r="E35563" s="2">
        <v>4.5082784759624898E-2</v>
      </c>
      <c r="F35563" s="2">
        <v>3.9009642098382001E-2</v>
      </c>
    </row>
    <row r="35564" spans="1:6" x14ac:dyDescent="0.25">
      <c r="A35564" s="1" t="str">
        <f t="shared" si="1281"/>
        <v>45780</v>
      </c>
      <c r="B35564" s="1" t="str">
        <f>"43609"</f>
        <v>43609</v>
      </c>
      <c r="C35564" s="2">
        <v>3.45562261157756E-2</v>
      </c>
      <c r="D35564" s="2">
        <v>2.0347320563464201E-2</v>
      </c>
      <c r="E35564" s="2">
        <v>3.14515592792073E-2</v>
      </c>
      <c r="F35564" s="2">
        <v>3.3390532222040602E-2</v>
      </c>
    </row>
    <row r="35565" spans="1:6" x14ac:dyDescent="0.25">
      <c r="A35565" s="1" t="str">
        <f t="shared" si="1281"/>
        <v>45780</v>
      </c>
      <c r="B35565" s="1" t="str">
        <f>"43616"</f>
        <v>43616</v>
      </c>
      <c r="C35565" s="2">
        <v>2.8733317551426898E-2</v>
      </c>
      <c r="D35565" s="2">
        <v>2.6198106879332099E-2</v>
      </c>
      <c r="E35565" s="2">
        <v>2.5267637475895999E-2</v>
      </c>
      <c r="F35565" s="2">
        <v>2.8406057634689699E-2</v>
      </c>
    </row>
    <row r="35566" spans="1:6" x14ac:dyDescent="0.25">
      <c r="A35566" s="1" t="str">
        <f t="shared" si="1281"/>
        <v>45780</v>
      </c>
      <c r="B35566" s="1" t="str">
        <f>"43462"</f>
        <v>43462</v>
      </c>
      <c r="C35566" s="2">
        <v>1.32813965142482E-3</v>
      </c>
      <c r="D35566" s="2">
        <v>2.60863084146977E-4</v>
      </c>
      <c r="E35566" s="2">
        <v>3.3246891415652602E-4</v>
      </c>
      <c r="F35566" s="2">
        <v>1.2093479326687299E-3</v>
      </c>
    </row>
    <row r="35567" spans="1:6" x14ac:dyDescent="0.25">
      <c r="A35567" s="1" t="str">
        <f t="shared" si="1281"/>
        <v>45780</v>
      </c>
      <c r="B35567" s="1" t="str">
        <f>"43445"</f>
        <v>43445</v>
      </c>
      <c r="C35567" s="2">
        <v>1.46648753178158E-3</v>
      </c>
      <c r="D35567" s="2">
        <v>3.7266154878139602E-4</v>
      </c>
      <c r="E35567" s="2">
        <v>6.6493782831305207E-5</v>
      </c>
      <c r="F35567" s="2">
        <v>1.3291932232935601E-3</v>
      </c>
    </row>
    <row r="35568" spans="1:6" x14ac:dyDescent="0.25">
      <c r="A35568" s="1" t="str">
        <f t="shared" si="1281"/>
        <v>45780</v>
      </c>
      <c r="B35568" s="1" t="str">
        <f>"43569"</f>
        <v>43569</v>
      </c>
      <c r="C35568" s="2">
        <v>4.0213117223696204E-3</v>
      </c>
      <c r="D35568" s="2">
        <v>1.1925169561004601E-3</v>
      </c>
      <c r="E35568" s="2">
        <v>3.12520779307134E-3</v>
      </c>
      <c r="F35568" s="2">
        <v>3.7778504112872401E-3</v>
      </c>
    </row>
    <row r="35569" spans="1:6" x14ac:dyDescent="0.25">
      <c r="A35569" s="1" t="str">
        <f t="shared" si="1281"/>
        <v>45780</v>
      </c>
      <c r="B35569" s="1" t="str">
        <f>"45872"</f>
        <v>45872</v>
      </c>
      <c r="C35569" s="2">
        <v>5.5216176249050699E-3</v>
      </c>
      <c r="D35569" s="2">
        <v>5.2172616829395503E-3</v>
      </c>
      <c r="E35569" s="2">
        <v>3.52417049005917E-3</v>
      </c>
      <c r="F35569" s="2">
        <v>5.4175518875633202E-3</v>
      </c>
    </row>
    <row r="35570" spans="1:6" x14ac:dyDescent="0.25">
      <c r="A35570" s="1" t="str">
        <f t="shared" si="1281"/>
        <v>45780</v>
      </c>
      <c r="B35570" s="1" t="str">
        <f>"43434"</f>
        <v>43434</v>
      </c>
      <c r="C35570" s="2">
        <v>1.62943059086842E-4</v>
      </c>
      <c r="D35570" s="2">
        <v>3.7266154878139602E-5</v>
      </c>
      <c r="E35570" s="2">
        <v>0</v>
      </c>
      <c r="F35570" s="2">
        <v>1.4708285667592699E-4</v>
      </c>
    </row>
    <row r="35571" spans="1:6" x14ac:dyDescent="0.25">
      <c r="A35571" s="1" t="str">
        <f t="shared" si="1281"/>
        <v>45780</v>
      </c>
      <c r="B35571" s="1" t="str">
        <f>"43557"</f>
        <v>43557</v>
      </c>
      <c r="C35571" s="2">
        <v>5.8413549483962398E-5</v>
      </c>
      <c r="D35571" s="2">
        <v>3.7266154878139602E-5</v>
      </c>
      <c r="E35571" s="2">
        <v>0</v>
      </c>
      <c r="F35571" s="2">
        <v>5.4475132102195301E-5</v>
      </c>
    </row>
    <row r="35572" spans="1:6" x14ac:dyDescent="0.25">
      <c r="A35572" s="1" t="str">
        <f t="shared" si="1281"/>
        <v>45780</v>
      </c>
      <c r="B35572" s="1" t="str">
        <f>"43635"</f>
        <v>43635</v>
      </c>
      <c r="C35572" s="2">
        <v>4.5285872836777104E-3</v>
      </c>
      <c r="D35572" s="2">
        <v>1.4384735782961899E-2</v>
      </c>
      <c r="E35572" s="2">
        <v>1.3298756566261001E-4</v>
      </c>
      <c r="F35572" s="2">
        <v>5.0689110421092698E-3</v>
      </c>
    </row>
    <row r="35573" spans="1:6" x14ac:dyDescent="0.25">
      <c r="A35573" s="1" t="str">
        <f t="shared" si="1281"/>
        <v>45780</v>
      </c>
      <c r="B35573" s="1" t="str">
        <f>"43570"</f>
        <v>43570</v>
      </c>
      <c r="C35573" s="2">
        <v>1.10678304285402E-4</v>
      </c>
      <c r="D35573" s="2">
        <v>3.7266154878139602E-5</v>
      </c>
      <c r="E35573" s="2">
        <v>0</v>
      </c>
      <c r="F35573" s="2">
        <v>1.0077899438906101E-4</v>
      </c>
    </row>
    <row r="35574" spans="1:6" x14ac:dyDescent="0.25">
      <c r="A35574" s="1" t="str">
        <f t="shared" si="1281"/>
        <v>45780</v>
      </c>
      <c r="B35574" s="1" t="str">
        <f>"43504"</f>
        <v>43504</v>
      </c>
      <c r="C35574" s="2">
        <v>1.4449667503927499E-3</v>
      </c>
      <c r="D35574" s="2">
        <v>2.2359692926883799E-4</v>
      </c>
      <c r="E35574" s="2">
        <v>3.3246891415652602E-4</v>
      </c>
      <c r="F35574" s="2">
        <v>1.3101269270577899E-3</v>
      </c>
    </row>
    <row r="35575" spans="1:6" x14ac:dyDescent="0.25">
      <c r="A35575" s="1" t="str">
        <f t="shared" si="1281"/>
        <v>45780</v>
      </c>
      <c r="B35575" s="1" t="str">
        <f>"43451"</f>
        <v>43451</v>
      </c>
      <c r="C35575" s="2">
        <v>1.32506525408356E-3</v>
      </c>
      <c r="D35575" s="2">
        <v>6.7079078780651403E-4</v>
      </c>
      <c r="E35575" s="2">
        <v>6.6493782831305204E-4</v>
      </c>
      <c r="F35575" s="2">
        <v>1.25020428174538E-3</v>
      </c>
    </row>
    <row r="35576" spans="1:6" x14ac:dyDescent="0.25">
      <c r="A35576" s="1" t="str">
        <f t="shared" si="1281"/>
        <v>45780</v>
      </c>
      <c r="B35576" s="1" t="str">
        <f>"43463"</f>
        <v>43463</v>
      </c>
      <c r="C35576" s="2">
        <v>1.38347880356753E-4</v>
      </c>
      <c r="D35576" s="2">
        <v>0</v>
      </c>
      <c r="E35576" s="2">
        <v>6.6493782831305207E-5</v>
      </c>
      <c r="F35576" s="2">
        <v>1.25292803835049E-4</v>
      </c>
    </row>
    <row r="35577" spans="1:6" x14ac:dyDescent="0.25">
      <c r="A35577" s="1" t="str">
        <f t="shared" si="1281"/>
        <v>45780</v>
      </c>
      <c r="B35577" s="1" t="str">
        <f>"43413"</f>
        <v>43413</v>
      </c>
      <c r="C35577" s="2">
        <v>1.46341313444032E-3</v>
      </c>
      <c r="D35577" s="2">
        <v>5.5899232317209501E-4</v>
      </c>
      <c r="E35577" s="2">
        <v>1.3298756566261001E-4</v>
      </c>
      <c r="F35577" s="2">
        <v>1.34281200631911E-3</v>
      </c>
    </row>
    <row r="35578" spans="1:6" x14ac:dyDescent="0.25">
      <c r="A35578" s="1" t="str">
        <f t="shared" si="1281"/>
        <v>45780</v>
      </c>
      <c r="B35578" s="1" t="str">
        <f>"43551"</f>
        <v>43551</v>
      </c>
      <c r="C35578" s="2">
        <v>6.1890692876928798E-2</v>
      </c>
      <c r="D35578" s="2">
        <v>5.6234627711112699E-2</v>
      </c>
      <c r="E35578" s="2">
        <v>6.1839218033113902E-2</v>
      </c>
      <c r="F35578" s="2">
        <v>6.1475186577327402E-2</v>
      </c>
    </row>
    <row r="35579" spans="1:6" x14ac:dyDescent="0.25">
      <c r="A35579" s="1" t="str">
        <f t="shared" si="1281"/>
        <v>45780</v>
      </c>
      <c r="B35579" s="1" t="str">
        <f>"43571"</f>
        <v>43571</v>
      </c>
      <c r="C35579" s="2">
        <v>9.5982684994173999E-3</v>
      </c>
      <c r="D35579" s="2">
        <v>5.1427293731832703E-3</v>
      </c>
      <c r="E35579" s="2">
        <v>4.98703371234789E-3</v>
      </c>
      <c r="F35579" s="2">
        <v>9.0837282780410703E-3</v>
      </c>
    </row>
    <row r="35580" spans="1:6" x14ac:dyDescent="0.25">
      <c r="A35580" s="1" t="str">
        <f t="shared" si="1281"/>
        <v>45780</v>
      </c>
      <c r="B35580" s="1" t="str">
        <f>"43528"</f>
        <v>43528</v>
      </c>
      <c r="C35580" s="2">
        <v>2.4558285961994299E-2</v>
      </c>
      <c r="D35580" s="2">
        <v>4.2185287322054101E-2</v>
      </c>
      <c r="E35580" s="2">
        <v>1.60914954451758E-2</v>
      </c>
      <c r="F35580" s="2">
        <v>2.5499809337037601E-2</v>
      </c>
    </row>
    <row r="35581" spans="1:6" x14ac:dyDescent="0.25">
      <c r="A35581" s="1" t="str">
        <f t="shared" si="1281"/>
        <v>45780</v>
      </c>
      <c r="B35581" s="1" t="str">
        <f>"43619"</f>
        <v>43619</v>
      </c>
      <c r="C35581" s="2">
        <v>9.9948657564400897E-3</v>
      </c>
      <c r="D35581" s="2">
        <v>1.75150927927256E-2</v>
      </c>
      <c r="E35581" s="2">
        <v>6.7823658487931298E-3</v>
      </c>
      <c r="F35581" s="2">
        <v>1.0412921501334599E-2</v>
      </c>
    </row>
    <row r="35582" spans="1:6" x14ac:dyDescent="0.25">
      <c r="A35582" s="1" t="str">
        <f t="shared" si="1281"/>
        <v>45780</v>
      </c>
      <c r="B35582" s="1" t="str">
        <f>"43567"</f>
        <v>43567</v>
      </c>
      <c r="C35582" s="2">
        <v>1.7299633839276601E-2</v>
      </c>
      <c r="D35582" s="2">
        <v>2.0906312886636299E-2</v>
      </c>
      <c r="E35582" s="2">
        <v>1.14369306469845E-2</v>
      </c>
      <c r="F35582" s="2">
        <v>1.73230920084981E-2</v>
      </c>
    </row>
    <row r="35583" spans="1:6" x14ac:dyDescent="0.25">
      <c r="A35583" s="1" t="str">
        <f t="shared" si="1281"/>
        <v>45780</v>
      </c>
      <c r="B35583" s="1" t="str">
        <f>"43466"</f>
        <v>43466</v>
      </c>
      <c r="C35583" s="2">
        <v>2.7823295938413598E-3</v>
      </c>
      <c r="D35583" s="2">
        <v>4.4719385853767598E-4</v>
      </c>
      <c r="E35583" s="2">
        <v>1.3963694394574101E-3</v>
      </c>
      <c r="F35583" s="2">
        <v>2.5548836955929599E-3</v>
      </c>
    </row>
    <row r="35584" spans="1:6" x14ac:dyDescent="0.25">
      <c r="A35584" s="1" t="str">
        <f t="shared" ref="A35584:A35615" si="1282">"45780"</f>
        <v>45780</v>
      </c>
      <c r="B35584" s="1" t="str">
        <f>"43515"</f>
        <v>43515</v>
      </c>
      <c r="C35584" s="2">
        <v>1.08802921907233E-2</v>
      </c>
      <c r="D35584" s="2">
        <v>7.9376909890437504E-3</v>
      </c>
      <c r="E35584" s="2">
        <v>6.1839218033113898E-3</v>
      </c>
      <c r="F35584" s="2">
        <v>1.0472844146647E-2</v>
      </c>
    </row>
    <row r="35585" spans="1:6" x14ac:dyDescent="0.25">
      <c r="A35585" s="1" t="str">
        <f t="shared" si="1282"/>
        <v>45780</v>
      </c>
      <c r="B35585" s="1" t="str">
        <f>"43516"</f>
        <v>43516</v>
      </c>
      <c r="C35585" s="2">
        <v>3.9352285968142998E-4</v>
      </c>
      <c r="D35585" s="2">
        <v>1.49064619512558E-4</v>
      </c>
      <c r="E35585" s="2">
        <v>0</v>
      </c>
      <c r="F35585" s="2">
        <v>3.5953587187448902E-4</v>
      </c>
    </row>
    <row r="35586" spans="1:6" x14ac:dyDescent="0.25">
      <c r="A35586" s="1" t="str">
        <f t="shared" si="1282"/>
        <v>45780</v>
      </c>
      <c r="B35586" s="1" t="str">
        <f>"43560"</f>
        <v>43560</v>
      </c>
      <c r="C35586" s="2">
        <v>4.5003028281381099E-2</v>
      </c>
      <c r="D35586" s="2">
        <v>4.8744130580606601E-2</v>
      </c>
      <c r="E35586" s="2">
        <v>3.3446372764146498E-2</v>
      </c>
      <c r="F35586" s="2">
        <v>4.4803072397450502E-2</v>
      </c>
    </row>
    <row r="35587" spans="1:6" x14ac:dyDescent="0.25">
      <c r="A35587" s="1" t="str">
        <f t="shared" si="1282"/>
        <v>45780</v>
      </c>
      <c r="B35587" s="1" t="str">
        <f>"43566"</f>
        <v>43566</v>
      </c>
      <c r="C35587" s="2">
        <v>1.1316856613182401E-2</v>
      </c>
      <c r="D35587" s="2">
        <v>9.5774018036818894E-3</v>
      </c>
      <c r="E35587" s="2">
        <v>7.9792539397566305E-3</v>
      </c>
      <c r="F35587" s="2">
        <v>1.10530043035354E-2</v>
      </c>
    </row>
    <row r="35588" spans="1:6" x14ac:dyDescent="0.25">
      <c r="A35588" s="1" t="str">
        <f t="shared" si="1282"/>
        <v>45780</v>
      </c>
      <c r="B35588" s="1" t="str">
        <f>"43522"</f>
        <v>43522</v>
      </c>
      <c r="C35588" s="2">
        <v>4.7069023294708601E-3</v>
      </c>
      <c r="D35588" s="2">
        <v>2.9440262353730299E-3</v>
      </c>
      <c r="E35588" s="2">
        <v>2.3272823990956801E-3</v>
      </c>
      <c r="F35588" s="2">
        <v>4.48057961540556E-3</v>
      </c>
    </row>
    <row r="35589" spans="1:6" x14ac:dyDescent="0.25">
      <c r="A35589" s="1" t="str">
        <f t="shared" si="1282"/>
        <v>45780</v>
      </c>
      <c r="B35589" s="1" t="str">
        <f>"43442"</f>
        <v>43442</v>
      </c>
      <c r="C35589" s="2">
        <v>6.1487946825223503E-6</v>
      </c>
      <c r="D35589" s="2">
        <v>0</v>
      </c>
      <c r="E35589" s="2">
        <v>0</v>
      </c>
      <c r="F35589" s="2">
        <v>5.44751321021953E-6</v>
      </c>
    </row>
    <row r="35590" spans="1:6" x14ac:dyDescent="0.25">
      <c r="A35590" s="1" t="str">
        <f t="shared" si="1282"/>
        <v>45780</v>
      </c>
      <c r="B35590" s="1" t="str">
        <f>"43414"</f>
        <v>43414</v>
      </c>
      <c r="C35590" s="2">
        <v>9.2231920237835296E-6</v>
      </c>
      <c r="D35590" s="2">
        <v>3.7266154878139602E-5</v>
      </c>
      <c r="E35590" s="2">
        <v>0</v>
      </c>
      <c r="F35590" s="2">
        <v>1.0895026420439001E-5</v>
      </c>
    </row>
    <row r="35591" spans="1:6" x14ac:dyDescent="0.25">
      <c r="A35591" s="1" t="str">
        <f t="shared" si="1282"/>
        <v>45780</v>
      </c>
      <c r="B35591" s="1" t="str">
        <f>"43446"</f>
        <v>43446</v>
      </c>
      <c r="C35591" s="2">
        <v>0</v>
      </c>
      <c r="D35591" s="2">
        <v>7.4532309756279299E-5</v>
      </c>
      <c r="E35591" s="2">
        <v>6.6493782831305207E-5</v>
      </c>
      <c r="F35591" s="2">
        <v>8.1712698153292996E-6</v>
      </c>
    </row>
    <row r="35592" spans="1:6" x14ac:dyDescent="0.25">
      <c r="A35592" s="1" t="str">
        <f t="shared" si="1282"/>
        <v>45780</v>
      </c>
      <c r="B35592" s="1" t="str">
        <f>"43667"</f>
        <v>43667</v>
      </c>
      <c r="C35592" s="2">
        <v>0</v>
      </c>
      <c r="D35592" s="2">
        <v>3.7266154878139602E-5</v>
      </c>
      <c r="E35592" s="2">
        <v>0</v>
      </c>
      <c r="F35592" s="2">
        <v>2.7237566051097599E-6</v>
      </c>
    </row>
    <row r="35593" spans="1:6" x14ac:dyDescent="0.25">
      <c r="A35593" s="1" t="str">
        <f t="shared" si="1282"/>
        <v>45780</v>
      </c>
      <c r="B35593" s="1" t="str">
        <f>"43458"</f>
        <v>43458</v>
      </c>
      <c r="C35593" s="2">
        <v>0</v>
      </c>
      <c r="D35593" s="2">
        <v>0</v>
      </c>
      <c r="E35593" s="2">
        <v>1.3298756566261001E-4</v>
      </c>
      <c r="F35593" s="2">
        <v>5.44751321021953E-6</v>
      </c>
    </row>
    <row r="35594" spans="1:6" x14ac:dyDescent="0.25">
      <c r="A35594" s="1" t="str">
        <f t="shared" si="1282"/>
        <v>45780</v>
      </c>
      <c r="B35594" s="1" t="str">
        <f>"43540"</f>
        <v>43540</v>
      </c>
      <c r="C35594" s="2">
        <v>1.8446384047567E-3</v>
      </c>
      <c r="D35594" s="2">
        <v>4.4719385853767598E-4</v>
      </c>
      <c r="E35594" s="2">
        <v>2.6597513132522099E-4</v>
      </c>
      <c r="F35594" s="2">
        <v>1.67783406874761E-3</v>
      </c>
    </row>
    <row r="35595" spans="1:6" x14ac:dyDescent="0.25">
      <c r="A35595" s="1" t="str">
        <f t="shared" si="1282"/>
        <v>45780</v>
      </c>
      <c r="B35595" s="1" t="str">
        <f>"43416"</f>
        <v>43416</v>
      </c>
      <c r="C35595" s="2">
        <v>3.9352285968143001E-3</v>
      </c>
      <c r="D35595" s="2">
        <v>1.0061861817097699E-3</v>
      </c>
      <c r="E35595" s="2">
        <v>1.3298756566261E-3</v>
      </c>
      <c r="F35595" s="2">
        <v>3.61442501498066E-3</v>
      </c>
    </row>
    <row r="35596" spans="1:6" x14ac:dyDescent="0.25">
      <c r="A35596" s="1" t="str">
        <f t="shared" si="1282"/>
        <v>45780</v>
      </c>
      <c r="B35596" s="1" t="str">
        <f>"43450"</f>
        <v>43450</v>
      </c>
      <c r="C35596" s="2">
        <v>4.7837622630023903E-3</v>
      </c>
      <c r="D35596" s="2">
        <v>1.30431542073488E-3</v>
      </c>
      <c r="E35596" s="2">
        <v>1.0639005253008801E-3</v>
      </c>
      <c r="F35596" s="2">
        <v>4.3770768644113903E-3</v>
      </c>
    </row>
    <row r="35597" spans="1:6" x14ac:dyDescent="0.25">
      <c r="A35597" s="1" t="str">
        <f t="shared" si="1282"/>
        <v>45780</v>
      </c>
      <c r="B35597" s="1" t="str">
        <f>"43469"</f>
        <v>43469</v>
      </c>
      <c r="C35597" s="2">
        <v>2.27505403253327E-4</v>
      </c>
      <c r="D35597" s="2">
        <v>3.7266154878139602E-5</v>
      </c>
      <c r="E35597" s="2">
        <v>0</v>
      </c>
      <c r="F35597" s="2">
        <v>2.04281745383232E-4</v>
      </c>
    </row>
    <row r="35598" spans="1:6" x14ac:dyDescent="0.25">
      <c r="A35598" s="1" t="str">
        <f t="shared" si="1282"/>
        <v>45780</v>
      </c>
      <c r="B35598" s="1" t="str">
        <f>"43430"</f>
        <v>43430</v>
      </c>
      <c r="C35598" s="2">
        <v>6.1057531197446996E-3</v>
      </c>
      <c r="D35598" s="2">
        <v>5.7389878512334996E-3</v>
      </c>
      <c r="E35598" s="2">
        <v>4.2556021012035298E-3</v>
      </c>
      <c r="F35598" s="2">
        <v>6.0031595576619202E-3</v>
      </c>
    </row>
    <row r="35599" spans="1:6" x14ac:dyDescent="0.25">
      <c r="A35599" s="1" t="str">
        <f t="shared" si="1282"/>
        <v>45780</v>
      </c>
      <c r="B35599" s="1" t="str">
        <f>"43521"</f>
        <v>43521</v>
      </c>
      <c r="C35599" s="2">
        <v>3.3418699099509001E-3</v>
      </c>
      <c r="D35599" s="2">
        <v>1.8260415890288401E-3</v>
      </c>
      <c r="E35599" s="2">
        <v>2.26078861626437E-3</v>
      </c>
      <c r="F35599" s="2">
        <v>3.1867952279784201E-3</v>
      </c>
    </row>
    <row r="35600" spans="1:6" x14ac:dyDescent="0.25">
      <c r="A35600" s="1" t="str">
        <f t="shared" si="1282"/>
        <v>45780</v>
      </c>
      <c r="B35600" s="1" t="str">
        <f>"43433"</f>
        <v>43433</v>
      </c>
      <c r="C35600" s="2">
        <v>9.5306317579096496E-5</v>
      </c>
      <c r="D35600" s="2">
        <v>3.7266154878139602E-5</v>
      </c>
      <c r="E35600" s="2">
        <v>0</v>
      </c>
      <c r="F35600" s="2">
        <v>8.7160211363512507E-5</v>
      </c>
    </row>
    <row r="35601" spans="1:6" x14ac:dyDescent="0.25">
      <c r="A35601" s="1" t="str">
        <f t="shared" si="1282"/>
        <v>45780</v>
      </c>
      <c r="B35601" s="1" t="str">
        <f>"43608"</f>
        <v>43608</v>
      </c>
      <c r="C35601" s="2">
        <v>2.25107373327143E-2</v>
      </c>
      <c r="D35601" s="2">
        <v>1.48319296414995E-2</v>
      </c>
      <c r="E35601" s="2">
        <v>8.9101668993948994E-3</v>
      </c>
      <c r="F35601" s="2">
        <v>2.1392384376532101E-2</v>
      </c>
    </row>
    <row r="35602" spans="1:6" x14ac:dyDescent="0.25">
      <c r="A35602" s="1" t="str">
        <f t="shared" si="1282"/>
        <v>45780</v>
      </c>
      <c r="B35602" s="1" t="str">
        <f>"43611"</f>
        <v>43611</v>
      </c>
      <c r="C35602" s="2">
        <v>2.79800902028179E-2</v>
      </c>
      <c r="D35602" s="2">
        <v>1.3453081911008399E-2</v>
      </c>
      <c r="E35602" s="2">
        <v>2.14109980716802E-2</v>
      </c>
      <c r="F35602" s="2">
        <v>2.6649234624393899E-2</v>
      </c>
    </row>
    <row r="35603" spans="1:6" x14ac:dyDescent="0.25">
      <c r="A35603" s="1" t="str">
        <f t="shared" si="1282"/>
        <v>45780</v>
      </c>
      <c r="B35603" s="1" t="str">
        <f>"43614"</f>
        <v>43614</v>
      </c>
      <c r="C35603" s="2">
        <v>4.9427086055455899E-2</v>
      </c>
      <c r="D35603" s="2">
        <v>4.1439964224491303E-2</v>
      </c>
      <c r="E35603" s="2">
        <v>6.9020546578894795E-2</v>
      </c>
      <c r="F35603" s="2">
        <v>4.9645911641335701E-2</v>
      </c>
    </row>
    <row r="35604" spans="1:6" x14ac:dyDescent="0.25">
      <c r="A35604" s="1" t="str">
        <f t="shared" si="1282"/>
        <v>45780</v>
      </c>
      <c r="B35604" s="1" t="str">
        <f>"43617"</f>
        <v>43617</v>
      </c>
      <c r="C35604" s="2">
        <v>9.7089468037028E-3</v>
      </c>
      <c r="D35604" s="2">
        <v>2.12417082805396E-2</v>
      </c>
      <c r="E35604" s="2">
        <v>7.2478223286122703E-3</v>
      </c>
      <c r="F35604" s="2">
        <v>1.04510540938061E-2</v>
      </c>
    </row>
    <row r="35605" spans="1:6" x14ac:dyDescent="0.25">
      <c r="A35605" s="1" t="str">
        <f t="shared" si="1282"/>
        <v>45780</v>
      </c>
      <c r="B35605" s="1" t="str">
        <f>"43533"</f>
        <v>43533</v>
      </c>
      <c r="C35605" s="2">
        <v>1.8569359941217501E-3</v>
      </c>
      <c r="D35605" s="2">
        <v>6.7079078780651403E-4</v>
      </c>
      <c r="E35605" s="2">
        <v>6.6493782831305204E-4</v>
      </c>
      <c r="F35605" s="2">
        <v>1.7214141744293699E-3</v>
      </c>
    </row>
    <row r="35606" spans="1:6" x14ac:dyDescent="0.25">
      <c r="A35606" s="1" t="str">
        <f t="shared" si="1282"/>
        <v>45780</v>
      </c>
      <c r="B35606" s="1" t="str">
        <f>"43532"</f>
        <v>43532</v>
      </c>
      <c r="C35606" s="2">
        <v>3.7815087297512503E-4</v>
      </c>
      <c r="D35606" s="2">
        <v>7.4532309756279299E-5</v>
      </c>
      <c r="E35606" s="2">
        <v>0</v>
      </c>
      <c r="F35606" s="2">
        <v>3.4046957563872E-4</v>
      </c>
    </row>
    <row r="35607" spans="1:6" x14ac:dyDescent="0.25">
      <c r="A35607" s="1" t="str">
        <f t="shared" si="1282"/>
        <v>45780</v>
      </c>
      <c r="B35607" s="1" t="str">
        <f>"43601"</f>
        <v>43601</v>
      </c>
      <c r="C35607" s="2">
        <v>0</v>
      </c>
      <c r="D35607" s="2">
        <v>1.11798464634419E-4</v>
      </c>
      <c r="E35607" s="2">
        <v>0</v>
      </c>
      <c r="F35607" s="2">
        <v>8.1712698153292996E-6</v>
      </c>
    </row>
    <row r="35608" spans="1:6" x14ac:dyDescent="0.25">
      <c r="A35608" s="1" t="str">
        <f t="shared" si="1282"/>
        <v>45780</v>
      </c>
      <c r="B35608" s="1" t="str">
        <f>"43439"</f>
        <v>43439</v>
      </c>
      <c r="C35608" s="2">
        <v>1.8446384047567002E-5</v>
      </c>
      <c r="D35608" s="2">
        <v>3.7266154878139602E-5</v>
      </c>
      <c r="E35608" s="2">
        <v>0</v>
      </c>
      <c r="F35608" s="2">
        <v>1.90662962357683E-5</v>
      </c>
    </row>
    <row r="35609" spans="1:6" x14ac:dyDescent="0.25">
      <c r="A35609" s="1" t="str">
        <f t="shared" si="1282"/>
        <v>45780</v>
      </c>
      <c r="B35609" s="1" t="str">
        <f>"43659"</f>
        <v>43659</v>
      </c>
      <c r="C35609" s="2">
        <v>0</v>
      </c>
      <c r="D35609" s="2">
        <v>3.7266154878139602E-5</v>
      </c>
      <c r="E35609" s="2">
        <v>0</v>
      </c>
      <c r="F35609" s="2">
        <v>2.7237566051097599E-6</v>
      </c>
    </row>
    <row r="35610" spans="1:6" x14ac:dyDescent="0.25">
      <c r="A35610" s="1" t="str">
        <f t="shared" si="1282"/>
        <v>45780</v>
      </c>
      <c r="B35610" s="1" t="str">
        <f>"43467"</f>
        <v>43467</v>
      </c>
      <c r="C35610" s="2">
        <v>0</v>
      </c>
      <c r="D35610" s="2">
        <v>0</v>
      </c>
      <c r="E35610" s="2">
        <v>6.6493782831305207E-5</v>
      </c>
      <c r="F35610" s="2">
        <v>2.7237566051097599E-6</v>
      </c>
    </row>
    <row r="35611" spans="1:6" x14ac:dyDescent="0.25">
      <c r="A35611" s="1" t="str">
        <f t="shared" si="1282"/>
        <v>45780</v>
      </c>
      <c r="B35611" s="1" t="str">
        <f>"43402"</f>
        <v>43402</v>
      </c>
      <c r="C35611" s="2">
        <v>4.9245696612321498E-2</v>
      </c>
      <c r="D35611" s="2">
        <v>4.7067153611090401E-2</v>
      </c>
      <c r="E35611" s="2">
        <v>7.9792539397566295E-2</v>
      </c>
      <c r="F35611" s="2">
        <v>5.0337745819033601E-2</v>
      </c>
    </row>
    <row r="35612" spans="1:6" x14ac:dyDescent="0.25">
      <c r="A35612" s="1" t="str">
        <f t="shared" si="1282"/>
        <v>45780</v>
      </c>
      <c r="B35612" s="1" t="str">
        <f>"43449"</f>
        <v>43449</v>
      </c>
      <c r="C35612" s="2">
        <v>1.3481232341430199E-2</v>
      </c>
      <c r="D35612" s="2">
        <v>7.7886263695311903E-3</v>
      </c>
      <c r="E35612" s="2">
        <v>8.5776979852383792E-3</v>
      </c>
      <c r="F35612" s="2">
        <v>1.2864302445933401E-2</v>
      </c>
    </row>
    <row r="35613" spans="1:6" x14ac:dyDescent="0.25">
      <c r="A35613" s="1" t="str">
        <f t="shared" si="1282"/>
        <v>45780</v>
      </c>
      <c r="B35613" s="1" t="str">
        <f>"43452"</f>
        <v>43452</v>
      </c>
      <c r="C35613" s="2">
        <v>3.2754629273796597E-2</v>
      </c>
      <c r="D35613" s="2">
        <v>3.2831482447641003E-2</v>
      </c>
      <c r="E35613" s="2">
        <v>3.3047410067158701E-2</v>
      </c>
      <c r="F35613" s="2">
        <v>3.2772239472680702E-2</v>
      </c>
    </row>
    <row r="35614" spans="1:6" x14ac:dyDescent="0.25">
      <c r="A35614" s="1" t="str">
        <f t="shared" si="1282"/>
        <v>45780</v>
      </c>
      <c r="B35614" s="1" t="str">
        <f>"43502"</f>
        <v>43502</v>
      </c>
      <c r="C35614" s="2">
        <v>8.9649426471175905E-3</v>
      </c>
      <c r="D35614" s="2">
        <v>1.19624357158828E-2</v>
      </c>
      <c r="E35614" s="2">
        <v>6.7158720659618301E-3</v>
      </c>
      <c r="F35614" s="2">
        <v>9.0918995478563996E-3</v>
      </c>
    </row>
    <row r="35615" spans="1:6" x14ac:dyDescent="0.25">
      <c r="A35615" s="1" t="str">
        <f t="shared" si="1282"/>
        <v>45780</v>
      </c>
      <c r="B35615" s="1" t="str">
        <f>"43456"</f>
        <v>43456</v>
      </c>
      <c r="C35615" s="2">
        <v>1.9768374904309302E-3</v>
      </c>
      <c r="D35615" s="2">
        <v>3.7266154878139602E-5</v>
      </c>
      <c r="E35615" s="2">
        <v>5.5854777578296403E-3</v>
      </c>
      <c r="F35615" s="2">
        <v>1.9828948085199101E-3</v>
      </c>
    </row>
    <row r="35616" spans="1:6" x14ac:dyDescent="0.25">
      <c r="A35616" s="1" t="str">
        <f t="shared" ref="A35616:A35621" si="1283">"45780"</f>
        <v>45780</v>
      </c>
      <c r="B35616" s="1" t="str">
        <f>"43612"</f>
        <v>43612</v>
      </c>
      <c r="C35616" s="2">
        <v>4.4019221132177502E-2</v>
      </c>
      <c r="D35616" s="2">
        <v>6.10419616903927E-2</v>
      </c>
      <c r="E35616" s="2">
        <v>4.7144092027395397E-2</v>
      </c>
      <c r="F35616" s="2">
        <v>4.53914038241542E-2</v>
      </c>
    </row>
    <row r="35617" spans="1:6" x14ac:dyDescent="0.25">
      <c r="A35617" s="1" t="str">
        <f t="shared" si="1283"/>
        <v>45780</v>
      </c>
      <c r="B35617" s="1" t="str">
        <f>"44817"</f>
        <v>44817</v>
      </c>
      <c r="C35617" s="2">
        <v>1.4480411477340101E-3</v>
      </c>
      <c r="D35617" s="2">
        <v>1.8633077439069801E-4</v>
      </c>
      <c r="E35617" s="2">
        <v>2.6597513132522099E-4</v>
      </c>
      <c r="F35617" s="2">
        <v>1.3074031704526799E-3</v>
      </c>
    </row>
    <row r="35618" spans="1:6" x14ac:dyDescent="0.25">
      <c r="A35618" s="1" t="str">
        <f t="shared" si="1283"/>
        <v>45780</v>
      </c>
      <c r="B35618" s="1" t="str">
        <f>"43661"</f>
        <v>43661</v>
      </c>
      <c r="C35618" s="2">
        <v>0</v>
      </c>
      <c r="D35618" s="2">
        <v>3.7266154878139602E-5</v>
      </c>
      <c r="E35618" s="2">
        <v>0</v>
      </c>
      <c r="F35618" s="2">
        <v>2.7237566051097599E-6</v>
      </c>
    </row>
    <row r="35619" spans="1:6" x14ac:dyDescent="0.25">
      <c r="A35619" s="1" t="str">
        <f t="shared" si="1283"/>
        <v>45780</v>
      </c>
      <c r="B35619" s="1" t="str">
        <f>"43431"</f>
        <v>43431</v>
      </c>
      <c r="C35619" s="2">
        <v>5.5339152142701202E-5</v>
      </c>
      <c r="D35619" s="2">
        <v>0</v>
      </c>
      <c r="E35619" s="2">
        <v>0</v>
      </c>
      <c r="F35619" s="2">
        <v>4.9027618891975798E-5</v>
      </c>
    </row>
    <row r="35620" spans="1:6" x14ac:dyDescent="0.25">
      <c r="A35620" s="1" t="str">
        <f t="shared" si="1283"/>
        <v>45780</v>
      </c>
      <c r="B35620" s="1" t="str">
        <f>"43541"</f>
        <v>43541</v>
      </c>
      <c r="C35620" s="2">
        <v>2.0905901920575999E-4</v>
      </c>
      <c r="D35620" s="2">
        <v>7.4532309756279299E-5</v>
      </c>
      <c r="E35620" s="2">
        <v>1.3298756566261001E-4</v>
      </c>
      <c r="F35620" s="2">
        <v>1.96110475567903E-4</v>
      </c>
    </row>
    <row r="35621" spans="1:6" x14ac:dyDescent="0.25">
      <c r="A35621" s="1" t="str">
        <f t="shared" si="1283"/>
        <v>45780</v>
      </c>
      <c r="B35621" s="1" t="str">
        <f>"43545"</f>
        <v>43545</v>
      </c>
      <c r="C35621" s="2">
        <v>9.2231920237835296E-6</v>
      </c>
      <c r="D35621" s="2">
        <v>0</v>
      </c>
      <c r="E35621" s="2">
        <v>0</v>
      </c>
      <c r="F35621" s="2">
        <v>8.1712698153292996E-6</v>
      </c>
    </row>
    <row r="35622" spans="1:6" x14ac:dyDescent="0.25">
      <c r="A35622" s="1" t="str">
        <f t="shared" ref="A35622:A35653" si="1284">"45820"</f>
        <v>45820</v>
      </c>
      <c r="B35622" s="1" t="str">
        <f>"66536"</f>
        <v>66536</v>
      </c>
      <c r="C35622" s="2">
        <v>4.6127547190289602E-4</v>
      </c>
      <c r="D35622" s="2">
        <v>0</v>
      </c>
      <c r="E35622" s="2">
        <v>0</v>
      </c>
      <c r="F35622" s="2">
        <v>4.0616090342927201E-4</v>
      </c>
    </row>
    <row r="35623" spans="1:6" x14ac:dyDescent="0.25">
      <c r="A35623" s="1" t="str">
        <f t="shared" si="1284"/>
        <v>45820</v>
      </c>
      <c r="B35623" s="1" t="str">
        <f>"66502"</f>
        <v>66502</v>
      </c>
      <c r="C35623" s="2">
        <v>9.0446170961352301E-5</v>
      </c>
      <c r="D35623" s="2">
        <v>0</v>
      </c>
      <c r="E35623" s="2">
        <v>0</v>
      </c>
      <c r="F35623" s="2">
        <v>7.9639392829269006E-5</v>
      </c>
    </row>
    <row r="35624" spans="1:6" x14ac:dyDescent="0.25">
      <c r="A35624" s="1" t="str">
        <f t="shared" si="1284"/>
        <v>45820</v>
      </c>
      <c r="B35624" s="1" t="str">
        <f>"66413"</f>
        <v>66413</v>
      </c>
      <c r="C35624" s="2">
        <v>8.33009234554055E-3</v>
      </c>
      <c r="D35624" s="2">
        <v>6.5235690235690199E-3</v>
      </c>
      <c r="E35624" s="2">
        <v>5.8192398617930496E-3</v>
      </c>
      <c r="F35624" s="2">
        <v>8.0833983721708101E-3</v>
      </c>
    </row>
    <row r="35625" spans="1:6" x14ac:dyDescent="0.25">
      <c r="A35625" s="1" t="str">
        <f t="shared" si="1284"/>
        <v>45820</v>
      </c>
      <c r="B35625" s="1" t="str">
        <f>"66070"</f>
        <v>66070</v>
      </c>
      <c r="C35625" s="2">
        <v>1.09439866863236E-2</v>
      </c>
      <c r="D35625" s="2">
        <v>2.7356902356902302E-3</v>
      </c>
      <c r="E35625" s="2">
        <v>9.0925622840516403E-4</v>
      </c>
      <c r="F35625" s="2">
        <v>9.8832486501122894E-3</v>
      </c>
    </row>
    <row r="35626" spans="1:6" x14ac:dyDescent="0.25">
      <c r="A35626" s="1" t="str">
        <f t="shared" si="1284"/>
        <v>45820</v>
      </c>
      <c r="B35626" s="1" t="str">
        <f>"66088"</f>
        <v>66088</v>
      </c>
      <c r="C35626" s="2">
        <v>9.4516248654613194E-3</v>
      </c>
      <c r="D35626" s="2">
        <v>7.7861952861952802E-3</v>
      </c>
      <c r="E35626" s="2">
        <v>3.09147117657755E-3</v>
      </c>
      <c r="F35626" s="2">
        <v>9.0470350254049595E-3</v>
      </c>
    </row>
    <row r="35627" spans="1:6" x14ac:dyDescent="0.25">
      <c r="A35627" s="1" t="str">
        <f t="shared" si="1284"/>
        <v>45820</v>
      </c>
      <c r="B35627" s="1" t="str">
        <f>"66618"</f>
        <v>66618</v>
      </c>
      <c r="C35627" s="2">
        <v>3.4107251069525897E-2</v>
      </c>
      <c r="D35627" s="2">
        <v>2.36742424242424E-2</v>
      </c>
      <c r="E35627" s="2">
        <v>1.9276232042189399E-2</v>
      </c>
      <c r="F35627" s="2">
        <v>3.2668078938566103E-2</v>
      </c>
    </row>
    <row r="35628" spans="1:6" x14ac:dyDescent="0.25">
      <c r="A35628" s="1" t="str">
        <f t="shared" si="1284"/>
        <v>45820</v>
      </c>
      <c r="B35628" s="1" t="str">
        <f>"66543"</f>
        <v>66543</v>
      </c>
      <c r="C35628" s="2">
        <v>3.5635791358772798E-3</v>
      </c>
      <c r="D35628" s="2">
        <v>1.2626262626262599E-3</v>
      </c>
      <c r="E35628" s="2">
        <v>1.45480996544826E-3</v>
      </c>
      <c r="F35628" s="2">
        <v>3.2970708631317302E-3</v>
      </c>
    </row>
    <row r="35629" spans="1:6" x14ac:dyDescent="0.25">
      <c r="A35629" s="1" t="str">
        <f t="shared" si="1284"/>
        <v>45820</v>
      </c>
      <c r="B35629" s="1" t="str">
        <f>"66614"</f>
        <v>66614</v>
      </c>
      <c r="C35629" s="2">
        <v>0.13516275788464399</v>
      </c>
      <c r="D35629" s="2">
        <v>9.2697811447811404E-2</v>
      </c>
      <c r="E35629" s="2">
        <v>0.17475904709947199</v>
      </c>
      <c r="F35629" s="2">
        <v>0.13368268480321099</v>
      </c>
    </row>
    <row r="35630" spans="1:6" x14ac:dyDescent="0.25">
      <c r="A35630" s="1" t="str">
        <f t="shared" si="1284"/>
        <v>45820</v>
      </c>
      <c r="B35630" s="1" t="str">
        <f>"66524"</f>
        <v>66524</v>
      </c>
      <c r="C35630" s="2">
        <v>9.9309895715564804E-3</v>
      </c>
      <c r="D35630" s="2">
        <v>1.47306397306397E-3</v>
      </c>
      <c r="E35630" s="2">
        <v>3.45517366793962E-3</v>
      </c>
      <c r="F35630" s="2">
        <v>9.0072153289903305E-3</v>
      </c>
    </row>
    <row r="35631" spans="1:6" x14ac:dyDescent="0.25">
      <c r="A35631" s="1" t="str">
        <f t="shared" si="1284"/>
        <v>45820</v>
      </c>
      <c r="B35631" s="1" t="str">
        <f>"66542"</f>
        <v>66542</v>
      </c>
      <c r="C35631" s="2">
        <v>1.2553928529435701E-2</v>
      </c>
      <c r="D35631" s="2">
        <v>2.1043771043771E-3</v>
      </c>
      <c r="E35631" s="2">
        <v>1.45480996544826E-3</v>
      </c>
      <c r="F35631" s="2">
        <v>1.1276938024624501E-2</v>
      </c>
    </row>
    <row r="35632" spans="1:6" x14ac:dyDescent="0.25">
      <c r="A35632" s="1" t="str">
        <f t="shared" si="1284"/>
        <v>45820</v>
      </c>
      <c r="B35632" s="1" t="str">
        <f>"66624"</f>
        <v>66624</v>
      </c>
      <c r="C35632" s="2">
        <v>0</v>
      </c>
      <c r="D35632" s="2">
        <v>2.1043771043770999E-4</v>
      </c>
      <c r="E35632" s="2">
        <v>0</v>
      </c>
      <c r="F35632" s="2">
        <v>1.5927878565853801E-5</v>
      </c>
    </row>
    <row r="35633" spans="1:6" x14ac:dyDescent="0.25">
      <c r="A35633" s="1" t="str">
        <f t="shared" si="1284"/>
        <v>45820</v>
      </c>
      <c r="B35633" s="1" t="str">
        <f>"66439"</f>
        <v>66439</v>
      </c>
      <c r="C35633" s="2">
        <v>2.71338512884057E-5</v>
      </c>
      <c r="D35633" s="2">
        <v>0</v>
      </c>
      <c r="E35633" s="2">
        <v>0</v>
      </c>
      <c r="F35633" s="2">
        <v>2.3891817848780698E-5</v>
      </c>
    </row>
    <row r="35634" spans="1:6" x14ac:dyDescent="0.25">
      <c r="A35634" s="1" t="str">
        <f t="shared" si="1284"/>
        <v>45820</v>
      </c>
      <c r="B35634" s="1" t="str">
        <f>"66683"</f>
        <v>66683</v>
      </c>
      <c r="C35634" s="2">
        <v>0</v>
      </c>
      <c r="D35634" s="2">
        <v>2.5252525252525198E-3</v>
      </c>
      <c r="E35634" s="2">
        <v>5.4555373704309805E-4</v>
      </c>
      <c r="F35634" s="2">
        <v>2.1502636063902599E-4</v>
      </c>
    </row>
    <row r="35635" spans="1:6" x14ac:dyDescent="0.25">
      <c r="A35635" s="1" t="str">
        <f t="shared" si="1284"/>
        <v>45820</v>
      </c>
      <c r="B35635" s="1" t="str">
        <f>"66523"</f>
        <v>66523</v>
      </c>
      <c r="C35635" s="2">
        <v>1.6741586244946299E-2</v>
      </c>
      <c r="D35635" s="2">
        <v>1.94654882154882E-2</v>
      </c>
      <c r="E35635" s="2">
        <v>1.8912529550827398E-2</v>
      </c>
      <c r="F35635" s="2">
        <v>1.7042830065463501E-2</v>
      </c>
    </row>
    <row r="35636" spans="1:6" x14ac:dyDescent="0.25">
      <c r="A35636" s="1" t="str">
        <f t="shared" si="1284"/>
        <v>45820</v>
      </c>
      <c r="B35636" s="1" t="str">
        <f>"66528"</f>
        <v>66528</v>
      </c>
      <c r="C35636" s="2">
        <v>3.2560621546086801E-3</v>
      </c>
      <c r="D35636" s="2">
        <v>4.2087542087541999E-4</v>
      </c>
      <c r="E35636" s="2">
        <v>3.09147117657755E-3</v>
      </c>
      <c r="F35636" s="2">
        <v>3.03426086679515E-3</v>
      </c>
    </row>
    <row r="35637" spans="1:6" x14ac:dyDescent="0.25">
      <c r="A35637" s="1" t="str">
        <f t="shared" si="1284"/>
        <v>45820</v>
      </c>
      <c r="B35637" s="1" t="str">
        <f>"66611"</f>
        <v>66611</v>
      </c>
      <c r="C35637" s="2">
        <v>4.5051237755849599E-2</v>
      </c>
      <c r="D35637" s="2">
        <v>5.2188552188552097E-2</v>
      </c>
      <c r="E35637" s="2">
        <v>9.1471176577559501E-2</v>
      </c>
      <c r="F35637" s="2">
        <v>4.76243569119029E-2</v>
      </c>
    </row>
    <row r="35638" spans="1:6" x14ac:dyDescent="0.25">
      <c r="A35638" s="1" t="str">
        <f t="shared" si="1284"/>
        <v>45820</v>
      </c>
      <c r="B35638" s="1" t="str">
        <f>"66451"</f>
        <v>66451</v>
      </c>
      <c r="C35638" s="2">
        <v>7.9683076616951405E-3</v>
      </c>
      <c r="D35638" s="2">
        <v>2.4200336700336699E-3</v>
      </c>
      <c r="E35638" s="2">
        <v>4.1825786506637496E-3</v>
      </c>
      <c r="F35638" s="2">
        <v>7.38257171527324E-3</v>
      </c>
    </row>
    <row r="35639" spans="1:6" x14ac:dyDescent="0.25">
      <c r="A35639" s="1" t="str">
        <f t="shared" si="1284"/>
        <v>45820</v>
      </c>
      <c r="B35639" s="1" t="str">
        <f>"66626"</f>
        <v>66626</v>
      </c>
      <c r="C35639" s="2">
        <v>0</v>
      </c>
      <c r="D35639" s="2">
        <v>1.05218855218855E-4</v>
      </c>
      <c r="E35639" s="2">
        <v>0</v>
      </c>
      <c r="F35639" s="2">
        <v>7.9639392829269006E-6</v>
      </c>
    </row>
    <row r="35640" spans="1:6" x14ac:dyDescent="0.25">
      <c r="A35640" s="1" t="str">
        <f t="shared" si="1284"/>
        <v>45820</v>
      </c>
      <c r="B35640" s="1" t="str">
        <f>"66095"</f>
        <v>66095</v>
      </c>
      <c r="C35640" s="2">
        <v>5.42677025768114E-5</v>
      </c>
      <c r="D35640" s="2">
        <v>0</v>
      </c>
      <c r="E35640" s="2">
        <v>0</v>
      </c>
      <c r="F35640" s="2">
        <v>4.7783635697561397E-5</v>
      </c>
    </row>
    <row r="35641" spans="1:6" x14ac:dyDescent="0.25">
      <c r="A35641" s="1" t="str">
        <f t="shared" si="1284"/>
        <v>45820</v>
      </c>
      <c r="B35641" s="1" t="str">
        <f>"66629"</f>
        <v>66629</v>
      </c>
      <c r="C35641" s="2">
        <v>0</v>
      </c>
      <c r="D35641" s="2">
        <v>1.05218855218855E-4</v>
      </c>
      <c r="E35641" s="2">
        <v>0</v>
      </c>
      <c r="F35641" s="2">
        <v>7.9639392829269006E-6</v>
      </c>
    </row>
    <row r="35642" spans="1:6" x14ac:dyDescent="0.25">
      <c r="A35642" s="1" t="str">
        <f t="shared" si="1284"/>
        <v>45820</v>
      </c>
      <c r="B35642" s="1" t="str">
        <f>"66846"</f>
        <v>66846</v>
      </c>
      <c r="C35642" s="2">
        <v>1.80892341922704E-5</v>
      </c>
      <c r="D35642" s="2">
        <v>0</v>
      </c>
      <c r="E35642" s="2">
        <v>0</v>
      </c>
      <c r="F35642" s="2">
        <v>1.5927878565853801E-5</v>
      </c>
    </row>
    <row r="35643" spans="1:6" x14ac:dyDescent="0.25">
      <c r="A35643" s="1" t="str">
        <f t="shared" si="1284"/>
        <v>45820</v>
      </c>
      <c r="B35643" s="1" t="str">
        <f>"66060"</f>
        <v>66060</v>
      </c>
      <c r="C35643" s="2">
        <v>3.2831960058970901E-3</v>
      </c>
      <c r="D35643" s="2">
        <v>2.7356902356902302E-3</v>
      </c>
      <c r="E35643" s="2">
        <v>5.4555373704309805E-4</v>
      </c>
      <c r="F35643" s="2">
        <v>3.1218641989073401E-3</v>
      </c>
    </row>
    <row r="35644" spans="1:6" x14ac:dyDescent="0.25">
      <c r="A35644" s="1" t="str">
        <f t="shared" si="1284"/>
        <v>45820</v>
      </c>
      <c r="B35644" s="1" t="str">
        <f>"66002"</f>
        <v>66002</v>
      </c>
      <c r="C35644" s="2">
        <v>3.43695449653138E-4</v>
      </c>
      <c r="D35644" s="2">
        <v>2.1043771043770999E-4</v>
      </c>
      <c r="E35644" s="2">
        <v>0</v>
      </c>
      <c r="F35644" s="2">
        <v>3.1855757131707602E-4</v>
      </c>
    </row>
    <row r="35645" spans="1:6" x14ac:dyDescent="0.25">
      <c r="A35645" s="1" t="str">
        <f t="shared" si="1284"/>
        <v>45820</v>
      </c>
      <c r="B35645" s="1" t="str">
        <f>"66419"</f>
        <v>66419</v>
      </c>
      <c r="C35645" s="2">
        <v>1.91745882438066E-3</v>
      </c>
      <c r="D35645" s="2">
        <v>1.05218855218855E-4</v>
      </c>
      <c r="E35645" s="2">
        <v>3.63702491362065E-4</v>
      </c>
      <c r="F35645" s="2">
        <v>1.7122469458292801E-3</v>
      </c>
    </row>
    <row r="35646" spans="1:6" x14ac:dyDescent="0.25">
      <c r="A35646" s="1" t="str">
        <f t="shared" si="1284"/>
        <v>45820</v>
      </c>
      <c r="B35646" s="1" t="str">
        <f>"66547"</f>
        <v>66547</v>
      </c>
      <c r="C35646" s="2">
        <v>2.2068865714569902E-3</v>
      </c>
      <c r="D35646" s="2">
        <v>4.2087542087541999E-4</v>
      </c>
      <c r="E35646" s="2">
        <v>2.36406619385342E-3</v>
      </c>
      <c r="F35646" s="2">
        <v>2.0785881528439199E-3</v>
      </c>
    </row>
    <row r="35647" spans="1:6" x14ac:dyDescent="0.25">
      <c r="A35647" s="1" t="str">
        <f t="shared" si="1284"/>
        <v>45820</v>
      </c>
      <c r="B35647" s="1" t="str">
        <f>"66401"</f>
        <v>66401</v>
      </c>
      <c r="C35647" s="2">
        <v>9.2707325235386103E-3</v>
      </c>
      <c r="D35647" s="2">
        <v>3.8930976430976401E-3</v>
      </c>
      <c r="E35647" s="2">
        <v>2.18221494817239E-3</v>
      </c>
      <c r="F35647" s="2">
        <v>8.5532707898634906E-3</v>
      </c>
    </row>
    <row r="35648" spans="1:6" x14ac:dyDescent="0.25">
      <c r="A35648" s="1" t="str">
        <f t="shared" si="1284"/>
        <v>45820</v>
      </c>
      <c r="B35648" s="1" t="str">
        <f>"66423"</f>
        <v>66423</v>
      </c>
      <c r="C35648" s="2">
        <v>3.9163192026265498E-3</v>
      </c>
      <c r="D35648" s="2">
        <v>1.1574074074074E-3</v>
      </c>
      <c r="E35648" s="2">
        <v>2.00036370249136E-3</v>
      </c>
      <c r="F35648" s="2">
        <v>3.6235923737317401E-3</v>
      </c>
    </row>
    <row r="35649" spans="1:6" x14ac:dyDescent="0.25">
      <c r="A35649" s="1" t="str">
        <f t="shared" si="1284"/>
        <v>45820</v>
      </c>
      <c r="B35649" s="1" t="str">
        <f>"66431"</f>
        <v>66431</v>
      </c>
      <c r="C35649" s="2">
        <v>2.77669744851351E-3</v>
      </c>
      <c r="D35649" s="2">
        <v>2.1043771043770999E-4</v>
      </c>
      <c r="E35649" s="2">
        <v>7.2740498272413098E-4</v>
      </c>
      <c r="F35649" s="2">
        <v>2.49271299555612E-3</v>
      </c>
    </row>
    <row r="35650" spans="1:6" x14ac:dyDescent="0.25">
      <c r="A35650" s="1" t="str">
        <f t="shared" si="1284"/>
        <v>45820</v>
      </c>
      <c r="B35650" s="1" t="str">
        <f>"66073"</f>
        <v>66073</v>
      </c>
      <c r="C35650" s="2">
        <v>8.6647431780975497E-3</v>
      </c>
      <c r="D35650" s="2">
        <v>6.2079124579124496E-3</v>
      </c>
      <c r="E35650" s="2">
        <v>1.81851245681032E-3</v>
      </c>
      <c r="F35650" s="2">
        <v>8.1789656435659296E-3</v>
      </c>
    </row>
    <row r="35651" spans="1:6" x14ac:dyDescent="0.25">
      <c r="A35651" s="1" t="str">
        <f t="shared" si="1284"/>
        <v>45820</v>
      </c>
      <c r="B35651" s="1" t="str">
        <f>"66604"</f>
        <v>66604</v>
      </c>
      <c r="C35651" s="2">
        <v>0.108490182068142</v>
      </c>
      <c r="D35651" s="2">
        <v>0.14278198653198601</v>
      </c>
      <c r="E35651" s="2">
        <v>0.18821603927986899</v>
      </c>
      <c r="F35651" s="2">
        <v>0.11457719446346901</v>
      </c>
    </row>
    <row r="35652" spans="1:6" x14ac:dyDescent="0.25">
      <c r="A35652" s="1" t="str">
        <f t="shared" si="1284"/>
        <v>45820</v>
      </c>
      <c r="B35652" s="1" t="str">
        <f>"66512"</f>
        <v>66512</v>
      </c>
      <c r="C35652" s="2">
        <v>1.3982978030624999E-2</v>
      </c>
      <c r="D35652" s="2">
        <v>7.4705387205387204E-3</v>
      </c>
      <c r="E35652" s="2">
        <v>4.00072740498272E-3</v>
      </c>
      <c r="F35652" s="2">
        <v>1.30528964847172E-2</v>
      </c>
    </row>
    <row r="35653" spans="1:6" x14ac:dyDescent="0.25">
      <c r="A35653" s="1" t="str">
        <f t="shared" si="1284"/>
        <v>45820</v>
      </c>
      <c r="B35653" s="1" t="str">
        <f>"66526"</f>
        <v>66526</v>
      </c>
      <c r="C35653" s="2">
        <v>3.0299467272052998E-3</v>
      </c>
      <c r="D35653" s="2">
        <v>7.36531986531986E-4</v>
      </c>
      <c r="E35653" s="2">
        <v>1.81851245681032E-3</v>
      </c>
      <c r="F35653" s="2">
        <v>2.8033066275902699E-3</v>
      </c>
    </row>
    <row r="35654" spans="1:6" x14ac:dyDescent="0.25">
      <c r="A35654" s="1" t="str">
        <f t="shared" ref="A35654:A35685" si="1285">"45820"</f>
        <v>45820</v>
      </c>
      <c r="B35654" s="1" t="str">
        <f>"66416"</f>
        <v>66416</v>
      </c>
      <c r="C35654" s="2">
        <v>1.9898157611497498E-3</v>
      </c>
      <c r="D35654" s="2">
        <v>2.1043771043770999E-4</v>
      </c>
      <c r="E35654" s="2">
        <v>1.8185124568103199E-4</v>
      </c>
      <c r="F35654" s="2">
        <v>1.7759584600927001E-3</v>
      </c>
    </row>
    <row r="35655" spans="1:6" x14ac:dyDescent="0.25">
      <c r="A35655" s="1" t="str">
        <f t="shared" si="1285"/>
        <v>45820</v>
      </c>
      <c r="B35655" s="1" t="str">
        <f>"66414"</f>
        <v>66414</v>
      </c>
      <c r="C35655" s="2">
        <v>1.1703734522398901E-2</v>
      </c>
      <c r="D35655" s="2">
        <v>2.4200336700336699E-3</v>
      </c>
      <c r="E35655" s="2">
        <v>8.0014548099654401E-3</v>
      </c>
      <c r="F35655" s="2">
        <v>1.0838921364063499E-2</v>
      </c>
    </row>
    <row r="35656" spans="1:6" x14ac:dyDescent="0.25">
      <c r="A35656" s="1" t="str">
        <f t="shared" si="1285"/>
        <v>45820</v>
      </c>
      <c r="B35656" s="1" t="str">
        <f>"66418"</f>
        <v>66418</v>
      </c>
      <c r="C35656" s="2">
        <v>2.1526188688801799E-3</v>
      </c>
      <c r="D35656" s="2">
        <v>6.3131313131313104E-4</v>
      </c>
      <c r="E35656" s="2">
        <v>0</v>
      </c>
      <c r="F35656" s="2">
        <v>1.94320118503416E-3</v>
      </c>
    </row>
    <row r="35657" spans="1:6" x14ac:dyDescent="0.25">
      <c r="A35657" s="1" t="str">
        <f t="shared" si="1285"/>
        <v>45820</v>
      </c>
      <c r="B35657" s="1" t="str">
        <f>"66617"</f>
        <v>66617</v>
      </c>
      <c r="C35657" s="2">
        <v>3.3627886363430802E-2</v>
      </c>
      <c r="D35657" s="2">
        <v>1.1153198653198601E-2</v>
      </c>
      <c r="E35657" s="2">
        <v>1.8366975813784301E-2</v>
      </c>
      <c r="F35657" s="2">
        <v>3.1258461685488098E-2</v>
      </c>
    </row>
    <row r="35658" spans="1:6" x14ac:dyDescent="0.25">
      <c r="A35658" s="1" t="str">
        <f t="shared" si="1285"/>
        <v>45820</v>
      </c>
      <c r="B35658" s="1" t="str">
        <f>"66420"</f>
        <v>66420</v>
      </c>
      <c r="C35658" s="2">
        <v>8.1401553865217106E-5</v>
      </c>
      <c r="D35658" s="2">
        <v>0</v>
      </c>
      <c r="E35658" s="2">
        <v>1.8185124568103199E-4</v>
      </c>
      <c r="F35658" s="2">
        <v>7.9639392829269006E-5</v>
      </c>
    </row>
    <row r="35659" spans="1:6" x14ac:dyDescent="0.25">
      <c r="A35659" s="1" t="str">
        <f t="shared" si="1285"/>
        <v>45820</v>
      </c>
      <c r="B35659" s="1" t="str">
        <f>"66507"</f>
        <v>66507</v>
      </c>
      <c r="C35659" s="2">
        <v>4.6308439532212397E-3</v>
      </c>
      <c r="D35659" s="2">
        <v>6.3131313131313104E-4</v>
      </c>
      <c r="E35659" s="2">
        <v>1.27295871976723E-3</v>
      </c>
      <c r="F35659" s="2">
        <v>4.1810681235366198E-3</v>
      </c>
    </row>
    <row r="35660" spans="1:6" x14ac:dyDescent="0.25">
      <c r="A35660" s="1" t="str">
        <f t="shared" si="1285"/>
        <v>45820</v>
      </c>
      <c r="B35660" s="1" t="str">
        <f>"66601"</f>
        <v>66601</v>
      </c>
      <c r="C35660" s="2">
        <v>2.3606450620912902E-3</v>
      </c>
      <c r="D35660" s="2">
        <v>3.1986531986531903E-2</v>
      </c>
      <c r="E35660" s="2">
        <v>1.8185124568103199E-4</v>
      </c>
      <c r="F35660" s="2">
        <v>4.5075896341366202E-3</v>
      </c>
    </row>
    <row r="35661" spans="1:6" x14ac:dyDescent="0.25">
      <c r="A35661" s="1" t="str">
        <f t="shared" si="1285"/>
        <v>45820</v>
      </c>
      <c r="B35661" s="1" t="str">
        <f>"66407"</f>
        <v>66407</v>
      </c>
      <c r="C35661" s="2">
        <v>6.78346282210142E-4</v>
      </c>
      <c r="D35661" s="2">
        <v>0</v>
      </c>
      <c r="E35661" s="2">
        <v>0</v>
      </c>
      <c r="F35661" s="2">
        <v>5.9729544621951801E-4</v>
      </c>
    </row>
    <row r="35662" spans="1:6" x14ac:dyDescent="0.25">
      <c r="A35662" s="1" t="str">
        <f t="shared" si="1285"/>
        <v>45820</v>
      </c>
      <c r="B35662" s="1" t="str">
        <f>"66608"</f>
        <v>66608</v>
      </c>
      <c r="C35662" s="2">
        <v>2.9521630201785401E-2</v>
      </c>
      <c r="D35662" s="2">
        <v>7.4074074074074001E-2</v>
      </c>
      <c r="E35662" s="2">
        <v>4.90998363338788E-2</v>
      </c>
      <c r="F35662" s="2">
        <v>3.3751174681044202E-2</v>
      </c>
    </row>
    <row r="35663" spans="1:6" x14ac:dyDescent="0.25">
      <c r="A35663" s="1" t="str">
        <f t="shared" si="1285"/>
        <v>45820</v>
      </c>
      <c r="B35663" s="1" t="str">
        <f>"66609"</f>
        <v>66609</v>
      </c>
      <c r="C35663" s="2">
        <v>3.51926051210621E-2</v>
      </c>
      <c r="D35663" s="2">
        <v>3.8510101010101001E-2</v>
      </c>
      <c r="E35663" s="2">
        <v>2.7459538097835901E-2</v>
      </c>
      <c r="F35663" s="2">
        <v>3.5105044359141802E-2</v>
      </c>
    </row>
    <row r="35664" spans="1:6" x14ac:dyDescent="0.25">
      <c r="A35664" s="1" t="str">
        <f t="shared" si="1285"/>
        <v>45820</v>
      </c>
      <c r="B35664" s="1" t="str">
        <f>"66615"</f>
        <v>66615</v>
      </c>
      <c r="C35664" s="2">
        <v>1.49778859111999E-2</v>
      </c>
      <c r="D35664" s="2">
        <v>1.40993265993265E-2</v>
      </c>
      <c r="E35664" s="2">
        <v>1.6548463356973901E-2</v>
      </c>
      <c r="F35664" s="2">
        <v>1.4980169791185501E-2</v>
      </c>
    </row>
    <row r="35665" spans="1:6" x14ac:dyDescent="0.25">
      <c r="A35665" s="1" t="str">
        <f t="shared" si="1285"/>
        <v>45820</v>
      </c>
      <c r="B35665" s="1" t="str">
        <f>"66509"</f>
        <v>66509</v>
      </c>
      <c r="C35665" s="2">
        <v>1.03199081066903E-2</v>
      </c>
      <c r="D35665" s="2">
        <v>3.15656565656565E-3</v>
      </c>
      <c r="E35665" s="2">
        <v>6.9103473358792496E-3</v>
      </c>
      <c r="F35665" s="2">
        <v>9.6284025930586294E-3</v>
      </c>
    </row>
    <row r="35666" spans="1:6" x14ac:dyDescent="0.25">
      <c r="A35666" s="1" t="str">
        <f t="shared" si="1285"/>
        <v>45820</v>
      </c>
      <c r="B35666" s="1" t="str">
        <f>"66086"</f>
        <v>66086</v>
      </c>
      <c r="C35666" s="2">
        <v>1.1758002224975799E-4</v>
      </c>
      <c r="D35666" s="2">
        <v>0</v>
      </c>
      <c r="E35666" s="2">
        <v>0</v>
      </c>
      <c r="F35666" s="2">
        <v>1.03531210678049E-4</v>
      </c>
    </row>
    <row r="35667" spans="1:6" x14ac:dyDescent="0.25">
      <c r="A35667" s="1" t="str">
        <f t="shared" si="1285"/>
        <v>45820</v>
      </c>
      <c r="B35667" s="1" t="str">
        <f>"66622"</f>
        <v>66622</v>
      </c>
      <c r="C35667" s="2">
        <v>0</v>
      </c>
      <c r="D35667" s="2">
        <v>1.05218855218855E-4</v>
      </c>
      <c r="E35667" s="2">
        <v>0</v>
      </c>
      <c r="F35667" s="2">
        <v>7.9639392829269006E-6</v>
      </c>
    </row>
    <row r="35668" spans="1:6" x14ac:dyDescent="0.25">
      <c r="A35668" s="1" t="str">
        <f t="shared" si="1285"/>
        <v>45820</v>
      </c>
      <c r="B35668" s="1" t="str">
        <f>"66699"</f>
        <v>66699</v>
      </c>
      <c r="C35668" s="2">
        <v>0</v>
      </c>
      <c r="D35668" s="2">
        <v>1.05218855218855E-4</v>
      </c>
      <c r="E35668" s="2">
        <v>0</v>
      </c>
      <c r="F35668" s="2">
        <v>7.9639392829269006E-6</v>
      </c>
    </row>
    <row r="35669" spans="1:6" x14ac:dyDescent="0.25">
      <c r="A35669" s="1" t="str">
        <f t="shared" si="1285"/>
        <v>45820</v>
      </c>
      <c r="B35669" s="1" t="str">
        <f>"66058"</f>
        <v>66058</v>
      </c>
      <c r="C35669" s="2">
        <v>4.5223085480676103E-5</v>
      </c>
      <c r="D35669" s="2">
        <v>0</v>
      </c>
      <c r="E35669" s="2">
        <v>0</v>
      </c>
      <c r="F35669" s="2">
        <v>3.9819696414634503E-5</v>
      </c>
    </row>
    <row r="35670" spans="1:6" x14ac:dyDescent="0.25">
      <c r="A35670" s="1" t="str">
        <f t="shared" si="1285"/>
        <v>45820</v>
      </c>
      <c r="B35670" s="1" t="str">
        <f>"66647"</f>
        <v>66647</v>
      </c>
      <c r="C35670" s="2">
        <v>4.5223085480676103E-5</v>
      </c>
      <c r="D35670" s="2">
        <v>2.1043771043770999E-4</v>
      </c>
      <c r="E35670" s="2">
        <v>1.8185124568103199E-4</v>
      </c>
      <c r="F35670" s="2">
        <v>6.3711514263415205E-5</v>
      </c>
    </row>
    <row r="35671" spans="1:6" x14ac:dyDescent="0.25">
      <c r="A35671" s="1" t="str">
        <f t="shared" si="1285"/>
        <v>45820</v>
      </c>
      <c r="B35671" s="1" t="str">
        <f>"66675"</f>
        <v>66675</v>
      </c>
      <c r="C35671" s="2">
        <v>4.4409069942023998E-3</v>
      </c>
      <c r="D35671" s="2">
        <v>1.1574074074074001E-2</v>
      </c>
      <c r="E35671" s="2">
        <v>3.63702491362065E-4</v>
      </c>
      <c r="F35671" s="2">
        <v>4.8022553876049196E-3</v>
      </c>
    </row>
    <row r="35672" spans="1:6" x14ac:dyDescent="0.25">
      <c r="A35672" s="1" t="str">
        <f t="shared" si="1285"/>
        <v>45820</v>
      </c>
      <c r="B35672" s="1" t="str">
        <f>"66422"</f>
        <v>66422</v>
      </c>
      <c r="C35672" s="2">
        <v>3.5274006674927401E-4</v>
      </c>
      <c r="D35672" s="2">
        <v>0</v>
      </c>
      <c r="E35672" s="2">
        <v>0</v>
      </c>
      <c r="F35672" s="2">
        <v>3.1059363203414899E-4</v>
      </c>
    </row>
    <row r="35673" spans="1:6" x14ac:dyDescent="0.25">
      <c r="A35673" s="1" t="str">
        <f t="shared" si="1285"/>
        <v>45820</v>
      </c>
      <c r="B35673" s="1" t="str">
        <f>"66667"</f>
        <v>66667</v>
      </c>
      <c r="C35673" s="2">
        <v>1.57376337472753E-3</v>
      </c>
      <c r="D35673" s="2">
        <v>1.16792929292929E-2</v>
      </c>
      <c r="E35673" s="2">
        <v>3.63702491362065E-4</v>
      </c>
      <c r="F35673" s="2">
        <v>2.2856505742000202E-3</v>
      </c>
    </row>
    <row r="35674" spans="1:6" x14ac:dyDescent="0.25">
      <c r="A35674" s="1" t="str">
        <f t="shared" si="1285"/>
        <v>45820</v>
      </c>
      <c r="B35674" s="1" t="str">
        <f>"66868"</f>
        <v>66868</v>
      </c>
      <c r="C35674" s="2">
        <v>2.4420466159565102E-4</v>
      </c>
      <c r="D35674" s="2">
        <v>0</v>
      </c>
      <c r="E35674" s="2">
        <v>0</v>
      </c>
      <c r="F35674" s="2">
        <v>2.1502636063902599E-4</v>
      </c>
    </row>
    <row r="35675" spans="1:6" x14ac:dyDescent="0.25">
      <c r="A35675" s="1" t="str">
        <f t="shared" si="1285"/>
        <v>45820</v>
      </c>
      <c r="B35675" s="1" t="str">
        <f>"66620"</f>
        <v>66620</v>
      </c>
      <c r="C35675" s="2">
        <v>0</v>
      </c>
      <c r="D35675" s="2">
        <v>4.2087542087541999E-4</v>
      </c>
      <c r="E35675" s="2">
        <v>1.8185124568103199E-4</v>
      </c>
      <c r="F35675" s="2">
        <v>3.9819696414634503E-5</v>
      </c>
    </row>
    <row r="35676" spans="1:6" x14ac:dyDescent="0.25">
      <c r="A35676" s="1" t="str">
        <f t="shared" si="1285"/>
        <v>45820</v>
      </c>
      <c r="B35676" s="1" t="str">
        <f>"66097"</f>
        <v>66097</v>
      </c>
      <c r="C35676" s="2">
        <v>3.9072745855304198E-3</v>
      </c>
      <c r="D35676" s="2">
        <v>1.05218855218855E-3</v>
      </c>
      <c r="E35676" s="2">
        <v>1.09110747408619E-3</v>
      </c>
      <c r="F35676" s="2">
        <v>3.5678447987512502E-3</v>
      </c>
    </row>
    <row r="35677" spans="1:6" x14ac:dyDescent="0.25">
      <c r="A35677" s="1" t="str">
        <f t="shared" si="1285"/>
        <v>45820</v>
      </c>
      <c r="B35677" s="1" t="str">
        <f>"66605"</f>
        <v>66605</v>
      </c>
      <c r="C35677" s="2">
        <v>7.9466005806644105E-2</v>
      </c>
      <c r="D35677" s="2">
        <v>4.48232323232323E-2</v>
      </c>
      <c r="E35677" s="2">
        <v>4.5099108928896098E-2</v>
      </c>
      <c r="F35677" s="2">
        <v>7.5338865616488504E-2</v>
      </c>
    </row>
    <row r="35678" spans="1:6" x14ac:dyDescent="0.25">
      <c r="A35678" s="1" t="str">
        <f t="shared" si="1285"/>
        <v>45820</v>
      </c>
      <c r="B35678" s="1" t="str">
        <f>"66610"</f>
        <v>66610</v>
      </c>
      <c r="C35678" s="2">
        <v>3.5228783589446699E-2</v>
      </c>
      <c r="D35678" s="2">
        <v>3.0513468013468E-3</v>
      </c>
      <c r="E35678" s="2">
        <v>2.00036370249136E-3</v>
      </c>
      <c r="F35678" s="2">
        <v>3.1338101078317297E-2</v>
      </c>
    </row>
    <row r="35679" spans="1:6" x14ac:dyDescent="0.25">
      <c r="A35679" s="1" t="str">
        <f t="shared" si="1285"/>
        <v>45820</v>
      </c>
      <c r="B35679" s="1" t="str">
        <f>"66856"</f>
        <v>66856</v>
      </c>
      <c r="C35679" s="2">
        <v>1.0853540515362199E-3</v>
      </c>
      <c r="D35679" s="2">
        <v>3.1565656565656498E-4</v>
      </c>
      <c r="E35679" s="2">
        <v>3.63702491362065E-4</v>
      </c>
      <c r="F35679" s="2">
        <v>9.9549241036586298E-4</v>
      </c>
    </row>
    <row r="35680" spans="1:6" x14ac:dyDescent="0.25">
      <c r="A35680" s="1" t="str">
        <f t="shared" si="1285"/>
        <v>45820</v>
      </c>
      <c r="B35680" s="1" t="str">
        <f>"66540"</f>
        <v>66540</v>
      </c>
      <c r="C35680" s="2">
        <v>2.1435742517840499E-3</v>
      </c>
      <c r="D35680" s="2">
        <v>5.2609427609427598E-4</v>
      </c>
      <c r="E35680" s="2">
        <v>1.8185124568103199E-4</v>
      </c>
      <c r="F35680" s="2">
        <v>1.9352372457512299E-3</v>
      </c>
    </row>
    <row r="35681" spans="1:6" x14ac:dyDescent="0.25">
      <c r="A35681" s="1" t="str">
        <f t="shared" si="1285"/>
        <v>45820</v>
      </c>
      <c r="B35681" s="1" t="str">
        <f>"66603"</f>
        <v>66603</v>
      </c>
      <c r="C35681" s="2">
        <v>1.0446532746036101E-2</v>
      </c>
      <c r="D35681" s="2">
        <v>7.4915824915824894E-2</v>
      </c>
      <c r="E35681" s="2">
        <v>7.09219858156028E-2</v>
      </c>
      <c r="F35681" s="2">
        <v>1.7974610961565999E-2</v>
      </c>
    </row>
    <row r="35682" spans="1:6" x14ac:dyDescent="0.25">
      <c r="A35682" s="1" t="str">
        <f t="shared" si="1285"/>
        <v>45820</v>
      </c>
      <c r="B35682" s="1" t="str">
        <f>"66533"</f>
        <v>66533</v>
      </c>
      <c r="C35682" s="2">
        <v>6.5483027776019097E-3</v>
      </c>
      <c r="D35682" s="2">
        <v>2.3148148148148099E-3</v>
      </c>
      <c r="E35682" s="2">
        <v>3.81887615930169E-3</v>
      </c>
      <c r="F35682" s="2">
        <v>6.1083414300049299E-3</v>
      </c>
    </row>
    <row r="35683" spans="1:6" x14ac:dyDescent="0.25">
      <c r="A35683" s="1" t="str">
        <f t="shared" si="1285"/>
        <v>45820</v>
      </c>
      <c r="B35683" s="1" t="str">
        <f>"66834"</f>
        <v>66834</v>
      </c>
      <c r="C35683" s="2">
        <v>2.9847236417246199E-3</v>
      </c>
      <c r="D35683" s="2">
        <v>7.36531986531986E-4</v>
      </c>
      <c r="E35683" s="2">
        <v>5.4555373704309805E-4</v>
      </c>
      <c r="F35683" s="2">
        <v>2.70773935619514E-3</v>
      </c>
    </row>
    <row r="35684" spans="1:6" x14ac:dyDescent="0.25">
      <c r="A35684" s="1" t="str">
        <f t="shared" si="1285"/>
        <v>45820</v>
      </c>
      <c r="B35684" s="1" t="str">
        <f>"66625"</f>
        <v>66625</v>
      </c>
      <c r="C35684" s="2">
        <v>0</v>
      </c>
      <c r="D35684" s="2">
        <v>1.05218855218855E-4</v>
      </c>
      <c r="E35684" s="2">
        <v>0</v>
      </c>
      <c r="F35684" s="2">
        <v>7.9639392829269006E-6</v>
      </c>
    </row>
    <row r="35685" spans="1:6" x14ac:dyDescent="0.25">
      <c r="A35685" s="1" t="str">
        <f t="shared" si="1285"/>
        <v>45820</v>
      </c>
      <c r="B35685" s="1" t="str">
        <f>"66636"</f>
        <v>66636</v>
      </c>
      <c r="C35685" s="2">
        <v>0</v>
      </c>
      <c r="D35685" s="2">
        <v>4.2087542087541999E-4</v>
      </c>
      <c r="E35685" s="2">
        <v>0</v>
      </c>
      <c r="F35685" s="2">
        <v>3.1855757131707602E-5</v>
      </c>
    </row>
    <row r="35686" spans="1:6" x14ac:dyDescent="0.25">
      <c r="A35686" s="1" t="str">
        <f t="shared" ref="A35686:A35711" si="1286">"45820"</f>
        <v>45820</v>
      </c>
      <c r="B35686" s="1" t="str">
        <f>"66621"</f>
        <v>66621</v>
      </c>
      <c r="C35686" s="2">
        <v>0</v>
      </c>
      <c r="D35686" s="2">
        <v>7.7861952861952799E-2</v>
      </c>
      <c r="E35686" s="2">
        <v>1.45480996544826E-3</v>
      </c>
      <c r="F35686" s="2">
        <v>5.95702658362932E-3</v>
      </c>
    </row>
    <row r="35687" spans="1:6" x14ac:dyDescent="0.25">
      <c r="A35687" s="1" t="str">
        <f t="shared" si="1286"/>
        <v>45820</v>
      </c>
      <c r="B35687" s="1" t="str">
        <f>"66436"</f>
        <v>66436</v>
      </c>
      <c r="C35687" s="2">
        <v>2.3443647513182501E-2</v>
      </c>
      <c r="D35687" s="2">
        <v>3.5669191919191899E-2</v>
      </c>
      <c r="E35687" s="2">
        <v>2.0731042007637701E-2</v>
      </c>
      <c r="F35687" s="2">
        <v>2.4250195116512399E-2</v>
      </c>
    </row>
    <row r="35688" spans="1:6" x14ac:dyDescent="0.25">
      <c r="A35688" s="1" t="str">
        <f t="shared" si="1286"/>
        <v>45820</v>
      </c>
      <c r="B35688" s="1" t="str">
        <f>"66429"</f>
        <v>66429</v>
      </c>
      <c r="C35688" s="2">
        <v>2.3063773595144799E-3</v>
      </c>
      <c r="D35688" s="2">
        <v>9.4696969696969602E-4</v>
      </c>
      <c r="E35688" s="2">
        <v>0</v>
      </c>
      <c r="F35688" s="2">
        <v>2.1024799706926998E-3</v>
      </c>
    </row>
    <row r="35689" spans="1:6" x14ac:dyDescent="0.25">
      <c r="A35689" s="1" t="str">
        <f t="shared" si="1286"/>
        <v>45820</v>
      </c>
      <c r="B35689" s="1" t="str">
        <f>"66612"</f>
        <v>66612</v>
      </c>
      <c r="C35689" s="2">
        <v>1.45527889076815E-2</v>
      </c>
      <c r="D35689" s="2">
        <v>5.13468013468013E-2</v>
      </c>
      <c r="E35689" s="2">
        <v>6.3647935988361506E-2</v>
      </c>
      <c r="F35689" s="2">
        <v>1.9487759425322101E-2</v>
      </c>
    </row>
    <row r="35690" spans="1:6" x14ac:dyDescent="0.25">
      <c r="A35690" s="1" t="str">
        <f t="shared" si="1286"/>
        <v>45820</v>
      </c>
      <c r="B35690" s="1" t="str">
        <f>"66510"</f>
        <v>66510</v>
      </c>
      <c r="C35690" s="2">
        <v>3.6902037752231699E-3</v>
      </c>
      <c r="D35690" s="2">
        <v>3.6826599326599302E-3</v>
      </c>
      <c r="E35690" s="2">
        <v>1.45480996544826E-3</v>
      </c>
      <c r="F35690" s="2">
        <v>3.59173661660003E-3</v>
      </c>
    </row>
    <row r="35691" spans="1:6" x14ac:dyDescent="0.25">
      <c r="A35691" s="1" t="str">
        <f t="shared" si="1286"/>
        <v>45820</v>
      </c>
      <c r="B35691" s="1" t="str">
        <f>"66402"</f>
        <v>66402</v>
      </c>
      <c r="C35691" s="2">
        <v>1.09982543889004E-2</v>
      </c>
      <c r="D35691" s="2">
        <v>1.57828282828282E-3</v>
      </c>
      <c r="E35691" s="2">
        <v>6.7284960901982096E-3</v>
      </c>
      <c r="F35691" s="2">
        <v>1.0098275010751299E-2</v>
      </c>
    </row>
    <row r="35692" spans="1:6" x14ac:dyDescent="0.25">
      <c r="A35692" s="1" t="str">
        <f t="shared" si="1286"/>
        <v>45820</v>
      </c>
      <c r="B35692" s="1" t="str">
        <f>"66630"</f>
        <v>66630</v>
      </c>
      <c r="C35692" s="2">
        <v>0</v>
      </c>
      <c r="D35692" s="2">
        <v>1.05218855218855E-4</v>
      </c>
      <c r="E35692" s="2">
        <v>0</v>
      </c>
      <c r="F35692" s="2">
        <v>7.9639392829269006E-6</v>
      </c>
    </row>
    <row r="35693" spans="1:6" x14ac:dyDescent="0.25">
      <c r="A35693" s="1" t="str">
        <f t="shared" si="1286"/>
        <v>45820</v>
      </c>
      <c r="B35693" s="1" t="str">
        <f>"66550"</f>
        <v>66550</v>
      </c>
      <c r="C35693" s="2">
        <v>1.71847724826569E-4</v>
      </c>
      <c r="D35693" s="2">
        <v>0</v>
      </c>
      <c r="E35693" s="2">
        <v>0</v>
      </c>
      <c r="F35693" s="2">
        <v>1.51314846375611E-4</v>
      </c>
    </row>
    <row r="35694" spans="1:6" x14ac:dyDescent="0.25">
      <c r="A35694" s="1" t="str">
        <f t="shared" si="1286"/>
        <v>45820</v>
      </c>
      <c r="B35694" s="1" t="str">
        <f>"66552"</f>
        <v>66552</v>
      </c>
      <c r="C35694" s="2">
        <v>2.0259942295342902E-3</v>
      </c>
      <c r="D35694" s="2">
        <v>7.36531986531986E-4</v>
      </c>
      <c r="E35694" s="2">
        <v>1.8185124568103199E-4</v>
      </c>
      <c r="F35694" s="2">
        <v>1.8476339136390401E-3</v>
      </c>
    </row>
    <row r="35695" spans="1:6" x14ac:dyDescent="0.25">
      <c r="A35695" s="1" t="str">
        <f t="shared" si="1286"/>
        <v>45820</v>
      </c>
      <c r="B35695" s="1" t="str">
        <f>"66616"</f>
        <v>66616</v>
      </c>
      <c r="C35695" s="2">
        <v>2.51711693785443E-2</v>
      </c>
      <c r="D35695" s="2">
        <v>1.25210437710437E-2</v>
      </c>
      <c r="E35695" s="2">
        <v>6.1829423531551096E-3</v>
      </c>
      <c r="F35695" s="2">
        <v>2.3382125734673301E-2</v>
      </c>
    </row>
    <row r="35696" spans="1:6" x14ac:dyDescent="0.25">
      <c r="A35696" s="1" t="str">
        <f t="shared" si="1286"/>
        <v>45820</v>
      </c>
      <c r="B35696" s="1" t="str">
        <f>"66501"</f>
        <v>66501</v>
      </c>
      <c r="C35696" s="2">
        <v>7.7783707026763001E-4</v>
      </c>
      <c r="D35696" s="2">
        <v>0</v>
      </c>
      <c r="E35696" s="2">
        <v>5.4555373704309805E-4</v>
      </c>
      <c r="F35696" s="2">
        <v>7.0879059618049402E-4</v>
      </c>
    </row>
    <row r="35697" spans="1:6" x14ac:dyDescent="0.25">
      <c r="A35697" s="1" t="str">
        <f t="shared" si="1286"/>
        <v>45820</v>
      </c>
      <c r="B35697" s="1" t="str">
        <f>"66537"</f>
        <v>66537</v>
      </c>
      <c r="C35697" s="2">
        <v>6.1503396253719499E-3</v>
      </c>
      <c r="D35697" s="2">
        <v>9.4696969696969602E-4</v>
      </c>
      <c r="E35697" s="2">
        <v>2.00036370249136E-3</v>
      </c>
      <c r="F35697" s="2">
        <v>5.5747574980488301E-3</v>
      </c>
    </row>
    <row r="35698" spans="1:6" x14ac:dyDescent="0.25">
      <c r="A35698" s="1" t="str">
        <f t="shared" si="1286"/>
        <v>45820</v>
      </c>
      <c r="B35698" s="1" t="str">
        <f>"66619"</f>
        <v>66619</v>
      </c>
      <c r="C35698" s="2">
        <v>1.1423351392418801E-2</v>
      </c>
      <c r="D35698" s="2">
        <v>9.5749158249158195E-3</v>
      </c>
      <c r="E35698" s="2">
        <v>1.81851245681032E-3</v>
      </c>
      <c r="F35698" s="2">
        <v>1.08628131819123E-2</v>
      </c>
    </row>
    <row r="35699" spans="1:6" x14ac:dyDescent="0.25">
      <c r="A35699" s="1" t="str">
        <f t="shared" si="1286"/>
        <v>45820</v>
      </c>
      <c r="B35699" s="1" t="str">
        <f>"66516"</f>
        <v>66516</v>
      </c>
      <c r="C35699" s="2">
        <v>1.32051409603574E-3</v>
      </c>
      <c r="D35699" s="2">
        <v>8.4175084175084096E-4</v>
      </c>
      <c r="E35699" s="2">
        <v>7.2740498272413098E-4</v>
      </c>
      <c r="F35699" s="2">
        <v>1.2583024067024499E-3</v>
      </c>
    </row>
    <row r="35700" spans="1:6" x14ac:dyDescent="0.25">
      <c r="A35700" s="1" t="str">
        <f t="shared" si="1286"/>
        <v>45820</v>
      </c>
      <c r="B35700" s="1" t="str">
        <f>"66054"</f>
        <v>66054</v>
      </c>
      <c r="C35700" s="2">
        <v>8.2939138771560093E-3</v>
      </c>
      <c r="D35700" s="2">
        <v>1.8939393939393901E-3</v>
      </c>
      <c r="E35700" s="2">
        <v>3.09147117657755E-3</v>
      </c>
      <c r="F35700" s="2">
        <v>7.5816701973464096E-3</v>
      </c>
    </row>
    <row r="35701" spans="1:6" x14ac:dyDescent="0.25">
      <c r="A35701" s="1" t="str">
        <f t="shared" si="1286"/>
        <v>45820</v>
      </c>
      <c r="B35701" s="1" t="str">
        <f>"66050"</f>
        <v>66050</v>
      </c>
      <c r="C35701" s="2">
        <v>2.2611542740338001E-4</v>
      </c>
      <c r="D35701" s="2">
        <v>0</v>
      </c>
      <c r="E35701" s="2">
        <v>0</v>
      </c>
      <c r="F35701" s="2">
        <v>1.99098482073172E-4</v>
      </c>
    </row>
    <row r="35702" spans="1:6" x14ac:dyDescent="0.25">
      <c r="A35702" s="1" t="str">
        <f t="shared" si="1286"/>
        <v>45820</v>
      </c>
      <c r="B35702" s="1" t="str">
        <f>"66871"</f>
        <v>66871</v>
      </c>
      <c r="C35702" s="2">
        <v>1.26624639345893E-4</v>
      </c>
      <c r="D35702" s="2">
        <v>0</v>
      </c>
      <c r="E35702" s="2">
        <v>0</v>
      </c>
      <c r="F35702" s="2">
        <v>1.11495149960976E-4</v>
      </c>
    </row>
    <row r="35703" spans="1:6" x14ac:dyDescent="0.25">
      <c r="A35703" s="1" t="str">
        <f t="shared" si="1286"/>
        <v>45820</v>
      </c>
      <c r="B35703" s="1" t="str">
        <f>"66044"</f>
        <v>66044</v>
      </c>
      <c r="C35703" s="2">
        <v>2.2340204227454001E-3</v>
      </c>
      <c r="D35703" s="2">
        <v>6.3131313131313104E-4</v>
      </c>
      <c r="E35703" s="2">
        <v>0</v>
      </c>
      <c r="F35703" s="2">
        <v>2.0148766385805002E-3</v>
      </c>
    </row>
    <row r="35704" spans="1:6" x14ac:dyDescent="0.25">
      <c r="A35704" s="1" t="str">
        <f t="shared" si="1286"/>
        <v>45820</v>
      </c>
      <c r="B35704" s="1" t="str">
        <f>"66409"</f>
        <v>66409</v>
      </c>
      <c r="C35704" s="2">
        <v>1.11158344111502E-2</v>
      </c>
      <c r="D35704" s="2">
        <v>9.4696969696969602E-4</v>
      </c>
      <c r="E35704" s="2">
        <v>9.0925622840516403E-4</v>
      </c>
      <c r="F35704" s="2">
        <v>9.8991765286781403E-3</v>
      </c>
    </row>
    <row r="35705" spans="1:6" x14ac:dyDescent="0.25">
      <c r="A35705" s="1" t="str">
        <f t="shared" si="1286"/>
        <v>45820</v>
      </c>
      <c r="B35705" s="1" t="str">
        <f>"66440"</f>
        <v>66440</v>
      </c>
      <c r="C35705" s="2">
        <v>7.5341660410806503E-3</v>
      </c>
      <c r="D35705" s="2">
        <v>1.68350168350168E-3</v>
      </c>
      <c r="E35705" s="2">
        <v>1.27295871976723E-3</v>
      </c>
      <c r="F35705" s="2">
        <v>6.8171320261854297E-3</v>
      </c>
    </row>
    <row r="35706" spans="1:6" x14ac:dyDescent="0.25">
      <c r="A35706" s="1" t="str">
        <f t="shared" si="1286"/>
        <v>45820</v>
      </c>
      <c r="B35706" s="1" t="str">
        <f>"66432"</f>
        <v>66432</v>
      </c>
      <c r="C35706" s="2">
        <v>2.7133851288405698E-4</v>
      </c>
      <c r="D35706" s="2">
        <v>0</v>
      </c>
      <c r="E35706" s="2">
        <v>1.8185124568103199E-4</v>
      </c>
      <c r="F35706" s="2">
        <v>2.46882117770734E-4</v>
      </c>
    </row>
    <row r="35707" spans="1:6" x14ac:dyDescent="0.25">
      <c r="A35707" s="1" t="str">
        <f t="shared" si="1286"/>
        <v>45820</v>
      </c>
      <c r="B35707" s="1" t="str">
        <f>"66066"</f>
        <v>66066</v>
      </c>
      <c r="C35707" s="2">
        <v>1.06274250879589E-2</v>
      </c>
      <c r="D35707" s="2">
        <v>4.1035353535353496E-3</v>
      </c>
      <c r="E35707" s="2">
        <v>3.45517366793962E-3</v>
      </c>
      <c r="F35707" s="2">
        <v>9.8195371358488701E-3</v>
      </c>
    </row>
    <row r="35708" spans="1:6" x14ac:dyDescent="0.25">
      <c r="A35708" s="1" t="str">
        <f t="shared" si="1286"/>
        <v>45820</v>
      </c>
      <c r="B35708" s="1" t="str">
        <f>"66606"</f>
        <v>66606</v>
      </c>
      <c r="C35708" s="2">
        <v>5.3625534762985802E-2</v>
      </c>
      <c r="D35708" s="2">
        <v>4.2613636363636298E-2</v>
      </c>
      <c r="E35708" s="2">
        <v>7.5104564466266496E-2</v>
      </c>
      <c r="F35708" s="2">
        <v>5.3732698341907803E-2</v>
      </c>
    </row>
    <row r="35709" spans="1:6" x14ac:dyDescent="0.25">
      <c r="A35709" s="1" t="str">
        <f t="shared" si="1286"/>
        <v>45820</v>
      </c>
      <c r="B35709" s="1" t="str">
        <f>"66607"</f>
        <v>66607</v>
      </c>
      <c r="C35709" s="2">
        <v>3.7643696354114797E-2</v>
      </c>
      <c r="D35709" s="2">
        <v>3.7563131313131298E-2</v>
      </c>
      <c r="E35709" s="2">
        <v>1.9458083287870499E-2</v>
      </c>
      <c r="F35709" s="2">
        <v>3.6841183122819803E-2</v>
      </c>
    </row>
    <row r="35710" spans="1:6" x14ac:dyDescent="0.25">
      <c r="A35710" s="1" t="str">
        <f t="shared" si="1286"/>
        <v>45820</v>
      </c>
      <c r="B35710" s="1" t="str">
        <f>"66539"</f>
        <v>66539</v>
      </c>
      <c r="C35710" s="2">
        <v>1.04013096605555E-2</v>
      </c>
      <c r="D35710" s="2">
        <v>2.8409090909090901E-3</v>
      </c>
      <c r="E35710" s="2">
        <v>3.45517366793962E-3</v>
      </c>
      <c r="F35710" s="2">
        <v>9.5248713823805793E-3</v>
      </c>
    </row>
    <row r="35711" spans="1:6" x14ac:dyDescent="0.25">
      <c r="A35711" s="1" t="str">
        <f t="shared" si="1286"/>
        <v>45820</v>
      </c>
      <c r="B35711" s="1" t="str">
        <f>"66546"</f>
        <v>66546</v>
      </c>
      <c r="C35711" s="2">
        <v>4.4047285258178503E-3</v>
      </c>
      <c r="D35711" s="2">
        <v>1.05218855218855E-3</v>
      </c>
      <c r="E35711" s="2">
        <v>1.81851245681032E-3</v>
      </c>
      <c r="F35711" s="2">
        <v>4.0377172164439397E-3</v>
      </c>
    </row>
    <row r="35712" spans="1:6" x14ac:dyDescent="0.25">
      <c r="A35712" s="1" t="str">
        <f t="shared" ref="A35712:A35759" si="1287">"45860"</f>
        <v>45860</v>
      </c>
      <c r="B35712" s="1" t="str">
        <f>"06755"</f>
        <v>06755</v>
      </c>
      <c r="C35712" s="2">
        <v>4.9201042167529496E-3</v>
      </c>
      <c r="D35712" s="2">
        <v>6.4857710125744497E-3</v>
      </c>
      <c r="E35712" s="2">
        <v>1.2215978499877801E-3</v>
      </c>
      <c r="F35712" s="2">
        <v>4.8873630994192502E-3</v>
      </c>
    </row>
    <row r="35713" spans="1:6" x14ac:dyDescent="0.25">
      <c r="A35713" s="1" t="str">
        <f t="shared" si="1287"/>
        <v>45860</v>
      </c>
      <c r="B35713" s="1" t="str">
        <f>"06708"</f>
        <v>06708</v>
      </c>
      <c r="C35713" s="2">
        <v>0</v>
      </c>
      <c r="D35713" s="2">
        <v>1.32362673726009E-4</v>
      </c>
      <c r="E35713" s="2">
        <v>0</v>
      </c>
      <c r="F35713" s="2">
        <v>9.8934475696746E-6</v>
      </c>
    </row>
    <row r="35714" spans="1:6" x14ac:dyDescent="0.25">
      <c r="A35714" s="1" t="str">
        <f t="shared" si="1287"/>
        <v>45860</v>
      </c>
      <c r="B35714" s="1" t="str">
        <f>"06021"</f>
        <v>06021</v>
      </c>
      <c r="C35714" s="2">
        <v>7.0335126189491103E-3</v>
      </c>
      <c r="D35714" s="2">
        <v>6.61813368630046E-4</v>
      </c>
      <c r="E35714" s="2">
        <v>7.3295870999267004E-4</v>
      </c>
      <c r="F35714" s="2">
        <v>6.3021261018827201E-3</v>
      </c>
    </row>
    <row r="35715" spans="1:6" x14ac:dyDescent="0.25">
      <c r="A35715" s="1" t="str">
        <f t="shared" si="1287"/>
        <v>45860</v>
      </c>
      <c r="B35715" s="1" t="str">
        <f>"06756"</f>
        <v>06756</v>
      </c>
      <c r="C35715" s="2">
        <v>2.2274653635845101E-2</v>
      </c>
      <c r="D35715" s="2">
        <v>1.28391793514228E-2</v>
      </c>
      <c r="E35715" s="2">
        <v>4.8863913999511299E-3</v>
      </c>
      <c r="F35715" s="2">
        <v>2.0865280924443699E-2</v>
      </c>
    </row>
    <row r="35716" spans="1:6" x14ac:dyDescent="0.25">
      <c r="A35716" s="1" t="str">
        <f t="shared" si="1287"/>
        <v>45860</v>
      </c>
      <c r="B35716" s="1" t="str">
        <f>"06796"</f>
        <v>06796</v>
      </c>
      <c r="C35716" s="2">
        <v>5.4568428585805399E-3</v>
      </c>
      <c r="D35716" s="2">
        <v>3.7061548643282502E-3</v>
      </c>
      <c r="E35716" s="2">
        <v>1.7102369899828899E-3</v>
      </c>
      <c r="F35716" s="2">
        <v>5.1742730789398096E-3</v>
      </c>
    </row>
    <row r="35717" spans="1:6" x14ac:dyDescent="0.25">
      <c r="A35717" s="1" t="str">
        <f t="shared" si="1287"/>
        <v>45860</v>
      </c>
      <c r="B35717" s="1" t="str">
        <f>"06061"</f>
        <v>06061</v>
      </c>
      <c r="C35717" s="2">
        <v>8.9456440304599104E-4</v>
      </c>
      <c r="D35717" s="2">
        <v>1.32362673726009E-4</v>
      </c>
      <c r="E35717" s="2">
        <v>0</v>
      </c>
      <c r="F35717" s="2">
        <v>8.0136925314364203E-4</v>
      </c>
    </row>
    <row r="35718" spans="1:6" x14ac:dyDescent="0.25">
      <c r="A35718" s="1" t="str">
        <f t="shared" si="1287"/>
        <v>45860</v>
      </c>
      <c r="B35718" s="1" t="str">
        <f>"06010"</f>
        <v>06010</v>
      </c>
      <c r="C35718" s="2">
        <v>3.35461651142246E-5</v>
      </c>
      <c r="D35718" s="2">
        <v>0</v>
      </c>
      <c r="E35718" s="2">
        <v>0</v>
      </c>
      <c r="F35718" s="2">
        <v>2.9680342709023802E-5</v>
      </c>
    </row>
    <row r="35719" spans="1:6" x14ac:dyDescent="0.25">
      <c r="A35719" s="1" t="str">
        <f t="shared" si="1287"/>
        <v>45860</v>
      </c>
      <c r="B35719" s="1" t="str">
        <f>"06785"</f>
        <v>06785</v>
      </c>
      <c r="C35719" s="2">
        <v>5.0207427120956202E-3</v>
      </c>
      <c r="D35719" s="2">
        <v>5.2945069490403698E-4</v>
      </c>
      <c r="E35719" s="2">
        <v>1.7102369899828899E-3</v>
      </c>
      <c r="F35719" s="2">
        <v>4.55098588205031E-3</v>
      </c>
    </row>
    <row r="35720" spans="1:6" x14ac:dyDescent="0.25">
      <c r="A35720" s="1" t="str">
        <f t="shared" si="1287"/>
        <v>45860</v>
      </c>
      <c r="B35720" s="1" t="str">
        <f>"06786"</f>
        <v>06786</v>
      </c>
      <c r="C35720" s="2">
        <v>4.70764517102953E-2</v>
      </c>
      <c r="D35720" s="2">
        <v>2.9119788219722002E-2</v>
      </c>
      <c r="E35720" s="2">
        <v>3.6892255069631001E-2</v>
      </c>
      <c r="F35720" s="2">
        <v>4.5321883316679301E-2</v>
      </c>
    </row>
    <row r="35721" spans="1:6" x14ac:dyDescent="0.25">
      <c r="A35721" s="1" t="str">
        <f t="shared" si="1287"/>
        <v>45860</v>
      </c>
      <c r="B35721" s="1" t="str">
        <f>"06758"</f>
        <v>06758</v>
      </c>
      <c r="C35721" s="2">
        <v>8.6101823793176702E-4</v>
      </c>
      <c r="D35721" s="2">
        <v>0</v>
      </c>
      <c r="E35721" s="2">
        <v>2.4431956999755599E-4</v>
      </c>
      <c r="F35721" s="2">
        <v>7.7168891043461905E-4</v>
      </c>
    </row>
    <row r="35722" spans="1:6" x14ac:dyDescent="0.25">
      <c r="A35722" s="1" t="str">
        <f t="shared" si="1287"/>
        <v>45860</v>
      </c>
      <c r="B35722" s="1" t="str">
        <f>"06782"</f>
        <v>06782</v>
      </c>
      <c r="C35722" s="2">
        <v>1.02763085799908E-2</v>
      </c>
      <c r="D35722" s="2">
        <v>3.1767041694242201E-3</v>
      </c>
      <c r="E35722" s="2">
        <v>1.9301246029806901E-2</v>
      </c>
      <c r="F35722" s="2">
        <v>1.01111034162074E-2</v>
      </c>
    </row>
    <row r="35723" spans="1:6" x14ac:dyDescent="0.25">
      <c r="A35723" s="1" t="str">
        <f t="shared" si="1287"/>
        <v>45860</v>
      </c>
      <c r="B35723" s="1" t="str">
        <f>"06754"</f>
        <v>06754</v>
      </c>
      <c r="C35723" s="2">
        <v>8.82264142504109E-3</v>
      </c>
      <c r="D35723" s="2">
        <v>3.1767041694242201E-3</v>
      </c>
      <c r="E35723" s="2">
        <v>1.7102369899828899E-3</v>
      </c>
      <c r="F35723" s="2">
        <v>8.1126270071331698E-3</v>
      </c>
    </row>
    <row r="35724" spans="1:6" x14ac:dyDescent="0.25">
      <c r="A35724" s="1" t="str">
        <f t="shared" si="1287"/>
        <v>45860</v>
      </c>
      <c r="B35724" s="1" t="str">
        <f>"06784"</f>
        <v>06784</v>
      </c>
      <c r="C35724" s="2">
        <v>8.1629001777946703E-4</v>
      </c>
      <c r="D35724" s="2">
        <v>0</v>
      </c>
      <c r="E35724" s="2">
        <v>0</v>
      </c>
      <c r="F35724" s="2">
        <v>7.2222167258624603E-4</v>
      </c>
    </row>
    <row r="35725" spans="1:6" x14ac:dyDescent="0.25">
      <c r="A35725" s="1" t="str">
        <f t="shared" si="1287"/>
        <v>45860</v>
      </c>
      <c r="B35725" s="1" t="str">
        <f>"06753"</f>
        <v>06753</v>
      </c>
      <c r="C35725" s="2">
        <v>0</v>
      </c>
      <c r="D35725" s="2">
        <v>0</v>
      </c>
      <c r="E35725" s="2">
        <v>5.8636696799413603E-3</v>
      </c>
      <c r="F35725" s="2">
        <v>2.3744274167219001E-4</v>
      </c>
    </row>
    <row r="35726" spans="1:6" x14ac:dyDescent="0.25">
      <c r="A35726" s="1" t="str">
        <f t="shared" si="1287"/>
        <v>45860</v>
      </c>
      <c r="B35726" s="1" t="str">
        <f>"06057"</f>
        <v>06057</v>
      </c>
      <c r="C35726" s="2">
        <v>3.54023862505451E-2</v>
      </c>
      <c r="D35726" s="2">
        <v>2.5545996029119701E-2</v>
      </c>
      <c r="E35726" s="2">
        <v>4.3000244319569898E-2</v>
      </c>
      <c r="F35726" s="2">
        <v>3.4973337158799703E-2</v>
      </c>
    </row>
    <row r="35727" spans="1:6" x14ac:dyDescent="0.25">
      <c r="A35727" s="1" t="str">
        <f t="shared" si="1287"/>
        <v>45860</v>
      </c>
      <c r="B35727" s="1" t="str">
        <f>"06790"</f>
        <v>06790</v>
      </c>
      <c r="C35727" s="2">
        <v>0.20022587751176901</v>
      </c>
      <c r="D35727" s="2">
        <v>0.22753143613500901</v>
      </c>
      <c r="E35727" s="2">
        <v>0.219154654287808</v>
      </c>
      <c r="F35727" s="2">
        <v>0.20303333102486201</v>
      </c>
    </row>
    <row r="35728" spans="1:6" x14ac:dyDescent="0.25">
      <c r="A35728" s="1" t="str">
        <f t="shared" si="1287"/>
        <v>45860</v>
      </c>
      <c r="B35728" s="1" t="str">
        <f>"06779"</f>
        <v>06779</v>
      </c>
      <c r="C35728" s="2">
        <v>3.8466269330977597E-2</v>
      </c>
      <c r="D35728" s="2">
        <v>2.6340172071475799E-2</v>
      </c>
      <c r="E35728" s="2">
        <v>2.95626679697043E-2</v>
      </c>
      <c r="F35728" s="2">
        <v>3.7199362861976497E-2</v>
      </c>
    </row>
    <row r="35729" spans="1:6" x14ac:dyDescent="0.25">
      <c r="A35729" s="1" t="str">
        <f t="shared" si="1287"/>
        <v>45860</v>
      </c>
      <c r="B35729" s="1" t="str">
        <f>"06783"</f>
        <v>06783</v>
      </c>
      <c r="C35729" s="2">
        <v>1.26804504131769E-2</v>
      </c>
      <c r="D35729" s="2">
        <v>1.72071475843812E-3</v>
      </c>
      <c r="E35729" s="2">
        <v>7.3295870999267004E-4</v>
      </c>
      <c r="F35729" s="2">
        <v>1.1377464705125699E-2</v>
      </c>
    </row>
    <row r="35730" spans="1:6" x14ac:dyDescent="0.25">
      <c r="A35730" s="1" t="str">
        <f t="shared" si="1287"/>
        <v>45860</v>
      </c>
      <c r="B35730" s="1" t="str">
        <f>"06776"</f>
        <v>06776</v>
      </c>
      <c r="C35730" s="2">
        <v>0.142068009258741</v>
      </c>
      <c r="D35730" s="2">
        <v>0.19457313037723301</v>
      </c>
      <c r="E35730" s="2">
        <v>0.19350109943806401</v>
      </c>
      <c r="F35730" s="2">
        <v>0.14807522977531901</v>
      </c>
    </row>
    <row r="35731" spans="1:6" x14ac:dyDescent="0.25">
      <c r="A35731" s="1" t="str">
        <f t="shared" si="1287"/>
        <v>45860</v>
      </c>
      <c r="B35731" s="1" t="str">
        <f>"06777"</f>
        <v>06777</v>
      </c>
      <c r="C35731" s="2">
        <v>9.7731161032774596E-3</v>
      </c>
      <c r="D35731" s="2">
        <v>5.02978160158835E-3</v>
      </c>
      <c r="E35731" s="2">
        <v>2.4431956999755602E-3</v>
      </c>
      <c r="F35731" s="2">
        <v>9.1217586592399792E-3</v>
      </c>
    </row>
    <row r="35732" spans="1:6" x14ac:dyDescent="0.25">
      <c r="A35732" s="1" t="str">
        <f t="shared" si="1287"/>
        <v>45860</v>
      </c>
      <c r="B35732" s="1" t="str">
        <f>"06795"</f>
        <v>06795</v>
      </c>
      <c r="C35732" s="2">
        <v>6.2373503002381703E-2</v>
      </c>
      <c r="D35732" s="2">
        <v>7.9417604235605496E-2</v>
      </c>
      <c r="E35732" s="2">
        <v>4.9596872709503997E-2</v>
      </c>
      <c r="F35732" s="2">
        <v>6.3130088942093598E-2</v>
      </c>
    </row>
    <row r="35733" spans="1:6" x14ac:dyDescent="0.25">
      <c r="A35733" s="1" t="str">
        <f t="shared" si="1287"/>
        <v>45860</v>
      </c>
      <c r="B35733" s="1" t="str">
        <f>"06804"</f>
        <v>06804</v>
      </c>
      <c r="C35733" s="2">
        <v>2.5718726587572202E-4</v>
      </c>
      <c r="D35733" s="2">
        <v>0</v>
      </c>
      <c r="E35733" s="2">
        <v>0</v>
      </c>
      <c r="F35733" s="2">
        <v>2.2754929410251501E-4</v>
      </c>
    </row>
    <row r="35734" spans="1:6" x14ac:dyDescent="0.25">
      <c r="A35734" s="1" t="str">
        <f t="shared" si="1287"/>
        <v>45860</v>
      </c>
      <c r="B35734" s="1" t="str">
        <f>"06781"</f>
        <v>06781</v>
      </c>
      <c r="C35734" s="2">
        <v>0</v>
      </c>
      <c r="D35734" s="2">
        <v>1.32362673726009E-4</v>
      </c>
      <c r="E35734" s="2">
        <v>0</v>
      </c>
      <c r="F35734" s="2">
        <v>9.8934475696746E-6</v>
      </c>
    </row>
    <row r="35735" spans="1:6" x14ac:dyDescent="0.25">
      <c r="A35735" s="1" t="str">
        <f t="shared" si="1287"/>
        <v>45860</v>
      </c>
      <c r="B35735" s="1" t="str">
        <f>"06065"</f>
        <v>06065</v>
      </c>
      <c r="C35735" s="2">
        <v>1.12938755884556E-3</v>
      </c>
      <c r="D35735" s="2">
        <v>1.32362673726009E-4</v>
      </c>
      <c r="E35735" s="2">
        <v>1.4659174199853401E-3</v>
      </c>
      <c r="F35735" s="2">
        <v>1.06849233752485E-3</v>
      </c>
    </row>
    <row r="35736" spans="1:6" x14ac:dyDescent="0.25">
      <c r="A35736" s="1" t="str">
        <f t="shared" si="1287"/>
        <v>45860</v>
      </c>
      <c r="B35736" s="1" t="str">
        <f>"06039"</f>
        <v>06039</v>
      </c>
      <c r="C35736" s="2">
        <v>1.2378534927148899E-2</v>
      </c>
      <c r="D35736" s="2">
        <v>9.3977498345466492E-3</v>
      </c>
      <c r="E35736" s="2">
        <v>3.17615440996823E-3</v>
      </c>
      <c r="F35736" s="2">
        <v>1.17830960554824E-2</v>
      </c>
    </row>
    <row r="35737" spans="1:6" x14ac:dyDescent="0.25">
      <c r="A35737" s="1" t="str">
        <f t="shared" si="1287"/>
        <v>45860</v>
      </c>
      <c r="B35737" s="1" t="str">
        <f>"06058"</f>
        <v>06058</v>
      </c>
      <c r="C35737" s="2">
        <v>7.4360666003197998E-3</v>
      </c>
      <c r="D35737" s="2">
        <v>2.25016545334215E-3</v>
      </c>
      <c r="E35737" s="2">
        <v>3.17615440996823E-3</v>
      </c>
      <c r="F35737" s="2">
        <v>6.8759460609238501E-3</v>
      </c>
    </row>
    <row r="35738" spans="1:6" x14ac:dyDescent="0.25">
      <c r="A35738" s="1" t="str">
        <f t="shared" si="1287"/>
        <v>45860</v>
      </c>
      <c r="B35738" s="1" t="str">
        <f>"06759"</f>
        <v>06759</v>
      </c>
      <c r="C35738" s="2">
        <v>4.2961455456283701E-2</v>
      </c>
      <c r="D35738" s="2">
        <v>8.2859033752481798E-2</v>
      </c>
      <c r="E35738" s="2">
        <v>3.7136574639628599E-2</v>
      </c>
      <c r="F35738" s="2">
        <v>4.5707727771896599E-2</v>
      </c>
    </row>
    <row r="35739" spans="1:6" x14ac:dyDescent="0.25">
      <c r="A35739" s="1" t="str">
        <f t="shared" si="1287"/>
        <v>45860</v>
      </c>
      <c r="B35739" s="1" t="str">
        <f>"06763"</f>
        <v>06763</v>
      </c>
      <c r="C35739" s="2">
        <v>1.10925985977702E-2</v>
      </c>
      <c r="D35739" s="2">
        <v>4.5003309066843104E-3</v>
      </c>
      <c r="E35739" s="2">
        <v>9.0398240899096007E-3</v>
      </c>
      <c r="F35739" s="2">
        <v>1.05167347665641E-2</v>
      </c>
    </row>
    <row r="35740" spans="1:6" x14ac:dyDescent="0.25">
      <c r="A35740" s="1" t="str">
        <f t="shared" si="1287"/>
        <v>45860</v>
      </c>
      <c r="B35740" s="1" t="str">
        <f>"06031"</f>
        <v>06031</v>
      </c>
      <c r="C35740" s="2">
        <v>8.4983618289369203E-3</v>
      </c>
      <c r="D35740" s="2">
        <v>3.0443414956982098E-3</v>
      </c>
      <c r="E35740" s="2">
        <v>1.2215978499877801E-3</v>
      </c>
      <c r="F35740" s="2">
        <v>7.7960366849035801E-3</v>
      </c>
    </row>
    <row r="35741" spans="1:6" x14ac:dyDescent="0.25">
      <c r="A35741" s="1" t="str">
        <f t="shared" si="1287"/>
        <v>45860</v>
      </c>
      <c r="B35741" s="1" t="str">
        <f>"06752"</f>
        <v>06752</v>
      </c>
      <c r="C35741" s="2">
        <v>8.4759977188607703E-3</v>
      </c>
      <c r="D35741" s="2">
        <v>1.4559894109861E-3</v>
      </c>
      <c r="E35741" s="2">
        <v>1.7102369899828899E-3</v>
      </c>
      <c r="F35741" s="2">
        <v>7.6773153140674904E-3</v>
      </c>
    </row>
    <row r="35742" spans="1:6" x14ac:dyDescent="0.25">
      <c r="A35742" s="1" t="str">
        <f t="shared" si="1287"/>
        <v>45860</v>
      </c>
      <c r="B35742" s="1" t="str">
        <f>"06794"</f>
        <v>06794</v>
      </c>
      <c r="C35742" s="2">
        <v>1.0790683111742199E-2</v>
      </c>
      <c r="D35742" s="2">
        <v>1.90602250165453E-2</v>
      </c>
      <c r="E35742" s="2">
        <v>4.8863913999511299E-3</v>
      </c>
      <c r="F35742" s="2">
        <v>1.1169702306162601E-2</v>
      </c>
    </row>
    <row r="35743" spans="1:6" x14ac:dyDescent="0.25">
      <c r="A35743" s="1" t="str">
        <f t="shared" si="1287"/>
        <v>45860</v>
      </c>
      <c r="B35743" s="1" t="str">
        <f>"06018"</f>
        <v>06018</v>
      </c>
      <c r="C35743" s="2">
        <v>1.52746871820103E-2</v>
      </c>
      <c r="D35743" s="2">
        <v>1.09861019192587E-2</v>
      </c>
      <c r="E35743" s="2">
        <v>1.6858050329831401E-2</v>
      </c>
      <c r="F35743" s="2">
        <v>1.5018253410766E-2</v>
      </c>
    </row>
    <row r="35744" spans="1:6" x14ac:dyDescent="0.25">
      <c r="A35744" s="1" t="str">
        <f t="shared" si="1287"/>
        <v>45860</v>
      </c>
      <c r="B35744" s="1" t="str">
        <f>"06778"</f>
        <v>06778</v>
      </c>
      <c r="C35744" s="2">
        <v>5.8034865647608701E-3</v>
      </c>
      <c r="D35744" s="2">
        <v>7.9417604235605503E-4</v>
      </c>
      <c r="E35744" s="2">
        <v>1.4659174199853401E-3</v>
      </c>
      <c r="F35744" s="2">
        <v>5.2534206594972103E-3</v>
      </c>
    </row>
    <row r="35745" spans="1:6" x14ac:dyDescent="0.25">
      <c r="A35745" s="1" t="str">
        <f t="shared" si="1287"/>
        <v>45860</v>
      </c>
      <c r="B35745" s="1" t="str">
        <f>"06059"</f>
        <v>06059</v>
      </c>
      <c r="C35745" s="2">
        <v>0</v>
      </c>
      <c r="D35745" s="2">
        <v>1.32362673726009E-4</v>
      </c>
      <c r="E35745" s="2">
        <v>0</v>
      </c>
      <c r="F35745" s="2">
        <v>9.8934475696746E-6</v>
      </c>
    </row>
    <row r="35746" spans="1:6" x14ac:dyDescent="0.25">
      <c r="A35746" s="1" t="str">
        <f t="shared" si="1287"/>
        <v>45860</v>
      </c>
      <c r="B35746" s="1" t="str">
        <f>"06792"</f>
        <v>06792</v>
      </c>
      <c r="C35746" s="2">
        <v>0</v>
      </c>
      <c r="D35746" s="2">
        <v>1.32362673726009E-4</v>
      </c>
      <c r="E35746" s="2">
        <v>2.4431956999755599E-4</v>
      </c>
      <c r="F35746" s="2">
        <v>1.97868951393492E-5</v>
      </c>
    </row>
    <row r="35747" spans="1:6" x14ac:dyDescent="0.25">
      <c r="A35747" s="1" t="str">
        <f t="shared" si="1287"/>
        <v>45860</v>
      </c>
      <c r="B35747" s="1" t="str">
        <f>"06063"</f>
        <v>06063</v>
      </c>
      <c r="C35747" s="2">
        <v>1.58002437687998E-2</v>
      </c>
      <c r="D35747" s="2">
        <v>8.6035737921905994E-3</v>
      </c>
      <c r="E35747" s="2">
        <v>1.24602980698753E-2</v>
      </c>
      <c r="F35747" s="2">
        <v>1.51270813340324E-2</v>
      </c>
    </row>
    <row r="35748" spans="1:6" x14ac:dyDescent="0.25">
      <c r="A35748" s="1" t="str">
        <f t="shared" si="1287"/>
        <v>45860</v>
      </c>
      <c r="B35748" s="1" t="str">
        <f>"06098"</f>
        <v>06098</v>
      </c>
      <c r="C35748" s="2">
        <v>6.6488499256393302E-2</v>
      </c>
      <c r="D35748" s="2">
        <v>9.0138980807412297E-2</v>
      </c>
      <c r="E35748" s="2">
        <v>0.130710969948692</v>
      </c>
      <c r="F35748" s="2">
        <v>7.0856871494009502E-2</v>
      </c>
    </row>
    <row r="35749" spans="1:6" x14ac:dyDescent="0.25">
      <c r="A35749" s="1" t="str">
        <f t="shared" si="1287"/>
        <v>45860</v>
      </c>
      <c r="B35749" s="1" t="str">
        <f>"06798"</f>
        <v>06798</v>
      </c>
      <c r="C35749" s="2">
        <v>4.9156313947377198E-2</v>
      </c>
      <c r="D35749" s="2">
        <v>4.2488418266048898E-2</v>
      </c>
      <c r="E35749" s="2">
        <v>5.8392377229416002E-2</v>
      </c>
      <c r="F35749" s="2">
        <v>4.9031926155307298E-2</v>
      </c>
    </row>
    <row r="35750" spans="1:6" x14ac:dyDescent="0.25">
      <c r="A35750" s="1" t="str">
        <f t="shared" si="1287"/>
        <v>45860</v>
      </c>
      <c r="B35750" s="1" t="str">
        <f>"06069"</f>
        <v>06069</v>
      </c>
      <c r="C35750" s="2">
        <v>1.40782072929362E-2</v>
      </c>
      <c r="D35750" s="2">
        <v>6.2210456651224299E-3</v>
      </c>
      <c r="E35750" s="2">
        <v>6.1079892499389197E-3</v>
      </c>
      <c r="F35750" s="2">
        <v>1.3168178715236799E-2</v>
      </c>
    </row>
    <row r="35751" spans="1:6" x14ac:dyDescent="0.25">
      <c r="A35751" s="1" t="str">
        <f t="shared" si="1287"/>
        <v>45860</v>
      </c>
      <c r="B35751" s="1" t="str">
        <f>"06068"</f>
        <v>06068</v>
      </c>
      <c r="C35751" s="2">
        <v>6.5862304174261104E-3</v>
      </c>
      <c r="D35751" s="2">
        <v>1.9854401058901302E-3</v>
      </c>
      <c r="E35751" s="2">
        <v>1.0994380649889999E-2</v>
      </c>
      <c r="F35751" s="2">
        <v>6.4208474727188098E-3</v>
      </c>
    </row>
    <row r="35752" spans="1:6" x14ac:dyDescent="0.25">
      <c r="A35752" s="1" t="str">
        <f t="shared" si="1287"/>
        <v>45860</v>
      </c>
      <c r="B35752" s="1" t="str">
        <f>"06787"</f>
        <v>06787</v>
      </c>
      <c r="C35752" s="2">
        <v>3.7705889588388497E-2</v>
      </c>
      <c r="D35752" s="2">
        <v>4.6724023825281201E-2</v>
      </c>
      <c r="E35752" s="2">
        <v>5.0085511849499102E-2</v>
      </c>
      <c r="F35752" s="2">
        <v>3.8881248948821098E-2</v>
      </c>
    </row>
    <row r="35753" spans="1:6" x14ac:dyDescent="0.25">
      <c r="A35753" s="1" t="str">
        <f t="shared" si="1287"/>
        <v>45860</v>
      </c>
      <c r="B35753" s="1" t="str">
        <f>"06750"</f>
        <v>06750</v>
      </c>
      <c r="C35753" s="2">
        <v>6.6868689127687802E-3</v>
      </c>
      <c r="D35753" s="2">
        <v>7.0152217074784902E-3</v>
      </c>
      <c r="E35753" s="2">
        <v>1.1483019789885101E-2</v>
      </c>
      <c r="F35753" s="2">
        <v>6.90562640363287E-3</v>
      </c>
    </row>
    <row r="35754" spans="1:6" x14ac:dyDescent="0.25">
      <c r="A35754" s="1" t="str">
        <f t="shared" si="1287"/>
        <v>45860</v>
      </c>
      <c r="B35754" s="1" t="str">
        <f>"06751"</f>
        <v>06751</v>
      </c>
      <c r="C35754" s="2">
        <v>1.6896085162531101E-2</v>
      </c>
      <c r="D35754" s="2">
        <v>8.6035737921905994E-3</v>
      </c>
      <c r="E35754" s="2">
        <v>6.8409479599315899E-3</v>
      </c>
      <c r="F35754" s="2">
        <v>1.5869089901758001E-2</v>
      </c>
    </row>
    <row r="35755" spans="1:6" x14ac:dyDescent="0.25">
      <c r="A35755" s="1" t="str">
        <f t="shared" si="1287"/>
        <v>45860</v>
      </c>
      <c r="B35755" s="1" t="str">
        <f>"06791"</f>
        <v>06791</v>
      </c>
      <c r="C35755" s="2">
        <v>2.6020642073600199E-2</v>
      </c>
      <c r="D35755" s="2">
        <v>1.38980807412309E-2</v>
      </c>
      <c r="E35755" s="2">
        <v>4.8863913999511299E-3</v>
      </c>
      <c r="F35755" s="2">
        <v>2.42587334408421E-2</v>
      </c>
    </row>
    <row r="35756" spans="1:6" x14ac:dyDescent="0.25">
      <c r="A35756" s="1" t="str">
        <f t="shared" si="1287"/>
        <v>45860</v>
      </c>
      <c r="B35756" s="1" t="str">
        <f>"06757"</f>
        <v>06757</v>
      </c>
      <c r="C35756" s="2">
        <v>1.2311442596920401E-2</v>
      </c>
      <c r="D35756" s="2">
        <v>1.69424222369291E-2</v>
      </c>
      <c r="E35756" s="2">
        <v>1.24602980698753E-2</v>
      </c>
      <c r="F35756" s="2">
        <v>1.26636128891834E-2</v>
      </c>
    </row>
    <row r="35757" spans="1:6" x14ac:dyDescent="0.25">
      <c r="A35757" s="1" t="str">
        <f t="shared" si="1287"/>
        <v>45860</v>
      </c>
      <c r="B35757" s="1" t="str">
        <f>"06793"</f>
        <v>06793</v>
      </c>
      <c r="C35757" s="2">
        <v>5.8146686197989399E-3</v>
      </c>
      <c r="D35757" s="2">
        <v>1.5883520847121101E-3</v>
      </c>
      <c r="E35757" s="2">
        <v>2.4431956999755602E-3</v>
      </c>
      <c r="F35757" s="2">
        <v>5.3622485827636299E-3</v>
      </c>
    </row>
    <row r="35758" spans="1:6" x14ac:dyDescent="0.25">
      <c r="A35758" s="1" t="str">
        <f t="shared" si="1287"/>
        <v>45860</v>
      </c>
      <c r="B35758" s="1" t="str">
        <f>"06024"</f>
        <v>06024</v>
      </c>
      <c r="C35758" s="2">
        <v>2.8626060897471699E-3</v>
      </c>
      <c r="D35758" s="2">
        <v>6.61813368630046E-4</v>
      </c>
      <c r="E35758" s="2">
        <v>4.8863913999511296E-4</v>
      </c>
      <c r="F35758" s="2">
        <v>2.6019767108244199E-3</v>
      </c>
    </row>
    <row r="35759" spans="1:6" x14ac:dyDescent="0.25">
      <c r="A35759" s="1" t="str">
        <f t="shared" si="1287"/>
        <v>45860</v>
      </c>
      <c r="B35759" s="1" t="str">
        <f>"06079"</f>
        <v>06079</v>
      </c>
      <c r="C35759" s="2">
        <v>1.0175670084648101E-3</v>
      </c>
      <c r="D35759" s="2">
        <v>1.32362673726009E-4</v>
      </c>
      <c r="E35759" s="2">
        <v>0</v>
      </c>
      <c r="F35759" s="2">
        <v>9.1019717641006295E-4</v>
      </c>
    </row>
    <row r="35760" spans="1:6" x14ac:dyDescent="0.25">
      <c r="A35760" s="1" t="str">
        <f t="shared" ref="A35760:A35795" si="1288">"45900"</f>
        <v>45900</v>
      </c>
      <c r="B35760" s="1" t="str">
        <f>"49613"</f>
        <v>49613</v>
      </c>
      <c r="C35760" s="2">
        <v>1.4131348447379E-3</v>
      </c>
      <c r="D35760" s="2">
        <v>5.3483085974060697E-4</v>
      </c>
      <c r="E35760" s="2">
        <v>0</v>
      </c>
      <c r="F35760" s="2">
        <v>1.30450379936731E-3</v>
      </c>
    </row>
    <row r="35761" spans="1:6" x14ac:dyDescent="0.25">
      <c r="A35761" s="1" t="str">
        <f t="shared" si="1288"/>
        <v>45900</v>
      </c>
      <c r="B35761" s="1" t="str">
        <f>"49621"</f>
        <v>49621</v>
      </c>
      <c r="C35761" s="2">
        <v>2.1160476080256299E-2</v>
      </c>
      <c r="D35761" s="2">
        <v>4.0112314480545497E-3</v>
      </c>
      <c r="E35761" s="2">
        <v>1.2381345439537699E-3</v>
      </c>
      <c r="F35761" s="2">
        <v>1.9241431040667899E-2</v>
      </c>
    </row>
    <row r="35762" spans="1:6" x14ac:dyDescent="0.25">
      <c r="A35762" s="1" t="str">
        <f t="shared" si="1288"/>
        <v>45900</v>
      </c>
      <c r="B35762" s="1" t="str">
        <f>"49670"</f>
        <v>49670</v>
      </c>
      <c r="C35762" s="2">
        <v>1.8188020027531698E-2</v>
      </c>
      <c r="D35762" s="2">
        <v>4.0112314480545497E-3</v>
      </c>
      <c r="E35762" s="2">
        <v>2.8889806025588099E-3</v>
      </c>
      <c r="F35762" s="2">
        <v>1.6632423441933199E-2</v>
      </c>
    </row>
    <row r="35763" spans="1:6" x14ac:dyDescent="0.25">
      <c r="A35763" s="1" t="str">
        <f t="shared" si="1288"/>
        <v>45900</v>
      </c>
      <c r="B35763" s="1" t="str">
        <f>"49659"</f>
        <v>49659</v>
      </c>
      <c r="C35763" s="2">
        <v>1.1670544666025E-2</v>
      </c>
      <c r="D35763" s="2">
        <v>2.0056157240272701E-3</v>
      </c>
      <c r="E35763" s="2">
        <v>0</v>
      </c>
      <c r="F35763" s="2">
        <v>1.0577351639869901E-2</v>
      </c>
    </row>
    <row r="35764" spans="1:6" x14ac:dyDescent="0.25">
      <c r="A35764" s="1" t="str">
        <f t="shared" si="1288"/>
        <v>45900</v>
      </c>
      <c r="B35764" s="1" t="str">
        <f>"49696"</f>
        <v>49696</v>
      </c>
      <c r="C35764" s="2">
        <v>5.9802404765675402E-2</v>
      </c>
      <c r="D35764" s="2">
        <v>6.5516780318224305E-2</v>
      </c>
      <c r="E35764" s="2">
        <v>2.8064382996285501E-2</v>
      </c>
      <c r="F35764" s="2">
        <v>5.9431018926175902E-2</v>
      </c>
    </row>
    <row r="35765" spans="1:6" x14ac:dyDescent="0.25">
      <c r="A35765" s="1" t="str">
        <f t="shared" si="1288"/>
        <v>45900</v>
      </c>
      <c r="B35765" s="1" t="str">
        <f>"49628"</f>
        <v>49628</v>
      </c>
      <c r="C35765" s="2">
        <v>2.4364393874791299E-5</v>
      </c>
      <c r="D35765" s="2">
        <v>1.3370771493515101E-4</v>
      </c>
      <c r="E35765" s="2">
        <v>0</v>
      </c>
      <c r="F35765" s="2">
        <v>3.2612594984182798E-5</v>
      </c>
    </row>
    <row r="35766" spans="1:6" x14ac:dyDescent="0.25">
      <c r="A35766" s="1" t="str">
        <f t="shared" si="1288"/>
        <v>45900</v>
      </c>
      <c r="B35766" s="1" t="str">
        <f>"49680"</f>
        <v>49680</v>
      </c>
      <c r="C35766" s="2">
        <v>1.21578325435208E-2</v>
      </c>
      <c r="D35766" s="2">
        <v>2.54044658376788E-3</v>
      </c>
      <c r="E35766" s="2">
        <v>1.65084605860503E-3</v>
      </c>
      <c r="F35766" s="2">
        <v>1.10991531596169E-2</v>
      </c>
    </row>
    <row r="35767" spans="1:6" x14ac:dyDescent="0.25">
      <c r="A35767" s="1" t="str">
        <f t="shared" si="1288"/>
        <v>45900</v>
      </c>
      <c r="B35767" s="1" t="str">
        <f>"49683"</f>
        <v>49683</v>
      </c>
      <c r="C35767" s="2">
        <v>9.75793974685394E-3</v>
      </c>
      <c r="D35767" s="2">
        <v>2.27303115389757E-3</v>
      </c>
      <c r="E35767" s="2">
        <v>1.65084605860503E-3</v>
      </c>
      <c r="F35767" s="2">
        <v>8.9358510256661097E-3</v>
      </c>
    </row>
    <row r="35768" spans="1:6" x14ac:dyDescent="0.25">
      <c r="A35768" s="1" t="str">
        <f t="shared" si="1288"/>
        <v>45900</v>
      </c>
      <c r="B35768" s="1" t="str">
        <f>"49635"</f>
        <v>49635</v>
      </c>
      <c r="C35768" s="2">
        <v>3.2916296124843099E-2</v>
      </c>
      <c r="D35768" s="2">
        <v>1.8852787805856301E-2</v>
      </c>
      <c r="E35768" s="2">
        <v>1.4857614527445301E-2</v>
      </c>
      <c r="F35768" s="2">
        <v>3.1297220319820802E-2</v>
      </c>
    </row>
    <row r="35769" spans="1:6" x14ac:dyDescent="0.25">
      <c r="A35769" s="1" t="str">
        <f t="shared" si="1288"/>
        <v>45900</v>
      </c>
      <c r="B35769" s="1" t="str">
        <f>"49664"</f>
        <v>49664</v>
      </c>
      <c r="C35769" s="2">
        <v>1.55444832921169E-2</v>
      </c>
      <c r="D35769" s="2">
        <v>5.3483085974060703E-3</v>
      </c>
      <c r="E35769" s="2">
        <v>1.65084605860503E-3</v>
      </c>
      <c r="F35769" s="2">
        <v>1.4349541793040399E-2</v>
      </c>
    </row>
    <row r="35770" spans="1:6" x14ac:dyDescent="0.25">
      <c r="A35770" s="1" t="str">
        <f t="shared" si="1288"/>
        <v>45900</v>
      </c>
      <c r="B35770" s="1" t="str">
        <f>"49653"</f>
        <v>49653</v>
      </c>
      <c r="C35770" s="2">
        <v>1.4411538976939101E-2</v>
      </c>
      <c r="D35770" s="2">
        <v>7.0865088915630396E-3</v>
      </c>
      <c r="E35770" s="2">
        <v>6.6033842344201399E-3</v>
      </c>
      <c r="F35770" s="2">
        <v>1.3610322973398901E-2</v>
      </c>
    </row>
    <row r="35771" spans="1:6" x14ac:dyDescent="0.25">
      <c r="A35771" s="1" t="str">
        <f t="shared" si="1288"/>
        <v>45900</v>
      </c>
      <c r="B35771" s="1" t="str">
        <f>"49646"</f>
        <v>49646</v>
      </c>
      <c r="C35771" s="2">
        <v>6.3006322560210506E-2</v>
      </c>
      <c r="D35771" s="2">
        <v>3.3961759593528498E-2</v>
      </c>
      <c r="E35771" s="2">
        <v>3.0953363598844399E-2</v>
      </c>
      <c r="F35771" s="2">
        <v>5.98006283359966E-2</v>
      </c>
    </row>
    <row r="35772" spans="1:6" x14ac:dyDescent="0.25">
      <c r="A35772" s="1" t="str">
        <f t="shared" si="1288"/>
        <v>45900</v>
      </c>
      <c r="B35772" s="1" t="str">
        <f>"49682"</f>
        <v>49682</v>
      </c>
      <c r="C35772" s="2">
        <v>2.7604858260138601E-2</v>
      </c>
      <c r="D35772" s="2">
        <v>1.1498863484423E-2</v>
      </c>
      <c r="E35772" s="2">
        <v>4.9938093272802297E-2</v>
      </c>
      <c r="F35772" s="2">
        <v>2.6883649131961399E-2</v>
      </c>
    </row>
    <row r="35773" spans="1:6" x14ac:dyDescent="0.25">
      <c r="A35773" s="1" t="str">
        <f t="shared" si="1288"/>
        <v>45900</v>
      </c>
      <c r="B35773" s="1" t="str">
        <f>"49685"</f>
        <v>49685</v>
      </c>
      <c r="C35773" s="2">
        <v>0.121761058389269</v>
      </c>
      <c r="D35773" s="2">
        <v>0.13825377724294599</v>
      </c>
      <c r="E35773" s="2">
        <v>6.6446553858852606E-2</v>
      </c>
      <c r="F35773" s="2">
        <v>0.121644979291002</v>
      </c>
    </row>
    <row r="35774" spans="1:6" x14ac:dyDescent="0.25">
      <c r="A35774" s="1" t="str">
        <f t="shared" si="1288"/>
        <v>45900</v>
      </c>
      <c r="B35774" s="1" t="str">
        <f>"49617"</f>
        <v>49617</v>
      </c>
      <c r="C35774" s="2">
        <v>2.6959201822456601E-2</v>
      </c>
      <c r="D35774" s="2">
        <v>8.4235860409145602E-3</v>
      </c>
      <c r="E35774" s="2">
        <v>4.5398266611638401E-3</v>
      </c>
      <c r="F35774" s="2">
        <v>2.4861668242942E-2</v>
      </c>
    </row>
    <row r="35775" spans="1:6" x14ac:dyDescent="0.25">
      <c r="A35775" s="1" t="str">
        <f t="shared" si="1288"/>
        <v>45900</v>
      </c>
      <c r="B35775" s="1" t="str">
        <f>"49636"</f>
        <v>49636</v>
      </c>
      <c r="C35775" s="2">
        <v>5.8230901360751298E-3</v>
      </c>
      <c r="D35775" s="2">
        <v>2.40673886883273E-3</v>
      </c>
      <c r="E35775" s="2">
        <v>4.1271151465125798E-4</v>
      </c>
      <c r="F35775" s="2">
        <v>5.4028199023796299E-3</v>
      </c>
    </row>
    <row r="35776" spans="1:6" x14ac:dyDescent="0.25">
      <c r="A35776" s="1" t="str">
        <f t="shared" si="1288"/>
        <v>45900</v>
      </c>
      <c r="B35776" s="1" t="str">
        <f>"49673"</f>
        <v>49673</v>
      </c>
      <c r="C35776" s="2">
        <v>0</v>
      </c>
      <c r="D35776" s="2">
        <v>1.3370771493515101E-4</v>
      </c>
      <c r="E35776" s="2">
        <v>0</v>
      </c>
      <c r="F35776" s="2">
        <v>1.08708649947276E-5</v>
      </c>
    </row>
    <row r="35777" spans="1:6" x14ac:dyDescent="0.25">
      <c r="A35777" s="1" t="str">
        <f t="shared" si="1288"/>
        <v>45900</v>
      </c>
      <c r="B35777" s="1" t="str">
        <f>"49616"</f>
        <v>49616</v>
      </c>
      <c r="C35777" s="2">
        <v>1.33516878433856E-2</v>
      </c>
      <c r="D35777" s="2">
        <v>1.3638186923385399E-2</v>
      </c>
      <c r="E35777" s="2">
        <v>1.7746595130004102E-2</v>
      </c>
      <c r="F35777" s="2">
        <v>1.34907434584569E-2</v>
      </c>
    </row>
    <row r="35778" spans="1:6" x14ac:dyDescent="0.25">
      <c r="A35778" s="1" t="str">
        <f t="shared" si="1288"/>
        <v>45900</v>
      </c>
      <c r="B35778" s="1" t="str">
        <f>"49620"</f>
        <v>49620</v>
      </c>
      <c r="C35778" s="2">
        <v>5.6403571820142001E-3</v>
      </c>
      <c r="D35778" s="2">
        <v>8.0224628961090996E-4</v>
      </c>
      <c r="E35778" s="2">
        <v>4.1271151465125798E-4</v>
      </c>
      <c r="F35778" s="2">
        <v>5.1093065475219801E-3</v>
      </c>
    </row>
    <row r="35779" spans="1:6" x14ac:dyDescent="0.25">
      <c r="A35779" s="1" t="str">
        <f t="shared" si="1288"/>
        <v>45900</v>
      </c>
      <c r="B35779" s="1" t="str">
        <f>"49686"</f>
        <v>49686</v>
      </c>
      <c r="C35779" s="2">
        <v>0.165044404107836</v>
      </c>
      <c r="D35779" s="2">
        <v>0.24695814948522499</v>
      </c>
      <c r="E35779" s="2">
        <v>0.32397853900123802</v>
      </c>
      <c r="F35779" s="2">
        <v>0.175890595614693</v>
      </c>
    </row>
    <row r="35780" spans="1:6" x14ac:dyDescent="0.25">
      <c r="A35780" s="1" t="str">
        <f t="shared" si="1288"/>
        <v>45900</v>
      </c>
      <c r="B35780" s="1" t="str">
        <f>"49690"</f>
        <v>49690</v>
      </c>
      <c r="C35780" s="2">
        <v>4.0249978681155298E-2</v>
      </c>
      <c r="D35780" s="2">
        <v>2.6741542987030301E-2</v>
      </c>
      <c r="E35780" s="2">
        <v>1.8572018159306598E-2</v>
      </c>
      <c r="F35780" s="2">
        <v>3.8580699866288301E-2</v>
      </c>
    </row>
    <row r="35781" spans="1:6" x14ac:dyDescent="0.25">
      <c r="A35781" s="1" t="str">
        <f t="shared" si="1288"/>
        <v>45900</v>
      </c>
      <c r="B35781" s="1" t="str">
        <f>"49674"</f>
        <v>49674</v>
      </c>
      <c r="C35781" s="2">
        <v>2.4364393874791299E-5</v>
      </c>
      <c r="D35781" s="2">
        <v>4.0112314480545498E-4</v>
      </c>
      <c r="E35781" s="2">
        <v>0</v>
      </c>
      <c r="F35781" s="2">
        <v>5.4354324973638103E-5</v>
      </c>
    </row>
    <row r="35782" spans="1:6" x14ac:dyDescent="0.25">
      <c r="A35782" s="1" t="str">
        <f t="shared" si="1288"/>
        <v>45900</v>
      </c>
      <c r="B35782" s="1" t="str">
        <f>"49637"</f>
        <v>49637</v>
      </c>
      <c r="C35782" s="2">
        <v>2.0283357900763799E-2</v>
      </c>
      <c r="D35782" s="2">
        <v>8.4235860409145602E-3</v>
      </c>
      <c r="E35782" s="2">
        <v>3.3016921172100699E-3</v>
      </c>
      <c r="F35782" s="2">
        <v>1.8871821630847101E-2</v>
      </c>
    </row>
    <row r="35783" spans="1:6" x14ac:dyDescent="0.25">
      <c r="A35783" s="1" t="str">
        <f t="shared" si="1288"/>
        <v>45900</v>
      </c>
      <c r="B35783" s="1" t="str">
        <f>"49633"</f>
        <v>49633</v>
      </c>
      <c r="C35783" s="2">
        <v>2.5740982128717001E-2</v>
      </c>
      <c r="D35783" s="2">
        <v>4.5460623077951496E-3</v>
      </c>
      <c r="E35783" s="2">
        <v>3.71440363186132E-3</v>
      </c>
      <c r="F35783" s="2">
        <v>2.3437584928632699E-2</v>
      </c>
    </row>
    <row r="35784" spans="1:6" x14ac:dyDescent="0.25">
      <c r="A35784" s="1" t="str">
        <f t="shared" si="1288"/>
        <v>45900</v>
      </c>
      <c r="B35784" s="1" t="str">
        <f>"49643"</f>
        <v>49643</v>
      </c>
      <c r="C35784" s="2">
        <v>4.09443639065869E-2</v>
      </c>
      <c r="D35784" s="2">
        <v>1.7382002941569701E-2</v>
      </c>
      <c r="E35784" s="2">
        <v>5.3652496904663602E-3</v>
      </c>
      <c r="F35784" s="2">
        <v>3.8091510941525603E-2</v>
      </c>
    </row>
    <row r="35785" spans="1:6" x14ac:dyDescent="0.25">
      <c r="A35785" s="1" t="str">
        <f t="shared" si="1288"/>
        <v>45900</v>
      </c>
      <c r="B35785" s="1" t="str">
        <f>"49666"</f>
        <v>49666</v>
      </c>
      <c r="C35785" s="2">
        <v>0</v>
      </c>
      <c r="D35785" s="2">
        <v>1.3370771493515101E-4</v>
      </c>
      <c r="E35785" s="2">
        <v>0</v>
      </c>
      <c r="F35785" s="2">
        <v>1.08708649947276E-5</v>
      </c>
    </row>
    <row r="35786" spans="1:6" x14ac:dyDescent="0.25">
      <c r="A35786" s="1" t="str">
        <f t="shared" si="1288"/>
        <v>45900</v>
      </c>
      <c r="B35786" s="1" t="str">
        <f>"49610"</f>
        <v>49610</v>
      </c>
      <c r="C35786" s="2">
        <v>3.7886632475300501E-3</v>
      </c>
      <c r="D35786" s="2">
        <v>1.61786335071533E-2</v>
      </c>
      <c r="E35786" s="2">
        <v>4.1271151465125798E-4</v>
      </c>
      <c r="F35786" s="2">
        <v>4.7070845427170599E-3</v>
      </c>
    </row>
    <row r="35787" spans="1:6" x14ac:dyDescent="0.25">
      <c r="A35787" s="1" t="str">
        <f t="shared" si="1288"/>
        <v>45900</v>
      </c>
      <c r="B35787" s="1" t="str">
        <f>"49649"</f>
        <v>49649</v>
      </c>
      <c r="C35787" s="2">
        <v>3.2904113927905702E-2</v>
      </c>
      <c r="D35787" s="2">
        <v>8.8247091857200106E-3</v>
      </c>
      <c r="E35787" s="2">
        <v>5.3652496904663602E-3</v>
      </c>
      <c r="F35787" s="2">
        <v>3.0221004685342799E-2</v>
      </c>
    </row>
    <row r="35788" spans="1:6" x14ac:dyDescent="0.25">
      <c r="A35788" s="1" t="str">
        <f t="shared" si="1288"/>
        <v>45900</v>
      </c>
      <c r="B35788" s="1" t="str">
        <f>"49630"</f>
        <v>49630</v>
      </c>
      <c r="C35788" s="2">
        <v>1.20238283772095E-2</v>
      </c>
      <c r="D35788" s="2">
        <v>6.8190934616927301E-3</v>
      </c>
      <c r="E35788" s="2">
        <v>7.4288072637226504E-3</v>
      </c>
      <c r="F35788" s="2">
        <v>1.14796334344323E-2</v>
      </c>
    </row>
    <row r="35789" spans="1:6" x14ac:dyDescent="0.25">
      <c r="A35789" s="1" t="str">
        <f t="shared" si="1288"/>
        <v>45900</v>
      </c>
      <c r="B35789" s="1" t="str">
        <f>"49612"</f>
        <v>49612</v>
      </c>
      <c r="C35789" s="2">
        <v>2.6435367354148598E-3</v>
      </c>
      <c r="D35789" s="2">
        <v>0</v>
      </c>
      <c r="E35789" s="2">
        <v>0</v>
      </c>
      <c r="F35789" s="2">
        <v>2.3589777038558902E-3</v>
      </c>
    </row>
    <row r="35790" spans="1:6" x14ac:dyDescent="0.25">
      <c r="A35790" s="1" t="str">
        <f t="shared" si="1288"/>
        <v>45900</v>
      </c>
      <c r="B35790" s="1" t="str">
        <f>"49676"</f>
        <v>49676</v>
      </c>
      <c r="C35790" s="2">
        <v>1.6872342758293E-2</v>
      </c>
      <c r="D35790" s="2">
        <v>4.2786468779248497E-3</v>
      </c>
      <c r="E35790" s="2">
        <v>8.2542302930251705E-4</v>
      </c>
      <c r="F35790" s="2">
        <v>1.54257574275185E-2</v>
      </c>
    </row>
    <row r="35791" spans="1:6" x14ac:dyDescent="0.25">
      <c r="A35791" s="1" t="str">
        <f t="shared" si="1288"/>
        <v>45900</v>
      </c>
      <c r="B35791" s="1" t="str">
        <f>"49640"</f>
        <v>49640</v>
      </c>
      <c r="C35791" s="2">
        <v>1.36318783729457E-2</v>
      </c>
      <c r="D35791" s="2">
        <v>6.1505548870169797E-3</v>
      </c>
      <c r="E35791" s="2">
        <v>1.65084605860503E-3</v>
      </c>
      <c r="F35791" s="2">
        <v>1.27080411788366E-2</v>
      </c>
    </row>
    <row r="35792" spans="1:6" x14ac:dyDescent="0.25">
      <c r="A35792" s="1" t="str">
        <f t="shared" si="1288"/>
        <v>45900</v>
      </c>
      <c r="B35792" s="1" t="str">
        <f>"49684"</f>
        <v>49684</v>
      </c>
      <c r="C35792" s="2">
        <v>0.14203223409309601</v>
      </c>
      <c r="D35792" s="2">
        <v>0.32678165530150999</v>
      </c>
      <c r="E35792" s="2">
        <v>0.39702847709451</v>
      </c>
      <c r="F35792" s="2">
        <v>0.163769581145571</v>
      </c>
    </row>
    <row r="35793" spans="1:6" x14ac:dyDescent="0.25">
      <c r="A35793" s="1" t="str">
        <f t="shared" si="1288"/>
        <v>45900</v>
      </c>
      <c r="B35793" s="1" t="str">
        <f>"49738"</f>
        <v>49738</v>
      </c>
      <c r="C35793" s="2">
        <v>1.75423635898497E-3</v>
      </c>
      <c r="D35793" s="2">
        <v>5.3483085974060697E-4</v>
      </c>
      <c r="E35793" s="2">
        <v>0</v>
      </c>
      <c r="F35793" s="2">
        <v>1.60888801921968E-3</v>
      </c>
    </row>
    <row r="35794" spans="1:6" x14ac:dyDescent="0.25">
      <c r="A35794" s="1" t="str">
        <f t="shared" si="1288"/>
        <v>45900</v>
      </c>
      <c r="B35794" s="1" t="str">
        <f>"49650"</f>
        <v>49650</v>
      </c>
      <c r="C35794" s="2">
        <v>1.67992495766686E-2</v>
      </c>
      <c r="D35794" s="2">
        <v>2.1393234389624201E-3</v>
      </c>
      <c r="E35794" s="2">
        <v>2.0635575732562898E-3</v>
      </c>
      <c r="F35794" s="2">
        <v>1.5219210992618601E-2</v>
      </c>
    </row>
    <row r="35795" spans="1:6" x14ac:dyDescent="0.25">
      <c r="A35795" s="1" t="str">
        <f t="shared" si="1288"/>
        <v>45900</v>
      </c>
      <c r="B35795" s="1" t="str">
        <f>"49654"</f>
        <v>49654</v>
      </c>
      <c r="C35795" s="2">
        <v>4.0688537770901603E-3</v>
      </c>
      <c r="D35795" s="2">
        <v>2.27303115389757E-3</v>
      </c>
      <c r="E35795" s="2">
        <v>1.2381345439537699E-3</v>
      </c>
      <c r="F35795" s="2">
        <v>3.8482862081335801E-3</v>
      </c>
    </row>
    <row r="35796" spans="1:6" x14ac:dyDescent="0.25">
      <c r="A35796" s="1" t="str">
        <f t="shared" ref="A35796:A35830" si="1289">"45940"</f>
        <v>45940</v>
      </c>
      <c r="B35796" s="1" t="str">
        <f>"08501"</f>
        <v>08501</v>
      </c>
      <c r="C35796" s="2">
        <v>8.1655030824774101E-4</v>
      </c>
      <c r="D35796" s="2">
        <v>1.2720218787763099E-4</v>
      </c>
      <c r="E35796" s="2">
        <v>0</v>
      </c>
      <c r="F35796" s="2">
        <v>7.3376670352724705E-4</v>
      </c>
    </row>
    <row r="35797" spans="1:6" x14ac:dyDescent="0.25">
      <c r="A35797" s="1" t="str">
        <f t="shared" si="1289"/>
        <v>45940</v>
      </c>
      <c r="B35797" s="1" t="str">
        <f>"08605"</f>
        <v>08605</v>
      </c>
      <c r="C35797" s="2">
        <v>8.0488530384420205E-4</v>
      </c>
      <c r="D35797" s="2">
        <v>8.9041531514342002E-4</v>
      </c>
      <c r="E35797" s="2">
        <v>3.1515915537346298E-4</v>
      </c>
      <c r="F35797" s="2">
        <v>7.9577515734645095E-4</v>
      </c>
    </row>
    <row r="35798" spans="1:6" x14ac:dyDescent="0.25">
      <c r="A35798" s="1" t="str">
        <f t="shared" si="1289"/>
        <v>45940</v>
      </c>
      <c r="B35798" s="1" t="str">
        <f>"08606"</f>
        <v>08606</v>
      </c>
      <c r="C35798" s="2">
        <v>9.2153534787959299E-4</v>
      </c>
      <c r="D35798" s="2">
        <v>1.3992240666539401E-3</v>
      </c>
      <c r="E35798" s="2">
        <v>3.1515915537346298E-4</v>
      </c>
      <c r="F35798" s="2">
        <v>9.4046154959125995E-4</v>
      </c>
    </row>
    <row r="35799" spans="1:6" x14ac:dyDescent="0.25">
      <c r="A35799" s="1" t="str">
        <f t="shared" si="1289"/>
        <v>45940</v>
      </c>
      <c r="B35799" s="1" t="str">
        <f>"08542"</f>
        <v>08542</v>
      </c>
      <c r="C35799" s="2">
        <v>1.4009670288650499E-2</v>
      </c>
      <c r="D35799" s="2">
        <v>6.0039432678242001E-2</v>
      </c>
      <c r="E35799" s="2">
        <v>4.3964702174598101E-2</v>
      </c>
      <c r="F35799" s="2">
        <v>1.87317204245512E-2</v>
      </c>
    </row>
    <row r="35800" spans="1:6" x14ac:dyDescent="0.25">
      <c r="A35800" s="1" t="str">
        <f t="shared" si="1289"/>
        <v>45940</v>
      </c>
      <c r="B35800" s="1" t="str">
        <f>"08602"</f>
        <v>08602</v>
      </c>
      <c r="C35800" s="2">
        <v>5.4825520696634E-4</v>
      </c>
      <c r="D35800" s="2">
        <v>1.6536284424092001E-3</v>
      </c>
      <c r="E35800" s="2">
        <v>3.1515915537346298E-4</v>
      </c>
      <c r="F35800" s="2">
        <v>6.3041928049524E-4</v>
      </c>
    </row>
    <row r="35801" spans="1:6" x14ac:dyDescent="0.25">
      <c r="A35801" s="1" t="str">
        <f t="shared" si="1289"/>
        <v>45940</v>
      </c>
      <c r="B35801" s="1" t="str">
        <f>"08544"</f>
        <v>08544</v>
      </c>
      <c r="C35801" s="2">
        <v>3.6738931368946501E-2</v>
      </c>
      <c r="D35801" s="2">
        <v>3.4344590726960501E-3</v>
      </c>
      <c r="E35801" s="2">
        <v>0</v>
      </c>
      <c r="F35801" s="2">
        <v>3.2828308926116899E-2</v>
      </c>
    </row>
    <row r="35802" spans="1:6" x14ac:dyDescent="0.25">
      <c r="A35802" s="1" t="str">
        <f t="shared" si="1289"/>
        <v>45940</v>
      </c>
      <c r="B35802" s="1" t="str">
        <f>"08534"</f>
        <v>08534</v>
      </c>
      <c r="C35802" s="2">
        <v>3.4849200655573197E-2</v>
      </c>
      <c r="D35802" s="2">
        <v>5.0753672963174901E-2</v>
      </c>
      <c r="E35802" s="2">
        <v>2.0012606366214901E-2</v>
      </c>
      <c r="F35802" s="2">
        <v>3.5654860946042297E-2</v>
      </c>
    </row>
    <row r="35803" spans="1:6" x14ac:dyDescent="0.25">
      <c r="A35803" s="1" t="str">
        <f t="shared" si="1289"/>
        <v>45940</v>
      </c>
      <c r="B35803" s="1" t="str">
        <f>"08648"</f>
        <v>08648</v>
      </c>
      <c r="C35803" s="2">
        <v>7.7257324164639804E-2</v>
      </c>
      <c r="D35803" s="2">
        <v>8.8278318387076199E-2</v>
      </c>
      <c r="E35803" s="2">
        <v>5.6413488811849898E-2</v>
      </c>
      <c r="F35803" s="2">
        <v>7.7469228304792206E-2</v>
      </c>
    </row>
    <row r="35804" spans="1:6" x14ac:dyDescent="0.25">
      <c r="A35804" s="1" t="str">
        <f t="shared" si="1289"/>
        <v>45940</v>
      </c>
      <c r="B35804" s="1" t="str">
        <f>"08691"</f>
        <v>08691</v>
      </c>
      <c r="C35804" s="2">
        <v>3.9036937236443803E-2</v>
      </c>
      <c r="D35804" s="2">
        <v>4.4965973414742698E-2</v>
      </c>
      <c r="E35804" s="2">
        <v>2.9782540182792298E-2</v>
      </c>
      <c r="F35804" s="2">
        <v>3.92151796694949E-2</v>
      </c>
    </row>
    <row r="35805" spans="1:6" x14ac:dyDescent="0.25">
      <c r="A35805" s="1" t="str">
        <f t="shared" si="1289"/>
        <v>45940</v>
      </c>
      <c r="B35805" s="1" t="str">
        <f>"08629"</f>
        <v>08629</v>
      </c>
      <c r="C35805" s="2">
        <v>2.85209357666532E-2</v>
      </c>
      <c r="D35805" s="2">
        <v>1.5773071296826299E-2</v>
      </c>
      <c r="E35805" s="2">
        <v>2.4267254963756601E-2</v>
      </c>
      <c r="F35805" s="2">
        <v>2.7345728134268901E-2</v>
      </c>
    </row>
    <row r="35806" spans="1:6" x14ac:dyDescent="0.25">
      <c r="A35806" s="1" t="str">
        <f t="shared" si="1289"/>
        <v>45940</v>
      </c>
      <c r="B35806" s="1" t="str">
        <f>"08609"</f>
        <v>08609</v>
      </c>
      <c r="C35806" s="2">
        <v>3.3968492823106003E-2</v>
      </c>
      <c r="D35806" s="2">
        <v>2.6839661642180199E-2</v>
      </c>
      <c r="E35806" s="2">
        <v>6.0668137409391698E-2</v>
      </c>
      <c r="F35806" s="2">
        <v>3.4264838106261797E-2</v>
      </c>
    </row>
    <row r="35807" spans="1:6" x14ac:dyDescent="0.25">
      <c r="A35807" s="1" t="str">
        <f t="shared" si="1289"/>
        <v>45940</v>
      </c>
      <c r="B35807" s="1" t="str">
        <f>"08520"</f>
        <v>08520</v>
      </c>
      <c r="C35807" s="2">
        <v>6.9622578782523398E-2</v>
      </c>
      <c r="D35807" s="2">
        <v>5.8258602047955202E-2</v>
      </c>
      <c r="E35807" s="2">
        <v>9.0293098014497294E-2</v>
      </c>
      <c r="F35807" s="2">
        <v>6.9377125081386007E-2</v>
      </c>
    </row>
    <row r="35808" spans="1:6" x14ac:dyDescent="0.25">
      <c r="A35808" s="1" t="str">
        <f t="shared" si="1289"/>
        <v>45940</v>
      </c>
      <c r="B35808" s="1" t="str">
        <f>"08561"</f>
        <v>08561</v>
      </c>
      <c r="C35808" s="2">
        <v>5.2492519815926198E-4</v>
      </c>
      <c r="D35808" s="2">
        <v>8.9041531514342002E-4</v>
      </c>
      <c r="E35808" s="2">
        <v>3.1515915537346298E-4</v>
      </c>
      <c r="F35808" s="2">
        <v>5.4774134206963501E-4</v>
      </c>
    </row>
    <row r="35809" spans="1:6" x14ac:dyDescent="0.25">
      <c r="A35809" s="1" t="str">
        <f t="shared" si="1289"/>
        <v>45940</v>
      </c>
      <c r="B35809" s="1" t="str">
        <f>"08540"</f>
        <v>08540</v>
      </c>
      <c r="C35809" s="2">
        <v>8.3474771511726206E-2</v>
      </c>
      <c r="D35809" s="2">
        <v>8.6179482287095294E-2</v>
      </c>
      <c r="E35809" s="2">
        <v>9.5808383233532898E-2</v>
      </c>
      <c r="F35809" s="2">
        <v>8.4098965492295397E-2</v>
      </c>
    </row>
    <row r="35810" spans="1:6" x14ac:dyDescent="0.25">
      <c r="A35810" s="1" t="str">
        <f t="shared" si="1289"/>
        <v>45940</v>
      </c>
      <c r="B35810" s="1" t="str">
        <f>"08550"</f>
        <v>08550</v>
      </c>
      <c r="C35810" s="2">
        <v>4.59076248301283E-2</v>
      </c>
      <c r="D35810" s="2">
        <v>4.03866946511479E-2</v>
      </c>
      <c r="E35810" s="2">
        <v>1.5285219035612901E-2</v>
      </c>
      <c r="F35810" s="2">
        <v>4.4454894017217597E-2</v>
      </c>
    </row>
    <row r="35811" spans="1:6" x14ac:dyDescent="0.25">
      <c r="A35811" s="1" t="str">
        <f t="shared" si="1289"/>
        <v>45940</v>
      </c>
      <c r="B35811" s="1" t="str">
        <f>"08603"</f>
        <v>08603</v>
      </c>
      <c r="C35811" s="2">
        <v>8.2238281044950999E-4</v>
      </c>
      <c r="D35811" s="2">
        <v>1.2084207848374899E-3</v>
      </c>
      <c r="E35811" s="2">
        <v>3.1515915537346298E-4</v>
      </c>
      <c r="F35811" s="2">
        <v>8.3711412655925398E-4</v>
      </c>
    </row>
    <row r="35812" spans="1:6" x14ac:dyDescent="0.25">
      <c r="A35812" s="1" t="str">
        <f t="shared" si="1289"/>
        <v>45940</v>
      </c>
      <c r="B35812" s="1" t="str">
        <f>"08558"</f>
        <v>08558</v>
      </c>
      <c r="C35812" s="2">
        <v>1.3998005284246901E-4</v>
      </c>
      <c r="D35812" s="2">
        <v>0</v>
      </c>
      <c r="E35812" s="2">
        <v>0</v>
      </c>
      <c r="F35812" s="2">
        <v>1.2401690763840799E-4</v>
      </c>
    </row>
    <row r="35813" spans="1:6" x14ac:dyDescent="0.25">
      <c r="A35813" s="1" t="str">
        <f t="shared" si="1289"/>
        <v>45940</v>
      </c>
      <c r="B35813" s="1" t="str">
        <f>"08530"</f>
        <v>08530</v>
      </c>
      <c r="C35813" s="2">
        <v>1.26565297778399E-3</v>
      </c>
      <c r="D35813" s="2">
        <v>6.36010939388157E-5</v>
      </c>
      <c r="E35813" s="2">
        <v>4.7273873306019501E-4</v>
      </c>
      <c r="F35813" s="2">
        <v>1.1419890245036701E-3</v>
      </c>
    </row>
    <row r="35814" spans="1:6" x14ac:dyDescent="0.25">
      <c r="A35814" s="1" t="str">
        <f t="shared" si="1289"/>
        <v>45940</v>
      </c>
      <c r="B35814" s="1" t="str">
        <f>"08650"</f>
        <v>08650</v>
      </c>
      <c r="C35814" s="2">
        <v>7.92053799000309E-3</v>
      </c>
      <c r="D35814" s="2">
        <v>2.2451186160401902E-2</v>
      </c>
      <c r="E35814" s="2">
        <v>3.1515915537346298E-4</v>
      </c>
      <c r="F35814" s="2">
        <v>8.8517067826913692E-3</v>
      </c>
    </row>
    <row r="35815" spans="1:6" x14ac:dyDescent="0.25">
      <c r="A35815" s="1" t="str">
        <f t="shared" si="1289"/>
        <v>45940</v>
      </c>
      <c r="B35815" s="1" t="str">
        <f>"08638"</f>
        <v>08638</v>
      </c>
      <c r="C35815" s="2">
        <v>6.6787982712463403E-2</v>
      </c>
      <c r="D35815" s="2">
        <v>7.4540482096291993E-2</v>
      </c>
      <c r="E35815" s="2">
        <v>5.0583044437440897E-2</v>
      </c>
      <c r="F35815" s="2">
        <v>6.6886452186314699E-2</v>
      </c>
    </row>
    <row r="35816" spans="1:6" x14ac:dyDescent="0.25">
      <c r="A35816" s="1" t="str">
        <f t="shared" si="1289"/>
        <v>45940</v>
      </c>
      <c r="B35816" s="1" t="str">
        <f>"08525"</f>
        <v>08525</v>
      </c>
      <c r="C35816" s="2">
        <v>1.29306573813231E-2</v>
      </c>
      <c r="D35816" s="2">
        <v>1.7744705208929502E-2</v>
      </c>
      <c r="E35816" s="2">
        <v>1.08729908603844E-2</v>
      </c>
      <c r="F35816" s="2">
        <v>1.32543070038548E-2</v>
      </c>
    </row>
    <row r="35817" spans="1:6" x14ac:dyDescent="0.25">
      <c r="A35817" s="1" t="str">
        <f t="shared" si="1289"/>
        <v>45940</v>
      </c>
      <c r="B35817" s="1" t="str">
        <f>"08512"</f>
        <v>08512</v>
      </c>
      <c r="C35817" s="2">
        <v>1.5817745971199101E-2</v>
      </c>
      <c r="D35817" s="2">
        <v>3.4980601666348599E-3</v>
      </c>
      <c r="E35817" s="2">
        <v>4.5698077529152201E-3</v>
      </c>
      <c r="F35817" s="2">
        <v>1.44479697398745E-2</v>
      </c>
    </row>
    <row r="35818" spans="1:6" x14ac:dyDescent="0.25">
      <c r="A35818" s="1" t="str">
        <f t="shared" si="1289"/>
        <v>45940</v>
      </c>
      <c r="B35818" s="1" t="str">
        <f>"08543"</f>
        <v>08543</v>
      </c>
      <c r="C35818" s="2">
        <v>9.9210862452100493E-3</v>
      </c>
      <c r="D35818" s="2">
        <v>2.9574508681549299E-2</v>
      </c>
      <c r="E35818" s="2">
        <v>3.1515915537346298E-4</v>
      </c>
      <c r="F35818" s="2">
        <v>1.12028606566695E-2</v>
      </c>
    </row>
    <row r="35819" spans="1:6" x14ac:dyDescent="0.25">
      <c r="A35819" s="1" t="str">
        <f t="shared" si="1289"/>
        <v>45940</v>
      </c>
      <c r="B35819" s="1" t="str">
        <f>"08620"</f>
        <v>08620</v>
      </c>
      <c r="C35819" s="2">
        <v>2.3965751547071201E-2</v>
      </c>
      <c r="D35819" s="2">
        <v>8.3953443999236696E-3</v>
      </c>
      <c r="E35819" s="2">
        <v>1.08729908603844E-2</v>
      </c>
      <c r="F35819" s="2">
        <v>2.2271369663397399E-2</v>
      </c>
    </row>
    <row r="35820" spans="1:6" x14ac:dyDescent="0.25">
      <c r="A35820" s="1" t="str">
        <f t="shared" si="1289"/>
        <v>45940</v>
      </c>
      <c r="B35820" s="1" t="str">
        <f>"08610"</f>
        <v>08610</v>
      </c>
      <c r="C35820" s="2">
        <v>7.5221780896222196E-2</v>
      </c>
      <c r="D35820" s="2">
        <v>4.8336831393499903E-2</v>
      </c>
      <c r="E35820" s="2">
        <v>7.2013867002836393E-2</v>
      </c>
      <c r="F35820" s="2">
        <v>7.2932276433687104E-2</v>
      </c>
    </row>
    <row r="35821" spans="1:6" x14ac:dyDescent="0.25">
      <c r="A35821" s="1" t="str">
        <f t="shared" si="1289"/>
        <v>45940</v>
      </c>
      <c r="B35821" s="1" t="str">
        <f>"08618"</f>
        <v>08618</v>
      </c>
      <c r="C35821" s="2">
        <v>9.3331700232716794E-2</v>
      </c>
      <c r="D35821" s="2">
        <v>5.0753672963174901E-2</v>
      </c>
      <c r="E35821" s="2">
        <v>0.18216199180586101</v>
      </c>
      <c r="F35821" s="2">
        <v>9.2785316398135601E-2</v>
      </c>
    </row>
    <row r="35822" spans="1:6" x14ac:dyDescent="0.25">
      <c r="A35822" s="1" t="str">
        <f t="shared" si="1289"/>
        <v>45940</v>
      </c>
      <c r="B35822" s="1" t="str">
        <f>"08608"</f>
        <v>08608</v>
      </c>
      <c r="C35822" s="2">
        <v>5.24341947939085E-3</v>
      </c>
      <c r="D35822" s="2">
        <v>3.7651847611778901E-2</v>
      </c>
      <c r="E35822" s="2">
        <v>3.1043176804286102E-2</v>
      </c>
      <c r="F35822" s="2">
        <v>8.7225225039013598E-3</v>
      </c>
    </row>
    <row r="35823" spans="1:6" x14ac:dyDescent="0.25">
      <c r="A35823" s="1" t="str">
        <f t="shared" si="1289"/>
        <v>45940</v>
      </c>
      <c r="B35823" s="1" t="str">
        <f>"08604"</f>
        <v>08604</v>
      </c>
      <c r="C35823" s="2">
        <v>9.6236286329198003E-4</v>
      </c>
      <c r="D35823" s="2">
        <v>1.5900273484703901E-3</v>
      </c>
      <c r="E35823" s="2">
        <v>3.1515915537346298E-4</v>
      </c>
      <c r="F35823" s="2">
        <v>9.9213526110726396E-4</v>
      </c>
    </row>
    <row r="35824" spans="1:6" x14ac:dyDescent="0.25">
      <c r="A35824" s="1" t="str">
        <f t="shared" si="1289"/>
        <v>45940</v>
      </c>
      <c r="B35824" s="1" t="str">
        <f>"08601"</f>
        <v>08601</v>
      </c>
      <c r="C35824" s="2">
        <v>6.4740774439642299E-4</v>
      </c>
      <c r="D35824" s="2">
        <v>2.09883609998091E-3</v>
      </c>
      <c r="E35824" s="2">
        <v>3.1515915537346298E-4</v>
      </c>
      <c r="F35824" s="2">
        <v>7.5443618813364802E-4</v>
      </c>
    </row>
    <row r="35825" spans="1:6" x14ac:dyDescent="0.25">
      <c r="A35825" s="1" t="str">
        <f t="shared" si="1289"/>
        <v>45940</v>
      </c>
      <c r="B35825" s="1" t="str">
        <f>"08619"</f>
        <v>08619</v>
      </c>
      <c r="C35825" s="2">
        <v>5.9643167515295699E-2</v>
      </c>
      <c r="D35825" s="2">
        <v>8.1282198053806501E-2</v>
      </c>
      <c r="E35825" s="2">
        <v>6.7128900094547694E-2</v>
      </c>
      <c r="F35825" s="2">
        <v>6.1646737838591897E-2</v>
      </c>
    </row>
    <row r="35826" spans="1:6" x14ac:dyDescent="0.25">
      <c r="A35826" s="1" t="str">
        <f t="shared" si="1289"/>
        <v>45940</v>
      </c>
      <c r="B35826" s="1" t="str">
        <f>"08607"</f>
        <v>08607</v>
      </c>
      <c r="C35826" s="2">
        <v>9.9502487562189001E-3</v>
      </c>
      <c r="D35826" s="2">
        <v>9.6037651847611701E-3</v>
      </c>
      <c r="E35826" s="2">
        <v>3.1515915537346298E-4</v>
      </c>
      <c r="F35826" s="2">
        <v>9.6061429708250191E-3</v>
      </c>
    </row>
    <row r="35827" spans="1:6" x14ac:dyDescent="0.25">
      <c r="A35827" s="1" t="str">
        <f t="shared" si="1289"/>
        <v>45940</v>
      </c>
      <c r="B35827" s="1" t="str">
        <f>"08560"</f>
        <v>08560</v>
      </c>
      <c r="C35827" s="2">
        <v>8.0896805538544E-3</v>
      </c>
      <c r="D35827" s="2">
        <v>1.78083063028684E-3</v>
      </c>
      <c r="E35827" s="2">
        <v>9.4547746612039002E-4</v>
      </c>
      <c r="F35827" s="2">
        <v>7.3428344064240701E-3</v>
      </c>
    </row>
    <row r="35828" spans="1:6" x14ac:dyDescent="0.25">
      <c r="A35828" s="1" t="str">
        <f t="shared" si="1289"/>
        <v>45940</v>
      </c>
      <c r="B35828" s="1" t="str">
        <f>"08690"</f>
        <v>08690</v>
      </c>
      <c r="C35828" s="2">
        <v>4.8374773261476899E-2</v>
      </c>
      <c r="D35828" s="2">
        <v>3.5998219169369697E-2</v>
      </c>
      <c r="E35828" s="2">
        <v>2.2849038764576099E-2</v>
      </c>
      <c r="F35828" s="2">
        <v>4.6532177220161001E-2</v>
      </c>
    </row>
    <row r="35829" spans="1:6" x14ac:dyDescent="0.25">
      <c r="A35829" s="1" t="str">
        <f t="shared" si="1289"/>
        <v>45940</v>
      </c>
      <c r="B35829" s="1" t="str">
        <f>"08611"</f>
        <v>08611</v>
      </c>
      <c r="C35829" s="2">
        <v>5.9059917295118697E-2</v>
      </c>
      <c r="D35829" s="2">
        <v>5.0054060929847898E-2</v>
      </c>
      <c r="E35829" s="2">
        <v>8.9032461393003401E-2</v>
      </c>
      <c r="F35829" s="2">
        <v>5.9311086078068599E-2</v>
      </c>
    </row>
    <row r="35830" spans="1:6" x14ac:dyDescent="0.25">
      <c r="A35830" s="1" t="str">
        <f t="shared" si="1289"/>
        <v>45940</v>
      </c>
      <c r="B35830" s="1" t="str">
        <f>"08628"</f>
        <v>08628</v>
      </c>
      <c r="C35830" s="2">
        <v>3.2901144920182201E-2</v>
      </c>
      <c r="D35830" s="2">
        <v>4.3503148254149901E-2</v>
      </c>
      <c r="E35830" s="2">
        <v>1.7806492278600601E-2</v>
      </c>
      <c r="F35830" s="2">
        <v>3.32675354740029E-2</v>
      </c>
    </row>
    <row r="35831" spans="1:6" x14ac:dyDescent="0.25">
      <c r="A35831" s="1" t="str">
        <f t="shared" ref="A35831:A35838" si="1290">"45980"</f>
        <v>45980</v>
      </c>
      <c r="B35831" s="1" t="str">
        <f>"36082"</f>
        <v>36082</v>
      </c>
      <c r="C35831" s="2">
        <v>0</v>
      </c>
      <c r="D35831" s="2">
        <v>5.1098620337250802E-4</v>
      </c>
      <c r="E35831" s="2">
        <v>0</v>
      </c>
      <c r="F35831" s="2">
        <v>4.0866366979975398E-5</v>
      </c>
    </row>
    <row r="35832" spans="1:6" x14ac:dyDescent="0.25">
      <c r="A35832" s="1" t="str">
        <f t="shared" si="1290"/>
        <v>45980</v>
      </c>
      <c r="B35832" s="1" t="str">
        <f>"36035"</f>
        <v>36035</v>
      </c>
      <c r="C35832" s="2">
        <v>6.5352887259395004E-2</v>
      </c>
      <c r="D35832" s="2">
        <v>2.3505365355135401E-2</v>
      </c>
      <c r="E35832" s="2">
        <v>0.15295815295815199</v>
      </c>
      <c r="F35832" s="2">
        <v>6.4487127094401298E-2</v>
      </c>
    </row>
    <row r="35833" spans="1:6" x14ac:dyDescent="0.25">
      <c r="A35833" s="1" t="str">
        <f t="shared" si="1290"/>
        <v>45980</v>
      </c>
      <c r="B35833" s="1" t="str">
        <f>"36049"</f>
        <v>36049</v>
      </c>
      <c r="C35833" s="2">
        <v>2.33730522456461E-3</v>
      </c>
      <c r="D35833" s="2">
        <v>0</v>
      </c>
      <c r="E35833" s="2">
        <v>0</v>
      </c>
      <c r="F35833" s="2">
        <v>2.08418471597874E-3</v>
      </c>
    </row>
    <row r="35834" spans="1:6" x14ac:dyDescent="0.25">
      <c r="A35834" s="1" t="str">
        <f t="shared" si="1290"/>
        <v>45980</v>
      </c>
      <c r="B35834" s="1" t="str">
        <f>"36005"</f>
        <v>36005</v>
      </c>
      <c r="C35834" s="2">
        <v>6.3473877176901894E-2</v>
      </c>
      <c r="D35834" s="2">
        <v>2.4016351558507901E-2</v>
      </c>
      <c r="E35834" s="2">
        <v>1.4430014430014401E-2</v>
      </c>
      <c r="F35834" s="2">
        <v>5.89293011851246E-2</v>
      </c>
    </row>
    <row r="35835" spans="1:6" x14ac:dyDescent="0.25">
      <c r="A35835" s="1" t="str">
        <f t="shared" si="1290"/>
        <v>45980</v>
      </c>
      <c r="B35835" s="1" t="str">
        <f>"36081"</f>
        <v>36081</v>
      </c>
      <c r="C35835" s="2">
        <v>0.45554537121906502</v>
      </c>
      <c r="D35835" s="2">
        <v>0.68676545733265204</v>
      </c>
      <c r="E35835" s="2">
        <v>0.58152958152958101</v>
      </c>
      <c r="F35835" s="2">
        <v>0.47760523089497298</v>
      </c>
    </row>
    <row r="35836" spans="1:6" x14ac:dyDescent="0.25">
      <c r="A35836" s="1" t="str">
        <f t="shared" si="1290"/>
        <v>45980</v>
      </c>
      <c r="B35836" s="1" t="str">
        <f>"36034"</f>
        <v>36034</v>
      </c>
      <c r="C35836" s="2">
        <v>2.1448212648945902E-2</v>
      </c>
      <c r="D35836" s="2">
        <v>4.5988758303525798E-3</v>
      </c>
      <c r="E35836" s="2">
        <v>1.44300144300144E-3</v>
      </c>
      <c r="F35836" s="2">
        <v>1.9534123416428201E-2</v>
      </c>
    </row>
    <row r="35837" spans="1:6" x14ac:dyDescent="0.25">
      <c r="A35837" s="1" t="str">
        <f t="shared" si="1290"/>
        <v>45980</v>
      </c>
      <c r="B35837" s="1" t="str">
        <f>"36079"</f>
        <v>36079</v>
      </c>
      <c r="C35837" s="2">
        <v>0.26526122823097997</v>
      </c>
      <c r="D35837" s="2">
        <v>9.70873786407766E-2</v>
      </c>
      <c r="E35837" s="2">
        <v>0.14141414141414099</v>
      </c>
      <c r="F35837" s="2">
        <v>0.24830404577033099</v>
      </c>
    </row>
    <row r="35838" spans="1:6" x14ac:dyDescent="0.25">
      <c r="A35838" s="1" t="str">
        <f t="shared" si="1290"/>
        <v>45980</v>
      </c>
      <c r="B35838" s="1" t="str">
        <f>"36010"</f>
        <v>36010</v>
      </c>
      <c r="C35838" s="2">
        <v>0.12658111824014601</v>
      </c>
      <c r="D35838" s="2">
        <v>0.163515585079202</v>
      </c>
      <c r="E35838" s="2">
        <v>0.108225108225108</v>
      </c>
      <c r="F35838" s="2">
        <v>0.12901512055578199</v>
      </c>
    </row>
    <row r="35839" spans="1:6" x14ac:dyDescent="0.25">
      <c r="A35839" s="1" t="str">
        <f t="shared" ref="A35839:A35854" si="1291">"46020"</f>
        <v>46020</v>
      </c>
      <c r="B35839" s="1" t="str">
        <f>"96111"</f>
        <v>96111</v>
      </c>
      <c r="C35839" s="2">
        <v>1.2887460668139501E-3</v>
      </c>
      <c r="D35839" s="2">
        <v>0</v>
      </c>
      <c r="E35839" s="2">
        <v>0</v>
      </c>
      <c r="F35839" s="2">
        <v>1.12681827494365E-3</v>
      </c>
    </row>
    <row r="35840" spans="1:6" x14ac:dyDescent="0.25">
      <c r="A35840" s="1" t="str">
        <f t="shared" si="1291"/>
        <v>46020</v>
      </c>
      <c r="B35840" s="1" t="str">
        <f>"95602"</f>
        <v>95602</v>
      </c>
      <c r="C35840" s="2">
        <v>4.5859275624288598E-2</v>
      </c>
      <c r="D35840" s="2">
        <v>2.36341313689379E-2</v>
      </c>
      <c r="E35840" s="2">
        <v>2.0289855072463701E-2</v>
      </c>
      <c r="F35840" s="2">
        <v>4.2965434483565997E-2</v>
      </c>
    </row>
    <row r="35841" spans="1:6" x14ac:dyDescent="0.25">
      <c r="A35841" s="1" t="str">
        <f t="shared" si="1291"/>
        <v>46020</v>
      </c>
      <c r="B35841" s="1" t="str">
        <f>"96162"</f>
        <v>96162</v>
      </c>
      <c r="C35841" s="2">
        <v>4.0955345785632903E-2</v>
      </c>
      <c r="D35841" s="2">
        <v>2.2099447513812098E-2</v>
      </c>
      <c r="E35841" s="2">
        <v>9.6618357487922703E-4</v>
      </c>
      <c r="F35841" s="2">
        <v>3.79459712588169E-2</v>
      </c>
    </row>
    <row r="35842" spans="1:6" x14ac:dyDescent="0.25">
      <c r="A35842" s="1" t="str">
        <f t="shared" si="1291"/>
        <v>46020</v>
      </c>
      <c r="B35842" s="1" t="str">
        <f>"95945"</f>
        <v>95945</v>
      </c>
      <c r="C35842" s="2">
        <v>0.24153109727522201</v>
      </c>
      <c r="D35842" s="2">
        <v>0.40730509515039898</v>
      </c>
      <c r="E35842" s="2">
        <v>0.38792270531400902</v>
      </c>
      <c r="F35842" s="2">
        <v>0.261773055872625</v>
      </c>
    </row>
    <row r="35843" spans="1:6" x14ac:dyDescent="0.25">
      <c r="A35843" s="1" t="str">
        <f t="shared" si="1291"/>
        <v>46020</v>
      </c>
      <c r="B35843" s="1" t="str">
        <f>"95977"</f>
        <v>95977</v>
      </c>
      <c r="C35843" s="2">
        <v>8.4354288009640399E-3</v>
      </c>
      <c r="D35843" s="2">
        <v>4.6040515653775302E-4</v>
      </c>
      <c r="E35843" s="2">
        <v>0</v>
      </c>
      <c r="F35843" s="2">
        <v>7.4194398103433097E-3</v>
      </c>
    </row>
    <row r="35844" spans="1:6" x14ac:dyDescent="0.25">
      <c r="A35844" s="1" t="str">
        <f t="shared" si="1291"/>
        <v>46020</v>
      </c>
      <c r="B35844" s="1" t="str">
        <f>"95924"</f>
        <v>95924</v>
      </c>
      <c r="C35844" s="2">
        <v>1.9933721630849499E-2</v>
      </c>
      <c r="D35844" s="2">
        <v>1.64211172498465E-2</v>
      </c>
      <c r="E35844" s="2">
        <v>9.6618357487922703E-4</v>
      </c>
      <c r="F35844" s="2">
        <v>1.9024204641905899E-2</v>
      </c>
    </row>
    <row r="35845" spans="1:6" x14ac:dyDescent="0.25">
      <c r="A35845" s="1" t="str">
        <f t="shared" si="1291"/>
        <v>46020</v>
      </c>
      <c r="B35845" s="1" t="str">
        <f>"95975"</f>
        <v>95975</v>
      </c>
      <c r="C35845" s="2">
        <v>2.6745665126866099E-2</v>
      </c>
      <c r="D35845" s="2">
        <v>7.21301411909146E-3</v>
      </c>
      <c r="E35845" s="2">
        <v>9.6618357487922703E-4</v>
      </c>
      <c r="F35845" s="2">
        <v>2.41022038809377E-2</v>
      </c>
    </row>
    <row r="35846" spans="1:6" x14ac:dyDescent="0.25">
      <c r="A35846" s="1" t="str">
        <f t="shared" si="1291"/>
        <v>46020</v>
      </c>
      <c r="B35846" s="1" t="str">
        <f>"95728"</f>
        <v>95728</v>
      </c>
      <c r="C35846" s="2">
        <v>1.6736961906674701E-5</v>
      </c>
      <c r="D35846" s="2">
        <v>0</v>
      </c>
      <c r="E35846" s="2">
        <v>4.8309178743961303E-4</v>
      </c>
      <c r="F35846" s="2">
        <v>2.92680071413937E-5</v>
      </c>
    </row>
    <row r="35847" spans="1:6" x14ac:dyDescent="0.25">
      <c r="A35847" s="1" t="str">
        <f t="shared" si="1291"/>
        <v>46020</v>
      </c>
      <c r="B35847" s="1" t="str">
        <f>"95949"</f>
        <v>95949</v>
      </c>
      <c r="C35847" s="2">
        <v>0.15148624221731199</v>
      </c>
      <c r="D35847" s="2">
        <v>5.21792510742786E-2</v>
      </c>
      <c r="E35847" s="2">
        <v>4.6376811594202802E-2</v>
      </c>
      <c r="F35847" s="2">
        <v>0.13883279187520101</v>
      </c>
    </row>
    <row r="35848" spans="1:6" x14ac:dyDescent="0.25">
      <c r="A35848" s="1" t="str">
        <f t="shared" si="1291"/>
        <v>46020</v>
      </c>
      <c r="B35848" s="1" t="str">
        <f>"95959"</f>
        <v>95959</v>
      </c>
      <c r="C35848" s="2">
        <v>0.169210684876481</v>
      </c>
      <c r="D35848" s="2">
        <v>0.143032535297728</v>
      </c>
      <c r="E35848" s="2">
        <v>9.9033816425120699E-2</v>
      </c>
      <c r="F35848" s="2">
        <v>0.16458863815962699</v>
      </c>
    </row>
    <row r="35849" spans="1:6" x14ac:dyDescent="0.25">
      <c r="A35849" s="1" t="str">
        <f t="shared" si="1291"/>
        <v>46020</v>
      </c>
      <c r="B35849" s="1" t="str">
        <f>"95960"</f>
        <v>95960</v>
      </c>
      <c r="C35849" s="2">
        <v>2.6444399812545999E-3</v>
      </c>
      <c r="D35849" s="2">
        <v>1.3812154696132501E-3</v>
      </c>
      <c r="E35849" s="2">
        <v>1.4492753623188399E-3</v>
      </c>
      <c r="F35849" s="2">
        <v>2.48778060701846E-3</v>
      </c>
    </row>
    <row r="35850" spans="1:6" x14ac:dyDescent="0.25">
      <c r="A35850" s="1" t="str">
        <f t="shared" si="1291"/>
        <v>46020</v>
      </c>
      <c r="B35850" s="1" t="str">
        <f>"96161"</f>
        <v>96161</v>
      </c>
      <c r="C35850" s="2">
        <v>0.161980317332797</v>
      </c>
      <c r="D35850" s="2">
        <v>0.23603437691835399</v>
      </c>
      <c r="E35850" s="2">
        <v>0.42318840579710099</v>
      </c>
      <c r="F35850" s="2">
        <v>0.17695437117686599</v>
      </c>
    </row>
    <row r="35851" spans="1:6" x14ac:dyDescent="0.25">
      <c r="A35851" s="1" t="str">
        <f t="shared" si="1291"/>
        <v>46020</v>
      </c>
      <c r="B35851" s="1" t="str">
        <f>"95986"</f>
        <v>95986</v>
      </c>
      <c r="C35851" s="2">
        <v>0</v>
      </c>
      <c r="D35851" s="2">
        <v>0</v>
      </c>
      <c r="E35851" s="2">
        <v>4.8309178743961303E-4</v>
      </c>
      <c r="F35851" s="2">
        <v>1.4634003570696801E-5</v>
      </c>
    </row>
    <row r="35852" spans="1:6" x14ac:dyDescent="0.25">
      <c r="A35852" s="1" t="str">
        <f t="shared" si="1291"/>
        <v>46020</v>
      </c>
      <c r="B35852" s="1" t="str">
        <f>"95946"</f>
        <v>95946</v>
      </c>
      <c r="C35852" s="2">
        <v>7.5015063265715998E-2</v>
      </c>
      <c r="D35852" s="2">
        <v>3.1307550644567202E-2</v>
      </c>
      <c r="E35852" s="2">
        <v>1.6425120772946802E-2</v>
      </c>
      <c r="F35852" s="2">
        <v>6.90724968536892E-2</v>
      </c>
    </row>
    <row r="35853" spans="1:6" x14ac:dyDescent="0.25">
      <c r="A35853" s="1" t="str">
        <f t="shared" si="1291"/>
        <v>46020</v>
      </c>
      <c r="B35853" s="1" t="str">
        <f>"95712"</f>
        <v>95712</v>
      </c>
      <c r="C35853" s="2">
        <v>0</v>
      </c>
      <c r="D35853" s="2">
        <v>0</v>
      </c>
      <c r="E35853" s="2">
        <v>4.8309178743961303E-4</v>
      </c>
      <c r="F35853" s="2">
        <v>1.4634003570696801E-5</v>
      </c>
    </row>
    <row r="35854" spans="1:6" x14ac:dyDescent="0.25">
      <c r="A35854" s="1" t="str">
        <f t="shared" si="1291"/>
        <v>46020</v>
      </c>
      <c r="B35854" s="1" t="str">
        <f>"96160"</f>
        <v>96160</v>
      </c>
      <c r="C35854" s="2">
        <v>5.4897235053892997E-2</v>
      </c>
      <c r="D35854" s="2">
        <v>5.8931860036832401E-2</v>
      </c>
      <c r="E35854" s="2">
        <v>9.6618357487922703E-4</v>
      </c>
      <c r="F35854" s="2">
        <v>5.3648257090174699E-2</v>
      </c>
    </row>
    <row r="35855" spans="1:6" x14ac:dyDescent="0.25">
      <c r="A35855" s="1" t="str">
        <f t="shared" ref="A35855:A35886" si="1292">"46060"</f>
        <v>46060</v>
      </c>
      <c r="B35855" s="1" t="str">
        <f>"85724"</f>
        <v>85724</v>
      </c>
      <c r="C35855" s="2">
        <v>0</v>
      </c>
      <c r="D35855" s="2">
        <v>5.4436581382689101E-5</v>
      </c>
      <c r="E35855" s="2">
        <v>0</v>
      </c>
      <c r="F35855" s="2">
        <v>3.5613359995868798E-6</v>
      </c>
    </row>
    <row r="35856" spans="1:6" x14ac:dyDescent="0.25">
      <c r="A35856" s="1" t="str">
        <f t="shared" si="1292"/>
        <v>46060</v>
      </c>
      <c r="B35856" s="1" t="str">
        <f>"85652"</f>
        <v>85652</v>
      </c>
      <c r="C35856" s="2">
        <v>3.33162735957081E-3</v>
      </c>
      <c r="D35856" s="2">
        <v>5.7430593358737004E-3</v>
      </c>
      <c r="E35856" s="2">
        <v>8.8144557073600697E-5</v>
      </c>
      <c r="F35856" s="2">
        <v>3.3583398476104299E-3</v>
      </c>
    </row>
    <row r="35857" spans="1:6" x14ac:dyDescent="0.25">
      <c r="A35857" s="1" t="str">
        <f t="shared" si="1292"/>
        <v>46060</v>
      </c>
      <c r="B35857" s="1" t="str">
        <f>"85715"</f>
        <v>85715</v>
      </c>
      <c r="C35857" s="2">
        <v>1.8551966815159401E-2</v>
      </c>
      <c r="D35857" s="2">
        <v>2.3707131192161099E-2</v>
      </c>
      <c r="E35857" s="2">
        <v>2.30057293962097E-2</v>
      </c>
      <c r="F35857" s="2">
        <v>1.9069173609787899E-2</v>
      </c>
    </row>
    <row r="35858" spans="1:6" x14ac:dyDescent="0.25">
      <c r="A35858" s="1" t="str">
        <f t="shared" si="1292"/>
        <v>46060</v>
      </c>
      <c r="B35858" s="1" t="str">
        <f>"85719"</f>
        <v>85719</v>
      </c>
      <c r="C35858" s="2">
        <v>4.4121659162373497E-2</v>
      </c>
      <c r="D35858" s="2">
        <v>6.5487207403375006E-2</v>
      </c>
      <c r="E35858" s="2">
        <v>7.2190392243278903E-2</v>
      </c>
      <c r="F35858" s="2">
        <v>4.6653501594588101E-2</v>
      </c>
    </row>
    <row r="35859" spans="1:6" x14ac:dyDescent="0.25">
      <c r="A35859" s="1" t="str">
        <f t="shared" si="1292"/>
        <v>46060</v>
      </c>
      <c r="B35859" s="1" t="str">
        <f>"85711"</f>
        <v>85711</v>
      </c>
      <c r="C35859" s="2">
        <v>3.9631031729120497E-2</v>
      </c>
      <c r="D35859" s="2">
        <v>6.2411540555253102E-2</v>
      </c>
      <c r="E35859" s="2">
        <v>3.8783605112384302E-2</v>
      </c>
      <c r="F35859" s="2">
        <v>4.1087133427233802E-2</v>
      </c>
    </row>
    <row r="35860" spans="1:6" x14ac:dyDescent="0.25">
      <c r="A35860" s="1" t="str">
        <f t="shared" si="1292"/>
        <v>46060</v>
      </c>
      <c r="B35860" s="1" t="str">
        <f>"85732"</f>
        <v>85732</v>
      </c>
      <c r="C35860" s="2">
        <v>4.5105415238660398E-3</v>
      </c>
      <c r="D35860" s="2">
        <v>1.8263473053892199E-2</v>
      </c>
      <c r="E35860" s="2">
        <v>8.8144557073600697E-5</v>
      </c>
      <c r="F35860" s="2">
        <v>5.2316025833931299E-3</v>
      </c>
    </row>
    <row r="35861" spans="1:6" x14ac:dyDescent="0.25">
      <c r="A35861" s="1" t="str">
        <f t="shared" si="1292"/>
        <v>46060</v>
      </c>
      <c r="B35861" s="1" t="str">
        <f>"85757"</f>
        <v>85757</v>
      </c>
      <c r="C35861" s="2">
        <v>1.3818387476426599E-2</v>
      </c>
      <c r="D35861" s="2">
        <v>8.1654872074033704E-4</v>
      </c>
      <c r="E35861" s="2">
        <v>9.0788893785808695E-3</v>
      </c>
      <c r="F35861" s="2">
        <v>1.2776292898517901E-2</v>
      </c>
    </row>
    <row r="35862" spans="1:6" x14ac:dyDescent="0.25">
      <c r="A35862" s="1" t="str">
        <f t="shared" si="1292"/>
        <v>46060</v>
      </c>
      <c r="B35862" s="1" t="str">
        <f>"85645"</f>
        <v>85645</v>
      </c>
      <c r="C35862" s="2">
        <v>1.26056193580892E-3</v>
      </c>
      <c r="D35862" s="2">
        <v>2.4496461622210098E-4</v>
      </c>
      <c r="E35862" s="2">
        <v>1.3221683561040099E-4</v>
      </c>
      <c r="F35862" s="2">
        <v>1.1485308598667701E-3</v>
      </c>
    </row>
    <row r="35863" spans="1:6" x14ac:dyDescent="0.25">
      <c r="A35863" s="1" t="str">
        <f t="shared" si="1292"/>
        <v>46060</v>
      </c>
      <c r="B35863" s="1" t="str">
        <f>"85341"</f>
        <v>85341</v>
      </c>
      <c r="C35863" s="2">
        <v>0</v>
      </c>
      <c r="D35863" s="2">
        <v>2.7218290691344499E-5</v>
      </c>
      <c r="E35863" s="2">
        <v>0</v>
      </c>
      <c r="F35863" s="2">
        <v>1.7806679997934399E-6</v>
      </c>
    </row>
    <row r="35864" spans="1:6" x14ac:dyDescent="0.25">
      <c r="A35864" s="1" t="str">
        <f t="shared" si="1292"/>
        <v>46060</v>
      </c>
      <c r="B35864" s="1" t="str">
        <f>"85738"</f>
        <v>85738</v>
      </c>
      <c r="C35864" s="2">
        <v>1.8938300173053401E-3</v>
      </c>
      <c r="D35864" s="2">
        <v>2.6946107784431099E-3</v>
      </c>
      <c r="E35864" s="2">
        <v>8.8144557073600697E-5</v>
      </c>
      <c r="F35864" s="2">
        <v>1.8732627357827001E-3</v>
      </c>
    </row>
    <row r="35865" spans="1:6" x14ac:dyDescent="0.25">
      <c r="A35865" s="1" t="str">
        <f t="shared" si="1292"/>
        <v>46060</v>
      </c>
      <c r="B35865" s="1" t="str">
        <f>"85725"</f>
        <v>85725</v>
      </c>
      <c r="C35865" s="2">
        <v>1.5015224322273699E-3</v>
      </c>
      <c r="D35865" s="2">
        <v>1.55144256940664E-3</v>
      </c>
      <c r="E35865" s="2">
        <v>8.8144557073600697E-5</v>
      </c>
      <c r="F35865" s="2">
        <v>1.44768308383206E-3</v>
      </c>
    </row>
    <row r="35866" spans="1:6" x14ac:dyDescent="0.25">
      <c r="A35866" s="1" t="str">
        <f t="shared" si="1292"/>
        <v>46060</v>
      </c>
      <c r="B35866" s="1" t="str">
        <f>"85741"</f>
        <v>85741</v>
      </c>
      <c r="C35866" s="2">
        <v>2.8867465752742599E-2</v>
      </c>
      <c r="D35866" s="2">
        <v>3.1137724550898201E-2</v>
      </c>
      <c r="E35866" s="2">
        <v>3.1423534596738599E-2</v>
      </c>
      <c r="F35866" s="2">
        <v>2.9119263800622099E-2</v>
      </c>
    </row>
    <row r="35867" spans="1:6" x14ac:dyDescent="0.25">
      <c r="A35867" s="1" t="str">
        <f t="shared" si="1292"/>
        <v>46060</v>
      </c>
      <c r="B35867" s="1" t="str">
        <f>"85710"</f>
        <v>85710</v>
      </c>
      <c r="C35867" s="2">
        <v>5.8354259723552501E-2</v>
      </c>
      <c r="D35867" s="2">
        <v>4.7005988023951999E-2</v>
      </c>
      <c r="E35867" s="2">
        <v>4.74658439841339E-2</v>
      </c>
      <c r="F35867" s="2">
        <v>5.7171907469367997E-2</v>
      </c>
    </row>
    <row r="35868" spans="1:6" x14ac:dyDescent="0.25">
      <c r="A35868" s="1" t="str">
        <f t="shared" si="1292"/>
        <v>46060</v>
      </c>
      <c r="B35868" s="1" t="str">
        <f>"85707"</f>
        <v>85707</v>
      </c>
      <c r="C35868" s="2">
        <v>1.6707922024386699E-3</v>
      </c>
      <c r="D35868" s="2">
        <v>1.1186717474142601E-2</v>
      </c>
      <c r="E35868" s="2">
        <v>1.8554429263992901E-2</v>
      </c>
      <c r="F35868" s="2">
        <v>2.9754962276548401E-3</v>
      </c>
    </row>
    <row r="35869" spans="1:6" x14ac:dyDescent="0.25">
      <c r="A35869" s="1" t="str">
        <f t="shared" si="1292"/>
        <v>46060</v>
      </c>
      <c r="B35869" s="1" t="str">
        <f>"85747"</f>
        <v>85747</v>
      </c>
      <c r="C35869" s="2">
        <v>1.99399789308921E-2</v>
      </c>
      <c r="D35869" s="2">
        <v>1.0914534567229101E-2</v>
      </c>
      <c r="E35869" s="2">
        <v>8.9026002644336695E-3</v>
      </c>
      <c r="F35869" s="2">
        <v>1.89035714858071E-2</v>
      </c>
    </row>
    <row r="35870" spans="1:6" x14ac:dyDescent="0.25">
      <c r="A35870" s="1" t="str">
        <f t="shared" si="1292"/>
        <v>46060</v>
      </c>
      <c r="B35870" s="1" t="str">
        <f>"85629"</f>
        <v>85629</v>
      </c>
      <c r="C35870" s="2">
        <v>2.5601554892195E-2</v>
      </c>
      <c r="D35870" s="2">
        <v>7.5394665215024401E-3</v>
      </c>
      <c r="E35870" s="2">
        <v>8.9907448215072704E-3</v>
      </c>
      <c r="F35870" s="2">
        <v>2.37487691132451E-2</v>
      </c>
    </row>
    <row r="35871" spans="1:6" x14ac:dyDescent="0.25">
      <c r="A35871" s="1" t="str">
        <f t="shared" si="1292"/>
        <v>46060</v>
      </c>
      <c r="B35871" s="1" t="str">
        <f>"85619"</f>
        <v>85619</v>
      </c>
      <c r="C35871" s="2">
        <v>0</v>
      </c>
      <c r="D35871" s="2">
        <v>2.7218290691344499E-5</v>
      </c>
      <c r="E35871" s="2">
        <v>0</v>
      </c>
      <c r="F35871" s="2">
        <v>1.7806679997934399E-6</v>
      </c>
    </row>
    <row r="35872" spans="1:6" x14ac:dyDescent="0.25">
      <c r="A35872" s="1" t="str">
        <f t="shared" si="1292"/>
        <v>46060</v>
      </c>
      <c r="B35872" s="1" t="str">
        <f>"85634"</f>
        <v>85634</v>
      </c>
      <c r="C35872" s="2">
        <v>1.61901556684463E-3</v>
      </c>
      <c r="D35872" s="2">
        <v>3.5383777898747898E-4</v>
      </c>
      <c r="E35872" s="2">
        <v>1.3221683561040099E-4</v>
      </c>
      <c r="F35872" s="2">
        <v>1.4761737718287601E-3</v>
      </c>
    </row>
    <row r="35873" spans="1:6" x14ac:dyDescent="0.25">
      <c r="A35873" s="1" t="str">
        <f t="shared" si="1292"/>
        <v>46060</v>
      </c>
      <c r="B35873" s="1" t="str">
        <f>"85744"</f>
        <v>85744</v>
      </c>
      <c r="C35873" s="2">
        <v>0</v>
      </c>
      <c r="D35873" s="2">
        <v>2.7218290691344499E-5</v>
      </c>
      <c r="E35873" s="2">
        <v>0</v>
      </c>
      <c r="F35873" s="2">
        <v>1.7806679997934399E-6</v>
      </c>
    </row>
    <row r="35874" spans="1:6" x14ac:dyDescent="0.25">
      <c r="A35874" s="1" t="str">
        <f t="shared" si="1292"/>
        <v>46060</v>
      </c>
      <c r="B35874" s="1" t="str">
        <f>"85752"</f>
        <v>85752</v>
      </c>
      <c r="C35874" s="2">
        <v>3.36548131361307E-3</v>
      </c>
      <c r="D35874" s="2">
        <v>1.29831246597713E-2</v>
      </c>
      <c r="E35874" s="2">
        <v>8.8144557073600697E-5</v>
      </c>
      <c r="F35874" s="2">
        <v>3.8622688915519701E-3</v>
      </c>
    </row>
    <row r="35875" spans="1:6" x14ac:dyDescent="0.25">
      <c r="A35875" s="1" t="str">
        <f t="shared" si="1292"/>
        <v>46060</v>
      </c>
      <c r="B35875" s="1" t="str">
        <f>"85611"</f>
        <v>85611</v>
      </c>
      <c r="C35875" s="2">
        <v>1.8520104270178399E-4</v>
      </c>
      <c r="D35875" s="2">
        <v>0</v>
      </c>
      <c r="E35875" s="2">
        <v>0</v>
      </c>
      <c r="F35875" s="2">
        <v>1.6560212398079001E-4</v>
      </c>
    </row>
    <row r="35876" spans="1:6" x14ac:dyDescent="0.25">
      <c r="A35876" s="1" t="str">
        <f t="shared" si="1292"/>
        <v>46060</v>
      </c>
      <c r="B35876" s="1" t="str">
        <f>"85733"</f>
        <v>85733</v>
      </c>
      <c r="C35876" s="2">
        <v>2.17063587682736E-3</v>
      </c>
      <c r="D35876" s="2">
        <v>9.0636908002177403E-3</v>
      </c>
      <c r="E35876" s="2">
        <v>8.8144557073600697E-5</v>
      </c>
      <c r="F35876" s="2">
        <v>2.5374518997056499E-3</v>
      </c>
    </row>
    <row r="35877" spans="1:6" x14ac:dyDescent="0.25">
      <c r="A35877" s="1" t="str">
        <f t="shared" si="1292"/>
        <v>46060</v>
      </c>
      <c r="B35877" s="1" t="str">
        <f>"85735"</f>
        <v>85735</v>
      </c>
      <c r="C35877" s="2">
        <v>9.5567720852243396E-3</v>
      </c>
      <c r="D35877" s="2">
        <v>2.2046815459989101E-3</v>
      </c>
      <c r="E35877" s="2">
        <v>1.10621419127368E-2</v>
      </c>
      <c r="F35877" s="2">
        <v>9.1366075069401493E-3</v>
      </c>
    </row>
    <row r="35878" spans="1:6" x14ac:dyDescent="0.25">
      <c r="A35878" s="1" t="str">
        <f t="shared" si="1292"/>
        <v>46060</v>
      </c>
      <c r="B35878" s="1" t="str">
        <f>"85737"</f>
        <v>85737</v>
      </c>
      <c r="C35878" s="2">
        <v>2.35842575130885E-2</v>
      </c>
      <c r="D35878" s="2">
        <v>2.1039738704409301E-2</v>
      </c>
      <c r="E35878" s="2">
        <v>5.6853239312472399E-3</v>
      </c>
      <c r="F35878" s="2">
        <v>2.2694613657367399E-2</v>
      </c>
    </row>
    <row r="35879" spans="1:6" x14ac:dyDescent="0.25">
      <c r="A35879" s="1" t="str">
        <f t="shared" si="1292"/>
        <v>46060</v>
      </c>
      <c r="B35879" s="1" t="str">
        <f>"85706"</f>
        <v>85706</v>
      </c>
      <c r="C35879" s="2">
        <v>3.9449813504541402E-2</v>
      </c>
      <c r="D35879" s="2">
        <v>2.7789874795862798E-2</v>
      </c>
      <c r="E35879" s="2">
        <v>4.3102688408990703E-2</v>
      </c>
      <c r="F35879" s="2">
        <v>3.8834588407495103E-2</v>
      </c>
    </row>
    <row r="35880" spans="1:6" x14ac:dyDescent="0.25">
      <c r="A35880" s="1" t="str">
        <f t="shared" si="1292"/>
        <v>46060</v>
      </c>
      <c r="B35880" s="1" t="str">
        <f>"85740"</f>
        <v>85740</v>
      </c>
      <c r="C35880" s="2">
        <v>1.83010492734344E-3</v>
      </c>
      <c r="D35880" s="2">
        <v>1.0887316276537801E-2</v>
      </c>
      <c r="E35880" s="2">
        <v>8.8144557073600697E-5</v>
      </c>
      <c r="F35880" s="2">
        <v>2.3522624277271301E-3</v>
      </c>
    </row>
    <row r="35881" spans="1:6" x14ac:dyDescent="0.25">
      <c r="A35881" s="1" t="str">
        <f t="shared" si="1292"/>
        <v>46060</v>
      </c>
      <c r="B35881" s="1" t="str">
        <f>"85601"</f>
        <v>85601</v>
      </c>
      <c r="C35881" s="2">
        <v>3.0866840450297398E-4</v>
      </c>
      <c r="D35881" s="2">
        <v>5.4436581382689101E-5</v>
      </c>
      <c r="E35881" s="2">
        <v>0</v>
      </c>
      <c r="F35881" s="2">
        <v>2.7956487596757001E-4</v>
      </c>
    </row>
    <row r="35882" spans="1:6" x14ac:dyDescent="0.25">
      <c r="A35882" s="1" t="str">
        <f t="shared" si="1292"/>
        <v>46060</v>
      </c>
      <c r="B35882" s="1" t="str">
        <f>"85639"</f>
        <v>85639</v>
      </c>
      <c r="C35882" s="2">
        <v>0</v>
      </c>
      <c r="D35882" s="2">
        <v>0</v>
      </c>
      <c r="E35882" s="2">
        <v>4.4072278536800301E-5</v>
      </c>
      <c r="F35882" s="2">
        <v>1.7806679997934399E-6</v>
      </c>
    </row>
    <row r="35883" spans="1:6" x14ac:dyDescent="0.25">
      <c r="A35883" s="1" t="str">
        <f t="shared" si="1292"/>
        <v>46060</v>
      </c>
      <c r="B35883" s="1" t="str">
        <f>"85717"</f>
        <v>85717</v>
      </c>
      <c r="C35883" s="2">
        <v>1.6309640212124801E-3</v>
      </c>
      <c r="D35883" s="2">
        <v>8.0838323353293398E-3</v>
      </c>
      <c r="E35883" s="2">
        <v>8.8144557073600697E-5</v>
      </c>
      <c r="F35883" s="2">
        <v>1.9907868237690599E-3</v>
      </c>
    </row>
    <row r="35884" spans="1:6" x14ac:dyDescent="0.25">
      <c r="A35884" s="1" t="str">
        <f t="shared" si="1292"/>
        <v>46060</v>
      </c>
      <c r="B35884" s="1" t="str">
        <f>"85751"</f>
        <v>85751</v>
      </c>
      <c r="C35884" s="2">
        <v>2.7640757770976002E-3</v>
      </c>
      <c r="D35884" s="2">
        <v>1.6031573217201899E-2</v>
      </c>
      <c r="E35884" s="2">
        <v>8.8144557073600697E-5</v>
      </c>
      <c r="F35884" s="2">
        <v>3.5239419715912199E-3</v>
      </c>
    </row>
    <row r="35885" spans="1:6" x14ac:dyDescent="0.25">
      <c r="A35885" s="1" t="str">
        <f t="shared" si="1292"/>
        <v>46060</v>
      </c>
      <c r="B35885" s="1" t="str">
        <f>"85716"</f>
        <v>85716</v>
      </c>
      <c r="C35885" s="2">
        <v>3.6731540135853898E-2</v>
      </c>
      <c r="D35885" s="2">
        <v>3.88132825258573E-2</v>
      </c>
      <c r="E35885" s="2">
        <v>6.4037020713970896E-2</v>
      </c>
      <c r="F35885" s="2">
        <v>3.7970964427595302E-2</v>
      </c>
    </row>
    <row r="35886" spans="1:6" x14ac:dyDescent="0.25">
      <c r="A35886" s="1" t="str">
        <f t="shared" si="1292"/>
        <v>46060</v>
      </c>
      <c r="B35886" s="1" t="str">
        <f>"85718"</f>
        <v>85718</v>
      </c>
      <c r="C35886" s="2">
        <v>3.2073634341450899E-2</v>
      </c>
      <c r="D35886" s="2">
        <v>2.39248775176918E-2</v>
      </c>
      <c r="E35886" s="2">
        <v>3.04098721903922E-2</v>
      </c>
      <c r="F35886" s="2">
        <v>3.1473306896349001E-2</v>
      </c>
    </row>
    <row r="35887" spans="1:6" x14ac:dyDescent="0.25">
      <c r="A35887" s="1" t="str">
        <f t="shared" ref="A35887:A35918" si="1293">"46060"</f>
        <v>46060</v>
      </c>
      <c r="B35887" s="1" t="str">
        <f>"85743"</f>
        <v>85743</v>
      </c>
      <c r="C35887" s="2">
        <v>2.6029707840376601E-2</v>
      </c>
      <c r="D35887" s="2">
        <v>1.29014697876973E-2</v>
      </c>
      <c r="E35887" s="2">
        <v>2.5650066108417802E-2</v>
      </c>
      <c r="F35887" s="2">
        <v>2.5155496833081901E-2</v>
      </c>
    </row>
    <row r="35888" spans="1:6" x14ac:dyDescent="0.25">
      <c r="A35888" s="1" t="str">
        <f t="shared" si="1293"/>
        <v>46060</v>
      </c>
      <c r="B35888" s="1" t="str">
        <f>"85746"</f>
        <v>85746</v>
      </c>
      <c r="C35888" s="2">
        <v>3.0030448644547399E-2</v>
      </c>
      <c r="D35888" s="2">
        <v>8.1110506260206796E-3</v>
      </c>
      <c r="E35888" s="2">
        <v>3.0453944468929E-2</v>
      </c>
      <c r="F35888" s="2">
        <v>2.8613554088680802E-2</v>
      </c>
    </row>
    <row r="35889" spans="1:6" x14ac:dyDescent="0.25">
      <c r="A35889" s="1" t="str">
        <f t="shared" si="1293"/>
        <v>46060</v>
      </c>
      <c r="B35889" s="1" t="str">
        <f>"85704"</f>
        <v>85704</v>
      </c>
      <c r="C35889" s="2">
        <v>3.4489213532819397E-2</v>
      </c>
      <c r="D35889" s="2">
        <v>3.9085465432770798E-2</v>
      </c>
      <c r="E35889" s="2">
        <v>3.04980167474658E-2</v>
      </c>
      <c r="F35889" s="2">
        <v>3.4628650591983001E-2</v>
      </c>
    </row>
    <row r="35890" spans="1:6" x14ac:dyDescent="0.25">
      <c r="A35890" s="1" t="str">
        <f t="shared" si="1293"/>
        <v>46060</v>
      </c>
      <c r="B35890" s="1" t="str">
        <f>"85723"</f>
        <v>85723</v>
      </c>
      <c r="C35890" s="2">
        <v>0</v>
      </c>
      <c r="D35890" s="2">
        <v>2.7218290691344499E-5</v>
      </c>
      <c r="E35890" s="2">
        <v>0</v>
      </c>
      <c r="F35890" s="2">
        <v>1.7806679997934399E-6</v>
      </c>
    </row>
    <row r="35891" spans="1:6" x14ac:dyDescent="0.25">
      <c r="A35891" s="1" t="str">
        <f t="shared" si="1293"/>
        <v>46060</v>
      </c>
      <c r="B35891" s="1" t="str">
        <f>"85703"</f>
        <v>85703</v>
      </c>
      <c r="C35891" s="2">
        <v>1.7882853370559399E-3</v>
      </c>
      <c r="D35891" s="2">
        <v>4.7904191616766397E-3</v>
      </c>
      <c r="E35891" s="2">
        <v>8.8144557073600697E-5</v>
      </c>
      <c r="F35891" s="2">
        <v>1.91599876777774E-3</v>
      </c>
    </row>
    <row r="35892" spans="1:6" x14ac:dyDescent="0.25">
      <c r="A35892" s="1" t="str">
        <f t="shared" si="1293"/>
        <v>46060</v>
      </c>
      <c r="B35892" s="1" t="str">
        <f>"85736"</f>
        <v>85736</v>
      </c>
      <c r="C35892" s="2">
        <v>3.5566565834987802E-3</v>
      </c>
      <c r="D35892" s="2">
        <v>2.7218290691344499E-4</v>
      </c>
      <c r="E35892" s="2">
        <v>9.2551784927280697E-4</v>
      </c>
      <c r="F35892" s="2">
        <v>3.23547375562468E-3</v>
      </c>
    </row>
    <row r="35893" spans="1:6" x14ac:dyDescent="0.25">
      <c r="A35893" s="1" t="str">
        <f t="shared" si="1293"/>
        <v>46060</v>
      </c>
      <c r="B35893" s="1" t="str">
        <f>"85748"</f>
        <v>85748</v>
      </c>
      <c r="C35893" s="2">
        <v>1.6881174612720699E-2</v>
      </c>
      <c r="D35893" s="2">
        <v>4.8992923244420197E-3</v>
      </c>
      <c r="E35893" s="2">
        <v>2.6443367122080202E-3</v>
      </c>
      <c r="F35893" s="2">
        <v>1.55220829541994E-2</v>
      </c>
    </row>
    <row r="35894" spans="1:6" x14ac:dyDescent="0.25">
      <c r="A35894" s="1" t="str">
        <f t="shared" si="1293"/>
        <v>46060</v>
      </c>
      <c r="B35894" s="1" t="str">
        <f>"85750"</f>
        <v>85750</v>
      </c>
      <c r="C35894" s="2">
        <v>2.70274037800926E-2</v>
      </c>
      <c r="D35894" s="2">
        <v>4.8992923244420197E-3</v>
      </c>
      <c r="E35894" s="2">
        <v>7.3159982371088497E-3</v>
      </c>
      <c r="F35894" s="2">
        <v>2.47833372211251E-2</v>
      </c>
    </row>
    <row r="35895" spans="1:6" x14ac:dyDescent="0.25">
      <c r="A35895" s="1" t="str">
        <f t="shared" si="1293"/>
        <v>46060</v>
      </c>
      <c r="B35895" s="1" t="str">
        <f>"85702"</f>
        <v>85702</v>
      </c>
      <c r="C35895" s="2">
        <v>3.30573904177378E-3</v>
      </c>
      <c r="D35895" s="2">
        <v>8.9820359281437105E-3</v>
      </c>
      <c r="E35895" s="2">
        <v>8.8144557073600697E-5</v>
      </c>
      <c r="F35895" s="2">
        <v>3.5470906555885302E-3</v>
      </c>
    </row>
    <row r="35896" spans="1:6" x14ac:dyDescent="0.25">
      <c r="A35896" s="1" t="str">
        <f t="shared" si="1293"/>
        <v>46060</v>
      </c>
      <c r="B35896" s="1" t="str">
        <f>"85321"</f>
        <v>85321</v>
      </c>
      <c r="C35896" s="2">
        <v>4.9446686992315097E-3</v>
      </c>
      <c r="D35896" s="2">
        <v>5.0081654872073996E-3</v>
      </c>
      <c r="E35896" s="2">
        <v>2.9528426619656201E-3</v>
      </c>
      <c r="F35896" s="2">
        <v>4.8683463114352699E-3</v>
      </c>
    </row>
    <row r="35897" spans="1:6" x14ac:dyDescent="0.25">
      <c r="A35897" s="1" t="str">
        <f t="shared" si="1293"/>
        <v>46060</v>
      </c>
      <c r="B35897" s="1" t="str">
        <f>"85739"</f>
        <v>85739</v>
      </c>
      <c r="C35897" s="2">
        <v>7.9875417449124398E-3</v>
      </c>
      <c r="D35897" s="2">
        <v>6.0152422427871503E-3</v>
      </c>
      <c r="E35897" s="2">
        <v>2.26972234464521E-2</v>
      </c>
      <c r="F35897" s="2">
        <v>8.4528309950194693E-3</v>
      </c>
    </row>
    <row r="35898" spans="1:6" x14ac:dyDescent="0.25">
      <c r="A35898" s="1" t="str">
        <f t="shared" si="1293"/>
        <v>46060</v>
      </c>
      <c r="B35898" s="1" t="str">
        <f>"85633"</f>
        <v>85633</v>
      </c>
      <c r="C35898" s="2">
        <v>0</v>
      </c>
      <c r="D35898" s="2">
        <v>0</v>
      </c>
      <c r="E35898" s="2">
        <v>4.4072278536800301E-5</v>
      </c>
      <c r="F35898" s="2">
        <v>1.7806679997934399E-6</v>
      </c>
    </row>
    <row r="35899" spans="1:6" x14ac:dyDescent="0.25">
      <c r="A35899" s="1" t="str">
        <f t="shared" si="1293"/>
        <v>46060</v>
      </c>
      <c r="B35899" s="1" t="str">
        <f>"85721"</f>
        <v>85721</v>
      </c>
      <c r="C35899" s="2">
        <v>0</v>
      </c>
      <c r="D35899" s="2">
        <v>5.9880239520957996E-4</v>
      </c>
      <c r="E35899" s="2">
        <v>1.3221683561040099E-4</v>
      </c>
      <c r="F35899" s="2">
        <v>4.4516699994835999E-5</v>
      </c>
    </row>
    <row r="35900" spans="1:6" x14ac:dyDescent="0.25">
      <c r="A35900" s="1" t="str">
        <f t="shared" si="1293"/>
        <v>46060</v>
      </c>
      <c r="B35900" s="1" t="str">
        <f>"85712"</f>
        <v>85712</v>
      </c>
      <c r="C35900" s="2">
        <v>3.6518459366293797E-2</v>
      </c>
      <c r="D35900" s="2">
        <v>6.3663581927054902E-2</v>
      </c>
      <c r="E35900" s="2">
        <v>5.41648303217276E-2</v>
      </c>
      <c r="F35900" s="2">
        <v>3.90073132034751E-2</v>
      </c>
    </row>
    <row r="35901" spans="1:6" x14ac:dyDescent="0.25">
      <c r="A35901" s="1" t="str">
        <f t="shared" si="1293"/>
        <v>46060</v>
      </c>
      <c r="B35901" s="1" t="str">
        <f>"85713"</f>
        <v>85713</v>
      </c>
      <c r="C35901" s="2">
        <v>3.8860356422393702E-2</v>
      </c>
      <c r="D35901" s="2">
        <v>5.5906369080021702E-2</v>
      </c>
      <c r="E35901" s="2">
        <v>5.5046275892463602E-2</v>
      </c>
      <c r="F35901" s="2">
        <v>4.0629501751286899E-2</v>
      </c>
    </row>
    <row r="35902" spans="1:6" x14ac:dyDescent="0.25">
      <c r="A35902" s="1" t="str">
        <f t="shared" si="1293"/>
        <v>46060</v>
      </c>
      <c r="B35902" s="1" t="str">
        <f>"85730"</f>
        <v>85730</v>
      </c>
      <c r="C35902" s="2">
        <v>3.3304325141340199E-2</v>
      </c>
      <c r="D35902" s="2">
        <v>8.2199237887860595E-3</v>
      </c>
      <c r="E35902" s="2">
        <v>9.3433230498016703E-3</v>
      </c>
      <c r="F35902" s="2">
        <v>3.0695154980439301E-2</v>
      </c>
    </row>
    <row r="35903" spans="1:6" x14ac:dyDescent="0.25">
      <c r="A35903" s="1" t="str">
        <f t="shared" si="1293"/>
        <v>46060</v>
      </c>
      <c r="B35903" s="1" t="str">
        <f>"85745"</f>
        <v>85745</v>
      </c>
      <c r="C35903" s="2">
        <v>4.0236420083758599E-2</v>
      </c>
      <c r="D35903" s="2">
        <v>2.4224278715296602E-2</v>
      </c>
      <c r="E35903" s="2">
        <v>3.9665050683120297E-2</v>
      </c>
      <c r="F35903" s="2">
        <v>3.9165792655456701E-2</v>
      </c>
    </row>
    <row r="35904" spans="1:6" x14ac:dyDescent="0.25">
      <c r="A35904" s="1" t="str">
        <f t="shared" si="1293"/>
        <v>46060</v>
      </c>
      <c r="B35904" s="1" t="str">
        <f>"85731"</f>
        <v>85731</v>
      </c>
      <c r="C35904" s="2">
        <v>2.11089360498808E-3</v>
      </c>
      <c r="D35904" s="2">
        <v>1.24659771366358E-2</v>
      </c>
      <c r="E35904" s="2">
        <v>8.8144557073600697E-5</v>
      </c>
      <c r="F35904" s="2">
        <v>2.70661535968603E-3</v>
      </c>
    </row>
    <row r="35905" spans="1:6" x14ac:dyDescent="0.25">
      <c r="A35905" s="1" t="str">
        <f t="shared" si="1293"/>
        <v>46060</v>
      </c>
      <c r="B35905" s="1" t="str">
        <f>"85701"</f>
        <v>85701</v>
      </c>
      <c r="C35905" s="2">
        <v>6.9520090330314997E-3</v>
      </c>
      <c r="D35905" s="2">
        <v>2.68100163309744E-2</v>
      </c>
      <c r="E35905" s="2">
        <v>2.48567650947553E-2</v>
      </c>
      <c r="F35905" s="2">
        <v>8.9745667189589495E-3</v>
      </c>
    </row>
    <row r="35906" spans="1:6" x14ac:dyDescent="0.25">
      <c r="A35906" s="1" t="str">
        <f t="shared" si="1293"/>
        <v>46060</v>
      </c>
      <c r="B35906" s="1" t="str">
        <f>"85658"</f>
        <v>85658</v>
      </c>
      <c r="C35906" s="2">
        <v>1.4244549015546899E-2</v>
      </c>
      <c r="D35906" s="2">
        <v>2.3407729994556299E-3</v>
      </c>
      <c r="E35906" s="2">
        <v>1.6306743058616101E-3</v>
      </c>
      <c r="F35906" s="2">
        <v>1.2956140366497001E-2</v>
      </c>
    </row>
    <row r="35907" spans="1:6" x14ac:dyDescent="0.25">
      <c r="A35907" s="1" t="str">
        <f t="shared" si="1293"/>
        <v>46060</v>
      </c>
      <c r="B35907" s="1" t="str">
        <f>"85637"</f>
        <v>85637</v>
      </c>
      <c r="C35907" s="2">
        <v>2.80788677644641E-4</v>
      </c>
      <c r="D35907" s="2">
        <v>0</v>
      </c>
      <c r="E35907" s="2">
        <v>0</v>
      </c>
      <c r="F35907" s="2">
        <v>2.5107418797087498E-4</v>
      </c>
    </row>
    <row r="35908" spans="1:6" x14ac:dyDescent="0.25">
      <c r="A35908" s="1" t="str">
        <f t="shared" si="1293"/>
        <v>46060</v>
      </c>
      <c r="B35908" s="1" t="str">
        <f>"85602"</f>
        <v>85602</v>
      </c>
      <c r="C35908" s="2">
        <v>9.2799662257023196E-4</v>
      </c>
      <c r="D35908" s="2">
        <v>2.7218290691344499E-5</v>
      </c>
      <c r="E35908" s="2">
        <v>7.93301013662406E-4</v>
      </c>
      <c r="F35908" s="2">
        <v>8.6362397989981905E-4</v>
      </c>
    </row>
    <row r="35909" spans="1:6" x14ac:dyDescent="0.25">
      <c r="A35909" s="1" t="str">
        <f t="shared" si="1293"/>
        <v>46060</v>
      </c>
      <c r="B35909" s="1" t="str">
        <f>"85754"</f>
        <v>85754</v>
      </c>
      <c r="C35909" s="2">
        <v>3.1285036353172401E-3</v>
      </c>
      <c r="D35909" s="2">
        <v>1.0043549265106101E-2</v>
      </c>
      <c r="E35909" s="2">
        <v>8.8144557073600697E-5</v>
      </c>
      <c r="F35909" s="2">
        <v>3.4580572555988598E-3</v>
      </c>
    </row>
    <row r="35910" spans="1:6" x14ac:dyDescent="0.25">
      <c r="A35910" s="1" t="str">
        <f t="shared" si="1293"/>
        <v>46060</v>
      </c>
      <c r="B35910" s="1" t="str">
        <f>"85714"</f>
        <v>85714</v>
      </c>
      <c r="C35910" s="2">
        <v>1.0777505839807E-2</v>
      </c>
      <c r="D35910" s="2">
        <v>3.8187261839956403E-2</v>
      </c>
      <c r="E35910" s="2">
        <v>3.2569413838695403E-2</v>
      </c>
      <c r="F35910" s="2">
        <v>1.3451166070439601E-2</v>
      </c>
    </row>
    <row r="35911" spans="1:6" x14ac:dyDescent="0.25">
      <c r="A35911" s="1" t="str">
        <f t="shared" si="1293"/>
        <v>46060</v>
      </c>
      <c r="B35911" s="1" t="str">
        <f>"85749"</f>
        <v>85749</v>
      </c>
      <c r="C35911" s="2">
        <v>1.7100229609464699E-2</v>
      </c>
      <c r="D35911" s="2">
        <v>3.5928143712574798E-3</v>
      </c>
      <c r="E35911" s="2">
        <v>4.05464962538563E-3</v>
      </c>
      <c r="F35911" s="2">
        <v>1.5689465746179999E-2</v>
      </c>
    </row>
    <row r="35912" spans="1:6" x14ac:dyDescent="0.25">
      <c r="A35912" s="1" t="str">
        <f t="shared" si="1293"/>
        <v>46060</v>
      </c>
      <c r="B35912" s="1" t="str">
        <f>"85728"</f>
        <v>85728</v>
      </c>
      <c r="C35912" s="2">
        <v>2.0431856969035499E-3</v>
      </c>
      <c r="D35912" s="2">
        <v>1.40174197060424E-2</v>
      </c>
      <c r="E35912" s="2">
        <v>8.8144557073600697E-5</v>
      </c>
      <c r="F35912" s="2">
        <v>2.7475707236812798E-3</v>
      </c>
    </row>
    <row r="35913" spans="1:6" x14ac:dyDescent="0.25">
      <c r="A35913" s="1" t="str">
        <f t="shared" si="1293"/>
        <v>46060</v>
      </c>
      <c r="B35913" s="1" t="str">
        <f>"85708"</f>
        <v>85708</v>
      </c>
      <c r="C35913" s="2">
        <v>2.3598197376517699E-3</v>
      </c>
      <c r="D35913" s="2">
        <v>1.08873162765378E-4</v>
      </c>
      <c r="E35913" s="2">
        <v>1.31335390039665E-2</v>
      </c>
      <c r="F35913" s="2">
        <v>2.6478533156928399E-3</v>
      </c>
    </row>
    <row r="35914" spans="1:6" x14ac:dyDescent="0.25">
      <c r="A35914" s="1" t="str">
        <f t="shared" si="1293"/>
        <v>46060</v>
      </c>
      <c r="B35914" s="1" t="str">
        <f>"85614"</f>
        <v>85614</v>
      </c>
      <c r="C35914" s="2">
        <v>3.4750088119850898E-2</v>
      </c>
      <c r="D35914" s="2">
        <v>1.7501360914534501E-2</v>
      </c>
      <c r="E35914" s="2">
        <v>5.1256059938298799E-2</v>
      </c>
      <c r="F35914" s="2">
        <v>3.4288543004022502E-2</v>
      </c>
    </row>
    <row r="35915" spans="1:6" x14ac:dyDescent="0.25">
      <c r="A35915" s="1" t="str">
        <f t="shared" si="1293"/>
        <v>46060</v>
      </c>
      <c r="B35915" s="1" t="str">
        <f>"85641"</f>
        <v>85641</v>
      </c>
      <c r="C35915" s="2">
        <v>2.25726217099433E-2</v>
      </c>
      <c r="D35915" s="2">
        <v>2.8307022318998301E-3</v>
      </c>
      <c r="E35915" s="2">
        <v>5.9497576024680398E-3</v>
      </c>
      <c r="F35915" s="2">
        <v>2.06094514296093E-2</v>
      </c>
    </row>
    <row r="35916" spans="1:6" x14ac:dyDescent="0.25">
      <c r="A35916" s="1" t="str">
        <f t="shared" si="1293"/>
        <v>46060</v>
      </c>
      <c r="B35916" s="1" t="str">
        <f>"85705"</f>
        <v>85705</v>
      </c>
      <c r="C35916" s="2">
        <v>5.9449534707272801E-2</v>
      </c>
      <c r="D35916" s="2">
        <v>0.10914534567229101</v>
      </c>
      <c r="E35916" s="2">
        <v>0.122124283825473</v>
      </c>
      <c r="F35916" s="2">
        <v>6.5232991504432902E-2</v>
      </c>
    </row>
    <row r="35917" spans="1:6" x14ac:dyDescent="0.25">
      <c r="A35917" s="1" t="str">
        <f t="shared" si="1293"/>
        <v>46060</v>
      </c>
      <c r="B35917" s="1" t="str">
        <f>"85742"</f>
        <v>85742</v>
      </c>
      <c r="C35917" s="2">
        <v>2.5326740441734299E-2</v>
      </c>
      <c r="D35917" s="2">
        <v>6.3418617310832797E-3</v>
      </c>
      <c r="E35917" s="2">
        <v>4.8038783605112304E-3</v>
      </c>
      <c r="F35917" s="2">
        <v>2.32555240773023E-2</v>
      </c>
    </row>
    <row r="35918" spans="1:6" x14ac:dyDescent="0.25">
      <c r="A35918" s="1" t="str">
        <f t="shared" si="1293"/>
        <v>46060</v>
      </c>
      <c r="B35918" s="1" t="str">
        <f>"85654"</f>
        <v>85654</v>
      </c>
      <c r="C35918" s="2">
        <v>0</v>
      </c>
      <c r="D35918" s="2">
        <v>2.7218290691344499E-5</v>
      </c>
      <c r="E35918" s="2">
        <v>0</v>
      </c>
      <c r="F35918" s="2">
        <v>1.7806679997934399E-6</v>
      </c>
    </row>
    <row r="35919" spans="1:6" x14ac:dyDescent="0.25">
      <c r="A35919" s="1" t="str">
        <f t="shared" ref="A35919:A35925" si="1294">"46060"</f>
        <v>46060</v>
      </c>
      <c r="B35919" s="1" t="str">
        <f>"85709"</f>
        <v>85709</v>
      </c>
      <c r="C35919" s="2">
        <v>0</v>
      </c>
      <c r="D35919" s="2">
        <v>4.8992923244420197E-4</v>
      </c>
      <c r="E35919" s="2">
        <v>8.8144557073600697E-5</v>
      </c>
      <c r="F35919" s="2">
        <v>3.5613359995868801E-5</v>
      </c>
    </row>
    <row r="35920" spans="1:6" x14ac:dyDescent="0.25">
      <c r="A35920" s="1" t="str">
        <f t="shared" si="1294"/>
        <v>46060</v>
      </c>
      <c r="B35920" s="1" t="str">
        <f>"85726"</f>
        <v>85726</v>
      </c>
      <c r="C35920" s="2">
        <v>1.7165946108487901E-3</v>
      </c>
      <c r="D35920" s="2">
        <v>9.2814371257485002E-3</v>
      </c>
      <c r="E35920" s="2">
        <v>2.2036139268400101E-4</v>
      </c>
      <c r="F35920" s="2">
        <v>2.1510469437504699E-3</v>
      </c>
    </row>
    <row r="35921" spans="1:6" x14ac:dyDescent="0.25">
      <c r="A35921" s="1" t="str">
        <f t="shared" si="1294"/>
        <v>46060</v>
      </c>
      <c r="B35921" s="1" t="str">
        <f>"85755"</f>
        <v>85755</v>
      </c>
      <c r="C35921" s="2">
        <v>1.9223071668820702E-2</v>
      </c>
      <c r="D35921" s="2">
        <v>5.6886227544910104E-3</v>
      </c>
      <c r="E35921" s="2">
        <v>3.83428823270163E-3</v>
      </c>
      <c r="F35921" s="2">
        <v>1.77158659299449E-2</v>
      </c>
    </row>
    <row r="35922" spans="1:6" x14ac:dyDescent="0.25">
      <c r="A35922" s="1" t="str">
        <f t="shared" si="1294"/>
        <v>46060</v>
      </c>
      <c r="B35922" s="1" t="str">
        <f>"85756"</f>
        <v>85756</v>
      </c>
      <c r="C35922" s="2">
        <v>2.2564656073698001E-2</v>
      </c>
      <c r="D35922" s="2">
        <v>1.23571039738704E-2</v>
      </c>
      <c r="E35922" s="2">
        <v>1.8951079770824102E-2</v>
      </c>
      <c r="F35922" s="2">
        <v>2.17508596174769E-2</v>
      </c>
    </row>
    <row r="35923" spans="1:6" x14ac:dyDescent="0.25">
      <c r="A35923" s="1" t="str">
        <f t="shared" si="1294"/>
        <v>46060</v>
      </c>
      <c r="B35923" s="1" t="str">
        <f>"85734"</f>
        <v>85734</v>
      </c>
      <c r="C35923" s="2">
        <v>3.9409985323315203E-3</v>
      </c>
      <c r="D35923" s="2">
        <v>6.6140446379967296E-3</v>
      </c>
      <c r="E35923" s="2">
        <v>8.8144557073600697E-5</v>
      </c>
      <c r="F35923" s="2">
        <v>3.9602056315406102E-3</v>
      </c>
    </row>
    <row r="35924" spans="1:6" x14ac:dyDescent="0.25">
      <c r="A35924" s="1" t="str">
        <f t="shared" si="1294"/>
        <v>46060</v>
      </c>
      <c r="B35924" s="1" t="str">
        <f>"85622"</f>
        <v>85622</v>
      </c>
      <c r="C35924" s="2">
        <v>1.20659475024743E-2</v>
      </c>
      <c r="D35924" s="2">
        <v>1.14044637996733E-2</v>
      </c>
      <c r="E35924" s="2">
        <v>1.4543851917144101E-3</v>
      </c>
      <c r="F35924" s="2">
        <v>1.15939293466551E-2</v>
      </c>
    </row>
    <row r="35925" spans="1:6" x14ac:dyDescent="0.25">
      <c r="A35925" s="1" t="str">
        <f t="shared" si="1294"/>
        <v>46060</v>
      </c>
      <c r="B35925" s="1" t="str">
        <f>"85653"</f>
        <v>85653</v>
      </c>
      <c r="C35925" s="2">
        <v>1.5178519865301001E-2</v>
      </c>
      <c r="D35925" s="2">
        <v>3.04844855743059E-3</v>
      </c>
      <c r="E35925" s="2">
        <v>1.84222124283825E-2</v>
      </c>
      <c r="F35925" s="2">
        <v>1.45160055343161E-2</v>
      </c>
    </row>
    <row r="35926" spans="1:6" x14ac:dyDescent="0.25">
      <c r="A35926" s="1" t="str">
        <f t="shared" ref="A35926:A35955" si="1295">"46100"</f>
        <v>46100</v>
      </c>
      <c r="B35926" s="1" t="str">
        <f>"37345"</f>
        <v>37345</v>
      </c>
      <c r="C35926" s="2">
        <v>2.0754753476856399E-2</v>
      </c>
      <c r="D35926" s="2">
        <v>1.34680134680134E-2</v>
      </c>
      <c r="E35926" s="2">
        <v>0</v>
      </c>
      <c r="F35926" s="2">
        <v>1.9789010374820899E-2</v>
      </c>
    </row>
    <row r="35927" spans="1:6" x14ac:dyDescent="0.25">
      <c r="A35927" s="1" t="str">
        <f t="shared" si="1295"/>
        <v>46100</v>
      </c>
      <c r="B35927" s="1" t="str">
        <f>"37388"</f>
        <v>37388</v>
      </c>
      <c r="C35927" s="2">
        <v>0.236368208282558</v>
      </c>
      <c r="D35927" s="2">
        <v>0.30909090909090903</v>
      </c>
      <c r="E35927" s="2">
        <v>0.25</v>
      </c>
      <c r="F35927" s="2">
        <v>0.24228874838439199</v>
      </c>
    </row>
    <row r="35928" spans="1:6" x14ac:dyDescent="0.25">
      <c r="A35928" s="1" t="str">
        <f t="shared" si="1295"/>
        <v>46100</v>
      </c>
      <c r="B35928" s="1" t="str">
        <f>"37328"</f>
        <v>37328</v>
      </c>
      <c r="C35928" s="2">
        <v>1.2766204375326399E-3</v>
      </c>
      <c r="D35928" s="2">
        <v>4.4893378226711501E-4</v>
      </c>
      <c r="E35928" s="2">
        <v>0</v>
      </c>
      <c r="F35928" s="2">
        <v>1.18768994306074E-3</v>
      </c>
    </row>
    <row r="35929" spans="1:6" x14ac:dyDescent="0.25">
      <c r="A35929" s="1" t="str">
        <f t="shared" si="1295"/>
        <v>46100</v>
      </c>
      <c r="B35929" s="1" t="str">
        <f>"37375"</f>
        <v>37375</v>
      </c>
      <c r="C35929" s="2">
        <v>2.55324087506528E-2</v>
      </c>
      <c r="D35929" s="2">
        <v>1.07744107744107E-2</v>
      </c>
      <c r="E35929" s="2">
        <v>5.2727272727272699E-2</v>
      </c>
      <c r="F35929" s="2">
        <v>2.4906556747126801E-2</v>
      </c>
    </row>
    <row r="35930" spans="1:6" x14ac:dyDescent="0.25">
      <c r="A35930" s="1" t="str">
        <f t="shared" si="1295"/>
        <v>46100</v>
      </c>
      <c r="B35930" s="1" t="str">
        <f>"37356"</f>
        <v>37356</v>
      </c>
      <c r="C35930" s="2">
        <v>3.6751194413818397E-4</v>
      </c>
      <c r="D35930" s="2">
        <v>0</v>
      </c>
      <c r="E35930" s="2">
        <v>0</v>
      </c>
      <c r="F35930" s="2">
        <v>3.3185454291403201E-4</v>
      </c>
    </row>
    <row r="35931" spans="1:6" x14ac:dyDescent="0.25">
      <c r="A35931" s="1" t="str">
        <f t="shared" si="1295"/>
        <v>46100</v>
      </c>
      <c r="B35931" s="1" t="str">
        <f>"37160"</f>
        <v>37160</v>
      </c>
      <c r="C35931" s="2">
        <v>2.3404708021431699E-3</v>
      </c>
      <c r="D35931" s="2">
        <v>2.2446689113355699E-4</v>
      </c>
      <c r="E35931" s="2">
        <v>0</v>
      </c>
      <c r="F35931" s="2">
        <v>2.1308554860795699E-3</v>
      </c>
    </row>
    <row r="35932" spans="1:6" x14ac:dyDescent="0.25">
      <c r="A35932" s="1" t="str">
        <f t="shared" si="1295"/>
        <v>46100</v>
      </c>
      <c r="B35932" s="1" t="str">
        <f>"37380"</f>
        <v>37380</v>
      </c>
      <c r="C35932" s="2">
        <v>2.12770072922106E-4</v>
      </c>
      <c r="D35932" s="2">
        <v>0</v>
      </c>
      <c r="E35932" s="2">
        <v>0</v>
      </c>
      <c r="F35932" s="2">
        <v>1.9212631431865E-4</v>
      </c>
    </row>
    <row r="35933" spans="1:6" x14ac:dyDescent="0.25">
      <c r="A35933" s="1" t="str">
        <f t="shared" si="1295"/>
        <v>46100</v>
      </c>
      <c r="B35933" s="1" t="str">
        <f>"37366"</f>
        <v>37366</v>
      </c>
      <c r="C35933" s="2">
        <v>2.9014100853014501E-4</v>
      </c>
      <c r="D35933" s="2">
        <v>0</v>
      </c>
      <c r="E35933" s="2">
        <v>0</v>
      </c>
      <c r="F35933" s="2">
        <v>2.6199042861634102E-4</v>
      </c>
    </row>
    <row r="35934" spans="1:6" x14ac:dyDescent="0.25">
      <c r="A35934" s="1" t="str">
        <f t="shared" si="1295"/>
        <v>46100</v>
      </c>
      <c r="B35934" s="1" t="str">
        <f>"37318"</f>
        <v>37318</v>
      </c>
      <c r="C35934" s="2">
        <v>1.9961701386874E-2</v>
      </c>
      <c r="D35934" s="2">
        <v>1.54882154882154E-2</v>
      </c>
      <c r="E35934" s="2">
        <v>9.0909090909090905E-3</v>
      </c>
      <c r="F35934" s="2">
        <v>1.9404757746183599E-2</v>
      </c>
    </row>
    <row r="35935" spans="1:6" x14ac:dyDescent="0.25">
      <c r="A35935" s="1" t="str">
        <f t="shared" si="1295"/>
        <v>46100</v>
      </c>
      <c r="B35935" s="1" t="str">
        <f>"37026"</f>
        <v>37026</v>
      </c>
      <c r="C35935" s="2">
        <v>7.1568115437435902E-4</v>
      </c>
      <c r="D35935" s="2">
        <v>0</v>
      </c>
      <c r="E35935" s="2">
        <v>0</v>
      </c>
      <c r="F35935" s="2">
        <v>6.4624305725364097E-4</v>
      </c>
    </row>
    <row r="35936" spans="1:6" x14ac:dyDescent="0.25">
      <c r="A35936" s="1" t="str">
        <f t="shared" si="1295"/>
        <v>46100</v>
      </c>
      <c r="B35936" s="1" t="str">
        <f>"37342"</f>
        <v>37342</v>
      </c>
      <c r="C35936" s="2">
        <v>3.3753070659006901E-2</v>
      </c>
      <c r="D35936" s="2">
        <v>1.23456790123456E-2</v>
      </c>
      <c r="E35936" s="2">
        <v>5.4545454545454498E-3</v>
      </c>
      <c r="F35936" s="2">
        <v>3.1543647605407399E-2</v>
      </c>
    </row>
    <row r="35937" spans="1:6" x14ac:dyDescent="0.25">
      <c r="A35937" s="1" t="str">
        <f t="shared" si="1295"/>
        <v>46100</v>
      </c>
      <c r="B35937" s="1" t="str">
        <f>"37376"</f>
        <v>37376</v>
      </c>
      <c r="C35937" s="2">
        <v>4.9130544111104599E-3</v>
      </c>
      <c r="D35937" s="2">
        <v>1.5712682379349001E-3</v>
      </c>
      <c r="E35937" s="2">
        <v>0</v>
      </c>
      <c r="F35937" s="2">
        <v>4.5586334579243298E-3</v>
      </c>
    </row>
    <row r="35938" spans="1:6" x14ac:dyDescent="0.25">
      <c r="A35938" s="1" t="str">
        <f t="shared" si="1295"/>
        <v>46100</v>
      </c>
      <c r="B35938" s="1" t="str">
        <f>"37398"</f>
        <v>37398</v>
      </c>
      <c r="C35938" s="2">
        <v>0.16290450492272501</v>
      </c>
      <c r="D35938" s="2">
        <v>0.245566778900112</v>
      </c>
      <c r="E35938" s="2">
        <v>0.292727272727272</v>
      </c>
      <c r="F35938" s="2">
        <v>0.17183078911517</v>
      </c>
    </row>
    <row r="35939" spans="1:6" x14ac:dyDescent="0.25">
      <c r="A35939" s="1" t="str">
        <f t="shared" si="1295"/>
        <v>46100</v>
      </c>
      <c r="B35939" s="1" t="str">
        <f>"37334"</f>
        <v>37334</v>
      </c>
      <c r="C35939" s="2">
        <v>3.7911758447939001E-3</v>
      </c>
      <c r="D35939" s="2">
        <v>8.97867564534231E-4</v>
      </c>
      <c r="E35939" s="2">
        <v>0</v>
      </c>
      <c r="F35939" s="2">
        <v>3.4932057148845401E-3</v>
      </c>
    </row>
    <row r="35940" spans="1:6" x14ac:dyDescent="0.25">
      <c r="A35940" s="1" t="str">
        <f t="shared" si="1295"/>
        <v>46100</v>
      </c>
      <c r="B35940" s="1" t="str">
        <f>"37018"</f>
        <v>37018</v>
      </c>
      <c r="C35940" s="2">
        <v>2.3578792626549799E-2</v>
      </c>
      <c r="D35940" s="2">
        <v>4.9382716049382698E-3</v>
      </c>
      <c r="E35940" s="2">
        <v>1.8181818181818099E-3</v>
      </c>
      <c r="F35940" s="2">
        <v>2.17102735180074E-2</v>
      </c>
    </row>
    <row r="35941" spans="1:6" x14ac:dyDescent="0.25">
      <c r="A35941" s="1" t="str">
        <f t="shared" si="1295"/>
        <v>46100</v>
      </c>
      <c r="B35941" s="1" t="str">
        <f>"37324"</f>
        <v>37324</v>
      </c>
      <c r="C35941" s="2">
        <v>6.3192711657865705E-2</v>
      </c>
      <c r="D35941" s="2">
        <v>5.9483726150392803E-2</v>
      </c>
      <c r="E35941" s="2">
        <v>3.4545454545454497E-2</v>
      </c>
      <c r="F35941" s="2">
        <v>6.23537220106892E-2</v>
      </c>
    </row>
    <row r="35942" spans="1:6" x14ac:dyDescent="0.25">
      <c r="A35942" s="1" t="str">
        <f t="shared" si="1295"/>
        <v>46100</v>
      </c>
      <c r="B35942" s="1" t="str">
        <f>"37357"</f>
        <v>37357</v>
      </c>
      <c r="C35942" s="2">
        <v>1.24954061006982E-2</v>
      </c>
      <c r="D35942" s="2">
        <v>4.9382716049382698E-3</v>
      </c>
      <c r="E35942" s="2">
        <v>2.7272727272727201E-3</v>
      </c>
      <c r="F35942" s="2">
        <v>1.17197051734376E-2</v>
      </c>
    </row>
    <row r="35943" spans="1:6" x14ac:dyDescent="0.25">
      <c r="A35943" s="1" t="str">
        <f t="shared" si="1295"/>
        <v>46100</v>
      </c>
      <c r="B35943" s="1" t="str">
        <f>"37352"</f>
        <v>37352</v>
      </c>
      <c r="C35943" s="2">
        <v>3.1606027195883797E-2</v>
      </c>
      <c r="D35943" s="2">
        <v>3.8608305274971902E-2</v>
      </c>
      <c r="E35943" s="2">
        <v>8.1818181818181807E-3</v>
      </c>
      <c r="F35943" s="2">
        <v>3.1700841862577198E-2</v>
      </c>
    </row>
    <row r="35944" spans="1:6" x14ac:dyDescent="0.25">
      <c r="A35944" s="1" t="str">
        <f t="shared" si="1295"/>
        <v>46100</v>
      </c>
      <c r="B35944" s="1" t="str">
        <f>"37306"</f>
        <v>37306</v>
      </c>
      <c r="C35944" s="2">
        <v>2.7950250488404001E-2</v>
      </c>
      <c r="D35944" s="2">
        <v>1.4141414141414101E-2</v>
      </c>
      <c r="E35944" s="2">
        <v>2.7272727272727201E-3</v>
      </c>
      <c r="F35944" s="2">
        <v>2.6391169175952699E-2</v>
      </c>
    </row>
    <row r="35945" spans="1:6" x14ac:dyDescent="0.25">
      <c r="A35945" s="1" t="str">
        <f t="shared" si="1295"/>
        <v>46100</v>
      </c>
      <c r="B35945" s="1" t="str">
        <f>"37383"</f>
        <v>37383</v>
      </c>
      <c r="C35945" s="2">
        <v>0</v>
      </c>
      <c r="D35945" s="2">
        <v>2.2446689113355699E-4</v>
      </c>
      <c r="E35945" s="2">
        <v>9.0909090909090898E-4</v>
      </c>
      <c r="F35945" s="2">
        <v>3.49320571488454E-5</v>
      </c>
    </row>
    <row r="35946" spans="1:6" x14ac:dyDescent="0.25">
      <c r="A35946" s="1" t="str">
        <f t="shared" si="1295"/>
        <v>46100</v>
      </c>
      <c r="B35946" s="1" t="str">
        <f>"37359"</f>
        <v>37359</v>
      </c>
      <c r="C35946" s="2">
        <v>2.3791562699471899E-3</v>
      </c>
      <c r="D35946" s="2">
        <v>2.2446689113355699E-4</v>
      </c>
      <c r="E35946" s="2">
        <v>1.8181818181818099E-3</v>
      </c>
      <c r="F35946" s="2">
        <v>2.2007196003772599E-3</v>
      </c>
    </row>
    <row r="35947" spans="1:6" x14ac:dyDescent="0.25">
      <c r="A35947" s="1" t="str">
        <f t="shared" si="1295"/>
        <v>46100</v>
      </c>
      <c r="B35947" s="1" t="str">
        <f>"37355"</f>
        <v>37355</v>
      </c>
      <c r="C35947" s="2">
        <v>0.23938567477127201</v>
      </c>
      <c r="D35947" s="2">
        <v>0.24601571268237901</v>
      </c>
      <c r="E35947" s="2">
        <v>0.203636363636363</v>
      </c>
      <c r="F35947" s="2">
        <v>0.23921472735529301</v>
      </c>
    </row>
    <row r="35948" spans="1:6" x14ac:dyDescent="0.25">
      <c r="A35948" s="1" t="str">
        <f t="shared" si="1295"/>
        <v>46100</v>
      </c>
      <c r="B35948" s="1" t="str">
        <f>"37389"</f>
        <v>37389</v>
      </c>
      <c r="C35948" s="2">
        <v>0</v>
      </c>
      <c r="D35948" s="2">
        <v>2.2446689113355699E-4</v>
      </c>
      <c r="E35948" s="2">
        <v>0.117272727272727</v>
      </c>
      <c r="F35948" s="2">
        <v>2.2705837146749499E-3</v>
      </c>
    </row>
    <row r="35949" spans="1:6" x14ac:dyDescent="0.25">
      <c r="A35949" s="1" t="str">
        <f t="shared" si="1295"/>
        <v>46100</v>
      </c>
      <c r="B35949" s="1" t="str">
        <f>"37183"</f>
        <v>37183</v>
      </c>
      <c r="C35949" s="2">
        <v>5.06779628232654E-3</v>
      </c>
      <c r="D35949" s="2">
        <v>4.4893378226711501E-4</v>
      </c>
      <c r="E35949" s="2">
        <v>0</v>
      </c>
      <c r="F35949" s="2">
        <v>4.6110315436475998E-3</v>
      </c>
    </row>
    <row r="35950" spans="1:6" x14ac:dyDescent="0.25">
      <c r="A35950" s="1" t="str">
        <f t="shared" si="1295"/>
        <v>46100</v>
      </c>
      <c r="B35950" s="1" t="str">
        <f>"37382"</f>
        <v>37382</v>
      </c>
      <c r="C35950" s="2">
        <v>0</v>
      </c>
      <c r="D35950" s="2">
        <v>2.2446689113355699E-4</v>
      </c>
      <c r="E35950" s="2">
        <v>0</v>
      </c>
      <c r="F35950" s="2">
        <v>1.74660285744227E-5</v>
      </c>
    </row>
    <row r="35951" spans="1:6" x14ac:dyDescent="0.25">
      <c r="A35951" s="1" t="str">
        <f t="shared" si="1295"/>
        <v>46100</v>
      </c>
      <c r="B35951" s="1" t="str">
        <f>"37037"</f>
        <v>37037</v>
      </c>
      <c r="C35951" s="2">
        <v>1.54741871216077E-4</v>
      </c>
      <c r="D35951" s="2">
        <v>0</v>
      </c>
      <c r="E35951" s="2">
        <v>0</v>
      </c>
      <c r="F35951" s="2">
        <v>1.39728228595381E-4</v>
      </c>
    </row>
    <row r="35952" spans="1:6" x14ac:dyDescent="0.25">
      <c r="A35952" s="1" t="str">
        <f t="shared" si="1295"/>
        <v>46100</v>
      </c>
      <c r="B35952" s="1" t="str">
        <f>"37144"</f>
        <v>37144</v>
      </c>
      <c r="C35952" s="2">
        <v>1.43136230874871E-3</v>
      </c>
      <c r="D35952" s="2">
        <v>2.2446689113355699E-4</v>
      </c>
      <c r="E35952" s="2">
        <v>0</v>
      </c>
      <c r="F35952" s="2">
        <v>1.3099521430817E-3</v>
      </c>
    </row>
    <row r="35953" spans="1:6" x14ac:dyDescent="0.25">
      <c r="A35953" s="1" t="str">
        <f t="shared" si="1295"/>
        <v>46100</v>
      </c>
      <c r="B35953" s="1" t="str">
        <f>"37335"</f>
        <v>37335</v>
      </c>
      <c r="C35953" s="2">
        <v>2.12770072922106E-4</v>
      </c>
      <c r="D35953" s="2">
        <v>0</v>
      </c>
      <c r="E35953" s="2">
        <v>0</v>
      </c>
      <c r="F35953" s="2">
        <v>1.9212631431865E-4</v>
      </c>
    </row>
    <row r="35954" spans="1:6" x14ac:dyDescent="0.25">
      <c r="A35954" s="1" t="str">
        <f t="shared" si="1295"/>
        <v>46100</v>
      </c>
      <c r="B35954" s="1" t="str">
        <f>"37330"</f>
        <v>37330</v>
      </c>
      <c r="C35954" s="2">
        <v>6.9595156579430897E-2</v>
      </c>
      <c r="D35954" s="2">
        <v>1.3692480359147E-2</v>
      </c>
      <c r="E35954" s="2">
        <v>1.27272727272727E-2</v>
      </c>
      <c r="F35954" s="2">
        <v>6.4152722953854699E-2</v>
      </c>
    </row>
    <row r="35955" spans="1:6" x14ac:dyDescent="0.25">
      <c r="A35955" s="1" t="str">
        <f t="shared" si="1295"/>
        <v>46100</v>
      </c>
      <c r="B35955" s="1" t="str">
        <f>"37360"</f>
        <v>37360</v>
      </c>
      <c r="C35955" s="2">
        <v>9.7680806205149E-3</v>
      </c>
      <c r="D35955" s="2">
        <v>6.7340067340067302E-3</v>
      </c>
      <c r="E35955" s="2">
        <v>3.6363636363636299E-3</v>
      </c>
      <c r="F35955" s="2">
        <v>9.4141894016138601E-3</v>
      </c>
    </row>
    <row r="35956" spans="1:6" x14ac:dyDescent="0.25">
      <c r="A35956" s="1" t="str">
        <f t="shared" ref="A35956:A35987" si="1296">"46140"</f>
        <v>46140</v>
      </c>
      <c r="B35956" s="1" t="str">
        <f>"74066"</f>
        <v>74066</v>
      </c>
      <c r="C35956" s="2">
        <v>2.9596466639772698E-2</v>
      </c>
      <c r="D35956" s="2">
        <v>2.12744278931387E-2</v>
      </c>
      <c r="E35956" s="2">
        <v>1.4158709252551799E-2</v>
      </c>
      <c r="F35956" s="2">
        <v>2.82602306824325E-2</v>
      </c>
    </row>
    <row r="35957" spans="1:6" x14ac:dyDescent="0.25">
      <c r="A35957" s="1" t="str">
        <f t="shared" si="1296"/>
        <v>46140</v>
      </c>
      <c r="B35957" s="1" t="str">
        <f>"74067"</f>
        <v>74067</v>
      </c>
      <c r="C35957" s="2">
        <v>3.0505175690681199E-3</v>
      </c>
      <c r="D35957" s="2">
        <v>7.6824322947445598E-3</v>
      </c>
      <c r="E35957" s="2">
        <v>9.4077802342537205E-5</v>
      </c>
      <c r="F35957" s="2">
        <v>3.3488500346495302E-3</v>
      </c>
    </row>
    <row r="35958" spans="1:6" x14ac:dyDescent="0.25">
      <c r="A35958" s="1" t="str">
        <f t="shared" si="1296"/>
        <v>46140</v>
      </c>
      <c r="B35958" s="1" t="str">
        <f>"74060"</f>
        <v>74060</v>
      </c>
      <c r="C35958" s="2">
        <v>1.70512911154455E-4</v>
      </c>
      <c r="D35958" s="2">
        <v>0</v>
      </c>
      <c r="E35958" s="2">
        <v>4.7038901171268602E-5</v>
      </c>
      <c r="F35958" s="2">
        <v>1.5057126374643E-4</v>
      </c>
    </row>
    <row r="35959" spans="1:6" x14ac:dyDescent="0.25">
      <c r="A35959" s="1" t="str">
        <f t="shared" si="1296"/>
        <v>46140</v>
      </c>
      <c r="B35959" s="1" t="str">
        <f>"74467"</f>
        <v>74467</v>
      </c>
      <c r="C35959" s="2">
        <v>1.7263392541515699E-2</v>
      </c>
      <c r="D35959" s="2">
        <v>1.23285717196829E-2</v>
      </c>
      <c r="E35959" s="2">
        <v>4.8920457218119299E-3</v>
      </c>
      <c r="F35959" s="2">
        <v>1.6346959730350399E-2</v>
      </c>
    </row>
    <row r="35960" spans="1:6" x14ac:dyDescent="0.25">
      <c r="A35960" s="1" t="str">
        <f t="shared" si="1296"/>
        <v>46140</v>
      </c>
      <c r="B35960" s="1" t="str">
        <f>"74637"</f>
        <v>74637</v>
      </c>
      <c r="C35960" s="2">
        <v>2.0419960823618898E-3</v>
      </c>
      <c r="D35960" s="2">
        <v>2.7917592158620799E-3</v>
      </c>
      <c r="E35960" s="2">
        <v>1.4111670351380499E-4</v>
      </c>
      <c r="F35960" s="2">
        <v>2.0354332279939099E-3</v>
      </c>
    </row>
    <row r="35961" spans="1:6" x14ac:dyDescent="0.25">
      <c r="A35961" s="1" t="str">
        <f t="shared" si="1296"/>
        <v>46140</v>
      </c>
      <c r="B35961" s="1" t="str">
        <f>"74134"</f>
        <v>74134</v>
      </c>
      <c r="C35961" s="2">
        <v>1.9440551297353701E-2</v>
      </c>
      <c r="D35961" s="2">
        <v>5.1759623418172898E-3</v>
      </c>
      <c r="E35961" s="2">
        <v>3.2739075215202897E-2</v>
      </c>
      <c r="F35961" s="2">
        <v>1.8683535485837201E-2</v>
      </c>
    </row>
    <row r="35962" spans="1:6" x14ac:dyDescent="0.25">
      <c r="A35962" s="1" t="str">
        <f t="shared" si="1296"/>
        <v>46140</v>
      </c>
      <c r="B35962" s="1" t="str">
        <f>"74080"</f>
        <v>74080</v>
      </c>
      <c r="C35962" s="2">
        <v>2.5306611326216099E-3</v>
      </c>
      <c r="D35962" s="2">
        <v>4.8906730788824803E-4</v>
      </c>
      <c r="E35962" s="2">
        <v>7.0558351756902895E-4</v>
      </c>
      <c r="F35962" s="2">
        <v>2.27852418392189E-3</v>
      </c>
    </row>
    <row r="35963" spans="1:6" x14ac:dyDescent="0.25">
      <c r="A35963" s="1" t="str">
        <f t="shared" si="1296"/>
        <v>46140</v>
      </c>
      <c r="B35963" s="1" t="str">
        <f>"74136"</f>
        <v>74136</v>
      </c>
      <c r="C35963" s="2">
        <v>3.3767794685819502E-2</v>
      </c>
      <c r="D35963" s="2">
        <v>3.34807327858496E-2</v>
      </c>
      <c r="E35963" s="2">
        <v>0.12794581118584999</v>
      </c>
      <c r="F35963" s="2">
        <v>3.7374327418120003E-2</v>
      </c>
    </row>
    <row r="35964" spans="1:6" x14ac:dyDescent="0.25">
      <c r="A35964" s="1" t="str">
        <f t="shared" si="1296"/>
        <v>46140</v>
      </c>
      <c r="B35964" s="1" t="str">
        <f>"74146"</f>
        <v>74146</v>
      </c>
      <c r="C35964" s="2">
        <v>1.3085826218231501E-2</v>
      </c>
      <c r="D35964" s="2">
        <v>4.1061276058117401E-2</v>
      </c>
      <c r="E35964" s="2">
        <v>5.9833482289853697E-2</v>
      </c>
      <c r="F35964" s="2">
        <v>1.73791892372386E-2</v>
      </c>
    </row>
    <row r="35965" spans="1:6" x14ac:dyDescent="0.25">
      <c r="A35965" s="1" t="str">
        <f t="shared" si="1296"/>
        <v>46140</v>
      </c>
      <c r="B35965" s="1" t="str">
        <f>"74017"</f>
        <v>74017</v>
      </c>
      <c r="C35965" s="2">
        <v>2.7148982536982499E-2</v>
      </c>
      <c r="D35965" s="2">
        <v>2.2904652252766201E-2</v>
      </c>
      <c r="E35965" s="2">
        <v>1.8627404863822299E-2</v>
      </c>
      <c r="F35965" s="2">
        <v>2.64424908478069E-2</v>
      </c>
    </row>
    <row r="35966" spans="1:6" x14ac:dyDescent="0.25">
      <c r="A35966" s="1" t="str">
        <f t="shared" si="1296"/>
        <v>46140</v>
      </c>
      <c r="B35966" s="1" t="str">
        <f>"74019"</f>
        <v>74019</v>
      </c>
      <c r="C35966" s="2">
        <v>1.7277948521736201E-2</v>
      </c>
      <c r="D35966" s="2">
        <v>5.8688076946589703E-3</v>
      </c>
      <c r="E35966" s="2">
        <v>3.8571898960440198E-3</v>
      </c>
      <c r="F35966" s="2">
        <v>1.5744674675364698E-2</v>
      </c>
    </row>
    <row r="35967" spans="1:6" x14ac:dyDescent="0.25">
      <c r="A35967" s="1" t="str">
        <f t="shared" si="1296"/>
        <v>46140</v>
      </c>
      <c r="B35967" s="1" t="str">
        <f>"74020"</f>
        <v>74020</v>
      </c>
      <c r="C35967" s="2">
        <v>8.5755517756216405E-3</v>
      </c>
      <c r="D35967" s="2">
        <v>6.2152303710798096E-3</v>
      </c>
      <c r="E35967" s="2">
        <v>2.16378945387835E-3</v>
      </c>
      <c r="F35967" s="2">
        <v>8.11814946102744E-3</v>
      </c>
    </row>
    <row r="35968" spans="1:6" x14ac:dyDescent="0.25">
      <c r="A35968" s="1" t="str">
        <f t="shared" si="1296"/>
        <v>46140</v>
      </c>
      <c r="B35968" s="1" t="str">
        <f>"74035"</f>
        <v>74035</v>
      </c>
      <c r="C35968" s="2">
        <v>3.64315390661714E-3</v>
      </c>
      <c r="D35968" s="2">
        <v>4.0551830945733903E-3</v>
      </c>
      <c r="E35968" s="2">
        <v>1.88155604685074E-4</v>
      </c>
      <c r="F35968" s="2">
        <v>3.54658820029243E-3</v>
      </c>
    </row>
    <row r="35969" spans="1:6" x14ac:dyDescent="0.25">
      <c r="A35969" s="1" t="str">
        <f t="shared" si="1296"/>
        <v>46140</v>
      </c>
      <c r="B35969" s="1" t="str">
        <f>"74044"</f>
        <v>74044</v>
      </c>
      <c r="C35969" s="2">
        <v>5.5603844442318803E-3</v>
      </c>
      <c r="D35969" s="2">
        <v>1.5079575326554301E-3</v>
      </c>
      <c r="E35969" s="2">
        <v>1.27005033162425E-3</v>
      </c>
      <c r="F35969" s="2">
        <v>5.0341597216427099E-3</v>
      </c>
    </row>
    <row r="35970" spans="1:6" x14ac:dyDescent="0.25">
      <c r="A35970" s="1" t="str">
        <f t="shared" si="1296"/>
        <v>46140</v>
      </c>
      <c r="B35970" s="1" t="str">
        <f>"74011"</f>
        <v>74011</v>
      </c>
      <c r="C35970" s="2">
        <v>2.7573185389122901E-2</v>
      </c>
      <c r="D35970" s="2">
        <v>7.5397876632771503E-3</v>
      </c>
      <c r="E35970" s="2">
        <v>6.2561738557787199E-3</v>
      </c>
      <c r="F35970" s="2">
        <v>2.49676181077364E-2</v>
      </c>
    </row>
    <row r="35971" spans="1:6" x14ac:dyDescent="0.25">
      <c r="A35971" s="1" t="str">
        <f t="shared" si="1296"/>
        <v>46140</v>
      </c>
      <c r="B35971" s="1" t="str">
        <f>"74073"</f>
        <v>74073</v>
      </c>
      <c r="C35971" s="2">
        <v>6.4295844059704399E-3</v>
      </c>
      <c r="D35971" s="2">
        <v>2.1804250810017701E-3</v>
      </c>
      <c r="E35971" s="2">
        <v>3.2927230819888002E-4</v>
      </c>
      <c r="F35971" s="2">
        <v>5.8160418261573102E-3</v>
      </c>
    </row>
    <row r="35972" spans="1:6" x14ac:dyDescent="0.25">
      <c r="A35972" s="1" t="str">
        <f t="shared" si="1296"/>
        <v>46140</v>
      </c>
      <c r="B35972" s="1" t="str">
        <f>"74018"</f>
        <v>74018</v>
      </c>
      <c r="C35972" s="2">
        <v>3.5724534312604199E-3</v>
      </c>
      <c r="D35972" s="2">
        <v>9.3737900678580802E-3</v>
      </c>
      <c r="E35972" s="2">
        <v>9.4077802342537205E-5</v>
      </c>
      <c r="F35972" s="2">
        <v>3.9547633128580598E-3</v>
      </c>
    </row>
    <row r="35973" spans="1:6" x14ac:dyDescent="0.25">
      <c r="A35973" s="1" t="str">
        <f t="shared" si="1296"/>
        <v>46140</v>
      </c>
      <c r="B35973" s="1" t="str">
        <f>"74447"</f>
        <v>74447</v>
      </c>
      <c r="C35973" s="2">
        <v>1.71448652740059E-2</v>
      </c>
      <c r="D35973" s="2">
        <v>1.7810201128930302E-2</v>
      </c>
      <c r="E35973" s="2">
        <v>4.1911660943600298E-2</v>
      </c>
      <c r="F35973" s="2">
        <v>1.81592572301418E-2</v>
      </c>
    </row>
    <row r="35974" spans="1:6" x14ac:dyDescent="0.25">
      <c r="A35974" s="1" t="str">
        <f t="shared" si="1296"/>
        <v>46140</v>
      </c>
      <c r="B35974" s="1" t="str">
        <f>"74445"</f>
        <v>74445</v>
      </c>
      <c r="C35974" s="2">
        <v>2.8093041825569399E-3</v>
      </c>
      <c r="D35974" s="2">
        <v>1.4468241191694E-3</v>
      </c>
      <c r="E35974" s="2">
        <v>5.1742791288395505E-4</v>
      </c>
      <c r="F35974" s="2">
        <v>2.59962193914018E-3</v>
      </c>
    </row>
    <row r="35975" spans="1:6" x14ac:dyDescent="0.25">
      <c r="A35975" s="1" t="str">
        <f t="shared" si="1296"/>
        <v>46140</v>
      </c>
      <c r="B35975" s="1" t="str">
        <f>"74421"</f>
        <v>74421</v>
      </c>
      <c r="C35975" s="2">
        <v>3.9467500655019101E-3</v>
      </c>
      <c r="D35975" s="2">
        <v>9.1700120229046495E-4</v>
      </c>
      <c r="E35975" s="2">
        <v>2.3519450585634299E-4</v>
      </c>
      <c r="F35975" s="2">
        <v>3.5338894190126099E-3</v>
      </c>
    </row>
    <row r="35976" spans="1:6" x14ac:dyDescent="0.25">
      <c r="A35976" s="1" t="str">
        <f t="shared" si="1296"/>
        <v>46140</v>
      </c>
      <c r="B35976" s="1" t="str">
        <f>"74112"</f>
        <v>74112</v>
      </c>
      <c r="C35976" s="2">
        <v>2.1788222964346099E-2</v>
      </c>
      <c r="D35976" s="2">
        <v>2.16412283740549E-2</v>
      </c>
      <c r="E35976" s="2">
        <v>2.20612446493249E-2</v>
      </c>
      <c r="F35976" s="2">
        <v>2.1785666341335899E-2</v>
      </c>
    </row>
    <row r="35977" spans="1:6" x14ac:dyDescent="0.25">
      <c r="A35977" s="1" t="str">
        <f t="shared" si="1296"/>
        <v>46140</v>
      </c>
      <c r="B35977" s="1" t="str">
        <f>"74114"</f>
        <v>74114</v>
      </c>
      <c r="C35977" s="2">
        <v>1.64669724808796E-2</v>
      </c>
      <c r="D35977" s="2">
        <v>1.1513459539869099E-2</v>
      </c>
      <c r="E35977" s="2">
        <v>1.3217931229126401E-2</v>
      </c>
      <c r="F35977" s="2">
        <v>1.59006882739453E-2</v>
      </c>
    </row>
    <row r="35978" spans="1:6" x14ac:dyDescent="0.25">
      <c r="A35978" s="1" t="str">
        <f t="shared" si="1296"/>
        <v>46140</v>
      </c>
      <c r="B35978" s="1" t="str">
        <f>"74115"</f>
        <v>74115</v>
      </c>
      <c r="C35978" s="2">
        <v>2.10936947652536E-2</v>
      </c>
      <c r="D35978" s="2">
        <v>2.6491145843946701E-2</v>
      </c>
      <c r="E35978" s="2">
        <v>9.5959358389388003E-3</v>
      </c>
      <c r="F35978" s="2">
        <v>2.1130772049619499E-2</v>
      </c>
    </row>
    <row r="35979" spans="1:6" x14ac:dyDescent="0.25">
      <c r="A35979" s="1" t="str">
        <f t="shared" si="1296"/>
        <v>46140</v>
      </c>
      <c r="B35979" s="1" t="str">
        <f>"74337"</f>
        <v>74337</v>
      </c>
      <c r="C35979" s="2">
        <v>5.1153873346336596E-4</v>
      </c>
      <c r="D35979" s="2">
        <v>6.1133413486031004E-5</v>
      </c>
      <c r="E35979" s="2">
        <v>0</v>
      </c>
      <c r="F35979" s="2">
        <v>4.5171379123929199E-4</v>
      </c>
    </row>
    <row r="35980" spans="1:6" x14ac:dyDescent="0.25">
      <c r="A35980" s="1" t="str">
        <f t="shared" si="1296"/>
        <v>46140</v>
      </c>
      <c r="B35980" s="1" t="str">
        <f>"74182"</f>
        <v>74182</v>
      </c>
      <c r="C35980" s="2">
        <v>0</v>
      </c>
      <c r="D35980" s="2">
        <v>0</v>
      </c>
      <c r="E35980" s="2">
        <v>4.7038901171268602E-5</v>
      </c>
      <c r="F35980" s="2">
        <v>1.8141116114027701E-6</v>
      </c>
    </row>
    <row r="35981" spans="1:6" x14ac:dyDescent="0.25">
      <c r="A35981" s="1" t="str">
        <f t="shared" si="1296"/>
        <v>46140</v>
      </c>
      <c r="B35981" s="1" t="str">
        <f>"74141"</f>
        <v>74141</v>
      </c>
      <c r="C35981" s="2">
        <v>0</v>
      </c>
      <c r="D35981" s="2">
        <v>0</v>
      </c>
      <c r="E35981" s="2">
        <v>4.7038901171268602E-5</v>
      </c>
      <c r="F35981" s="2">
        <v>1.8141116114027701E-6</v>
      </c>
    </row>
    <row r="35982" spans="1:6" x14ac:dyDescent="0.25">
      <c r="A35982" s="1" t="str">
        <f t="shared" si="1296"/>
        <v>46140</v>
      </c>
      <c r="B35982" s="1" t="str">
        <f>"74061"</f>
        <v>74061</v>
      </c>
      <c r="C35982" s="2">
        <v>1.2476554474716199E-5</v>
      </c>
      <c r="D35982" s="2">
        <v>0</v>
      </c>
      <c r="E35982" s="2">
        <v>0</v>
      </c>
      <c r="F35982" s="2">
        <v>1.08846696684166E-5</v>
      </c>
    </row>
    <row r="35983" spans="1:6" x14ac:dyDescent="0.25">
      <c r="A35983" s="1" t="str">
        <f t="shared" si="1296"/>
        <v>46140</v>
      </c>
      <c r="B35983" s="1" t="str">
        <f>"74105"</f>
        <v>74105</v>
      </c>
      <c r="C35983" s="2">
        <v>3.07151976910056E-2</v>
      </c>
      <c r="D35983" s="2">
        <v>2.4677521243861099E-2</v>
      </c>
      <c r="E35983" s="2">
        <v>6.8959029117079795E-2</v>
      </c>
      <c r="F35983" s="2">
        <v>3.1652619395755699E-2</v>
      </c>
    </row>
    <row r="35984" spans="1:6" x14ac:dyDescent="0.25">
      <c r="A35984" s="1" t="str">
        <f t="shared" si="1296"/>
        <v>46140</v>
      </c>
      <c r="B35984" s="1" t="str">
        <f>"74110"</f>
        <v>74110</v>
      </c>
      <c r="C35984" s="2">
        <v>1.32979276443017E-2</v>
      </c>
      <c r="D35984" s="2">
        <v>1.13911927128971E-2</v>
      </c>
      <c r="E35984" s="2">
        <v>6.8676795710052203E-3</v>
      </c>
      <c r="F35984" s="2">
        <v>1.28801924409597E-2</v>
      </c>
    </row>
    <row r="35985" spans="1:6" x14ac:dyDescent="0.25">
      <c r="A35985" s="1" t="str">
        <f t="shared" si="1296"/>
        <v>46140</v>
      </c>
      <c r="B35985" s="1" t="str">
        <f>"74130"</f>
        <v>74130</v>
      </c>
      <c r="C35985" s="2">
        <v>2.3871807561623702E-3</v>
      </c>
      <c r="D35985" s="2">
        <v>6.5208974385099698E-4</v>
      </c>
      <c r="E35985" s="2">
        <v>1.4111670351380499E-4</v>
      </c>
      <c r="F35985" s="2">
        <v>2.14609403628948E-3</v>
      </c>
    </row>
    <row r="35986" spans="1:6" x14ac:dyDescent="0.25">
      <c r="A35986" s="1" t="str">
        <f t="shared" si="1296"/>
        <v>46140</v>
      </c>
      <c r="B35986" s="1" t="str">
        <f>"74106"</f>
        <v>74106</v>
      </c>
      <c r="C35986" s="2">
        <v>1.8043177196185499E-2</v>
      </c>
      <c r="D35986" s="2">
        <v>1.21451714792248E-2</v>
      </c>
      <c r="E35986" s="2">
        <v>2.10734277247283E-2</v>
      </c>
      <c r="F35986" s="2">
        <v>1.7634978974446401E-2</v>
      </c>
    </row>
    <row r="35987" spans="1:6" x14ac:dyDescent="0.25">
      <c r="A35987" s="1" t="str">
        <f t="shared" si="1296"/>
        <v>46140</v>
      </c>
      <c r="B35987" s="1" t="str">
        <f>"74169"</f>
        <v>74169</v>
      </c>
      <c r="C35987" s="2">
        <v>2.1480467953969799E-3</v>
      </c>
      <c r="D35987" s="2">
        <v>6.6431642654820296E-3</v>
      </c>
      <c r="E35987" s="2">
        <v>9.4077802342537205E-5</v>
      </c>
      <c r="F35987" s="2">
        <v>2.4690059031191799E-3</v>
      </c>
    </row>
    <row r="35988" spans="1:6" x14ac:dyDescent="0.25">
      <c r="A35988" s="1" t="str">
        <f t="shared" ref="A35988:A36019" si="1297">"46140"</f>
        <v>46140</v>
      </c>
      <c r="B35988" s="1" t="str">
        <f>"74068"</f>
        <v>74068</v>
      </c>
      <c r="C35988" s="2">
        <v>0</v>
      </c>
      <c r="D35988" s="2">
        <v>0</v>
      </c>
      <c r="E35988" s="2">
        <v>4.7038901171268602E-5</v>
      </c>
      <c r="F35988" s="2">
        <v>1.8141116114027701E-6</v>
      </c>
    </row>
    <row r="35989" spans="1:6" x14ac:dyDescent="0.25">
      <c r="A35989" s="1" t="str">
        <f t="shared" si="1297"/>
        <v>46140</v>
      </c>
      <c r="B35989" s="1" t="str">
        <f>"74051"</f>
        <v>74051</v>
      </c>
      <c r="C35989" s="2">
        <v>4.9906217898865001E-5</v>
      </c>
      <c r="D35989" s="2">
        <v>0</v>
      </c>
      <c r="E35989" s="2">
        <v>0</v>
      </c>
      <c r="F35989" s="2">
        <v>4.3538678673666699E-5</v>
      </c>
    </row>
    <row r="35990" spans="1:6" x14ac:dyDescent="0.25">
      <c r="A35990" s="1" t="str">
        <f t="shared" si="1297"/>
        <v>46140</v>
      </c>
      <c r="B35990" s="1" t="str">
        <f>"73061"</f>
        <v>73061</v>
      </c>
      <c r="C35990" s="2">
        <v>8.3177029831441696E-6</v>
      </c>
      <c r="D35990" s="2">
        <v>0</v>
      </c>
      <c r="E35990" s="2">
        <v>0</v>
      </c>
      <c r="F35990" s="2">
        <v>7.25644644561111E-6</v>
      </c>
    </row>
    <row r="35991" spans="1:6" x14ac:dyDescent="0.25">
      <c r="A35991" s="1" t="str">
        <f t="shared" si="1297"/>
        <v>46140</v>
      </c>
      <c r="B35991" s="1" t="str">
        <f>"74054"</f>
        <v>74054</v>
      </c>
      <c r="C35991" s="2">
        <v>4.2004400064878003E-4</v>
      </c>
      <c r="D35991" s="2">
        <v>8.1511217981374595E-5</v>
      </c>
      <c r="E35991" s="2">
        <v>4.7038901171268602E-5</v>
      </c>
      <c r="F35991" s="2">
        <v>3.7552110356037498E-4</v>
      </c>
    </row>
    <row r="35992" spans="1:6" x14ac:dyDescent="0.25">
      <c r="A35992" s="1" t="str">
        <f t="shared" si="1297"/>
        <v>46140</v>
      </c>
      <c r="B35992" s="1" t="str">
        <f>"74880"</f>
        <v>74880</v>
      </c>
      <c r="C35992" s="2">
        <v>2.6200764396904099E-4</v>
      </c>
      <c r="D35992" s="2">
        <v>4.0755608990687297E-5</v>
      </c>
      <c r="E35992" s="2">
        <v>0</v>
      </c>
      <c r="F35992" s="2">
        <v>2.3220628625955501E-4</v>
      </c>
    </row>
    <row r="35993" spans="1:6" x14ac:dyDescent="0.25">
      <c r="A35993" s="1" t="str">
        <f t="shared" si="1297"/>
        <v>46140</v>
      </c>
      <c r="B35993" s="1" t="str">
        <f>"74016"</f>
        <v>74016</v>
      </c>
      <c r="C35993" s="2">
        <v>5.5208753550619397E-3</v>
      </c>
      <c r="D35993" s="2">
        <v>3.2808265237503301E-3</v>
      </c>
      <c r="E35993" s="2">
        <v>2.6812173667623098E-3</v>
      </c>
      <c r="F35993" s="2">
        <v>5.2119426595601797E-3</v>
      </c>
    </row>
    <row r="35994" spans="1:6" x14ac:dyDescent="0.25">
      <c r="A35994" s="1" t="str">
        <f t="shared" si="1297"/>
        <v>46140</v>
      </c>
      <c r="B35994" s="1" t="str">
        <f>"74650"</f>
        <v>74650</v>
      </c>
      <c r="C35994" s="2">
        <v>6.7373394163467804E-4</v>
      </c>
      <c r="D35994" s="2">
        <v>1.63022435962749E-4</v>
      </c>
      <c r="E35994" s="2">
        <v>4.7038901171268602E-5</v>
      </c>
      <c r="F35994" s="2">
        <v>6.0409916659712496E-4</v>
      </c>
    </row>
    <row r="35995" spans="1:6" x14ac:dyDescent="0.25">
      <c r="A35995" s="1" t="str">
        <f t="shared" si="1297"/>
        <v>46140</v>
      </c>
      <c r="B35995" s="1" t="str">
        <f>"74119"</f>
        <v>74119</v>
      </c>
      <c r="C35995" s="2">
        <v>6.3672016335968602E-3</v>
      </c>
      <c r="D35995" s="2">
        <v>1.6954333340125902E-2</v>
      </c>
      <c r="E35995" s="2">
        <v>1.35472035373253E-2</v>
      </c>
      <c r="F35995" s="2">
        <v>7.5866147588864201E-3</v>
      </c>
    </row>
    <row r="35996" spans="1:6" x14ac:dyDescent="0.25">
      <c r="A35996" s="1" t="str">
        <f t="shared" si="1297"/>
        <v>46140</v>
      </c>
      <c r="B35996" s="1" t="str">
        <f>"74126"</f>
        <v>74126</v>
      </c>
      <c r="C35996" s="2">
        <v>1.0534370828152E-2</v>
      </c>
      <c r="D35996" s="2">
        <v>5.7465408676869098E-3</v>
      </c>
      <c r="E35996" s="2">
        <v>2.82233407027611E-4</v>
      </c>
      <c r="F35996" s="2">
        <v>9.71275356745048E-3</v>
      </c>
    </row>
    <row r="35997" spans="1:6" x14ac:dyDescent="0.25">
      <c r="A35997" s="1" t="str">
        <f t="shared" si="1297"/>
        <v>46140</v>
      </c>
      <c r="B35997" s="1" t="str">
        <f>"74145"</f>
        <v>74145</v>
      </c>
      <c r="C35997" s="2">
        <v>1.7687595393656001E-2</v>
      </c>
      <c r="D35997" s="2">
        <v>4.0388808509771099E-2</v>
      </c>
      <c r="E35997" s="2">
        <v>5.3059880521190997E-2</v>
      </c>
      <c r="F35997" s="2">
        <v>2.1072720478054599E-2</v>
      </c>
    </row>
    <row r="35998" spans="1:6" x14ac:dyDescent="0.25">
      <c r="A35998" s="1" t="str">
        <f t="shared" si="1297"/>
        <v>46140</v>
      </c>
      <c r="B35998" s="1" t="str">
        <f>"74104"</f>
        <v>74104</v>
      </c>
      <c r="C35998" s="2">
        <v>1.34518051494899E-2</v>
      </c>
      <c r="D35998" s="2">
        <v>1.8115868196360501E-2</v>
      </c>
      <c r="E35998" s="2">
        <v>1.49583705724634E-2</v>
      </c>
      <c r="F35998" s="2">
        <v>1.39251207291277E-2</v>
      </c>
    </row>
    <row r="35999" spans="1:6" x14ac:dyDescent="0.25">
      <c r="A35999" s="1" t="str">
        <f t="shared" si="1297"/>
        <v>46140</v>
      </c>
      <c r="B35999" s="1" t="str">
        <f>"74159"</f>
        <v>74159</v>
      </c>
      <c r="C35999" s="2">
        <v>1.3204353485741301E-3</v>
      </c>
      <c r="D35999" s="2">
        <v>8.3345220385955595E-3</v>
      </c>
      <c r="E35999" s="2">
        <v>9.4077802342537205E-5</v>
      </c>
      <c r="F35999" s="2">
        <v>1.8975607455273E-3</v>
      </c>
    </row>
    <row r="36000" spans="1:6" x14ac:dyDescent="0.25">
      <c r="A36000" s="1" t="str">
        <f t="shared" si="1297"/>
        <v>46140</v>
      </c>
      <c r="B36000" s="1" t="str">
        <f>"74361"</f>
        <v>74361</v>
      </c>
      <c r="C36000" s="2">
        <v>2.0794257457860399E-6</v>
      </c>
      <c r="D36000" s="2">
        <v>0</v>
      </c>
      <c r="E36000" s="2">
        <v>0</v>
      </c>
      <c r="F36000" s="2">
        <v>1.8141116114027701E-6</v>
      </c>
    </row>
    <row r="36001" spans="1:6" x14ac:dyDescent="0.25">
      <c r="A36001" s="1" t="str">
        <f t="shared" si="1297"/>
        <v>46140</v>
      </c>
      <c r="B36001" s="1" t="str">
        <f>"74431"</f>
        <v>74431</v>
      </c>
      <c r="C36001" s="2">
        <v>8.3177029831441696E-6</v>
      </c>
      <c r="D36001" s="2">
        <v>0</v>
      </c>
      <c r="E36001" s="2">
        <v>4.7038901171268602E-5</v>
      </c>
      <c r="F36001" s="2">
        <v>9.0705580570138903E-6</v>
      </c>
    </row>
    <row r="36002" spans="1:6" x14ac:dyDescent="0.25">
      <c r="A36002" s="1" t="str">
        <f t="shared" si="1297"/>
        <v>46140</v>
      </c>
      <c r="B36002" s="1" t="str">
        <f>"74172"</f>
        <v>74172</v>
      </c>
      <c r="C36002" s="2">
        <v>2.0794257457860399E-6</v>
      </c>
      <c r="D36002" s="2">
        <v>7.9473437531840305E-4</v>
      </c>
      <c r="E36002" s="2">
        <v>1.4111670351380499E-4</v>
      </c>
      <c r="F36002" s="2">
        <v>7.8006799290319503E-5</v>
      </c>
    </row>
    <row r="36003" spans="1:6" x14ac:dyDescent="0.25">
      <c r="A36003" s="1" t="str">
        <f t="shared" si="1297"/>
        <v>46140</v>
      </c>
      <c r="B36003" s="1" t="str">
        <f>"74458"</f>
        <v>74458</v>
      </c>
      <c r="C36003" s="2">
        <v>1.45559802205023E-4</v>
      </c>
      <c r="D36003" s="2">
        <v>8.1511217981374595E-5</v>
      </c>
      <c r="E36003" s="2">
        <v>4.7038901171268602E-5</v>
      </c>
      <c r="F36003" s="2">
        <v>1.36058370855208E-4</v>
      </c>
    </row>
    <row r="36004" spans="1:6" x14ac:dyDescent="0.25">
      <c r="A36004" s="1" t="str">
        <f t="shared" si="1297"/>
        <v>46140</v>
      </c>
      <c r="B36004" s="1" t="str">
        <f>"74149"</f>
        <v>74149</v>
      </c>
      <c r="C36004" s="2">
        <v>4.2836170363192501E-4</v>
      </c>
      <c r="D36004" s="2">
        <v>1.63022435962749E-4</v>
      </c>
      <c r="E36004" s="2">
        <v>9.4077802342537205E-5</v>
      </c>
      <c r="F36004" s="2">
        <v>3.9184810806299999E-4</v>
      </c>
    </row>
    <row r="36005" spans="1:6" x14ac:dyDescent="0.25">
      <c r="A36005" s="1" t="str">
        <f t="shared" si="1297"/>
        <v>46140</v>
      </c>
      <c r="B36005" s="1" t="str">
        <f>"74070"</f>
        <v>74070</v>
      </c>
      <c r="C36005" s="2">
        <v>1.4327243388465799E-2</v>
      </c>
      <c r="D36005" s="2">
        <v>1.24712163511503E-2</v>
      </c>
      <c r="E36005" s="2">
        <v>3.0575285761324602E-3</v>
      </c>
      <c r="F36005" s="2">
        <v>1.37273825634848E-2</v>
      </c>
    </row>
    <row r="36006" spans="1:6" x14ac:dyDescent="0.25">
      <c r="A36006" s="1" t="str">
        <f t="shared" si="1297"/>
        <v>46140</v>
      </c>
      <c r="B36006" s="1" t="str">
        <f>"74053"</f>
        <v>74053</v>
      </c>
      <c r="C36006" s="2">
        <v>3.9425912140103299E-3</v>
      </c>
      <c r="D36006" s="2">
        <v>1.6913577731135199E-3</v>
      </c>
      <c r="E36006" s="2">
        <v>9.8781692459664109E-4</v>
      </c>
      <c r="F36006" s="2">
        <v>3.6282232228055499E-3</v>
      </c>
    </row>
    <row r="36007" spans="1:6" x14ac:dyDescent="0.25">
      <c r="A36007" s="1" t="str">
        <f t="shared" si="1297"/>
        <v>46140</v>
      </c>
      <c r="B36007" s="1" t="str">
        <f>"74429"</f>
        <v>74429</v>
      </c>
      <c r="C36007" s="2">
        <v>1.4491518022382899E-2</v>
      </c>
      <c r="D36007" s="2">
        <v>6.7654310924540901E-3</v>
      </c>
      <c r="E36007" s="2">
        <v>5.4094736346958902E-3</v>
      </c>
      <c r="F36007" s="2">
        <v>1.3453451710163E-2</v>
      </c>
    </row>
    <row r="36008" spans="1:6" x14ac:dyDescent="0.25">
      <c r="A36008" s="1" t="str">
        <f t="shared" si="1297"/>
        <v>46140</v>
      </c>
      <c r="B36008" s="1" t="str">
        <f>"74434"</f>
        <v>74434</v>
      </c>
      <c r="C36008" s="2">
        <v>7.6522867444926397E-4</v>
      </c>
      <c r="D36008" s="2">
        <v>4.0755608990687297E-5</v>
      </c>
      <c r="E36008" s="2">
        <v>9.4077802342537205E-5</v>
      </c>
      <c r="F36008" s="2">
        <v>6.7484951944183399E-4</v>
      </c>
    </row>
    <row r="36009" spans="1:6" x14ac:dyDescent="0.25">
      <c r="A36009" s="1" t="str">
        <f t="shared" si="1297"/>
        <v>46140</v>
      </c>
      <c r="B36009" s="1" t="str">
        <f>"74454"</f>
        <v>74454</v>
      </c>
      <c r="C36009" s="2">
        <v>2.7448419844375701E-3</v>
      </c>
      <c r="D36009" s="2">
        <v>7.9473437531840305E-4</v>
      </c>
      <c r="E36009" s="2">
        <v>9.4077802342537205E-5</v>
      </c>
      <c r="F36009" s="2">
        <v>2.4690059031191799E-3</v>
      </c>
    </row>
    <row r="36010" spans="1:6" x14ac:dyDescent="0.25">
      <c r="A36010" s="1" t="str">
        <f t="shared" si="1297"/>
        <v>46140</v>
      </c>
      <c r="B36010" s="1" t="str">
        <f>"74403"</f>
        <v>74403</v>
      </c>
      <c r="C36010" s="2">
        <v>1.78830614137599E-4</v>
      </c>
      <c r="D36010" s="2">
        <v>0</v>
      </c>
      <c r="E36010" s="2">
        <v>0</v>
      </c>
      <c r="F36010" s="2">
        <v>1.5601359858063901E-4</v>
      </c>
    </row>
    <row r="36011" spans="1:6" x14ac:dyDescent="0.25">
      <c r="A36011" s="1" t="str">
        <f t="shared" si="1297"/>
        <v>46140</v>
      </c>
      <c r="B36011" s="1" t="str">
        <f>"74604"</f>
        <v>74604</v>
      </c>
      <c r="C36011" s="2">
        <v>3.8885261446199E-3</v>
      </c>
      <c r="D36011" s="2">
        <v>1.4468241191694E-3</v>
      </c>
      <c r="E36011" s="2">
        <v>1.88155604685074E-4</v>
      </c>
      <c r="F36011" s="2">
        <v>3.5284470841784E-3</v>
      </c>
    </row>
    <row r="36012" spans="1:6" x14ac:dyDescent="0.25">
      <c r="A36012" s="1" t="str">
        <f t="shared" si="1297"/>
        <v>46140</v>
      </c>
      <c r="B36012" s="1" t="str">
        <f>"74171"</f>
        <v>74171</v>
      </c>
      <c r="C36012" s="2">
        <v>0</v>
      </c>
      <c r="D36012" s="2">
        <v>0</v>
      </c>
      <c r="E36012" s="2">
        <v>4.7038901171268602E-5</v>
      </c>
      <c r="F36012" s="2">
        <v>1.8141116114027701E-6</v>
      </c>
    </row>
    <row r="36013" spans="1:6" x14ac:dyDescent="0.25">
      <c r="A36013" s="1" t="str">
        <f t="shared" si="1297"/>
        <v>46140</v>
      </c>
      <c r="B36013" s="1" t="str">
        <f>"74048"</f>
        <v>74048</v>
      </c>
      <c r="C36013" s="2">
        <v>2.0794257457860399E-6</v>
      </c>
      <c r="D36013" s="2">
        <v>0</v>
      </c>
      <c r="E36013" s="2">
        <v>0</v>
      </c>
      <c r="F36013" s="2">
        <v>1.8141116114027701E-6</v>
      </c>
    </row>
    <row r="36014" spans="1:6" x14ac:dyDescent="0.25">
      <c r="A36014" s="1" t="str">
        <f t="shared" si="1297"/>
        <v>46140</v>
      </c>
      <c r="B36014" s="1" t="str">
        <f>"74117"</f>
        <v>74117</v>
      </c>
      <c r="C36014" s="2">
        <v>9.5653584306157997E-5</v>
      </c>
      <c r="D36014" s="2">
        <v>1.7117355776088601E-3</v>
      </c>
      <c r="E36014" s="2">
        <v>4.7038901171268602E-5</v>
      </c>
      <c r="F36014" s="2">
        <v>2.3764862109376401E-4</v>
      </c>
    </row>
    <row r="36015" spans="1:6" x14ac:dyDescent="0.25">
      <c r="A36015" s="1" t="str">
        <f t="shared" si="1297"/>
        <v>46140</v>
      </c>
      <c r="B36015" s="1" t="str">
        <f>"74158"</f>
        <v>74158</v>
      </c>
      <c r="C36015" s="2">
        <v>2.9548639847619602E-3</v>
      </c>
      <c r="D36015" s="2">
        <v>4.1978277260407903E-3</v>
      </c>
      <c r="E36015" s="2">
        <v>9.4077802342537205E-5</v>
      </c>
      <c r="F36015" s="2">
        <v>2.9551878149751201E-3</v>
      </c>
    </row>
    <row r="36016" spans="1:6" x14ac:dyDescent="0.25">
      <c r="A36016" s="1" t="str">
        <f t="shared" si="1297"/>
        <v>46140</v>
      </c>
      <c r="B36016" s="1" t="str">
        <f>"74152"</f>
        <v>74152</v>
      </c>
      <c r="C36016" s="2">
        <v>9.7733010051943999E-4</v>
      </c>
      <c r="D36016" s="2">
        <v>7.2137427913516504E-3</v>
      </c>
      <c r="E36016" s="2">
        <v>9.4077802342537205E-5</v>
      </c>
      <c r="F36016" s="2">
        <v>1.49845619101869E-3</v>
      </c>
    </row>
    <row r="36017" spans="1:6" x14ac:dyDescent="0.25">
      <c r="A36017" s="1" t="str">
        <f t="shared" si="1297"/>
        <v>46140</v>
      </c>
      <c r="B36017" s="1" t="str">
        <f>"74157"</f>
        <v>74157</v>
      </c>
      <c r="C36017" s="2">
        <v>1.46807457652494E-3</v>
      </c>
      <c r="D36017" s="2">
        <v>3.6883826136572002E-3</v>
      </c>
      <c r="E36017" s="2">
        <v>9.4077802342537205E-5</v>
      </c>
      <c r="F36017" s="2">
        <v>1.61274522253707E-3</v>
      </c>
    </row>
    <row r="36018" spans="1:6" x14ac:dyDescent="0.25">
      <c r="A36018" s="1" t="str">
        <f t="shared" si="1297"/>
        <v>46140</v>
      </c>
      <c r="B36018" s="1" t="str">
        <f>"74021"</f>
        <v>74021</v>
      </c>
      <c r="C36018" s="2">
        <v>1.7282107373227801E-2</v>
      </c>
      <c r="D36018" s="2">
        <v>7.1322315733702802E-3</v>
      </c>
      <c r="E36018" s="2">
        <v>2.2578672562208902E-3</v>
      </c>
      <c r="F36018" s="2">
        <v>1.5799098023706801E-2</v>
      </c>
    </row>
    <row r="36019" spans="1:6" x14ac:dyDescent="0.25">
      <c r="A36019" s="1" t="str">
        <f t="shared" si="1297"/>
        <v>46140</v>
      </c>
      <c r="B36019" s="1" t="str">
        <f>"74038"</f>
        <v>74038</v>
      </c>
      <c r="C36019" s="2">
        <v>1.86940374546165E-3</v>
      </c>
      <c r="D36019" s="2">
        <v>3.6680048091618602E-4</v>
      </c>
      <c r="E36019" s="2">
        <v>1.4111670351380499E-4</v>
      </c>
      <c r="F36019" s="2">
        <v>1.66898268249055E-3</v>
      </c>
    </row>
    <row r="36020" spans="1:6" x14ac:dyDescent="0.25">
      <c r="A36020" s="1" t="str">
        <f t="shared" ref="A36020:A36051" si="1298">"46140"</f>
        <v>46140</v>
      </c>
      <c r="B36020" s="1" t="str">
        <f>"74055"</f>
        <v>74055</v>
      </c>
      <c r="C36020" s="2">
        <v>4.2655260323309102E-2</v>
      </c>
      <c r="D36020" s="2">
        <v>3.9105006826564502E-2</v>
      </c>
      <c r="E36020" s="2">
        <v>2.3754645091490601E-2</v>
      </c>
      <c r="F36020" s="2">
        <v>4.1610278030745497E-2</v>
      </c>
    </row>
    <row r="36021" spans="1:6" x14ac:dyDescent="0.25">
      <c r="A36021" s="1" t="str">
        <f t="shared" si="1298"/>
        <v>46140</v>
      </c>
      <c r="B36021" s="1" t="str">
        <f>"74002"</f>
        <v>74002</v>
      </c>
      <c r="C36021" s="2">
        <v>1.11041334824974E-3</v>
      </c>
      <c r="D36021" s="2">
        <v>2.8528926293481101E-4</v>
      </c>
      <c r="E36021" s="2">
        <v>4.7038901171268602E-5</v>
      </c>
      <c r="F36021" s="2">
        <v>9.9594727466012609E-4</v>
      </c>
    </row>
    <row r="36022" spans="1:6" x14ac:dyDescent="0.25">
      <c r="A36022" s="1" t="str">
        <f t="shared" si="1298"/>
        <v>46140</v>
      </c>
      <c r="B36022" s="1" t="str">
        <f>"74437"</f>
        <v>74437</v>
      </c>
      <c r="C36022" s="2">
        <v>9.8377632033137697E-3</v>
      </c>
      <c r="D36022" s="2">
        <v>7.9880993621747106E-3</v>
      </c>
      <c r="E36022" s="2">
        <v>3.5749564890164101E-3</v>
      </c>
      <c r="F36022" s="2">
        <v>9.4315662676830499E-3</v>
      </c>
    </row>
    <row r="36023" spans="1:6" x14ac:dyDescent="0.25">
      <c r="A36023" s="1" t="str">
        <f t="shared" si="1298"/>
        <v>46140</v>
      </c>
      <c r="B36023" s="1" t="str">
        <f>"74436"</f>
        <v>74436</v>
      </c>
      <c r="C36023" s="2">
        <v>1.1935903780811801E-3</v>
      </c>
      <c r="D36023" s="2">
        <v>3.6680048091618602E-4</v>
      </c>
      <c r="E36023" s="2">
        <v>0</v>
      </c>
      <c r="F36023" s="2">
        <v>1.07395407395044E-3</v>
      </c>
    </row>
    <row r="36024" spans="1:6" x14ac:dyDescent="0.25">
      <c r="A36024" s="1" t="str">
        <f t="shared" si="1298"/>
        <v>46140</v>
      </c>
      <c r="B36024" s="1" t="str">
        <f>"74023"</f>
        <v>74023</v>
      </c>
      <c r="C36024" s="2">
        <v>4.1588514915720797E-6</v>
      </c>
      <c r="D36024" s="2">
        <v>0</v>
      </c>
      <c r="E36024" s="2">
        <v>0</v>
      </c>
      <c r="F36024" s="2">
        <v>3.6282232228055499E-6</v>
      </c>
    </row>
    <row r="36025" spans="1:6" x14ac:dyDescent="0.25">
      <c r="A36025" s="1" t="str">
        <f t="shared" si="1298"/>
        <v>46140</v>
      </c>
      <c r="B36025" s="1" t="str">
        <f>"74156"</f>
        <v>74156</v>
      </c>
      <c r="C36025" s="2">
        <v>1.8922774286652899E-4</v>
      </c>
      <c r="D36025" s="2">
        <v>1.4264463146740499E-4</v>
      </c>
      <c r="E36025" s="2">
        <v>9.4077802342537205E-5</v>
      </c>
      <c r="F36025" s="2">
        <v>1.8141116114027701E-4</v>
      </c>
    </row>
    <row r="36026" spans="1:6" x14ac:dyDescent="0.25">
      <c r="A36026" s="1" t="str">
        <f t="shared" si="1298"/>
        <v>46140</v>
      </c>
      <c r="B36026" s="1" t="str">
        <f>"74022"</f>
        <v>74022</v>
      </c>
      <c r="C36026" s="2">
        <v>4.7826792153078998E-5</v>
      </c>
      <c r="D36026" s="2">
        <v>0</v>
      </c>
      <c r="E36026" s="2">
        <v>0</v>
      </c>
      <c r="F36026" s="2">
        <v>4.1724567062263901E-5</v>
      </c>
    </row>
    <row r="36027" spans="1:6" x14ac:dyDescent="0.25">
      <c r="A36027" s="1" t="str">
        <f t="shared" si="1298"/>
        <v>46140</v>
      </c>
      <c r="B36027" s="1" t="str">
        <f>"74633"</f>
        <v>74633</v>
      </c>
      <c r="C36027" s="2">
        <v>4.4499710959821297E-4</v>
      </c>
      <c r="D36027" s="2">
        <v>2.0377804495343599E-4</v>
      </c>
      <c r="E36027" s="2">
        <v>4.7038901171268602E-5</v>
      </c>
      <c r="F36027" s="2">
        <v>4.0817511256562499E-4</v>
      </c>
    </row>
    <row r="36028" spans="1:6" x14ac:dyDescent="0.25">
      <c r="A36028" s="1" t="str">
        <f t="shared" si="1298"/>
        <v>46140</v>
      </c>
      <c r="B36028" s="1" t="str">
        <f>"74148"</f>
        <v>74148</v>
      </c>
      <c r="C36028" s="2">
        <v>1.8007826958507101E-3</v>
      </c>
      <c r="D36028" s="2">
        <v>2.77138141136673E-3</v>
      </c>
      <c r="E36028" s="2">
        <v>9.4077802342537205E-5</v>
      </c>
      <c r="F36028" s="2">
        <v>1.82136805784839E-3</v>
      </c>
    </row>
    <row r="36029" spans="1:6" x14ac:dyDescent="0.25">
      <c r="A36029" s="1" t="str">
        <f t="shared" si="1298"/>
        <v>46140</v>
      </c>
      <c r="B36029" s="1" t="str">
        <f>"74014"</f>
        <v>74014</v>
      </c>
      <c r="C36029" s="2">
        <v>3.7101114156314501E-2</v>
      </c>
      <c r="D36029" s="2">
        <v>1.33678397489454E-2</v>
      </c>
      <c r="E36029" s="2">
        <v>3.1045674773037299E-3</v>
      </c>
      <c r="F36029" s="2">
        <v>3.3677167954081197E-2</v>
      </c>
    </row>
    <row r="36030" spans="1:6" x14ac:dyDescent="0.25">
      <c r="A36030" s="1" t="str">
        <f t="shared" si="1298"/>
        <v>46140</v>
      </c>
      <c r="B36030" s="1" t="str">
        <f>"74008"</f>
        <v>74008</v>
      </c>
      <c r="C36030" s="2">
        <v>2.7404751903714199E-2</v>
      </c>
      <c r="D36030" s="2">
        <v>2.4534876612393699E-2</v>
      </c>
      <c r="E36030" s="2">
        <v>1.49113316712921E-2</v>
      </c>
      <c r="F36030" s="2">
        <v>2.6667440687620801E-2</v>
      </c>
    </row>
    <row r="36031" spans="1:6" x14ac:dyDescent="0.25">
      <c r="A36031" s="1" t="str">
        <f t="shared" si="1298"/>
        <v>46140</v>
      </c>
      <c r="B36031" s="1" t="str">
        <f>"74056"</f>
        <v>74056</v>
      </c>
      <c r="C36031" s="2">
        <v>5.5520667412487304E-3</v>
      </c>
      <c r="D36031" s="2">
        <v>8.5179222790536507E-3</v>
      </c>
      <c r="E36031" s="2">
        <v>2.2578672562208902E-3</v>
      </c>
      <c r="F36031" s="2">
        <v>5.6890540133591096E-3</v>
      </c>
    </row>
    <row r="36032" spans="1:6" x14ac:dyDescent="0.25">
      <c r="A36032" s="1" t="str">
        <f t="shared" si="1298"/>
        <v>46140</v>
      </c>
      <c r="B36032" s="1" t="str">
        <f>"74058"</f>
        <v>74058</v>
      </c>
      <c r="C36032" s="2">
        <v>4.2253931154372397E-3</v>
      </c>
      <c r="D36032" s="2">
        <v>4.1978277260407903E-3</v>
      </c>
      <c r="E36032" s="2">
        <v>1.55228373865186E-3</v>
      </c>
      <c r="F36032" s="2">
        <v>4.1198474694957099E-3</v>
      </c>
    </row>
    <row r="36033" spans="1:6" x14ac:dyDescent="0.25">
      <c r="A36033" s="1" t="str">
        <f t="shared" si="1298"/>
        <v>46140</v>
      </c>
      <c r="B36033" s="1" t="str">
        <f>"74063"</f>
        <v>74063</v>
      </c>
      <c r="C36033" s="2">
        <v>3.1519935454624802E-2</v>
      </c>
      <c r="D36033" s="2">
        <v>2.5614900250646899E-2</v>
      </c>
      <c r="E36033" s="2">
        <v>7.5732630885742497E-3</v>
      </c>
      <c r="F36033" s="2">
        <v>3.00707140706124E-2</v>
      </c>
    </row>
    <row r="36034" spans="1:6" x14ac:dyDescent="0.25">
      <c r="A36034" s="1" t="str">
        <f t="shared" si="1298"/>
        <v>46140</v>
      </c>
      <c r="B36034" s="1" t="str">
        <f>"74003"</f>
        <v>74003</v>
      </c>
      <c r="C36034" s="2">
        <v>1.7779090126470601E-3</v>
      </c>
      <c r="D36034" s="2">
        <v>8.3548998430908999E-4</v>
      </c>
      <c r="E36034" s="2">
        <v>0</v>
      </c>
      <c r="F36034" s="2">
        <v>1.6254440038168899E-3</v>
      </c>
    </row>
    <row r="36035" spans="1:6" x14ac:dyDescent="0.25">
      <c r="A36035" s="1" t="str">
        <f t="shared" si="1298"/>
        <v>46140</v>
      </c>
      <c r="B36035" s="1" t="str">
        <f>"74103"</f>
        <v>74103</v>
      </c>
      <c r="C36035" s="2">
        <v>1.81533867607121E-3</v>
      </c>
      <c r="D36035" s="2">
        <v>2.6491145843946701E-2</v>
      </c>
      <c r="E36035" s="2">
        <v>6.0680182510936499E-3</v>
      </c>
      <c r="F36035" s="2">
        <v>4.1760849294491904E-3</v>
      </c>
    </row>
    <row r="36036" spans="1:6" x14ac:dyDescent="0.25">
      <c r="A36036" s="1" t="str">
        <f t="shared" si="1298"/>
        <v>46140</v>
      </c>
      <c r="B36036" s="1" t="str">
        <f>"74107"</f>
        <v>74107</v>
      </c>
      <c r="C36036" s="2">
        <v>1.9201417336588301E-2</v>
      </c>
      <c r="D36036" s="2">
        <v>1.8808713549202199E-2</v>
      </c>
      <c r="E36036" s="2">
        <v>1.30297756244414E-2</v>
      </c>
      <c r="F36036" s="2">
        <v>1.8928440553376599E-2</v>
      </c>
    </row>
    <row r="36037" spans="1:6" x14ac:dyDescent="0.25">
      <c r="A36037" s="1" t="str">
        <f t="shared" si="1298"/>
        <v>46140</v>
      </c>
      <c r="B36037" s="1" t="str">
        <f>"74108"</f>
        <v>74108</v>
      </c>
      <c r="C36037" s="2">
        <v>6.1821327422219002E-3</v>
      </c>
      <c r="D36037" s="2">
        <v>2.8121370203574199E-3</v>
      </c>
      <c r="E36037" s="2">
        <v>3.0104896749611901E-3</v>
      </c>
      <c r="F36037" s="2">
        <v>5.7598043662038202E-3</v>
      </c>
    </row>
    <row r="36038" spans="1:6" x14ac:dyDescent="0.25">
      <c r="A36038" s="1" t="str">
        <f t="shared" si="1298"/>
        <v>46140</v>
      </c>
      <c r="B36038" s="1" t="str">
        <f>"74120"</f>
        <v>74120</v>
      </c>
      <c r="C36038" s="2">
        <v>7.0326178722483904E-3</v>
      </c>
      <c r="D36038" s="2">
        <v>1.8727202331220799E-2</v>
      </c>
      <c r="E36038" s="2">
        <v>2.40368784985182E-2</v>
      </c>
      <c r="F36038" s="2">
        <v>8.7295050740701704E-3</v>
      </c>
    </row>
    <row r="36039" spans="1:6" x14ac:dyDescent="0.25">
      <c r="A36039" s="1" t="str">
        <f t="shared" si="1298"/>
        <v>46140</v>
      </c>
      <c r="B36039" s="1" t="str">
        <f>"74133"</f>
        <v>74133</v>
      </c>
      <c r="C36039" s="2">
        <v>4.6535468764945798E-2</v>
      </c>
      <c r="D36039" s="2">
        <v>4.92531534652456E-2</v>
      </c>
      <c r="E36039" s="2">
        <v>8.7351239475045805E-2</v>
      </c>
      <c r="F36039" s="2">
        <v>4.8351516778718198E-2</v>
      </c>
    </row>
    <row r="36040" spans="1:6" x14ac:dyDescent="0.25">
      <c r="A36040" s="1" t="str">
        <f t="shared" si="1298"/>
        <v>46140</v>
      </c>
      <c r="B36040" s="1" t="str">
        <f>"74135"</f>
        <v>74135</v>
      </c>
      <c r="C36040" s="2">
        <v>2.33082831845157E-2</v>
      </c>
      <c r="D36040" s="2">
        <v>4.0755608990687302E-2</v>
      </c>
      <c r="E36040" s="2">
        <v>8.0389482101698106E-2</v>
      </c>
      <c r="F36040" s="2">
        <v>2.7062917018906601E-2</v>
      </c>
    </row>
    <row r="36041" spans="1:6" x14ac:dyDescent="0.25">
      <c r="A36041" s="1" t="str">
        <f t="shared" si="1298"/>
        <v>46140</v>
      </c>
      <c r="B36041" s="1" t="str">
        <f>"74128"</f>
        <v>74128</v>
      </c>
      <c r="C36041" s="2">
        <v>1.0717360293781199E-2</v>
      </c>
      <c r="D36041" s="2">
        <v>8.5994334970350209E-3</v>
      </c>
      <c r="E36041" s="2">
        <v>1.36412813396679E-2</v>
      </c>
      <c r="F36041" s="2">
        <v>1.06415787124887E-2</v>
      </c>
    </row>
    <row r="36042" spans="1:6" x14ac:dyDescent="0.25">
      <c r="A36042" s="1" t="str">
        <f t="shared" si="1298"/>
        <v>46140</v>
      </c>
      <c r="B36042" s="1" t="str">
        <f>"74127"</f>
        <v>74127</v>
      </c>
      <c r="C36042" s="2">
        <v>1.7304981056431398E-2</v>
      </c>
      <c r="D36042" s="2">
        <v>9.3737900678580802E-3</v>
      </c>
      <c r="E36042" s="2">
        <v>1.23712310080436E-2</v>
      </c>
      <c r="F36042" s="2">
        <v>1.6408639525138099E-2</v>
      </c>
    </row>
    <row r="36043" spans="1:6" x14ac:dyDescent="0.25">
      <c r="A36043" s="1" t="str">
        <f t="shared" si="1298"/>
        <v>46140</v>
      </c>
      <c r="B36043" s="1" t="str">
        <f>"74147"</f>
        <v>74147</v>
      </c>
      <c r="C36043" s="2">
        <v>1.7716707354097001E-3</v>
      </c>
      <c r="D36043" s="2">
        <v>1.1452326126383101E-2</v>
      </c>
      <c r="E36043" s="2">
        <v>9.4077802342537205E-5</v>
      </c>
      <c r="F36043" s="2">
        <v>2.5687820417463298E-3</v>
      </c>
    </row>
    <row r="36044" spans="1:6" x14ac:dyDescent="0.25">
      <c r="A36044" s="1" t="str">
        <f t="shared" si="1298"/>
        <v>46140</v>
      </c>
      <c r="B36044" s="1" t="str">
        <f>"74859"</f>
        <v>74859</v>
      </c>
      <c r="C36044" s="2">
        <v>0</v>
      </c>
      <c r="D36044" s="2">
        <v>2.0377804495343601E-5</v>
      </c>
      <c r="E36044" s="2">
        <v>0</v>
      </c>
      <c r="F36044" s="2">
        <v>1.8141116114027701E-6</v>
      </c>
    </row>
    <row r="36045" spans="1:6" x14ac:dyDescent="0.25">
      <c r="A36045" s="1" t="str">
        <f t="shared" si="1298"/>
        <v>46140</v>
      </c>
      <c r="B36045" s="1" t="str">
        <f>"74428"</f>
        <v>74428</v>
      </c>
      <c r="C36045" s="2">
        <v>2.0794257457860399E-6</v>
      </c>
      <c r="D36045" s="2">
        <v>0</v>
      </c>
      <c r="E36045" s="2">
        <v>0</v>
      </c>
      <c r="F36045" s="2">
        <v>1.8141116114027701E-6</v>
      </c>
    </row>
    <row r="36046" spans="1:6" x14ac:dyDescent="0.25">
      <c r="A36046" s="1" t="str">
        <f t="shared" si="1298"/>
        <v>46140</v>
      </c>
      <c r="B36046" s="1" t="str">
        <f>"74043"</f>
        <v>74043</v>
      </c>
      <c r="C36046" s="2">
        <v>4.1588514915720797E-6</v>
      </c>
      <c r="D36046" s="2">
        <v>0</v>
      </c>
      <c r="E36046" s="2">
        <v>4.7038901171268602E-5</v>
      </c>
      <c r="F36046" s="2">
        <v>5.4423348342083298E-6</v>
      </c>
    </row>
    <row r="36047" spans="1:6" x14ac:dyDescent="0.25">
      <c r="A36047" s="1" t="str">
        <f t="shared" si="1298"/>
        <v>46140</v>
      </c>
      <c r="B36047" s="1" t="str">
        <f>"74644"</f>
        <v>74644</v>
      </c>
      <c r="C36047" s="2">
        <v>4.1588514915720797E-6</v>
      </c>
      <c r="D36047" s="2">
        <v>0</v>
      </c>
      <c r="E36047" s="2">
        <v>0</v>
      </c>
      <c r="F36047" s="2">
        <v>3.6282232228055499E-6</v>
      </c>
    </row>
    <row r="36048" spans="1:6" x14ac:dyDescent="0.25">
      <c r="A36048" s="1" t="str">
        <f t="shared" si="1298"/>
        <v>46140</v>
      </c>
      <c r="B36048" s="1" t="str">
        <f>"74046"</f>
        <v>74046</v>
      </c>
      <c r="C36048" s="2">
        <v>0</v>
      </c>
      <c r="D36048" s="2">
        <v>0</v>
      </c>
      <c r="E36048" s="2">
        <v>4.7038901171268602E-5</v>
      </c>
      <c r="F36048" s="2">
        <v>1.8141116114027701E-6</v>
      </c>
    </row>
    <row r="36049" spans="1:6" x14ac:dyDescent="0.25">
      <c r="A36049" s="1" t="str">
        <f t="shared" si="1298"/>
        <v>46140</v>
      </c>
      <c r="B36049" s="1" t="str">
        <f>"74446"</f>
        <v>74446</v>
      </c>
      <c r="C36049" s="2">
        <v>1.45559802205023E-5</v>
      </c>
      <c r="D36049" s="2">
        <v>0</v>
      </c>
      <c r="E36049" s="2">
        <v>4.7038901171268602E-5</v>
      </c>
      <c r="F36049" s="2">
        <v>1.45128928912222E-5</v>
      </c>
    </row>
    <row r="36050" spans="1:6" x14ac:dyDescent="0.25">
      <c r="A36050" s="1" t="str">
        <f t="shared" si="1298"/>
        <v>46140</v>
      </c>
      <c r="B36050" s="1" t="str">
        <f>"74041"</f>
        <v>74041</v>
      </c>
      <c r="C36050" s="2">
        <v>3.4518467380048302E-3</v>
      </c>
      <c r="D36050" s="2">
        <v>2.2619362989831399E-3</v>
      </c>
      <c r="E36050" s="2">
        <v>3.2927230819888002E-4</v>
      </c>
      <c r="F36050" s="2">
        <v>3.22549044507414E-3</v>
      </c>
    </row>
    <row r="36051" spans="1:6" x14ac:dyDescent="0.25">
      <c r="A36051" s="1" t="str">
        <f t="shared" si="1298"/>
        <v>46140</v>
      </c>
      <c r="B36051" s="1" t="str">
        <f>"74071"</f>
        <v>74071</v>
      </c>
      <c r="C36051" s="2">
        <v>0</v>
      </c>
      <c r="D36051" s="2">
        <v>0</v>
      </c>
      <c r="E36051" s="2">
        <v>4.7038901171268602E-5</v>
      </c>
      <c r="F36051" s="2">
        <v>1.8141116114027701E-6</v>
      </c>
    </row>
    <row r="36052" spans="1:6" x14ac:dyDescent="0.25">
      <c r="A36052" s="1" t="str">
        <f t="shared" ref="A36052:A36083" si="1299">"46140"</f>
        <v>46140</v>
      </c>
      <c r="B36052" s="1" t="str">
        <f>"74031"</f>
        <v>74031</v>
      </c>
      <c r="C36052" s="2">
        <v>1.1124927739955301E-3</v>
      </c>
      <c r="D36052" s="2">
        <v>5.9095633036496597E-4</v>
      </c>
      <c r="E36052" s="2">
        <v>1.4111670351380499E-4</v>
      </c>
      <c r="F36052" s="2">
        <v>1.0286012836653699E-3</v>
      </c>
    </row>
    <row r="36053" spans="1:6" x14ac:dyDescent="0.25">
      <c r="A36053" s="1" t="str">
        <f t="shared" si="1299"/>
        <v>46140</v>
      </c>
      <c r="B36053" s="1" t="str">
        <f>"74352"</f>
        <v>74352</v>
      </c>
      <c r="C36053" s="2">
        <v>1.74671762646027E-4</v>
      </c>
      <c r="D36053" s="2">
        <v>2.0377804495343601E-5</v>
      </c>
      <c r="E36053" s="2">
        <v>0</v>
      </c>
      <c r="F36053" s="2">
        <v>1.54199486969236E-4</v>
      </c>
    </row>
    <row r="36054" spans="1:6" x14ac:dyDescent="0.25">
      <c r="A36054" s="1" t="str">
        <f t="shared" si="1299"/>
        <v>46140</v>
      </c>
      <c r="B36054" s="1" t="str">
        <f>"74193"</f>
        <v>74193</v>
      </c>
      <c r="C36054" s="2">
        <v>0</v>
      </c>
      <c r="D36054" s="2">
        <v>2.0377804495343601E-5</v>
      </c>
      <c r="E36054" s="2">
        <v>0</v>
      </c>
      <c r="F36054" s="2">
        <v>1.8141116114027701E-6</v>
      </c>
    </row>
    <row r="36055" spans="1:6" x14ac:dyDescent="0.25">
      <c r="A36055" s="1" t="str">
        <f t="shared" si="1299"/>
        <v>46140</v>
      </c>
      <c r="B36055" s="1" t="str">
        <f>"74456"</f>
        <v>74456</v>
      </c>
      <c r="C36055" s="2">
        <v>2.0794257457860399E-6</v>
      </c>
      <c r="D36055" s="2">
        <v>0</v>
      </c>
      <c r="E36055" s="2">
        <v>4.7038901171268602E-5</v>
      </c>
      <c r="F36055" s="2">
        <v>3.6282232228055499E-6</v>
      </c>
    </row>
    <row r="36056" spans="1:6" x14ac:dyDescent="0.25">
      <c r="A36056" s="1" t="str">
        <f t="shared" si="1299"/>
        <v>46140</v>
      </c>
      <c r="B36056" s="1" t="str">
        <f>"74460"</f>
        <v>74460</v>
      </c>
      <c r="C36056" s="2">
        <v>0</v>
      </c>
      <c r="D36056" s="2">
        <v>0</v>
      </c>
      <c r="E36056" s="2">
        <v>4.7038901171268602E-5</v>
      </c>
      <c r="F36056" s="2">
        <v>1.8141116114027701E-6</v>
      </c>
    </row>
    <row r="36057" spans="1:6" x14ac:dyDescent="0.25">
      <c r="A36057" s="1" t="str">
        <f t="shared" si="1299"/>
        <v>46140</v>
      </c>
      <c r="B36057" s="1" t="str">
        <f>"74187"</f>
        <v>74187</v>
      </c>
      <c r="C36057" s="2">
        <v>0</v>
      </c>
      <c r="D36057" s="2">
        <v>0</v>
      </c>
      <c r="E36057" s="2">
        <v>4.7038901171268602E-5</v>
      </c>
      <c r="F36057" s="2">
        <v>1.8141116114027701E-6</v>
      </c>
    </row>
    <row r="36058" spans="1:6" x14ac:dyDescent="0.25">
      <c r="A36058" s="1" t="str">
        <f t="shared" si="1299"/>
        <v>46140</v>
      </c>
      <c r="B36058" s="1" t="str">
        <f>"74032"</f>
        <v>74032</v>
      </c>
      <c r="C36058" s="2">
        <v>1.3932152496766399E-4</v>
      </c>
      <c r="D36058" s="2">
        <v>6.1133413486031004E-5</v>
      </c>
      <c r="E36058" s="2">
        <v>0</v>
      </c>
      <c r="F36058" s="2">
        <v>1.2698781279819399E-4</v>
      </c>
    </row>
    <row r="36059" spans="1:6" x14ac:dyDescent="0.25">
      <c r="A36059" s="1" t="str">
        <f t="shared" si="1299"/>
        <v>46140</v>
      </c>
      <c r="B36059" s="1" t="str">
        <f>"74050"</f>
        <v>74050</v>
      </c>
      <c r="C36059" s="2">
        <v>1.7030496857987599E-3</v>
      </c>
      <c r="D36059" s="2">
        <v>8.7624559329977703E-4</v>
      </c>
      <c r="E36059" s="2">
        <v>1.4111670351380499E-4</v>
      </c>
      <c r="F36059" s="2">
        <v>1.5692065438633999E-3</v>
      </c>
    </row>
    <row r="36060" spans="1:6" x14ac:dyDescent="0.25">
      <c r="A36060" s="1" t="str">
        <f t="shared" si="1299"/>
        <v>46140</v>
      </c>
      <c r="B36060" s="1" t="str">
        <f>"74153"</f>
        <v>74153</v>
      </c>
      <c r="C36060" s="2">
        <v>9.814889520110121E-4</v>
      </c>
      <c r="D36060" s="2">
        <v>7.3767652273144003E-3</v>
      </c>
      <c r="E36060" s="2">
        <v>9.4077802342537205E-5</v>
      </c>
      <c r="F36060" s="2">
        <v>1.51659730713272E-3</v>
      </c>
    </row>
    <row r="36061" spans="1:6" x14ac:dyDescent="0.25">
      <c r="A36061" s="1" t="str">
        <f t="shared" si="1299"/>
        <v>46140</v>
      </c>
      <c r="B36061" s="1" t="str">
        <f>"74084"</f>
        <v>74084</v>
      </c>
      <c r="C36061" s="2">
        <v>9.1494732814585898E-5</v>
      </c>
      <c r="D36061" s="2">
        <v>0</v>
      </c>
      <c r="E36061" s="2">
        <v>4.7038901171268602E-5</v>
      </c>
      <c r="F36061" s="2">
        <v>8.1635022513125004E-5</v>
      </c>
    </row>
    <row r="36062" spans="1:6" x14ac:dyDescent="0.25">
      <c r="A36062" s="1" t="str">
        <f t="shared" si="1299"/>
        <v>46140</v>
      </c>
      <c r="B36062" s="1" t="str">
        <f>"74652"</f>
        <v>74652</v>
      </c>
      <c r="C36062" s="2">
        <v>5.94715763294808E-4</v>
      </c>
      <c r="D36062" s="2">
        <v>3.87178285411529E-4</v>
      </c>
      <c r="E36062" s="2">
        <v>4.7038901171268602E-5</v>
      </c>
      <c r="F36062" s="2">
        <v>5.5511815308925E-4</v>
      </c>
    </row>
    <row r="36063" spans="1:6" x14ac:dyDescent="0.25">
      <c r="A36063" s="1" t="str">
        <f t="shared" si="1299"/>
        <v>46140</v>
      </c>
      <c r="B36063" s="1" t="str">
        <f>"74015"</f>
        <v>74015</v>
      </c>
      <c r="C36063" s="2">
        <v>1.20481927710843E-2</v>
      </c>
      <c r="D36063" s="2">
        <v>1.45089968006846E-2</v>
      </c>
      <c r="E36063" s="2">
        <v>5.5976292393809602E-3</v>
      </c>
      <c r="F36063" s="2">
        <v>1.2018489425543399E-2</v>
      </c>
    </row>
    <row r="36064" spans="1:6" x14ac:dyDescent="0.25">
      <c r="A36064" s="1" t="str">
        <f t="shared" si="1299"/>
        <v>46140</v>
      </c>
      <c r="B36064" s="1" t="str">
        <f>"74028"</f>
        <v>74028</v>
      </c>
      <c r="C36064" s="2">
        <v>1.1436841601823199E-3</v>
      </c>
      <c r="D36064" s="2">
        <v>2.8528926293481101E-4</v>
      </c>
      <c r="E36064" s="2">
        <v>1.88155604685074E-4</v>
      </c>
      <c r="F36064" s="2">
        <v>1.0304153952767701E-3</v>
      </c>
    </row>
    <row r="36065" spans="1:6" x14ac:dyDescent="0.25">
      <c r="A36065" s="1" t="str">
        <f t="shared" si="1299"/>
        <v>46140</v>
      </c>
      <c r="B36065" s="1" t="str">
        <f>"74045"</f>
        <v>74045</v>
      </c>
      <c r="C36065" s="2">
        <v>4.8866505025971999E-4</v>
      </c>
      <c r="D36065" s="2">
        <v>2.0377804495343601E-5</v>
      </c>
      <c r="E36065" s="2">
        <v>4.7038901171268602E-5</v>
      </c>
      <c r="F36065" s="2">
        <v>4.2994445190245797E-4</v>
      </c>
    </row>
    <row r="36066" spans="1:6" x14ac:dyDescent="0.25">
      <c r="A36066" s="1" t="str">
        <f t="shared" si="1299"/>
        <v>46140</v>
      </c>
      <c r="B36066" s="1" t="str">
        <f>"74030"</f>
        <v>74030</v>
      </c>
      <c r="C36066" s="2">
        <v>3.5578974510399198E-3</v>
      </c>
      <c r="D36066" s="2">
        <v>4.6257616204430103E-3</v>
      </c>
      <c r="E36066" s="2">
        <v>4.7038901171268598E-4</v>
      </c>
      <c r="F36066" s="2">
        <v>3.5338894190126099E-3</v>
      </c>
    </row>
    <row r="36067" spans="1:6" x14ac:dyDescent="0.25">
      <c r="A36067" s="1" t="str">
        <f t="shared" si="1299"/>
        <v>46140</v>
      </c>
      <c r="B36067" s="1" t="str">
        <f>"74047"</f>
        <v>74047</v>
      </c>
      <c r="C36067" s="2">
        <v>5.7953595535057004E-3</v>
      </c>
      <c r="D36067" s="2">
        <v>1.1615348562345801E-3</v>
      </c>
      <c r="E36067" s="2">
        <v>3.2927230819888002E-4</v>
      </c>
      <c r="F36067" s="2">
        <v>5.1720322041093197E-3</v>
      </c>
    </row>
    <row r="36068" spans="1:6" x14ac:dyDescent="0.25">
      <c r="A36068" s="1" t="str">
        <f t="shared" si="1299"/>
        <v>46140</v>
      </c>
      <c r="B36068" s="1" t="str">
        <f>"74131"</f>
        <v>74131</v>
      </c>
      <c r="C36068" s="2">
        <v>3.1295357474079898E-3</v>
      </c>
      <c r="D36068" s="2">
        <v>5.2167179508079697E-3</v>
      </c>
      <c r="E36068" s="2">
        <v>1.6463615409943999E-3</v>
      </c>
      <c r="F36068" s="2">
        <v>3.2581444540793901E-3</v>
      </c>
    </row>
    <row r="36069" spans="1:6" x14ac:dyDescent="0.25">
      <c r="A36069" s="1" t="str">
        <f t="shared" si="1299"/>
        <v>46140</v>
      </c>
      <c r="B36069" s="1" t="str">
        <f>"74170"</f>
        <v>74170</v>
      </c>
      <c r="C36069" s="2">
        <v>2.8446544202353E-3</v>
      </c>
      <c r="D36069" s="2">
        <v>1.3164061703992E-2</v>
      </c>
      <c r="E36069" s="2">
        <v>9.4077802342537205E-5</v>
      </c>
      <c r="F36069" s="2">
        <v>3.6572490085880001E-3</v>
      </c>
    </row>
    <row r="36070" spans="1:6" x14ac:dyDescent="0.25">
      <c r="A36070" s="1" t="str">
        <f t="shared" si="1299"/>
        <v>46140</v>
      </c>
      <c r="B36070" s="1" t="str">
        <f>"74332"</f>
        <v>74332</v>
      </c>
      <c r="C36070" s="2">
        <v>3.97170317445134E-4</v>
      </c>
      <c r="D36070" s="2">
        <v>6.1133413486031004E-5</v>
      </c>
      <c r="E36070" s="2">
        <v>5.6446681405522298E-4</v>
      </c>
      <c r="F36070" s="2">
        <v>3.7370699194897198E-4</v>
      </c>
    </row>
    <row r="36071" spans="1:6" x14ac:dyDescent="0.25">
      <c r="A36071" s="1" t="str">
        <f t="shared" si="1299"/>
        <v>46140</v>
      </c>
      <c r="B36071" s="1" t="str">
        <f>"74150"</f>
        <v>74150</v>
      </c>
      <c r="C36071" s="2">
        <v>8.2969087256863096E-4</v>
      </c>
      <c r="D36071" s="2">
        <v>8.9662339779512099E-4</v>
      </c>
      <c r="E36071" s="2">
        <v>9.4077802342537205E-5</v>
      </c>
      <c r="F36071" s="2">
        <v>8.0727966707423704E-4</v>
      </c>
    </row>
    <row r="36072" spans="1:6" x14ac:dyDescent="0.25">
      <c r="A36072" s="1" t="str">
        <f t="shared" si="1299"/>
        <v>46140</v>
      </c>
      <c r="B36072" s="1" t="str">
        <f>"74192"</f>
        <v>74192</v>
      </c>
      <c r="C36072" s="2">
        <v>0</v>
      </c>
      <c r="D36072" s="2">
        <v>0</v>
      </c>
      <c r="E36072" s="2">
        <v>4.7038901171268602E-5</v>
      </c>
      <c r="F36072" s="2">
        <v>1.8141116114027701E-6</v>
      </c>
    </row>
    <row r="36073" spans="1:6" x14ac:dyDescent="0.25">
      <c r="A36073" s="1" t="str">
        <f t="shared" si="1299"/>
        <v>46140</v>
      </c>
      <c r="B36073" s="1" t="str">
        <f>"74052"</f>
        <v>74052</v>
      </c>
      <c r="C36073" s="2">
        <v>2.0794257457860399E-6</v>
      </c>
      <c r="D36073" s="2">
        <v>0</v>
      </c>
      <c r="E36073" s="2">
        <v>4.7038901171268602E-5</v>
      </c>
      <c r="F36073" s="2">
        <v>3.6282232228055499E-6</v>
      </c>
    </row>
    <row r="36074" spans="1:6" x14ac:dyDescent="0.25">
      <c r="A36074" s="1" t="str">
        <f t="shared" si="1299"/>
        <v>46140</v>
      </c>
      <c r="B36074" s="1" t="str">
        <f>"74001"</f>
        <v>74001</v>
      </c>
      <c r="C36074" s="2">
        <v>6.2382772373581302E-6</v>
      </c>
      <c r="D36074" s="2">
        <v>0</v>
      </c>
      <c r="E36074" s="2">
        <v>4.7038901171268602E-5</v>
      </c>
      <c r="F36074" s="2">
        <v>7.25644644561111E-6</v>
      </c>
    </row>
    <row r="36075" spans="1:6" x14ac:dyDescent="0.25">
      <c r="A36075" s="1" t="str">
        <f t="shared" si="1299"/>
        <v>46140</v>
      </c>
      <c r="B36075" s="1" t="str">
        <f>"74101"</f>
        <v>74101</v>
      </c>
      <c r="C36075" s="2">
        <v>3.6514716096002898E-3</v>
      </c>
      <c r="D36075" s="2">
        <v>9.0477451959325907E-3</v>
      </c>
      <c r="E36075" s="2">
        <v>9.4077802342537205E-5</v>
      </c>
      <c r="F36075" s="2">
        <v>3.9946737683089198E-3</v>
      </c>
    </row>
    <row r="36076" spans="1:6" x14ac:dyDescent="0.25">
      <c r="A36076" s="1" t="str">
        <f t="shared" si="1299"/>
        <v>46140</v>
      </c>
      <c r="B36076" s="1" t="str">
        <f>"74012"</f>
        <v>74012</v>
      </c>
      <c r="C36076" s="2">
        <v>5.3977733509114098E-2</v>
      </c>
      <c r="D36076" s="2">
        <v>5.3349092168809703E-2</v>
      </c>
      <c r="E36076" s="2">
        <v>2.6435862458252898E-2</v>
      </c>
      <c r="F36076" s="2">
        <v>5.2859584133054201E-2</v>
      </c>
    </row>
    <row r="36077" spans="1:6" x14ac:dyDescent="0.25">
      <c r="A36077" s="1" t="str">
        <f t="shared" si="1299"/>
        <v>46140</v>
      </c>
      <c r="B36077" s="1" t="str">
        <f>"74033"</f>
        <v>74033</v>
      </c>
      <c r="C36077" s="2">
        <v>1.0226615817775699E-2</v>
      </c>
      <c r="D36077" s="2">
        <v>4.6461394249383498E-3</v>
      </c>
      <c r="E36077" s="2">
        <v>1.7874782445082E-3</v>
      </c>
      <c r="F36077" s="2">
        <v>9.4043545935120106E-3</v>
      </c>
    </row>
    <row r="36078" spans="1:6" x14ac:dyDescent="0.25">
      <c r="A36078" s="1" t="str">
        <f t="shared" si="1299"/>
        <v>46140</v>
      </c>
      <c r="B36078" s="1" t="str">
        <f>"74037"</f>
        <v>74037</v>
      </c>
      <c r="C36078" s="2">
        <v>1.9918819218884502E-2</v>
      </c>
      <c r="D36078" s="2">
        <v>2.2476718358364001E-2</v>
      </c>
      <c r="E36078" s="2">
        <v>6.3972905592925297E-3</v>
      </c>
      <c r="F36078" s="2">
        <v>1.9625059412155199E-2</v>
      </c>
    </row>
    <row r="36079" spans="1:6" x14ac:dyDescent="0.25">
      <c r="A36079" s="1" t="str">
        <f t="shared" si="1299"/>
        <v>46140</v>
      </c>
      <c r="B36079" s="1" t="str">
        <f>"74010"</f>
        <v>74010</v>
      </c>
      <c r="C36079" s="2">
        <v>1.03409842337939E-2</v>
      </c>
      <c r="D36079" s="2">
        <v>8.2326330161188403E-3</v>
      </c>
      <c r="E36079" s="2">
        <v>3.2927230819887999E-3</v>
      </c>
      <c r="F36079" s="2">
        <v>9.8814659473109405E-3</v>
      </c>
    </row>
    <row r="36080" spans="1:6" x14ac:dyDescent="0.25">
      <c r="A36080" s="1" t="str">
        <f t="shared" si="1299"/>
        <v>46140</v>
      </c>
      <c r="B36080" s="1" t="str">
        <f>"74036"</f>
        <v>74036</v>
      </c>
      <c r="C36080" s="2">
        <v>5.6601968800296101E-3</v>
      </c>
      <c r="D36080" s="2">
        <v>1.67097996861818E-3</v>
      </c>
      <c r="E36080" s="2">
        <v>1.45820593630932E-3</v>
      </c>
      <c r="F36080" s="2">
        <v>5.1430064183268804E-3</v>
      </c>
    </row>
    <row r="36081" spans="1:6" x14ac:dyDescent="0.25">
      <c r="A36081" s="1" t="str">
        <f t="shared" si="1299"/>
        <v>46140</v>
      </c>
      <c r="B36081" s="1" t="str">
        <f>"74132"</f>
        <v>74132</v>
      </c>
      <c r="C36081" s="2">
        <v>1.0133041659215299E-2</v>
      </c>
      <c r="D36081" s="2">
        <v>7.9677215576793702E-3</v>
      </c>
      <c r="E36081" s="2">
        <v>8.1847688038007398E-3</v>
      </c>
      <c r="F36081" s="2">
        <v>9.8651389428083096E-3</v>
      </c>
    </row>
    <row r="36082" spans="1:6" x14ac:dyDescent="0.25">
      <c r="A36082" s="1" t="str">
        <f t="shared" si="1299"/>
        <v>46140</v>
      </c>
      <c r="B36082" s="1" t="str">
        <f>"74137"</f>
        <v>74137</v>
      </c>
      <c r="C36082" s="2">
        <v>2.5464647682895799E-2</v>
      </c>
      <c r="D36082" s="2">
        <v>1.7830578933425701E-2</v>
      </c>
      <c r="E36082" s="2">
        <v>3.3162425325744302E-2</v>
      </c>
      <c r="F36082" s="2">
        <v>2.5081907139254799E-2</v>
      </c>
    </row>
    <row r="36083" spans="1:6" x14ac:dyDescent="0.25">
      <c r="A36083" s="1" t="str">
        <f t="shared" si="1299"/>
        <v>46140</v>
      </c>
      <c r="B36083" s="1" t="str">
        <f>"74081"</f>
        <v>74081</v>
      </c>
      <c r="C36083" s="2">
        <v>2.1376496666680499E-3</v>
      </c>
      <c r="D36083" s="2">
        <v>2.8528926293481101E-4</v>
      </c>
      <c r="E36083" s="2">
        <v>4.7038901171268602E-5</v>
      </c>
      <c r="F36083" s="2">
        <v>1.8921184106930899E-3</v>
      </c>
    </row>
    <row r="36084" spans="1:6" x14ac:dyDescent="0.25">
      <c r="A36084" s="1" t="str">
        <f t="shared" ref="A36084:A36092" si="1300">"46140"</f>
        <v>46140</v>
      </c>
      <c r="B36084" s="1" t="str">
        <f>"74155"</f>
        <v>74155</v>
      </c>
      <c r="C36084" s="2">
        <v>1.95466020103888E-4</v>
      </c>
      <c r="D36084" s="2">
        <v>1.73211338210421E-3</v>
      </c>
      <c r="E36084" s="2">
        <v>9.4077802342537205E-5</v>
      </c>
      <c r="F36084" s="2">
        <v>3.2835420166390302E-4</v>
      </c>
    </row>
    <row r="36085" spans="1:6" x14ac:dyDescent="0.25">
      <c r="A36085" s="1" t="str">
        <f t="shared" si="1300"/>
        <v>46140</v>
      </c>
      <c r="B36085" s="1" t="str">
        <f>"74039"</f>
        <v>74039</v>
      </c>
      <c r="C36085" s="2">
        <v>2.8820840836594501E-3</v>
      </c>
      <c r="D36085" s="2">
        <v>9.57756811281152E-4</v>
      </c>
      <c r="E36085" s="2">
        <v>2.3519450585634299E-4</v>
      </c>
      <c r="F36085" s="2">
        <v>2.6086924971971898E-3</v>
      </c>
    </row>
    <row r="36086" spans="1:6" x14ac:dyDescent="0.25">
      <c r="A36086" s="1" t="str">
        <f t="shared" si="1300"/>
        <v>46140</v>
      </c>
      <c r="B36086" s="1" t="str">
        <f>"74013"</f>
        <v>74013</v>
      </c>
      <c r="C36086" s="2">
        <v>3.6306773521424299E-3</v>
      </c>
      <c r="D36086" s="2">
        <v>1.5324108980498401E-2</v>
      </c>
      <c r="E36086" s="2">
        <v>9.4077802342537205E-5</v>
      </c>
      <c r="F36086" s="2">
        <v>4.5352790285069404E-3</v>
      </c>
    </row>
    <row r="36087" spans="1:6" x14ac:dyDescent="0.25">
      <c r="A36087" s="1" t="str">
        <f t="shared" si="1300"/>
        <v>46140</v>
      </c>
      <c r="B36087" s="1" t="str">
        <f>"74422"</f>
        <v>74422</v>
      </c>
      <c r="C36087" s="2">
        <v>6.5293968417681704E-4</v>
      </c>
      <c r="D36087" s="2">
        <v>1.4264463146740499E-4</v>
      </c>
      <c r="E36087" s="2">
        <v>4.7038901171268602E-5</v>
      </c>
      <c r="F36087" s="2">
        <v>5.8414393887169498E-4</v>
      </c>
    </row>
    <row r="36088" spans="1:6" x14ac:dyDescent="0.25">
      <c r="A36088" s="1" t="str">
        <f t="shared" si="1300"/>
        <v>46140</v>
      </c>
      <c r="B36088" s="1" t="str">
        <f>"74116"</f>
        <v>74116</v>
      </c>
      <c r="C36088" s="2">
        <v>4.1401366598600104E-3</v>
      </c>
      <c r="D36088" s="2">
        <v>1.60577099423308E-2</v>
      </c>
      <c r="E36088" s="2">
        <v>1.4723176066607E-2</v>
      </c>
      <c r="F36088" s="2">
        <v>5.6092331024573897E-3</v>
      </c>
    </row>
    <row r="36089" spans="1:6" x14ac:dyDescent="0.25">
      <c r="A36089" s="1" t="str">
        <f t="shared" si="1300"/>
        <v>46140</v>
      </c>
      <c r="B36089" s="1" t="str">
        <f>"74129"</f>
        <v>74129</v>
      </c>
      <c r="C36089" s="2">
        <v>1.6518958124524301E-2</v>
      </c>
      <c r="D36089" s="2">
        <v>1.34697287714221E-2</v>
      </c>
      <c r="E36089" s="2">
        <v>4.0735688414318599E-2</v>
      </c>
      <c r="F36089" s="2">
        <v>1.7181451071595698E-2</v>
      </c>
    </row>
    <row r="36090" spans="1:6" x14ac:dyDescent="0.25">
      <c r="A36090" s="1" t="str">
        <f t="shared" si="1300"/>
        <v>46140</v>
      </c>
      <c r="B36090" s="1" t="str">
        <f>"74079"</f>
        <v>74079</v>
      </c>
      <c r="C36090" s="2">
        <v>2.4953108949432498E-4</v>
      </c>
      <c r="D36090" s="2">
        <v>6.1133413486031004E-5</v>
      </c>
      <c r="E36090" s="2">
        <v>0</v>
      </c>
      <c r="F36090" s="2">
        <v>2.23135728202541E-4</v>
      </c>
    </row>
    <row r="36091" spans="1:6" x14ac:dyDescent="0.25">
      <c r="A36091" s="1" t="str">
        <f t="shared" si="1300"/>
        <v>46140</v>
      </c>
      <c r="B36091" s="1" t="str">
        <f>"74034"</f>
        <v>74034</v>
      </c>
      <c r="C36091" s="2">
        <v>0</v>
      </c>
      <c r="D36091" s="2">
        <v>0</v>
      </c>
      <c r="E36091" s="2">
        <v>4.7038901171268602E-5</v>
      </c>
      <c r="F36091" s="2">
        <v>1.8141116114027701E-6</v>
      </c>
    </row>
    <row r="36092" spans="1:6" x14ac:dyDescent="0.25">
      <c r="A36092" s="1" t="str">
        <f t="shared" si="1300"/>
        <v>46140</v>
      </c>
      <c r="B36092" s="1" t="str">
        <f>"74186"</f>
        <v>74186</v>
      </c>
      <c r="C36092" s="2">
        <v>0</v>
      </c>
      <c r="D36092" s="2">
        <v>0</v>
      </c>
      <c r="E36092" s="2">
        <v>4.7038901171268602E-5</v>
      </c>
      <c r="F36092" s="2">
        <v>1.8141116114027701E-6</v>
      </c>
    </row>
    <row r="36093" spans="1:6" x14ac:dyDescent="0.25">
      <c r="A36093" s="1" t="str">
        <f t="shared" ref="A36093:A36132" si="1301">"46180"</f>
        <v>46180</v>
      </c>
      <c r="B36093" s="1" t="str">
        <f>"38876"</f>
        <v>38876</v>
      </c>
      <c r="C36093" s="2">
        <v>7.5332660580601203E-3</v>
      </c>
      <c r="D36093" s="2">
        <v>1.3246628131021101E-3</v>
      </c>
      <c r="E36093" s="2">
        <v>1.5710919088766601E-3</v>
      </c>
      <c r="F36093" s="2">
        <v>6.9093555839196599E-3</v>
      </c>
    </row>
    <row r="36094" spans="1:6" x14ac:dyDescent="0.25">
      <c r="A36094" s="1" t="str">
        <f t="shared" si="1301"/>
        <v>46180</v>
      </c>
      <c r="B36094" s="1" t="str">
        <f>"38871"</f>
        <v>38871</v>
      </c>
      <c r="C36094" s="2">
        <v>1.03259721668113E-2</v>
      </c>
      <c r="D36094" s="2">
        <v>3.49229287090558E-3</v>
      </c>
      <c r="E36094" s="2">
        <v>2.3566378633150002E-3</v>
      </c>
      <c r="F36094" s="2">
        <v>9.6203546450911899E-3</v>
      </c>
    </row>
    <row r="36095" spans="1:6" x14ac:dyDescent="0.25">
      <c r="A36095" s="1" t="str">
        <f t="shared" si="1301"/>
        <v>46180</v>
      </c>
      <c r="B36095" s="1" t="str">
        <f>"38870"</f>
        <v>38870</v>
      </c>
      <c r="C36095" s="2">
        <v>8.9178850531552805E-4</v>
      </c>
      <c r="D36095" s="2">
        <v>0</v>
      </c>
      <c r="E36095" s="2">
        <v>0</v>
      </c>
      <c r="F36095" s="2">
        <v>8.0169622042426604E-4</v>
      </c>
    </row>
    <row r="36096" spans="1:6" x14ac:dyDescent="0.25">
      <c r="A36096" s="1" t="str">
        <f t="shared" si="1301"/>
        <v>46180</v>
      </c>
      <c r="B36096" s="1" t="str">
        <f>"38859"</f>
        <v>38859</v>
      </c>
      <c r="C36096" s="2">
        <v>5.16298608340569E-3</v>
      </c>
      <c r="D36096" s="2">
        <v>1.0838150289017301E-3</v>
      </c>
      <c r="E36096" s="2">
        <v>0</v>
      </c>
      <c r="F36096" s="2">
        <v>4.7363368811907201E-3</v>
      </c>
    </row>
    <row r="36097" spans="1:6" x14ac:dyDescent="0.25">
      <c r="A36097" s="1" t="str">
        <f t="shared" si="1301"/>
        <v>46180</v>
      </c>
      <c r="B36097" s="1" t="str">
        <f>"38865"</f>
        <v>38865</v>
      </c>
      <c r="C36097" s="2">
        <v>8.3077139705709704E-3</v>
      </c>
      <c r="D36097" s="2">
        <v>3.0105973025048101E-3</v>
      </c>
      <c r="E36097" s="2">
        <v>0</v>
      </c>
      <c r="F36097" s="2">
        <v>7.7321490733024602E-3</v>
      </c>
    </row>
    <row r="36098" spans="1:6" x14ac:dyDescent="0.25">
      <c r="A36098" s="1" t="str">
        <f t="shared" si="1301"/>
        <v>46180</v>
      </c>
      <c r="B36098" s="1" t="str">
        <f>"38880"</f>
        <v>38880</v>
      </c>
      <c r="C36098" s="2">
        <v>0</v>
      </c>
      <c r="D36098" s="2">
        <v>1.20423892100192E-4</v>
      </c>
      <c r="E36098" s="2">
        <v>0</v>
      </c>
      <c r="F36098" s="2">
        <v>1.0548634479266601E-5</v>
      </c>
    </row>
    <row r="36099" spans="1:6" x14ac:dyDescent="0.25">
      <c r="A36099" s="1" t="str">
        <f t="shared" si="1301"/>
        <v>46180</v>
      </c>
      <c r="B36099" s="1" t="str">
        <f>"38833"</f>
        <v>38833</v>
      </c>
      <c r="C36099" s="2">
        <v>1.6427682992654401E-3</v>
      </c>
      <c r="D36099" s="2">
        <v>4.8169556840077E-4</v>
      </c>
      <c r="E36099" s="2">
        <v>0</v>
      </c>
      <c r="F36099" s="2">
        <v>1.5190033650143899E-3</v>
      </c>
    </row>
    <row r="36100" spans="1:6" x14ac:dyDescent="0.25">
      <c r="A36100" s="1" t="str">
        <f t="shared" si="1301"/>
        <v>46180</v>
      </c>
      <c r="B36100" s="1" t="str">
        <f>"38820"</f>
        <v>38820</v>
      </c>
      <c r="C36100" s="2">
        <v>0</v>
      </c>
      <c r="D36100" s="2">
        <v>1.20423892100192E-4</v>
      </c>
      <c r="E36100" s="2">
        <v>0</v>
      </c>
      <c r="F36100" s="2">
        <v>1.0548634479266601E-5</v>
      </c>
    </row>
    <row r="36101" spans="1:6" x14ac:dyDescent="0.25">
      <c r="A36101" s="1" t="str">
        <f t="shared" si="1301"/>
        <v>46180</v>
      </c>
      <c r="B36101" s="1" t="str">
        <f>"38848"</f>
        <v>38848</v>
      </c>
      <c r="C36101" s="2">
        <v>3.5202177841402398E-5</v>
      </c>
      <c r="D36101" s="2">
        <v>0</v>
      </c>
      <c r="E36101" s="2">
        <v>0</v>
      </c>
      <c r="F36101" s="2">
        <v>3.1645903437799898E-5</v>
      </c>
    </row>
    <row r="36102" spans="1:6" x14ac:dyDescent="0.25">
      <c r="A36102" s="1" t="str">
        <f t="shared" si="1301"/>
        <v>46180</v>
      </c>
      <c r="B36102" s="1" t="str">
        <f>"38652"</f>
        <v>38652</v>
      </c>
      <c r="C36102" s="2">
        <v>1.05606533524207E-4</v>
      </c>
      <c r="D36102" s="2">
        <v>0</v>
      </c>
      <c r="E36102" s="2">
        <v>0</v>
      </c>
      <c r="F36102" s="2">
        <v>9.4937710313399898E-5</v>
      </c>
    </row>
    <row r="36103" spans="1:6" x14ac:dyDescent="0.25">
      <c r="A36103" s="1" t="str">
        <f t="shared" si="1301"/>
        <v>46180</v>
      </c>
      <c r="B36103" s="1" t="str">
        <f>"38663"</f>
        <v>38663</v>
      </c>
      <c r="C36103" s="2">
        <v>3.5202177841402398E-5</v>
      </c>
      <c r="D36103" s="2">
        <v>0</v>
      </c>
      <c r="E36103" s="2">
        <v>0</v>
      </c>
      <c r="F36103" s="2">
        <v>3.1645903437799898E-5</v>
      </c>
    </row>
    <row r="36104" spans="1:6" x14ac:dyDescent="0.25">
      <c r="A36104" s="1" t="str">
        <f t="shared" si="1301"/>
        <v>46180</v>
      </c>
      <c r="B36104" s="1" t="str">
        <f>"38804"</f>
        <v>38804</v>
      </c>
      <c r="C36104" s="2">
        <v>0.106204970547511</v>
      </c>
      <c r="D36104" s="2">
        <v>0.21134393063583801</v>
      </c>
      <c r="E36104" s="2">
        <v>0.26630007855459498</v>
      </c>
      <c r="F36104" s="2">
        <v>0.11756453127142601</v>
      </c>
    </row>
    <row r="36105" spans="1:6" x14ac:dyDescent="0.25">
      <c r="A36105" s="1" t="str">
        <f t="shared" si="1301"/>
        <v>46180</v>
      </c>
      <c r="B36105" s="1" t="str">
        <f>"38829"</f>
        <v>38829</v>
      </c>
      <c r="C36105" s="2">
        <v>0.100126727840229</v>
      </c>
      <c r="D36105" s="2">
        <v>9.5134874759152194E-2</v>
      </c>
      <c r="E36105" s="2">
        <v>7.3841319717203396E-2</v>
      </c>
      <c r="F36105" s="2">
        <v>9.9336490891254098E-2</v>
      </c>
    </row>
    <row r="36106" spans="1:6" x14ac:dyDescent="0.25">
      <c r="A36106" s="1" t="str">
        <f t="shared" si="1301"/>
        <v>46180</v>
      </c>
      <c r="B36106" s="1" t="str">
        <f>"38824"</f>
        <v>38824</v>
      </c>
      <c r="C36106" s="2">
        <v>4.5586820304616103E-2</v>
      </c>
      <c r="D36106" s="2">
        <v>4.1546242774566401E-2</v>
      </c>
      <c r="E36106" s="2">
        <v>6.5200314218381697E-2</v>
      </c>
      <c r="F36106" s="2">
        <v>4.5496260509076999E-2</v>
      </c>
    </row>
    <row r="36107" spans="1:6" x14ac:dyDescent="0.25">
      <c r="A36107" s="1" t="str">
        <f t="shared" si="1301"/>
        <v>46180</v>
      </c>
      <c r="B36107" s="1" t="str">
        <f>"38863"</f>
        <v>38863</v>
      </c>
      <c r="C36107" s="2">
        <v>0.13706554645513999</v>
      </c>
      <c r="D36107" s="2">
        <v>0.11380057803468201</v>
      </c>
      <c r="E36107" s="2">
        <v>8.7981146897093396E-2</v>
      </c>
      <c r="F36107" s="2">
        <v>0.13436850599689801</v>
      </c>
    </row>
    <row r="36108" spans="1:6" x14ac:dyDescent="0.25">
      <c r="A36108" s="1" t="str">
        <f t="shared" si="1301"/>
        <v>46180</v>
      </c>
      <c r="B36108" s="1" t="str">
        <f>"38866"</f>
        <v>38866</v>
      </c>
      <c r="C36108" s="2">
        <v>6.4197038323437594E-2</v>
      </c>
      <c r="D36108" s="2">
        <v>3.1069364161849699E-2</v>
      </c>
      <c r="E36108" s="2">
        <v>6.2058130400628402E-2</v>
      </c>
      <c r="F36108" s="2">
        <v>6.1266469055580697E-2</v>
      </c>
    </row>
    <row r="36109" spans="1:6" x14ac:dyDescent="0.25">
      <c r="A36109" s="1" t="str">
        <f t="shared" si="1301"/>
        <v>46180</v>
      </c>
      <c r="B36109" s="1" t="str">
        <f>"38862"</f>
        <v>38862</v>
      </c>
      <c r="C36109" s="2">
        <v>1.4960925582595999E-2</v>
      </c>
      <c r="D36109" s="2">
        <v>2.28805394990366E-3</v>
      </c>
      <c r="E36109" s="2">
        <v>4.7132757266300004E-3</v>
      </c>
      <c r="F36109" s="2">
        <v>1.3713224823046599E-2</v>
      </c>
    </row>
    <row r="36110" spans="1:6" x14ac:dyDescent="0.25">
      <c r="A36110" s="1" t="str">
        <f t="shared" si="1301"/>
        <v>46180</v>
      </c>
      <c r="B36110" s="1" t="str">
        <f>"38864"</f>
        <v>38864</v>
      </c>
      <c r="C36110" s="2">
        <v>8.9296191124357497E-3</v>
      </c>
      <c r="D36110" s="2">
        <v>2.0472061657032699E-3</v>
      </c>
      <c r="E36110" s="2">
        <v>1.5710919088766601E-3</v>
      </c>
      <c r="F36110" s="2">
        <v>8.22793489382799E-3</v>
      </c>
    </row>
    <row r="36111" spans="1:6" x14ac:dyDescent="0.25">
      <c r="A36111" s="1" t="str">
        <f t="shared" si="1301"/>
        <v>46180</v>
      </c>
      <c r="B36111" s="1" t="str">
        <f>"38873"</f>
        <v>38873</v>
      </c>
      <c r="C36111" s="2">
        <v>2.1238647297646099E-3</v>
      </c>
      <c r="D36111" s="2">
        <v>0</v>
      </c>
      <c r="E36111" s="2">
        <v>0</v>
      </c>
      <c r="F36111" s="2">
        <v>1.9093028407472601E-3</v>
      </c>
    </row>
    <row r="36112" spans="1:6" x14ac:dyDescent="0.25">
      <c r="A36112" s="1" t="str">
        <f t="shared" si="1301"/>
        <v>46180</v>
      </c>
      <c r="B36112" s="1" t="str">
        <f>"38879"</f>
        <v>38879</v>
      </c>
      <c r="C36112" s="2">
        <v>3.2855365985308898E-4</v>
      </c>
      <c r="D36112" s="2">
        <v>1.3246628131021101E-3</v>
      </c>
      <c r="E36112" s="2">
        <v>0</v>
      </c>
      <c r="F36112" s="2">
        <v>4.11396744691399E-4</v>
      </c>
    </row>
    <row r="36113" spans="1:6" x14ac:dyDescent="0.25">
      <c r="A36113" s="1" t="str">
        <f t="shared" si="1301"/>
        <v>46180</v>
      </c>
      <c r="B36113" s="1" t="str">
        <f>"38843"</f>
        <v>38843</v>
      </c>
      <c r="C36113" s="2">
        <v>6.7341766210602796E-2</v>
      </c>
      <c r="D36113" s="2">
        <v>5.9730250481695502E-2</v>
      </c>
      <c r="E36113" s="2">
        <v>5.2631578947368397E-2</v>
      </c>
      <c r="F36113" s="2">
        <v>6.6477494488338396E-2</v>
      </c>
    </row>
    <row r="36114" spans="1:6" x14ac:dyDescent="0.25">
      <c r="A36114" s="1" t="str">
        <f t="shared" si="1301"/>
        <v>46180</v>
      </c>
      <c r="B36114" s="1" t="str">
        <f>"38858"</f>
        <v>38858</v>
      </c>
      <c r="C36114" s="2">
        <v>3.64811903029734E-2</v>
      </c>
      <c r="D36114" s="2">
        <v>1.2403660886319799E-2</v>
      </c>
      <c r="E36114" s="2">
        <v>3.1421838177533301E-3</v>
      </c>
      <c r="F36114" s="2">
        <v>3.3924408485321501E-2</v>
      </c>
    </row>
    <row r="36115" spans="1:6" x14ac:dyDescent="0.25">
      <c r="A36115" s="1" t="str">
        <f t="shared" si="1301"/>
        <v>46180</v>
      </c>
      <c r="B36115" s="1" t="str">
        <f>"38868"</f>
        <v>38868</v>
      </c>
      <c r="C36115" s="2">
        <v>2.8302550984487501E-2</v>
      </c>
      <c r="D36115" s="2">
        <v>1.16811175337186E-2</v>
      </c>
      <c r="E36115" s="2">
        <v>1.8853102906520001E-2</v>
      </c>
      <c r="F36115" s="2">
        <v>2.6719691135982399E-2</v>
      </c>
    </row>
    <row r="36116" spans="1:6" x14ac:dyDescent="0.25">
      <c r="A36116" s="1" t="str">
        <f t="shared" si="1301"/>
        <v>46180</v>
      </c>
      <c r="B36116" s="1" t="str">
        <f>"38841"</f>
        <v>38841</v>
      </c>
      <c r="C36116" s="2">
        <v>1.7518950505737901E-2</v>
      </c>
      <c r="D36116" s="2">
        <v>1.27649325626204E-2</v>
      </c>
      <c r="E36116" s="2">
        <v>8.6410054988216804E-3</v>
      </c>
      <c r="F36116" s="2">
        <v>1.6983301511619298E-2</v>
      </c>
    </row>
    <row r="36117" spans="1:6" x14ac:dyDescent="0.25">
      <c r="A36117" s="1" t="str">
        <f t="shared" si="1301"/>
        <v>46180</v>
      </c>
      <c r="B36117" s="1" t="str">
        <f>"38874"</f>
        <v>38874</v>
      </c>
      <c r="C36117" s="2">
        <v>0</v>
      </c>
      <c r="D36117" s="2">
        <v>1.20423892100192E-4</v>
      </c>
      <c r="E36117" s="2">
        <v>0</v>
      </c>
      <c r="F36117" s="2">
        <v>1.0548634479266601E-5</v>
      </c>
    </row>
    <row r="36118" spans="1:6" x14ac:dyDescent="0.25">
      <c r="A36118" s="1" t="str">
        <f t="shared" si="1301"/>
        <v>46180</v>
      </c>
      <c r="B36118" s="1" t="str">
        <f>"38856"</f>
        <v>38856</v>
      </c>
      <c r="C36118" s="2">
        <v>1.04550468188965E-2</v>
      </c>
      <c r="D36118" s="2">
        <v>4.4556840077071202E-3</v>
      </c>
      <c r="E36118" s="2">
        <v>1.5710919088766601E-3</v>
      </c>
      <c r="F36118" s="2">
        <v>9.8102300657179897E-3</v>
      </c>
    </row>
    <row r="36119" spans="1:6" x14ac:dyDescent="0.25">
      <c r="A36119" s="1" t="str">
        <f t="shared" si="1301"/>
        <v>46180</v>
      </c>
      <c r="B36119" s="1" t="str">
        <f>"38847"</f>
        <v>38847</v>
      </c>
      <c r="C36119" s="2">
        <v>1.67914388303489E-2</v>
      </c>
      <c r="D36119" s="2">
        <v>9.8747591522157906E-3</v>
      </c>
      <c r="E36119" s="2">
        <v>7.8554595443833405E-4</v>
      </c>
      <c r="F36119" s="2">
        <v>1.5970632601609702E-2</v>
      </c>
    </row>
    <row r="36120" spans="1:6" x14ac:dyDescent="0.25">
      <c r="A36120" s="1" t="str">
        <f t="shared" si="1301"/>
        <v>46180</v>
      </c>
      <c r="B36120" s="1" t="str">
        <f>"38828"</f>
        <v>38828</v>
      </c>
      <c r="C36120" s="2">
        <v>6.3363920114524403E-3</v>
      </c>
      <c r="D36120" s="2">
        <v>1.6859344894026901E-3</v>
      </c>
      <c r="E36120" s="2">
        <v>3.1421838177533301E-3</v>
      </c>
      <c r="F36120" s="2">
        <v>5.8861380394307902E-3</v>
      </c>
    </row>
    <row r="36121" spans="1:6" x14ac:dyDescent="0.25">
      <c r="A36121" s="1" t="str">
        <f t="shared" si="1301"/>
        <v>46180</v>
      </c>
      <c r="B36121" s="1" t="str">
        <f>"38860"</f>
        <v>38860</v>
      </c>
      <c r="C36121" s="2">
        <v>1.80704512919199E-3</v>
      </c>
      <c r="D36121" s="2">
        <v>1.20423892100192E-4</v>
      </c>
      <c r="E36121" s="2">
        <v>7.8554595443833405E-4</v>
      </c>
      <c r="F36121" s="2">
        <v>1.6455869787655899E-3</v>
      </c>
    </row>
    <row r="36122" spans="1:6" x14ac:dyDescent="0.25">
      <c r="A36122" s="1" t="str">
        <f t="shared" si="1301"/>
        <v>46180</v>
      </c>
      <c r="B36122" s="1" t="str">
        <f>"38857"</f>
        <v>38857</v>
      </c>
      <c r="C36122" s="2">
        <v>1.9419868109173601E-2</v>
      </c>
      <c r="D36122" s="2">
        <v>4.0944123314065502E-3</v>
      </c>
      <c r="E36122" s="2">
        <v>4.7132757266300004E-3</v>
      </c>
      <c r="F36122" s="2">
        <v>1.7879935442356901E-2</v>
      </c>
    </row>
    <row r="36123" spans="1:6" x14ac:dyDescent="0.25">
      <c r="A36123" s="1" t="str">
        <f t="shared" si="1301"/>
        <v>46180</v>
      </c>
      <c r="B36123" s="1" t="str">
        <f>"38855"</f>
        <v>38855</v>
      </c>
      <c r="C36123" s="2">
        <v>2.7093942878599401E-2</v>
      </c>
      <c r="D36123" s="2">
        <v>7.4662813102119403E-3</v>
      </c>
      <c r="E36123" s="2">
        <v>1.4925373134328301E-2</v>
      </c>
      <c r="F36123" s="2">
        <v>2.5211236405447299E-2</v>
      </c>
    </row>
    <row r="36124" spans="1:6" x14ac:dyDescent="0.25">
      <c r="A36124" s="1" t="str">
        <f t="shared" si="1301"/>
        <v>46180</v>
      </c>
      <c r="B36124" s="1" t="str">
        <f>"38655"</f>
        <v>38655</v>
      </c>
      <c r="C36124" s="2">
        <v>1.76010889207012E-4</v>
      </c>
      <c r="D36124" s="2">
        <v>0</v>
      </c>
      <c r="E36124" s="2">
        <v>0</v>
      </c>
      <c r="F36124" s="2">
        <v>1.58229517188999E-4</v>
      </c>
    </row>
    <row r="36125" spans="1:6" x14ac:dyDescent="0.25">
      <c r="A36125" s="1" t="str">
        <f t="shared" si="1301"/>
        <v>46180</v>
      </c>
      <c r="B36125" s="1" t="str">
        <f>"38803"</f>
        <v>38803</v>
      </c>
      <c r="C36125" s="2">
        <v>1.5301213301729601E-2</v>
      </c>
      <c r="D36125" s="2">
        <v>5.1300578034682E-2</v>
      </c>
      <c r="E36125" s="2">
        <v>1.5710919088766601E-3</v>
      </c>
      <c r="F36125" s="2">
        <v>1.8270234918089798E-2</v>
      </c>
    </row>
    <row r="36126" spans="1:6" x14ac:dyDescent="0.25">
      <c r="A36126" s="1" t="str">
        <f t="shared" si="1301"/>
        <v>46180</v>
      </c>
      <c r="B36126" s="1" t="str">
        <f>"38826"</f>
        <v>38826</v>
      </c>
      <c r="C36126" s="2">
        <v>3.1024852737556001E-2</v>
      </c>
      <c r="D36126" s="2">
        <v>1.2042389210019201E-2</v>
      </c>
      <c r="E36126" s="2">
        <v>2.356637863315E-2</v>
      </c>
      <c r="F36126" s="2">
        <v>2.92619120454857E-2</v>
      </c>
    </row>
    <row r="36127" spans="1:6" x14ac:dyDescent="0.25">
      <c r="A36127" s="1" t="str">
        <f t="shared" si="1301"/>
        <v>46180</v>
      </c>
      <c r="B36127" s="1" t="str">
        <f>"38849"</f>
        <v>38849</v>
      </c>
      <c r="C36127" s="2">
        <v>3.0508554129215399E-2</v>
      </c>
      <c r="D36127" s="2">
        <v>6.0211946050096297E-3</v>
      </c>
      <c r="E36127" s="2">
        <v>3.9277297721916703E-2</v>
      </c>
      <c r="F36127" s="2">
        <v>2.8481313094019901E-2</v>
      </c>
    </row>
    <row r="36128" spans="1:6" x14ac:dyDescent="0.25">
      <c r="A36128" s="1" t="str">
        <f t="shared" si="1301"/>
        <v>46180</v>
      </c>
      <c r="B36128" s="1" t="str">
        <f>"38850"</f>
        <v>38850</v>
      </c>
      <c r="C36128" s="2">
        <v>6.1603811222454199E-3</v>
      </c>
      <c r="D36128" s="2">
        <v>1.6859344894026901E-3</v>
      </c>
      <c r="E36128" s="2">
        <v>1.5710919088766601E-3</v>
      </c>
      <c r="F36128" s="2">
        <v>5.7068112532832598E-3</v>
      </c>
    </row>
    <row r="36129" spans="1:6" x14ac:dyDescent="0.25">
      <c r="A36129" s="1" t="str">
        <f t="shared" si="1301"/>
        <v>46180</v>
      </c>
      <c r="B36129" s="1" t="str">
        <f>"38627"</f>
        <v>38627</v>
      </c>
      <c r="C36129" s="2">
        <v>1.1734059280467399E-5</v>
      </c>
      <c r="D36129" s="2">
        <v>0</v>
      </c>
      <c r="E36129" s="2">
        <v>0</v>
      </c>
      <c r="F36129" s="2">
        <v>1.0548634479266601E-5</v>
      </c>
    </row>
    <row r="36130" spans="1:6" x14ac:dyDescent="0.25">
      <c r="A36130" s="1" t="str">
        <f t="shared" si="1301"/>
        <v>46180</v>
      </c>
      <c r="B36130" s="1" t="str">
        <f>"38869"</f>
        <v>38869</v>
      </c>
      <c r="C36130" s="2">
        <v>0</v>
      </c>
      <c r="D36130" s="2">
        <v>1.20423892100192E-4</v>
      </c>
      <c r="E36130" s="2">
        <v>0</v>
      </c>
      <c r="F36130" s="2">
        <v>1.0548634479266601E-5</v>
      </c>
    </row>
    <row r="36131" spans="1:6" x14ac:dyDescent="0.25">
      <c r="A36131" s="1" t="str">
        <f t="shared" si="1301"/>
        <v>46180</v>
      </c>
      <c r="B36131" s="1" t="str">
        <f>"38802"</f>
        <v>38802</v>
      </c>
      <c r="C36131" s="2">
        <v>1.1534580272699499E-2</v>
      </c>
      <c r="D36131" s="2">
        <v>6.2740847784200304E-2</v>
      </c>
      <c r="E36131" s="2">
        <v>1.5710919088766601E-3</v>
      </c>
      <c r="F36131" s="2">
        <v>1.5886243525775501E-2</v>
      </c>
    </row>
    <row r="36132" spans="1:6" x14ac:dyDescent="0.25">
      <c r="A36132" s="1" t="str">
        <f t="shared" si="1301"/>
        <v>46180</v>
      </c>
      <c r="B36132" s="1" t="str">
        <f>"38801"</f>
        <v>38801</v>
      </c>
      <c r="C36132" s="2">
        <v>0.160169909178381</v>
      </c>
      <c r="D36132" s="2">
        <v>0.23350192678227299</v>
      </c>
      <c r="E36132" s="2">
        <v>0.25765907305577301</v>
      </c>
      <c r="F36132" s="2">
        <v>0.16790261500648701</v>
      </c>
    </row>
    <row r="36133" spans="1:6" x14ac:dyDescent="0.25">
      <c r="A36133" s="1" t="str">
        <f t="shared" ref="A36133:A36164" si="1302">"46220"</f>
        <v>46220</v>
      </c>
      <c r="B36133" s="1" t="str">
        <f>"35406"</f>
        <v>35406</v>
      </c>
      <c r="C36133" s="2">
        <v>5.32543169510575E-2</v>
      </c>
      <c r="D36133" s="2">
        <v>5.0076832685528302E-2</v>
      </c>
      <c r="E36133" s="2">
        <v>3.3787323205866901E-2</v>
      </c>
      <c r="F36133" s="2">
        <v>5.2577217569857601E-2</v>
      </c>
    </row>
    <row r="36134" spans="1:6" x14ac:dyDescent="0.25">
      <c r="A36134" s="1" t="str">
        <f t="shared" si="1302"/>
        <v>46220</v>
      </c>
      <c r="B36134" s="1" t="str">
        <f>"35453"</f>
        <v>35453</v>
      </c>
      <c r="C36134" s="2">
        <v>4.0931848370287099E-2</v>
      </c>
      <c r="D36134" s="2">
        <v>2.1603543342673701E-2</v>
      </c>
      <c r="E36134" s="2">
        <v>2.3048716605552601E-2</v>
      </c>
      <c r="F36134" s="2">
        <v>3.9187066288979798E-2</v>
      </c>
    </row>
    <row r="36135" spans="1:6" x14ac:dyDescent="0.25">
      <c r="A36135" s="1" t="str">
        <f t="shared" si="1302"/>
        <v>46220</v>
      </c>
      <c r="B36135" s="1" t="str">
        <f>"35486"</f>
        <v>35486</v>
      </c>
      <c r="C36135" s="2">
        <v>6.3233541091924597E-2</v>
      </c>
      <c r="D36135" s="2">
        <v>2.7027027027027001E-2</v>
      </c>
      <c r="E36135" s="2">
        <v>2.6191723415400702E-4</v>
      </c>
      <c r="F36135" s="2">
        <v>5.9269200796605699E-2</v>
      </c>
    </row>
    <row r="36136" spans="1:6" x14ac:dyDescent="0.25">
      <c r="A36136" s="1" t="str">
        <f t="shared" si="1302"/>
        <v>46220</v>
      </c>
      <c r="B36136" s="1" t="str">
        <f>"35463"</f>
        <v>35463</v>
      </c>
      <c r="C36136" s="2">
        <v>6.1782636831170601E-3</v>
      </c>
      <c r="D36136" s="2">
        <v>9.0391394739220798E-4</v>
      </c>
      <c r="E36136" s="2">
        <v>0</v>
      </c>
      <c r="F36136" s="2">
        <v>5.6714867088059496E-3</v>
      </c>
    </row>
    <row r="36137" spans="1:6" x14ac:dyDescent="0.25">
      <c r="A36137" s="1" t="str">
        <f t="shared" si="1302"/>
        <v>46220</v>
      </c>
      <c r="B36137" s="1" t="str">
        <f>"35464"</f>
        <v>35464</v>
      </c>
      <c r="C36137" s="2">
        <v>2.0435271278226199E-4</v>
      </c>
      <c r="D36137" s="2">
        <v>9.0391394739220798E-5</v>
      </c>
      <c r="E36137" s="2">
        <v>0</v>
      </c>
      <c r="F36137" s="2">
        <v>1.91729648825501E-4</v>
      </c>
    </row>
    <row r="36138" spans="1:6" x14ac:dyDescent="0.25">
      <c r="A36138" s="1" t="str">
        <f t="shared" si="1302"/>
        <v>46220</v>
      </c>
      <c r="B36138" s="1" t="str">
        <f>"35188"</f>
        <v>35188</v>
      </c>
      <c r="C36138" s="2">
        <v>1.1852457341371199E-3</v>
      </c>
      <c r="D36138" s="2">
        <v>1.8982192895236299E-3</v>
      </c>
      <c r="E36138" s="2">
        <v>0</v>
      </c>
      <c r="F36138" s="2">
        <v>1.20604133938621E-3</v>
      </c>
    </row>
    <row r="36139" spans="1:6" x14ac:dyDescent="0.25">
      <c r="A36139" s="1" t="str">
        <f t="shared" si="1302"/>
        <v>46220</v>
      </c>
      <c r="B36139" s="1" t="str">
        <f>"36776"</f>
        <v>36776</v>
      </c>
      <c r="C36139" s="2">
        <v>6.3144988249718998E-3</v>
      </c>
      <c r="D36139" s="2">
        <v>1.2654795263490901E-3</v>
      </c>
      <c r="E36139" s="2">
        <v>0</v>
      </c>
      <c r="F36139" s="2">
        <v>5.8199225659611798E-3</v>
      </c>
    </row>
    <row r="36140" spans="1:6" x14ac:dyDescent="0.25">
      <c r="A36140" s="1" t="str">
        <f t="shared" si="1302"/>
        <v>46220</v>
      </c>
      <c r="B36140" s="1" t="str">
        <f>"36740"</f>
        <v>36740</v>
      </c>
      <c r="C36140" s="2">
        <v>8.3103436531453204E-3</v>
      </c>
      <c r="D36140" s="2">
        <v>2.2597848684805201E-3</v>
      </c>
      <c r="E36140" s="2">
        <v>0</v>
      </c>
      <c r="F36140" s="2">
        <v>7.7001100899273898E-3</v>
      </c>
    </row>
    <row r="36141" spans="1:6" x14ac:dyDescent="0.25">
      <c r="A36141" s="1" t="str">
        <f t="shared" si="1302"/>
        <v>46220</v>
      </c>
      <c r="B36141" s="1" t="str">
        <f>"35474"</f>
        <v>35474</v>
      </c>
      <c r="C36141" s="2">
        <v>2.2764892203943999E-2</v>
      </c>
      <c r="D36141" s="2">
        <v>9.5814878423574005E-3</v>
      </c>
      <c r="E36141" s="2">
        <v>6.8098480880041902E-3</v>
      </c>
      <c r="F36141" s="2">
        <v>2.1486090323219E-2</v>
      </c>
    </row>
    <row r="36142" spans="1:6" x14ac:dyDescent="0.25">
      <c r="A36142" s="1" t="str">
        <f t="shared" si="1302"/>
        <v>46220</v>
      </c>
      <c r="B36142" s="1" t="str">
        <f>"35469"</f>
        <v>35469</v>
      </c>
      <c r="C36142" s="2">
        <v>1.6007629167943799E-3</v>
      </c>
      <c r="D36142" s="2">
        <v>1.1750881316098701E-3</v>
      </c>
      <c r="E36142" s="2">
        <v>2.6191723415400702E-4</v>
      </c>
      <c r="F36142" s="2">
        <v>1.5400220179854699E-3</v>
      </c>
    </row>
    <row r="36143" spans="1:6" x14ac:dyDescent="0.25">
      <c r="A36143" s="1" t="str">
        <f t="shared" si="1302"/>
        <v>46220</v>
      </c>
      <c r="B36143" s="1" t="str">
        <f>"35407"</f>
        <v>35407</v>
      </c>
      <c r="C36143" s="2">
        <v>9.4274718163550198E-3</v>
      </c>
      <c r="D36143" s="2">
        <v>2.3682545421675801E-2</v>
      </c>
      <c r="E36143" s="2">
        <v>5.2383446830801404E-4</v>
      </c>
      <c r="F36143" s="2">
        <v>1.01925955246589E-2</v>
      </c>
    </row>
    <row r="36144" spans="1:6" x14ac:dyDescent="0.25">
      <c r="A36144" s="1" t="str">
        <f t="shared" si="1302"/>
        <v>46220</v>
      </c>
      <c r="B36144" s="1" t="str">
        <f>"35476"</f>
        <v>35476</v>
      </c>
      <c r="C36144" s="2">
        <v>3.4195020605565202E-2</v>
      </c>
      <c r="D36144" s="2">
        <v>0.116424116424116</v>
      </c>
      <c r="E36144" s="2">
        <v>4.7668936616029299E-2</v>
      </c>
      <c r="F36144" s="2">
        <v>4.0139529705725902E-2</v>
      </c>
    </row>
    <row r="36145" spans="1:6" x14ac:dyDescent="0.25">
      <c r="A36145" s="1" t="str">
        <f t="shared" si="1302"/>
        <v>46220</v>
      </c>
      <c r="B36145" s="1" t="str">
        <f>"35448"</f>
        <v>35448</v>
      </c>
      <c r="C36145" s="2">
        <v>0</v>
      </c>
      <c r="D36145" s="2">
        <v>9.0391394739220798E-5</v>
      </c>
      <c r="E36145" s="2">
        <v>0</v>
      </c>
      <c r="F36145" s="2">
        <v>6.1848273814677796E-6</v>
      </c>
    </row>
    <row r="36146" spans="1:6" x14ac:dyDescent="0.25">
      <c r="A36146" s="1" t="str">
        <f t="shared" si="1302"/>
        <v>46220</v>
      </c>
      <c r="B36146" s="1" t="str">
        <f>"36756"</f>
        <v>36756</v>
      </c>
      <c r="C36146" s="2">
        <v>1.8391744150403501E-4</v>
      </c>
      <c r="D36146" s="2">
        <v>9.0391394739220798E-5</v>
      </c>
      <c r="E36146" s="2">
        <v>0</v>
      </c>
      <c r="F36146" s="2">
        <v>1.7317516668109701E-4</v>
      </c>
    </row>
    <row r="36147" spans="1:6" x14ac:dyDescent="0.25">
      <c r="A36147" s="1" t="str">
        <f t="shared" si="1302"/>
        <v>46220</v>
      </c>
      <c r="B36147" s="1" t="str">
        <f>"35440"</f>
        <v>35440</v>
      </c>
      <c r="C36147" s="2">
        <v>0</v>
      </c>
      <c r="D36147" s="2">
        <v>9.0391394739220798E-5</v>
      </c>
      <c r="E36147" s="2">
        <v>0</v>
      </c>
      <c r="F36147" s="2">
        <v>6.1848273814677796E-6</v>
      </c>
    </row>
    <row r="36148" spans="1:6" x14ac:dyDescent="0.25">
      <c r="A36148" s="1" t="str">
        <f t="shared" si="1302"/>
        <v>46220</v>
      </c>
      <c r="B36148" s="1" t="str">
        <f>"35471"</f>
        <v>35471</v>
      </c>
      <c r="C36148" s="2">
        <v>0</v>
      </c>
      <c r="D36148" s="2">
        <v>9.0391394739220798E-5</v>
      </c>
      <c r="E36148" s="2">
        <v>0</v>
      </c>
      <c r="F36148" s="2">
        <v>6.1848273814677796E-6</v>
      </c>
    </row>
    <row r="36149" spans="1:6" x14ac:dyDescent="0.25">
      <c r="A36149" s="1" t="str">
        <f t="shared" si="1302"/>
        <v>46220</v>
      </c>
      <c r="B36149" s="1" t="str">
        <f>"35111"</f>
        <v>35111</v>
      </c>
      <c r="C36149" s="2">
        <v>2.680426415994E-2</v>
      </c>
      <c r="D36149" s="2">
        <v>1.12085329476633E-2</v>
      </c>
      <c r="E36149" s="2">
        <v>1.57150340492404E-3</v>
      </c>
      <c r="F36149" s="2">
        <v>2.5141323305666499E-2</v>
      </c>
    </row>
    <row r="36150" spans="1:6" x14ac:dyDescent="0.25">
      <c r="A36150" s="1" t="str">
        <f t="shared" si="1302"/>
        <v>46220</v>
      </c>
      <c r="B36150" s="1" t="str">
        <f>"35401"</f>
        <v>35401</v>
      </c>
      <c r="C36150" s="2">
        <v>0.14707945914648601</v>
      </c>
      <c r="D36150" s="2">
        <v>0.244779896953809</v>
      </c>
      <c r="E36150" s="2">
        <v>0.400733368255631</v>
      </c>
      <c r="F36150" s="2">
        <v>0.159754091263312</v>
      </c>
    </row>
    <row r="36151" spans="1:6" x14ac:dyDescent="0.25">
      <c r="A36151" s="1" t="str">
        <f t="shared" si="1302"/>
        <v>46220</v>
      </c>
      <c r="B36151" s="1" t="str">
        <f>"35441"</f>
        <v>35441</v>
      </c>
      <c r="C36151" s="2">
        <v>5.2178059330404199E-3</v>
      </c>
      <c r="D36151" s="2">
        <v>1.7174365000451901E-3</v>
      </c>
      <c r="E36151" s="2">
        <v>5.2383446830801404E-4</v>
      </c>
      <c r="F36151" s="2">
        <v>4.8674591492151396E-3</v>
      </c>
    </row>
    <row r="36152" spans="1:6" x14ac:dyDescent="0.25">
      <c r="A36152" s="1" t="str">
        <f t="shared" si="1302"/>
        <v>46220</v>
      </c>
      <c r="B36152" s="1" t="str">
        <f>"35403"</f>
        <v>35403</v>
      </c>
      <c r="C36152" s="2">
        <v>6.9071216920404601E-3</v>
      </c>
      <c r="D36152" s="2">
        <v>5.49579680014462E-2</v>
      </c>
      <c r="E36152" s="2">
        <v>5.2383446830801404E-4</v>
      </c>
      <c r="F36152" s="2">
        <v>1.00441596675036E-2</v>
      </c>
    </row>
    <row r="36153" spans="1:6" x14ac:dyDescent="0.25">
      <c r="A36153" s="1" t="str">
        <f t="shared" si="1302"/>
        <v>46220</v>
      </c>
      <c r="B36153" s="1" t="str">
        <f>"35555"</f>
        <v>35555</v>
      </c>
      <c r="C36153" s="2">
        <v>9.6726950716937397E-4</v>
      </c>
      <c r="D36153" s="2">
        <v>7.2313115791376595E-4</v>
      </c>
      <c r="E36153" s="2">
        <v>0</v>
      </c>
      <c r="F36153" s="2">
        <v>9.2772410722016699E-4</v>
      </c>
    </row>
    <row r="36154" spans="1:6" x14ac:dyDescent="0.25">
      <c r="A36154" s="1" t="str">
        <f t="shared" si="1302"/>
        <v>46220</v>
      </c>
      <c r="B36154" s="1" t="str">
        <f>"36742"</f>
        <v>36742</v>
      </c>
      <c r="C36154" s="2">
        <v>1.8119273866693899E-3</v>
      </c>
      <c r="D36154" s="2">
        <v>1.2654795263490901E-3</v>
      </c>
      <c r="E36154" s="2">
        <v>2.6191723415400702E-4</v>
      </c>
      <c r="F36154" s="2">
        <v>1.73793649419244E-3</v>
      </c>
    </row>
    <row r="36155" spans="1:6" x14ac:dyDescent="0.25">
      <c r="A36155" s="1" t="str">
        <f t="shared" si="1302"/>
        <v>46220</v>
      </c>
      <c r="B36155" s="1" t="str">
        <f>"35576"</f>
        <v>35576</v>
      </c>
      <c r="C36155" s="2">
        <v>1.0694458635605E-3</v>
      </c>
      <c r="D36155" s="2">
        <v>1.80782789478441E-4</v>
      </c>
      <c r="E36155" s="2">
        <v>0</v>
      </c>
      <c r="F36155" s="2">
        <v>9.833875536533769E-4</v>
      </c>
    </row>
    <row r="36156" spans="1:6" x14ac:dyDescent="0.25">
      <c r="A36156" s="1" t="str">
        <f t="shared" si="1302"/>
        <v>46220</v>
      </c>
      <c r="B36156" s="1" t="str">
        <f>"35452"</f>
        <v>35452</v>
      </c>
      <c r="C36156" s="2">
        <v>1.3167126460270399E-2</v>
      </c>
      <c r="D36156" s="2">
        <v>4.2483955527433696E-3</v>
      </c>
      <c r="E36156" s="2">
        <v>1.30958617077003E-3</v>
      </c>
      <c r="F36156" s="2">
        <v>1.2276882352213501E-2</v>
      </c>
    </row>
    <row r="36157" spans="1:6" x14ac:dyDescent="0.25">
      <c r="A36157" s="1" t="str">
        <f t="shared" si="1302"/>
        <v>46220</v>
      </c>
      <c r="B36157" s="1" t="str">
        <f>"35461"</f>
        <v>35461</v>
      </c>
      <c r="C36157" s="2">
        <v>7.9561322843227401E-3</v>
      </c>
      <c r="D36157" s="2">
        <v>2.9829160263942799E-3</v>
      </c>
      <c r="E36157" s="2">
        <v>1.30958617077003E-3</v>
      </c>
      <c r="F36157" s="2">
        <v>7.4589018220501402E-3</v>
      </c>
    </row>
    <row r="36158" spans="1:6" x14ac:dyDescent="0.25">
      <c r="A36158" s="1" t="str">
        <f t="shared" si="1302"/>
        <v>46220</v>
      </c>
      <c r="B36158" s="1" t="str">
        <f>"35442"</f>
        <v>35442</v>
      </c>
      <c r="C36158" s="2">
        <v>1.6838663533258399E-2</v>
      </c>
      <c r="D36158" s="2">
        <v>2.44056765795896E-2</v>
      </c>
      <c r="E36158" s="2">
        <v>3.6668412781560998E-3</v>
      </c>
      <c r="F36158" s="2">
        <v>1.7045384263325199E-2</v>
      </c>
    </row>
    <row r="36159" spans="1:6" x14ac:dyDescent="0.25">
      <c r="A36159" s="1" t="str">
        <f t="shared" si="1302"/>
        <v>46220</v>
      </c>
      <c r="B36159" s="1" t="str">
        <f>"35546"</f>
        <v>35546</v>
      </c>
      <c r="C36159" s="2">
        <v>6.0011579987057596E-3</v>
      </c>
      <c r="D36159" s="2">
        <v>2.16939347374129E-3</v>
      </c>
      <c r="E36159" s="2">
        <v>0</v>
      </c>
      <c r="F36159" s="2">
        <v>5.5972687802283401E-3</v>
      </c>
    </row>
    <row r="36160" spans="1:6" x14ac:dyDescent="0.25">
      <c r="A36160" s="1" t="str">
        <f t="shared" si="1302"/>
        <v>46220</v>
      </c>
      <c r="B36160" s="1" t="str">
        <f>"36744"</f>
        <v>36744</v>
      </c>
      <c r="C36160" s="2">
        <v>2.7083546200742398E-2</v>
      </c>
      <c r="D36160" s="2">
        <v>3.0733074211335001E-2</v>
      </c>
      <c r="E36160" s="2">
        <v>9.7957045573598703E-2</v>
      </c>
      <c r="F36160" s="2">
        <v>2.9006840419083899E-2</v>
      </c>
    </row>
    <row r="36161" spans="1:6" x14ac:dyDescent="0.25">
      <c r="A36161" s="1" t="str">
        <f t="shared" si="1302"/>
        <v>46220</v>
      </c>
      <c r="B36161" s="1" t="str">
        <f>"36765"</f>
        <v>36765</v>
      </c>
      <c r="C36161" s="2">
        <v>3.69878410135894E-3</v>
      </c>
      <c r="D36161" s="2">
        <v>9.9430534213142911E-4</v>
      </c>
      <c r="E36161" s="2">
        <v>1.0476689366160201E-3</v>
      </c>
      <c r="F36161" s="2">
        <v>3.4511336788590201E-3</v>
      </c>
    </row>
    <row r="36162" spans="1:6" x14ac:dyDescent="0.25">
      <c r="A36162" s="1" t="str">
        <f t="shared" si="1302"/>
        <v>46220</v>
      </c>
      <c r="B36162" s="1" t="str">
        <f>"35444"</f>
        <v>35444</v>
      </c>
      <c r="C36162" s="2">
        <v>1.41071489390688E-2</v>
      </c>
      <c r="D36162" s="2">
        <v>1.1931664105577101E-2</v>
      </c>
      <c r="E36162" s="2">
        <v>5.2383446830801404E-4</v>
      </c>
      <c r="F36162" s="2">
        <v>1.36375443761364E-2</v>
      </c>
    </row>
    <row r="36163" spans="1:6" x14ac:dyDescent="0.25">
      <c r="A36163" s="1" t="str">
        <f t="shared" si="1302"/>
        <v>46220</v>
      </c>
      <c r="B36163" s="1" t="str">
        <f>"35466"</f>
        <v>35466</v>
      </c>
      <c r="C36163" s="2">
        <v>2.0047001123939898E-2</v>
      </c>
      <c r="D36163" s="2">
        <v>7.8640513423122102E-3</v>
      </c>
      <c r="E36163" s="2">
        <v>7.0717653221581897E-3</v>
      </c>
      <c r="F36163" s="2">
        <v>1.8907017305147E-2</v>
      </c>
    </row>
    <row r="36164" spans="1:6" x14ac:dyDescent="0.25">
      <c r="A36164" s="1" t="str">
        <f t="shared" si="1302"/>
        <v>46220</v>
      </c>
      <c r="B36164" s="1" t="str">
        <f>"35462"</f>
        <v>35462</v>
      </c>
      <c r="C36164" s="2">
        <v>1.8889002418173699E-2</v>
      </c>
      <c r="D36164" s="2">
        <v>2.1151586368977598E-2</v>
      </c>
      <c r="E36164" s="2">
        <v>7.0717653221581897E-3</v>
      </c>
      <c r="F36164" s="2">
        <v>1.8764766275373199E-2</v>
      </c>
    </row>
    <row r="36165" spans="1:6" x14ac:dyDescent="0.25">
      <c r="A36165" s="1" t="str">
        <f t="shared" ref="A36165:A36189" si="1303">"46220"</f>
        <v>46220</v>
      </c>
      <c r="B36165" s="1" t="str">
        <f>"35491"</f>
        <v>35491</v>
      </c>
      <c r="C36165" s="2">
        <v>0</v>
      </c>
      <c r="D36165" s="2">
        <v>9.0391394739220798E-5</v>
      </c>
      <c r="E36165" s="2">
        <v>0</v>
      </c>
      <c r="F36165" s="2">
        <v>6.1848273814677796E-6</v>
      </c>
    </row>
    <row r="36166" spans="1:6" x14ac:dyDescent="0.25">
      <c r="A36166" s="1" t="str">
        <f t="shared" si="1303"/>
        <v>46220</v>
      </c>
      <c r="B36166" s="1" t="str">
        <f>"35482"</f>
        <v>35482</v>
      </c>
      <c r="C36166" s="2">
        <v>0</v>
      </c>
      <c r="D36166" s="2">
        <v>9.0391394739220798E-5</v>
      </c>
      <c r="E36166" s="2">
        <v>0</v>
      </c>
      <c r="F36166" s="2">
        <v>6.1848273814677796E-6</v>
      </c>
    </row>
    <row r="36167" spans="1:6" x14ac:dyDescent="0.25">
      <c r="A36167" s="1" t="str">
        <f t="shared" si="1303"/>
        <v>46220</v>
      </c>
      <c r="B36167" s="1" t="str">
        <f>"35579"</f>
        <v>35579</v>
      </c>
      <c r="C36167" s="2">
        <v>1.15799870576615E-4</v>
      </c>
      <c r="D36167" s="2">
        <v>2.7117418421766202E-4</v>
      </c>
      <c r="E36167" s="2">
        <v>0</v>
      </c>
      <c r="F36167" s="2">
        <v>1.2369654762935499E-4</v>
      </c>
    </row>
    <row r="36168" spans="1:6" x14ac:dyDescent="0.25">
      <c r="A36168" s="1" t="str">
        <f t="shared" si="1303"/>
        <v>46220</v>
      </c>
      <c r="B36168" s="1" t="str">
        <f>"35184"</f>
        <v>35184</v>
      </c>
      <c r="C36168" s="2">
        <v>4.8363475358468699E-4</v>
      </c>
      <c r="D36168" s="2">
        <v>0</v>
      </c>
      <c r="E36168" s="2">
        <v>0</v>
      </c>
      <c r="F36168" s="2">
        <v>4.3912274408421201E-4</v>
      </c>
    </row>
    <row r="36169" spans="1:6" x14ac:dyDescent="0.25">
      <c r="A36169" s="1" t="str">
        <f t="shared" si="1303"/>
        <v>46220</v>
      </c>
      <c r="B36169" s="1" t="str">
        <f>"35404"</f>
        <v>35404</v>
      </c>
      <c r="C36169" s="2">
        <v>8.8641395047852498E-2</v>
      </c>
      <c r="D36169" s="2">
        <v>9.9701708397360506E-2</v>
      </c>
      <c r="E36169" s="2">
        <v>0.13069669984284901</v>
      </c>
      <c r="F36169" s="2">
        <v>9.0391252180151593E-2</v>
      </c>
    </row>
    <row r="36170" spans="1:6" x14ac:dyDescent="0.25">
      <c r="A36170" s="1" t="str">
        <f t="shared" si="1303"/>
        <v>46220</v>
      </c>
      <c r="B36170" s="1" t="str">
        <f>"35456"</f>
        <v>35456</v>
      </c>
      <c r="C36170" s="2">
        <v>1.5653417799121199E-2</v>
      </c>
      <c r="D36170" s="2">
        <v>6.5985718159631201E-3</v>
      </c>
      <c r="E36170" s="2">
        <v>5.2383446830801404E-4</v>
      </c>
      <c r="F36170" s="2">
        <v>1.4676595376223E-2</v>
      </c>
    </row>
    <row r="36171" spans="1:6" x14ac:dyDescent="0.25">
      <c r="A36171" s="1" t="str">
        <f t="shared" si="1303"/>
        <v>46220</v>
      </c>
      <c r="B36171" s="1" t="str">
        <f>"35402"</f>
        <v>35402</v>
      </c>
      <c r="C36171" s="2">
        <v>5.0475120057218697E-3</v>
      </c>
      <c r="D36171" s="2">
        <v>2.088041218476E-2</v>
      </c>
      <c r="E36171" s="2">
        <v>5.2383446830801404E-4</v>
      </c>
      <c r="F36171" s="2">
        <v>6.0240218695496199E-3</v>
      </c>
    </row>
    <row r="36172" spans="1:6" x14ac:dyDescent="0.25">
      <c r="A36172" s="1" t="str">
        <f t="shared" si="1303"/>
        <v>46220</v>
      </c>
      <c r="B36172" s="1" t="str">
        <f>"35574"</f>
        <v>35574</v>
      </c>
      <c r="C36172" s="2">
        <v>1.1852457341371199E-3</v>
      </c>
      <c r="D36172" s="2">
        <v>0</v>
      </c>
      <c r="E36172" s="2">
        <v>0</v>
      </c>
      <c r="F36172" s="2">
        <v>1.07615996437539E-3</v>
      </c>
    </row>
    <row r="36173" spans="1:6" x14ac:dyDescent="0.25">
      <c r="A36173" s="1" t="str">
        <f t="shared" si="1303"/>
        <v>46220</v>
      </c>
      <c r="B36173" s="1" t="str">
        <f>"35449"</f>
        <v>35449</v>
      </c>
      <c r="C36173" s="2">
        <v>0</v>
      </c>
      <c r="D36173" s="2">
        <v>0</v>
      </c>
      <c r="E36173" s="2">
        <v>2.6191723415400702E-4</v>
      </c>
      <c r="F36173" s="2">
        <v>6.1848273814677796E-6</v>
      </c>
    </row>
    <row r="36174" spans="1:6" x14ac:dyDescent="0.25">
      <c r="A36174" s="1" t="str">
        <f t="shared" si="1303"/>
        <v>46220</v>
      </c>
      <c r="B36174" s="1" t="str">
        <f>"35405"</f>
        <v>35405</v>
      </c>
      <c r="C36174" s="2">
        <v>0.14918429208814399</v>
      </c>
      <c r="D36174" s="2">
        <v>0.115791376660941</v>
      </c>
      <c r="E36174" s="2">
        <v>0.193294918805657</v>
      </c>
      <c r="F36174" s="2">
        <v>0.14794107096470899</v>
      </c>
    </row>
    <row r="36175" spans="1:6" x14ac:dyDescent="0.25">
      <c r="A36175" s="1" t="str">
        <f t="shared" si="1303"/>
        <v>46220</v>
      </c>
      <c r="B36175" s="1" t="str">
        <f>"35446"</f>
        <v>35446</v>
      </c>
      <c r="C36175" s="2">
        <v>8.7190490787098507E-3</v>
      </c>
      <c r="D36175" s="2">
        <v>4.1580041580041504E-3</v>
      </c>
      <c r="E36175" s="2">
        <v>0</v>
      </c>
      <c r="F36175" s="2">
        <v>8.2010811078262798E-3</v>
      </c>
    </row>
    <row r="36176" spans="1:6" x14ac:dyDescent="0.25">
      <c r="A36176" s="1" t="str">
        <f t="shared" si="1303"/>
        <v>46220</v>
      </c>
      <c r="B36176" s="1" t="str">
        <f>"35457"</f>
        <v>35457</v>
      </c>
      <c r="C36176" s="2">
        <v>4.3595245393549198E-4</v>
      </c>
      <c r="D36176" s="2">
        <v>1.80782789478441E-4</v>
      </c>
      <c r="E36176" s="2">
        <v>0</v>
      </c>
      <c r="F36176" s="2">
        <v>4.0819860717687299E-4</v>
      </c>
    </row>
    <row r="36177" spans="1:6" x14ac:dyDescent="0.25">
      <c r="A36177" s="1" t="str">
        <f t="shared" si="1303"/>
        <v>46220</v>
      </c>
      <c r="B36177" s="1" t="str">
        <f>"35458"</f>
        <v>35458</v>
      </c>
      <c r="C36177" s="2">
        <v>2.1388917271210101E-3</v>
      </c>
      <c r="D36177" s="2">
        <v>4.5195697369610399E-4</v>
      </c>
      <c r="E36177" s="2">
        <v>0</v>
      </c>
      <c r="F36177" s="2">
        <v>1.9729599346882199E-3</v>
      </c>
    </row>
    <row r="36178" spans="1:6" x14ac:dyDescent="0.25">
      <c r="A36178" s="1" t="str">
        <f t="shared" si="1303"/>
        <v>46220</v>
      </c>
      <c r="B36178" s="1" t="str">
        <f>"36786"</f>
        <v>36786</v>
      </c>
      <c r="C36178" s="2">
        <v>1.08988113483873E-4</v>
      </c>
      <c r="D36178" s="2">
        <v>0</v>
      </c>
      <c r="E36178" s="2">
        <v>0</v>
      </c>
      <c r="F36178" s="2">
        <v>9.8957238103484501E-5</v>
      </c>
    </row>
    <row r="36179" spans="1:6" x14ac:dyDescent="0.25">
      <c r="A36179" s="1" t="str">
        <f t="shared" si="1303"/>
        <v>46220</v>
      </c>
      <c r="B36179" s="1" t="str">
        <f>"35473"</f>
        <v>35473</v>
      </c>
      <c r="C36179" s="2">
        <v>5.4187527672763101E-2</v>
      </c>
      <c r="D36179" s="2">
        <v>3.4619904185121501E-2</v>
      </c>
      <c r="E36179" s="2">
        <v>2.8548978522786699E-2</v>
      </c>
      <c r="F36179" s="2">
        <v>5.2243236891258302E-2</v>
      </c>
    </row>
    <row r="36180" spans="1:6" x14ac:dyDescent="0.25">
      <c r="A36180" s="1" t="str">
        <f t="shared" si="1303"/>
        <v>46220</v>
      </c>
      <c r="B36180" s="1" t="str">
        <f>"35443"</f>
        <v>35443</v>
      </c>
      <c r="C36180" s="2">
        <v>7.6904737577057998E-3</v>
      </c>
      <c r="D36180" s="2">
        <v>2.4405676579589601E-3</v>
      </c>
      <c r="E36180" s="2">
        <v>5.2383446830801404E-4</v>
      </c>
      <c r="F36180" s="2">
        <v>7.1620301077396902E-3</v>
      </c>
    </row>
    <row r="36181" spans="1:6" x14ac:dyDescent="0.25">
      <c r="A36181" s="1" t="str">
        <f t="shared" si="1303"/>
        <v>46220</v>
      </c>
      <c r="B36181" s="1" t="str">
        <f>"35447"</f>
        <v>35447</v>
      </c>
      <c r="C36181" s="2">
        <v>1.1164469875004201E-2</v>
      </c>
      <c r="D36181" s="2">
        <v>6.9601373949200003E-3</v>
      </c>
      <c r="E36181" s="2">
        <v>2.0953378732320501E-3</v>
      </c>
      <c r="F36181" s="2">
        <v>1.06626424056504E-2</v>
      </c>
    </row>
    <row r="36182" spans="1:6" x14ac:dyDescent="0.25">
      <c r="A36182" s="1" t="str">
        <f t="shared" si="1303"/>
        <v>46220</v>
      </c>
      <c r="B36182" s="1" t="str">
        <f>"35475"</f>
        <v>35475</v>
      </c>
      <c r="C36182" s="2">
        <v>5.4541739041585699E-2</v>
      </c>
      <c r="D36182" s="2">
        <v>1.5004971526710599E-2</v>
      </c>
      <c r="E36182" s="2">
        <v>7.8575170246202204E-4</v>
      </c>
      <c r="F36182" s="2">
        <v>5.0567148670880503E-2</v>
      </c>
    </row>
    <row r="36183" spans="1:6" x14ac:dyDescent="0.25">
      <c r="A36183" s="1" t="str">
        <f t="shared" si="1303"/>
        <v>46220</v>
      </c>
      <c r="B36183" s="1" t="str">
        <f>"35480"</f>
        <v>35480</v>
      </c>
      <c r="C36183" s="2">
        <v>6.4779809951977102E-3</v>
      </c>
      <c r="D36183" s="2">
        <v>8.1352255265298697E-4</v>
      </c>
      <c r="E36183" s="2">
        <v>0</v>
      </c>
      <c r="F36183" s="2">
        <v>5.9374342862090696E-3</v>
      </c>
    </row>
    <row r="36184" spans="1:6" x14ac:dyDescent="0.25">
      <c r="A36184" s="1" t="str">
        <f t="shared" si="1303"/>
        <v>46220</v>
      </c>
      <c r="B36184" s="1" t="str">
        <f>"35481"</f>
        <v>35481</v>
      </c>
      <c r="C36184" s="2">
        <v>1.13415755594155E-2</v>
      </c>
      <c r="D36184" s="2">
        <v>6.1466148422670104E-3</v>
      </c>
      <c r="E36184" s="2">
        <v>4.4525929806181197E-3</v>
      </c>
      <c r="F36184" s="2">
        <v>1.0823447917568599E-2</v>
      </c>
    </row>
    <row r="36185" spans="1:6" x14ac:dyDescent="0.25">
      <c r="A36185" s="1" t="str">
        <f t="shared" si="1303"/>
        <v>46220</v>
      </c>
      <c r="B36185" s="1" t="str">
        <f>"35478"</f>
        <v>35478</v>
      </c>
      <c r="C36185" s="2">
        <v>0</v>
      </c>
      <c r="D36185" s="2">
        <v>9.0391394739220798E-5</v>
      </c>
      <c r="E36185" s="2">
        <v>0</v>
      </c>
      <c r="F36185" s="2">
        <v>6.1848273814677796E-6</v>
      </c>
    </row>
    <row r="36186" spans="1:6" x14ac:dyDescent="0.25">
      <c r="A36186" s="1" t="str">
        <f t="shared" si="1303"/>
        <v>46220</v>
      </c>
      <c r="B36186" s="1" t="str">
        <f>"36738"</f>
        <v>36738</v>
      </c>
      <c r="C36186" s="2">
        <v>8.4465787950001705E-4</v>
      </c>
      <c r="D36186" s="2">
        <v>1.80782789478441E-4</v>
      </c>
      <c r="E36186" s="2">
        <v>1.0476689366160201E-3</v>
      </c>
      <c r="F36186" s="2">
        <v>8.0402755959081099E-4</v>
      </c>
    </row>
    <row r="36187" spans="1:6" x14ac:dyDescent="0.25">
      <c r="A36187" s="1" t="str">
        <f t="shared" si="1303"/>
        <v>46220</v>
      </c>
      <c r="B36187" s="1" t="str">
        <f>"35468"</f>
        <v>35468</v>
      </c>
      <c r="C36187" s="2">
        <v>0</v>
      </c>
      <c r="D36187" s="2">
        <v>9.0391394739220798E-5</v>
      </c>
      <c r="E36187" s="2">
        <v>0</v>
      </c>
      <c r="F36187" s="2">
        <v>6.1848273814677796E-6</v>
      </c>
    </row>
    <row r="36188" spans="1:6" x14ac:dyDescent="0.25">
      <c r="A36188" s="1" t="str">
        <f t="shared" si="1303"/>
        <v>46220</v>
      </c>
      <c r="B36188" s="1" t="str">
        <f>"35006"</f>
        <v>35006</v>
      </c>
      <c r="C36188" s="2">
        <v>3.13340826266135E-4</v>
      </c>
      <c r="D36188" s="2">
        <v>5.4234836843532403E-4</v>
      </c>
      <c r="E36188" s="2">
        <v>0</v>
      </c>
      <c r="F36188" s="2">
        <v>3.21611023836324E-4</v>
      </c>
    </row>
    <row r="36189" spans="1:6" x14ac:dyDescent="0.25">
      <c r="A36189" s="1" t="str">
        <f t="shared" si="1303"/>
        <v>46220</v>
      </c>
      <c r="B36189" s="1" t="str">
        <f>"35490"</f>
        <v>35490</v>
      </c>
      <c r="C36189" s="2">
        <v>1.6293722965838999E-2</v>
      </c>
      <c r="D36189" s="2">
        <v>7.2313115791376604E-3</v>
      </c>
      <c r="E36189" s="2">
        <v>1.30958617077003E-3</v>
      </c>
      <c r="F36189" s="2">
        <v>1.53198174238956E-2</v>
      </c>
    </row>
    <row r="36190" spans="1:6" x14ac:dyDescent="0.25">
      <c r="A36190" s="1" t="str">
        <f t="shared" ref="A36190:A36203" si="1304">"46300"</f>
        <v>46300</v>
      </c>
      <c r="B36190" s="1" t="str">
        <f>"83316"</f>
        <v>83316</v>
      </c>
      <c r="C36190" s="2">
        <v>8.5761231114495198E-2</v>
      </c>
      <c r="D36190" s="2">
        <v>4.8633985661693399E-2</v>
      </c>
      <c r="E36190" s="2">
        <v>2.8801071667782899E-2</v>
      </c>
      <c r="F36190" s="2">
        <v>8.0869872701555795E-2</v>
      </c>
    </row>
    <row r="36191" spans="1:6" x14ac:dyDescent="0.25">
      <c r="A36191" s="1" t="str">
        <f t="shared" si="1304"/>
        <v>46300</v>
      </c>
      <c r="B36191" s="1" t="str">
        <f>"83328"</f>
        <v>83328</v>
      </c>
      <c r="C36191" s="2">
        <v>6.0393539854927202E-2</v>
      </c>
      <c r="D36191" s="2">
        <v>2.6932764968029401E-2</v>
      </c>
      <c r="E36191" s="2">
        <v>1.6744809109176102E-2</v>
      </c>
      <c r="F36191" s="2">
        <v>5.6188118811881099E-2</v>
      </c>
    </row>
    <row r="36192" spans="1:6" x14ac:dyDescent="0.25">
      <c r="A36192" s="1" t="str">
        <f t="shared" si="1304"/>
        <v>46300</v>
      </c>
      <c r="B36192" s="1" t="str">
        <f>"83332"</f>
        <v>83332</v>
      </c>
      <c r="C36192" s="2">
        <v>1.86350338636636E-3</v>
      </c>
      <c r="D36192" s="2">
        <v>3.87521798101143E-4</v>
      </c>
      <c r="E36192" s="2">
        <v>6.6979236436704598E-4</v>
      </c>
      <c r="F36192" s="2">
        <v>1.6973125884016901E-3</v>
      </c>
    </row>
    <row r="36193" spans="1:6" x14ac:dyDescent="0.25">
      <c r="A36193" s="1" t="str">
        <f t="shared" si="1304"/>
        <v>46300</v>
      </c>
      <c r="B36193" s="1" t="str">
        <f>"83301"</f>
        <v>83301</v>
      </c>
      <c r="C36193" s="2">
        <v>0.53009658157335704</v>
      </c>
      <c r="D36193" s="2">
        <v>0.55183104049602705</v>
      </c>
      <c r="E36193" s="2">
        <v>0.80509042196918901</v>
      </c>
      <c r="F36193" s="2">
        <v>0.53933875530410103</v>
      </c>
    </row>
    <row r="36194" spans="1:6" x14ac:dyDescent="0.25">
      <c r="A36194" s="1" t="str">
        <f t="shared" si="1304"/>
        <v>46300</v>
      </c>
      <c r="B36194" s="1" t="str">
        <f>"83321"</f>
        <v>83321</v>
      </c>
      <c r="C36194" s="2">
        <v>2.5648218651063998E-3</v>
      </c>
      <c r="D36194" s="2">
        <v>9.6880449525285704E-4</v>
      </c>
      <c r="E36194" s="2">
        <v>6.6979236436704598E-4</v>
      </c>
      <c r="F36194" s="2">
        <v>2.3691654879773598E-3</v>
      </c>
    </row>
    <row r="36195" spans="1:6" x14ac:dyDescent="0.25">
      <c r="A36195" s="1" t="str">
        <f t="shared" si="1304"/>
        <v>46300</v>
      </c>
      <c r="B36195" s="1" t="str">
        <f>"83325"</f>
        <v>83325</v>
      </c>
      <c r="C36195" s="2">
        <v>6.7927704083677303E-3</v>
      </c>
      <c r="D36195" s="2">
        <v>2.9064134857585701E-3</v>
      </c>
      <c r="E36195" s="2">
        <v>2.67916945746818E-3</v>
      </c>
      <c r="F36195" s="2">
        <v>6.3295615275813198E-3</v>
      </c>
    </row>
    <row r="36196" spans="1:6" x14ac:dyDescent="0.25">
      <c r="A36196" s="1" t="str">
        <f t="shared" si="1304"/>
        <v>46300</v>
      </c>
      <c r="B36196" s="1" t="str">
        <f>"83341"</f>
        <v>83341</v>
      </c>
      <c r="C36196" s="2">
        <v>7.0171923215645401E-2</v>
      </c>
      <c r="D36196" s="2">
        <v>3.6814570819608601E-2</v>
      </c>
      <c r="E36196" s="2">
        <v>2.5452109845947701E-2</v>
      </c>
      <c r="F36196" s="2">
        <v>6.5947666195190893E-2</v>
      </c>
    </row>
    <row r="36197" spans="1:6" x14ac:dyDescent="0.25">
      <c r="A36197" s="1" t="str">
        <f t="shared" si="1304"/>
        <v>46300</v>
      </c>
      <c r="B36197" s="1" t="str">
        <f>"83344"</f>
        <v>83344</v>
      </c>
      <c r="C36197" s="2">
        <v>6.8328457500100104E-3</v>
      </c>
      <c r="D36197" s="2">
        <v>3.6814570819608599E-3</v>
      </c>
      <c r="E36197" s="2">
        <v>4.6885465505693202E-3</v>
      </c>
      <c r="F36197" s="2">
        <v>6.4886845827439796E-3</v>
      </c>
    </row>
    <row r="36198" spans="1:6" x14ac:dyDescent="0.25">
      <c r="A36198" s="1" t="str">
        <f t="shared" si="1304"/>
        <v>46300</v>
      </c>
      <c r="B36198" s="1" t="str">
        <f>"83303"</f>
        <v>83303</v>
      </c>
      <c r="C36198" s="2">
        <v>4.3922574439947099E-2</v>
      </c>
      <c r="D36198" s="2">
        <v>0.17186591745785701</v>
      </c>
      <c r="E36198" s="2">
        <v>2.67916945746818E-3</v>
      </c>
      <c r="F36198" s="2">
        <v>5.4508486562942E-2</v>
      </c>
    </row>
    <row r="36199" spans="1:6" x14ac:dyDescent="0.25">
      <c r="A36199" s="1" t="str">
        <f t="shared" si="1304"/>
        <v>46300</v>
      </c>
      <c r="B36199" s="1" t="str">
        <f>"83302"</f>
        <v>83302</v>
      </c>
      <c r="C36199" s="2">
        <v>2.00376708211437E-3</v>
      </c>
      <c r="D36199" s="2">
        <v>7.75043596202286E-4</v>
      </c>
      <c r="E36199" s="2">
        <v>6.6979236436704598E-4</v>
      </c>
      <c r="F36199" s="2">
        <v>1.8564356435643501E-3</v>
      </c>
    </row>
    <row r="36200" spans="1:6" x14ac:dyDescent="0.25">
      <c r="A36200" s="1" t="str">
        <f t="shared" si="1304"/>
        <v>46300</v>
      </c>
      <c r="B36200" s="1" t="str">
        <f>"83335"</f>
        <v>83335</v>
      </c>
      <c r="C36200" s="2">
        <v>1.41065202580852E-2</v>
      </c>
      <c r="D36200" s="2">
        <v>5.0377833753148596E-3</v>
      </c>
      <c r="E36200" s="2">
        <v>6.6979236436704604E-3</v>
      </c>
      <c r="F36200" s="2">
        <v>1.3083451202262999E-2</v>
      </c>
    </row>
    <row r="36201" spans="1:6" x14ac:dyDescent="0.25">
      <c r="A36201" s="1" t="str">
        <f t="shared" si="1304"/>
        <v>46300</v>
      </c>
      <c r="B36201" s="1" t="str">
        <f>"83347"</f>
        <v>83347</v>
      </c>
      <c r="C36201" s="2">
        <v>1.1822225784474799E-3</v>
      </c>
      <c r="D36201" s="2">
        <v>5.8128269715171398E-4</v>
      </c>
      <c r="E36201" s="2">
        <v>0</v>
      </c>
      <c r="F36201" s="2">
        <v>1.09618104667609E-3</v>
      </c>
    </row>
    <row r="36202" spans="1:6" x14ac:dyDescent="0.25">
      <c r="A36202" s="1" t="str">
        <f t="shared" si="1304"/>
        <v>46300</v>
      </c>
      <c r="B36202" s="1" t="str">
        <f>"83338"</f>
        <v>83338</v>
      </c>
      <c r="C36202" s="2">
        <v>0.157796657716507</v>
      </c>
      <c r="D36202" s="2">
        <v>0.14725828327843399</v>
      </c>
      <c r="E36202" s="2">
        <v>9.97990622906898E-2</v>
      </c>
      <c r="F36202" s="2">
        <v>0.15530410183875501</v>
      </c>
    </row>
    <row r="36203" spans="1:6" x14ac:dyDescent="0.25">
      <c r="A36203" s="1" t="str">
        <f t="shared" si="1304"/>
        <v>46300</v>
      </c>
      <c r="B36203" s="1" t="str">
        <f>"83334"</f>
        <v>83334</v>
      </c>
      <c r="C36203" s="2">
        <v>1.6511040756622401E-2</v>
      </c>
      <c r="D36203" s="2">
        <v>2.3251307886068499E-3</v>
      </c>
      <c r="E36203" s="2">
        <v>5.35833891493636E-3</v>
      </c>
      <c r="F36203" s="2">
        <v>1.49222065063649E-2</v>
      </c>
    </row>
    <row r="36204" spans="1:6" x14ac:dyDescent="0.25">
      <c r="A36204" s="1" t="str">
        <f t="shared" ref="A36204:A36231" si="1305">"46340"</f>
        <v>46340</v>
      </c>
      <c r="B36204" s="1" t="str">
        <f>"75684"</f>
        <v>75684</v>
      </c>
      <c r="C36204" s="2">
        <v>2.6040728059109701E-3</v>
      </c>
      <c r="D36204" s="2">
        <v>4.0623984400389902E-4</v>
      </c>
      <c r="E36204" s="2">
        <v>2.1178962230850602E-3</v>
      </c>
      <c r="F36204" s="2">
        <v>2.3786681044393799E-3</v>
      </c>
    </row>
    <row r="36205" spans="1:6" x14ac:dyDescent="0.25">
      <c r="A36205" s="1" t="str">
        <f t="shared" si="1305"/>
        <v>46340</v>
      </c>
      <c r="B36205" s="1" t="str">
        <f>"75662"</f>
        <v>75662</v>
      </c>
      <c r="C36205" s="2">
        <v>2.4148495224364701E-3</v>
      </c>
      <c r="D36205" s="2">
        <v>5.6873578160545897E-4</v>
      </c>
      <c r="E36205" s="2">
        <v>2.1178962230850602E-3</v>
      </c>
      <c r="F36205" s="2">
        <v>2.2280191244915498E-3</v>
      </c>
    </row>
    <row r="36206" spans="1:6" x14ac:dyDescent="0.25">
      <c r="A36206" s="1" t="str">
        <f t="shared" si="1305"/>
        <v>46340</v>
      </c>
      <c r="B36206" s="1" t="str">
        <f>"75773"</f>
        <v>75773</v>
      </c>
      <c r="C36206" s="2">
        <v>4.5774013335736097E-3</v>
      </c>
      <c r="D36206" s="2">
        <v>5.6873578160545897E-4</v>
      </c>
      <c r="E36206" s="2">
        <v>3.5298270384751098E-4</v>
      </c>
      <c r="F36206" s="2">
        <v>4.09130913963574E-3</v>
      </c>
    </row>
    <row r="36207" spans="1:6" x14ac:dyDescent="0.25">
      <c r="A36207" s="1" t="str">
        <f t="shared" si="1305"/>
        <v>46340</v>
      </c>
      <c r="B36207" s="1" t="str">
        <f>"75762"</f>
        <v>75762</v>
      </c>
      <c r="C36207" s="2">
        <v>6.2659938727698594E-2</v>
      </c>
      <c r="D36207" s="2">
        <v>3.6399090022749402E-2</v>
      </c>
      <c r="E36207" s="2">
        <v>3.2474408753971E-2</v>
      </c>
      <c r="F36207" s="2">
        <v>5.9419129248895898E-2</v>
      </c>
    </row>
    <row r="36208" spans="1:6" x14ac:dyDescent="0.25">
      <c r="A36208" s="1" t="str">
        <f t="shared" si="1305"/>
        <v>46340</v>
      </c>
      <c r="B36208" s="1" t="str">
        <f>"75713"</f>
        <v>75713</v>
      </c>
      <c r="C36208" s="2">
        <v>1.50387457199495E-2</v>
      </c>
      <c r="D36208" s="2">
        <v>4.0786480337991503E-2</v>
      </c>
      <c r="E36208" s="2">
        <v>7.0596540769502197E-4</v>
      </c>
      <c r="F36208" s="2">
        <v>1.72294859698226E-2</v>
      </c>
    </row>
    <row r="36209" spans="1:6" x14ac:dyDescent="0.25">
      <c r="A36209" s="1" t="str">
        <f t="shared" si="1305"/>
        <v>46340</v>
      </c>
      <c r="B36209" s="1" t="str">
        <f>"75798"</f>
        <v>75798</v>
      </c>
      <c r="C36209" s="2">
        <v>0</v>
      </c>
      <c r="D36209" s="2">
        <v>8.1247968800779905E-5</v>
      </c>
      <c r="E36209" s="2">
        <v>0</v>
      </c>
      <c r="F36209" s="2">
        <v>7.9288936814646203E-6</v>
      </c>
    </row>
    <row r="36210" spans="1:6" x14ac:dyDescent="0.25">
      <c r="A36210" s="1" t="str">
        <f t="shared" si="1305"/>
        <v>46340</v>
      </c>
      <c r="B36210" s="1" t="str">
        <f>"75711"</f>
        <v>75711</v>
      </c>
      <c r="C36210" s="2">
        <v>1.6417372499549401E-2</v>
      </c>
      <c r="D36210" s="2">
        <v>7.4341891452713596E-2</v>
      </c>
      <c r="E36210" s="2">
        <v>7.0596540769502197E-4</v>
      </c>
      <c r="F36210" s="2">
        <v>2.1717239793531601E-2</v>
      </c>
    </row>
    <row r="36211" spans="1:6" x14ac:dyDescent="0.25">
      <c r="A36211" s="1" t="str">
        <f t="shared" si="1305"/>
        <v>46340</v>
      </c>
      <c r="B36211" s="1" t="str">
        <f>"75707"</f>
        <v>75707</v>
      </c>
      <c r="C36211" s="2">
        <v>7.0111731843575401E-2</v>
      </c>
      <c r="D36211" s="2">
        <v>3.30679233019174E-2</v>
      </c>
      <c r="E36211" s="2">
        <v>5.0829509354041597E-2</v>
      </c>
      <c r="F36211" s="2">
        <v>6.6063542153963206E-2</v>
      </c>
    </row>
    <row r="36212" spans="1:6" x14ac:dyDescent="0.25">
      <c r="A36212" s="1" t="str">
        <f t="shared" si="1305"/>
        <v>46340</v>
      </c>
      <c r="B36212" s="1" t="str">
        <f>"75706"</f>
        <v>75706</v>
      </c>
      <c r="C36212" s="2">
        <v>3.9025049558478998E-2</v>
      </c>
      <c r="D36212" s="2">
        <v>1.6412089697757499E-2</v>
      </c>
      <c r="E36212" s="2">
        <v>3.4945287680903603E-2</v>
      </c>
      <c r="F36212" s="2">
        <v>3.67266355325441E-2</v>
      </c>
    </row>
    <row r="36213" spans="1:6" x14ac:dyDescent="0.25">
      <c r="A36213" s="1" t="str">
        <f t="shared" si="1305"/>
        <v>46340</v>
      </c>
      <c r="B36213" s="1" t="str">
        <f>"75703"</f>
        <v>75703</v>
      </c>
      <c r="C36213" s="2">
        <v>0.19751306541719199</v>
      </c>
      <c r="D36213" s="2">
        <v>0.19491387715307101</v>
      </c>
      <c r="E36213" s="2">
        <v>0.26826685492410801</v>
      </c>
      <c r="F36213" s="2">
        <v>0.19884872463745101</v>
      </c>
    </row>
    <row r="36214" spans="1:6" x14ac:dyDescent="0.25">
      <c r="A36214" s="1" t="str">
        <f t="shared" si="1305"/>
        <v>46340</v>
      </c>
      <c r="B36214" s="1" t="str">
        <f>"75771"</f>
        <v>75771</v>
      </c>
      <c r="C36214" s="2">
        <v>8.3573616867904099E-2</v>
      </c>
      <c r="D36214" s="2">
        <v>3.0711732206694799E-2</v>
      </c>
      <c r="E36214" s="2">
        <v>6.3183903988704507E-2</v>
      </c>
      <c r="F36214" s="2">
        <v>7.7956882676160105E-2</v>
      </c>
    </row>
    <row r="36215" spans="1:6" x14ac:dyDescent="0.25">
      <c r="A36215" s="1" t="str">
        <f t="shared" si="1305"/>
        <v>46340</v>
      </c>
      <c r="B36215" s="1" t="str">
        <f>"75799"</f>
        <v>75799</v>
      </c>
      <c r="C36215" s="2">
        <v>0</v>
      </c>
      <c r="D36215" s="2">
        <v>8.1247968800779905E-5</v>
      </c>
      <c r="E36215" s="2">
        <v>0</v>
      </c>
      <c r="F36215" s="2">
        <v>7.9288936814646203E-6</v>
      </c>
    </row>
    <row r="36216" spans="1:6" x14ac:dyDescent="0.25">
      <c r="A36216" s="1" t="str">
        <f t="shared" si="1305"/>
        <v>46340</v>
      </c>
      <c r="B36216" s="1" t="str">
        <f>"75790"</f>
        <v>75790</v>
      </c>
      <c r="C36216" s="2">
        <v>5.7668048296990397E-4</v>
      </c>
      <c r="D36216" s="2">
        <v>2.43743906402339E-4</v>
      </c>
      <c r="E36216" s="2">
        <v>0</v>
      </c>
      <c r="F36216" s="2">
        <v>5.3123587665812903E-4</v>
      </c>
    </row>
    <row r="36217" spans="1:6" x14ac:dyDescent="0.25">
      <c r="A36217" s="1" t="str">
        <f t="shared" si="1305"/>
        <v>46340</v>
      </c>
      <c r="B36217" s="1" t="str">
        <f>"75791"</f>
        <v>75791</v>
      </c>
      <c r="C36217" s="2">
        <v>5.1171382231032597E-2</v>
      </c>
      <c r="D36217" s="2">
        <v>2.49431264218394E-2</v>
      </c>
      <c r="E36217" s="2">
        <v>5.71831980232968E-2</v>
      </c>
      <c r="F36217" s="2">
        <v>4.8746838353644503E-2</v>
      </c>
    </row>
    <row r="36218" spans="1:6" x14ac:dyDescent="0.25">
      <c r="A36218" s="1" t="str">
        <f t="shared" si="1305"/>
        <v>46340</v>
      </c>
      <c r="B36218" s="1" t="str">
        <f>"75789"</f>
        <v>75789</v>
      </c>
      <c r="C36218" s="2">
        <v>2.2490538835826201E-2</v>
      </c>
      <c r="D36218" s="2">
        <v>1.24309392265193E-2</v>
      </c>
      <c r="E36218" s="2">
        <v>9.1775503000352896E-3</v>
      </c>
      <c r="F36218" s="2">
        <v>2.1209790597917801E-2</v>
      </c>
    </row>
    <row r="36219" spans="1:6" x14ac:dyDescent="0.25">
      <c r="A36219" s="1" t="str">
        <f t="shared" si="1305"/>
        <v>46340</v>
      </c>
      <c r="B36219" s="1" t="str">
        <f>"75750"</f>
        <v>75750</v>
      </c>
      <c r="C36219" s="2">
        <v>1.5417192286898499E-2</v>
      </c>
      <c r="D36219" s="2">
        <v>1.7874553136171499E-3</v>
      </c>
      <c r="E36219" s="2">
        <v>2.82386163078009E-3</v>
      </c>
      <c r="F36219" s="2">
        <v>1.38042038994299E-2</v>
      </c>
    </row>
    <row r="36220" spans="1:6" x14ac:dyDescent="0.25">
      <c r="A36220" s="1" t="str">
        <f t="shared" si="1305"/>
        <v>46340</v>
      </c>
      <c r="B36220" s="1" t="str">
        <f>"75757"</f>
        <v>75757</v>
      </c>
      <c r="C36220" s="2">
        <v>3.1627320237880598E-2</v>
      </c>
      <c r="D36220" s="2">
        <v>1.34871628209294E-2</v>
      </c>
      <c r="E36220" s="2">
        <v>9.8835157077303195E-3</v>
      </c>
      <c r="F36220" s="2">
        <v>2.9368622196144899E-2</v>
      </c>
    </row>
    <row r="36221" spans="1:6" x14ac:dyDescent="0.25">
      <c r="A36221" s="1" t="str">
        <f t="shared" si="1305"/>
        <v>46340</v>
      </c>
      <c r="B36221" s="1" t="str">
        <f>"75140"</f>
        <v>75140</v>
      </c>
      <c r="C36221" s="2">
        <v>4.6855289241304701E-4</v>
      </c>
      <c r="D36221" s="2">
        <v>0</v>
      </c>
      <c r="E36221" s="2">
        <v>3.5298270384751098E-4</v>
      </c>
      <c r="F36221" s="2">
        <v>4.2023136511762501E-4</v>
      </c>
    </row>
    <row r="36222" spans="1:6" x14ac:dyDescent="0.25">
      <c r="A36222" s="1" t="str">
        <f t="shared" si="1305"/>
        <v>46340</v>
      </c>
      <c r="B36222" s="1" t="str">
        <f>"75710"</f>
        <v>75710</v>
      </c>
      <c r="C36222" s="2">
        <v>1.1038024869345801E-2</v>
      </c>
      <c r="D36222" s="2">
        <v>1.7712057198570001E-2</v>
      </c>
      <c r="E36222" s="2">
        <v>7.0596540769502197E-4</v>
      </c>
      <c r="F36222" s="2">
        <v>1.1457251369716299E-2</v>
      </c>
    </row>
    <row r="36223" spans="1:6" x14ac:dyDescent="0.25">
      <c r="A36223" s="1" t="str">
        <f t="shared" si="1305"/>
        <v>46340</v>
      </c>
      <c r="B36223" s="1" t="str">
        <f>"75708"</f>
        <v>75708</v>
      </c>
      <c r="C36223" s="2">
        <v>3.0473959271940802E-2</v>
      </c>
      <c r="D36223" s="2">
        <v>3.1280467988300198E-2</v>
      </c>
      <c r="E36223" s="2">
        <v>2.6826685492410799E-2</v>
      </c>
      <c r="F36223" s="2">
        <v>3.0470738417868501E-2</v>
      </c>
    </row>
    <row r="36224" spans="1:6" x14ac:dyDescent="0.25">
      <c r="A36224" s="1" t="str">
        <f t="shared" si="1305"/>
        <v>46340</v>
      </c>
      <c r="B36224" s="1" t="str">
        <f>"75705"</f>
        <v>75705</v>
      </c>
      <c r="C36224" s="2">
        <v>1.00468552892413E-2</v>
      </c>
      <c r="D36224" s="2">
        <v>2.4374390640233899E-3</v>
      </c>
      <c r="E36224" s="2">
        <v>7.0596540769502199E-3</v>
      </c>
      <c r="F36224" s="2">
        <v>9.2371611389062795E-3</v>
      </c>
    </row>
    <row r="36225" spans="1:6" x14ac:dyDescent="0.25">
      <c r="A36225" s="1" t="str">
        <f t="shared" si="1305"/>
        <v>46340</v>
      </c>
      <c r="B36225" s="1" t="str">
        <f>"75704"</f>
        <v>75704</v>
      </c>
      <c r="C36225" s="2">
        <v>4.08091548026671E-2</v>
      </c>
      <c r="D36225" s="2">
        <v>1.77933051673708E-2</v>
      </c>
      <c r="E36225" s="2">
        <v>4.8358630427109001E-2</v>
      </c>
      <c r="F36225" s="2">
        <v>3.87326456339546E-2</v>
      </c>
    </row>
    <row r="36226" spans="1:6" x14ac:dyDescent="0.25">
      <c r="A36226" s="1" t="str">
        <f t="shared" si="1305"/>
        <v>46340</v>
      </c>
      <c r="B36226" s="1" t="str">
        <f>"75647"</f>
        <v>75647</v>
      </c>
      <c r="C36226" s="2">
        <v>7.7941971526401099E-3</v>
      </c>
      <c r="D36226" s="2">
        <v>1.7062073448163701E-3</v>
      </c>
      <c r="E36226" s="2">
        <v>1.0589481115425301E-3</v>
      </c>
      <c r="F36226" s="2">
        <v>7.0487864828220502E-3</v>
      </c>
    </row>
    <row r="36227" spans="1:6" x14ac:dyDescent="0.25">
      <c r="A36227" s="1" t="str">
        <f t="shared" si="1305"/>
        <v>46340</v>
      </c>
      <c r="B36227" s="1" t="str">
        <f>"75792"</f>
        <v>75792</v>
      </c>
      <c r="C36227" s="2">
        <v>1.5462245449630501E-2</v>
      </c>
      <c r="D36227" s="2">
        <v>5.1998700032499104E-3</v>
      </c>
      <c r="E36227" s="2">
        <v>6.0007059654076898E-3</v>
      </c>
      <c r="F36227" s="2">
        <v>1.42482219455919E-2</v>
      </c>
    </row>
    <row r="36228" spans="1:6" x14ac:dyDescent="0.25">
      <c r="A36228" s="1" t="str">
        <f t="shared" si="1305"/>
        <v>46340</v>
      </c>
      <c r="B36228" s="1" t="str">
        <f>"75712"</f>
        <v>75712</v>
      </c>
      <c r="C36228" s="2">
        <v>8.7313029374662104E-3</v>
      </c>
      <c r="D36228" s="2">
        <v>2.2018199545011299E-2</v>
      </c>
      <c r="E36228" s="2">
        <v>7.0596540769502197E-4</v>
      </c>
      <c r="F36228" s="2">
        <v>9.8476859523790594E-3</v>
      </c>
    </row>
    <row r="36229" spans="1:6" x14ac:dyDescent="0.25">
      <c r="A36229" s="1" t="str">
        <f t="shared" si="1305"/>
        <v>46340</v>
      </c>
      <c r="B36229" s="1" t="str">
        <f>"75701"</f>
        <v>75701</v>
      </c>
      <c r="C36229" s="2">
        <v>0.1375923589836</v>
      </c>
      <c r="D36229" s="2">
        <v>0.200276243093922</v>
      </c>
      <c r="E36229" s="2">
        <v>0.21178962230850601</v>
      </c>
      <c r="F36229" s="2">
        <v>0.145376265649653</v>
      </c>
    </row>
    <row r="36230" spans="1:6" x14ac:dyDescent="0.25">
      <c r="A36230" s="1" t="str">
        <f t="shared" si="1305"/>
        <v>46340</v>
      </c>
      <c r="B36230" s="1" t="str">
        <f>"75702"</f>
        <v>75702</v>
      </c>
      <c r="C36230" s="2">
        <v>9.5098215894755797E-2</v>
      </c>
      <c r="D36230" s="2">
        <v>0.20905102372440601</v>
      </c>
      <c r="E36230" s="2">
        <v>0.13978115072361399</v>
      </c>
      <c r="F36230" s="2">
        <v>0.107222429254446</v>
      </c>
    </row>
    <row r="36231" spans="1:6" x14ac:dyDescent="0.25">
      <c r="A36231" s="1" t="str">
        <f t="shared" si="1305"/>
        <v>46340</v>
      </c>
      <c r="B36231" s="1" t="str">
        <f>"75709"</f>
        <v>75709</v>
      </c>
      <c r="C36231" s="2">
        <v>2.7266174085420699E-2</v>
      </c>
      <c r="D36231" s="2">
        <v>1.1293467663308399E-2</v>
      </c>
      <c r="E36231" s="2">
        <v>2.25908930462407E-2</v>
      </c>
      <c r="F36231" s="2">
        <v>2.5602397697449202E-2</v>
      </c>
    </row>
    <row r="36232" spans="1:6" x14ac:dyDescent="0.25">
      <c r="A36232" s="1" t="str">
        <f t="shared" ref="A36232:A36261" si="1306">"46380"</f>
        <v>46380</v>
      </c>
      <c r="B36232" s="1" t="str">
        <f>"95469"</f>
        <v>95469</v>
      </c>
      <c r="C36232" s="2">
        <v>1.50082837930026E-2</v>
      </c>
      <c r="D36232" s="2">
        <v>2.9874526986656E-3</v>
      </c>
      <c r="E36232" s="2">
        <v>2.8479886080455602E-3</v>
      </c>
      <c r="F36232" s="2">
        <v>1.3074436305602099E-2</v>
      </c>
    </row>
    <row r="36233" spans="1:6" x14ac:dyDescent="0.25">
      <c r="A36233" s="1" t="str">
        <f t="shared" si="1306"/>
        <v>46380</v>
      </c>
      <c r="B36233" s="1" t="str">
        <f>"95585"</f>
        <v>95585</v>
      </c>
      <c r="C36233" s="2">
        <v>1.02329207679563E-3</v>
      </c>
      <c r="D36233" s="2">
        <v>5.9749053973311996E-4</v>
      </c>
      <c r="E36233" s="2">
        <v>2.1359914560341699E-3</v>
      </c>
      <c r="F36233" s="2">
        <v>1.04349961124524E-3</v>
      </c>
    </row>
    <row r="36234" spans="1:6" x14ac:dyDescent="0.25">
      <c r="A36234" s="1" t="str">
        <f t="shared" si="1306"/>
        <v>46380</v>
      </c>
      <c r="B36234" s="1" t="str">
        <f>"95481"</f>
        <v>95481</v>
      </c>
      <c r="C36234" s="2">
        <v>1.39118994250073E-2</v>
      </c>
      <c r="D36234" s="2">
        <v>8.3648675562636894E-3</v>
      </c>
      <c r="E36234" s="2">
        <v>3.5599857600569502E-4</v>
      </c>
      <c r="F36234" s="2">
        <v>1.2562916888325001E-2</v>
      </c>
    </row>
    <row r="36235" spans="1:6" x14ac:dyDescent="0.25">
      <c r="A36235" s="1" t="str">
        <f t="shared" si="1306"/>
        <v>46380</v>
      </c>
      <c r="B36235" s="1" t="str">
        <f>"95587"</f>
        <v>95587</v>
      </c>
      <c r="C36235" s="2">
        <v>7.3092291199688099E-5</v>
      </c>
      <c r="D36235" s="2">
        <v>9.9581756622186797E-4</v>
      </c>
      <c r="E36235" s="2">
        <v>0</v>
      </c>
      <c r="F36235" s="2">
        <v>1.6368621352866501E-4</v>
      </c>
    </row>
    <row r="36236" spans="1:6" x14ac:dyDescent="0.25">
      <c r="A36236" s="1" t="str">
        <f t="shared" si="1306"/>
        <v>46380</v>
      </c>
      <c r="B36236" s="1" t="str">
        <f>"95415"</f>
        <v>95415</v>
      </c>
      <c r="C36236" s="2">
        <v>2.2414969301237601E-3</v>
      </c>
      <c r="D36236" s="2">
        <v>0</v>
      </c>
      <c r="E36236" s="2">
        <v>1.4239943040227801E-3</v>
      </c>
      <c r="F36236" s="2">
        <v>1.96423456234398E-3</v>
      </c>
    </row>
    <row r="36237" spans="1:6" x14ac:dyDescent="0.25">
      <c r="A36237" s="1" t="str">
        <f t="shared" si="1306"/>
        <v>46380</v>
      </c>
      <c r="B36237" s="1" t="str">
        <f>"95468"</f>
        <v>95468</v>
      </c>
      <c r="C36237" s="2">
        <v>3.5815222687847099E-3</v>
      </c>
      <c r="D36237" s="2">
        <v>3.38577972515435E-3</v>
      </c>
      <c r="E36237" s="2">
        <v>1.77999288002847E-3</v>
      </c>
      <c r="F36237" s="2">
        <v>3.4578712607930499E-3</v>
      </c>
    </row>
    <row r="36238" spans="1:6" x14ac:dyDescent="0.25">
      <c r="A36238" s="1" t="str">
        <f t="shared" si="1306"/>
        <v>46380</v>
      </c>
      <c r="B36238" s="1" t="str">
        <f>"95427"</f>
        <v>95427</v>
      </c>
      <c r="C36238" s="2">
        <v>2.43640970665627E-5</v>
      </c>
      <c r="D36238" s="2">
        <v>1.99163513244373E-4</v>
      </c>
      <c r="E36238" s="2">
        <v>7.1199715201139102E-4</v>
      </c>
      <c r="F36238" s="2">
        <v>8.1843106764332695E-5</v>
      </c>
    </row>
    <row r="36239" spans="1:6" x14ac:dyDescent="0.25">
      <c r="A36239" s="1" t="str">
        <f t="shared" si="1306"/>
        <v>46380</v>
      </c>
      <c r="B36239" s="1" t="str">
        <f>"95428"</f>
        <v>95428</v>
      </c>
      <c r="C36239" s="2">
        <v>1.7883247246857002E-2</v>
      </c>
      <c r="D36239" s="2">
        <v>3.78410675164309E-3</v>
      </c>
      <c r="E36239" s="2">
        <v>9.2559629761480907E-3</v>
      </c>
      <c r="F36239" s="2">
        <v>1.5938945042353801E-2</v>
      </c>
    </row>
    <row r="36240" spans="1:6" x14ac:dyDescent="0.25">
      <c r="A36240" s="1" t="str">
        <f t="shared" si="1306"/>
        <v>46380</v>
      </c>
      <c r="B36240" s="1" t="str">
        <f>"95445"</f>
        <v>95445</v>
      </c>
      <c r="C36240" s="2">
        <v>4.2344800701685899E-2</v>
      </c>
      <c r="D36240" s="2">
        <v>3.38577972515435E-3</v>
      </c>
      <c r="E36240" s="2">
        <v>1.67319330722677E-2</v>
      </c>
      <c r="F36240" s="2">
        <v>3.6870319597331898E-2</v>
      </c>
    </row>
    <row r="36241" spans="1:6" x14ac:dyDescent="0.25">
      <c r="A36241" s="1" t="str">
        <f t="shared" si="1306"/>
        <v>46380</v>
      </c>
      <c r="B36241" s="1" t="str">
        <f>"95482"</f>
        <v>95482</v>
      </c>
      <c r="C36241" s="2">
        <v>0.35415651495955502</v>
      </c>
      <c r="D36241" s="2">
        <v>0.52300338577972505</v>
      </c>
      <c r="E36241" s="2">
        <v>0.66927732289070796</v>
      </c>
      <c r="F36241" s="2">
        <v>0.38961410975160599</v>
      </c>
    </row>
    <row r="36242" spans="1:6" x14ac:dyDescent="0.25">
      <c r="A36242" s="1" t="str">
        <f t="shared" si="1306"/>
        <v>46380</v>
      </c>
      <c r="B36242" s="1" t="str">
        <f>"95449"</f>
        <v>95449</v>
      </c>
      <c r="C36242" s="2">
        <v>1.2084592145015101E-2</v>
      </c>
      <c r="D36242" s="2">
        <v>8.3648675562636894E-3</v>
      </c>
      <c r="E36242" s="2">
        <v>5.6959772160911299E-3</v>
      </c>
      <c r="F36242" s="2">
        <v>1.1335270286860001E-2</v>
      </c>
    </row>
    <row r="36243" spans="1:6" x14ac:dyDescent="0.25">
      <c r="A36243" s="1" t="str">
        <f t="shared" si="1306"/>
        <v>46380</v>
      </c>
      <c r="B36243" s="1" t="str">
        <f>"95432"</f>
        <v>95432</v>
      </c>
      <c r="C36243" s="2">
        <v>2.9480557450540798E-3</v>
      </c>
      <c r="D36243" s="2">
        <v>1.99163513244373E-4</v>
      </c>
      <c r="E36243" s="2">
        <v>1.4239943040227801E-3</v>
      </c>
      <c r="F36243" s="2">
        <v>2.57805786307648E-3</v>
      </c>
    </row>
    <row r="36244" spans="1:6" x14ac:dyDescent="0.25">
      <c r="A36244" s="1" t="str">
        <f t="shared" si="1306"/>
        <v>46380</v>
      </c>
      <c r="B36244" s="1" t="str">
        <f>"95410"</f>
        <v>95410</v>
      </c>
      <c r="C36244" s="2">
        <v>4.4099015690478504E-3</v>
      </c>
      <c r="D36244" s="2">
        <v>3.9832702648874698E-4</v>
      </c>
      <c r="E36244" s="2">
        <v>1.77999288002847E-3</v>
      </c>
      <c r="F36244" s="2">
        <v>3.8466260179236401E-3</v>
      </c>
    </row>
    <row r="36245" spans="1:6" x14ac:dyDescent="0.25">
      <c r="A36245" s="1" t="str">
        <f t="shared" si="1306"/>
        <v>46380</v>
      </c>
      <c r="B36245" s="1" t="str">
        <f>"95542"</f>
        <v>95542</v>
      </c>
      <c r="C36245" s="2">
        <v>5.3601013546437904E-4</v>
      </c>
      <c r="D36245" s="2">
        <v>0</v>
      </c>
      <c r="E36245" s="2">
        <v>0</v>
      </c>
      <c r="F36245" s="2">
        <v>4.5013708720383002E-4</v>
      </c>
    </row>
    <row r="36246" spans="1:6" x14ac:dyDescent="0.25">
      <c r="A36246" s="1" t="str">
        <f t="shared" si="1306"/>
        <v>46380</v>
      </c>
      <c r="B36246" s="1" t="str">
        <f>"95418"</f>
        <v>95418</v>
      </c>
      <c r="C36246" s="2">
        <v>0</v>
      </c>
      <c r="D36246" s="2">
        <v>1.99163513244373E-4</v>
      </c>
      <c r="E36246" s="2">
        <v>0</v>
      </c>
      <c r="F36246" s="2">
        <v>2.0460776691083099E-5</v>
      </c>
    </row>
    <row r="36247" spans="1:6" x14ac:dyDescent="0.25">
      <c r="A36247" s="1" t="str">
        <f t="shared" si="1306"/>
        <v>46380</v>
      </c>
      <c r="B36247" s="1" t="str">
        <f>"95463"</f>
        <v>95463</v>
      </c>
      <c r="C36247" s="2">
        <v>4.8728194133125399E-5</v>
      </c>
      <c r="D36247" s="2">
        <v>1.99163513244373E-4</v>
      </c>
      <c r="E36247" s="2">
        <v>0</v>
      </c>
      <c r="F36247" s="2">
        <v>6.1382330073249497E-5</v>
      </c>
    </row>
    <row r="36248" spans="1:6" x14ac:dyDescent="0.25">
      <c r="A36248" s="1" t="str">
        <f t="shared" si="1306"/>
        <v>46380</v>
      </c>
      <c r="B36248" s="1" t="str">
        <f>"95459"</f>
        <v>95459</v>
      </c>
      <c r="C36248" s="2">
        <v>3.28915310398596E-3</v>
      </c>
      <c r="D36248" s="2">
        <v>7.9665405297749397E-4</v>
      </c>
      <c r="E36248" s="2">
        <v>7.1199715201139102E-4</v>
      </c>
      <c r="F36248" s="2">
        <v>2.88496951344273E-3</v>
      </c>
    </row>
    <row r="36249" spans="1:6" x14ac:dyDescent="0.25">
      <c r="A36249" s="1" t="str">
        <f t="shared" si="1306"/>
        <v>46380</v>
      </c>
      <c r="B36249" s="1" t="str">
        <f>"95456"</f>
        <v>95456</v>
      </c>
      <c r="C36249" s="2">
        <v>9.0147159146282008E-3</v>
      </c>
      <c r="D36249" s="2">
        <v>3.1866162119099698E-3</v>
      </c>
      <c r="E36249" s="2">
        <v>1.77999288002847E-3</v>
      </c>
      <c r="F36249" s="2">
        <v>8.0001636862135194E-3</v>
      </c>
    </row>
    <row r="36250" spans="1:6" x14ac:dyDescent="0.25">
      <c r="A36250" s="1" t="str">
        <f t="shared" si="1306"/>
        <v>46380</v>
      </c>
      <c r="B36250" s="1" t="str">
        <f>"95494"</f>
        <v>95494</v>
      </c>
      <c r="C36250" s="2">
        <v>1.12074846506188E-3</v>
      </c>
      <c r="D36250" s="2">
        <v>0</v>
      </c>
      <c r="E36250" s="2">
        <v>7.1199715201139102E-4</v>
      </c>
      <c r="F36250" s="2">
        <v>9.8211728117199304E-4</v>
      </c>
    </row>
    <row r="36251" spans="1:6" x14ac:dyDescent="0.25">
      <c r="A36251" s="1" t="str">
        <f t="shared" si="1306"/>
        <v>46380</v>
      </c>
      <c r="B36251" s="1" t="str">
        <f>"95589"</f>
        <v>95589</v>
      </c>
      <c r="C36251" s="2">
        <v>1.0720202709287501E-3</v>
      </c>
      <c r="D36251" s="2">
        <v>3.9832702648874698E-4</v>
      </c>
      <c r="E36251" s="2">
        <v>0</v>
      </c>
      <c r="F36251" s="2">
        <v>9.4119572778982605E-4</v>
      </c>
    </row>
    <row r="36252" spans="1:6" x14ac:dyDescent="0.25">
      <c r="A36252" s="1" t="str">
        <f t="shared" si="1306"/>
        <v>46380</v>
      </c>
      <c r="B36252" s="1" t="str">
        <f>"95420"</f>
        <v>95420</v>
      </c>
      <c r="C36252" s="2">
        <v>5.8717473930416098E-3</v>
      </c>
      <c r="D36252" s="2">
        <v>1.7924716191993601E-3</v>
      </c>
      <c r="E36252" s="2">
        <v>4.9839800640797396E-3</v>
      </c>
      <c r="F36252" s="2">
        <v>5.40164504644596E-3</v>
      </c>
    </row>
    <row r="36253" spans="1:6" x14ac:dyDescent="0.25">
      <c r="A36253" s="1" t="str">
        <f t="shared" si="1306"/>
        <v>46380</v>
      </c>
      <c r="B36253" s="1" t="str">
        <f>"95460"</f>
        <v>95460</v>
      </c>
      <c r="C36253" s="2">
        <v>2.0612026118312001E-2</v>
      </c>
      <c r="D36253" s="2">
        <v>3.1866162119099698E-3</v>
      </c>
      <c r="E36253" s="2">
        <v>1.0323958704165101E-2</v>
      </c>
      <c r="F36253" s="2">
        <v>1.8230552031755099E-2</v>
      </c>
    </row>
    <row r="36254" spans="1:6" x14ac:dyDescent="0.25">
      <c r="A36254" s="1" t="str">
        <f t="shared" si="1306"/>
        <v>46380</v>
      </c>
      <c r="B36254" s="1" t="str">
        <f>"95429"</f>
        <v>95429</v>
      </c>
      <c r="C36254" s="2">
        <v>1.55930221226001E-3</v>
      </c>
      <c r="D36254" s="2">
        <v>0</v>
      </c>
      <c r="E36254" s="2">
        <v>1.4239943040227801E-3</v>
      </c>
      <c r="F36254" s="2">
        <v>1.3913328149936499E-3</v>
      </c>
    </row>
    <row r="36255" spans="1:6" x14ac:dyDescent="0.25">
      <c r="A36255" s="1" t="str">
        <f t="shared" si="1306"/>
        <v>46380</v>
      </c>
      <c r="B36255" s="1" t="str">
        <f>"95437"</f>
        <v>95437</v>
      </c>
      <c r="C36255" s="2">
        <v>0.22164019101452101</v>
      </c>
      <c r="D36255" s="2">
        <v>0.236207926707827</v>
      </c>
      <c r="E36255" s="2">
        <v>0.13278746885012399</v>
      </c>
      <c r="F36255" s="2">
        <v>0.21803003642018201</v>
      </c>
    </row>
    <row r="36256" spans="1:6" x14ac:dyDescent="0.25">
      <c r="A36256" s="1" t="str">
        <f t="shared" si="1306"/>
        <v>46380</v>
      </c>
      <c r="B36256" s="1" t="str">
        <f>"95470"</f>
        <v>95470</v>
      </c>
      <c r="C36256" s="2">
        <v>5.6207971932560101E-2</v>
      </c>
      <c r="D36256" s="2">
        <v>2.0912168890659201E-2</v>
      </c>
      <c r="E36256" s="2">
        <v>1.81559273762904E-2</v>
      </c>
      <c r="F36256" s="2">
        <v>5.0394892990137899E-2</v>
      </c>
    </row>
    <row r="36257" spans="1:6" x14ac:dyDescent="0.25">
      <c r="A36257" s="1" t="str">
        <f t="shared" si="1306"/>
        <v>46380</v>
      </c>
      <c r="B36257" s="1" t="str">
        <f>"95488"</f>
        <v>95488</v>
      </c>
      <c r="C36257" s="2">
        <v>2.1196764447909502E-3</v>
      </c>
      <c r="D36257" s="2">
        <v>1.99163513244373E-4</v>
      </c>
      <c r="E36257" s="2">
        <v>7.1199715201139102E-4</v>
      </c>
      <c r="F36257" s="2">
        <v>1.84146990219748E-3</v>
      </c>
    </row>
    <row r="36258" spans="1:6" x14ac:dyDescent="0.25">
      <c r="A36258" s="1" t="str">
        <f t="shared" si="1306"/>
        <v>46380</v>
      </c>
      <c r="B36258" s="1" t="str">
        <f>"95466"</f>
        <v>95466</v>
      </c>
      <c r="C36258" s="2">
        <v>6.3103011402397399E-3</v>
      </c>
      <c r="D36258" s="2">
        <v>1.0157339175463E-2</v>
      </c>
      <c r="E36258" s="2">
        <v>2.1359914560341699E-3</v>
      </c>
      <c r="F36258" s="2">
        <v>6.4656054343822803E-3</v>
      </c>
    </row>
    <row r="36259" spans="1:6" x14ac:dyDescent="0.25">
      <c r="A36259" s="1" t="str">
        <f t="shared" si="1306"/>
        <v>46380</v>
      </c>
      <c r="B36259" s="1" t="str">
        <f>"95454"</f>
        <v>95454</v>
      </c>
      <c r="C36259" s="2">
        <v>4.1418965013156599E-3</v>
      </c>
      <c r="D36259" s="2">
        <v>2.5891256721768501E-3</v>
      </c>
      <c r="E36259" s="2">
        <v>3.2039871840512601E-3</v>
      </c>
      <c r="F36259" s="2">
        <v>3.9284691246879704E-3</v>
      </c>
    </row>
    <row r="36260" spans="1:6" x14ac:dyDescent="0.25">
      <c r="A36260" s="1" t="str">
        <f t="shared" si="1306"/>
        <v>46380</v>
      </c>
      <c r="B36260" s="1" t="str">
        <f>"95417"</f>
        <v>95417</v>
      </c>
      <c r="C36260" s="2">
        <v>1.6567586005262599E-3</v>
      </c>
      <c r="D36260" s="2">
        <v>0</v>
      </c>
      <c r="E36260" s="2">
        <v>3.55998576005695E-3</v>
      </c>
      <c r="F36260" s="2">
        <v>1.59594058190448E-3</v>
      </c>
    </row>
    <row r="36261" spans="1:6" x14ac:dyDescent="0.25">
      <c r="A36261" s="1" t="str">
        <f t="shared" si="1306"/>
        <v>46380</v>
      </c>
      <c r="B36261" s="1" t="str">
        <f>"95490"</f>
        <v>95490</v>
      </c>
      <c r="C36261" s="2">
        <v>0.19510768930903399</v>
      </c>
      <c r="D36261" s="2">
        <v>0.16450906193985201</v>
      </c>
      <c r="E36261" s="2">
        <v>0.10608757564969699</v>
      </c>
      <c r="F36261" s="2">
        <v>0.18684781274297099</v>
      </c>
    </row>
    <row r="36262" spans="1:6" x14ac:dyDescent="0.25">
      <c r="A36262" s="1" t="str">
        <f t="shared" ref="A36262:A36271" si="1307">"46420"</f>
        <v>46420</v>
      </c>
      <c r="B36262" s="1" t="str">
        <f>"29335"</f>
        <v>29335</v>
      </c>
      <c r="C36262" s="2">
        <v>1.04316793631185E-2</v>
      </c>
      <c r="D36262" s="2">
        <v>0</v>
      </c>
      <c r="E36262" s="2">
        <v>4.2735042735042696E-3</v>
      </c>
      <c r="F36262" s="2">
        <v>9.6220363499150904E-3</v>
      </c>
    </row>
    <row r="36263" spans="1:6" x14ac:dyDescent="0.25">
      <c r="A36263" s="1" t="str">
        <f t="shared" si="1307"/>
        <v>46420</v>
      </c>
      <c r="B36263" s="1" t="str">
        <f>"29321"</f>
        <v>29321</v>
      </c>
      <c r="C36263" s="2">
        <v>9.2443895408688401E-2</v>
      </c>
      <c r="D36263" s="2">
        <v>3.55839416058394E-2</v>
      </c>
      <c r="E36263" s="2">
        <v>4.2735042735042701E-2</v>
      </c>
      <c r="F36263" s="2">
        <v>8.7793220552166498E-2</v>
      </c>
    </row>
    <row r="36264" spans="1:6" x14ac:dyDescent="0.25">
      <c r="A36264" s="1" t="str">
        <f t="shared" si="1307"/>
        <v>46420</v>
      </c>
      <c r="B36264" s="1" t="str">
        <f>"29364"</f>
        <v>29364</v>
      </c>
      <c r="C36264" s="2">
        <v>0</v>
      </c>
      <c r="D36264" s="2">
        <v>2.7372262773722599E-3</v>
      </c>
      <c r="E36264" s="2">
        <v>0</v>
      </c>
      <c r="F36264" s="2">
        <v>1.8866737941009899E-4</v>
      </c>
    </row>
    <row r="36265" spans="1:6" x14ac:dyDescent="0.25">
      <c r="A36265" s="1" t="str">
        <f t="shared" si="1307"/>
        <v>46420</v>
      </c>
      <c r="B36265" s="1" t="str">
        <f>"29372"</f>
        <v>29372</v>
      </c>
      <c r="C36265" s="2">
        <v>2.0863358726237E-2</v>
      </c>
      <c r="D36265" s="2">
        <v>9.1240875912408702E-4</v>
      </c>
      <c r="E36265" s="2">
        <v>8.5470085470085392E-3</v>
      </c>
      <c r="F36265" s="2">
        <v>1.9306961826300199E-2</v>
      </c>
    </row>
    <row r="36266" spans="1:6" x14ac:dyDescent="0.25">
      <c r="A36266" s="1" t="str">
        <f t="shared" si="1307"/>
        <v>46420</v>
      </c>
      <c r="B36266" s="1" t="str">
        <f>"29379"</f>
        <v>29379</v>
      </c>
      <c r="C36266" s="2">
        <v>0.68650058335049002</v>
      </c>
      <c r="D36266" s="2">
        <v>0.85857664233576603</v>
      </c>
      <c r="E36266" s="2">
        <v>0.83760683760683696</v>
      </c>
      <c r="F36266" s="2">
        <v>0.700584868876171</v>
      </c>
    </row>
    <row r="36267" spans="1:6" x14ac:dyDescent="0.25">
      <c r="A36267" s="1" t="str">
        <f t="shared" si="1307"/>
        <v>46420</v>
      </c>
      <c r="B36267" s="1" t="str">
        <f>"29178"</f>
        <v>29178</v>
      </c>
      <c r="C36267" s="2">
        <v>2.3745796444993399E-2</v>
      </c>
      <c r="D36267" s="2">
        <v>1.5510948905109401E-2</v>
      </c>
      <c r="E36267" s="2">
        <v>8.5470085470085392E-3</v>
      </c>
      <c r="F36267" s="2">
        <v>2.2954531161562101E-2</v>
      </c>
    </row>
    <row r="36268" spans="1:6" x14ac:dyDescent="0.25">
      <c r="A36268" s="1" t="str">
        <f t="shared" si="1307"/>
        <v>46420</v>
      </c>
      <c r="B36268" s="1" t="str">
        <f>"29353"</f>
        <v>29353</v>
      </c>
      <c r="C36268" s="2">
        <v>0.13451376020863301</v>
      </c>
      <c r="D36268" s="2">
        <v>7.1167883211678801E-2</v>
      </c>
      <c r="E36268" s="2">
        <v>8.9743589743589702E-2</v>
      </c>
      <c r="F36268" s="2">
        <v>0.12948871140179799</v>
      </c>
    </row>
    <row r="36269" spans="1:6" x14ac:dyDescent="0.25">
      <c r="A36269" s="1" t="str">
        <f t="shared" si="1307"/>
        <v>46420</v>
      </c>
      <c r="B36269" s="1" t="str">
        <f>"29374"</f>
        <v>29374</v>
      </c>
      <c r="C36269" s="2">
        <v>6.2452817239722703E-3</v>
      </c>
      <c r="D36269" s="2">
        <v>4.5620437956204298E-3</v>
      </c>
      <c r="E36269" s="2">
        <v>0</v>
      </c>
      <c r="F36269" s="2">
        <v>6.0373561411231902E-3</v>
      </c>
    </row>
    <row r="36270" spans="1:6" x14ac:dyDescent="0.25">
      <c r="A36270" s="1" t="str">
        <f t="shared" si="1307"/>
        <v>46420</v>
      </c>
      <c r="B36270" s="1" t="str">
        <f>"29395"</f>
        <v>29395</v>
      </c>
      <c r="C36270" s="2">
        <v>0</v>
      </c>
      <c r="D36270" s="2">
        <v>9.1240875912408702E-4</v>
      </c>
      <c r="E36270" s="2">
        <v>0</v>
      </c>
      <c r="F36270" s="2">
        <v>6.2889126470033299E-5</v>
      </c>
    </row>
    <row r="36271" spans="1:6" x14ac:dyDescent="0.25">
      <c r="A36271" s="1" t="str">
        <f t="shared" si="1307"/>
        <v>46420</v>
      </c>
      <c r="B36271" s="1" t="str">
        <f>"29031"</f>
        <v>29031</v>
      </c>
      <c r="C36271" s="2">
        <v>2.5255644773865799E-2</v>
      </c>
      <c r="D36271" s="2">
        <v>1.0036496350364899E-2</v>
      </c>
      <c r="E36271" s="2">
        <v>8.5470085470085392E-3</v>
      </c>
      <c r="F36271" s="2">
        <v>2.3960757185082601E-2</v>
      </c>
    </row>
    <row r="36272" spans="1:6" x14ac:dyDescent="0.25">
      <c r="A36272" s="1" t="str">
        <f t="shared" ref="A36272:A36286" si="1308">"46460"</f>
        <v>46460</v>
      </c>
      <c r="B36272" s="1" t="str">
        <f>"38260"</f>
        <v>38260</v>
      </c>
      <c r="C36272" s="2">
        <v>0.109951845906902</v>
      </c>
      <c r="D36272" s="2">
        <v>5.5372807017543803E-2</v>
      </c>
      <c r="E36272" s="2">
        <v>2.2530329289428001E-2</v>
      </c>
      <c r="F36272" s="2">
        <v>0.101887198236464</v>
      </c>
    </row>
    <row r="36273" spans="1:6" x14ac:dyDescent="0.25">
      <c r="A36273" s="1" t="str">
        <f t="shared" si="1308"/>
        <v>46460</v>
      </c>
      <c r="B36273" s="1" t="str">
        <f>"38232"</f>
        <v>38232</v>
      </c>
      <c r="C36273" s="2">
        <v>7.2292875663662104E-2</v>
      </c>
      <c r="D36273" s="2">
        <v>4.1118421052631499E-2</v>
      </c>
      <c r="E36273" s="2">
        <v>4.8526863084922003E-2</v>
      </c>
      <c r="F36273" s="2">
        <v>6.8498306360556996E-2</v>
      </c>
    </row>
    <row r="36274" spans="1:6" x14ac:dyDescent="0.25">
      <c r="A36274" s="1" t="str">
        <f t="shared" si="1308"/>
        <v>46460</v>
      </c>
      <c r="B36274" s="1" t="str">
        <f>"38254"</f>
        <v>38254</v>
      </c>
      <c r="C36274" s="2">
        <v>0</v>
      </c>
      <c r="D36274" s="2">
        <v>5.4824561403508704E-4</v>
      </c>
      <c r="E36274" s="2">
        <v>0</v>
      </c>
      <c r="F36274" s="2">
        <v>5.37663315232001E-5</v>
      </c>
    </row>
    <row r="36275" spans="1:6" x14ac:dyDescent="0.25">
      <c r="A36275" s="1" t="str">
        <f t="shared" si="1308"/>
        <v>46460</v>
      </c>
      <c r="B36275" s="1" t="str">
        <f>"38259"</f>
        <v>38259</v>
      </c>
      <c r="C36275" s="2">
        <v>1.1729843190517301E-3</v>
      </c>
      <c r="D36275" s="2">
        <v>0</v>
      </c>
      <c r="E36275" s="2">
        <v>0</v>
      </c>
      <c r="F36275" s="2">
        <v>1.0215602989408E-3</v>
      </c>
    </row>
    <row r="36276" spans="1:6" x14ac:dyDescent="0.25">
      <c r="A36276" s="1" t="str">
        <f t="shared" si="1308"/>
        <v>46460</v>
      </c>
      <c r="B36276" s="1" t="str">
        <f>"38261"</f>
        <v>38261</v>
      </c>
      <c r="C36276" s="2">
        <v>0.50123472033584304</v>
      </c>
      <c r="D36276" s="2">
        <v>0.61348684210526305</v>
      </c>
      <c r="E36276" s="2">
        <v>0.83015597920277195</v>
      </c>
      <c r="F36276" s="2">
        <v>0.52244744341093596</v>
      </c>
    </row>
    <row r="36277" spans="1:6" x14ac:dyDescent="0.25">
      <c r="A36277" s="1" t="str">
        <f t="shared" si="1308"/>
        <v>46460</v>
      </c>
      <c r="B36277" s="1" t="str">
        <f>"38257"</f>
        <v>38257</v>
      </c>
      <c r="C36277" s="2">
        <v>0.12878133102852199</v>
      </c>
      <c r="D36277" s="2">
        <v>8.4429824561403494E-2</v>
      </c>
      <c r="E36277" s="2">
        <v>7.7989601386481797E-2</v>
      </c>
      <c r="F36277" s="2">
        <v>0.12285606753051199</v>
      </c>
    </row>
    <row r="36278" spans="1:6" x14ac:dyDescent="0.25">
      <c r="A36278" s="1" t="str">
        <f t="shared" si="1308"/>
        <v>46460</v>
      </c>
      <c r="B36278" s="1" t="str">
        <f>"38255"</f>
        <v>38255</v>
      </c>
      <c r="C36278" s="2">
        <v>6.7909618471416195E-4</v>
      </c>
      <c r="D36278" s="2">
        <v>0</v>
      </c>
      <c r="E36278" s="2">
        <v>0</v>
      </c>
      <c r="F36278" s="2">
        <v>5.9142964675520102E-4</v>
      </c>
    </row>
    <row r="36279" spans="1:6" x14ac:dyDescent="0.25">
      <c r="A36279" s="1" t="str">
        <f t="shared" si="1308"/>
        <v>46460</v>
      </c>
      <c r="B36279" s="1" t="str">
        <f>"38079"</f>
        <v>38079</v>
      </c>
      <c r="C36279" s="2">
        <v>1.2347203358439301E-4</v>
      </c>
      <c r="D36279" s="2">
        <v>0</v>
      </c>
      <c r="E36279" s="2">
        <v>0</v>
      </c>
      <c r="F36279" s="2">
        <v>1.075326630464E-4</v>
      </c>
    </row>
    <row r="36280" spans="1:6" x14ac:dyDescent="0.25">
      <c r="A36280" s="1" t="str">
        <f t="shared" si="1308"/>
        <v>46460</v>
      </c>
      <c r="B36280" s="1" t="str">
        <f>"38080"</f>
        <v>38080</v>
      </c>
      <c r="C36280" s="2">
        <v>1.7903444869737E-3</v>
      </c>
      <c r="D36280" s="2">
        <v>0</v>
      </c>
      <c r="E36280" s="2">
        <v>0</v>
      </c>
      <c r="F36280" s="2">
        <v>1.5592236141728001E-3</v>
      </c>
    </row>
    <row r="36281" spans="1:6" x14ac:dyDescent="0.25">
      <c r="A36281" s="1" t="str">
        <f t="shared" si="1308"/>
        <v>46460</v>
      </c>
      <c r="B36281" s="1" t="str">
        <f>"38271"</f>
        <v>38271</v>
      </c>
      <c r="C36281" s="2">
        <v>0</v>
      </c>
      <c r="D36281" s="2">
        <v>5.4824561403508704E-4</v>
      </c>
      <c r="E36281" s="2">
        <v>0</v>
      </c>
      <c r="F36281" s="2">
        <v>5.37663315232001E-5</v>
      </c>
    </row>
    <row r="36282" spans="1:6" x14ac:dyDescent="0.25">
      <c r="A36282" s="1" t="str">
        <f t="shared" si="1308"/>
        <v>46460</v>
      </c>
      <c r="B36282" s="1" t="str">
        <f>"38281"</f>
        <v>38281</v>
      </c>
      <c r="C36282" s="2">
        <v>4.9080133349796197E-2</v>
      </c>
      <c r="D36282" s="2">
        <v>0.12609649122807001</v>
      </c>
      <c r="E36282" s="2">
        <v>1.73310225303292E-3</v>
      </c>
      <c r="F36282" s="2">
        <v>5.5164256142803299E-2</v>
      </c>
    </row>
    <row r="36283" spans="1:6" x14ac:dyDescent="0.25">
      <c r="A36283" s="1" t="str">
        <f t="shared" si="1308"/>
        <v>46460</v>
      </c>
      <c r="B36283" s="1" t="str">
        <f>"38237"</f>
        <v>38237</v>
      </c>
      <c r="C36283" s="2">
        <v>5.2475614273367003E-3</v>
      </c>
      <c r="D36283" s="2">
        <v>1.09649122807017E-3</v>
      </c>
      <c r="E36283" s="2">
        <v>0</v>
      </c>
      <c r="F36283" s="2">
        <v>4.6776708425184102E-3</v>
      </c>
    </row>
    <row r="36284" spans="1:6" x14ac:dyDescent="0.25">
      <c r="A36284" s="1" t="str">
        <f t="shared" si="1308"/>
        <v>46460</v>
      </c>
      <c r="B36284" s="1" t="str">
        <f>"38240"</f>
        <v>38240</v>
      </c>
      <c r="C36284" s="2">
        <v>5.6426719348067603E-2</v>
      </c>
      <c r="D36284" s="2">
        <v>2.0833333333333301E-2</v>
      </c>
      <c r="E36284" s="2">
        <v>3.4662045060658499E-3</v>
      </c>
      <c r="F36284" s="2">
        <v>5.1293080273132903E-2</v>
      </c>
    </row>
    <row r="36285" spans="1:6" x14ac:dyDescent="0.25">
      <c r="A36285" s="1" t="str">
        <f t="shared" si="1308"/>
        <v>46460</v>
      </c>
      <c r="B36285" s="1" t="str">
        <f>"38253"</f>
        <v>38253</v>
      </c>
      <c r="C36285" s="2">
        <v>3.2534880849487503E-2</v>
      </c>
      <c r="D36285" s="2">
        <v>1.48026315789473E-2</v>
      </c>
      <c r="E36285" s="2">
        <v>0</v>
      </c>
      <c r="F36285" s="2">
        <v>2.9786547663852799E-2</v>
      </c>
    </row>
    <row r="36286" spans="1:6" x14ac:dyDescent="0.25">
      <c r="A36286" s="1" t="str">
        <f t="shared" si="1308"/>
        <v>46460</v>
      </c>
      <c r="B36286" s="1" t="str">
        <f>"38233"</f>
        <v>38233</v>
      </c>
      <c r="C36286" s="2">
        <v>4.06840350660575E-2</v>
      </c>
      <c r="D36286" s="2">
        <v>4.1666666666666602E-2</v>
      </c>
      <c r="E36286" s="2">
        <v>1.55979202772963E-2</v>
      </c>
      <c r="F36286" s="2">
        <v>4.0002150653260897E-2</v>
      </c>
    </row>
    <row r="36287" spans="1:6" x14ac:dyDescent="0.25">
      <c r="A36287" s="1" t="str">
        <f t="shared" ref="A36287:A36305" si="1309">"46500"</f>
        <v>46500</v>
      </c>
      <c r="B36287" s="1" t="str">
        <f>"45344"</f>
        <v>45344</v>
      </c>
      <c r="C36287" s="2">
        <v>2.2459956262190399E-3</v>
      </c>
      <c r="D36287" s="2">
        <v>0</v>
      </c>
      <c r="E36287" s="2">
        <v>0</v>
      </c>
      <c r="F36287" s="2">
        <v>2.08230587977423E-3</v>
      </c>
    </row>
    <row r="36288" spans="1:6" x14ac:dyDescent="0.25">
      <c r="A36288" s="1" t="str">
        <f t="shared" si="1309"/>
        <v>46500</v>
      </c>
      <c r="B36288" s="1" t="str">
        <f>"43044"</f>
        <v>43044</v>
      </c>
      <c r="C36288" s="2">
        <v>0.11094036290560901</v>
      </c>
      <c r="D36288" s="2">
        <v>0.101041666666666</v>
      </c>
      <c r="E36288" s="2">
        <v>0.118918918918918</v>
      </c>
      <c r="F36288" s="2">
        <v>0.110581401720642</v>
      </c>
    </row>
    <row r="36289" spans="1:6" x14ac:dyDescent="0.25">
      <c r="A36289" s="1" t="str">
        <f t="shared" si="1309"/>
        <v>46500</v>
      </c>
      <c r="B36289" s="1" t="str">
        <f>"43045"</f>
        <v>43045</v>
      </c>
      <c r="C36289" s="2">
        <v>1.06389266505112E-3</v>
      </c>
      <c r="D36289" s="2">
        <v>0</v>
      </c>
      <c r="E36289" s="2">
        <v>0</v>
      </c>
      <c r="F36289" s="2">
        <v>9.8635541673516305E-4</v>
      </c>
    </row>
    <row r="36290" spans="1:6" x14ac:dyDescent="0.25">
      <c r="A36290" s="1" t="str">
        <f t="shared" si="1309"/>
        <v>46500</v>
      </c>
      <c r="B36290" s="1" t="str">
        <f>"43083"</f>
        <v>43083</v>
      </c>
      <c r="C36290" s="2">
        <v>0</v>
      </c>
      <c r="D36290" s="2">
        <v>1.0416666666666599E-3</v>
      </c>
      <c r="E36290" s="2">
        <v>0</v>
      </c>
      <c r="F36290" s="2">
        <v>5.4797523151953497E-5</v>
      </c>
    </row>
    <row r="36291" spans="1:6" x14ac:dyDescent="0.25">
      <c r="A36291" s="1" t="str">
        <f t="shared" si="1309"/>
        <v>46500</v>
      </c>
      <c r="B36291" s="1" t="str">
        <f>"43070"</f>
        <v>43070</v>
      </c>
      <c r="C36291" s="2">
        <v>3.5463088835037502E-4</v>
      </c>
      <c r="D36291" s="2">
        <v>4.1666666666666597E-3</v>
      </c>
      <c r="E36291" s="2">
        <v>0</v>
      </c>
      <c r="F36291" s="2">
        <v>5.4797523151953501E-4</v>
      </c>
    </row>
    <row r="36292" spans="1:6" x14ac:dyDescent="0.25">
      <c r="A36292" s="1" t="str">
        <f t="shared" si="1309"/>
        <v>46500</v>
      </c>
      <c r="B36292" s="1" t="str">
        <f>"43084"</f>
        <v>43084</v>
      </c>
      <c r="C36292" s="2">
        <v>1.8854542230628199E-2</v>
      </c>
      <c r="D36292" s="2">
        <v>1.2500000000000001E-2</v>
      </c>
      <c r="E36292" s="2">
        <v>0</v>
      </c>
      <c r="F36292" s="2">
        <v>1.81379801632966E-2</v>
      </c>
    </row>
    <row r="36293" spans="1:6" x14ac:dyDescent="0.25">
      <c r="A36293" s="1" t="str">
        <f t="shared" si="1309"/>
        <v>46500</v>
      </c>
      <c r="B36293" s="1" t="str">
        <f>"43009"</f>
        <v>43009</v>
      </c>
      <c r="C36293" s="2">
        <v>4.6338436077782298E-2</v>
      </c>
      <c r="D36293" s="2">
        <v>1.14583333333333E-2</v>
      </c>
      <c r="E36293" s="2">
        <v>0</v>
      </c>
      <c r="F36293" s="2">
        <v>4.3564030905802999E-2</v>
      </c>
    </row>
    <row r="36294" spans="1:6" x14ac:dyDescent="0.25">
      <c r="A36294" s="1" t="str">
        <f t="shared" si="1309"/>
        <v>46500</v>
      </c>
      <c r="B36294" s="1" t="str">
        <f>"43357"</f>
        <v>43357</v>
      </c>
      <c r="C36294" s="2">
        <v>2.2105325373839999E-2</v>
      </c>
      <c r="D36294" s="2">
        <v>1.04166666666666E-2</v>
      </c>
      <c r="E36294" s="2">
        <v>2.1621621621621599E-2</v>
      </c>
      <c r="F36294" s="2">
        <v>2.1480629075565701E-2</v>
      </c>
    </row>
    <row r="36295" spans="1:6" x14ac:dyDescent="0.25">
      <c r="A36295" s="1" t="str">
        <f t="shared" si="1309"/>
        <v>46500</v>
      </c>
      <c r="B36295" s="1" t="str">
        <f>"43318"</f>
        <v>43318</v>
      </c>
      <c r="C36295" s="2">
        <v>1.7672439269460299E-2</v>
      </c>
      <c r="D36295" s="2">
        <v>2.0833333333333298E-3</v>
      </c>
      <c r="E36295" s="2">
        <v>0</v>
      </c>
      <c r="F36295" s="2">
        <v>1.6494054468738001E-2</v>
      </c>
    </row>
    <row r="36296" spans="1:6" x14ac:dyDescent="0.25">
      <c r="A36296" s="1" t="str">
        <f t="shared" si="1309"/>
        <v>46500</v>
      </c>
      <c r="B36296" s="1" t="str">
        <f>"43072"</f>
        <v>43072</v>
      </c>
      <c r="C36296" s="2">
        <v>0.14238430167267499</v>
      </c>
      <c r="D36296" s="2">
        <v>7.0833333333333304E-2</v>
      </c>
      <c r="E36296" s="2">
        <v>4.59459459459459E-2</v>
      </c>
      <c r="F36296" s="2">
        <v>0.136665022740972</v>
      </c>
    </row>
    <row r="36297" spans="1:6" x14ac:dyDescent="0.25">
      <c r="A36297" s="1" t="str">
        <f t="shared" si="1309"/>
        <v>46500</v>
      </c>
      <c r="B36297" s="1" t="str">
        <f>"45389"</f>
        <v>45389</v>
      </c>
      <c r="C36297" s="2">
        <v>1.1821029611679099E-4</v>
      </c>
      <c r="D36297" s="2">
        <v>1.0416666666666599E-3</v>
      </c>
      <c r="E36297" s="2">
        <v>0</v>
      </c>
      <c r="F36297" s="2">
        <v>1.6439256945586001E-4</v>
      </c>
    </row>
    <row r="36298" spans="1:6" x14ac:dyDescent="0.25">
      <c r="A36298" s="1" t="str">
        <f t="shared" si="1309"/>
        <v>46500</v>
      </c>
      <c r="B36298" s="1" t="str">
        <f>"45312"</f>
        <v>45312</v>
      </c>
      <c r="C36298" s="2">
        <v>8.8657722087593803E-4</v>
      </c>
      <c r="D36298" s="2">
        <v>0</v>
      </c>
      <c r="E36298" s="2">
        <v>0</v>
      </c>
      <c r="F36298" s="2">
        <v>8.2196284727930203E-4</v>
      </c>
    </row>
    <row r="36299" spans="1:6" x14ac:dyDescent="0.25">
      <c r="A36299" s="1" t="str">
        <f t="shared" si="1309"/>
        <v>46500</v>
      </c>
      <c r="B36299" s="1" t="str">
        <f>"45502"</f>
        <v>45502</v>
      </c>
      <c r="C36299" s="2">
        <v>9.5159288374017294E-3</v>
      </c>
      <c r="D36299" s="2">
        <v>3.1250000000000002E-3</v>
      </c>
      <c r="E36299" s="2">
        <v>0</v>
      </c>
      <c r="F36299" s="2">
        <v>8.9867937969203698E-3</v>
      </c>
    </row>
    <row r="36300" spans="1:6" x14ac:dyDescent="0.25">
      <c r="A36300" s="1" t="str">
        <f t="shared" si="1309"/>
        <v>46500</v>
      </c>
      <c r="B36300" s="1" t="str">
        <f>"43343"</f>
        <v>43343</v>
      </c>
      <c r="C36300" s="2">
        <v>3.60541403156214E-3</v>
      </c>
      <c r="D36300" s="2">
        <v>3.1250000000000002E-3</v>
      </c>
      <c r="E36300" s="2">
        <v>0</v>
      </c>
      <c r="F36300" s="2">
        <v>3.5070414817250199E-3</v>
      </c>
    </row>
    <row r="36301" spans="1:6" x14ac:dyDescent="0.25">
      <c r="A36301" s="1" t="str">
        <f t="shared" si="1309"/>
        <v>46500</v>
      </c>
      <c r="B36301" s="1" t="str">
        <f>"43047"</f>
        <v>43047</v>
      </c>
      <c r="C36301" s="2">
        <v>0</v>
      </c>
      <c r="D36301" s="2">
        <v>0</v>
      </c>
      <c r="E36301" s="2">
        <v>5.4054054054053996E-3</v>
      </c>
      <c r="F36301" s="2">
        <v>1.0959504630390699E-4</v>
      </c>
    </row>
    <row r="36302" spans="1:6" x14ac:dyDescent="0.25">
      <c r="A36302" s="1" t="str">
        <f t="shared" si="1309"/>
        <v>46500</v>
      </c>
      <c r="B36302" s="1" t="str">
        <f>"45365"</f>
        <v>45365</v>
      </c>
      <c r="C36302" s="2">
        <v>5.3194633252556204E-4</v>
      </c>
      <c r="D36302" s="2">
        <v>0</v>
      </c>
      <c r="E36302" s="2">
        <v>0</v>
      </c>
      <c r="F36302" s="2">
        <v>4.9317770836758098E-4</v>
      </c>
    </row>
    <row r="36303" spans="1:6" x14ac:dyDescent="0.25">
      <c r="A36303" s="1" t="str">
        <f t="shared" si="1309"/>
        <v>46500</v>
      </c>
      <c r="B36303" s="1" t="str">
        <f>"45317"</f>
        <v>45317</v>
      </c>
      <c r="C36303" s="2">
        <v>1.18210296116791E-2</v>
      </c>
      <c r="D36303" s="2">
        <v>2.0833333333333298E-3</v>
      </c>
      <c r="E36303" s="2">
        <v>0</v>
      </c>
      <c r="F36303" s="2">
        <v>1.10690996766946E-2</v>
      </c>
    </row>
    <row r="36304" spans="1:6" x14ac:dyDescent="0.25">
      <c r="A36304" s="1" t="str">
        <f t="shared" si="1309"/>
        <v>46500</v>
      </c>
      <c r="B36304" s="1" t="str">
        <f>"43078"</f>
        <v>43078</v>
      </c>
      <c r="C36304" s="2">
        <v>0.55257402919794296</v>
      </c>
      <c r="D36304" s="2">
        <v>0.76458333333333295</v>
      </c>
      <c r="E36304" s="2">
        <v>0.77567567567567497</v>
      </c>
      <c r="F36304" s="2">
        <v>0.56825031508575796</v>
      </c>
    </row>
    <row r="36305" spans="1:6" x14ac:dyDescent="0.25">
      <c r="A36305" s="1" t="str">
        <f t="shared" si="1309"/>
        <v>46500</v>
      </c>
      <c r="B36305" s="1" t="str">
        <f>"43060"</f>
        <v>43060</v>
      </c>
      <c r="C36305" s="2">
        <v>5.8986937762279E-2</v>
      </c>
      <c r="D36305" s="2">
        <v>1.2500000000000001E-2</v>
      </c>
      <c r="E36305" s="2">
        <v>3.24324324324324E-2</v>
      </c>
      <c r="F36305" s="2">
        <v>5.60030686612965E-2</v>
      </c>
    </row>
    <row r="36306" spans="1:6" x14ac:dyDescent="0.25">
      <c r="A36306" s="1" t="str">
        <f t="shared" ref="A36306:A36337" si="1310">"46520"</f>
        <v>46520</v>
      </c>
      <c r="B36306" s="1" t="str">
        <f>"96819"</f>
        <v>96819</v>
      </c>
      <c r="C36306" s="2">
        <v>3.0988988259396399E-2</v>
      </c>
      <c r="D36306" s="2">
        <v>6.9234174413457195E-2</v>
      </c>
      <c r="E36306" s="2">
        <v>4.5879424778761002E-2</v>
      </c>
      <c r="F36306" s="2">
        <v>3.5638380804674102E-2</v>
      </c>
    </row>
    <row r="36307" spans="1:6" x14ac:dyDescent="0.25">
      <c r="A36307" s="1" t="str">
        <f t="shared" si="1310"/>
        <v>46520</v>
      </c>
      <c r="B36307" s="1" t="str">
        <f>"96836"</f>
        <v>96836</v>
      </c>
      <c r="C36307" s="2">
        <v>1.2459617051453699E-3</v>
      </c>
      <c r="D36307" s="2">
        <v>1.2837538733953E-3</v>
      </c>
      <c r="E36307" s="2">
        <v>5.5309734513274302E-5</v>
      </c>
      <c r="F36307" s="2">
        <v>1.1611399686533199E-3</v>
      </c>
    </row>
    <row r="36308" spans="1:6" x14ac:dyDescent="0.25">
      <c r="A36308" s="1" t="str">
        <f t="shared" si="1310"/>
        <v>46520</v>
      </c>
      <c r="B36308" s="1" t="str">
        <f>"96863"</f>
        <v>96863</v>
      </c>
      <c r="C36308" s="2">
        <v>0</v>
      </c>
      <c r="D36308" s="2">
        <v>1.46082337317397E-3</v>
      </c>
      <c r="E36308" s="2">
        <v>8.2964601769911503E-5</v>
      </c>
      <c r="F36308" s="2">
        <v>1.4155239900543999E-4</v>
      </c>
    </row>
    <row r="36309" spans="1:6" x14ac:dyDescent="0.25">
      <c r="A36309" s="1" t="str">
        <f t="shared" si="1310"/>
        <v>46520</v>
      </c>
      <c r="B36309" s="1" t="str">
        <f>"96730"</f>
        <v>96730</v>
      </c>
      <c r="C36309" s="2">
        <v>8.1012134583563098E-4</v>
      </c>
      <c r="D36309" s="2">
        <v>1.1066843736166399E-4</v>
      </c>
      <c r="E36309" s="2">
        <v>2.2123893805309699E-4</v>
      </c>
      <c r="F36309" s="2">
        <v>7.0160754289653104E-4</v>
      </c>
    </row>
    <row r="36310" spans="1:6" x14ac:dyDescent="0.25">
      <c r="A36310" s="1" t="str">
        <f t="shared" si="1310"/>
        <v>46520</v>
      </c>
      <c r="B36310" s="1" t="str">
        <f>"96824"</f>
        <v>96824</v>
      </c>
      <c r="C36310" s="2">
        <v>1.55622094397604E-3</v>
      </c>
      <c r="D36310" s="2">
        <v>6.5515714918105298E-3</v>
      </c>
      <c r="E36310" s="2">
        <v>5.5309734513274302E-5</v>
      </c>
      <c r="F36310" s="2">
        <v>1.9078801605081101E-3</v>
      </c>
    </row>
    <row r="36311" spans="1:6" x14ac:dyDescent="0.25">
      <c r="A36311" s="1" t="str">
        <f t="shared" si="1310"/>
        <v>46520</v>
      </c>
      <c r="B36311" s="1" t="str">
        <f>"96709"</f>
        <v>96709</v>
      </c>
      <c r="C36311" s="2">
        <v>2.9179142699550802E-3</v>
      </c>
      <c r="D36311" s="2">
        <v>3.3421868083222598E-3</v>
      </c>
      <c r="E36311" s="2">
        <v>5.5309734513274302E-5</v>
      </c>
      <c r="F36311" s="2">
        <v>2.74488565027941E-3</v>
      </c>
    </row>
    <row r="36312" spans="1:6" x14ac:dyDescent="0.25">
      <c r="A36312" s="1" t="str">
        <f t="shared" si="1310"/>
        <v>46520</v>
      </c>
      <c r="B36312" s="1" t="str">
        <f>"96734"</f>
        <v>96734</v>
      </c>
      <c r="C36312" s="2">
        <v>4.7499212040028299E-2</v>
      </c>
      <c r="D36312" s="2">
        <v>3.7760070827799898E-2</v>
      </c>
      <c r="E36312" s="2">
        <v>3.4817477876106097E-2</v>
      </c>
      <c r="F36312" s="2">
        <v>4.5655777389363397E-2</v>
      </c>
    </row>
    <row r="36313" spans="1:6" x14ac:dyDescent="0.25">
      <c r="A36313" s="1" t="str">
        <f t="shared" si="1310"/>
        <v>46520</v>
      </c>
      <c r="B36313" s="1" t="str">
        <f>"96816"</f>
        <v>96816</v>
      </c>
      <c r="C36313" s="2">
        <v>5.1443936648018197E-2</v>
      </c>
      <c r="D36313" s="2">
        <v>3.9641434262948201E-2</v>
      </c>
      <c r="E36313" s="2">
        <v>6.6814159292035297E-2</v>
      </c>
      <c r="F36313" s="2">
        <v>5.1490198009239797E-2</v>
      </c>
    </row>
    <row r="36314" spans="1:6" x14ac:dyDescent="0.25">
      <c r="A36314" s="1" t="str">
        <f t="shared" si="1310"/>
        <v>46520</v>
      </c>
      <c r="B36314" s="1" t="str">
        <f>"96822"</f>
        <v>96822</v>
      </c>
      <c r="C36314" s="2">
        <v>4.8678689622567099E-2</v>
      </c>
      <c r="D36314" s="2">
        <v>1.05799026117751E-2</v>
      </c>
      <c r="E36314" s="2">
        <v>4.7013274336283099E-2</v>
      </c>
      <c r="F36314" s="2">
        <v>4.5023920303947799E-2</v>
      </c>
    </row>
    <row r="36315" spans="1:6" x14ac:dyDescent="0.25">
      <c r="A36315" s="1" t="str">
        <f t="shared" si="1310"/>
        <v>46520</v>
      </c>
      <c r="B36315" s="1" t="str">
        <f>"96860"</f>
        <v>96860</v>
      </c>
      <c r="C36315" s="2">
        <v>4.2919194704908901E-3</v>
      </c>
      <c r="D36315" s="2">
        <v>2.3683045595396099E-3</v>
      </c>
      <c r="E36315" s="2">
        <v>9.4662610619468998E-2</v>
      </c>
      <c r="F36315" s="2">
        <v>1.08174753616766E-2</v>
      </c>
    </row>
    <row r="36316" spans="1:6" x14ac:dyDescent="0.25">
      <c r="A36316" s="1" t="str">
        <f t="shared" si="1310"/>
        <v>46520</v>
      </c>
      <c r="B36316" s="1" t="str">
        <f>"96839"</f>
        <v>96839</v>
      </c>
      <c r="C36316" s="2">
        <v>1.88371680718619E-3</v>
      </c>
      <c r="D36316" s="2">
        <v>7.4147853032315103E-3</v>
      </c>
      <c r="E36316" s="2">
        <v>5.5309734513274302E-5</v>
      </c>
      <c r="F36316" s="2">
        <v>2.2607354159999301E-3</v>
      </c>
    </row>
    <row r="36317" spans="1:6" x14ac:dyDescent="0.25">
      <c r="A36317" s="1" t="str">
        <f t="shared" si="1310"/>
        <v>46520</v>
      </c>
      <c r="B36317" s="1" t="str">
        <f>"96701"</f>
        <v>96701</v>
      </c>
      <c r="C36317" s="2">
        <v>4.1540264754550402E-2</v>
      </c>
      <c r="D36317" s="2">
        <v>5.0509074811863598E-2</v>
      </c>
      <c r="E36317" s="2">
        <v>4.0210176991150398E-2</v>
      </c>
      <c r="F36317" s="2">
        <v>4.2272880201537702E-2</v>
      </c>
    </row>
    <row r="36318" spans="1:6" x14ac:dyDescent="0.25">
      <c r="A36318" s="1" t="str">
        <f t="shared" si="1310"/>
        <v>46520</v>
      </c>
      <c r="B36318" s="1" t="str">
        <f>"96744"</f>
        <v>96744</v>
      </c>
      <c r="C36318" s="2">
        <v>5.16360018911039E-2</v>
      </c>
      <c r="D36318" s="2">
        <v>4.00398406374501E-2</v>
      </c>
      <c r="E36318" s="2">
        <v>4.0071902654867202E-2</v>
      </c>
      <c r="F36318" s="2">
        <v>4.97033554073016E-2</v>
      </c>
    </row>
    <row r="36319" spans="1:6" x14ac:dyDescent="0.25">
      <c r="A36319" s="1" t="str">
        <f t="shared" si="1310"/>
        <v>46520</v>
      </c>
      <c r="B36319" s="1" t="str">
        <f>"96731"</f>
        <v>96731</v>
      </c>
      <c r="C36319" s="2">
        <v>2.32940666614136E-3</v>
      </c>
      <c r="D36319" s="2">
        <v>6.8614431164231902E-4</v>
      </c>
      <c r="E36319" s="2">
        <v>9.679203539823E-4</v>
      </c>
      <c r="F36319" s="2">
        <v>2.0761018520797899E-3</v>
      </c>
    </row>
    <row r="36320" spans="1:6" x14ac:dyDescent="0.25">
      <c r="A36320" s="1" t="str">
        <f t="shared" si="1310"/>
        <v>46520</v>
      </c>
      <c r="B36320" s="1" t="str">
        <f>"96815"</f>
        <v>96815</v>
      </c>
      <c r="C36320" s="2">
        <v>6.5925163501694098E-2</v>
      </c>
      <c r="D36320" s="2">
        <v>6.1310314298362097E-2</v>
      </c>
      <c r="E36320" s="2">
        <v>3.4872787610619398E-2</v>
      </c>
      <c r="F36320" s="2">
        <v>6.3193914477733107E-2</v>
      </c>
    </row>
    <row r="36321" spans="1:6" x14ac:dyDescent="0.25">
      <c r="A36321" s="1" t="str">
        <f t="shared" si="1310"/>
        <v>46520</v>
      </c>
      <c r="B36321" s="1" t="str">
        <f>"96825"</f>
        <v>96825</v>
      </c>
      <c r="C36321" s="2">
        <v>3.15060869907808E-2</v>
      </c>
      <c r="D36321" s="2">
        <v>1.8968570163789202E-2</v>
      </c>
      <c r="E36321" s="2">
        <v>1.11172566371681E-2</v>
      </c>
      <c r="F36321" s="2">
        <v>2.8831556748151601E-2</v>
      </c>
    </row>
    <row r="36322" spans="1:6" x14ac:dyDescent="0.25">
      <c r="A36322" s="1" t="str">
        <f t="shared" si="1310"/>
        <v>46520</v>
      </c>
      <c r="B36322" s="1" t="str">
        <f>"96782"</f>
        <v>96782</v>
      </c>
      <c r="C36322" s="2">
        <v>3.4579130880151202E-2</v>
      </c>
      <c r="D36322" s="2">
        <v>2.5652943780433798E-2</v>
      </c>
      <c r="E36322" s="2">
        <v>2.7295353982300801E-2</v>
      </c>
      <c r="F36322" s="2">
        <v>3.3211475181145998E-2</v>
      </c>
    </row>
    <row r="36323" spans="1:6" x14ac:dyDescent="0.25">
      <c r="A36323" s="1" t="str">
        <f t="shared" si="1310"/>
        <v>46520</v>
      </c>
      <c r="B36323" s="1" t="str">
        <f>"96850"</f>
        <v>96850</v>
      </c>
      <c r="C36323" s="2">
        <v>0</v>
      </c>
      <c r="D36323" s="2">
        <v>5.3120849933598899E-3</v>
      </c>
      <c r="E36323" s="2">
        <v>8.2964601769911503E-5</v>
      </c>
      <c r="F36323" s="2">
        <v>4.9851062258437703E-4</v>
      </c>
    </row>
    <row r="36324" spans="1:6" x14ac:dyDescent="0.25">
      <c r="A36324" s="1" t="str">
        <f t="shared" si="1310"/>
        <v>46520</v>
      </c>
      <c r="B36324" s="1" t="str">
        <f>"96898"</f>
        <v>96898</v>
      </c>
      <c r="C36324" s="2">
        <v>0</v>
      </c>
      <c r="D36324" s="2">
        <v>2.2133687472332801E-5</v>
      </c>
      <c r="E36324" s="2">
        <v>0</v>
      </c>
      <c r="F36324" s="2">
        <v>2.0514840435570999E-6</v>
      </c>
    </row>
    <row r="36325" spans="1:6" x14ac:dyDescent="0.25">
      <c r="A36325" s="1" t="str">
        <f t="shared" si="1310"/>
        <v>46520</v>
      </c>
      <c r="B36325" s="1" t="str">
        <f>"96861"</f>
        <v>96861</v>
      </c>
      <c r="C36325" s="2">
        <v>2.4623749113544999E-6</v>
      </c>
      <c r="D36325" s="2">
        <v>2.2133687472332799E-4</v>
      </c>
      <c r="E36325" s="2">
        <v>1.1061946902654799E-4</v>
      </c>
      <c r="F36325" s="2">
        <v>3.0772260653356601E-5</v>
      </c>
    </row>
    <row r="36326" spans="1:6" x14ac:dyDescent="0.25">
      <c r="A36326" s="1" t="str">
        <f t="shared" si="1310"/>
        <v>46520</v>
      </c>
      <c r="B36326" s="1" t="str">
        <f>"96807"</f>
        <v>96807</v>
      </c>
      <c r="C36326" s="2">
        <v>3.2749586321014802E-4</v>
      </c>
      <c r="D36326" s="2">
        <v>1.52722443559096E-3</v>
      </c>
      <c r="E36326" s="2">
        <v>5.5309734513274302E-5</v>
      </c>
      <c r="F36326" s="2">
        <v>4.1850274488564997E-4</v>
      </c>
    </row>
    <row r="36327" spans="1:6" x14ac:dyDescent="0.25">
      <c r="A36327" s="1" t="str">
        <f t="shared" si="1310"/>
        <v>46520</v>
      </c>
      <c r="B36327" s="1" t="str">
        <f>"96848"</f>
        <v>96848</v>
      </c>
      <c r="C36327" s="2">
        <v>0</v>
      </c>
      <c r="D36327" s="2">
        <v>2.2133687472332799E-4</v>
      </c>
      <c r="E36327" s="2">
        <v>1.9358407079646001E-4</v>
      </c>
      <c r="F36327" s="2">
        <v>3.4875228740470799E-5</v>
      </c>
    </row>
    <row r="36328" spans="1:6" x14ac:dyDescent="0.25">
      <c r="A36328" s="1" t="str">
        <f t="shared" si="1310"/>
        <v>46520</v>
      </c>
      <c r="B36328" s="1" t="str">
        <f>"96810"</f>
        <v>96810</v>
      </c>
      <c r="C36328" s="2">
        <v>3.9151761090536598E-4</v>
      </c>
      <c r="D36328" s="2">
        <v>9.0748118636564798E-4</v>
      </c>
      <c r="E36328" s="2">
        <v>5.5309734513274302E-5</v>
      </c>
      <c r="F36328" s="2">
        <v>4.1439977679853601E-4</v>
      </c>
    </row>
    <row r="36329" spans="1:6" x14ac:dyDescent="0.25">
      <c r="A36329" s="1" t="str">
        <f t="shared" si="1310"/>
        <v>46520</v>
      </c>
      <c r="B36329" s="1" t="str">
        <f>"96809"</f>
        <v>96809</v>
      </c>
      <c r="C36329" s="2">
        <v>3.9890473563942899E-4</v>
      </c>
      <c r="D36329" s="2">
        <v>1.7264276228419601E-3</v>
      </c>
      <c r="E36329" s="2">
        <v>5.5309734513274302E-5</v>
      </c>
      <c r="F36329" s="2">
        <v>4.9645913854081997E-4</v>
      </c>
    </row>
    <row r="36330" spans="1:6" x14ac:dyDescent="0.25">
      <c r="A36330" s="1" t="str">
        <f t="shared" si="1310"/>
        <v>46520</v>
      </c>
      <c r="B36330" s="1" t="str">
        <f>"96707"</f>
        <v>96707</v>
      </c>
      <c r="C36330" s="2">
        <v>3.9853537940272597E-2</v>
      </c>
      <c r="D36330" s="2">
        <v>3.6586985391766198E-2</v>
      </c>
      <c r="E36330" s="2">
        <v>5.3484513274336197E-2</v>
      </c>
      <c r="F36330" s="2">
        <v>4.0561942509211101E-2</v>
      </c>
    </row>
    <row r="36331" spans="1:6" x14ac:dyDescent="0.25">
      <c r="A36331" s="1" t="str">
        <f t="shared" si="1310"/>
        <v>46520</v>
      </c>
      <c r="B36331" s="1" t="str">
        <f>"96717"</f>
        <v>96717</v>
      </c>
      <c r="C36331" s="2">
        <v>3.4645615002757801E-3</v>
      </c>
      <c r="D36331" s="2">
        <v>3.54138999557326E-4</v>
      </c>
      <c r="E36331" s="2">
        <v>1.6869469026548601E-3</v>
      </c>
      <c r="F36331" s="2">
        <v>3.0444023206387498E-3</v>
      </c>
    </row>
    <row r="36332" spans="1:6" x14ac:dyDescent="0.25">
      <c r="A36332" s="1" t="str">
        <f t="shared" si="1310"/>
        <v>46520</v>
      </c>
      <c r="B36332" s="1" t="str">
        <f>"96789"</f>
        <v>96789</v>
      </c>
      <c r="C36332" s="2">
        <v>5.3536955322669597E-2</v>
      </c>
      <c r="D36332" s="2">
        <v>2.0517928286852501E-2</v>
      </c>
      <c r="E36332" s="2">
        <v>4.9087389380530901E-2</v>
      </c>
      <c r="F36332" s="2">
        <v>5.0146475960709903E-2</v>
      </c>
    </row>
    <row r="36333" spans="1:6" x14ac:dyDescent="0.25">
      <c r="A36333" s="1" t="str">
        <f t="shared" si="1310"/>
        <v>46520</v>
      </c>
      <c r="B36333" s="1" t="str">
        <f>"96762"</f>
        <v>96762</v>
      </c>
      <c r="C36333" s="2">
        <v>2.4599125364431402E-3</v>
      </c>
      <c r="D36333" s="2">
        <v>1.7264276228419601E-3</v>
      </c>
      <c r="E36333" s="2">
        <v>5.72455752212389E-3</v>
      </c>
      <c r="F36333" s="2">
        <v>2.6341055119273198E-3</v>
      </c>
    </row>
    <row r="36334" spans="1:6" x14ac:dyDescent="0.25">
      <c r="A36334" s="1" t="str">
        <f t="shared" si="1310"/>
        <v>46520</v>
      </c>
      <c r="B36334" s="1" t="str">
        <f>"96853"</f>
        <v>96853</v>
      </c>
      <c r="C36334" s="2">
        <v>2.2038255456622801E-3</v>
      </c>
      <c r="D36334" s="2">
        <v>1.5936254980079599E-3</v>
      </c>
      <c r="E36334" s="2">
        <v>4.0071902654867202E-2</v>
      </c>
      <c r="F36334" s="2">
        <v>4.9563854492339701E-3</v>
      </c>
    </row>
    <row r="36335" spans="1:6" x14ac:dyDescent="0.25">
      <c r="A36335" s="1" t="str">
        <f t="shared" si="1310"/>
        <v>46520</v>
      </c>
      <c r="B36335" s="1" t="str">
        <f>"96759"</f>
        <v>96759</v>
      </c>
      <c r="C36335" s="2">
        <v>0</v>
      </c>
      <c r="D36335" s="2">
        <v>1.1066843736166399E-4</v>
      </c>
      <c r="E36335" s="2">
        <v>2.76548672566371E-5</v>
      </c>
      <c r="F36335" s="2">
        <v>1.23089042613426E-5</v>
      </c>
    </row>
    <row r="36336" spans="1:6" x14ac:dyDescent="0.25">
      <c r="A36336" s="1" t="str">
        <f t="shared" si="1310"/>
        <v>46520</v>
      </c>
      <c r="B36336" s="1" t="str">
        <f>"96805"</f>
        <v>96805</v>
      </c>
      <c r="C36336" s="2">
        <v>3.4719486250098399E-4</v>
      </c>
      <c r="D36336" s="2">
        <v>1.3501549358122999E-3</v>
      </c>
      <c r="E36336" s="2">
        <v>5.5309734513274302E-5</v>
      </c>
      <c r="F36336" s="2">
        <v>4.1850274488564997E-4</v>
      </c>
    </row>
    <row r="36337" spans="1:6" x14ac:dyDescent="0.25">
      <c r="A36337" s="1" t="str">
        <f t="shared" si="1310"/>
        <v>46520</v>
      </c>
      <c r="B36337" s="1" t="str">
        <f>"96821"</f>
        <v>96821</v>
      </c>
      <c r="C36337" s="2">
        <v>1.78817666062564E-2</v>
      </c>
      <c r="D36337" s="2">
        <v>2.8331119964586102E-3</v>
      </c>
      <c r="E36337" s="2">
        <v>6.11172566371681E-3</v>
      </c>
      <c r="F36337" s="2">
        <v>1.5613845055513101E-2</v>
      </c>
    </row>
    <row r="36338" spans="1:6" x14ac:dyDescent="0.25">
      <c r="A36338" s="1" t="str">
        <f t="shared" ref="A36338:A36366" si="1311">"46520"</f>
        <v>46520</v>
      </c>
      <c r="B36338" s="1" t="str">
        <f>"96797"</f>
        <v>96797</v>
      </c>
      <c r="C36338" s="2">
        <v>5.5186746513277103E-2</v>
      </c>
      <c r="D36338" s="2">
        <v>4.90482514386896E-2</v>
      </c>
      <c r="E36338" s="2">
        <v>4.9170353982300803E-2</v>
      </c>
      <c r="F36338" s="2">
        <v>5.4171487654169001E-2</v>
      </c>
    </row>
    <row r="36339" spans="1:6" x14ac:dyDescent="0.25">
      <c r="A36339" s="1" t="str">
        <f t="shared" si="1311"/>
        <v>46520</v>
      </c>
      <c r="B36339" s="1" t="str">
        <f>"96817"</f>
        <v>96817</v>
      </c>
      <c r="C36339" s="2">
        <v>5.7301926562130602E-2</v>
      </c>
      <c r="D36339" s="2">
        <v>8.9176626826029198E-2</v>
      </c>
      <c r="E36339" s="2">
        <v>5.3318584070796399E-2</v>
      </c>
      <c r="F36339" s="2">
        <v>5.9960775625087101E-2</v>
      </c>
    </row>
    <row r="36340" spans="1:6" x14ac:dyDescent="0.25">
      <c r="A36340" s="1" t="str">
        <f t="shared" si="1311"/>
        <v>46520</v>
      </c>
      <c r="B36340" s="1" t="str">
        <f>"96811"</f>
        <v>96811</v>
      </c>
      <c r="C36340" s="2">
        <v>1.7236624379481501E-4</v>
      </c>
      <c r="D36340" s="2">
        <v>4.8694112439132299E-4</v>
      </c>
      <c r="E36340" s="2">
        <v>5.5309734513274302E-5</v>
      </c>
      <c r="F36340" s="2">
        <v>1.92839500094368E-4</v>
      </c>
    </row>
    <row r="36341" spans="1:6" x14ac:dyDescent="0.25">
      <c r="A36341" s="1" t="str">
        <f t="shared" si="1311"/>
        <v>46520</v>
      </c>
      <c r="B36341" s="1" t="str">
        <f>"96828"</f>
        <v>96828</v>
      </c>
      <c r="C36341" s="2">
        <v>2.5707194074540999E-3</v>
      </c>
      <c r="D36341" s="2">
        <v>8.6764054891544894E-3</v>
      </c>
      <c r="E36341" s="2">
        <v>5.5309734513274302E-5</v>
      </c>
      <c r="F36341" s="2">
        <v>2.95003405463512E-3</v>
      </c>
    </row>
    <row r="36342" spans="1:6" x14ac:dyDescent="0.25">
      <c r="A36342" s="1" t="str">
        <f t="shared" si="1311"/>
        <v>46520</v>
      </c>
      <c r="B36342" s="1" t="str">
        <f>"96801"</f>
        <v>96801</v>
      </c>
      <c r="C36342" s="2">
        <v>2.6101174060357701E-4</v>
      </c>
      <c r="D36342" s="2">
        <v>1.2837538733953E-3</v>
      </c>
      <c r="E36342" s="2">
        <v>5.5309734513274302E-5</v>
      </c>
      <c r="F36342" s="2">
        <v>3.4054635123047998E-4</v>
      </c>
    </row>
    <row r="36343" spans="1:6" x14ac:dyDescent="0.25">
      <c r="A36343" s="1" t="str">
        <f t="shared" si="1311"/>
        <v>46520</v>
      </c>
      <c r="B36343" s="1" t="str">
        <f>"96803"</f>
        <v>96803</v>
      </c>
      <c r="C36343" s="2">
        <v>3.6443148688046598E-4</v>
      </c>
      <c r="D36343" s="2">
        <v>1.2616201859229699E-3</v>
      </c>
      <c r="E36343" s="2">
        <v>5.5309734513274302E-5</v>
      </c>
      <c r="F36343" s="2">
        <v>4.2465719701632101E-4</v>
      </c>
    </row>
    <row r="36344" spans="1:6" x14ac:dyDescent="0.25">
      <c r="A36344" s="1" t="str">
        <f t="shared" si="1311"/>
        <v>46520</v>
      </c>
      <c r="B36344" s="1" t="str">
        <f>"96786"</f>
        <v>96786</v>
      </c>
      <c r="C36344" s="2">
        <v>3.8743006855251699E-2</v>
      </c>
      <c r="D36344" s="2">
        <v>1.82160247897299E-2</v>
      </c>
      <c r="E36344" s="2">
        <v>5.9845132743362797E-2</v>
      </c>
      <c r="F36344" s="2">
        <v>3.8405832779432603E-2</v>
      </c>
    </row>
    <row r="36345" spans="1:6" x14ac:dyDescent="0.25">
      <c r="A36345" s="1" t="str">
        <f t="shared" si="1311"/>
        <v>46520</v>
      </c>
      <c r="B36345" s="1" t="str">
        <f>"96858"</f>
        <v>96858</v>
      </c>
      <c r="C36345" s="2">
        <v>0</v>
      </c>
      <c r="D36345" s="2">
        <v>9.7388224878264696E-4</v>
      </c>
      <c r="E36345" s="2">
        <v>5.5309734513274302E-5</v>
      </c>
      <c r="F36345" s="2">
        <v>9.4368266003627005E-5</v>
      </c>
    </row>
    <row r="36346" spans="1:6" x14ac:dyDescent="0.25">
      <c r="A36346" s="1" t="str">
        <f t="shared" si="1311"/>
        <v>46520</v>
      </c>
      <c r="B36346" s="1" t="str">
        <f>"96802"</f>
        <v>96802</v>
      </c>
      <c r="C36346" s="2">
        <v>3.32420613032857E-4</v>
      </c>
      <c r="D36346" s="2">
        <v>1.43868968570163E-3</v>
      </c>
      <c r="E36346" s="2">
        <v>5.5309734513274302E-5</v>
      </c>
      <c r="F36346" s="2">
        <v>4.1439977679853601E-4</v>
      </c>
    </row>
    <row r="36347" spans="1:6" x14ac:dyDescent="0.25">
      <c r="A36347" s="1" t="str">
        <f t="shared" si="1311"/>
        <v>46520</v>
      </c>
      <c r="B36347" s="1" t="str">
        <f>"96812"</f>
        <v>96812</v>
      </c>
      <c r="C36347" s="2">
        <v>1.1376172090457801E-3</v>
      </c>
      <c r="D36347" s="2">
        <v>3.6520584329349198E-3</v>
      </c>
      <c r="E36347" s="2">
        <v>5.5309734513274302E-5</v>
      </c>
      <c r="F36347" s="2">
        <v>1.29038346339742E-3</v>
      </c>
    </row>
    <row r="36348" spans="1:6" x14ac:dyDescent="0.25">
      <c r="A36348" s="1" t="str">
        <f t="shared" si="1311"/>
        <v>46520</v>
      </c>
      <c r="B36348" s="1" t="str">
        <f>"96806"</f>
        <v>96806</v>
      </c>
      <c r="C36348" s="2">
        <v>3.0533448900795797E-4</v>
      </c>
      <c r="D36348" s="2">
        <v>1.8149623727312901E-3</v>
      </c>
      <c r="E36348" s="2">
        <v>5.5309734513274302E-5</v>
      </c>
      <c r="F36348" s="2">
        <v>4.2670868105987802E-4</v>
      </c>
    </row>
    <row r="36349" spans="1:6" x14ac:dyDescent="0.25">
      <c r="A36349" s="1" t="str">
        <f t="shared" si="1311"/>
        <v>46520</v>
      </c>
      <c r="B36349" s="1" t="str">
        <f>"96859"</f>
        <v>96859</v>
      </c>
      <c r="C36349" s="2">
        <v>0</v>
      </c>
      <c r="D36349" s="2">
        <v>6.6401062416998602E-5</v>
      </c>
      <c r="E36349" s="2">
        <v>8.2964601769911503E-5</v>
      </c>
      <c r="F36349" s="2">
        <v>1.23089042613426E-5</v>
      </c>
    </row>
    <row r="36350" spans="1:6" x14ac:dyDescent="0.25">
      <c r="A36350" s="1" t="str">
        <f t="shared" si="1311"/>
        <v>46520</v>
      </c>
      <c r="B36350" s="1" t="str">
        <f>"96712"</f>
        <v>96712</v>
      </c>
      <c r="C36350" s="2">
        <v>8.93103380348278E-3</v>
      </c>
      <c r="D36350" s="2">
        <v>1.19521912350597E-2</v>
      </c>
      <c r="E36350" s="2">
        <v>1.38550884955752E-2</v>
      </c>
      <c r="F36350" s="2">
        <v>9.5763275153245807E-3</v>
      </c>
    </row>
    <row r="36351" spans="1:6" x14ac:dyDescent="0.25">
      <c r="A36351" s="1" t="str">
        <f t="shared" si="1311"/>
        <v>46520</v>
      </c>
      <c r="B36351" s="1" t="str">
        <f>"96814"</f>
        <v>96814</v>
      </c>
      <c r="C36351" s="2">
        <v>3.6460385312426097E-2</v>
      </c>
      <c r="D36351" s="2">
        <v>9.5971668880035402E-2</v>
      </c>
      <c r="E36351" s="2">
        <v>2.7212389380530898E-2</v>
      </c>
      <c r="F36351" s="2">
        <v>4.1290219344673897E-2</v>
      </c>
    </row>
    <row r="36352" spans="1:6" x14ac:dyDescent="0.25">
      <c r="A36352" s="1" t="str">
        <f t="shared" si="1311"/>
        <v>46520</v>
      </c>
      <c r="B36352" s="1" t="str">
        <f>"96820"</f>
        <v>96820</v>
      </c>
      <c r="C36352" s="2">
        <v>3.16415176109053E-3</v>
      </c>
      <c r="D36352" s="2">
        <v>1.2704736609118999E-2</v>
      </c>
      <c r="E36352" s="2">
        <v>2.76548672566371E-5</v>
      </c>
      <c r="F36352" s="2">
        <v>3.8157603210162202E-3</v>
      </c>
    </row>
    <row r="36353" spans="1:6" x14ac:dyDescent="0.25">
      <c r="A36353" s="1" t="str">
        <f t="shared" si="1311"/>
        <v>46520</v>
      </c>
      <c r="B36353" s="1" t="str">
        <f>"96857"</f>
        <v>96857</v>
      </c>
      <c r="C36353" s="2">
        <v>2.4623749113544999E-6</v>
      </c>
      <c r="D36353" s="2">
        <v>3.7405931828242501E-3</v>
      </c>
      <c r="E36353" s="2">
        <v>8.2964601769911503E-4</v>
      </c>
      <c r="F36353" s="2">
        <v>4.1029680871142101E-4</v>
      </c>
    </row>
    <row r="36354" spans="1:6" x14ac:dyDescent="0.25">
      <c r="A36354" s="1" t="str">
        <f t="shared" si="1311"/>
        <v>46520</v>
      </c>
      <c r="B36354" s="1" t="str">
        <f>"96808"</f>
        <v>96808</v>
      </c>
      <c r="C36354" s="2">
        <v>3.2010873847608502E-4</v>
      </c>
      <c r="D36354" s="2">
        <v>1.68216024789729E-3</v>
      </c>
      <c r="E36354" s="2">
        <v>5.5309734513274302E-5</v>
      </c>
      <c r="F36354" s="2">
        <v>4.2670868105987802E-4</v>
      </c>
    </row>
    <row r="36355" spans="1:6" x14ac:dyDescent="0.25">
      <c r="A36355" s="1" t="str">
        <f t="shared" si="1311"/>
        <v>46520</v>
      </c>
      <c r="B36355" s="1" t="str">
        <f>"96854"</f>
        <v>96854</v>
      </c>
      <c r="C36355" s="2">
        <v>0</v>
      </c>
      <c r="D36355" s="2">
        <v>6.4187693669765303E-4</v>
      </c>
      <c r="E36355" s="2">
        <v>5.5309734513274302E-5</v>
      </c>
      <c r="F36355" s="2">
        <v>6.3596005350270295E-5</v>
      </c>
    </row>
    <row r="36356" spans="1:6" x14ac:dyDescent="0.25">
      <c r="A36356" s="1" t="str">
        <f t="shared" si="1311"/>
        <v>46520</v>
      </c>
      <c r="B36356" s="1" t="str">
        <f>"96804"</f>
        <v>96804</v>
      </c>
      <c r="C36356" s="2">
        <v>3.8166811125994699E-4</v>
      </c>
      <c r="D36356" s="2">
        <v>1.2394864984506401E-3</v>
      </c>
      <c r="E36356" s="2">
        <v>5.5309734513274302E-5</v>
      </c>
      <c r="F36356" s="2">
        <v>4.3696610127766399E-4</v>
      </c>
    </row>
    <row r="36357" spans="1:6" x14ac:dyDescent="0.25">
      <c r="A36357" s="1" t="str">
        <f t="shared" si="1311"/>
        <v>46520</v>
      </c>
      <c r="B36357" s="1" t="str">
        <f>"96813"</f>
        <v>96813</v>
      </c>
      <c r="C36357" s="2">
        <v>3.5256283980773698E-2</v>
      </c>
      <c r="D36357" s="2">
        <v>0.138667552014165</v>
      </c>
      <c r="E36357" s="2">
        <v>3.3047566371681401E-2</v>
      </c>
      <c r="F36357" s="2">
        <v>4.4677219500586701E-2</v>
      </c>
    </row>
    <row r="36358" spans="1:6" x14ac:dyDescent="0.25">
      <c r="A36358" s="1" t="str">
        <f t="shared" si="1311"/>
        <v>46520</v>
      </c>
      <c r="B36358" s="1" t="str">
        <f>"96823"</f>
        <v>96823</v>
      </c>
      <c r="C36358" s="2">
        <v>4.2180482231502598E-3</v>
      </c>
      <c r="D36358" s="2">
        <v>1.3346613545816699E-2</v>
      </c>
      <c r="E36358" s="2">
        <v>5.5309734513274302E-5</v>
      </c>
      <c r="F36358" s="2">
        <v>4.7553400129653704E-3</v>
      </c>
    </row>
    <row r="36359" spans="1:6" x14ac:dyDescent="0.25">
      <c r="A36359" s="1" t="str">
        <f t="shared" si="1311"/>
        <v>46520</v>
      </c>
      <c r="B36359" s="1" t="str">
        <f>"96706"</f>
        <v>96706</v>
      </c>
      <c r="C36359" s="2">
        <v>6.1768674651327703E-2</v>
      </c>
      <c r="D36359" s="2">
        <v>1.38114209827357E-2</v>
      </c>
      <c r="E36359" s="2">
        <v>4.4330752212389302E-2</v>
      </c>
      <c r="F36359" s="2">
        <v>5.6030132197631699E-2</v>
      </c>
    </row>
    <row r="36360" spans="1:6" x14ac:dyDescent="0.25">
      <c r="A36360" s="1" t="str">
        <f t="shared" si="1311"/>
        <v>46520</v>
      </c>
      <c r="B36360" s="1" t="str">
        <f>"96792"</f>
        <v>96792</v>
      </c>
      <c r="C36360" s="2">
        <v>4.2113998108896003E-2</v>
      </c>
      <c r="D36360" s="2">
        <v>1.58477202301903E-2</v>
      </c>
      <c r="E36360" s="2">
        <v>2.37278761061946E-2</v>
      </c>
      <c r="F36360" s="2">
        <v>3.83155674815161E-2</v>
      </c>
    </row>
    <row r="36361" spans="1:6" x14ac:dyDescent="0.25">
      <c r="A36361" s="1" t="str">
        <f t="shared" si="1311"/>
        <v>46520</v>
      </c>
      <c r="B36361" s="1" t="str">
        <f>"96818"</f>
        <v>96818</v>
      </c>
      <c r="C36361" s="2">
        <v>4.4837384760854103E-2</v>
      </c>
      <c r="D36361" s="2">
        <v>6.6843736166445301E-3</v>
      </c>
      <c r="E36361" s="2">
        <v>1.8473451327433599E-2</v>
      </c>
      <c r="F36361" s="2">
        <v>3.9345412471381701E-2</v>
      </c>
    </row>
    <row r="36362" spans="1:6" x14ac:dyDescent="0.25">
      <c r="A36362" s="1" t="str">
        <f t="shared" si="1311"/>
        <v>46520</v>
      </c>
      <c r="B36362" s="1" t="str">
        <f>"96826"</f>
        <v>96826</v>
      </c>
      <c r="C36362" s="2">
        <v>4.1353124261287497E-2</v>
      </c>
      <c r="D36362" s="2">
        <v>3.1761841522797603E-2</v>
      </c>
      <c r="E36362" s="2">
        <v>6.1753318584070703E-2</v>
      </c>
      <c r="F36362" s="2">
        <v>4.1977466499265502E-2</v>
      </c>
    </row>
    <row r="36363" spans="1:6" x14ac:dyDescent="0.25">
      <c r="A36363" s="1" t="str">
        <f t="shared" si="1311"/>
        <v>46520</v>
      </c>
      <c r="B36363" s="1" t="str">
        <f>"96791"</f>
        <v>96791</v>
      </c>
      <c r="C36363" s="2">
        <v>8.1898589551650698E-3</v>
      </c>
      <c r="D36363" s="2">
        <v>3.87339530765825E-3</v>
      </c>
      <c r="E36363" s="2">
        <v>9.0984513274336206E-3</v>
      </c>
      <c r="F36363" s="2">
        <v>7.8571838868237206E-3</v>
      </c>
    </row>
    <row r="36364" spans="1:6" x14ac:dyDescent="0.25">
      <c r="A36364" s="1" t="str">
        <f t="shared" si="1311"/>
        <v>46520</v>
      </c>
      <c r="B36364" s="1" t="str">
        <f>"96795"</f>
        <v>96795</v>
      </c>
      <c r="C36364" s="2">
        <v>7.6973839728941701E-3</v>
      </c>
      <c r="D36364" s="2">
        <v>4.53740593182824E-3</v>
      </c>
      <c r="E36364" s="2">
        <v>3.4015486725663701E-3</v>
      </c>
      <c r="F36364" s="2">
        <v>7.0858258864462502E-3</v>
      </c>
    </row>
    <row r="36365" spans="1:6" x14ac:dyDescent="0.25">
      <c r="A36365" s="1" t="str">
        <f t="shared" si="1311"/>
        <v>46520</v>
      </c>
      <c r="B36365" s="1" t="str">
        <f>"96830"</f>
        <v>96830</v>
      </c>
      <c r="C36365" s="2">
        <v>6.9365101252856299E-3</v>
      </c>
      <c r="D36365" s="2">
        <v>9.1190792386011497E-3</v>
      </c>
      <c r="E36365" s="2">
        <v>5.5309734513274302E-5</v>
      </c>
      <c r="F36365" s="2">
        <v>6.6283449447330101E-3</v>
      </c>
    </row>
    <row r="36366" spans="1:6" x14ac:dyDescent="0.25">
      <c r="A36366" s="1" t="str">
        <f t="shared" si="1311"/>
        <v>46520</v>
      </c>
      <c r="B36366" s="1" t="str">
        <f>"96837"</f>
        <v>96837</v>
      </c>
      <c r="C36366" s="2">
        <v>2.2924710424710401E-3</v>
      </c>
      <c r="D36366" s="2">
        <v>6.3966356795041998E-3</v>
      </c>
      <c r="E36366" s="2">
        <v>5.5309734513274302E-5</v>
      </c>
      <c r="F36366" s="2">
        <v>2.5069135012267801E-3</v>
      </c>
    </row>
    <row r="36367" spans="1:6" x14ac:dyDescent="0.25">
      <c r="A36367" s="1" t="str">
        <f t="shared" ref="A36367:A36398" si="1312">"46540"</f>
        <v>46540</v>
      </c>
      <c r="B36367" s="1" t="str">
        <f>"13303"</f>
        <v>13303</v>
      </c>
      <c r="C36367" s="2">
        <v>3.7881957386601299E-3</v>
      </c>
      <c r="D36367" s="2">
        <v>0</v>
      </c>
      <c r="E36367" s="2">
        <v>1.67348456675343E-3</v>
      </c>
      <c r="F36367" s="2">
        <v>3.4730547125995802E-3</v>
      </c>
    </row>
    <row r="36368" spans="1:6" x14ac:dyDescent="0.25">
      <c r="A36368" s="1" t="str">
        <f t="shared" si="1312"/>
        <v>46540</v>
      </c>
      <c r="B36368" s="1" t="str">
        <f>"13440"</f>
        <v>13440</v>
      </c>
      <c r="C36368" s="2">
        <v>0.144909897231878</v>
      </c>
      <c r="D36368" s="2">
        <v>0.146466856267775</v>
      </c>
      <c r="E36368" s="2">
        <v>0.202677575306805</v>
      </c>
      <c r="F36368" s="2">
        <v>0.14713558613792199</v>
      </c>
    </row>
    <row r="36369" spans="1:6" x14ac:dyDescent="0.25">
      <c r="A36369" s="1" t="str">
        <f t="shared" si="1312"/>
        <v>46540</v>
      </c>
      <c r="B36369" s="1" t="str">
        <f>"13477"</f>
        <v>13477</v>
      </c>
      <c r="C36369" s="2">
        <v>3.9859730262207004E-3</v>
      </c>
      <c r="D36369" s="2">
        <v>1.3126230584117201E-3</v>
      </c>
      <c r="E36369" s="2">
        <v>1.30159910747489E-3</v>
      </c>
      <c r="F36369" s="2">
        <v>3.7196621478137498E-3</v>
      </c>
    </row>
    <row r="36370" spans="1:6" x14ac:dyDescent="0.25">
      <c r="A36370" s="1" t="str">
        <f t="shared" si="1312"/>
        <v>46540</v>
      </c>
      <c r="B36370" s="1" t="str">
        <f>"13439"</f>
        <v>13439</v>
      </c>
      <c r="C36370" s="2">
        <v>3.3013593385110402E-3</v>
      </c>
      <c r="D36370" s="2">
        <v>9.8446729380879407E-4</v>
      </c>
      <c r="E36370" s="2">
        <v>1.8594272963927099E-4</v>
      </c>
      <c r="F36370" s="2">
        <v>3.0414917009747799E-3</v>
      </c>
    </row>
    <row r="36371" spans="1:6" x14ac:dyDescent="0.25">
      <c r="A36371" s="1" t="str">
        <f t="shared" si="1312"/>
        <v>46540</v>
      </c>
      <c r="B36371" s="1" t="str">
        <f>"13470"</f>
        <v>13470</v>
      </c>
      <c r="C36371" s="2">
        <v>4.3358866888278602E-4</v>
      </c>
      <c r="D36371" s="2">
        <v>0</v>
      </c>
      <c r="E36371" s="2">
        <v>0</v>
      </c>
      <c r="F36371" s="2">
        <v>3.9046177242243801E-4</v>
      </c>
    </row>
    <row r="36372" spans="1:6" x14ac:dyDescent="0.25">
      <c r="A36372" s="1" t="str">
        <f t="shared" si="1312"/>
        <v>46540</v>
      </c>
      <c r="B36372" s="1" t="str">
        <f>"13480"</f>
        <v>13480</v>
      </c>
      <c r="C36372" s="2">
        <v>1.0824503084565E-2</v>
      </c>
      <c r="D36372" s="2">
        <v>1.0391599212426101E-2</v>
      </c>
      <c r="E36372" s="2">
        <v>7.8095946448493801E-3</v>
      </c>
      <c r="F36372" s="2">
        <v>1.06863221926141E-2</v>
      </c>
    </row>
    <row r="36373" spans="1:6" x14ac:dyDescent="0.25">
      <c r="A36373" s="1" t="str">
        <f t="shared" si="1312"/>
        <v>46540</v>
      </c>
      <c r="B36373" s="1" t="str">
        <f>"13341"</f>
        <v>13341</v>
      </c>
      <c r="C36373" s="2">
        <v>0</v>
      </c>
      <c r="D36373" s="2">
        <v>0</v>
      </c>
      <c r="E36373" s="2">
        <v>1.8594272963927099E-4</v>
      </c>
      <c r="F36373" s="2">
        <v>6.8502065337269897E-6</v>
      </c>
    </row>
    <row r="36374" spans="1:6" x14ac:dyDescent="0.25">
      <c r="A36374" s="1" t="str">
        <f t="shared" si="1312"/>
        <v>46540</v>
      </c>
      <c r="B36374" s="1" t="str">
        <f>"13472"</f>
        <v>13472</v>
      </c>
      <c r="C36374" s="2">
        <v>7.6068187523295797E-4</v>
      </c>
      <c r="D36374" s="2">
        <v>0</v>
      </c>
      <c r="E36374" s="2">
        <v>1.8594272963927099E-4</v>
      </c>
      <c r="F36374" s="2">
        <v>6.9187085990642604E-4</v>
      </c>
    </row>
    <row r="36375" spans="1:6" x14ac:dyDescent="0.25">
      <c r="A36375" s="1" t="str">
        <f t="shared" si="1312"/>
        <v>46540</v>
      </c>
      <c r="B36375" s="1" t="str">
        <f>"13354"</f>
        <v>13354</v>
      </c>
      <c r="C36375" s="2">
        <v>9.7823689154958506E-3</v>
      </c>
      <c r="D36375" s="2">
        <v>3.28155764602931E-4</v>
      </c>
      <c r="E36375" s="2">
        <v>2.78914094458906E-3</v>
      </c>
      <c r="F36375" s="2">
        <v>8.9326693199799894E-3</v>
      </c>
    </row>
    <row r="36376" spans="1:6" x14ac:dyDescent="0.25">
      <c r="A36376" s="1" t="str">
        <f t="shared" si="1312"/>
        <v>46540</v>
      </c>
      <c r="B36376" s="1" t="str">
        <f>"13424"</f>
        <v>13424</v>
      </c>
      <c r="C36376" s="2">
        <v>6.26041183316725E-3</v>
      </c>
      <c r="D36376" s="2">
        <v>7.1100415663968401E-3</v>
      </c>
      <c r="E36376" s="2">
        <v>4.2766827817032303E-3</v>
      </c>
      <c r="F36376" s="2">
        <v>6.2405381522252796E-3</v>
      </c>
    </row>
    <row r="36377" spans="1:6" x14ac:dyDescent="0.25">
      <c r="A36377" s="1" t="str">
        <f t="shared" si="1312"/>
        <v>46540</v>
      </c>
      <c r="B36377" s="1" t="str">
        <f>"13360"</f>
        <v>13360</v>
      </c>
      <c r="C36377" s="2">
        <v>1.52136375046591E-5</v>
      </c>
      <c r="D36377" s="2">
        <v>0</v>
      </c>
      <c r="E36377" s="2">
        <v>0</v>
      </c>
      <c r="F36377" s="2">
        <v>1.37004130674539E-5</v>
      </c>
    </row>
    <row r="36378" spans="1:6" x14ac:dyDescent="0.25">
      <c r="A36378" s="1" t="str">
        <f t="shared" si="1312"/>
        <v>46540</v>
      </c>
      <c r="B36378" s="1" t="str">
        <f>"13479"</f>
        <v>13479</v>
      </c>
      <c r="C36378" s="2">
        <v>0</v>
      </c>
      <c r="D36378" s="2">
        <v>0</v>
      </c>
      <c r="E36378" s="2">
        <v>1.8594272963927099E-4</v>
      </c>
      <c r="F36378" s="2">
        <v>6.8502065337269897E-6</v>
      </c>
    </row>
    <row r="36379" spans="1:6" x14ac:dyDescent="0.25">
      <c r="A36379" s="1" t="str">
        <f t="shared" si="1312"/>
        <v>46540</v>
      </c>
      <c r="B36379" s="1" t="str">
        <f>"13504"</f>
        <v>13504</v>
      </c>
      <c r="C36379" s="2">
        <v>0</v>
      </c>
      <c r="D36379" s="2">
        <v>1.0938525486764301E-4</v>
      </c>
      <c r="E36379" s="2">
        <v>0</v>
      </c>
      <c r="F36379" s="2">
        <v>6.8502065337269897E-6</v>
      </c>
    </row>
    <row r="36380" spans="1:6" x14ac:dyDescent="0.25">
      <c r="A36380" s="1" t="str">
        <f t="shared" si="1312"/>
        <v>46540</v>
      </c>
      <c r="B36380" s="1" t="str">
        <f>"13319"</f>
        <v>13319</v>
      </c>
      <c r="C36380" s="2">
        <v>2.67760020082001E-3</v>
      </c>
      <c r="D36380" s="2">
        <v>1.09385254867643E-3</v>
      </c>
      <c r="E36380" s="2">
        <v>2.4172554853105202E-3</v>
      </c>
      <c r="F36380" s="2">
        <v>2.5688274501476198E-3</v>
      </c>
    </row>
    <row r="36381" spans="1:6" x14ac:dyDescent="0.25">
      <c r="A36381" s="1" t="str">
        <f t="shared" si="1312"/>
        <v>46540</v>
      </c>
      <c r="B36381" s="1" t="str">
        <f>"13331"</f>
        <v>13331</v>
      </c>
      <c r="C36381" s="2">
        <v>1.5898251192368799E-3</v>
      </c>
      <c r="D36381" s="2">
        <v>1.20323780354408E-3</v>
      </c>
      <c r="E36381" s="2">
        <v>1.8594272963927099E-4</v>
      </c>
      <c r="F36381" s="2">
        <v>1.5138956439536601E-3</v>
      </c>
    </row>
    <row r="36382" spans="1:6" x14ac:dyDescent="0.25">
      <c r="A36382" s="1" t="str">
        <f t="shared" si="1312"/>
        <v>46540</v>
      </c>
      <c r="B36382" s="1" t="str">
        <f>"13301"</f>
        <v>13301</v>
      </c>
      <c r="C36382" s="2">
        <v>3.11879568845513E-4</v>
      </c>
      <c r="D36382" s="2">
        <v>2.1877050973528699E-4</v>
      </c>
      <c r="E36382" s="2">
        <v>1.8594272963927099E-4</v>
      </c>
      <c r="F36382" s="2">
        <v>3.01409087483987E-4</v>
      </c>
    </row>
    <row r="36383" spans="1:6" x14ac:dyDescent="0.25">
      <c r="A36383" s="1" t="str">
        <f t="shared" si="1312"/>
        <v>46540</v>
      </c>
      <c r="B36383" s="1" t="str">
        <f>"13413"</f>
        <v>13413</v>
      </c>
      <c r="C36383" s="2">
        <v>5.5446101885730299E-2</v>
      </c>
      <c r="D36383" s="2">
        <v>0.105009844672938</v>
      </c>
      <c r="E36383" s="2">
        <v>4.44403123837857E-2</v>
      </c>
      <c r="F36383" s="2">
        <v>5.8144553058274699E-2</v>
      </c>
    </row>
    <row r="36384" spans="1:6" x14ac:dyDescent="0.25">
      <c r="A36384" s="1" t="str">
        <f t="shared" si="1312"/>
        <v>46540</v>
      </c>
      <c r="B36384" s="1" t="str">
        <f>"13309"</f>
        <v>13309</v>
      </c>
      <c r="C36384" s="2">
        <v>1.7335939936559099E-2</v>
      </c>
      <c r="D36384" s="2">
        <v>1.9798731131043499E-2</v>
      </c>
      <c r="E36384" s="2">
        <v>1.48754183711416E-2</v>
      </c>
      <c r="F36384" s="2">
        <v>1.7399524595666498E-2</v>
      </c>
    </row>
    <row r="36385" spans="1:6" x14ac:dyDescent="0.25">
      <c r="A36385" s="1" t="str">
        <f t="shared" si="1312"/>
        <v>46540</v>
      </c>
      <c r="B36385" s="1" t="str">
        <f>"13324"</f>
        <v>13324</v>
      </c>
      <c r="C36385" s="2">
        <v>8.2381847087729405E-3</v>
      </c>
      <c r="D36385" s="2">
        <v>1.20323780354408E-3</v>
      </c>
      <c r="E36385" s="2">
        <v>1.30159910747489E-3</v>
      </c>
      <c r="F36385" s="2">
        <v>7.5420773936334101E-3</v>
      </c>
    </row>
    <row r="36386" spans="1:6" x14ac:dyDescent="0.25">
      <c r="A36386" s="1" t="str">
        <f t="shared" si="1312"/>
        <v>46540</v>
      </c>
      <c r="B36386" s="1" t="str">
        <f>"13304"</f>
        <v>13304</v>
      </c>
      <c r="C36386" s="2">
        <v>5.0889617453084898E-3</v>
      </c>
      <c r="D36386" s="2">
        <v>9.5165171734850097E-3</v>
      </c>
      <c r="E36386" s="2">
        <v>2.4172554853105202E-3</v>
      </c>
      <c r="F36386" s="2">
        <v>5.2678088244360504E-3</v>
      </c>
    </row>
    <row r="36387" spans="1:6" x14ac:dyDescent="0.25">
      <c r="A36387" s="1" t="str">
        <f t="shared" si="1312"/>
        <v>46540</v>
      </c>
      <c r="B36387" s="1" t="str">
        <f>"13123"</f>
        <v>13123</v>
      </c>
      <c r="C36387" s="2">
        <v>6.7700686895733303E-4</v>
      </c>
      <c r="D36387" s="2">
        <v>0</v>
      </c>
      <c r="E36387" s="2">
        <v>1.11565637783562E-3</v>
      </c>
      <c r="F36387" s="2">
        <v>6.5076962070406404E-4</v>
      </c>
    </row>
    <row r="36388" spans="1:6" x14ac:dyDescent="0.25">
      <c r="A36388" s="1" t="str">
        <f t="shared" si="1312"/>
        <v>46540</v>
      </c>
      <c r="B36388" s="1" t="str">
        <f>"13501"</f>
        <v>13501</v>
      </c>
      <c r="C36388" s="2">
        <v>0.125968918538577</v>
      </c>
      <c r="D36388" s="2">
        <v>0.17271931743600899</v>
      </c>
      <c r="E36388" s="2">
        <v>0.195053923391595</v>
      </c>
      <c r="F36388" s="2">
        <v>0.131441762969153</v>
      </c>
    </row>
    <row r="36389" spans="1:6" x14ac:dyDescent="0.25">
      <c r="A36389" s="1" t="str">
        <f t="shared" si="1312"/>
        <v>46540</v>
      </c>
      <c r="B36389" s="1" t="str">
        <f>"13438"</f>
        <v>13438</v>
      </c>
      <c r="C36389" s="2">
        <v>1.35857782916606E-2</v>
      </c>
      <c r="D36389" s="2">
        <v>2.8440166265587298E-3</v>
      </c>
      <c r="E36389" s="2">
        <v>4.4626255113425E-3</v>
      </c>
      <c r="F36389" s="2">
        <v>1.25769791959227E-2</v>
      </c>
    </row>
    <row r="36390" spans="1:6" x14ac:dyDescent="0.25">
      <c r="A36390" s="1" t="str">
        <f t="shared" si="1312"/>
        <v>46540</v>
      </c>
      <c r="B36390" s="1" t="str">
        <f>"13489"</f>
        <v>13489</v>
      </c>
      <c r="C36390" s="2">
        <v>1.0649546253261401E-4</v>
      </c>
      <c r="D36390" s="2">
        <v>1.0938525486764301E-4</v>
      </c>
      <c r="E36390" s="2">
        <v>0</v>
      </c>
      <c r="F36390" s="2">
        <v>1.0275309800590399E-4</v>
      </c>
    </row>
    <row r="36391" spans="1:6" x14ac:dyDescent="0.25">
      <c r="A36391" s="1" t="str">
        <f t="shared" si="1312"/>
        <v>46540</v>
      </c>
      <c r="B36391" s="1" t="str">
        <f>"13328"</f>
        <v>13328</v>
      </c>
      <c r="C36391" s="2">
        <v>3.60563208860422E-3</v>
      </c>
      <c r="D36391" s="2">
        <v>1.64077882301465E-3</v>
      </c>
      <c r="E36391" s="2">
        <v>2.0453700260319799E-3</v>
      </c>
      <c r="F36391" s="2">
        <v>3.4251032668634902E-3</v>
      </c>
    </row>
    <row r="36392" spans="1:6" x14ac:dyDescent="0.25">
      <c r="A36392" s="1" t="str">
        <f t="shared" si="1312"/>
        <v>46540</v>
      </c>
      <c r="B36392" s="1" t="str">
        <f>"13352"</f>
        <v>13352</v>
      </c>
      <c r="C36392" s="2">
        <v>2.5102501882687597E-4</v>
      </c>
      <c r="D36392" s="2">
        <v>0</v>
      </c>
      <c r="E36392" s="2">
        <v>1.8594272963927099E-4</v>
      </c>
      <c r="F36392" s="2">
        <v>2.3290702214671699E-4</v>
      </c>
    </row>
    <row r="36393" spans="1:6" x14ac:dyDescent="0.25">
      <c r="A36393" s="1" t="str">
        <f t="shared" si="1312"/>
        <v>46540</v>
      </c>
      <c r="B36393" s="1" t="str">
        <f>"13475"</f>
        <v>13475</v>
      </c>
      <c r="C36393" s="2">
        <v>2.7384547508386498E-4</v>
      </c>
      <c r="D36393" s="2">
        <v>0</v>
      </c>
      <c r="E36393" s="2">
        <v>1.8594272963927099E-4</v>
      </c>
      <c r="F36393" s="2">
        <v>2.53457641747898E-4</v>
      </c>
    </row>
    <row r="36394" spans="1:6" x14ac:dyDescent="0.25">
      <c r="A36394" s="1" t="str">
        <f t="shared" si="1312"/>
        <v>46540</v>
      </c>
      <c r="B36394" s="1" t="str">
        <f>"13032"</f>
        <v>13032</v>
      </c>
      <c r="C36394" s="2">
        <v>5.7051140642471897E-4</v>
      </c>
      <c r="D36394" s="2">
        <v>0</v>
      </c>
      <c r="E36394" s="2">
        <v>7.4377091855708395E-4</v>
      </c>
      <c r="F36394" s="2">
        <v>5.4116631616443203E-4</v>
      </c>
    </row>
    <row r="36395" spans="1:6" x14ac:dyDescent="0.25">
      <c r="A36395" s="1" t="str">
        <f t="shared" si="1312"/>
        <v>46540</v>
      </c>
      <c r="B36395" s="1" t="str">
        <f>"13469"</f>
        <v>13469</v>
      </c>
      <c r="C36395" s="2">
        <v>2.03862742562432E-3</v>
      </c>
      <c r="D36395" s="2">
        <v>1.4220083132793599E-3</v>
      </c>
      <c r="E36395" s="2">
        <v>1.30159910747489E-3</v>
      </c>
      <c r="F36395" s="2">
        <v>1.9728594817133701E-3</v>
      </c>
    </row>
    <row r="36396" spans="1:6" x14ac:dyDescent="0.25">
      <c r="A36396" s="1" t="str">
        <f t="shared" si="1312"/>
        <v>46540</v>
      </c>
      <c r="B36396" s="1" t="str">
        <f>"13365"</f>
        <v>13365</v>
      </c>
      <c r="C36396" s="2">
        <v>3.3089661572633697E-2</v>
      </c>
      <c r="D36396" s="2">
        <v>3.2815576460293101E-2</v>
      </c>
      <c r="E36396" s="2">
        <v>3.9419858683525398E-2</v>
      </c>
      <c r="F36396" s="2">
        <v>3.3305704166980601E-2</v>
      </c>
    </row>
    <row r="36397" spans="1:6" x14ac:dyDescent="0.25">
      <c r="A36397" s="1" t="str">
        <f t="shared" si="1312"/>
        <v>46540</v>
      </c>
      <c r="B36397" s="1" t="str">
        <f>"13407"</f>
        <v>13407</v>
      </c>
      <c r="C36397" s="2">
        <v>1.8659526399464402E-2</v>
      </c>
      <c r="D36397" s="2">
        <v>1.26886895646466E-2</v>
      </c>
      <c r="E36397" s="2">
        <v>2.34287839345481E-2</v>
      </c>
      <c r="F36397" s="2">
        <v>1.84613066083942E-2</v>
      </c>
    </row>
    <row r="36398" spans="1:6" x14ac:dyDescent="0.25">
      <c r="A36398" s="1" t="str">
        <f t="shared" si="1312"/>
        <v>46540</v>
      </c>
      <c r="B36398" s="1" t="str">
        <f>"13363"</f>
        <v>13363</v>
      </c>
      <c r="C36398" s="2">
        <v>7.3253664584933898E-3</v>
      </c>
      <c r="D36398" s="2">
        <v>1.9689345876175799E-3</v>
      </c>
      <c r="E36398" s="2">
        <v>2.23131275567125E-3</v>
      </c>
      <c r="F36398" s="2">
        <v>6.8022550879909003E-3</v>
      </c>
    </row>
    <row r="36399" spans="1:6" x14ac:dyDescent="0.25">
      <c r="A36399" s="1" t="str">
        <f t="shared" ref="A36399:A36430" si="1313">"46540"</f>
        <v>46540</v>
      </c>
      <c r="B36399" s="1" t="str">
        <f>"13425"</f>
        <v>13425</v>
      </c>
      <c r="C36399" s="2">
        <v>5.5073367766866202E-3</v>
      </c>
      <c r="D36399" s="2">
        <v>8.7508203894115001E-4</v>
      </c>
      <c r="E36399" s="2">
        <v>1.4875418371141601E-3</v>
      </c>
      <c r="F36399" s="2">
        <v>5.0691528349579703E-3</v>
      </c>
    </row>
    <row r="36400" spans="1:6" x14ac:dyDescent="0.25">
      <c r="A36400" s="1" t="str">
        <f t="shared" si="1313"/>
        <v>46540</v>
      </c>
      <c r="B36400" s="1" t="str">
        <f>"13318"</f>
        <v>13318</v>
      </c>
      <c r="C36400" s="2">
        <v>4.0620412137439997E-3</v>
      </c>
      <c r="D36400" s="2">
        <v>8.7508203894115001E-4</v>
      </c>
      <c r="E36400" s="2">
        <v>7.4377091855708395E-4</v>
      </c>
      <c r="F36400" s="2">
        <v>3.7402127674149299E-3</v>
      </c>
    </row>
    <row r="36401" spans="1:6" x14ac:dyDescent="0.25">
      <c r="A36401" s="1" t="str">
        <f t="shared" si="1313"/>
        <v>46540</v>
      </c>
      <c r="B36401" s="1" t="str">
        <f>"13486"</f>
        <v>13486</v>
      </c>
      <c r="C36401" s="2">
        <v>2.3809342694791598E-3</v>
      </c>
      <c r="D36401" s="2">
        <v>2.1877050973528699E-4</v>
      </c>
      <c r="E36401" s="2">
        <v>1.30159910747489E-3</v>
      </c>
      <c r="F36401" s="2">
        <v>2.20576650386009E-3</v>
      </c>
    </row>
    <row r="36402" spans="1:6" x14ac:dyDescent="0.25">
      <c r="A36402" s="1" t="str">
        <f t="shared" si="1313"/>
        <v>46540</v>
      </c>
      <c r="B36402" s="1" t="str">
        <f>"13441"</f>
        <v>13441</v>
      </c>
      <c r="C36402" s="2">
        <v>1.3464069191623301E-3</v>
      </c>
      <c r="D36402" s="2">
        <v>1.52045504266024E-2</v>
      </c>
      <c r="E36402" s="2">
        <v>4.2766827817032303E-3</v>
      </c>
      <c r="F36402" s="2">
        <v>2.3222200149334501E-3</v>
      </c>
    </row>
    <row r="36403" spans="1:6" x14ac:dyDescent="0.25">
      <c r="A36403" s="1" t="str">
        <f t="shared" si="1313"/>
        <v>46540</v>
      </c>
      <c r="B36403" s="1" t="str">
        <f>"13042"</f>
        <v>13042</v>
      </c>
      <c r="C36403" s="2">
        <v>6.0398140893496901E-3</v>
      </c>
      <c r="D36403" s="2">
        <v>1.20323780354408E-3</v>
      </c>
      <c r="E36403" s="2">
        <v>1.67348456675343E-3</v>
      </c>
      <c r="F36403" s="2">
        <v>5.5760681184537702E-3</v>
      </c>
    </row>
    <row r="36404" spans="1:6" x14ac:dyDescent="0.25">
      <c r="A36404" s="1" t="str">
        <f t="shared" si="1313"/>
        <v>46540</v>
      </c>
      <c r="B36404" s="1" t="str">
        <f>"13329"</f>
        <v>13329</v>
      </c>
      <c r="C36404" s="2">
        <v>9.9421121092947706E-3</v>
      </c>
      <c r="D36404" s="2">
        <v>1.2032378035440799E-2</v>
      </c>
      <c r="E36404" s="2">
        <v>7.4377091855708398E-3</v>
      </c>
      <c r="F36404" s="2">
        <v>9.9807509196402199E-3</v>
      </c>
    </row>
    <row r="36405" spans="1:6" x14ac:dyDescent="0.25">
      <c r="A36405" s="1" t="str">
        <f t="shared" si="1313"/>
        <v>46540</v>
      </c>
      <c r="B36405" s="1" t="str">
        <f>"13350"</f>
        <v>13350</v>
      </c>
      <c r="C36405" s="2">
        <v>3.5850936779729302E-2</v>
      </c>
      <c r="D36405" s="2">
        <v>6.0380660686939397E-2</v>
      </c>
      <c r="E36405" s="2">
        <v>5.2621792487913703E-2</v>
      </c>
      <c r="F36405" s="2">
        <v>3.8004945849117303E-2</v>
      </c>
    </row>
    <row r="36406" spans="1:6" x14ac:dyDescent="0.25">
      <c r="A36406" s="1" t="str">
        <f t="shared" si="1313"/>
        <v>46540</v>
      </c>
      <c r="B36406" s="1" t="str">
        <f>"13403"</f>
        <v>13403</v>
      </c>
      <c r="C36406" s="2">
        <v>1.4688767010748401E-2</v>
      </c>
      <c r="D36406" s="2">
        <v>9.9540581929555803E-3</v>
      </c>
      <c r="E36406" s="2">
        <v>1.6548902937895099E-2</v>
      </c>
      <c r="F36406" s="2">
        <v>1.44607859926976E-2</v>
      </c>
    </row>
    <row r="36407" spans="1:6" x14ac:dyDescent="0.25">
      <c r="A36407" s="1" t="str">
        <f t="shared" si="1313"/>
        <v>46540</v>
      </c>
      <c r="B36407" s="1" t="str">
        <f>"13338"</f>
        <v>13338</v>
      </c>
      <c r="C36407" s="2">
        <v>6.3669072956998602E-3</v>
      </c>
      <c r="D36407" s="2">
        <v>2.5158608619558001E-3</v>
      </c>
      <c r="E36407" s="2">
        <v>1.8594272963927099E-4</v>
      </c>
      <c r="F36407" s="2">
        <v>5.8980278255389299E-3</v>
      </c>
    </row>
    <row r="36408" spans="1:6" x14ac:dyDescent="0.25">
      <c r="A36408" s="1" t="str">
        <f t="shared" si="1313"/>
        <v>46540</v>
      </c>
      <c r="B36408" s="1" t="str">
        <f>"13490"</f>
        <v>13490</v>
      </c>
      <c r="C36408" s="2">
        <v>3.3393934322726799E-3</v>
      </c>
      <c r="D36408" s="2">
        <v>3.39094290089695E-3</v>
      </c>
      <c r="E36408" s="2">
        <v>9.2971364819635497E-4</v>
      </c>
      <c r="F36408" s="2">
        <v>3.2538481035203201E-3</v>
      </c>
    </row>
    <row r="36409" spans="1:6" x14ac:dyDescent="0.25">
      <c r="A36409" s="1" t="str">
        <f t="shared" si="1313"/>
        <v>46540</v>
      </c>
      <c r="B36409" s="1" t="str">
        <f>"13471"</f>
        <v>13471</v>
      </c>
      <c r="C36409" s="2">
        <v>1.04441621469485E-2</v>
      </c>
      <c r="D36409" s="2">
        <v>1.8595493327499401E-3</v>
      </c>
      <c r="E36409" s="2">
        <v>3.1610264038675999E-3</v>
      </c>
      <c r="F36409" s="2">
        <v>9.6382405929538693E-3</v>
      </c>
    </row>
    <row r="36410" spans="1:6" x14ac:dyDescent="0.25">
      <c r="A36410" s="1" t="str">
        <f t="shared" si="1313"/>
        <v>46540</v>
      </c>
      <c r="B36410" s="1" t="str">
        <f>"13339"</f>
        <v>13339</v>
      </c>
      <c r="C36410" s="2">
        <v>2.0005933318626799E-3</v>
      </c>
      <c r="D36410" s="2">
        <v>3.28155764602931E-4</v>
      </c>
      <c r="E36410" s="2">
        <v>0</v>
      </c>
      <c r="F36410" s="2">
        <v>1.8221549379713699E-3</v>
      </c>
    </row>
    <row r="36411" spans="1:6" x14ac:dyDescent="0.25">
      <c r="A36411" s="1" t="str">
        <f t="shared" si="1313"/>
        <v>46540</v>
      </c>
      <c r="B36411" s="1" t="str">
        <f>"13340"</f>
        <v>13340</v>
      </c>
      <c r="C36411" s="2">
        <v>2.6730361095686099E-2</v>
      </c>
      <c r="D36411" s="2">
        <v>2.3189674031940399E-2</v>
      </c>
      <c r="E36411" s="2">
        <v>2.1197471178876898E-2</v>
      </c>
      <c r="F36411" s="2">
        <v>2.6304793089511599E-2</v>
      </c>
    </row>
    <row r="36412" spans="1:6" x14ac:dyDescent="0.25">
      <c r="A36412" s="1" t="str">
        <f t="shared" si="1313"/>
        <v>46540</v>
      </c>
      <c r="B36412" s="1" t="str">
        <f>"13157"</f>
        <v>13157</v>
      </c>
      <c r="C36412" s="2">
        <v>2.5711047382873998E-3</v>
      </c>
      <c r="D36412" s="2">
        <v>0</v>
      </c>
      <c r="E36412" s="2">
        <v>9.2971364819635497E-4</v>
      </c>
      <c r="F36412" s="2">
        <v>2.3496208410683501E-3</v>
      </c>
    </row>
    <row r="36413" spans="1:6" x14ac:dyDescent="0.25">
      <c r="A36413" s="1" t="str">
        <f t="shared" si="1313"/>
        <v>46540</v>
      </c>
      <c r="B36413" s="1" t="str">
        <f>"13162"</f>
        <v>13162</v>
      </c>
      <c r="C36413" s="2">
        <v>1.14862963160176E-3</v>
      </c>
      <c r="D36413" s="2">
        <v>2.1877050973528699E-4</v>
      </c>
      <c r="E36413" s="2">
        <v>1.8594272963927099E-4</v>
      </c>
      <c r="F36413" s="2">
        <v>1.05493180619395E-3</v>
      </c>
    </row>
    <row r="36414" spans="1:6" x14ac:dyDescent="0.25">
      <c r="A36414" s="1" t="str">
        <f t="shared" si="1313"/>
        <v>46540</v>
      </c>
      <c r="B36414" s="1" t="str">
        <f>"13316"</f>
        <v>13316</v>
      </c>
      <c r="C36414" s="2">
        <v>2.0142856056168699E-2</v>
      </c>
      <c r="D36414" s="2">
        <v>1.4657624152264201E-2</v>
      </c>
      <c r="E36414" s="2">
        <v>1.46894756415024E-2</v>
      </c>
      <c r="F36414" s="2">
        <v>1.95984408929929E-2</v>
      </c>
    </row>
    <row r="36415" spans="1:6" x14ac:dyDescent="0.25">
      <c r="A36415" s="1" t="str">
        <f t="shared" si="1313"/>
        <v>46540</v>
      </c>
      <c r="B36415" s="1" t="str">
        <f>"13492"</f>
        <v>13492</v>
      </c>
      <c r="C36415" s="2">
        <v>4.0095541643529201E-2</v>
      </c>
      <c r="D36415" s="2">
        <v>2.9205863049660899E-2</v>
      </c>
      <c r="E36415" s="2">
        <v>2.4730383042023001E-2</v>
      </c>
      <c r="F36415" s="2">
        <v>3.88475212527657E-2</v>
      </c>
    </row>
    <row r="36416" spans="1:6" x14ac:dyDescent="0.25">
      <c r="A36416" s="1" t="str">
        <f t="shared" si="1313"/>
        <v>46540</v>
      </c>
      <c r="B36416" s="1" t="str">
        <f>"13435"</f>
        <v>13435</v>
      </c>
      <c r="C36416" s="2">
        <v>1.0117068940598301E-3</v>
      </c>
      <c r="D36416" s="2">
        <v>9.8446729380879407E-4</v>
      </c>
      <c r="E36416" s="2">
        <v>1.8594272963927099E-4</v>
      </c>
      <c r="F36416" s="2">
        <v>9.795795343229591E-4</v>
      </c>
    </row>
    <row r="36417" spans="1:6" x14ac:dyDescent="0.25">
      <c r="A36417" s="1" t="str">
        <f t="shared" si="1313"/>
        <v>46540</v>
      </c>
      <c r="B36417" s="1" t="str">
        <f>"13321"</f>
        <v>13321</v>
      </c>
      <c r="C36417" s="2">
        <v>3.2633252447493901E-3</v>
      </c>
      <c r="D36417" s="2">
        <v>0</v>
      </c>
      <c r="E36417" s="2">
        <v>1.8594272963927099E-4</v>
      </c>
      <c r="F36417" s="2">
        <v>2.9455888095025998E-3</v>
      </c>
    </row>
    <row r="36418" spans="1:6" x14ac:dyDescent="0.25">
      <c r="A36418" s="1" t="str">
        <f t="shared" si="1313"/>
        <v>46540</v>
      </c>
      <c r="B36418" s="1" t="str">
        <f>"13416"</f>
        <v>13416</v>
      </c>
      <c r="C36418" s="2">
        <v>7.2645119084747498E-3</v>
      </c>
      <c r="D36418" s="2">
        <v>9.8446729380879407E-4</v>
      </c>
      <c r="E36418" s="2">
        <v>2.4172554853105202E-3</v>
      </c>
      <c r="F36418" s="2">
        <v>6.69265178345127E-3</v>
      </c>
    </row>
    <row r="36419" spans="1:6" x14ac:dyDescent="0.25">
      <c r="A36419" s="1" t="str">
        <f t="shared" si="1313"/>
        <v>46540</v>
      </c>
      <c r="B36419" s="1" t="str">
        <f>"13361"</f>
        <v>13361</v>
      </c>
      <c r="C36419" s="2">
        <v>1.65828648800785E-3</v>
      </c>
      <c r="D36419" s="2">
        <v>5.4692627433821901E-4</v>
      </c>
      <c r="E36419" s="2">
        <v>5.5782818891781305E-4</v>
      </c>
      <c r="F36419" s="2">
        <v>1.5481466766223001E-3</v>
      </c>
    </row>
    <row r="36420" spans="1:6" x14ac:dyDescent="0.25">
      <c r="A36420" s="1" t="str">
        <f t="shared" si="1313"/>
        <v>46540</v>
      </c>
      <c r="B36420" s="1" t="str">
        <f>"13456"</f>
        <v>13456</v>
      </c>
      <c r="C36420" s="2">
        <v>1.2513216847582101E-2</v>
      </c>
      <c r="D36420" s="2">
        <v>2.8440166265587298E-3</v>
      </c>
      <c r="E36420" s="2">
        <v>3.5329118631461502E-3</v>
      </c>
      <c r="F36420" s="2">
        <v>1.1576849041998599E-2</v>
      </c>
    </row>
    <row r="36421" spans="1:6" x14ac:dyDescent="0.25">
      <c r="A36421" s="1" t="str">
        <f t="shared" si="1313"/>
        <v>46540</v>
      </c>
      <c r="B36421" s="1" t="str">
        <f>"13476"</f>
        <v>13476</v>
      </c>
      <c r="C36421" s="2">
        <v>8.6869870151603801E-3</v>
      </c>
      <c r="D36421" s="2">
        <v>3.9378691752351702E-3</v>
      </c>
      <c r="E36421" s="2">
        <v>2.4172554853105202E-3</v>
      </c>
      <c r="F36421" s="2">
        <v>8.1585959816688394E-3</v>
      </c>
    </row>
    <row r="36422" spans="1:6" x14ac:dyDescent="0.25">
      <c r="A36422" s="1" t="str">
        <f t="shared" si="1313"/>
        <v>46540</v>
      </c>
      <c r="B36422" s="1" t="str">
        <f>"13494"</f>
        <v>13494</v>
      </c>
      <c r="C36422" s="2">
        <v>1.35401373791466E-3</v>
      </c>
      <c r="D36422" s="2">
        <v>8.7508203894115001E-4</v>
      </c>
      <c r="E36422" s="2">
        <v>5.5782818891781305E-4</v>
      </c>
      <c r="F36422" s="2">
        <v>1.2946890348743999E-3</v>
      </c>
    </row>
    <row r="36423" spans="1:6" x14ac:dyDescent="0.25">
      <c r="A36423" s="1" t="str">
        <f t="shared" si="1313"/>
        <v>46540</v>
      </c>
      <c r="B36423" s="1" t="str">
        <f>"13401"</f>
        <v>13401</v>
      </c>
      <c r="C36423" s="2">
        <v>0</v>
      </c>
      <c r="D36423" s="2">
        <v>1.0938525486764301E-4</v>
      </c>
      <c r="E36423" s="2">
        <v>1.8594272963927099E-4</v>
      </c>
      <c r="F36423" s="2">
        <v>1.37004130674539E-5</v>
      </c>
    </row>
    <row r="36424" spans="1:6" x14ac:dyDescent="0.25">
      <c r="A36424" s="1" t="str">
        <f t="shared" si="1313"/>
        <v>46540</v>
      </c>
      <c r="B36424" s="1" t="str">
        <f>"13362"</f>
        <v>13362</v>
      </c>
      <c r="C36424" s="2">
        <v>0</v>
      </c>
      <c r="D36424" s="2">
        <v>0</v>
      </c>
      <c r="E36424" s="2">
        <v>1.8594272963927099E-4</v>
      </c>
      <c r="F36424" s="2">
        <v>6.8502065337269897E-6</v>
      </c>
    </row>
    <row r="36425" spans="1:6" x14ac:dyDescent="0.25">
      <c r="A36425" s="1" t="str">
        <f t="shared" si="1313"/>
        <v>46540</v>
      </c>
      <c r="B36425" s="1" t="str">
        <f>"13454"</f>
        <v>13454</v>
      </c>
      <c r="C36425" s="2">
        <v>1.42247510668563E-3</v>
      </c>
      <c r="D36425" s="2">
        <v>3.28155764602931E-4</v>
      </c>
      <c r="E36425" s="2">
        <v>1.8594272963927099E-4</v>
      </c>
      <c r="F36425" s="2">
        <v>1.3083894479418499E-3</v>
      </c>
    </row>
    <row r="36426" spans="1:6" x14ac:dyDescent="0.25">
      <c r="A36426" s="1" t="str">
        <f t="shared" si="1313"/>
        <v>46540</v>
      </c>
      <c r="B36426" s="1" t="str">
        <f>"13409"</f>
        <v>13409</v>
      </c>
      <c r="C36426" s="2">
        <v>3.95554575121138E-4</v>
      </c>
      <c r="D36426" s="2">
        <v>1.0938525486764301E-4</v>
      </c>
      <c r="E36426" s="2">
        <v>0</v>
      </c>
      <c r="F36426" s="2">
        <v>3.6306094628753001E-4</v>
      </c>
    </row>
    <row r="36427" spans="1:6" x14ac:dyDescent="0.25">
      <c r="A36427" s="1" t="str">
        <f t="shared" si="1313"/>
        <v>46540</v>
      </c>
      <c r="B36427" s="1" t="str">
        <f>"13402"</f>
        <v>13402</v>
      </c>
      <c r="C36427" s="2">
        <v>9.1281825027954993E-5</v>
      </c>
      <c r="D36427" s="2">
        <v>0</v>
      </c>
      <c r="E36427" s="2">
        <v>0</v>
      </c>
      <c r="F36427" s="2">
        <v>8.22024784047239E-5</v>
      </c>
    </row>
    <row r="36428" spans="1:6" x14ac:dyDescent="0.25">
      <c r="A36428" s="1" t="str">
        <f t="shared" si="1313"/>
        <v>46540</v>
      </c>
      <c r="B36428" s="1" t="str">
        <f>"13420"</f>
        <v>13420</v>
      </c>
      <c r="C36428" s="2">
        <v>7.9719460524414008E-3</v>
      </c>
      <c r="D36428" s="2">
        <v>4.4847954495733904E-3</v>
      </c>
      <c r="E36428" s="2">
        <v>2.4172554853105202E-3</v>
      </c>
      <c r="F36428" s="2">
        <v>7.5489276001671404E-3</v>
      </c>
    </row>
    <row r="36429" spans="1:6" x14ac:dyDescent="0.25">
      <c r="A36429" s="1" t="str">
        <f t="shared" si="1313"/>
        <v>46540</v>
      </c>
      <c r="B36429" s="1" t="str">
        <f>"13322"</f>
        <v>13322</v>
      </c>
      <c r="C36429" s="2">
        <v>4.1609298575242797E-3</v>
      </c>
      <c r="D36429" s="2">
        <v>8.7508203894115001E-4</v>
      </c>
      <c r="E36429" s="2">
        <v>1.8594272963927099E-4</v>
      </c>
      <c r="F36429" s="2">
        <v>3.8087148327522E-3</v>
      </c>
    </row>
    <row r="36430" spans="1:6" x14ac:dyDescent="0.25">
      <c r="A36430" s="1" t="str">
        <f t="shared" si="1313"/>
        <v>46540</v>
      </c>
      <c r="B36430" s="1" t="str">
        <f>"13308"</f>
        <v>13308</v>
      </c>
      <c r="C36430" s="2">
        <v>1.1813389522367801E-2</v>
      </c>
      <c r="D36430" s="2">
        <v>2.9534018814263798E-3</v>
      </c>
      <c r="E36430" s="2">
        <v>8.5533655634064693E-3</v>
      </c>
      <c r="F36430" s="2">
        <v>1.113843582384E-2</v>
      </c>
    </row>
    <row r="36431" spans="1:6" x14ac:dyDescent="0.25">
      <c r="A36431" s="1" t="str">
        <f t="shared" ref="A36431:A36446" si="1314">"46540"</f>
        <v>46540</v>
      </c>
      <c r="B36431" s="1" t="str">
        <f>"13495"</f>
        <v>13495</v>
      </c>
      <c r="C36431" s="2">
        <v>7.4775028335399797E-3</v>
      </c>
      <c r="D36431" s="2">
        <v>2.29709035222052E-2</v>
      </c>
      <c r="E36431" s="2">
        <v>8.5533655634064693E-3</v>
      </c>
      <c r="F36431" s="2">
        <v>8.4874058952877397E-3</v>
      </c>
    </row>
    <row r="36432" spans="1:6" x14ac:dyDescent="0.25">
      <c r="A36432" s="1" t="str">
        <f t="shared" si="1314"/>
        <v>46540</v>
      </c>
      <c r="B36432" s="1" t="str">
        <f>"13491"</f>
        <v>13491</v>
      </c>
      <c r="C36432" s="2">
        <v>6.3669072956998602E-3</v>
      </c>
      <c r="D36432" s="2">
        <v>2.4064756070881601E-3</v>
      </c>
      <c r="E36432" s="2">
        <v>9.2971364819635497E-4</v>
      </c>
      <c r="F36432" s="2">
        <v>5.9185784451401199E-3</v>
      </c>
    </row>
    <row r="36433" spans="1:6" x14ac:dyDescent="0.25">
      <c r="A36433" s="1" t="str">
        <f t="shared" si="1314"/>
        <v>46540</v>
      </c>
      <c r="B36433" s="1" t="str">
        <f>"13455"</f>
        <v>13455</v>
      </c>
      <c r="C36433" s="2">
        <v>0</v>
      </c>
      <c r="D36433" s="2">
        <v>0</v>
      </c>
      <c r="E36433" s="2">
        <v>1.8594272963927099E-4</v>
      </c>
      <c r="F36433" s="2">
        <v>6.8502065337269897E-6</v>
      </c>
    </row>
    <row r="36434" spans="1:6" x14ac:dyDescent="0.25">
      <c r="A36434" s="1" t="str">
        <f t="shared" si="1314"/>
        <v>46540</v>
      </c>
      <c r="B36434" s="1" t="str">
        <f>"13483"</f>
        <v>13483</v>
      </c>
      <c r="C36434" s="2">
        <v>8.5957051901324301E-4</v>
      </c>
      <c r="D36434" s="2">
        <v>2.1877050973528699E-4</v>
      </c>
      <c r="E36434" s="2">
        <v>9.2971364819635497E-4</v>
      </c>
      <c r="F36434" s="2">
        <v>8.22024784047239E-4</v>
      </c>
    </row>
    <row r="36435" spans="1:6" x14ac:dyDescent="0.25">
      <c r="A36435" s="1" t="str">
        <f t="shared" si="1314"/>
        <v>46540</v>
      </c>
      <c r="B36435" s="1" t="str">
        <f>"13367"</f>
        <v>13367</v>
      </c>
      <c r="C36435" s="2">
        <v>1.90170468808239E-4</v>
      </c>
      <c r="D36435" s="2">
        <v>4.37541019470575E-4</v>
      </c>
      <c r="E36435" s="2">
        <v>0</v>
      </c>
      <c r="F36435" s="2">
        <v>1.9865598947808199E-4</v>
      </c>
    </row>
    <row r="36436" spans="1:6" x14ac:dyDescent="0.25">
      <c r="A36436" s="1" t="str">
        <f t="shared" si="1314"/>
        <v>46540</v>
      </c>
      <c r="B36436" s="1" t="str">
        <f>"13313"</f>
        <v>13313</v>
      </c>
      <c r="C36436" s="2">
        <v>1.7647819505404599E-3</v>
      </c>
      <c r="D36436" s="2">
        <v>1.0938525486764301E-4</v>
      </c>
      <c r="E36436" s="2">
        <v>3.7188545927854198E-4</v>
      </c>
      <c r="F36436" s="2">
        <v>1.6097985354258399E-3</v>
      </c>
    </row>
    <row r="36437" spans="1:6" x14ac:dyDescent="0.25">
      <c r="A36437" s="1" t="str">
        <f t="shared" si="1314"/>
        <v>46540</v>
      </c>
      <c r="B36437" s="1" t="str">
        <f>"13461"</f>
        <v>13461</v>
      </c>
      <c r="C36437" s="2">
        <v>1.0664759890766E-2</v>
      </c>
      <c r="D36437" s="2">
        <v>9.9540581929555803E-3</v>
      </c>
      <c r="E36437" s="2">
        <v>8.3674228337671901E-3</v>
      </c>
      <c r="F36437" s="2">
        <v>1.0535617648872101E-2</v>
      </c>
    </row>
    <row r="36438" spans="1:6" x14ac:dyDescent="0.25">
      <c r="A36438" s="1" t="str">
        <f t="shared" si="1314"/>
        <v>46540</v>
      </c>
      <c r="B36438" s="1" t="str">
        <f>"13406"</f>
        <v>13406</v>
      </c>
      <c r="C36438" s="2">
        <v>1.5670046629798901E-3</v>
      </c>
      <c r="D36438" s="2">
        <v>3.28155764602931E-4</v>
      </c>
      <c r="E36438" s="2">
        <v>9.2971364819635497E-4</v>
      </c>
      <c r="F36438" s="2">
        <v>1.46594419821757E-3</v>
      </c>
    </row>
    <row r="36439" spans="1:6" x14ac:dyDescent="0.25">
      <c r="A36439" s="1" t="str">
        <f t="shared" si="1314"/>
        <v>46540</v>
      </c>
      <c r="B36439" s="1" t="str">
        <f>"13417"</f>
        <v>13417</v>
      </c>
      <c r="C36439" s="2">
        <v>1.5388594335962701E-2</v>
      </c>
      <c r="D36439" s="2">
        <v>1.27980748195143E-2</v>
      </c>
      <c r="E36439" s="2">
        <v>2.8821123094086999E-2</v>
      </c>
      <c r="F36439" s="2">
        <v>1.5721223994903399E-2</v>
      </c>
    </row>
    <row r="36440" spans="1:6" x14ac:dyDescent="0.25">
      <c r="A36440" s="1" t="str">
        <f t="shared" si="1314"/>
        <v>46540</v>
      </c>
      <c r="B36440" s="1" t="str">
        <f>"13323"</f>
        <v>13323</v>
      </c>
      <c r="C36440" s="2">
        <v>3.7151702786377701E-2</v>
      </c>
      <c r="D36440" s="2">
        <v>3.2378035440822503E-2</v>
      </c>
      <c r="E36440" s="2">
        <v>5.0018594272963901E-2</v>
      </c>
      <c r="F36440" s="2">
        <v>3.73267754022783E-2</v>
      </c>
    </row>
    <row r="36441" spans="1:6" x14ac:dyDescent="0.25">
      <c r="A36441" s="1" t="str">
        <f t="shared" si="1314"/>
        <v>46540</v>
      </c>
      <c r="B36441" s="1" t="str">
        <f>"13502"</f>
        <v>13502</v>
      </c>
      <c r="C36441" s="2">
        <v>0.117981758848631</v>
      </c>
      <c r="D36441" s="2">
        <v>0.15674907022533299</v>
      </c>
      <c r="E36441" s="2">
        <v>0.117701747861658</v>
      </c>
      <c r="F36441" s="2">
        <v>0.120399230036785</v>
      </c>
    </row>
    <row r="36442" spans="1:6" x14ac:dyDescent="0.25">
      <c r="A36442" s="1" t="str">
        <f t="shared" si="1314"/>
        <v>46540</v>
      </c>
      <c r="B36442" s="1" t="str">
        <f>"13478"</f>
        <v>13478</v>
      </c>
      <c r="C36442" s="2">
        <v>9.5465575341736296E-3</v>
      </c>
      <c r="D36442" s="2">
        <v>4.9223364690439697E-3</v>
      </c>
      <c r="E36442" s="2">
        <v>3.90479732242469E-3</v>
      </c>
      <c r="F36442" s="2">
        <v>9.0491228310533509E-3</v>
      </c>
    </row>
    <row r="36443" spans="1:6" x14ac:dyDescent="0.25">
      <c r="A36443" s="1" t="str">
        <f t="shared" si="1314"/>
        <v>46540</v>
      </c>
      <c r="B36443" s="1" t="str">
        <f>"13054"</f>
        <v>13054</v>
      </c>
      <c r="C36443" s="2">
        <v>4.5945185264070704E-3</v>
      </c>
      <c r="D36443" s="2">
        <v>2.0783198424852299E-3</v>
      </c>
      <c r="E36443" s="2">
        <v>1.67348456675343E-3</v>
      </c>
      <c r="F36443" s="2">
        <v>4.3293305293154501E-3</v>
      </c>
    </row>
    <row r="36444" spans="1:6" x14ac:dyDescent="0.25">
      <c r="A36444" s="1" t="str">
        <f t="shared" si="1314"/>
        <v>46540</v>
      </c>
      <c r="B36444" s="1" t="str">
        <f>"13421"</f>
        <v>13421</v>
      </c>
      <c r="C36444" s="2">
        <v>7.7513483086238504E-3</v>
      </c>
      <c r="D36444" s="2">
        <v>3.0627871362940199E-3</v>
      </c>
      <c r="E36444" s="2">
        <v>6.1361100780959396E-3</v>
      </c>
      <c r="F36444" s="2">
        <v>7.3982230564251499E-3</v>
      </c>
    </row>
    <row r="36445" spans="1:6" x14ac:dyDescent="0.25">
      <c r="A36445" s="1" t="str">
        <f t="shared" si="1314"/>
        <v>46540</v>
      </c>
      <c r="B36445" s="1" t="str">
        <f>"13357"</f>
        <v>13357</v>
      </c>
      <c r="C36445" s="2">
        <v>3.8209050592951502E-2</v>
      </c>
      <c r="D36445" s="2">
        <v>2.4392911835484501E-2</v>
      </c>
      <c r="E36445" s="2">
        <v>3.9047973224246899E-2</v>
      </c>
      <c r="F36445" s="2">
        <v>3.7374726848014399E-2</v>
      </c>
    </row>
    <row r="36446" spans="1:6" x14ac:dyDescent="0.25">
      <c r="A36446" s="1" t="str">
        <f t="shared" si="1314"/>
        <v>46540</v>
      </c>
      <c r="B36446" s="1" t="str">
        <f>"13431"</f>
        <v>13431</v>
      </c>
      <c r="C36446" s="2">
        <v>5.3171663078783798E-3</v>
      </c>
      <c r="D36446" s="2">
        <v>1.09385254867643E-3</v>
      </c>
      <c r="E36446" s="2">
        <v>1.4875418371141601E-3</v>
      </c>
      <c r="F36446" s="2">
        <v>4.9115980846822496E-3</v>
      </c>
    </row>
    <row r="36447" spans="1:6" x14ac:dyDescent="0.25">
      <c r="A36447" s="1" t="str">
        <f t="shared" ref="A36447:A36453" si="1315">"46620"</f>
        <v>46620</v>
      </c>
      <c r="B36447" s="1" t="str">
        <f>"78802"</f>
        <v>78802</v>
      </c>
      <c r="C36447" s="2">
        <v>0.137829388119696</v>
      </c>
      <c r="D36447" s="2">
        <v>0.150246305418719</v>
      </c>
      <c r="E36447" s="2">
        <v>6.2893081761006197E-3</v>
      </c>
      <c r="F36447" s="2">
        <v>0.135731678579844</v>
      </c>
    </row>
    <row r="36448" spans="1:6" x14ac:dyDescent="0.25">
      <c r="A36448" s="1" t="str">
        <f t="shared" si="1315"/>
        <v>46620</v>
      </c>
      <c r="B36448" s="1" t="str">
        <f>"78801"</f>
        <v>78801</v>
      </c>
      <c r="C36448" s="2">
        <v>0.82545779365788197</v>
      </c>
      <c r="D36448" s="2">
        <v>0.83169129720853796</v>
      </c>
      <c r="E36448" s="2">
        <v>0.98427672955974799</v>
      </c>
      <c r="F36448" s="2">
        <v>0.83002120807477797</v>
      </c>
    </row>
    <row r="36449" spans="1:6" x14ac:dyDescent="0.25">
      <c r="A36449" s="1" t="str">
        <f t="shared" si="1315"/>
        <v>46620</v>
      </c>
      <c r="B36449" s="1" t="str">
        <f>"78833"</f>
        <v>78833</v>
      </c>
      <c r="C36449" s="2">
        <v>7.1460473425636402E-4</v>
      </c>
      <c r="D36449" s="2">
        <v>0</v>
      </c>
      <c r="E36449" s="2">
        <v>0</v>
      </c>
      <c r="F36449" s="2">
        <v>6.2838740083261298E-4</v>
      </c>
    </row>
    <row r="36450" spans="1:6" x14ac:dyDescent="0.25">
      <c r="A36450" s="1" t="str">
        <f t="shared" si="1315"/>
        <v>46620</v>
      </c>
      <c r="B36450" s="1" t="str">
        <f>"78838"</f>
        <v>78838</v>
      </c>
      <c r="C36450" s="2">
        <v>8.4859312192943192E-3</v>
      </c>
      <c r="D36450" s="2">
        <v>1.23152709359605E-2</v>
      </c>
      <c r="E36450" s="2">
        <v>3.1446540880503099E-3</v>
      </c>
      <c r="F36450" s="2">
        <v>8.7188751865525001E-3</v>
      </c>
    </row>
    <row r="36451" spans="1:6" x14ac:dyDescent="0.25">
      <c r="A36451" s="1" t="str">
        <f t="shared" si="1315"/>
        <v>46620</v>
      </c>
      <c r="B36451" s="1" t="str">
        <f>"78870"</f>
        <v>78870</v>
      </c>
      <c r="C36451" s="2">
        <v>1.0987047789191601E-2</v>
      </c>
      <c r="D36451" s="2">
        <v>2.46305418719211E-3</v>
      </c>
      <c r="E36451" s="2">
        <v>0</v>
      </c>
      <c r="F36451" s="2">
        <v>9.8971015631136496E-3</v>
      </c>
    </row>
    <row r="36452" spans="1:6" x14ac:dyDescent="0.25">
      <c r="A36452" s="1" t="str">
        <f t="shared" si="1315"/>
        <v>46620</v>
      </c>
      <c r="B36452" s="1" t="str">
        <f>"78884"</f>
        <v>78884</v>
      </c>
      <c r="C36452" s="2">
        <v>1.5185350602947699E-3</v>
      </c>
      <c r="D36452" s="2">
        <v>1.64203612479474E-3</v>
      </c>
      <c r="E36452" s="2">
        <v>0</v>
      </c>
      <c r="F36452" s="2">
        <v>1.49242007697745E-3</v>
      </c>
    </row>
    <row r="36453" spans="1:6" x14ac:dyDescent="0.25">
      <c r="A36453" s="1" t="str">
        <f t="shared" si="1315"/>
        <v>46620</v>
      </c>
      <c r="B36453" s="1" t="str">
        <f>"78881"</f>
        <v>78881</v>
      </c>
      <c r="C36453" s="2">
        <v>1.5006699419383601E-2</v>
      </c>
      <c r="D36453" s="2">
        <v>1.64203612479474E-3</v>
      </c>
      <c r="E36453" s="2">
        <v>6.2893081761006197E-3</v>
      </c>
      <c r="F36453" s="2">
        <v>1.35103291179011E-2</v>
      </c>
    </row>
    <row r="36454" spans="1:6" x14ac:dyDescent="0.25">
      <c r="A36454" s="1" t="str">
        <f t="shared" ref="A36454:A36478" si="1316">"46660"</f>
        <v>46660</v>
      </c>
      <c r="B36454" s="1" t="str">
        <f>"31625"</f>
        <v>31625</v>
      </c>
      <c r="C36454" s="2">
        <v>7.6305713390290002E-3</v>
      </c>
      <c r="D36454" s="2">
        <v>7.4393691414968005E-4</v>
      </c>
      <c r="E36454" s="2">
        <v>1.9984012789768099E-3</v>
      </c>
      <c r="F36454" s="2">
        <v>6.8997240110395498E-3</v>
      </c>
    </row>
    <row r="36455" spans="1:6" x14ac:dyDescent="0.25">
      <c r="A36455" s="1" t="str">
        <f t="shared" si="1316"/>
        <v>46660</v>
      </c>
      <c r="B36455" s="1" t="str">
        <f>"31632"</f>
        <v>31632</v>
      </c>
      <c r="C36455" s="2">
        <v>7.4643338920001606E-2</v>
      </c>
      <c r="D36455" s="2">
        <v>2.93111144174973E-2</v>
      </c>
      <c r="E36455" s="2">
        <v>3.1974420463629E-2</v>
      </c>
      <c r="F36455" s="2">
        <v>6.9663002953566006E-2</v>
      </c>
    </row>
    <row r="36456" spans="1:6" x14ac:dyDescent="0.25">
      <c r="A36456" s="1" t="str">
        <f t="shared" si="1316"/>
        <v>46660</v>
      </c>
      <c r="B36456" s="1" t="str">
        <f>"31778"</f>
        <v>31778</v>
      </c>
      <c r="C36456" s="2">
        <v>8.3391243919388406E-3</v>
      </c>
      <c r="D36456" s="2">
        <v>2.0830233596190999E-3</v>
      </c>
      <c r="E36456" s="2">
        <v>0</v>
      </c>
      <c r="F36456" s="2">
        <v>7.5775916331767704E-3</v>
      </c>
    </row>
    <row r="36457" spans="1:6" x14ac:dyDescent="0.25">
      <c r="A36457" s="1" t="str">
        <f t="shared" si="1316"/>
        <v>46660</v>
      </c>
      <c r="B36457" s="1" t="str">
        <f>"31604"</f>
        <v>31604</v>
      </c>
      <c r="C36457" s="2">
        <v>2.44450803253893E-2</v>
      </c>
      <c r="D36457" s="2">
        <v>7.0525219461389593E-2</v>
      </c>
      <c r="E36457" s="2">
        <v>7.9936051159072697E-4</v>
      </c>
      <c r="F36457" s="2">
        <v>2.7477848254490799E-2</v>
      </c>
    </row>
    <row r="36458" spans="1:6" x14ac:dyDescent="0.25">
      <c r="A36458" s="1" t="str">
        <f t="shared" si="1316"/>
        <v>46660</v>
      </c>
      <c r="B36458" s="1" t="str">
        <f>"31601"</f>
        <v>31601</v>
      </c>
      <c r="C36458" s="2">
        <v>0.20733352409761599</v>
      </c>
      <c r="D36458" s="2">
        <v>0.34280613004017202</v>
      </c>
      <c r="E36458" s="2">
        <v>0.35211830535571498</v>
      </c>
      <c r="F36458" s="2">
        <v>0.22274003776691001</v>
      </c>
    </row>
    <row r="36459" spans="1:6" x14ac:dyDescent="0.25">
      <c r="A36459" s="1" t="str">
        <f t="shared" si="1316"/>
        <v>46660</v>
      </c>
      <c r="B36459" s="1" t="str">
        <f>"31638"</f>
        <v>31638</v>
      </c>
      <c r="C36459" s="2">
        <v>5.1370096335963096E-3</v>
      </c>
      <c r="D36459" s="2">
        <v>1.9342359767891601E-3</v>
      </c>
      <c r="E36459" s="2">
        <v>0</v>
      </c>
      <c r="F36459" s="2">
        <v>4.7208637970270603E-3</v>
      </c>
    </row>
    <row r="36460" spans="1:6" x14ac:dyDescent="0.25">
      <c r="A36460" s="1" t="str">
        <f t="shared" si="1316"/>
        <v>46660</v>
      </c>
      <c r="B36460" s="1" t="str">
        <f>"31629"</f>
        <v>31629</v>
      </c>
      <c r="C36460" s="2">
        <v>7.3580509340636802E-3</v>
      </c>
      <c r="D36460" s="2">
        <v>4.3148341020681404E-3</v>
      </c>
      <c r="E36460" s="2">
        <v>3.9968025579536299E-4</v>
      </c>
      <c r="F36460" s="2">
        <v>6.8997240110395498E-3</v>
      </c>
    </row>
    <row r="36461" spans="1:6" x14ac:dyDescent="0.25">
      <c r="A36461" s="1" t="str">
        <f t="shared" si="1316"/>
        <v>46660</v>
      </c>
      <c r="B36461" s="1" t="str">
        <f>"31630"</f>
        <v>31630</v>
      </c>
      <c r="C36461" s="2">
        <v>5.3141478968237702E-4</v>
      </c>
      <c r="D36461" s="2">
        <v>1.4878738282993599E-4</v>
      </c>
      <c r="E36461" s="2">
        <v>0</v>
      </c>
      <c r="F36461" s="2">
        <v>4.8419115866944198E-4</v>
      </c>
    </row>
    <row r="36462" spans="1:6" x14ac:dyDescent="0.25">
      <c r="A36462" s="1" t="str">
        <f t="shared" si="1316"/>
        <v>46660</v>
      </c>
      <c r="B36462" s="1" t="str">
        <f>"31645"</f>
        <v>31645</v>
      </c>
      <c r="C36462" s="2">
        <v>1.74958099987736E-2</v>
      </c>
      <c r="D36462" s="2">
        <v>1.7854485939592299E-3</v>
      </c>
      <c r="E36462" s="2">
        <v>8.7929656274979996E-3</v>
      </c>
      <c r="F36462" s="2">
        <v>1.5954098678158099E-2</v>
      </c>
    </row>
    <row r="36463" spans="1:6" x14ac:dyDescent="0.25">
      <c r="A36463" s="1" t="str">
        <f t="shared" si="1316"/>
        <v>46660</v>
      </c>
      <c r="B36463" s="1" t="str">
        <f>"31636"</f>
        <v>31636</v>
      </c>
      <c r="C36463" s="2">
        <v>6.6413222690048901E-2</v>
      </c>
      <c r="D36463" s="2">
        <v>4.3743490552001101E-2</v>
      </c>
      <c r="E36463" s="2">
        <v>2.9976019184652199E-2</v>
      </c>
      <c r="F36463" s="2">
        <v>6.3465356122597197E-2</v>
      </c>
    </row>
    <row r="36464" spans="1:6" x14ac:dyDescent="0.25">
      <c r="A36464" s="1" t="str">
        <f t="shared" si="1316"/>
        <v>46660</v>
      </c>
      <c r="B36464" s="1" t="str">
        <f>"31699"</f>
        <v>31699</v>
      </c>
      <c r="C36464" s="2">
        <v>2.9459455776751201E-2</v>
      </c>
      <c r="D36464" s="2">
        <v>6.2490700788573102E-3</v>
      </c>
      <c r="E36464" s="2">
        <v>1.39888089528377E-2</v>
      </c>
      <c r="F36464" s="2">
        <v>2.7102600106522001E-2</v>
      </c>
    </row>
    <row r="36465" spans="1:6" x14ac:dyDescent="0.25">
      <c r="A36465" s="1" t="str">
        <f t="shared" si="1316"/>
        <v>46660</v>
      </c>
      <c r="B36465" s="1" t="str">
        <f>"31788"</f>
        <v>31788</v>
      </c>
      <c r="C36465" s="2">
        <v>2.18016323972257E-4</v>
      </c>
      <c r="D36465" s="2">
        <v>0</v>
      </c>
      <c r="E36465" s="2">
        <v>0</v>
      </c>
      <c r="F36465" s="2">
        <v>1.9367646346777701E-4</v>
      </c>
    </row>
    <row r="36466" spans="1:6" x14ac:dyDescent="0.25">
      <c r="A36466" s="1" t="str">
        <f t="shared" si="1316"/>
        <v>46660</v>
      </c>
      <c r="B36466" s="1" t="str">
        <f>"31648"</f>
        <v>31648</v>
      </c>
      <c r="C36466" s="2">
        <v>5.1233836133480403E-3</v>
      </c>
      <c r="D36466" s="2">
        <v>2.0830233596190999E-3</v>
      </c>
      <c r="E36466" s="2">
        <v>0</v>
      </c>
      <c r="F36466" s="2">
        <v>4.7208637970270603E-3</v>
      </c>
    </row>
    <row r="36467" spans="1:6" x14ac:dyDescent="0.25">
      <c r="A36467" s="1" t="str">
        <f t="shared" si="1316"/>
        <v>46660</v>
      </c>
      <c r="B36467" s="1" t="str">
        <f>"31639"</f>
        <v>31639</v>
      </c>
      <c r="C36467" s="2">
        <v>3.5427652645491801E-4</v>
      </c>
      <c r="D36467" s="2">
        <v>0</v>
      </c>
      <c r="E36467" s="2">
        <v>0</v>
      </c>
      <c r="F36467" s="2">
        <v>3.1472425313513699E-4</v>
      </c>
    </row>
    <row r="36468" spans="1:6" x14ac:dyDescent="0.25">
      <c r="A36468" s="1" t="str">
        <f t="shared" si="1316"/>
        <v>46660</v>
      </c>
      <c r="B36468" s="1" t="str">
        <f>"31649"</f>
        <v>31649</v>
      </c>
      <c r="C36468" s="2">
        <v>6.2407172737058599E-3</v>
      </c>
      <c r="D36468" s="2">
        <v>2.2318107424490401E-3</v>
      </c>
      <c r="E36468" s="2">
        <v>0</v>
      </c>
      <c r="F36468" s="2">
        <v>5.7255604512661496E-3</v>
      </c>
    </row>
    <row r="36469" spans="1:6" x14ac:dyDescent="0.25">
      <c r="A36469" s="1" t="str">
        <f t="shared" si="1316"/>
        <v>46660</v>
      </c>
      <c r="B36469" s="1" t="str">
        <f>"31631"</f>
        <v>31631</v>
      </c>
      <c r="C36469" s="2">
        <v>8.7206529588902898E-4</v>
      </c>
      <c r="D36469" s="2">
        <v>0</v>
      </c>
      <c r="E36469" s="2">
        <v>3.9968025579536299E-4</v>
      </c>
      <c r="F36469" s="2">
        <v>7.8681063283784396E-4</v>
      </c>
    </row>
    <row r="36470" spans="1:6" x14ac:dyDescent="0.25">
      <c r="A36470" s="1" t="str">
        <f t="shared" si="1316"/>
        <v>46660</v>
      </c>
      <c r="B36470" s="1" t="str">
        <f>"31698"</f>
        <v>31698</v>
      </c>
      <c r="C36470" s="2">
        <v>0</v>
      </c>
      <c r="D36470" s="2">
        <v>1.4878738282993599E-4</v>
      </c>
      <c r="E36470" s="2">
        <v>5.1958433253397199E-3</v>
      </c>
      <c r="F36470" s="2">
        <v>1.6946690553430399E-4</v>
      </c>
    </row>
    <row r="36471" spans="1:6" x14ac:dyDescent="0.25">
      <c r="A36471" s="1" t="str">
        <f t="shared" si="1316"/>
        <v>46660</v>
      </c>
      <c r="B36471" s="1" t="str">
        <f>"31605"</f>
        <v>31605</v>
      </c>
      <c r="C36471" s="2">
        <v>0.13598768207769499</v>
      </c>
      <c r="D36471" s="2">
        <v>4.9843773248028501E-2</v>
      </c>
      <c r="E36471" s="2">
        <v>0.16666666666666599</v>
      </c>
      <c r="F36471" s="2">
        <v>0.129908487871011</v>
      </c>
    </row>
    <row r="36472" spans="1:6" x14ac:dyDescent="0.25">
      <c r="A36472" s="1" t="str">
        <f t="shared" si="1316"/>
        <v>46660</v>
      </c>
      <c r="B36472" s="1" t="str">
        <f>"31641"</f>
        <v>31641</v>
      </c>
      <c r="C36472" s="2">
        <v>1.7141533472318699E-2</v>
      </c>
      <c r="D36472" s="2">
        <v>2.5293855081089099E-3</v>
      </c>
      <c r="E36472" s="2">
        <v>0</v>
      </c>
      <c r="F36472" s="2">
        <v>1.54335931825884E-2</v>
      </c>
    </row>
    <row r="36473" spans="1:6" x14ac:dyDescent="0.25">
      <c r="A36473" s="1" t="str">
        <f t="shared" si="1316"/>
        <v>46660</v>
      </c>
      <c r="B36473" s="1" t="str">
        <f>"31603"</f>
        <v>31603</v>
      </c>
      <c r="C36473" s="2">
        <v>2.2564689531128598E-2</v>
      </c>
      <c r="D36473" s="2">
        <v>6.8590983484600507E-2</v>
      </c>
      <c r="E36473" s="2">
        <v>7.9936051159072697E-4</v>
      </c>
      <c r="F36473" s="2">
        <v>2.56500266305137E-2</v>
      </c>
    </row>
    <row r="36474" spans="1:6" x14ac:dyDescent="0.25">
      <c r="A36474" s="1" t="str">
        <f t="shared" si="1316"/>
        <v>46660</v>
      </c>
      <c r="B36474" s="1" t="str">
        <f>"31606"</f>
        <v>31606</v>
      </c>
      <c r="C36474" s="2">
        <v>2.3627519110493302E-2</v>
      </c>
      <c r="D36474" s="2">
        <v>6.8442196101770499E-3</v>
      </c>
      <c r="E36474" s="2">
        <v>1.59872102318145E-3</v>
      </c>
      <c r="F36474" s="2">
        <v>2.1594925676657099E-2</v>
      </c>
    </row>
    <row r="36475" spans="1:6" x14ac:dyDescent="0.25">
      <c r="A36475" s="1" t="str">
        <f t="shared" si="1316"/>
        <v>46660</v>
      </c>
      <c r="B36475" s="1" t="str">
        <f>"31626"</f>
        <v>31626</v>
      </c>
      <c r="C36475" s="2">
        <v>1.9757729359985801E-3</v>
      </c>
      <c r="D36475" s="2">
        <v>2.9757476565987198E-4</v>
      </c>
      <c r="E36475" s="2">
        <v>7.9936051159072697E-4</v>
      </c>
      <c r="F36475" s="2">
        <v>1.8036120660436699E-3</v>
      </c>
    </row>
    <row r="36476" spans="1:6" x14ac:dyDescent="0.25">
      <c r="A36476" s="1" t="str">
        <f t="shared" si="1316"/>
        <v>46660</v>
      </c>
      <c r="B36476" s="1" t="str">
        <f>"31643"</f>
        <v>31643</v>
      </c>
      <c r="C36476" s="2">
        <v>6.3906034964367905E-2</v>
      </c>
      <c r="D36476" s="2">
        <v>6.9930069930069894E-2</v>
      </c>
      <c r="E36476" s="2">
        <v>3.9968025579536298E-2</v>
      </c>
      <c r="F36476" s="2">
        <v>6.3671137365031702E-2</v>
      </c>
    </row>
    <row r="36477" spans="1:6" x14ac:dyDescent="0.25">
      <c r="A36477" s="1" t="str">
        <f t="shared" si="1316"/>
        <v>46660</v>
      </c>
      <c r="B36477" s="1" t="str">
        <f>"31635"</f>
        <v>31635</v>
      </c>
      <c r="C36477" s="2">
        <v>5.9463952363433201E-2</v>
      </c>
      <c r="D36477" s="2">
        <v>4.4487427466150802E-2</v>
      </c>
      <c r="E36477" s="2">
        <v>2.3181454836130998E-2</v>
      </c>
      <c r="F36477" s="2">
        <v>5.7146661501960898E-2</v>
      </c>
    </row>
    <row r="36478" spans="1:6" x14ac:dyDescent="0.25">
      <c r="A36478" s="1" t="str">
        <f t="shared" si="1316"/>
        <v>46660</v>
      </c>
      <c r="B36478" s="1" t="str">
        <f>"31602"</f>
        <v>31602</v>
      </c>
      <c r="C36478" s="2">
        <v>0.213737753614301</v>
      </c>
      <c r="D36478" s="2">
        <v>0.249367653622972</v>
      </c>
      <c r="E36478" s="2">
        <v>0.32134292565947198</v>
      </c>
      <c r="F36478" s="2">
        <v>0.21989541470972701</v>
      </c>
    </row>
    <row r="36479" spans="1:6" x14ac:dyDescent="0.25">
      <c r="A36479" s="1" t="str">
        <f t="shared" ref="A36479:A36500" si="1317">"46700"</f>
        <v>46700</v>
      </c>
      <c r="B36479" s="1" t="str">
        <f>"94512"</f>
        <v>94512</v>
      </c>
      <c r="C36479" s="2">
        <v>2.6442860427684502E-4</v>
      </c>
      <c r="D36479" s="2">
        <v>2.0732550103662699E-4</v>
      </c>
      <c r="E36479" s="2">
        <v>3.5014005602240799E-4</v>
      </c>
      <c r="F36479" s="2">
        <v>2.6269431653119801E-4</v>
      </c>
    </row>
    <row r="36480" spans="1:6" x14ac:dyDescent="0.25">
      <c r="A36480" s="1" t="str">
        <f t="shared" si="1317"/>
        <v>46700</v>
      </c>
      <c r="B36480" s="1" t="str">
        <f>"94534"</f>
        <v>94534</v>
      </c>
      <c r="C36480" s="2">
        <v>8.5209243504253795E-2</v>
      </c>
      <c r="D36480" s="2">
        <v>7.2633033863165095E-2</v>
      </c>
      <c r="E36480" s="2">
        <v>3.7289915966386498E-2</v>
      </c>
      <c r="F36480" s="2">
        <v>8.2862028824262607E-2</v>
      </c>
    </row>
    <row r="36481" spans="1:6" x14ac:dyDescent="0.25">
      <c r="A36481" s="1" t="str">
        <f t="shared" si="1317"/>
        <v>46700</v>
      </c>
      <c r="B36481" s="1" t="str">
        <f>"95694"</f>
        <v>95694</v>
      </c>
      <c r="C36481" s="2">
        <v>2.6787767302828198E-3</v>
      </c>
      <c r="D36481" s="2">
        <v>1.45127850725639E-3</v>
      </c>
      <c r="E36481" s="2">
        <v>0</v>
      </c>
      <c r="F36481" s="2">
        <v>2.5084731794253602E-3</v>
      </c>
    </row>
    <row r="36482" spans="1:6" x14ac:dyDescent="0.25">
      <c r="A36482" s="1" t="str">
        <f t="shared" si="1317"/>
        <v>46700</v>
      </c>
      <c r="B36482" s="1" t="str">
        <f>"95625"</f>
        <v>95625</v>
      </c>
      <c r="C36482" s="2">
        <v>0</v>
      </c>
      <c r="D36482" s="2">
        <v>0</v>
      </c>
      <c r="E36482" s="2">
        <v>1.75070028011204E-4</v>
      </c>
      <c r="F36482" s="2">
        <v>5.15086895159213E-6</v>
      </c>
    </row>
    <row r="36483" spans="1:6" x14ac:dyDescent="0.25">
      <c r="A36483" s="1" t="str">
        <f t="shared" si="1317"/>
        <v>46700</v>
      </c>
      <c r="B36483" s="1" t="str">
        <f>"95620"</f>
        <v>95620</v>
      </c>
      <c r="C36483" s="2">
        <v>4.89077948953782E-2</v>
      </c>
      <c r="D36483" s="2">
        <v>5.7360055286800202E-2</v>
      </c>
      <c r="E36483" s="2">
        <v>5.7422969187674998E-2</v>
      </c>
      <c r="F36483" s="2">
        <v>4.97882992860895E-2</v>
      </c>
    </row>
    <row r="36484" spans="1:6" x14ac:dyDescent="0.25">
      <c r="A36484" s="1" t="str">
        <f t="shared" si="1317"/>
        <v>46700</v>
      </c>
      <c r="B36484" s="1" t="str">
        <f>"95688"</f>
        <v>95688</v>
      </c>
      <c r="C36484" s="2">
        <v>8.4048057024603301E-2</v>
      </c>
      <c r="D36484" s="2">
        <v>9.7512093987560403E-2</v>
      </c>
      <c r="E36484" s="2">
        <v>0.14845938375350101</v>
      </c>
      <c r="F36484" s="2">
        <v>8.6946667902875197E-2</v>
      </c>
    </row>
    <row r="36485" spans="1:6" x14ac:dyDescent="0.25">
      <c r="A36485" s="1" t="str">
        <f t="shared" si="1317"/>
        <v>46700</v>
      </c>
      <c r="B36485" s="1" t="str">
        <f>"94590"</f>
        <v>94590</v>
      </c>
      <c r="C36485" s="2">
        <v>0.105380547252241</v>
      </c>
      <c r="D36485" s="2">
        <v>0.148306841741534</v>
      </c>
      <c r="E36485" s="2">
        <v>0.14478291316526601</v>
      </c>
      <c r="F36485" s="2">
        <v>0.10973926301367</v>
      </c>
    </row>
    <row r="36486" spans="1:6" x14ac:dyDescent="0.25">
      <c r="A36486" s="1" t="str">
        <f t="shared" si="1317"/>
        <v>46700</v>
      </c>
      <c r="B36486" s="1" t="str">
        <f>"94503"</f>
        <v>94503</v>
      </c>
      <c r="C36486" s="2">
        <v>1.7820188549091701E-4</v>
      </c>
      <c r="D36486" s="2">
        <v>6.9108500345542494E-5</v>
      </c>
      <c r="E36486" s="2">
        <v>0</v>
      </c>
      <c r="F36486" s="2">
        <v>1.64827806450948E-4</v>
      </c>
    </row>
    <row r="36487" spans="1:6" x14ac:dyDescent="0.25">
      <c r="A36487" s="1" t="str">
        <f t="shared" si="1317"/>
        <v>46700</v>
      </c>
      <c r="B36487" s="1" t="str">
        <f>"94592"</f>
        <v>94592</v>
      </c>
      <c r="C36487" s="2">
        <v>2.6385375948493901E-3</v>
      </c>
      <c r="D36487" s="2">
        <v>1.6447823082239101E-2</v>
      </c>
      <c r="E36487" s="2">
        <v>2.97619047619047E-3</v>
      </c>
      <c r="F36487" s="2">
        <v>3.6777204314367802E-3</v>
      </c>
    </row>
    <row r="36488" spans="1:6" x14ac:dyDescent="0.25">
      <c r="A36488" s="1" t="str">
        <f t="shared" si="1317"/>
        <v>46700</v>
      </c>
      <c r="B36488" s="1" t="str">
        <f>"94591"</f>
        <v>94591</v>
      </c>
      <c r="C36488" s="2">
        <v>0.122855828926189</v>
      </c>
      <c r="D36488" s="2">
        <v>5.70836212854181E-2</v>
      </c>
      <c r="E36488" s="2">
        <v>6.4250700280111997E-2</v>
      </c>
      <c r="F36488" s="2">
        <v>0.11622935789267599</v>
      </c>
    </row>
    <row r="36489" spans="1:6" x14ac:dyDescent="0.25">
      <c r="A36489" s="1" t="str">
        <f t="shared" si="1317"/>
        <v>46700</v>
      </c>
      <c r="B36489" s="1" t="str">
        <f>"94589"</f>
        <v>94589</v>
      </c>
      <c r="C36489" s="2">
        <v>5.7587951253161601E-2</v>
      </c>
      <c r="D36489" s="2">
        <v>3.04077401520387E-2</v>
      </c>
      <c r="E36489" s="2">
        <v>3.37885154061624E-2</v>
      </c>
      <c r="F36489" s="2">
        <v>5.48619052034078E-2</v>
      </c>
    </row>
    <row r="36490" spans="1:6" x14ac:dyDescent="0.25">
      <c r="A36490" s="1" t="str">
        <f t="shared" si="1317"/>
        <v>46700</v>
      </c>
      <c r="B36490" s="1" t="str">
        <f>"94535"</f>
        <v>94535</v>
      </c>
      <c r="C36490" s="2">
        <v>8.67440790986433E-3</v>
      </c>
      <c r="D36490" s="2">
        <v>1.03662750518313E-3</v>
      </c>
      <c r="E36490" s="2">
        <v>8.0357142857142794E-2</v>
      </c>
      <c r="F36490" s="2">
        <v>1.02141731310072E-2</v>
      </c>
    </row>
    <row r="36491" spans="1:6" x14ac:dyDescent="0.25">
      <c r="A36491" s="1" t="str">
        <f t="shared" si="1317"/>
        <v>46700</v>
      </c>
      <c r="B36491" s="1" t="str">
        <f>"95690"</f>
        <v>95690</v>
      </c>
      <c r="C36491" s="2">
        <v>6.5532306277305105E-4</v>
      </c>
      <c r="D36491" s="2">
        <v>5.5286800276433995E-4</v>
      </c>
      <c r="E36491" s="2">
        <v>0</v>
      </c>
      <c r="F36491" s="2">
        <v>6.2840601209423997E-4</v>
      </c>
    </row>
    <row r="36492" spans="1:6" x14ac:dyDescent="0.25">
      <c r="A36492" s="1" t="str">
        <f t="shared" si="1317"/>
        <v>46700</v>
      </c>
      <c r="B36492" s="1" t="str">
        <f>"94558"</f>
        <v>94558</v>
      </c>
      <c r="C36492" s="2">
        <v>8.0478270866865895E-5</v>
      </c>
      <c r="D36492" s="2">
        <v>0</v>
      </c>
      <c r="E36492" s="2">
        <v>7.0028011204481696E-4</v>
      </c>
      <c r="F36492" s="2">
        <v>9.2715641128658405E-5</v>
      </c>
    </row>
    <row r="36493" spans="1:6" x14ac:dyDescent="0.25">
      <c r="A36493" s="1" t="str">
        <f t="shared" si="1317"/>
        <v>46700</v>
      </c>
      <c r="B36493" s="1" t="str">
        <f>"95618"</f>
        <v>95618</v>
      </c>
      <c r="C36493" s="2">
        <v>2.12692573005288E-4</v>
      </c>
      <c r="D36493" s="2">
        <v>4.1465100207325502E-4</v>
      </c>
      <c r="E36493" s="2">
        <v>0</v>
      </c>
      <c r="F36493" s="2">
        <v>2.2148736491846101E-4</v>
      </c>
    </row>
    <row r="36494" spans="1:6" x14ac:dyDescent="0.25">
      <c r="A36494" s="1" t="str">
        <f t="shared" si="1317"/>
        <v>46700</v>
      </c>
      <c r="B36494" s="1" t="str">
        <f>"94510"</f>
        <v>94510</v>
      </c>
      <c r="C36494" s="2">
        <v>7.0452977696022004E-2</v>
      </c>
      <c r="D36494" s="2">
        <v>0.138493434692467</v>
      </c>
      <c r="E36494" s="2">
        <v>5.6197478991596599E-2</v>
      </c>
      <c r="F36494" s="2">
        <v>7.5104820183164805E-2</v>
      </c>
    </row>
    <row r="36495" spans="1:6" x14ac:dyDescent="0.25">
      <c r="A36495" s="1" t="str">
        <f t="shared" si="1317"/>
        <v>46700</v>
      </c>
      <c r="B36495" s="1" t="str">
        <f>"95616"</f>
        <v>95616</v>
      </c>
      <c r="C36495" s="2">
        <v>2.29937916762474E-5</v>
      </c>
      <c r="D36495" s="2">
        <v>1.3821700069108499E-4</v>
      </c>
      <c r="E36495" s="2">
        <v>0</v>
      </c>
      <c r="F36495" s="2">
        <v>3.0905213709552797E-5</v>
      </c>
    </row>
    <row r="36496" spans="1:6" x14ac:dyDescent="0.25">
      <c r="A36496" s="1" t="str">
        <f t="shared" si="1317"/>
        <v>46700</v>
      </c>
      <c r="B36496" s="1" t="str">
        <f>"94533"</f>
        <v>94533</v>
      </c>
      <c r="C36496" s="2">
        <v>0.15895033340997899</v>
      </c>
      <c r="D36496" s="2">
        <v>0.19378023496890101</v>
      </c>
      <c r="E36496" s="2">
        <v>0.20955882352941099</v>
      </c>
      <c r="F36496" s="2">
        <v>0.163035304055794</v>
      </c>
    </row>
    <row r="36497" spans="1:6" x14ac:dyDescent="0.25">
      <c r="A36497" s="1" t="str">
        <f t="shared" si="1317"/>
        <v>46700</v>
      </c>
      <c r="B36497" s="1" t="str">
        <f>"94585"</f>
        <v>94585</v>
      </c>
      <c r="C36497" s="2">
        <v>6.7831685444929804E-2</v>
      </c>
      <c r="D36497" s="2">
        <v>5.3628196268140901E-2</v>
      </c>
      <c r="E36497" s="2">
        <v>5.4096638655462097E-2</v>
      </c>
      <c r="F36497" s="2">
        <v>6.6368946441264606E-2</v>
      </c>
    </row>
    <row r="36498" spans="1:6" x14ac:dyDescent="0.25">
      <c r="A36498" s="1" t="str">
        <f t="shared" si="1317"/>
        <v>46700</v>
      </c>
      <c r="B36498" s="1" t="str">
        <f>"95696"</f>
        <v>95696</v>
      </c>
      <c r="C36498" s="2">
        <v>1.5129914922970699E-2</v>
      </c>
      <c r="D36498" s="2">
        <v>3.7802349689011701E-2</v>
      </c>
      <c r="E36498" s="2">
        <v>7.0028011204481696E-4</v>
      </c>
      <c r="F36498" s="2">
        <v>1.6395215872917701E-2</v>
      </c>
    </row>
    <row r="36499" spans="1:6" x14ac:dyDescent="0.25">
      <c r="A36499" s="1" t="str">
        <f t="shared" si="1317"/>
        <v>46700</v>
      </c>
      <c r="B36499" s="1" t="str">
        <f>"94571"</f>
        <v>94571</v>
      </c>
      <c r="C36499" s="2">
        <v>3.0144860887560299E-2</v>
      </c>
      <c r="D36499" s="2">
        <v>1.9626814098134E-2</v>
      </c>
      <c r="E36499" s="2">
        <v>1.7331932773109199E-2</v>
      </c>
      <c r="F36499" s="2">
        <v>2.8983939590608899E-2</v>
      </c>
    </row>
    <row r="36500" spans="1:6" x14ac:dyDescent="0.25">
      <c r="A36500" s="1" t="str">
        <f t="shared" si="1317"/>
        <v>46700</v>
      </c>
      <c r="B36500" s="1" t="str">
        <f>"95687"</f>
        <v>95687</v>
      </c>
      <c r="C36500" s="2">
        <v>0.13809496435962201</v>
      </c>
      <c r="D36500" s="2">
        <v>7.3047684865238396E-2</v>
      </c>
      <c r="E36500" s="2">
        <v>9.1561624649859896E-2</v>
      </c>
      <c r="F36500" s="2">
        <v>0.13187769776761299</v>
      </c>
    </row>
    <row r="36501" spans="1:6" x14ac:dyDescent="0.25">
      <c r="A36501" s="1" t="str">
        <f t="shared" ref="A36501:A36514" si="1318">"46780"</f>
        <v>46780</v>
      </c>
      <c r="B36501" s="1" t="str">
        <f>"45844"</f>
        <v>45844</v>
      </c>
      <c r="C36501" s="2">
        <v>2.3756731073804201E-3</v>
      </c>
      <c r="D36501" s="2">
        <v>0</v>
      </c>
      <c r="E36501" s="2">
        <v>0</v>
      </c>
      <c r="F36501" s="2">
        <v>2.1718670817345901E-3</v>
      </c>
    </row>
    <row r="36502" spans="1:6" x14ac:dyDescent="0.25">
      <c r="A36502" s="1" t="str">
        <f t="shared" si="1318"/>
        <v>46780</v>
      </c>
      <c r="B36502" s="1" t="str">
        <f>"45887"</f>
        <v>45887</v>
      </c>
      <c r="C36502" s="2">
        <v>1.10864745011086E-2</v>
      </c>
      <c r="D36502" s="2">
        <v>2.14822771213748E-3</v>
      </c>
      <c r="E36502" s="2">
        <v>7.8740157480314907E-3</v>
      </c>
      <c r="F36502" s="2">
        <v>1.0424961992326001E-2</v>
      </c>
    </row>
    <row r="36503" spans="1:6" x14ac:dyDescent="0.25">
      <c r="A36503" s="1" t="str">
        <f t="shared" si="1318"/>
        <v>46780</v>
      </c>
      <c r="B36503" s="1" t="str">
        <f>"45863"</f>
        <v>45863</v>
      </c>
      <c r="C36503" s="2">
        <v>2.91415901171998E-2</v>
      </c>
      <c r="D36503" s="2">
        <v>5.3705692803437096E-3</v>
      </c>
      <c r="E36503" s="2">
        <v>7.8740157480314907E-3</v>
      </c>
      <c r="F36503" s="2">
        <v>2.71483385216824E-2</v>
      </c>
    </row>
    <row r="36504" spans="1:6" x14ac:dyDescent="0.25">
      <c r="A36504" s="1" t="str">
        <f t="shared" si="1318"/>
        <v>46780</v>
      </c>
      <c r="B36504" s="1" t="str">
        <f>"45899"</f>
        <v>45899</v>
      </c>
      <c r="C36504" s="2">
        <v>5.3056699398162802E-3</v>
      </c>
      <c r="D36504" s="2">
        <v>0</v>
      </c>
      <c r="E36504" s="2">
        <v>3.9370078740157402E-3</v>
      </c>
      <c r="F36504" s="2">
        <v>4.9228987185984197E-3</v>
      </c>
    </row>
    <row r="36505" spans="1:6" x14ac:dyDescent="0.25">
      <c r="A36505" s="1" t="str">
        <f t="shared" si="1318"/>
        <v>46780</v>
      </c>
      <c r="B36505" s="1" t="str">
        <f>"45849"</f>
        <v>45849</v>
      </c>
      <c r="C36505" s="2">
        <v>5.3848590433956201E-3</v>
      </c>
      <c r="D36505" s="2">
        <v>0</v>
      </c>
      <c r="E36505" s="2">
        <v>0</v>
      </c>
      <c r="F36505" s="2">
        <v>4.9228987185984197E-3</v>
      </c>
    </row>
    <row r="36506" spans="1:6" x14ac:dyDescent="0.25">
      <c r="A36506" s="1" t="str">
        <f t="shared" si="1318"/>
        <v>46780</v>
      </c>
      <c r="B36506" s="1" t="str">
        <f>"45894"</f>
        <v>45894</v>
      </c>
      <c r="C36506" s="2">
        <v>2.3044029141590101E-2</v>
      </c>
      <c r="D36506" s="2">
        <v>8.5929108485499409E-3</v>
      </c>
      <c r="E36506" s="2">
        <v>3.9370078740157402E-3</v>
      </c>
      <c r="F36506" s="2">
        <v>2.1718670817345902E-2</v>
      </c>
    </row>
    <row r="36507" spans="1:6" x14ac:dyDescent="0.25">
      <c r="A36507" s="1" t="str">
        <f t="shared" si="1318"/>
        <v>46780</v>
      </c>
      <c r="B36507" s="1" t="str">
        <f>"45833"</f>
        <v>45833</v>
      </c>
      <c r="C36507" s="2">
        <v>0.15402280646183</v>
      </c>
      <c r="D36507" s="2">
        <v>0.112781954887218</v>
      </c>
      <c r="E36507" s="2">
        <v>0.169291338582677</v>
      </c>
      <c r="F36507" s="2">
        <v>0.15152392673568299</v>
      </c>
    </row>
    <row r="36508" spans="1:6" x14ac:dyDescent="0.25">
      <c r="A36508" s="1" t="str">
        <f t="shared" si="1318"/>
        <v>46780</v>
      </c>
      <c r="B36508" s="1" t="str">
        <f>"45838"</f>
        <v>45838</v>
      </c>
      <c r="C36508" s="2">
        <v>0</v>
      </c>
      <c r="D36508" s="2">
        <v>1.07411385606874E-3</v>
      </c>
      <c r="E36508" s="2">
        <v>0</v>
      </c>
      <c r="F36508" s="2">
        <v>7.2395569391153205E-5</v>
      </c>
    </row>
    <row r="36509" spans="1:6" x14ac:dyDescent="0.25">
      <c r="A36509" s="1" t="str">
        <f t="shared" si="1318"/>
        <v>46780</v>
      </c>
      <c r="B36509" s="1" t="str">
        <f>"45886"</f>
        <v>45886</v>
      </c>
      <c r="C36509" s="2">
        <v>4.5137789040227997E-3</v>
      </c>
      <c r="D36509" s="2">
        <v>2.14822771213748E-3</v>
      </c>
      <c r="E36509" s="2">
        <v>3.9370078740157402E-3</v>
      </c>
      <c r="F36509" s="2">
        <v>4.3437341634691897E-3</v>
      </c>
    </row>
    <row r="36510" spans="1:6" x14ac:dyDescent="0.25">
      <c r="A36510" s="1" t="str">
        <f t="shared" si="1318"/>
        <v>46780</v>
      </c>
      <c r="B36510" s="1" t="str">
        <f>"45882"</f>
        <v>45882</v>
      </c>
      <c r="C36510" s="2">
        <v>4.3554006968641104E-3</v>
      </c>
      <c r="D36510" s="2">
        <v>2.14822771213748E-3</v>
      </c>
      <c r="E36510" s="2">
        <v>0</v>
      </c>
      <c r="F36510" s="2">
        <v>4.1265474552957303E-3</v>
      </c>
    </row>
    <row r="36511" spans="1:6" x14ac:dyDescent="0.25">
      <c r="A36511" s="1" t="str">
        <f t="shared" si="1318"/>
        <v>46780</v>
      </c>
      <c r="B36511" s="1" t="str">
        <f>"45891"</f>
        <v>45891</v>
      </c>
      <c r="C36511" s="2">
        <v>0.56984478935698402</v>
      </c>
      <c r="D36511" s="2">
        <v>0.83029001074113795</v>
      </c>
      <c r="E36511" s="2">
        <v>0.75984251968503902</v>
      </c>
      <c r="F36511" s="2">
        <v>0.59089263737059206</v>
      </c>
    </row>
    <row r="36512" spans="1:6" x14ac:dyDescent="0.25">
      <c r="A36512" s="1" t="str">
        <f t="shared" si="1318"/>
        <v>46780</v>
      </c>
      <c r="B36512" s="1" t="str">
        <f>"45898"</f>
        <v>45898</v>
      </c>
      <c r="C36512" s="2">
        <v>2.5894836870446601E-2</v>
      </c>
      <c r="D36512" s="2">
        <v>3.22234156820622E-3</v>
      </c>
      <c r="E36512" s="2">
        <v>3.9370078740157402E-3</v>
      </c>
      <c r="F36512" s="2">
        <v>2.3962933468471701E-2</v>
      </c>
    </row>
    <row r="36513" spans="1:6" x14ac:dyDescent="0.25">
      <c r="A36513" s="1" t="str">
        <f t="shared" si="1318"/>
        <v>46780</v>
      </c>
      <c r="B36513" s="1" t="str">
        <f>"45874"</f>
        <v>45874</v>
      </c>
      <c r="C36513" s="2">
        <v>7.1507760532150702E-2</v>
      </c>
      <c r="D36513" s="2">
        <v>2.14822771213748E-2</v>
      </c>
      <c r="E36513" s="2">
        <v>1.1811023622047201E-2</v>
      </c>
      <c r="F36513" s="2">
        <v>6.7038297256207899E-2</v>
      </c>
    </row>
    <row r="36514" spans="1:6" x14ac:dyDescent="0.25">
      <c r="A36514" s="1" t="str">
        <f t="shared" si="1318"/>
        <v>46780</v>
      </c>
      <c r="B36514" s="1" t="str">
        <f>"45832"</f>
        <v>45832</v>
      </c>
      <c r="C36514" s="2">
        <v>9.3522331327209302E-2</v>
      </c>
      <c r="D36514" s="2">
        <v>1.07411385606874E-2</v>
      </c>
      <c r="E36514" s="2">
        <v>2.7559055118110201E-2</v>
      </c>
      <c r="F36514" s="2">
        <v>8.6729892130601602E-2</v>
      </c>
    </row>
    <row r="36515" spans="1:6" x14ac:dyDescent="0.25">
      <c r="A36515" s="1" t="str">
        <f t="shared" ref="A36515:A36522" si="1319">"46820"</f>
        <v>46820</v>
      </c>
      <c r="B36515" s="1" t="str">
        <f>"57073"</f>
        <v>57073</v>
      </c>
      <c r="C36515" s="2">
        <v>4.3979701676149403E-2</v>
      </c>
      <c r="D36515" s="2">
        <v>9.8522167487684695E-3</v>
      </c>
      <c r="E36515" s="2">
        <v>1.0135135135135099E-2</v>
      </c>
      <c r="F36515" s="2">
        <v>3.9461405145980497E-2</v>
      </c>
    </row>
    <row r="36516" spans="1:6" x14ac:dyDescent="0.25">
      <c r="A36516" s="1" t="str">
        <f t="shared" si="1319"/>
        <v>46820</v>
      </c>
      <c r="B36516" s="1" t="str">
        <f>"57037"</f>
        <v>57037</v>
      </c>
      <c r="C36516" s="2">
        <v>1.29171151776103E-2</v>
      </c>
      <c r="D36516" s="2">
        <v>7.38916256157635E-3</v>
      </c>
      <c r="E36516" s="2">
        <v>1.35135135135135E-2</v>
      </c>
      <c r="F36516" s="2">
        <v>1.2664978002932901E-2</v>
      </c>
    </row>
    <row r="36517" spans="1:6" x14ac:dyDescent="0.25">
      <c r="A36517" s="1" t="str">
        <f t="shared" si="1319"/>
        <v>46820</v>
      </c>
      <c r="B36517" s="1" t="str">
        <f>"57004"</f>
        <v>57004</v>
      </c>
      <c r="C36517" s="2">
        <v>2.06058742119021E-2</v>
      </c>
      <c r="D36517" s="2">
        <v>2.46305418719211E-3</v>
      </c>
      <c r="E36517" s="2">
        <v>0</v>
      </c>
      <c r="F36517" s="2">
        <v>1.7997600319957299E-2</v>
      </c>
    </row>
    <row r="36518" spans="1:6" x14ac:dyDescent="0.25">
      <c r="A36518" s="1" t="str">
        <f t="shared" si="1319"/>
        <v>46820</v>
      </c>
      <c r="B36518" s="1" t="str">
        <f>"57069"</f>
        <v>57069</v>
      </c>
      <c r="C36518" s="2">
        <v>0.86344763955097603</v>
      </c>
      <c r="D36518" s="2">
        <v>0.96305418719211799</v>
      </c>
      <c r="E36518" s="2">
        <v>0.96790540540540504</v>
      </c>
      <c r="F36518" s="2">
        <v>0.87708305559258704</v>
      </c>
    </row>
    <row r="36519" spans="1:6" x14ac:dyDescent="0.25">
      <c r="A36519" s="1" t="str">
        <f t="shared" si="1319"/>
        <v>46820</v>
      </c>
      <c r="B36519" s="1" t="str">
        <f>"57072"</f>
        <v>57072</v>
      </c>
      <c r="C36519" s="2">
        <v>9.8416115638935795E-3</v>
      </c>
      <c r="D36519" s="2">
        <v>0</v>
      </c>
      <c r="E36519" s="2">
        <v>0</v>
      </c>
      <c r="F36519" s="2">
        <v>8.5321957072390306E-3</v>
      </c>
    </row>
    <row r="36520" spans="1:6" x14ac:dyDescent="0.25">
      <c r="A36520" s="1" t="str">
        <f t="shared" si="1319"/>
        <v>46820</v>
      </c>
      <c r="B36520" s="1" t="str">
        <f>"57031"</f>
        <v>57031</v>
      </c>
      <c r="C36520" s="2">
        <v>3.07550361371674E-3</v>
      </c>
      <c r="D36520" s="2">
        <v>0</v>
      </c>
      <c r="E36520" s="2">
        <v>0</v>
      </c>
      <c r="F36520" s="2">
        <v>2.6663111585121901E-3</v>
      </c>
    </row>
    <row r="36521" spans="1:6" x14ac:dyDescent="0.25">
      <c r="A36521" s="1" t="str">
        <f t="shared" si="1319"/>
        <v>46820</v>
      </c>
      <c r="B36521" s="1" t="str">
        <f>"57010"</f>
        <v>57010</v>
      </c>
      <c r="C36521" s="2">
        <v>3.2292787944025798E-2</v>
      </c>
      <c r="D36521" s="2">
        <v>1.23152709359605E-2</v>
      </c>
      <c r="E36521" s="2">
        <v>6.7567567567567502E-3</v>
      </c>
      <c r="F36521" s="2">
        <v>2.91961071857085E-2</v>
      </c>
    </row>
    <row r="36522" spans="1:6" x14ac:dyDescent="0.25">
      <c r="A36522" s="1" t="str">
        <f t="shared" si="1319"/>
        <v>46820</v>
      </c>
      <c r="B36522" s="1" t="str">
        <f>"57014"</f>
        <v>57014</v>
      </c>
      <c r="C36522" s="2">
        <v>1.3839766261725299E-2</v>
      </c>
      <c r="D36522" s="2">
        <v>4.9261083743842296E-3</v>
      </c>
      <c r="E36522" s="2">
        <v>1.68918918918918E-3</v>
      </c>
      <c r="F36522" s="2">
        <v>1.2398346887081701E-2</v>
      </c>
    </row>
    <row r="36523" spans="1:6" x14ac:dyDescent="0.25">
      <c r="A36523" s="1" t="str">
        <f t="shared" ref="A36523:A36532" si="1320">"46860"</f>
        <v>46860</v>
      </c>
      <c r="B36523" s="1" t="str">
        <f>"84078"</f>
        <v>84078</v>
      </c>
      <c r="C36523" s="2">
        <v>0.80787183045288202</v>
      </c>
      <c r="D36523" s="2">
        <v>0.903927492447129</v>
      </c>
      <c r="E36523" s="2">
        <v>0.95791583166332595</v>
      </c>
      <c r="F36523" s="2">
        <v>0.82085739671257196</v>
      </c>
    </row>
    <row r="36524" spans="1:6" x14ac:dyDescent="0.25">
      <c r="A36524" s="1" t="str">
        <f t="shared" si="1320"/>
        <v>46860</v>
      </c>
      <c r="B36524" s="1" t="str">
        <f>"84026"</f>
        <v>84026</v>
      </c>
      <c r="C36524" s="2">
        <v>5.8849501703040201E-2</v>
      </c>
      <c r="D36524" s="2">
        <v>2.5981873111782398E-2</v>
      </c>
      <c r="E36524" s="2">
        <v>4.0080160320641201E-3</v>
      </c>
      <c r="F36524" s="2">
        <v>5.4309195912927502E-2</v>
      </c>
    </row>
    <row r="36525" spans="1:6" x14ac:dyDescent="0.25">
      <c r="A36525" s="1" t="str">
        <f t="shared" si="1320"/>
        <v>46860</v>
      </c>
      <c r="B36525" s="1" t="str">
        <f>"84035"</f>
        <v>84035</v>
      </c>
      <c r="C36525" s="2">
        <v>5.4875741137883098E-3</v>
      </c>
      <c r="D36525" s="2">
        <v>3.0211480362537699E-3</v>
      </c>
      <c r="E36525" s="2">
        <v>0</v>
      </c>
      <c r="F36525" s="2">
        <v>5.1088405153265201E-3</v>
      </c>
    </row>
    <row r="36526" spans="1:6" x14ac:dyDescent="0.25">
      <c r="A36526" s="1" t="str">
        <f t="shared" si="1320"/>
        <v>46860</v>
      </c>
      <c r="B36526" s="1" t="str">
        <f>"84079"</f>
        <v>84079</v>
      </c>
      <c r="C36526" s="2">
        <v>5.8155670493250898E-2</v>
      </c>
      <c r="D36526" s="2">
        <v>3.02114803625377E-2</v>
      </c>
      <c r="E36526" s="2">
        <v>4.0080160320641201E-3</v>
      </c>
      <c r="F36526" s="2">
        <v>5.4087072412261197E-2</v>
      </c>
    </row>
    <row r="36527" spans="1:6" x14ac:dyDescent="0.25">
      <c r="A36527" s="1" t="str">
        <f t="shared" si="1320"/>
        <v>46860</v>
      </c>
      <c r="B36527" s="1" t="str">
        <f>"84076"</f>
        <v>84076</v>
      </c>
      <c r="C36527" s="2">
        <v>2.5860981455783998E-3</v>
      </c>
      <c r="D36527" s="2">
        <v>0</v>
      </c>
      <c r="E36527" s="2">
        <v>2.0040080160320601E-3</v>
      </c>
      <c r="F36527" s="2">
        <v>2.3322967569968898E-3</v>
      </c>
    </row>
    <row r="36528" spans="1:6" x14ac:dyDescent="0.25">
      <c r="A36528" s="1" t="str">
        <f t="shared" si="1320"/>
        <v>46860</v>
      </c>
      <c r="B36528" s="1" t="str">
        <f>"84039"</f>
        <v>84039</v>
      </c>
      <c r="C36528" s="2">
        <v>6.9383120978932702E-3</v>
      </c>
      <c r="D36528" s="2">
        <v>0</v>
      </c>
      <c r="E36528" s="2">
        <v>2.0040080160320601E-3</v>
      </c>
      <c r="F36528" s="2">
        <v>6.1639271434917797E-3</v>
      </c>
    </row>
    <row r="36529" spans="1:6" x14ac:dyDescent="0.25">
      <c r="A36529" s="1" t="str">
        <f t="shared" si="1320"/>
        <v>46860</v>
      </c>
      <c r="B36529" s="1" t="str">
        <f>"84066"</f>
        <v>84066</v>
      </c>
      <c r="C36529" s="2">
        <v>4.5855935410621898E-2</v>
      </c>
      <c r="D36529" s="2">
        <v>3.5649546827794497E-2</v>
      </c>
      <c r="E36529" s="2">
        <v>2.40480961923847E-2</v>
      </c>
      <c r="F36529" s="2">
        <v>4.4313638382940897E-2</v>
      </c>
    </row>
    <row r="36530" spans="1:6" x14ac:dyDescent="0.25">
      <c r="A36530" s="1" t="str">
        <f t="shared" si="1320"/>
        <v>46860</v>
      </c>
      <c r="B36530" s="1" t="str">
        <f>"84085"</f>
        <v>84085</v>
      </c>
      <c r="C36530" s="2">
        <v>3.0907026617888198E-3</v>
      </c>
      <c r="D36530" s="2">
        <v>6.0422960725075496E-4</v>
      </c>
      <c r="E36530" s="2">
        <v>2.0040080160320601E-3</v>
      </c>
      <c r="F36530" s="2">
        <v>2.8320746334962199E-3</v>
      </c>
    </row>
    <row r="36531" spans="1:6" x14ac:dyDescent="0.25">
      <c r="A36531" s="1" t="str">
        <f t="shared" si="1320"/>
        <v>46860</v>
      </c>
      <c r="B36531" s="1" t="str">
        <f>"84008"</f>
        <v>84008</v>
      </c>
      <c r="C36531" s="2">
        <v>1.70304024221016E-3</v>
      </c>
      <c r="D36531" s="2">
        <v>6.0422960725075496E-4</v>
      </c>
      <c r="E36531" s="2">
        <v>2.0040080160320601E-3</v>
      </c>
      <c r="F36531" s="2">
        <v>1.6103953798311801E-3</v>
      </c>
    </row>
    <row r="36532" spans="1:6" x14ac:dyDescent="0.25">
      <c r="A36532" s="1" t="str">
        <f t="shared" si="1320"/>
        <v>46860</v>
      </c>
      <c r="B36532" s="1" t="str">
        <f>"84063"</f>
        <v>84063</v>
      </c>
      <c r="C36532" s="2">
        <v>9.4613346789453705E-3</v>
      </c>
      <c r="D36532" s="2">
        <v>0</v>
      </c>
      <c r="E36532" s="2">
        <v>2.0040080160320601E-3</v>
      </c>
      <c r="F36532" s="2">
        <v>8.3851621501554799E-3</v>
      </c>
    </row>
    <row r="36533" spans="1:6" x14ac:dyDescent="0.25">
      <c r="A36533" s="1" t="str">
        <f t="shared" ref="A36533:A36538" si="1321">"46900"</f>
        <v>46900</v>
      </c>
      <c r="B36533" s="1" t="str">
        <f>"76373"</f>
        <v>76373</v>
      </c>
      <c r="C36533" s="2">
        <v>1.24816446402349E-2</v>
      </c>
      <c r="D36533" s="2">
        <v>2.38663484486873E-3</v>
      </c>
      <c r="E36533" s="2">
        <v>2.3121387283236899E-2</v>
      </c>
      <c r="F36533" s="2">
        <v>1.16353407492647E-2</v>
      </c>
    </row>
    <row r="36534" spans="1:6" x14ac:dyDescent="0.25">
      <c r="A36534" s="1" t="str">
        <f t="shared" si="1321"/>
        <v>46900</v>
      </c>
      <c r="B36534" s="1" t="str">
        <f>"76364"</f>
        <v>76364</v>
      </c>
      <c r="C36534" s="2">
        <v>1.6740088105726799E-2</v>
      </c>
      <c r="D36534" s="2">
        <v>7.1599045346062004E-3</v>
      </c>
      <c r="E36534" s="2">
        <v>1.1560693641618399E-2</v>
      </c>
      <c r="F36534" s="2">
        <v>1.5599028257256099E-2</v>
      </c>
    </row>
    <row r="36535" spans="1:6" x14ac:dyDescent="0.25">
      <c r="A36535" s="1" t="str">
        <f t="shared" si="1321"/>
        <v>46900</v>
      </c>
      <c r="B36535" s="1" t="str">
        <f>"79225"</f>
        <v>79225</v>
      </c>
      <c r="C36535" s="2">
        <v>6.7547723935389098E-3</v>
      </c>
      <c r="D36535" s="2">
        <v>2.38663484486873E-3</v>
      </c>
      <c r="E36535" s="2">
        <v>1.1560693641618399E-2</v>
      </c>
      <c r="F36535" s="2">
        <v>6.3930443677279103E-3</v>
      </c>
    </row>
    <row r="36536" spans="1:6" x14ac:dyDescent="0.25">
      <c r="A36536" s="1" t="str">
        <f t="shared" si="1321"/>
        <v>46900</v>
      </c>
      <c r="B36536" s="1" t="str">
        <f>"76384"</f>
        <v>76384</v>
      </c>
      <c r="C36536" s="2">
        <v>0.95110132158590299</v>
      </c>
      <c r="D36536" s="2">
        <v>0.98210023866348395</v>
      </c>
      <c r="E36536" s="2">
        <v>0.94219653179190699</v>
      </c>
      <c r="F36536" s="2">
        <v>0.954225802327068</v>
      </c>
    </row>
    <row r="36537" spans="1:6" x14ac:dyDescent="0.25">
      <c r="A36537" s="1" t="str">
        <f t="shared" si="1321"/>
        <v>46900</v>
      </c>
      <c r="B36537" s="1" t="str">
        <f>"79247"</f>
        <v>79247</v>
      </c>
      <c r="C36537" s="2">
        <v>6.0205580029368501E-3</v>
      </c>
      <c r="D36537" s="2">
        <v>2.38663484486873E-3</v>
      </c>
      <c r="E36537" s="2">
        <v>1.1560693641618399E-2</v>
      </c>
      <c r="F36537" s="2">
        <v>5.7537399309551202E-3</v>
      </c>
    </row>
    <row r="36538" spans="1:6" x14ac:dyDescent="0.25">
      <c r="A36538" s="1" t="str">
        <f t="shared" si="1321"/>
        <v>46900</v>
      </c>
      <c r="B36538" s="1" t="str">
        <f>"76360"</f>
        <v>76360</v>
      </c>
      <c r="C36538" s="2">
        <v>6.9016152716593199E-3</v>
      </c>
      <c r="D36538" s="2">
        <v>3.5799522673031002E-3</v>
      </c>
      <c r="E36538" s="2">
        <v>0</v>
      </c>
      <c r="F36538" s="2">
        <v>6.3930443677279103E-3</v>
      </c>
    </row>
    <row r="36539" spans="1:6" x14ac:dyDescent="0.25">
      <c r="A36539" s="1" t="str">
        <f>"46980"</f>
        <v>46980</v>
      </c>
      <c r="B36539" s="1" t="str">
        <f>"39181"</f>
        <v>39181</v>
      </c>
      <c r="C36539" s="2">
        <v>1.7952989080140602E-2</v>
      </c>
      <c r="D36539" s="2">
        <v>6.1115355233002197E-2</v>
      </c>
      <c r="E36539" s="2">
        <v>1.3106159895150699E-3</v>
      </c>
      <c r="F36539" s="2">
        <v>2.1252796420581602E-2</v>
      </c>
    </row>
    <row r="36540" spans="1:6" x14ac:dyDescent="0.25">
      <c r="A36540" s="1" t="str">
        <f>"46980"</f>
        <v>46980</v>
      </c>
      <c r="B36540" s="1" t="str">
        <f>"39180"</f>
        <v>39180</v>
      </c>
      <c r="C36540" s="2">
        <v>0.60162872478252805</v>
      </c>
      <c r="D36540" s="2">
        <v>0.55729564553093902</v>
      </c>
      <c r="E36540" s="2">
        <v>0.62385321100917401</v>
      </c>
      <c r="F36540" s="2">
        <v>0.59836820634293897</v>
      </c>
    </row>
    <row r="36541" spans="1:6" x14ac:dyDescent="0.25">
      <c r="A36541" s="1" t="str">
        <f>"46980"</f>
        <v>46980</v>
      </c>
      <c r="B36541" s="1" t="str">
        <f>"39183"</f>
        <v>39183</v>
      </c>
      <c r="C36541" s="2">
        <v>0.30146215065704202</v>
      </c>
      <c r="D36541" s="2">
        <v>0.28342245989304798</v>
      </c>
      <c r="E36541" s="2">
        <v>0.37090432503276499</v>
      </c>
      <c r="F36541" s="2">
        <v>0.30165153309645998</v>
      </c>
    </row>
    <row r="36542" spans="1:6" x14ac:dyDescent="0.25">
      <c r="A36542" s="1" t="str">
        <f>"46980"</f>
        <v>46980</v>
      </c>
      <c r="B36542" s="1" t="str">
        <f>"39182"</f>
        <v>39182</v>
      </c>
      <c r="C36542" s="2">
        <v>6.8739589117157093E-2</v>
      </c>
      <c r="D36542" s="2">
        <v>9.5110771581359804E-2</v>
      </c>
      <c r="E36542" s="2">
        <v>1.3106159895150699E-3</v>
      </c>
      <c r="F36542" s="2">
        <v>6.9318331359389307E-2</v>
      </c>
    </row>
    <row r="36543" spans="1:6" x14ac:dyDescent="0.25">
      <c r="A36543" s="1" t="str">
        <f>"46980"</f>
        <v>46980</v>
      </c>
      <c r="B36543" s="1" t="str">
        <f>"39156"</f>
        <v>39156</v>
      </c>
      <c r="C36543" s="2">
        <v>1.0216546363131501E-2</v>
      </c>
      <c r="D36543" s="2">
        <v>3.0557677616501102E-3</v>
      </c>
      <c r="E36543" s="2">
        <v>2.6212319790301399E-3</v>
      </c>
      <c r="F36543" s="2">
        <v>9.4091327806290308E-3</v>
      </c>
    </row>
    <row r="36544" spans="1:6" x14ac:dyDescent="0.25">
      <c r="A36544" s="1" t="str">
        <f t="shared" ref="A36544:A36563" si="1322">"47020"</f>
        <v>47020</v>
      </c>
      <c r="B36544" s="1" t="str">
        <f>"77901"</f>
        <v>77901</v>
      </c>
      <c r="C36544" s="2">
        <v>0.39904394351372602</v>
      </c>
      <c r="D36544" s="2">
        <v>0.52282316839278797</v>
      </c>
      <c r="E36544" s="2">
        <v>0.72776119402984996</v>
      </c>
      <c r="F36544" s="2">
        <v>0.42182767226106299</v>
      </c>
    </row>
    <row r="36545" spans="1:6" x14ac:dyDescent="0.25">
      <c r="A36545" s="1" t="str">
        <f t="shared" si="1322"/>
        <v>47020</v>
      </c>
      <c r="B36545" s="1" t="str">
        <f>"77973"</f>
        <v>77973</v>
      </c>
      <c r="C36545" s="2">
        <v>0</v>
      </c>
      <c r="D36545" s="2">
        <v>1.91791331031837E-4</v>
      </c>
      <c r="E36545" s="2">
        <v>0</v>
      </c>
      <c r="F36545" s="2">
        <v>1.90501590688282E-5</v>
      </c>
    </row>
    <row r="36546" spans="1:6" x14ac:dyDescent="0.25">
      <c r="A36546" s="1" t="str">
        <f t="shared" si="1322"/>
        <v>47020</v>
      </c>
      <c r="B36546" s="1" t="str">
        <f>"78107"</f>
        <v>78107</v>
      </c>
      <c r="C36546" s="2">
        <v>0</v>
      </c>
      <c r="D36546" s="2">
        <v>1.91791331031837E-4</v>
      </c>
      <c r="E36546" s="2">
        <v>5.9701492537313401E-4</v>
      </c>
      <c r="F36546" s="2">
        <v>3.8100318137656401E-5</v>
      </c>
    </row>
    <row r="36547" spans="1:6" x14ac:dyDescent="0.25">
      <c r="A36547" s="1" t="str">
        <f t="shared" si="1322"/>
        <v>47020</v>
      </c>
      <c r="B36547" s="1" t="str">
        <f>"77904"</f>
        <v>77904</v>
      </c>
      <c r="C36547" s="2">
        <v>0.28756249451802401</v>
      </c>
      <c r="D36547" s="2">
        <v>0.20828538550057499</v>
      </c>
      <c r="E36547" s="2">
        <v>0.19104477611940199</v>
      </c>
      <c r="F36547" s="2">
        <v>0.27660830967938499</v>
      </c>
    </row>
    <row r="36548" spans="1:6" x14ac:dyDescent="0.25">
      <c r="A36548" s="1" t="str">
        <f t="shared" si="1322"/>
        <v>47020</v>
      </c>
      <c r="B36548" s="1" t="str">
        <f>"77968"</f>
        <v>77968</v>
      </c>
      <c r="C36548" s="2">
        <v>2.9471099026401101E-2</v>
      </c>
      <c r="D36548" s="2">
        <v>2.6850786344457199E-3</v>
      </c>
      <c r="E36548" s="2">
        <v>3.5820895522387999E-3</v>
      </c>
      <c r="F36548" s="2">
        <v>2.5984416969881598E-2</v>
      </c>
    </row>
    <row r="36549" spans="1:6" x14ac:dyDescent="0.25">
      <c r="A36549" s="1" t="str">
        <f t="shared" si="1322"/>
        <v>47020</v>
      </c>
      <c r="B36549" s="1" t="str">
        <f>"77905"</f>
        <v>77905</v>
      </c>
      <c r="C36549" s="2">
        <v>0.145601263047101</v>
      </c>
      <c r="D36549" s="2">
        <v>6.8469505178365905E-2</v>
      </c>
      <c r="E36549" s="2">
        <v>6.50746268656716E-2</v>
      </c>
      <c r="F36549" s="2">
        <v>0.13537043034309301</v>
      </c>
    </row>
    <row r="36550" spans="1:6" x14ac:dyDescent="0.25">
      <c r="A36550" s="1" t="str">
        <f t="shared" si="1322"/>
        <v>47020</v>
      </c>
      <c r="B36550" s="1" t="str">
        <f>"77974"</f>
        <v>77974</v>
      </c>
      <c r="C36550" s="2">
        <v>2.4778528199280699E-3</v>
      </c>
      <c r="D36550" s="2">
        <v>1.91791331031837E-4</v>
      </c>
      <c r="E36550" s="2">
        <v>0</v>
      </c>
      <c r="F36550" s="2">
        <v>2.1717181338464101E-3</v>
      </c>
    </row>
    <row r="36551" spans="1:6" x14ac:dyDescent="0.25">
      <c r="A36551" s="1" t="str">
        <f t="shared" si="1322"/>
        <v>47020</v>
      </c>
      <c r="B36551" s="1" t="str">
        <f>"77951"</f>
        <v>77951</v>
      </c>
      <c r="C36551" s="2">
        <v>2.4120691167441399E-4</v>
      </c>
      <c r="D36551" s="2">
        <v>1.91791331031837E-4</v>
      </c>
      <c r="E36551" s="2">
        <v>0</v>
      </c>
      <c r="F36551" s="2">
        <v>2.28601908825938E-4</v>
      </c>
    </row>
    <row r="36552" spans="1:6" x14ac:dyDescent="0.25">
      <c r="A36552" s="1" t="str">
        <f t="shared" si="1322"/>
        <v>47020</v>
      </c>
      <c r="B36552" s="1" t="str">
        <f>"77995"</f>
        <v>77995</v>
      </c>
      <c r="C36552" s="2">
        <v>2.6313481273572401E-3</v>
      </c>
      <c r="D36552" s="2">
        <v>7.6716532412734898E-4</v>
      </c>
      <c r="E36552" s="2">
        <v>0</v>
      </c>
      <c r="F36552" s="2">
        <v>2.3622197245346901E-3</v>
      </c>
    </row>
    <row r="36553" spans="1:6" x14ac:dyDescent="0.25">
      <c r="A36553" s="1" t="str">
        <f t="shared" si="1322"/>
        <v>47020</v>
      </c>
      <c r="B36553" s="1" t="str">
        <f>"77979"</f>
        <v>77979</v>
      </c>
      <c r="C36553" s="2">
        <v>3.06990614858345E-4</v>
      </c>
      <c r="D36553" s="2">
        <v>0</v>
      </c>
      <c r="E36553" s="2">
        <v>0</v>
      </c>
      <c r="F36553" s="2">
        <v>2.6670222696359501E-4</v>
      </c>
    </row>
    <row r="36554" spans="1:6" x14ac:dyDescent="0.25">
      <c r="A36554" s="1" t="str">
        <f t="shared" si="1322"/>
        <v>47020</v>
      </c>
      <c r="B36554" s="1" t="str">
        <f>"77988"</f>
        <v>77988</v>
      </c>
      <c r="C36554" s="2">
        <v>0</v>
      </c>
      <c r="D36554" s="2">
        <v>1.91791331031837E-4</v>
      </c>
      <c r="E36554" s="2">
        <v>0</v>
      </c>
      <c r="F36554" s="2">
        <v>1.90501590688282E-5</v>
      </c>
    </row>
    <row r="36555" spans="1:6" x14ac:dyDescent="0.25">
      <c r="A36555" s="1" t="str">
        <f t="shared" si="1322"/>
        <v>47020</v>
      </c>
      <c r="B36555" s="1" t="str">
        <f>"78119"</f>
        <v>78119</v>
      </c>
      <c r="C36555" s="2">
        <v>3.06990614858345E-4</v>
      </c>
      <c r="D36555" s="2">
        <v>1.91791331031837E-4</v>
      </c>
      <c r="E36555" s="2">
        <v>0</v>
      </c>
      <c r="F36555" s="2">
        <v>2.85752386032423E-4</v>
      </c>
    </row>
    <row r="36556" spans="1:6" x14ac:dyDescent="0.25">
      <c r="A36556" s="1" t="str">
        <f t="shared" si="1322"/>
        <v>47020</v>
      </c>
      <c r="B36556" s="1" t="str">
        <f>"77903"</f>
        <v>77903</v>
      </c>
      <c r="C36556" s="2">
        <v>5.0719235154810902E-2</v>
      </c>
      <c r="D36556" s="2">
        <v>0.10471806674338301</v>
      </c>
      <c r="E36556" s="2">
        <v>5.9701492537313401E-4</v>
      </c>
      <c r="F36556" s="2">
        <v>5.4483454936848703E-2</v>
      </c>
    </row>
    <row r="36557" spans="1:6" x14ac:dyDescent="0.25">
      <c r="A36557" s="1" t="str">
        <f t="shared" si="1322"/>
        <v>47020</v>
      </c>
      <c r="B36557" s="1" t="str">
        <f>"77963"</f>
        <v>77963</v>
      </c>
      <c r="C36557" s="2">
        <v>4.7561617401982198E-2</v>
      </c>
      <c r="D36557" s="2">
        <v>1.9754507096279201E-2</v>
      </c>
      <c r="E36557" s="2">
        <v>1.01492537313432E-2</v>
      </c>
      <c r="F36557" s="2">
        <v>4.3605814108547802E-2</v>
      </c>
    </row>
    <row r="36558" spans="1:6" x14ac:dyDescent="0.25">
      <c r="A36558" s="1" t="str">
        <f t="shared" si="1322"/>
        <v>47020</v>
      </c>
      <c r="B36558" s="1" t="str">
        <f>"77960"</f>
        <v>77960</v>
      </c>
      <c r="C36558" s="2">
        <v>2.19279010613104E-5</v>
      </c>
      <c r="D36558" s="2">
        <v>1.91791331031837E-4</v>
      </c>
      <c r="E36558" s="2">
        <v>0</v>
      </c>
      <c r="F36558" s="2">
        <v>3.8100318137656401E-5</v>
      </c>
    </row>
    <row r="36559" spans="1:6" x14ac:dyDescent="0.25">
      <c r="A36559" s="1" t="str">
        <f t="shared" si="1322"/>
        <v>47020</v>
      </c>
      <c r="B36559" s="1" t="str">
        <f>"77976"</f>
        <v>77976</v>
      </c>
      <c r="C36559" s="2">
        <v>2.19279010613104E-5</v>
      </c>
      <c r="D36559" s="2">
        <v>3.83582662063674E-4</v>
      </c>
      <c r="E36559" s="2">
        <v>0</v>
      </c>
      <c r="F36559" s="2">
        <v>5.7150477206484601E-5</v>
      </c>
    </row>
    <row r="36560" spans="1:6" x14ac:dyDescent="0.25">
      <c r="A36560" s="1" t="str">
        <f t="shared" si="1322"/>
        <v>47020</v>
      </c>
      <c r="B36560" s="1" t="str">
        <f>"78164"</f>
        <v>78164</v>
      </c>
      <c r="C36560" s="2">
        <v>2.6752039294798699E-3</v>
      </c>
      <c r="D36560" s="2">
        <v>0</v>
      </c>
      <c r="E36560" s="2">
        <v>0</v>
      </c>
      <c r="F36560" s="2">
        <v>2.3241194063970401E-3</v>
      </c>
    </row>
    <row r="36561" spans="1:6" x14ac:dyDescent="0.25">
      <c r="A36561" s="1" t="str">
        <f t="shared" si="1322"/>
        <v>47020</v>
      </c>
      <c r="B36561" s="1" t="str">
        <f>"77977"</f>
        <v>77977</v>
      </c>
      <c r="C36561" s="2">
        <v>8.7711604245241598E-5</v>
      </c>
      <c r="D36561" s="2">
        <v>1.91791331031837E-4</v>
      </c>
      <c r="E36561" s="2">
        <v>0</v>
      </c>
      <c r="F36561" s="2">
        <v>9.5250795344141103E-5</v>
      </c>
    </row>
    <row r="36562" spans="1:6" x14ac:dyDescent="0.25">
      <c r="A36562" s="1" t="str">
        <f t="shared" si="1322"/>
        <v>47020</v>
      </c>
      <c r="B36562" s="1" t="str">
        <f>"77993"</f>
        <v>77993</v>
      </c>
      <c r="C36562" s="2">
        <v>0</v>
      </c>
      <c r="D36562" s="2">
        <v>1.91791331031837E-4</v>
      </c>
      <c r="E36562" s="2">
        <v>0</v>
      </c>
      <c r="F36562" s="2">
        <v>1.90501590688282E-5</v>
      </c>
    </row>
    <row r="36563" spans="1:6" x14ac:dyDescent="0.25">
      <c r="A36563" s="1" t="str">
        <f t="shared" si="1322"/>
        <v>47020</v>
      </c>
      <c r="B36563" s="1" t="str">
        <f>"77902"</f>
        <v>77902</v>
      </c>
      <c r="C36563" s="2">
        <v>3.1269186913428601E-2</v>
      </c>
      <c r="D36563" s="2">
        <v>7.0387418488684295E-2</v>
      </c>
      <c r="E36563" s="2">
        <v>1.19402985074626E-3</v>
      </c>
      <c r="F36563" s="2">
        <v>3.4195035528546601E-2</v>
      </c>
    </row>
    <row r="36564" spans="1:6" x14ac:dyDescent="0.25">
      <c r="A36564" s="1" t="str">
        <f t="shared" ref="A36564:A36572" si="1323">"47080"</f>
        <v>47080</v>
      </c>
      <c r="B36564" s="1" t="str">
        <f>"30474"</f>
        <v>30474</v>
      </c>
      <c r="C36564" s="2">
        <v>0.46985684138481698</v>
      </c>
      <c r="D36564" s="2">
        <v>0.65819861431870597</v>
      </c>
      <c r="E36564" s="2">
        <v>0.50947867298578098</v>
      </c>
      <c r="F36564" s="2">
        <v>0.487275867323614</v>
      </c>
    </row>
    <row r="36565" spans="1:6" x14ac:dyDescent="0.25">
      <c r="A36565" s="1" t="str">
        <f t="shared" si="1323"/>
        <v>47080</v>
      </c>
      <c r="B36565" s="1" t="str">
        <f>"30473"</f>
        <v>30473</v>
      </c>
      <c r="C36565" s="2">
        <v>7.9336109051502804E-2</v>
      </c>
      <c r="D36565" s="2">
        <v>2.0785219399538101E-2</v>
      </c>
      <c r="E36565" s="2">
        <v>9.4786729857819895E-3</v>
      </c>
      <c r="F36565" s="2">
        <v>7.2687560318992206E-2</v>
      </c>
    </row>
    <row r="36566" spans="1:6" x14ac:dyDescent="0.25">
      <c r="A36566" s="1" t="str">
        <f t="shared" si="1323"/>
        <v>47080</v>
      </c>
      <c r="B36566" s="1" t="str">
        <f>"30436"</f>
        <v>30436</v>
      </c>
      <c r="C36566" s="2">
        <v>0.31637483602349797</v>
      </c>
      <c r="D36566" s="2">
        <v>0.27540415704387899</v>
      </c>
      <c r="E36566" s="2">
        <v>0.428909952606635</v>
      </c>
      <c r="F36566" s="2">
        <v>0.31518260781226098</v>
      </c>
    </row>
    <row r="36567" spans="1:6" x14ac:dyDescent="0.25">
      <c r="A36567" s="1" t="str">
        <f t="shared" si="1323"/>
        <v>47080</v>
      </c>
      <c r="B36567" s="1" t="str">
        <f>"30410"</f>
        <v>30410</v>
      </c>
      <c r="C36567" s="2">
        <v>4.2320196201448598E-2</v>
      </c>
      <c r="D36567" s="2">
        <v>1.27020785219399E-2</v>
      </c>
      <c r="E36567" s="2">
        <v>9.4786729857819895E-3</v>
      </c>
      <c r="F36567" s="2">
        <v>3.9010514552750501E-2</v>
      </c>
    </row>
    <row r="36568" spans="1:6" x14ac:dyDescent="0.25">
      <c r="A36568" s="1" t="str">
        <f t="shared" si="1323"/>
        <v>47080</v>
      </c>
      <c r="B36568" s="1" t="str">
        <f>"30457"</f>
        <v>30457</v>
      </c>
      <c r="C36568" s="2">
        <v>2.0532709747333499E-3</v>
      </c>
      <c r="D36568" s="2">
        <v>0</v>
      </c>
      <c r="E36568" s="2">
        <v>0</v>
      </c>
      <c r="F36568" s="2">
        <v>1.8286178696601801E-3</v>
      </c>
    </row>
    <row r="36569" spans="1:6" x14ac:dyDescent="0.25">
      <c r="A36569" s="1" t="str">
        <f t="shared" si="1323"/>
        <v>47080</v>
      </c>
      <c r="B36569" s="1" t="str">
        <f>"30412"</f>
        <v>30412</v>
      </c>
      <c r="C36569" s="2">
        <v>0</v>
      </c>
      <c r="D36569" s="2">
        <v>5.7736720554272495E-4</v>
      </c>
      <c r="E36569" s="2">
        <v>0</v>
      </c>
      <c r="F36569" s="2">
        <v>5.0794940823893898E-5</v>
      </c>
    </row>
    <row r="36570" spans="1:6" x14ac:dyDescent="0.25">
      <c r="A36570" s="1" t="str">
        <f t="shared" si="1323"/>
        <v>47080</v>
      </c>
      <c r="B36570" s="1" t="str">
        <f>"30453"</f>
        <v>30453</v>
      </c>
      <c r="C36570" s="2">
        <v>2.8517652426852198E-4</v>
      </c>
      <c r="D36570" s="2">
        <v>0</v>
      </c>
      <c r="E36570" s="2">
        <v>0</v>
      </c>
      <c r="F36570" s="2">
        <v>2.5397470411946902E-4</v>
      </c>
    </row>
    <row r="36571" spans="1:6" x14ac:dyDescent="0.25">
      <c r="A36571" s="1" t="str">
        <f t="shared" si="1323"/>
        <v>47080</v>
      </c>
      <c r="B36571" s="1" t="str">
        <f>"30445"</f>
        <v>30445</v>
      </c>
      <c r="C36571" s="2">
        <v>7.0210460274910097E-2</v>
      </c>
      <c r="D36571" s="2">
        <v>2.59815242494226E-2</v>
      </c>
      <c r="E36571" s="2">
        <v>4.2654028436018898E-2</v>
      </c>
      <c r="F36571" s="2">
        <v>6.5728653426118694E-2</v>
      </c>
    </row>
    <row r="36572" spans="1:6" x14ac:dyDescent="0.25">
      <c r="A36572" s="1" t="str">
        <f t="shared" si="1323"/>
        <v>47080</v>
      </c>
      <c r="B36572" s="1" t="str">
        <f>"30470"</f>
        <v>30470</v>
      </c>
      <c r="C36572" s="2">
        <v>1.9563109564820599E-2</v>
      </c>
      <c r="D36572" s="2">
        <v>6.3510392609699698E-3</v>
      </c>
      <c r="E36572" s="2">
        <v>0</v>
      </c>
      <c r="F36572" s="2">
        <v>1.79814090516584E-2</v>
      </c>
    </row>
    <row r="36573" spans="1:6" x14ac:dyDescent="0.25">
      <c r="A36573" s="1" t="str">
        <f t="shared" ref="A36573:A36585" si="1324">"47180"</f>
        <v>47180</v>
      </c>
      <c r="B36573" s="1" t="str">
        <f>"47535"</f>
        <v>47535</v>
      </c>
      <c r="C36573" s="2">
        <v>1.23900879296562E-2</v>
      </c>
      <c r="D36573" s="2">
        <v>0</v>
      </c>
      <c r="E36573" s="2">
        <v>3.6697247706421999E-3</v>
      </c>
      <c r="F36573" s="2">
        <v>1.10762694719805E-2</v>
      </c>
    </row>
    <row r="36574" spans="1:6" x14ac:dyDescent="0.25">
      <c r="A36574" s="1" t="str">
        <f t="shared" si="1324"/>
        <v>47180</v>
      </c>
      <c r="B36574" s="1" t="str">
        <f>"47596"</f>
        <v>47596</v>
      </c>
      <c r="C36574" s="2">
        <v>5.3671348635377404E-3</v>
      </c>
      <c r="D36574" s="2">
        <v>0</v>
      </c>
      <c r="E36574" s="2">
        <v>1.8348623853210999E-3</v>
      </c>
      <c r="F36574" s="2">
        <v>4.8047744284847203E-3</v>
      </c>
    </row>
    <row r="36575" spans="1:6" x14ac:dyDescent="0.25">
      <c r="A36575" s="1" t="str">
        <f t="shared" si="1324"/>
        <v>47180</v>
      </c>
      <c r="B36575" s="1" t="str">
        <f>"47591"</f>
        <v>47591</v>
      </c>
      <c r="C36575" s="2">
        <v>0.70492177686422197</v>
      </c>
      <c r="D36575" s="2">
        <v>0.86164623467600698</v>
      </c>
      <c r="E36575" s="2">
        <v>0.92477064220183403</v>
      </c>
      <c r="F36575" s="2">
        <v>0.72455998381549602</v>
      </c>
    </row>
    <row r="36576" spans="1:6" x14ac:dyDescent="0.25">
      <c r="A36576" s="1" t="str">
        <f t="shared" si="1324"/>
        <v>47180</v>
      </c>
      <c r="B36576" s="1" t="str">
        <f>"47573"</f>
        <v>47573</v>
      </c>
      <c r="C36576" s="2">
        <v>1.8271097407788E-3</v>
      </c>
      <c r="D36576" s="2">
        <v>0</v>
      </c>
      <c r="E36576" s="2">
        <v>1.8348623853210999E-3</v>
      </c>
      <c r="F36576" s="2">
        <v>1.6690269067367899E-3</v>
      </c>
    </row>
    <row r="36577" spans="1:6" x14ac:dyDescent="0.25">
      <c r="A36577" s="1" t="str">
        <f t="shared" si="1324"/>
        <v>47180</v>
      </c>
      <c r="B36577" s="1" t="str">
        <f>"47557"</f>
        <v>47557</v>
      </c>
      <c r="C36577" s="2">
        <v>2.1297247915952899E-2</v>
      </c>
      <c r="D36577" s="2">
        <v>5.2539404553415001E-3</v>
      </c>
      <c r="E36577" s="2">
        <v>1.8348623853210999E-3</v>
      </c>
      <c r="F36577" s="2">
        <v>1.93708274327331E-2</v>
      </c>
    </row>
    <row r="36578" spans="1:6" x14ac:dyDescent="0.25">
      <c r="A36578" s="1" t="str">
        <f t="shared" si="1324"/>
        <v>47180</v>
      </c>
      <c r="B36578" s="1" t="str">
        <f>"47516"</f>
        <v>47516</v>
      </c>
      <c r="C36578" s="2">
        <v>3.3801530204407897E-2</v>
      </c>
      <c r="D36578" s="2">
        <v>1.1675423234092199E-2</v>
      </c>
      <c r="E36578" s="2">
        <v>1.8348623853210999E-3</v>
      </c>
      <c r="F36578" s="2">
        <v>3.1003439206959301E-2</v>
      </c>
    </row>
    <row r="36579" spans="1:6" x14ac:dyDescent="0.25">
      <c r="A36579" s="1" t="str">
        <f t="shared" si="1324"/>
        <v>47180</v>
      </c>
      <c r="B36579" s="1" t="str">
        <f>"47578"</f>
        <v>47578</v>
      </c>
      <c r="C36579" s="2">
        <v>1.53020440790224E-2</v>
      </c>
      <c r="D36579" s="2">
        <v>1.1675423234092199E-3</v>
      </c>
      <c r="E36579" s="2">
        <v>1.8348623853210999E-3</v>
      </c>
      <c r="F36579" s="2">
        <v>1.37062512644143E-2</v>
      </c>
    </row>
    <row r="36580" spans="1:6" x14ac:dyDescent="0.25">
      <c r="A36580" s="1" t="str">
        <f t="shared" si="1324"/>
        <v>47180</v>
      </c>
      <c r="B36580" s="1" t="str">
        <f>"47597"</f>
        <v>47597</v>
      </c>
      <c r="C36580" s="2">
        <v>1.87278748429827E-2</v>
      </c>
      <c r="D36580" s="2">
        <v>4.67016929363689E-3</v>
      </c>
      <c r="E36580" s="2">
        <v>1.8348623853210999E-3</v>
      </c>
      <c r="F36580" s="2">
        <v>1.70443050778879E-2</v>
      </c>
    </row>
    <row r="36581" spans="1:6" x14ac:dyDescent="0.25">
      <c r="A36581" s="1" t="str">
        <f t="shared" si="1324"/>
        <v>47180</v>
      </c>
      <c r="B36581" s="1" t="str">
        <f>"47528"</f>
        <v>47528</v>
      </c>
      <c r="C36581" s="2">
        <v>2.0098207148566801E-2</v>
      </c>
      <c r="D36581" s="2">
        <v>9.9241097489784005E-3</v>
      </c>
      <c r="E36581" s="2">
        <v>1.8348623853210999E-3</v>
      </c>
      <c r="F36581" s="2">
        <v>1.8713331984624701E-2</v>
      </c>
    </row>
    <row r="36582" spans="1:6" x14ac:dyDescent="0.25">
      <c r="A36582" s="1" t="str">
        <f t="shared" si="1324"/>
        <v>47180</v>
      </c>
      <c r="B36582" s="1" t="str">
        <f>"47838"</f>
        <v>47838</v>
      </c>
      <c r="C36582" s="2">
        <v>1.7129153819801299E-4</v>
      </c>
      <c r="D36582" s="2">
        <v>0</v>
      </c>
      <c r="E36582" s="2">
        <v>0</v>
      </c>
      <c r="F36582" s="2">
        <v>1.5172971879425399E-4</v>
      </c>
    </row>
    <row r="36583" spans="1:6" x14ac:dyDescent="0.25">
      <c r="A36583" s="1" t="str">
        <f t="shared" si="1324"/>
        <v>47180</v>
      </c>
      <c r="B36583" s="1" t="str">
        <f>"47512"</f>
        <v>47512</v>
      </c>
      <c r="C36583" s="2">
        <v>0.11630695443645001</v>
      </c>
      <c r="D36583" s="2">
        <v>8.6981903093987095E-2</v>
      </c>
      <c r="E36583" s="2">
        <v>4.5871559633027498E-2</v>
      </c>
      <c r="F36583" s="2">
        <v>0.111824802751365</v>
      </c>
    </row>
    <row r="36584" spans="1:6" x14ac:dyDescent="0.25">
      <c r="A36584" s="1" t="str">
        <f t="shared" si="1324"/>
        <v>47180</v>
      </c>
      <c r="B36584" s="1" t="str">
        <f>"47561"</f>
        <v>47561</v>
      </c>
      <c r="C36584" s="2">
        <v>3.4087016101404501E-2</v>
      </c>
      <c r="D36584" s="2">
        <v>1.1675423234092199E-2</v>
      </c>
      <c r="E36584" s="2">
        <v>1.1009174311926599E-2</v>
      </c>
      <c r="F36584" s="2">
        <v>3.1509204936273502E-2</v>
      </c>
    </row>
    <row r="36585" spans="1:6" x14ac:dyDescent="0.25">
      <c r="A36585" s="1" t="str">
        <f t="shared" si="1324"/>
        <v>47180</v>
      </c>
      <c r="B36585" s="1" t="str">
        <f>"47524"</f>
        <v>47524</v>
      </c>
      <c r="C36585" s="2">
        <v>1.5701724334817799E-2</v>
      </c>
      <c r="D36585" s="2">
        <v>7.0052539404553398E-3</v>
      </c>
      <c r="E36585" s="2">
        <v>1.8348623853210999E-3</v>
      </c>
      <c r="F36585" s="2">
        <v>1.4566053004248399E-2</v>
      </c>
    </row>
    <row r="36586" spans="1:6" x14ac:dyDescent="0.25">
      <c r="A36586" s="1" t="str">
        <f t="shared" ref="A36586:A36610" si="1325">"47220"</f>
        <v>47220</v>
      </c>
      <c r="B36586" s="1" t="str">
        <f>"08270"</f>
        <v>08270</v>
      </c>
      <c r="C36586" s="2">
        <v>1.33034006817992E-4</v>
      </c>
      <c r="D36586" s="2">
        <v>0</v>
      </c>
      <c r="E36586" s="2">
        <v>0</v>
      </c>
      <c r="F36586" s="2">
        <v>1.19440421624688E-4</v>
      </c>
    </row>
    <row r="36587" spans="1:6" x14ac:dyDescent="0.25">
      <c r="A36587" s="1" t="str">
        <f t="shared" si="1325"/>
        <v>47220</v>
      </c>
      <c r="B36587" s="1" t="str">
        <f>"08332"</f>
        <v>08332</v>
      </c>
      <c r="C36587" s="2">
        <v>0.27052465286438798</v>
      </c>
      <c r="D36587" s="2">
        <v>0.215565509518477</v>
      </c>
      <c r="E36587" s="2">
        <v>0.19313593539703899</v>
      </c>
      <c r="F36587" s="2">
        <v>0.26441123337165301</v>
      </c>
    </row>
    <row r="36588" spans="1:6" x14ac:dyDescent="0.25">
      <c r="A36588" s="1" t="str">
        <f t="shared" si="1325"/>
        <v>47220</v>
      </c>
      <c r="B36588" s="1" t="str">
        <f>"08302"</f>
        <v>08302</v>
      </c>
      <c r="C36588" s="2">
        <v>0.26332418724536399</v>
      </c>
      <c r="D36588" s="2">
        <v>0.237775289287047</v>
      </c>
      <c r="E36588" s="2">
        <v>0.207940780619111</v>
      </c>
      <c r="F36588" s="2">
        <v>0.26005165798235202</v>
      </c>
    </row>
    <row r="36589" spans="1:6" x14ac:dyDescent="0.25">
      <c r="A36589" s="1" t="str">
        <f t="shared" si="1325"/>
        <v>47220</v>
      </c>
      <c r="B36589" s="1" t="str">
        <f>"08353"</f>
        <v>08353</v>
      </c>
      <c r="C36589" s="2">
        <v>2.6107923838031002E-3</v>
      </c>
      <c r="D36589" s="2">
        <v>7.4654721911160795E-4</v>
      </c>
      <c r="E36589" s="2">
        <v>6.7294751009421201E-4</v>
      </c>
      <c r="F36589" s="2">
        <v>2.41866853789993E-3</v>
      </c>
    </row>
    <row r="36590" spans="1:6" x14ac:dyDescent="0.25">
      <c r="A36590" s="1" t="str">
        <f t="shared" si="1325"/>
        <v>47220</v>
      </c>
      <c r="B36590" s="1" t="str">
        <f>"08349"</f>
        <v>08349</v>
      </c>
      <c r="C36590" s="2">
        <v>1.22391286272553E-2</v>
      </c>
      <c r="D36590" s="2">
        <v>3.7327360955580402E-3</v>
      </c>
      <c r="E36590" s="2">
        <v>6.0565275908479096E-3</v>
      </c>
      <c r="F36590" s="2">
        <v>1.14214903178608E-2</v>
      </c>
    </row>
    <row r="36591" spans="1:6" x14ac:dyDescent="0.25">
      <c r="A36591" s="1" t="str">
        <f t="shared" si="1325"/>
        <v>47220</v>
      </c>
      <c r="B36591" s="1" t="str">
        <f>"08345"</f>
        <v>08345</v>
      </c>
      <c r="C36591" s="2">
        <v>8.0818159141930607E-3</v>
      </c>
      <c r="D36591" s="2">
        <v>3.9193729003359403E-3</v>
      </c>
      <c r="E36591" s="2">
        <v>6.7294751009421201E-4</v>
      </c>
      <c r="F36591" s="2">
        <v>7.5844667731676998E-3</v>
      </c>
    </row>
    <row r="36592" spans="1:6" x14ac:dyDescent="0.25">
      <c r="A36592" s="1" t="str">
        <f t="shared" si="1325"/>
        <v>47220</v>
      </c>
      <c r="B36592" s="1" t="str">
        <f>"08344"</f>
        <v>08344</v>
      </c>
      <c r="C36592" s="2">
        <v>8.2148499210110502E-3</v>
      </c>
      <c r="D36592" s="2">
        <v>7.4654721911160795E-4</v>
      </c>
      <c r="E36592" s="2">
        <v>4.0376850605652699E-3</v>
      </c>
      <c r="F36592" s="2">
        <v>7.5247465623553599E-3</v>
      </c>
    </row>
    <row r="36593" spans="1:6" x14ac:dyDescent="0.25">
      <c r="A36593" s="1" t="str">
        <f t="shared" si="1325"/>
        <v>47220</v>
      </c>
      <c r="B36593" s="1" t="str">
        <f>"08324"</f>
        <v>08324</v>
      </c>
      <c r="C36593" s="2">
        <v>9.9775505113494601E-4</v>
      </c>
      <c r="D36593" s="2">
        <v>1.8663680477790199E-4</v>
      </c>
      <c r="E36593" s="2">
        <v>6.7294751009421201E-4</v>
      </c>
      <c r="F36593" s="2">
        <v>9.2566326759133404E-4</v>
      </c>
    </row>
    <row r="36594" spans="1:6" x14ac:dyDescent="0.25">
      <c r="A36594" s="1" t="str">
        <f t="shared" si="1325"/>
        <v>47220</v>
      </c>
      <c r="B36594" s="1" t="str">
        <f>"08360"</f>
        <v>08360</v>
      </c>
      <c r="C36594" s="2">
        <v>0.25364596324935501</v>
      </c>
      <c r="D36594" s="2">
        <v>0.393990294886151</v>
      </c>
      <c r="E36594" s="2">
        <v>0.52422611036339095</v>
      </c>
      <c r="F36594" s="2">
        <v>0.27087594619208999</v>
      </c>
    </row>
    <row r="36595" spans="1:6" x14ac:dyDescent="0.25">
      <c r="A36595" s="1" t="str">
        <f t="shared" si="1325"/>
        <v>47220</v>
      </c>
      <c r="B36595" s="1" t="str">
        <f>"08362"</f>
        <v>08362</v>
      </c>
      <c r="C36595" s="2">
        <v>2.4893988525816899E-2</v>
      </c>
      <c r="D36595" s="2">
        <v>7.2974990668159698E-2</v>
      </c>
      <c r="E36595" s="2">
        <v>2.6917900403768502E-3</v>
      </c>
      <c r="F36595" s="2">
        <v>2.8247659714238701E-2</v>
      </c>
    </row>
    <row r="36596" spans="1:6" x14ac:dyDescent="0.25">
      <c r="A36596" s="1" t="str">
        <f t="shared" si="1325"/>
        <v>47220</v>
      </c>
      <c r="B36596" s="1" t="str">
        <f>"08327"</f>
        <v>08327</v>
      </c>
      <c r="C36596" s="2">
        <v>3.2427039161885699E-3</v>
      </c>
      <c r="D36596" s="2">
        <v>1.67973124300111E-3</v>
      </c>
      <c r="E36596" s="2">
        <v>2.0188425302826302E-3</v>
      </c>
      <c r="F36596" s="2">
        <v>3.09052090953881E-3</v>
      </c>
    </row>
    <row r="36597" spans="1:6" x14ac:dyDescent="0.25">
      <c r="A36597" s="1" t="str">
        <f t="shared" si="1325"/>
        <v>47220</v>
      </c>
      <c r="B36597" s="1" t="str">
        <f>"08314"</f>
        <v>08314</v>
      </c>
      <c r="C36597" s="2">
        <v>1.4966325767024099E-3</v>
      </c>
      <c r="D36597" s="2">
        <v>9.3318402388951102E-4</v>
      </c>
      <c r="E36597" s="2">
        <v>2.0188425302826302E-3</v>
      </c>
      <c r="F36597" s="2">
        <v>1.4631451649024299E-3</v>
      </c>
    </row>
    <row r="36598" spans="1:6" x14ac:dyDescent="0.25">
      <c r="A36598" s="1" t="str">
        <f t="shared" si="1325"/>
        <v>47220</v>
      </c>
      <c r="B36598" s="1" t="str">
        <f>"08311"</f>
        <v>08311</v>
      </c>
      <c r="C36598" s="2">
        <v>1.1906543610210299E-2</v>
      </c>
      <c r="D36598" s="2">
        <v>3.1728256812243302E-3</v>
      </c>
      <c r="E36598" s="2">
        <v>3.3647375504710598E-3</v>
      </c>
      <c r="F36598" s="2">
        <v>1.10183788948774E-2</v>
      </c>
    </row>
    <row r="36599" spans="1:6" x14ac:dyDescent="0.25">
      <c r="A36599" s="1" t="str">
        <f t="shared" si="1325"/>
        <v>47220</v>
      </c>
      <c r="B36599" s="1" t="str">
        <f>"08361"</f>
        <v>08361</v>
      </c>
      <c r="C36599" s="2">
        <v>0.11888251434272799</v>
      </c>
      <c r="D36599" s="2">
        <v>5.1138484509145203E-2</v>
      </c>
      <c r="E36599" s="2">
        <v>4.5087483176312199E-2</v>
      </c>
      <c r="F36599" s="2">
        <v>0.111826094746114</v>
      </c>
    </row>
    <row r="36600" spans="1:6" x14ac:dyDescent="0.25">
      <c r="A36600" s="1" t="str">
        <f t="shared" si="1325"/>
        <v>47220</v>
      </c>
      <c r="B36600" s="1" t="str">
        <f>"08315"</f>
        <v>08315</v>
      </c>
      <c r="C36600" s="2">
        <v>0</v>
      </c>
      <c r="D36600" s="2">
        <v>0</v>
      </c>
      <c r="E36600" s="2">
        <v>6.7294751009421201E-4</v>
      </c>
      <c r="F36600" s="2">
        <v>1.4930052703086E-5</v>
      </c>
    </row>
    <row r="36601" spans="1:6" x14ac:dyDescent="0.25">
      <c r="A36601" s="1" t="str">
        <f t="shared" si="1325"/>
        <v>47220</v>
      </c>
      <c r="B36601" s="1" t="str">
        <f>"08329"</f>
        <v>08329</v>
      </c>
      <c r="C36601" s="2">
        <v>1.0310135528394399E-3</v>
      </c>
      <c r="D36601" s="2">
        <v>0</v>
      </c>
      <c r="E36601" s="2">
        <v>6.7294751009421201E-4</v>
      </c>
      <c r="F36601" s="2">
        <v>9.4059332029441999E-4</v>
      </c>
    </row>
    <row r="36602" spans="1:6" x14ac:dyDescent="0.25">
      <c r="A36602" s="1" t="str">
        <f t="shared" si="1325"/>
        <v>47220</v>
      </c>
      <c r="B36602" s="1" t="str">
        <f>"08318"</f>
        <v>08318</v>
      </c>
      <c r="C36602" s="2">
        <v>2.59416313295086E-3</v>
      </c>
      <c r="D36602" s="2">
        <v>5.5991041433370596E-4</v>
      </c>
      <c r="E36602" s="2">
        <v>0</v>
      </c>
      <c r="F36602" s="2">
        <v>2.3738783797906801E-3</v>
      </c>
    </row>
    <row r="36603" spans="1:6" x14ac:dyDescent="0.25">
      <c r="A36603" s="1" t="str">
        <f t="shared" si="1325"/>
        <v>47220</v>
      </c>
      <c r="B36603" s="1" t="str">
        <f>"08340"</f>
        <v>08340</v>
      </c>
      <c r="C36603" s="2">
        <v>1.8624760954518899E-3</v>
      </c>
      <c r="D36603" s="2">
        <v>5.5991041433370596E-4</v>
      </c>
      <c r="E36603" s="2">
        <v>0</v>
      </c>
      <c r="F36603" s="2">
        <v>1.7169560608548901E-3</v>
      </c>
    </row>
    <row r="36604" spans="1:6" x14ac:dyDescent="0.25">
      <c r="A36604" s="1" t="str">
        <f t="shared" si="1325"/>
        <v>47220</v>
      </c>
      <c r="B36604" s="1" t="str">
        <f>"08348"</f>
        <v>08348</v>
      </c>
      <c r="C36604" s="2">
        <v>1.66292508522491E-4</v>
      </c>
      <c r="D36604" s="2">
        <v>1.8663680477790199E-4</v>
      </c>
      <c r="E36604" s="2">
        <v>6.7294751009421201E-4</v>
      </c>
      <c r="F36604" s="2">
        <v>1.7916063243703201E-4</v>
      </c>
    </row>
    <row r="36605" spans="1:6" x14ac:dyDescent="0.25">
      <c r="A36605" s="1" t="str">
        <f t="shared" si="1325"/>
        <v>47220</v>
      </c>
      <c r="B36605" s="1" t="str">
        <f>"08313"</f>
        <v>08313</v>
      </c>
      <c r="C36605" s="2">
        <v>0</v>
      </c>
      <c r="D36605" s="2">
        <v>0</v>
      </c>
      <c r="E36605" s="2">
        <v>6.7294751009421201E-4</v>
      </c>
      <c r="F36605" s="2">
        <v>1.4930052703086E-5</v>
      </c>
    </row>
    <row r="36606" spans="1:6" x14ac:dyDescent="0.25">
      <c r="A36606" s="1" t="str">
        <f t="shared" si="1325"/>
        <v>47220</v>
      </c>
      <c r="B36606" s="1" t="str">
        <f>"08352"</f>
        <v>08352</v>
      </c>
      <c r="C36606" s="2">
        <v>8.6139519414650308E-3</v>
      </c>
      <c r="D36606" s="2">
        <v>1.08249346771183E-2</v>
      </c>
      <c r="E36606" s="2">
        <v>1.3458950201884199E-3</v>
      </c>
      <c r="F36606" s="2">
        <v>8.6295704623837299E-3</v>
      </c>
    </row>
    <row r="36607" spans="1:6" x14ac:dyDescent="0.25">
      <c r="A36607" s="1" t="str">
        <f t="shared" si="1325"/>
        <v>47220</v>
      </c>
      <c r="B36607" s="1" t="str">
        <f>"08320"</f>
        <v>08320</v>
      </c>
      <c r="C36607" s="2">
        <v>0</v>
      </c>
      <c r="D36607" s="2">
        <v>0</v>
      </c>
      <c r="E36607" s="2">
        <v>1.3458950201884199E-3</v>
      </c>
      <c r="F36607" s="2">
        <v>2.9860105406171999E-5</v>
      </c>
    </row>
    <row r="36608" spans="1:6" x14ac:dyDescent="0.25">
      <c r="A36608" s="1" t="str">
        <f t="shared" si="1325"/>
        <v>47220</v>
      </c>
      <c r="B36608" s="1" t="str">
        <f>"08316"</f>
        <v>08316</v>
      </c>
      <c r="C36608" s="2">
        <v>0</v>
      </c>
      <c r="D36608" s="2">
        <v>0</v>
      </c>
      <c r="E36608" s="2">
        <v>6.7294751009421201E-4</v>
      </c>
      <c r="F36608" s="2">
        <v>1.4930052703086E-5</v>
      </c>
    </row>
    <row r="36609" spans="1:6" x14ac:dyDescent="0.25">
      <c r="A36609" s="1" t="str">
        <f t="shared" si="1325"/>
        <v>47220</v>
      </c>
      <c r="B36609" s="1" t="str">
        <f>"08323"</f>
        <v>08323</v>
      </c>
      <c r="C36609" s="2">
        <v>5.53754053379895E-3</v>
      </c>
      <c r="D36609" s="2">
        <v>1.3064576334453099E-3</v>
      </c>
      <c r="E36609" s="2">
        <v>6.7294751009421201E-4</v>
      </c>
      <c r="F36609" s="2">
        <v>5.0911479717523399E-3</v>
      </c>
    </row>
    <row r="36610" spans="1:6" x14ac:dyDescent="0.25">
      <c r="A36610" s="1" t="str">
        <f t="shared" si="1325"/>
        <v>47220</v>
      </c>
      <c r="B36610" s="1" t="str">
        <f>"08321"</f>
        <v>08321</v>
      </c>
      <c r="C36610" s="2">
        <v>0</v>
      </c>
      <c r="D36610" s="2">
        <v>0</v>
      </c>
      <c r="E36610" s="2">
        <v>6.7294751009421201E-4</v>
      </c>
      <c r="F36610" s="2">
        <v>1.4930052703086E-5</v>
      </c>
    </row>
    <row r="36611" spans="1:6" x14ac:dyDescent="0.25">
      <c r="A36611" s="1" t="str">
        <f t="shared" ref="A36611:A36617" si="1326">"47240"</f>
        <v>47240</v>
      </c>
      <c r="B36611" s="1" t="str">
        <f>"02552"</f>
        <v>02552</v>
      </c>
      <c r="C36611" s="2">
        <v>0</v>
      </c>
      <c r="D36611" s="2">
        <v>7.8554595443833405E-4</v>
      </c>
      <c r="E36611" s="2">
        <v>0</v>
      </c>
      <c r="F36611" s="2">
        <v>5.2156678662702703E-5</v>
      </c>
    </row>
    <row r="36612" spans="1:6" x14ac:dyDescent="0.25">
      <c r="A36612" s="1" t="str">
        <f t="shared" si="1326"/>
        <v>47240</v>
      </c>
      <c r="B36612" s="1" t="str">
        <f>"02713"</f>
        <v>02713</v>
      </c>
      <c r="C36612" s="2">
        <v>0</v>
      </c>
      <c r="D36612" s="2">
        <v>0</v>
      </c>
      <c r="E36612" s="2">
        <v>9.8039215686274508E-3</v>
      </c>
      <c r="F36612" s="2">
        <v>5.2156678662702703E-5</v>
      </c>
    </row>
    <row r="36613" spans="1:6" x14ac:dyDescent="0.25">
      <c r="A36613" s="1" t="str">
        <f t="shared" si="1326"/>
        <v>47240</v>
      </c>
      <c r="B36613" s="1" t="str">
        <f>"02557"</f>
        <v>02557</v>
      </c>
      <c r="C36613" s="2">
        <v>0.12737386223171099</v>
      </c>
      <c r="D36613" s="2">
        <v>0.18381775333857001</v>
      </c>
      <c r="E36613" s="2">
        <v>1.9607843137254902E-2</v>
      </c>
      <c r="F36613" s="2">
        <v>0.13054816669274499</v>
      </c>
    </row>
    <row r="36614" spans="1:6" x14ac:dyDescent="0.25">
      <c r="A36614" s="1" t="str">
        <f t="shared" si="1326"/>
        <v>47240</v>
      </c>
      <c r="B36614" s="1" t="str">
        <f>"02539"</f>
        <v>02539</v>
      </c>
      <c r="C36614" s="2">
        <v>0.27503090234857802</v>
      </c>
      <c r="D36614" s="2">
        <v>0.29850746268656703</v>
      </c>
      <c r="E36614" s="2">
        <v>0.36274509803921501</v>
      </c>
      <c r="F36614" s="2">
        <v>0.277056277056277</v>
      </c>
    </row>
    <row r="36615" spans="1:6" x14ac:dyDescent="0.25">
      <c r="A36615" s="1" t="str">
        <f t="shared" si="1326"/>
        <v>47240</v>
      </c>
      <c r="B36615" s="1" t="str">
        <f>"02535"</f>
        <v>02535</v>
      </c>
      <c r="C36615" s="2">
        <v>6.5962467692999197E-2</v>
      </c>
      <c r="D36615" s="2">
        <v>1.02120974076983E-2</v>
      </c>
      <c r="E36615" s="2">
        <v>1.9607843137254902E-2</v>
      </c>
      <c r="F36615" s="2">
        <v>6.2014290929953503E-2</v>
      </c>
    </row>
    <row r="36616" spans="1:6" x14ac:dyDescent="0.25">
      <c r="A36616" s="1" t="str">
        <f t="shared" si="1326"/>
        <v>47240</v>
      </c>
      <c r="B36616" s="1" t="str">
        <f>"02568"</f>
        <v>02568</v>
      </c>
      <c r="C36616" s="2">
        <v>0.46707495224182399</v>
      </c>
      <c r="D36616" s="2">
        <v>0.39591516103691998</v>
      </c>
      <c r="E36616" s="2">
        <v>0.54901960784313697</v>
      </c>
      <c r="F36616" s="2">
        <v>0.46278620977416102</v>
      </c>
    </row>
    <row r="36617" spans="1:6" x14ac:dyDescent="0.25">
      <c r="A36617" s="1" t="str">
        <f t="shared" si="1326"/>
        <v>47240</v>
      </c>
      <c r="B36617" s="1" t="str">
        <f>"02575"</f>
        <v>02575</v>
      </c>
      <c r="C36617" s="2">
        <v>6.45578154848859E-2</v>
      </c>
      <c r="D36617" s="2">
        <v>0.110761979575805</v>
      </c>
      <c r="E36617" s="2">
        <v>3.9215686274509803E-2</v>
      </c>
      <c r="F36617" s="2">
        <v>6.7490742189537295E-2</v>
      </c>
    </row>
    <row r="36618" spans="1:6" x14ac:dyDescent="0.25">
      <c r="A36618" s="1" t="str">
        <f t="shared" ref="A36618:A36649" si="1327">"47260"</f>
        <v>47260</v>
      </c>
      <c r="B36618" s="1" t="str">
        <f>"23062"</f>
        <v>23062</v>
      </c>
      <c r="C36618" s="2">
        <v>1.6560307221402E-3</v>
      </c>
      <c r="D36618" s="2">
        <v>1.2013964466933301E-3</v>
      </c>
      <c r="E36618" s="2">
        <v>3.0881060408105001E-4</v>
      </c>
      <c r="F36618" s="2">
        <v>1.55994772067098E-3</v>
      </c>
    </row>
    <row r="36619" spans="1:6" x14ac:dyDescent="0.25">
      <c r="A36619" s="1" t="str">
        <f t="shared" si="1327"/>
        <v>47260</v>
      </c>
      <c r="B36619" s="1" t="str">
        <f>"23128"</f>
        <v>23128</v>
      </c>
      <c r="C36619" s="2">
        <v>4.2601236420855798E-4</v>
      </c>
      <c r="D36619" s="2">
        <v>7.0670379217254806E-5</v>
      </c>
      <c r="E36619" s="2">
        <v>2.3754661852388501E-5</v>
      </c>
      <c r="F36619" s="2">
        <v>3.8052778771738402E-4</v>
      </c>
    </row>
    <row r="36620" spans="1:6" x14ac:dyDescent="0.25">
      <c r="A36620" s="1" t="str">
        <f t="shared" si="1327"/>
        <v>47260</v>
      </c>
      <c r="B36620" s="1" t="str">
        <f>"23455"</f>
        <v>23455</v>
      </c>
      <c r="C36620" s="2">
        <v>2.7307885045611598E-2</v>
      </c>
      <c r="D36620" s="2">
        <v>2.0494409973003901E-2</v>
      </c>
      <c r="E36620" s="2">
        <v>2.5536261491317599E-2</v>
      </c>
      <c r="F36620" s="2">
        <v>2.6706132010710901E-2</v>
      </c>
    </row>
    <row r="36621" spans="1:6" x14ac:dyDescent="0.25">
      <c r="A36621" s="1" t="str">
        <f t="shared" si="1327"/>
        <v>47260</v>
      </c>
      <c r="B36621" s="1" t="str">
        <f>"23454"</f>
        <v>23454</v>
      </c>
      <c r="C36621" s="2">
        <v>3.2143002254417997E-2</v>
      </c>
      <c r="D36621" s="2">
        <v>3.3045469321988298E-2</v>
      </c>
      <c r="E36621" s="2">
        <v>2.9669572653633201E-2</v>
      </c>
      <c r="F36621" s="2">
        <v>3.2099464774693998E-2</v>
      </c>
    </row>
    <row r="36622" spans="1:6" x14ac:dyDescent="0.25">
      <c r="A36622" s="1" t="str">
        <f t="shared" si="1327"/>
        <v>47260</v>
      </c>
      <c r="B36622" s="1" t="str">
        <f>"23324"</f>
        <v>23324</v>
      </c>
      <c r="C36622" s="2">
        <v>1.28443959058488E-2</v>
      </c>
      <c r="D36622" s="2">
        <v>1.1264858447230399E-2</v>
      </c>
      <c r="E36622" s="2">
        <v>1.70796018718673E-2</v>
      </c>
      <c r="F36622" s="2">
        <v>1.29163238853616E-2</v>
      </c>
    </row>
    <row r="36623" spans="1:6" x14ac:dyDescent="0.25">
      <c r="A36623" s="1" t="str">
        <f t="shared" si="1327"/>
        <v>47260</v>
      </c>
      <c r="B36623" s="1" t="str">
        <f>"23320"</f>
        <v>23320</v>
      </c>
      <c r="C36623" s="2">
        <v>3.2677364584089999E-2</v>
      </c>
      <c r="D36623" s="2">
        <v>5.1377365690944199E-2</v>
      </c>
      <c r="E36623" s="2">
        <v>4.2212034111694399E-2</v>
      </c>
      <c r="F36623" s="2">
        <v>3.4541545094164398E-2</v>
      </c>
    </row>
    <row r="36624" spans="1:6" x14ac:dyDescent="0.25">
      <c r="A36624" s="1" t="str">
        <f t="shared" si="1327"/>
        <v>47260</v>
      </c>
      <c r="B36624" s="1" t="str">
        <f>"23434"</f>
        <v>23434</v>
      </c>
      <c r="C36624" s="2">
        <v>2.7730203660997502E-2</v>
      </c>
      <c r="D36624" s="2">
        <v>2.4692230498508799E-2</v>
      </c>
      <c r="E36624" s="2">
        <v>1.17585576169323E-2</v>
      </c>
      <c r="F36624" s="2">
        <v>2.6770994701799101E-2</v>
      </c>
    </row>
    <row r="36625" spans="1:6" x14ac:dyDescent="0.25">
      <c r="A36625" s="1" t="str">
        <f t="shared" si="1327"/>
        <v>47260</v>
      </c>
      <c r="B36625" s="1" t="str">
        <f>"23661"</f>
        <v>23661</v>
      </c>
      <c r="C36625" s="2">
        <v>7.9932724521443992E-3</v>
      </c>
      <c r="D36625" s="2">
        <v>9.7101101044508205E-3</v>
      </c>
      <c r="E36625" s="2">
        <v>3.75323657267738E-3</v>
      </c>
      <c r="F36625" s="2">
        <v>7.9316260752342292E-3</v>
      </c>
    </row>
    <row r="36626" spans="1:6" x14ac:dyDescent="0.25">
      <c r="A36626" s="1" t="str">
        <f t="shared" si="1327"/>
        <v>47260</v>
      </c>
      <c r="B36626" s="1" t="str">
        <f>"23605"</f>
        <v>23605</v>
      </c>
      <c r="C36626" s="2">
        <v>9.6480719246770704E-3</v>
      </c>
      <c r="D36626" s="2">
        <v>9.5122330426425008E-3</v>
      </c>
      <c r="E36626" s="2">
        <v>9.97695797800318E-3</v>
      </c>
      <c r="F36626" s="2">
        <v>9.6526494787742192E-3</v>
      </c>
    </row>
    <row r="36627" spans="1:6" x14ac:dyDescent="0.25">
      <c r="A36627" s="1" t="str">
        <f t="shared" si="1327"/>
        <v>47260</v>
      </c>
      <c r="B36627" s="1" t="str">
        <f>"23707"</f>
        <v>23707</v>
      </c>
      <c r="C36627" s="2">
        <v>8.9425658995571106E-3</v>
      </c>
      <c r="D36627" s="2">
        <v>1.0430947972466799E-2</v>
      </c>
      <c r="E36627" s="2">
        <v>1.0570824524312799E-2</v>
      </c>
      <c r="F36627" s="2">
        <v>9.1305048155142891E-3</v>
      </c>
    </row>
    <row r="36628" spans="1:6" x14ac:dyDescent="0.25">
      <c r="A36628" s="1" t="str">
        <f t="shared" si="1327"/>
        <v>47260</v>
      </c>
      <c r="B36628" s="1" t="str">
        <f>"23693"</f>
        <v>23693</v>
      </c>
      <c r="C36628" s="2">
        <v>1.16340775416377E-2</v>
      </c>
      <c r="D36628" s="2">
        <v>8.4521773543836803E-3</v>
      </c>
      <c r="E36628" s="2">
        <v>1.0262013920231801E-2</v>
      </c>
      <c r="F36628" s="2">
        <v>1.1328268998552399E-2</v>
      </c>
    </row>
    <row r="36629" spans="1:6" x14ac:dyDescent="0.25">
      <c r="A36629" s="1" t="str">
        <f t="shared" si="1327"/>
        <v>47260</v>
      </c>
      <c r="B36629" s="1" t="str">
        <f>"23691"</f>
        <v>23691</v>
      </c>
      <c r="C36629" s="2">
        <v>5.1712483516645798E-5</v>
      </c>
      <c r="D36629" s="2">
        <v>7.7737417138980301E-4</v>
      </c>
      <c r="E36629" s="2">
        <v>2.61301280376273E-4</v>
      </c>
      <c r="F36629" s="2">
        <v>1.16752843958743E-4</v>
      </c>
    </row>
    <row r="36630" spans="1:6" x14ac:dyDescent="0.25">
      <c r="A36630" s="1" t="str">
        <f t="shared" si="1327"/>
        <v>47260</v>
      </c>
      <c r="B36630" s="1" t="str">
        <f>"23467"</f>
        <v>23467</v>
      </c>
      <c r="C36630" s="2">
        <v>7.9908099529293203E-4</v>
      </c>
      <c r="D36630" s="2">
        <v>4.8479880143036799E-3</v>
      </c>
      <c r="E36630" s="2">
        <v>4.7509323704777002E-5</v>
      </c>
      <c r="F36630" s="2">
        <v>1.0745585823610201E-3</v>
      </c>
    </row>
    <row r="36631" spans="1:6" x14ac:dyDescent="0.25">
      <c r="A36631" s="1" t="str">
        <f t="shared" si="1327"/>
        <v>47260</v>
      </c>
      <c r="B36631" s="1" t="str">
        <f>"23541"</f>
        <v>23541</v>
      </c>
      <c r="C36631" s="2">
        <v>1.0847309042420199E-3</v>
      </c>
      <c r="D36631" s="2">
        <v>2.79854701700329E-3</v>
      </c>
      <c r="E36631" s="2">
        <v>4.7509323704777002E-5</v>
      </c>
      <c r="F36631" s="2">
        <v>1.16860948443889E-3</v>
      </c>
    </row>
    <row r="36632" spans="1:6" x14ac:dyDescent="0.25">
      <c r="A36632" s="1" t="str">
        <f t="shared" si="1327"/>
        <v>47260</v>
      </c>
      <c r="B36632" s="1" t="str">
        <f>"23424"</f>
        <v>23424</v>
      </c>
      <c r="C36632" s="2">
        <v>0</v>
      </c>
      <c r="D36632" s="2">
        <v>1.41340758434509E-5</v>
      </c>
      <c r="E36632" s="2">
        <v>0</v>
      </c>
      <c r="F36632" s="2">
        <v>1.0810448514698399E-6</v>
      </c>
    </row>
    <row r="36633" spans="1:6" x14ac:dyDescent="0.25">
      <c r="A36633" s="1" t="str">
        <f t="shared" si="1327"/>
        <v>47260</v>
      </c>
      <c r="B36633" s="1" t="str">
        <f>"23066"</f>
        <v>23066</v>
      </c>
      <c r="C36633" s="2">
        <v>0</v>
      </c>
      <c r="D36633" s="2">
        <v>0</v>
      </c>
      <c r="E36633" s="2">
        <v>2.3754661852388501E-5</v>
      </c>
      <c r="F36633" s="2">
        <v>1.0810448514698399E-6</v>
      </c>
    </row>
    <row r="36634" spans="1:6" x14ac:dyDescent="0.25">
      <c r="A36634" s="1" t="str">
        <f t="shared" si="1327"/>
        <v>47260</v>
      </c>
      <c r="B36634" s="1" t="str">
        <f>"23064"</f>
        <v>23064</v>
      </c>
      <c r="C36634" s="2">
        <v>0</v>
      </c>
      <c r="D36634" s="2">
        <v>0</v>
      </c>
      <c r="E36634" s="2">
        <v>2.3754661852388501E-5</v>
      </c>
      <c r="F36634" s="2">
        <v>1.0810448514698399E-6</v>
      </c>
    </row>
    <row r="36635" spans="1:6" x14ac:dyDescent="0.25">
      <c r="A36635" s="1" t="str">
        <f t="shared" si="1327"/>
        <v>47260</v>
      </c>
      <c r="B36635" s="1" t="str">
        <f>"23694"</f>
        <v>23694</v>
      </c>
      <c r="C36635" s="2">
        <v>0</v>
      </c>
      <c r="D36635" s="2">
        <v>1.41340758434509E-5</v>
      </c>
      <c r="E36635" s="2">
        <v>0</v>
      </c>
      <c r="F36635" s="2">
        <v>1.0810448514698399E-6</v>
      </c>
    </row>
    <row r="36636" spans="1:6" x14ac:dyDescent="0.25">
      <c r="A36636" s="1" t="str">
        <f t="shared" si="1327"/>
        <v>47260</v>
      </c>
      <c r="B36636" s="1" t="str">
        <f>"23155"</f>
        <v>23155</v>
      </c>
      <c r="C36636" s="2">
        <v>0</v>
      </c>
      <c r="D36636" s="2">
        <v>0</v>
      </c>
      <c r="E36636" s="2">
        <v>2.3754661852388501E-5</v>
      </c>
      <c r="F36636" s="2">
        <v>1.0810448514698399E-6</v>
      </c>
    </row>
    <row r="36637" spans="1:6" x14ac:dyDescent="0.25">
      <c r="A36637" s="1" t="str">
        <f t="shared" si="1327"/>
        <v>47260</v>
      </c>
      <c r="B36637" s="1" t="str">
        <f>"23479"</f>
        <v>23479</v>
      </c>
      <c r="C36637" s="2">
        <v>0</v>
      </c>
      <c r="D36637" s="2">
        <v>0</v>
      </c>
      <c r="E36637" s="2">
        <v>9.5018647409554098E-5</v>
      </c>
      <c r="F36637" s="2">
        <v>4.3241794058793699E-6</v>
      </c>
    </row>
    <row r="36638" spans="1:6" x14ac:dyDescent="0.25">
      <c r="A36638" s="1" t="str">
        <f t="shared" si="1327"/>
        <v>47260</v>
      </c>
      <c r="B36638" s="1" t="str">
        <f>"23708"</f>
        <v>23708</v>
      </c>
      <c r="C36638" s="2">
        <v>0</v>
      </c>
      <c r="D36638" s="2">
        <v>9.8938530904156799E-5</v>
      </c>
      <c r="E36638" s="2">
        <v>1.9003729481910801E-4</v>
      </c>
      <c r="F36638" s="2">
        <v>1.6215672772047599E-5</v>
      </c>
    </row>
    <row r="36639" spans="1:6" x14ac:dyDescent="0.25">
      <c r="A36639" s="1" t="str">
        <f t="shared" si="1327"/>
        <v>47260</v>
      </c>
      <c r="B36639" s="1" t="str">
        <f>"23163"</f>
        <v>23163</v>
      </c>
      <c r="C36639" s="2">
        <v>1.37899956044389E-4</v>
      </c>
      <c r="D36639" s="2">
        <v>1.41340758434509E-5</v>
      </c>
      <c r="E36639" s="2">
        <v>2.3754661852388501E-5</v>
      </c>
      <c r="F36639" s="2">
        <v>1.2323911306756199E-4</v>
      </c>
    </row>
    <row r="36640" spans="1:6" x14ac:dyDescent="0.25">
      <c r="A36640" s="1" t="str">
        <f t="shared" si="1327"/>
        <v>47260</v>
      </c>
      <c r="B36640" s="1" t="str">
        <f>"23025"</f>
        <v>23025</v>
      </c>
      <c r="C36640" s="2">
        <v>1.74837444270564E-4</v>
      </c>
      <c r="D36640" s="2">
        <v>2.8268151686901901E-5</v>
      </c>
      <c r="E36640" s="2">
        <v>0</v>
      </c>
      <c r="F36640" s="2">
        <v>1.5567045861165701E-4</v>
      </c>
    </row>
    <row r="36641" spans="1:6" x14ac:dyDescent="0.25">
      <c r="A36641" s="1" t="str">
        <f t="shared" si="1327"/>
        <v>47260</v>
      </c>
      <c r="B36641" s="1" t="str">
        <f>"23045"</f>
        <v>23045</v>
      </c>
      <c r="C36641" s="2">
        <v>9.7268718995595799E-5</v>
      </c>
      <c r="D36641" s="2">
        <v>2.8268151686901901E-5</v>
      </c>
      <c r="E36641" s="2">
        <v>2.3754661852388501E-5</v>
      </c>
      <c r="F36641" s="2">
        <v>8.8645677820527004E-5</v>
      </c>
    </row>
    <row r="36642" spans="1:6" x14ac:dyDescent="0.25">
      <c r="A36642" s="1" t="str">
        <f t="shared" si="1327"/>
        <v>47260</v>
      </c>
      <c r="B36642" s="1" t="str">
        <f>"23109"</f>
        <v>23109</v>
      </c>
      <c r="C36642" s="2">
        <v>7.7691850235722703E-4</v>
      </c>
      <c r="D36642" s="2">
        <v>3.6748597192972498E-4</v>
      </c>
      <c r="E36642" s="2">
        <v>3.5631992778582702E-4</v>
      </c>
      <c r="F36642" s="2">
        <v>7.2646214018773402E-4</v>
      </c>
    </row>
    <row r="36643" spans="1:6" x14ac:dyDescent="0.25">
      <c r="A36643" s="1" t="str">
        <f t="shared" si="1327"/>
        <v>47260</v>
      </c>
      <c r="B36643" s="1" t="str">
        <f>"27964"</f>
        <v>27964</v>
      </c>
      <c r="C36643" s="2">
        <v>2.5363741915307198E-4</v>
      </c>
      <c r="D36643" s="2">
        <v>9.4698308151121497E-4</v>
      </c>
      <c r="E36643" s="2">
        <v>1.06895978335748E-3</v>
      </c>
      <c r="F36643" s="2">
        <v>3.4377226276740902E-4</v>
      </c>
    </row>
    <row r="36644" spans="1:6" x14ac:dyDescent="0.25">
      <c r="A36644" s="1" t="str">
        <f t="shared" si="1327"/>
        <v>47260</v>
      </c>
      <c r="B36644" s="1" t="str">
        <f>"27965"</f>
        <v>27965</v>
      </c>
      <c r="C36644" s="2">
        <v>2.9919365463202199E-4</v>
      </c>
      <c r="D36644" s="2">
        <v>1.6960891012141101E-4</v>
      </c>
      <c r="E36644" s="2">
        <v>1.9003729481910801E-4</v>
      </c>
      <c r="F36644" s="2">
        <v>2.8431479593656799E-4</v>
      </c>
    </row>
    <row r="36645" spans="1:6" x14ac:dyDescent="0.25">
      <c r="A36645" s="1" t="str">
        <f t="shared" si="1327"/>
        <v>47260</v>
      </c>
      <c r="B36645" s="1" t="str">
        <f>"23061"</f>
        <v>23061</v>
      </c>
      <c r="C36645" s="2">
        <v>1.31940707943899E-2</v>
      </c>
      <c r="D36645" s="2">
        <v>1.06429591101185E-2</v>
      </c>
      <c r="E36645" s="2">
        <v>3.301897997482E-3</v>
      </c>
      <c r="F36645" s="2">
        <v>1.25487686358619E-2</v>
      </c>
    </row>
    <row r="36646" spans="1:6" x14ac:dyDescent="0.25">
      <c r="A36646" s="1" t="str">
        <f t="shared" si="1327"/>
        <v>47260</v>
      </c>
      <c r="B36646" s="1" t="str">
        <f>"23125"</f>
        <v>23125</v>
      </c>
      <c r="C36646" s="2">
        <v>4.9249984301567501E-5</v>
      </c>
      <c r="D36646" s="2">
        <v>0</v>
      </c>
      <c r="E36646" s="2">
        <v>2.3754661852388501E-5</v>
      </c>
      <c r="F36646" s="2">
        <v>4.4322838910263502E-5</v>
      </c>
    </row>
    <row r="36647" spans="1:6" x14ac:dyDescent="0.25">
      <c r="A36647" s="1" t="str">
        <f t="shared" si="1327"/>
        <v>47260</v>
      </c>
      <c r="B36647" s="1" t="str">
        <f>"23452"</f>
        <v>23452</v>
      </c>
      <c r="C36647" s="2">
        <v>2.93899281319604E-2</v>
      </c>
      <c r="D36647" s="2">
        <v>4.7108874786222103E-2</v>
      </c>
      <c r="E36647" s="2">
        <v>4.28771646435612E-2</v>
      </c>
      <c r="F36647" s="2">
        <v>3.1358949051437102E-2</v>
      </c>
    </row>
    <row r="36648" spans="1:6" x14ac:dyDescent="0.25">
      <c r="A36648" s="1" t="str">
        <f t="shared" si="1327"/>
        <v>47260</v>
      </c>
      <c r="B36648" s="1" t="str">
        <f>"23314"</f>
        <v>23314</v>
      </c>
      <c r="C36648" s="2">
        <v>5.1380046122610204E-3</v>
      </c>
      <c r="D36648" s="2">
        <v>2.8550833203770899E-3</v>
      </c>
      <c r="E36648" s="2">
        <v>1.92412761004347E-3</v>
      </c>
      <c r="F36648" s="2">
        <v>4.8171358581496097E-3</v>
      </c>
    </row>
    <row r="36649" spans="1:6" x14ac:dyDescent="0.25">
      <c r="A36649" s="1" t="str">
        <f t="shared" si="1327"/>
        <v>47260</v>
      </c>
      <c r="B36649" s="1" t="str">
        <f>"23665"</f>
        <v>23665</v>
      </c>
      <c r="C36649" s="2">
        <v>3.4770488916906601E-3</v>
      </c>
      <c r="D36649" s="2">
        <v>2.5582677276646199E-3</v>
      </c>
      <c r="E36649" s="2">
        <v>5.6939924460175297E-2</v>
      </c>
      <c r="F36649" s="2">
        <v>5.8398042876400798E-3</v>
      </c>
    </row>
    <row r="36650" spans="1:6" x14ac:dyDescent="0.25">
      <c r="A36650" s="1" t="str">
        <f t="shared" ref="A36650:A36681" si="1328">"47260"</f>
        <v>47260</v>
      </c>
      <c r="B36650" s="1" t="str">
        <f>"23662"</f>
        <v>23662</v>
      </c>
      <c r="C36650" s="2">
        <v>6.6388978838512903E-3</v>
      </c>
      <c r="D36650" s="2">
        <v>4.9327924693643903E-3</v>
      </c>
      <c r="E36650" s="2">
        <v>1.73409031522436E-3</v>
      </c>
      <c r="F36650" s="2">
        <v>6.2851947664456596E-3</v>
      </c>
    </row>
    <row r="36651" spans="1:6" x14ac:dyDescent="0.25">
      <c r="A36651" s="1" t="str">
        <f t="shared" si="1328"/>
        <v>47260</v>
      </c>
      <c r="B36651" s="1" t="str">
        <f>"23551"</f>
        <v>23551</v>
      </c>
      <c r="C36651" s="2">
        <v>0</v>
      </c>
      <c r="D36651" s="2">
        <v>0</v>
      </c>
      <c r="E36651" s="2">
        <v>8.5041689431550899E-3</v>
      </c>
      <c r="F36651" s="2">
        <v>3.8701405682620301E-4</v>
      </c>
    </row>
    <row r="36652" spans="1:6" x14ac:dyDescent="0.25">
      <c r="A36652" s="1" t="str">
        <f t="shared" si="1328"/>
        <v>47260</v>
      </c>
      <c r="B36652" s="1" t="str">
        <f>"23704"</f>
        <v>23704</v>
      </c>
      <c r="C36652" s="2">
        <v>1.2327271070682299E-2</v>
      </c>
      <c r="D36652" s="2">
        <v>1.44308914361634E-2</v>
      </c>
      <c r="E36652" s="2">
        <v>1.5844359455543099E-2</v>
      </c>
      <c r="F36652" s="2">
        <v>1.26482247621971E-2</v>
      </c>
    </row>
    <row r="36653" spans="1:6" x14ac:dyDescent="0.25">
      <c r="A36653" s="1" t="str">
        <f t="shared" si="1328"/>
        <v>47260</v>
      </c>
      <c r="B36653" s="1" t="str">
        <f>"23466"</f>
        <v>23466</v>
      </c>
      <c r="C36653" s="2">
        <v>1.49966202198273E-3</v>
      </c>
      <c r="D36653" s="2">
        <v>5.3285465929810098E-3</v>
      </c>
      <c r="E36653" s="2">
        <v>4.7509323704777002E-5</v>
      </c>
      <c r="F36653" s="2">
        <v>1.7264286277973301E-3</v>
      </c>
    </row>
    <row r="36654" spans="1:6" x14ac:dyDescent="0.25">
      <c r="A36654" s="1" t="str">
        <f t="shared" si="1328"/>
        <v>47260</v>
      </c>
      <c r="B36654" s="1" t="str">
        <f>"23487"</f>
        <v>23487</v>
      </c>
      <c r="C36654" s="2">
        <v>3.5053676326640601E-3</v>
      </c>
      <c r="D36654" s="2">
        <v>2.3886588175432099E-3</v>
      </c>
      <c r="E36654" s="2">
        <v>7.8390384112882096E-4</v>
      </c>
      <c r="F36654" s="2">
        <v>3.2961057521315499E-3</v>
      </c>
    </row>
    <row r="36655" spans="1:6" x14ac:dyDescent="0.25">
      <c r="A36655" s="1" t="str">
        <f t="shared" si="1328"/>
        <v>47260</v>
      </c>
      <c r="B36655" s="1" t="str">
        <f>"23898"</f>
        <v>23898</v>
      </c>
      <c r="C36655" s="2">
        <v>1.1672246279471399E-3</v>
      </c>
      <c r="D36655" s="2">
        <v>1.5547483427796001E-4</v>
      </c>
      <c r="E36655" s="2">
        <v>2.3754661852388501E-5</v>
      </c>
      <c r="F36655" s="2">
        <v>1.03780305741104E-3</v>
      </c>
    </row>
    <row r="36656" spans="1:6" x14ac:dyDescent="0.25">
      <c r="A36656" s="1" t="str">
        <f t="shared" si="1328"/>
        <v>47260</v>
      </c>
      <c r="B36656" s="1" t="str">
        <f>"27947"</f>
        <v>27947</v>
      </c>
      <c r="C36656" s="2">
        <v>5.1712483516645801E-4</v>
      </c>
      <c r="D36656" s="2">
        <v>3.9575412361662698E-4</v>
      </c>
      <c r="E36656" s="2">
        <v>0</v>
      </c>
      <c r="F36656" s="2">
        <v>4.8430809345848902E-4</v>
      </c>
    </row>
    <row r="36657" spans="1:6" x14ac:dyDescent="0.25">
      <c r="A36657" s="1" t="str">
        <f t="shared" si="1328"/>
        <v>47260</v>
      </c>
      <c r="B36657" s="1" t="str">
        <f>"27927"</f>
        <v>27927</v>
      </c>
      <c r="C36657" s="2">
        <v>1.5550682543219901E-3</v>
      </c>
      <c r="D36657" s="2">
        <v>2.3603906658563102E-3</v>
      </c>
      <c r="E36657" s="2">
        <v>2.85055942228662E-4</v>
      </c>
      <c r="F36657" s="2">
        <v>1.5588666758195101E-3</v>
      </c>
    </row>
    <row r="36658" spans="1:6" x14ac:dyDescent="0.25">
      <c r="A36658" s="1" t="str">
        <f t="shared" si="1328"/>
        <v>47260</v>
      </c>
      <c r="B36658" s="1" t="str">
        <f>"23667"</f>
        <v>23667</v>
      </c>
      <c r="C36658" s="2">
        <v>0</v>
      </c>
      <c r="D36658" s="2">
        <v>4.2402227530352901E-5</v>
      </c>
      <c r="E36658" s="2">
        <v>0</v>
      </c>
      <c r="F36658" s="2">
        <v>3.2431345544095198E-6</v>
      </c>
    </row>
    <row r="36659" spans="1:6" x14ac:dyDescent="0.25">
      <c r="A36659" s="1" t="str">
        <f t="shared" si="1328"/>
        <v>47260</v>
      </c>
      <c r="B36659" s="1" t="str">
        <f>"23326"</f>
        <v>23326</v>
      </c>
      <c r="C36659" s="2">
        <v>0</v>
      </c>
      <c r="D36659" s="2">
        <v>0</v>
      </c>
      <c r="E36659" s="2">
        <v>1.1877330926194201E-4</v>
      </c>
      <c r="F36659" s="2">
        <v>5.4052242573492102E-6</v>
      </c>
    </row>
    <row r="36660" spans="1:6" x14ac:dyDescent="0.25">
      <c r="A36660" s="1" t="str">
        <f t="shared" si="1328"/>
        <v>47260</v>
      </c>
      <c r="B36660" s="1" t="str">
        <f>"23515"</f>
        <v>23515</v>
      </c>
      <c r="C36660" s="2">
        <v>0</v>
      </c>
      <c r="D36660" s="2">
        <v>0</v>
      </c>
      <c r="E36660" s="2">
        <v>2.3754661852388499E-4</v>
      </c>
      <c r="F36660" s="2">
        <v>1.08104485146984E-5</v>
      </c>
    </row>
    <row r="36661" spans="1:6" x14ac:dyDescent="0.25">
      <c r="A36661" s="1" t="str">
        <f t="shared" si="1328"/>
        <v>47260</v>
      </c>
      <c r="B36661" s="1" t="str">
        <f>"23681"</f>
        <v>23681</v>
      </c>
      <c r="C36661" s="2">
        <v>0</v>
      </c>
      <c r="D36661" s="2">
        <v>3.2084352164633702E-3</v>
      </c>
      <c r="E36661" s="2">
        <v>0</v>
      </c>
      <c r="F36661" s="2">
        <v>2.45397181283654E-4</v>
      </c>
    </row>
    <row r="36662" spans="1:6" x14ac:dyDescent="0.25">
      <c r="A36662" s="1" t="str">
        <f t="shared" si="1328"/>
        <v>47260</v>
      </c>
      <c r="B36662" s="1" t="str">
        <f>"23190"</f>
        <v>23190</v>
      </c>
      <c r="C36662" s="2">
        <v>0</v>
      </c>
      <c r="D36662" s="2">
        <v>0</v>
      </c>
      <c r="E36662" s="2">
        <v>2.3754661852388501E-5</v>
      </c>
      <c r="F36662" s="2">
        <v>1.0810448514698399E-6</v>
      </c>
    </row>
    <row r="36663" spans="1:6" x14ac:dyDescent="0.25">
      <c r="A36663" s="1" t="str">
        <f t="shared" si="1328"/>
        <v>47260</v>
      </c>
      <c r="B36663" s="1" t="str">
        <f>"27956"</f>
        <v>27956</v>
      </c>
      <c r="C36663" s="2">
        <v>1.69912445840407E-4</v>
      </c>
      <c r="D36663" s="2">
        <v>1.4134075843450899E-4</v>
      </c>
      <c r="E36663" s="2">
        <v>0</v>
      </c>
      <c r="F36663" s="2">
        <v>1.5999463801753599E-4</v>
      </c>
    </row>
    <row r="36664" spans="1:6" x14ac:dyDescent="0.25">
      <c r="A36664" s="1" t="str">
        <f t="shared" si="1328"/>
        <v>47260</v>
      </c>
      <c r="B36664" s="1" t="str">
        <f>"23056"</f>
        <v>23056</v>
      </c>
      <c r="C36664" s="2">
        <v>2.0069368602888699E-4</v>
      </c>
      <c r="D36664" s="2">
        <v>1.41340758434509E-5</v>
      </c>
      <c r="E36664" s="2">
        <v>2.3754661852388501E-5</v>
      </c>
      <c r="F36664" s="2">
        <v>1.7837240049252401E-4</v>
      </c>
    </row>
    <row r="36665" spans="1:6" x14ac:dyDescent="0.25">
      <c r="A36665" s="1" t="str">
        <f t="shared" si="1328"/>
        <v>47260</v>
      </c>
      <c r="B36665" s="1" t="str">
        <f>"23130"</f>
        <v>23130</v>
      </c>
      <c r="C36665" s="2">
        <v>1.18199962323762E-4</v>
      </c>
      <c r="D36665" s="2">
        <v>1.41340758434509E-5</v>
      </c>
      <c r="E36665" s="2">
        <v>2.3754661852388501E-5</v>
      </c>
      <c r="F36665" s="2">
        <v>1.05942395444044E-4</v>
      </c>
    </row>
    <row r="36666" spans="1:6" x14ac:dyDescent="0.25">
      <c r="A36666" s="1" t="str">
        <f t="shared" si="1328"/>
        <v>47260</v>
      </c>
      <c r="B36666" s="1" t="str">
        <f>"23072"</f>
        <v>23072</v>
      </c>
      <c r="C36666" s="2">
        <v>6.5206979215275303E-3</v>
      </c>
      <c r="D36666" s="2">
        <v>5.00346284858164E-3</v>
      </c>
      <c r="E36666" s="2">
        <v>8.7892248853837498E-4</v>
      </c>
      <c r="F36666" s="2">
        <v>6.1479020703089898E-3</v>
      </c>
    </row>
    <row r="36667" spans="1:6" x14ac:dyDescent="0.25">
      <c r="A36667" s="1" t="str">
        <f t="shared" si="1328"/>
        <v>47260</v>
      </c>
      <c r="B36667" s="1" t="str">
        <f>"23459"</f>
        <v>23459</v>
      </c>
      <c r="C36667" s="2">
        <v>0</v>
      </c>
      <c r="D36667" s="2">
        <v>2.7844129411598402E-3</v>
      </c>
      <c r="E36667" s="2">
        <v>2.3279568615340702E-3</v>
      </c>
      <c r="F36667" s="2">
        <v>3.1890823118360299E-4</v>
      </c>
    </row>
    <row r="36668" spans="1:6" x14ac:dyDescent="0.25">
      <c r="A36668" s="1" t="str">
        <f t="shared" si="1328"/>
        <v>47260</v>
      </c>
      <c r="B36668" s="1" t="str">
        <f>"23325"</f>
        <v>23325</v>
      </c>
      <c r="C36668" s="2">
        <v>9.8266031177702499E-3</v>
      </c>
      <c r="D36668" s="2">
        <v>5.59709403400658E-3</v>
      </c>
      <c r="E36668" s="2">
        <v>9.0742808276124097E-3</v>
      </c>
      <c r="F36668" s="2">
        <v>9.4688718540243497E-3</v>
      </c>
    </row>
    <row r="36669" spans="1:6" x14ac:dyDescent="0.25">
      <c r="A36669" s="1" t="str">
        <f t="shared" si="1328"/>
        <v>47260</v>
      </c>
      <c r="B36669" s="1" t="str">
        <f>"23327"</f>
        <v>23327</v>
      </c>
      <c r="C36669" s="2">
        <v>1.1327496389360501E-3</v>
      </c>
      <c r="D36669" s="2">
        <v>5.5688258823196803E-3</v>
      </c>
      <c r="E36669" s="2">
        <v>4.7509323704777002E-5</v>
      </c>
      <c r="F36669" s="2">
        <v>1.42265502453431E-3</v>
      </c>
    </row>
    <row r="36670" spans="1:6" x14ac:dyDescent="0.25">
      <c r="A36670" s="1" t="str">
        <f t="shared" si="1328"/>
        <v>47260</v>
      </c>
      <c r="B36670" s="1" t="str">
        <f>"23453"</f>
        <v>23453</v>
      </c>
      <c r="C36670" s="2">
        <v>1.6222944828936301E-2</v>
      </c>
      <c r="D36670" s="2">
        <v>1.24521208180803E-2</v>
      </c>
      <c r="E36670" s="2">
        <v>1.68420552533434E-2</v>
      </c>
      <c r="F36670" s="2">
        <v>1.59627082768036E-2</v>
      </c>
    </row>
    <row r="36671" spans="1:6" x14ac:dyDescent="0.25">
      <c r="A36671" s="1" t="str">
        <f t="shared" si="1328"/>
        <v>47260</v>
      </c>
      <c r="B36671" s="1" t="str">
        <f>"23315"</f>
        <v>23315</v>
      </c>
      <c r="C36671" s="2">
        <v>8.4709972998696099E-4</v>
      </c>
      <c r="D36671" s="2">
        <v>3.6748597192972498E-4</v>
      </c>
      <c r="E36671" s="2">
        <v>0</v>
      </c>
      <c r="F36671" s="2">
        <v>7.7186602394946704E-4</v>
      </c>
    </row>
    <row r="36672" spans="1:6" x14ac:dyDescent="0.25">
      <c r="A36672" s="1" t="str">
        <f t="shared" si="1328"/>
        <v>47260</v>
      </c>
      <c r="B36672" s="1" t="str">
        <f>"23606"</f>
        <v>23606</v>
      </c>
      <c r="C36672" s="2">
        <v>1.7132838288907701E-2</v>
      </c>
      <c r="D36672" s="2">
        <v>3.1363514296617698E-2</v>
      </c>
      <c r="E36672" s="2">
        <v>2.7032805188018101E-2</v>
      </c>
      <c r="F36672" s="2">
        <v>1.8671806674587101E-2</v>
      </c>
    </row>
    <row r="36673" spans="1:6" x14ac:dyDescent="0.25">
      <c r="A36673" s="1" t="str">
        <f t="shared" si="1328"/>
        <v>47260</v>
      </c>
      <c r="B36673" s="1" t="str">
        <f>"23664"</f>
        <v>23664</v>
      </c>
      <c r="C36673" s="2">
        <v>6.2104230204276601E-3</v>
      </c>
      <c r="D36673" s="2">
        <v>1.0741897641022701E-3</v>
      </c>
      <c r="E36673" s="2">
        <v>4.2283298097251501E-3</v>
      </c>
      <c r="F36673" s="2">
        <v>5.7273756230872197E-3</v>
      </c>
    </row>
    <row r="36674" spans="1:6" x14ac:dyDescent="0.25">
      <c r="A36674" s="1" t="str">
        <f t="shared" si="1328"/>
        <v>47260</v>
      </c>
      <c r="B36674" s="1" t="str">
        <f>"23603"</f>
        <v>23603</v>
      </c>
      <c r="C36674" s="2">
        <v>1.9921618649983998E-3</v>
      </c>
      <c r="D36674" s="2">
        <v>1.3286031292843901E-3</v>
      </c>
      <c r="E36674" s="2">
        <v>7.9103023968453805E-3</v>
      </c>
      <c r="F36674" s="2">
        <v>2.2107367212558199E-3</v>
      </c>
    </row>
    <row r="36675" spans="1:6" x14ac:dyDescent="0.25">
      <c r="A36675" s="1" t="str">
        <f t="shared" si="1328"/>
        <v>47260</v>
      </c>
      <c r="B36675" s="1" t="str">
        <f>"23696"</f>
        <v>23696</v>
      </c>
      <c r="C36675" s="2">
        <v>1.89612439561034E-3</v>
      </c>
      <c r="D36675" s="2">
        <v>3.9575412361662698E-4</v>
      </c>
      <c r="E36675" s="2">
        <v>7.1263985557165499E-5</v>
      </c>
      <c r="F36675" s="2">
        <v>1.69832146165912E-3</v>
      </c>
    </row>
    <row r="36676" spans="1:6" x14ac:dyDescent="0.25">
      <c r="A36676" s="1" t="str">
        <f t="shared" si="1328"/>
        <v>47260</v>
      </c>
      <c r="B36676" s="1" t="str">
        <f>"23690"</f>
        <v>23690</v>
      </c>
      <c r="C36676" s="2">
        <v>1.7705369356413501E-3</v>
      </c>
      <c r="D36676" s="2">
        <v>5.9363118542494001E-4</v>
      </c>
      <c r="E36676" s="2">
        <v>9.9769579780031805E-4</v>
      </c>
      <c r="F36676" s="2">
        <v>1.6453502639371001E-3</v>
      </c>
    </row>
    <row r="36677" spans="1:6" x14ac:dyDescent="0.25">
      <c r="A36677" s="1" t="str">
        <f t="shared" si="1328"/>
        <v>47260</v>
      </c>
      <c r="B36677" s="1" t="str">
        <f>"23502"</f>
        <v>23502</v>
      </c>
      <c r="C36677" s="2">
        <v>1.08965590267218E-2</v>
      </c>
      <c r="D36677" s="2">
        <v>3.1179771310652801E-2</v>
      </c>
      <c r="E36677" s="2">
        <v>1.2494952134356301E-2</v>
      </c>
      <c r="F36677" s="2">
        <v>1.25206614697237E-2</v>
      </c>
    </row>
    <row r="36678" spans="1:6" x14ac:dyDescent="0.25">
      <c r="A36678" s="1" t="str">
        <f t="shared" si="1328"/>
        <v>47260</v>
      </c>
      <c r="B36678" s="1" t="str">
        <f>"23397"</f>
        <v>23397</v>
      </c>
      <c r="C36678" s="2">
        <v>0</v>
      </c>
      <c r="D36678" s="2">
        <v>1.41340758434509E-5</v>
      </c>
      <c r="E36678" s="2">
        <v>0</v>
      </c>
      <c r="F36678" s="2">
        <v>1.0810448514698399E-6</v>
      </c>
    </row>
    <row r="36679" spans="1:6" x14ac:dyDescent="0.25">
      <c r="A36679" s="1" t="str">
        <f t="shared" si="1328"/>
        <v>47260</v>
      </c>
      <c r="B36679" s="1" t="str">
        <f>"23866"</f>
        <v>23866</v>
      </c>
      <c r="C36679" s="2">
        <v>1.14875588383406E-3</v>
      </c>
      <c r="D36679" s="2">
        <v>3.9575412361662698E-4</v>
      </c>
      <c r="E36679" s="2">
        <v>7.1263985557165499E-5</v>
      </c>
      <c r="F36679" s="2">
        <v>1.0421272368169199E-3</v>
      </c>
    </row>
    <row r="36680" spans="1:6" x14ac:dyDescent="0.25">
      <c r="A36680" s="1" t="str">
        <f t="shared" si="1328"/>
        <v>47260</v>
      </c>
      <c r="B36680" s="1" t="str">
        <f>"23844"</f>
        <v>23844</v>
      </c>
      <c r="C36680" s="2">
        <v>4.5556235478949901E-4</v>
      </c>
      <c r="D36680" s="2">
        <v>9.8938530904156799E-5</v>
      </c>
      <c r="E36680" s="2">
        <v>2.3754661852388501E-5</v>
      </c>
      <c r="F36680" s="2">
        <v>4.0863495385559998E-4</v>
      </c>
    </row>
    <row r="36681" spans="1:6" x14ac:dyDescent="0.25">
      <c r="A36681" s="1" t="str">
        <f t="shared" si="1328"/>
        <v>47260</v>
      </c>
      <c r="B36681" s="1" t="str">
        <f>"23878"</f>
        <v>23878</v>
      </c>
      <c r="C36681" s="2">
        <v>6.4886854317315102E-4</v>
      </c>
      <c r="D36681" s="2">
        <v>2.8268151686901901E-4</v>
      </c>
      <c r="E36681" s="2">
        <v>2.3754661852388501E-5</v>
      </c>
      <c r="F36681" s="2">
        <v>5.9241257860547295E-4</v>
      </c>
    </row>
    <row r="36682" spans="1:6" x14ac:dyDescent="0.25">
      <c r="A36682" s="1" t="str">
        <f t="shared" ref="A36682:A36713" si="1329">"47260"</f>
        <v>47260</v>
      </c>
      <c r="B36682" s="1" t="str">
        <f>"23186"</f>
        <v>23186</v>
      </c>
      <c r="C36682" s="2">
        <v>0</v>
      </c>
      <c r="D36682" s="2">
        <v>4.2402227530352901E-5</v>
      </c>
      <c r="E36682" s="2">
        <v>0</v>
      </c>
      <c r="F36682" s="2">
        <v>3.2431345544095198E-6</v>
      </c>
    </row>
    <row r="36683" spans="1:6" x14ac:dyDescent="0.25">
      <c r="A36683" s="1" t="str">
        <f t="shared" si="1329"/>
        <v>47260</v>
      </c>
      <c r="B36683" s="1" t="str">
        <f>"23668"</f>
        <v>23668</v>
      </c>
      <c r="C36683" s="2">
        <v>0</v>
      </c>
      <c r="D36683" s="2">
        <v>4.2402227530352901E-5</v>
      </c>
      <c r="E36683" s="2">
        <v>0</v>
      </c>
      <c r="F36683" s="2">
        <v>3.2431345544095198E-6</v>
      </c>
    </row>
    <row r="36684" spans="1:6" x14ac:dyDescent="0.25">
      <c r="A36684" s="1" t="str">
        <f t="shared" si="1329"/>
        <v>47260</v>
      </c>
      <c r="B36684" s="1" t="str">
        <f>"23431"</f>
        <v>23431</v>
      </c>
      <c r="C36684" s="2">
        <v>5.5898732182279101E-4</v>
      </c>
      <c r="D36684" s="2">
        <v>2.1766476798914499E-3</v>
      </c>
      <c r="E36684" s="2">
        <v>4.7509323704777002E-5</v>
      </c>
      <c r="F36684" s="2">
        <v>6.5943735939660397E-4</v>
      </c>
    </row>
    <row r="36685" spans="1:6" x14ac:dyDescent="0.25">
      <c r="A36685" s="1" t="str">
        <f t="shared" si="1329"/>
        <v>47260</v>
      </c>
      <c r="B36685" s="1" t="str">
        <f>"23183"</f>
        <v>23183</v>
      </c>
      <c r="C36685" s="2">
        <v>1.4504120376811599E-3</v>
      </c>
      <c r="D36685" s="2">
        <v>1.0741897641022701E-3</v>
      </c>
      <c r="E36685" s="2">
        <v>4.7509323704777002E-5</v>
      </c>
      <c r="F36685" s="2">
        <v>1.3577923334461199E-3</v>
      </c>
    </row>
    <row r="36686" spans="1:6" x14ac:dyDescent="0.25">
      <c r="A36686" s="1" t="str">
        <f t="shared" si="1329"/>
        <v>47260</v>
      </c>
      <c r="B36686" s="1" t="str">
        <f>"23328"</f>
        <v>23328</v>
      </c>
      <c r="C36686" s="2">
        <v>1.7015869576191499E-3</v>
      </c>
      <c r="D36686" s="2">
        <v>5.5264236547893303E-3</v>
      </c>
      <c r="E36686" s="2">
        <v>4.7509323704777002E-5</v>
      </c>
      <c r="F36686" s="2">
        <v>1.91885461135897E-3</v>
      </c>
    </row>
    <row r="36687" spans="1:6" x14ac:dyDescent="0.25">
      <c r="A36687" s="1" t="str">
        <f t="shared" si="1329"/>
        <v>47260</v>
      </c>
      <c r="B36687" s="1" t="str">
        <f>"27979"</f>
        <v>27979</v>
      </c>
      <c r="C36687" s="2">
        <v>8.36018483519108E-4</v>
      </c>
      <c r="D36687" s="2">
        <v>1.97877061808313E-4</v>
      </c>
      <c r="E36687" s="2">
        <v>0</v>
      </c>
      <c r="F36687" s="2">
        <v>7.4916408206860004E-4</v>
      </c>
    </row>
    <row r="36688" spans="1:6" x14ac:dyDescent="0.25">
      <c r="A36688" s="1" t="str">
        <f t="shared" si="1329"/>
        <v>47260</v>
      </c>
      <c r="B36688" s="1" t="str">
        <f>"23837"</f>
        <v>23837</v>
      </c>
      <c r="C36688" s="2">
        <v>2.2248680408233101E-3</v>
      </c>
      <c r="D36688" s="2">
        <v>1.6678209495272101E-3</v>
      </c>
      <c r="E36688" s="2">
        <v>1.5440530204052501E-3</v>
      </c>
      <c r="F36688" s="2">
        <v>2.1512792544249801E-3</v>
      </c>
    </row>
    <row r="36689" spans="1:6" x14ac:dyDescent="0.25">
      <c r="A36689" s="1" t="str">
        <f t="shared" si="1329"/>
        <v>47260</v>
      </c>
      <c r="B36689" s="1" t="str">
        <f>"23304"</f>
        <v>23304</v>
      </c>
      <c r="C36689" s="2">
        <v>0</v>
      </c>
      <c r="D36689" s="2">
        <v>1.41340758434509E-5</v>
      </c>
      <c r="E36689" s="2">
        <v>0</v>
      </c>
      <c r="F36689" s="2">
        <v>1.0810448514698399E-6</v>
      </c>
    </row>
    <row r="36690" spans="1:6" x14ac:dyDescent="0.25">
      <c r="A36690" s="1" t="str">
        <f t="shared" si="1329"/>
        <v>47260</v>
      </c>
      <c r="B36690" s="1" t="str">
        <f>"23529"</f>
        <v>23529</v>
      </c>
      <c r="C36690" s="2">
        <v>0</v>
      </c>
      <c r="D36690" s="2">
        <v>1.41340758434509E-5</v>
      </c>
      <c r="E36690" s="2">
        <v>2.3754661852388501E-5</v>
      </c>
      <c r="F36690" s="2">
        <v>2.1620897029396799E-6</v>
      </c>
    </row>
    <row r="36691" spans="1:6" x14ac:dyDescent="0.25">
      <c r="A36691" s="1" t="str">
        <f t="shared" si="1329"/>
        <v>47260</v>
      </c>
      <c r="B36691" s="1" t="str">
        <f>"27958"</f>
        <v>27958</v>
      </c>
      <c r="C36691" s="2">
        <v>6.1747167818090197E-3</v>
      </c>
      <c r="D36691" s="2">
        <v>3.1660329889330102E-3</v>
      </c>
      <c r="E36691" s="2">
        <v>4.0382925149060501E-4</v>
      </c>
      <c r="F36691" s="2">
        <v>5.6819717393254898E-3</v>
      </c>
    </row>
    <row r="36692" spans="1:6" x14ac:dyDescent="0.25">
      <c r="A36692" s="1" t="str">
        <f t="shared" si="1329"/>
        <v>47260</v>
      </c>
      <c r="B36692" s="1" t="str">
        <f>"27966"</f>
        <v>27966</v>
      </c>
      <c r="C36692" s="2">
        <v>6.5871854003346497E-4</v>
      </c>
      <c r="D36692" s="2">
        <v>1.44167573603199E-3</v>
      </c>
      <c r="E36692" s="2">
        <v>7.8390384112882096E-4</v>
      </c>
      <c r="F36692" s="2">
        <v>7.2430005048479396E-4</v>
      </c>
    </row>
    <row r="36693" spans="1:6" x14ac:dyDescent="0.25">
      <c r="A36693" s="1" t="str">
        <f t="shared" si="1329"/>
        <v>47260</v>
      </c>
      <c r="B36693" s="1" t="str">
        <f>"23705"</f>
        <v>23705</v>
      </c>
      <c r="C36693" s="2">
        <v>9.5791219466548696E-4</v>
      </c>
      <c r="D36693" s="2">
        <v>2.7420107136294802E-3</v>
      </c>
      <c r="E36693" s="2">
        <v>4.7509323704777002E-5</v>
      </c>
      <c r="F36693" s="2">
        <v>1.0529376853316199E-3</v>
      </c>
    </row>
    <row r="36694" spans="1:6" x14ac:dyDescent="0.25">
      <c r="A36694" s="1" t="str">
        <f t="shared" si="1329"/>
        <v>47260</v>
      </c>
      <c r="B36694" s="1" t="str">
        <f>"27917"</f>
        <v>27917</v>
      </c>
      <c r="C36694" s="2">
        <v>3.7676237990699101E-4</v>
      </c>
      <c r="D36694" s="2">
        <v>7.4910601970290102E-4</v>
      </c>
      <c r="E36694" s="2">
        <v>4.7509323704777002E-5</v>
      </c>
      <c r="F36694" s="2">
        <v>3.9025719138061299E-4</v>
      </c>
    </row>
    <row r="36695" spans="1:6" x14ac:dyDescent="0.25">
      <c r="A36695" s="1" t="str">
        <f t="shared" si="1329"/>
        <v>47260</v>
      </c>
      <c r="B36695" s="1" t="str">
        <f>"23612"</f>
        <v>23612</v>
      </c>
      <c r="C36695" s="2">
        <v>4.5556235478949901E-4</v>
      </c>
      <c r="D36695" s="2">
        <v>2.79854701700329E-3</v>
      </c>
      <c r="E36695" s="2">
        <v>4.7509323704777002E-5</v>
      </c>
      <c r="F36695" s="2">
        <v>6.1619556533781003E-4</v>
      </c>
    </row>
    <row r="36696" spans="1:6" x14ac:dyDescent="0.25">
      <c r="A36696" s="1" t="str">
        <f t="shared" si="1329"/>
        <v>47260</v>
      </c>
      <c r="B36696" s="1" t="str">
        <f>"23471"</f>
        <v>23471</v>
      </c>
      <c r="C36696" s="2">
        <v>1.86041815699171E-3</v>
      </c>
      <c r="D36696" s="2">
        <v>5.1448036070161499E-3</v>
      </c>
      <c r="E36696" s="2">
        <v>9.5018647409554098E-5</v>
      </c>
      <c r="F36696" s="2">
        <v>2.0312832759118299E-3</v>
      </c>
    </row>
    <row r="36697" spans="1:6" x14ac:dyDescent="0.25">
      <c r="A36697" s="1" t="str">
        <f t="shared" si="1329"/>
        <v>47260</v>
      </c>
      <c r="B36697" s="1" t="str">
        <f>"23507"</f>
        <v>23507</v>
      </c>
      <c r="C36697" s="2">
        <v>4.2798236358062101E-3</v>
      </c>
      <c r="D36697" s="2">
        <v>3.9716753120097202E-3</v>
      </c>
      <c r="E36697" s="2">
        <v>1.20911228828657E-2</v>
      </c>
      <c r="F36697" s="2">
        <v>4.6117373363703399E-3</v>
      </c>
    </row>
    <row r="36698" spans="1:6" x14ac:dyDescent="0.25">
      <c r="A36698" s="1" t="str">
        <f t="shared" si="1329"/>
        <v>47260</v>
      </c>
      <c r="B36698" s="1" t="str">
        <f>"27937"</f>
        <v>27937</v>
      </c>
      <c r="C36698" s="2">
        <v>2.1620743108388099E-3</v>
      </c>
      <c r="D36698" s="2">
        <v>4.3815635114698002E-4</v>
      </c>
      <c r="E36698" s="2">
        <v>2.85055942228662E-4</v>
      </c>
      <c r="F36698" s="2">
        <v>1.9447996877942401E-3</v>
      </c>
    </row>
    <row r="36699" spans="1:6" x14ac:dyDescent="0.25">
      <c r="A36699" s="1" t="str">
        <f t="shared" si="1329"/>
        <v>47260</v>
      </c>
      <c r="B36699" s="1" t="str">
        <f>"27909"</f>
        <v>27909</v>
      </c>
      <c r="C36699" s="2">
        <v>4.9249984301567501E-6</v>
      </c>
      <c r="D36699" s="2">
        <v>0</v>
      </c>
      <c r="E36699" s="2">
        <v>0</v>
      </c>
      <c r="F36699" s="2">
        <v>4.3241794058793699E-6</v>
      </c>
    </row>
    <row r="36700" spans="1:6" x14ac:dyDescent="0.25">
      <c r="A36700" s="1" t="str">
        <f t="shared" si="1329"/>
        <v>47260</v>
      </c>
      <c r="B36700" s="1" t="str">
        <f>"23847"</f>
        <v>23847</v>
      </c>
      <c r="C36700" s="2">
        <v>1.4159370486700599E-4</v>
      </c>
      <c r="D36700" s="2">
        <v>1.2720668259105799E-4</v>
      </c>
      <c r="E36700" s="2">
        <v>0</v>
      </c>
      <c r="F36700" s="2">
        <v>1.3404956158225999E-4</v>
      </c>
    </row>
    <row r="36701" spans="1:6" x14ac:dyDescent="0.25">
      <c r="A36701" s="1" t="str">
        <f t="shared" si="1329"/>
        <v>47260</v>
      </c>
      <c r="B36701" s="1" t="str">
        <f>"23432"</f>
        <v>23432</v>
      </c>
      <c r="C36701" s="2">
        <v>7.3874976452351201E-4</v>
      </c>
      <c r="D36701" s="2">
        <v>2.12011137651764E-4</v>
      </c>
      <c r="E36701" s="2">
        <v>4.7509323704777002E-5</v>
      </c>
      <c r="F36701" s="2">
        <v>6.6700467335689196E-4</v>
      </c>
    </row>
    <row r="36702" spans="1:6" x14ac:dyDescent="0.25">
      <c r="A36702" s="1" t="str">
        <f t="shared" si="1329"/>
        <v>47260</v>
      </c>
      <c r="B36702" s="1" t="str">
        <f>"23828"</f>
        <v>23828</v>
      </c>
      <c r="C36702" s="2">
        <v>2.8934365777170902E-4</v>
      </c>
      <c r="D36702" s="2">
        <v>1.6960891012141101E-4</v>
      </c>
      <c r="E36702" s="2">
        <v>2.3754661852388501E-5</v>
      </c>
      <c r="F36702" s="2">
        <v>2.6809912316451997E-4</v>
      </c>
    </row>
    <row r="36703" spans="1:6" x14ac:dyDescent="0.25">
      <c r="A36703" s="1" t="str">
        <f t="shared" si="1329"/>
        <v>47260</v>
      </c>
      <c r="B36703" s="1" t="str">
        <f>"23829"</f>
        <v>23829</v>
      </c>
      <c r="C36703" s="2">
        <v>6.5871854003346497E-4</v>
      </c>
      <c r="D36703" s="2">
        <v>1.6960891012141101E-4</v>
      </c>
      <c r="E36703" s="2">
        <v>4.7509323704777002E-5</v>
      </c>
      <c r="F36703" s="2">
        <v>5.9349362345694303E-4</v>
      </c>
    </row>
    <row r="36704" spans="1:6" x14ac:dyDescent="0.25">
      <c r="A36704" s="1" t="str">
        <f t="shared" si="1329"/>
        <v>47260</v>
      </c>
      <c r="B36704" s="1" t="str">
        <f>"23607"</f>
        <v>23607</v>
      </c>
      <c r="C36704" s="2">
        <v>1.4683882819512301E-2</v>
      </c>
      <c r="D36704" s="2">
        <v>1.48125114839366E-2</v>
      </c>
      <c r="E36704" s="2">
        <v>1.2613725443618299E-2</v>
      </c>
      <c r="F36704" s="2">
        <v>1.4599510719100201E-2</v>
      </c>
    </row>
    <row r="36705" spans="1:6" x14ac:dyDescent="0.25">
      <c r="A36705" s="1" t="str">
        <f t="shared" si="1329"/>
        <v>47260</v>
      </c>
      <c r="B36705" s="1" t="str">
        <f>"23609"</f>
        <v>23609</v>
      </c>
      <c r="C36705" s="2">
        <v>1.1204371428606601E-3</v>
      </c>
      <c r="D36705" s="2">
        <v>3.22256929230682E-3</v>
      </c>
      <c r="E36705" s="2">
        <v>4.7509323704777002E-5</v>
      </c>
      <c r="F36705" s="2">
        <v>1.2323911306756201E-3</v>
      </c>
    </row>
    <row r="36706" spans="1:6" x14ac:dyDescent="0.25">
      <c r="A36706" s="1" t="str">
        <f t="shared" si="1329"/>
        <v>47260</v>
      </c>
      <c r="B36706" s="1" t="str">
        <f>"23663"</f>
        <v>23663</v>
      </c>
      <c r="C36706" s="2">
        <v>7.4404413783593099E-3</v>
      </c>
      <c r="D36706" s="2">
        <v>4.4663679665305003E-3</v>
      </c>
      <c r="E36706" s="2">
        <v>3.4919352923011098E-3</v>
      </c>
      <c r="F36706" s="2">
        <v>7.0332778036627901E-3</v>
      </c>
    </row>
    <row r="36707" spans="1:6" x14ac:dyDescent="0.25">
      <c r="A36707" s="1" t="str">
        <f t="shared" si="1329"/>
        <v>47260</v>
      </c>
      <c r="B36707" s="1" t="str">
        <f>"23702"</f>
        <v>23702</v>
      </c>
      <c r="C36707" s="2">
        <v>6.4591354411505696E-3</v>
      </c>
      <c r="D36707" s="2">
        <v>4.2967590564090899E-3</v>
      </c>
      <c r="E36707" s="2">
        <v>1.1069672423213E-2</v>
      </c>
      <c r="F36707" s="2">
        <v>6.50356582644257E-3</v>
      </c>
    </row>
    <row r="36708" spans="1:6" x14ac:dyDescent="0.25">
      <c r="A36708" s="1" t="str">
        <f t="shared" si="1329"/>
        <v>47260</v>
      </c>
      <c r="B36708" s="1" t="str">
        <f>"23692"</f>
        <v>23692</v>
      </c>
      <c r="C36708" s="2">
        <v>1.16931775227996E-2</v>
      </c>
      <c r="D36708" s="2">
        <v>1.33425675962177E-2</v>
      </c>
      <c r="E36708" s="2">
        <v>5.7011188445732401E-3</v>
      </c>
      <c r="F36708" s="2">
        <v>1.1546640058549299E-2</v>
      </c>
    </row>
    <row r="36709" spans="1:6" x14ac:dyDescent="0.25">
      <c r="A36709" s="1" t="str">
        <f t="shared" si="1329"/>
        <v>47260</v>
      </c>
      <c r="B36709" s="1" t="str">
        <f>"23670"</f>
        <v>23670</v>
      </c>
      <c r="C36709" s="2">
        <v>4.8388109576290002E-4</v>
      </c>
      <c r="D36709" s="2">
        <v>2.4451951209170102E-3</v>
      </c>
      <c r="E36709" s="2">
        <v>2.3754661852388501E-5</v>
      </c>
      <c r="F36709" s="2">
        <v>6.129524307834E-4</v>
      </c>
    </row>
    <row r="36710" spans="1:6" x14ac:dyDescent="0.25">
      <c r="A36710" s="1" t="str">
        <f t="shared" si="1329"/>
        <v>47260</v>
      </c>
      <c r="B36710" s="1" t="str">
        <f>"23508"</f>
        <v>23508</v>
      </c>
      <c r="C36710" s="2">
        <v>1.00359155510519E-2</v>
      </c>
      <c r="D36710" s="2">
        <v>7.4769261211855599E-3</v>
      </c>
      <c r="E36710" s="2">
        <v>1.21623868684229E-2</v>
      </c>
      <c r="F36710" s="2">
        <v>9.9369642747107901E-3</v>
      </c>
    </row>
    <row r="36711" spans="1:6" x14ac:dyDescent="0.25">
      <c r="A36711" s="1" t="str">
        <f t="shared" si="1329"/>
        <v>47260</v>
      </c>
      <c r="B36711" s="1" t="str">
        <f>"23509"</f>
        <v>23509</v>
      </c>
      <c r="C36711" s="2">
        <v>8.0142036954725694E-3</v>
      </c>
      <c r="D36711" s="2">
        <v>4.9893287727381897E-3</v>
      </c>
      <c r="E36711" s="2">
        <v>3.0881060408105001E-3</v>
      </c>
      <c r="F36711" s="2">
        <v>7.5586656014771303E-3</v>
      </c>
    </row>
    <row r="36712" spans="1:6" x14ac:dyDescent="0.25">
      <c r="A36712" s="1" t="str">
        <f t="shared" si="1329"/>
        <v>47260</v>
      </c>
      <c r="B36712" s="1" t="str">
        <f>"23517"</f>
        <v>23517</v>
      </c>
      <c r="C36712" s="2">
        <v>4.3783236044093498E-3</v>
      </c>
      <c r="D36712" s="2">
        <v>1.40210032367033E-2</v>
      </c>
      <c r="E36712" s="2">
        <v>1.1330973703589301E-2</v>
      </c>
      <c r="F36712" s="2">
        <v>5.4322503786359503E-3</v>
      </c>
    </row>
    <row r="36713" spans="1:6" x14ac:dyDescent="0.25">
      <c r="A36713" s="1" t="str">
        <f t="shared" si="1329"/>
        <v>47260</v>
      </c>
      <c r="B36713" s="1" t="str">
        <f>"23874"</f>
        <v>23874</v>
      </c>
      <c r="C36713" s="2">
        <v>5.5159982417755601E-4</v>
      </c>
      <c r="D36713" s="2">
        <v>2.9681559271247E-4</v>
      </c>
      <c r="E36713" s="2">
        <v>7.1263985557165499E-5</v>
      </c>
      <c r="F36713" s="2">
        <v>5.1025316989376497E-4</v>
      </c>
    </row>
    <row r="36714" spans="1:6" x14ac:dyDescent="0.25">
      <c r="A36714" s="1" t="str">
        <f t="shared" ref="A36714:A36745" si="1330">"47260"</f>
        <v>47260</v>
      </c>
      <c r="B36714" s="1" t="str">
        <f>"23131"</f>
        <v>23131</v>
      </c>
      <c r="C36714" s="2">
        <v>0</v>
      </c>
      <c r="D36714" s="2">
        <v>0</v>
      </c>
      <c r="E36714" s="2">
        <v>2.3754661852388501E-5</v>
      </c>
      <c r="F36714" s="2">
        <v>1.0810448514698399E-6</v>
      </c>
    </row>
    <row r="36715" spans="1:6" x14ac:dyDescent="0.25">
      <c r="A36715" s="1" t="str">
        <f t="shared" si="1330"/>
        <v>47260</v>
      </c>
      <c r="B36715" s="1" t="str">
        <f>"27974"</f>
        <v>27974</v>
      </c>
      <c r="C36715" s="2">
        <v>6.93193529044562E-4</v>
      </c>
      <c r="D36715" s="2">
        <v>9.8938530904156799E-5</v>
      </c>
      <c r="E36715" s="2">
        <v>0</v>
      </c>
      <c r="F36715" s="2">
        <v>6.1619556533781003E-4</v>
      </c>
    </row>
    <row r="36716" spans="1:6" x14ac:dyDescent="0.25">
      <c r="A36716" s="1" t="str">
        <f t="shared" si="1330"/>
        <v>47260</v>
      </c>
      <c r="B36716" s="1" t="str">
        <f>"27938"</f>
        <v>27938</v>
      </c>
      <c r="C36716" s="2">
        <v>6.3778729670529901E-4</v>
      </c>
      <c r="D36716" s="2">
        <v>5.5122895789458805E-4</v>
      </c>
      <c r="E36716" s="2">
        <v>2.3754661852388501E-5</v>
      </c>
      <c r="F36716" s="2">
        <v>6.0322302712017195E-4</v>
      </c>
    </row>
    <row r="36717" spans="1:6" x14ac:dyDescent="0.25">
      <c r="A36717" s="1" t="str">
        <f t="shared" si="1330"/>
        <v>47260</v>
      </c>
      <c r="B36717" s="1" t="str">
        <f>"23076"</f>
        <v>23076</v>
      </c>
      <c r="C36717" s="2">
        <v>3.8661237676730398E-4</v>
      </c>
      <c r="D36717" s="2">
        <v>1.2720668259105799E-4</v>
      </c>
      <c r="E36717" s="2">
        <v>2.3754661852388501E-5</v>
      </c>
      <c r="F36717" s="2">
        <v>3.5025853187622898E-4</v>
      </c>
    </row>
    <row r="36718" spans="1:6" x14ac:dyDescent="0.25">
      <c r="A36718" s="1" t="str">
        <f t="shared" si="1330"/>
        <v>47260</v>
      </c>
      <c r="B36718" s="1" t="str">
        <f>"23321"</f>
        <v>23321</v>
      </c>
      <c r="C36718" s="2">
        <v>1.8658356552648799E-2</v>
      </c>
      <c r="D36718" s="2">
        <v>1.5985639778943E-2</v>
      </c>
      <c r="E36718" s="2">
        <v>1.06895978335748E-2</v>
      </c>
      <c r="F36718" s="2">
        <v>1.8091285589347798E-2</v>
      </c>
    </row>
    <row r="36719" spans="1:6" x14ac:dyDescent="0.25">
      <c r="A36719" s="1" t="str">
        <f t="shared" si="1330"/>
        <v>47260</v>
      </c>
      <c r="B36719" s="1" t="str">
        <f>"23089"</f>
        <v>23089</v>
      </c>
      <c r="C36719" s="2">
        <v>1.0243996734726E-3</v>
      </c>
      <c r="D36719" s="2">
        <v>1.2720668259105799E-4</v>
      </c>
      <c r="E36719" s="2">
        <v>7.1263985557165499E-5</v>
      </c>
      <c r="F36719" s="2">
        <v>9.1240185464054699E-4</v>
      </c>
    </row>
    <row r="36720" spans="1:6" x14ac:dyDescent="0.25">
      <c r="A36720" s="1" t="str">
        <f t="shared" si="1330"/>
        <v>47260</v>
      </c>
      <c r="B36720" s="1" t="str">
        <f>"23436"</f>
        <v>23436</v>
      </c>
      <c r="C36720" s="2">
        <v>5.4544357613986005E-4</v>
      </c>
      <c r="D36720" s="2">
        <v>2.5441336518211701E-4</v>
      </c>
      <c r="E36720" s="2">
        <v>0</v>
      </c>
      <c r="F36720" s="2">
        <v>4.9836167652759697E-4</v>
      </c>
    </row>
    <row r="36721" spans="1:6" x14ac:dyDescent="0.25">
      <c r="A36721" s="1" t="str">
        <f t="shared" si="1330"/>
        <v>47260</v>
      </c>
      <c r="B36721" s="1" t="str">
        <f>"27929"</f>
        <v>27929</v>
      </c>
      <c r="C36721" s="2">
        <v>9.00043463111146E-4</v>
      </c>
      <c r="D36721" s="2">
        <v>5.6536303373803899E-4</v>
      </c>
      <c r="E36721" s="2">
        <v>9.5018647409554098E-5</v>
      </c>
      <c r="F36721" s="2">
        <v>8.3780975988912798E-4</v>
      </c>
    </row>
    <row r="36722" spans="1:6" x14ac:dyDescent="0.25">
      <c r="A36722" s="1" t="str">
        <f t="shared" si="1330"/>
        <v>47260</v>
      </c>
      <c r="B36722" s="1" t="str">
        <f>"23867"</f>
        <v>23867</v>
      </c>
      <c r="C36722" s="2">
        <v>2.46249921507837E-6</v>
      </c>
      <c r="D36722" s="2">
        <v>0</v>
      </c>
      <c r="E36722" s="2">
        <v>0</v>
      </c>
      <c r="F36722" s="2">
        <v>2.1620897029396799E-6</v>
      </c>
    </row>
    <row r="36723" spans="1:6" x14ac:dyDescent="0.25">
      <c r="A36723" s="1" t="str">
        <f t="shared" si="1330"/>
        <v>47260</v>
      </c>
      <c r="B36723" s="1" t="str">
        <f>"23188"</f>
        <v>23188</v>
      </c>
      <c r="C36723" s="2">
        <v>2.7378066273241301E-2</v>
      </c>
      <c r="D36723" s="2">
        <v>3.0246922304985002E-2</v>
      </c>
      <c r="E36723" s="2">
        <v>1.5725586146281199E-2</v>
      </c>
      <c r="F36723" s="2">
        <v>2.7067200991101902E-2</v>
      </c>
    </row>
    <row r="36724" spans="1:6" x14ac:dyDescent="0.25">
      <c r="A36724" s="1" t="str">
        <f t="shared" si="1330"/>
        <v>47260</v>
      </c>
      <c r="B36724" s="1" t="str">
        <f>"23168"</f>
        <v>23168</v>
      </c>
      <c r="C36724" s="2">
        <v>5.1022983736423904E-3</v>
      </c>
      <c r="D36724" s="2">
        <v>4.3108931322525402E-3</v>
      </c>
      <c r="E36724" s="2">
        <v>1.37777038743853E-3</v>
      </c>
      <c r="F36724" s="2">
        <v>4.8722691455745804E-3</v>
      </c>
    </row>
    <row r="36725" spans="1:6" x14ac:dyDescent="0.25">
      <c r="A36725" s="1" t="str">
        <f t="shared" si="1330"/>
        <v>47260</v>
      </c>
      <c r="B36725" s="1" t="str">
        <f>"23119"</f>
        <v>23119</v>
      </c>
      <c r="C36725" s="2">
        <v>1.5390620094239799E-4</v>
      </c>
      <c r="D36725" s="2">
        <v>0</v>
      </c>
      <c r="E36725" s="2">
        <v>2.3754661852388501E-5</v>
      </c>
      <c r="F36725" s="2">
        <v>1.3621165128519999E-4</v>
      </c>
    </row>
    <row r="36726" spans="1:6" x14ac:dyDescent="0.25">
      <c r="A36726" s="1" t="str">
        <f t="shared" si="1330"/>
        <v>47260</v>
      </c>
      <c r="B36726" s="1" t="str">
        <f>"23187"</f>
        <v>23187</v>
      </c>
      <c r="C36726" s="2">
        <v>2.7900116106837898E-3</v>
      </c>
      <c r="D36726" s="2">
        <v>6.74195417732611E-3</v>
      </c>
      <c r="E36726" s="2">
        <v>4.7509323704777002E-5</v>
      </c>
      <c r="F36726" s="2">
        <v>2.9674681172847102E-3</v>
      </c>
    </row>
    <row r="36727" spans="1:6" x14ac:dyDescent="0.25">
      <c r="A36727" s="1" t="str">
        <f t="shared" si="1330"/>
        <v>47260</v>
      </c>
      <c r="B36727" s="1" t="str">
        <f>"23456"</f>
        <v>23456</v>
      </c>
      <c r="C36727" s="2">
        <v>2.8074953551108499E-2</v>
      </c>
      <c r="D36727" s="2">
        <v>1.8741784568415899E-2</v>
      </c>
      <c r="E36727" s="2">
        <v>6.1049480960638502E-3</v>
      </c>
      <c r="F36727" s="2">
        <v>2.63612787030921E-2</v>
      </c>
    </row>
    <row r="36728" spans="1:6" x14ac:dyDescent="0.25">
      <c r="A36728" s="1" t="str">
        <f t="shared" si="1330"/>
        <v>47260</v>
      </c>
      <c r="B36728" s="1" t="str">
        <f>"23438"</f>
        <v>23438</v>
      </c>
      <c r="C36728" s="2">
        <v>1.0551809136610799E-3</v>
      </c>
      <c r="D36728" s="2">
        <v>4.5229042699043102E-4</v>
      </c>
      <c r="E36728" s="2">
        <v>2.3754661852388501E-5</v>
      </c>
      <c r="F36728" s="2">
        <v>9.6212991780815905E-4</v>
      </c>
    </row>
    <row r="36729" spans="1:6" x14ac:dyDescent="0.25">
      <c r="A36729" s="1" t="str">
        <f t="shared" si="1330"/>
        <v>47260</v>
      </c>
      <c r="B36729" s="1" t="str">
        <f>"23439"</f>
        <v>23439</v>
      </c>
      <c r="C36729" s="2">
        <v>1.92813688540636E-3</v>
      </c>
      <c r="D36729" s="2">
        <v>6.1341889160577198E-3</v>
      </c>
      <c r="E36729" s="2">
        <v>4.7509323704777002E-5</v>
      </c>
      <c r="F36729" s="2">
        <v>2.1642517926426198E-3</v>
      </c>
    </row>
    <row r="36730" spans="1:6" x14ac:dyDescent="0.25">
      <c r="A36730" s="1" t="str">
        <f t="shared" si="1330"/>
        <v>47260</v>
      </c>
      <c r="B36730" s="1" t="str">
        <f>"23518"</f>
        <v>23518</v>
      </c>
      <c r="C36730" s="2">
        <v>1.7369238213555301E-2</v>
      </c>
      <c r="D36730" s="2">
        <v>1.35545787338694E-2</v>
      </c>
      <c r="E36730" s="2">
        <v>2.5132432239827002E-2</v>
      </c>
      <c r="F36730" s="2">
        <v>1.7430767185099699E-2</v>
      </c>
    </row>
    <row r="36731" spans="1:6" x14ac:dyDescent="0.25">
      <c r="A36731" s="1" t="str">
        <f t="shared" si="1330"/>
        <v>47260</v>
      </c>
      <c r="B36731" s="1" t="str">
        <f>"23827"</f>
        <v>23827</v>
      </c>
      <c r="C36731" s="2">
        <v>7.3382476609335499E-4</v>
      </c>
      <c r="D36731" s="2">
        <v>6.7843564048564598E-4</v>
      </c>
      <c r="E36731" s="2">
        <v>2.61301280376273E-4</v>
      </c>
      <c r="F36731" s="2">
        <v>7.0808437771274595E-4</v>
      </c>
    </row>
    <row r="36732" spans="1:6" x14ac:dyDescent="0.25">
      <c r="A36732" s="1" t="str">
        <f t="shared" si="1330"/>
        <v>47260</v>
      </c>
      <c r="B36732" s="1" t="str">
        <f>"23510"</f>
        <v>23510</v>
      </c>
      <c r="C36732" s="2">
        <v>6.43574169860733E-3</v>
      </c>
      <c r="D36732" s="2">
        <v>2.8112676852623902E-2</v>
      </c>
      <c r="E36732" s="2">
        <v>8.3853956338931501E-3</v>
      </c>
      <c r="F36732" s="2">
        <v>8.1824284807752307E-3</v>
      </c>
    </row>
    <row r="36733" spans="1:6" x14ac:dyDescent="0.25">
      <c r="A36733" s="1" t="str">
        <f t="shared" si="1330"/>
        <v>47260</v>
      </c>
      <c r="B36733" s="1" t="str">
        <f>"23513"</f>
        <v>23513</v>
      </c>
      <c r="C36733" s="2">
        <v>1.6209401083253399E-2</v>
      </c>
      <c r="D36733" s="2">
        <v>1.3102288306879E-2</v>
      </c>
      <c r="E36733" s="2">
        <v>1.90512388056156E-2</v>
      </c>
      <c r="F36733" s="2">
        <v>1.6101082017791798E-2</v>
      </c>
    </row>
    <row r="36734" spans="1:6" x14ac:dyDescent="0.25">
      <c r="A36734" s="1" t="str">
        <f t="shared" si="1330"/>
        <v>47260</v>
      </c>
      <c r="B36734" s="1" t="str">
        <f>"23503"</f>
        <v>23503</v>
      </c>
      <c r="C36734" s="2">
        <v>1.95559375165449E-2</v>
      </c>
      <c r="D36734" s="2">
        <v>6.0776526126839099E-3</v>
      </c>
      <c r="E36734" s="2">
        <v>3.4491769009668098E-2</v>
      </c>
      <c r="F36734" s="2">
        <v>1.9204761786361699E-2</v>
      </c>
    </row>
    <row r="36735" spans="1:6" x14ac:dyDescent="0.25">
      <c r="A36735" s="1" t="str">
        <f t="shared" si="1330"/>
        <v>47260</v>
      </c>
      <c r="B36735" s="1" t="str">
        <f>"23888"</f>
        <v>23888</v>
      </c>
      <c r="C36735" s="2">
        <v>1.6621869701778999E-4</v>
      </c>
      <c r="D36735" s="2">
        <v>4.2402227530352901E-5</v>
      </c>
      <c r="E36735" s="2">
        <v>0</v>
      </c>
      <c r="F36735" s="2">
        <v>1.49184189502838E-4</v>
      </c>
    </row>
    <row r="36736" spans="1:6" x14ac:dyDescent="0.25">
      <c r="A36736" s="1" t="str">
        <f t="shared" si="1330"/>
        <v>47260</v>
      </c>
      <c r="B36736" s="1" t="str">
        <f>"23851"</f>
        <v>23851</v>
      </c>
      <c r="C36736" s="2">
        <v>8.1508724019094207E-3</v>
      </c>
      <c r="D36736" s="2">
        <v>9.2012833740865805E-3</v>
      </c>
      <c r="E36736" s="2">
        <v>6.5087773475544499E-3</v>
      </c>
      <c r="F36736" s="2">
        <v>8.1564834043399599E-3</v>
      </c>
    </row>
    <row r="36737" spans="1:6" x14ac:dyDescent="0.25">
      <c r="A36737" s="1" t="str">
        <f t="shared" si="1330"/>
        <v>47260</v>
      </c>
      <c r="B36737" s="1" t="str">
        <f>"27973"</f>
        <v>27973</v>
      </c>
      <c r="C36737" s="2">
        <v>8.1754973940602002E-4</v>
      </c>
      <c r="D36737" s="2">
        <v>1.4134075843450899E-4</v>
      </c>
      <c r="E36737" s="2">
        <v>0</v>
      </c>
      <c r="F36737" s="2">
        <v>7.2862422989067299E-4</v>
      </c>
    </row>
    <row r="36738" spans="1:6" x14ac:dyDescent="0.25">
      <c r="A36738" s="1" t="str">
        <f t="shared" si="1330"/>
        <v>47260</v>
      </c>
      <c r="B36738" s="1" t="str">
        <f>"27950"</f>
        <v>27950</v>
      </c>
      <c r="C36738" s="2">
        <v>1.2263246091090299E-3</v>
      </c>
      <c r="D36738" s="2">
        <v>9.8938530904156799E-5</v>
      </c>
      <c r="E36738" s="2">
        <v>0</v>
      </c>
      <c r="F36738" s="2">
        <v>1.0842879860242501E-3</v>
      </c>
    </row>
    <row r="36739" spans="1:6" x14ac:dyDescent="0.25">
      <c r="A36739" s="1" t="str">
        <f t="shared" si="1330"/>
        <v>47260</v>
      </c>
      <c r="B36739" s="1" t="str">
        <f>"27939"</f>
        <v>27939</v>
      </c>
      <c r="C36739" s="2">
        <v>1.5316745117787401E-3</v>
      </c>
      <c r="D36739" s="2">
        <v>8.0564232307670501E-4</v>
      </c>
      <c r="E36739" s="2">
        <v>4.7509323704777002E-5</v>
      </c>
      <c r="F36739" s="2">
        <v>1.4086014414651999E-3</v>
      </c>
    </row>
    <row r="36740" spans="1:6" x14ac:dyDescent="0.25">
      <c r="A36740" s="1" t="str">
        <f t="shared" si="1330"/>
        <v>47260</v>
      </c>
      <c r="B36740" s="1" t="str">
        <f>"27926"</f>
        <v>27926</v>
      </c>
      <c r="C36740" s="2">
        <v>1.03671216954799E-3</v>
      </c>
      <c r="D36740" s="2">
        <v>1.6960891012141101E-4</v>
      </c>
      <c r="E36740" s="2">
        <v>2.3754661852388501E-5</v>
      </c>
      <c r="F36740" s="2">
        <v>9.2429334800671499E-4</v>
      </c>
    </row>
    <row r="36741" spans="1:6" x14ac:dyDescent="0.25">
      <c r="A36741" s="1" t="str">
        <f t="shared" si="1330"/>
        <v>47260</v>
      </c>
      <c r="B36741" s="1" t="str">
        <f>"27935"</f>
        <v>27935</v>
      </c>
      <c r="C36741" s="2">
        <v>9.0496846154130195E-4</v>
      </c>
      <c r="D36741" s="2">
        <v>2.6854744102556801E-4</v>
      </c>
      <c r="E36741" s="2">
        <v>2.3754661852388501E-5</v>
      </c>
      <c r="F36741" s="2">
        <v>8.1618886285973096E-4</v>
      </c>
    </row>
    <row r="36742" spans="1:6" x14ac:dyDescent="0.25">
      <c r="A36742" s="1" t="str">
        <f t="shared" si="1330"/>
        <v>47260</v>
      </c>
      <c r="B36742" s="1" t="str">
        <f>"23018"</f>
        <v>23018</v>
      </c>
      <c r="C36742" s="2">
        <v>0</v>
      </c>
      <c r="D36742" s="2">
        <v>0</v>
      </c>
      <c r="E36742" s="2">
        <v>2.3754661852388501E-5</v>
      </c>
      <c r="F36742" s="2">
        <v>1.0810448514698399E-6</v>
      </c>
    </row>
    <row r="36743" spans="1:6" x14ac:dyDescent="0.25">
      <c r="A36743" s="1" t="str">
        <f t="shared" si="1330"/>
        <v>47260</v>
      </c>
      <c r="B36743" s="1" t="str">
        <f>"23461"</f>
        <v>23461</v>
      </c>
      <c r="C36743" s="2">
        <v>0</v>
      </c>
      <c r="D36743" s="2">
        <v>5.7949710958149004E-4</v>
      </c>
      <c r="E36743" s="2">
        <v>5.4635722260493603E-4</v>
      </c>
      <c r="F36743" s="2">
        <v>6.9186870494069905E-5</v>
      </c>
    </row>
    <row r="36744" spans="1:6" x14ac:dyDescent="0.25">
      <c r="A36744" s="1" t="str">
        <f t="shared" si="1330"/>
        <v>47260</v>
      </c>
      <c r="B36744" s="1" t="str">
        <f>"23651"</f>
        <v>23651</v>
      </c>
      <c r="C36744" s="2">
        <v>4.3955610989148899E-4</v>
      </c>
      <c r="D36744" s="2">
        <v>6.21899337111842E-4</v>
      </c>
      <c r="E36744" s="2">
        <v>2.30420219968168E-3</v>
      </c>
      <c r="F36744" s="2">
        <v>5.3836033603198098E-4</v>
      </c>
    </row>
    <row r="36745" spans="1:6" x14ac:dyDescent="0.25">
      <c r="A36745" s="1" t="str">
        <f t="shared" si="1330"/>
        <v>47260</v>
      </c>
      <c r="B36745" s="1" t="str">
        <f>"23501"</f>
        <v>23501</v>
      </c>
      <c r="C36745" s="2">
        <v>1.6166307346989501E-3</v>
      </c>
      <c r="D36745" s="2">
        <v>5.4416191997286199E-3</v>
      </c>
      <c r="E36745" s="2">
        <v>6.8888519371926695E-4</v>
      </c>
      <c r="F36745" s="2">
        <v>1.86696445848841E-3</v>
      </c>
    </row>
    <row r="36746" spans="1:6" x14ac:dyDescent="0.25">
      <c r="A36746" s="1" t="str">
        <f t="shared" ref="A36746:A36777" si="1331">"47260"</f>
        <v>47260</v>
      </c>
      <c r="B36746" s="1" t="str">
        <f>"27941"</f>
        <v>27941</v>
      </c>
      <c r="C36746" s="2">
        <v>3.0781240188479598E-4</v>
      </c>
      <c r="D36746" s="2">
        <v>1.5547483427796001E-4</v>
      </c>
      <c r="E36746" s="2">
        <v>0</v>
      </c>
      <c r="F36746" s="2">
        <v>2.8215270623362798E-4</v>
      </c>
    </row>
    <row r="36747" spans="1:6" x14ac:dyDescent="0.25">
      <c r="A36747" s="1" t="str">
        <f t="shared" si="1331"/>
        <v>47260</v>
      </c>
      <c r="B36747" s="1" t="str">
        <f>"27946"</f>
        <v>27946</v>
      </c>
      <c r="C36747" s="2">
        <v>5.7129981789818304E-4</v>
      </c>
      <c r="D36747" s="2">
        <v>2.12011137651764E-4</v>
      </c>
      <c r="E36747" s="2">
        <v>0</v>
      </c>
      <c r="F36747" s="2">
        <v>5.1782048385405404E-4</v>
      </c>
    </row>
    <row r="36748" spans="1:6" x14ac:dyDescent="0.25">
      <c r="A36748" s="1" t="str">
        <f t="shared" si="1331"/>
        <v>47260</v>
      </c>
      <c r="B36748" s="1" t="str">
        <f>"23001"</f>
        <v>23001</v>
      </c>
      <c r="C36748" s="2">
        <v>0</v>
      </c>
      <c r="D36748" s="2">
        <v>0</v>
      </c>
      <c r="E36748" s="2">
        <v>2.3754661852388501E-5</v>
      </c>
      <c r="F36748" s="2">
        <v>1.0810448514698399E-6</v>
      </c>
    </row>
    <row r="36749" spans="1:6" x14ac:dyDescent="0.25">
      <c r="A36749" s="1" t="str">
        <f t="shared" si="1331"/>
        <v>47260</v>
      </c>
      <c r="B36749" s="1" t="str">
        <f>"23035"</f>
        <v>23035</v>
      </c>
      <c r="C36749" s="2">
        <v>5.9838730926404496E-4</v>
      </c>
      <c r="D36749" s="2">
        <v>1.4134075843450899E-4</v>
      </c>
      <c r="E36749" s="2">
        <v>7.1263985557165499E-5</v>
      </c>
      <c r="F36749" s="2">
        <v>5.3944138088345096E-4</v>
      </c>
    </row>
    <row r="36750" spans="1:6" x14ac:dyDescent="0.25">
      <c r="A36750" s="1" t="str">
        <f t="shared" si="1331"/>
        <v>47260</v>
      </c>
      <c r="B36750" s="1" t="str">
        <f>"23138"</f>
        <v>23138</v>
      </c>
      <c r="C36750" s="2">
        <v>5.8238106436603505E-4</v>
      </c>
      <c r="D36750" s="2">
        <v>1.6960891012141101E-4</v>
      </c>
      <c r="E36750" s="2">
        <v>2.3754661852388501E-5</v>
      </c>
      <c r="F36750" s="2">
        <v>5.2538779781434301E-4</v>
      </c>
    </row>
    <row r="36751" spans="1:6" x14ac:dyDescent="0.25">
      <c r="A36751" s="1" t="str">
        <f t="shared" si="1331"/>
        <v>47260</v>
      </c>
      <c r="B36751" s="1" t="str">
        <f>"23430"</f>
        <v>23430</v>
      </c>
      <c r="C36751" s="2">
        <v>1.00814717865308E-2</v>
      </c>
      <c r="D36751" s="2">
        <v>7.0387697700385801E-3</v>
      </c>
      <c r="E36751" s="2">
        <v>5.1547616219683101E-3</v>
      </c>
      <c r="F36751" s="2">
        <v>9.6245423126360002E-3</v>
      </c>
    </row>
    <row r="36752" spans="1:6" x14ac:dyDescent="0.25">
      <c r="A36752" s="1" t="str">
        <f t="shared" si="1331"/>
        <v>47260</v>
      </c>
      <c r="B36752" s="1" t="str">
        <f>"23451"</f>
        <v>23451</v>
      </c>
      <c r="C36752" s="2">
        <v>3.2285827208892497E-2</v>
      </c>
      <c r="D36752" s="2">
        <v>3.4854631029950102E-2</v>
      </c>
      <c r="E36752" s="2">
        <v>5.6631113856094199E-2</v>
      </c>
      <c r="F36752" s="2">
        <v>3.3590225624870899E-2</v>
      </c>
    </row>
    <row r="36753" spans="1:6" x14ac:dyDescent="0.25">
      <c r="A36753" s="1" t="str">
        <f t="shared" si="1331"/>
        <v>47260</v>
      </c>
      <c r="B36753" s="1" t="str">
        <f>"23608"</f>
        <v>23608</v>
      </c>
      <c r="C36753" s="2">
        <v>2.5276323193171898E-2</v>
      </c>
      <c r="D36753" s="2">
        <v>1.6112846461534099E-2</v>
      </c>
      <c r="E36753" s="2">
        <v>3.6582179252678301E-2</v>
      </c>
      <c r="F36753" s="2">
        <v>2.5089969957763501E-2</v>
      </c>
    </row>
    <row r="36754" spans="1:6" x14ac:dyDescent="0.25">
      <c r="A36754" s="1" t="str">
        <f t="shared" si="1331"/>
        <v>47260</v>
      </c>
      <c r="B36754" s="1" t="str">
        <f>"23669"</f>
        <v>23669</v>
      </c>
      <c r="C36754" s="2">
        <v>2.3229986345441801E-2</v>
      </c>
      <c r="D36754" s="2">
        <v>1.74555836666619E-2</v>
      </c>
      <c r="E36754" s="2">
        <v>2.5536261491317599E-2</v>
      </c>
      <c r="F36754" s="2">
        <v>2.2893286819576801E-2</v>
      </c>
    </row>
    <row r="36755" spans="1:6" x14ac:dyDescent="0.25">
      <c r="A36755" s="1" t="str">
        <f t="shared" si="1331"/>
        <v>47260</v>
      </c>
      <c r="B36755" s="1" t="str">
        <f>"23505"</f>
        <v>23505</v>
      </c>
      <c r="C36755" s="2">
        <v>1.7055269563632802E-2</v>
      </c>
      <c r="D36755" s="2">
        <v>1.02472049865019E-2</v>
      </c>
      <c r="E36755" s="2">
        <v>3.8720098819393298E-2</v>
      </c>
      <c r="F36755" s="2">
        <v>1.75204939077717E-2</v>
      </c>
    </row>
    <row r="36756" spans="1:6" x14ac:dyDescent="0.25">
      <c r="A36756" s="1" t="str">
        <f t="shared" si="1331"/>
        <v>47260</v>
      </c>
      <c r="B36756" s="1" t="str">
        <f>"23514"</f>
        <v>23514</v>
      </c>
      <c r="C36756" s="2">
        <v>6.5994978964100401E-4</v>
      </c>
      <c r="D36756" s="2">
        <v>1.95050246639623E-3</v>
      </c>
      <c r="E36756" s="2">
        <v>4.7509323704777002E-5</v>
      </c>
      <c r="F36756" s="2">
        <v>7.3078631959361295E-4</v>
      </c>
    </row>
    <row r="36757" spans="1:6" x14ac:dyDescent="0.25">
      <c r="A36757" s="1" t="str">
        <f t="shared" si="1331"/>
        <v>47260</v>
      </c>
      <c r="B36757" s="1" t="str">
        <f>"27976"</f>
        <v>27976</v>
      </c>
      <c r="C36757" s="2">
        <v>1.83086816641077E-3</v>
      </c>
      <c r="D36757" s="2">
        <v>2.4027928933866599E-4</v>
      </c>
      <c r="E36757" s="2">
        <v>4.7509323704777002E-5</v>
      </c>
      <c r="F36757" s="2">
        <v>1.6280535463135801E-3</v>
      </c>
    </row>
    <row r="36758" spans="1:6" x14ac:dyDescent="0.25">
      <c r="A36758" s="1" t="str">
        <f t="shared" si="1331"/>
        <v>47260</v>
      </c>
      <c r="B36758" s="1" t="str">
        <f>"27921"</f>
        <v>27921</v>
      </c>
      <c r="C36758" s="2">
        <v>2.5794679277945901E-3</v>
      </c>
      <c r="D36758" s="2">
        <v>1.13072606747607E-3</v>
      </c>
      <c r="E36758" s="2">
        <v>6.6513053186687801E-4</v>
      </c>
      <c r="F36758" s="2">
        <v>2.38154180778806E-3</v>
      </c>
    </row>
    <row r="36759" spans="1:6" x14ac:dyDescent="0.25">
      <c r="A36759" s="1" t="str">
        <f t="shared" si="1331"/>
        <v>47260</v>
      </c>
      <c r="B36759" s="1" t="str">
        <f>"27923"</f>
        <v>27923</v>
      </c>
      <c r="C36759" s="2">
        <v>4.6171860282719502E-4</v>
      </c>
      <c r="D36759" s="2">
        <v>4.5229042699043102E-4</v>
      </c>
      <c r="E36759" s="2">
        <v>1.6628263296671899E-4</v>
      </c>
      <c r="F36759" s="2">
        <v>4.4755256850851401E-4</v>
      </c>
    </row>
    <row r="36760" spans="1:6" x14ac:dyDescent="0.25">
      <c r="A36760" s="1" t="str">
        <f t="shared" si="1331"/>
        <v>47260</v>
      </c>
      <c r="B36760" s="1" t="str">
        <f>"23081"</f>
        <v>23081</v>
      </c>
      <c r="C36760" s="2">
        <v>0</v>
      </c>
      <c r="D36760" s="2">
        <v>1.41340758434509E-5</v>
      </c>
      <c r="E36760" s="2">
        <v>2.3754661852388501E-5</v>
      </c>
      <c r="F36760" s="2">
        <v>2.1620897029396799E-6</v>
      </c>
    </row>
    <row r="36761" spans="1:6" x14ac:dyDescent="0.25">
      <c r="A36761" s="1" t="str">
        <f t="shared" si="1331"/>
        <v>47260</v>
      </c>
      <c r="B36761" s="1" t="str">
        <f>"23090"</f>
        <v>23090</v>
      </c>
      <c r="C36761" s="2">
        <v>9.0619971114884196E-4</v>
      </c>
      <c r="D36761" s="2">
        <v>1.85156393549207E-3</v>
      </c>
      <c r="E36761" s="2">
        <v>4.7509323704777002E-5</v>
      </c>
      <c r="F36761" s="2">
        <v>9.3942797592729303E-4</v>
      </c>
    </row>
    <row r="36762" spans="1:6" x14ac:dyDescent="0.25">
      <c r="A36762" s="1" t="str">
        <f t="shared" si="1331"/>
        <v>47260</v>
      </c>
      <c r="B36762" s="1" t="str">
        <f>"23068"</f>
        <v>23068</v>
      </c>
      <c r="C36762" s="2">
        <v>2.0069368602888699E-4</v>
      </c>
      <c r="D36762" s="2">
        <v>0</v>
      </c>
      <c r="E36762" s="2">
        <v>2.3754661852388501E-5</v>
      </c>
      <c r="F36762" s="2">
        <v>1.7729135564105401E-4</v>
      </c>
    </row>
    <row r="36763" spans="1:6" x14ac:dyDescent="0.25">
      <c r="A36763" s="1" t="str">
        <f t="shared" si="1331"/>
        <v>47260</v>
      </c>
      <c r="B36763" s="1" t="str">
        <f>"23003"</f>
        <v>23003</v>
      </c>
      <c r="C36763" s="2">
        <v>7.9908099529293203E-4</v>
      </c>
      <c r="D36763" s="2">
        <v>4.3815635114698002E-4</v>
      </c>
      <c r="E36763" s="2">
        <v>4.7509323704777002E-5</v>
      </c>
      <c r="F36763" s="2">
        <v>7.3727258870243204E-4</v>
      </c>
    </row>
    <row r="36764" spans="1:6" x14ac:dyDescent="0.25">
      <c r="A36764" s="1" t="str">
        <f t="shared" si="1331"/>
        <v>47260</v>
      </c>
      <c r="B36764" s="1" t="str">
        <f>"23462"</f>
        <v>23462</v>
      </c>
      <c r="C36764" s="2">
        <v>3.6175344719108798E-2</v>
      </c>
      <c r="D36764" s="2">
        <v>5.0161835168407498E-2</v>
      </c>
      <c r="E36764" s="2">
        <v>4.0002850559422203E-2</v>
      </c>
      <c r="F36764" s="2">
        <v>3.7419286488777098E-2</v>
      </c>
    </row>
    <row r="36765" spans="1:6" x14ac:dyDescent="0.25">
      <c r="A36765" s="1" t="str">
        <f t="shared" si="1331"/>
        <v>47260</v>
      </c>
      <c r="B36765" s="1" t="str">
        <f>"23460"</f>
        <v>23460</v>
      </c>
      <c r="C36765" s="2">
        <v>0</v>
      </c>
      <c r="D36765" s="2">
        <v>1.86569801133552E-3</v>
      </c>
      <c r="E36765" s="2">
        <v>3.8007458963821601E-4</v>
      </c>
      <c r="F36765" s="2">
        <v>1.5999463801753599E-4</v>
      </c>
    </row>
    <row r="36766" spans="1:6" x14ac:dyDescent="0.25">
      <c r="A36766" s="1" t="str">
        <f t="shared" si="1331"/>
        <v>47260</v>
      </c>
      <c r="B36766" s="1" t="str">
        <f>"23323"</f>
        <v>23323</v>
      </c>
      <c r="C36766" s="2">
        <v>2.00915310958244E-2</v>
      </c>
      <c r="D36766" s="2">
        <v>1.5420276745205E-2</v>
      </c>
      <c r="E36766" s="2">
        <v>8.2191130009264292E-3</v>
      </c>
      <c r="F36766" s="2">
        <v>1.9193951337847001E-2</v>
      </c>
    </row>
    <row r="36767" spans="1:6" x14ac:dyDescent="0.25">
      <c r="A36767" s="1" t="str">
        <f t="shared" si="1331"/>
        <v>47260</v>
      </c>
      <c r="B36767" s="1" t="str">
        <f>"23435"</f>
        <v>23435</v>
      </c>
      <c r="C36767" s="2">
        <v>1.7388938207275901E-2</v>
      </c>
      <c r="D36767" s="2">
        <v>1.3978601009172999E-2</v>
      </c>
      <c r="E36767" s="2">
        <v>2.15454783001163E-2</v>
      </c>
      <c r="F36767" s="2">
        <v>1.7317257475695399E-2</v>
      </c>
    </row>
    <row r="36768" spans="1:6" x14ac:dyDescent="0.25">
      <c r="A36768" s="1" t="str">
        <f t="shared" si="1331"/>
        <v>47260</v>
      </c>
      <c r="B36768" s="1" t="str">
        <f>"23602"</f>
        <v>23602</v>
      </c>
      <c r="C36768" s="2">
        <v>2.3285392577781099E-2</v>
      </c>
      <c r="D36768" s="2">
        <v>1.7512119970035701E-2</v>
      </c>
      <c r="E36768" s="2">
        <v>3.10473430410718E-2</v>
      </c>
      <c r="F36768" s="2">
        <v>2.31970604228398E-2</v>
      </c>
    </row>
    <row r="36769" spans="1:6" x14ac:dyDescent="0.25">
      <c r="A36769" s="1" t="str">
        <f t="shared" si="1331"/>
        <v>47260</v>
      </c>
      <c r="B36769" s="1" t="str">
        <f>"23604"</f>
        <v>23604</v>
      </c>
      <c r="C36769" s="2">
        <v>2.1891618022046701E-3</v>
      </c>
      <c r="D36769" s="2">
        <v>2.8550833203770899E-3</v>
      </c>
      <c r="E36769" s="2">
        <v>5.5110815497541304E-3</v>
      </c>
      <c r="F36769" s="2">
        <v>2.39127121145129E-3</v>
      </c>
    </row>
    <row r="36770" spans="1:6" x14ac:dyDescent="0.25">
      <c r="A36770" s="1" t="str">
        <f t="shared" si="1331"/>
        <v>47260</v>
      </c>
      <c r="B36770" s="1" t="str">
        <f>"23463"</f>
        <v>23463</v>
      </c>
      <c r="C36770" s="2">
        <v>0</v>
      </c>
      <c r="D36770" s="2">
        <v>0</v>
      </c>
      <c r="E36770" s="2">
        <v>2.3754661852388501E-5</v>
      </c>
      <c r="F36770" s="2">
        <v>1.0810448514698399E-6</v>
      </c>
    </row>
    <row r="36771" spans="1:6" x14ac:dyDescent="0.25">
      <c r="A36771" s="1" t="str">
        <f t="shared" si="1331"/>
        <v>47260</v>
      </c>
      <c r="B36771" s="1" t="str">
        <f>"23154"</f>
        <v>23154</v>
      </c>
      <c r="C36771" s="2">
        <v>0</v>
      </c>
      <c r="D36771" s="2">
        <v>0</v>
      </c>
      <c r="E36771" s="2">
        <v>2.3754661852388501E-5</v>
      </c>
      <c r="F36771" s="2">
        <v>1.0810448514698399E-6</v>
      </c>
    </row>
    <row r="36772" spans="1:6" x14ac:dyDescent="0.25">
      <c r="A36772" s="1" t="str">
        <f t="shared" si="1331"/>
        <v>47260</v>
      </c>
      <c r="B36772" s="1" t="str">
        <f>"27969"</f>
        <v>27969</v>
      </c>
      <c r="C36772" s="2">
        <v>1.2312496075391799E-6</v>
      </c>
      <c r="D36772" s="2">
        <v>1.41340758434509E-5</v>
      </c>
      <c r="E36772" s="2">
        <v>0</v>
      </c>
      <c r="F36772" s="2">
        <v>2.1620897029396799E-6</v>
      </c>
    </row>
    <row r="36773" spans="1:6" x14ac:dyDescent="0.25">
      <c r="A36773" s="1" t="str">
        <f t="shared" si="1331"/>
        <v>47260</v>
      </c>
      <c r="B36773" s="1" t="str">
        <f>"27919"</f>
        <v>27919</v>
      </c>
      <c r="C36773" s="2">
        <v>9.8499968603135002E-6</v>
      </c>
      <c r="D36773" s="2">
        <v>0</v>
      </c>
      <c r="E36773" s="2">
        <v>0</v>
      </c>
      <c r="F36773" s="2">
        <v>8.6483588117587398E-6</v>
      </c>
    </row>
    <row r="36774" spans="1:6" x14ac:dyDescent="0.25">
      <c r="A36774" s="1" t="str">
        <f t="shared" si="1331"/>
        <v>47260</v>
      </c>
      <c r="B36774" s="1" t="str">
        <f>"23178"</f>
        <v>23178</v>
      </c>
      <c r="C36774" s="2">
        <v>0</v>
      </c>
      <c r="D36774" s="2">
        <v>0</v>
      </c>
      <c r="E36774" s="2">
        <v>2.3754661852388501E-5</v>
      </c>
      <c r="F36774" s="2">
        <v>1.0810448514698399E-6</v>
      </c>
    </row>
    <row r="36775" spans="1:6" x14ac:dyDescent="0.25">
      <c r="A36775" s="1" t="str">
        <f t="shared" si="1331"/>
        <v>47260</v>
      </c>
      <c r="B36775" s="1" t="str">
        <f>"23703"</f>
        <v>23703</v>
      </c>
      <c r="C36775" s="2">
        <v>1.44745703862306E-2</v>
      </c>
      <c r="D36775" s="2">
        <v>8.4239092026967798E-3</v>
      </c>
      <c r="E36775" s="2">
        <v>1.4870418319595201E-2</v>
      </c>
      <c r="F36775" s="2">
        <v>1.40298000823756E-2</v>
      </c>
    </row>
    <row r="36776" spans="1:6" x14ac:dyDescent="0.25">
      <c r="A36776" s="1" t="str">
        <f t="shared" si="1331"/>
        <v>47260</v>
      </c>
      <c r="B36776" s="1" t="str">
        <f>"23666"</f>
        <v>23666</v>
      </c>
      <c r="C36776" s="2">
        <v>3.1808102361167302E-2</v>
      </c>
      <c r="D36776" s="2">
        <v>3.2112620316320603E-2</v>
      </c>
      <c r="E36776" s="2">
        <v>2.5156186901679398E-2</v>
      </c>
      <c r="F36776" s="2">
        <v>3.1528673093117902E-2</v>
      </c>
    </row>
    <row r="36777" spans="1:6" x14ac:dyDescent="0.25">
      <c r="A36777" s="1" t="str">
        <f t="shared" si="1331"/>
        <v>47260</v>
      </c>
      <c r="B36777" s="1" t="str">
        <f>"23701"</f>
        <v>23701</v>
      </c>
      <c r="C36777" s="2">
        <v>1.4251714207266E-2</v>
      </c>
      <c r="D36777" s="2">
        <v>1.18443555568119E-2</v>
      </c>
      <c r="E36777" s="2">
        <v>9.1217901513171908E-3</v>
      </c>
      <c r="F36777" s="2">
        <v>1.38341309642595E-2</v>
      </c>
    </row>
    <row r="36778" spans="1:6" x14ac:dyDescent="0.25">
      <c r="A36778" s="1" t="str">
        <f t="shared" ref="A36778:A36797" si="1332">"47260"</f>
        <v>47260</v>
      </c>
      <c r="B36778" s="1" t="str">
        <f>"23504"</f>
        <v>23504</v>
      </c>
      <c r="C36778" s="2">
        <v>1.17313462606333E-2</v>
      </c>
      <c r="D36778" s="2">
        <v>1.07418976410227E-2</v>
      </c>
      <c r="E36778" s="2">
        <v>1.43003064351378E-2</v>
      </c>
      <c r="F36778" s="2">
        <v>1.17725784325065E-2</v>
      </c>
    </row>
    <row r="36779" spans="1:6" x14ac:dyDescent="0.25">
      <c r="A36779" s="1" t="str">
        <f t="shared" si="1332"/>
        <v>47260</v>
      </c>
      <c r="B36779" s="1" t="str">
        <f>"23511"</f>
        <v>23511</v>
      </c>
      <c r="C36779" s="2">
        <v>9.5791219466548696E-4</v>
      </c>
      <c r="D36779" s="2">
        <v>5.6536303373803899E-4</v>
      </c>
      <c r="E36779" s="2">
        <v>9.6919020357745193E-3</v>
      </c>
      <c r="F36779" s="2">
        <v>1.32536098790202E-3</v>
      </c>
    </row>
    <row r="36780" spans="1:6" x14ac:dyDescent="0.25">
      <c r="A36780" s="1" t="str">
        <f t="shared" si="1332"/>
        <v>47260</v>
      </c>
      <c r="B36780" s="1" t="str">
        <f>"27916"</f>
        <v>27916</v>
      </c>
      <c r="C36780" s="2">
        <v>4.9619359183829205E-4</v>
      </c>
      <c r="D36780" s="2">
        <v>2.8268151686901901E-5</v>
      </c>
      <c r="E36780" s="2">
        <v>4.5133857519538201E-4</v>
      </c>
      <c r="F36780" s="2">
        <v>4.5836301702321301E-4</v>
      </c>
    </row>
    <row r="36781" spans="1:6" x14ac:dyDescent="0.25">
      <c r="A36781" s="1" t="str">
        <f t="shared" si="1332"/>
        <v>47260</v>
      </c>
      <c r="B36781" s="1" t="str">
        <f>"23709"</f>
        <v>23709</v>
      </c>
      <c r="C36781" s="2">
        <v>0</v>
      </c>
      <c r="D36781" s="2">
        <v>1.41340758434509E-5</v>
      </c>
      <c r="E36781" s="2">
        <v>0</v>
      </c>
      <c r="F36781" s="2">
        <v>1.0810448514698399E-6</v>
      </c>
    </row>
    <row r="36782" spans="1:6" x14ac:dyDescent="0.25">
      <c r="A36782" s="1" t="str">
        <f t="shared" si="1332"/>
        <v>47260</v>
      </c>
      <c r="B36782" s="1" t="str">
        <f>"23630"</f>
        <v>23630</v>
      </c>
      <c r="C36782" s="2">
        <v>0</v>
      </c>
      <c r="D36782" s="2">
        <v>1.4134075843450899E-4</v>
      </c>
      <c r="E36782" s="2">
        <v>0</v>
      </c>
      <c r="F36782" s="2">
        <v>1.08104485146984E-5</v>
      </c>
    </row>
    <row r="36783" spans="1:6" x14ac:dyDescent="0.25">
      <c r="A36783" s="1" t="str">
        <f t="shared" si="1332"/>
        <v>47260</v>
      </c>
      <c r="B36783" s="1" t="str">
        <f>"23021"</f>
        <v>23021</v>
      </c>
      <c r="C36783" s="2">
        <v>1.42824954474545E-4</v>
      </c>
      <c r="D36783" s="2">
        <v>0</v>
      </c>
      <c r="E36783" s="2">
        <v>2.3754661852388501E-5</v>
      </c>
      <c r="F36783" s="2">
        <v>1.26482247621971E-4</v>
      </c>
    </row>
    <row r="36784" spans="1:6" x14ac:dyDescent="0.25">
      <c r="A36784" s="1" t="str">
        <f t="shared" si="1332"/>
        <v>47260</v>
      </c>
      <c r="B36784" s="1" t="str">
        <f>"23127"</f>
        <v>23127</v>
      </c>
      <c r="C36784" s="2">
        <v>5.9469356044142697E-4</v>
      </c>
      <c r="D36784" s="2">
        <v>1.1165919916326201E-3</v>
      </c>
      <c r="E36784" s="2">
        <v>4.7509323704777002E-5</v>
      </c>
      <c r="F36784" s="2">
        <v>6.0970929622899104E-4</v>
      </c>
    </row>
    <row r="36785" spans="1:6" x14ac:dyDescent="0.25">
      <c r="A36785" s="1" t="str">
        <f t="shared" si="1332"/>
        <v>47260</v>
      </c>
      <c r="B36785" s="1" t="str">
        <f>"23433"</f>
        <v>23433</v>
      </c>
      <c r="C36785" s="2">
        <v>7.2766851805565903E-4</v>
      </c>
      <c r="D36785" s="2">
        <v>2.5441336518211701E-4</v>
      </c>
      <c r="E36785" s="2">
        <v>4.7509323704777002E-5</v>
      </c>
      <c r="F36785" s="2">
        <v>6.6051840424807297E-4</v>
      </c>
    </row>
    <row r="36786" spans="1:6" x14ac:dyDescent="0.25">
      <c r="A36786" s="1" t="str">
        <f t="shared" si="1332"/>
        <v>47260</v>
      </c>
      <c r="B36786" s="1" t="str">
        <f>"23628"</f>
        <v>23628</v>
      </c>
      <c r="C36786" s="2">
        <v>0</v>
      </c>
      <c r="D36786" s="2">
        <v>1.41340758434509E-5</v>
      </c>
      <c r="E36786" s="2">
        <v>0</v>
      </c>
      <c r="F36786" s="2">
        <v>1.0810448514698399E-6</v>
      </c>
    </row>
    <row r="36787" spans="1:6" x14ac:dyDescent="0.25">
      <c r="A36787" s="1" t="str">
        <f t="shared" si="1332"/>
        <v>47260</v>
      </c>
      <c r="B36787" s="1" t="str">
        <f>"23184"</f>
        <v>23184</v>
      </c>
      <c r="C36787" s="2">
        <v>0</v>
      </c>
      <c r="D36787" s="2">
        <v>0</v>
      </c>
      <c r="E36787" s="2">
        <v>2.3754661852388501E-5</v>
      </c>
      <c r="F36787" s="2">
        <v>1.0810448514698399E-6</v>
      </c>
    </row>
    <row r="36788" spans="1:6" x14ac:dyDescent="0.25">
      <c r="A36788" s="1" t="str">
        <f t="shared" si="1332"/>
        <v>47260</v>
      </c>
      <c r="B36788" s="1" t="str">
        <f>"23185"</f>
        <v>23185</v>
      </c>
      <c r="C36788" s="2">
        <v>2.7799153639019698E-2</v>
      </c>
      <c r="D36788" s="2">
        <v>2.9568486664499401E-2</v>
      </c>
      <c r="E36788" s="2">
        <v>2.5441242843908099E-2</v>
      </c>
      <c r="F36788" s="2">
        <v>2.7827175521685201E-2</v>
      </c>
    </row>
    <row r="36789" spans="1:6" x14ac:dyDescent="0.25">
      <c r="A36789" s="1" t="str">
        <f t="shared" si="1332"/>
        <v>47260</v>
      </c>
      <c r="B36789" s="1" t="str">
        <f>"23149"</f>
        <v>23149</v>
      </c>
      <c r="C36789" s="2">
        <v>6.6610603767869997E-4</v>
      </c>
      <c r="D36789" s="2">
        <v>4.0988819946007797E-4</v>
      </c>
      <c r="E36789" s="2">
        <v>4.7509323704777002E-5</v>
      </c>
      <c r="F36789" s="2">
        <v>6.1835765504074901E-4</v>
      </c>
    </row>
    <row r="36790" spans="1:6" x14ac:dyDescent="0.25">
      <c r="A36790" s="1" t="str">
        <f t="shared" si="1332"/>
        <v>47260</v>
      </c>
      <c r="B36790" s="1" t="str">
        <f>"23464"</f>
        <v>23464</v>
      </c>
      <c r="C36790" s="2">
        <v>3.5853988571541102E-2</v>
      </c>
      <c r="D36790" s="2">
        <v>1.8035080776243401E-2</v>
      </c>
      <c r="E36790" s="2">
        <v>1.3801458536237699E-2</v>
      </c>
      <c r="F36790" s="2">
        <v>3.34875263639813E-2</v>
      </c>
    </row>
    <row r="36791" spans="1:6" x14ac:dyDescent="0.25">
      <c r="A36791" s="1" t="str">
        <f t="shared" si="1332"/>
        <v>47260</v>
      </c>
      <c r="B36791" s="1" t="str">
        <f>"23457"</f>
        <v>23457</v>
      </c>
      <c r="C36791" s="2">
        <v>2.2605742794419401E-3</v>
      </c>
      <c r="D36791" s="2">
        <v>7.7737417138980301E-4</v>
      </c>
      <c r="E36791" s="2">
        <v>0</v>
      </c>
      <c r="F36791" s="2">
        <v>2.04425581412947E-3</v>
      </c>
    </row>
    <row r="36792" spans="1:6" x14ac:dyDescent="0.25">
      <c r="A36792" s="1" t="str">
        <f t="shared" si="1332"/>
        <v>47260</v>
      </c>
      <c r="B36792" s="1" t="str">
        <f>"23322"</f>
        <v>23322</v>
      </c>
      <c r="C36792" s="2">
        <v>2.86622596139047E-2</v>
      </c>
      <c r="D36792" s="2">
        <v>1.5731226413760901E-2</v>
      </c>
      <c r="E36792" s="2">
        <v>1.1473501674703601E-2</v>
      </c>
      <c r="F36792" s="2">
        <v>2.68909906803123E-2</v>
      </c>
    </row>
    <row r="36793" spans="1:6" x14ac:dyDescent="0.25">
      <c r="A36793" s="1" t="str">
        <f t="shared" si="1332"/>
        <v>47260</v>
      </c>
      <c r="B36793" s="1" t="str">
        <f>"23450"</f>
        <v>23450</v>
      </c>
      <c r="C36793" s="2">
        <v>1.8653431554218601E-3</v>
      </c>
      <c r="D36793" s="2">
        <v>7.4627920453421096E-3</v>
      </c>
      <c r="E36793" s="2">
        <v>4.7509323704777002E-5</v>
      </c>
      <c r="F36793" s="2">
        <v>2.2107367212558199E-3</v>
      </c>
    </row>
    <row r="36794" spans="1:6" x14ac:dyDescent="0.25">
      <c r="A36794" s="1" t="str">
        <f t="shared" si="1332"/>
        <v>47260</v>
      </c>
      <c r="B36794" s="1" t="str">
        <f>"23437"</f>
        <v>23437</v>
      </c>
      <c r="C36794" s="2">
        <v>2.5954741726926002E-3</v>
      </c>
      <c r="D36794" s="2">
        <v>7.4910601970290102E-4</v>
      </c>
      <c r="E36794" s="2">
        <v>0</v>
      </c>
      <c r="F36794" s="2">
        <v>2.3361379240263202E-3</v>
      </c>
    </row>
    <row r="36795" spans="1:6" x14ac:dyDescent="0.25">
      <c r="A36795" s="1" t="str">
        <f t="shared" si="1332"/>
        <v>47260</v>
      </c>
      <c r="B36795" s="1" t="str">
        <f>"23523"</f>
        <v>23523</v>
      </c>
      <c r="C36795" s="2">
        <v>4.0077174725400497E-3</v>
      </c>
      <c r="D36795" s="2">
        <v>2.79854701700329E-3</v>
      </c>
      <c r="E36795" s="2">
        <v>2.4942394945007898E-3</v>
      </c>
      <c r="F36795" s="2">
        <v>3.8463575815297002E-3</v>
      </c>
    </row>
    <row r="36796" spans="1:6" x14ac:dyDescent="0.25">
      <c r="A36796" s="1" t="str">
        <f t="shared" si="1332"/>
        <v>47260</v>
      </c>
      <c r="B36796" s="1" t="str">
        <f>"23601"</f>
        <v>23601</v>
      </c>
      <c r="C36796" s="2">
        <v>1.5959457412922901E-2</v>
      </c>
      <c r="D36796" s="2">
        <v>1.4869047787310401E-2</v>
      </c>
      <c r="E36796" s="2">
        <v>1.70796018718673E-2</v>
      </c>
      <c r="F36796" s="2">
        <v>1.5927033796705101E-2</v>
      </c>
    </row>
    <row r="36797" spans="1:6" x14ac:dyDescent="0.25">
      <c r="A36797" s="1" t="str">
        <f t="shared" si="1332"/>
        <v>47260</v>
      </c>
      <c r="B36797" s="1" t="str">
        <f>"23050"</f>
        <v>23050</v>
      </c>
      <c r="C36797" s="2">
        <v>3.3120614442804099E-4</v>
      </c>
      <c r="D36797" s="2">
        <v>1.4134075843450899E-4</v>
      </c>
      <c r="E36797" s="2">
        <v>2.3754661852388501E-5</v>
      </c>
      <c r="F36797" s="2">
        <v>3.0269255841155497E-4</v>
      </c>
    </row>
    <row r="36798" spans="1:6" x14ac:dyDescent="0.25">
      <c r="A36798" s="1" t="str">
        <f t="shared" ref="A36798:A36829" si="1333">"47300"</f>
        <v>47300</v>
      </c>
      <c r="B36798" s="1" t="str">
        <f>"93275"</f>
        <v>93275</v>
      </c>
      <c r="C36798" s="2">
        <v>8.8376971486286999E-3</v>
      </c>
      <c r="D36798" s="2">
        <v>2.7312775330396399E-2</v>
      </c>
      <c r="E36798" s="2">
        <v>2.0185708518368899E-4</v>
      </c>
      <c r="F36798" s="2">
        <v>1.0044733161490099E-2</v>
      </c>
    </row>
    <row r="36799" spans="1:6" x14ac:dyDescent="0.25">
      <c r="A36799" s="1" t="str">
        <f t="shared" si="1333"/>
        <v>47300</v>
      </c>
      <c r="B36799" s="1" t="str">
        <f>"93618"</f>
        <v>93618</v>
      </c>
      <c r="C36799" s="2">
        <v>6.2388314816253503E-2</v>
      </c>
      <c r="D36799" s="2">
        <v>5.1468428781204098E-2</v>
      </c>
      <c r="E36799" s="2">
        <v>7.6705692369802098E-2</v>
      </c>
      <c r="F36799" s="2">
        <v>6.1938668177036901E-2</v>
      </c>
    </row>
    <row r="36800" spans="1:6" x14ac:dyDescent="0.25">
      <c r="A36800" s="1" t="str">
        <f t="shared" si="1333"/>
        <v>47300</v>
      </c>
      <c r="B36800" s="1" t="str">
        <f>"93219"</f>
        <v>93219</v>
      </c>
      <c r="C36800" s="2">
        <v>5.5680729288063602E-3</v>
      </c>
      <c r="D36800" s="2">
        <v>2.8634361233480102E-3</v>
      </c>
      <c r="E36800" s="2">
        <v>1.13039967702866E-2</v>
      </c>
      <c r="F36800" s="2">
        <v>5.5194017084137601E-3</v>
      </c>
    </row>
    <row r="36801" spans="1:6" x14ac:dyDescent="0.25">
      <c r="A36801" s="1" t="str">
        <f t="shared" si="1333"/>
        <v>47300</v>
      </c>
      <c r="B36801" s="1" t="str">
        <f>"93208"</f>
        <v>93208</v>
      </c>
      <c r="C36801" s="2">
        <v>0</v>
      </c>
      <c r="D36801" s="2">
        <v>7.3421439060205497E-5</v>
      </c>
      <c r="E36801" s="2">
        <v>0</v>
      </c>
      <c r="F36801" s="2">
        <v>5.7794782287055104E-6</v>
      </c>
    </row>
    <row r="36802" spans="1:6" x14ac:dyDescent="0.25">
      <c r="A36802" s="1" t="str">
        <f t="shared" si="1333"/>
        <v>47300</v>
      </c>
      <c r="B36802" s="1" t="str">
        <f>"93654"</f>
        <v>93654</v>
      </c>
      <c r="C36802" s="2">
        <v>1.56035532074689E-3</v>
      </c>
      <c r="D36802" s="2">
        <v>1.61527165932452E-3</v>
      </c>
      <c r="E36802" s="2">
        <v>1.2111425111021299E-3</v>
      </c>
      <c r="F36802" s="2">
        <v>1.5546796435217799E-3</v>
      </c>
    </row>
    <row r="36803" spans="1:6" x14ac:dyDescent="0.25">
      <c r="A36803" s="1" t="str">
        <f t="shared" si="1333"/>
        <v>47300</v>
      </c>
      <c r="B36803" s="1" t="str">
        <f>"93261"</f>
        <v>93261</v>
      </c>
      <c r="C36803" s="2">
        <v>0</v>
      </c>
      <c r="D36803" s="2">
        <v>7.3421439060205497E-5</v>
      </c>
      <c r="E36803" s="2">
        <v>0</v>
      </c>
      <c r="F36803" s="2">
        <v>5.7794782287055104E-6</v>
      </c>
    </row>
    <row r="36804" spans="1:6" x14ac:dyDescent="0.25">
      <c r="A36804" s="1" t="str">
        <f t="shared" si="1333"/>
        <v>47300</v>
      </c>
      <c r="B36804" s="1" t="str">
        <f>"93670"</f>
        <v>93670</v>
      </c>
      <c r="C36804" s="2">
        <v>0</v>
      </c>
      <c r="D36804" s="2">
        <v>0</v>
      </c>
      <c r="E36804" s="2">
        <v>2.0185708518368899E-4</v>
      </c>
      <c r="F36804" s="2">
        <v>5.7794782287055104E-6</v>
      </c>
    </row>
    <row r="36805" spans="1:6" x14ac:dyDescent="0.25">
      <c r="A36805" s="1" t="str">
        <f t="shared" si="1333"/>
        <v>47300</v>
      </c>
      <c r="B36805" s="1" t="str">
        <f>"93207"</f>
        <v>93207</v>
      </c>
      <c r="C36805" s="2">
        <v>8.8053246316007502E-4</v>
      </c>
      <c r="D36805" s="2">
        <v>7.3421439060205497E-5</v>
      </c>
      <c r="E36805" s="2">
        <v>0</v>
      </c>
      <c r="F36805" s="2">
        <v>7.9178851733265499E-4</v>
      </c>
    </row>
    <row r="36806" spans="1:6" x14ac:dyDescent="0.25">
      <c r="A36806" s="1" t="str">
        <f t="shared" si="1333"/>
        <v>47300</v>
      </c>
      <c r="B36806" s="1" t="str">
        <f>"93527"</f>
        <v>93527</v>
      </c>
      <c r="C36806" s="2">
        <v>5.0501126563592502E-4</v>
      </c>
      <c r="D36806" s="2">
        <v>0</v>
      </c>
      <c r="E36806" s="2">
        <v>0</v>
      </c>
      <c r="F36806" s="2">
        <v>4.5079930183902902E-4</v>
      </c>
    </row>
    <row r="36807" spans="1:6" x14ac:dyDescent="0.25">
      <c r="A36807" s="1" t="str">
        <f t="shared" si="1333"/>
        <v>47300</v>
      </c>
      <c r="B36807" s="1" t="str">
        <f>"93631"</f>
        <v>93631</v>
      </c>
      <c r="C36807" s="2">
        <v>4.7846580167301101E-3</v>
      </c>
      <c r="D36807" s="2">
        <v>1.9089574155653399E-3</v>
      </c>
      <c r="E36807" s="2">
        <v>3.6334275333064102E-3</v>
      </c>
      <c r="F36807" s="2">
        <v>4.5253314530764102E-3</v>
      </c>
    </row>
    <row r="36808" spans="1:6" x14ac:dyDescent="0.25">
      <c r="A36808" s="1" t="str">
        <f t="shared" si="1333"/>
        <v>47300</v>
      </c>
      <c r="B36808" s="1" t="str">
        <f>"93260"</f>
        <v>93260</v>
      </c>
      <c r="C36808" s="2">
        <v>8.48159946132131E-4</v>
      </c>
      <c r="D36808" s="2">
        <v>2.9368575624082199E-4</v>
      </c>
      <c r="E36808" s="2">
        <v>6.0557125555106897E-4</v>
      </c>
      <c r="F36808" s="2">
        <v>7.9756799556136002E-4</v>
      </c>
    </row>
    <row r="36809" spans="1:6" x14ac:dyDescent="0.25">
      <c r="A36809" s="1" t="str">
        <f t="shared" si="1333"/>
        <v>47300</v>
      </c>
      <c r="B36809" s="1" t="str">
        <f>"93646"</f>
        <v>93646</v>
      </c>
      <c r="C36809" s="2">
        <v>6.6687385077564504E-4</v>
      </c>
      <c r="D36809" s="2">
        <v>2.9368575624082199E-4</v>
      </c>
      <c r="E36809" s="2">
        <v>0</v>
      </c>
      <c r="F36809" s="2">
        <v>6.1840417047148905E-4</v>
      </c>
    </row>
    <row r="36810" spans="1:6" x14ac:dyDescent="0.25">
      <c r="A36810" s="1" t="str">
        <f t="shared" si="1333"/>
        <v>47300</v>
      </c>
      <c r="B36810" s="1" t="str">
        <f>"93201"</f>
        <v>93201</v>
      </c>
      <c r="C36810" s="2">
        <v>1.32079869474011E-3</v>
      </c>
      <c r="D36810" s="2">
        <v>3.6710719530102701E-4</v>
      </c>
      <c r="E36810" s="2">
        <v>2.0185708518368899E-4</v>
      </c>
      <c r="F36810" s="2">
        <v>1.2136904280281499E-3</v>
      </c>
    </row>
    <row r="36811" spans="1:6" x14ac:dyDescent="0.25">
      <c r="A36811" s="1" t="str">
        <f t="shared" si="1333"/>
        <v>47300</v>
      </c>
      <c r="B36811" s="1" t="str">
        <f>"93212"</f>
        <v>93212</v>
      </c>
      <c r="C36811" s="2">
        <v>2.8487814984590599E-4</v>
      </c>
      <c r="D36811" s="2">
        <v>3.6710719530102701E-4</v>
      </c>
      <c r="E36811" s="2">
        <v>4.0371417036737901E-4</v>
      </c>
      <c r="F36811" s="2">
        <v>2.9475338966398102E-4</v>
      </c>
    </row>
    <row r="36812" spans="1:6" x14ac:dyDescent="0.25">
      <c r="A36812" s="1" t="str">
        <f t="shared" si="1333"/>
        <v>47300</v>
      </c>
      <c r="B36812" s="1" t="str">
        <f>"93291"</f>
        <v>93291</v>
      </c>
      <c r="C36812" s="2">
        <v>0.129392950560691</v>
      </c>
      <c r="D36812" s="2">
        <v>0.19104258443465399</v>
      </c>
      <c r="E36812" s="2">
        <v>0.14796124343964401</v>
      </c>
      <c r="F36812" s="2">
        <v>0.13477743229341199</v>
      </c>
    </row>
    <row r="36813" spans="1:6" x14ac:dyDescent="0.25">
      <c r="A36813" s="1" t="str">
        <f t="shared" si="1333"/>
        <v>47300</v>
      </c>
      <c r="B36813" s="1" t="str">
        <f>"93267"</f>
        <v>93267</v>
      </c>
      <c r="C36813" s="2">
        <v>1.6568254214901702E-2</v>
      </c>
      <c r="D36813" s="2">
        <v>8.6637298091042508E-3</v>
      </c>
      <c r="E36813" s="2">
        <v>5.45014129995962E-3</v>
      </c>
      <c r="F36813" s="2">
        <v>1.5627709130419699E-2</v>
      </c>
    </row>
    <row r="36814" spans="1:6" x14ac:dyDescent="0.25">
      <c r="A36814" s="1" t="str">
        <f t="shared" si="1333"/>
        <v>47300</v>
      </c>
      <c r="B36814" s="1" t="str">
        <f>"93227"</f>
        <v>93227</v>
      </c>
      <c r="C36814" s="2">
        <v>0</v>
      </c>
      <c r="D36814" s="2">
        <v>7.3421439060205497E-5</v>
      </c>
      <c r="E36814" s="2">
        <v>0</v>
      </c>
      <c r="F36814" s="2">
        <v>5.7794782287055104E-6</v>
      </c>
    </row>
    <row r="36815" spans="1:6" x14ac:dyDescent="0.25">
      <c r="A36815" s="1" t="str">
        <f t="shared" si="1333"/>
        <v>47300</v>
      </c>
      <c r="B36815" s="1" t="str">
        <f>"93262"</f>
        <v>93262</v>
      </c>
      <c r="C36815" s="2">
        <v>3.9494470774091599E-4</v>
      </c>
      <c r="D36815" s="2">
        <v>4.4052863436123301E-4</v>
      </c>
      <c r="E36815" s="2">
        <v>4.0371417036737901E-4</v>
      </c>
      <c r="F36815" s="2">
        <v>3.9878399778068001E-4</v>
      </c>
    </row>
    <row r="36816" spans="1:6" x14ac:dyDescent="0.25">
      <c r="A36816" s="1" t="str">
        <f t="shared" si="1333"/>
        <v>47300</v>
      </c>
      <c r="B36816" s="1" t="str">
        <f>"93633"</f>
        <v>93633</v>
      </c>
      <c r="C36816" s="2">
        <v>0</v>
      </c>
      <c r="D36816" s="2">
        <v>7.3421439060205497E-5</v>
      </c>
      <c r="E36816" s="2">
        <v>0</v>
      </c>
      <c r="F36816" s="2">
        <v>5.7794782287055104E-6</v>
      </c>
    </row>
    <row r="36817" spans="1:6" x14ac:dyDescent="0.25">
      <c r="A36817" s="1" t="str">
        <f t="shared" si="1333"/>
        <v>47300</v>
      </c>
      <c r="B36817" s="1" t="str">
        <f>"93290"</f>
        <v>93290</v>
      </c>
      <c r="C36817" s="2">
        <v>6.7529070520290996E-3</v>
      </c>
      <c r="D36817" s="2">
        <v>2.8781204111600501E-2</v>
      </c>
      <c r="E36817" s="2">
        <v>4.0371417036737901E-4</v>
      </c>
      <c r="F36817" s="2">
        <v>8.3051102146498197E-3</v>
      </c>
    </row>
    <row r="36818" spans="1:6" x14ac:dyDescent="0.25">
      <c r="A36818" s="1" t="str">
        <f t="shared" si="1333"/>
        <v>47300</v>
      </c>
      <c r="B36818" s="1" t="str">
        <f>"93603"</f>
        <v>93603</v>
      </c>
      <c r="C36818" s="2">
        <v>1.0812420687333201E-3</v>
      </c>
      <c r="D36818" s="2">
        <v>5.8737151248164398E-4</v>
      </c>
      <c r="E36818" s="2">
        <v>1.61485668146951E-3</v>
      </c>
      <c r="F36818" s="2">
        <v>1.0576445158531E-3</v>
      </c>
    </row>
    <row r="36819" spans="1:6" x14ac:dyDescent="0.25">
      <c r="A36819" s="1" t="str">
        <f t="shared" si="1333"/>
        <v>47300</v>
      </c>
      <c r="B36819" s="1" t="str">
        <f>"93218"</f>
        <v>93218</v>
      </c>
      <c r="C36819" s="2">
        <v>4.53215238391215E-4</v>
      </c>
      <c r="D36819" s="2">
        <v>7.3421439060205497E-5</v>
      </c>
      <c r="E36819" s="2">
        <v>0</v>
      </c>
      <c r="F36819" s="2">
        <v>4.1034295423809101E-4</v>
      </c>
    </row>
    <row r="36820" spans="1:6" x14ac:dyDescent="0.25">
      <c r="A36820" s="1" t="str">
        <f t="shared" si="1333"/>
        <v>47300</v>
      </c>
      <c r="B36820" s="1" t="str">
        <f>"93277"</f>
        <v>93277</v>
      </c>
      <c r="C36820" s="2">
        <v>0.13039002408515199</v>
      </c>
      <c r="D36820" s="2">
        <v>0.12555066079295099</v>
      </c>
      <c r="E36820" s="2">
        <v>0.144933387161889</v>
      </c>
      <c r="F36820" s="2">
        <v>0.13042548518719699</v>
      </c>
    </row>
    <row r="36821" spans="1:6" x14ac:dyDescent="0.25">
      <c r="A36821" s="1" t="str">
        <f t="shared" si="1333"/>
        <v>47300</v>
      </c>
      <c r="B36821" s="1" t="str">
        <f>"93258"</f>
        <v>93258</v>
      </c>
      <c r="C36821" s="2">
        <v>9.3750809312925596E-3</v>
      </c>
      <c r="D36821" s="2">
        <v>2.1145374449339199E-2</v>
      </c>
      <c r="E36821" s="2">
        <v>4.0371417036737901E-4</v>
      </c>
      <c r="F36821" s="2">
        <v>1.0044733161490099E-2</v>
      </c>
    </row>
    <row r="36822" spans="1:6" x14ac:dyDescent="0.25">
      <c r="A36822" s="1" t="str">
        <f t="shared" si="1333"/>
        <v>47300</v>
      </c>
      <c r="B36822" s="1" t="str">
        <f>"93271"</f>
        <v>93271</v>
      </c>
      <c r="C36822" s="2">
        <v>7.7823530935177201E-3</v>
      </c>
      <c r="D36822" s="2">
        <v>4.6989720998531501E-3</v>
      </c>
      <c r="E36822" s="2">
        <v>8.0742834073475895E-3</v>
      </c>
      <c r="F36822" s="2">
        <v>7.5479985666893901E-3</v>
      </c>
    </row>
    <row r="36823" spans="1:6" x14ac:dyDescent="0.25">
      <c r="A36823" s="1" t="str">
        <f t="shared" si="1333"/>
        <v>47300</v>
      </c>
      <c r="B36823" s="1" t="str">
        <f>"93223"</f>
        <v>93223</v>
      </c>
      <c r="C36823" s="2">
        <v>1.86141972910677E-2</v>
      </c>
      <c r="D36823" s="2">
        <v>1.4977973568281899E-2</v>
      </c>
      <c r="E36823" s="2">
        <v>1.6754138070246199E-2</v>
      </c>
      <c r="F36823" s="2">
        <v>1.8274710159166801E-2</v>
      </c>
    </row>
    <row r="36824" spans="1:6" x14ac:dyDescent="0.25">
      <c r="A36824" s="1" t="str">
        <f t="shared" si="1333"/>
        <v>47300</v>
      </c>
      <c r="B36824" s="1" t="str">
        <f>"93292"</f>
        <v>93292</v>
      </c>
      <c r="C36824" s="2">
        <v>9.9441897806438195E-2</v>
      </c>
      <c r="D36824" s="2">
        <v>7.3421439060205498E-2</v>
      </c>
      <c r="E36824" s="2">
        <v>7.8926120306822695E-2</v>
      </c>
      <c r="F36824" s="2">
        <v>9.6806260330817295E-2</v>
      </c>
    </row>
    <row r="36825" spans="1:6" x14ac:dyDescent="0.25">
      <c r="A36825" s="1" t="str">
        <f t="shared" si="1333"/>
        <v>47300</v>
      </c>
      <c r="B36825" s="1" t="str">
        <f>"93615"</f>
        <v>93615</v>
      </c>
      <c r="C36825" s="2">
        <v>8.9995597337684096E-3</v>
      </c>
      <c r="D36825" s="2">
        <v>3.8913362701908901E-3</v>
      </c>
      <c r="E36825" s="2">
        <v>1.59467097295115E-2</v>
      </c>
      <c r="F36825" s="2">
        <v>8.7963658640897793E-3</v>
      </c>
    </row>
    <row r="36826" spans="1:6" x14ac:dyDescent="0.25">
      <c r="A36826" s="1" t="str">
        <f t="shared" si="1333"/>
        <v>47300</v>
      </c>
      <c r="B36826" s="1" t="str">
        <f>"93244"</f>
        <v>93244</v>
      </c>
      <c r="C36826" s="2">
        <v>3.1725066687385002E-4</v>
      </c>
      <c r="D36826" s="2">
        <v>5.1395007342143896E-4</v>
      </c>
      <c r="E36826" s="2">
        <v>6.0557125555106897E-4</v>
      </c>
      <c r="F36826" s="2">
        <v>3.4098921549362499E-4</v>
      </c>
    </row>
    <row r="36827" spans="1:6" x14ac:dyDescent="0.25">
      <c r="A36827" s="1" t="str">
        <f t="shared" si="1333"/>
        <v>47300</v>
      </c>
      <c r="B36827" s="1" t="str">
        <f>"93272"</f>
        <v>93272</v>
      </c>
      <c r="C36827" s="2">
        <v>4.8170305337580602E-3</v>
      </c>
      <c r="D36827" s="2">
        <v>3.8179148311306898E-3</v>
      </c>
      <c r="E36827" s="2">
        <v>2.2204279370205801E-3</v>
      </c>
      <c r="F36827" s="2">
        <v>4.6640389305653398E-3</v>
      </c>
    </row>
    <row r="36828" spans="1:6" x14ac:dyDescent="0.25">
      <c r="A36828" s="1" t="str">
        <f t="shared" si="1333"/>
        <v>47300</v>
      </c>
      <c r="B36828" s="1" t="str">
        <f>"93215"</f>
        <v>93215</v>
      </c>
      <c r="C36828" s="2">
        <v>2.8941030222981801E-3</v>
      </c>
      <c r="D36828" s="2">
        <v>4.3318649045521202E-3</v>
      </c>
      <c r="E36828" s="2">
        <v>1.4129995962858201E-3</v>
      </c>
      <c r="F36828" s="2">
        <v>2.9648723313259202E-3</v>
      </c>
    </row>
    <row r="36829" spans="1:6" x14ac:dyDescent="0.25">
      <c r="A36829" s="1" t="str">
        <f t="shared" si="1333"/>
        <v>47300</v>
      </c>
      <c r="B36829" s="1" t="str">
        <f>"93647"</f>
        <v>93647</v>
      </c>
      <c r="C36829" s="2">
        <v>1.84264366923057E-2</v>
      </c>
      <c r="D36829" s="2">
        <v>1.2701908957415501E-2</v>
      </c>
      <c r="E36829" s="2">
        <v>4.4610415825595398E-2</v>
      </c>
      <c r="F36829" s="2">
        <v>1.8725509461005801E-2</v>
      </c>
    </row>
    <row r="36830" spans="1:6" x14ac:dyDescent="0.25">
      <c r="A36830" s="1" t="str">
        <f t="shared" ref="A36830:A36846" si="1334">"47300"</f>
        <v>47300</v>
      </c>
      <c r="B36830" s="1" t="str">
        <f>"93675"</f>
        <v>93675</v>
      </c>
      <c r="C36830" s="2">
        <v>6.4745034055887904E-6</v>
      </c>
      <c r="D36830" s="2">
        <v>0</v>
      </c>
      <c r="E36830" s="2">
        <v>0</v>
      </c>
      <c r="F36830" s="2">
        <v>5.7794782287055104E-6</v>
      </c>
    </row>
    <row r="36831" spans="1:6" x14ac:dyDescent="0.25">
      <c r="A36831" s="1" t="str">
        <f t="shared" si="1334"/>
        <v>47300</v>
      </c>
      <c r="B36831" s="1" t="str">
        <f>"93278"</f>
        <v>93278</v>
      </c>
      <c r="C36831" s="2">
        <v>4.48683086007303E-3</v>
      </c>
      <c r="D36831" s="2">
        <v>2.4669603524228999E-2</v>
      </c>
      <c r="E36831" s="2">
        <v>2.0185708518368899E-4</v>
      </c>
      <c r="F36831" s="2">
        <v>5.9528625755666696E-3</v>
      </c>
    </row>
    <row r="36832" spans="1:6" x14ac:dyDescent="0.25">
      <c r="A36832" s="1" t="str">
        <f t="shared" si="1334"/>
        <v>47300</v>
      </c>
      <c r="B36832" s="1" t="str">
        <f>"93235"</f>
        <v>93235</v>
      </c>
      <c r="C36832" s="2">
        <v>8.7859011213839797E-3</v>
      </c>
      <c r="D36832" s="2">
        <v>3.8179148311306898E-3</v>
      </c>
      <c r="E36832" s="2">
        <v>1.11021396851029E-2</v>
      </c>
      <c r="F36832" s="2">
        <v>8.4611561268248692E-3</v>
      </c>
    </row>
    <row r="36833" spans="1:6" x14ac:dyDescent="0.25">
      <c r="A36833" s="1" t="str">
        <f t="shared" si="1334"/>
        <v>47300</v>
      </c>
      <c r="B36833" s="1" t="str">
        <f>"93230"</f>
        <v>93230</v>
      </c>
      <c r="C36833" s="2">
        <v>3.8847020433532703E-5</v>
      </c>
      <c r="D36833" s="2">
        <v>0</v>
      </c>
      <c r="E36833" s="2">
        <v>2.0185708518368899E-4</v>
      </c>
      <c r="F36833" s="2">
        <v>4.0456347600938498E-5</v>
      </c>
    </row>
    <row r="36834" spans="1:6" x14ac:dyDescent="0.25">
      <c r="A36834" s="1" t="str">
        <f t="shared" si="1334"/>
        <v>47300</v>
      </c>
      <c r="B36834" s="1" t="str">
        <f>"93237"</f>
        <v>93237</v>
      </c>
      <c r="C36834" s="2">
        <v>0</v>
      </c>
      <c r="D36834" s="2">
        <v>7.3421439060205497E-5</v>
      </c>
      <c r="E36834" s="2">
        <v>0</v>
      </c>
      <c r="F36834" s="2">
        <v>5.7794782287055104E-6</v>
      </c>
    </row>
    <row r="36835" spans="1:6" x14ac:dyDescent="0.25">
      <c r="A36835" s="1" t="str">
        <f t="shared" si="1334"/>
        <v>47300</v>
      </c>
      <c r="B36835" s="1" t="str">
        <f>"93279"</f>
        <v>93279</v>
      </c>
      <c r="C36835" s="2">
        <v>7.7370315696786004E-3</v>
      </c>
      <c r="D36835" s="2">
        <v>3.3186490455212901E-2</v>
      </c>
      <c r="E36835" s="2">
        <v>2.0185708518368899E-4</v>
      </c>
      <c r="F36835" s="2">
        <v>9.52458012090668E-3</v>
      </c>
    </row>
    <row r="36836" spans="1:6" x14ac:dyDescent="0.25">
      <c r="A36836" s="1" t="str">
        <f t="shared" si="1334"/>
        <v>47300</v>
      </c>
      <c r="B36836" s="1" t="str">
        <f>"93673"</f>
        <v>93673</v>
      </c>
      <c r="C36836" s="2">
        <v>0</v>
      </c>
      <c r="D36836" s="2">
        <v>0</v>
      </c>
      <c r="E36836" s="2">
        <v>2.0185708518368899E-4</v>
      </c>
      <c r="F36836" s="2">
        <v>5.7794782287055104E-6</v>
      </c>
    </row>
    <row r="36837" spans="1:6" x14ac:dyDescent="0.25">
      <c r="A36837" s="1" t="str">
        <f t="shared" si="1334"/>
        <v>47300</v>
      </c>
      <c r="B36837" s="1" t="str">
        <f>"93274"</f>
        <v>93274</v>
      </c>
      <c r="C36837" s="2">
        <v>0.162807862636935</v>
      </c>
      <c r="D36837" s="2">
        <v>0.154698972099853</v>
      </c>
      <c r="E36837" s="2">
        <v>0.10859911182882501</v>
      </c>
      <c r="F36837" s="2">
        <v>0.16061747945395399</v>
      </c>
    </row>
    <row r="36838" spans="1:6" x14ac:dyDescent="0.25">
      <c r="A36838" s="1" t="str">
        <f t="shared" si="1334"/>
        <v>47300</v>
      </c>
      <c r="B36838" s="1" t="str">
        <f>"93286"</f>
        <v>93286</v>
      </c>
      <c r="C36838" s="2">
        <v>2.0595395333177901E-2</v>
      </c>
      <c r="D36838" s="2">
        <v>1.3582966226138001E-2</v>
      </c>
      <c r="E36838" s="2">
        <v>1.83689947517157E-2</v>
      </c>
      <c r="F36838" s="2">
        <v>1.9979656236634901E-2</v>
      </c>
    </row>
    <row r="36839" spans="1:6" x14ac:dyDescent="0.25">
      <c r="A36839" s="1" t="str">
        <f t="shared" si="1334"/>
        <v>47300</v>
      </c>
      <c r="B36839" s="1" t="str">
        <f>"93641"</f>
        <v>93641</v>
      </c>
      <c r="C36839" s="2">
        <v>6.4745034055887904E-6</v>
      </c>
      <c r="D36839" s="2">
        <v>0</v>
      </c>
      <c r="E36839" s="2">
        <v>0</v>
      </c>
      <c r="F36839" s="2">
        <v>5.7794782287055104E-6</v>
      </c>
    </row>
    <row r="36840" spans="1:6" x14ac:dyDescent="0.25">
      <c r="A36840" s="1" t="str">
        <f t="shared" si="1334"/>
        <v>47300</v>
      </c>
      <c r="B36840" s="1" t="str">
        <f>"93666"</f>
        <v>93666</v>
      </c>
      <c r="C36840" s="2">
        <v>0</v>
      </c>
      <c r="D36840" s="2">
        <v>0</v>
      </c>
      <c r="E36840" s="2">
        <v>2.0185708518368899E-4</v>
      </c>
      <c r="F36840" s="2">
        <v>5.7794782287055104E-6</v>
      </c>
    </row>
    <row r="36841" spans="1:6" x14ac:dyDescent="0.25">
      <c r="A36841" s="1" t="str">
        <f t="shared" si="1334"/>
        <v>47300</v>
      </c>
      <c r="B36841" s="1" t="str">
        <f>"93257"</f>
        <v>93257</v>
      </c>
      <c r="C36841" s="2">
        <v>0.15517442312174601</v>
      </c>
      <c r="D36841" s="2">
        <v>0.12430249632892799</v>
      </c>
      <c r="E36841" s="2">
        <v>0.19559951554299501</v>
      </c>
      <c r="F36841" s="2">
        <v>0.15390172575219899</v>
      </c>
    </row>
    <row r="36842" spans="1:6" x14ac:dyDescent="0.25">
      <c r="A36842" s="1" t="str">
        <f t="shared" si="1334"/>
        <v>47300</v>
      </c>
      <c r="B36842" s="1" t="str">
        <f>"93247"</f>
        <v>93247</v>
      </c>
      <c r="C36842" s="2">
        <v>3.4489679641571402E-2</v>
      </c>
      <c r="D36842" s="2">
        <v>2.7533039647577001E-2</v>
      </c>
      <c r="E36842" s="2">
        <v>3.3911990310859903E-2</v>
      </c>
      <c r="F36842" s="2">
        <v>3.3925537202501299E-2</v>
      </c>
    </row>
    <row r="36843" spans="1:6" x14ac:dyDescent="0.25">
      <c r="A36843" s="1" t="str">
        <f t="shared" si="1334"/>
        <v>47300</v>
      </c>
      <c r="B36843" s="1" t="str">
        <f>"93265"</f>
        <v>93265</v>
      </c>
      <c r="C36843" s="2">
        <v>1.22303369331572E-2</v>
      </c>
      <c r="D36843" s="2">
        <v>1.3215859030837E-3</v>
      </c>
      <c r="E36843" s="2">
        <v>3.8352846184900998E-3</v>
      </c>
      <c r="F36843" s="2">
        <v>1.1131275068486801E-2</v>
      </c>
    </row>
    <row r="36844" spans="1:6" x14ac:dyDescent="0.25">
      <c r="A36844" s="1" t="str">
        <f t="shared" si="1334"/>
        <v>47300</v>
      </c>
      <c r="B36844" s="1" t="str">
        <f>"93270"</f>
        <v>93270</v>
      </c>
      <c r="C36844" s="2">
        <v>6.6557895009452701E-3</v>
      </c>
      <c r="D36844" s="2">
        <v>4.40528634361233E-3</v>
      </c>
      <c r="E36844" s="2">
        <v>2.2204279370205801E-3</v>
      </c>
      <c r="F36844" s="2">
        <v>6.3516465733473504E-3</v>
      </c>
    </row>
    <row r="36845" spans="1:6" x14ac:dyDescent="0.25">
      <c r="A36845" s="1" t="str">
        <f t="shared" si="1334"/>
        <v>47300</v>
      </c>
      <c r="B36845" s="1" t="str">
        <f>"93221"</f>
        <v>93221</v>
      </c>
      <c r="C36845" s="2">
        <v>3.5791054826094799E-2</v>
      </c>
      <c r="D36845" s="2">
        <v>2.8267254038179101E-2</v>
      </c>
      <c r="E36845" s="2">
        <v>5.9345983044004798E-2</v>
      </c>
      <c r="F36845" s="2">
        <v>3.5873221365575102E-2</v>
      </c>
    </row>
    <row r="36846" spans="1:6" x14ac:dyDescent="0.25">
      <c r="A36846" s="1" t="str">
        <f t="shared" si="1334"/>
        <v>47300</v>
      </c>
      <c r="B36846" s="1" t="str">
        <f>"93256"</f>
        <v>93256</v>
      </c>
      <c r="C36846" s="2">
        <v>7.8470981275736099E-3</v>
      </c>
      <c r="D36846" s="2">
        <v>2.6431718061673999E-3</v>
      </c>
      <c r="E36846" s="2">
        <v>1.8167137666532001E-3</v>
      </c>
      <c r="F36846" s="2">
        <v>7.26480413348282E-3</v>
      </c>
    </row>
    <row r="36847" spans="1:6" x14ac:dyDescent="0.25">
      <c r="A36847" s="1" t="str">
        <f t="shared" ref="A36847:A36864" si="1335">"47340"</f>
        <v>47340</v>
      </c>
      <c r="B36847" s="1" t="str">
        <f>"46962"</f>
        <v>46962</v>
      </c>
      <c r="C36847" s="2">
        <v>0.249359521776259</v>
      </c>
      <c r="D36847" s="2">
        <v>0.22560975609756001</v>
      </c>
      <c r="E36847" s="2">
        <v>0.22118959107806599</v>
      </c>
      <c r="F36847" s="2">
        <v>0.24644659743574801</v>
      </c>
    </row>
    <row r="36848" spans="1:6" x14ac:dyDescent="0.25">
      <c r="A36848" s="1" t="str">
        <f t="shared" si="1335"/>
        <v>47340</v>
      </c>
      <c r="B36848" s="1" t="str">
        <f>"46750"</f>
        <v>46750</v>
      </c>
      <c r="C36848" s="2">
        <v>2.6276029691913502E-4</v>
      </c>
      <c r="D36848" s="2">
        <v>0</v>
      </c>
      <c r="E36848" s="2">
        <v>0</v>
      </c>
      <c r="F36848" s="2">
        <v>2.3205894297151399E-4</v>
      </c>
    </row>
    <row r="36849" spans="1:6" x14ac:dyDescent="0.25">
      <c r="A36849" s="1" t="str">
        <f t="shared" si="1335"/>
        <v>47340</v>
      </c>
      <c r="B36849" s="1" t="str">
        <f>"46926"</f>
        <v>46926</v>
      </c>
      <c r="C36849" s="2">
        <v>4.5983051960848698E-4</v>
      </c>
      <c r="D36849" s="2">
        <v>0</v>
      </c>
      <c r="E36849" s="2">
        <v>0</v>
      </c>
      <c r="F36849" s="2">
        <v>4.0610315020015E-4</v>
      </c>
    </row>
    <row r="36850" spans="1:6" x14ac:dyDescent="0.25">
      <c r="A36850" s="1" t="str">
        <f t="shared" si="1335"/>
        <v>47340</v>
      </c>
      <c r="B36850" s="1" t="str">
        <f>"46980"</f>
        <v>46980</v>
      </c>
      <c r="C36850" s="2">
        <v>1.9050121526637299E-3</v>
      </c>
      <c r="D36850" s="2">
        <v>0</v>
      </c>
      <c r="E36850" s="2">
        <v>1.8587360594795499E-3</v>
      </c>
      <c r="F36850" s="2">
        <v>1.7404420722863601E-3</v>
      </c>
    </row>
    <row r="36851" spans="1:6" x14ac:dyDescent="0.25">
      <c r="A36851" s="1" t="str">
        <f t="shared" si="1335"/>
        <v>47340</v>
      </c>
      <c r="B36851" s="1" t="str">
        <f>"46984"</f>
        <v>46984</v>
      </c>
      <c r="C36851" s="2">
        <v>0</v>
      </c>
      <c r="D36851" s="2">
        <v>0</v>
      </c>
      <c r="E36851" s="2">
        <v>1.8587360594795499E-3</v>
      </c>
      <c r="F36851" s="2">
        <v>5.8014735742878599E-5</v>
      </c>
    </row>
    <row r="36852" spans="1:6" x14ac:dyDescent="0.25">
      <c r="A36852" s="1" t="str">
        <f t="shared" si="1335"/>
        <v>47340</v>
      </c>
      <c r="B36852" s="1" t="str">
        <f>"46702"</f>
        <v>46702</v>
      </c>
      <c r="C36852" s="2">
        <v>3.7443342310976798E-3</v>
      </c>
      <c r="D36852" s="2">
        <v>0</v>
      </c>
      <c r="E36852" s="2">
        <v>3.7174721189590998E-3</v>
      </c>
      <c r="F36852" s="2">
        <v>3.42286940882984E-3</v>
      </c>
    </row>
    <row r="36853" spans="1:6" x14ac:dyDescent="0.25">
      <c r="A36853" s="1" t="str">
        <f t="shared" si="1335"/>
        <v>47340</v>
      </c>
      <c r="B36853" s="1" t="str">
        <f>"46970"</f>
        <v>46970</v>
      </c>
      <c r="C36853" s="2">
        <v>9.1966103921697396E-4</v>
      </c>
      <c r="D36853" s="2">
        <v>0</v>
      </c>
      <c r="E36853" s="2">
        <v>0</v>
      </c>
      <c r="F36853" s="2">
        <v>8.1220630040030098E-4</v>
      </c>
    </row>
    <row r="36854" spans="1:6" x14ac:dyDescent="0.25">
      <c r="A36854" s="1" t="str">
        <f t="shared" si="1335"/>
        <v>47340</v>
      </c>
      <c r="B36854" s="1" t="str">
        <f>"46974"</f>
        <v>46974</v>
      </c>
      <c r="C36854" s="2">
        <v>3.4684359193325798E-2</v>
      </c>
      <c r="D36854" s="2">
        <v>6.0975609756097502E-3</v>
      </c>
      <c r="E36854" s="2">
        <v>1.8587360594795502E-2</v>
      </c>
      <c r="F36854" s="2">
        <v>3.1734060451354601E-2</v>
      </c>
    </row>
    <row r="36855" spans="1:6" x14ac:dyDescent="0.25">
      <c r="A36855" s="1" t="str">
        <f t="shared" si="1335"/>
        <v>47340</v>
      </c>
      <c r="B36855" s="1" t="str">
        <f>"46946"</f>
        <v>46946</v>
      </c>
      <c r="C36855" s="2">
        <v>5.1895158641529198E-3</v>
      </c>
      <c r="D36855" s="2">
        <v>0</v>
      </c>
      <c r="E36855" s="2">
        <v>1.8587360594795499E-3</v>
      </c>
      <c r="F36855" s="2">
        <v>4.6411788594302901E-3</v>
      </c>
    </row>
    <row r="36856" spans="1:6" x14ac:dyDescent="0.25">
      <c r="A36856" s="1" t="str">
        <f t="shared" si="1335"/>
        <v>47340</v>
      </c>
      <c r="B36856" s="1" t="str">
        <f>"46982"</f>
        <v>46982</v>
      </c>
      <c r="C36856" s="2">
        <v>1.25468041778887E-2</v>
      </c>
      <c r="D36856" s="2">
        <v>2.0325203252032501E-3</v>
      </c>
      <c r="E36856" s="2">
        <v>7.4349442379182101E-3</v>
      </c>
      <c r="F36856" s="2">
        <v>1.1486917677089901E-2</v>
      </c>
    </row>
    <row r="36857" spans="1:6" x14ac:dyDescent="0.25">
      <c r="A36857" s="1" t="str">
        <f t="shared" si="1335"/>
        <v>47340</v>
      </c>
      <c r="B36857" s="1" t="str">
        <f>"46990"</f>
        <v>46990</v>
      </c>
      <c r="C36857" s="2">
        <v>1.7342179596662899E-2</v>
      </c>
      <c r="D36857" s="2">
        <v>2.0325203252032501E-3</v>
      </c>
      <c r="E36857" s="2">
        <v>5.5762081784386597E-3</v>
      </c>
      <c r="F36857" s="2">
        <v>1.5663978650577198E-2</v>
      </c>
    </row>
    <row r="36858" spans="1:6" x14ac:dyDescent="0.25">
      <c r="A36858" s="1" t="str">
        <f t="shared" si="1335"/>
        <v>47340</v>
      </c>
      <c r="B36858" s="1" t="str">
        <f>"46940"</f>
        <v>46940</v>
      </c>
      <c r="C36858" s="2">
        <v>6.5952834526703003E-2</v>
      </c>
      <c r="D36858" s="2">
        <v>7.4525745257452503E-3</v>
      </c>
      <c r="E36858" s="2">
        <v>7.6208178438661706E-2</v>
      </c>
      <c r="F36858" s="2">
        <v>6.1263560944479802E-2</v>
      </c>
    </row>
    <row r="36859" spans="1:6" x14ac:dyDescent="0.25">
      <c r="A36859" s="1" t="str">
        <f t="shared" si="1335"/>
        <v>47340</v>
      </c>
      <c r="B36859" s="1" t="str">
        <f>"46787"</f>
        <v>46787</v>
      </c>
      <c r="C36859" s="2">
        <v>1.3138014845956699E-4</v>
      </c>
      <c r="D36859" s="2">
        <v>0</v>
      </c>
      <c r="E36859" s="2">
        <v>0</v>
      </c>
      <c r="F36859" s="2">
        <v>1.1602947148575699E-4</v>
      </c>
    </row>
    <row r="36860" spans="1:6" x14ac:dyDescent="0.25">
      <c r="A36860" s="1" t="str">
        <f t="shared" si="1335"/>
        <v>47340</v>
      </c>
      <c r="B36860" s="1" t="str">
        <f>"46992"</f>
        <v>46992</v>
      </c>
      <c r="C36860" s="2">
        <v>0.55941667214083901</v>
      </c>
      <c r="D36860" s="2">
        <v>0.73848238482384798</v>
      </c>
      <c r="E36860" s="2">
        <v>0.617100371747211</v>
      </c>
      <c r="F36860" s="2">
        <v>0.57655044381272802</v>
      </c>
    </row>
    <row r="36861" spans="1:6" x14ac:dyDescent="0.25">
      <c r="A36861" s="1" t="str">
        <f t="shared" si="1335"/>
        <v>47340</v>
      </c>
      <c r="B36861" s="1" t="str">
        <f>"46919"</f>
        <v>46919</v>
      </c>
      <c r="C36861" s="2">
        <v>1.0510411876765401E-3</v>
      </c>
      <c r="D36861" s="2">
        <v>0</v>
      </c>
      <c r="E36861" s="2">
        <v>0</v>
      </c>
      <c r="F36861" s="2">
        <v>9.28235771886059E-4</v>
      </c>
    </row>
    <row r="36862" spans="1:6" x14ac:dyDescent="0.25">
      <c r="A36862" s="1" t="str">
        <f t="shared" si="1335"/>
        <v>47340</v>
      </c>
      <c r="B36862" s="1" t="str">
        <f>"46941"</f>
        <v>46941</v>
      </c>
      <c r="C36862" s="2">
        <v>3.58010904552322E-2</v>
      </c>
      <c r="D36862" s="2">
        <v>8.1300813008130003E-3</v>
      </c>
      <c r="E36862" s="2">
        <v>3.5315985130111499E-2</v>
      </c>
      <c r="F36862" s="2">
        <v>3.3416487787898103E-2</v>
      </c>
    </row>
    <row r="36863" spans="1:6" x14ac:dyDescent="0.25">
      <c r="A36863" s="1" t="str">
        <f t="shared" si="1335"/>
        <v>47340</v>
      </c>
      <c r="B36863" s="1" t="str">
        <f>"46943"</f>
        <v>46943</v>
      </c>
      <c r="C36863" s="2">
        <v>7.1602180910464398E-3</v>
      </c>
      <c r="D36863" s="2">
        <v>1.0162601626016199E-2</v>
      </c>
      <c r="E36863" s="2">
        <v>5.5762081784386597E-3</v>
      </c>
      <c r="F36863" s="2">
        <v>7.3678714393455901E-3</v>
      </c>
    </row>
    <row r="36864" spans="1:6" x14ac:dyDescent="0.25">
      <c r="A36864" s="1" t="str">
        <f t="shared" si="1335"/>
        <v>47340</v>
      </c>
      <c r="B36864" s="1" t="str">
        <f>"46911"</f>
        <v>46911</v>
      </c>
      <c r="C36864" s="2">
        <v>4.0727846022466001E-3</v>
      </c>
      <c r="D36864" s="2">
        <v>0</v>
      </c>
      <c r="E36864" s="2">
        <v>3.7174721189590998E-3</v>
      </c>
      <c r="F36864" s="2">
        <v>3.7129430875442299E-3</v>
      </c>
    </row>
    <row r="36865" spans="1:6" x14ac:dyDescent="0.25">
      <c r="A36865" s="1" t="str">
        <f t="shared" ref="A36865:A36911" si="1336">"47380"</f>
        <v>47380</v>
      </c>
      <c r="B36865" s="1" t="str">
        <f>"76702"</f>
        <v>76702</v>
      </c>
      <c r="C36865" s="2">
        <v>9.4051526528622798E-3</v>
      </c>
      <c r="D36865" s="2">
        <v>5.23931131065161E-2</v>
      </c>
      <c r="E36865" s="2">
        <v>2.7502750275027501E-4</v>
      </c>
      <c r="F36865" s="2">
        <v>1.27272480045687E-2</v>
      </c>
    </row>
    <row r="36866" spans="1:6" x14ac:dyDescent="0.25">
      <c r="A36866" s="1" t="str">
        <f t="shared" si="1336"/>
        <v>47380</v>
      </c>
      <c r="B36866" s="1" t="str">
        <f>"76629"</f>
        <v>76629</v>
      </c>
      <c r="C36866" s="2">
        <v>7.7678183853599405E-4</v>
      </c>
      <c r="D36866" s="2">
        <v>0</v>
      </c>
      <c r="E36866" s="2">
        <v>5.5005500550055003E-4</v>
      </c>
      <c r="F36866" s="2">
        <v>7.0706933358715297E-4</v>
      </c>
    </row>
    <row r="36867" spans="1:6" x14ac:dyDescent="0.25">
      <c r="A36867" s="1" t="str">
        <f t="shared" si="1336"/>
        <v>47380</v>
      </c>
      <c r="B36867" s="1" t="str">
        <f>"76655"</f>
        <v>76655</v>
      </c>
      <c r="C36867" s="2">
        <v>3.6242203623458799E-2</v>
      </c>
      <c r="D36867" s="2">
        <v>1.8617678556718E-2</v>
      </c>
      <c r="E36867" s="2">
        <v>3.02530253025302E-3</v>
      </c>
      <c r="F36867" s="2">
        <v>3.3966522986551999E-2</v>
      </c>
    </row>
    <row r="36868" spans="1:6" x14ac:dyDescent="0.25">
      <c r="A36868" s="1" t="str">
        <f t="shared" si="1336"/>
        <v>47380</v>
      </c>
      <c r="B36868" s="1" t="str">
        <f>"76524"</f>
        <v>76524</v>
      </c>
      <c r="C36868" s="2">
        <v>8.6131397978844101E-3</v>
      </c>
      <c r="D36868" s="2">
        <v>1.9770986077930599E-3</v>
      </c>
      <c r="E36868" s="2">
        <v>1.37513751375137E-3</v>
      </c>
      <c r="F36868" s="2">
        <v>7.8865425669336301E-3</v>
      </c>
    </row>
    <row r="36869" spans="1:6" x14ac:dyDescent="0.25">
      <c r="A36869" s="1" t="str">
        <f t="shared" si="1336"/>
        <v>47380</v>
      </c>
      <c r="B36869" s="1" t="str">
        <f>"76633"</f>
        <v>76633</v>
      </c>
      <c r="C36869" s="2">
        <v>1.46446223088697E-2</v>
      </c>
      <c r="D36869" s="2">
        <v>2.71851058571546E-3</v>
      </c>
      <c r="E36869" s="2">
        <v>3.02530253025302E-3</v>
      </c>
      <c r="F36869" s="2">
        <v>1.33731286458262E-2</v>
      </c>
    </row>
    <row r="36870" spans="1:6" x14ac:dyDescent="0.25">
      <c r="A36870" s="1" t="str">
        <f t="shared" si="1336"/>
        <v>47380</v>
      </c>
      <c r="B36870" s="1" t="str">
        <f>"76640"</f>
        <v>76640</v>
      </c>
      <c r="C36870" s="2">
        <v>9.4356146857460504E-3</v>
      </c>
      <c r="D36870" s="2">
        <v>7.00222423593376E-3</v>
      </c>
      <c r="E36870" s="2">
        <v>5.77557755775577E-3</v>
      </c>
      <c r="F36870" s="2">
        <v>9.1443101314877002E-3</v>
      </c>
    </row>
    <row r="36871" spans="1:6" x14ac:dyDescent="0.25">
      <c r="A36871" s="1" t="str">
        <f t="shared" si="1336"/>
        <v>47380</v>
      </c>
      <c r="B36871" s="1" t="str">
        <f>"76680"</f>
        <v>76680</v>
      </c>
      <c r="C36871" s="2">
        <v>9.5955403583858096E-4</v>
      </c>
      <c r="D36871" s="2">
        <v>9.0617019523848703E-4</v>
      </c>
      <c r="E36871" s="2">
        <v>2.7502750275027501E-4</v>
      </c>
      <c r="F36871" s="2">
        <v>9.3822661572141397E-4</v>
      </c>
    </row>
    <row r="36872" spans="1:6" x14ac:dyDescent="0.25">
      <c r="A36872" s="1" t="str">
        <f t="shared" si="1336"/>
        <v>47380</v>
      </c>
      <c r="B36872" s="1" t="str">
        <f>"76797"</f>
        <v>76797</v>
      </c>
      <c r="C36872" s="2">
        <v>0</v>
      </c>
      <c r="D36872" s="2">
        <v>8.2379108658044305E-5</v>
      </c>
      <c r="E36872" s="2">
        <v>0</v>
      </c>
      <c r="F36872" s="2">
        <v>6.7987435921841598E-6</v>
      </c>
    </row>
    <row r="36873" spans="1:6" x14ac:dyDescent="0.25">
      <c r="A36873" s="1" t="str">
        <f t="shared" si="1336"/>
        <v>47380</v>
      </c>
      <c r="B36873" s="1" t="str">
        <f>"76704"</f>
        <v>76704</v>
      </c>
      <c r="C36873" s="2">
        <v>2.99213318000776E-2</v>
      </c>
      <c r="D36873" s="2">
        <v>3.1139303072740699E-2</v>
      </c>
      <c r="E36873" s="2">
        <v>6.0231023102310197E-2</v>
      </c>
      <c r="F36873" s="2">
        <v>3.0771113498225498E-2</v>
      </c>
    </row>
    <row r="36874" spans="1:6" x14ac:dyDescent="0.25">
      <c r="A36874" s="1" t="str">
        <f t="shared" si="1336"/>
        <v>47380</v>
      </c>
      <c r="B36874" s="1" t="str">
        <f>"76707"</f>
        <v>76707</v>
      </c>
      <c r="C36874" s="2">
        <v>5.1655992262643599E-2</v>
      </c>
      <c r="D36874" s="2">
        <v>2.7020347639838498E-2</v>
      </c>
      <c r="E36874" s="2">
        <v>5.0055005500549997E-2</v>
      </c>
      <c r="F36874" s="2">
        <v>4.9583237017799098E-2</v>
      </c>
    </row>
    <row r="36875" spans="1:6" x14ac:dyDescent="0.25">
      <c r="A36875" s="1" t="str">
        <f t="shared" si="1336"/>
        <v>47380</v>
      </c>
      <c r="B36875" s="1" t="str">
        <f>"76708"</f>
        <v>76708</v>
      </c>
      <c r="C36875" s="2">
        <v>9.4889232432926393E-2</v>
      </c>
      <c r="D36875" s="2">
        <v>5.23931131065161E-2</v>
      </c>
      <c r="E36875" s="2">
        <v>0.12431243124312399</v>
      </c>
      <c r="F36875" s="2">
        <v>9.2109378186911006E-2</v>
      </c>
    </row>
    <row r="36876" spans="1:6" x14ac:dyDescent="0.25">
      <c r="A36876" s="1" t="str">
        <f t="shared" si="1336"/>
        <v>47380</v>
      </c>
      <c r="B36876" s="1" t="str">
        <f>"76703"</f>
        <v>76703</v>
      </c>
      <c r="C36876" s="2">
        <v>9.8392366214559296E-3</v>
      </c>
      <c r="D36876" s="2">
        <v>3.0645028420792399E-2</v>
      </c>
      <c r="E36876" s="2">
        <v>5.5005500550055003E-4</v>
      </c>
      <c r="F36876" s="2">
        <v>1.13267068245788E-2</v>
      </c>
    </row>
    <row r="36877" spans="1:6" x14ac:dyDescent="0.25">
      <c r="A36877" s="1" t="str">
        <f t="shared" si="1336"/>
        <v>47380</v>
      </c>
      <c r="B36877" s="1" t="str">
        <f>"76705"</f>
        <v>76705</v>
      </c>
      <c r="C36877" s="2">
        <v>0.104492388299533</v>
      </c>
      <c r="D36877" s="2">
        <v>6.4832358513880806E-2</v>
      </c>
      <c r="E36877" s="2">
        <v>7.2057205720572004E-2</v>
      </c>
      <c r="F36877" s="2">
        <v>0.10041744285656</v>
      </c>
    </row>
    <row r="36878" spans="1:6" x14ac:dyDescent="0.25">
      <c r="A36878" s="1" t="str">
        <f t="shared" si="1336"/>
        <v>47380</v>
      </c>
      <c r="B36878" s="1" t="str">
        <f>"76689"</f>
        <v>76689</v>
      </c>
      <c r="C36878" s="2">
        <v>3.5945198802842101E-3</v>
      </c>
      <c r="D36878" s="2">
        <v>1.6475821731608799E-4</v>
      </c>
      <c r="E36878" s="2">
        <v>2.7502750275027501E-4</v>
      </c>
      <c r="F36878" s="2">
        <v>3.2294032062874698E-3</v>
      </c>
    </row>
    <row r="36879" spans="1:6" x14ac:dyDescent="0.25">
      <c r="A36879" s="1" t="str">
        <f t="shared" si="1336"/>
        <v>47380</v>
      </c>
      <c r="B36879" s="1" t="str">
        <f>"76684"</f>
        <v>76684</v>
      </c>
      <c r="C36879" s="2">
        <v>0</v>
      </c>
      <c r="D36879" s="2">
        <v>8.2379108658044305E-5</v>
      </c>
      <c r="E36879" s="2">
        <v>0</v>
      </c>
      <c r="F36879" s="2">
        <v>6.7987435921841598E-6</v>
      </c>
    </row>
    <row r="36880" spans="1:6" x14ac:dyDescent="0.25">
      <c r="A36880" s="1" t="str">
        <f t="shared" si="1336"/>
        <v>47380</v>
      </c>
      <c r="B36880" s="1" t="str">
        <f>"76654"</f>
        <v>76654</v>
      </c>
      <c r="C36880" s="2">
        <v>0</v>
      </c>
      <c r="D36880" s="2">
        <v>1.6475821731608799E-4</v>
      </c>
      <c r="E36880" s="2">
        <v>0</v>
      </c>
      <c r="F36880" s="2">
        <v>1.3597487184368299E-5</v>
      </c>
    </row>
    <row r="36881" spans="1:6" x14ac:dyDescent="0.25">
      <c r="A36881" s="1" t="str">
        <f t="shared" si="1336"/>
        <v>47380</v>
      </c>
      <c r="B36881" s="1" t="str">
        <f>"76799"</f>
        <v>76799</v>
      </c>
      <c r="C36881" s="2">
        <v>0</v>
      </c>
      <c r="D36881" s="2">
        <v>1.6475821731608799E-4</v>
      </c>
      <c r="E36881" s="2">
        <v>0</v>
      </c>
      <c r="F36881" s="2">
        <v>1.3597487184368299E-5</v>
      </c>
    </row>
    <row r="36882" spans="1:6" x14ac:dyDescent="0.25">
      <c r="A36882" s="1" t="str">
        <f t="shared" si="1336"/>
        <v>47380</v>
      </c>
      <c r="B36882" s="1" t="str">
        <f>"76682"</f>
        <v>76682</v>
      </c>
      <c r="C36882" s="2">
        <v>1.02200120325029E-2</v>
      </c>
      <c r="D36882" s="2">
        <v>3.4599225636378602E-3</v>
      </c>
      <c r="E36882" s="2">
        <v>8.2508250825082498E-4</v>
      </c>
      <c r="F36882" s="2">
        <v>9.4298573623594305E-3</v>
      </c>
    </row>
    <row r="36883" spans="1:6" x14ac:dyDescent="0.25">
      <c r="A36883" s="1" t="str">
        <f t="shared" si="1336"/>
        <v>47380</v>
      </c>
      <c r="B36883" s="1" t="str">
        <f>"76711"</f>
        <v>76711</v>
      </c>
      <c r="C36883" s="2">
        <v>3.09875029510094E-2</v>
      </c>
      <c r="D36883" s="2">
        <v>3.2786885245901599E-2</v>
      </c>
      <c r="E36883" s="2">
        <v>2.3652365236523601E-2</v>
      </c>
      <c r="F36883" s="2">
        <v>3.09546795752145E-2</v>
      </c>
    </row>
    <row r="36884" spans="1:6" x14ac:dyDescent="0.25">
      <c r="A36884" s="1" t="str">
        <f t="shared" si="1336"/>
        <v>47380</v>
      </c>
      <c r="B36884" s="1" t="str">
        <f>"76561"</f>
        <v>76561</v>
      </c>
      <c r="C36884" s="2">
        <v>1.2184813153505701E-4</v>
      </c>
      <c r="D36884" s="2">
        <v>0</v>
      </c>
      <c r="E36884" s="2">
        <v>0</v>
      </c>
      <c r="F36884" s="2">
        <v>1.08779897474946E-4</v>
      </c>
    </row>
    <row r="36885" spans="1:6" x14ac:dyDescent="0.25">
      <c r="A36885" s="1" t="str">
        <f t="shared" si="1336"/>
        <v>47380</v>
      </c>
      <c r="B36885" s="1" t="str">
        <f>"76622"</f>
        <v>76622</v>
      </c>
      <c r="C36885" s="2">
        <v>1.9038770552352801E-4</v>
      </c>
      <c r="D36885" s="2">
        <v>0</v>
      </c>
      <c r="E36885" s="2">
        <v>0</v>
      </c>
      <c r="F36885" s="2">
        <v>1.69968589804604E-4</v>
      </c>
    </row>
    <row r="36886" spans="1:6" x14ac:dyDescent="0.25">
      <c r="A36886" s="1" t="str">
        <f t="shared" si="1336"/>
        <v>47380</v>
      </c>
      <c r="B36886" s="1" t="str">
        <f>"76661"</f>
        <v>76661</v>
      </c>
      <c r="C36886" s="2">
        <v>2.8474385238098799E-2</v>
      </c>
      <c r="D36886" s="2">
        <v>3.5670154048933103E-2</v>
      </c>
      <c r="E36886" s="2">
        <v>2.3652365236523601E-2</v>
      </c>
      <c r="F36886" s="2">
        <v>2.8949050215520099E-2</v>
      </c>
    </row>
    <row r="36887" spans="1:6" x14ac:dyDescent="0.25">
      <c r="A36887" s="1" t="str">
        <f t="shared" si="1336"/>
        <v>47380</v>
      </c>
      <c r="B36887" s="1" t="str">
        <f>"76657"</f>
        <v>76657</v>
      </c>
      <c r="C36887" s="2">
        <v>3.4863796635468403E-2</v>
      </c>
      <c r="D36887" s="2">
        <v>2.5619902792651701E-2</v>
      </c>
      <c r="E36887" s="2">
        <v>1.7051705170517E-2</v>
      </c>
      <c r="F36887" s="2">
        <v>3.36605795249037E-2</v>
      </c>
    </row>
    <row r="36888" spans="1:6" x14ac:dyDescent="0.25">
      <c r="A36888" s="1" t="str">
        <f t="shared" si="1336"/>
        <v>47380</v>
      </c>
      <c r="B36888" s="1" t="str">
        <f>"76685"</f>
        <v>76685</v>
      </c>
      <c r="C36888" s="2">
        <v>3.0462032883764398E-4</v>
      </c>
      <c r="D36888" s="2">
        <v>8.2379108658044305E-5</v>
      </c>
      <c r="E36888" s="2">
        <v>0</v>
      </c>
      <c r="F36888" s="2">
        <v>2.7874848727954998E-4</v>
      </c>
    </row>
    <row r="36889" spans="1:6" x14ac:dyDescent="0.25">
      <c r="A36889" s="1" t="str">
        <f t="shared" si="1336"/>
        <v>47380</v>
      </c>
      <c r="B36889" s="1" t="str">
        <f>"76653"</f>
        <v>76653</v>
      </c>
      <c r="C36889" s="2">
        <v>1.02047810160611E-3</v>
      </c>
      <c r="D36889" s="2">
        <v>4.1189554329022098E-4</v>
      </c>
      <c r="E36889" s="2">
        <v>2.7502750275027501E-4</v>
      </c>
      <c r="F36889" s="2">
        <v>9.5182410290578295E-4</v>
      </c>
    </row>
    <row r="36890" spans="1:6" x14ac:dyDescent="0.25">
      <c r="A36890" s="1" t="str">
        <f t="shared" si="1336"/>
        <v>47380</v>
      </c>
      <c r="B36890" s="1" t="str">
        <f>"76701"</f>
        <v>76701</v>
      </c>
      <c r="C36890" s="2">
        <v>8.6969103883147592E-3</v>
      </c>
      <c r="D36890" s="2">
        <v>8.88046791333717E-2</v>
      </c>
      <c r="E36890" s="2">
        <v>4.7579757975797499E-2</v>
      </c>
      <c r="F36890" s="2">
        <v>1.6269393416096699E-2</v>
      </c>
    </row>
    <row r="36891" spans="1:6" x14ac:dyDescent="0.25">
      <c r="A36891" s="1" t="str">
        <f t="shared" si="1336"/>
        <v>47380</v>
      </c>
      <c r="B36891" s="1" t="str">
        <f>"76557"</f>
        <v>76557</v>
      </c>
      <c r="C36891" s="2">
        <v>1.0638864984654699E-2</v>
      </c>
      <c r="D36891" s="2">
        <v>2.3066150424252401E-3</v>
      </c>
      <c r="E36891" s="2">
        <v>1.15511551155115E-2</v>
      </c>
      <c r="F36891" s="2">
        <v>9.9737568497341601E-3</v>
      </c>
    </row>
    <row r="36892" spans="1:6" x14ac:dyDescent="0.25">
      <c r="A36892" s="1" t="str">
        <f t="shared" si="1336"/>
        <v>47380</v>
      </c>
      <c r="B36892" s="1" t="str">
        <f>"76630"</f>
        <v>76630</v>
      </c>
      <c r="C36892" s="2">
        <v>5.4603193944147803E-3</v>
      </c>
      <c r="D36892" s="2">
        <v>1.4828239558447899E-3</v>
      </c>
      <c r="E36892" s="2">
        <v>2.7502750275027501E-4</v>
      </c>
      <c r="F36892" s="2">
        <v>5.0038752838475397E-3</v>
      </c>
    </row>
    <row r="36893" spans="1:6" x14ac:dyDescent="0.25">
      <c r="A36893" s="1" t="str">
        <f t="shared" si="1336"/>
        <v>47380</v>
      </c>
      <c r="B36893" s="1" t="str">
        <f>"76621"</f>
        <v>76621</v>
      </c>
      <c r="C36893" s="2">
        <v>3.04620328837644E-5</v>
      </c>
      <c r="D36893" s="2">
        <v>0</v>
      </c>
      <c r="E36893" s="2">
        <v>0</v>
      </c>
      <c r="F36893" s="2">
        <v>2.7194974368736598E-5</v>
      </c>
    </row>
    <row r="36894" spans="1:6" x14ac:dyDescent="0.25">
      <c r="A36894" s="1" t="str">
        <f t="shared" si="1336"/>
        <v>47380</v>
      </c>
      <c r="B36894" s="1" t="str">
        <f>"76716"</f>
        <v>76716</v>
      </c>
      <c r="C36894" s="2">
        <v>2.7415829595387999E-4</v>
      </c>
      <c r="D36894" s="2">
        <v>1.1533075212126201E-3</v>
      </c>
      <c r="E36894" s="2">
        <v>2.7502750275027501E-4</v>
      </c>
      <c r="F36894" s="2">
        <v>3.4673592320139199E-4</v>
      </c>
    </row>
    <row r="36895" spans="1:6" x14ac:dyDescent="0.25">
      <c r="A36895" s="1" t="str">
        <f t="shared" si="1336"/>
        <v>47380</v>
      </c>
      <c r="B36895" s="1" t="str">
        <f>"76714"</f>
        <v>76714</v>
      </c>
      <c r="C36895" s="2">
        <v>7.5774306798364098E-3</v>
      </c>
      <c r="D36895" s="2">
        <v>3.46816047450366E-2</v>
      </c>
      <c r="E36895" s="2">
        <v>2.7502750275027501E-4</v>
      </c>
      <c r="F36895" s="2">
        <v>9.6338196701249608E-3</v>
      </c>
    </row>
    <row r="36896" spans="1:6" x14ac:dyDescent="0.25">
      <c r="A36896" s="1" t="str">
        <f t="shared" si="1336"/>
        <v>47380</v>
      </c>
      <c r="B36896" s="1" t="str">
        <f>"76798"</f>
        <v>76798</v>
      </c>
      <c r="C36896" s="2">
        <v>3.9448332584474999E-2</v>
      </c>
      <c r="D36896" s="2">
        <v>1.56520306450284E-3</v>
      </c>
      <c r="E36896" s="2">
        <v>1.9251925192519199E-3</v>
      </c>
      <c r="F36896" s="2">
        <v>3.5394259140910697E-2</v>
      </c>
    </row>
    <row r="36897" spans="1:6" x14ac:dyDescent="0.25">
      <c r="A36897" s="1" t="str">
        <f t="shared" si="1336"/>
        <v>47380</v>
      </c>
      <c r="B36897" s="1" t="str">
        <f>"76712"</f>
        <v>76712</v>
      </c>
      <c r="C36897" s="2">
        <v>9.0190463860605696E-2</v>
      </c>
      <c r="D36897" s="2">
        <v>0.111294175797017</v>
      </c>
      <c r="E36897" s="2">
        <v>6.8481848184818395E-2</v>
      </c>
      <c r="F36897" s="2">
        <v>9.1395510109731695E-2</v>
      </c>
    </row>
    <row r="36898" spans="1:6" x14ac:dyDescent="0.25">
      <c r="A36898" s="1" t="str">
        <f t="shared" si="1336"/>
        <v>47380</v>
      </c>
      <c r="B36898" s="1" t="str">
        <f>"76570"</f>
        <v>76570</v>
      </c>
      <c r="C36898" s="2">
        <v>7.2651948427778302E-3</v>
      </c>
      <c r="D36898" s="2">
        <v>2.9656479116895902E-3</v>
      </c>
      <c r="E36898" s="2">
        <v>3.5753575357535699E-3</v>
      </c>
      <c r="F36898" s="2">
        <v>6.8191398229607101E-3</v>
      </c>
    </row>
    <row r="36899" spans="1:6" x14ac:dyDescent="0.25">
      <c r="A36899" s="1" t="str">
        <f t="shared" si="1336"/>
        <v>47380</v>
      </c>
      <c r="B36899" s="1" t="str">
        <f>"76632"</f>
        <v>76632</v>
      </c>
      <c r="C36899" s="2">
        <v>5.0795439833677299E-3</v>
      </c>
      <c r="D36899" s="2">
        <v>1.8123403904769699E-3</v>
      </c>
      <c r="E36899" s="2">
        <v>0</v>
      </c>
      <c r="F36899" s="2">
        <v>4.6843343350148796E-3</v>
      </c>
    </row>
    <row r="36900" spans="1:6" x14ac:dyDescent="0.25">
      <c r="A36900" s="1" t="str">
        <f t="shared" si="1336"/>
        <v>47380</v>
      </c>
      <c r="B36900" s="1" t="str">
        <f>"76638"</f>
        <v>76638</v>
      </c>
      <c r="C36900" s="2">
        <v>9.3899216364203997E-3</v>
      </c>
      <c r="D36900" s="2">
        <v>2.9656479116895902E-3</v>
      </c>
      <c r="E36900" s="2">
        <v>2.4752475247524701E-3</v>
      </c>
      <c r="F36900" s="2">
        <v>8.6887943108113607E-3</v>
      </c>
    </row>
    <row r="36901" spans="1:6" x14ac:dyDescent="0.25">
      <c r="A36901" s="1" t="str">
        <f t="shared" si="1336"/>
        <v>47380</v>
      </c>
      <c r="B36901" s="1" t="str">
        <f>"76643"</f>
        <v>76643</v>
      </c>
      <c r="C36901" s="2">
        <v>5.92791159918057E-2</v>
      </c>
      <c r="D36901" s="2">
        <v>4.8850811434220202E-2</v>
      </c>
      <c r="E36901" s="2">
        <v>1.7051705170517E-2</v>
      </c>
      <c r="F36901" s="2">
        <v>5.7374597174442099E-2</v>
      </c>
    </row>
    <row r="36902" spans="1:6" x14ac:dyDescent="0.25">
      <c r="A36902" s="1" t="str">
        <f t="shared" si="1336"/>
        <v>47380</v>
      </c>
      <c r="B36902" s="1" t="str">
        <f>"76624"</f>
        <v>76624</v>
      </c>
      <c r="C36902" s="2">
        <v>7.3413499249872401E-3</v>
      </c>
      <c r="D36902" s="2">
        <v>1.40044484718675E-3</v>
      </c>
      <c r="E36902" s="2">
        <v>0</v>
      </c>
      <c r="F36902" s="2">
        <v>6.66956746393266E-3</v>
      </c>
    </row>
    <row r="36903" spans="1:6" x14ac:dyDescent="0.25">
      <c r="A36903" s="1" t="str">
        <f t="shared" si="1336"/>
        <v>47380</v>
      </c>
      <c r="B36903" s="1" t="str">
        <f>"76642"</f>
        <v>76642</v>
      </c>
      <c r="C36903" s="2">
        <v>1.52310164418822E-5</v>
      </c>
      <c r="D36903" s="2">
        <v>0</v>
      </c>
      <c r="E36903" s="2">
        <v>0</v>
      </c>
      <c r="F36903" s="2">
        <v>1.3597487184368299E-5</v>
      </c>
    </row>
    <row r="36904" spans="1:6" x14ac:dyDescent="0.25">
      <c r="A36904" s="1" t="str">
        <f t="shared" si="1336"/>
        <v>47380</v>
      </c>
      <c r="B36904" s="1" t="str">
        <f>"76691"</f>
        <v>76691</v>
      </c>
      <c r="C36904" s="2">
        <v>2.2678983481962602E-2</v>
      </c>
      <c r="D36904" s="2">
        <v>1.92767114259823E-2</v>
      </c>
      <c r="E36904" s="2">
        <v>8.8008800880088004E-3</v>
      </c>
      <c r="F36904" s="2">
        <v>2.20551242130454E-2</v>
      </c>
    </row>
    <row r="36905" spans="1:6" x14ac:dyDescent="0.25">
      <c r="A36905" s="1" t="str">
        <f t="shared" si="1336"/>
        <v>47380</v>
      </c>
      <c r="B36905" s="1" t="str">
        <f>"76706"</f>
        <v>76706</v>
      </c>
      <c r="C36905" s="2">
        <v>0.13326377835824799</v>
      </c>
      <c r="D36905" s="2">
        <v>8.9134195568003893E-2</v>
      </c>
      <c r="E36905" s="2">
        <v>0.188393839383938</v>
      </c>
      <c r="F36905" s="2">
        <v>0.13098459404702001</v>
      </c>
    </row>
    <row r="36906" spans="1:6" x14ac:dyDescent="0.25">
      <c r="A36906" s="1" t="str">
        <f t="shared" si="1336"/>
        <v>47380</v>
      </c>
      <c r="B36906" s="1" t="str">
        <f>"76710"</f>
        <v>76710</v>
      </c>
      <c r="C36906" s="2">
        <v>9.2589348950202099E-2</v>
      </c>
      <c r="D36906" s="2">
        <v>0.186918197545102</v>
      </c>
      <c r="E36906" s="2">
        <v>0.25302530253025302</v>
      </c>
      <c r="F36906" s="2">
        <v>0.10434031790925</v>
      </c>
    </row>
    <row r="36907" spans="1:6" x14ac:dyDescent="0.25">
      <c r="A36907" s="1" t="str">
        <f t="shared" si="1336"/>
        <v>47380</v>
      </c>
      <c r="B36907" s="1" t="str">
        <f>"76664"</f>
        <v>76664</v>
      </c>
      <c r="C36907" s="2">
        <v>1.1545110462946701E-2</v>
      </c>
      <c r="D36907" s="2">
        <v>1.1203558777494E-2</v>
      </c>
      <c r="E36907" s="2">
        <v>3.02530253025302E-3</v>
      </c>
      <c r="F36907" s="2">
        <v>1.13063105938022E-2</v>
      </c>
    </row>
    <row r="36908" spans="1:6" x14ac:dyDescent="0.25">
      <c r="A36908" s="1" t="str">
        <f t="shared" si="1336"/>
        <v>47380</v>
      </c>
      <c r="B36908" s="1" t="str">
        <f>"76579"</f>
        <v>76579</v>
      </c>
      <c r="C36908" s="2">
        <v>3.73159902826115E-4</v>
      </c>
      <c r="D36908" s="2">
        <v>0</v>
      </c>
      <c r="E36908" s="2">
        <v>0</v>
      </c>
      <c r="F36908" s="2">
        <v>3.3313843601702399E-4</v>
      </c>
    </row>
    <row r="36909" spans="1:6" x14ac:dyDescent="0.25">
      <c r="A36909" s="1" t="str">
        <f t="shared" si="1336"/>
        <v>47380</v>
      </c>
      <c r="B36909" s="1" t="str">
        <f>"76519"</f>
        <v>76519</v>
      </c>
      <c r="C36909" s="2">
        <v>1.1423262331411601E-4</v>
      </c>
      <c r="D36909" s="2">
        <v>1.6475821731608799E-4</v>
      </c>
      <c r="E36909" s="2">
        <v>5.5005500550055003E-4</v>
      </c>
      <c r="F36909" s="2">
        <v>1.2917612825149899E-4</v>
      </c>
    </row>
    <row r="36910" spans="1:6" x14ac:dyDescent="0.25">
      <c r="A36910" s="1" t="str">
        <f t="shared" si="1336"/>
        <v>47380</v>
      </c>
      <c r="B36910" s="1" t="str">
        <f>"76673"</f>
        <v>76673</v>
      </c>
      <c r="C36910" s="2">
        <v>1.3707914797693999E-4</v>
      </c>
      <c r="D36910" s="2">
        <v>0</v>
      </c>
      <c r="E36910" s="2">
        <v>0</v>
      </c>
      <c r="F36910" s="2">
        <v>1.2237738465931399E-4</v>
      </c>
    </row>
    <row r="36911" spans="1:6" x14ac:dyDescent="0.25">
      <c r="A36911" s="1" t="str">
        <f t="shared" si="1336"/>
        <v>47380</v>
      </c>
      <c r="B36911" s="1" t="str">
        <f>"76656"</f>
        <v>76656</v>
      </c>
      <c r="C36911" s="2">
        <v>7.9582060908834698E-3</v>
      </c>
      <c r="D36911" s="2">
        <v>5.6841584974050502E-3</v>
      </c>
      <c r="E36911" s="2">
        <v>5.5005500550055E-3</v>
      </c>
      <c r="F36911" s="2">
        <v>7.7097752335368403E-3</v>
      </c>
    </row>
    <row r="36912" spans="1:6" x14ac:dyDescent="0.25">
      <c r="A36912" s="1" t="str">
        <f t="shared" ref="A36912:A36939" si="1337">"47420"</f>
        <v>47420</v>
      </c>
      <c r="B36912" s="1" t="str">
        <f>"56520"</f>
        <v>56520</v>
      </c>
      <c r="C36912" s="2">
        <v>0.175321150714673</v>
      </c>
      <c r="D36912" s="2">
        <v>0.21976744186046501</v>
      </c>
      <c r="E36912" s="2">
        <v>0.16974789915966301</v>
      </c>
      <c r="F36912" s="2">
        <v>0.17811175953313599</v>
      </c>
    </row>
    <row r="36913" spans="1:6" x14ac:dyDescent="0.25">
      <c r="A36913" s="1" t="str">
        <f t="shared" si="1337"/>
        <v>47420</v>
      </c>
      <c r="B36913" s="1" t="str">
        <f>"56514"</f>
        <v>56514</v>
      </c>
      <c r="C36913" s="2">
        <v>9.8606839153247607E-3</v>
      </c>
      <c r="D36913" s="2">
        <v>1.1627906976744099E-3</v>
      </c>
      <c r="E36913" s="2">
        <v>3.3613445378151202E-3</v>
      </c>
      <c r="F36913" s="2">
        <v>8.9535534415220996E-3</v>
      </c>
    </row>
    <row r="36914" spans="1:6" x14ac:dyDescent="0.25">
      <c r="A36914" s="1" t="str">
        <f t="shared" si="1337"/>
        <v>47420</v>
      </c>
      <c r="B36914" s="1" t="str">
        <f>"56594"</f>
        <v>56594</v>
      </c>
      <c r="C36914" s="2">
        <v>1.6102768228695399E-2</v>
      </c>
      <c r="D36914" s="2">
        <v>4.65116279069767E-3</v>
      </c>
      <c r="E36914" s="2">
        <v>5.0420168067226798E-3</v>
      </c>
      <c r="F36914" s="2">
        <v>1.4789351666799899E-2</v>
      </c>
    </row>
    <row r="36915" spans="1:6" x14ac:dyDescent="0.25">
      <c r="A36915" s="1" t="str">
        <f t="shared" si="1337"/>
        <v>47420</v>
      </c>
      <c r="B36915" s="1" t="str">
        <f>"58077"</f>
        <v>58077</v>
      </c>
      <c r="C36915" s="2">
        <v>3.2386466437488597E-2</v>
      </c>
      <c r="D36915" s="2">
        <v>6.9767441860465098E-3</v>
      </c>
      <c r="E36915" s="2">
        <v>2.1848739495798301E-2</v>
      </c>
      <c r="F36915" s="2">
        <v>3.0138300423694898E-2</v>
      </c>
    </row>
    <row r="36916" spans="1:6" x14ac:dyDescent="0.25">
      <c r="A36916" s="1" t="str">
        <f t="shared" si="1337"/>
        <v>47420</v>
      </c>
      <c r="B36916" s="1" t="str">
        <f>"58057"</f>
        <v>58057</v>
      </c>
      <c r="C36916" s="2">
        <v>3.70906459200289E-3</v>
      </c>
      <c r="D36916" s="2">
        <v>0</v>
      </c>
      <c r="E36916" s="2">
        <v>0</v>
      </c>
      <c r="F36916" s="2">
        <v>3.2776400991286199E-3</v>
      </c>
    </row>
    <row r="36917" spans="1:6" x14ac:dyDescent="0.25">
      <c r="A36917" s="1" t="str">
        <f t="shared" si="1337"/>
        <v>47420</v>
      </c>
      <c r="B36917" s="1" t="str">
        <f>"58051"</f>
        <v>58051</v>
      </c>
      <c r="C36917" s="2">
        <v>1.32078885471322E-2</v>
      </c>
      <c r="D36917" s="2">
        <v>8.1395348837209301E-3</v>
      </c>
      <c r="E36917" s="2">
        <v>0</v>
      </c>
      <c r="F36917" s="2">
        <v>1.2231193540650699E-2</v>
      </c>
    </row>
    <row r="36918" spans="1:6" x14ac:dyDescent="0.25">
      <c r="A36918" s="1" t="str">
        <f t="shared" si="1337"/>
        <v>47420</v>
      </c>
      <c r="B36918" s="1" t="str">
        <f>"58047"</f>
        <v>58047</v>
      </c>
      <c r="C36918" s="2">
        <v>9.9511489053736202E-4</v>
      </c>
      <c r="D36918" s="2">
        <v>4.65116279069767E-3</v>
      </c>
      <c r="E36918" s="2">
        <v>0</v>
      </c>
      <c r="F36918" s="2">
        <v>1.19913662163242E-3</v>
      </c>
    </row>
    <row r="36919" spans="1:6" x14ac:dyDescent="0.25">
      <c r="A36919" s="1" t="str">
        <f t="shared" si="1337"/>
        <v>47420</v>
      </c>
      <c r="B36919" s="1" t="str">
        <f>"58060"</f>
        <v>58060</v>
      </c>
      <c r="C36919" s="2">
        <v>3.61859960195404E-4</v>
      </c>
      <c r="D36919" s="2">
        <v>0</v>
      </c>
      <c r="E36919" s="2">
        <v>0</v>
      </c>
      <c r="F36919" s="2">
        <v>3.19769765768646E-4</v>
      </c>
    </row>
    <row r="36920" spans="1:6" x14ac:dyDescent="0.25">
      <c r="A36920" s="1" t="str">
        <f t="shared" si="1337"/>
        <v>47420</v>
      </c>
      <c r="B36920" s="1" t="str">
        <f>"56579"</f>
        <v>56579</v>
      </c>
      <c r="C36920" s="2">
        <v>2.7229962004704102E-2</v>
      </c>
      <c r="D36920" s="2">
        <v>1.1627906976744099E-2</v>
      </c>
      <c r="E36920" s="2">
        <v>1.0084033613445301E-2</v>
      </c>
      <c r="F36920" s="2">
        <v>2.5341753937165201E-2</v>
      </c>
    </row>
    <row r="36921" spans="1:6" x14ac:dyDescent="0.25">
      <c r="A36921" s="1" t="str">
        <f t="shared" si="1337"/>
        <v>47420</v>
      </c>
      <c r="B36921" s="1" t="str">
        <f>"56553"</f>
        <v>56553</v>
      </c>
      <c r="C36921" s="2">
        <v>1.15795187262529E-2</v>
      </c>
      <c r="D36921" s="2">
        <v>2.3255813953488298E-3</v>
      </c>
      <c r="E36921" s="2">
        <v>3.3613445378151202E-3</v>
      </c>
      <c r="F36921" s="2">
        <v>1.05524022703653E-2</v>
      </c>
    </row>
    <row r="36922" spans="1:6" x14ac:dyDescent="0.25">
      <c r="A36922" s="1" t="str">
        <f t="shared" si="1337"/>
        <v>47420</v>
      </c>
      <c r="B36922" s="1" t="str">
        <f>"58075"</f>
        <v>58075</v>
      </c>
      <c r="C36922" s="2">
        <v>0.39569386647367399</v>
      </c>
      <c r="D36922" s="2">
        <v>0.60581395348837197</v>
      </c>
      <c r="E36922" s="2">
        <v>0.58823529411764697</v>
      </c>
      <c r="F36922" s="2">
        <v>0.41929810536413697</v>
      </c>
    </row>
    <row r="36923" spans="1:6" x14ac:dyDescent="0.25">
      <c r="A36923" s="1" t="str">
        <f t="shared" si="1337"/>
        <v>47420</v>
      </c>
      <c r="B36923" s="1" t="str">
        <f>"58041"</f>
        <v>58041</v>
      </c>
      <c r="C36923" s="2">
        <v>8.3227790844943E-2</v>
      </c>
      <c r="D36923" s="2">
        <v>5.5813953488372002E-2</v>
      </c>
      <c r="E36923" s="2">
        <v>8.7394957983193203E-2</v>
      </c>
      <c r="F36923" s="2">
        <v>8.1541290271004804E-2</v>
      </c>
    </row>
    <row r="36924" spans="1:6" x14ac:dyDescent="0.25">
      <c r="A36924" s="1" t="str">
        <f t="shared" si="1337"/>
        <v>47420</v>
      </c>
      <c r="B36924" s="1" t="str">
        <f>"58053"</f>
        <v>58053</v>
      </c>
      <c r="C36924" s="2">
        <v>5.5545503889994498E-2</v>
      </c>
      <c r="D36924" s="2">
        <v>1.2790697674418599E-2</v>
      </c>
      <c r="E36924" s="2">
        <v>3.6974789915966297E-2</v>
      </c>
      <c r="F36924" s="2">
        <v>5.1722759613078498E-2</v>
      </c>
    </row>
    <row r="36925" spans="1:6" x14ac:dyDescent="0.25">
      <c r="A36925" s="1" t="str">
        <f t="shared" si="1337"/>
        <v>47420</v>
      </c>
      <c r="B36925" s="1" t="str">
        <f>"56522"</f>
        <v>56522</v>
      </c>
      <c r="C36925" s="2">
        <v>1.8816717930161E-2</v>
      </c>
      <c r="D36925" s="2">
        <v>8.1395348837209301E-3</v>
      </c>
      <c r="E36925" s="2">
        <v>5.0420168067226798E-3</v>
      </c>
      <c r="F36925" s="2">
        <v>1.74274522343912E-2</v>
      </c>
    </row>
    <row r="36926" spans="1:6" x14ac:dyDescent="0.25">
      <c r="A36926" s="1" t="str">
        <f t="shared" si="1337"/>
        <v>47420</v>
      </c>
      <c r="B36926" s="1" t="str">
        <f>"58015"</f>
        <v>58015</v>
      </c>
      <c r="C36926" s="2">
        <v>1.04034738556178E-2</v>
      </c>
      <c r="D36926" s="2">
        <v>1.1627906976744099E-3</v>
      </c>
      <c r="E36926" s="2">
        <v>3.3613445378151202E-3</v>
      </c>
      <c r="F36926" s="2">
        <v>9.4332080901750708E-3</v>
      </c>
    </row>
    <row r="36927" spans="1:6" x14ac:dyDescent="0.25">
      <c r="A36927" s="1" t="str">
        <f t="shared" si="1337"/>
        <v>47420</v>
      </c>
      <c r="B36927" s="1" t="str">
        <f>"58018"</f>
        <v>58018</v>
      </c>
      <c r="C36927" s="2">
        <v>1.4836258368011499E-2</v>
      </c>
      <c r="D36927" s="2">
        <v>1.1627906976744099E-3</v>
      </c>
      <c r="E36927" s="2">
        <v>5.0420168067226798E-3</v>
      </c>
      <c r="F36927" s="2">
        <v>1.3430330162283099E-2</v>
      </c>
    </row>
    <row r="36928" spans="1:6" x14ac:dyDescent="0.25">
      <c r="A36928" s="1" t="str">
        <f t="shared" si="1337"/>
        <v>47420</v>
      </c>
      <c r="B36928" s="1" t="str">
        <f>"58076"</f>
        <v>58076</v>
      </c>
      <c r="C36928" s="2">
        <v>0</v>
      </c>
      <c r="D36928" s="2">
        <v>1.1627906976744099E-3</v>
      </c>
      <c r="E36928" s="2">
        <v>0</v>
      </c>
      <c r="F36928" s="2">
        <v>7.9942441442161594E-5</v>
      </c>
    </row>
    <row r="36929" spans="1:6" x14ac:dyDescent="0.25">
      <c r="A36929" s="1" t="str">
        <f t="shared" si="1337"/>
        <v>47420</v>
      </c>
      <c r="B36929" s="1" t="str">
        <f>"58058"</f>
        <v>58058</v>
      </c>
      <c r="C36929" s="2">
        <v>6.42301429346842E-3</v>
      </c>
      <c r="D36929" s="2">
        <v>2.3255813953488298E-3</v>
      </c>
      <c r="E36929" s="2">
        <v>1.6806722689075601E-3</v>
      </c>
      <c r="F36929" s="2">
        <v>5.9157406667199597E-3</v>
      </c>
    </row>
    <row r="36930" spans="1:6" x14ac:dyDescent="0.25">
      <c r="A36930" s="1" t="str">
        <f t="shared" si="1337"/>
        <v>47420</v>
      </c>
      <c r="B36930" s="1" t="str">
        <f>"56583"</f>
        <v>56583</v>
      </c>
      <c r="C36930" s="2">
        <v>2.17115976117242E-3</v>
      </c>
      <c r="D36930" s="2">
        <v>2.3255813953488298E-3</v>
      </c>
      <c r="E36930" s="2">
        <v>1.6806722689075601E-3</v>
      </c>
      <c r="F36930" s="2">
        <v>2.15844591893836E-3</v>
      </c>
    </row>
    <row r="36931" spans="1:6" x14ac:dyDescent="0.25">
      <c r="A36931" s="1" t="str">
        <f t="shared" si="1337"/>
        <v>47420</v>
      </c>
      <c r="B36931" s="1" t="str">
        <f>"58081"</f>
        <v>58081</v>
      </c>
      <c r="C36931" s="2">
        <v>3.9261805681201301E-2</v>
      </c>
      <c r="D36931" s="2">
        <v>1.51162790697674E-2</v>
      </c>
      <c r="E36931" s="2">
        <v>1.34453781512605E-2</v>
      </c>
      <c r="F36931" s="2">
        <v>3.6373810856183499E-2</v>
      </c>
    </row>
    <row r="36932" spans="1:6" x14ac:dyDescent="0.25">
      <c r="A36932" s="1" t="str">
        <f t="shared" si="1337"/>
        <v>47420</v>
      </c>
      <c r="B36932" s="1" t="str">
        <f>"58001"</f>
        <v>58001</v>
      </c>
      <c r="C36932" s="2">
        <v>1.0313008865569E-2</v>
      </c>
      <c r="D36932" s="2">
        <v>1.1627906976744099E-3</v>
      </c>
      <c r="E36932" s="2">
        <v>1.1764705882352899E-2</v>
      </c>
      <c r="F36932" s="2">
        <v>9.7529778559437199E-3</v>
      </c>
    </row>
    <row r="36933" spans="1:6" x14ac:dyDescent="0.25">
      <c r="A36933" s="1" t="str">
        <f t="shared" si="1337"/>
        <v>47420</v>
      </c>
      <c r="B36933" s="1" t="str">
        <f>"56543"</f>
        <v>56543</v>
      </c>
      <c r="C36933" s="2">
        <v>1.0855798805862101E-2</v>
      </c>
      <c r="D36933" s="2">
        <v>4.65116279069767E-3</v>
      </c>
      <c r="E36933" s="2">
        <v>3.3613445378151202E-3</v>
      </c>
      <c r="F36933" s="2">
        <v>1.00727476217123E-2</v>
      </c>
    </row>
    <row r="36934" spans="1:6" x14ac:dyDescent="0.25">
      <c r="A36934" s="1" t="str">
        <f t="shared" si="1337"/>
        <v>47420</v>
      </c>
      <c r="B36934" s="1" t="str">
        <f>"58030"</f>
        <v>58030</v>
      </c>
      <c r="C36934" s="2">
        <v>2.64157770942645E-2</v>
      </c>
      <c r="D36934" s="2">
        <v>1.3953488372093001E-2</v>
      </c>
      <c r="E36934" s="2">
        <v>1.6806722689075598E-2</v>
      </c>
      <c r="F36934" s="2">
        <v>2.51019266128387E-2</v>
      </c>
    </row>
    <row r="36935" spans="1:6" x14ac:dyDescent="0.25">
      <c r="A36935" s="1" t="str">
        <f t="shared" si="1337"/>
        <v>47420</v>
      </c>
      <c r="B36935" s="1" t="str">
        <f>"58052"</f>
        <v>58052</v>
      </c>
      <c r="C36935" s="2">
        <v>4.7041794825402501E-3</v>
      </c>
      <c r="D36935" s="2">
        <v>0</v>
      </c>
      <c r="E36935" s="2">
        <v>0</v>
      </c>
      <c r="F36935" s="2">
        <v>4.1570069549923998E-3</v>
      </c>
    </row>
    <row r="36936" spans="1:6" x14ac:dyDescent="0.25">
      <c r="A36936" s="1" t="str">
        <f t="shared" si="1337"/>
        <v>47420</v>
      </c>
      <c r="B36936" s="1" t="str">
        <f>"58061"</f>
        <v>58061</v>
      </c>
      <c r="C36936" s="2">
        <v>1.6916953139135101E-2</v>
      </c>
      <c r="D36936" s="2">
        <v>6.9767441860465098E-3</v>
      </c>
      <c r="E36936" s="2">
        <v>1.0084033613445301E-2</v>
      </c>
      <c r="F36936" s="2">
        <v>1.5908545846990099E-2</v>
      </c>
    </row>
    <row r="36937" spans="1:6" x14ac:dyDescent="0.25">
      <c r="A36937" s="1" t="str">
        <f t="shared" si="1337"/>
        <v>47420</v>
      </c>
      <c r="B36937" s="1" t="str">
        <f>"58008"</f>
        <v>58008</v>
      </c>
      <c r="C36937" s="2">
        <v>9.5892889451782096E-3</v>
      </c>
      <c r="D36937" s="2">
        <v>6.9767441860465098E-3</v>
      </c>
      <c r="E36937" s="2">
        <v>0</v>
      </c>
      <c r="F36937" s="2">
        <v>8.9535534415220996E-3</v>
      </c>
    </row>
    <row r="36938" spans="1:6" x14ac:dyDescent="0.25">
      <c r="A36938" s="1" t="str">
        <f t="shared" si="1337"/>
        <v>47420</v>
      </c>
      <c r="B36938" s="1" t="str">
        <f>"56572"</f>
        <v>56572</v>
      </c>
      <c r="C36938" s="2">
        <v>9.0464990048851E-5</v>
      </c>
      <c r="D36938" s="2">
        <v>0</v>
      </c>
      <c r="E36938" s="2">
        <v>0</v>
      </c>
      <c r="F36938" s="2">
        <v>7.9942441442161594E-5</v>
      </c>
    </row>
    <row r="36939" spans="1:6" x14ac:dyDescent="0.25">
      <c r="A36939" s="1" t="str">
        <f t="shared" si="1337"/>
        <v>47420</v>
      </c>
      <c r="B36939" s="1" t="str">
        <f>"56565"</f>
        <v>56565</v>
      </c>
      <c r="C36939" s="2">
        <v>3.9804595621494403E-3</v>
      </c>
      <c r="D36939" s="2">
        <v>1.1627906976744099E-3</v>
      </c>
      <c r="E36939" s="2">
        <v>1.6806722689075601E-3</v>
      </c>
      <c r="F36939" s="2">
        <v>3.67735230633943E-3</v>
      </c>
    </row>
    <row r="36940" spans="1:6" x14ac:dyDescent="0.25">
      <c r="A36940" s="1" t="str">
        <f t="shared" ref="A36940:A36948" si="1338">"47460"</f>
        <v>47460</v>
      </c>
      <c r="B36940" s="1" t="str">
        <f>"99362"</f>
        <v>99362</v>
      </c>
      <c r="C36940" s="2">
        <v>0.71879140291476495</v>
      </c>
      <c r="D36940" s="2">
        <v>0.86079875920899496</v>
      </c>
      <c r="E36940" s="2">
        <v>0.45938173975557101</v>
      </c>
      <c r="F36940" s="2">
        <v>0.71896474214886597</v>
      </c>
    </row>
    <row r="36941" spans="1:6" x14ac:dyDescent="0.25">
      <c r="A36941" s="1" t="str">
        <f t="shared" si="1338"/>
        <v>47460</v>
      </c>
      <c r="B36941" s="1" t="str">
        <f>"99324"</f>
        <v>99324</v>
      </c>
      <c r="C36941" s="2">
        <v>0.18180479905785299</v>
      </c>
      <c r="D36941" s="2">
        <v>0.107405971306708</v>
      </c>
      <c r="E36941" s="2">
        <v>0.22286125089863401</v>
      </c>
      <c r="F36941" s="2">
        <v>0.17747736176225001</v>
      </c>
    </row>
    <row r="36942" spans="1:6" x14ac:dyDescent="0.25">
      <c r="A36942" s="1" t="str">
        <f t="shared" si="1338"/>
        <v>47460</v>
      </c>
      <c r="B36942" s="1" t="str">
        <f>"99328"</f>
        <v>99328</v>
      </c>
      <c r="C36942" s="2">
        <v>3.6802590902399498E-5</v>
      </c>
      <c r="D36942" s="2">
        <v>0</v>
      </c>
      <c r="E36942" s="2">
        <v>0</v>
      </c>
      <c r="F36942" s="2">
        <v>3.2110975531436599E-5</v>
      </c>
    </row>
    <row r="36943" spans="1:6" x14ac:dyDescent="0.25">
      <c r="A36943" s="1" t="str">
        <f t="shared" si="1338"/>
        <v>47460</v>
      </c>
      <c r="B36943" s="1" t="str">
        <f>"99329"</f>
        <v>99329</v>
      </c>
      <c r="C36943" s="2">
        <v>1.1040777270719801E-4</v>
      </c>
      <c r="D36943" s="2">
        <v>0</v>
      </c>
      <c r="E36943" s="2">
        <v>5.9669302659956798E-2</v>
      </c>
      <c r="F36943" s="2">
        <v>2.7615438957035499E-3</v>
      </c>
    </row>
    <row r="36944" spans="1:6" x14ac:dyDescent="0.25">
      <c r="A36944" s="1" t="str">
        <f t="shared" si="1338"/>
        <v>47460</v>
      </c>
      <c r="B36944" s="1" t="str">
        <f>"99360"</f>
        <v>99360</v>
      </c>
      <c r="C36944" s="2">
        <v>1.9284557632857299E-2</v>
      </c>
      <c r="D36944" s="2">
        <v>3.8774718883287998E-3</v>
      </c>
      <c r="E36944" s="2">
        <v>1.43781452192667E-3</v>
      </c>
      <c r="F36944" s="2">
        <v>1.7211482884849999E-2</v>
      </c>
    </row>
    <row r="36945" spans="1:6" x14ac:dyDescent="0.25">
      <c r="A36945" s="1" t="str">
        <f t="shared" si="1338"/>
        <v>47460</v>
      </c>
      <c r="B36945" s="1" t="str">
        <f>"99361"</f>
        <v>99361</v>
      </c>
      <c r="C36945" s="2">
        <v>1.8953334314735702E-2</v>
      </c>
      <c r="D36945" s="2">
        <v>3.1019775106630402E-3</v>
      </c>
      <c r="E36945" s="2">
        <v>7.4766355140186896E-2</v>
      </c>
      <c r="F36945" s="2">
        <v>2.0133581658210699E-2</v>
      </c>
    </row>
    <row r="36946" spans="1:6" x14ac:dyDescent="0.25">
      <c r="A36946" s="1" t="str">
        <f t="shared" si="1338"/>
        <v>47460</v>
      </c>
      <c r="B36946" s="1" t="str">
        <f>"99323"</f>
        <v>99323</v>
      </c>
      <c r="C36946" s="2">
        <v>4.54511997644634E-2</v>
      </c>
      <c r="D36946" s="2">
        <v>1.8999612252811101E-2</v>
      </c>
      <c r="E36946" s="2">
        <v>8.6987778576563604E-2</v>
      </c>
      <c r="F36946" s="2">
        <v>4.5115920621668401E-2</v>
      </c>
    </row>
    <row r="36947" spans="1:6" x14ac:dyDescent="0.25">
      <c r="A36947" s="1" t="str">
        <f t="shared" si="1338"/>
        <v>47460</v>
      </c>
      <c r="B36947" s="1" t="str">
        <f>"99348"</f>
        <v>99348</v>
      </c>
      <c r="C36947" s="2">
        <v>1.5567495951715001E-2</v>
      </c>
      <c r="D36947" s="2">
        <v>5.8162078324932101E-3</v>
      </c>
      <c r="E36947" s="2">
        <v>7.69230769230769E-2</v>
      </c>
      <c r="F36947" s="2">
        <v>1.7500481664632899E-2</v>
      </c>
    </row>
    <row r="36948" spans="1:6" x14ac:dyDescent="0.25">
      <c r="A36948" s="1" t="str">
        <f t="shared" si="1338"/>
        <v>47460</v>
      </c>
      <c r="B36948" s="1" t="str">
        <f>"99363"</f>
        <v>99363</v>
      </c>
      <c r="C36948" s="2">
        <v>0</v>
      </c>
      <c r="D36948" s="2">
        <v>0</v>
      </c>
      <c r="E36948" s="2">
        <v>1.7972681524083298E-2</v>
      </c>
      <c r="F36948" s="2">
        <v>8.0277438828591603E-4</v>
      </c>
    </row>
    <row r="36949" spans="1:6" x14ac:dyDescent="0.25">
      <c r="A36949" s="1" t="str">
        <f t="shared" ref="A36949:A36969" si="1339">"47540"</f>
        <v>47540</v>
      </c>
      <c r="B36949" s="1" t="str">
        <f>"45850"</f>
        <v>45850</v>
      </c>
      <c r="C36949" s="2">
        <v>8.8391278727165503E-4</v>
      </c>
      <c r="D36949" s="2">
        <v>0</v>
      </c>
      <c r="E36949" s="2">
        <v>0</v>
      </c>
      <c r="F36949" s="2">
        <v>8.0724728675217504E-4</v>
      </c>
    </row>
    <row r="36950" spans="1:6" x14ac:dyDescent="0.25">
      <c r="A36950" s="1" t="str">
        <f t="shared" si="1339"/>
        <v>47540</v>
      </c>
      <c r="B36950" s="1" t="str">
        <f>"45819"</f>
        <v>45819</v>
      </c>
      <c r="C36950" s="2">
        <v>5.0579453938322501E-3</v>
      </c>
      <c r="D36950" s="2">
        <v>4.6791443850267298E-3</v>
      </c>
      <c r="E36950" s="2">
        <v>2.2831050228310501E-3</v>
      </c>
      <c r="F36950" s="2">
        <v>4.97802493497174E-3</v>
      </c>
    </row>
    <row r="36951" spans="1:6" x14ac:dyDescent="0.25">
      <c r="A36951" s="1" t="str">
        <f t="shared" si="1339"/>
        <v>47540</v>
      </c>
      <c r="B36951" s="1" t="str">
        <f>"45854"</f>
        <v>45854</v>
      </c>
      <c r="C36951" s="2">
        <v>4.9106265959536397E-5</v>
      </c>
      <c r="D36951" s="2">
        <v>0</v>
      </c>
      <c r="E36951" s="2">
        <v>0</v>
      </c>
      <c r="F36951" s="2">
        <v>4.4847071486231898E-5</v>
      </c>
    </row>
    <row r="36952" spans="1:6" x14ac:dyDescent="0.25">
      <c r="A36952" s="1" t="str">
        <f t="shared" si="1339"/>
        <v>47540</v>
      </c>
      <c r="B36952" s="1" t="str">
        <f>"45887"</f>
        <v>45887</v>
      </c>
      <c r="C36952" s="2">
        <v>1.07542722451384E-2</v>
      </c>
      <c r="D36952" s="2">
        <v>2.6737967914438501E-3</v>
      </c>
      <c r="E36952" s="2">
        <v>0</v>
      </c>
      <c r="F36952" s="2">
        <v>1.00008969414297E-2</v>
      </c>
    </row>
    <row r="36953" spans="1:6" x14ac:dyDescent="0.25">
      <c r="A36953" s="1" t="str">
        <f t="shared" si="1339"/>
        <v>47540</v>
      </c>
      <c r="B36953" s="1" t="str">
        <f>"45306"</f>
        <v>45306</v>
      </c>
      <c r="C36953" s="2">
        <v>1.12944411706933E-3</v>
      </c>
      <c r="D36953" s="2">
        <v>0</v>
      </c>
      <c r="E36953" s="2">
        <v>0</v>
      </c>
      <c r="F36953" s="2">
        <v>1.03148264418333E-3</v>
      </c>
    </row>
    <row r="36954" spans="1:6" x14ac:dyDescent="0.25">
      <c r="A36954" s="1" t="str">
        <f t="shared" si="1339"/>
        <v>47540</v>
      </c>
      <c r="B36954" s="1" t="str">
        <f>"45865"</f>
        <v>45865</v>
      </c>
      <c r="C36954" s="2">
        <v>7.5427224513847896E-2</v>
      </c>
      <c r="D36954" s="2">
        <v>0.12299465240641699</v>
      </c>
      <c r="E36954" s="2">
        <v>4.3378995433789903E-2</v>
      </c>
      <c r="F36954" s="2">
        <v>7.7989057314557297E-2</v>
      </c>
    </row>
    <row r="36955" spans="1:6" x14ac:dyDescent="0.25">
      <c r="A36955" s="1" t="str">
        <f t="shared" si="1339"/>
        <v>47540</v>
      </c>
      <c r="B36955" s="1" t="str">
        <f>"45895"</f>
        <v>45895</v>
      </c>
      <c r="C36955" s="2">
        <v>0.38474759379296702</v>
      </c>
      <c r="D36955" s="2">
        <v>0.40574866310160401</v>
      </c>
      <c r="E36955" s="2">
        <v>0.54337899543378898</v>
      </c>
      <c r="F36955" s="2">
        <v>0.38927258050049302</v>
      </c>
    </row>
    <row r="36956" spans="1:6" x14ac:dyDescent="0.25">
      <c r="A36956" s="1" t="str">
        <f t="shared" si="1339"/>
        <v>47540</v>
      </c>
      <c r="B36956" s="1" t="str">
        <f>"45885"</f>
        <v>45885</v>
      </c>
      <c r="C36956" s="2">
        <v>0.29444117069337999</v>
      </c>
      <c r="D36956" s="2">
        <v>0.28943850267379601</v>
      </c>
      <c r="E36956" s="2">
        <v>0.221461187214611</v>
      </c>
      <c r="F36956" s="2">
        <v>0.292671988519149</v>
      </c>
    </row>
    <row r="36957" spans="1:6" x14ac:dyDescent="0.25">
      <c r="A36957" s="1" t="str">
        <f t="shared" si="1339"/>
        <v>47540</v>
      </c>
      <c r="B36957" s="1" t="str">
        <f>"45871"</f>
        <v>45871</v>
      </c>
      <c r="C36957" s="2">
        <v>2.7352190139461701E-2</v>
      </c>
      <c r="D36957" s="2">
        <v>2.6737967914438501E-3</v>
      </c>
      <c r="E36957" s="2">
        <v>2.0547945205479399E-2</v>
      </c>
      <c r="F36957" s="2">
        <v>2.5562830747152199E-2</v>
      </c>
    </row>
    <row r="36958" spans="1:6" x14ac:dyDescent="0.25">
      <c r="A36958" s="1" t="str">
        <f t="shared" si="1339"/>
        <v>47540</v>
      </c>
      <c r="B36958" s="1" t="str">
        <f>"45896"</f>
        <v>45896</v>
      </c>
      <c r="C36958" s="2">
        <v>3.4767236299351703E-2</v>
      </c>
      <c r="D36958" s="2">
        <v>2.0721925133689801E-2</v>
      </c>
      <c r="E36958" s="2">
        <v>1.5981735159817299E-2</v>
      </c>
      <c r="F36958" s="2">
        <v>3.3455915328728998E-2</v>
      </c>
    </row>
    <row r="36959" spans="1:6" x14ac:dyDescent="0.25">
      <c r="A36959" s="1" t="str">
        <f t="shared" si="1339"/>
        <v>47540</v>
      </c>
      <c r="B36959" s="1" t="str">
        <f>"45869"</f>
        <v>45869</v>
      </c>
      <c r="C36959" s="2">
        <v>9.1386760950697296E-2</v>
      </c>
      <c r="D36959" s="2">
        <v>0.10427807486630999</v>
      </c>
      <c r="E36959" s="2">
        <v>7.0776255707762498E-2</v>
      </c>
      <c r="F36959" s="2">
        <v>9.1846802403802996E-2</v>
      </c>
    </row>
    <row r="36960" spans="1:6" x14ac:dyDescent="0.25">
      <c r="A36960" s="1" t="str">
        <f t="shared" si="1339"/>
        <v>47540</v>
      </c>
      <c r="B36960" s="1" t="str">
        <f>"45884"</f>
        <v>45884</v>
      </c>
      <c r="C36960" s="2">
        <v>1.12944411706933E-3</v>
      </c>
      <c r="D36960" s="2">
        <v>0</v>
      </c>
      <c r="E36960" s="2">
        <v>2.2831050228310501E-3</v>
      </c>
      <c r="F36960" s="2">
        <v>1.0763297156695601E-3</v>
      </c>
    </row>
    <row r="36961" spans="1:6" x14ac:dyDescent="0.25">
      <c r="A36961" s="1" t="str">
        <f t="shared" si="1339"/>
        <v>47540</v>
      </c>
      <c r="B36961" s="1" t="str">
        <f>"45888"</f>
        <v>45888</v>
      </c>
      <c r="C36961" s="2">
        <v>1.7187193085837699E-3</v>
      </c>
      <c r="D36961" s="2">
        <v>0</v>
      </c>
      <c r="E36961" s="2">
        <v>2.2831050228310501E-3</v>
      </c>
      <c r="F36961" s="2">
        <v>1.6144945735043501E-3</v>
      </c>
    </row>
    <row r="36962" spans="1:6" x14ac:dyDescent="0.25">
      <c r="A36962" s="1" t="str">
        <f t="shared" si="1339"/>
        <v>47540</v>
      </c>
      <c r="B36962" s="1" t="str">
        <f>"45334"</f>
        <v>45334</v>
      </c>
      <c r="C36962" s="2">
        <v>4.9106265959536401E-4</v>
      </c>
      <c r="D36962" s="2">
        <v>0</v>
      </c>
      <c r="E36962" s="2">
        <v>0</v>
      </c>
      <c r="F36962" s="2">
        <v>4.4847071486231899E-4</v>
      </c>
    </row>
    <row r="36963" spans="1:6" x14ac:dyDescent="0.25">
      <c r="A36963" s="1" t="str">
        <f t="shared" si="1339"/>
        <v>47540</v>
      </c>
      <c r="B36963" s="1" t="str">
        <f>"45845"</f>
        <v>45845</v>
      </c>
      <c r="C36963" s="2">
        <v>4.9106265959536401E-4</v>
      </c>
      <c r="D36963" s="2">
        <v>0</v>
      </c>
      <c r="E36963" s="2">
        <v>0</v>
      </c>
      <c r="F36963" s="2">
        <v>4.4847071486231899E-4</v>
      </c>
    </row>
    <row r="36964" spans="1:6" x14ac:dyDescent="0.25">
      <c r="A36964" s="1" t="str">
        <f t="shared" si="1339"/>
        <v>47540</v>
      </c>
      <c r="B36964" s="1" t="str">
        <f>"45806"</f>
        <v>45806</v>
      </c>
      <c r="C36964" s="2">
        <v>6.2905126694166105E-2</v>
      </c>
      <c r="D36964" s="2">
        <v>4.2112299465240602E-2</v>
      </c>
      <c r="E36964" s="2">
        <v>6.1643835616438297E-2</v>
      </c>
      <c r="F36964" s="2">
        <v>6.1485335007624001E-2</v>
      </c>
    </row>
    <row r="36965" spans="1:6" x14ac:dyDescent="0.25">
      <c r="A36965" s="1" t="str">
        <f t="shared" si="1339"/>
        <v>47540</v>
      </c>
      <c r="B36965" s="1" t="str">
        <f>"43331"</f>
        <v>43331</v>
      </c>
      <c r="C36965" s="2">
        <v>2.3571007660577398E-3</v>
      </c>
      <c r="D36965" s="2">
        <v>0</v>
      </c>
      <c r="E36965" s="2">
        <v>2.2831050228310501E-3</v>
      </c>
      <c r="F36965" s="2">
        <v>2.19750650282536E-3</v>
      </c>
    </row>
    <row r="36966" spans="1:6" x14ac:dyDescent="0.25">
      <c r="A36966" s="1" t="str">
        <f t="shared" si="1339"/>
        <v>47540</v>
      </c>
      <c r="B36966" s="1" t="str">
        <f>"45870"</f>
        <v>45870</v>
      </c>
      <c r="C36966" s="2">
        <v>1.27676291494794E-3</v>
      </c>
      <c r="D36966" s="2">
        <v>6.6844919786096199E-4</v>
      </c>
      <c r="E36966" s="2">
        <v>0</v>
      </c>
      <c r="F36966" s="2">
        <v>1.21087093012826E-3</v>
      </c>
    </row>
    <row r="36967" spans="1:6" x14ac:dyDescent="0.25">
      <c r="A36967" s="1" t="str">
        <f t="shared" si="1339"/>
        <v>47540</v>
      </c>
      <c r="B36967" s="1" t="str">
        <f>"45801"</f>
        <v>45801</v>
      </c>
      <c r="C36967" s="2">
        <v>3.04458848949125E-3</v>
      </c>
      <c r="D36967" s="2">
        <v>4.0106951871657697E-3</v>
      </c>
      <c r="E36967" s="2">
        <v>1.3698630136986301E-2</v>
      </c>
      <c r="F36967" s="2">
        <v>3.31868328998116E-3</v>
      </c>
    </row>
    <row r="36968" spans="1:6" x14ac:dyDescent="0.25">
      <c r="A36968" s="1" t="str">
        <f t="shared" si="1339"/>
        <v>47540</v>
      </c>
      <c r="B36968" s="1" t="str">
        <f>"45822"</f>
        <v>45822</v>
      </c>
      <c r="C36968" s="2">
        <v>4.9106265959536397E-5</v>
      </c>
      <c r="D36968" s="2">
        <v>0</v>
      </c>
      <c r="E36968" s="2">
        <v>0</v>
      </c>
      <c r="F36968" s="2">
        <v>4.4847071486231898E-5</v>
      </c>
    </row>
    <row r="36969" spans="1:6" x14ac:dyDescent="0.25">
      <c r="A36969" s="1" t="str">
        <f t="shared" si="1339"/>
        <v>47540</v>
      </c>
      <c r="B36969" s="1" t="str">
        <f>"45862"</f>
        <v>45862</v>
      </c>
      <c r="C36969" s="2">
        <v>5.4016892555490002E-4</v>
      </c>
      <c r="D36969" s="2">
        <v>0</v>
      </c>
      <c r="E36969" s="2">
        <v>0</v>
      </c>
      <c r="F36969" s="2">
        <v>4.9331778634855101E-4</v>
      </c>
    </row>
    <row r="36970" spans="1:6" x14ac:dyDescent="0.25">
      <c r="A36970" s="1" t="str">
        <f t="shared" ref="A36970:A36984" si="1340">"47580"</f>
        <v>47580</v>
      </c>
      <c r="B36970" s="1" t="str">
        <f>"31036"</f>
        <v>31036</v>
      </c>
      <c r="C36970" s="2">
        <v>8.6915081922570598E-3</v>
      </c>
      <c r="D36970" s="2">
        <v>1.10803324099722E-3</v>
      </c>
      <c r="E36970" s="2">
        <v>2.0887728459529999E-3</v>
      </c>
      <c r="F36970" s="2">
        <v>7.99860178683417E-3</v>
      </c>
    </row>
    <row r="36971" spans="1:6" x14ac:dyDescent="0.25">
      <c r="A36971" s="1" t="str">
        <f t="shared" si="1340"/>
        <v>47580</v>
      </c>
      <c r="B36971" s="1" t="str">
        <f>"31098"</f>
        <v>31098</v>
      </c>
      <c r="C36971" s="2">
        <v>1.6463940452956901E-2</v>
      </c>
      <c r="D36971" s="2">
        <v>3.4626038781163399E-3</v>
      </c>
      <c r="E36971" s="2">
        <v>7.6762402088772802E-2</v>
      </c>
      <c r="F36971" s="2">
        <v>1.66860291774188E-2</v>
      </c>
    </row>
    <row r="36972" spans="1:6" x14ac:dyDescent="0.25">
      <c r="A36972" s="1" t="str">
        <f t="shared" si="1340"/>
        <v>47580</v>
      </c>
      <c r="B36972" s="1" t="str">
        <f>"31025"</f>
        <v>31025</v>
      </c>
      <c r="C36972" s="2">
        <v>8.38514954840466E-3</v>
      </c>
      <c r="D36972" s="2">
        <v>2.9085872576177199E-3</v>
      </c>
      <c r="E36972" s="2">
        <v>1.0443864229765E-3</v>
      </c>
      <c r="F36972" s="2">
        <v>7.8341061202668906E-3</v>
      </c>
    </row>
    <row r="36973" spans="1:6" x14ac:dyDescent="0.25">
      <c r="A36973" s="1" t="str">
        <f t="shared" si="1340"/>
        <v>47580</v>
      </c>
      <c r="B36973" s="1" t="str">
        <f>"31091"</f>
        <v>31091</v>
      </c>
      <c r="C36973" s="2">
        <v>2.7231879453546901E-4</v>
      </c>
      <c r="D36973" s="2">
        <v>0</v>
      </c>
      <c r="E36973" s="2">
        <v>0</v>
      </c>
      <c r="F36973" s="2">
        <v>2.4674349985092498E-4</v>
      </c>
    </row>
    <row r="36974" spans="1:6" x14ac:dyDescent="0.25">
      <c r="A36974" s="1" t="str">
        <f t="shared" si="1340"/>
        <v>47580</v>
      </c>
      <c r="B36974" s="1" t="str">
        <f>"31008"</f>
        <v>31008</v>
      </c>
      <c r="C36974" s="2">
        <v>9.2247991648890304E-2</v>
      </c>
      <c r="D36974" s="2">
        <v>8.2132963988919602E-2</v>
      </c>
      <c r="E36974" s="2">
        <v>4.8041775456918998E-2</v>
      </c>
      <c r="F36974" s="2">
        <v>9.0626831299412902E-2</v>
      </c>
    </row>
    <row r="36975" spans="1:6" x14ac:dyDescent="0.25">
      <c r="A36975" s="1" t="str">
        <f t="shared" si="1340"/>
        <v>47580</v>
      </c>
      <c r="B36975" s="1" t="str">
        <f>"31076"</f>
        <v>31076</v>
      </c>
      <c r="C36975" s="2">
        <v>1.1346616438977799E-5</v>
      </c>
      <c r="D36975" s="2">
        <v>0</v>
      </c>
      <c r="E36975" s="2">
        <v>0</v>
      </c>
      <c r="F36975" s="2">
        <v>1.0280979160455201E-5</v>
      </c>
    </row>
    <row r="36976" spans="1:6" x14ac:dyDescent="0.25">
      <c r="A36976" s="1" t="str">
        <f t="shared" si="1340"/>
        <v>47580</v>
      </c>
      <c r="B36976" s="1" t="str">
        <f>"31093"</f>
        <v>31093</v>
      </c>
      <c r="C36976" s="2">
        <v>0.15521036626877799</v>
      </c>
      <c r="D36976" s="2">
        <v>0.20817174515235401</v>
      </c>
      <c r="E36976" s="2">
        <v>0.253263707571801</v>
      </c>
      <c r="F36976" s="2">
        <v>0.161072100506852</v>
      </c>
    </row>
    <row r="36977" spans="1:6" x14ac:dyDescent="0.25">
      <c r="A36977" s="1" t="str">
        <f t="shared" si="1340"/>
        <v>47580</v>
      </c>
      <c r="B36977" s="1" t="str">
        <f>"31047"</f>
        <v>31047</v>
      </c>
      <c r="C36977" s="2">
        <v>6.9951890346298701E-2</v>
      </c>
      <c r="D36977" s="2">
        <v>1.4958448753462601E-2</v>
      </c>
      <c r="E36977" s="2">
        <v>2.4543080939947701E-2</v>
      </c>
      <c r="F36977" s="2">
        <v>6.4975788294077103E-2</v>
      </c>
    </row>
    <row r="36978" spans="1:6" x14ac:dyDescent="0.25">
      <c r="A36978" s="1" t="str">
        <f t="shared" si="1340"/>
        <v>47580</v>
      </c>
      <c r="B36978" s="1" t="str">
        <f>"31088"</f>
        <v>31088</v>
      </c>
      <c r="C36978" s="2">
        <v>0.28540144328961098</v>
      </c>
      <c r="D36978" s="2">
        <v>0.28157894736842098</v>
      </c>
      <c r="E36978" s="2">
        <v>0.279373368146214</v>
      </c>
      <c r="F36978" s="2">
        <v>0.28499902330697902</v>
      </c>
    </row>
    <row r="36979" spans="1:6" x14ac:dyDescent="0.25">
      <c r="A36979" s="1" t="str">
        <f t="shared" si="1340"/>
        <v>47580</v>
      </c>
      <c r="B36979" s="1" t="str">
        <f>"31069"</f>
        <v>31069</v>
      </c>
      <c r="C36979" s="2">
        <v>0.13688558071982901</v>
      </c>
      <c r="D36979" s="2">
        <v>0.17202216066481901</v>
      </c>
      <c r="E36979" s="2">
        <v>0.138903394255874</v>
      </c>
      <c r="F36979" s="2">
        <v>0.13953344916569799</v>
      </c>
    </row>
    <row r="36980" spans="1:6" x14ac:dyDescent="0.25">
      <c r="A36980" s="1" t="str">
        <f t="shared" si="1340"/>
        <v>47580</v>
      </c>
      <c r="B36980" s="1" t="str">
        <f>"31013"</f>
        <v>31013</v>
      </c>
      <c r="C36980" s="2">
        <v>0</v>
      </c>
      <c r="D36980" s="2">
        <v>0</v>
      </c>
      <c r="E36980" s="2">
        <v>5.2219321148824999E-4</v>
      </c>
      <c r="F36980" s="2">
        <v>1.0280979160455201E-5</v>
      </c>
    </row>
    <row r="36981" spans="1:6" x14ac:dyDescent="0.25">
      <c r="A36981" s="1" t="str">
        <f t="shared" si="1340"/>
        <v>47580</v>
      </c>
      <c r="B36981" s="1" t="str">
        <f>"31005"</f>
        <v>31005</v>
      </c>
      <c r="C36981" s="2">
        <v>9.5890255525802201E-2</v>
      </c>
      <c r="D36981" s="2">
        <v>4.0858725761772803E-2</v>
      </c>
      <c r="E36981" s="2">
        <v>2.1409921671018201E-2</v>
      </c>
      <c r="F36981" s="2">
        <v>9.0338963882920204E-2</v>
      </c>
    </row>
    <row r="36982" spans="1:6" x14ac:dyDescent="0.25">
      <c r="A36982" s="1" t="str">
        <f t="shared" si="1340"/>
        <v>47580</v>
      </c>
      <c r="B36982" s="1" t="str">
        <f>"31095"</f>
        <v>31095</v>
      </c>
      <c r="C36982" s="2">
        <v>2.1252212590205599E-2</v>
      </c>
      <c r="D36982" s="2">
        <v>6.7867036011080295E-2</v>
      </c>
      <c r="E36982" s="2">
        <v>1.0443864229765E-3</v>
      </c>
      <c r="F36982" s="2">
        <v>2.4314515714476601E-2</v>
      </c>
    </row>
    <row r="36983" spans="1:6" x14ac:dyDescent="0.25">
      <c r="A36983" s="1" t="str">
        <f t="shared" si="1340"/>
        <v>47580</v>
      </c>
      <c r="B36983" s="1" t="str">
        <f>"31028"</f>
        <v>31028</v>
      </c>
      <c r="C36983" s="2">
        <v>3.3098080152498502E-2</v>
      </c>
      <c r="D36983" s="2">
        <v>3.2132963988919599E-2</v>
      </c>
      <c r="E36983" s="2">
        <v>2.9242819843342E-2</v>
      </c>
      <c r="F36983" s="2">
        <v>3.2950538209259E-2</v>
      </c>
    </row>
    <row r="36984" spans="1:6" x14ac:dyDescent="0.25">
      <c r="A36984" s="1" t="str">
        <f t="shared" si="1340"/>
        <v>47580</v>
      </c>
      <c r="B36984" s="1" t="str">
        <f>"31030"</f>
        <v>31030</v>
      </c>
      <c r="C36984" s="2">
        <v>7.6237915853492405E-2</v>
      </c>
      <c r="D36984" s="2">
        <v>9.2797783933517994E-2</v>
      </c>
      <c r="E36984" s="2">
        <v>0.123759791122715</v>
      </c>
      <c r="F36984" s="2">
        <v>7.8402747077631604E-2</v>
      </c>
    </row>
    <row r="36985" spans="1:6" x14ac:dyDescent="0.25">
      <c r="A36985" s="1" t="str">
        <f t="shared" ref="A36985:A37007" si="1341">"47620"</f>
        <v>47620</v>
      </c>
      <c r="B36985" s="1" t="str">
        <f>"16407"</f>
        <v>16407</v>
      </c>
      <c r="C36985" s="2">
        <v>2.87468753396369E-2</v>
      </c>
      <c r="D36985" s="2">
        <v>1.12612612612612E-2</v>
      </c>
      <c r="E36985" s="2">
        <v>0</v>
      </c>
      <c r="F36985" s="2">
        <v>2.6470731351272401E-2</v>
      </c>
    </row>
    <row r="36986" spans="1:6" x14ac:dyDescent="0.25">
      <c r="A36986" s="1" t="str">
        <f t="shared" si="1341"/>
        <v>47620</v>
      </c>
      <c r="B36986" s="1" t="str">
        <f>"16368"</f>
        <v>16368</v>
      </c>
      <c r="C36986" s="2">
        <v>0</v>
      </c>
      <c r="D36986" s="2">
        <v>7.5075075075074999E-4</v>
      </c>
      <c r="E36986" s="2">
        <v>0</v>
      </c>
      <c r="F36986" s="2">
        <v>4.8659432631015501E-5</v>
      </c>
    </row>
    <row r="36987" spans="1:6" x14ac:dyDescent="0.25">
      <c r="A36987" s="1" t="str">
        <f t="shared" si="1341"/>
        <v>47620</v>
      </c>
      <c r="B36987" s="1" t="str">
        <f>"16436"</f>
        <v>16436</v>
      </c>
      <c r="C36987" s="2">
        <v>1.7172046516682901E-2</v>
      </c>
      <c r="D36987" s="2">
        <v>6.0060060060059999E-3</v>
      </c>
      <c r="E36987" s="2">
        <v>1.2239902080783301E-3</v>
      </c>
      <c r="F36987" s="2">
        <v>1.5814315605079999E-2</v>
      </c>
    </row>
    <row r="36988" spans="1:6" x14ac:dyDescent="0.25">
      <c r="A36988" s="1" t="str">
        <f t="shared" si="1341"/>
        <v>47620</v>
      </c>
      <c r="B36988" s="1" t="str">
        <f>"16345"</f>
        <v>16345</v>
      </c>
      <c r="C36988" s="2">
        <v>8.7327464406042804E-2</v>
      </c>
      <c r="D36988" s="2">
        <v>3.5285285285285198E-2</v>
      </c>
      <c r="E36988" s="2">
        <v>6.1199510403916703E-3</v>
      </c>
      <c r="F36988" s="2">
        <v>8.0725998734854698E-2</v>
      </c>
    </row>
    <row r="36989" spans="1:6" x14ac:dyDescent="0.25">
      <c r="A36989" s="1" t="str">
        <f t="shared" si="1341"/>
        <v>47620</v>
      </c>
      <c r="B36989" s="1" t="str">
        <f>"16313"</f>
        <v>16313</v>
      </c>
      <c r="C36989" s="2">
        <v>4.3745245082056197E-2</v>
      </c>
      <c r="D36989" s="2">
        <v>1.87687687687687E-2</v>
      </c>
      <c r="E36989" s="2">
        <v>3.3047735618114998E-2</v>
      </c>
      <c r="F36989" s="2">
        <v>4.1701133764780303E-2</v>
      </c>
    </row>
    <row r="36990" spans="1:6" x14ac:dyDescent="0.25">
      <c r="A36990" s="1" t="str">
        <f t="shared" si="1341"/>
        <v>47620</v>
      </c>
      <c r="B36990" s="1" t="str">
        <f>"16350"</f>
        <v>16350</v>
      </c>
      <c r="C36990" s="2">
        <v>5.7059015324421203E-2</v>
      </c>
      <c r="D36990" s="2">
        <v>9.7597597597597497E-3</v>
      </c>
      <c r="E36990" s="2">
        <v>6.1199510403916703E-3</v>
      </c>
      <c r="F36990" s="2">
        <v>5.1968274049924497E-2</v>
      </c>
    </row>
    <row r="36991" spans="1:6" x14ac:dyDescent="0.25">
      <c r="A36991" s="1" t="str">
        <f t="shared" si="1341"/>
        <v>47620</v>
      </c>
      <c r="B36991" s="1" t="str">
        <f>"16420"</f>
        <v>16420</v>
      </c>
      <c r="C36991" s="2">
        <v>1.82588849038148E-2</v>
      </c>
      <c r="D36991" s="2">
        <v>6.7567567567567502E-3</v>
      </c>
      <c r="E36991" s="2">
        <v>1.2239902080783301E-3</v>
      </c>
      <c r="F36991" s="2">
        <v>1.68361636903313E-2</v>
      </c>
    </row>
    <row r="36992" spans="1:6" x14ac:dyDescent="0.25">
      <c r="A36992" s="1" t="str">
        <f t="shared" si="1341"/>
        <v>47620</v>
      </c>
      <c r="B36992" s="1" t="str">
        <f>"16347"</f>
        <v>16347</v>
      </c>
      <c r="C36992" s="2">
        <v>1.73350722747527E-2</v>
      </c>
      <c r="D36992" s="2">
        <v>1.12612612612612E-2</v>
      </c>
      <c r="E36992" s="2">
        <v>1.8359853121174999E-2</v>
      </c>
      <c r="F36992" s="2">
        <v>1.6982141988224401E-2</v>
      </c>
    </row>
    <row r="36993" spans="1:6" x14ac:dyDescent="0.25">
      <c r="A36993" s="1" t="str">
        <f t="shared" si="1341"/>
        <v>47620</v>
      </c>
      <c r="B36993" s="1" t="str">
        <f>"16371"</f>
        <v>16371</v>
      </c>
      <c r="C36993" s="2">
        <v>8.5262471470492304E-2</v>
      </c>
      <c r="D36993" s="2">
        <v>8.1831831831831806E-2</v>
      </c>
      <c r="E36993" s="2">
        <v>4.8959608323133397E-2</v>
      </c>
      <c r="F36993" s="2">
        <v>8.3596905260084606E-2</v>
      </c>
    </row>
    <row r="36994" spans="1:6" x14ac:dyDescent="0.25">
      <c r="A36994" s="1" t="str">
        <f t="shared" si="1341"/>
        <v>47620</v>
      </c>
      <c r="B36994" s="1" t="str">
        <f>"16369"</f>
        <v>16369</v>
      </c>
      <c r="C36994" s="2">
        <v>0</v>
      </c>
      <c r="D36994" s="2">
        <v>0</v>
      </c>
      <c r="E36994" s="2">
        <v>1.2239902080783301E-3</v>
      </c>
      <c r="F36994" s="2">
        <v>4.8659432631015501E-5</v>
      </c>
    </row>
    <row r="36995" spans="1:6" x14ac:dyDescent="0.25">
      <c r="A36995" s="1" t="str">
        <f t="shared" si="1341"/>
        <v>47620</v>
      </c>
      <c r="B36995" s="1" t="str">
        <f>"16405"</f>
        <v>16405</v>
      </c>
      <c r="C36995" s="2">
        <v>1.28790348875122E-2</v>
      </c>
      <c r="D36995" s="2">
        <v>3.0030030030029999E-3</v>
      </c>
      <c r="E36995" s="2">
        <v>3.6719706242350002E-3</v>
      </c>
      <c r="F36995" s="2">
        <v>1.18729015619677E-2</v>
      </c>
    </row>
    <row r="36996" spans="1:6" x14ac:dyDescent="0.25">
      <c r="A36996" s="1" t="str">
        <f t="shared" si="1341"/>
        <v>47620</v>
      </c>
      <c r="B36996" s="1" t="str">
        <f>"16352"</f>
        <v>16352</v>
      </c>
      <c r="C36996" s="2">
        <v>5.4341919356591602E-5</v>
      </c>
      <c r="D36996" s="2">
        <v>0</v>
      </c>
      <c r="E36996" s="2">
        <v>1.2239902080783301E-3</v>
      </c>
      <c r="F36996" s="2">
        <v>9.7318865262031003E-5</v>
      </c>
    </row>
    <row r="36997" spans="1:6" x14ac:dyDescent="0.25">
      <c r="A36997" s="1" t="str">
        <f t="shared" si="1341"/>
        <v>47620</v>
      </c>
      <c r="B36997" s="1" t="str">
        <f>"16367"</f>
        <v>16367</v>
      </c>
      <c r="C36997" s="2">
        <v>0</v>
      </c>
      <c r="D36997" s="2">
        <v>0</v>
      </c>
      <c r="E36997" s="2">
        <v>1.2239902080783301E-3</v>
      </c>
      <c r="F36997" s="2">
        <v>4.8659432631015501E-5</v>
      </c>
    </row>
    <row r="36998" spans="1:6" x14ac:dyDescent="0.25">
      <c r="A36998" s="1" t="str">
        <f t="shared" si="1341"/>
        <v>47620</v>
      </c>
      <c r="B36998" s="1" t="str">
        <f>"16351"</f>
        <v>16351</v>
      </c>
      <c r="C36998" s="2">
        <v>5.41245516791653E-2</v>
      </c>
      <c r="D36998" s="2">
        <v>4.8048048048047999E-2</v>
      </c>
      <c r="E36998" s="2">
        <v>4.0391676866585E-2</v>
      </c>
      <c r="F36998" s="2">
        <v>5.3184759865699899E-2</v>
      </c>
    </row>
    <row r="36999" spans="1:6" x14ac:dyDescent="0.25">
      <c r="A36999" s="1" t="str">
        <f t="shared" si="1341"/>
        <v>47620</v>
      </c>
      <c r="B36999" s="1" t="str">
        <f>"16416"</f>
        <v>16416</v>
      </c>
      <c r="C36999" s="2">
        <v>0</v>
      </c>
      <c r="D36999" s="2">
        <v>0</v>
      </c>
      <c r="E36999" s="2">
        <v>1.2239902080783301E-3</v>
      </c>
      <c r="F36999" s="2">
        <v>4.8659432631015501E-5</v>
      </c>
    </row>
    <row r="37000" spans="1:6" x14ac:dyDescent="0.25">
      <c r="A37000" s="1" t="str">
        <f t="shared" si="1341"/>
        <v>47620</v>
      </c>
      <c r="B37000" s="1" t="str">
        <f>"16434"</f>
        <v>16434</v>
      </c>
      <c r="C37000" s="2">
        <v>6.8470818389305497E-3</v>
      </c>
      <c r="D37000" s="2">
        <v>7.5075075075074999E-4</v>
      </c>
      <c r="E37000" s="2">
        <v>0</v>
      </c>
      <c r="F37000" s="2">
        <v>6.1797479441389703E-3</v>
      </c>
    </row>
    <row r="37001" spans="1:6" x14ac:dyDescent="0.25">
      <c r="A37001" s="1" t="str">
        <f t="shared" si="1341"/>
        <v>47620</v>
      </c>
      <c r="B37001" s="1" t="str">
        <f>"16329"</f>
        <v>16329</v>
      </c>
      <c r="C37001" s="2">
        <v>9.8358874035430893E-3</v>
      </c>
      <c r="D37001" s="2">
        <v>1.5015015015015E-3</v>
      </c>
      <c r="E37001" s="2">
        <v>1.2239902080783301E-3</v>
      </c>
      <c r="F37001" s="2">
        <v>8.9533356041068494E-3</v>
      </c>
    </row>
    <row r="37002" spans="1:6" x14ac:dyDescent="0.25">
      <c r="A37002" s="1" t="str">
        <f t="shared" si="1341"/>
        <v>47620</v>
      </c>
      <c r="B37002" s="1" t="str">
        <f>"16340"</f>
        <v>16340</v>
      </c>
      <c r="C37002" s="2">
        <v>4.4288664275622197E-2</v>
      </c>
      <c r="D37002" s="2">
        <v>1.35135135135135E-2</v>
      </c>
      <c r="E37002" s="2">
        <v>1.2239902080783301E-3</v>
      </c>
      <c r="F37002" s="2">
        <v>4.0581966814266901E-2</v>
      </c>
    </row>
    <row r="37003" spans="1:6" x14ac:dyDescent="0.25">
      <c r="A37003" s="1" t="str">
        <f t="shared" si="1341"/>
        <v>47620</v>
      </c>
      <c r="B37003" s="1" t="str">
        <f>"16365"</f>
        <v>16365</v>
      </c>
      <c r="C37003" s="2">
        <v>0.49184871209651099</v>
      </c>
      <c r="D37003" s="2">
        <v>0.739489489489489</v>
      </c>
      <c r="E37003" s="2">
        <v>0.83108935128518902</v>
      </c>
      <c r="F37003" s="2">
        <v>0.52138582064133099</v>
      </c>
    </row>
    <row r="37004" spans="1:6" x14ac:dyDescent="0.25">
      <c r="A37004" s="1" t="str">
        <f t="shared" si="1341"/>
        <v>47620</v>
      </c>
      <c r="B37004" s="1" t="str">
        <f>"16354"</f>
        <v>16354</v>
      </c>
      <c r="C37004" s="2">
        <v>6.3036626453646296E-3</v>
      </c>
      <c r="D37004" s="2">
        <v>7.5075075075074999E-4</v>
      </c>
      <c r="E37004" s="2">
        <v>0</v>
      </c>
      <c r="F37004" s="2">
        <v>5.6931536178288101E-3</v>
      </c>
    </row>
    <row r="37005" spans="1:6" x14ac:dyDescent="0.25">
      <c r="A37005" s="1" t="str">
        <f t="shared" si="1341"/>
        <v>47620</v>
      </c>
      <c r="B37005" s="1" t="str">
        <f>"16366"</f>
        <v>16366</v>
      </c>
      <c r="C37005" s="2">
        <v>0</v>
      </c>
      <c r="D37005" s="2">
        <v>1.5015015015015E-3</v>
      </c>
      <c r="E37005" s="2">
        <v>0</v>
      </c>
      <c r="F37005" s="2">
        <v>9.7318865262031003E-5</v>
      </c>
    </row>
    <row r="37006" spans="1:6" x14ac:dyDescent="0.25">
      <c r="A37006" s="1" t="str">
        <f t="shared" si="1341"/>
        <v>47620</v>
      </c>
      <c r="B37006" s="1" t="str">
        <f>"16312"</f>
        <v>16312</v>
      </c>
      <c r="C37006" s="2">
        <v>0</v>
      </c>
      <c r="D37006" s="2">
        <v>0</v>
      </c>
      <c r="E37006" s="2">
        <v>1.2239902080783301E-3</v>
      </c>
      <c r="F37006" s="2">
        <v>4.8659432631015501E-5</v>
      </c>
    </row>
    <row r="37007" spans="1:6" x14ac:dyDescent="0.25">
      <c r="A37007" s="1" t="str">
        <f t="shared" si="1341"/>
        <v>47620</v>
      </c>
      <c r="B37007" s="1" t="str">
        <f>"16402"</f>
        <v>16402</v>
      </c>
      <c r="C37007" s="2">
        <v>1.8910987936093901E-2</v>
      </c>
      <c r="D37007" s="2">
        <v>9.7597597597597497E-3</v>
      </c>
      <c r="E37007" s="2">
        <v>1.2239902080783301E-3</v>
      </c>
      <c r="F37007" s="2">
        <v>1.7614714612427598E-2</v>
      </c>
    </row>
    <row r="37008" spans="1:6" x14ac:dyDescent="0.25">
      <c r="A37008" s="1" t="str">
        <f t="shared" ref="A37008:A37028" si="1342">"47660"</f>
        <v>47660</v>
      </c>
      <c r="B37008" s="1" t="str">
        <f>"64733"</f>
        <v>64733</v>
      </c>
      <c r="C37008" s="2">
        <v>1.58305623825357E-2</v>
      </c>
      <c r="D37008" s="2">
        <v>6.9667738478027801E-3</v>
      </c>
      <c r="E37008" s="2">
        <v>2.76497695852534E-3</v>
      </c>
      <c r="F37008" s="2">
        <v>1.4827394754890699E-2</v>
      </c>
    </row>
    <row r="37009" spans="1:6" x14ac:dyDescent="0.25">
      <c r="A37009" s="1" t="str">
        <f t="shared" si="1342"/>
        <v>47660</v>
      </c>
      <c r="B37009" s="1" t="str">
        <f>"65336"</f>
        <v>65336</v>
      </c>
      <c r="C37009" s="2">
        <v>0.10994650860199499</v>
      </c>
      <c r="D37009" s="2">
        <v>9.4319399785637706E-2</v>
      </c>
      <c r="E37009" s="2">
        <v>0.183410138248847</v>
      </c>
      <c r="F37009" s="2">
        <v>0.111597374179431</v>
      </c>
    </row>
    <row r="37010" spans="1:6" x14ac:dyDescent="0.25">
      <c r="A37010" s="1" t="str">
        <f t="shared" si="1342"/>
        <v>47660</v>
      </c>
      <c r="B37010" s="1" t="str">
        <f>"64011"</f>
        <v>64011</v>
      </c>
      <c r="C37010" s="2">
        <v>1.1168136475350501E-2</v>
      </c>
      <c r="D37010" s="2">
        <v>1.60771704180064E-3</v>
      </c>
      <c r="E37010" s="2">
        <v>0</v>
      </c>
      <c r="F37010" s="2">
        <v>1.01897514615108E-2</v>
      </c>
    </row>
    <row r="37011" spans="1:6" x14ac:dyDescent="0.25">
      <c r="A37011" s="1" t="str">
        <f t="shared" si="1342"/>
        <v>47660</v>
      </c>
      <c r="B37011" s="1" t="str">
        <f>"64037"</f>
        <v>64037</v>
      </c>
      <c r="C37011" s="2">
        <v>5.0599971085730805E-4</v>
      </c>
      <c r="D37011" s="2">
        <v>0</v>
      </c>
      <c r="E37011" s="2">
        <v>0</v>
      </c>
      <c r="F37011" s="2">
        <v>4.5723243737548502E-4</v>
      </c>
    </row>
    <row r="37012" spans="1:6" x14ac:dyDescent="0.25">
      <c r="A37012" s="1" t="str">
        <f t="shared" si="1342"/>
        <v>47660</v>
      </c>
      <c r="B37012" s="1" t="str">
        <f>"64747"</f>
        <v>64747</v>
      </c>
      <c r="C37012" s="2">
        <v>4.5901402342055798E-3</v>
      </c>
      <c r="D37012" s="2">
        <v>1.07181136120042E-3</v>
      </c>
      <c r="E37012" s="2">
        <v>9.2165898617511499E-4</v>
      </c>
      <c r="F37012" s="2">
        <v>4.2457297756295096E-3</v>
      </c>
    </row>
    <row r="37013" spans="1:6" x14ac:dyDescent="0.25">
      <c r="A37013" s="1" t="str">
        <f t="shared" si="1342"/>
        <v>47660</v>
      </c>
      <c r="B37013" s="1" t="str">
        <f>"64761"</f>
        <v>64761</v>
      </c>
      <c r="C37013" s="2">
        <v>2.4324128957640499E-2</v>
      </c>
      <c r="D37013" s="2">
        <v>6.4308681672025697E-3</v>
      </c>
      <c r="E37013" s="2">
        <v>6.4516129032258004E-3</v>
      </c>
      <c r="F37013" s="2">
        <v>2.2600346190273998E-2</v>
      </c>
    </row>
    <row r="37014" spans="1:6" x14ac:dyDescent="0.25">
      <c r="A37014" s="1" t="str">
        <f t="shared" si="1342"/>
        <v>47660</v>
      </c>
      <c r="B37014" s="1" t="str">
        <f>"64071"</f>
        <v>64071</v>
      </c>
      <c r="C37014" s="2">
        <v>1.08428509469423E-4</v>
      </c>
      <c r="D37014" s="2">
        <v>5.3590568060021403E-4</v>
      </c>
      <c r="E37014" s="2">
        <v>0</v>
      </c>
      <c r="F37014" s="2">
        <v>1.3063783925013799E-4</v>
      </c>
    </row>
    <row r="37015" spans="1:6" x14ac:dyDescent="0.25">
      <c r="A37015" s="1" t="str">
        <f t="shared" si="1342"/>
        <v>47660</v>
      </c>
      <c r="B37015" s="1" t="str">
        <f>"65305"</f>
        <v>65305</v>
      </c>
      <c r="C37015" s="2">
        <v>3.2456267167847302E-2</v>
      </c>
      <c r="D37015" s="2">
        <v>7.1275455519828501E-2</v>
      </c>
      <c r="E37015" s="2">
        <v>1.2903225806451601E-2</v>
      </c>
      <c r="F37015" s="2">
        <v>3.4129135504098698E-2</v>
      </c>
    </row>
    <row r="37016" spans="1:6" x14ac:dyDescent="0.25">
      <c r="A37016" s="1" t="str">
        <f t="shared" si="1342"/>
        <v>47660</v>
      </c>
      <c r="B37016" s="1" t="str">
        <f>"64076"</f>
        <v>64076</v>
      </c>
      <c r="C37016" s="2">
        <v>6.6502819141246198E-3</v>
      </c>
      <c r="D37016" s="2">
        <v>1.07181136120042E-3</v>
      </c>
      <c r="E37016" s="2">
        <v>1.84331797235023E-3</v>
      </c>
      <c r="F37016" s="2">
        <v>6.1399784447565197E-3</v>
      </c>
    </row>
    <row r="37017" spans="1:6" x14ac:dyDescent="0.25">
      <c r="A37017" s="1" t="str">
        <f t="shared" si="1342"/>
        <v>47660</v>
      </c>
      <c r="B37017" s="1" t="str">
        <f>"65337"</f>
        <v>65337</v>
      </c>
      <c r="C37017" s="2">
        <v>4.3371403787769201E-4</v>
      </c>
      <c r="D37017" s="2">
        <v>0</v>
      </c>
      <c r="E37017" s="2">
        <v>0</v>
      </c>
      <c r="F37017" s="2">
        <v>3.9191351775041603E-4</v>
      </c>
    </row>
    <row r="37018" spans="1:6" x14ac:dyDescent="0.25">
      <c r="A37018" s="1" t="str">
        <f t="shared" si="1342"/>
        <v>47660</v>
      </c>
      <c r="B37018" s="1" t="str">
        <f>"64061"</f>
        <v>64061</v>
      </c>
      <c r="C37018" s="2">
        <v>5.8551395113488502E-2</v>
      </c>
      <c r="D37018" s="2">
        <v>1.9828510182207899E-2</v>
      </c>
      <c r="E37018" s="2">
        <v>5.5299539170506904E-3</v>
      </c>
      <c r="F37018" s="2">
        <v>5.4312681668245197E-2</v>
      </c>
    </row>
    <row r="37019" spans="1:6" x14ac:dyDescent="0.25">
      <c r="A37019" s="1" t="str">
        <f t="shared" si="1342"/>
        <v>47660</v>
      </c>
      <c r="B37019" s="1" t="str">
        <f>"64093"</f>
        <v>64093</v>
      </c>
      <c r="C37019" s="2">
        <v>0.56581610524793902</v>
      </c>
      <c r="D37019" s="2">
        <v>0.65380493033226095</v>
      </c>
      <c r="E37019" s="2">
        <v>0.73271889400921597</v>
      </c>
      <c r="F37019" s="2">
        <v>0.57709265488748795</v>
      </c>
    </row>
    <row r="37020" spans="1:6" x14ac:dyDescent="0.25">
      <c r="A37020" s="1" t="str">
        <f t="shared" si="1342"/>
        <v>47660</v>
      </c>
      <c r="B37020" s="1" t="str">
        <f>"65332"</f>
        <v>65332</v>
      </c>
      <c r="C37020" s="2">
        <v>3.6142836489807699E-4</v>
      </c>
      <c r="D37020" s="2">
        <v>0</v>
      </c>
      <c r="E37020" s="2">
        <v>0</v>
      </c>
      <c r="F37020" s="2">
        <v>3.2659459812534698E-4</v>
      </c>
    </row>
    <row r="37021" spans="1:6" x14ac:dyDescent="0.25">
      <c r="A37021" s="1" t="str">
        <f t="shared" si="1342"/>
        <v>47660</v>
      </c>
      <c r="B37021" s="1" t="str">
        <f>"64070"</f>
        <v>64070</v>
      </c>
      <c r="C37021" s="2">
        <v>3.79499783142981E-3</v>
      </c>
      <c r="D37021" s="2">
        <v>4.2872454448017096E-3</v>
      </c>
      <c r="E37021" s="2">
        <v>0</v>
      </c>
      <c r="F37021" s="2">
        <v>3.6905189588164202E-3</v>
      </c>
    </row>
    <row r="37022" spans="1:6" x14ac:dyDescent="0.25">
      <c r="A37022" s="1" t="str">
        <f t="shared" si="1342"/>
        <v>47660</v>
      </c>
      <c r="B37022" s="1" t="str">
        <f>"64726"</f>
        <v>64726</v>
      </c>
      <c r="C37022" s="2">
        <v>3.9757120138788401E-4</v>
      </c>
      <c r="D37022" s="2">
        <v>0</v>
      </c>
      <c r="E37022" s="2">
        <v>0</v>
      </c>
      <c r="F37022" s="2">
        <v>3.5925405793788099E-4</v>
      </c>
    </row>
    <row r="37023" spans="1:6" x14ac:dyDescent="0.25">
      <c r="A37023" s="1" t="str">
        <f t="shared" si="1342"/>
        <v>47660</v>
      </c>
      <c r="B37023" s="1" t="str">
        <f>"65351"</f>
        <v>65351</v>
      </c>
      <c r="C37023" s="2">
        <v>3.6142836489807699E-4</v>
      </c>
      <c r="D37023" s="2">
        <v>0</v>
      </c>
      <c r="E37023" s="2">
        <v>0</v>
      </c>
      <c r="F37023" s="2">
        <v>3.2659459812534698E-4</v>
      </c>
    </row>
    <row r="37024" spans="1:6" x14ac:dyDescent="0.25">
      <c r="A37024" s="1" t="str">
        <f t="shared" si="1342"/>
        <v>47660</v>
      </c>
      <c r="B37024" s="1" t="str">
        <f>"65360"</f>
        <v>65360</v>
      </c>
      <c r="C37024" s="2">
        <v>5.2768541275119204E-3</v>
      </c>
      <c r="D37024" s="2">
        <v>1.07181136120042E-3</v>
      </c>
      <c r="E37024" s="2">
        <v>0</v>
      </c>
      <c r="F37024" s="2">
        <v>4.8336000522551303E-3</v>
      </c>
    </row>
    <row r="37025" spans="1:6" x14ac:dyDescent="0.25">
      <c r="A37025" s="1" t="str">
        <f t="shared" si="1342"/>
        <v>47660</v>
      </c>
      <c r="B37025" s="1" t="str">
        <f>"64040"</f>
        <v>64040</v>
      </c>
      <c r="C37025" s="2">
        <v>0.115548648257915</v>
      </c>
      <c r="D37025" s="2">
        <v>0.114147909967845</v>
      </c>
      <c r="E37025" s="2">
        <v>4.1474654377880102E-2</v>
      </c>
      <c r="F37025" s="2">
        <v>0.112838433652307</v>
      </c>
    </row>
    <row r="37026" spans="1:6" x14ac:dyDescent="0.25">
      <c r="A37026" s="1" t="str">
        <f t="shared" si="1342"/>
        <v>47660</v>
      </c>
      <c r="B37026" s="1" t="str">
        <f>"64019"</f>
        <v>64019</v>
      </c>
      <c r="C37026" s="2">
        <v>3.9359548937400603E-2</v>
      </c>
      <c r="D37026" s="2">
        <v>2.3043944265809201E-2</v>
      </c>
      <c r="E37026" s="2">
        <v>1.19815668202764E-2</v>
      </c>
      <c r="F37026" s="2">
        <v>3.73950814853522E-2</v>
      </c>
    </row>
    <row r="37027" spans="1:6" x14ac:dyDescent="0.25">
      <c r="A37027" s="1" t="str">
        <f t="shared" si="1342"/>
        <v>47660</v>
      </c>
      <c r="B37027" s="1" t="str">
        <f>"64020"</f>
        <v>64020</v>
      </c>
      <c r="C37027" s="2">
        <v>3.9034263408992301E-3</v>
      </c>
      <c r="D37027" s="2">
        <v>5.3590568060021403E-4</v>
      </c>
      <c r="E37027" s="2">
        <v>0</v>
      </c>
      <c r="F37027" s="2">
        <v>3.55988111956628E-3</v>
      </c>
    </row>
    <row r="37028" spans="1:6" x14ac:dyDescent="0.25">
      <c r="A37028" s="1" t="str">
        <f t="shared" si="1342"/>
        <v>47660</v>
      </c>
      <c r="B37028" s="1" t="str">
        <f>"64080"</f>
        <v>64080</v>
      </c>
      <c r="C37028" s="2">
        <v>6.1442822032673101E-4</v>
      </c>
      <c r="D37028" s="2">
        <v>0</v>
      </c>
      <c r="E37028" s="2">
        <v>0</v>
      </c>
      <c r="F37028" s="2">
        <v>5.5521081681308895E-4</v>
      </c>
    </row>
    <row r="37029" spans="1:6" x14ac:dyDescent="0.25">
      <c r="A37029" s="1" t="str">
        <f t="shared" ref="A37029:A37060" si="1343">"47664"</f>
        <v>47664</v>
      </c>
      <c r="B37029" s="1" t="str">
        <f>"48371"</f>
        <v>48371</v>
      </c>
      <c r="C37029" s="2">
        <v>1.3273086698672601E-2</v>
      </c>
      <c r="D37029" s="2">
        <v>0.01</v>
      </c>
      <c r="E37029" s="2">
        <v>0</v>
      </c>
      <c r="F37029" s="2">
        <v>1.25184094256259E-2</v>
      </c>
    </row>
    <row r="37030" spans="1:6" x14ac:dyDescent="0.25">
      <c r="A37030" s="1" t="str">
        <f t="shared" si="1343"/>
        <v>47664</v>
      </c>
      <c r="B37030" s="1" t="str">
        <f>"48464"</f>
        <v>48464</v>
      </c>
      <c r="C37030" s="2">
        <v>5.6481219994351805E-4</v>
      </c>
      <c r="D37030" s="2">
        <v>0</v>
      </c>
      <c r="E37030" s="2">
        <v>0</v>
      </c>
      <c r="F37030" s="2">
        <v>4.9091801669121202E-4</v>
      </c>
    </row>
    <row r="37031" spans="1:6" x14ac:dyDescent="0.25">
      <c r="A37031" s="1" t="str">
        <f t="shared" si="1343"/>
        <v>47664</v>
      </c>
      <c r="B37031" s="1" t="str">
        <f>"48094"</f>
        <v>48094</v>
      </c>
      <c r="C37031" s="2">
        <v>3.1629483196836998E-2</v>
      </c>
      <c r="D37031" s="2">
        <v>0</v>
      </c>
      <c r="E37031" s="2">
        <v>0</v>
      </c>
      <c r="F37031" s="2">
        <v>2.74914089347079E-2</v>
      </c>
    </row>
    <row r="37032" spans="1:6" x14ac:dyDescent="0.25">
      <c r="A37032" s="1" t="str">
        <f t="shared" si="1343"/>
        <v>47664</v>
      </c>
      <c r="B37032" s="1" t="str">
        <f>"48442"</f>
        <v>48442</v>
      </c>
      <c r="C37032" s="2">
        <v>2.76757977972324E-2</v>
      </c>
      <c r="D37032" s="2">
        <v>0</v>
      </c>
      <c r="E37032" s="2">
        <v>0</v>
      </c>
      <c r="F37032" s="2">
        <v>2.40549828178694E-2</v>
      </c>
    </row>
    <row r="37033" spans="1:6" x14ac:dyDescent="0.25">
      <c r="A37033" s="1" t="str">
        <f t="shared" si="1343"/>
        <v>47664</v>
      </c>
      <c r="B37033" s="1" t="str">
        <f>"48049"</f>
        <v>48049</v>
      </c>
      <c r="C37033" s="2">
        <v>0</v>
      </c>
      <c r="D37033" s="2">
        <v>2.5000000000000001E-3</v>
      </c>
      <c r="E37033" s="2">
        <v>0</v>
      </c>
      <c r="F37033" s="2">
        <v>2.4545900834560601E-4</v>
      </c>
    </row>
    <row r="37034" spans="1:6" x14ac:dyDescent="0.25">
      <c r="A37034" s="1" t="str">
        <f t="shared" si="1343"/>
        <v>47664</v>
      </c>
      <c r="B37034" s="1" t="str">
        <f>"48089"</f>
        <v>48089</v>
      </c>
      <c r="C37034" s="2">
        <v>0</v>
      </c>
      <c r="D37034" s="2">
        <v>5.0000000000000001E-3</v>
      </c>
      <c r="E37034" s="2">
        <v>0</v>
      </c>
      <c r="F37034" s="2">
        <v>4.9091801669121202E-4</v>
      </c>
    </row>
    <row r="37035" spans="1:6" x14ac:dyDescent="0.25">
      <c r="A37035" s="1" t="str">
        <f t="shared" si="1343"/>
        <v>47664</v>
      </c>
      <c r="B37035" s="1" t="str">
        <f>"48461"</f>
        <v>48461</v>
      </c>
      <c r="C37035" s="2">
        <v>8.47218299915278E-4</v>
      </c>
      <c r="D37035" s="2">
        <v>2.5000000000000001E-3</v>
      </c>
      <c r="E37035" s="2">
        <v>7.5187969924812E-3</v>
      </c>
      <c r="F37035" s="2">
        <v>1.2272950417280301E-3</v>
      </c>
    </row>
    <row r="37036" spans="1:6" x14ac:dyDescent="0.25">
      <c r="A37036" s="1" t="str">
        <f t="shared" si="1343"/>
        <v>47664</v>
      </c>
      <c r="B37036" s="1" t="str">
        <f>"48002"</f>
        <v>48002</v>
      </c>
      <c r="C37036" s="2">
        <v>2.8240609997175903E-4</v>
      </c>
      <c r="D37036" s="2">
        <v>0</v>
      </c>
      <c r="E37036" s="2">
        <v>0</v>
      </c>
      <c r="F37036" s="2">
        <v>2.4545900834560601E-4</v>
      </c>
    </row>
    <row r="37037" spans="1:6" x14ac:dyDescent="0.25">
      <c r="A37037" s="1" t="str">
        <f t="shared" si="1343"/>
        <v>47664</v>
      </c>
      <c r="B37037" s="1" t="str">
        <f>"48370"</f>
        <v>48370</v>
      </c>
      <c r="C37037" s="2">
        <v>2.8240609997175903E-4</v>
      </c>
      <c r="D37037" s="2">
        <v>0</v>
      </c>
      <c r="E37037" s="2">
        <v>0</v>
      </c>
      <c r="F37037" s="2">
        <v>2.4545900834560601E-4</v>
      </c>
    </row>
    <row r="37038" spans="1:6" x14ac:dyDescent="0.25">
      <c r="A37038" s="1" t="str">
        <f t="shared" si="1343"/>
        <v>47664</v>
      </c>
      <c r="B37038" s="1" t="str">
        <f>"48066"</f>
        <v>48066</v>
      </c>
      <c r="C37038" s="2">
        <v>6.7777463993222197E-3</v>
      </c>
      <c r="D37038" s="2">
        <v>0</v>
      </c>
      <c r="E37038" s="2">
        <v>2.2556390977443601E-2</v>
      </c>
      <c r="F37038" s="2">
        <v>6.62739322533136E-3</v>
      </c>
    </row>
    <row r="37039" spans="1:6" x14ac:dyDescent="0.25">
      <c r="A37039" s="1" t="str">
        <f t="shared" si="1343"/>
        <v>47664</v>
      </c>
      <c r="B37039" s="1" t="str">
        <f>"48323"</f>
        <v>48323</v>
      </c>
      <c r="C37039" s="2">
        <v>1.10138378988986E-2</v>
      </c>
      <c r="D37039" s="2">
        <v>0</v>
      </c>
      <c r="E37039" s="2">
        <v>0</v>
      </c>
      <c r="F37039" s="2">
        <v>9.5729013254786405E-3</v>
      </c>
    </row>
    <row r="37040" spans="1:6" x14ac:dyDescent="0.25">
      <c r="A37040" s="1" t="str">
        <f t="shared" si="1343"/>
        <v>47664</v>
      </c>
      <c r="B37040" s="1" t="str">
        <f>"48375"</f>
        <v>48375</v>
      </c>
      <c r="C37040" s="2">
        <v>2.0615645297938402E-2</v>
      </c>
      <c r="D37040" s="2">
        <v>2.2499999999999999E-2</v>
      </c>
      <c r="E37040" s="2">
        <v>0.360902255639097</v>
      </c>
      <c r="F37040" s="2">
        <v>3.1909671084928801E-2</v>
      </c>
    </row>
    <row r="37041" spans="1:6" x14ac:dyDescent="0.25">
      <c r="A37041" s="1" t="str">
        <f t="shared" si="1343"/>
        <v>47664</v>
      </c>
      <c r="B37041" s="1" t="str">
        <f>"48083"</f>
        <v>48083</v>
      </c>
      <c r="C37041" s="2">
        <v>1.5814741598418499E-2</v>
      </c>
      <c r="D37041" s="2">
        <v>2.5000000000000001E-2</v>
      </c>
      <c r="E37041" s="2">
        <v>2.2556390977443601E-2</v>
      </c>
      <c r="F37041" s="2">
        <v>1.6936671575846801E-2</v>
      </c>
    </row>
    <row r="37042" spans="1:6" x14ac:dyDescent="0.25">
      <c r="A37042" s="1" t="str">
        <f t="shared" si="1343"/>
        <v>47664</v>
      </c>
      <c r="B37042" s="1" t="str">
        <f>"48039"</f>
        <v>48039</v>
      </c>
      <c r="C37042" s="2">
        <v>0</v>
      </c>
      <c r="D37042" s="2">
        <v>1.4999999999999999E-2</v>
      </c>
      <c r="E37042" s="2">
        <v>7.5187969924812E-3</v>
      </c>
      <c r="F37042" s="2">
        <v>1.7182130584192401E-3</v>
      </c>
    </row>
    <row r="37043" spans="1:6" x14ac:dyDescent="0.25">
      <c r="A37043" s="1" t="str">
        <f t="shared" si="1343"/>
        <v>47664</v>
      </c>
      <c r="B37043" s="1" t="str">
        <f>"48067"</f>
        <v>48067</v>
      </c>
      <c r="C37043" s="2">
        <v>1.3273086698672601E-2</v>
      </c>
      <c r="D37043" s="2">
        <v>0.13250000000000001</v>
      </c>
      <c r="E37043" s="2">
        <v>6.7669172932330796E-2</v>
      </c>
      <c r="F37043" s="2">
        <v>2.6755031909671E-2</v>
      </c>
    </row>
    <row r="37044" spans="1:6" x14ac:dyDescent="0.25">
      <c r="A37044" s="1" t="str">
        <f t="shared" si="1343"/>
        <v>47664</v>
      </c>
      <c r="B37044" s="1" t="str">
        <f>"48114"</f>
        <v>48114</v>
      </c>
      <c r="C37044" s="2">
        <v>2.8240609997175902E-3</v>
      </c>
      <c r="D37044" s="2">
        <v>2.5000000000000001E-3</v>
      </c>
      <c r="E37044" s="2">
        <v>7.5187969924812E-3</v>
      </c>
      <c r="F37044" s="2">
        <v>2.9455081001472701E-3</v>
      </c>
    </row>
    <row r="37045" spans="1:6" x14ac:dyDescent="0.25">
      <c r="A37045" s="1" t="str">
        <f t="shared" si="1343"/>
        <v>47664</v>
      </c>
      <c r="B37045" s="1" t="str">
        <f>"48062"</f>
        <v>48062</v>
      </c>
      <c r="C37045" s="2">
        <v>2.8240609997175903E-4</v>
      </c>
      <c r="D37045" s="2">
        <v>0</v>
      </c>
      <c r="E37045" s="2">
        <v>0</v>
      </c>
      <c r="F37045" s="2">
        <v>2.4545900834560601E-4</v>
      </c>
    </row>
    <row r="37046" spans="1:6" x14ac:dyDescent="0.25">
      <c r="A37046" s="1" t="str">
        <f t="shared" si="1343"/>
        <v>47664</v>
      </c>
      <c r="B37046" s="1" t="str">
        <f>"48033"</f>
        <v>48033</v>
      </c>
      <c r="C37046" s="2">
        <v>0</v>
      </c>
      <c r="D37046" s="2">
        <v>7.4999999999999997E-3</v>
      </c>
      <c r="E37046" s="2">
        <v>0</v>
      </c>
      <c r="F37046" s="2">
        <v>7.3637702503681797E-4</v>
      </c>
    </row>
    <row r="37047" spans="1:6" x14ac:dyDescent="0.25">
      <c r="A37047" s="1" t="str">
        <f t="shared" si="1343"/>
        <v>47664</v>
      </c>
      <c r="B37047" s="1" t="str">
        <f>"48047"</f>
        <v>48047</v>
      </c>
      <c r="C37047" s="2">
        <v>3.30415136966958E-2</v>
      </c>
      <c r="D37047" s="2">
        <v>2.5000000000000001E-3</v>
      </c>
      <c r="E37047" s="2">
        <v>7.5187969924812E-3</v>
      </c>
      <c r="F37047" s="2">
        <v>2.92096219931271E-2</v>
      </c>
    </row>
    <row r="37048" spans="1:6" x14ac:dyDescent="0.25">
      <c r="A37048" s="1" t="str">
        <f t="shared" si="1343"/>
        <v>47664</v>
      </c>
      <c r="B37048" s="1" t="str">
        <f>"48009"</f>
        <v>48009</v>
      </c>
      <c r="C37048" s="2">
        <v>1.66619598983338E-2</v>
      </c>
      <c r="D37048" s="2">
        <v>7.4999999999999997E-3</v>
      </c>
      <c r="E37048" s="2">
        <v>3.00751879699248E-2</v>
      </c>
      <c r="F37048" s="2">
        <v>1.6200294550809999E-2</v>
      </c>
    </row>
    <row r="37049" spans="1:6" x14ac:dyDescent="0.25">
      <c r="A37049" s="1" t="str">
        <f t="shared" si="1343"/>
        <v>47664</v>
      </c>
      <c r="B37049" s="1" t="str">
        <f>"48051"</f>
        <v>48051</v>
      </c>
      <c r="C37049" s="2">
        <v>4.1513696695848597E-2</v>
      </c>
      <c r="D37049" s="2">
        <v>2.5000000000000001E-3</v>
      </c>
      <c r="E37049" s="2">
        <v>7.5187969924812E-3</v>
      </c>
      <c r="F37049" s="2">
        <v>3.6573392243495297E-2</v>
      </c>
    </row>
    <row r="37050" spans="1:6" x14ac:dyDescent="0.25">
      <c r="A37050" s="1" t="str">
        <f t="shared" si="1343"/>
        <v>47664</v>
      </c>
      <c r="B37050" s="1" t="str">
        <f>"48023"</f>
        <v>48023</v>
      </c>
      <c r="C37050" s="2">
        <v>2.8240609997175902E-3</v>
      </c>
      <c r="D37050" s="2">
        <v>2.5000000000000001E-3</v>
      </c>
      <c r="E37050" s="2">
        <v>0</v>
      </c>
      <c r="F37050" s="2">
        <v>2.70004909180166E-3</v>
      </c>
    </row>
    <row r="37051" spans="1:6" x14ac:dyDescent="0.25">
      <c r="A37051" s="1" t="str">
        <f t="shared" si="1343"/>
        <v>47664</v>
      </c>
      <c r="B37051" s="1" t="str">
        <f>"48317"</f>
        <v>48317</v>
      </c>
      <c r="C37051" s="2">
        <v>2.25924879977407E-3</v>
      </c>
      <c r="D37051" s="2">
        <v>0</v>
      </c>
      <c r="E37051" s="2">
        <v>0</v>
      </c>
      <c r="F37051" s="2">
        <v>1.9636720667648498E-3</v>
      </c>
    </row>
    <row r="37052" spans="1:6" x14ac:dyDescent="0.25">
      <c r="A37052" s="1" t="str">
        <f t="shared" si="1343"/>
        <v>47664</v>
      </c>
      <c r="B37052" s="1" t="str">
        <f>"48137"</f>
        <v>48137</v>
      </c>
      <c r="C37052" s="2">
        <v>5.3657158994634196E-3</v>
      </c>
      <c r="D37052" s="2">
        <v>0</v>
      </c>
      <c r="E37052" s="2">
        <v>0</v>
      </c>
      <c r="F37052" s="2">
        <v>4.6637211585665098E-3</v>
      </c>
    </row>
    <row r="37053" spans="1:6" x14ac:dyDescent="0.25">
      <c r="A37053" s="1" t="str">
        <f t="shared" si="1343"/>
        <v>47664</v>
      </c>
      <c r="B37053" s="1" t="str">
        <f>"48301"</f>
        <v>48301</v>
      </c>
      <c r="C37053" s="2">
        <v>5.0833097994916598E-3</v>
      </c>
      <c r="D37053" s="2">
        <v>0</v>
      </c>
      <c r="E37053" s="2">
        <v>0</v>
      </c>
      <c r="F37053" s="2">
        <v>4.4182621502209104E-3</v>
      </c>
    </row>
    <row r="37054" spans="1:6" x14ac:dyDescent="0.25">
      <c r="A37054" s="1" t="str">
        <f t="shared" si="1343"/>
        <v>47664</v>
      </c>
      <c r="B37054" s="1" t="str">
        <f>"48363"</f>
        <v>48363</v>
      </c>
      <c r="C37054" s="2">
        <v>5.6481219994351805E-4</v>
      </c>
      <c r="D37054" s="2">
        <v>0</v>
      </c>
      <c r="E37054" s="2">
        <v>0</v>
      </c>
      <c r="F37054" s="2">
        <v>4.9091801669121202E-4</v>
      </c>
    </row>
    <row r="37055" spans="1:6" x14ac:dyDescent="0.25">
      <c r="A37055" s="1" t="str">
        <f t="shared" si="1343"/>
        <v>47664</v>
      </c>
      <c r="B37055" s="1" t="str">
        <f>"48382"</f>
        <v>48382</v>
      </c>
      <c r="C37055" s="2">
        <v>8.47218299915278E-4</v>
      </c>
      <c r="D37055" s="2">
        <v>2.2499999999999999E-2</v>
      </c>
      <c r="E37055" s="2">
        <v>3.00751879699248E-2</v>
      </c>
      <c r="F37055" s="2">
        <v>3.9273441335296996E-3</v>
      </c>
    </row>
    <row r="37056" spans="1:6" x14ac:dyDescent="0.25">
      <c r="A37056" s="1" t="str">
        <f t="shared" si="1343"/>
        <v>47664</v>
      </c>
      <c r="B37056" s="1" t="str">
        <f>"48348"</f>
        <v>48348</v>
      </c>
      <c r="C37056" s="2">
        <v>2.4004518497599499E-2</v>
      </c>
      <c r="D37056" s="2">
        <v>2.5000000000000001E-3</v>
      </c>
      <c r="E37056" s="2">
        <v>0</v>
      </c>
      <c r="F37056" s="2">
        <v>2.11094747177221E-2</v>
      </c>
    </row>
    <row r="37057" spans="1:6" x14ac:dyDescent="0.25">
      <c r="A37057" s="1" t="str">
        <f t="shared" si="1343"/>
        <v>47664</v>
      </c>
      <c r="B37057" s="1" t="str">
        <f>"48048"</f>
        <v>48048</v>
      </c>
      <c r="C37057" s="2">
        <v>8.47218299915278E-4</v>
      </c>
      <c r="D37057" s="2">
        <v>0</v>
      </c>
      <c r="E37057" s="2">
        <v>0</v>
      </c>
      <c r="F37057" s="2">
        <v>7.3637702503681797E-4</v>
      </c>
    </row>
    <row r="37058" spans="1:6" x14ac:dyDescent="0.25">
      <c r="A37058" s="1" t="str">
        <f t="shared" si="1343"/>
        <v>47664</v>
      </c>
      <c r="B37058" s="1" t="str">
        <f>"48328"</f>
        <v>48328</v>
      </c>
      <c r="C37058" s="2">
        <v>2.8240609997175903E-4</v>
      </c>
      <c r="D37058" s="2">
        <v>6.25E-2</v>
      </c>
      <c r="E37058" s="2">
        <v>1.50375939849624E-2</v>
      </c>
      <c r="F37058" s="2">
        <v>6.8728522336769697E-3</v>
      </c>
    </row>
    <row r="37059" spans="1:6" x14ac:dyDescent="0.25">
      <c r="A37059" s="1" t="str">
        <f t="shared" si="1343"/>
        <v>47664</v>
      </c>
      <c r="B37059" s="1" t="str">
        <f>"48096"</f>
        <v>48096</v>
      </c>
      <c r="C37059" s="2">
        <v>1.9768426998023102E-3</v>
      </c>
      <c r="D37059" s="2">
        <v>5.0000000000000001E-3</v>
      </c>
      <c r="E37059" s="2">
        <v>0</v>
      </c>
      <c r="F37059" s="2">
        <v>2.20913107511045E-3</v>
      </c>
    </row>
    <row r="37060" spans="1:6" x14ac:dyDescent="0.25">
      <c r="A37060" s="1" t="str">
        <f t="shared" si="1343"/>
        <v>47664</v>
      </c>
      <c r="B37060" s="1" t="str">
        <f>"48237"</f>
        <v>48237</v>
      </c>
      <c r="C37060" s="2">
        <v>2.8240609997175903E-4</v>
      </c>
      <c r="D37060" s="2">
        <v>2.5000000000000001E-2</v>
      </c>
      <c r="E37060" s="2">
        <v>0</v>
      </c>
      <c r="F37060" s="2">
        <v>2.70004909180166E-3</v>
      </c>
    </row>
    <row r="37061" spans="1:6" x14ac:dyDescent="0.25">
      <c r="A37061" s="1" t="str">
        <f t="shared" ref="A37061:A37092" si="1344">"47664"</f>
        <v>47664</v>
      </c>
      <c r="B37061" s="1" t="str">
        <f>"48306"</f>
        <v>48306</v>
      </c>
      <c r="C37061" s="2">
        <v>3.049985879695E-2</v>
      </c>
      <c r="D37061" s="2">
        <v>0</v>
      </c>
      <c r="E37061" s="2">
        <v>1.50375939849624E-2</v>
      </c>
      <c r="F37061" s="2">
        <v>2.7000490918016599E-2</v>
      </c>
    </row>
    <row r="37062" spans="1:6" x14ac:dyDescent="0.25">
      <c r="A37062" s="1" t="str">
        <f t="shared" si="1344"/>
        <v>47664</v>
      </c>
      <c r="B37062" s="1" t="str">
        <f>"48316"</f>
        <v>48316</v>
      </c>
      <c r="C37062" s="2">
        <v>4.2360914995763898E-3</v>
      </c>
      <c r="D37062" s="2">
        <v>0.01</v>
      </c>
      <c r="E37062" s="2">
        <v>7.5187969924812E-3</v>
      </c>
      <c r="F37062" s="2">
        <v>4.9091801669121204E-3</v>
      </c>
    </row>
    <row r="37063" spans="1:6" x14ac:dyDescent="0.25">
      <c r="A37063" s="1" t="str">
        <f t="shared" si="1344"/>
        <v>47664</v>
      </c>
      <c r="B37063" s="1" t="str">
        <f>"48034"</f>
        <v>48034</v>
      </c>
      <c r="C37063" s="2">
        <v>0</v>
      </c>
      <c r="D37063" s="2">
        <v>2.5000000000000001E-3</v>
      </c>
      <c r="E37063" s="2">
        <v>0</v>
      </c>
      <c r="F37063" s="2">
        <v>2.4545900834560601E-4</v>
      </c>
    </row>
    <row r="37064" spans="1:6" x14ac:dyDescent="0.25">
      <c r="A37064" s="1" t="str">
        <f t="shared" si="1344"/>
        <v>47664</v>
      </c>
      <c r="B37064" s="1" t="str">
        <f>"48098"</f>
        <v>48098</v>
      </c>
      <c r="C37064" s="2">
        <v>6.4953402993504598E-3</v>
      </c>
      <c r="D37064" s="2">
        <v>2.5000000000000001E-3</v>
      </c>
      <c r="E37064" s="2">
        <v>0</v>
      </c>
      <c r="F37064" s="2">
        <v>5.8910162002945498E-3</v>
      </c>
    </row>
    <row r="37065" spans="1:6" x14ac:dyDescent="0.25">
      <c r="A37065" s="1" t="str">
        <f t="shared" si="1344"/>
        <v>47664</v>
      </c>
      <c r="B37065" s="1" t="str">
        <f>"48341"</f>
        <v>48341</v>
      </c>
      <c r="C37065" s="2">
        <v>0</v>
      </c>
      <c r="D37065" s="2">
        <v>2.5000000000000001E-3</v>
      </c>
      <c r="E37065" s="2">
        <v>0</v>
      </c>
      <c r="F37065" s="2">
        <v>2.4545900834560601E-4</v>
      </c>
    </row>
    <row r="37066" spans="1:6" x14ac:dyDescent="0.25">
      <c r="A37066" s="1" t="str">
        <f t="shared" si="1344"/>
        <v>47664</v>
      </c>
      <c r="B37066" s="1" t="str">
        <f>"48335"</f>
        <v>48335</v>
      </c>
      <c r="C37066" s="2">
        <v>0</v>
      </c>
      <c r="D37066" s="2">
        <v>7.4999999999999997E-3</v>
      </c>
      <c r="E37066" s="2">
        <v>7.5187969924812E-3</v>
      </c>
      <c r="F37066" s="2">
        <v>9.818360333824249E-4</v>
      </c>
    </row>
    <row r="37067" spans="1:6" x14ac:dyDescent="0.25">
      <c r="A37067" s="1" t="str">
        <f t="shared" si="1344"/>
        <v>47664</v>
      </c>
      <c r="B37067" s="1" t="str">
        <f>"48390"</f>
        <v>48390</v>
      </c>
      <c r="C37067" s="2">
        <v>1.6097147698390199E-2</v>
      </c>
      <c r="D37067" s="2">
        <v>0</v>
      </c>
      <c r="E37067" s="2">
        <v>0</v>
      </c>
      <c r="F37067" s="2">
        <v>1.39911634756995E-2</v>
      </c>
    </row>
    <row r="37068" spans="1:6" x14ac:dyDescent="0.25">
      <c r="A37068" s="1" t="str">
        <f t="shared" si="1344"/>
        <v>47664</v>
      </c>
      <c r="B37068" s="1" t="str">
        <f>"48065"</f>
        <v>48065</v>
      </c>
      <c r="C37068" s="2">
        <v>9.6018073990398103E-3</v>
      </c>
      <c r="D37068" s="2">
        <v>0.02</v>
      </c>
      <c r="E37068" s="2">
        <v>2.2556390977443601E-2</v>
      </c>
      <c r="F37068" s="2">
        <v>1.10456553755522E-2</v>
      </c>
    </row>
    <row r="37069" spans="1:6" x14ac:dyDescent="0.25">
      <c r="A37069" s="1" t="str">
        <f t="shared" si="1344"/>
        <v>47664</v>
      </c>
      <c r="B37069" s="1" t="str">
        <f>"48189"</f>
        <v>48189</v>
      </c>
      <c r="C37069" s="2">
        <v>9.8842134990115692E-3</v>
      </c>
      <c r="D37069" s="2">
        <v>0</v>
      </c>
      <c r="E37069" s="2">
        <v>0</v>
      </c>
      <c r="F37069" s="2">
        <v>8.5910652920962102E-3</v>
      </c>
    </row>
    <row r="37070" spans="1:6" x14ac:dyDescent="0.25">
      <c r="A37070" s="1" t="str">
        <f t="shared" si="1344"/>
        <v>47664</v>
      </c>
      <c r="B37070" s="1" t="str">
        <f>"48044"</f>
        <v>48044</v>
      </c>
      <c r="C37070" s="2">
        <v>5.6481219994351805E-4</v>
      </c>
      <c r="D37070" s="2">
        <v>2.5000000000000001E-3</v>
      </c>
      <c r="E37070" s="2">
        <v>0</v>
      </c>
      <c r="F37070" s="2">
        <v>7.3637702503681797E-4</v>
      </c>
    </row>
    <row r="37071" spans="1:6" x14ac:dyDescent="0.25">
      <c r="A37071" s="1" t="str">
        <f t="shared" si="1344"/>
        <v>47664</v>
      </c>
      <c r="B37071" s="1" t="str">
        <f>"48843"</f>
        <v>48843</v>
      </c>
      <c r="C37071" s="2">
        <v>9.7994916690200495E-2</v>
      </c>
      <c r="D37071" s="2">
        <v>2.5000000000000001E-3</v>
      </c>
      <c r="E37071" s="2">
        <v>7.5187969924812E-3</v>
      </c>
      <c r="F37071" s="2">
        <v>8.5665193912616497E-2</v>
      </c>
    </row>
    <row r="37072" spans="1:6" x14ac:dyDescent="0.25">
      <c r="A37072" s="1" t="str">
        <f t="shared" si="1344"/>
        <v>47664</v>
      </c>
      <c r="B37072" s="1" t="str">
        <f>"48324"</f>
        <v>48324</v>
      </c>
      <c r="C37072" s="2">
        <v>2.8240609997175903E-4</v>
      </c>
      <c r="D37072" s="2">
        <v>0</v>
      </c>
      <c r="E37072" s="2">
        <v>0</v>
      </c>
      <c r="F37072" s="2">
        <v>2.4545900834560601E-4</v>
      </c>
    </row>
    <row r="37073" spans="1:6" x14ac:dyDescent="0.25">
      <c r="A37073" s="1" t="str">
        <f t="shared" si="1344"/>
        <v>47664</v>
      </c>
      <c r="B37073" s="1" t="str">
        <f>"48309"</f>
        <v>48309</v>
      </c>
      <c r="C37073" s="2">
        <v>0</v>
      </c>
      <c r="D37073" s="2">
        <v>0.03</v>
      </c>
      <c r="E37073" s="2">
        <v>7.5187969924812E-3</v>
      </c>
      <c r="F37073" s="2">
        <v>3.1909671084928799E-3</v>
      </c>
    </row>
    <row r="37074" spans="1:6" x14ac:dyDescent="0.25">
      <c r="A37074" s="1" t="str">
        <f t="shared" si="1344"/>
        <v>47664</v>
      </c>
      <c r="B37074" s="1" t="str">
        <f>"48326"</f>
        <v>48326</v>
      </c>
      <c r="C37074" s="2">
        <v>3.2759107596723999E-2</v>
      </c>
      <c r="D37074" s="2">
        <v>2.2499999999999999E-2</v>
      </c>
      <c r="E37074" s="2">
        <v>1.50375939849624E-2</v>
      </c>
      <c r="F37074" s="2">
        <v>3.1173294059891901E-2</v>
      </c>
    </row>
    <row r="37075" spans="1:6" x14ac:dyDescent="0.25">
      <c r="A37075" s="1" t="str">
        <f t="shared" si="1344"/>
        <v>47664</v>
      </c>
      <c r="B37075" s="1" t="str">
        <f>"48342"</f>
        <v>48342</v>
      </c>
      <c r="C37075" s="2">
        <v>0</v>
      </c>
      <c r="D37075" s="2">
        <v>2.5000000000000001E-3</v>
      </c>
      <c r="E37075" s="2">
        <v>0</v>
      </c>
      <c r="F37075" s="2">
        <v>2.4545900834560601E-4</v>
      </c>
    </row>
    <row r="37076" spans="1:6" x14ac:dyDescent="0.25">
      <c r="A37076" s="1" t="str">
        <f t="shared" si="1344"/>
        <v>47664</v>
      </c>
      <c r="B37076" s="1" t="str">
        <f>"48042"</f>
        <v>48042</v>
      </c>
      <c r="C37076" s="2">
        <v>5.6481219994351803E-3</v>
      </c>
      <c r="D37076" s="2">
        <v>5.0000000000000001E-3</v>
      </c>
      <c r="E37076" s="2">
        <v>0</v>
      </c>
      <c r="F37076" s="2">
        <v>5.4000981836033303E-3</v>
      </c>
    </row>
    <row r="37077" spans="1:6" x14ac:dyDescent="0.25">
      <c r="A37077" s="1" t="str">
        <f t="shared" si="1344"/>
        <v>47664</v>
      </c>
      <c r="B37077" s="1" t="str">
        <f>"48329"</f>
        <v>48329</v>
      </c>
      <c r="C37077" s="2">
        <v>0</v>
      </c>
      <c r="D37077" s="2">
        <v>0.03</v>
      </c>
      <c r="E37077" s="2">
        <v>7.5187969924812E-3</v>
      </c>
      <c r="F37077" s="2">
        <v>3.1909671084928799E-3</v>
      </c>
    </row>
    <row r="37078" spans="1:6" x14ac:dyDescent="0.25">
      <c r="A37078" s="1" t="str">
        <f t="shared" si="1344"/>
        <v>47664</v>
      </c>
      <c r="B37078" s="1" t="str">
        <f>"48005"</f>
        <v>48005</v>
      </c>
      <c r="C37078" s="2">
        <v>1.9768426998023102E-3</v>
      </c>
      <c r="D37078" s="2">
        <v>0</v>
      </c>
      <c r="E37078" s="2">
        <v>0</v>
      </c>
      <c r="F37078" s="2">
        <v>1.7182130584192401E-3</v>
      </c>
    </row>
    <row r="37079" spans="1:6" x14ac:dyDescent="0.25">
      <c r="A37079" s="1" t="str">
        <f t="shared" si="1344"/>
        <v>47664</v>
      </c>
      <c r="B37079" s="1" t="str">
        <f>"48035"</f>
        <v>48035</v>
      </c>
      <c r="C37079" s="2">
        <v>2.25924879977407E-3</v>
      </c>
      <c r="D37079" s="2">
        <v>0</v>
      </c>
      <c r="E37079" s="2">
        <v>0</v>
      </c>
      <c r="F37079" s="2">
        <v>1.9636720667648498E-3</v>
      </c>
    </row>
    <row r="37080" spans="1:6" x14ac:dyDescent="0.25">
      <c r="A37080" s="1" t="str">
        <f t="shared" si="1344"/>
        <v>47664</v>
      </c>
      <c r="B37080" s="1" t="str">
        <f>"48416"</f>
        <v>48416</v>
      </c>
      <c r="C37080" s="2">
        <v>5.6481219994351805E-4</v>
      </c>
      <c r="D37080" s="2">
        <v>0</v>
      </c>
      <c r="E37080" s="2">
        <v>0</v>
      </c>
      <c r="F37080" s="2">
        <v>4.9091801669121202E-4</v>
      </c>
    </row>
    <row r="37081" spans="1:6" x14ac:dyDescent="0.25">
      <c r="A37081" s="1" t="str">
        <f t="shared" si="1344"/>
        <v>47664</v>
      </c>
      <c r="B37081" s="1" t="str">
        <f>"48350"</f>
        <v>48350</v>
      </c>
      <c r="C37081" s="2">
        <v>5.6481219994351805E-4</v>
      </c>
      <c r="D37081" s="2">
        <v>0</v>
      </c>
      <c r="E37081" s="2">
        <v>0</v>
      </c>
      <c r="F37081" s="2">
        <v>4.9091801669121202E-4</v>
      </c>
    </row>
    <row r="37082" spans="1:6" x14ac:dyDescent="0.25">
      <c r="A37082" s="1" t="str">
        <f t="shared" si="1344"/>
        <v>47664</v>
      </c>
      <c r="B37082" s="1" t="str">
        <f>"48334"</f>
        <v>48334</v>
      </c>
      <c r="C37082" s="2">
        <v>0</v>
      </c>
      <c r="D37082" s="2">
        <v>0.01</v>
      </c>
      <c r="E37082" s="2">
        <v>0</v>
      </c>
      <c r="F37082" s="2">
        <v>9.818360333824249E-4</v>
      </c>
    </row>
    <row r="37083" spans="1:6" x14ac:dyDescent="0.25">
      <c r="A37083" s="1" t="str">
        <f t="shared" si="1344"/>
        <v>47664</v>
      </c>
      <c r="B37083" s="1" t="str">
        <f>"48220"</f>
        <v>48220</v>
      </c>
      <c r="C37083" s="2">
        <v>1.55323354984467E-2</v>
      </c>
      <c r="D37083" s="2">
        <v>0.02</v>
      </c>
      <c r="E37083" s="2">
        <v>7.5187969924812E-3</v>
      </c>
      <c r="F37083" s="2">
        <v>1.5709376534118798E-2</v>
      </c>
    </row>
    <row r="37084" spans="1:6" x14ac:dyDescent="0.25">
      <c r="A37084" s="1" t="str">
        <f t="shared" si="1344"/>
        <v>47664</v>
      </c>
      <c r="B37084" s="1" t="str">
        <f>"48072"</f>
        <v>48072</v>
      </c>
      <c r="C37084" s="2">
        <v>1.12962439988703E-3</v>
      </c>
      <c r="D37084" s="2">
        <v>0</v>
      </c>
      <c r="E37084" s="2">
        <v>7.5187969924812E-3</v>
      </c>
      <c r="F37084" s="2">
        <v>1.2272950417280301E-3</v>
      </c>
    </row>
    <row r="37085" spans="1:6" x14ac:dyDescent="0.25">
      <c r="A37085" s="1" t="str">
        <f t="shared" si="1344"/>
        <v>47664</v>
      </c>
      <c r="B37085" s="1" t="str">
        <f>"48312"</f>
        <v>48312</v>
      </c>
      <c r="C37085" s="2">
        <v>2.6263767297373598E-2</v>
      </c>
      <c r="D37085" s="2">
        <v>7.4999999999999997E-3</v>
      </c>
      <c r="E37085" s="2">
        <v>7.5187969924812E-3</v>
      </c>
      <c r="F37085" s="2">
        <v>2.3809523809523801E-2</v>
      </c>
    </row>
    <row r="37086" spans="1:6" x14ac:dyDescent="0.25">
      <c r="A37086" s="1" t="str">
        <f t="shared" si="1344"/>
        <v>47664</v>
      </c>
      <c r="B37086" s="1" t="str">
        <f>"48060"</f>
        <v>48060</v>
      </c>
      <c r="C37086" s="2">
        <v>7.0601524992939804E-3</v>
      </c>
      <c r="D37086" s="2">
        <v>7.4999999999999997E-3</v>
      </c>
      <c r="E37086" s="2">
        <v>4.5112781954887202E-2</v>
      </c>
      <c r="F37086" s="2">
        <v>8.34560628375061E-3</v>
      </c>
    </row>
    <row r="37087" spans="1:6" x14ac:dyDescent="0.25">
      <c r="A37087" s="1" t="str">
        <f t="shared" si="1344"/>
        <v>47664</v>
      </c>
      <c r="B37087" s="1" t="str">
        <f>"48071"</f>
        <v>48071</v>
      </c>
      <c r="C37087" s="2">
        <v>2.8240609997175903E-4</v>
      </c>
      <c r="D37087" s="2">
        <v>0.01</v>
      </c>
      <c r="E37087" s="2">
        <v>1.50375939849624E-2</v>
      </c>
      <c r="F37087" s="2">
        <v>1.7182130584192401E-3</v>
      </c>
    </row>
    <row r="37088" spans="1:6" x14ac:dyDescent="0.25">
      <c r="A37088" s="1" t="str">
        <f t="shared" si="1344"/>
        <v>47664</v>
      </c>
      <c r="B37088" s="1" t="str">
        <f>"48074"</f>
        <v>48074</v>
      </c>
      <c r="C37088" s="2">
        <v>1.4120304998587901E-3</v>
      </c>
      <c r="D37088" s="2">
        <v>0</v>
      </c>
      <c r="E37088" s="2">
        <v>0</v>
      </c>
      <c r="F37088" s="2">
        <v>1.2272950417280301E-3</v>
      </c>
    </row>
    <row r="37089" spans="1:6" x14ac:dyDescent="0.25">
      <c r="A37089" s="1" t="str">
        <f t="shared" si="1344"/>
        <v>47664</v>
      </c>
      <c r="B37089" s="1" t="str">
        <f>"48169"</f>
        <v>48169</v>
      </c>
      <c r="C37089" s="2">
        <v>5.6481219994351803E-3</v>
      </c>
      <c r="D37089" s="2">
        <v>7.4999999999999997E-3</v>
      </c>
      <c r="E37089" s="2">
        <v>0</v>
      </c>
      <c r="F37089" s="2">
        <v>5.6455571919489401E-3</v>
      </c>
    </row>
    <row r="37090" spans="1:6" x14ac:dyDescent="0.25">
      <c r="A37090" s="1" t="str">
        <f t="shared" si="1344"/>
        <v>47664</v>
      </c>
      <c r="B37090" s="1" t="str">
        <f>"48331"</f>
        <v>48331</v>
      </c>
      <c r="C37090" s="2">
        <v>5.6481219994351803E-3</v>
      </c>
      <c r="D37090" s="2">
        <v>0</v>
      </c>
      <c r="E37090" s="2">
        <v>7.5187969924812E-3</v>
      </c>
      <c r="F37090" s="2">
        <v>5.1546391752577301E-3</v>
      </c>
    </row>
    <row r="37091" spans="1:6" x14ac:dyDescent="0.25">
      <c r="A37091" s="1" t="str">
        <f t="shared" si="1344"/>
        <v>47664</v>
      </c>
      <c r="B37091" s="1" t="str">
        <f>"48178"</f>
        <v>48178</v>
      </c>
      <c r="C37091" s="2">
        <v>2.3722112397627702E-2</v>
      </c>
      <c r="D37091" s="2">
        <v>7.4999999999999997E-2</v>
      </c>
      <c r="E37091" s="2">
        <v>2.2556390977443601E-2</v>
      </c>
      <c r="F37091" s="2">
        <v>2.8718703976435899E-2</v>
      </c>
    </row>
    <row r="37092" spans="1:6" x14ac:dyDescent="0.25">
      <c r="A37092" s="1" t="str">
        <f t="shared" si="1344"/>
        <v>47664</v>
      </c>
      <c r="B37092" s="1" t="str">
        <f>"48362"</f>
        <v>48362</v>
      </c>
      <c r="C37092" s="2">
        <v>2.8240609997175903E-4</v>
      </c>
      <c r="D37092" s="2">
        <v>0</v>
      </c>
      <c r="E37092" s="2">
        <v>0</v>
      </c>
      <c r="F37092" s="2">
        <v>2.4545900834560601E-4</v>
      </c>
    </row>
    <row r="37093" spans="1:6" x14ac:dyDescent="0.25">
      <c r="A37093" s="1" t="str">
        <f t="shared" ref="A37093:A37124" si="1345">"47664"</f>
        <v>47664</v>
      </c>
      <c r="B37093" s="1" t="str">
        <f>"48064"</f>
        <v>48064</v>
      </c>
      <c r="C37093" s="2">
        <v>2.8240609997175903E-4</v>
      </c>
      <c r="D37093" s="2">
        <v>0</v>
      </c>
      <c r="E37093" s="2">
        <v>0</v>
      </c>
      <c r="F37093" s="2">
        <v>2.4545900834560601E-4</v>
      </c>
    </row>
    <row r="37094" spans="1:6" x14ac:dyDescent="0.25">
      <c r="A37094" s="1" t="str">
        <f t="shared" si="1345"/>
        <v>47664</v>
      </c>
      <c r="B37094" s="1" t="str">
        <f>"48085"</f>
        <v>48085</v>
      </c>
      <c r="C37094" s="2">
        <v>0</v>
      </c>
      <c r="D37094" s="2">
        <v>5.0000000000000001E-3</v>
      </c>
      <c r="E37094" s="2">
        <v>0</v>
      </c>
      <c r="F37094" s="2">
        <v>4.9091801669121202E-4</v>
      </c>
    </row>
    <row r="37095" spans="1:6" x14ac:dyDescent="0.25">
      <c r="A37095" s="1" t="str">
        <f t="shared" si="1345"/>
        <v>47664</v>
      </c>
      <c r="B37095" s="1" t="str">
        <f>"48446"</f>
        <v>48446</v>
      </c>
      <c r="C37095" s="2">
        <v>1.12962439988703E-3</v>
      </c>
      <c r="D37095" s="2">
        <v>0</v>
      </c>
      <c r="E37095" s="2">
        <v>0</v>
      </c>
      <c r="F37095" s="2">
        <v>9.818360333824249E-4</v>
      </c>
    </row>
    <row r="37096" spans="1:6" x14ac:dyDescent="0.25">
      <c r="A37096" s="1" t="str">
        <f t="shared" si="1345"/>
        <v>47664</v>
      </c>
      <c r="B37096" s="1" t="str">
        <f>"48025"</f>
        <v>48025</v>
      </c>
      <c r="C37096" s="2">
        <v>0</v>
      </c>
      <c r="D37096" s="2">
        <v>2.5000000000000001E-3</v>
      </c>
      <c r="E37096" s="2">
        <v>0</v>
      </c>
      <c r="F37096" s="2">
        <v>2.4545900834560601E-4</v>
      </c>
    </row>
    <row r="37097" spans="1:6" x14ac:dyDescent="0.25">
      <c r="A37097" s="1" t="str">
        <f t="shared" si="1345"/>
        <v>47664</v>
      </c>
      <c r="B37097" s="1" t="str">
        <f>"48116"</f>
        <v>48116</v>
      </c>
      <c r="C37097" s="2">
        <v>1.10138378988986E-2</v>
      </c>
      <c r="D37097" s="2">
        <v>1.4999999999999999E-2</v>
      </c>
      <c r="E37097" s="2">
        <v>7.5187969924812E-3</v>
      </c>
      <c r="F37097" s="2">
        <v>1.12911143838978E-2</v>
      </c>
    </row>
    <row r="37098" spans="1:6" x14ac:dyDescent="0.25">
      <c r="A37098" s="1" t="str">
        <f t="shared" si="1345"/>
        <v>47664</v>
      </c>
      <c r="B37098" s="1" t="str">
        <f>"48380"</f>
        <v>48380</v>
      </c>
      <c r="C37098" s="2">
        <v>1.4120304998587901E-3</v>
      </c>
      <c r="D37098" s="2">
        <v>0</v>
      </c>
      <c r="E37098" s="2">
        <v>0</v>
      </c>
      <c r="F37098" s="2">
        <v>1.2272950417280301E-3</v>
      </c>
    </row>
    <row r="37099" spans="1:6" x14ac:dyDescent="0.25">
      <c r="A37099" s="1" t="str">
        <f t="shared" si="1345"/>
        <v>47664</v>
      </c>
      <c r="B37099" s="1" t="str">
        <f>"48041"</f>
        <v>48041</v>
      </c>
      <c r="C37099" s="2">
        <v>0</v>
      </c>
      <c r="D37099" s="2">
        <v>2.5000000000000001E-3</v>
      </c>
      <c r="E37099" s="2">
        <v>0</v>
      </c>
      <c r="F37099" s="2">
        <v>2.4545900834560601E-4</v>
      </c>
    </row>
    <row r="37100" spans="1:6" x14ac:dyDescent="0.25">
      <c r="A37100" s="1" t="str">
        <f t="shared" si="1345"/>
        <v>47664</v>
      </c>
      <c r="B37100" s="1" t="str">
        <f>"48092"</f>
        <v>48092</v>
      </c>
      <c r="C37100" s="2">
        <v>2.8240609997175902E-3</v>
      </c>
      <c r="D37100" s="2">
        <v>0</v>
      </c>
      <c r="E37100" s="2">
        <v>0</v>
      </c>
      <c r="F37100" s="2">
        <v>2.4545900834560602E-3</v>
      </c>
    </row>
    <row r="37101" spans="1:6" x14ac:dyDescent="0.25">
      <c r="A37101" s="1" t="str">
        <f t="shared" si="1345"/>
        <v>47664</v>
      </c>
      <c r="B37101" s="1" t="str">
        <f>"48050"</f>
        <v>48050</v>
      </c>
      <c r="C37101" s="2">
        <v>8.47218299915278E-4</v>
      </c>
      <c r="D37101" s="2">
        <v>0</v>
      </c>
      <c r="E37101" s="2">
        <v>0</v>
      </c>
      <c r="F37101" s="2">
        <v>7.3637702503681797E-4</v>
      </c>
    </row>
    <row r="37102" spans="1:6" x14ac:dyDescent="0.25">
      <c r="A37102" s="1" t="str">
        <f t="shared" si="1345"/>
        <v>47664</v>
      </c>
      <c r="B37102" s="1" t="str">
        <f>"48045"</f>
        <v>48045</v>
      </c>
      <c r="C37102" s="2">
        <v>2.8240609997175903E-4</v>
      </c>
      <c r="D37102" s="2">
        <v>2.5000000000000001E-3</v>
      </c>
      <c r="E37102" s="2">
        <v>0</v>
      </c>
      <c r="F37102" s="2">
        <v>4.9091801669121202E-4</v>
      </c>
    </row>
    <row r="37103" spans="1:6" x14ac:dyDescent="0.25">
      <c r="A37103" s="1" t="str">
        <f t="shared" si="1345"/>
        <v>47664</v>
      </c>
      <c r="B37103" s="1" t="str">
        <f>"48428"</f>
        <v>48428</v>
      </c>
      <c r="C37103" s="2">
        <v>1.6944365998305499E-3</v>
      </c>
      <c r="D37103" s="2">
        <v>0</v>
      </c>
      <c r="E37103" s="2">
        <v>0</v>
      </c>
      <c r="F37103" s="2">
        <v>1.4727540500736301E-3</v>
      </c>
    </row>
    <row r="37104" spans="1:6" x14ac:dyDescent="0.25">
      <c r="A37104" s="1" t="str">
        <f t="shared" si="1345"/>
        <v>47664</v>
      </c>
      <c r="B37104" s="1" t="str">
        <f>"48084"</f>
        <v>48084</v>
      </c>
      <c r="C37104" s="2">
        <v>1.3273086698672601E-2</v>
      </c>
      <c r="D37104" s="2">
        <v>1.2500000000000001E-2</v>
      </c>
      <c r="E37104" s="2">
        <v>7.5187969924812E-3</v>
      </c>
      <c r="F37104" s="2">
        <v>1.3009327442317101E-2</v>
      </c>
    </row>
    <row r="37105" spans="1:6" x14ac:dyDescent="0.25">
      <c r="A37105" s="1" t="str">
        <f t="shared" si="1345"/>
        <v>47664</v>
      </c>
      <c r="B37105" s="1" t="str">
        <f>"48855"</f>
        <v>48855</v>
      </c>
      <c r="C37105" s="2">
        <v>7.6249646992375001E-3</v>
      </c>
      <c r="D37105" s="2">
        <v>2.5000000000000001E-3</v>
      </c>
      <c r="E37105" s="2">
        <v>7.5187969924812E-3</v>
      </c>
      <c r="F37105" s="2">
        <v>7.1183112420225804E-3</v>
      </c>
    </row>
    <row r="37106" spans="1:6" x14ac:dyDescent="0.25">
      <c r="A37106" s="1" t="str">
        <f t="shared" si="1345"/>
        <v>47664</v>
      </c>
      <c r="B37106" s="1" t="str">
        <f>"48054"</f>
        <v>48054</v>
      </c>
      <c r="C37106" s="2">
        <v>1.12962439988703E-3</v>
      </c>
      <c r="D37106" s="2">
        <v>0</v>
      </c>
      <c r="E37106" s="2">
        <v>0</v>
      </c>
      <c r="F37106" s="2">
        <v>9.818360333824249E-4</v>
      </c>
    </row>
    <row r="37107" spans="1:6" x14ac:dyDescent="0.25">
      <c r="A37107" s="1" t="str">
        <f t="shared" si="1345"/>
        <v>47664</v>
      </c>
      <c r="B37107" s="1" t="str">
        <f>"48315"</f>
        <v>48315</v>
      </c>
      <c r="C37107" s="2">
        <v>3.8972041796102697E-2</v>
      </c>
      <c r="D37107" s="2">
        <v>4.7500000000000001E-2</v>
      </c>
      <c r="E37107" s="2">
        <v>0</v>
      </c>
      <c r="F37107" s="2">
        <v>3.8537064310260098E-2</v>
      </c>
    </row>
    <row r="37108" spans="1:6" x14ac:dyDescent="0.25">
      <c r="A37108" s="1" t="str">
        <f t="shared" si="1345"/>
        <v>47664</v>
      </c>
      <c r="B37108" s="1" t="str">
        <f>"48080"</f>
        <v>48080</v>
      </c>
      <c r="C37108" s="2">
        <v>0</v>
      </c>
      <c r="D37108" s="2">
        <v>2.5000000000000001E-3</v>
      </c>
      <c r="E37108" s="2">
        <v>0</v>
      </c>
      <c r="F37108" s="2">
        <v>2.4545900834560601E-4</v>
      </c>
    </row>
    <row r="37109" spans="1:6" x14ac:dyDescent="0.25">
      <c r="A37109" s="1" t="str">
        <f t="shared" si="1345"/>
        <v>47664</v>
      </c>
      <c r="B37109" s="1" t="str">
        <f>"48015"</f>
        <v>48015</v>
      </c>
      <c r="C37109" s="2">
        <v>0</v>
      </c>
      <c r="D37109" s="2">
        <v>2.5000000000000001E-3</v>
      </c>
      <c r="E37109" s="2">
        <v>0</v>
      </c>
      <c r="F37109" s="2">
        <v>2.4545900834560601E-4</v>
      </c>
    </row>
    <row r="37110" spans="1:6" x14ac:dyDescent="0.25">
      <c r="A37110" s="1" t="str">
        <f t="shared" si="1345"/>
        <v>47664</v>
      </c>
      <c r="B37110" s="1" t="str">
        <f>"48444"</f>
        <v>48444</v>
      </c>
      <c r="C37110" s="2">
        <v>2.8240609997175903E-4</v>
      </c>
      <c r="D37110" s="2">
        <v>0</v>
      </c>
      <c r="E37110" s="2">
        <v>0</v>
      </c>
      <c r="F37110" s="2">
        <v>2.4545900834560601E-4</v>
      </c>
    </row>
    <row r="37111" spans="1:6" x14ac:dyDescent="0.25">
      <c r="A37111" s="1" t="str">
        <f t="shared" si="1345"/>
        <v>47664</v>
      </c>
      <c r="B37111" s="1" t="str">
        <f>"48073"</f>
        <v>48073</v>
      </c>
      <c r="C37111" s="2">
        <v>2.8240609997175903E-4</v>
      </c>
      <c r="D37111" s="2">
        <v>7.2499999999999995E-2</v>
      </c>
      <c r="E37111" s="2">
        <v>7.5187969924812E-3</v>
      </c>
      <c r="F37111" s="2">
        <v>7.6092292587137903E-3</v>
      </c>
    </row>
    <row r="37112" spans="1:6" x14ac:dyDescent="0.25">
      <c r="A37112" s="1" t="str">
        <f t="shared" si="1345"/>
        <v>47664</v>
      </c>
      <c r="B37112" s="1" t="str">
        <f>"48032"</f>
        <v>48032</v>
      </c>
      <c r="C37112" s="2">
        <v>2.8240609997175903E-4</v>
      </c>
      <c r="D37112" s="2">
        <v>0</v>
      </c>
      <c r="E37112" s="2">
        <v>0</v>
      </c>
      <c r="F37112" s="2">
        <v>2.4545900834560601E-4</v>
      </c>
    </row>
    <row r="37113" spans="1:6" x14ac:dyDescent="0.25">
      <c r="A37113" s="1" t="str">
        <f t="shared" si="1345"/>
        <v>47664</v>
      </c>
      <c r="B37113" s="1" t="str">
        <f>"48381"</f>
        <v>48381</v>
      </c>
      <c r="C37113" s="2">
        <v>7.3425585992657402E-3</v>
      </c>
      <c r="D37113" s="2">
        <v>2.5000000000000001E-3</v>
      </c>
      <c r="E37113" s="2">
        <v>0</v>
      </c>
      <c r="F37113" s="2">
        <v>6.62739322533136E-3</v>
      </c>
    </row>
    <row r="37114" spans="1:6" x14ac:dyDescent="0.25">
      <c r="A37114" s="1" t="str">
        <f t="shared" si="1345"/>
        <v>47664</v>
      </c>
      <c r="B37114" s="1" t="str">
        <f>"48003"</f>
        <v>48003</v>
      </c>
      <c r="C37114" s="2">
        <v>5.6481219994351805E-4</v>
      </c>
      <c r="D37114" s="2">
        <v>2.5000000000000001E-3</v>
      </c>
      <c r="E37114" s="2">
        <v>0</v>
      </c>
      <c r="F37114" s="2">
        <v>7.3637702503681797E-4</v>
      </c>
    </row>
    <row r="37115" spans="1:6" x14ac:dyDescent="0.25">
      <c r="A37115" s="1" t="str">
        <f t="shared" si="1345"/>
        <v>47664</v>
      </c>
      <c r="B37115" s="1" t="str">
        <f>"48412"</f>
        <v>48412</v>
      </c>
      <c r="C37115" s="2">
        <v>2.5416548997458299E-3</v>
      </c>
      <c r="D37115" s="2">
        <v>0</v>
      </c>
      <c r="E37115" s="2">
        <v>0</v>
      </c>
      <c r="F37115" s="2">
        <v>2.20913107511045E-3</v>
      </c>
    </row>
    <row r="37116" spans="1:6" x14ac:dyDescent="0.25">
      <c r="A37116" s="1" t="str">
        <f t="shared" si="1345"/>
        <v>47664</v>
      </c>
      <c r="B37116" s="1" t="str">
        <f>"48327"</f>
        <v>48327</v>
      </c>
      <c r="C37116" s="2">
        <v>2.8240609997175903E-4</v>
      </c>
      <c r="D37116" s="2">
        <v>0.01</v>
      </c>
      <c r="E37116" s="2">
        <v>1.50375939849624E-2</v>
      </c>
      <c r="F37116" s="2">
        <v>1.7182130584192401E-3</v>
      </c>
    </row>
    <row r="37117" spans="1:6" x14ac:dyDescent="0.25">
      <c r="A37117" s="1" t="str">
        <f t="shared" si="1345"/>
        <v>47664</v>
      </c>
      <c r="B37117" s="1" t="str">
        <f>"48393"</f>
        <v>48393</v>
      </c>
      <c r="C37117" s="2">
        <v>1.10138378988986E-2</v>
      </c>
      <c r="D37117" s="2">
        <v>5.0000000000000001E-3</v>
      </c>
      <c r="E37117" s="2">
        <v>3.7593984962405999E-2</v>
      </c>
      <c r="F37117" s="2">
        <v>1.12911143838978E-2</v>
      </c>
    </row>
    <row r="37118" spans="1:6" x14ac:dyDescent="0.25">
      <c r="A37118" s="1" t="str">
        <f t="shared" si="1345"/>
        <v>47664</v>
      </c>
      <c r="B37118" s="1" t="str">
        <f>"48360"</f>
        <v>48360</v>
      </c>
      <c r="C37118" s="2">
        <v>1.6944365998305499E-3</v>
      </c>
      <c r="D37118" s="2">
        <v>0</v>
      </c>
      <c r="E37118" s="2">
        <v>0</v>
      </c>
      <c r="F37118" s="2">
        <v>1.4727540500736301E-3</v>
      </c>
    </row>
    <row r="37119" spans="1:6" x14ac:dyDescent="0.25">
      <c r="A37119" s="1" t="str">
        <f t="shared" si="1345"/>
        <v>47664</v>
      </c>
      <c r="B37119" s="1" t="str">
        <f>"48353"</f>
        <v>48353</v>
      </c>
      <c r="C37119" s="2">
        <v>2.8240609997175903E-4</v>
      </c>
      <c r="D37119" s="2">
        <v>0</v>
      </c>
      <c r="E37119" s="2">
        <v>0</v>
      </c>
      <c r="F37119" s="2">
        <v>2.4545900834560601E-4</v>
      </c>
    </row>
    <row r="37120" spans="1:6" x14ac:dyDescent="0.25">
      <c r="A37120" s="1" t="str">
        <f t="shared" si="1345"/>
        <v>47664</v>
      </c>
      <c r="B37120" s="1" t="str">
        <f>"48421"</f>
        <v>48421</v>
      </c>
      <c r="C37120" s="2">
        <v>2.5416548997458299E-3</v>
      </c>
      <c r="D37120" s="2">
        <v>0</v>
      </c>
      <c r="E37120" s="2">
        <v>0</v>
      </c>
      <c r="F37120" s="2">
        <v>2.20913107511045E-3</v>
      </c>
    </row>
    <row r="37121" spans="1:6" x14ac:dyDescent="0.25">
      <c r="A37121" s="1" t="str">
        <f t="shared" si="1345"/>
        <v>47664</v>
      </c>
      <c r="B37121" s="1" t="str">
        <f>"48302"</f>
        <v>48302</v>
      </c>
      <c r="C37121" s="2">
        <v>7.3425585992657402E-3</v>
      </c>
      <c r="D37121" s="2">
        <v>5.0000000000000001E-3</v>
      </c>
      <c r="E37121" s="2">
        <v>7.5187969924812E-3</v>
      </c>
      <c r="F37121" s="2">
        <v>7.1183112420225804E-3</v>
      </c>
    </row>
    <row r="37122" spans="1:6" x14ac:dyDescent="0.25">
      <c r="A37122" s="1" t="str">
        <f t="shared" si="1345"/>
        <v>47664</v>
      </c>
      <c r="B37122" s="1" t="str">
        <f>"48374"</f>
        <v>48374</v>
      </c>
      <c r="C37122" s="2">
        <v>6.4953402993504598E-3</v>
      </c>
      <c r="D37122" s="2">
        <v>0</v>
      </c>
      <c r="E37122" s="2">
        <v>0</v>
      </c>
      <c r="F37122" s="2">
        <v>5.6455571919489401E-3</v>
      </c>
    </row>
    <row r="37123" spans="1:6" x14ac:dyDescent="0.25">
      <c r="A37123" s="1" t="str">
        <f t="shared" si="1345"/>
        <v>47664</v>
      </c>
      <c r="B37123" s="1" t="str">
        <f>"48079"</f>
        <v>48079</v>
      </c>
      <c r="C37123" s="2">
        <v>2.0050833097994901E-2</v>
      </c>
      <c r="D37123" s="2">
        <v>0</v>
      </c>
      <c r="E37123" s="2">
        <v>7.5187969924812E-3</v>
      </c>
      <c r="F37123" s="2">
        <v>1.76730486008836E-2</v>
      </c>
    </row>
    <row r="37124" spans="1:6" x14ac:dyDescent="0.25">
      <c r="A37124" s="1" t="str">
        <f t="shared" si="1345"/>
        <v>47664</v>
      </c>
      <c r="B37124" s="1" t="str">
        <f>"48001"</f>
        <v>48001</v>
      </c>
      <c r="C37124" s="2">
        <v>1.9768426998023102E-3</v>
      </c>
      <c r="D37124" s="2">
        <v>0</v>
      </c>
      <c r="E37124" s="2">
        <v>0</v>
      </c>
      <c r="F37124" s="2">
        <v>1.7182130584192401E-3</v>
      </c>
    </row>
    <row r="37125" spans="1:6" x14ac:dyDescent="0.25">
      <c r="A37125" s="1" t="str">
        <f t="shared" ref="A37125:A37145" si="1346">"47664"</f>
        <v>47664</v>
      </c>
      <c r="B37125" s="1" t="str">
        <f>"48165"</f>
        <v>48165</v>
      </c>
      <c r="C37125" s="2">
        <v>5.6481219994351805E-4</v>
      </c>
      <c r="D37125" s="2">
        <v>0</v>
      </c>
      <c r="E37125" s="2">
        <v>0</v>
      </c>
      <c r="F37125" s="2">
        <v>4.9091801669121202E-4</v>
      </c>
    </row>
    <row r="37126" spans="1:6" x14ac:dyDescent="0.25">
      <c r="A37126" s="1" t="str">
        <f t="shared" si="1346"/>
        <v>47664</v>
      </c>
      <c r="B37126" s="1" t="str">
        <f>"48314"</f>
        <v>48314</v>
      </c>
      <c r="C37126" s="2">
        <v>6.6365433493363393E-2</v>
      </c>
      <c r="D37126" s="2">
        <v>1.2500000000000001E-2</v>
      </c>
      <c r="E37126" s="2">
        <v>7.5187969924812E-3</v>
      </c>
      <c r="F37126" s="2">
        <v>5.9155621011291099E-2</v>
      </c>
    </row>
    <row r="37127" spans="1:6" x14ac:dyDescent="0.25">
      <c r="A37127" s="1" t="str">
        <f t="shared" si="1346"/>
        <v>47664</v>
      </c>
      <c r="B37127" s="1" t="str">
        <f>"48075"</f>
        <v>48075</v>
      </c>
      <c r="C37127" s="2">
        <v>2.8240609997175903E-4</v>
      </c>
      <c r="D37127" s="2">
        <v>7.4999999999999997E-3</v>
      </c>
      <c r="E37127" s="2">
        <v>0</v>
      </c>
      <c r="F37127" s="2">
        <v>9.818360333824249E-4</v>
      </c>
    </row>
    <row r="37128" spans="1:6" x14ac:dyDescent="0.25">
      <c r="A37128" s="1" t="str">
        <f t="shared" si="1346"/>
        <v>47664</v>
      </c>
      <c r="B37128" s="1" t="str">
        <f>"48043"</f>
        <v>48043</v>
      </c>
      <c r="C37128" s="2">
        <v>0</v>
      </c>
      <c r="D37128" s="2">
        <v>1.2500000000000001E-2</v>
      </c>
      <c r="E37128" s="2">
        <v>7.5187969924812E-3</v>
      </c>
      <c r="F37128" s="2">
        <v>1.4727540500736301E-3</v>
      </c>
    </row>
    <row r="37129" spans="1:6" x14ac:dyDescent="0.25">
      <c r="A37129" s="1" t="str">
        <f t="shared" si="1346"/>
        <v>47664</v>
      </c>
      <c r="B37129" s="1" t="str">
        <f>"48036"</f>
        <v>48036</v>
      </c>
      <c r="C37129" s="2">
        <v>5.6481219994351805E-4</v>
      </c>
      <c r="D37129" s="2">
        <v>0</v>
      </c>
      <c r="E37129" s="2">
        <v>0</v>
      </c>
      <c r="F37129" s="2">
        <v>4.9091801669121202E-4</v>
      </c>
    </row>
    <row r="37130" spans="1:6" x14ac:dyDescent="0.25">
      <c r="A37130" s="1" t="str">
        <f t="shared" si="1346"/>
        <v>47664</v>
      </c>
      <c r="B37130" s="1" t="str">
        <f>"48836"</f>
        <v>48836</v>
      </c>
      <c r="C37130" s="2">
        <v>3.95368539960463E-3</v>
      </c>
      <c r="D37130" s="2">
        <v>2.5000000000000001E-3</v>
      </c>
      <c r="E37130" s="2">
        <v>0</v>
      </c>
      <c r="F37130" s="2">
        <v>3.6818851251840898E-3</v>
      </c>
    </row>
    <row r="37131" spans="1:6" x14ac:dyDescent="0.25">
      <c r="A37131" s="1" t="str">
        <f t="shared" si="1346"/>
        <v>47664</v>
      </c>
      <c r="B37131" s="1" t="str">
        <f>"48336"</f>
        <v>48336</v>
      </c>
      <c r="C37131" s="2">
        <v>2.8240609997175903E-4</v>
      </c>
      <c r="D37131" s="2">
        <v>0</v>
      </c>
      <c r="E37131" s="2">
        <v>0</v>
      </c>
      <c r="F37131" s="2">
        <v>2.4545900834560601E-4</v>
      </c>
    </row>
    <row r="37132" spans="1:6" x14ac:dyDescent="0.25">
      <c r="A37132" s="1" t="str">
        <f t="shared" si="1346"/>
        <v>47664</v>
      </c>
      <c r="B37132" s="1" t="str">
        <f>"48095"</f>
        <v>48095</v>
      </c>
      <c r="C37132" s="2">
        <v>1.4120304998587901E-3</v>
      </c>
      <c r="D37132" s="2">
        <v>0</v>
      </c>
      <c r="E37132" s="2">
        <v>0</v>
      </c>
      <c r="F37132" s="2">
        <v>1.2272950417280301E-3</v>
      </c>
    </row>
    <row r="37133" spans="1:6" x14ac:dyDescent="0.25">
      <c r="A37133" s="1" t="str">
        <f t="shared" si="1346"/>
        <v>47664</v>
      </c>
      <c r="B37133" s="1" t="str">
        <f>"48038"</f>
        <v>48038</v>
      </c>
      <c r="C37133" s="2">
        <v>2.0615645297938402E-2</v>
      </c>
      <c r="D37133" s="2">
        <v>2.5000000000000001E-3</v>
      </c>
      <c r="E37133" s="2">
        <v>0</v>
      </c>
      <c r="F37133" s="2">
        <v>1.81639666175748E-2</v>
      </c>
    </row>
    <row r="37134" spans="1:6" x14ac:dyDescent="0.25">
      <c r="A37134" s="1" t="str">
        <f t="shared" si="1346"/>
        <v>47664</v>
      </c>
      <c r="B37134" s="1" t="str">
        <f>"48026"</f>
        <v>48026</v>
      </c>
      <c r="C37134" s="2">
        <v>2.8240609997175903E-4</v>
      </c>
      <c r="D37134" s="2">
        <v>0</v>
      </c>
      <c r="E37134" s="2">
        <v>0</v>
      </c>
      <c r="F37134" s="2">
        <v>2.4545900834560601E-4</v>
      </c>
    </row>
    <row r="37135" spans="1:6" x14ac:dyDescent="0.25">
      <c r="A37135" s="1" t="str">
        <f t="shared" si="1346"/>
        <v>47664</v>
      </c>
      <c r="B37135" s="1" t="str">
        <f>"48322"</f>
        <v>48322</v>
      </c>
      <c r="C37135" s="2">
        <v>6.8907088393109203E-2</v>
      </c>
      <c r="D37135" s="2">
        <v>7.4999999999999997E-3</v>
      </c>
      <c r="E37135" s="2">
        <v>7.5187969924812E-3</v>
      </c>
      <c r="F37135" s="2">
        <v>6.0873834069710302E-2</v>
      </c>
    </row>
    <row r="37136" spans="1:6" x14ac:dyDescent="0.25">
      <c r="A37136" s="1" t="str">
        <f t="shared" si="1346"/>
        <v>47664</v>
      </c>
      <c r="B37136" s="1" t="str">
        <f>"48377"</f>
        <v>48377</v>
      </c>
      <c r="C37136" s="2">
        <v>4.2643321095735598E-2</v>
      </c>
      <c r="D37136" s="2">
        <v>7.4999999999999997E-3</v>
      </c>
      <c r="E37136" s="2">
        <v>1.50375939849624E-2</v>
      </c>
      <c r="F37136" s="2">
        <v>3.82916053019145E-2</v>
      </c>
    </row>
    <row r="37137" spans="1:6" x14ac:dyDescent="0.25">
      <c r="A37137" s="1" t="str">
        <f t="shared" si="1346"/>
        <v>47664</v>
      </c>
      <c r="B37137" s="1" t="str">
        <f>"48462"</f>
        <v>48462</v>
      </c>
      <c r="C37137" s="2">
        <v>1.9768426998023102E-3</v>
      </c>
      <c r="D37137" s="2">
        <v>0</v>
      </c>
      <c r="E37137" s="2">
        <v>0</v>
      </c>
      <c r="F37137" s="2">
        <v>1.7182130584192401E-3</v>
      </c>
    </row>
    <row r="37138" spans="1:6" x14ac:dyDescent="0.25">
      <c r="A37138" s="1" t="str">
        <f t="shared" si="1346"/>
        <v>47664</v>
      </c>
      <c r="B37138" s="1" t="str">
        <f>"48076"</f>
        <v>48076</v>
      </c>
      <c r="C37138" s="2">
        <v>2.5416548997458299E-3</v>
      </c>
      <c r="D37138" s="2">
        <v>7.4999999999999997E-3</v>
      </c>
      <c r="E37138" s="2">
        <v>0</v>
      </c>
      <c r="F37138" s="2">
        <v>2.9455081001472701E-3</v>
      </c>
    </row>
    <row r="37139" spans="1:6" x14ac:dyDescent="0.25">
      <c r="A37139" s="1" t="str">
        <f t="shared" si="1346"/>
        <v>47664</v>
      </c>
      <c r="B37139" s="1" t="str">
        <f>"48307"</f>
        <v>48307</v>
      </c>
      <c r="C37139" s="2">
        <v>2.3439706297656002E-2</v>
      </c>
      <c r="D37139" s="2">
        <v>5.7500000000000002E-2</v>
      </c>
      <c r="E37139" s="2">
        <v>4.5112781954887202E-2</v>
      </c>
      <c r="F37139" s="2">
        <v>2.74914089347079E-2</v>
      </c>
    </row>
    <row r="37140" spans="1:6" x14ac:dyDescent="0.25">
      <c r="A37140" s="1" t="str">
        <f t="shared" si="1346"/>
        <v>47664</v>
      </c>
      <c r="B37140" s="1" t="str">
        <f>"48340"</f>
        <v>48340</v>
      </c>
      <c r="C37140" s="2">
        <v>0</v>
      </c>
      <c r="D37140" s="2">
        <v>1.2500000000000001E-2</v>
      </c>
      <c r="E37140" s="2">
        <v>7.5187969924812E-3</v>
      </c>
      <c r="F37140" s="2">
        <v>1.4727540500736301E-3</v>
      </c>
    </row>
    <row r="37141" spans="1:6" x14ac:dyDescent="0.25">
      <c r="A37141" s="1" t="str">
        <f t="shared" si="1346"/>
        <v>47664</v>
      </c>
      <c r="B37141" s="1" t="str">
        <f>"48059"</f>
        <v>48059</v>
      </c>
      <c r="C37141" s="2">
        <v>2.8240609997175903E-4</v>
      </c>
      <c r="D37141" s="2">
        <v>2.75E-2</v>
      </c>
      <c r="E37141" s="2">
        <v>7.5187969924812E-3</v>
      </c>
      <c r="F37141" s="2">
        <v>3.1909671084928799E-3</v>
      </c>
    </row>
    <row r="37142" spans="1:6" x14ac:dyDescent="0.25">
      <c r="A37142" s="1" t="str">
        <f t="shared" si="1346"/>
        <v>47664</v>
      </c>
      <c r="B37142" s="1" t="str">
        <f>"48097"</f>
        <v>48097</v>
      </c>
      <c r="C37142" s="2">
        <v>1.6944365998305499E-3</v>
      </c>
      <c r="D37142" s="2">
        <v>0</v>
      </c>
      <c r="E37142" s="2">
        <v>0</v>
      </c>
      <c r="F37142" s="2">
        <v>1.4727540500736301E-3</v>
      </c>
    </row>
    <row r="37143" spans="1:6" x14ac:dyDescent="0.25">
      <c r="A37143" s="1" t="str">
        <f t="shared" si="1346"/>
        <v>47664</v>
      </c>
      <c r="B37143" s="1" t="str">
        <f>"48346"</f>
        <v>48346</v>
      </c>
      <c r="C37143" s="2">
        <v>1.97684269980231E-2</v>
      </c>
      <c r="D37143" s="2">
        <v>1.2500000000000001E-2</v>
      </c>
      <c r="E37143" s="2">
        <v>1.50375939849624E-2</v>
      </c>
      <c r="F37143" s="2">
        <v>1.8900343642611599E-2</v>
      </c>
    </row>
    <row r="37144" spans="1:6" x14ac:dyDescent="0.25">
      <c r="A37144" s="1" t="str">
        <f t="shared" si="1346"/>
        <v>47664</v>
      </c>
      <c r="B37144" s="1" t="str">
        <f>"48383"</f>
        <v>48383</v>
      </c>
      <c r="C37144" s="2">
        <v>1.2990680598700901E-2</v>
      </c>
      <c r="D37144" s="2">
        <v>0</v>
      </c>
      <c r="E37144" s="2">
        <v>0</v>
      </c>
      <c r="F37144" s="2">
        <v>1.12911143838978E-2</v>
      </c>
    </row>
    <row r="37145" spans="1:6" x14ac:dyDescent="0.25">
      <c r="A37145" s="1" t="str">
        <f t="shared" si="1346"/>
        <v>47664</v>
      </c>
      <c r="B37145" s="1" t="str">
        <f>"48386"</f>
        <v>48386</v>
      </c>
      <c r="C37145" s="2">
        <v>8.47218299915278E-4</v>
      </c>
      <c r="D37145" s="2">
        <v>2.5000000000000001E-3</v>
      </c>
      <c r="E37145" s="2">
        <v>0</v>
      </c>
      <c r="F37145" s="2">
        <v>9.818360333824249E-4</v>
      </c>
    </row>
    <row r="37146" spans="1:6" x14ac:dyDescent="0.25">
      <c r="A37146" s="1" t="str">
        <f t="shared" ref="A37146:A37169" si="1347">"47700"</f>
        <v>47700</v>
      </c>
      <c r="B37146" s="1" t="str">
        <f>"46538"</f>
        <v>46538</v>
      </c>
      <c r="C37146" s="2">
        <v>6.3060773199806797E-2</v>
      </c>
      <c r="D37146" s="2">
        <v>1.7677642980935802E-2</v>
      </c>
      <c r="E37146" s="2">
        <v>2.0742358078602599E-2</v>
      </c>
      <c r="F37146" s="2">
        <v>5.9127572779529E-2</v>
      </c>
    </row>
    <row r="37147" spans="1:6" x14ac:dyDescent="0.25">
      <c r="A37147" s="1" t="str">
        <f t="shared" si="1347"/>
        <v>47700</v>
      </c>
      <c r="B37147" s="1" t="str">
        <f>"46506"</f>
        <v>46506</v>
      </c>
      <c r="C37147" s="2">
        <v>3.30427267874844E-4</v>
      </c>
      <c r="D37147" s="2">
        <v>3.4662045060658499E-4</v>
      </c>
      <c r="E37147" s="2">
        <v>0</v>
      </c>
      <c r="F37147" s="2">
        <v>3.2449471537177802E-4</v>
      </c>
    </row>
    <row r="37148" spans="1:6" x14ac:dyDescent="0.25">
      <c r="A37148" s="1" t="str">
        <f t="shared" si="1347"/>
        <v>47700</v>
      </c>
      <c r="B37148" s="1" t="str">
        <f>"46787"</f>
        <v>46787</v>
      </c>
      <c r="C37148" s="2">
        <v>1.6775538215184399E-3</v>
      </c>
      <c r="D37148" s="2">
        <v>0</v>
      </c>
      <c r="E37148" s="2">
        <v>1.09170305676855E-3</v>
      </c>
      <c r="F37148" s="2">
        <v>1.5529389949935099E-3</v>
      </c>
    </row>
    <row r="37149" spans="1:6" x14ac:dyDescent="0.25">
      <c r="A37149" s="1" t="str">
        <f t="shared" si="1347"/>
        <v>47700</v>
      </c>
      <c r="B37149" s="1" t="str">
        <f>"46550"</f>
        <v>46550</v>
      </c>
      <c r="C37149" s="2">
        <v>2.0918587804691999E-2</v>
      </c>
      <c r="D37149" s="2">
        <v>9.7053726169843996E-3</v>
      </c>
      <c r="E37149" s="2">
        <v>4.2576419213973697E-2</v>
      </c>
      <c r="F37149" s="2">
        <v>2.0628592620062999E-2</v>
      </c>
    </row>
    <row r="37150" spans="1:6" x14ac:dyDescent="0.25">
      <c r="A37150" s="1" t="str">
        <f t="shared" si="1347"/>
        <v>47700</v>
      </c>
      <c r="B37150" s="1" t="str">
        <f>"46562"</f>
        <v>46562</v>
      </c>
      <c r="C37150" s="2">
        <v>5.3757974735022702E-2</v>
      </c>
      <c r="D37150" s="2">
        <v>2.2530329289428001E-2</v>
      </c>
      <c r="E37150" s="2">
        <v>1.85589519650655E-2</v>
      </c>
      <c r="F37150" s="2">
        <v>5.0922492119413999E-2</v>
      </c>
    </row>
    <row r="37151" spans="1:6" x14ac:dyDescent="0.25">
      <c r="A37151" s="1" t="str">
        <f t="shared" si="1347"/>
        <v>47700</v>
      </c>
      <c r="B37151" s="1" t="str">
        <f>"46539"</f>
        <v>46539</v>
      </c>
      <c r="C37151" s="2">
        <v>2.1554024858297501E-2</v>
      </c>
      <c r="D37151" s="2">
        <v>9.3587521663778105E-3</v>
      </c>
      <c r="E37151" s="2">
        <v>2.9475982532751001E-2</v>
      </c>
      <c r="F37151" s="2">
        <v>2.0906730947524502E-2</v>
      </c>
    </row>
    <row r="37152" spans="1:6" x14ac:dyDescent="0.25">
      <c r="A37152" s="1" t="str">
        <f t="shared" si="1347"/>
        <v>47700</v>
      </c>
      <c r="B37152" s="1" t="str">
        <f>"46542"</f>
        <v>46542</v>
      </c>
      <c r="C37152" s="2">
        <v>3.87616602699336E-2</v>
      </c>
      <c r="D37152" s="2">
        <v>1.90641247833622E-2</v>
      </c>
      <c r="E37152" s="2">
        <v>6.8777292576419194E-2</v>
      </c>
      <c r="F37152" s="2">
        <v>3.8081772668273603E-2</v>
      </c>
    </row>
    <row r="37153" spans="1:6" x14ac:dyDescent="0.25">
      <c r="A37153" s="1" t="str">
        <f t="shared" si="1347"/>
        <v>47700</v>
      </c>
      <c r="B37153" s="1" t="str">
        <f>"46975"</f>
        <v>46975</v>
      </c>
      <c r="C37153" s="2">
        <v>1.27087410721093E-4</v>
      </c>
      <c r="D37153" s="2">
        <v>6.9324090121317095E-4</v>
      </c>
      <c r="E37153" s="2">
        <v>0</v>
      </c>
      <c r="F37153" s="2">
        <v>1.6224735768588901E-4</v>
      </c>
    </row>
    <row r="37154" spans="1:6" x14ac:dyDescent="0.25">
      <c r="A37154" s="1" t="str">
        <f t="shared" si="1347"/>
        <v>47700</v>
      </c>
      <c r="B37154" s="1" t="str">
        <f>"46508"</f>
        <v>46508</v>
      </c>
      <c r="C37154" s="2">
        <v>3.0500978573062501E-4</v>
      </c>
      <c r="D37154" s="2">
        <v>0</v>
      </c>
      <c r="E37154" s="2">
        <v>1.09170305676855E-3</v>
      </c>
      <c r="F37154" s="2">
        <v>3.01316521416651E-4</v>
      </c>
    </row>
    <row r="37155" spans="1:6" x14ac:dyDescent="0.25">
      <c r="A37155" s="1" t="str">
        <f t="shared" si="1347"/>
        <v>47700</v>
      </c>
      <c r="B37155" s="1" t="str">
        <f>"46524"</f>
        <v>46524</v>
      </c>
      <c r="C37155" s="2">
        <v>1.9978140965355901E-2</v>
      </c>
      <c r="D37155" s="2">
        <v>1.2478336221837E-2</v>
      </c>
      <c r="E37155" s="2">
        <v>9.8253275109170292E-3</v>
      </c>
      <c r="F37155" s="2">
        <v>1.9261079176710501E-2</v>
      </c>
    </row>
    <row r="37156" spans="1:6" x14ac:dyDescent="0.25">
      <c r="A37156" s="1" t="str">
        <f t="shared" si="1347"/>
        <v>47700</v>
      </c>
      <c r="B37156" s="1" t="str">
        <f>"46502"</f>
        <v>46502</v>
      </c>
      <c r="C37156" s="2">
        <v>2.5417482144218699E-5</v>
      </c>
      <c r="D37156" s="2">
        <v>0</v>
      </c>
      <c r="E37156" s="2">
        <v>1.09170305676855E-3</v>
      </c>
      <c r="F37156" s="2">
        <v>4.6356387910254002E-5</v>
      </c>
    </row>
    <row r="37157" spans="1:6" x14ac:dyDescent="0.25">
      <c r="A37157" s="1" t="str">
        <f t="shared" si="1347"/>
        <v>47700</v>
      </c>
      <c r="B37157" s="1" t="str">
        <f>"46555"</f>
        <v>46555</v>
      </c>
      <c r="C37157" s="2">
        <v>3.8024553287751298E-2</v>
      </c>
      <c r="D37157" s="2">
        <v>1.87175043327556E-2</v>
      </c>
      <c r="E37157" s="2">
        <v>2.1834061135371102E-2</v>
      </c>
      <c r="F37157" s="2">
        <v>3.6389764509549401E-2</v>
      </c>
    </row>
    <row r="37158" spans="1:6" x14ac:dyDescent="0.25">
      <c r="A37158" s="1" t="str">
        <f t="shared" si="1347"/>
        <v>47700</v>
      </c>
      <c r="B37158" s="1" t="str">
        <f>"46767"</f>
        <v>46767</v>
      </c>
      <c r="C37158" s="2">
        <v>1.01669928576875E-4</v>
      </c>
      <c r="D37158" s="2">
        <v>0</v>
      </c>
      <c r="E37158" s="2">
        <v>0</v>
      </c>
      <c r="F37158" s="2">
        <v>9.2712775820508005E-5</v>
      </c>
    </row>
    <row r="37159" spans="1:6" x14ac:dyDescent="0.25">
      <c r="A37159" s="1" t="str">
        <f t="shared" si="1347"/>
        <v>47700</v>
      </c>
      <c r="B37159" s="1" t="str">
        <f>"46567"</f>
        <v>46567</v>
      </c>
      <c r="C37159" s="2">
        <v>0.141092443382558</v>
      </c>
      <c r="D37159" s="2">
        <v>0.14176776429809301</v>
      </c>
      <c r="E37159" s="2">
        <v>0.15611353711790299</v>
      </c>
      <c r="F37159" s="2">
        <v>0.14145651770813999</v>
      </c>
    </row>
    <row r="37160" spans="1:6" x14ac:dyDescent="0.25">
      <c r="A37160" s="1" t="str">
        <f t="shared" si="1347"/>
        <v>47700</v>
      </c>
      <c r="B37160" s="1" t="str">
        <f>"46582"</f>
        <v>46582</v>
      </c>
      <c r="C37160" s="2">
        <v>0.17034796533055399</v>
      </c>
      <c r="D37160" s="2">
        <v>0.12512998266897701</v>
      </c>
      <c r="E37160" s="2">
        <v>0.14082969432314399</v>
      </c>
      <c r="F37160" s="2">
        <v>0.16669757092527299</v>
      </c>
    </row>
    <row r="37161" spans="1:6" x14ac:dyDescent="0.25">
      <c r="A37161" s="1" t="str">
        <f t="shared" si="1347"/>
        <v>47700</v>
      </c>
      <c r="B37161" s="1" t="str">
        <f>"46510"</f>
        <v>46510</v>
      </c>
      <c r="C37161" s="2">
        <v>4.2294690287979997E-2</v>
      </c>
      <c r="D37161" s="2">
        <v>1.1091854419410701E-2</v>
      </c>
      <c r="E37161" s="2">
        <v>1.4192139737991201E-2</v>
      </c>
      <c r="F37161" s="2">
        <v>3.9611533469312003E-2</v>
      </c>
    </row>
    <row r="37162" spans="1:6" x14ac:dyDescent="0.25">
      <c r="A37162" s="1" t="str">
        <f t="shared" si="1347"/>
        <v>47700</v>
      </c>
      <c r="B37162" s="1" t="str">
        <f>"46504"</f>
        <v>46504</v>
      </c>
      <c r="C37162" s="2">
        <v>1.0929517322014E-3</v>
      </c>
      <c r="D37162" s="2">
        <v>1.03986135181975E-3</v>
      </c>
      <c r="E37162" s="2">
        <v>0</v>
      </c>
      <c r="F37162" s="2">
        <v>1.0661969219358399E-3</v>
      </c>
    </row>
    <row r="37163" spans="1:6" x14ac:dyDescent="0.25">
      <c r="A37163" s="1" t="str">
        <f t="shared" si="1347"/>
        <v>47700</v>
      </c>
      <c r="B37163" s="1" t="str">
        <f>"46910"</f>
        <v>46910</v>
      </c>
      <c r="C37163" s="2">
        <v>5.3885062145743803E-3</v>
      </c>
      <c r="D37163" s="2">
        <v>2.7729636048526799E-3</v>
      </c>
      <c r="E37163" s="2">
        <v>2.18340611353711E-3</v>
      </c>
      <c r="F37163" s="2">
        <v>5.1455590580381898E-3</v>
      </c>
    </row>
    <row r="37164" spans="1:6" x14ac:dyDescent="0.25">
      <c r="A37164" s="1" t="str">
        <f t="shared" si="1347"/>
        <v>47700</v>
      </c>
      <c r="B37164" s="1" t="str">
        <f>"46580"</f>
        <v>46580</v>
      </c>
      <c r="C37164" s="2">
        <v>0.248837150191901</v>
      </c>
      <c r="D37164" s="2">
        <v>0.44124783362218301</v>
      </c>
      <c r="E37164" s="2">
        <v>0.377729257641921</v>
      </c>
      <c r="F37164" s="2">
        <v>0.264440014834044</v>
      </c>
    </row>
    <row r="37165" spans="1:6" x14ac:dyDescent="0.25">
      <c r="A37165" s="1" t="str">
        <f t="shared" si="1347"/>
        <v>47700</v>
      </c>
      <c r="B37165" s="1" t="str">
        <f>"46581"</f>
        <v>46581</v>
      </c>
      <c r="C37165" s="2">
        <v>3.1263503037389097E-2</v>
      </c>
      <c r="D37165" s="2">
        <v>0.12755632582322299</v>
      </c>
      <c r="E37165" s="2">
        <v>2.18340611353711E-3</v>
      </c>
      <c r="F37165" s="2">
        <v>3.7085110328203198E-2</v>
      </c>
    </row>
    <row r="37166" spans="1:6" x14ac:dyDescent="0.25">
      <c r="A37166" s="1" t="str">
        <f t="shared" si="1347"/>
        <v>47700</v>
      </c>
      <c r="B37166" s="1" t="str">
        <f>"46590"</f>
        <v>46590</v>
      </c>
      <c r="C37166" s="2">
        <v>4.8750730752611597E-2</v>
      </c>
      <c r="D37166" s="2">
        <v>2.53032928942807E-2</v>
      </c>
      <c r="E37166" s="2">
        <v>6.98689956331877E-2</v>
      </c>
      <c r="F37166" s="2">
        <v>4.7631188577785998E-2</v>
      </c>
    </row>
    <row r="37167" spans="1:6" x14ac:dyDescent="0.25">
      <c r="A37167" s="1" t="str">
        <f t="shared" si="1347"/>
        <v>47700</v>
      </c>
      <c r="B37167" s="1" t="str">
        <f>"46732"</f>
        <v>46732</v>
      </c>
      <c r="C37167" s="2">
        <v>1.45133823043489E-2</v>
      </c>
      <c r="D37167" s="2">
        <v>1.38648180242634E-3</v>
      </c>
      <c r="E37167" s="2">
        <v>6.5502183406113499E-3</v>
      </c>
      <c r="F37167" s="2">
        <v>1.3466530687928699E-2</v>
      </c>
    </row>
    <row r="37168" spans="1:6" x14ac:dyDescent="0.25">
      <c r="A37168" s="1" t="str">
        <f t="shared" si="1347"/>
        <v>47700</v>
      </c>
      <c r="B37168" s="1" t="str">
        <f>"46982"</f>
        <v>46982</v>
      </c>
      <c r="C37168" s="2">
        <v>3.4694863126858599E-2</v>
      </c>
      <c r="D37168" s="2">
        <v>1.14384748700173E-2</v>
      </c>
      <c r="E37168" s="2">
        <v>1.52838427947598E-2</v>
      </c>
      <c r="F37168" s="2">
        <v>3.2727609864639302E-2</v>
      </c>
    </row>
    <row r="37169" spans="1:6" x14ac:dyDescent="0.25">
      <c r="A37169" s="1" t="str">
        <f t="shared" si="1347"/>
        <v>47700</v>
      </c>
      <c r="B37169" s="1" t="str">
        <f>"46962"</f>
        <v>46962</v>
      </c>
      <c r="C37169" s="2">
        <v>3.1009328215946901E-3</v>
      </c>
      <c r="D37169" s="2">
        <v>6.9324090121317095E-4</v>
      </c>
      <c r="E37169" s="2">
        <v>0</v>
      </c>
      <c r="F37169" s="2">
        <v>2.8740960504357498E-3</v>
      </c>
    </row>
    <row r="37170" spans="1:6" x14ac:dyDescent="0.25">
      <c r="A37170" s="1" t="str">
        <f t="shared" ref="A37170:A37177" si="1348">"47780"</f>
        <v>47780</v>
      </c>
      <c r="B37170" s="1" t="str">
        <f>"47529"</f>
        <v>47529</v>
      </c>
      <c r="C37170" s="2">
        <v>2.8253481708536001E-2</v>
      </c>
      <c r="D37170" s="2">
        <v>1.25944584382871E-2</v>
      </c>
      <c r="E37170" s="2">
        <v>1.2500000000000001E-2</v>
      </c>
      <c r="F37170" s="2">
        <v>2.68889159265117E-2</v>
      </c>
    </row>
    <row r="37171" spans="1:6" x14ac:dyDescent="0.25">
      <c r="A37171" s="1" t="str">
        <f t="shared" si="1348"/>
        <v>47780</v>
      </c>
      <c r="B37171" s="1" t="str">
        <f>"47553"</f>
        <v>47553</v>
      </c>
      <c r="C37171" s="2">
        <v>6.6768841207436494E-2</v>
      </c>
      <c r="D37171" s="2">
        <v>2.18303946263643E-2</v>
      </c>
      <c r="E37171" s="2">
        <v>4.1666666666666597E-3</v>
      </c>
      <c r="F37171" s="2">
        <v>6.2598856308553302E-2</v>
      </c>
    </row>
    <row r="37172" spans="1:6" x14ac:dyDescent="0.25">
      <c r="A37172" s="1" t="str">
        <f t="shared" si="1348"/>
        <v>47780</v>
      </c>
      <c r="B37172" s="1" t="str">
        <f>"47449"</f>
        <v>47449</v>
      </c>
      <c r="C37172" s="2">
        <v>3.3317785033650898E-4</v>
      </c>
      <c r="D37172" s="2">
        <v>0</v>
      </c>
      <c r="E37172" s="2">
        <v>0</v>
      </c>
      <c r="F37172" s="2">
        <v>3.0417325708723602E-4</v>
      </c>
    </row>
    <row r="37173" spans="1:6" x14ac:dyDescent="0.25">
      <c r="A37173" s="1" t="str">
        <f t="shared" si="1348"/>
        <v>47780</v>
      </c>
      <c r="B37173" s="1" t="str">
        <f>"47568"</f>
        <v>47568</v>
      </c>
      <c r="C37173" s="2">
        <v>2.5188245485440099E-2</v>
      </c>
      <c r="D37173" s="2">
        <v>1.3434089000839601E-2</v>
      </c>
      <c r="E37173" s="2">
        <v>8.3333333333333297E-3</v>
      </c>
      <c r="F37173" s="2">
        <v>2.4090521961309098E-2</v>
      </c>
    </row>
    <row r="37174" spans="1:6" x14ac:dyDescent="0.25">
      <c r="A37174" s="1" t="str">
        <f t="shared" si="1348"/>
        <v>47780</v>
      </c>
      <c r="B37174" s="1" t="str">
        <f>"47519"</f>
        <v>47519</v>
      </c>
      <c r="C37174" s="2">
        <v>1.6392350236556202E-2</v>
      </c>
      <c r="D37174" s="2">
        <v>8.3963056255247602E-3</v>
      </c>
      <c r="E37174" s="2">
        <v>8.3333333333333297E-3</v>
      </c>
      <c r="F37174" s="2">
        <v>1.5695340065701401E-2</v>
      </c>
    </row>
    <row r="37175" spans="1:6" x14ac:dyDescent="0.25">
      <c r="A37175" s="1" t="str">
        <f t="shared" si="1348"/>
        <v>47780</v>
      </c>
      <c r="B37175" s="1" t="str">
        <f>"47562"</f>
        <v>47562</v>
      </c>
      <c r="C37175" s="2">
        <v>0.18764576530952201</v>
      </c>
      <c r="D37175" s="2">
        <v>0.15952980688497001</v>
      </c>
      <c r="E37175" s="2">
        <v>8.3333333333333301E-2</v>
      </c>
      <c r="F37175" s="2">
        <v>0.18408565518919501</v>
      </c>
    </row>
    <row r="37176" spans="1:6" x14ac:dyDescent="0.25">
      <c r="A37176" s="1" t="str">
        <f t="shared" si="1348"/>
        <v>47780</v>
      </c>
      <c r="B37176" s="1" t="str">
        <f>"47501"</f>
        <v>47501</v>
      </c>
      <c r="C37176" s="2">
        <v>0.572399546878123</v>
      </c>
      <c r="D37176" s="2">
        <v>0.69101595298068796</v>
      </c>
      <c r="E37176" s="2">
        <v>0.85416666666666596</v>
      </c>
      <c r="F37176" s="2">
        <v>0.58510767733300795</v>
      </c>
    </row>
    <row r="37177" spans="1:6" x14ac:dyDescent="0.25">
      <c r="A37177" s="1" t="str">
        <f t="shared" si="1348"/>
        <v>47780</v>
      </c>
      <c r="B37177" s="1" t="str">
        <f>"47558"</f>
        <v>47558</v>
      </c>
      <c r="C37177" s="2">
        <v>0.103018591324048</v>
      </c>
      <c r="D37177" s="2">
        <v>9.3198992443324899E-2</v>
      </c>
      <c r="E37177" s="2">
        <v>2.9166666666666601E-2</v>
      </c>
      <c r="F37177" s="2">
        <v>0.101228859958632</v>
      </c>
    </row>
    <row r="37178" spans="1:6" x14ac:dyDescent="0.25">
      <c r="A37178" s="1" t="str">
        <f t="shared" ref="A37178:A37191" si="1349">"47820"</f>
        <v>47820</v>
      </c>
      <c r="B37178" s="1" t="str">
        <f>"27871"</f>
        <v>27871</v>
      </c>
      <c r="C37178" s="2">
        <v>2.40172924505644E-4</v>
      </c>
      <c r="D37178" s="2">
        <v>0</v>
      </c>
      <c r="E37178" s="2">
        <v>0</v>
      </c>
      <c r="F37178" s="2">
        <v>2.20685596586729E-4</v>
      </c>
    </row>
    <row r="37179" spans="1:6" x14ac:dyDescent="0.25">
      <c r="A37179" s="1" t="str">
        <f t="shared" si="1349"/>
        <v>47820</v>
      </c>
      <c r="B37179" s="1" t="str">
        <f>"27808"</f>
        <v>27808</v>
      </c>
      <c r="C37179" s="2">
        <v>5.76815307021055E-2</v>
      </c>
      <c r="D37179" s="2">
        <v>1.63934426229508E-2</v>
      </c>
      <c r="E37179" s="2">
        <v>0.22440944881889699</v>
      </c>
      <c r="F37179" s="2">
        <v>5.6274827129615998E-2</v>
      </c>
    </row>
    <row r="37180" spans="1:6" x14ac:dyDescent="0.25">
      <c r="A37180" s="1" t="str">
        <f t="shared" si="1349"/>
        <v>47820</v>
      </c>
      <c r="B37180" s="1" t="str">
        <f>"27817"</f>
        <v>27817</v>
      </c>
      <c r="C37180" s="2">
        <v>0.14646545512769099</v>
      </c>
      <c r="D37180" s="2">
        <v>6.1987704918032703E-2</v>
      </c>
      <c r="E37180" s="2">
        <v>7.8740157480314907E-3</v>
      </c>
      <c r="F37180" s="2">
        <v>0.13910548771516801</v>
      </c>
    </row>
    <row r="37181" spans="1:6" x14ac:dyDescent="0.25">
      <c r="A37181" s="1" t="str">
        <f t="shared" si="1349"/>
        <v>47820</v>
      </c>
      <c r="B37181" s="1" t="str">
        <f>"27889"</f>
        <v>27889</v>
      </c>
      <c r="C37181" s="2">
        <v>0.50472340084861</v>
      </c>
      <c r="D37181" s="2">
        <v>0.724385245901639</v>
      </c>
      <c r="E37181" s="2">
        <v>0.71653543307086598</v>
      </c>
      <c r="F37181" s="2">
        <v>0.522473149919081</v>
      </c>
    </row>
    <row r="37182" spans="1:6" x14ac:dyDescent="0.25">
      <c r="A37182" s="1" t="str">
        <f t="shared" si="1349"/>
        <v>47820</v>
      </c>
      <c r="B37182" s="1" t="str">
        <f>"27810"</f>
        <v>27810</v>
      </c>
      <c r="C37182" s="2">
        <v>0.100552397726362</v>
      </c>
      <c r="D37182" s="2">
        <v>0.11014344262295001</v>
      </c>
      <c r="E37182" s="2">
        <v>3.5433070866141697E-2</v>
      </c>
      <c r="F37182" s="2">
        <v>0.100632632043548</v>
      </c>
    </row>
    <row r="37183" spans="1:6" x14ac:dyDescent="0.25">
      <c r="A37183" s="1" t="str">
        <f t="shared" si="1349"/>
        <v>47820</v>
      </c>
      <c r="B37183" s="1" t="str">
        <f>"28586"</f>
        <v>28586</v>
      </c>
      <c r="C37183" s="2">
        <v>9.3667440557201106E-3</v>
      </c>
      <c r="D37183" s="2">
        <v>7.6844262295081896E-3</v>
      </c>
      <c r="E37183" s="2">
        <v>0</v>
      </c>
      <c r="F37183" s="2">
        <v>9.15845225834927E-3</v>
      </c>
    </row>
    <row r="37184" spans="1:6" x14ac:dyDescent="0.25">
      <c r="A37184" s="1" t="str">
        <f t="shared" si="1349"/>
        <v>47820</v>
      </c>
      <c r="B37184" s="1" t="str">
        <f>"27962"</f>
        <v>27962</v>
      </c>
      <c r="C37184" s="2">
        <v>7.16515891441838E-3</v>
      </c>
      <c r="D37184" s="2">
        <v>2.04918032786885E-3</v>
      </c>
      <c r="E37184" s="2">
        <v>3.9370078740157402E-3</v>
      </c>
      <c r="F37184" s="2">
        <v>6.7676916286597E-3</v>
      </c>
    </row>
    <row r="37185" spans="1:6" x14ac:dyDescent="0.25">
      <c r="A37185" s="1" t="str">
        <f t="shared" si="1349"/>
        <v>47820</v>
      </c>
      <c r="B37185" s="1" t="str">
        <f>"27821"</f>
        <v>27821</v>
      </c>
      <c r="C37185" s="2">
        <v>6.9249859899127297E-3</v>
      </c>
      <c r="D37185" s="2">
        <v>3.5860655737704901E-3</v>
      </c>
      <c r="E37185" s="2">
        <v>0</v>
      </c>
      <c r="F37185" s="2">
        <v>6.6205678976018799E-3</v>
      </c>
    </row>
    <row r="37186" spans="1:6" x14ac:dyDescent="0.25">
      <c r="A37186" s="1" t="str">
        <f t="shared" si="1349"/>
        <v>47820</v>
      </c>
      <c r="B37186" s="1" t="str">
        <f>"27860"</f>
        <v>27860</v>
      </c>
      <c r="C37186" s="2">
        <v>3.12224801857337E-2</v>
      </c>
      <c r="D37186" s="2">
        <v>2.3053278688524501E-2</v>
      </c>
      <c r="E37186" s="2">
        <v>3.9370078740157402E-3</v>
      </c>
      <c r="F37186" s="2">
        <v>3.03810504634397E-2</v>
      </c>
    </row>
    <row r="37187" spans="1:6" x14ac:dyDescent="0.25">
      <c r="A37187" s="1" t="str">
        <f t="shared" si="1349"/>
        <v>47820</v>
      </c>
      <c r="B37187" s="1" t="str">
        <f>"27865"</f>
        <v>27865</v>
      </c>
      <c r="C37187" s="2">
        <v>3.8147466175646398E-2</v>
      </c>
      <c r="D37187" s="2">
        <v>2.1516393442622898E-2</v>
      </c>
      <c r="E37187" s="2">
        <v>0</v>
      </c>
      <c r="F37187" s="2">
        <v>3.6597028100632603E-2</v>
      </c>
    </row>
    <row r="37188" spans="1:6" x14ac:dyDescent="0.25">
      <c r="A37188" s="1" t="str">
        <f t="shared" si="1349"/>
        <v>47820</v>
      </c>
      <c r="B37188" s="1" t="str">
        <f>"27834"</f>
        <v>27834</v>
      </c>
      <c r="C37188" s="2">
        <v>9.2066287727163504E-4</v>
      </c>
      <c r="D37188" s="2">
        <v>5.1229508196721303E-4</v>
      </c>
      <c r="E37188" s="2">
        <v>0</v>
      </c>
      <c r="F37188" s="2">
        <v>8.8274238634691697E-4</v>
      </c>
    </row>
    <row r="37189" spans="1:6" x14ac:dyDescent="0.25">
      <c r="A37189" s="1" t="str">
        <f t="shared" si="1349"/>
        <v>47820</v>
      </c>
      <c r="B37189" s="1" t="str">
        <f>"27837"</f>
        <v>27837</v>
      </c>
      <c r="C37189" s="2">
        <v>6.5647266031542703E-3</v>
      </c>
      <c r="D37189" s="2">
        <v>5.1229508196721303E-4</v>
      </c>
      <c r="E37189" s="2">
        <v>0</v>
      </c>
      <c r="F37189" s="2">
        <v>6.0688539061350497E-3</v>
      </c>
    </row>
    <row r="37190" spans="1:6" x14ac:dyDescent="0.25">
      <c r="A37190" s="1" t="str">
        <f t="shared" si="1349"/>
        <v>47820</v>
      </c>
      <c r="B37190" s="1" t="str">
        <f>"27806"</f>
        <v>27806</v>
      </c>
      <c r="C37190" s="2">
        <v>4.8514930750140101E-2</v>
      </c>
      <c r="D37190" s="2">
        <v>1.9979508196721299E-2</v>
      </c>
      <c r="E37190" s="2">
        <v>7.8740157480314907E-3</v>
      </c>
      <c r="F37190" s="2">
        <v>4.6086508753861902E-2</v>
      </c>
    </row>
    <row r="37191" spans="1:6" x14ac:dyDescent="0.25">
      <c r="A37191" s="1" t="str">
        <f t="shared" si="1349"/>
        <v>47820</v>
      </c>
      <c r="B37191" s="1" t="str">
        <f>"27814"</f>
        <v>27814</v>
      </c>
      <c r="C37191" s="2">
        <v>4.15098871187254E-2</v>
      </c>
      <c r="D37191" s="2">
        <v>8.1967213114753999E-3</v>
      </c>
      <c r="E37191" s="2">
        <v>0</v>
      </c>
      <c r="F37191" s="2">
        <v>3.8730322200971001E-2</v>
      </c>
    </row>
    <row r="37192" spans="1:6" x14ac:dyDescent="0.25">
      <c r="A37192" s="1" t="str">
        <f t="shared" ref="A37192:A37255" si="1350">"47894"</f>
        <v>47894</v>
      </c>
      <c r="B37192" s="1" t="str">
        <f>"20169"</f>
        <v>20169</v>
      </c>
      <c r="C37192" s="2">
        <v>8.1822202565236604E-4</v>
      </c>
      <c r="D37192" s="2">
        <v>0</v>
      </c>
      <c r="E37192" s="2">
        <v>0</v>
      </c>
      <c r="F37192" s="2">
        <v>7.4994426089952703E-4</v>
      </c>
    </row>
    <row r="37193" spans="1:6" x14ac:dyDescent="0.25">
      <c r="A37193" s="1" t="str">
        <f t="shared" si="1350"/>
        <v>47894</v>
      </c>
      <c r="B37193" s="1" t="str">
        <f>"20688"</f>
        <v>20688</v>
      </c>
      <c r="C37193" s="2">
        <v>7.0765148164528898E-4</v>
      </c>
      <c r="D37193" s="2">
        <v>1.74114915844457E-3</v>
      </c>
      <c r="E37193" s="2">
        <v>4.1771094402673299E-4</v>
      </c>
      <c r="F37193" s="2">
        <v>7.2967549709143198E-4</v>
      </c>
    </row>
    <row r="37194" spans="1:6" x14ac:dyDescent="0.25">
      <c r="A37194" s="1" t="str">
        <f t="shared" si="1350"/>
        <v>47894</v>
      </c>
      <c r="B37194" s="1" t="str">
        <f>"20130"</f>
        <v>20130</v>
      </c>
      <c r="C37194" s="2">
        <v>2.2114108801415301E-5</v>
      </c>
      <c r="D37194" s="2">
        <v>0</v>
      </c>
      <c r="E37194" s="2">
        <v>4.1771094402673299E-4</v>
      </c>
      <c r="F37194" s="2">
        <v>4.0537527616190601E-5</v>
      </c>
    </row>
    <row r="37195" spans="1:6" x14ac:dyDescent="0.25">
      <c r="A37195" s="1" t="str">
        <f t="shared" si="1350"/>
        <v>47894</v>
      </c>
      <c r="B37195" s="1" t="str">
        <f>"20781"</f>
        <v>20781</v>
      </c>
      <c r="C37195" s="2">
        <v>0</v>
      </c>
      <c r="D37195" s="2">
        <v>1.74114915844457E-3</v>
      </c>
      <c r="E37195" s="2">
        <v>2.08855472013366E-3</v>
      </c>
      <c r="F37195" s="2">
        <v>1.62150110464762E-4</v>
      </c>
    </row>
    <row r="37196" spans="1:6" x14ac:dyDescent="0.25">
      <c r="A37196" s="1" t="str">
        <f t="shared" si="1350"/>
        <v>47894</v>
      </c>
      <c r="B37196" s="1" t="str">
        <f>"20602"</f>
        <v>20602</v>
      </c>
      <c r="C37196" s="2">
        <v>2.2114108801415301E-5</v>
      </c>
      <c r="D37196" s="2">
        <v>7.5449796865931498E-3</v>
      </c>
      <c r="E37196" s="2">
        <v>1.2531328320802E-3</v>
      </c>
      <c r="F37196" s="2">
        <v>3.4456898473762002E-4</v>
      </c>
    </row>
    <row r="37197" spans="1:6" x14ac:dyDescent="0.25">
      <c r="A37197" s="1" t="str">
        <f t="shared" si="1350"/>
        <v>47894</v>
      </c>
      <c r="B37197" s="1" t="str">
        <f>"22716"</f>
        <v>22716</v>
      </c>
      <c r="C37197" s="2">
        <v>6.6342326404245899E-5</v>
      </c>
      <c r="D37197" s="2">
        <v>0</v>
      </c>
      <c r="E37197" s="2">
        <v>0</v>
      </c>
      <c r="F37197" s="2">
        <v>6.0806291424286003E-5</v>
      </c>
    </row>
    <row r="37198" spans="1:6" x14ac:dyDescent="0.25">
      <c r="A37198" s="1" t="str">
        <f t="shared" si="1350"/>
        <v>47894</v>
      </c>
      <c r="B37198" s="1" t="str">
        <f>"20617"</f>
        <v>20617</v>
      </c>
      <c r="C37198" s="2">
        <v>4.4228217602830602E-5</v>
      </c>
      <c r="D37198" s="2">
        <v>0</v>
      </c>
      <c r="E37198" s="2">
        <v>0</v>
      </c>
      <c r="F37198" s="2">
        <v>4.0537527616190601E-5</v>
      </c>
    </row>
    <row r="37199" spans="1:6" x14ac:dyDescent="0.25">
      <c r="A37199" s="1" t="str">
        <f t="shared" si="1350"/>
        <v>47894</v>
      </c>
      <c r="B37199" s="1" t="str">
        <f>"20141"</f>
        <v>20141</v>
      </c>
      <c r="C37199" s="2">
        <v>1.03936311366651E-3</v>
      </c>
      <c r="D37199" s="2">
        <v>5.8038305281485705E-4</v>
      </c>
      <c r="E37199" s="2">
        <v>0</v>
      </c>
      <c r="F37199" s="2">
        <v>9.7290066278857604E-4</v>
      </c>
    </row>
    <row r="37200" spans="1:6" x14ac:dyDescent="0.25">
      <c r="A37200" s="1" t="str">
        <f t="shared" si="1350"/>
        <v>47894</v>
      </c>
      <c r="B37200" s="1" t="str">
        <f>"22305"</f>
        <v>22305</v>
      </c>
      <c r="C37200" s="2">
        <v>0</v>
      </c>
      <c r="D37200" s="2">
        <v>0</v>
      </c>
      <c r="E37200" s="2">
        <v>8.3542188805346695E-4</v>
      </c>
      <c r="F37200" s="2">
        <v>4.0537527616190601E-5</v>
      </c>
    </row>
    <row r="37201" spans="1:6" x14ac:dyDescent="0.25">
      <c r="A37201" s="1" t="str">
        <f t="shared" si="1350"/>
        <v>47894</v>
      </c>
      <c r="B37201" s="1" t="str">
        <f>"20010"</f>
        <v>20010</v>
      </c>
      <c r="C37201" s="2">
        <v>3.6488279522335198E-3</v>
      </c>
      <c r="D37201" s="2">
        <v>4.0626813697040003E-3</v>
      </c>
      <c r="E37201" s="2">
        <v>1.0442773600668301E-2</v>
      </c>
      <c r="F37201" s="2">
        <v>3.9929464701947796E-3</v>
      </c>
    </row>
    <row r="37202" spans="1:6" x14ac:dyDescent="0.25">
      <c r="A37202" s="1" t="str">
        <f t="shared" si="1350"/>
        <v>47894</v>
      </c>
      <c r="B37202" s="1" t="str">
        <f>"20148"</f>
        <v>20148</v>
      </c>
      <c r="C37202" s="2">
        <v>1.2140645731977E-2</v>
      </c>
      <c r="D37202" s="2">
        <v>1.16076610562971E-3</v>
      </c>
      <c r="E37202" s="2">
        <v>5.43024227234753E-3</v>
      </c>
      <c r="F37202" s="2">
        <v>1.1431582787765701E-2</v>
      </c>
    </row>
    <row r="37203" spans="1:6" x14ac:dyDescent="0.25">
      <c r="A37203" s="1" t="str">
        <f t="shared" si="1350"/>
        <v>47894</v>
      </c>
      <c r="B37203" s="1" t="str">
        <f>"22205"</f>
        <v>22205</v>
      </c>
      <c r="C37203" s="2">
        <v>2.2114108801415299E-4</v>
      </c>
      <c r="D37203" s="2">
        <v>0</v>
      </c>
      <c r="E37203" s="2">
        <v>0</v>
      </c>
      <c r="F37203" s="2">
        <v>2.0268763808095299E-4</v>
      </c>
    </row>
    <row r="37204" spans="1:6" x14ac:dyDescent="0.25">
      <c r="A37204" s="1" t="str">
        <f t="shared" si="1350"/>
        <v>47894</v>
      </c>
      <c r="B37204" s="1" t="str">
        <f>"20783"</f>
        <v>20783</v>
      </c>
      <c r="C37204" s="2">
        <v>0</v>
      </c>
      <c r="D37204" s="2">
        <v>5.8038305281485705E-4</v>
      </c>
      <c r="E37204" s="2">
        <v>8.3542188805346695E-4</v>
      </c>
      <c r="F37204" s="2">
        <v>6.0806291424286003E-5</v>
      </c>
    </row>
    <row r="37205" spans="1:6" x14ac:dyDescent="0.25">
      <c r="A37205" s="1" t="str">
        <f t="shared" si="1350"/>
        <v>47894</v>
      </c>
      <c r="B37205" s="1" t="str">
        <f>"20015"</f>
        <v>20015</v>
      </c>
      <c r="C37205" s="2">
        <v>6.6342326404245899E-5</v>
      </c>
      <c r="D37205" s="2">
        <v>5.2234474753337203E-3</v>
      </c>
      <c r="E37205" s="2">
        <v>2.5062656641604E-3</v>
      </c>
      <c r="F37205" s="2">
        <v>3.6483774854571599E-4</v>
      </c>
    </row>
    <row r="37206" spans="1:6" x14ac:dyDescent="0.25">
      <c r="A37206" s="1" t="str">
        <f t="shared" si="1350"/>
        <v>47894</v>
      </c>
      <c r="B37206" s="1" t="str">
        <f>"20785"</f>
        <v>20785</v>
      </c>
      <c r="C37206" s="2">
        <v>0</v>
      </c>
      <c r="D37206" s="2">
        <v>2.5536854323853699E-2</v>
      </c>
      <c r="E37206" s="2">
        <v>4.1771094402673299E-4</v>
      </c>
      <c r="F37206" s="2">
        <v>9.1209437136429003E-4</v>
      </c>
    </row>
    <row r="37207" spans="1:6" x14ac:dyDescent="0.25">
      <c r="A37207" s="1" t="str">
        <f t="shared" si="1350"/>
        <v>47894</v>
      </c>
      <c r="B37207" s="1" t="str">
        <f>"22193"</f>
        <v>22193</v>
      </c>
      <c r="C37207" s="2">
        <v>8.1822202565236604E-4</v>
      </c>
      <c r="D37207" s="2">
        <v>1.74114915844457E-3</v>
      </c>
      <c r="E37207" s="2">
        <v>4.1771094402673299E-4</v>
      </c>
      <c r="F37207" s="2">
        <v>8.3101931613190896E-4</v>
      </c>
    </row>
    <row r="37208" spans="1:6" x14ac:dyDescent="0.25">
      <c r="A37208" s="1" t="str">
        <f t="shared" si="1350"/>
        <v>47894</v>
      </c>
      <c r="B37208" s="1" t="str">
        <f>"20603"</f>
        <v>20603</v>
      </c>
      <c r="C37208" s="2">
        <v>2.9190623617868102E-3</v>
      </c>
      <c r="D37208" s="2">
        <v>0</v>
      </c>
      <c r="E37208" s="2">
        <v>2.08855472013366E-3</v>
      </c>
      <c r="F37208" s="2">
        <v>2.7768206417090602E-3</v>
      </c>
    </row>
    <row r="37209" spans="1:6" x14ac:dyDescent="0.25">
      <c r="A37209" s="1" t="str">
        <f t="shared" si="1350"/>
        <v>47894</v>
      </c>
      <c r="B37209" s="1" t="str">
        <f>"22031"</f>
        <v>22031</v>
      </c>
      <c r="C37209" s="2">
        <v>2.4325519681556799E-4</v>
      </c>
      <c r="D37209" s="2">
        <v>6.3842135809634298E-3</v>
      </c>
      <c r="E37209" s="2">
        <v>8.3542188805346695E-4</v>
      </c>
      <c r="F37209" s="2">
        <v>4.8645033139428802E-4</v>
      </c>
    </row>
    <row r="37210" spans="1:6" x14ac:dyDescent="0.25">
      <c r="A37210" s="1" t="str">
        <f t="shared" si="1350"/>
        <v>47894</v>
      </c>
      <c r="B37210" s="1" t="str">
        <f>"22206"</f>
        <v>22206</v>
      </c>
      <c r="C37210" s="2">
        <v>0</v>
      </c>
      <c r="D37210" s="2">
        <v>1.16076610562971E-3</v>
      </c>
      <c r="E37210" s="2">
        <v>1.12781954887218E-2</v>
      </c>
      <c r="F37210" s="2">
        <v>5.8779415043476403E-4</v>
      </c>
    </row>
    <row r="37211" spans="1:6" x14ac:dyDescent="0.25">
      <c r="A37211" s="1" t="str">
        <f t="shared" si="1350"/>
        <v>47894</v>
      </c>
      <c r="B37211" s="1" t="str">
        <f>"22727"</f>
        <v>22727</v>
      </c>
      <c r="C37211" s="2">
        <v>2.2114108801415299E-4</v>
      </c>
      <c r="D37211" s="2">
        <v>0</v>
      </c>
      <c r="E37211" s="2">
        <v>4.1771094402673299E-4</v>
      </c>
      <c r="F37211" s="2">
        <v>2.2295640188904801E-4</v>
      </c>
    </row>
    <row r="37212" spans="1:6" x14ac:dyDescent="0.25">
      <c r="A37212" s="1" t="str">
        <f t="shared" si="1350"/>
        <v>47894</v>
      </c>
      <c r="B37212" s="1" t="str">
        <f>"22026"</f>
        <v>22026</v>
      </c>
      <c r="C37212" s="2">
        <v>1.4153029632905699E-3</v>
      </c>
      <c r="D37212" s="2">
        <v>3.4822983168891403E-2</v>
      </c>
      <c r="E37212" s="2">
        <v>0</v>
      </c>
      <c r="F37212" s="2">
        <v>2.51332671220382E-3</v>
      </c>
    </row>
    <row r="37213" spans="1:6" x14ac:dyDescent="0.25">
      <c r="A37213" s="1" t="str">
        <f t="shared" si="1350"/>
        <v>47894</v>
      </c>
      <c r="B37213" s="1" t="str">
        <f>"22191"</f>
        <v>22191</v>
      </c>
      <c r="C37213" s="2">
        <v>3.8699690402476698E-3</v>
      </c>
      <c r="D37213" s="2">
        <v>4.0626813697040003E-3</v>
      </c>
      <c r="E37213" s="2">
        <v>8.3542188805346695E-4</v>
      </c>
      <c r="F37213" s="2">
        <v>3.7294525406895399E-3</v>
      </c>
    </row>
    <row r="37214" spans="1:6" x14ac:dyDescent="0.25">
      <c r="A37214" s="1" t="str">
        <f t="shared" si="1350"/>
        <v>47894</v>
      </c>
      <c r="B37214" s="1" t="str">
        <f>"20254"</f>
        <v>20254</v>
      </c>
      <c r="C37214" s="2">
        <v>0</v>
      </c>
      <c r="D37214" s="2">
        <v>1.74114915844457E-3</v>
      </c>
      <c r="E37214" s="2">
        <v>0</v>
      </c>
      <c r="F37214" s="2">
        <v>6.0806291424286003E-5</v>
      </c>
    </row>
    <row r="37215" spans="1:6" x14ac:dyDescent="0.25">
      <c r="A37215" s="1" t="str">
        <f t="shared" si="1350"/>
        <v>47894</v>
      </c>
      <c r="B37215" s="1" t="str">
        <f>"25438"</f>
        <v>25438</v>
      </c>
      <c r="C37215" s="2">
        <v>5.0862450243255102E-4</v>
      </c>
      <c r="D37215" s="2">
        <v>0</v>
      </c>
      <c r="E37215" s="2">
        <v>0</v>
      </c>
      <c r="F37215" s="2">
        <v>4.66181567586192E-4</v>
      </c>
    </row>
    <row r="37216" spans="1:6" x14ac:dyDescent="0.25">
      <c r="A37216" s="1" t="str">
        <f t="shared" si="1350"/>
        <v>47894</v>
      </c>
      <c r="B37216" s="1" t="str">
        <f>"20772"</f>
        <v>20772</v>
      </c>
      <c r="C37216" s="2">
        <v>1.99026979212737E-3</v>
      </c>
      <c r="D37216" s="2">
        <v>2.9019152640742799E-3</v>
      </c>
      <c r="E37216" s="2">
        <v>1.67084377610693E-3</v>
      </c>
      <c r="F37216" s="2">
        <v>2.0066076170014301E-3</v>
      </c>
    </row>
    <row r="37217" spans="1:6" x14ac:dyDescent="0.25">
      <c r="A37217" s="1" t="str">
        <f t="shared" si="1350"/>
        <v>47894</v>
      </c>
      <c r="B37217" s="1" t="str">
        <f>"22134"</f>
        <v>22134</v>
      </c>
      <c r="C37217" s="2">
        <v>0.176160990712074</v>
      </c>
      <c r="D37217" s="2">
        <v>9.8665118978525802E-3</v>
      </c>
      <c r="E37217" s="2">
        <v>8.3542188805346695E-4</v>
      </c>
      <c r="F37217" s="2">
        <v>0.161846079007641</v>
      </c>
    </row>
    <row r="37218" spans="1:6" x14ac:dyDescent="0.25">
      <c r="A37218" s="1" t="str">
        <f t="shared" si="1350"/>
        <v>47894</v>
      </c>
      <c r="B37218" s="1" t="str">
        <f>"25425"</f>
        <v>25425</v>
      </c>
      <c r="C37218" s="2">
        <v>6.6342326404245902E-4</v>
      </c>
      <c r="D37218" s="2">
        <v>0</v>
      </c>
      <c r="E37218" s="2">
        <v>0</v>
      </c>
      <c r="F37218" s="2">
        <v>6.0806291424286005E-4</v>
      </c>
    </row>
    <row r="37219" spans="1:6" x14ac:dyDescent="0.25">
      <c r="A37219" s="1" t="str">
        <f t="shared" si="1350"/>
        <v>47894</v>
      </c>
      <c r="B37219" s="1" t="str">
        <f>"20018"</f>
        <v>20018</v>
      </c>
      <c r="C37219" s="2">
        <v>5.2852720035382501E-3</v>
      </c>
      <c r="D37219" s="2">
        <v>1.74114915844457E-3</v>
      </c>
      <c r="E37219" s="2">
        <v>3.7593984962406E-3</v>
      </c>
      <c r="F37219" s="2">
        <v>5.0874597158319301E-3</v>
      </c>
    </row>
    <row r="37220" spans="1:6" x14ac:dyDescent="0.25">
      <c r="A37220" s="1" t="str">
        <f t="shared" si="1350"/>
        <v>47894</v>
      </c>
      <c r="B37220" s="1" t="str">
        <f>"22211"</f>
        <v>22211</v>
      </c>
      <c r="C37220" s="2">
        <v>0</v>
      </c>
      <c r="D37220" s="2">
        <v>5.8038305281485705E-4</v>
      </c>
      <c r="E37220" s="2">
        <v>0</v>
      </c>
      <c r="F37220" s="2">
        <v>2.02687638080953E-5</v>
      </c>
    </row>
    <row r="37221" spans="1:6" x14ac:dyDescent="0.25">
      <c r="A37221" s="1" t="str">
        <f t="shared" si="1350"/>
        <v>47894</v>
      </c>
      <c r="B37221" s="1" t="str">
        <f>"22718"</f>
        <v>22718</v>
      </c>
      <c r="C37221" s="2">
        <v>6.6342326404245899E-5</v>
      </c>
      <c r="D37221" s="2">
        <v>0</v>
      </c>
      <c r="E37221" s="2">
        <v>4.1771094402673299E-4</v>
      </c>
      <c r="F37221" s="2">
        <v>8.1075055232381296E-5</v>
      </c>
    </row>
    <row r="37222" spans="1:6" x14ac:dyDescent="0.25">
      <c r="A37222" s="1" t="str">
        <f t="shared" si="1350"/>
        <v>47894</v>
      </c>
      <c r="B37222" s="1" t="str">
        <f>"25442"</f>
        <v>25442</v>
      </c>
      <c r="C37222" s="2">
        <v>4.4228217602830602E-5</v>
      </c>
      <c r="D37222" s="2">
        <v>0</v>
      </c>
      <c r="E37222" s="2">
        <v>0</v>
      </c>
      <c r="F37222" s="2">
        <v>4.0537527616190601E-5</v>
      </c>
    </row>
    <row r="37223" spans="1:6" x14ac:dyDescent="0.25">
      <c r="A37223" s="1" t="str">
        <f t="shared" si="1350"/>
        <v>47894</v>
      </c>
      <c r="B37223" s="1" t="str">
        <f>"20376"</f>
        <v>20376</v>
      </c>
      <c r="C37223" s="2">
        <v>0</v>
      </c>
      <c r="D37223" s="2">
        <v>0</v>
      </c>
      <c r="E37223" s="2">
        <v>2.08855472013366E-3</v>
      </c>
      <c r="F37223" s="2">
        <v>1.0134381904047599E-4</v>
      </c>
    </row>
    <row r="37224" spans="1:6" x14ac:dyDescent="0.25">
      <c r="A37224" s="1" t="str">
        <f t="shared" si="1350"/>
        <v>47894</v>
      </c>
      <c r="B37224" s="1" t="str">
        <f>"22124"</f>
        <v>22124</v>
      </c>
      <c r="C37224" s="2">
        <v>2.2114108801415301E-5</v>
      </c>
      <c r="D37224" s="2">
        <v>0</v>
      </c>
      <c r="E37224" s="2">
        <v>0</v>
      </c>
      <c r="F37224" s="2">
        <v>2.02687638080953E-5</v>
      </c>
    </row>
    <row r="37225" spans="1:6" x14ac:dyDescent="0.25">
      <c r="A37225" s="1" t="str">
        <f t="shared" si="1350"/>
        <v>47894</v>
      </c>
      <c r="B37225" s="1" t="str">
        <f>"20122"</f>
        <v>20122</v>
      </c>
      <c r="C37225" s="2">
        <v>0</v>
      </c>
      <c r="D37225" s="2">
        <v>5.8038305281485705E-4</v>
      </c>
      <c r="E37225" s="2">
        <v>0</v>
      </c>
      <c r="F37225" s="2">
        <v>2.02687638080953E-5</v>
      </c>
    </row>
    <row r="37226" spans="1:6" x14ac:dyDescent="0.25">
      <c r="A37226" s="1" t="str">
        <f t="shared" si="1350"/>
        <v>47894</v>
      </c>
      <c r="B37226" s="1" t="str">
        <f>"20722"</f>
        <v>20722</v>
      </c>
      <c r="C37226" s="2">
        <v>0</v>
      </c>
      <c r="D37226" s="2">
        <v>5.8038305281485705E-4</v>
      </c>
      <c r="E37226" s="2">
        <v>0</v>
      </c>
      <c r="F37226" s="2">
        <v>2.02687638080953E-5</v>
      </c>
    </row>
    <row r="37227" spans="1:6" x14ac:dyDescent="0.25">
      <c r="A37227" s="1" t="str">
        <f t="shared" si="1350"/>
        <v>47894</v>
      </c>
      <c r="B37227" s="1" t="str">
        <f>"20677"</f>
        <v>20677</v>
      </c>
      <c r="C37227" s="2">
        <v>4.4228217602830602E-5</v>
      </c>
      <c r="D37227" s="2">
        <v>0</v>
      </c>
      <c r="E37227" s="2">
        <v>0</v>
      </c>
      <c r="F37227" s="2">
        <v>4.0537527616190601E-5</v>
      </c>
    </row>
    <row r="37228" spans="1:6" x14ac:dyDescent="0.25">
      <c r="A37228" s="1" t="str">
        <f t="shared" si="1350"/>
        <v>47894</v>
      </c>
      <c r="B37228" s="1" t="str">
        <f>"20165"</f>
        <v>20165</v>
      </c>
      <c r="C37228" s="2">
        <v>0</v>
      </c>
      <c r="D37228" s="2">
        <v>2.9019152640742799E-3</v>
      </c>
      <c r="E37228" s="2">
        <v>1.2531328320802E-3</v>
      </c>
      <c r="F37228" s="2">
        <v>1.62150110464762E-4</v>
      </c>
    </row>
    <row r="37229" spans="1:6" x14ac:dyDescent="0.25">
      <c r="A37229" s="1" t="str">
        <f t="shared" si="1350"/>
        <v>47894</v>
      </c>
      <c r="B37229" s="1" t="str">
        <f>"25430"</f>
        <v>25430</v>
      </c>
      <c r="C37229" s="2">
        <v>1.3268465280849101E-4</v>
      </c>
      <c r="D37229" s="2">
        <v>1.74114915844457E-3</v>
      </c>
      <c r="E37229" s="2">
        <v>0</v>
      </c>
      <c r="F37229" s="2">
        <v>1.8241887427285799E-4</v>
      </c>
    </row>
    <row r="37230" spans="1:6" x14ac:dyDescent="0.25">
      <c r="A37230" s="1" t="str">
        <f t="shared" si="1350"/>
        <v>47894</v>
      </c>
      <c r="B37230" s="1" t="str">
        <f>"22213"</f>
        <v>22213</v>
      </c>
      <c r="C37230" s="2">
        <v>0</v>
      </c>
      <c r="D37230" s="2">
        <v>0</v>
      </c>
      <c r="E37230" s="2">
        <v>4.1771094402673299E-4</v>
      </c>
      <c r="F37230" s="2">
        <v>2.02687638080953E-5</v>
      </c>
    </row>
    <row r="37231" spans="1:6" x14ac:dyDescent="0.25">
      <c r="A37231" s="1" t="str">
        <f t="shared" si="1350"/>
        <v>47894</v>
      </c>
      <c r="B37231" s="1" t="str">
        <f>"22180"</f>
        <v>22180</v>
      </c>
      <c r="C37231" s="2">
        <v>2.2114108801415301E-5</v>
      </c>
      <c r="D37231" s="2">
        <v>1.74114915844457E-3</v>
      </c>
      <c r="E37231" s="2">
        <v>1.2531328320802E-3</v>
      </c>
      <c r="F37231" s="2">
        <v>1.41881346656667E-4</v>
      </c>
    </row>
    <row r="37232" spans="1:6" x14ac:dyDescent="0.25">
      <c r="A37232" s="1" t="str">
        <f t="shared" si="1350"/>
        <v>47894</v>
      </c>
      <c r="B37232" s="1" t="str">
        <f>"20045"</f>
        <v>20045</v>
      </c>
      <c r="C37232" s="2">
        <v>0</v>
      </c>
      <c r="D37232" s="2">
        <v>0.120139291932675</v>
      </c>
      <c r="E37232" s="2">
        <v>4.1771094402673299E-4</v>
      </c>
      <c r="F37232" s="2">
        <v>4.2159028720838302E-3</v>
      </c>
    </row>
    <row r="37233" spans="1:6" x14ac:dyDescent="0.25">
      <c r="A37233" s="1" t="str">
        <f t="shared" si="1350"/>
        <v>47894</v>
      </c>
      <c r="B37233" s="1" t="str">
        <f>"22025"</f>
        <v>22025</v>
      </c>
      <c r="C37233" s="2">
        <v>1.9902697921273701E-4</v>
      </c>
      <c r="D37233" s="2">
        <v>0</v>
      </c>
      <c r="E37233" s="2">
        <v>4.1771094402673299E-4</v>
      </c>
      <c r="F37233" s="2">
        <v>2.0268763808095299E-4</v>
      </c>
    </row>
    <row r="37234" spans="1:6" x14ac:dyDescent="0.25">
      <c r="A37234" s="1" t="str">
        <f t="shared" si="1350"/>
        <v>47894</v>
      </c>
      <c r="B37234" s="1" t="str">
        <f>"20197"</f>
        <v>20197</v>
      </c>
      <c r="C37234" s="2">
        <v>1.1057054400707601E-4</v>
      </c>
      <c r="D37234" s="2">
        <v>0</v>
      </c>
      <c r="E37234" s="2">
        <v>0</v>
      </c>
      <c r="F37234" s="2">
        <v>1.0134381904047599E-4</v>
      </c>
    </row>
    <row r="37235" spans="1:6" x14ac:dyDescent="0.25">
      <c r="A37235" s="1" t="str">
        <f t="shared" si="1350"/>
        <v>47894</v>
      </c>
      <c r="B37235" s="1" t="str">
        <f>"20024"</f>
        <v>20024</v>
      </c>
      <c r="C37235" s="2">
        <v>2.35072976559044E-2</v>
      </c>
      <c r="D37235" s="2">
        <v>1.2768427161926801E-2</v>
      </c>
      <c r="E37235" s="2">
        <v>5.43024227234753E-3</v>
      </c>
      <c r="F37235" s="2">
        <v>2.2255102661288599E-2</v>
      </c>
    </row>
    <row r="37236" spans="1:6" x14ac:dyDescent="0.25">
      <c r="A37236" s="1" t="str">
        <f t="shared" si="1350"/>
        <v>47894</v>
      </c>
      <c r="B37236" s="1" t="str">
        <f>"22209"</f>
        <v>22209</v>
      </c>
      <c r="C37236" s="2">
        <v>2.2114108801415301E-5</v>
      </c>
      <c r="D37236" s="2">
        <v>2.9019152640742799E-3</v>
      </c>
      <c r="E37236" s="2">
        <v>2.92397660818713E-3</v>
      </c>
      <c r="F37236" s="2">
        <v>2.6349392950523901E-4</v>
      </c>
    </row>
    <row r="37237" spans="1:6" x14ac:dyDescent="0.25">
      <c r="A37237" s="1" t="str">
        <f t="shared" si="1350"/>
        <v>47894</v>
      </c>
      <c r="B37237" s="1" t="str">
        <f>"22630"</f>
        <v>22630</v>
      </c>
      <c r="C37237" s="2">
        <v>3.25077399380804E-3</v>
      </c>
      <c r="D37237" s="2">
        <v>4.0626813697040003E-3</v>
      </c>
      <c r="E37237" s="2">
        <v>1.2531328320802E-3</v>
      </c>
      <c r="F37237" s="2">
        <v>3.1821959178709599E-3</v>
      </c>
    </row>
    <row r="37238" spans="1:6" x14ac:dyDescent="0.25">
      <c r="A37238" s="1" t="str">
        <f t="shared" si="1350"/>
        <v>47894</v>
      </c>
      <c r="B37238" s="1" t="str">
        <f>"22620"</f>
        <v>22620</v>
      </c>
      <c r="C37238" s="2">
        <v>2.4325519681556799E-4</v>
      </c>
      <c r="D37238" s="2">
        <v>0</v>
      </c>
      <c r="E37238" s="2">
        <v>0</v>
      </c>
      <c r="F37238" s="2">
        <v>2.2295640188904801E-4</v>
      </c>
    </row>
    <row r="37239" spans="1:6" x14ac:dyDescent="0.25">
      <c r="A37239" s="1" t="str">
        <f t="shared" si="1350"/>
        <v>47894</v>
      </c>
      <c r="B37239" s="1" t="str">
        <f>"22182"</f>
        <v>22182</v>
      </c>
      <c r="C37239" s="2">
        <v>8.8235294117647006E-3</v>
      </c>
      <c r="D37239" s="2">
        <v>6.9645966337782902E-3</v>
      </c>
      <c r="E37239" s="2">
        <v>2.08855472013366E-3</v>
      </c>
      <c r="F37239" s="2">
        <v>8.4318057441676603E-3</v>
      </c>
    </row>
    <row r="37240" spans="1:6" x14ac:dyDescent="0.25">
      <c r="A37240" s="1" t="str">
        <f t="shared" si="1350"/>
        <v>47894</v>
      </c>
      <c r="B37240" s="1" t="str">
        <f>"25414"</f>
        <v>25414</v>
      </c>
      <c r="C37240" s="2">
        <v>1.3931888544891601E-3</v>
      </c>
      <c r="D37240" s="2">
        <v>0</v>
      </c>
      <c r="E37240" s="2">
        <v>2.92397660818713E-3</v>
      </c>
      <c r="F37240" s="2">
        <v>1.41881346656667E-3</v>
      </c>
    </row>
    <row r="37241" spans="1:6" x14ac:dyDescent="0.25">
      <c r="A37241" s="1" t="str">
        <f t="shared" si="1350"/>
        <v>47894</v>
      </c>
      <c r="B37241" s="1" t="str">
        <f>"22304"</f>
        <v>22304</v>
      </c>
      <c r="C37241" s="2">
        <v>2.65369305616983E-4</v>
      </c>
      <c r="D37241" s="2">
        <v>1.74114915844457E-3</v>
      </c>
      <c r="E37241" s="2">
        <v>1.2531328320802E-3</v>
      </c>
      <c r="F37241" s="2">
        <v>3.6483774854571599E-4</v>
      </c>
    </row>
    <row r="37242" spans="1:6" x14ac:dyDescent="0.25">
      <c r="A37242" s="1" t="str">
        <f t="shared" si="1350"/>
        <v>47894</v>
      </c>
      <c r="B37242" s="1" t="str">
        <f>"20017"</f>
        <v>20017</v>
      </c>
      <c r="C37242" s="2">
        <v>4.8651039363113599E-4</v>
      </c>
      <c r="D37242" s="2">
        <v>5.8038305281485705E-4</v>
      </c>
      <c r="E37242" s="2">
        <v>6.6833751044277304E-3</v>
      </c>
      <c r="F37242" s="2">
        <v>7.9048178851571799E-4</v>
      </c>
    </row>
    <row r="37243" spans="1:6" x14ac:dyDescent="0.25">
      <c r="A37243" s="1" t="str">
        <f t="shared" si="1350"/>
        <v>47894</v>
      </c>
      <c r="B37243" s="1" t="str">
        <f>"20424"</f>
        <v>20424</v>
      </c>
      <c r="C37243" s="2">
        <v>0</v>
      </c>
      <c r="D37243" s="2">
        <v>0</v>
      </c>
      <c r="E37243" s="2">
        <v>4.1771094402673299E-4</v>
      </c>
      <c r="F37243" s="2">
        <v>2.02687638080953E-5</v>
      </c>
    </row>
    <row r="37244" spans="1:6" x14ac:dyDescent="0.25">
      <c r="A37244" s="1" t="str">
        <f t="shared" si="1350"/>
        <v>47894</v>
      </c>
      <c r="B37244" s="1" t="str">
        <f>"22649"</f>
        <v>22649</v>
      </c>
      <c r="C37244" s="2">
        <v>0</v>
      </c>
      <c r="D37244" s="2">
        <v>0</v>
      </c>
      <c r="E37244" s="2">
        <v>4.1771094402673299E-4</v>
      </c>
      <c r="F37244" s="2">
        <v>2.02687638080953E-5</v>
      </c>
    </row>
    <row r="37245" spans="1:6" x14ac:dyDescent="0.25">
      <c r="A37245" s="1" t="str">
        <f t="shared" si="1350"/>
        <v>47894</v>
      </c>
      <c r="B37245" s="1" t="str">
        <f>"20695"</f>
        <v>20695</v>
      </c>
      <c r="C37245" s="2">
        <v>1.2826183104820801E-3</v>
      </c>
      <c r="D37245" s="2">
        <v>0</v>
      </c>
      <c r="E37245" s="2">
        <v>4.1771094402673299E-4</v>
      </c>
      <c r="F37245" s="2">
        <v>1.1958570646776201E-3</v>
      </c>
    </row>
    <row r="37246" spans="1:6" x14ac:dyDescent="0.25">
      <c r="A37246" s="1" t="str">
        <f t="shared" si="1350"/>
        <v>47894</v>
      </c>
      <c r="B37246" s="1" t="str">
        <f>"20774"</f>
        <v>20774</v>
      </c>
      <c r="C37246" s="2">
        <v>7.36399823087129E-3</v>
      </c>
      <c r="D37246" s="2">
        <v>5.8038305281485705E-4</v>
      </c>
      <c r="E37246" s="2">
        <v>1.67084377610693E-3</v>
      </c>
      <c r="F37246" s="2">
        <v>6.85084216713622E-3</v>
      </c>
    </row>
    <row r="37247" spans="1:6" x14ac:dyDescent="0.25">
      <c r="A37247" s="1" t="str">
        <f t="shared" si="1350"/>
        <v>47894</v>
      </c>
      <c r="B37247" s="1" t="str">
        <f>"20006"</f>
        <v>20006</v>
      </c>
      <c r="C37247" s="2">
        <v>0</v>
      </c>
      <c r="D37247" s="2">
        <v>3.1340684852002303E-2</v>
      </c>
      <c r="E37247" s="2">
        <v>3.34168755221386E-3</v>
      </c>
      <c r="F37247" s="2">
        <v>1.25666335610191E-3</v>
      </c>
    </row>
    <row r="37248" spans="1:6" x14ac:dyDescent="0.25">
      <c r="A37248" s="1" t="str">
        <f t="shared" si="1350"/>
        <v>47894</v>
      </c>
      <c r="B37248" s="1" t="str">
        <f>"20706"</f>
        <v>20706</v>
      </c>
      <c r="C37248" s="2">
        <v>3.9363113666519203E-3</v>
      </c>
      <c r="D37248" s="2">
        <v>2.3215322112594299E-2</v>
      </c>
      <c r="E37248" s="2">
        <v>6.2656641604010004E-3</v>
      </c>
      <c r="F37248" s="2">
        <v>4.7226219672862101E-3</v>
      </c>
    </row>
    <row r="37249" spans="1:6" x14ac:dyDescent="0.25">
      <c r="A37249" s="1" t="str">
        <f t="shared" si="1350"/>
        <v>47894</v>
      </c>
      <c r="B37249" s="1" t="str">
        <f>"20176"</f>
        <v>20176</v>
      </c>
      <c r="C37249" s="2">
        <v>1.21627598407784E-3</v>
      </c>
      <c r="D37249" s="2">
        <v>5.8038305281485705E-4</v>
      </c>
      <c r="E37249" s="2">
        <v>3.7593984962406E-3</v>
      </c>
      <c r="F37249" s="2">
        <v>1.3174696475261899E-3</v>
      </c>
    </row>
    <row r="37250" spans="1:6" x14ac:dyDescent="0.25">
      <c r="A37250" s="1" t="str">
        <f t="shared" si="1350"/>
        <v>47894</v>
      </c>
      <c r="B37250" s="1" t="str">
        <f>"20190"</f>
        <v>20190</v>
      </c>
      <c r="C37250" s="2">
        <v>9.7302078726227295E-4</v>
      </c>
      <c r="D37250" s="2">
        <v>7.5449796865931498E-3</v>
      </c>
      <c r="E37250" s="2">
        <v>3.7593984962406E-3</v>
      </c>
      <c r="F37250" s="2">
        <v>1.33773841133429E-3</v>
      </c>
    </row>
    <row r="37251" spans="1:6" x14ac:dyDescent="0.25">
      <c r="A37251" s="1" t="str">
        <f t="shared" si="1350"/>
        <v>47894</v>
      </c>
      <c r="B37251" s="1" t="str">
        <f>"20004"</f>
        <v>20004</v>
      </c>
      <c r="C37251" s="2">
        <v>0</v>
      </c>
      <c r="D37251" s="2">
        <v>1.2768427161926801E-2</v>
      </c>
      <c r="E37251" s="2">
        <v>2.92397660818713E-3</v>
      </c>
      <c r="F37251" s="2">
        <v>5.8779415043476403E-4</v>
      </c>
    </row>
    <row r="37252" spans="1:6" x14ac:dyDescent="0.25">
      <c r="A37252" s="1" t="str">
        <f t="shared" si="1350"/>
        <v>47894</v>
      </c>
      <c r="B37252" s="1" t="str">
        <f>"20707"</f>
        <v>20707</v>
      </c>
      <c r="C37252" s="2">
        <v>9.9513489606368804E-4</v>
      </c>
      <c r="D37252" s="2">
        <v>1.16076610562971E-3</v>
      </c>
      <c r="E37252" s="2">
        <v>5.43024227234753E-3</v>
      </c>
      <c r="F37252" s="2">
        <v>1.2161258284857201E-3</v>
      </c>
    </row>
    <row r="37253" spans="1:6" x14ac:dyDescent="0.25">
      <c r="A37253" s="1" t="str">
        <f t="shared" si="1350"/>
        <v>47894</v>
      </c>
      <c r="B37253" s="1" t="str">
        <f>"20613"</f>
        <v>20613</v>
      </c>
      <c r="C37253" s="2">
        <v>9.5754091110128205E-3</v>
      </c>
      <c r="D37253" s="2">
        <v>1.16076610562971E-3</v>
      </c>
      <c r="E37253" s="2">
        <v>2.08855472013366E-3</v>
      </c>
      <c r="F37253" s="2">
        <v>8.9182560755619502E-3</v>
      </c>
    </row>
    <row r="37254" spans="1:6" x14ac:dyDescent="0.25">
      <c r="A37254" s="1" t="str">
        <f t="shared" si="1350"/>
        <v>47894</v>
      </c>
      <c r="B37254" s="1" t="str">
        <f>"20745"</f>
        <v>20745</v>
      </c>
      <c r="C37254" s="2">
        <v>5.0641309155241001E-3</v>
      </c>
      <c r="D37254" s="2">
        <v>1.2188044109111999E-2</v>
      </c>
      <c r="E37254" s="2">
        <v>5.43024227234753E-3</v>
      </c>
      <c r="F37254" s="2">
        <v>5.3306848815290698E-3</v>
      </c>
    </row>
    <row r="37255" spans="1:6" x14ac:dyDescent="0.25">
      <c r="A37255" s="1" t="str">
        <f t="shared" si="1350"/>
        <v>47894</v>
      </c>
      <c r="B37255" s="1" t="str">
        <f>"22046"</f>
        <v>22046</v>
      </c>
      <c r="C37255" s="2">
        <v>4.4228217602830602E-5</v>
      </c>
      <c r="D37255" s="2">
        <v>2.3215322112594299E-3</v>
      </c>
      <c r="E37255" s="2">
        <v>4.1771094402673299E-4</v>
      </c>
      <c r="F37255" s="2">
        <v>1.41881346656667E-4</v>
      </c>
    </row>
    <row r="37256" spans="1:6" x14ac:dyDescent="0.25">
      <c r="A37256" s="1" t="str">
        <f t="shared" ref="A37256:A37319" si="1351">"47894"</f>
        <v>47894</v>
      </c>
      <c r="B37256" s="1" t="str">
        <f>"22709"</f>
        <v>22709</v>
      </c>
      <c r="C37256" s="2">
        <v>2.2114108801415301E-5</v>
      </c>
      <c r="D37256" s="2">
        <v>0</v>
      </c>
      <c r="E37256" s="2">
        <v>4.1771094402673299E-4</v>
      </c>
      <c r="F37256" s="2">
        <v>4.0537527616190601E-5</v>
      </c>
    </row>
    <row r="37257" spans="1:6" x14ac:dyDescent="0.25">
      <c r="A37257" s="1" t="str">
        <f t="shared" si="1351"/>
        <v>47894</v>
      </c>
      <c r="B37257" s="1" t="str">
        <f>"22044"</f>
        <v>22044</v>
      </c>
      <c r="C37257" s="2">
        <v>2.2114108801415301E-5</v>
      </c>
      <c r="D37257" s="2">
        <v>5.8038305281485705E-4</v>
      </c>
      <c r="E37257" s="2">
        <v>0</v>
      </c>
      <c r="F37257" s="2">
        <v>4.0537527616190601E-5</v>
      </c>
    </row>
    <row r="37258" spans="1:6" x14ac:dyDescent="0.25">
      <c r="A37258" s="1" t="str">
        <f t="shared" si="1351"/>
        <v>47894</v>
      </c>
      <c r="B37258" s="1" t="str">
        <f>"20180"</f>
        <v>20180</v>
      </c>
      <c r="C37258" s="2">
        <v>8.8456435205661204E-5</v>
      </c>
      <c r="D37258" s="2">
        <v>0</v>
      </c>
      <c r="E37258" s="2">
        <v>0</v>
      </c>
      <c r="F37258" s="2">
        <v>8.1075055232381296E-5</v>
      </c>
    </row>
    <row r="37259" spans="1:6" x14ac:dyDescent="0.25">
      <c r="A37259" s="1" t="str">
        <f t="shared" si="1351"/>
        <v>47894</v>
      </c>
      <c r="B37259" s="1" t="str">
        <f>"22035"</f>
        <v>22035</v>
      </c>
      <c r="C37259" s="2">
        <v>0</v>
      </c>
      <c r="D37259" s="2">
        <v>0</v>
      </c>
      <c r="E37259" s="2">
        <v>4.1771094402673299E-4</v>
      </c>
      <c r="F37259" s="2">
        <v>2.02687638080953E-5</v>
      </c>
    </row>
    <row r="37260" spans="1:6" x14ac:dyDescent="0.25">
      <c r="A37260" s="1" t="str">
        <f t="shared" si="1351"/>
        <v>47894</v>
      </c>
      <c r="B37260" s="1" t="str">
        <f>"20129"</f>
        <v>20129</v>
      </c>
      <c r="C37260" s="2">
        <v>8.8456435205661204E-5</v>
      </c>
      <c r="D37260" s="2">
        <v>0</v>
      </c>
      <c r="E37260" s="2">
        <v>0</v>
      </c>
      <c r="F37260" s="2">
        <v>8.1075055232381296E-5</v>
      </c>
    </row>
    <row r="37261" spans="1:6" x14ac:dyDescent="0.25">
      <c r="A37261" s="1" t="str">
        <f t="shared" si="1351"/>
        <v>47894</v>
      </c>
      <c r="B37261" s="1" t="str">
        <f>"22308"</f>
        <v>22308</v>
      </c>
      <c r="C37261" s="2">
        <v>0</v>
      </c>
      <c r="D37261" s="2">
        <v>0</v>
      </c>
      <c r="E37261" s="2">
        <v>4.1771094402673299E-4</v>
      </c>
      <c r="F37261" s="2">
        <v>2.02687638080953E-5</v>
      </c>
    </row>
    <row r="37262" spans="1:6" x14ac:dyDescent="0.25">
      <c r="A37262" s="1" t="str">
        <f t="shared" si="1351"/>
        <v>47894</v>
      </c>
      <c r="B37262" s="1" t="str">
        <f>"20615"</f>
        <v>20615</v>
      </c>
      <c r="C37262" s="2">
        <v>2.2114108801415301E-5</v>
      </c>
      <c r="D37262" s="2">
        <v>0</v>
      </c>
      <c r="E37262" s="2">
        <v>0</v>
      </c>
      <c r="F37262" s="2">
        <v>2.02687638080953E-5</v>
      </c>
    </row>
    <row r="37263" spans="1:6" x14ac:dyDescent="0.25">
      <c r="A37263" s="1" t="str">
        <f t="shared" si="1351"/>
        <v>47894</v>
      </c>
      <c r="B37263" s="1" t="str">
        <f>"20748"</f>
        <v>20748</v>
      </c>
      <c r="C37263" s="2">
        <v>2.2114108801415301E-5</v>
      </c>
      <c r="D37263" s="2">
        <v>5.8038305281485705E-4</v>
      </c>
      <c r="E37263" s="2">
        <v>4.1771094402673299E-4</v>
      </c>
      <c r="F37263" s="2">
        <v>6.0806291424286003E-5</v>
      </c>
    </row>
    <row r="37264" spans="1:6" x14ac:dyDescent="0.25">
      <c r="A37264" s="1" t="str">
        <f t="shared" si="1351"/>
        <v>47894</v>
      </c>
      <c r="B37264" s="1" t="str">
        <f>"22303"</f>
        <v>22303</v>
      </c>
      <c r="C37264" s="2">
        <v>1.1057054400707601E-4</v>
      </c>
      <c r="D37264" s="2">
        <v>1.74114915844457E-3</v>
      </c>
      <c r="E37264" s="2">
        <v>0</v>
      </c>
      <c r="F37264" s="2">
        <v>1.62150110464762E-4</v>
      </c>
    </row>
    <row r="37265" spans="1:6" x14ac:dyDescent="0.25">
      <c r="A37265" s="1" t="str">
        <f t="shared" si="1351"/>
        <v>47894</v>
      </c>
      <c r="B37265" s="1" t="str">
        <f>"20143"</f>
        <v>20143</v>
      </c>
      <c r="C37265" s="2">
        <v>2.2114108801415301E-5</v>
      </c>
      <c r="D37265" s="2">
        <v>0</v>
      </c>
      <c r="E37265" s="2">
        <v>0</v>
      </c>
      <c r="F37265" s="2">
        <v>2.02687638080953E-5</v>
      </c>
    </row>
    <row r="37266" spans="1:6" x14ac:dyDescent="0.25">
      <c r="A37266" s="1" t="str">
        <f t="shared" si="1351"/>
        <v>47894</v>
      </c>
      <c r="B37266" s="1" t="str">
        <f>"20710"</f>
        <v>20710</v>
      </c>
      <c r="C37266" s="2">
        <v>0</v>
      </c>
      <c r="D37266" s="2">
        <v>0</v>
      </c>
      <c r="E37266" s="2">
        <v>2.5062656641604E-3</v>
      </c>
      <c r="F37266" s="2">
        <v>1.2161258284857201E-4</v>
      </c>
    </row>
    <row r="37267" spans="1:6" x14ac:dyDescent="0.25">
      <c r="A37267" s="1" t="str">
        <f t="shared" si="1351"/>
        <v>47894</v>
      </c>
      <c r="B37267" s="1" t="str">
        <f>"20175"</f>
        <v>20175</v>
      </c>
      <c r="C37267" s="2">
        <v>4.9093321539141902E-3</v>
      </c>
      <c r="D37267" s="2">
        <v>1.9733023795705101E-2</v>
      </c>
      <c r="E37267" s="2">
        <v>3.34168755221386E-3</v>
      </c>
      <c r="F37267" s="2">
        <v>5.3509536453371703E-3</v>
      </c>
    </row>
    <row r="37268" spans="1:6" x14ac:dyDescent="0.25">
      <c r="A37268" s="1" t="str">
        <f t="shared" si="1351"/>
        <v>47894</v>
      </c>
      <c r="B37268" s="1" t="str">
        <f>"20007"</f>
        <v>20007</v>
      </c>
      <c r="C37268" s="2">
        <v>2.1229544449358601E-3</v>
      </c>
      <c r="D37268" s="2">
        <v>5.2234474753337203E-3</v>
      </c>
      <c r="E37268" s="2">
        <v>2.13032581453634E-2</v>
      </c>
      <c r="F37268" s="2">
        <v>3.1619271540628698E-3</v>
      </c>
    </row>
    <row r="37269" spans="1:6" x14ac:dyDescent="0.25">
      <c r="A37269" s="1" t="str">
        <f t="shared" si="1351"/>
        <v>47894</v>
      </c>
      <c r="B37269" s="1" t="str">
        <f>"20547"</f>
        <v>20547</v>
      </c>
      <c r="C37269" s="2">
        <v>0</v>
      </c>
      <c r="D37269" s="2">
        <v>5.8038305281485705E-4</v>
      </c>
      <c r="E37269" s="2">
        <v>0</v>
      </c>
      <c r="F37269" s="2">
        <v>2.02687638080953E-5</v>
      </c>
    </row>
    <row r="37270" spans="1:6" x14ac:dyDescent="0.25">
      <c r="A37270" s="1" t="str">
        <f t="shared" si="1351"/>
        <v>47894</v>
      </c>
      <c r="B37270" s="1" t="str">
        <f>"22204"</f>
        <v>22204</v>
      </c>
      <c r="C37270" s="2">
        <v>5.6612118531623101E-3</v>
      </c>
      <c r="D37270" s="2">
        <v>4.0626813697040003E-3</v>
      </c>
      <c r="E37270" s="2">
        <v>1.67084377610693E-3</v>
      </c>
      <c r="F37270" s="2">
        <v>5.41175993676145E-3</v>
      </c>
    </row>
    <row r="37271" spans="1:6" x14ac:dyDescent="0.25">
      <c r="A37271" s="1" t="str">
        <f t="shared" si="1351"/>
        <v>47894</v>
      </c>
      <c r="B37271" s="1" t="str">
        <f>"20770"</f>
        <v>20770</v>
      </c>
      <c r="C37271" s="2">
        <v>7.9610791685094998E-4</v>
      </c>
      <c r="D37271" s="2">
        <v>6.9645966337782902E-3</v>
      </c>
      <c r="E37271" s="2">
        <v>8.7719298245613996E-3</v>
      </c>
      <c r="F37271" s="2">
        <v>1.3985447027585699E-3</v>
      </c>
    </row>
    <row r="37272" spans="1:6" x14ac:dyDescent="0.25">
      <c r="A37272" s="1" t="str">
        <f t="shared" si="1351"/>
        <v>47894</v>
      </c>
      <c r="B37272" s="1" t="str">
        <f>"20135"</f>
        <v>20135</v>
      </c>
      <c r="C37272" s="2">
        <v>4.4228217602830602E-5</v>
      </c>
      <c r="D37272" s="2">
        <v>0</v>
      </c>
      <c r="E37272" s="2">
        <v>0</v>
      </c>
      <c r="F37272" s="2">
        <v>4.0537527616190601E-5</v>
      </c>
    </row>
    <row r="37273" spans="1:6" x14ac:dyDescent="0.25">
      <c r="A37273" s="1" t="str">
        <f t="shared" si="1351"/>
        <v>47894</v>
      </c>
      <c r="B37273" s="1" t="str">
        <f>"20137"</f>
        <v>20137</v>
      </c>
      <c r="C37273" s="2">
        <v>2.2114108801415301E-5</v>
      </c>
      <c r="D37273" s="2">
        <v>0</v>
      </c>
      <c r="E37273" s="2">
        <v>0</v>
      </c>
      <c r="F37273" s="2">
        <v>2.02687638080953E-5</v>
      </c>
    </row>
    <row r="37274" spans="1:6" x14ac:dyDescent="0.25">
      <c r="A37274" s="1" t="str">
        <f t="shared" si="1351"/>
        <v>47894</v>
      </c>
      <c r="B37274" s="1" t="str">
        <f>"22153"</f>
        <v>22153</v>
      </c>
      <c r="C37274" s="2">
        <v>0</v>
      </c>
      <c r="D37274" s="2">
        <v>0</v>
      </c>
      <c r="E37274" s="2">
        <v>4.1771094402673299E-4</v>
      </c>
      <c r="F37274" s="2">
        <v>2.02687638080953E-5</v>
      </c>
    </row>
    <row r="37275" spans="1:6" x14ac:dyDescent="0.25">
      <c r="A37275" s="1" t="str">
        <f t="shared" si="1351"/>
        <v>47894</v>
      </c>
      <c r="B37275" s="1" t="str">
        <f>"20181"</f>
        <v>20181</v>
      </c>
      <c r="C37275" s="2">
        <v>3.7593984962406001E-4</v>
      </c>
      <c r="D37275" s="2">
        <v>0</v>
      </c>
      <c r="E37275" s="2">
        <v>0</v>
      </c>
      <c r="F37275" s="2">
        <v>3.4456898473762002E-4</v>
      </c>
    </row>
    <row r="37276" spans="1:6" x14ac:dyDescent="0.25">
      <c r="A37276" s="1" t="str">
        <f t="shared" si="1351"/>
        <v>47894</v>
      </c>
      <c r="B37276" s="1" t="str">
        <f>"22736"</f>
        <v>22736</v>
      </c>
      <c r="C37276" s="2">
        <v>8.8456435205661204E-5</v>
      </c>
      <c r="D37276" s="2">
        <v>0</v>
      </c>
      <c r="E37276" s="2">
        <v>0</v>
      </c>
      <c r="F37276" s="2">
        <v>8.1075055232381296E-5</v>
      </c>
    </row>
    <row r="37277" spans="1:6" x14ac:dyDescent="0.25">
      <c r="A37277" s="1" t="str">
        <f t="shared" si="1351"/>
        <v>47894</v>
      </c>
      <c r="B37277" s="1" t="str">
        <f>"20675"</f>
        <v>20675</v>
      </c>
      <c r="C37277" s="2">
        <v>8.8456435205661204E-5</v>
      </c>
      <c r="D37277" s="2">
        <v>0</v>
      </c>
      <c r="E37277" s="2">
        <v>0</v>
      </c>
      <c r="F37277" s="2">
        <v>8.1075055232381296E-5</v>
      </c>
    </row>
    <row r="37278" spans="1:6" x14ac:dyDescent="0.25">
      <c r="A37278" s="1" t="str">
        <f t="shared" si="1351"/>
        <v>47894</v>
      </c>
      <c r="B37278" s="1" t="str">
        <f>"20260"</f>
        <v>20260</v>
      </c>
      <c r="C37278" s="2">
        <v>0</v>
      </c>
      <c r="D37278" s="2">
        <v>0</v>
      </c>
      <c r="E37278" s="2">
        <v>4.1771094402673299E-4</v>
      </c>
      <c r="F37278" s="2">
        <v>2.02687638080953E-5</v>
      </c>
    </row>
    <row r="37279" spans="1:6" x14ac:dyDescent="0.25">
      <c r="A37279" s="1" t="str">
        <f t="shared" si="1351"/>
        <v>47894</v>
      </c>
      <c r="B37279" s="1" t="str">
        <f>"22406"</f>
        <v>22406</v>
      </c>
      <c r="C37279" s="2">
        <v>2.05661211853162E-3</v>
      </c>
      <c r="D37279" s="2">
        <v>5.8038305281485705E-4</v>
      </c>
      <c r="E37279" s="2">
        <v>0</v>
      </c>
      <c r="F37279" s="2">
        <v>1.90526379796096E-3</v>
      </c>
    </row>
    <row r="37280" spans="1:6" x14ac:dyDescent="0.25">
      <c r="A37280" s="1" t="str">
        <f t="shared" si="1351"/>
        <v>47894</v>
      </c>
      <c r="B37280" s="1" t="str">
        <f>"20388"</f>
        <v>20388</v>
      </c>
      <c r="C37280" s="2">
        <v>0</v>
      </c>
      <c r="D37280" s="2">
        <v>0</v>
      </c>
      <c r="E37280" s="2">
        <v>8.3542188805346695E-4</v>
      </c>
      <c r="F37280" s="2">
        <v>4.0537527616190601E-5</v>
      </c>
    </row>
    <row r="37281" spans="1:6" x14ac:dyDescent="0.25">
      <c r="A37281" s="1" t="str">
        <f t="shared" si="1351"/>
        <v>47894</v>
      </c>
      <c r="B37281" s="1" t="str">
        <f>"20416"</f>
        <v>20416</v>
      </c>
      <c r="C37281" s="2">
        <v>0</v>
      </c>
      <c r="D37281" s="2">
        <v>4.0626813697040003E-3</v>
      </c>
      <c r="E37281" s="2">
        <v>0</v>
      </c>
      <c r="F37281" s="2">
        <v>1.41881346656667E-4</v>
      </c>
    </row>
    <row r="37282" spans="1:6" x14ac:dyDescent="0.25">
      <c r="A37282" s="1" t="str">
        <f t="shared" si="1351"/>
        <v>47894</v>
      </c>
      <c r="B37282" s="1" t="str">
        <f>"22722"</f>
        <v>22722</v>
      </c>
      <c r="C37282" s="2">
        <v>2.2114108801415301E-5</v>
      </c>
      <c r="D37282" s="2">
        <v>0</v>
      </c>
      <c r="E37282" s="2">
        <v>4.1771094402673299E-4</v>
      </c>
      <c r="F37282" s="2">
        <v>4.0537527616190601E-5</v>
      </c>
    </row>
    <row r="37283" spans="1:6" x14ac:dyDescent="0.25">
      <c r="A37283" s="1" t="str">
        <f t="shared" si="1351"/>
        <v>47894</v>
      </c>
      <c r="B37283" s="1" t="str">
        <f>"22747"</f>
        <v>22747</v>
      </c>
      <c r="C37283" s="2">
        <v>6.6342326404245899E-5</v>
      </c>
      <c r="D37283" s="2">
        <v>5.8038305281485705E-4</v>
      </c>
      <c r="E37283" s="2">
        <v>0</v>
      </c>
      <c r="F37283" s="2">
        <v>8.1075055232381296E-5</v>
      </c>
    </row>
    <row r="37284" spans="1:6" x14ac:dyDescent="0.25">
      <c r="A37284" s="1" t="str">
        <f t="shared" si="1351"/>
        <v>47894</v>
      </c>
      <c r="B37284" s="1" t="str">
        <f>"20715"</f>
        <v>20715</v>
      </c>
      <c r="C37284" s="2">
        <v>0</v>
      </c>
      <c r="D37284" s="2">
        <v>2.9019152640742799E-3</v>
      </c>
      <c r="E37284" s="2">
        <v>8.3542188805346695E-4</v>
      </c>
      <c r="F37284" s="2">
        <v>1.41881346656667E-4</v>
      </c>
    </row>
    <row r="37285" spans="1:6" x14ac:dyDescent="0.25">
      <c r="A37285" s="1" t="str">
        <f t="shared" si="1351"/>
        <v>47894</v>
      </c>
      <c r="B37285" s="1" t="str">
        <f>"20549"</f>
        <v>20549</v>
      </c>
      <c r="C37285" s="2">
        <v>0</v>
      </c>
      <c r="D37285" s="2">
        <v>0</v>
      </c>
      <c r="E37285" s="2">
        <v>4.1771094402673299E-4</v>
      </c>
      <c r="F37285" s="2">
        <v>2.02687638080953E-5</v>
      </c>
    </row>
    <row r="37286" spans="1:6" x14ac:dyDescent="0.25">
      <c r="A37286" s="1" t="str">
        <f t="shared" si="1351"/>
        <v>47894</v>
      </c>
      <c r="B37286" s="1" t="str">
        <f>"20747"</f>
        <v>20747</v>
      </c>
      <c r="C37286" s="2">
        <v>0</v>
      </c>
      <c r="D37286" s="2">
        <v>5.8038305281485705E-4</v>
      </c>
      <c r="E37286" s="2">
        <v>2.08855472013366E-3</v>
      </c>
      <c r="F37286" s="2">
        <v>1.2161258284857201E-4</v>
      </c>
    </row>
    <row r="37287" spans="1:6" x14ac:dyDescent="0.25">
      <c r="A37287" s="1" t="str">
        <f t="shared" si="1351"/>
        <v>47894</v>
      </c>
      <c r="B37287" s="1" t="str">
        <f>"22181"</f>
        <v>22181</v>
      </c>
      <c r="C37287" s="2">
        <v>0</v>
      </c>
      <c r="D37287" s="2">
        <v>0</v>
      </c>
      <c r="E37287" s="2">
        <v>8.3542188805346695E-4</v>
      </c>
      <c r="F37287" s="2">
        <v>4.0537527616190601E-5</v>
      </c>
    </row>
    <row r="37288" spans="1:6" x14ac:dyDescent="0.25">
      <c r="A37288" s="1" t="str">
        <f t="shared" si="1351"/>
        <v>47894</v>
      </c>
      <c r="B37288" s="1" t="str">
        <f>"20657"</f>
        <v>20657</v>
      </c>
      <c r="C37288" s="2">
        <v>1.1057054400707601E-4</v>
      </c>
      <c r="D37288" s="2">
        <v>1.16076610562971E-3</v>
      </c>
      <c r="E37288" s="2">
        <v>8.3542188805346695E-4</v>
      </c>
      <c r="F37288" s="2">
        <v>1.8241887427285799E-4</v>
      </c>
    </row>
    <row r="37289" spans="1:6" x14ac:dyDescent="0.25">
      <c r="A37289" s="1" t="str">
        <f t="shared" si="1351"/>
        <v>47894</v>
      </c>
      <c r="B37289" s="1" t="str">
        <f>"20186"</f>
        <v>20186</v>
      </c>
      <c r="C37289" s="2">
        <v>2.2114108801415299E-4</v>
      </c>
      <c r="D37289" s="2">
        <v>1.2768427161926801E-2</v>
      </c>
      <c r="E37289" s="2">
        <v>2.5062656641604E-3</v>
      </c>
      <c r="F37289" s="2">
        <v>7.7021302470762305E-4</v>
      </c>
    </row>
    <row r="37290" spans="1:6" x14ac:dyDescent="0.25">
      <c r="A37290" s="1" t="str">
        <f t="shared" si="1351"/>
        <v>47894</v>
      </c>
      <c r="B37290" s="1" t="str">
        <f>"20115"</f>
        <v>20115</v>
      </c>
      <c r="C37290" s="2">
        <v>1.3268465280849101E-4</v>
      </c>
      <c r="D37290" s="2">
        <v>0</v>
      </c>
      <c r="E37290" s="2">
        <v>0</v>
      </c>
      <c r="F37290" s="2">
        <v>1.2161258284857201E-4</v>
      </c>
    </row>
    <row r="37291" spans="1:6" x14ac:dyDescent="0.25">
      <c r="A37291" s="1" t="str">
        <f t="shared" si="1351"/>
        <v>47894</v>
      </c>
      <c r="B37291" s="1" t="str">
        <f>"20002"</f>
        <v>20002</v>
      </c>
      <c r="C37291" s="2">
        <v>3.1689517912428099E-2</v>
      </c>
      <c r="D37291" s="2">
        <v>8.7057457922228593E-3</v>
      </c>
      <c r="E37291" s="2">
        <v>2.0467836257309899E-2</v>
      </c>
      <c r="F37291" s="2">
        <v>3.0342339420718699E-2</v>
      </c>
    </row>
    <row r="37292" spans="1:6" x14ac:dyDescent="0.25">
      <c r="A37292" s="1" t="str">
        <f t="shared" si="1351"/>
        <v>47894</v>
      </c>
      <c r="B37292" s="1" t="str">
        <f>"20005"</f>
        <v>20005</v>
      </c>
      <c r="C37292" s="2">
        <v>4.4228217602830602E-5</v>
      </c>
      <c r="D37292" s="2">
        <v>3.6564132327335998E-2</v>
      </c>
      <c r="E37292" s="2">
        <v>6.2656641604010004E-3</v>
      </c>
      <c r="F37292" s="2">
        <v>1.62150110464762E-3</v>
      </c>
    </row>
    <row r="37293" spans="1:6" x14ac:dyDescent="0.25">
      <c r="A37293" s="1" t="str">
        <f t="shared" si="1351"/>
        <v>47894</v>
      </c>
      <c r="B37293" s="1" t="str">
        <f>"20374"</f>
        <v>20374</v>
      </c>
      <c r="C37293" s="2">
        <v>0</v>
      </c>
      <c r="D37293" s="2">
        <v>0</v>
      </c>
      <c r="E37293" s="2">
        <v>7.1010860484544596E-3</v>
      </c>
      <c r="F37293" s="2">
        <v>3.4456898473762002E-4</v>
      </c>
    </row>
    <row r="37294" spans="1:6" x14ac:dyDescent="0.25">
      <c r="A37294" s="1" t="str">
        <f t="shared" si="1351"/>
        <v>47894</v>
      </c>
      <c r="B37294" s="1" t="str">
        <f>"20105"</f>
        <v>20105</v>
      </c>
      <c r="C37294" s="2">
        <v>6.7669172932330801E-3</v>
      </c>
      <c r="D37294" s="2">
        <v>2.9019152640742799E-3</v>
      </c>
      <c r="E37294" s="2">
        <v>1.2531328320802E-3</v>
      </c>
      <c r="F37294" s="2">
        <v>6.3643918357419301E-3</v>
      </c>
    </row>
    <row r="37295" spans="1:6" x14ac:dyDescent="0.25">
      <c r="A37295" s="1" t="str">
        <f t="shared" si="1351"/>
        <v>47894</v>
      </c>
      <c r="B37295" s="1" t="str">
        <f>"20521"</f>
        <v>20521</v>
      </c>
      <c r="C37295" s="2">
        <v>0</v>
      </c>
      <c r="D37295" s="2">
        <v>5.8038305281485705E-4</v>
      </c>
      <c r="E37295" s="2">
        <v>0</v>
      </c>
      <c r="F37295" s="2">
        <v>2.02687638080953E-5</v>
      </c>
    </row>
    <row r="37296" spans="1:6" x14ac:dyDescent="0.25">
      <c r="A37296" s="1" t="str">
        <f t="shared" si="1351"/>
        <v>47894</v>
      </c>
      <c r="B37296" s="1" t="str">
        <f>"22043"</f>
        <v>22043</v>
      </c>
      <c r="C37296" s="2">
        <v>0</v>
      </c>
      <c r="D37296" s="2">
        <v>2.3215322112594299E-3</v>
      </c>
      <c r="E37296" s="2">
        <v>0</v>
      </c>
      <c r="F37296" s="2">
        <v>8.1075055232381296E-5</v>
      </c>
    </row>
    <row r="37297" spans="1:6" x14ac:dyDescent="0.25">
      <c r="A37297" s="1" t="str">
        <f t="shared" si="1351"/>
        <v>47894</v>
      </c>
      <c r="B37297" s="1" t="str">
        <f>"20166"</f>
        <v>20166</v>
      </c>
      <c r="C37297" s="2">
        <v>6.6784608580274197E-3</v>
      </c>
      <c r="D37297" s="2">
        <v>3.4822983168891403E-2</v>
      </c>
      <c r="E37297" s="2">
        <v>5.84795321637426E-3</v>
      </c>
      <c r="F37297" s="2">
        <v>7.6210551918438401E-3</v>
      </c>
    </row>
    <row r="37298" spans="1:6" x14ac:dyDescent="0.25">
      <c r="A37298" s="1" t="str">
        <f t="shared" si="1351"/>
        <v>47894</v>
      </c>
      <c r="B37298" s="1" t="str">
        <f>"22079"</f>
        <v>22079</v>
      </c>
      <c r="C37298" s="2">
        <v>8.4033613445378102E-4</v>
      </c>
      <c r="D37298" s="2">
        <v>2.3215322112594299E-3</v>
      </c>
      <c r="E37298" s="2">
        <v>4.1771094402673299E-4</v>
      </c>
      <c r="F37298" s="2">
        <v>8.7155684374809895E-4</v>
      </c>
    </row>
    <row r="37299" spans="1:6" x14ac:dyDescent="0.25">
      <c r="A37299" s="1" t="str">
        <f t="shared" si="1351"/>
        <v>47894</v>
      </c>
      <c r="B37299" s="1" t="str">
        <f>"22033"</f>
        <v>22033</v>
      </c>
      <c r="C37299" s="2">
        <v>1.3268465280849101E-4</v>
      </c>
      <c r="D37299" s="2">
        <v>1.74114915844457E-3</v>
      </c>
      <c r="E37299" s="2">
        <v>1.67084377610693E-3</v>
      </c>
      <c r="F37299" s="2">
        <v>2.6349392950523901E-4</v>
      </c>
    </row>
    <row r="37300" spans="1:6" x14ac:dyDescent="0.25">
      <c r="A37300" s="1" t="str">
        <f t="shared" si="1351"/>
        <v>47894</v>
      </c>
      <c r="B37300" s="1" t="str">
        <f>"22731"</f>
        <v>22731</v>
      </c>
      <c r="C37300" s="2">
        <v>2.2114108801415301E-5</v>
      </c>
      <c r="D37300" s="2">
        <v>0</v>
      </c>
      <c r="E37300" s="2">
        <v>0</v>
      </c>
      <c r="F37300" s="2">
        <v>2.02687638080953E-5</v>
      </c>
    </row>
    <row r="37301" spans="1:6" x14ac:dyDescent="0.25">
      <c r="A37301" s="1" t="str">
        <f t="shared" si="1351"/>
        <v>47894</v>
      </c>
      <c r="B37301" s="1" t="str">
        <f>"22041"</f>
        <v>22041</v>
      </c>
      <c r="C37301" s="2">
        <v>0</v>
      </c>
      <c r="D37301" s="2">
        <v>3.4822983168891399E-3</v>
      </c>
      <c r="E37301" s="2">
        <v>4.1771094402673299E-4</v>
      </c>
      <c r="F37301" s="2">
        <v>1.41881346656667E-4</v>
      </c>
    </row>
    <row r="37302" spans="1:6" x14ac:dyDescent="0.25">
      <c r="A37302" s="1" t="str">
        <f t="shared" si="1351"/>
        <v>47894</v>
      </c>
      <c r="B37302" s="1" t="str">
        <f>"22412"</f>
        <v>22412</v>
      </c>
      <c r="C37302" s="2">
        <v>0</v>
      </c>
      <c r="D37302" s="2">
        <v>0</v>
      </c>
      <c r="E37302" s="2">
        <v>4.1771094402673299E-4</v>
      </c>
      <c r="F37302" s="2">
        <v>2.02687638080953E-5</v>
      </c>
    </row>
    <row r="37303" spans="1:6" x14ac:dyDescent="0.25">
      <c r="A37303" s="1" t="str">
        <f t="shared" si="1351"/>
        <v>47894</v>
      </c>
      <c r="B37303" s="1" t="str">
        <f>"20008"</f>
        <v>20008</v>
      </c>
      <c r="C37303" s="2">
        <v>1.76912870411322E-4</v>
      </c>
      <c r="D37303" s="2">
        <v>4.6430644225188599E-3</v>
      </c>
      <c r="E37303" s="2">
        <v>7.5187969924812E-3</v>
      </c>
      <c r="F37303" s="2">
        <v>6.8913796947524101E-4</v>
      </c>
    </row>
    <row r="37304" spans="1:6" x14ac:dyDescent="0.25">
      <c r="A37304" s="1" t="str">
        <f t="shared" si="1351"/>
        <v>47894</v>
      </c>
      <c r="B37304" s="1" t="str">
        <f>"20111"</f>
        <v>20111</v>
      </c>
      <c r="C37304" s="2">
        <v>3.0959752321981399E-4</v>
      </c>
      <c r="D37304" s="2">
        <v>0</v>
      </c>
      <c r="E37304" s="2">
        <v>0</v>
      </c>
      <c r="F37304" s="2">
        <v>2.83762693313334E-4</v>
      </c>
    </row>
    <row r="37305" spans="1:6" x14ac:dyDescent="0.25">
      <c r="A37305" s="1" t="str">
        <f t="shared" si="1351"/>
        <v>47894</v>
      </c>
      <c r="B37305" s="1" t="str">
        <f>"22060"</f>
        <v>22060</v>
      </c>
      <c r="C37305" s="2">
        <v>0</v>
      </c>
      <c r="D37305" s="2">
        <v>0</v>
      </c>
      <c r="E37305" s="2">
        <v>6.6833751044277304E-3</v>
      </c>
      <c r="F37305" s="2">
        <v>3.2430022092952502E-4</v>
      </c>
    </row>
    <row r="37306" spans="1:6" x14ac:dyDescent="0.25">
      <c r="A37306" s="1" t="str">
        <f t="shared" si="1351"/>
        <v>47894</v>
      </c>
      <c r="B37306" s="1" t="str">
        <f>"22556"</f>
        <v>22556</v>
      </c>
      <c r="C37306" s="2">
        <v>6.6342326404245902E-4</v>
      </c>
      <c r="D37306" s="2">
        <v>5.8038305281485705E-4</v>
      </c>
      <c r="E37306" s="2">
        <v>4.1771094402673299E-4</v>
      </c>
      <c r="F37306" s="2">
        <v>6.4860044185905102E-4</v>
      </c>
    </row>
    <row r="37307" spans="1:6" x14ac:dyDescent="0.25">
      <c r="A37307" s="1" t="str">
        <f t="shared" si="1351"/>
        <v>47894</v>
      </c>
      <c r="B37307" s="1" t="str">
        <f>"56998"</f>
        <v>56998</v>
      </c>
      <c r="C37307" s="2">
        <v>0</v>
      </c>
      <c r="D37307" s="2">
        <v>5.8038305281485705E-4</v>
      </c>
      <c r="E37307" s="2">
        <v>0</v>
      </c>
      <c r="F37307" s="2">
        <v>2.02687638080953E-5</v>
      </c>
    </row>
    <row r="37308" spans="1:6" x14ac:dyDescent="0.25">
      <c r="A37308" s="1" t="str">
        <f t="shared" si="1351"/>
        <v>47894</v>
      </c>
      <c r="B37308" s="1" t="str">
        <f>"22733"</f>
        <v>22733</v>
      </c>
      <c r="C37308" s="2">
        <v>4.4228217602830602E-5</v>
      </c>
      <c r="D37308" s="2">
        <v>0</v>
      </c>
      <c r="E37308" s="2">
        <v>0</v>
      </c>
      <c r="F37308" s="2">
        <v>4.0537527616190601E-5</v>
      </c>
    </row>
    <row r="37309" spans="1:6" x14ac:dyDescent="0.25">
      <c r="A37309" s="1" t="str">
        <f t="shared" si="1351"/>
        <v>47894</v>
      </c>
      <c r="B37309" s="1" t="str">
        <f>"20011"</f>
        <v>20011</v>
      </c>
      <c r="C37309" s="2">
        <v>4.8208757187085298E-3</v>
      </c>
      <c r="D37309" s="2">
        <v>4.0626813697040003E-3</v>
      </c>
      <c r="E37309" s="2">
        <v>1.00250626566416E-2</v>
      </c>
      <c r="F37309" s="2">
        <v>5.0469221882157404E-3</v>
      </c>
    </row>
    <row r="37310" spans="1:6" x14ac:dyDescent="0.25">
      <c r="A37310" s="1" t="str">
        <f t="shared" si="1351"/>
        <v>47894</v>
      </c>
      <c r="B37310" s="1" t="str">
        <f>"22712"</f>
        <v>22712</v>
      </c>
      <c r="C37310" s="2">
        <v>2.2777532065457701E-3</v>
      </c>
      <c r="D37310" s="2">
        <v>5.8038305281485705E-4</v>
      </c>
      <c r="E37310" s="2">
        <v>4.1771094402673296E-3</v>
      </c>
      <c r="F37310" s="2">
        <v>2.3106390741228599E-3</v>
      </c>
    </row>
    <row r="37311" spans="1:6" x14ac:dyDescent="0.25">
      <c r="A37311" s="1" t="str">
        <f t="shared" si="1351"/>
        <v>47894</v>
      </c>
      <c r="B37311" s="1" t="str">
        <f>"22642"</f>
        <v>22642</v>
      </c>
      <c r="C37311" s="2">
        <v>6.6342326404245899E-5</v>
      </c>
      <c r="D37311" s="2">
        <v>0</v>
      </c>
      <c r="E37311" s="2">
        <v>0</v>
      </c>
      <c r="F37311" s="2">
        <v>6.0806291424286003E-5</v>
      </c>
    </row>
    <row r="37312" spans="1:6" x14ac:dyDescent="0.25">
      <c r="A37312" s="1" t="str">
        <f t="shared" si="1351"/>
        <v>47894</v>
      </c>
      <c r="B37312" s="1" t="str">
        <f>"22203"</f>
        <v>22203</v>
      </c>
      <c r="C37312" s="2">
        <v>9.0004422821760195E-3</v>
      </c>
      <c r="D37312" s="2">
        <v>2.2054556006964501E-2</v>
      </c>
      <c r="E37312" s="2">
        <v>4.1771094402673299E-4</v>
      </c>
      <c r="F37312" s="2">
        <v>9.0398686584105201E-3</v>
      </c>
    </row>
    <row r="37313" spans="1:6" x14ac:dyDescent="0.25">
      <c r="A37313" s="1" t="str">
        <f t="shared" si="1351"/>
        <v>47894</v>
      </c>
      <c r="B37313" s="1" t="str">
        <f>"20632"</f>
        <v>20632</v>
      </c>
      <c r="C37313" s="2">
        <v>4.4228217602830602E-5</v>
      </c>
      <c r="D37313" s="2">
        <v>0</v>
      </c>
      <c r="E37313" s="2">
        <v>0</v>
      </c>
      <c r="F37313" s="2">
        <v>4.0537527616190601E-5</v>
      </c>
    </row>
    <row r="37314" spans="1:6" x14ac:dyDescent="0.25">
      <c r="A37314" s="1" t="str">
        <f t="shared" si="1351"/>
        <v>47894</v>
      </c>
      <c r="B37314" s="1" t="str">
        <f>"20170"</f>
        <v>20170</v>
      </c>
      <c r="C37314" s="2">
        <v>0</v>
      </c>
      <c r="D37314" s="2">
        <v>1.74114915844457E-3</v>
      </c>
      <c r="E37314" s="2">
        <v>4.1771094402673299E-4</v>
      </c>
      <c r="F37314" s="2">
        <v>8.1075055232381296E-5</v>
      </c>
    </row>
    <row r="37315" spans="1:6" x14ac:dyDescent="0.25">
      <c r="A37315" s="1" t="str">
        <f t="shared" si="1351"/>
        <v>47894</v>
      </c>
      <c r="B37315" s="1" t="str">
        <f>"20510"</f>
        <v>20510</v>
      </c>
      <c r="C37315" s="2">
        <v>0</v>
      </c>
      <c r="D37315" s="2">
        <v>0</v>
      </c>
      <c r="E37315" s="2">
        <v>4.1771094402673299E-4</v>
      </c>
      <c r="F37315" s="2">
        <v>2.02687638080953E-5</v>
      </c>
    </row>
    <row r="37316" spans="1:6" x14ac:dyDescent="0.25">
      <c r="A37316" s="1" t="str">
        <f t="shared" si="1351"/>
        <v>47894</v>
      </c>
      <c r="B37316" s="1" t="str">
        <f>"22534"</f>
        <v>22534</v>
      </c>
      <c r="C37316" s="2">
        <v>6.6342326404245899E-5</v>
      </c>
      <c r="D37316" s="2">
        <v>0</v>
      </c>
      <c r="E37316" s="2">
        <v>0</v>
      </c>
      <c r="F37316" s="2">
        <v>6.0806291424286003E-5</v>
      </c>
    </row>
    <row r="37317" spans="1:6" x14ac:dyDescent="0.25">
      <c r="A37317" s="1" t="str">
        <f t="shared" si="1351"/>
        <v>47894</v>
      </c>
      <c r="B37317" s="1" t="str">
        <f>"20608"</f>
        <v>20608</v>
      </c>
      <c r="C37317" s="2">
        <v>2.2114108801415301E-5</v>
      </c>
      <c r="D37317" s="2">
        <v>0</v>
      </c>
      <c r="E37317" s="2">
        <v>0</v>
      </c>
      <c r="F37317" s="2">
        <v>2.02687638080953E-5</v>
      </c>
    </row>
    <row r="37318" spans="1:6" x14ac:dyDescent="0.25">
      <c r="A37318" s="1" t="str">
        <f t="shared" si="1351"/>
        <v>47894</v>
      </c>
      <c r="B37318" s="1" t="str">
        <f>"20693"</f>
        <v>20693</v>
      </c>
      <c r="C37318" s="2">
        <v>2.2114108801415301E-5</v>
      </c>
      <c r="D37318" s="2">
        <v>0</v>
      </c>
      <c r="E37318" s="2">
        <v>0</v>
      </c>
      <c r="F37318" s="2">
        <v>2.02687638080953E-5</v>
      </c>
    </row>
    <row r="37319" spans="1:6" x14ac:dyDescent="0.25">
      <c r="A37319" s="1" t="str">
        <f t="shared" si="1351"/>
        <v>47894</v>
      </c>
      <c r="B37319" s="1" t="str">
        <f>"20762"</f>
        <v>20762</v>
      </c>
      <c r="C37319" s="2">
        <v>4.4228217602830602E-5</v>
      </c>
      <c r="D37319" s="2">
        <v>0</v>
      </c>
      <c r="E37319" s="2">
        <v>0</v>
      </c>
      <c r="F37319" s="2">
        <v>4.0537527616190601E-5</v>
      </c>
    </row>
    <row r="37320" spans="1:6" x14ac:dyDescent="0.25">
      <c r="A37320" s="1" t="str">
        <f t="shared" ref="A37320:A37383" si="1352">"47894"</f>
        <v>47894</v>
      </c>
      <c r="B37320" s="1" t="str">
        <f>"20427"</f>
        <v>20427</v>
      </c>
      <c r="C37320" s="2">
        <v>0</v>
      </c>
      <c r="D37320" s="2">
        <v>5.8038305281485705E-4</v>
      </c>
      <c r="E37320" s="2">
        <v>0</v>
      </c>
      <c r="F37320" s="2">
        <v>2.02687638080953E-5</v>
      </c>
    </row>
    <row r="37321" spans="1:6" x14ac:dyDescent="0.25">
      <c r="A37321" s="1" t="str">
        <f t="shared" si="1352"/>
        <v>47894</v>
      </c>
      <c r="B37321" s="1" t="str">
        <f>"20769"</f>
        <v>20769</v>
      </c>
      <c r="C37321" s="2">
        <v>0</v>
      </c>
      <c r="D37321" s="2">
        <v>5.8038305281485705E-4</v>
      </c>
      <c r="E37321" s="2">
        <v>0</v>
      </c>
      <c r="F37321" s="2">
        <v>2.02687638080953E-5</v>
      </c>
    </row>
    <row r="37322" spans="1:6" x14ac:dyDescent="0.25">
      <c r="A37322" s="1" t="str">
        <f t="shared" si="1352"/>
        <v>47894</v>
      </c>
      <c r="B37322" s="1" t="str">
        <f>"20117"</f>
        <v>20117</v>
      </c>
      <c r="C37322" s="2">
        <v>2.8748341441839798E-4</v>
      </c>
      <c r="D37322" s="2">
        <v>2.3215322112594299E-3</v>
      </c>
      <c r="E37322" s="2">
        <v>0</v>
      </c>
      <c r="F37322" s="2">
        <v>3.4456898473762002E-4</v>
      </c>
    </row>
    <row r="37323" spans="1:6" x14ac:dyDescent="0.25">
      <c r="A37323" s="1" t="str">
        <f t="shared" si="1352"/>
        <v>47894</v>
      </c>
      <c r="B37323" s="1" t="str">
        <f>"20194"</f>
        <v>20194</v>
      </c>
      <c r="C37323" s="2">
        <v>0</v>
      </c>
      <c r="D37323" s="2">
        <v>0</v>
      </c>
      <c r="E37323" s="2">
        <v>4.1771094402673299E-4</v>
      </c>
      <c r="F37323" s="2">
        <v>2.02687638080953E-5</v>
      </c>
    </row>
    <row r="37324" spans="1:6" x14ac:dyDescent="0.25">
      <c r="A37324" s="1" t="str">
        <f t="shared" si="1352"/>
        <v>47894</v>
      </c>
      <c r="B37324" s="1" t="str">
        <f>"20233"</f>
        <v>20233</v>
      </c>
      <c r="C37324" s="2">
        <v>0</v>
      </c>
      <c r="D37324" s="2">
        <v>0</v>
      </c>
      <c r="E37324" s="2">
        <v>4.1771094402673299E-4</v>
      </c>
      <c r="F37324" s="2">
        <v>2.02687638080953E-5</v>
      </c>
    </row>
    <row r="37325" spans="1:6" x14ac:dyDescent="0.25">
      <c r="A37325" s="1" t="str">
        <f t="shared" si="1352"/>
        <v>47894</v>
      </c>
      <c r="B37325" s="1" t="str">
        <f>"22312"</f>
        <v>22312</v>
      </c>
      <c r="C37325" s="2">
        <v>0</v>
      </c>
      <c r="D37325" s="2">
        <v>1.16076610562971E-3</v>
      </c>
      <c r="E37325" s="2">
        <v>0</v>
      </c>
      <c r="F37325" s="2">
        <v>4.0537527616190601E-5</v>
      </c>
    </row>
    <row r="37326" spans="1:6" x14ac:dyDescent="0.25">
      <c r="A37326" s="1" t="str">
        <f t="shared" si="1352"/>
        <v>47894</v>
      </c>
      <c r="B37326" s="1" t="str">
        <f>"20721"</f>
        <v>20721</v>
      </c>
      <c r="C37326" s="2">
        <v>2.2114108801415301E-5</v>
      </c>
      <c r="D37326" s="2">
        <v>0</v>
      </c>
      <c r="E37326" s="2">
        <v>4.1771094402673299E-4</v>
      </c>
      <c r="F37326" s="2">
        <v>4.0537527616190601E-5</v>
      </c>
    </row>
    <row r="37327" spans="1:6" x14ac:dyDescent="0.25">
      <c r="A37327" s="1" t="str">
        <f t="shared" si="1352"/>
        <v>47894</v>
      </c>
      <c r="B37327" s="1" t="str">
        <f>"22740"</f>
        <v>22740</v>
      </c>
      <c r="C37327" s="2">
        <v>1.3268465280849101E-4</v>
      </c>
      <c r="D37327" s="2">
        <v>0</v>
      </c>
      <c r="E37327" s="2">
        <v>0</v>
      </c>
      <c r="F37327" s="2">
        <v>1.2161258284857201E-4</v>
      </c>
    </row>
    <row r="37328" spans="1:6" x14ac:dyDescent="0.25">
      <c r="A37328" s="1" t="str">
        <f t="shared" si="1352"/>
        <v>47894</v>
      </c>
      <c r="B37328" s="1" t="str">
        <f>"20109"</f>
        <v>20109</v>
      </c>
      <c r="C37328" s="2">
        <v>7.4524546660769504E-3</v>
      </c>
      <c r="D37328" s="2">
        <v>2.031340684852E-2</v>
      </c>
      <c r="E37328" s="2">
        <v>5.0125313283208E-3</v>
      </c>
      <c r="F37328" s="2">
        <v>7.7832053023086101E-3</v>
      </c>
    </row>
    <row r="37329" spans="1:6" x14ac:dyDescent="0.25">
      <c r="A37329" s="1" t="str">
        <f t="shared" si="1352"/>
        <v>47894</v>
      </c>
      <c r="B37329" s="1" t="str">
        <f>"20155"</f>
        <v>20155</v>
      </c>
      <c r="C37329" s="2">
        <v>1.9018133569217101E-3</v>
      </c>
      <c r="D37329" s="2">
        <v>3.2501450957632003E-2</v>
      </c>
      <c r="E37329" s="2">
        <v>2.08855472013366E-3</v>
      </c>
      <c r="F37329" s="2">
        <v>2.9795082797900098E-3</v>
      </c>
    </row>
    <row r="37330" spans="1:6" x14ac:dyDescent="0.25">
      <c r="A37330" s="1" t="str">
        <f t="shared" si="1352"/>
        <v>47894</v>
      </c>
      <c r="B37330" s="1" t="str">
        <f>"22101"</f>
        <v>22101</v>
      </c>
      <c r="C37330" s="2">
        <v>6.85537372843874E-4</v>
      </c>
      <c r="D37330" s="2">
        <v>1.74114915844457E-3</v>
      </c>
      <c r="E37330" s="2">
        <v>1.2531328320802E-3</v>
      </c>
      <c r="F37330" s="2">
        <v>7.4994426089952703E-4</v>
      </c>
    </row>
    <row r="37331" spans="1:6" x14ac:dyDescent="0.25">
      <c r="A37331" s="1" t="str">
        <f t="shared" si="1352"/>
        <v>47894</v>
      </c>
      <c r="B37331" s="1" t="str">
        <f>"22728"</f>
        <v>22728</v>
      </c>
      <c r="C37331" s="2">
        <v>1.5479876160990699E-4</v>
      </c>
      <c r="D37331" s="2">
        <v>0</v>
      </c>
      <c r="E37331" s="2">
        <v>8.3542188805346695E-4</v>
      </c>
      <c r="F37331" s="2">
        <v>1.8241887427285799E-4</v>
      </c>
    </row>
    <row r="37332" spans="1:6" x14ac:dyDescent="0.25">
      <c r="A37332" s="1" t="str">
        <f t="shared" si="1352"/>
        <v>47894</v>
      </c>
      <c r="B37332" s="1" t="str">
        <f>"20019"</f>
        <v>20019</v>
      </c>
      <c r="C37332" s="2">
        <v>4.0911101282618302E-3</v>
      </c>
      <c r="D37332" s="2">
        <v>1.16076610562971E-3</v>
      </c>
      <c r="E37332" s="2">
        <v>2.92397660818713E-3</v>
      </c>
      <c r="F37332" s="2">
        <v>3.9321401787704904E-3</v>
      </c>
    </row>
    <row r="37333" spans="1:6" x14ac:dyDescent="0.25">
      <c r="A37333" s="1" t="str">
        <f t="shared" si="1352"/>
        <v>47894</v>
      </c>
      <c r="B37333" s="1" t="str">
        <f>"20782"</f>
        <v>20782</v>
      </c>
      <c r="C37333" s="2">
        <v>2.1229544449358598E-2</v>
      </c>
      <c r="D37333" s="2">
        <v>2.5536854323853699E-2</v>
      </c>
      <c r="E37333" s="2">
        <v>1.37844611528822E-2</v>
      </c>
      <c r="F37333" s="2">
        <v>2.10187080689948E-2</v>
      </c>
    </row>
    <row r="37334" spans="1:6" x14ac:dyDescent="0.25">
      <c r="A37334" s="1" t="str">
        <f t="shared" si="1352"/>
        <v>47894</v>
      </c>
      <c r="B37334" s="1" t="str">
        <f>"20737"</f>
        <v>20737</v>
      </c>
      <c r="C37334" s="2">
        <v>0</v>
      </c>
      <c r="D37334" s="2">
        <v>1.1607661056297101E-2</v>
      </c>
      <c r="E37334" s="2">
        <v>6.2656641604010004E-3</v>
      </c>
      <c r="F37334" s="2">
        <v>7.0940673328333704E-4</v>
      </c>
    </row>
    <row r="37335" spans="1:6" x14ac:dyDescent="0.25">
      <c r="A37335" s="1" t="str">
        <f t="shared" si="1352"/>
        <v>47894</v>
      </c>
      <c r="B37335" s="1" t="str">
        <f>"20187"</f>
        <v>20187</v>
      </c>
      <c r="C37335" s="2">
        <v>7.2976559044670396E-4</v>
      </c>
      <c r="D37335" s="2">
        <v>4.0626813697040003E-3</v>
      </c>
      <c r="E37335" s="2">
        <v>8.3542188805346695E-4</v>
      </c>
      <c r="F37335" s="2">
        <v>8.5128807994000401E-4</v>
      </c>
    </row>
    <row r="37336" spans="1:6" x14ac:dyDescent="0.25">
      <c r="A37336" s="1" t="str">
        <f t="shared" si="1352"/>
        <v>47894</v>
      </c>
      <c r="B37336" s="1" t="str">
        <f>"20147"</f>
        <v>20147</v>
      </c>
      <c r="C37336" s="2">
        <v>1.19637328615656E-2</v>
      </c>
      <c r="D37336" s="2">
        <v>3.0179918746372599E-2</v>
      </c>
      <c r="E37336" s="2">
        <v>4.1771094402673296E-3</v>
      </c>
      <c r="F37336" s="2">
        <v>1.2222064576281401E-2</v>
      </c>
    </row>
    <row r="37337" spans="1:6" x14ac:dyDescent="0.25">
      <c r="A37337" s="1" t="str">
        <f t="shared" si="1352"/>
        <v>47894</v>
      </c>
      <c r="B37337" s="1" t="str">
        <f>"20120"</f>
        <v>20120</v>
      </c>
      <c r="C37337" s="2">
        <v>8.2043343653250694E-3</v>
      </c>
      <c r="D37337" s="2">
        <v>0</v>
      </c>
      <c r="E37337" s="2">
        <v>2.5062656641604002E-2</v>
      </c>
      <c r="F37337" s="2">
        <v>8.7358372012890893E-3</v>
      </c>
    </row>
    <row r="37338" spans="1:6" x14ac:dyDescent="0.25">
      <c r="A37338" s="1" t="str">
        <f t="shared" si="1352"/>
        <v>47894</v>
      </c>
      <c r="B37338" s="1" t="str">
        <f>"22738"</f>
        <v>22738</v>
      </c>
      <c r="C37338" s="2">
        <v>8.8456435205661204E-5</v>
      </c>
      <c r="D37338" s="2">
        <v>0</v>
      </c>
      <c r="E37338" s="2">
        <v>0</v>
      </c>
      <c r="F37338" s="2">
        <v>8.1075055232381296E-5</v>
      </c>
    </row>
    <row r="37339" spans="1:6" x14ac:dyDescent="0.25">
      <c r="A37339" s="1" t="str">
        <f t="shared" si="1352"/>
        <v>47894</v>
      </c>
      <c r="B37339" s="1" t="str">
        <f>"22032"</f>
        <v>22032</v>
      </c>
      <c r="C37339" s="2">
        <v>0</v>
      </c>
      <c r="D37339" s="2">
        <v>0</v>
      </c>
      <c r="E37339" s="2">
        <v>8.3542188805346695E-4</v>
      </c>
      <c r="F37339" s="2">
        <v>4.0537527616190601E-5</v>
      </c>
    </row>
    <row r="37340" spans="1:6" x14ac:dyDescent="0.25">
      <c r="A37340" s="1" t="str">
        <f t="shared" si="1352"/>
        <v>47894</v>
      </c>
      <c r="B37340" s="1" t="str">
        <f>"20398"</f>
        <v>20398</v>
      </c>
      <c r="C37340" s="2">
        <v>0</v>
      </c>
      <c r="D37340" s="2">
        <v>0</v>
      </c>
      <c r="E37340" s="2">
        <v>4.1771094402673299E-4</v>
      </c>
      <c r="F37340" s="2">
        <v>2.02687638080953E-5</v>
      </c>
    </row>
    <row r="37341" spans="1:6" x14ac:dyDescent="0.25">
      <c r="A37341" s="1" t="str">
        <f t="shared" si="1352"/>
        <v>47894</v>
      </c>
      <c r="B37341" s="1" t="str">
        <f>"20268"</f>
        <v>20268</v>
      </c>
      <c r="C37341" s="2">
        <v>0</v>
      </c>
      <c r="D37341" s="2">
        <v>0</v>
      </c>
      <c r="E37341" s="2">
        <v>4.1771094402673299E-4</v>
      </c>
      <c r="F37341" s="2">
        <v>2.02687638080953E-5</v>
      </c>
    </row>
    <row r="37342" spans="1:6" x14ac:dyDescent="0.25">
      <c r="A37342" s="1" t="str">
        <f t="shared" si="1352"/>
        <v>47894</v>
      </c>
      <c r="B37342" s="1" t="str">
        <f>"22310"</f>
        <v>22310</v>
      </c>
      <c r="C37342" s="2">
        <v>6.85537372843874E-4</v>
      </c>
      <c r="D37342" s="2">
        <v>1.16076610562971E-3</v>
      </c>
      <c r="E37342" s="2">
        <v>0</v>
      </c>
      <c r="F37342" s="2">
        <v>6.6886920566714596E-4</v>
      </c>
    </row>
    <row r="37343" spans="1:6" x14ac:dyDescent="0.25">
      <c r="A37343" s="1" t="str">
        <f t="shared" si="1352"/>
        <v>47894</v>
      </c>
      <c r="B37343" s="1" t="str">
        <f>"22713"</f>
        <v>22713</v>
      </c>
      <c r="C37343" s="2">
        <v>4.4228217602830602E-5</v>
      </c>
      <c r="D37343" s="2">
        <v>0</v>
      </c>
      <c r="E37343" s="2">
        <v>0</v>
      </c>
      <c r="F37343" s="2">
        <v>4.0537527616190601E-5</v>
      </c>
    </row>
    <row r="37344" spans="1:6" x14ac:dyDescent="0.25">
      <c r="A37344" s="1" t="str">
        <f t="shared" si="1352"/>
        <v>47894</v>
      </c>
      <c r="B37344" s="1" t="str">
        <f>"20676"</f>
        <v>20676</v>
      </c>
      <c r="C37344" s="2">
        <v>2.2114108801415301E-5</v>
      </c>
      <c r="D37344" s="2">
        <v>0</v>
      </c>
      <c r="E37344" s="2">
        <v>0</v>
      </c>
      <c r="F37344" s="2">
        <v>2.02687638080953E-5</v>
      </c>
    </row>
    <row r="37345" spans="1:6" x14ac:dyDescent="0.25">
      <c r="A37345" s="1" t="str">
        <f t="shared" si="1352"/>
        <v>47894</v>
      </c>
      <c r="B37345" s="1" t="str">
        <f>"22207"</f>
        <v>22207</v>
      </c>
      <c r="C37345" s="2">
        <v>2.21141088014153E-3</v>
      </c>
      <c r="D37345" s="2">
        <v>2.3215322112594299E-3</v>
      </c>
      <c r="E37345" s="2">
        <v>4.1771094402673299E-4</v>
      </c>
      <c r="F37345" s="2">
        <v>2.1282201998500099E-3</v>
      </c>
    </row>
    <row r="37346" spans="1:6" x14ac:dyDescent="0.25">
      <c r="A37346" s="1" t="str">
        <f t="shared" si="1352"/>
        <v>47894</v>
      </c>
      <c r="B37346" s="1" t="str">
        <f>"20112"</f>
        <v>20112</v>
      </c>
      <c r="C37346" s="2">
        <v>3.9363113666519203E-3</v>
      </c>
      <c r="D37346" s="2">
        <v>0</v>
      </c>
      <c r="E37346" s="2">
        <v>4.1771094402673299E-4</v>
      </c>
      <c r="F37346" s="2">
        <v>3.6281087216490601E-3</v>
      </c>
    </row>
    <row r="37347" spans="1:6" x14ac:dyDescent="0.25">
      <c r="A37347" s="1" t="str">
        <f t="shared" si="1352"/>
        <v>47894</v>
      </c>
      <c r="B37347" s="1" t="str">
        <f>"22407"</f>
        <v>22407</v>
      </c>
      <c r="C37347" s="2">
        <v>4.8429898275099501E-3</v>
      </c>
      <c r="D37347" s="2">
        <v>0</v>
      </c>
      <c r="E37347" s="2">
        <v>4.1771094402673299E-4</v>
      </c>
      <c r="F37347" s="2">
        <v>4.4591280377809699E-3</v>
      </c>
    </row>
    <row r="37348" spans="1:6" x14ac:dyDescent="0.25">
      <c r="A37348" s="1" t="str">
        <f t="shared" si="1352"/>
        <v>47894</v>
      </c>
      <c r="B37348" s="1" t="str">
        <f>"20001"</f>
        <v>20001</v>
      </c>
      <c r="C37348" s="2">
        <v>1.1654135338345801E-2</v>
      </c>
      <c r="D37348" s="2">
        <v>2.6117237376668601E-2</v>
      </c>
      <c r="E37348" s="2">
        <v>2.00501253132832E-2</v>
      </c>
      <c r="F37348" s="2">
        <v>1.25666335610191E-2</v>
      </c>
    </row>
    <row r="37349" spans="1:6" x14ac:dyDescent="0.25">
      <c r="A37349" s="1" t="str">
        <f t="shared" si="1352"/>
        <v>47894</v>
      </c>
      <c r="B37349" s="1" t="str">
        <f>"20032"</f>
        <v>20032</v>
      </c>
      <c r="C37349" s="2">
        <v>3.53825740822644E-4</v>
      </c>
      <c r="D37349" s="2">
        <v>1.74114915844457E-3</v>
      </c>
      <c r="E37349" s="2">
        <v>7.1010860484544596E-3</v>
      </c>
      <c r="F37349" s="2">
        <v>7.2967549709143198E-4</v>
      </c>
    </row>
    <row r="37350" spans="1:6" x14ac:dyDescent="0.25">
      <c r="A37350" s="1" t="str">
        <f t="shared" si="1352"/>
        <v>47894</v>
      </c>
      <c r="B37350" s="1" t="str">
        <f>"22729"</f>
        <v>22729</v>
      </c>
      <c r="C37350" s="2">
        <v>2.2114108801415301E-5</v>
      </c>
      <c r="D37350" s="2">
        <v>0</v>
      </c>
      <c r="E37350" s="2">
        <v>0</v>
      </c>
      <c r="F37350" s="2">
        <v>2.02687638080953E-5</v>
      </c>
    </row>
    <row r="37351" spans="1:6" x14ac:dyDescent="0.25">
      <c r="A37351" s="1" t="str">
        <f t="shared" si="1352"/>
        <v>47894</v>
      </c>
      <c r="B37351" s="1" t="str">
        <f>"22306"</f>
        <v>22306</v>
      </c>
      <c r="C37351" s="2">
        <v>0</v>
      </c>
      <c r="D37351" s="2">
        <v>5.8038305281485705E-4</v>
      </c>
      <c r="E37351" s="2">
        <v>0</v>
      </c>
      <c r="F37351" s="2">
        <v>2.02687638080953E-5</v>
      </c>
    </row>
    <row r="37352" spans="1:6" x14ac:dyDescent="0.25">
      <c r="A37352" s="1" t="str">
        <f t="shared" si="1352"/>
        <v>47894</v>
      </c>
      <c r="B37352" s="1" t="str">
        <f>"20189"</f>
        <v>20189</v>
      </c>
      <c r="C37352" s="2">
        <v>0.39484741264926998</v>
      </c>
      <c r="D37352" s="2">
        <v>0</v>
      </c>
      <c r="E37352" s="2">
        <v>5.0125313283208E-3</v>
      </c>
      <c r="F37352" s="2">
        <v>0.36214200295923898</v>
      </c>
    </row>
    <row r="37353" spans="1:6" x14ac:dyDescent="0.25">
      <c r="A37353" s="1" t="str">
        <f t="shared" si="1352"/>
        <v>47894</v>
      </c>
      <c r="B37353" s="1" t="str">
        <f>"25446"</f>
        <v>25446</v>
      </c>
      <c r="C37353" s="2">
        <v>1.1057054400707601E-4</v>
      </c>
      <c r="D37353" s="2">
        <v>0</v>
      </c>
      <c r="E37353" s="2">
        <v>0</v>
      </c>
      <c r="F37353" s="2">
        <v>1.0134381904047599E-4</v>
      </c>
    </row>
    <row r="37354" spans="1:6" x14ac:dyDescent="0.25">
      <c r="A37354" s="1" t="str">
        <f t="shared" si="1352"/>
        <v>47894</v>
      </c>
      <c r="B37354" s="1" t="str">
        <f>"20720"</f>
        <v>20720</v>
      </c>
      <c r="C37354" s="2">
        <v>0</v>
      </c>
      <c r="D37354" s="2">
        <v>5.8038305281485705E-4</v>
      </c>
      <c r="E37354" s="2">
        <v>4.1771094402673299E-4</v>
      </c>
      <c r="F37354" s="2">
        <v>4.0537527616190601E-5</v>
      </c>
    </row>
    <row r="37355" spans="1:6" x14ac:dyDescent="0.25">
      <c r="A37355" s="1" t="str">
        <f t="shared" si="1352"/>
        <v>47894</v>
      </c>
      <c r="B37355" s="1" t="str">
        <f>"20736"</f>
        <v>20736</v>
      </c>
      <c r="C37355" s="2">
        <v>8.8456435205661204E-5</v>
      </c>
      <c r="D37355" s="2">
        <v>0</v>
      </c>
      <c r="E37355" s="2">
        <v>0</v>
      </c>
      <c r="F37355" s="2">
        <v>8.1075055232381296E-5</v>
      </c>
    </row>
    <row r="37356" spans="1:6" x14ac:dyDescent="0.25">
      <c r="A37356" s="1" t="str">
        <f t="shared" si="1352"/>
        <v>47894</v>
      </c>
      <c r="B37356" s="1" t="str">
        <f>"20735"</f>
        <v>20735</v>
      </c>
      <c r="C37356" s="2">
        <v>5.5285272003538196E-4</v>
      </c>
      <c r="D37356" s="2">
        <v>1.16076610562971E-3</v>
      </c>
      <c r="E37356" s="2">
        <v>2.5062656641604E-3</v>
      </c>
      <c r="F37356" s="2">
        <v>6.6886920566714596E-4</v>
      </c>
    </row>
    <row r="37357" spans="1:6" x14ac:dyDescent="0.25">
      <c r="A37357" s="1" t="str">
        <f t="shared" si="1352"/>
        <v>47894</v>
      </c>
      <c r="B37357" s="1" t="str">
        <f>"20743"</f>
        <v>20743</v>
      </c>
      <c r="C37357" s="2">
        <v>0</v>
      </c>
      <c r="D37357" s="2">
        <v>1.0446894950667401E-2</v>
      </c>
      <c r="E37357" s="2">
        <v>5.43024227234753E-3</v>
      </c>
      <c r="F37357" s="2">
        <v>6.2833167805095499E-4</v>
      </c>
    </row>
    <row r="37358" spans="1:6" x14ac:dyDescent="0.25">
      <c r="A37358" s="1" t="str">
        <f t="shared" si="1352"/>
        <v>47894</v>
      </c>
      <c r="B37358" s="1" t="str">
        <f>"20151"</f>
        <v>20151</v>
      </c>
      <c r="C37358" s="2">
        <v>2.0787262273330299E-3</v>
      </c>
      <c r="D37358" s="2">
        <v>1.91526407428903E-2</v>
      </c>
      <c r="E37358" s="2">
        <v>4.5948203842940596E-3</v>
      </c>
      <c r="F37358" s="2">
        <v>2.7970894055171498E-3</v>
      </c>
    </row>
    <row r="37359" spans="1:6" x14ac:dyDescent="0.25">
      <c r="A37359" s="1" t="str">
        <f t="shared" si="1352"/>
        <v>47894</v>
      </c>
      <c r="B37359" s="1" t="str">
        <f>"22551"</f>
        <v>22551</v>
      </c>
      <c r="C37359" s="2">
        <v>3.3171163202122902E-4</v>
      </c>
      <c r="D37359" s="2">
        <v>2.3215322112594299E-3</v>
      </c>
      <c r="E37359" s="2">
        <v>8.3542188805346695E-4</v>
      </c>
      <c r="F37359" s="2">
        <v>4.2564403997000201E-4</v>
      </c>
    </row>
    <row r="37360" spans="1:6" x14ac:dyDescent="0.25">
      <c r="A37360" s="1" t="str">
        <f t="shared" si="1352"/>
        <v>47894</v>
      </c>
      <c r="B37360" s="1" t="str">
        <f>"20637"</f>
        <v>20637</v>
      </c>
      <c r="C37360" s="2">
        <v>8.8456435205661204E-5</v>
      </c>
      <c r="D37360" s="2">
        <v>0</v>
      </c>
      <c r="E37360" s="2">
        <v>0</v>
      </c>
      <c r="F37360" s="2">
        <v>8.1075055232381296E-5</v>
      </c>
    </row>
    <row r="37361" spans="1:6" x14ac:dyDescent="0.25">
      <c r="A37361" s="1" t="str">
        <f t="shared" si="1352"/>
        <v>47894</v>
      </c>
      <c r="B37361" s="1" t="str">
        <f>"20164"</f>
        <v>20164</v>
      </c>
      <c r="C37361" s="2">
        <v>9.5090667846085798E-4</v>
      </c>
      <c r="D37361" s="2">
        <v>3.4822983168891399E-3</v>
      </c>
      <c r="E37361" s="2">
        <v>1.2531328320802E-3</v>
      </c>
      <c r="F37361" s="2">
        <v>1.05397571802095E-3</v>
      </c>
    </row>
    <row r="37362" spans="1:6" x14ac:dyDescent="0.25">
      <c r="A37362" s="1" t="str">
        <f t="shared" si="1352"/>
        <v>47894</v>
      </c>
      <c r="B37362" s="1" t="str">
        <f>"22003"</f>
        <v>22003</v>
      </c>
      <c r="C37362" s="2">
        <v>1.4595311808934001E-3</v>
      </c>
      <c r="D37362" s="2">
        <v>0</v>
      </c>
      <c r="E37362" s="2">
        <v>2.5062656641604E-3</v>
      </c>
      <c r="F37362" s="2">
        <v>1.4593509941828601E-3</v>
      </c>
    </row>
    <row r="37363" spans="1:6" x14ac:dyDescent="0.25">
      <c r="A37363" s="1" t="str">
        <f t="shared" si="1352"/>
        <v>47894</v>
      </c>
      <c r="B37363" s="1" t="str">
        <f>"22735"</f>
        <v>22735</v>
      </c>
      <c r="C37363" s="2">
        <v>4.4228217602830602E-5</v>
      </c>
      <c r="D37363" s="2">
        <v>0</v>
      </c>
      <c r="E37363" s="2">
        <v>0</v>
      </c>
      <c r="F37363" s="2">
        <v>4.0537527616190601E-5</v>
      </c>
    </row>
    <row r="37364" spans="1:6" x14ac:dyDescent="0.25">
      <c r="A37364" s="1" t="str">
        <f t="shared" si="1352"/>
        <v>47894</v>
      </c>
      <c r="B37364" s="1" t="str">
        <f>"20012"</f>
        <v>20012</v>
      </c>
      <c r="C37364" s="2">
        <v>3.7593984962406001E-4</v>
      </c>
      <c r="D37364" s="2">
        <v>5.8038305281485705E-4</v>
      </c>
      <c r="E37364" s="2">
        <v>5.0125313283208E-3</v>
      </c>
      <c r="F37364" s="2">
        <v>6.0806291424286005E-4</v>
      </c>
    </row>
    <row r="37365" spans="1:6" x14ac:dyDescent="0.25">
      <c r="A37365" s="1" t="str">
        <f t="shared" si="1352"/>
        <v>47894</v>
      </c>
      <c r="B37365" s="1" t="str">
        <f>"22663"</f>
        <v>22663</v>
      </c>
      <c r="C37365" s="2">
        <v>1.3268465280849101E-4</v>
      </c>
      <c r="D37365" s="2">
        <v>5.8038305281485705E-4</v>
      </c>
      <c r="E37365" s="2">
        <v>0</v>
      </c>
      <c r="F37365" s="2">
        <v>1.41881346656667E-4</v>
      </c>
    </row>
    <row r="37366" spans="1:6" x14ac:dyDescent="0.25">
      <c r="A37366" s="1" t="str">
        <f t="shared" si="1352"/>
        <v>47894</v>
      </c>
      <c r="B37366" s="1" t="str">
        <f>"20191"</f>
        <v>20191</v>
      </c>
      <c r="C37366" s="2">
        <v>2.6979212737726602E-3</v>
      </c>
      <c r="D37366" s="2">
        <v>1.74114915844457E-3</v>
      </c>
      <c r="E37366" s="2">
        <v>2.5062656641604E-3</v>
      </c>
      <c r="F37366" s="2">
        <v>2.6552080588604899E-3</v>
      </c>
    </row>
    <row r="37367" spans="1:6" x14ac:dyDescent="0.25">
      <c r="A37367" s="1" t="str">
        <f t="shared" si="1352"/>
        <v>47894</v>
      </c>
      <c r="B37367" s="1" t="str">
        <f>"20708"</f>
        <v>20708</v>
      </c>
      <c r="C37367" s="2">
        <v>4.4228217602830602E-5</v>
      </c>
      <c r="D37367" s="2">
        <v>5.8038305281485705E-4</v>
      </c>
      <c r="E37367" s="2">
        <v>1.67084377610693E-3</v>
      </c>
      <c r="F37367" s="2">
        <v>1.41881346656667E-4</v>
      </c>
    </row>
    <row r="37368" spans="1:6" x14ac:dyDescent="0.25">
      <c r="A37368" s="1" t="str">
        <f t="shared" si="1352"/>
        <v>47894</v>
      </c>
      <c r="B37368" s="1" t="str">
        <f>"22737"</f>
        <v>22737</v>
      </c>
      <c r="C37368" s="2">
        <v>2.4325519681556799E-4</v>
      </c>
      <c r="D37368" s="2">
        <v>0</v>
      </c>
      <c r="E37368" s="2">
        <v>0</v>
      </c>
      <c r="F37368" s="2">
        <v>2.2295640188904801E-4</v>
      </c>
    </row>
    <row r="37369" spans="1:6" x14ac:dyDescent="0.25">
      <c r="A37369" s="1" t="str">
        <f t="shared" si="1352"/>
        <v>47894</v>
      </c>
      <c r="B37369" s="1" t="str">
        <f>"20601"</f>
        <v>20601</v>
      </c>
      <c r="C37369" s="2">
        <v>3.0517470145953098E-3</v>
      </c>
      <c r="D37369" s="2">
        <v>5.8038305281485705E-4</v>
      </c>
      <c r="E37369" s="2">
        <v>4.1771094402673296E-3</v>
      </c>
      <c r="F37369" s="2">
        <v>3.0200458074061999E-3</v>
      </c>
    </row>
    <row r="37370" spans="1:6" x14ac:dyDescent="0.25">
      <c r="A37370" s="1" t="str">
        <f t="shared" si="1352"/>
        <v>47894</v>
      </c>
      <c r="B37370" s="1" t="str">
        <f>"20646"</f>
        <v>20646</v>
      </c>
      <c r="C37370" s="2">
        <v>3.09597523219814E-3</v>
      </c>
      <c r="D37370" s="2">
        <v>5.8038305281485705E-4</v>
      </c>
      <c r="E37370" s="2">
        <v>2.92397660818713E-3</v>
      </c>
      <c r="F37370" s="2">
        <v>2.9997770435981098E-3</v>
      </c>
    </row>
    <row r="37371" spans="1:6" x14ac:dyDescent="0.25">
      <c r="A37371" s="1" t="str">
        <f t="shared" si="1352"/>
        <v>47894</v>
      </c>
      <c r="B37371" s="1" t="str">
        <f>"22067"</f>
        <v>22067</v>
      </c>
      <c r="C37371" s="2">
        <v>0</v>
      </c>
      <c r="D37371" s="2">
        <v>0</v>
      </c>
      <c r="E37371" s="2">
        <v>4.1771094402673299E-4</v>
      </c>
      <c r="F37371" s="2">
        <v>2.02687638080953E-5</v>
      </c>
    </row>
    <row r="37372" spans="1:6" x14ac:dyDescent="0.25">
      <c r="A37372" s="1" t="str">
        <f t="shared" si="1352"/>
        <v>47894</v>
      </c>
      <c r="B37372" s="1" t="str">
        <f>"22719"</f>
        <v>22719</v>
      </c>
      <c r="C37372" s="2">
        <v>0</v>
      </c>
      <c r="D37372" s="2">
        <v>0</v>
      </c>
      <c r="E37372" s="2">
        <v>4.1771094402673299E-4</v>
      </c>
      <c r="F37372" s="2">
        <v>2.02687638080953E-5</v>
      </c>
    </row>
    <row r="37373" spans="1:6" x14ac:dyDescent="0.25">
      <c r="A37373" s="1" t="str">
        <f t="shared" si="1352"/>
        <v>47894</v>
      </c>
      <c r="B37373" s="1" t="str">
        <f>"22580"</f>
        <v>22580</v>
      </c>
      <c r="C37373" s="2">
        <v>2.2114108801415301E-5</v>
      </c>
      <c r="D37373" s="2">
        <v>0</v>
      </c>
      <c r="E37373" s="2">
        <v>0</v>
      </c>
      <c r="F37373" s="2">
        <v>2.02687638080953E-5</v>
      </c>
    </row>
    <row r="37374" spans="1:6" x14ac:dyDescent="0.25">
      <c r="A37374" s="1" t="str">
        <f t="shared" si="1352"/>
        <v>47894</v>
      </c>
      <c r="B37374" s="1" t="str">
        <f>"20754"</f>
        <v>20754</v>
      </c>
      <c r="C37374" s="2">
        <v>0</v>
      </c>
      <c r="D37374" s="2">
        <v>2.9019152640742799E-3</v>
      </c>
      <c r="E37374" s="2">
        <v>0</v>
      </c>
      <c r="F37374" s="2">
        <v>1.0134381904047599E-4</v>
      </c>
    </row>
    <row r="37375" spans="1:6" x14ac:dyDescent="0.25">
      <c r="A37375" s="1" t="str">
        <f t="shared" si="1352"/>
        <v>47894</v>
      </c>
      <c r="B37375" s="1" t="str">
        <f>"20689"</f>
        <v>20689</v>
      </c>
      <c r="C37375" s="2">
        <v>0</v>
      </c>
      <c r="D37375" s="2">
        <v>0</v>
      </c>
      <c r="E37375" s="2">
        <v>8.3542188805346695E-4</v>
      </c>
      <c r="F37375" s="2">
        <v>4.0537527616190601E-5</v>
      </c>
    </row>
    <row r="37376" spans="1:6" x14ac:dyDescent="0.25">
      <c r="A37376" s="1" t="str">
        <f t="shared" si="1352"/>
        <v>47894</v>
      </c>
      <c r="B37376" s="1" t="str">
        <f>"25432"</f>
        <v>25432</v>
      </c>
      <c r="C37376" s="2">
        <v>2.2114108801415301E-5</v>
      </c>
      <c r="D37376" s="2">
        <v>0</v>
      </c>
      <c r="E37376" s="2">
        <v>0</v>
      </c>
      <c r="F37376" s="2">
        <v>2.02687638080953E-5</v>
      </c>
    </row>
    <row r="37377" spans="1:6" x14ac:dyDescent="0.25">
      <c r="A37377" s="1" t="str">
        <f t="shared" si="1352"/>
        <v>47894</v>
      </c>
      <c r="B37377" s="1" t="str">
        <f>"20784"</f>
        <v>20784</v>
      </c>
      <c r="C37377" s="2">
        <v>4.4228217602830602E-5</v>
      </c>
      <c r="D37377" s="2">
        <v>0</v>
      </c>
      <c r="E37377" s="2">
        <v>8.3542188805346695E-4</v>
      </c>
      <c r="F37377" s="2">
        <v>8.1075055232381296E-5</v>
      </c>
    </row>
    <row r="37378" spans="1:6" x14ac:dyDescent="0.25">
      <c r="A37378" s="1" t="str">
        <f t="shared" si="1352"/>
        <v>47894</v>
      </c>
      <c r="B37378" s="1" t="str">
        <f>"20391"</f>
        <v>20391</v>
      </c>
      <c r="C37378" s="2">
        <v>0</v>
      </c>
      <c r="D37378" s="2">
        <v>0</v>
      </c>
      <c r="E37378" s="2">
        <v>4.1771094402673299E-4</v>
      </c>
      <c r="F37378" s="2">
        <v>2.02687638080953E-5</v>
      </c>
    </row>
    <row r="37379" spans="1:6" x14ac:dyDescent="0.25">
      <c r="A37379" s="1" t="str">
        <f t="shared" si="1352"/>
        <v>47894</v>
      </c>
      <c r="B37379" s="1" t="str">
        <f>"20198"</f>
        <v>20198</v>
      </c>
      <c r="C37379" s="2">
        <v>1.3268465280849101E-4</v>
      </c>
      <c r="D37379" s="2">
        <v>5.8038305281485705E-4</v>
      </c>
      <c r="E37379" s="2">
        <v>0</v>
      </c>
      <c r="F37379" s="2">
        <v>1.41881346656667E-4</v>
      </c>
    </row>
    <row r="37380" spans="1:6" x14ac:dyDescent="0.25">
      <c r="A37380" s="1" t="str">
        <f t="shared" si="1352"/>
        <v>47894</v>
      </c>
      <c r="B37380" s="1" t="str">
        <f>"22610"</f>
        <v>22610</v>
      </c>
      <c r="C37380" s="2">
        <v>1.5479876160990699E-4</v>
      </c>
      <c r="D37380" s="2">
        <v>0</v>
      </c>
      <c r="E37380" s="2">
        <v>0</v>
      </c>
      <c r="F37380" s="2">
        <v>1.41881346656667E-4</v>
      </c>
    </row>
    <row r="37381" spans="1:6" x14ac:dyDescent="0.25">
      <c r="A37381" s="1" t="str">
        <f t="shared" si="1352"/>
        <v>47894</v>
      </c>
      <c r="B37381" s="1" t="str">
        <f>"20662"</f>
        <v>20662</v>
      </c>
      <c r="C37381" s="2">
        <v>4.4228217602830602E-5</v>
      </c>
      <c r="D37381" s="2">
        <v>0</v>
      </c>
      <c r="E37381" s="2">
        <v>4.1771094402673299E-4</v>
      </c>
      <c r="F37381" s="2">
        <v>6.0806291424286003E-5</v>
      </c>
    </row>
    <row r="37382" spans="1:6" x14ac:dyDescent="0.25">
      <c r="A37382" s="1" t="str">
        <f t="shared" si="1352"/>
        <v>47894</v>
      </c>
      <c r="B37382" s="1" t="str">
        <f>"20740"</f>
        <v>20740</v>
      </c>
      <c r="C37382" s="2">
        <v>3.53825740822644E-4</v>
      </c>
      <c r="D37382" s="2">
        <v>4.6430644225188599E-3</v>
      </c>
      <c r="E37382" s="2">
        <v>2.5062656641604E-3</v>
      </c>
      <c r="F37382" s="2">
        <v>6.0806291424286005E-4</v>
      </c>
    </row>
    <row r="37383" spans="1:6" x14ac:dyDescent="0.25">
      <c r="A37383" s="1" t="str">
        <f t="shared" si="1352"/>
        <v>47894</v>
      </c>
      <c r="B37383" s="1" t="str">
        <f>"20744"</f>
        <v>20744</v>
      </c>
      <c r="C37383" s="2">
        <v>2.2114108801415301E-5</v>
      </c>
      <c r="D37383" s="2">
        <v>1.74114915844457E-3</v>
      </c>
      <c r="E37383" s="2">
        <v>3.34168755221386E-3</v>
      </c>
      <c r="F37383" s="2">
        <v>2.4322516569714401E-4</v>
      </c>
    </row>
    <row r="37384" spans="1:6" x14ac:dyDescent="0.25">
      <c r="A37384" s="1" t="str">
        <f t="shared" ref="A37384:A37443" si="1353">"47894"</f>
        <v>47894</v>
      </c>
      <c r="B37384" s="1" t="str">
        <f>"22314"</f>
        <v>22314</v>
      </c>
      <c r="C37384" s="2">
        <v>1.3511720477664701E-2</v>
      </c>
      <c r="D37384" s="2">
        <v>8.7057457922228593E-3</v>
      </c>
      <c r="E37384" s="2">
        <v>6.6833751044277304E-3</v>
      </c>
      <c r="F37384" s="2">
        <v>1.3012546364797199E-2</v>
      </c>
    </row>
    <row r="37385" spans="1:6" x14ac:dyDescent="0.25">
      <c r="A37385" s="1" t="str">
        <f t="shared" si="1353"/>
        <v>47894</v>
      </c>
      <c r="B37385" s="1" t="str">
        <f>"20009"</f>
        <v>20009</v>
      </c>
      <c r="C37385" s="2">
        <v>3.9141972578505E-3</v>
      </c>
      <c r="D37385" s="2">
        <v>2.3215322112594299E-3</v>
      </c>
      <c r="E37385" s="2">
        <v>1.4619883040935601E-2</v>
      </c>
      <c r="F37385" s="2">
        <v>4.3780529825485897E-3</v>
      </c>
    </row>
    <row r="37386" spans="1:6" x14ac:dyDescent="0.25">
      <c r="A37386" s="1" t="str">
        <f t="shared" si="1353"/>
        <v>47894</v>
      </c>
      <c r="B37386" s="1" t="str">
        <f>"20640"</f>
        <v>20640</v>
      </c>
      <c r="C37386" s="2">
        <v>1.1057054400707601E-4</v>
      </c>
      <c r="D37386" s="2">
        <v>0</v>
      </c>
      <c r="E37386" s="2">
        <v>2.92397660818713E-3</v>
      </c>
      <c r="F37386" s="2">
        <v>2.4322516569714401E-4</v>
      </c>
    </row>
    <row r="37387" spans="1:6" x14ac:dyDescent="0.25">
      <c r="A37387" s="1" t="str">
        <f t="shared" si="1353"/>
        <v>47894</v>
      </c>
      <c r="B37387" s="1" t="str">
        <f>"20685"</f>
        <v>20685</v>
      </c>
      <c r="C37387" s="2">
        <v>1.1057054400707601E-4</v>
      </c>
      <c r="D37387" s="2">
        <v>0</v>
      </c>
      <c r="E37387" s="2">
        <v>1.67084377610693E-3</v>
      </c>
      <c r="F37387" s="2">
        <v>1.8241887427285799E-4</v>
      </c>
    </row>
    <row r="37388" spans="1:6" x14ac:dyDescent="0.25">
      <c r="A37388" s="1" t="str">
        <f t="shared" si="1353"/>
        <v>47894</v>
      </c>
      <c r="B37388" s="1" t="str">
        <f>"22066"</f>
        <v>22066</v>
      </c>
      <c r="C37388" s="2">
        <v>1.1057054400707601E-4</v>
      </c>
      <c r="D37388" s="2">
        <v>4.0626813697040003E-3</v>
      </c>
      <c r="E37388" s="2">
        <v>8.3542188805346695E-4</v>
      </c>
      <c r="F37388" s="2">
        <v>2.83762693313334E-4</v>
      </c>
    </row>
    <row r="37389" spans="1:6" x14ac:dyDescent="0.25">
      <c r="A37389" s="1" t="str">
        <f t="shared" si="1353"/>
        <v>47894</v>
      </c>
      <c r="B37389" s="1" t="str">
        <f>"22042"</f>
        <v>22042</v>
      </c>
      <c r="C37389" s="2">
        <v>4.4228217602830602E-5</v>
      </c>
      <c r="D37389" s="2">
        <v>8.1253627394080007E-3</v>
      </c>
      <c r="E37389" s="2">
        <v>0</v>
      </c>
      <c r="F37389" s="2">
        <v>3.2430022092952502E-4</v>
      </c>
    </row>
    <row r="37390" spans="1:6" x14ac:dyDescent="0.25">
      <c r="A37390" s="1" t="str">
        <f t="shared" si="1353"/>
        <v>47894</v>
      </c>
      <c r="B37390" s="1" t="str">
        <f>"22960"</f>
        <v>22960</v>
      </c>
      <c r="C37390" s="2">
        <v>2.2114108801415301E-5</v>
      </c>
      <c r="D37390" s="2">
        <v>0</v>
      </c>
      <c r="E37390" s="2">
        <v>0</v>
      </c>
      <c r="F37390" s="2">
        <v>2.02687638080953E-5</v>
      </c>
    </row>
    <row r="37391" spans="1:6" x14ac:dyDescent="0.25">
      <c r="A37391" s="1" t="str">
        <f t="shared" si="1353"/>
        <v>47894</v>
      </c>
      <c r="B37391" s="1" t="str">
        <f>"20500"</f>
        <v>20500</v>
      </c>
      <c r="C37391" s="2">
        <v>0</v>
      </c>
      <c r="D37391" s="2">
        <v>0</v>
      </c>
      <c r="E37391" s="2">
        <v>4.1771094402673299E-4</v>
      </c>
      <c r="F37391" s="2">
        <v>2.02687638080953E-5</v>
      </c>
    </row>
    <row r="37392" spans="1:6" x14ac:dyDescent="0.25">
      <c r="A37392" s="1" t="str">
        <f t="shared" si="1353"/>
        <v>47894</v>
      </c>
      <c r="B37392" s="1" t="str">
        <f>"22332"</f>
        <v>22332</v>
      </c>
      <c r="C37392" s="2">
        <v>0</v>
      </c>
      <c r="D37392" s="2">
        <v>0</v>
      </c>
      <c r="E37392" s="2">
        <v>4.1771094402673299E-4</v>
      </c>
      <c r="F37392" s="2">
        <v>2.02687638080953E-5</v>
      </c>
    </row>
    <row r="37393" spans="1:6" x14ac:dyDescent="0.25">
      <c r="A37393" s="1" t="str">
        <f t="shared" si="1353"/>
        <v>47894</v>
      </c>
      <c r="B37393" s="1" t="str">
        <f>"22401"</f>
        <v>22401</v>
      </c>
      <c r="C37393" s="2">
        <v>3.4055727554179499E-3</v>
      </c>
      <c r="D37393" s="2">
        <v>5.8038305281485705E-4</v>
      </c>
      <c r="E37393" s="2">
        <v>7.9365079365079309E-3</v>
      </c>
      <c r="F37393" s="2">
        <v>3.5267649026085798E-3</v>
      </c>
    </row>
    <row r="37394" spans="1:6" x14ac:dyDescent="0.25">
      <c r="A37394" s="1" t="str">
        <f t="shared" si="1353"/>
        <v>47894</v>
      </c>
      <c r="B37394" s="1" t="str">
        <f>"25443"</f>
        <v>25443</v>
      </c>
      <c r="C37394" s="2">
        <v>1.32684652808491E-3</v>
      </c>
      <c r="D37394" s="2">
        <v>1.6250725478816001E-2</v>
      </c>
      <c r="E37394" s="2">
        <v>0</v>
      </c>
      <c r="F37394" s="2">
        <v>1.78365121511239E-3</v>
      </c>
    </row>
    <row r="37395" spans="1:6" x14ac:dyDescent="0.25">
      <c r="A37395" s="1" t="str">
        <f t="shared" si="1353"/>
        <v>47894</v>
      </c>
      <c r="B37395" s="1" t="str">
        <f>"20171"</f>
        <v>20171</v>
      </c>
      <c r="C37395" s="2">
        <v>9.9071207430340494E-3</v>
      </c>
      <c r="D37395" s="2">
        <v>6.9645966337782902E-3</v>
      </c>
      <c r="E37395" s="2">
        <v>1.67084377610693E-3</v>
      </c>
      <c r="F37395" s="2">
        <v>9.4047064069562297E-3</v>
      </c>
    </row>
    <row r="37396" spans="1:6" x14ac:dyDescent="0.25">
      <c r="A37396" s="1" t="str">
        <f t="shared" si="1353"/>
        <v>47894</v>
      </c>
      <c r="B37396" s="1" t="str">
        <f>"20664"</f>
        <v>20664</v>
      </c>
      <c r="C37396" s="2">
        <v>1.5479876160990699E-4</v>
      </c>
      <c r="D37396" s="2">
        <v>5.8038305281485705E-4</v>
      </c>
      <c r="E37396" s="2">
        <v>4.1771094402673299E-4</v>
      </c>
      <c r="F37396" s="2">
        <v>1.8241887427285799E-4</v>
      </c>
    </row>
    <row r="37397" spans="1:6" x14ac:dyDescent="0.25">
      <c r="A37397" s="1" t="str">
        <f t="shared" si="1353"/>
        <v>47894</v>
      </c>
      <c r="B37397" s="1" t="str">
        <f>"20110"</f>
        <v>20110</v>
      </c>
      <c r="C37397" s="2">
        <v>8.62450243255196E-4</v>
      </c>
      <c r="D37397" s="2">
        <v>1.50899593731863E-2</v>
      </c>
      <c r="E37397" s="2">
        <v>1.67084377610693E-3</v>
      </c>
      <c r="F37397" s="2">
        <v>1.3985447027585699E-3</v>
      </c>
    </row>
    <row r="37398" spans="1:6" x14ac:dyDescent="0.25">
      <c r="A37398" s="1" t="str">
        <f t="shared" si="1353"/>
        <v>47894</v>
      </c>
      <c r="B37398" s="1" t="str">
        <f>"22202"</f>
        <v>22202</v>
      </c>
      <c r="C37398" s="2">
        <v>1.9703670942061002E-2</v>
      </c>
      <c r="D37398" s="2">
        <v>1.91526407428903E-2</v>
      </c>
      <c r="E37398" s="2">
        <v>1.67084377610693E-3</v>
      </c>
      <c r="F37398" s="2">
        <v>1.88094128139124E-2</v>
      </c>
    </row>
    <row r="37399" spans="1:6" x14ac:dyDescent="0.25">
      <c r="A37399" s="1" t="str">
        <f t="shared" si="1353"/>
        <v>47894</v>
      </c>
      <c r="B37399" s="1" t="str">
        <f>"22701"</f>
        <v>22701</v>
      </c>
      <c r="C37399" s="2">
        <v>2.58735072976559E-3</v>
      </c>
      <c r="D37399" s="2">
        <v>1.74114915844457E-3</v>
      </c>
      <c r="E37399" s="2">
        <v>1.2531328320802E-3</v>
      </c>
      <c r="F37399" s="2">
        <v>2.4930579483957199E-3</v>
      </c>
    </row>
    <row r="37400" spans="1:6" x14ac:dyDescent="0.25">
      <c r="A37400" s="1" t="str">
        <f t="shared" si="1353"/>
        <v>47894</v>
      </c>
      <c r="B37400" s="1" t="str">
        <f>"20003"</f>
        <v>20003</v>
      </c>
      <c r="C37400" s="2">
        <v>2.8748341441839801E-2</v>
      </c>
      <c r="D37400" s="2">
        <v>6.3842135809634298E-3</v>
      </c>
      <c r="E37400" s="2">
        <v>1.7961570593149501E-2</v>
      </c>
      <c r="F37400" s="2">
        <v>2.7443906196161001E-2</v>
      </c>
    </row>
    <row r="37401" spans="1:6" x14ac:dyDescent="0.25">
      <c r="A37401" s="1" t="str">
        <f t="shared" si="1353"/>
        <v>47894</v>
      </c>
      <c r="B37401" s="1" t="str">
        <f>"20020"</f>
        <v>20020</v>
      </c>
      <c r="C37401" s="2">
        <v>8.9783281733746105E-3</v>
      </c>
      <c r="D37401" s="2">
        <v>6.3842135809634298E-3</v>
      </c>
      <c r="E37401" s="2">
        <v>6.2656641604010004E-3</v>
      </c>
      <c r="F37401" s="2">
        <v>8.7561059650971794E-3</v>
      </c>
    </row>
    <row r="37402" spans="1:6" x14ac:dyDescent="0.25">
      <c r="A37402" s="1" t="str">
        <f t="shared" si="1353"/>
        <v>47894</v>
      </c>
      <c r="B37402" s="1" t="str">
        <f>"22192"</f>
        <v>22192</v>
      </c>
      <c r="C37402" s="2">
        <v>0</v>
      </c>
      <c r="D37402" s="2">
        <v>4.0626813697040003E-3</v>
      </c>
      <c r="E37402" s="2">
        <v>2.5062656641604E-3</v>
      </c>
      <c r="F37402" s="2">
        <v>2.6349392950523901E-4</v>
      </c>
    </row>
    <row r="37403" spans="1:6" x14ac:dyDescent="0.25">
      <c r="A37403" s="1" t="str">
        <f t="shared" si="1353"/>
        <v>47894</v>
      </c>
      <c r="B37403" s="1" t="str">
        <f>"22553"</f>
        <v>22553</v>
      </c>
      <c r="C37403" s="2">
        <v>2.4104378593542601E-3</v>
      </c>
      <c r="D37403" s="2">
        <v>1.74114915844457E-3</v>
      </c>
      <c r="E37403" s="2">
        <v>2.08855472013366E-3</v>
      </c>
      <c r="F37403" s="2">
        <v>2.3714453655471501E-3</v>
      </c>
    </row>
    <row r="37404" spans="1:6" x14ac:dyDescent="0.25">
      <c r="A37404" s="1" t="str">
        <f t="shared" si="1353"/>
        <v>47894</v>
      </c>
      <c r="B37404" s="1" t="str">
        <f>"22715"</f>
        <v>22715</v>
      </c>
      <c r="C37404" s="2">
        <v>4.4228217602830602E-5</v>
      </c>
      <c r="D37404" s="2">
        <v>0</v>
      </c>
      <c r="E37404" s="2">
        <v>0</v>
      </c>
      <c r="F37404" s="2">
        <v>4.0537527616190601E-5</v>
      </c>
    </row>
    <row r="37405" spans="1:6" x14ac:dyDescent="0.25">
      <c r="A37405" s="1" t="str">
        <f t="shared" si="1353"/>
        <v>47894</v>
      </c>
      <c r="B37405" s="1" t="str">
        <f>"22627"</f>
        <v>22627</v>
      </c>
      <c r="C37405" s="2">
        <v>2.65369305616983E-4</v>
      </c>
      <c r="D37405" s="2">
        <v>0</v>
      </c>
      <c r="E37405" s="2">
        <v>0</v>
      </c>
      <c r="F37405" s="2">
        <v>2.4322516569714401E-4</v>
      </c>
    </row>
    <row r="37406" spans="1:6" x14ac:dyDescent="0.25">
      <c r="A37406" s="1" t="str">
        <f t="shared" si="1353"/>
        <v>47894</v>
      </c>
      <c r="B37406" s="1" t="str">
        <f>"22315"</f>
        <v>22315</v>
      </c>
      <c r="C37406" s="2">
        <v>2.8969482529853999E-3</v>
      </c>
      <c r="D37406" s="2">
        <v>5.8038305281485705E-4</v>
      </c>
      <c r="E37406" s="2">
        <v>1.67084377610693E-3</v>
      </c>
      <c r="F37406" s="2">
        <v>2.7565518779009601E-3</v>
      </c>
    </row>
    <row r="37407" spans="1:6" x14ac:dyDescent="0.25">
      <c r="A37407" s="1" t="str">
        <f t="shared" si="1353"/>
        <v>47894</v>
      </c>
      <c r="B37407" s="1" t="str">
        <f>"20158"</f>
        <v>20158</v>
      </c>
      <c r="C37407" s="2">
        <v>6.6342326404245899E-5</v>
      </c>
      <c r="D37407" s="2">
        <v>0</v>
      </c>
      <c r="E37407" s="2">
        <v>4.1771094402673299E-4</v>
      </c>
      <c r="F37407" s="2">
        <v>8.1075055232381296E-5</v>
      </c>
    </row>
    <row r="37408" spans="1:6" x14ac:dyDescent="0.25">
      <c r="A37408" s="1" t="str">
        <f t="shared" si="1353"/>
        <v>47894</v>
      </c>
      <c r="B37408" s="1" t="str">
        <f>"23117"</f>
        <v>23117</v>
      </c>
      <c r="C37408" s="2">
        <v>8.8456435205661204E-5</v>
      </c>
      <c r="D37408" s="2">
        <v>0</v>
      </c>
      <c r="E37408" s="2">
        <v>0</v>
      </c>
      <c r="F37408" s="2">
        <v>8.1075055232381296E-5</v>
      </c>
    </row>
    <row r="37409" spans="1:6" x14ac:dyDescent="0.25">
      <c r="A37409" s="1" t="str">
        <f t="shared" si="1353"/>
        <v>47894</v>
      </c>
      <c r="B37409" s="1" t="str">
        <f>"22730"</f>
        <v>22730</v>
      </c>
      <c r="C37409" s="2">
        <v>2.2114108801415301E-5</v>
      </c>
      <c r="D37409" s="2">
        <v>0</v>
      </c>
      <c r="E37409" s="2">
        <v>0</v>
      </c>
      <c r="F37409" s="2">
        <v>2.02687638080953E-5</v>
      </c>
    </row>
    <row r="37410" spans="1:6" x14ac:dyDescent="0.25">
      <c r="A37410" s="1" t="str">
        <f t="shared" si="1353"/>
        <v>47894</v>
      </c>
      <c r="B37410" s="1" t="str">
        <f>"20732"</f>
        <v>20732</v>
      </c>
      <c r="C37410" s="2">
        <v>1.1057054400707601E-4</v>
      </c>
      <c r="D37410" s="2">
        <v>0</v>
      </c>
      <c r="E37410" s="2">
        <v>8.3542188805346695E-4</v>
      </c>
      <c r="F37410" s="2">
        <v>1.41881346656667E-4</v>
      </c>
    </row>
    <row r="37411" spans="1:6" x14ac:dyDescent="0.25">
      <c r="A37411" s="1" t="str">
        <f t="shared" si="1353"/>
        <v>47894</v>
      </c>
      <c r="B37411" s="1" t="str">
        <f>"22724"</f>
        <v>22724</v>
      </c>
      <c r="C37411" s="2">
        <v>2.2114108801415301E-5</v>
      </c>
      <c r="D37411" s="2">
        <v>0</v>
      </c>
      <c r="E37411" s="2">
        <v>0</v>
      </c>
      <c r="F37411" s="2">
        <v>2.02687638080953E-5</v>
      </c>
    </row>
    <row r="37412" spans="1:6" x14ac:dyDescent="0.25">
      <c r="A37412" s="1" t="str">
        <f t="shared" si="1353"/>
        <v>47894</v>
      </c>
      <c r="B37412" s="1" t="str">
        <f>"20016"</f>
        <v>20016</v>
      </c>
      <c r="C37412" s="2">
        <v>0</v>
      </c>
      <c r="D37412" s="2">
        <v>1.16076610562971E-3</v>
      </c>
      <c r="E37412" s="2">
        <v>6.6833751044277304E-3</v>
      </c>
      <c r="F37412" s="2">
        <v>3.6483774854571599E-4</v>
      </c>
    </row>
    <row r="37413" spans="1:6" x14ac:dyDescent="0.25">
      <c r="A37413" s="1" t="str">
        <f t="shared" si="1353"/>
        <v>47894</v>
      </c>
      <c r="B37413" s="1" t="str">
        <f>"22015"</f>
        <v>22015</v>
      </c>
      <c r="C37413" s="2">
        <v>2.2114108801415301E-5</v>
      </c>
      <c r="D37413" s="2">
        <v>5.8038305281485705E-4</v>
      </c>
      <c r="E37413" s="2">
        <v>0</v>
      </c>
      <c r="F37413" s="2">
        <v>4.0537527616190601E-5</v>
      </c>
    </row>
    <row r="37414" spans="1:6" x14ac:dyDescent="0.25">
      <c r="A37414" s="1" t="str">
        <f t="shared" si="1353"/>
        <v>47894</v>
      </c>
      <c r="B37414" s="1" t="str">
        <f>"20121"</f>
        <v>20121</v>
      </c>
      <c r="C37414" s="2">
        <v>2.2114108801415301E-5</v>
      </c>
      <c r="D37414" s="2">
        <v>0</v>
      </c>
      <c r="E37414" s="2">
        <v>8.3542188805346695E-4</v>
      </c>
      <c r="F37414" s="2">
        <v>6.0806291424286003E-5</v>
      </c>
    </row>
    <row r="37415" spans="1:6" x14ac:dyDescent="0.25">
      <c r="A37415" s="1" t="str">
        <f t="shared" si="1353"/>
        <v>47894</v>
      </c>
      <c r="B37415" s="1" t="str">
        <f>"20588"</f>
        <v>20588</v>
      </c>
      <c r="C37415" s="2">
        <v>0</v>
      </c>
      <c r="D37415" s="2">
        <v>5.8038305281485705E-4</v>
      </c>
      <c r="E37415" s="2">
        <v>4.1771094402673299E-4</v>
      </c>
      <c r="F37415" s="2">
        <v>4.0537527616190601E-5</v>
      </c>
    </row>
    <row r="37416" spans="1:6" x14ac:dyDescent="0.25">
      <c r="A37416" s="1" t="str">
        <f t="shared" si="1353"/>
        <v>47894</v>
      </c>
      <c r="B37416" s="1" t="str">
        <f>"22732"</f>
        <v>22732</v>
      </c>
      <c r="C37416" s="2">
        <v>6.6342326404245899E-5</v>
      </c>
      <c r="D37416" s="2">
        <v>0</v>
      </c>
      <c r="E37416" s="2">
        <v>4.1771094402673299E-4</v>
      </c>
      <c r="F37416" s="2">
        <v>8.1075055232381296E-5</v>
      </c>
    </row>
    <row r="37417" spans="1:6" x14ac:dyDescent="0.25">
      <c r="A37417" s="1" t="str">
        <f t="shared" si="1353"/>
        <v>47894</v>
      </c>
      <c r="B37417" s="1" t="str">
        <f>"20136"</f>
        <v>20136</v>
      </c>
      <c r="C37417" s="2">
        <v>2.2114108801415301E-5</v>
      </c>
      <c r="D37417" s="2">
        <v>1.16076610562971E-3</v>
      </c>
      <c r="E37417" s="2">
        <v>0</v>
      </c>
      <c r="F37417" s="2">
        <v>6.0806291424286003E-5</v>
      </c>
    </row>
    <row r="37418" spans="1:6" x14ac:dyDescent="0.25">
      <c r="A37418" s="1" t="str">
        <f t="shared" si="1353"/>
        <v>47894</v>
      </c>
      <c r="B37418" s="1" t="str">
        <f>"20678"</f>
        <v>20678</v>
      </c>
      <c r="C37418" s="2">
        <v>3.0959752321981399E-4</v>
      </c>
      <c r="D37418" s="2">
        <v>5.8038305281485703E-3</v>
      </c>
      <c r="E37418" s="2">
        <v>8.3542188805346695E-4</v>
      </c>
      <c r="F37418" s="2">
        <v>5.2698785901047801E-4</v>
      </c>
    </row>
    <row r="37419" spans="1:6" x14ac:dyDescent="0.25">
      <c r="A37419" s="1" t="str">
        <f t="shared" si="1353"/>
        <v>47894</v>
      </c>
      <c r="B37419" s="1" t="str">
        <f>"20052"</f>
        <v>20052</v>
      </c>
      <c r="C37419" s="2">
        <v>0</v>
      </c>
      <c r="D37419" s="2">
        <v>0</v>
      </c>
      <c r="E37419" s="2">
        <v>8.3542188805346695E-4</v>
      </c>
      <c r="F37419" s="2">
        <v>4.0537527616190601E-5</v>
      </c>
    </row>
    <row r="37420" spans="1:6" x14ac:dyDescent="0.25">
      <c r="A37420" s="1" t="str">
        <f t="shared" si="1353"/>
        <v>47894</v>
      </c>
      <c r="B37420" s="1" t="str">
        <f>"20132"</f>
        <v>20132</v>
      </c>
      <c r="C37420" s="2">
        <v>1.2383900928792501E-3</v>
      </c>
      <c r="D37420" s="2">
        <v>8.1253627394080007E-3</v>
      </c>
      <c r="E37420" s="2">
        <v>2.08855472013366E-3</v>
      </c>
      <c r="F37420" s="2">
        <v>1.52015728560715E-3</v>
      </c>
    </row>
    <row r="37421" spans="1:6" x14ac:dyDescent="0.25">
      <c r="A37421" s="1" t="str">
        <f t="shared" si="1353"/>
        <v>47894</v>
      </c>
      <c r="B37421" s="1" t="str">
        <f>"22039"</f>
        <v>22039</v>
      </c>
      <c r="C37421" s="2">
        <v>1.76912870411322E-4</v>
      </c>
      <c r="D37421" s="2">
        <v>1.74114915844457E-3</v>
      </c>
      <c r="E37421" s="2">
        <v>4.1771094402673299E-4</v>
      </c>
      <c r="F37421" s="2">
        <v>2.4322516569714401E-4</v>
      </c>
    </row>
    <row r="37422" spans="1:6" x14ac:dyDescent="0.25">
      <c r="A37422" s="1" t="str">
        <f t="shared" si="1353"/>
        <v>47894</v>
      </c>
      <c r="B37422" s="1" t="str">
        <f>"20036"</f>
        <v>20036</v>
      </c>
      <c r="C37422" s="2">
        <v>3.53825740822644E-4</v>
      </c>
      <c r="D37422" s="2">
        <v>2.8438769587928001E-2</v>
      </c>
      <c r="E37422" s="2">
        <v>6.2656641604010004E-3</v>
      </c>
      <c r="F37422" s="2">
        <v>1.62150110464762E-3</v>
      </c>
    </row>
    <row r="37423" spans="1:6" x14ac:dyDescent="0.25">
      <c r="A37423" s="1" t="str">
        <f t="shared" si="1353"/>
        <v>47894</v>
      </c>
      <c r="B37423" s="1" t="str">
        <f>"22172"</f>
        <v>22172</v>
      </c>
      <c r="C37423" s="2">
        <v>0</v>
      </c>
      <c r="D37423" s="2">
        <v>1.74114915844457E-3</v>
      </c>
      <c r="E37423" s="2">
        <v>4.1771094402673299E-4</v>
      </c>
      <c r="F37423" s="2">
        <v>8.1075055232381296E-5</v>
      </c>
    </row>
    <row r="37424" spans="1:6" x14ac:dyDescent="0.25">
      <c r="A37424" s="1" t="str">
        <f t="shared" si="1353"/>
        <v>47894</v>
      </c>
      <c r="B37424" s="1" t="str">
        <f>"22150"</f>
        <v>22150</v>
      </c>
      <c r="C37424" s="2">
        <v>0</v>
      </c>
      <c r="D37424" s="2">
        <v>2.9019152640742799E-3</v>
      </c>
      <c r="E37424" s="2">
        <v>0.50041771094402598</v>
      </c>
      <c r="F37424" s="2">
        <v>2.43833228611386E-2</v>
      </c>
    </row>
    <row r="37425" spans="1:6" x14ac:dyDescent="0.25">
      <c r="A37425" s="1" t="str">
        <f t="shared" si="1353"/>
        <v>47894</v>
      </c>
      <c r="B37425" s="1" t="str">
        <f>"20106"</f>
        <v>20106</v>
      </c>
      <c r="C37425" s="2">
        <v>4.4228217602830602E-5</v>
      </c>
      <c r="D37425" s="2">
        <v>0</v>
      </c>
      <c r="E37425" s="2">
        <v>0</v>
      </c>
      <c r="F37425" s="2">
        <v>4.0537527616190601E-5</v>
      </c>
    </row>
    <row r="37426" spans="1:6" x14ac:dyDescent="0.25">
      <c r="A37426" s="1" t="str">
        <f t="shared" si="1353"/>
        <v>47894</v>
      </c>
      <c r="B37426" s="1" t="str">
        <f>"22301"</f>
        <v>22301</v>
      </c>
      <c r="C37426" s="2">
        <v>1.0835913312693399E-3</v>
      </c>
      <c r="D37426" s="2">
        <v>0</v>
      </c>
      <c r="E37426" s="2">
        <v>4.1771094402673299E-4</v>
      </c>
      <c r="F37426" s="2">
        <v>1.0134381904047601E-3</v>
      </c>
    </row>
    <row r="37427" spans="1:6" x14ac:dyDescent="0.25">
      <c r="A37427" s="1" t="str">
        <f t="shared" si="1353"/>
        <v>47894</v>
      </c>
      <c r="B37427" s="1" t="str">
        <f>"20152"</f>
        <v>20152</v>
      </c>
      <c r="C37427" s="2">
        <v>5.08624502432551E-3</v>
      </c>
      <c r="D37427" s="2">
        <v>0</v>
      </c>
      <c r="E37427" s="2">
        <v>4.1771094402673299E-4</v>
      </c>
      <c r="F37427" s="2">
        <v>4.6820844396700204E-3</v>
      </c>
    </row>
    <row r="37428" spans="1:6" x14ac:dyDescent="0.25">
      <c r="A37428" s="1" t="str">
        <f t="shared" si="1353"/>
        <v>47894</v>
      </c>
      <c r="B37428" s="1" t="str">
        <f>"22201"</f>
        <v>22201</v>
      </c>
      <c r="C37428" s="2">
        <v>2.2114108801415301E-5</v>
      </c>
      <c r="D37428" s="2">
        <v>1.8572257690075401E-2</v>
      </c>
      <c r="E37428" s="2">
        <v>3.34168755221386E-3</v>
      </c>
      <c r="F37428" s="2">
        <v>8.3101931613190896E-4</v>
      </c>
    </row>
    <row r="37429" spans="1:6" x14ac:dyDescent="0.25">
      <c r="A37429" s="1" t="str">
        <f t="shared" si="1353"/>
        <v>47894</v>
      </c>
      <c r="B37429" s="1" t="str">
        <f>"22408"</f>
        <v>22408</v>
      </c>
      <c r="C37429" s="2">
        <v>2.0123839009287899E-3</v>
      </c>
      <c r="D37429" s="2">
        <v>1.16076610562971E-3</v>
      </c>
      <c r="E37429" s="2">
        <v>8.3542188805346695E-4</v>
      </c>
      <c r="F37429" s="2">
        <v>1.9255325617690501E-3</v>
      </c>
    </row>
    <row r="37430" spans="1:6" x14ac:dyDescent="0.25">
      <c r="A37430" s="1" t="str">
        <f t="shared" si="1353"/>
        <v>47894</v>
      </c>
      <c r="B37430" s="1" t="str">
        <f>"20607"</f>
        <v>20607</v>
      </c>
      <c r="C37430" s="2">
        <v>0</v>
      </c>
      <c r="D37430" s="2">
        <v>0</v>
      </c>
      <c r="E37430" s="2">
        <v>8.3542188805346695E-4</v>
      </c>
      <c r="F37430" s="2">
        <v>4.0537527616190601E-5</v>
      </c>
    </row>
    <row r="37431" spans="1:6" x14ac:dyDescent="0.25">
      <c r="A37431" s="1" t="str">
        <f t="shared" si="1353"/>
        <v>47894</v>
      </c>
      <c r="B37431" s="1" t="str">
        <f>"22311"</f>
        <v>22311</v>
      </c>
      <c r="C37431" s="2">
        <v>2.2114108801415301E-5</v>
      </c>
      <c r="D37431" s="2">
        <v>1.16076610562971E-3</v>
      </c>
      <c r="E37431" s="2">
        <v>8.3542188805346695E-4</v>
      </c>
      <c r="F37431" s="2">
        <v>1.0134381904047599E-4</v>
      </c>
    </row>
    <row r="37432" spans="1:6" x14ac:dyDescent="0.25">
      <c r="A37432" s="1" t="str">
        <f t="shared" si="1353"/>
        <v>47894</v>
      </c>
      <c r="B37432" s="1" t="str">
        <f>"20746"</f>
        <v>20746</v>
      </c>
      <c r="C37432" s="2">
        <v>1.0349402919062301E-2</v>
      </c>
      <c r="D37432" s="2">
        <v>2.9019152640742799E-3</v>
      </c>
      <c r="E37432" s="2">
        <v>1.67084377610693E-3</v>
      </c>
      <c r="F37432" s="2">
        <v>9.6682003364614699E-3</v>
      </c>
    </row>
    <row r="37433" spans="1:6" x14ac:dyDescent="0.25">
      <c r="A37433" s="1" t="str">
        <f t="shared" si="1353"/>
        <v>47894</v>
      </c>
      <c r="B37433" s="1" t="str">
        <f>"22611"</f>
        <v>22611</v>
      </c>
      <c r="C37433" s="2">
        <v>4.4228217602830602E-5</v>
      </c>
      <c r="D37433" s="2">
        <v>0</v>
      </c>
      <c r="E37433" s="2">
        <v>0</v>
      </c>
      <c r="F37433" s="2">
        <v>4.0537527616190601E-5</v>
      </c>
    </row>
    <row r="37434" spans="1:6" x14ac:dyDescent="0.25">
      <c r="A37434" s="1" t="str">
        <f t="shared" si="1353"/>
        <v>47894</v>
      </c>
      <c r="B37434" s="1" t="str">
        <f>"20705"</f>
        <v>20705</v>
      </c>
      <c r="C37434" s="2">
        <v>5.5285272003538196E-4</v>
      </c>
      <c r="D37434" s="2">
        <v>5.8038305281485705E-4</v>
      </c>
      <c r="E37434" s="2">
        <v>6.2656641604010004E-3</v>
      </c>
      <c r="F37434" s="2">
        <v>8.3101931613190896E-4</v>
      </c>
    </row>
    <row r="37435" spans="1:6" x14ac:dyDescent="0.25">
      <c r="A37435" s="1" t="str">
        <f t="shared" si="1353"/>
        <v>47894</v>
      </c>
      <c r="B37435" s="1" t="str">
        <f>"22554"</f>
        <v>22554</v>
      </c>
      <c r="C37435" s="2">
        <v>2.72003538257408E-3</v>
      </c>
      <c r="D37435" s="2">
        <v>2.3215322112594299E-3</v>
      </c>
      <c r="E37435" s="2">
        <v>2.5062656641604E-3</v>
      </c>
      <c r="F37435" s="2">
        <v>2.69574558647668E-3</v>
      </c>
    </row>
    <row r="37436" spans="1:6" x14ac:dyDescent="0.25">
      <c r="A37436" s="1" t="str">
        <f t="shared" si="1353"/>
        <v>47894</v>
      </c>
      <c r="B37436" s="1" t="str">
        <f>"20616"</f>
        <v>20616</v>
      </c>
      <c r="C37436" s="2">
        <v>1.7912428129146301E-3</v>
      </c>
      <c r="D37436" s="2">
        <v>1.16076610562971E-3</v>
      </c>
      <c r="E37436" s="2">
        <v>0</v>
      </c>
      <c r="F37436" s="2">
        <v>1.6823073960719099E-3</v>
      </c>
    </row>
    <row r="37437" spans="1:6" x14ac:dyDescent="0.25">
      <c r="A37437" s="1" t="str">
        <f t="shared" si="1353"/>
        <v>47894</v>
      </c>
      <c r="B37437" s="1" t="str">
        <f>"22030"</f>
        <v>22030</v>
      </c>
      <c r="C37437" s="2">
        <v>1.10570544007076E-3</v>
      </c>
      <c r="D37437" s="2">
        <v>7.5449796865931498E-3</v>
      </c>
      <c r="E37437" s="2">
        <v>1.2531328320802E-3</v>
      </c>
      <c r="F37437" s="2">
        <v>1.33773841133429E-3</v>
      </c>
    </row>
    <row r="37438" spans="1:6" x14ac:dyDescent="0.25">
      <c r="A37438" s="1" t="str">
        <f t="shared" si="1353"/>
        <v>47894</v>
      </c>
      <c r="B37438" s="1" t="str">
        <f>"20622"</f>
        <v>20622</v>
      </c>
      <c r="C37438" s="2">
        <v>2.2114108801415301E-5</v>
      </c>
      <c r="D37438" s="2">
        <v>5.8038305281485705E-4</v>
      </c>
      <c r="E37438" s="2">
        <v>8.3542188805346695E-4</v>
      </c>
      <c r="F37438" s="2">
        <v>8.1075055232381296E-5</v>
      </c>
    </row>
    <row r="37439" spans="1:6" x14ac:dyDescent="0.25">
      <c r="A37439" s="1" t="str">
        <f t="shared" si="1353"/>
        <v>47894</v>
      </c>
      <c r="B37439" s="1" t="str">
        <f>"20037"</f>
        <v>20037</v>
      </c>
      <c r="C37439" s="2">
        <v>6.1919504643962798E-4</v>
      </c>
      <c r="D37439" s="2">
        <v>1.2768427161926801E-2</v>
      </c>
      <c r="E37439" s="2">
        <v>5.84795321637426E-3</v>
      </c>
      <c r="F37439" s="2">
        <v>1.2972008837181001E-3</v>
      </c>
    </row>
    <row r="37440" spans="1:6" x14ac:dyDescent="0.25">
      <c r="A37440" s="1" t="str">
        <f t="shared" si="1353"/>
        <v>47894</v>
      </c>
      <c r="B37440" s="1" t="str">
        <f>"22102"</f>
        <v>22102</v>
      </c>
      <c r="C37440" s="2">
        <v>1.49712516585581E-2</v>
      </c>
      <c r="D37440" s="2">
        <v>2.7278003482298301E-2</v>
      </c>
      <c r="E37440" s="2">
        <v>4.5948203842940596E-3</v>
      </c>
      <c r="F37440" s="2">
        <v>1.489754139895E-2</v>
      </c>
    </row>
    <row r="37441" spans="1:6" x14ac:dyDescent="0.25">
      <c r="A37441" s="1" t="str">
        <f t="shared" si="1353"/>
        <v>47894</v>
      </c>
      <c r="B37441" s="1" t="str">
        <f>"22405"</f>
        <v>22405</v>
      </c>
      <c r="C37441" s="2">
        <v>3.31711632021229E-3</v>
      </c>
      <c r="D37441" s="2">
        <v>1.16076610562971E-3</v>
      </c>
      <c r="E37441" s="2">
        <v>0</v>
      </c>
      <c r="F37441" s="2">
        <v>3.08085209883049E-3</v>
      </c>
    </row>
    <row r="37442" spans="1:6" x14ac:dyDescent="0.25">
      <c r="A37442" s="1" t="str">
        <f t="shared" si="1353"/>
        <v>47894</v>
      </c>
      <c r="B37442" s="1" t="str">
        <f>"20528"</f>
        <v>20528</v>
      </c>
      <c r="C37442" s="2">
        <v>0</v>
      </c>
      <c r="D37442" s="2">
        <v>0</v>
      </c>
      <c r="E37442" s="2">
        <v>4.1771094402673299E-4</v>
      </c>
      <c r="F37442" s="2">
        <v>2.02687638080953E-5</v>
      </c>
    </row>
    <row r="37443" spans="1:6" x14ac:dyDescent="0.25">
      <c r="A37443" s="1" t="str">
        <f t="shared" si="1353"/>
        <v>47894</v>
      </c>
      <c r="B37443" s="1" t="str">
        <f>"20119"</f>
        <v>20119</v>
      </c>
      <c r="C37443" s="2">
        <v>6.6342326404245899E-5</v>
      </c>
      <c r="D37443" s="2">
        <v>0</v>
      </c>
      <c r="E37443" s="2">
        <v>0</v>
      </c>
      <c r="F37443" s="2">
        <v>6.0806291424286003E-5</v>
      </c>
    </row>
    <row r="37444" spans="1:6" x14ac:dyDescent="0.25">
      <c r="A37444" s="1" t="str">
        <f t="shared" ref="A37444:A37507" si="1354">"47900"</f>
        <v>47900</v>
      </c>
      <c r="B37444" s="1" t="str">
        <f>"20057"</f>
        <v>20057</v>
      </c>
      <c r="C37444" s="2">
        <v>0</v>
      </c>
      <c r="D37444" s="2">
        <v>8.3599458275510293E-6</v>
      </c>
      <c r="E37444" s="2">
        <v>0</v>
      </c>
      <c r="F37444" s="2">
        <v>6.4616722678595697E-7</v>
      </c>
    </row>
    <row r="37445" spans="1:6" x14ac:dyDescent="0.25">
      <c r="A37445" s="1" t="str">
        <f t="shared" si="1354"/>
        <v>47900</v>
      </c>
      <c r="B37445" s="1" t="str">
        <f>"20417"</f>
        <v>20417</v>
      </c>
      <c r="C37445" s="2">
        <v>0</v>
      </c>
      <c r="D37445" s="2">
        <v>4.1799729137755096E-6</v>
      </c>
      <c r="E37445" s="2">
        <v>0</v>
      </c>
      <c r="F37445" s="2">
        <v>3.2308361339297801E-7</v>
      </c>
    </row>
    <row r="37446" spans="1:6" x14ac:dyDescent="0.25">
      <c r="A37446" s="1" t="str">
        <f t="shared" si="1354"/>
        <v>47900</v>
      </c>
      <c r="B37446" s="1" t="str">
        <f>"20407"</f>
        <v>20407</v>
      </c>
      <c r="C37446" s="2">
        <v>0</v>
      </c>
      <c r="D37446" s="2">
        <v>4.1799729137755096E-6</v>
      </c>
      <c r="E37446" s="2">
        <v>0</v>
      </c>
      <c r="F37446" s="2">
        <v>3.2308361339297801E-7</v>
      </c>
    </row>
    <row r="37447" spans="1:6" x14ac:dyDescent="0.25">
      <c r="A37447" s="1" t="str">
        <f t="shared" si="1354"/>
        <v>47900</v>
      </c>
      <c r="B37447" s="1" t="str">
        <f>"22565"</f>
        <v>22565</v>
      </c>
      <c r="C37447" s="2">
        <v>0</v>
      </c>
      <c r="D37447" s="2">
        <v>0</v>
      </c>
      <c r="E37447" s="2">
        <v>6.7263970726719903E-6</v>
      </c>
      <c r="F37447" s="2">
        <v>3.2308361339297801E-7</v>
      </c>
    </row>
    <row r="37448" spans="1:6" x14ac:dyDescent="0.25">
      <c r="A37448" s="1" t="str">
        <f t="shared" si="1354"/>
        <v>47900</v>
      </c>
      <c r="B37448" s="1" t="str">
        <f>"20551"</f>
        <v>20551</v>
      </c>
      <c r="C37448" s="2">
        <v>0</v>
      </c>
      <c r="D37448" s="2">
        <v>4.1799729137755096E-6</v>
      </c>
      <c r="E37448" s="2">
        <v>0</v>
      </c>
      <c r="F37448" s="2">
        <v>3.2308361339297801E-7</v>
      </c>
    </row>
    <row r="37449" spans="1:6" x14ac:dyDescent="0.25">
      <c r="A37449" s="1" t="str">
        <f t="shared" si="1354"/>
        <v>47900</v>
      </c>
      <c r="B37449" s="1" t="str">
        <f>"20270"</f>
        <v>20270</v>
      </c>
      <c r="C37449" s="2">
        <v>0</v>
      </c>
      <c r="D37449" s="2">
        <v>8.3599458275510293E-6</v>
      </c>
      <c r="E37449" s="2">
        <v>0</v>
      </c>
      <c r="F37449" s="2">
        <v>6.4616722678595697E-7</v>
      </c>
    </row>
    <row r="37450" spans="1:6" x14ac:dyDescent="0.25">
      <c r="A37450" s="1" t="str">
        <f t="shared" si="1354"/>
        <v>47900</v>
      </c>
      <c r="B37450" s="1" t="str">
        <f>"20392"</f>
        <v>20392</v>
      </c>
      <c r="C37450" s="2">
        <v>0</v>
      </c>
      <c r="D37450" s="2">
        <v>4.1799729137755096E-6</v>
      </c>
      <c r="E37450" s="2">
        <v>0</v>
      </c>
      <c r="F37450" s="2">
        <v>3.2308361339297801E-7</v>
      </c>
    </row>
    <row r="37451" spans="1:6" x14ac:dyDescent="0.25">
      <c r="A37451" s="1" t="str">
        <f t="shared" si="1354"/>
        <v>47900</v>
      </c>
      <c r="B37451" s="1" t="str">
        <f>"20206"</f>
        <v>20206</v>
      </c>
      <c r="C37451" s="2">
        <v>0</v>
      </c>
      <c r="D37451" s="2">
        <v>4.1799729137755096E-6</v>
      </c>
      <c r="E37451" s="2">
        <v>0</v>
      </c>
      <c r="F37451" s="2">
        <v>3.2308361339297801E-7</v>
      </c>
    </row>
    <row r="37452" spans="1:6" x14ac:dyDescent="0.25">
      <c r="A37452" s="1" t="str">
        <f t="shared" si="1354"/>
        <v>47900</v>
      </c>
      <c r="B37452" s="1" t="str">
        <f>"22225"</f>
        <v>22225</v>
      </c>
      <c r="C37452" s="2">
        <v>0</v>
      </c>
      <c r="D37452" s="2">
        <v>4.1799729137755096E-6</v>
      </c>
      <c r="E37452" s="2">
        <v>0</v>
      </c>
      <c r="F37452" s="2">
        <v>3.2308361339297801E-7</v>
      </c>
    </row>
    <row r="37453" spans="1:6" x14ac:dyDescent="0.25">
      <c r="A37453" s="1" t="str">
        <f t="shared" si="1354"/>
        <v>47900</v>
      </c>
      <c r="B37453" s="1" t="str">
        <f>"20419"</f>
        <v>20419</v>
      </c>
      <c r="C37453" s="2">
        <v>0</v>
      </c>
      <c r="D37453" s="2">
        <v>8.3599458275510293E-6</v>
      </c>
      <c r="E37453" s="2">
        <v>0</v>
      </c>
      <c r="F37453" s="2">
        <v>6.4616722678595697E-7</v>
      </c>
    </row>
    <row r="37454" spans="1:6" x14ac:dyDescent="0.25">
      <c r="A37454" s="1" t="str">
        <f t="shared" si="1354"/>
        <v>47900</v>
      </c>
      <c r="B37454" s="1" t="str">
        <f>"20210"</f>
        <v>20210</v>
      </c>
      <c r="C37454" s="2">
        <v>0</v>
      </c>
      <c r="D37454" s="2">
        <v>4.1799729137755096E-6</v>
      </c>
      <c r="E37454" s="2">
        <v>0</v>
      </c>
      <c r="F37454" s="2">
        <v>3.2308361339297801E-7</v>
      </c>
    </row>
    <row r="37455" spans="1:6" x14ac:dyDescent="0.25">
      <c r="A37455" s="1" t="str">
        <f t="shared" si="1354"/>
        <v>47900</v>
      </c>
      <c r="B37455" s="1" t="str">
        <f>"20388"</f>
        <v>20388</v>
      </c>
      <c r="C37455" s="2">
        <v>0</v>
      </c>
      <c r="D37455" s="2">
        <v>8.3599458275510293E-6</v>
      </c>
      <c r="E37455" s="2">
        <v>0</v>
      </c>
      <c r="F37455" s="2">
        <v>6.4616722678595697E-7</v>
      </c>
    </row>
    <row r="37456" spans="1:6" x14ac:dyDescent="0.25">
      <c r="A37456" s="1" t="str">
        <f t="shared" si="1354"/>
        <v>47900</v>
      </c>
      <c r="B37456" s="1" t="str">
        <f>"20211"</f>
        <v>20211</v>
      </c>
      <c r="C37456" s="2">
        <v>0</v>
      </c>
      <c r="D37456" s="2">
        <v>8.3599458275510293E-6</v>
      </c>
      <c r="E37456" s="2">
        <v>0</v>
      </c>
      <c r="F37456" s="2">
        <v>6.4616722678595697E-7</v>
      </c>
    </row>
    <row r="37457" spans="1:6" x14ac:dyDescent="0.25">
      <c r="A37457" s="1" t="str">
        <f t="shared" si="1354"/>
        <v>47900</v>
      </c>
      <c r="B37457" s="1" t="str">
        <f>"20560"</f>
        <v>20560</v>
      </c>
      <c r="C37457" s="2">
        <v>0</v>
      </c>
      <c r="D37457" s="2">
        <v>2.50798374826531E-5</v>
      </c>
      <c r="E37457" s="2">
        <v>0</v>
      </c>
      <c r="F37457" s="2">
        <v>1.9385016803578701E-6</v>
      </c>
    </row>
    <row r="37458" spans="1:6" x14ac:dyDescent="0.25">
      <c r="A37458" s="1" t="str">
        <f t="shared" si="1354"/>
        <v>47900</v>
      </c>
      <c r="B37458" s="1" t="str">
        <f>"20427"</f>
        <v>20427</v>
      </c>
      <c r="C37458" s="2">
        <v>0</v>
      </c>
      <c r="D37458" s="2">
        <v>1.2539918741326501E-5</v>
      </c>
      <c r="E37458" s="2">
        <v>0</v>
      </c>
      <c r="F37458" s="2">
        <v>9.6925084017893608E-7</v>
      </c>
    </row>
    <row r="37459" spans="1:6" x14ac:dyDescent="0.25">
      <c r="A37459" s="1" t="str">
        <f t="shared" si="1354"/>
        <v>47900</v>
      </c>
      <c r="B37459" s="1" t="str">
        <f>"20588"</f>
        <v>20588</v>
      </c>
      <c r="C37459" s="2">
        <v>0</v>
      </c>
      <c r="D37459" s="2">
        <v>8.3599458275510293E-6</v>
      </c>
      <c r="E37459" s="2">
        <v>0</v>
      </c>
      <c r="F37459" s="2">
        <v>6.4616722678595697E-7</v>
      </c>
    </row>
    <row r="37460" spans="1:6" x14ac:dyDescent="0.25">
      <c r="A37460" s="1" t="str">
        <f t="shared" si="1354"/>
        <v>47900</v>
      </c>
      <c r="B37460" s="1" t="str">
        <f>"22748"</f>
        <v>22748</v>
      </c>
      <c r="C37460" s="2">
        <v>0</v>
      </c>
      <c r="D37460" s="2">
        <v>4.1799729137755096E-6</v>
      </c>
      <c r="E37460" s="2">
        <v>0</v>
      </c>
      <c r="F37460" s="2">
        <v>3.2308361339297801E-7</v>
      </c>
    </row>
    <row r="37461" spans="1:6" x14ac:dyDescent="0.25">
      <c r="A37461" s="1" t="str">
        <f t="shared" si="1354"/>
        <v>47900</v>
      </c>
      <c r="B37461" s="1" t="str">
        <f>"20527"</f>
        <v>20527</v>
      </c>
      <c r="C37461" s="2">
        <v>0</v>
      </c>
      <c r="D37461" s="2">
        <v>4.1799729137755096E-6</v>
      </c>
      <c r="E37461" s="2">
        <v>0</v>
      </c>
      <c r="F37461" s="2">
        <v>3.2308361339297801E-7</v>
      </c>
    </row>
    <row r="37462" spans="1:6" x14ac:dyDescent="0.25">
      <c r="A37462" s="1" t="str">
        <f t="shared" si="1354"/>
        <v>47900</v>
      </c>
      <c r="B37462" s="1" t="str">
        <f>"20506"</f>
        <v>20506</v>
      </c>
      <c r="C37462" s="2">
        <v>0</v>
      </c>
      <c r="D37462" s="2">
        <v>1.6719891655102001E-5</v>
      </c>
      <c r="E37462" s="2">
        <v>0</v>
      </c>
      <c r="F37462" s="2">
        <v>1.2923344535719099E-6</v>
      </c>
    </row>
    <row r="37463" spans="1:6" x14ac:dyDescent="0.25">
      <c r="A37463" s="1" t="str">
        <f t="shared" si="1354"/>
        <v>47900</v>
      </c>
      <c r="B37463" s="1" t="str">
        <f>"20395"</f>
        <v>20395</v>
      </c>
      <c r="C37463" s="2">
        <v>0</v>
      </c>
      <c r="D37463" s="2">
        <v>4.1799729137755096E-6</v>
      </c>
      <c r="E37463" s="2">
        <v>0</v>
      </c>
      <c r="F37463" s="2">
        <v>3.2308361339297801E-7</v>
      </c>
    </row>
    <row r="37464" spans="1:6" x14ac:dyDescent="0.25">
      <c r="A37464" s="1" t="str">
        <f t="shared" si="1354"/>
        <v>47900</v>
      </c>
      <c r="B37464" s="1" t="str">
        <f>"20372"</f>
        <v>20372</v>
      </c>
      <c r="C37464" s="2">
        <v>0</v>
      </c>
      <c r="D37464" s="2">
        <v>4.1799729137755096E-6</v>
      </c>
      <c r="E37464" s="2">
        <v>4.7084779508703901E-5</v>
      </c>
      <c r="F37464" s="2">
        <v>2.58466890714383E-6</v>
      </c>
    </row>
    <row r="37465" spans="1:6" x14ac:dyDescent="0.25">
      <c r="A37465" s="1" t="str">
        <f t="shared" si="1354"/>
        <v>47900</v>
      </c>
      <c r="B37465" s="1" t="str">
        <f>"20140"</f>
        <v>20140</v>
      </c>
      <c r="C37465" s="2">
        <v>0</v>
      </c>
      <c r="D37465" s="2">
        <v>4.1799729137755096E-6</v>
      </c>
      <c r="E37465" s="2">
        <v>0</v>
      </c>
      <c r="F37465" s="2">
        <v>3.2308361339297801E-7</v>
      </c>
    </row>
    <row r="37466" spans="1:6" x14ac:dyDescent="0.25">
      <c r="A37466" s="1" t="str">
        <f t="shared" si="1354"/>
        <v>47900</v>
      </c>
      <c r="B37466" s="1" t="str">
        <f>"20139"</f>
        <v>20139</v>
      </c>
      <c r="C37466" s="2">
        <v>3.6937579184935299E-7</v>
      </c>
      <c r="D37466" s="2">
        <v>4.1799729137755096E-6</v>
      </c>
      <c r="E37466" s="2">
        <v>0</v>
      </c>
      <c r="F37466" s="2">
        <v>6.4616722678595697E-7</v>
      </c>
    </row>
    <row r="37467" spans="1:6" x14ac:dyDescent="0.25">
      <c r="A37467" s="1" t="str">
        <f t="shared" si="1354"/>
        <v>47900</v>
      </c>
      <c r="B37467" s="1" t="str">
        <f>"20437"</f>
        <v>20437</v>
      </c>
      <c r="C37467" s="2">
        <v>0</v>
      </c>
      <c r="D37467" s="2">
        <v>4.1799729137755096E-6</v>
      </c>
      <c r="E37467" s="2">
        <v>0</v>
      </c>
      <c r="F37467" s="2">
        <v>3.2308361339297801E-7</v>
      </c>
    </row>
    <row r="37468" spans="1:6" x14ac:dyDescent="0.25">
      <c r="A37468" s="1" t="str">
        <f t="shared" si="1354"/>
        <v>47900</v>
      </c>
      <c r="B37468" s="1" t="str">
        <f>"20892"</f>
        <v>20892</v>
      </c>
      <c r="C37468" s="2">
        <v>0</v>
      </c>
      <c r="D37468" s="2">
        <v>4.1799729137755096E-6</v>
      </c>
      <c r="E37468" s="2">
        <v>0</v>
      </c>
      <c r="F37468" s="2">
        <v>3.2308361339297801E-7</v>
      </c>
    </row>
    <row r="37469" spans="1:6" x14ac:dyDescent="0.25">
      <c r="A37469" s="1" t="str">
        <f t="shared" si="1354"/>
        <v>47900</v>
      </c>
      <c r="B37469" s="1" t="str">
        <f>"22245"</f>
        <v>22245</v>
      </c>
      <c r="C37469" s="2">
        <v>0</v>
      </c>
      <c r="D37469" s="2">
        <v>4.1799729137755096E-6</v>
      </c>
      <c r="E37469" s="2">
        <v>0</v>
      </c>
      <c r="F37469" s="2">
        <v>3.2308361339297801E-7</v>
      </c>
    </row>
    <row r="37470" spans="1:6" x14ac:dyDescent="0.25">
      <c r="A37470" s="1" t="str">
        <f t="shared" si="1354"/>
        <v>47900</v>
      </c>
      <c r="B37470" s="1" t="str">
        <f>"88888"</f>
        <v>88888</v>
      </c>
      <c r="C37470" s="2">
        <v>3.6937579184935299E-7</v>
      </c>
      <c r="D37470" s="2">
        <v>0</v>
      </c>
      <c r="E37470" s="2">
        <v>0</v>
      </c>
      <c r="F37470" s="2">
        <v>3.2308361339297801E-7</v>
      </c>
    </row>
    <row r="37471" spans="1:6" x14ac:dyDescent="0.25">
      <c r="A37471" s="1" t="str">
        <f t="shared" si="1354"/>
        <v>47900</v>
      </c>
      <c r="B37471" s="1" t="str">
        <f>"20542"</f>
        <v>20542</v>
      </c>
      <c r="C37471" s="2">
        <v>0</v>
      </c>
      <c r="D37471" s="2">
        <v>6.6879566620408194E-5</v>
      </c>
      <c r="E37471" s="2">
        <v>1.3452794145343899E-5</v>
      </c>
      <c r="F37471" s="2">
        <v>5.8155050410736102E-6</v>
      </c>
    </row>
    <row r="37472" spans="1:6" x14ac:dyDescent="0.25">
      <c r="A37472" s="1" t="str">
        <f t="shared" si="1354"/>
        <v>47900</v>
      </c>
      <c r="B37472" s="1" t="str">
        <f>"20553"</f>
        <v>20553</v>
      </c>
      <c r="C37472" s="2">
        <v>0</v>
      </c>
      <c r="D37472" s="2">
        <v>1.6719891655102001E-5</v>
      </c>
      <c r="E37472" s="2">
        <v>0</v>
      </c>
      <c r="F37472" s="2">
        <v>1.2923344535719099E-6</v>
      </c>
    </row>
    <row r="37473" spans="1:6" x14ac:dyDescent="0.25">
      <c r="A37473" s="1" t="str">
        <f t="shared" si="1354"/>
        <v>47900</v>
      </c>
      <c r="B37473" s="1" t="str">
        <f>"20405"</f>
        <v>20405</v>
      </c>
      <c r="C37473" s="2">
        <v>0</v>
      </c>
      <c r="D37473" s="2">
        <v>4.1799729137755096E-6</v>
      </c>
      <c r="E37473" s="2">
        <v>0</v>
      </c>
      <c r="F37473" s="2">
        <v>3.2308361339297801E-7</v>
      </c>
    </row>
    <row r="37474" spans="1:6" x14ac:dyDescent="0.25">
      <c r="A37474" s="1" t="str">
        <f t="shared" si="1354"/>
        <v>47900</v>
      </c>
      <c r="B37474" s="1" t="str">
        <f>"20451"</f>
        <v>20451</v>
      </c>
      <c r="C37474" s="2">
        <v>0</v>
      </c>
      <c r="D37474" s="2">
        <v>4.1799729137755096E-6</v>
      </c>
      <c r="E37474" s="2">
        <v>0</v>
      </c>
      <c r="F37474" s="2">
        <v>3.2308361339297801E-7</v>
      </c>
    </row>
    <row r="37475" spans="1:6" x14ac:dyDescent="0.25">
      <c r="A37475" s="1" t="str">
        <f t="shared" si="1354"/>
        <v>47900</v>
      </c>
      <c r="B37475" s="1" t="str">
        <f>"20002"</f>
        <v>20002</v>
      </c>
      <c r="C37475" s="2">
        <v>1.3684634336434799E-2</v>
      </c>
      <c r="D37475" s="2">
        <v>1.1147987761039301E-2</v>
      </c>
      <c r="E37475" s="2">
        <v>3.5488470955417399E-2</v>
      </c>
      <c r="F37475" s="2">
        <v>1.4535854850163499E-2</v>
      </c>
    </row>
    <row r="37476" spans="1:6" x14ac:dyDescent="0.25">
      <c r="A37476" s="1" t="str">
        <f t="shared" si="1354"/>
        <v>47900</v>
      </c>
      <c r="B37476" s="1" t="str">
        <f>"20001"</f>
        <v>20001</v>
      </c>
      <c r="C37476" s="2">
        <v>1.01319779704277E-2</v>
      </c>
      <c r="D37476" s="2">
        <v>1.1766623752278001E-2</v>
      </c>
      <c r="E37476" s="2">
        <v>2.0138832835579899E-2</v>
      </c>
      <c r="F37476" s="2">
        <v>1.07389762255692E-2</v>
      </c>
    </row>
    <row r="37477" spans="1:6" x14ac:dyDescent="0.25">
      <c r="A37477" s="1" t="str">
        <f t="shared" si="1354"/>
        <v>47900</v>
      </c>
      <c r="B37477" s="1" t="str">
        <f>"20007"</f>
        <v>20007</v>
      </c>
      <c r="C37477" s="2">
        <v>5.1753242196012897E-3</v>
      </c>
      <c r="D37477" s="2">
        <v>8.6023842565500098E-3</v>
      </c>
      <c r="E37477" s="2">
        <v>9.2420695778513105E-3</v>
      </c>
      <c r="F37477" s="2">
        <v>5.63554746841373E-3</v>
      </c>
    </row>
    <row r="37478" spans="1:6" x14ac:dyDescent="0.25">
      <c r="A37478" s="1" t="str">
        <f t="shared" si="1354"/>
        <v>47900</v>
      </c>
      <c r="B37478" s="1" t="str">
        <f>"20721"</f>
        <v>20721</v>
      </c>
      <c r="C37478" s="2">
        <v>3.9390234442815003E-3</v>
      </c>
      <c r="D37478" s="2">
        <v>6.5625574746275598E-4</v>
      </c>
      <c r="E37478" s="2">
        <v>2.6905588290687899E-4</v>
      </c>
      <c r="F37478" s="2">
        <v>3.5090111250611401E-3</v>
      </c>
    </row>
    <row r="37479" spans="1:6" x14ac:dyDescent="0.25">
      <c r="A37479" s="1" t="str">
        <f t="shared" si="1354"/>
        <v>47900</v>
      </c>
      <c r="B37479" s="1" t="str">
        <f>"20601"</f>
        <v>20601</v>
      </c>
      <c r="C37479" s="2">
        <v>3.8352288467718401E-3</v>
      </c>
      <c r="D37479" s="2">
        <v>4.5478105301877602E-3</v>
      </c>
      <c r="E37479" s="2">
        <v>1.4596281647698201E-3</v>
      </c>
      <c r="F37479" s="2">
        <v>3.7762012733371301E-3</v>
      </c>
    </row>
    <row r="37480" spans="1:6" x14ac:dyDescent="0.25">
      <c r="A37480" s="1" t="str">
        <f t="shared" si="1354"/>
        <v>47900</v>
      </c>
      <c r="B37480" s="1" t="str">
        <f>"20598"</f>
        <v>20598</v>
      </c>
      <c r="C37480" s="2">
        <v>0</v>
      </c>
      <c r="D37480" s="2">
        <v>7.9837482653112395E-4</v>
      </c>
      <c r="E37480" s="2">
        <v>2.1524470632550301E-4</v>
      </c>
      <c r="F37480" s="2">
        <v>7.2047645786634193E-5</v>
      </c>
    </row>
    <row r="37481" spans="1:6" x14ac:dyDescent="0.25">
      <c r="A37481" s="1" t="str">
        <f t="shared" si="1354"/>
        <v>47900</v>
      </c>
      <c r="B37481" s="1" t="str">
        <f>"20310"</f>
        <v>20310</v>
      </c>
      <c r="C37481" s="2">
        <v>0</v>
      </c>
      <c r="D37481" s="2">
        <v>4.8069688508418402E-4</v>
      </c>
      <c r="E37481" s="2">
        <v>0</v>
      </c>
      <c r="F37481" s="2">
        <v>3.7154615540192497E-5</v>
      </c>
    </row>
    <row r="37482" spans="1:6" x14ac:dyDescent="0.25">
      <c r="A37482" s="1" t="str">
        <f t="shared" si="1354"/>
        <v>47900</v>
      </c>
      <c r="B37482" s="1" t="str">
        <f>"20851"</f>
        <v>20851</v>
      </c>
      <c r="C37482" s="2">
        <v>1.90819534069376E-3</v>
      </c>
      <c r="D37482" s="2">
        <v>5.9355615375612303E-4</v>
      </c>
      <c r="E37482" s="2">
        <v>1.47980735598783E-3</v>
      </c>
      <c r="F37482" s="2">
        <v>1.7860062148363799E-3</v>
      </c>
    </row>
    <row r="37483" spans="1:6" x14ac:dyDescent="0.25">
      <c r="A37483" s="1" t="str">
        <f t="shared" si="1354"/>
        <v>47900</v>
      </c>
      <c r="B37483" s="1" t="str">
        <f>"20768"</f>
        <v>20768</v>
      </c>
      <c r="C37483" s="2">
        <v>4.7871102623676199E-4</v>
      </c>
      <c r="D37483" s="2">
        <v>1.2247320637362199E-3</v>
      </c>
      <c r="E37483" s="2">
        <v>1.3452794145343899E-5</v>
      </c>
      <c r="F37483" s="2">
        <v>5.14026028908229E-4</v>
      </c>
    </row>
    <row r="37484" spans="1:6" x14ac:dyDescent="0.25">
      <c r="A37484" s="1" t="str">
        <f t="shared" si="1354"/>
        <v>47900</v>
      </c>
      <c r="B37484" s="1" t="str">
        <f>"20771"</f>
        <v>20771</v>
      </c>
      <c r="C37484" s="2">
        <v>0</v>
      </c>
      <c r="D37484" s="2">
        <v>4.1799729137755096E-6</v>
      </c>
      <c r="E37484" s="2">
        <v>0</v>
      </c>
      <c r="F37484" s="2">
        <v>3.2308361339297801E-7</v>
      </c>
    </row>
    <row r="37485" spans="1:6" x14ac:dyDescent="0.25">
      <c r="A37485" s="1" t="str">
        <f t="shared" si="1354"/>
        <v>47900</v>
      </c>
      <c r="B37485" s="1" t="str">
        <f>"20746"</f>
        <v>20746</v>
      </c>
      <c r="C37485" s="2">
        <v>5.5465468904098902E-3</v>
      </c>
      <c r="D37485" s="2">
        <v>3.0681001187112299E-3</v>
      </c>
      <c r="E37485" s="2">
        <v>9.8743509026824796E-3</v>
      </c>
      <c r="F37485" s="2">
        <v>5.56285365540031E-3</v>
      </c>
    </row>
    <row r="37486" spans="1:6" x14ac:dyDescent="0.25">
      <c r="A37486" s="1" t="str">
        <f t="shared" si="1354"/>
        <v>47900</v>
      </c>
      <c r="B37486" s="1" t="str">
        <f>"20901"</f>
        <v>20901</v>
      </c>
      <c r="C37486" s="2">
        <v>4.9204549232252396E-3</v>
      </c>
      <c r="D37486" s="2">
        <v>1.82246819040612E-3</v>
      </c>
      <c r="E37486" s="2">
        <v>3.3295665509726299E-3</v>
      </c>
      <c r="F37486" s="2">
        <v>4.6045876580767297E-3</v>
      </c>
    </row>
    <row r="37487" spans="1:6" x14ac:dyDescent="0.25">
      <c r="A37487" s="1" t="str">
        <f t="shared" si="1354"/>
        <v>47900</v>
      </c>
      <c r="B37487" s="1" t="str">
        <f>"20880"</f>
        <v>20880</v>
      </c>
      <c r="C37487" s="2">
        <v>4.2071902691641301E-4</v>
      </c>
      <c r="D37487" s="2">
        <v>3.3857780601581698E-4</v>
      </c>
      <c r="E37487" s="2">
        <v>2.69055882906879E-5</v>
      </c>
      <c r="F37487" s="2">
        <v>3.95454342793006E-4</v>
      </c>
    </row>
    <row r="37488" spans="1:6" x14ac:dyDescent="0.25">
      <c r="A37488" s="1" t="str">
        <f t="shared" si="1354"/>
        <v>47900</v>
      </c>
      <c r="B37488" s="1" t="str">
        <f>"20866"</f>
        <v>20866</v>
      </c>
      <c r="C37488" s="2">
        <v>2.12095579679898E-3</v>
      </c>
      <c r="D37488" s="2">
        <v>2.0314668360948999E-3</v>
      </c>
      <c r="E37488" s="2">
        <v>9.4169559017407898E-4</v>
      </c>
      <c r="F37488" s="2">
        <v>2.0573964500864802E-3</v>
      </c>
    </row>
    <row r="37489" spans="1:6" x14ac:dyDescent="0.25">
      <c r="A37489" s="1" t="str">
        <f t="shared" si="1354"/>
        <v>47900</v>
      </c>
      <c r="B37489" s="1" t="str">
        <f>"22041"</f>
        <v>22041</v>
      </c>
      <c r="C37489" s="2">
        <v>5.3810665356613802E-3</v>
      </c>
      <c r="D37489" s="2">
        <v>6.1320202645086799E-3</v>
      </c>
      <c r="E37489" s="2">
        <v>5.5694567761724097E-3</v>
      </c>
      <c r="F37489" s="2">
        <v>5.4481589726457997E-3</v>
      </c>
    </row>
    <row r="37490" spans="1:6" x14ac:dyDescent="0.25">
      <c r="A37490" s="1" t="str">
        <f t="shared" si="1354"/>
        <v>47900</v>
      </c>
      <c r="B37490" s="1" t="str">
        <f>"22015"</f>
        <v>22015</v>
      </c>
      <c r="C37490" s="2">
        <v>5.5624300494594098E-3</v>
      </c>
      <c r="D37490" s="2">
        <v>2.37422461502449E-3</v>
      </c>
      <c r="E37490" s="2">
        <v>1.8497591949847899E-3</v>
      </c>
      <c r="F37490" s="2">
        <v>5.1376756201751504E-3</v>
      </c>
    </row>
    <row r="37491" spans="1:6" x14ac:dyDescent="0.25">
      <c r="A37491" s="1" t="str">
        <f t="shared" si="1354"/>
        <v>47900</v>
      </c>
      <c r="B37491" s="1" t="str">
        <f>"22040"</f>
        <v>22040</v>
      </c>
      <c r="C37491" s="2">
        <v>3.7787143506188799E-4</v>
      </c>
      <c r="D37491" s="2">
        <v>1.1327726596331599E-3</v>
      </c>
      <c r="E37491" s="2">
        <v>2.01791912180159E-5</v>
      </c>
      <c r="F37491" s="2">
        <v>4.1903944657069298E-4</v>
      </c>
    </row>
    <row r="37492" spans="1:6" x14ac:dyDescent="0.25">
      <c r="A37492" s="1" t="str">
        <f t="shared" si="1354"/>
        <v>47900</v>
      </c>
      <c r="B37492" s="1" t="str">
        <f>"20153"</f>
        <v>20153</v>
      </c>
      <c r="C37492" s="2">
        <v>6.4862389048746499E-4</v>
      </c>
      <c r="D37492" s="2">
        <v>2.1526860505943898E-3</v>
      </c>
      <c r="E37492" s="2">
        <v>1.3452794145343899E-5</v>
      </c>
      <c r="F37492" s="2">
        <v>7.3436905324223995E-4</v>
      </c>
    </row>
    <row r="37493" spans="1:6" x14ac:dyDescent="0.25">
      <c r="A37493" s="1" t="str">
        <f t="shared" si="1354"/>
        <v>47900</v>
      </c>
      <c r="B37493" s="1" t="str">
        <f>"20155"</f>
        <v>20155</v>
      </c>
      <c r="C37493" s="2">
        <v>4.6759281490209598E-3</v>
      </c>
      <c r="D37493" s="2">
        <v>3.8413951077597001E-3</v>
      </c>
      <c r="E37493" s="2">
        <v>1.21075147308095E-3</v>
      </c>
      <c r="F37493" s="2">
        <v>4.4449843530605998E-3</v>
      </c>
    </row>
    <row r="37494" spans="1:6" x14ac:dyDescent="0.25">
      <c r="A37494" s="1" t="str">
        <f t="shared" si="1354"/>
        <v>47900</v>
      </c>
      <c r="B37494" s="1" t="str">
        <f>"20164"</f>
        <v>20164</v>
      </c>
      <c r="C37494" s="2">
        <v>4.6493330920078096E-3</v>
      </c>
      <c r="D37494" s="2">
        <v>5.3503653296326599E-3</v>
      </c>
      <c r="E37494" s="2">
        <v>3.0537842709930799E-3</v>
      </c>
      <c r="F37494" s="2">
        <v>4.6268804274008498E-3</v>
      </c>
    </row>
    <row r="37495" spans="1:6" x14ac:dyDescent="0.25">
      <c r="A37495" s="1" t="str">
        <f t="shared" si="1354"/>
        <v>47900</v>
      </c>
      <c r="B37495" s="1" t="str">
        <f>"20158"</f>
        <v>20158</v>
      </c>
      <c r="C37495" s="2">
        <v>5.6994684682355203E-4</v>
      </c>
      <c r="D37495" s="2">
        <v>1.6719891655102E-4</v>
      </c>
      <c r="E37495" s="2">
        <v>6.0537573654047902E-5</v>
      </c>
      <c r="F37495" s="2">
        <v>5.14349112521622E-4</v>
      </c>
    </row>
    <row r="37496" spans="1:6" x14ac:dyDescent="0.25">
      <c r="A37496" s="1" t="str">
        <f t="shared" si="1354"/>
        <v>47900</v>
      </c>
      <c r="B37496" s="1" t="str">
        <f>"20121"</f>
        <v>20121</v>
      </c>
      <c r="C37496" s="2">
        <v>3.8012462739216899E-3</v>
      </c>
      <c r="D37496" s="2">
        <v>2.5038037753515301E-3</v>
      </c>
      <c r="E37496" s="2">
        <v>4.4730540533268696E-3</v>
      </c>
      <c r="F37496" s="2">
        <v>3.7332311527558701E-3</v>
      </c>
    </row>
    <row r="37497" spans="1:6" x14ac:dyDescent="0.25">
      <c r="A37497" s="1" t="str">
        <f t="shared" si="1354"/>
        <v>47900</v>
      </c>
      <c r="B37497" s="1" t="str">
        <f>"22307"</f>
        <v>22307</v>
      </c>
      <c r="C37497" s="2">
        <v>1.82730204227875E-3</v>
      </c>
      <c r="D37497" s="2">
        <v>1.00319349930612E-3</v>
      </c>
      <c r="E37497" s="2">
        <v>2.76454919686818E-3</v>
      </c>
      <c r="F37497" s="2">
        <v>1.80862206777389E-3</v>
      </c>
    </row>
    <row r="37498" spans="1:6" x14ac:dyDescent="0.25">
      <c r="A37498" s="1" t="str">
        <f t="shared" si="1354"/>
        <v>47900</v>
      </c>
      <c r="B37498" s="1" t="str">
        <f>"22207"</f>
        <v>22207</v>
      </c>
      <c r="C37498" s="2">
        <v>4.60574674856959E-3</v>
      </c>
      <c r="D37498" s="2">
        <v>2.99704057917704E-3</v>
      </c>
      <c r="E37498" s="2">
        <v>1.7757688271854001E-3</v>
      </c>
      <c r="F37498" s="2">
        <v>4.3454746001355604E-3</v>
      </c>
    </row>
    <row r="37499" spans="1:6" x14ac:dyDescent="0.25">
      <c r="A37499" s="1" t="str">
        <f t="shared" si="1354"/>
        <v>47900</v>
      </c>
      <c r="B37499" s="1" t="str">
        <f>"22203"</f>
        <v>22203</v>
      </c>
      <c r="C37499" s="2">
        <v>5.2270368304601997E-3</v>
      </c>
      <c r="D37499" s="2">
        <v>4.46839104482602E-3</v>
      </c>
      <c r="E37499" s="2">
        <v>8.8653913417816796E-3</v>
      </c>
      <c r="F37499" s="2">
        <v>5.34315679829308E-3</v>
      </c>
    </row>
    <row r="37500" spans="1:6" x14ac:dyDescent="0.25">
      <c r="A37500" s="1" t="str">
        <f t="shared" si="1354"/>
        <v>47900</v>
      </c>
      <c r="B37500" s="1" t="str">
        <f>"22066"</f>
        <v>22066</v>
      </c>
      <c r="C37500" s="2">
        <v>2.4718627990558701E-3</v>
      </c>
      <c r="D37500" s="2">
        <v>2.8632814459362299E-3</v>
      </c>
      <c r="E37500" s="2">
        <v>5.6501735410444695E-4</v>
      </c>
      <c r="F37500" s="2">
        <v>2.4105268395250099E-3</v>
      </c>
    </row>
    <row r="37501" spans="1:6" x14ac:dyDescent="0.25">
      <c r="A37501" s="1" t="str">
        <f t="shared" si="1354"/>
        <v>47900</v>
      </c>
      <c r="B37501" s="1" t="str">
        <f>"22106"</f>
        <v>22106</v>
      </c>
      <c r="C37501" s="2">
        <v>3.1064504094530597E-4</v>
      </c>
      <c r="D37501" s="2">
        <v>9.5721379725459302E-4</v>
      </c>
      <c r="E37501" s="2">
        <v>1.3452794145343899E-5</v>
      </c>
      <c r="F37501" s="2">
        <v>3.4634563355727302E-4</v>
      </c>
    </row>
    <row r="37502" spans="1:6" x14ac:dyDescent="0.25">
      <c r="A37502" s="1" t="str">
        <f t="shared" si="1354"/>
        <v>47900</v>
      </c>
      <c r="B37502" s="1" t="str">
        <f>"22508"</f>
        <v>22508</v>
      </c>
      <c r="C37502" s="2">
        <v>1.1376774388959999E-4</v>
      </c>
      <c r="D37502" s="2">
        <v>0</v>
      </c>
      <c r="E37502" s="2">
        <v>0</v>
      </c>
      <c r="F37502" s="2">
        <v>9.9509752925037407E-5</v>
      </c>
    </row>
    <row r="37503" spans="1:6" x14ac:dyDescent="0.25">
      <c r="A37503" s="1" t="str">
        <f t="shared" si="1354"/>
        <v>47900</v>
      </c>
      <c r="B37503" s="1" t="str">
        <f>"22630"</f>
        <v>22630</v>
      </c>
      <c r="C37503" s="2">
        <v>4.8990311272979698E-3</v>
      </c>
      <c r="D37503" s="2">
        <v>4.7150094467387797E-3</v>
      </c>
      <c r="E37503" s="2">
        <v>2.7510964027228401E-3</v>
      </c>
      <c r="F37503" s="2">
        <v>4.7816374782160796E-3</v>
      </c>
    </row>
    <row r="37504" spans="1:6" x14ac:dyDescent="0.25">
      <c r="A37504" s="1" t="str">
        <f t="shared" si="1354"/>
        <v>47900</v>
      </c>
      <c r="B37504" s="1" t="str">
        <f>"22655"</f>
        <v>22655</v>
      </c>
      <c r="C37504" s="2">
        <v>1.7360662216919599E-5</v>
      </c>
      <c r="D37504" s="2">
        <v>1.2539918741326501E-5</v>
      </c>
      <c r="E37504" s="2">
        <v>0</v>
      </c>
      <c r="F37504" s="2">
        <v>1.61541806696489E-5</v>
      </c>
    </row>
    <row r="37505" spans="1:6" x14ac:dyDescent="0.25">
      <c r="A37505" s="1" t="str">
        <f t="shared" si="1354"/>
        <v>47900</v>
      </c>
      <c r="B37505" s="1" t="str">
        <f>"22747"</f>
        <v>22747</v>
      </c>
      <c r="C37505" s="2">
        <v>2.1534608664817301E-4</v>
      </c>
      <c r="D37505" s="2">
        <v>1.5465899780969401E-4</v>
      </c>
      <c r="E37505" s="2">
        <v>4.7084779508703901E-5</v>
      </c>
      <c r="F37505" s="2">
        <v>2.0257342559739701E-4</v>
      </c>
    </row>
    <row r="37506" spans="1:6" x14ac:dyDescent="0.25">
      <c r="A37506" s="1" t="str">
        <f t="shared" si="1354"/>
        <v>47900</v>
      </c>
      <c r="B37506" s="1" t="str">
        <f>"22402"</f>
        <v>22402</v>
      </c>
      <c r="C37506" s="2">
        <v>4.3364717963114102E-4</v>
      </c>
      <c r="D37506" s="2">
        <v>1.2372719824775499E-3</v>
      </c>
      <c r="E37506" s="2">
        <v>1.3452794145343899E-5</v>
      </c>
      <c r="F37506" s="2">
        <v>4.75579078914464E-4</v>
      </c>
    </row>
    <row r="37507" spans="1:6" x14ac:dyDescent="0.25">
      <c r="A37507" s="1" t="str">
        <f t="shared" si="1354"/>
        <v>47900</v>
      </c>
      <c r="B37507" s="1" t="str">
        <f>"22726"</f>
        <v>22726</v>
      </c>
      <c r="C37507" s="2">
        <v>1.2263276289398501E-4</v>
      </c>
      <c r="D37507" s="2">
        <v>3.7619756223979602E-5</v>
      </c>
      <c r="E37507" s="2">
        <v>1.3452794145343899E-5</v>
      </c>
      <c r="F37507" s="2">
        <v>1.10817679393791E-4</v>
      </c>
    </row>
    <row r="37508" spans="1:6" x14ac:dyDescent="0.25">
      <c r="A37508" s="1" t="str">
        <f t="shared" ref="A37508:A37571" si="1355">"47900"</f>
        <v>47900</v>
      </c>
      <c r="B37508" s="1" t="str">
        <f>"22742"</f>
        <v>22742</v>
      </c>
      <c r="C37508" s="2">
        <v>2.5523867216790301E-4</v>
      </c>
      <c r="D37508" s="2">
        <v>1.2539918741326501E-5</v>
      </c>
      <c r="E37508" s="2">
        <v>6.7263970726719903E-6</v>
      </c>
      <c r="F37508" s="2">
        <v>2.2454311130812001E-4</v>
      </c>
    </row>
    <row r="37509" spans="1:6" x14ac:dyDescent="0.25">
      <c r="A37509" s="1" t="str">
        <f t="shared" si="1355"/>
        <v>47900</v>
      </c>
      <c r="B37509" s="1" t="str">
        <f>"23015"</f>
        <v>23015</v>
      </c>
      <c r="C37509" s="2">
        <v>9.3821451129735804E-5</v>
      </c>
      <c r="D37509" s="2">
        <v>4.1799729137755096E-6</v>
      </c>
      <c r="E37509" s="2">
        <v>0</v>
      </c>
      <c r="F37509" s="2">
        <v>8.23863214152096E-5</v>
      </c>
    </row>
    <row r="37510" spans="1:6" x14ac:dyDescent="0.25">
      <c r="A37510" s="1" t="str">
        <f t="shared" si="1355"/>
        <v>47900</v>
      </c>
      <c r="B37510" s="1" t="str">
        <f>"20557"</f>
        <v>20557</v>
      </c>
      <c r="C37510" s="2">
        <v>0</v>
      </c>
      <c r="D37510" s="2">
        <v>2.08998645688775E-5</v>
      </c>
      <c r="E37510" s="2">
        <v>6.7263970726719903E-6</v>
      </c>
      <c r="F37510" s="2">
        <v>1.9385016803578701E-6</v>
      </c>
    </row>
    <row r="37511" spans="1:6" x14ac:dyDescent="0.25">
      <c r="A37511" s="1" t="str">
        <f t="shared" si="1355"/>
        <v>47900</v>
      </c>
      <c r="B37511" s="1" t="str">
        <f>"20859"</f>
        <v>20859</v>
      </c>
      <c r="C37511" s="2">
        <v>3.4979887488133802E-4</v>
      </c>
      <c r="D37511" s="2">
        <v>1.4504506010801E-3</v>
      </c>
      <c r="E37511" s="2">
        <v>1.3452794145343899E-5</v>
      </c>
      <c r="F37511" s="2">
        <v>4.1871636295729998E-4</v>
      </c>
    </row>
    <row r="37512" spans="1:6" x14ac:dyDescent="0.25">
      <c r="A37512" s="1" t="str">
        <f t="shared" si="1355"/>
        <v>47900</v>
      </c>
      <c r="B37512" s="1" t="str">
        <f>"20625"</f>
        <v>20625</v>
      </c>
      <c r="C37512" s="2">
        <v>9.4560202713434501E-5</v>
      </c>
      <c r="D37512" s="2">
        <v>2.9259810396428598E-5</v>
      </c>
      <c r="E37512" s="2">
        <v>6.7263970726719903E-6</v>
      </c>
      <c r="F37512" s="2">
        <v>8.5294073935746401E-5</v>
      </c>
    </row>
    <row r="37513" spans="1:6" x14ac:dyDescent="0.25">
      <c r="A37513" s="1" t="str">
        <f t="shared" si="1355"/>
        <v>47900</v>
      </c>
      <c r="B37513" s="1" t="str">
        <f>"20056"</f>
        <v>20056</v>
      </c>
      <c r="C37513" s="2">
        <v>2.26796736195503E-4</v>
      </c>
      <c r="D37513" s="2">
        <v>4.8905683091173501E-4</v>
      </c>
      <c r="E37513" s="2">
        <v>1.3452794145343899E-5</v>
      </c>
      <c r="F37513" s="2">
        <v>2.36820288617053E-4</v>
      </c>
    </row>
    <row r="37514" spans="1:6" x14ac:dyDescent="0.25">
      <c r="A37514" s="1" t="str">
        <f t="shared" si="1355"/>
        <v>47900</v>
      </c>
      <c r="B37514" s="1" t="str">
        <f>"20523"</f>
        <v>20523</v>
      </c>
      <c r="C37514" s="2">
        <v>0</v>
      </c>
      <c r="D37514" s="2">
        <v>1.2539918741326501E-5</v>
      </c>
      <c r="E37514" s="2">
        <v>0</v>
      </c>
      <c r="F37514" s="2">
        <v>9.6925084017893608E-7</v>
      </c>
    </row>
    <row r="37515" spans="1:6" x14ac:dyDescent="0.25">
      <c r="A37515" s="1" t="str">
        <f t="shared" si="1355"/>
        <v>47900</v>
      </c>
      <c r="B37515" s="1" t="str">
        <f>"22646"</f>
        <v>22646</v>
      </c>
      <c r="C37515" s="2">
        <v>0</v>
      </c>
      <c r="D37515" s="2">
        <v>1.2539918741326501E-5</v>
      </c>
      <c r="E37515" s="2">
        <v>0</v>
      </c>
      <c r="F37515" s="2">
        <v>9.6925084017893608E-7</v>
      </c>
    </row>
    <row r="37516" spans="1:6" x14ac:dyDescent="0.25">
      <c r="A37516" s="1" t="str">
        <f t="shared" si="1355"/>
        <v>47900</v>
      </c>
      <c r="B37516" s="1" t="str">
        <f>"20418"</f>
        <v>20418</v>
      </c>
      <c r="C37516" s="2">
        <v>0</v>
      </c>
      <c r="D37516" s="2">
        <v>8.3599458275510293E-6</v>
      </c>
      <c r="E37516" s="2">
        <v>0</v>
      </c>
      <c r="F37516" s="2">
        <v>6.4616722678595697E-7</v>
      </c>
    </row>
    <row r="37517" spans="1:6" x14ac:dyDescent="0.25">
      <c r="A37517" s="1" t="str">
        <f t="shared" si="1355"/>
        <v>47900</v>
      </c>
      <c r="B37517" s="1" t="str">
        <f>"21717"</f>
        <v>21717</v>
      </c>
      <c r="C37517" s="2">
        <v>1.9650792126385601E-4</v>
      </c>
      <c r="D37517" s="2">
        <v>3.13497968533163E-4</v>
      </c>
      <c r="E37517" s="2">
        <v>6.7263970726719903E-6</v>
      </c>
      <c r="F37517" s="2">
        <v>1.96434836942931E-4</v>
      </c>
    </row>
    <row r="37518" spans="1:6" x14ac:dyDescent="0.25">
      <c r="A37518" s="1" t="str">
        <f t="shared" si="1355"/>
        <v>47900</v>
      </c>
      <c r="B37518" s="1" t="str">
        <f>"22430"</f>
        <v>22430</v>
      </c>
      <c r="C37518" s="2">
        <v>0</v>
      </c>
      <c r="D37518" s="2">
        <v>0</v>
      </c>
      <c r="E37518" s="2">
        <v>1.3452794145343899E-5</v>
      </c>
      <c r="F37518" s="2">
        <v>6.4616722678595697E-7</v>
      </c>
    </row>
    <row r="37519" spans="1:6" x14ac:dyDescent="0.25">
      <c r="A37519" s="1" t="str">
        <f t="shared" si="1355"/>
        <v>47900</v>
      </c>
      <c r="B37519" s="1" t="str">
        <f>"20725"</f>
        <v>20725</v>
      </c>
      <c r="C37519" s="2">
        <v>3.1803255678229301E-4</v>
      </c>
      <c r="D37519" s="2">
        <v>1.93532745907806E-3</v>
      </c>
      <c r="E37519" s="2">
        <v>1.3452794145343899E-5</v>
      </c>
      <c r="F37519" s="2">
        <v>4.2840887135908902E-4</v>
      </c>
    </row>
    <row r="37520" spans="1:6" x14ac:dyDescent="0.25">
      <c r="A37520" s="1" t="str">
        <f t="shared" si="1355"/>
        <v>47900</v>
      </c>
      <c r="B37520" s="1" t="str">
        <f>"20868"</f>
        <v>20868</v>
      </c>
      <c r="C37520" s="2">
        <v>7.9415795247611006E-5</v>
      </c>
      <c r="D37520" s="2">
        <v>7.9419485361734805E-5</v>
      </c>
      <c r="E37520" s="2">
        <v>1.3452794145343899E-5</v>
      </c>
      <c r="F37520" s="2">
        <v>7.6247732760742997E-5</v>
      </c>
    </row>
    <row r="37521" spans="1:6" x14ac:dyDescent="0.25">
      <c r="A37521" s="1" t="str">
        <f t="shared" si="1355"/>
        <v>47900</v>
      </c>
      <c r="B37521" s="1" t="str">
        <f>"20718"</f>
        <v>20718</v>
      </c>
      <c r="C37521" s="2">
        <v>2.3898613732653101E-4</v>
      </c>
      <c r="D37521" s="2">
        <v>1.7555886237857099E-3</v>
      </c>
      <c r="E37521" s="2">
        <v>1.3452794145343899E-5</v>
      </c>
      <c r="F37521" s="2">
        <v>3.4537638271709401E-4</v>
      </c>
    </row>
    <row r="37522" spans="1:6" x14ac:dyDescent="0.25">
      <c r="A37522" s="1" t="str">
        <f t="shared" si="1355"/>
        <v>47900</v>
      </c>
      <c r="B37522" s="1" t="str">
        <f>"20065"</f>
        <v>20065</v>
      </c>
      <c r="C37522" s="2">
        <v>0</v>
      </c>
      <c r="D37522" s="2">
        <v>4.1799729137755096E-6</v>
      </c>
      <c r="E37522" s="2">
        <v>0</v>
      </c>
      <c r="F37522" s="2">
        <v>3.2308361339297801E-7</v>
      </c>
    </row>
    <row r="37523" spans="1:6" x14ac:dyDescent="0.25">
      <c r="A37523" s="1" t="str">
        <f t="shared" si="1355"/>
        <v>47900</v>
      </c>
      <c r="B37523" s="1" t="str">
        <f>"20130"</f>
        <v>20130</v>
      </c>
      <c r="C37523" s="2">
        <v>6.1316381446992706E-5</v>
      </c>
      <c r="D37523" s="2">
        <v>4.5979702051530701E-5</v>
      </c>
      <c r="E37523" s="2">
        <v>0</v>
      </c>
      <c r="F37523" s="2">
        <v>5.71857995705572E-5</v>
      </c>
    </row>
    <row r="37524" spans="1:6" x14ac:dyDescent="0.25">
      <c r="A37524" s="1" t="str">
        <f t="shared" si="1355"/>
        <v>47900</v>
      </c>
      <c r="B37524" s="1" t="str">
        <f>"22973"</f>
        <v>22973</v>
      </c>
      <c r="C37524" s="2">
        <v>1.6621910633220901E-5</v>
      </c>
      <c r="D37524" s="2">
        <v>0</v>
      </c>
      <c r="E37524" s="2">
        <v>0</v>
      </c>
      <c r="F37524" s="2">
        <v>1.4538762602684E-5</v>
      </c>
    </row>
    <row r="37525" spans="1:6" x14ac:dyDescent="0.25">
      <c r="A37525" s="1" t="str">
        <f t="shared" si="1355"/>
        <v>47900</v>
      </c>
      <c r="B37525" s="1" t="str">
        <f>"20639"</f>
        <v>20639</v>
      </c>
      <c r="C37525" s="2">
        <v>2.37582509317504E-3</v>
      </c>
      <c r="D37525" s="2">
        <v>1.1829323345984701E-3</v>
      </c>
      <c r="E37525" s="2">
        <v>1.5470713267145501E-4</v>
      </c>
      <c r="F37525" s="2">
        <v>2.1769373870418902E-3</v>
      </c>
    </row>
    <row r="37526" spans="1:6" x14ac:dyDescent="0.25">
      <c r="A37526" s="1" t="str">
        <f t="shared" si="1355"/>
        <v>47900</v>
      </c>
      <c r="B37526" s="1" t="str">
        <f>"20603"</f>
        <v>20603</v>
      </c>
      <c r="C37526" s="2">
        <v>4.2529928673534501E-3</v>
      </c>
      <c r="D37526" s="2">
        <v>2.4327442358173502E-3</v>
      </c>
      <c r="E37526" s="2">
        <v>2.7712755939408602E-3</v>
      </c>
      <c r="F37526" s="2">
        <v>4.0411298363193697E-3</v>
      </c>
    </row>
    <row r="37527" spans="1:6" x14ac:dyDescent="0.25">
      <c r="A37527" s="1" t="str">
        <f t="shared" si="1355"/>
        <v>47900</v>
      </c>
      <c r="B37527" s="1" t="str">
        <f>"20640"</f>
        <v>20640</v>
      </c>
      <c r="C37527" s="2">
        <v>1.57243274590269E-3</v>
      </c>
      <c r="D37527" s="2">
        <v>1.1829323345984701E-3</v>
      </c>
      <c r="E37527" s="2">
        <v>2.3004277988538202E-3</v>
      </c>
      <c r="F37527" s="2">
        <v>1.57729420058452E-3</v>
      </c>
    </row>
    <row r="37528" spans="1:6" x14ac:dyDescent="0.25">
      <c r="A37528" s="1" t="str">
        <f t="shared" si="1355"/>
        <v>47900</v>
      </c>
      <c r="B37528" s="1" t="str">
        <f>"20036"</f>
        <v>20036</v>
      </c>
      <c r="C37528" s="2">
        <v>1.87790652576211E-3</v>
      </c>
      <c r="D37528" s="2">
        <v>1.7129529000652E-2</v>
      </c>
      <c r="E37528" s="2">
        <v>4.3317997148007601E-3</v>
      </c>
      <c r="F37528" s="2">
        <v>3.1746195851994098E-3</v>
      </c>
    </row>
    <row r="37529" spans="1:6" x14ac:dyDescent="0.25">
      <c r="A37529" s="1" t="str">
        <f t="shared" si="1355"/>
        <v>47900</v>
      </c>
      <c r="B37529" s="1" t="str">
        <f>"20549"</f>
        <v>20549</v>
      </c>
      <c r="C37529" s="2">
        <v>0</v>
      </c>
      <c r="D37529" s="2">
        <v>8.3599458275510293E-6</v>
      </c>
      <c r="E37529" s="2">
        <v>5.7847014824979101E-4</v>
      </c>
      <c r="F37529" s="2">
        <v>2.84313579785821E-5</v>
      </c>
    </row>
    <row r="37530" spans="1:6" x14ac:dyDescent="0.25">
      <c r="A37530" s="1" t="str">
        <f t="shared" si="1355"/>
        <v>47900</v>
      </c>
      <c r="B37530" s="1" t="str">
        <f>"20030"</f>
        <v>20030</v>
      </c>
      <c r="C37530" s="2">
        <v>5.3263989184676799E-4</v>
      </c>
      <c r="D37530" s="2">
        <v>4.7651691217040899E-4</v>
      </c>
      <c r="E37530" s="2">
        <v>1.3452794145343899E-5</v>
      </c>
      <c r="F37530" s="2">
        <v>5.0336426966626096E-4</v>
      </c>
    </row>
    <row r="37531" spans="1:6" x14ac:dyDescent="0.25">
      <c r="A37531" s="1" t="str">
        <f t="shared" si="1355"/>
        <v>47900</v>
      </c>
      <c r="B37531" s="1" t="str">
        <f>"20839"</f>
        <v>20839</v>
      </c>
      <c r="C37531" s="2">
        <v>6.7226394116582302E-5</v>
      </c>
      <c r="D37531" s="2">
        <v>7.9419485361734805E-5</v>
      </c>
      <c r="E37531" s="2">
        <v>2.69055882906879E-5</v>
      </c>
      <c r="F37531" s="2">
        <v>6.6232140745560604E-5</v>
      </c>
    </row>
    <row r="37532" spans="1:6" x14ac:dyDescent="0.25">
      <c r="A37532" s="1" t="str">
        <f t="shared" si="1355"/>
        <v>47900</v>
      </c>
      <c r="B37532" s="1" t="str">
        <f>"20841"</f>
        <v>20841</v>
      </c>
      <c r="C37532" s="2">
        <v>1.1040642418377101E-3</v>
      </c>
      <c r="D37532" s="2">
        <v>1.6301894363724499E-4</v>
      </c>
      <c r="E37532" s="2">
        <v>4.7084779508703901E-5</v>
      </c>
      <c r="F37532" s="2">
        <v>9.8055876664769007E-4</v>
      </c>
    </row>
    <row r="37533" spans="1:6" x14ac:dyDescent="0.25">
      <c r="A37533" s="1" t="str">
        <f t="shared" si="1355"/>
        <v>47900</v>
      </c>
      <c r="B37533" s="1" t="str">
        <f>"20818"</f>
        <v>20818</v>
      </c>
      <c r="C37533" s="2">
        <v>2.5819367850269802E-4</v>
      </c>
      <c r="D37533" s="2">
        <v>2.54978347740306E-4</v>
      </c>
      <c r="E37533" s="2">
        <v>7.3990367799391896E-5</v>
      </c>
      <c r="F37533" s="2">
        <v>2.4909746592598599E-4</v>
      </c>
    </row>
    <row r="37534" spans="1:6" x14ac:dyDescent="0.25">
      <c r="A37534" s="1" t="str">
        <f t="shared" si="1355"/>
        <v>47900</v>
      </c>
      <c r="B37534" s="1" t="str">
        <f>"20747"</f>
        <v>20747</v>
      </c>
      <c r="C37534" s="2">
        <v>6.4522563320245103E-3</v>
      </c>
      <c r="D37534" s="2">
        <v>4.6773896905148004E-3</v>
      </c>
      <c r="E37534" s="2">
        <v>9.6994645787930097E-3</v>
      </c>
      <c r="F37534" s="2">
        <v>6.4710416926479697E-3</v>
      </c>
    </row>
    <row r="37535" spans="1:6" x14ac:dyDescent="0.25">
      <c r="A37535" s="1" t="str">
        <f t="shared" si="1355"/>
        <v>47900</v>
      </c>
      <c r="B37535" s="1" t="str">
        <f>"20769"</f>
        <v>20769</v>
      </c>
      <c r="C37535" s="2">
        <v>9.75890842065992E-4</v>
      </c>
      <c r="D37535" s="2">
        <v>1.2707117657877499E-3</v>
      </c>
      <c r="E37535" s="2">
        <v>6.7263970726719896E-5</v>
      </c>
      <c r="F37535" s="2">
        <v>9.5503516118964499E-4</v>
      </c>
    </row>
    <row r="37536" spans="1:6" x14ac:dyDescent="0.25">
      <c r="A37536" s="1" t="str">
        <f t="shared" si="1355"/>
        <v>47900</v>
      </c>
      <c r="B37536" s="1" t="str">
        <f>"20906"</f>
        <v>20906</v>
      </c>
      <c r="C37536" s="2">
        <v>1.00913466333243E-2</v>
      </c>
      <c r="D37536" s="2">
        <v>2.28226521092143E-3</v>
      </c>
      <c r="E37536" s="2">
        <v>1.0822772889929199E-2</v>
      </c>
      <c r="F37536" s="2">
        <v>9.5228895047580493E-3</v>
      </c>
    </row>
    <row r="37537" spans="1:6" x14ac:dyDescent="0.25">
      <c r="A37537" s="1" t="str">
        <f t="shared" si="1355"/>
        <v>47900</v>
      </c>
      <c r="B37537" s="1" t="str">
        <f>"20886"</f>
        <v>20886</v>
      </c>
      <c r="C37537" s="2">
        <v>5.1867748691486202E-3</v>
      </c>
      <c r="D37537" s="2">
        <v>2.5706833419719402E-3</v>
      </c>
      <c r="E37537" s="2">
        <v>4.31162052358274E-3</v>
      </c>
      <c r="F37537" s="2">
        <v>4.9425331176857898E-3</v>
      </c>
    </row>
    <row r="37538" spans="1:6" x14ac:dyDescent="0.25">
      <c r="A37538" s="1" t="str">
        <f t="shared" si="1355"/>
        <v>47900</v>
      </c>
      <c r="B37538" s="1" t="str">
        <f>"20874"</f>
        <v>20874</v>
      </c>
      <c r="C37538" s="2">
        <v>8.6614929430754908E-3</v>
      </c>
      <c r="D37538" s="2">
        <v>3.6532963266398002E-3</v>
      </c>
      <c r="E37538" s="2">
        <v>9.6792853875749905E-3</v>
      </c>
      <c r="F37538" s="2">
        <v>8.3232800482299207E-3</v>
      </c>
    </row>
    <row r="37539" spans="1:6" x14ac:dyDescent="0.25">
      <c r="A37539" s="1" t="str">
        <f t="shared" si="1355"/>
        <v>47900</v>
      </c>
      <c r="B37539" s="1" t="str">
        <f>"20861"</f>
        <v>20861</v>
      </c>
      <c r="C37539" s="2">
        <v>2.60040557461945E-4</v>
      </c>
      <c r="D37539" s="2">
        <v>1.92278754033673E-4</v>
      </c>
      <c r="E37539" s="2">
        <v>3.36319853633599E-5</v>
      </c>
      <c r="F37539" s="2">
        <v>2.4392812811169901E-4</v>
      </c>
    </row>
    <row r="37540" spans="1:6" x14ac:dyDescent="0.25">
      <c r="A37540" s="1" t="str">
        <f t="shared" si="1355"/>
        <v>47900</v>
      </c>
      <c r="B37540" s="1" t="str">
        <f>"21701"</f>
        <v>21701</v>
      </c>
      <c r="C37540" s="2">
        <v>6.6225385720670603E-3</v>
      </c>
      <c r="D37540" s="2">
        <v>1.16036048086408E-2</v>
      </c>
      <c r="E37540" s="2">
        <v>9.3026071515053595E-3</v>
      </c>
      <c r="F37540" s="2">
        <v>7.1362708526241103E-3</v>
      </c>
    </row>
    <row r="37541" spans="1:6" x14ac:dyDescent="0.25">
      <c r="A37541" s="1" t="str">
        <f t="shared" si="1355"/>
        <v>47900</v>
      </c>
      <c r="B37541" s="1" t="str">
        <f>"21788"</f>
        <v>21788</v>
      </c>
      <c r="C37541" s="2">
        <v>1.7840850746323701E-3</v>
      </c>
      <c r="D37541" s="2">
        <v>1.2748917387015301E-3</v>
      </c>
      <c r="E37541" s="2">
        <v>1.3049210320983599E-3</v>
      </c>
      <c r="F37541" s="2">
        <v>1.7217125757711801E-3</v>
      </c>
    </row>
    <row r="37542" spans="1:6" x14ac:dyDescent="0.25">
      <c r="A37542" s="1" t="str">
        <f t="shared" si="1355"/>
        <v>47900</v>
      </c>
      <c r="B37542" s="1" t="str">
        <f>"21783"</f>
        <v>21783</v>
      </c>
      <c r="C37542" s="2">
        <v>1.8025538642248401E-4</v>
      </c>
      <c r="D37542" s="2">
        <v>2.08998645688775E-5</v>
      </c>
      <c r="E37542" s="2">
        <v>0</v>
      </c>
      <c r="F37542" s="2">
        <v>1.59280221402738E-4</v>
      </c>
    </row>
    <row r="37543" spans="1:6" x14ac:dyDescent="0.25">
      <c r="A37543" s="1" t="str">
        <f t="shared" si="1355"/>
        <v>47900</v>
      </c>
      <c r="B37543" s="1" t="str">
        <f>"21776"</f>
        <v>21776</v>
      </c>
      <c r="C37543" s="2">
        <v>1.0601085226076401E-4</v>
      </c>
      <c r="D37543" s="2">
        <v>0</v>
      </c>
      <c r="E37543" s="2">
        <v>0</v>
      </c>
      <c r="F37543" s="2">
        <v>9.2724997043784897E-5</v>
      </c>
    </row>
    <row r="37544" spans="1:6" x14ac:dyDescent="0.25">
      <c r="A37544" s="1" t="str">
        <f t="shared" si="1355"/>
        <v>47900</v>
      </c>
      <c r="B37544" s="1" t="str">
        <f>"21727"</f>
        <v>21727</v>
      </c>
      <c r="C37544" s="2">
        <v>6.8593084546424903E-4</v>
      </c>
      <c r="D37544" s="2">
        <v>5.7265628918724604E-4</v>
      </c>
      <c r="E37544" s="2">
        <v>2.9596147119756699E-4</v>
      </c>
      <c r="F37544" s="2">
        <v>6.5844440409489004E-4</v>
      </c>
    </row>
    <row r="37545" spans="1:6" x14ac:dyDescent="0.25">
      <c r="A37545" s="1" t="str">
        <f t="shared" si="1355"/>
        <v>47900</v>
      </c>
      <c r="B37545" s="1" t="str">
        <f>"21754"</f>
        <v>21754</v>
      </c>
      <c r="C37545" s="2">
        <v>8.9241191310803804E-4</v>
      </c>
      <c r="D37545" s="2">
        <v>9.0287414937551198E-4</v>
      </c>
      <c r="E37545" s="2">
        <v>1.6815992681679901E-4</v>
      </c>
      <c r="F37545" s="2">
        <v>8.5843316078514401E-4</v>
      </c>
    </row>
    <row r="37546" spans="1:6" x14ac:dyDescent="0.25">
      <c r="A37546" s="1" t="str">
        <f t="shared" si="1355"/>
        <v>47900</v>
      </c>
      <c r="B37546" s="1" t="str">
        <f>"22003"</f>
        <v>22003</v>
      </c>
      <c r="C37546" s="2">
        <v>7.6460788912816203E-3</v>
      </c>
      <c r="D37546" s="2">
        <v>7.4278118677790902E-3</v>
      </c>
      <c r="E37546" s="2">
        <v>8.8855705329997006E-3</v>
      </c>
      <c r="F37546" s="2">
        <v>7.6887438315261097E-3</v>
      </c>
    </row>
    <row r="37547" spans="1:6" x14ac:dyDescent="0.25">
      <c r="A37547" s="1" t="str">
        <f t="shared" si="1355"/>
        <v>47900</v>
      </c>
      <c r="B37547" s="1" t="str">
        <f>"22009"</f>
        <v>22009</v>
      </c>
      <c r="C37547" s="2">
        <v>4.8831479682484504E-4</v>
      </c>
      <c r="D37547" s="2">
        <v>1.3041515490979599E-3</v>
      </c>
      <c r="E37547" s="2">
        <v>6.7263970726719903E-6</v>
      </c>
      <c r="F37547" s="2">
        <v>5.2824170789752005E-4</v>
      </c>
    </row>
    <row r="37548" spans="1:6" x14ac:dyDescent="0.25">
      <c r="A37548" s="1" t="str">
        <f t="shared" si="1355"/>
        <v>47900</v>
      </c>
      <c r="B37548" s="1" t="str">
        <f>"20169"</f>
        <v>20169</v>
      </c>
      <c r="C37548" s="2">
        <v>3.4961418698541301E-3</v>
      </c>
      <c r="D37548" s="2">
        <v>1.1787523616846899E-3</v>
      </c>
      <c r="E37548" s="2">
        <v>2.8250867705222299E-4</v>
      </c>
      <c r="F37548" s="2">
        <v>3.16266549150387E-3</v>
      </c>
    </row>
    <row r="37549" spans="1:6" x14ac:dyDescent="0.25">
      <c r="A37549" s="1" t="str">
        <f t="shared" si="1355"/>
        <v>47900</v>
      </c>
      <c r="B37549" s="1" t="str">
        <f>"20177"</f>
        <v>20177</v>
      </c>
      <c r="C37549" s="2">
        <v>4.3807968913333299E-4</v>
      </c>
      <c r="D37549" s="2">
        <v>2.3157049942316302E-3</v>
      </c>
      <c r="E37549" s="2">
        <v>1.3452794145343899E-5</v>
      </c>
      <c r="F37549" s="2">
        <v>5.6281165453056904E-4</v>
      </c>
    </row>
    <row r="37550" spans="1:6" x14ac:dyDescent="0.25">
      <c r="A37550" s="1" t="str">
        <f t="shared" si="1355"/>
        <v>47900</v>
      </c>
      <c r="B37550" s="1" t="str">
        <f>"20188"</f>
        <v>20188</v>
      </c>
      <c r="C37550" s="2">
        <v>3.2985258212147201E-4</v>
      </c>
      <c r="D37550" s="2">
        <v>1.6510893009413199E-3</v>
      </c>
      <c r="E37550" s="2">
        <v>6.7263970726719903E-6</v>
      </c>
      <c r="F37550" s="2">
        <v>4.1645477766354897E-4</v>
      </c>
    </row>
    <row r="37551" spans="1:6" x14ac:dyDescent="0.25">
      <c r="A37551" s="1" t="str">
        <f t="shared" si="1355"/>
        <v>47900</v>
      </c>
      <c r="B37551" s="1" t="str">
        <f>"20180"</f>
        <v>20180</v>
      </c>
      <c r="C37551" s="2">
        <v>1.06454103210983E-3</v>
      </c>
      <c r="D37551" s="2">
        <v>1.9645872694744901E-4</v>
      </c>
      <c r="E37551" s="2">
        <v>1.3452794145343901E-4</v>
      </c>
      <c r="F37551" s="2">
        <v>9.5277357589589398E-4</v>
      </c>
    </row>
    <row r="37552" spans="1:6" x14ac:dyDescent="0.25">
      <c r="A37552" s="1" t="str">
        <f t="shared" si="1355"/>
        <v>47900</v>
      </c>
      <c r="B37552" s="1" t="str">
        <f>"20132"</f>
        <v>20132</v>
      </c>
      <c r="C37552" s="2">
        <v>2.2243810185168002E-3</v>
      </c>
      <c r="D37552" s="2">
        <v>2.1735859151632599E-3</v>
      </c>
      <c r="E37552" s="2">
        <v>7.8698845750262299E-4</v>
      </c>
      <c r="F37552" s="2">
        <v>2.1514137815838402E-3</v>
      </c>
    </row>
    <row r="37553" spans="1:6" x14ac:dyDescent="0.25">
      <c r="A37553" s="1" t="str">
        <f t="shared" si="1355"/>
        <v>47900</v>
      </c>
      <c r="B37553" s="1" t="str">
        <f>"20129"</f>
        <v>20129</v>
      </c>
      <c r="C37553" s="2">
        <v>8.4956432125351294E-5</v>
      </c>
      <c r="D37553" s="2">
        <v>3.3439783310204097E-5</v>
      </c>
      <c r="E37553" s="2">
        <v>6.7263970726719903E-6</v>
      </c>
      <c r="F37553" s="2">
        <v>7.7216983600921903E-5</v>
      </c>
    </row>
    <row r="37554" spans="1:6" x14ac:dyDescent="0.25">
      <c r="A37554" s="1" t="str">
        <f t="shared" si="1355"/>
        <v>47900</v>
      </c>
      <c r="B37554" s="1" t="str">
        <f>"20610"</f>
        <v>20610</v>
      </c>
      <c r="C37554" s="2">
        <v>0</v>
      </c>
      <c r="D37554" s="2">
        <v>0</v>
      </c>
      <c r="E37554" s="2">
        <v>6.7263970726719903E-6</v>
      </c>
      <c r="F37554" s="2">
        <v>3.2308361339297801E-7</v>
      </c>
    </row>
    <row r="37555" spans="1:6" x14ac:dyDescent="0.25">
      <c r="A37555" s="1" t="str">
        <f t="shared" si="1355"/>
        <v>47900</v>
      </c>
      <c r="B37555" s="1" t="str">
        <f>"20212"</f>
        <v>20212</v>
      </c>
      <c r="C37555" s="2">
        <v>0</v>
      </c>
      <c r="D37555" s="2">
        <v>4.1799729137755096E-6</v>
      </c>
      <c r="E37555" s="2">
        <v>6.7263970726719903E-6</v>
      </c>
      <c r="F37555" s="2">
        <v>6.4616722678595697E-7</v>
      </c>
    </row>
    <row r="37556" spans="1:6" x14ac:dyDescent="0.25">
      <c r="A37556" s="1" t="str">
        <f t="shared" si="1355"/>
        <v>47900</v>
      </c>
      <c r="B37556" s="1" t="str">
        <f>"22731"</f>
        <v>22731</v>
      </c>
      <c r="C37556" s="2">
        <v>4.1739464478976902E-5</v>
      </c>
      <c r="D37556" s="2">
        <v>1.2539918741326501E-5</v>
      </c>
      <c r="E37556" s="2">
        <v>0</v>
      </c>
      <c r="F37556" s="2">
        <v>3.7477699153585497E-5</v>
      </c>
    </row>
    <row r="37557" spans="1:6" x14ac:dyDescent="0.25">
      <c r="A37557" s="1" t="str">
        <f t="shared" si="1355"/>
        <v>47900</v>
      </c>
      <c r="B37557" s="1" t="str">
        <f>"22972"</f>
        <v>22972</v>
      </c>
      <c r="C37557" s="2">
        <v>5.5406368777402998E-6</v>
      </c>
      <c r="D37557" s="2">
        <v>0</v>
      </c>
      <c r="E37557" s="2">
        <v>0</v>
      </c>
      <c r="F37557" s="2">
        <v>4.8462542008946798E-6</v>
      </c>
    </row>
    <row r="37558" spans="1:6" x14ac:dyDescent="0.25">
      <c r="A37558" s="1" t="str">
        <f t="shared" si="1355"/>
        <v>47900</v>
      </c>
      <c r="B37558" s="1" t="str">
        <f>"20565"</f>
        <v>20565</v>
      </c>
      <c r="C37558" s="2">
        <v>0</v>
      </c>
      <c r="D37558" s="2">
        <v>4.1799729137755096E-6</v>
      </c>
      <c r="E37558" s="2">
        <v>0</v>
      </c>
      <c r="F37558" s="2">
        <v>3.2308361339297801E-7</v>
      </c>
    </row>
    <row r="37559" spans="1:6" x14ac:dyDescent="0.25">
      <c r="A37559" s="1" t="str">
        <f t="shared" si="1355"/>
        <v>47900</v>
      </c>
      <c r="B37559" s="1" t="str">
        <f>"20883"</f>
        <v>20883</v>
      </c>
      <c r="C37559" s="2">
        <v>2.3713925836728501E-4</v>
      </c>
      <c r="D37559" s="2">
        <v>9.2795398685816498E-4</v>
      </c>
      <c r="E37559" s="2">
        <v>1.3452794145343899E-5</v>
      </c>
      <c r="F37559" s="2">
        <v>2.7979040919831898E-4</v>
      </c>
    </row>
    <row r="37560" spans="1:6" x14ac:dyDescent="0.25">
      <c r="A37560" s="1" t="str">
        <f t="shared" si="1355"/>
        <v>47900</v>
      </c>
      <c r="B37560" s="1" t="str">
        <f>"20168"</f>
        <v>20168</v>
      </c>
      <c r="C37560" s="2">
        <v>2.4563490157982002E-4</v>
      </c>
      <c r="D37560" s="2">
        <v>1.3083315220117301E-3</v>
      </c>
      <c r="E37560" s="2">
        <v>1.3452794145343899E-5</v>
      </c>
      <c r="F37560" s="2">
        <v>3.1662194112511897E-4</v>
      </c>
    </row>
    <row r="37561" spans="1:6" x14ac:dyDescent="0.25">
      <c r="A37561" s="1" t="str">
        <f t="shared" si="1355"/>
        <v>47900</v>
      </c>
      <c r="B37561" s="1" t="str">
        <f>"20318"</f>
        <v>20318</v>
      </c>
      <c r="C37561" s="2">
        <v>0</v>
      </c>
      <c r="D37561" s="2">
        <v>4.1799729137755096E-6</v>
      </c>
      <c r="E37561" s="2">
        <v>1.5470713267145501E-4</v>
      </c>
      <c r="F37561" s="2">
        <v>7.7540067214314904E-6</v>
      </c>
    </row>
    <row r="37562" spans="1:6" x14ac:dyDescent="0.25">
      <c r="A37562" s="1" t="str">
        <f t="shared" si="1355"/>
        <v>47900</v>
      </c>
      <c r="B37562" s="1" t="str">
        <f>"20612"</f>
        <v>20612</v>
      </c>
      <c r="C37562" s="2">
        <v>1.51444074658235E-5</v>
      </c>
      <c r="D37562" s="2">
        <v>1.6719891655102001E-5</v>
      </c>
      <c r="E37562" s="2">
        <v>6.7263970726719903E-6</v>
      </c>
      <c r="F37562" s="2">
        <v>1.4861846216077E-5</v>
      </c>
    </row>
    <row r="37563" spans="1:6" x14ac:dyDescent="0.25">
      <c r="A37563" s="1" t="str">
        <f t="shared" si="1355"/>
        <v>47900</v>
      </c>
      <c r="B37563" s="1" t="str">
        <f>"20520"</f>
        <v>20520</v>
      </c>
      <c r="C37563" s="2">
        <v>0</v>
      </c>
      <c r="D37563" s="2">
        <v>2.7169823939540802E-4</v>
      </c>
      <c r="E37563" s="2">
        <v>1.3452794145343899E-5</v>
      </c>
      <c r="F37563" s="2">
        <v>2.1646602097329499E-5</v>
      </c>
    </row>
    <row r="37564" spans="1:6" x14ac:dyDescent="0.25">
      <c r="A37564" s="1" t="str">
        <f t="shared" si="1355"/>
        <v>47900</v>
      </c>
      <c r="B37564" s="1" t="str">
        <f>"20528"</f>
        <v>20528</v>
      </c>
      <c r="C37564" s="2">
        <v>0</v>
      </c>
      <c r="D37564" s="2">
        <v>4.6815696634285801E-4</v>
      </c>
      <c r="E37564" s="2">
        <v>3.36319853633599E-5</v>
      </c>
      <c r="F37564" s="2">
        <v>3.7800782766978498E-5</v>
      </c>
    </row>
    <row r="37565" spans="1:6" x14ac:dyDescent="0.25">
      <c r="A37565" s="1" t="str">
        <f t="shared" si="1355"/>
        <v>47900</v>
      </c>
      <c r="B37565" s="1" t="str">
        <f>"20775"</f>
        <v>20775</v>
      </c>
      <c r="C37565" s="2">
        <v>2.3972488891023001E-4</v>
      </c>
      <c r="D37565" s="2">
        <v>8.2763463692755198E-4</v>
      </c>
      <c r="E37565" s="2">
        <v>1.3452794145343899E-5</v>
      </c>
      <c r="F37565" s="2">
        <v>2.74297987770639E-4</v>
      </c>
    </row>
    <row r="37566" spans="1:6" x14ac:dyDescent="0.25">
      <c r="A37566" s="1" t="str">
        <f t="shared" si="1355"/>
        <v>47900</v>
      </c>
      <c r="B37566" s="1" t="str">
        <f>"22948"</f>
        <v>22948</v>
      </c>
      <c r="C37566" s="2">
        <v>6.0208254071444598E-5</v>
      </c>
      <c r="D37566" s="2">
        <v>1.2539918741326501E-5</v>
      </c>
      <c r="E37566" s="2">
        <v>1.3452794145343899E-5</v>
      </c>
      <c r="F37566" s="2">
        <v>5.4278047050020399E-5</v>
      </c>
    </row>
    <row r="37567" spans="1:6" x14ac:dyDescent="0.25">
      <c r="A37567" s="1" t="str">
        <f t="shared" si="1355"/>
        <v>47900</v>
      </c>
      <c r="B37567" s="1" t="str">
        <f>"20011"</f>
        <v>20011</v>
      </c>
      <c r="C37567" s="2">
        <v>1.0141212365224E-2</v>
      </c>
      <c r="D37567" s="2">
        <v>4.8320486883244897E-3</v>
      </c>
      <c r="E37567" s="2">
        <v>1.56186940027443E-2</v>
      </c>
      <c r="F37567" s="2">
        <v>9.9939454130850095E-3</v>
      </c>
    </row>
    <row r="37568" spans="1:6" x14ac:dyDescent="0.25">
      <c r="A37568" s="1" t="str">
        <f t="shared" si="1355"/>
        <v>47900</v>
      </c>
      <c r="B37568" s="1" t="str">
        <f>"20013"</f>
        <v>20013</v>
      </c>
      <c r="C37568" s="2">
        <v>1.3855285952269201E-3</v>
      </c>
      <c r="D37568" s="2">
        <v>2.2948051296627502E-3</v>
      </c>
      <c r="E37568" s="2">
        <v>1.3452794145343899E-5</v>
      </c>
      <c r="F37568" s="2">
        <v>1.3899057048165899E-3</v>
      </c>
    </row>
    <row r="37569" spans="1:6" x14ac:dyDescent="0.25">
      <c r="A37569" s="1" t="str">
        <f t="shared" si="1355"/>
        <v>47900</v>
      </c>
      <c r="B37569" s="1" t="str">
        <f>"20049"</f>
        <v>20049</v>
      </c>
      <c r="C37569" s="2">
        <v>0</v>
      </c>
      <c r="D37569" s="2">
        <v>4.1799729137755096E-6</v>
      </c>
      <c r="E37569" s="2">
        <v>0</v>
      </c>
      <c r="F37569" s="2">
        <v>3.2308361339297801E-7</v>
      </c>
    </row>
    <row r="37570" spans="1:6" x14ac:dyDescent="0.25">
      <c r="A37570" s="1" t="str">
        <f t="shared" si="1355"/>
        <v>47900</v>
      </c>
      <c r="B37570" s="1" t="str">
        <f>"21759"</f>
        <v>21759</v>
      </c>
      <c r="C37570" s="2">
        <v>0</v>
      </c>
      <c r="D37570" s="2">
        <v>4.1799729137755096E-6</v>
      </c>
      <c r="E37570" s="2">
        <v>0</v>
      </c>
      <c r="F37570" s="2">
        <v>3.2308361339297801E-7</v>
      </c>
    </row>
    <row r="37571" spans="1:6" x14ac:dyDescent="0.25">
      <c r="A37571" s="1" t="str">
        <f t="shared" si="1355"/>
        <v>47900</v>
      </c>
      <c r="B37571" s="1" t="str">
        <f>"22471"</f>
        <v>22471</v>
      </c>
      <c r="C37571" s="2">
        <v>0</v>
      </c>
      <c r="D37571" s="2">
        <v>0</v>
      </c>
      <c r="E37571" s="2">
        <v>6.7263970726719903E-6</v>
      </c>
      <c r="F37571" s="2">
        <v>3.2308361339297801E-7</v>
      </c>
    </row>
    <row r="37572" spans="1:6" x14ac:dyDescent="0.25">
      <c r="A37572" s="1" t="str">
        <f t="shared" ref="A37572:A37635" si="1356">"47900"</f>
        <v>47900</v>
      </c>
      <c r="B37572" s="1" t="str">
        <f>"22212"</f>
        <v>22212</v>
      </c>
      <c r="C37572" s="2">
        <v>0</v>
      </c>
      <c r="D37572" s="2">
        <v>4.1799729137755096E-6</v>
      </c>
      <c r="E37572" s="2">
        <v>0</v>
      </c>
      <c r="F37572" s="2">
        <v>3.2308361339297801E-7</v>
      </c>
    </row>
    <row r="37573" spans="1:6" x14ac:dyDescent="0.25">
      <c r="A37573" s="1" t="str">
        <f t="shared" si="1356"/>
        <v>47900</v>
      </c>
      <c r="B37573" s="1" t="str">
        <f>"20526"</f>
        <v>20526</v>
      </c>
      <c r="C37573" s="2">
        <v>0</v>
      </c>
      <c r="D37573" s="2">
        <v>4.1799729137755096E-6</v>
      </c>
      <c r="E37573" s="2">
        <v>0</v>
      </c>
      <c r="F37573" s="2">
        <v>3.2308361339297801E-7</v>
      </c>
    </row>
    <row r="37574" spans="1:6" x14ac:dyDescent="0.25">
      <c r="A37574" s="1" t="str">
        <f t="shared" si="1356"/>
        <v>47900</v>
      </c>
      <c r="B37574" s="1" t="str">
        <f>"20063"</f>
        <v>20063</v>
      </c>
      <c r="C37574" s="2">
        <v>0</v>
      </c>
      <c r="D37574" s="2">
        <v>4.1799729137755096E-6</v>
      </c>
      <c r="E37574" s="2">
        <v>0</v>
      </c>
      <c r="F37574" s="2">
        <v>3.2308361339297801E-7</v>
      </c>
    </row>
    <row r="37575" spans="1:6" x14ac:dyDescent="0.25">
      <c r="A37575" s="1" t="str">
        <f t="shared" si="1356"/>
        <v>47900</v>
      </c>
      <c r="B37575" s="1" t="str">
        <f>"22160"</f>
        <v>22160</v>
      </c>
      <c r="C37575" s="2">
        <v>0</v>
      </c>
      <c r="D37575" s="2">
        <v>4.1799729137755096E-6</v>
      </c>
      <c r="E37575" s="2">
        <v>6.7263970726719903E-6</v>
      </c>
      <c r="F37575" s="2">
        <v>6.4616722678595697E-7</v>
      </c>
    </row>
    <row r="37576" spans="1:6" x14ac:dyDescent="0.25">
      <c r="A37576" s="1" t="str">
        <f t="shared" si="1356"/>
        <v>47900</v>
      </c>
      <c r="B37576" s="1" t="str">
        <f>"20422"</f>
        <v>20422</v>
      </c>
      <c r="C37576" s="2">
        <v>0</v>
      </c>
      <c r="D37576" s="2">
        <v>8.3599458275510293E-6</v>
      </c>
      <c r="E37576" s="2">
        <v>0</v>
      </c>
      <c r="F37576" s="2">
        <v>6.4616722678595697E-7</v>
      </c>
    </row>
    <row r="37577" spans="1:6" x14ac:dyDescent="0.25">
      <c r="A37577" s="1" t="str">
        <f t="shared" si="1356"/>
        <v>47900</v>
      </c>
      <c r="B37577" s="1" t="str">
        <f>"20103"</f>
        <v>20103</v>
      </c>
      <c r="C37577" s="2">
        <v>0</v>
      </c>
      <c r="D37577" s="2">
        <v>0</v>
      </c>
      <c r="E37577" s="2">
        <v>6.7263970726719903E-6</v>
      </c>
      <c r="F37577" s="2">
        <v>3.2308361339297801E-7</v>
      </c>
    </row>
    <row r="37578" spans="1:6" x14ac:dyDescent="0.25">
      <c r="A37578" s="1" t="str">
        <f t="shared" si="1356"/>
        <v>47900</v>
      </c>
      <c r="B37578" s="1" t="str">
        <f>"20160"</f>
        <v>20160</v>
      </c>
      <c r="C37578" s="2">
        <v>0</v>
      </c>
      <c r="D37578" s="2">
        <v>0</v>
      </c>
      <c r="E37578" s="2">
        <v>6.7263970726719903E-6</v>
      </c>
      <c r="F37578" s="2">
        <v>3.2308361339297801E-7</v>
      </c>
    </row>
    <row r="37579" spans="1:6" x14ac:dyDescent="0.25">
      <c r="A37579" s="1" t="str">
        <f t="shared" si="1356"/>
        <v>47900</v>
      </c>
      <c r="B37579" s="1" t="str">
        <f>"20241"</f>
        <v>20241</v>
      </c>
      <c r="C37579" s="2">
        <v>0</v>
      </c>
      <c r="D37579" s="2">
        <v>4.1799729137755096E-6</v>
      </c>
      <c r="E37579" s="2">
        <v>0</v>
      </c>
      <c r="F37579" s="2">
        <v>3.2308361339297801E-7</v>
      </c>
    </row>
    <row r="37580" spans="1:6" x14ac:dyDescent="0.25">
      <c r="A37580" s="1" t="str">
        <f t="shared" si="1356"/>
        <v>47900</v>
      </c>
      <c r="B37580" s="1" t="str">
        <f>"20217"</f>
        <v>20217</v>
      </c>
      <c r="C37580" s="2">
        <v>0</v>
      </c>
      <c r="D37580" s="2">
        <v>4.1799729137755096E-6</v>
      </c>
      <c r="E37580" s="2">
        <v>0</v>
      </c>
      <c r="F37580" s="2">
        <v>3.2308361339297801E-7</v>
      </c>
    </row>
    <row r="37581" spans="1:6" x14ac:dyDescent="0.25">
      <c r="A37581" s="1" t="str">
        <f t="shared" si="1356"/>
        <v>47900</v>
      </c>
      <c r="B37581" s="1" t="str">
        <f>"20505"</f>
        <v>20505</v>
      </c>
      <c r="C37581" s="2">
        <v>0</v>
      </c>
      <c r="D37581" s="2">
        <v>8.3599458275510293E-6</v>
      </c>
      <c r="E37581" s="2">
        <v>0</v>
      </c>
      <c r="F37581" s="2">
        <v>6.4616722678595697E-7</v>
      </c>
    </row>
    <row r="37582" spans="1:6" x14ac:dyDescent="0.25">
      <c r="A37582" s="1" t="str">
        <f t="shared" si="1356"/>
        <v>47900</v>
      </c>
      <c r="B37582" s="1" t="str">
        <f>"20218"</f>
        <v>20218</v>
      </c>
      <c r="C37582" s="2">
        <v>0</v>
      </c>
      <c r="D37582" s="2">
        <v>4.1799729137755096E-6</v>
      </c>
      <c r="E37582" s="2">
        <v>0</v>
      </c>
      <c r="F37582" s="2">
        <v>3.2308361339297801E-7</v>
      </c>
    </row>
    <row r="37583" spans="1:6" x14ac:dyDescent="0.25">
      <c r="A37583" s="1" t="str">
        <f t="shared" si="1356"/>
        <v>47900</v>
      </c>
      <c r="B37583" s="1" t="str">
        <f>"22158"</f>
        <v>22158</v>
      </c>
      <c r="C37583" s="2">
        <v>0</v>
      </c>
      <c r="D37583" s="2">
        <v>4.1799729137755096E-6</v>
      </c>
      <c r="E37583" s="2">
        <v>0</v>
      </c>
      <c r="F37583" s="2">
        <v>3.2308361339297801E-7</v>
      </c>
    </row>
    <row r="37584" spans="1:6" x14ac:dyDescent="0.25">
      <c r="A37584" s="1" t="str">
        <f t="shared" si="1356"/>
        <v>47900</v>
      </c>
      <c r="B37584" s="1" t="str">
        <f>"20406"</f>
        <v>20406</v>
      </c>
      <c r="C37584" s="2">
        <v>0</v>
      </c>
      <c r="D37584" s="2">
        <v>4.1799729137755096E-6</v>
      </c>
      <c r="E37584" s="2">
        <v>0</v>
      </c>
      <c r="F37584" s="2">
        <v>3.2308361339297801E-7</v>
      </c>
    </row>
    <row r="37585" spans="1:6" x14ac:dyDescent="0.25">
      <c r="A37585" s="1" t="str">
        <f t="shared" si="1356"/>
        <v>47900</v>
      </c>
      <c r="B37585" s="1" t="str">
        <f>"20059"</f>
        <v>20059</v>
      </c>
      <c r="C37585" s="2">
        <v>0</v>
      </c>
      <c r="D37585" s="2">
        <v>1.7973883529234699E-4</v>
      </c>
      <c r="E37585" s="2">
        <v>0</v>
      </c>
      <c r="F37585" s="2">
        <v>1.3892595375898E-5</v>
      </c>
    </row>
    <row r="37586" spans="1:6" x14ac:dyDescent="0.25">
      <c r="A37586" s="1" t="str">
        <f t="shared" si="1356"/>
        <v>47900</v>
      </c>
      <c r="B37586" s="1" t="str">
        <f>"20260"</f>
        <v>20260</v>
      </c>
      <c r="C37586" s="2">
        <v>0</v>
      </c>
      <c r="D37586" s="2">
        <v>2.50798374826531E-5</v>
      </c>
      <c r="E37586" s="2">
        <v>2.69055882906879E-5</v>
      </c>
      <c r="F37586" s="2">
        <v>3.2308361339297802E-6</v>
      </c>
    </row>
    <row r="37587" spans="1:6" x14ac:dyDescent="0.25">
      <c r="A37587" s="1" t="str">
        <f t="shared" si="1356"/>
        <v>47900</v>
      </c>
      <c r="B37587" s="1" t="str">
        <f>"20070"</f>
        <v>20070</v>
      </c>
      <c r="C37587" s="2">
        <v>0</v>
      </c>
      <c r="D37587" s="2">
        <v>4.1799729137755096E-6</v>
      </c>
      <c r="E37587" s="2">
        <v>0</v>
      </c>
      <c r="F37587" s="2">
        <v>3.2308361339297801E-7</v>
      </c>
    </row>
    <row r="37588" spans="1:6" x14ac:dyDescent="0.25">
      <c r="A37588" s="1" t="str">
        <f t="shared" si="1356"/>
        <v>47900</v>
      </c>
      <c r="B37588" s="1" t="str">
        <f>"20433"</f>
        <v>20433</v>
      </c>
      <c r="C37588" s="2">
        <v>0</v>
      </c>
      <c r="D37588" s="2">
        <v>1.6719891655102001E-5</v>
      </c>
      <c r="E37588" s="2">
        <v>0</v>
      </c>
      <c r="F37588" s="2">
        <v>1.2923344535719099E-6</v>
      </c>
    </row>
    <row r="37589" spans="1:6" x14ac:dyDescent="0.25">
      <c r="A37589" s="1" t="str">
        <f t="shared" si="1356"/>
        <v>47900</v>
      </c>
      <c r="B37589" s="1" t="str">
        <f>"20531"</f>
        <v>20531</v>
      </c>
      <c r="C37589" s="2">
        <v>0</v>
      </c>
      <c r="D37589" s="2">
        <v>4.1799729137755096E-6</v>
      </c>
      <c r="E37589" s="2">
        <v>0</v>
      </c>
      <c r="F37589" s="2">
        <v>3.2308361339297801E-7</v>
      </c>
    </row>
    <row r="37590" spans="1:6" x14ac:dyDescent="0.25">
      <c r="A37590" s="1" t="str">
        <f t="shared" si="1356"/>
        <v>47900</v>
      </c>
      <c r="B37590" s="1" t="str">
        <f>"22135"</f>
        <v>22135</v>
      </c>
      <c r="C37590" s="2">
        <v>0</v>
      </c>
      <c r="D37590" s="2">
        <v>1.2539918741326501E-5</v>
      </c>
      <c r="E37590" s="2">
        <v>0</v>
      </c>
      <c r="F37590" s="2">
        <v>9.6925084017893608E-7</v>
      </c>
    </row>
    <row r="37591" spans="1:6" x14ac:dyDescent="0.25">
      <c r="A37591" s="1" t="str">
        <f t="shared" si="1356"/>
        <v>47900</v>
      </c>
      <c r="B37591" s="1" t="str">
        <f>"22567"</f>
        <v>22567</v>
      </c>
      <c r="C37591" s="2">
        <v>1.84687895924676E-6</v>
      </c>
      <c r="D37591" s="2">
        <v>0</v>
      </c>
      <c r="E37591" s="2">
        <v>0</v>
      </c>
      <c r="F37591" s="2">
        <v>1.6154180669648901E-6</v>
      </c>
    </row>
    <row r="37592" spans="1:6" x14ac:dyDescent="0.25">
      <c r="A37592" s="1" t="str">
        <f t="shared" si="1356"/>
        <v>47900</v>
      </c>
      <c r="B37592" s="1" t="str">
        <f>"21714"</f>
        <v>21714</v>
      </c>
      <c r="C37592" s="2">
        <v>2.1534608664817301E-4</v>
      </c>
      <c r="D37592" s="2">
        <v>2.6751826648163299E-4</v>
      </c>
      <c r="E37592" s="2">
        <v>1.3452794145343899E-5</v>
      </c>
      <c r="F37592" s="2">
        <v>2.0968126509204299E-4</v>
      </c>
    </row>
    <row r="37593" spans="1:6" x14ac:dyDescent="0.25">
      <c r="A37593" s="1" t="str">
        <f t="shared" si="1356"/>
        <v>47900</v>
      </c>
      <c r="B37593" s="1" t="str">
        <f>"22081"</f>
        <v>22081</v>
      </c>
      <c r="C37593" s="2">
        <v>0</v>
      </c>
      <c r="D37593" s="2">
        <v>4.1799729137755096E-6</v>
      </c>
      <c r="E37593" s="2">
        <v>2.69055882906879E-5</v>
      </c>
      <c r="F37593" s="2">
        <v>1.6154180669648901E-6</v>
      </c>
    </row>
    <row r="37594" spans="1:6" x14ac:dyDescent="0.25">
      <c r="A37594" s="1" t="str">
        <f t="shared" si="1356"/>
        <v>47900</v>
      </c>
      <c r="B37594" s="1" t="str">
        <f>"21705"</f>
        <v>21705</v>
      </c>
      <c r="C37594" s="2">
        <v>4.0298898890764399E-4</v>
      </c>
      <c r="D37594" s="2">
        <v>2.4829039107826501E-3</v>
      </c>
      <c r="E37594" s="2">
        <v>1.3452794145343899E-5</v>
      </c>
      <c r="F37594" s="2">
        <v>5.4504205579395499E-4</v>
      </c>
    </row>
    <row r="37595" spans="1:6" x14ac:dyDescent="0.25">
      <c r="A37595" s="1" t="str">
        <f t="shared" si="1356"/>
        <v>47900</v>
      </c>
      <c r="B37595" s="1" t="str">
        <f>"20576"</f>
        <v>20576</v>
      </c>
      <c r="C37595" s="2">
        <v>0</v>
      </c>
      <c r="D37595" s="2">
        <v>4.1799729137755096E-6</v>
      </c>
      <c r="E37595" s="2">
        <v>0</v>
      </c>
      <c r="F37595" s="2">
        <v>3.2308361339297801E-7</v>
      </c>
    </row>
    <row r="37596" spans="1:6" x14ac:dyDescent="0.25">
      <c r="A37596" s="1" t="str">
        <f t="shared" si="1356"/>
        <v>47900</v>
      </c>
      <c r="B37596" s="1" t="str">
        <f>"20429"</f>
        <v>20429</v>
      </c>
      <c r="C37596" s="2">
        <v>0</v>
      </c>
      <c r="D37596" s="2">
        <v>4.1799729137755096E-6</v>
      </c>
      <c r="E37596" s="2">
        <v>0</v>
      </c>
      <c r="F37596" s="2">
        <v>3.2308361339297801E-7</v>
      </c>
    </row>
    <row r="37597" spans="1:6" x14ac:dyDescent="0.25">
      <c r="A37597" s="1" t="str">
        <f t="shared" si="1356"/>
        <v>47900</v>
      </c>
      <c r="B37597" s="1" t="str">
        <f>"20043"</f>
        <v>20043</v>
      </c>
      <c r="C37597" s="2">
        <v>1.38515921943507E-4</v>
      </c>
      <c r="D37597" s="2">
        <v>4.5979702051530703E-4</v>
      </c>
      <c r="E37597" s="2">
        <v>1.3452794145343899E-5</v>
      </c>
      <c r="F37597" s="2">
        <v>1.5734171972238E-4</v>
      </c>
    </row>
    <row r="37598" spans="1:6" x14ac:dyDescent="0.25">
      <c r="A37598" s="1" t="str">
        <f t="shared" si="1356"/>
        <v>47900</v>
      </c>
      <c r="B37598" s="1" t="str">
        <f>"20848"</f>
        <v>20848</v>
      </c>
      <c r="C37598" s="2">
        <v>3.0436565248386698E-4</v>
      </c>
      <c r="D37598" s="2">
        <v>7.35675232824491E-4</v>
      </c>
      <c r="E37598" s="2">
        <v>1.3452794145343899E-5</v>
      </c>
      <c r="F37598" s="2">
        <v>3.2372978061976401E-4</v>
      </c>
    </row>
    <row r="37599" spans="1:6" x14ac:dyDescent="0.25">
      <c r="A37599" s="1" t="str">
        <f t="shared" si="1356"/>
        <v>47900</v>
      </c>
      <c r="B37599" s="1" t="str">
        <f>"20891"</f>
        <v>20891</v>
      </c>
      <c r="C37599" s="2">
        <v>7.6830164704665496E-5</v>
      </c>
      <c r="D37599" s="2">
        <v>1.46299051982143E-4</v>
      </c>
      <c r="E37599" s="2">
        <v>1.3452794145343899E-5</v>
      </c>
      <c r="F37599" s="2">
        <v>7.9155485281279798E-5</v>
      </c>
    </row>
    <row r="37600" spans="1:6" x14ac:dyDescent="0.25">
      <c r="A37600" s="1" t="str">
        <f t="shared" si="1356"/>
        <v>47900</v>
      </c>
      <c r="B37600" s="1" t="str">
        <f>"22038"</f>
        <v>22038</v>
      </c>
      <c r="C37600" s="2">
        <v>5.9506440066930803E-4</v>
      </c>
      <c r="D37600" s="2">
        <v>1.5047902489591801E-3</v>
      </c>
      <c r="E37600" s="2">
        <v>1.3452794145343899E-5</v>
      </c>
      <c r="F37600" s="2">
        <v>6.3744396922434696E-4</v>
      </c>
    </row>
    <row r="37601" spans="1:6" x14ac:dyDescent="0.25">
      <c r="A37601" s="1" t="str">
        <f t="shared" si="1356"/>
        <v>47900</v>
      </c>
      <c r="B37601" s="1" t="str">
        <f>"22332"</f>
        <v>22332</v>
      </c>
      <c r="C37601" s="2">
        <v>0</v>
      </c>
      <c r="D37601" s="2">
        <v>4.1799729137755096E-6</v>
      </c>
      <c r="E37601" s="2">
        <v>3.2286705948825499E-4</v>
      </c>
      <c r="F37601" s="2">
        <v>1.58310970562559E-5</v>
      </c>
    </row>
    <row r="37602" spans="1:6" x14ac:dyDescent="0.25">
      <c r="A37602" s="1" t="str">
        <f t="shared" si="1356"/>
        <v>47900</v>
      </c>
      <c r="B37602" s="1" t="str">
        <f>"20122"</f>
        <v>20122</v>
      </c>
      <c r="C37602" s="2">
        <v>4.69846007232378E-4</v>
      </c>
      <c r="D37602" s="2">
        <v>1.80992827166479E-3</v>
      </c>
      <c r="E37602" s="2">
        <v>1.3452794145343899E-5</v>
      </c>
      <c r="F37602" s="2">
        <v>5.5150372806181402E-4</v>
      </c>
    </row>
    <row r="37603" spans="1:6" x14ac:dyDescent="0.25">
      <c r="A37603" s="1" t="str">
        <f t="shared" si="1356"/>
        <v>47900</v>
      </c>
      <c r="B37603" s="1" t="str">
        <f>"22191"</f>
        <v>22191</v>
      </c>
      <c r="C37603" s="2">
        <v>9.4560202713434502E-3</v>
      </c>
      <c r="D37603" s="2">
        <v>5.8436021334581697E-3</v>
      </c>
      <c r="E37603" s="2">
        <v>7.4326687653025504E-3</v>
      </c>
      <c r="F37603" s="2">
        <v>9.0796187871828807E-3</v>
      </c>
    </row>
    <row r="37604" spans="1:6" x14ac:dyDescent="0.25">
      <c r="A37604" s="1" t="str">
        <f t="shared" si="1356"/>
        <v>47900</v>
      </c>
      <c r="B37604" s="1" t="str">
        <f>"22193"</f>
        <v>22193</v>
      </c>
      <c r="C37604" s="2">
        <v>9.0833200973674498E-3</v>
      </c>
      <c r="D37604" s="2">
        <v>2.51216372117908E-3</v>
      </c>
      <c r="E37604" s="2">
        <v>2.21298463690908E-3</v>
      </c>
      <c r="F37604" s="2">
        <v>8.24541689740221E-3</v>
      </c>
    </row>
    <row r="37605" spans="1:6" x14ac:dyDescent="0.25">
      <c r="A37605" s="1" t="str">
        <f t="shared" si="1356"/>
        <v>47900</v>
      </c>
      <c r="B37605" s="1" t="str">
        <f>"22172"</f>
        <v>22172</v>
      </c>
      <c r="C37605" s="2">
        <v>1.5739102490700901E-3</v>
      </c>
      <c r="D37605" s="2">
        <v>5.6011637044591899E-4</v>
      </c>
      <c r="E37605" s="2">
        <v>1.29146823795302E-3</v>
      </c>
      <c r="F37605" s="2">
        <v>1.48198453463359E-3</v>
      </c>
    </row>
    <row r="37606" spans="1:6" x14ac:dyDescent="0.25">
      <c r="A37606" s="1" t="str">
        <f t="shared" si="1356"/>
        <v>47900</v>
      </c>
      <c r="B37606" s="1" t="str">
        <f>"22195"</f>
        <v>22195</v>
      </c>
      <c r="C37606" s="2">
        <v>6.32740731437943E-4</v>
      </c>
      <c r="D37606" s="2">
        <v>2.6208430169372501E-3</v>
      </c>
      <c r="E37606" s="2">
        <v>6.7263970726719903E-6</v>
      </c>
      <c r="F37606" s="2">
        <v>7.5633873895296301E-4</v>
      </c>
    </row>
    <row r="37607" spans="1:6" x14ac:dyDescent="0.25">
      <c r="A37607" s="1" t="str">
        <f t="shared" si="1356"/>
        <v>47900</v>
      </c>
      <c r="B37607" s="1" t="str">
        <f>"22202"</f>
        <v>22202</v>
      </c>
      <c r="C37607" s="2">
        <v>6.6639086607541897E-3</v>
      </c>
      <c r="D37607" s="2">
        <v>9.8062164557173592E-3</v>
      </c>
      <c r="E37607" s="2">
        <v>5.1725993488847596E-3</v>
      </c>
      <c r="F37607" s="2">
        <v>6.8351569249418603E-3</v>
      </c>
    </row>
    <row r="37608" spans="1:6" x14ac:dyDescent="0.25">
      <c r="A37608" s="1" t="str">
        <f t="shared" si="1356"/>
        <v>47900</v>
      </c>
      <c r="B37608" s="1" t="str">
        <f>"22125"</f>
        <v>22125</v>
      </c>
      <c r="C37608" s="2">
        <v>3.6235765180421602E-4</v>
      </c>
      <c r="D37608" s="2">
        <v>1.5298700864418301E-3</v>
      </c>
      <c r="E37608" s="2">
        <v>6.7263970726719903E-6</v>
      </c>
      <c r="F37608" s="2">
        <v>4.3551671085373497E-4</v>
      </c>
    </row>
    <row r="37609" spans="1:6" x14ac:dyDescent="0.25">
      <c r="A37609" s="1" t="str">
        <f t="shared" si="1356"/>
        <v>47900</v>
      </c>
      <c r="B37609" s="1" t="str">
        <f>"22551"</f>
        <v>22551</v>
      </c>
      <c r="C37609" s="2">
        <v>3.16111802664676E-3</v>
      </c>
      <c r="D37609" s="2">
        <v>7.0641542242806199E-4</v>
      </c>
      <c r="E37609" s="2">
        <v>2.6232948583420701E-4</v>
      </c>
      <c r="F37609" s="2">
        <v>2.8321509550028501E-3</v>
      </c>
    </row>
    <row r="37610" spans="1:6" x14ac:dyDescent="0.25">
      <c r="A37610" s="1" t="str">
        <f t="shared" si="1356"/>
        <v>47900</v>
      </c>
      <c r="B37610" s="1" t="str">
        <f>"22401"</f>
        <v>22401</v>
      </c>
      <c r="C37610" s="2">
        <v>4.4450682791151198E-3</v>
      </c>
      <c r="D37610" s="2">
        <v>1.1018408600712201E-2</v>
      </c>
      <c r="E37610" s="2">
        <v>7.2241504560497201E-3</v>
      </c>
      <c r="F37610" s="2">
        <v>5.0866284092590504E-3</v>
      </c>
    </row>
    <row r="37611" spans="1:6" x14ac:dyDescent="0.25">
      <c r="A37611" s="1" t="str">
        <f t="shared" si="1356"/>
        <v>47900</v>
      </c>
      <c r="B37611" s="1" t="str">
        <f>"22403"</f>
        <v>22403</v>
      </c>
      <c r="C37611" s="2">
        <v>4.4768345972141598E-4</v>
      </c>
      <c r="D37611" s="2">
        <v>9.5721379725459302E-4</v>
      </c>
      <c r="E37611" s="2">
        <v>1.3452794145343899E-5</v>
      </c>
      <c r="F37611" s="2">
        <v>4.6620965412606802E-4</v>
      </c>
    </row>
    <row r="37612" spans="1:6" x14ac:dyDescent="0.25">
      <c r="A37612" s="1" t="str">
        <f t="shared" si="1356"/>
        <v>47900</v>
      </c>
      <c r="B37612" s="1" t="str">
        <f>"20447"</f>
        <v>20447</v>
      </c>
      <c r="C37612" s="2">
        <v>0</v>
      </c>
      <c r="D37612" s="2">
        <v>4.1799729137755096E-6</v>
      </c>
      <c r="E37612" s="2">
        <v>0</v>
      </c>
      <c r="F37612" s="2">
        <v>3.2308361339297801E-7</v>
      </c>
    </row>
    <row r="37613" spans="1:6" x14ac:dyDescent="0.25">
      <c r="A37613" s="1" t="str">
        <f t="shared" si="1356"/>
        <v>47900</v>
      </c>
      <c r="B37613" s="1" t="str">
        <f>"22067"</f>
        <v>22067</v>
      </c>
      <c r="C37613" s="2">
        <v>0</v>
      </c>
      <c r="D37613" s="2">
        <v>4.1799729137755096E-6</v>
      </c>
      <c r="E37613" s="2">
        <v>0</v>
      </c>
      <c r="F37613" s="2">
        <v>3.2308361339297801E-7</v>
      </c>
    </row>
    <row r="37614" spans="1:6" x14ac:dyDescent="0.25">
      <c r="A37614" s="1" t="str">
        <f t="shared" si="1356"/>
        <v>47900</v>
      </c>
      <c r="B37614" s="1" t="str">
        <f>"20543"</f>
        <v>20543</v>
      </c>
      <c r="C37614" s="2">
        <v>0</v>
      </c>
      <c r="D37614" s="2">
        <v>4.1799729137755096E-6</v>
      </c>
      <c r="E37614" s="2">
        <v>0</v>
      </c>
      <c r="F37614" s="2">
        <v>3.2308361339297801E-7</v>
      </c>
    </row>
    <row r="37615" spans="1:6" x14ac:dyDescent="0.25">
      <c r="A37615" s="1" t="str">
        <f t="shared" si="1356"/>
        <v>47900</v>
      </c>
      <c r="B37615" s="1" t="str">
        <f>"22108"</f>
        <v>22108</v>
      </c>
      <c r="C37615" s="2">
        <v>0</v>
      </c>
      <c r="D37615" s="2">
        <v>8.3599458275510293E-6</v>
      </c>
      <c r="E37615" s="2">
        <v>0</v>
      </c>
      <c r="F37615" s="2">
        <v>6.4616722678595697E-7</v>
      </c>
    </row>
    <row r="37616" spans="1:6" x14ac:dyDescent="0.25">
      <c r="A37616" s="1" t="str">
        <f t="shared" si="1356"/>
        <v>47900</v>
      </c>
      <c r="B37616" s="1" t="str">
        <f>"20573"</f>
        <v>20573</v>
      </c>
      <c r="C37616" s="2">
        <v>0</v>
      </c>
      <c r="D37616" s="2">
        <v>4.1799729137755096E-6</v>
      </c>
      <c r="E37616" s="2">
        <v>0</v>
      </c>
      <c r="F37616" s="2">
        <v>3.2308361339297801E-7</v>
      </c>
    </row>
    <row r="37617" spans="1:6" x14ac:dyDescent="0.25">
      <c r="A37617" s="1" t="str">
        <f t="shared" si="1356"/>
        <v>47900</v>
      </c>
      <c r="B37617" s="1" t="str">
        <f>"20571"</f>
        <v>20571</v>
      </c>
      <c r="C37617" s="2">
        <v>0</v>
      </c>
      <c r="D37617" s="2">
        <v>4.1799729137755096E-6</v>
      </c>
      <c r="E37617" s="2">
        <v>0</v>
      </c>
      <c r="F37617" s="2">
        <v>3.2308361339297801E-7</v>
      </c>
    </row>
    <row r="37618" spans="1:6" x14ac:dyDescent="0.25">
      <c r="A37618" s="1" t="str">
        <f t="shared" si="1356"/>
        <v>47900</v>
      </c>
      <c r="B37618" s="1" t="str">
        <f>"20504"</f>
        <v>20504</v>
      </c>
      <c r="C37618" s="2">
        <v>0</v>
      </c>
      <c r="D37618" s="2">
        <v>4.1799729137755096E-6</v>
      </c>
      <c r="E37618" s="2">
        <v>0</v>
      </c>
      <c r="F37618" s="2">
        <v>3.2308361339297801E-7</v>
      </c>
    </row>
    <row r="37619" spans="1:6" x14ac:dyDescent="0.25">
      <c r="A37619" s="1" t="str">
        <f t="shared" si="1356"/>
        <v>47900</v>
      </c>
      <c r="B37619" s="1" t="str">
        <f>"20554"</f>
        <v>20554</v>
      </c>
      <c r="C37619" s="2">
        <v>0</v>
      </c>
      <c r="D37619" s="2">
        <v>4.1799729137755096E-6</v>
      </c>
      <c r="E37619" s="2">
        <v>0</v>
      </c>
      <c r="F37619" s="2">
        <v>3.2308361339297801E-7</v>
      </c>
    </row>
    <row r="37620" spans="1:6" x14ac:dyDescent="0.25">
      <c r="A37620" s="1" t="str">
        <f t="shared" si="1356"/>
        <v>47900</v>
      </c>
      <c r="B37620" s="1" t="str">
        <f>"20201"</f>
        <v>20201</v>
      </c>
      <c r="C37620" s="2">
        <v>0</v>
      </c>
      <c r="D37620" s="2">
        <v>1.6719891655102001E-5</v>
      </c>
      <c r="E37620" s="2">
        <v>0</v>
      </c>
      <c r="F37620" s="2">
        <v>1.2923344535719099E-6</v>
      </c>
    </row>
    <row r="37621" spans="1:6" x14ac:dyDescent="0.25">
      <c r="A37621" s="1" t="str">
        <f t="shared" si="1356"/>
        <v>47900</v>
      </c>
      <c r="B37621" s="1" t="str">
        <f>"20577"</f>
        <v>20577</v>
      </c>
      <c r="C37621" s="2">
        <v>0</v>
      </c>
      <c r="D37621" s="2">
        <v>1.2539918741326501E-5</v>
      </c>
      <c r="E37621" s="2">
        <v>0</v>
      </c>
      <c r="F37621" s="2">
        <v>9.6925084017893608E-7</v>
      </c>
    </row>
    <row r="37622" spans="1:6" x14ac:dyDescent="0.25">
      <c r="A37622" s="1" t="str">
        <f t="shared" si="1356"/>
        <v>47900</v>
      </c>
      <c r="B37622" s="1" t="str">
        <f>"20436"</f>
        <v>20436</v>
      </c>
      <c r="C37622" s="2">
        <v>0</v>
      </c>
      <c r="D37622" s="2">
        <v>8.3599458275510293E-6</v>
      </c>
      <c r="E37622" s="2">
        <v>0</v>
      </c>
      <c r="F37622" s="2">
        <v>6.4616722678595697E-7</v>
      </c>
    </row>
    <row r="37623" spans="1:6" x14ac:dyDescent="0.25">
      <c r="A37623" s="1" t="str">
        <f t="shared" si="1356"/>
        <v>47900</v>
      </c>
      <c r="B37623" s="1" t="str">
        <f>"20042"</f>
        <v>20042</v>
      </c>
      <c r="C37623" s="2">
        <v>0</v>
      </c>
      <c r="D37623" s="2">
        <v>4.1799729137755096E-6</v>
      </c>
      <c r="E37623" s="2">
        <v>0</v>
      </c>
      <c r="F37623" s="2">
        <v>3.2308361339297801E-7</v>
      </c>
    </row>
    <row r="37624" spans="1:6" x14ac:dyDescent="0.25">
      <c r="A37624" s="1" t="str">
        <f t="shared" si="1356"/>
        <v>47900</v>
      </c>
      <c r="B37624" s="1" t="str">
        <f>"20572"</f>
        <v>20572</v>
      </c>
      <c r="C37624" s="2">
        <v>0</v>
      </c>
      <c r="D37624" s="2">
        <v>4.1799729137755096E-6</v>
      </c>
      <c r="E37624" s="2">
        <v>0</v>
      </c>
      <c r="F37624" s="2">
        <v>3.2308361339297801E-7</v>
      </c>
    </row>
    <row r="37625" spans="1:6" x14ac:dyDescent="0.25">
      <c r="A37625" s="1" t="str">
        <f t="shared" si="1356"/>
        <v>47900</v>
      </c>
      <c r="B37625" s="1" t="str">
        <f>"20227"</f>
        <v>20227</v>
      </c>
      <c r="C37625" s="2">
        <v>0</v>
      </c>
      <c r="D37625" s="2">
        <v>1.2539918741326501E-5</v>
      </c>
      <c r="E37625" s="2">
        <v>0</v>
      </c>
      <c r="F37625" s="2">
        <v>9.6925084017893608E-7</v>
      </c>
    </row>
    <row r="37626" spans="1:6" x14ac:dyDescent="0.25">
      <c r="A37626" s="1" t="str">
        <f t="shared" si="1356"/>
        <v>47900</v>
      </c>
      <c r="B37626" s="1" t="str">
        <f>"20585"</f>
        <v>20585</v>
      </c>
      <c r="C37626" s="2">
        <v>0</v>
      </c>
      <c r="D37626" s="2">
        <v>4.1799729137755096E-6</v>
      </c>
      <c r="E37626" s="2">
        <v>0</v>
      </c>
      <c r="F37626" s="2">
        <v>3.2308361339297801E-7</v>
      </c>
    </row>
    <row r="37627" spans="1:6" x14ac:dyDescent="0.25">
      <c r="A37627" s="1" t="str">
        <f t="shared" si="1356"/>
        <v>47900</v>
      </c>
      <c r="B37627" s="1" t="str">
        <f>"20434"</f>
        <v>20434</v>
      </c>
      <c r="C37627" s="2">
        <v>0</v>
      </c>
      <c r="D37627" s="2">
        <v>4.1799729137755096E-6</v>
      </c>
      <c r="E37627" s="2">
        <v>0</v>
      </c>
      <c r="F37627" s="2">
        <v>3.2308361339297801E-7</v>
      </c>
    </row>
    <row r="37628" spans="1:6" x14ac:dyDescent="0.25">
      <c r="A37628" s="1" t="str">
        <f t="shared" si="1356"/>
        <v>47900</v>
      </c>
      <c r="B37628" s="1" t="str">
        <f>"20441"</f>
        <v>20441</v>
      </c>
      <c r="C37628" s="2">
        <v>0</v>
      </c>
      <c r="D37628" s="2">
        <v>4.1799729137755096E-6</v>
      </c>
      <c r="E37628" s="2">
        <v>0</v>
      </c>
      <c r="F37628" s="2">
        <v>3.2308361339297801E-7</v>
      </c>
    </row>
    <row r="37629" spans="1:6" x14ac:dyDescent="0.25">
      <c r="A37629" s="1" t="str">
        <f t="shared" si="1356"/>
        <v>47900</v>
      </c>
      <c r="B37629" s="1" t="str">
        <f>"22185"</f>
        <v>22185</v>
      </c>
      <c r="C37629" s="2">
        <v>0</v>
      </c>
      <c r="D37629" s="2">
        <v>4.1799729137755096E-6</v>
      </c>
      <c r="E37629" s="2">
        <v>0</v>
      </c>
      <c r="F37629" s="2">
        <v>3.2308361339297801E-7</v>
      </c>
    </row>
    <row r="37630" spans="1:6" x14ac:dyDescent="0.25">
      <c r="A37630" s="1" t="str">
        <f t="shared" si="1356"/>
        <v>47900</v>
      </c>
      <c r="B37630" s="1" t="str">
        <f>"20439"</f>
        <v>20439</v>
      </c>
      <c r="C37630" s="2">
        <v>0</v>
      </c>
      <c r="D37630" s="2">
        <v>4.1799729137755096E-6</v>
      </c>
      <c r="E37630" s="2">
        <v>0</v>
      </c>
      <c r="F37630" s="2">
        <v>3.2308361339297801E-7</v>
      </c>
    </row>
    <row r="37631" spans="1:6" x14ac:dyDescent="0.25">
      <c r="A37631" s="1" t="str">
        <f t="shared" si="1356"/>
        <v>47900</v>
      </c>
      <c r="B37631" s="1" t="str">
        <f>"20456"</f>
        <v>20456</v>
      </c>
      <c r="C37631" s="2">
        <v>0</v>
      </c>
      <c r="D37631" s="2">
        <v>4.1799729137755096E-6</v>
      </c>
      <c r="E37631" s="2">
        <v>0</v>
      </c>
      <c r="F37631" s="2">
        <v>3.2308361339297801E-7</v>
      </c>
    </row>
    <row r="37632" spans="1:6" x14ac:dyDescent="0.25">
      <c r="A37632" s="1" t="str">
        <f t="shared" si="1356"/>
        <v>47900</v>
      </c>
      <c r="B37632" s="1" t="str">
        <f>"25443"</f>
        <v>25443</v>
      </c>
      <c r="C37632" s="2">
        <v>8.50672448629061E-4</v>
      </c>
      <c r="D37632" s="2">
        <v>7.1477536825561303E-4</v>
      </c>
      <c r="E37632" s="2">
        <v>1.2780154438076701E-4</v>
      </c>
      <c r="F37632" s="2">
        <v>8.0544744818869605E-4</v>
      </c>
    </row>
    <row r="37633" spans="1:6" x14ac:dyDescent="0.25">
      <c r="A37633" s="1" t="str">
        <f t="shared" si="1356"/>
        <v>47900</v>
      </c>
      <c r="B37633" s="1" t="str">
        <f>"25430"</f>
        <v>25430</v>
      </c>
      <c r="C37633" s="2">
        <v>9.4412452396694802E-4</v>
      </c>
      <c r="D37633" s="2">
        <v>6.8969553077296002E-4</v>
      </c>
      <c r="E37633" s="2">
        <v>2.5560308876153499E-4</v>
      </c>
      <c r="F37633" s="2">
        <v>8.9138768935122801E-4</v>
      </c>
    </row>
    <row r="37634" spans="1:6" x14ac:dyDescent="0.25">
      <c r="A37634" s="1" t="str">
        <f t="shared" si="1356"/>
        <v>47900</v>
      </c>
      <c r="B37634" s="1" t="str">
        <f>"20019"</f>
        <v>20019</v>
      </c>
      <c r="C37634" s="2">
        <v>1.02254300457656E-2</v>
      </c>
      <c r="D37634" s="2">
        <v>3.1600595228142899E-3</v>
      </c>
      <c r="E37634" s="2">
        <v>2.70804746145774E-2</v>
      </c>
      <c r="F37634" s="2">
        <v>1.0488909508803001E-2</v>
      </c>
    </row>
    <row r="37635" spans="1:6" x14ac:dyDescent="0.25">
      <c r="A37635" s="1" t="str">
        <f t="shared" si="1356"/>
        <v>47900</v>
      </c>
      <c r="B37635" s="1" t="str">
        <f>"20012"</f>
        <v>20012</v>
      </c>
      <c r="C37635" s="2">
        <v>2.4419433599160698E-3</v>
      </c>
      <c r="D37635" s="2">
        <v>2.2153856443010199E-3</v>
      </c>
      <c r="E37635" s="2">
        <v>2.2869750047084698E-3</v>
      </c>
      <c r="F37635" s="2">
        <v>2.4169885117928699E-3</v>
      </c>
    </row>
    <row r="37636" spans="1:6" x14ac:dyDescent="0.25">
      <c r="A37636" s="1" t="str">
        <f t="shared" ref="A37636:A37699" si="1357">"47900"</f>
        <v>47900</v>
      </c>
      <c r="B37636" s="1" t="str">
        <f>"20770"</f>
        <v>20770</v>
      </c>
      <c r="C37636" s="2">
        <v>4.6818381616905496E-3</v>
      </c>
      <c r="D37636" s="2">
        <v>5.2751258171847004E-3</v>
      </c>
      <c r="E37636" s="2">
        <v>1.31164742917103E-2</v>
      </c>
      <c r="F37636" s="2">
        <v>5.1328293659742502E-3</v>
      </c>
    </row>
    <row r="37637" spans="1:6" x14ac:dyDescent="0.25">
      <c r="A37637" s="1" t="str">
        <f t="shared" si="1357"/>
        <v>47900</v>
      </c>
      <c r="B37637" s="1" t="str">
        <f>"20783"</f>
        <v>20783</v>
      </c>
      <c r="C37637" s="2">
        <v>5.1531616720903303E-3</v>
      </c>
      <c r="D37637" s="2">
        <v>3.18095938738316E-3</v>
      </c>
      <c r="E37637" s="2">
        <v>9.6591061963569799E-3</v>
      </c>
      <c r="F37637" s="2">
        <v>5.2171541890698196E-3</v>
      </c>
    </row>
    <row r="37638" spans="1:6" x14ac:dyDescent="0.25">
      <c r="A37638" s="1" t="str">
        <f t="shared" si="1357"/>
        <v>47900</v>
      </c>
      <c r="B37638" s="1" t="str">
        <f>"20902"</f>
        <v>20902</v>
      </c>
      <c r="C37638" s="2">
        <v>6.9099129381258598E-3</v>
      </c>
      <c r="D37638" s="2">
        <v>5.4172448962530699E-3</v>
      </c>
      <c r="E37638" s="2">
        <v>5.2600425108294902E-3</v>
      </c>
      <c r="F37638" s="2">
        <v>6.7152929043730603E-3</v>
      </c>
    </row>
    <row r="37639" spans="1:6" x14ac:dyDescent="0.25">
      <c r="A37639" s="1" t="str">
        <f t="shared" si="1357"/>
        <v>47900</v>
      </c>
      <c r="B37639" s="1" t="str">
        <f>"20895"</f>
        <v>20895</v>
      </c>
      <c r="C37639" s="2">
        <v>2.9084649850218101E-3</v>
      </c>
      <c r="D37639" s="2">
        <v>4.7484492300489799E-3</v>
      </c>
      <c r="E37639" s="2">
        <v>1.87666478327548E-3</v>
      </c>
      <c r="F37639" s="2">
        <v>3.0011236848073801E-3</v>
      </c>
    </row>
    <row r="37640" spans="1:6" x14ac:dyDescent="0.25">
      <c r="A37640" s="1" t="str">
        <f t="shared" si="1357"/>
        <v>47900</v>
      </c>
      <c r="B37640" s="1" t="str">
        <f>"20911"</f>
        <v>20911</v>
      </c>
      <c r="C37640" s="2">
        <v>1.46642189364193E-4</v>
      </c>
      <c r="D37640" s="2">
        <v>1.50479024895918E-4</v>
      </c>
      <c r="E37640" s="2">
        <v>2.69055882906879E-5</v>
      </c>
      <c r="F37640" s="2">
        <v>1.41187539052731E-4</v>
      </c>
    </row>
    <row r="37641" spans="1:6" x14ac:dyDescent="0.25">
      <c r="A37641" s="1" t="str">
        <f t="shared" si="1357"/>
        <v>47900</v>
      </c>
      <c r="B37641" s="1" t="str">
        <f>"20853"</f>
        <v>20853</v>
      </c>
      <c r="C37641" s="2">
        <v>3.7041004406653099E-3</v>
      </c>
      <c r="D37641" s="2">
        <v>4.4307712886020397E-4</v>
      </c>
      <c r="E37641" s="2">
        <v>1.13676110528156E-3</v>
      </c>
      <c r="F37641" s="2">
        <v>3.3287304687878599E-3</v>
      </c>
    </row>
    <row r="37642" spans="1:6" x14ac:dyDescent="0.25">
      <c r="A37642" s="1" t="str">
        <f t="shared" si="1357"/>
        <v>47900</v>
      </c>
      <c r="B37642" s="1" t="str">
        <f>"21704"</f>
        <v>21704</v>
      </c>
      <c r="C37642" s="2">
        <v>2.2790486357105099E-3</v>
      </c>
      <c r="D37642" s="2">
        <v>6.2114397498704201E-3</v>
      </c>
      <c r="E37642" s="2">
        <v>1.7690424301127299E-3</v>
      </c>
      <c r="F37642" s="2">
        <v>2.5584991344589901E-3</v>
      </c>
    </row>
    <row r="37643" spans="1:6" x14ac:dyDescent="0.25">
      <c r="A37643" s="1" t="str">
        <f t="shared" si="1357"/>
        <v>47900</v>
      </c>
      <c r="B37643" s="1" t="str">
        <f>"21710"</f>
        <v>21710</v>
      </c>
      <c r="C37643" s="2">
        <v>6.4197512623417603E-4</v>
      </c>
      <c r="D37643" s="2">
        <v>1.12859268671939E-4</v>
      </c>
      <c r="E37643" s="2">
        <v>1.3452794145343899E-5</v>
      </c>
      <c r="F37643" s="2">
        <v>5.7088874486539297E-4</v>
      </c>
    </row>
    <row r="37644" spans="1:6" x14ac:dyDescent="0.25">
      <c r="A37644" s="1" t="str">
        <f t="shared" si="1357"/>
        <v>47900</v>
      </c>
      <c r="B37644" s="1" t="str">
        <f>"20106"</f>
        <v>20106</v>
      </c>
      <c r="C37644" s="2">
        <v>7.38012832115008E-4</v>
      </c>
      <c r="D37644" s="2">
        <v>7.52395124479593E-5</v>
      </c>
      <c r="E37644" s="2">
        <v>4.0358382436031901E-5</v>
      </c>
      <c r="F37644" s="2">
        <v>6.53275066280603E-4</v>
      </c>
    </row>
    <row r="37645" spans="1:6" x14ac:dyDescent="0.25">
      <c r="A37645" s="1" t="str">
        <f t="shared" si="1357"/>
        <v>47900</v>
      </c>
      <c r="B37645" s="1" t="str">
        <f>"20111"</f>
        <v>20111</v>
      </c>
      <c r="C37645" s="2">
        <v>4.5104477942724498E-3</v>
      </c>
      <c r="D37645" s="2">
        <v>3.2352990352622498E-3</v>
      </c>
      <c r="E37645" s="2">
        <v>2.4349557403072599E-3</v>
      </c>
      <c r="F37645" s="2">
        <v>4.3121969879560797E-3</v>
      </c>
    </row>
    <row r="37646" spans="1:6" x14ac:dyDescent="0.25">
      <c r="A37646" s="1" t="str">
        <f t="shared" si="1357"/>
        <v>47900</v>
      </c>
      <c r="B37646" s="1" t="str">
        <f>"21774"</f>
        <v>21774</v>
      </c>
      <c r="C37646" s="2">
        <v>2.0614862943112398E-3</v>
      </c>
      <c r="D37646" s="2">
        <v>1.0408132555300999E-3</v>
      </c>
      <c r="E37646" s="2">
        <v>6.7263970726719896E-5</v>
      </c>
      <c r="F37646" s="2">
        <v>1.88680830221499E-3</v>
      </c>
    </row>
    <row r="37647" spans="1:6" x14ac:dyDescent="0.25">
      <c r="A37647" s="1" t="str">
        <f t="shared" si="1357"/>
        <v>47900</v>
      </c>
      <c r="B37647" s="1" t="str">
        <f>"21716"</f>
        <v>21716</v>
      </c>
      <c r="C37647" s="2">
        <v>1.04828849726846E-3</v>
      </c>
      <c r="D37647" s="2">
        <v>6.5625574746275598E-4</v>
      </c>
      <c r="E37647" s="2">
        <v>7.6680926628460702E-4</v>
      </c>
      <c r="F37647" s="2">
        <v>1.0044669540387699E-3</v>
      </c>
    </row>
    <row r="37648" spans="1:6" x14ac:dyDescent="0.25">
      <c r="A37648" s="1" t="str">
        <f t="shared" si="1357"/>
        <v>47900</v>
      </c>
      <c r="B37648" s="1" t="str">
        <f>"22025"</f>
        <v>22025</v>
      </c>
      <c r="C37648" s="2">
        <v>2.4256908250746998E-3</v>
      </c>
      <c r="D37648" s="2">
        <v>6.9805547660051095E-4</v>
      </c>
      <c r="E37648" s="2">
        <v>3.6995183899695902E-4</v>
      </c>
      <c r="F37648" s="2">
        <v>2.1934146513249301E-3</v>
      </c>
    </row>
    <row r="37649" spans="1:6" x14ac:dyDescent="0.25">
      <c r="A37649" s="1" t="str">
        <f t="shared" si="1357"/>
        <v>47900</v>
      </c>
      <c r="B37649" s="1" t="str">
        <f>"22042"</f>
        <v>22042</v>
      </c>
      <c r="C37649" s="2">
        <v>4.7919121476616604E-3</v>
      </c>
      <c r="D37649" s="2">
        <v>4.0796535638449004E-3</v>
      </c>
      <c r="E37649" s="2">
        <v>5.3474856727742303E-3</v>
      </c>
      <c r="F37649" s="2">
        <v>4.7635447958660803E-3</v>
      </c>
    </row>
    <row r="37650" spans="1:6" x14ac:dyDescent="0.25">
      <c r="A37650" s="1" t="str">
        <f t="shared" si="1357"/>
        <v>47900</v>
      </c>
      <c r="B37650" s="1" t="str">
        <f>"20181"</f>
        <v>20181</v>
      </c>
      <c r="C37650" s="2">
        <v>1.2311295142338899E-3</v>
      </c>
      <c r="D37650" s="2">
        <v>1.88098781119898E-4</v>
      </c>
      <c r="E37650" s="2">
        <v>1.3452794145343901E-4</v>
      </c>
      <c r="F37650" s="2">
        <v>1.09783811830934E-3</v>
      </c>
    </row>
    <row r="37651" spans="1:6" x14ac:dyDescent="0.25">
      <c r="A37651" s="1" t="str">
        <f t="shared" si="1357"/>
        <v>47900</v>
      </c>
      <c r="B37651" s="1" t="str">
        <f>"20191"</f>
        <v>20191</v>
      </c>
      <c r="C37651" s="2">
        <v>4.5049071573947099E-3</v>
      </c>
      <c r="D37651" s="2">
        <v>4.3471718303265301E-3</v>
      </c>
      <c r="E37651" s="2">
        <v>6.8272930287620699E-3</v>
      </c>
      <c r="F37651" s="2">
        <v>4.60426457446334E-3</v>
      </c>
    </row>
    <row r="37652" spans="1:6" x14ac:dyDescent="0.25">
      <c r="A37652" s="1" t="str">
        <f t="shared" si="1357"/>
        <v>47900</v>
      </c>
      <c r="B37652" s="1" t="str">
        <f>"20176"</f>
        <v>20176</v>
      </c>
      <c r="C37652" s="2">
        <v>6.4928876691279398E-3</v>
      </c>
      <c r="D37652" s="2">
        <v>6.1529201290775604E-3</v>
      </c>
      <c r="E37652" s="2">
        <v>4.6613931713616902E-3</v>
      </c>
      <c r="F37652" s="2">
        <v>6.3786397792175804E-3</v>
      </c>
    </row>
    <row r="37653" spans="1:6" x14ac:dyDescent="0.25">
      <c r="A37653" s="1" t="str">
        <f t="shared" si="1357"/>
        <v>47900</v>
      </c>
      <c r="B37653" s="1" t="str">
        <f>"20187"</f>
        <v>20187</v>
      </c>
      <c r="C37653" s="2">
        <v>2.4005732712289499E-3</v>
      </c>
      <c r="D37653" s="2">
        <v>1.2121921449948999E-3</v>
      </c>
      <c r="E37653" s="2">
        <v>3.3631985363359899E-4</v>
      </c>
      <c r="F37653" s="2">
        <v>2.2095688319945799E-3</v>
      </c>
    </row>
    <row r="37654" spans="1:6" x14ac:dyDescent="0.25">
      <c r="A37654" s="1" t="str">
        <f t="shared" si="1357"/>
        <v>47900</v>
      </c>
      <c r="B37654" s="1" t="str">
        <f>"20198"</f>
        <v>20198</v>
      </c>
      <c r="C37654" s="2">
        <v>3.21356938908937E-4</v>
      </c>
      <c r="D37654" s="2">
        <v>5.8519620792857197E-5</v>
      </c>
      <c r="E37654" s="2">
        <v>7.3990367799391896E-5</v>
      </c>
      <c r="F37654" s="2">
        <v>2.8915983398671599E-4</v>
      </c>
    </row>
    <row r="37655" spans="1:6" x14ac:dyDescent="0.25">
      <c r="A37655" s="1" t="str">
        <f t="shared" si="1357"/>
        <v>47900</v>
      </c>
      <c r="B37655" s="1" t="str">
        <f>"20115"</f>
        <v>20115</v>
      </c>
      <c r="C37655" s="2">
        <v>9.72935835731197E-4</v>
      </c>
      <c r="D37655" s="2">
        <v>4.3053721011887801E-4</v>
      </c>
      <c r="E37655" s="2">
        <v>1.4798073559878301E-4</v>
      </c>
      <c r="F37655" s="2">
        <v>8.9138768935122801E-4</v>
      </c>
    </row>
    <row r="37656" spans="1:6" x14ac:dyDescent="0.25">
      <c r="A37656" s="1" t="str">
        <f t="shared" si="1357"/>
        <v>47900</v>
      </c>
      <c r="B37656" s="1" t="str">
        <f>"20141"</f>
        <v>20141</v>
      </c>
      <c r="C37656" s="2">
        <v>9.3156574704407003E-4</v>
      </c>
      <c r="D37656" s="2">
        <v>7.9419485361734805E-5</v>
      </c>
      <c r="E37656" s="2">
        <v>4.7084779508703901E-5</v>
      </c>
      <c r="F37656" s="2">
        <v>8.2321704692530999E-4</v>
      </c>
    </row>
    <row r="37657" spans="1:6" x14ac:dyDescent="0.25">
      <c r="A37657" s="1" t="str">
        <f t="shared" si="1357"/>
        <v>47900</v>
      </c>
      <c r="B37657" s="1" t="str">
        <f>"22312"</f>
        <v>22312</v>
      </c>
      <c r="C37657" s="2">
        <v>4.6271705444968503E-3</v>
      </c>
      <c r="D37657" s="2">
        <v>4.81532879666939E-3</v>
      </c>
      <c r="E37657" s="2">
        <v>6.8878306024161198E-3</v>
      </c>
      <c r="F37657" s="2">
        <v>4.7502983677169602E-3</v>
      </c>
    </row>
    <row r="37658" spans="1:6" x14ac:dyDescent="0.25">
      <c r="A37658" s="1" t="str">
        <f t="shared" si="1357"/>
        <v>47900</v>
      </c>
      <c r="B37658" s="1" t="str">
        <f>"22306"</f>
        <v>22306</v>
      </c>
      <c r="C37658" s="2">
        <v>4.9071573947186602E-3</v>
      </c>
      <c r="D37658" s="2">
        <v>3.26873881857245E-3</v>
      </c>
      <c r="E37658" s="2">
        <v>8.0784028842790599E-3</v>
      </c>
      <c r="F37658" s="2">
        <v>4.932840609284E-3</v>
      </c>
    </row>
    <row r="37659" spans="1:6" x14ac:dyDescent="0.25">
      <c r="A37659" s="1" t="str">
        <f t="shared" si="1357"/>
        <v>47900</v>
      </c>
      <c r="B37659" s="1" t="str">
        <f>"22204"</f>
        <v>22204</v>
      </c>
      <c r="C37659" s="2">
        <v>8.9448041754239503E-3</v>
      </c>
      <c r="D37659" s="2">
        <v>4.0169539701382703E-3</v>
      </c>
      <c r="E37659" s="2">
        <v>1.46097344418435E-2</v>
      </c>
      <c r="F37659" s="2">
        <v>8.8360137426845703E-3</v>
      </c>
    </row>
    <row r="37660" spans="1:6" x14ac:dyDescent="0.25">
      <c r="A37660" s="1" t="str">
        <f t="shared" si="1357"/>
        <v>47900</v>
      </c>
      <c r="B37660" s="1" t="str">
        <f>"22213"</f>
        <v>22213</v>
      </c>
      <c r="C37660" s="2">
        <v>5.3854990451635703E-4</v>
      </c>
      <c r="D37660" s="2">
        <v>1.3375913324081601E-4</v>
      </c>
      <c r="E37660" s="2">
        <v>2.2197110339817501E-4</v>
      </c>
      <c r="F37660" s="2">
        <v>4.9205634319750605E-4</v>
      </c>
    </row>
    <row r="37661" spans="1:6" x14ac:dyDescent="0.25">
      <c r="A37661" s="1" t="str">
        <f t="shared" si="1357"/>
        <v>47900</v>
      </c>
      <c r="B37661" s="1" t="str">
        <f>"22215"</f>
        <v>22215</v>
      </c>
      <c r="C37661" s="2">
        <v>3.97078976238055E-4</v>
      </c>
      <c r="D37661" s="2">
        <v>4.8905683091173501E-4</v>
      </c>
      <c r="E37661" s="2">
        <v>1.3452794145343899E-5</v>
      </c>
      <c r="F37661" s="2">
        <v>3.8576183439121599E-4</v>
      </c>
    </row>
    <row r="37662" spans="1:6" x14ac:dyDescent="0.25">
      <c r="A37662" s="1" t="str">
        <f t="shared" si="1357"/>
        <v>47900</v>
      </c>
      <c r="B37662" s="1" t="str">
        <f>"22701"</f>
        <v>22701</v>
      </c>
      <c r="C37662" s="2">
        <v>5.03089828498819E-3</v>
      </c>
      <c r="D37662" s="2">
        <v>5.7641826480964399E-3</v>
      </c>
      <c r="E37662" s="2">
        <v>3.5986224338795101E-3</v>
      </c>
      <c r="F37662" s="2">
        <v>5.0187808504465296E-3</v>
      </c>
    </row>
    <row r="37663" spans="1:6" x14ac:dyDescent="0.25">
      <c r="A37663" s="1" t="str">
        <f t="shared" si="1357"/>
        <v>47900</v>
      </c>
      <c r="B37663" s="1" t="str">
        <f>"22663"</f>
        <v>22663</v>
      </c>
      <c r="C37663" s="2">
        <v>9.64070816726813E-5</v>
      </c>
      <c r="D37663" s="2">
        <v>5.4339647879081698E-5</v>
      </c>
      <c r="E37663" s="2">
        <v>6.7263970726719903E-6</v>
      </c>
      <c r="F37663" s="2">
        <v>8.8847993683069095E-5</v>
      </c>
    </row>
    <row r="37664" spans="1:6" x14ac:dyDescent="0.25">
      <c r="A37664" s="1" t="str">
        <f t="shared" si="1357"/>
        <v>47900</v>
      </c>
      <c r="B37664" s="1" t="str">
        <f>"22657"</f>
        <v>22657</v>
      </c>
      <c r="C37664" s="2">
        <v>1.62155972621866E-4</v>
      </c>
      <c r="D37664" s="2">
        <v>4.5979702051530701E-5</v>
      </c>
      <c r="E37664" s="2">
        <v>1.3452794145343899E-5</v>
      </c>
      <c r="F37664" s="2">
        <v>1.4603379325362601E-4</v>
      </c>
    </row>
    <row r="37665" spans="1:6" x14ac:dyDescent="0.25">
      <c r="A37665" s="1" t="str">
        <f t="shared" si="1357"/>
        <v>47900</v>
      </c>
      <c r="B37665" s="1" t="str">
        <f>"22734"</f>
        <v>22734</v>
      </c>
      <c r="C37665" s="2">
        <v>4.4768345972141598E-4</v>
      </c>
      <c r="D37665" s="2">
        <v>2.7169823939540802E-4</v>
      </c>
      <c r="E37665" s="2">
        <v>1.7488632388947101E-4</v>
      </c>
      <c r="F37665" s="2">
        <v>4.2097794825105098E-4</v>
      </c>
    </row>
    <row r="37666" spans="1:6" x14ac:dyDescent="0.25">
      <c r="A37666" s="1" t="str">
        <f t="shared" si="1357"/>
        <v>47900</v>
      </c>
      <c r="B37666" s="1" t="str">
        <f>"22408"</f>
        <v>22408</v>
      </c>
      <c r="C37666" s="2">
        <v>4.3338861657684601E-3</v>
      </c>
      <c r="D37666" s="2">
        <v>6.4705980705244996E-3</v>
      </c>
      <c r="E37666" s="2">
        <v>1.8833911803481499E-3</v>
      </c>
      <c r="F37666" s="2">
        <v>4.3813368812221799E-3</v>
      </c>
    </row>
    <row r="37667" spans="1:6" x14ac:dyDescent="0.25">
      <c r="A37667" s="1" t="str">
        <f t="shared" si="1357"/>
        <v>47900</v>
      </c>
      <c r="B37667" s="1" t="str">
        <f>"22730"</f>
        <v>22730</v>
      </c>
      <c r="C37667" s="2">
        <v>3.3613197058291097E-5</v>
      </c>
      <c r="D37667" s="2">
        <v>4.1799729137755096E-6</v>
      </c>
      <c r="E37667" s="2">
        <v>0</v>
      </c>
      <c r="F37667" s="2">
        <v>2.9723692432154E-5</v>
      </c>
    </row>
    <row r="37668" spans="1:6" x14ac:dyDescent="0.25">
      <c r="A37668" s="1" t="str">
        <f t="shared" si="1357"/>
        <v>47900</v>
      </c>
      <c r="B37668" s="1" t="str">
        <f>"22610"</f>
        <v>22610</v>
      </c>
      <c r="C37668" s="2">
        <v>3.5460076017537902E-4</v>
      </c>
      <c r="D37668" s="2">
        <v>8.3599458275510297E-5</v>
      </c>
      <c r="E37668" s="2">
        <v>2.69055882906879E-5</v>
      </c>
      <c r="F37668" s="2">
        <v>3.1791427557869098E-4</v>
      </c>
    </row>
    <row r="37669" spans="1:6" x14ac:dyDescent="0.25">
      <c r="A37669" s="1" t="str">
        <f t="shared" si="1357"/>
        <v>47900</v>
      </c>
      <c r="B37669" s="1" t="str">
        <f>"20546"</f>
        <v>20546</v>
      </c>
      <c r="C37669" s="2">
        <v>0</v>
      </c>
      <c r="D37669" s="2">
        <v>4.1799729137755096E-6</v>
      </c>
      <c r="E37669" s="2">
        <v>0</v>
      </c>
      <c r="F37669" s="2">
        <v>3.2308361339297801E-7</v>
      </c>
    </row>
    <row r="37670" spans="1:6" x14ac:dyDescent="0.25">
      <c r="A37670" s="1" t="str">
        <f t="shared" si="1357"/>
        <v>47900</v>
      </c>
      <c r="B37670" s="1" t="str">
        <f>"22109"</f>
        <v>22109</v>
      </c>
      <c r="C37670" s="2">
        <v>0</v>
      </c>
      <c r="D37670" s="2">
        <v>8.3599458275510293E-6</v>
      </c>
      <c r="E37670" s="2">
        <v>0</v>
      </c>
      <c r="F37670" s="2">
        <v>6.4616722678595697E-7</v>
      </c>
    </row>
    <row r="37671" spans="1:6" x14ac:dyDescent="0.25">
      <c r="A37671" s="1" t="str">
        <f t="shared" si="1357"/>
        <v>47900</v>
      </c>
      <c r="B37671" s="1" t="str">
        <f>"20591"</f>
        <v>20591</v>
      </c>
      <c r="C37671" s="2">
        <v>0</v>
      </c>
      <c r="D37671" s="2">
        <v>4.1799729137755096E-6</v>
      </c>
      <c r="E37671" s="2">
        <v>0</v>
      </c>
      <c r="F37671" s="2">
        <v>3.2308361339297801E-7</v>
      </c>
    </row>
    <row r="37672" spans="1:6" x14ac:dyDescent="0.25">
      <c r="A37672" s="1" t="str">
        <f t="shared" si="1357"/>
        <v>47900</v>
      </c>
      <c r="B37672" s="1" t="str">
        <f>"20643"</f>
        <v>20643</v>
      </c>
      <c r="C37672" s="2">
        <v>0</v>
      </c>
      <c r="D37672" s="2">
        <v>0</v>
      </c>
      <c r="E37672" s="2">
        <v>6.7263970726719903E-6</v>
      </c>
      <c r="F37672" s="2">
        <v>3.2308361339297801E-7</v>
      </c>
    </row>
    <row r="37673" spans="1:6" x14ac:dyDescent="0.25">
      <c r="A37673" s="1" t="str">
        <f t="shared" si="1357"/>
        <v>47900</v>
      </c>
      <c r="B37673" s="1" t="str">
        <f>"20581"</f>
        <v>20581</v>
      </c>
      <c r="C37673" s="2">
        <v>0</v>
      </c>
      <c r="D37673" s="2">
        <v>4.1799729137755096E-6</v>
      </c>
      <c r="E37673" s="2">
        <v>0</v>
      </c>
      <c r="F37673" s="2">
        <v>3.2308361339297801E-7</v>
      </c>
    </row>
    <row r="37674" spans="1:6" x14ac:dyDescent="0.25">
      <c r="A37674" s="1" t="str">
        <f t="shared" si="1357"/>
        <v>47900</v>
      </c>
      <c r="B37674" s="1" t="str">
        <f>"20076"</f>
        <v>20076</v>
      </c>
      <c r="C37674" s="2">
        <v>0</v>
      </c>
      <c r="D37674" s="2">
        <v>8.3599458275510293E-6</v>
      </c>
      <c r="E37674" s="2">
        <v>6.7263970726719903E-6</v>
      </c>
      <c r="F37674" s="2">
        <v>9.6925084017893608E-7</v>
      </c>
    </row>
    <row r="37675" spans="1:6" x14ac:dyDescent="0.25">
      <c r="A37675" s="1" t="str">
        <f t="shared" si="1357"/>
        <v>47900</v>
      </c>
      <c r="B37675" s="1" t="str">
        <f>"22227"</f>
        <v>22227</v>
      </c>
      <c r="C37675" s="2">
        <v>0</v>
      </c>
      <c r="D37675" s="2">
        <v>4.1799729137755096E-6</v>
      </c>
      <c r="E37675" s="2">
        <v>0</v>
      </c>
      <c r="F37675" s="2">
        <v>3.2308361339297801E-7</v>
      </c>
    </row>
    <row r="37676" spans="1:6" x14ac:dyDescent="0.25">
      <c r="A37676" s="1" t="str">
        <f t="shared" si="1357"/>
        <v>47900</v>
      </c>
      <c r="B37676" s="1" t="str">
        <f>"20208"</f>
        <v>20208</v>
      </c>
      <c r="C37676" s="2">
        <v>0</v>
      </c>
      <c r="D37676" s="2">
        <v>4.1799729137755096E-6</v>
      </c>
      <c r="E37676" s="2">
        <v>0</v>
      </c>
      <c r="F37676" s="2">
        <v>3.2308361339297801E-7</v>
      </c>
    </row>
    <row r="37677" spans="1:6" x14ac:dyDescent="0.25">
      <c r="A37677" s="1" t="str">
        <f t="shared" si="1357"/>
        <v>47900</v>
      </c>
      <c r="B37677" s="1" t="str">
        <f>"20245"</f>
        <v>20245</v>
      </c>
      <c r="C37677" s="2">
        <v>0</v>
      </c>
      <c r="D37677" s="2">
        <v>4.1799729137755096E-6</v>
      </c>
      <c r="E37677" s="2">
        <v>0</v>
      </c>
      <c r="F37677" s="2">
        <v>3.2308361339297801E-7</v>
      </c>
    </row>
    <row r="37678" spans="1:6" x14ac:dyDescent="0.25">
      <c r="A37678" s="1" t="str">
        <f t="shared" si="1357"/>
        <v>47900</v>
      </c>
      <c r="B37678" s="1" t="str">
        <f>"20055"</f>
        <v>20055</v>
      </c>
      <c r="C37678" s="2">
        <v>0</v>
      </c>
      <c r="D37678" s="2">
        <v>4.1799729137755096E-6</v>
      </c>
      <c r="E37678" s="2">
        <v>0</v>
      </c>
      <c r="F37678" s="2">
        <v>3.2308361339297801E-7</v>
      </c>
    </row>
    <row r="37679" spans="1:6" x14ac:dyDescent="0.25">
      <c r="A37679" s="1" t="str">
        <f t="shared" si="1357"/>
        <v>47900</v>
      </c>
      <c r="B37679" s="1" t="str">
        <f>"20752"</f>
        <v>20752</v>
      </c>
      <c r="C37679" s="2">
        <v>3.3908697691770602E-4</v>
      </c>
      <c r="D37679" s="2">
        <v>2.5079837482653103E-4</v>
      </c>
      <c r="E37679" s="2">
        <v>1.3452794145343899E-5</v>
      </c>
      <c r="F37679" s="2">
        <v>3.1662194112511897E-4</v>
      </c>
    </row>
    <row r="37680" spans="1:6" x14ac:dyDescent="0.25">
      <c r="A37680" s="1" t="str">
        <f t="shared" si="1357"/>
        <v>47900</v>
      </c>
      <c r="B37680" s="1" t="str">
        <f>"20753"</f>
        <v>20753</v>
      </c>
      <c r="C37680" s="2">
        <v>4.7317038935902199E-4</v>
      </c>
      <c r="D37680" s="2">
        <v>8.4853450149642996E-4</v>
      </c>
      <c r="E37680" s="2">
        <v>1.3452794145343899E-5</v>
      </c>
      <c r="F37680" s="2">
        <v>4.8010224950196601E-4</v>
      </c>
    </row>
    <row r="37681" spans="1:6" x14ac:dyDescent="0.25">
      <c r="A37681" s="1" t="str">
        <f t="shared" si="1357"/>
        <v>47900</v>
      </c>
      <c r="B37681" s="1" t="str">
        <f>"20172"</f>
        <v>20172</v>
      </c>
      <c r="C37681" s="2">
        <v>5.0826108958470996E-4</v>
      </c>
      <c r="D37681" s="2">
        <v>1.6552692738551001E-3</v>
      </c>
      <c r="E37681" s="2">
        <v>6.7263970726719903E-6</v>
      </c>
      <c r="F37681" s="2">
        <v>5.7282724654575097E-4</v>
      </c>
    </row>
    <row r="37682" spans="1:6" x14ac:dyDescent="0.25">
      <c r="A37682" s="1" t="str">
        <f t="shared" si="1357"/>
        <v>47900</v>
      </c>
      <c r="B37682" s="1" t="str">
        <f>"20195"</f>
        <v>20195</v>
      </c>
      <c r="C37682" s="2">
        <v>4.8831479682484504E-4</v>
      </c>
      <c r="D37682" s="2">
        <v>1.73886873213061E-3</v>
      </c>
      <c r="E37682" s="2">
        <v>1.3452794145343899E-5</v>
      </c>
      <c r="F37682" s="2">
        <v>5.6216548730378304E-4</v>
      </c>
    </row>
    <row r="37683" spans="1:6" x14ac:dyDescent="0.25">
      <c r="A37683" s="1" t="str">
        <f t="shared" si="1357"/>
        <v>47900</v>
      </c>
      <c r="B37683" s="1" t="str">
        <f>"22711"</f>
        <v>22711</v>
      </c>
      <c r="C37683" s="2">
        <v>4.9496356107813398E-5</v>
      </c>
      <c r="D37683" s="2">
        <v>4.1799729137755096E-6</v>
      </c>
      <c r="E37683" s="2">
        <v>0</v>
      </c>
      <c r="F37683" s="2">
        <v>4.36162878080521E-5</v>
      </c>
    </row>
    <row r="37684" spans="1:6" x14ac:dyDescent="0.25">
      <c r="A37684" s="1" t="str">
        <f t="shared" si="1357"/>
        <v>47900</v>
      </c>
      <c r="B37684" s="1" t="str">
        <f>"22623"</f>
        <v>22623</v>
      </c>
      <c r="C37684" s="2">
        <v>9.9362088007476105E-5</v>
      </c>
      <c r="D37684" s="2">
        <v>1.2539918741326501E-5</v>
      </c>
      <c r="E37684" s="2">
        <v>0</v>
      </c>
      <c r="F37684" s="2">
        <v>8.7878742842890202E-5</v>
      </c>
    </row>
    <row r="37685" spans="1:6" x14ac:dyDescent="0.25">
      <c r="A37685" s="1" t="str">
        <f t="shared" si="1357"/>
        <v>47900</v>
      </c>
      <c r="B37685" s="1" t="str">
        <f>"20604"</f>
        <v>20604</v>
      </c>
      <c r="C37685" s="2">
        <v>5.6403683415396299E-4</v>
      </c>
      <c r="D37685" s="2">
        <v>2.1735859151632599E-3</v>
      </c>
      <c r="E37685" s="2">
        <v>1.3452794145343899E-5</v>
      </c>
      <c r="F37685" s="2">
        <v>6.6199832384221304E-4</v>
      </c>
    </row>
    <row r="37686" spans="1:6" x14ac:dyDescent="0.25">
      <c r="A37686" s="1" t="str">
        <f t="shared" si="1357"/>
        <v>47900</v>
      </c>
      <c r="B37686" s="1" t="str">
        <f>"20675"</f>
        <v>20675</v>
      </c>
      <c r="C37686" s="2">
        <v>2.3418425203249E-4</v>
      </c>
      <c r="D37686" s="2">
        <v>2.9259810396428598E-5</v>
      </c>
      <c r="E37686" s="2">
        <v>6.7263970726719903E-6</v>
      </c>
      <c r="F37686" s="2">
        <v>2.0741967979829201E-4</v>
      </c>
    </row>
    <row r="37687" spans="1:6" x14ac:dyDescent="0.25">
      <c r="A37687" s="1" t="str">
        <f t="shared" si="1357"/>
        <v>47900</v>
      </c>
      <c r="B37687" s="1" t="str">
        <f>"20202"</f>
        <v>20202</v>
      </c>
      <c r="C37687" s="2">
        <v>0</v>
      </c>
      <c r="D37687" s="2">
        <v>8.3599458275510297E-5</v>
      </c>
      <c r="E37687" s="2">
        <v>6.7263970726719903E-6</v>
      </c>
      <c r="F37687" s="2">
        <v>6.7847558812525498E-6</v>
      </c>
    </row>
    <row r="37688" spans="1:6" x14ac:dyDescent="0.25">
      <c r="A37688" s="1" t="str">
        <f t="shared" si="1357"/>
        <v>47900</v>
      </c>
      <c r="B37688" s="1" t="str">
        <f>"22718"</f>
        <v>22718</v>
      </c>
      <c r="C37688" s="2">
        <v>1.00470215383024E-4</v>
      </c>
      <c r="D37688" s="2">
        <v>1.08679295758163E-4</v>
      </c>
      <c r="E37688" s="2">
        <v>4.0358382436031901E-5</v>
      </c>
      <c r="F37688" s="2">
        <v>9.8217418471465499E-5</v>
      </c>
    </row>
    <row r="37689" spans="1:6" x14ac:dyDescent="0.25">
      <c r="A37689" s="1" t="str">
        <f t="shared" si="1357"/>
        <v>47900</v>
      </c>
      <c r="B37689" s="1" t="str">
        <f>"25442"</f>
        <v>25442</v>
      </c>
      <c r="C37689" s="2">
        <v>3.4758262013024097E-4</v>
      </c>
      <c r="D37689" s="2">
        <v>1.08679295758163E-4</v>
      </c>
      <c r="E37689" s="2">
        <v>2.01791912180159E-5</v>
      </c>
      <c r="F37689" s="2">
        <v>3.1339110499118902E-4</v>
      </c>
    </row>
    <row r="37690" spans="1:6" x14ac:dyDescent="0.25">
      <c r="A37690" s="1" t="str">
        <f t="shared" si="1357"/>
        <v>47900</v>
      </c>
      <c r="B37690" s="1" t="str">
        <f>"20391"</f>
        <v>20391</v>
      </c>
      <c r="C37690" s="2">
        <v>0</v>
      </c>
      <c r="D37690" s="2">
        <v>4.1799729137755096E-6</v>
      </c>
      <c r="E37690" s="2">
        <v>0</v>
      </c>
      <c r="F37690" s="2">
        <v>3.2308361339297801E-7</v>
      </c>
    </row>
    <row r="37691" spans="1:6" x14ac:dyDescent="0.25">
      <c r="A37691" s="1" t="str">
        <f t="shared" si="1357"/>
        <v>47900</v>
      </c>
      <c r="B37691" s="1" t="str">
        <f>"20547"</f>
        <v>20547</v>
      </c>
      <c r="C37691" s="2">
        <v>0</v>
      </c>
      <c r="D37691" s="2">
        <v>4.1799729137755096E-6</v>
      </c>
      <c r="E37691" s="2">
        <v>0</v>
      </c>
      <c r="F37691" s="2">
        <v>3.2308361339297801E-7</v>
      </c>
    </row>
    <row r="37692" spans="1:6" x14ac:dyDescent="0.25">
      <c r="A37692" s="1" t="str">
        <f t="shared" si="1357"/>
        <v>47900</v>
      </c>
      <c r="B37692" s="1" t="str">
        <f>"22350"</f>
        <v>22350</v>
      </c>
      <c r="C37692" s="2">
        <v>0</v>
      </c>
      <c r="D37692" s="2">
        <v>4.1799729137755096E-6</v>
      </c>
      <c r="E37692" s="2">
        <v>6.7263970726719903E-6</v>
      </c>
      <c r="F37692" s="2">
        <v>6.4616722678595697E-7</v>
      </c>
    </row>
    <row r="37693" spans="1:6" x14ac:dyDescent="0.25">
      <c r="A37693" s="1" t="str">
        <f t="shared" si="1357"/>
        <v>47900</v>
      </c>
      <c r="B37693" s="1" t="str">
        <f>"20373"</f>
        <v>20373</v>
      </c>
      <c r="C37693" s="2">
        <v>0</v>
      </c>
      <c r="D37693" s="2">
        <v>1.5883897072346899E-4</v>
      </c>
      <c r="E37693" s="2">
        <v>9.4169559017407898E-5</v>
      </c>
      <c r="F37693" s="2">
        <v>1.6800347896434901E-5</v>
      </c>
    </row>
    <row r="37694" spans="1:6" x14ac:dyDescent="0.25">
      <c r="A37694" s="1" t="str">
        <f t="shared" si="1357"/>
        <v>47900</v>
      </c>
      <c r="B37694" s="1" t="str">
        <f>"20850"</f>
        <v>20850</v>
      </c>
      <c r="C37694" s="2">
        <v>7.9932921356200108E-3</v>
      </c>
      <c r="D37694" s="2">
        <v>1.7121169054824501E-2</v>
      </c>
      <c r="E37694" s="2">
        <v>1.1952807598138099E-2</v>
      </c>
      <c r="F37694" s="2">
        <v>8.8889994552810193E-3</v>
      </c>
    </row>
    <row r="37695" spans="1:6" x14ac:dyDescent="0.25">
      <c r="A37695" s="1" t="str">
        <f t="shared" si="1357"/>
        <v>47900</v>
      </c>
      <c r="B37695" s="1" t="str">
        <f>"20815"</f>
        <v>20815</v>
      </c>
      <c r="C37695" s="2">
        <v>5.8028936899533401E-3</v>
      </c>
      <c r="D37695" s="2">
        <v>3.64075640789847E-3</v>
      </c>
      <c r="E37695" s="2">
        <v>3.4439153012080599E-3</v>
      </c>
      <c r="F37695" s="2">
        <v>5.52246820372618E-3</v>
      </c>
    </row>
    <row r="37696" spans="1:6" x14ac:dyDescent="0.25">
      <c r="A37696" s="1" t="str">
        <f t="shared" si="1357"/>
        <v>47900</v>
      </c>
      <c r="B37696" s="1" t="str">
        <f>"20837"</f>
        <v>20837</v>
      </c>
      <c r="C37696" s="2">
        <v>1.02206281604716E-3</v>
      </c>
      <c r="D37696" s="2">
        <v>1.0199133909612201E-3</v>
      </c>
      <c r="E37696" s="2">
        <v>1.7488632388947101E-4</v>
      </c>
      <c r="F37696" s="2">
        <v>9.8120493387447607E-4</v>
      </c>
    </row>
    <row r="37697" spans="1:6" x14ac:dyDescent="0.25">
      <c r="A37697" s="1" t="str">
        <f t="shared" si="1357"/>
        <v>47900</v>
      </c>
      <c r="B37697" s="1" t="str">
        <f>"20842"</f>
        <v>20842</v>
      </c>
      <c r="C37697" s="2">
        <v>3.1286129569640199E-4</v>
      </c>
      <c r="D37697" s="2">
        <v>1.4211907906836699E-4</v>
      </c>
      <c r="E37697" s="2">
        <v>1.21075147308095E-4</v>
      </c>
      <c r="F37697" s="2">
        <v>2.9045216844028799E-4</v>
      </c>
    </row>
    <row r="37698" spans="1:6" x14ac:dyDescent="0.25">
      <c r="A37698" s="1" t="str">
        <f t="shared" si="1357"/>
        <v>47900</v>
      </c>
      <c r="B37698" s="1" t="str">
        <f>"20039"</f>
        <v>20039</v>
      </c>
      <c r="C37698" s="2">
        <v>2.4711240474721699E-4</v>
      </c>
      <c r="D37698" s="2">
        <v>3.6365764349846998E-4</v>
      </c>
      <c r="E37698" s="2">
        <v>1.3452794145343899E-5</v>
      </c>
      <c r="F37698" s="2">
        <v>2.4489737895187698E-4</v>
      </c>
    </row>
    <row r="37699" spans="1:6" x14ac:dyDescent="0.25">
      <c r="A37699" s="1" t="str">
        <f t="shared" si="1357"/>
        <v>47900</v>
      </c>
      <c r="B37699" s="1" t="str">
        <f>"20522"</f>
        <v>20522</v>
      </c>
      <c r="C37699" s="2">
        <v>0</v>
      </c>
      <c r="D37699" s="2">
        <v>1.2121921449948999E-4</v>
      </c>
      <c r="E37699" s="2">
        <v>2.01791912180159E-5</v>
      </c>
      <c r="F37699" s="2">
        <v>1.03386756285753E-5</v>
      </c>
    </row>
    <row r="37700" spans="1:6" x14ac:dyDescent="0.25">
      <c r="A37700" s="1" t="str">
        <f t="shared" ref="A37700:A37763" si="1358">"47900"</f>
        <v>47900</v>
      </c>
      <c r="B37700" s="1" t="str">
        <f>"20398"</f>
        <v>20398</v>
      </c>
      <c r="C37700" s="2">
        <v>0</v>
      </c>
      <c r="D37700" s="2">
        <v>4.1799729137755096E-6</v>
      </c>
      <c r="E37700" s="2">
        <v>0</v>
      </c>
      <c r="F37700" s="2">
        <v>3.2308361339297801E-7</v>
      </c>
    </row>
    <row r="37701" spans="1:6" x14ac:dyDescent="0.25">
      <c r="A37701" s="1" t="str">
        <f t="shared" si="1358"/>
        <v>47900</v>
      </c>
      <c r="B37701" s="1" t="str">
        <f>"21790"</f>
        <v>21790</v>
      </c>
      <c r="C37701" s="2">
        <v>2.4748178053906699E-5</v>
      </c>
      <c r="D37701" s="2">
        <v>1.2539918741326501E-5</v>
      </c>
      <c r="E37701" s="2">
        <v>0</v>
      </c>
      <c r="F37701" s="2">
        <v>2.2615852937508501E-5</v>
      </c>
    </row>
    <row r="37702" spans="1:6" x14ac:dyDescent="0.25">
      <c r="A37702" s="1" t="str">
        <f t="shared" si="1358"/>
        <v>47900</v>
      </c>
      <c r="B37702" s="1" t="str">
        <f>"21719"</f>
        <v>21719</v>
      </c>
      <c r="C37702" s="2">
        <v>1.1450649547329899E-5</v>
      </c>
      <c r="D37702" s="2">
        <v>4.1799729137755096E-6</v>
      </c>
      <c r="E37702" s="2">
        <v>0</v>
      </c>
      <c r="F37702" s="2">
        <v>1.03386756285753E-5</v>
      </c>
    </row>
    <row r="37703" spans="1:6" x14ac:dyDescent="0.25">
      <c r="A37703" s="1" t="str">
        <f t="shared" si="1358"/>
        <v>47900</v>
      </c>
      <c r="B37703" s="1" t="str">
        <f>"22749"</f>
        <v>22749</v>
      </c>
      <c r="C37703" s="2">
        <v>7.4613909953569402E-5</v>
      </c>
      <c r="D37703" s="2">
        <v>2.08998645688775E-5</v>
      </c>
      <c r="E37703" s="2">
        <v>0</v>
      </c>
      <c r="F37703" s="2">
        <v>6.6878307972346605E-5</v>
      </c>
    </row>
    <row r="37704" spans="1:6" x14ac:dyDescent="0.25">
      <c r="A37704" s="1" t="str">
        <f t="shared" si="1358"/>
        <v>47900</v>
      </c>
      <c r="B37704" s="1" t="str">
        <f>"20704"</f>
        <v>20704</v>
      </c>
      <c r="C37704" s="2">
        <v>3.4906012329763902E-4</v>
      </c>
      <c r="D37704" s="2">
        <v>1.12859268671939E-3</v>
      </c>
      <c r="E37704" s="2">
        <v>1.3452794145343899E-5</v>
      </c>
      <c r="F37704" s="2">
        <v>3.93192757499255E-4</v>
      </c>
    </row>
    <row r="37705" spans="1:6" x14ac:dyDescent="0.25">
      <c r="A37705" s="1" t="str">
        <f t="shared" si="1358"/>
        <v>47900</v>
      </c>
      <c r="B37705" s="1" t="str">
        <f>"20812"</f>
        <v>20812</v>
      </c>
      <c r="C37705" s="2">
        <v>1.3666904298425999E-4</v>
      </c>
      <c r="D37705" s="2">
        <v>5.3085656004948998E-4</v>
      </c>
      <c r="E37705" s="2">
        <v>4.0358382436031901E-5</v>
      </c>
      <c r="F37705" s="2">
        <v>1.6251105753666801E-4</v>
      </c>
    </row>
    <row r="37706" spans="1:6" x14ac:dyDescent="0.25">
      <c r="A37706" s="1" t="str">
        <f t="shared" si="1358"/>
        <v>47900</v>
      </c>
      <c r="B37706" s="1" t="str">
        <f>"20907"</f>
        <v>20907</v>
      </c>
      <c r="C37706" s="2">
        <v>3.4093385587695299E-4</v>
      </c>
      <c r="D37706" s="2">
        <v>1.0324533097025501E-3</v>
      </c>
      <c r="E37706" s="2">
        <v>1.3452794145343899E-5</v>
      </c>
      <c r="F37706" s="2">
        <v>3.7865399489657101E-4</v>
      </c>
    </row>
    <row r="37707" spans="1:6" x14ac:dyDescent="0.25">
      <c r="A37707" s="1" t="str">
        <f t="shared" si="1358"/>
        <v>47900</v>
      </c>
      <c r="B37707" s="1" t="str">
        <f>"22211"</f>
        <v>22211</v>
      </c>
      <c r="C37707" s="2">
        <v>4.6578287352203501E-4</v>
      </c>
      <c r="D37707" s="2">
        <v>1.08679295758163E-4</v>
      </c>
      <c r="E37707" s="2">
        <v>2.4887669168886301E-4</v>
      </c>
      <c r="F37707" s="2">
        <v>4.2776270413230399E-4</v>
      </c>
    </row>
    <row r="37708" spans="1:6" x14ac:dyDescent="0.25">
      <c r="A37708" s="1" t="str">
        <f t="shared" si="1358"/>
        <v>47900</v>
      </c>
      <c r="B37708" s="1" t="str">
        <f>"22463"</f>
        <v>22463</v>
      </c>
      <c r="C37708" s="2">
        <v>1.7139036741810001E-4</v>
      </c>
      <c r="D37708" s="2">
        <v>7.35675232824491E-4</v>
      </c>
      <c r="E37708" s="2">
        <v>1.3452794145343899E-5</v>
      </c>
      <c r="F37708" s="2">
        <v>2.0741967979829201E-4</v>
      </c>
    </row>
    <row r="37709" spans="1:6" x14ac:dyDescent="0.25">
      <c r="A37709" s="1" t="str">
        <f t="shared" si="1358"/>
        <v>47900</v>
      </c>
      <c r="B37709" s="1" t="str">
        <f>"22580"</f>
        <v>22580</v>
      </c>
      <c r="C37709" s="2">
        <v>6.8703897283979806E-5</v>
      </c>
      <c r="D37709" s="2">
        <v>1.25399187413265E-4</v>
      </c>
      <c r="E37709" s="2">
        <v>0</v>
      </c>
      <c r="F37709" s="2">
        <v>6.9786060492883407E-5</v>
      </c>
    </row>
    <row r="37710" spans="1:6" x14ac:dyDescent="0.25">
      <c r="A37710" s="1" t="str">
        <f t="shared" si="1358"/>
        <v>47900</v>
      </c>
      <c r="B37710" s="1" t="str">
        <f>"25446"</f>
        <v>25446</v>
      </c>
      <c r="C37710" s="2">
        <v>1.8616539909207399E-4</v>
      </c>
      <c r="D37710" s="2">
        <v>3.7619756223979602E-5</v>
      </c>
      <c r="E37710" s="2">
        <v>6.7263970726719903E-6</v>
      </c>
      <c r="F37710" s="2">
        <v>1.6606497728399101E-4</v>
      </c>
    </row>
    <row r="37711" spans="1:6" x14ac:dyDescent="0.25">
      <c r="A37711" s="1" t="str">
        <f t="shared" si="1358"/>
        <v>47900</v>
      </c>
      <c r="B37711" s="1" t="str">
        <f>"20792"</f>
        <v>20792</v>
      </c>
      <c r="C37711" s="2">
        <v>4.2662903958600303E-4</v>
      </c>
      <c r="D37711" s="2">
        <v>1.2874316574428501E-3</v>
      </c>
      <c r="E37711" s="2">
        <v>1.3452794145343899E-5</v>
      </c>
      <c r="F37711" s="2">
        <v>4.7331749362071397E-4</v>
      </c>
    </row>
    <row r="37712" spans="1:6" x14ac:dyDescent="0.25">
      <c r="A37712" s="1" t="str">
        <f t="shared" si="1358"/>
        <v>47900</v>
      </c>
      <c r="B37712" s="1" t="str">
        <f>"20744"</f>
        <v>20744</v>
      </c>
      <c r="C37712" s="2">
        <v>7.5459780516904402E-3</v>
      </c>
      <c r="D37712" s="2">
        <v>2.7086224481265302E-3</v>
      </c>
      <c r="E37712" s="2">
        <v>2.6300212554147399E-3</v>
      </c>
      <c r="F37712" s="2">
        <v>6.9359590123204704E-3</v>
      </c>
    </row>
    <row r="37713" spans="1:6" x14ac:dyDescent="0.25">
      <c r="A37713" s="1" t="str">
        <f t="shared" si="1358"/>
        <v>47900</v>
      </c>
      <c r="B37713" s="1" t="str">
        <f>"20740"</f>
        <v>20740</v>
      </c>
      <c r="C37713" s="2">
        <v>4.5108171700642997E-3</v>
      </c>
      <c r="D37713" s="2">
        <v>4.53527061144643E-3</v>
      </c>
      <c r="E37713" s="2">
        <v>4.4797804503995398E-3</v>
      </c>
      <c r="F37713" s="2">
        <v>4.5112164938061602E-3</v>
      </c>
    </row>
    <row r="37714" spans="1:6" x14ac:dyDescent="0.25">
      <c r="A37714" s="1" t="str">
        <f t="shared" si="1358"/>
        <v>47900</v>
      </c>
      <c r="B37714" s="1" t="str">
        <f>"20742"</f>
        <v>20742</v>
      </c>
      <c r="C37714" s="2">
        <v>0</v>
      </c>
      <c r="D37714" s="2">
        <v>0</v>
      </c>
      <c r="E37714" s="2">
        <v>3.5602819705652801E-2</v>
      </c>
      <c r="F37714" s="2">
        <v>1.7100815656890299E-3</v>
      </c>
    </row>
    <row r="37715" spans="1:6" x14ac:dyDescent="0.25">
      <c r="A37715" s="1" t="str">
        <f t="shared" si="1358"/>
        <v>47900</v>
      </c>
      <c r="B37715" s="1" t="str">
        <f>"21703"</f>
        <v>21703</v>
      </c>
      <c r="C37715" s="2">
        <v>5.7171985062442901E-3</v>
      </c>
      <c r="D37715" s="2">
        <v>5.7474627564413298E-3</v>
      </c>
      <c r="E37715" s="2">
        <v>4.634487583071E-3</v>
      </c>
      <c r="F37715" s="2">
        <v>5.6675327461396304E-3</v>
      </c>
    </row>
    <row r="37716" spans="1:6" x14ac:dyDescent="0.25">
      <c r="A37716" s="1" t="str">
        <f t="shared" si="1358"/>
        <v>47900</v>
      </c>
      <c r="B37716" s="1" t="str">
        <f>"20110"</f>
        <v>20110</v>
      </c>
      <c r="C37716" s="2">
        <v>5.8346600080523897E-3</v>
      </c>
      <c r="D37716" s="2">
        <v>1.09389891153505E-2</v>
      </c>
      <c r="E37716" s="2">
        <v>5.8586918502972997E-3</v>
      </c>
      <c r="F37716" s="2">
        <v>6.2303444006701998E-3</v>
      </c>
    </row>
    <row r="37717" spans="1:6" x14ac:dyDescent="0.25">
      <c r="A37717" s="1" t="str">
        <f t="shared" si="1358"/>
        <v>47900</v>
      </c>
      <c r="B37717" s="1" t="str">
        <f>"20105"</f>
        <v>20105</v>
      </c>
      <c r="C37717" s="2">
        <v>3.6712259951907199E-3</v>
      </c>
      <c r="D37717" s="2">
        <v>4.6815696634285801E-4</v>
      </c>
      <c r="E37717" s="2">
        <v>3.3631985363359899E-4</v>
      </c>
      <c r="F37717" s="2">
        <v>3.2634675788824701E-3</v>
      </c>
    </row>
    <row r="37718" spans="1:6" x14ac:dyDescent="0.25">
      <c r="A37718" s="1" t="str">
        <f t="shared" si="1358"/>
        <v>47900</v>
      </c>
      <c r="B37718" s="1" t="str">
        <f>"21758"</f>
        <v>21758</v>
      </c>
      <c r="C37718" s="2">
        <v>4.27737166961551E-4</v>
      </c>
      <c r="D37718" s="2">
        <v>5.01596749653062E-5</v>
      </c>
      <c r="E37718" s="2">
        <v>6.0537573654047902E-5</v>
      </c>
      <c r="F37718" s="2">
        <v>3.8091558019032201E-4</v>
      </c>
    </row>
    <row r="37719" spans="1:6" x14ac:dyDescent="0.25">
      <c r="A37719" s="1" t="str">
        <f t="shared" si="1358"/>
        <v>47900</v>
      </c>
      <c r="B37719" s="1" t="str">
        <f>"22033"</f>
        <v>22033</v>
      </c>
      <c r="C37719" s="2">
        <v>6.0149153944748703E-3</v>
      </c>
      <c r="D37719" s="2">
        <v>4.1172733200688797E-3</v>
      </c>
      <c r="E37719" s="2">
        <v>8.5357978852207608E-3</v>
      </c>
      <c r="F37719" s="2">
        <v>5.9893240250790403E-3</v>
      </c>
    </row>
    <row r="37720" spans="1:6" x14ac:dyDescent="0.25">
      <c r="A37720" s="1" t="str">
        <f t="shared" si="1358"/>
        <v>47900</v>
      </c>
      <c r="B37720" s="1" t="str">
        <f>"20289"</f>
        <v>20289</v>
      </c>
      <c r="C37720" s="2">
        <v>0</v>
      </c>
      <c r="D37720" s="2">
        <v>4.1799729137755096E-6</v>
      </c>
      <c r="E37720" s="2">
        <v>0</v>
      </c>
      <c r="F37720" s="2">
        <v>3.2308361339297801E-7</v>
      </c>
    </row>
    <row r="37721" spans="1:6" x14ac:dyDescent="0.25">
      <c r="A37721" s="1" t="str">
        <f t="shared" si="1358"/>
        <v>47900</v>
      </c>
      <c r="B37721" s="1" t="str">
        <f>"20552"</f>
        <v>20552</v>
      </c>
      <c r="C37721" s="2">
        <v>0</v>
      </c>
      <c r="D37721" s="2">
        <v>4.1799729137755096E-6</v>
      </c>
      <c r="E37721" s="2">
        <v>0</v>
      </c>
      <c r="F37721" s="2">
        <v>3.2308361339297801E-7</v>
      </c>
    </row>
    <row r="37722" spans="1:6" x14ac:dyDescent="0.25">
      <c r="A37722" s="1" t="str">
        <f t="shared" si="1358"/>
        <v>47900</v>
      </c>
      <c r="B37722" s="1" t="str">
        <f>"20101"</f>
        <v>20101</v>
      </c>
      <c r="C37722" s="2">
        <v>0</v>
      </c>
      <c r="D37722" s="2">
        <v>4.1799729137755096E-6</v>
      </c>
      <c r="E37722" s="2">
        <v>6.7263970726719903E-6</v>
      </c>
      <c r="F37722" s="2">
        <v>6.4616722678595697E-7</v>
      </c>
    </row>
    <row r="37723" spans="1:6" x14ac:dyDescent="0.25">
      <c r="A37723" s="1" t="str">
        <f t="shared" si="1358"/>
        <v>47900</v>
      </c>
      <c r="B37723" s="1" t="str">
        <f>"20073"</f>
        <v>20073</v>
      </c>
      <c r="C37723" s="2">
        <v>0</v>
      </c>
      <c r="D37723" s="2">
        <v>4.1799729137755096E-6</v>
      </c>
      <c r="E37723" s="2">
        <v>0</v>
      </c>
      <c r="F37723" s="2">
        <v>3.2308361339297801E-7</v>
      </c>
    </row>
    <row r="37724" spans="1:6" x14ac:dyDescent="0.25">
      <c r="A37724" s="1" t="str">
        <f t="shared" si="1358"/>
        <v>47900</v>
      </c>
      <c r="B37724" s="1" t="str">
        <f>"20425"</f>
        <v>20425</v>
      </c>
      <c r="C37724" s="2">
        <v>0</v>
      </c>
      <c r="D37724" s="2">
        <v>4.1799729137755096E-6</v>
      </c>
      <c r="E37724" s="2">
        <v>0</v>
      </c>
      <c r="F37724" s="2">
        <v>3.2308361339297801E-7</v>
      </c>
    </row>
    <row r="37725" spans="1:6" x14ac:dyDescent="0.25">
      <c r="A37725" s="1" t="str">
        <f t="shared" si="1358"/>
        <v>47900</v>
      </c>
      <c r="B37725" s="1" t="str">
        <f>"20404"</f>
        <v>20404</v>
      </c>
      <c r="C37725" s="2">
        <v>0</v>
      </c>
      <c r="D37725" s="2">
        <v>4.1799729137755096E-6</v>
      </c>
      <c r="E37725" s="2">
        <v>0</v>
      </c>
      <c r="F37725" s="2">
        <v>3.2308361339297801E-7</v>
      </c>
    </row>
    <row r="37726" spans="1:6" x14ac:dyDescent="0.25">
      <c r="A37726" s="1" t="str">
        <f t="shared" si="1358"/>
        <v>47900</v>
      </c>
      <c r="B37726" s="1" t="str">
        <f>"20402"</f>
        <v>20402</v>
      </c>
      <c r="C37726" s="2">
        <v>0</v>
      </c>
      <c r="D37726" s="2">
        <v>4.1799729137755096E-6</v>
      </c>
      <c r="E37726" s="2">
        <v>0</v>
      </c>
      <c r="F37726" s="2">
        <v>3.2308361339297801E-7</v>
      </c>
    </row>
    <row r="37727" spans="1:6" x14ac:dyDescent="0.25">
      <c r="A37727" s="1" t="str">
        <f t="shared" si="1358"/>
        <v>47900</v>
      </c>
      <c r="B37727" s="1" t="str">
        <f>"20069"</f>
        <v>20069</v>
      </c>
      <c r="C37727" s="2">
        <v>0</v>
      </c>
      <c r="D37727" s="2">
        <v>4.1799729137755096E-6</v>
      </c>
      <c r="E37727" s="2">
        <v>0</v>
      </c>
      <c r="F37727" s="2">
        <v>3.2308361339297801E-7</v>
      </c>
    </row>
    <row r="37728" spans="1:6" x14ac:dyDescent="0.25">
      <c r="A37728" s="1" t="str">
        <f t="shared" si="1358"/>
        <v>47900</v>
      </c>
      <c r="B37728" s="1" t="str">
        <f>"20420"</f>
        <v>20420</v>
      </c>
      <c r="C37728" s="2">
        <v>0</v>
      </c>
      <c r="D37728" s="2">
        <v>4.1799729137755096E-6</v>
      </c>
      <c r="E37728" s="2">
        <v>0</v>
      </c>
      <c r="F37728" s="2">
        <v>3.2308361339297801E-7</v>
      </c>
    </row>
    <row r="37729" spans="1:6" x14ac:dyDescent="0.25">
      <c r="A37729" s="1" t="str">
        <f t="shared" si="1358"/>
        <v>47900</v>
      </c>
      <c r="B37729" s="1" t="str">
        <f>"20340"</f>
        <v>20340</v>
      </c>
      <c r="C37729" s="2">
        <v>0</v>
      </c>
      <c r="D37729" s="2">
        <v>4.1799729137755096E-6</v>
      </c>
      <c r="E37729" s="2">
        <v>0</v>
      </c>
      <c r="F37729" s="2">
        <v>3.2308361339297801E-7</v>
      </c>
    </row>
    <row r="37730" spans="1:6" x14ac:dyDescent="0.25">
      <c r="A37730" s="1" t="str">
        <f t="shared" si="1358"/>
        <v>47900</v>
      </c>
      <c r="B37730" s="1" t="str">
        <f>"20541"</f>
        <v>20541</v>
      </c>
      <c r="C37730" s="2">
        <v>0</v>
      </c>
      <c r="D37730" s="2">
        <v>4.1799729137755101E-5</v>
      </c>
      <c r="E37730" s="2">
        <v>1.3452794145343899E-5</v>
      </c>
      <c r="F37730" s="2">
        <v>3.8770033607157401E-6</v>
      </c>
    </row>
    <row r="37731" spans="1:6" x14ac:dyDescent="0.25">
      <c r="A37731" s="1" t="str">
        <f t="shared" si="1358"/>
        <v>47900</v>
      </c>
      <c r="B37731" s="1" t="str">
        <f>"20790"</f>
        <v>20790</v>
      </c>
      <c r="C37731" s="2">
        <v>0</v>
      </c>
      <c r="D37731" s="2">
        <v>1.2539918741326501E-5</v>
      </c>
      <c r="E37731" s="2">
        <v>1.3452794145343899E-5</v>
      </c>
      <c r="F37731" s="2">
        <v>1.6154180669648901E-6</v>
      </c>
    </row>
    <row r="37732" spans="1:6" x14ac:dyDescent="0.25">
      <c r="A37732" s="1" t="str">
        <f t="shared" si="1358"/>
        <v>47900</v>
      </c>
      <c r="B37732" s="1" t="str">
        <f>"22546"</f>
        <v>22546</v>
      </c>
      <c r="C37732" s="2">
        <v>1.07118979636312E-5</v>
      </c>
      <c r="D37732" s="2">
        <v>0</v>
      </c>
      <c r="E37732" s="2">
        <v>0</v>
      </c>
      <c r="F37732" s="2">
        <v>9.3694247883963794E-6</v>
      </c>
    </row>
    <row r="37733" spans="1:6" x14ac:dyDescent="0.25">
      <c r="A37733" s="1" t="str">
        <f t="shared" si="1358"/>
        <v>47900</v>
      </c>
      <c r="B37733" s="1" t="str">
        <f>"20566"</f>
        <v>20566</v>
      </c>
      <c r="C37733" s="2">
        <v>0</v>
      </c>
      <c r="D37733" s="2">
        <v>8.3599458275510293E-6</v>
      </c>
      <c r="E37733" s="2">
        <v>0</v>
      </c>
      <c r="F37733" s="2">
        <v>6.4616722678595697E-7</v>
      </c>
    </row>
    <row r="37734" spans="1:6" x14ac:dyDescent="0.25">
      <c r="A37734" s="1" t="str">
        <f t="shared" si="1358"/>
        <v>47900</v>
      </c>
      <c r="B37734" s="1" t="str">
        <f>"20750"</f>
        <v>20750</v>
      </c>
      <c r="C37734" s="2">
        <v>2.7075245542557602E-4</v>
      </c>
      <c r="D37734" s="2">
        <v>5.9773612666989904E-4</v>
      </c>
      <c r="E37734" s="2">
        <v>1.3452794145343899E-5</v>
      </c>
      <c r="F37734" s="2">
        <v>2.8366741255903498E-4</v>
      </c>
    </row>
    <row r="37735" spans="1:6" x14ac:dyDescent="0.25">
      <c r="A37735" s="1" t="str">
        <f t="shared" si="1358"/>
        <v>47900</v>
      </c>
      <c r="B37735" s="1" t="str">
        <f>"20510"</f>
        <v>20510</v>
      </c>
      <c r="C37735" s="2">
        <v>0</v>
      </c>
      <c r="D37735" s="2">
        <v>4.1799729137755096E-6</v>
      </c>
      <c r="E37735" s="2">
        <v>1.47980735598783E-3</v>
      </c>
      <c r="F37735" s="2">
        <v>7.1401478559848301E-5</v>
      </c>
    </row>
    <row r="37736" spans="1:6" x14ac:dyDescent="0.25">
      <c r="A37736" s="1" t="str">
        <f t="shared" si="1358"/>
        <v>47900</v>
      </c>
      <c r="B37736" s="1" t="str">
        <f>"20017"</f>
        <v>20017</v>
      </c>
      <c r="C37736" s="2">
        <v>3.4001041639732999E-3</v>
      </c>
      <c r="D37736" s="2">
        <v>2.7546021501780602E-3</v>
      </c>
      <c r="E37736" s="2">
        <v>4.19727177334732E-3</v>
      </c>
      <c r="F37736" s="2">
        <v>3.3885009372655599E-3</v>
      </c>
    </row>
    <row r="37737" spans="1:6" x14ac:dyDescent="0.25">
      <c r="A37737" s="1" t="str">
        <f t="shared" si="1358"/>
        <v>47900</v>
      </c>
      <c r="B37737" s="1" t="str">
        <f>"20685"</f>
        <v>20685</v>
      </c>
      <c r="C37737" s="2">
        <v>9.7404396310674503E-4</v>
      </c>
      <c r="D37737" s="2">
        <v>1.29579160327041E-4</v>
      </c>
      <c r="E37737" s="2">
        <v>1.8833911803481501E-4</v>
      </c>
      <c r="F37737" s="2">
        <v>8.7103342170747103E-4</v>
      </c>
    </row>
    <row r="37738" spans="1:6" x14ac:dyDescent="0.25">
      <c r="A37738" s="1" t="str">
        <f t="shared" si="1358"/>
        <v>47900</v>
      </c>
      <c r="B37738" s="1" t="str">
        <f>"20659"</f>
        <v>20659</v>
      </c>
      <c r="C37738" s="2">
        <v>4.1000712895278197E-5</v>
      </c>
      <c r="D37738" s="2">
        <v>1.2539918741326501E-5</v>
      </c>
      <c r="E37738" s="2">
        <v>0</v>
      </c>
      <c r="F37738" s="2">
        <v>3.6831531926799503E-5</v>
      </c>
    </row>
    <row r="37739" spans="1:6" x14ac:dyDescent="0.25">
      <c r="A37739" s="1" t="str">
        <f t="shared" si="1358"/>
        <v>47900</v>
      </c>
      <c r="B37739" s="1" t="str">
        <f>"20677"</f>
        <v>20677</v>
      </c>
      <c r="C37739" s="2">
        <v>3.37609473750309E-4</v>
      </c>
      <c r="D37739" s="2">
        <v>6.6879566620408194E-5</v>
      </c>
      <c r="E37739" s="2">
        <v>2.69055882906879E-5</v>
      </c>
      <c r="F37739" s="2">
        <v>3.0176009490904198E-4</v>
      </c>
    </row>
    <row r="37740" spans="1:6" x14ac:dyDescent="0.25">
      <c r="A37740" s="1" t="str">
        <f t="shared" si="1358"/>
        <v>47900</v>
      </c>
      <c r="B37740" s="1" t="str">
        <f>"20693"</f>
        <v>20693</v>
      </c>
      <c r="C37740" s="2">
        <v>1.4996657149083699E-4</v>
      </c>
      <c r="D37740" s="2">
        <v>2.50798374826531E-5</v>
      </c>
      <c r="E37740" s="2">
        <v>2.01791912180159E-5</v>
      </c>
      <c r="F37740" s="2">
        <v>1.3407969955808599E-4</v>
      </c>
    </row>
    <row r="37741" spans="1:6" x14ac:dyDescent="0.25">
      <c r="A37741" s="1" t="str">
        <f t="shared" si="1358"/>
        <v>47900</v>
      </c>
      <c r="B37741" s="1" t="str">
        <f>"20233"</f>
        <v>20233</v>
      </c>
      <c r="C37741" s="2">
        <v>0</v>
      </c>
      <c r="D37741" s="2">
        <v>4.1799729137755096E-6</v>
      </c>
      <c r="E37741" s="2">
        <v>7.1299808970323101E-4</v>
      </c>
      <c r="F37741" s="2">
        <v>3.4569946633048703E-5</v>
      </c>
    </row>
    <row r="37742" spans="1:6" x14ac:dyDescent="0.25">
      <c r="A37742" s="1" t="str">
        <f t="shared" si="1358"/>
        <v>47900</v>
      </c>
      <c r="B37742" s="1" t="str">
        <f>"20376"</f>
        <v>20376</v>
      </c>
      <c r="C37742" s="2">
        <v>0</v>
      </c>
      <c r="D37742" s="2">
        <v>5.5468240565801101E-3</v>
      </c>
      <c r="E37742" s="2">
        <v>0</v>
      </c>
      <c r="F37742" s="2">
        <v>4.2873195497248202E-4</v>
      </c>
    </row>
    <row r="37743" spans="1:6" x14ac:dyDescent="0.25">
      <c r="A37743" s="1" t="str">
        <f t="shared" si="1358"/>
        <v>47900</v>
      </c>
      <c r="B37743" s="1" t="str">
        <f>"20040"</f>
        <v>20040</v>
      </c>
      <c r="C37743" s="2">
        <v>4.5691785451764999E-4</v>
      </c>
      <c r="D37743" s="2">
        <v>1.0324533097025501E-3</v>
      </c>
      <c r="E37743" s="2">
        <v>1.3452794145343899E-5</v>
      </c>
      <c r="F37743" s="2">
        <v>4.8010224950196601E-4</v>
      </c>
    </row>
    <row r="37744" spans="1:6" x14ac:dyDescent="0.25">
      <c r="A37744" s="1" t="str">
        <f t="shared" si="1358"/>
        <v>47900</v>
      </c>
      <c r="B37744" s="1" t="str">
        <f>"20833"</f>
        <v>20833</v>
      </c>
      <c r="C37744" s="2">
        <v>9.6370144093496396E-4</v>
      </c>
      <c r="D37744" s="2">
        <v>1.04499322844387E-4</v>
      </c>
      <c r="E37744" s="2">
        <v>1.21075147308095E-4</v>
      </c>
      <c r="F37744" s="2">
        <v>8.5681774271817901E-4</v>
      </c>
    </row>
    <row r="37745" spans="1:6" x14ac:dyDescent="0.25">
      <c r="A37745" s="1" t="str">
        <f t="shared" si="1358"/>
        <v>47900</v>
      </c>
      <c r="B37745" s="1" t="str">
        <f>"20824"</f>
        <v>20824</v>
      </c>
      <c r="C37745" s="2">
        <v>2.65581194339685E-4</v>
      </c>
      <c r="D37745" s="2">
        <v>1.0575331471852E-3</v>
      </c>
      <c r="E37745" s="2">
        <v>1.3452794145343899E-5</v>
      </c>
      <c r="F37745" s="2">
        <v>3.1468343944476103E-4</v>
      </c>
    </row>
    <row r="37746" spans="1:6" x14ac:dyDescent="0.25">
      <c r="A37746" s="1" t="str">
        <f t="shared" si="1358"/>
        <v>47900</v>
      </c>
      <c r="B37746" s="1" t="str">
        <f>"20301"</f>
        <v>20301</v>
      </c>
      <c r="C37746" s="2">
        <v>0</v>
      </c>
      <c r="D37746" s="2">
        <v>4.1799729137755096E-6</v>
      </c>
      <c r="E37746" s="2">
        <v>4.97753383377727E-4</v>
      </c>
      <c r="F37746" s="2">
        <v>2.4231271004473401E-5</v>
      </c>
    </row>
    <row r="37747" spans="1:6" x14ac:dyDescent="0.25">
      <c r="A37747" s="1" t="str">
        <f t="shared" si="1358"/>
        <v>47900</v>
      </c>
      <c r="B37747" s="1" t="str">
        <f>"20226"</f>
        <v>20226</v>
      </c>
      <c r="C37747" s="2">
        <v>0</v>
      </c>
      <c r="D37747" s="2">
        <v>4.5979702051530701E-5</v>
      </c>
      <c r="E37747" s="2">
        <v>0</v>
      </c>
      <c r="F37747" s="2">
        <v>3.5539197473227599E-6</v>
      </c>
    </row>
    <row r="37748" spans="1:6" x14ac:dyDescent="0.25">
      <c r="A37748" s="1" t="str">
        <f t="shared" si="1358"/>
        <v>47900</v>
      </c>
      <c r="B37748" s="1" t="str">
        <f>"20757"</f>
        <v>20757</v>
      </c>
      <c r="C37748" s="2">
        <v>4.4768345972141598E-4</v>
      </c>
      <c r="D37748" s="2">
        <v>9.4885385142704198E-4</v>
      </c>
      <c r="E37748" s="2">
        <v>1.3452794145343899E-5</v>
      </c>
      <c r="F37748" s="2">
        <v>4.6556348689928202E-4</v>
      </c>
    </row>
    <row r="37749" spans="1:6" x14ac:dyDescent="0.25">
      <c r="A37749" s="1" t="str">
        <f t="shared" si="1358"/>
        <v>47900</v>
      </c>
      <c r="B37749" s="1" t="str">
        <f>"22320"</f>
        <v>22320</v>
      </c>
      <c r="C37749" s="2">
        <v>1.83579768549128E-4</v>
      </c>
      <c r="D37749" s="2">
        <v>6.8133558494540899E-4</v>
      </c>
      <c r="E37749" s="2">
        <v>6.7263970726719903E-6</v>
      </c>
      <c r="F37749" s="2">
        <v>2.13558268452759E-4</v>
      </c>
    </row>
    <row r="37750" spans="1:6" x14ac:dyDescent="0.25">
      <c r="A37750" s="1" t="str">
        <f t="shared" si="1358"/>
        <v>47900</v>
      </c>
      <c r="B37750" s="1" t="str">
        <f>"20772"</f>
        <v>20772</v>
      </c>
      <c r="C37750" s="2">
        <v>7.4455078363074197E-3</v>
      </c>
      <c r="D37750" s="2">
        <v>4.4182313698607201E-3</v>
      </c>
      <c r="E37750" s="2">
        <v>2.5291252993246598E-3</v>
      </c>
      <c r="F37750" s="2">
        <v>6.9753752131544097E-3</v>
      </c>
    </row>
    <row r="37751" spans="1:6" x14ac:dyDescent="0.25">
      <c r="A37751" s="1" t="str">
        <f t="shared" si="1358"/>
        <v>47900</v>
      </c>
      <c r="B37751" s="1" t="str">
        <f>"22243"</f>
        <v>22243</v>
      </c>
      <c r="C37751" s="2">
        <v>0</v>
      </c>
      <c r="D37751" s="2">
        <v>4.1799729137755096E-6</v>
      </c>
      <c r="E37751" s="2">
        <v>0</v>
      </c>
      <c r="F37751" s="2">
        <v>3.2308361339297801E-7</v>
      </c>
    </row>
    <row r="37752" spans="1:6" x14ac:dyDescent="0.25">
      <c r="A37752" s="1" t="str">
        <f t="shared" si="1358"/>
        <v>47900</v>
      </c>
      <c r="B37752" s="1" t="str">
        <f>"20538"</f>
        <v>20538</v>
      </c>
      <c r="C37752" s="2">
        <v>0</v>
      </c>
      <c r="D37752" s="2">
        <v>4.1799729137755096E-6</v>
      </c>
      <c r="E37752" s="2">
        <v>0</v>
      </c>
      <c r="F37752" s="2">
        <v>3.2308361339297801E-7</v>
      </c>
    </row>
    <row r="37753" spans="1:6" x14ac:dyDescent="0.25">
      <c r="A37753" s="1" t="str">
        <f t="shared" si="1358"/>
        <v>47900</v>
      </c>
      <c r="B37753" s="1" t="str">
        <f>"20525"</f>
        <v>20525</v>
      </c>
      <c r="C37753" s="2">
        <v>0</v>
      </c>
      <c r="D37753" s="2">
        <v>4.1799729137755096E-6</v>
      </c>
      <c r="E37753" s="2">
        <v>0</v>
      </c>
      <c r="F37753" s="2">
        <v>3.2308361339297801E-7</v>
      </c>
    </row>
    <row r="37754" spans="1:6" x14ac:dyDescent="0.25">
      <c r="A37754" s="1" t="str">
        <f t="shared" si="1358"/>
        <v>47900</v>
      </c>
      <c r="B37754" s="1" t="str">
        <f>"20414"</f>
        <v>20414</v>
      </c>
      <c r="C37754" s="2">
        <v>0</v>
      </c>
      <c r="D37754" s="2">
        <v>4.1799729137755096E-6</v>
      </c>
      <c r="E37754" s="2">
        <v>0</v>
      </c>
      <c r="F37754" s="2">
        <v>3.2308361339297801E-7</v>
      </c>
    </row>
    <row r="37755" spans="1:6" x14ac:dyDescent="0.25">
      <c r="A37755" s="1" t="str">
        <f t="shared" si="1358"/>
        <v>47900</v>
      </c>
      <c r="B37755" s="1" t="str">
        <f>"20442"</f>
        <v>20442</v>
      </c>
      <c r="C37755" s="2">
        <v>0</v>
      </c>
      <c r="D37755" s="2">
        <v>4.1799729137755096E-6</v>
      </c>
      <c r="E37755" s="2">
        <v>0</v>
      </c>
      <c r="F37755" s="2">
        <v>3.2308361339297801E-7</v>
      </c>
    </row>
    <row r="37756" spans="1:6" x14ac:dyDescent="0.25">
      <c r="A37756" s="1" t="str">
        <f t="shared" si="1358"/>
        <v>47900</v>
      </c>
      <c r="B37756" s="1" t="str">
        <f>"20389"</f>
        <v>20389</v>
      </c>
      <c r="C37756" s="2">
        <v>0</v>
      </c>
      <c r="D37756" s="2">
        <v>4.1799729137755096E-6</v>
      </c>
      <c r="E37756" s="2">
        <v>0</v>
      </c>
      <c r="F37756" s="2">
        <v>3.2308361339297801E-7</v>
      </c>
    </row>
    <row r="37757" spans="1:6" x14ac:dyDescent="0.25">
      <c r="A37757" s="1" t="str">
        <f t="shared" si="1358"/>
        <v>47900</v>
      </c>
      <c r="B37757" s="1" t="str">
        <f>"25441"</f>
        <v>25441</v>
      </c>
      <c r="C37757" s="2">
        <v>0</v>
      </c>
      <c r="D37757" s="2">
        <v>0</v>
      </c>
      <c r="E37757" s="2">
        <v>1.3452794145343899E-5</v>
      </c>
      <c r="F37757" s="2">
        <v>6.4616722678595697E-7</v>
      </c>
    </row>
    <row r="37758" spans="1:6" x14ac:dyDescent="0.25">
      <c r="A37758" s="1" t="str">
        <f t="shared" si="1358"/>
        <v>47900</v>
      </c>
      <c r="B37758" s="1" t="str">
        <f>"20431"</f>
        <v>20431</v>
      </c>
      <c r="C37758" s="2">
        <v>0</v>
      </c>
      <c r="D37758" s="2">
        <v>8.3599458275510293E-6</v>
      </c>
      <c r="E37758" s="2">
        <v>0</v>
      </c>
      <c r="F37758" s="2">
        <v>6.4616722678595697E-7</v>
      </c>
    </row>
    <row r="37759" spans="1:6" x14ac:dyDescent="0.25">
      <c r="A37759" s="1" t="str">
        <f t="shared" si="1358"/>
        <v>47900</v>
      </c>
      <c r="B37759" s="1" t="str">
        <f>"20894"</f>
        <v>20894</v>
      </c>
      <c r="C37759" s="2">
        <v>0</v>
      </c>
      <c r="D37759" s="2">
        <v>4.1799729137755096E-6</v>
      </c>
      <c r="E37759" s="2">
        <v>0</v>
      </c>
      <c r="F37759" s="2">
        <v>3.2308361339297801E-7</v>
      </c>
    </row>
    <row r="37760" spans="1:6" x14ac:dyDescent="0.25">
      <c r="A37760" s="1" t="str">
        <f t="shared" si="1358"/>
        <v>47900</v>
      </c>
      <c r="B37760" s="1" t="str">
        <f>"22241"</f>
        <v>22241</v>
      </c>
      <c r="C37760" s="2">
        <v>0</v>
      </c>
      <c r="D37760" s="2">
        <v>4.1799729137755096E-6</v>
      </c>
      <c r="E37760" s="2">
        <v>0</v>
      </c>
      <c r="F37760" s="2">
        <v>3.2308361339297801E-7</v>
      </c>
    </row>
    <row r="37761" spans="1:6" x14ac:dyDescent="0.25">
      <c r="A37761" s="1" t="str">
        <f t="shared" si="1358"/>
        <v>47900</v>
      </c>
      <c r="B37761" s="1" t="str">
        <f>"20435"</f>
        <v>20435</v>
      </c>
      <c r="C37761" s="2">
        <v>0</v>
      </c>
      <c r="D37761" s="2">
        <v>4.1799729137755096E-6</v>
      </c>
      <c r="E37761" s="2">
        <v>0</v>
      </c>
      <c r="F37761" s="2">
        <v>3.2308361339297801E-7</v>
      </c>
    </row>
    <row r="37762" spans="1:6" x14ac:dyDescent="0.25">
      <c r="A37762" s="1" t="str">
        <f t="shared" si="1358"/>
        <v>47900</v>
      </c>
      <c r="B37762" s="1" t="str">
        <f>"20507"</f>
        <v>20507</v>
      </c>
      <c r="C37762" s="2">
        <v>0</v>
      </c>
      <c r="D37762" s="2">
        <v>4.1799729137755096E-6</v>
      </c>
      <c r="E37762" s="2">
        <v>0</v>
      </c>
      <c r="F37762" s="2">
        <v>3.2308361339297801E-7</v>
      </c>
    </row>
    <row r="37763" spans="1:6" x14ac:dyDescent="0.25">
      <c r="A37763" s="1" t="str">
        <f t="shared" si="1358"/>
        <v>47900</v>
      </c>
      <c r="B37763" s="1" t="str">
        <f>"20215"</f>
        <v>20215</v>
      </c>
      <c r="C37763" s="2">
        <v>0</v>
      </c>
      <c r="D37763" s="2">
        <v>4.1799729137755096E-6</v>
      </c>
      <c r="E37763" s="2">
        <v>0</v>
      </c>
      <c r="F37763" s="2">
        <v>3.2308361339297801E-7</v>
      </c>
    </row>
    <row r="37764" spans="1:6" x14ac:dyDescent="0.25">
      <c r="A37764" s="1" t="str">
        <f t="shared" ref="A37764:A37827" si="1359">"47900"</f>
        <v>47900</v>
      </c>
      <c r="B37764" s="1" t="str">
        <f>"20228"</f>
        <v>20228</v>
      </c>
      <c r="C37764" s="2">
        <v>0</v>
      </c>
      <c r="D37764" s="2">
        <v>4.1799729137755096E-6</v>
      </c>
      <c r="E37764" s="2">
        <v>0</v>
      </c>
      <c r="F37764" s="2">
        <v>3.2308361339297801E-7</v>
      </c>
    </row>
    <row r="37765" spans="1:6" x14ac:dyDescent="0.25">
      <c r="A37765" s="1" t="str">
        <f t="shared" si="1359"/>
        <v>47900</v>
      </c>
      <c r="B37765" s="1" t="str">
        <f>"20242"</f>
        <v>20242</v>
      </c>
      <c r="C37765" s="2">
        <v>0</v>
      </c>
      <c r="D37765" s="2">
        <v>2.08998645688775E-5</v>
      </c>
      <c r="E37765" s="2">
        <v>0</v>
      </c>
      <c r="F37765" s="2">
        <v>1.6154180669648901E-6</v>
      </c>
    </row>
    <row r="37766" spans="1:6" x14ac:dyDescent="0.25">
      <c r="A37766" s="1" t="str">
        <f t="shared" si="1359"/>
        <v>47900</v>
      </c>
      <c r="B37766" s="1" t="str">
        <f>"20149"</f>
        <v>20149</v>
      </c>
      <c r="C37766" s="2">
        <v>0</v>
      </c>
      <c r="D37766" s="2">
        <v>8.3599458275510293E-6</v>
      </c>
      <c r="E37766" s="2">
        <v>0</v>
      </c>
      <c r="F37766" s="2">
        <v>6.4616722678595697E-7</v>
      </c>
    </row>
    <row r="37767" spans="1:6" x14ac:dyDescent="0.25">
      <c r="A37767" s="1" t="str">
        <f t="shared" si="1359"/>
        <v>47900</v>
      </c>
      <c r="B37767" s="1" t="str">
        <f>"22545"</f>
        <v>22545</v>
      </c>
      <c r="C37767" s="2">
        <v>0</v>
      </c>
      <c r="D37767" s="2">
        <v>0</v>
      </c>
      <c r="E37767" s="2">
        <v>2.01791912180159E-5</v>
      </c>
      <c r="F37767" s="2">
        <v>9.6925084017893608E-7</v>
      </c>
    </row>
    <row r="37768" spans="1:6" x14ac:dyDescent="0.25">
      <c r="A37768" s="1" t="str">
        <f t="shared" si="1359"/>
        <v>47900</v>
      </c>
      <c r="B37768" s="1" t="str">
        <f>"22121"</f>
        <v>22121</v>
      </c>
      <c r="C37768" s="2">
        <v>6.7226394116582302E-5</v>
      </c>
      <c r="D37768" s="2">
        <v>5.3503653296326599E-4</v>
      </c>
      <c r="E37768" s="2">
        <v>1.3452794145343899E-5</v>
      </c>
      <c r="F37768" s="2">
        <v>1.00802087378609E-4</v>
      </c>
    </row>
    <row r="37769" spans="1:6" x14ac:dyDescent="0.25">
      <c r="A37769" s="1" t="str">
        <f t="shared" si="1359"/>
        <v>47900</v>
      </c>
      <c r="B37769" s="1" t="str">
        <f>"20535"</f>
        <v>20535</v>
      </c>
      <c r="C37769" s="2">
        <v>0</v>
      </c>
      <c r="D37769" s="2">
        <v>8.3599458275510293E-6</v>
      </c>
      <c r="E37769" s="2">
        <v>0</v>
      </c>
      <c r="F37769" s="2">
        <v>6.4616722678595697E-7</v>
      </c>
    </row>
    <row r="37770" spans="1:6" x14ac:dyDescent="0.25">
      <c r="A37770" s="1" t="str">
        <f t="shared" si="1359"/>
        <v>47900</v>
      </c>
      <c r="B37770" s="1" t="str">
        <f>"20058"</f>
        <v>20058</v>
      </c>
      <c r="C37770" s="2">
        <v>0</v>
      </c>
      <c r="D37770" s="2">
        <v>4.1799729137755096E-6</v>
      </c>
      <c r="E37770" s="2">
        <v>0</v>
      </c>
      <c r="F37770" s="2">
        <v>3.2308361339297801E-7</v>
      </c>
    </row>
    <row r="37771" spans="1:6" x14ac:dyDescent="0.25">
      <c r="A37771" s="1" t="str">
        <f t="shared" si="1359"/>
        <v>47900</v>
      </c>
      <c r="B37771" s="1" t="str">
        <f>"20810"</f>
        <v>20810</v>
      </c>
      <c r="C37771" s="2">
        <v>0</v>
      </c>
      <c r="D37771" s="2">
        <v>8.3599458275510293E-6</v>
      </c>
      <c r="E37771" s="2">
        <v>0</v>
      </c>
      <c r="F37771" s="2">
        <v>6.4616722678595697E-7</v>
      </c>
    </row>
    <row r="37772" spans="1:6" x14ac:dyDescent="0.25">
      <c r="A37772" s="1" t="str">
        <f t="shared" si="1359"/>
        <v>47900</v>
      </c>
      <c r="B37772" s="1" t="str">
        <f>"20239"</f>
        <v>20239</v>
      </c>
      <c r="C37772" s="2">
        <v>0</v>
      </c>
      <c r="D37772" s="2">
        <v>4.1799729137755096E-6</v>
      </c>
      <c r="E37772" s="2">
        <v>1.3452794145343899E-5</v>
      </c>
      <c r="F37772" s="2">
        <v>9.6925084017893608E-7</v>
      </c>
    </row>
    <row r="37773" spans="1:6" x14ac:dyDescent="0.25">
      <c r="A37773" s="1" t="str">
        <f t="shared" si="1359"/>
        <v>47900</v>
      </c>
      <c r="B37773" s="1" t="str">
        <f>"20548"</f>
        <v>20548</v>
      </c>
      <c r="C37773" s="2">
        <v>0</v>
      </c>
      <c r="D37773" s="2">
        <v>4.1799729137755096E-6</v>
      </c>
      <c r="E37773" s="2">
        <v>0</v>
      </c>
      <c r="F37773" s="2">
        <v>3.2308361339297801E-7</v>
      </c>
    </row>
    <row r="37774" spans="1:6" x14ac:dyDescent="0.25">
      <c r="A37774" s="1" t="str">
        <f t="shared" si="1359"/>
        <v>47900</v>
      </c>
      <c r="B37774" s="1" t="str">
        <f>"20423"</f>
        <v>20423</v>
      </c>
      <c r="C37774" s="2">
        <v>0</v>
      </c>
      <c r="D37774" s="2">
        <v>4.1799729137755096E-6</v>
      </c>
      <c r="E37774" s="2">
        <v>0</v>
      </c>
      <c r="F37774" s="2">
        <v>3.2308361339297801E-7</v>
      </c>
    </row>
    <row r="37775" spans="1:6" x14ac:dyDescent="0.25">
      <c r="A37775" s="1" t="str">
        <f t="shared" si="1359"/>
        <v>47900</v>
      </c>
      <c r="B37775" s="1" t="str">
        <f>"20580"</f>
        <v>20580</v>
      </c>
      <c r="C37775" s="2">
        <v>0</v>
      </c>
      <c r="D37775" s="2">
        <v>4.1799729137755096E-6</v>
      </c>
      <c r="E37775" s="2">
        <v>0</v>
      </c>
      <c r="F37775" s="2">
        <v>3.2308361339297801E-7</v>
      </c>
    </row>
    <row r="37776" spans="1:6" x14ac:dyDescent="0.25">
      <c r="A37776" s="1" t="str">
        <f t="shared" si="1359"/>
        <v>47900</v>
      </c>
      <c r="B37776" s="1" t="str">
        <f>"20306"</f>
        <v>20306</v>
      </c>
      <c r="C37776" s="2">
        <v>0</v>
      </c>
      <c r="D37776" s="2">
        <v>4.1799729137755096E-6</v>
      </c>
      <c r="E37776" s="2">
        <v>0</v>
      </c>
      <c r="F37776" s="2">
        <v>3.2308361339297801E-7</v>
      </c>
    </row>
    <row r="37777" spans="1:6" x14ac:dyDescent="0.25">
      <c r="A37777" s="1" t="str">
        <f t="shared" si="1359"/>
        <v>47900</v>
      </c>
      <c r="B37777" s="1" t="str">
        <f>"20197"</f>
        <v>20197</v>
      </c>
      <c r="C37777" s="2">
        <v>3.0658190723496299E-4</v>
      </c>
      <c r="D37777" s="2">
        <v>4.5979702051530701E-5</v>
      </c>
      <c r="E37777" s="2">
        <v>1.3452794145343899E-5</v>
      </c>
      <c r="F37777" s="2">
        <v>2.7235948609028099E-4</v>
      </c>
    </row>
    <row r="37778" spans="1:6" x14ac:dyDescent="0.25">
      <c r="A37778" s="1" t="str">
        <f t="shared" si="1359"/>
        <v>47900</v>
      </c>
      <c r="B37778" s="1" t="str">
        <f>"20178"</f>
        <v>20178</v>
      </c>
      <c r="C37778" s="2">
        <v>2.6373431538043803E-4</v>
      </c>
      <c r="D37778" s="2">
        <v>9.8229363473724602E-4</v>
      </c>
      <c r="E37778" s="2">
        <v>6.7263970726719903E-6</v>
      </c>
      <c r="F37778" s="2">
        <v>3.0692943272332901E-4</v>
      </c>
    </row>
    <row r="37779" spans="1:6" x14ac:dyDescent="0.25">
      <c r="A37779" s="1" t="str">
        <f t="shared" si="1359"/>
        <v>47900</v>
      </c>
      <c r="B37779" s="1" t="str">
        <f>"20147"</f>
        <v>20147</v>
      </c>
      <c r="C37779" s="2">
        <v>9.1424202240633495E-3</v>
      </c>
      <c r="D37779" s="2">
        <v>8.0422678861040899E-3</v>
      </c>
      <c r="E37779" s="2">
        <v>7.77571501600882E-3</v>
      </c>
      <c r="F37779" s="2">
        <v>8.9917400443399898E-3</v>
      </c>
    </row>
    <row r="37780" spans="1:6" x14ac:dyDescent="0.25">
      <c r="A37780" s="1" t="str">
        <f t="shared" si="1359"/>
        <v>47900</v>
      </c>
      <c r="B37780" s="1" t="str">
        <f>"20124"</f>
        <v>20124</v>
      </c>
      <c r="C37780" s="2">
        <v>1.8886184237257399E-3</v>
      </c>
      <c r="D37780" s="2">
        <v>7.10595395341838E-4</v>
      </c>
      <c r="E37780" s="2">
        <v>1.6815992681679901E-4</v>
      </c>
      <c r="F37780" s="2">
        <v>1.71492781988993E-3</v>
      </c>
    </row>
    <row r="37781" spans="1:6" x14ac:dyDescent="0.25">
      <c r="A37781" s="1" t="str">
        <f t="shared" si="1359"/>
        <v>47900</v>
      </c>
      <c r="B37781" s="1" t="str">
        <f>"22308"</f>
        <v>22308</v>
      </c>
      <c r="C37781" s="2">
        <v>1.8044007431840901E-3</v>
      </c>
      <c r="D37781" s="2">
        <v>3.0513802270561201E-4</v>
      </c>
      <c r="E37781" s="2">
        <v>3.36319853633599E-5</v>
      </c>
      <c r="F37781" s="2">
        <v>1.6034639732693499E-3</v>
      </c>
    </row>
    <row r="37782" spans="1:6" x14ac:dyDescent="0.25">
      <c r="A37782" s="1" t="str">
        <f t="shared" si="1359"/>
        <v>47900</v>
      </c>
      <c r="B37782" s="1" t="str">
        <f>"22305"</f>
        <v>22305</v>
      </c>
      <c r="C37782" s="2">
        <v>2.78435471896042E-3</v>
      </c>
      <c r="D37782" s="2">
        <v>1.04917320135765E-3</v>
      </c>
      <c r="E37782" s="2">
        <v>4.2107245674926604E-3</v>
      </c>
      <c r="F37782" s="2">
        <v>2.7187486067019101E-3</v>
      </c>
    </row>
    <row r="37783" spans="1:6" x14ac:dyDescent="0.25">
      <c r="A37783" s="1" t="str">
        <f t="shared" si="1359"/>
        <v>47900</v>
      </c>
      <c r="B37783" s="1" t="str">
        <f>"22313"</f>
        <v>22313</v>
      </c>
      <c r="C37783" s="2">
        <v>4.8905354840854398E-4</v>
      </c>
      <c r="D37783" s="2">
        <v>1.8391880820612201E-3</v>
      </c>
      <c r="E37783" s="2">
        <v>6.7263970726719903E-6</v>
      </c>
      <c r="F37783" s="2">
        <v>5.7024257763860697E-4</v>
      </c>
    </row>
    <row r="37784" spans="1:6" x14ac:dyDescent="0.25">
      <c r="A37784" s="1" t="str">
        <f t="shared" si="1359"/>
        <v>47900</v>
      </c>
      <c r="B37784" s="1" t="str">
        <f>"22182"</f>
        <v>22182</v>
      </c>
      <c r="C37784" s="2">
        <v>3.6660547341048301E-3</v>
      </c>
      <c r="D37784" s="2">
        <v>8.1300473172933804E-3</v>
      </c>
      <c r="E37784" s="2">
        <v>3.26902897731858E-3</v>
      </c>
      <c r="F37784" s="2">
        <v>3.9920211270836397E-3</v>
      </c>
    </row>
    <row r="37785" spans="1:6" x14ac:dyDescent="0.25">
      <c r="A37785" s="1" t="str">
        <f t="shared" si="1359"/>
        <v>47900</v>
      </c>
      <c r="B37785" s="1" t="str">
        <f>"22209"</f>
        <v>22209</v>
      </c>
      <c r="C37785" s="2">
        <v>3.5881164420246202E-3</v>
      </c>
      <c r="D37785" s="2">
        <v>5.4465047066494998E-3</v>
      </c>
      <c r="E37785" s="2">
        <v>4.7757419215971103E-3</v>
      </c>
      <c r="F37785" s="2">
        <v>3.7888015342594601E-3</v>
      </c>
    </row>
    <row r="37786" spans="1:6" x14ac:dyDescent="0.25">
      <c r="A37786" s="1" t="str">
        <f t="shared" si="1359"/>
        <v>47900</v>
      </c>
      <c r="B37786" s="1" t="str">
        <f>"22205"</f>
        <v>22205</v>
      </c>
      <c r="C37786" s="2">
        <v>2.7544352798206302E-3</v>
      </c>
      <c r="D37786" s="2">
        <v>1.91024762159541E-3</v>
      </c>
      <c r="E37786" s="2">
        <v>1.66814647402265E-3</v>
      </c>
      <c r="F37786" s="2">
        <v>2.6370084525134899E-3</v>
      </c>
    </row>
    <row r="37787" spans="1:6" x14ac:dyDescent="0.25">
      <c r="A37787" s="1" t="str">
        <f t="shared" si="1359"/>
        <v>47900</v>
      </c>
      <c r="B37787" s="1" t="str">
        <f>"22124"</f>
        <v>22124</v>
      </c>
      <c r="C37787" s="2">
        <v>2.8460404761992699E-3</v>
      </c>
      <c r="D37787" s="2">
        <v>2.0607266464913298E-3</v>
      </c>
      <c r="E37787" s="2">
        <v>7.1299808970323101E-4</v>
      </c>
      <c r="F37787" s="2">
        <v>2.6828863256152902E-3</v>
      </c>
    </row>
    <row r="37788" spans="1:6" x14ac:dyDescent="0.25">
      <c r="A37788" s="1" t="str">
        <f t="shared" si="1359"/>
        <v>47900</v>
      </c>
      <c r="B37788" s="1" t="str">
        <f>"22101"</f>
        <v>22101</v>
      </c>
      <c r="C37788" s="2">
        <v>4.5710254241357502E-3</v>
      </c>
      <c r="D37788" s="2">
        <v>6.54165761005868E-3</v>
      </c>
      <c r="E37788" s="2">
        <v>2.0111927247289199E-3</v>
      </c>
      <c r="F37788" s="2">
        <v>4.6003875711026201E-3</v>
      </c>
    </row>
    <row r="37789" spans="1:6" x14ac:dyDescent="0.25">
      <c r="A37789" s="1" t="str">
        <f t="shared" si="1359"/>
        <v>47900</v>
      </c>
      <c r="B37789" s="1" t="str">
        <f>"22639"</f>
        <v>22639</v>
      </c>
      <c r="C37789" s="2">
        <v>9.9362088007476105E-5</v>
      </c>
      <c r="D37789" s="2">
        <v>2.50798374826531E-5</v>
      </c>
      <c r="E37789" s="2">
        <v>4.7757419215971097E-4</v>
      </c>
      <c r="F37789" s="2">
        <v>1.1178693023397E-4</v>
      </c>
    </row>
    <row r="37790" spans="1:6" x14ac:dyDescent="0.25">
      <c r="A37790" s="1" t="str">
        <f t="shared" si="1359"/>
        <v>47900</v>
      </c>
      <c r="B37790" s="1" t="str">
        <f>"22643"</f>
        <v>22643</v>
      </c>
      <c r="C37790" s="2">
        <v>7.0181400451377202E-5</v>
      </c>
      <c r="D37790" s="2">
        <v>2.08998645688775E-5</v>
      </c>
      <c r="E37790" s="2">
        <v>2.69055882906879E-5</v>
      </c>
      <c r="F37790" s="2">
        <v>6.4293639065202696E-5</v>
      </c>
    </row>
    <row r="37791" spans="1:6" x14ac:dyDescent="0.25">
      <c r="A37791" s="1" t="str">
        <f t="shared" si="1359"/>
        <v>47900</v>
      </c>
      <c r="B37791" s="1" t="str">
        <f>"22727"</f>
        <v>22727</v>
      </c>
      <c r="C37791" s="2">
        <v>1.6943267572129799E-3</v>
      </c>
      <c r="D37791" s="2">
        <v>1.5633098697520401E-3</v>
      </c>
      <c r="E37791" s="2">
        <v>2.4887669168886301E-4</v>
      </c>
      <c r="F37791" s="2">
        <v>1.6147718997381001E-3</v>
      </c>
    </row>
    <row r="37792" spans="1:6" x14ac:dyDescent="0.25">
      <c r="A37792" s="1" t="str">
        <f t="shared" si="1359"/>
        <v>47900</v>
      </c>
      <c r="B37792" s="1" t="str">
        <f>"22735"</f>
        <v>22735</v>
      </c>
      <c r="C37792" s="2">
        <v>3.43150110628049E-4</v>
      </c>
      <c r="D37792" s="2">
        <v>8.3599458275510293E-6</v>
      </c>
      <c r="E37792" s="2">
        <v>6.0537573654047902E-5</v>
      </c>
      <c r="F37792" s="2">
        <v>3.0369859658939998E-4</v>
      </c>
    </row>
    <row r="37793" spans="1:6" x14ac:dyDescent="0.25">
      <c r="A37793" s="1" t="str">
        <f t="shared" si="1359"/>
        <v>47900</v>
      </c>
      <c r="B37793" s="1" t="str">
        <f>"22740"</f>
        <v>22740</v>
      </c>
      <c r="C37793" s="2">
        <v>2.4637365316351799E-4</v>
      </c>
      <c r="D37793" s="2">
        <v>1.3793910615459199E-4</v>
      </c>
      <c r="E37793" s="2">
        <v>3.36319853633599E-5</v>
      </c>
      <c r="F37793" s="2">
        <v>2.2777394744204999E-4</v>
      </c>
    </row>
    <row r="37794" spans="1:6" x14ac:dyDescent="0.25">
      <c r="A37794" s="1" t="str">
        <f t="shared" si="1359"/>
        <v>47900</v>
      </c>
      <c r="B37794" s="1" t="str">
        <f>"22555"</f>
        <v>22555</v>
      </c>
      <c r="C37794" s="2">
        <v>5.79550617411636E-4</v>
      </c>
      <c r="D37794" s="2">
        <v>1.3752110886321399E-3</v>
      </c>
      <c r="E37794" s="2">
        <v>1.3452794145343899E-5</v>
      </c>
      <c r="F37794" s="2">
        <v>6.13858865446659E-4</v>
      </c>
    </row>
    <row r="37795" spans="1:6" x14ac:dyDescent="0.25">
      <c r="A37795" s="1" t="str">
        <f t="shared" si="1359"/>
        <v>47900</v>
      </c>
      <c r="B37795" s="1" t="str">
        <f>"20020"</f>
        <v>20020</v>
      </c>
      <c r="C37795" s="2">
        <v>8.9832192577762801E-3</v>
      </c>
      <c r="D37795" s="2">
        <v>3.5278971392265299E-3</v>
      </c>
      <c r="E37795" s="2">
        <v>2.5869723141496399E-2</v>
      </c>
      <c r="F37795" s="2">
        <v>9.37265562453031E-3</v>
      </c>
    </row>
    <row r="37796" spans="1:6" x14ac:dyDescent="0.25">
      <c r="A37796" s="1" t="str">
        <f t="shared" si="1359"/>
        <v>47900</v>
      </c>
      <c r="B37796" s="1" t="str">
        <f>"20015"</f>
        <v>20015</v>
      </c>
      <c r="C37796" s="2">
        <v>2.9398619273289998E-3</v>
      </c>
      <c r="D37796" s="2">
        <v>2.2028457255596902E-3</v>
      </c>
      <c r="E37796" s="2">
        <v>1.0291387521188099E-3</v>
      </c>
      <c r="F37796" s="2">
        <v>2.79111933610194E-3</v>
      </c>
    </row>
    <row r="37797" spans="1:6" x14ac:dyDescent="0.25">
      <c r="A37797" s="1" t="str">
        <f t="shared" si="1359"/>
        <v>47900</v>
      </c>
      <c r="B37797" s="1" t="str">
        <f>"20005"</f>
        <v>20005</v>
      </c>
      <c r="C37797" s="2">
        <v>3.5508094870478298E-3</v>
      </c>
      <c r="D37797" s="2">
        <v>1.43456670400775E-2</v>
      </c>
      <c r="E37797" s="2">
        <v>5.4214760405736197E-3</v>
      </c>
      <c r="F37797" s="2">
        <v>4.4750311291061502E-3</v>
      </c>
    </row>
    <row r="37798" spans="1:6" x14ac:dyDescent="0.25">
      <c r="A37798" s="1" t="str">
        <f t="shared" si="1359"/>
        <v>47900</v>
      </c>
      <c r="B37798" s="1" t="str">
        <f>"20008"</f>
        <v>20008</v>
      </c>
      <c r="C37798" s="2">
        <v>7.0192481725132603E-3</v>
      </c>
      <c r="D37798" s="2">
        <v>4.2008727783443903E-3</v>
      </c>
      <c r="E37798" s="2">
        <v>4.1636397879839604E-3</v>
      </c>
      <c r="F37798" s="2">
        <v>6.6642456934569699E-3</v>
      </c>
    </row>
    <row r="37799" spans="1:6" x14ac:dyDescent="0.25">
      <c r="A37799" s="1" t="str">
        <f t="shared" si="1359"/>
        <v>47900</v>
      </c>
      <c r="B37799" s="1" t="str">
        <f>"20716"</f>
        <v>20716</v>
      </c>
      <c r="C37799" s="2">
        <v>3.4252217178190499E-3</v>
      </c>
      <c r="D37799" s="2">
        <v>2.53306358574796E-3</v>
      </c>
      <c r="E37799" s="2">
        <v>2.01791912180159E-3</v>
      </c>
      <c r="F37799" s="2">
        <v>3.28866810072713E-3</v>
      </c>
    </row>
    <row r="37800" spans="1:6" x14ac:dyDescent="0.25">
      <c r="A37800" s="1" t="str">
        <f t="shared" si="1359"/>
        <v>47900</v>
      </c>
      <c r="B37800" s="1" t="str">
        <f>"20707"</f>
        <v>20707</v>
      </c>
      <c r="C37800" s="2">
        <v>5.9547071404034303E-3</v>
      </c>
      <c r="D37800" s="2">
        <v>8.2429065859653192E-3</v>
      </c>
      <c r="E37800" s="2">
        <v>9.2286167837059702E-3</v>
      </c>
      <c r="F37800" s="2">
        <v>6.2888225346943299E-3</v>
      </c>
    </row>
    <row r="37801" spans="1:6" x14ac:dyDescent="0.25">
      <c r="A37801" s="1" t="str">
        <f t="shared" si="1359"/>
        <v>47900</v>
      </c>
      <c r="B37801" s="1" t="str">
        <f>"20726"</f>
        <v>20726</v>
      </c>
      <c r="C37801" s="2">
        <v>7.3505782578021396E-5</v>
      </c>
      <c r="D37801" s="2">
        <v>2.4661840191275502E-4</v>
      </c>
      <c r="E37801" s="2">
        <v>2.69055882906879E-5</v>
      </c>
      <c r="F37801" s="2">
        <v>8.46479067089604E-5</v>
      </c>
    </row>
    <row r="37802" spans="1:6" x14ac:dyDescent="0.25">
      <c r="A37802" s="1" t="str">
        <f t="shared" si="1359"/>
        <v>47900</v>
      </c>
      <c r="B37802" s="1" t="str">
        <f>"20611"</f>
        <v>20611</v>
      </c>
      <c r="C37802" s="2">
        <v>1.35191539816863E-4</v>
      </c>
      <c r="D37802" s="2">
        <v>1.4211907906836699E-4</v>
      </c>
      <c r="E37802" s="2">
        <v>7.3990367799391896E-5</v>
      </c>
      <c r="F37802" s="2">
        <v>1.3278736510451399E-4</v>
      </c>
    </row>
    <row r="37803" spans="1:6" x14ac:dyDescent="0.25">
      <c r="A37803" s="1" t="str">
        <f t="shared" si="1359"/>
        <v>47900</v>
      </c>
      <c r="B37803" s="1" t="str">
        <f>"20608"</f>
        <v>20608</v>
      </c>
      <c r="C37803" s="2">
        <v>1.5366032940933099E-4</v>
      </c>
      <c r="D37803" s="2">
        <v>6.6879566620408194E-5</v>
      </c>
      <c r="E37803" s="2">
        <v>4.7084779508703901E-5</v>
      </c>
      <c r="F37803" s="2">
        <v>1.41833706279517E-4</v>
      </c>
    </row>
    <row r="37804" spans="1:6" x14ac:dyDescent="0.25">
      <c r="A37804" s="1" t="str">
        <f t="shared" si="1359"/>
        <v>47900</v>
      </c>
      <c r="B37804" s="1" t="str">
        <f>"20676"</f>
        <v>20676</v>
      </c>
      <c r="C37804" s="2">
        <v>5.4926180247998903E-4</v>
      </c>
      <c r="D37804" s="2">
        <v>5.4339647879081698E-5</v>
      </c>
      <c r="E37804" s="2">
        <v>2.69055882906879E-5</v>
      </c>
      <c r="F37804" s="2">
        <v>4.8591775454304002E-4</v>
      </c>
    </row>
    <row r="37805" spans="1:6" x14ac:dyDescent="0.25">
      <c r="A37805" s="1" t="str">
        <f t="shared" si="1359"/>
        <v>47900</v>
      </c>
      <c r="B37805" s="1" t="str">
        <f>"20695"</f>
        <v>20695</v>
      </c>
      <c r="C37805" s="2">
        <v>2.07663070177706E-3</v>
      </c>
      <c r="D37805" s="2">
        <v>2.6166630440234702E-3</v>
      </c>
      <c r="E37805" s="2">
        <v>2.2197110339817501E-4</v>
      </c>
      <c r="F37805" s="2">
        <v>2.0292881757213001E-3</v>
      </c>
    </row>
    <row r="37806" spans="1:6" x14ac:dyDescent="0.25">
      <c r="A37806" s="1" t="str">
        <f t="shared" si="1359"/>
        <v>47900</v>
      </c>
      <c r="B37806" s="1" t="str">
        <f>"20024"</f>
        <v>20024</v>
      </c>
      <c r="C37806" s="2">
        <v>5.2019192766144398E-3</v>
      </c>
      <c r="D37806" s="2">
        <v>4.6564898259459199E-3</v>
      </c>
      <c r="E37806" s="2">
        <v>3.49772647778943E-3</v>
      </c>
      <c r="F37806" s="2">
        <v>5.0779051516974399E-3</v>
      </c>
    </row>
    <row r="37807" spans="1:6" x14ac:dyDescent="0.25">
      <c r="A37807" s="1" t="str">
        <f t="shared" si="1359"/>
        <v>47900</v>
      </c>
      <c r="B37807" s="1" t="str">
        <f>"20472"</f>
        <v>20472</v>
      </c>
      <c r="C37807" s="2">
        <v>0</v>
      </c>
      <c r="D37807" s="2">
        <v>3.8455750806734698E-4</v>
      </c>
      <c r="E37807" s="2">
        <v>4.7084779508703901E-5</v>
      </c>
      <c r="F37807" s="2">
        <v>3.1985277725904902E-5</v>
      </c>
    </row>
    <row r="37808" spans="1:6" x14ac:dyDescent="0.25">
      <c r="A37808" s="1" t="str">
        <f t="shared" si="1359"/>
        <v>47900</v>
      </c>
      <c r="B37808" s="1" t="str">
        <f>"20045"</f>
        <v>20045</v>
      </c>
      <c r="C37808" s="2">
        <v>0</v>
      </c>
      <c r="D37808" s="2">
        <v>1.04917320135765E-3</v>
      </c>
      <c r="E37808" s="2">
        <v>2.01791912180159E-5</v>
      </c>
      <c r="F37808" s="2">
        <v>8.2063237801816599E-5</v>
      </c>
    </row>
    <row r="37809" spans="1:6" x14ac:dyDescent="0.25">
      <c r="A37809" s="1" t="str">
        <f t="shared" si="1359"/>
        <v>47900</v>
      </c>
      <c r="B37809" s="1" t="str">
        <f>"20350"</f>
        <v>20350</v>
      </c>
      <c r="C37809" s="2">
        <v>0</v>
      </c>
      <c r="D37809" s="2">
        <v>1.2539918741326501E-5</v>
      </c>
      <c r="E37809" s="2">
        <v>0</v>
      </c>
      <c r="F37809" s="2">
        <v>9.6925084017893608E-7</v>
      </c>
    </row>
    <row r="37810" spans="1:6" x14ac:dyDescent="0.25">
      <c r="A37810" s="1" t="str">
        <f t="shared" si="1359"/>
        <v>47900</v>
      </c>
      <c r="B37810" s="1" t="str">
        <f>"20128"</f>
        <v>20128</v>
      </c>
      <c r="C37810" s="2">
        <v>0</v>
      </c>
      <c r="D37810" s="2">
        <v>4.1799729137755096E-6</v>
      </c>
      <c r="E37810" s="2">
        <v>0</v>
      </c>
      <c r="F37810" s="2">
        <v>3.2308361339297801E-7</v>
      </c>
    </row>
    <row r="37811" spans="1:6" x14ac:dyDescent="0.25">
      <c r="A37811" s="1" t="str">
        <f t="shared" si="1359"/>
        <v>47900</v>
      </c>
      <c r="B37811" s="1" t="str">
        <f>"20230"</f>
        <v>20230</v>
      </c>
      <c r="C37811" s="2">
        <v>0</v>
      </c>
      <c r="D37811" s="2">
        <v>8.3599458275510293E-6</v>
      </c>
      <c r="E37811" s="2">
        <v>0</v>
      </c>
      <c r="F37811" s="2">
        <v>6.4616722678595697E-7</v>
      </c>
    </row>
    <row r="37812" spans="1:6" x14ac:dyDescent="0.25">
      <c r="A37812" s="1" t="str">
        <f t="shared" si="1359"/>
        <v>47900</v>
      </c>
      <c r="B37812" s="1" t="str">
        <f>"20041"</f>
        <v>20041</v>
      </c>
      <c r="C37812" s="2">
        <v>0</v>
      </c>
      <c r="D37812" s="2">
        <v>0</v>
      </c>
      <c r="E37812" s="2">
        <v>6.7263970726719903E-6</v>
      </c>
      <c r="F37812" s="2">
        <v>3.2308361339297801E-7</v>
      </c>
    </row>
    <row r="37813" spans="1:6" x14ac:dyDescent="0.25">
      <c r="A37813" s="1" t="str">
        <f t="shared" si="1359"/>
        <v>47900</v>
      </c>
      <c r="B37813" s="1" t="str">
        <f>"20219"</f>
        <v>20219</v>
      </c>
      <c r="C37813" s="2">
        <v>0</v>
      </c>
      <c r="D37813" s="2">
        <v>8.3599458275510293E-6</v>
      </c>
      <c r="E37813" s="2">
        <v>1.3452794145343899E-5</v>
      </c>
      <c r="F37813" s="2">
        <v>1.2923344535719099E-6</v>
      </c>
    </row>
    <row r="37814" spans="1:6" x14ac:dyDescent="0.25">
      <c r="A37814" s="1" t="str">
        <f t="shared" si="1359"/>
        <v>47900</v>
      </c>
      <c r="B37814" s="1" t="str">
        <f>"20222"</f>
        <v>20222</v>
      </c>
      <c r="C37814" s="2">
        <v>0</v>
      </c>
      <c r="D37814" s="2">
        <v>4.1799729137755096E-6</v>
      </c>
      <c r="E37814" s="2">
        <v>0</v>
      </c>
      <c r="F37814" s="2">
        <v>3.2308361339297801E-7</v>
      </c>
    </row>
    <row r="37815" spans="1:6" x14ac:dyDescent="0.25">
      <c r="A37815" s="1" t="str">
        <f t="shared" si="1359"/>
        <v>47900</v>
      </c>
      <c r="B37815" s="1" t="str">
        <f>"20579"</f>
        <v>20579</v>
      </c>
      <c r="C37815" s="2">
        <v>0</v>
      </c>
      <c r="D37815" s="2">
        <v>4.1799729137755096E-6</v>
      </c>
      <c r="E37815" s="2">
        <v>1.3452794145343899E-5</v>
      </c>
      <c r="F37815" s="2">
        <v>9.6925084017893608E-7</v>
      </c>
    </row>
    <row r="37816" spans="1:6" x14ac:dyDescent="0.25">
      <c r="A37816" s="1" t="str">
        <f t="shared" si="1359"/>
        <v>47900</v>
      </c>
      <c r="B37816" s="1" t="str">
        <f>"20237"</f>
        <v>20237</v>
      </c>
      <c r="C37816" s="2">
        <v>0</v>
      </c>
      <c r="D37816" s="2">
        <v>4.1799729137755096E-6</v>
      </c>
      <c r="E37816" s="2">
        <v>0</v>
      </c>
      <c r="F37816" s="2">
        <v>3.2308361339297801E-7</v>
      </c>
    </row>
    <row r="37817" spans="1:6" x14ac:dyDescent="0.25">
      <c r="A37817" s="1" t="str">
        <f t="shared" si="1359"/>
        <v>47900</v>
      </c>
      <c r="B37817" s="1" t="str">
        <f>"20749"</f>
        <v>20749</v>
      </c>
      <c r="C37817" s="2">
        <v>4.2108840270826302E-4</v>
      </c>
      <c r="D37817" s="2">
        <v>1.50897022187296E-3</v>
      </c>
      <c r="E37817" s="2">
        <v>1.3452794145343899E-5</v>
      </c>
      <c r="F37817" s="2">
        <v>4.8559467092964702E-4</v>
      </c>
    </row>
    <row r="37818" spans="1:6" x14ac:dyDescent="0.25">
      <c r="A37818" s="1" t="str">
        <f t="shared" si="1359"/>
        <v>47900</v>
      </c>
      <c r="B37818" s="1" t="str">
        <f>"20785"</f>
        <v>20785</v>
      </c>
      <c r="C37818" s="2">
        <v>6.1903688956033102E-3</v>
      </c>
      <c r="D37818" s="2">
        <v>6.1905398853015397E-3</v>
      </c>
      <c r="E37818" s="2">
        <v>7.2174240589770403E-3</v>
      </c>
      <c r="F37818" s="2">
        <v>6.2397138254585999E-3</v>
      </c>
    </row>
    <row r="37819" spans="1:6" x14ac:dyDescent="0.25">
      <c r="A37819" s="1" t="str">
        <f t="shared" si="1359"/>
        <v>47900</v>
      </c>
      <c r="B37819" s="1" t="str">
        <f>"20814"</f>
        <v>20814</v>
      </c>
      <c r="C37819" s="2">
        <v>5.8446331544323204E-3</v>
      </c>
      <c r="D37819" s="2">
        <v>1.2982995870186699E-2</v>
      </c>
      <c r="E37819" s="2">
        <v>8.1927516345144807E-3</v>
      </c>
      <c r="F37819" s="2">
        <v>6.50916555902834E-3</v>
      </c>
    </row>
    <row r="37820" spans="1:6" x14ac:dyDescent="0.25">
      <c r="A37820" s="1" t="str">
        <f t="shared" si="1359"/>
        <v>47900</v>
      </c>
      <c r="B37820" s="1" t="str">
        <f>"20787"</f>
        <v>20787</v>
      </c>
      <c r="C37820" s="2">
        <v>4.8720666944929701E-4</v>
      </c>
      <c r="D37820" s="2">
        <v>5.2667658713571495E-4</v>
      </c>
      <c r="E37820" s="2">
        <v>1.3452794145343899E-5</v>
      </c>
      <c r="F37820" s="2">
        <v>4.6750198857964002E-4</v>
      </c>
    </row>
    <row r="37821" spans="1:6" x14ac:dyDescent="0.25">
      <c r="A37821" s="1" t="str">
        <f t="shared" si="1359"/>
        <v>47900</v>
      </c>
      <c r="B37821" s="1" t="str">
        <f>"20736"</f>
        <v>20736</v>
      </c>
      <c r="C37821" s="2">
        <v>1.4922781990713799E-3</v>
      </c>
      <c r="D37821" s="2">
        <v>1.7346887592168401E-3</v>
      </c>
      <c r="E37821" s="2">
        <v>3.9013103021497499E-4</v>
      </c>
      <c r="F37821" s="2">
        <v>1.4580763472425099E-3</v>
      </c>
    </row>
    <row r="37822" spans="1:6" x14ac:dyDescent="0.25">
      <c r="A37822" s="1" t="str">
        <f t="shared" si="1359"/>
        <v>47900</v>
      </c>
      <c r="B37822" s="1" t="str">
        <f>"20878"</f>
        <v>20878</v>
      </c>
      <c r="C37822" s="2">
        <v>9.3189818525673401E-3</v>
      </c>
      <c r="D37822" s="2">
        <v>6.0818605895433704E-3</v>
      </c>
      <c r="E37822" s="2">
        <v>9.9685204616998899E-3</v>
      </c>
      <c r="F37822" s="2">
        <v>9.0999730548266405E-3</v>
      </c>
    </row>
    <row r="37823" spans="1:6" x14ac:dyDescent="0.25">
      <c r="A37823" s="1" t="str">
        <f t="shared" si="1359"/>
        <v>47900</v>
      </c>
      <c r="B37823" s="1" t="str">
        <f>"20872"</f>
        <v>20872</v>
      </c>
      <c r="C37823" s="2">
        <v>1.88787967214204E-3</v>
      </c>
      <c r="D37823" s="2">
        <v>1.8475480278887699E-3</v>
      </c>
      <c r="E37823" s="2">
        <v>7.7353566335727905E-4</v>
      </c>
      <c r="F37823" s="2">
        <v>1.8312379207114E-3</v>
      </c>
    </row>
    <row r="37824" spans="1:6" x14ac:dyDescent="0.25">
      <c r="A37824" s="1" t="str">
        <f t="shared" si="1359"/>
        <v>47900</v>
      </c>
      <c r="B37824" s="1" t="str">
        <f>"20855"</f>
        <v>20855</v>
      </c>
      <c r="C37824" s="2">
        <v>2.35107691512113E-3</v>
      </c>
      <c r="D37824" s="2">
        <v>2.74206223143674E-3</v>
      </c>
      <c r="E37824" s="2">
        <v>1.17039309064492E-3</v>
      </c>
      <c r="F37824" s="2">
        <v>2.3245865983624798E-3</v>
      </c>
    </row>
    <row r="37825" spans="1:6" x14ac:dyDescent="0.25">
      <c r="A37825" s="1" t="str">
        <f t="shared" si="1359"/>
        <v>47900</v>
      </c>
      <c r="B37825" s="1" t="str">
        <f>"20871"</f>
        <v>20871</v>
      </c>
      <c r="C37825" s="2">
        <v>3.7262629881762801E-3</v>
      </c>
      <c r="D37825" s="2">
        <v>1.8935277299402999E-3</v>
      </c>
      <c r="E37825" s="2">
        <v>6.9954529555788696E-4</v>
      </c>
      <c r="F37825" s="2">
        <v>3.4392250645682602E-3</v>
      </c>
    </row>
    <row r="37826" spans="1:6" x14ac:dyDescent="0.25">
      <c r="A37826" s="1" t="str">
        <f t="shared" si="1359"/>
        <v>47900</v>
      </c>
      <c r="B37826" s="1" t="str">
        <f>"20860"</f>
        <v>20860</v>
      </c>
      <c r="C37826" s="2">
        <v>2.8922124501804398E-4</v>
      </c>
      <c r="D37826" s="2">
        <v>4.9741677673928605E-4</v>
      </c>
      <c r="E37826" s="2">
        <v>2.0851830925283101E-4</v>
      </c>
      <c r="F37826" s="2">
        <v>3.0143701129564898E-4</v>
      </c>
    </row>
    <row r="37827" spans="1:6" x14ac:dyDescent="0.25">
      <c r="A37827" s="1" t="str">
        <f t="shared" si="1359"/>
        <v>47900</v>
      </c>
      <c r="B37827" s="1" t="str">
        <f>"21702"</f>
        <v>21702</v>
      </c>
      <c r="C37827" s="2">
        <v>6.9198860845057896E-3</v>
      </c>
      <c r="D37827" s="2">
        <v>6.88441538898827E-3</v>
      </c>
      <c r="E37827" s="2">
        <v>6.7331234697446604E-3</v>
      </c>
      <c r="F37827" s="2">
        <v>6.90817382156867E-3</v>
      </c>
    </row>
    <row r="37828" spans="1:6" x14ac:dyDescent="0.25">
      <c r="A37828" s="1" t="str">
        <f t="shared" ref="A37828:A37891" si="1360">"47900"</f>
        <v>47900</v>
      </c>
      <c r="B37828" s="1" t="str">
        <f>"21778"</f>
        <v>21778</v>
      </c>
      <c r="C37828" s="2">
        <v>1.68435361083305E-4</v>
      </c>
      <c r="D37828" s="2">
        <v>2.50798374826531E-5</v>
      </c>
      <c r="E37828" s="2">
        <v>0</v>
      </c>
      <c r="F37828" s="2">
        <v>1.4926462938755599E-4</v>
      </c>
    </row>
    <row r="37829" spans="1:6" x14ac:dyDescent="0.25">
      <c r="A37829" s="1" t="str">
        <f t="shared" si="1360"/>
        <v>47900</v>
      </c>
      <c r="B37829" s="1" t="str">
        <f>"21780"</f>
        <v>21780</v>
      </c>
      <c r="C37829" s="2">
        <v>2.5339179320865599E-4</v>
      </c>
      <c r="D37829" s="2">
        <v>6.6879566620408194E-5</v>
      </c>
      <c r="E37829" s="2">
        <v>0</v>
      </c>
      <c r="F37829" s="2">
        <v>2.2680469660187099E-4</v>
      </c>
    </row>
    <row r="37830" spans="1:6" x14ac:dyDescent="0.25">
      <c r="A37830" s="1" t="str">
        <f t="shared" si="1360"/>
        <v>47900</v>
      </c>
      <c r="B37830" s="1" t="str">
        <f>"21769"</f>
        <v>21769</v>
      </c>
      <c r="C37830" s="2">
        <v>1.6581279296117399E-3</v>
      </c>
      <c r="D37830" s="2">
        <v>7.3985520573826603E-4</v>
      </c>
      <c r="E37830" s="2">
        <v>4.1031022143299102E-4</v>
      </c>
      <c r="F37830" s="2">
        <v>1.5272162405086101E-3</v>
      </c>
    </row>
    <row r="37831" spans="1:6" x14ac:dyDescent="0.25">
      <c r="A37831" s="1" t="str">
        <f t="shared" si="1360"/>
        <v>47900</v>
      </c>
      <c r="B37831" s="1" t="str">
        <f>"21770"</f>
        <v>21770</v>
      </c>
      <c r="C37831" s="2">
        <v>9.2233135224783602E-4</v>
      </c>
      <c r="D37831" s="2">
        <v>5.2667658713571495E-4</v>
      </c>
      <c r="E37831" s="2">
        <v>1.00895956090079E-4</v>
      </c>
      <c r="F37831" s="2">
        <v>8.5229457213067798E-4</v>
      </c>
    </row>
    <row r="37832" spans="1:6" x14ac:dyDescent="0.25">
      <c r="A37832" s="1" t="str">
        <f t="shared" si="1360"/>
        <v>47900</v>
      </c>
      <c r="B37832" s="1" t="str">
        <f>"22039"</f>
        <v>22039</v>
      </c>
      <c r="C37832" s="2">
        <v>2.4548715126308002E-3</v>
      </c>
      <c r="D37832" s="2">
        <v>1.2623518199602001E-3</v>
      </c>
      <c r="E37832" s="2">
        <v>3.2959345656092702E-4</v>
      </c>
      <c r="F37832" s="2">
        <v>2.2606160429106698E-3</v>
      </c>
    </row>
    <row r="37833" spans="1:6" x14ac:dyDescent="0.25">
      <c r="A37833" s="1" t="str">
        <f t="shared" si="1360"/>
        <v>47900</v>
      </c>
      <c r="B37833" s="1" t="str">
        <f>"20148"</f>
        <v>20148</v>
      </c>
      <c r="C37833" s="2">
        <v>6.9542380331477803E-3</v>
      </c>
      <c r="D37833" s="2">
        <v>1.35013125114949E-3</v>
      </c>
      <c r="E37833" s="2">
        <v>2.1726262544730498E-3</v>
      </c>
      <c r="F37833" s="2">
        <v>6.2914072036014696E-3</v>
      </c>
    </row>
    <row r="37834" spans="1:6" x14ac:dyDescent="0.25">
      <c r="A37834" s="1" t="str">
        <f t="shared" si="1360"/>
        <v>47900</v>
      </c>
      <c r="B37834" s="1" t="str">
        <f>"20175"</f>
        <v>20175</v>
      </c>
      <c r="C37834" s="2">
        <v>4.3191111340944903E-3</v>
      </c>
      <c r="D37834" s="2">
        <v>5.3043856275811303E-3</v>
      </c>
      <c r="E37834" s="2">
        <v>3.4237361099900398E-3</v>
      </c>
      <c r="F37834" s="2">
        <v>4.3522593560168096E-3</v>
      </c>
    </row>
    <row r="37835" spans="1:6" x14ac:dyDescent="0.25">
      <c r="A37835" s="1" t="str">
        <f t="shared" si="1360"/>
        <v>47900</v>
      </c>
      <c r="B37835" s="1" t="str">
        <f>"20152"</f>
        <v>20152</v>
      </c>
      <c r="C37835" s="2">
        <v>4.0697824745961697E-3</v>
      </c>
      <c r="D37835" s="2">
        <v>2.4118443712484701E-3</v>
      </c>
      <c r="E37835" s="2">
        <v>1.08967632577286E-3</v>
      </c>
      <c r="F37835" s="2">
        <v>3.7984940426612499E-3</v>
      </c>
    </row>
    <row r="37836" spans="1:6" x14ac:dyDescent="0.25">
      <c r="A37836" s="1" t="str">
        <f t="shared" si="1360"/>
        <v>47900</v>
      </c>
      <c r="B37836" s="1" t="str">
        <f>"20117"</f>
        <v>20117</v>
      </c>
      <c r="C37836" s="2">
        <v>4.2108840270826302E-4</v>
      </c>
      <c r="D37836" s="2">
        <v>1.3793910615459199E-4</v>
      </c>
      <c r="E37836" s="2">
        <v>3.2959345656092702E-4</v>
      </c>
      <c r="F37836" s="2">
        <v>3.9480817556622E-4</v>
      </c>
    </row>
    <row r="37837" spans="1:6" x14ac:dyDescent="0.25">
      <c r="A37837" s="1" t="str">
        <f t="shared" si="1360"/>
        <v>47900</v>
      </c>
      <c r="B37837" s="1" t="str">
        <f>"20119"</f>
        <v>20119</v>
      </c>
      <c r="C37837" s="2">
        <v>5.6403683415396299E-4</v>
      </c>
      <c r="D37837" s="2">
        <v>2.08998645688775E-4</v>
      </c>
      <c r="E37837" s="2">
        <v>3.36319853633599E-5</v>
      </c>
      <c r="F37837" s="2">
        <v>5.11118276387692E-4</v>
      </c>
    </row>
    <row r="37838" spans="1:6" x14ac:dyDescent="0.25">
      <c r="A37838" s="1" t="str">
        <f t="shared" si="1360"/>
        <v>47900</v>
      </c>
      <c r="B37838" s="1" t="str">
        <f>"22192"</f>
        <v>22192</v>
      </c>
      <c r="C37838" s="2">
        <v>7.9009481876576703E-3</v>
      </c>
      <c r="D37838" s="2">
        <v>7.9879282382250092E-3</v>
      </c>
      <c r="E37838" s="2">
        <v>5.8116070707885997E-3</v>
      </c>
      <c r="F37838" s="2">
        <v>7.8073155176413304E-3</v>
      </c>
    </row>
    <row r="37839" spans="1:6" x14ac:dyDescent="0.25">
      <c r="A37839" s="1" t="str">
        <f t="shared" si="1360"/>
        <v>47900</v>
      </c>
      <c r="B37839" s="1" t="str">
        <f>"22201"</f>
        <v>22201</v>
      </c>
      <c r="C37839" s="2">
        <v>8.0557166444425506E-3</v>
      </c>
      <c r="D37839" s="2">
        <v>6.0609607249745004E-3</v>
      </c>
      <c r="E37839" s="2">
        <v>1.09102160518739E-2</v>
      </c>
      <c r="F37839" s="2">
        <v>8.0386433848307001E-3</v>
      </c>
    </row>
    <row r="37840" spans="1:6" x14ac:dyDescent="0.25">
      <c r="A37840" s="1" t="str">
        <f t="shared" si="1360"/>
        <v>47900</v>
      </c>
      <c r="B37840" s="1" t="str">
        <f>"22153"</f>
        <v>22153</v>
      </c>
      <c r="C37840" s="2">
        <v>4.0128986026513698E-3</v>
      </c>
      <c r="D37840" s="2">
        <v>2.5205236670066298E-3</v>
      </c>
      <c r="E37840" s="2">
        <v>2.4215029461619101E-4</v>
      </c>
      <c r="F37840" s="2">
        <v>3.7164308048594301E-3</v>
      </c>
    </row>
    <row r="37841" spans="1:6" x14ac:dyDescent="0.25">
      <c r="A37841" s="1" t="str">
        <f t="shared" si="1360"/>
        <v>47900</v>
      </c>
      <c r="B37841" s="1" t="str">
        <f>"22181"</f>
        <v>22181</v>
      </c>
      <c r="C37841" s="2">
        <v>2.0444950078861699E-3</v>
      </c>
      <c r="D37841" s="2">
        <v>1.7973883529234699E-4</v>
      </c>
      <c r="E37841" s="2">
        <v>6.4573411897651096E-4</v>
      </c>
      <c r="F37841" s="2">
        <v>1.83317642239176E-3</v>
      </c>
    </row>
    <row r="37842" spans="1:6" x14ac:dyDescent="0.25">
      <c r="A37842" s="1" t="str">
        <f t="shared" si="1360"/>
        <v>47900</v>
      </c>
      <c r="B37842" s="1" t="str">
        <f>"22226"</f>
        <v>22226</v>
      </c>
      <c r="C37842" s="2">
        <v>0</v>
      </c>
      <c r="D37842" s="2">
        <v>4.1799729137755096E-6</v>
      </c>
      <c r="E37842" s="2">
        <v>0</v>
      </c>
      <c r="F37842" s="2">
        <v>3.2308361339297801E-7</v>
      </c>
    </row>
    <row r="37843" spans="1:6" x14ac:dyDescent="0.25">
      <c r="A37843" s="1" t="str">
        <f t="shared" si="1360"/>
        <v>47900</v>
      </c>
      <c r="B37843" s="1" t="str">
        <f>"22046"</f>
        <v>22046</v>
      </c>
      <c r="C37843" s="2">
        <v>2.6809294972425998E-3</v>
      </c>
      <c r="D37843" s="2">
        <v>5.1079269006336801E-3</v>
      </c>
      <c r="E37843" s="2">
        <v>2.84526596174025E-3</v>
      </c>
      <c r="F37843" s="2">
        <v>2.87641341003769E-3</v>
      </c>
    </row>
    <row r="37844" spans="1:6" x14ac:dyDescent="0.25">
      <c r="A37844" s="1" t="str">
        <f t="shared" si="1360"/>
        <v>47900</v>
      </c>
      <c r="B37844" s="1" t="str">
        <f>"22102"</f>
        <v>22102</v>
      </c>
      <c r="C37844" s="2">
        <v>5.4176347390544697E-3</v>
      </c>
      <c r="D37844" s="2">
        <v>9.6431975120801205E-3</v>
      </c>
      <c r="E37844" s="2">
        <v>5.3071272903381997E-3</v>
      </c>
      <c r="F37844" s="2">
        <v>5.7389342246994797E-3</v>
      </c>
    </row>
    <row r="37845" spans="1:6" x14ac:dyDescent="0.25">
      <c r="A37845" s="1" t="str">
        <f t="shared" si="1360"/>
        <v>47900</v>
      </c>
      <c r="B37845" s="1" t="str">
        <f>"22134"</f>
        <v>22134</v>
      </c>
      <c r="C37845" s="2">
        <v>2.3333468771123602E-3</v>
      </c>
      <c r="D37845" s="2">
        <v>7.56575097393368E-4</v>
      </c>
      <c r="E37845" s="2">
        <v>1.04931794333683E-3</v>
      </c>
      <c r="F37845" s="2">
        <v>2.1497983635168799E-3</v>
      </c>
    </row>
    <row r="37846" spans="1:6" x14ac:dyDescent="0.25">
      <c r="A37846" s="1" t="str">
        <f t="shared" si="1360"/>
        <v>47900</v>
      </c>
      <c r="B37846" s="1" t="str">
        <f>"22534"</f>
        <v>22534</v>
      </c>
      <c r="C37846" s="2">
        <v>4.2884529433709898E-4</v>
      </c>
      <c r="D37846" s="2">
        <v>1.2539918741326501E-5</v>
      </c>
      <c r="E37846" s="2">
        <v>6.7263970726719903E-6</v>
      </c>
      <c r="F37846" s="2">
        <v>3.7639240960282E-4</v>
      </c>
    </row>
    <row r="37847" spans="1:6" x14ac:dyDescent="0.25">
      <c r="A37847" s="1" t="str">
        <f t="shared" si="1360"/>
        <v>47900</v>
      </c>
      <c r="B37847" s="1" t="str">
        <f>"22719"</f>
        <v>22719</v>
      </c>
      <c r="C37847" s="2">
        <v>1.2632652081247801E-4</v>
      </c>
      <c r="D37847" s="2">
        <v>0</v>
      </c>
      <c r="E37847" s="2">
        <v>0</v>
      </c>
      <c r="F37847" s="2">
        <v>1.10494595780398E-4</v>
      </c>
    </row>
    <row r="37848" spans="1:6" x14ac:dyDescent="0.25">
      <c r="A37848" s="1" t="str">
        <f t="shared" si="1360"/>
        <v>47900</v>
      </c>
      <c r="B37848" s="1" t="str">
        <f>"22713"</f>
        <v>22713</v>
      </c>
      <c r="C37848" s="2">
        <v>2.0315668551714399E-4</v>
      </c>
      <c r="D37848" s="2">
        <v>2.9259810396428598E-5</v>
      </c>
      <c r="E37848" s="2">
        <v>0</v>
      </c>
      <c r="F37848" s="2">
        <v>1.79957572659889E-4</v>
      </c>
    </row>
    <row r="37849" spans="1:6" x14ac:dyDescent="0.25">
      <c r="A37849" s="1" t="str">
        <f t="shared" si="1360"/>
        <v>47900</v>
      </c>
      <c r="B37849" s="1" t="str">
        <f>"22712"</f>
        <v>22712</v>
      </c>
      <c r="C37849" s="2">
        <v>1.32310408640438E-3</v>
      </c>
      <c r="D37849" s="2">
        <v>5.1831664130816402E-4</v>
      </c>
      <c r="E37849" s="2">
        <v>2.8923507412489502E-4</v>
      </c>
      <c r="F37849" s="2">
        <v>1.2112404666102701E-3</v>
      </c>
    </row>
    <row r="37850" spans="1:6" x14ac:dyDescent="0.25">
      <c r="A37850" s="1" t="str">
        <f t="shared" si="1360"/>
        <v>47900</v>
      </c>
      <c r="B37850" s="1" t="str">
        <f>"22736"</f>
        <v>22736</v>
      </c>
      <c r="C37850" s="2">
        <v>8.2370801582405797E-5</v>
      </c>
      <c r="D37850" s="2">
        <v>5.8519620792857197E-5</v>
      </c>
      <c r="E37850" s="2">
        <v>6.7263970726719903E-6</v>
      </c>
      <c r="F37850" s="2">
        <v>7.6893899987528903E-5</v>
      </c>
    </row>
    <row r="37851" spans="1:6" x14ac:dyDescent="0.25">
      <c r="A37851" s="1" t="str">
        <f t="shared" si="1360"/>
        <v>47900</v>
      </c>
      <c r="B37851" s="1" t="str">
        <f>"22620"</f>
        <v>22620</v>
      </c>
      <c r="C37851" s="2">
        <v>3.4721324433839199E-4</v>
      </c>
      <c r="D37851" s="2">
        <v>1.5883897072346899E-4</v>
      </c>
      <c r="E37851" s="2">
        <v>2.69055882906879E-5</v>
      </c>
      <c r="F37851" s="2">
        <v>3.1726810835190498E-4</v>
      </c>
    </row>
    <row r="37852" spans="1:6" x14ac:dyDescent="0.25">
      <c r="A37852" s="1" t="str">
        <f t="shared" si="1360"/>
        <v>47900</v>
      </c>
      <c r="B37852" s="1" t="str">
        <f>"22960"</f>
        <v>22960</v>
      </c>
      <c r="C37852" s="2">
        <v>2.2753548777920099E-4</v>
      </c>
      <c r="D37852" s="2">
        <v>1.6719891655102001E-5</v>
      </c>
      <c r="E37852" s="2">
        <v>0</v>
      </c>
      <c r="F37852" s="2">
        <v>2.00311840303646E-4</v>
      </c>
    </row>
    <row r="37853" spans="1:6" x14ac:dyDescent="0.25">
      <c r="A37853" s="1" t="str">
        <f t="shared" si="1360"/>
        <v>47900</v>
      </c>
      <c r="B37853" s="1" t="str">
        <f>"22556"</f>
        <v>22556</v>
      </c>
      <c r="C37853" s="2">
        <v>3.5888551936083201E-3</v>
      </c>
      <c r="D37853" s="2">
        <v>1.60092962597602E-3</v>
      </c>
      <c r="E37853" s="2">
        <v>1.1031291199181999E-3</v>
      </c>
      <c r="F37853" s="2">
        <v>3.3158071242521399E-3</v>
      </c>
    </row>
    <row r="37854" spans="1:6" x14ac:dyDescent="0.25">
      <c r="A37854" s="1" t="str">
        <f t="shared" si="1360"/>
        <v>47900</v>
      </c>
      <c r="B37854" s="1" t="str">
        <f>"20717"</f>
        <v>20717</v>
      </c>
      <c r="C37854" s="2">
        <v>6.6857018324732994E-5</v>
      </c>
      <c r="D37854" s="2">
        <v>6.4789580163520505E-4</v>
      </c>
      <c r="E37854" s="2">
        <v>1.3452794145343899E-5</v>
      </c>
      <c r="F37854" s="2">
        <v>1.09202261326826E-4</v>
      </c>
    </row>
    <row r="37855" spans="1:6" x14ac:dyDescent="0.25">
      <c r="A37855" s="1" t="str">
        <f t="shared" si="1360"/>
        <v>47900</v>
      </c>
      <c r="B37855" s="1" t="str">
        <f>"20460"</f>
        <v>20460</v>
      </c>
      <c r="C37855" s="2">
        <v>0</v>
      </c>
      <c r="D37855" s="2">
        <v>1.2539918741326501E-5</v>
      </c>
      <c r="E37855" s="2">
        <v>6.7263970726719903E-6</v>
      </c>
      <c r="F37855" s="2">
        <v>1.2923344535719099E-6</v>
      </c>
    </row>
    <row r="37856" spans="1:6" x14ac:dyDescent="0.25">
      <c r="A37856" s="1" t="str">
        <f t="shared" si="1360"/>
        <v>47900</v>
      </c>
      <c r="B37856" s="1" t="str">
        <f>"20192"</f>
        <v>20192</v>
      </c>
      <c r="C37856" s="2">
        <v>0</v>
      </c>
      <c r="D37856" s="2">
        <v>4.1799729137755096E-6</v>
      </c>
      <c r="E37856" s="2">
        <v>0</v>
      </c>
      <c r="F37856" s="2">
        <v>3.2308361339297801E-7</v>
      </c>
    </row>
    <row r="37857" spans="1:6" x14ac:dyDescent="0.25">
      <c r="A37857" s="1" t="str">
        <f t="shared" si="1360"/>
        <v>47900</v>
      </c>
      <c r="B37857" s="1" t="str">
        <f>"20741"</f>
        <v>20741</v>
      </c>
      <c r="C37857" s="2">
        <v>1.7582287692029201E-4</v>
      </c>
      <c r="D37857" s="2">
        <v>3.17677941446939E-4</v>
      </c>
      <c r="E37857" s="2">
        <v>1.3452794145343899E-5</v>
      </c>
      <c r="F37857" s="2">
        <v>1.7898832181971E-4</v>
      </c>
    </row>
    <row r="37858" spans="1:6" x14ac:dyDescent="0.25">
      <c r="A37858" s="1" t="str">
        <f t="shared" si="1360"/>
        <v>47900</v>
      </c>
      <c r="B37858" s="1" t="str">
        <f>"20401"</f>
        <v>20401</v>
      </c>
      <c r="C37858" s="2">
        <v>0</v>
      </c>
      <c r="D37858" s="2">
        <v>8.3599458275510293E-6</v>
      </c>
      <c r="E37858" s="2">
        <v>0</v>
      </c>
      <c r="F37858" s="2">
        <v>6.4616722678595697E-7</v>
      </c>
    </row>
    <row r="37859" spans="1:6" x14ac:dyDescent="0.25">
      <c r="A37859" s="1" t="str">
        <f t="shared" si="1360"/>
        <v>47900</v>
      </c>
      <c r="B37859" s="1" t="str">
        <f>"20530"</f>
        <v>20530</v>
      </c>
      <c r="C37859" s="2">
        <v>0</v>
      </c>
      <c r="D37859" s="2">
        <v>4.5979702051530701E-5</v>
      </c>
      <c r="E37859" s="2">
        <v>2.69055882906879E-5</v>
      </c>
      <c r="F37859" s="2">
        <v>4.8462542008946798E-6</v>
      </c>
    </row>
    <row r="37860" spans="1:6" x14ac:dyDescent="0.25">
      <c r="A37860" s="1" t="str">
        <f t="shared" si="1360"/>
        <v>47900</v>
      </c>
      <c r="B37860" s="1" t="str">
        <f>"20224"</f>
        <v>20224</v>
      </c>
      <c r="C37860" s="2">
        <v>0</v>
      </c>
      <c r="D37860" s="2">
        <v>4.1799729137755096E-6</v>
      </c>
      <c r="E37860" s="2">
        <v>0</v>
      </c>
      <c r="F37860" s="2">
        <v>3.2308361339297801E-7</v>
      </c>
    </row>
    <row r="37861" spans="1:6" x14ac:dyDescent="0.25">
      <c r="A37861" s="1" t="str">
        <f t="shared" si="1360"/>
        <v>47900</v>
      </c>
      <c r="B37861" s="1" t="str">
        <f>"20038"</f>
        <v>20038</v>
      </c>
      <c r="C37861" s="2">
        <v>2.5745492691899903E-4</v>
      </c>
      <c r="D37861" s="2">
        <v>8.81974284806634E-4</v>
      </c>
      <c r="E37861" s="2">
        <v>1.3452794145343899E-5</v>
      </c>
      <c r="F37861" s="2">
        <v>2.9400608818761002E-4</v>
      </c>
    </row>
    <row r="37862" spans="1:6" x14ac:dyDescent="0.25">
      <c r="A37862" s="1" t="str">
        <f t="shared" si="1360"/>
        <v>47900</v>
      </c>
      <c r="B37862" s="1" t="str">
        <f>"20027"</f>
        <v>20027</v>
      </c>
      <c r="C37862" s="2">
        <v>3.15816302031197E-4</v>
      </c>
      <c r="D37862" s="2">
        <v>5.8101623501479697E-4</v>
      </c>
      <c r="E37862" s="2">
        <v>1.3452794145343899E-5</v>
      </c>
      <c r="F37862" s="2">
        <v>3.2179127893940601E-4</v>
      </c>
    </row>
    <row r="37863" spans="1:6" x14ac:dyDescent="0.25">
      <c r="A37863" s="1" t="str">
        <f t="shared" si="1360"/>
        <v>47900</v>
      </c>
      <c r="B37863" s="1" t="str">
        <f>"21718"</f>
        <v>21718</v>
      </c>
      <c r="C37863" s="2">
        <v>2.6964432805002799E-5</v>
      </c>
      <c r="D37863" s="2">
        <v>4.1799729137755096E-6</v>
      </c>
      <c r="E37863" s="2">
        <v>0</v>
      </c>
      <c r="F37863" s="2">
        <v>2.3908187391080401E-5</v>
      </c>
    </row>
    <row r="37864" spans="1:6" x14ac:dyDescent="0.25">
      <c r="A37864" s="1" t="str">
        <f t="shared" si="1360"/>
        <v>47900</v>
      </c>
      <c r="B37864" s="1" t="str">
        <f>"20159"</f>
        <v>20159</v>
      </c>
      <c r="C37864" s="2">
        <v>1.8875102963501899E-4</v>
      </c>
      <c r="D37864" s="2">
        <v>2.8841813105050999E-4</v>
      </c>
      <c r="E37864" s="2">
        <v>1.3452794145343899E-5</v>
      </c>
      <c r="F37864" s="2">
        <v>1.8803466299471301E-4</v>
      </c>
    </row>
    <row r="37865" spans="1:6" x14ac:dyDescent="0.25">
      <c r="A37865" s="1" t="str">
        <f t="shared" si="1360"/>
        <v>47900</v>
      </c>
      <c r="B37865" s="1" t="str">
        <f>"20229"</f>
        <v>20229</v>
      </c>
      <c r="C37865" s="2">
        <v>0</v>
      </c>
      <c r="D37865" s="2">
        <v>4.4725710177397998E-4</v>
      </c>
      <c r="E37865" s="2">
        <v>8.0716764872063897E-5</v>
      </c>
      <c r="F37865" s="2">
        <v>3.8446949993764397E-5</v>
      </c>
    </row>
    <row r="37866" spans="1:6" x14ac:dyDescent="0.25">
      <c r="A37866" s="1" t="str">
        <f t="shared" si="1360"/>
        <v>47900</v>
      </c>
      <c r="B37866" s="1" t="str">
        <f>"20913"</f>
        <v>20913</v>
      </c>
      <c r="C37866" s="2">
        <v>2.9217625135283801E-4</v>
      </c>
      <c r="D37866" s="2">
        <v>6.5625574746275598E-4</v>
      </c>
      <c r="E37866" s="2">
        <v>1.3452794145343899E-5</v>
      </c>
      <c r="F37866" s="2">
        <v>3.0692943272332901E-4</v>
      </c>
    </row>
    <row r="37867" spans="1:6" x14ac:dyDescent="0.25">
      <c r="A37867" s="1" t="str">
        <f t="shared" si="1360"/>
        <v>47900</v>
      </c>
      <c r="B37867" s="1" t="str">
        <f>"20146"</f>
        <v>20146</v>
      </c>
      <c r="C37867" s="2">
        <v>3.6161890022051702E-4</v>
      </c>
      <c r="D37867" s="2">
        <v>2.1067063485428598E-3</v>
      </c>
      <c r="E37867" s="2">
        <v>1.3452794145343899E-5</v>
      </c>
      <c r="F37867" s="2">
        <v>4.7977916588857301E-4</v>
      </c>
    </row>
    <row r="37868" spans="1:6" x14ac:dyDescent="0.25">
      <c r="A37868" s="1" t="str">
        <f t="shared" si="1360"/>
        <v>47900</v>
      </c>
      <c r="B37868" s="1" t="str">
        <f>"20615"</f>
        <v>20615</v>
      </c>
      <c r="C37868" s="2">
        <v>6.9442648867678504E-5</v>
      </c>
      <c r="D37868" s="2">
        <v>2.9259810396428598E-5</v>
      </c>
      <c r="E37868" s="2">
        <v>2.01791912180159E-5</v>
      </c>
      <c r="F37868" s="2">
        <v>6.3970555451809804E-5</v>
      </c>
    </row>
    <row r="37869" spans="1:6" x14ac:dyDescent="0.25">
      <c r="A37869" s="1" t="str">
        <f t="shared" si="1360"/>
        <v>47900</v>
      </c>
      <c r="B37869" s="1" t="str">
        <f>"22199"</f>
        <v>22199</v>
      </c>
      <c r="C37869" s="2">
        <v>3.9744835202990399E-4</v>
      </c>
      <c r="D37869" s="2">
        <v>1.44209065525255E-3</v>
      </c>
      <c r="E37869" s="2">
        <v>6.7263970726719903E-6</v>
      </c>
      <c r="F37869" s="2">
        <v>4.5942489824481501E-4</v>
      </c>
    </row>
    <row r="37870" spans="1:6" x14ac:dyDescent="0.25">
      <c r="A37870" s="1" t="str">
        <f t="shared" si="1360"/>
        <v>47900</v>
      </c>
      <c r="B37870" s="1" t="str">
        <f>"22216"</f>
        <v>22216</v>
      </c>
      <c r="C37870" s="2">
        <v>2.6816682488263E-4</v>
      </c>
      <c r="D37870" s="2">
        <v>6.3117590998010298E-4</v>
      </c>
      <c r="E37870" s="2">
        <v>1.3452794145343899E-5</v>
      </c>
      <c r="F37870" s="2">
        <v>2.8399049617242798E-4</v>
      </c>
    </row>
    <row r="37871" spans="1:6" x14ac:dyDescent="0.25">
      <c r="A37871" s="1" t="str">
        <f t="shared" si="1360"/>
        <v>47900</v>
      </c>
      <c r="B37871" s="1" t="str">
        <f>"22709"</f>
        <v>22709</v>
      </c>
      <c r="C37871" s="2">
        <v>2.26796736195503E-4</v>
      </c>
      <c r="D37871" s="2">
        <v>1.2539918741326501E-5</v>
      </c>
      <c r="E37871" s="2">
        <v>0</v>
      </c>
      <c r="F37871" s="2">
        <v>1.99342589463467E-4</v>
      </c>
    </row>
    <row r="37872" spans="1:6" x14ac:dyDescent="0.25">
      <c r="A37872" s="1" t="str">
        <f t="shared" si="1360"/>
        <v>47900</v>
      </c>
      <c r="B37872" s="1" t="str">
        <f>"22732"</f>
        <v>22732</v>
      </c>
      <c r="C37872" s="2">
        <v>8.90195658356942E-5</v>
      </c>
      <c r="D37872" s="2">
        <v>1.2539918741326501E-5</v>
      </c>
      <c r="E37872" s="2">
        <v>6.7263970726719903E-6</v>
      </c>
      <c r="F37872" s="2">
        <v>7.9155485281279798E-5</v>
      </c>
    </row>
    <row r="37873" spans="1:6" x14ac:dyDescent="0.25">
      <c r="A37873" s="1" t="str">
        <f t="shared" si="1360"/>
        <v>47900</v>
      </c>
      <c r="B37873" s="1" t="str">
        <f>"22741"</f>
        <v>22741</v>
      </c>
      <c r="C37873" s="2">
        <v>2.9550063347948299E-5</v>
      </c>
      <c r="D37873" s="2">
        <v>3.3439783310204097E-5</v>
      </c>
      <c r="E37873" s="2">
        <v>0</v>
      </c>
      <c r="F37873" s="2">
        <v>2.84313579785821E-5</v>
      </c>
    </row>
    <row r="37874" spans="1:6" x14ac:dyDescent="0.25">
      <c r="A37874" s="1" t="str">
        <f t="shared" si="1360"/>
        <v>47900</v>
      </c>
      <c r="B37874" s="1" t="str">
        <f>"22627"</f>
        <v>22627</v>
      </c>
      <c r="C37874" s="2">
        <v>9.64070816726813E-5</v>
      </c>
      <c r="D37874" s="2">
        <v>4.1799729137755096E-6</v>
      </c>
      <c r="E37874" s="2">
        <v>2.01791912180159E-5</v>
      </c>
      <c r="F37874" s="2">
        <v>8.5617157549139401E-5</v>
      </c>
    </row>
    <row r="37875" spans="1:6" x14ac:dyDescent="0.25">
      <c r="A37875" s="1" t="str">
        <f t="shared" si="1360"/>
        <v>47900</v>
      </c>
      <c r="B37875" s="1" t="str">
        <f>"23117"</f>
        <v>23117</v>
      </c>
      <c r="C37875" s="2">
        <v>3.2948320632962303E-4</v>
      </c>
      <c r="D37875" s="2">
        <v>7.1059539534183794E-5</v>
      </c>
      <c r="E37875" s="2">
        <v>0</v>
      </c>
      <c r="F37875" s="2">
        <v>2.9368300457421702E-4</v>
      </c>
    </row>
    <row r="37876" spans="1:6" x14ac:dyDescent="0.25">
      <c r="A37876" s="1" t="str">
        <f t="shared" si="1360"/>
        <v>47900</v>
      </c>
      <c r="B37876" s="1" t="str">
        <f>"20416"</f>
        <v>20416</v>
      </c>
      <c r="C37876" s="2">
        <v>0</v>
      </c>
      <c r="D37876" s="2">
        <v>8.3599458275510293E-6</v>
      </c>
      <c r="E37876" s="2">
        <v>0</v>
      </c>
      <c r="F37876" s="2">
        <v>6.4616722678595697E-7</v>
      </c>
    </row>
    <row r="37877" spans="1:6" x14ac:dyDescent="0.25">
      <c r="A37877" s="1" t="str">
        <f t="shared" si="1360"/>
        <v>47900</v>
      </c>
      <c r="B37877" s="1" t="str">
        <f>"20408"</f>
        <v>20408</v>
      </c>
      <c r="C37877" s="2">
        <v>0</v>
      </c>
      <c r="D37877" s="2">
        <v>4.1799729137755096E-6</v>
      </c>
      <c r="E37877" s="2">
        <v>0</v>
      </c>
      <c r="F37877" s="2">
        <v>3.2308361339297801E-7</v>
      </c>
    </row>
    <row r="37878" spans="1:6" x14ac:dyDescent="0.25">
      <c r="A37878" s="1" t="str">
        <f t="shared" si="1360"/>
        <v>47900</v>
      </c>
      <c r="B37878" s="1" t="str">
        <f>"20204"</f>
        <v>20204</v>
      </c>
      <c r="C37878" s="2">
        <v>0</v>
      </c>
      <c r="D37878" s="2">
        <v>4.1799729137755096E-6</v>
      </c>
      <c r="E37878" s="2">
        <v>0</v>
      </c>
      <c r="F37878" s="2">
        <v>3.2308361339297801E-7</v>
      </c>
    </row>
    <row r="37879" spans="1:6" x14ac:dyDescent="0.25">
      <c r="A37879" s="1" t="str">
        <f t="shared" si="1360"/>
        <v>47900</v>
      </c>
      <c r="B37879" s="1" t="str">
        <f>"22037"</f>
        <v>22037</v>
      </c>
      <c r="C37879" s="2">
        <v>0</v>
      </c>
      <c r="D37879" s="2">
        <v>8.3599458275510293E-6</v>
      </c>
      <c r="E37879" s="2">
        <v>0</v>
      </c>
      <c r="F37879" s="2">
        <v>6.4616722678595697E-7</v>
      </c>
    </row>
    <row r="37880" spans="1:6" x14ac:dyDescent="0.25">
      <c r="A37880" s="1" t="str">
        <f t="shared" si="1360"/>
        <v>47900</v>
      </c>
      <c r="B37880" s="1" t="str">
        <f>"22412"</f>
        <v>22412</v>
      </c>
      <c r="C37880" s="2">
        <v>0</v>
      </c>
      <c r="D37880" s="2">
        <v>0</v>
      </c>
      <c r="E37880" s="2">
        <v>1.3452794145343899E-5</v>
      </c>
      <c r="F37880" s="2">
        <v>6.4616722678595697E-7</v>
      </c>
    </row>
    <row r="37881" spans="1:6" x14ac:dyDescent="0.25">
      <c r="A37881" s="1" t="str">
        <f t="shared" si="1360"/>
        <v>47900</v>
      </c>
      <c r="B37881" s="1" t="str">
        <f>"20412"</f>
        <v>20412</v>
      </c>
      <c r="C37881" s="2">
        <v>0</v>
      </c>
      <c r="D37881" s="2">
        <v>4.1799729137755096E-6</v>
      </c>
      <c r="E37881" s="2">
        <v>0</v>
      </c>
      <c r="F37881" s="2">
        <v>3.2308361339297801E-7</v>
      </c>
    </row>
    <row r="37882" spans="1:6" x14ac:dyDescent="0.25">
      <c r="A37882" s="1" t="str">
        <f t="shared" si="1360"/>
        <v>47900</v>
      </c>
      <c r="B37882" s="1" t="str">
        <f>"20440"</f>
        <v>20440</v>
      </c>
      <c r="C37882" s="2">
        <v>0</v>
      </c>
      <c r="D37882" s="2">
        <v>4.1799729137755096E-6</v>
      </c>
      <c r="E37882" s="2">
        <v>0</v>
      </c>
      <c r="F37882" s="2">
        <v>3.2308361339297801E-7</v>
      </c>
    </row>
    <row r="37883" spans="1:6" x14ac:dyDescent="0.25">
      <c r="A37883" s="1" t="str">
        <f t="shared" si="1360"/>
        <v>47900</v>
      </c>
      <c r="B37883" s="1" t="str">
        <f>"20240"</f>
        <v>20240</v>
      </c>
      <c r="C37883" s="2">
        <v>0</v>
      </c>
      <c r="D37883" s="2">
        <v>8.3599458275510293E-6</v>
      </c>
      <c r="E37883" s="2">
        <v>0</v>
      </c>
      <c r="F37883" s="2">
        <v>6.4616722678595697E-7</v>
      </c>
    </row>
    <row r="37884" spans="1:6" x14ac:dyDescent="0.25">
      <c r="A37884" s="1" t="str">
        <f t="shared" si="1360"/>
        <v>47900</v>
      </c>
      <c r="B37884" s="1" t="str">
        <f>"20590"</f>
        <v>20590</v>
      </c>
      <c r="C37884" s="2">
        <v>0</v>
      </c>
      <c r="D37884" s="2">
        <v>4.1799729137755096E-6</v>
      </c>
      <c r="E37884" s="2">
        <v>0</v>
      </c>
      <c r="F37884" s="2">
        <v>3.2308361339297801E-7</v>
      </c>
    </row>
    <row r="37885" spans="1:6" x14ac:dyDescent="0.25">
      <c r="A37885" s="1" t="str">
        <f t="shared" si="1360"/>
        <v>47900</v>
      </c>
      <c r="B37885" s="1" t="str">
        <f>"20426"</f>
        <v>20426</v>
      </c>
      <c r="C37885" s="2">
        <v>0</v>
      </c>
      <c r="D37885" s="2">
        <v>1.2539918741326501E-5</v>
      </c>
      <c r="E37885" s="2">
        <v>0</v>
      </c>
      <c r="F37885" s="2">
        <v>9.6925084017893608E-7</v>
      </c>
    </row>
    <row r="37886" spans="1:6" x14ac:dyDescent="0.25">
      <c r="A37886" s="1" t="str">
        <f t="shared" si="1360"/>
        <v>47900</v>
      </c>
      <c r="B37886" s="1" t="str">
        <f>"20060"</f>
        <v>20060</v>
      </c>
      <c r="C37886" s="2">
        <v>0</v>
      </c>
      <c r="D37886" s="2">
        <v>8.3599458275510293E-6</v>
      </c>
      <c r="E37886" s="2">
        <v>0</v>
      </c>
      <c r="F37886" s="2">
        <v>6.4616722678595697E-7</v>
      </c>
    </row>
    <row r="37887" spans="1:6" x14ac:dyDescent="0.25">
      <c r="A37887" s="1" t="str">
        <f t="shared" si="1360"/>
        <v>47900</v>
      </c>
      <c r="B37887" s="1" t="str">
        <f>"20244"</f>
        <v>20244</v>
      </c>
      <c r="C37887" s="2">
        <v>0</v>
      </c>
      <c r="D37887" s="2">
        <v>4.1799729137755096E-6</v>
      </c>
      <c r="E37887" s="2">
        <v>0</v>
      </c>
      <c r="F37887" s="2">
        <v>3.2308361339297801E-7</v>
      </c>
    </row>
    <row r="37888" spans="1:6" x14ac:dyDescent="0.25">
      <c r="A37888" s="1" t="str">
        <f t="shared" si="1360"/>
        <v>47900</v>
      </c>
      <c r="B37888" s="1" t="str">
        <f>"20709"</f>
        <v>20709</v>
      </c>
      <c r="C37888" s="2">
        <v>3.3280758845626702E-4</v>
      </c>
      <c r="D37888" s="2">
        <v>5.8101623501479697E-4</v>
      </c>
      <c r="E37888" s="2">
        <v>1.3452794145343899E-5</v>
      </c>
      <c r="F37888" s="2">
        <v>3.36653125155483E-4</v>
      </c>
    </row>
    <row r="37889" spans="1:6" x14ac:dyDescent="0.25">
      <c r="A37889" s="1" t="str">
        <f t="shared" si="1360"/>
        <v>47900</v>
      </c>
      <c r="B37889" s="1" t="str">
        <f>"20575"</f>
        <v>20575</v>
      </c>
      <c r="C37889" s="2">
        <v>0</v>
      </c>
      <c r="D37889" s="2">
        <v>4.1799729137755096E-6</v>
      </c>
      <c r="E37889" s="2">
        <v>0</v>
      </c>
      <c r="F37889" s="2">
        <v>3.2308361339297801E-7</v>
      </c>
    </row>
    <row r="37890" spans="1:6" x14ac:dyDescent="0.25">
      <c r="A37890" s="1" t="str">
        <f t="shared" si="1360"/>
        <v>47900</v>
      </c>
      <c r="B37890" s="1" t="str">
        <f>"20524"</f>
        <v>20524</v>
      </c>
      <c r="C37890" s="2">
        <v>0</v>
      </c>
      <c r="D37890" s="2">
        <v>4.1799729137755096E-6</v>
      </c>
      <c r="E37890" s="2">
        <v>0</v>
      </c>
      <c r="F37890" s="2">
        <v>3.2308361339297801E-7</v>
      </c>
    </row>
    <row r="37891" spans="1:6" x14ac:dyDescent="0.25">
      <c r="A37891" s="1" t="str">
        <f t="shared" si="1360"/>
        <v>47900</v>
      </c>
      <c r="B37891" s="1" t="str">
        <f>"20885"</f>
        <v>20885</v>
      </c>
      <c r="C37891" s="2">
        <v>2.9476188189578399E-4</v>
      </c>
      <c r="D37891" s="2">
        <v>7.3985520573826603E-4</v>
      </c>
      <c r="E37891" s="2">
        <v>1.3452794145343899E-5</v>
      </c>
      <c r="F37891" s="2">
        <v>3.1565269028494003E-4</v>
      </c>
    </row>
    <row r="37892" spans="1:6" x14ac:dyDescent="0.25">
      <c r="A37892" s="1" t="str">
        <f t="shared" ref="A37892:A37955" si="1361">"47900"</f>
        <v>47900</v>
      </c>
      <c r="B37892" s="1" t="str">
        <f>"22640"</f>
        <v>22640</v>
      </c>
      <c r="C37892" s="2">
        <v>7.7938292080213597E-5</v>
      </c>
      <c r="D37892" s="2">
        <v>1.6719891655102001E-5</v>
      </c>
      <c r="E37892" s="2">
        <v>1.3452794145343899E-5</v>
      </c>
      <c r="F37892" s="2">
        <v>7.0109144106276393E-5</v>
      </c>
    </row>
    <row r="37893" spans="1:6" x14ac:dyDescent="0.25">
      <c r="A37893" s="1" t="str">
        <f t="shared" si="1361"/>
        <v>47900</v>
      </c>
      <c r="B37893" s="1" t="str">
        <f>"20777"</f>
        <v>20777</v>
      </c>
      <c r="C37893" s="2">
        <v>7.01814004513772E-6</v>
      </c>
      <c r="D37893" s="2">
        <v>4.1799729137755096E-6</v>
      </c>
      <c r="E37893" s="2">
        <v>0</v>
      </c>
      <c r="F37893" s="2">
        <v>6.4616722678595697E-6</v>
      </c>
    </row>
    <row r="37894" spans="1:6" x14ac:dyDescent="0.25">
      <c r="A37894" s="1" t="str">
        <f t="shared" si="1361"/>
        <v>47900</v>
      </c>
      <c r="B37894" s="1" t="str">
        <f>"25432"</f>
        <v>25432</v>
      </c>
      <c r="C37894" s="2">
        <v>2.2531923302810501E-5</v>
      </c>
      <c r="D37894" s="2">
        <v>4.1799729137755096E-6</v>
      </c>
      <c r="E37894" s="2">
        <v>6.7263970726719903E-6</v>
      </c>
      <c r="F37894" s="2">
        <v>2.0354267643757599E-5</v>
      </c>
    </row>
    <row r="37895" spans="1:6" x14ac:dyDescent="0.25">
      <c r="A37895" s="1" t="str">
        <f t="shared" si="1361"/>
        <v>47900</v>
      </c>
      <c r="B37895" s="1" t="str">
        <f>"20029"</f>
        <v>20029</v>
      </c>
      <c r="C37895" s="2">
        <v>6.64137673745138E-4</v>
      </c>
      <c r="D37895" s="2">
        <v>3.4275777892959201E-4</v>
      </c>
      <c r="E37895" s="2">
        <v>1.3452794145343899E-5</v>
      </c>
      <c r="F37895" s="2">
        <v>6.0804336040558597E-4</v>
      </c>
    </row>
    <row r="37896" spans="1:6" x14ac:dyDescent="0.25">
      <c r="A37896" s="1" t="str">
        <f t="shared" si="1361"/>
        <v>47900</v>
      </c>
      <c r="B37896" s="1" t="str">
        <f>"20052"</f>
        <v>20052</v>
      </c>
      <c r="C37896" s="2">
        <v>3.0658190723496299E-5</v>
      </c>
      <c r="D37896" s="2">
        <v>2.2571853734387799E-4</v>
      </c>
      <c r="E37896" s="2">
        <v>1.3452794145343899E-5</v>
      </c>
      <c r="F37896" s="2">
        <v>4.4908622261624001E-5</v>
      </c>
    </row>
    <row r="37897" spans="1:6" x14ac:dyDescent="0.25">
      <c r="A37897" s="1" t="str">
        <f t="shared" si="1361"/>
        <v>47900</v>
      </c>
      <c r="B37897" s="1" t="str">
        <f>"20156"</f>
        <v>20156</v>
      </c>
      <c r="C37897" s="2">
        <v>1.9503041809645799E-4</v>
      </c>
      <c r="D37897" s="2">
        <v>8.1509471818622602E-4</v>
      </c>
      <c r="E37897" s="2">
        <v>6.7263970726719903E-6</v>
      </c>
      <c r="F37897" s="2">
        <v>2.3391253609651599E-4</v>
      </c>
    </row>
    <row r="37898" spans="1:6" x14ac:dyDescent="0.25">
      <c r="A37898" s="1" t="str">
        <f t="shared" si="1361"/>
        <v>47900</v>
      </c>
      <c r="B37898" s="1" t="str">
        <f>"25414"</f>
        <v>25414</v>
      </c>
      <c r="C37898" s="2">
        <v>3.2852282927081501E-3</v>
      </c>
      <c r="D37898" s="2">
        <v>3.0681001187112299E-3</v>
      </c>
      <c r="E37898" s="2">
        <v>2.0919094896009898E-3</v>
      </c>
      <c r="F37898" s="2">
        <v>3.2111280335128099E-3</v>
      </c>
    </row>
    <row r="37899" spans="1:6" x14ac:dyDescent="0.25">
      <c r="A37899" s="1" t="str">
        <f t="shared" si="1361"/>
        <v>47900</v>
      </c>
      <c r="B37899" s="1" t="str">
        <f>"20018"</f>
        <v>20018</v>
      </c>
      <c r="C37899" s="2">
        <v>3.5633682639707098E-3</v>
      </c>
      <c r="D37899" s="2">
        <v>3.3983179788994902E-3</v>
      </c>
      <c r="E37899" s="2">
        <v>4.3654317001641197E-3</v>
      </c>
      <c r="F37899" s="2">
        <v>3.5891358611825999E-3</v>
      </c>
    </row>
    <row r="37900" spans="1:6" x14ac:dyDescent="0.25">
      <c r="A37900" s="1" t="str">
        <f t="shared" si="1361"/>
        <v>47900</v>
      </c>
      <c r="B37900" s="1" t="str">
        <f>"20003"</f>
        <v>20003</v>
      </c>
      <c r="C37900" s="2">
        <v>7.1729085019226002E-3</v>
      </c>
      <c r="D37900" s="2">
        <v>7.4152719490377696E-3</v>
      </c>
      <c r="E37900" s="2">
        <v>1.3224096644873101E-2</v>
      </c>
      <c r="F37900" s="2">
        <v>7.4822934025679903E-3</v>
      </c>
    </row>
    <row r="37901" spans="1:6" x14ac:dyDescent="0.25">
      <c r="A37901" s="1" t="str">
        <f t="shared" si="1361"/>
        <v>47900</v>
      </c>
      <c r="B37901" s="1" t="str">
        <f>"20720"</f>
        <v>20720</v>
      </c>
      <c r="C37901" s="2">
        <v>3.1090360399960099E-3</v>
      </c>
      <c r="D37901" s="2">
        <v>1.0449932284438701E-3</v>
      </c>
      <c r="E37901" s="2">
        <v>2.1524470632550301E-4</v>
      </c>
      <c r="F37901" s="2">
        <v>2.81050435290552E-3</v>
      </c>
    </row>
    <row r="37902" spans="1:6" x14ac:dyDescent="0.25">
      <c r="A37902" s="1" t="str">
        <f t="shared" si="1361"/>
        <v>47900</v>
      </c>
      <c r="B37902" s="1" t="str">
        <f>"20646"</f>
        <v>20646</v>
      </c>
      <c r="C37902" s="2">
        <v>3.5593051302603698E-3</v>
      </c>
      <c r="D37902" s="2">
        <v>4.3597117490678603E-3</v>
      </c>
      <c r="E37902" s="2">
        <v>1.1434875023542299E-3</v>
      </c>
      <c r="F37902" s="2">
        <v>3.5051341217004202E-3</v>
      </c>
    </row>
    <row r="37903" spans="1:6" x14ac:dyDescent="0.25">
      <c r="A37903" s="1" t="str">
        <f t="shared" si="1361"/>
        <v>47900</v>
      </c>
      <c r="B37903" s="1" t="str">
        <f>"20637"</f>
        <v>20637</v>
      </c>
      <c r="C37903" s="2">
        <v>8.2740177374255198E-4</v>
      </c>
      <c r="D37903" s="2">
        <v>3.4275777892959201E-4</v>
      </c>
      <c r="E37903" s="2">
        <v>8.0716764872063897E-5</v>
      </c>
      <c r="F37903" s="2">
        <v>7.5407715365921201E-4</v>
      </c>
    </row>
    <row r="37904" spans="1:6" x14ac:dyDescent="0.25">
      <c r="A37904" s="1" t="str">
        <f t="shared" si="1361"/>
        <v>47900</v>
      </c>
      <c r="B37904" s="1" t="str">
        <f>"20616"</f>
        <v>20616</v>
      </c>
      <c r="C37904" s="2">
        <v>1.2798871187580101E-3</v>
      </c>
      <c r="D37904" s="2">
        <v>7.1477536825561303E-4</v>
      </c>
      <c r="E37904" s="2">
        <v>2.1524470632550301E-4</v>
      </c>
      <c r="F37904" s="2">
        <v>1.18507069392544E-3</v>
      </c>
    </row>
    <row r="37905" spans="1:6" x14ac:dyDescent="0.25">
      <c r="A37905" s="1" t="str">
        <f t="shared" si="1361"/>
        <v>47900</v>
      </c>
      <c r="B37905" s="1" t="str">
        <f>"20678"</f>
        <v>20678</v>
      </c>
      <c r="C37905" s="2">
        <v>2.4703852958884698E-3</v>
      </c>
      <c r="D37905" s="2">
        <v>4.53527061144643E-3</v>
      </c>
      <c r="E37905" s="2">
        <v>1.44617537062447E-3</v>
      </c>
      <c r="F37905" s="2">
        <v>2.5807919037831098E-3</v>
      </c>
    </row>
    <row r="37906" spans="1:6" x14ac:dyDescent="0.25">
      <c r="A37906" s="1" t="str">
        <f t="shared" si="1361"/>
        <v>47900</v>
      </c>
      <c r="B37906" s="1" t="str">
        <f>"20703"</f>
        <v>20703</v>
      </c>
      <c r="C37906" s="2">
        <v>3.0436565248386698E-4</v>
      </c>
      <c r="D37906" s="2">
        <v>7.4403517865204204E-4</v>
      </c>
      <c r="E37906" s="2">
        <v>1.3452794145343899E-5</v>
      </c>
      <c r="F37906" s="2">
        <v>3.2437594784655001E-4</v>
      </c>
    </row>
    <row r="37907" spans="1:6" x14ac:dyDescent="0.25">
      <c r="A37907" s="1" t="str">
        <f t="shared" si="1361"/>
        <v>47900</v>
      </c>
      <c r="B37907" s="1" t="str">
        <f>"20689"</f>
        <v>20689</v>
      </c>
      <c r="C37907" s="2">
        <v>3.5903326967757099E-4</v>
      </c>
      <c r="D37907" s="2">
        <v>1.8391880820612199E-4</v>
      </c>
      <c r="E37907" s="2">
        <v>5.3811176581375902E-5</v>
      </c>
      <c r="F37907" s="2">
        <v>3.3083762011441002E-4</v>
      </c>
    </row>
    <row r="37908" spans="1:6" x14ac:dyDescent="0.25">
      <c r="A37908" s="1" t="str">
        <f t="shared" si="1361"/>
        <v>47900</v>
      </c>
      <c r="B37908" s="1" t="str">
        <f>"20037"</f>
        <v>20037</v>
      </c>
      <c r="C37908" s="2">
        <v>3.4942949908948798E-3</v>
      </c>
      <c r="D37908" s="2">
        <v>4.2970121553612302E-3</v>
      </c>
      <c r="E37908" s="2">
        <v>2.8721715500309398E-3</v>
      </c>
      <c r="F37908" s="2">
        <v>3.5264576401843602E-3</v>
      </c>
    </row>
    <row r="37909" spans="1:6" x14ac:dyDescent="0.25">
      <c r="A37909" s="1" t="str">
        <f t="shared" si="1361"/>
        <v>47900</v>
      </c>
      <c r="B37909" s="1" t="str">
        <f>"20374"</f>
        <v>20374</v>
      </c>
      <c r="C37909" s="2">
        <v>0</v>
      </c>
      <c r="D37909" s="2">
        <v>4.7233693925663299E-4</v>
      </c>
      <c r="E37909" s="2">
        <v>4.0358382436031901E-5</v>
      </c>
      <c r="F37909" s="2">
        <v>3.8446949993764397E-5</v>
      </c>
    </row>
    <row r="37910" spans="1:6" x14ac:dyDescent="0.25">
      <c r="A37910" s="1" t="str">
        <f t="shared" si="1361"/>
        <v>47900</v>
      </c>
      <c r="B37910" s="1" t="str">
        <f>"20540"</f>
        <v>20540</v>
      </c>
      <c r="C37910" s="2">
        <v>0</v>
      </c>
      <c r="D37910" s="2">
        <v>1.43791068233877E-3</v>
      </c>
      <c r="E37910" s="2">
        <v>6.7263970726719903E-6</v>
      </c>
      <c r="F37910" s="2">
        <v>1.11463846620577E-4</v>
      </c>
    </row>
    <row r="37911" spans="1:6" x14ac:dyDescent="0.25">
      <c r="A37911" s="1" t="str">
        <f t="shared" si="1361"/>
        <v>47900</v>
      </c>
      <c r="B37911" s="1" t="str">
        <f>"20559"</f>
        <v>20559</v>
      </c>
      <c r="C37911" s="2">
        <v>0</v>
      </c>
      <c r="D37911" s="2">
        <v>1.71378889464796E-4</v>
      </c>
      <c r="E37911" s="2">
        <v>6.7263970726719903E-6</v>
      </c>
      <c r="F37911" s="2">
        <v>1.35695117625051E-5</v>
      </c>
    </row>
    <row r="37912" spans="1:6" x14ac:dyDescent="0.25">
      <c r="A37912" s="1" t="str">
        <f t="shared" si="1361"/>
        <v>47900</v>
      </c>
      <c r="B37912" s="1" t="str">
        <f>"20570"</f>
        <v>20570</v>
      </c>
      <c r="C37912" s="2">
        <v>0</v>
      </c>
      <c r="D37912" s="2">
        <v>4.1799729137755096E-6</v>
      </c>
      <c r="E37912" s="2">
        <v>0</v>
      </c>
      <c r="F37912" s="2">
        <v>3.2308361339297801E-7</v>
      </c>
    </row>
    <row r="37913" spans="1:6" x14ac:dyDescent="0.25">
      <c r="A37913" s="1" t="str">
        <f t="shared" si="1361"/>
        <v>47900</v>
      </c>
      <c r="B37913" s="1" t="str">
        <f>"20593"</f>
        <v>20593</v>
      </c>
      <c r="C37913" s="2">
        <v>0</v>
      </c>
      <c r="D37913" s="2">
        <v>1.3375913324081601E-4</v>
      </c>
      <c r="E37913" s="2">
        <v>6.7263970726719903E-6</v>
      </c>
      <c r="F37913" s="2">
        <v>1.06617592419683E-5</v>
      </c>
    </row>
    <row r="37914" spans="1:6" x14ac:dyDescent="0.25">
      <c r="A37914" s="1" t="str">
        <f t="shared" si="1361"/>
        <v>47900</v>
      </c>
      <c r="B37914" s="1" t="str">
        <f>"20090"</f>
        <v>20090</v>
      </c>
      <c r="C37914" s="2">
        <v>8.0006796514570002E-4</v>
      </c>
      <c r="D37914" s="2">
        <v>1.55494992392449E-3</v>
      </c>
      <c r="E37914" s="2">
        <v>1.3452794145343899E-5</v>
      </c>
      <c r="F37914" s="2">
        <v>8.2063237801816599E-4</v>
      </c>
    </row>
    <row r="37915" spans="1:6" x14ac:dyDescent="0.25">
      <c r="A37915" s="1" t="str">
        <f t="shared" si="1361"/>
        <v>47900</v>
      </c>
      <c r="B37915" s="1" t="str">
        <f>"20536"</f>
        <v>20536</v>
      </c>
      <c r="C37915" s="2">
        <v>0</v>
      </c>
      <c r="D37915" s="2">
        <v>3.6783761641224501E-4</v>
      </c>
      <c r="E37915" s="2">
        <v>4.0358382436031901E-5</v>
      </c>
      <c r="F37915" s="2">
        <v>3.0369859658940001E-5</v>
      </c>
    </row>
    <row r="37916" spans="1:6" x14ac:dyDescent="0.25">
      <c r="A37916" s="1" t="str">
        <f t="shared" si="1361"/>
        <v>47900</v>
      </c>
      <c r="B37916" s="1" t="str">
        <f>"20830"</f>
        <v>20830</v>
      </c>
      <c r="C37916" s="2">
        <v>3.9264646673586298E-4</v>
      </c>
      <c r="D37916" s="2">
        <v>1.46299051982143E-3</v>
      </c>
      <c r="E37916" s="2">
        <v>1.3452794145343899E-5</v>
      </c>
      <c r="F37916" s="2">
        <v>4.5716331295106498E-4</v>
      </c>
    </row>
    <row r="37917" spans="1:6" x14ac:dyDescent="0.25">
      <c r="A37917" s="1" t="str">
        <f t="shared" si="1361"/>
        <v>47900</v>
      </c>
      <c r="B37917" s="1" t="str">
        <f>"20403"</f>
        <v>20403</v>
      </c>
      <c r="C37917" s="2">
        <v>0</v>
      </c>
      <c r="D37917" s="2">
        <v>4.1799729137755096E-6</v>
      </c>
      <c r="E37917" s="2">
        <v>0</v>
      </c>
      <c r="F37917" s="2">
        <v>3.2308361339297801E-7</v>
      </c>
    </row>
    <row r="37918" spans="1:6" x14ac:dyDescent="0.25">
      <c r="A37918" s="1" t="str">
        <f t="shared" si="1361"/>
        <v>47900</v>
      </c>
      <c r="B37918" s="1" t="str">
        <f>"20138"</f>
        <v>20138</v>
      </c>
      <c r="C37918" s="2">
        <v>0</v>
      </c>
      <c r="D37918" s="2">
        <v>4.1799729137755096E-6</v>
      </c>
      <c r="E37918" s="2">
        <v>0</v>
      </c>
      <c r="F37918" s="2">
        <v>3.2308361339297801E-7</v>
      </c>
    </row>
    <row r="37919" spans="1:6" x14ac:dyDescent="0.25">
      <c r="A37919" s="1" t="str">
        <f t="shared" si="1361"/>
        <v>47900</v>
      </c>
      <c r="B37919" s="1" t="str">
        <f>"22217"</f>
        <v>22217</v>
      </c>
      <c r="C37919" s="2">
        <v>0</v>
      </c>
      <c r="D37919" s="2">
        <v>4.1799729137755096E-6</v>
      </c>
      <c r="E37919" s="2">
        <v>0</v>
      </c>
      <c r="F37919" s="2">
        <v>3.2308361339297801E-7</v>
      </c>
    </row>
    <row r="37920" spans="1:6" x14ac:dyDescent="0.25">
      <c r="A37920" s="1" t="str">
        <f t="shared" si="1361"/>
        <v>47900</v>
      </c>
      <c r="B37920" s="1" t="str">
        <f>"20203"</f>
        <v>20203</v>
      </c>
      <c r="C37920" s="2">
        <v>0</v>
      </c>
      <c r="D37920" s="2">
        <v>4.1799729137755096E-6</v>
      </c>
      <c r="E37920" s="2">
        <v>0</v>
      </c>
      <c r="F37920" s="2">
        <v>3.2308361339297801E-7</v>
      </c>
    </row>
    <row r="37921" spans="1:6" x14ac:dyDescent="0.25">
      <c r="A37921" s="1" t="str">
        <f t="shared" si="1361"/>
        <v>47900</v>
      </c>
      <c r="B37921" s="1" t="str">
        <f>"20370"</f>
        <v>20370</v>
      </c>
      <c r="C37921" s="2">
        <v>0</v>
      </c>
      <c r="D37921" s="2">
        <v>8.3599458275510293E-6</v>
      </c>
      <c r="E37921" s="2">
        <v>0</v>
      </c>
      <c r="F37921" s="2">
        <v>6.4616722678595697E-7</v>
      </c>
    </row>
    <row r="37922" spans="1:6" x14ac:dyDescent="0.25">
      <c r="A37922" s="1" t="str">
        <f t="shared" si="1361"/>
        <v>47900</v>
      </c>
      <c r="B37922" s="1" t="str">
        <f>"20131"</f>
        <v>20131</v>
      </c>
      <c r="C37922" s="2">
        <v>0</v>
      </c>
      <c r="D37922" s="2">
        <v>4.1799729137755096E-6</v>
      </c>
      <c r="E37922" s="2">
        <v>0</v>
      </c>
      <c r="F37922" s="2">
        <v>3.2308361339297801E-7</v>
      </c>
    </row>
    <row r="37923" spans="1:6" x14ac:dyDescent="0.25">
      <c r="A37923" s="1" t="str">
        <f t="shared" si="1361"/>
        <v>47900</v>
      </c>
      <c r="B37923" s="1" t="str">
        <f>"22082"</f>
        <v>22082</v>
      </c>
      <c r="C37923" s="2">
        <v>0</v>
      </c>
      <c r="D37923" s="2">
        <v>4.1799729137755096E-6</v>
      </c>
      <c r="E37923" s="2">
        <v>0</v>
      </c>
      <c r="F37923" s="2">
        <v>3.2308361339297801E-7</v>
      </c>
    </row>
    <row r="37924" spans="1:6" x14ac:dyDescent="0.25">
      <c r="A37924" s="1" t="str">
        <f t="shared" si="1361"/>
        <v>47900</v>
      </c>
      <c r="B37924" s="1" t="str">
        <f>"20521"</f>
        <v>20521</v>
      </c>
      <c r="C37924" s="2">
        <v>0</v>
      </c>
      <c r="D37924" s="2">
        <v>1.1829323345984701E-3</v>
      </c>
      <c r="E37924" s="2">
        <v>0</v>
      </c>
      <c r="F37924" s="2">
        <v>9.1432662590213004E-5</v>
      </c>
    </row>
    <row r="37925" spans="1:6" x14ac:dyDescent="0.25">
      <c r="A37925" s="1" t="str">
        <f t="shared" si="1361"/>
        <v>47900</v>
      </c>
      <c r="B37925" s="1" t="str">
        <f>"20500"</f>
        <v>20500</v>
      </c>
      <c r="C37925" s="2">
        <v>0</v>
      </c>
      <c r="D37925" s="2">
        <v>4.1799729137755096E-6</v>
      </c>
      <c r="E37925" s="2">
        <v>6.7263970726719903E-6</v>
      </c>
      <c r="F37925" s="2">
        <v>6.4616722678595697E-7</v>
      </c>
    </row>
    <row r="37926" spans="1:6" x14ac:dyDescent="0.25">
      <c r="A37926" s="1" t="str">
        <f t="shared" si="1361"/>
        <v>47900</v>
      </c>
      <c r="B37926" s="1" t="str">
        <f>"20032"</f>
        <v>20032</v>
      </c>
      <c r="C37926" s="2">
        <v>6.5789522286288397E-3</v>
      </c>
      <c r="D37926" s="2">
        <v>2.5247036399204102E-3</v>
      </c>
      <c r="E37926" s="2">
        <v>2.2587241370032499E-2</v>
      </c>
      <c r="F37926" s="2">
        <v>7.03449951440532E-3</v>
      </c>
    </row>
    <row r="37927" spans="1:6" x14ac:dyDescent="0.25">
      <c r="A37927" s="1" t="str">
        <f t="shared" si="1361"/>
        <v>47900</v>
      </c>
      <c r="B37927" s="1" t="str">
        <f>"20044"</f>
        <v>20044</v>
      </c>
      <c r="C37927" s="2">
        <v>1.03794597509668E-3</v>
      </c>
      <c r="D37927" s="2">
        <v>9.9065358056479695E-4</v>
      </c>
      <c r="E37927" s="2">
        <v>1.3452794145343899E-5</v>
      </c>
      <c r="F37927" s="2">
        <v>9.8508193723519208E-4</v>
      </c>
    </row>
    <row r="37928" spans="1:6" x14ac:dyDescent="0.25">
      <c r="A37928" s="1" t="str">
        <f t="shared" si="1361"/>
        <v>47900</v>
      </c>
      <c r="B37928" s="1" t="str">
        <f>"20250"</f>
        <v>20250</v>
      </c>
      <c r="C37928" s="2">
        <v>0</v>
      </c>
      <c r="D37928" s="2">
        <v>5.01596749653062E-5</v>
      </c>
      <c r="E37928" s="2">
        <v>4.4528748621088599E-3</v>
      </c>
      <c r="F37928" s="2">
        <v>2.17758355426867E-4</v>
      </c>
    </row>
    <row r="37929" spans="1:6" x14ac:dyDescent="0.25">
      <c r="A37929" s="1" t="str">
        <f t="shared" si="1361"/>
        <v>47900</v>
      </c>
      <c r="B37929" s="1" t="str">
        <f>"20515"</f>
        <v>20515</v>
      </c>
      <c r="C37929" s="2">
        <v>0</v>
      </c>
      <c r="D37929" s="2">
        <v>4.1799729137755096E-6</v>
      </c>
      <c r="E37929" s="2">
        <v>3.1008690505017799E-3</v>
      </c>
      <c r="F37929" s="2">
        <v>1.4926462938755599E-4</v>
      </c>
    </row>
    <row r="37930" spans="1:6" x14ac:dyDescent="0.25">
      <c r="A37930" s="1" t="str">
        <f t="shared" si="1361"/>
        <v>47900</v>
      </c>
      <c r="B37930" s="1" t="str">
        <f>"20597"</f>
        <v>20597</v>
      </c>
      <c r="C37930" s="2">
        <v>0</v>
      </c>
      <c r="D37930" s="2">
        <v>8.3599458275510293E-6</v>
      </c>
      <c r="E37930" s="2">
        <v>0</v>
      </c>
      <c r="F37930" s="2">
        <v>6.4616722678595697E-7</v>
      </c>
    </row>
    <row r="37931" spans="1:6" x14ac:dyDescent="0.25">
      <c r="A37931" s="1" t="str">
        <f t="shared" si="1361"/>
        <v>47900</v>
      </c>
      <c r="B37931" s="1" t="str">
        <f>"20091"</f>
        <v>20091</v>
      </c>
      <c r="C37931" s="2">
        <v>5.7364060474204598E-4</v>
      </c>
      <c r="D37931" s="2">
        <v>7.9001488070357302E-4</v>
      </c>
      <c r="E37931" s="2">
        <v>1.3452794145343899E-5</v>
      </c>
      <c r="F37931" s="2">
        <v>5.6345782175735504E-4</v>
      </c>
    </row>
    <row r="37932" spans="1:6" x14ac:dyDescent="0.25">
      <c r="A37932" s="1" t="str">
        <f t="shared" si="1361"/>
        <v>47900</v>
      </c>
      <c r="B37932" s="1" t="str">
        <f>"20223"</f>
        <v>20223</v>
      </c>
      <c r="C37932" s="2">
        <v>0</v>
      </c>
      <c r="D37932" s="2">
        <v>2.50798374826531E-5</v>
      </c>
      <c r="E37932" s="2">
        <v>0</v>
      </c>
      <c r="F37932" s="2">
        <v>1.9385016803578701E-6</v>
      </c>
    </row>
    <row r="37933" spans="1:6" x14ac:dyDescent="0.25">
      <c r="A37933" s="1" t="str">
        <f t="shared" si="1361"/>
        <v>47900</v>
      </c>
      <c r="B37933" s="1" t="str">
        <f>"20817"</f>
        <v>20817</v>
      </c>
      <c r="C37933" s="2">
        <v>5.4253916306832997E-3</v>
      </c>
      <c r="D37933" s="2">
        <v>3.66165627246735E-3</v>
      </c>
      <c r="E37933" s="2">
        <v>1.7690424301127299E-3</v>
      </c>
      <c r="F37933" s="2">
        <v>5.1134443491706698E-3</v>
      </c>
    </row>
    <row r="37934" spans="1:6" x14ac:dyDescent="0.25">
      <c r="A37934" s="1" t="str">
        <f t="shared" si="1361"/>
        <v>47900</v>
      </c>
      <c r="B37934" s="1" t="str">
        <f>"20774"</f>
        <v>20774</v>
      </c>
      <c r="C37934" s="2">
        <v>7.7827479342658804E-3</v>
      </c>
      <c r="D37934" s="2">
        <v>4.7693490946178604E-3</v>
      </c>
      <c r="E37934" s="2">
        <v>3.5918960368068399E-3</v>
      </c>
      <c r="F37934" s="2">
        <v>7.3485367866232996E-3</v>
      </c>
    </row>
    <row r="37935" spans="1:6" x14ac:dyDescent="0.25">
      <c r="A37935" s="1" t="str">
        <f t="shared" si="1361"/>
        <v>47900</v>
      </c>
      <c r="B37935" s="1" t="str">
        <f>"20762"</f>
        <v>20762</v>
      </c>
      <c r="C37935" s="2">
        <v>7.4835535428679004E-4</v>
      </c>
      <c r="D37935" s="2">
        <v>3.2603788727448999E-4</v>
      </c>
      <c r="E37935" s="2">
        <v>3.8474991255683798E-3</v>
      </c>
      <c r="F37935" s="2">
        <v>8.6457174943961102E-4</v>
      </c>
    </row>
    <row r="37936" spans="1:6" x14ac:dyDescent="0.25">
      <c r="A37936" s="1" t="str">
        <f t="shared" si="1361"/>
        <v>47900</v>
      </c>
      <c r="B37936" s="1" t="str">
        <f>"20782"</f>
        <v>20782</v>
      </c>
      <c r="C37936" s="2">
        <v>5.1372785130408098E-3</v>
      </c>
      <c r="D37936" s="2">
        <v>3.38577806015817E-3</v>
      </c>
      <c r="E37936" s="2">
        <v>6.1210213361315097E-3</v>
      </c>
      <c r="F37936" s="2">
        <v>5.0491507101054697E-3</v>
      </c>
    </row>
    <row r="37937" spans="1:6" x14ac:dyDescent="0.25">
      <c r="A37937" s="1" t="str">
        <f t="shared" si="1361"/>
        <v>47900</v>
      </c>
      <c r="B37937" s="1" t="str">
        <f>"20784"</f>
        <v>20784</v>
      </c>
      <c r="C37937" s="2">
        <v>4.1780095816080403E-3</v>
      </c>
      <c r="D37937" s="2">
        <v>2.18612583390459E-3</v>
      </c>
      <c r="E37937" s="2">
        <v>5.9192294239513504E-3</v>
      </c>
      <c r="F37937" s="2">
        <v>4.1076850606783302E-3</v>
      </c>
    </row>
    <row r="37938" spans="1:6" x14ac:dyDescent="0.25">
      <c r="A37938" s="1" t="str">
        <f t="shared" si="1361"/>
        <v>47900</v>
      </c>
      <c r="B37938" s="1" t="str">
        <f>"20743"</f>
        <v>20743</v>
      </c>
      <c r="C37938" s="2">
        <v>5.9879509616698702E-3</v>
      </c>
      <c r="D37938" s="2">
        <v>6.33265896436991E-3</v>
      </c>
      <c r="E37938" s="2">
        <v>5.7443431000618796E-3</v>
      </c>
      <c r="F37938" s="2">
        <v>6.0028935368415396E-3</v>
      </c>
    </row>
    <row r="37939" spans="1:6" x14ac:dyDescent="0.25">
      <c r="A37939" s="1" t="str">
        <f t="shared" si="1361"/>
        <v>47900</v>
      </c>
      <c r="B37939" s="1" t="str">
        <f>"20745"</f>
        <v>20745</v>
      </c>
      <c r="C37939" s="2">
        <v>4.9681044003738002E-3</v>
      </c>
      <c r="D37939" s="2">
        <v>3.9751542410005102E-3</v>
      </c>
      <c r="E37939" s="2">
        <v>9.09408884225253E-3</v>
      </c>
      <c r="F37939" s="2">
        <v>5.0895361617795901E-3</v>
      </c>
    </row>
    <row r="37940" spans="1:6" x14ac:dyDescent="0.25">
      <c r="A37940" s="1" t="str">
        <f t="shared" si="1361"/>
        <v>47900</v>
      </c>
      <c r="B37940" s="1" t="str">
        <f>"20879"</f>
        <v>20879</v>
      </c>
      <c r="C37940" s="2">
        <v>3.3602115784535699E-3</v>
      </c>
      <c r="D37940" s="2">
        <v>7.02235449514287E-3</v>
      </c>
      <c r="E37940" s="2">
        <v>4.2981677294373997E-3</v>
      </c>
      <c r="F37940" s="2">
        <v>3.6883225304942401E-3</v>
      </c>
    </row>
    <row r="37941" spans="1:6" x14ac:dyDescent="0.25">
      <c r="A37941" s="1" t="str">
        <f t="shared" si="1361"/>
        <v>47900</v>
      </c>
      <c r="B37941" s="1" t="str">
        <f>"20904"</f>
        <v>20904</v>
      </c>
      <c r="C37941" s="2">
        <v>8.13476306389831E-3</v>
      </c>
      <c r="D37941" s="2">
        <v>3.33979835810663E-3</v>
      </c>
      <c r="E37941" s="2">
        <v>8.91247612129039E-3</v>
      </c>
      <c r="F37941" s="2">
        <v>7.8015000126002597E-3</v>
      </c>
    </row>
    <row r="37942" spans="1:6" x14ac:dyDescent="0.25">
      <c r="A37942" s="1" t="str">
        <f t="shared" si="1361"/>
        <v>47900</v>
      </c>
      <c r="B37942" s="1" t="str">
        <f>"20905"</f>
        <v>20905</v>
      </c>
      <c r="C37942" s="2">
        <v>2.14865898118769E-3</v>
      </c>
      <c r="D37942" s="2">
        <v>4.6815696634285801E-4</v>
      </c>
      <c r="E37942" s="2">
        <v>8.0716764872063897E-5</v>
      </c>
      <c r="F37942" s="2">
        <v>1.9194397471676799E-3</v>
      </c>
    </row>
    <row r="37943" spans="1:6" x14ac:dyDescent="0.25">
      <c r="A37943" s="1" t="str">
        <f t="shared" si="1361"/>
        <v>47900</v>
      </c>
      <c r="B37943" s="1" t="str">
        <f>"20877"</f>
        <v>20877</v>
      </c>
      <c r="C37943" s="2">
        <v>5.2322080915460896E-3</v>
      </c>
      <c r="D37943" s="2">
        <v>9.1917604373923604E-3</v>
      </c>
      <c r="E37943" s="2">
        <v>9.5380310490488802E-3</v>
      </c>
      <c r="F37943" s="2">
        <v>5.7450728133539497E-3</v>
      </c>
    </row>
    <row r="37944" spans="1:6" x14ac:dyDescent="0.25">
      <c r="A37944" s="1" t="str">
        <f t="shared" si="1361"/>
        <v>47900</v>
      </c>
      <c r="B37944" s="1" t="str">
        <f>"20109"</f>
        <v>20109</v>
      </c>
      <c r="C37944" s="2">
        <v>5.54802439357729E-3</v>
      </c>
      <c r="D37944" s="2">
        <v>9.2962597602367497E-3</v>
      </c>
      <c r="E37944" s="2">
        <v>9.92143568219119E-3</v>
      </c>
      <c r="F37944" s="2">
        <v>6.0478021591031696E-3</v>
      </c>
    </row>
    <row r="37945" spans="1:6" x14ac:dyDescent="0.25">
      <c r="A37945" s="1" t="str">
        <f t="shared" si="1361"/>
        <v>47900</v>
      </c>
      <c r="B37945" s="1" t="str">
        <f>"20108"</f>
        <v>20108</v>
      </c>
      <c r="C37945" s="2">
        <v>8.7726750564221499E-4</v>
      </c>
      <c r="D37945" s="2">
        <v>2.0983464027153099E-3</v>
      </c>
      <c r="E37945" s="2">
        <v>1.3452794145343899E-5</v>
      </c>
      <c r="F37945" s="2">
        <v>9.3015772295838601E-4</v>
      </c>
    </row>
    <row r="37946" spans="1:6" x14ac:dyDescent="0.25">
      <c r="A37946" s="1" t="str">
        <f t="shared" si="1361"/>
        <v>47900</v>
      </c>
      <c r="B37946" s="1" t="str">
        <f>"21791"</f>
        <v>21791</v>
      </c>
      <c r="C37946" s="2">
        <v>3.5866389388572201E-4</v>
      </c>
      <c r="D37946" s="2">
        <v>5.4339647879081698E-5</v>
      </c>
      <c r="E37946" s="2">
        <v>5.3811176581375902E-5</v>
      </c>
      <c r="F37946" s="2">
        <v>3.2049894448583498E-4</v>
      </c>
    </row>
    <row r="37947" spans="1:6" x14ac:dyDescent="0.25">
      <c r="A37947" s="1" t="str">
        <f t="shared" si="1361"/>
        <v>47900</v>
      </c>
      <c r="B37947" s="1" t="str">
        <f>"21793"</f>
        <v>21793</v>
      </c>
      <c r="C37947" s="2">
        <v>1.58609965020112E-3</v>
      </c>
      <c r="D37947" s="2">
        <v>1.0909729304954101E-3</v>
      </c>
      <c r="E37947" s="2">
        <v>1.4125433852611101E-4</v>
      </c>
      <c r="F37947" s="2">
        <v>1.4784306148862699E-3</v>
      </c>
    </row>
    <row r="37948" spans="1:6" x14ac:dyDescent="0.25">
      <c r="A37948" s="1" t="str">
        <f t="shared" si="1361"/>
        <v>47900</v>
      </c>
      <c r="B37948" s="1" t="str">
        <f>"21773"</f>
        <v>21773</v>
      </c>
      <c r="C37948" s="2">
        <v>7.6940977442220299E-4</v>
      </c>
      <c r="D37948" s="2">
        <v>2.2153856443010199E-4</v>
      </c>
      <c r="E37948" s="2">
        <v>6.7263970726719896E-5</v>
      </c>
      <c r="F37948" s="2">
        <v>6.9333743434133203E-4</v>
      </c>
    </row>
    <row r="37949" spans="1:6" x14ac:dyDescent="0.25">
      <c r="A37949" s="1" t="str">
        <f t="shared" si="1361"/>
        <v>47900</v>
      </c>
      <c r="B37949" s="1" t="str">
        <f>"22032"</f>
        <v>22032</v>
      </c>
      <c r="C37949" s="2">
        <v>3.6944966700772301E-3</v>
      </c>
      <c r="D37949" s="2">
        <v>1.0324533097025501E-3</v>
      </c>
      <c r="E37949" s="2">
        <v>4.43942206796351E-4</v>
      </c>
      <c r="F37949" s="2">
        <v>3.3326074721485698E-3</v>
      </c>
    </row>
    <row r="37950" spans="1:6" x14ac:dyDescent="0.25">
      <c r="A37950" s="1" t="str">
        <f t="shared" si="1361"/>
        <v>47900</v>
      </c>
      <c r="B37950" s="1" t="str">
        <f>"22031"</f>
        <v>22031</v>
      </c>
      <c r="C37950" s="2">
        <v>5.5945657433503103E-3</v>
      </c>
      <c r="D37950" s="2">
        <v>9.8396562390275707E-3</v>
      </c>
      <c r="E37950" s="2">
        <v>6.1075685419861702E-3</v>
      </c>
      <c r="F37950" s="2">
        <v>5.94732315533795E-3</v>
      </c>
    </row>
    <row r="37951" spans="1:6" x14ac:dyDescent="0.25">
      <c r="A37951" s="1" t="str">
        <f t="shared" si="1361"/>
        <v>47900</v>
      </c>
      <c r="B37951" s="1" t="str">
        <f>"22026"</f>
        <v>22026</v>
      </c>
      <c r="C37951" s="2">
        <v>2.5767655239410901E-3</v>
      </c>
      <c r="D37951" s="2">
        <v>2.8047618251433701E-3</v>
      </c>
      <c r="E37951" s="2">
        <v>2.0582775042376298E-3</v>
      </c>
      <c r="F37951" s="2">
        <v>2.5694839773143601E-3</v>
      </c>
    </row>
    <row r="37952" spans="1:6" x14ac:dyDescent="0.25">
      <c r="A37952" s="1" t="str">
        <f t="shared" si="1361"/>
        <v>47900</v>
      </c>
      <c r="B37952" s="1" t="str">
        <f>"22035"</f>
        <v>22035</v>
      </c>
      <c r="C37952" s="2">
        <v>0</v>
      </c>
      <c r="D37952" s="2">
        <v>3.5947767058469398E-4</v>
      </c>
      <c r="E37952" s="2">
        <v>3.36319853633599E-5</v>
      </c>
      <c r="F37952" s="2">
        <v>2.9400608818761E-5</v>
      </c>
    </row>
    <row r="37953" spans="1:6" x14ac:dyDescent="0.25">
      <c r="A37953" s="1" t="str">
        <f t="shared" si="1361"/>
        <v>47900</v>
      </c>
      <c r="B37953" s="1" t="str">
        <f>"20170"</f>
        <v>20170</v>
      </c>
      <c r="C37953" s="2">
        <v>5.1605491879273199E-3</v>
      </c>
      <c r="D37953" s="2">
        <v>7.0683341971943996E-3</v>
      </c>
      <c r="E37953" s="2">
        <v>5.7712486883525699E-3</v>
      </c>
      <c r="F37953" s="2">
        <v>5.3373412932520101E-3</v>
      </c>
    </row>
    <row r="37954" spans="1:6" x14ac:dyDescent="0.25">
      <c r="A37954" s="1" t="str">
        <f t="shared" si="1361"/>
        <v>47900</v>
      </c>
      <c r="B37954" s="1" t="str">
        <f>"20166"</f>
        <v>20166</v>
      </c>
      <c r="C37954" s="2">
        <v>1.8040313673922401E-3</v>
      </c>
      <c r="D37954" s="2">
        <v>1.2719657576618901E-2</v>
      </c>
      <c r="E37954" s="2">
        <v>6.2959076600209796E-3</v>
      </c>
      <c r="F37954" s="2">
        <v>2.86349006550197E-3</v>
      </c>
    </row>
    <row r="37955" spans="1:6" x14ac:dyDescent="0.25">
      <c r="A37955" s="1" t="str">
        <f t="shared" si="1361"/>
        <v>47900</v>
      </c>
      <c r="B37955" s="1" t="str">
        <f>"20186"</f>
        <v>20186</v>
      </c>
      <c r="C37955" s="2">
        <v>2.33149999815312E-3</v>
      </c>
      <c r="D37955" s="2">
        <v>5.4297848149943897E-3</v>
      </c>
      <c r="E37955" s="2">
        <v>2.0380983130196101E-3</v>
      </c>
      <c r="F37955" s="2">
        <v>2.5568837163920301E-3</v>
      </c>
    </row>
    <row r="37956" spans="1:6" x14ac:dyDescent="0.25">
      <c r="A37956" s="1" t="str">
        <f t="shared" ref="A37956:A38019" si="1362">"47900"</f>
        <v>47900</v>
      </c>
      <c r="B37956" s="1" t="str">
        <f>"20184"</f>
        <v>20184</v>
      </c>
      <c r="C37956" s="2">
        <v>1.13398368097751E-4</v>
      </c>
      <c r="D37956" s="2">
        <v>1.12859268671939E-4</v>
      </c>
      <c r="E37956" s="2">
        <v>8.0716764872063897E-5</v>
      </c>
      <c r="F37956" s="2">
        <v>1.1178693023397E-4</v>
      </c>
    </row>
    <row r="37957" spans="1:6" x14ac:dyDescent="0.25">
      <c r="A37957" s="1" t="str">
        <f t="shared" si="1362"/>
        <v>47900</v>
      </c>
      <c r="B37957" s="1" t="str">
        <f>"20120"</f>
        <v>20120</v>
      </c>
      <c r="C37957" s="2">
        <v>5.7822086456097797E-3</v>
      </c>
      <c r="D37957" s="2">
        <v>2.2446454546974498E-3</v>
      </c>
      <c r="E37957" s="2">
        <v>2.1053622837463302E-3</v>
      </c>
      <c r="F37957" s="2">
        <v>5.3321719554377204E-3</v>
      </c>
    </row>
    <row r="37958" spans="1:6" x14ac:dyDescent="0.25">
      <c r="A37958" s="1" t="str">
        <f t="shared" si="1362"/>
        <v>47900</v>
      </c>
      <c r="B37958" s="1" t="str">
        <f>"20143"</f>
        <v>20143</v>
      </c>
      <c r="C37958" s="2">
        <v>1.37777170359808E-4</v>
      </c>
      <c r="D37958" s="2">
        <v>5.8519620792857197E-5</v>
      </c>
      <c r="E37958" s="2">
        <v>6.7263970726719903E-6</v>
      </c>
      <c r="F37958" s="2">
        <v>1.2535644199647501E-4</v>
      </c>
    </row>
    <row r="37959" spans="1:6" x14ac:dyDescent="0.25">
      <c r="A37959" s="1" t="str">
        <f t="shared" si="1362"/>
        <v>47900</v>
      </c>
      <c r="B37959" s="1" t="str">
        <f>"22311"</f>
        <v>22311</v>
      </c>
      <c r="C37959" s="2">
        <v>3.4569880359180999E-3</v>
      </c>
      <c r="D37959" s="2">
        <v>1.0867929575816299E-3</v>
      </c>
      <c r="E37959" s="2">
        <v>5.3878440552102601E-3</v>
      </c>
      <c r="F37959" s="2">
        <v>3.3665312515548302E-3</v>
      </c>
    </row>
    <row r="37960" spans="1:6" x14ac:dyDescent="0.25">
      <c r="A37960" s="1" t="str">
        <f t="shared" si="1362"/>
        <v>47900</v>
      </c>
      <c r="B37960" s="1" t="str">
        <f>"22303"</f>
        <v>22303</v>
      </c>
      <c r="C37960" s="2">
        <v>3.2394256945188298E-3</v>
      </c>
      <c r="D37960" s="2">
        <v>1.3877510073734699E-3</v>
      </c>
      <c r="E37960" s="2">
        <v>1.8094008125487599E-3</v>
      </c>
      <c r="F37960" s="2">
        <v>3.0276165411055999E-3</v>
      </c>
    </row>
    <row r="37961" spans="1:6" x14ac:dyDescent="0.25">
      <c r="A37961" s="1" t="str">
        <f t="shared" si="1362"/>
        <v>47900</v>
      </c>
      <c r="B37961" s="1" t="str">
        <f>"22301"</f>
        <v>22301</v>
      </c>
      <c r="C37961" s="2">
        <v>2.6214599947548601E-3</v>
      </c>
      <c r="D37961" s="2">
        <v>1.57584978849337E-3</v>
      </c>
      <c r="E37961" s="2">
        <v>3.9887534640944897E-3</v>
      </c>
      <c r="F37961" s="2">
        <v>2.6063155092411602E-3</v>
      </c>
    </row>
    <row r="37962" spans="1:6" x14ac:dyDescent="0.25">
      <c r="A37962" s="1" t="str">
        <f t="shared" si="1362"/>
        <v>47900</v>
      </c>
      <c r="B37962" s="1" t="str">
        <f>"22183"</f>
        <v>22183</v>
      </c>
      <c r="C37962" s="2">
        <v>5.5591056673327702E-4</v>
      </c>
      <c r="D37962" s="2">
        <v>1.1829323345984701E-3</v>
      </c>
      <c r="E37962" s="2">
        <v>1.3452794145343899E-5</v>
      </c>
      <c r="F37962" s="2">
        <v>5.7831966797343198E-4</v>
      </c>
    </row>
    <row r="37963" spans="1:6" x14ac:dyDescent="0.25">
      <c r="A37963" s="1" t="str">
        <f t="shared" si="1362"/>
        <v>47900</v>
      </c>
      <c r="B37963" s="1" t="str">
        <f>"22079"</f>
        <v>22079</v>
      </c>
      <c r="C37963" s="2">
        <v>4.49604213839033E-3</v>
      </c>
      <c r="D37963" s="2">
        <v>5.4632245983046003E-3</v>
      </c>
      <c r="E37963" s="2">
        <v>4.8430058923238303E-3</v>
      </c>
      <c r="F37963" s="2">
        <v>4.5874642265669001E-3</v>
      </c>
    </row>
    <row r="37964" spans="1:6" x14ac:dyDescent="0.25">
      <c r="A37964" s="1" t="str">
        <f t="shared" si="1362"/>
        <v>47900</v>
      </c>
      <c r="B37964" s="1" t="str">
        <f>"22150"</f>
        <v>22150</v>
      </c>
      <c r="C37964" s="2">
        <v>3.88952708817369E-3</v>
      </c>
      <c r="D37964" s="2">
        <v>7.3860121386413397E-3</v>
      </c>
      <c r="E37964" s="2">
        <v>2.6300212554147399E-3</v>
      </c>
      <c r="F37964" s="2">
        <v>4.0992848867301103E-3</v>
      </c>
    </row>
    <row r="37965" spans="1:6" x14ac:dyDescent="0.25">
      <c r="A37965" s="1" t="str">
        <f t="shared" si="1362"/>
        <v>47900</v>
      </c>
      <c r="B37965" s="1" t="str">
        <f>"22122"</f>
        <v>22122</v>
      </c>
      <c r="C37965" s="2">
        <v>3.3687072216661001E-4</v>
      </c>
      <c r="D37965" s="2">
        <v>7.9837482653112395E-4</v>
      </c>
      <c r="E37965" s="2">
        <v>6.7263970726719903E-6</v>
      </c>
      <c r="F37965" s="2">
        <v>3.56684309185848E-4</v>
      </c>
    </row>
    <row r="37966" spans="1:6" x14ac:dyDescent="0.25">
      <c r="A37966" s="1" t="str">
        <f t="shared" si="1362"/>
        <v>47900</v>
      </c>
      <c r="B37966" s="1" t="str">
        <f>"22642"</f>
        <v>22642</v>
      </c>
      <c r="C37966" s="2">
        <v>7.2877843731877496E-4</v>
      </c>
      <c r="D37966" s="2">
        <v>8.7779431189285802E-5</v>
      </c>
      <c r="E37966" s="2">
        <v>1.3452794145343899E-5</v>
      </c>
      <c r="F37966" s="2">
        <v>6.4487489233238499E-4</v>
      </c>
    </row>
    <row r="37967" spans="1:6" x14ac:dyDescent="0.25">
      <c r="A37967" s="1" t="str">
        <f t="shared" si="1362"/>
        <v>47900</v>
      </c>
      <c r="B37967" s="1" t="str">
        <f>"22716"</f>
        <v>22716</v>
      </c>
      <c r="C37967" s="2">
        <v>1.68435361083305E-4</v>
      </c>
      <c r="D37967" s="2">
        <v>2.50798374826531E-5</v>
      </c>
      <c r="E37967" s="2">
        <v>1.51343934135119E-3</v>
      </c>
      <c r="F37967" s="2">
        <v>2.2195844240097601E-4</v>
      </c>
    </row>
    <row r="37968" spans="1:6" x14ac:dyDescent="0.25">
      <c r="A37968" s="1" t="str">
        <f t="shared" si="1362"/>
        <v>47900</v>
      </c>
      <c r="B37968" s="1" t="str">
        <f>"22405"</f>
        <v>22405</v>
      </c>
      <c r="C37968" s="2">
        <v>4.5677010420090997E-3</v>
      </c>
      <c r="D37968" s="2">
        <v>3.8413951077597001E-3</v>
      </c>
      <c r="E37968" s="2">
        <v>1.25110985551699E-3</v>
      </c>
      <c r="F37968" s="2">
        <v>4.3522593560168096E-3</v>
      </c>
    </row>
    <row r="37969" spans="1:6" x14ac:dyDescent="0.25">
      <c r="A37969" s="1" t="str">
        <f t="shared" si="1362"/>
        <v>47900</v>
      </c>
      <c r="B37969" s="1" t="str">
        <f>"22406"</f>
        <v>22406</v>
      </c>
      <c r="C37969" s="2">
        <v>3.7827774843292301E-3</v>
      </c>
      <c r="D37969" s="2">
        <v>3.4150378705545899E-3</v>
      </c>
      <c r="E37969" s="2">
        <v>3.0268786827023901E-3</v>
      </c>
      <c r="F37969" s="2">
        <v>3.7180462229264E-3</v>
      </c>
    </row>
    <row r="37970" spans="1:6" x14ac:dyDescent="0.25">
      <c r="A37970" s="1" t="str">
        <f t="shared" si="1362"/>
        <v>47900</v>
      </c>
      <c r="B37970" s="1" t="str">
        <f>"22722"</f>
        <v>22722</v>
      </c>
      <c r="C37970" s="2">
        <v>3.6937579184935298E-5</v>
      </c>
      <c r="D37970" s="2">
        <v>8.3599458275510293E-6</v>
      </c>
      <c r="E37970" s="2">
        <v>0</v>
      </c>
      <c r="F37970" s="2">
        <v>3.2954528566083802E-5</v>
      </c>
    </row>
    <row r="37971" spans="1:6" x14ac:dyDescent="0.25">
      <c r="A37971" s="1" t="str">
        <f t="shared" si="1362"/>
        <v>47900</v>
      </c>
      <c r="B37971" s="1" t="str">
        <f>"22724"</f>
        <v>22724</v>
      </c>
      <c r="C37971" s="2">
        <v>3.50168250673187E-4</v>
      </c>
      <c r="D37971" s="2">
        <v>4.1799729137755096E-6</v>
      </c>
      <c r="E37971" s="2">
        <v>1.3452794145343899E-5</v>
      </c>
      <c r="F37971" s="2">
        <v>3.0725251633672201E-4</v>
      </c>
    </row>
    <row r="37972" spans="1:6" x14ac:dyDescent="0.25">
      <c r="A37972" s="1" t="str">
        <f t="shared" si="1362"/>
        <v>47900</v>
      </c>
      <c r="B37972" s="1" t="str">
        <f>"22314"</f>
        <v>22314</v>
      </c>
      <c r="C37972" s="2">
        <v>7.68892648313614E-3</v>
      </c>
      <c r="D37972" s="2">
        <v>1.4065608854854601E-2</v>
      </c>
      <c r="E37972" s="2">
        <v>1.02039443592434E-2</v>
      </c>
      <c r="F37972" s="2">
        <v>8.3026026969727704E-3</v>
      </c>
    </row>
    <row r="37973" spans="1:6" x14ac:dyDescent="0.25">
      <c r="A37973" s="1" t="str">
        <f t="shared" si="1362"/>
        <v>47900</v>
      </c>
      <c r="B37973" s="1" t="str">
        <f>"22315"</f>
        <v>22315</v>
      </c>
      <c r="C37973" s="2">
        <v>4.5333490933671099E-3</v>
      </c>
      <c r="D37973" s="2">
        <v>2.0690865923188801E-3</v>
      </c>
      <c r="E37973" s="2">
        <v>3.9551214787311301E-3</v>
      </c>
      <c r="F37973" s="2">
        <v>4.3151047404766203E-3</v>
      </c>
    </row>
    <row r="37974" spans="1:6" x14ac:dyDescent="0.25">
      <c r="A37974" s="1" t="str">
        <f t="shared" si="1362"/>
        <v>47900</v>
      </c>
      <c r="B37974" s="1" t="str">
        <f>"23024"</f>
        <v>23024</v>
      </c>
      <c r="C37974" s="2">
        <v>2.8109497759735801E-4</v>
      </c>
      <c r="D37974" s="2">
        <v>5.01596749653062E-5</v>
      </c>
      <c r="E37974" s="2">
        <v>0</v>
      </c>
      <c r="F37974" s="2">
        <v>2.4974363315277199E-4</v>
      </c>
    </row>
    <row r="37975" spans="1:6" x14ac:dyDescent="0.25">
      <c r="A37975" s="1" t="str">
        <f t="shared" si="1362"/>
        <v>47900</v>
      </c>
      <c r="B37975" s="1" t="str">
        <f>"20035"</f>
        <v>20035</v>
      </c>
      <c r="C37975" s="2">
        <v>4.2108840270826302E-4</v>
      </c>
      <c r="D37975" s="2">
        <v>1.0324533097025501E-3</v>
      </c>
      <c r="E37975" s="2">
        <v>1.3452794145343899E-5</v>
      </c>
      <c r="F37975" s="2">
        <v>4.4876313900284702E-4</v>
      </c>
    </row>
    <row r="37976" spans="1:6" x14ac:dyDescent="0.25">
      <c r="A37976" s="1" t="str">
        <f t="shared" si="1362"/>
        <v>47900</v>
      </c>
      <c r="B37976" s="1" t="str">
        <f>"20047"</f>
        <v>20047</v>
      </c>
      <c r="C37976" s="2">
        <v>0</v>
      </c>
      <c r="D37976" s="2">
        <v>4.1799729137755096E-6</v>
      </c>
      <c r="E37976" s="2">
        <v>0</v>
      </c>
      <c r="F37976" s="2">
        <v>3.2308361339297801E-7</v>
      </c>
    </row>
    <row r="37977" spans="1:6" x14ac:dyDescent="0.25">
      <c r="A37977" s="1" t="str">
        <f t="shared" si="1362"/>
        <v>47900</v>
      </c>
      <c r="B37977" s="1" t="str">
        <f>"20862"</f>
        <v>20862</v>
      </c>
      <c r="C37977" s="2">
        <v>5.50369929855537E-5</v>
      </c>
      <c r="D37977" s="2">
        <v>8.3599458275510293E-6</v>
      </c>
      <c r="E37977" s="2">
        <v>0</v>
      </c>
      <c r="F37977" s="2">
        <v>4.8785625622339797E-5</v>
      </c>
    </row>
    <row r="37978" spans="1:6" x14ac:dyDescent="0.25">
      <c r="A37978" s="1" t="str">
        <f t="shared" si="1362"/>
        <v>47900</v>
      </c>
      <c r="B37978" s="1" t="str">
        <f>"20113"</f>
        <v>20113</v>
      </c>
      <c r="C37978" s="2">
        <v>1.91706035969814E-4</v>
      </c>
      <c r="D37978" s="2">
        <v>1.3793910615459199E-4</v>
      </c>
      <c r="E37978" s="2">
        <v>1.3452794145343899E-5</v>
      </c>
      <c r="F37978" s="2">
        <v>1.7898832181971E-4</v>
      </c>
    </row>
    <row r="37979" spans="1:6" x14ac:dyDescent="0.25">
      <c r="A37979" s="1" t="str">
        <f t="shared" si="1362"/>
        <v>47900</v>
      </c>
      <c r="B37979" s="1" t="str">
        <f>"20629"</f>
        <v>20629</v>
      </c>
      <c r="C37979" s="2">
        <v>9.9362088007476105E-5</v>
      </c>
      <c r="D37979" s="2">
        <v>0</v>
      </c>
      <c r="E37979" s="2">
        <v>1.3452794145343899E-5</v>
      </c>
      <c r="F37979" s="2">
        <v>8.7555659229497201E-5</v>
      </c>
    </row>
    <row r="37980" spans="1:6" x14ac:dyDescent="0.25">
      <c r="A37980" s="1" t="str">
        <f t="shared" si="1362"/>
        <v>47900</v>
      </c>
      <c r="B37980" s="1" t="str">
        <f>"20827"</f>
        <v>20827</v>
      </c>
      <c r="C37980" s="2">
        <v>4.6947663144052799E-4</v>
      </c>
      <c r="D37980" s="2">
        <v>1.5716698155795899E-3</v>
      </c>
      <c r="E37980" s="2">
        <v>1.3452794145343899E-5</v>
      </c>
      <c r="F37980" s="2">
        <v>5.3276487848502195E-4</v>
      </c>
    </row>
    <row r="37981" spans="1:6" x14ac:dyDescent="0.25">
      <c r="A37981" s="1" t="str">
        <f t="shared" si="1362"/>
        <v>47900</v>
      </c>
      <c r="B37981" s="1" t="str">
        <f>"20791"</f>
        <v>20791</v>
      </c>
      <c r="C37981" s="2">
        <v>6.7411082012506997E-4</v>
      </c>
      <c r="D37981" s="2">
        <v>1.6218294905449E-3</v>
      </c>
      <c r="E37981" s="2">
        <v>1.3452794145343899E-5</v>
      </c>
      <c r="F37981" s="2">
        <v>7.1563020366544798E-4</v>
      </c>
    </row>
    <row r="37982" spans="1:6" x14ac:dyDescent="0.25">
      <c r="A37982" s="1" t="str">
        <f t="shared" si="1362"/>
        <v>47900</v>
      </c>
      <c r="B37982" s="1" t="str">
        <f>"20884"</f>
        <v>20884</v>
      </c>
      <c r="C37982" s="2">
        <v>2.1534608664817301E-4</v>
      </c>
      <c r="D37982" s="2">
        <v>4.4725710177397998E-4</v>
      </c>
      <c r="E37982" s="2">
        <v>1.3452794145343899E-5</v>
      </c>
      <c r="F37982" s="2">
        <v>2.2357386046794101E-4</v>
      </c>
    </row>
    <row r="37983" spans="1:6" x14ac:dyDescent="0.25">
      <c r="A37983" s="1" t="str">
        <f t="shared" si="1362"/>
        <v>47900</v>
      </c>
      <c r="B37983" s="1" t="str">
        <f>"20875"</f>
        <v>20875</v>
      </c>
      <c r="C37983" s="2">
        <v>6.5711953369999995E-4</v>
      </c>
      <c r="D37983" s="2">
        <v>1.3292313865806099E-3</v>
      </c>
      <c r="E37983" s="2">
        <v>1.3452794145343899E-5</v>
      </c>
      <c r="F37983" s="2">
        <v>6.7815250451186198E-4</v>
      </c>
    </row>
    <row r="37984" spans="1:6" x14ac:dyDescent="0.25">
      <c r="A37984" s="1" t="str">
        <f t="shared" si="1362"/>
        <v>47900</v>
      </c>
      <c r="B37984" s="1" t="str">
        <f>"21777"</f>
        <v>21777</v>
      </c>
      <c r="C37984" s="2">
        <v>2.4378802262057299E-4</v>
      </c>
      <c r="D37984" s="2">
        <v>9.6139377016836894E-5</v>
      </c>
      <c r="E37984" s="2">
        <v>1.3452794145343899E-5</v>
      </c>
      <c r="F37984" s="2">
        <v>2.2131227517419001E-4</v>
      </c>
    </row>
    <row r="37985" spans="1:6" x14ac:dyDescent="0.25">
      <c r="A37985" s="1" t="str">
        <f t="shared" si="1362"/>
        <v>47900</v>
      </c>
      <c r="B37985" s="1" t="str">
        <f>"20167"</f>
        <v>20167</v>
      </c>
      <c r="C37985" s="2">
        <v>5.81397496370882E-4</v>
      </c>
      <c r="D37985" s="2">
        <v>1.2456319283051E-3</v>
      </c>
      <c r="E37985" s="2">
        <v>6.7263970726719903E-6</v>
      </c>
      <c r="F37985" s="2">
        <v>6.0513560788504896E-4</v>
      </c>
    </row>
    <row r="37986" spans="1:6" x14ac:dyDescent="0.25">
      <c r="A37986" s="1" t="str">
        <f t="shared" si="1362"/>
        <v>47900</v>
      </c>
      <c r="B37986" s="1" t="str">
        <f>"20144"</f>
        <v>20144</v>
      </c>
      <c r="C37986" s="2">
        <v>2.0685044343563799E-4</v>
      </c>
      <c r="D37986" s="2">
        <v>4.5979702051530701E-5</v>
      </c>
      <c r="E37986" s="2">
        <v>1.3452794145343899E-5</v>
      </c>
      <c r="F37986" s="2">
        <v>1.8512691047417601E-4</v>
      </c>
    </row>
    <row r="37987" spans="1:6" x14ac:dyDescent="0.25">
      <c r="A37987" s="1" t="str">
        <f t="shared" si="1362"/>
        <v>47900</v>
      </c>
      <c r="B37987" s="1" t="str">
        <f>"22194"</f>
        <v>22194</v>
      </c>
      <c r="C37987" s="2">
        <v>3.1544692623934801E-4</v>
      </c>
      <c r="D37987" s="2">
        <v>1.1578524971158099E-3</v>
      </c>
      <c r="E37987" s="2">
        <v>6.7263970726719903E-6</v>
      </c>
      <c r="F37987" s="2">
        <v>3.6573065036085202E-4</v>
      </c>
    </row>
    <row r="37988" spans="1:6" x14ac:dyDescent="0.25">
      <c r="A37988" s="1" t="str">
        <f t="shared" si="1362"/>
        <v>47900</v>
      </c>
      <c r="B37988" s="1" t="str">
        <f>"20112"</f>
        <v>20112</v>
      </c>
      <c r="C37988" s="2">
        <v>3.4754568255105601E-3</v>
      </c>
      <c r="D37988" s="2">
        <v>7.1477536825561303E-4</v>
      </c>
      <c r="E37988" s="2">
        <v>3.0268786827023902E-4</v>
      </c>
      <c r="F37988" s="2">
        <v>3.1096797789074201E-3</v>
      </c>
    </row>
    <row r="37989" spans="1:6" x14ac:dyDescent="0.25">
      <c r="A37989" s="1" t="str">
        <f t="shared" si="1362"/>
        <v>47900</v>
      </c>
      <c r="B37989" s="1" t="str">
        <f>"21787"</f>
        <v>21787</v>
      </c>
      <c r="C37989" s="2">
        <v>4.7280101356717203E-5</v>
      </c>
      <c r="D37989" s="2">
        <v>8.3599458275510293E-6</v>
      </c>
      <c r="E37989" s="2">
        <v>1.3452794145343899E-5</v>
      </c>
      <c r="F37989" s="2">
        <v>4.26470369678732E-5</v>
      </c>
    </row>
    <row r="37990" spans="1:6" x14ac:dyDescent="0.25">
      <c r="A37990" s="1" t="str">
        <f t="shared" si="1362"/>
        <v>47900</v>
      </c>
      <c r="B37990" s="1" t="str">
        <f>"21798"</f>
        <v>21798</v>
      </c>
      <c r="C37990" s="2">
        <v>3.4425823800359698E-4</v>
      </c>
      <c r="D37990" s="2">
        <v>1.17039241585714E-4</v>
      </c>
      <c r="E37990" s="2">
        <v>6.7263970726719896E-5</v>
      </c>
      <c r="F37990" s="2">
        <v>3.1339110499118902E-4</v>
      </c>
    </row>
    <row r="37991" spans="1:6" x14ac:dyDescent="0.25">
      <c r="A37991" s="1" t="str">
        <f t="shared" si="1362"/>
        <v>47900</v>
      </c>
      <c r="B37991" s="1" t="str">
        <f>"22027"</f>
        <v>22027</v>
      </c>
      <c r="C37991" s="2">
        <v>4.1185400791202901E-4</v>
      </c>
      <c r="D37991" s="2">
        <v>6.1445601832500101E-4</v>
      </c>
      <c r="E37991" s="2">
        <v>1.00895956090079E-4</v>
      </c>
      <c r="F37991" s="2">
        <v>4.12577774302834E-4</v>
      </c>
    </row>
    <row r="37992" spans="1:6" x14ac:dyDescent="0.25">
      <c r="A37992" s="1" t="str">
        <f t="shared" si="1362"/>
        <v>47900</v>
      </c>
      <c r="B37992" s="1" t="str">
        <f>"20171"</f>
        <v>20171</v>
      </c>
      <c r="C37992" s="2">
        <v>7.4107865118735799E-3</v>
      </c>
      <c r="D37992" s="2">
        <v>5.3796251400290897E-3</v>
      </c>
      <c r="E37992" s="2">
        <v>5.8990502327333303E-3</v>
      </c>
      <c r="F37992" s="2">
        <v>7.1811794748857403E-3</v>
      </c>
    </row>
    <row r="37993" spans="1:6" x14ac:dyDescent="0.25">
      <c r="A37993" s="1" t="str">
        <f t="shared" si="1362"/>
        <v>47900</v>
      </c>
      <c r="B37993" s="1" t="str">
        <f>"20135"</f>
        <v>20135</v>
      </c>
      <c r="C37993" s="2">
        <v>4.9348605791073601E-4</v>
      </c>
      <c r="D37993" s="2">
        <v>1.08679295758163E-4</v>
      </c>
      <c r="E37993" s="2">
        <v>4.7084779508703901E-5</v>
      </c>
      <c r="F37993" s="2">
        <v>4.4230146673498799E-4</v>
      </c>
    </row>
    <row r="37994" spans="1:6" x14ac:dyDescent="0.25">
      <c r="A37994" s="1" t="str">
        <f t="shared" si="1362"/>
        <v>47900</v>
      </c>
      <c r="B37994" s="1" t="str">
        <f>"22310"</f>
        <v>22310</v>
      </c>
      <c r="C37994" s="2">
        <v>4.5994673601081502E-3</v>
      </c>
      <c r="D37994" s="2">
        <v>4.2134126970857196E-3</v>
      </c>
      <c r="E37994" s="2">
        <v>4.24435655285602E-3</v>
      </c>
      <c r="F37994" s="2">
        <v>4.5525711963204599E-3</v>
      </c>
    </row>
    <row r="37995" spans="1:6" x14ac:dyDescent="0.25">
      <c r="A37995" s="1" t="str">
        <f t="shared" si="1362"/>
        <v>47900</v>
      </c>
      <c r="B37995" s="1" t="str">
        <f>"22206"</f>
        <v>22206</v>
      </c>
      <c r="C37995" s="2">
        <v>4.3730399997044898E-3</v>
      </c>
      <c r="D37995" s="2">
        <v>2.3198849671454101E-3</v>
      </c>
      <c r="E37995" s="2">
        <v>1.08093200957838E-2</v>
      </c>
      <c r="F37995" s="2">
        <v>4.5234936711150897E-3</v>
      </c>
    </row>
    <row r="37996" spans="1:6" x14ac:dyDescent="0.25">
      <c r="A37996" s="1" t="str">
        <f t="shared" si="1362"/>
        <v>47900</v>
      </c>
      <c r="B37996" s="1" t="str">
        <f>"22151"</f>
        <v>22151</v>
      </c>
      <c r="C37996" s="2">
        <v>2.3665906983788001E-3</v>
      </c>
      <c r="D37996" s="2">
        <v>3.0889999832801E-3</v>
      </c>
      <c r="E37996" s="2">
        <v>1.00895956090079E-3</v>
      </c>
      <c r="F37996" s="2">
        <v>2.3572180433151699E-3</v>
      </c>
    </row>
    <row r="37997" spans="1:6" x14ac:dyDescent="0.25">
      <c r="A37997" s="1" t="str">
        <f t="shared" si="1362"/>
        <v>47900</v>
      </c>
      <c r="B37997" s="1" t="str">
        <f>"22060"</f>
        <v>22060</v>
      </c>
      <c r="C37997" s="2">
        <v>1.5096388612883E-3</v>
      </c>
      <c r="D37997" s="2">
        <v>2.8340216355398E-3</v>
      </c>
      <c r="E37997" s="2">
        <v>1.41254338526111E-3</v>
      </c>
      <c r="F37997" s="2">
        <v>1.6073409766300601E-3</v>
      </c>
    </row>
    <row r="37998" spans="1:6" x14ac:dyDescent="0.25">
      <c r="A37998" s="1" t="str">
        <f t="shared" si="1362"/>
        <v>47900</v>
      </c>
      <c r="B37998" s="1" t="str">
        <f>"22116"</f>
        <v>22116</v>
      </c>
      <c r="C37998" s="2">
        <v>5.4704554772889199E-4</v>
      </c>
      <c r="D37998" s="2">
        <v>2.3700446421107101E-3</v>
      </c>
      <c r="E37998" s="2">
        <v>1.3452794145343899E-5</v>
      </c>
      <c r="F37998" s="2">
        <v>6.6232140745560604E-4</v>
      </c>
    </row>
    <row r="37999" spans="1:6" x14ac:dyDescent="0.25">
      <c r="A37999" s="1" t="str">
        <f t="shared" si="1362"/>
        <v>47900</v>
      </c>
      <c r="B37999" s="1" t="str">
        <f>"22553"</f>
        <v>22553</v>
      </c>
      <c r="C37999" s="2">
        <v>2.1704521529067999E-3</v>
      </c>
      <c r="D37999" s="2">
        <v>8.4435452858265395E-4</v>
      </c>
      <c r="E37999" s="2">
        <v>1.08294992870019E-3</v>
      </c>
      <c r="F37999" s="2">
        <v>2.01571866395879E-3</v>
      </c>
    </row>
    <row r="38000" spans="1:6" x14ac:dyDescent="0.25">
      <c r="A38000" s="1" t="str">
        <f t="shared" si="1362"/>
        <v>47900</v>
      </c>
      <c r="B38000" s="1" t="str">
        <f>"20503"</f>
        <v>20503</v>
      </c>
      <c r="C38000" s="2">
        <v>0</v>
      </c>
      <c r="D38000" s="2">
        <v>4.1799729137755096E-6</v>
      </c>
      <c r="E38000" s="2">
        <v>4.7084779508703901E-5</v>
      </c>
      <c r="F38000" s="2">
        <v>2.58466890714383E-6</v>
      </c>
    </row>
    <row r="38001" spans="1:6" x14ac:dyDescent="0.25">
      <c r="A38001" s="1" t="str">
        <f t="shared" si="1362"/>
        <v>47900</v>
      </c>
      <c r="B38001" s="1" t="str">
        <f>"20213"</f>
        <v>20213</v>
      </c>
      <c r="C38001" s="2">
        <v>0</v>
      </c>
      <c r="D38001" s="2">
        <v>4.1799729137755096E-6</v>
      </c>
      <c r="E38001" s="2">
        <v>0</v>
      </c>
      <c r="F38001" s="2">
        <v>3.2308361339297801E-7</v>
      </c>
    </row>
    <row r="38002" spans="1:6" x14ac:dyDescent="0.25">
      <c r="A38002" s="1" t="str">
        <f t="shared" si="1362"/>
        <v>47900</v>
      </c>
      <c r="B38002" s="1" t="str">
        <f>"20375"</f>
        <v>20375</v>
      </c>
      <c r="C38002" s="2">
        <v>0</v>
      </c>
      <c r="D38002" s="2">
        <v>4.1799729137755096E-6</v>
      </c>
      <c r="E38002" s="2">
        <v>0</v>
      </c>
      <c r="F38002" s="2">
        <v>3.2308361339297801E-7</v>
      </c>
    </row>
    <row r="38003" spans="1:6" x14ac:dyDescent="0.25">
      <c r="A38003" s="1" t="str">
        <f t="shared" si="1362"/>
        <v>47900</v>
      </c>
      <c r="B38003" s="1" t="str">
        <f>"20066"</f>
        <v>20066</v>
      </c>
      <c r="C38003" s="2">
        <v>0</v>
      </c>
      <c r="D38003" s="2">
        <v>4.1799729137755096E-6</v>
      </c>
      <c r="E38003" s="2">
        <v>5.3811176581375902E-5</v>
      </c>
      <c r="F38003" s="2">
        <v>2.9077525205368E-6</v>
      </c>
    </row>
    <row r="38004" spans="1:6" x14ac:dyDescent="0.25">
      <c r="A38004" s="1" t="str">
        <f t="shared" si="1362"/>
        <v>47900</v>
      </c>
      <c r="B38004" s="1" t="str">
        <f>"20421"</f>
        <v>20421</v>
      </c>
      <c r="C38004" s="2">
        <v>0</v>
      </c>
      <c r="D38004" s="2">
        <v>4.1799729137755096E-6</v>
      </c>
      <c r="E38004" s="2">
        <v>0</v>
      </c>
      <c r="F38004" s="2">
        <v>3.2308361339297801E-7</v>
      </c>
    </row>
    <row r="38005" spans="1:6" x14ac:dyDescent="0.25">
      <c r="A38005" s="1" t="str">
        <f t="shared" si="1362"/>
        <v>47900</v>
      </c>
      <c r="B38005" s="1" t="str">
        <f>"20033"</f>
        <v>20033</v>
      </c>
      <c r="C38005" s="2">
        <v>2.0869732239488399E-4</v>
      </c>
      <c r="D38005" s="2">
        <v>7.56575097393368E-4</v>
      </c>
      <c r="E38005" s="2">
        <v>1.3452794145343899E-5</v>
      </c>
      <c r="F38005" s="2">
        <v>2.4166654281794801E-4</v>
      </c>
    </row>
    <row r="38006" spans="1:6" x14ac:dyDescent="0.25">
      <c r="A38006" s="1" t="str">
        <f t="shared" si="1362"/>
        <v>47900</v>
      </c>
      <c r="B38006" s="1" t="str">
        <f>"22729"</f>
        <v>22729</v>
      </c>
      <c r="C38006" s="2">
        <v>2.1793171719111799E-5</v>
      </c>
      <c r="D38006" s="2">
        <v>0</v>
      </c>
      <c r="E38006" s="2">
        <v>2.01791912180159E-5</v>
      </c>
      <c r="F38006" s="2">
        <v>2.0031184030364602E-5</v>
      </c>
    </row>
    <row r="38007" spans="1:6" x14ac:dyDescent="0.25">
      <c r="A38007" s="1" t="str">
        <f t="shared" si="1362"/>
        <v>47900</v>
      </c>
      <c r="B38007" s="1" t="str">
        <f>"20857"</f>
        <v>20857</v>
      </c>
      <c r="C38007" s="2">
        <v>0</v>
      </c>
      <c r="D38007" s="2">
        <v>8.3599458275510293E-6</v>
      </c>
      <c r="E38007" s="2">
        <v>1.3452794145343899E-5</v>
      </c>
      <c r="F38007" s="2">
        <v>1.2923344535719099E-6</v>
      </c>
    </row>
    <row r="38008" spans="1:6" x14ac:dyDescent="0.25">
      <c r="A38008" s="1" t="str">
        <f t="shared" si="1362"/>
        <v>47900</v>
      </c>
      <c r="B38008" s="1" t="str">
        <f>"22725"</f>
        <v>22725</v>
      </c>
      <c r="C38008" s="2">
        <v>7.7568916288364204E-6</v>
      </c>
      <c r="D38008" s="2">
        <v>2.50798374826531E-5</v>
      </c>
      <c r="E38008" s="2">
        <v>0</v>
      </c>
      <c r="F38008" s="2">
        <v>8.7232575616104207E-6</v>
      </c>
    </row>
    <row r="38009" spans="1:6" x14ac:dyDescent="0.25">
      <c r="A38009" s="1" t="str">
        <f t="shared" si="1362"/>
        <v>47900</v>
      </c>
      <c r="B38009" s="1" t="str">
        <f>"20444"</f>
        <v>20444</v>
      </c>
      <c r="C38009" s="2">
        <v>0</v>
      </c>
      <c r="D38009" s="2">
        <v>4.1799729137755096E-6</v>
      </c>
      <c r="E38009" s="2">
        <v>0</v>
      </c>
      <c r="F38009" s="2">
        <v>3.2308361339297801E-7</v>
      </c>
    </row>
    <row r="38010" spans="1:6" x14ac:dyDescent="0.25">
      <c r="A38010" s="1" t="str">
        <f t="shared" si="1362"/>
        <v>47900</v>
      </c>
      <c r="B38010" s="1" t="str">
        <f>"20847"</f>
        <v>20847</v>
      </c>
      <c r="C38010" s="2">
        <v>7.6830164704665496E-5</v>
      </c>
      <c r="D38010" s="2">
        <v>5.7683626210102096E-4</v>
      </c>
      <c r="E38010" s="2">
        <v>1.3452794145343899E-5</v>
      </c>
      <c r="F38010" s="2">
        <v>1.12433097460756E-4</v>
      </c>
    </row>
    <row r="38011" spans="1:6" x14ac:dyDescent="0.25">
      <c r="A38011" s="1" t="str">
        <f t="shared" si="1362"/>
        <v>47900</v>
      </c>
      <c r="B38011" s="1" t="str">
        <f>"20896"</f>
        <v>20896</v>
      </c>
      <c r="C38011" s="2">
        <v>2.9328437872838599E-4</v>
      </c>
      <c r="D38011" s="2">
        <v>2.8005818522295901E-4</v>
      </c>
      <c r="E38011" s="2">
        <v>2.69055882906879E-5</v>
      </c>
      <c r="F38011" s="2">
        <v>2.7946732558492598E-4</v>
      </c>
    </row>
    <row r="38012" spans="1:6" x14ac:dyDescent="0.25">
      <c r="A38012" s="1" t="str">
        <f t="shared" si="1362"/>
        <v>47900</v>
      </c>
      <c r="B38012" s="1" t="str">
        <f>"22649"</f>
        <v>22649</v>
      </c>
      <c r="C38012" s="2">
        <v>4.8018852940415901E-6</v>
      </c>
      <c r="D38012" s="2">
        <v>4.1799729137755096E-6</v>
      </c>
      <c r="E38012" s="2">
        <v>0</v>
      </c>
      <c r="F38012" s="2">
        <v>4.5231705875016996E-6</v>
      </c>
    </row>
    <row r="38013" spans="1:6" x14ac:dyDescent="0.25">
      <c r="A38013" s="1" t="str">
        <f t="shared" si="1362"/>
        <v>47900</v>
      </c>
      <c r="B38013" s="1" t="str">
        <f>"22723"</f>
        <v>22723</v>
      </c>
      <c r="C38013" s="2">
        <v>1.58831590495222E-5</v>
      </c>
      <c r="D38013" s="2">
        <v>4.1799729137755096E-6</v>
      </c>
      <c r="E38013" s="2">
        <v>0</v>
      </c>
      <c r="F38013" s="2">
        <v>1.4215678989291001E-5</v>
      </c>
    </row>
    <row r="38014" spans="1:6" x14ac:dyDescent="0.25">
      <c r="A38014" s="1" t="str">
        <f t="shared" si="1362"/>
        <v>47900</v>
      </c>
      <c r="B38014" s="1" t="str">
        <f>"20899"</f>
        <v>20899</v>
      </c>
      <c r="C38014" s="2">
        <v>0</v>
      </c>
      <c r="D38014" s="2">
        <v>8.56894447323981E-4</v>
      </c>
      <c r="E38014" s="2">
        <v>6.7263970726719903E-6</v>
      </c>
      <c r="F38014" s="2">
        <v>6.6555224358953605E-5</v>
      </c>
    </row>
    <row r="38015" spans="1:6" x14ac:dyDescent="0.25">
      <c r="A38015" s="1" t="str">
        <f t="shared" si="1362"/>
        <v>47900</v>
      </c>
      <c r="B38015" s="1" t="str">
        <f>"20708"</f>
        <v>20708</v>
      </c>
      <c r="C38015" s="2">
        <v>4.2507766126023598E-3</v>
      </c>
      <c r="D38015" s="2">
        <v>1.3166914678392799E-3</v>
      </c>
      <c r="E38015" s="2">
        <v>8.8922969300723707E-3</v>
      </c>
      <c r="F38015" s="2">
        <v>4.2469340980507003E-3</v>
      </c>
    </row>
    <row r="38016" spans="1:6" x14ac:dyDescent="0.25">
      <c r="A38016" s="1" t="str">
        <f t="shared" si="1362"/>
        <v>47900</v>
      </c>
      <c r="B38016" s="1" t="str">
        <f>"20732"</f>
        <v>20732</v>
      </c>
      <c r="C38016" s="2">
        <v>1.6034603124180399E-3</v>
      </c>
      <c r="D38016" s="2">
        <v>3.13497968533163E-4</v>
      </c>
      <c r="E38016" s="2">
        <v>4.17036618505663E-4</v>
      </c>
      <c r="F38016" s="2">
        <v>1.44676842077375E-3</v>
      </c>
    </row>
    <row r="38017" spans="1:6" x14ac:dyDescent="0.25">
      <c r="A38017" s="1" t="str">
        <f t="shared" si="1362"/>
        <v>47900</v>
      </c>
      <c r="B38017" s="1" t="str">
        <f>"20710"</f>
        <v>20710</v>
      </c>
      <c r="C38017" s="2">
        <v>1.6245147325534501E-3</v>
      </c>
      <c r="D38017" s="2">
        <v>1.8475480278887699E-3</v>
      </c>
      <c r="E38017" s="2">
        <v>2.0851830925283101E-3</v>
      </c>
      <c r="F38017" s="2">
        <v>1.6638806089738401E-3</v>
      </c>
    </row>
    <row r="38018" spans="1:6" x14ac:dyDescent="0.25">
      <c r="A38018" s="1" t="str">
        <f t="shared" si="1362"/>
        <v>47900</v>
      </c>
      <c r="B38018" s="1" t="str">
        <f>"20602"</f>
        <v>20602</v>
      </c>
      <c r="C38018" s="2">
        <v>4.0601787040080899E-3</v>
      </c>
      <c r="D38018" s="2">
        <v>4.0712936180173501E-3</v>
      </c>
      <c r="E38018" s="2">
        <v>4.9102698630505504E-3</v>
      </c>
      <c r="F38018" s="2">
        <v>4.1018695556372499E-3</v>
      </c>
    </row>
    <row r="38019" spans="1:6" x14ac:dyDescent="0.25">
      <c r="A38019" s="1" t="str">
        <f t="shared" si="1362"/>
        <v>47900</v>
      </c>
      <c r="B38019" s="1" t="str">
        <f>"20714"</f>
        <v>20714</v>
      </c>
      <c r="C38019" s="2">
        <v>6.59705164242945E-4</v>
      </c>
      <c r="D38019" s="2">
        <v>1.5465899780969401E-4</v>
      </c>
      <c r="E38019" s="2">
        <v>3.6995183899695902E-4</v>
      </c>
      <c r="F38019" s="2">
        <v>6.0675102595201397E-4</v>
      </c>
    </row>
    <row r="38020" spans="1:6" x14ac:dyDescent="0.25">
      <c r="A38020" s="1" t="str">
        <f t="shared" ref="A38020:A38083" si="1363">"47900"</f>
        <v>47900</v>
      </c>
      <c r="B38020" s="1" t="str">
        <f>"20607"</f>
        <v>20607</v>
      </c>
      <c r="C38020" s="2">
        <v>1.92481725132698E-3</v>
      </c>
      <c r="D38020" s="2">
        <v>1.024093363875E-3</v>
      </c>
      <c r="E38020" s="2">
        <v>1.4798073559878301E-4</v>
      </c>
      <c r="F38020" s="2">
        <v>1.7698520341667299E-3</v>
      </c>
    </row>
    <row r="38021" spans="1:6" x14ac:dyDescent="0.25">
      <c r="A38021" s="1" t="str">
        <f t="shared" si="1363"/>
        <v>47900</v>
      </c>
      <c r="B38021" s="1" t="str">
        <f>"21775"</f>
        <v>21775</v>
      </c>
      <c r="C38021" s="2">
        <v>0</v>
      </c>
      <c r="D38021" s="2">
        <v>4.1799729137755096E-6</v>
      </c>
      <c r="E38021" s="2">
        <v>0</v>
      </c>
      <c r="F38021" s="2">
        <v>3.2308361339297801E-7</v>
      </c>
    </row>
    <row r="38022" spans="1:6" x14ac:dyDescent="0.25">
      <c r="A38022" s="1" t="str">
        <f t="shared" si="1363"/>
        <v>47900</v>
      </c>
      <c r="B38022" s="1" t="str">
        <f>"20724"</f>
        <v>20724</v>
      </c>
      <c r="C38022" s="2">
        <v>3.6937579184935299E-7</v>
      </c>
      <c r="D38022" s="2">
        <v>0</v>
      </c>
      <c r="E38022" s="2">
        <v>0</v>
      </c>
      <c r="F38022" s="2">
        <v>3.2308361339297801E-7</v>
      </c>
    </row>
    <row r="38023" spans="1:6" x14ac:dyDescent="0.25">
      <c r="A38023" s="1" t="str">
        <f t="shared" si="1363"/>
        <v>47900</v>
      </c>
      <c r="B38023" s="1" t="str">
        <f>"20064"</f>
        <v>20064</v>
      </c>
      <c r="C38023" s="2">
        <v>0</v>
      </c>
      <c r="D38023" s="2">
        <v>4.1799729137755096E-6</v>
      </c>
      <c r="E38023" s="2">
        <v>0</v>
      </c>
      <c r="F38023" s="2">
        <v>3.2308361339297801E-7</v>
      </c>
    </row>
    <row r="38024" spans="1:6" x14ac:dyDescent="0.25">
      <c r="A38024" s="1" t="str">
        <f t="shared" si="1363"/>
        <v>47900</v>
      </c>
      <c r="B38024" s="1" t="str">
        <f>"20533"</f>
        <v>20533</v>
      </c>
      <c r="C38024" s="2">
        <v>0</v>
      </c>
      <c r="D38024" s="2">
        <v>4.1799729137755096E-6</v>
      </c>
      <c r="E38024" s="2">
        <v>0</v>
      </c>
      <c r="F38024" s="2">
        <v>3.2308361339297801E-7</v>
      </c>
    </row>
    <row r="38025" spans="1:6" x14ac:dyDescent="0.25">
      <c r="A38025" s="1" t="str">
        <f t="shared" si="1363"/>
        <v>47900</v>
      </c>
      <c r="B38025" s="1" t="str">
        <f>"22242"</f>
        <v>22242</v>
      </c>
      <c r="C38025" s="2">
        <v>0</v>
      </c>
      <c r="D38025" s="2">
        <v>4.1799729137755096E-6</v>
      </c>
      <c r="E38025" s="2">
        <v>0</v>
      </c>
      <c r="F38025" s="2">
        <v>3.2308361339297801E-7</v>
      </c>
    </row>
    <row r="38026" spans="1:6" x14ac:dyDescent="0.25">
      <c r="A38026" s="1" t="str">
        <f t="shared" si="1363"/>
        <v>47900</v>
      </c>
      <c r="B38026" s="1" t="str">
        <f>"22244"</f>
        <v>22244</v>
      </c>
      <c r="C38026" s="2">
        <v>0</v>
      </c>
      <c r="D38026" s="2">
        <v>4.1799729137755096E-6</v>
      </c>
      <c r="E38026" s="2">
        <v>0</v>
      </c>
      <c r="F38026" s="2">
        <v>3.2308361339297801E-7</v>
      </c>
    </row>
    <row r="38027" spans="1:6" x14ac:dyDescent="0.25">
      <c r="A38027" s="1" t="str">
        <f t="shared" si="1363"/>
        <v>47900</v>
      </c>
      <c r="B38027" s="1" t="str">
        <f>"20586"</f>
        <v>20586</v>
      </c>
      <c r="C38027" s="2">
        <v>0</v>
      </c>
      <c r="D38027" s="2">
        <v>4.1799729137755096E-6</v>
      </c>
      <c r="E38027" s="2">
        <v>0</v>
      </c>
      <c r="F38027" s="2">
        <v>3.2308361339297801E-7</v>
      </c>
    </row>
    <row r="38028" spans="1:6" x14ac:dyDescent="0.25">
      <c r="A38028" s="1" t="str">
        <f t="shared" si="1363"/>
        <v>47900</v>
      </c>
      <c r="B38028" s="1" t="str">
        <f>"20599"</f>
        <v>20599</v>
      </c>
      <c r="C38028" s="2">
        <v>0</v>
      </c>
      <c r="D38028" s="2">
        <v>8.3599458275510293E-6</v>
      </c>
      <c r="E38028" s="2">
        <v>0</v>
      </c>
      <c r="F38028" s="2">
        <v>6.4616722678595697E-7</v>
      </c>
    </row>
    <row r="38029" spans="1:6" x14ac:dyDescent="0.25">
      <c r="A38029" s="1" t="str">
        <f t="shared" si="1363"/>
        <v>47900</v>
      </c>
      <c r="B38029" s="1" t="str">
        <f>"20216"</f>
        <v>20216</v>
      </c>
      <c r="C38029" s="2">
        <v>0</v>
      </c>
      <c r="D38029" s="2">
        <v>4.1799729137755096E-6</v>
      </c>
      <c r="E38029" s="2">
        <v>0</v>
      </c>
      <c r="F38029" s="2">
        <v>3.2308361339297801E-7</v>
      </c>
    </row>
    <row r="38030" spans="1:6" x14ac:dyDescent="0.25">
      <c r="A38030" s="1" t="str">
        <f t="shared" si="1363"/>
        <v>47900</v>
      </c>
      <c r="B38030" s="1" t="str">
        <f>"20207"</f>
        <v>20207</v>
      </c>
      <c r="C38030" s="2">
        <v>0</v>
      </c>
      <c r="D38030" s="2">
        <v>4.1799729137755096E-6</v>
      </c>
      <c r="E38030" s="2">
        <v>0</v>
      </c>
      <c r="F38030" s="2">
        <v>3.2308361339297801E-7</v>
      </c>
    </row>
    <row r="38031" spans="1:6" x14ac:dyDescent="0.25">
      <c r="A38031" s="1" t="str">
        <f t="shared" si="1363"/>
        <v>47900</v>
      </c>
      <c r="B38031" s="1" t="str">
        <f>"22240"</f>
        <v>22240</v>
      </c>
      <c r="C38031" s="2">
        <v>0</v>
      </c>
      <c r="D38031" s="2">
        <v>4.1799729137755096E-6</v>
      </c>
      <c r="E38031" s="2">
        <v>0</v>
      </c>
      <c r="F38031" s="2">
        <v>3.2308361339297801E-7</v>
      </c>
    </row>
    <row r="38032" spans="1:6" x14ac:dyDescent="0.25">
      <c r="A38032" s="1" t="str">
        <f t="shared" si="1363"/>
        <v>47900</v>
      </c>
      <c r="B38032" s="1" t="str">
        <f>"20555"</f>
        <v>20555</v>
      </c>
      <c r="C38032" s="2">
        <v>0</v>
      </c>
      <c r="D38032" s="2">
        <v>4.1799729137755096E-6</v>
      </c>
      <c r="E38032" s="2">
        <v>0</v>
      </c>
      <c r="F38032" s="2">
        <v>3.2308361339297801E-7</v>
      </c>
    </row>
    <row r="38033" spans="1:6" x14ac:dyDescent="0.25">
      <c r="A38033" s="1" t="str">
        <f t="shared" si="1363"/>
        <v>47900</v>
      </c>
      <c r="B38033" s="1" t="str">
        <f>"20811"</f>
        <v>20811</v>
      </c>
      <c r="C38033" s="2">
        <v>0</v>
      </c>
      <c r="D38033" s="2">
        <v>8.3599458275510293E-6</v>
      </c>
      <c r="E38033" s="2">
        <v>0</v>
      </c>
      <c r="F38033" s="2">
        <v>6.4616722678595697E-7</v>
      </c>
    </row>
    <row r="38034" spans="1:6" x14ac:dyDescent="0.25">
      <c r="A38034" s="1" t="str">
        <f t="shared" si="1363"/>
        <v>47900</v>
      </c>
      <c r="B38034" s="1" t="str">
        <f>"20411"</f>
        <v>20411</v>
      </c>
      <c r="C38034" s="2">
        <v>0</v>
      </c>
      <c r="D38034" s="2">
        <v>4.1799729137755096E-6</v>
      </c>
      <c r="E38034" s="2">
        <v>0</v>
      </c>
      <c r="F38034" s="2">
        <v>3.2308361339297801E-7</v>
      </c>
    </row>
    <row r="38035" spans="1:6" x14ac:dyDescent="0.25">
      <c r="A38035" s="1" t="str">
        <f t="shared" si="1363"/>
        <v>47900</v>
      </c>
      <c r="B38035" s="1" t="str">
        <f>"22230"</f>
        <v>22230</v>
      </c>
      <c r="C38035" s="2">
        <v>0</v>
      </c>
      <c r="D38035" s="2">
        <v>4.1799729137755096E-6</v>
      </c>
      <c r="E38035" s="2">
        <v>0</v>
      </c>
      <c r="F38035" s="2">
        <v>3.2308361339297801E-7</v>
      </c>
    </row>
    <row r="38036" spans="1:6" x14ac:dyDescent="0.25">
      <c r="A38036" s="1" t="str">
        <f t="shared" si="1363"/>
        <v>47900</v>
      </c>
      <c r="B38036" s="1" t="str">
        <f>"22107"</f>
        <v>22107</v>
      </c>
      <c r="C38036" s="2">
        <v>0</v>
      </c>
      <c r="D38036" s="2">
        <v>8.3599458275510293E-6</v>
      </c>
      <c r="E38036" s="2">
        <v>0</v>
      </c>
      <c r="F38036" s="2">
        <v>6.4616722678595697E-7</v>
      </c>
    </row>
    <row r="38037" spans="1:6" x14ac:dyDescent="0.25">
      <c r="A38037" s="1" t="str">
        <f t="shared" si="1363"/>
        <v>47900</v>
      </c>
      <c r="B38037" s="1" t="str">
        <f>"20220"</f>
        <v>20220</v>
      </c>
      <c r="C38037" s="2">
        <v>0</v>
      </c>
      <c r="D38037" s="2">
        <v>2.08998645688775E-5</v>
      </c>
      <c r="E38037" s="2">
        <v>1.3452794145343899E-5</v>
      </c>
      <c r="F38037" s="2">
        <v>2.2615852937508498E-6</v>
      </c>
    </row>
    <row r="38038" spans="1:6" x14ac:dyDescent="0.25">
      <c r="A38038" s="1" t="str">
        <f t="shared" si="1363"/>
        <v>47900</v>
      </c>
      <c r="B38038" s="1" t="str">
        <f>"20303"</f>
        <v>20303</v>
      </c>
      <c r="C38038" s="2">
        <v>0</v>
      </c>
      <c r="D38038" s="2">
        <v>4.1799729137755096E-6</v>
      </c>
      <c r="E38038" s="2">
        <v>0</v>
      </c>
      <c r="F38038" s="2">
        <v>3.2308361339297801E-7</v>
      </c>
    </row>
    <row r="38039" spans="1:6" x14ac:dyDescent="0.25">
      <c r="A38039" s="1" t="str">
        <f t="shared" si="1363"/>
        <v>47900</v>
      </c>
      <c r="B38039" s="1" t="str">
        <f>"20424"</f>
        <v>20424</v>
      </c>
      <c r="C38039" s="2">
        <v>0</v>
      </c>
      <c r="D38039" s="2">
        <v>8.3599458275510293E-6</v>
      </c>
      <c r="E38039" s="2">
        <v>6.7263970726719903E-6</v>
      </c>
      <c r="F38039" s="2">
        <v>9.6925084017893608E-7</v>
      </c>
    </row>
    <row r="38040" spans="1:6" x14ac:dyDescent="0.25">
      <c r="A38040" s="1" t="str">
        <f t="shared" si="1363"/>
        <v>47900</v>
      </c>
      <c r="B38040" s="1" t="str">
        <f>"22214"</f>
        <v>22214</v>
      </c>
      <c r="C38040" s="2">
        <v>3.6937579184935299E-7</v>
      </c>
      <c r="D38040" s="2">
        <v>0</v>
      </c>
      <c r="E38040" s="2">
        <v>0</v>
      </c>
      <c r="F38040" s="2">
        <v>3.2308361339297801E-7</v>
      </c>
    </row>
    <row r="38041" spans="1:6" x14ac:dyDescent="0.25">
      <c r="A38041" s="1" t="str">
        <f t="shared" si="1363"/>
        <v>47900</v>
      </c>
      <c r="B38041" s="1" t="str">
        <f>"20509"</f>
        <v>20509</v>
      </c>
      <c r="C38041" s="2">
        <v>0</v>
      </c>
      <c r="D38041" s="2">
        <v>4.1799729137755096E-6</v>
      </c>
      <c r="E38041" s="2">
        <v>0</v>
      </c>
      <c r="F38041" s="2">
        <v>3.2308361339297801E-7</v>
      </c>
    </row>
    <row r="38042" spans="1:6" x14ac:dyDescent="0.25">
      <c r="A38042" s="1" t="str">
        <f t="shared" si="1363"/>
        <v>47900</v>
      </c>
      <c r="B38042" s="1" t="str">
        <f>"20799"</f>
        <v>20799</v>
      </c>
      <c r="C38042" s="2">
        <v>0</v>
      </c>
      <c r="D38042" s="2">
        <v>0</v>
      </c>
      <c r="E38042" s="2">
        <v>6.7263970726719903E-6</v>
      </c>
      <c r="F38042" s="2">
        <v>3.2308361339297801E-7</v>
      </c>
    </row>
    <row r="38043" spans="1:6" x14ac:dyDescent="0.25">
      <c r="A38043" s="1" t="str">
        <f t="shared" si="1363"/>
        <v>47900</v>
      </c>
      <c r="B38043" s="1" t="str">
        <f>"20390"</f>
        <v>20390</v>
      </c>
      <c r="C38043" s="2">
        <v>0</v>
      </c>
      <c r="D38043" s="2">
        <v>4.1799729137755096E-6</v>
      </c>
      <c r="E38043" s="2">
        <v>0</v>
      </c>
      <c r="F38043" s="2">
        <v>3.2308361339297801E-7</v>
      </c>
    </row>
    <row r="38044" spans="1:6" x14ac:dyDescent="0.25">
      <c r="A38044" s="1" t="str">
        <f t="shared" si="1363"/>
        <v>47900</v>
      </c>
      <c r="B38044" s="1" t="str">
        <f>"20410"</f>
        <v>20410</v>
      </c>
      <c r="C38044" s="2">
        <v>0</v>
      </c>
      <c r="D38044" s="2">
        <v>4.1799729137755096E-6</v>
      </c>
      <c r="E38044" s="2">
        <v>0</v>
      </c>
      <c r="F38044" s="2">
        <v>3.2308361339297801E-7</v>
      </c>
    </row>
    <row r="38045" spans="1:6" x14ac:dyDescent="0.25">
      <c r="A38045" s="1" t="str">
        <f t="shared" si="1363"/>
        <v>47900</v>
      </c>
      <c r="B38045" s="1" t="str">
        <f>"20071"</f>
        <v>20071</v>
      </c>
      <c r="C38045" s="2">
        <v>0</v>
      </c>
      <c r="D38045" s="2">
        <v>1.2539918741326501E-5</v>
      </c>
      <c r="E38045" s="2">
        <v>6.7263970726719903E-6</v>
      </c>
      <c r="F38045" s="2">
        <v>1.2923344535719099E-6</v>
      </c>
    </row>
    <row r="38046" spans="1:6" x14ac:dyDescent="0.25">
      <c r="A38046" s="1" t="str">
        <f t="shared" si="1363"/>
        <v>47900</v>
      </c>
      <c r="B38046" s="1" t="str">
        <f>"20413"</f>
        <v>20413</v>
      </c>
      <c r="C38046" s="2">
        <v>0</v>
      </c>
      <c r="D38046" s="2">
        <v>4.1799729137755096E-6</v>
      </c>
      <c r="E38046" s="2">
        <v>0</v>
      </c>
      <c r="F38046" s="2">
        <v>3.2308361339297801E-7</v>
      </c>
    </row>
    <row r="38047" spans="1:6" x14ac:dyDescent="0.25">
      <c r="A38047" s="1" t="str">
        <f t="shared" si="1363"/>
        <v>47900</v>
      </c>
      <c r="B38047" s="1" t="str">
        <f>"20657"</f>
        <v>20657</v>
      </c>
      <c r="C38047" s="2">
        <v>2.9346906662431099E-3</v>
      </c>
      <c r="D38047" s="2">
        <v>6.3117590998010298E-4</v>
      </c>
      <c r="E38047" s="2">
        <v>2.6232948583420701E-4</v>
      </c>
      <c r="F38047" s="2">
        <v>2.6282851949518799E-3</v>
      </c>
    </row>
    <row r="38048" spans="1:6" x14ac:dyDescent="0.25">
      <c r="A38048" s="1" t="str">
        <f t="shared" si="1363"/>
        <v>47900</v>
      </c>
      <c r="B38048" s="1" t="str">
        <f>"20658"</f>
        <v>20658</v>
      </c>
      <c r="C38048" s="2">
        <v>1.39624049319055E-4</v>
      </c>
      <c r="D38048" s="2">
        <v>2.9259810396428598E-5</v>
      </c>
      <c r="E38048" s="2">
        <v>2.01791912180159E-5</v>
      </c>
      <c r="F38048" s="2">
        <v>1.2535644199647501E-4</v>
      </c>
    </row>
    <row r="38049" spans="1:6" x14ac:dyDescent="0.25">
      <c r="A38049" s="1" t="str">
        <f t="shared" si="1363"/>
        <v>47900</v>
      </c>
      <c r="B38049" s="1" t="str">
        <f>"20918"</f>
        <v>20918</v>
      </c>
      <c r="C38049" s="2">
        <v>2.77401219678864E-4</v>
      </c>
      <c r="D38049" s="2">
        <v>4.9741677673928605E-4</v>
      </c>
      <c r="E38049" s="2">
        <v>1.3452794145343899E-5</v>
      </c>
      <c r="F38049" s="2">
        <v>2.8172891087867698E-4</v>
      </c>
    </row>
    <row r="38050" spans="1:6" x14ac:dyDescent="0.25">
      <c r="A38050" s="1" t="str">
        <f t="shared" si="1363"/>
        <v>47900</v>
      </c>
      <c r="B38050" s="1" t="str">
        <f>"20544"</f>
        <v>20544</v>
      </c>
      <c r="C38050" s="2">
        <v>0</v>
      </c>
      <c r="D38050" s="2">
        <v>2.08998645688775E-5</v>
      </c>
      <c r="E38050" s="2">
        <v>6.7263970726719903E-6</v>
      </c>
      <c r="F38050" s="2">
        <v>1.9385016803578701E-6</v>
      </c>
    </row>
    <row r="38051" spans="1:6" x14ac:dyDescent="0.25">
      <c r="A38051" s="1" t="str">
        <f t="shared" si="1363"/>
        <v>47900</v>
      </c>
      <c r="B38051" s="1" t="str">
        <f>"22743"</f>
        <v>22743</v>
      </c>
      <c r="C38051" s="2">
        <v>6.0577629863294001E-5</v>
      </c>
      <c r="D38051" s="2">
        <v>4.1799729137755096E-6</v>
      </c>
      <c r="E38051" s="2">
        <v>0</v>
      </c>
      <c r="F38051" s="2">
        <v>5.3308796209841499E-5</v>
      </c>
    </row>
    <row r="38052" spans="1:6" x14ac:dyDescent="0.25">
      <c r="A38052" s="1" t="str">
        <f t="shared" si="1363"/>
        <v>47900</v>
      </c>
      <c r="B38052" s="1" t="str">
        <f>"20623"</f>
        <v>20623</v>
      </c>
      <c r="C38052" s="2">
        <v>5.1749548438094397E-4</v>
      </c>
      <c r="D38052" s="2">
        <v>9.990135263923481E-4</v>
      </c>
      <c r="E38052" s="2">
        <v>4.0358382436031901E-5</v>
      </c>
      <c r="F38052" s="2">
        <v>5.3179562764484305E-4</v>
      </c>
    </row>
    <row r="38053" spans="1:6" x14ac:dyDescent="0.25">
      <c r="A38053" s="1" t="str">
        <f t="shared" si="1363"/>
        <v>47900</v>
      </c>
      <c r="B38053" s="1" t="str">
        <f>"20062"</f>
        <v>20062</v>
      </c>
      <c r="C38053" s="2">
        <v>0</v>
      </c>
      <c r="D38053" s="2">
        <v>4.1799729137755096E-6</v>
      </c>
      <c r="E38053" s="2">
        <v>0</v>
      </c>
      <c r="F38053" s="2">
        <v>3.2308361339297801E-7</v>
      </c>
    </row>
    <row r="38054" spans="1:6" x14ac:dyDescent="0.25">
      <c r="A38054" s="1" t="str">
        <f t="shared" si="1363"/>
        <v>47900</v>
      </c>
      <c r="B38054" s="1" t="str">
        <f>"20632"</f>
        <v>20632</v>
      </c>
      <c r="C38054" s="2">
        <v>5.7991999320348498E-5</v>
      </c>
      <c r="D38054" s="2">
        <v>2.9259810396428598E-5</v>
      </c>
      <c r="E38054" s="2">
        <v>1.3452794145343899E-5</v>
      </c>
      <c r="F38054" s="2">
        <v>5.3631879823234398E-5</v>
      </c>
    </row>
    <row r="38055" spans="1:6" x14ac:dyDescent="0.25">
      <c r="A38055" s="1" t="str">
        <f t="shared" si="1363"/>
        <v>47900</v>
      </c>
      <c r="B38055" s="1" t="str">
        <f>"20838"</f>
        <v>20838</v>
      </c>
      <c r="C38055" s="2">
        <v>2.6964432805002799E-5</v>
      </c>
      <c r="D38055" s="2">
        <v>4.1799729137755096E-6</v>
      </c>
      <c r="E38055" s="2">
        <v>1.3452794145343899E-5</v>
      </c>
      <c r="F38055" s="2">
        <v>2.45543546178663E-5</v>
      </c>
    </row>
    <row r="38056" spans="1:6" x14ac:dyDescent="0.25">
      <c r="A38056" s="1" t="str">
        <f t="shared" si="1363"/>
        <v>47900</v>
      </c>
      <c r="B38056" s="1" t="str">
        <f>"20849"</f>
        <v>20849</v>
      </c>
      <c r="C38056" s="2">
        <v>5.3965803189190496E-4</v>
      </c>
      <c r="D38056" s="2">
        <v>1.9060676486816299E-3</v>
      </c>
      <c r="E38056" s="2">
        <v>1.3452794145343899E-5</v>
      </c>
      <c r="F38056" s="2">
        <v>6.1999745410112601E-4</v>
      </c>
    </row>
    <row r="38057" spans="1:6" x14ac:dyDescent="0.25">
      <c r="A38057" s="1" t="str">
        <f t="shared" si="1363"/>
        <v>47900</v>
      </c>
      <c r="B38057" s="1" t="str">
        <f>"20773"</f>
        <v>20773</v>
      </c>
      <c r="C38057" s="2">
        <v>6.0725380180033704E-4</v>
      </c>
      <c r="D38057" s="2">
        <v>1.5633098697520401E-3</v>
      </c>
      <c r="E38057" s="2">
        <v>1.3452794145343899E-5</v>
      </c>
      <c r="F38057" s="2">
        <v>6.52628899053817E-4</v>
      </c>
    </row>
    <row r="38058" spans="1:6" x14ac:dyDescent="0.25">
      <c r="A38058" s="1" t="str">
        <f t="shared" si="1363"/>
        <v>47900</v>
      </c>
      <c r="B38058" s="1" t="str">
        <f>"20738"</f>
        <v>20738</v>
      </c>
      <c r="C38058" s="2">
        <v>2.0094043076604801E-4</v>
      </c>
      <c r="D38058" s="2">
        <v>4.0963734554999999E-4</v>
      </c>
      <c r="E38058" s="2">
        <v>1.3452794145343899E-5</v>
      </c>
      <c r="F38058" s="2">
        <v>2.0806584702507799E-4</v>
      </c>
    </row>
    <row r="38059" spans="1:6" x14ac:dyDescent="0.25">
      <c r="A38059" s="1" t="str">
        <f t="shared" si="1363"/>
        <v>47900</v>
      </c>
      <c r="B38059" s="1" t="str">
        <f>"21757"</f>
        <v>21757</v>
      </c>
      <c r="C38059" s="2">
        <v>2.3085986990584601E-4</v>
      </c>
      <c r="D38059" s="2">
        <v>3.3439783310204097E-5</v>
      </c>
      <c r="E38059" s="2">
        <v>2.69055882906879E-5</v>
      </c>
      <c r="F38059" s="2">
        <v>2.0580426173132701E-4</v>
      </c>
    </row>
    <row r="38060" spans="1:6" x14ac:dyDescent="0.25">
      <c r="A38060" s="1" t="str">
        <f t="shared" si="1363"/>
        <v>47900</v>
      </c>
      <c r="B38060" s="1" t="str">
        <f>"22210"</f>
        <v>22210</v>
      </c>
      <c r="C38060" s="2">
        <v>3.7787143506188799E-4</v>
      </c>
      <c r="D38060" s="2">
        <v>1.01155344513367E-3</v>
      </c>
      <c r="E38060" s="2">
        <v>1.3452794145343899E-5</v>
      </c>
      <c r="F38060" s="2">
        <v>4.0934693816890399E-4</v>
      </c>
    </row>
    <row r="38061" spans="1:6" x14ac:dyDescent="0.25">
      <c r="A38061" s="1" t="str">
        <f t="shared" si="1363"/>
        <v>47900</v>
      </c>
      <c r="B38061" s="1" t="str">
        <f>"22720"</f>
        <v>22720</v>
      </c>
      <c r="C38061" s="2">
        <v>1.3814654615165801E-4</v>
      </c>
      <c r="D38061" s="2">
        <v>3.3439783310204097E-5</v>
      </c>
      <c r="E38061" s="2">
        <v>0</v>
      </c>
      <c r="F38061" s="2">
        <v>1.23417940316117E-4</v>
      </c>
    </row>
    <row r="38062" spans="1:6" x14ac:dyDescent="0.25">
      <c r="A38062" s="1" t="str">
        <f t="shared" si="1363"/>
        <v>47900</v>
      </c>
      <c r="B38062" s="1" t="str">
        <f>"22715"</f>
        <v>22715</v>
      </c>
      <c r="C38062" s="2">
        <v>2.9032937239359201E-4</v>
      </c>
      <c r="D38062" s="2">
        <v>2.08998645688775E-5</v>
      </c>
      <c r="E38062" s="2">
        <v>0</v>
      </c>
      <c r="F38062" s="2">
        <v>2.55559138193846E-4</v>
      </c>
    </row>
    <row r="38063" spans="1:6" x14ac:dyDescent="0.25">
      <c r="A38063" s="1" t="str">
        <f t="shared" si="1363"/>
        <v>47900</v>
      </c>
      <c r="B38063" s="1" t="str">
        <f>"22407"</f>
        <v>22407</v>
      </c>
      <c r="C38063" s="2">
        <v>8.57542838357459E-3</v>
      </c>
      <c r="D38063" s="2">
        <v>7.48633148857195E-3</v>
      </c>
      <c r="E38063" s="2">
        <v>3.2824817714639299E-3</v>
      </c>
      <c r="F38063" s="2">
        <v>8.2370167234539892E-3</v>
      </c>
    </row>
    <row r="38064" spans="1:6" x14ac:dyDescent="0.25">
      <c r="A38064" s="1" t="str">
        <f t="shared" si="1363"/>
        <v>47900</v>
      </c>
      <c r="B38064" s="1" t="str">
        <f>"22728"</f>
        <v>22728</v>
      </c>
      <c r="C38064" s="2">
        <v>4.5765660610134898E-4</v>
      </c>
      <c r="D38064" s="2">
        <v>7.9419485361734805E-5</v>
      </c>
      <c r="E38064" s="2">
        <v>2.01791912180159E-5</v>
      </c>
      <c r="F38064" s="2">
        <v>4.0740843648854599E-4</v>
      </c>
    </row>
    <row r="38065" spans="1:6" x14ac:dyDescent="0.25">
      <c r="A38065" s="1" t="str">
        <f t="shared" si="1363"/>
        <v>47900</v>
      </c>
      <c r="B38065" s="1" t="str">
        <f>"22737"</f>
        <v>22737</v>
      </c>
      <c r="C38065" s="2">
        <v>4.7317038935902199E-4</v>
      </c>
      <c r="D38065" s="2">
        <v>3.3439783310204097E-5</v>
      </c>
      <c r="E38065" s="2">
        <v>2.69055882906879E-5</v>
      </c>
      <c r="F38065" s="2">
        <v>4.1774711211712098E-4</v>
      </c>
    </row>
    <row r="38066" spans="1:6" x14ac:dyDescent="0.25">
      <c r="A38066" s="1" t="str">
        <f t="shared" si="1363"/>
        <v>47900</v>
      </c>
      <c r="B38066" s="1" t="str">
        <f>"22738"</f>
        <v>22738</v>
      </c>
      <c r="C38066" s="2">
        <v>2.6964432805002799E-4</v>
      </c>
      <c r="D38066" s="2">
        <v>5.8519620792857197E-5</v>
      </c>
      <c r="E38066" s="2">
        <v>1.3452794145343899E-5</v>
      </c>
      <c r="F38066" s="2">
        <v>2.4102037559116201E-4</v>
      </c>
    </row>
    <row r="38067" spans="1:6" x14ac:dyDescent="0.25">
      <c r="A38067" s="1" t="str">
        <f t="shared" si="1363"/>
        <v>47900</v>
      </c>
      <c r="B38067" s="1" t="str">
        <f>"22733"</f>
        <v>22733</v>
      </c>
      <c r="C38067" s="2">
        <v>1.3075903031467101E-4</v>
      </c>
      <c r="D38067" s="2">
        <v>7.9419485361734805E-5</v>
      </c>
      <c r="E38067" s="2">
        <v>1.3452794145343899E-5</v>
      </c>
      <c r="F38067" s="2">
        <v>1.21156355022367E-4</v>
      </c>
    </row>
    <row r="38068" spans="1:6" x14ac:dyDescent="0.25">
      <c r="A38068" s="1" t="str">
        <f t="shared" si="1363"/>
        <v>47900</v>
      </c>
      <c r="B38068" s="1" t="str">
        <f>"22611"</f>
        <v>22611</v>
      </c>
      <c r="C38068" s="2">
        <v>1.41470928278302E-3</v>
      </c>
      <c r="D38068" s="2">
        <v>1.43791068233877E-3</v>
      </c>
      <c r="E38068" s="2">
        <v>6.5918691312185501E-4</v>
      </c>
      <c r="F38068" s="2">
        <v>1.3802131964147999E-3</v>
      </c>
    </row>
    <row r="38069" spans="1:6" x14ac:dyDescent="0.25">
      <c r="A38069" s="1" t="str">
        <f t="shared" si="1363"/>
        <v>47900</v>
      </c>
      <c r="B38069" s="1" t="str">
        <f>"21713"</f>
        <v>21713</v>
      </c>
      <c r="C38069" s="2">
        <v>1.4775031673974101E-6</v>
      </c>
      <c r="D38069" s="2">
        <v>0</v>
      </c>
      <c r="E38069" s="2">
        <v>0</v>
      </c>
      <c r="F38069" s="2">
        <v>1.2923344535719099E-6</v>
      </c>
    </row>
    <row r="38070" spans="1:6" x14ac:dyDescent="0.25">
      <c r="A38070" s="1" t="str">
        <f t="shared" si="1363"/>
        <v>47900</v>
      </c>
      <c r="B38070" s="1" t="str">
        <f>"20104"</f>
        <v>20104</v>
      </c>
      <c r="C38070" s="2">
        <v>0</v>
      </c>
      <c r="D38070" s="2">
        <v>4.1799729137755096E-6</v>
      </c>
      <c r="E38070" s="2">
        <v>0</v>
      </c>
      <c r="F38070" s="2">
        <v>3.2308361339297801E-7</v>
      </c>
    </row>
    <row r="38071" spans="1:6" x14ac:dyDescent="0.25">
      <c r="A38071" s="1" t="str">
        <f t="shared" si="1363"/>
        <v>47900</v>
      </c>
      <c r="B38071" s="1" t="str">
        <f>"20415"</f>
        <v>20415</v>
      </c>
      <c r="C38071" s="2">
        <v>0</v>
      </c>
      <c r="D38071" s="2">
        <v>4.1799729137755096E-6</v>
      </c>
      <c r="E38071" s="2">
        <v>0</v>
      </c>
      <c r="F38071" s="2">
        <v>3.2308361339297801E-7</v>
      </c>
    </row>
    <row r="38072" spans="1:6" x14ac:dyDescent="0.25">
      <c r="A38072" s="1" t="str">
        <f t="shared" si="1363"/>
        <v>47900</v>
      </c>
      <c r="B38072" s="1" t="str">
        <f>"20661"</f>
        <v>20661</v>
      </c>
      <c r="C38072" s="2">
        <v>0</v>
      </c>
      <c r="D38072" s="2">
        <v>0</v>
      </c>
      <c r="E38072" s="2">
        <v>6.7263970726719903E-6</v>
      </c>
      <c r="F38072" s="2">
        <v>3.2308361339297801E-7</v>
      </c>
    </row>
    <row r="38073" spans="1:6" x14ac:dyDescent="0.25">
      <c r="A38073" s="1" t="str">
        <f t="shared" si="1363"/>
        <v>47900</v>
      </c>
      <c r="B38073" s="1" t="str">
        <f>"20428"</f>
        <v>20428</v>
      </c>
      <c r="C38073" s="2">
        <v>0</v>
      </c>
      <c r="D38073" s="2">
        <v>4.1799729137755096E-6</v>
      </c>
      <c r="E38073" s="2">
        <v>0</v>
      </c>
      <c r="F38073" s="2">
        <v>3.2308361339297801E-7</v>
      </c>
    </row>
    <row r="38074" spans="1:6" x14ac:dyDescent="0.25">
      <c r="A38074" s="1" t="str">
        <f t="shared" si="1363"/>
        <v>47900</v>
      </c>
      <c r="B38074" s="1" t="str">
        <f>"20053"</f>
        <v>20053</v>
      </c>
      <c r="C38074" s="2">
        <v>0</v>
      </c>
      <c r="D38074" s="2">
        <v>4.1799729137755096E-6</v>
      </c>
      <c r="E38074" s="2">
        <v>0</v>
      </c>
      <c r="F38074" s="2">
        <v>3.2308361339297801E-7</v>
      </c>
    </row>
    <row r="38075" spans="1:6" x14ac:dyDescent="0.25">
      <c r="A38075" s="1" t="str">
        <f t="shared" si="1363"/>
        <v>47900</v>
      </c>
      <c r="B38075" s="1" t="str">
        <f>"25423"</f>
        <v>25423</v>
      </c>
      <c r="C38075" s="2">
        <v>0</v>
      </c>
      <c r="D38075" s="2">
        <v>0</v>
      </c>
      <c r="E38075" s="2">
        <v>6.7263970726719903E-6</v>
      </c>
      <c r="F38075" s="2">
        <v>3.2308361339297801E-7</v>
      </c>
    </row>
    <row r="38076" spans="1:6" x14ac:dyDescent="0.25">
      <c r="A38076" s="1" t="str">
        <f t="shared" si="1363"/>
        <v>47900</v>
      </c>
      <c r="B38076" s="1" t="str">
        <f>"22989"</f>
        <v>22989</v>
      </c>
      <c r="C38076" s="2">
        <v>0</v>
      </c>
      <c r="D38076" s="2">
        <v>4.1799729137755096E-6</v>
      </c>
      <c r="E38076" s="2">
        <v>0</v>
      </c>
      <c r="F38076" s="2">
        <v>3.2308361339297801E-7</v>
      </c>
    </row>
    <row r="38077" spans="1:6" x14ac:dyDescent="0.25">
      <c r="A38077" s="1" t="str">
        <f t="shared" si="1363"/>
        <v>47900</v>
      </c>
      <c r="B38077" s="1" t="str">
        <f>"20463"</f>
        <v>20463</v>
      </c>
      <c r="C38077" s="2">
        <v>0</v>
      </c>
      <c r="D38077" s="2">
        <v>4.1799729137755096E-6</v>
      </c>
      <c r="E38077" s="2">
        <v>0</v>
      </c>
      <c r="F38077" s="2">
        <v>3.2308361339297801E-7</v>
      </c>
    </row>
    <row r="38078" spans="1:6" x14ac:dyDescent="0.25">
      <c r="A38078" s="1" t="str">
        <f t="shared" si="1363"/>
        <v>47900</v>
      </c>
      <c r="B38078" s="1" t="str">
        <f>"20534"</f>
        <v>20534</v>
      </c>
      <c r="C38078" s="2">
        <v>0</v>
      </c>
      <c r="D38078" s="2">
        <v>1.2539918741326501E-5</v>
      </c>
      <c r="E38078" s="2">
        <v>0</v>
      </c>
      <c r="F38078" s="2">
        <v>9.6925084017893608E-7</v>
      </c>
    </row>
    <row r="38079" spans="1:6" x14ac:dyDescent="0.25">
      <c r="A38079" s="1" t="str">
        <f t="shared" si="1363"/>
        <v>47900</v>
      </c>
      <c r="B38079" s="1" t="str">
        <f>"25404"</f>
        <v>25404</v>
      </c>
      <c r="C38079" s="2">
        <v>7.3875158369870704E-7</v>
      </c>
      <c r="D38079" s="2">
        <v>0</v>
      </c>
      <c r="E38079" s="2">
        <v>0</v>
      </c>
      <c r="F38079" s="2">
        <v>6.4616722678595697E-7</v>
      </c>
    </row>
    <row r="38080" spans="1:6" x14ac:dyDescent="0.25">
      <c r="A38080" s="1" t="str">
        <f t="shared" si="1363"/>
        <v>47900</v>
      </c>
      <c r="B38080" s="1" t="str">
        <f>"20235"</f>
        <v>20235</v>
      </c>
      <c r="C38080" s="2">
        <v>0</v>
      </c>
      <c r="D38080" s="2">
        <v>4.1799729137755096E-6</v>
      </c>
      <c r="E38080" s="2">
        <v>0</v>
      </c>
      <c r="F38080" s="2">
        <v>3.2308361339297801E-7</v>
      </c>
    </row>
    <row r="38081" spans="1:6" x14ac:dyDescent="0.25">
      <c r="A38081" s="1" t="str">
        <f t="shared" si="1363"/>
        <v>47900</v>
      </c>
      <c r="B38081" s="1" t="str">
        <f>"20539"</f>
        <v>20539</v>
      </c>
      <c r="C38081" s="2">
        <v>0</v>
      </c>
      <c r="D38081" s="2">
        <v>4.1799729137755096E-6</v>
      </c>
      <c r="E38081" s="2">
        <v>0</v>
      </c>
      <c r="F38081" s="2">
        <v>3.2308361339297801E-7</v>
      </c>
    </row>
    <row r="38082" spans="1:6" x14ac:dyDescent="0.25">
      <c r="A38082" s="1" t="str">
        <f t="shared" si="1363"/>
        <v>47900</v>
      </c>
      <c r="B38082" s="1" t="str">
        <f>"21797"</f>
        <v>21797</v>
      </c>
      <c r="C38082" s="2">
        <v>4.0631337103428897E-6</v>
      </c>
      <c r="D38082" s="2">
        <v>0</v>
      </c>
      <c r="E38082" s="2">
        <v>0</v>
      </c>
      <c r="F38082" s="2">
        <v>3.5539197473227599E-6</v>
      </c>
    </row>
    <row r="38083" spans="1:6" x14ac:dyDescent="0.25">
      <c r="A38083" s="1" t="str">
        <f t="shared" si="1363"/>
        <v>47900</v>
      </c>
      <c r="B38083" s="1" t="str">
        <f>"20380"</f>
        <v>20380</v>
      </c>
      <c r="C38083" s="2">
        <v>0</v>
      </c>
      <c r="D38083" s="2">
        <v>4.1799729137755096E-6</v>
      </c>
      <c r="E38083" s="2">
        <v>6.7263970726719903E-6</v>
      </c>
      <c r="F38083" s="2">
        <v>6.4616722678595697E-7</v>
      </c>
    </row>
    <row r="38084" spans="1:6" x14ac:dyDescent="0.25">
      <c r="A38084" s="1" t="str">
        <f t="shared" ref="A38084:A38147" si="1364">"47900"</f>
        <v>47900</v>
      </c>
      <c r="B38084" s="1" t="str">
        <f>"20268"</f>
        <v>20268</v>
      </c>
      <c r="C38084" s="2">
        <v>0</v>
      </c>
      <c r="D38084" s="2">
        <v>4.1799729137755096E-6</v>
      </c>
      <c r="E38084" s="2">
        <v>0</v>
      </c>
      <c r="F38084" s="2">
        <v>3.2308361339297801E-7</v>
      </c>
    </row>
    <row r="38085" spans="1:6" x14ac:dyDescent="0.25">
      <c r="A38085" s="1" t="str">
        <f t="shared" si="1364"/>
        <v>47900</v>
      </c>
      <c r="B38085" s="1" t="str">
        <f>"21762"</f>
        <v>21762</v>
      </c>
      <c r="C38085" s="2">
        <v>0</v>
      </c>
      <c r="D38085" s="2">
        <v>8.3599458275510293E-6</v>
      </c>
      <c r="E38085" s="2">
        <v>0</v>
      </c>
      <c r="F38085" s="2">
        <v>6.4616722678595697E-7</v>
      </c>
    </row>
    <row r="38086" spans="1:6" x14ac:dyDescent="0.25">
      <c r="A38086" s="1" t="str">
        <f t="shared" si="1364"/>
        <v>47900</v>
      </c>
      <c r="B38086" s="1" t="str">
        <f>"20508"</f>
        <v>20508</v>
      </c>
      <c r="C38086" s="2">
        <v>0</v>
      </c>
      <c r="D38086" s="2">
        <v>4.1799729137755096E-6</v>
      </c>
      <c r="E38086" s="2">
        <v>0</v>
      </c>
      <c r="F38086" s="2">
        <v>3.2308361339297801E-7</v>
      </c>
    </row>
    <row r="38087" spans="1:6" x14ac:dyDescent="0.25">
      <c r="A38087" s="1" t="str">
        <f t="shared" si="1364"/>
        <v>47900</v>
      </c>
      <c r="B38087" s="1" t="str">
        <f>"22333"</f>
        <v>22333</v>
      </c>
      <c r="C38087" s="2">
        <v>0</v>
      </c>
      <c r="D38087" s="2">
        <v>4.1799729137755096E-6</v>
      </c>
      <c r="E38087" s="2">
        <v>0</v>
      </c>
      <c r="F38087" s="2">
        <v>3.2308361339297801E-7</v>
      </c>
    </row>
    <row r="38088" spans="1:6" x14ac:dyDescent="0.25">
      <c r="A38088" s="1" t="str">
        <f t="shared" si="1364"/>
        <v>47900</v>
      </c>
      <c r="B38088" s="1" t="str">
        <f>"25438"</f>
        <v>25438</v>
      </c>
      <c r="C38088" s="2">
        <v>1.55027019839173E-3</v>
      </c>
      <c r="D38088" s="2">
        <v>1.4253707635974501E-3</v>
      </c>
      <c r="E38088" s="2">
        <v>1.0560443404095E-3</v>
      </c>
      <c r="F38088" s="2">
        <v>1.5168775648800299E-3</v>
      </c>
    </row>
    <row r="38089" spans="1:6" x14ac:dyDescent="0.25">
      <c r="A38089" s="1" t="str">
        <f t="shared" si="1364"/>
        <v>47900</v>
      </c>
      <c r="B38089" s="1" t="str">
        <f>"20016"</f>
        <v>20016</v>
      </c>
      <c r="C38089" s="2">
        <v>6.4980589302138297E-3</v>
      </c>
      <c r="D38089" s="2">
        <v>5.6513233794245003E-3</v>
      </c>
      <c r="E38089" s="2">
        <v>5.2398633196114796E-3</v>
      </c>
      <c r="F38089" s="2">
        <v>6.37217810694972E-3</v>
      </c>
    </row>
    <row r="38090" spans="1:6" x14ac:dyDescent="0.25">
      <c r="A38090" s="1" t="str">
        <f t="shared" si="1364"/>
        <v>47900</v>
      </c>
      <c r="B38090" s="1" t="str">
        <f>"20009"</f>
        <v>20009</v>
      </c>
      <c r="C38090" s="2">
        <v>1.23729808995778E-2</v>
      </c>
      <c r="D38090" s="2">
        <v>8.79884298349746E-3</v>
      </c>
      <c r="E38090" s="2">
        <v>2.8795705868108801E-2</v>
      </c>
      <c r="F38090" s="2">
        <v>1.2885543752952099E-2</v>
      </c>
    </row>
    <row r="38091" spans="1:6" x14ac:dyDescent="0.25">
      <c r="A38091" s="1" t="str">
        <f t="shared" si="1364"/>
        <v>47900</v>
      </c>
      <c r="B38091" s="1" t="str">
        <f>"20010"</f>
        <v>20010</v>
      </c>
      <c r="C38091" s="2">
        <v>5.8767688483232104E-3</v>
      </c>
      <c r="D38091" s="2">
        <v>3.8037753515357199E-3</v>
      </c>
      <c r="E38091" s="2">
        <v>1.15155917884144E-2</v>
      </c>
      <c r="F38091" s="2">
        <v>5.9873855233986799E-3</v>
      </c>
    </row>
    <row r="38092" spans="1:6" x14ac:dyDescent="0.25">
      <c r="A38092" s="1" t="str">
        <f t="shared" si="1364"/>
        <v>47900</v>
      </c>
      <c r="B38092" s="1" t="str">
        <f>"20706"</f>
        <v>20706</v>
      </c>
      <c r="C38092" s="2">
        <v>5.4545723182393997E-3</v>
      </c>
      <c r="D38092" s="2">
        <v>6.5750973933688898E-3</v>
      </c>
      <c r="E38092" s="2">
        <v>5.8855974385879899E-3</v>
      </c>
      <c r="F38092" s="2">
        <v>5.5618844045601298E-3</v>
      </c>
    </row>
    <row r="38093" spans="1:6" x14ac:dyDescent="0.25">
      <c r="A38093" s="1" t="str">
        <f t="shared" si="1364"/>
        <v>47900</v>
      </c>
      <c r="B38093" s="1" t="str">
        <f>"20735"</f>
        <v>20735</v>
      </c>
      <c r="C38093" s="2">
        <v>5.6547739974217503E-3</v>
      </c>
      <c r="D38093" s="2">
        <v>7.2104532762627604E-3</v>
      </c>
      <c r="E38093" s="2">
        <v>7.9371485457529502E-4</v>
      </c>
      <c r="F38093" s="2">
        <v>5.54153013691637E-3</v>
      </c>
    </row>
    <row r="38094" spans="1:6" x14ac:dyDescent="0.25">
      <c r="A38094" s="1" t="str">
        <f t="shared" si="1364"/>
        <v>47900</v>
      </c>
      <c r="B38094" s="1" t="str">
        <f>"20722"</f>
        <v>20722</v>
      </c>
      <c r="C38094" s="2">
        <v>7.9378857668426102E-4</v>
      </c>
      <c r="D38094" s="2">
        <v>1.1578524971158099E-3</v>
      </c>
      <c r="E38094" s="2">
        <v>6.3228132483116701E-4</v>
      </c>
      <c r="F38094" s="2">
        <v>8.1417070575030598E-4</v>
      </c>
    </row>
    <row r="38095" spans="1:6" x14ac:dyDescent="0.25">
      <c r="A38095" s="1" t="str">
        <f t="shared" si="1364"/>
        <v>47900</v>
      </c>
      <c r="B38095" s="1" t="str">
        <f>"20617"</f>
        <v>20617</v>
      </c>
      <c r="C38095" s="2">
        <v>1.2447964185323201E-4</v>
      </c>
      <c r="D38095" s="2">
        <v>2.50798374826531E-5</v>
      </c>
      <c r="E38095" s="2">
        <v>1.3452794145343899E-5</v>
      </c>
      <c r="F38095" s="2">
        <v>1.11463846620577E-4</v>
      </c>
    </row>
    <row r="38096" spans="1:6" x14ac:dyDescent="0.25">
      <c r="A38096" s="1" t="str">
        <f t="shared" si="1364"/>
        <v>47900</v>
      </c>
      <c r="B38096" s="1" t="str">
        <f>"20613"</f>
        <v>20613</v>
      </c>
      <c r="C38096" s="2">
        <v>2.2535617060729001E-3</v>
      </c>
      <c r="D38096" s="2">
        <v>1.0909729304954101E-3</v>
      </c>
      <c r="E38096" s="2">
        <v>3.0941426534291099E-4</v>
      </c>
      <c r="F38096" s="2">
        <v>2.0703197946221998E-3</v>
      </c>
    </row>
    <row r="38097" spans="1:6" x14ac:dyDescent="0.25">
      <c r="A38097" s="1" t="str">
        <f t="shared" si="1364"/>
        <v>47900</v>
      </c>
      <c r="B38097" s="1" t="str">
        <f>"20622"</f>
        <v>20622</v>
      </c>
      <c r="C38097" s="2">
        <v>4.1776402058161898E-4</v>
      </c>
      <c r="D38097" s="2">
        <v>2.9259810396428598E-5</v>
      </c>
      <c r="E38097" s="2">
        <v>4.0358382436031901E-5</v>
      </c>
      <c r="F38097" s="2">
        <v>3.6960765372156699E-4</v>
      </c>
    </row>
    <row r="38098" spans="1:6" x14ac:dyDescent="0.25">
      <c r="A38098" s="1" t="str">
        <f t="shared" si="1364"/>
        <v>47900</v>
      </c>
      <c r="B38098" s="1" t="str">
        <f>"20645"</f>
        <v>20645</v>
      </c>
      <c r="C38098" s="2">
        <v>1.2558776922878001E-4</v>
      </c>
      <c r="D38098" s="2">
        <v>2.50798374826531E-5</v>
      </c>
      <c r="E38098" s="2">
        <v>1.3452794145343899E-5</v>
      </c>
      <c r="F38098" s="2">
        <v>1.12433097460756E-4</v>
      </c>
    </row>
    <row r="38099" spans="1:6" x14ac:dyDescent="0.25">
      <c r="A38099" s="1" t="str">
        <f t="shared" si="1364"/>
        <v>47900</v>
      </c>
      <c r="B38099" s="1" t="str">
        <f>"20705"</f>
        <v>20705</v>
      </c>
      <c r="C38099" s="2">
        <v>3.7262629881762801E-3</v>
      </c>
      <c r="D38099" s="2">
        <v>7.6326305405540898E-3</v>
      </c>
      <c r="E38099" s="2">
        <v>5.5829095703177501E-3</v>
      </c>
      <c r="F38099" s="2">
        <v>4.11737756908012E-3</v>
      </c>
    </row>
    <row r="38100" spans="1:6" x14ac:dyDescent="0.25">
      <c r="A38100" s="1" t="str">
        <f t="shared" si="1364"/>
        <v>47900</v>
      </c>
      <c r="B38100" s="1" t="str">
        <f>"20319"</f>
        <v>20319</v>
      </c>
      <c r="C38100" s="2">
        <v>2.5856305429454699E-6</v>
      </c>
      <c r="D38100" s="2">
        <v>1.7973883529234699E-4</v>
      </c>
      <c r="E38100" s="2">
        <v>1.4798073559878301E-4</v>
      </c>
      <c r="F38100" s="2">
        <v>2.32620201642944E-5</v>
      </c>
    </row>
    <row r="38101" spans="1:6" x14ac:dyDescent="0.25">
      <c r="A38101" s="1" t="str">
        <f t="shared" si="1364"/>
        <v>47900</v>
      </c>
      <c r="B38101" s="1" t="str">
        <f>"20852"</f>
        <v>20852</v>
      </c>
      <c r="C38101" s="2">
        <v>8.6304653765601497E-3</v>
      </c>
      <c r="D38101" s="2">
        <v>1.44919660920597E-2</v>
      </c>
      <c r="E38101" s="2">
        <v>9.7734549465924008E-3</v>
      </c>
      <c r="F38101" s="2">
        <v>9.1384200048204006E-3</v>
      </c>
    </row>
    <row r="38102" spans="1:6" x14ac:dyDescent="0.25">
      <c r="A38102" s="1" t="str">
        <f t="shared" si="1364"/>
        <v>47900</v>
      </c>
      <c r="B38102" s="1" t="str">
        <f>"20832"</f>
        <v>20832</v>
      </c>
      <c r="C38102" s="2">
        <v>3.32696775718712E-3</v>
      </c>
      <c r="D38102" s="2">
        <v>2.16522596933571E-3</v>
      </c>
      <c r="E38102" s="2">
        <v>1.08294992870019E-3</v>
      </c>
      <c r="F38102" s="2">
        <v>3.1293878793243902E-3</v>
      </c>
    </row>
    <row r="38103" spans="1:6" x14ac:dyDescent="0.25">
      <c r="A38103" s="1" t="str">
        <f t="shared" si="1364"/>
        <v>47900</v>
      </c>
      <c r="B38103" s="1" t="str">
        <f>"20898"</f>
        <v>20898</v>
      </c>
      <c r="C38103" s="2">
        <v>4.18502772165317E-4</v>
      </c>
      <c r="D38103" s="2">
        <v>1.2372719824775499E-3</v>
      </c>
      <c r="E38103" s="2">
        <v>1.3452794145343899E-5</v>
      </c>
      <c r="F38103" s="2">
        <v>4.6233265076535201E-4</v>
      </c>
    </row>
    <row r="38104" spans="1:6" x14ac:dyDescent="0.25">
      <c r="A38104" s="1" t="str">
        <f t="shared" si="1364"/>
        <v>47900</v>
      </c>
      <c r="B38104" s="1" t="str">
        <f>"20914"</f>
        <v>20914</v>
      </c>
      <c r="C38104" s="2">
        <v>3.8895270881736897E-4</v>
      </c>
      <c r="D38104" s="2">
        <v>2.0356468090086698E-3</v>
      </c>
      <c r="E38104" s="2">
        <v>1.3452794145343899E-5</v>
      </c>
      <c r="F38104" s="2">
        <v>4.9819493185197295E-4</v>
      </c>
    </row>
    <row r="38105" spans="1:6" x14ac:dyDescent="0.25">
      <c r="A38105" s="1" t="str">
        <f t="shared" si="1364"/>
        <v>47900</v>
      </c>
      <c r="B38105" s="1" t="str">
        <f>"20876"</f>
        <v>20876</v>
      </c>
      <c r="C38105" s="2">
        <v>3.3413734130692502E-3</v>
      </c>
      <c r="D38105" s="2">
        <v>2.0189269173535702E-3</v>
      </c>
      <c r="E38105" s="2">
        <v>2.5291252993246598E-3</v>
      </c>
      <c r="F38105" s="2">
        <v>3.2001431906574498E-3</v>
      </c>
    </row>
    <row r="38106" spans="1:6" x14ac:dyDescent="0.25">
      <c r="A38106" s="1" t="str">
        <f t="shared" si="1364"/>
        <v>47900</v>
      </c>
      <c r="B38106" s="1" t="str">
        <f>"20529"</f>
        <v>20529</v>
      </c>
      <c r="C38106" s="2">
        <v>0</v>
      </c>
      <c r="D38106" s="2">
        <v>2.2571853734387799E-4</v>
      </c>
      <c r="E38106" s="2">
        <v>4.0358382436031901E-5</v>
      </c>
      <c r="F38106" s="2">
        <v>1.9385016803578699E-5</v>
      </c>
    </row>
    <row r="38107" spans="1:6" x14ac:dyDescent="0.25">
      <c r="A38107" s="1" t="str">
        <f t="shared" si="1364"/>
        <v>47900</v>
      </c>
      <c r="B38107" s="1" t="str">
        <f>"20330"</f>
        <v>20330</v>
      </c>
      <c r="C38107" s="2">
        <v>0</v>
      </c>
      <c r="D38107" s="2">
        <v>4.1799729137755096E-6</v>
      </c>
      <c r="E38107" s="2">
        <v>4.70847795087039E-4</v>
      </c>
      <c r="F38107" s="2">
        <v>2.2938936550901501E-5</v>
      </c>
    </row>
    <row r="38108" spans="1:6" x14ac:dyDescent="0.25">
      <c r="A38108" s="1" t="str">
        <f t="shared" si="1364"/>
        <v>47900</v>
      </c>
      <c r="B38108" s="1" t="str">
        <f>"20816"</f>
        <v>20816</v>
      </c>
      <c r="C38108" s="2">
        <v>2.4792503148928602E-3</v>
      </c>
      <c r="D38108" s="2">
        <v>1.4588105469076501E-3</v>
      </c>
      <c r="E38108" s="2">
        <v>1.0224123550461399E-3</v>
      </c>
      <c r="F38108" s="2">
        <v>2.3304021034035501E-3</v>
      </c>
    </row>
    <row r="38109" spans="1:6" x14ac:dyDescent="0.25">
      <c r="A38109" s="1" t="str">
        <f t="shared" si="1364"/>
        <v>47900</v>
      </c>
      <c r="B38109" s="1" t="str">
        <f>"20825"</f>
        <v>20825</v>
      </c>
      <c r="C38109" s="2">
        <v>2.6595057013153398E-4</v>
      </c>
      <c r="D38109" s="2">
        <v>4.8487685799795998E-4</v>
      </c>
      <c r="E38109" s="2">
        <v>1.3452794145343899E-5</v>
      </c>
      <c r="F38109" s="2">
        <v>2.7074406802331599E-4</v>
      </c>
    </row>
    <row r="38110" spans="1:6" x14ac:dyDescent="0.25">
      <c r="A38110" s="1" t="str">
        <f t="shared" si="1364"/>
        <v>47900</v>
      </c>
      <c r="B38110" s="1" t="str">
        <f>"20748"</f>
        <v>20748</v>
      </c>
      <c r="C38110" s="2">
        <v>6.30155100894997E-3</v>
      </c>
      <c r="D38110" s="2">
        <v>5.6555033523382698E-3</v>
      </c>
      <c r="E38110" s="2">
        <v>8.2062044286598298E-3</v>
      </c>
      <c r="F38110" s="2">
        <v>6.3431005817443497E-3</v>
      </c>
    </row>
    <row r="38111" spans="1:6" x14ac:dyDescent="0.25">
      <c r="A38111" s="1" t="str">
        <f t="shared" si="1364"/>
        <v>47900</v>
      </c>
      <c r="B38111" s="1" t="str">
        <f>"20754"</f>
        <v>20754</v>
      </c>
      <c r="C38111" s="2">
        <v>1.03831535088853E-3</v>
      </c>
      <c r="D38111" s="2">
        <v>1.9729472153020402E-3</v>
      </c>
      <c r="E38111" s="2">
        <v>3.8340463314230302E-4</v>
      </c>
      <c r="F38111" s="2">
        <v>1.0790992687325399E-3</v>
      </c>
    </row>
    <row r="38112" spans="1:6" x14ac:dyDescent="0.25">
      <c r="A38112" s="1" t="str">
        <f t="shared" si="1364"/>
        <v>47900</v>
      </c>
      <c r="B38112" s="1" t="str">
        <f>"20781"</f>
        <v>20781</v>
      </c>
      <c r="C38112" s="2">
        <v>1.75822876920292E-3</v>
      </c>
      <c r="D38112" s="2">
        <v>3.50281730174388E-3</v>
      </c>
      <c r="E38112" s="2">
        <v>2.8654451529582601E-3</v>
      </c>
      <c r="F38112" s="2">
        <v>1.9462556870793E-3</v>
      </c>
    </row>
    <row r="38113" spans="1:6" x14ac:dyDescent="0.25">
      <c r="A38113" s="1" t="str">
        <f t="shared" si="1364"/>
        <v>47900</v>
      </c>
      <c r="B38113" s="1" t="str">
        <f>"20737"</f>
        <v>20737</v>
      </c>
      <c r="C38113" s="2">
        <v>2.7429846302733001E-3</v>
      </c>
      <c r="D38113" s="2">
        <v>2.3867645337658202E-3</v>
      </c>
      <c r="E38113" s="2">
        <v>5.75779589420722E-3</v>
      </c>
      <c r="F38113" s="2">
        <v>2.8602592293680402E-3</v>
      </c>
    </row>
    <row r="38114" spans="1:6" x14ac:dyDescent="0.25">
      <c r="A38114" s="1" t="str">
        <f t="shared" si="1364"/>
        <v>47900</v>
      </c>
      <c r="B38114" s="1" t="str">
        <f>"20882"</f>
        <v>20882</v>
      </c>
      <c r="C38114" s="2">
        <v>1.7615531513295599E-3</v>
      </c>
      <c r="D38114" s="2">
        <v>3.6783761641224501E-4</v>
      </c>
      <c r="E38114" s="2">
        <v>1.2780154438076701E-4</v>
      </c>
      <c r="F38114" s="2">
        <v>1.5753556989041601E-3</v>
      </c>
    </row>
    <row r="38115" spans="1:6" x14ac:dyDescent="0.25">
      <c r="A38115" s="1" t="str">
        <f t="shared" si="1364"/>
        <v>47900</v>
      </c>
      <c r="B38115" s="1" t="str">
        <f>"20889"</f>
        <v>20889</v>
      </c>
      <c r="C38115" s="2">
        <v>0</v>
      </c>
      <c r="D38115" s="2">
        <v>8.2763463692755198E-4</v>
      </c>
      <c r="E38115" s="2">
        <v>1.3452794145343899E-5</v>
      </c>
      <c r="F38115" s="2">
        <v>6.4616722678595697E-5</v>
      </c>
    </row>
    <row r="38116" spans="1:6" x14ac:dyDescent="0.25">
      <c r="A38116" s="1" t="str">
        <f t="shared" si="1364"/>
        <v>47900</v>
      </c>
      <c r="B38116" s="1" t="str">
        <f>"20903"</f>
        <v>20903</v>
      </c>
      <c r="C38116" s="2">
        <v>2.6499019307272601E-3</v>
      </c>
      <c r="D38116" s="2">
        <v>1.1829323345984701E-3</v>
      </c>
      <c r="E38116" s="2">
        <v>4.2645357440740401E-3</v>
      </c>
      <c r="F38116" s="2">
        <v>2.61406951596259E-3</v>
      </c>
    </row>
    <row r="38117" spans="1:6" x14ac:dyDescent="0.25">
      <c r="A38117" s="1" t="str">
        <f t="shared" si="1364"/>
        <v>47900</v>
      </c>
      <c r="B38117" s="1" t="str">
        <f>"20910"</f>
        <v>20910</v>
      </c>
      <c r="C38117" s="2">
        <v>8.7527287636622805E-3</v>
      </c>
      <c r="D38117" s="2">
        <v>1.2418699526827E-2</v>
      </c>
      <c r="E38117" s="2">
        <v>9.2622487690693298E-3</v>
      </c>
      <c r="F38117" s="2">
        <v>9.0605568539926899E-3</v>
      </c>
    </row>
    <row r="38118" spans="1:6" x14ac:dyDescent="0.25">
      <c r="A38118" s="1" t="str">
        <f t="shared" si="1364"/>
        <v>47900</v>
      </c>
      <c r="B38118" s="1" t="str">
        <f>"20912"</f>
        <v>20912</v>
      </c>
      <c r="C38118" s="2">
        <v>3.9427172021999999E-3</v>
      </c>
      <c r="D38118" s="2">
        <v>2.8632814459362299E-3</v>
      </c>
      <c r="E38118" s="2">
        <v>8.0649500901337195E-3</v>
      </c>
      <c r="F38118" s="2">
        <v>4.05728401698902E-3</v>
      </c>
    </row>
    <row r="38119" spans="1:6" x14ac:dyDescent="0.25">
      <c r="A38119" s="1" t="str">
        <f t="shared" si="1364"/>
        <v>47900</v>
      </c>
      <c r="B38119" s="1" t="str">
        <f>"20916"</f>
        <v>20916</v>
      </c>
      <c r="C38119" s="2">
        <v>4.69107255648679E-4</v>
      </c>
      <c r="D38119" s="2">
        <v>6.7297563911785795E-4</v>
      </c>
      <c r="E38119" s="2">
        <v>2.69055882906879E-5</v>
      </c>
      <c r="F38119" s="2">
        <v>4.6362498521892401E-4</v>
      </c>
    </row>
    <row r="38120" spans="1:6" x14ac:dyDescent="0.25">
      <c r="A38120" s="1" t="str">
        <f t="shared" si="1364"/>
        <v>47900</v>
      </c>
      <c r="B38120" s="1" t="str">
        <f>"20854"</f>
        <v>20854</v>
      </c>
      <c r="C38120" s="2">
        <v>6.5867091202576698E-3</v>
      </c>
      <c r="D38120" s="2">
        <v>2.0774465381464299E-3</v>
      </c>
      <c r="E38120" s="2">
        <v>6.3228132483116701E-4</v>
      </c>
      <c r="F38120" s="2">
        <v>5.9521694095388397E-3</v>
      </c>
    </row>
    <row r="38121" spans="1:6" x14ac:dyDescent="0.25">
      <c r="A38121" s="1" t="str">
        <f t="shared" si="1364"/>
        <v>47900</v>
      </c>
      <c r="B38121" s="1" t="str">
        <f>"21755"</f>
        <v>21755</v>
      </c>
      <c r="C38121" s="2">
        <v>8.3220365903659396E-4</v>
      </c>
      <c r="D38121" s="2">
        <v>2.2571853734387799E-4</v>
      </c>
      <c r="E38121" s="2">
        <v>2.4215029461619101E-4</v>
      </c>
      <c r="F38121" s="2">
        <v>7.5698490617974901E-4</v>
      </c>
    </row>
    <row r="38122" spans="1:6" x14ac:dyDescent="0.25">
      <c r="A38122" s="1" t="str">
        <f t="shared" si="1364"/>
        <v>47900</v>
      </c>
      <c r="B38122" s="1" t="str">
        <f>"21771"</f>
        <v>21771</v>
      </c>
      <c r="C38122" s="2">
        <v>1.8671946277984801E-3</v>
      </c>
      <c r="D38122" s="2">
        <v>5.5175642461836795E-4</v>
      </c>
      <c r="E38122" s="2">
        <v>1.8161272096214301E-4</v>
      </c>
      <c r="F38122" s="2">
        <v>1.6845579602309899E-3</v>
      </c>
    </row>
    <row r="38123" spans="1:6" x14ac:dyDescent="0.25">
      <c r="A38123" s="1" t="str">
        <f t="shared" si="1364"/>
        <v>47900</v>
      </c>
      <c r="B38123" s="1" t="str">
        <f>"22030"</f>
        <v>22030</v>
      </c>
      <c r="C38123" s="2">
        <v>7.7225396801944299E-3</v>
      </c>
      <c r="D38123" s="2">
        <v>1.22556805831898E-2</v>
      </c>
      <c r="E38123" s="2">
        <v>1.0008878844135901E-2</v>
      </c>
      <c r="F38123" s="2">
        <v>8.1827386764039695E-3</v>
      </c>
    </row>
    <row r="38124" spans="1:6" x14ac:dyDescent="0.25">
      <c r="A38124" s="1" t="str">
        <f t="shared" si="1364"/>
        <v>47900</v>
      </c>
      <c r="B38124" s="1" t="str">
        <f>"20165"</f>
        <v>20165</v>
      </c>
      <c r="C38124" s="2">
        <v>4.6020529906510904E-3</v>
      </c>
      <c r="D38124" s="2">
        <v>3.17677941446939E-3</v>
      </c>
      <c r="E38124" s="2">
        <v>2.6972852261414599E-3</v>
      </c>
      <c r="F38124" s="2">
        <v>4.4003988144123698E-3</v>
      </c>
    </row>
    <row r="38125" spans="1:6" x14ac:dyDescent="0.25">
      <c r="A38125" s="1" t="str">
        <f t="shared" si="1364"/>
        <v>47900</v>
      </c>
      <c r="B38125" s="1" t="str">
        <f>"20151"</f>
        <v>20151</v>
      </c>
      <c r="C38125" s="2">
        <v>2.53391793208656E-3</v>
      </c>
      <c r="D38125" s="2">
        <v>1.05168118510592E-2</v>
      </c>
      <c r="E38125" s="2">
        <v>3.5918960368068399E-3</v>
      </c>
      <c r="F38125" s="2">
        <v>3.2017586087244201E-3</v>
      </c>
    </row>
    <row r="38126" spans="1:6" x14ac:dyDescent="0.25">
      <c r="A38126" s="1" t="str">
        <f t="shared" si="1364"/>
        <v>47900</v>
      </c>
      <c r="B38126" s="1" t="str">
        <f>"20190"</f>
        <v>20190</v>
      </c>
      <c r="C38126" s="2">
        <v>4.2843898096606497E-3</v>
      </c>
      <c r="D38126" s="2">
        <v>6.2699593706632703E-3</v>
      </c>
      <c r="E38126" s="2">
        <v>8.4819867086393802E-3</v>
      </c>
      <c r="F38126" s="2">
        <v>4.6394806883231698E-3</v>
      </c>
    </row>
    <row r="38127" spans="1:6" x14ac:dyDescent="0.25">
      <c r="A38127" s="1" t="str">
        <f t="shared" si="1364"/>
        <v>47900</v>
      </c>
      <c r="B38127" s="1" t="str">
        <f>"20194"</f>
        <v>20194</v>
      </c>
      <c r="C38127" s="2">
        <v>2.1630646370698098E-3</v>
      </c>
      <c r="D38127" s="2">
        <v>2.7587821230918398E-4</v>
      </c>
      <c r="E38127" s="2">
        <v>2.0582775042376298E-3</v>
      </c>
      <c r="F38127" s="2">
        <v>2.0121647442114701E-3</v>
      </c>
    </row>
    <row r="38128" spans="1:6" x14ac:dyDescent="0.25">
      <c r="A38128" s="1" t="str">
        <f t="shared" si="1364"/>
        <v>47900</v>
      </c>
      <c r="B38128" s="1" t="str">
        <f>"20182"</f>
        <v>20182</v>
      </c>
      <c r="C38128" s="2">
        <v>1.8948978121871801E-4</v>
      </c>
      <c r="D38128" s="2">
        <v>3.8455750806734698E-4</v>
      </c>
      <c r="E38128" s="2">
        <v>1.3452794145343899E-5</v>
      </c>
      <c r="F38128" s="2">
        <v>1.96111753329538E-4</v>
      </c>
    </row>
    <row r="38129" spans="1:6" x14ac:dyDescent="0.25">
      <c r="A38129" s="1" t="str">
        <f t="shared" si="1364"/>
        <v>47900</v>
      </c>
      <c r="B38129" s="1" t="str">
        <f>"20136"</f>
        <v>20136</v>
      </c>
      <c r="C38129" s="2">
        <v>3.43593361578268E-3</v>
      </c>
      <c r="D38129" s="2">
        <v>9.4467387851326695E-4</v>
      </c>
      <c r="E38129" s="2">
        <v>8.0716764872063897E-5</v>
      </c>
      <c r="F38129" s="2">
        <v>3.0822176717690102E-3</v>
      </c>
    </row>
    <row r="38130" spans="1:6" x14ac:dyDescent="0.25">
      <c r="A38130" s="1" t="str">
        <f t="shared" si="1364"/>
        <v>47900</v>
      </c>
      <c r="B38130" s="1" t="str">
        <f>"20137"</f>
        <v>20137</v>
      </c>
      <c r="C38130" s="2">
        <v>2.8700499026694699E-4</v>
      </c>
      <c r="D38130" s="2">
        <v>8.3599458275510293E-6</v>
      </c>
      <c r="E38130" s="2">
        <v>6.7263970726719903E-6</v>
      </c>
      <c r="F38130" s="2">
        <v>2.5200521844652299E-4</v>
      </c>
    </row>
    <row r="38131" spans="1:6" x14ac:dyDescent="0.25">
      <c r="A38131" s="1" t="str">
        <f t="shared" si="1364"/>
        <v>47900</v>
      </c>
      <c r="B38131" s="1" t="str">
        <f>"22302"</f>
        <v>22302</v>
      </c>
      <c r="C38131" s="2">
        <v>3.89691460401068E-3</v>
      </c>
      <c r="D38131" s="2">
        <v>2.51216372117908E-3</v>
      </c>
      <c r="E38131" s="2">
        <v>2.37441816665321E-3</v>
      </c>
      <c r="F38131" s="2">
        <v>3.7167538884728202E-3</v>
      </c>
    </row>
    <row r="38132" spans="1:6" x14ac:dyDescent="0.25">
      <c r="A38132" s="1" t="str">
        <f t="shared" si="1364"/>
        <v>47900</v>
      </c>
      <c r="B38132" s="1" t="str">
        <f>"22304"</f>
        <v>22304</v>
      </c>
      <c r="C38132" s="2">
        <v>1.01685461738208E-2</v>
      </c>
      <c r="D38132" s="2">
        <v>7.99210821113879E-3</v>
      </c>
      <c r="E38132" s="2">
        <v>9.7667285495197306E-3</v>
      </c>
      <c r="F38132" s="2">
        <v>9.9810220685492904E-3</v>
      </c>
    </row>
    <row r="38133" spans="1:6" x14ac:dyDescent="0.25">
      <c r="A38133" s="1" t="str">
        <f t="shared" si="1364"/>
        <v>47900</v>
      </c>
      <c r="B38133" s="1" t="str">
        <f>"20189"</f>
        <v>20189</v>
      </c>
      <c r="C38133" s="2">
        <v>1.15042090371481E-2</v>
      </c>
      <c r="D38133" s="2">
        <v>0</v>
      </c>
      <c r="E38133" s="2">
        <v>7.3317728092124699E-4</v>
      </c>
      <c r="F38133" s="2">
        <v>1.0097655252984099E-2</v>
      </c>
    </row>
    <row r="38134" spans="1:6" x14ac:dyDescent="0.25">
      <c r="A38134" s="1" t="str">
        <f t="shared" si="1364"/>
        <v>47900</v>
      </c>
      <c r="B38134" s="1" t="str">
        <f>"22309"</f>
        <v>22309</v>
      </c>
      <c r="C38134" s="2">
        <v>4.6500718435915104E-3</v>
      </c>
      <c r="D38134" s="2">
        <v>2.7504221772642898E-3</v>
      </c>
      <c r="E38134" s="2">
        <v>4.6950251567250498E-3</v>
      </c>
      <c r="F38134" s="2">
        <v>4.5054009887650903E-3</v>
      </c>
    </row>
    <row r="38135" spans="1:6" x14ac:dyDescent="0.25">
      <c r="A38135" s="1" t="str">
        <f t="shared" si="1364"/>
        <v>47900</v>
      </c>
      <c r="B38135" s="1" t="str">
        <f>"22152"</f>
        <v>22152</v>
      </c>
      <c r="C38135" s="2">
        <v>4.16397330151776E-3</v>
      </c>
      <c r="D38135" s="2">
        <v>2.7964018793158198E-3</v>
      </c>
      <c r="E38135" s="2">
        <v>1.90357037156617E-3</v>
      </c>
      <c r="F38135" s="2">
        <v>3.9496971737291598E-3</v>
      </c>
    </row>
    <row r="38136" spans="1:6" x14ac:dyDescent="0.25">
      <c r="A38136" s="1" t="str">
        <f t="shared" si="1364"/>
        <v>47900</v>
      </c>
      <c r="B38136" s="1" t="str">
        <f>"22180"</f>
        <v>22180</v>
      </c>
      <c r="C38136" s="2">
        <v>3.7779755990351902E-3</v>
      </c>
      <c r="D38136" s="2">
        <v>4.7359093113076602E-3</v>
      </c>
      <c r="E38136" s="2">
        <v>3.49772647778943E-3</v>
      </c>
      <c r="F38136" s="2">
        <v>3.8385564107219802E-3</v>
      </c>
    </row>
    <row r="38137" spans="1:6" x14ac:dyDescent="0.25">
      <c r="A38137" s="1" t="str">
        <f t="shared" si="1364"/>
        <v>47900</v>
      </c>
      <c r="B38137" s="1" t="str">
        <f>"22219"</f>
        <v>22219</v>
      </c>
      <c r="C38137" s="2">
        <v>6.8482271808870099E-4</v>
      </c>
      <c r="D38137" s="2">
        <v>8.6525439315153203E-4</v>
      </c>
      <c r="E38137" s="2">
        <v>6.7263970726719903E-6</v>
      </c>
      <c r="F38137" s="2">
        <v>6.6619841081632205E-4</v>
      </c>
    </row>
    <row r="38138" spans="1:6" x14ac:dyDescent="0.25">
      <c r="A38138" s="1" t="str">
        <f t="shared" si="1364"/>
        <v>47900</v>
      </c>
      <c r="B38138" s="1" t="str">
        <f>"22043"</f>
        <v>22043</v>
      </c>
      <c r="C38138" s="2">
        <v>3.5840533083142702E-3</v>
      </c>
      <c r="D38138" s="2">
        <v>1.9729472153020402E-3</v>
      </c>
      <c r="E38138" s="2">
        <v>3.04033147684774E-3</v>
      </c>
      <c r="F38138" s="2">
        <v>3.4334095595271799E-3</v>
      </c>
    </row>
    <row r="38139" spans="1:6" x14ac:dyDescent="0.25">
      <c r="A38139" s="1" t="str">
        <f t="shared" si="1364"/>
        <v>47900</v>
      </c>
      <c r="B38139" s="1" t="str">
        <f>"22044"</f>
        <v>22044</v>
      </c>
      <c r="C38139" s="2">
        <v>2.5099085056163499E-3</v>
      </c>
      <c r="D38139" s="2">
        <v>2.8758213646775501E-3</v>
      </c>
      <c r="E38139" s="2">
        <v>4.2376301557833498E-3</v>
      </c>
      <c r="F38139" s="2">
        <v>2.6211773554572302E-3</v>
      </c>
    </row>
    <row r="38140" spans="1:6" x14ac:dyDescent="0.25">
      <c r="A38140" s="1" t="str">
        <f t="shared" si="1364"/>
        <v>47900</v>
      </c>
      <c r="B38140" s="1" t="str">
        <f>"22103"</f>
        <v>22103</v>
      </c>
      <c r="C38140" s="2">
        <v>2.5893243008639599E-4</v>
      </c>
      <c r="D38140" s="2">
        <v>7.10595395341838E-4</v>
      </c>
      <c r="E38140" s="2">
        <v>6.7263970726719903E-6</v>
      </c>
      <c r="F38140" s="2">
        <v>2.8172891087867698E-4</v>
      </c>
    </row>
    <row r="38141" spans="1:6" x14ac:dyDescent="0.25">
      <c r="A38141" s="1" t="str">
        <f t="shared" si="1364"/>
        <v>47900</v>
      </c>
      <c r="B38141" s="1" t="str">
        <f>"22554"</f>
        <v>22554</v>
      </c>
      <c r="C38141" s="2">
        <v>7.7085034001041601E-3</v>
      </c>
      <c r="D38141" s="2">
        <v>4.72336939256633E-3</v>
      </c>
      <c r="E38141" s="2">
        <v>3.6995183899695902E-3</v>
      </c>
      <c r="F38141" s="2">
        <v>7.2852123983982798E-3</v>
      </c>
    </row>
    <row r="38142" spans="1:6" x14ac:dyDescent="0.25">
      <c r="A38142" s="1" t="str">
        <f t="shared" si="1364"/>
        <v>47900</v>
      </c>
      <c r="B38142" s="1" t="str">
        <f>"22714"</f>
        <v>22714</v>
      </c>
      <c r="C38142" s="2">
        <v>1.4627281357234399E-4</v>
      </c>
      <c r="D38142" s="2">
        <v>2.1735859151632601E-4</v>
      </c>
      <c r="E38142" s="2">
        <v>2.69055882906879E-5</v>
      </c>
      <c r="F38142" s="2">
        <v>1.4603379325362601E-4</v>
      </c>
    </row>
    <row r="38143" spans="1:6" x14ac:dyDescent="0.25">
      <c r="A38143" s="1" t="str">
        <f t="shared" si="1364"/>
        <v>47900</v>
      </c>
      <c r="B38143" s="1" t="str">
        <f>"22645"</f>
        <v>22645</v>
      </c>
      <c r="C38143" s="2">
        <v>1.8210226538173101E-4</v>
      </c>
      <c r="D38143" s="2">
        <v>4.5979702051530701E-5</v>
      </c>
      <c r="E38143" s="2">
        <v>6.7263970726719903E-6</v>
      </c>
      <c r="F38143" s="2">
        <v>1.6315722476345401E-4</v>
      </c>
    </row>
    <row r="38144" spans="1:6" x14ac:dyDescent="0.25">
      <c r="A38144" s="1" t="str">
        <f t="shared" si="1364"/>
        <v>47900</v>
      </c>
      <c r="B38144" s="1" t="str">
        <f>"22404"</f>
        <v>22404</v>
      </c>
      <c r="C38144" s="2">
        <v>5.5886557306807202E-4</v>
      </c>
      <c r="D38144" s="2">
        <v>2.5999431523683701E-3</v>
      </c>
      <c r="E38144" s="2">
        <v>2.01791912180159E-5</v>
      </c>
      <c r="F38144" s="2">
        <v>6.9075276543418803E-4</v>
      </c>
    </row>
    <row r="38145" spans="1:6" x14ac:dyDescent="0.25">
      <c r="A38145" s="1" t="str">
        <f t="shared" si="1364"/>
        <v>47900</v>
      </c>
      <c r="B38145" s="1" t="str">
        <f>"25425"</f>
        <v>25425</v>
      </c>
      <c r="C38145" s="2">
        <v>2.5446298300501901E-3</v>
      </c>
      <c r="D38145" s="2">
        <v>7.8165493487602198E-4</v>
      </c>
      <c r="E38145" s="2">
        <v>3.9013103021497499E-4</v>
      </c>
      <c r="F38145" s="2">
        <v>2.3048784979455101E-3</v>
      </c>
    </row>
    <row r="38146" spans="1:6" x14ac:dyDescent="0.25">
      <c r="A38146" s="1" t="str">
        <f t="shared" si="1364"/>
        <v>47900</v>
      </c>
      <c r="B38146" s="1" t="str">
        <f>"20004"</f>
        <v>20004</v>
      </c>
      <c r="C38146" s="2">
        <v>6.0282129229814502E-4</v>
      </c>
      <c r="D38146" s="2">
        <v>5.6095236502867402E-3</v>
      </c>
      <c r="E38146" s="2">
        <v>1.04931794333683E-3</v>
      </c>
      <c r="F38146" s="2">
        <v>1.01125170992002E-3</v>
      </c>
    </row>
    <row r="38147" spans="1:6" x14ac:dyDescent="0.25">
      <c r="A38147" s="1" t="str">
        <f t="shared" si="1364"/>
        <v>47900</v>
      </c>
      <c r="B38147" s="1" t="str">
        <f>"20006"</f>
        <v>20006</v>
      </c>
      <c r="C38147" s="2">
        <v>3.4351948641989902E-4</v>
      </c>
      <c r="D38147" s="2">
        <v>1.0048654884716301E-2</v>
      </c>
      <c r="E38147" s="2">
        <v>1.6479672828046299E-3</v>
      </c>
      <c r="F38147" s="2">
        <v>1.15631625233347E-3</v>
      </c>
    </row>
    <row r="38148" spans="1:6" x14ac:dyDescent="0.25">
      <c r="A38148" s="1" t="str">
        <f t="shared" ref="A38148:A38159" si="1365">"47900"</f>
        <v>47900</v>
      </c>
      <c r="B38148" s="1" t="str">
        <f>"20712"</f>
        <v>20712</v>
      </c>
      <c r="C38148" s="2">
        <v>1.5465764404732399E-3</v>
      </c>
      <c r="D38148" s="2">
        <v>7.4403517865204204E-4</v>
      </c>
      <c r="E38148" s="2">
        <v>5.9125030268786802E-3</v>
      </c>
      <c r="F38148" s="2">
        <v>1.6942504686327799E-3</v>
      </c>
    </row>
    <row r="38149" spans="1:6" x14ac:dyDescent="0.25">
      <c r="A38149" s="1" t="str">
        <f t="shared" si="1365"/>
        <v>47900</v>
      </c>
      <c r="B38149" s="1" t="str">
        <f>"20715"</f>
        <v>20715</v>
      </c>
      <c r="C38149" s="2">
        <v>3.4580961632936502E-3</v>
      </c>
      <c r="D38149" s="2">
        <v>2.6208430169372501E-3</v>
      </c>
      <c r="E38149" s="2">
        <v>5.3811176581375895E-4</v>
      </c>
      <c r="F38149" s="2">
        <v>3.2531289032539002E-3</v>
      </c>
    </row>
    <row r="38150" spans="1:6" x14ac:dyDescent="0.25">
      <c r="A38150" s="1" t="str">
        <f t="shared" si="1365"/>
        <v>47900</v>
      </c>
      <c r="B38150" s="1" t="str">
        <f>"20662"</f>
        <v>20662</v>
      </c>
      <c r="C38150" s="2">
        <v>4.3881844071703199E-4</v>
      </c>
      <c r="D38150" s="2">
        <v>6.2699593706632702E-5</v>
      </c>
      <c r="E38150" s="2">
        <v>6.7263970726719896E-5</v>
      </c>
      <c r="F38150" s="2">
        <v>3.91900423045683E-4</v>
      </c>
    </row>
    <row r="38151" spans="1:6" x14ac:dyDescent="0.25">
      <c r="A38151" s="1" t="str">
        <f t="shared" si="1365"/>
        <v>47900</v>
      </c>
      <c r="B38151" s="1" t="str">
        <f>"20688"</f>
        <v>20688</v>
      </c>
      <c r="C38151" s="2">
        <v>5.1084672012765599E-4</v>
      </c>
      <c r="D38151" s="2">
        <v>2.4243842899897999E-4</v>
      </c>
      <c r="E38151" s="2">
        <v>8.7443161944735897E-5</v>
      </c>
      <c r="F38151" s="2">
        <v>4.6976357387339102E-4</v>
      </c>
    </row>
    <row r="38152" spans="1:6" x14ac:dyDescent="0.25">
      <c r="A38152" s="1" t="str">
        <f t="shared" si="1365"/>
        <v>47900</v>
      </c>
      <c r="B38152" s="1" t="str">
        <f>"20664"</f>
        <v>20664</v>
      </c>
      <c r="C38152" s="2">
        <v>4.7834165044491301E-4</v>
      </c>
      <c r="D38152" s="2">
        <v>2.4243842899897999E-4</v>
      </c>
      <c r="E38152" s="2">
        <v>1.21075147308095E-4</v>
      </c>
      <c r="F38152" s="2">
        <v>4.4294763396177399E-4</v>
      </c>
    </row>
    <row r="38153" spans="1:6" x14ac:dyDescent="0.25">
      <c r="A38153" s="1" t="str">
        <f t="shared" si="1365"/>
        <v>47900</v>
      </c>
      <c r="B38153" s="1" t="str">
        <f>"20026"</f>
        <v>20026</v>
      </c>
      <c r="C38153" s="2">
        <v>3.2394256945188302E-4</v>
      </c>
      <c r="D38153" s="2">
        <v>6.0609607249744997E-4</v>
      </c>
      <c r="E38153" s="2">
        <v>2.69055882906879E-5</v>
      </c>
      <c r="F38153" s="2">
        <v>3.3148378734119602E-4</v>
      </c>
    </row>
    <row r="38154" spans="1:6" x14ac:dyDescent="0.25">
      <c r="A38154" s="1" t="str">
        <f t="shared" si="1365"/>
        <v>47900</v>
      </c>
      <c r="B38154" s="1" t="str">
        <f>"20758"</f>
        <v>20758</v>
      </c>
      <c r="C38154" s="2">
        <v>3.6937579184935299E-7</v>
      </c>
      <c r="D38154" s="2">
        <v>0</v>
      </c>
      <c r="E38154" s="2">
        <v>0</v>
      </c>
      <c r="F38154" s="2">
        <v>3.2308361339297801E-7</v>
      </c>
    </row>
    <row r="38155" spans="1:6" x14ac:dyDescent="0.25">
      <c r="A38155" s="1" t="str">
        <f t="shared" si="1365"/>
        <v>47900</v>
      </c>
      <c r="B38155" s="1" t="str">
        <f>"20221"</f>
        <v>20221</v>
      </c>
      <c r="C38155" s="2">
        <v>0</v>
      </c>
      <c r="D38155" s="2">
        <v>8.3599458275510293E-6</v>
      </c>
      <c r="E38155" s="2">
        <v>0</v>
      </c>
      <c r="F38155" s="2">
        <v>6.4616722678595697E-7</v>
      </c>
    </row>
    <row r="38156" spans="1:6" x14ac:dyDescent="0.25">
      <c r="A38156" s="1" t="str">
        <f t="shared" si="1365"/>
        <v>47900</v>
      </c>
      <c r="B38156" s="1" t="str">
        <f>"20993"</f>
        <v>20993</v>
      </c>
      <c r="C38156" s="2">
        <v>0</v>
      </c>
      <c r="D38156" s="2">
        <v>1.6719891655102001E-5</v>
      </c>
      <c r="E38156" s="2">
        <v>6.7263970726719903E-6</v>
      </c>
      <c r="F38156" s="2">
        <v>1.6154180669648901E-6</v>
      </c>
    </row>
    <row r="38157" spans="1:6" x14ac:dyDescent="0.25">
      <c r="A38157" s="1" t="str">
        <f t="shared" si="1365"/>
        <v>47900</v>
      </c>
      <c r="B38157" s="1" t="str">
        <f>"20594"</f>
        <v>20594</v>
      </c>
      <c r="C38157" s="2">
        <v>0</v>
      </c>
      <c r="D38157" s="2">
        <v>4.1799729137755096E-6</v>
      </c>
      <c r="E38157" s="2">
        <v>0</v>
      </c>
      <c r="F38157" s="2">
        <v>3.2308361339297801E-7</v>
      </c>
    </row>
    <row r="38158" spans="1:6" x14ac:dyDescent="0.25">
      <c r="A38158" s="1" t="str">
        <f t="shared" si="1365"/>
        <v>47900</v>
      </c>
      <c r="B38158" s="1" t="str">
        <f>"20731"</f>
        <v>20731</v>
      </c>
      <c r="C38158" s="2">
        <v>2.8626623868324897E-4</v>
      </c>
      <c r="D38158" s="2">
        <v>4.4725710177397998E-4</v>
      </c>
      <c r="E38158" s="2">
        <v>1.3452794145343899E-5</v>
      </c>
      <c r="F38158" s="2">
        <v>2.8560591423939299E-4</v>
      </c>
    </row>
    <row r="38159" spans="1:6" x14ac:dyDescent="0.25">
      <c r="A38159" s="1" t="str">
        <f t="shared" si="1365"/>
        <v>47900</v>
      </c>
      <c r="B38159" s="1" t="str">
        <f>"20915"</f>
        <v>20915</v>
      </c>
      <c r="C38159" s="2">
        <v>3.1101441673715501E-4</v>
      </c>
      <c r="D38159" s="2">
        <v>6.8133558494540899E-4</v>
      </c>
      <c r="E38159" s="2">
        <v>1.3452794145343899E-5</v>
      </c>
      <c r="F38159" s="2">
        <v>3.2534519868672901E-4</v>
      </c>
    </row>
    <row r="38160" spans="1:6" x14ac:dyDescent="0.25">
      <c r="A38160" s="1" t="str">
        <f t="shared" ref="A38160:A38170" si="1366">"47920"</f>
        <v>47920</v>
      </c>
      <c r="B38160" s="1" t="str">
        <f>"45135"</f>
        <v>45135</v>
      </c>
      <c r="C38160" s="2">
        <v>1.3965844402277E-2</v>
      </c>
      <c r="D38160" s="2">
        <v>2.4711696869851702E-3</v>
      </c>
      <c r="E38160" s="2">
        <v>0</v>
      </c>
      <c r="F38160" s="2">
        <v>1.26994906621392E-2</v>
      </c>
    </row>
    <row r="38161" spans="1:6" x14ac:dyDescent="0.25">
      <c r="A38161" s="1" t="str">
        <f t="shared" si="1366"/>
        <v>47920</v>
      </c>
      <c r="B38161" s="1" t="str">
        <f>"43142"</f>
        <v>43142</v>
      </c>
      <c r="C38161" s="2">
        <v>0</v>
      </c>
      <c r="D38161" s="2">
        <v>8.2372322899505702E-4</v>
      </c>
      <c r="E38161" s="2">
        <v>0</v>
      </c>
      <c r="F38161" s="2">
        <v>6.7911714770797896E-5</v>
      </c>
    </row>
    <row r="38162" spans="1:6" x14ac:dyDescent="0.25">
      <c r="A38162" s="1" t="str">
        <f t="shared" si="1366"/>
        <v>47920</v>
      </c>
      <c r="B38162" s="1" t="str">
        <f>"43160"</f>
        <v>43160</v>
      </c>
      <c r="C38162" s="2">
        <v>0.76759013282732402</v>
      </c>
      <c r="D38162" s="2">
        <v>0.72405271828665496</v>
      </c>
      <c r="E38162" s="2">
        <v>0.75892857142857095</v>
      </c>
      <c r="F38162" s="2">
        <v>0.76380305602716403</v>
      </c>
    </row>
    <row r="38163" spans="1:6" x14ac:dyDescent="0.25">
      <c r="A38163" s="1" t="str">
        <f t="shared" si="1366"/>
        <v>47920</v>
      </c>
      <c r="B38163" s="1" t="str">
        <f>"45335"</f>
        <v>45335</v>
      </c>
      <c r="C38163" s="2">
        <v>1.74573055028462E-3</v>
      </c>
      <c r="D38163" s="2">
        <v>0</v>
      </c>
      <c r="E38163" s="2">
        <v>0</v>
      </c>
      <c r="F38163" s="2">
        <v>1.5619694397283499E-3</v>
      </c>
    </row>
    <row r="38164" spans="1:6" x14ac:dyDescent="0.25">
      <c r="A38164" s="1" t="str">
        <f t="shared" si="1366"/>
        <v>47920</v>
      </c>
      <c r="B38164" s="1" t="str">
        <f>"43128"</f>
        <v>43128</v>
      </c>
      <c r="C38164" s="2">
        <v>7.9772296015180197E-2</v>
      </c>
      <c r="D38164" s="2">
        <v>0.238879736408566</v>
      </c>
      <c r="E38164" s="2">
        <v>0.1875</v>
      </c>
      <c r="F38164" s="2">
        <v>9.5348047538200295E-2</v>
      </c>
    </row>
    <row r="38165" spans="1:6" x14ac:dyDescent="0.25">
      <c r="A38165" s="1" t="str">
        <f t="shared" si="1366"/>
        <v>47920</v>
      </c>
      <c r="B38165" s="1" t="str">
        <f>"45169"</f>
        <v>45169</v>
      </c>
      <c r="C38165" s="2">
        <v>9.7153700189753292E-3</v>
      </c>
      <c r="D38165" s="2">
        <v>1.6474464579901099E-3</v>
      </c>
      <c r="E38165" s="2">
        <v>0</v>
      </c>
      <c r="F38165" s="2">
        <v>8.8285229202037293E-3</v>
      </c>
    </row>
    <row r="38166" spans="1:6" x14ac:dyDescent="0.25">
      <c r="A38166" s="1" t="str">
        <f t="shared" si="1366"/>
        <v>47920</v>
      </c>
      <c r="B38166" s="1" t="str">
        <f>"43106"</f>
        <v>43106</v>
      </c>
      <c r="C38166" s="2">
        <v>5.1385199240986702E-2</v>
      </c>
      <c r="D38166" s="2">
        <v>1.07084019769357E-2</v>
      </c>
      <c r="E38166" s="2">
        <v>3.5714285714285698E-2</v>
      </c>
      <c r="F38166" s="2">
        <v>4.7674023769100099E-2</v>
      </c>
    </row>
    <row r="38167" spans="1:6" x14ac:dyDescent="0.25">
      <c r="A38167" s="1" t="str">
        <f t="shared" si="1366"/>
        <v>47920</v>
      </c>
      <c r="B38167" s="1" t="str">
        <f>"43153"</f>
        <v>43153</v>
      </c>
      <c r="C38167" s="2">
        <v>2.2770398481973399E-3</v>
      </c>
      <c r="D38167" s="2">
        <v>3.2948929159802298E-3</v>
      </c>
      <c r="E38167" s="2">
        <v>0</v>
      </c>
      <c r="F38167" s="2">
        <v>2.30899830220713E-3</v>
      </c>
    </row>
    <row r="38168" spans="1:6" x14ac:dyDescent="0.25">
      <c r="A38168" s="1" t="str">
        <f t="shared" si="1366"/>
        <v>47920</v>
      </c>
      <c r="B38168" s="1" t="str">
        <f>"43143"</f>
        <v>43143</v>
      </c>
      <c r="C38168" s="2">
        <v>2.2314990512333901E-2</v>
      </c>
      <c r="D38168" s="2">
        <v>5.7660626029653996E-3</v>
      </c>
      <c r="E38168" s="2">
        <v>0</v>
      </c>
      <c r="F38168" s="2">
        <v>2.0441426146010098E-2</v>
      </c>
    </row>
    <row r="38169" spans="1:6" x14ac:dyDescent="0.25">
      <c r="A38169" s="1" t="str">
        <f t="shared" si="1366"/>
        <v>47920</v>
      </c>
      <c r="B38169" s="1" t="str">
        <f>"43145"</f>
        <v>43145</v>
      </c>
      <c r="C38169" s="2">
        <v>2.47438330170777E-2</v>
      </c>
      <c r="D38169" s="2">
        <v>6.5897858319604596E-3</v>
      </c>
      <c r="E38169" s="2">
        <v>1.1904761904761901E-2</v>
      </c>
      <c r="F38169" s="2">
        <v>2.2954159592529701E-2</v>
      </c>
    </row>
    <row r="38170" spans="1:6" x14ac:dyDescent="0.25">
      <c r="A38170" s="1" t="str">
        <f t="shared" si="1366"/>
        <v>47920</v>
      </c>
      <c r="B38170" s="1" t="str">
        <f>"45123"</f>
        <v>45123</v>
      </c>
      <c r="C38170" s="2">
        <v>2.6489563567362401E-2</v>
      </c>
      <c r="D38170" s="2">
        <v>5.7660626029653996E-3</v>
      </c>
      <c r="E38170" s="2">
        <v>5.9523809523809503E-3</v>
      </c>
      <c r="F38170" s="2">
        <v>2.4312393887945601E-2</v>
      </c>
    </row>
    <row r="38171" spans="1:6" x14ac:dyDescent="0.25">
      <c r="A38171" s="1" t="str">
        <f t="shared" ref="A38171:A38218" si="1367">"47940"</f>
        <v>47940</v>
      </c>
      <c r="B38171" s="1" t="str">
        <f>"50601"</f>
        <v>50601</v>
      </c>
      <c r="C38171" s="2">
        <v>9.6647845770384997E-4</v>
      </c>
      <c r="D38171" s="2">
        <v>4.6649043694604203E-4</v>
      </c>
      <c r="E38171" s="2">
        <v>0</v>
      </c>
      <c r="F38171" s="2">
        <v>8.9584396439303701E-4</v>
      </c>
    </row>
    <row r="38172" spans="1:6" x14ac:dyDescent="0.25">
      <c r="A38172" s="1" t="str">
        <f t="shared" si="1367"/>
        <v>47940</v>
      </c>
      <c r="B38172" s="1" t="str">
        <f>"50645"</f>
        <v>50645</v>
      </c>
      <c r="C38172" s="2">
        <v>2.9248690167353299E-4</v>
      </c>
      <c r="D38172" s="2">
        <v>0</v>
      </c>
      <c r="E38172" s="2">
        <v>0</v>
      </c>
      <c r="F38172" s="2">
        <v>2.6081533140556701E-4</v>
      </c>
    </row>
    <row r="38173" spans="1:6" x14ac:dyDescent="0.25">
      <c r="A38173" s="1" t="str">
        <f t="shared" si="1367"/>
        <v>47940</v>
      </c>
      <c r="B38173" s="1" t="str">
        <f>"50626"</f>
        <v>50626</v>
      </c>
      <c r="C38173" s="2">
        <v>9.0670939518795405E-3</v>
      </c>
      <c r="D38173" s="2">
        <v>2.02145856009951E-3</v>
      </c>
      <c r="E38173" s="2">
        <v>4.8107761385503501E-3</v>
      </c>
      <c r="F38173" s="2">
        <v>8.4027895900663299E-3</v>
      </c>
    </row>
    <row r="38174" spans="1:6" x14ac:dyDescent="0.25">
      <c r="A38174" s="1" t="str">
        <f t="shared" si="1367"/>
        <v>47940</v>
      </c>
      <c r="B38174" s="1" t="str">
        <f>"50642"</f>
        <v>50642</v>
      </c>
      <c r="C38174" s="2">
        <v>3.1029045221018302E-3</v>
      </c>
      <c r="D38174" s="2">
        <v>1.8659617477841701E-3</v>
      </c>
      <c r="E38174" s="2">
        <v>6.4143681847338E-4</v>
      </c>
      <c r="F38174" s="2">
        <v>2.9256676305494098E-3</v>
      </c>
    </row>
    <row r="38175" spans="1:6" x14ac:dyDescent="0.25">
      <c r="A38175" s="1" t="str">
        <f t="shared" si="1367"/>
        <v>47940</v>
      </c>
      <c r="B38175" s="1" t="str">
        <f>"50148"</f>
        <v>50148</v>
      </c>
      <c r="C38175" s="2">
        <v>3.8150465435678299E-5</v>
      </c>
      <c r="D38175" s="2">
        <v>0</v>
      </c>
      <c r="E38175" s="2">
        <v>0</v>
      </c>
      <c r="F38175" s="2">
        <v>3.4019391052900098E-5</v>
      </c>
    </row>
    <row r="38176" spans="1:6" x14ac:dyDescent="0.25">
      <c r="A38176" s="1" t="str">
        <f t="shared" si="1367"/>
        <v>47940</v>
      </c>
      <c r="B38176" s="1" t="str">
        <f>"50258"</f>
        <v>50258</v>
      </c>
      <c r="C38176" s="2">
        <v>2.5433643623785499E-5</v>
      </c>
      <c r="D38176" s="2">
        <v>0</v>
      </c>
      <c r="E38176" s="2">
        <v>0</v>
      </c>
      <c r="F38176" s="2">
        <v>2.26795940352667E-5</v>
      </c>
    </row>
    <row r="38177" spans="1:6" x14ac:dyDescent="0.25">
      <c r="A38177" s="1" t="str">
        <f t="shared" si="1367"/>
        <v>47940</v>
      </c>
      <c r="B38177" s="1" t="str">
        <f>"50664"</f>
        <v>50664</v>
      </c>
      <c r="C38177" s="2">
        <v>0</v>
      </c>
      <c r="D38177" s="2">
        <v>1.5549681231534699E-4</v>
      </c>
      <c r="E38177" s="2">
        <v>0</v>
      </c>
      <c r="F38177" s="2">
        <v>1.1339797017633299E-5</v>
      </c>
    </row>
    <row r="38178" spans="1:6" x14ac:dyDescent="0.25">
      <c r="A38178" s="1" t="str">
        <f t="shared" si="1367"/>
        <v>47940</v>
      </c>
      <c r="B38178" s="1" t="str">
        <f>"50675"</f>
        <v>50675</v>
      </c>
      <c r="C38178" s="2">
        <v>1.14451396307034E-4</v>
      </c>
      <c r="D38178" s="2">
        <v>0</v>
      </c>
      <c r="E38178" s="2">
        <v>0</v>
      </c>
      <c r="F38178" s="2">
        <v>1.020581731587E-4</v>
      </c>
    </row>
    <row r="38179" spans="1:6" x14ac:dyDescent="0.25">
      <c r="A38179" s="1" t="str">
        <f t="shared" si="1367"/>
        <v>47940</v>
      </c>
      <c r="B38179" s="1" t="str">
        <f>"50672"</f>
        <v>50672</v>
      </c>
      <c r="C38179" s="2">
        <v>2.1618597080217699E-4</v>
      </c>
      <c r="D38179" s="2">
        <v>0</v>
      </c>
      <c r="E38179" s="2">
        <v>0</v>
      </c>
      <c r="F38179" s="2">
        <v>1.9277654929976699E-4</v>
      </c>
    </row>
    <row r="38180" spans="1:6" x14ac:dyDescent="0.25">
      <c r="A38180" s="1" t="str">
        <f t="shared" si="1367"/>
        <v>47940</v>
      </c>
      <c r="B38180" s="1" t="str">
        <f>"50627"</f>
        <v>50627</v>
      </c>
      <c r="C38180" s="2">
        <v>5.9769062515895998E-4</v>
      </c>
      <c r="D38180" s="2">
        <v>0</v>
      </c>
      <c r="E38180" s="2">
        <v>0</v>
      </c>
      <c r="F38180" s="2">
        <v>5.3297045982876904E-4</v>
      </c>
    </row>
    <row r="38181" spans="1:6" x14ac:dyDescent="0.25">
      <c r="A38181" s="1" t="str">
        <f t="shared" si="1367"/>
        <v>47940</v>
      </c>
      <c r="B38181" s="1" t="str">
        <f>"50658"</f>
        <v>50658</v>
      </c>
      <c r="C38181" s="2">
        <v>1.9075232717839099E-4</v>
      </c>
      <c r="D38181" s="2">
        <v>0</v>
      </c>
      <c r="E38181" s="2">
        <v>0</v>
      </c>
      <c r="F38181" s="2">
        <v>1.700969552645E-4</v>
      </c>
    </row>
    <row r="38182" spans="1:6" x14ac:dyDescent="0.25">
      <c r="A38182" s="1" t="str">
        <f t="shared" si="1367"/>
        <v>47940</v>
      </c>
      <c r="B38182" s="1" t="str">
        <f>"50657"</f>
        <v>50657</v>
      </c>
      <c r="C38182" s="2">
        <v>5.9769062515895998E-4</v>
      </c>
      <c r="D38182" s="2">
        <v>1.39947131083812E-3</v>
      </c>
      <c r="E38182" s="2">
        <v>0</v>
      </c>
      <c r="F38182" s="2">
        <v>6.3502863298746902E-4</v>
      </c>
    </row>
    <row r="38183" spans="1:6" x14ac:dyDescent="0.25">
      <c r="A38183" s="1" t="str">
        <f t="shared" si="1367"/>
        <v>47940</v>
      </c>
      <c r="B38183" s="1" t="str">
        <f>"50670"</f>
        <v>50670</v>
      </c>
      <c r="C38183" s="2">
        <v>2.9248690167353299E-4</v>
      </c>
      <c r="D38183" s="2">
        <v>0</v>
      </c>
      <c r="E38183" s="2">
        <v>0</v>
      </c>
      <c r="F38183" s="2">
        <v>2.6081533140556701E-4</v>
      </c>
    </row>
    <row r="38184" spans="1:6" x14ac:dyDescent="0.25">
      <c r="A38184" s="1" t="str">
        <f t="shared" si="1367"/>
        <v>47940</v>
      </c>
      <c r="B38184" s="1" t="str">
        <f>"50673"</f>
        <v>50673</v>
      </c>
      <c r="C38184" s="2">
        <v>0</v>
      </c>
      <c r="D38184" s="2">
        <v>0</v>
      </c>
      <c r="E38184" s="2">
        <v>3.2071840923669E-4</v>
      </c>
      <c r="F38184" s="2">
        <v>1.1339797017633299E-5</v>
      </c>
    </row>
    <row r="38185" spans="1:6" x14ac:dyDescent="0.25">
      <c r="A38185" s="1" t="str">
        <f t="shared" si="1367"/>
        <v>47940</v>
      </c>
      <c r="B38185" s="1" t="str">
        <f>"50677"</f>
        <v>50677</v>
      </c>
      <c r="C38185" s="2">
        <v>6.7806093901012193E-2</v>
      </c>
      <c r="D38185" s="2">
        <v>7.5882444409889505E-2</v>
      </c>
      <c r="E38185" s="2">
        <v>6.3822963438101302E-2</v>
      </c>
      <c r="F38185" s="2">
        <v>6.8254238249135304E-2</v>
      </c>
    </row>
    <row r="38186" spans="1:6" x14ac:dyDescent="0.25">
      <c r="A38186" s="1" t="str">
        <f t="shared" si="1367"/>
        <v>47940</v>
      </c>
      <c r="B38186" s="1" t="str">
        <f>"50647"</f>
        <v>50647</v>
      </c>
      <c r="C38186" s="2">
        <v>1.12798209471488E-2</v>
      </c>
      <c r="D38186" s="2">
        <v>1.7104649354688199E-3</v>
      </c>
      <c r="E38186" s="2">
        <v>4.1693393200769703E-3</v>
      </c>
      <c r="F38186" s="2">
        <v>1.0330555083064E-2</v>
      </c>
    </row>
    <row r="38187" spans="1:6" x14ac:dyDescent="0.25">
      <c r="A38187" s="1" t="str">
        <f t="shared" si="1367"/>
        <v>47940</v>
      </c>
      <c r="B38187" s="1" t="str">
        <f>"50648"</f>
        <v>50648</v>
      </c>
      <c r="C38187" s="2">
        <v>4.2347016633602899E-3</v>
      </c>
      <c r="D38187" s="2">
        <v>6.2198724926139002E-4</v>
      </c>
      <c r="E38187" s="2">
        <v>0</v>
      </c>
      <c r="F38187" s="2">
        <v>3.82151159494245E-3</v>
      </c>
    </row>
    <row r="38188" spans="1:6" x14ac:dyDescent="0.25">
      <c r="A38188" s="1" t="str">
        <f t="shared" si="1367"/>
        <v>47940</v>
      </c>
      <c r="B38188" s="1" t="str">
        <f>"50666"</f>
        <v>50666</v>
      </c>
      <c r="C38188" s="2">
        <v>5.0867287247571003E-3</v>
      </c>
      <c r="D38188" s="2">
        <v>4.6649043694604203E-4</v>
      </c>
      <c r="E38188" s="2">
        <v>1.92431045542014E-3</v>
      </c>
      <c r="F38188" s="2">
        <v>4.6379769802120498E-3</v>
      </c>
    </row>
    <row r="38189" spans="1:6" x14ac:dyDescent="0.25">
      <c r="A38189" s="1" t="str">
        <f t="shared" si="1367"/>
        <v>47940</v>
      </c>
      <c r="B38189" s="1" t="str">
        <f>"50665"</f>
        <v>50665</v>
      </c>
      <c r="C38189" s="2">
        <v>2.0601251335266202E-3</v>
      </c>
      <c r="D38189" s="2">
        <v>1.5549681231534699E-4</v>
      </c>
      <c r="E38189" s="2">
        <v>0</v>
      </c>
      <c r="F38189" s="2">
        <v>1.84838691387424E-3</v>
      </c>
    </row>
    <row r="38190" spans="1:6" x14ac:dyDescent="0.25">
      <c r="A38190" s="1" t="str">
        <f t="shared" si="1367"/>
        <v>47940</v>
      </c>
      <c r="B38190" s="1" t="str">
        <f>"50623"</f>
        <v>50623</v>
      </c>
      <c r="C38190" s="2">
        <v>7.88442952337351E-4</v>
      </c>
      <c r="D38190" s="2">
        <v>1.5549681231534699E-4</v>
      </c>
      <c r="E38190" s="2">
        <v>3.2071840923669E-4</v>
      </c>
      <c r="F38190" s="2">
        <v>7.2574700912853604E-4</v>
      </c>
    </row>
    <row r="38191" spans="1:6" x14ac:dyDescent="0.25">
      <c r="A38191" s="1" t="str">
        <f t="shared" si="1367"/>
        <v>47940</v>
      </c>
      <c r="B38191" s="1" t="str">
        <f>"50669"</f>
        <v>50669</v>
      </c>
      <c r="C38191" s="2">
        <v>1.29075741390711E-2</v>
      </c>
      <c r="D38191" s="2">
        <v>1.19732545482817E-2</v>
      </c>
      <c r="E38191" s="2">
        <v>1.41116100064143E-2</v>
      </c>
      <c r="F38191" s="2">
        <v>1.2882009412031501E-2</v>
      </c>
    </row>
    <row r="38192" spans="1:6" x14ac:dyDescent="0.25">
      <c r="A38192" s="1" t="str">
        <f t="shared" si="1367"/>
        <v>47940</v>
      </c>
      <c r="B38192" s="1" t="str">
        <f>"50676"</f>
        <v>50676</v>
      </c>
      <c r="C38192" s="2">
        <v>1.15723078488224E-2</v>
      </c>
      <c r="D38192" s="2">
        <v>2.6434458093608998E-3</v>
      </c>
      <c r="E38192" s="2">
        <v>5.7729313662604198E-3</v>
      </c>
      <c r="F38192" s="2">
        <v>1.07161081816635E-2</v>
      </c>
    </row>
    <row r="38193" spans="1:6" x14ac:dyDescent="0.25">
      <c r="A38193" s="1" t="str">
        <f t="shared" si="1367"/>
        <v>47940</v>
      </c>
      <c r="B38193" s="1" t="str">
        <f>"50624"</f>
        <v>50624</v>
      </c>
      <c r="C38193" s="2">
        <v>9.6266341116028192E-3</v>
      </c>
      <c r="D38193" s="2">
        <v>2.79894262167625E-3</v>
      </c>
      <c r="E38193" s="2">
        <v>5.13149454778704E-3</v>
      </c>
      <c r="F38193" s="2">
        <v>8.9697794409479992E-3</v>
      </c>
    </row>
    <row r="38194" spans="1:6" x14ac:dyDescent="0.25">
      <c r="A38194" s="1" t="str">
        <f t="shared" si="1367"/>
        <v>47940</v>
      </c>
      <c r="B38194" s="1" t="str">
        <f>"50704"</f>
        <v>50704</v>
      </c>
      <c r="C38194" s="2">
        <v>1.7600081387659498E-2</v>
      </c>
      <c r="D38194" s="2">
        <v>7.12175400404291E-2</v>
      </c>
      <c r="E38194" s="2">
        <v>6.4143681847338E-4</v>
      </c>
      <c r="F38194" s="2">
        <v>2.0910585700515901E-2</v>
      </c>
    </row>
    <row r="38195" spans="1:6" x14ac:dyDescent="0.25">
      <c r="A38195" s="1" t="str">
        <f t="shared" si="1367"/>
        <v>47940</v>
      </c>
      <c r="B38195" s="1" t="str">
        <f>"50707"</f>
        <v>50707</v>
      </c>
      <c r="C38195" s="2">
        <v>4.7662648150974103E-2</v>
      </c>
      <c r="D38195" s="2">
        <v>2.7211942155185801E-2</v>
      </c>
      <c r="E38195" s="2">
        <v>1.50737652341244E-2</v>
      </c>
      <c r="F38195" s="2">
        <v>4.5018994160004502E-2</v>
      </c>
    </row>
    <row r="38196" spans="1:6" x14ac:dyDescent="0.25">
      <c r="A38196" s="1" t="str">
        <f t="shared" si="1367"/>
        <v>47940</v>
      </c>
      <c r="B38196" s="1" t="str">
        <f>"50634"</f>
        <v>50634</v>
      </c>
      <c r="C38196" s="2">
        <v>5.11216236838089E-3</v>
      </c>
      <c r="D38196" s="2">
        <v>1.5549681231534699E-4</v>
      </c>
      <c r="E38196" s="2">
        <v>2.8864656831302099E-3</v>
      </c>
      <c r="F38196" s="2">
        <v>4.6719963712649496E-3</v>
      </c>
    </row>
    <row r="38197" spans="1:6" x14ac:dyDescent="0.25">
      <c r="A38197" s="1" t="str">
        <f t="shared" si="1367"/>
        <v>47940</v>
      </c>
      <c r="B38197" s="1" t="str">
        <f>"50609"</f>
        <v>50609</v>
      </c>
      <c r="C38197" s="2">
        <v>1.8312223409125499E-3</v>
      </c>
      <c r="D38197" s="2">
        <v>2.6434458093608998E-3</v>
      </c>
      <c r="E38197" s="2">
        <v>1.28287363694676E-3</v>
      </c>
      <c r="F38197" s="2">
        <v>1.8710665079095001E-3</v>
      </c>
    </row>
    <row r="38198" spans="1:6" x14ac:dyDescent="0.25">
      <c r="A38198" s="1" t="str">
        <f t="shared" si="1367"/>
        <v>47940</v>
      </c>
      <c r="B38198" s="1" t="str">
        <f>"50269"</f>
        <v>50269</v>
      </c>
      <c r="C38198" s="2">
        <v>1.27168218118927E-5</v>
      </c>
      <c r="D38198" s="2">
        <v>0</v>
      </c>
      <c r="E38198" s="2">
        <v>0</v>
      </c>
      <c r="F38198" s="2">
        <v>1.1339797017633299E-5</v>
      </c>
    </row>
    <row r="38199" spans="1:6" x14ac:dyDescent="0.25">
      <c r="A38199" s="1" t="str">
        <f t="shared" si="1367"/>
        <v>47940</v>
      </c>
      <c r="B38199" s="1" t="str">
        <f>"50614"</f>
        <v>50614</v>
      </c>
      <c r="C38199" s="2">
        <v>0</v>
      </c>
      <c r="D38199" s="2">
        <v>6.3753693049292404E-3</v>
      </c>
      <c r="E38199" s="2">
        <v>3.2071840923669E-4</v>
      </c>
      <c r="F38199" s="2">
        <v>4.7627147474060198E-4</v>
      </c>
    </row>
    <row r="38200" spans="1:6" x14ac:dyDescent="0.25">
      <c r="A38200" s="1" t="str">
        <f t="shared" si="1367"/>
        <v>47940</v>
      </c>
      <c r="B38200" s="1" t="str">
        <f>"50668"</f>
        <v>50668</v>
      </c>
      <c r="C38200" s="2">
        <v>7.3630398290859102E-3</v>
      </c>
      <c r="D38200" s="2">
        <v>9.3298087389208503E-4</v>
      </c>
      <c r="E38200" s="2">
        <v>2.56574727389352E-3</v>
      </c>
      <c r="F38200" s="2">
        <v>6.7244996314565902E-3</v>
      </c>
    </row>
    <row r="38201" spans="1:6" x14ac:dyDescent="0.25">
      <c r="A38201" s="1" t="str">
        <f t="shared" si="1367"/>
        <v>47940</v>
      </c>
      <c r="B38201" s="1" t="str">
        <f>"50674"</f>
        <v>50674</v>
      </c>
      <c r="C38201" s="2">
        <v>1.7650948674907099E-2</v>
      </c>
      <c r="D38201" s="2">
        <v>2.5345980407401599E-2</v>
      </c>
      <c r="E38201" s="2">
        <v>7.0558050032071802E-3</v>
      </c>
      <c r="F38201" s="2">
        <v>1.7837500708737301E-2</v>
      </c>
    </row>
    <row r="38202" spans="1:6" x14ac:dyDescent="0.25">
      <c r="A38202" s="1" t="str">
        <f t="shared" si="1367"/>
        <v>47940</v>
      </c>
      <c r="B38202" s="1" t="str">
        <f>"50702"</f>
        <v>50702</v>
      </c>
      <c r="C38202" s="2">
        <v>0.120822524034793</v>
      </c>
      <c r="D38202" s="2">
        <v>0.146788990825688</v>
      </c>
      <c r="E38202" s="2">
        <v>0.153303399615137</v>
      </c>
      <c r="F38202" s="2">
        <v>0.123864602823609</v>
      </c>
    </row>
    <row r="38203" spans="1:6" x14ac:dyDescent="0.25">
      <c r="A38203" s="1" t="str">
        <f t="shared" si="1367"/>
        <v>47940</v>
      </c>
      <c r="B38203" s="1" t="str">
        <f>"50604"</f>
        <v>50604</v>
      </c>
      <c r="C38203" s="2">
        <v>7.7572613052545895E-4</v>
      </c>
      <c r="D38203" s="2">
        <v>3.1099362463069501E-4</v>
      </c>
      <c r="E38203" s="2">
        <v>0</v>
      </c>
      <c r="F38203" s="2">
        <v>7.1440721211090297E-4</v>
      </c>
    </row>
    <row r="38204" spans="1:6" x14ac:dyDescent="0.25">
      <c r="A38204" s="1" t="str">
        <f t="shared" si="1367"/>
        <v>47940</v>
      </c>
      <c r="B38204" s="1" t="str">
        <f>"50680"</f>
        <v>50680</v>
      </c>
      <c r="C38204" s="2">
        <v>7.8717127015616208E-3</v>
      </c>
      <c r="D38204" s="2">
        <v>2.4879489970455601E-3</v>
      </c>
      <c r="E38204" s="2">
        <v>6.4143681847338E-4</v>
      </c>
      <c r="F38204" s="2">
        <v>7.2234507002324599E-3</v>
      </c>
    </row>
    <row r="38205" spans="1:6" x14ac:dyDescent="0.25">
      <c r="A38205" s="1" t="str">
        <f t="shared" si="1367"/>
        <v>47940</v>
      </c>
      <c r="B38205" s="1" t="str">
        <f>"50630"</f>
        <v>50630</v>
      </c>
      <c r="C38205" s="2">
        <v>3.8150465435678302E-4</v>
      </c>
      <c r="D38205" s="2">
        <v>0</v>
      </c>
      <c r="E38205" s="2">
        <v>0</v>
      </c>
      <c r="F38205" s="2">
        <v>3.4019391052900102E-4</v>
      </c>
    </row>
    <row r="38206" spans="1:6" x14ac:dyDescent="0.25">
      <c r="A38206" s="1" t="str">
        <f t="shared" si="1367"/>
        <v>47940</v>
      </c>
      <c r="B38206" s="1" t="str">
        <f>"50612"</f>
        <v>50612</v>
      </c>
      <c r="C38206" s="2">
        <v>2.1618597080217699E-4</v>
      </c>
      <c r="D38206" s="2">
        <v>0</v>
      </c>
      <c r="E38206" s="2">
        <v>0</v>
      </c>
      <c r="F38206" s="2">
        <v>1.9277654929976699E-4</v>
      </c>
    </row>
    <row r="38207" spans="1:6" x14ac:dyDescent="0.25">
      <c r="A38207" s="1" t="str">
        <f t="shared" si="1367"/>
        <v>47940</v>
      </c>
      <c r="B38207" s="1" t="str">
        <f>"50631"</f>
        <v>50631</v>
      </c>
      <c r="C38207" s="2">
        <v>0</v>
      </c>
      <c r="D38207" s="2">
        <v>0</v>
      </c>
      <c r="E38207" s="2">
        <v>3.2071840923669E-4</v>
      </c>
      <c r="F38207" s="2">
        <v>1.1339797017633299E-5</v>
      </c>
    </row>
    <row r="38208" spans="1:6" x14ac:dyDescent="0.25">
      <c r="A38208" s="1" t="str">
        <f t="shared" si="1367"/>
        <v>47940</v>
      </c>
      <c r="B38208" s="1" t="str">
        <f>"50660"</f>
        <v>50660</v>
      </c>
      <c r="C38208" s="2">
        <v>6.3584109059463797E-4</v>
      </c>
      <c r="D38208" s="2">
        <v>0</v>
      </c>
      <c r="E38208" s="2">
        <v>0</v>
      </c>
      <c r="F38208" s="2">
        <v>5.66989850881669E-4</v>
      </c>
    </row>
    <row r="38209" spans="1:6" x14ac:dyDescent="0.25">
      <c r="A38209" s="1" t="str">
        <f t="shared" si="1367"/>
        <v>47940</v>
      </c>
      <c r="B38209" s="1" t="str">
        <f>"50701"</f>
        <v>50701</v>
      </c>
      <c r="C38209" s="2">
        <v>0.18457195177781099</v>
      </c>
      <c r="D38209" s="2">
        <v>0.14196858964391201</v>
      </c>
      <c r="E38209" s="2">
        <v>0.21905067350865901</v>
      </c>
      <c r="F38209" s="2">
        <v>0.18268412995407299</v>
      </c>
    </row>
    <row r="38210" spans="1:6" x14ac:dyDescent="0.25">
      <c r="A38210" s="1" t="str">
        <f t="shared" si="1367"/>
        <v>47940</v>
      </c>
      <c r="B38210" s="1" t="str">
        <f>"50651"</f>
        <v>50651</v>
      </c>
      <c r="C38210" s="2">
        <v>1.9227834579581798E-2</v>
      </c>
      <c r="D38210" s="2">
        <v>1.7726636603949599E-2</v>
      </c>
      <c r="E38210" s="2">
        <v>1.0904425914047401E-2</v>
      </c>
      <c r="F38210" s="2">
        <v>1.8824063049271401E-2</v>
      </c>
    </row>
    <row r="38211" spans="1:6" x14ac:dyDescent="0.25">
      <c r="A38211" s="1" t="str">
        <f t="shared" si="1367"/>
        <v>47940</v>
      </c>
      <c r="B38211" s="1" t="str">
        <f>"50638"</f>
        <v>50638</v>
      </c>
      <c r="C38211" s="2">
        <v>2.05249504043949E-2</v>
      </c>
      <c r="D38211" s="2">
        <v>3.03218784014927E-2</v>
      </c>
      <c r="E38211" s="2">
        <v>2.8864656831302099E-2</v>
      </c>
      <c r="F38211" s="2">
        <v>2.1534274536485699E-2</v>
      </c>
    </row>
    <row r="38212" spans="1:6" x14ac:dyDescent="0.25">
      <c r="A38212" s="1" t="str">
        <f t="shared" si="1367"/>
        <v>47940</v>
      </c>
      <c r="B38212" s="1" t="str">
        <f>"50643"</f>
        <v>50643</v>
      </c>
      <c r="C38212" s="2">
        <v>1.6824355257134101E-2</v>
      </c>
      <c r="D38212" s="2">
        <v>5.1313948064064599E-3</v>
      </c>
      <c r="E38212" s="2">
        <v>4.8107761385503501E-3</v>
      </c>
      <c r="F38212" s="2">
        <v>1.55468617111753E-2</v>
      </c>
    </row>
    <row r="38213" spans="1:6" x14ac:dyDescent="0.25">
      <c r="A38213" s="1" t="str">
        <f t="shared" si="1367"/>
        <v>47940</v>
      </c>
      <c r="B38213" s="1" t="str">
        <f>"50703"</f>
        <v>50703</v>
      </c>
      <c r="C38213" s="2">
        <v>0.11293809451141899</v>
      </c>
      <c r="D38213" s="2">
        <v>0.14227958326854201</v>
      </c>
      <c r="E38213" s="2">
        <v>7.9858883899935798E-2</v>
      </c>
      <c r="F38213" s="2">
        <v>0.11390826104212699</v>
      </c>
    </row>
    <row r="38214" spans="1:6" x14ac:dyDescent="0.25">
      <c r="A38214" s="1" t="str">
        <f t="shared" si="1367"/>
        <v>47940</v>
      </c>
      <c r="B38214" s="1" t="str">
        <f>"50613"</f>
        <v>50613</v>
      </c>
      <c r="C38214" s="2">
        <v>0.24303118164708201</v>
      </c>
      <c r="D38214" s="2">
        <v>0.27071995024102002</v>
      </c>
      <c r="E38214" s="2">
        <v>0.35567671584348898</v>
      </c>
      <c r="F38214" s="2">
        <v>0.24903328230424601</v>
      </c>
    </row>
    <row r="38215" spans="1:6" x14ac:dyDescent="0.25">
      <c r="A38215" s="1" t="str">
        <f t="shared" si="1367"/>
        <v>47940</v>
      </c>
      <c r="B38215" s="1" t="str">
        <f>"50622"</f>
        <v>50622</v>
      </c>
      <c r="C38215" s="2">
        <v>1.9037082252403401E-2</v>
      </c>
      <c r="D38215" s="2">
        <v>2.4879489970455601E-3</v>
      </c>
      <c r="E38215" s="2">
        <v>6.7350865939704904E-3</v>
      </c>
      <c r="F38215" s="2">
        <v>1.7395248625049601E-2</v>
      </c>
    </row>
    <row r="38216" spans="1:6" x14ac:dyDescent="0.25">
      <c r="A38216" s="1" t="str">
        <f t="shared" si="1367"/>
        <v>47940</v>
      </c>
      <c r="B38216" s="1" t="str">
        <f>"50629"</f>
        <v>50629</v>
      </c>
      <c r="C38216" s="2">
        <v>2.0855587771504099E-3</v>
      </c>
      <c r="D38216" s="2">
        <v>3.1099362463069501E-4</v>
      </c>
      <c r="E38216" s="2">
        <v>0</v>
      </c>
      <c r="F38216" s="2">
        <v>1.8824063049271401E-3</v>
      </c>
    </row>
    <row r="38217" spans="1:6" x14ac:dyDescent="0.25">
      <c r="A38217" s="1" t="str">
        <f t="shared" si="1367"/>
        <v>47940</v>
      </c>
      <c r="B38217" s="1" t="str">
        <f>"50667"</f>
        <v>50667</v>
      </c>
      <c r="C38217" s="2">
        <v>4.4000203469148902E-3</v>
      </c>
      <c r="D38217" s="2">
        <v>7.7748406157673703E-4</v>
      </c>
      <c r="E38217" s="2">
        <v>1.28287363694676E-3</v>
      </c>
      <c r="F38217" s="2">
        <v>4.0256279412598499E-3</v>
      </c>
    </row>
    <row r="38218" spans="1:6" x14ac:dyDescent="0.25">
      <c r="A38218" s="1" t="str">
        <f t="shared" si="1367"/>
        <v>47940</v>
      </c>
      <c r="B38218" s="1" t="str">
        <f>"50621"</f>
        <v>50621</v>
      </c>
      <c r="C38218" s="2">
        <v>8.5584210794038308E-3</v>
      </c>
      <c r="D38218" s="2">
        <v>2.4879489970455601E-3</v>
      </c>
      <c r="E38218" s="2">
        <v>7.69724182168056E-3</v>
      </c>
      <c r="F38218" s="2">
        <v>8.0852752735725997E-3</v>
      </c>
    </row>
    <row r="38219" spans="1:6" x14ac:dyDescent="0.25">
      <c r="A38219" s="1" t="str">
        <f t="shared" ref="A38219:A38239" si="1368">"47980"</f>
        <v>47980</v>
      </c>
      <c r="B38219" s="1" t="str">
        <f>"57272"</f>
        <v>57272</v>
      </c>
      <c r="C38219" s="2">
        <v>4.3872828895967298E-3</v>
      </c>
      <c r="D38219" s="2">
        <v>0</v>
      </c>
      <c r="E38219" s="2">
        <v>4.13223140495867E-3</v>
      </c>
      <c r="F38219" s="2">
        <v>3.8946397458235098E-3</v>
      </c>
    </row>
    <row r="38220" spans="1:6" x14ac:dyDescent="0.25">
      <c r="A38220" s="1" t="str">
        <f t="shared" si="1368"/>
        <v>47980</v>
      </c>
      <c r="B38220" s="1" t="str">
        <f>"57271"</f>
        <v>57271</v>
      </c>
      <c r="C38220" s="2">
        <v>1.2620950778291899E-3</v>
      </c>
      <c r="D38220" s="2">
        <v>4.6533271288971601E-4</v>
      </c>
      <c r="E38220" s="2">
        <v>0</v>
      </c>
      <c r="F38220" s="2">
        <v>1.12739571589627E-3</v>
      </c>
    </row>
    <row r="38221" spans="1:6" x14ac:dyDescent="0.25">
      <c r="A38221" s="1" t="str">
        <f t="shared" si="1368"/>
        <v>47980</v>
      </c>
      <c r="B38221" s="1" t="str">
        <f>"57212"</f>
        <v>57212</v>
      </c>
      <c r="C38221" s="2">
        <v>4.7478814832622104E-3</v>
      </c>
      <c r="D38221" s="2">
        <v>4.1879944160074399E-3</v>
      </c>
      <c r="E38221" s="2">
        <v>9.6418732782369097E-3</v>
      </c>
      <c r="F38221" s="2">
        <v>4.8682996822793801E-3</v>
      </c>
    </row>
    <row r="38222" spans="1:6" x14ac:dyDescent="0.25">
      <c r="A38222" s="1" t="str">
        <f t="shared" si="1368"/>
        <v>47980</v>
      </c>
      <c r="B38222" s="1" t="str">
        <f>"57243"</f>
        <v>57243</v>
      </c>
      <c r="C38222" s="2">
        <v>1.4904741871506699E-2</v>
      </c>
      <c r="D38222" s="2">
        <v>4.1879944160074399E-3</v>
      </c>
      <c r="E38222" s="2">
        <v>4.13223140495867E-3</v>
      </c>
      <c r="F38222" s="2">
        <v>1.33237675515014E-2</v>
      </c>
    </row>
    <row r="38223" spans="1:6" x14ac:dyDescent="0.25">
      <c r="A38223" s="1" t="str">
        <f t="shared" si="1368"/>
        <v>47980</v>
      </c>
      <c r="B38223" s="1" t="str">
        <f>"57245"</f>
        <v>57245</v>
      </c>
      <c r="C38223" s="2">
        <v>6.0099765610914101E-4</v>
      </c>
      <c r="D38223" s="2">
        <v>2.4662633783154898E-2</v>
      </c>
      <c r="E38223" s="2">
        <v>1.3774104683195499E-3</v>
      </c>
      <c r="F38223" s="2">
        <v>3.2796966280619001E-3</v>
      </c>
    </row>
    <row r="38224" spans="1:6" x14ac:dyDescent="0.25">
      <c r="A38224" s="1" t="str">
        <f t="shared" si="1368"/>
        <v>47980</v>
      </c>
      <c r="B38224" s="1" t="str">
        <f>"57233"</f>
        <v>57233</v>
      </c>
      <c r="C38224" s="2">
        <v>1.8029929683274201E-4</v>
      </c>
      <c r="D38224" s="2">
        <v>0</v>
      </c>
      <c r="E38224" s="2">
        <v>0</v>
      </c>
      <c r="F38224" s="2">
        <v>1.5373577944040101E-4</v>
      </c>
    </row>
    <row r="38225" spans="1:6" x14ac:dyDescent="0.25">
      <c r="A38225" s="1" t="str">
        <f t="shared" si="1368"/>
        <v>47980</v>
      </c>
      <c r="B38225" s="1" t="str">
        <f>"57242"</f>
        <v>57242</v>
      </c>
      <c r="C38225" s="2">
        <v>9.7361620289680793E-3</v>
      </c>
      <c r="D38225" s="2">
        <v>1.39599813866914E-3</v>
      </c>
      <c r="E38225" s="2">
        <v>1.3774104683195499E-3</v>
      </c>
      <c r="F38225" s="2">
        <v>8.5067131290355608E-3</v>
      </c>
    </row>
    <row r="38226" spans="1:6" x14ac:dyDescent="0.25">
      <c r="A38226" s="1" t="str">
        <f t="shared" si="1368"/>
        <v>47980</v>
      </c>
      <c r="B38226" s="1" t="str">
        <f>"57234"</f>
        <v>57234</v>
      </c>
      <c r="C38226" s="2">
        <v>2.7705991946631401E-2</v>
      </c>
      <c r="D38226" s="2">
        <v>1.8613308515588599E-3</v>
      </c>
      <c r="E38226" s="2">
        <v>2.0661157024793299E-2</v>
      </c>
      <c r="F38226" s="2">
        <v>2.4597724710464199E-2</v>
      </c>
    </row>
    <row r="38227" spans="1:6" x14ac:dyDescent="0.25">
      <c r="A38227" s="1" t="str">
        <f t="shared" si="1368"/>
        <v>47980</v>
      </c>
      <c r="B38227" s="1" t="str">
        <f>"57223"</f>
        <v>57223</v>
      </c>
      <c r="C38227" s="2">
        <v>3.2814472023559103E-2</v>
      </c>
      <c r="D38227" s="2">
        <v>6.9799906933457403E-3</v>
      </c>
      <c r="E38227" s="2">
        <v>2.0661157024793299E-2</v>
      </c>
      <c r="F38227" s="2">
        <v>2.9517269652557101E-2</v>
      </c>
    </row>
    <row r="38228" spans="1:6" x14ac:dyDescent="0.25">
      <c r="A38228" s="1" t="str">
        <f t="shared" si="1368"/>
        <v>47980</v>
      </c>
      <c r="B38228" s="1" t="str">
        <f>"57238"</f>
        <v>57238</v>
      </c>
      <c r="C38228" s="2">
        <v>2.7645892181020399E-3</v>
      </c>
      <c r="D38228" s="2">
        <v>4.6533271288971601E-4</v>
      </c>
      <c r="E38228" s="2">
        <v>0</v>
      </c>
      <c r="F38228" s="2">
        <v>2.4085272112329601E-3</v>
      </c>
    </row>
    <row r="38229" spans="1:6" x14ac:dyDescent="0.25">
      <c r="A38229" s="1" t="str">
        <f t="shared" si="1368"/>
        <v>47980</v>
      </c>
      <c r="B38229" s="1" t="str">
        <f>"57264"</f>
        <v>57264</v>
      </c>
      <c r="C38229" s="2">
        <v>6.0099765610914098E-5</v>
      </c>
      <c r="D38229" s="2">
        <v>0</v>
      </c>
      <c r="E38229" s="2">
        <v>0</v>
      </c>
      <c r="F38229" s="2">
        <v>5.1245259813467203E-5</v>
      </c>
    </row>
    <row r="38230" spans="1:6" x14ac:dyDescent="0.25">
      <c r="A38230" s="1" t="str">
        <f t="shared" si="1368"/>
        <v>47980</v>
      </c>
      <c r="B38230" s="1" t="str">
        <f>"57263"</f>
        <v>57263</v>
      </c>
      <c r="C38230" s="2">
        <v>9.0149648416371093E-3</v>
      </c>
      <c r="D38230" s="2">
        <v>4.6533271288971601E-4</v>
      </c>
      <c r="E38230" s="2">
        <v>1.2396694214876E-2</v>
      </c>
      <c r="F38230" s="2">
        <v>8.1992415701547597E-3</v>
      </c>
    </row>
    <row r="38231" spans="1:6" x14ac:dyDescent="0.25">
      <c r="A38231" s="1" t="str">
        <f t="shared" si="1368"/>
        <v>47980</v>
      </c>
      <c r="B38231" s="1" t="str">
        <f>"57217"</f>
        <v>57217</v>
      </c>
      <c r="C38231" s="2">
        <v>6.0099765610914098E-5</v>
      </c>
      <c r="D38231" s="2">
        <v>0</v>
      </c>
      <c r="E38231" s="2">
        <v>0</v>
      </c>
      <c r="F38231" s="2">
        <v>5.1245259813467203E-5</v>
      </c>
    </row>
    <row r="38232" spans="1:6" x14ac:dyDescent="0.25">
      <c r="A38232" s="1" t="str">
        <f t="shared" si="1368"/>
        <v>47980</v>
      </c>
      <c r="B38232" s="1" t="str">
        <f>"57221"</f>
        <v>57221</v>
      </c>
      <c r="C38232" s="2">
        <v>1.4664342809062999E-2</v>
      </c>
      <c r="D38232" s="2">
        <v>4.6533271288971599E-3</v>
      </c>
      <c r="E38232" s="2">
        <v>1.7906336088154201E-2</v>
      </c>
      <c r="F38232" s="2">
        <v>1.36824843701957E-2</v>
      </c>
    </row>
    <row r="38233" spans="1:6" x14ac:dyDescent="0.25">
      <c r="A38233" s="1" t="str">
        <f t="shared" si="1368"/>
        <v>47980</v>
      </c>
      <c r="B38233" s="1" t="str">
        <f>"57256"</f>
        <v>57256</v>
      </c>
      <c r="C38233" s="2">
        <v>1.2019953122182801E-4</v>
      </c>
      <c r="D38233" s="2">
        <v>0</v>
      </c>
      <c r="E38233" s="2">
        <v>0</v>
      </c>
      <c r="F38233" s="2">
        <v>1.02490519626934E-4</v>
      </c>
    </row>
    <row r="38234" spans="1:6" x14ac:dyDescent="0.25">
      <c r="A38234" s="1" t="str">
        <f t="shared" si="1368"/>
        <v>47980</v>
      </c>
      <c r="B38234" s="1" t="str">
        <f>"57265"</f>
        <v>57265</v>
      </c>
      <c r="C38234" s="2">
        <v>3.0049882805457002E-4</v>
      </c>
      <c r="D38234" s="2">
        <v>0</v>
      </c>
      <c r="E38234" s="2">
        <v>0</v>
      </c>
      <c r="F38234" s="2">
        <v>2.5622629906733602E-4</v>
      </c>
    </row>
    <row r="38235" spans="1:6" x14ac:dyDescent="0.25">
      <c r="A38235" s="1" t="str">
        <f t="shared" si="1368"/>
        <v>47980</v>
      </c>
      <c r="B38235" s="1" t="str">
        <f>"57241"</f>
        <v>57241</v>
      </c>
      <c r="C38235" s="2">
        <v>2.1996514213594501E-2</v>
      </c>
      <c r="D38235" s="2">
        <v>7.9106561191251701E-3</v>
      </c>
      <c r="E38235" s="2">
        <v>6.8870523415977903E-3</v>
      </c>
      <c r="F38235" s="2">
        <v>1.98831608076252E-2</v>
      </c>
    </row>
    <row r="38236" spans="1:6" x14ac:dyDescent="0.25">
      <c r="A38236" s="1" t="str">
        <f t="shared" si="1368"/>
        <v>47980</v>
      </c>
      <c r="B38236" s="1" t="str">
        <f>"57201"</f>
        <v>57201</v>
      </c>
      <c r="C38236" s="2">
        <v>0.80485606106136098</v>
      </c>
      <c r="D38236" s="2">
        <v>0.93671475104699797</v>
      </c>
      <c r="E38236" s="2">
        <v>0.88154269972451704</v>
      </c>
      <c r="F38236" s="2">
        <v>0.82223019370708195</v>
      </c>
    </row>
    <row r="38237" spans="1:6" x14ac:dyDescent="0.25">
      <c r="A38237" s="1" t="str">
        <f t="shared" si="1368"/>
        <v>47980</v>
      </c>
      <c r="B38237" s="1" t="str">
        <f>"57235"</f>
        <v>57235</v>
      </c>
      <c r="C38237" s="2">
        <v>2.0253621010877999E-2</v>
      </c>
      <c r="D38237" s="2">
        <v>1.8613308515588599E-3</v>
      </c>
      <c r="E38237" s="2">
        <v>6.8870523415977903E-3</v>
      </c>
      <c r="F38237" s="2">
        <v>1.77308598954596E-2</v>
      </c>
    </row>
    <row r="38238" spans="1:6" x14ac:dyDescent="0.25">
      <c r="A38238" s="1" t="str">
        <f t="shared" si="1368"/>
        <v>47980</v>
      </c>
      <c r="B38238" s="1" t="str">
        <f>"57248"</f>
        <v>57248</v>
      </c>
      <c r="C38238" s="2">
        <v>2.89680870244606E-2</v>
      </c>
      <c r="D38238" s="2">
        <v>4.1879944160074399E-3</v>
      </c>
      <c r="E38238" s="2">
        <v>1.2396694214876E-2</v>
      </c>
      <c r="F38238" s="2">
        <v>2.5622629906733599E-2</v>
      </c>
    </row>
    <row r="38239" spans="1:6" x14ac:dyDescent="0.25">
      <c r="A38239" s="1" t="str">
        <f t="shared" si="1368"/>
        <v>47980</v>
      </c>
      <c r="B38239" s="1" t="str">
        <f>"57226"</f>
        <v>57226</v>
      </c>
      <c r="C38239" s="2">
        <v>6.0099765610914101E-4</v>
      </c>
      <c r="D38239" s="2">
        <v>0</v>
      </c>
      <c r="E38239" s="2">
        <v>0</v>
      </c>
      <c r="F38239" s="2">
        <v>5.1245259813467205E-4</v>
      </c>
    </row>
    <row r="38240" spans="1:6" x14ac:dyDescent="0.25">
      <c r="A38240" s="1" t="str">
        <f t="shared" ref="A38240:A38258" si="1369">"48020"</f>
        <v>48020</v>
      </c>
      <c r="B38240" s="1" t="str">
        <f>"53549"</f>
        <v>53549</v>
      </c>
      <c r="C38240" s="2">
        <v>0.12326388888888801</v>
      </c>
      <c r="D38240" s="2">
        <v>0.12926136363636301</v>
      </c>
      <c r="E38240" s="2">
        <v>0.16258218768679</v>
      </c>
      <c r="F38240" s="2">
        <v>0.12526297971126599</v>
      </c>
    </row>
    <row r="38241" spans="1:6" x14ac:dyDescent="0.25">
      <c r="A38241" s="1" t="str">
        <f t="shared" si="1369"/>
        <v>48020</v>
      </c>
      <c r="B38241" s="1" t="str">
        <f>"53551"</f>
        <v>53551</v>
      </c>
      <c r="C38241" s="2">
        <v>0.107421875</v>
      </c>
      <c r="D38241" s="2">
        <v>0.107244318181818</v>
      </c>
      <c r="E38241" s="2">
        <v>0.11536162582187599</v>
      </c>
      <c r="F38241" s="2">
        <v>0.10773099896017201</v>
      </c>
    </row>
    <row r="38242" spans="1:6" x14ac:dyDescent="0.25">
      <c r="A38242" s="1" t="str">
        <f t="shared" si="1369"/>
        <v>48020</v>
      </c>
      <c r="B38242" s="1" t="str">
        <f>"53594"</f>
        <v>53594</v>
      </c>
      <c r="C38242" s="2">
        <v>4.97504340277777E-2</v>
      </c>
      <c r="D38242" s="2">
        <v>4.86505681818181E-2</v>
      </c>
      <c r="E38242" s="2">
        <v>4.9013747758517599E-2</v>
      </c>
      <c r="F38242" s="2">
        <v>4.9645733078615799E-2</v>
      </c>
    </row>
    <row r="38243" spans="1:6" x14ac:dyDescent="0.25">
      <c r="A38243" s="1" t="str">
        <f t="shared" si="1369"/>
        <v>48020</v>
      </c>
      <c r="B38243" s="1" t="str">
        <f>"53098"</f>
        <v>53098</v>
      </c>
      <c r="C38243" s="2">
        <v>5.9678819444444395E-4</v>
      </c>
      <c r="D38243" s="2">
        <v>0</v>
      </c>
      <c r="E38243" s="2">
        <v>5.9772863120143396E-4</v>
      </c>
      <c r="F38243" s="2">
        <v>5.5618697555195505E-4</v>
      </c>
    </row>
    <row r="38244" spans="1:6" x14ac:dyDescent="0.25">
      <c r="A38244" s="1" t="str">
        <f t="shared" si="1369"/>
        <v>48020</v>
      </c>
      <c r="B38244" s="1" t="str">
        <f>"53094"</f>
        <v>53094</v>
      </c>
      <c r="C38244" s="2">
        <v>0.22200520833333301</v>
      </c>
      <c r="D38244" s="2">
        <v>0.32990056818181801</v>
      </c>
      <c r="E38244" s="2">
        <v>0.22355050806933599</v>
      </c>
      <c r="F38244" s="2">
        <v>0.22941503639397301</v>
      </c>
    </row>
    <row r="38245" spans="1:6" x14ac:dyDescent="0.25">
      <c r="A38245" s="1" t="str">
        <f t="shared" si="1369"/>
        <v>48020</v>
      </c>
      <c r="B38245" s="1" t="str">
        <f>"53066"</f>
        <v>53066</v>
      </c>
      <c r="C38245" s="2">
        <v>2.2298177083333301E-2</v>
      </c>
      <c r="D38245" s="2">
        <v>1.10085227272727E-2</v>
      </c>
      <c r="E38245" s="2">
        <v>1.9725044829647299E-2</v>
      </c>
      <c r="F38245" s="2">
        <v>2.1425289579957901E-2</v>
      </c>
    </row>
    <row r="38246" spans="1:6" x14ac:dyDescent="0.25">
      <c r="A38246" s="1" t="str">
        <f t="shared" si="1369"/>
        <v>48020</v>
      </c>
      <c r="B38246" s="1" t="str">
        <f>"53523"</f>
        <v>53523</v>
      </c>
      <c r="C38246" s="2">
        <v>3.515625E-2</v>
      </c>
      <c r="D38246" s="2">
        <v>9.9431818181818094E-3</v>
      </c>
      <c r="E38246" s="2">
        <v>1.91273161984459E-2</v>
      </c>
      <c r="F38246" s="2">
        <v>3.2790849515150003E-2</v>
      </c>
    </row>
    <row r="38247" spans="1:6" x14ac:dyDescent="0.25">
      <c r="A38247" s="1" t="str">
        <f t="shared" si="1369"/>
        <v>48020</v>
      </c>
      <c r="B38247" s="1" t="str">
        <f>"53190"</f>
        <v>53190</v>
      </c>
      <c r="C38247" s="2">
        <v>2.9513888888888801E-2</v>
      </c>
      <c r="D38247" s="2">
        <v>6.7471590909090901E-3</v>
      </c>
      <c r="E38247" s="2">
        <v>4.0645546921697501E-2</v>
      </c>
      <c r="F38247" s="2">
        <v>2.8413899837980299E-2</v>
      </c>
    </row>
    <row r="38248" spans="1:6" x14ac:dyDescent="0.25">
      <c r="A38248" s="1" t="str">
        <f t="shared" si="1369"/>
        <v>48020</v>
      </c>
      <c r="B38248" s="1" t="str">
        <f>"53563"</f>
        <v>53563</v>
      </c>
      <c r="C38248" s="2">
        <v>2.0073784722222199E-3</v>
      </c>
      <c r="D38248" s="2">
        <v>0</v>
      </c>
      <c r="E38248" s="2">
        <v>0</v>
      </c>
      <c r="F38248" s="2">
        <v>1.7894711387323699E-3</v>
      </c>
    </row>
    <row r="38249" spans="1:6" x14ac:dyDescent="0.25">
      <c r="A38249" s="1" t="str">
        <f t="shared" si="1369"/>
        <v>48020</v>
      </c>
      <c r="B38249" s="1" t="str">
        <f>"53137"</f>
        <v>53137</v>
      </c>
      <c r="C38249" s="2">
        <v>1.8771701388888801E-2</v>
      </c>
      <c r="D38249" s="2">
        <v>8.8778409090908995E-3</v>
      </c>
      <c r="E38249" s="2">
        <v>2.9886431560071699E-3</v>
      </c>
      <c r="F38249" s="2">
        <v>1.7459434623848299E-2</v>
      </c>
    </row>
    <row r="38250" spans="1:6" x14ac:dyDescent="0.25">
      <c r="A38250" s="1" t="str">
        <f t="shared" si="1369"/>
        <v>48020</v>
      </c>
      <c r="B38250" s="1" t="str">
        <f>"53534"</f>
        <v>53534</v>
      </c>
      <c r="C38250" s="2">
        <v>6.6189236111111101E-3</v>
      </c>
      <c r="D38250" s="2">
        <v>3.5511363636363599E-4</v>
      </c>
      <c r="E38250" s="2">
        <v>2.3909145248057302E-3</v>
      </c>
      <c r="F38250" s="2">
        <v>6.0213285614102901E-3</v>
      </c>
    </row>
    <row r="38251" spans="1:6" x14ac:dyDescent="0.25">
      <c r="A38251" s="1" t="str">
        <f t="shared" si="1369"/>
        <v>48020</v>
      </c>
      <c r="B38251" s="1" t="str">
        <f>"53559"</f>
        <v>53559</v>
      </c>
      <c r="C38251" s="2">
        <v>4.0690104166666598E-4</v>
      </c>
      <c r="D38251" s="2">
        <v>7.1022727272727199E-4</v>
      </c>
      <c r="E38251" s="2">
        <v>0</v>
      </c>
      <c r="F38251" s="2">
        <v>4.1109472106014001E-4</v>
      </c>
    </row>
    <row r="38252" spans="1:6" x14ac:dyDescent="0.25">
      <c r="A38252" s="1" t="str">
        <f t="shared" si="1369"/>
        <v>48020</v>
      </c>
      <c r="B38252" s="1" t="str">
        <f>"53038"</f>
        <v>53038</v>
      </c>
      <c r="C38252" s="2">
        <v>4.7905815972222203E-2</v>
      </c>
      <c r="D38252" s="2">
        <v>8.0255681818181795E-2</v>
      </c>
      <c r="E38252" s="2">
        <v>7.3520621637776395E-2</v>
      </c>
      <c r="F38252" s="2">
        <v>5.1145019708364499E-2</v>
      </c>
    </row>
    <row r="38253" spans="1:6" x14ac:dyDescent="0.25">
      <c r="A38253" s="1" t="str">
        <f t="shared" si="1369"/>
        <v>48020</v>
      </c>
      <c r="B38253" s="1" t="str">
        <f>"53119"</f>
        <v>53119</v>
      </c>
      <c r="C38253" s="2">
        <v>3.52647569444444E-4</v>
      </c>
      <c r="D38253" s="2">
        <v>0</v>
      </c>
      <c r="E38253" s="2">
        <v>0</v>
      </c>
      <c r="F38253" s="2">
        <v>3.1436655139893102E-4</v>
      </c>
    </row>
    <row r="38254" spans="1:6" x14ac:dyDescent="0.25">
      <c r="A38254" s="1" t="str">
        <f t="shared" si="1369"/>
        <v>48020</v>
      </c>
      <c r="B38254" s="1" t="str">
        <f>"53036"</f>
        <v>53036</v>
      </c>
      <c r="C38254" s="2">
        <v>3.21723090277777E-2</v>
      </c>
      <c r="D38254" s="2">
        <v>2.8764204545454499E-2</v>
      </c>
      <c r="E38254" s="2">
        <v>2.45068738792588E-2</v>
      </c>
      <c r="F38254" s="2">
        <v>3.1630111479215503E-2</v>
      </c>
    </row>
    <row r="38255" spans="1:6" x14ac:dyDescent="0.25">
      <c r="A38255" s="1" t="str">
        <f t="shared" si="1369"/>
        <v>48020</v>
      </c>
      <c r="B38255" s="1" t="str">
        <f>"53156"</f>
        <v>53156</v>
      </c>
      <c r="C38255" s="2">
        <v>3.7353515625E-2</v>
      </c>
      <c r="D38255" s="2">
        <v>1.20738636363636E-2</v>
      </c>
      <c r="E38255" s="2">
        <v>1.8529587567244401E-2</v>
      </c>
      <c r="F38255" s="2">
        <v>3.4870505162866001E-2</v>
      </c>
    </row>
    <row r="38256" spans="1:6" x14ac:dyDescent="0.25">
      <c r="A38256" s="1" t="str">
        <f t="shared" si="1369"/>
        <v>48020</v>
      </c>
      <c r="B38256" s="1" t="str">
        <f>"53118"</f>
        <v>53118</v>
      </c>
      <c r="C38256" s="2">
        <v>1.0308159722222201E-3</v>
      </c>
      <c r="D38256" s="2">
        <v>7.1022727272727199E-4</v>
      </c>
      <c r="E38256" s="2">
        <v>0</v>
      </c>
      <c r="F38256" s="2">
        <v>9.67281696612095E-4</v>
      </c>
    </row>
    <row r="38257" spans="1:6" x14ac:dyDescent="0.25">
      <c r="A38257" s="1" t="str">
        <f t="shared" si="1369"/>
        <v>48020</v>
      </c>
      <c r="B38257" s="1" t="str">
        <f>"53538"</f>
        <v>53538</v>
      </c>
      <c r="C38257" s="2">
        <v>0.227430555555555</v>
      </c>
      <c r="D38257" s="2">
        <v>0.212357954545454</v>
      </c>
      <c r="E38257" s="2">
        <v>0.22773460848774599</v>
      </c>
      <c r="F38257" s="2">
        <v>0.226416463134476</v>
      </c>
    </row>
    <row r="38258" spans="1:6" x14ac:dyDescent="0.25">
      <c r="A38258" s="1" t="str">
        <f t="shared" si="1369"/>
        <v>48020</v>
      </c>
      <c r="B38258" s="1" t="str">
        <f>"53178"</f>
        <v>53178</v>
      </c>
      <c r="C38258" s="2">
        <v>3.5942925347222203E-2</v>
      </c>
      <c r="D38258" s="2">
        <v>1.3139204545454501E-2</v>
      </c>
      <c r="E38258" s="2">
        <v>1.9725044829647299E-2</v>
      </c>
      <c r="F38258" s="2">
        <v>3.37339491693468E-2</v>
      </c>
    </row>
    <row r="38259" spans="1:6" x14ac:dyDescent="0.25">
      <c r="A38259" s="1" t="str">
        <f t="shared" ref="A38259:A38304" si="1370">"48060"</f>
        <v>48060</v>
      </c>
      <c r="B38259" s="1" t="str">
        <f>"13640"</f>
        <v>13640</v>
      </c>
      <c r="C38259" s="2">
        <v>7.5862805855326397E-3</v>
      </c>
      <c r="D38259" s="2">
        <v>3.42827004219409E-3</v>
      </c>
      <c r="E38259" s="2">
        <v>9.42803268384663E-4</v>
      </c>
      <c r="F38259" s="2">
        <v>7.0016474464579901E-3</v>
      </c>
    </row>
    <row r="38260" spans="1:6" x14ac:dyDescent="0.25">
      <c r="A38260" s="1" t="str">
        <f t="shared" si="1370"/>
        <v>48060</v>
      </c>
      <c r="B38260" s="1" t="str">
        <f>"13659"</f>
        <v>13659</v>
      </c>
      <c r="C38260" s="2">
        <v>4.4520425971435601E-3</v>
      </c>
      <c r="D38260" s="2">
        <v>0</v>
      </c>
      <c r="E38260" s="2">
        <v>3.1426775612822098E-4</v>
      </c>
      <c r="F38260" s="2">
        <v>3.9760486630338304E-3</v>
      </c>
    </row>
    <row r="38261" spans="1:6" x14ac:dyDescent="0.25">
      <c r="A38261" s="1" t="str">
        <f t="shared" si="1370"/>
        <v>48060</v>
      </c>
      <c r="B38261" s="1" t="str">
        <f>"13636"</f>
        <v>13636</v>
      </c>
      <c r="C38261" s="2">
        <v>8.5479217865156495E-4</v>
      </c>
      <c r="D38261" s="2">
        <v>1.3185654008438801E-3</v>
      </c>
      <c r="E38261" s="2">
        <v>3.1426775612822098E-4</v>
      </c>
      <c r="F38261" s="2">
        <v>8.5540489164871302E-4</v>
      </c>
    </row>
    <row r="38262" spans="1:6" x14ac:dyDescent="0.25">
      <c r="A38262" s="1" t="str">
        <f t="shared" si="1370"/>
        <v>48060</v>
      </c>
      <c r="B38262" s="1" t="str">
        <f>"13637"</f>
        <v>13637</v>
      </c>
      <c r="C38262" s="2">
        <v>4.0905367382555097E-2</v>
      </c>
      <c r="D38262" s="2">
        <v>2.7426160337552699E-2</v>
      </c>
      <c r="E38262" s="2">
        <v>1.19421747328724E-2</v>
      </c>
      <c r="F38262" s="2">
        <v>3.8635787606133502E-2</v>
      </c>
    </row>
    <row r="38263" spans="1:6" x14ac:dyDescent="0.25">
      <c r="A38263" s="1" t="str">
        <f t="shared" si="1370"/>
        <v>48060</v>
      </c>
      <c r="B38263" s="1" t="str">
        <f>"13682"</f>
        <v>13682</v>
      </c>
      <c r="C38263" s="2">
        <v>5.8410798874523598E-3</v>
      </c>
      <c r="D38263" s="2">
        <v>2.6371308016877602E-4</v>
      </c>
      <c r="E38263" s="2">
        <v>3.1426775612822098E-4</v>
      </c>
      <c r="F38263" s="2">
        <v>5.2274743378532499E-3</v>
      </c>
    </row>
    <row r="38264" spans="1:6" x14ac:dyDescent="0.25">
      <c r="A38264" s="1" t="str">
        <f t="shared" si="1370"/>
        <v>48060</v>
      </c>
      <c r="B38264" s="1" t="str">
        <f>"13632"</f>
        <v>13632</v>
      </c>
      <c r="C38264" s="2">
        <v>1.88766606118887E-3</v>
      </c>
      <c r="D38264" s="2">
        <v>0</v>
      </c>
      <c r="E38264" s="2">
        <v>3.1426775612822098E-4</v>
      </c>
      <c r="F38264" s="2">
        <v>1.6949689519705901E-3</v>
      </c>
    </row>
    <row r="38265" spans="1:6" x14ac:dyDescent="0.25">
      <c r="A38265" s="1" t="str">
        <f t="shared" si="1370"/>
        <v>48060</v>
      </c>
      <c r="B38265" s="1" t="str">
        <f>"13606"</f>
        <v>13606</v>
      </c>
      <c r="C38265" s="2">
        <v>1.8039676603625699E-2</v>
      </c>
      <c r="D38265" s="2">
        <v>7.1202531645569601E-3</v>
      </c>
      <c r="E38265" s="2">
        <v>3.1426775612822099E-3</v>
      </c>
      <c r="F38265" s="2">
        <v>1.6632872893169399E-2</v>
      </c>
    </row>
    <row r="38266" spans="1:6" x14ac:dyDescent="0.25">
      <c r="A38266" s="1" t="str">
        <f t="shared" si="1370"/>
        <v>48060</v>
      </c>
      <c r="B38266" s="1" t="str">
        <f>"13638"</f>
        <v>13638</v>
      </c>
      <c r="C38266" s="2">
        <v>2.3506784912917999E-3</v>
      </c>
      <c r="D38266" s="2">
        <v>1.8459915611814301E-3</v>
      </c>
      <c r="E38266" s="2">
        <v>9.42803268384663E-4</v>
      </c>
      <c r="F38266" s="2">
        <v>2.2493980484095798E-3</v>
      </c>
    </row>
    <row r="38267" spans="1:6" x14ac:dyDescent="0.25">
      <c r="A38267" s="1" t="str">
        <f t="shared" si="1370"/>
        <v>48060</v>
      </c>
      <c r="B38267" s="1" t="str">
        <f>"13651"</f>
        <v>13651</v>
      </c>
      <c r="C38267" s="2">
        <v>3.5972504184919999E-3</v>
      </c>
      <c r="D38267" s="2">
        <v>0</v>
      </c>
      <c r="E38267" s="2">
        <v>3.1426775612822098E-4</v>
      </c>
      <c r="F38267" s="2">
        <v>3.2156887593460899E-3</v>
      </c>
    </row>
    <row r="38268" spans="1:6" x14ac:dyDescent="0.25">
      <c r="A38268" s="1" t="str">
        <f t="shared" si="1370"/>
        <v>48060</v>
      </c>
      <c r="B38268" s="1" t="str">
        <f>"13665"</f>
        <v>13665</v>
      </c>
      <c r="C38268" s="2">
        <v>3.8643729743206099E-3</v>
      </c>
      <c r="D38268" s="2">
        <v>5.2742616033755205E-4</v>
      </c>
      <c r="E38268" s="2">
        <v>9.42803268384663E-4</v>
      </c>
      <c r="F38268" s="2">
        <v>3.5166645545558202E-3</v>
      </c>
    </row>
    <row r="38269" spans="1:6" x14ac:dyDescent="0.25">
      <c r="A38269" s="1" t="str">
        <f t="shared" si="1370"/>
        <v>48060</v>
      </c>
      <c r="B38269" s="1" t="str">
        <f>"13619"</f>
        <v>13619</v>
      </c>
      <c r="C38269" s="2">
        <v>7.4776507461623301E-2</v>
      </c>
      <c r="D38269" s="2">
        <v>6.1708860759493597E-2</v>
      </c>
      <c r="E38269" s="2">
        <v>0.12570710245128799</v>
      </c>
      <c r="F38269" s="2">
        <v>7.6558737802559798E-2</v>
      </c>
    </row>
    <row r="38270" spans="1:6" x14ac:dyDescent="0.25">
      <c r="A38270" s="1" t="str">
        <f t="shared" si="1370"/>
        <v>48060</v>
      </c>
      <c r="B38270" s="1" t="str">
        <f>"13624"</f>
        <v>13624</v>
      </c>
      <c r="C38270" s="2">
        <v>5.2676568009402701E-2</v>
      </c>
      <c r="D38270" s="2">
        <v>5.1160337552742602E-2</v>
      </c>
      <c r="E38270" s="2">
        <v>5.4054054054054002E-2</v>
      </c>
      <c r="F38270" s="2">
        <v>5.2654923330376302E-2</v>
      </c>
    </row>
    <row r="38271" spans="1:6" x14ac:dyDescent="0.25">
      <c r="A38271" s="1" t="str">
        <f t="shared" si="1370"/>
        <v>48060</v>
      </c>
      <c r="B38271" s="1" t="str">
        <f>"13628"</f>
        <v>13628</v>
      </c>
      <c r="C38271" s="2">
        <v>0</v>
      </c>
      <c r="D38271" s="2">
        <v>0</v>
      </c>
      <c r="E38271" s="2">
        <v>6.2853551225644196E-4</v>
      </c>
      <c r="F38271" s="2">
        <v>3.1681662653655998E-5</v>
      </c>
    </row>
    <row r="38272" spans="1:6" x14ac:dyDescent="0.25">
      <c r="A38272" s="1" t="str">
        <f t="shared" si="1370"/>
        <v>48060</v>
      </c>
      <c r="B38272" s="1" t="str">
        <f>"13611"</f>
        <v>13611</v>
      </c>
      <c r="C38272" s="2">
        <v>2.49314385440039E-3</v>
      </c>
      <c r="D38272" s="2">
        <v>0</v>
      </c>
      <c r="E38272" s="2">
        <v>3.1426775612822098E-4</v>
      </c>
      <c r="F38272" s="2">
        <v>2.2335572170827499E-3</v>
      </c>
    </row>
    <row r="38273" spans="1:6" x14ac:dyDescent="0.25">
      <c r="A38273" s="1" t="str">
        <f t="shared" si="1370"/>
        <v>48060</v>
      </c>
      <c r="B38273" s="1" t="str">
        <f>"13692"</f>
        <v>13692</v>
      </c>
      <c r="C38273" s="2">
        <v>4.2739608932578204E-3</v>
      </c>
      <c r="D38273" s="2">
        <v>2.6371308016877602E-4</v>
      </c>
      <c r="E38273" s="2">
        <v>6.2853551225644196E-4</v>
      </c>
      <c r="F38273" s="2">
        <v>3.8493220124192098E-3</v>
      </c>
    </row>
    <row r="38274" spans="1:6" x14ac:dyDescent="0.25">
      <c r="A38274" s="1" t="str">
        <f t="shared" si="1370"/>
        <v>48060</v>
      </c>
      <c r="B38274" s="1" t="str">
        <f>"13602"</f>
        <v>13602</v>
      </c>
      <c r="C38274" s="2">
        <v>0</v>
      </c>
      <c r="D38274" s="2">
        <v>4.6677215189873403E-2</v>
      </c>
      <c r="E38274" s="2">
        <v>2.51414204902576E-3</v>
      </c>
      <c r="F38274" s="2">
        <v>2.9305537954631799E-3</v>
      </c>
    </row>
    <row r="38275" spans="1:6" x14ac:dyDescent="0.25">
      <c r="A38275" s="1" t="str">
        <f t="shared" si="1370"/>
        <v>48060</v>
      </c>
      <c r="B38275" s="1" t="str">
        <f>"13643"</f>
        <v>13643</v>
      </c>
      <c r="C38275" s="2">
        <v>4.8082060049150501E-4</v>
      </c>
      <c r="D38275" s="2">
        <v>0</v>
      </c>
      <c r="E38275" s="2">
        <v>9.42803268384663E-4</v>
      </c>
      <c r="F38275" s="2">
        <v>4.7522493980484002E-4</v>
      </c>
    </row>
    <row r="38276" spans="1:6" x14ac:dyDescent="0.25">
      <c r="A38276" s="1" t="str">
        <f t="shared" si="1370"/>
        <v>48060</v>
      </c>
      <c r="B38276" s="1" t="str">
        <f>"13083"</f>
        <v>13083</v>
      </c>
      <c r="C38276" s="2">
        <v>2.6712255582861399E-4</v>
      </c>
      <c r="D38276" s="2">
        <v>0</v>
      </c>
      <c r="E38276" s="2">
        <v>0</v>
      </c>
      <c r="F38276" s="2">
        <v>2.3761246990242001E-4</v>
      </c>
    </row>
    <row r="38277" spans="1:6" x14ac:dyDescent="0.25">
      <c r="A38277" s="1" t="str">
        <f t="shared" si="1370"/>
        <v>48060</v>
      </c>
      <c r="B38277" s="1" t="str">
        <f>"13642"</f>
        <v>13642</v>
      </c>
      <c r="C38277" s="2">
        <v>4.6301243010293098E-4</v>
      </c>
      <c r="D38277" s="2">
        <v>2.6371308016877602E-4</v>
      </c>
      <c r="E38277" s="2">
        <v>6.2853551225644196E-4</v>
      </c>
      <c r="F38277" s="2">
        <v>4.5938410847801202E-4</v>
      </c>
    </row>
    <row r="38278" spans="1:6" x14ac:dyDescent="0.25">
      <c r="A38278" s="1" t="str">
        <f t="shared" si="1370"/>
        <v>48060</v>
      </c>
      <c r="B38278" s="1" t="str">
        <f>"13685"</f>
        <v>13685</v>
      </c>
      <c r="C38278" s="2">
        <v>2.22602129857178E-2</v>
      </c>
      <c r="D38278" s="2">
        <v>4.4831223628691904E-3</v>
      </c>
      <c r="E38278" s="2">
        <v>4.7140163419233097E-3</v>
      </c>
      <c r="F38278" s="2">
        <v>2.0307945760993502E-2</v>
      </c>
    </row>
    <row r="38279" spans="1:6" x14ac:dyDescent="0.25">
      <c r="A38279" s="1" t="str">
        <f t="shared" si="1370"/>
        <v>48060</v>
      </c>
      <c r="B38279" s="1" t="str">
        <f>"13631"</f>
        <v>13631</v>
      </c>
      <c r="C38279" s="2">
        <v>0</v>
      </c>
      <c r="D38279" s="2">
        <v>0</v>
      </c>
      <c r="E38279" s="2">
        <v>3.1426775612822098E-4</v>
      </c>
      <c r="F38279" s="2">
        <v>1.5840831326827999E-5</v>
      </c>
    </row>
    <row r="38280" spans="1:6" x14ac:dyDescent="0.25">
      <c r="A38280" s="1" t="str">
        <f t="shared" si="1370"/>
        <v>48060</v>
      </c>
      <c r="B38280" s="1" t="str">
        <f>"13661"</f>
        <v>13661</v>
      </c>
      <c r="C38280" s="2">
        <v>1.24835274423905E-2</v>
      </c>
      <c r="D38280" s="2">
        <v>2.9008438818565398E-3</v>
      </c>
      <c r="E38280" s="2">
        <v>3.1426775612822098E-4</v>
      </c>
      <c r="F38280" s="2">
        <v>1.12945127360283E-2</v>
      </c>
    </row>
    <row r="38281" spans="1:6" x14ac:dyDescent="0.25">
      <c r="A38281" s="1" t="str">
        <f t="shared" si="1370"/>
        <v>48060</v>
      </c>
      <c r="B38281" s="1" t="str">
        <f>"13618"</f>
        <v>13618</v>
      </c>
      <c r="C38281" s="2">
        <v>2.05862449691918E-2</v>
      </c>
      <c r="D38281" s="2">
        <v>6.0654008438818501E-3</v>
      </c>
      <c r="E38281" s="2">
        <v>1.5713387806410999E-2</v>
      </c>
      <c r="F38281" s="2">
        <v>1.94683817006716E-2</v>
      </c>
    </row>
    <row r="38282" spans="1:6" x14ac:dyDescent="0.25">
      <c r="A38282" s="1" t="str">
        <f t="shared" si="1370"/>
        <v>48060</v>
      </c>
      <c r="B38282" s="1" t="str">
        <f>"13691"</f>
        <v>13691</v>
      </c>
      <c r="C38282" s="2">
        <v>2.6338284004701298E-2</v>
      </c>
      <c r="D38282" s="2">
        <v>6.85654008438818E-3</v>
      </c>
      <c r="E38282" s="2">
        <v>1.8856065367693201E-2</v>
      </c>
      <c r="F38282" s="2">
        <v>2.47909010264858E-2</v>
      </c>
    </row>
    <row r="38283" spans="1:6" x14ac:dyDescent="0.25">
      <c r="A38283" s="1" t="str">
        <f t="shared" si="1370"/>
        <v>48060</v>
      </c>
      <c r="B38283" s="1" t="str">
        <f>"13675"</f>
        <v>13675</v>
      </c>
      <c r="C38283" s="2">
        <v>1.24657192720019E-3</v>
      </c>
      <c r="D38283" s="2">
        <v>1.0548523206751E-3</v>
      </c>
      <c r="E38283" s="2">
        <v>3.1426775612822098E-4</v>
      </c>
      <c r="F38283" s="2">
        <v>1.1880623495121E-3</v>
      </c>
    </row>
    <row r="38284" spans="1:6" x14ac:dyDescent="0.25">
      <c r="A38284" s="1" t="str">
        <f t="shared" si="1370"/>
        <v>48060</v>
      </c>
      <c r="B38284" s="1" t="str">
        <f>"13607"</f>
        <v>13607</v>
      </c>
      <c r="C38284" s="2">
        <v>2.6373900345478499E-2</v>
      </c>
      <c r="D38284" s="2">
        <v>5.3797468354430299E-2</v>
      </c>
      <c r="E38284" s="2">
        <v>4.8397234443746003E-2</v>
      </c>
      <c r="F38284" s="2">
        <v>2.9131288810036699E-2</v>
      </c>
    </row>
    <row r="38285" spans="1:6" x14ac:dyDescent="0.25">
      <c r="A38285" s="1" t="str">
        <f t="shared" si="1370"/>
        <v>48060</v>
      </c>
      <c r="B38285" s="1" t="str">
        <f>"13616"</f>
        <v>13616</v>
      </c>
      <c r="C38285" s="2">
        <v>2.2082131281832101E-2</v>
      </c>
      <c r="D38285" s="2">
        <v>6.3291139240506302E-3</v>
      </c>
      <c r="E38285" s="2">
        <v>1.8856065367693201E-2</v>
      </c>
      <c r="F38285" s="2">
        <v>2.0973260676720298E-2</v>
      </c>
    </row>
    <row r="38286" spans="1:6" x14ac:dyDescent="0.25">
      <c r="A38286" s="1" t="str">
        <f t="shared" si="1370"/>
        <v>48060</v>
      </c>
      <c r="B38286" s="1" t="str">
        <f>"13656"</f>
        <v>13656</v>
      </c>
      <c r="C38286" s="2">
        <v>2.10848737400719E-2</v>
      </c>
      <c r="D38286" s="2">
        <v>5.5379746835443003E-3</v>
      </c>
      <c r="E38286" s="2">
        <v>6.9138906348208597E-3</v>
      </c>
      <c r="F38286" s="2">
        <v>1.9436700038017899E-2</v>
      </c>
    </row>
    <row r="38287" spans="1:6" x14ac:dyDescent="0.25">
      <c r="A38287" s="1" t="str">
        <f t="shared" si="1370"/>
        <v>48060</v>
      </c>
      <c r="B38287" s="1" t="str">
        <f>"13679"</f>
        <v>13679</v>
      </c>
      <c r="C38287" s="2">
        <v>1.51903693414538E-2</v>
      </c>
      <c r="D38287" s="2">
        <v>3.1645569620253099E-3</v>
      </c>
      <c r="E38287" s="2">
        <v>2.51414204902576E-3</v>
      </c>
      <c r="F38287" s="2">
        <v>1.3829045748320799E-2</v>
      </c>
    </row>
    <row r="38288" spans="1:6" x14ac:dyDescent="0.25">
      <c r="A38288" s="1" t="str">
        <f t="shared" si="1370"/>
        <v>48060</v>
      </c>
      <c r="B38288" s="1" t="str">
        <f>"13671"</f>
        <v>13671</v>
      </c>
      <c r="C38288" s="2">
        <v>0</v>
      </c>
      <c r="D38288" s="2">
        <v>0</v>
      </c>
      <c r="E38288" s="2">
        <v>3.1426775612822098E-4</v>
      </c>
      <c r="F38288" s="2">
        <v>1.5840831326827999E-5</v>
      </c>
    </row>
    <row r="38289" spans="1:6" x14ac:dyDescent="0.25">
      <c r="A38289" s="1" t="str">
        <f t="shared" si="1370"/>
        <v>48060</v>
      </c>
      <c r="B38289" s="1" t="str">
        <f>"13612"</f>
        <v>13612</v>
      </c>
      <c r="C38289" s="2">
        <v>3.8394415357766103E-2</v>
      </c>
      <c r="D38289" s="2">
        <v>2.39978902953586E-2</v>
      </c>
      <c r="E38289" s="2">
        <v>2.0741671904462598E-2</v>
      </c>
      <c r="F38289" s="2">
        <v>3.6639842858953199E-2</v>
      </c>
    </row>
    <row r="38290" spans="1:6" x14ac:dyDescent="0.25">
      <c r="A38290" s="1" t="str">
        <f t="shared" si="1370"/>
        <v>48060</v>
      </c>
      <c r="B38290" s="1" t="str">
        <f>"13650"</f>
        <v>13650</v>
      </c>
      <c r="C38290" s="2">
        <v>1.3569825836093501E-2</v>
      </c>
      <c r="D38290" s="2">
        <v>1.58227848101265E-3</v>
      </c>
      <c r="E38290" s="2">
        <v>1.5713387806411E-3</v>
      </c>
      <c r="F38290" s="2">
        <v>1.2244962615638001E-2</v>
      </c>
    </row>
    <row r="38291" spans="1:6" x14ac:dyDescent="0.25">
      <c r="A38291" s="1" t="str">
        <f t="shared" si="1370"/>
        <v>48060</v>
      </c>
      <c r="B38291" s="1" t="str">
        <f>"13673"</f>
        <v>13673</v>
      </c>
      <c r="C38291" s="2">
        <v>1.7523239662356999E-2</v>
      </c>
      <c r="D38291" s="2">
        <v>1.02848101265822E-2</v>
      </c>
      <c r="E38291" s="2">
        <v>2.7655562539283401E-2</v>
      </c>
      <c r="F38291" s="2">
        <v>1.7599163604105902E-2</v>
      </c>
    </row>
    <row r="38292" spans="1:6" x14ac:dyDescent="0.25">
      <c r="A38292" s="1" t="str">
        <f t="shared" si="1370"/>
        <v>48060</v>
      </c>
      <c r="B38292" s="1" t="str">
        <f>"13145"</f>
        <v>13145</v>
      </c>
      <c r="C38292" s="2">
        <v>1.7808170388574201E-5</v>
      </c>
      <c r="D38292" s="2">
        <v>0</v>
      </c>
      <c r="E38292" s="2">
        <v>0</v>
      </c>
      <c r="F38292" s="2">
        <v>1.5840831326827999E-5</v>
      </c>
    </row>
    <row r="38293" spans="1:6" x14ac:dyDescent="0.25">
      <c r="A38293" s="1" t="str">
        <f t="shared" si="1370"/>
        <v>48060</v>
      </c>
      <c r="B38293" s="1" t="str">
        <f>"13622"</f>
        <v>13622</v>
      </c>
      <c r="C38293" s="2">
        <v>2.04972041172489E-2</v>
      </c>
      <c r="D38293" s="2">
        <v>1.3185654008438801E-3</v>
      </c>
      <c r="E38293" s="2">
        <v>2.82840980515399E-3</v>
      </c>
      <c r="F38293" s="2">
        <v>1.8454568495754602E-2</v>
      </c>
    </row>
    <row r="38294" spans="1:6" x14ac:dyDescent="0.25">
      <c r="A38294" s="1" t="str">
        <f t="shared" si="1370"/>
        <v>48060</v>
      </c>
      <c r="B38294" s="1" t="str">
        <f>"13601"</f>
        <v>13601</v>
      </c>
      <c r="C38294" s="2">
        <v>0.350411368735976</v>
      </c>
      <c r="D38294" s="2">
        <v>0.62763713080168704</v>
      </c>
      <c r="E38294" s="2">
        <v>0.573852922690131</v>
      </c>
      <c r="F38294" s="2">
        <v>0.378326574578633</v>
      </c>
    </row>
    <row r="38295" spans="1:6" x14ac:dyDescent="0.25">
      <c r="A38295" s="1" t="str">
        <f t="shared" si="1370"/>
        <v>48060</v>
      </c>
      <c r="B38295" s="1" t="str">
        <f>"13605"</f>
        <v>13605</v>
      </c>
      <c r="C38295" s="2">
        <v>3.6702639170851502E-2</v>
      </c>
      <c r="D38295" s="2">
        <v>3.00632911392405E-2</v>
      </c>
      <c r="E38295" s="2">
        <v>3.3626649905719598E-2</v>
      </c>
      <c r="F38295" s="2">
        <v>3.61487770878215E-2</v>
      </c>
    </row>
    <row r="38296" spans="1:6" x14ac:dyDescent="0.25">
      <c r="A38296" s="1" t="str">
        <f t="shared" si="1370"/>
        <v>48060</v>
      </c>
      <c r="B38296" s="1" t="str">
        <f>"13608"</f>
        <v>13608</v>
      </c>
      <c r="C38296" s="2">
        <v>1.00081917583787E-2</v>
      </c>
      <c r="D38296" s="2">
        <v>3.1645569620253099E-3</v>
      </c>
      <c r="E38296" s="2">
        <v>4.7140163419233097E-3</v>
      </c>
      <c r="F38296" s="2">
        <v>9.3302496515017107E-3</v>
      </c>
    </row>
    <row r="38297" spans="1:6" x14ac:dyDescent="0.25">
      <c r="A38297" s="1" t="str">
        <f t="shared" si="1370"/>
        <v>48060</v>
      </c>
      <c r="B38297" s="1" t="str">
        <f>"13603"</f>
        <v>13603</v>
      </c>
      <c r="C38297" s="2">
        <v>7.0840901805748396E-2</v>
      </c>
      <c r="D38297" s="2">
        <v>5.2742616033755205E-4</v>
      </c>
      <c r="E38297" s="2">
        <v>2.82840980515399E-3</v>
      </c>
      <c r="F38297" s="2">
        <v>6.3189076162717003E-2</v>
      </c>
    </row>
    <row r="38298" spans="1:6" x14ac:dyDescent="0.25">
      <c r="A38298" s="1" t="str">
        <f t="shared" si="1370"/>
        <v>48060</v>
      </c>
      <c r="B38298" s="1" t="str">
        <f>"13626"</f>
        <v>13626</v>
      </c>
      <c r="C38298" s="2">
        <v>2.72465006945186E-3</v>
      </c>
      <c r="D38298" s="2">
        <v>2.6371308016877602E-4</v>
      </c>
      <c r="E38298" s="2">
        <v>0</v>
      </c>
      <c r="F38298" s="2">
        <v>2.43948802433151E-3</v>
      </c>
    </row>
    <row r="38299" spans="1:6" x14ac:dyDescent="0.25">
      <c r="A38299" s="1" t="str">
        <f t="shared" si="1370"/>
        <v>48060</v>
      </c>
      <c r="B38299" s="1" t="str">
        <f>"13641"</f>
        <v>13641</v>
      </c>
      <c r="C38299" s="2">
        <v>0</v>
      </c>
      <c r="D38299" s="2">
        <v>0</v>
      </c>
      <c r="E38299" s="2">
        <v>3.1426775612822098E-4</v>
      </c>
      <c r="F38299" s="2">
        <v>1.5840831326827999E-5</v>
      </c>
    </row>
    <row r="38300" spans="1:6" x14ac:dyDescent="0.25">
      <c r="A38300" s="1" t="str">
        <f t="shared" si="1370"/>
        <v>48060</v>
      </c>
      <c r="B38300" s="1" t="str">
        <f>"13646"</f>
        <v>13646</v>
      </c>
      <c r="C38300" s="2">
        <v>2.4931438544003898E-4</v>
      </c>
      <c r="D38300" s="2">
        <v>2.6371308016877602E-4</v>
      </c>
      <c r="E38300" s="2">
        <v>0</v>
      </c>
      <c r="F38300" s="2">
        <v>2.3761246990242001E-4</v>
      </c>
    </row>
    <row r="38301" spans="1:6" x14ac:dyDescent="0.25">
      <c r="A38301" s="1" t="str">
        <f t="shared" si="1370"/>
        <v>48060</v>
      </c>
      <c r="B38301" s="1" t="str">
        <f>"13693"</f>
        <v>13693</v>
      </c>
      <c r="C38301" s="2">
        <v>7.03422730348683E-3</v>
      </c>
      <c r="D38301" s="2">
        <v>1.3185654008438801E-3</v>
      </c>
      <c r="E38301" s="2">
        <v>3.7712130735386498E-3</v>
      </c>
      <c r="F38301" s="2">
        <v>6.5264225066531401E-3</v>
      </c>
    </row>
    <row r="38302" spans="1:6" x14ac:dyDescent="0.25">
      <c r="A38302" s="1" t="str">
        <f t="shared" si="1370"/>
        <v>48060</v>
      </c>
      <c r="B38302" s="1" t="str">
        <f>"13615"</f>
        <v>13615</v>
      </c>
      <c r="C38302" s="2">
        <v>7.17669266659543E-3</v>
      </c>
      <c r="D38302" s="2">
        <v>0</v>
      </c>
      <c r="E38302" s="2">
        <v>9.42803268384663E-4</v>
      </c>
      <c r="F38302" s="2">
        <v>6.4313775186921798E-3</v>
      </c>
    </row>
    <row r="38303" spans="1:6" x14ac:dyDescent="0.25">
      <c r="A38303" s="1" t="str">
        <f t="shared" si="1370"/>
        <v>48060</v>
      </c>
      <c r="B38303" s="1" t="str">
        <f>"13674"</f>
        <v>13674</v>
      </c>
      <c r="C38303" s="2">
        <v>0</v>
      </c>
      <c r="D38303" s="2">
        <v>0</v>
      </c>
      <c r="E38303" s="2">
        <v>6.2853551225644196E-4</v>
      </c>
      <c r="F38303" s="2">
        <v>3.1681662653655998E-5</v>
      </c>
    </row>
    <row r="38304" spans="1:6" x14ac:dyDescent="0.25">
      <c r="A38304" s="1" t="str">
        <f t="shared" si="1370"/>
        <v>48060</v>
      </c>
      <c r="B38304" s="1" t="str">
        <f>"13634"</f>
        <v>13634</v>
      </c>
      <c r="C38304" s="2">
        <v>3.2393061936816597E-2</v>
      </c>
      <c r="D38304" s="2">
        <v>7.3839662447257298E-3</v>
      </c>
      <c r="E38304" s="2">
        <v>4.3997485857950897E-3</v>
      </c>
      <c r="F38304" s="2">
        <v>2.9479787099226901E-2</v>
      </c>
    </row>
    <row r="38305" spans="1:6" x14ac:dyDescent="0.25">
      <c r="A38305" s="1" t="str">
        <f>"48100"</f>
        <v>48100</v>
      </c>
      <c r="B38305" s="1" t="str">
        <f>"33841"</f>
        <v>33841</v>
      </c>
      <c r="C38305" s="2">
        <v>1.11789491787771E-3</v>
      </c>
      <c r="D38305" s="2">
        <v>0</v>
      </c>
      <c r="E38305" s="2">
        <v>0</v>
      </c>
      <c r="F38305" s="2">
        <v>1.02112952635299E-3</v>
      </c>
    </row>
    <row r="38306" spans="1:6" x14ac:dyDescent="0.25">
      <c r="A38306" s="1" t="str">
        <f>"48100"</f>
        <v>48100</v>
      </c>
      <c r="B38306" s="1" t="str">
        <f>"33890"</f>
        <v>33890</v>
      </c>
      <c r="C38306" s="2">
        <v>0.20087711755095</v>
      </c>
      <c r="D38306" s="2">
        <v>0.11111111111111099</v>
      </c>
      <c r="E38306" s="2">
        <v>1.6528925619834701E-2</v>
      </c>
      <c r="F38306" s="2">
        <v>0.19220799622967499</v>
      </c>
    </row>
    <row r="38307" spans="1:6" x14ac:dyDescent="0.25">
      <c r="A38307" s="1" t="str">
        <f>"48100"</f>
        <v>48100</v>
      </c>
      <c r="B38307" s="1" t="str">
        <f>"33873"</f>
        <v>33873</v>
      </c>
      <c r="C38307" s="2">
        <v>0.51629546822598604</v>
      </c>
      <c r="D38307" s="2">
        <v>0.72477064220183396</v>
      </c>
      <c r="E38307" s="2">
        <v>0.76859504132231404</v>
      </c>
      <c r="F38307" s="2">
        <v>0.53475767810855301</v>
      </c>
    </row>
    <row r="38308" spans="1:6" x14ac:dyDescent="0.25">
      <c r="A38308" s="1" t="str">
        <f>"48100"</f>
        <v>48100</v>
      </c>
      <c r="B38308" s="1" t="str">
        <f>"33865"</f>
        <v>33865</v>
      </c>
      <c r="C38308" s="2">
        <v>3.3536847536331502E-2</v>
      </c>
      <c r="D38308" s="2">
        <v>2.9561671763506599E-2</v>
      </c>
      <c r="E38308" s="2">
        <v>8.2644628099173504E-3</v>
      </c>
      <c r="F38308" s="2">
        <v>3.2990338543712097E-2</v>
      </c>
    </row>
    <row r="38309" spans="1:6" x14ac:dyDescent="0.25">
      <c r="A38309" s="1" t="str">
        <f>"48100"</f>
        <v>48100</v>
      </c>
      <c r="B38309" s="1" t="str">
        <f>"33834"</f>
        <v>33834</v>
      </c>
      <c r="C38309" s="2">
        <v>0.24817267176885299</v>
      </c>
      <c r="D38309" s="2">
        <v>0.134556574923547</v>
      </c>
      <c r="E38309" s="2">
        <v>0.206611570247933</v>
      </c>
      <c r="F38309" s="2">
        <v>0.239022857591705</v>
      </c>
    </row>
    <row r="38310" spans="1:6" x14ac:dyDescent="0.25">
      <c r="A38310" s="1" t="str">
        <f t="shared" ref="A38310:A38348" si="1371">"48140"</f>
        <v>48140</v>
      </c>
      <c r="B38310" s="1" t="str">
        <f>"54474"</f>
        <v>54474</v>
      </c>
      <c r="C38310" s="2">
        <v>2.16303657057022E-2</v>
      </c>
      <c r="D38310" s="2">
        <v>3.3070088845014799E-2</v>
      </c>
      <c r="E38310" s="2">
        <v>2.51572327044025E-2</v>
      </c>
      <c r="F38310" s="2">
        <v>2.24507409902324E-2</v>
      </c>
    </row>
    <row r="38311" spans="1:6" x14ac:dyDescent="0.25">
      <c r="A38311" s="1" t="str">
        <f t="shared" si="1371"/>
        <v>48140</v>
      </c>
      <c r="B38311" s="1" t="str">
        <f>"54426"</f>
        <v>54426</v>
      </c>
      <c r="C38311" s="2">
        <v>2.8170316020567299E-2</v>
      </c>
      <c r="D38311" s="2">
        <v>9.5426127015465594E-3</v>
      </c>
      <c r="E38311" s="2">
        <v>1.17400419287211E-2</v>
      </c>
      <c r="F38311" s="2">
        <v>2.65661839003031E-2</v>
      </c>
    </row>
    <row r="38312" spans="1:6" x14ac:dyDescent="0.25">
      <c r="A38312" s="1" t="str">
        <f t="shared" si="1371"/>
        <v>48140</v>
      </c>
      <c r="B38312" s="1" t="str">
        <f>"54449"</f>
        <v>54449</v>
      </c>
      <c r="C38312" s="2">
        <v>9.4863943613149194E-3</v>
      </c>
      <c r="D38312" s="2">
        <v>1.2010529779532699E-2</v>
      </c>
      <c r="E38312" s="2">
        <v>1.8448637316561801E-2</v>
      </c>
      <c r="F38312" s="2">
        <v>9.8728528123947397E-3</v>
      </c>
    </row>
    <row r="38313" spans="1:6" x14ac:dyDescent="0.25">
      <c r="A38313" s="1" t="str">
        <f t="shared" si="1371"/>
        <v>48140</v>
      </c>
      <c r="B38313" s="1" t="str">
        <f>"54452"</f>
        <v>54452</v>
      </c>
      <c r="C38313" s="2">
        <v>0.108729562655266</v>
      </c>
      <c r="D38313" s="2">
        <v>9.7894044093451704E-2</v>
      </c>
      <c r="E38313" s="2">
        <v>9.9790356394129906E-2</v>
      </c>
      <c r="F38313" s="2">
        <v>0.10781197372852799</v>
      </c>
    </row>
    <row r="38314" spans="1:6" x14ac:dyDescent="0.25">
      <c r="A38314" s="1" t="str">
        <f t="shared" si="1371"/>
        <v>48140</v>
      </c>
      <c r="B38314" s="1" t="str">
        <f>"54414"</f>
        <v>54414</v>
      </c>
      <c r="C38314" s="2">
        <v>5.5115835692414296E-3</v>
      </c>
      <c r="D38314" s="2">
        <v>4.9358341559723503E-4</v>
      </c>
      <c r="E38314" s="2">
        <v>2.0964360587002002E-3</v>
      </c>
      <c r="F38314" s="2">
        <v>5.1048332771977002E-3</v>
      </c>
    </row>
    <row r="38315" spans="1:6" x14ac:dyDescent="0.25">
      <c r="A38315" s="1" t="str">
        <f t="shared" si="1371"/>
        <v>48140</v>
      </c>
      <c r="B38315" s="1" t="str">
        <f>"54421"</f>
        <v>54421</v>
      </c>
      <c r="C38315" s="2">
        <v>7.2332312669709303E-3</v>
      </c>
      <c r="D38315" s="2">
        <v>5.2648897663705096E-3</v>
      </c>
      <c r="E38315" s="2">
        <v>4.19287211740041E-3</v>
      </c>
      <c r="F38315" s="2">
        <v>7.03098686426406E-3</v>
      </c>
    </row>
    <row r="38316" spans="1:6" x14ac:dyDescent="0.25">
      <c r="A38316" s="1" t="str">
        <f t="shared" si="1371"/>
        <v>48140</v>
      </c>
      <c r="B38316" s="1" t="str">
        <f>"54423"</f>
        <v>54423</v>
      </c>
      <c r="C38316" s="2">
        <v>6.9328095210584003E-5</v>
      </c>
      <c r="D38316" s="2">
        <v>0</v>
      </c>
      <c r="E38316" s="2">
        <v>0</v>
      </c>
      <c r="F38316" s="2">
        <v>6.3152576625126304E-5</v>
      </c>
    </row>
    <row r="38317" spans="1:6" x14ac:dyDescent="0.25">
      <c r="A38317" s="1" t="str">
        <f t="shared" si="1371"/>
        <v>48140</v>
      </c>
      <c r="B38317" s="1" t="str">
        <f>"54402"</f>
        <v>54402</v>
      </c>
      <c r="C38317" s="2">
        <v>1.01450112658154E-2</v>
      </c>
      <c r="D38317" s="2">
        <v>7.6505429417571505E-2</v>
      </c>
      <c r="E38317" s="2">
        <v>8.3857442348008295E-4</v>
      </c>
      <c r="F38317" s="2">
        <v>1.4156702593465799E-2</v>
      </c>
    </row>
    <row r="38318" spans="1:6" x14ac:dyDescent="0.25">
      <c r="A38318" s="1" t="str">
        <f t="shared" si="1371"/>
        <v>48140</v>
      </c>
      <c r="B38318" s="1" t="str">
        <f>"54473"</f>
        <v>54473</v>
      </c>
      <c r="C38318" s="2">
        <v>3.9748107920734802E-3</v>
      </c>
      <c r="D38318" s="2">
        <v>3.2905561039815701E-4</v>
      </c>
      <c r="E38318" s="2">
        <v>0</v>
      </c>
      <c r="F38318" s="2">
        <v>3.6417985853822799E-3</v>
      </c>
    </row>
    <row r="38319" spans="1:6" x14ac:dyDescent="0.25">
      <c r="A38319" s="1" t="str">
        <f t="shared" si="1371"/>
        <v>48140</v>
      </c>
      <c r="B38319" s="1" t="str">
        <f>"54440"</f>
        <v>54440</v>
      </c>
      <c r="C38319" s="2">
        <v>1.60147899936449E-2</v>
      </c>
      <c r="D38319" s="2">
        <v>3.9486673247778803E-3</v>
      </c>
      <c r="E38319" s="2">
        <v>3.77358490566037E-3</v>
      </c>
      <c r="F38319" s="2">
        <v>1.49355843718423E-2</v>
      </c>
    </row>
    <row r="38320" spans="1:6" x14ac:dyDescent="0.25">
      <c r="A38320" s="1" t="str">
        <f t="shared" si="1371"/>
        <v>48140</v>
      </c>
      <c r="B38320" s="1" t="str">
        <f>"54499"</f>
        <v>54499</v>
      </c>
      <c r="C38320" s="2">
        <v>2.93488936391472E-3</v>
      </c>
      <c r="D38320" s="2">
        <v>8.2263902599539302E-4</v>
      </c>
      <c r="E38320" s="2">
        <v>0</v>
      </c>
      <c r="F38320" s="2">
        <v>2.72608622431795E-3</v>
      </c>
    </row>
    <row r="38321" spans="1:6" x14ac:dyDescent="0.25">
      <c r="A38321" s="1" t="str">
        <f t="shared" si="1371"/>
        <v>48140</v>
      </c>
      <c r="B38321" s="1" t="str">
        <f>"54442"</f>
        <v>54442</v>
      </c>
      <c r="C38321" s="2">
        <v>6.6901611878213601E-3</v>
      </c>
      <c r="D38321" s="2">
        <v>1.64527805199078E-3</v>
      </c>
      <c r="E38321" s="2">
        <v>4.1928721174004099E-4</v>
      </c>
      <c r="F38321" s="2">
        <v>6.2100033681374203E-3</v>
      </c>
    </row>
    <row r="38322" spans="1:6" x14ac:dyDescent="0.25">
      <c r="A38322" s="1" t="str">
        <f t="shared" si="1371"/>
        <v>48140</v>
      </c>
      <c r="B38322" s="1" t="str">
        <f>"54459"</f>
        <v>54459</v>
      </c>
      <c r="C38322" s="2">
        <v>5.7773412675486703E-5</v>
      </c>
      <c r="D38322" s="2">
        <v>0</v>
      </c>
      <c r="E38322" s="2">
        <v>0</v>
      </c>
      <c r="F38322" s="2">
        <v>5.2627147187605199E-5</v>
      </c>
    </row>
    <row r="38323" spans="1:6" x14ac:dyDescent="0.25">
      <c r="A38323" s="1" t="str">
        <f t="shared" si="1371"/>
        <v>48140</v>
      </c>
      <c r="B38323" s="1" t="str">
        <f>"54488"</f>
        <v>54488</v>
      </c>
      <c r="C38323" s="2">
        <v>2.7153503957478699E-3</v>
      </c>
      <c r="D38323" s="2">
        <v>4.9358341559723503E-4</v>
      </c>
      <c r="E38323" s="2">
        <v>1.2578616352201201E-3</v>
      </c>
      <c r="F38323" s="2">
        <v>2.5366284944425702E-3</v>
      </c>
    </row>
    <row r="38324" spans="1:6" x14ac:dyDescent="0.25">
      <c r="A38324" s="1" t="str">
        <f t="shared" si="1371"/>
        <v>48140</v>
      </c>
      <c r="B38324" s="1" t="str">
        <f>"54429"</f>
        <v>54429</v>
      </c>
      <c r="C38324" s="2">
        <v>0</v>
      </c>
      <c r="D38324" s="2">
        <v>0</v>
      </c>
      <c r="E38324" s="2">
        <v>4.1928721174004099E-4</v>
      </c>
      <c r="F38324" s="2">
        <v>1.0525429437521E-5</v>
      </c>
    </row>
    <row r="38325" spans="1:6" x14ac:dyDescent="0.25">
      <c r="A38325" s="1" t="str">
        <f t="shared" si="1371"/>
        <v>48140</v>
      </c>
      <c r="B38325" s="1" t="str">
        <f>"54443"</f>
        <v>54443</v>
      </c>
      <c r="C38325" s="2">
        <v>3.6974984112311501E-4</v>
      </c>
      <c r="D38325" s="2">
        <v>0</v>
      </c>
      <c r="E38325" s="2">
        <v>0</v>
      </c>
      <c r="F38325" s="2">
        <v>3.3681374200067302E-4</v>
      </c>
    </row>
    <row r="38326" spans="1:6" x14ac:dyDescent="0.25">
      <c r="A38326" s="1" t="str">
        <f t="shared" si="1371"/>
        <v>48140</v>
      </c>
      <c r="B38326" s="1" t="str">
        <f>"54480"</f>
        <v>54480</v>
      </c>
      <c r="C38326" s="2">
        <v>1.8487492056155699E-4</v>
      </c>
      <c r="D38326" s="2">
        <v>1.6452780519907799E-4</v>
      </c>
      <c r="E38326" s="2">
        <v>0</v>
      </c>
      <c r="F38326" s="2">
        <v>1.7893230043785699E-4</v>
      </c>
    </row>
    <row r="38327" spans="1:6" x14ac:dyDescent="0.25">
      <c r="A38327" s="1" t="str">
        <f t="shared" si="1371"/>
        <v>48140</v>
      </c>
      <c r="B38327" s="1" t="str">
        <f>"54425"</f>
        <v>54425</v>
      </c>
      <c r="C38327" s="2">
        <v>1.6985383326593099E-3</v>
      </c>
      <c r="D38327" s="2">
        <v>9.8716683119447093E-4</v>
      </c>
      <c r="E38327" s="2">
        <v>0</v>
      </c>
      <c r="F38327" s="2">
        <v>1.6103907039407199E-3</v>
      </c>
    </row>
    <row r="38328" spans="1:6" x14ac:dyDescent="0.25">
      <c r="A38328" s="1" t="str">
        <f t="shared" si="1371"/>
        <v>48140</v>
      </c>
      <c r="B38328" s="1" t="str">
        <f>"54455"</f>
        <v>54455</v>
      </c>
      <c r="C38328" s="2">
        <v>0.121994338205557</v>
      </c>
      <c r="D38328" s="2">
        <v>6.6140177690029597E-2</v>
      </c>
      <c r="E38328" s="2">
        <v>9.7693920335429701E-2</v>
      </c>
      <c r="F38328" s="2">
        <v>0.117811131694173</v>
      </c>
    </row>
    <row r="38329" spans="1:6" x14ac:dyDescent="0.25">
      <c r="A38329" s="1" t="str">
        <f t="shared" si="1371"/>
        <v>48140</v>
      </c>
      <c r="B38329" s="1" t="str">
        <f>"54448"</f>
        <v>54448</v>
      </c>
      <c r="C38329" s="2">
        <v>2.6506441735513302E-2</v>
      </c>
      <c r="D38329" s="2">
        <v>2.12240868706811E-2</v>
      </c>
      <c r="E38329" s="2">
        <v>1.5932914046121498E-2</v>
      </c>
      <c r="F38329" s="2">
        <v>2.5903081845739299E-2</v>
      </c>
    </row>
    <row r="38330" spans="1:6" x14ac:dyDescent="0.25">
      <c r="A38330" s="1" t="str">
        <f t="shared" si="1371"/>
        <v>48140</v>
      </c>
      <c r="B38330" s="1" t="str">
        <f>"54411"</f>
        <v>54411</v>
      </c>
      <c r="C38330" s="2">
        <v>3.95054595874978E-2</v>
      </c>
      <c r="D38330" s="2">
        <v>1.28331688055281E-2</v>
      </c>
      <c r="E38330" s="2">
        <v>8.8050314465408803E-3</v>
      </c>
      <c r="F38330" s="2">
        <v>3.7028460761198999E-2</v>
      </c>
    </row>
    <row r="38331" spans="1:6" x14ac:dyDescent="0.25">
      <c r="A38331" s="1" t="str">
        <f t="shared" si="1371"/>
        <v>48140</v>
      </c>
      <c r="B38331" s="1" t="str">
        <f>"54484"</f>
        <v>54484</v>
      </c>
      <c r="C38331" s="2">
        <v>2.4391934831590498E-2</v>
      </c>
      <c r="D38331" s="2">
        <v>1.2504113195129901E-2</v>
      </c>
      <c r="E38331" s="2">
        <v>1.9287211740041901E-2</v>
      </c>
      <c r="F38331" s="2">
        <v>2.3503283933984501E-2</v>
      </c>
    </row>
    <row r="38332" spans="1:6" x14ac:dyDescent="0.25">
      <c r="A38332" s="1" t="str">
        <f t="shared" si="1371"/>
        <v>48140</v>
      </c>
      <c r="B38332" s="1" t="str">
        <f>"54479"</f>
        <v>54479</v>
      </c>
      <c r="C38332" s="2">
        <v>1.93309838812178E-2</v>
      </c>
      <c r="D38332" s="2">
        <v>1.1187890753537299E-2</v>
      </c>
      <c r="E38332" s="2">
        <v>1.3836477987421301E-2</v>
      </c>
      <c r="F38332" s="2">
        <v>1.8672111822162302E-2</v>
      </c>
    </row>
    <row r="38333" spans="1:6" x14ac:dyDescent="0.25">
      <c r="A38333" s="1" t="str">
        <f t="shared" si="1371"/>
        <v>48140</v>
      </c>
      <c r="B38333" s="1" t="str">
        <f>"54405"</f>
        <v>54405</v>
      </c>
      <c r="C38333" s="2">
        <v>5.6849038072678904E-3</v>
      </c>
      <c r="D38333" s="2">
        <v>2.63244488318525E-3</v>
      </c>
      <c r="E38333" s="2">
        <v>5.0314465408805003E-3</v>
      </c>
      <c r="F38333" s="2">
        <v>5.4732233075109396E-3</v>
      </c>
    </row>
    <row r="38334" spans="1:6" x14ac:dyDescent="0.25">
      <c r="A38334" s="1" t="str">
        <f t="shared" si="1371"/>
        <v>48140</v>
      </c>
      <c r="B38334" s="1" t="str">
        <f>"54471"</f>
        <v>54471</v>
      </c>
      <c r="C38334" s="2">
        <v>8.5042463458316394E-3</v>
      </c>
      <c r="D38334" s="2">
        <v>2.63244488318525E-3</v>
      </c>
      <c r="E38334" s="2">
        <v>4.1928721174004099E-4</v>
      </c>
      <c r="F38334" s="2">
        <v>7.9256483664533507E-3</v>
      </c>
    </row>
    <row r="38335" spans="1:6" x14ac:dyDescent="0.25">
      <c r="A38335" s="1" t="str">
        <f t="shared" si="1371"/>
        <v>48140</v>
      </c>
      <c r="B38335" s="1" t="str">
        <f>"54501"</f>
        <v>54501</v>
      </c>
      <c r="C38335" s="2">
        <v>9.7059333294817701E-4</v>
      </c>
      <c r="D38335" s="2">
        <v>0</v>
      </c>
      <c r="E38335" s="2">
        <v>0</v>
      </c>
      <c r="F38335" s="2">
        <v>8.8413607275176804E-4</v>
      </c>
    </row>
    <row r="38336" spans="1:6" x14ac:dyDescent="0.25">
      <c r="A38336" s="1" t="str">
        <f t="shared" si="1371"/>
        <v>48140</v>
      </c>
      <c r="B38336" s="1" t="str">
        <f>"54487"</f>
        <v>54487</v>
      </c>
      <c r="C38336" s="2">
        <v>5.7553873707319798E-2</v>
      </c>
      <c r="D38336" s="2">
        <v>6.00526488976637E-2</v>
      </c>
      <c r="E38336" s="2">
        <v>4.0251572327044002E-2</v>
      </c>
      <c r="F38336" s="2">
        <v>5.7279386998989497E-2</v>
      </c>
    </row>
    <row r="38337" spans="1:6" x14ac:dyDescent="0.25">
      <c r="A38337" s="1" t="str">
        <f t="shared" si="1371"/>
        <v>48140</v>
      </c>
      <c r="B38337" s="1" t="str">
        <f>"54476"</f>
        <v>54476</v>
      </c>
      <c r="C38337" s="2">
        <v>0.10451210352995501</v>
      </c>
      <c r="D38337" s="2">
        <v>0.135077328068443</v>
      </c>
      <c r="E38337" s="2">
        <v>0.24192872117400399</v>
      </c>
      <c r="F38337" s="2">
        <v>0.109917059616032</v>
      </c>
    </row>
    <row r="38338" spans="1:6" x14ac:dyDescent="0.25">
      <c r="A38338" s="1" t="str">
        <f t="shared" si="1371"/>
        <v>48140</v>
      </c>
      <c r="B38338" s="1" t="str">
        <f>"54412"</f>
        <v>54412</v>
      </c>
      <c r="C38338" s="2">
        <v>8.0882777745681404E-5</v>
      </c>
      <c r="D38338" s="2">
        <v>0</v>
      </c>
      <c r="E38338" s="2">
        <v>0</v>
      </c>
      <c r="F38338" s="2">
        <v>7.36780060626473E-5</v>
      </c>
    </row>
    <row r="38339" spans="1:6" x14ac:dyDescent="0.25">
      <c r="A38339" s="1" t="str">
        <f t="shared" si="1371"/>
        <v>48140</v>
      </c>
      <c r="B38339" s="1" t="str">
        <f>"54532"</f>
        <v>54532</v>
      </c>
      <c r="C38339" s="2">
        <v>0</v>
      </c>
      <c r="D38339" s="2">
        <v>0</v>
      </c>
      <c r="E38339" s="2">
        <v>4.1928721174004099E-4</v>
      </c>
      <c r="F38339" s="2">
        <v>1.0525429437521E-5</v>
      </c>
    </row>
    <row r="38340" spans="1:6" x14ac:dyDescent="0.25">
      <c r="A38340" s="1" t="str">
        <f t="shared" si="1371"/>
        <v>48140</v>
      </c>
      <c r="B38340" s="1" t="str">
        <f>"54564"</f>
        <v>54564</v>
      </c>
      <c r="C38340" s="2">
        <v>1.9296319833612501E-3</v>
      </c>
      <c r="D38340" s="2">
        <v>8.2263902599539302E-4</v>
      </c>
      <c r="E38340" s="2">
        <v>0</v>
      </c>
      <c r="F38340" s="2">
        <v>1.8103738632536199E-3</v>
      </c>
    </row>
    <row r="38341" spans="1:6" x14ac:dyDescent="0.25">
      <c r="A38341" s="1" t="str">
        <f t="shared" si="1371"/>
        <v>48140</v>
      </c>
      <c r="B38341" s="1" t="str">
        <f>"54427"</f>
        <v>54427</v>
      </c>
      <c r="C38341" s="2">
        <v>7.3718874573920996E-3</v>
      </c>
      <c r="D38341" s="2">
        <v>9.8716683119447093E-4</v>
      </c>
      <c r="E38341" s="2">
        <v>0</v>
      </c>
      <c r="F38341" s="2">
        <v>6.7783765577635498E-3</v>
      </c>
    </row>
    <row r="38342" spans="1:6" x14ac:dyDescent="0.25">
      <c r="A38342" s="1" t="str">
        <f t="shared" si="1371"/>
        <v>48140</v>
      </c>
      <c r="B38342" s="1" t="str">
        <f>"54408"</f>
        <v>54408</v>
      </c>
      <c r="C38342" s="2">
        <v>5.8351146802241597E-3</v>
      </c>
      <c r="D38342" s="2">
        <v>1.9743336623889401E-3</v>
      </c>
      <c r="E38342" s="2">
        <v>0</v>
      </c>
      <c r="F38342" s="2">
        <v>5.4416470191983798E-3</v>
      </c>
    </row>
    <row r="38343" spans="1:6" x14ac:dyDescent="0.25">
      <c r="A38343" s="1" t="str">
        <f t="shared" si="1371"/>
        <v>48140</v>
      </c>
      <c r="B38343" s="1" t="str">
        <f>"54403"</f>
        <v>54403</v>
      </c>
      <c r="C38343" s="2">
        <v>0.13067190478941501</v>
      </c>
      <c r="D38343" s="2">
        <v>0.15301085883514301</v>
      </c>
      <c r="E38343" s="2">
        <v>0.15220125786163499</v>
      </c>
      <c r="F38343" s="2">
        <v>0.13264146177163999</v>
      </c>
    </row>
    <row r="38344" spans="1:6" x14ac:dyDescent="0.25">
      <c r="A38344" s="1" t="str">
        <f t="shared" si="1371"/>
        <v>48140</v>
      </c>
      <c r="B38344" s="1" t="str">
        <f>"54417"</f>
        <v>54417</v>
      </c>
      <c r="C38344" s="2">
        <v>3.8130452365821201E-4</v>
      </c>
      <c r="D38344" s="2">
        <v>0</v>
      </c>
      <c r="E38344" s="2">
        <v>4.1928721174004099E-4</v>
      </c>
      <c r="F38344" s="2">
        <v>3.5786460087571502E-4</v>
      </c>
    </row>
    <row r="38345" spans="1:6" x14ac:dyDescent="0.25">
      <c r="A38345" s="1" t="str">
        <f t="shared" si="1371"/>
        <v>48140</v>
      </c>
      <c r="B38345" s="1" t="str">
        <f>"54435"</f>
        <v>54435</v>
      </c>
      <c r="C38345" s="2">
        <v>1.10116124559477E-2</v>
      </c>
      <c r="D38345" s="2">
        <v>1.8098058571898599E-3</v>
      </c>
      <c r="E38345" s="2">
        <v>1.2578616352201201E-3</v>
      </c>
      <c r="F38345" s="2">
        <v>1.0178090266082801E-2</v>
      </c>
    </row>
    <row r="38346" spans="1:6" x14ac:dyDescent="0.25">
      <c r="A38346" s="1" t="str">
        <f t="shared" si="1371"/>
        <v>48140</v>
      </c>
      <c r="B38346" s="1" t="str">
        <f>"54401"</f>
        <v>54401</v>
      </c>
      <c r="C38346" s="2">
        <v>0.20697902825119799</v>
      </c>
      <c r="D38346" s="2">
        <v>0.27344521224086799</v>
      </c>
      <c r="E38346" s="2">
        <v>0.23438155136268299</v>
      </c>
      <c r="F38346" s="2">
        <v>0.21191899629504801</v>
      </c>
    </row>
    <row r="38347" spans="1:6" x14ac:dyDescent="0.25">
      <c r="A38347" s="1" t="str">
        <f t="shared" si="1371"/>
        <v>48140</v>
      </c>
      <c r="B38347" s="1" t="str">
        <f>"54451"</f>
        <v>54451</v>
      </c>
      <c r="C38347" s="2">
        <v>2.65757698307239E-4</v>
      </c>
      <c r="D38347" s="2">
        <v>0</v>
      </c>
      <c r="E38347" s="2">
        <v>0</v>
      </c>
      <c r="F38347" s="2">
        <v>2.42084877062984E-4</v>
      </c>
    </row>
    <row r="38348" spans="1:6" x14ac:dyDescent="0.25">
      <c r="A38348" s="1" t="str">
        <f t="shared" si="1371"/>
        <v>48140</v>
      </c>
      <c r="B38348" s="1" t="str">
        <f>"54409"</f>
        <v>54409</v>
      </c>
      <c r="C38348" s="2">
        <v>9.0126523773759301E-4</v>
      </c>
      <c r="D38348" s="2">
        <v>4.9358341559723503E-4</v>
      </c>
      <c r="E38348" s="2">
        <v>0</v>
      </c>
      <c r="F38348" s="2">
        <v>8.5255978443920502E-4</v>
      </c>
    </row>
    <row r="38349" spans="1:6" x14ac:dyDescent="0.25">
      <c r="A38349" s="1" t="str">
        <f t="shared" ref="A38349:A38363" si="1372">"48180"</f>
        <v>48180</v>
      </c>
      <c r="B38349" s="1" t="str">
        <f>"31556"</f>
        <v>31556</v>
      </c>
      <c r="C38349" s="2">
        <v>0</v>
      </c>
      <c r="D38349" s="2">
        <v>3.1201248049921899E-4</v>
      </c>
      <c r="E38349" s="2">
        <v>0</v>
      </c>
      <c r="F38349" s="2">
        <v>3.01677325932182E-5</v>
      </c>
    </row>
    <row r="38350" spans="1:6" x14ac:dyDescent="0.25">
      <c r="A38350" s="1" t="str">
        <f t="shared" si="1372"/>
        <v>48180</v>
      </c>
      <c r="B38350" s="1" t="str">
        <f>"31502"</f>
        <v>31502</v>
      </c>
      <c r="C38350" s="2">
        <v>6.5500848896434594E-2</v>
      </c>
      <c r="D38350" s="2">
        <v>0.14383775351014</v>
      </c>
      <c r="E38350" s="2">
        <v>4.05679513184584E-3</v>
      </c>
      <c r="F38350" s="2">
        <v>7.2161216362978106E-2</v>
      </c>
    </row>
    <row r="38351" spans="1:6" x14ac:dyDescent="0.25">
      <c r="A38351" s="1" t="str">
        <f t="shared" si="1372"/>
        <v>48180</v>
      </c>
      <c r="B38351" s="1" t="str">
        <f>"31550"</f>
        <v>31550</v>
      </c>
      <c r="C38351" s="2">
        <v>1.5415959252971101E-2</v>
      </c>
      <c r="D38351" s="2">
        <v>5.3042121684867298E-3</v>
      </c>
      <c r="E38351" s="2">
        <v>2.02839756592292E-3</v>
      </c>
      <c r="F38351" s="2">
        <v>1.4239169783999001E-2</v>
      </c>
    </row>
    <row r="38352" spans="1:6" x14ac:dyDescent="0.25">
      <c r="A38352" s="1" t="str">
        <f t="shared" si="1372"/>
        <v>48180</v>
      </c>
      <c r="B38352" s="1" t="str">
        <f>"31510"</f>
        <v>31510</v>
      </c>
      <c r="C38352" s="2">
        <v>5.3989813242784302E-3</v>
      </c>
      <c r="D38352" s="2">
        <v>6.2402496099843896E-4</v>
      </c>
      <c r="E38352" s="2">
        <v>0</v>
      </c>
      <c r="F38352" s="2">
        <v>4.8570049475081404E-3</v>
      </c>
    </row>
    <row r="38353" spans="1:6" x14ac:dyDescent="0.25">
      <c r="A38353" s="1" t="str">
        <f t="shared" si="1372"/>
        <v>48180</v>
      </c>
      <c r="B38353" s="1" t="str">
        <f>"31501"</f>
        <v>31501</v>
      </c>
      <c r="C38353" s="2">
        <v>0.258675721561969</v>
      </c>
      <c r="D38353" s="2">
        <v>0.468330733229329</v>
      </c>
      <c r="E38353" s="2">
        <v>0.61054766734279897</v>
      </c>
      <c r="F38353" s="2">
        <v>0.284180041028116</v>
      </c>
    </row>
    <row r="38354" spans="1:6" x14ac:dyDescent="0.25">
      <c r="A38354" s="1" t="str">
        <f t="shared" si="1372"/>
        <v>48180</v>
      </c>
      <c r="B38354" s="1" t="str">
        <f>"31518"</f>
        <v>31518</v>
      </c>
      <c r="C38354" s="2">
        <v>5.6366723259762301E-3</v>
      </c>
      <c r="D38354" s="2">
        <v>2.80811232449297E-3</v>
      </c>
      <c r="E38354" s="2">
        <v>4.05679513184584E-3</v>
      </c>
      <c r="F38354" s="2">
        <v>5.3396886689996304E-3</v>
      </c>
    </row>
    <row r="38355" spans="1:6" x14ac:dyDescent="0.25">
      <c r="A38355" s="1" t="str">
        <f t="shared" si="1372"/>
        <v>48180</v>
      </c>
      <c r="B38355" s="1" t="str">
        <f>"31551"</f>
        <v>31551</v>
      </c>
      <c r="C38355" s="2">
        <v>8.7266553480475299E-3</v>
      </c>
      <c r="D38355" s="2">
        <v>2.4960998439937502E-3</v>
      </c>
      <c r="E38355" s="2">
        <v>2.02839756592292E-3</v>
      </c>
      <c r="F38355" s="2">
        <v>8.0246168697960599E-3</v>
      </c>
    </row>
    <row r="38356" spans="1:6" x14ac:dyDescent="0.25">
      <c r="A38356" s="1" t="str">
        <f t="shared" si="1372"/>
        <v>48180</v>
      </c>
      <c r="B38356" s="1" t="str">
        <f>"31554"</f>
        <v>31554</v>
      </c>
      <c r="C38356" s="2">
        <v>6.75721561969439E-3</v>
      </c>
      <c r="D38356" s="2">
        <v>2.18408736349453E-3</v>
      </c>
      <c r="E38356" s="2">
        <v>0</v>
      </c>
      <c r="F38356" s="2">
        <v>6.2145529142029598E-3</v>
      </c>
    </row>
    <row r="38357" spans="1:6" x14ac:dyDescent="0.25">
      <c r="A38357" s="1" t="str">
        <f t="shared" si="1372"/>
        <v>48180</v>
      </c>
      <c r="B38357" s="1" t="str">
        <f>"31552"</f>
        <v>31552</v>
      </c>
      <c r="C38357" s="2">
        <v>1.6366723259762302E-2</v>
      </c>
      <c r="D38357" s="2">
        <v>4.99219968798751E-3</v>
      </c>
      <c r="E38357" s="2">
        <v>0</v>
      </c>
      <c r="F38357" s="2">
        <v>1.50235308314227E-2</v>
      </c>
    </row>
    <row r="38358" spans="1:6" x14ac:dyDescent="0.25">
      <c r="A38358" s="1" t="str">
        <f t="shared" si="1372"/>
        <v>48180</v>
      </c>
      <c r="B38358" s="1" t="str">
        <f>"31503"</f>
        <v>31503</v>
      </c>
      <c r="C38358" s="2">
        <v>0.31945670628183298</v>
      </c>
      <c r="D38358" s="2">
        <v>0.19625585023400899</v>
      </c>
      <c r="E38358" s="2">
        <v>0.19472616632859999</v>
      </c>
      <c r="F38358" s="2">
        <v>0.30568963436708002</v>
      </c>
    </row>
    <row r="38359" spans="1:6" x14ac:dyDescent="0.25">
      <c r="A38359" s="1" t="str">
        <f t="shared" si="1372"/>
        <v>48180</v>
      </c>
      <c r="B38359" s="1" t="str">
        <f>"31516"</f>
        <v>31516</v>
      </c>
      <c r="C38359" s="2">
        <v>0.248217317487266</v>
      </c>
      <c r="D38359" s="2">
        <v>0.15226209048361899</v>
      </c>
      <c r="E38359" s="2">
        <v>0.17038539553752499</v>
      </c>
      <c r="F38359" s="2">
        <v>0.23778206829974599</v>
      </c>
    </row>
    <row r="38360" spans="1:6" x14ac:dyDescent="0.25">
      <c r="A38360" s="1" t="str">
        <f t="shared" si="1372"/>
        <v>48180</v>
      </c>
      <c r="B38360" s="1" t="str">
        <f>"31557"</f>
        <v>31557</v>
      </c>
      <c r="C38360" s="2">
        <v>4.8998302207130702E-2</v>
      </c>
      <c r="D38360" s="2">
        <v>1.9656786271450798E-2</v>
      </c>
      <c r="E38360" s="2">
        <v>1.2170385395537499E-2</v>
      </c>
      <c r="F38360" s="2">
        <v>4.5613611680945999E-2</v>
      </c>
    </row>
    <row r="38361" spans="1:6" x14ac:dyDescent="0.25">
      <c r="A38361" s="1" t="str">
        <f t="shared" si="1372"/>
        <v>48180</v>
      </c>
      <c r="B38361" s="1" t="str">
        <f>"31631"</f>
        <v>31631</v>
      </c>
      <c r="C38361" s="2">
        <v>1.01867572156196E-4</v>
      </c>
      <c r="D38361" s="2">
        <v>3.1201248049921899E-4</v>
      </c>
      <c r="E38361" s="2">
        <v>0</v>
      </c>
      <c r="F38361" s="2">
        <v>1.20670930372873E-4</v>
      </c>
    </row>
    <row r="38362" spans="1:6" x14ac:dyDescent="0.25">
      <c r="A38362" s="1" t="str">
        <f t="shared" si="1372"/>
        <v>48180</v>
      </c>
      <c r="B38362" s="1" t="str">
        <f>"31564"</f>
        <v>31564</v>
      </c>
      <c r="C38362" s="2">
        <v>0</v>
      </c>
      <c r="D38362" s="2">
        <v>3.1201248049921899E-4</v>
      </c>
      <c r="E38362" s="2">
        <v>0</v>
      </c>
      <c r="F38362" s="2">
        <v>3.01677325932182E-5</v>
      </c>
    </row>
    <row r="38363" spans="1:6" x14ac:dyDescent="0.25">
      <c r="A38363" s="1" t="str">
        <f t="shared" si="1372"/>
        <v>48180</v>
      </c>
      <c r="B38363" s="1" t="str">
        <f>"31624"</f>
        <v>31624</v>
      </c>
      <c r="C38363" s="2">
        <v>7.4702886247877704E-4</v>
      </c>
      <c r="D38363" s="2">
        <v>3.1201248049921899E-4</v>
      </c>
      <c r="E38363" s="2">
        <v>0</v>
      </c>
      <c r="F38363" s="2">
        <v>6.9385784964402005E-4</v>
      </c>
    </row>
    <row r="38364" spans="1:6" x14ac:dyDescent="0.25">
      <c r="A38364" s="1" t="str">
        <f t="shared" ref="A38364:A38374" si="1373">"48220"</f>
        <v>48220</v>
      </c>
      <c r="B38364" s="1" t="str">
        <f>"73669"</f>
        <v>73669</v>
      </c>
      <c r="C38364" s="2">
        <v>4.5818852400879399E-2</v>
      </c>
      <c r="D38364" s="2">
        <v>1.15473441108545E-2</v>
      </c>
      <c r="E38364" s="2">
        <v>5.4249547920433901E-3</v>
      </c>
      <c r="F38364" s="2">
        <v>4.083251953125E-2</v>
      </c>
    </row>
    <row r="38365" spans="1:6" x14ac:dyDescent="0.25">
      <c r="A38365" s="1" t="str">
        <f t="shared" si="1373"/>
        <v>48220</v>
      </c>
      <c r="B38365" s="1" t="str">
        <f>"73048"</f>
        <v>73048</v>
      </c>
      <c r="C38365" s="2">
        <v>0</v>
      </c>
      <c r="D38365" s="2">
        <v>0</v>
      </c>
      <c r="E38365" s="2">
        <v>1.80831826401446E-3</v>
      </c>
      <c r="F38365" s="2">
        <v>6.103515625E-5</v>
      </c>
    </row>
    <row r="38366" spans="1:6" x14ac:dyDescent="0.25">
      <c r="A38366" s="1" t="str">
        <f t="shared" si="1373"/>
        <v>48220</v>
      </c>
      <c r="B38366" s="1" t="str">
        <f>"73650"</f>
        <v>73650</v>
      </c>
      <c r="C38366" s="2">
        <v>7.8019717710475897E-4</v>
      </c>
      <c r="D38366" s="2">
        <v>0</v>
      </c>
      <c r="E38366" s="2">
        <v>0</v>
      </c>
      <c r="F38366" s="2">
        <v>6.7138671875E-4</v>
      </c>
    </row>
    <row r="38367" spans="1:6" x14ac:dyDescent="0.25">
      <c r="A38367" s="1" t="str">
        <f t="shared" si="1373"/>
        <v>48220</v>
      </c>
      <c r="B38367" s="1" t="str">
        <f>"73024"</f>
        <v>73024</v>
      </c>
      <c r="C38367" s="2">
        <v>7.0927016100432599E-5</v>
      </c>
      <c r="D38367" s="2">
        <v>0</v>
      </c>
      <c r="E38367" s="2">
        <v>0</v>
      </c>
      <c r="F38367" s="2">
        <v>6.103515625E-5</v>
      </c>
    </row>
    <row r="38368" spans="1:6" x14ac:dyDescent="0.25">
      <c r="A38368" s="1" t="str">
        <f t="shared" si="1373"/>
        <v>48220</v>
      </c>
      <c r="B38368" s="1" t="str">
        <f>"73625"</f>
        <v>73625</v>
      </c>
      <c r="C38368" s="2">
        <v>1.2979643946379101E-2</v>
      </c>
      <c r="D38368" s="2">
        <v>3.4642032332563499E-3</v>
      </c>
      <c r="E38368" s="2">
        <v>1.80831826401446E-3</v>
      </c>
      <c r="F38368" s="2">
        <v>1.15966796875E-2</v>
      </c>
    </row>
    <row r="38369" spans="1:6" x14ac:dyDescent="0.25">
      <c r="A38369" s="1" t="str">
        <f t="shared" si="1373"/>
        <v>48220</v>
      </c>
      <c r="B38369" s="1" t="str">
        <f>"73096"</f>
        <v>73096</v>
      </c>
      <c r="C38369" s="2">
        <v>0.55883395985530804</v>
      </c>
      <c r="D38369" s="2">
        <v>0.56293302540415702</v>
      </c>
      <c r="E38369" s="2">
        <v>0.772151898734177</v>
      </c>
      <c r="F38369" s="2">
        <v>0.56646728515625</v>
      </c>
    </row>
    <row r="38370" spans="1:6" x14ac:dyDescent="0.25">
      <c r="A38370" s="1" t="str">
        <f t="shared" si="1373"/>
        <v>48220</v>
      </c>
      <c r="B38370" s="1" t="str">
        <f>"73639"</f>
        <v>73639</v>
      </c>
      <c r="C38370" s="2">
        <v>2.6810412085963499E-2</v>
      </c>
      <c r="D38370" s="2">
        <v>3.4642032332563499E-3</v>
      </c>
      <c r="E38370" s="2">
        <v>9.0415913200723296E-3</v>
      </c>
      <c r="F38370" s="2">
        <v>2.374267578125E-2</v>
      </c>
    </row>
    <row r="38371" spans="1:6" x14ac:dyDescent="0.25">
      <c r="A38371" s="1" t="str">
        <f t="shared" si="1373"/>
        <v>48220</v>
      </c>
      <c r="B38371" s="1" t="str">
        <f>"73654"</f>
        <v>73654</v>
      </c>
      <c r="C38371" s="2">
        <v>1.41854032200865E-3</v>
      </c>
      <c r="D38371" s="2">
        <v>0</v>
      </c>
      <c r="E38371" s="2">
        <v>0</v>
      </c>
      <c r="F38371" s="2">
        <v>1.220703125E-3</v>
      </c>
    </row>
    <row r="38372" spans="1:6" x14ac:dyDescent="0.25">
      <c r="A38372" s="1" t="str">
        <f t="shared" si="1373"/>
        <v>48220</v>
      </c>
      <c r="B38372" s="1" t="str">
        <f>"73620"</f>
        <v>73620</v>
      </c>
      <c r="C38372" s="2">
        <v>2.1703666926732298E-2</v>
      </c>
      <c r="D38372" s="2">
        <v>1.5011547344110801E-2</v>
      </c>
      <c r="E38372" s="2">
        <v>9.0415913200723296E-3</v>
      </c>
      <c r="F38372" s="2">
        <v>2.056884765625E-2</v>
      </c>
    </row>
    <row r="38373" spans="1:6" x14ac:dyDescent="0.25">
      <c r="A38373" s="1" t="str">
        <f t="shared" si="1373"/>
        <v>48220</v>
      </c>
      <c r="B38373" s="1" t="str">
        <f>"73601"</f>
        <v>73601</v>
      </c>
      <c r="C38373" s="2">
        <v>0.331087311156819</v>
      </c>
      <c r="D38373" s="2">
        <v>0.40357967667436401</v>
      </c>
      <c r="E38373" s="2">
        <v>0.20072332730560499</v>
      </c>
      <c r="F38373" s="2">
        <v>0.3343505859375</v>
      </c>
    </row>
    <row r="38374" spans="1:6" x14ac:dyDescent="0.25">
      <c r="A38374" s="1" t="str">
        <f t="shared" si="1373"/>
        <v>48220</v>
      </c>
      <c r="B38374" s="1" t="str">
        <f>"73626"</f>
        <v>73626</v>
      </c>
      <c r="C38374" s="2">
        <v>4.9648911270302803E-4</v>
      </c>
      <c r="D38374" s="2">
        <v>0</v>
      </c>
      <c r="E38374" s="2">
        <v>0</v>
      </c>
      <c r="F38374" s="2">
        <v>4.2724609375E-4</v>
      </c>
    </row>
    <row r="38375" spans="1:6" x14ac:dyDescent="0.25">
      <c r="A38375" s="1" t="str">
        <f t="shared" ref="A38375:A38412" si="1374">"48260"</f>
        <v>48260</v>
      </c>
      <c r="B38375" s="1" t="str">
        <f>"43941"</f>
        <v>43941</v>
      </c>
      <c r="C38375" s="2">
        <v>0</v>
      </c>
      <c r="D38375" s="2">
        <v>0</v>
      </c>
      <c r="E38375" s="2">
        <v>6.2305295950155701E-4</v>
      </c>
      <c r="F38375" s="2">
        <v>1.48683408418454E-5</v>
      </c>
    </row>
    <row r="38376" spans="1:6" x14ac:dyDescent="0.25">
      <c r="A38376" s="1" t="str">
        <f t="shared" si="1374"/>
        <v>48260</v>
      </c>
      <c r="B38376" s="1" t="str">
        <f>"26075"</f>
        <v>26075</v>
      </c>
      <c r="C38376" s="2">
        <v>0</v>
      </c>
      <c r="D38376" s="2">
        <v>0</v>
      </c>
      <c r="E38376" s="2">
        <v>7.4766355140186902E-3</v>
      </c>
      <c r="F38376" s="2">
        <v>1.78420090102145E-4</v>
      </c>
    </row>
    <row r="38377" spans="1:6" x14ac:dyDescent="0.25">
      <c r="A38377" s="1" t="str">
        <f t="shared" si="1374"/>
        <v>48260</v>
      </c>
      <c r="B38377" s="1" t="str">
        <f>"26058"</f>
        <v>26058</v>
      </c>
      <c r="C38377" s="2">
        <v>0</v>
      </c>
      <c r="D38377" s="2">
        <v>0</v>
      </c>
      <c r="E38377" s="2">
        <v>1.74454828660436E-2</v>
      </c>
      <c r="F38377" s="2">
        <v>4.1631354357167202E-4</v>
      </c>
    </row>
    <row r="38378" spans="1:6" x14ac:dyDescent="0.25">
      <c r="A38378" s="1" t="str">
        <f t="shared" si="1374"/>
        <v>48260</v>
      </c>
      <c r="B38378" s="1" t="str">
        <f>"43903"</f>
        <v>43903</v>
      </c>
      <c r="C38378" s="2">
        <v>6.7842381728663399E-3</v>
      </c>
      <c r="D38378" s="2">
        <v>2.0312817387771599E-3</v>
      </c>
      <c r="E38378" s="2">
        <v>6.2305295950155701E-4</v>
      </c>
      <c r="F38378" s="2">
        <v>6.2893081761006197E-3</v>
      </c>
    </row>
    <row r="38379" spans="1:6" x14ac:dyDescent="0.25">
      <c r="A38379" s="1" t="str">
        <f t="shared" si="1374"/>
        <v>48260</v>
      </c>
      <c r="B38379" s="1" t="str">
        <f>"43963"</f>
        <v>43963</v>
      </c>
      <c r="C38379" s="2">
        <v>1.1213752902237801E-2</v>
      </c>
      <c r="D38379" s="2">
        <v>9.3438959983749691E-3</v>
      </c>
      <c r="E38379" s="2">
        <v>1.74454828660436E-2</v>
      </c>
      <c r="F38379" s="2">
        <v>1.12255973355933E-2</v>
      </c>
    </row>
    <row r="38380" spans="1:6" x14ac:dyDescent="0.25">
      <c r="A38380" s="1" t="str">
        <f t="shared" si="1374"/>
        <v>48260</v>
      </c>
      <c r="B38380" s="1" t="str">
        <f>"43948"</f>
        <v>43948</v>
      </c>
      <c r="C38380" s="2">
        <v>4.9399792520871397E-5</v>
      </c>
      <c r="D38380" s="2">
        <v>0</v>
      </c>
      <c r="E38380" s="2">
        <v>6.2305295950155701E-4</v>
      </c>
      <c r="F38380" s="2">
        <v>5.9473363367381802E-5</v>
      </c>
    </row>
    <row r="38381" spans="1:6" x14ac:dyDescent="0.25">
      <c r="A38381" s="1" t="str">
        <f t="shared" si="1374"/>
        <v>48260</v>
      </c>
      <c r="B38381" s="1" t="str">
        <f>"43930"</f>
        <v>43930</v>
      </c>
      <c r="C38381" s="2">
        <v>4.8741128620593101E-3</v>
      </c>
      <c r="D38381" s="2">
        <v>1.01564086938858E-3</v>
      </c>
      <c r="E38381" s="2">
        <v>6.2305295950155701E-4</v>
      </c>
      <c r="F38381" s="2">
        <v>4.49023893423732E-3</v>
      </c>
    </row>
    <row r="38382" spans="1:6" x14ac:dyDescent="0.25">
      <c r="A38382" s="1" t="str">
        <f t="shared" si="1374"/>
        <v>48260</v>
      </c>
      <c r="B38382" s="1" t="str">
        <f>"43944"</f>
        <v>43944</v>
      </c>
      <c r="C38382" s="2">
        <v>1.8277923232722398E-2</v>
      </c>
      <c r="D38382" s="2">
        <v>7.1094860857200803E-3</v>
      </c>
      <c r="E38382" s="2">
        <v>6.8535825545171297E-3</v>
      </c>
      <c r="F38382" s="2">
        <v>1.7187802013173301E-2</v>
      </c>
    </row>
    <row r="38383" spans="1:6" x14ac:dyDescent="0.25">
      <c r="A38383" s="1" t="str">
        <f t="shared" si="1374"/>
        <v>48260</v>
      </c>
      <c r="B38383" s="1" t="str">
        <f>"43943"</f>
        <v>43943</v>
      </c>
      <c r="C38383" s="2">
        <v>2.5803158293401799E-2</v>
      </c>
      <c r="D38383" s="2">
        <v>3.4531789559211802E-3</v>
      </c>
      <c r="E38383" s="2">
        <v>1.8691588785046699E-3</v>
      </c>
      <c r="F38383" s="2">
        <v>2.35960569160087E-2</v>
      </c>
    </row>
    <row r="38384" spans="1:6" x14ac:dyDescent="0.25">
      <c r="A38384" s="1" t="str">
        <f t="shared" si="1374"/>
        <v>48260</v>
      </c>
      <c r="B38384" s="1" t="str">
        <f>"43953"</f>
        <v>43953</v>
      </c>
      <c r="C38384" s="2">
        <v>9.8354986909054906E-2</v>
      </c>
      <c r="D38384" s="2">
        <v>9.7298395287426301E-2</v>
      </c>
      <c r="E38384" s="2">
        <v>0.117757009345794</v>
      </c>
      <c r="F38384" s="2">
        <v>9.8740651530695597E-2</v>
      </c>
    </row>
    <row r="38385" spans="1:6" x14ac:dyDescent="0.25">
      <c r="A38385" s="1" t="str">
        <f t="shared" si="1374"/>
        <v>48260</v>
      </c>
      <c r="B38385" s="1" t="str">
        <f>"43964"</f>
        <v>43964</v>
      </c>
      <c r="C38385" s="2">
        <v>7.7672940440316807E-2</v>
      </c>
      <c r="D38385" s="2">
        <v>5.2407068860450899E-2</v>
      </c>
      <c r="E38385" s="2">
        <v>3.5514018691588697E-2</v>
      </c>
      <c r="F38385" s="2">
        <v>7.4817491116166299E-2</v>
      </c>
    </row>
    <row r="38386" spans="1:6" x14ac:dyDescent="0.25">
      <c r="A38386" s="1" t="str">
        <f t="shared" si="1374"/>
        <v>48260</v>
      </c>
      <c r="B38386" s="1" t="str">
        <f>"43917"</f>
        <v>43917</v>
      </c>
      <c r="C38386" s="2">
        <v>1.82943898302293E-2</v>
      </c>
      <c r="D38386" s="2">
        <v>4.2656916514320501E-3</v>
      </c>
      <c r="E38386" s="2">
        <v>1.8691588785046699E-3</v>
      </c>
      <c r="F38386" s="2">
        <v>1.68755668554945E-2</v>
      </c>
    </row>
    <row r="38387" spans="1:6" x14ac:dyDescent="0.25">
      <c r="A38387" s="1" t="str">
        <f t="shared" si="1374"/>
        <v>48260</v>
      </c>
      <c r="B38387" s="1" t="str">
        <f>"26070"</f>
        <v>26070</v>
      </c>
      <c r="C38387" s="2">
        <v>6.9818373429498204E-2</v>
      </c>
      <c r="D38387" s="2">
        <v>7.2719886248222607E-2</v>
      </c>
      <c r="E38387" s="2">
        <v>6.8535825545171306E-2</v>
      </c>
      <c r="F38387" s="2">
        <v>7.0000148683408397E-2</v>
      </c>
    </row>
    <row r="38388" spans="1:6" x14ac:dyDescent="0.25">
      <c r="A38388" s="1" t="str">
        <f t="shared" si="1374"/>
        <v>48260</v>
      </c>
      <c r="B38388" s="1" t="str">
        <f>"26035"</f>
        <v>26035</v>
      </c>
      <c r="C38388" s="2">
        <v>2.0023382568459799E-2</v>
      </c>
      <c r="D38388" s="2">
        <v>8.9376396506195398E-3</v>
      </c>
      <c r="E38388" s="2">
        <v>6.2305295950155701E-3</v>
      </c>
      <c r="F38388" s="2">
        <v>1.88827928691437E-2</v>
      </c>
    </row>
    <row r="38389" spans="1:6" x14ac:dyDescent="0.25">
      <c r="A38389" s="1" t="str">
        <f t="shared" si="1374"/>
        <v>48260</v>
      </c>
      <c r="B38389" s="1" t="str">
        <f>"43939"</f>
        <v>43939</v>
      </c>
      <c r="C38389" s="2">
        <v>1.6466597506957101E-5</v>
      </c>
      <c r="D38389" s="2">
        <v>0</v>
      </c>
      <c r="E38389" s="2">
        <v>6.2305295950155701E-4</v>
      </c>
      <c r="F38389" s="2">
        <v>2.9736681683690901E-5</v>
      </c>
    </row>
    <row r="38390" spans="1:6" x14ac:dyDescent="0.25">
      <c r="A38390" s="1" t="str">
        <f t="shared" si="1374"/>
        <v>48260</v>
      </c>
      <c r="B38390" s="1" t="str">
        <f>"43952"</f>
        <v>43952</v>
      </c>
      <c r="C38390" s="2">
        <v>0.17245467569036199</v>
      </c>
      <c r="D38390" s="2">
        <v>0.30712979890310699</v>
      </c>
      <c r="E38390" s="2">
        <v>0.24672897196261601</v>
      </c>
      <c r="F38390" s="2">
        <v>0.184084927962888</v>
      </c>
    </row>
    <row r="38391" spans="1:6" x14ac:dyDescent="0.25">
      <c r="A38391" s="1" t="str">
        <f t="shared" si="1374"/>
        <v>48260</v>
      </c>
      <c r="B38391" s="1" t="str">
        <f>"43901"</f>
        <v>43901</v>
      </c>
      <c r="C38391" s="2">
        <v>1.2070015972599501E-2</v>
      </c>
      <c r="D38391" s="2">
        <v>4.4688198253097699E-3</v>
      </c>
      <c r="E38391" s="2">
        <v>4.3613707165108999E-3</v>
      </c>
      <c r="F38391" s="2">
        <v>1.13296757214862E-2</v>
      </c>
    </row>
    <row r="38392" spans="1:6" x14ac:dyDescent="0.25">
      <c r="A38392" s="1" t="str">
        <f t="shared" si="1374"/>
        <v>48260</v>
      </c>
      <c r="B38392" s="1" t="str">
        <f>"43908"</f>
        <v>43908</v>
      </c>
      <c r="C38392" s="2">
        <v>8.0686327784089892E-3</v>
      </c>
      <c r="D38392" s="2">
        <v>3.0469226081657501E-3</v>
      </c>
      <c r="E38392" s="2">
        <v>6.2305295950155701E-4</v>
      </c>
      <c r="F38392" s="2">
        <v>7.5233804659738E-3</v>
      </c>
    </row>
    <row r="38393" spans="1:6" x14ac:dyDescent="0.25">
      <c r="A38393" s="1" t="str">
        <f t="shared" si="1374"/>
        <v>48260</v>
      </c>
      <c r="B38393" s="1" t="str">
        <f>"26062"</f>
        <v>26062</v>
      </c>
      <c r="C38393" s="2">
        <v>0.18673121572889301</v>
      </c>
      <c r="D38393" s="2">
        <v>0.23705057891529499</v>
      </c>
      <c r="E38393" s="2">
        <v>0.24361370716510899</v>
      </c>
      <c r="F38393" s="2">
        <v>0.19177186017812201</v>
      </c>
    </row>
    <row r="38394" spans="1:6" x14ac:dyDescent="0.25">
      <c r="A38394" s="1" t="str">
        <f t="shared" si="1374"/>
        <v>48260</v>
      </c>
      <c r="B38394" s="1" t="str">
        <f>"26003"</f>
        <v>26003</v>
      </c>
      <c r="C38394" s="2">
        <v>7.4099688781307095E-4</v>
      </c>
      <c r="D38394" s="2">
        <v>2.03128173877716E-4</v>
      </c>
      <c r="E38394" s="2">
        <v>0</v>
      </c>
      <c r="F38394" s="2">
        <v>6.8394367872489097E-4</v>
      </c>
    </row>
    <row r="38395" spans="1:6" x14ac:dyDescent="0.25">
      <c r="A38395" s="1" t="str">
        <f t="shared" si="1374"/>
        <v>48260</v>
      </c>
      <c r="B38395" s="1" t="str">
        <f>"26030"</f>
        <v>26030</v>
      </c>
      <c r="C38395" s="2">
        <v>0</v>
      </c>
      <c r="D38395" s="2">
        <v>0</v>
      </c>
      <c r="E38395" s="2">
        <v>5.6074766355140096E-3</v>
      </c>
      <c r="F38395" s="2">
        <v>1.3381506757660899E-4</v>
      </c>
    </row>
    <row r="38396" spans="1:6" x14ac:dyDescent="0.25">
      <c r="A38396" s="1" t="str">
        <f t="shared" si="1374"/>
        <v>48260</v>
      </c>
      <c r="B38396" s="1" t="str">
        <f>"43971"</f>
        <v>43971</v>
      </c>
      <c r="C38396" s="2">
        <v>6.6195721977967597E-3</v>
      </c>
      <c r="D38396" s="2">
        <v>9.95328052000812E-3</v>
      </c>
      <c r="E38396" s="2">
        <v>1.4330218068535801E-2</v>
      </c>
      <c r="F38396" s="2">
        <v>7.0475935590347399E-3</v>
      </c>
    </row>
    <row r="38397" spans="1:6" x14ac:dyDescent="0.25">
      <c r="A38397" s="1" t="str">
        <f t="shared" si="1374"/>
        <v>48260</v>
      </c>
      <c r="B38397" s="1" t="str">
        <f>"26032"</f>
        <v>26032</v>
      </c>
      <c r="C38397" s="2">
        <v>2.4370564310296499E-3</v>
      </c>
      <c r="D38397" s="2">
        <v>8.1251269551086704E-4</v>
      </c>
      <c r="E38397" s="2">
        <v>1.2461059190031099E-3</v>
      </c>
      <c r="F38397" s="2">
        <v>2.2897244896442001E-3</v>
      </c>
    </row>
    <row r="38398" spans="1:6" x14ac:dyDescent="0.25">
      <c r="A38398" s="1" t="str">
        <f t="shared" si="1374"/>
        <v>48260</v>
      </c>
      <c r="B38398" s="1" t="str">
        <f>"43926"</f>
        <v>43926</v>
      </c>
      <c r="C38398" s="2">
        <v>9.3859605789655602E-4</v>
      </c>
      <c r="D38398" s="2">
        <v>0</v>
      </c>
      <c r="E38398" s="2">
        <v>3.1152647975077798E-3</v>
      </c>
      <c r="F38398" s="2">
        <v>9.2183713219441796E-4</v>
      </c>
    </row>
    <row r="38399" spans="1:6" x14ac:dyDescent="0.25">
      <c r="A38399" s="1" t="str">
        <f t="shared" si="1374"/>
        <v>48260</v>
      </c>
      <c r="B38399" s="1" t="str">
        <f>"43945"</f>
        <v>43945</v>
      </c>
      <c r="C38399" s="2">
        <v>1.2514614105287401E-3</v>
      </c>
      <c r="D38399" s="2">
        <v>6.0938452163315001E-4</v>
      </c>
      <c r="E38399" s="2">
        <v>0</v>
      </c>
      <c r="F38399" s="2">
        <v>1.1745989265057901E-3</v>
      </c>
    </row>
    <row r="38400" spans="1:6" x14ac:dyDescent="0.25">
      <c r="A38400" s="1" t="str">
        <f t="shared" si="1374"/>
        <v>48260</v>
      </c>
      <c r="B38400" s="1" t="str">
        <f>"43932"</f>
        <v>43932</v>
      </c>
      <c r="C38400" s="2">
        <v>5.6315763473793398E-3</v>
      </c>
      <c r="D38400" s="2">
        <v>6.0938452163315001E-4</v>
      </c>
      <c r="E38400" s="2">
        <v>6.2305295950155701E-4</v>
      </c>
      <c r="F38400" s="2">
        <v>5.1444459312785197E-3</v>
      </c>
    </row>
    <row r="38401" spans="1:6" x14ac:dyDescent="0.25">
      <c r="A38401" s="1" t="str">
        <f t="shared" si="1374"/>
        <v>48260</v>
      </c>
      <c r="B38401" s="1" t="str">
        <f>"26050"</f>
        <v>26050</v>
      </c>
      <c r="C38401" s="2">
        <v>1.3387343773156099E-2</v>
      </c>
      <c r="D38401" s="2">
        <v>1.5031484866951E-2</v>
      </c>
      <c r="E38401" s="2">
        <v>1.3084112149532701E-2</v>
      </c>
      <c r="F38401" s="2">
        <v>1.3500453484395601E-2</v>
      </c>
    </row>
    <row r="38402" spans="1:6" x14ac:dyDescent="0.25">
      <c r="A38402" s="1" t="str">
        <f t="shared" si="1374"/>
        <v>48260</v>
      </c>
      <c r="B38402" s="1" t="str">
        <f>"26037"</f>
        <v>26037</v>
      </c>
      <c r="C38402" s="2">
        <v>6.2968268866604005E-2</v>
      </c>
      <c r="D38402" s="2">
        <v>5.5250863294738897E-2</v>
      </c>
      <c r="E38402" s="2">
        <v>6.4797507788161901E-2</v>
      </c>
      <c r="F38402" s="2">
        <v>6.2447031535750902E-2</v>
      </c>
    </row>
    <row r="38403" spans="1:6" x14ac:dyDescent="0.25">
      <c r="A38403" s="1" t="str">
        <f t="shared" si="1374"/>
        <v>48260</v>
      </c>
      <c r="B38403" s="1" t="str">
        <f>"26047"</f>
        <v>26047</v>
      </c>
      <c r="C38403" s="2">
        <v>4.66334041397026E-2</v>
      </c>
      <c r="D38403" s="2">
        <v>1.70627666057282E-2</v>
      </c>
      <c r="E38403" s="2">
        <v>1.74454828660436E-2</v>
      </c>
      <c r="F38403" s="2">
        <v>4.3772395438393001E-2</v>
      </c>
    </row>
    <row r="38404" spans="1:6" x14ac:dyDescent="0.25">
      <c r="A38404" s="1" t="str">
        <f t="shared" si="1374"/>
        <v>48260</v>
      </c>
      <c r="B38404" s="1" t="str">
        <f>"43907"</f>
        <v>43907</v>
      </c>
      <c r="C38404" s="2">
        <v>9.22129460389599E-4</v>
      </c>
      <c r="D38404" s="2">
        <v>2.03128173877716E-4</v>
      </c>
      <c r="E38404" s="2">
        <v>0</v>
      </c>
      <c r="F38404" s="2">
        <v>8.4749542798519099E-4</v>
      </c>
    </row>
    <row r="38405" spans="1:6" x14ac:dyDescent="0.25">
      <c r="A38405" s="1" t="str">
        <f t="shared" si="1374"/>
        <v>48260</v>
      </c>
      <c r="B38405" s="1" t="str">
        <f>"43970"</f>
        <v>43970</v>
      </c>
      <c r="C38405" s="2">
        <v>6.5866390027828498E-5</v>
      </c>
      <c r="D38405" s="2">
        <v>0</v>
      </c>
      <c r="E38405" s="2">
        <v>6.2305295950155701E-4</v>
      </c>
      <c r="F38405" s="2">
        <v>7.4341704209227198E-5</v>
      </c>
    </row>
    <row r="38406" spans="1:6" x14ac:dyDescent="0.25">
      <c r="A38406" s="1" t="str">
        <f t="shared" si="1374"/>
        <v>48260</v>
      </c>
      <c r="B38406" s="1" t="str">
        <f>"26056"</f>
        <v>26056</v>
      </c>
      <c r="C38406" s="2">
        <v>0</v>
      </c>
      <c r="D38406" s="2">
        <v>0</v>
      </c>
      <c r="E38406" s="2">
        <v>6.2305295950155701E-4</v>
      </c>
      <c r="F38406" s="2">
        <v>1.48683408418454E-5</v>
      </c>
    </row>
    <row r="38407" spans="1:6" x14ac:dyDescent="0.25">
      <c r="A38407" s="1" t="str">
        <f t="shared" si="1374"/>
        <v>48260</v>
      </c>
      <c r="B38407" s="1" t="str">
        <f>"26034"</f>
        <v>26034</v>
      </c>
      <c r="C38407" s="2">
        <v>4.30601524806929E-2</v>
      </c>
      <c r="D38407" s="2">
        <v>4.2453788340442798E-2</v>
      </c>
      <c r="E38407" s="2">
        <v>5.73208722741433E-2</v>
      </c>
      <c r="F38407" s="2">
        <v>4.3356081894821298E-2</v>
      </c>
    </row>
    <row r="38408" spans="1:6" x14ac:dyDescent="0.25">
      <c r="A38408" s="1" t="str">
        <f t="shared" si="1374"/>
        <v>48260</v>
      </c>
      <c r="B38408" s="1" t="str">
        <f>"43910"</f>
        <v>43910</v>
      </c>
      <c r="C38408" s="2">
        <v>2.4024765762650401E-2</v>
      </c>
      <c r="D38408" s="2">
        <v>7.9219987812309493E-3</v>
      </c>
      <c r="E38408" s="2">
        <v>4.3613707165108999E-3</v>
      </c>
      <c r="F38408" s="2">
        <v>2.23768529669774E-2</v>
      </c>
    </row>
    <row r="38409" spans="1:6" x14ac:dyDescent="0.25">
      <c r="A38409" s="1" t="str">
        <f t="shared" si="1374"/>
        <v>48260</v>
      </c>
      <c r="B38409" s="1" t="str">
        <f>"43938"</f>
        <v>43938</v>
      </c>
      <c r="C38409" s="2">
        <v>4.5266676546625098E-2</v>
      </c>
      <c r="D38409" s="2">
        <v>2.9453585212268901E-2</v>
      </c>
      <c r="E38409" s="2">
        <v>2.2429906542056E-2</v>
      </c>
      <c r="F38409" s="2">
        <v>4.3564238666607101E-2</v>
      </c>
    </row>
    <row r="38410" spans="1:6" x14ac:dyDescent="0.25">
      <c r="A38410" s="1" t="str">
        <f t="shared" si="1374"/>
        <v>48260</v>
      </c>
      <c r="B38410" s="1" t="str">
        <f>"43913"</f>
        <v>43913</v>
      </c>
      <c r="C38410" s="2">
        <v>1.35355431507187E-2</v>
      </c>
      <c r="D38410" s="2">
        <v>1.01564086938858E-2</v>
      </c>
      <c r="E38410" s="2">
        <v>1.1214953271028E-2</v>
      </c>
      <c r="F38410" s="2">
        <v>1.32328233492424E-2</v>
      </c>
    </row>
    <row r="38411" spans="1:6" x14ac:dyDescent="0.25">
      <c r="A38411" s="1" t="str">
        <f t="shared" si="1374"/>
        <v>48260</v>
      </c>
      <c r="B38411" s="1" t="str">
        <f>"43925"</f>
        <v>43925</v>
      </c>
      <c r="C38411" s="2">
        <v>7.2453029030611403E-4</v>
      </c>
      <c r="D38411" s="2">
        <v>0</v>
      </c>
      <c r="E38411" s="2">
        <v>6.2305295950155701E-4</v>
      </c>
      <c r="F38411" s="2">
        <v>6.6907533788304499E-4</v>
      </c>
    </row>
    <row r="38412" spans="1:6" x14ac:dyDescent="0.25">
      <c r="A38412" s="1" t="str">
        <f t="shared" si="1374"/>
        <v>48260</v>
      </c>
      <c r="B38412" s="1" t="str">
        <f>"43961"</f>
        <v>43961</v>
      </c>
      <c r="C38412" s="2">
        <v>1.28439460554265E-3</v>
      </c>
      <c r="D38412" s="2">
        <v>0</v>
      </c>
      <c r="E38412" s="2">
        <v>3.1152647975077798E-3</v>
      </c>
      <c r="F38412" s="2">
        <v>1.2340722898731701E-3</v>
      </c>
    </row>
    <row r="38413" spans="1:6" x14ac:dyDescent="0.25">
      <c r="A38413" s="1" t="str">
        <f t="shared" ref="A38413:A38440" si="1375">"48300"</f>
        <v>48300</v>
      </c>
      <c r="B38413" s="1" t="str">
        <f>"98843"</f>
        <v>98843</v>
      </c>
      <c r="C38413" s="2">
        <v>2.8230692006785001E-2</v>
      </c>
      <c r="D38413" s="2">
        <v>6.6213314244810296E-3</v>
      </c>
      <c r="E38413" s="2">
        <v>4.1039671682626504E-3</v>
      </c>
      <c r="F38413" s="2">
        <v>2.5344718341731201E-2</v>
      </c>
    </row>
    <row r="38414" spans="1:6" x14ac:dyDescent="0.25">
      <c r="A38414" s="1" t="str">
        <f t="shared" si="1375"/>
        <v>48300</v>
      </c>
      <c r="B38414" s="1" t="str">
        <f>"98813"</f>
        <v>98813</v>
      </c>
      <c r="C38414" s="2">
        <v>3.15020597500605E-3</v>
      </c>
      <c r="D38414" s="2">
        <v>7.1581961345740805E-4</v>
      </c>
      <c r="E38414" s="2">
        <v>2.39398084815321E-3</v>
      </c>
      <c r="F38414" s="2">
        <v>2.9116253809250798E-3</v>
      </c>
    </row>
    <row r="38415" spans="1:6" x14ac:dyDescent="0.25">
      <c r="A38415" s="1" t="str">
        <f t="shared" si="1375"/>
        <v>48300</v>
      </c>
      <c r="B38415" s="1" t="str">
        <f>"98823"</f>
        <v>98823</v>
      </c>
      <c r="C38415" s="2">
        <v>8.65441201924741E-5</v>
      </c>
      <c r="D38415" s="2">
        <v>0</v>
      </c>
      <c r="E38415" s="2">
        <v>0</v>
      </c>
      <c r="F38415" s="2">
        <v>7.5430709350390697E-5</v>
      </c>
    </row>
    <row r="38416" spans="1:6" x14ac:dyDescent="0.25">
      <c r="A38416" s="1" t="str">
        <f t="shared" si="1375"/>
        <v>48300</v>
      </c>
      <c r="B38416" s="1" t="str">
        <f>"98811"</f>
        <v>98811</v>
      </c>
      <c r="C38416" s="2">
        <v>0</v>
      </c>
      <c r="D38416" s="2">
        <v>1.7895490336435201E-4</v>
      </c>
      <c r="E38416" s="2">
        <v>0</v>
      </c>
      <c r="F38416" s="2">
        <v>1.50861418700781E-5</v>
      </c>
    </row>
    <row r="38417" spans="1:6" x14ac:dyDescent="0.25">
      <c r="A38417" s="1" t="str">
        <f t="shared" si="1375"/>
        <v>48300</v>
      </c>
      <c r="B38417" s="1" t="str">
        <f>"98845"</f>
        <v>98845</v>
      </c>
      <c r="C38417" s="2">
        <v>1.50586769134904E-3</v>
      </c>
      <c r="D38417" s="2">
        <v>5.3686471009305604E-4</v>
      </c>
      <c r="E38417" s="2">
        <v>0</v>
      </c>
      <c r="F38417" s="2">
        <v>1.35775276830703E-3</v>
      </c>
    </row>
    <row r="38418" spans="1:6" x14ac:dyDescent="0.25">
      <c r="A38418" s="1" t="str">
        <f t="shared" si="1375"/>
        <v>48300</v>
      </c>
      <c r="B38418" s="1" t="str">
        <f>"98817"</f>
        <v>98817</v>
      </c>
      <c r="C38418" s="2">
        <v>0</v>
      </c>
      <c r="D38418" s="2">
        <v>1.7895490336435201E-4</v>
      </c>
      <c r="E38418" s="2">
        <v>1.53898768809849E-2</v>
      </c>
      <c r="F38418" s="2">
        <v>6.9396252602359405E-4</v>
      </c>
    </row>
    <row r="38419" spans="1:6" x14ac:dyDescent="0.25">
      <c r="A38419" s="1" t="str">
        <f t="shared" si="1375"/>
        <v>48300</v>
      </c>
      <c r="B38419" s="1" t="str">
        <f>"98846"</f>
        <v>98846</v>
      </c>
      <c r="C38419" s="2">
        <v>1.21161768269463E-4</v>
      </c>
      <c r="D38419" s="2">
        <v>1.7895490336435201E-4</v>
      </c>
      <c r="E38419" s="2">
        <v>0</v>
      </c>
      <c r="F38419" s="2">
        <v>1.20689134960625E-4</v>
      </c>
    </row>
    <row r="38420" spans="1:6" x14ac:dyDescent="0.25">
      <c r="A38420" s="1" t="str">
        <f t="shared" si="1375"/>
        <v>48300</v>
      </c>
      <c r="B38420" s="1" t="str">
        <f>"98802"</f>
        <v>98802</v>
      </c>
      <c r="C38420" s="2">
        <v>0.22387233011389199</v>
      </c>
      <c r="D38420" s="2">
        <v>0.144058697208303</v>
      </c>
      <c r="E38420" s="2">
        <v>0.147400820793433</v>
      </c>
      <c r="F38420" s="2">
        <v>0.213770630299007</v>
      </c>
    </row>
    <row r="38421" spans="1:6" x14ac:dyDescent="0.25">
      <c r="A38421" s="1" t="str">
        <f t="shared" si="1375"/>
        <v>48300</v>
      </c>
      <c r="B38421" s="1" t="str">
        <f>"98822"</f>
        <v>98822</v>
      </c>
      <c r="C38421" s="2">
        <v>1.483366220099E-2</v>
      </c>
      <c r="D38421" s="2">
        <v>3.0422333571939802E-3</v>
      </c>
      <c r="E38421" s="2">
        <v>1.36798905608755E-3</v>
      </c>
      <c r="F38421" s="2">
        <v>1.3245632561928599E-2</v>
      </c>
    </row>
    <row r="38422" spans="1:6" x14ac:dyDescent="0.25">
      <c r="A38422" s="1" t="str">
        <f t="shared" si="1375"/>
        <v>48300</v>
      </c>
      <c r="B38422" s="1" t="str">
        <f>"98831"</f>
        <v>98831</v>
      </c>
      <c r="C38422" s="2">
        <v>4.5072177796240502E-2</v>
      </c>
      <c r="D38422" s="2">
        <v>1.9327129563350001E-2</v>
      </c>
      <c r="E38422" s="2">
        <v>1.3679890560875501E-2</v>
      </c>
      <c r="F38422" s="2">
        <v>4.1517062426454997E-2</v>
      </c>
    </row>
    <row r="38423" spans="1:6" x14ac:dyDescent="0.25">
      <c r="A38423" s="1" t="str">
        <f t="shared" si="1375"/>
        <v>48300</v>
      </c>
      <c r="B38423" s="1" t="str">
        <f>"99116"</f>
        <v>99116</v>
      </c>
      <c r="C38423" s="2">
        <v>1.6616471076954999E-3</v>
      </c>
      <c r="D38423" s="2">
        <v>1.61059413027916E-3</v>
      </c>
      <c r="E38423" s="2">
        <v>1.02599179206566E-3</v>
      </c>
      <c r="F38423" s="2">
        <v>1.6293033219684299E-3</v>
      </c>
    </row>
    <row r="38424" spans="1:6" x14ac:dyDescent="0.25">
      <c r="A38424" s="1" t="str">
        <f t="shared" si="1375"/>
        <v>48300</v>
      </c>
      <c r="B38424" s="1" t="str">
        <f>"98801"</f>
        <v>98801</v>
      </c>
      <c r="C38424" s="2">
        <v>0.32516356838716298</v>
      </c>
      <c r="D38424" s="2">
        <v>0.39531138153185302</v>
      </c>
      <c r="E38424" s="2">
        <v>0.43194254445964397</v>
      </c>
      <c r="F38424" s="2">
        <v>0.335787345744199</v>
      </c>
    </row>
    <row r="38425" spans="1:6" x14ac:dyDescent="0.25">
      <c r="A38425" s="1" t="str">
        <f t="shared" si="1375"/>
        <v>48300</v>
      </c>
      <c r="B38425" s="1" t="str">
        <f>"98815"</f>
        <v>98815</v>
      </c>
      <c r="C38425" s="2">
        <v>5.3311178038564E-2</v>
      </c>
      <c r="D38425" s="2">
        <v>4.8854688618468103E-2</v>
      </c>
      <c r="E38425" s="2">
        <v>4.03556771545827E-2</v>
      </c>
      <c r="F38425" s="2">
        <v>5.2363998431041198E-2</v>
      </c>
    </row>
    <row r="38426" spans="1:6" x14ac:dyDescent="0.25">
      <c r="A38426" s="1" t="str">
        <f t="shared" si="1375"/>
        <v>48300</v>
      </c>
      <c r="B38426" s="1" t="str">
        <f>"98847"</f>
        <v>98847</v>
      </c>
      <c r="C38426" s="2">
        <v>1.9680132931768599E-2</v>
      </c>
      <c r="D38426" s="2">
        <v>1.2884753042233301E-2</v>
      </c>
      <c r="E38426" s="2">
        <v>3.76196990424076E-3</v>
      </c>
      <c r="F38426" s="2">
        <v>1.8405093081495301E-2</v>
      </c>
    </row>
    <row r="38427" spans="1:6" x14ac:dyDescent="0.25">
      <c r="A38427" s="1" t="str">
        <f t="shared" si="1375"/>
        <v>48300</v>
      </c>
      <c r="B38427" s="1" t="str">
        <f>"98807"</f>
        <v>98807</v>
      </c>
      <c r="C38427" s="2">
        <v>5.5630560459722297E-2</v>
      </c>
      <c r="D38427" s="2">
        <v>0.151216893342877</v>
      </c>
      <c r="E38427" s="2">
        <v>6.8399452804377499E-4</v>
      </c>
      <c r="F38427" s="2">
        <v>6.1264822134387303E-2</v>
      </c>
    </row>
    <row r="38428" spans="1:6" x14ac:dyDescent="0.25">
      <c r="A38428" s="1" t="str">
        <f t="shared" si="1375"/>
        <v>48300</v>
      </c>
      <c r="B38428" s="1" t="str">
        <f>"98858"</f>
        <v>98858</v>
      </c>
      <c r="C38428" s="2">
        <v>3.4271471596219699E-3</v>
      </c>
      <c r="D38428" s="2">
        <v>1.7895490336435201E-4</v>
      </c>
      <c r="E38428" s="2">
        <v>0.13337893296853601</v>
      </c>
      <c r="F38428" s="2">
        <v>8.8857375614760196E-3</v>
      </c>
    </row>
    <row r="38429" spans="1:6" x14ac:dyDescent="0.25">
      <c r="A38429" s="1" t="str">
        <f t="shared" si="1375"/>
        <v>48300</v>
      </c>
      <c r="B38429" s="1" t="str">
        <f>"98850"</f>
        <v>98850</v>
      </c>
      <c r="C38429" s="2">
        <v>9.0698237961712794E-3</v>
      </c>
      <c r="D38429" s="2">
        <v>3.9370078740157402E-3</v>
      </c>
      <c r="E38429" s="2">
        <v>2.77017783857729E-2</v>
      </c>
      <c r="F38429" s="2">
        <v>9.4590109525389907E-3</v>
      </c>
    </row>
    <row r="38430" spans="1:6" x14ac:dyDescent="0.25">
      <c r="A38430" s="1" t="str">
        <f t="shared" si="1375"/>
        <v>48300</v>
      </c>
      <c r="B38430" s="1" t="str">
        <f>"98826"</f>
        <v>98826</v>
      </c>
      <c r="C38430" s="2">
        <v>9.7535223456918299E-2</v>
      </c>
      <c r="D38430" s="2">
        <v>0.11954187544738699</v>
      </c>
      <c r="E38430" s="2">
        <v>8.03693570451436E-2</v>
      </c>
      <c r="F38430" s="2">
        <v>9.8633195546570906E-2</v>
      </c>
    </row>
    <row r="38431" spans="1:6" x14ac:dyDescent="0.25">
      <c r="A38431" s="1" t="str">
        <f t="shared" si="1375"/>
        <v>48300</v>
      </c>
      <c r="B38431" s="1" t="str">
        <f>"98812"</f>
        <v>98812</v>
      </c>
      <c r="C38431" s="2">
        <v>4.6733824903936001E-3</v>
      </c>
      <c r="D38431" s="2">
        <v>1.2526843235504601E-3</v>
      </c>
      <c r="E38431" s="2">
        <v>1.36798905608755E-3</v>
      </c>
      <c r="F38431" s="2">
        <v>4.23920586549195E-3</v>
      </c>
    </row>
    <row r="38432" spans="1:6" x14ac:dyDescent="0.25">
      <c r="A38432" s="1" t="str">
        <f t="shared" si="1375"/>
        <v>48300</v>
      </c>
      <c r="B38432" s="1" t="str">
        <f>"98816"</f>
        <v>98816</v>
      </c>
      <c r="C38432" s="2">
        <v>9.2619517429985795E-2</v>
      </c>
      <c r="D38432" s="2">
        <v>8.2140300644237593E-2</v>
      </c>
      <c r="E38432" s="2">
        <v>3.5567715458276299E-2</v>
      </c>
      <c r="F38432" s="2">
        <v>8.9219443019642103E-2</v>
      </c>
    </row>
    <row r="38433" spans="1:6" x14ac:dyDescent="0.25">
      <c r="A38433" s="1" t="str">
        <f t="shared" si="1375"/>
        <v>48300</v>
      </c>
      <c r="B38433" s="1" t="str">
        <f>"98821"</f>
        <v>98821</v>
      </c>
      <c r="C38433" s="2">
        <v>0</v>
      </c>
      <c r="D38433" s="2">
        <v>1.7895490336435201E-4</v>
      </c>
      <c r="E38433" s="2">
        <v>0</v>
      </c>
      <c r="F38433" s="2">
        <v>1.50861418700781E-5</v>
      </c>
    </row>
    <row r="38434" spans="1:6" x14ac:dyDescent="0.25">
      <c r="A38434" s="1" t="str">
        <f t="shared" si="1375"/>
        <v>48300</v>
      </c>
      <c r="B38434" s="1" t="str">
        <f>"98836"</f>
        <v>98836</v>
      </c>
      <c r="C38434" s="2">
        <v>0</v>
      </c>
      <c r="D38434" s="2">
        <v>1.7895490336435201E-4</v>
      </c>
      <c r="E38434" s="2">
        <v>4.5143638850889102E-2</v>
      </c>
      <c r="F38434" s="2">
        <v>2.0064568687203901E-3</v>
      </c>
    </row>
    <row r="38435" spans="1:6" x14ac:dyDescent="0.25">
      <c r="A38435" s="1" t="str">
        <f t="shared" si="1375"/>
        <v>48300</v>
      </c>
      <c r="B38435" s="1" t="str">
        <f>"98848"</f>
        <v>98848</v>
      </c>
      <c r="C38435" s="2">
        <v>6.2311766538581303E-4</v>
      </c>
      <c r="D38435" s="2">
        <v>0</v>
      </c>
      <c r="E38435" s="2">
        <v>0</v>
      </c>
      <c r="F38435" s="2">
        <v>5.4310110732281301E-4</v>
      </c>
    </row>
    <row r="38436" spans="1:6" x14ac:dyDescent="0.25">
      <c r="A38436" s="1" t="str">
        <f t="shared" si="1375"/>
        <v>48300</v>
      </c>
      <c r="B38436" s="1" t="str">
        <f>"98852"</f>
        <v>98852</v>
      </c>
      <c r="C38436" s="2">
        <v>0</v>
      </c>
      <c r="D38436" s="2">
        <v>1.7895490336435201E-4</v>
      </c>
      <c r="E38436" s="2">
        <v>1.70998632010943E-3</v>
      </c>
      <c r="F38436" s="2">
        <v>9.0516851220468798E-5</v>
      </c>
    </row>
    <row r="38437" spans="1:6" x14ac:dyDescent="0.25">
      <c r="A38437" s="1" t="str">
        <f t="shared" si="1375"/>
        <v>48300</v>
      </c>
      <c r="B38437" s="1" t="str">
        <f>"99133"</f>
        <v>99133</v>
      </c>
      <c r="C38437" s="2">
        <v>8.1351472980925599E-4</v>
      </c>
      <c r="D38437" s="2">
        <v>0</v>
      </c>
      <c r="E38437" s="2">
        <v>0</v>
      </c>
      <c r="F38437" s="2">
        <v>7.09048667893672E-4</v>
      </c>
    </row>
    <row r="38438" spans="1:6" x14ac:dyDescent="0.25">
      <c r="A38438" s="1" t="str">
        <f t="shared" si="1375"/>
        <v>48300</v>
      </c>
      <c r="B38438" s="1" t="str">
        <f>"98830"</f>
        <v>98830</v>
      </c>
      <c r="C38438" s="2">
        <v>1.2116176826946299E-3</v>
      </c>
      <c r="D38438" s="2">
        <v>3.5790980672870403E-4</v>
      </c>
      <c r="E38438" s="2">
        <v>3.4199726402188701E-4</v>
      </c>
      <c r="F38438" s="2">
        <v>1.1012883565157E-3</v>
      </c>
    </row>
    <row r="38439" spans="1:6" x14ac:dyDescent="0.25">
      <c r="A38439" s="1" t="str">
        <f t="shared" si="1375"/>
        <v>48300</v>
      </c>
      <c r="B38439" s="1" t="str">
        <f>"99115"</f>
        <v>99115</v>
      </c>
      <c r="C38439" s="2">
        <v>1.2808529788486101E-3</v>
      </c>
      <c r="D38439" s="2">
        <v>3.2211882605583299E-3</v>
      </c>
      <c r="E38439" s="2">
        <v>6.8399452804377499E-4</v>
      </c>
      <c r="F38439" s="2">
        <v>1.4180973357873401E-3</v>
      </c>
    </row>
    <row r="38440" spans="1:6" x14ac:dyDescent="0.25">
      <c r="A38440" s="1" t="str">
        <f t="shared" si="1375"/>
        <v>48300</v>
      </c>
      <c r="B38440" s="1" t="str">
        <f>"98828"</f>
        <v>98828</v>
      </c>
      <c r="C38440" s="2">
        <v>1.6426074012531499E-2</v>
      </c>
      <c r="D38440" s="2">
        <v>4.1159627773801003E-3</v>
      </c>
      <c r="E38440" s="2">
        <v>1.1627906976744099E-2</v>
      </c>
      <c r="F38440" s="2">
        <v>1.51766587212986E-2</v>
      </c>
    </row>
    <row r="38441" spans="1:6" x14ac:dyDescent="0.25">
      <c r="A38441" s="1" t="str">
        <f t="shared" ref="A38441:A38472" si="1376">"48424"</f>
        <v>48424</v>
      </c>
      <c r="B38441" s="1" t="str">
        <f>"33431"</f>
        <v>33431</v>
      </c>
      <c r="C38441" s="2">
        <v>6.0301507537688398E-2</v>
      </c>
      <c r="D38441" s="2">
        <v>6.1855670103092703E-2</v>
      </c>
      <c r="E38441" s="2">
        <v>2.1784232365145199E-2</v>
      </c>
      <c r="F38441" s="2">
        <v>5.4869888475836397E-2</v>
      </c>
    </row>
    <row r="38442" spans="1:6" x14ac:dyDescent="0.25">
      <c r="A38442" s="1" t="str">
        <f t="shared" si="1376"/>
        <v>48424</v>
      </c>
      <c r="B38442" s="1" t="str">
        <f>"33411"</f>
        <v>33411</v>
      </c>
      <c r="C38442" s="2">
        <v>0.12227805695142301</v>
      </c>
      <c r="D38442" s="2">
        <v>1.5463917525773099E-2</v>
      </c>
      <c r="E38442" s="2">
        <v>2.28215767634854E-2</v>
      </c>
      <c r="F38442" s="2">
        <v>0.101858736059479</v>
      </c>
    </row>
    <row r="38443" spans="1:6" x14ac:dyDescent="0.25">
      <c r="A38443" s="1" t="str">
        <f t="shared" si="1376"/>
        <v>48424</v>
      </c>
      <c r="B38443" s="1" t="str">
        <f>"33444"</f>
        <v>33444</v>
      </c>
      <c r="C38443" s="2">
        <v>1.91699236925367E-2</v>
      </c>
      <c r="D38443" s="2">
        <v>1.28865979381443E-2</v>
      </c>
      <c r="E38443" s="2">
        <v>1.65975103734439E-2</v>
      </c>
      <c r="F38443" s="2">
        <v>1.8438661710037101E-2</v>
      </c>
    </row>
    <row r="38444" spans="1:6" x14ac:dyDescent="0.25">
      <c r="A38444" s="1" t="str">
        <f t="shared" si="1376"/>
        <v>48424</v>
      </c>
      <c r="B38444" s="1" t="str">
        <f>"33413"</f>
        <v>33413</v>
      </c>
      <c r="C38444" s="2">
        <v>0</v>
      </c>
      <c r="D38444" s="2">
        <v>2.8350515463917501E-2</v>
      </c>
      <c r="E38444" s="2">
        <v>3.1120331950207402E-3</v>
      </c>
      <c r="F38444" s="2">
        <v>2.0817843866171E-3</v>
      </c>
    </row>
    <row r="38445" spans="1:6" x14ac:dyDescent="0.25">
      <c r="A38445" s="1" t="str">
        <f t="shared" si="1376"/>
        <v>48424</v>
      </c>
      <c r="B38445" s="1" t="str">
        <f>"33458"</f>
        <v>33458</v>
      </c>
      <c r="C38445" s="2">
        <v>1.30281034803647E-3</v>
      </c>
      <c r="D38445" s="2">
        <v>1.8041237113402001E-2</v>
      </c>
      <c r="E38445" s="2">
        <v>1.14107883817427E-2</v>
      </c>
      <c r="F38445" s="2">
        <v>3.7174721189590998E-3</v>
      </c>
    </row>
    <row r="38446" spans="1:6" x14ac:dyDescent="0.25">
      <c r="A38446" s="1" t="str">
        <f t="shared" si="1376"/>
        <v>48424</v>
      </c>
      <c r="B38446" s="1" t="str">
        <f>"33462"</f>
        <v>33462</v>
      </c>
      <c r="C38446" s="2">
        <v>9.3057882002605605E-3</v>
      </c>
      <c r="D38446" s="2">
        <v>2.8350515463917501E-2</v>
      </c>
      <c r="E38446" s="2">
        <v>2.0746887966804901E-3</v>
      </c>
      <c r="F38446" s="2">
        <v>9.3680297397769497E-3</v>
      </c>
    </row>
    <row r="38447" spans="1:6" x14ac:dyDescent="0.25">
      <c r="A38447" s="1" t="str">
        <f t="shared" si="1376"/>
        <v>48424</v>
      </c>
      <c r="B38447" s="1" t="str">
        <f>"33472"</f>
        <v>33472</v>
      </c>
      <c r="C38447" s="2">
        <v>3.72231528010422E-4</v>
      </c>
      <c r="D38447" s="2">
        <v>5.1546391752577301E-3</v>
      </c>
      <c r="E38447" s="2">
        <v>2.0746887966804901E-3</v>
      </c>
      <c r="F38447" s="2">
        <v>8.9219330855018497E-4</v>
      </c>
    </row>
    <row r="38448" spans="1:6" x14ac:dyDescent="0.25">
      <c r="A38448" s="1" t="str">
        <f t="shared" si="1376"/>
        <v>48424</v>
      </c>
      <c r="B38448" s="1" t="str">
        <f>"33408"</f>
        <v>33408</v>
      </c>
      <c r="C38448" s="2">
        <v>1.48892611204168E-3</v>
      </c>
      <c r="D38448" s="2">
        <v>6.9587628865979301E-2</v>
      </c>
      <c r="E38448" s="2">
        <v>3.1120331950207402E-3</v>
      </c>
      <c r="F38448" s="2">
        <v>5.6505576208178403E-3</v>
      </c>
    </row>
    <row r="38449" spans="1:6" x14ac:dyDescent="0.25">
      <c r="A38449" s="1" t="str">
        <f t="shared" si="1376"/>
        <v>48424</v>
      </c>
      <c r="B38449" s="1" t="str">
        <f>"33483"</f>
        <v>33483</v>
      </c>
      <c r="C38449" s="2">
        <v>6.5140517401823901E-3</v>
      </c>
      <c r="D38449" s="2">
        <v>0</v>
      </c>
      <c r="E38449" s="2">
        <v>4.1493775933609898E-3</v>
      </c>
      <c r="F38449" s="2">
        <v>5.7992565055761999E-3</v>
      </c>
    </row>
    <row r="38450" spans="1:6" x14ac:dyDescent="0.25">
      <c r="A38450" s="1" t="str">
        <f t="shared" si="1376"/>
        <v>48424</v>
      </c>
      <c r="B38450" s="1" t="str">
        <f>"33498"</f>
        <v>33498</v>
      </c>
      <c r="C38450" s="2">
        <v>0</v>
      </c>
      <c r="D38450" s="2">
        <v>2.5773195876288599E-3</v>
      </c>
      <c r="E38450" s="2">
        <v>2.0746887966804901E-3</v>
      </c>
      <c r="F38450" s="2">
        <v>4.46096654275092E-4</v>
      </c>
    </row>
    <row r="38451" spans="1:6" x14ac:dyDescent="0.25">
      <c r="A38451" s="1" t="str">
        <f t="shared" si="1376"/>
        <v>48424</v>
      </c>
      <c r="B38451" s="1" t="str">
        <f>"33446"</f>
        <v>33446</v>
      </c>
      <c r="C38451" s="2">
        <v>6.0301507537688398E-2</v>
      </c>
      <c r="D38451" s="2">
        <v>7.4742268041237098E-2</v>
      </c>
      <c r="E38451" s="2">
        <v>7.2614107883817404E-3</v>
      </c>
      <c r="F38451" s="2">
        <v>5.3531598513011099E-2</v>
      </c>
    </row>
    <row r="38452" spans="1:6" x14ac:dyDescent="0.25">
      <c r="A38452" s="1" t="str">
        <f t="shared" si="1376"/>
        <v>48424</v>
      </c>
      <c r="B38452" s="1" t="str">
        <f>"33467"</f>
        <v>33467</v>
      </c>
      <c r="C38452" s="2">
        <v>2.79173646007816E-3</v>
      </c>
      <c r="D38452" s="2">
        <v>7.7319587628865904E-3</v>
      </c>
      <c r="E38452" s="2">
        <v>4.1493775933609898E-3</v>
      </c>
      <c r="F38452" s="2">
        <v>3.27137546468401E-3</v>
      </c>
    </row>
    <row r="38453" spans="1:6" x14ac:dyDescent="0.25">
      <c r="A38453" s="1" t="str">
        <f t="shared" si="1376"/>
        <v>48424</v>
      </c>
      <c r="B38453" s="1" t="str">
        <f>"33403"</f>
        <v>33403</v>
      </c>
      <c r="C38453" s="2">
        <v>2.4195049320677401E-3</v>
      </c>
      <c r="D38453" s="2">
        <v>5.1546391752577301E-3</v>
      </c>
      <c r="E38453" s="2">
        <v>4.1493775933609898E-3</v>
      </c>
      <c r="F38453" s="2">
        <v>2.8252788104089202E-3</v>
      </c>
    </row>
    <row r="38454" spans="1:6" x14ac:dyDescent="0.25">
      <c r="A38454" s="1" t="str">
        <f t="shared" si="1376"/>
        <v>48424</v>
      </c>
      <c r="B38454" s="1" t="str">
        <f>"33433"</f>
        <v>33433</v>
      </c>
      <c r="C38454" s="2">
        <v>0</v>
      </c>
      <c r="D38454" s="2">
        <v>0</v>
      </c>
      <c r="E38454" s="2">
        <v>1.8672199170124401E-2</v>
      </c>
      <c r="F38454" s="2">
        <v>2.6765799256505498E-3</v>
      </c>
    </row>
    <row r="38455" spans="1:6" x14ac:dyDescent="0.25">
      <c r="A38455" s="1" t="str">
        <f t="shared" si="1376"/>
        <v>48424</v>
      </c>
      <c r="B38455" s="1" t="str">
        <f>"33435"</f>
        <v>33435</v>
      </c>
      <c r="C38455" s="2">
        <v>3.72231528010422E-4</v>
      </c>
      <c r="D38455" s="2">
        <v>0</v>
      </c>
      <c r="E38455" s="2">
        <v>8.29875518672199E-3</v>
      </c>
      <c r="F38455" s="2">
        <v>1.4869888475836401E-3</v>
      </c>
    </row>
    <row r="38456" spans="1:6" x14ac:dyDescent="0.25">
      <c r="A38456" s="1" t="str">
        <f t="shared" si="1376"/>
        <v>48424</v>
      </c>
      <c r="B38456" s="1" t="str">
        <f>"33404"</f>
        <v>33404</v>
      </c>
      <c r="C38456" s="2">
        <v>6.5140517401823902E-2</v>
      </c>
      <c r="D38456" s="2">
        <v>7.2164948453608199E-2</v>
      </c>
      <c r="E38456" s="2">
        <v>4.1493775933609901E-2</v>
      </c>
      <c r="F38456" s="2">
        <v>6.21561338289962E-2</v>
      </c>
    </row>
    <row r="38457" spans="1:6" x14ac:dyDescent="0.25">
      <c r="A38457" s="1" t="str">
        <f t="shared" si="1376"/>
        <v>48424</v>
      </c>
      <c r="B38457" s="1" t="str">
        <f>"33418"</f>
        <v>33418</v>
      </c>
      <c r="C38457" s="2">
        <v>0.19597989949748701</v>
      </c>
      <c r="D38457" s="2">
        <v>6.9587628865979301E-2</v>
      </c>
      <c r="E38457" s="2">
        <v>4.1493775933609898E-3</v>
      </c>
      <c r="F38457" s="2">
        <v>0.16118959107806599</v>
      </c>
    </row>
    <row r="38458" spans="1:6" x14ac:dyDescent="0.25">
      <c r="A38458" s="1" t="str">
        <f t="shared" si="1376"/>
        <v>48424</v>
      </c>
      <c r="B38458" s="1" t="str">
        <f>"33478"</f>
        <v>33478</v>
      </c>
      <c r="C38458" s="2">
        <v>9.30578820026056E-4</v>
      </c>
      <c r="D38458" s="2">
        <v>0</v>
      </c>
      <c r="E38458" s="2">
        <v>0</v>
      </c>
      <c r="F38458" s="2">
        <v>7.4349442379182101E-4</v>
      </c>
    </row>
    <row r="38459" spans="1:6" x14ac:dyDescent="0.25">
      <c r="A38459" s="1" t="str">
        <f t="shared" si="1376"/>
        <v>48424</v>
      </c>
      <c r="B38459" s="1" t="str">
        <f>"33415"</f>
        <v>33415</v>
      </c>
      <c r="C38459" s="2">
        <v>8.1890936162292895E-3</v>
      </c>
      <c r="D38459" s="2">
        <v>0</v>
      </c>
      <c r="E38459" s="2">
        <v>1.0373443983402401E-3</v>
      </c>
      <c r="F38459" s="2">
        <v>6.6914498141263899E-3</v>
      </c>
    </row>
    <row r="38460" spans="1:6" x14ac:dyDescent="0.25">
      <c r="A38460" s="1" t="str">
        <f t="shared" si="1376"/>
        <v>48424</v>
      </c>
      <c r="B38460" s="1" t="str">
        <f>"33486"</f>
        <v>33486</v>
      </c>
      <c r="C38460" s="2">
        <v>1.48892611204168E-3</v>
      </c>
      <c r="D38460" s="2">
        <v>0</v>
      </c>
      <c r="E38460" s="2">
        <v>4.1493775933609898E-3</v>
      </c>
      <c r="F38460" s="2">
        <v>1.7843866171003699E-3</v>
      </c>
    </row>
    <row r="38461" spans="1:6" x14ac:dyDescent="0.25">
      <c r="A38461" s="1" t="str">
        <f t="shared" si="1376"/>
        <v>48424</v>
      </c>
      <c r="B38461" s="1" t="str">
        <f>"33430"</f>
        <v>33430</v>
      </c>
      <c r="C38461" s="2">
        <v>0</v>
      </c>
      <c r="D38461" s="2">
        <v>0</v>
      </c>
      <c r="E38461" s="2">
        <v>9.3360995850622405E-3</v>
      </c>
      <c r="F38461" s="2">
        <v>1.3382899628252699E-3</v>
      </c>
    </row>
    <row r="38462" spans="1:6" x14ac:dyDescent="0.25">
      <c r="A38462" s="1" t="str">
        <f t="shared" si="1376"/>
        <v>48424</v>
      </c>
      <c r="B38462" s="1" t="str">
        <f>"33463"</f>
        <v>33463</v>
      </c>
      <c r="C38462" s="2">
        <v>4.4481667597245401E-2</v>
      </c>
      <c r="D38462" s="2">
        <v>5.1546391752577301E-3</v>
      </c>
      <c r="E38462" s="2">
        <v>1.0373443983402401E-3</v>
      </c>
      <c r="F38462" s="2">
        <v>3.59851301115241E-2</v>
      </c>
    </row>
    <row r="38463" spans="1:6" x14ac:dyDescent="0.25">
      <c r="A38463" s="1" t="str">
        <f t="shared" si="1376"/>
        <v>48424</v>
      </c>
      <c r="B38463" s="1" t="str">
        <f>"33437"</f>
        <v>33437</v>
      </c>
      <c r="C38463" s="2">
        <v>0</v>
      </c>
      <c r="D38463" s="2">
        <v>2.5773195876288599E-3</v>
      </c>
      <c r="E38463" s="2">
        <v>1.0373443983402401E-3</v>
      </c>
      <c r="F38463" s="2">
        <v>2.9739776951672798E-4</v>
      </c>
    </row>
    <row r="38464" spans="1:6" x14ac:dyDescent="0.25">
      <c r="A38464" s="1" t="str">
        <f t="shared" si="1376"/>
        <v>48424</v>
      </c>
      <c r="B38464" s="1" t="str">
        <f>"33405"</f>
        <v>33405</v>
      </c>
      <c r="C38464" s="2">
        <v>1.6750418760468999E-3</v>
      </c>
      <c r="D38464" s="2">
        <v>0</v>
      </c>
      <c r="E38464" s="2">
        <v>2.0746887966804901E-3</v>
      </c>
      <c r="F38464" s="2">
        <v>1.635687732342E-3</v>
      </c>
    </row>
    <row r="38465" spans="1:6" x14ac:dyDescent="0.25">
      <c r="A38465" s="1" t="str">
        <f t="shared" si="1376"/>
        <v>48424</v>
      </c>
      <c r="B38465" s="1" t="str">
        <f>"33477"</f>
        <v>33477</v>
      </c>
      <c r="C38465" s="2">
        <v>1.86115764005211E-4</v>
      </c>
      <c r="D38465" s="2">
        <v>2.5773195876288599E-3</v>
      </c>
      <c r="E38465" s="2">
        <v>1.14107883817427E-2</v>
      </c>
      <c r="F38465" s="2">
        <v>1.9330855018587301E-3</v>
      </c>
    </row>
    <row r="38466" spans="1:6" x14ac:dyDescent="0.25">
      <c r="A38466" s="1" t="str">
        <f t="shared" si="1376"/>
        <v>48424</v>
      </c>
      <c r="B38466" s="1" t="str">
        <f>"33414"</f>
        <v>33414</v>
      </c>
      <c r="C38466" s="2">
        <v>7.44463056020844E-4</v>
      </c>
      <c r="D38466" s="2">
        <v>1.28865979381443E-2</v>
      </c>
      <c r="E38466" s="2">
        <v>2.0746887966804901E-3</v>
      </c>
      <c r="F38466" s="2">
        <v>1.635687732342E-3</v>
      </c>
    </row>
    <row r="38467" spans="1:6" x14ac:dyDescent="0.25">
      <c r="A38467" s="1" t="str">
        <f t="shared" si="1376"/>
        <v>48424</v>
      </c>
      <c r="B38467" s="1" t="str">
        <f>"33434"</f>
        <v>33434</v>
      </c>
      <c r="C38467" s="2">
        <v>2.10310813325888E-2</v>
      </c>
      <c r="D38467" s="2">
        <v>2.5773195876288599E-3</v>
      </c>
      <c r="E38467" s="2">
        <v>1.3485477178423201E-2</v>
      </c>
      <c r="F38467" s="2">
        <v>1.88847583643122E-2</v>
      </c>
    </row>
    <row r="38468" spans="1:6" x14ac:dyDescent="0.25">
      <c r="A38468" s="1" t="str">
        <f t="shared" si="1376"/>
        <v>48424</v>
      </c>
      <c r="B38468" s="1" t="str">
        <f>"33401"</f>
        <v>33401</v>
      </c>
      <c r="C38468" s="2">
        <v>6.9235064209938496E-2</v>
      </c>
      <c r="D38468" s="2">
        <v>0.108247422680412</v>
      </c>
      <c r="E38468" s="2">
        <v>2.38589211618257E-2</v>
      </c>
      <c r="F38468" s="2">
        <v>6.4981412639405198E-2</v>
      </c>
    </row>
    <row r="38469" spans="1:6" x14ac:dyDescent="0.25">
      <c r="A38469" s="1" t="str">
        <f t="shared" si="1376"/>
        <v>48424</v>
      </c>
      <c r="B38469" s="1" t="str">
        <f>"33412"</f>
        <v>33412</v>
      </c>
      <c r="C38469" s="2">
        <v>1.87976921645263E-2</v>
      </c>
      <c r="D38469" s="2">
        <v>5.1546391752577301E-3</v>
      </c>
      <c r="E38469" s="2">
        <v>1.0373443983402401E-3</v>
      </c>
      <c r="F38469" s="2">
        <v>1.5464684014869799E-2</v>
      </c>
    </row>
    <row r="38470" spans="1:6" x14ac:dyDescent="0.25">
      <c r="A38470" s="1" t="str">
        <f t="shared" si="1376"/>
        <v>48424</v>
      </c>
      <c r="B38470" s="1" t="str">
        <f>"33484"</f>
        <v>33484</v>
      </c>
      <c r="C38470" s="2">
        <v>1.86115764005211E-4</v>
      </c>
      <c r="D38470" s="2">
        <v>0</v>
      </c>
      <c r="E38470" s="2">
        <v>1.0373443983402401E-3</v>
      </c>
      <c r="F38470" s="2">
        <v>2.9739776951672798E-4</v>
      </c>
    </row>
    <row r="38471" spans="1:6" x14ac:dyDescent="0.25">
      <c r="A38471" s="1" t="str">
        <f t="shared" si="1376"/>
        <v>48424</v>
      </c>
      <c r="B38471" s="1" t="str">
        <f>"33461"</f>
        <v>33461</v>
      </c>
      <c r="C38471" s="2">
        <v>9.4919039642657708E-3</v>
      </c>
      <c r="D38471" s="2">
        <v>5.1546391752577301E-3</v>
      </c>
      <c r="E38471" s="2">
        <v>1.3485477178423201E-2</v>
      </c>
      <c r="F38471" s="2">
        <v>9.8141263940520404E-3</v>
      </c>
    </row>
    <row r="38472" spans="1:6" x14ac:dyDescent="0.25">
      <c r="A38472" s="1" t="str">
        <f t="shared" si="1376"/>
        <v>48424</v>
      </c>
      <c r="B38472" s="1" t="str">
        <f>"33460"</f>
        <v>33460</v>
      </c>
      <c r="C38472" s="2">
        <v>2.01005025125628E-2</v>
      </c>
      <c r="D38472" s="2">
        <v>1.28865979381443E-2</v>
      </c>
      <c r="E38472" s="2">
        <v>6.2240663900414899E-3</v>
      </c>
      <c r="F38472" s="2">
        <v>1.76951672862453E-2</v>
      </c>
    </row>
    <row r="38473" spans="1:6" x14ac:dyDescent="0.25">
      <c r="A38473" s="1" t="str">
        <f t="shared" ref="A38473:A38491" si="1377">"48424"</f>
        <v>48424</v>
      </c>
      <c r="B38473" s="1" t="str">
        <f>"33406"</f>
        <v>33406</v>
      </c>
      <c r="C38473" s="2">
        <v>9.6780197282709795E-3</v>
      </c>
      <c r="D38473" s="2">
        <v>2.8350515463917501E-2</v>
      </c>
      <c r="E38473" s="2">
        <v>1.55601659751037E-2</v>
      </c>
      <c r="F38473" s="2">
        <v>1.15985130111524E-2</v>
      </c>
    </row>
    <row r="38474" spans="1:6" x14ac:dyDescent="0.25">
      <c r="A38474" s="1" t="str">
        <f t="shared" si="1377"/>
        <v>48424</v>
      </c>
      <c r="B38474" s="1" t="str">
        <f>"33476"</f>
        <v>33476</v>
      </c>
      <c r="C38474" s="2">
        <v>3.72231528010422E-4</v>
      </c>
      <c r="D38474" s="2">
        <v>5.1546391752577301E-3</v>
      </c>
      <c r="E38474" s="2">
        <v>2.0746887966804901E-3</v>
      </c>
      <c r="F38474" s="2">
        <v>8.9219330855018497E-4</v>
      </c>
    </row>
    <row r="38475" spans="1:6" x14ac:dyDescent="0.25">
      <c r="A38475" s="1" t="str">
        <f t="shared" si="1377"/>
        <v>48424</v>
      </c>
      <c r="B38475" s="1" t="str">
        <f>"33445"</f>
        <v>33445</v>
      </c>
      <c r="C38475" s="2">
        <v>9.30578820026056E-4</v>
      </c>
      <c r="D38475" s="2">
        <v>0.18814432989690699</v>
      </c>
      <c r="E38475" s="2">
        <v>3.1120331950207402E-3</v>
      </c>
      <c r="F38475" s="2">
        <v>1.2044609665427501E-2</v>
      </c>
    </row>
    <row r="38476" spans="1:6" x14ac:dyDescent="0.25">
      <c r="A38476" s="1" t="str">
        <f t="shared" si="1377"/>
        <v>48424</v>
      </c>
      <c r="B38476" s="1" t="str">
        <f>"33480"</f>
        <v>33480</v>
      </c>
      <c r="C38476" s="2">
        <v>1.4144798064396001E-2</v>
      </c>
      <c r="D38476" s="2">
        <v>2.5773195876288599E-3</v>
      </c>
      <c r="E38476" s="2">
        <v>1.55601659751037E-2</v>
      </c>
      <c r="F38476" s="2">
        <v>1.3680297397769501E-2</v>
      </c>
    </row>
    <row r="38477" spans="1:6" x14ac:dyDescent="0.25">
      <c r="A38477" s="1" t="str">
        <f t="shared" si="1377"/>
        <v>48424</v>
      </c>
      <c r="B38477" s="1" t="str">
        <f>"33487"</f>
        <v>33487</v>
      </c>
      <c r="C38477" s="2">
        <v>1.1911408896333501E-2</v>
      </c>
      <c r="D38477" s="2">
        <v>2.8350515463917501E-2</v>
      </c>
      <c r="E38477" s="2">
        <v>0.372406639004149</v>
      </c>
      <c r="F38477" s="2">
        <v>6.4535315985130098E-2</v>
      </c>
    </row>
    <row r="38478" spans="1:6" x14ac:dyDescent="0.25">
      <c r="A38478" s="1" t="str">
        <f t="shared" si="1377"/>
        <v>48424</v>
      </c>
      <c r="B38478" s="1" t="str">
        <f>"33409"</f>
        <v>33409</v>
      </c>
      <c r="C38478" s="2">
        <v>0</v>
      </c>
      <c r="D38478" s="2">
        <v>1.03092783505154E-2</v>
      </c>
      <c r="E38478" s="2">
        <v>0</v>
      </c>
      <c r="F38478" s="2">
        <v>5.9479553903345704E-4</v>
      </c>
    </row>
    <row r="38479" spans="1:6" x14ac:dyDescent="0.25">
      <c r="A38479" s="1" t="str">
        <f t="shared" si="1377"/>
        <v>48424</v>
      </c>
      <c r="B38479" s="1" t="str">
        <f>"33440"</f>
        <v>33440</v>
      </c>
      <c r="C38479" s="2">
        <v>3.72231528010422E-4</v>
      </c>
      <c r="D38479" s="2">
        <v>0</v>
      </c>
      <c r="E38479" s="2">
        <v>0</v>
      </c>
      <c r="F38479" s="2">
        <v>2.9739776951672798E-4</v>
      </c>
    </row>
    <row r="38480" spans="1:6" x14ac:dyDescent="0.25">
      <c r="A38480" s="1" t="str">
        <f t="shared" si="1377"/>
        <v>48424</v>
      </c>
      <c r="B38480" s="1" t="str">
        <f>"33426"</f>
        <v>33426</v>
      </c>
      <c r="C38480" s="2">
        <v>6.0301507537688398E-2</v>
      </c>
      <c r="D38480" s="2">
        <v>2.5773195876288599E-3</v>
      </c>
      <c r="E38480" s="2">
        <v>7.67634854771784E-2</v>
      </c>
      <c r="F38480" s="2">
        <v>5.93308550185873E-2</v>
      </c>
    </row>
    <row r="38481" spans="1:6" x14ac:dyDescent="0.25">
      <c r="A38481" s="1" t="str">
        <f t="shared" si="1377"/>
        <v>48424</v>
      </c>
      <c r="B38481" s="1" t="str">
        <f>"33432"</f>
        <v>33432</v>
      </c>
      <c r="C38481" s="2">
        <v>3.72231528010422E-4</v>
      </c>
      <c r="D38481" s="2">
        <v>2.5773195876288599E-3</v>
      </c>
      <c r="E38481" s="2">
        <v>1.8672199170124401E-2</v>
      </c>
      <c r="F38481" s="2">
        <v>3.12267657992565E-3</v>
      </c>
    </row>
    <row r="38482" spans="1:6" x14ac:dyDescent="0.25">
      <c r="A38482" s="1" t="str">
        <f t="shared" si="1377"/>
        <v>48424</v>
      </c>
      <c r="B38482" s="1" t="str">
        <f>"33417"</f>
        <v>33417</v>
      </c>
      <c r="C38482" s="2">
        <v>7.2585147962032304E-2</v>
      </c>
      <c r="D38482" s="2">
        <v>7.7319587628865904E-3</v>
      </c>
      <c r="E38482" s="2">
        <v>3.7344398340248899E-2</v>
      </c>
      <c r="F38482" s="2">
        <v>6.3791821561338197E-2</v>
      </c>
    </row>
    <row r="38483" spans="1:6" x14ac:dyDescent="0.25">
      <c r="A38483" s="1" t="str">
        <f t="shared" si="1377"/>
        <v>48424</v>
      </c>
      <c r="B38483" s="1" t="str">
        <f>"33436"</f>
        <v>33436</v>
      </c>
      <c r="C38483" s="2">
        <v>5.5834729201563304E-3</v>
      </c>
      <c r="D38483" s="2">
        <v>2.5773195876288599E-3</v>
      </c>
      <c r="E38483" s="2">
        <v>0.14315352697095399</v>
      </c>
      <c r="F38483" s="2">
        <v>2.5130111524163501E-2</v>
      </c>
    </row>
    <row r="38484" spans="1:6" x14ac:dyDescent="0.25">
      <c r="A38484" s="1" t="str">
        <f t="shared" si="1377"/>
        <v>48424</v>
      </c>
      <c r="B38484" s="1" t="str">
        <f>"33407"</f>
        <v>33407</v>
      </c>
      <c r="C38484" s="2">
        <v>0</v>
      </c>
      <c r="D38484" s="2">
        <v>1.28865979381443E-2</v>
      </c>
      <c r="E38484" s="2">
        <v>1.24481327800829E-2</v>
      </c>
      <c r="F38484" s="2">
        <v>2.5278810408921899E-3</v>
      </c>
    </row>
    <row r="38485" spans="1:6" x14ac:dyDescent="0.25">
      <c r="A38485" s="1" t="str">
        <f t="shared" si="1377"/>
        <v>48424</v>
      </c>
      <c r="B38485" s="1" t="str">
        <f>"33449"</f>
        <v>33449</v>
      </c>
      <c r="C38485" s="2">
        <v>9.30578820026056E-4</v>
      </c>
      <c r="D38485" s="2">
        <v>1.5463917525773099E-2</v>
      </c>
      <c r="E38485" s="2">
        <v>2.0746887966804901E-3</v>
      </c>
      <c r="F38485" s="2">
        <v>1.9330855018587301E-3</v>
      </c>
    </row>
    <row r="38486" spans="1:6" x14ac:dyDescent="0.25">
      <c r="A38486" s="1" t="str">
        <f t="shared" si="1377"/>
        <v>48424</v>
      </c>
      <c r="B38486" s="1" t="str">
        <f>"33496"</f>
        <v>33496</v>
      </c>
      <c r="C38486" s="2">
        <v>5.6765308021589397E-2</v>
      </c>
      <c r="D38486" s="2">
        <v>0</v>
      </c>
      <c r="E38486" s="2">
        <v>5.1867219917012403E-3</v>
      </c>
      <c r="F38486" s="2">
        <v>4.6096654275092901E-2</v>
      </c>
    </row>
    <row r="38487" spans="1:6" x14ac:dyDescent="0.25">
      <c r="A38487" s="1" t="str">
        <f t="shared" si="1377"/>
        <v>48424</v>
      </c>
      <c r="B38487" s="1" t="str">
        <f>"33473"</f>
        <v>33473</v>
      </c>
      <c r="C38487" s="2">
        <v>0</v>
      </c>
      <c r="D38487" s="2">
        <v>0</v>
      </c>
      <c r="E38487" s="2">
        <v>2.0746887966804901E-3</v>
      </c>
      <c r="F38487" s="2">
        <v>2.9739776951672798E-4</v>
      </c>
    </row>
    <row r="38488" spans="1:6" x14ac:dyDescent="0.25">
      <c r="A38488" s="1" t="str">
        <f t="shared" si="1377"/>
        <v>48424</v>
      </c>
      <c r="B38488" s="1" t="str">
        <f>"33469"</f>
        <v>33469</v>
      </c>
      <c r="C38488" s="2">
        <v>5.9557044481667503E-3</v>
      </c>
      <c r="D38488" s="2">
        <v>2.5773195876288599E-2</v>
      </c>
      <c r="E38488" s="2">
        <v>1.0373443983402401E-2</v>
      </c>
      <c r="F38488" s="2">
        <v>7.7323420074349404E-3</v>
      </c>
    </row>
    <row r="38489" spans="1:6" x14ac:dyDescent="0.25">
      <c r="A38489" s="1" t="str">
        <f t="shared" si="1377"/>
        <v>48424</v>
      </c>
      <c r="B38489" s="1" t="str">
        <f>"33470"</f>
        <v>33470</v>
      </c>
      <c r="C38489" s="2">
        <v>1.8611576400521101E-3</v>
      </c>
      <c r="D38489" s="2">
        <v>2.5773195876288599E-3</v>
      </c>
      <c r="E38489" s="2">
        <v>1.0373443983402401E-3</v>
      </c>
      <c r="F38489" s="2">
        <v>1.7843866171003699E-3</v>
      </c>
    </row>
    <row r="38490" spans="1:6" x14ac:dyDescent="0.25">
      <c r="A38490" s="1" t="str">
        <f t="shared" si="1377"/>
        <v>48424</v>
      </c>
      <c r="B38490" s="1" t="str">
        <f>"33410"</f>
        <v>33410</v>
      </c>
      <c r="C38490" s="2">
        <v>1.3958682300390801E-2</v>
      </c>
      <c r="D38490" s="2">
        <v>3.0927835051546299E-2</v>
      </c>
      <c r="E38490" s="2">
        <v>5.1867219917012403E-3</v>
      </c>
      <c r="F38490" s="2">
        <v>1.3680297397769501E-2</v>
      </c>
    </row>
    <row r="38491" spans="1:6" x14ac:dyDescent="0.25">
      <c r="A38491" s="1" t="str">
        <f t="shared" si="1377"/>
        <v>48424</v>
      </c>
      <c r="B38491" s="1" t="str">
        <f>"33428"</f>
        <v>33428</v>
      </c>
      <c r="C38491" s="2">
        <v>0</v>
      </c>
      <c r="D38491" s="2">
        <v>5.1546391752577301E-3</v>
      </c>
      <c r="E38491" s="2">
        <v>8.29875518672199E-3</v>
      </c>
      <c r="F38491" s="2">
        <v>1.4869888475836401E-3</v>
      </c>
    </row>
    <row r="38492" spans="1:6" x14ac:dyDescent="0.25">
      <c r="A38492" s="1" t="str">
        <f t="shared" ref="A38492:A38504" si="1378">"48460"</f>
        <v>48460</v>
      </c>
      <c r="B38492" s="1" t="str">
        <f>"65790"</f>
        <v>65790</v>
      </c>
      <c r="C38492" s="2">
        <v>1.78172781264479E-2</v>
      </c>
      <c r="D38492" s="2">
        <v>6.1399918133442401E-3</v>
      </c>
      <c r="E38492" s="2">
        <v>8.4033613445378096E-3</v>
      </c>
      <c r="F38492" s="2">
        <v>1.66158019667683E-2</v>
      </c>
    </row>
    <row r="38493" spans="1:6" x14ac:dyDescent="0.25">
      <c r="A38493" s="1" t="str">
        <f t="shared" si="1378"/>
        <v>48460</v>
      </c>
      <c r="B38493" s="1" t="str">
        <f>"65637"</f>
        <v>65637</v>
      </c>
      <c r="C38493" s="2">
        <v>2.2745461438018599E-3</v>
      </c>
      <c r="D38493" s="2">
        <v>3.27466230045026E-3</v>
      </c>
      <c r="E38493" s="2">
        <v>0</v>
      </c>
      <c r="F38493" s="2">
        <v>2.33600843977242E-3</v>
      </c>
    </row>
    <row r="38494" spans="1:6" x14ac:dyDescent="0.25">
      <c r="A38494" s="1" t="str">
        <f t="shared" si="1378"/>
        <v>48460</v>
      </c>
      <c r="B38494" s="1" t="str">
        <f>"65777"</f>
        <v>65777</v>
      </c>
      <c r="C38494" s="2">
        <v>1.0319700096878799E-2</v>
      </c>
      <c r="D38494" s="2">
        <v>1.63733115022513E-3</v>
      </c>
      <c r="E38494" s="2">
        <v>2.80112044817927E-3</v>
      </c>
      <c r="F38494" s="2">
        <v>9.4193888700501108E-3</v>
      </c>
    </row>
    <row r="38495" spans="1:6" x14ac:dyDescent="0.25">
      <c r="A38495" s="1" t="str">
        <f t="shared" si="1378"/>
        <v>48460</v>
      </c>
      <c r="B38495" s="1" t="str">
        <f>"65689"</f>
        <v>65689</v>
      </c>
      <c r="C38495" s="2">
        <v>2.1060612442609799E-4</v>
      </c>
      <c r="D38495" s="2">
        <v>0</v>
      </c>
      <c r="E38495" s="2">
        <v>0</v>
      </c>
      <c r="F38495" s="2">
        <v>1.8838777740100201E-4</v>
      </c>
    </row>
    <row r="38496" spans="1:6" x14ac:dyDescent="0.25">
      <c r="A38496" s="1" t="str">
        <f t="shared" si="1378"/>
        <v>48460</v>
      </c>
      <c r="B38496" s="1" t="str">
        <f>"65688"</f>
        <v>65688</v>
      </c>
      <c r="C38496" s="2">
        <v>0</v>
      </c>
      <c r="D38496" s="2">
        <v>0</v>
      </c>
      <c r="E38496" s="2">
        <v>2.80112044817927E-3</v>
      </c>
      <c r="F38496" s="2">
        <v>3.7677555480200403E-5</v>
      </c>
    </row>
    <row r="38497" spans="1:6" x14ac:dyDescent="0.25">
      <c r="A38497" s="1" t="str">
        <f t="shared" si="1378"/>
        <v>48460</v>
      </c>
      <c r="B38497" s="1" t="str">
        <f>"65692"</f>
        <v>65692</v>
      </c>
      <c r="C38497" s="2">
        <v>2.6030916979065701E-2</v>
      </c>
      <c r="D38497" s="2">
        <v>6.1399918133442401E-3</v>
      </c>
      <c r="E38497" s="2">
        <v>2.80112044817927E-3</v>
      </c>
      <c r="F38497" s="2">
        <v>2.3887570174446999E-2</v>
      </c>
    </row>
    <row r="38498" spans="1:6" x14ac:dyDescent="0.25">
      <c r="A38498" s="1" t="str">
        <f t="shared" si="1378"/>
        <v>48460</v>
      </c>
      <c r="B38498" s="1" t="str">
        <f>"65775"</f>
        <v>65775</v>
      </c>
      <c r="C38498" s="2">
        <v>0.57032138494587403</v>
      </c>
      <c r="D38498" s="2">
        <v>0.76790830945558697</v>
      </c>
      <c r="E38498" s="2">
        <v>0.71148459383753504</v>
      </c>
      <c r="F38498" s="2">
        <v>0.59040729437474004</v>
      </c>
    </row>
    <row r="38499" spans="1:6" x14ac:dyDescent="0.25">
      <c r="A38499" s="1" t="str">
        <f t="shared" si="1378"/>
        <v>48460</v>
      </c>
      <c r="B38499" s="1" t="str">
        <f>"65626"</f>
        <v>65626</v>
      </c>
      <c r="C38499" s="2">
        <v>3.357061623352E-2</v>
      </c>
      <c r="D38499" s="2">
        <v>4.5026606631191103E-3</v>
      </c>
      <c r="E38499" s="2">
        <v>5.60224089635854E-3</v>
      </c>
      <c r="F38499" s="2">
        <v>3.0518819938962299E-2</v>
      </c>
    </row>
    <row r="38500" spans="1:6" x14ac:dyDescent="0.25">
      <c r="A38500" s="1" t="str">
        <f t="shared" si="1378"/>
        <v>48460</v>
      </c>
      <c r="B38500" s="1" t="str">
        <f>"65788"</f>
        <v>65788</v>
      </c>
      <c r="C38500" s="2">
        <v>1.0446063771534401E-2</v>
      </c>
      <c r="D38500" s="2">
        <v>1.2279983626688399E-3</v>
      </c>
      <c r="E38500" s="2">
        <v>2.80112044817927E-3</v>
      </c>
      <c r="F38500" s="2">
        <v>9.4947439810105106E-3</v>
      </c>
    </row>
    <row r="38501" spans="1:6" x14ac:dyDescent="0.25">
      <c r="A38501" s="1" t="str">
        <f t="shared" si="1378"/>
        <v>48460</v>
      </c>
      <c r="B38501" s="1" t="str">
        <f>"65609"</f>
        <v>65609</v>
      </c>
      <c r="C38501" s="2">
        <v>3.7066677898993298E-3</v>
      </c>
      <c r="D38501" s="2">
        <v>0</v>
      </c>
      <c r="E38501" s="2">
        <v>0</v>
      </c>
      <c r="F38501" s="2">
        <v>3.3156248822576299E-3</v>
      </c>
    </row>
    <row r="38502" spans="1:6" x14ac:dyDescent="0.25">
      <c r="A38502" s="1" t="str">
        <f t="shared" si="1378"/>
        <v>48460</v>
      </c>
      <c r="B38502" s="1" t="str">
        <f>"65793"</f>
        <v>65793</v>
      </c>
      <c r="C38502" s="2">
        <v>0.123667916263004</v>
      </c>
      <c r="D38502" s="2">
        <v>8.8006549324600905E-2</v>
      </c>
      <c r="E38502" s="2">
        <v>0.123249299719887</v>
      </c>
      <c r="F38502" s="2">
        <v>0.12037978975924001</v>
      </c>
    </row>
    <row r="38503" spans="1:6" x14ac:dyDescent="0.25">
      <c r="A38503" s="1" t="str">
        <f t="shared" si="1378"/>
        <v>48460</v>
      </c>
      <c r="B38503" s="1" t="str">
        <f>"65789"</f>
        <v>65789</v>
      </c>
      <c r="C38503" s="2">
        <v>4.0899709363548198E-2</v>
      </c>
      <c r="D38503" s="2">
        <v>1.6373311502251301E-2</v>
      </c>
      <c r="E38503" s="2">
        <v>1.40056022408963E-2</v>
      </c>
      <c r="F38503" s="2">
        <v>3.82803963678836E-2</v>
      </c>
    </row>
    <row r="38504" spans="1:6" x14ac:dyDescent="0.25">
      <c r="A38504" s="1" t="str">
        <f t="shared" si="1378"/>
        <v>48460</v>
      </c>
      <c r="B38504" s="1" t="str">
        <f>"65548"</f>
        <v>65548</v>
      </c>
      <c r="C38504" s="2">
        <v>0.16073459416199801</v>
      </c>
      <c r="D38504" s="2">
        <v>0.104789193614408</v>
      </c>
      <c r="E38504" s="2">
        <v>0.126050420168067</v>
      </c>
      <c r="F38504" s="2">
        <v>0.15511849591198501</v>
      </c>
    </row>
    <row r="38505" spans="1:6" x14ac:dyDescent="0.25">
      <c r="A38505" s="1" t="str">
        <f t="shared" ref="A38505:A38512" si="1379">"48500"</f>
        <v>48500</v>
      </c>
      <c r="B38505" s="1" t="str">
        <f>"39756"</f>
        <v>39756</v>
      </c>
      <c r="C38505" s="2">
        <v>9.8085876875323302E-2</v>
      </c>
      <c r="D38505" s="2">
        <v>9.9596231493943393E-2</v>
      </c>
      <c r="E38505" s="2">
        <v>0</v>
      </c>
      <c r="F38505" s="2">
        <v>9.7602903256613499E-2</v>
      </c>
    </row>
    <row r="38506" spans="1:6" x14ac:dyDescent="0.25">
      <c r="A38506" s="1" t="str">
        <f t="shared" si="1379"/>
        <v>48500</v>
      </c>
      <c r="B38506" s="1" t="str">
        <f>"39751"</f>
        <v>39751</v>
      </c>
      <c r="C38506" s="2">
        <v>3.4247284014485201E-2</v>
      </c>
      <c r="D38506" s="2">
        <v>8.0753701211305502E-3</v>
      </c>
      <c r="E38506" s="2">
        <v>0</v>
      </c>
      <c r="F38506" s="2">
        <v>3.2184127590487999E-2</v>
      </c>
    </row>
    <row r="38507" spans="1:6" x14ac:dyDescent="0.25">
      <c r="A38507" s="1" t="str">
        <f t="shared" si="1379"/>
        <v>48500</v>
      </c>
      <c r="B38507" s="1" t="str">
        <f>"39750"</f>
        <v>39750</v>
      </c>
      <c r="C38507" s="2">
        <v>1.4174857734092E-2</v>
      </c>
      <c r="D38507" s="2">
        <v>4.0376850605652699E-3</v>
      </c>
      <c r="E38507" s="2">
        <v>0</v>
      </c>
      <c r="F38507" s="2">
        <v>1.3370260720084E-2</v>
      </c>
    </row>
    <row r="38508" spans="1:6" x14ac:dyDescent="0.25">
      <c r="A38508" s="1" t="str">
        <f t="shared" si="1379"/>
        <v>48500</v>
      </c>
      <c r="B38508" s="1" t="str">
        <f>"39759"</f>
        <v>39759</v>
      </c>
      <c r="C38508" s="2">
        <v>5.1733057423693695E-4</v>
      </c>
      <c r="D38508" s="2">
        <v>0</v>
      </c>
      <c r="E38508" s="2">
        <v>0</v>
      </c>
      <c r="F38508" s="2">
        <v>4.7750931143157198E-4</v>
      </c>
    </row>
    <row r="38509" spans="1:6" x14ac:dyDescent="0.25">
      <c r="A38509" s="1" t="str">
        <f t="shared" si="1379"/>
        <v>48500</v>
      </c>
      <c r="B38509" s="1" t="str">
        <f>"39773"</f>
        <v>39773</v>
      </c>
      <c r="C38509" s="2">
        <v>0.72457320227625399</v>
      </c>
      <c r="D38509" s="2">
        <v>0.81965006729475098</v>
      </c>
      <c r="E38509" s="2">
        <v>1</v>
      </c>
      <c r="F38509" s="2">
        <v>0.73297679304746399</v>
      </c>
    </row>
    <row r="38510" spans="1:6" x14ac:dyDescent="0.25">
      <c r="A38510" s="1" t="str">
        <f t="shared" si="1379"/>
        <v>48500</v>
      </c>
      <c r="B38510" s="1" t="str">
        <f>"39741"</f>
        <v>39741</v>
      </c>
      <c r="C38510" s="2">
        <v>6.7046042421106997E-2</v>
      </c>
      <c r="D38510" s="2">
        <v>1.48048452220726E-2</v>
      </c>
      <c r="E38510" s="2">
        <v>0</v>
      </c>
      <c r="F38510" s="2">
        <v>6.2935727246681297E-2</v>
      </c>
    </row>
    <row r="38511" spans="1:6" x14ac:dyDescent="0.25">
      <c r="A38511" s="1" t="str">
        <f t="shared" si="1379"/>
        <v>48500</v>
      </c>
      <c r="B38511" s="1" t="str">
        <f>"39755"</f>
        <v>39755</v>
      </c>
      <c r="C38511" s="2">
        <v>4.2628039317123598E-2</v>
      </c>
      <c r="D38511" s="2">
        <v>4.17227456258411E-2</v>
      </c>
      <c r="E38511" s="2">
        <v>0</v>
      </c>
      <c r="F38511" s="2">
        <v>4.2307324992837299E-2</v>
      </c>
    </row>
    <row r="38512" spans="1:6" x14ac:dyDescent="0.25">
      <c r="A38512" s="1" t="str">
        <f t="shared" si="1379"/>
        <v>48500</v>
      </c>
      <c r="B38512" s="1" t="str">
        <f>"39776"</f>
        <v>39776</v>
      </c>
      <c r="C38512" s="2">
        <v>1.87273667873771E-2</v>
      </c>
      <c r="D38512" s="2">
        <v>1.21130551816958E-2</v>
      </c>
      <c r="E38512" s="2">
        <v>0</v>
      </c>
      <c r="F38512" s="2">
        <v>1.8145353834399702E-2</v>
      </c>
    </row>
    <row r="38513" spans="1:6" x14ac:dyDescent="0.25">
      <c r="A38513" s="1" t="str">
        <f t="shared" ref="A38513:A38544" si="1380">"48540"</f>
        <v>48540</v>
      </c>
      <c r="B38513" s="1" t="str">
        <f>"43902"</f>
        <v>43902</v>
      </c>
      <c r="C38513" s="2">
        <v>1.42751329876775E-3</v>
      </c>
      <c r="D38513" s="2">
        <v>0</v>
      </c>
      <c r="E38513" s="2">
        <v>4.3029259896729702E-4</v>
      </c>
      <c r="F38513" s="2">
        <v>1.2810689143240199E-3</v>
      </c>
    </row>
    <row r="38514" spans="1:6" x14ac:dyDescent="0.25">
      <c r="A38514" s="1" t="str">
        <f t="shared" si="1380"/>
        <v>48540</v>
      </c>
      <c r="B38514" s="1" t="str">
        <f>"43983"</f>
        <v>43983</v>
      </c>
      <c r="C38514" s="2">
        <v>3.4341121809979098E-3</v>
      </c>
      <c r="D38514" s="2">
        <v>5.7595392368610496E-4</v>
      </c>
      <c r="E38514" s="2">
        <v>0</v>
      </c>
      <c r="F38514" s="2">
        <v>3.1009051290646901E-3</v>
      </c>
    </row>
    <row r="38515" spans="1:6" x14ac:dyDescent="0.25">
      <c r="A38515" s="1" t="str">
        <f t="shared" si="1380"/>
        <v>48540</v>
      </c>
      <c r="B38515" s="1" t="str">
        <f>"43971"</f>
        <v>43971</v>
      </c>
      <c r="C38515" s="2">
        <v>2.92236213049626E-3</v>
      </c>
      <c r="D38515" s="2">
        <v>7.1994240460763104E-4</v>
      </c>
      <c r="E38515" s="2">
        <v>3.44234079173838E-3</v>
      </c>
      <c r="F38515" s="2">
        <v>2.7536995354628599E-3</v>
      </c>
    </row>
    <row r="38516" spans="1:6" x14ac:dyDescent="0.25">
      <c r="A38516" s="1" t="str">
        <f t="shared" si="1380"/>
        <v>48540</v>
      </c>
      <c r="B38516" s="1" t="str">
        <f>"43985"</f>
        <v>43985</v>
      </c>
      <c r="C38516" s="2">
        <v>5.38684263685947E-5</v>
      </c>
      <c r="D38516" s="2">
        <v>0</v>
      </c>
      <c r="E38516" s="2">
        <v>4.3029259896729702E-4</v>
      </c>
      <c r="F38516" s="2">
        <v>5.9863033379627397E-5</v>
      </c>
    </row>
    <row r="38517" spans="1:6" x14ac:dyDescent="0.25">
      <c r="A38517" s="1" t="str">
        <f t="shared" si="1380"/>
        <v>48540</v>
      </c>
      <c r="B38517" s="1" t="str">
        <f>"43967"</f>
        <v>43967</v>
      </c>
      <c r="C38517" s="2">
        <v>1.3467106592148599E-4</v>
      </c>
      <c r="D38517" s="2">
        <v>0</v>
      </c>
      <c r="E38517" s="2">
        <v>4.3029259896729702E-4</v>
      </c>
      <c r="F38517" s="2">
        <v>1.3169867343517999E-4</v>
      </c>
    </row>
    <row r="38518" spans="1:6" x14ac:dyDescent="0.25">
      <c r="A38518" s="1" t="str">
        <f t="shared" si="1380"/>
        <v>48540</v>
      </c>
      <c r="B38518" s="1" t="str">
        <f>"26070"</f>
        <v>26070</v>
      </c>
      <c r="C38518" s="2">
        <v>8.0802639552891999E-5</v>
      </c>
      <c r="D38518" s="2">
        <v>0</v>
      </c>
      <c r="E38518" s="2">
        <v>0</v>
      </c>
      <c r="F38518" s="2">
        <v>7.1835640055552795E-5</v>
      </c>
    </row>
    <row r="38519" spans="1:6" x14ac:dyDescent="0.25">
      <c r="A38519" s="1" t="str">
        <f t="shared" si="1380"/>
        <v>48540</v>
      </c>
      <c r="B38519" s="1" t="str">
        <f>"26074"</f>
        <v>26074</v>
      </c>
      <c r="C38519" s="2">
        <v>3.1782371557470802E-3</v>
      </c>
      <c r="D38519" s="2">
        <v>2.15982721382289E-3</v>
      </c>
      <c r="E38519" s="2">
        <v>7.7452667814113503E-3</v>
      </c>
      <c r="F38519" s="2">
        <v>3.2206311958239502E-3</v>
      </c>
    </row>
    <row r="38520" spans="1:6" x14ac:dyDescent="0.25">
      <c r="A38520" s="1" t="str">
        <f t="shared" si="1380"/>
        <v>48540</v>
      </c>
      <c r="B38520" s="1" t="str">
        <f>"43935"</f>
        <v>43935</v>
      </c>
      <c r="C38520" s="2">
        <v>6.2325769308464E-2</v>
      </c>
      <c r="D38520" s="2">
        <v>5.8171346292296602E-2</v>
      </c>
      <c r="E38520" s="2">
        <v>5.3356282271944902E-2</v>
      </c>
      <c r="F38520" s="2">
        <v>6.1730760021071703E-2</v>
      </c>
    </row>
    <row r="38521" spans="1:6" x14ac:dyDescent="0.25">
      <c r="A38521" s="1" t="str">
        <f t="shared" si="1380"/>
        <v>48540</v>
      </c>
      <c r="B38521" s="1" t="str">
        <f>"43747"</f>
        <v>43747</v>
      </c>
      <c r="C38521" s="2">
        <v>2.1143357349673402E-3</v>
      </c>
      <c r="D38521" s="2">
        <v>1.43988480921526E-4</v>
      </c>
      <c r="E38521" s="2">
        <v>0</v>
      </c>
      <c r="F38521" s="2">
        <v>1.8916718547962201E-3</v>
      </c>
    </row>
    <row r="38522" spans="1:6" x14ac:dyDescent="0.25">
      <c r="A38522" s="1" t="str">
        <f t="shared" si="1380"/>
        <v>48540</v>
      </c>
      <c r="B38522" s="1" t="str">
        <f>"43950"</f>
        <v>43950</v>
      </c>
      <c r="C38522" s="2">
        <v>0.100114470406033</v>
      </c>
      <c r="D38522" s="2">
        <v>0.14298056155507499</v>
      </c>
      <c r="E38522" s="2">
        <v>0.145869191049913</v>
      </c>
      <c r="F38522" s="2">
        <v>0.104951870121162</v>
      </c>
    </row>
    <row r="38523" spans="1:6" x14ac:dyDescent="0.25">
      <c r="A38523" s="1" t="str">
        <f t="shared" si="1380"/>
        <v>48540</v>
      </c>
      <c r="B38523" s="1" t="str">
        <f>"43947"</f>
        <v>43947</v>
      </c>
      <c r="C38523" s="2">
        <v>3.6186115413103397E-2</v>
      </c>
      <c r="D38523" s="2">
        <v>1.65586753059755E-2</v>
      </c>
      <c r="E38523" s="2">
        <v>1.6351118760757299E-2</v>
      </c>
      <c r="F38523" s="2">
        <v>3.4002202959628303E-2</v>
      </c>
    </row>
    <row r="38524" spans="1:6" x14ac:dyDescent="0.25">
      <c r="A38524" s="1" t="str">
        <f t="shared" si="1380"/>
        <v>48540</v>
      </c>
      <c r="B38524" s="1" t="str">
        <f>"43718"</f>
        <v>43718</v>
      </c>
      <c r="C38524" s="2">
        <v>2.0900949431014702E-2</v>
      </c>
      <c r="D38524" s="2">
        <v>9.2152627789776793E-3</v>
      </c>
      <c r="E38524" s="2">
        <v>2.5817555938037798E-3</v>
      </c>
      <c r="F38524" s="2">
        <v>1.9419568028351101E-2</v>
      </c>
    </row>
    <row r="38525" spans="1:6" x14ac:dyDescent="0.25">
      <c r="A38525" s="1" t="str">
        <f t="shared" si="1380"/>
        <v>48540</v>
      </c>
      <c r="B38525" s="1" t="str">
        <f>"43937"</f>
        <v>43937</v>
      </c>
      <c r="C38525" s="2">
        <v>0</v>
      </c>
      <c r="D38525" s="2">
        <v>0</v>
      </c>
      <c r="E38525" s="2">
        <v>4.3029259896729702E-4</v>
      </c>
      <c r="F38525" s="2">
        <v>1.19726066759254E-5</v>
      </c>
    </row>
    <row r="38526" spans="1:6" x14ac:dyDescent="0.25">
      <c r="A38526" s="1" t="str">
        <f t="shared" si="1380"/>
        <v>48540</v>
      </c>
      <c r="B38526" s="1" t="str">
        <f>"26059"</f>
        <v>26059</v>
      </c>
      <c r="C38526" s="2">
        <v>2.3796377348326701E-2</v>
      </c>
      <c r="D38526" s="2">
        <v>3.3117350611951001E-2</v>
      </c>
      <c r="E38526" s="2">
        <v>4.6901893287435402E-2</v>
      </c>
      <c r="F38526" s="2">
        <v>2.5214309659499001E-2</v>
      </c>
    </row>
    <row r="38527" spans="1:6" x14ac:dyDescent="0.25">
      <c r="A38527" s="1" t="str">
        <f t="shared" si="1380"/>
        <v>48540</v>
      </c>
      <c r="B38527" s="1" t="str">
        <f>"43940"</f>
        <v>43940</v>
      </c>
      <c r="C38527" s="2">
        <v>4.9828294390950097E-4</v>
      </c>
      <c r="D38527" s="2">
        <v>0</v>
      </c>
      <c r="E38527" s="2">
        <v>4.3029259896729702E-4</v>
      </c>
      <c r="F38527" s="2">
        <v>4.5495905368516802E-4</v>
      </c>
    </row>
    <row r="38528" spans="1:6" x14ac:dyDescent="0.25">
      <c r="A38528" s="1" t="str">
        <f t="shared" si="1380"/>
        <v>48540</v>
      </c>
      <c r="B38528" s="1" t="str">
        <f>"43934"</f>
        <v>43934</v>
      </c>
      <c r="C38528" s="2">
        <v>0</v>
      </c>
      <c r="D38528" s="2">
        <v>0</v>
      </c>
      <c r="E38528" s="2">
        <v>4.3029259896729702E-4</v>
      </c>
      <c r="F38528" s="2">
        <v>1.19726066759254E-5</v>
      </c>
    </row>
    <row r="38529" spans="1:6" x14ac:dyDescent="0.25">
      <c r="A38529" s="1" t="str">
        <f t="shared" si="1380"/>
        <v>48540</v>
      </c>
      <c r="B38529" s="1" t="str">
        <f>"43917"</f>
        <v>43917</v>
      </c>
      <c r="C38529" s="2">
        <v>2.3971449734024601E-3</v>
      </c>
      <c r="D38529" s="2">
        <v>1.4398848092152599E-3</v>
      </c>
      <c r="E38529" s="2">
        <v>0</v>
      </c>
      <c r="F38529" s="2">
        <v>2.2508500550739901E-3</v>
      </c>
    </row>
    <row r="38530" spans="1:6" x14ac:dyDescent="0.25">
      <c r="A38530" s="1" t="str">
        <f t="shared" si="1380"/>
        <v>48540</v>
      </c>
      <c r="B38530" s="1" t="str">
        <f>"26036"</f>
        <v>26036</v>
      </c>
      <c r="C38530" s="2">
        <v>3.1243687293784901E-3</v>
      </c>
      <c r="D38530" s="2">
        <v>3.16774658027357E-3</v>
      </c>
      <c r="E38530" s="2">
        <v>4.3029259896729702E-4</v>
      </c>
      <c r="F38530" s="2">
        <v>3.0530147023609898E-3</v>
      </c>
    </row>
    <row r="38531" spans="1:6" x14ac:dyDescent="0.25">
      <c r="A38531" s="1" t="str">
        <f t="shared" si="1380"/>
        <v>48540</v>
      </c>
      <c r="B38531" s="1" t="str">
        <f>"43928"</f>
        <v>43928</v>
      </c>
      <c r="C38531" s="2">
        <v>0</v>
      </c>
      <c r="D38531" s="2">
        <v>0</v>
      </c>
      <c r="E38531" s="2">
        <v>4.3029259896729702E-4</v>
      </c>
      <c r="F38531" s="2">
        <v>1.19726066759254E-5</v>
      </c>
    </row>
    <row r="38532" spans="1:6" x14ac:dyDescent="0.25">
      <c r="A38532" s="1" t="str">
        <f t="shared" si="1380"/>
        <v>48540</v>
      </c>
      <c r="B38532" s="1" t="str">
        <f>"43905"</f>
        <v>43905</v>
      </c>
      <c r="C38532" s="2">
        <v>1.34671065921486E-5</v>
      </c>
      <c r="D38532" s="2">
        <v>0</v>
      </c>
      <c r="E38532" s="2">
        <v>4.3029259896729702E-4</v>
      </c>
      <c r="F38532" s="2">
        <v>2.3945213351850901E-5</v>
      </c>
    </row>
    <row r="38533" spans="1:6" x14ac:dyDescent="0.25">
      <c r="A38533" s="1" t="str">
        <f t="shared" si="1380"/>
        <v>48540</v>
      </c>
      <c r="B38533" s="1" t="str">
        <f>"43943"</f>
        <v>43943</v>
      </c>
      <c r="C38533" s="2">
        <v>8.3496060871321703E-4</v>
      </c>
      <c r="D38533" s="2">
        <v>0</v>
      </c>
      <c r="E38533" s="2">
        <v>0</v>
      </c>
      <c r="F38533" s="2">
        <v>7.4230161390737904E-4</v>
      </c>
    </row>
    <row r="38534" spans="1:6" x14ac:dyDescent="0.25">
      <c r="A38534" s="1" t="str">
        <f t="shared" si="1380"/>
        <v>48540</v>
      </c>
      <c r="B38534" s="1" t="str">
        <f>"43901"</f>
        <v>43901</v>
      </c>
      <c r="C38534" s="2">
        <v>9.6963167463470399E-4</v>
      </c>
      <c r="D38534" s="2">
        <v>1.43988480921526E-4</v>
      </c>
      <c r="E38534" s="2">
        <v>0</v>
      </c>
      <c r="F38534" s="2">
        <v>8.7400028734256E-4</v>
      </c>
    </row>
    <row r="38535" spans="1:6" x14ac:dyDescent="0.25">
      <c r="A38535" s="1" t="str">
        <f t="shared" si="1380"/>
        <v>48540</v>
      </c>
      <c r="B38535" s="1" t="str">
        <f>"43909"</f>
        <v>43909</v>
      </c>
      <c r="C38535" s="2">
        <v>1.0773685273718899E-4</v>
      </c>
      <c r="D38535" s="2">
        <v>0</v>
      </c>
      <c r="E38535" s="2">
        <v>4.3029259896729702E-4</v>
      </c>
      <c r="F38535" s="2">
        <v>1.07753460083329E-4</v>
      </c>
    </row>
    <row r="38536" spans="1:6" x14ac:dyDescent="0.25">
      <c r="A38536" s="1" t="str">
        <f t="shared" si="1380"/>
        <v>48540</v>
      </c>
      <c r="B38536" s="1" t="str">
        <f>"43927"</f>
        <v>43927</v>
      </c>
      <c r="C38536" s="2">
        <v>1.3063093394384199E-3</v>
      </c>
      <c r="D38536" s="2">
        <v>4.3196544276457801E-4</v>
      </c>
      <c r="E38536" s="2">
        <v>1.2908777969018899E-3</v>
      </c>
      <c r="F38536" s="2">
        <v>1.2331784876203199E-3</v>
      </c>
    </row>
    <row r="38537" spans="1:6" x14ac:dyDescent="0.25">
      <c r="A38537" s="1" t="str">
        <f t="shared" si="1380"/>
        <v>48540</v>
      </c>
      <c r="B38537" s="1" t="str">
        <f>"43933"</f>
        <v>43933</v>
      </c>
      <c r="C38537" s="2">
        <v>1.2308935425223801E-2</v>
      </c>
      <c r="D38537" s="2">
        <v>2.7357811375089899E-3</v>
      </c>
      <c r="E38537" s="2">
        <v>3.0120481927710802E-3</v>
      </c>
      <c r="F38537" s="2">
        <v>1.1254250275369901E-2</v>
      </c>
    </row>
    <row r="38538" spans="1:6" x14ac:dyDescent="0.25">
      <c r="A38538" s="1" t="str">
        <f t="shared" si="1380"/>
        <v>48540</v>
      </c>
      <c r="B38538" s="1" t="str">
        <f>"43716"</f>
        <v>43716</v>
      </c>
      <c r="C38538" s="2">
        <v>2.5452831459160902E-3</v>
      </c>
      <c r="D38538" s="2">
        <v>4.3196544276457801E-4</v>
      </c>
      <c r="E38538" s="2">
        <v>0</v>
      </c>
      <c r="F38538" s="2">
        <v>2.2987404817776899E-3</v>
      </c>
    </row>
    <row r="38539" spans="1:6" x14ac:dyDescent="0.25">
      <c r="A38539" s="1" t="str">
        <f t="shared" si="1380"/>
        <v>48540</v>
      </c>
      <c r="B38539" s="1" t="str">
        <f>"43906"</f>
        <v>43906</v>
      </c>
      <c r="C38539" s="2">
        <v>5.7383341189145502E-2</v>
      </c>
      <c r="D38539" s="2">
        <v>5.1979841612670899E-2</v>
      </c>
      <c r="E38539" s="2">
        <v>4.1738382099827803E-2</v>
      </c>
      <c r="F38539" s="2">
        <v>5.6498730903692299E-2</v>
      </c>
    </row>
    <row r="38540" spans="1:6" x14ac:dyDescent="0.25">
      <c r="A38540" s="1" t="str">
        <f t="shared" si="1380"/>
        <v>48540</v>
      </c>
      <c r="B38540" s="1" t="str">
        <f>"26039"</f>
        <v>26039</v>
      </c>
      <c r="C38540" s="2">
        <v>6.8412901488115203E-3</v>
      </c>
      <c r="D38540" s="2">
        <v>4.3196544276457799E-3</v>
      </c>
      <c r="E38540" s="2">
        <v>3.87263339070567E-3</v>
      </c>
      <c r="F38540" s="2">
        <v>6.5490158517312299E-3</v>
      </c>
    </row>
    <row r="38541" spans="1:6" x14ac:dyDescent="0.25">
      <c r="A38541" s="1" t="str">
        <f t="shared" si="1380"/>
        <v>48540</v>
      </c>
      <c r="B38541" s="1" t="str">
        <f>"26032"</f>
        <v>26032</v>
      </c>
      <c r="C38541" s="2">
        <v>2.5587502525082397E-4</v>
      </c>
      <c r="D38541" s="2">
        <v>0</v>
      </c>
      <c r="E38541" s="2">
        <v>0</v>
      </c>
      <c r="F38541" s="2">
        <v>2.2747952684258401E-4</v>
      </c>
    </row>
    <row r="38542" spans="1:6" x14ac:dyDescent="0.25">
      <c r="A38542" s="1" t="str">
        <f t="shared" si="1380"/>
        <v>48540</v>
      </c>
      <c r="B38542" s="1" t="str">
        <f>"43942"</f>
        <v>43942</v>
      </c>
      <c r="C38542" s="2">
        <v>1.5689179179853199E-2</v>
      </c>
      <c r="D38542" s="2">
        <v>1.15190784737221E-2</v>
      </c>
      <c r="E38542" s="2">
        <v>1.11876075731497E-2</v>
      </c>
      <c r="F38542" s="2">
        <v>1.5217183085101201E-2</v>
      </c>
    </row>
    <row r="38543" spans="1:6" x14ac:dyDescent="0.25">
      <c r="A38543" s="1" t="str">
        <f t="shared" si="1380"/>
        <v>48540</v>
      </c>
      <c r="B38543" s="1" t="str">
        <f>"26055"</f>
        <v>26055</v>
      </c>
      <c r="C38543" s="2">
        <v>8.3226718739478796E-3</v>
      </c>
      <c r="D38543" s="2">
        <v>7.4874010079193599E-3</v>
      </c>
      <c r="E38543" s="2">
        <v>1.72117039586919E-3</v>
      </c>
      <c r="F38543" s="2">
        <v>8.0695368995737701E-3</v>
      </c>
    </row>
    <row r="38544" spans="1:6" x14ac:dyDescent="0.25">
      <c r="A38544" s="1" t="str">
        <f t="shared" si="1380"/>
        <v>48540</v>
      </c>
      <c r="B38544" s="1" t="str">
        <f>"43951"</f>
        <v>43951</v>
      </c>
      <c r="C38544" s="2">
        <v>6.7335532960743306E-5</v>
      </c>
      <c r="D38544" s="2">
        <v>0</v>
      </c>
      <c r="E38544" s="2">
        <v>4.3029259896729702E-4</v>
      </c>
      <c r="F38544" s="2">
        <v>7.1835640055552795E-5</v>
      </c>
    </row>
    <row r="38545" spans="1:6" x14ac:dyDescent="0.25">
      <c r="A38545" s="1" t="str">
        <f t="shared" ref="A38545:A38561" si="1381">"48540"</f>
        <v>48540</v>
      </c>
      <c r="B38545" s="1" t="str">
        <f>"43973"</f>
        <v>43973</v>
      </c>
      <c r="C38545" s="2">
        <v>4.0401319776446E-5</v>
      </c>
      <c r="D38545" s="2">
        <v>1.43988480921526E-4</v>
      </c>
      <c r="E38545" s="2">
        <v>0</v>
      </c>
      <c r="F38545" s="2">
        <v>4.7890426703701897E-5</v>
      </c>
    </row>
    <row r="38546" spans="1:6" x14ac:dyDescent="0.25">
      <c r="A38546" s="1" t="str">
        <f t="shared" si="1381"/>
        <v>48540</v>
      </c>
      <c r="B38546" s="1" t="str">
        <f>"43912"</f>
        <v>43912</v>
      </c>
      <c r="C38546" s="2">
        <v>4.5007070230960802E-2</v>
      </c>
      <c r="D38546" s="2">
        <v>3.8732901367890503E-2</v>
      </c>
      <c r="E38546" s="2">
        <v>3.6144578313252997E-2</v>
      </c>
      <c r="F38546" s="2">
        <v>4.4238781667544601E-2</v>
      </c>
    </row>
    <row r="38547" spans="1:6" x14ac:dyDescent="0.25">
      <c r="A38547" s="1" t="str">
        <f t="shared" si="1381"/>
        <v>48540</v>
      </c>
      <c r="B38547" s="1" t="str">
        <f>"43713"</f>
        <v>43713</v>
      </c>
      <c r="C38547" s="2">
        <v>4.9680156218436397E-2</v>
      </c>
      <c r="D38547" s="2">
        <v>4.36285097192224E-2</v>
      </c>
      <c r="E38547" s="2">
        <v>3.52839931153184E-2</v>
      </c>
      <c r="F38547" s="2">
        <v>4.8776399597720399E-2</v>
      </c>
    </row>
    <row r="38548" spans="1:6" x14ac:dyDescent="0.25">
      <c r="A38548" s="1" t="str">
        <f t="shared" si="1381"/>
        <v>48540</v>
      </c>
      <c r="B38548" s="1" t="str">
        <f>"43719"</f>
        <v>43719</v>
      </c>
      <c r="C38548" s="2">
        <v>1.2537876237290401E-2</v>
      </c>
      <c r="D38548" s="2">
        <v>3.5997120230381501E-3</v>
      </c>
      <c r="E38548" s="2">
        <v>3.44234079173838E-3</v>
      </c>
      <c r="F38548" s="2">
        <v>1.1541592835592101E-2</v>
      </c>
    </row>
    <row r="38549" spans="1:6" x14ac:dyDescent="0.25">
      <c r="A38549" s="1" t="str">
        <f t="shared" si="1381"/>
        <v>48540</v>
      </c>
      <c r="B38549" s="1" t="str">
        <f>"26060"</f>
        <v>26060</v>
      </c>
      <c r="C38549" s="2">
        <v>1.14066392835499E-2</v>
      </c>
      <c r="D38549" s="2">
        <v>4.0316774658027297E-3</v>
      </c>
      <c r="E38549" s="2">
        <v>3.44234079173838E-3</v>
      </c>
      <c r="F38549" s="2">
        <v>1.05718116948422E-2</v>
      </c>
    </row>
    <row r="38550" spans="1:6" x14ac:dyDescent="0.25">
      <c r="A38550" s="1" t="str">
        <f t="shared" si="1381"/>
        <v>48540</v>
      </c>
      <c r="B38550" s="1" t="str">
        <f>"25003"</f>
        <v>25003</v>
      </c>
      <c r="C38550" s="2">
        <v>1.34671065921486E-5</v>
      </c>
      <c r="D38550" s="2">
        <v>0</v>
      </c>
      <c r="E38550" s="2">
        <v>0</v>
      </c>
      <c r="F38550" s="2">
        <v>1.19726066759254E-5</v>
      </c>
    </row>
    <row r="38551" spans="1:6" x14ac:dyDescent="0.25">
      <c r="A38551" s="1" t="str">
        <f t="shared" si="1381"/>
        <v>48540</v>
      </c>
      <c r="B38551" s="1" t="str">
        <f>"43977"</f>
        <v>43977</v>
      </c>
      <c r="C38551" s="2">
        <v>1.26321459834354E-2</v>
      </c>
      <c r="D38551" s="2">
        <v>3.4557235421166302E-3</v>
      </c>
      <c r="E38551" s="2">
        <v>5.1635111876075701E-3</v>
      </c>
      <c r="F38551" s="2">
        <v>1.1661318902351401E-2</v>
      </c>
    </row>
    <row r="38552" spans="1:6" x14ac:dyDescent="0.25">
      <c r="A38552" s="1" t="str">
        <f t="shared" si="1381"/>
        <v>48540</v>
      </c>
      <c r="B38552" s="1" t="str">
        <f>"26040"</f>
        <v>26040</v>
      </c>
      <c r="C38552" s="2">
        <v>1.35748434448858E-2</v>
      </c>
      <c r="D38552" s="2">
        <v>9.2152627789776793E-3</v>
      </c>
      <c r="E38552" s="2">
        <v>5.59380378657487E-3</v>
      </c>
      <c r="F38552" s="2">
        <v>1.2990278243379101E-2</v>
      </c>
    </row>
    <row r="38553" spans="1:6" x14ac:dyDescent="0.25">
      <c r="A38553" s="1" t="str">
        <f t="shared" si="1381"/>
        <v>48540</v>
      </c>
      <c r="B38553" s="1" t="str">
        <f>"26041"</f>
        <v>26041</v>
      </c>
      <c r="C38553" s="2">
        <v>0.10605346441317</v>
      </c>
      <c r="D38553" s="2">
        <v>8.6249100071994197E-2</v>
      </c>
      <c r="E38553" s="2">
        <v>6.4113597246127293E-2</v>
      </c>
      <c r="F38553" s="2">
        <v>0.10323978736650501</v>
      </c>
    </row>
    <row r="38554" spans="1:6" x14ac:dyDescent="0.25">
      <c r="A38554" s="1" t="str">
        <f t="shared" si="1381"/>
        <v>48540</v>
      </c>
      <c r="B38554" s="1" t="str">
        <f>"26038"</f>
        <v>26038</v>
      </c>
      <c r="C38554" s="2">
        <v>1.8786613696047401E-2</v>
      </c>
      <c r="D38554" s="2">
        <v>1.62706983441324E-2</v>
      </c>
      <c r="E38554" s="2">
        <v>1.5490533562822701E-2</v>
      </c>
      <c r="F38554" s="2">
        <v>1.8485704707628899E-2</v>
      </c>
    </row>
    <row r="38555" spans="1:6" x14ac:dyDescent="0.25">
      <c r="A38555" s="1" t="str">
        <f t="shared" si="1381"/>
        <v>48540</v>
      </c>
      <c r="B38555" s="1" t="str">
        <f>"26003"</f>
        <v>26003</v>
      </c>
      <c r="C38555" s="2">
        <v>0.320934617197495</v>
      </c>
      <c r="D38555" s="2">
        <v>0.40734341252699702</v>
      </c>
      <c r="E38555" s="2">
        <v>0.46127366609294301</v>
      </c>
      <c r="F38555" s="2">
        <v>0.33202432833676498</v>
      </c>
    </row>
    <row r="38556" spans="1:6" x14ac:dyDescent="0.25">
      <c r="A38556" s="1" t="str">
        <f t="shared" si="1381"/>
        <v>48540</v>
      </c>
      <c r="B38556" s="1" t="str">
        <f>"26033"</f>
        <v>26033</v>
      </c>
      <c r="C38556" s="2">
        <v>2.2368864049558901E-2</v>
      </c>
      <c r="D38556" s="2">
        <v>2.7213822894168401E-2</v>
      </c>
      <c r="E38556" s="2">
        <v>1.1617900172117E-2</v>
      </c>
      <c r="F38556" s="2">
        <v>2.24725827307121E-2</v>
      </c>
    </row>
    <row r="38557" spans="1:6" x14ac:dyDescent="0.25">
      <c r="A38557" s="1" t="str">
        <f t="shared" si="1381"/>
        <v>48540</v>
      </c>
      <c r="B38557" s="1" t="str">
        <f>"26031"</f>
        <v>26031</v>
      </c>
      <c r="C38557" s="2">
        <v>1.5689179179853199E-2</v>
      </c>
      <c r="D38557" s="2">
        <v>1.19510439164866E-2</v>
      </c>
      <c r="E38557" s="2">
        <v>1.29087779690189E-2</v>
      </c>
      <c r="F38557" s="2">
        <v>1.53009913318327E-2</v>
      </c>
    </row>
    <row r="38558" spans="1:6" x14ac:dyDescent="0.25">
      <c r="A38558" s="1" t="str">
        <f t="shared" si="1381"/>
        <v>48540</v>
      </c>
      <c r="B38558" s="1" t="str">
        <f>"43916"</f>
        <v>43916</v>
      </c>
      <c r="C38558" s="2">
        <v>0</v>
      </c>
      <c r="D38558" s="2">
        <v>0</v>
      </c>
      <c r="E38558" s="2">
        <v>4.3029259896729702E-4</v>
      </c>
      <c r="F38558" s="2">
        <v>1.19726066759254E-5</v>
      </c>
    </row>
    <row r="38559" spans="1:6" x14ac:dyDescent="0.25">
      <c r="A38559" s="1" t="str">
        <f t="shared" si="1381"/>
        <v>48540</v>
      </c>
      <c r="B38559" s="1" t="str">
        <f>"43972"</f>
        <v>43972</v>
      </c>
      <c r="C38559" s="2">
        <v>8.7536192848966304E-4</v>
      </c>
      <c r="D38559" s="2">
        <v>7.1994240460763104E-4</v>
      </c>
      <c r="E38559" s="2">
        <v>1.2908777969018899E-3</v>
      </c>
      <c r="F38559" s="2">
        <v>8.7400028734256E-4</v>
      </c>
    </row>
    <row r="38560" spans="1:6" x14ac:dyDescent="0.25">
      <c r="A38560" s="1" t="str">
        <f t="shared" si="1381"/>
        <v>48540</v>
      </c>
      <c r="B38560" s="1" t="str">
        <f>"43773"</f>
        <v>43773</v>
      </c>
      <c r="C38560" s="2">
        <v>4.0401319776446E-5</v>
      </c>
      <c r="D38560" s="2">
        <v>0</v>
      </c>
      <c r="E38560" s="2">
        <v>0</v>
      </c>
      <c r="F38560" s="2">
        <v>3.5917820027776397E-5</v>
      </c>
    </row>
    <row r="38561" spans="1:6" x14ac:dyDescent="0.25">
      <c r="A38561" s="1" t="str">
        <f t="shared" si="1381"/>
        <v>48540</v>
      </c>
      <c r="B38561" s="1" t="str">
        <f>"43759"</f>
        <v>43759</v>
      </c>
      <c r="C38561" s="2">
        <v>1.02350010100329E-3</v>
      </c>
      <c r="D38561" s="2">
        <v>1.43988480921526E-4</v>
      </c>
      <c r="E38561" s="2">
        <v>0</v>
      </c>
      <c r="F38561" s="2">
        <v>9.2189071404626198E-4</v>
      </c>
    </row>
    <row r="38562" spans="1:6" x14ac:dyDescent="0.25">
      <c r="A38562" s="1" t="str">
        <f t="shared" ref="A38562:A38582" si="1382">"48580"</f>
        <v>48580</v>
      </c>
      <c r="B38562" s="1" t="str">
        <f>"53119"</f>
        <v>53119</v>
      </c>
      <c r="C38562" s="2">
        <v>3.1753832196117701E-3</v>
      </c>
      <c r="D38562" s="2">
        <v>0</v>
      </c>
      <c r="E38562" s="2">
        <v>8.6206896551724104E-4</v>
      </c>
      <c r="F38562" s="2">
        <v>2.89766141678598E-3</v>
      </c>
    </row>
    <row r="38563" spans="1:6" x14ac:dyDescent="0.25">
      <c r="A38563" s="1" t="str">
        <f t="shared" si="1382"/>
        <v>48580</v>
      </c>
      <c r="B38563" s="1" t="str">
        <f>"53525"</f>
        <v>53525</v>
      </c>
      <c r="C38563" s="2">
        <v>4.1582399304439802E-4</v>
      </c>
      <c r="D38563" s="2">
        <v>0</v>
      </c>
      <c r="E38563" s="2">
        <v>0</v>
      </c>
      <c r="F38563" s="2">
        <v>3.7499147746642098E-4</v>
      </c>
    </row>
    <row r="38564" spans="1:6" x14ac:dyDescent="0.25">
      <c r="A38564" s="1" t="str">
        <f t="shared" si="1382"/>
        <v>48580</v>
      </c>
      <c r="B38564" s="1" t="str">
        <f>"53191"</f>
        <v>53191</v>
      </c>
      <c r="C38564" s="2">
        <v>3.6857126656208002E-2</v>
      </c>
      <c r="D38564" s="2">
        <v>1.0462074978204E-2</v>
      </c>
      <c r="E38564" s="2">
        <v>5.1293103448275798E-2</v>
      </c>
      <c r="F38564" s="2">
        <v>3.5879866366673403E-2</v>
      </c>
    </row>
    <row r="38565" spans="1:6" x14ac:dyDescent="0.25">
      <c r="A38565" s="1" t="str">
        <f t="shared" si="1382"/>
        <v>48580</v>
      </c>
      <c r="B38565" s="1" t="str">
        <f>"53195"</f>
        <v>53195</v>
      </c>
      <c r="C38565" s="2">
        <v>6.8043926134537895E-4</v>
      </c>
      <c r="D38565" s="2">
        <v>5.8122638767799995E-4</v>
      </c>
      <c r="E38565" s="2">
        <v>8.6206896551724104E-4</v>
      </c>
      <c r="F38565" s="2">
        <v>6.8180268630258401E-4</v>
      </c>
    </row>
    <row r="38566" spans="1:6" x14ac:dyDescent="0.25">
      <c r="A38566" s="1" t="str">
        <f t="shared" si="1382"/>
        <v>48580</v>
      </c>
      <c r="B38566" s="1" t="str">
        <f>"53120"</f>
        <v>53120</v>
      </c>
      <c r="C38566" s="2">
        <v>8.3372710605401898E-2</v>
      </c>
      <c r="D38566" s="2">
        <v>5.5797733217088002E-2</v>
      </c>
      <c r="E38566" s="2">
        <v>6.3793103448275795E-2</v>
      </c>
      <c r="F38566" s="2">
        <v>8.0981114065589402E-2</v>
      </c>
    </row>
    <row r="38567" spans="1:6" x14ac:dyDescent="0.25">
      <c r="A38567" s="1" t="str">
        <f t="shared" si="1382"/>
        <v>48580</v>
      </c>
      <c r="B38567" s="1" t="str">
        <f>"53505"</f>
        <v>53505</v>
      </c>
      <c r="C38567" s="2">
        <v>5.6703271778781598E-5</v>
      </c>
      <c r="D38567" s="2">
        <v>0</v>
      </c>
      <c r="E38567" s="2">
        <v>0</v>
      </c>
      <c r="F38567" s="2">
        <v>5.1135201472693798E-5</v>
      </c>
    </row>
    <row r="38568" spans="1:6" x14ac:dyDescent="0.25">
      <c r="A38568" s="1" t="str">
        <f t="shared" si="1382"/>
        <v>48580</v>
      </c>
      <c r="B38568" s="1" t="str">
        <f>"53148"</f>
        <v>53148</v>
      </c>
      <c r="C38568" s="2">
        <v>0</v>
      </c>
      <c r="D38568" s="2">
        <v>0</v>
      </c>
      <c r="E38568" s="2">
        <v>4.3103448275861998E-4</v>
      </c>
      <c r="F38568" s="2">
        <v>1.7045067157564602E-5</v>
      </c>
    </row>
    <row r="38569" spans="1:6" x14ac:dyDescent="0.25">
      <c r="A38569" s="1" t="str">
        <f t="shared" si="1382"/>
        <v>48580</v>
      </c>
      <c r="B38569" s="1" t="str">
        <f>"53121"</f>
        <v>53121</v>
      </c>
      <c r="C38569" s="2">
        <v>0.16861662917950301</v>
      </c>
      <c r="D38569" s="2">
        <v>0.19732635861668099</v>
      </c>
      <c r="E38569" s="2">
        <v>0.20258620689655099</v>
      </c>
      <c r="F38569" s="2">
        <v>0.17164382627667499</v>
      </c>
    </row>
    <row r="38570" spans="1:6" x14ac:dyDescent="0.25">
      <c r="A38570" s="1" t="str">
        <f t="shared" si="1382"/>
        <v>48580</v>
      </c>
      <c r="B38570" s="1" t="str">
        <f>"53585"</f>
        <v>53585</v>
      </c>
      <c r="C38570" s="2">
        <v>1.7615816432608102E-2</v>
      </c>
      <c r="D38570" s="2">
        <v>5.81226387678E-3</v>
      </c>
      <c r="E38570" s="2">
        <v>7.3275862068965499E-3</v>
      </c>
      <c r="F38570" s="2">
        <v>1.6516670075680001E-2</v>
      </c>
    </row>
    <row r="38571" spans="1:6" x14ac:dyDescent="0.25">
      <c r="A38571" s="1" t="str">
        <f t="shared" si="1382"/>
        <v>48580</v>
      </c>
      <c r="B38571" s="1" t="str">
        <f>"53156"</f>
        <v>53156</v>
      </c>
      <c r="C38571" s="2">
        <v>3.7802181185854401E-5</v>
      </c>
      <c r="D38571" s="2">
        <v>0</v>
      </c>
      <c r="E38571" s="2">
        <v>0</v>
      </c>
      <c r="F38571" s="2">
        <v>3.4090134315129203E-5</v>
      </c>
    </row>
    <row r="38572" spans="1:6" x14ac:dyDescent="0.25">
      <c r="A38572" s="1" t="str">
        <f t="shared" si="1382"/>
        <v>48580</v>
      </c>
      <c r="B38572" s="1" t="str">
        <f>"53157"</f>
        <v>53157</v>
      </c>
      <c r="C38572" s="2">
        <v>1.7010981533634401E-4</v>
      </c>
      <c r="D38572" s="2">
        <v>0</v>
      </c>
      <c r="E38572" s="2">
        <v>4.3103448275861998E-4</v>
      </c>
      <c r="F38572" s="2">
        <v>1.70450671575646E-4</v>
      </c>
    </row>
    <row r="38573" spans="1:6" x14ac:dyDescent="0.25">
      <c r="A38573" s="1" t="str">
        <f t="shared" si="1382"/>
        <v>48580</v>
      </c>
      <c r="B38573" s="1" t="str">
        <f>"53176"</f>
        <v>53176</v>
      </c>
      <c r="C38573" s="2">
        <v>6.8043926134537895E-4</v>
      </c>
      <c r="D38573" s="2">
        <v>2.9061319383899998E-4</v>
      </c>
      <c r="E38573" s="2">
        <v>4.3103448275861998E-4</v>
      </c>
      <c r="F38573" s="2">
        <v>6.4771255198745395E-4</v>
      </c>
    </row>
    <row r="38574" spans="1:6" x14ac:dyDescent="0.25">
      <c r="A38574" s="1" t="str">
        <f t="shared" si="1382"/>
        <v>48580</v>
      </c>
      <c r="B38574" s="1" t="str">
        <f>"53125"</f>
        <v>53125</v>
      </c>
      <c r="C38574" s="2">
        <v>4.5192507607688899E-2</v>
      </c>
      <c r="D38574" s="2">
        <v>1.3077593722755E-2</v>
      </c>
      <c r="E38574" s="2">
        <v>2.1982758620689598E-2</v>
      </c>
      <c r="F38574" s="2">
        <v>4.23910820208631E-2</v>
      </c>
    </row>
    <row r="38575" spans="1:6" x14ac:dyDescent="0.25">
      <c r="A38575" s="1" t="str">
        <f t="shared" si="1382"/>
        <v>48580</v>
      </c>
      <c r="B38575" s="1" t="str">
        <f>"53114"</f>
        <v>53114</v>
      </c>
      <c r="C38575" s="2">
        <v>1.9694936397830098E-2</v>
      </c>
      <c r="D38575" s="2">
        <v>1.2205754141238E-2</v>
      </c>
      <c r="E38575" s="2">
        <v>1.16379310344827E-2</v>
      </c>
      <c r="F38575" s="2">
        <v>1.89370696120542E-2</v>
      </c>
    </row>
    <row r="38576" spans="1:6" x14ac:dyDescent="0.25">
      <c r="A38576" s="1" t="str">
        <f t="shared" si="1382"/>
        <v>48580</v>
      </c>
      <c r="B38576" s="1" t="str">
        <f>"53128"</f>
        <v>53128</v>
      </c>
      <c r="C38576" s="2">
        <v>5.5531404162020098E-2</v>
      </c>
      <c r="D38576" s="2">
        <v>2.9061319383900001E-2</v>
      </c>
      <c r="E38576" s="2">
        <v>6.07758620689655E-2</v>
      </c>
      <c r="F38576" s="2">
        <v>5.41862684938978E-2</v>
      </c>
    </row>
    <row r="38577" spans="1:6" x14ac:dyDescent="0.25">
      <c r="A38577" s="1" t="str">
        <f t="shared" si="1382"/>
        <v>48580</v>
      </c>
      <c r="B38577" s="1" t="str">
        <f>"53115"</f>
        <v>53115</v>
      </c>
      <c r="C38577" s="2">
        <v>0.15614190938817099</v>
      </c>
      <c r="D38577" s="2">
        <v>0.16884626562045901</v>
      </c>
      <c r="E38577" s="2">
        <v>0.19913793103448199</v>
      </c>
      <c r="F38577" s="2">
        <v>0.15858730483398101</v>
      </c>
    </row>
    <row r="38578" spans="1:6" x14ac:dyDescent="0.25">
      <c r="A38578" s="1" t="str">
        <f t="shared" si="1382"/>
        <v>48580</v>
      </c>
      <c r="B38578" s="1" t="str">
        <f>"53184"</f>
        <v>53184</v>
      </c>
      <c r="C38578" s="2">
        <v>3.2207458370347899E-2</v>
      </c>
      <c r="D38578" s="2">
        <v>2.9642545771577999E-2</v>
      </c>
      <c r="E38578" s="2">
        <v>1.76724137931034E-2</v>
      </c>
      <c r="F38578" s="2">
        <v>3.1482239040021801E-2</v>
      </c>
    </row>
    <row r="38579" spans="1:6" x14ac:dyDescent="0.25">
      <c r="A38579" s="1" t="str">
        <f t="shared" si="1382"/>
        <v>48580</v>
      </c>
      <c r="B38579" s="1" t="str">
        <f>"53149"</f>
        <v>53149</v>
      </c>
      <c r="C38579" s="2">
        <v>7.5604362371708804E-3</v>
      </c>
      <c r="D38579" s="2">
        <v>1.7436791630340001E-3</v>
      </c>
      <c r="E38579" s="2">
        <v>1.7241379310344799E-3</v>
      </c>
      <c r="F38579" s="2">
        <v>6.9884775346014802E-3</v>
      </c>
    </row>
    <row r="38580" spans="1:6" x14ac:dyDescent="0.25">
      <c r="A38580" s="1" t="str">
        <f t="shared" si="1382"/>
        <v>48580</v>
      </c>
      <c r="B38580" s="1" t="str">
        <f>"53105"</f>
        <v>53105</v>
      </c>
      <c r="C38580" s="2">
        <v>3.8690532443722003E-2</v>
      </c>
      <c r="D38580" s="2">
        <v>8.4277826213310005E-3</v>
      </c>
      <c r="E38580" s="2">
        <v>1.7241379310344799E-3</v>
      </c>
      <c r="F38580" s="2">
        <v>3.5453739687734298E-2</v>
      </c>
    </row>
    <row r="38581" spans="1:6" x14ac:dyDescent="0.25">
      <c r="A38581" s="1" t="str">
        <f t="shared" si="1382"/>
        <v>48580</v>
      </c>
      <c r="B38581" s="1" t="str">
        <f>"53147"</f>
        <v>53147</v>
      </c>
      <c r="C38581" s="2">
        <v>0.21734364072807</v>
      </c>
      <c r="D38581" s="2">
        <v>0.34030804998546899</v>
      </c>
      <c r="E38581" s="2">
        <v>0.21293103448275799</v>
      </c>
      <c r="F38581" s="2">
        <v>0.22438126406218001</v>
      </c>
    </row>
    <row r="38582" spans="1:6" x14ac:dyDescent="0.25">
      <c r="A38582" s="1" t="str">
        <f t="shared" si="1382"/>
        <v>48580</v>
      </c>
      <c r="B38582" s="1" t="str">
        <f>"53190"</f>
        <v>53190</v>
      </c>
      <c r="C38582" s="2">
        <v>0.115958190787608</v>
      </c>
      <c r="D38582" s="2">
        <v>0.126416739319965</v>
      </c>
      <c r="E38582" s="2">
        <v>0.14439655172413701</v>
      </c>
      <c r="F38582" s="2">
        <v>0.117696188722983</v>
      </c>
    </row>
    <row r="38583" spans="1:6" x14ac:dyDescent="0.25">
      <c r="A38583" s="1" t="str">
        <f t="shared" ref="A38583:A38614" si="1383">"48620"</f>
        <v>48620</v>
      </c>
      <c r="B38583" s="1" t="str">
        <f>"67146"</f>
        <v>67146</v>
      </c>
      <c r="C38583" s="2">
        <v>2.4877602197189802E-4</v>
      </c>
      <c r="D38583" s="2">
        <v>0</v>
      </c>
      <c r="E38583" s="2">
        <v>0</v>
      </c>
      <c r="F38583" s="2">
        <v>2.2192632046160601E-4</v>
      </c>
    </row>
    <row r="38584" spans="1:6" x14ac:dyDescent="0.25">
      <c r="A38584" s="1" t="str">
        <f t="shared" si="1383"/>
        <v>48620</v>
      </c>
      <c r="B38584" s="1" t="str">
        <f>"67012"</f>
        <v>67012</v>
      </c>
      <c r="C38584" s="2">
        <v>1.7248470856718199E-4</v>
      </c>
      <c r="D38584" s="2">
        <v>1.84474616292798E-4</v>
      </c>
      <c r="E38584" s="2">
        <v>1.06723585912486E-4</v>
      </c>
      <c r="F38584" s="2">
        <v>1.71623021156975E-4</v>
      </c>
    </row>
    <row r="38585" spans="1:6" x14ac:dyDescent="0.25">
      <c r="A38585" s="1" t="str">
        <f t="shared" si="1383"/>
        <v>48620</v>
      </c>
      <c r="B38585" s="1" t="str">
        <f>"67013"</f>
        <v>67013</v>
      </c>
      <c r="C38585" s="2">
        <v>4.5244065862622496E-3</v>
      </c>
      <c r="D38585" s="2">
        <v>2.6564344746162899E-3</v>
      </c>
      <c r="E38585" s="2">
        <v>1.2806830309498301E-3</v>
      </c>
      <c r="F38585" s="2">
        <v>4.2846574937120798E-3</v>
      </c>
    </row>
    <row r="38586" spans="1:6" x14ac:dyDescent="0.25">
      <c r="A38586" s="1" t="str">
        <f t="shared" si="1383"/>
        <v>48620</v>
      </c>
      <c r="B38586" s="1" t="str">
        <f>"67030"</f>
        <v>67030</v>
      </c>
      <c r="C38586" s="2">
        <v>3.59895978452679E-3</v>
      </c>
      <c r="D38586" s="2">
        <v>1.69716646989374E-3</v>
      </c>
      <c r="E38586" s="2">
        <v>9.60512273212379E-4</v>
      </c>
      <c r="F38586" s="2">
        <v>3.3732800710164199E-3</v>
      </c>
    </row>
    <row r="38587" spans="1:6" x14ac:dyDescent="0.25">
      <c r="A38587" s="1" t="str">
        <f t="shared" si="1383"/>
        <v>48620</v>
      </c>
      <c r="B38587" s="1" t="str">
        <f>"67004"</f>
        <v>67004</v>
      </c>
      <c r="C38587" s="2">
        <v>1.2438801098594899E-3</v>
      </c>
      <c r="D38587" s="2">
        <v>7.7479338842975198E-4</v>
      </c>
      <c r="E38587" s="2">
        <v>1.06723585912486E-4</v>
      </c>
      <c r="F38587" s="2">
        <v>1.1747299896434299E-3</v>
      </c>
    </row>
    <row r="38588" spans="1:6" x14ac:dyDescent="0.25">
      <c r="A38588" s="1" t="str">
        <f t="shared" si="1383"/>
        <v>48620</v>
      </c>
      <c r="B38588" s="1" t="str">
        <f>"67039"</f>
        <v>67039</v>
      </c>
      <c r="C38588" s="2">
        <v>5.3669280473404102E-3</v>
      </c>
      <c r="D38588" s="2">
        <v>1.51269185360094E-3</v>
      </c>
      <c r="E38588" s="2">
        <v>3.4151547491995701E-3</v>
      </c>
      <c r="F38588" s="2">
        <v>5.0036987720076904E-3</v>
      </c>
    </row>
    <row r="38589" spans="1:6" x14ac:dyDescent="0.25">
      <c r="A38589" s="1" t="str">
        <f t="shared" si="1383"/>
        <v>48620</v>
      </c>
      <c r="B38589" s="1" t="str">
        <f>"67062"</f>
        <v>67062</v>
      </c>
      <c r="C38589" s="2">
        <v>5.8412609959001697E-3</v>
      </c>
      <c r="D38589" s="2">
        <v>5.2390791027154601E-3</v>
      </c>
      <c r="E38589" s="2">
        <v>3.8420490928495099E-3</v>
      </c>
      <c r="F38589" s="2">
        <v>5.7375351383340701E-3</v>
      </c>
    </row>
    <row r="38590" spans="1:6" x14ac:dyDescent="0.25">
      <c r="A38590" s="1" t="str">
        <f t="shared" si="1383"/>
        <v>48620</v>
      </c>
      <c r="B38590" s="1" t="str">
        <f>"67214"</f>
        <v>67214</v>
      </c>
      <c r="C38590" s="2">
        <v>2.7279120062625201E-2</v>
      </c>
      <c r="D38590" s="2">
        <v>6.1540731995277403E-2</v>
      </c>
      <c r="E38590" s="2">
        <v>5.6563500533617903E-2</v>
      </c>
      <c r="F38590" s="2">
        <v>3.08388814913448E-2</v>
      </c>
    </row>
    <row r="38591" spans="1:6" x14ac:dyDescent="0.25">
      <c r="A38591" s="1" t="str">
        <f t="shared" si="1383"/>
        <v>48620</v>
      </c>
      <c r="B38591" s="1" t="str">
        <f>"67055"</f>
        <v>67055</v>
      </c>
      <c r="C38591" s="2">
        <v>1.02827422415051E-4</v>
      </c>
      <c r="D38591" s="2">
        <v>3.68949232585596E-5</v>
      </c>
      <c r="E38591" s="2">
        <v>1.06723585912486E-4</v>
      </c>
      <c r="F38591" s="2">
        <v>9.7647581003106895E-5</v>
      </c>
    </row>
    <row r="38592" spans="1:6" x14ac:dyDescent="0.25">
      <c r="A38592" s="1" t="str">
        <f t="shared" si="1383"/>
        <v>48620</v>
      </c>
      <c r="B38592" s="1" t="str">
        <f>"67144"</f>
        <v>67144</v>
      </c>
      <c r="C38592" s="2">
        <v>4.1529010601175503E-3</v>
      </c>
      <c r="D38592" s="2">
        <v>1.1068476977567801E-3</v>
      </c>
      <c r="E38592" s="2">
        <v>5.3361792956243301E-4</v>
      </c>
      <c r="F38592" s="2">
        <v>3.8082556591211699E-3</v>
      </c>
    </row>
    <row r="38593" spans="1:6" x14ac:dyDescent="0.25">
      <c r="A38593" s="1" t="str">
        <f t="shared" si="1383"/>
        <v>48620</v>
      </c>
      <c r="B38593" s="1" t="str">
        <f>"67226"</f>
        <v>67226</v>
      </c>
      <c r="C38593" s="2">
        <v>3.2476880415024702E-2</v>
      </c>
      <c r="D38593" s="2">
        <v>3.6452184179456899E-2</v>
      </c>
      <c r="E38593" s="2">
        <v>3.7033084311632797E-2</v>
      </c>
      <c r="F38593" s="2">
        <v>3.29220298860778E-2</v>
      </c>
    </row>
    <row r="38594" spans="1:6" x14ac:dyDescent="0.25">
      <c r="A38594" s="1" t="str">
        <f t="shared" si="1383"/>
        <v>48620</v>
      </c>
      <c r="B38594" s="1" t="str">
        <f>"67140"</f>
        <v>67140</v>
      </c>
      <c r="C38594" s="2">
        <v>1.3599755867797099E-3</v>
      </c>
      <c r="D38594" s="2">
        <v>6.6410861865407302E-4</v>
      </c>
      <c r="E38594" s="2">
        <v>8.5378868729989296E-4</v>
      </c>
      <c r="F38594" s="2">
        <v>1.2901316762834699E-3</v>
      </c>
    </row>
    <row r="38595" spans="1:6" x14ac:dyDescent="0.25">
      <c r="A38595" s="1" t="str">
        <f t="shared" si="1383"/>
        <v>48620</v>
      </c>
      <c r="B38595" s="1" t="str">
        <f>"67206"</f>
        <v>67206</v>
      </c>
      <c r="C38595" s="2">
        <v>2.8028765142167199E-2</v>
      </c>
      <c r="D38595" s="2">
        <v>4.0621310507674098E-2</v>
      </c>
      <c r="E38595" s="2">
        <v>3.3617929562433202E-2</v>
      </c>
      <c r="F38595" s="2">
        <v>2.91936677023228E-2</v>
      </c>
    </row>
    <row r="38596" spans="1:6" x14ac:dyDescent="0.25">
      <c r="A38596" s="1" t="str">
        <f t="shared" si="1383"/>
        <v>48620</v>
      </c>
      <c r="B38596" s="1" t="str">
        <f>"67213"</f>
        <v>67213</v>
      </c>
      <c r="C38596" s="2">
        <v>3.5153710411442302E-2</v>
      </c>
      <c r="D38596" s="2">
        <v>4.51224911452184E-2</v>
      </c>
      <c r="E38596" s="2">
        <v>5.7310565635005299E-2</v>
      </c>
      <c r="F38596" s="2">
        <v>3.6567539576860403E-2</v>
      </c>
    </row>
    <row r="38597" spans="1:6" x14ac:dyDescent="0.25">
      <c r="A38597" s="1" t="str">
        <f t="shared" si="1383"/>
        <v>48620</v>
      </c>
      <c r="B38597" s="1" t="str">
        <f>"67149"</f>
        <v>67149</v>
      </c>
      <c r="C38597" s="2">
        <v>1.4594859955684601E-3</v>
      </c>
      <c r="D38597" s="2">
        <v>5.5342384887839405E-4</v>
      </c>
      <c r="E38597" s="2">
        <v>3.2017075773745898E-4</v>
      </c>
      <c r="F38597" s="2">
        <v>1.35523006361887E-3</v>
      </c>
    </row>
    <row r="38598" spans="1:6" x14ac:dyDescent="0.25">
      <c r="A38598" s="1" t="str">
        <f t="shared" si="1383"/>
        <v>48620</v>
      </c>
      <c r="B38598" s="1" t="str">
        <f>"67221"</f>
        <v>67221</v>
      </c>
      <c r="C38598" s="2">
        <v>6.6340272525839501E-6</v>
      </c>
      <c r="D38598" s="2">
        <v>7.37898465171192E-5</v>
      </c>
      <c r="E38598" s="2">
        <v>0.117929562433297</v>
      </c>
      <c r="F38598" s="2">
        <v>3.2815505252256202E-3</v>
      </c>
    </row>
    <row r="38599" spans="1:6" x14ac:dyDescent="0.25">
      <c r="A38599" s="1" t="str">
        <f t="shared" si="1383"/>
        <v>48620</v>
      </c>
      <c r="B38599" s="1" t="str">
        <f>"67031"</f>
        <v>67031</v>
      </c>
      <c r="C38599" s="2">
        <v>3.02843344080457E-3</v>
      </c>
      <c r="D38599" s="2">
        <v>1.5495867768595001E-3</v>
      </c>
      <c r="E38599" s="2">
        <v>4.2689434364994599E-4</v>
      </c>
      <c r="F38599" s="2">
        <v>2.8376978843024101E-3</v>
      </c>
    </row>
    <row r="38600" spans="1:6" x14ac:dyDescent="0.25">
      <c r="A38600" s="1" t="str">
        <f t="shared" si="1383"/>
        <v>48620</v>
      </c>
      <c r="B38600" s="1" t="str">
        <f>"67114"</f>
        <v>67114</v>
      </c>
      <c r="C38600" s="2">
        <v>3.4118802160039201E-2</v>
      </c>
      <c r="D38600" s="2">
        <v>4.1580578512396597E-2</v>
      </c>
      <c r="E38600" s="2">
        <v>3.0096051227321199E-2</v>
      </c>
      <c r="F38600" s="2">
        <v>3.4605710903979799E-2</v>
      </c>
    </row>
    <row r="38601" spans="1:6" x14ac:dyDescent="0.25">
      <c r="A38601" s="1" t="str">
        <f t="shared" si="1383"/>
        <v>48620</v>
      </c>
      <c r="B38601" s="1" t="str">
        <f>"67152"</f>
        <v>67152</v>
      </c>
      <c r="C38601" s="2">
        <v>1.5633085220714001E-2</v>
      </c>
      <c r="D38601" s="2">
        <v>1.6750295159385999E-2</v>
      </c>
      <c r="E38601" s="2">
        <v>1.1632870864460999E-2</v>
      </c>
      <c r="F38601" s="2">
        <v>1.56117768900724E-2</v>
      </c>
    </row>
    <row r="38602" spans="1:6" x14ac:dyDescent="0.25">
      <c r="A38602" s="1" t="str">
        <f t="shared" si="1383"/>
        <v>48620</v>
      </c>
      <c r="B38602" s="1" t="str">
        <f>"67212"</f>
        <v>67212</v>
      </c>
      <c r="C38602" s="2">
        <v>6.5739893059480595E-2</v>
      </c>
      <c r="D38602" s="2">
        <v>3.3131641086186499E-2</v>
      </c>
      <c r="E38602" s="2">
        <v>6.8409818569903899E-2</v>
      </c>
      <c r="F38602" s="2">
        <v>6.3198698032253198E-2</v>
      </c>
    </row>
    <row r="38603" spans="1:6" x14ac:dyDescent="0.25">
      <c r="A38603" s="1" t="str">
        <f t="shared" si="1383"/>
        <v>48620</v>
      </c>
      <c r="B38603" s="1" t="str">
        <f>"67277"</f>
        <v>67277</v>
      </c>
      <c r="C38603" s="2">
        <v>3.31369661266568E-3</v>
      </c>
      <c r="D38603" s="2">
        <v>1.49793388429752E-2</v>
      </c>
      <c r="E38603" s="2">
        <v>1.06723585912486E-4</v>
      </c>
      <c r="F38603" s="2">
        <v>4.1603787542535799E-3</v>
      </c>
    </row>
    <row r="38604" spans="1:6" x14ac:dyDescent="0.25">
      <c r="A38604" s="1" t="str">
        <f t="shared" si="1383"/>
        <v>48620</v>
      </c>
      <c r="B38604" s="1" t="str">
        <f>"67052"</f>
        <v>67052</v>
      </c>
      <c r="C38604" s="2">
        <v>1.15498414467486E-2</v>
      </c>
      <c r="D38604" s="2">
        <v>5.8662927981109701E-3</v>
      </c>
      <c r="E38604" s="2">
        <v>5.9765208110992502E-3</v>
      </c>
      <c r="F38604" s="2">
        <v>1.09394880899541E-2</v>
      </c>
    </row>
    <row r="38605" spans="1:6" x14ac:dyDescent="0.25">
      <c r="A38605" s="1" t="str">
        <f t="shared" si="1383"/>
        <v>48620</v>
      </c>
      <c r="B38605" s="1" t="str">
        <f>"67217"</f>
        <v>67217</v>
      </c>
      <c r="C38605" s="2">
        <v>4.8979023205827303E-2</v>
      </c>
      <c r="D38605" s="2">
        <v>2.2985537190082599E-2</v>
      </c>
      <c r="E38605" s="2">
        <v>4.5357524012806801E-2</v>
      </c>
      <c r="F38605" s="2">
        <v>4.6793904423731297E-2</v>
      </c>
    </row>
    <row r="38606" spans="1:6" x14ac:dyDescent="0.25">
      <c r="A38606" s="1" t="str">
        <f t="shared" si="1383"/>
        <v>48620</v>
      </c>
      <c r="B38606" s="1" t="str">
        <f>"67230"</f>
        <v>67230</v>
      </c>
      <c r="C38606" s="2">
        <v>1.52615796945693E-2</v>
      </c>
      <c r="D38606" s="2">
        <v>3.7263872491145201E-3</v>
      </c>
      <c r="E38606" s="2">
        <v>9.60512273212379E-4</v>
      </c>
      <c r="F38606" s="2">
        <v>1.3939931942594999E-2</v>
      </c>
    </row>
    <row r="38607" spans="1:6" x14ac:dyDescent="0.25">
      <c r="A38607" s="1" t="str">
        <f t="shared" si="1383"/>
        <v>48620</v>
      </c>
      <c r="B38607" s="1" t="str">
        <f>"67201"</f>
        <v>67201</v>
      </c>
      <c r="C38607" s="2">
        <v>8.5678461967121696E-3</v>
      </c>
      <c r="D38607" s="2">
        <v>4.0805785123966903E-2</v>
      </c>
      <c r="E38607" s="2">
        <v>1.06723585912486E-4</v>
      </c>
      <c r="F38607" s="2">
        <v>1.0918774966711E-2</v>
      </c>
    </row>
    <row r="38608" spans="1:6" x14ac:dyDescent="0.25">
      <c r="A38608" s="1" t="str">
        <f t="shared" si="1383"/>
        <v>48620</v>
      </c>
      <c r="B38608" s="1" t="str">
        <f>"67117"</f>
        <v>67117</v>
      </c>
      <c r="C38608" s="2">
        <v>2.6138067375180698E-3</v>
      </c>
      <c r="D38608" s="2">
        <v>8.1168831168831098E-4</v>
      </c>
      <c r="E38608" s="2">
        <v>2.77481323372465E-3</v>
      </c>
      <c r="F38608" s="2">
        <v>2.4737387187453701E-3</v>
      </c>
    </row>
    <row r="38609" spans="1:6" x14ac:dyDescent="0.25">
      <c r="A38609" s="1" t="str">
        <f t="shared" si="1383"/>
        <v>48620</v>
      </c>
      <c r="B38609" s="1" t="str">
        <f>"67151"</f>
        <v>67151</v>
      </c>
      <c r="C38609" s="2">
        <v>6.7335376613727104E-4</v>
      </c>
      <c r="D38609" s="2">
        <v>2.5826446280991698E-4</v>
      </c>
      <c r="E38609" s="2">
        <v>1.06723585912486E-4</v>
      </c>
      <c r="F38609" s="2">
        <v>6.2435271489865297E-4</v>
      </c>
    </row>
    <row r="38610" spans="1:6" x14ac:dyDescent="0.25">
      <c r="A38610" s="1" t="str">
        <f t="shared" si="1383"/>
        <v>48620</v>
      </c>
      <c r="B38610" s="1" t="str">
        <f>"67119"</f>
        <v>67119</v>
      </c>
      <c r="C38610" s="2">
        <v>2.2124480887367398E-3</v>
      </c>
      <c r="D38610" s="2">
        <v>4.05844155844155E-4</v>
      </c>
      <c r="E38610" s="2">
        <v>1.2806830309498301E-3</v>
      </c>
      <c r="F38610" s="2">
        <v>2.04172214824678E-3</v>
      </c>
    </row>
    <row r="38611" spans="1:6" x14ac:dyDescent="0.25">
      <c r="A38611" s="1" t="str">
        <f t="shared" si="1383"/>
        <v>48620</v>
      </c>
      <c r="B38611" s="1" t="str">
        <f>"67118"</f>
        <v>67118</v>
      </c>
      <c r="C38611" s="2">
        <v>2.65361090103358E-5</v>
      </c>
      <c r="D38611" s="2">
        <v>0</v>
      </c>
      <c r="E38611" s="2">
        <v>0</v>
      </c>
      <c r="F38611" s="2">
        <v>2.3672140849238E-5</v>
      </c>
    </row>
    <row r="38612" spans="1:6" x14ac:dyDescent="0.25">
      <c r="A38612" s="1" t="str">
        <f t="shared" si="1383"/>
        <v>48620</v>
      </c>
      <c r="B38612" s="1" t="str">
        <f>"66866"</f>
        <v>66866</v>
      </c>
      <c r="C38612" s="2">
        <v>1.35997558677971E-4</v>
      </c>
      <c r="D38612" s="2">
        <v>0</v>
      </c>
      <c r="E38612" s="2">
        <v>0</v>
      </c>
      <c r="F38612" s="2">
        <v>1.21319721852345E-4</v>
      </c>
    </row>
    <row r="38613" spans="1:6" x14ac:dyDescent="0.25">
      <c r="A38613" s="1" t="str">
        <f t="shared" si="1383"/>
        <v>48620</v>
      </c>
      <c r="B38613" s="1" t="str">
        <f>"67008"</f>
        <v>67008</v>
      </c>
      <c r="C38613" s="2">
        <v>2.1892289933526999E-4</v>
      </c>
      <c r="D38613" s="2">
        <v>0</v>
      </c>
      <c r="E38613" s="2">
        <v>0</v>
      </c>
      <c r="F38613" s="2">
        <v>1.95295162006213E-4</v>
      </c>
    </row>
    <row r="38614" spans="1:6" x14ac:dyDescent="0.25">
      <c r="A38614" s="1" t="str">
        <f t="shared" si="1383"/>
        <v>48620</v>
      </c>
      <c r="B38614" s="1" t="str">
        <f>"67227"</f>
        <v>67227</v>
      </c>
      <c r="C38614" s="2">
        <v>5.5394127559076003E-4</v>
      </c>
      <c r="D38614" s="2">
        <v>1.10684769775678E-4</v>
      </c>
      <c r="E38614" s="2">
        <v>1.06723585912486E-4</v>
      </c>
      <c r="F38614" s="2">
        <v>5.0599201065246299E-4</v>
      </c>
    </row>
    <row r="38615" spans="1:6" x14ac:dyDescent="0.25">
      <c r="A38615" s="1" t="str">
        <f t="shared" ref="A38615:A38646" si="1384">"48620"</f>
        <v>48620</v>
      </c>
      <c r="B38615" s="1" t="str">
        <f>"67037"</f>
        <v>67037</v>
      </c>
      <c r="C38615" s="2">
        <v>4.3233955605089601E-2</v>
      </c>
      <c r="D38615" s="2">
        <v>3.4644332939787401E-2</v>
      </c>
      <c r="E38615" s="2">
        <v>2.1344717182497301E-2</v>
      </c>
      <c r="F38615" s="2">
        <v>4.1938156532031298E-2</v>
      </c>
    </row>
    <row r="38616" spans="1:6" x14ac:dyDescent="0.25">
      <c r="A38616" s="1" t="str">
        <f t="shared" si="1384"/>
        <v>48620</v>
      </c>
      <c r="B38616" s="1" t="str">
        <f>"67022"</f>
        <v>67022</v>
      </c>
      <c r="C38616" s="2">
        <v>2.98531226366277E-3</v>
      </c>
      <c r="D38616" s="2">
        <v>4.7594451003541904E-3</v>
      </c>
      <c r="E38616" s="2">
        <v>7.4706510138740595E-4</v>
      </c>
      <c r="F38616" s="2">
        <v>3.0655422399763202E-3</v>
      </c>
    </row>
    <row r="38617" spans="1:6" x14ac:dyDescent="0.25">
      <c r="A38617" s="1" t="str">
        <f t="shared" si="1384"/>
        <v>48620</v>
      </c>
      <c r="B38617" s="1" t="str">
        <f>"67041"</f>
        <v>67041</v>
      </c>
      <c r="C38617" s="2">
        <v>2.6536109010335803E-4</v>
      </c>
      <c r="D38617" s="2">
        <v>1.4757969303423799E-4</v>
      </c>
      <c r="E38617" s="2">
        <v>1.06723585912486E-4</v>
      </c>
      <c r="F38617" s="2">
        <v>2.5151649652315399E-4</v>
      </c>
    </row>
    <row r="38618" spans="1:6" x14ac:dyDescent="0.25">
      <c r="A38618" s="1" t="str">
        <f t="shared" si="1384"/>
        <v>48620</v>
      </c>
      <c r="B38618" s="1" t="str">
        <f>"67223"</f>
        <v>67223</v>
      </c>
      <c r="C38618" s="2">
        <v>6.0369647998513901E-4</v>
      </c>
      <c r="D38618" s="2">
        <v>0</v>
      </c>
      <c r="E38618" s="2">
        <v>1.06723585912486E-4</v>
      </c>
      <c r="F38618" s="2">
        <v>5.4150022192631998E-4</v>
      </c>
    </row>
    <row r="38619" spans="1:6" x14ac:dyDescent="0.25">
      <c r="A38619" s="1" t="str">
        <f t="shared" si="1384"/>
        <v>48620</v>
      </c>
      <c r="B38619" s="1" t="str">
        <f>"67101"</f>
        <v>67101</v>
      </c>
      <c r="C38619" s="2">
        <v>8.4019955153975708E-3</v>
      </c>
      <c r="D38619" s="2">
        <v>4.2798110979929103E-3</v>
      </c>
      <c r="E38619" s="2">
        <v>2.9882604055496199E-3</v>
      </c>
      <c r="F38619" s="2">
        <v>7.9212901316762802E-3</v>
      </c>
    </row>
    <row r="38620" spans="1:6" x14ac:dyDescent="0.25">
      <c r="A38620" s="1" t="str">
        <f t="shared" si="1384"/>
        <v>48620</v>
      </c>
      <c r="B38620" s="1" t="str">
        <f>"67110"</f>
        <v>67110</v>
      </c>
      <c r="C38620" s="2">
        <v>1.18782257957515E-2</v>
      </c>
      <c r="D38620" s="2">
        <v>6.12455726092089E-3</v>
      </c>
      <c r="E38620" s="2">
        <v>4.4823906083244301E-3</v>
      </c>
      <c r="F38620" s="2">
        <v>1.1211717709720299E-2</v>
      </c>
    </row>
    <row r="38621" spans="1:6" x14ac:dyDescent="0.25">
      <c r="A38621" s="1" t="str">
        <f t="shared" si="1384"/>
        <v>48620</v>
      </c>
      <c r="B38621" s="1" t="str">
        <f>"67042"</f>
        <v>67042</v>
      </c>
      <c r="C38621" s="2">
        <v>2.54514455545383E-2</v>
      </c>
      <c r="D38621" s="2">
        <v>2.9811097992916102E-2</v>
      </c>
      <c r="E38621" s="2">
        <v>2.8068303094983899E-2</v>
      </c>
      <c r="F38621" s="2">
        <v>2.5873649948217101E-2</v>
      </c>
    </row>
    <row r="38622" spans="1:6" x14ac:dyDescent="0.25">
      <c r="A38622" s="1" t="str">
        <f t="shared" si="1384"/>
        <v>48620</v>
      </c>
      <c r="B38622" s="1" t="str">
        <f>"67154"</f>
        <v>67154</v>
      </c>
      <c r="C38622" s="2">
        <v>1.9703060940174299E-3</v>
      </c>
      <c r="D38622" s="2">
        <v>1.25442739079102E-3</v>
      </c>
      <c r="E38622" s="2">
        <v>7.4706510138740595E-4</v>
      </c>
      <c r="F38622" s="2">
        <v>1.87897617990827E-3</v>
      </c>
    </row>
    <row r="38623" spans="1:6" x14ac:dyDescent="0.25">
      <c r="A38623" s="1" t="str">
        <f t="shared" si="1384"/>
        <v>48620</v>
      </c>
      <c r="B38623" s="1" t="str">
        <f>"67218"</f>
        <v>67218</v>
      </c>
      <c r="C38623" s="2">
        <v>3.8046146293568901E-2</v>
      </c>
      <c r="D38623" s="2">
        <v>2.4166174734356501E-2</v>
      </c>
      <c r="E38623" s="2">
        <v>3.0309498399146199E-2</v>
      </c>
      <c r="F38623" s="2">
        <v>3.6718449474774303E-2</v>
      </c>
    </row>
    <row r="38624" spans="1:6" x14ac:dyDescent="0.25">
      <c r="A38624" s="1" t="str">
        <f t="shared" si="1384"/>
        <v>48620</v>
      </c>
      <c r="B38624" s="1" t="str">
        <f>"67220"</f>
        <v>67220</v>
      </c>
      <c r="C38624" s="2">
        <v>1.9865594607862601E-2</v>
      </c>
      <c r="D38624" s="2">
        <v>8.3751475796930291E-3</v>
      </c>
      <c r="E38624" s="2">
        <v>1.5261472785485499E-2</v>
      </c>
      <c r="F38624" s="2">
        <v>1.8816392957538002E-2</v>
      </c>
    </row>
    <row r="38625" spans="1:6" x14ac:dyDescent="0.25">
      <c r="A38625" s="1" t="str">
        <f t="shared" si="1384"/>
        <v>48620</v>
      </c>
      <c r="B38625" s="1" t="str">
        <f>"67001"</f>
        <v>67001</v>
      </c>
      <c r="C38625" s="2">
        <v>2.1660098979686599E-3</v>
      </c>
      <c r="D38625" s="2">
        <v>1.32821723730814E-3</v>
      </c>
      <c r="E38625" s="2">
        <v>3.2017075773745898E-4</v>
      </c>
      <c r="F38625" s="2">
        <v>2.0476401834590898E-3</v>
      </c>
    </row>
    <row r="38626" spans="1:6" x14ac:dyDescent="0.25">
      <c r="A38626" s="1" t="str">
        <f t="shared" si="1384"/>
        <v>48620</v>
      </c>
      <c r="B38626" s="1" t="str">
        <f>"67010"</f>
        <v>67010</v>
      </c>
      <c r="C38626" s="2">
        <v>2.03863657471904E-2</v>
      </c>
      <c r="D38626" s="2">
        <v>1.4462809917355299E-2</v>
      </c>
      <c r="E38626" s="2">
        <v>9.1782283884738504E-3</v>
      </c>
      <c r="F38626" s="2">
        <v>1.96005326231691E-2</v>
      </c>
    </row>
    <row r="38627" spans="1:6" x14ac:dyDescent="0.25">
      <c r="A38627" s="1" t="str">
        <f t="shared" si="1384"/>
        <v>48620</v>
      </c>
      <c r="B38627" s="1" t="str">
        <f>"67020"</f>
        <v>67020</v>
      </c>
      <c r="C38627" s="2">
        <v>2.24561822499966E-3</v>
      </c>
      <c r="D38627" s="2">
        <v>7.37898465171192E-4</v>
      </c>
      <c r="E38627" s="2">
        <v>7.4706510138740595E-4</v>
      </c>
      <c r="F38627" s="2">
        <v>2.0831483947329399E-3</v>
      </c>
    </row>
    <row r="38628" spans="1:6" x14ac:dyDescent="0.25">
      <c r="A38628" s="1" t="str">
        <f t="shared" si="1384"/>
        <v>48620</v>
      </c>
      <c r="B38628" s="1" t="str">
        <f>"67105"</f>
        <v>67105</v>
      </c>
      <c r="C38628" s="2">
        <v>3.4496941713436501E-4</v>
      </c>
      <c r="D38628" s="2">
        <v>3.68949232585596E-5</v>
      </c>
      <c r="E38628" s="2">
        <v>1.06723585912486E-4</v>
      </c>
      <c r="F38628" s="2">
        <v>3.1365586625240399E-4</v>
      </c>
    </row>
    <row r="38629" spans="1:6" x14ac:dyDescent="0.25">
      <c r="A38629" s="1" t="str">
        <f t="shared" si="1384"/>
        <v>48620</v>
      </c>
      <c r="B38629" s="1" t="str">
        <f>"67067"</f>
        <v>67067</v>
      </c>
      <c r="C38629" s="2">
        <v>3.06492059069378E-3</v>
      </c>
      <c r="D38629" s="2">
        <v>1.7340613931523001E-3</v>
      </c>
      <c r="E38629" s="2">
        <v>7.4706510138740595E-4</v>
      </c>
      <c r="F38629" s="2">
        <v>2.8939192188193498E-3</v>
      </c>
    </row>
    <row r="38630" spans="1:6" x14ac:dyDescent="0.25">
      <c r="A38630" s="1" t="str">
        <f t="shared" si="1384"/>
        <v>48620</v>
      </c>
      <c r="B38630" s="1" t="str">
        <f>"67147"</f>
        <v>67147</v>
      </c>
      <c r="C38630" s="2">
        <v>1.43925221244808E-2</v>
      </c>
      <c r="D38630" s="2">
        <v>9.4819952774498201E-3</v>
      </c>
      <c r="E38630" s="2">
        <v>7.6840981856990303E-3</v>
      </c>
      <c r="F38630" s="2">
        <v>1.38126941855304E-2</v>
      </c>
    </row>
    <row r="38631" spans="1:6" x14ac:dyDescent="0.25">
      <c r="A38631" s="1" t="str">
        <f t="shared" si="1384"/>
        <v>48620</v>
      </c>
      <c r="B38631" s="1" t="str">
        <f>"67123"</f>
        <v>67123</v>
      </c>
      <c r="C38631" s="2">
        <v>1.1476867146970201E-3</v>
      </c>
      <c r="D38631" s="2">
        <v>2.9515938606847599E-4</v>
      </c>
      <c r="E38631" s="2">
        <v>3.2017075773745898E-4</v>
      </c>
      <c r="F38631" s="2">
        <v>1.0563692853972401E-3</v>
      </c>
    </row>
    <row r="38632" spans="1:6" x14ac:dyDescent="0.25">
      <c r="A38632" s="1" t="str">
        <f t="shared" si="1384"/>
        <v>48620</v>
      </c>
      <c r="B38632" s="1" t="str">
        <f>"67228"</f>
        <v>67228</v>
      </c>
      <c r="C38632" s="2">
        <v>2.7033661054279602E-3</v>
      </c>
      <c r="D38632" s="2">
        <v>1.10684769775678E-4</v>
      </c>
      <c r="E38632" s="2">
        <v>1.06723585912486E-4</v>
      </c>
      <c r="F38632" s="2">
        <v>2.4234354194407402E-3</v>
      </c>
    </row>
    <row r="38633" spans="1:6" x14ac:dyDescent="0.25">
      <c r="A38633" s="1" t="str">
        <f t="shared" si="1384"/>
        <v>48620</v>
      </c>
      <c r="B38633" s="1" t="str">
        <f>"67002"</f>
        <v>67002</v>
      </c>
      <c r="C38633" s="2">
        <v>2.2565643699664299E-2</v>
      </c>
      <c r="D38633" s="2">
        <v>2.5715761511216E-2</v>
      </c>
      <c r="E38633" s="2">
        <v>1.0779082177161101E-2</v>
      </c>
      <c r="F38633" s="2">
        <v>2.24914928243823E-2</v>
      </c>
    </row>
    <row r="38634" spans="1:6" x14ac:dyDescent="0.25">
      <c r="A38634" s="1" t="str">
        <f t="shared" si="1384"/>
        <v>48620</v>
      </c>
      <c r="B38634" s="1" t="str">
        <f>"67025"</f>
        <v>67025</v>
      </c>
      <c r="C38634" s="2">
        <v>4.6504531040613504E-3</v>
      </c>
      <c r="D38634" s="2">
        <v>1.69716646989374E-3</v>
      </c>
      <c r="E38634" s="2">
        <v>2.3479188900747002E-3</v>
      </c>
      <c r="F38634" s="2">
        <v>4.3497558810474896E-3</v>
      </c>
    </row>
    <row r="38635" spans="1:6" x14ac:dyDescent="0.25">
      <c r="A38635" s="1" t="str">
        <f t="shared" si="1384"/>
        <v>48620</v>
      </c>
      <c r="B38635" s="1" t="str">
        <f>"67051"</f>
        <v>67051</v>
      </c>
      <c r="C38635" s="2">
        <v>6.8330480701614697E-4</v>
      </c>
      <c r="D38635" s="2">
        <v>1.4757969303423799E-4</v>
      </c>
      <c r="E38635" s="2">
        <v>1.06723585912486E-4</v>
      </c>
      <c r="F38635" s="2">
        <v>6.2435271489865297E-4</v>
      </c>
    </row>
    <row r="38636" spans="1:6" x14ac:dyDescent="0.25">
      <c r="A38636" s="1" t="str">
        <f t="shared" si="1384"/>
        <v>48620</v>
      </c>
      <c r="B38636" s="1" t="str">
        <f>"67209"</f>
        <v>67209</v>
      </c>
      <c r="C38636" s="2">
        <v>1.86515676206397E-2</v>
      </c>
      <c r="D38636" s="2">
        <v>3.7927981109799197E-2</v>
      </c>
      <c r="E38636" s="2">
        <v>2.8388473852721401E-2</v>
      </c>
      <c r="F38636" s="2">
        <v>2.0467524781772401E-2</v>
      </c>
    </row>
    <row r="38637" spans="1:6" x14ac:dyDescent="0.25">
      <c r="A38637" s="1" t="str">
        <f t="shared" si="1384"/>
        <v>48620</v>
      </c>
      <c r="B38637" s="1" t="str">
        <f>"67205"</f>
        <v>67205</v>
      </c>
      <c r="C38637" s="2">
        <v>2.64797197786888E-2</v>
      </c>
      <c r="D38637" s="2">
        <v>2.47195985832349E-2</v>
      </c>
      <c r="E38637" s="2">
        <v>2.4332977588046902E-2</v>
      </c>
      <c r="F38637" s="2">
        <v>2.62790353602603E-2</v>
      </c>
    </row>
    <row r="38638" spans="1:6" x14ac:dyDescent="0.25">
      <c r="A38638" s="1" t="str">
        <f t="shared" si="1384"/>
        <v>48620</v>
      </c>
      <c r="B38638" s="1" t="str">
        <f>"67133"</f>
        <v>67133</v>
      </c>
      <c r="C38638" s="2">
        <v>8.5877482784699199E-3</v>
      </c>
      <c r="D38638" s="2">
        <v>2.8040141676505298E-3</v>
      </c>
      <c r="E38638" s="2">
        <v>2.0277481323372399E-3</v>
      </c>
      <c r="F38638" s="2">
        <v>7.9420032549193595E-3</v>
      </c>
    </row>
    <row r="38639" spans="1:6" x14ac:dyDescent="0.25">
      <c r="A38639" s="1" t="str">
        <f t="shared" si="1384"/>
        <v>48620</v>
      </c>
      <c r="B38639" s="1" t="str">
        <f>"67210"</f>
        <v>67210</v>
      </c>
      <c r="C38639" s="2">
        <v>1.3112154864732099E-2</v>
      </c>
      <c r="D38639" s="2">
        <v>8.8178866587957407E-3</v>
      </c>
      <c r="E38639" s="2">
        <v>1.54749199573105E-2</v>
      </c>
      <c r="F38639" s="2">
        <v>1.28332593578931E-2</v>
      </c>
    </row>
    <row r="38640" spans="1:6" x14ac:dyDescent="0.25">
      <c r="A38640" s="1" t="str">
        <f t="shared" si="1384"/>
        <v>48620</v>
      </c>
      <c r="B38640" s="1" t="str">
        <f>"67120"</f>
        <v>67120</v>
      </c>
      <c r="C38640" s="2">
        <v>1.89401478061271E-3</v>
      </c>
      <c r="D38640" s="2">
        <v>2.9515938606847599E-4</v>
      </c>
      <c r="E38640" s="2">
        <v>2.13447171824973E-4</v>
      </c>
      <c r="F38640" s="2">
        <v>1.7191892291759099E-3</v>
      </c>
    </row>
    <row r="38641" spans="1:6" x14ac:dyDescent="0.25">
      <c r="A38641" s="1" t="str">
        <f t="shared" si="1384"/>
        <v>48620</v>
      </c>
      <c r="B38641" s="1" t="str">
        <f>"67208"</f>
        <v>67208</v>
      </c>
      <c r="C38641" s="2">
        <v>3.3743979620268198E-2</v>
      </c>
      <c r="D38641" s="2">
        <v>4.1211629279811E-2</v>
      </c>
      <c r="E38641" s="2">
        <v>3.6926360725720302E-2</v>
      </c>
      <c r="F38641" s="2">
        <v>3.4431128865216702E-2</v>
      </c>
    </row>
    <row r="38642" spans="1:6" x14ac:dyDescent="0.25">
      <c r="A38642" s="1" t="str">
        <f t="shared" si="1384"/>
        <v>48620</v>
      </c>
      <c r="B38642" s="1" t="str">
        <f>"67216"</f>
        <v>67216</v>
      </c>
      <c r="C38642" s="2">
        <v>3.76215685494036E-2</v>
      </c>
      <c r="D38642" s="2">
        <v>2.4203069657615098E-2</v>
      </c>
      <c r="E38642" s="2">
        <v>3.2443970117395901E-2</v>
      </c>
      <c r="F38642" s="2">
        <v>3.6401834590915803E-2</v>
      </c>
    </row>
    <row r="38643" spans="1:6" x14ac:dyDescent="0.25">
      <c r="A38643" s="1" t="str">
        <f t="shared" si="1384"/>
        <v>48620</v>
      </c>
      <c r="B38643" s="1" t="str">
        <f>"67107"</f>
        <v>67107</v>
      </c>
      <c r="C38643" s="2">
        <v>4.0799267603391302E-4</v>
      </c>
      <c r="D38643" s="2">
        <v>3.68949232585596E-5</v>
      </c>
      <c r="E38643" s="2">
        <v>1.06723585912486E-4</v>
      </c>
      <c r="F38643" s="2">
        <v>3.6987720076934398E-4</v>
      </c>
    </row>
    <row r="38644" spans="1:6" x14ac:dyDescent="0.25">
      <c r="A38644" s="1" t="str">
        <f t="shared" si="1384"/>
        <v>48620</v>
      </c>
      <c r="B38644" s="1" t="str">
        <f>"67219"</f>
        <v>67219</v>
      </c>
      <c r="C38644" s="2">
        <v>1.8953415860632299E-2</v>
      </c>
      <c r="D38644" s="2">
        <v>2.14359504132231E-2</v>
      </c>
      <c r="E38644" s="2">
        <v>7.0437566702241097E-3</v>
      </c>
      <c r="F38644" s="2">
        <v>1.8822310992750401E-2</v>
      </c>
    </row>
    <row r="38645" spans="1:6" x14ac:dyDescent="0.25">
      <c r="A38645" s="1" t="str">
        <f t="shared" si="1384"/>
        <v>48620</v>
      </c>
      <c r="B38645" s="1" t="str">
        <f>"67056"</f>
        <v>67056</v>
      </c>
      <c r="C38645" s="2">
        <v>4.5376746407674202E-3</v>
      </c>
      <c r="D38645" s="2">
        <v>4.2429161747343496E-3</v>
      </c>
      <c r="E38645" s="2">
        <v>2.9882604055496199E-3</v>
      </c>
      <c r="F38645" s="2">
        <v>4.4710756028998296E-3</v>
      </c>
    </row>
    <row r="38646" spans="1:6" x14ac:dyDescent="0.25">
      <c r="A38646" s="1" t="str">
        <f t="shared" si="1384"/>
        <v>48620</v>
      </c>
      <c r="B38646" s="1" t="str">
        <f>"67103"</f>
        <v>67103</v>
      </c>
      <c r="C38646" s="2">
        <v>4.9423503031750403E-4</v>
      </c>
      <c r="D38646" s="2">
        <v>2.5826446280991698E-4</v>
      </c>
      <c r="E38646" s="2">
        <v>3.2017075773745898E-4</v>
      </c>
      <c r="F38646" s="2">
        <v>4.7048379937860601E-4</v>
      </c>
    </row>
    <row r="38647" spans="1:6" x14ac:dyDescent="0.25">
      <c r="A38647" s="1" t="str">
        <f t="shared" ref="A38647:A38677" si="1385">"48620"</f>
        <v>48620</v>
      </c>
      <c r="B38647" s="1" t="str">
        <f>"67235"</f>
        <v>67235</v>
      </c>
      <c r="C38647" s="2">
        <v>1.7805729145935301E-2</v>
      </c>
      <c r="D38647" s="2">
        <v>4.7594451003541904E-3</v>
      </c>
      <c r="E38647" s="2">
        <v>3.73532550693703E-3</v>
      </c>
      <c r="F38647" s="2">
        <v>1.63692853972481E-2</v>
      </c>
    </row>
    <row r="38648" spans="1:6" x14ac:dyDescent="0.25">
      <c r="A38648" s="1" t="str">
        <f t="shared" si="1385"/>
        <v>48620</v>
      </c>
      <c r="B38648" s="1" t="str">
        <f>"67278"</f>
        <v>67278</v>
      </c>
      <c r="C38648" s="2">
        <v>4.9987395348220004E-3</v>
      </c>
      <c r="D38648" s="2">
        <v>2.37603305785123E-2</v>
      </c>
      <c r="E38648" s="2">
        <v>1.06723585912486E-4</v>
      </c>
      <c r="F38648" s="2">
        <v>6.36780588844503E-3</v>
      </c>
    </row>
    <row r="38649" spans="1:6" x14ac:dyDescent="0.25">
      <c r="A38649" s="1" t="str">
        <f t="shared" si="1385"/>
        <v>48620</v>
      </c>
      <c r="B38649" s="1" t="str">
        <f>"67050"</f>
        <v>67050</v>
      </c>
      <c r="C38649" s="2">
        <v>2.7332192280645801E-3</v>
      </c>
      <c r="D38649" s="2">
        <v>1.14374262101534E-3</v>
      </c>
      <c r="E38649" s="2">
        <v>9.60512273212379E-4</v>
      </c>
      <c r="F38649" s="2">
        <v>2.5565912117177002E-3</v>
      </c>
    </row>
    <row r="38650" spans="1:6" x14ac:dyDescent="0.25">
      <c r="A38650" s="1" t="str">
        <f t="shared" si="1385"/>
        <v>48620</v>
      </c>
      <c r="B38650" s="1" t="str">
        <f>"67108"</f>
        <v>67108</v>
      </c>
      <c r="C38650" s="2">
        <v>1.92055088962305E-3</v>
      </c>
      <c r="D38650" s="2">
        <v>5.9031877213695295E-4</v>
      </c>
      <c r="E38650" s="2">
        <v>8.5378868729989296E-4</v>
      </c>
      <c r="F38650" s="2">
        <v>1.78428761651131E-3</v>
      </c>
    </row>
    <row r="38651" spans="1:6" x14ac:dyDescent="0.25">
      <c r="A38651" s="1" t="str">
        <f t="shared" si="1385"/>
        <v>48620</v>
      </c>
      <c r="B38651" s="1" t="str">
        <f>"67260"</f>
        <v>67260</v>
      </c>
      <c r="C38651" s="2">
        <v>0</v>
      </c>
      <c r="D38651" s="2">
        <v>7.37898465171192E-5</v>
      </c>
      <c r="E38651" s="2">
        <v>0</v>
      </c>
      <c r="F38651" s="2">
        <v>5.9180352123095102E-6</v>
      </c>
    </row>
    <row r="38652" spans="1:6" x14ac:dyDescent="0.25">
      <c r="A38652" s="1" t="str">
        <f t="shared" si="1385"/>
        <v>48620</v>
      </c>
      <c r="B38652" s="1" t="str">
        <f>"67135"</f>
        <v>67135</v>
      </c>
      <c r="C38652" s="2">
        <v>4.8395228807599899E-3</v>
      </c>
      <c r="D38652" s="2">
        <v>8.4858323494687096E-4</v>
      </c>
      <c r="E38652" s="2">
        <v>3.2017075773745898E-4</v>
      </c>
      <c r="F38652" s="2">
        <v>4.3941411451398097E-3</v>
      </c>
    </row>
    <row r="38653" spans="1:6" x14ac:dyDescent="0.25">
      <c r="A38653" s="1" t="str">
        <f t="shared" si="1385"/>
        <v>48620</v>
      </c>
      <c r="B38653" s="1" t="str">
        <f>"67543"</f>
        <v>67543</v>
      </c>
      <c r="C38653" s="2">
        <v>3.31701362629197E-6</v>
      </c>
      <c r="D38653" s="2">
        <v>0</v>
      </c>
      <c r="E38653" s="2">
        <v>0</v>
      </c>
      <c r="F38653" s="2">
        <v>2.95901760615475E-6</v>
      </c>
    </row>
    <row r="38654" spans="1:6" x14ac:dyDescent="0.25">
      <c r="A38654" s="1" t="str">
        <f t="shared" si="1385"/>
        <v>48620</v>
      </c>
      <c r="B38654" s="1" t="str">
        <f>"67276"</f>
        <v>67276</v>
      </c>
      <c r="C38654" s="2">
        <v>0</v>
      </c>
      <c r="D38654" s="2">
        <v>3.68949232585596E-5</v>
      </c>
      <c r="E38654" s="2">
        <v>0</v>
      </c>
      <c r="F38654" s="2">
        <v>2.95901760615475E-6</v>
      </c>
    </row>
    <row r="38655" spans="1:6" x14ac:dyDescent="0.25">
      <c r="A38655" s="1" t="str">
        <f t="shared" si="1385"/>
        <v>48620</v>
      </c>
      <c r="B38655" s="1" t="str">
        <f>"67049"</f>
        <v>67049</v>
      </c>
      <c r="C38655" s="2">
        <v>1.6585068131459799E-5</v>
      </c>
      <c r="D38655" s="2">
        <v>0</v>
      </c>
      <c r="E38655" s="2">
        <v>0</v>
      </c>
      <c r="F38655" s="2">
        <v>1.47950880307737E-5</v>
      </c>
    </row>
    <row r="38656" spans="1:6" x14ac:dyDescent="0.25">
      <c r="A38656" s="1" t="str">
        <f t="shared" si="1385"/>
        <v>48620</v>
      </c>
      <c r="B38656" s="1" t="str">
        <f>"67132"</f>
        <v>67132</v>
      </c>
      <c r="C38656" s="2">
        <v>5.6720933009592796E-4</v>
      </c>
      <c r="D38656" s="2">
        <v>7.37898465171192E-5</v>
      </c>
      <c r="E38656" s="2">
        <v>1.06723585912486E-4</v>
      </c>
      <c r="F38656" s="2">
        <v>5.1486906347092702E-4</v>
      </c>
    </row>
    <row r="38657" spans="1:6" x14ac:dyDescent="0.25">
      <c r="A38657" s="1" t="str">
        <f t="shared" si="1385"/>
        <v>48620</v>
      </c>
      <c r="B38657" s="1" t="str">
        <f>"67522"</f>
        <v>67522</v>
      </c>
      <c r="C38657" s="2">
        <v>9.95104087887593E-5</v>
      </c>
      <c r="D38657" s="2">
        <v>0</v>
      </c>
      <c r="E38657" s="2">
        <v>0</v>
      </c>
      <c r="F38657" s="2">
        <v>8.8770528184642594E-5</v>
      </c>
    </row>
    <row r="38658" spans="1:6" x14ac:dyDescent="0.25">
      <c r="A38658" s="1" t="str">
        <f t="shared" si="1385"/>
        <v>48620</v>
      </c>
      <c r="B38658" s="1" t="str">
        <f>"67546"</f>
        <v>67546</v>
      </c>
      <c r="C38658" s="2">
        <v>9.9510408788759307E-6</v>
      </c>
      <c r="D38658" s="2">
        <v>0</v>
      </c>
      <c r="E38658" s="2">
        <v>0</v>
      </c>
      <c r="F38658" s="2">
        <v>8.8770528184642594E-6</v>
      </c>
    </row>
    <row r="38659" spans="1:6" x14ac:dyDescent="0.25">
      <c r="A38659" s="1" t="str">
        <f t="shared" si="1385"/>
        <v>48620</v>
      </c>
      <c r="B38659" s="1" t="str">
        <f>"67106"</f>
        <v>67106</v>
      </c>
      <c r="C38659" s="2">
        <v>6.1364752086401505E-4</v>
      </c>
      <c r="D38659" s="2">
        <v>4.05844155844155E-4</v>
      </c>
      <c r="E38659" s="2">
        <v>3.2017075773745898E-4</v>
      </c>
      <c r="F38659" s="2">
        <v>5.8884450362479599E-4</v>
      </c>
    </row>
    <row r="38660" spans="1:6" x14ac:dyDescent="0.25">
      <c r="A38660" s="1" t="str">
        <f t="shared" si="1385"/>
        <v>48620</v>
      </c>
      <c r="B38660" s="1" t="str">
        <f>"67018"</f>
        <v>67018</v>
      </c>
      <c r="C38660" s="2">
        <v>1.6585068131459799E-5</v>
      </c>
      <c r="D38660" s="2">
        <v>0</v>
      </c>
      <c r="E38660" s="2">
        <v>0</v>
      </c>
      <c r="F38660" s="2">
        <v>1.47950880307737E-5</v>
      </c>
    </row>
    <row r="38661" spans="1:6" x14ac:dyDescent="0.25">
      <c r="A38661" s="1" t="str">
        <f t="shared" si="1385"/>
        <v>48620</v>
      </c>
      <c r="B38661" s="1" t="str">
        <f>"67275"</f>
        <v>67275</v>
      </c>
      <c r="C38661" s="2">
        <v>8.4252146107816203E-4</v>
      </c>
      <c r="D38661" s="2">
        <v>4.7963400236127503E-3</v>
      </c>
      <c r="E38661" s="2">
        <v>1.06723585912486E-4</v>
      </c>
      <c r="F38661" s="2">
        <v>1.1392217783695801E-3</v>
      </c>
    </row>
    <row r="38662" spans="1:6" x14ac:dyDescent="0.25">
      <c r="A38662" s="1" t="str">
        <f t="shared" si="1385"/>
        <v>48620</v>
      </c>
      <c r="B38662" s="1" t="str">
        <f>"67202"</f>
        <v>67202</v>
      </c>
      <c r="C38662" s="2">
        <v>6.04028181347768E-3</v>
      </c>
      <c r="D38662" s="2">
        <v>7.2572314049586695E-2</v>
      </c>
      <c r="E38662" s="2">
        <v>2.92422625400213E-2</v>
      </c>
      <c r="F38662" s="2">
        <v>1.2019529516200601E-2</v>
      </c>
    </row>
    <row r="38663" spans="1:6" x14ac:dyDescent="0.25">
      <c r="A38663" s="1" t="str">
        <f t="shared" si="1385"/>
        <v>48620</v>
      </c>
      <c r="B38663" s="1" t="str">
        <f>"67204"</f>
        <v>67204</v>
      </c>
      <c r="C38663" s="2">
        <v>3.2874922050179702E-2</v>
      </c>
      <c r="D38663" s="2">
        <v>1.6270661157024701E-2</v>
      </c>
      <c r="E38663" s="2">
        <v>1.9530416221985002E-2</v>
      </c>
      <c r="F38663" s="2">
        <v>3.1173250480840301E-2</v>
      </c>
    </row>
    <row r="38664" spans="1:6" x14ac:dyDescent="0.25">
      <c r="A38664" s="1" t="str">
        <f t="shared" si="1385"/>
        <v>48620</v>
      </c>
      <c r="B38664" s="1" t="str">
        <f>"67207"</f>
        <v>67207</v>
      </c>
      <c r="C38664" s="2">
        <v>4.4248961774734898E-2</v>
      </c>
      <c r="D38664" s="2">
        <v>3.5197756788665803E-2</v>
      </c>
      <c r="E38664" s="2">
        <v>4.9413020277481297E-2</v>
      </c>
      <c r="F38664" s="2">
        <v>4.3666222814025699E-2</v>
      </c>
    </row>
    <row r="38665" spans="1:6" x14ac:dyDescent="0.25">
      <c r="A38665" s="1" t="str">
        <f t="shared" si="1385"/>
        <v>48620</v>
      </c>
      <c r="B38665" s="1" t="str">
        <f>"67211"</f>
        <v>67211</v>
      </c>
      <c r="C38665" s="2">
        <v>3.29910175271E-2</v>
      </c>
      <c r="D38665" s="2">
        <v>4.8590613931523002E-2</v>
      </c>
      <c r="E38665" s="2">
        <v>4.88794023479188E-2</v>
      </c>
      <c r="F38665" s="2">
        <v>3.46826453617399E-2</v>
      </c>
    </row>
    <row r="38666" spans="1:6" x14ac:dyDescent="0.25">
      <c r="A38666" s="1" t="str">
        <f t="shared" si="1385"/>
        <v>48620</v>
      </c>
      <c r="B38666" s="1" t="str">
        <f>"67060"</f>
        <v>67060</v>
      </c>
      <c r="C38666" s="2">
        <v>1.9109315501068001E-2</v>
      </c>
      <c r="D38666" s="2">
        <v>1.0773317591499401E-2</v>
      </c>
      <c r="E38666" s="2">
        <v>5.9765208110992502E-3</v>
      </c>
      <c r="F38666" s="2">
        <v>1.8076638555999398E-2</v>
      </c>
    </row>
    <row r="38667" spans="1:6" x14ac:dyDescent="0.25">
      <c r="A38667" s="1" t="str">
        <f t="shared" si="1385"/>
        <v>48620</v>
      </c>
      <c r="B38667" s="1" t="str">
        <f>"66842"</f>
        <v>66842</v>
      </c>
      <c r="C38667" s="2">
        <v>5.6389231646963595E-4</v>
      </c>
      <c r="D38667" s="2">
        <v>1.4757969303423799E-4</v>
      </c>
      <c r="E38667" s="2">
        <v>4.2689434364994599E-4</v>
      </c>
      <c r="F38667" s="2">
        <v>5.2670513389554605E-4</v>
      </c>
    </row>
    <row r="38668" spans="1:6" x14ac:dyDescent="0.25">
      <c r="A38668" s="1" t="str">
        <f t="shared" si="1385"/>
        <v>48620</v>
      </c>
      <c r="B38668" s="1" t="str">
        <f>"67045"</f>
        <v>67045</v>
      </c>
      <c r="C38668" s="2">
        <v>1.32680545051679E-5</v>
      </c>
      <c r="D38668" s="2">
        <v>0</v>
      </c>
      <c r="E38668" s="2">
        <v>0</v>
      </c>
      <c r="F38668" s="2">
        <v>1.1836070424619E-5</v>
      </c>
    </row>
    <row r="38669" spans="1:6" x14ac:dyDescent="0.25">
      <c r="A38669" s="1" t="str">
        <f t="shared" si="1385"/>
        <v>48620</v>
      </c>
      <c r="B38669" s="1" t="str">
        <f>"67232"</f>
        <v>67232</v>
      </c>
      <c r="C38669" s="2">
        <v>5.4067322108559198E-4</v>
      </c>
      <c r="D38669" s="2">
        <v>0</v>
      </c>
      <c r="E38669" s="2">
        <v>5.3361792956243301E-4</v>
      </c>
      <c r="F38669" s="2">
        <v>4.9711495783399896E-4</v>
      </c>
    </row>
    <row r="38670" spans="1:6" x14ac:dyDescent="0.25">
      <c r="A38670" s="1" t="str">
        <f t="shared" si="1385"/>
        <v>48620</v>
      </c>
      <c r="B38670" s="1" t="str">
        <f>"67016"</f>
        <v>67016</v>
      </c>
      <c r="C38670" s="2">
        <v>7.9608327031007397E-4</v>
      </c>
      <c r="D38670" s="2">
        <v>0</v>
      </c>
      <c r="E38670" s="2">
        <v>2.13447171824973E-4</v>
      </c>
      <c r="F38670" s="2">
        <v>7.1608226068945098E-4</v>
      </c>
    </row>
    <row r="38671" spans="1:6" x14ac:dyDescent="0.25">
      <c r="A38671" s="1" t="str">
        <f t="shared" si="1385"/>
        <v>48620</v>
      </c>
      <c r="B38671" s="1" t="str">
        <f>"67203"</f>
        <v>67203</v>
      </c>
      <c r="C38671" s="2">
        <v>5.1450198357414802E-2</v>
      </c>
      <c r="D38671" s="2">
        <v>5.3534533648169999E-2</v>
      </c>
      <c r="E38671" s="2">
        <v>6.4567769477054393E-2</v>
      </c>
      <c r="F38671" s="2">
        <v>5.1981062287320599E-2</v>
      </c>
    </row>
    <row r="38672" spans="1:6" x14ac:dyDescent="0.25">
      <c r="A38672" s="1" t="str">
        <f t="shared" si="1385"/>
        <v>48620</v>
      </c>
      <c r="B38672" s="1" t="str">
        <f>"67215"</f>
        <v>67215</v>
      </c>
      <c r="C38672" s="2">
        <v>7.7518608446443399E-3</v>
      </c>
      <c r="D38672" s="2">
        <v>4.6856552538370698E-3</v>
      </c>
      <c r="E38672" s="2">
        <v>1.92102454642475E-3</v>
      </c>
      <c r="F38672" s="2">
        <v>7.3442816984761001E-3</v>
      </c>
    </row>
    <row r="38673" spans="1:6" x14ac:dyDescent="0.25">
      <c r="A38673" s="1" t="str">
        <f t="shared" si="1385"/>
        <v>48620</v>
      </c>
      <c r="B38673" s="1" t="str">
        <f>"67072"</f>
        <v>67072</v>
      </c>
      <c r="C38673" s="2">
        <v>4.7764996218604402E-4</v>
      </c>
      <c r="D38673" s="2">
        <v>1.84474616292798E-4</v>
      </c>
      <c r="E38673" s="2">
        <v>4.2689434364994599E-4</v>
      </c>
      <c r="F38673" s="2">
        <v>4.5272969374167697E-4</v>
      </c>
    </row>
    <row r="38674" spans="1:6" x14ac:dyDescent="0.25">
      <c r="A38674" s="1" t="str">
        <f t="shared" si="1385"/>
        <v>48620</v>
      </c>
      <c r="B38674" s="1" t="str">
        <f>"67074"</f>
        <v>67074</v>
      </c>
      <c r="C38674" s="2">
        <v>2.6138067375180698E-3</v>
      </c>
      <c r="D38674" s="2">
        <v>5.5342384887839405E-4</v>
      </c>
      <c r="E38674" s="2">
        <v>5.3361792956243301E-4</v>
      </c>
      <c r="F38674" s="2">
        <v>2.3908862257730401E-3</v>
      </c>
    </row>
    <row r="38675" spans="1:6" x14ac:dyDescent="0.25">
      <c r="A38675" s="1" t="str">
        <f t="shared" si="1385"/>
        <v>48620</v>
      </c>
      <c r="B38675" s="1" t="str">
        <f>"66840"</f>
        <v>66840</v>
      </c>
      <c r="C38675" s="2">
        <v>5.2077113932784001E-4</v>
      </c>
      <c r="D38675" s="2">
        <v>3.68949232585596E-5</v>
      </c>
      <c r="E38675" s="2">
        <v>2.13447171824973E-4</v>
      </c>
      <c r="F38675" s="2">
        <v>4.7344281698476101E-4</v>
      </c>
    </row>
    <row r="38676" spans="1:6" x14ac:dyDescent="0.25">
      <c r="A38676" s="1" t="str">
        <f t="shared" si="1385"/>
        <v>48620</v>
      </c>
      <c r="B38676" s="1" t="str">
        <f>"67017"</f>
        <v>67017</v>
      </c>
      <c r="C38676" s="2">
        <v>3.5525215937587001E-3</v>
      </c>
      <c r="D38676" s="2">
        <v>9.5926800472255003E-4</v>
      </c>
      <c r="E38676" s="2">
        <v>8.5378868729989296E-4</v>
      </c>
      <c r="F38676" s="2">
        <v>3.2697144548010002E-3</v>
      </c>
    </row>
    <row r="38677" spans="1:6" x14ac:dyDescent="0.25">
      <c r="A38677" s="1" t="str">
        <f t="shared" si="1385"/>
        <v>48620</v>
      </c>
      <c r="B38677" s="1" t="str">
        <f>"67026"</f>
        <v>67026</v>
      </c>
      <c r="C38677" s="2">
        <v>6.8065119611511304E-3</v>
      </c>
      <c r="D38677" s="2">
        <v>3.5419126328217199E-3</v>
      </c>
      <c r="E38677" s="2">
        <v>2.5613660618996701E-3</v>
      </c>
      <c r="F38677" s="2">
        <v>6.4269862405681296E-3</v>
      </c>
    </row>
    <row r="38678" spans="1:6" x14ac:dyDescent="0.25">
      <c r="A38678" s="1" t="str">
        <f t="shared" ref="A38678:A38703" si="1386">"48660"</f>
        <v>48660</v>
      </c>
      <c r="B38678" s="1" t="str">
        <f>"76302"</f>
        <v>76302</v>
      </c>
      <c r="C38678" s="2">
        <v>6.7108453984489405E-2</v>
      </c>
      <c r="D38678" s="2">
        <v>5.9878092506274599E-2</v>
      </c>
      <c r="E38678" s="2">
        <v>0.104974061641745</v>
      </c>
      <c r="F38678" s="2">
        <v>6.7778222493732998E-2</v>
      </c>
    </row>
    <row r="38679" spans="1:6" x14ac:dyDescent="0.25">
      <c r="A38679" s="1" t="str">
        <f t="shared" si="1386"/>
        <v>48660</v>
      </c>
      <c r="B38679" s="1" t="str">
        <f>"76309"</f>
        <v>76309</v>
      </c>
      <c r="C38679" s="2">
        <v>8.1106389108982199E-2</v>
      </c>
      <c r="D38679" s="2">
        <v>5.03167204493844E-2</v>
      </c>
      <c r="E38679" s="2">
        <v>8.5444003661885801E-2</v>
      </c>
      <c r="F38679" s="2">
        <v>7.8542689220787401E-2</v>
      </c>
    </row>
    <row r="38680" spans="1:6" x14ac:dyDescent="0.25">
      <c r="A38680" s="1" t="str">
        <f t="shared" si="1386"/>
        <v>48660</v>
      </c>
      <c r="B38680" s="1" t="str">
        <f>"76369"</f>
        <v>76369</v>
      </c>
      <c r="C38680" s="2">
        <v>0</v>
      </c>
      <c r="D38680" s="2">
        <v>0</v>
      </c>
      <c r="E38680" s="2">
        <v>3.0515715593530597E-4</v>
      </c>
      <c r="F38680" s="2">
        <v>1.0532746308272401E-5</v>
      </c>
    </row>
    <row r="38681" spans="1:6" x14ac:dyDescent="0.25">
      <c r="A38681" s="1" t="str">
        <f t="shared" si="1386"/>
        <v>48660</v>
      </c>
      <c r="B38681" s="1" t="str">
        <f>"76374"</f>
        <v>76374</v>
      </c>
      <c r="C38681" s="2">
        <v>1.0804581142404299E-3</v>
      </c>
      <c r="D38681" s="2">
        <v>0</v>
      </c>
      <c r="E38681" s="2">
        <v>3.0515715593530597E-4</v>
      </c>
      <c r="F38681" s="2">
        <v>9.5847991405278998E-4</v>
      </c>
    </row>
    <row r="38682" spans="1:6" x14ac:dyDescent="0.25">
      <c r="A38682" s="1" t="str">
        <f t="shared" si="1386"/>
        <v>48660</v>
      </c>
      <c r="B38682" s="1" t="str">
        <f>"76370"</f>
        <v>76370</v>
      </c>
      <c r="C38682" s="2">
        <v>0</v>
      </c>
      <c r="D38682" s="2">
        <v>0</v>
      </c>
      <c r="E38682" s="2">
        <v>3.0515715593530597E-4</v>
      </c>
      <c r="F38682" s="2">
        <v>1.0532746308272401E-5</v>
      </c>
    </row>
    <row r="38683" spans="1:6" x14ac:dyDescent="0.25">
      <c r="A38683" s="1" t="str">
        <f t="shared" si="1386"/>
        <v>48660</v>
      </c>
      <c r="B38683" s="1" t="str">
        <f>"76377"</f>
        <v>76377</v>
      </c>
      <c r="C38683" s="2">
        <v>2.0408653268985999E-4</v>
      </c>
      <c r="D38683" s="2">
        <v>0</v>
      </c>
      <c r="E38683" s="2">
        <v>0</v>
      </c>
      <c r="F38683" s="2">
        <v>1.79056687240631E-4</v>
      </c>
    </row>
    <row r="38684" spans="1:6" x14ac:dyDescent="0.25">
      <c r="A38684" s="1" t="str">
        <f t="shared" si="1386"/>
        <v>48660</v>
      </c>
      <c r="B38684" s="1" t="str">
        <f>"76352"</f>
        <v>76352</v>
      </c>
      <c r="C38684" s="2">
        <v>0</v>
      </c>
      <c r="D38684" s="2">
        <v>0</v>
      </c>
      <c r="E38684" s="2">
        <v>3.0515715593530597E-4</v>
      </c>
      <c r="F38684" s="2">
        <v>1.0532746308272401E-5</v>
      </c>
    </row>
    <row r="38685" spans="1:6" x14ac:dyDescent="0.25">
      <c r="A38685" s="1" t="str">
        <f t="shared" si="1386"/>
        <v>48660</v>
      </c>
      <c r="B38685" s="1" t="str">
        <f>"76261"</f>
        <v>76261</v>
      </c>
      <c r="C38685" s="2">
        <v>1.32055991740497E-4</v>
      </c>
      <c r="D38685" s="2">
        <v>0</v>
      </c>
      <c r="E38685" s="2">
        <v>0</v>
      </c>
      <c r="F38685" s="2">
        <v>1.15860209390996E-4</v>
      </c>
    </row>
    <row r="38686" spans="1:6" x14ac:dyDescent="0.25">
      <c r="A38686" s="1" t="str">
        <f t="shared" si="1386"/>
        <v>48660</v>
      </c>
      <c r="B38686" s="1" t="str">
        <f>"76307"</f>
        <v>76307</v>
      </c>
      <c r="C38686" s="2">
        <v>2.0240582006770799E-2</v>
      </c>
      <c r="D38686" s="2">
        <v>6.8005258754631204E-2</v>
      </c>
      <c r="E38686" s="2">
        <v>6.1031431187061303E-4</v>
      </c>
      <c r="F38686" s="2">
        <v>2.3772408417770799E-2</v>
      </c>
    </row>
    <row r="38687" spans="1:6" x14ac:dyDescent="0.25">
      <c r="A38687" s="1" t="str">
        <f t="shared" si="1386"/>
        <v>48660</v>
      </c>
      <c r="B38687" s="1" t="str">
        <f>"76366"</f>
        <v>76366</v>
      </c>
      <c r="C38687" s="2">
        <v>7.2030540949362502E-3</v>
      </c>
      <c r="D38687" s="2">
        <v>7.1710290426676201E-4</v>
      </c>
      <c r="E38687" s="2">
        <v>3.0515715593530597E-4</v>
      </c>
      <c r="F38687" s="2">
        <v>6.3933770091213499E-3</v>
      </c>
    </row>
    <row r="38688" spans="1:6" x14ac:dyDescent="0.25">
      <c r="A38688" s="1" t="str">
        <f t="shared" si="1386"/>
        <v>48660</v>
      </c>
      <c r="B38688" s="1" t="str">
        <f>"76367"</f>
        <v>76367</v>
      </c>
      <c r="C38688" s="2">
        <v>5.2222142188287801E-2</v>
      </c>
      <c r="D38688" s="2">
        <v>3.4659973706226803E-2</v>
      </c>
      <c r="E38688" s="2">
        <v>3.5398230088495498E-2</v>
      </c>
      <c r="F38688" s="2">
        <v>5.0093741442143597E-2</v>
      </c>
    </row>
    <row r="38689" spans="1:6" x14ac:dyDescent="0.25">
      <c r="A38689" s="1" t="str">
        <f t="shared" si="1386"/>
        <v>48660</v>
      </c>
      <c r="B38689" s="1" t="str">
        <f>"76357"</f>
        <v>76357</v>
      </c>
      <c r="C38689" s="2">
        <v>2.47304857259478E-3</v>
      </c>
      <c r="D38689" s="2">
        <v>2.3903430142225399E-4</v>
      </c>
      <c r="E38689" s="2">
        <v>6.1031431187061303E-4</v>
      </c>
      <c r="F38689" s="2">
        <v>2.2118767247372001E-3</v>
      </c>
    </row>
    <row r="38690" spans="1:6" x14ac:dyDescent="0.25">
      <c r="A38690" s="1" t="str">
        <f t="shared" si="1386"/>
        <v>48660</v>
      </c>
      <c r="B38690" s="1" t="str">
        <f>"76351"</f>
        <v>76351</v>
      </c>
      <c r="C38690" s="2">
        <v>2.1609162284808701E-4</v>
      </c>
      <c r="D38690" s="2">
        <v>0</v>
      </c>
      <c r="E38690" s="2">
        <v>0</v>
      </c>
      <c r="F38690" s="2">
        <v>1.8958943354890301E-4</v>
      </c>
    </row>
    <row r="38691" spans="1:6" x14ac:dyDescent="0.25">
      <c r="A38691" s="1" t="str">
        <f t="shared" si="1386"/>
        <v>48660</v>
      </c>
      <c r="B38691" s="1" t="str">
        <f>"76230"</f>
        <v>76230</v>
      </c>
      <c r="C38691" s="2">
        <v>1.0084275732910701E-3</v>
      </c>
      <c r="D38691" s="2">
        <v>1.19517150711127E-4</v>
      </c>
      <c r="E38691" s="2">
        <v>0</v>
      </c>
      <c r="F38691" s="2">
        <v>8.9528343620315495E-4</v>
      </c>
    </row>
    <row r="38692" spans="1:6" x14ac:dyDescent="0.25">
      <c r="A38692" s="1" t="str">
        <f t="shared" si="1386"/>
        <v>48660</v>
      </c>
      <c r="B38692" s="1" t="str">
        <f>"76354"</f>
        <v>76354</v>
      </c>
      <c r="C38692" s="2">
        <v>6.3999135633508605E-2</v>
      </c>
      <c r="D38692" s="2">
        <v>4.19505198996055E-2</v>
      </c>
      <c r="E38692" s="2">
        <v>4.8825144949648999E-2</v>
      </c>
      <c r="F38692" s="2">
        <v>6.1532303932927399E-2</v>
      </c>
    </row>
    <row r="38693" spans="1:6" x14ac:dyDescent="0.25">
      <c r="A38693" s="1" t="str">
        <f t="shared" si="1386"/>
        <v>48660</v>
      </c>
      <c r="B38693" s="1" t="str">
        <f>"76360"</f>
        <v>76360</v>
      </c>
      <c r="C38693" s="2">
        <v>2.2785661120315E-2</v>
      </c>
      <c r="D38693" s="2">
        <v>2.1871638580136198E-2</v>
      </c>
      <c r="E38693" s="2">
        <v>1.2816600549282801E-2</v>
      </c>
      <c r="F38693" s="2">
        <v>2.2361020412462299E-2</v>
      </c>
    </row>
    <row r="38694" spans="1:6" x14ac:dyDescent="0.25">
      <c r="A38694" s="1" t="str">
        <f t="shared" si="1386"/>
        <v>48660</v>
      </c>
      <c r="B38694" s="1" t="str">
        <f>"76311"</f>
        <v>76311</v>
      </c>
      <c r="C38694" s="2">
        <v>0.17613868280150699</v>
      </c>
      <c r="D38694" s="2">
        <v>6.7288155850364503E-2</v>
      </c>
      <c r="E38694" s="2">
        <v>0.13182789136405201</v>
      </c>
      <c r="F38694" s="2">
        <v>0.165016536411703</v>
      </c>
    </row>
    <row r="38695" spans="1:6" x14ac:dyDescent="0.25">
      <c r="A38695" s="1" t="str">
        <f t="shared" si="1386"/>
        <v>48660</v>
      </c>
      <c r="B38695" s="1" t="str">
        <f>"76310"</f>
        <v>76310</v>
      </c>
      <c r="C38695" s="2">
        <v>0.10810583687483399</v>
      </c>
      <c r="D38695" s="2">
        <v>5.1989960559340201E-2</v>
      </c>
      <c r="E38695" s="2">
        <v>8.6969789441562403E-2</v>
      </c>
      <c r="F38695" s="2">
        <v>0.10243095784794901</v>
      </c>
    </row>
    <row r="38696" spans="1:6" x14ac:dyDescent="0.25">
      <c r="A38696" s="1" t="str">
        <f t="shared" si="1386"/>
        <v>48660</v>
      </c>
      <c r="B38696" s="1" t="str">
        <f>"76379"</f>
        <v>76379</v>
      </c>
      <c r="C38696" s="2">
        <v>2.4370333021200901E-3</v>
      </c>
      <c r="D38696" s="2">
        <v>0</v>
      </c>
      <c r="E38696" s="2">
        <v>3.0515715593530597E-4</v>
      </c>
      <c r="F38696" s="2">
        <v>2.1486802468875699E-3</v>
      </c>
    </row>
    <row r="38697" spans="1:6" x14ac:dyDescent="0.25">
      <c r="A38697" s="1" t="str">
        <f t="shared" si="1386"/>
        <v>48660</v>
      </c>
      <c r="B38697" s="1" t="str">
        <f>"76228"</f>
        <v>76228</v>
      </c>
      <c r="C38697" s="2">
        <v>5.2702345794616899E-3</v>
      </c>
      <c r="D38697" s="2">
        <v>8.3662005497788905E-4</v>
      </c>
      <c r="E38697" s="2">
        <v>9.1547146780592004E-4</v>
      </c>
      <c r="F38697" s="2">
        <v>4.7292030924143101E-3</v>
      </c>
    </row>
    <row r="38698" spans="1:6" x14ac:dyDescent="0.25">
      <c r="A38698" s="1" t="str">
        <f t="shared" si="1386"/>
        <v>48660</v>
      </c>
      <c r="B38698" s="1" t="str">
        <f>"76306"</f>
        <v>76306</v>
      </c>
      <c r="C38698" s="2">
        <v>8.91137842445196E-2</v>
      </c>
      <c r="D38698" s="2">
        <v>7.5534839249432204E-2</v>
      </c>
      <c r="E38698" s="2">
        <v>0.132133048519987</v>
      </c>
      <c r="F38698" s="2">
        <v>8.9401950664616203E-2</v>
      </c>
    </row>
    <row r="38699" spans="1:6" x14ac:dyDescent="0.25">
      <c r="A38699" s="1" t="str">
        <f t="shared" si="1386"/>
        <v>48660</v>
      </c>
      <c r="B38699" s="1" t="str">
        <f>"76308"</f>
        <v>76308</v>
      </c>
      <c r="C38699" s="2">
        <v>0.12157554803236501</v>
      </c>
      <c r="D38699" s="2">
        <v>0.20389625911318199</v>
      </c>
      <c r="E38699" s="2">
        <v>0.13030210558437499</v>
      </c>
      <c r="F38699" s="2">
        <v>0.129131469739419</v>
      </c>
    </row>
    <row r="38700" spans="1:6" x14ac:dyDescent="0.25">
      <c r="A38700" s="1" t="str">
        <f t="shared" si="1386"/>
        <v>48660</v>
      </c>
      <c r="B38700" s="1" t="str">
        <f>"76365"</f>
        <v>76365</v>
      </c>
      <c r="C38700" s="2">
        <v>3.2353717976422003E-2</v>
      </c>
      <c r="D38700" s="2">
        <v>2.3903430142225401E-2</v>
      </c>
      <c r="E38700" s="2">
        <v>1.00701861458651E-2</v>
      </c>
      <c r="F38700" s="2">
        <v>3.0839881190621601E-2</v>
      </c>
    </row>
    <row r="38701" spans="1:6" x14ac:dyDescent="0.25">
      <c r="A38701" s="1" t="str">
        <f t="shared" si="1386"/>
        <v>48660</v>
      </c>
      <c r="B38701" s="1" t="str">
        <f>"76301"</f>
        <v>76301</v>
      </c>
      <c r="C38701" s="2">
        <v>0.109498427333189</v>
      </c>
      <c r="D38701" s="2">
        <v>0.27763834110194802</v>
      </c>
      <c r="E38701" s="2">
        <v>0.199877937137625</v>
      </c>
      <c r="F38701" s="2">
        <v>0.12743569758378701</v>
      </c>
    </row>
    <row r="38702" spans="1:6" x14ac:dyDescent="0.25">
      <c r="A38702" s="1" t="str">
        <f t="shared" si="1386"/>
        <v>48660</v>
      </c>
      <c r="B38702" s="1" t="str">
        <f>"76305"</f>
        <v>76305</v>
      </c>
      <c r="C38702" s="2">
        <v>3.05889697231626E-2</v>
      </c>
      <c r="D38702" s="2">
        <v>2.03179156208915E-2</v>
      </c>
      <c r="E38702" s="2">
        <v>1.6173329264571198E-2</v>
      </c>
      <c r="F38702" s="2">
        <v>2.9186240020222801E-2</v>
      </c>
    </row>
    <row r="38703" spans="1:6" x14ac:dyDescent="0.25">
      <c r="A38703" s="1" t="str">
        <f t="shared" si="1386"/>
        <v>48660</v>
      </c>
      <c r="B38703" s="1" t="str">
        <f>"76389"</f>
        <v>76389</v>
      </c>
      <c r="C38703" s="2">
        <v>5.1381785877211896E-3</v>
      </c>
      <c r="D38703" s="2">
        <v>8.3662005497788905E-4</v>
      </c>
      <c r="E38703" s="2">
        <v>1.22062862374122E-3</v>
      </c>
      <c r="F38703" s="2">
        <v>4.6238756293315898E-3</v>
      </c>
    </row>
    <row r="38704" spans="1:6" x14ac:dyDescent="0.25">
      <c r="A38704" s="1" t="str">
        <f t="shared" ref="A38704:A38737" si="1387">"48700"</f>
        <v>48700</v>
      </c>
      <c r="B38704" s="1" t="str">
        <f>"17758"</f>
        <v>17758</v>
      </c>
      <c r="C38704" s="2">
        <v>1.44537753627165E-3</v>
      </c>
      <c r="D38704" s="2">
        <v>1.4095851792186799E-3</v>
      </c>
      <c r="E38704" s="2">
        <v>0</v>
      </c>
      <c r="F38704" s="2">
        <v>1.3915182110900699E-3</v>
      </c>
    </row>
    <row r="38705" spans="1:6" x14ac:dyDescent="0.25">
      <c r="A38705" s="1" t="str">
        <f t="shared" si="1387"/>
        <v>48700</v>
      </c>
      <c r="B38705" s="1" t="str">
        <f>"17846"</f>
        <v>17846</v>
      </c>
      <c r="C38705" s="2">
        <v>2.3784693634850001E-4</v>
      </c>
      <c r="D38705" s="2">
        <v>0</v>
      </c>
      <c r="E38705" s="2">
        <v>0</v>
      </c>
      <c r="F38705" s="2">
        <v>2.10345776095011E-4</v>
      </c>
    </row>
    <row r="38706" spans="1:6" x14ac:dyDescent="0.25">
      <c r="A38706" s="1" t="str">
        <f t="shared" si="1387"/>
        <v>48700</v>
      </c>
      <c r="B38706" s="1" t="str">
        <f>"17724"</f>
        <v>17724</v>
      </c>
      <c r="C38706" s="2">
        <v>4.39102036335693E-4</v>
      </c>
      <c r="D38706" s="2">
        <v>0</v>
      </c>
      <c r="E38706" s="2">
        <v>0</v>
      </c>
      <c r="F38706" s="2">
        <v>3.8833066356002099E-4</v>
      </c>
    </row>
    <row r="38707" spans="1:6" x14ac:dyDescent="0.25">
      <c r="A38707" s="1" t="str">
        <f t="shared" si="1387"/>
        <v>48700</v>
      </c>
      <c r="B38707" s="1" t="str">
        <f>"17705"</f>
        <v>17705</v>
      </c>
      <c r="C38707" s="2">
        <v>0</v>
      </c>
      <c r="D38707" s="2">
        <v>2.0136931131695501E-4</v>
      </c>
      <c r="E38707" s="2">
        <v>0</v>
      </c>
      <c r="F38707" s="2">
        <v>1.6180444315000801E-5</v>
      </c>
    </row>
    <row r="38708" spans="1:6" x14ac:dyDescent="0.25">
      <c r="A38708" s="1" t="str">
        <f t="shared" si="1387"/>
        <v>48700</v>
      </c>
      <c r="B38708" s="1" t="str">
        <f>"17752"</f>
        <v>17752</v>
      </c>
      <c r="C38708" s="2">
        <v>3.8128693488482697E-2</v>
      </c>
      <c r="D38708" s="2">
        <v>2.7386226339105899E-2</v>
      </c>
      <c r="E38708" s="2">
        <v>2.2018348623853198E-2</v>
      </c>
      <c r="F38708" s="2">
        <v>3.6697247706422E-2</v>
      </c>
    </row>
    <row r="38709" spans="1:6" x14ac:dyDescent="0.25">
      <c r="A38709" s="1" t="str">
        <f t="shared" si="1387"/>
        <v>48700</v>
      </c>
      <c r="B38709" s="1" t="str">
        <f>"16930"</f>
        <v>16930</v>
      </c>
      <c r="C38709" s="2">
        <v>2.0491428362332301E-3</v>
      </c>
      <c r="D38709" s="2">
        <v>6.0410793395086499E-4</v>
      </c>
      <c r="E38709" s="2">
        <v>0</v>
      </c>
      <c r="F38709" s="2">
        <v>1.8607510962251001E-3</v>
      </c>
    </row>
    <row r="38710" spans="1:6" x14ac:dyDescent="0.25">
      <c r="A38710" s="1" t="str">
        <f t="shared" si="1387"/>
        <v>48700</v>
      </c>
      <c r="B38710" s="1" t="str">
        <f>"17737"</f>
        <v>17737</v>
      </c>
      <c r="C38710" s="2">
        <v>5.6680754523665701E-2</v>
      </c>
      <c r="D38710" s="2">
        <v>3.30245670559806E-2</v>
      </c>
      <c r="E38710" s="2">
        <v>3.8073394495412798E-2</v>
      </c>
      <c r="F38710" s="2">
        <v>5.4123586233677898E-2</v>
      </c>
    </row>
    <row r="38711" spans="1:6" x14ac:dyDescent="0.25">
      <c r="A38711" s="1" t="str">
        <f t="shared" si="1387"/>
        <v>48700</v>
      </c>
      <c r="B38711" s="1" t="str">
        <f>"17728"</f>
        <v>17728</v>
      </c>
      <c r="C38711" s="2">
        <v>4.19891322246006E-2</v>
      </c>
      <c r="D38711" s="2">
        <v>1.49013290374546E-2</v>
      </c>
      <c r="E38711" s="2">
        <v>2.4770642201834801E-2</v>
      </c>
      <c r="F38711" s="2">
        <v>3.9205216575247101E-2</v>
      </c>
    </row>
    <row r="38712" spans="1:6" x14ac:dyDescent="0.25">
      <c r="A38712" s="1" t="str">
        <f t="shared" si="1387"/>
        <v>48700</v>
      </c>
      <c r="B38712" s="1" t="str">
        <f>"17763"</f>
        <v>17763</v>
      </c>
      <c r="C38712" s="2">
        <v>7.3183672722615495E-5</v>
      </c>
      <c r="D38712" s="2">
        <v>1.0068465565847701E-3</v>
      </c>
      <c r="E38712" s="2">
        <v>0</v>
      </c>
      <c r="F38712" s="2">
        <v>1.45623998835008E-4</v>
      </c>
    </row>
    <row r="38713" spans="1:6" x14ac:dyDescent="0.25">
      <c r="A38713" s="1" t="str">
        <f t="shared" si="1387"/>
        <v>48700</v>
      </c>
      <c r="B38713" s="1" t="str">
        <f>"17701"</f>
        <v>17701</v>
      </c>
      <c r="C38713" s="2">
        <v>0.39471613882942702</v>
      </c>
      <c r="D38713" s="2">
        <v>0.465364478453483</v>
      </c>
      <c r="E38713" s="2">
        <v>0.62155963302752204</v>
      </c>
      <c r="F38713" s="2">
        <v>0.40839441451062197</v>
      </c>
    </row>
    <row r="38714" spans="1:6" x14ac:dyDescent="0.25">
      <c r="A38714" s="1" t="str">
        <f t="shared" si="1387"/>
        <v>48700</v>
      </c>
      <c r="B38714" s="1" t="str">
        <f>"17771"</f>
        <v>17771</v>
      </c>
      <c r="C38714" s="2">
        <v>2.77914997164132E-2</v>
      </c>
      <c r="D38714" s="2">
        <v>6.0410793395086499E-3</v>
      </c>
      <c r="E38714" s="2">
        <v>6.4220183486238501E-3</v>
      </c>
      <c r="F38714" s="2">
        <v>2.52900344643463E-2</v>
      </c>
    </row>
    <row r="38715" spans="1:6" x14ac:dyDescent="0.25">
      <c r="A38715" s="1" t="str">
        <f t="shared" si="1387"/>
        <v>48700</v>
      </c>
      <c r="B38715" s="1" t="str">
        <f>"17744"</f>
        <v>17744</v>
      </c>
      <c r="C38715" s="2">
        <v>2.6547377280128799E-2</v>
      </c>
      <c r="D38715" s="2">
        <v>9.6657269432138503E-3</v>
      </c>
      <c r="E38715" s="2">
        <v>5.5045871559632996E-3</v>
      </c>
      <c r="F38715" s="2">
        <v>2.4448651359966302E-2</v>
      </c>
    </row>
    <row r="38716" spans="1:6" x14ac:dyDescent="0.25">
      <c r="A38716" s="1" t="str">
        <f t="shared" si="1387"/>
        <v>48700</v>
      </c>
      <c r="B38716" s="1" t="str">
        <f>"17739"</f>
        <v>17739</v>
      </c>
      <c r="C38716" s="2">
        <v>5.3058162723896196E-4</v>
      </c>
      <c r="D38716" s="2">
        <v>2.0136931131695501E-4</v>
      </c>
      <c r="E38716" s="2">
        <v>0</v>
      </c>
      <c r="F38716" s="2">
        <v>4.8541332945002598E-4</v>
      </c>
    </row>
    <row r="38717" spans="1:6" x14ac:dyDescent="0.25">
      <c r="A38717" s="1" t="str">
        <f t="shared" si="1387"/>
        <v>48700</v>
      </c>
      <c r="B38717" s="1" t="str">
        <f>"16938"</f>
        <v>16938</v>
      </c>
      <c r="C38717" s="2">
        <v>2.0125509998719202E-3</v>
      </c>
      <c r="D38717" s="2">
        <v>8.05477245267821E-4</v>
      </c>
      <c r="E38717" s="2">
        <v>0</v>
      </c>
      <c r="F38717" s="2">
        <v>1.8445706519100999E-3</v>
      </c>
    </row>
    <row r="38718" spans="1:6" x14ac:dyDescent="0.25">
      <c r="A38718" s="1" t="str">
        <f t="shared" si="1387"/>
        <v>48700</v>
      </c>
      <c r="B38718" s="1" t="str">
        <f>"17765"</f>
        <v>17765</v>
      </c>
      <c r="C38718" s="2">
        <v>2.5614285452915399E-3</v>
      </c>
      <c r="D38718" s="2">
        <v>6.0410793395086499E-4</v>
      </c>
      <c r="E38718" s="2">
        <v>0</v>
      </c>
      <c r="F38718" s="2">
        <v>2.3138035370451199E-3</v>
      </c>
    </row>
    <row r="38719" spans="1:6" x14ac:dyDescent="0.25">
      <c r="A38719" s="1" t="str">
        <f t="shared" si="1387"/>
        <v>48700</v>
      </c>
      <c r="B38719" s="1" t="str">
        <f>"17703"</f>
        <v>17703</v>
      </c>
      <c r="C38719" s="2">
        <v>1.29901019082642E-2</v>
      </c>
      <c r="D38719" s="2">
        <v>6.3028594442207E-2</v>
      </c>
      <c r="E38719" s="2">
        <v>4.5871559633027498E-4</v>
      </c>
      <c r="F38719" s="2">
        <v>1.65687749785609E-2</v>
      </c>
    </row>
    <row r="38720" spans="1:6" x14ac:dyDescent="0.25">
      <c r="A38720" s="1" t="str">
        <f t="shared" si="1387"/>
        <v>48700</v>
      </c>
      <c r="B38720" s="1" t="str">
        <f>"17754"</f>
        <v>17754</v>
      </c>
      <c r="C38720" s="2">
        <v>0.108805825420348</v>
      </c>
      <c r="D38720" s="2">
        <v>0.13391059202577499</v>
      </c>
      <c r="E38720" s="2">
        <v>7.1100917431192595E-2</v>
      </c>
      <c r="F38720" s="2">
        <v>0.10949306667961101</v>
      </c>
    </row>
    <row r="38721" spans="1:6" x14ac:dyDescent="0.25">
      <c r="A38721" s="1" t="str">
        <f t="shared" si="1387"/>
        <v>48700</v>
      </c>
      <c r="B38721" s="1" t="str">
        <f>"17774"</f>
        <v>17774</v>
      </c>
      <c r="C38721" s="2">
        <v>9.4223978630367505E-3</v>
      </c>
      <c r="D38721" s="2">
        <v>1.81232380185259E-3</v>
      </c>
      <c r="E38721" s="2">
        <v>1.8348623853210999E-3</v>
      </c>
      <c r="F38721" s="2">
        <v>8.5432745983204592E-3</v>
      </c>
    </row>
    <row r="38722" spans="1:6" x14ac:dyDescent="0.25">
      <c r="A38722" s="1" t="str">
        <f t="shared" si="1387"/>
        <v>48700</v>
      </c>
      <c r="B38722" s="1" t="str">
        <f>"17702"</f>
        <v>17702</v>
      </c>
      <c r="C38722" s="2">
        <v>8.7875295021680594E-2</v>
      </c>
      <c r="D38722" s="2">
        <v>5.6987515102698297E-2</v>
      </c>
      <c r="E38722" s="2">
        <v>6.4220183486238494E-2</v>
      </c>
      <c r="F38722" s="2">
        <v>8.4559001990194602E-2</v>
      </c>
    </row>
    <row r="38723" spans="1:6" x14ac:dyDescent="0.25">
      <c r="A38723" s="1" t="str">
        <f t="shared" si="1387"/>
        <v>48700</v>
      </c>
      <c r="B38723" s="1" t="str">
        <f>"17747"</f>
        <v>17747</v>
      </c>
      <c r="C38723" s="2">
        <v>1.8295918180653799E-5</v>
      </c>
      <c r="D38723" s="2">
        <v>0</v>
      </c>
      <c r="E38723" s="2">
        <v>0</v>
      </c>
      <c r="F38723" s="2">
        <v>1.6180444315000801E-5</v>
      </c>
    </row>
    <row r="38724" spans="1:6" x14ac:dyDescent="0.25">
      <c r="A38724" s="1" t="str">
        <f t="shared" si="1387"/>
        <v>48700</v>
      </c>
      <c r="B38724" s="1" t="str">
        <f>"17776"</f>
        <v>17776</v>
      </c>
      <c r="C38724" s="2">
        <v>2.6712040543754598E-3</v>
      </c>
      <c r="D38724" s="2">
        <v>2.0136931131695501E-3</v>
      </c>
      <c r="E38724" s="2">
        <v>0</v>
      </c>
      <c r="F38724" s="2">
        <v>2.52414931314013E-3</v>
      </c>
    </row>
    <row r="38725" spans="1:6" x14ac:dyDescent="0.25">
      <c r="A38725" s="1" t="str">
        <f t="shared" si="1387"/>
        <v>48700</v>
      </c>
      <c r="B38725" s="1" t="str">
        <f>"17810"</f>
        <v>17810</v>
      </c>
      <c r="C38725" s="2">
        <v>8.3429386903781707E-3</v>
      </c>
      <c r="D38725" s="2">
        <v>5.0342327829238798E-3</v>
      </c>
      <c r="E38725" s="2">
        <v>9.1743119266054997E-4</v>
      </c>
      <c r="F38725" s="2">
        <v>7.8151546041454207E-3</v>
      </c>
    </row>
    <row r="38726" spans="1:6" x14ac:dyDescent="0.25">
      <c r="A38726" s="1" t="str">
        <f t="shared" si="1387"/>
        <v>48700</v>
      </c>
      <c r="B38726" s="1" t="str">
        <f>"17740"</f>
        <v>17740</v>
      </c>
      <c r="C38726" s="2">
        <v>8.3429386903781697E-2</v>
      </c>
      <c r="D38726" s="2">
        <v>5.9001208215867899E-2</v>
      </c>
      <c r="E38726" s="2">
        <v>7.4770642201834797E-2</v>
      </c>
      <c r="F38726" s="2">
        <v>8.11611086840444E-2</v>
      </c>
    </row>
    <row r="38727" spans="1:6" x14ac:dyDescent="0.25">
      <c r="A38727" s="1" t="str">
        <f t="shared" si="1387"/>
        <v>48700</v>
      </c>
      <c r="B38727" s="1" t="str">
        <f>"17720"</f>
        <v>17720</v>
      </c>
      <c r="C38727" s="2">
        <v>1.8295918180653799E-5</v>
      </c>
      <c r="D38727" s="2">
        <v>2.0136931131695501E-4</v>
      </c>
      <c r="E38727" s="2">
        <v>0</v>
      </c>
      <c r="F38727" s="2">
        <v>3.2360888630001698E-5</v>
      </c>
    </row>
    <row r="38728" spans="1:6" x14ac:dyDescent="0.25">
      <c r="A38728" s="1" t="str">
        <f t="shared" si="1387"/>
        <v>48700</v>
      </c>
      <c r="B38728" s="1" t="str">
        <f>"17772"</f>
        <v>17772</v>
      </c>
      <c r="C38728" s="2">
        <v>7.3183672722615495E-5</v>
      </c>
      <c r="D38728" s="2">
        <v>0</v>
      </c>
      <c r="E38728" s="2">
        <v>0</v>
      </c>
      <c r="F38728" s="2">
        <v>6.4721777260003504E-5</v>
      </c>
    </row>
    <row r="38729" spans="1:6" x14ac:dyDescent="0.25">
      <c r="A38729" s="1" t="str">
        <f t="shared" si="1387"/>
        <v>48700</v>
      </c>
      <c r="B38729" s="1" t="str">
        <f>"17814"</f>
        <v>17814</v>
      </c>
      <c r="C38729" s="2">
        <v>1.2075305999231501E-3</v>
      </c>
      <c r="D38729" s="2">
        <v>0</v>
      </c>
      <c r="E38729" s="2">
        <v>0</v>
      </c>
      <c r="F38729" s="2">
        <v>1.06790932479005E-3</v>
      </c>
    </row>
    <row r="38730" spans="1:6" x14ac:dyDescent="0.25">
      <c r="A38730" s="1" t="str">
        <f t="shared" si="1387"/>
        <v>48700</v>
      </c>
      <c r="B38730" s="1" t="str">
        <f>"17727"</f>
        <v>17727</v>
      </c>
      <c r="C38730" s="2">
        <v>6.5865305450353996E-4</v>
      </c>
      <c r="D38730" s="2">
        <v>1.20821586790173E-3</v>
      </c>
      <c r="E38730" s="2">
        <v>4.5871559633027498E-4</v>
      </c>
      <c r="F38730" s="2">
        <v>6.9575910554503799E-4</v>
      </c>
    </row>
    <row r="38731" spans="1:6" x14ac:dyDescent="0.25">
      <c r="A38731" s="1" t="str">
        <f t="shared" si="1387"/>
        <v>48700</v>
      </c>
      <c r="B38731" s="1" t="str">
        <f>"17762"</f>
        <v>17762</v>
      </c>
      <c r="C38731" s="2">
        <v>5.4887754541961598E-5</v>
      </c>
      <c r="D38731" s="2">
        <v>2.0136931131695501E-4</v>
      </c>
      <c r="E38731" s="2">
        <v>0</v>
      </c>
      <c r="F38731" s="2">
        <v>6.4721777260003504E-5</v>
      </c>
    </row>
    <row r="38732" spans="1:6" x14ac:dyDescent="0.25">
      <c r="A38732" s="1" t="str">
        <f t="shared" si="1387"/>
        <v>48700</v>
      </c>
      <c r="B38732" s="1" t="str">
        <f>"17769"</f>
        <v>17769</v>
      </c>
      <c r="C38732" s="2">
        <v>6.7694897268419396E-4</v>
      </c>
      <c r="D38732" s="2">
        <v>6.0410793395086499E-4</v>
      </c>
      <c r="E38732" s="2">
        <v>0</v>
      </c>
      <c r="F38732" s="2">
        <v>6.4721777260003501E-4</v>
      </c>
    </row>
    <row r="38733" spans="1:6" x14ac:dyDescent="0.25">
      <c r="A38733" s="1" t="str">
        <f t="shared" si="1387"/>
        <v>48700</v>
      </c>
      <c r="B38733" s="1" t="str">
        <f>"17745"</f>
        <v>17745</v>
      </c>
      <c r="C38733" s="2">
        <v>1.9759591635106202E-3</v>
      </c>
      <c r="D38733" s="2">
        <v>4.0273862263391001E-4</v>
      </c>
      <c r="E38733" s="2">
        <v>0</v>
      </c>
      <c r="F38733" s="2">
        <v>1.7798488746500901E-3</v>
      </c>
    </row>
    <row r="38734" spans="1:6" x14ac:dyDescent="0.25">
      <c r="A38734" s="1" t="str">
        <f t="shared" si="1387"/>
        <v>48700</v>
      </c>
      <c r="B38734" s="1" t="str">
        <f>"17723"</f>
        <v>17723</v>
      </c>
      <c r="C38734" s="2">
        <v>1.3356020271877299E-3</v>
      </c>
      <c r="D38734" s="2">
        <v>1.20821586790173E-3</v>
      </c>
      <c r="E38734" s="2">
        <v>4.5871559633027498E-4</v>
      </c>
      <c r="F38734" s="2">
        <v>1.29443554520007E-3</v>
      </c>
    </row>
    <row r="38735" spans="1:6" x14ac:dyDescent="0.25">
      <c r="A38735" s="1" t="str">
        <f t="shared" si="1387"/>
        <v>48700</v>
      </c>
      <c r="B38735" s="1" t="str">
        <f>"17742"</f>
        <v>17742</v>
      </c>
      <c r="C38735" s="2">
        <v>4.75693872697001E-4</v>
      </c>
      <c r="D38735" s="2">
        <v>4.0273862263391001E-4</v>
      </c>
      <c r="E38735" s="2">
        <v>9.1743119266054997E-4</v>
      </c>
      <c r="F38735" s="2">
        <v>4.8541332945002598E-4</v>
      </c>
    </row>
    <row r="38736" spans="1:6" x14ac:dyDescent="0.25">
      <c r="A38736" s="1" t="str">
        <f t="shared" si="1387"/>
        <v>48700</v>
      </c>
      <c r="B38736" s="1" t="str">
        <f>"17721"</f>
        <v>17721</v>
      </c>
      <c r="C38736" s="2">
        <v>0</v>
      </c>
      <c r="D38736" s="2">
        <v>2.0136931131695501E-4</v>
      </c>
      <c r="E38736" s="2">
        <v>0</v>
      </c>
      <c r="F38736" s="2">
        <v>1.6180444315000801E-5</v>
      </c>
    </row>
    <row r="38737" spans="1:6" x14ac:dyDescent="0.25">
      <c r="A38737" s="1" t="str">
        <f t="shared" si="1387"/>
        <v>48700</v>
      </c>
      <c r="B38737" s="1" t="str">
        <f>"17756"</f>
        <v>17756</v>
      </c>
      <c r="C38737" s="2">
        <v>8.4764988930969495E-2</v>
      </c>
      <c r="D38737" s="2">
        <v>0.112565445026178</v>
      </c>
      <c r="E38737" s="2">
        <v>6.6513761467889898E-2</v>
      </c>
      <c r="F38737" s="2">
        <v>8.6355031309159697E-2</v>
      </c>
    </row>
    <row r="38738" spans="1:6" x14ac:dyDescent="0.25">
      <c r="A38738" s="1" t="str">
        <f t="shared" ref="A38738:A38750" si="1388">"48780"</f>
        <v>48780</v>
      </c>
      <c r="B38738" s="1" t="str">
        <f>"58853"</f>
        <v>58853</v>
      </c>
      <c r="C38738" s="2">
        <v>1.91468177988818E-4</v>
      </c>
      <c r="D38738" s="2">
        <v>0</v>
      </c>
      <c r="E38738" s="2">
        <v>9.5877277085330696E-4</v>
      </c>
      <c r="F38738" s="2">
        <v>2.03514008547588E-4</v>
      </c>
    </row>
    <row r="38739" spans="1:6" x14ac:dyDescent="0.25">
      <c r="A38739" s="1" t="str">
        <f t="shared" si="1388"/>
        <v>48780</v>
      </c>
      <c r="B38739" s="1" t="str">
        <f>"58849"</f>
        <v>58849</v>
      </c>
      <c r="C38739" s="2">
        <v>1.7347016925786898E-2</v>
      </c>
      <c r="D38739" s="2">
        <v>2.1505376344086E-3</v>
      </c>
      <c r="E38739" s="2">
        <v>1.9175455417066101E-2</v>
      </c>
      <c r="F38739" s="2">
        <v>1.62132826809578E-2</v>
      </c>
    </row>
    <row r="38740" spans="1:6" x14ac:dyDescent="0.25">
      <c r="A38740" s="1" t="str">
        <f t="shared" si="1388"/>
        <v>48780</v>
      </c>
      <c r="B38740" s="1" t="str">
        <f>"58843"</f>
        <v>58843</v>
      </c>
      <c r="C38740" s="2">
        <v>1.17944397641112E-2</v>
      </c>
      <c r="D38740" s="2">
        <v>2.1505376344086E-3</v>
      </c>
      <c r="E38740" s="2">
        <v>1.4381591562799599E-2</v>
      </c>
      <c r="F38740" s="2">
        <v>1.11254324672681E-2</v>
      </c>
    </row>
    <row r="38741" spans="1:6" x14ac:dyDescent="0.25">
      <c r="A38741" s="1" t="str">
        <f t="shared" si="1388"/>
        <v>48780</v>
      </c>
      <c r="B38741" s="1" t="str">
        <f>"58801"</f>
        <v>58801</v>
      </c>
      <c r="C38741" s="2">
        <v>0.73251895534961997</v>
      </c>
      <c r="D38741" s="2">
        <v>0.652473118279569</v>
      </c>
      <c r="E38741" s="2">
        <v>0.92042186001917503</v>
      </c>
      <c r="F38741" s="2">
        <v>0.73285394477986499</v>
      </c>
    </row>
    <row r="38742" spans="1:6" x14ac:dyDescent="0.25">
      <c r="A38742" s="1" t="str">
        <f t="shared" si="1388"/>
        <v>48780</v>
      </c>
      <c r="B38742" s="1" t="str">
        <f>"58852"</f>
        <v>58852</v>
      </c>
      <c r="C38742" s="2">
        <v>4.0323198284445097E-2</v>
      </c>
      <c r="D38742" s="2">
        <v>2.1505376344085999E-2</v>
      </c>
      <c r="E38742" s="2">
        <v>3.16395014381591E-2</v>
      </c>
      <c r="F38742" s="2">
        <v>3.8531985618343298E-2</v>
      </c>
    </row>
    <row r="38743" spans="1:6" x14ac:dyDescent="0.25">
      <c r="A38743" s="1" t="str">
        <f t="shared" si="1388"/>
        <v>48780</v>
      </c>
      <c r="B38743" s="1" t="str">
        <f>"58856"</f>
        <v>58856</v>
      </c>
      <c r="C38743" s="2">
        <v>2.5656735850501599E-3</v>
      </c>
      <c r="D38743" s="2">
        <v>1.72043010752688E-3</v>
      </c>
      <c r="E38743" s="2">
        <v>9.5877277085330696E-4</v>
      </c>
      <c r="F38743" s="2">
        <v>2.4421681025710599E-3</v>
      </c>
    </row>
    <row r="38744" spans="1:6" x14ac:dyDescent="0.25">
      <c r="A38744" s="1" t="str">
        <f t="shared" si="1388"/>
        <v>48780</v>
      </c>
      <c r="B38744" s="1" t="str">
        <f>"58755"</f>
        <v>58755</v>
      </c>
      <c r="C38744" s="2">
        <v>1.83809450869265E-3</v>
      </c>
      <c r="D38744" s="2">
        <v>8.6021505376343999E-4</v>
      </c>
      <c r="E38744" s="2">
        <v>9.5877277085330696E-4</v>
      </c>
      <c r="F38744" s="2">
        <v>1.7298690726545E-3</v>
      </c>
    </row>
    <row r="38745" spans="1:6" x14ac:dyDescent="0.25">
      <c r="A38745" s="1" t="str">
        <f t="shared" si="1388"/>
        <v>48780</v>
      </c>
      <c r="B38745" s="1" t="str">
        <f>"58794"</f>
        <v>58794</v>
      </c>
      <c r="C38745" s="2">
        <v>7.6587271195527302E-5</v>
      </c>
      <c r="D38745" s="2">
        <v>0</v>
      </c>
      <c r="E38745" s="2">
        <v>0</v>
      </c>
      <c r="F38745" s="2">
        <v>6.7838002849196095E-5</v>
      </c>
    </row>
    <row r="38746" spans="1:6" x14ac:dyDescent="0.25">
      <c r="A38746" s="1" t="str">
        <f t="shared" si="1388"/>
        <v>48780</v>
      </c>
      <c r="B38746" s="1" t="str">
        <f>"58802"</f>
        <v>58802</v>
      </c>
      <c r="C38746" s="2">
        <v>7.9957111128130504E-2</v>
      </c>
      <c r="D38746" s="2">
        <v>0.24860215053763399</v>
      </c>
      <c r="E38746" s="2">
        <v>1.91754554170661E-3</v>
      </c>
      <c r="F38746" s="2">
        <v>9.0495895800827605E-2</v>
      </c>
    </row>
    <row r="38747" spans="1:6" x14ac:dyDescent="0.25">
      <c r="A38747" s="1" t="str">
        <f t="shared" si="1388"/>
        <v>48780</v>
      </c>
      <c r="B38747" s="1" t="str">
        <f>"58795"</f>
        <v>58795</v>
      </c>
      <c r="C38747" s="2">
        <v>1.37857088151949E-3</v>
      </c>
      <c r="D38747" s="2">
        <v>4.3010752688172E-4</v>
      </c>
      <c r="E38747" s="2">
        <v>9.5877277085330696E-4</v>
      </c>
      <c r="F38747" s="2">
        <v>1.28892205413472E-3</v>
      </c>
    </row>
    <row r="38748" spans="1:6" x14ac:dyDescent="0.25">
      <c r="A38748" s="1" t="str">
        <f t="shared" si="1388"/>
        <v>48780</v>
      </c>
      <c r="B38748" s="1" t="str">
        <f>"58845"</f>
        <v>58845</v>
      </c>
      <c r="C38748" s="2">
        <v>5.2845217124913796E-3</v>
      </c>
      <c r="D38748" s="2">
        <v>4.3010752688172E-4</v>
      </c>
      <c r="E38748" s="2">
        <v>5.7526366251198398E-3</v>
      </c>
      <c r="F38748" s="2">
        <v>4.9182552065667098E-3</v>
      </c>
    </row>
    <row r="38749" spans="1:6" x14ac:dyDescent="0.25">
      <c r="A38749" s="1" t="str">
        <f t="shared" si="1388"/>
        <v>48780</v>
      </c>
      <c r="B38749" s="1" t="str">
        <f>"58803"</f>
        <v>58803</v>
      </c>
      <c r="C38749" s="2">
        <v>0.10327793520716801</v>
      </c>
      <c r="D38749" s="2">
        <v>6.8387096774193495E-2</v>
      </c>
      <c r="E38749" s="2">
        <v>1.91754554170661E-3</v>
      </c>
      <c r="F38749" s="2">
        <v>9.6940506071501203E-2</v>
      </c>
    </row>
    <row r="38750" spans="1:6" x14ac:dyDescent="0.25">
      <c r="A38750" s="1" t="str">
        <f t="shared" si="1388"/>
        <v>48780</v>
      </c>
      <c r="B38750" s="1" t="str">
        <f>"58830"</f>
        <v>58830</v>
      </c>
      <c r="C38750" s="2">
        <v>3.4464272037987198E-3</v>
      </c>
      <c r="D38750" s="2">
        <v>1.29032258064516E-3</v>
      </c>
      <c r="E38750" s="2">
        <v>9.5877277085330696E-4</v>
      </c>
      <c r="F38750" s="2">
        <v>3.18838613391221E-3</v>
      </c>
    </row>
    <row r="38751" spans="1:6" x14ac:dyDescent="0.25">
      <c r="A38751" s="1" t="str">
        <f t="shared" ref="A38751:A38769" si="1389">"48820"</f>
        <v>48820</v>
      </c>
      <c r="B38751" s="1" t="str">
        <f>"56288"</f>
        <v>56288</v>
      </c>
      <c r="C38751" s="2">
        <v>0.13637872966178</v>
      </c>
      <c r="D38751" s="2">
        <v>7.0285991274842405E-2</v>
      </c>
      <c r="E38751" s="2">
        <v>8.7470449172576806E-2</v>
      </c>
      <c r="F38751" s="2">
        <v>0.12897040433513901</v>
      </c>
    </row>
    <row r="38752" spans="1:6" x14ac:dyDescent="0.25">
      <c r="A38752" s="1" t="str">
        <f t="shared" si="1389"/>
        <v>48820</v>
      </c>
      <c r="B38752" s="1" t="str">
        <f>"56279"</f>
        <v>56279</v>
      </c>
      <c r="C38752" s="2">
        <v>1.9116740192590399E-2</v>
      </c>
      <c r="D38752" s="2">
        <v>2.4236548715462899E-3</v>
      </c>
      <c r="E38752" s="2">
        <v>9.4562647754137096E-3</v>
      </c>
      <c r="F38752" s="2">
        <v>1.73405585660691E-2</v>
      </c>
    </row>
    <row r="38753" spans="1:6" x14ac:dyDescent="0.25">
      <c r="A38753" s="1" t="str">
        <f t="shared" si="1389"/>
        <v>48820</v>
      </c>
      <c r="B38753" s="1" t="str">
        <f>"56362"</f>
        <v>56362</v>
      </c>
      <c r="C38753" s="2">
        <v>4.2692471894122596E-3</v>
      </c>
      <c r="D38753" s="2">
        <v>4.84730974309258E-4</v>
      </c>
      <c r="E38753" s="2">
        <v>0</v>
      </c>
      <c r="F38753" s="2">
        <v>3.79324718632763E-3</v>
      </c>
    </row>
    <row r="38754" spans="1:6" x14ac:dyDescent="0.25">
      <c r="A38754" s="1" t="str">
        <f t="shared" si="1389"/>
        <v>48820</v>
      </c>
      <c r="B38754" s="1" t="str">
        <f>"56253"</f>
        <v>56253</v>
      </c>
      <c r="C38754" s="2">
        <v>2.4192400740002801E-2</v>
      </c>
      <c r="D38754" s="2">
        <v>2.4236548715462899E-3</v>
      </c>
      <c r="E38754" s="2">
        <v>2.36406619385342E-3</v>
      </c>
      <c r="F38754" s="2">
        <v>2.15506461025427E-2</v>
      </c>
    </row>
    <row r="38755" spans="1:6" x14ac:dyDescent="0.25">
      <c r="A38755" s="1" t="str">
        <f t="shared" si="1389"/>
        <v>48820</v>
      </c>
      <c r="B38755" s="1" t="str">
        <f>"56252"</f>
        <v>56252</v>
      </c>
      <c r="C38755" s="2">
        <v>9.0128551776481099E-4</v>
      </c>
      <c r="D38755" s="2">
        <v>0</v>
      </c>
      <c r="E38755" s="2">
        <v>0</v>
      </c>
      <c r="F38755" s="2">
        <v>7.9199666527719802E-4</v>
      </c>
    </row>
    <row r="38756" spans="1:6" x14ac:dyDescent="0.25">
      <c r="A38756" s="1" t="str">
        <f t="shared" si="1389"/>
        <v>48820</v>
      </c>
      <c r="B38756" s="1" t="str">
        <f>"56243"</f>
        <v>56243</v>
      </c>
      <c r="C38756" s="2">
        <v>2.37180399411792E-4</v>
      </c>
      <c r="D38756" s="2">
        <v>0</v>
      </c>
      <c r="E38756" s="2">
        <v>0</v>
      </c>
      <c r="F38756" s="2">
        <v>2.0842017507294701E-4</v>
      </c>
    </row>
    <row r="38757" spans="1:6" x14ac:dyDescent="0.25">
      <c r="A38757" s="1" t="str">
        <f t="shared" si="1389"/>
        <v>48820</v>
      </c>
      <c r="B38757" s="1" t="str">
        <f>"56273"</f>
        <v>56273</v>
      </c>
      <c r="C38757" s="2">
        <v>0.11602865139224799</v>
      </c>
      <c r="D38757" s="2">
        <v>7.7556955889481305E-2</v>
      </c>
      <c r="E38757" s="2">
        <v>5.5555555555555497E-2</v>
      </c>
      <c r="F38757" s="2">
        <v>0.110587744893705</v>
      </c>
    </row>
    <row r="38758" spans="1:6" x14ac:dyDescent="0.25">
      <c r="A38758" s="1" t="str">
        <f t="shared" si="1389"/>
        <v>48820</v>
      </c>
      <c r="B38758" s="1" t="str">
        <f>"56289"</f>
        <v>56289</v>
      </c>
      <c r="C38758" s="2">
        <v>1.24756890090602E-2</v>
      </c>
      <c r="D38758" s="2">
        <v>4.84730974309258E-4</v>
      </c>
      <c r="E38758" s="2">
        <v>4.7281323877068496E-3</v>
      </c>
      <c r="F38758" s="2">
        <v>1.11713213839099E-2</v>
      </c>
    </row>
    <row r="38759" spans="1:6" x14ac:dyDescent="0.25">
      <c r="A38759" s="1" t="str">
        <f t="shared" si="1389"/>
        <v>48820</v>
      </c>
      <c r="B38759" s="1" t="str">
        <f>"56284"</f>
        <v>56284</v>
      </c>
      <c r="C38759" s="2">
        <v>4.4115554290593403E-3</v>
      </c>
      <c r="D38759" s="2">
        <v>1.45419292292777E-3</v>
      </c>
      <c r="E38759" s="2">
        <v>2.36406619385342E-3</v>
      </c>
      <c r="F38759" s="2">
        <v>4.0850354314297599E-3</v>
      </c>
    </row>
    <row r="38760" spans="1:6" x14ac:dyDescent="0.25">
      <c r="A38760" s="1" t="str">
        <f t="shared" si="1389"/>
        <v>48820</v>
      </c>
      <c r="B38760" s="1" t="str">
        <f>"56209"</f>
        <v>56209</v>
      </c>
      <c r="C38760" s="2">
        <v>5.3982258906123903E-2</v>
      </c>
      <c r="D38760" s="2">
        <v>1.2603005332040699E-2</v>
      </c>
      <c r="E38760" s="2">
        <v>1.6548463356973901E-2</v>
      </c>
      <c r="F38760" s="2">
        <v>4.9103793247186299E-2</v>
      </c>
    </row>
    <row r="38761" spans="1:6" x14ac:dyDescent="0.25">
      <c r="A38761" s="1" t="str">
        <f t="shared" si="1389"/>
        <v>48820</v>
      </c>
      <c r="B38761" s="1" t="str">
        <f>"56282"</f>
        <v>56282</v>
      </c>
      <c r="C38761" s="2">
        <v>2.6706512973767801E-2</v>
      </c>
      <c r="D38761" s="2">
        <v>5.8167716917111E-3</v>
      </c>
      <c r="E38761" s="2">
        <v>1.5366430260047199E-2</v>
      </c>
      <c r="F38761" s="2">
        <v>2.4510212588578498E-2</v>
      </c>
    </row>
    <row r="38762" spans="1:6" x14ac:dyDescent="0.25">
      <c r="A38762" s="1" t="str">
        <f t="shared" si="1389"/>
        <v>48820</v>
      </c>
      <c r="B38762" s="1" t="str">
        <f>"56277"</f>
        <v>56277</v>
      </c>
      <c r="C38762" s="2">
        <v>9.4872159764716995E-5</v>
      </c>
      <c r="D38762" s="2">
        <v>0</v>
      </c>
      <c r="E38762" s="2">
        <v>0</v>
      </c>
      <c r="F38762" s="2">
        <v>8.3368070029178805E-5</v>
      </c>
    </row>
    <row r="38763" spans="1:6" x14ac:dyDescent="0.25">
      <c r="A38763" s="1" t="str">
        <f t="shared" si="1389"/>
        <v>48820</v>
      </c>
      <c r="B38763" s="1" t="str">
        <f>"56316"</f>
        <v>56316</v>
      </c>
      <c r="C38763" s="2">
        <v>2.3718039941179199E-3</v>
      </c>
      <c r="D38763" s="2">
        <v>4.84730974309258E-4</v>
      </c>
      <c r="E38763" s="2">
        <v>0</v>
      </c>
      <c r="F38763" s="2">
        <v>2.1258857857440602E-3</v>
      </c>
    </row>
    <row r="38764" spans="1:6" x14ac:dyDescent="0.25">
      <c r="A38764" s="1" t="str">
        <f t="shared" si="1389"/>
        <v>48820</v>
      </c>
      <c r="B38764" s="1" t="str">
        <f>"56281"</f>
        <v>56281</v>
      </c>
      <c r="C38764" s="2">
        <v>1.27603054883544E-2</v>
      </c>
      <c r="D38764" s="2">
        <v>6.3015026660203496E-3</v>
      </c>
      <c r="E38764" s="2">
        <v>4.7281323877068496E-3</v>
      </c>
      <c r="F38764" s="2">
        <v>1.19216340141725E-2</v>
      </c>
    </row>
    <row r="38765" spans="1:6" x14ac:dyDescent="0.25">
      <c r="A38765" s="1" t="str">
        <f t="shared" si="1389"/>
        <v>48820</v>
      </c>
      <c r="B38765" s="1" t="str">
        <f>"56312"</f>
        <v>56312</v>
      </c>
      <c r="C38765" s="2">
        <v>9.5346520563540597E-3</v>
      </c>
      <c r="D38765" s="2">
        <v>3.3931168201648001E-3</v>
      </c>
      <c r="E38765" s="2">
        <v>2.36406619385342E-3</v>
      </c>
      <c r="F38765" s="2">
        <v>8.7536473530637707E-3</v>
      </c>
    </row>
    <row r="38766" spans="1:6" x14ac:dyDescent="0.25">
      <c r="A38766" s="1" t="str">
        <f t="shared" si="1389"/>
        <v>48820</v>
      </c>
      <c r="B38766" s="1" t="str">
        <f>"56201"</f>
        <v>56201</v>
      </c>
      <c r="C38766" s="2">
        <v>0.54807646696076995</v>
      </c>
      <c r="D38766" s="2">
        <v>0.808046534173533</v>
      </c>
      <c r="E38766" s="2">
        <v>0.77068557919621705</v>
      </c>
      <c r="F38766" s="2">
        <v>0.57828261775739798</v>
      </c>
    </row>
    <row r="38767" spans="1:6" x14ac:dyDescent="0.25">
      <c r="A38767" s="1" t="str">
        <f t="shared" si="1389"/>
        <v>48820</v>
      </c>
      <c r="B38767" s="1" t="str">
        <f>"56222"</f>
        <v>56222</v>
      </c>
      <c r="C38767" s="2">
        <v>9.4872159764716995E-5</v>
      </c>
      <c r="D38767" s="2">
        <v>0</v>
      </c>
      <c r="E38767" s="2">
        <v>0</v>
      </c>
      <c r="F38767" s="2">
        <v>8.3368070029178805E-5</v>
      </c>
    </row>
    <row r="38768" spans="1:6" x14ac:dyDescent="0.25">
      <c r="A38768" s="1" t="str">
        <f t="shared" si="1389"/>
        <v>48820</v>
      </c>
      <c r="B38768" s="1" t="str">
        <f>"56251"</f>
        <v>56251</v>
      </c>
      <c r="C38768" s="2">
        <v>1.8405198994355099E-2</v>
      </c>
      <c r="D38768" s="2">
        <v>2.4236548715462899E-3</v>
      </c>
      <c r="E38768" s="2">
        <v>2.3640661938534199E-2</v>
      </c>
      <c r="F38768" s="2">
        <v>1.72155064610254E-2</v>
      </c>
    </row>
    <row r="38769" spans="1:6" x14ac:dyDescent="0.25">
      <c r="A38769" s="1" t="str">
        <f t="shared" si="1389"/>
        <v>48820</v>
      </c>
      <c r="B38769" s="1" t="str">
        <f>"56216"</f>
        <v>56216</v>
      </c>
      <c r="C38769" s="2">
        <v>9.9615767752952809E-3</v>
      </c>
      <c r="D38769" s="2">
        <v>5.8167716917111E-3</v>
      </c>
      <c r="E38769" s="2">
        <v>4.7281323877068496E-3</v>
      </c>
      <c r="F38769" s="2">
        <v>9.4205919132972007E-3</v>
      </c>
    </row>
    <row r="38770" spans="1:6" x14ac:dyDescent="0.25">
      <c r="A38770" s="1" t="str">
        <f t="shared" ref="A38770:A38813" si="1390">"48864"</f>
        <v>48864</v>
      </c>
      <c r="B38770" s="1" t="str">
        <f>"19720"</f>
        <v>19720</v>
      </c>
      <c r="C38770" s="2">
        <v>3.4270047978067097E-2</v>
      </c>
      <c r="D38770" s="2">
        <v>0.14953271028037299</v>
      </c>
      <c r="E38770" s="2">
        <v>0.233082706766917</v>
      </c>
      <c r="F38770" s="2">
        <v>7.82013685239491E-2</v>
      </c>
    </row>
    <row r="38771" spans="1:6" x14ac:dyDescent="0.25">
      <c r="A38771" s="1" t="str">
        <f t="shared" si="1390"/>
        <v>48864</v>
      </c>
      <c r="B38771" s="1" t="str">
        <f>"08067"</f>
        <v>08067</v>
      </c>
      <c r="C38771" s="2">
        <v>6.85400959561343E-4</v>
      </c>
      <c r="D38771" s="2">
        <v>0</v>
      </c>
      <c r="E38771" s="2">
        <v>0</v>
      </c>
      <c r="F38771" s="2">
        <v>4.8875855327468198E-4</v>
      </c>
    </row>
    <row r="38772" spans="1:6" x14ac:dyDescent="0.25">
      <c r="A38772" s="1" t="str">
        <f t="shared" si="1390"/>
        <v>48864</v>
      </c>
      <c r="B38772" s="1" t="str">
        <f>"19807"</f>
        <v>19807</v>
      </c>
      <c r="C38772" s="2">
        <v>6.85400959561343E-4</v>
      </c>
      <c r="D38772" s="2">
        <v>9.3457943925233603E-3</v>
      </c>
      <c r="E38772" s="2">
        <v>3.7593984962406E-3</v>
      </c>
      <c r="F38772" s="2">
        <v>2.4437927663734098E-3</v>
      </c>
    </row>
    <row r="38773" spans="1:6" x14ac:dyDescent="0.25">
      <c r="A38773" s="1" t="str">
        <f t="shared" si="1390"/>
        <v>48864</v>
      </c>
      <c r="B38773" s="1" t="str">
        <f>"19710"</f>
        <v>19710</v>
      </c>
      <c r="C38773" s="2">
        <v>2.9472241261137701E-2</v>
      </c>
      <c r="D38773" s="2">
        <v>0</v>
      </c>
      <c r="E38773" s="2">
        <v>0</v>
      </c>
      <c r="F38773" s="2">
        <v>2.10166177908113E-2</v>
      </c>
    </row>
    <row r="38774" spans="1:6" x14ac:dyDescent="0.25">
      <c r="A38774" s="1" t="str">
        <f t="shared" si="1390"/>
        <v>48864</v>
      </c>
      <c r="B38774" s="1" t="str">
        <f>"19702"</f>
        <v>19702</v>
      </c>
      <c r="C38774" s="2">
        <v>7.5394105551747697E-3</v>
      </c>
      <c r="D38774" s="2">
        <v>8.0996884735202404E-2</v>
      </c>
      <c r="E38774" s="2">
        <v>7.5187969924812E-3</v>
      </c>
      <c r="F38774" s="2">
        <v>1.90615835777126E-2</v>
      </c>
    </row>
    <row r="38775" spans="1:6" x14ac:dyDescent="0.25">
      <c r="A38775" s="1" t="str">
        <f t="shared" si="1390"/>
        <v>48864</v>
      </c>
      <c r="B38775" s="1" t="str">
        <f>"19716"</f>
        <v>19716</v>
      </c>
      <c r="C38775" s="2">
        <v>0</v>
      </c>
      <c r="D38775" s="2">
        <v>6.2305295950155701E-3</v>
      </c>
      <c r="E38775" s="2">
        <v>7.5187969924812E-3</v>
      </c>
      <c r="F38775" s="2">
        <v>1.9550342130987201E-3</v>
      </c>
    </row>
    <row r="38776" spans="1:6" x14ac:dyDescent="0.25">
      <c r="A38776" s="1" t="str">
        <f t="shared" si="1390"/>
        <v>48864</v>
      </c>
      <c r="B38776" s="1" t="str">
        <f>"21915"</f>
        <v>21915</v>
      </c>
      <c r="C38776" s="2">
        <v>6.85400959561343E-4</v>
      </c>
      <c r="D38776" s="2">
        <v>0</v>
      </c>
      <c r="E38776" s="2">
        <v>0</v>
      </c>
      <c r="F38776" s="2">
        <v>4.8875855327468198E-4</v>
      </c>
    </row>
    <row r="38777" spans="1:6" x14ac:dyDescent="0.25">
      <c r="A38777" s="1" t="str">
        <f t="shared" si="1390"/>
        <v>48864</v>
      </c>
      <c r="B38777" s="1" t="str">
        <f>"19803"</f>
        <v>19803</v>
      </c>
      <c r="C38777" s="2">
        <v>6.1686086360520902E-3</v>
      </c>
      <c r="D38777" s="2">
        <v>2.1806853582554499E-2</v>
      </c>
      <c r="E38777" s="2">
        <v>7.5187969924812E-3</v>
      </c>
      <c r="F38777" s="2">
        <v>8.7976539589442806E-3</v>
      </c>
    </row>
    <row r="38778" spans="1:6" x14ac:dyDescent="0.25">
      <c r="A38778" s="1" t="str">
        <f t="shared" si="1390"/>
        <v>48864</v>
      </c>
      <c r="B38778" s="1" t="str">
        <f>"19707"</f>
        <v>19707</v>
      </c>
      <c r="C38778" s="2">
        <v>1.3708019191226799E-3</v>
      </c>
      <c r="D38778" s="2">
        <v>0</v>
      </c>
      <c r="E38778" s="2">
        <v>0</v>
      </c>
      <c r="F38778" s="2">
        <v>9.7751710654936396E-4</v>
      </c>
    </row>
    <row r="38779" spans="1:6" x14ac:dyDescent="0.25">
      <c r="A38779" s="1" t="str">
        <f t="shared" si="1390"/>
        <v>48864</v>
      </c>
      <c r="B38779" s="1" t="str">
        <f>"19801"</f>
        <v>19801</v>
      </c>
      <c r="C38779" s="2">
        <v>4.7978067169294002E-2</v>
      </c>
      <c r="D38779" s="2">
        <v>0.11838006230529501</v>
      </c>
      <c r="E38779" s="2">
        <v>0.101503759398496</v>
      </c>
      <c r="F38779" s="2">
        <v>6.5982404692082094E-2</v>
      </c>
    </row>
    <row r="38780" spans="1:6" x14ac:dyDescent="0.25">
      <c r="A38780" s="1" t="str">
        <f t="shared" si="1390"/>
        <v>48864</v>
      </c>
      <c r="B38780" s="1" t="str">
        <f>"21913"</f>
        <v>21913</v>
      </c>
      <c r="C38780" s="2">
        <v>1.6449623029472199E-2</v>
      </c>
      <c r="D38780" s="2">
        <v>0</v>
      </c>
      <c r="E38780" s="2">
        <v>3.7593984962406E-3</v>
      </c>
      <c r="F38780" s="2">
        <v>1.2218963831867E-2</v>
      </c>
    </row>
    <row r="38781" spans="1:6" x14ac:dyDescent="0.25">
      <c r="A38781" s="1" t="str">
        <f t="shared" si="1390"/>
        <v>48864</v>
      </c>
      <c r="B38781" s="1" t="str">
        <f>"21901"</f>
        <v>21901</v>
      </c>
      <c r="C38781" s="2">
        <v>9.5956134338588007E-3</v>
      </c>
      <c r="D38781" s="2">
        <v>1.86915887850467E-2</v>
      </c>
      <c r="E38781" s="2">
        <v>3.7593984962406E-3</v>
      </c>
      <c r="F38781" s="2">
        <v>1.02639296187683E-2</v>
      </c>
    </row>
    <row r="38782" spans="1:6" x14ac:dyDescent="0.25">
      <c r="A38782" s="1" t="str">
        <f t="shared" si="1390"/>
        <v>48864</v>
      </c>
      <c r="B38782" s="1" t="str">
        <f>"19711"</f>
        <v>19711</v>
      </c>
      <c r="C38782" s="2">
        <v>7.7450308430431797E-2</v>
      </c>
      <c r="D38782" s="2">
        <v>8.0996884735202404E-2</v>
      </c>
      <c r="E38782" s="2">
        <v>6.7669172932330796E-2</v>
      </c>
      <c r="F38782" s="2">
        <v>7.6735092864125096E-2</v>
      </c>
    </row>
    <row r="38783" spans="1:6" x14ac:dyDescent="0.25">
      <c r="A38783" s="1" t="str">
        <f t="shared" si="1390"/>
        <v>48864</v>
      </c>
      <c r="B38783" s="1" t="str">
        <f>"19734"</f>
        <v>19734</v>
      </c>
      <c r="C38783" s="2">
        <v>2.0562028786840301E-2</v>
      </c>
      <c r="D38783" s="2">
        <v>0</v>
      </c>
      <c r="E38783" s="2">
        <v>0</v>
      </c>
      <c r="F38783" s="2">
        <v>1.4662756598240401E-2</v>
      </c>
    </row>
    <row r="38784" spans="1:6" x14ac:dyDescent="0.25">
      <c r="A38784" s="1" t="str">
        <f t="shared" si="1390"/>
        <v>48864</v>
      </c>
      <c r="B38784" s="1" t="str">
        <f>"19732"</f>
        <v>19732</v>
      </c>
      <c r="C38784" s="2">
        <v>0</v>
      </c>
      <c r="D38784" s="2">
        <v>3.1152647975077798E-3</v>
      </c>
      <c r="E38784" s="2">
        <v>0</v>
      </c>
      <c r="F38784" s="2">
        <v>4.8875855327468198E-4</v>
      </c>
    </row>
    <row r="38785" spans="1:6" x14ac:dyDescent="0.25">
      <c r="A38785" s="1" t="str">
        <f t="shared" si="1390"/>
        <v>48864</v>
      </c>
      <c r="B38785" s="1" t="str">
        <f>"19713"</f>
        <v>19713</v>
      </c>
      <c r="C38785" s="2">
        <v>0.182316655243317</v>
      </c>
      <c r="D38785" s="2">
        <v>9.0342679127725797E-2</v>
      </c>
      <c r="E38785" s="2">
        <v>4.8872180451127803E-2</v>
      </c>
      <c r="F38785" s="2">
        <v>0.15053763440860199</v>
      </c>
    </row>
    <row r="38786" spans="1:6" x14ac:dyDescent="0.25">
      <c r="A38786" s="1" t="str">
        <f t="shared" si="1390"/>
        <v>48864</v>
      </c>
      <c r="B38786" s="1" t="str">
        <f>"19709"</f>
        <v>19709</v>
      </c>
      <c r="C38786" s="2">
        <v>9.2529129540781296E-2</v>
      </c>
      <c r="D38786" s="2">
        <v>4.67289719626168E-2</v>
      </c>
      <c r="E38786" s="2">
        <v>1.12781954887218E-2</v>
      </c>
      <c r="F38786" s="2">
        <v>7.4780058651026299E-2</v>
      </c>
    </row>
    <row r="38787" spans="1:6" x14ac:dyDescent="0.25">
      <c r="A38787" s="1" t="str">
        <f t="shared" si="1390"/>
        <v>48864</v>
      </c>
      <c r="B38787" s="1" t="str">
        <f>"19805"</f>
        <v>19805</v>
      </c>
      <c r="C38787" s="2">
        <v>3.6326250856751098E-2</v>
      </c>
      <c r="D38787" s="2">
        <v>3.4267912772585597E-2</v>
      </c>
      <c r="E38787" s="2">
        <v>9.3984962406015005E-2</v>
      </c>
      <c r="F38787" s="2">
        <v>4.3499511241446701E-2</v>
      </c>
    </row>
    <row r="38788" spans="1:6" x14ac:dyDescent="0.25">
      <c r="A38788" s="1" t="str">
        <f t="shared" si="1390"/>
        <v>48864</v>
      </c>
      <c r="B38788" s="1" t="str">
        <f>"19890"</f>
        <v>19890</v>
      </c>
      <c r="C38788" s="2">
        <v>0</v>
      </c>
      <c r="D38788" s="2">
        <v>3.1152647975077798E-3</v>
      </c>
      <c r="E38788" s="2">
        <v>0</v>
      </c>
      <c r="F38788" s="2">
        <v>4.8875855327468198E-4</v>
      </c>
    </row>
    <row r="38789" spans="1:6" x14ac:dyDescent="0.25">
      <c r="A38789" s="1" t="str">
        <f t="shared" si="1390"/>
        <v>48864</v>
      </c>
      <c r="B38789" s="1" t="str">
        <f>"19804"</f>
        <v>19804</v>
      </c>
      <c r="C38789" s="2">
        <v>1.16518163125428E-2</v>
      </c>
      <c r="D38789" s="2">
        <v>9.3457943925233603E-3</v>
      </c>
      <c r="E38789" s="2">
        <v>2.2556390977443601E-2</v>
      </c>
      <c r="F38789" s="2">
        <v>1.2707722385141699E-2</v>
      </c>
    </row>
    <row r="38790" spans="1:6" x14ac:dyDescent="0.25">
      <c r="A38790" s="1" t="str">
        <f t="shared" si="1390"/>
        <v>48864</v>
      </c>
      <c r="B38790" s="1" t="str">
        <f>"21921"</f>
        <v>21921</v>
      </c>
      <c r="C38790" s="2">
        <v>1.7820424948594898E-2</v>
      </c>
      <c r="D38790" s="2">
        <v>8.7227414330217995E-2</v>
      </c>
      <c r="E38790" s="2">
        <v>1.50375939849624E-2</v>
      </c>
      <c r="F38790" s="2">
        <v>2.83479960899315E-2</v>
      </c>
    </row>
    <row r="38791" spans="1:6" x14ac:dyDescent="0.25">
      <c r="A38791" s="1" t="str">
        <f t="shared" si="1390"/>
        <v>48864</v>
      </c>
      <c r="B38791" s="1" t="str">
        <f>"19802"</f>
        <v>19802</v>
      </c>
      <c r="C38791" s="2">
        <v>3.7697052775873797E-2</v>
      </c>
      <c r="D38791" s="2">
        <v>3.73831775700934E-2</v>
      </c>
      <c r="E38791" s="2">
        <v>8.6466165413533802E-2</v>
      </c>
      <c r="F38791" s="2">
        <v>4.3988269794721403E-2</v>
      </c>
    </row>
    <row r="38792" spans="1:6" x14ac:dyDescent="0.25">
      <c r="A38792" s="1" t="str">
        <f t="shared" si="1390"/>
        <v>48864</v>
      </c>
      <c r="B38792" s="1" t="str">
        <f>"19884"</f>
        <v>19884</v>
      </c>
      <c r="C38792" s="2">
        <v>0</v>
      </c>
      <c r="D38792" s="2">
        <v>1.86915887850467E-2</v>
      </c>
      <c r="E38792" s="2">
        <v>0</v>
      </c>
      <c r="F38792" s="2">
        <v>2.9325513196480899E-3</v>
      </c>
    </row>
    <row r="38793" spans="1:6" x14ac:dyDescent="0.25">
      <c r="A38793" s="1" t="str">
        <f t="shared" si="1390"/>
        <v>48864</v>
      </c>
      <c r="B38793" s="1" t="str">
        <f>"19808"</f>
        <v>19808</v>
      </c>
      <c r="C38793" s="2">
        <v>1.2337217272104101E-2</v>
      </c>
      <c r="D38793" s="2">
        <v>2.1806853582554499E-2</v>
      </c>
      <c r="E38793" s="2">
        <v>0</v>
      </c>
      <c r="F38793" s="2">
        <v>1.2218963831867E-2</v>
      </c>
    </row>
    <row r="38794" spans="1:6" x14ac:dyDescent="0.25">
      <c r="A38794" s="1" t="str">
        <f t="shared" si="1390"/>
        <v>48864</v>
      </c>
      <c r="B38794" s="1" t="str">
        <f>"19717"</f>
        <v>19717</v>
      </c>
      <c r="C38794" s="2">
        <v>0</v>
      </c>
      <c r="D38794" s="2">
        <v>0</v>
      </c>
      <c r="E38794" s="2">
        <v>3.7593984962406E-3</v>
      </c>
      <c r="F38794" s="2">
        <v>4.8875855327468198E-4</v>
      </c>
    </row>
    <row r="38795" spans="1:6" x14ac:dyDescent="0.25">
      <c r="A38795" s="1" t="str">
        <f t="shared" si="1390"/>
        <v>48864</v>
      </c>
      <c r="B38795" s="1" t="str">
        <f>"19809"</f>
        <v>19809</v>
      </c>
      <c r="C38795" s="2">
        <v>8.2248115147361203E-3</v>
      </c>
      <c r="D38795" s="2">
        <v>1.24610591900311E-2</v>
      </c>
      <c r="E38795" s="2">
        <v>1.8796992481203E-2</v>
      </c>
      <c r="F38795" s="2">
        <v>1.02639296187683E-2</v>
      </c>
    </row>
    <row r="38796" spans="1:6" x14ac:dyDescent="0.25">
      <c r="A38796" s="1" t="str">
        <f t="shared" si="1390"/>
        <v>48864</v>
      </c>
      <c r="B38796" s="1" t="str">
        <f>"08070"</f>
        <v>08070</v>
      </c>
      <c r="C38796" s="2">
        <v>1.2337217272104101E-2</v>
      </c>
      <c r="D38796" s="2">
        <v>0</v>
      </c>
      <c r="E38796" s="2">
        <v>2.2556390977443601E-2</v>
      </c>
      <c r="F38796" s="2">
        <v>1.1730205278592301E-2</v>
      </c>
    </row>
    <row r="38797" spans="1:6" x14ac:dyDescent="0.25">
      <c r="A38797" s="1" t="str">
        <f t="shared" si="1390"/>
        <v>48864</v>
      </c>
      <c r="B38797" s="1" t="str">
        <f>"19810"</f>
        <v>19810</v>
      </c>
      <c r="C38797" s="2">
        <v>8.0877313228238504E-2</v>
      </c>
      <c r="D38797" s="2">
        <v>0</v>
      </c>
      <c r="E38797" s="2">
        <v>7.5187969924812E-3</v>
      </c>
      <c r="F38797" s="2">
        <v>5.8651026392961797E-2</v>
      </c>
    </row>
    <row r="38798" spans="1:6" x14ac:dyDescent="0.25">
      <c r="A38798" s="1" t="str">
        <f t="shared" si="1390"/>
        <v>48864</v>
      </c>
      <c r="B38798" s="1" t="str">
        <f>"19703"</f>
        <v>19703</v>
      </c>
      <c r="C38798" s="2">
        <v>8.4304318026045197E-2</v>
      </c>
      <c r="D38798" s="2">
        <v>1.5576323987538899E-2</v>
      </c>
      <c r="E38798" s="2">
        <v>7.5187969924812E-3</v>
      </c>
      <c r="F38798" s="2">
        <v>6.3538611925708602E-2</v>
      </c>
    </row>
    <row r="38799" spans="1:6" x14ac:dyDescent="0.25">
      <c r="A38799" s="1" t="str">
        <f t="shared" si="1390"/>
        <v>48864</v>
      </c>
      <c r="B38799" s="1" t="str">
        <f>"21902"</f>
        <v>21902</v>
      </c>
      <c r="C38799" s="2">
        <v>0</v>
      </c>
      <c r="D38799" s="2">
        <v>3.1152647975077798E-3</v>
      </c>
      <c r="E38799" s="2">
        <v>0</v>
      </c>
      <c r="F38799" s="2">
        <v>4.8875855327468198E-4</v>
      </c>
    </row>
    <row r="38800" spans="1:6" x14ac:dyDescent="0.25">
      <c r="A38800" s="1" t="str">
        <f t="shared" si="1390"/>
        <v>48864</v>
      </c>
      <c r="B38800" s="1" t="str">
        <f>"19726"</f>
        <v>19726</v>
      </c>
      <c r="C38800" s="2">
        <v>0</v>
      </c>
      <c r="D38800" s="2">
        <v>8.4112149532710206E-2</v>
      </c>
      <c r="E38800" s="2">
        <v>7.5187969924812E-3</v>
      </c>
      <c r="F38800" s="2">
        <v>1.41739980449657E-2</v>
      </c>
    </row>
    <row r="38801" spans="1:6" x14ac:dyDescent="0.25">
      <c r="A38801" s="1" t="str">
        <f t="shared" si="1390"/>
        <v>48864</v>
      </c>
      <c r="B38801" s="1" t="str">
        <f>"08318"</f>
        <v>08318</v>
      </c>
      <c r="C38801" s="2">
        <v>1.9876627827278899E-2</v>
      </c>
      <c r="D38801" s="2">
        <v>0</v>
      </c>
      <c r="E38801" s="2">
        <v>3.7593984962405999E-2</v>
      </c>
      <c r="F38801" s="2">
        <v>1.90615835777126E-2</v>
      </c>
    </row>
    <row r="38802" spans="1:6" x14ac:dyDescent="0.25">
      <c r="A38802" s="1" t="str">
        <f t="shared" si="1390"/>
        <v>48864</v>
      </c>
      <c r="B38802" s="1" t="str">
        <f>"08069"</f>
        <v>08069</v>
      </c>
      <c r="C38802" s="2">
        <v>2.4674434544208299E-2</v>
      </c>
      <c r="D38802" s="2">
        <v>9.3457943925233603E-3</v>
      </c>
      <c r="E38802" s="2">
        <v>3.3834586466165398E-2</v>
      </c>
      <c r="F38802" s="2">
        <v>2.3460410557184699E-2</v>
      </c>
    </row>
    <row r="38803" spans="1:6" x14ac:dyDescent="0.25">
      <c r="A38803" s="1" t="str">
        <f t="shared" si="1390"/>
        <v>48864</v>
      </c>
      <c r="B38803" s="1" t="str">
        <f>"21903"</f>
        <v>21903</v>
      </c>
      <c r="C38803" s="2">
        <v>0</v>
      </c>
      <c r="D38803" s="2">
        <v>3.1152647975077798E-3</v>
      </c>
      <c r="E38803" s="2">
        <v>0</v>
      </c>
      <c r="F38803" s="2">
        <v>4.8875855327468198E-4</v>
      </c>
    </row>
    <row r="38804" spans="1:6" x14ac:dyDescent="0.25">
      <c r="A38804" s="1" t="str">
        <f t="shared" si="1390"/>
        <v>48864</v>
      </c>
      <c r="B38804" s="1" t="str">
        <f>"19706"</f>
        <v>19706</v>
      </c>
      <c r="C38804" s="2">
        <v>6.85400959561343E-4</v>
      </c>
      <c r="D38804" s="2">
        <v>0</v>
      </c>
      <c r="E38804" s="2">
        <v>0</v>
      </c>
      <c r="F38804" s="2">
        <v>4.8875855327468198E-4</v>
      </c>
    </row>
    <row r="38805" spans="1:6" x14ac:dyDescent="0.25">
      <c r="A38805" s="1" t="str">
        <f t="shared" si="1390"/>
        <v>48864</v>
      </c>
      <c r="B38805" s="1" t="str">
        <f>"21911"</f>
        <v>21911</v>
      </c>
      <c r="C38805" s="2">
        <v>7.5394105551747697E-3</v>
      </c>
      <c r="D38805" s="2">
        <v>0</v>
      </c>
      <c r="E38805" s="2">
        <v>3.7593984962406E-3</v>
      </c>
      <c r="F38805" s="2">
        <v>5.8651026392961799E-3</v>
      </c>
    </row>
    <row r="38806" spans="1:6" x14ac:dyDescent="0.25">
      <c r="A38806" s="1" t="str">
        <f t="shared" si="1390"/>
        <v>48864</v>
      </c>
      <c r="B38806" s="1" t="str">
        <f>"08079"</f>
        <v>08079</v>
      </c>
      <c r="C38806" s="2">
        <v>3.2213845099383097E-2</v>
      </c>
      <c r="D38806" s="2">
        <v>0</v>
      </c>
      <c r="E38806" s="2">
        <v>5.2631578947368397E-2</v>
      </c>
      <c r="F38806" s="2">
        <v>2.9814271749755601E-2</v>
      </c>
    </row>
    <row r="38807" spans="1:6" x14ac:dyDescent="0.25">
      <c r="A38807" s="1" t="str">
        <f t="shared" si="1390"/>
        <v>48864</v>
      </c>
      <c r="B38807" s="1" t="str">
        <f>"19977"</f>
        <v>19977</v>
      </c>
      <c r="C38807" s="2">
        <v>6.85400959561343E-4</v>
      </c>
      <c r="D38807" s="2">
        <v>0</v>
      </c>
      <c r="E38807" s="2">
        <v>0</v>
      </c>
      <c r="F38807" s="2">
        <v>4.8875855327468198E-4</v>
      </c>
    </row>
    <row r="38808" spans="1:6" x14ac:dyDescent="0.25">
      <c r="A38808" s="1" t="str">
        <f t="shared" si="1390"/>
        <v>48864</v>
      </c>
      <c r="B38808" s="1" t="str">
        <f>"08001"</f>
        <v>08001</v>
      </c>
      <c r="C38808" s="2">
        <v>6.85400959561343E-4</v>
      </c>
      <c r="D38808" s="2">
        <v>0</v>
      </c>
      <c r="E38808" s="2">
        <v>0</v>
      </c>
      <c r="F38808" s="2">
        <v>4.8875855327468198E-4</v>
      </c>
    </row>
    <row r="38809" spans="1:6" x14ac:dyDescent="0.25">
      <c r="A38809" s="1" t="str">
        <f t="shared" si="1390"/>
        <v>48864</v>
      </c>
      <c r="B38809" s="1" t="str">
        <f>"21918"</f>
        <v>21918</v>
      </c>
      <c r="C38809" s="2">
        <v>2.0562028786840301E-3</v>
      </c>
      <c r="D38809" s="2">
        <v>0</v>
      </c>
      <c r="E38809" s="2">
        <v>0</v>
      </c>
      <c r="F38809" s="2">
        <v>1.46627565982404E-3</v>
      </c>
    </row>
    <row r="38810" spans="1:6" x14ac:dyDescent="0.25">
      <c r="A38810" s="1" t="str">
        <f t="shared" si="1390"/>
        <v>48864</v>
      </c>
      <c r="B38810" s="1" t="str">
        <f>"19701"</f>
        <v>19701</v>
      </c>
      <c r="C38810" s="2">
        <v>7.5394105551747697E-3</v>
      </c>
      <c r="D38810" s="2">
        <v>1.86915887850467E-2</v>
      </c>
      <c r="E38810" s="2">
        <v>7.5187969924812E-3</v>
      </c>
      <c r="F38810" s="2">
        <v>9.2864125122189608E-3</v>
      </c>
    </row>
    <row r="38811" spans="1:6" x14ac:dyDescent="0.25">
      <c r="A38811" s="1" t="str">
        <f t="shared" si="1390"/>
        <v>48864</v>
      </c>
      <c r="B38811" s="1" t="str">
        <f>"08098"</f>
        <v>08098</v>
      </c>
      <c r="C38811" s="2">
        <v>1.85058259081562E-2</v>
      </c>
      <c r="D38811" s="2">
        <v>9.3457943925233603E-3</v>
      </c>
      <c r="E38811" s="2">
        <v>3.7593984962405999E-2</v>
      </c>
      <c r="F38811" s="2">
        <v>1.9550342130987199E-2</v>
      </c>
    </row>
    <row r="38812" spans="1:6" x14ac:dyDescent="0.25">
      <c r="A38812" s="1" t="str">
        <f t="shared" si="1390"/>
        <v>48864</v>
      </c>
      <c r="B38812" s="1" t="str">
        <f>"19806"</f>
        <v>19806</v>
      </c>
      <c r="C38812" s="2">
        <v>4.0438656614119203E-2</v>
      </c>
      <c r="D38812" s="2">
        <v>3.1152647975077798E-3</v>
      </c>
      <c r="E38812" s="2">
        <v>4.5112781954887202E-2</v>
      </c>
      <c r="F38812" s="2">
        <v>3.5190615835777102E-2</v>
      </c>
    </row>
    <row r="38813" spans="1:6" x14ac:dyDescent="0.25">
      <c r="A38813" s="1" t="str">
        <f t="shared" si="1390"/>
        <v>48864</v>
      </c>
      <c r="B38813" s="1" t="str">
        <f>"21904"</f>
        <v>21904</v>
      </c>
      <c r="C38813" s="2">
        <v>1.5764222069910801E-2</v>
      </c>
      <c r="D38813" s="2">
        <v>3.1152647975077798E-3</v>
      </c>
      <c r="E38813" s="2">
        <v>0</v>
      </c>
      <c r="F38813" s="2">
        <v>1.1730205278592301E-2</v>
      </c>
    </row>
    <row r="38814" spans="1:6" x14ac:dyDescent="0.25">
      <c r="A38814" s="1" t="str">
        <f t="shared" ref="A38814:A38839" si="1391">"48900"</f>
        <v>48900</v>
      </c>
      <c r="B38814" s="1" t="str">
        <f>"28448"</f>
        <v>28448</v>
      </c>
      <c r="C38814" s="2">
        <v>1.6002253117238901E-4</v>
      </c>
      <c r="D38814" s="2">
        <v>0</v>
      </c>
      <c r="E38814" s="2">
        <v>0</v>
      </c>
      <c r="F38814" s="2">
        <v>1.4015731256762499E-4</v>
      </c>
    </row>
    <row r="38815" spans="1:6" x14ac:dyDescent="0.25">
      <c r="A38815" s="1" t="str">
        <f t="shared" si="1391"/>
        <v>48900</v>
      </c>
      <c r="B38815" s="1" t="str">
        <f>"28408"</f>
        <v>28408</v>
      </c>
      <c r="C38815" s="2">
        <v>7.8219013237063699E-3</v>
      </c>
      <c r="D38815" s="2">
        <v>2.1375999999999999E-2</v>
      </c>
      <c r="E38815" s="2">
        <v>1.53421294875728E-4</v>
      </c>
      <c r="F38815" s="2">
        <v>8.7289974267117394E-3</v>
      </c>
    </row>
    <row r="38816" spans="1:6" x14ac:dyDescent="0.25">
      <c r="A38816" s="1" t="str">
        <f t="shared" si="1391"/>
        <v>48900</v>
      </c>
      <c r="B38816" s="1" t="str">
        <f>"28403"</f>
        <v>28403</v>
      </c>
      <c r="C38816" s="2">
        <v>0.128971759223698</v>
      </c>
      <c r="D38816" s="2">
        <v>0.230016</v>
      </c>
      <c r="E38816" s="2">
        <v>0.27278306228904498</v>
      </c>
      <c r="F38816" s="2">
        <v>0.14307819096153501</v>
      </c>
    </row>
    <row r="38817" spans="1:6" x14ac:dyDescent="0.25">
      <c r="A38817" s="1" t="str">
        <f t="shared" si="1391"/>
        <v>48900</v>
      </c>
      <c r="B38817" s="1" t="str">
        <f>"28466"</f>
        <v>28466</v>
      </c>
      <c r="C38817" s="2">
        <v>2.2979235476355002E-3</v>
      </c>
      <c r="D38817" s="2">
        <v>7.0399999999999998E-4</v>
      </c>
      <c r="E38817" s="2">
        <v>6.1368517950291502E-4</v>
      </c>
      <c r="F38817" s="2">
        <v>2.0967533960116799E-3</v>
      </c>
    </row>
    <row r="38818" spans="1:6" x14ac:dyDescent="0.25">
      <c r="A38818" s="1" t="str">
        <f t="shared" si="1391"/>
        <v>48900</v>
      </c>
      <c r="B38818" s="1" t="str">
        <f>"28447"</f>
        <v>28447</v>
      </c>
      <c r="C38818" s="2">
        <v>1.1905676319225701E-3</v>
      </c>
      <c r="D38818" s="2">
        <v>7.6800000000000002E-4</v>
      </c>
      <c r="E38818" s="2">
        <v>0</v>
      </c>
      <c r="F38818" s="2">
        <v>1.1100459155355901E-3</v>
      </c>
    </row>
    <row r="38819" spans="1:6" x14ac:dyDescent="0.25">
      <c r="A38819" s="1" t="str">
        <f t="shared" si="1391"/>
        <v>48900</v>
      </c>
      <c r="B38819" s="1" t="str">
        <f>"28404"</f>
        <v>28404</v>
      </c>
      <c r="C38819" s="2">
        <v>6.5097165680927799E-3</v>
      </c>
      <c r="D38819" s="2">
        <v>1.5552E-2</v>
      </c>
      <c r="E38819" s="2">
        <v>1.53421294875728E-4</v>
      </c>
      <c r="F38819" s="2">
        <v>7.0695348459110501E-3</v>
      </c>
    </row>
    <row r="38820" spans="1:6" x14ac:dyDescent="0.25">
      <c r="A38820" s="1" t="str">
        <f t="shared" si="1391"/>
        <v>48900</v>
      </c>
      <c r="B38820" s="1" t="str">
        <f>"28409"</f>
        <v>28409</v>
      </c>
      <c r="C38820" s="2">
        <v>9.4675730342832207E-2</v>
      </c>
      <c r="D38820" s="2">
        <v>1.0111999999999999E-2</v>
      </c>
      <c r="E38820" s="2">
        <v>1.82571340902117E-2</v>
      </c>
      <c r="F38820" s="2">
        <v>8.4475615430759404E-2</v>
      </c>
    </row>
    <row r="38821" spans="1:6" x14ac:dyDescent="0.25">
      <c r="A38821" s="1" t="str">
        <f t="shared" si="1391"/>
        <v>48900</v>
      </c>
      <c r="B38821" s="1" t="str">
        <f>"28478"</f>
        <v>28478</v>
      </c>
      <c r="C38821" s="2">
        <v>1.3896356607010199E-2</v>
      </c>
      <c r="D38821" s="2">
        <v>4.0959999999999998E-3</v>
      </c>
      <c r="E38821" s="2">
        <v>1.22737035900583E-3</v>
      </c>
      <c r="F38821" s="2">
        <v>1.25749140835673E-2</v>
      </c>
    </row>
    <row r="38822" spans="1:6" x14ac:dyDescent="0.25">
      <c r="A38822" s="1" t="str">
        <f t="shared" si="1391"/>
        <v>48900</v>
      </c>
      <c r="B38822" s="1" t="str">
        <f>"28401"</f>
        <v>28401</v>
      </c>
      <c r="C38822" s="2">
        <v>8.4338274829095894E-2</v>
      </c>
      <c r="D38822" s="2">
        <v>0.180288</v>
      </c>
      <c r="E38822" s="2">
        <v>0.179196072414851</v>
      </c>
      <c r="F38822" s="2">
        <v>9.6209585638921097E-2</v>
      </c>
    </row>
    <row r="38823" spans="1:6" x14ac:dyDescent="0.25">
      <c r="A38823" s="1" t="str">
        <f t="shared" si="1391"/>
        <v>48900</v>
      </c>
      <c r="B38823" s="1" t="str">
        <f>"28429"</f>
        <v>28429</v>
      </c>
      <c r="C38823" s="2">
        <v>2.7754307806539098E-2</v>
      </c>
      <c r="D38823" s="2">
        <v>1.8432E-2</v>
      </c>
      <c r="E38823" s="2">
        <v>5.9834305001534201E-3</v>
      </c>
      <c r="F38823" s="2">
        <v>2.6142141940113502E-2</v>
      </c>
    </row>
    <row r="38824" spans="1:6" x14ac:dyDescent="0.25">
      <c r="A38824" s="1" t="str">
        <f t="shared" si="1391"/>
        <v>48900</v>
      </c>
      <c r="B38824" s="1" t="str">
        <f>"28412"</f>
        <v>28412</v>
      </c>
      <c r="C38824" s="2">
        <v>0.14064060219678901</v>
      </c>
      <c r="D38824" s="2">
        <v>7.4751999999999999E-2</v>
      </c>
      <c r="E38824" s="2">
        <v>0.18165081313286199</v>
      </c>
      <c r="F38824" s="2">
        <v>0.13636745883579701</v>
      </c>
    </row>
    <row r="38825" spans="1:6" x14ac:dyDescent="0.25">
      <c r="A38825" s="1" t="str">
        <f t="shared" si="1391"/>
        <v>48900</v>
      </c>
      <c r="B38825" s="1" t="str">
        <f>"28411"</f>
        <v>28411</v>
      </c>
      <c r="C38825" s="2">
        <v>0.113052717822669</v>
      </c>
      <c r="D38825" s="2">
        <v>3.7504000000000003E-2</v>
      </c>
      <c r="E38825" s="2">
        <v>5.41577170911322E-2</v>
      </c>
      <c r="F38825" s="2">
        <v>0.104282646842816</v>
      </c>
    </row>
    <row r="38826" spans="1:6" x14ac:dyDescent="0.25">
      <c r="A38826" s="1" t="str">
        <f t="shared" si="1391"/>
        <v>48900</v>
      </c>
      <c r="B38826" s="1" t="str">
        <f>"28428"</f>
        <v>28428</v>
      </c>
      <c r="C38826" s="2">
        <v>5.1059989246485901E-2</v>
      </c>
      <c r="D38826" s="2">
        <v>3.5520000000000003E-2</v>
      </c>
      <c r="E38826" s="2">
        <v>7.9472230745627398E-2</v>
      </c>
      <c r="F38826" s="2">
        <v>5.0736947149480502E-2</v>
      </c>
    </row>
    <row r="38827" spans="1:6" x14ac:dyDescent="0.25">
      <c r="A38827" s="1" t="str">
        <f t="shared" si="1391"/>
        <v>48900</v>
      </c>
      <c r="B38827" s="1" t="str">
        <f>"28443"</f>
        <v>28443</v>
      </c>
      <c r="C38827" s="2">
        <v>7.5997900504390994E-2</v>
      </c>
      <c r="D38827" s="2">
        <v>3.8336000000000002E-2</v>
      </c>
      <c r="E38827" s="2">
        <v>2.42405645903651E-2</v>
      </c>
      <c r="F38827" s="2">
        <v>7.0807474309164606E-2</v>
      </c>
    </row>
    <row r="38828" spans="1:6" x14ac:dyDescent="0.25">
      <c r="A38828" s="1" t="str">
        <f t="shared" si="1391"/>
        <v>48900</v>
      </c>
      <c r="B38828" s="1" t="str">
        <f>"28480"</f>
        <v>28480</v>
      </c>
      <c r="C38828" s="2">
        <v>2.4624267096807199E-2</v>
      </c>
      <c r="D38828" s="2">
        <v>3.6415999999999997E-2</v>
      </c>
      <c r="E38828" s="2">
        <v>2.04050322184719E-2</v>
      </c>
      <c r="F38828" s="2">
        <v>2.5503024594805201E-2</v>
      </c>
    </row>
    <row r="38829" spans="1:6" x14ac:dyDescent="0.25">
      <c r="A38829" s="1" t="str">
        <f t="shared" si="1391"/>
        <v>48900</v>
      </c>
      <c r="B38829" s="1" t="str">
        <f>"28405"</f>
        <v>28405</v>
      </c>
      <c r="C38829" s="2">
        <v>0.106683821082008</v>
      </c>
      <c r="D38829" s="2">
        <v>0.17235200000000001</v>
      </c>
      <c r="E38829" s="2">
        <v>0.12902730899048701</v>
      </c>
      <c r="F38829" s="2">
        <v>0.113252714847144</v>
      </c>
    </row>
    <row r="38830" spans="1:6" x14ac:dyDescent="0.25">
      <c r="A38830" s="1" t="str">
        <f t="shared" si="1391"/>
        <v>48900</v>
      </c>
      <c r="B38830" s="1" t="str">
        <f>"28402"</f>
        <v>28402</v>
      </c>
      <c r="C38830" s="2">
        <v>9.55654556161507E-3</v>
      </c>
      <c r="D38830" s="2">
        <v>3.3472000000000002E-2</v>
      </c>
      <c r="E38830" s="2">
        <v>3.0684258975145702E-4</v>
      </c>
      <c r="F38830" s="2">
        <v>1.1313498270458701E-2</v>
      </c>
    </row>
    <row r="38831" spans="1:6" x14ac:dyDescent="0.25">
      <c r="A38831" s="1" t="str">
        <f t="shared" si="1391"/>
        <v>48900</v>
      </c>
      <c r="B38831" s="1" t="str">
        <f>"28421"</f>
        <v>28421</v>
      </c>
      <c r="C38831" s="2">
        <v>4.7878741326778801E-3</v>
      </c>
      <c r="D38831" s="2">
        <v>1.2160000000000001E-3</v>
      </c>
      <c r="E38831" s="2">
        <v>0</v>
      </c>
      <c r="F38831" s="2">
        <v>4.30002634957476E-3</v>
      </c>
    </row>
    <row r="38832" spans="1:6" x14ac:dyDescent="0.25">
      <c r="A38832" s="1" t="str">
        <f t="shared" si="1391"/>
        <v>48900</v>
      </c>
      <c r="B38832" s="1" t="str">
        <f>"28406"</f>
        <v>28406</v>
      </c>
      <c r="C38832" s="2">
        <v>7.43784724889264E-3</v>
      </c>
      <c r="D38832" s="2">
        <v>4.0640000000000003E-2</v>
      </c>
      <c r="E38832" s="2">
        <v>1.53421294875728E-4</v>
      </c>
      <c r="F38832" s="2">
        <v>1.00801139198636E-2</v>
      </c>
    </row>
    <row r="38833" spans="1:6" x14ac:dyDescent="0.25">
      <c r="A38833" s="1" t="str">
        <f t="shared" si="1391"/>
        <v>48900</v>
      </c>
      <c r="B38833" s="1" t="str">
        <f>"28454"</f>
        <v>28454</v>
      </c>
      <c r="C38833" s="2">
        <v>2.9956217835471199E-3</v>
      </c>
      <c r="D38833" s="2">
        <v>1.472E-3</v>
      </c>
      <c r="E38833" s="2">
        <v>0</v>
      </c>
      <c r="F38833" s="2">
        <v>2.7526896188281701E-3</v>
      </c>
    </row>
    <row r="38834" spans="1:6" x14ac:dyDescent="0.25">
      <c r="A38834" s="1" t="str">
        <f t="shared" si="1391"/>
        <v>48900</v>
      </c>
      <c r="B38834" s="1" t="str">
        <f>"28445"</f>
        <v>28445</v>
      </c>
      <c r="C38834" s="2">
        <v>1.19632844304478E-2</v>
      </c>
      <c r="D38834" s="2">
        <v>1.2544E-2</v>
      </c>
      <c r="E38834" s="2">
        <v>1.1660018410555299E-2</v>
      </c>
      <c r="F38834" s="2">
        <v>1.20030722482914E-2</v>
      </c>
    </row>
    <row r="38835" spans="1:6" x14ac:dyDescent="0.25">
      <c r="A38835" s="1" t="str">
        <f t="shared" si="1391"/>
        <v>48900</v>
      </c>
      <c r="B38835" s="1" t="str">
        <f>"28435"</f>
        <v>28435</v>
      </c>
      <c r="C38835" s="2">
        <v>8.7116265970248602E-3</v>
      </c>
      <c r="D38835" s="2">
        <v>2.3679999999999999E-3</v>
      </c>
      <c r="E38835" s="2">
        <v>1.38079165388155E-3</v>
      </c>
      <c r="F38835" s="2">
        <v>7.8880535513059808E-3</v>
      </c>
    </row>
    <row r="38836" spans="1:6" x14ac:dyDescent="0.25">
      <c r="A38836" s="1" t="str">
        <f t="shared" si="1391"/>
        <v>48900</v>
      </c>
      <c r="B38836" s="1" t="str">
        <f>"28410"</f>
        <v>28410</v>
      </c>
      <c r="C38836" s="2">
        <v>0</v>
      </c>
      <c r="D38836" s="2">
        <v>0</v>
      </c>
      <c r="E38836" s="2">
        <v>1.53421294875728E-4</v>
      </c>
      <c r="F38836" s="2">
        <v>5.6062925027050297E-6</v>
      </c>
    </row>
    <row r="38837" spans="1:6" x14ac:dyDescent="0.25">
      <c r="A38837" s="1" t="str">
        <f t="shared" si="1391"/>
        <v>48900</v>
      </c>
      <c r="B38837" s="1" t="str">
        <f>"28425"</f>
        <v>28425</v>
      </c>
      <c r="C38837" s="2">
        <v>3.1178789973628201E-2</v>
      </c>
      <c r="D38837" s="2">
        <v>1.5744000000000001E-2</v>
      </c>
      <c r="E38837" s="2">
        <v>9.6655415771709097E-3</v>
      </c>
      <c r="F38837" s="2">
        <v>2.9040595164012001E-2</v>
      </c>
    </row>
    <row r="38838" spans="1:6" x14ac:dyDescent="0.25">
      <c r="A38838" s="1" t="str">
        <f t="shared" si="1391"/>
        <v>48900</v>
      </c>
      <c r="B38838" s="1" t="str">
        <f>"28449"</f>
        <v>28449</v>
      </c>
      <c r="C38838" s="2">
        <v>1.27185907775814E-2</v>
      </c>
      <c r="D38838" s="2">
        <v>6.2719999999999998E-3</v>
      </c>
      <c r="E38838" s="2">
        <v>3.3752684872660299E-3</v>
      </c>
      <c r="F38838" s="2">
        <v>1.18124583031995E-2</v>
      </c>
    </row>
    <row r="38839" spans="1:6" x14ac:dyDescent="0.25">
      <c r="A38839" s="1" t="str">
        <f t="shared" si="1391"/>
        <v>48900</v>
      </c>
      <c r="B38839" s="1" t="str">
        <f>"28457"</f>
        <v>28457</v>
      </c>
      <c r="C38839" s="2">
        <v>3.09739611337276E-2</v>
      </c>
      <c r="D38839" s="2">
        <v>1.0048E-2</v>
      </c>
      <c r="E38839" s="2">
        <v>5.9834305001534201E-3</v>
      </c>
      <c r="F38839" s="2">
        <v>2.8227682751119799E-2</v>
      </c>
    </row>
    <row r="38840" spans="1:6" x14ac:dyDescent="0.25">
      <c r="A38840" s="1" t="str">
        <f t="shared" ref="A38840:A38854" si="1392">"48940"</f>
        <v>48940</v>
      </c>
      <c r="B38840" s="1" t="str">
        <f>"45146"</f>
        <v>45146</v>
      </c>
      <c r="C38840" s="2">
        <v>3.31571359923113E-2</v>
      </c>
      <c r="D38840" s="2">
        <v>2.3400936037441399E-3</v>
      </c>
      <c r="E38840" s="2">
        <v>1.8398268398268299E-2</v>
      </c>
      <c r="F38840" s="2">
        <v>3.0618581323143001E-2</v>
      </c>
    </row>
    <row r="38841" spans="1:6" x14ac:dyDescent="0.25">
      <c r="A38841" s="1" t="str">
        <f t="shared" si="1392"/>
        <v>48940</v>
      </c>
      <c r="B38841" s="1" t="str">
        <f>"43160"</f>
        <v>43160</v>
      </c>
      <c r="C38841" s="2">
        <v>5.3393133643013501E-5</v>
      </c>
      <c r="D38841" s="2">
        <v>0</v>
      </c>
      <c r="E38841" s="2">
        <v>0</v>
      </c>
      <c r="F38841" s="2">
        <v>4.7766897540004697E-5</v>
      </c>
    </row>
    <row r="38842" spans="1:6" x14ac:dyDescent="0.25">
      <c r="A38842" s="1" t="str">
        <f t="shared" si="1392"/>
        <v>48940</v>
      </c>
      <c r="B38842" s="1" t="str">
        <f>"45169"</f>
        <v>45169</v>
      </c>
      <c r="C38842" s="2">
        <v>0.107693950557958</v>
      </c>
      <c r="D38842" s="2">
        <v>8.5803432137285404E-2</v>
      </c>
      <c r="E38842" s="2">
        <v>4.9783549783549701E-2</v>
      </c>
      <c r="F38842" s="2">
        <v>0.10379746835443</v>
      </c>
    </row>
    <row r="38843" spans="1:6" x14ac:dyDescent="0.25">
      <c r="A38843" s="1" t="str">
        <f t="shared" si="1392"/>
        <v>48940</v>
      </c>
      <c r="B38843" s="1" t="str">
        <f>"45113"</f>
        <v>45113</v>
      </c>
      <c r="C38843" s="2">
        <v>5.3553313043942501E-2</v>
      </c>
      <c r="D38843" s="2">
        <v>9.3603744149765907E-3</v>
      </c>
      <c r="E38843" s="2">
        <v>1.51515151515151E-2</v>
      </c>
      <c r="F38843" s="2">
        <v>4.9152137568664898E-2</v>
      </c>
    </row>
    <row r="38844" spans="1:6" x14ac:dyDescent="0.25">
      <c r="A38844" s="1" t="str">
        <f t="shared" si="1392"/>
        <v>48940</v>
      </c>
      <c r="B38844" s="1" t="str">
        <f>"45135"</f>
        <v>45135</v>
      </c>
      <c r="C38844" s="2">
        <v>2.4560841475786202E-3</v>
      </c>
      <c r="D38844" s="2">
        <v>0</v>
      </c>
      <c r="E38844" s="2">
        <v>0</v>
      </c>
      <c r="F38844" s="2">
        <v>2.1972772868402101E-3</v>
      </c>
    </row>
    <row r="38845" spans="1:6" x14ac:dyDescent="0.25">
      <c r="A38845" s="1" t="str">
        <f t="shared" si="1392"/>
        <v>48940</v>
      </c>
      <c r="B38845" s="1" t="str">
        <f>"45068"</f>
        <v>45068</v>
      </c>
      <c r="C38845" s="2">
        <v>7.4750387100218905E-4</v>
      </c>
      <c r="D38845" s="2">
        <v>0</v>
      </c>
      <c r="E38845" s="2">
        <v>0</v>
      </c>
      <c r="F38845" s="2">
        <v>6.6873656556006597E-4</v>
      </c>
    </row>
    <row r="38846" spans="1:6" x14ac:dyDescent="0.25">
      <c r="A38846" s="1" t="str">
        <f t="shared" si="1392"/>
        <v>48940</v>
      </c>
      <c r="B38846" s="1" t="str">
        <f>"45148"</f>
        <v>45148</v>
      </c>
      <c r="C38846" s="2">
        <v>3.2783384056810201E-2</v>
      </c>
      <c r="D38846" s="2">
        <v>1.24804992199687E-2</v>
      </c>
      <c r="E38846" s="2">
        <v>8.6580086580086493E-3</v>
      </c>
      <c r="F38846" s="2">
        <v>3.0475280630522999E-2</v>
      </c>
    </row>
    <row r="38847" spans="1:6" x14ac:dyDescent="0.25">
      <c r="A38847" s="1" t="str">
        <f t="shared" si="1392"/>
        <v>48940</v>
      </c>
      <c r="B38847" s="1" t="str">
        <f>"45142"</f>
        <v>45142</v>
      </c>
      <c r="C38847" s="2">
        <v>1.1052378664103701E-2</v>
      </c>
      <c r="D38847" s="2">
        <v>3.1201248049921898E-3</v>
      </c>
      <c r="E38847" s="2">
        <v>0</v>
      </c>
      <c r="F38847" s="2">
        <v>1.0078815380941001E-2</v>
      </c>
    </row>
    <row r="38848" spans="1:6" x14ac:dyDescent="0.25">
      <c r="A38848" s="1" t="str">
        <f t="shared" si="1392"/>
        <v>48940</v>
      </c>
      <c r="B38848" s="1" t="str">
        <f>"45177"</f>
        <v>45177</v>
      </c>
      <c r="C38848" s="2">
        <v>0.54487692882695204</v>
      </c>
      <c r="D38848" s="2">
        <v>0.71996879875194997</v>
      </c>
      <c r="E38848" s="2">
        <v>0.76731601731601695</v>
      </c>
      <c r="F38848" s="2">
        <v>0.56541676618103598</v>
      </c>
    </row>
    <row r="38849" spans="1:6" x14ac:dyDescent="0.25">
      <c r="A38849" s="1" t="str">
        <f t="shared" si="1392"/>
        <v>48940</v>
      </c>
      <c r="B38849" s="1" t="str">
        <f>"45335"</f>
        <v>45335</v>
      </c>
      <c r="C38849" s="2">
        <v>2.1357253457205401E-3</v>
      </c>
      <c r="D38849" s="2">
        <v>0</v>
      </c>
      <c r="E38849" s="2">
        <v>0</v>
      </c>
      <c r="F38849" s="2">
        <v>1.91067590160019E-3</v>
      </c>
    </row>
    <row r="38850" spans="1:6" x14ac:dyDescent="0.25">
      <c r="A38850" s="1" t="str">
        <f t="shared" si="1392"/>
        <v>48940</v>
      </c>
      <c r="B38850" s="1" t="str">
        <f>"45385"</f>
        <v>45385</v>
      </c>
      <c r="C38850" s="2">
        <v>1.6017940092904001E-4</v>
      </c>
      <c r="D38850" s="2">
        <v>0</v>
      </c>
      <c r="E38850" s="2">
        <v>0</v>
      </c>
      <c r="F38850" s="2">
        <v>1.4330069262001401E-4</v>
      </c>
    </row>
    <row r="38851" spans="1:6" x14ac:dyDescent="0.25">
      <c r="A38851" s="1" t="str">
        <f t="shared" si="1392"/>
        <v>48940</v>
      </c>
      <c r="B38851" s="1" t="str">
        <f>"45164"</f>
        <v>45164</v>
      </c>
      <c r="C38851" s="2">
        <v>4.8587751615142196E-3</v>
      </c>
      <c r="D38851" s="2">
        <v>7.8003120124804897E-4</v>
      </c>
      <c r="E38851" s="2">
        <v>0</v>
      </c>
      <c r="F38851" s="2">
        <v>4.3945545736804297E-3</v>
      </c>
    </row>
    <row r="38852" spans="1:6" x14ac:dyDescent="0.25">
      <c r="A38852" s="1" t="str">
        <f t="shared" si="1392"/>
        <v>48940</v>
      </c>
      <c r="B38852" s="1" t="str">
        <f>"45166"</f>
        <v>45166</v>
      </c>
      <c r="C38852" s="2">
        <v>0</v>
      </c>
      <c r="D38852" s="2">
        <v>0</v>
      </c>
      <c r="E38852" s="2">
        <v>1.0822510822510801E-3</v>
      </c>
      <c r="F38852" s="2">
        <v>4.7766897540004697E-5</v>
      </c>
    </row>
    <row r="38853" spans="1:6" x14ac:dyDescent="0.25">
      <c r="A38853" s="1" t="str">
        <f t="shared" si="1392"/>
        <v>48940</v>
      </c>
      <c r="B38853" s="1" t="str">
        <f>"45107"</f>
        <v>45107</v>
      </c>
      <c r="C38853" s="2">
        <v>0.15350525922366301</v>
      </c>
      <c r="D38853" s="2">
        <v>0.152886115444617</v>
      </c>
      <c r="E38853" s="2">
        <v>0.117965367965367</v>
      </c>
      <c r="F38853" s="2">
        <v>0.151898734177215</v>
      </c>
    </row>
    <row r="38854" spans="1:6" x14ac:dyDescent="0.25">
      <c r="A38854" s="1" t="str">
        <f t="shared" si="1392"/>
        <v>48940</v>
      </c>
      <c r="B38854" s="1" t="str">
        <f>"45159"</f>
        <v>45159</v>
      </c>
      <c r="C38854" s="2">
        <v>5.2965988573869402E-2</v>
      </c>
      <c r="D38854" s="2">
        <v>1.3260530421216801E-2</v>
      </c>
      <c r="E38854" s="2">
        <v>2.1645021645021599E-2</v>
      </c>
      <c r="F38854" s="2">
        <v>4.9152137568664898E-2</v>
      </c>
    </row>
    <row r="38855" spans="1:6" x14ac:dyDescent="0.25">
      <c r="A38855" s="1" t="str">
        <f t="shared" ref="A38855:A38872" si="1393">"48980"</f>
        <v>48980</v>
      </c>
      <c r="B38855" s="1" t="str">
        <f>"27542"</f>
        <v>27542</v>
      </c>
      <c r="C38855" s="2">
        <v>2.42468593730942E-2</v>
      </c>
      <c r="D38855" s="2">
        <v>6.0386473429951603E-3</v>
      </c>
      <c r="E38855" s="2">
        <v>1.9784172661870499E-2</v>
      </c>
      <c r="F38855" s="2">
        <v>2.2477191633014901E-2</v>
      </c>
    </row>
    <row r="38856" spans="1:6" x14ac:dyDescent="0.25">
      <c r="A38856" s="1" t="str">
        <f t="shared" si="1393"/>
        <v>48980</v>
      </c>
      <c r="B38856" s="1" t="str">
        <f>"27883"</f>
        <v>27883</v>
      </c>
      <c r="C38856" s="2">
        <v>1.85876326381266E-2</v>
      </c>
      <c r="D38856" s="2">
        <v>6.7632850241545802E-3</v>
      </c>
      <c r="E38856" s="2">
        <v>1.7985611510791301E-3</v>
      </c>
      <c r="F38856" s="2">
        <v>1.6943358331730801E-2</v>
      </c>
    </row>
    <row r="38857" spans="1:6" x14ac:dyDescent="0.25">
      <c r="A38857" s="1" t="str">
        <f t="shared" si="1393"/>
        <v>48980</v>
      </c>
      <c r="B38857" s="1" t="str">
        <f>"27894"</f>
        <v>27894</v>
      </c>
      <c r="C38857" s="2">
        <v>3.2321014757897303E-2</v>
      </c>
      <c r="D38857" s="2">
        <v>0.105555555555555</v>
      </c>
      <c r="E38857" s="2">
        <v>5.9952038369304498E-4</v>
      </c>
      <c r="F38857" s="2">
        <v>3.7668525521868203E-2</v>
      </c>
    </row>
    <row r="38858" spans="1:6" x14ac:dyDescent="0.25">
      <c r="A38858" s="1" t="str">
        <f t="shared" si="1393"/>
        <v>48980</v>
      </c>
      <c r="B38858" s="1" t="str">
        <f>"27830"</f>
        <v>27830</v>
      </c>
      <c r="C38858" s="2">
        <v>3.34187095987315E-3</v>
      </c>
      <c r="D38858" s="2">
        <v>1.2077294685990301E-3</v>
      </c>
      <c r="E38858" s="2">
        <v>0</v>
      </c>
      <c r="F38858" s="2">
        <v>3.0339935474221701E-3</v>
      </c>
    </row>
    <row r="38859" spans="1:6" x14ac:dyDescent="0.25">
      <c r="A38859" s="1" t="str">
        <f t="shared" si="1393"/>
        <v>48980</v>
      </c>
      <c r="B38859" s="1" t="str">
        <f>"27893"</f>
        <v>27893</v>
      </c>
      <c r="C38859" s="2">
        <v>0.46625198194901801</v>
      </c>
      <c r="D38859" s="2">
        <v>0.55217391304347796</v>
      </c>
      <c r="E38859" s="2">
        <v>0.71582733812949595</v>
      </c>
      <c r="F38859" s="2">
        <v>0.48274683246800398</v>
      </c>
    </row>
    <row r="38860" spans="1:6" x14ac:dyDescent="0.25">
      <c r="A38860" s="1" t="str">
        <f t="shared" si="1393"/>
        <v>48980</v>
      </c>
      <c r="B38860" s="1" t="str">
        <f>"27880"</f>
        <v>27880</v>
      </c>
      <c r="C38860" s="2">
        <v>3.2296621539211999E-2</v>
      </c>
      <c r="D38860" s="2">
        <v>9.4202898550724608E-3</v>
      </c>
      <c r="E38860" s="2">
        <v>0</v>
      </c>
      <c r="F38860" s="2">
        <v>2.9122064824904301E-2</v>
      </c>
    </row>
    <row r="38861" spans="1:6" x14ac:dyDescent="0.25">
      <c r="A38861" s="1" t="str">
        <f t="shared" si="1393"/>
        <v>48980</v>
      </c>
      <c r="B38861" s="1" t="str">
        <f>"27822"</f>
        <v>27822</v>
      </c>
      <c r="C38861" s="2">
        <v>9.1376997194779805E-2</v>
      </c>
      <c r="D38861" s="2">
        <v>4.4202898550724602E-2</v>
      </c>
      <c r="E38861" s="2">
        <v>3.5971223021582701E-3</v>
      </c>
      <c r="F38861" s="2">
        <v>8.4075807106382003E-2</v>
      </c>
    </row>
    <row r="38862" spans="1:6" x14ac:dyDescent="0.25">
      <c r="A38862" s="1" t="str">
        <f t="shared" si="1393"/>
        <v>48980</v>
      </c>
      <c r="B38862" s="1" t="str">
        <f>"27803"</f>
        <v>27803</v>
      </c>
      <c r="C38862" s="2">
        <v>4.9518233930967099E-3</v>
      </c>
      <c r="D38862" s="2">
        <v>1.2077294685990301E-3</v>
      </c>
      <c r="E38862" s="2">
        <v>0</v>
      </c>
      <c r="F38862" s="2">
        <v>4.4441595624212099E-3</v>
      </c>
    </row>
    <row r="38863" spans="1:6" x14ac:dyDescent="0.25">
      <c r="A38863" s="1" t="str">
        <f t="shared" si="1393"/>
        <v>48980</v>
      </c>
      <c r="B38863" s="1" t="str">
        <f>"27895"</f>
        <v>27895</v>
      </c>
      <c r="C38863" s="2">
        <v>2.52713745578729E-2</v>
      </c>
      <c r="D38863" s="2">
        <v>8.5024154589371903E-2</v>
      </c>
      <c r="E38863" s="2">
        <v>5.9952038369304498E-4</v>
      </c>
      <c r="F38863" s="2">
        <v>2.9677584770206999E-2</v>
      </c>
    </row>
    <row r="38864" spans="1:6" x14ac:dyDescent="0.25">
      <c r="A38864" s="1" t="str">
        <f t="shared" si="1393"/>
        <v>48980</v>
      </c>
      <c r="B38864" s="1" t="str">
        <f>"27829"</f>
        <v>27829</v>
      </c>
      <c r="C38864" s="2">
        <v>2.9027930235394502E-3</v>
      </c>
      <c r="D38864" s="2">
        <v>7.2463768115941997E-4</v>
      </c>
      <c r="E38864" s="2">
        <v>0</v>
      </c>
      <c r="F38864" s="2">
        <v>2.60667051257398E-3</v>
      </c>
    </row>
    <row r="38865" spans="1:6" x14ac:dyDescent="0.25">
      <c r="A38865" s="1" t="str">
        <f t="shared" si="1393"/>
        <v>48980</v>
      </c>
      <c r="B38865" s="1" t="str">
        <f>"27873"</f>
        <v>27873</v>
      </c>
      <c r="C38865" s="2">
        <v>0</v>
      </c>
      <c r="D38865" s="2">
        <v>2.41545893719806E-4</v>
      </c>
      <c r="E38865" s="2">
        <v>5.9952038369304498E-4</v>
      </c>
      <c r="F38865" s="2">
        <v>4.2732303484819303E-5</v>
      </c>
    </row>
    <row r="38866" spans="1:6" x14ac:dyDescent="0.25">
      <c r="A38866" s="1" t="str">
        <f t="shared" si="1393"/>
        <v>48980</v>
      </c>
      <c r="B38866" s="1" t="str">
        <f>"27813"</f>
        <v>27813</v>
      </c>
      <c r="C38866" s="2">
        <v>4.1468471764849303E-3</v>
      </c>
      <c r="D38866" s="2">
        <v>2.41545893719806E-4</v>
      </c>
      <c r="E38866" s="2">
        <v>7.9736211031174994E-2</v>
      </c>
      <c r="F38866" s="2">
        <v>6.4953101296925404E-3</v>
      </c>
    </row>
    <row r="38867" spans="1:6" x14ac:dyDescent="0.25">
      <c r="A38867" s="1" t="str">
        <f t="shared" si="1393"/>
        <v>48980</v>
      </c>
      <c r="B38867" s="1" t="str">
        <f>"27852"</f>
        <v>27852</v>
      </c>
      <c r="C38867" s="2">
        <v>3.7809488962068502E-3</v>
      </c>
      <c r="D38867" s="2">
        <v>2.41545893719806E-4</v>
      </c>
      <c r="E38867" s="2">
        <v>0</v>
      </c>
      <c r="F38867" s="2">
        <v>3.3331196718159001E-3</v>
      </c>
    </row>
    <row r="38868" spans="1:6" x14ac:dyDescent="0.25">
      <c r="A38868" s="1" t="str">
        <f t="shared" si="1393"/>
        <v>48980</v>
      </c>
      <c r="B38868" s="1" t="str">
        <f>"27557"</f>
        <v>27557</v>
      </c>
      <c r="C38868" s="2">
        <v>1.43919990242712E-3</v>
      </c>
      <c r="D38868" s="2">
        <v>4.8309178743961303E-4</v>
      </c>
      <c r="E38868" s="2">
        <v>0</v>
      </c>
      <c r="F38868" s="2">
        <v>1.30333525628699E-3</v>
      </c>
    </row>
    <row r="38869" spans="1:6" x14ac:dyDescent="0.25">
      <c r="A38869" s="1" t="str">
        <f t="shared" si="1393"/>
        <v>48980</v>
      </c>
      <c r="B38869" s="1" t="str">
        <f>"27896"</f>
        <v>27896</v>
      </c>
      <c r="C38869" s="2">
        <v>0.21531894133430901</v>
      </c>
      <c r="D38869" s="2">
        <v>0.16183574879227</v>
      </c>
      <c r="E38869" s="2">
        <v>0.17685851318944801</v>
      </c>
      <c r="F38869" s="2">
        <v>0.209217357861675</v>
      </c>
    </row>
    <row r="38870" spans="1:6" x14ac:dyDescent="0.25">
      <c r="A38870" s="1" t="str">
        <f t="shared" si="1393"/>
        <v>48980</v>
      </c>
      <c r="B38870" s="1" t="str">
        <f>"27807"</f>
        <v>27807</v>
      </c>
      <c r="C38870" s="2">
        <v>3.9517014270032897E-3</v>
      </c>
      <c r="D38870" s="2">
        <v>9.6618357487922703E-4</v>
      </c>
      <c r="E38870" s="2">
        <v>0</v>
      </c>
      <c r="F38870" s="2">
        <v>3.5467811892400001E-3</v>
      </c>
    </row>
    <row r="38871" spans="1:6" x14ac:dyDescent="0.25">
      <c r="A38871" s="1" t="str">
        <f t="shared" si="1393"/>
        <v>48980</v>
      </c>
      <c r="B38871" s="1" t="str">
        <f>"27888"</f>
        <v>27888</v>
      </c>
      <c r="C38871" s="2">
        <v>1.6831320892791799E-3</v>
      </c>
      <c r="D38871" s="2">
        <v>4.8309178743961303E-4</v>
      </c>
      <c r="E38871" s="2">
        <v>0</v>
      </c>
      <c r="F38871" s="2">
        <v>1.5169967737110801E-3</v>
      </c>
    </row>
    <row r="38872" spans="1:6" x14ac:dyDescent="0.25">
      <c r="A38872" s="1" t="str">
        <f t="shared" si="1393"/>
        <v>48980</v>
      </c>
      <c r="B38872" s="1" t="str">
        <f>"27851"</f>
        <v>27851</v>
      </c>
      <c r="C38872" s="2">
        <v>6.8130259787778896E-2</v>
      </c>
      <c r="D38872" s="2">
        <v>2.3188405797101401E-2</v>
      </c>
      <c r="E38872" s="2">
        <v>5.9952038369304498E-4</v>
      </c>
      <c r="F38872" s="2">
        <v>6.17481785355639E-2</v>
      </c>
    </row>
    <row r="38873" spans="1:6" x14ac:dyDescent="0.25">
      <c r="A38873" s="1" t="str">
        <f t="shared" ref="A38873:A38908" si="1394">"49020"</f>
        <v>49020</v>
      </c>
      <c r="B38873" s="1" t="str">
        <f>"22624"</f>
        <v>22624</v>
      </c>
      <c r="C38873" s="2">
        <v>1.6625064004096201E-2</v>
      </c>
      <c r="D38873" s="2">
        <v>1.03550295857988E-2</v>
      </c>
      <c r="E38873" s="2">
        <v>5.1340559041642801E-3</v>
      </c>
      <c r="F38873" s="2">
        <v>1.5849089108058E-2</v>
      </c>
    </row>
    <row r="38874" spans="1:6" x14ac:dyDescent="0.25">
      <c r="A38874" s="1" t="str">
        <f t="shared" si="1394"/>
        <v>49020</v>
      </c>
      <c r="B38874" s="1" t="str">
        <f>"26710"</f>
        <v>26710</v>
      </c>
      <c r="C38874" s="2">
        <v>3.2002048131080302E-4</v>
      </c>
      <c r="D38874" s="2">
        <v>3.6982248520709999E-4</v>
      </c>
      <c r="E38874" s="2">
        <v>0</v>
      </c>
      <c r="F38874" s="2">
        <v>3.15833297443185E-4</v>
      </c>
    </row>
    <row r="38875" spans="1:6" x14ac:dyDescent="0.25">
      <c r="A38875" s="1" t="str">
        <f t="shared" si="1394"/>
        <v>49020</v>
      </c>
      <c r="B38875" s="1" t="str">
        <f>"26757"</f>
        <v>26757</v>
      </c>
      <c r="C38875" s="2">
        <v>4.90271377368151E-2</v>
      </c>
      <c r="D38875" s="2">
        <v>5.5658284023668597E-2</v>
      </c>
      <c r="E38875" s="2">
        <v>3.70792926411865E-2</v>
      </c>
      <c r="F38875" s="2">
        <v>4.9241282283187603E-2</v>
      </c>
    </row>
    <row r="38876" spans="1:6" x14ac:dyDescent="0.25">
      <c r="A38876" s="1" t="str">
        <f t="shared" si="1394"/>
        <v>49020</v>
      </c>
      <c r="B38876" s="1" t="str">
        <f>"22602"</f>
        <v>22602</v>
      </c>
      <c r="C38876" s="2">
        <v>0.199020737327188</v>
      </c>
      <c r="D38876" s="2">
        <v>0.14108727810650801</v>
      </c>
      <c r="E38876" s="2">
        <v>0.126640045636052</v>
      </c>
      <c r="F38876" s="2">
        <v>0.19270137961726699</v>
      </c>
    </row>
    <row r="38877" spans="1:6" x14ac:dyDescent="0.25">
      <c r="A38877" s="1" t="str">
        <f t="shared" si="1394"/>
        <v>49020</v>
      </c>
      <c r="B38877" s="1" t="str">
        <f>"22604"</f>
        <v>22604</v>
      </c>
      <c r="C38877" s="2">
        <v>3.0609959037378301E-2</v>
      </c>
      <c r="D38877" s="2">
        <v>0.113905325443786</v>
      </c>
      <c r="E38877" s="2">
        <v>5.7045065601825395E-4</v>
      </c>
      <c r="F38877" s="2">
        <v>3.6320829205966298E-2</v>
      </c>
    </row>
    <row r="38878" spans="1:6" x14ac:dyDescent="0.25">
      <c r="A38878" s="1" t="str">
        <f t="shared" si="1394"/>
        <v>49020</v>
      </c>
      <c r="B38878" s="1" t="str">
        <f>"26823"</f>
        <v>26823</v>
      </c>
      <c r="C38878" s="2">
        <v>0</v>
      </c>
      <c r="D38878" s="2">
        <v>1.8491124260354999E-4</v>
      </c>
      <c r="E38878" s="2">
        <v>0</v>
      </c>
      <c r="F38878" s="2">
        <v>1.4356058974690201E-5</v>
      </c>
    </row>
    <row r="38879" spans="1:6" x14ac:dyDescent="0.25">
      <c r="A38879" s="1" t="str">
        <f t="shared" si="1394"/>
        <v>49020</v>
      </c>
      <c r="B38879" s="1" t="str">
        <f>"25422"</f>
        <v>25422</v>
      </c>
      <c r="C38879" s="2">
        <v>4.8003072196620502E-5</v>
      </c>
      <c r="D38879" s="2">
        <v>0</v>
      </c>
      <c r="E38879" s="2">
        <v>0</v>
      </c>
      <c r="F38879" s="2">
        <v>4.30681769240708E-5</v>
      </c>
    </row>
    <row r="38880" spans="1:6" x14ac:dyDescent="0.25">
      <c r="A38880" s="1" t="str">
        <f t="shared" si="1394"/>
        <v>49020</v>
      </c>
      <c r="B38880" s="1" t="str">
        <f>"26818"</f>
        <v>26818</v>
      </c>
      <c r="C38880" s="2">
        <v>6.4004096262160697E-5</v>
      </c>
      <c r="D38880" s="2">
        <v>0</v>
      </c>
      <c r="E38880" s="2">
        <v>0</v>
      </c>
      <c r="F38880" s="2">
        <v>5.7424235898760999E-5</v>
      </c>
    </row>
    <row r="38881" spans="1:6" x14ac:dyDescent="0.25">
      <c r="A38881" s="1" t="str">
        <f t="shared" si="1394"/>
        <v>49020</v>
      </c>
      <c r="B38881" s="1" t="str">
        <f>"22625"</f>
        <v>22625</v>
      </c>
      <c r="C38881" s="2">
        <v>2.5697644649257501E-2</v>
      </c>
      <c r="D38881" s="2">
        <v>1.4792899408283999E-3</v>
      </c>
      <c r="E38881" s="2">
        <v>5.7045065601825395E-4</v>
      </c>
      <c r="F38881" s="2">
        <v>2.3185035244124699E-2</v>
      </c>
    </row>
    <row r="38882" spans="1:6" x14ac:dyDescent="0.25">
      <c r="A38882" s="1" t="str">
        <f t="shared" si="1394"/>
        <v>49020</v>
      </c>
      <c r="B38882" s="1" t="str">
        <f>"26763"</f>
        <v>26763</v>
      </c>
      <c r="C38882" s="2">
        <v>5.9523809523809503E-3</v>
      </c>
      <c r="D38882" s="2">
        <v>1.4792899408283999E-3</v>
      </c>
      <c r="E38882" s="2">
        <v>2.2818026240730102E-3</v>
      </c>
      <c r="F38882" s="2">
        <v>5.5127266462810598E-3</v>
      </c>
    </row>
    <row r="38883" spans="1:6" x14ac:dyDescent="0.25">
      <c r="A38883" s="1" t="str">
        <f t="shared" si="1394"/>
        <v>49020</v>
      </c>
      <c r="B38883" s="1" t="str">
        <f>"25437"</f>
        <v>25437</v>
      </c>
      <c r="C38883" s="2">
        <v>5.0243215565796201E-3</v>
      </c>
      <c r="D38883" s="2">
        <v>1.8491124260354999E-4</v>
      </c>
      <c r="E38883" s="2">
        <v>0</v>
      </c>
      <c r="F38883" s="2">
        <v>4.5221585770274303E-3</v>
      </c>
    </row>
    <row r="38884" spans="1:6" x14ac:dyDescent="0.25">
      <c r="A38884" s="1" t="str">
        <f t="shared" si="1394"/>
        <v>49020</v>
      </c>
      <c r="B38884" s="1" t="str">
        <f>"26761"</f>
        <v>26761</v>
      </c>
      <c r="C38884" s="2">
        <v>2.8481822836661499E-3</v>
      </c>
      <c r="D38884" s="2">
        <v>9.24556213017751E-4</v>
      </c>
      <c r="E38884" s="2">
        <v>0</v>
      </c>
      <c r="F38884" s="2">
        <v>2.62715879236831E-3</v>
      </c>
    </row>
    <row r="38885" spans="1:6" x14ac:dyDescent="0.25">
      <c r="A38885" s="1" t="str">
        <f t="shared" si="1394"/>
        <v>49020</v>
      </c>
      <c r="B38885" s="1" t="str">
        <f>"26845"</f>
        <v>26845</v>
      </c>
      <c r="C38885" s="2">
        <v>3.6802355350742401E-4</v>
      </c>
      <c r="D38885" s="2">
        <v>3.6982248520709999E-4</v>
      </c>
      <c r="E38885" s="2">
        <v>0</v>
      </c>
      <c r="F38885" s="2">
        <v>3.5890147436725599E-4</v>
      </c>
    </row>
    <row r="38886" spans="1:6" x14ac:dyDescent="0.25">
      <c r="A38886" s="1" t="str">
        <f t="shared" si="1394"/>
        <v>49020</v>
      </c>
      <c r="B38886" s="1" t="str">
        <f>"22622"</f>
        <v>22622</v>
      </c>
      <c r="C38886" s="2">
        <v>0</v>
      </c>
      <c r="D38886" s="2">
        <v>1.8491124260354999E-4</v>
      </c>
      <c r="E38886" s="2">
        <v>0</v>
      </c>
      <c r="F38886" s="2">
        <v>1.4356058974690201E-5</v>
      </c>
    </row>
    <row r="38887" spans="1:6" x14ac:dyDescent="0.25">
      <c r="A38887" s="1" t="str">
        <f t="shared" si="1394"/>
        <v>49020</v>
      </c>
      <c r="B38887" s="1" t="str">
        <f>"22603"</f>
        <v>22603</v>
      </c>
      <c r="C38887" s="2">
        <v>0.114503328213005</v>
      </c>
      <c r="D38887" s="2">
        <v>0.13202662721893399</v>
      </c>
      <c r="E38887" s="2">
        <v>7.5869937250427802E-2</v>
      </c>
      <c r="F38887" s="2">
        <v>0.114891539974446</v>
      </c>
    </row>
    <row r="38888" spans="1:6" x14ac:dyDescent="0.25">
      <c r="A38888" s="1" t="str">
        <f t="shared" si="1394"/>
        <v>49020</v>
      </c>
      <c r="B38888" s="1" t="str">
        <f>"22637"</f>
        <v>22637</v>
      </c>
      <c r="C38888" s="2">
        <v>1.46089349718381E-2</v>
      </c>
      <c r="D38888" s="2">
        <v>2.4038461538461501E-3</v>
      </c>
      <c r="E38888" s="2">
        <v>2.2818026240730102E-3</v>
      </c>
      <c r="F38888" s="2">
        <v>1.3351134846461899E-2</v>
      </c>
    </row>
    <row r="38889" spans="1:6" x14ac:dyDescent="0.25">
      <c r="A38889" s="1" t="str">
        <f t="shared" si="1394"/>
        <v>49020</v>
      </c>
      <c r="B38889" s="1" t="str">
        <f>"26851"</f>
        <v>26851</v>
      </c>
      <c r="C38889" s="2">
        <v>9.60061443932411E-5</v>
      </c>
      <c r="D38889" s="2">
        <v>0</v>
      </c>
      <c r="E38889" s="2">
        <v>0</v>
      </c>
      <c r="F38889" s="2">
        <v>8.61363538481416E-5</v>
      </c>
    </row>
    <row r="38890" spans="1:6" x14ac:dyDescent="0.25">
      <c r="A38890" s="1" t="str">
        <f t="shared" si="1394"/>
        <v>49020</v>
      </c>
      <c r="B38890" s="1" t="str">
        <f>"22601"</f>
        <v>22601</v>
      </c>
      <c r="C38890" s="2">
        <v>0.21338965693804399</v>
      </c>
      <c r="D38890" s="2">
        <v>0.44674556213017702</v>
      </c>
      <c r="E38890" s="2">
        <v>0.67484312606959396</v>
      </c>
      <c r="F38890" s="2">
        <v>0.24311985873637901</v>
      </c>
    </row>
    <row r="38891" spans="1:6" x14ac:dyDescent="0.25">
      <c r="A38891" s="1" t="str">
        <f t="shared" si="1394"/>
        <v>49020</v>
      </c>
      <c r="B38891" s="1" t="str">
        <f>"26722"</f>
        <v>26722</v>
      </c>
      <c r="C38891" s="2">
        <v>3.8402457757296402E-3</v>
      </c>
      <c r="D38891" s="2">
        <v>9.24556213017751E-4</v>
      </c>
      <c r="E38891" s="2">
        <v>1.1409013120365001E-3</v>
      </c>
      <c r="F38891" s="2">
        <v>3.5459465667484901E-3</v>
      </c>
    </row>
    <row r="38892" spans="1:6" x14ac:dyDescent="0.25">
      <c r="A38892" s="1" t="str">
        <f t="shared" si="1394"/>
        <v>49020</v>
      </c>
      <c r="B38892" s="1" t="str">
        <f>"26808"</f>
        <v>26808</v>
      </c>
      <c r="C38892" s="2">
        <v>7.3284690220173998E-3</v>
      </c>
      <c r="D38892" s="2">
        <v>2.0340236686390502E-3</v>
      </c>
      <c r="E38892" s="2">
        <v>0</v>
      </c>
      <c r="F38892" s="2">
        <v>6.7329916591297298E-3</v>
      </c>
    </row>
    <row r="38893" spans="1:6" x14ac:dyDescent="0.25">
      <c r="A38893" s="1" t="str">
        <f t="shared" si="1394"/>
        <v>49020</v>
      </c>
      <c r="B38893" s="1" t="str">
        <f>"26755"</f>
        <v>26755</v>
      </c>
      <c r="C38893" s="2">
        <v>2.8321812596006101E-3</v>
      </c>
      <c r="D38893" s="2">
        <v>3.6982248520709999E-4</v>
      </c>
      <c r="E38893" s="2">
        <v>0</v>
      </c>
      <c r="F38893" s="2">
        <v>2.5697345564695499E-3</v>
      </c>
    </row>
    <row r="38894" spans="1:6" x14ac:dyDescent="0.25">
      <c r="A38894" s="1" t="str">
        <f t="shared" si="1394"/>
        <v>49020</v>
      </c>
      <c r="B38894" s="1" t="str">
        <f>"25434"</f>
        <v>25434</v>
      </c>
      <c r="C38894" s="2">
        <v>1.2528801843317901E-2</v>
      </c>
      <c r="D38894" s="2">
        <v>1.4792899408283999E-3</v>
      </c>
      <c r="E38894" s="2">
        <v>0</v>
      </c>
      <c r="F38894" s="2">
        <v>1.1355642648980001E-2</v>
      </c>
    </row>
    <row r="38895" spans="1:6" x14ac:dyDescent="0.25">
      <c r="A38895" s="1" t="str">
        <f t="shared" si="1394"/>
        <v>49020</v>
      </c>
      <c r="B38895" s="1" t="str">
        <f>"22655"</f>
        <v>22655</v>
      </c>
      <c r="C38895" s="2">
        <v>0.133448540706605</v>
      </c>
      <c r="D38895" s="2">
        <v>4.6967455621301703E-2</v>
      </c>
      <c r="E38895" s="2">
        <v>4.6776953793496799E-2</v>
      </c>
      <c r="F38895" s="2">
        <v>0.124553167664412</v>
      </c>
    </row>
    <row r="38896" spans="1:6" x14ac:dyDescent="0.25">
      <c r="A38896" s="1" t="str">
        <f t="shared" si="1394"/>
        <v>49020</v>
      </c>
      <c r="B38896" s="1" t="str">
        <f>"22630"</f>
        <v>22630</v>
      </c>
      <c r="C38896" s="2">
        <v>9.1525857654889894E-3</v>
      </c>
      <c r="D38896" s="2">
        <v>7.3964497041420095E-4</v>
      </c>
      <c r="E38896" s="2">
        <v>0</v>
      </c>
      <c r="F38896" s="2">
        <v>8.2690899694215902E-3</v>
      </c>
    </row>
    <row r="38897" spans="1:6" x14ac:dyDescent="0.25">
      <c r="A38897" s="1" t="str">
        <f t="shared" si="1394"/>
        <v>49020</v>
      </c>
      <c r="B38897" s="1" t="str">
        <f>"22645"</f>
        <v>22645</v>
      </c>
      <c r="C38897" s="2">
        <v>1.8945212493599501E-2</v>
      </c>
      <c r="D38897" s="2">
        <v>9.9852071005917097E-3</v>
      </c>
      <c r="E38897" s="2">
        <v>1.7113519680547602E-2</v>
      </c>
      <c r="F38897" s="2">
        <v>1.8203482779907201E-2</v>
      </c>
    </row>
    <row r="38898" spans="1:6" x14ac:dyDescent="0.25">
      <c r="A38898" s="1" t="str">
        <f t="shared" si="1394"/>
        <v>49020</v>
      </c>
      <c r="B38898" s="1" t="str">
        <f>"22656"</f>
        <v>22656</v>
      </c>
      <c r="C38898" s="2">
        <v>3.4706221198156598E-2</v>
      </c>
      <c r="D38898" s="2">
        <v>4.8076923076923002E-3</v>
      </c>
      <c r="E38898" s="2">
        <v>5.1340559041642801E-3</v>
      </c>
      <c r="F38898" s="2">
        <v>3.1640753980217297E-2</v>
      </c>
    </row>
    <row r="38899" spans="1:6" x14ac:dyDescent="0.25">
      <c r="A38899" s="1" t="str">
        <f t="shared" si="1394"/>
        <v>49020</v>
      </c>
      <c r="B38899" s="1" t="str">
        <f>"26865"</f>
        <v>26865</v>
      </c>
      <c r="C38899" s="2">
        <v>3.79224270353302E-3</v>
      </c>
      <c r="D38899" s="2">
        <v>1.6642011834319501E-3</v>
      </c>
      <c r="E38899" s="2">
        <v>0</v>
      </c>
      <c r="F38899" s="2">
        <v>3.5315905077737998E-3</v>
      </c>
    </row>
    <row r="38900" spans="1:6" x14ac:dyDescent="0.25">
      <c r="A38900" s="1" t="str">
        <f t="shared" si="1394"/>
        <v>49020</v>
      </c>
      <c r="B38900" s="1" t="str">
        <f>"25431"</f>
        <v>25431</v>
      </c>
      <c r="C38900" s="2">
        <v>2.7201740911418299E-3</v>
      </c>
      <c r="D38900" s="2">
        <v>3.6982248520709999E-4</v>
      </c>
      <c r="E38900" s="2">
        <v>5.7045065601825395E-4</v>
      </c>
      <c r="F38900" s="2">
        <v>2.4835982026214102E-3</v>
      </c>
    </row>
    <row r="38901" spans="1:6" x14ac:dyDescent="0.25">
      <c r="A38901" s="1" t="str">
        <f t="shared" si="1394"/>
        <v>49020</v>
      </c>
      <c r="B38901" s="1" t="str">
        <f>"22654"</f>
        <v>22654</v>
      </c>
      <c r="C38901" s="2">
        <v>4.2402713773681501E-3</v>
      </c>
      <c r="D38901" s="2">
        <v>2.0340236686390502E-3</v>
      </c>
      <c r="E38901" s="2">
        <v>5.7045065601825395E-4</v>
      </c>
      <c r="F38901" s="2">
        <v>3.9766283359892003E-3</v>
      </c>
    </row>
    <row r="38902" spans="1:6" x14ac:dyDescent="0.25">
      <c r="A38902" s="1" t="str">
        <f t="shared" si="1394"/>
        <v>49020</v>
      </c>
      <c r="B38902" s="1" t="str">
        <f>"25444"</f>
        <v>25444</v>
      </c>
      <c r="C38902" s="2">
        <v>3.8242447516641E-3</v>
      </c>
      <c r="D38902" s="2">
        <v>1.29437869822485E-3</v>
      </c>
      <c r="E38902" s="2">
        <v>0</v>
      </c>
      <c r="F38902" s="2">
        <v>3.5315905077737998E-3</v>
      </c>
    </row>
    <row r="38903" spans="1:6" x14ac:dyDescent="0.25">
      <c r="A38903" s="1" t="str">
        <f t="shared" si="1394"/>
        <v>49020</v>
      </c>
      <c r="B38903" s="1" t="str">
        <f>"26852"</f>
        <v>26852</v>
      </c>
      <c r="C38903" s="2">
        <v>3.6802355350742401E-3</v>
      </c>
      <c r="D38903" s="2">
        <v>1.8491124260354999E-4</v>
      </c>
      <c r="E38903" s="2">
        <v>0</v>
      </c>
      <c r="F38903" s="2">
        <v>3.3162496231534501E-3</v>
      </c>
    </row>
    <row r="38904" spans="1:6" x14ac:dyDescent="0.25">
      <c r="A38904" s="1" t="str">
        <f t="shared" si="1394"/>
        <v>49020</v>
      </c>
      <c r="B38904" s="1" t="str">
        <f>"26704"</f>
        <v>26704</v>
      </c>
      <c r="C38904" s="2">
        <v>5.2211341525857602E-2</v>
      </c>
      <c r="D38904" s="2">
        <v>6.8417159763313603E-3</v>
      </c>
      <c r="E38904" s="2">
        <v>0</v>
      </c>
      <c r="F38904" s="2">
        <v>4.7374994616477803E-2</v>
      </c>
    </row>
    <row r="38905" spans="1:6" x14ac:dyDescent="0.25">
      <c r="A38905" s="1" t="str">
        <f t="shared" si="1394"/>
        <v>49020</v>
      </c>
      <c r="B38905" s="1" t="str">
        <f>"26711"</f>
        <v>26711</v>
      </c>
      <c r="C38905" s="2">
        <v>1.5761008704557E-2</v>
      </c>
      <c r="D38905" s="2">
        <v>5.7322485207100503E-3</v>
      </c>
      <c r="E38905" s="2">
        <v>1.1409013120365001E-3</v>
      </c>
      <c r="F38905" s="2">
        <v>1.4614468036234601E-2</v>
      </c>
    </row>
    <row r="38906" spans="1:6" x14ac:dyDescent="0.25">
      <c r="A38906" s="1" t="str">
        <f t="shared" si="1394"/>
        <v>49020</v>
      </c>
      <c r="B38906" s="1" t="str">
        <f>"26714"</f>
        <v>26714</v>
      </c>
      <c r="C38906" s="2">
        <v>3.9202508960573404E-3</v>
      </c>
      <c r="D38906" s="2">
        <v>1.8491124260354999E-4</v>
      </c>
      <c r="E38906" s="2">
        <v>0</v>
      </c>
      <c r="F38906" s="2">
        <v>3.5315905077737998E-3</v>
      </c>
    </row>
    <row r="38907" spans="1:6" x14ac:dyDescent="0.25">
      <c r="A38907" s="1" t="str">
        <f t="shared" si="1394"/>
        <v>49020</v>
      </c>
      <c r="B38907" s="1" t="str">
        <f>"26817"</f>
        <v>26817</v>
      </c>
      <c r="C38907" s="2">
        <v>2.2721454173067002E-3</v>
      </c>
      <c r="D38907" s="2">
        <v>1.8491124260354999E-4</v>
      </c>
      <c r="E38907" s="2">
        <v>0</v>
      </c>
      <c r="F38907" s="2">
        <v>2.0529164333806999E-3</v>
      </c>
    </row>
    <row r="38908" spans="1:6" x14ac:dyDescent="0.25">
      <c r="A38908" s="1" t="str">
        <f t="shared" si="1394"/>
        <v>49020</v>
      </c>
      <c r="B38908" s="1" t="str">
        <f>"22663"</f>
        <v>22663</v>
      </c>
      <c r="C38908" s="2">
        <v>6.59242191500256E-3</v>
      </c>
      <c r="D38908" s="2">
        <v>6.8417159763313603E-3</v>
      </c>
      <c r="E38908" s="2">
        <v>2.2818026240730102E-3</v>
      </c>
      <c r="F38908" s="2">
        <v>6.5032947155346903E-3</v>
      </c>
    </row>
    <row r="38909" spans="1:6" x14ac:dyDescent="0.25">
      <c r="A38909" s="1" t="str">
        <f t="shared" ref="A38909:A38923" si="1395">"49060"</f>
        <v>49060</v>
      </c>
      <c r="B38909" s="1" t="str">
        <f>"67072"</f>
        <v>67072</v>
      </c>
      <c r="C38909" s="2">
        <v>9.9397766473718007E-4</v>
      </c>
      <c r="D38909" s="2">
        <v>0</v>
      </c>
      <c r="E38909" s="2">
        <v>0</v>
      </c>
      <c r="F38909" s="2">
        <v>8.9847259658580396E-4</v>
      </c>
    </row>
    <row r="38910" spans="1:6" x14ac:dyDescent="0.25">
      <c r="A38910" s="1" t="str">
        <f t="shared" si="1395"/>
        <v>49060</v>
      </c>
      <c r="B38910" s="1" t="str">
        <f>"67110"</f>
        <v>67110</v>
      </c>
      <c r="C38910" s="2">
        <v>1.40326258551131E-3</v>
      </c>
      <c r="D38910" s="2">
        <v>0</v>
      </c>
      <c r="E38910" s="2">
        <v>0</v>
      </c>
      <c r="F38910" s="2">
        <v>1.26843190106231E-3</v>
      </c>
    </row>
    <row r="38911" spans="1:6" x14ac:dyDescent="0.25">
      <c r="A38911" s="1" t="str">
        <f t="shared" si="1395"/>
        <v>49060</v>
      </c>
      <c r="B38911" s="1" t="str">
        <f>"67131"</f>
        <v>67131</v>
      </c>
      <c r="C38911" s="2">
        <v>7.5425363971233098E-3</v>
      </c>
      <c r="D38911" s="2">
        <v>7.0821529745042399E-4</v>
      </c>
      <c r="E38911" s="2">
        <v>2.46305418719211E-3</v>
      </c>
      <c r="F38911" s="2">
        <v>6.9235241266317801E-3</v>
      </c>
    </row>
    <row r="38912" spans="1:6" x14ac:dyDescent="0.25">
      <c r="A38912" s="1" t="str">
        <f t="shared" si="1395"/>
        <v>49060</v>
      </c>
      <c r="B38912" s="1" t="str">
        <f>"67156"</f>
        <v>67156</v>
      </c>
      <c r="C38912" s="2">
        <v>0.41840612757995599</v>
      </c>
      <c r="D38912" s="2">
        <v>0.51558073654390901</v>
      </c>
      <c r="E38912" s="2">
        <v>0.60344827586206795</v>
      </c>
      <c r="F38912" s="2">
        <v>0.42962845515564702</v>
      </c>
    </row>
    <row r="38913" spans="1:6" x14ac:dyDescent="0.25">
      <c r="A38913" s="1" t="str">
        <f t="shared" si="1395"/>
        <v>49060</v>
      </c>
      <c r="B38913" s="1" t="str">
        <f>"67146"</f>
        <v>67146</v>
      </c>
      <c r="C38913" s="2">
        <v>4.6716950242647402E-2</v>
      </c>
      <c r="D38913" s="2">
        <v>1.62889518413597E-2</v>
      </c>
      <c r="E38913" s="2">
        <v>4.9261083743842296E-3</v>
      </c>
      <c r="F38913" s="2">
        <v>4.3549495269805998E-2</v>
      </c>
    </row>
    <row r="38914" spans="1:6" x14ac:dyDescent="0.25">
      <c r="A38914" s="1" t="str">
        <f t="shared" si="1395"/>
        <v>49060</v>
      </c>
      <c r="B38914" s="1" t="str">
        <f>"67005"</f>
        <v>67005</v>
      </c>
      <c r="C38914" s="2">
        <v>0.44962872010758298</v>
      </c>
      <c r="D38914" s="2">
        <v>0.43271954674220903</v>
      </c>
      <c r="E38914" s="2">
        <v>0.35714285714285698</v>
      </c>
      <c r="F38914" s="2">
        <v>0.44638232651551102</v>
      </c>
    </row>
    <row r="38915" spans="1:6" x14ac:dyDescent="0.25">
      <c r="A38915" s="1" t="str">
        <f t="shared" si="1395"/>
        <v>49060</v>
      </c>
      <c r="B38915" s="1" t="str">
        <f>"67051"</f>
        <v>67051</v>
      </c>
      <c r="C38915" s="2">
        <v>2.0464246038706599E-3</v>
      </c>
      <c r="D38915" s="2">
        <v>1.41643059490084E-3</v>
      </c>
      <c r="E38915" s="2">
        <v>0</v>
      </c>
      <c r="F38915" s="2">
        <v>1.95549918080439E-3</v>
      </c>
    </row>
    <row r="38916" spans="1:6" x14ac:dyDescent="0.25">
      <c r="A38916" s="1" t="str">
        <f t="shared" si="1395"/>
        <v>49060</v>
      </c>
      <c r="B38916" s="1" t="str">
        <f>"67039"</f>
        <v>67039</v>
      </c>
      <c r="C38916" s="2">
        <v>1.40326258551131E-3</v>
      </c>
      <c r="D38916" s="2">
        <v>0</v>
      </c>
      <c r="E38916" s="2">
        <v>0</v>
      </c>
      <c r="F38916" s="2">
        <v>1.26843190106231E-3</v>
      </c>
    </row>
    <row r="38917" spans="1:6" x14ac:dyDescent="0.25">
      <c r="A38917" s="1" t="str">
        <f t="shared" si="1395"/>
        <v>49060</v>
      </c>
      <c r="B38917" s="1" t="str">
        <f>"67038"</f>
        <v>67038</v>
      </c>
      <c r="C38917" s="2">
        <v>1.6488335379757899E-2</v>
      </c>
      <c r="D38917" s="2">
        <v>1.3456090651558001E-2</v>
      </c>
      <c r="E38917" s="2">
        <v>7.38916256157635E-3</v>
      </c>
      <c r="F38917" s="2">
        <v>1.60668040801226E-2</v>
      </c>
    </row>
    <row r="38918" spans="1:6" x14ac:dyDescent="0.25">
      <c r="A38918" s="1" t="str">
        <f t="shared" si="1395"/>
        <v>49060</v>
      </c>
      <c r="B38918" s="1" t="str">
        <f>"67024"</f>
        <v>67024</v>
      </c>
      <c r="C38918" s="2">
        <v>2.1633631526632698E-3</v>
      </c>
      <c r="D38918" s="2">
        <v>0</v>
      </c>
      <c r="E38918" s="2">
        <v>0</v>
      </c>
      <c r="F38918" s="2">
        <v>1.95549918080439E-3</v>
      </c>
    </row>
    <row r="38919" spans="1:6" x14ac:dyDescent="0.25">
      <c r="A38919" s="1" t="str">
        <f t="shared" si="1395"/>
        <v>49060</v>
      </c>
      <c r="B38919" s="1" t="str">
        <f>"67102"</f>
        <v>67102</v>
      </c>
      <c r="C38919" s="2">
        <v>1.87101678068175E-3</v>
      </c>
      <c r="D38919" s="2">
        <v>7.0821529745042399E-4</v>
      </c>
      <c r="E38919" s="2">
        <v>2.46305418719211E-3</v>
      </c>
      <c r="F38919" s="2">
        <v>1.7969451931715999E-3</v>
      </c>
    </row>
    <row r="38920" spans="1:6" x14ac:dyDescent="0.25">
      <c r="A38920" s="1" t="str">
        <f t="shared" si="1395"/>
        <v>49060</v>
      </c>
      <c r="B38920" s="1" t="str">
        <f>"67008"</f>
        <v>67008</v>
      </c>
      <c r="C38920" s="2">
        <v>1.14015085072794E-2</v>
      </c>
      <c r="D38920" s="2">
        <v>7.0821529745042399E-4</v>
      </c>
      <c r="E38920" s="2">
        <v>2.46305418719211E-3</v>
      </c>
      <c r="F38920" s="2">
        <v>1.0411711854553101E-2</v>
      </c>
    </row>
    <row r="38921" spans="1:6" x14ac:dyDescent="0.25">
      <c r="A38921" s="1" t="str">
        <f t="shared" si="1395"/>
        <v>49060</v>
      </c>
      <c r="B38921" s="1" t="str">
        <f>"67019"</f>
        <v>67019</v>
      </c>
      <c r="C38921" s="2">
        <v>2.8182190259018799E-2</v>
      </c>
      <c r="D38921" s="2">
        <v>1.1331444759206701E-2</v>
      </c>
      <c r="E38921" s="2">
        <v>1.23152709359605E-2</v>
      </c>
      <c r="F38921" s="2">
        <v>2.6584218593097599E-2</v>
      </c>
    </row>
    <row r="38922" spans="1:6" x14ac:dyDescent="0.25">
      <c r="A38922" s="1" t="str">
        <f t="shared" si="1395"/>
        <v>49060</v>
      </c>
      <c r="B38922" s="1" t="str">
        <f>"67119"</f>
        <v>67119</v>
      </c>
      <c r="C38922" s="2">
        <v>3.7420335613635E-3</v>
      </c>
      <c r="D38922" s="2">
        <v>1.41643059490084E-3</v>
      </c>
      <c r="E38922" s="2">
        <v>0</v>
      </c>
      <c r="F38922" s="2">
        <v>3.4881877279213502E-3</v>
      </c>
    </row>
    <row r="38923" spans="1:6" x14ac:dyDescent="0.25">
      <c r="A38923" s="1" t="str">
        <f t="shared" si="1395"/>
        <v>49060</v>
      </c>
      <c r="B38923" s="1" t="str">
        <f>"67023"</f>
        <v>67023</v>
      </c>
      <c r="C38923" s="2">
        <v>8.0102905922937399E-3</v>
      </c>
      <c r="D38923" s="2">
        <v>5.6657223796033902E-3</v>
      </c>
      <c r="E38923" s="2">
        <v>7.38916256157635E-3</v>
      </c>
      <c r="F38923" s="2">
        <v>7.8219967232175808E-3</v>
      </c>
    </row>
    <row r="38924" spans="1:6" x14ac:dyDescent="0.25">
      <c r="A38924" s="1" t="str">
        <f t="shared" ref="A38924:A38929" si="1396">"49080"</f>
        <v>49080</v>
      </c>
      <c r="B38924" s="1" t="str">
        <f>"89425"</f>
        <v>89425</v>
      </c>
      <c r="C38924" s="2">
        <v>1.36570561456752E-2</v>
      </c>
      <c r="D38924" s="2">
        <v>1.29870129870129E-3</v>
      </c>
      <c r="E38924" s="2">
        <v>1.7910447761194E-2</v>
      </c>
      <c r="F38924" s="2">
        <v>1.27593476090092E-2</v>
      </c>
    </row>
    <row r="38925" spans="1:6" x14ac:dyDescent="0.25">
      <c r="A38925" s="1" t="str">
        <f t="shared" si="1396"/>
        <v>49080</v>
      </c>
      <c r="B38925" s="1" t="str">
        <f>"89445"</f>
        <v>89445</v>
      </c>
      <c r="C38925" s="2">
        <v>0.975720789074355</v>
      </c>
      <c r="D38925" s="2">
        <v>0.97662337662337595</v>
      </c>
      <c r="E38925" s="2">
        <v>0.93731343283582003</v>
      </c>
      <c r="F38925" s="2">
        <v>0.97437035393320703</v>
      </c>
    </row>
    <row r="38926" spans="1:6" x14ac:dyDescent="0.25">
      <c r="A38926" s="1" t="str">
        <f t="shared" si="1396"/>
        <v>49080</v>
      </c>
      <c r="B38926" s="1" t="str">
        <f>"89438"</f>
        <v>89438</v>
      </c>
      <c r="C38926" s="2">
        <v>0</v>
      </c>
      <c r="D38926" s="2">
        <v>1.29870129870129E-3</v>
      </c>
      <c r="E38926" s="2">
        <v>1.19402985074626E-2</v>
      </c>
      <c r="F38926" s="2">
        <v>5.5475424386996499E-4</v>
      </c>
    </row>
    <row r="38927" spans="1:6" x14ac:dyDescent="0.25">
      <c r="A38927" s="1" t="str">
        <f t="shared" si="1396"/>
        <v>49080</v>
      </c>
      <c r="B38927" s="1" t="str">
        <f>"89421"</f>
        <v>89421</v>
      </c>
      <c r="C38927" s="2">
        <v>0</v>
      </c>
      <c r="D38927" s="2">
        <v>1.29870129870129E-3</v>
      </c>
      <c r="E38927" s="2">
        <v>5.9701492537313399E-3</v>
      </c>
      <c r="F38927" s="2">
        <v>3.3285254632197899E-4</v>
      </c>
    </row>
    <row r="38928" spans="1:6" x14ac:dyDescent="0.25">
      <c r="A38928" s="1" t="str">
        <f t="shared" si="1396"/>
        <v>49080</v>
      </c>
      <c r="B38928" s="1" t="str">
        <f>"89426"</f>
        <v>89426</v>
      </c>
      <c r="C38928" s="2">
        <v>0</v>
      </c>
      <c r="D38928" s="2">
        <v>1.29870129870129E-3</v>
      </c>
      <c r="E38928" s="2">
        <v>5.9701492537313399E-3</v>
      </c>
      <c r="F38928" s="2">
        <v>3.3285254632197899E-4</v>
      </c>
    </row>
    <row r="38929" spans="1:6" x14ac:dyDescent="0.25">
      <c r="A38929" s="1" t="str">
        <f t="shared" si="1396"/>
        <v>49080</v>
      </c>
      <c r="B38929" s="1" t="str">
        <f>"89414"</f>
        <v>89414</v>
      </c>
      <c r="C38929" s="2">
        <v>1.0622154779969599E-2</v>
      </c>
      <c r="D38929" s="2">
        <v>1.8181818181818101E-2</v>
      </c>
      <c r="E38929" s="2">
        <v>2.0895522388059699E-2</v>
      </c>
      <c r="F38929" s="2">
        <v>1.16498391212692E-2</v>
      </c>
    </row>
    <row r="38930" spans="1:6" x14ac:dyDescent="0.25">
      <c r="A38930" s="1" t="str">
        <f t="shared" ref="A38930:A38943" si="1397">"49100"</f>
        <v>49100</v>
      </c>
      <c r="B38930" s="1" t="str">
        <f>"55964"</f>
        <v>55964</v>
      </c>
      <c r="C38930" s="2">
        <v>1.63729587659959E-3</v>
      </c>
      <c r="D38930" s="2">
        <v>0</v>
      </c>
      <c r="E38930" s="2">
        <v>0</v>
      </c>
      <c r="F38930" s="2">
        <v>1.4266406367322399E-3</v>
      </c>
    </row>
    <row r="38931" spans="1:6" x14ac:dyDescent="0.25">
      <c r="A38931" s="1" t="str">
        <f t="shared" si="1397"/>
        <v>49100</v>
      </c>
      <c r="B38931" s="1" t="str">
        <f>"55962"</f>
        <v>55962</v>
      </c>
      <c r="C38931" s="2">
        <v>6.4630100392089199E-4</v>
      </c>
      <c r="D38931" s="2">
        <v>0</v>
      </c>
      <c r="E38931" s="2">
        <v>0</v>
      </c>
      <c r="F38931" s="2">
        <v>5.6314761976272699E-4</v>
      </c>
    </row>
    <row r="38932" spans="1:6" x14ac:dyDescent="0.25">
      <c r="A38932" s="1" t="str">
        <f t="shared" si="1397"/>
        <v>49100</v>
      </c>
      <c r="B38932" s="1" t="str">
        <f>"55947"</f>
        <v>55947</v>
      </c>
      <c r="C38932" s="2">
        <v>1.7105433237106199E-2</v>
      </c>
      <c r="D38932" s="2">
        <v>6.4516129032258004E-3</v>
      </c>
      <c r="E38932" s="2">
        <v>0</v>
      </c>
      <c r="F38932" s="2">
        <v>1.5392701606847799E-2</v>
      </c>
    </row>
    <row r="38933" spans="1:6" x14ac:dyDescent="0.25">
      <c r="A38933" s="1" t="str">
        <f t="shared" si="1397"/>
        <v>49100</v>
      </c>
      <c r="B38933" s="1" t="str">
        <f>"55959"</f>
        <v>55959</v>
      </c>
      <c r="C38933" s="2">
        <v>4.6188978413546397E-2</v>
      </c>
      <c r="D38933" s="2">
        <v>2.0347394540942899E-2</v>
      </c>
      <c r="E38933" s="2">
        <v>7.0821529745042399E-3</v>
      </c>
      <c r="F38933" s="2">
        <v>4.2160985132902798E-2</v>
      </c>
    </row>
    <row r="38934" spans="1:6" x14ac:dyDescent="0.25">
      <c r="A38934" s="1" t="str">
        <f t="shared" si="1397"/>
        <v>49100</v>
      </c>
      <c r="B38934" s="1" t="str">
        <f>"55979"</f>
        <v>55979</v>
      </c>
      <c r="C38934" s="2">
        <v>1.6329872032401199E-2</v>
      </c>
      <c r="D38934" s="2">
        <v>1.14143920595533E-2</v>
      </c>
      <c r="E38934" s="2">
        <v>7.7903682719546704E-3</v>
      </c>
      <c r="F38934" s="2">
        <v>1.5505331130800401E-2</v>
      </c>
    </row>
    <row r="38935" spans="1:6" x14ac:dyDescent="0.25">
      <c r="A38935" s="1" t="str">
        <f t="shared" si="1397"/>
        <v>49100</v>
      </c>
      <c r="B38935" s="1" t="str">
        <f>"55952"</f>
        <v>55952</v>
      </c>
      <c r="C38935" s="2">
        <v>4.4250075401783703E-2</v>
      </c>
      <c r="D38935" s="2">
        <v>1.14143920595533E-2</v>
      </c>
      <c r="E38935" s="2">
        <v>2.2662889518413502E-2</v>
      </c>
      <c r="F38935" s="2">
        <v>4.0621714972217997E-2</v>
      </c>
    </row>
    <row r="38936" spans="1:6" x14ac:dyDescent="0.25">
      <c r="A38936" s="1" t="str">
        <f t="shared" si="1397"/>
        <v>49100</v>
      </c>
      <c r="B38936" s="1" t="str">
        <f>"55923"</f>
        <v>55923</v>
      </c>
      <c r="C38936" s="2">
        <v>7.3247447111034496E-4</v>
      </c>
      <c r="D38936" s="2">
        <v>0</v>
      </c>
      <c r="E38936" s="2">
        <v>0</v>
      </c>
      <c r="F38936" s="2">
        <v>6.3823396906442396E-4</v>
      </c>
    </row>
    <row r="38937" spans="1:6" x14ac:dyDescent="0.25">
      <c r="A38937" s="1" t="str">
        <f t="shared" si="1397"/>
        <v>49100</v>
      </c>
      <c r="B38937" s="1" t="str">
        <f>"55987"</f>
        <v>55987</v>
      </c>
      <c r="C38937" s="2">
        <v>0.70071954845103102</v>
      </c>
      <c r="D38937" s="2">
        <v>0.82431761786600399</v>
      </c>
      <c r="E38937" s="2">
        <v>0.86543909348441905</v>
      </c>
      <c r="F38937" s="2">
        <v>0.71880162186514396</v>
      </c>
    </row>
    <row r="38938" spans="1:6" x14ac:dyDescent="0.25">
      <c r="A38938" s="1" t="str">
        <f t="shared" si="1397"/>
        <v>49100</v>
      </c>
      <c r="B38938" s="1" t="str">
        <f>"55925"</f>
        <v>55925</v>
      </c>
      <c r="C38938" s="2">
        <v>2.0767805592657999E-2</v>
      </c>
      <c r="D38938" s="2">
        <v>1.1910669975186101E-2</v>
      </c>
      <c r="E38938" s="2">
        <v>4.2492917847025396E-3</v>
      </c>
      <c r="F38938" s="2">
        <v>1.9222105421234401E-2</v>
      </c>
    </row>
    <row r="38939" spans="1:6" x14ac:dyDescent="0.25">
      <c r="A38939" s="1" t="str">
        <f t="shared" si="1397"/>
        <v>49100</v>
      </c>
      <c r="B38939" s="1" t="str">
        <f>"55943"</f>
        <v>55943</v>
      </c>
      <c r="C38939" s="2">
        <v>6.6784437071825504E-3</v>
      </c>
      <c r="D38939" s="2">
        <v>1.48883374689826E-3</v>
      </c>
      <c r="E38939" s="2">
        <v>0</v>
      </c>
      <c r="F38939" s="2">
        <v>5.9318215948340504E-3</v>
      </c>
    </row>
    <row r="38940" spans="1:6" x14ac:dyDescent="0.25">
      <c r="A38940" s="1" t="str">
        <f t="shared" si="1397"/>
        <v>49100</v>
      </c>
      <c r="B38940" s="1" t="str">
        <f>"55972"</f>
        <v>55972</v>
      </c>
      <c r="C38940" s="2">
        <v>9.0783747684088006E-2</v>
      </c>
      <c r="D38940" s="2">
        <v>8.6352357320099202E-2</v>
      </c>
      <c r="E38940" s="2">
        <v>6.7988668555240703E-2</v>
      </c>
      <c r="F38940" s="2">
        <v>8.9240126145066795E-2</v>
      </c>
    </row>
    <row r="38941" spans="1:6" x14ac:dyDescent="0.25">
      <c r="A38941" s="1" t="str">
        <f t="shared" si="1397"/>
        <v>49100</v>
      </c>
      <c r="B38941" s="1" t="str">
        <f>"55969"</f>
        <v>55969</v>
      </c>
      <c r="C38941" s="2">
        <v>2.39993106122624E-2</v>
      </c>
      <c r="D38941" s="2">
        <v>6.9478908188585599E-3</v>
      </c>
      <c r="E38941" s="2">
        <v>1.3456090651558001E-2</v>
      </c>
      <c r="F38941" s="2">
        <v>2.2150473044000599E-2</v>
      </c>
    </row>
    <row r="38942" spans="1:6" x14ac:dyDescent="0.25">
      <c r="A38942" s="1" t="str">
        <f t="shared" si="1397"/>
        <v>49100</v>
      </c>
      <c r="B38942" s="1" t="str">
        <f>"55971"</f>
        <v>55971</v>
      </c>
      <c r="C38942" s="2">
        <v>6.4630100392089199E-3</v>
      </c>
      <c r="D38942" s="2">
        <v>2.97766749379652E-3</v>
      </c>
      <c r="E38942" s="2">
        <v>2.1246458923512698E-3</v>
      </c>
      <c r="F38942" s="2">
        <v>5.9693647694848999E-3</v>
      </c>
    </row>
    <row r="38943" spans="1:6" x14ac:dyDescent="0.25">
      <c r="A38943" s="1" t="str">
        <f t="shared" si="1397"/>
        <v>49100</v>
      </c>
      <c r="B38943" s="1" t="str">
        <f>"55910"</f>
        <v>55910</v>
      </c>
      <c r="C38943" s="2">
        <v>2.3697703477099399E-2</v>
      </c>
      <c r="D38943" s="2">
        <v>1.6377171215880799E-2</v>
      </c>
      <c r="E38943" s="2">
        <v>9.2067988668555201E-3</v>
      </c>
      <c r="F38943" s="2">
        <v>2.23757320919056E-2</v>
      </c>
    </row>
    <row r="38944" spans="1:6" x14ac:dyDescent="0.25">
      <c r="A38944" s="1" t="str">
        <f t="shared" ref="A38944:A38975" si="1398">"49180"</f>
        <v>49180</v>
      </c>
      <c r="B38944" s="1" t="str">
        <f>"27052"</f>
        <v>27052</v>
      </c>
      <c r="C38944" s="2">
        <v>1.43266048480873E-2</v>
      </c>
      <c r="D38944" s="2">
        <v>6.2515540084537996E-3</v>
      </c>
      <c r="E38944" s="2">
        <v>8.9475549255846904E-3</v>
      </c>
      <c r="F38944" s="2">
        <v>1.35581101883248E-2</v>
      </c>
    </row>
    <row r="38945" spans="1:6" x14ac:dyDescent="0.25">
      <c r="A38945" s="1" t="str">
        <f t="shared" si="1398"/>
        <v>49180</v>
      </c>
      <c r="B38945" s="1" t="str">
        <f>"27116"</f>
        <v>27116</v>
      </c>
      <c r="C38945" s="2">
        <v>2.2749634753570398E-3</v>
      </c>
      <c r="D38945" s="2">
        <v>9.8035733314389192E-3</v>
      </c>
      <c r="E38945" s="2">
        <v>8.8589652728561294E-5</v>
      </c>
      <c r="F38945" s="2">
        <v>2.7745837457414102E-3</v>
      </c>
    </row>
    <row r="38946" spans="1:6" x14ac:dyDescent="0.25">
      <c r="A38946" s="1" t="str">
        <f t="shared" si="1398"/>
        <v>49180</v>
      </c>
      <c r="B38946" s="1" t="str">
        <f>"27285"</f>
        <v>27285</v>
      </c>
      <c r="C38946" s="2">
        <v>3.5093473269924499E-3</v>
      </c>
      <c r="D38946" s="2">
        <v>1.8612581252442001E-2</v>
      </c>
      <c r="E38946" s="2">
        <v>8.8589652728561294E-5</v>
      </c>
      <c r="F38946" s="2">
        <v>4.5407130146652699E-3</v>
      </c>
    </row>
    <row r="38947" spans="1:6" x14ac:dyDescent="0.25">
      <c r="A38947" s="1" t="str">
        <f t="shared" si="1398"/>
        <v>49180</v>
      </c>
      <c r="B38947" s="1" t="str">
        <f>"27099"</f>
        <v>27099</v>
      </c>
      <c r="C38947" s="2">
        <v>0</v>
      </c>
      <c r="D38947" s="2">
        <v>0</v>
      </c>
      <c r="E38947" s="2">
        <v>8.8589652728561294E-5</v>
      </c>
      <c r="F38947" s="2">
        <v>2.6678689862898202E-6</v>
      </c>
    </row>
    <row r="38948" spans="1:6" x14ac:dyDescent="0.25">
      <c r="A38948" s="1" t="str">
        <f t="shared" si="1398"/>
        <v>49180</v>
      </c>
      <c r="B38948" s="1" t="str">
        <f>"27294"</f>
        <v>27294</v>
      </c>
      <c r="C38948" s="2">
        <v>0</v>
      </c>
      <c r="D38948" s="2">
        <v>0</v>
      </c>
      <c r="E38948" s="2">
        <v>1.7717930545712199E-4</v>
      </c>
      <c r="F38948" s="2">
        <v>5.3357379725796404E-6</v>
      </c>
    </row>
    <row r="38949" spans="1:6" x14ac:dyDescent="0.25">
      <c r="A38949" s="1" t="str">
        <f t="shared" si="1398"/>
        <v>49180</v>
      </c>
      <c r="B38949" s="1" t="str">
        <f>"27235"</f>
        <v>27235</v>
      </c>
      <c r="C38949" s="2">
        <v>1.6100658934374901E-4</v>
      </c>
      <c r="D38949" s="2">
        <v>0</v>
      </c>
      <c r="E38949" s="2">
        <v>0</v>
      </c>
      <c r="F38949" s="2">
        <v>1.4406492525964999E-4</v>
      </c>
    </row>
    <row r="38950" spans="1:6" x14ac:dyDescent="0.25">
      <c r="A38950" s="1" t="str">
        <f t="shared" si="1398"/>
        <v>49180</v>
      </c>
      <c r="B38950" s="1" t="str">
        <f>"27010"</f>
        <v>27010</v>
      </c>
      <c r="C38950" s="2">
        <v>7.1558484152777304E-4</v>
      </c>
      <c r="D38950" s="2">
        <v>1.4208077291940401E-3</v>
      </c>
      <c r="E38950" s="2">
        <v>1.7717930545712199E-4</v>
      </c>
      <c r="F38950" s="2">
        <v>7.5233905413372895E-4</v>
      </c>
    </row>
    <row r="38951" spans="1:6" x14ac:dyDescent="0.25">
      <c r="A38951" s="1" t="str">
        <f t="shared" si="1398"/>
        <v>49180</v>
      </c>
      <c r="B38951" s="1" t="str">
        <f>"27150"</f>
        <v>27150</v>
      </c>
      <c r="C38951" s="2">
        <v>0</v>
      </c>
      <c r="D38951" s="2">
        <v>0</v>
      </c>
      <c r="E38951" s="2">
        <v>1.7717930545712199E-4</v>
      </c>
      <c r="F38951" s="2">
        <v>5.3357379725796404E-6</v>
      </c>
    </row>
    <row r="38952" spans="1:6" x14ac:dyDescent="0.25">
      <c r="A38952" s="1" t="str">
        <f t="shared" si="1398"/>
        <v>49180</v>
      </c>
      <c r="B38952" s="1" t="str">
        <f>"27115"</f>
        <v>27115</v>
      </c>
      <c r="C38952" s="2">
        <v>2.7371120188437298E-3</v>
      </c>
      <c r="D38952" s="2">
        <v>8.0275636699463603E-3</v>
      </c>
      <c r="E38952" s="2">
        <v>8.8589652728561294E-5</v>
      </c>
      <c r="F38952" s="2">
        <v>3.0547099893018402E-3</v>
      </c>
    </row>
    <row r="38953" spans="1:6" x14ac:dyDescent="0.25">
      <c r="A38953" s="1" t="str">
        <f t="shared" si="1398"/>
        <v>49180</v>
      </c>
      <c r="B38953" s="1" t="str">
        <f>"27351"</f>
        <v>27351</v>
      </c>
      <c r="C38953" s="2">
        <v>1.81281493187035E-3</v>
      </c>
      <c r="D38953" s="2">
        <v>2.02465101410151E-3</v>
      </c>
      <c r="E38953" s="2">
        <v>8.8589652728561294E-5</v>
      </c>
      <c r="F38953" s="2">
        <v>1.77680074486902E-3</v>
      </c>
    </row>
    <row r="38954" spans="1:6" x14ac:dyDescent="0.25">
      <c r="A38954" s="1" t="str">
        <f t="shared" si="1398"/>
        <v>49180</v>
      </c>
      <c r="B38954" s="1" t="str">
        <f>"27155"</f>
        <v>27155</v>
      </c>
      <c r="C38954" s="2">
        <v>0</v>
      </c>
      <c r="D38954" s="2">
        <v>0</v>
      </c>
      <c r="E38954" s="2">
        <v>1.7717930545712199E-4</v>
      </c>
      <c r="F38954" s="2">
        <v>5.3357379725796404E-6</v>
      </c>
    </row>
    <row r="38955" spans="1:6" x14ac:dyDescent="0.25">
      <c r="A38955" s="1" t="str">
        <f t="shared" si="1398"/>
        <v>49180</v>
      </c>
      <c r="B38955" s="1" t="str">
        <f>"27102"</f>
        <v>27102</v>
      </c>
      <c r="C38955" s="2">
        <v>2.09904886848146E-3</v>
      </c>
      <c r="D38955" s="2">
        <v>7.45924057826874E-3</v>
      </c>
      <c r="E38955" s="2">
        <v>8.8589652728561294E-5</v>
      </c>
      <c r="F38955" s="2">
        <v>2.44110012245518E-3</v>
      </c>
    </row>
    <row r="38956" spans="1:6" x14ac:dyDescent="0.25">
      <c r="A38956" s="1" t="str">
        <f t="shared" si="1398"/>
        <v>49180</v>
      </c>
      <c r="B38956" s="1" t="str">
        <f>"27101"</f>
        <v>27101</v>
      </c>
      <c r="C38956" s="2">
        <v>3.6810876889591199E-2</v>
      </c>
      <c r="D38956" s="2">
        <v>9.6472844812275693E-2</v>
      </c>
      <c r="E38956" s="2">
        <v>0.10294117647058799</v>
      </c>
      <c r="F38956" s="2">
        <v>4.3283506433566002E-2</v>
      </c>
    </row>
    <row r="38957" spans="1:6" x14ac:dyDescent="0.25">
      <c r="A38957" s="1" t="str">
        <f t="shared" si="1398"/>
        <v>49180</v>
      </c>
      <c r="B38957" s="1" t="str">
        <f>"27051"</f>
        <v>27051</v>
      </c>
      <c r="C38957" s="2">
        <v>1.50451712931214E-2</v>
      </c>
      <c r="D38957" s="2">
        <v>1.0229815650197101E-2</v>
      </c>
      <c r="E38957" s="2">
        <v>7.3529411764705803E-3</v>
      </c>
      <c r="F38957" s="2">
        <v>1.4451846298731899E-2</v>
      </c>
    </row>
    <row r="38958" spans="1:6" x14ac:dyDescent="0.25">
      <c r="A38958" s="1" t="str">
        <f t="shared" si="1398"/>
        <v>49180</v>
      </c>
      <c r="B38958" s="1" t="str">
        <f>"27120"</f>
        <v>27120</v>
      </c>
      <c r="C38958" s="2">
        <v>1.6667163600584301E-3</v>
      </c>
      <c r="D38958" s="2">
        <v>1.07626185486449E-2</v>
      </c>
      <c r="E38958" s="2">
        <v>8.8589652728561294E-5</v>
      </c>
      <c r="F38958" s="2">
        <v>2.3023709351681098E-3</v>
      </c>
    </row>
    <row r="38959" spans="1:6" x14ac:dyDescent="0.25">
      <c r="A38959" s="1" t="str">
        <f t="shared" si="1398"/>
        <v>49180</v>
      </c>
      <c r="B38959" s="1" t="str">
        <f>"27019"</f>
        <v>27019</v>
      </c>
      <c r="C38959" s="2">
        <v>5.7485315602731103E-3</v>
      </c>
      <c r="D38959" s="2">
        <v>1.84705004795226E-3</v>
      </c>
      <c r="E38959" s="2">
        <v>5.3153791637136703E-4</v>
      </c>
      <c r="F38959" s="2">
        <v>5.29838780677158E-3</v>
      </c>
    </row>
    <row r="38960" spans="1:6" x14ac:dyDescent="0.25">
      <c r="A38960" s="1" t="str">
        <f t="shared" si="1398"/>
        <v>49180</v>
      </c>
      <c r="B38960" s="1" t="str">
        <f>"27020"</f>
        <v>27020</v>
      </c>
      <c r="C38960" s="2">
        <v>7.6418497868153403E-3</v>
      </c>
      <c r="D38960" s="2">
        <v>3.8006606755940698E-3</v>
      </c>
      <c r="E38960" s="2">
        <v>9.7448618001417403E-4</v>
      </c>
      <c r="F38960" s="2">
        <v>7.1525567522430101E-3</v>
      </c>
    </row>
    <row r="38961" spans="1:6" x14ac:dyDescent="0.25">
      <c r="A38961" s="1" t="str">
        <f t="shared" si="1398"/>
        <v>49180</v>
      </c>
      <c r="B38961" s="1" t="str">
        <f>"28625"</f>
        <v>28625</v>
      </c>
      <c r="C38961" s="2">
        <v>4.4724052595485802E-5</v>
      </c>
      <c r="D38961" s="2">
        <v>0</v>
      </c>
      <c r="E38961" s="2">
        <v>0</v>
      </c>
      <c r="F38961" s="2">
        <v>4.0018034794347303E-5</v>
      </c>
    </row>
    <row r="38962" spans="1:6" x14ac:dyDescent="0.25">
      <c r="A38962" s="1" t="str">
        <f t="shared" si="1398"/>
        <v>49180</v>
      </c>
      <c r="B38962" s="1" t="str">
        <f>"27199"</f>
        <v>27199</v>
      </c>
      <c r="C38962" s="2">
        <v>0</v>
      </c>
      <c r="D38962" s="2">
        <v>0</v>
      </c>
      <c r="E38962" s="2">
        <v>8.8589652728561294E-5</v>
      </c>
      <c r="F38962" s="2">
        <v>2.6678689862898202E-6</v>
      </c>
    </row>
    <row r="38963" spans="1:6" x14ac:dyDescent="0.25">
      <c r="A38963" s="1" t="str">
        <f t="shared" si="1398"/>
        <v>49180</v>
      </c>
      <c r="B38963" s="1" t="str">
        <f>"27018"</f>
        <v>27018</v>
      </c>
      <c r="C38963" s="2">
        <v>1.1040877784072201E-2</v>
      </c>
      <c r="D38963" s="2">
        <v>5.6121905303164804E-3</v>
      </c>
      <c r="E38963" s="2">
        <v>3.5435861091424501E-4</v>
      </c>
      <c r="F38963" s="2">
        <v>1.03113136320101E-2</v>
      </c>
    </row>
    <row r="38964" spans="1:6" x14ac:dyDescent="0.25">
      <c r="A38964" s="1" t="str">
        <f t="shared" si="1398"/>
        <v>49180</v>
      </c>
      <c r="B38964" s="1" t="str">
        <f>"27055"</f>
        <v>27055</v>
      </c>
      <c r="C38964" s="2">
        <v>2.0587972211455301E-2</v>
      </c>
      <c r="D38964" s="2">
        <v>1.76890562284658E-2</v>
      </c>
      <c r="E38964" s="2">
        <v>5.04961020552799E-3</v>
      </c>
      <c r="F38964" s="2">
        <v>1.9902302637722E-2</v>
      </c>
    </row>
    <row r="38965" spans="1:6" x14ac:dyDescent="0.25">
      <c r="A38965" s="1" t="str">
        <f t="shared" si="1398"/>
        <v>49180</v>
      </c>
      <c r="B38965" s="1" t="str">
        <f>"27295"</f>
        <v>27295</v>
      </c>
      <c r="C38965" s="2">
        <v>5.5392229941262403E-2</v>
      </c>
      <c r="D38965" s="2">
        <v>2.66756651156182E-2</v>
      </c>
      <c r="E38965" s="2">
        <v>3.2955350815024799E-2</v>
      </c>
      <c r="F38965" s="2">
        <v>5.2559686898895702E-2</v>
      </c>
    </row>
    <row r="38966" spans="1:6" x14ac:dyDescent="0.25">
      <c r="A38966" s="1" t="str">
        <f t="shared" si="1398"/>
        <v>49180</v>
      </c>
      <c r="B38966" s="1" t="str">
        <f>"27299"</f>
        <v>27299</v>
      </c>
      <c r="C38966" s="2">
        <v>7.4152479203315504E-3</v>
      </c>
      <c r="D38966" s="2">
        <v>2.6284942990089798E-3</v>
      </c>
      <c r="E38966" s="2">
        <v>2.3033309709425899E-3</v>
      </c>
      <c r="F38966" s="2">
        <v>6.9017770675317601E-3</v>
      </c>
    </row>
    <row r="38967" spans="1:6" x14ac:dyDescent="0.25">
      <c r="A38967" s="1" t="str">
        <f t="shared" si="1398"/>
        <v>49180</v>
      </c>
      <c r="B38967" s="1" t="str">
        <f>"28127"</f>
        <v>28127</v>
      </c>
      <c r="C38967" s="2">
        <v>3.8462685232117799E-4</v>
      </c>
      <c r="D38967" s="2">
        <v>1.7760096614925501E-4</v>
      </c>
      <c r="E38967" s="2">
        <v>0</v>
      </c>
      <c r="F38967" s="2">
        <v>3.5749444416283599E-4</v>
      </c>
    </row>
    <row r="38968" spans="1:6" x14ac:dyDescent="0.25">
      <c r="A38968" s="1" t="str">
        <f t="shared" si="1398"/>
        <v>49180</v>
      </c>
      <c r="B38968" s="1" t="str">
        <f>"27152"</f>
        <v>27152</v>
      </c>
      <c r="C38968" s="2">
        <v>0</v>
      </c>
      <c r="D38968" s="2">
        <v>0</v>
      </c>
      <c r="E38968" s="2">
        <v>1.7717930545712199E-4</v>
      </c>
      <c r="F38968" s="2">
        <v>5.3357379725796404E-6</v>
      </c>
    </row>
    <row r="38969" spans="1:6" x14ac:dyDescent="0.25">
      <c r="A38969" s="1" t="str">
        <f t="shared" si="1398"/>
        <v>49180</v>
      </c>
      <c r="B38969" s="1" t="str">
        <f>"27293"</f>
        <v>27293</v>
      </c>
      <c r="C38969" s="2">
        <v>2.7639464504010201E-3</v>
      </c>
      <c r="D38969" s="2">
        <v>1.63748090789613E-2</v>
      </c>
      <c r="E38969" s="2">
        <v>8.8589652728561294E-5</v>
      </c>
      <c r="F38969" s="2">
        <v>3.7056700219565602E-3</v>
      </c>
    </row>
    <row r="38970" spans="1:6" x14ac:dyDescent="0.25">
      <c r="A38970" s="1" t="str">
        <f t="shared" si="1398"/>
        <v>49180</v>
      </c>
      <c r="B38970" s="1" t="str">
        <f>"27014"</f>
        <v>27014</v>
      </c>
      <c r="C38970" s="2">
        <v>0</v>
      </c>
      <c r="D38970" s="2">
        <v>0</v>
      </c>
      <c r="E38970" s="2">
        <v>4.5003543586109099E-2</v>
      </c>
      <c r="F38970" s="2">
        <v>1.35527744503522E-3</v>
      </c>
    </row>
    <row r="38971" spans="1:6" x14ac:dyDescent="0.25">
      <c r="A38971" s="1" t="str">
        <f t="shared" si="1398"/>
        <v>49180</v>
      </c>
      <c r="B38971" s="1" t="str">
        <f>"27042"</f>
        <v>27042</v>
      </c>
      <c r="C38971" s="2">
        <v>1.0793404693043901E-3</v>
      </c>
      <c r="D38971" s="2">
        <v>3.1968173906866E-4</v>
      </c>
      <c r="E38971" s="2">
        <v>0</v>
      </c>
      <c r="F38971" s="2">
        <v>9.8977939391352299E-4</v>
      </c>
    </row>
    <row r="38972" spans="1:6" x14ac:dyDescent="0.25">
      <c r="A38972" s="1" t="str">
        <f t="shared" si="1398"/>
        <v>49180</v>
      </c>
      <c r="B38972" s="1" t="str">
        <f>"27373"</f>
        <v>27373</v>
      </c>
      <c r="C38972" s="2">
        <v>0</v>
      </c>
      <c r="D38972" s="2">
        <v>0</v>
      </c>
      <c r="E38972" s="2">
        <v>8.8589652728561294E-5</v>
      </c>
      <c r="F38972" s="2">
        <v>2.6678689862898202E-6</v>
      </c>
    </row>
    <row r="38973" spans="1:6" x14ac:dyDescent="0.25">
      <c r="A38973" s="1" t="str">
        <f t="shared" si="1398"/>
        <v>49180</v>
      </c>
      <c r="B38973" s="1" t="str">
        <f>"27374"</f>
        <v>27374</v>
      </c>
      <c r="C38973" s="2">
        <v>0</v>
      </c>
      <c r="D38973" s="2">
        <v>0</v>
      </c>
      <c r="E38973" s="2">
        <v>8.8589652728561294E-5</v>
      </c>
      <c r="F38973" s="2">
        <v>2.6678689862898202E-6</v>
      </c>
    </row>
    <row r="38974" spans="1:6" x14ac:dyDescent="0.25">
      <c r="A38974" s="1" t="str">
        <f t="shared" si="1398"/>
        <v>49180</v>
      </c>
      <c r="B38974" s="1" t="str">
        <f>"27094"</f>
        <v>27094</v>
      </c>
      <c r="C38974" s="2">
        <v>0</v>
      </c>
      <c r="D38974" s="2">
        <v>0</v>
      </c>
      <c r="E38974" s="2">
        <v>8.8589652728561294E-5</v>
      </c>
      <c r="F38974" s="2">
        <v>2.6678689862898202E-6</v>
      </c>
    </row>
    <row r="38975" spans="1:6" x14ac:dyDescent="0.25">
      <c r="A38975" s="1" t="str">
        <f t="shared" si="1398"/>
        <v>49180</v>
      </c>
      <c r="B38975" s="1" t="str">
        <f>"28689"</f>
        <v>28689</v>
      </c>
      <c r="C38975" s="2">
        <v>2.4449148752198898E-4</v>
      </c>
      <c r="D38975" s="2">
        <v>1.06560579689553E-4</v>
      </c>
      <c r="E38975" s="2">
        <v>0</v>
      </c>
      <c r="F38975" s="2">
        <v>2.26768863834634E-4</v>
      </c>
    </row>
    <row r="38976" spans="1:6" x14ac:dyDescent="0.25">
      <c r="A38976" s="1" t="str">
        <f t="shared" ref="A38976:A39007" si="1399">"49180"</f>
        <v>49180</v>
      </c>
      <c r="B38976" s="1" t="str">
        <f>"27239"</f>
        <v>27239</v>
      </c>
      <c r="C38976" s="2">
        <v>9.3771430275202006E-3</v>
      </c>
      <c r="D38976" s="2">
        <v>6.1094732355344E-3</v>
      </c>
      <c r="E38976" s="2">
        <v>3.0120481927710802E-3</v>
      </c>
      <c r="F38976" s="2">
        <v>8.9400289730571895E-3</v>
      </c>
    </row>
    <row r="38977" spans="1:6" x14ac:dyDescent="0.25">
      <c r="A38977" s="1" t="str">
        <f t="shared" si="1399"/>
        <v>49180</v>
      </c>
      <c r="B38977" s="1" t="str">
        <f>"27103"</f>
        <v>27103</v>
      </c>
      <c r="C38977" s="2">
        <v>5.5961716210978202E-2</v>
      </c>
      <c r="D38977" s="2">
        <v>0.11892160693354099</v>
      </c>
      <c r="E38977" s="2">
        <v>0.125442948263642</v>
      </c>
      <c r="F38977" s="2">
        <v>6.2782960854358305E-2</v>
      </c>
    </row>
    <row r="38978" spans="1:6" x14ac:dyDescent="0.25">
      <c r="A38978" s="1" t="str">
        <f t="shared" si="1399"/>
        <v>49180</v>
      </c>
      <c r="B38978" s="1" t="str">
        <f>"27105"</f>
        <v>27105</v>
      </c>
      <c r="C38978" s="2">
        <v>5.4775038015444699E-2</v>
      </c>
      <c r="D38978" s="2">
        <v>6.0846091002734998E-2</v>
      </c>
      <c r="E38978" s="2">
        <v>6.6265060240963805E-2</v>
      </c>
      <c r="F38978" s="2">
        <v>5.55770467223895E-2</v>
      </c>
    </row>
    <row r="38979" spans="1:6" x14ac:dyDescent="0.25">
      <c r="A38979" s="1" t="str">
        <f t="shared" si="1399"/>
        <v>49180</v>
      </c>
      <c r="B38979" s="1" t="str">
        <f>"27053"</f>
        <v>27053</v>
      </c>
      <c r="C38979" s="2">
        <v>4.6214854348668698E-3</v>
      </c>
      <c r="D38979" s="2">
        <v>1.0656057968955301E-3</v>
      </c>
      <c r="E38979" s="2">
        <v>0</v>
      </c>
      <c r="F38979" s="2">
        <v>4.2152329983379099E-3</v>
      </c>
    </row>
    <row r="38980" spans="1:6" x14ac:dyDescent="0.25">
      <c r="A38980" s="1" t="str">
        <f t="shared" si="1399"/>
        <v>49180</v>
      </c>
      <c r="B38980" s="1" t="str">
        <f>"27040"</f>
        <v>27040</v>
      </c>
      <c r="C38980" s="2">
        <v>1.7153164972121999E-2</v>
      </c>
      <c r="D38980" s="2">
        <v>9.3062906262210005E-3</v>
      </c>
      <c r="E38980" s="2">
        <v>1.5946137491140999E-3</v>
      </c>
      <c r="F38980" s="2">
        <v>1.6095253594286402E-2</v>
      </c>
    </row>
    <row r="38981" spans="1:6" x14ac:dyDescent="0.25">
      <c r="A38981" s="1" t="str">
        <f t="shared" si="1399"/>
        <v>49180</v>
      </c>
      <c r="B38981" s="1" t="str">
        <f>"27045"</f>
        <v>27045</v>
      </c>
      <c r="C38981" s="2">
        <v>1.3944959599272401E-2</v>
      </c>
      <c r="D38981" s="2">
        <v>7.60132135118815E-3</v>
      </c>
      <c r="E38981" s="2">
        <v>1.69206236711552E-2</v>
      </c>
      <c r="F38981" s="2">
        <v>1.35581101883248E-2</v>
      </c>
    </row>
    <row r="38982" spans="1:6" x14ac:dyDescent="0.25">
      <c r="A38982" s="1" t="str">
        <f t="shared" si="1399"/>
        <v>49180</v>
      </c>
      <c r="B38982" s="1" t="str">
        <f>"27284"</f>
        <v>27284</v>
      </c>
      <c r="C38982" s="2">
        <v>7.3457765586332296E-2</v>
      </c>
      <c r="D38982" s="2">
        <v>7.8464106844741199E-2</v>
      </c>
      <c r="E38982" s="2">
        <v>5.80262225372076E-2</v>
      </c>
      <c r="F38982" s="2">
        <v>7.3369064991956306E-2</v>
      </c>
    </row>
    <row r="38983" spans="1:6" x14ac:dyDescent="0.25">
      <c r="A38983" s="1" t="str">
        <f t="shared" si="1399"/>
        <v>49180</v>
      </c>
      <c r="B38983" s="1" t="str">
        <f>"27111"</f>
        <v>27111</v>
      </c>
      <c r="C38983" s="2">
        <v>0</v>
      </c>
      <c r="D38983" s="2">
        <v>0</v>
      </c>
      <c r="E38983" s="2">
        <v>8.8589652728561294E-5</v>
      </c>
      <c r="F38983" s="2">
        <v>2.6678689862898202E-6</v>
      </c>
    </row>
    <row r="38984" spans="1:6" x14ac:dyDescent="0.25">
      <c r="A38984" s="1" t="str">
        <f t="shared" si="1399"/>
        <v>49180</v>
      </c>
      <c r="B38984" s="1" t="str">
        <f>"27117"</f>
        <v>27117</v>
      </c>
      <c r="C38984" s="2">
        <v>1.7889621038194299E-3</v>
      </c>
      <c r="D38984" s="2">
        <v>4.6886655063403497E-3</v>
      </c>
      <c r="E38984" s="2">
        <v>8.8589652728561294E-5</v>
      </c>
      <c r="F38984" s="2">
        <v>1.9555479669504301E-3</v>
      </c>
    </row>
    <row r="38985" spans="1:6" x14ac:dyDescent="0.25">
      <c r="A38985" s="1" t="str">
        <f t="shared" si="1399"/>
        <v>49180</v>
      </c>
      <c r="B38985" s="1" t="str">
        <f>"27130"</f>
        <v>27130</v>
      </c>
      <c r="C38985" s="2">
        <v>1.2612182831926999E-3</v>
      </c>
      <c r="D38985" s="2">
        <v>3.5875395162149599E-3</v>
      </c>
      <c r="E38985" s="2">
        <v>8.8589652728561294E-5</v>
      </c>
      <c r="F38985" s="2">
        <v>1.4006312178021501E-3</v>
      </c>
    </row>
    <row r="38986" spans="1:6" x14ac:dyDescent="0.25">
      <c r="A38986" s="1" t="str">
        <f t="shared" si="1399"/>
        <v>49180</v>
      </c>
      <c r="B38986" s="1" t="str">
        <f>"27113"</f>
        <v>27113</v>
      </c>
      <c r="C38986" s="2">
        <v>1.5891946688929299E-3</v>
      </c>
      <c r="D38986" s="2">
        <v>3.37441835683586E-3</v>
      </c>
      <c r="E38986" s="2">
        <v>8.8589652728561294E-5</v>
      </c>
      <c r="F38986" s="2">
        <v>1.67808959237629E-3</v>
      </c>
    </row>
    <row r="38987" spans="1:6" x14ac:dyDescent="0.25">
      <c r="A38987" s="1" t="str">
        <f t="shared" si="1399"/>
        <v>49180</v>
      </c>
      <c r="B38987" s="1" t="str">
        <f>"27012"</f>
        <v>27012</v>
      </c>
      <c r="C38987" s="2">
        <v>4.1056680282656001E-2</v>
      </c>
      <c r="D38987" s="2">
        <v>4.77746598941498E-2</v>
      </c>
      <c r="E38987" s="2">
        <v>3.84479092841956E-2</v>
      </c>
      <c r="F38987" s="2">
        <v>4.1482694867820399E-2</v>
      </c>
    </row>
    <row r="38988" spans="1:6" x14ac:dyDescent="0.25">
      <c r="A38988" s="1" t="str">
        <f t="shared" si="1399"/>
        <v>49180</v>
      </c>
      <c r="B38988" s="1" t="str">
        <f>"27016"</f>
        <v>27016</v>
      </c>
      <c r="C38988" s="2">
        <v>2.5910134470318101E-3</v>
      </c>
      <c r="D38988" s="2">
        <v>1.6339288885731499E-3</v>
      </c>
      <c r="E38988" s="2">
        <v>0</v>
      </c>
      <c r="F38988" s="2">
        <v>2.44110012245518E-3</v>
      </c>
    </row>
    <row r="38989" spans="1:6" x14ac:dyDescent="0.25">
      <c r="A38989" s="1" t="str">
        <f t="shared" si="1399"/>
        <v>49180</v>
      </c>
      <c r="B38989" s="1" t="str">
        <f>"27009"</f>
        <v>27009</v>
      </c>
      <c r="C38989" s="2">
        <v>3.7836548495781002E-3</v>
      </c>
      <c r="D38989" s="2">
        <v>6.3936347813732097E-4</v>
      </c>
      <c r="E38989" s="2">
        <v>3.5435861091424501E-4</v>
      </c>
      <c r="F38989" s="2">
        <v>3.4442188613001499E-3</v>
      </c>
    </row>
    <row r="38990" spans="1:6" x14ac:dyDescent="0.25">
      <c r="A38990" s="1" t="str">
        <f t="shared" si="1399"/>
        <v>49180</v>
      </c>
      <c r="B38990" s="1" t="str">
        <f>"27127"</f>
        <v>27127</v>
      </c>
      <c r="C38990" s="2">
        <v>5.3710605563672097E-2</v>
      </c>
      <c r="D38990" s="2">
        <v>3.40638653074272E-2</v>
      </c>
      <c r="E38990" s="2">
        <v>4.6420978029766101E-2</v>
      </c>
      <c r="F38990" s="2">
        <v>5.2015441625692597E-2</v>
      </c>
    </row>
    <row r="38991" spans="1:6" x14ac:dyDescent="0.25">
      <c r="A38991" s="1" t="str">
        <f t="shared" si="1399"/>
        <v>49180</v>
      </c>
      <c r="B38991" s="1" t="str">
        <f>"27114"</f>
        <v>27114</v>
      </c>
      <c r="C38991" s="2">
        <v>2.4926205313217402E-3</v>
      </c>
      <c r="D38991" s="2">
        <v>1.61616879195822E-2</v>
      </c>
      <c r="E38991" s="2">
        <v>8.8589652728561294E-5</v>
      </c>
      <c r="F38991" s="2">
        <v>3.44688673028644E-3</v>
      </c>
    </row>
    <row r="38992" spans="1:6" x14ac:dyDescent="0.25">
      <c r="A38992" s="1" t="str">
        <f t="shared" si="1399"/>
        <v>49180</v>
      </c>
      <c r="B38992" s="1" t="str">
        <f>"27025"</f>
        <v>27025</v>
      </c>
      <c r="C38992" s="2">
        <v>3.0949044396076202E-3</v>
      </c>
      <c r="D38992" s="2">
        <v>6.0384328490746899E-4</v>
      </c>
      <c r="E38992" s="2">
        <v>0</v>
      </c>
      <c r="F38992" s="2">
        <v>2.8146017805357601E-3</v>
      </c>
    </row>
    <row r="38993" spans="1:6" x14ac:dyDescent="0.25">
      <c r="A38993" s="1" t="str">
        <f t="shared" si="1399"/>
        <v>49180</v>
      </c>
      <c r="B38993" s="1" t="str">
        <f>"27104"</f>
        <v>27104</v>
      </c>
      <c r="C38993" s="2">
        <v>4.4983452100539598E-2</v>
      </c>
      <c r="D38993" s="2">
        <v>2.7528149753134602E-2</v>
      </c>
      <c r="E38993" s="2">
        <v>4.9964564138908499E-2</v>
      </c>
      <c r="F38993" s="2">
        <v>4.3822415968796602E-2</v>
      </c>
    </row>
    <row r="38994" spans="1:6" x14ac:dyDescent="0.25">
      <c r="A38994" s="1" t="str">
        <f t="shared" si="1399"/>
        <v>49180</v>
      </c>
      <c r="B38994" s="1" t="str">
        <f>"27109"</f>
        <v>27109</v>
      </c>
      <c r="C38994" s="2">
        <v>1.2964012045678101E-2</v>
      </c>
      <c r="D38994" s="2">
        <v>3.5520193229851098E-5</v>
      </c>
      <c r="E38994" s="2">
        <v>1.7717930545712199E-4</v>
      </c>
      <c r="F38994" s="2">
        <v>1.1607897959347E-2</v>
      </c>
    </row>
    <row r="38995" spans="1:6" x14ac:dyDescent="0.25">
      <c r="A38995" s="1" t="str">
        <f t="shared" si="1399"/>
        <v>49180</v>
      </c>
      <c r="B38995" s="1" t="str">
        <f>"27023"</f>
        <v>27023</v>
      </c>
      <c r="C38995" s="2">
        <v>1.8965979903992299E-2</v>
      </c>
      <c r="D38995" s="2">
        <v>1.4989521542997101E-2</v>
      </c>
      <c r="E38995" s="2">
        <v>6.2898653437278504E-3</v>
      </c>
      <c r="F38995" s="2">
        <v>1.8285574032030402E-2</v>
      </c>
    </row>
    <row r="38996" spans="1:6" x14ac:dyDescent="0.25">
      <c r="A38996" s="1" t="str">
        <f t="shared" si="1399"/>
        <v>49180</v>
      </c>
      <c r="B38996" s="1" t="str">
        <f>"27021"</f>
        <v>27021</v>
      </c>
      <c r="C38996" s="2">
        <v>2.49649661588002E-2</v>
      </c>
      <c r="D38996" s="2">
        <v>1.42080772919404E-2</v>
      </c>
      <c r="E38996" s="2">
        <v>1.4085754783841199E-2</v>
      </c>
      <c r="F38996" s="2">
        <v>2.3829405785540599E-2</v>
      </c>
    </row>
    <row r="38997" spans="1:6" x14ac:dyDescent="0.25">
      <c r="A38997" s="1" t="str">
        <f t="shared" si="1399"/>
        <v>49180</v>
      </c>
      <c r="B38997" s="1" t="str">
        <f>"27043"</f>
        <v>27043</v>
      </c>
      <c r="C38997" s="2">
        <v>4.7914368347297103E-3</v>
      </c>
      <c r="D38997" s="2">
        <v>1.5984086953433E-3</v>
      </c>
      <c r="E38997" s="2">
        <v>0</v>
      </c>
      <c r="F38997" s="2">
        <v>4.4073195653507799E-3</v>
      </c>
    </row>
    <row r="38998" spans="1:6" x14ac:dyDescent="0.25">
      <c r="A38998" s="1" t="str">
        <f t="shared" si="1399"/>
        <v>49180</v>
      </c>
      <c r="B38998" s="1" t="str">
        <f>"27041"</f>
        <v>27041</v>
      </c>
      <c r="C38998" s="2">
        <v>2.1050120754942002E-3</v>
      </c>
      <c r="D38998" s="2">
        <v>3.1968173906866E-4</v>
      </c>
      <c r="E38998" s="2">
        <v>2.6576895818568303E-4</v>
      </c>
      <c r="F38998" s="2">
        <v>1.91552993215609E-3</v>
      </c>
    </row>
    <row r="38999" spans="1:6" x14ac:dyDescent="0.25">
      <c r="A38999" s="1" t="str">
        <f t="shared" si="1399"/>
        <v>49180</v>
      </c>
      <c r="B38999" s="1" t="str">
        <f>"27360"</f>
        <v>27360</v>
      </c>
      <c r="C38999" s="2">
        <v>6.0329765347804001E-2</v>
      </c>
      <c r="D38999" s="2">
        <v>6.6174119987212704E-2</v>
      </c>
      <c r="E38999" s="2">
        <v>7.48582565556343E-2</v>
      </c>
      <c r="F38999" s="2">
        <v>6.1206250283461001E-2</v>
      </c>
    </row>
    <row r="39000" spans="1:6" x14ac:dyDescent="0.25">
      <c r="A39000" s="1" t="str">
        <f t="shared" si="1399"/>
        <v>49180</v>
      </c>
      <c r="B39000" s="1" t="str">
        <f>"27292"</f>
        <v>27292</v>
      </c>
      <c r="C39000" s="2">
        <v>5.7583708518441197E-2</v>
      </c>
      <c r="D39000" s="2">
        <v>6.54637161226157E-2</v>
      </c>
      <c r="E39000" s="2">
        <v>7.6275690999291199E-2</v>
      </c>
      <c r="F39000" s="2">
        <v>5.8738471471142903E-2</v>
      </c>
    </row>
    <row r="39001" spans="1:6" x14ac:dyDescent="0.25">
      <c r="A39001" s="1" t="str">
        <f t="shared" si="1399"/>
        <v>49180</v>
      </c>
      <c r="B39001" s="1" t="str">
        <f>"27265"</f>
        <v>27265</v>
      </c>
      <c r="C39001" s="2">
        <v>1.21977399445421E-2</v>
      </c>
      <c r="D39001" s="2">
        <v>2.4864135260895801E-3</v>
      </c>
      <c r="E39001" s="2">
        <v>1.22253720765414E-2</v>
      </c>
      <c r="F39001" s="2">
        <v>1.14691687720599E-2</v>
      </c>
    </row>
    <row r="39002" spans="1:6" x14ac:dyDescent="0.25">
      <c r="A39002" s="1" t="str">
        <f t="shared" si="1399"/>
        <v>49180</v>
      </c>
      <c r="B39002" s="1" t="str">
        <f>"27262"</f>
        <v>27262</v>
      </c>
      <c r="C39002" s="2">
        <v>2.7937624854646802E-3</v>
      </c>
      <c r="D39002" s="2">
        <v>6.3936347813732097E-4</v>
      </c>
      <c r="E39002" s="2">
        <v>2.6576895818568303E-4</v>
      </c>
      <c r="F39002" s="2">
        <v>2.5558184888656399E-3</v>
      </c>
    </row>
    <row r="39003" spans="1:6" x14ac:dyDescent="0.25">
      <c r="A39003" s="1" t="str">
        <f t="shared" si="1399"/>
        <v>49180</v>
      </c>
      <c r="B39003" s="1" t="str">
        <f>"27006"</f>
        <v>27006</v>
      </c>
      <c r="C39003" s="2">
        <v>2.3211783297057101E-2</v>
      </c>
      <c r="D39003" s="2">
        <v>1.5842006180513599E-2</v>
      </c>
      <c r="E39003" s="2">
        <v>6.7328136073706501E-3</v>
      </c>
      <c r="F39003" s="2">
        <v>2.2161987669109501E-2</v>
      </c>
    </row>
    <row r="39004" spans="1:6" x14ac:dyDescent="0.25">
      <c r="A39004" s="1" t="str">
        <f t="shared" si="1399"/>
        <v>49180</v>
      </c>
      <c r="B39004" s="1" t="str">
        <f>"27011"</f>
        <v>27011</v>
      </c>
      <c r="C39004" s="2">
        <v>7.5732729061689296E-3</v>
      </c>
      <c r="D39004" s="2">
        <v>3.0547366177672E-3</v>
      </c>
      <c r="E39004" s="2">
        <v>8.8589652728561302E-4</v>
      </c>
      <c r="F39004" s="2">
        <v>7.0325026478599596E-3</v>
      </c>
    </row>
    <row r="39005" spans="1:6" x14ac:dyDescent="0.25">
      <c r="A39005" s="1" t="str">
        <f t="shared" si="1399"/>
        <v>49180</v>
      </c>
      <c r="B39005" s="1" t="str">
        <f>"27107"</f>
        <v>27107</v>
      </c>
      <c r="C39005" s="2">
        <v>6.4265481976206795E-2</v>
      </c>
      <c r="D39005" s="2">
        <v>3.7580364437182497E-2</v>
      </c>
      <c r="E39005" s="2">
        <v>5.1559177888022598E-2</v>
      </c>
      <c r="F39005" s="2">
        <v>6.1878553268006099E-2</v>
      </c>
    </row>
    <row r="39006" spans="1:6" x14ac:dyDescent="0.25">
      <c r="A39006" s="1" t="str">
        <f t="shared" si="1399"/>
        <v>49180</v>
      </c>
      <c r="B39006" s="1" t="str">
        <f>"27030"</f>
        <v>27030</v>
      </c>
      <c r="C39006" s="2">
        <v>4.7705656101851502E-4</v>
      </c>
      <c r="D39006" s="2">
        <v>7.1040386459702304E-5</v>
      </c>
      <c r="E39006" s="2">
        <v>0</v>
      </c>
      <c r="F39006" s="2">
        <v>4.3219477577895101E-4</v>
      </c>
    </row>
    <row r="39007" spans="1:6" x14ac:dyDescent="0.25">
      <c r="A39007" s="1" t="str">
        <f t="shared" si="1399"/>
        <v>49180</v>
      </c>
      <c r="B39007" s="1" t="str">
        <f>"27022"</f>
        <v>27022</v>
      </c>
      <c r="C39007" s="2">
        <v>2.4836757208026401E-3</v>
      </c>
      <c r="D39007" s="2">
        <v>1.10112599012538E-3</v>
      </c>
      <c r="E39007" s="2">
        <v>0</v>
      </c>
      <c r="F39007" s="2">
        <v>2.3050388041543999E-3</v>
      </c>
    </row>
    <row r="39008" spans="1:6" x14ac:dyDescent="0.25">
      <c r="A39008" s="1" t="str">
        <f t="shared" ref="A39008:A39017" si="1400">"49180"</f>
        <v>49180</v>
      </c>
      <c r="B39008" s="1" t="str">
        <f>"27108"</f>
        <v>27108</v>
      </c>
      <c r="C39008" s="2">
        <v>0</v>
      </c>
      <c r="D39008" s="2">
        <v>0</v>
      </c>
      <c r="E39008" s="2">
        <v>8.8589652728561294E-5</v>
      </c>
      <c r="F39008" s="2">
        <v>2.6678689862898202E-6</v>
      </c>
    </row>
    <row r="39009" spans="1:6" x14ac:dyDescent="0.25">
      <c r="A39009" s="1" t="str">
        <f t="shared" si="1400"/>
        <v>49180</v>
      </c>
      <c r="B39009" s="1" t="str">
        <f>"27106"</f>
        <v>27106</v>
      </c>
      <c r="C39009" s="2">
        <v>6.9387876800143106E-2</v>
      </c>
      <c r="D39009" s="2">
        <v>5.2179163854651302E-2</v>
      </c>
      <c r="E39009" s="2">
        <v>0.12562012756909899</v>
      </c>
      <c r="F39009" s="2">
        <v>6.9788784812355398E-2</v>
      </c>
    </row>
    <row r="39010" spans="1:6" x14ac:dyDescent="0.25">
      <c r="A39010" s="1" t="str">
        <f t="shared" si="1400"/>
        <v>49180</v>
      </c>
      <c r="B39010" s="1" t="str">
        <f>"27050"</f>
        <v>27050</v>
      </c>
      <c r="C39010" s="2">
        <v>5.7604579742985699E-3</v>
      </c>
      <c r="D39010" s="2">
        <v>1.3142471495044899E-3</v>
      </c>
      <c r="E39010" s="2">
        <v>3.5435861091424501E-4</v>
      </c>
      <c r="F39010" s="2">
        <v>5.2637055099498103E-3</v>
      </c>
    </row>
    <row r="39011" spans="1:6" x14ac:dyDescent="0.25">
      <c r="A39011" s="1" t="str">
        <f t="shared" si="1400"/>
        <v>49180</v>
      </c>
      <c r="B39011" s="1" t="str">
        <f>"27028"</f>
        <v>27028</v>
      </c>
      <c r="C39011" s="2">
        <v>3.8951668207161803E-2</v>
      </c>
      <c r="D39011" s="2">
        <v>4.2162469363833298E-2</v>
      </c>
      <c r="E39011" s="2">
        <v>1.1959603118355699E-2</v>
      </c>
      <c r="F39011" s="2">
        <v>3.8379963236765298E-2</v>
      </c>
    </row>
    <row r="39012" spans="1:6" x14ac:dyDescent="0.25">
      <c r="A39012" s="1" t="str">
        <f t="shared" si="1400"/>
        <v>49180</v>
      </c>
      <c r="B39012" s="1" t="str">
        <f>"27046"</f>
        <v>27046</v>
      </c>
      <c r="C39012" s="2">
        <v>3.4348072393333099E-3</v>
      </c>
      <c r="D39012" s="2">
        <v>1.5628885021134499E-3</v>
      </c>
      <c r="E39012" s="2">
        <v>0</v>
      </c>
      <c r="F39012" s="2">
        <v>3.1907713076026198E-3</v>
      </c>
    </row>
    <row r="39013" spans="1:6" x14ac:dyDescent="0.25">
      <c r="A39013" s="1" t="str">
        <f t="shared" si="1400"/>
        <v>49180</v>
      </c>
      <c r="B39013" s="1" t="str">
        <f>"28642"</f>
        <v>28642</v>
      </c>
      <c r="C39013" s="2">
        <v>7.9012492918691599E-3</v>
      </c>
      <c r="D39013" s="2">
        <v>1.0336376229886601E-2</v>
      </c>
      <c r="E39013" s="2">
        <v>2.3033309709425899E-3</v>
      </c>
      <c r="F39013" s="2">
        <v>7.9155672823218899E-3</v>
      </c>
    </row>
    <row r="39014" spans="1:6" x14ac:dyDescent="0.25">
      <c r="A39014" s="1" t="str">
        <f t="shared" si="1400"/>
        <v>49180</v>
      </c>
      <c r="B39014" s="1" t="str">
        <f>"28634"</f>
        <v>28634</v>
      </c>
      <c r="C39014" s="2">
        <v>5.8439428724768095E-4</v>
      </c>
      <c r="D39014" s="2">
        <v>1.4208077291940401E-4</v>
      </c>
      <c r="E39014" s="2">
        <v>0</v>
      </c>
      <c r="F39014" s="2">
        <v>5.3357379725796404E-4</v>
      </c>
    </row>
    <row r="39015" spans="1:6" x14ac:dyDescent="0.25">
      <c r="A39015" s="1" t="str">
        <f t="shared" si="1400"/>
        <v>49180</v>
      </c>
      <c r="B39015" s="1" t="str">
        <f>"27157"</f>
        <v>27157</v>
      </c>
      <c r="C39015" s="2">
        <v>0</v>
      </c>
      <c r="D39015" s="2">
        <v>0</v>
      </c>
      <c r="E39015" s="2">
        <v>1.7717930545712199E-4</v>
      </c>
      <c r="F39015" s="2">
        <v>5.3357379725796404E-6</v>
      </c>
    </row>
    <row r="39016" spans="1:6" x14ac:dyDescent="0.25">
      <c r="A39016" s="1" t="str">
        <f t="shared" si="1400"/>
        <v>49180</v>
      </c>
      <c r="B39016" s="1" t="str">
        <f>"27357"</f>
        <v>27357</v>
      </c>
      <c r="C39016" s="2">
        <v>1.2522734726735999E-4</v>
      </c>
      <c r="D39016" s="2">
        <v>7.1040386459702304E-5</v>
      </c>
      <c r="E39016" s="2">
        <v>0</v>
      </c>
      <c r="F39016" s="2">
        <v>1.1738623539675199E-4</v>
      </c>
    </row>
    <row r="39017" spans="1:6" x14ac:dyDescent="0.25">
      <c r="A39017" s="1" t="str">
        <f t="shared" si="1400"/>
        <v>49180</v>
      </c>
      <c r="B39017" s="1" t="str">
        <f>"27110"</f>
        <v>27110</v>
      </c>
      <c r="C39017" s="2">
        <v>0</v>
      </c>
      <c r="D39017" s="2">
        <v>0</v>
      </c>
      <c r="E39017" s="2">
        <v>6.2012756909992901E-4</v>
      </c>
      <c r="F39017" s="2">
        <v>1.8675082904028701E-5</v>
      </c>
    </row>
    <row r="39018" spans="1:6" x14ac:dyDescent="0.25">
      <c r="A39018" s="1" t="str">
        <f t="shared" ref="A39018:A39034" si="1401">"49220"</f>
        <v>49220</v>
      </c>
      <c r="B39018" s="1" t="str">
        <f>"54469"</f>
        <v>54469</v>
      </c>
      <c r="C39018" s="2">
        <v>1.9707296454799999E-2</v>
      </c>
      <c r="D39018" s="2">
        <v>1.1528326745718E-2</v>
      </c>
      <c r="E39018" s="2">
        <v>1.4623172103487E-2</v>
      </c>
      <c r="F39018" s="2">
        <v>1.9004763158524601E-2</v>
      </c>
    </row>
    <row r="39019" spans="1:6" x14ac:dyDescent="0.25">
      <c r="A39019" s="1" t="str">
        <f t="shared" si="1401"/>
        <v>49220</v>
      </c>
      <c r="B39019" s="1" t="str">
        <f>"54441"</f>
        <v>54441</v>
      </c>
      <c r="C39019" s="2">
        <v>8.6912875785914306E-3</v>
      </c>
      <c r="D39019" s="2">
        <v>3.2938076416337198E-3</v>
      </c>
      <c r="E39019" s="2">
        <v>3.37457817772778E-3</v>
      </c>
      <c r="F39019" s="2">
        <v>8.1859307307498904E-3</v>
      </c>
    </row>
    <row r="39020" spans="1:6" x14ac:dyDescent="0.25">
      <c r="A39020" s="1" t="str">
        <f t="shared" si="1401"/>
        <v>49220</v>
      </c>
      <c r="B39020" s="1" t="str">
        <f>"54420"</f>
        <v>54420</v>
      </c>
      <c r="C39020" s="2">
        <v>1.2944470861731899E-3</v>
      </c>
      <c r="D39020" s="2">
        <v>0</v>
      </c>
      <c r="E39020" s="2">
        <v>0</v>
      </c>
      <c r="F39020" s="2">
        <v>1.1728380286746901E-3</v>
      </c>
    </row>
    <row r="39021" spans="1:6" x14ac:dyDescent="0.25">
      <c r="A39021" s="1" t="str">
        <f t="shared" si="1401"/>
        <v>49220</v>
      </c>
      <c r="B39021" s="1" t="str">
        <f>"54413"</f>
        <v>54413</v>
      </c>
      <c r="C39021" s="2">
        <v>2.77381518465683E-3</v>
      </c>
      <c r="D39021" s="2">
        <v>0</v>
      </c>
      <c r="E39021" s="2">
        <v>1.1248593925759201E-3</v>
      </c>
      <c r="F39021" s="2">
        <v>2.5371598171329999E-3</v>
      </c>
    </row>
    <row r="39022" spans="1:6" x14ac:dyDescent="0.25">
      <c r="A39022" s="1" t="str">
        <f t="shared" si="1401"/>
        <v>49220</v>
      </c>
      <c r="B39022" s="1" t="str">
        <f>"54495"</f>
        <v>54495</v>
      </c>
      <c r="C39022" s="2">
        <v>0.115285042531832</v>
      </c>
      <c r="D39022" s="2">
        <v>0.200922266139657</v>
      </c>
      <c r="E39022" s="2">
        <v>0.16422947131608501</v>
      </c>
      <c r="F39022" s="2">
        <v>0.12254960626151799</v>
      </c>
    </row>
    <row r="39023" spans="1:6" x14ac:dyDescent="0.25">
      <c r="A39023" s="1" t="str">
        <f t="shared" si="1401"/>
        <v>49220</v>
      </c>
      <c r="B39023" s="1" t="str">
        <f>"54454"</f>
        <v>54454</v>
      </c>
      <c r="C39023" s="2">
        <v>1.37105721984466E-2</v>
      </c>
      <c r="D39023" s="2">
        <v>7.5757575757575699E-3</v>
      </c>
      <c r="E39023" s="2">
        <v>4.4994375703037099E-3</v>
      </c>
      <c r="F39023" s="2">
        <v>1.30687666052322E-2</v>
      </c>
    </row>
    <row r="39024" spans="1:6" x14ac:dyDescent="0.25">
      <c r="A39024" s="1" t="str">
        <f t="shared" si="1401"/>
        <v>49220</v>
      </c>
      <c r="B39024" s="1" t="str">
        <f>"54457"</f>
        <v>54457</v>
      </c>
      <c r="C39024" s="2">
        <v>6.3137317060284207E-2</v>
      </c>
      <c r="D39024" s="2">
        <v>3.7220026350461101E-2</v>
      </c>
      <c r="E39024" s="2">
        <v>3.1496062992125901E-2</v>
      </c>
      <c r="F39024" s="2">
        <v>6.0580674501543801E-2</v>
      </c>
    </row>
    <row r="39025" spans="1:6" x14ac:dyDescent="0.25">
      <c r="A39025" s="1" t="str">
        <f t="shared" si="1401"/>
        <v>49220</v>
      </c>
      <c r="B39025" s="1" t="str">
        <f>"54415"</f>
        <v>54415</v>
      </c>
      <c r="C39025" s="2">
        <v>0</v>
      </c>
      <c r="D39025" s="2">
        <v>0</v>
      </c>
      <c r="E39025" s="2">
        <v>1.1248593925759201E-3</v>
      </c>
      <c r="F39025" s="2">
        <v>2.3935469972952899E-5</v>
      </c>
    </row>
    <row r="39026" spans="1:6" x14ac:dyDescent="0.25">
      <c r="A39026" s="1" t="str">
        <f t="shared" si="1401"/>
        <v>49220</v>
      </c>
      <c r="B39026" s="1" t="str">
        <f>"54475"</f>
        <v>54475</v>
      </c>
      <c r="C39026" s="2">
        <v>1.61673799334284E-2</v>
      </c>
      <c r="D39026" s="2">
        <v>5.2700922266139599E-3</v>
      </c>
      <c r="E39026" s="2">
        <v>5.6242969628796397E-3</v>
      </c>
      <c r="F39026" s="2">
        <v>1.51511524928791E-2</v>
      </c>
    </row>
    <row r="39027" spans="1:6" x14ac:dyDescent="0.25">
      <c r="A39027" s="1" t="str">
        <f t="shared" si="1401"/>
        <v>49220</v>
      </c>
      <c r="B39027" s="1" t="str">
        <f>"54404"</f>
        <v>54404</v>
      </c>
      <c r="C39027" s="2">
        <v>0</v>
      </c>
      <c r="D39027" s="2">
        <v>3.2938076416337201E-4</v>
      </c>
      <c r="E39027" s="2">
        <v>0</v>
      </c>
      <c r="F39027" s="2">
        <v>2.3935469972952899E-5</v>
      </c>
    </row>
    <row r="39028" spans="1:6" x14ac:dyDescent="0.25">
      <c r="A39028" s="1" t="str">
        <f t="shared" si="1401"/>
        <v>49220</v>
      </c>
      <c r="B39028" s="1" t="str">
        <f>"54449"</f>
        <v>54449</v>
      </c>
      <c r="C39028" s="2">
        <v>0.34905161937972201</v>
      </c>
      <c r="D39028" s="2">
        <v>0.41864295125164602</v>
      </c>
      <c r="E39028" s="2">
        <v>0.440944881889763</v>
      </c>
      <c r="F39028" s="2">
        <v>0.35606405131764701</v>
      </c>
    </row>
    <row r="39029" spans="1:6" x14ac:dyDescent="0.25">
      <c r="A39029" s="1" t="str">
        <f t="shared" si="1401"/>
        <v>49220</v>
      </c>
      <c r="B39029" s="1" t="str">
        <f>"54494"</f>
        <v>54494</v>
      </c>
      <c r="C39029" s="2">
        <v>0.31243725894225099</v>
      </c>
      <c r="D39029" s="2">
        <v>0.279644268774703</v>
      </c>
      <c r="E39029" s="2">
        <v>0.28121484814398201</v>
      </c>
      <c r="F39029" s="2">
        <v>0.30938988487038899</v>
      </c>
    </row>
    <row r="39030" spans="1:6" x14ac:dyDescent="0.25">
      <c r="A39030" s="1" t="str">
        <f t="shared" si="1401"/>
        <v>49220</v>
      </c>
      <c r="B39030" s="1" t="str">
        <f>"54489"</f>
        <v>54489</v>
      </c>
      <c r="C39030" s="2">
        <v>1.8888360543139401E-2</v>
      </c>
      <c r="D39030" s="2">
        <v>4.61133069828722E-3</v>
      </c>
      <c r="E39030" s="2">
        <v>1.01237345331833E-2</v>
      </c>
      <c r="F39030" s="2">
        <v>1.76643768400392E-2</v>
      </c>
    </row>
    <row r="39031" spans="1:6" x14ac:dyDescent="0.25">
      <c r="A39031" s="1" t="str">
        <f t="shared" si="1401"/>
        <v>49220</v>
      </c>
      <c r="B39031" s="1" t="str">
        <f>"54412"</f>
        <v>54412</v>
      </c>
      <c r="C39031" s="2">
        <v>2.36434722882654E-2</v>
      </c>
      <c r="D39031" s="2">
        <v>1.6798418972331999E-2</v>
      </c>
      <c r="E39031" s="2">
        <v>2.24971878515185E-2</v>
      </c>
      <c r="F39031" s="2">
        <v>2.3121663993872499E-2</v>
      </c>
    </row>
    <row r="39032" spans="1:6" x14ac:dyDescent="0.25">
      <c r="A39032" s="1" t="str">
        <f t="shared" si="1401"/>
        <v>49220</v>
      </c>
      <c r="B39032" s="1" t="str">
        <f>"54443"</f>
        <v>54443</v>
      </c>
      <c r="C39032" s="2">
        <v>5.0192846198552298E-4</v>
      </c>
      <c r="D39032" s="2">
        <v>0</v>
      </c>
      <c r="E39032" s="2">
        <v>0</v>
      </c>
      <c r="F39032" s="2">
        <v>4.54773929486105E-4</v>
      </c>
    </row>
    <row r="39033" spans="1:6" x14ac:dyDescent="0.25">
      <c r="A39033" s="1" t="str">
        <f t="shared" si="1401"/>
        <v>49220</v>
      </c>
      <c r="B39033" s="1" t="str">
        <f>"54466"</f>
        <v>54466</v>
      </c>
      <c r="C39033" s="2">
        <v>3.0723305331008598E-2</v>
      </c>
      <c r="D39033" s="2">
        <v>9.22266139657444E-3</v>
      </c>
      <c r="E39033" s="2">
        <v>1.3498312710911099E-2</v>
      </c>
      <c r="F39033" s="2">
        <v>2.8794370377462301E-2</v>
      </c>
    </row>
    <row r="39034" spans="1:6" x14ac:dyDescent="0.25">
      <c r="A39034" s="1" t="str">
        <f t="shared" si="1401"/>
        <v>49220</v>
      </c>
      <c r="B39034" s="1" t="str">
        <f>"54410"</f>
        <v>54410</v>
      </c>
      <c r="C39034" s="2">
        <v>2.3986897025413401E-2</v>
      </c>
      <c r="D39034" s="2">
        <v>4.9407114624505904E-3</v>
      </c>
      <c r="E39034" s="2">
        <v>5.6242969628796397E-3</v>
      </c>
      <c r="F39034" s="2">
        <v>2.22121161349003E-2</v>
      </c>
    </row>
    <row r="39035" spans="1:6" x14ac:dyDescent="0.25">
      <c r="A39035" s="1" t="str">
        <f t="shared" ref="A39035:A39043" si="1402">"49260"</f>
        <v>49260</v>
      </c>
      <c r="B39035" s="1" t="str">
        <f>"73841"</f>
        <v>73841</v>
      </c>
      <c r="C39035" s="2">
        <v>1.87527905938383E-2</v>
      </c>
      <c r="D39035" s="2">
        <v>5.0946142649199401E-3</v>
      </c>
      <c r="E39035" s="2">
        <v>2.1874999999999999E-2</v>
      </c>
      <c r="F39035" s="2">
        <v>1.7578641289981399E-2</v>
      </c>
    </row>
    <row r="39036" spans="1:6" x14ac:dyDescent="0.25">
      <c r="A39036" s="1" t="str">
        <f t="shared" si="1402"/>
        <v>49260</v>
      </c>
      <c r="B39036" s="1" t="str">
        <f>"73858"</f>
        <v>73858</v>
      </c>
      <c r="C39036" s="2">
        <v>8.0071439202262201E-2</v>
      </c>
      <c r="D39036" s="2">
        <v>4.2212518195050897E-2</v>
      </c>
      <c r="E39036" s="2">
        <v>9.3749999999999997E-3</v>
      </c>
      <c r="F39036" s="2">
        <v>7.5138778747026097E-2</v>
      </c>
    </row>
    <row r="39037" spans="1:6" x14ac:dyDescent="0.25">
      <c r="A39037" s="1" t="str">
        <f t="shared" si="1402"/>
        <v>49260</v>
      </c>
      <c r="B39037" s="1" t="str">
        <f>"73832"</f>
        <v>73832</v>
      </c>
      <c r="C39037" s="2">
        <v>4.2863521357344801E-2</v>
      </c>
      <c r="D39037" s="2">
        <v>1.31004366812227E-2</v>
      </c>
      <c r="E39037" s="2">
        <v>3.1250000000000002E-3</v>
      </c>
      <c r="F39037" s="2">
        <v>3.9320644990747999E-2</v>
      </c>
    </row>
    <row r="39038" spans="1:6" x14ac:dyDescent="0.25">
      <c r="A39038" s="1" t="str">
        <f t="shared" si="1402"/>
        <v>49260</v>
      </c>
      <c r="B39038" s="1" t="str">
        <f>"73852"</f>
        <v>73852</v>
      </c>
      <c r="C39038" s="2">
        <v>6.0574490251525497E-2</v>
      </c>
      <c r="D39038" s="2">
        <v>1.7467248908296901E-2</v>
      </c>
      <c r="E39038" s="2">
        <v>2.1874999999999999E-2</v>
      </c>
      <c r="F39038" s="2">
        <v>5.5841924398625398E-2</v>
      </c>
    </row>
    <row r="39039" spans="1:6" x14ac:dyDescent="0.25">
      <c r="A39039" s="1" t="str">
        <f t="shared" si="1402"/>
        <v>49260</v>
      </c>
      <c r="B39039" s="1" t="str">
        <f>"73853"</f>
        <v>73853</v>
      </c>
      <c r="C39039" s="2">
        <v>2.4929304956094599E-2</v>
      </c>
      <c r="D39039" s="2">
        <v>6.5502183406113499E-3</v>
      </c>
      <c r="E39039" s="2">
        <v>3.1250000000000002E-3</v>
      </c>
      <c r="F39039" s="2">
        <v>2.2799365582870702E-2</v>
      </c>
    </row>
    <row r="39040" spans="1:6" x14ac:dyDescent="0.25">
      <c r="A39040" s="1" t="str">
        <f t="shared" si="1402"/>
        <v>49260</v>
      </c>
      <c r="B39040" s="1" t="str">
        <f>"73857"</f>
        <v>73857</v>
      </c>
      <c r="C39040" s="2">
        <v>3.6463759488018999E-2</v>
      </c>
      <c r="D39040" s="2">
        <v>1.60116448326055E-2</v>
      </c>
      <c r="E39040" s="2">
        <v>3.1250000000000002E-3</v>
      </c>
      <c r="F39040" s="2">
        <v>3.3901665344964298E-2</v>
      </c>
    </row>
    <row r="39041" spans="1:6" x14ac:dyDescent="0.25">
      <c r="A39041" s="1" t="str">
        <f t="shared" si="1402"/>
        <v>49260</v>
      </c>
      <c r="B39041" s="1" t="str">
        <f>"73840"</f>
        <v>73840</v>
      </c>
      <c r="C39041" s="2">
        <v>2.2399166542640198E-2</v>
      </c>
      <c r="D39041" s="2">
        <v>1.4556040756914101E-3</v>
      </c>
      <c r="E39041" s="2">
        <v>3.1250000000000002E-3</v>
      </c>
      <c r="F39041" s="2">
        <v>2.0089875759978799E-2</v>
      </c>
    </row>
    <row r="39042" spans="1:6" x14ac:dyDescent="0.25">
      <c r="A39042" s="1" t="str">
        <f t="shared" si="1402"/>
        <v>49260</v>
      </c>
      <c r="B39042" s="1" t="str">
        <f>"73801"</f>
        <v>73801</v>
      </c>
      <c r="C39042" s="2">
        <v>0.65664533412710202</v>
      </c>
      <c r="D39042" s="2">
        <v>0.87554585152838404</v>
      </c>
      <c r="E39042" s="2">
        <v>0.91874999999999996</v>
      </c>
      <c r="F39042" s="2">
        <v>0.68206449907480804</v>
      </c>
    </row>
    <row r="39043" spans="1:6" x14ac:dyDescent="0.25">
      <c r="A39043" s="1" t="str">
        <f t="shared" si="1402"/>
        <v>49260</v>
      </c>
      <c r="B39043" s="1" t="str">
        <f>"73843"</f>
        <v>73843</v>
      </c>
      <c r="C39043" s="2">
        <v>5.7300193481172698E-2</v>
      </c>
      <c r="D39043" s="2">
        <v>2.25618631732168E-2</v>
      </c>
      <c r="E39043" s="2">
        <v>1.5625E-2</v>
      </c>
      <c r="F39043" s="2">
        <v>5.3264604810996499E-2</v>
      </c>
    </row>
    <row r="39044" spans="1:6" x14ac:dyDescent="0.25">
      <c r="A39044" s="1" t="str">
        <f t="shared" ref="A39044:A39070" si="1403">"49300"</f>
        <v>49300</v>
      </c>
      <c r="B39044" s="1" t="str">
        <f>"44270"</f>
        <v>44270</v>
      </c>
      <c r="C39044" s="2">
        <v>7.1780627375631706E-2</v>
      </c>
      <c r="D39044" s="2">
        <v>5.3701456310679602E-2</v>
      </c>
      <c r="E39044" s="2">
        <v>5.2509652509652498E-2</v>
      </c>
      <c r="F39044" s="2">
        <v>7.0169420463857601E-2</v>
      </c>
    </row>
    <row r="39045" spans="1:6" x14ac:dyDescent="0.25">
      <c r="A39045" s="1" t="str">
        <f t="shared" si="1403"/>
        <v>49300</v>
      </c>
      <c r="B39045" s="1" t="str">
        <f>"44276"</f>
        <v>44276</v>
      </c>
      <c r="C39045" s="2">
        <v>1.6060314940896301E-2</v>
      </c>
      <c r="D39045" s="2">
        <v>1.15291262135922E-2</v>
      </c>
      <c r="E39045" s="2">
        <v>5.4054054054053996E-3</v>
      </c>
      <c r="F39045" s="2">
        <v>1.5512739885274299E-2</v>
      </c>
    </row>
    <row r="39046" spans="1:6" x14ac:dyDescent="0.25">
      <c r="A39046" s="1" t="str">
        <f t="shared" si="1403"/>
        <v>49300</v>
      </c>
      <c r="B39046" s="1" t="str">
        <f>"44216"</f>
        <v>44216</v>
      </c>
      <c r="C39046" s="2">
        <v>2.92385447558581E-4</v>
      </c>
      <c r="D39046" s="2">
        <v>9.1019417475728104E-4</v>
      </c>
      <c r="E39046" s="2">
        <v>0</v>
      </c>
      <c r="F39046" s="2">
        <v>3.2397614011015098E-4</v>
      </c>
    </row>
    <row r="39047" spans="1:6" x14ac:dyDescent="0.25">
      <c r="A39047" s="1" t="str">
        <f t="shared" si="1403"/>
        <v>49300</v>
      </c>
      <c r="B39047" s="1" t="str">
        <f>"44203"</f>
        <v>44203</v>
      </c>
      <c r="C39047" s="2">
        <v>9.3981036715258298E-4</v>
      </c>
      <c r="D39047" s="2">
        <v>9.1019417475728104E-4</v>
      </c>
      <c r="E39047" s="2">
        <v>1.5444015444015401E-3</v>
      </c>
      <c r="F39047" s="2">
        <v>9.5287100032397597E-4</v>
      </c>
    </row>
    <row r="39048" spans="1:6" x14ac:dyDescent="0.25">
      <c r="A39048" s="1" t="str">
        <f t="shared" si="1403"/>
        <v>49300</v>
      </c>
      <c r="B39048" s="1" t="str">
        <f>"44659"</f>
        <v>44659</v>
      </c>
      <c r="C39048" s="2">
        <v>2.0884674825612899E-5</v>
      </c>
      <c r="D39048" s="2">
        <v>0</v>
      </c>
      <c r="E39048" s="2">
        <v>7.7220077220077198E-4</v>
      </c>
      <c r="F39048" s="2">
        <v>3.8114840012959E-5</v>
      </c>
    </row>
    <row r="39049" spans="1:6" x14ac:dyDescent="0.25">
      <c r="A39049" s="1" t="str">
        <f t="shared" si="1403"/>
        <v>49300</v>
      </c>
      <c r="B39049" s="1" t="str">
        <f>"44662"</f>
        <v>44662</v>
      </c>
      <c r="C39049" s="2">
        <v>3.23712459797E-3</v>
      </c>
      <c r="D39049" s="2">
        <v>6.0679611650485399E-4</v>
      </c>
      <c r="E39049" s="2">
        <v>0</v>
      </c>
      <c r="F39049" s="2">
        <v>2.99201494101728E-3</v>
      </c>
    </row>
    <row r="39050" spans="1:6" x14ac:dyDescent="0.25">
      <c r="A39050" s="1" t="str">
        <f t="shared" si="1403"/>
        <v>49300</v>
      </c>
      <c r="B39050" s="1" t="str">
        <f>"44677"</f>
        <v>44677</v>
      </c>
      <c r="C39050" s="2">
        <v>2.2492794787185098E-2</v>
      </c>
      <c r="D39050" s="2">
        <v>1.51699029126213E-2</v>
      </c>
      <c r="E39050" s="2">
        <v>2.2393822393822298E-2</v>
      </c>
      <c r="F39050" s="2">
        <v>2.2030377527490302E-2</v>
      </c>
    </row>
    <row r="39051" spans="1:6" x14ac:dyDescent="0.25">
      <c r="A39051" s="1" t="str">
        <f t="shared" si="1403"/>
        <v>49300</v>
      </c>
      <c r="B39051" s="1" t="str">
        <f>"44624"</f>
        <v>44624</v>
      </c>
      <c r="C39051" s="2">
        <v>3.59216407000543E-3</v>
      </c>
      <c r="D39051" s="2">
        <v>6.0679611650485401E-3</v>
      </c>
      <c r="E39051" s="2">
        <v>0</v>
      </c>
      <c r="F39051" s="2">
        <v>3.6590246412440599E-3</v>
      </c>
    </row>
    <row r="39052" spans="1:6" x14ac:dyDescent="0.25">
      <c r="A39052" s="1" t="str">
        <f t="shared" si="1403"/>
        <v>49300</v>
      </c>
      <c r="B39052" s="1" t="str">
        <f>"44217"</f>
        <v>44217</v>
      </c>
      <c r="C39052" s="2">
        <v>3.33945950461551E-2</v>
      </c>
      <c r="D39052" s="2">
        <v>2.4575242718446601E-2</v>
      </c>
      <c r="E39052" s="2">
        <v>1.77606177606177E-2</v>
      </c>
      <c r="F39052" s="2">
        <v>3.2454786271034597E-2</v>
      </c>
    </row>
    <row r="39053" spans="1:6" x14ac:dyDescent="0.25">
      <c r="A39053" s="1" t="str">
        <f t="shared" si="1403"/>
        <v>49300</v>
      </c>
      <c r="B39053" s="1" t="str">
        <f>"44627"</f>
        <v>44627</v>
      </c>
      <c r="C39053" s="2">
        <v>2.04669813291007E-2</v>
      </c>
      <c r="D39053" s="2">
        <v>1.24393203883495E-2</v>
      </c>
      <c r="E39053" s="2">
        <v>7.7220077220077198E-4</v>
      </c>
      <c r="F39053" s="2">
        <v>1.9476683246621999E-2</v>
      </c>
    </row>
    <row r="39054" spans="1:6" x14ac:dyDescent="0.25">
      <c r="A39054" s="1" t="str">
        <f t="shared" si="1403"/>
        <v>49300</v>
      </c>
      <c r="B39054" s="1" t="str">
        <f>"44691"</f>
        <v>44691</v>
      </c>
      <c r="C39054" s="2">
        <v>0.42404243765924499</v>
      </c>
      <c r="D39054" s="2">
        <v>0.62621359223300899</v>
      </c>
      <c r="E39054" s="2">
        <v>0.70579150579150496</v>
      </c>
      <c r="F39054" s="2">
        <v>0.443694852590856</v>
      </c>
    </row>
    <row r="39055" spans="1:6" x14ac:dyDescent="0.25">
      <c r="A39055" s="1" t="str">
        <f t="shared" si="1403"/>
        <v>49300</v>
      </c>
      <c r="B39055" s="1" t="str">
        <f>"44287"</f>
        <v>44287</v>
      </c>
      <c r="C39055" s="2">
        <v>3.85531097280815E-2</v>
      </c>
      <c r="D39055" s="2">
        <v>1.4866504854368899E-2</v>
      </c>
      <c r="E39055" s="2">
        <v>1.0038610038610001E-2</v>
      </c>
      <c r="F39055" s="2">
        <v>3.63615573723629E-2</v>
      </c>
    </row>
    <row r="39056" spans="1:6" x14ac:dyDescent="0.25">
      <c r="A39056" s="1" t="str">
        <f t="shared" si="1403"/>
        <v>49300</v>
      </c>
      <c r="B39056" s="1" t="str">
        <f>"44638"</f>
        <v>44638</v>
      </c>
      <c r="C39056" s="2">
        <v>7.1007894407084E-4</v>
      </c>
      <c r="D39056" s="2">
        <v>3.03398058252427E-4</v>
      </c>
      <c r="E39056" s="2">
        <v>0</v>
      </c>
      <c r="F39056" s="2">
        <v>6.6700970022678301E-4</v>
      </c>
    </row>
    <row r="39057" spans="1:6" x14ac:dyDescent="0.25">
      <c r="A39057" s="1" t="str">
        <f t="shared" si="1403"/>
        <v>49300</v>
      </c>
      <c r="B39057" s="1" t="str">
        <f>"44618"</f>
        <v>44618</v>
      </c>
      <c r="C39057" s="2">
        <v>4.7700597301700003E-2</v>
      </c>
      <c r="D39057" s="2">
        <v>2.1844660194174699E-2</v>
      </c>
      <c r="E39057" s="2">
        <v>2.7027027027027001E-2</v>
      </c>
      <c r="F39057" s="2">
        <v>4.5566291235492502E-2</v>
      </c>
    </row>
    <row r="39058" spans="1:6" x14ac:dyDescent="0.25">
      <c r="A39058" s="1" t="str">
        <f t="shared" si="1403"/>
        <v>49300</v>
      </c>
      <c r="B39058" s="1" t="str">
        <f>"44676"</f>
        <v>44676</v>
      </c>
      <c r="C39058" s="2">
        <v>3.3102209598596499E-2</v>
      </c>
      <c r="D39058" s="2">
        <v>7.8883495145630998E-3</v>
      </c>
      <c r="E39058" s="2">
        <v>1.0038610038610001E-2</v>
      </c>
      <c r="F39058" s="2">
        <v>3.0949250090522702E-2</v>
      </c>
    </row>
    <row r="39059" spans="1:6" x14ac:dyDescent="0.25">
      <c r="A39059" s="1" t="str">
        <f t="shared" si="1403"/>
        <v>49300</v>
      </c>
      <c r="B39059" s="1" t="str">
        <f>"44611"</f>
        <v>44611</v>
      </c>
      <c r="C39059" s="2">
        <v>5.4300154546593705E-4</v>
      </c>
      <c r="D39059" s="2">
        <v>0</v>
      </c>
      <c r="E39059" s="2">
        <v>0</v>
      </c>
      <c r="F39059" s="2">
        <v>4.9549292016846697E-4</v>
      </c>
    </row>
    <row r="39060" spans="1:6" x14ac:dyDescent="0.25">
      <c r="A39060" s="1" t="str">
        <f t="shared" si="1403"/>
        <v>49300</v>
      </c>
      <c r="B39060" s="1" t="str">
        <f>"44840"</f>
        <v>44840</v>
      </c>
      <c r="C39060" s="2">
        <v>2.5061609790735502E-4</v>
      </c>
      <c r="D39060" s="2">
        <v>0</v>
      </c>
      <c r="E39060" s="2">
        <v>0</v>
      </c>
      <c r="F39060" s="2">
        <v>2.2868904007775399E-4</v>
      </c>
    </row>
    <row r="39061" spans="1:6" x14ac:dyDescent="0.25">
      <c r="A39061" s="1" t="str">
        <f t="shared" si="1403"/>
        <v>49300</v>
      </c>
      <c r="B39061" s="1" t="str">
        <f>"44614"</f>
        <v>44614</v>
      </c>
      <c r="C39061" s="2">
        <v>1.04423374128064E-4</v>
      </c>
      <c r="D39061" s="2">
        <v>0</v>
      </c>
      <c r="E39061" s="2">
        <v>0</v>
      </c>
      <c r="F39061" s="2">
        <v>9.5287100032397605E-5</v>
      </c>
    </row>
    <row r="39062" spans="1:6" x14ac:dyDescent="0.25">
      <c r="A39062" s="1" t="str">
        <f t="shared" si="1403"/>
        <v>49300</v>
      </c>
      <c r="B39062" s="1" t="str">
        <f>"44606"</f>
        <v>44606</v>
      </c>
      <c r="C39062" s="2">
        <v>5.0290296980075998E-2</v>
      </c>
      <c r="D39062" s="2">
        <v>3.3677184466019403E-2</v>
      </c>
      <c r="E39062" s="2">
        <v>1.1583011583011499E-2</v>
      </c>
      <c r="F39062" s="2">
        <v>4.8291502296419098E-2</v>
      </c>
    </row>
    <row r="39063" spans="1:6" x14ac:dyDescent="0.25">
      <c r="A39063" s="1" t="str">
        <f t="shared" si="1403"/>
        <v>49300</v>
      </c>
      <c r="B39063" s="1" t="str">
        <f>"44667"</f>
        <v>44667</v>
      </c>
      <c r="C39063" s="2">
        <v>0.120901382565473</v>
      </c>
      <c r="D39063" s="2">
        <v>0.12257281553398</v>
      </c>
      <c r="E39063" s="2">
        <v>8.4942084942084897E-2</v>
      </c>
      <c r="F39063" s="2">
        <v>0.12011891830084</v>
      </c>
    </row>
    <row r="39064" spans="1:6" x14ac:dyDescent="0.25">
      <c r="A39064" s="1" t="str">
        <f t="shared" si="1403"/>
        <v>49300</v>
      </c>
      <c r="B39064" s="1" t="str">
        <f>"44214"</f>
        <v>44214</v>
      </c>
      <c r="C39064" s="2">
        <v>1.5976776241593899E-2</v>
      </c>
      <c r="D39064" s="2">
        <v>5.1577669902912598E-3</v>
      </c>
      <c r="E39064" s="2">
        <v>3.8610038610038598E-3</v>
      </c>
      <c r="F39064" s="2">
        <v>1.4998189545099299E-2</v>
      </c>
    </row>
    <row r="39065" spans="1:6" x14ac:dyDescent="0.25">
      <c r="A39065" s="1" t="str">
        <f t="shared" si="1403"/>
        <v>49300</v>
      </c>
      <c r="B39065" s="1" t="str">
        <f>"44281"</f>
        <v>44281</v>
      </c>
      <c r="C39065" s="2">
        <v>1.04423374128064E-4</v>
      </c>
      <c r="D39065" s="2">
        <v>0</v>
      </c>
      <c r="E39065" s="2">
        <v>0</v>
      </c>
      <c r="F39065" s="2">
        <v>9.5287100032397605E-5</v>
      </c>
    </row>
    <row r="39066" spans="1:6" x14ac:dyDescent="0.25">
      <c r="A39066" s="1" t="str">
        <f t="shared" si="1403"/>
        <v>49300</v>
      </c>
      <c r="B39066" s="1" t="str">
        <f>"44273"</f>
        <v>44273</v>
      </c>
      <c r="C39066" s="2">
        <v>3.7592414686103302E-4</v>
      </c>
      <c r="D39066" s="2">
        <v>0</v>
      </c>
      <c r="E39066" s="2">
        <v>0</v>
      </c>
      <c r="F39066" s="2">
        <v>3.4303356011663099E-4</v>
      </c>
    </row>
    <row r="39067" spans="1:6" x14ac:dyDescent="0.25">
      <c r="A39067" s="1" t="str">
        <f t="shared" si="1403"/>
        <v>49300</v>
      </c>
      <c r="B39067" s="1" t="str">
        <f>"44636"</f>
        <v>44636</v>
      </c>
      <c r="C39067" s="2">
        <v>2.0884674825612899E-5</v>
      </c>
      <c r="D39067" s="2">
        <v>0</v>
      </c>
      <c r="E39067" s="2">
        <v>7.7220077220077198E-4</v>
      </c>
      <c r="F39067" s="2">
        <v>3.8114840012959E-5</v>
      </c>
    </row>
    <row r="39068" spans="1:6" x14ac:dyDescent="0.25">
      <c r="A39068" s="1" t="str">
        <f t="shared" si="1403"/>
        <v>49300</v>
      </c>
      <c r="B39068" s="1" t="str">
        <f>"44666"</f>
        <v>44666</v>
      </c>
      <c r="C39068" s="2">
        <v>3.7801261434359402E-3</v>
      </c>
      <c r="D39068" s="2">
        <v>6.0679611650485399E-4</v>
      </c>
      <c r="E39068" s="2">
        <v>0</v>
      </c>
      <c r="F39068" s="2">
        <v>3.4875078611857498E-3</v>
      </c>
    </row>
    <row r="39069" spans="1:6" x14ac:dyDescent="0.25">
      <c r="A39069" s="1" t="str">
        <f t="shared" si="1403"/>
        <v>49300</v>
      </c>
      <c r="B39069" s="1" t="str">
        <f>"44645"</f>
        <v>44645</v>
      </c>
      <c r="C39069" s="2">
        <v>2.02999039304958E-2</v>
      </c>
      <c r="D39069" s="2">
        <v>6.6747572815533899E-3</v>
      </c>
      <c r="E39069" s="2">
        <v>8.4942084942084897E-3</v>
      </c>
      <c r="F39069" s="2">
        <v>1.9152707106511901E-2</v>
      </c>
    </row>
    <row r="39070" spans="1:6" x14ac:dyDescent="0.25">
      <c r="A39070" s="1" t="str">
        <f t="shared" si="1403"/>
        <v>49300</v>
      </c>
      <c r="B39070" s="1" t="str">
        <f>"44230"</f>
        <v>44230</v>
      </c>
      <c r="C39070" s="2">
        <v>7.09661250574328E-2</v>
      </c>
      <c r="D39070" s="2">
        <v>3.4283980582524201E-2</v>
      </c>
      <c r="E39070" s="2">
        <v>3.6293436293436197E-2</v>
      </c>
      <c r="F39070" s="2">
        <v>6.7806300383054102E-2</v>
      </c>
    </row>
    <row r="39071" spans="1:6" x14ac:dyDescent="0.25">
      <c r="A39071" s="1" t="str">
        <f t="shared" ref="A39071:A39102" si="1404">"49340"</f>
        <v>49340</v>
      </c>
      <c r="B39071" s="1" t="str">
        <f>"06246"</f>
        <v>06246</v>
      </c>
      <c r="C39071" s="2">
        <v>0</v>
      </c>
      <c r="D39071" s="2">
        <v>2.9180892351688099E-5</v>
      </c>
      <c r="E39071" s="2">
        <v>1.75140504509214E-3</v>
      </c>
      <c r="F39071" s="2">
        <v>1.3956161234709701E-4</v>
      </c>
    </row>
    <row r="39072" spans="1:6" x14ac:dyDescent="0.25">
      <c r="A39072" s="1" t="str">
        <f t="shared" si="1404"/>
        <v>49340</v>
      </c>
      <c r="B39072" s="1" t="str">
        <f>"06230"</f>
        <v>06230</v>
      </c>
      <c r="C39072" s="2">
        <v>2.2183855939968499E-4</v>
      </c>
      <c r="D39072" s="2">
        <v>0</v>
      </c>
      <c r="E39072" s="2">
        <v>2.6140373807345399E-5</v>
      </c>
      <c r="F39072" s="2">
        <v>1.9087102865117801E-4</v>
      </c>
    </row>
    <row r="39073" spans="1:6" x14ac:dyDescent="0.25">
      <c r="A39073" s="1" t="str">
        <f t="shared" si="1404"/>
        <v>49340</v>
      </c>
      <c r="B39073" s="1" t="str">
        <f>"01438"</f>
        <v>01438</v>
      </c>
      <c r="C39073" s="2">
        <v>2.1701598202143099E-5</v>
      </c>
      <c r="D39073" s="2">
        <v>0</v>
      </c>
      <c r="E39073" s="2">
        <v>2.6140373807345399E-5</v>
      </c>
      <c r="F39073" s="2">
        <v>2.0523766521632002E-5</v>
      </c>
    </row>
    <row r="39074" spans="1:6" x14ac:dyDescent="0.25">
      <c r="A39074" s="1" t="str">
        <f t="shared" si="1404"/>
        <v>49340</v>
      </c>
      <c r="B39074" s="1" t="str">
        <f>"06250"</f>
        <v>06250</v>
      </c>
      <c r="C39074" s="2">
        <v>5.7870928539048398E-5</v>
      </c>
      <c r="D39074" s="2">
        <v>0</v>
      </c>
      <c r="E39074" s="2">
        <v>9.4105345706443596E-4</v>
      </c>
      <c r="F39074" s="2">
        <v>1.23142599129792E-4</v>
      </c>
    </row>
    <row r="39075" spans="1:6" x14ac:dyDescent="0.25">
      <c r="A39075" s="1" t="str">
        <f t="shared" si="1404"/>
        <v>49340</v>
      </c>
      <c r="B39075" s="1" t="str">
        <f>"01527"</f>
        <v>01527</v>
      </c>
      <c r="C39075" s="2">
        <v>1.5803586068538399E-2</v>
      </c>
      <c r="D39075" s="2">
        <v>1.5670139192856501E-2</v>
      </c>
      <c r="E39075" s="2">
        <v>8.8877270944974496E-3</v>
      </c>
      <c r="F39075" s="2">
        <v>1.5251210902224701E-2</v>
      </c>
    </row>
    <row r="39076" spans="1:6" x14ac:dyDescent="0.25">
      <c r="A39076" s="1" t="str">
        <f t="shared" si="1404"/>
        <v>49340</v>
      </c>
      <c r="B39076" s="1" t="str">
        <f>"01536"</f>
        <v>01536</v>
      </c>
      <c r="C39076" s="2">
        <v>7.4942852458067602E-3</v>
      </c>
      <c r="D39076" s="2">
        <v>6.2447109632612499E-3</v>
      </c>
      <c r="E39076" s="2">
        <v>5.0450921448176702E-3</v>
      </c>
      <c r="F39076" s="2">
        <v>7.2141039323536599E-3</v>
      </c>
    </row>
    <row r="39077" spans="1:6" x14ac:dyDescent="0.25">
      <c r="A39077" s="1" t="str">
        <f t="shared" si="1404"/>
        <v>49340</v>
      </c>
      <c r="B39077" s="1" t="str">
        <f>"01522"</f>
        <v>01522</v>
      </c>
      <c r="C39077" s="2">
        <v>3.2214816886736901E-3</v>
      </c>
      <c r="D39077" s="2">
        <v>4.9607516997869703E-4</v>
      </c>
      <c r="E39077" s="2">
        <v>1.17631682133054E-3</v>
      </c>
      <c r="F39077" s="2">
        <v>2.8692225597241601E-3</v>
      </c>
    </row>
    <row r="39078" spans="1:6" x14ac:dyDescent="0.25">
      <c r="A39078" s="1" t="str">
        <f t="shared" si="1404"/>
        <v>49340</v>
      </c>
      <c r="B39078" s="1" t="str">
        <f>"01550"</f>
        <v>01550</v>
      </c>
      <c r="C39078" s="2">
        <v>2.09420422650681E-2</v>
      </c>
      <c r="D39078" s="2">
        <v>2.3111266742536898E-2</v>
      </c>
      <c r="E39078" s="2">
        <v>3.5864592863677901E-2</v>
      </c>
      <c r="F39078" s="2">
        <v>2.22662342993186E-2</v>
      </c>
    </row>
    <row r="39079" spans="1:6" x14ac:dyDescent="0.25">
      <c r="A39079" s="1" t="str">
        <f t="shared" si="1404"/>
        <v>49340</v>
      </c>
      <c r="B39079" s="1" t="str">
        <f>"01583"</f>
        <v>01583</v>
      </c>
      <c r="C39079" s="2">
        <v>7.2676241090288201E-3</v>
      </c>
      <c r="D39079" s="2">
        <v>1.21100703259505E-2</v>
      </c>
      <c r="E39079" s="2">
        <v>4.9405306495882801E-3</v>
      </c>
      <c r="F39079" s="2">
        <v>7.4254987275264696E-3</v>
      </c>
    </row>
    <row r="39080" spans="1:6" x14ac:dyDescent="0.25">
      <c r="A39080" s="1" t="str">
        <f t="shared" si="1404"/>
        <v>49340</v>
      </c>
      <c r="B39080" s="1" t="str">
        <f>"01590"</f>
        <v>01590</v>
      </c>
      <c r="C39080" s="2">
        <v>1.01876947115616E-2</v>
      </c>
      <c r="D39080" s="2">
        <v>9.7755989378155092E-3</v>
      </c>
      <c r="E39080" s="2">
        <v>2.0389491569729398E-3</v>
      </c>
      <c r="F39080" s="2">
        <v>9.5189229127329404E-3</v>
      </c>
    </row>
    <row r="39081" spans="1:6" x14ac:dyDescent="0.25">
      <c r="A39081" s="1" t="str">
        <f t="shared" si="1404"/>
        <v>49340</v>
      </c>
      <c r="B39081" s="1" t="str">
        <f>"01602"</f>
        <v>01602</v>
      </c>
      <c r="C39081" s="2">
        <v>2.4737410661754E-2</v>
      </c>
      <c r="D39081" s="2">
        <v>1.54075111616913E-2</v>
      </c>
      <c r="E39081" s="2">
        <v>2.0833877924454298E-2</v>
      </c>
      <c r="F39081" s="2">
        <v>2.3774731138658502E-2</v>
      </c>
    </row>
    <row r="39082" spans="1:6" x14ac:dyDescent="0.25">
      <c r="A39082" s="1" t="str">
        <f t="shared" si="1404"/>
        <v>49340</v>
      </c>
      <c r="B39082" s="1" t="str">
        <f>"01569"</f>
        <v>01569</v>
      </c>
      <c r="C39082" s="2">
        <v>1.5555223333558301E-2</v>
      </c>
      <c r="D39082" s="2">
        <v>1.29854970965012E-2</v>
      </c>
      <c r="E39082" s="2">
        <v>7.0056201803685696E-3</v>
      </c>
      <c r="F39082" s="2">
        <v>1.47032263360972E-2</v>
      </c>
    </row>
    <row r="39083" spans="1:6" x14ac:dyDescent="0.25">
      <c r="A39083" s="1" t="str">
        <f t="shared" si="1404"/>
        <v>49340</v>
      </c>
      <c r="B39083" s="1" t="str">
        <f>"01606"</f>
        <v>01606</v>
      </c>
      <c r="C39083" s="2">
        <v>2.2560016975472299E-2</v>
      </c>
      <c r="D39083" s="2">
        <v>2.2936181388426801E-2</v>
      </c>
      <c r="E39083" s="2">
        <v>2.2114756241014201E-2</v>
      </c>
      <c r="F39083" s="2">
        <v>2.25515146539692E-2</v>
      </c>
    </row>
    <row r="39084" spans="1:6" x14ac:dyDescent="0.25">
      <c r="A39084" s="1" t="str">
        <f t="shared" si="1404"/>
        <v>49340</v>
      </c>
      <c r="B39084" s="1" t="str">
        <f>"01603"</f>
        <v>01603</v>
      </c>
      <c r="C39084" s="2">
        <v>2.0852824583570399E-2</v>
      </c>
      <c r="D39084" s="2">
        <v>2.62044413318159E-2</v>
      </c>
      <c r="E39084" s="2">
        <v>4.50921448176708E-2</v>
      </c>
      <c r="F39084" s="2">
        <v>2.3132337246531399E-2</v>
      </c>
    </row>
    <row r="39085" spans="1:6" x14ac:dyDescent="0.25">
      <c r="A39085" s="1" t="str">
        <f t="shared" si="1404"/>
        <v>49340</v>
      </c>
      <c r="B39085" s="1" t="str">
        <f>"01610"</f>
        <v>01610</v>
      </c>
      <c r="C39085" s="2">
        <v>1.9890720396608701E-2</v>
      </c>
      <c r="D39085" s="2">
        <v>2.18273074790627E-2</v>
      </c>
      <c r="E39085" s="2">
        <v>8.2734283100248301E-2</v>
      </c>
      <c r="F39085" s="2">
        <v>2.4961004843608799E-2</v>
      </c>
    </row>
    <row r="39086" spans="1:6" x14ac:dyDescent="0.25">
      <c r="A39086" s="1" t="str">
        <f t="shared" si="1404"/>
        <v>49340</v>
      </c>
      <c r="B39086" s="1" t="str">
        <f>"01757"</f>
        <v>01757</v>
      </c>
      <c r="C39086" s="2">
        <v>3.0456987432363299E-2</v>
      </c>
      <c r="D39086" s="2">
        <v>4.2078846771134201E-2</v>
      </c>
      <c r="E39086" s="2">
        <v>2.68984446477584E-2</v>
      </c>
      <c r="F39086" s="2">
        <v>3.0994992200968699E-2</v>
      </c>
    </row>
    <row r="39087" spans="1:6" x14ac:dyDescent="0.25">
      <c r="A39087" s="1" t="str">
        <f t="shared" si="1404"/>
        <v>49340</v>
      </c>
      <c r="B39087" s="1" t="str">
        <f>"01074"</f>
        <v>01074</v>
      </c>
      <c r="C39087" s="2">
        <v>0</v>
      </c>
      <c r="D39087" s="2">
        <v>2.9180892351688099E-5</v>
      </c>
      <c r="E39087" s="2">
        <v>6.0907070971114802E-3</v>
      </c>
      <c r="F39087" s="2">
        <v>4.8025613660618901E-4</v>
      </c>
    </row>
    <row r="39088" spans="1:6" x14ac:dyDescent="0.25">
      <c r="A39088" s="1" t="str">
        <f t="shared" si="1404"/>
        <v>49340</v>
      </c>
      <c r="B39088" s="1" t="str">
        <f>"01083"</f>
        <v>01083</v>
      </c>
      <c r="C39088" s="2">
        <v>0</v>
      </c>
      <c r="D39088" s="2">
        <v>0</v>
      </c>
      <c r="E39088" s="2">
        <v>4.0413017906156E-2</v>
      </c>
      <c r="F39088" s="2">
        <v>3.1729743042443101E-3</v>
      </c>
    </row>
    <row r="39089" spans="1:6" x14ac:dyDescent="0.25">
      <c r="A39089" s="1" t="str">
        <f t="shared" si="1404"/>
        <v>49340</v>
      </c>
      <c r="B39089" s="1" t="str">
        <f>"06226"</f>
        <v>06226</v>
      </c>
      <c r="C39089" s="2">
        <v>1.9220382141031399E-2</v>
      </c>
      <c r="D39089" s="2">
        <v>2.1710583909655901E-2</v>
      </c>
      <c r="E39089" s="2">
        <v>2.3055809698078598E-2</v>
      </c>
      <c r="F39089" s="2">
        <v>1.9696658730810199E-2</v>
      </c>
    </row>
    <row r="39090" spans="1:6" x14ac:dyDescent="0.25">
      <c r="A39090" s="1" t="str">
        <f t="shared" si="1404"/>
        <v>49340</v>
      </c>
      <c r="B39090" s="1" t="str">
        <f>"06280"</f>
        <v>06280</v>
      </c>
      <c r="C39090" s="2">
        <v>2.9972318405848799E-3</v>
      </c>
      <c r="D39090" s="2">
        <v>5.2525606233038596E-4</v>
      </c>
      <c r="E39090" s="2">
        <v>3.9210560711018099E-4</v>
      </c>
      <c r="F39090" s="2">
        <v>2.6188326081602398E-3</v>
      </c>
    </row>
    <row r="39091" spans="1:6" x14ac:dyDescent="0.25">
      <c r="A39091" s="1" t="str">
        <f t="shared" si="1404"/>
        <v>49340</v>
      </c>
      <c r="B39091" s="1" t="str">
        <f>"06278"</f>
        <v>06278</v>
      </c>
      <c r="C39091" s="2">
        <v>4.7405935628237099E-3</v>
      </c>
      <c r="D39091" s="2">
        <v>1.9259388952114101E-3</v>
      </c>
      <c r="E39091" s="2">
        <v>1.0978956999085001E-3</v>
      </c>
      <c r="F39091" s="2">
        <v>4.2566291765864803E-3</v>
      </c>
    </row>
    <row r="39092" spans="1:6" x14ac:dyDescent="0.25">
      <c r="A39092" s="1" t="str">
        <f t="shared" si="1404"/>
        <v>49340</v>
      </c>
      <c r="B39092" s="1" t="str">
        <f>"06258"</f>
        <v>06258</v>
      </c>
      <c r="C39092" s="2">
        <v>0</v>
      </c>
      <c r="D39092" s="2">
        <v>1.75085354110128E-4</v>
      </c>
      <c r="E39092" s="2">
        <v>0</v>
      </c>
      <c r="F39092" s="2">
        <v>1.23142599129792E-5</v>
      </c>
    </row>
    <row r="39093" spans="1:6" x14ac:dyDescent="0.25">
      <c r="A39093" s="1" t="str">
        <f t="shared" si="1404"/>
        <v>49340</v>
      </c>
      <c r="B39093" s="1" t="str">
        <f>"01460"</f>
        <v>01460</v>
      </c>
      <c r="C39093" s="2">
        <v>3.8580619026032202E-5</v>
      </c>
      <c r="D39093" s="2">
        <v>0</v>
      </c>
      <c r="E39093" s="2">
        <v>0</v>
      </c>
      <c r="F39093" s="2">
        <v>3.28380264346112E-5</v>
      </c>
    </row>
    <row r="39094" spans="1:6" x14ac:dyDescent="0.25">
      <c r="A39094" s="1" t="str">
        <f t="shared" si="1404"/>
        <v>49340</v>
      </c>
      <c r="B39094" s="1" t="str">
        <f>"06384"</f>
        <v>06384</v>
      </c>
      <c r="C39094" s="2">
        <v>4.3403196404286299E-5</v>
      </c>
      <c r="D39094" s="2">
        <v>0</v>
      </c>
      <c r="E39094" s="2">
        <v>0</v>
      </c>
      <c r="F39094" s="2">
        <v>3.6942779738937602E-5</v>
      </c>
    </row>
    <row r="39095" spans="1:6" x14ac:dyDescent="0.25">
      <c r="A39095" s="1" t="str">
        <f t="shared" si="1404"/>
        <v>49340</v>
      </c>
      <c r="B39095" s="1" t="str">
        <f>"06263"</f>
        <v>06263</v>
      </c>
      <c r="C39095" s="2">
        <v>0</v>
      </c>
      <c r="D39095" s="2">
        <v>2.9180892351688099E-5</v>
      </c>
      <c r="E39095" s="2">
        <v>3.2675467259181798E-3</v>
      </c>
      <c r="F39095" s="2">
        <v>2.5859945817256302E-4</v>
      </c>
    </row>
    <row r="39096" spans="1:6" x14ac:dyDescent="0.25">
      <c r="A39096" s="1" t="str">
        <f t="shared" si="1404"/>
        <v>49340</v>
      </c>
      <c r="B39096" s="1" t="str">
        <f>"06373"</f>
        <v>06373</v>
      </c>
      <c r="C39096" s="2">
        <v>4.8225773782540304E-6</v>
      </c>
      <c r="D39096" s="2">
        <v>5.8361784703376197E-5</v>
      </c>
      <c r="E39096" s="2">
        <v>3.5550908377989798E-3</v>
      </c>
      <c r="F39096" s="2">
        <v>2.8733273130284798E-4</v>
      </c>
    </row>
    <row r="39097" spans="1:6" x14ac:dyDescent="0.25">
      <c r="A39097" s="1" t="str">
        <f t="shared" si="1404"/>
        <v>49340</v>
      </c>
      <c r="B39097" s="1" t="str">
        <f>"06262"</f>
        <v>06262</v>
      </c>
      <c r="C39097" s="2">
        <v>4.3403196404286299E-5</v>
      </c>
      <c r="D39097" s="2">
        <v>0</v>
      </c>
      <c r="E39097" s="2">
        <v>6.6396549470657401E-3</v>
      </c>
      <c r="F39097" s="2">
        <v>5.5824644938839096E-4</v>
      </c>
    </row>
    <row r="39098" spans="1:6" x14ac:dyDescent="0.25">
      <c r="A39098" s="1" t="str">
        <f t="shared" si="1404"/>
        <v>49340</v>
      </c>
      <c r="B39098" s="1" t="str">
        <f>"01468"</f>
        <v>01468</v>
      </c>
      <c r="C39098" s="2">
        <v>4.1908197417027497E-3</v>
      </c>
      <c r="D39098" s="2">
        <v>1.1964165864192099E-3</v>
      </c>
      <c r="E39098" s="2">
        <v>1.3070186903672699E-4</v>
      </c>
      <c r="F39098" s="2">
        <v>3.66143994745915E-3</v>
      </c>
    </row>
    <row r="39099" spans="1:6" x14ac:dyDescent="0.25">
      <c r="A39099" s="1" t="str">
        <f t="shared" si="1404"/>
        <v>49340</v>
      </c>
      <c r="B39099" s="1" t="str">
        <f>"01525"</f>
        <v>01525</v>
      </c>
      <c r="C39099" s="2">
        <v>1.5094667193935099E-3</v>
      </c>
      <c r="D39099" s="2">
        <v>7.2952230879220201E-4</v>
      </c>
      <c r="E39099" s="2">
        <v>5.2280747614690798E-5</v>
      </c>
      <c r="F39099" s="2">
        <v>1.3402019538625699E-3</v>
      </c>
    </row>
    <row r="39100" spans="1:6" x14ac:dyDescent="0.25">
      <c r="A39100" s="1" t="str">
        <f t="shared" si="1404"/>
        <v>49340</v>
      </c>
      <c r="B39100" s="1" t="str">
        <f>"01368"</f>
        <v>01368</v>
      </c>
      <c r="C39100" s="2">
        <v>1.25387011834604E-3</v>
      </c>
      <c r="D39100" s="2">
        <v>3.5017070822025698E-4</v>
      </c>
      <c r="E39100" s="2">
        <v>1.56842242844072E-4</v>
      </c>
      <c r="F39100" s="2">
        <v>1.1041786388637999E-3</v>
      </c>
    </row>
    <row r="39101" spans="1:6" x14ac:dyDescent="0.25">
      <c r="A39101" s="1" t="str">
        <f t="shared" si="1404"/>
        <v>49340</v>
      </c>
      <c r="B39101" s="1" t="str">
        <f>"06244"</f>
        <v>06244</v>
      </c>
      <c r="C39101" s="2">
        <v>0</v>
      </c>
      <c r="D39101" s="2">
        <v>0</v>
      </c>
      <c r="E39101" s="2">
        <v>3.3982485949548999E-4</v>
      </c>
      <c r="F39101" s="2">
        <v>2.6680896478121601E-5</v>
      </c>
    </row>
    <row r="39102" spans="1:6" x14ac:dyDescent="0.25">
      <c r="A39102" s="1" t="str">
        <f t="shared" si="1404"/>
        <v>49340</v>
      </c>
      <c r="B39102" s="1" t="str">
        <f>"06332"</f>
        <v>06332</v>
      </c>
      <c r="C39102" s="2">
        <v>9.0664454711175799E-4</v>
      </c>
      <c r="D39102" s="2">
        <v>1.16723569406752E-4</v>
      </c>
      <c r="E39102" s="2">
        <v>1.04561495229381E-4</v>
      </c>
      <c r="F39102" s="2">
        <v>7.8811263443066999E-4</v>
      </c>
    </row>
    <row r="39103" spans="1:6" x14ac:dyDescent="0.25">
      <c r="A39103" s="1" t="str">
        <f t="shared" ref="A39103:A39134" si="1405">"49340"</f>
        <v>49340</v>
      </c>
      <c r="B39103" s="1" t="str">
        <f>"01545"</f>
        <v>01545</v>
      </c>
      <c r="C39103" s="2">
        <v>4.0295045284001497E-2</v>
      </c>
      <c r="D39103" s="2">
        <v>3.3995739589716599E-2</v>
      </c>
      <c r="E39103" s="2">
        <v>1.68605411057378E-2</v>
      </c>
      <c r="F39103" s="2">
        <v>3.8012067974714701E-2</v>
      </c>
    </row>
    <row r="39104" spans="1:6" x14ac:dyDescent="0.25">
      <c r="A39104" s="1" t="str">
        <f t="shared" si="1405"/>
        <v>49340</v>
      </c>
      <c r="B39104" s="1" t="str">
        <f>"01540"</f>
        <v>01540</v>
      </c>
      <c r="C39104" s="2">
        <v>1.22782820050347E-2</v>
      </c>
      <c r="D39104" s="2">
        <v>1.35691149435349E-2</v>
      </c>
      <c r="E39104" s="2">
        <v>5.1496536400470498E-3</v>
      </c>
      <c r="F39104" s="2">
        <v>1.1809375256546999E-2</v>
      </c>
    </row>
    <row r="39105" spans="1:6" x14ac:dyDescent="0.25">
      <c r="A39105" s="1" t="str">
        <f t="shared" si="1405"/>
        <v>49340</v>
      </c>
      <c r="B39105" s="1" t="str">
        <f>"01568"</f>
        <v>01568</v>
      </c>
      <c r="C39105" s="2">
        <v>9.4618968161344092E-3</v>
      </c>
      <c r="D39105" s="2">
        <v>6.4489772097230703E-3</v>
      </c>
      <c r="E39105" s="2">
        <v>2.1435106522023199E-3</v>
      </c>
      <c r="F39105" s="2">
        <v>8.6753961086938596E-3</v>
      </c>
    </row>
    <row r="39106" spans="1:6" x14ac:dyDescent="0.25">
      <c r="A39106" s="1" t="str">
        <f t="shared" si="1405"/>
        <v>49340</v>
      </c>
      <c r="B39106" s="1" t="str">
        <f>"01612"</f>
        <v>01612</v>
      </c>
      <c r="C39106" s="2">
        <v>4.0967794828268003E-3</v>
      </c>
      <c r="D39106" s="2">
        <v>1.6049490793428401E-3</v>
      </c>
      <c r="E39106" s="2">
        <v>4.4438635472487199E-4</v>
      </c>
      <c r="F39106" s="2">
        <v>3.6347590509810302E-3</v>
      </c>
    </row>
    <row r="39107" spans="1:6" x14ac:dyDescent="0.25">
      <c r="A39107" s="1" t="str">
        <f t="shared" si="1405"/>
        <v>49340</v>
      </c>
      <c r="B39107" s="1" t="str">
        <f>"01005"</f>
        <v>01005</v>
      </c>
      <c r="C39107" s="2">
        <v>4.4343598993045802E-3</v>
      </c>
      <c r="D39107" s="2">
        <v>1.7800344334529699E-3</v>
      </c>
      <c r="E39107" s="2">
        <v>3.5289504639916302E-3</v>
      </c>
      <c r="F39107" s="2">
        <v>4.1765864871521202E-3</v>
      </c>
    </row>
    <row r="39108" spans="1:6" x14ac:dyDescent="0.25">
      <c r="A39108" s="1" t="str">
        <f t="shared" si="1405"/>
        <v>49340</v>
      </c>
      <c r="B39108" s="1" t="str">
        <f>"06374"</f>
        <v>06374</v>
      </c>
      <c r="C39108" s="2">
        <v>7.9162607664039902E-3</v>
      </c>
      <c r="D39108" s="2">
        <v>7.2076804108669604E-3</v>
      </c>
      <c r="E39108" s="2">
        <v>1.9605280355508999E-3</v>
      </c>
      <c r="F39108" s="2">
        <v>7.3988178310483502E-3</v>
      </c>
    </row>
    <row r="39109" spans="1:6" x14ac:dyDescent="0.25">
      <c r="A39109" s="1" t="str">
        <f t="shared" si="1405"/>
        <v>49340</v>
      </c>
      <c r="B39109" s="1" t="str">
        <f>"06260"</f>
        <v>06260</v>
      </c>
      <c r="C39109" s="2">
        <v>1.1516314779270599E-2</v>
      </c>
      <c r="D39109" s="2">
        <v>1.9930549476202899E-2</v>
      </c>
      <c r="E39109" s="2">
        <v>1.0403868775323399E-2</v>
      </c>
      <c r="F39109" s="2">
        <v>1.20207700517198E-2</v>
      </c>
    </row>
    <row r="39110" spans="1:6" x14ac:dyDescent="0.25">
      <c r="A39110" s="1" t="str">
        <f t="shared" si="1405"/>
        <v>49340</v>
      </c>
      <c r="B39110" s="1" t="str">
        <f>"06242"</f>
        <v>06242</v>
      </c>
      <c r="C39110" s="2">
        <v>1.1525959934027101E-3</v>
      </c>
      <c r="D39110" s="2">
        <v>2.9180892351688098E-4</v>
      </c>
      <c r="E39110" s="2">
        <v>2.64017775454188E-3</v>
      </c>
      <c r="F39110" s="2">
        <v>1.2088498481241201E-3</v>
      </c>
    </row>
    <row r="39111" spans="1:6" x14ac:dyDescent="0.25">
      <c r="A39111" s="1" t="str">
        <f t="shared" si="1405"/>
        <v>49340</v>
      </c>
      <c r="B39111" s="1" t="str">
        <f>"06256"</f>
        <v>06256</v>
      </c>
      <c r="C39111" s="2">
        <v>2.5800788973658999E-3</v>
      </c>
      <c r="D39111" s="2">
        <v>3.6184306516093201E-3</v>
      </c>
      <c r="E39111" s="2">
        <v>6.8487779375245002E-3</v>
      </c>
      <c r="F39111" s="2">
        <v>2.9882604055496199E-3</v>
      </c>
    </row>
    <row r="39112" spans="1:6" x14ac:dyDescent="0.25">
      <c r="A39112" s="1" t="str">
        <f t="shared" si="1405"/>
        <v>49340</v>
      </c>
      <c r="B39112" s="1" t="str">
        <f>"01506"</f>
        <v>01506</v>
      </c>
      <c r="C39112" s="2">
        <v>3.3999170516690901E-3</v>
      </c>
      <c r="D39112" s="2">
        <v>7.5870320114388996E-4</v>
      </c>
      <c r="E39112" s="2">
        <v>6.2736897137628995E-4</v>
      </c>
      <c r="F39112" s="2">
        <v>2.9964699121582698E-3</v>
      </c>
    </row>
    <row r="39113" spans="1:6" x14ac:dyDescent="0.25">
      <c r="A39113" s="1" t="str">
        <f t="shared" si="1405"/>
        <v>49340</v>
      </c>
      <c r="B39113" s="1" t="str">
        <f>"01510"</f>
        <v>01510</v>
      </c>
      <c r="C39113" s="2">
        <v>1.6715053193028399E-2</v>
      </c>
      <c r="D39113" s="2">
        <v>1.52324258075811E-2</v>
      </c>
      <c r="E39113" s="2">
        <v>1.7723173441380202E-2</v>
      </c>
      <c r="F39113" s="2">
        <v>1.6689926935391099E-2</v>
      </c>
    </row>
    <row r="39114" spans="1:6" x14ac:dyDescent="0.25">
      <c r="A39114" s="1" t="str">
        <f t="shared" si="1405"/>
        <v>49340</v>
      </c>
      <c r="B39114" s="1" t="str">
        <f>"01475"</f>
        <v>01475</v>
      </c>
      <c r="C39114" s="2">
        <v>1.08532103897607E-2</v>
      </c>
      <c r="D39114" s="2">
        <v>6.79914791794333E-3</v>
      </c>
      <c r="E39114" s="2">
        <v>4.4700039210560701E-3</v>
      </c>
      <c r="F39114" s="2">
        <v>1.00669074788605E-2</v>
      </c>
    </row>
    <row r="39115" spans="1:6" x14ac:dyDescent="0.25">
      <c r="A39115" s="1" t="str">
        <f t="shared" si="1405"/>
        <v>49340</v>
      </c>
      <c r="B39115" s="1" t="str">
        <f>"01524"</f>
        <v>01524</v>
      </c>
      <c r="C39115" s="2">
        <v>6.3248102315801597E-3</v>
      </c>
      <c r="D39115" s="2">
        <v>3.7643351133677598E-3</v>
      </c>
      <c r="E39115" s="2">
        <v>2.0128087831655901E-3</v>
      </c>
      <c r="F39115" s="2">
        <v>5.8061735489697E-3</v>
      </c>
    </row>
    <row r="39116" spans="1:6" x14ac:dyDescent="0.25">
      <c r="A39116" s="1" t="str">
        <f t="shared" si="1405"/>
        <v>49340</v>
      </c>
      <c r="B39116" s="1" t="str">
        <f>"01537"</f>
        <v>01537</v>
      </c>
      <c r="C39116" s="2">
        <v>3.86770705735973E-3</v>
      </c>
      <c r="D39116" s="2">
        <v>4.4938574221599602E-3</v>
      </c>
      <c r="E39116" s="2">
        <v>2.92772186642268E-3</v>
      </c>
      <c r="F39116" s="2">
        <v>3.83794433954519E-3</v>
      </c>
    </row>
    <row r="39117" spans="1:6" x14ac:dyDescent="0.25">
      <c r="A39117" s="1" t="str">
        <f t="shared" si="1405"/>
        <v>49340</v>
      </c>
      <c r="B39117" s="1" t="str">
        <f>"01588"</f>
        <v>01588</v>
      </c>
      <c r="C39117" s="2">
        <v>1.04312348691634E-2</v>
      </c>
      <c r="D39117" s="2">
        <v>9.9798651842773305E-3</v>
      </c>
      <c r="E39117" s="2">
        <v>3.5550908377989798E-3</v>
      </c>
      <c r="F39117" s="2">
        <v>9.8596174369920304E-3</v>
      </c>
    </row>
    <row r="39118" spans="1:6" x14ac:dyDescent="0.25">
      <c r="A39118" s="1" t="str">
        <f t="shared" si="1405"/>
        <v>49340</v>
      </c>
      <c r="B39118" s="1" t="str">
        <f>"01571"</f>
        <v>01571</v>
      </c>
      <c r="C39118" s="2">
        <v>1.1079871526538601E-2</v>
      </c>
      <c r="D39118" s="2">
        <v>6.4197963173713802E-3</v>
      </c>
      <c r="E39118" s="2">
        <v>1.13972029800026E-2</v>
      </c>
      <c r="F39118" s="2">
        <v>1.0777029800508899E-2</v>
      </c>
    </row>
    <row r="39119" spans="1:6" x14ac:dyDescent="0.25">
      <c r="A39119" s="1" t="str">
        <f t="shared" si="1405"/>
        <v>49340</v>
      </c>
      <c r="B39119" s="1" t="str">
        <f>"01772"</f>
        <v>01772</v>
      </c>
      <c r="C39119" s="2">
        <v>9.7102595511144897E-3</v>
      </c>
      <c r="D39119" s="2">
        <v>1.49989786687676E-2</v>
      </c>
      <c r="E39119" s="2">
        <v>3.0584237354594102E-3</v>
      </c>
      <c r="F39119" s="2">
        <v>9.5599704457761999E-3</v>
      </c>
    </row>
    <row r="39120" spans="1:6" x14ac:dyDescent="0.25">
      <c r="A39120" s="1" t="str">
        <f t="shared" si="1405"/>
        <v>49340</v>
      </c>
      <c r="B39120" s="1" t="str">
        <f>"01068"</f>
        <v>01068</v>
      </c>
      <c r="C39120" s="2">
        <v>1.78435362995399E-3</v>
      </c>
      <c r="D39120" s="2">
        <v>8.4624587819895499E-4</v>
      </c>
      <c r="E39120" s="2">
        <v>2.09122990458763E-4</v>
      </c>
      <c r="F39120" s="2">
        <v>1.59469665873081E-3</v>
      </c>
    </row>
    <row r="39121" spans="1:6" x14ac:dyDescent="0.25">
      <c r="A39121" s="1" t="str">
        <f t="shared" si="1405"/>
        <v>49340</v>
      </c>
      <c r="B39121" s="1" t="str">
        <f>"06234"</f>
        <v>06234</v>
      </c>
      <c r="C39121" s="2">
        <v>8.0344139121712194E-3</v>
      </c>
      <c r="D39121" s="2">
        <v>3.180717266334E-3</v>
      </c>
      <c r="E39121" s="2">
        <v>3.3198274735328701E-3</v>
      </c>
      <c r="F39121" s="2">
        <v>7.3228798949183096E-3</v>
      </c>
    </row>
    <row r="39122" spans="1:6" x14ac:dyDescent="0.25">
      <c r="A39122" s="1" t="str">
        <f t="shared" si="1405"/>
        <v>49340</v>
      </c>
      <c r="B39122" s="1" t="str">
        <f>"06331"</f>
        <v>06331</v>
      </c>
      <c r="C39122" s="2">
        <v>5.03718207158633E-3</v>
      </c>
      <c r="D39122" s="2">
        <v>2.1885669263765999E-3</v>
      </c>
      <c r="E39122" s="2">
        <v>9.9333420467912609E-4</v>
      </c>
      <c r="F39122" s="2">
        <v>4.51933338806337E-3</v>
      </c>
    </row>
    <row r="39123" spans="1:6" x14ac:dyDescent="0.25">
      <c r="A39123" s="1" t="str">
        <f t="shared" si="1405"/>
        <v>49340</v>
      </c>
      <c r="B39123" s="1" t="str">
        <f>"06259"</f>
        <v>06259</v>
      </c>
      <c r="C39123" s="2">
        <v>3.68927169436433E-3</v>
      </c>
      <c r="D39123" s="2">
        <v>1.89675800285972E-3</v>
      </c>
      <c r="E39123" s="2">
        <v>1.0194745784864699E-3</v>
      </c>
      <c r="F39123" s="2">
        <v>3.35358344963467E-3</v>
      </c>
    </row>
    <row r="39124" spans="1:6" x14ac:dyDescent="0.25">
      <c r="A39124" s="1" t="str">
        <f t="shared" si="1405"/>
        <v>49340</v>
      </c>
      <c r="B39124" s="1" t="str">
        <f>"01546"</f>
        <v>01546</v>
      </c>
      <c r="C39124" s="2">
        <v>0</v>
      </c>
      <c r="D39124" s="2">
        <v>2.9180892351688099E-5</v>
      </c>
      <c r="E39124" s="2">
        <v>2.6140373807345399E-5</v>
      </c>
      <c r="F39124" s="2">
        <v>4.1047533043264E-6</v>
      </c>
    </row>
    <row r="39125" spans="1:6" x14ac:dyDescent="0.25">
      <c r="A39125" s="1" t="str">
        <f t="shared" si="1405"/>
        <v>49340</v>
      </c>
      <c r="B39125" s="1" t="str">
        <f>"01467"</f>
        <v>01467</v>
      </c>
      <c r="C39125" s="2">
        <v>0</v>
      </c>
      <c r="D39125" s="2">
        <v>0</v>
      </c>
      <c r="E39125" s="2">
        <v>2.6140373807345399E-5</v>
      </c>
      <c r="F39125" s="2">
        <v>2.0523766521632E-6</v>
      </c>
    </row>
    <row r="39126" spans="1:6" x14ac:dyDescent="0.25">
      <c r="A39126" s="1" t="str">
        <f t="shared" si="1405"/>
        <v>49340</v>
      </c>
      <c r="B39126" s="1" t="str">
        <f>"01010"</f>
        <v>01010</v>
      </c>
      <c r="C39126" s="2">
        <v>8.9217681497699605E-5</v>
      </c>
      <c r="D39126" s="2">
        <v>0</v>
      </c>
      <c r="E39126" s="2">
        <v>0</v>
      </c>
      <c r="F39126" s="2">
        <v>7.5937936130038506E-5</v>
      </c>
    </row>
    <row r="39127" spans="1:6" x14ac:dyDescent="0.25">
      <c r="A39127" s="1" t="str">
        <f t="shared" si="1405"/>
        <v>49340</v>
      </c>
      <c r="B39127" s="1" t="str">
        <f>"06387"</f>
        <v>06387</v>
      </c>
      <c r="C39127" s="2">
        <v>2.4112886891270101E-6</v>
      </c>
      <c r="D39127" s="2">
        <v>5.8361784703376197E-5</v>
      </c>
      <c r="E39127" s="2">
        <v>0</v>
      </c>
      <c r="F39127" s="2">
        <v>6.1571299564896102E-6</v>
      </c>
    </row>
    <row r="39128" spans="1:6" x14ac:dyDescent="0.25">
      <c r="A39128" s="1" t="str">
        <f t="shared" si="1405"/>
        <v>49340</v>
      </c>
      <c r="B39128" s="1" t="str">
        <f>"01745"</f>
        <v>01745</v>
      </c>
      <c r="C39128" s="2">
        <v>4.3403196404286299E-4</v>
      </c>
      <c r="D39128" s="2">
        <v>5.8361784703376196E-4</v>
      </c>
      <c r="E39128" s="2">
        <v>3.6596523330283598E-4</v>
      </c>
      <c r="F39128" s="2">
        <v>4.3920860356292502E-4</v>
      </c>
    </row>
    <row r="39129" spans="1:6" x14ac:dyDescent="0.25">
      <c r="A39129" s="1" t="str">
        <f t="shared" si="1405"/>
        <v>49340</v>
      </c>
      <c r="B39129" s="1" t="str">
        <f>"01440"</f>
        <v>01440</v>
      </c>
      <c r="C39129" s="2">
        <v>2.3302693891723399E-2</v>
      </c>
      <c r="D39129" s="2">
        <v>2.30529049578336E-2</v>
      </c>
      <c r="E39129" s="2">
        <v>3.1290027447392399E-2</v>
      </c>
      <c r="F39129" s="2">
        <v>2.3912240374353501E-2</v>
      </c>
    </row>
    <row r="39130" spans="1:6" x14ac:dyDescent="0.25">
      <c r="A39130" s="1" t="str">
        <f t="shared" si="1405"/>
        <v>49340</v>
      </c>
      <c r="B39130" s="1" t="str">
        <f>"01505"</f>
        <v>01505</v>
      </c>
      <c r="C39130" s="2">
        <v>6.6937374010165897E-3</v>
      </c>
      <c r="D39130" s="2">
        <v>5.6027313315241099E-3</v>
      </c>
      <c r="E39130" s="2">
        <v>1.0717553261011599E-3</v>
      </c>
      <c r="F39130" s="2">
        <v>6.1756013463590796E-3</v>
      </c>
    </row>
    <row r="39131" spans="1:6" x14ac:dyDescent="0.25">
      <c r="A39131" s="1" t="str">
        <f t="shared" si="1405"/>
        <v>49340</v>
      </c>
      <c r="B39131" s="1" t="str">
        <f>"01566"</f>
        <v>01566</v>
      </c>
      <c r="C39131" s="2">
        <v>8.8494294890961497E-3</v>
      </c>
      <c r="D39131" s="2">
        <v>1.30438588812045E-2</v>
      </c>
      <c r="E39131" s="2">
        <v>2.8231603711933E-3</v>
      </c>
      <c r="F39131" s="2">
        <v>8.6712913553895401E-3</v>
      </c>
    </row>
    <row r="39132" spans="1:6" x14ac:dyDescent="0.25">
      <c r="A39132" s="1" t="str">
        <f t="shared" si="1405"/>
        <v>49340</v>
      </c>
      <c r="B39132" s="1" t="str">
        <f>"01607"</f>
        <v>01607</v>
      </c>
      <c r="C39132" s="2">
        <v>1.0954484514704E-2</v>
      </c>
      <c r="D39132" s="2">
        <v>6.6532434561848899E-3</v>
      </c>
      <c r="E39132" s="2">
        <v>1.9134753626976801E-2</v>
      </c>
      <c r="F39132" s="2">
        <v>1.12942287168541E-2</v>
      </c>
    </row>
    <row r="39133" spans="1:6" x14ac:dyDescent="0.25">
      <c r="A39133" s="1" t="str">
        <f t="shared" si="1405"/>
        <v>49340</v>
      </c>
      <c r="B39133" s="1" t="str">
        <f>"01031"</f>
        <v>01031</v>
      </c>
      <c r="C39133" s="2">
        <v>5.8594315145786503E-4</v>
      </c>
      <c r="D39133" s="2">
        <v>2.9180892351688098E-4</v>
      </c>
      <c r="E39133" s="2">
        <v>8.7831655992680596E-3</v>
      </c>
      <c r="F39133" s="2">
        <v>1.2088498481241201E-3</v>
      </c>
    </row>
    <row r="39134" spans="1:6" x14ac:dyDescent="0.25">
      <c r="A39134" s="1" t="str">
        <f t="shared" si="1405"/>
        <v>49340</v>
      </c>
      <c r="B39134" s="1" t="str">
        <f>"06235"</f>
        <v>06235</v>
      </c>
      <c r="C39134" s="2">
        <v>2.1412243559447899E-3</v>
      </c>
      <c r="D39134" s="2">
        <v>1.10887390936414E-3</v>
      </c>
      <c r="E39134" s="2">
        <v>7.0579009279832705E-4</v>
      </c>
      <c r="F39134" s="2">
        <v>1.9559149495115302E-3</v>
      </c>
    </row>
    <row r="39135" spans="1:6" x14ac:dyDescent="0.25">
      <c r="A39135" s="1" t="str">
        <f t="shared" ref="A39135:A39166" si="1406">"49340"</f>
        <v>49340</v>
      </c>
      <c r="B39135" s="1" t="str">
        <f>"06247"</f>
        <v>06247</v>
      </c>
      <c r="C39135" s="2">
        <v>2.6451836919723299E-3</v>
      </c>
      <c r="D39135" s="2">
        <v>6.4197963173713796E-4</v>
      </c>
      <c r="E39135" s="2">
        <v>2.3526336426610899E-4</v>
      </c>
      <c r="F39135" s="2">
        <v>2.3150808636400902E-3</v>
      </c>
    </row>
    <row r="39136" spans="1:6" x14ac:dyDescent="0.25">
      <c r="A39136" s="1" t="str">
        <f t="shared" si="1406"/>
        <v>49340</v>
      </c>
      <c r="B39136" s="1" t="str">
        <f>"06279"</f>
        <v>06279</v>
      </c>
      <c r="C39136" s="2">
        <v>2.4112886891270099E-5</v>
      </c>
      <c r="D39136" s="2">
        <v>0</v>
      </c>
      <c r="E39136" s="2">
        <v>0</v>
      </c>
      <c r="F39136" s="2">
        <v>2.0523766521632002E-5</v>
      </c>
    </row>
    <row r="39137" spans="1:6" x14ac:dyDescent="0.25">
      <c r="A39137" s="1" t="str">
        <f t="shared" si="1406"/>
        <v>49340</v>
      </c>
      <c r="B39137" s="1" t="str">
        <f>"06233"</f>
        <v>06233</v>
      </c>
      <c r="C39137" s="2">
        <v>0</v>
      </c>
      <c r="D39137" s="2">
        <v>2.9180892351688099E-5</v>
      </c>
      <c r="E39137" s="2">
        <v>0</v>
      </c>
      <c r="F39137" s="2">
        <v>2.0523766521632E-6</v>
      </c>
    </row>
    <row r="39138" spans="1:6" x14ac:dyDescent="0.25">
      <c r="A39138" s="1" t="str">
        <f t="shared" si="1406"/>
        <v>49340</v>
      </c>
      <c r="B39138" s="1" t="str">
        <f>"01748"</f>
        <v>01748</v>
      </c>
      <c r="C39138" s="2">
        <v>2.4112886891270101E-6</v>
      </c>
      <c r="D39138" s="2">
        <v>0</v>
      </c>
      <c r="E39138" s="2">
        <v>0</v>
      </c>
      <c r="F39138" s="2">
        <v>2.0523766521632E-6</v>
      </c>
    </row>
    <row r="39139" spans="1:6" x14ac:dyDescent="0.25">
      <c r="A39139" s="1" t="str">
        <f t="shared" si="1406"/>
        <v>49340</v>
      </c>
      <c r="B39139" s="1" t="str">
        <f>"01561"</f>
        <v>01561</v>
      </c>
      <c r="C39139" s="2">
        <v>0</v>
      </c>
      <c r="D39139" s="2">
        <v>0</v>
      </c>
      <c r="E39139" s="2">
        <v>2.6140373807345399E-5</v>
      </c>
      <c r="F39139" s="2">
        <v>2.0523766521632E-6</v>
      </c>
    </row>
    <row r="39140" spans="1:6" x14ac:dyDescent="0.25">
      <c r="A39140" s="1" t="str">
        <f t="shared" si="1406"/>
        <v>49340</v>
      </c>
      <c r="B39140" s="1" t="str">
        <f>"01420"</f>
        <v>01420</v>
      </c>
      <c r="C39140" s="2">
        <v>4.4804155132669103E-2</v>
      </c>
      <c r="D39140" s="2">
        <v>5.1329189646619297E-2</v>
      </c>
      <c r="E39140" s="2">
        <v>5.1940922755195303E-2</v>
      </c>
      <c r="F39140" s="2">
        <v>4.5823413512847799E-2</v>
      </c>
    </row>
    <row r="39141" spans="1:6" x14ac:dyDescent="0.25">
      <c r="A39141" s="1" t="str">
        <f t="shared" si="1406"/>
        <v>49340</v>
      </c>
      <c r="B39141" s="1" t="str">
        <f>"01452"</f>
        <v>01452</v>
      </c>
      <c r="C39141" s="2">
        <v>4.2703922684439403E-3</v>
      </c>
      <c r="D39141" s="2">
        <v>2.13020514167323E-3</v>
      </c>
      <c r="E39141" s="2">
        <v>6.0122859756894505E-4</v>
      </c>
      <c r="F39141" s="2">
        <v>3.8317872095886998E-3</v>
      </c>
    </row>
    <row r="39142" spans="1:6" x14ac:dyDescent="0.25">
      <c r="A39142" s="1" t="str">
        <f t="shared" si="1406"/>
        <v>49340</v>
      </c>
      <c r="B39142" s="1" t="str">
        <f>"06351"</f>
        <v>06351</v>
      </c>
      <c r="C39142" s="2">
        <v>0</v>
      </c>
      <c r="D39142" s="2">
        <v>2.9180892351688099E-5</v>
      </c>
      <c r="E39142" s="2">
        <v>0</v>
      </c>
      <c r="F39142" s="2">
        <v>2.0523766521632E-6</v>
      </c>
    </row>
    <row r="39143" spans="1:6" x14ac:dyDescent="0.25">
      <c r="A39143" s="1" t="str">
        <f t="shared" si="1406"/>
        <v>49340</v>
      </c>
      <c r="B39143" s="1" t="str">
        <f>"01613"</f>
        <v>01613</v>
      </c>
      <c r="C39143" s="2">
        <v>3.5711185485971099E-3</v>
      </c>
      <c r="D39143" s="2">
        <v>1.28395926347427E-2</v>
      </c>
      <c r="E39143" s="2">
        <v>5.2280747614690798E-5</v>
      </c>
      <c r="F39143" s="2">
        <v>3.9467203021098397E-3</v>
      </c>
    </row>
    <row r="39144" spans="1:6" x14ac:dyDescent="0.25">
      <c r="A39144" s="1" t="str">
        <f t="shared" si="1406"/>
        <v>49340</v>
      </c>
      <c r="B39144" s="1" t="str">
        <f>"06377"</f>
        <v>06377</v>
      </c>
      <c r="C39144" s="2">
        <v>2.4185225551943898E-3</v>
      </c>
      <c r="D39144" s="2">
        <v>7.8788409349557899E-4</v>
      </c>
      <c r="E39144" s="2">
        <v>2.8754411188079902E-3</v>
      </c>
      <c r="F39144" s="2">
        <v>2.3397093834660499E-3</v>
      </c>
    </row>
    <row r="39145" spans="1:6" x14ac:dyDescent="0.25">
      <c r="A39145" s="1" t="str">
        <f t="shared" si="1406"/>
        <v>49340</v>
      </c>
      <c r="B39145" s="1" t="str">
        <f>"06354"</f>
        <v>06354</v>
      </c>
      <c r="C39145" s="2">
        <v>5.88836697884817E-3</v>
      </c>
      <c r="D39145" s="2">
        <v>3.1515363739823099E-3</v>
      </c>
      <c r="E39145" s="2">
        <v>1.2024571951378901E-3</v>
      </c>
      <c r="F39145" s="2">
        <v>5.3279697890156802E-3</v>
      </c>
    </row>
    <row r="39146" spans="1:6" x14ac:dyDescent="0.25">
      <c r="A39146" s="1" t="str">
        <f t="shared" si="1406"/>
        <v>49340</v>
      </c>
      <c r="B39146" s="1" t="str">
        <f>"01749"</f>
        <v>01749</v>
      </c>
      <c r="C39146" s="2">
        <v>1.68790208238891E-5</v>
      </c>
      <c r="D39146" s="2">
        <v>0</v>
      </c>
      <c r="E39146" s="2">
        <v>0</v>
      </c>
      <c r="F39146" s="2">
        <v>1.4366636565142401E-5</v>
      </c>
    </row>
    <row r="39147" spans="1:6" x14ac:dyDescent="0.25">
      <c r="A39147" s="1" t="str">
        <f t="shared" si="1406"/>
        <v>49340</v>
      </c>
      <c r="B39147" s="1" t="str">
        <f>"01653"</f>
        <v>01653</v>
      </c>
      <c r="C39147" s="2">
        <v>0</v>
      </c>
      <c r="D39147" s="2">
        <v>2.9180892351688099E-5</v>
      </c>
      <c r="E39147" s="2">
        <v>0</v>
      </c>
      <c r="F39147" s="2">
        <v>2.0523766521632E-6</v>
      </c>
    </row>
    <row r="39148" spans="1:6" x14ac:dyDescent="0.25">
      <c r="A39148" s="1" t="str">
        <f t="shared" si="1406"/>
        <v>49340</v>
      </c>
      <c r="B39148" s="1" t="str">
        <f>"01436"</f>
        <v>01436</v>
      </c>
      <c r="C39148" s="2">
        <v>2.9176593138436901E-3</v>
      </c>
      <c r="D39148" s="2">
        <v>1.48822550993609E-3</v>
      </c>
      <c r="E39148" s="2">
        <v>1.3331590641746101E-3</v>
      </c>
      <c r="F39148" s="2">
        <v>2.6927181676381202E-3</v>
      </c>
    </row>
    <row r="39149" spans="1:6" x14ac:dyDescent="0.25">
      <c r="A39149" s="1" t="str">
        <f t="shared" si="1406"/>
        <v>49340</v>
      </c>
      <c r="B39149" s="1" t="str">
        <f>"01473"</f>
        <v>01473</v>
      </c>
      <c r="C39149" s="2">
        <v>9.2955178965846499E-3</v>
      </c>
      <c r="D39149" s="2">
        <v>7.1493186261635802E-3</v>
      </c>
      <c r="E39149" s="2">
        <v>1.5684224284407201E-3</v>
      </c>
      <c r="F39149" s="2">
        <v>8.5378868729989298E-3</v>
      </c>
    </row>
    <row r="39150" spans="1:6" x14ac:dyDescent="0.25">
      <c r="A39150" s="1" t="str">
        <f t="shared" si="1406"/>
        <v>49340</v>
      </c>
      <c r="B39150" s="1" t="str">
        <f>"01515"</f>
        <v>01515</v>
      </c>
      <c r="C39150" s="2">
        <v>1.8301681150474001E-3</v>
      </c>
      <c r="D39150" s="2">
        <v>9.0460766290233099E-4</v>
      </c>
      <c r="E39150" s="2">
        <v>1.3070186903672699E-4</v>
      </c>
      <c r="F39150" s="2">
        <v>1.6316394384697399E-3</v>
      </c>
    </row>
    <row r="39151" spans="1:6" x14ac:dyDescent="0.25">
      <c r="A39151" s="1" t="str">
        <f t="shared" si="1406"/>
        <v>49340</v>
      </c>
      <c r="B39151" s="1" t="str">
        <f>"01519"</f>
        <v>01519</v>
      </c>
      <c r="C39151" s="2">
        <v>6.5514713683580998E-3</v>
      </c>
      <c r="D39151" s="2">
        <v>1.7800344334529699E-3</v>
      </c>
      <c r="E39151" s="2">
        <v>2.3003528950463902E-3</v>
      </c>
      <c r="F39151" s="2">
        <v>5.8821114850997397E-3</v>
      </c>
    </row>
    <row r="39152" spans="1:6" x14ac:dyDescent="0.25">
      <c r="A39152" s="1" t="str">
        <f t="shared" si="1406"/>
        <v>49340</v>
      </c>
      <c r="B39152" s="1" t="str">
        <f>"01560"</f>
        <v>01560</v>
      </c>
      <c r="C39152" s="2">
        <v>4.7140693872433099E-3</v>
      </c>
      <c r="D39152" s="2">
        <v>2.21774781872829E-3</v>
      </c>
      <c r="E39152" s="2">
        <v>4.9405306495882801E-3</v>
      </c>
      <c r="F39152" s="2">
        <v>4.55627616780231E-3</v>
      </c>
    </row>
    <row r="39153" spans="1:6" x14ac:dyDescent="0.25">
      <c r="A39153" s="1" t="str">
        <f t="shared" si="1406"/>
        <v>49340</v>
      </c>
      <c r="B39153" s="1" t="str">
        <f>"01543"</f>
        <v>01543</v>
      </c>
      <c r="C39153" s="2">
        <v>7.9066156116474797E-3</v>
      </c>
      <c r="D39153" s="2">
        <v>2.01348157226647E-3</v>
      </c>
      <c r="E39153" s="2">
        <v>1.0717553261011599E-3</v>
      </c>
      <c r="F39153" s="2">
        <v>6.9555044741811001E-3</v>
      </c>
    </row>
    <row r="39154" spans="1:6" x14ac:dyDescent="0.25">
      <c r="A39154" s="1" t="str">
        <f t="shared" si="1406"/>
        <v>49340</v>
      </c>
      <c r="B39154" s="1" t="str">
        <f>"01581"</f>
        <v>01581</v>
      </c>
      <c r="C39154" s="2">
        <v>2.2410517076746399E-2</v>
      </c>
      <c r="D39154" s="2">
        <v>4.4996936006303001E-2</v>
      </c>
      <c r="E39154" s="2">
        <v>1.3044046529865299E-2</v>
      </c>
      <c r="F39154" s="2">
        <v>2.3263689352269901E-2</v>
      </c>
    </row>
    <row r="39155" spans="1:6" x14ac:dyDescent="0.25">
      <c r="A39155" s="1" t="str">
        <f t="shared" si="1406"/>
        <v>49340</v>
      </c>
      <c r="B39155" s="1" t="str">
        <f>"01756"</f>
        <v>01756</v>
      </c>
      <c r="C39155" s="2">
        <v>6.6093422968971499E-3</v>
      </c>
      <c r="D39155" s="2">
        <v>8.17064985847267E-3</v>
      </c>
      <c r="E39155" s="2">
        <v>8.6263233564239897E-4</v>
      </c>
      <c r="F39155" s="2">
        <v>6.26795829570642E-3</v>
      </c>
    </row>
    <row r="39156" spans="1:6" x14ac:dyDescent="0.25">
      <c r="A39156" s="1" t="str">
        <f t="shared" si="1406"/>
        <v>49340</v>
      </c>
      <c r="B39156" s="1" t="str">
        <f>"01082"</f>
        <v>01082</v>
      </c>
      <c r="C39156" s="2">
        <v>5.6906413063397595E-4</v>
      </c>
      <c r="D39156" s="2">
        <v>4.0853249292363298E-4</v>
      </c>
      <c r="E39156" s="2">
        <v>1.04561495229381E-4</v>
      </c>
      <c r="F39156" s="2">
        <v>5.2130366964945403E-4</v>
      </c>
    </row>
    <row r="39157" spans="1:6" x14ac:dyDescent="0.25">
      <c r="A39157" s="1" t="str">
        <f t="shared" si="1406"/>
        <v>49340</v>
      </c>
      <c r="B39157" s="1" t="str">
        <f>"01364"</f>
        <v>01364</v>
      </c>
      <c r="C39157" s="2">
        <v>1.9290309513016101E-5</v>
      </c>
      <c r="D39157" s="2">
        <v>5.8361784703376197E-5</v>
      </c>
      <c r="E39157" s="2">
        <v>0</v>
      </c>
      <c r="F39157" s="2">
        <v>2.0523766521632002E-5</v>
      </c>
    </row>
    <row r="39158" spans="1:6" x14ac:dyDescent="0.25">
      <c r="A39158" s="1" t="str">
        <f t="shared" si="1406"/>
        <v>49340</v>
      </c>
      <c r="B39158" s="1" t="str">
        <f>"01586"</f>
        <v>01586</v>
      </c>
      <c r="C39158" s="2">
        <v>1.9290309513016101E-5</v>
      </c>
      <c r="D39158" s="2">
        <v>2.9180892351688099E-5</v>
      </c>
      <c r="E39158" s="2">
        <v>5.2280747614690798E-5</v>
      </c>
      <c r="F39158" s="2">
        <v>2.2576143173795199E-5</v>
      </c>
    </row>
    <row r="39159" spans="1:6" x14ac:dyDescent="0.25">
      <c r="A39159" s="1" t="str">
        <f t="shared" si="1406"/>
        <v>49340</v>
      </c>
      <c r="B39159" s="1" t="str">
        <f>"01655"</f>
        <v>01655</v>
      </c>
      <c r="C39159" s="2">
        <v>0</v>
      </c>
      <c r="D39159" s="2">
        <v>2.9180892351688099E-5</v>
      </c>
      <c r="E39159" s="2">
        <v>2.6140373807345399E-5</v>
      </c>
      <c r="F39159" s="2">
        <v>4.1047533043264E-6</v>
      </c>
    </row>
    <row r="39160" spans="1:6" x14ac:dyDescent="0.25">
      <c r="A39160" s="1" t="str">
        <f t="shared" si="1406"/>
        <v>49340</v>
      </c>
      <c r="B39160" s="1" t="str">
        <f>"01434"</f>
        <v>01434</v>
      </c>
      <c r="C39160" s="2">
        <v>3.6410459205817898E-4</v>
      </c>
      <c r="D39160" s="2">
        <v>7.64539379614228E-3</v>
      </c>
      <c r="E39160" s="2">
        <v>7.5807084041301697E-4</v>
      </c>
      <c r="F39160" s="2">
        <v>9.0715048025613598E-4</v>
      </c>
    </row>
    <row r="39161" spans="1:6" x14ac:dyDescent="0.25">
      <c r="A39161" s="1" t="str">
        <f t="shared" si="1406"/>
        <v>49340</v>
      </c>
      <c r="B39161" s="1" t="str">
        <f>"01504"</f>
        <v>01504</v>
      </c>
      <c r="C39161" s="2">
        <v>9.0977922240762302E-3</v>
      </c>
      <c r="D39161" s="2">
        <v>4.3771338527532101E-3</v>
      </c>
      <c r="E39161" s="2">
        <v>6.32597046137759E-3</v>
      </c>
      <c r="F39161" s="2">
        <v>8.5481487562597408E-3</v>
      </c>
    </row>
    <row r="39162" spans="1:6" x14ac:dyDescent="0.25">
      <c r="A39162" s="1" t="str">
        <f t="shared" si="1406"/>
        <v>49340</v>
      </c>
      <c r="B39162" s="1" t="str">
        <f>"01508"</f>
        <v>01508</v>
      </c>
      <c r="C39162" s="2">
        <v>8.0295913347929598E-4</v>
      </c>
      <c r="D39162" s="2">
        <v>0</v>
      </c>
      <c r="E39162" s="2">
        <v>2.6140373807345399E-5</v>
      </c>
      <c r="F39162" s="2">
        <v>6.8549380182250999E-4</v>
      </c>
    </row>
    <row r="39163" spans="1:6" x14ac:dyDescent="0.25">
      <c r="A39163" s="1" t="str">
        <f t="shared" si="1406"/>
        <v>49340</v>
      </c>
      <c r="B39163" s="1" t="str">
        <f>"01462"</f>
        <v>01462</v>
      </c>
      <c r="C39163" s="2">
        <v>1.2808765516642701E-2</v>
      </c>
      <c r="D39163" s="2">
        <v>9.2795237678368198E-3</v>
      </c>
      <c r="E39163" s="2">
        <v>1.93438766174356E-3</v>
      </c>
      <c r="F39163" s="2">
        <v>1.17067564239389E-2</v>
      </c>
    </row>
    <row r="39164" spans="1:6" x14ac:dyDescent="0.25">
      <c r="A39164" s="1" t="str">
        <f t="shared" si="1406"/>
        <v>49340</v>
      </c>
      <c r="B39164" s="1" t="str">
        <f>"01532"</f>
        <v>01532</v>
      </c>
      <c r="C39164" s="2">
        <v>1.6010956895803299E-2</v>
      </c>
      <c r="D39164" s="2">
        <v>2.6700516501794599E-2</v>
      </c>
      <c r="E39164" s="2">
        <v>6.4043915827996303E-3</v>
      </c>
      <c r="F39164" s="2">
        <v>1.6008537886872901E-2</v>
      </c>
    </row>
    <row r="39165" spans="1:6" x14ac:dyDescent="0.25">
      <c r="A39165" s="1" t="str">
        <f t="shared" si="1406"/>
        <v>49340</v>
      </c>
      <c r="B39165" s="1" t="str">
        <f>"01516"</f>
        <v>01516</v>
      </c>
      <c r="C39165" s="2">
        <v>7.4243578738220802E-3</v>
      </c>
      <c r="D39165" s="2">
        <v>2.01348157226647E-3</v>
      </c>
      <c r="E39165" s="2">
        <v>1.0717553261011599E-3</v>
      </c>
      <c r="F39165" s="2">
        <v>6.5450291437484601E-3</v>
      </c>
    </row>
    <row r="39166" spans="1:6" x14ac:dyDescent="0.25">
      <c r="A39166" s="1" t="str">
        <f t="shared" si="1406"/>
        <v>49340</v>
      </c>
      <c r="B39166" s="1" t="str">
        <f>"01609"</f>
        <v>01609</v>
      </c>
      <c r="C39166" s="2">
        <v>1.9873841375784799E-2</v>
      </c>
      <c r="D39166" s="2">
        <v>2.4103417082494302E-2</v>
      </c>
      <c r="E39166" s="2">
        <v>4.6242321265194002E-2</v>
      </c>
      <c r="F39166" s="2">
        <v>2.22416057794926E-2</v>
      </c>
    </row>
    <row r="39167" spans="1:6" x14ac:dyDescent="0.25">
      <c r="A39167" s="1" t="str">
        <f t="shared" ref="A39167:A39198" si="1407">"49340"</f>
        <v>49340</v>
      </c>
      <c r="B39167" s="1" t="str">
        <f>"01608"</f>
        <v>01608</v>
      </c>
      <c r="C39167" s="2">
        <v>6.6262213177210403E-3</v>
      </c>
      <c r="D39167" s="2">
        <v>3.7118095071347203E-2</v>
      </c>
      <c r="E39167" s="2">
        <v>1.00901842896353E-2</v>
      </c>
      <c r="F39167" s="2">
        <v>9.0427715294310804E-3</v>
      </c>
    </row>
    <row r="39168" spans="1:6" x14ac:dyDescent="0.25">
      <c r="A39168" s="1" t="str">
        <f t="shared" si="1407"/>
        <v>49340</v>
      </c>
      <c r="B39168" s="1" t="str">
        <f>"01740"</f>
        <v>01740</v>
      </c>
      <c r="C39168" s="2">
        <v>4.70683552117593E-3</v>
      </c>
      <c r="D39168" s="2">
        <v>2.3636522804867301E-3</v>
      </c>
      <c r="E39168" s="2">
        <v>7.5807084041301697E-4</v>
      </c>
      <c r="F39168" s="2">
        <v>4.2320006567605198E-3</v>
      </c>
    </row>
    <row r="39169" spans="1:6" x14ac:dyDescent="0.25">
      <c r="A39169" s="1" t="str">
        <f t="shared" si="1407"/>
        <v>49340</v>
      </c>
      <c r="B39169" s="1" t="str">
        <f>"01747"</f>
        <v>01747</v>
      </c>
      <c r="C39169" s="2">
        <v>5.8714879580242796E-3</v>
      </c>
      <c r="D39169" s="2">
        <v>7.5870320114388998E-3</v>
      </c>
      <c r="E39169" s="2">
        <v>2.0912299045876301E-3</v>
      </c>
      <c r="F39169" s="2">
        <v>5.6953452097528896E-3</v>
      </c>
    </row>
    <row r="39170" spans="1:6" x14ac:dyDescent="0.25">
      <c r="A39170" s="1" t="str">
        <f t="shared" si="1407"/>
        <v>49340</v>
      </c>
      <c r="B39170" s="1" t="str">
        <f>"01331"</f>
        <v>01331</v>
      </c>
      <c r="C39170" s="2">
        <v>1.4981336625546101E-2</v>
      </c>
      <c r="D39170" s="2">
        <v>1.18474422947853E-2</v>
      </c>
      <c r="E39170" s="2">
        <v>7.26702391844203E-3</v>
      </c>
      <c r="F39170" s="2">
        <v>1.4155241769969599E-2</v>
      </c>
    </row>
    <row r="39171" spans="1:6" x14ac:dyDescent="0.25">
      <c r="A39171" s="1" t="str">
        <f t="shared" si="1407"/>
        <v>49340</v>
      </c>
      <c r="B39171" s="1" t="str">
        <f>"06239"</f>
        <v>06239</v>
      </c>
      <c r="C39171" s="2">
        <v>1.20347418474329E-2</v>
      </c>
      <c r="D39171" s="2">
        <v>1.05051212466077E-2</v>
      </c>
      <c r="E39171" s="2">
        <v>1.14756241014246E-2</v>
      </c>
      <c r="F39171" s="2">
        <v>1.18832608160249E-2</v>
      </c>
    </row>
    <row r="39172" spans="1:6" x14ac:dyDescent="0.25">
      <c r="A39172" s="1" t="str">
        <f t="shared" si="1407"/>
        <v>49340</v>
      </c>
      <c r="B39172" s="1" t="str">
        <f>"06266"</f>
        <v>06266</v>
      </c>
      <c r="C39172" s="2">
        <v>3.9786263370595698E-4</v>
      </c>
      <c r="D39172" s="2">
        <v>7.5870320114388996E-4</v>
      </c>
      <c r="E39172" s="2">
        <v>2.09122990458763E-4</v>
      </c>
      <c r="F39172" s="2">
        <v>4.0842295378047699E-4</v>
      </c>
    </row>
    <row r="39173" spans="1:6" x14ac:dyDescent="0.25">
      <c r="A39173" s="1" t="str">
        <f t="shared" si="1407"/>
        <v>49340</v>
      </c>
      <c r="B39173" s="1" t="str">
        <f>"06241"</f>
        <v>06241</v>
      </c>
      <c r="C39173" s="2">
        <v>6.4622536868604004E-3</v>
      </c>
      <c r="D39173" s="2">
        <v>5.3401033003589197E-3</v>
      </c>
      <c r="E39173" s="2">
        <v>8.3649196183505396E-4</v>
      </c>
      <c r="F39173" s="2">
        <v>5.94163040801247E-3</v>
      </c>
    </row>
    <row r="39174" spans="1:6" x14ac:dyDescent="0.25">
      <c r="A39174" s="1" t="str">
        <f t="shared" si="1407"/>
        <v>49340</v>
      </c>
      <c r="B39174" s="1" t="str">
        <f>"06255"</f>
        <v>06255</v>
      </c>
      <c r="C39174" s="2">
        <v>3.9328118519661604E-3</v>
      </c>
      <c r="D39174" s="2">
        <v>1.16723569406752E-3</v>
      </c>
      <c r="E39174" s="2">
        <v>1.02993072800941E-2</v>
      </c>
      <c r="F39174" s="2">
        <v>4.2381577867170103E-3</v>
      </c>
    </row>
    <row r="39175" spans="1:6" x14ac:dyDescent="0.25">
      <c r="A39175" s="1" t="str">
        <f t="shared" si="1407"/>
        <v>49340</v>
      </c>
      <c r="B39175" s="1" t="str">
        <f>"01451"</f>
        <v>01451</v>
      </c>
      <c r="C39175" s="2">
        <v>6.8143018354729504E-3</v>
      </c>
      <c r="D39175" s="2">
        <v>8.4916396743412396E-3</v>
      </c>
      <c r="E39175" s="2">
        <v>1.2024571951378901E-3</v>
      </c>
      <c r="F39175" s="2">
        <v>6.49166735079221E-3</v>
      </c>
    </row>
    <row r="39176" spans="1:6" x14ac:dyDescent="0.25">
      <c r="A39176" s="1" t="str">
        <f t="shared" si="1407"/>
        <v>49340</v>
      </c>
      <c r="B39176" s="1" t="str">
        <f>"01501"</f>
        <v>01501</v>
      </c>
      <c r="C39176" s="2">
        <v>1.8333027903432698E-2</v>
      </c>
      <c r="D39176" s="2">
        <v>2.90641687822813E-2</v>
      </c>
      <c r="E39176" s="2">
        <v>6.9271990589465397E-3</v>
      </c>
      <c r="F39176" s="2">
        <v>1.81922666447746E-2</v>
      </c>
    </row>
    <row r="39177" spans="1:6" x14ac:dyDescent="0.25">
      <c r="A39177" s="1" t="str">
        <f t="shared" si="1407"/>
        <v>49340</v>
      </c>
      <c r="B39177" s="1" t="str">
        <f>"01507"</f>
        <v>01507</v>
      </c>
      <c r="C39177" s="2">
        <v>1.3479103772220001E-2</v>
      </c>
      <c r="D39177" s="2">
        <v>9.2503428754851305E-3</v>
      </c>
      <c r="E39177" s="2">
        <v>4.6007057900927899E-3</v>
      </c>
      <c r="F39177" s="2">
        <v>1.24846071751087E-2</v>
      </c>
    </row>
    <row r="39178" spans="1:6" x14ac:dyDescent="0.25">
      <c r="A39178" s="1" t="str">
        <f t="shared" si="1407"/>
        <v>49340</v>
      </c>
      <c r="B39178" s="1" t="str">
        <f>"01518"</f>
        <v>01518</v>
      </c>
      <c r="C39178" s="2">
        <v>4.8442789764561699E-3</v>
      </c>
      <c r="D39178" s="2">
        <v>3.7935160057194499E-3</v>
      </c>
      <c r="E39178" s="2">
        <v>1.3331590641746101E-3</v>
      </c>
      <c r="F39178" s="2">
        <v>4.4947048682374103E-3</v>
      </c>
    </row>
    <row r="39179" spans="1:6" x14ac:dyDescent="0.25">
      <c r="A39179" s="1" t="str">
        <f t="shared" si="1407"/>
        <v>49340</v>
      </c>
      <c r="B39179" s="1" t="str">
        <f>"01562"</f>
        <v>01562</v>
      </c>
      <c r="C39179" s="2">
        <v>1.30257814986641E-2</v>
      </c>
      <c r="D39179" s="2">
        <v>9.5421517990020108E-3</v>
      </c>
      <c r="E39179" s="2">
        <v>1.45863285844987E-2</v>
      </c>
      <c r="F39179" s="2">
        <v>1.290329201215E-2</v>
      </c>
    </row>
    <row r="39180" spans="1:6" x14ac:dyDescent="0.25">
      <c r="A39180" s="1" t="str">
        <f t="shared" si="1407"/>
        <v>49340</v>
      </c>
      <c r="B39180" s="1" t="str">
        <f>"01585"</f>
        <v>01585</v>
      </c>
      <c r="C39180" s="2">
        <v>4.4030131463459301E-3</v>
      </c>
      <c r="D39180" s="2">
        <v>1.4006828328810199E-3</v>
      </c>
      <c r="E39180" s="2">
        <v>7.0579009279832705E-4</v>
      </c>
      <c r="F39180" s="2">
        <v>3.9015680157622498E-3</v>
      </c>
    </row>
    <row r="39181" spans="1:6" x14ac:dyDescent="0.25">
      <c r="A39181" s="1" t="str">
        <f t="shared" si="1407"/>
        <v>49340</v>
      </c>
      <c r="B39181" s="1" t="str">
        <f>"01570"</f>
        <v>01570</v>
      </c>
      <c r="C39181" s="2">
        <v>1.9765333384774101E-2</v>
      </c>
      <c r="D39181" s="2">
        <v>1.6603927748110502E-2</v>
      </c>
      <c r="E39181" s="2">
        <v>3.1760554175924702E-2</v>
      </c>
      <c r="F39181" s="2">
        <v>2.0484771365240899E-2</v>
      </c>
    </row>
    <row r="39182" spans="1:6" x14ac:dyDescent="0.25">
      <c r="A39182" s="1" t="str">
        <f t="shared" si="1407"/>
        <v>49340</v>
      </c>
      <c r="B39182" s="1" t="str">
        <f>"01604"</f>
        <v>01604</v>
      </c>
      <c r="C39182" s="2">
        <v>3.9371521716065901E-2</v>
      </c>
      <c r="D39182" s="2">
        <v>3.8985672181855301E-2</v>
      </c>
      <c r="E39182" s="2">
        <v>8.62632335642399E-2</v>
      </c>
      <c r="F39182" s="2">
        <v>4.3026024135949401E-2</v>
      </c>
    </row>
    <row r="39183" spans="1:6" x14ac:dyDescent="0.25">
      <c r="A39183" s="1" t="str">
        <f t="shared" si="1407"/>
        <v>49340</v>
      </c>
      <c r="B39183" s="1" t="str">
        <f>"01526"</f>
        <v>01526</v>
      </c>
      <c r="C39183" s="2">
        <v>0</v>
      </c>
      <c r="D39183" s="2">
        <v>0</v>
      </c>
      <c r="E39183" s="2">
        <v>2.6140373807345399E-5</v>
      </c>
      <c r="F39183" s="2">
        <v>2.0523766521632E-6</v>
      </c>
    </row>
    <row r="39184" spans="1:6" x14ac:dyDescent="0.25">
      <c r="A39184" s="1" t="str">
        <f t="shared" si="1407"/>
        <v>49340</v>
      </c>
      <c r="B39184" s="1" t="str">
        <f>"06330"</f>
        <v>06330</v>
      </c>
      <c r="C39184" s="2">
        <v>2.0978211595405001E-4</v>
      </c>
      <c r="D39184" s="2">
        <v>0</v>
      </c>
      <c r="E39184" s="2">
        <v>0</v>
      </c>
      <c r="F39184" s="2">
        <v>1.7855676873819801E-4</v>
      </c>
    </row>
    <row r="39185" spans="1:6" x14ac:dyDescent="0.25">
      <c r="A39185" s="1" t="str">
        <f t="shared" si="1407"/>
        <v>49340</v>
      </c>
      <c r="B39185" s="1" t="str">
        <f>"01538"</f>
        <v>01538</v>
      </c>
      <c r="C39185" s="2">
        <v>1.0706121779723899E-3</v>
      </c>
      <c r="D39185" s="2">
        <v>1.37150194052934E-3</v>
      </c>
      <c r="E39185" s="2">
        <v>5.2280747614690798E-5</v>
      </c>
      <c r="F39185" s="2">
        <v>1.01182168951646E-3</v>
      </c>
    </row>
    <row r="39186" spans="1:6" x14ac:dyDescent="0.25">
      <c r="A39186" s="1" t="str">
        <f t="shared" si="1407"/>
        <v>49340</v>
      </c>
      <c r="B39186" s="1" t="str">
        <f>"01529"</f>
        <v>01529</v>
      </c>
      <c r="C39186" s="2">
        <v>2.5873127634332802E-3</v>
      </c>
      <c r="D39186" s="2">
        <v>3.5017070822025698E-4</v>
      </c>
      <c r="E39186" s="2">
        <v>4.1824598091752698E-4</v>
      </c>
      <c r="F39186" s="2">
        <v>2.2596666940316798E-3</v>
      </c>
    </row>
    <row r="39187" spans="1:6" x14ac:dyDescent="0.25">
      <c r="A39187" s="1" t="str">
        <f t="shared" si="1407"/>
        <v>49340</v>
      </c>
      <c r="B39187" s="1" t="str">
        <f>"06282"</f>
        <v>06282</v>
      </c>
      <c r="C39187" s="2">
        <v>1.3334426450872399E-3</v>
      </c>
      <c r="D39187" s="2">
        <v>2.9180892351688099E-5</v>
      </c>
      <c r="E39187" s="2">
        <v>2.6140373807345399E-5</v>
      </c>
      <c r="F39187" s="2">
        <v>1.1390690419505699E-3</v>
      </c>
    </row>
    <row r="39188" spans="1:6" x14ac:dyDescent="0.25">
      <c r="A39188" s="1" t="str">
        <f t="shared" si="1407"/>
        <v>49340</v>
      </c>
      <c r="B39188" s="1" t="str">
        <f>"06267"</f>
        <v>06267</v>
      </c>
      <c r="C39188" s="2">
        <v>2.4112886891270101E-6</v>
      </c>
      <c r="D39188" s="2">
        <v>5.8361784703376197E-5</v>
      </c>
      <c r="E39188" s="2">
        <v>0</v>
      </c>
      <c r="F39188" s="2">
        <v>6.1571299564896102E-6</v>
      </c>
    </row>
    <row r="39189" spans="1:6" x14ac:dyDescent="0.25">
      <c r="A39189" s="1" t="str">
        <f t="shared" si="1407"/>
        <v>49340</v>
      </c>
      <c r="B39189" s="1" t="str">
        <f>"01430"</f>
        <v>01430</v>
      </c>
      <c r="C39189" s="2">
        <v>6.8215357015403303E-3</v>
      </c>
      <c r="D39189" s="2">
        <v>2.21774781872829E-3</v>
      </c>
      <c r="E39189" s="2">
        <v>7.3193046660567195E-4</v>
      </c>
      <c r="F39189" s="2">
        <v>6.0196207207946799E-3</v>
      </c>
    </row>
    <row r="39190" spans="1:6" x14ac:dyDescent="0.25">
      <c r="A39190" s="1" t="str">
        <f t="shared" si="1407"/>
        <v>49340</v>
      </c>
      <c r="B39190" s="1" t="str">
        <f>"01503"</f>
        <v>01503</v>
      </c>
      <c r="C39190" s="2">
        <v>4.44159376537196E-3</v>
      </c>
      <c r="D39190" s="2">
        <v>5.0774752691937304E-3</v>
      </c>
      <c r="E39190" s="2">
        <v>7.5807084041301697E-4</v>
      </c>
      <c r="F39190" s="2">
        <v>4.19711025367375E-3</v>
      </c>
    </row>
    <row r="39191" spans="1:6" x14ac:dyDescent="0.25">
      <c r="A39191" s="1" t="str">
        <f t="shared" si="1407"/>
        <v>49340</v>
      </c>
      <c r="B39191" s="1" t="str">
        <f>"01534"</f>
        <v>01534</v>
      </c>
      <c r="C39191" s="2">
        <v>7.2772692637853298E-3</v>
      </c>
      <c r="D39191" s="2">
        <v>3.0639936969272499E-3</v>
      </c>
      <c r="E39191" s="2">
        <v>1.8559665403215201E-3</v>
      </c>
      <c r="F39191" s="2">
        <v>6.5552910270092702E-3</v>
      </c>
    </row>
    <row r="39192" spans="1:6" x14ac:dyDescent="0.25">
      <c r="A39192" s="1" t="str">
        <f t="shared" si="1407"/>
        <v>49340</v>
      </c>
      <c r="B39192" s="1" t="str">
        <f>"01520"</f>
        <v>01520</v>
      </c>
      <c r="C39192" s="2">
        <v>1.6035069782694599E-2</v>
      </c>
      <c r="D39192" s="2">
        <v>1.40068283288102E-2</v>
      </c>
      <c r="E39192" s="2">
        <v>4.6007057900927899E-3</v>
      </c>
      <c r="F39192" s="2">
        <v>1.49946638207043E-2</v>
      </c>
    </row>
    <row r="39193" spans="1:6" x14ac:dyDescent="0.25">
      <c r="A39193" s="1" t="str">
        <f t="shared" si="1407"/>
        <v>49340</v>
      </c>
      <c r="B39193" s="1" t="str">
        <f>"01564"</f>
        <v>01564</v>
      </c>
      <c r="C39193" s="2">
        <v>7.2555676655831902E-3</v>
      </c>
      <c r="D39193" s="2">
        <v>4.9023899150836001E-3</v>
      </c>
      <c r="E39193" s="2">
        <v>6.0122859756894505E-4</v>
      </c>
      <c r="F39193" s="2">
        <v>6.5676052869222496E-3</v>
      </c>
    </row>
    <row r="39194" spans="1:6" x14ac:dyDescent="0.25">
      <c r="A39194" s="1" t="str">
        <f t="shared" si="1407"/>
        <v>49340</v>
      </c>
      <c r="B39194" s="1" t="str">
        <f>"01541"</f>
        <v>01541</v>
      </c>
      <c r="C39194" s="2">
        <v>3.2166591112954401E-3</v>
      </c>
      <c r="D39194" s="2">
        <v>4.0853249292363298E-4</v>
      </c>
      <c r="E39194" s="2">
        <v>2.8754411188079899E-4</v>
      </c>
      <c r="F39194" s="2">
        <v>2.78917987028979E-3</v>
      </c>
    </row>
    <row r="39195" spans="1:6" x14ac:dyDescent="0.25">
      <c r="A39195" s="1" t="str">
        <f t="shared" si="1407"/>
        <v>49340</v>
      </c>
      <c r="B39195" s="1" t="str">
        <f>"01601"</f>
        <v>01601</v>
      </c>
      <c r="C39195" s="2">
        <v>2.9514173554914601E-3</v>
      </c>
      <c r="D39195" s="2">
        <v>2.8889083428171201E-3</v>
      </c>
      <c r="E39195" s="2">
        <v>5.2280747614690798E-5</v>
      </c>
      <c r="F39195" s="2">
        <v>2.71939906411624E-3</v>
      </c>
    </row>
    <row r="39196" spans="1:6" x14ac:dyDescent="0.25">
      <c r="A39196" s="1" t="str">
        <f t="shared" si="1407"/>
        <v>49340</v>
      </c>
      <c r="B39196" s="1" t="str">
        <f>"01094"</f>
        <v>01094</v>
      </c>
      <c r="C39196" s="2">
        <v>0</v>
      </c>
      <c r="D39196" s="2">
        <v>2.9180892351688099E-5</v>
      </c>
      <c r="E39196" s="2">
        <v>1.04561495229381E-4</v>
      </c>
      <c r="F39196" s="2">
        <v>1.0261883260816001E-5</v>
      </c>
    </row>
    <row r="39197" spans="1:6" x14ac:dyDescent="0.25">
      <c r="A39197" s="1" t="str">
        <f t="shared" si="1407"/>
        <v>49340</v>
      </c>
      <c r="B39197" s="1" t="str">
        <f>"06243"</f>
        <v>06243</v>
      </c>
      <c r="C39197" s="2">
        <v>1.3262087790198501E-4</v>
      </c>
      <c r="D39197" s="2">
        <v>0</v>
      </c>
      <c r="E39197" s="2">
        <v>2.6140373807345399E-5</v>
      </c>
      <c r="F39197" s="2">
        <v>1.14933092521139E-4</v>
      </c>
    </row>
    <row r="39198" spans="1:6" x14ac:dyDescent="0.25">
      <c r="A39198" s="1" t="str">
        <f t="shared" si="1407"/>
        <v>49340</v>
      </c>
      <c r="B39198" s="1" t="str">
        <f>"06264"</f>
        <v>06264</v>
      </c>
      <c r="C39198" s="2">
        <v>1.13330568388969E-4</v>
      </c>
      <c r="D39198" s="2">
        <v>1.4590446175844E-4</v>
      </c>
      <c r="E39198" s="2">
        <v>2.6140373807345399E-5</v>
      </c>
      <c r="F39198" s="2">
        <v>1.08775962564649E-4</v>
      </c>
    </row>
    <row r="39199" spans="1:6" x14ac:dyDescent="0.25">
      <c r="A39199" s="1" t="str">
        <f t="shared" ref="A39199:A39214" si="1408">"49340"</f>
        <v>49340</v>
      </c>
      <c r="B39199" s="1" t="str">
        <f>"01614"</f>
        <v>01614</v>
      </c>
      <c r="C39199" s="2">
        <v>0</v>
      </c>
      <c r="D39199" s="2">
        <v>2.6262803116519298E-4</v>
      </c>
      <c r="E39199" s="2">
        <v>5.2280747614690798E-5</v>
      </c>
      <c r="F39199" s="2">
        <v>2.2576143173795199E-5</v>
      </c>
    </row>
    <row r="39200" spans="1:6" x14ac:dyDescent="0.25">
      <c r="A39200" s="1" t="str">
        <f t="shared" si="1408"/>
        <v>49340</v>
      </c>
      <c r="B39200" s="1" t="str">
        <f>"01542"</f>
        <v>01542</v>
      </c>
      <c r="C39200" s="2">
        <v>2.8477319418590001E-3</v>
      </c>
      <c r="D39200" s="2">
        <v>2.3052904957833599E-3</v>
      </c>
      <c r="E39200" s="2">
        <v>3.9210560711018099E-4</v>
      </c>
      <c r="F39200" s="2">
        <v>2.61678023150808E-3</v>
      </c>
    </row>
    <row r="39201" spans="1:6" x14ac:dyDescent="0.25">
      <c r="A39201" s="1" t="str">
        <f t="shared" si="1408"/>
        <v>49340</v>
      </c>
      <c r="B39201" s="1" t="str">
        <f>"06277"</f>
        <v>06277</v>
      </c>
      <c r="C39201" s="2">
        <v>4.2004648964592602E-3</v>
      </c>
      <c r="D39201" s="2">
        <v>8.4624587819895499E-4</v>
      </c>
      <c r="E39201" s="2">
        <v>8.1035158802770797E-4</v>
      </c>
      <c r="F39201" s="2">
        <v>3.69838272719809E-3</v>
      </c>
    </row>
    <row r="39202" spans="1:6" x14ac:dyDescent="0.25">
      <c r="A39202" s="1" t="str">
        <f t="shared" si="1408"/>
        <v>49340</v>
      </c>
      <c r="B39202" s="1" t="str">
        <f>"01509"</f>
        <v>01509</v>
      </c>
      <c r="C39202" s="2">
        <v>1.0609670232158799E-4</v>
      </c>
      <c r="D39202" s="2">
        <v>0</v>
      </c>
      <c r="E39202" s="2">
        <v>2.6140373807345399E-5</v>
      </c>
      <c r="F39202" s="2">
        <v>9.2356949347344194E-5</v>
      </c>
    </row>
    <row r="39203" spans="1:6" x14ac:dyDescent="0.25">
      <c r="A39203" s="1" t="str">
        <f t="shared" si="1408"/>
        <v>49340</v>
      </c>
      <c r="B39203" s="1" t="str">
        <f>"01441"</f>
        <v>01441</v>
      </c>
      <c r="C39203" s="2">
        <v>0</v>
      </c>
      <c r="D39203" s="2">
        <v>0</v>
      </c>
      <c r="E39203" s="2">
        <v>2.6140373807345399E-5</v>
      </c>
      <c r="F39203" s="2">
        <v>2.0523766521632E-6</v>
      </c>
    </row>
    <row r="39204" spans="1:6" x14ac:dyDescent="0.25">
      <c r="A39204" s="1" t="str">
        <f t="shared" si="1408"/>
        <v>49340</v>
      </c>
      <c r="B39204" s="1" t="str">
        <f>"01531"</f>
        <v>01531</v>
      </c>
      <c r="C39204" s="2">
        <v>9.0905583580088497E-4</v>
      </c>
      <c r="D39204" s="2">
        <v>4.0853249292363298E-4</v>
      </c>
      <c r="E39204" s="2">
        <v>1.56842242844072E-4</v>
      </c>
      <c r="F39204" s="2">
        <v>8.1479353090879204E-4</v>
      </c>
    </row>
    <row r="39205" spans="1:6" x14ac:dyDescent="0.25">
      <c r="A39205" s="1" t="str">
        <f t="shared" si="1408"/>
        <v>49340</v>
      </c>
      <c r="B39205" s="1" t="str">
        <f>"01605"</f>
        <v>01605</v>
      </c>
      <c r="C39205" s="2">
        <v>2.77032957493802E-2</v>
      </c>
      <c r="D39205" s="2">
        <v>2.8743178966412701E-2</v>
      </c>
      <c r="E39205" s="2">
        <v>5.6332505554829403E-2</v>
      </c>
      <c r="F39205" s="2">
        <v>3.0024218044495499E-2</v>
      </c>
    </row>
    <row r="39206" spans="1:6" x14ac:dyDescent="0.25">
      <c r="A39206" s="1" t="str">
        <f t="shared" si="1408"/>
        <v>49340</v>
      </c>
      <c r="B39206" s="1" t="str">
        <f>"01611"</f>
        <v>01611</v>
      </c>
      <c r="C39206" s="2">
        <v>2.1870388410382001E-3</v>
      </c>
      <c r="D39206" s="2">
        <v>1.2255974787709E-3</v>
      </c>
      <c r="E39206" s="2">
        <v>1.46386093321134E-3</v>
      </c>
      <c r="F39206" s="2">
        <v>2.0626385354240201E-3</v>
      </c>
    </row>
    <row r="39207" spans="1:6" x14ac:dyDescent="0.25">
      <c r="A39207" s="1" t="str">
        <f t="shared" si="1408"/>
        <v>49340</v>
      </c>
      <c r="B39207" s="1" t="str">
        <f>"01092"</f>
        <v>01092</v>
      </c>
      <c r="C39207" s="2">
        <v>0</v>
      </c>
      <c r="D39207" s="2">
        <v>0</v>
      </c>
      <c r="E39207" s="2">
        <v>1.2939485034635901E-2</v>
      </c>
      <c r="F39207" s="2">
        <v>1.0159264428207799E-3</v>
      </c>
    </row>
    <row r="39208" spans="1:6" x14ac:dyDescent="0.25">
      <c r="A39208" s="1" t="str">
        <f t="shared" si="1408"/>
        <v>49340</v>
      </c>
      <c r="B39208" s="1" t="str">
        <f>"01037"</f>
        <v>01037</v>
      </c>
      <c r="C39208" s="2">
        <v>0</v>
      </c>
      <c r="D39208" s="2">
        <v>2.9180892351688099E-5</v>
      </c>
      <c r="E39208" s="2">
        <v>6.6919356946804299E-3</v>
      </c>
      <c r="F39208" s="2">
        <v>5.2746079960594298E-4</v>
      </c>
    </row>
    <row r="39209" spans="1:6" x14ac:dyDescent="0.25">
      <c r="A39209" s="1" t="str">
        <f t="shared" si="1408"/>
        <v>49340</v>
      </c>
      <c r="B39209" s="1" t="str">
        <f>"06281"</f>
        <v>06281</v>
      </c>
      <c r="C39209" s="2">
        <v>8.9820503669981299E-3</v>
      </c>
      <c r="D39209" s="2">
        <v>4.7564854533251599E-3</v>
      </c>
      <c r="E39209" s="2">
        <v>2.8754411188079902E-3</v>
      </c>
      <c r="F39209" s="2">
        <v>8.2054018553484893E-3</v>
      </c>
    </row>
    <row r="39210" spans="1:6" x14ac:dyDescent="0.25">
      <c r="A39210" s="1" t="str">
        <f t="shared" si="1408"/>
        <v>49340</v>
      </c>
      <c r="B39210" s="1" t="str">
        <f>"01431"</f>
        <v>01431</v>
      </c>
      <c r="C39210" s="2">
        <v>4.8225773782540304E-6</v>
      </c>
      <c r="D39210" s="2">
        <v>0</v>
      </c>
      <c r="E39210" s="2">
        <v>0</v>
      </c>
      <c r="F39210" s="2">
        <v>4.1047533043264E-6</v>
      </c>
    </row>
    <row r="39211" spans="1:6" x14ac:dyDescent="0.25">
      <c r="A39211" s="1" t="str">
        <f t="shared" si="1408"/>
        <v>49340</v>
      </c>
      <c r="B39211" s="1" t="str">
        <f>"01366"</f>
        <v>01366</v>
      </c>
      <c r="C39211" s="2">
        <v>1.29968460343946E-3</v>
      </c>
      <c r="D39211" s="2">
        <v>5.8361784703376196E-4</v>
      </c>
      <c r="E39211" s="2">
        <v>2.6140373807345399E-5</v>
      </c>
      <c r="F39211" s="2">
        <v>1.14933092521139E-3</v>
      </c>
    </row>
    <row r="39212" spans="1:6" x14ac:dyDescent="0.25">
      <c r="A39212" s="1" t="str">
        <f t="shared" si="1408"/>
        <v>49340</v>
      </c>
      <c r="B39212" s="1" t="str">
        <f>"01453"</f>
        <v>01453</v>
      </c>
      <c r="C39212" s="2">
        <v>4.6774177991685803E-2</v>
      </c>
      <c r="D39212" s="2">
        <v>6.6357349207738697E-2</v>
      </c>
      <c r="E39212" s="2">
        <v>4.9745131355378301E-2</v>
      </c>
      <c r="F39212" s="2">
        <v>4.8384779574747502E-2</v>
      </c>
    </row>
    <row r="39213" spans="1:6" x14ac:dyDescent="0.25">
      <c r="A39213" s="1" t="str">
        <f t="shared" si="1408"/>
        <v>49340</v>
      </c>
      <c r="B39213" s="1" t="str">
        <f>"01535"</f>
        <v>01535</v>
      </c>
      <c r="C39213" s="2">
        <v>5.0444159376537099E-3</v>
      </c>
      <c r="D39213" s="2">
        <v>2.7430038810586799E-3</v>
      </c>
      <c r="E39213" s="2">
        <v>4.91439027578094E-3</v>
      </c>
      <c r="F39213" s="2">
        <v>4.8723421722354403E-3</v>
      </c>
    </row>
    <row r="39214" spans="1:6" x14ac:dyDescent="0.25">
      <c r="A39214" s="1" t="str">
        <f t="shared" si="1408"/>
        <v>49340</v>
      </c>
      <c r="B39214" s="1" t="str">
        <f>"01523"</f>
        <v>01523</v>
      </c>
      <c r="C39214" s="2">
        <v>6.6431003385449298E-3</v>
      </c>
      <c r="D39214" s="2">
        <v>3.8810586827745098E-3</v>
      </c>
      <c r="E39214" s="2">
        <v>2.2480721474316999E-3</v>
      </c>
      <c r="F39214" s="2">
        <v>6.1037681635333699E-3</v>
      </c>
    </row>
    <row r="39215" spans="1:6" x14ac:dyDescent="0.25">
      <c r="A39215" s="1" t="str">
        <f t="shared" ref="A39215:A39232" si="1409">"49380"</f>
        <v>49380</v>
      </c>
      <c r="B39215" s="1" t="str">
        <f>"56129"</f>
        <v>56129</v>
      </c>
      <c r="C39215" s="2">
        <v>3.8221617330157602E-2</v>
      </c>
      <c r="D39215" s="2">
        <v>1.51098901098901E-2</v>
      </c>
      <c r="E39215" s="2">
        <v>2.40549828178694E-2</v>
      </c>
      <c r="F39215" s="2">
        <v>3.6091907279381802E-2</v>
      </c>
    </row>
    <row r="39216" spans="1:6" x14ac:dyDescent="0.25">
      <c r="A39216" s="1" t="str">
        <f t="shared" si="1409"/>
        <v>49380</v>
      </c>
      <c r="B39216" s="1" t="str">
        <f>"56187"</f>
        <v>56187</v>
      </c>
      <c r="C39216" s="2">
        <v>0.624475445162753</v>
      </c>
      <c r="D39216" s="2">
        <v>0.83791208791208704</v>
      </c>
      <c r="E39216" s="2">
        <v>0.84536082474226804</v>
      </c>
      <c r="F39216" s="2">
        <v>0.64680764538430202</v>
      </c>
    </row>
    <row r="39217" spans="1:6" x14ac:dyDescent="0.25">
      <c r="A39217" s="1" t="str">
        <f t="shared" si="1409"/>
        <v>49380</v>
      </c>
      <c r="B39217" s="1" t="str">
        <f>"56141"</f>
        <v>56141</v>
      </c>
      <c r="C39217" s="2">
        <v>6.8050357264375604E-4</v>
      </c>
      <c r="D39217" s="2">
        <v>0</v>
      </c>
      <c r="E39217" s="2">
        <v>0</v>
      </c>
      <c r="F39217" s="2">
        <v>6.1000406669377695E-4</v>
      </c>
    </row>
    <row r="39218" spans="1:6" x14ac:dyDescent="0.25">
      <c r="A39218" s="1" t="str">
        <f t="shared" si="1409"/>
        <v>49380</v>
      </c>
      <c r="B39218" s="1" t="str">
        <f>"56122"</f>
        <v>56122</v>
      </c>
      <c r="C39218" s="2">
        <v>1.3610071452875099E-3</v>
      </c>
      <c r="D39218" s="2">
        <v>0</v>
      </c>
      <c r="E39218" s="2">
        <v>0</v>
      </c>
      <c r="F39218" s="2">
        <v>1.22000813338755E-3</v>
      </c>
    </row>
    <row r="39219" spans="1:6" x14ac:dyDescent="0.25">
      <c r="A39219" s="1" t="str">
        <f t="shared" si="1409"/>
        <v>49380</v>
      </c>
      <c r="B39219" s="1" t="str">
        <f>"56117"</f>
        <v>56117</v>
      </c>
      <c r="C39219" s="2">
        <v>1.7352841102415702E-2</v>
      </c>
      <c r="D39219" s="2">
        <v>2.7472527472527401E-3</v>
      </c>
      <c r="E39219" s="2">
        <v>3.4364261168384801E-3</v>
      </c>
      <c r="F39219" s="2">
        <v>1.5860105734038201E-2</v>
      </c>
    </row>
    <row r="39220" spans="1:6" x14ac:dyDescent="0.25">
      <c r="A39220" s="1" t="str">
        <f t="shared" si="1409"/>
        <v>49380</v>
      </c>
      <c r="B39220" s="1" t="str">
        <f>"56185"</f>
        <v>56185</v>
      </c>
      <c r="C39220" s="2">
        <v>3.11897470795055E-2</v>
      </c>
      <c r="D39220" s="2">
        <v>4.1208791208791201E-3</v>
      </c>
      <c r="E39220" s="2">
        <v>1.03092783505154E-2</v>
      </c>
      <c r="F39220" s="2">
        <v>2.85685237901586E-2</v>
      </c>
    </row>
    <row r="39221" spans="1:6" x14ac:dyDescent="0.25">
      <c r="A39221" s="1" t="str">
        <f t="shared" si="1409"/>
        <v>49380</v>
      </c>
      <c r="B39221" s="1" t="str">
        <f>"56147"</f>
        <v>56147</v>
      </c>
      <c r="C39221" s="2">
        <v>2.1549279800385599E-3</v>
      </c>
      <c r="D39221" s="2">
        <v>2.7472527472527401E-3</v>
      </c>
      <c r="E39221" s="2">
        <v>3.4364261168384801E-3</v>
      </c>
      <c r="F39221" s="2">
        <v>2.23668157787718E-3</v>
      </c>
    </row>
    <row r="39222" spans="1:6" x14ac:dyDescent="0.25">
      <c r="A39222" s="1" t="str">
        <f t="shared" si="1409"/>
        <v>49380</v>
      </c>
      <c r="B39222" s="1" t="str">
        <f>"56168"</f>
        <v>56168</v>
      </c>
      <c r="C39222" s="2">
        <v>5.0243847113530603E-2</v>
      </c>
      <c r="D39222" s="2">
        <v>2.8846153846153799E-2</v>
      </c>
      <c r="E39222" s="2">
        <v>1.37457044673539E-2</v>
      </c>
      <c r="F39222" s="2">
        <v>4.75803172021146E-2</v>
      </c>
    </row>
    <row r="39223" spans="1:6" x14ac:dyDescent="0.25">
      <c r="A39223" s="1" t="str">
        <f t="shared" si="1409"/>
        <v>49380</v>
      </c>
      <c r="B39223" s="1" t="str">
        <f>"56131"</f>
        <v>56131</v>
      </c>
      <c r="C39223" s="2">
        <v>2.3931042304638699E-2</v>
      </c>
      <c r="D39223" s="2">
        <v>1.7857142857142801E-2</v>
      </c>
      <c r="E39223" s="2">
        <v>1.03092783505154E-2</v>
      </c>
      <c r="F39223" s="2">
        <v>2.3078487189914499E-2</v>
      </c>
    </row>
    <row r="39224" spans="1:6" x14ac:dyDescent="0.25">
      <c r="A39224" s="1" t="str">
        <f t="shared" si="1409"/>
        <v>49380</v>
      </c>
      <c r="B39224" s="1" t="str">
        <f>"56153"</f>
        <v>56153</v>
      </c>
      <c r="C39224" s="2">
        <v>0</v>
      </c>
      <c r="D39224" s="2">
        <v>0</v>
      </c>
      <c r="E39224" s="2">
        <v>3.4364261168384801E-3</v>
      </c>
      <c r="F39224" s="2">
        <v>1.01667344448962E-4</v>
      </c>
    </row>
    <row r="39225" spans="1:6" x14ac:dyDescent="0.25">
      <c r="A39225" s="1" t="str">
        <f t="shared" si="1409"/>
        <v>49380</v>
      </c>
      <c r="B39225" s="1" t="str">
        <f>"56137"</f>
        <v>56137</v>
      </c>
      <c r="C39225" s="2">
        <v>1.1341726210729199E-4</v>
      </c>
      <c r="D39225" s="2">
        <v>0</v>
      </c>
      <c r="E39225" s="2">
        <v>0</v>
      </c>
      <c r="F39225" s="2">
        <v>1.01667344448962E-4</v>
      </c>
    </row>
    <row r="39226" spans="1:6" x14ac:dyDescent="0.25">
      <c r="A39226" s="1" t="str">
        <f t="shared" si="1409"/>
        <v>49380</v>
      </c>
      <c r="B39226" s="1" t="str">
        <f>"56167"</f>
        <v>56167</v>
      </c>
      <c r="C39226" s="2">
        <v>2.8014063740501301E-2</v>
      </c>
      <c r="D39226" s="2">
        <v>9.6153846153846107E-3</v>
      </c>
      <c r="E39226" s="2">
        <v>2.40549828178694E-2</v>
      </c>
      <c r="F39226" s="2">
        <v>2.6535176901179298E-2</v>
      </c>
    </row>
    <row r="39227" spans="1:6" x14ac:dyDescent="0.25">
      <c r="A39227" s="1" t="str">
        <f t="shared" si="1409"/>
        <v>49380</v>
      </c>
      <c r="B39227" s="1" t="str">
        <f>"56110"</f>
        <v>56110</v>
      </c>
      <c r="C39227" s="2">
        <v>9.3115572190087301E-2</v>
      </c>
      <c r="D39227" s="2">
        <v>4.1208791208791201E-2</v>
      </c>
      <c r="E39227" s="2">
        <v>4.4673539518900303E-2</v>
      </c>
      <c r="F39227" s="2">
        <v>8.7840585603903995E-2</v>
      </c>
    </row>
    <row r="39228" spans="1:6" x14ac:dyDescent="0.25">
      <c r="A39228" s="1" t="str">
        <f t="shared" si="1409"/>
        <v>49380</v>
      </c>
      <c r="B39228" s="1" t="str">
        <f>"56165"</f>
        <v>56165</v>
      </c>
      <c r="C39228" s="2">
        <v>1.8033344675059501E-2</v>
      </c>
      <c r="D39228" s="2">
        <v>9.6153846153846107E-3</v>
      </c>
      <c r="E39228" s="2">
        <v>3.4364261168384801E-3</v>
      </c>
      <c r="F39228" s="2">
        <v>1.6978446522976798E-2</v>
      </c>
    </row>
    <row r="39229" spans="1:6" x14ac:dyDescent="0.25">
      <c r="A39229" s="1" t="str">
        <f t="shared" si="1409"/>
        <v>49380</v>
      </c>
      <c r="B39229" s="1" t="str">
        <f>"56128"</f>
        <v>56128</v>
      </c>
      <c r="C39229" s="2">
        <v>4.9903595327208802E-3</v>
      </c>
      <c r="D39229" s="2">
        <v>0</v>
      </c>
      <c r="E39229" s="2">
        <v>0</v>
      </c>
      <c r="F39229" s="2">
        <v>4.4733631557543696E-3</v>
      </c>
    </row>
    <row r="39230" spans="1:6" x14ac:dyDescent="0.25">
      <c r="A39230" s="1" t="str">
        <f t="shared" si="1409"/>
        <v>49380</v>
      </c>
      <c r="B39230" s="1" t="str">
        <f>"56155"</f>
        <v>56155</v>
      </c>
      <c r="C39230" s="2">
        <v>2.0982193489849098E-2</v>
      </c>
      <c r="D39230" s="2">
        <v>1.9230769230769201E-2</v>
      </c>
      <c r="E39230" s="2">
        <v>3.4364261168384801E-3</v>
      </c>
      <c r="F39230" s="2">
        <v>2.03334688897925E-2</v>
      </c>
    </row>
    <row r="39231" spans="1:6" x14ac:dyDescent="0.25">
      <c r="A39231" s="1" t="str">
        <f t="shared" si="1409"/>
        <v>49380</v>
      </c>
      <c r="B39231" s="1" t="str">
        <f>"56119"</f>
        <v>56119</v>
      </c>
      <c r="C39231" s="2">
        <v>4.20778042418056E-2</v>
      </c>
      <c r="D39231" s="2">
        <v>1.09890109890109E-2</v>
      </c>
      <c r="E39231" s="2">
        <v>1.03092783505154E-2</v>
      </c>
      <c r="F39231" s="2">
        <v>3.88369255795038E-2</v>
      </c>
    </row>
    <row r="39232" spans="1:6" x14ac:dyDescent="0.25">
      <c r="A39232" s="1" t="str">
        <f t="shared" si="1409"/>
        <v>49380</v>
      </c>
      <c r="B39232" s="1" t="str">
        <f>"56158"</f>
        <v>56158</v>
      </c>
      <c r="C39232" s="2">
        <v>3.0622660768969E-3</v>
      </c>
      <c r="D39232" s="2">
        <v>0</v>
      </c>
      <c r="E39232" s="2">
        <v>0</v>
      </c>
      <c r="F39232" s="2">
        <v>2.7450183001219998E-3</v>
      </c>
    </row>
    <row r="39233" spans="1:6" x14ac:dyDescent="0.25">
      <c r="A39233" s="1" t="str">
        <f t="shared" ref="A39233:A39258" si="1410">"49420"</f>
        <v>49420</v>
      </c>
      <c r="B39233" s="1" t="str">
        <f>"98920"</f>
        <v>98920</v>
      </c>
      <c r="C39233" s="2">
        <v>0</v>
      </c>
      <c r="D39233" s="2">
        <v>1.10766504209127E-4</v>
      </c>
      <c r="E39233" s="2">
        <v>0</v>
      </c>
      <c r="F39233" s="2">
        <v>8.7553407578622908E-6</v>
      </c>
    </row>
    <row r="39234" spans="1:6" x14ac:dyDescent="0.25">
      <c r="A39234" s="1" t="str">
        <f t="shared" si="1410"/>
        <v>49420</v>
      </c>
      <c r="B39234" s="1" t="str">
        <f>"98939"</f>
        <v>98939</v>
      </c>
      <c r="C39234" s="2">
        <v>0</v>
      </c>
      <c r="D39234" s="2">
        <v>1.10766504209127E-4</v>
      </c>
      <c r="E39234" s="2">
        <v>1.11669458403126E-2</v>
      </c>
      <c r="F39234" s="2">
        <v>5.3407578622960005E-4</v>
      </c>
    </row>
    <row r="39235" spans="1:6" x14ac:dyDescent="0.25">
      <c r="A39235" s="1" t="str">
        <f t="shared" si="1410"/>
        <v>49420</v>
      </c>
      <c r="B39235" s="1" t="str">
        <f>"98921"</f>
        <v>98921</v>
      </c>
      <c r="C39235" s="2">
        <v>1.0018534288433599E-5</v>
      </c>
      <c r="D39235" s="2">
        <v>0</v>
      </c>
      <c r="E39235" s="2">
        <v>6.88628326819281E-3</v>
      </c>
      <c r="F39235" s="2">
        <v>3.3270294879876702E-4</v>
      </c>
    </row>
    <row r="39236" spans="1:6" x14ac:dyDescent="0.25">
      <c r="A39236" s="1" t="str">
        <f t="shared" si="1410"/>
        <v>49420</v>
      </c>
      <c r="B39236" s="1" t="str">
        <f>"98933"</f>
        <v>98933</v>
      </c>
      <c r="C39236" s="2">
        <v>2.8853378750688702E-3</v>
      </c>
      <c r="D39236" s="2">
        <v>6.6459902525476202E-4</v>
      </c>
      <c r="E39236" s="2">
        <v>0</v>
      </c>
      <c r="F39236" s="2">
        <v>2.5740701828115102E-3</v>
      </c>
    </row>
    <row r="39237" spans="1:6" x14ac:dyDescent="0.25">
      <c r="A39237" s="1" t="str">
        <f t="shared" si="1410"/>
        <v>49420</v>
      </c>
      <c r="B39237" s="1" t="str">
        <f>"98903"</f>
        <v>98903</v>
      </c>
      <c r="C39237" s="2">
        <v>7.2023242999549097E-2</v>
      </c>
      <c r="D39237" s="2">
        <v>0.107111209570225</v>
      </c>
      <c r="E39237" s="2">
        <v>4.0573236553136001E-2</v>
      </c>
      <c r="F39237" s="2">
        <v>7.3317223506338805E-2</v>
      </c>
    </row>
    <row r="39238" spans="1:6" x14ac:dyDescent="0.25">
      <c r="A39238" s="1" t="str">
        <f t="shared" si="1410"/>
        <v>49420</v>
      </c>
      <c r="B39238" s="1" t="str">
        <f>"98909"</f>
        <v>98909</v>
      </c>
      <c r="C39238" s="2">
        <v>1.4015929469518599E-2</v>
      </c>
      <c r="D39238" s="2">
        <v>5.1174124944616699E-2</v>
      </c>
      <c r="E39238" s="2">
        <v>1.86115764005211E-4</v>
      </c>
      <c r="F39238" s="2">
        <v>1.63024444911395E-2</v>
      </c>
    </row>
    <row r="39239" spans="1:6" x14ac:dyDescent="0.25">
      <c r="A39239" s="1" t="str">
        <f t="shared" si="1410"/>
        <v>49420</v>
      </c>
      <c r="B39239" s="1" t="str">
        <f>"99322"</f>
        <v>99322</v>
      </c>
      <c r="C39239" s="2">
        <v>3.0055602865300801E-5</v>
      </c>
      <c r="D39239" s="2">
        <v>0</v>
      </c>
      <c r="E39239" s="2">
        <v>0</v>
      </c>
      <c r="F39239" s="2">
        <v>2.6266022273586799E-5</v>
      </c>
    </row>
    <row r="39240" spans="1:6" x14ac:dyDescent="0.25">
      <c r="A39240" s="1" t="str">
        <f t="shared" si="1410"/>
        <v>49420</v>
      </c>
      <c r="B39240" s="1" t="str">
        <f>"98907"</f>
        <v>98907</v>
      </c>
      <c r="C39240" s="2">
        <v>1.67109151931072E-2</v>
      </c>
      <c r="D39240" s="2">
        <v>6.7567567567567502E-2</v>
      </c>
      <c r="E39240" s="2">
        <v>1.86115764005211E-4</v>
      </c>
      <c r="F39240" s="2">
        <v>1.9953421587168101E-2</v>
      </c>
    </row>
    <row r="39241" spans="1:6" x14ac:dyDescent="0.25">
      <c r="A39241" s="1" t="str">
        <f t="shared" si="1410"/>
        <v>49420</v>
      </c>
      <c r="B39241" s="1" t="str">
        <f>"98942"</f>
        <v>98942</v>
      </c>
      <c r="C39241" s="2">
        <v>8.0959775584831903E-2</v>
      </c>
      <c r="D39241" s="2">
        <v>5.0952591936198402E-2</v>
      </c>
      <c r="E39241" s="2">
        <v>4.0573236553136001E-2</v>
      </c>
      <c r="F39241" s="2">
        <v>7.6688029698115806E-2</v>
      </c>
    </row>
    <row r="39242" spans="1:6" x14ac:dyDescent="0.25">
      <c r="A39242" s="1" t="str">
        <f t="shared" si="1410"/>
        <v>49420</v>
      </c>
      <c r="B39242" s="1" t="str">
        <f>"98951"</f>
        <v>98951</v>
      </c>
      <c r="C39242" s="2">
        <v>5.3699343786004099E-2</v>
      </c>
      <c r="D39242" s="2">
        <v>3.8103677447939702E-2</v>
      </c>
      <c r="E39242" s="2">
        <v>3.2942490228922303E-2</v>
      </c>
      <c r="F39242" s="2">
        <v>5.1490158996988097E-2</v>
      </c>
    </row>
    <row r="39243" spans="1:6" x14ac:dyDescent="0.25">
      <c r="A39243" s="1" t="str">
        <f t="shared" si="1410"/>
        <v>49420</v>
      </c>
      <c r="B39243" s="1" t="str">
        <f>"98936"</f>
        <v>98936</v>
      </c>
      <c r="C39243" s="2">
        <v>3.0235936482492599E-2</v>
      </c>
      <c r="D39243" s="2">
        <v>1.60611431103234E-2</v>
      </c>
      <c r="E39243" s="2">
        <v>3.3500837520937998E-3</v>
      </c>
      <c r="F39243" s="2">
        <v>2.7850738950759901E-2</v>
      </c>
    </row>
    <row r="39244" spans="1:6" x14ac:dyDescent="0.25">
      <c r="A39244" s="1" t="str">
        <f t="shared" si="1410"/>
        <v>49420</v>
      </c>
      <c r="B39244" s="1" t="str">
        <f>"98952"</f>
        <v>98952</v>
      </c>
      <c r="C39244" s="2">
        <v>3.2460051094524798E-3</v>
      </c>
      <c r="D39244" s="2">
        <v>1.21843154630039E-3</v>
      </c>
      <c r="E39244" s="2">
        <v>0</v>
      </c>
      <c r="F39244" s="2">
        <v>2.9330391538838602E-3</v>
      </c>
    </row>
    <row r="39245" spans="1:6" x14ac:dyDescent="0.25">
      <c r="A39245" s="1" t="str">
        <f t="shared" si="1410"/>
        <v>49420</v>
      </c>
      <c r="B39245" s="1" t="str">
        <f>"98908"</f>
        <v>98908</v>
      </c>
      <c r="C39245" s="2">
        <v>0.160486900766417</v>
      </c>
      <c r="D39245" s="2">
        <v>6.7235268054940095E-2</v>
      </c>
      <c r="E39245" s="2">
        <v>0.15298715801228299</v>
      </c>
      <c r="F39245" s="2">
        <v>0.152763185543181</v>
      </c>
    </row>
    <row r="39246" spans="1:6" x14ac:dyDescent="0.25">
      <c r="A39246" s="1" t="str">
        <f t="shared" si="1410"/>
        <v>49420</v>
      </c>
      <c r="B39246" s="1" t="str">
        <f>"98932"</f>
        <v>98932</v>
      </c>
      <c r="C39246" s="2">
        <v>2.2541702148975599E-2</v>
      </c>
      <c r="D39246" s="2">
        <v>7.7536552946389E-3</v>
      </c>
      <c r="E39246" s="2">
        <v>1.28419877163595E-2</v>
      </c>
      <c r="F39246" s="2">
        <v>2.0916509070532999E-2</v>
      </c>
    </row>
    <row r="39247" spans="1:6" x14ac:dyDescent="0.25">
      <c r="A39247" s="1" t="str">
        <f t="shared" si="1410"/>
        <v>49420</v>
      </c>
      <c r="B39247" s="1" t="str">
        <f>"98935"</f>
        <v>98935</v>
      </c>
      <c r="C39247" s="2">
        <v>6.1513800530982304E-3</v>
      </c>
      <c r="D39247" s="2">
        <v>1.9937970757642801E-3</v>
      </c>
      <c r="E39247" s="2">
        <v>7.0723990321980207E-2</v>
      </c>
      <c r="F39247" s="2">
        <v>8.8604048469566408E-3</v>
      </c>
    </row>
    <row r="39248" spans="1:6" x14ac:dyDescent="0.25">
      <c r="A39248" s="1" t="str">
        <f t="shared" si="1410"/>
        <v>49420</v>
      </c>
      <c r="B39248" s="1" t="str">
        <f>"98953"</f>
        <v>98953</v>
      </c>
      <c r="C39248" s="2">
        <v>2.2361368531783801E-2</v>
      </c>
      <c r="D39248" s="2">
        <v>8.9720868409392893E-3</v>
      </c>
      <c r="E39248" s="2">
        <v>2.2333891680625301E-2</v>
      </c>
      <c r="F39248" s="2">
        <v>2.13017440638789E-2</v>
      </c>
    </row>
    <row r="39249" spans="1:6" x14ac:dyDescent="0.25">
      <c r="A39249" s="1" t="str">
        <f t="shared" si="1410"/>
        <v>49420</v>
      </c>
      <c r="B39249" s="1" t="str">
        <f>"98901"</f>
        <v>98901</v>
      </c>
      <c r="C39249" s="2">
        <v>0.118028352452036</v>
      </c>
      <c r="D39249" s="2">
        <v>0.15972529906956101</v>
      </c>
      <c r="E39249" s="2">
        <v>0.17569328122091901</v>
      </c>
      <c r="F39249" s="2">
        <v>0.124036912516635</v>
      </c>
    </row>
    <row r="39250" spans="1:6" x14ac:dyDescent="0.25">
      <c r="A39250" s="1" t="str">
        <f t="shared" si="1410"/>
        <v>49420</v>
      </c>
      <c r="B39250" s="1" t="str">
        <f>"98938"</f>
        <v>98938</v>
      </c>
      <c r="C39250" s="2">
        <v>6.0411761759254596E-3</v>
      </c>
      <c r="D39250" s="2">
        <v>5.53832521045635E-4</v>
      </c>
      <c r="E39250" s="2">
        <v>0</v>
      </c>
      <c r="F39250" s="2">
        <v>5.3232471807802698E-3</v>
      </c>
    </row>
    <row r="39251" spans="1:6" x14ac:dyDescent="0.25">
      <c r="A39251" s="1" t="str">
        <f t="shared" si="1410"/>
        <v>49420</v>
      </c>
      <c r="B39251" s="1" t="str">
        <f>"98902"</f>
        <v>98902</v>
      </c>
      <c r="C39251" s="2">
        <v>0.18110504433201399</v>
      </c>
      <c r="D39251" s="2">
        <v>0.21732388125830701</v>
      </c>
      <c r="E39251" s="2">
        <v>0.29201563372417599</v>
      </c>
      <c r="F39251" s="2">
        <v>0.18918540309588799</v>
      </c>
    </row>
    <row r="39252" spans="1:6" x14ac:dyDescent="0.25">
      <c r="A39252" s="1" t="str">
        <f t="shared" si="1410"/>
        <v>49420</v>
      </c>
      <c r="B39252" s="1" t="str">
        <f>"98937"</f>
        <v>98937</v>
      </c>
      <c r="C39252" s="2">
        <v>2.75710063617692E-2</v>
      </c>
      <c r="D39252" s="2">
        <v>1.8719539211342399E-2</v>
      </c>
      <c r="E39252" s="2">
        <v>6.3279359761771797E-3</v>
      </c>
      <c r="F39252" s="2">
        <v>2.5872031939482999E-2</v>
      </c>
    </row>
    <row r="39253" spans="1:6" x14ac:dyDescent="0.25">
      <c r="A39253" s="1" t="str">
        <f t="shared" si="1410"/>
        <v>49420</v>
      </c>
      <c r="B39253" s="1" t="str">
        <f>"98944"</f>
        <v>98944</v>
      </c>
      <c r="C39253" s="2">
        <v>8.0058107498872905E-2</v>
      </c>
      <c r="D39253" s="2">
        <v>0.104563579973416</v>
      </c>
      <c r="E39253" s="2">
        <v>4.9506793225386099E-2</v>
      </c>
      <c r="F39253" s="2">
        <v>8.0557890313090894E-2</v>
      </c>
    </row>
    <row r="39254" spans="1:6" x14ac:dyDescent="0.25">
      <c r="A39254" s="1" t="str">
        <f t="shared" si="1410"/>
        <v>49420</v>
      </c>
      <c r="B39254" s="1" t="str">
        <f>"98947"</f>
        <v>98947</v>
      </c>
      <c r="C39254" s="2">
        <v>8.7361618995140996E-3</v>
      </c>
      <c r="D39254" s="2">
        <v>4.4306601683650798E-4</v>
      </c>
      <c r="E39254" s="2">
        <v>2.2892238972640901E-2</v>
      </c>
      <c r="F39254" s="2">
        <v>8.7465854171044303E-3</v>
      </c>
    </row>
    <row r="39255" spans="1:6" x14ac:dyDescent="0.25">
      <c r="A39255" s="1" t="str">
        <f t="shared" si="1410"/>
        <v>49420</v>
      </c>
      <c r="B39255" s="1" t="str">
        <f>"98930"</f>
        <v>98930</v>
      </c>
      <c r="C39255" s="2">
        <v>4.5383960326604203E-2</v>
      </c>
      <c r="D39255" s="2">
        <v>3.3783783783783702E-2</v>
      </c>
      <c r="E39255" s="2">
        <v>2.6056206960729501E-2</v>
      </c>
      <c r="F39255" s="2">
        <v>4.3557820270364901E-2</v>
      </c>
    </row>
    <row r="39256" spans="1:6" x14ac:dyDescent="0.25">
      <c r="A39256" s="1" t="str">
        <f t="shared" si="1410"/>
        <v>49420</v>
      </c>
      <c r="B39256" s="1" t="str">
        <f>"98948"</f>
        <v>98948</v>
      </c>
      <c r="C39256" s="2">
        <v>3.8661523819065201E-2</v>
      </c>
      <c r="D39256" s="2">
        <v>4.2202038103677397E-2</v>
      </c>
      <c r="E39256" s="2">
        <v>3.2011911408896303E-2</v>
      </c>
      <c r="F39256" s="2">
        <v>3.8628563423688402E-2</v>
      </c>
    </row>
    <row r="39257" spans="1:6" x14ac:dyDescent="0.25">
      <c r="A39257" s="1" t="str">
        <f t="shared" si="1410"/>
        <v>49420</v>
      </c>
      <c r="B39257" s="1" t="str">
        <f>"98923"</f>
        <v>98923</v>
      </c>
      <c r="C39257" s="2">
        <v>8.6159394880528893E-3</v>
      </c>
      <c r="D39257" s="2">
        <v>3.5445281346920599E-3</v>
      </c>
      <c r="E39257" s="2">
        <v>7.44463056020844E-4</v>
      </c>
      <c r="F39257" s="2">
        <v>7.8447853190446101E-3</v>
      </c>
    </row>
    <row r="39258" spans="1:6" x14ac:dyDescent="0.25">
      <c r="A39258" s="1" t="str">
        <f t="shared" si="1410"/>
        <v>49420</v>
      </c>
      <c r="B39258" s="1" t="str">
        <f>"99350"</f>
        <v>99350</v>
      </c>
      <c r="C39258" s="2">
        <v>4.4081550869107798E-4</v>
      </c>
      <c r="D39258" s="2">
        <v>1.10766504209127E-4</v>
      </c>
      <c r="E39258" s="2">
        <v>0</v>
      </c>
      <c r="F39258" s="2">
        <v>3.9399033410380299E-4</v>
      </c>
    </row>
    <row r="39259" spans="1:6" x14ac:dyDescent="0.25">
      <c r="A39259" s="1" t="str">
        <f t="shared" ref="A39259:A39269" si="1411">"49460"</f>
        <v>49460</v>
      </c>
      <c r="B39259" s="1" t="str">
        <f>"57063"</f>
        <v>57063</v>
      </c>
      <c r="C39259" s="2">
        <v>6.3861758076634101E-3</v>
      </c>
      <c r="D39259" s="2">
        <v>0</v>
      </c>
      <c r="E39259" s="2">
        <v>2.8860028860028799E-3</v>
      </c>
      <c r="F39259" s="2">
        <v>5.6220383904907198E-3</v>
      </c>
    </row>
    <row r="39260" spans="1:6" x14ac:dyDescent="0.25">
      <c r="A39260" s="1" t="str">
        <f t="shared" si="1411"/>
        <v>49460</v>
      </c>
      <c r="B39260" s="1" t="str">
        <f>"57059"</f>
        <v>57059</v>
      </c>
      <c r="C39260" s="2">
        <v>1.8782870022539399E-4</v>
      </c>
      <c r="D39260" s="2">
        <v>0</v>
      </c>
      <c r="E39260" s="2">
        <v>0</v>
      </c>
      <c r="F39260" s="2">
        <v>1.6062966829973399E-4</v>
      </c>
    </row>
    <row r="39261" spans="1:6" x14ac:dyDescent="0.25">
      <c r="A39261" s="1" t="str">
        <f t="shared" si="1411"/>
        <v>49460</v>
      </c>
      <c r="B39261" s="1" t="str">
        <f>"57045"</f>
        <v>57045</v>
      </c>
      <c r="C39261" s="2">
        <v>3.8504883546205799E-3</v>
      </c>
      <c r="D39261" s="2">
        <v>9.0090090090090005E-4</v>
      </c>
      <c r="E39261" s="2">
        <v>2.8860028860028799E-3</v>
      </c>
      <c r="F39261" s="2">
        <v>3.53385270259416E-3</v>
      </c>
    </row>
    <row r="39262" spans="1:6" x14ac:dyDescent="0.25">
      <c r="A39262" s="1" t="str">
        <f t="shared" si="1411"/>
        <v>49460</v>
      </c>
      <c r="B39262" s="1" t="str">
        <f>"57040"</f>
        <v>57040</v>
      </c>
      <c r="C39262" s="2">
        <v>1.67167543200601E-2</v>
      </c>
      <c r="D39262" s="2">
        <v>5.4054054054053996E-3</v>
      </c>
      <c r="E39262" s="2">
        <v>5.7720057720057703E-3</v>
      </c>
      <c r="F39262" s="2">
        <v>1.5099188820175E-2</v>
      </c>
    </row>
    <row r="39263" spans="1:6" x14ac:dyDescent="0.25">
      <c r="A39263" s="1" t="str">
        <f t="shared" si="1411"/>
        <v>49460</v>
      </c>
      <c r="B39263" s="1" t="str">
        <f>"57078"</f>
        <v>57078</v>
      </c>
      <c r="C39263" s="2">
        <v>0.86823816679188504</v>
      </c>
      <c r="D39263" s="2">
        <v>0.97297297297297203</v>
      </c>
      <c r="E39263" s="2">
        <v>0.94660894660894601</v>
      </c>
      <c r="F39263" s="2">
        <v>0.88193719379969404</v>
      </c>
    </row>
    <row r="39264" spans="1:6" x14ac:dyDescent="0.25">
      <c r="A39264" s="1" t="str">
        <f t="shared" si="1411"/>
        <v>49460</v>
      </c>
      <c r="B39264" s="1" t="str">
        <f>"57070"</f>
        <v>57070</v>
      </c>
      <c r="C39264" s="2">
        <v>1.5965439519158499E-3</v>
      </c>
      <c r="D39264" s="2">
        <v>0</v>
      </c>
      <c r="E39264" s="2">
        <v>0</v>
      </c>
      <c r="F39264" s="2">
        <v>1.36535218054774E-3</v>
      </c>
    </row>
    <row r="39265" spans="1:6" x14ac:dyDescent="0.25">
      <c r="A39265" s="1" t="str">
        <f t="shared" si="1411"/>
        <v>49460</v>
      </c>
      <c r="B39265" s="1" t="str">
        <f>"57037"</f>
        <v>57037</v>
      </c>
      <c r="C39265" s="2">
        <v>2.0191585274229901E-2</v>
      </c>
      <c r="D39265" s="2">
        <v>7.2072072072072004E-3</v>
      </c>
      <c r="E39265" s="2">
        <v>2.8860028860028799E-3</v>
      </c>
      <c r="F39265" s="2">
        <v>1.8070837683720101E-2</v>
      </c>
    </row>
    <row r="39266" spans="1:6" x14ac:dyDescent="0.25">
      <c r="A39266" s="1" t="str">
        <f t="shared" si="1411"/>
        <v>49460</v>
      </c>
      <c r="B39266" s="1" t="str">
        <f>"57072"</f>
        <v>57072</v>
      </c>
      <c r="C39266" s="2">
        <v>1.8970698722764801E-2</v>
      </c>
      <c r="D39266" s="2">
        <v>2.7027027027026998E-3</v>
      </c>
      <c r="E39266" s="2">
        <v>5.7720057720057703E-3</v>
      </c>
      <c r="F39266" s="2">
        <v>1.6785800337322299E-2</v>
      </c>
    </row>
    <row r="39267" spans="1:6" x14ac:dyDescent="0.25">
      <c r="A39267" s="1" t="str">
        <f t="shared" si="1411"/>
        <v>49460</v>
      </c>
      <c r="B39267" s="1" t="str">
        <f>"57031"</f>
        <v>57031</v>
      </c>
      <c r="C39267" s="2">
        <v>1.8876784372652101E-2</v>
      </c>
      <c r="D39267" s="2">
        <v>5.4054054054053996E-3</v>
      </c>
      <c r="E39267" s="2">
        <v>1.8759018759018701E-2</v>
      </c>
      <c r="F39267" s="2">
        <v>1.7669263512970799E-2</v>
      </c>
    </row>
    <row r="39268" spans="1:6" x14ac:dyDescent="0.25">
      <c r="A39268" s="1" t="str">
        <f t="shared" si="1411"/>
        <v>49460</v>
      </c>
      <c r="B39268" s="1" t="str">
        <f>"57067"</f>
        <v>57067</v>
      </c>
      <c r="C39268" s="2">
        <v>1.8407212622088599E-2</v>
      </c>
      <c r="D39268" s="2">
        <v>9.0090090090090005E-4</v>
      </c>
      <c r="E39268" s="2">
        <v>5.7720057720057703E-3</v>
      </c>
      <c r="F39268" s="2">
        <v>1.61432816641233E-2</v>
      </c>
    </row>
    <row r="39269" spans="1:6" x14ac:dyDescent="0.25">
      <c r="A39269" s="1" t="str">
        <f t="shared" si="1411"/>
        <v>49460</v>
      </c>
      <c r="B39269" s="1" t="str">
        <f>"57046"</f>
        <v>57046</v>
      </c>
      <c r="C39269" s="2">
        <v>2.65777610818933E-2</v>
      </c>
      <c r="D39269" s="2">
        <v>4.5045045045045001E-3</v>
      </c>
      <c r="E39269" s="2">
        <v>8.6580086580086493E-3</v>
      </c>
      <c r="F39269" s="2">
        <v>2.3612561240061E-2</v>
      </c>
    </row>
    <row r="39270" spans="1:6" x14ac:dyDescent="0.25">
      <c r="A39270" s="1" t="str">
        <f>"49500"</f>
        <v>49500</v>
      </c>
      <c r="B39270" s="1" t="str">
        <f>"00653"</f>
        <v>00653</v>
      </c>
      <c r="C39270" s="2">
        <v>0.14520239145349401</v>
      </c>
      <c r="D39270" s="2">
        <v>0.13717026378896799</v>
      </c>
      <c r="E39270" s="2">
        <v>0.17554240631163701</v>
      </c>
      <c r="F39270" s="2">
        <v>0.145170951985992</v>
      </c>
    </row>
    <row r="39271" spans="1:6" x14ac:dyDescent="0.25">
      <c r="A39271" s="1" t="str">
        <f>"49500"</f>
        <v>49500</v>
      </c>
      <c r="B39271" s="1" t="str">
        <f>"00624"</f>
        <v>00624</v>
      </c>
      <c r="C39271" s="2">
        <v>0.18222581593648901</v>
      </c>
      <c r="D39271" s="2">
        <v>0.18657074340527499</v>
      </c>
      <c r="E39271" s="2">
        <v>6.9033530571992102E-2</v>
      </c>
      <c r="F39271" s="2">
        <v>0.18111233987650899</v>
      </c>
    </row>
    <row r="39272" spans="1:6" x14ac:dyDescent="0.25">
      <c r="A39272" s="1" t="str">
        <f>"49500"</f>
        <v>49500</v>
      </c>
      <c r="B39272" s="1" t="str">
        <f>"00698"</f>
        <v>00698</v>
      </c>
      <c r="C39272" s="2">
        <v>0.39632951092815799</v>
      </c>
      <c r="D39272" s="2">
        <v>0.50263788968824896</v>
      </c>
      <c r="E39272" s="2">
        <v>0.60749506903353001</v>
      </c>
      <c r="F39272" s="2">
        <v>0.40390286609529003</v>
      </c>
    </row>
    <row r="39273" spans="1:6" x14ac:dyDescent="0.25">
      <c r="A39273" s="1" t="str">
        <f>"49500"</f>
        <v>49500</v>
      </c>
      <c r="B39273" s="1" t="str">
        <f>"00656"</f>
        <v>00656</v>
      </c>
      <c r="C39273" s="2">
        <v>0.191291776928354</v>
      </c>
      <c r="D39273" s="2">
        <v>0.131414868105515</v>
      </c>
      <c r="E39273" s="2">
        <v>9.2702169625246494E-2</v>
      </c>
      <c r="F39273" s="2">
        <v>0.187263846650078</v>
      </c>
    </row>
    <row r="39274" spans="1:6" x14ac:dyDescent="0.25">
      <c r="A39274" s="1" t="str">
        <f>"49500"</f>
        <v>49500</v>
      </c>
      <c r="B39274" s="1" t="str">
        <f>"00647"</f>
        <v>00647</v>
      </c>
      <c r="C39274" s="2">
        <v>8.4950504753503797E-2</v>
      </c>
      <c r="D39274" s="2">
        <v>4.2206235011990403E-2</v>
      </c>
      <c r="E39274" s="2">
        <v>5.5226824457593603E-2</v>
      </c>
      <c r="F39274" s="2">
        <v>8.2549995392129705E-2</v>
      </c>
    </row>
    <row r="39275" spans="1:6" x14ac:dyDescent="0.25">
      <c r="A39275" s="1" t="str">
        <f t="shared" ref="A39275:A39306" si="1412">"49620"</f>
        <v>49620</v>
      </c>
      <c r="B39275" s="1" t="str">
        <f>"17070"</f>
        <v>17070</v>
      </c>
      <c r="C39275" s="2">
        <v>1.7974239472959602E-2</v>
      </c>
      <c r="D39275" s="2">
        <v>2.2563610177628399E-2</v>
      </c>
      <c r="E39275" s="2">
        <v>2.5159525979945301E-2</v>
      </c>
      <c r="F39275" s="2">
        <v>1.8426227364232099E-2</v>
      </c>
    </row>
    <row r="39276" spans="1:6" x14ac:dyDescent="0.25">
      <c r="A39276" s="1" t="str">
        <f t="shared" si="1412"/>
        <v>49620</v>
      </c>
      <c r="B39276" s="1" t="str">
        <f>"17318"</f>
        <v>17318</v>
      </c>
      <c r="C39276" s="2">
        <v>1.0249140805857801E-3</v>
      </c>
      <c r="D39276" s="2">
        <v>0</v>
      </c>
      <c r="E39276" s="2">
        <v>1.8231540565177701E-4</v>
      </c>
      <c r="F39276" s="2">
        <v>9.43497573529755E-4</v>
      </c>
    </row>
    <row r="39277" spans="1:6" x14ac:dyDescent="0.25">
      <c r="A39277" s="1" t="str">
        <f t="shared" si="1412"/>
        <v>49620</v>
      </c>
      <c r="B39277" s="1" t="str">
        <f>"17401"</f>
        <v>17401</v>
      </c>
      <c r="C39277" s="2">
        <v>4.0496853870707797E-2</v>
      </c>
      <c r="D39277" s="2">
        <v>8.6253800608097203E-2</v>
      </c>
      <c r="E39277" s="2">
        <v>0.19380127620783899</v>
      </c>
      <c r="F39277" s="2">
        <v>4.70954754153491E-2</v>
      </c>
    </row>
    <row r="39278" spans="1:6" x14ac:dyDescent="0.25">
      <c r="A39278" s="1" t="str">
        <f t="shared" si="1412"/>
        <v>49620</v>
      </c>
      <c r="B39278" s="1" t="str">
        <f>"17331"</f>
        <v>17331</v>
      </c>
      <c r="C39278" s="2">
        <v>0.10146139490296401</v>
      </c>
      <c r="D39278" s="2">
        <v>0.13418146903504499</v>
      </c>
      <c r="E39278" s="2">
        <v>0.12597994530537801</v>
      </c>
      <c r="F39278" s="2">
        <v>0.103999588971354</v>
      </c>
    </row>
    <row r="39279" spans="1:6" x14ac:dyDescent="0.25">
      <c r="A39279" s="1" t="str">
        <f t="shared" si="1412"/>
        <v>49620</v>
      </c>
      <c r="B39279" s="1" t="str">
        <f>"17356"</f>
        <v>17356</v>
      </c>
      <c r="C39279" s="2">
        <v>5.2005466208429697E-2</v>
      </c>
      <c r="D39279" s="2">
        <v>4.5287245959353399E-2</v>
      </c>
      <c r="E39279" s="2">
        <v>4.1203281677301702E-2</v>
      </c>
      <c r="F39279" s="2">
        <v>5.1336543716166E-2</v>
      </c>
    </row>
    <row r="39280" spans="1:6" x14ac:dyDescent="0.25">
      <c r="A39280" s="1" t="str">
        <f t="shared" si="1412"/>
        <v>49620</v>
      </c>
      <c r="B39280" s="1" t="str">
        <f>"17019"</f>
        <v>17019</v>
      </c>
      <c r="C39280" s="2">
        <v>3.9064013787898803E-2</v>
      </c>
      <c r="D39280" s="2">
        <v>2.8484557529204601E-2</v>
      </c>
      <c r="E39280" s="2">
        <v>3.5004557885141202E-2</v>
      </c>
      <c r="F39280" s="2">
        <v>3.83424335698304E-2</v>
      </c>
    </row>
    <row r="39281" spans="1:6" x14ac:dyDescent="0.25">
      <c r="A39281" s="1" t="str">
        <f t="shared" si="1412"/>
        <v>49620</v>
      </c>
      <c r="B39281" s="1" t="str">
        <f>"17301"</f>
        <v>17301</v>
      </c>
      <c r="C39281" s="2">
        <v>2.7382032899231998E-3</v>
      </c>
      <c r="D39281" s="2">
        <v>1.52024323891822E-3</v>
      </c>
      <c r="E39281" s="2">
        <v>7.2926162260711E-4</v>
      </c>
      <c r="F39281" s="2">
        <v>2.61563683750823E-3</v>
      </c>
    </row>
    <row r="39282" spans="1:6" x14ac:dyDescent="0.25">
      <c r="A39282" s="1" t="str">
        <f t="shared" si="1412"/>
        <v>49620</v>
      </c>
      <c r="B39282" s="1" t="str">
        <f>"17408"</f>
        <v>17408</v>
      </c>
      <c r="C39282" s="2">
        <v>5.4453022221768899E-2</v>
      </c>
      <c r="D39282" s="2">
        <v>3.5685709713554101E-2</v>
      </c>
      <c r="E39282" s="2">
        <v>5.5606198723792098E-2</v>
      </c>
      <c r="F39282" s="2">
        <v>5.3387016165569803E-2</v>
      </c>
    </row>
    <row r="39283" spans="1:6" x14ac:dyDescent="0.25">
      <c r="A39283" s="1" t="str">
        <f t="shared" si="1412"/>
        <v>49620</v>
      </c>
      <c r="B39283" s="1" t="str">
        <f>"17363"</f>
        <v>17363</v>
      </c>
      <c r="C39283" s="2">
        <v>2.2532812547803802E-2</v>
      </c>
      <c r="D39283" s="2">
        <v>1.8722995679308602E-2</v>
      </c>
      <c r="E39283" s="2">
        <v>8.0218778486782095E-3</v>
      </c>
      <c r="F39283" s="2">
        <v>2.1938653974600202E-2</v>
      </c>
    </row>
    <row r="39284" spans="1:6" x14ac:dyDescent="0.25">
      <c r="A39284" s="1" t="str">
        <f t="shared" si="1412"/>
        <v>49620</v>
      </c>
      <c r="B39284" s="1" t="str">
        <f>"17405"</f>
        <v>17405</v>
      </c>
      <c r="C39284" s="2">
        <v>4.4820869494273698E-3</v>
      </c>
      <c r="D39284" s="2">
        <v>1.8642982877260302E-2</v>
      </c>
      <c r="E39284" s="2">
        <v>3.64630811303555E-4</v>
      </c>
      <c r="F39284" s="2">
        <v>5.2032489946145901E-3</v>
      </c>
    </row>
    <row r="39285" spans="1:6" x14ac:dyDescent="0.25">
      <c r="A39285" s="1" t="str">
        <f t="shared" si="1412"/>
        <v>49620</v>
      </c>
      <c r="B39285" s="1" t="str">
        <f>"17322"</f>
        <v>17322</v>
      </c>
      <c r="C39285" s="2">
        <v>1.2033817065584301E-2</v>
      </c>
      <c r="D39285" s="2">
        <v>2.8804608737397902E-3</v>
      </c>
      <c r="E39285" s="2">
        <v>5.4694621695533204E-4</v>
      </c>
      <c r="F39285" s="2">
        <v>1.1205201380682501E-2</v>
      </c>
    </row>
    <row r="39286" spans="1:6" x14ac:dyDescent="0.25">
      <c r="A39286" s="1" t="str">
        <f t="shared" si="1412"/>
        <v>49620</v>
      </c>
      <c r="B39286" s="1" t="str">
        <f>"17321"</f>
        <v>17321</v>
      </c>
      <c r="C39286" s="2">
        <v>4.5483749247886398E-3</v>
      </c>
      <c r="D39286" s="2">
        <v>2.9604736757881198E-3</v>
      </c>
      <c r="E39286" s="2">
        <v>1.45852324521422E-3</v>
      </c>
      <c r="F39286" s="2">
        <v>4.37652092275931E-3</v>
      </c>
    </row>
    <row r="39287" spans="1:6" x14ac:dyDescent="0.25">
      <c r="A39287" s="1" t="str">
        <f t="shared" si="1412"/>
        <v>49620</v>
      </c>
      <c r="B39287" s="1" t="str">
        <f>"17371"</f>
        <v>17371</v>
      </c>
      <c r="C39287" s="2">
        <v>2.0396300111159799E-5</v>
      </c>
      <c r="D39287" s="2">
        <v>0</v>
      </c>
      <c r="E39287" s="2">
        <v>1.8231540565177701E-4</v>
      </c>
      <c r="F39287" s="2">
        <v>2.3353900334894899E-5</v>
      </c>
    </row>
    <row r="39288" spans="1:6" x14ac:dyDescent="0.25">
      <c r="A39288" s="1" t="str">
        <f t="shared" si="1412"/>
        <v>49620</v>
      </c>
      <c r="B39288" s="1" t="str">
        <f>"17315"</f>
        <v>17315</v>
      </c>
      <c r="C39288" s="2">
        <v>5.8047870116360797E-2</v>
      </c>
      <c r="D39288" s="2">
        <v>2.1523443751000099E-2</v>
      </c>
      <c r="E39288" s="2">
        <v>1.56791248860528E-2</v>
      </c>
      <c r="F39288" s="2">
        <v>5.4830287206266301E-2</v>
      </c>
    </row>
    <row r="39289" spans="1:6" x14ac:dyDescent="0.25">
      <c r="A39289" s="1" t="str">
        <f t="shared" si="1412"/>
        <v>49620</v>
      </c>
      <c r="B39289" s="1" t="str">
        <f>"17309"</f>
        <v>17309</v>
      </c>
      <c r="C39289" s="2">
        <v>4.49228509948295E-3</v>
      </c>
      <c r="D39289" s="2">
        <v>3.5205632901264198E-3</v>
      </c>
      <c r="E39289" s="2">
        <v>2.0054694621695502E-3</v>
      </c>
      <c r="F39289" s="2">
        <v>4.3718501426923302E-3</v>
      </c>
    </row>
    <row r="39290" spans="1:6" x14ac:dyDescent="0.25">
      <c r="A39290" s="1" t="str">
        <f t="shared" si="1412"/>
        <v>49620</v>
      </c>
      <c r="B39290" s="1" t="str">
        <f>"17370"</f>
        <v>17370</v>
      </c>
      <c r="C39290" s="2">
        <v>1.3160712646725799E-2</v>
      </c>
      <c r="D39290" s="2">
        <v>4.8807809249479901E-3</v>
      </c>
      <c r="E39290" s="2">
        <v>3.6463081130355501E-3</v>
      </c>
      <c r="F39290" s="2">
        <v>1.2433616538298E-2</v>
      </c>
    </row>
    <row r="39291" spans="1:6" x14ac:dyDescent="0.25">
      <c r="A39291" s="1" t="str">
        <f t="shared" si="1412"/>
        <v>49620</v>
      </c>
      <c r="B39291" s="1" t="str">
        <f>"17362"</f>
        <v>17362</v>
      </c>
      <c r="C39291" s="2">
        <v>2.9182006384041899E-2</v>
      </c>
      <c r="D39291" s="2">
        <v>1.5842534805568801E-2</v>
      </c>
      <c r="E39291" s="2">
        <v>1.31267092069279E-2</v>
      </c>
      <c r="F39291" s="2">
        <v>2.7991984941405E-2</v>
      </c>
    </row>
    <row r="39292" spans="1:6" x14ac:dyDescent="0.25">
      <c r="A39292" s="1" t="str">
        <f t="shared" si="1412"/>
        <v>49620</v>
      </c>
      <c r="B39292" s="1" t="str">
        <f>"17349"</f>
        <v>17349</v>
      </c>
      <c r="C39292" s="2">
        <v>1.9004252628573099E-2</v>
      </c>
      <c r="D39292" s="2">
        <v>1.4162265962554E-2</v>
      </c>
      <c r="E39292" s="2">
        <v>5.1048313582497699E-3</v>
      </c>
      <c r="F39292" s="2">
        <v>1.8365507223361301E-2</v>
      </c>
    </row>
    <row r="39293" spans="1:6" x14ac:dyDescent="0.25">
      <c r="A39293" s="1" t="str">
        <f t="shared" si="1412"/>
        <v>49620</v>
      </c>
      <c r="B39293" s="1" t="str">
        <f>"17319"</f>
        <v>17319</v>
      </c>
      <c r="C39293" s="2">
        <v>2.21707782208307E-2</v>
      </c>
      <c r="D39293" s="2">
        <v>1.4322291566650601E-2</v>
      </c>
      <c r="E39293" s="2">
        <v>8.2041932543299896E-3</v>
      </c>
      <c r="F39293" s="2">
        <v>2.1354806466227901E-2</v>
      </c>
    </row>
    <row r="39294" spans="1:6" x14ac:dyDescent="0.25">
      <c r="A39294" s="1" t="str">
        <f t="shared" si="1412"/>
        <v>49620</v>
      </c>
      <c r="B39294" s="1" t="str">
        <f>"17345"</f>
        <v>17345</v>
      </c>
      <c r="C39294" s="2">
        <v>1.8295481199710299E-2</v>
      </c>
      <c r="D39294" s="2">
        <v>1.52024323891822E-2</v>
      </c>
      <c r="E39294" s="2">
        <v>1.53144940747493E-2</v>
      </c>
      <c r="F39294" s="2">
        <v>1.80385526186728E-2</v>
      </c>
    </row>
    <row r="39295" spans="1:6" x14ac:dyDescent="0.25">
      <c r="A39295" s="1" t="str">
        <f t="shared" si="1412"/>
        <v>49620</v>
      </c>
      <c r="B39295" s="1" t="str">
        <f>"17339"</f>
        <v>17339</v>
      </c>
      <c r="C39295" s="2">
        <v>1.4970884281591299E-2</v>
      </c>
      <c r="D39295" s="2">
        <v>1.0241638662185901E-2</v>
      </c>
      <c r="E39295" s="2">
        <v>1.45852324521422E-2</v>
      </c>
      <c r="F39295" s="2">
        <v>1.4684932530581901E-2</v>
      </c>
    </row>
    <row r="39296" spans="1:6" x14ac:dyDescent="0.25">
      <c r="A39296" s="1" t="str">
        <f t="shared" si="1412"/>
        <v>49620</v>
      </c>
      <c r="B39296" s="1" t="str">
        <f>"17329"</f>
        <v>17329</v>
      </c>
      <c r="C39296" s="2">
        <v>5.2367500535402799E-3</v>
      </c>
      <c r="D39296" s="2">
        <v>1.36021763482157E-3</v>
      </c>
      <c r="E39296" s="2">
        <v>0</v>
      </c>
      <c r="F39296" s="2">
        <v>4.87629438992606E-3</v>
      </c>
    </row>
    <row r="39297" spans="1:6" x14ac:dyDescent="0.25">
      <c r="A39297" s="1" t="str">
        <f t="shared" si="1412"/>
        <v>49620</v>
      </c>
      <c r="B39297" s="1" t="str">
        <f>"17312"</f>
        <v>17312</v>
      </c>
      <c r="C39297" s="2">
        <v>0</v>
      </c>
      <c r="D39297" s="2">
        <v>0</v>
      </c>
      <c r="E39297" s="2">
        <v>1.8231540565177701E-4</v>
      </c>
      <c r="F39297" s="2">
        <v>4.6707800669789801E-6</v>
      </c>
    </row>
    <row r="39298" spans="1:6" x14ac:dyDescent="0.25">
      <c r="A39298" s="1" t="str">
        <f t="shared" si="1412"/>
        <v>49620</v>
      </c>
      <c r="B39298" s="1" t="str">
        <f>"17311"</f>
        <v>17311</v>
      </c>
      <c r="C39298" s="2">
        <v>0</v>
      </c>
      <c r="D39298" s="2">
        <v>0</v>
      </c>
      <c r="E39298" s="2">
        <v>1.8231540565177701E-4</v>
      </c>
      <c r="F39298" s="2">
        <v>4.6707800669789801E-6</v>
      </c>
    </row>
    <row r="39299" spans="1:6" x14ac:dyDescent="0.25">
      <c r="A39299" s="1" t="str">
        <f t="shared" si="1412"/>
        <v>49620</v>
      </c>
      <c r="B39299" s="1" t="str">
        <f>"17323"</f>
        <v>17323</v>
      </c>
      <c r="C39299" s="2">
        <v>5.0990750277899499E-6</v>
      </c>
      <c r="D39299" s="2">
        <v>0</v>
      </c>
      <c r="E39299" s="2">
        <v>1.8231540565177701E-4</v>
      </c>
      <c r="F39299" s="2">
        <v>9.3415601339579703E-6</v>
      </c>
    </row>
    <row r="39300" spans="1:6" x14ac:dyDescent="0.25">
      <c r="A39300" s="1" t="str">
        <f t="shared" si="1412"/>
        <v>49620</v>
      </c>
      <c r="B39300" s="1" t="str">
        <f>"17316"</f>
        <v>17316</v>
      </c>
      <c r="C39300" s="2">
        <v>3.7019284701755098E-3</v>
      </c>
      <c r="D39300" s="2">
        <v>1.52024323891822E-3</v>
      </c>
      <c r="E39300" s="2">
        <v>3.64630811303555E-4</v>
      </c>
      <c r="F39300" s="2">
        <v>3.4890727100333001E-3</v>
      </c>
    </row>
    <row r="39301" spans="1:6" x14ac:dyDescent="0.25">
      <c r="A39301" s="1" t="str">
        <f t="shared" si="1412"/>
        <v>49620</v>
      </c>
      <c r="B39301" s="1" t="str">
        <f>"17317"</f>
        <v>17317</v>
      </c>
      <c r="C39301" s="2">
        <v>5.0990750277899499E-6</v>
      </c>
      <c r="D39301" s="2">
        <v>0</v>
      </c>
      <c r="E39301" s="2">
        <v>1.8231540565177701E-4</v>
      </c>
      <c r="F39301" s="2">
        <v>9.3415601339579703E-6</v>
      </c>
    </row>
    <row r="39302" spans="1:6" x14ac:dyDescent="0.25">
      <c r="A39302" s="1" t="str">
        <f t="shared" si="1412"/>
        <v>49620</v>
      </c>
      <c r="B39302" s="1" t="str">
        <f>"17372"</f>
        <v>17372</v>
      </c>
      <c r="C39302" s="2">
        <v>3.2124172675076698E-4</v>
      </c>
      <c r="D39302" s="2">
        <v>0</v>
      </c>
      <c r="E39302" s="2">
        <v>0</v>
      </c>
      <c r="F39302" s="2">
        <v>2.9425914421967603E-4</v>
      </c>
    </row>
    <row r="39303" spans="1:6" x14ac:dyDescent="0.25">
      <c r="A39303" s="1" t="str">
        <f t="shared" si="1412"/>
        <v>49620</v>
      </c>
      <c r="B39303" s="1" t="str">
        <f>"17302"</f>
        <v>17302</v>
      </c>
      <c r="C39303" s="2">
        <v>6.6338966111547304E-3</v>
      </c>
      <c r="D39303" s="2">
        <v>1.1201792286765801E-3</v>
      </c>
      <c r="E39303" s="2">
        <v>9.1157702825888699E-4</v>
      </c>
      <c r="F39303" s="2">
        <v>6.1654296884122604E-3</v>
      </c>
    </row>
    <row r="39304" spans="1:6" x14ac:dyDescent="0.25">
      <c r="A39304" s="1" t="str">
        <f t="shared" si="1412"/>
        <v>49620</v>
      </c>
      <c r="B39304" s="1" t="str">
        <f>"17313"</f>
        <v>17313</v>
      </c>
      <c r="C39304" s="2">
        <v>2.2996828375332699E-2</v>
      </c>
      <c r="D39304" s="2">
        <v>1.9363098095695301E-2</v>
      </c>
      <c r="E39304" s="2">
        <v>2.3701002734731001E-2</v>
      </c>
      <c r="F39304" s="2">
        <v>2.2802748286991401E-2</v>
      </c>
    </row>
    <row r="39305" spans="1:6" x14ac:dyDescent="0.25">
      <c r="A39305" s="1" t="str">
        <f t="shared" si="1412"/>
        <v>49620</v>
      </c>
      <c r="B39305" s="1" t="str">
        <f>"17404"</f>
        <v>17404</v>
      </c>
      <c r="C39305" s="2">
        <v>8.3344381329226794E-2</v>
      </c>
      <c r="D39305" s="2">
        <v>9.1614658345335206E-2</v>
      </c>
      <c r="E39305" s="2">
        <v>0.102278942570647</v>
      </c>
      <c r="F39305" s="2">
        <v>8.4312250989037593E-2</v>
      </c>
    </row>
    <row r="39306" spans="1:6" x14ac:dyDescent="0.25">
      <c r="A39306" s="1" t="str">
        <f t="shared" si="1412"/>
        <v>49620</v>
      </c>
      <c r="B39306" s="1" t="str">
        <f>"17347"</f>
        <v>17347</v>
      </c>
      <c r="C39306" s="2">
        <v>1.29261551954475E-2</v>
      </c>
      <c r="D39306" s="2">
        <v>2.2403584573531701E-3</v>
      </c>
      <c r="E39306" s="2">
        <v>4.5578851412944304E-3</v>
      </c>
      <c r="F39306" s="2">
        <v>1.20879788133416E-2</v>
      </c>
    </row>
    <row r="39307" spans="1:6" x14ac:dyDescent="0.25">
      <c r="A39307" s="1" t="str">
        <f t="shared" ref="A39307:A39324" si="1413">"49620"</f>
        <v>49620</v>
      </c>
      <c r="B39307" s="1" t="str">
        <f>"17352"</f>
        <v>17352</v>
      </c>
      <c r="C39307" s="2">
        <v>2.5546365889227598E-3</v>
      </c>
      <c r="D39307" s="2">
        <v>1.4402304368698899E-3</v>
      </c>
      <c r="E39307" s="2">
        <v>7.2926162260711E-4</v>
      </c>
      <c r="F39307" s="2">
        <v>2.4428179750299998E-3</v>
      </c>
    </row>
    <row r="39308" spans="1:6" x14ac:dyDescent="0.25">
      <c r="A39308" s="1" t="str">
        <f t="shared" si="1413"/>
        <v>49620</v>
      </c>
      <c r="B39308" s="1" t="str">
        <f>"17314"</f>
        <v>17314</v>
      </c>
      <c r="C39308" s="2">
        <v>1.26100125437245E-2</v>
      </c>
      <c r="D39308" s="2">
        <v>6.4010241638662096E-3</v>
      </c>
      <c r="E39308" s="2">
        <v>4.5578851412944304E-3</v>
      </c>
      <c r="F39308" s="2">
        <v>1.20412710126718E-2</v>
      </c>
    </row>
    <row r="39309" spans="1:6" x14ac:dyDescent="0.25">
      <c r="A39309" s="1" t="str">
        <f t="shared" si="1413"/>
        <v>49620</v>
      </c>
      <c r="B39309" s="1" t="str">
        <f>"17368"</f>
        <v>17368</v>
      </c>
      <c r="C39309" s="2">
        <v>1.70105142927073E-2</v>
      </c>
      <c r="D39309" s="2">
        <v>9.8415746519443098E-3</v>
      </c>
      <c r="E39309" s="2">
        <v>1.1121239744758401E-2</v>
      </c>
      <c r="F39309" s="2">
        <v>1.6441145835765999E-2</v>
      </c>
    </row>
    <row r="39310" spans="1:6" x14ac:dyDescent="0.25">
      <c r="A39310" s="1" t="str">
        <f t="shared" si="1413"/>
        <v>49620</v>
      </c>
      <c r="B39310" s="1" t="str">
        <f>"17406"</f>
        <v>17406</v>
      </c>
      <c r="C39310" s="2">
        <v>5.29334978634875E-2</v>
      </c>
      <c r="D39310" s="2">
        <v>5.00880140822531E-2</v>
      </c>
      <c r="E39310" s="2">
        <v>2.6435733819507701E-2</v>
      </c>
      <c r="F39310" s="2">
        <v>5.2088539306949601E-2</v>
      </c>
    </row>
    <row r="39311" spans="1:6" x14ac:dyDescent="0.25">
      <c r="A39311" s="1" t="str">
        <f t="shared" si="1413"/>
        <v>49620</v>
      </c>
      <c r="B39311" s="1" t="str">
        <f>"17403"</f>
        <v>17403</v>
      </c>
      <c r="C39311" s="2">
        <v>8.5021977013369707E-2</v>
      </c>
      <c r="D39311" s="2">
        <v>0.107457193150904</v>
      </c>
      <c r="E39311" s="2">
        <v>0.15332725615314399</v>
      </c>
      <c r="F39311" s="2">
        <v>8.8081570503089707E-2</v>
      </c>
    </row>
    <row r="39312" spans="1:6" x14ac:dyDescent="0.25">
      <c r="A39312" s="1" t="str">
        <f t="shared" si="1413"/>
        <v>49620</v>
      </c>
      <c r="B39312" s="1" t="str">
        <f>"17366"</f>
        <v>17366</v>
      </c>
      <c r="C39312" s="2">
        <v>1.1962430015195201E-2</v>
      </c>
      <c r="D39312" s="2">
        <v>2.3203712594015002E-3</v>
      </c>
      <c r="E39312" s="2">
        <v>6.5633546034639901E-3</v>
      </c>
      <c r="F39312" s="2">
        <v>1.12612507414863E-2</v>
      </c>
    </row>
    <row r="39313" spans="1:6" x14ac:dyDescent="0.25">
      <c r="A39313" s="1" t="str">
        <f t="shared" si="1413"/>
        <v>49620</v>
      </c>
      <c r="B39313" s="1" t="str">
        <f>"17327"</f>
        <v>17327</v>
      </c>
      <c r="C39313" s="2">
        <v>1.6923830017234801E-2</v>
      </c>
      <c r="D39313" s="2">
        <v>1.3522163546167301E-2</v>
      </c>
      <c r="E39313" s="2">
        <v>9.1157702825888694E-3</v>
      </c>
      <c r="F39313" s="2">
        <v>1.65252198769716E-2</v>
      </c>
    </row>
    <row r="39314" spans="1:6" x14ac:dyDescent="0.25">
      <c r="A39314" s="1" t="str">
        <f t="shared" si="1413"/>
        <v>49620</v>
      </c>
      <c r="B39314" s="1" t="str">
        <f>"17355"</f>
        <v>17355</v>
      </c>
      <c r="C39314" s="2">
        <v>3.3143987680634698E-4</v>
      </c>
      <c r="D39314" s="2">
        <v>0</v>
      </c>
      <c r="E39314" s="2">
        <v>5.4694621695533204E-4</v>
      </c>
      <c r="F39314" s="2">
        <v>3.1761304455457098E-4</v>
      </c>
    </row>
    <row r="39315" spans="1:6" x14ac:dyDescent="0.25">
      <c r="A39315" s="1" t="str">
        <f t="shared" si="1413"/>
        <v>49620</v>
      </c>
      <c r="B39315" s="1" t="str">
        <f>"17361"</f>
        <v>17361</v>
      </c>
      <c r="C39315" s="2">
        <v>1.3349378422754099E-2</v>
      </c>
      <c r="D39315" s="2">
        <v>3.01648263722195E-2</v>
      </c>
      <c r="E39315" s="2">
        <v>8.9334548769370997E-3</v>
      </c>
      <c r="F39315" s="2">
        <v>1.4217854523884001E-2</v>
      </c>
    </row>
    <row r="39316" spans="1:6" x14ac:dyDescent="0.25">
      <c r="A39316" s="1" t="str">
        <f t="shared" si="1413"/>
        <v>49620</v>
      </c>
      <c r="B39316" s="1" t="str">
        <f>"17360"</f>
        <v>17360</v>
      </c>
      <c r="C39316" s="2">
        <v>1.28853625952252E-2</v>
      </c>
      <c r="D39316" s="2">
        <v>3.12049927988478E-3</v>
      </c>
      <c r="E39316" s="2">
        <v>3.46399270738377E-3</v>
      </c>
      <c r="F39316" s="2">
        <v>1.20739664731406E-2</v>
      </c>
    </row>
    <row r="39317" spans="1:6" x14ac:dyDescent="0.25">
      <c r="A39317" s="1" t="str">
        <f t="shared" si="1413"/>
        <v>49620</v>
      </c>
      <c r="B39317" s="1" t="str">
        <f>"17364"</f>
        <v>17364</v>
      </c>
      <c r="C39317" s="2">
        <v>8.1942135696584598E-3</v>
      </c>
      <c r="D39317" s="2">
        <v>4.4007041126580201E-3</v>
      </c>
      <c r="E39317" s="2">
        <v>1.6408386508659899E-3</v>
      </c>
      <c r="F39317" s="2">
        <v>7.8048734919218803E-3</v>
      </c>
    </row>
    <row r="39318" spans="1:6" x14ac:dyDescent="0.25">
      <c r="A39318" s="1" t="str">
        <f t="shared" si="1413"/>
        <v>49620</v>
      </c>
      <c r="B39318" s="1" t="str">
        <f>"17365"</f>
        <v>17365</v>
      </c>
      <c r="C39318" s="2">
        <v>6.0628002080422598E-3</v>
      </c>
      <c r="D39318" s="2">
        <v>4.8007681228996596E-3</v>
      </c>
      <c r="E39318" s="2">
        <v>2.1877848678213299E-3</v>
      </c>
      <c r="F39318" s="2">
        <v>5.8898536644605001E-3</v>
      </c>
    </row>
    <row r="39319" spans="1:6" x14ac:dyDescent="0.25">
      <c r="A39319" s="1" t="str">
        <f t="shared" si="1413"/>
        <v>49620</v>
      </c>
      <c r="B39319" s="1" t="str">
        <f>"17011"</f>
        <v>17011</v>
      </c>
      <c r="C39319" s="2">
        <v>2.74330236495099E-3</v>
      </c>
      <c r="D39319" s="2">
        <v>0</v>
      </c>
      <c r="E39319" s="2">
        <v>0</v>
      </c>
      <c r="F39319" s="2">
        <v>2.51287967603469E-3</v>
      </c>
    </row>
    <row r="39320" spans="1:6" x14ac:dyDescent="0.25">
      <c r="A39320" s="1" t="str">
        <f t="shared" si="1413"/>
        <v>49620</v>
      </c>
      <c r="B39320" s="1" t="str">
        <f>"17055"</f>
        <v>17055</v>
      </c>
      <c r="C39320" s="2">
        <v>1.9274503605046E-3</v>
      </c>
      <c r="D39320" s="2">
        <v>4.0006401024163799E-4</v>
      </c>
      <c r="E39320" s="2">
        <v>1.8231540565177701E-4</v>
      </c>
      <c r="F39320" s="2">
        <v>1.79357954571993E-3</v>
      </c>
    </row>
    <row r="39321" spans="1:6" x14ac:dyDescent="0.25">
      <c r="A39321" s="1" t="str">
        <f t="shared" si="1413"/>
        <v>49620</v>
      </c>
      <c r="B39321" s="1" t="str">
        <f>"17407"</f>
        <v>17407</v>
      </c>
      <c r="C39321" s="2">
        <v>4.2424304231212396E-3</v>
      </c>
      <c r="D39321" s="2">
        <v>3.0404864778364499E-3</v>
      </c>
      <c r="E39321" s="2">
        <v>2.3701002734731001E-3</v>
      </c>
      <c r="F39321" s="2">
        <v>4.1242987991424399E-3</v>
      </c>
    </row>
    <row r="39322" spans="1:6" x14ac:dyDescent="0.25">
      <c r="A39322" s="1" t="str">
        <f t="shared" si="1413"/>
        <v>49620</v>
      </c>
      <c r="B39322" s="1" t="str">
        <f>"17342"</f>
        <v>17342</v>
      </c>
      <c r="C39322" s="2">
        <v>0</v>
      </c>
      <c r="D39322" s="2">
        <v>0</v>
      </c>
      <c r="E39322" s="2">
        <v>1.8231540565177701E-4</v>
      </c>
      <c r="F39322" s="2">
        <v>4.6707800669789801E-6</v>
      </c>
    </row>
    <row r="39323" spans="1:6" x14ac:dyDescent="0.25">
      <c r="A39323" s="1" t="str">
        <f t="shared" si="1413"/>
        <v>49620</v>
      </c>
      <c r="B39323" s="1" t="str">
        <f>"17358"</f>
        <v>17358</v>
      </c>
      <c r="C39323" s="2">
        <v>0</v>
      </c>
      <c r="D39323" s="2">
        <v>0</v>
      </c>
      <c r="E39323" s="2">
        <v>1.8231540565177701E-4</v>
      </c>
      <c r="F39323" s="2">
        <v>4.6707800669789801E-6</v>
      </c>
    </row>
    <row r="39324" spans="1:6" x14ac:dyDescent="0.25">
      <c r="A39324" s="1" t="str">
        <f t="shared" si="1413"/>
        <v>49620</v>
      </c>
      <c r="B39324" s="1" t="str">
        <f>"17402"</f>
        <v>17402</v>
      </c>
      <c r="C39324" s="2">
        <v>8.3915477732339303E-2</v>
      </c>
      <c r="D39324" s="2">
        <v>0.14890382461193699</v>
      </c>
      <c r="E39324" s="2">
        <v>7.0009115770282501E-2</v>
      </c>
      <c r="F39324" s="2">
        <v>8.7352928812640895E-2</v>
      </c>
    </row>
    <row r="39325" spans="1:6" x14ac:dyDescent="0.25">
      <c r="A39325" s="1" t="str">
        <f t="shared" ref="A39325:A39356" si="1414">"49660"</f>
        <v>49660</v>
      </c>
      <c r="B39325" s="1" t="str">
        <f>"44454"</f>
        <v>44454</v>
      </c>
      <c r="C39325" s="2">
        <v>1.4384905884801799E-3</v>
      </c>
      <c r="D39325" s="2">
        <v>8.6512674106756595E-4</v>
      </c>
      <c r="E39325" s="2">
        <v>2.6139234991722502E-4</v>
      </c>
      <c r="F39325" s="2">
        <v>1.3503410434513299E-3</v>
      </c>
    </row>
    <row r="39326" spans="1:6" x14ac:dyDescent="0.25">
      <c r="A39326" s="1" t="str">
        <f t="shared" si="1414"/>
        <v>49660</v>
      </c>
      <c r="B39326" s="1" t="str">
        <f>"16114"</f>
        <v>16114</v>
      </c>
      <c r="C39326" s="2">
        <v>1.0147491748193501E-3</v>
      </c>
      <c r="D39326" s="2">
        <v>6.4884505580067398E-4</v>
      </c>
      <c r="E39326" s="2">
        <v>2.6139234991722502E-4</v>
      </c>
      <c r="F39326" s="2">
        <v>9.5841278937643798E-4</v>
      </c>
    </row>
    <row r="39327" spans="1:6" x14ac:dyDescent="0.25">
      <c r="A39327" s="1" t="str">
        <f t="shared" si="1414"/>
        <v>49660</v>
      </c>
      <c r="B39327" s="1" t="str">
        <f>"44062"</f>
        <v>44062</v>
      </c>
      <c r="C39327" s="2">
        <v>2.7617532486841701E-3</v>
      </c>
      <c r="D39327" s="2">
        <v>7.7861406696080903E-4</v>
      </c>
      <c r="E39327" s="2">
        <v>4.3565391652870898E-4</v>
      </c>
      <c r="F39327" s="2">
        <v>2.5228322909359099E-3</v>
      </c>
    </row>
    <row r="39328" spans="1:6" x14ac:dyDescent="0.25">
      <c r="A39328" s="1" t="str">
        <f t="shared" si="1414"/>
        <v>49660</v>
      </c>
      <c r="B39328" s="1" t="str">
        <f>"44514"</f>
        <v>44514</v>
      </c>
      <c r="C39328" s="2">
        <v>4.168649082637E-2</v>
      </c>
      <c r="D39328" s="2">
        <v>4.1828877930616799E-2</v>
      </c>
      <c r="E39328" s="2">
        <v>3.60721442885771E-2</v>
      </c>
      <c r="F39328" s="2">
        <v>4.1485111666617197E-2</v>
      </c>
    </row>
    <row r="39329" spans="1:6" x14ac:dyDescent="0.25">
      <c r="A39329" s="1" t="str">
        <f t="shared" si="1414"/>
        <v>49660</v>
      </c>
      <c r="B39329" s="1" t="str">
        <f>"44484"</f>
        <v>44484</v>
      </c>
      <c r="C39329" s="2">
        <v>4.06903268012727E-2</v>
      </c>
      <c r="D39329" s="2">
        <v>3.8627908988666797E-2</v>
      </c>
      <c r="E39329" s="2">
        <v>2.8578896924283299E-2</v>
      </c>
      <c r="F39329" s="2">
        <v>4.0075487357843602E-2</v>
      </c>
    </row>
    <row r="39330" spans="1:6" x14ac:dyDescent="0.25">
      <c r="A39330" s="1" t="str">
        <f t="shared" si="1414"/>
        <v>49660</v>
      </c>
      <c r="B39330" s="1" t="str">
        <f>"44483"</f>
        <v>44483</v>
      </c>
      <c r="C39330" s="2">
        <v>4.7414433970680001E-2</v>
      </c>
      <c r="D39330" s="2">
        <v>4.9961069296651901E-2</v>
      </c>
      <c r="E39330" s="2">
        <v>6.2037117713688202E-2</v>
      </c>
      <c r="F39330" s="2">
        <v>4.8161066044851E-2</v>
      </c>
    </row>
    <row r="39331" spans="1:6" x14ac:dyDescent="0.25">
      <c r="A39331" s="1" t="str">
        <f t="shared" si="1414"/>
        <v>49660</v>
      </c>
      <c r="B39331" s="1" t="str">
        <f>"44491"</f>
        <v>44491</v>
      </c>
      <c r="C39331" s="2">
        <v>3.9326176811680302E-3</v>
      </c>
      <c r="D39331" s="2">
        <v>2.16281685266891E-4</v>
      </c>
      <c r="E39331" s="2">
        <v>2.6139234991722502E-4</v>
      </c>
      <c r="F39331" s="2">
        <v>3.5108867129734801E-3</v>
      </c>
    </row>
    <row r="39332" spans="1:6" x14ac:dyDescent="0.25">
      <c r="A39332" s="1" t="str">
        <f t="shared" si="1414"/>
        <v>49660</v>
      </c>
      <c r="B39332" s="1" t="str">
        <f>"44609"</f>
        <v>44609</v>
      </c>
      <c r="C39332" s="2">
        <v>3.3527610098426901E-3</v>
      </c>
      <c r="D39332" s="2">
        <v>1.4274591227614801E-3</v>
      </c>
      <c r="E39332" s="2">
        <v>7.84177049751677E-4</v>
      </c>
      <c r="F39332" s="2">
        <v>3.1090779146782E-3</v>
      </c>
    </row>
    <row r="39333" spans="1:6" x14ac:dyDescent="0.25">
      <c r="A39333" s="1" t="str">
        <f t="shared" si="1414"/>
        <v>49660</v>
      </c>
      <c r="B39333" s="1" t="str">
        <f>"44430"</f>
        <v>44430</v>
      </c>
      <c r="C39333" s="2">
        <v>5.9323797912515901E-3</v>
      </c>
      <c r="D39333" s="2">
        <v>2.07630417856215E-3</v>
      </c>
      <c r="E39333" s="2">
        <v>4.3565391652870898E-4</v>
      </c>
      <c r="F39333" s="2">
        <v>5.4310058064664796E-3</v>
      </c>
    </row>
    <row r="39334" spans="1:6" x14ac:dyDescent="0.25">
      <c r="A39334" s="1" t="str">
        <f t="shared" si="1414"/>
        <v>49660</v>
      </c>
      <c r="B39334" s="1" t="str">
        <f>"44452"</f>
        <v>44452</v>
      </c>
      <c r="C39334" s="2">
        <v>6.8988075767938296E-3</v>
      </c>
      <c r="D39334" s="2">
        <v>1.4317847564668199E-2</v>
      </c>
      <c r="E39334" s="2">
        <v>2.96244663239522E-3</v>
      </c>
      <c r="F39334" s="2">
        <v>7.3148962378181102E-3</v>
      </c>
    </row>
    <row r="39335" spans="1:6" x14ac:dyDescent="0.25">
      <c r="A39335" s="1" t="str">
        <f t="shared" si="1414"/>
        <v>49660</v>
      </c>
      <c r="B39335" s="1" t="str">
        <f>"44471"</f>
        <v>44471</v>
      </c>
      <c r="C39335" s="2">
        <v>1.89382675666835E-2</v>
      </c>
      <c r="D39335" s="2">
        <v>1.44476165758283E-2</v>
      </c>
      <c r="E39335" s="2">
        <v>1.42023176788359E-2</v>
      </c>
      <c r="F39335" s="2">
        <v>1.8417334426780198E-2</v>
      </c>
    </row>
    <row r="39336" spans="1:6" x14ac:dyDescent="0.25">
      <c r="A39336" s="1" t="str">
        <f t="shared" si="1414"/>
        <v>49660</v>
      </c>
      <c r="B39336" s="1" t="str">
        <f>"44451"</f>
        <v>44451</v>
      </c>
      <c r="C39336" s="2">
        <v>5.0365755746528199E-3</v>
      </c>
      <c r="D39336" s="2">
        <v>5.9261181763128204E-3</v>
      </c>
      <c r="E39336" s="2">
        <v>1.3069617495861201E-3</v>
      </c>
      <c r="F39336" s="2">
        <v>4.9633267133686997E-3</v>
      </c>
    </row>
    <row r="39337" spans="1:6" x14ac:dyDescent="0.25">
      <c r="A39337" s="1" t="str">
        <f t="shared" si="1414"/>
        <v>49660</v>
      </c>
      <c r="B39337" s="1" t="str">
        <f>"16153"</f>
        <v>16153</v>
      </c>
      <c r="C39337" s="2">
        <v>3.65012340539415E-3</v>
      </c>
      <c r="D39337" s="2">
        <v>1.51397179686824E-3</v>
      </c>
      <c r="E39337" s="2">
        <v>1.1327001829746399E-3</v>
      </c>
      <c r="F39337" s="2">
        <v>3.3923201823289699E-3</v>
      </c>
    </row>
    <row r="39338" spans="1:6" x14ac:dyDescent="0.25">
      <c r="A39338" s="1" t="str">
        <f t="shared" si="1414"/>
        <v>49660</v>
      </c>
      <c r="B39338" s="1" t="str">
        <f>"16121"</f>
        <v>16121</v>
      </c>
      <c r="C39338" s="2">
        <v>9.8129590531981295E-3</v>
      </c>
      <c r="D39338" s="2">
        <v>8.6512674106756608E-3</v>
      </c>
      <c r="E39338" s="2">
        <v>2.6139234991722502E-3</v>
      </c>
      <c r="F39338" s="2">
        <v>9.4523873041593692E-3</v>
      </c>
    </row>
    <row r="39339" spans="1:6" x14ac:dyDescent="0.25">
      <c r="A39339" s="1" t="str">
        <f t="shared" si="1414"/>
        <v>49660</v>
      </c>
      <c r="B39339" s="1" t="str">
        <f>"16154"</f>
        <v>16154</v>
      </c>
      <c r="C39339" s="2">
        <v>5.0068393350976804E-3</v>
      </c>
      <c r="D39339" s="2">
        <v>1.9465351674020201E-3</v>
      </c>
      <c r="E39339" s="2">
        <v>2.2654003659492799E-3</v>
      </c>
      <c r="F39339" s="2">
        <v>4.6702039014975601E-3</v>
      </c>
    </row>
    <row r="39340" spans="1:6" x14ac:dyDescent="0.25">
      <c r="A39340" s="1" t="str">
        <f t="shared" si="1414"/>
        <v>49660</v>
      </c>
      <c r="B39340" s="1" t="str">
        <f>"16137"</f>
        <v>16137</v>
      </c>
      <c r="C39340" s="2">
        <v>2.0607214011715998E-2</v>
      </c>
      <c r="D39340" s="2">
        <v>2.0460247426247899E-2</v>
      </c>
      <c r="E39340" s="2">
        <v>1.4289448462141601E-2</v>
      </c>
      <c r="F39340" s="2">
        <v>2.0357214608713901E-2</v>
      </c>
    </row>
    <row r="39341" spans="1:6" x14ac:dyDescent="0.25">
      <c r="A39341" s="1" t="str">
        <f t="shared" si="1414"/>
        <v>49660</v>
      </c>
      <c r="B39341" s="1" t="str">
        <f>"16110"</f>
        <v>16110</v>
      </c>
      <c r="C39341" s="2">
        <v>1.3753010794254899E-4</v>
      </c>
      <c r="D39341" s="2">
        <v>0</v>
      </c>
      <c r="E39341" s="2">
        <v>0</v>
      </c>
      <c r="F39341" s="2">
        <v>1.21860045384633E-4</v>
      </c>
    </row>
    <row r="39342" spans="1:6" x14ac:dyDescent="0.25">
      <c r="A39342" s="1" t="str">
        <f t="shared" si="1414"/>
        <v>49660</v>
      </c>
      <c r="B39342" s="1" t="str">
        <f>"44601"</f>
        <v>44601</v>
      </c>
      <c r="C39342" s="2">
        <v>2.5350144220761799E-3</v>
      </c>
      <c r="D39342" s="2">
        <v>2.5953802232026898E-3</v>
      </c>
      <c r="E39342" s="2">
        <v>1.7426156661148301E-4</v>
      </c>
      <c r="F39342" s="2">
        <v>2.4503749666531598E-3</v>
      </c>
    </row>
    <row r="39343" spans="1:6" x14ac:dyDescent="0.25">
      <c r="A39343" s="1" t="str">
        <f t="shared" si="1414"/>
        <v>49660</v>
      </c>
      <c r="B39343" s="1" t="str">
        <f>"44506"</f>
        <v>44506</v>
      </c>
      <c r="C39343" s="2">
        <v>4.69460881976865E-3</v>
      </c>
      <c r="D39343" s="2">
        <v>5.36378579461891E-3</v>
      </c>
      <c r="E39343" s="2">
        <v>1.65548488280909E-3</v>
      </c>
      <c r="F39343" s="2">
        <v>4.6306817246160497E-3</v>
      </c>
    </row>
    <row r="39344" spans="1:6" x14ac:dyDescent="0.25">
      <c r="A39344" s="1" t="str">
        <f t="shared" si="1414"/>
        <v>49660</v>
      </c>
      <c r="B39344" s="1" t="str">
        <f>"44507"</f>
        <v>44507</v>
      </c>
      <c r="C39344" s="2">
        <v>1.1043295964792201E-2</v>
      </c>
      <c r="D39344" s="2">
        <v>1.39285405311878E-2</v>
      </c>
      <c r="E39344" s="2">
        <v>6.4476779646248997E-3</v>
      </c>
      <c r="F39344" s="2">
        <v>1.1089264130001599E-2</v>
      </c>
    </row>
    <row r="39345" spans="1:6" x14ac:dyDescent="0.25">
      <c r="A39345" s="1" t="str">
        <f t="shared" si="1414"/>
        <v>49660</v>
      </c>
      <c r="B39345" s="1" t="str">
        <f>"44672"</f>
        <v>44672</v>
      </c>
      <c r="C39345" s="2">
        <v>9.8241101430313095E-3</v>
      </c>
      <c r="D39345" s="2">
        <v>6.4884505580067404E-3</v>
      </c>
      <c r="E39345" s="2">
        <v>4.7921930818157999E-3</v>
      </c>
      <c r="F39345" s="2">
        <v>9.3799299798766195E-3</v>
      </c>
    </row>
    <row r="39346" spans="1:6" x14ac:dyDescent="0.25">
      <c r="A39346" s="1" t="str">
        <f t="shared" si="1414"/>
        <v>49660</v>
      </c>
      <c r="B39346" s="1" t="str">
        <f>"44504"</f>
        <v>44504</v>
      </c>
      <c r="C39346" s="2">
        <v>8.6941330399357593E-3</v>
      </c>
      <c r="D39346" s="2">
        <v>6.31542520979323E-3</v>
      </c>
      <c r="E39346" s="2">
        <v>1.8297464494205801E-2</v>
      </c>
      <c r="F39346" s="2">
        <v>8.8760222246374604E-3</v>
      </c>
    </row>
    <row r="39347" spans="1:6" x14ac:dyDescent="0.25">
      <c r="A39347" s="1" t="str">
        <f t="shared" si="1414"/>
        <v>49660</v>
      </c>
      <c r="B39347" s="1" t="str">
        <f>"44420"</f>
        <v>44420</v>
      </c>
      <c r="C39347" s="2">
        <v>2.85579410627732E-2</v>
      </c>
      <c r="D39347" s="2">
        <v>2.8851976814603299E-2</v>
      </c>
      <c r="E39347" s="2">
        <v>2.5964973425111001E-2</v>
      </c>
      <c r="F39347" s="2">
        <v>2.8482315472602798E-2</v>
      </c>
    </row>
    <row r="39348" spans="1:6" x14ac:dyDescent="0.25">
      <c r="A39348" s="1" t="str">
        <f t="shared" si="1414"/>
        <v>49660</v>
      </c>
      <c r="B39348" s="1" t="str">
        <f>"44444"</f>
        <v>44444</v>
      </c>
      <c r="C39348" s="2">
        <v>1.6559368402271801E-2</v>
      </c>
      <c r="D39348" s="2">
        <v>1.2803875767799899E-2</v>
      </c>
      <c r="E39348" s="2">
        <v>3.2848305306264702E-2</v>
      </c>
      <c r="F39348" s="2">
        <v>1.6889143587362099E-2</v>
      </c>
    </row>
    <row r="39349" spans="1:6" x14ac:dyDescent="0.25">
      <c r="A39349" s="1" t="str">
        <f t="shared" si="1414"/>
        <v>49660</v>
      </c>
      <c r="B39349" s="1" t="str">
        <f>"44449"</f>
        <v>44449</v>
      </c>
      <c r="C39349" s="2">
        <v>1.03333432454131E-3</v>
      </c>
      <c r="D39349" s="2">
        <v>4.75819707587161E-4</v>
      </c>
      <c r="E39349" s="2">
        <v>8.7130783305741898E-5</v>
      </c>
      <c r="F39349" s="2">
        <v>9.5511927463631297E-4</v>
      </c>
    </row>
    <row r="39350" spans="1:6" x14ac:dyDescent="0.25">
      <c r="A39350" s="1" t="str">
        <f t="shared" si="1414"/>
        <v>49660</v>
      </c>
      <c r="B39350" s="1" t="str">
        <f>"16133"</f>
        <v>16133</v>
      </c>
      <c r="C39350" s="2">
        <v>2.6093550209640398E-3</v>
      </c>
      <c r="D39350" s="2">
        <v>1.55722813392161E-3</v>
      </c>
      <c r="E39350" s="2">
        <v>6.0991548314019305E-4</v>
      </c>
      <c r="F39350" s="2">
        <v>2.4536684813932798E-3</v>
      </c>
    </row>
    <row r="39351" spans="1:6" x14ac:dyDescent="0.25">
      <c r="A39351" s="1" t="str">
        <f t="shared" si="1414"/>
        <v>49660</v>
      </c>
      <c r="B39351" s="1" t="str">
        <f>"44619"</f>
        <v>44619</v>
      </c>
      <c r="C39351" s="2">
        <v>0</v>
      </c>
      <c r="D39351" s="2">
        <v>0</v>
      </c>
      <c r="E39351" s="2">
        <v>8.7130783305741898E-5</v>
      </c>
      <c r="F39351" s="2">
        <v>3.2935147401252101E-6</v>
      </c>
    </row>
    <row r="39352" spans="1:6" x14ac:dyDescent="0.25">
      <c r="A39352" s="1" t="str">
        <f t="shared" si="1414"/>
        <v>49660</v>
      </c>
      <c r="B39352" s="1" t="str">
        <f>"16113"</f>
        <v>16113</v>
      </c>
      <c r="C39352" s="2">
        <v>0</v>
      </c>
      <c r="D39352" s="2">
        <v>0</v>
      </c>
      <c r="E39352" s="2">
        <v>1.7426156661148301E-4</v>
      </c>
      <c r="F39352" s="2">
        <v>6.5870294802504304E-6</v>
      </c>
    </row>
    <row r="39353" spans="1:6" x14ac:dyDescent="0.25">
      <c r="A39353" s="1" t="str">
        <f t="shared" si="1414"/>
        <v>49660</v>
      </c>
      <c r="B39353" s="1" t="str">
        <f>"44231"</f>
        <v>44231</v>
      </c>
      <c r="C39353" s="2">
        <v>2.9736239555145799E-5</v>
      </c>
      <c r="D39353" s="2">
        <v>0</v>
      </c>
      <c r="E39353" s="2">
        <v>0</v>
      </c>
      <c r="F39353" s="2">
        <v>2.6348117921001701E-5</v>
      </c>
    </row>
    <row r="39354" spans="1:6" x14ac:dyDescent="0.25">
      <c r="A39354" s="1" t="str">
        <f t="shared" si="1414"/>
        <v>49660</v>
      </c>
      <c r="B39354" s="1" t="str">
        <f>"44424"</f>
        <v>44424</v>
      </c>
      <c r="C39354" s="2">
        <v>7.4340598887864598E-6</v>
      </c>
      <c r="D39354" s="2">
        <v>0</v>
      </c>
      <c r="E39354" s="2">
        <v>8.7130783305741898E-5</v>
      </c>
      <c r="F39354" s="2">
        <v>9.8805442203756502E-6</v>
      </c>
    </row>
    <row r="39355" spans="1:6" x14ac:dyDescent="0.25">
      <c r="A39355" s="1" t="str">
        <f t="shared" si="1414"/>
        <v>49660</v>
      </c>
      <c r="B39355" s="1" t="str">
        <f>"44288"</f>
        <v>44288</v>
      </c>
      <c r="C39355" s="2">
        <v>1.1522792827619001E-4</v>
      </c>
      <c r="D39355" s="2">
        <v>4.3256337053378298E-5</v>
      </c>
      <c r="E39355" s="2">
        <v>0</v>
      </c>
      <c r="F39355" s="2">
        <v>1.0539247168400699E-4</v>
      </c>
    </row>
    <row r="39356" spans="1:6" x14ac:dyDescent="0.25">
      <c r="A39356" s="1" t="str">
        <f t="shared" si="1414"/>
        <v>49660</v>
      </c>
      <c r="B39356" s="1" t="str">
        <f>"44509"</f>
        <v>44509</v>
      </c>
      <c r="C39356" s="2">
        <v>2.09454637366558E-2</v>
      </c>
      <c r="D39356" s="2">
        <v>2.17146812007959E-2</v>
      </c>
      <c r="E39356" s="2">
        <v>1.09784786965234E-2</v>
      </c>
      <c r="F39356" s="2">
        <v>2.06272828174042E-2</v>
      </c>
    </row>
    <row r="39357" spans="1:6" x14ac:dyDescent="0.25">
      <c r="A39357" s="1" t="str">
        <f t="shared" ref="A39357:A39388" si="1415">"49660"</f>
        <v>49660</v>
      </c>
      <c r="B39357" s="1" t="str">
        <f>"44510"</f>
        <v>44510</v>
      </c>
      <c r="C39357" s="2">
        <v>4.3935293942728004E-3</v>
      </c>
      <c r="D39357" s="2">
        <v>4.23912103123107E-3</v>
      </c>
      <c r="E39357" s="2">
        <v>1.65548488280909E-3</v>
      </c>
      <c r="F39357" s="2">
        <v>4.2782756474226604E-3</v>
      </c>
    </row>
    <row r="39358" spans="1:6" x14ac:dyDescent="0.25">
      <c r="A39358" s="1" t="str">
        <f t="shared" si="1415"/>
        <v>49660</v>
      </c>
      <c r="B39358" s="1" t="str">
        <f>"44403"</f>
        <v>44403</v>
      </c>
      <c r="C39358" s="2">
        <v>7.2482083915667997E-3</v>
      </c>
      <c r="D39358" s="2">
        <v>5.2772731205121496E-3</v>
      </c>
      <c r="E39358" s="2">
        <v>2.5267927158665101E-3</v>
      </c>
      <c r="F39358" s="2">
        <v>6.9196744690030801E-3</v>
      </c>
    </row>
    <row r="39359" spans="1:6" x14ac:dyDescent="0.25">
      <c r="A39359" s="1" t="str">
        <f t="shared" si="1415"/>
        <v>49660</v>
      </c>
      <c r="B39359" s="1" t="str">
        <f>"44436"</f>
        <v>44436</v>
      </c>
      <c r="C39359" s="2">
        <v>6.6163133010199498E-3</v>
      </c>
      <c r="D39359" s="2">
        <v>4.8879660870317504E-3</v>
      </c>
      <c r="E39359" s="2">
        <v>2.1782695826435398E-3</v>
      </c>
      <c r="F39359" s="2">
        <v>6.3169612715601696E-3</v>
      </c>
    </row>
    <row r="39360" spans="1:6" x14ac:dyDescent="0.25">
      <c r="A39360" s="1" t="str">
        <f t="shared" si="1415"/>
        <v>49660</v>
      </c>
      <c r="B39360" s="1" t="str">
        <f>"16146"</f>
        <v>16146</v>
      </c>
      <c r="C39360" s="2">
        <v>2.9531802908204199E-2</v>
      </c>
      <c r="D39360" s="2">
        <v>3.31776105199411E-2</v>
      </c>
      <c r="E39360" s="2">
        <v>5.3759693299642697E-2</v>
      </c>
      <c r="F39360" s="2">
        <v>3.0725199010628101E-2</v>
      </c>
    </row>
    <row r="39361" spans="1:6" x14ac:dyDescent="0.25">
      <c r="A39361" s="1" t="str">
        <f t="shared" si="1415"/>
        <v>49660</v>
      </c>
      <c r="B39361" s="1" t="str">
        <f>"16150"</f>
        <v>16150</v>
      </c>
      <c r="C39361" s="2">
        <v>1.27419786493799E-2</v>
      </c>
      <c r="D39361" s="2">
        <v>7.8293970066614701E-3</v>
      </c>
      <c r="E39361" s="2">
        <v>1.01943016467718E-2</v>
      </c>
      <c r="F39361" s="2">
        <v>1.2271635921706501E-2</v>
      </c>
    </row>
    <row r="39362" spans="1:6" x14ac:dyDescent="0.25">
      <c r="A39362" s="1" t="str">
        <f t="shared" si="1415"/>
        <v>49660</v>
      </c>
      <c r="B39362" s="1" t="str">
        <f>"16127"</f>
        <v>16127</v>
      </c>
      <c r="C39362" s="2">
        <v>2.1681435665645701E-2</v>
      </c>
      <c r="D39362" s="2">
        <v>2.2796089627130301E-2</v>
      </c>
      <c r="E39362" s="2">
        <v>2.7968981441143102E-2</v>
      </c>
      <c r="F39362" s="2">
        <v>2.2003971978776501E-2</v>
      </c>
    </row>
    <row r="39363" spans="1:6" x14ac:dyDescent="0.25">
      <c r="A39363" s="1" t="str">
        <f t="shared" si="1415"/>
        <v>49660</v>
      </c>
      <c r="B39363" s="1" t="str">
        <f>"16130"</f>
        <v>16130</v>
      </c>
      <c r="C39363" s="2">
        <v>3.3490439798983E-3</v>
      </c>
      <c r="D39363" s="2">
        <v>1.55722813392161E-3</v>
      </c>
      <c r="E39363" s="2">
        <v>1.8297464494205799E-3</v>
      </c>
      <c r="F39363" s="2">
        <v>3.15518712103996E-3</v>
      </c>
    </row>
    <row r="39364" spans="1:6" x14ac:dyDescent="0.25">
      <c r="A39364" s="1" t="str">
        <f t="shared" si="1415"/>
        <v>49660</v>
      </c>
      <c r="B39364" s="1" t="str">
        <f>"16151"</f>
        <v>16151</v>
      </c>
      <c r="C39364" s="2">
        <v>3.7170299443932299E-6</v>
      </c>
      <c r="D39364" s="2">
        <v>0</v>
      </c>
      <c r="E39364" s="2">
        <v>8.7130783305741898E-5</v>
      </c>
      <c r="F39364" s="2">
        <v>6.5870294802504304E-6</v>
      </c>
    </row>
    <row r="39365" spans="1:6" x14ac:dyDescent="0.25">
      <c r="A39365" s="1" t="str">
        <f t="shared" si="1415"/>
        <v>49660</v>
      </c>
      <c r="B39365" s="1" t="str">
        <f>"44404"</f>
        <v>44404</v>
      </c>
      <c r="C39365" s="2">
        <v>2.3417288649677302E-3</v>
      </c>
      <c r="D39365" s="2">
        <v>3.8930703348040397E-4</v>
      </c>
      <c r="E39365" s="2">
        <v>2.6139234991722502E-4</v>
      </c>
      <c r="F39365" s="2">
        <v>2.1144364631603902E-3</v>
      </c>
    </row>
    <row r="39366" spans="1:6" x14ac:dyDescent="0.25">
      <c r="A39366" s="1" t="str">
        <f t="shared" si="1415"/>
        <v>49660</v>
      </c>
      <c r="B39366" s="1" t="str">
        <f>"44511"</f>
        <v>44511</v>
      </c>
      <c r="C39366" s="2">
        <v>3.79508757322548E-2</v>
      </c>
      <c r="D39366" s="2">
        <v>1.5442512328055999E-2</v>
      </c>
      <c r="E39366" s="2">
        <v>2.2218349742964098E-2</v>
      </c>
      <c r="F39366" s="2">
        <v>3.5642416517635098E-2</v>
      </c>
    </row>
    <row r="39367" spans="1:6" x14ac:dyDescent="0.25">
      <c r="A39367" s="1" t="str">
        <f t="shared" si="1415"/>
        <v>49660</v>
      </c>
      <c r="B39367" s="1" t="str">
        <f>"44501"</f>
        <v>44501</v>
      </c>
      <c r="C39367" s="2">
        <v>5.0440096345416097E-3</v>
      </c>
      <c r="D39367" s="2">
        <v>1.54857686651094E-2</v>
      </c>
      <c r="E39367" s="2">
        <v>8.7130783305741898E-5</v>
      </c>
      <c r="F39367" s="2">
        <v>5.6516712940548703E-3</v>
      </c>
    </row>
    <row r="39368" spans="1:6" x14ac:dyDescent="0.25">
      <c r="A39368" s="1" t="str">
        <f t="shared" si="1415"/>
        <v>49660</v>
      </c>
      <c r="B39368" s="1" t="str">
        <f>"44440"</f>
        <v>44440</v>
      </c>
      <c r="C39368" s="2">
        <v>8.1848999375538894E-3</v>
      </c>
      <c r="D39368" s="2">
        <v>5.6665801539925497E-3</v>
      </c>
      <c r="E39368" s="2">
        <v>6.3605471813191596E-3</v>
      </c>
      <c r="F39368" s="2">
        <v>7.9241964647412694E-3</v>
      </c>
    </row>
    <row r="39369" spans="1:6" x14ac:dyDescent="0.25">
      <c r="A39369" s="1" t="str">
        <f t="shared" si="1415"/>
        <v>49660</v>
      </c>
      <c r="B39369" s="1" t="str">
        <f>"44410"</f>
        <v>44410</v>
      </c>
      <c r="C39369" s="2">
        <v>2.96544648963692E-2</v>
      </c>
      <c r="D39369" s="2">
        <v>1.9984427718660699E-2</v>
      </c>
      <c r="E39369" s="2">
        <v>5.1320031367081902E-2</v>
      </c>
      <c r="F39369" s="2">
        <v>2.97371445885906E-2</v>
      </c>
    </row>
    <row r="39370" spans="1:6" x14ac:dyDescent="0.25">
      <c r="A39370" s="1" t="str">
        <f t="shared" si="1415"/>
        <v>49660</v>
      </c>
      <c r="B39370" s="1" t="str">
        <f>"16125"</f>
        <v>16125</v>
      </c>
      <c r="C39370" s="2">
        <v>3.0059621160308001E-2</v>
      </c>
      <c r="D39370" s="2">
        <v>2.6516134613720901E-2</v>
      </c>
      <c r="E39370" s="2">
        <v>2.2828265226104299E-2</v>
      </c>
      <c r="F39370" s="2">
        <v>2.9516479101002201E-2</v>
      </c>
    </row>
    <row r="39371" spans="1:6" x14ac:dyDescent="0.25">
      <c r="A39371" s="1" t="str">
        <f t="shared" si="1415"/>
        <v>49660</v>
      </c>
      <c r="B39371" s="1" t="str">
        <f>"16134"</f>
        <v>16134</v>
      </c>
      <c r="C39371" s="2">
        <v>2.5015611525766399E-3</v>
      </c>
      <c r="D39371" s="2">
        <v>1.03815208928107E-3</v>
      </c>
      <c r="E39371" s="2">
        <v>1.21983096628038E-3</v>
      </c>
      <c r="F39371" s="2">
        <v>2.3416889802290301E-3</v>
      </c>
    </row>
    <row r="39372" spans="1:6" x14ac:dyDescent="0.25">
      <c r="A39372" s="1" t="str">
        <f t="shared" si="1415"/>
        <v>49660</v>
      </c>
      <c r="B39372" s="1" t="str">
        <f>"44416"</f>
        <v>44416</v>
      </c>
      <c r="C39372" s="2">
        <v>0</v>
      </c>
      <c r="D39372" s="2">
        <v>0</v>
      </c>
      <c r="E39372" s="2">
        <v>8.7130783305741898E-5</v>
      </c>
      <c r="F39372" s="2">
        <v>3.2935147401252101E-6</v>
      </c>
    </row>
    <row r="39373" spans="1:6" x14ac:dyDescent="0.25">
      <c r="A39373" s="1" t="str">
        <f t="shared" si="1415"/>
        <v>49660</v>
      </c>
      <c r="B39373" s="1" t="str">
        <f>"44439"</f>
        <v>44439</v>
      </c>
      <c r="C39373" s="2">
        <v>0</v>
      </c>
      <c r="D39373" s="2">
        <v>0</v>
      </c>
      <c r="E39373" s="2">
        <v>8.7130783305741898E-5</v>
      </c>
      <c r="F39373" s="2">
        <v>3.2935147401252101E-6</v>
      </c>
    </row>
    <row r="39374" spans="1:6" x14ac:dyDescent="0.25">
      <c r="A39374" s="1" t="str">
        <f t="shared" si="1415"/>
        <v>49660</v>
      </c>
      <c r="B39374" s="1" t="str">
        <f>"44412"</f>
        <v>44412</v>
      </c>
      <c r="C39374" s="2">
        <v>8.7721906687680199E-4</v>
      </c>
      <c r="D39374" s="2">
        <v>1.68699714508175E-3</v>
      </c>
      <c r="E39374" s="2">
        <v>1.7426156661148301E-4</v>
      </c>
      <c r="F39374" s="2">
        <v>9.1230358301468497E-4</v>
      </c>
    </row>
    <row r="39375" spans="1:6" x14ac:dyDescent="0.25">
      <c r="A39375" s="1" t="str">
        <f t="shared" si="1415"/>
        <v>49660</v>
      </c>
      <c r="B39375" s="1" t="str">
        <f>"16342"</f>
        <v>16342</v>
      </c>
      <c r="C39375" s="2">
        <v>8.9208718665437494E-5</v>
      </c>
      <c r="D39375" s="2">
        <v>0</v>
      </c>
      <c r="E39375" s="2">
        <v>0</v>
      </c>
      <c r="F39375" s="2">
        <v>7.9044353763005202E-5</v>
      </c>
    </row>
    <row r="39376" spans="1:6" x14ac:dyDescent="0.25">
      <c r="A39376" s="1" t="str">
        <f t="shared" si="1415"/>
        <v>49660</v>
      </c>
      <c r="B39376" s="1" t="str">
        <f>"16311"</f>
        <v>16311</v>
      </c>
      <c r="C39376" s="2">
        <v>9.3297451604270102E-4</v>
      </c>
      <c r="D39376" s="2">
        <v>2.5953802232026903E-4</v>
      </c>
      <c r="E39376" s="2">
        <v>2.6139234991722502E-4</v>
      </c>
      <c r="F39376" s="2">
        <v>8.5631383243255695E-4</v>
      </c>
    </row>
    <row r="39377" spans="1:6" x14ac:dyDescent="0.25">
      <c r="A39377" s="1" t="str">
        <f t="shared" si="1415"/>
        <v>49660</v>
      </c>
      <c r="B39377" s="1" t="str">
        <f>"16038"</f>
        <v>16038</v>
      </c>
      <c r="C39377" s="2">
        <v>3.7170299443932299E-6</v>
      </c>
      <c r="D39377" s="2">
        <v>0</v>
      </c>
      <c r="E39377" s="2">
        <v>0</v>
      </c>
      <c r="F39377" s="2">
        <v>3.2935147401252101E-6</v>
      </c>
    </row>
    <row r="39378" spans="1:6" x14ac:dyDescent="0.25">
      <c r="A39378" s="1" t="str">
        <f t="shared" si="1415"/>
        <v>49660</v>
      </c>
      <c r="B39378" s="1" t="str">
        <f>"16362"</f>
        <v>16362</v>
      </c>
      <c r="C39378" s="2">
        <v>1.6726634749769499E-4</v>
      </c>
      <c r="D39378" s="2">
        <v>0</v>
      </c>
      <c r="E39378" s="2">
        <v>0</v>
      </c>
      <c r="F39378" s="2">
        <v>1.48208163305634E-4</v>
      </c>
    </row>
    <row r="39379" spans="1:6" x14ac:dyDescent="0.25">
      <c r="A39379" s="1" t="str">
        <f t="shared" si="1415"/>
        <v>49660</v>
      </c>
      <c r="B39379" s="1" t="str">
        <f>"44076"</f>
        <v>44076</v>
      </c>
      <c r="C39379" s="2">
        <v>9.0695530643194805E-4</v>
      </c>
      <c r="D39379" s="2">
        <v>0</v>
      </c>
      <c r="E39379" s="2">
        <v>1.7426156661148301E-4</v>
      </c>
      <c r="F39379" s="2">
        <v>8.1020462607080297E-4</v>
      </c>
    </row>
    <row r="39380" spans="1:6" x14ac:dyDescent="0.25">
      <c r="A39380" s="1" t="str">
        <f t="shared" si="1415"/>
        <v>49660</v>
      </c>
      <c r="B39380" s="1" t="str">
        <f>"44512"</f>
        <v>44512</v>
      </c>
      <c r="C39380" s="2">
        <v>6.2119004430699599E-2</v>
      </c>
      <c r="D39380" s="2">
        <v>0.107665022925858</v>
      </c>
      <c r="E39380" s="2">
        <v>0.163631611048183</v>
      </c>
      <c r="F39380" s="2">
        <v>6.9423997207099505E-2</v>
      </c>
    </row>
    <row r="39381" spans="1:6" x14ac:dyDescent="0.25">
      <c r="A39381" s="1" t="str">
        <f t="shared" si="1415"/>
        <v>49660</v>
      </c>
      <c r="B39381" s="1" t="str">
        <f>"44503"</f>
        <v>44503</v>
      </c>
      <c r="C39381" s="2">
        <v>2.2004817270807899E-3</v>
      </c>
      <c r="D39381" s="2">
        <v>2.8765464140496501E-2</v>
      </c>
      <c r="E39381" s="2">
        <v>7.23185501437657E-3</v>
      </c>
      <c r="F39381" s="2">
        <v>4.4133097517677902E-3</v>
      </c>
    </row>
    <row r="39382" spans="1:6" x14ac:dyDescent="0.25">
      <c r="A39382" s="1" t="str">
        <f t="shared" si="1415"/>
        <v>49660</v>
      </c>
      <c r="B39382" s="1" t="str">
        <f>"44406"</f>
        <v>44406</v>
      </c>
      <c r="C39382" s="2">
        <v>3.8991644116685001E-2</v>
      </c>
      <c r="D39382" s="2">
        <v>4.4337745479712698E-2</v>
      </c>
      <c r="E39382" s="2">
        <v>4.8706107867909701E-2</v>
      </c>
      <c r="F39382" s="2">
        <v>3.97658969722718E-2</v>
      </c>
    </row>
    <row r="39383" spans="1:6" x14ac:dyDescent="0.25">
      <c r="A39383" s="1" t="str">
        <f t="shared" si="1415"/>
        <v>49660</v>
      </c>
      <c r="B39383" s="1" t="str">
        <f>"44442"</f>
        <v>44442</v>
      </c>
      <c r="C39383" s="2">
        <v>7.0363376847363797E-3</v>
      </c>
      <c r="D39383" s="2">
        <v>3.4172506272168801E-3</v>
      </c>
      <c r="E39383" s="2">
        <v>6.1862856147076699E-3</v>
      </c>
      <c r="F39383" s="2">
        <v>6.7286506140758198E-3</v>
      </c>
    </row>
    <row r="39384" spans="1:6" x14ac:dyDescent="0.25">
      <c r="A39384" s="1" t="str">
        <f t="shared" si="1415"/>
        <v>49660</v>
      </c>
      <c r="B39384" s="1" t="str">
        <f>"44428"</f>
        <v>44428</v>
      </c>
      <c r="C39384" s="2">
        <v>5.3227868803711002E-3</v>
      </c>
      <c r="D39384" s="2">
        <v>3.9795830089108001E-3</v>
      </c>
      <c r="E39384" s="2">
        <v>2.3525311492550299E-3</v>
      </c>
      <c r="F39384" s="2">
        <v>5.1082413619342104E-3</v>
      </c>
    </row>
    <row r="39385" spans="1:6" x14ac:dyDescent="0.25">
      <c r="A39385" s="1" t="str">
        <f t="shared" si="1415"/>
        <v>49660</v>
      </c>
      <c r="B39385" s="1" t="str">
        <f>"44429"</f>
        <v>44429</v>
      </c>
      <c r="C39385" s="2">
        <v>5.5123554075351602E-3</v>
      </c>
      <c r="D39385" s="2">
        <v>2.4656112120425601E-3</v>
      </c>
      <c r="E39385" s="2">
        <v>1.3069617495861201E-3</v>
      </c>
      <c r="F39385" s="2">
        <v>5.1214154208947104E-3</v>
      </c>
    </row>
    <row r="39386" spans="1:6" x14ac:dyDescent="0.25">
      <c r="A39386" s="1" t="str">
        <f t="shared" si="1415"/>
        <v>49660</v>
      </c>
      <c r="B39386" s="1" t="str">
        <f>"44443"</f>
        <v>44443</v>
      </c>
      <c r="C39386" s="2">
        <v>2.86954711707157E-3</v>
      </c>
      <c r="D39386" s="2">
        <v>1.8167661562418799E-3</v>
      </c>
      <c r="E39386" s="2">
        <v>1.3069617495861201E-3</v>
      </c>
      <c r="F39386" s="2">
        <v>2.7303237195637998E-3</v>
      </c>
    </row>
    <row r="39387" spans="1:6" x14ac:dyDescent="0.25">
      <c r="A39387" s="1" t="str">
        <f t="shared" si="1415"/>
        <v>49660</v>
      </c>
      <c r="B39387" s="1" t="str">
        <f>"16148"</f>
        <v>16148</v>
      </c>
      <c r="C39387" s="2">
        <v>3.2445954384608497E-2</v>
      </c>
      <c r="D39387" s="2">
        <v>4.3299593390431601E-2</v>
      </c>
      <c r="E39387" s="2">
        <v>2.6749150474862701E-2</v>
      </c>
      <c r="F39387" s="2">
        <v>3.3057007446636803E-2</v>
      </c>
    </row>
    <row r="39388" spans="1:6" x14ac:dyDescent="0.25">
      <c r="A39388" s="1" t="str">
        <f t="shared" si="1415"/>
        <v>49660</v>
      </c>
      <c r="B39388" s="1" t="str">
        <f>"16156"</f>
        <v>16156</v>
      </c>
      <c r="C39388" s="2">
        <v>1.3753010794254901E-3</v>
      </c>
      <c r="D39388" s="2">
        <v>7.3535772990743101E-4</v>
      </c>
      <c r="E39388" s="2">
        <v>1.21983096628038E-3</v>
      </c>
      <c r="F39388" s="2">
        <v>1.3206994107902101E-3</v>
      </c>
    </row>
    <row r="39389" spans="1:6" x14ac:dyDescent="0.25">
      <c r="A39389" s="1" t="str">
        <f t="shared" ref="A39389:A39421" si="1416">"49660"</f>
        <v>49660</v>
      </c>
      <c r="B39389" s="1" t="str">
        <f>"16145"</f>
        <v>16145</v>
      </c>
      <c r="C39389" s="2">
        <v>4.2336971066638902E-3</v>
      </c>
      <c r="D39389" s="2">
        <v>1.16792110044121E-3</v>
      </c>
      <c r="E39389" s="2">
        <v>2.3525311492550299E-3</v>
      </c>
      <c r="F39389" s="2">
        <v>3.9291630849693799E-3</v>
      </c>
    </row>
    <row r="39390" spans="1:6" x14ac:dyDescent="0.25">
      <c r="A39390" s="1" t="str">
        <f t="shared" si="1416"/>
        <v>49660</v>
      </c>
      <c r="B39390" s="1" t="str">
        <f>"16143"</f>
        <v>16143</v>
      </c>
      <c r="C39390" s="2">
        <v>9.5899372565345301E-4</v>
      </c>
      <c r="D39390" s="2">
        <v>1.73025348213513E-4</v>
      </c>
      <c r="E39390" s="2">
        <v>3.48523133222967E-4</v>
      </c>
      <c r="F39390" s="2">
        <v>8.7607492087330796E-4</v>
      </c>
    </row>
    <row r="39391" spans="1:6" x14ac:dyDescent="0.25">
      <c r="A39391" s="1" t="str">
        <f t="shared" si="1416"/>
        <v>49660</v>
      </c>
      <c r="B39391" s="1" t="str">
        <f>"44093"</f>
        <v>44093</v>
      </c>
      <c r="C39391" s="2">
        <v>2.2302179666359299E-5</v>
      </c>
      <c r="D39391" s="2">
        <v>4.3256337053378298E-5</v>
      </c>
      <c r="E39391" s="2">
        <v>0</v>
      </c>
      <c r="F39391" s="2">
        <v>2.3054603180876499E-5</v>
      </c>
    </row>
    <row r="39392" spans="1:6" x14ac:dyDescent="0.25">
      <c r="A39392" s="1" t="str">
        <f t="shared" si="1416"/>
        <v>49660</v>
      </c>
      <c r="B39392" s="1" t="str">
        <f>"16159"</f>
        <v>16159</v>
      </c>
      <c r="C39392" s="2">
        <v>7.2593594813999797E-3</v>
      </c>
      <c r="D39392" s="2">
        <v>3.67678864953715E-3</v>
      </c>
      <c r="E39392" s="2">
        <v>1.12398710464407E-2</v>
      </c>
      <c r="F39392" s="2">
        <v>7.13704644185135E-3</v>
      </c>
    </row>
    <row r="39393" spans="1:6" x14ac:dyDescent="0.25">
      <c r="A39393" s="1" t="str">
        <f t="shared" si="1416"/>
        <v>49660</v>
      </c>
      <c r="B39393" s="1" t="str">
        <f>"16314"</f>
        <v>16314</v>
      </c>
      <c r="C39393" s="2">
        <v>6.5791430015760201E-4</v>
      </c>
      <c r="D39393" s="2">
        <v>8.6512674106756595E-5</v>
      </c>
      <c r="E39393" s="2">
        <v>0</v>
      </c>
      <c r="F39393" s="2">
        <v>5.8953913848241405E-4</v>
      </c>
    </row>
    <row r="39394" spans="1:6" x14ac:dyDescent="0.25">
      <c r="A39394" s="1" t="str">
        <f t="shared" si="1416"/>
        <v>49660</v>
      </c>
      <c r="B39394" s="1" t="str">
        <f>"16124"</f>
        <v>16124</v>
      </c>
      <c r="C39394" s="2">
        <v>2.5573166017425399E-3</v>
      </c>
      <c r="D39394" s="2">
        <v>7.7861406696080903E-4</v>
      </c>
      <c r="E39394" s="2">
        <v>2.6139234991722502E-4</v>
      </c>
      <c r="F39394" s="2">
        <v>2.3351019507487801E-3</v>
      </c>
    </row>
    <row r="39395" spans="1:6" x14ac:dyDescent="0.25">
      <c r="A39395" s="1" t="str">
        <f t="shared" si="1416"/>
        <v>49660</v>
      </c>
      <c r="B39395" s="1" t="str">
        <f>"44453"</f>
        <v>44453</v>
      </c>
      <c r="C39395" s="2">
        <v>0</v>
      </c>
      <c r="D39395" s="2">
        <v>0</v>
      </c>
      <c r="E39395" s="2">
        <v>8.7130783305741898E-5</v>
      </c>
      <c r="F39395" s="2">
        <v>3.2935147401252101E-6</v>
      </c>
    </row>
    <row r="39396" spans="1:6" x14ac:dyDescent="0.25">
      <c r="A39396" s="1" t="str">
        <f t="shared" si="1416"/>
        <v>49660</v>
      </c>
      <c r="B39396" s="1" t="str">
        <f>"44422"</f>
        <v>44422</v>
      </c>
      <c r="C39396" s="2">
        <v>0</v>
      </c>
      <c r="D39396" s="2">
        <v>0</v>
      </c>
      <c r="E39396" s="2">
        <v>8.7130783305741898E-5</v>
      </c>
      <c r="F39396" s="2">
        <v>3.2935147401252101E-6</v>
      </c>
    </row>
    <row r="39397" spans="1:6" x14ac:dyDescent="0.25">
      <c r="A39397" s="1" t="str">
        <f t="shared" si="1416"/>
        <v>49660</v>
      </c>
      <c r="B39397" s="1" t="str">
        <f>"44555"</f>
        <v>44555</v>
      </c>
      <c r="C39397" s="2">
        <v>0</v>
      </c>
      <c r="D39397" s="2">
        <v>4.3256337053378298E-5</v>
      </c>
      <c r="E39397" s="2">
        <v>0</v>
      </c>
      <c r="F39397" s="2">
        <v>3.2935147401252101E-6</v>
      </c>
    </row>
    <row r="39398" spans="1:6" x14ac:dyDescent="0.25">
      <c r="A39398" s="1" t="str">
        <f t="shared" si="1416"/>
        <v>49660</v>
      </c>
      <c r="B39398" s="1" t="str">
        <f>"16161"</f>
        <v>16161</v>
      </c>
      <c r="C39398" s="2">
        <v>3.7170299443932299E-6</v>
      </c>
      <c r="D39398" s="2">
        <v>0</v>
      </c>
      <c r="E39398" s="2">
        <v>6.0991548314019305E-4</v>
      </c>
      <c r="F39398" s="2">
        <v>2.6348117921001701E-5</v>
      </c>
    </row>
    <row r="39399" spans="1:6" x14ac:dyDescent="0.25">
      <c r="A39399" s="1" t="str">
        <f t="shared" si="1416"/>
        <v>49660</v>
      </c>
      <c r="B39399" s="1" t="str">
        <f>"44485"</f>
        <v>44485</v>
      </c>
      <c r="C39399" s="2">
        <v>3.0308662166582401E-2</v>
      </c>
      <c r="D39399" s="2">
        <v>1.6523920754390499E-2</v>
      </c>
      <c r="E39399" s="2">
        <v>2.53550579419708E-2</v>
      </c>
      <c r="F39399" s="2">
        <v>2.9071854611085302E-2</v>
      </c>
    </row>
    <row r="39400" spans="1:6" x14ac:dyDescent="0.25">
      <c r="A39400" s="1" t="str">
        <f t="shared" si="1416"/>
        <v>49660</v>
      </c>
      <c r="B39400" s="1" t="str">
        <f>"44515"</f>
        <v>44515</v>
      </c>
      <c r="C39400" s="2">
        <v>5.2123910910226202E-2</v>
      </c>
      <c r="D39400" s="2">
        <v>5.6060212821178297E-2</v>
      </c>
      <c r="E39400" s="2">
        <v>6.8746188028230307E-2</v>
      </c>
      <c r="F39400" s="2">
        <v>5.3051935433936999E-2</v>
      </c>
    </row>
    <row r="39401" spans="1:6" x14ac:dyDescent="0.25">
      <c r="A39401" s="1" t="str">
        <f t="shared" si="1416"/>
        <v>49660</v>
      </c>
      <c r="B39401" s="1" t="str">
        <f>"44505"</f>
        <v>44505</v>
      </c>
      <c r="C39401" s="2">
        <v>3.2709863510660402E-2</v>
      </c>
      <c r="D39401" s="2">
        <v>4.2218184964097197E-2</v>
      </c>
      <c r="E39401" s="2">
        <v>4.5395138102291503E-2</v>
      </c>
      <c r="F39401" s="2">
        <v>3.3913321279069299E-2</v>
      </c>
    </row>
    <row r="39402" spans="1:6" x14ac:dyDescent="0.25">
      <c r="A39402" s="1" t="str">
        <f t="shared" si="1416"/>
        <v>49660</v>
      </c>
      <c r="B39402" s="1" t="str">
        <f>"44513"</f>
        <v>44513</v>
      </c>
      <c r="C39402" s="2">
        <v>2.10383894852656E-3</v>
      </c>
      <c r="D39402" s="2">
        <v>1.4836923609308701E-2</v>
      </c>
      <c r="E39402" s="2">
        <v>1.7426156661148301E-4</v>
      </c>
      <c r="F39402" s="2">
        <v>3.0003919282540698E-3</v>
      </c>
    </row>
    <row r="39403" spans="1:6" x14ac:dyDescent="0.25">
      <c r="A39403" s="1" t="str">
        <f t="shared" si="1416"/>
        <v>49660</v>
      </c>
      <c r="B39403" s="1" t="str">
        <f>"44446"</f>
        <v>44446</v>
      </c>
      <c r="C39403" s="2">
        <v>4.0686609771328298E-2</v>
      </c>
      <c r="D39403" s="2">
        <v>4.7625227095769503E-2</v>
      </c>
      <c r="E39403" s="2">
        <v>4.2955476169730701E-2</v>
      </c>
      <c r="F39403" s="2">
        <v>4.1300674841170198E-2</v>
      </c>
    </row>
    <row r="39404" spans="1:6" x14ac:dyDescent="0.25">
      <c r="A39404" s="1" t="str">
        <f t="shared" si="1416"/>
        <v>49660</v>
      </c>
      <c r="B39404" s="1" t="str">
        <f>"44481"</f>
        <v>44481</v>
      </c>
      <c r="C39404" s="2">
        <v>1.8302655446192199E-2</v>
      </c>
      <c r="D39404" s="2">
        <v>2.71649796695215E-2</v>
      </c>
      <c r="E39404" s="2">
        <v>1.0717086346606199E-2</v>
      </c>
      <c r="F39404" s="2">
        <v>1.8690696150210601E-2</v>
      </c>
    </row>
    <row r="39405" spans="1:6" x14ac:dyDescent="0.25">
      <c r="A39405" s="1" t="str">
        <f t="shared" si="1416"/>
        <v>49660</v>
      </c>
      <c r="B39405" s="1" t="str">
        <f>"44425"</f>
        <v>44425</v>
      </c>
      <c r="C39405" s="2">
        <v>2.58445092033661E-2</v>
      </c>
      <c r="D39405" s="2">
        <v>2.0114196729820899E-2</v>
      </c>
      <c r="E39405" s="2">
        <v>1.7948941360982799E-2</v>
      </c>
      <c r="F39405" s="2">
        <v>2.5109756378714598E-2</v>
      </c>
    </row>
    <row r="39406" spans="1:6" x14ac:dyDescent="0.25">
      <c r="A39406" s="1" t="str">
        <f t="shared" si="1416"/>
        <v>49660</v>
      </c>
      <c r="B39406" s="1" t="str">
        <f>"44437"</f>
        <v>44437</v>
      </c>
      <c r="C39406" s="2">
        <v>6.9582800559041301E-3</v>
      </c>
      <c r="D39406" s="2">
        <v>2.2925858638290502E-3</v>
      </c>
      <c r="E39406" s="2">
        <v>1.8297464494205799E-3</v>
      </c>
      <c r="F39406" s="2">
        <v>6.4091796842836697E-3</v>
      </c>
    </row>
    <row r="39407" spans="1:6" x14ac:dyDescent="0.25">
      <c r="A39407" s="1" t="str">
        <f t="shared" si="1416"/>
        <v>49660</v>
      </c>
      <c r="B39407" s="1" t="str">
        <f>"16057"</f>
        <v>16057</v>
      </c>
      <c r="C39407" s="2">
        <v>1.9700258705284101E-4</v>
      </c>
      <c r="D39407" s="2">
        <v>1.73025348213513E-4</v>
      </c>
      <c r="E39407" s="2">
        <v>0</v>
      </c>
      <c r="F39407" s="2">
        <v>1.87730340187137E-4</v>
      </c>
    </row>
    <row r="39408" spans="1:6" x14ac:dyDescent="0.25">
      <c r="A39408" s="1" t="str">
        <f t="shared" si="1416"/>
        <v>49660</v>
      </c>
      <c r="B39408" s="1" t="str">
        <f>"44490"</f>
        <v>44490</v>
      </c>
      <c r="C39408" s="2">
        <v>7.4712301882303898E-4</v>
      </c>
      <c r="D39408" s="2">
        <v>4.75819707587161E-4</v>
      </c>
      <c r="E39408" s="2">
        <v>1.3940925328918699E-3</v>
      </c>
      <c r="F39408" s="2">
        <v>7.5092136074855005E-4</v>
      </c>
    </row>
    <row r="39409" spans="1:6" x14ac:dyDescent="0.25">
      <c r="A39409" s="1" t="str">
        <f t="shared" si="1416"/>
        <v>49660</v>
      </c>
      <c r="B39409" s="1" t="str">
        <f>"44502"</f>
        <v>44502</v>
      </c>
      <c r="C39409" s="2">
        <v>1.7960688691307999E-2</v>
      </c>
      <c r="D39409" s="2">
        <v>2.7597543040055302E-2</v>
      </c>
      <c r="E39409" s="2">
        <v>9.4101245970201197E-3</v>
      </c>
      <c r="F39409" s="2">
        <v>1.83712252204184E-2</v>
      </c>
    </row>
    <row r="39410" spans="1:6" x14ac:dyDescent="0.25">
      <c r="A39410" s="1" t="str">
        <f t="shared" si="1416"/>
        <v>49660</v>
      </c>
      <c r="B39410" s="1" t="str">
        <f>"44438"</f>
        <v>44438</v>
      </c>
      <c r="C39410" s="2">
        <v>8.9877784055428303E-3</v>
      </c>
      <c r="D39410" s="2">
        <v>5.4935548057790402E-3</v>
      </c>
      <c r="E39410" s="2">
        <v>5.2278469983445099E-3</v>
      </c>
      <c r="F39410" s="2">
        <v>8.5796058980261904E-3</v>
      </c>
    </row>
    <row r="39411" spans="1:6" x14ac:dyDescent="0.25">
      <c r="A39411" s="1" t="str">
        <f t="shared" si="1416"/>
        <v>49660</v>
      </c>
      <c r="B39411" s="1" t="str">
        <f>"44450"</f>
        <v>44450</v>
      </c>
      <c r="C39411" s="2">
        <v>2.7766213684617398E-3</v>
      </c>
      <c r="D39411" s="2">
        <v>6.9210139285405298E-4</v>
      </c>
      <c r="E39411" s="2">
        <v>6.0991548314019305E-4</v>
      </c>
      <c r="F39411" s="2">
        <v>2.53600634989641E-3</v>
      </c>
    </row>
    <row r="39412" spans="1:6" x14ac:dyDescent="0.25">
      <c r="A39412" s="1" t="str">
        <f t="shared" si="1416"/>
        <v>49660</v>
      </c>
      <c r="B39412" s="1" t="str">
        <f>"44460"</f>
        <v>44460</v>
      </c>
      <c r="C39412" s="2">
        <v>7.5753070266734003E-3</v>
      </c>
      <c r="D39412" s="2">
        <v>5.1907604464053901E-3</v>
      </c>
      <c r="E39412" s="2">
        <v>1.48122331619761E-3</v>
      </c>
      <c r="F39412" s="2">
        <v>7.16339455977235E-3</v>
      </c>
    </row>
    <row r="39413" spans="1:6" x14ac:dyDescent="0.25">
      <c r="A39413" s="1" t="str">
        <f t="shared" si="1416"/>
        <v>49660</v>
      </c>
      <c r="B39413" s="1" t="str">
        <f>"44418"</f>
        <v>44418</v>
      </c>
      <c r="C39413" s="2">
        <v>2.3417288649677302E-3</v>
      </c>
      <c r="D39413" s="2">
        <v>3.46050696427026E-4</v>
      </c>
      <c r="E39413" s="2">
        <v>1.7426156661148301E-4</v>
      </c>
      <c r="F39413" s="2">
        <v>2.1078494336801402E-3</v>
      </c>
    </row>
    <row r="39414" spans="1:6" x14ac:dyDescent="0.25">
      <c r="A39414" s="1" t="str">
        <f t="shared" si="1416"/>
        <v>49660</v>
      </c>
      <c r="B39414" s="1" t="str">
        <f>"44417"</f>
        <v>44417</v>
      </c>
      <c r="C39414" s="2">
        <v>2.5684676915757199E-3</v>
      </c>
      <c r="D39414" s="2">
        <v>6.4884505580067398E-4</v>
      </c>
      <c r="E39414" s="2">
        <v>2.6139234991722502E-4</v>
      </c>
      <c r="F39414" s="2">
        <v>2.3351019507487801E-3</v>
      </c>
    </row>
    <row r="39415" spans="1:6" x14ac:dyDescent="0.25">
      <c r="A39415" s="1" t="str">
        <f t="shared" si="1416"/>
        <v>49660</v>
      </c>
      <c r="B39415" s="1" t="str">
        <f>"16142"</f>
        <v>16142</v>
      </c>
      <c r="C39415" s="2">
        <v>3.5534806268399202E-3</v>
      </c>
      <c r="D39415" s="2">
        <v>9.0838307812094398E-4</v>
      </c>
      <c r="E39415" s="2">
        <v>1.7426156661148301E-3</v>
      </c>
      <c r="F39415" s="2">
        <v>3.2836341959048402E-3</v>
      </c>
    </row>
    <row r="39416" spans="1:6" x14ac:dyDescent="0.25">
      <c r="A39416" s="1" t="str">
        <f t="shared" si="1416"/>
        <v>49660</v>
      </c>
      <c r="B39416" s="1" t="str">
        <f>"44405"</f>
        <v>44405</v>
      </c>
      <c r="C39416" s="2">
        <v>1.467111719052E-2</v>
      </c>
      <c r="D39416" s="2">
        <v>5.8828618392594498E-3</v>
      </c>
      <c r="E39416" s="2">
        <v>6.7090703145421199E-3</v>
      </c>
      <c r="F39416" s="2">
        <v>1.3701021318920901E-2</v>
      </c>
    </row>
    <row r="39417" spans="1:6" x14ac:dyDescent="0.25">
      <c r="A39417" s="1" t="str">
        <f t="shared" si="1416"/>
        <v>49660</v>
      </c>
      <c r="B39417" s="1" t="str">
        <f>"44470"</f>
        <v>44470</v>
      </c>
      <c r="C39417" s="2">
        <v>5.8543221624193396E-3</v>
      </c>
      <c r="D39417" s="2">
        <v>1.12466476338783E-3</v>
      </c>
      <c r="E39417" s="2">
        <v>6.0991548314019305E-4</v>
      </c>
      <c r="F39417" s="2">
        <v>5.2959717021213498E-3</v>
      </c>
    </row>
    <row r="39418" spans="1:6" x14ac:dyDescent="0.25">
      <c r="A39418" s="1" t="str">
        <f t="shared" si="1416"/>
        <v>49660</v>
      </c>
      <c r="B39418" s="1" t="str">
        <f>"44473"</f>
        <v>44473</v>
      </c>
      <c r="C39418" s="2">
        <v>7.28909572095512E-3</v>
      </c>
      <c r="D39418" s="2">
        <v>5.1907604464053901E-3</v>
      </c>
      <c r="E39418" s="2">
        <v>7.6675089309052799E-3</v>
      </c>
      <c r="F39418" s="2">
        <v>7.1436334713316004E-3</v>
      </c>
    </row>
    <row r="39419" spans="1:6" x14ac:dyDescent="0.25">
      <c r="A39419" s="1" t="str">
        <f t="shared" si="1416"/>
        <v>49660</v>
      </c>
      <c r="B39419" s="1" t="str">
        <f>"44401"</f>
        <v>44401</v>
      </c>
      <c r="C39419" s="2">
        <v>4.5682298016592798E-3</v>
      </c>
      <c r="D39419" s="2">
        <v>1.3842027857081001E-3</v>
      </c>
      <c r="E39419" s="2">
        <v>8.7130783305741904E-4</v>
      </c>
      <c r="F39419" s="2">
        <v>4.1860572346991498E-3</v>
      </c>
    </row>
    <row r="39420" spans="1:6" x14ac:dyDescent="0.25">
      <c r="A39420" s="1" t="str">
        <f t="shared" si="1416"/>
        <v>49660</v>
      </c>
      <c r="B39420" s="1" t="str">
        <f>"44408"</f>
        <v>44408</v>
      </c>
      <c r="C39420" s="2">
        <v>3.9920901602783299E-3</v>
      </c>
      <c r="D39420" s="2">
        <v>4.1526083571243096E-3</v>
      </c>
      <c r="E39420" s="2">
        <v>5.2278469983445101E-4</v>
      </c>
      <c r="F39420" s="2">
        <v>3.8731733343872498E-3</v>
      </c>
    </row>
    <row r="39421" spans="1:6" x14ac:dyDescent="0.25">
      <c r="A39421" s="1" t="str">
        <f t="shared" si="1416"/>
        <v>49660</v>
      </c>
      <c r="B39421" s="1" t="str">
        <f>"44402"</f>
        <v>44402</v>
      </c>
      <c r="C39421" s="2">
        <v>5.0700288441523599E-3</v>
      </c>
      <c r="D39421" s="2">
        <v>1.3842027857081001E-3</v>
      </c>
      <c r="E39421" s="2">
        <v>1.1327001829746399E-3</v>
      </c>
      <c r="F39421" s="2">
        <v>4.6405622688364297E-3</v>
      </c>
    </row>
    <row r="39422" spans="1:6" x14ac:dyDescent="0.25">
      <c r="A39422" s="1" t="str">
        <f t="shared" ref="A39422:A39453" si="1417">"49700"</f>
        <v>49700</v>
      </c>
      <c r="B39422" s="1" t="str">
        <f>"95957"</f>
        <v>95957</v>
      </c>
      <c r="C39422" s="2">
        <v>2.6027277750312601E-3</v>
      </c>
      <c r="D39422" s="2">
        <v>2.46218782975729E-3</v>
      </c>
      <c r="E39422" s="2">
        <v>1.0107816711590199E-3</v>
      </c>
      <c r="F39422" s="2">
        <v>2.5313839954538399E-3</v>
      </c>
    </row>
    <row r="39423" spans="1:6" x14ac:dyDescent="0.25">
      <c r="A39423" s="1" t="str">
        <f t="shared" si="1417"/>
        <v>49700</v>
      </c>
      <c r="B39423" s="1" t="str">
        <f>"95991"</f>
        <v>95991</v>
      </c>
      <c r="C39423" s="2">
        <v>0.224256259633</v>
      </c>
      <c r="D39423" s="2">
        <v>0.34892718958846197</v>
      </c>
      <c r="E39423" s="2">
        <v>0.33221024258760101</v>
      </c>
      <c r="F39423" s="2">
        <v>0.23754972361419599</v>
      </c>
    </row>
    <row r="39424" spans="1:6" x14ac:dyDescent="0.25">
      <c r="A39424" s="1" t="str">
        <f t="shared" si="1417"/>
        <v>49700</v>
      </c>
      <c r="B39424" s="1" t="str">
        <f>"95692"</f>
        <v>95692</v>
      </c>
      <c r="C39424" s="2">
        <v>2.58091720708407E-2</v>
      </c>
      <c r="D39424" s="2">
        <v>2.26873021456208E-2</v>
      </c>
      <c r="E39424" s="2">
        <v>4.1105121293800499E-2</v>
      </c>
      <c r="F39424" s="2">
        <v>2.6166244769334001E-2</v>
      </c>
    </row>
    <row r="39425" spans="1:6" x14ac:dyDescent="0.25">
      <c r="A39425" s="1" t="str">
        <f t="shared" si="1417"/>
        <v>49700</v>
      </c>
      <c r="B39425" s="1" t="str">
        <f>"95981"</f>
        <v>95981</v>
      </c>
      <c r="C39425" s="2">
        <v>0</v>
      </c>
      <c r="D39425" s="2">
        <v>1.7587055926837801E-4</v>
      </c>
      <c r="E39425" s="2">
        <v>6.7385444743935303E-4</v>
      </c>
      <c r="F39425" s="2">
        <v>3.87456733998036E-5</v>
      </c>
    </row>
    <row r="39426" spans="1:6" x14ac:dyDescent="0.25">
      <c r="A39426" s="1" t="str">
        <f t="shared" si="1417"/>
        <v>49700</v>
      </c>
      <c r="B39426" s="1" t="str">
        <f>"95914"</f>
        <v>95914</v>
      </c>
      <c r="C39426" s="2">
        <v>1.01782650420216E-4</v>
      </c>
      <c r="D39426" s="2">
        <v>0</v>
      </c>
      <c r="E39426" s="2">
        <v>0</v>
      </c>
      <c r="F39426" s="2">
        <v>9.0406571266208601E-5</v>
      </c>
    </row>
    <row r="39427" spans="1:6" x14ac:dyDescent="0.25">
      <c r="A39427" s="1" t="str">
        <f t="shared" si="1417"/>
        <v>49700</v>
      </c>
      <c r="B39427" s="1" t="str">
        <f>"95626"</f>
        <v>95626</v>
      </c>
      <c r="C39427" s="2">
        <v>9.4512461104487105E-4</v>
      </c>
      <c r="D39427" s="2">
        <v>8.7935279634189197E-4</v>
      </c>
      <c r="E39427" s="2">
        <v>0</v>
      </c>
      <c r="F39427" s="2">
        <v>9.0406571266208604E-4</v>
      </c>
    </row>
    <row r="39428" spans="1:6" x14ac:dyDescent="0.25">
      <c r="A39428" s="1" t="str">
        <f t="shared" si="1417"/>
        <v>49700</v>
      </c>
      <c r="B39428" s="1" t="str">
        <f>"95836"</f>
        <v>95836</v>
      </c>
      <c r="C39428" s="2">
        <v>1.45403786314595E-5</v>
      </c>
      <c r="D39428" s="2">
        <v>1.7587055926837801E-4</v>
      </c>
      <c r="E39428" s="2">
        <v>0</v>
      </c>
      <c r="F39428" s="2">
        <v>2.5830448933202399E-5</v>
      </c>
    </row>
    <row r="39429" spans="1:6" x14ac:dyDescent="0.25">
      <c r="A39429" s="1" t="str">
        <f t="shared" si="1417"/>
        <v>49700</v>
      </c>
      <c r="B39429" s="1" t="str">
        <f>"95941"</f>
        <v>95941</v>
      </c>
      <c r="C39429" s="2">
        <v>3.7804984441794798E-4</v>
      </c>
      <c r="D39429" s="2">
        <v>0</v>
      </c>
      <c r="E39429" s="2">
        <v>0</v>
      </c>
      <c r="F39429" s="2">
        <v>3.3579583613163101E-4</v>
      </c>
    </row>
    <row r="39430" spans="1:6" x14ac:dyDescent="0.25">
      <c r="A39430" s="1" t="str">
        <f t="shared" si="1417"/>
        <v>49700</v>
      </c>
      <c r="B39430" s="1" t="str">
        <f>"95901"</f>
        <v>95901</v>
      </c>
      <c r="C39430" s="2">
        <v>0.22874923663012101</v>
      </c>
      <c r="D39430" s="2">
        <v>0.247625747449876</v>
      </c>
      <c r="E39430" s="2">
        <v>0.299865229110512</v>
      </c>
      <c r="F39430" s="2">
        <v>0.23286149713282001</v>
      </c>
    </row>
    <row r="39431" spans="1:6" x14ac:dyDescent="0.25">
      <c r="A39431" s="1" t="str">
        <f t="shared" si="1417"/>
        <v>49700</v>
      </c>
      <c r="B39431" s="1" t="str">
        <f>"95903"</f>
        <v>95903</v>
      </c>
      <c r="C39431" s="2">
        <v>2.8819030447552799E-2</v>
      </c>
      <c r="D39431" s="2">
        <v>7.0348223707351301E-4</v>
      </c>
      <c r="E39431" s="2">
        <v>4.3800539083557903E-2</v>
      </c>
      <c r="F39431" s="2">
        <v>2.73286149713282E-2</v>
      </c>
    </row>
    <row r="39432" spans="1:6" x14ac:dyDescent="0.25">
      <c r="A39432" s="1" t="str">
        <f t="shared" si="1417"/>
        <v>49700</v>
      </c>
      <c r="B39432" s="1" t="str">
        <f>"95962"</f>
        <v>95962</v>
      </c>
      <c r="C39432" s="2">
        <v>9.7420536830778999E-4</v>
      </c>
      <c r="D39432" s="2">
        <v>2.98979950756243E-3</v>
      </c>
      <c r="E39432" s="2">
        <v>3.3692722371967603E-4</v>
      </c>
      <c r="F39432" s="2">
        <v>1.0977940796611E-3</v>
      </c>
    </row>
    <row r="39433" spans="1:6" x14ac:dyDescent="0.25">
      <c r="A39433" s="1" t="str">
        <f t="shared" si="1417"/>
        <v>49700</v>
      </c>
      <c r="B39433" s="1" t="str">
        <f>"95966"</f>
        <v>95966</v>
      </c>
      <c r="C39433" s="2">
        <v>4.9437287346962495E-4</v>
      </c>
      <c r="D39433" s="2">
        <v>0</v>
      </c>
      <c r="E39433" s="2">
        <v>0</v>
      </c>
      <c r="F39433" s="2">
        <v>4.3911763186444102E-4</v>
      </c>
    </row>
    <row r="39434" spans="1:6" x14ac:dyDescent="0.25">
      <c r="A39434" s="1" t="str">
        <f t="shared" si="1417"/>
        <v>49700</v>
      </c>
      <c r="B39434" s="1" t="str">
        <f>"95668"</f>
        <v>95668</v>
      </c>
      <c r="C39434" s="2">
        <v>3.9986041236513697E-3</v>
      </c>
      <c r="D39434" s="2">
        <v>1.51248680970805E-2</v>
      </c>
      <c r="E39434" s="2">
        <v>1.0107816711590199E-3</v>
      </c>
      <c r="F39434" s="2">
        <v>4.7011417058428397E-3</v>
      </c>
    </row>
    <row r="39435" spans="1:6" x14ac:dyDescent="0.25">
      <c r="A39435" s="1" t="str">
        <f t="shared" si="1417"/>
        <v>49700</v>
      </c>
      <c r="B39435" s="1" t="str">
        <f>"95982"</f>
        <v>95982</v>
      </c>
      <c r="C39435" s="2">
        <v>1.7375752464594101E-2</v>
      </c>
      <c r="D39435" s="2">
        <v>4.7485051002462099E-3</v>
      </c>
      <c r="E39435" s="2">
        <v>5.0539083557951401E-3</v>
      </c>
      <c r="F39435" s="2">
        <v>1.5976132665185699E-2</v>
      </c>
    </row>
    <row r="39436" spans="1:6" x14ac:dyDescent="0.25">
      <c r="A39436" s="1" t="str">
        <f t="shared" si="1417"/>
        <v>49700</v>
      </c>
      <c r="B39436" s="1" t="str">
        <f>"95977"</f>
        <v>95977</v>
      </c>
      <c r="C39436" s="2">
        <v>3.9549829877569996E-3</v>
      </c>
      <c r="D39436" s="2">
        <v>0</v>
      </c>
      <c r="E39436" s="2">
        <v>3.3692722371967603E-4</v>
      </c>
      <c r="F39436" s="2">
        <v>3.5258562793821298E-3</v>
      </c>
    </row>
    <row r="39437" spans="1:6" x14ac:dyDescent="0.25">
      <c r="A39437" s="1" t="str">
        <f t="shared" si="1417"/>
        <v>49700</v>
      </c>
      <c r="B39437" s="1" t="str">
        <f>"95935"</f>
        <v>95935</v>
      </c>
      <c r="C39437" s="2">
        <v>4.65292116206706E-4</v>
      </c>
      <c r="D39437" s="2">
        <v>0</v>
      </c>
      <c r="E39437" s="2">
        <v>6.7385444743935303E-4</v>
      </c>
      <c r="F39437" s="2">
        <v>4.3911763186444102E-4</v>
      </c>
    </row>
    <row r="39438" spans="1:6" x14ac:dyDescent="0.25">
      <c r="A39438" s="1" t="str">
        <f t="shared" si="1417"/>
        <v>49700</v>
      </c>
      <c r="B39438" s="1" t="str">
        <f>"95674"</f>
        <v>95674</v>
      </c>
      <c r="C39438" s="2">
        <v>5.0455113851164603E-3</v>
      </c>
      <c r="D39438" s="2">
        <v>1.5828350334154001E-3</v>
      </c>
      <c r="E39438" s="2">
        <v>3.3692722371967603E-4</v>
      </c>
      <c r="F39438" s="2">
        <v>4.6107351345766297E-3</v>
      </c>
    </row>
    <row r="39439" spans="1:6" x14ac:dyDescent="0.25">
      <c r="A39439" s="1" t="str">
        <f t="shared" si="1417"/>
        <v>49700</v>
      </c>
      <c r="B39439" s="1" t="str">
        <f>"95961"</f>
        <v>95961</v>
      </c>
      <c r="C39439" s="2">
        <v>0.16421903626370399</v>
      </c>
      <c r="D39439" s="2">
        <v>5.80372845585648E-2</v>
      </c>
      <c r="E39439" s="2">
        <v>0.112533692722371</v>
      </c>
      <c r="F39439" s="2">
        <v>0.154440254171617</v>
      </c>
    </row>
    <row r="39440" spans="1:6" x14ac:dyDescent="0.25">
      <c r="A39440" s="1" t="str">
        <f t="shared" si="1417"/>
        <v>49700</v>
      </c>
      <c r="B39440" s="1" t="str">
        <f>"95919"</f>
        <v>95919</v>
      </c>
      <c r="C39440" s="2">
        <v>5.2199959286939801E-3</v>
      </c>
      <c r="D39440" s="2">
        <v>2.98979950756243E-3</v>
      </c>
      <c r="E39440" s="2">
        <v>1.0107816711590199E-3</v>
      </c>
      <c r="F39440" s="2">
        <v>4.8948700728418601E-3</v>
      </c>
    </row>
    <row r="39441" spans="1:6" x14ac:dyDescent="0.25">
      <c r="A39441" s="1" t="str">
        <f t="shared" si="1417"/>
        <v>49700</v>
      </c>
      <c r="B39441" s="1" t="str">
        <f>"95837"</f>
        <v>95837</v>
      </c>
      <c r="C39441" s="2">
        <v>5.5253438799546305E-4</v>
      </c>
      <c r="D39441" s="2">
        <v>0</v>
      </c>
      <c r="E39441" s="2">
        <v>1.0107816711590199E-3</v>
      </c>
      <c r="F39441" s="2">
        <v>5.2952420313064996E-4</v>
      </c>
    </row>
    <row r="39442" spans="1:6" x14ac:dyDescent="0.25">
      <c r="A39442" s="1" t="str">
        <f t="shared" si="1417"/>
        <v>49700</v>
      </c>
      <c r="B39442" s="1" t="str">
        <f>"95993"</f>
        <v>95993</v>
      </c>
      <c r="C39442" s="2">
        <v>0.18431383953238101</v>
      </c>
      <c r="D39442" s="2">
        <v>0.15247977488568401</v>
      </c>
      <c r="E39442" s="2">
        <v>0.125</v>
      </c>
      <c r="F39442" s="2">
        <v>0.17970243322828899</v>
      </c>
    </row>
    <row r="39443" spans="1:6" x14ac:dyDescent="0.25">
      <c r="A39443" s="1" t="str">
        <f t="shared" si="1417"/>
        <v>49700</v>
      </c>
      <c r="B39443" s="1" t="str">
        <f>"95960"</f>
        <v>95960</v>
      </c>
      <c r="C39443" s="2">
        <v>4.0713060168086698E-4</v>
      </c>
      <c r="D39443" s="2">
        <v>0</v>
      </c>
      <c r="E39443" s="2">
        <v>0</v>
      </c>
      <c r="F39443" s="2">
        <v>3.6162628506483403E-4</v>
      </c>
    </row>
    <row r="39444" spans="1:6" x14ac:dyDescent="0.25">
      <c r="A39444" s="1" t="str">
        <f t="shared" si="1417"/>
        <v>49700</v>
      </c>
      <c r="B39444" s="1" t="str">
        <f>"95925"</f>
        <v>95925</v>
      </c>
      <c r="C39444" s="2">
        <v>2.61726815366272E-4</v>
      </c>
      <c r="D39444" s="2">
        <v>1.7587055926837801E-4</v>
      </c>
      <c r="E39444" s="2">
        <v>3.3692722371967603E-4</v>
      </c>
      <c r="F39444" s="2">
        <v>2.5830448933202401E-4</v>
      </c>
    </row>
    <row r="39445" spans="1:6" x14ac:dyDescent="0.25">
      <c r="A39445" s="1" t="str">
        <f t="shared" si="1417"/>
        <v>49700</v>
      </c>
      <c r="B39445" s="1" t="str">
        <f>"95948"</f>
        <v>95948</v>
      </c>
      <c r="C39445" s="2">
        <v>1.16323029051676E-4</v>
      </c>
      <c r="D39445" s="2">
        <v>1.7587055926837801E-4</v>
      </c>
      <c r="E39445" s="2">
        <v>0</v>
      </c>
      <c r="F39445" s="2">
        <v>1.16237020199411E-4</v>
      </c>
    </row>
    <row r="39446" spans="1:6" x14ac:dyDescent="0.25">
      <c r="A39446" s="1" t="str">
        <f t="shared" si="1417"/>
        <v>49700</v>
      </c>
      <c r="B39446" s="1" t="str">
        <f>"95645"</f>
        <v>95645</v>
      </c>
      <c r="C39446" s="2">
        <v>1.4249571058830299E-3</v>
      </c>
      <c r="D39446" s="2">
        <v>3.5174111853675602E-4</v>
      </c>
      <c r="E39446" s="2">
        <v>0</v>
      </c>
      <c r="F39446" s="2">
        <v>1.2915224466601199E-3</v>
      </c>
    </row>
    <row r="39447" spans="1:6" x14ac:dyDescent="0.25">
      <c r="A39447" s="1" t="str">
        <f t="shared" si="1417"/>
        <v>49700</v>
      </c>
      <c r="B39447" s="1" t="str">
        <f>"95972"</f>
        <v>95972</v>
      </c>
      <c r="C39447" s="2">
        <v>2.7626719399773098E-4</v>
      </c>
      <c r="D39447" s="2">
        <v>0</v>
      </c>
      <c r="E39447" s="2">
        <v>3.3692722371967603E-4</v>
      </c>
      <c r="F39447" s="2">
        <v>2.5830448933202401E-4</v>
      </c>
    </row>
    <row r="39448" spans="1:6" x14ac:dyDescent="0.25">
      <c r="A39448" s="1" t="str">
        <f t="shared" si="1417"/>
        <v>49700</v>
      </c>
      <c r="B39448" s="1" t="str">
        <f>"95659"</f>
        <v>95659</v>
      </c>
      <c r="C39448" s="2">
        <v>4.1149271527030499E-3</v>
      </c>
      <c r="D39448" s="2">
        <v>5.9795990151248601E-3</v>
      </c>
      <c r="E39448" s="2">
        <v>6.7385444743935303E-4</v>
      </c>
      <c r="F39448" s="2">
        <v>4.1199566048457899E-3</v>
      </c>
    </row>
    <row r="39449" spans="1:6" x14ac:dyDescent="0.25">
      <c r="A39449" s="1" t="str">
        <f t="shared" si="1417"/>
        <v>49700</v>
      </c>
      <c r="B39449" s="1" t="str">
        <f>"95676"</f>
        <v>95676</v>
      </c>
      <c r="C39449" s="2">
        <v>0</v>
      </c>
      <c r="D39449" s="2">
        <v>0</v>
      </c>
      <c r="E39449" s="2">
        <v>3.3692722371967603E-4</v>
      </c>
      <c r="F39449" s="2">
        <v>1.2915224466601199E-5</v>
      </c>
    </row>
    <row r="39450" spans="1:6" x14ac:dyDescent="0.25">
      <c r="A39450" s="1" t="str">
        <f t="shared" si="1417"/>
        <v>49700</v>
      </c>
      <c r="B39450" s="1" t="str">
        <f>"95953"</f>
        <v>95953</v>
      </c>
      <c r="C39450" s="2">
        <v>6.0662459650449203E-2</v>
      </c>
      <c r="D39450" s="2">
        <v>3.6932817446359401E-2</v>
      </c>
      <c r="E39450" s="2">
        <v>2.9986522911051201E-2</v>
      </c>
      <c r="F39450" s="2">
        <v>5.7743968590174E-2</v>
      </c>
    </row>
    <row r="39451" spans="1:6" x14ac:dyDescent="0.25">
      <c r="A39451" s="1" t="str">
        <f t="shared" si="1417"/>
        <v>49700</v>
      </c>
      <c r="B39451" s="1" t="str">
        <f>"95922"</f>
        <v>95922</v>
      </c>
      <c r="C39451" s="2">
        <v>2.02111262977287E-3</v>
      </c>
      <c r="D39451" s="2">
        <v>8.7935279634189197E-4</v>
      </c>
      <c r="E39451" s="2">
        <v>1.3477088948787E-3</v>
      </c>
      <c r="F39451" s="2">
        <v>1.91145322105698E-3</v>
      </c>
    </row>
    <row r="39452" spans="1:6" x14ac:dyDescent="0.25">
      <c r="A39452" s="1" t="str">
        <f t="shared" si="1417"/>
        <v>49700</v>
      </c>
      <c r="B39452" s="1" t="str">
        <f>"95992"</f>
        <v>95992</v>
      </c>
      <c r="C39452" s="2">
        <v>2.0080262890045601E-2</v>
      </c>
      <c r="D39452" s="2">
        <v>9.1628561378825094E-2</v>
      </c>
      <c r="E39452" s="2">
        <v>6.7385444743935303E-4</v>
      </c>
      <c r="F39452" s="2">
        <v>2.45905873844087E-2</v>
      </c>
    </row>
    <row r="39453" spans="1:6" x14ac:dyDescent="0.25">
      <c r="A39453" s="1" t="str">
        <f t="shared" si="1417"/>
        <v>49700</v>
      </c>
      <c r="B39453" s="1" t="str">
        <f>"95918"</f>
        <v>95918</v>
      </c>
      <c r="C39453" s="2">
        <v>1.23447814581091E-2</v>
      </c>
      <c r="D39453" s="2">
        <v>2.2863172704889198E-3</v>
      </c>
      <c r="E39453" s="2">
        <v>3.3692722371967603E-4</v>
      </c>
      <c r="F39453" s="2">
        <v>1.11458387146768E-2</v>
      </c>
    </row>
    <row r="39454" spans="1:6" x14ac:dyDescent="0.25">
      <c r="A39454" s="1" t="str">
        <f t="shared" ref="A39454:A39464" si="1418">"49740"</f>
        <v>49740</v>
      </c>
      <c r="B39454" s="1" t="str">
        <f>"85347"</f>
        <v>85347</v>
      </c>
      <c r="C39454" s="2">
        <v>1.9050493238017901E-3</v>
      </c>
      <c r="D39454" s="2">
        <v>3.4196384953590602E-3</v>
      </c>
      <c r="E39454" s="2">
        <v>8.0296479308214902E-3</v>
      </c>
      <c r="F39454" s="2">
        <v>2.1574692625614001E-3</v>
      </c>
    </row>
    <row r="39455" spans="1:6" x14ac:dyDescent="0.25">
      <c r="A39455" s="1" t="str">
        <f t="shared" si="1418"/>
        <v>49740</v>
      </c>
      <c r="B39455" s="1" t="str">
        <f>"85349"</f>
        <v>85349</v>
      </c>
      <c r="C39455" s="2">
        <v>0.133957032649904</v>
      </c>
      <c r="D39455" s="2">
        <v>4.9177658361830301E-2</v>
      </c>
      <c r="E39455" s="2">
        <v>9.2649783817170997E-4</v>
      </c>
      <c r="F39455" s="2">
        <v>0.12571374108635899</v>
      </c>
    </row>
    <row r="39456" spans="1:6" x14ac:dyDescent="0.25">
      <c r="A39456" s="1" t="str">
        <f t="shared" si="1418"/>
        <v>49740</v>
      </c>
      <c r="B39456" s="1" t="str">
        <f>"85356"</f>
        <v>85356</v>
      </c>
      <c r="C39456" s="2">
        <v>2.97923307618311E-2</v>
      </c>
      <c r="D39456" s="2">
        <v>1.0584595342777999E-2</v>
      </c>
      <c r="E39456" s="2">
        <v>9.5738109944410107E-3</v>
      </c>
      <c r="F39456" s="2">
        <v>2.8203062046736501E-2</v>
      </c>
    </row>
    <row r="39457" spans="1:6" x14ac:dyDescent="0.25">
      <c r="A39457" s="1" t="str">
        <f t="shared" si="1418"/>
        <v>49740</v>
      </c>
      <c r="B39457" s="1" t="str">
        <f>"85336"</f>
        <v>85336</v>
      </c>
      <c r="C39457" s="2">
        <v>8.2511269970009599E-2</v>
      </c>
      <c r="D39457" s="2">
        <v>5.8622374206155304E-3</v>
      </c>
      <c r="E39457" s="2">
        <v>4.3236565781346499E-3</v>
      </c>
      <c r="F39457" s="2">
        <v>7.6239245145694107E-2</v>
      </c>
    </row>
    <row r="39458" spans="1:6" x14ac:dyDescent="0.25">
      <c r="A39458" s="1" t="str">
        <f t="shared" si="1418"/>
        <v>49740</v>
      </c>
      <c r="B39458" s="1" t="str">
        <f>"85367"</f>
        <v>85367</v>
      </c>
      <c r="C39458" s="2">
        <v>0.15687421015900499</v>
      </c>
      <c r="D39458" s="2">
        <v>7.5557726754600193E-2</v>
      </c>
      <c r="E39458" s="2">
        <v>5.4354539839407003E-2</v>
      </c>
      <c r="F39458" s="2">
        <v>0.14967118088950099</v>
      </c>
    </row>
    <row r="39459" spans="1:6" x14ac:dyDescent="0.25">
      <c r="A39459" s="1" t="str">
        <f t="shared" si="1418"/>
        <v>49740</v>
      </c>
      <c r="B39459" s="1" t="str">
        <f>"85333"</f>
        <v>85333</v>
      </c>
      <c r="C39459" s="2">
        <v>1.79187807684327E-3</v>
      </c>
      <c r="D39459" s="2">
        <v>2.7682787819573299E-3</v>
      </c>
      <c r="E39459" s="2">
        <v>8.0296479308214902E-3</v>
      </c>
      <c r="F39459" s="2">
        <v>2.0188366995052501E-3</v>
      </c>
    </row>
    <row r="39460" spans="1:6" x14ac:dyDescent="0.25">
      <c r="A39460" s="1" t="str">
        <f t="shared" si="1418"/>
        <v>49740</v>
      </c>
      <c r="B39460" s="1" t="str">
        <f>"85366"</f>
        <v>85366</v>
      </c>
      <c r="C39460" s="2">
        <v>3.5384876549031399E-2</v>
      </c>
      <c r="D39460" s="2">
        <v>0.117733268197361</v>
      </c>
      <c r="E39460" s="2">
        <v>6.1766522544780701E-4</v>
      </c>
      <c r="F39460" s="2">
        <v>3.8791124050150297E-2</v>
      </c>
    </row>
    <row r="39461" spans="1:6" x14ac:dyDescent="0.25">
      <c r="A39461" s="1" t="str">
        <f t="shared" si="1418"/>
        <v>49740</v>
      </c>
      <c r="B39461" s="1" t="str">
        <f>"85350"</f>
        <v>85350</v>
      </c>
      <c r="C39461" s="2">
        <v>5.9480921213950197E-2</v>
      </c>
      <c r="D39461" s="2">
        <v>3.2893665526787103E-2</v>
      </c>
      <c r="E39461" s="2">
        <v>1.8529956763434201E-2</v>
      </c>
      <c r="F39461" s="2">
        <v>5.6917331669742499E-2</v>
      </c>
    </row>
    <row r="39462" spans="1:6" x14ac:dyDescent="0.25">
      <c r="A39462" s="1" t="str">
        <f t="shared" si="1418"/>
        <v>49740</v>
      </c>
      <c r="B39462" s="1" t="str">
        <f>"85352"</f>
        <v>85352</v>
      </c>
      <c r="C39462" s="2">
        <v>1.65041401814512E-3</v>
      </c>
      <c r="D39462" s="2">
        <v>1.62839928350431E-4</v>
      </c>
      <c r="E39462" s="2">
        <v>6.1766522544780701E-4</v>
      </c>
      <c r="F39462" s="2">
        <v>1.5422872639997199E-3</v>
      </c>
    </row>
    <row r="39463" spans="1:6" x14ac:dyDescent="0.25">
      <c r="A39463" s="1" t="str">
        <f t="shared" si="1418"/>
        <v>49740</v>
      </c>
      <c r="B39463" s="1" t="str">
        <f>"85364"</f>
        <v>85364</v>
      </c>
      <c r="C39463" s="2">
        <v>0.290491729068034</v>
      </c>
      <c r="D39463" s="2">
        <v>0.43071161048689099</v>
      </c>
      <c r="E39463" s="2">
        <v>0.59697344039530498</v>
      </c>
      <c r="F39463" s="2">
        <v>0.30655125505792202</v>
      </c>
    </row>
    <row r="39464" spans="1:6" x14ac:dyDescent="0.25">
      <c r="A39464" s="1" t="str">
        <f t="shared" si="1418"/>
        <v>49740</v>
      </c>
      <c r="B39464" s="1" t="str">
        <f>"85365"</f>
        <v>85365</v>
      </c>
      <c r="C39464" s="2">
        <v>0.20616028820944199</v>
      </c>
      <c r="D39464" s="2">
        <v>0.27112848070346801</v>
      </c>
      <c r="E39464" s="2">
        <v>0.29802347127856699</v>
      </c>
      <c r="F39464" s="2">
        <v>0.212194466827827</v>
      </c>
    </row>
    <row r="39465" spans="1:6" x14ac:dyDescent="0.25">
      <c r="A39465" s="1" t="str">
        <f t="shared" ref="A39465:A39487" si="1419">"49780"</f>
        <v>49780</v>
      </c>
      <c r="B39465" s="1" t="str">
        <f>"43762"</f>
        <v>43762</v>
      </c>
      <c r="C39465" s="2">
        <v>4.07510499072175E-2</v>
      </c>
      <c r="D39465" s="2">
        <v>3.2896740785866498E-2</v>
      </c>
      <c r="E39465" s="2">
        <v>5.32010820559062E-2</v>
      </c>
      <c r="F39465" s="2">
        <v>4.0486901296639302E-2</v>
      </c>
    </row>
    <row r="39466" spans="1:6" x14ac:dyDescent="0.25">
      <c r="A39466" s="1" t="str">
        <f t="shared" si="1419"/>
        <v>49780</v>
      </c>
      <c r="B39466" s="1" t="str">
        <f>"43767"</f>
        <v>43767</v>
      </c>
      <c r="C39466" s="2">
        <v>1.5992772731711999E-2</v>
      </c>
      <c r="D39466" s="2">
        <v>1.2793176972281399E-2</v>
      </c>
      <c r="E39466" s="2">
        <v>1.8034265103697E-3</v>
      </c>
      <c r="F39466" s="2">
        <v>1.5414130722413299E-2</v>
      </c>
    </row>
    <row r="39467" spans="1:6" x14ac:dyDescent="0.25">
      <c r="A39467" s="1" t="str">
        <f t="shared" si="1419"/>
        <v>49780</v>
      </c>
      <c r="B39467" s="1" t="str">
        <f>"43701"</f>
        <v>43701</v>
      </c>
      <c r="C39467" s="2">
        <v>0.64710909268483197</v>
      </c>
      <c r="D39467" s="2">
        <v>0.73347547974413596</v>
      </c>
      <c r="E39467" s="2">
        <v>0.73669972948602302</v>
      </c>
      <c r="F39467" s="2">
        <v>0.65555261533033404</v>
      </c>
    </row>
    <row r="39468" spans="1:6" x14ac:dyDescent="0.25">
      <c r="A39468" s="1" t="str">
        <f t="shared" si="1419"/>
        <v>49780</v>
      </c>
      <c r="B39468" s="1" t="str">
        <f>"43830"</f>
        <v>43830</v>
      </c>
      <c r="C39468" s="2">
        <v>5.8965719308526197E-2</v>
      </c>
      <c r="D39468" s="2">
        <v>1.85805665549802E-2</v>
      </c>
      <c r="E39468" s="2">
        <v>0.11181244364292101</v>
      </c>
      <c r="F39468" s="2">
        <v>5.7334391814412897E-2</v>
      </c>
    </row>
    <row r="39469" spans="1:6" x14ac:dyDescent="0.25">
      <c r="A39469" s="1" t="str">
        <f t="shared" si="1419"/>
        <v>49780</v>
      </c>
      <c r="B39469" s="1" t="str">
        <f>"43842"</f>
        <v>43842</v>
      </c>
      <c r="C39469" s="2">
        <v>2.9788065240746102E-3</v>
      </c>
      <c r="D39469" s="2">
        <v>3.0459945172098599E-4</v>
      </c>
      <c r="E39469" s="2">
        <v>0</v>
      </c>
      <c r="F39469" s="2">
        <v>2.71235776660492E-3</v>
      </c>
    </row>
    <row r="39470" spans="1:6" x14ac:dyDescent="0.25">
      <c r="A39470" s="1" t="str">
        <f t="shared" si="1419"/>
        <v>49780</v>
      </c>
      <c r="B39470" s="1" t="str">
        <f>"43720"</f>
        <v>43720</v>
      </c>
      <c r="C39470" s="2">
        <v>1.4381287235081501E-2</v>
      </c>
      <c r="D39470" s="2">
        <v>2.4367956137678901E-3</v>
      </c>
      <c r="E39470" s="2">
        <v>1.8034265103697E-3</v>
      </c>
      <c r="F39470" s="2">
        <v>1.3208961806474301E-2</v>
      </c>
    </row>
    <row r="39471" spans="1:6" x14ac:dyDescent="0.25">
      <c r="A39471" s="1" t="str">
        <f t="shared" si="1419"/>
        <v>49780</v>
      </c>
      <c r="B39471" s="1" t="str">
        <f>"43735"</f>
        <v>43735</v>
      </c>
      <c r="C39471" s="2">
        <v>0</v>
      </c>
      <c r="D39471" s="2">
        <v>3.0459945172098599E-4</v>
      </c>
      <c r="E39471" s="2">
        <v>0</v>
      </c>
      <c r="F39471" s="2">
        <v>2.2051689159389599E-5</v>
      </c>
    </row>
    <row r="39472" spans="1:6" x14ac:dyDescent="0.25">
      <c r="A39472" s="1" t="str">
        <f t="shared" si="1419"/>
        <v>49780</v>
      </c>
      <c r="B39472" s="1" t="str">
        <f>"43802"</f>
        <v>43802</v>
      </c>
      <c r="C39472" s="2">
        <v>1.15001464986815E-2</v>
      </c>
      <c r="D39472" s="2">
        <v>1.5229972586049299E-3</v>
      </c>
      <c r="E39472" s="2">
        <v>0</v>
      </c>
      <c r="F39472" s="2">
        <v>1.0496604039869401E-2</v>
      </c>
    </row>
    <row r="39473" spans="1:6" x14ac:dyDescent="0.25">
      <c r="A39473" s="1" t="str">
        <f t="shared" si="1419"/>
        <v>49780</v>
      </c>
      <c r="B39473" s="1" t="str">
        <f>"43702"</f>
        <v>43702</v>
      </c>
      <c r="C39473" s="2">
        <v>3.53305986912784E-2</v>
      </c>
      <c r="D39473" s="2">
        <v>0.131891562595187</v>
      </c>
      <c r="E39473" s="2">
        <v>9.0171325518485096E-4</v>
      </c>
      <c r="F39473" s="2">
        <v>4.1479227308811803E-2</v>
      </c>
    </row>
    <row r="39474" spans="1:6" x14ac:dyDescent="0.25">
      <c r="A39474" s="1" t="str">
        <f t="shared" si="1419"/>
        <v>49780</v>
      </c>
      <c r="B39474" s="1" t="str">
        <f>"43732"</f>
        <v>43732</v>
      </c>
      <c r="C39474" s="2">
        <v>1.0010743236644199E-3</v>
      </c>
      <c r="D39474" s="2">
        <v>6.0919890344197296E-4</v>
      </c>
      <c r="E39474" s="2">
        <v>0</v>
      </c>
      <c r="F39474" s="2">
        <v>9.4822263385375299E-4</v>
      </c>
    </row>
    <row r="39475" spans="1:6" x14ac:dyDescent="0.25">
      <c r="A39475" s="1" t="str">
        <f t="shared" si="1419"/>
        <v>49780</v>
      </c>
      <c r="B39475" s="1" t="str">
        <f>"43777"</f>
        <v>43777</v>
      </c>
      <c r="C39475" s="2">
        <v>2.9714815899990199E-2</v>
      </c>
      <c r="D39475" s="2">
        <v>1.5229972586049301E-2</v>
      </c>
      <c r="E39475" s="2">
        <v>1.35256988277727E-2</v>
      </c>
      <c r="F39475" s="2">
        <v>2.82702655023374E-2</v>
      </c>
    </row>
    <row r="39476" spans="1:6" x14ac:dyDescent="0.25">
      <c r="A39476" s="1" t="str">
        <f t="shared" si="1419"/>
        <v>49780</v>
      </c>
      <c r="B39476" s="1" t="str">
        <f>"43727"</f>
        <v>43727</v>
      </c>
      <c r="C39476" s="2">
        <v>1.73356773122375E-2</v>
      </c>
      <c r="D39476" s="2">
        <v>3.95979287237282E-3</v>
      </c>
      <c r="E39476" s="2">
        <v>0</v>
      </c>
      <c r="F39476" s="2">
        <v>1.59433712622386E-2</v>
      </c>
    </row>
    <row r="39477" spans="1:6" x14ac:dyDescent="0.25">
      <c r="A39477" s="1" t="str">
        <f t="shared" si="1419"/>
        <v>49780</v>
      </c>
      <c r="B39477" s="1" t="str">
        <f>"43822"</f>
        <v>43822</v>
      </c>
      <c r="C39477" s="2">
        <v>3.38900283230784E-2</v>
      </c>
      <c r="D39477" s="2">
        <v>1.1879378617118399E-2</v>
      </c>
      <c r="E39477" s="2">
        <v>2.6149684400360598E-2</v>
      </c>
      <c r="F39477" s="2">
        <v>3.2107259416071197E-2</v>
      </c>
    </row>
    <row r="39478" spans="1:6" x14ac:dyDescent="0.25">
      <c r="A39478" s="1" t="str">
        <f t="shared" si="1419"/>
        <v>49780</v>
      </c>
      <c r="B39478" s="1" t="str">
        <f>"43811"</f>
        <v>43811</v>
      </c>
      <c r="C39478" s="2">
        <v>2.4416446918644299E-5</v>
      </c>
      <c r="D39478" s="2">
        <v>0</v>
      </c>
      <c r="E39478" s="2">
        <v>0</v>
      </c>
      <c r="F39478" s="2">
        <v>2.2051689159389599E-5</v>
      </c>
    </row>
    <row r="39479" spans="1:6" x14ac:dyDescent="0.25">
      <c r="A39479" s="1" t="str">
        <f t="shared" si="1419"/>
        <v>49780</v>
      </c>
      <c r="B39479" s="1" t="str">
        <f>"43821"</f>
        <v>43821</v>
      </c>
      <c r="C39479" s="2">
        <v>4.0555718331868301E-2</v>
      </c>
      <c r="D39479" s="2">
        <v>2.3149558330795E-2</v>
      </c>
      <c r="E39479" s="2">
        <v>4.4183949504057698E-2</v>
      </c>
      <c r="F39479" s="2">
        <v>3.9384316838669803E-2</v>
      </c>
    </row>
    <row r="39480" spans="1:6" x14ac:dyDescent="0.25">
      <c r="A39480" s="1" t="str">
        <f t="shared" si="1419"/>
        <v>49780</v>
      </c>
      <c r="B39480" s="1" t="str">
        <f>"43760"</f>
        <v>43760</v>
      </c>
      <c r="C39480" s="2">
        <v>7.0075202656509402E-3</v>
      </c>
      <c r="D39480" s="2">
        <v>1.82759671032592E-3</v>
      </c>
      <c r="E39480" s="2">
        <v>0</v>
      </c>
      <c r="F39480" s="2">
        <v>6.4611449237011497E-3</v>
      </c>
    </row>
    <row r="39481" spans="1:6" x14ac:dyDescent="0.25">
      <c r="A39481" s="1" t="str">
        <f t="shared" si="1419"/>
        <v>49780</v>
      </c>
      <c r="B39481" s="1" t="str">
        <f>"43738"</f>
        <v>43738</v>
      </c>
      <c r="C39481" s="2">
        <v>0</v>
      </c>
      <c r="D39481" s="2">
        <v>3.0459945172098599E-4</v>
      </c>
      <c r="E39481" s="2">
        <v>0</v>
      </c>
      <c r="F39481" s="2">
        <v>2.2051689159389599E-5</v>
      </c>
    </row>
    <row r="39482" spans="1:6" x14ac:dyDescent="0.25">
      <c r="A39482" s="1" t="str">
        <f t="shared" si="1419"/>
        <v>49780</v>
      </c>
      <c r="B39482" s="1" t="str">
        <f>"43734"</f>
        <v>43734</v>
      </c>
      <c r="C39482" s="2">
        <v>9.2050004883289308E-3</v>
      </c>
      <c r="D39482" s="2">
        <v>4.2643923240938096E-3</v>
      </c>
      <c r="E39482" s="2">
        <v>3.6068530207393999E-3</v>
      </c>
      <c r="F39482" s="2">
        <v>8.7104172179588903E-3</v>
      </c>
    </row>
    <row r="39483" spans="1:6" x14ac:dyDescent="0.25">
      <c r="A39483" s="1" t="str">
        <f t="shared" si="1419"/>
        <v>49780</v>
      </c>
      <c r="B39483" s="1" t="str">
        <f>"43771"</f>
        <v>43771</v>
      </c>
      <c r="C39483" s="2">
        <v>1.8117003613634101E-2</v>
      </c>
      <c r="D39483" s="2">
        <v>1.2183978068839401E-3</v>
      </c>
      <c r="E39483" s="2">
        <v>0</v>
      </c>
      <c r="F39483" s="2">
        <v>1.6450560112904598E-2</v>
      </c>
    </row>
    <row r="39484" spans="1:6" x14ac:dyDescent="0.25">
      <c r="A39484" s="1" t="str">
        <f t="shared" si="1419"/>
        <v>49780</v>
      </c>
      <c r="B39484" s="1" t="str">
        <f>"43056"</f>
        <v>43056</v>
      </c>
      <c r="C39484" s="2">
        <v>9.2782498290848697E-4</v>
      </c>
      <c r="D39484" s="2">
        <v>0</v>
      </c>
      <c r="E39484" s="2">
        <v>9.0171325518485096E-4</v>
      </c>
      <c r="F39484" s="2">
        <v>8.60015877216194E-4</v>
      </c>
    </row>
    <row r="39485" spans="1:6" x14ac:dyDescent="0.25">
      <c r="A39485" s="1" t="str">
        <f t="shared" si="1419"/>
        <v>49780</v>
      </c>
      <c r="B39485" s="1" t="str">
        <f>"43746"</f>
        <v>43746</v>
      </c>
      <c r="C39485" s="2">
        <v>1.26233030569391E-2</v>
      </c>
      <c r="D39485" s="2">
        <v>3.0459945172098598E-3</v>
      </c>
      <c r="E39485" s="2">
        <v>5.4102795311090999E-3</v>
      </c>
      <c r="F39485" s="2">
        <v>1.17535503219546E-2</v>
      </c>
    </row>
    <row r="39486" spans="1:6" x14ac:dyDescent="0.25">
      <c r="A39486" s="1" t="str">
        <f t="shared" si="1419"/>
        <v>49780</v>
      </c>
      <c r="B39486" s="1" t="str">
        <f>"43756"</f>
        <v>43756</v>
      </c>
      <c r="C39486" s="2">
        <v>7.8132630139661995E-4</v>
      </c>
      <c r="D39486" s="2">
        <v>0</v>
      </c>
      <c r="E39486" s="2">
        <v>0</v>
      </c>
      <c r="F39486" s="2">
        <v>7.0565405310046695E-4</v>
      </c>
    </row>
    <row r="39487" spans="1:6" x14ac:dyDescent="0.25">
      <c r="A39487" s="1" t="str">
        <f t="shared" si="1419"/>
        <v>49780</v>
      </c>
      <c r="B39487" s="1" t="str">
        <f>"43791"</f>
        <v>43791</v>
      </c>
      <c r="C39487" s="2">
        <v>1.8068170719796801E-3</v>
      </c>
      <c r="D39487" s="2">
        <v>3.0459945172098599E-4</v>
      </c>
      <c r="E39487" s="2">
        <v>0</v>
      </c>
      <c r="F39487" s="2">
        <v>1.6538766869542199E-3</v>
      </c>
    </row>
    <row r="39488" spans="1:6" x14ac:dyDescent="0.25">
      <c r="A39488" s="1" t="str">
        <f t="shared" ref="A39488:A39493" si="1420">"49820"</f>
        <v>49820</v>
      </c>
      <c r="B39488" s="1" t="str">
        <f>"78067"</f>
        <v>78067</v>
      </c>
      <c r="C39488" s="2">
        <v>4.5865371644408402E-3</v>
      </c>
      <c r="D39488" s="2">
        <v>0</v>
      </c>
      <c r="E39488" s="2">
        <v>9.9502487562189001E-3</v>
      </c>
      <c r="F39488" s="2">
        <v>4.5022511255627803E-3</v>
      </c>
    </row>
    <row r="39489" spans="1:6" x14ac:dyDescent="0.25">
      <c r="A39489" s="1" t="str">
        <f t="shared" si="1420"/>
        <v>49820</v>
      </c>
      <c r="B39489" s="1" t="str">
        <f>"78076"</f>
        <v>78076</v>
      </c>
      <c r="C39489" s="2">
        <v>0.98232834210171305</v>
      </c>
      <c r="D39489" s="2">
        <v>0.99476439790575899</v>
      </c>
      <c r="E39489" s="2">
        <v>0.98507462686567104</v>
      </c>
      <c r="F39489" s="2">
        <v>0.98299149574787303</v>
      </c>
    </row>
    <row r="39490" spans="1:6" x14ac:dyDescent="0.25">
      <c r="A39490" s="1" t="str">
        <f t="shared" si="1420"/>
        <v>49820</v>
      </c>
      <c r="B39490" s="1" t="str">
        <f>"78361"</f>
        <v>78361</v>
      </c>
      <c r="C39490" s="2">
        <v>6.7449075947659503E-4</v>
      </c>
      <c r="D39490" s="2">
        <v>0</v>
      </c>
      <c r="E39490" s="2">
        <v>0</v>
      </c>
      <c r="F39490" s="2">
        <v>6.2531265632816396E-4</v>
      </c>
    </row>
    <row r="39491" spans="1:6" x14ac:dyDescent="0.25">
      <c r="A39491" s="1" t="str">
        <f t="shared" si="1420"/>
        <v>49820</v>
      </c>
      <c r="B39491" s="1" t="str">
        <f>"78360"</f>
        <v>78360</v>
      </c>
      <c r="C39491" s="2">
        <v>1.3489815189531899E-4</v>
      </c>
      <c r="D39491" s="2">
        <v>0</v>
      </c>
      <c r="E39491" s="2">
        <v>0</v>
      </c>
      <c r="F39491" s="2">
        <v>1.2506253126563199E-4</v>
      </c>
    </row>
    <row r="39492" spans="1:6" x14ac:dyDescent="0.25">
      <c r="A39492" s="1" t="str">
        <f t="shared" si="1420"/>
        <v>49820</v>
      </c>
      <c r="B39492" s="1" t="str">
        <f>"78584"</f>
        <v>78584</v>
      </c>
      <c r="C39492" s="2">
        <v>5.6657223796033902E-3</v>
      </c>
      <c r="D39492" s="2">
        <v>0</v>
      </c>
      <c r="E39492" s="2">
        <v>0</v>
      </c>
      <c r="F39492" s="2">
        <v>5.2526263131565699E-3</v>
      </c>
    </row>
    <row r="39493" spans="1:6" x14ac:dyDescent="0.25">
      <c r="A39493" s="1" t="str">
        <f t="shared" si="1420"/>
        <v>49820</v>
      </c>
      <c r="B39493" s="1" t="str">
        <f>"78564"</f>
        <v>78564</v>
      </c>
      <c r="C39493" s="2">
        <v>6.6100094428706299E-3</v>
      </c>
      <c r="D39493" s="2">
        <v>5.2356020942408302E-3</v>
      </c>
      <c r="E39493" s="2">
        <v>4.97512437810945E-3</v>
      </c>
      <c r="F39493" s="2">
        <v>6.5032516258128996E-3</v>
      </c>
    </row>
    <row r="39494" spans="1:6" x14ac:dyDescent="0.25">
      <c r="A39494" s="1" t="str">
        <f t="shared" ref="A39494:A39557" si="1421">"99999"</f>
        <v>99999</v>
      </c>
      <c r="B39494" s="1" t="str">
        <f>"26039"</f>
        <v>26039</v>
      </c>
      <c r="C39494" s="2">
        <v>1.08260890558416E-7</v>
      </c>
      <c r="D39494" s="2">
        <v>0</v>
      </c>
      <c r="E39494" s="2">
        <v>0</v>
      </c>
      <c r="F39494" s="2">
        <v>9.8681749974786797E-8</v>
      </c>
    </row>
    <row r="39495" spans="1:6" x14ac:dyDescent="0.25">
      <c r="A39495" s="1" t="str">
        <f t="shared" si="1421"/>
        <v>99999</v>
      </c>
      <c r="B39495" s="1" t="str">
        <f>"26667"</f>
        <v>26667</v>
      </c>
      <c r="C39495" s="2">
        <v>0</v>
      </c>
      <c r="D39495" s="2">
        <v>0</v>
      </c>
      <c r="E39495" s="2">
        <v>4.3010567696482999E-6</v>
      </c>
      <c r="F39495" s="2">
        <v>9.8681749974786797E-8</v>
      </c>
    </row>
    <row r="39496" spans="1:6" x14ac:dyDescent="0.25">
      <c r="A39496" s="1" t="str">
        <f t="shared" si="1421"/>
        <v>99999</v>
      </c>
      <c r="B39496" s="1" t="str">
        <f>"40371"</f>
        <v>40371</v>
      </c>
      <c r="C39496" s="2">
        <v>7.5782623390891299E-7</v>
      </c>
      <c r="D39496" s="2">
        <v>1.50570889527644E-6</v>
      </c>
      <c r="E39496" s="2">
        <v>4.3010567696482999E-6</v>
      </c>
      <c r="F39496" s="2">
        <v>8.8813574977308104E-7</v>
      </c>
    </row>
    <row r="39497" spans="1:6" x14ac:dyDescent="0.25">
      <c r="A39497" s="1" t="str">
        <f t="shared" si="1421"/>
        <v>99999</v>
      </c>
      <c r="B39497" s="1" t="str">
        <f>"46945"</f>
        <v>46945</v>
      </c>
      <c r="C39497" s="2">
        <v>0</v>
      </c>
      <c r="D39497" s="2">
        <v>0</v>
      </c>
      <c r="E39497" s="2">
        <v>4.3010567696482999E-6</v>
      </c>
      <c r="F39497" s="2">
        <v>9.8681749974786797E-8</v>
      </c>
    </row>
    <row r="39498" spans="1:6" x14ac:dyDescent="0.25">
      <c r="A39498" s="1" t="str">
        <f t="shared" si="1421"/>
        <v>99999</v>
      </c>
      <c r="B39498" s="1" t="str">
        <f>"77876"</f>
        <v>77876</v>
      </c>
      <c r="C39498" s="2">
        <v>0</v>
      </c>
      <c r="D39498" s="2">
        <v>1.50570889527644E-6</v>
      </c>
      <c r="E39498" s="2">
        <v>0</v>
      </c>
      <c r="F39498" s="2">
        <v>9.8681749974786797E-8</v>
      </c>
    </row>
    <row r="39499" spans="1:6" x14ac:dyDescent="0.25">
      <c r="A39499" s="1" t="str">
        <f t="shared" si="1421"/>
        <v>99999</v>
      </c>
      <c r="B39499" s="1" t="str">
        <f>"99723"</f>
        <v>99723</v>
      </c>
      <c r="C39499" s="2">
        <v>0</v>
      </c>
      <c r="D39499" s="2">
        <v>0</v>
      </c>
      <c r="E39499" s="2">
        <v>4.3010567696482999E-6</v>
      </c>
      <c r="F39499" s="2">
        <v>9.8681749974786797E-8</v>
      </c>
    </row>
    <row r="39500" spans="1:6" x14ac:dyDescent="0.25">
      <c r="A39500" s="1" t="str">
        <f t="shared" si="1421"/>
        <v>99999</v>
      </c>
      <c r="B39500" s="1" t="str">
        <f>"73852"</f>
        <v>73852</v>
      </c>
      <c r="C39500" s="2">
        <v>1.08260890558416E-7</v>
      </c>
      <c r="D39500" s="2">
        <v>0</v>
      </c>
      <c r="E39500" s="2">
        <v>0</v>
      </c>
      <c r="F39500" s="2">
        <v>9.8681749974786797E-8</v>
      </c>
    </row>
    <row r="39501" spans="1:6" x14ac:dyDescent="0.25">
      <c r="A39501" s="1" t="str">
        <f t="shared" si="1421"/>
        <v>99999</v>
      </c>
      <c r="B39501" s="1" t="str">
        <f>"74445"</f>
        <v>74445</v>
      </c>
      <c r="C39501" s="2">
        <v>1.08260890558416E-7</v>
      </c>
      <c r="D39501" s="2">
        <v>0</v>
      </c>
      <c r="E39501" s="2">
        <v>0</v>
      </c>
      <c r="F39501" s="2">
        <v>9.8681749974786797E-8</v>
      </c>
    </row>
    <row r="39502" spans="1:6" x14ac:dyDescent="0.25">
      <c r="A39502" s="1" t="str">
        <f t="shared" si="1421"/>
        <v>99999</v>
      </c>
      <c r="B39502" s="1" t="str">
        <f>"45618"</f>
        <v>45618</v>
      </c>
      <c r="C39502" s="2">
        <v>0</v>
      </c>
      <c r="D39502" s="2">
        <v>1.50570889527644E-6</v>
      </c>
      <c r="E39502" s="2">
        <v>0</v>
      </c>
      <c r="F39502" s="2">
        <v>9.8681749974786797E-8</v>
      </c>
    </row>
    <row r="39503" spans="1:6" x14ac:dyDescent="0.25">
      <c r="A39503" s="1" t="str">
        <f t="shared" si="1421"/>
        <v>99999</v>
      </c>
      <c r="B39503" s="1" t="str">
        <f>"99554"</f>
        <v>99554</v>
      </c>
      <c r="C39503" s="2">
        <v>0</v>
      </c>
      <c r="D39503" s="2">
        <v>0</v>
      </c>
      <c r="E39503" s="2">
        <v>4.3010567696482999E-6</v>
      </c>
      <c r="F39503" s="2">
        <v>9.8681749974786797E-8</v>
      </c>
    </row>
    <row r="39504" spans="1:6" x14ac:dyDescent="0.25">
      <c r="A39504" s="1" t="str">
        <f t="shared" si="1421"/>
        <v>99999</v>
      </c>
      <c r="B39504" s="1" t="str">
        <f>"99633"</f>
        <v>99633</v>
      </c>
      <c r="C39504" s="2">
        <v>0</v>
      </c>
      <c r="D39504" s="2">
        <v>0</v>
      </c>
      <c r="E39504" s="2">
        <v>4.3010567696482999E-6</v>
      </c>
      <c r="F39504" s="2">
        <v>9.8681749974786797E-8</v>
      </c>
    </row>
    <row r="39505" spans="1:6" x14ac:dyDescent="0.25">
      <c r="A39505" s="1" t="str">
        <f t="shared" si="1421"/>
        <v>99999</v>
      </c>
      <c r="B39505" s="1" t="str">
        <f>"95944"</f>
        <v>95944</v>
      </c>
      <c r="C39505" s="2">
        <v>0</v>
      </c>
      <c r="D39505" s="2">
        <v>0</v>
      </c>
      <c r="E39505" s="2">
        <v>4.3010567696482999E-6</v>
      </c>
      <c r="F39505" s="2">
        <v>9.8681749974786797E-8</v>
      </c>
    </row>
    <row r="39506" spans="1:6" x14ac:dyDescent="0.25">
      <c r="A39506" s="1" t="str">
        <f t="shared" si="1421"/>
        <v>99999</v>
      </c>
      <c r="B39506" s="1" t="str">
        <f>"29844"</f>
        <v>29844</v>
      </c>
      <c r="C39506" s="2">
        <v>0</v>
      </c>
      <c r="D39506" s="2">
        <v>0</v>
      </c>
      <c r="E39506" s="2">
        <v>8.6021135392965999E-6</v>
      </c>
      <c r="F39506" s="2">
        <v>1.9736349994957301E-7</v>
      </c>
    </row>
    <row r="39507" spans="1:6" x14ac:dyDescent="0.25">
      <c r="A39507" s="1" t="str">
        <f t="shared" si="1421"/>
        <v>99999</v>
      </c>
      <c r="B39507" s="1" t="str">
        <f>"30819"</f>
        <v>30819</v>
      </c>
      <c r="C39507" s="2">
        <v>0</v>
      </c>
      <c r="D39507" s="2">
        <v>1.50570889527644E-6</v>
      </c>
      <c r="E39507" s="2">
        <v>0</v>
      </c>
      <c r="F39507" s="2">
        <v>9.8681749974786797E-8</v>
      </c>
    </row>
    <row r="39508" spans="1:6" x14ac:dyDescent="0.25">
      <c r="A39508" s="1" t="str">
        <f t="shared" si="1421"/>
        <v>99999</v>
      </c>
      <c r="B39508" s="1" t="str">
        <f>"44687"</f>
        <v>44687</v>
      </c>
      <c r="C39508" s="2">
        <v>0</v>
      </c>
      <c r="D39508" s="2">
        <v>0</v>
      </c>
      <c r="E39508" s="2">
        <v>4.3010567696482999E-6</v>
      </c>
      <c r="F39508" s="2">
        <v>9.8681749974786797E-8</v>
      </c>
    </row>
    <row r="39509" spans="1:6" x14ac:dyDescent="0.25">
      <c r="A39509" s="1" t="str">
        <f t="shared" si="1421"/>
        <v>99999</v>
      </c>
      <c r="B39509" s="1" t="str">
        <f>"16370"</f>
        <v>16370</v>
      </c>
      <c r="C39509" s="2">
        <v>0</v>
      </c>
      <c r="D39509" s="2">
        <v>0</v>
      </c>
      <c r="E39509" s="2">
        <v>4.3010567696482999E-6</v>
      </c>
      <c r="F39509" s="2">
        <v>9.8681749974786797E-8</v>
      </c>
    </row>
    <row r="39510" spans="1:6" x14ac:dyDescent="0.25">
      <c r="A39510" s="1" t="str">
        <f t="shared" si="1421"/>
        <v>99999</v>
      </c>
      <c r="B39510" s="1" t="str">
        <f>"95233"</f>
        <v>95233</v>
      </c>
      <c r="C39510" s="2">
        <v>0</v>
      </c>
      <c r="D39510" s="2">
        <v>0</v>
      </c>
      <c r="E39510" s="2">
        <v>4.3010567696482999E-6</v>
      </c>
      <c r="F39510" s="2">
        <v>9.8681749974786797E-8</v>
      </c>
    </row>
    <row r="39511" spans="1:6" x14ac:dyDescent="0.25">
      <c r="A39511" s="1" t="str">
        <f t="shared" si="1421"/>
        <v>99999</v>
      </c>
      <c r="B39511" s="1" t="str">
        <f>"47556"</f>
        <v>47556</v>
      </c>
      <c r="C39511" s="2">
        <v>0</v>
      </c>
      <c r="D39511" s="2">
        <v>0</v>
      </c>
      <c r="E39511" s="2">
        <v>8.6021135392965999E-6</v>
      </c>
      <c r="F39511" s="2">
        <v>1.9736349994957301E-7</v>
      </c>
    </row>
    <row r="39512" spans="1:6" x14ac:dyDescent="0.25">
      <c r="A39512" s="1" t="str">
        <f t="shared" si="1421"/>
        <v>99999</v>
      </c>
      <c r="B39512" s="1" t="str">
        <f>"86507"</f>
        <v>86507</v>
      </c>
      <c r="C39512" s="2">
        <v>0</v>
      </c>
      <c r="D39512" s="2">
        <v>0</v>
      </c>
      <c r="E39512" s="2">
        <v>4.3010567696482999E-6</v>
      </c>
      <c r="F39512" s="2">
        <v>9.8681749974786797E-8</v>
      </c>
    </row>
    <row r="39513" spans="1:6" x14ac:dyDescent="0.25">
      <c r="A39513" s="1" t="str">
        <f t="shared" si="1421"/>
        <v>99999</v>
      </c>
      <c r="B39513" s="1" t="str">
        <f>"04865"</f>
        <v>04865</v>
      </c>
      <c r="C39513" s="2">
        <v>0</v>
      </c>
      <c r="D39513" s="2">
        <v>0</v>
      </c>
      <c r="E39513" s="2">
        <v>4.3010567696482999E-6</v>
      </c>
      <c r="F39513" s="2">
        <v>9.8681749974786797E-8</v>
      </c>
    </row>
    <row r="39514" spans="1:6" x14ac:dyDescent="0.25">
      <c r="A39514" s="1" t="str">
        <f t="shared" si="1421"/>
        <v>99999</v>
      </c>
      <c r="B39514" s="1" t="str">
        <f>"16375"</f>
        <v>16375</v>
      </c>
      <c r="C39514" s="2">
        <v>0</v>
      </c>
      <c r="D39514" s="2">
        <v>0</v>
      </c>
      <c r="E39514" s="2">
        <v>4.3010567696482999E-6</v>
      </c>
      <c r="F39514" s="2">
        <v>9.8681749974786797E-8</v>
      </c>
    </row>
    <row r="39515" spans="1:6" x14ac:dyDescent="0.25">
      <c r="A39515" s="1" t="str">
        <f t="shared" si="1421"/>
        <v>99999</v>
      </c>
      <c r="B39515" s="1" t="str">
        <f>"31803"</f>
        <v>31803</v>
      </c>
      <c r="C39515" s="2">
        <v>3.2478267167524802E-7</v>
      </c>
      <c r="D39515" s="2">
        <v>0</v>
      </c>
      <c r="E39515" s="2">
        <v>0</v>
      </c>
      <c r="F39515" s="2">
        <v>2.9604524992435999E-7</v>
      </c>
    </row>
    <row r="39516" spans="1:6" x14ac:dyDescent="0.25">
      <c r="A39516" s="1" t="str">
        <f t="shared" si="1421"/>
        <v>99999</v>
      </c>
      <c r="B39516" s="1" t="str">
        <f>"52204"</f>
        <v>52204</v>
      </c>
      <c r="C39516" s="2">
        <v>0</v>
      </c>
      <c r="D39516" s="2">
        <v>4.5171266858293203E-6</v>
      </c>
      <c r="E39516" s="2">
        <v>0</v>
      </c>
      <c r="F39516" s="2">
        <v>2.9604524992435999E-7</v>
      </c>
    </row>
    <row r="39517" spans="1:6" x14ac:dyDescent="0.25">
      <c r="A39517" s="1" t="str">
        <f t="shared" si="1421"/>
        <v>99999</v>
      </c>
      <c r="B39517" s="1" t="str">
        <f>"04852"</f>
        <v>04852</v>
      </c>
      <c r="C39517" s="2">
        <v>0</v>
      </c>
      <c r="D39517" s="2">
        <v>0</v>
      </c>
      <c r="E39517" s="2">
        <v>4.3010567696482999E-6</v>
      </c>
      <c r="F39517" s="2">
        <v>9.8681749974786797E-8</v>
      </c>
    </row>
    <row r="39518" spans="1:6" x14ac:dyDescent="0.25">
      <c r="A39518" s="1" t="str">
        <f t="shared" si="1421"/>
        <v>99999</v>
      </c>
      <c r="B39518" s="1" t="str">
        <f>"28618"</f>
        <v>28618</v>
      </c>
      <c r="C39518" s="2">
        <v>2.1652178111683201E-7</v>
      </c>
      <c r="D39518" s="2">
        <v>0</v>
      </c>
      <c r="E39518" s="2">
        <v>0</v>
      </c>
      <c r="F39518" s="2">
        <v>1.9736349994957301E-7</v>
      </c>
    </row>
    <row r="39519" spans="1:6" x14ac:dyDescent="0.25">
      <c r="A39519" s="1" t="str">
        <f t="shared" si="1421"/>
        <v>99999</v>
      </c>
      <c r="B39519" s="1" t="str">
        <f>"38877"</f>
        <v>38877</v>
      </c>
      <c r="C39519" s="2">
        <v>0</v>
      </c>
      <c r="D39519" s="2">
        <v>1.50570889527644E-6</v>
      </c>
      <c r="E39519" s="2">
        <v>0</v>
      </c>
      <c r="F39519" s="2">
        <v>9.8681749974786797E-8</v>
      </c>
    </row>
    <row r="39520" spans="1:6" x14ac:dyDescent="0.25">
      <c r="A39520" s="1" t="str">
        <f t="shared" si="1421"/>
        <v>99999</v>
      </c>
      <c r="B39520" s="1" t="str">
        <f>"99578"</f>
        <v>99578</v>
      </c>
      <c r="C39520" s="2">
        <v>0</v>
      </c>
      <c r="D39520" s="2">
        <v>0</v>
      </c>
      <c r="E39520" s="2">
        <v>4.3010567696482999E-6</v>
      </c>
      <c r="F39520" s="2">
        <v>9.8681749974786797E-8</v>
      </c>
    </row>
    <row r="39521" spans="1:6" x14ac:dyDescent="0.25">
      <c r="A39521" s="1" t="str">
        <f t="shared" si="1421"/>
        <v>99999</v>
      </c>
      <c r="B39521" s="1" t="str">
        <f>"63674"</f>
        <v>63674</v>
      </c>
      <c r="C39521" s="2">
        <v>0</v>
      </c>
      <c r="D39521" s="2">
        <v>0</v>
      </c>
      <c r="E39521" s="2">
        <v>4.3010567696482999E-6</v>
      </c>
      <c r="F39521" s="2">
        <v>9.8681749974786797E-8</v>
      </c>
    </row>
    <row r="39522" spans="1:6" x14ac:dyDescent="0.25">
      <c r="A39522" s="1" t="str">
        <f t="shared" si="1421"/>
        <v>99999</v>
      </c>
      <c r="B39522" s="1" t="str">
        <f>"99682"</f>
        <v>99682</v>
      </c>
      <c r="C39522" s="2">
        <v>0</v>
      </c>
      <c r="D39522" s="2">
        <v>0</v>
      </c>
      <c r="E39522" s="2">
        <v>4.3010567696482999E-6</v>
      </c>
      <c r="F39522" s="2">
        <v>9.8681749974786797E-8</v>
      </c>
    </row>
    <row r="39523" spans="1:6" x14ac:dyDescent="0.25">
      <c r="A39523" s="1" t="str">
        <f t="shared" si="1421"/>
        <v>99999</v>
      </c>
      <c r="B39523" s="1" t="str">
        <f>"67860"</f>
        <v>67860</v>
      </c>
      <c r="C39523" s="2">
        <v>1.08260890558416E-7</v>
      </c>
      <c r="D39523" s="2">
        <v>0</v>
      </c>
      <c r="E39523" s="2">
        <v>0</v>
      </c>
      <c r="F39523" s="2">
        <v>9.8681749974786797E-8</v>
      </c>
    </row>
    <row r="39524" spans="1:6" x14ac:dyDescent="0.25">
      <c r="A39524" s="1" t="str">
        <f t="shared" si="1421"/>
        <v>99999</v>
      </c>
      <c r="B39524" s="1" t="str">
        <f>"71630"</f>
        <v>71630</v>
      </c>
      <c r="C39524" s="2">
        <v>0</v>
      </c>
      <c r="D39524" s="2">
        <v>0</v>
      </c>
      <c r="E39524" s="2">
        <v>4.3010567696482999E-6</v>
      </c>
      <c r="F39524" s="2">
        <v>9.8681749974786797E-8</v>
      </c>
    </row>
    <row r="39525" spans="1:6" x14ac:dyDescent="0.25">
      <c r="A39525" s="1" t="str">
        <f t="shared" si="1421"/>
        <v>99999</v>
      </c>
      <c r="B39525" s="1" t="str">
        <f>"74752"</f>
        <v>74752</v>
      </c>
      <c r="C39525" s="2">
        <v>0</v>
      </c>
      <c r="D39525" s="2">
        <v>0</v>
      </c>
      <c r="E39525" s="2">
        <v>4.3010567696482999E-6</v>
      </c>
      <c r="F39525" s="2">
        <v>9.8681749974786797E-8</v>
      </c>
    </row>
    <row r="39526" spans="1:6" x14ac:dyDescent="0.25">
      <c r="A39526" s="1" t="str">
        <f t="shared" si="1421"/>
        <v>99999</v>
      </c>
      <c r="B39526" s="1" t="str">
        <f>"78960"</f>
        <v>78960</v>
      </c>
      <c r="C39526" s="2">
        <v>0</v>
      </c>
      <c r="D39526" s="2">
        <v>1.50570889527644E-6</v>
      </c>
      <c r="E39526" s="2">
        <v>0</v>
      </c>
      <c r="F39526" s="2">
        <v>9.8681749974786797E-8</v>
      </c>
    </row>
    <row r="39527" spans="1:6" x14ac:dyDescent="0.25">
      <c r="A39527" s="1" t="str">
        <f t="shared" si="1421"/>
        <v>99999</v>
      </c>
      <c r="B39527" s="1" t="str">
        <f>"80442"</f>
        <v>80442</v>
      </c>
      <c r="C39527" s="2">
        <v>0</v>
      </c>
      <c r="D39527" s="2">
        <v>4.5171266858293203E-6</v>
      </c>
      <c r="E39527" s="2">
        <v>4.3010567696482999E-6</v>
      </c>
      <c r="F39527" s="2">
        <v>3.9472699989914697E-7</v>
      </c>
    </row>
    <row r="39528" spans="1:6" x14ac:dyDescent="0.25">
      <c r="A39528" s="1" t="str">
        <f t="shared" si="1421"/>
        <v>99999</v>
      </c>
      <c r="B39528" s="1" t="str">
        <f>"32697"</f>
        <v>32697</v>
      </c>
      <c r="C39528" s="2">
        <v>0</v>
      </c>
      <c r="D39528" s="2">
        <v>0</v>
      </c>
      <c r="E39528" s="2">
        <v>4.3010567696482999E-6</v>
      </c>
      <c r="F39528" s="2">
        <v>9.8681749974786797E-8</v>
      </c>
    </row>
    <row r="39529" spans="1:6" x14ac:dyDescent="0.25">
      <c r="A39529" s="1" t="str">
        <f t="shared" si="1421"/>
        <v>99999</v>
      </c>
      <c r="B39529" s="1" t="str">
        <f>"56344"</f>
        <v>56344</v>
      </c>
      <c r="C39529" s="2">
        <v>0</v>
      </c>
      <c r="D39529" s="2">
        <v>1.50570889527644E-6</v>
      </c>
      <c r="E39529" s="2">
        <v>0</v>
      </c>
      <c r="F39529" s="2">
        <v>9.8681749974786797E-8</v>
      </c>
    </row>
    <row r="39530" spans="1:6" x14ac:dyDescent="0.25">
      <c r="A39530" s="1" t="str">
        <f t="shared" si="1421"/>
        <v>99999</v>
      </c>
      <c r="B39530" s="1" t="str">
        <f>"74761"</f>
        <v>74761</v>
      </c>
      <c r="C39530" s="2">
        <v>0</v>
      </c>
      <c r="D39530" s="2">
        <v>0</v>
      </c>
      <c r="E39530" s="2">
        <v>4.3010567696482999E-6</v>
      </c>
      <c r="F39530" s="2">
        <v>9.8681749974786797E-8</v>
      </c>
    </row>
    <row r="39531" spans="1:6" x14ac:dyDescent="0.25">
      <c r="A39531" s="1" t="str">
        <f t="shared" si="1421"/>
        <v>99999</v>
      </c>
      <c r="B39531" s="1" t="str">
        <f>"57776"</f>
        <v>57776</v>
      </c>
      <c r="C39531" s="2">
        <v>1.08260890558416E-7</v>
      </c>
      <c r="D39531" s="2">
        <v>0</v>
      </c>
      <c r="E39531" s="2">
        <v>4.3010567696482999E-6</v>
      </c>
      <c r="F39531" s="2">
        <v>1.9736349994957301E-7</v>
      </c>
    </row>
    <row r="39532" spans="1:6" x14ac:dyDescent="0.25">
      <c r="A39532" s="1" t="str">
        <f t="shared" si="1421"/>
        <v>99999</v>
      </c>
      <c r="B39532" s="1" t="str">
        <f>"84758"</f>
        <v>84758</v>
      </c>
      <c r="C39532" s="2">
        <v>1.08260890558416E-7</v>
      </c>
      <c r="D39532" s="2">
        <v>0</v>
      </c>
      <c r="E39532" s="2">
        <v>8.6021135392965999E-6</v>
      </c>
      <c r="F39532" s="2">
        <v>2.9604524992435999E-7</v>
      </c>
    </row>
    <row r="39533" spans="1:6" x14ac:dyDescent="0.25">
      <c r="A39533" s="1" t="str">
        <f t="shared" si="1421"/>
        <v>99999</v>
      </c>
      <c r="B39533" s="1" t="str">
        <f>"99690"</f>
        <v>99690</v>
      </c>
      <c r="C39533" s="2">
        <v>0</v>
      </c>
      <c r="D39533" s="2">
        <v>0</v>
      </c>
      <c r="E39533" s="2">
        <v>4.3010567696482999E-6</v>
      </c>
      <c r="F39533" s="2">
        <v>9.8681749974786797E-8</v>
      </c>
    </row>
    <row r="39534" spans="1:6" x14ac:dyDescent="0.25">
      <c r="A39534" s="1" t="str">
        <f t="shared" si="1421"/>
        <v>99999</v>
      </c>
      <c r="B39534" s="1" t="str">
        <f>"72636"</f>
        <v>72636</v>
      </c>
      <c r="C39534" s="2">
        <v>0</v>
      </c>
      <c r="D39534" s="2">
        <v>0</v>
      </c>
      <c r="E39534" s="2">
        <v>4.3010567696482999E-6</v>
      </c>
      <c r="F39534" s="2">
        <v>9.8681749974786797E-8</v>
      </c>
    </row>
    <row r="39535" spans="1:6" x14ac:dyDescent="0.25">
      <c r="A39535" s="1" t="str">
        <f t="shared" si="1421"/>
        <v>99999</v>
      </c>
      <c r="B39535" s="1" t="str">
        <f>"99734"</f>
        <v>99734</v>
      </c>
      <c r="C39535" s="2">
        <v>0</v>
      </c>
      <c r="D39535" s="2">
        <v>0</v>
      </c>
      <c r="E39535" s="2">
        <v>4.3010567696482999E-6</v>
      </c>
      <c r="F39535" s="2">
        <v>9.8681749974786797E-8</v>
      </c>
    </row>
    <row r="39536" spans="1:6" x14ac:dyDescent="0.25">
      <c r="A39536" s="1" t="str">
        <f t="shared" si="1421"/>
        <v>99999</v>
      </c>
      <c r="B39536" s="1" t="str">
        <f>"73033"</f>
        <v>73033</v>
      </c>
      <c r="C39536" s="2">
        <v>1.08260890558416E-7</v>
      </c>
      <c r="D39536" s="2">
        <v>0</v>
      </c>
      <c r="E39536" s="2">
        <v>4.3010567696482999E-6</v>
      </c>
      <c r="F39536" s="2">
        <v>1.9736349994957301E-7</v>
      </c>
    </row>
    <row r="39537" spans="1:6" x14ac:dyDescent="0.25">
      <c r="A39537" s="1" t="str">
        <f t="shared" si="1421"/>
        <v>99999</v>
      </c>
      <c r="B39537" s="1" t="str">
        <f>"96085"</f>
        <v>96085</v>
      </c>
      <c r="C39537" s="2">
        <v>1.08260890558416E-7</v>
      </c>
      <c r="D39537" s="2">
        <v>0</v>
      </c>
      <c r="E39537" s="2">
        <v>4.3010567696482999E-6</v>
      </c>
      <c r="F39537" s="2">
        <v>1.9736349994957301E-7</v>
      </c>
    </row>
    <row r="39538" spans="1:6" x14ac:dyDescent="0.25">
      <c r="A39538" s="1" t="str">
        <f t="shared" si="1421"/>
        <v>99999</v>
      </c>
      <c r="B39538" s="1" t="str">
        <f>"72059"</f>
        <v>72059</v>
      </c>
      <c r="C39538" s="2">
        <v>0</v>
      </c>
      <c r="D39538" s="2">
        <v>0</v>
      </c>
      <c r="E39538" s="2">
        <v>4.3010567696482999E-6</v>
      </c>
      <c r="F39538" s="2">
        <v>9.8681749974786797E-8</v>
      </c>
    </row>
    <row r="39539" spans="1:6" x14ac:dyDescent="0.25">
      <c r="A39539" s="1" t="str">
        <f t="shared" si="1421"/>
        <v>99999</v>
      </c>
      <c r="B39539" s="1" t="str">
        <f>"77350"</f>
        <v>77350</v>
      </c>
      <c r="C39539" s="2">
        <v>0</v>
      </c>
      <c r="D39539" s="2">
        <v>1.50570889527644E-6</v>
      </c>
      <c r="E39539" s="2">
        <v>0</v>
      </c>
      <c r="F39539" s="2">
        <v>9.8681749974786797E-8</v>
      </c>
    </row>
    <row r="39540" spans="1:6" x14ac:dyDescent="0.25">
      <c r="A39540" s="1" t="str">
        <f t="shared" si="1421"/>
        <v>99999</v>
      </c>
      <c r="B39540" s="1" t="str">
        <f>"26229"</f>
        <v>26229</v>
      </c>
      <c r="C39540" s="2">
        <v>0</v>
      </c>
      <c r="D39540" s="2">
        <v>1.50570889527644E-6</v>
      </c>
      <c r="E39540" s="2">
        <v>0</v>
      </c>
      <c r="F39540" s="2">
        <v>9.8681749974786797E-8</v>
      </c>
    </row>
    <row r="39541" spans="1:6" x14ac:dyDescent="0.25">
      <c r="A39541" s="1" t="str">
        <f t="shared" si="1421"/>
        <v>99999</v>
      </c>
      <c r="B39541" s="1" t="str">
        <f>"74737"</f>
        <v>74737</v>
      </c>
      <c r="C39541" s="2">
        <v>0</v>
      </c>
      <c r="D39541" s="2">
        <v>0</v>
      </c>
      <c r="E39541" s="2">
        <v>4.3010567696482999E-6</v>
      </c>
      <c r="F39541" s="2">
        <v>9.8681749974786797E-8</v>
      </c>
    </row>
    <row r="39542" spans="1:6" x14ac:dyDescent="0.25">
      <c r="A39542" s="1" t="str">
        <f t="shared" si="1421"/>
        <v>99999</v>
      </c>
      <c r="B39542" s="1" t="str">
        <f>"12435"</f>
        <v>12435</v>
      </c>
      <c r="C39542" s="2">
        <v>2.1652178111683201E-7</v>
      </c>
      <c r="D39542" s="2">
        <v>0</v>
      </c>
      <c r="E39542" s="2">
        <v>0</v>
      </c>
      <c r="F39542" s="2">
        <v>1.9736349994957301E-7</v>
      </c>
    </row>
    <row r="39543" spans="1:6" x14ac:dyDescent="0.25">
      <c r="A39543" s="1" t="str">
        <f t="shared" si="1421"/>
        <v>99999</v>
      </c>
      <c r="B39543" s="1" t="str">
        <f>"30429"</f>
        <v>30429</v>
      </c>
      <c r="C39543" s="2">
        <v>0</v>
      </c>
      <c r="D39543" s="2">
        <v>1.50570889527644E-6</v>
      </c>
      <c r="E39543" s="2">
        <v>0</v>
      </c>
      <c r="F39543" s="2">
        <v>9.8681749974786797E-8</v>
      </c>
    </row>
    <row r="39544" spans="1:6" x14ac:dyDescent="0.25">
      <c r="A39544" s="1" t="str">
        <f t="shared" si="1421"/>
        <v>99999</v>
      </c>
      <c r="B39544" s="1" t="str">
        <f>"30448"</f>
        <v>30448</v>
      </c>
      <c r="C39544" s="2">
        <v>0</v>
      </c>
      <c r="D39544" s="2">
        <v>1.50570889527644E-6</v>
      </c>
      <c r="E39544" s="2">
        <v>0</v>
      </c>
      <c r="F39544" s="2">
        <v>9.8681749974786797E-8</v>
      </c>
    </row>
    <row r="39545" spans="1:6" x14ac:dyDescent="0.25">
      <c r="A39545" s="1" t="str">
        <f t="shared" si="1421"/>
        <v>99999</v>
      </c>
      <c r="B39545" s="1" t="str">
        <f>"66728"</f>
        <v>66728</v>
      </c>
      <c r="C39545" s="2">
        <v>0</v>
      </c>
      <c r="D39545" s="2">
        <v>0</v>
      </c>
      <c r="E39545" s="2">
        <v>4.3010567696482999E-6</v>
      </c>
      <c r="F39545" s="2">
        <v>9.8681749974786797E-8</v>
      </c>
    </row>
    <row r="39546" spans="1:6" x14ac:dyDescent="0.25">
      <c r="A39546" s="1" t="str">
        <f t="shared" si="1421"/>
        <v>99999</v>
      </c>
      <c r="B39546" s="1" t="str">
        <f>"99766"</f>
        <v>99766</v>
      </c>
      <c r="C39546" s="2">
        <v>0</v>
      </c>
      <c r="D39546" s="2">
        <v>0</v>
      </c>
      <c r="E39546" s="2">
        <v>4.3010567696482999E-6</v>
      </c>
      <c r="F39546" s="2">
        <v>9.8681749974786797E-8</v>
      </c>
    </row>
    <row r="39547" spans="1:6" x14ac:dyDescent="0.25">
      <c r="A39547" s="1" t="str">
        <f t="shared" si="1421"/>
        <v>99999</v>
      </c>
      <c r="B39547" s="1" t="str">
        <f>"45848"</f>
        <v>45848</v>
      </c>
      <c r="C39547" s="2">
        <v>0</v>
      </c>
      <c r="D39547" s="2">
        <v>1.50570889527644E-6</v>
      </c>
      <c r="E39547" s="2">
        <v>0</v>
      </c>
      <c r="F39547" s="2">
        <v>9.8681749974786797E-8</v>
      </c>
    </row>
    <row r="39548" spans="1:6" x14ac:dyDescent="0.25">
      <c r="A39548" s="1" t="str">
        <f t="shared" si="1421"/>
        <v>99999</v>
      </c>
      <c r="B39548" s="1" t="str">
        <f>"61850"</f>
        <v>61850</v>
      </c>
      <c r="C39548" s="2">
        <v>1.08260890558416E-7</v>
      </c>
      <c r="D39548" s="2">
        <v>0</v>
      </c>
      <c r="E39548" s="2">
        <v>0</v>
      </c>
      <c r="F39548" s="2">
        <v>9.8681749974786797E-8</v>
      </c>
    </row>
    <row r="39549" spans="1:6" x14ac:dyDescent="0.25">
      <c r="A39549" s="1" t="str">
        <f t="shared" si="1421"/>
        <v>99999</v>
      </c>
      <c r="B39549" s="1" t="str">
        <f>"16322"</f>
        <v>16322</v>
      </c>
      <c r="C39549" s="2">
        <v>0</v>
      </c>
      <c r="D39549" s="2">
        <v>0</v>
      </c>
      <c r="E39549" s="2">
        <v>4.3010567696482999E-6</v>
      </c>
      <c r="F39549" s="2">
        <v>9.8681749974786797E-8</v>
      </c>
    </row>
    <row r="39550" spans="1:6" x14ac:dyDescent="0.25">
      <c r="A39550" s="1" t="str">
        <f t="shared" si="1421"/>
        <v>99999</v>
      </c>
      <c r="B39550" s="1" t="str">
        <f>"54990"</f>
        <v>54990</v>
      </c>
      <c r="C39550" s="2">
        <v>0</v>
      </c>
      <c r="D39550" s="2">
        <v>1.50570889527644E-6</v>
      </c>
      <c r="E39550" s="2">
        <v>0</v>
      </c>
      <c r="F39550" s="2">
        <v>9.8681749974786797E-8</v>
      </c>
    </row>
    <row r="39551" spans="1:6" x14ac:dyDescent="0.25">
      <c r="A39551" s="1" t="str">
        <f t="shared" si="1421"/>
        <v>99999</v>
      </c>
      <c r="B39551" s="1" t="str">
        <f>"79065"</f>
        <v>79065</v>
      </c>
      <c r="C39551" s="2">
        <v>1.08260890558416E-7</v>
      </c>
      <c r="D39551" s="2">
        <v>0</v>
      </c>
      <c r="E39551" s="2">
        <v>0</v>
      </c>
      <c r="F39551" s="2">
        <v>9.8681749974786797E-8</v>
      </c>
    </row>
    <row r="39552" spans="1:6" x14ac:dyDescent="0.25">
      <c r="A39552" s="1" t="str">
        <f t="shared" si="1421"/>
        <v>99999</v>
      </c>
      <c r="B39552" s="1" t="str">
        <f>"13404"</f>
        <v>13404</v>
      </c>
      <c r="C39552" s="2">
        <v>0</v>
      </c>
      <c r="D39552" s="2">
        <v>0</v>
      </c>
      <c r="E39552" s="2">
        <v>4.3010567696482999E-6</v>
      </c>
      <c r="F39552" s="2">
        <v>9.8681749974786797E-8</v>
      </c>
    </row>
    <row r="39553" spans="1:6" x14ac:dyDescent="0.25">
      <c r="A39553" s="1" t="str">
        <f t="shared" si="1421"/>
        <v>99999</v>
      </c>
      <c r="B39553" s="1" t="str">
        <f>"22579"</f>
        <v>22579</v>
      </c>
      <c r="C39553" s="2">
        <v>0</v>
      </c>
      <c r="D39553" s="2">
        <v>0</v>
      </c>
      <c r="E39553" s="2">
        <v>4.3010567696482999E-6</v>
      </c>
      <c r="F39553" s="2">
        <v>9.8681749974786797E-8</v>
      </c>
    </row>
    <row r="39554" spans="1:6" x14ac:dyDescent="0.25">
      <c r="A39554" s="1" t="str">
        <f t="shared" si="1421"/>
        <v>99999</v>
      </c>
      <c r="B39554" s="1" t="str">
        <f>"99761"</f>
        <v>99761</v>
      </c>
      <c r="C39554" s="2">
        <v>0</v>
      </c>
      <c r="D39554" s="2">
        <v>0</v>
      </c>
      <c r="E39554" s="2">
        <v>4.3010567696482999E-6</v>
      </c>
      <c r="F39554" s="2">
        <v>9.8681749974786797E-8</v>
      </c>
    </row>
    <row r="39555" spans="1:6" x14ac:dyDescent="0.25">
      <c r="A39555" s="1" t="str">
        <f t="shared" si="1421"/>
        <v>99999</v>
      </c>
      <c r="B39555" s="1" t="str">
        <f>"79742"</f>
        <v>79742</v>
      </c>
      <c r="C39555" s="2">
        <v>0</v>
      </c>
      <c r="D39555" s="2">
        <v>1.50570889527644E-6</v>
      </c>
      <c r="E39555" s="2">
        <v>0</v>
      </c>
      <c r="F39555" s="2">
        <v>9.8681749974786797E-8</v>
      </c>
    </row>
    <row r="39556" spans="1:6" x14ac:dyDescent="0.25">
      <c r="A39556" s="1" t="str">
        <f t="shared" si="1421"/>
        <v>99999</v>
      </c>
      <c r="B39556" s="1" t="str">
        <f>"22513"</f>
        <v>22513</v>
      </c>
      <c r="C39556" s="2">
        <v>0</v>
      </c>
      <c r="D39556" s="2">
        <v>0</v>
      </c>
      <c r="E39556" s="2">
        <v>4.3010567696482999E-6</v>
      </c>
      <c r="F39556" s="2">
        <v>9.8681749974786797E-8</v>
      </c>
    </row>
    <row r="39557" spans="1:6" x14ac:dyDescent="0.25">
      <c r="A39557" s="1" t="str">
        <f t="shared" si="1421"/>
        <v>99999</v>
      </c>
      <c r="B39557" s="1" t="str">
        <f>"56022"</f>
        <v>56022</v>
      </c>
      <c r="C39557" s="2">
        <v>0</v>
      </c>
      <c r="D39557" s="2">
        <v>0</v>
      </c>
      <c r="E39557" s="2">
        <v>4.3010567696482999E-6</v>
      </c>
      <c r="F39557" s="2">
        <v>9.8681749974786797E-8</v>
      </c>
    </row>
    <row r="39558" spans="1:6" x14ac:dyDescent="0.25">
      <c r="A39558" s="1" t="str">
        <f t="shared" ref="A39558:A39621" si="1422">"99999"</f>
        <v>99999</v>
      </c>
      <c r="B39558" s="1" t="str">
        <f>"68362"</f>
        <v>68362</v>
      </c>
      <c r="C39558" s="2">
        <v>0</v>
      </c>
      <c r="D39558" s="2">
        <v>0</v>
      </c>
      <c r="E39558" s="2">
        <v>4.3010567696482999E-6</v>
      </c>
      <c r="F39558" s="2">
        <v>9.8681749974786797E-8</v>
      </c>
    </row>
    <row r="39559" spans="1:6" x14ac:dyDescent="0.25">
      <c r="A39559" s="1" t="str">
        <f t="shared" si="1422"/>
        <v>99999</v>
      </c>
      <c r="B39559" s="1" t="str">
        <f>"39829"</f>
        <v>39829</v>
      </c>
      <c r="C39559" s="2">
        <v>0</v>
      </c>
      <c r="D39559" s="2">
        <v>1.50570889527644E-6</v>
      </c>
      <c r="E39559" s="2">
        <v>0</v>
      </c>
      <c r="F39559" s="2">
        <v>9.8681749974786797E-8</v>
      </c>
    </row>
    <row r="39560" spans="1:6" x14ac:dyDescent="0.25">
      <c r="A39560" s="1" t="str">
        <f t="shared" si="1422"/>
        <v>99999</v>
      </c>
      <c r="B39560" s="1" t="str">
        <f>"45807"</f>
        <v>45807</v>
      </c>
      <c r="C39560" s="2">
        <v>1.08260890558416E-7</v>
      </c>
      <c r="D39560" s="2">
        <v>0</v>
      </c>
      <c r="E39560" s="2">
        <v>0</v>
      </c>
      <c r="F39560" s="2">
        <v>9.8681749974786797E-8</v>
      </c>
    </row>
    <row r="39561" spans="1:6" x14ac:dyDescent="0.25">
      <c r="A39561" s="1" t="str">
        <f t="shared" si="1422"/>
        <v>99999</v>
      </c>
      <c r="B39561" s="1" t="str">
        <f>"36753"</f>
        <v>36753</v>
      </c>
      <c r="C39561" s="2">
        <v>0</v>
      </c>
      <c r="D39561" s="2">
        <v>1.50570889527644E-6</v>
      </c>
      <c r="E39561" s="2">
        <v>0</v>
      </c>
      <c r="F39561" s="2">
        <v>9.8681749974786797E-8</v>
      </c>
    </row>
    <row r="39562" spans="1:6" x14ac:dyDescent="0.25">
      <c r="A39562" s="1" t="str">
        <f t="shared" si="1422"/>
        <v>99999</v>
      </c>
      <c r="B39562" s="1" t="str">
        <f>"54857"</f>
        <v>54857</v>
      </c>
      <c r="C39562" s="2">
        <v>0</v>
      </c>
      <c r="D39562" s="2">
        <v>0</v>
      </c>
      <c r="E39562" s="2">
        <v>4.3010567696482999E-6</v>
      </c>
      <c r="F39562" s="2">
        <v>9.8681749974786797E-8</v>
      </c>
    </row>
    <row r="39563" spans="1:6" x14ac:dyDescent="0.25">
      <c r="A39563" s="1" t="str">
        <f t="shared" si="1422"/>
        <v>99999</v>
      </c>
      <c r="B39563" s="1" t="str">
        <f>"23955"</f>
        <v>23955</v>
      </c>
      <c r="C39563" s="2">
        <v>0</v>
      </c>
      <c r="D39563" s="2">
        <v>0</v>
      </c>
      <c r="E39563" s="2">
        <v>4.3010567696482999E-6</v>
      </c>
      <c r="F39563" s="2">
        <v>9.8681749974786797E-8</v>
      </c>
    </row>
    <row r="39564" spans="1:6" x14ac:dyDescent="0.25">
      <c r="A39564" s="1" t="str">
        <f t="shared" si="1422"/>
        <v>99999</v>
      </c>
      <c r="B39564" s="1" t="str">
        <f>"22530"</f>
        <v>22530</v>
      </c>
      <c r="C39564" s="2">
        <v>0</v>
      </c>
      <c r="D39564" s="2">
        <v>0</v>
      </c>
      <c r="E39564" s="2">
        <v>4.3010567696482999E-6</v>
      </c>
      <c r="F39564" s="2">
        <v>9.8681749974786797E-8</v>
      </c>
    </row>
    <row r="39565" spans="1:6" x14ac:dyDescent="0.25">
      <c r="A39565" s="1" t="str">
        <f t="shared" si="1422"/>
        <v>99999</v>
      </c>
      <c r="B39565" s="1" t="str">
        <f>"82422"</f>
        <v>82422</v>
      </c>
      <c r="C39565" s="2">
        <v>0</v>
      </c>
      <c r="D39565" s="2">
        <v>0</v>
      </c>
      <c r="E39565" s="2">
        <v>4.3010567696482999E-6</v>
      </c>
      <c r="F39565" s="2">
        <v>9.8681749974786797E-8</v>
      </c>
    </row>
    <row r="39566" spans="1:6" x14ac:dyDescent="0.25">
      <c r="A39566" s="1" t="str">
        <f t="shared" si="1422"/>
        <v>99999</v>
      </c>
      <c r="B39566" s="1" t="str">
        <f>"45779"</f>
        <v>45779</v>
      </c>
      <c r="C39566" s="2">
        <v>0</v>
      </c>
      <c r="D39566" s="2">
        <v>1.50570889527644E-6</v>
      </c>
      <c r="E39566" s="2">
        <v>0</v>
      </c>
      <c r="F39566" s="2">
        <v>9.8681749974786797E-8</v>
      </c>
    </row>
    <row r="39567" spans="1:6" x14ac:dyDescent="0.25">
      <c r="A39567" s="1" t="str">
        <f t="shared" si="1422"/>
        <v>99999</v>
      </c>
      <c r="B39567" s="1" t="str">
        <f>"57223"</f>
        <v>57223</v>
      </c>
      <c r="C39567" s="2">
        <v>1.08260890558416E-7</v>
      </c>
      <c r="D39567" s="2">
        <v>0</v>
      </c>
      <c r="E39567" s="2">
        <v>0</v>
      </c>
      <c r="F39567" s="2">
        <v>9.8681749974786797E-8</v>
      </c>
    </row>
    <row r="39568" spans="1:6" x14ac:dyDescent="0.25">
      <c r="A39568" s="1" t="str">
        <f t="shared" si="1422"/>
        <v>99999</v>
      </c>
      <c r="B39568" s="1" t="str">
        <f>"83531"</f>
        <v>83531</v>
      </c>
      <c r="C39568" s="2">
        <v>0</v>
      </c>
      <c r="D39568" s="2">
        <v>0</v>
      </c>
      <c r="E39568" s="2">
        <v>4.3010567696482999E-6</v>
      </c>
      <c r="F39568" s="2">
        <v>9.8681749974786797E-8</v>
      </c>
    </row>
    <row r="39569" spans="1:6" x14ac:dyDescent="0.25">
      <c r="A39569" s="1" t="str">
        <f t="shared" si="1422"/>
        <v>99999</v>
      </c>
      <c r="B39569" s="1" t="str">
        <f>"42720"</f>
        <v>42720</v>
      </c>
      <c r="C39569" s="2">
        <v>0</v>
      </c>
      <c r="D39569" s="2">
        <v>0</v>
      </c>
      <c r="E39569" s="2">
        <v>4.3010567696482999E-6</v>
      </c>
      <c r="F39569" s="2">
        <v>9.8681749974786797E-8</v>
      </c>
    </row>
    <row r="39570" spans="1:6" x14ac:dyDescent="0.25">
      <c r="A39570" s="1" t="str">
        <f t="shared" si="1422"/>
        <v>99999</v>
      </c>
      <c r="B39570" s="1" t="str">
        <f>"27869"</f>
        <v>27869</v>
      </c>
      <c r="C39570" s="2">
        <v>7.5782623390891299E-7</v>
      </c>
      <c r="D39570" s="2">
        <v>0</v>
      </c>
      <c r="E39570" s="2">
        <v>0</v>
      </c>
      <c r="F39570" s="2">
        <v>6.9077224982350697E-7</v>
      </c>
    </row>
    <row r="39571" spans="1:6" x14ac:dyDescent="0.25">
      <c r="A39571" s="1" t="str">
        <f t="shared" si="1422"/>
        <v>99999</v>
      </c>
      <c r="B39571" s="1" t="str">
        <f>"62677"</f>
        <v>62677</v>
      </c>
      <c r="C39571" s="2">
        <v>1.08260890558416E-7</v>
      </c>
      <c r="D39571" s="2">
        <v>0</v>
      </c>
      <c r="E39571" s="2">
        <v>0</v>
      </c>
      <c r="F39571" s="2">
        <v>9.8681749974786797E-8</v>
      </c>
    </row>
    <row r="39572" spans="1:6" x14ac:dyDescent="0.25">
      <c r="A39572" s="1" t="str">
        <f t="shared" si="1422"/>
        <v>99999</v>
      </c>
      <c r="B39572" s="1" t="str">
        <f>"24816"</f>
        <v>24816</v>
      </c>
      <c r="C39572" s="2">
        <v>0</v>
      </c>
      <c r="D39572" s="2">
        <v>1.50570889527644E-6</v>
      </c>
      <c r="E39572" s="2">
        <v>0</v>
      </c>
      <c r="F39572" s="2">
        <v>9.8681749974786797E-8</v>
      </c>
    </row>
    <row r="39573" spans="1:6" x14ac:dyDescent="0.25">
      <c r="A39573" s="1" t="str">
        <f t="shared" si="1422"/>
        <v>99999</v>
      </c>
      <c r="B39573" s="1" t="str">
        <f>"56185"</f>
        <v>56185</v>
      </c>
      <c r="C39573" s="2">
        <v>1.08260890558416E-7</v>
      </c>
      <c r="D39573" s="2">
        <v>0</v>
      </c>
      <c r="E39573" s="2">
        <v>0</v>
      </c>
      <c r="F39573" s="2">
        <v>9.8681749974786797E-8</v>
      </c>
    </row>
    <row r="39574" spans="1:6" x14ac:dyDescent="0.25">
      <c r="A39574" s="1" t="str">
        <f t="shared" si="1422"/>
        <v>99999</v>
      </c>
      <c r="B39574" s="1" t="str">
        <f>"64680"</f>
        <v>64680</v>
      </c>
      <c r="C39574" s="2">
        <v>0</v>
      </c>
      <c r="D39574" s="2">
        <v>1.50570889527644E-6</v>
      </c>
      <c r="E39574" s="2">
        <v>0</v>
      </c>
      <c r="F39574" s="2">
        <v>9.8681749974786797E-8</v>
      </c>
    </row>
    <row r="39575" spans="1:6" x14ac:dyDescent="0.25">
      <c r="A39575" s="1" t="str">
        <f t="shared" si="1422"/>
        <v>99999</v>
      </c>
      <c r="B39575" s="1" t="str">
        <f>"65652"</f>
        <v>65652</v>
      </c>
      <c r="C39575" s="2">
        <v>3.2478267167524802E-7</v>
      </c>
      <c r="D39575" s="2">
        <v>0</v>
      </c>
      <c r="E39575" s="2">
        <v>0</v>
      </c>
      <c r="F39575" s="2">
        <v>2.9604524992435999E-7</v>
      </c>
    </row>
    <row r="39576" spans="1:6" x14ac:dyDescent="0.25">
      <c r="A39576" s="1" t="str">
        <f t="shared" si="1422"/>
        <v>99999</v>
      </c>
      <c r="B39576" s="1" t="str">
        <f>"49826"</f>
        <v>49826</v>
      </c>
      <c r="C39576" s="2">
        <v>1.08260890558416E-7</v>
      </c>
      <c r="D39576" s="2">
        <v>0</v>
      </c>
      <c r="E39576" s="2">
        <v>0</v>
      </c>
      <c r="F39576" s="2">
        <v>9.8681749974786797E-8</v>
      </c>
    </row>
    <row r="39577" spans="1:6" x14ac:dyDescent="0.25">
      <c r="A39577" s="1" t="str">
        <f t="shared" si="1422"/>
        <v>99999</v>
      </c>
      <c r="B39577" s="1" t="str">
        <f>"24871"</f>
        <v>24871</v>
      </c>
      <c r="C39577" s="2">
        <v>2.1652178111683201E-7</v>
      </c>
      <c r="D39577" s="2">
        <v>1.50570889527644E-6</v>
      </c>
      <c r="E39577" s="2">
        <v>0</v>
      </c>
      <c r="F39577" s="2">
        <v>2.9604524992435999E-7</v>
      </c>
    </row>
    <row r="39578" spans="1:6" x14ac:dyDescent="0.25">
      <c r="A39578" s="1" t="str">
        <f t="shared" si="1422"/>
        <v>99999</v>
      </c>
      <c r="B39578" s="1" t="str">
        <f>"86540"</f>
        <v>86540</v>
      </c>
      <c r="C39578" s="2">
        <v>0</v>
      </c>
      <c r="D39578" s="2">
        <v>1.50570889527644E-6</v>
      </c>
      <c r="E39578" s="2">
        <v>0</v>
      </c>
      <c r="F39578" s="2">
        <v>9.8681749974786797E-8</v>
      </c>
    </row>
    <row r="39579" spans="1:6" x14ac:dyDescent="0.25">
      <c r="A39579" s="1" t="str">
        <f t="shared" si="1422"/>
        <v>99999</v>
      </c>
      <c r="B39579" s="1" t="str">
        <f>"77332"</f>
        <v>77332</v>
      </c>
      <c r="C39579" s="2">
        <v>0</v>
      </c>
      <c r="D39579" s="2">
        <v>1.50570889527644E-6</v>
      </c>
      <c r="E39579" s="2">
        <v>0</v>
      </c>
      <c r="F39579" s="2">
        <v>9.8681749974786797E-8</v>
      </c>
    </row>
    <row r="39580" spans="1:6" x14ac:dyDescent="0.25">
      <c r="A39580" s="1" t="str">
        <f t="shared" si="1422"/>
        <v>99999</v>
      </c>
      <c r="B39580" s="1" t="str">
        <f>"78372"</f>
        <v>78372</v>
      </c>
      <c r="C39580" s="2">
        <v>4.3304356223366401E-7</v>
      </c>
      <c r="D39580" s="2">
        <v>0</v>
      </c>
      <c r="E39580" s="2">
        <v>0</v>
      </c>
      <c r="F39580" s="2">
        <v>3.9472699989914697E-7</v>
      </c>
    </row>
    <row r="39581" spans="1:6" x14ac:dyDescent="0.25">
      <c r="A39581" s="1" t="str">
        <f t="shared" si="1422"/>
        <v>99999</v>
      </c>
      <c r="B39581" s="1" t="str">
        <f>"89422"</f>
        <v>89422</v>
      </c>
      <c r="C39581" s="2">
        <v>0</v>
      </c>
      <c r="D39581" s="2">
        <v>1.50570889527644E-6</v>
      </c>
      <c r="E39581" s="2">
        <v>8.6021135392965999E-6</v>
      </c>
      <c r="F39581" s="2">
        <v>2.9604524992435999E-7</v>
      </c>
    </row>
    <row r="39582" spans="1:6" x14ac:dyDescent="0.25">
      <c r="A39582" s="1" t="str">
        <f t="shared" si="1422"/>
        <v>99999</v>
      </c>
      <c r="B39582" s="1" t="str">
        <f>"26886"</f>
        <v>26886</v>
      </c>
      <c r="C39582" s="2">
        <v>0</v>
      </c>
      <c r="D39582" s="2">
        <v>1.50570889527644E-6</v>
      </c>
      <c r="E39582" s="2">
        <v>0</v>
      </c>
      <c r="F39582" s="2">
        <v>9.8681749974786797E-8</v>
      </c>
    </row>
    <row r="39583" spans="1:6" x14ac:dyDescent="0.25">
      <c r="A39583" s="1" t="str">
        <f t="shared" si="1422"/>
        <v>99999</v>
      </c>
      <c r="B39583" s="1" t="str">
        <f>"42759"</f>
        <v>42759</v>
      </c>
      <c r="C39583" s="2">
        <v>0</v>
      </c>
      <c r="D39583" s="2">
        <v>0</v>
      </c>
      <c r="E39583" s="2">
        <v>8.6021135392965999E-6</v>
      </c>
      <c r="F39583" s="2">
        <v>1.9736349994957301E-7</v>
      </c>
    </row>
    <row r="39584" spans="1:6" x14ac:dyDescent="0.25">
      <c r="A39584" s="1" t="str">
        <f t="shared" si="1422"/>
        <v>99999</v>
      </c>
      <c r="B39584" s="1" t="str">
        <f>"99756"</f>
        <v>99756</v>
      </c>
      <c r="C39584" s="2">
        <v>0</v>
      </c>
      <c r="D39584" s="2">
        <v>0</v>
      </c>
      <c r="E39584" s="2">
        <v>4.3010567696482999E-6</v>
      </c>
      <c r="F39584" s="2">
        <v>9.8681749974786797E-8</v>
      </c>
    </row>
    <row r="39585" spans="1:6" x14ac:dyDescent="0.25">
      <c r="A39585" s="1" t="str">
        <f t="shared" si="1422"/>
        <v>99999</v>
      </c>
      <c r="B39585" s="1" t="str">
        <f>"79336"</f>
        <v>79336</v>
      </c>
      <c r="C39585" s="2">
        <v>9.7434801502574508E-7</v>
      </c>
      <c r="D39585" s="2">
        <v>1.50570889527644E-6</v>
      </c>
      <c r="E39585" s="2">
        <v>0</v>
      </c>
      <c r="F39585" s="2">
        <v>9.8681749974786791E-7</v>
      </c>
    </row>
    <row r="39586" spans="1:6" x14ac:dyDescent="0.25">
      <c r="A39586" s="1" t="str">
        <f t="shared" si="1422"/>
        <v>99999</v>
      </c>
      <c r="B39586" s="1" t="str">
        <f>"24651"</f>
        <v>24651</v>
      </c>
      <c r="C39586" s="2">
        <v>3.2478267167524802E-7</v>
      </c>
      <c r="D39586" s="2">
        <v>0</v>
      </c>
      <c r="E39586" s="2">
        <v>0</v>
      </c>
      <c r="F39586" s="2">
        <v>2.9604524992435999E-7</v>
      </c>
    </row>
    <row r="39587" spans="1:6" x14ac:dyDescent="0.25">
      <c r="A39587" s="1" t="str">
        <f t="shared" si="1422"/>
        <v>99999</v>
      </c>
      <c r="B39587" s="1" t="str">
        <f>"25826"</f>
        <v>25826</v>
      </c>
      <c r="C39587" s="2">
        <v>0</v>
      </c>
      <c r="D39587" s="2">
        <v>3.01141779055288E-6</v>
      </c>
      <c r="E39587" s="2">
        <v>0</v>
      </c>
      <c r="F39587" s="2">
        <v>1.9736349994957301E-7</v>
      </c>
    </row>
    <row r="39588" spans="1:6" x14ac:dyDescent="0.25">
      <c r="A39588" s="1" t="str">
        <f t="shared" si="1422"/>
        <v>99999</v>
      </c>
      <c r="B39588" s="1" t="str">
        <f>"42211"</f>
        <v>42211</v>
      </c>
      <c r="C39588" s="2">
        <v>1.7321742489346499E-6</v>
      </c>
      <c r="D39588" s="2">
        <v>0</v>
      </c>
      <c r="E39588" s="2">
        <v>0</v>
      </c>
      <c r="F39588" s="2">
        <v>1.5789079995965801E-6</v>
      </c>
    </row>
    <row r="39589" spans="1:6" x14ac:dyDescent="0.25">
      <c r="A39589" s="1" t="str">
        <f t="shared" si="1422"/>
        <v>99999</v>
      </c>
      <c r="B39589" s="1" t="str">
        <f>"43523"</f>
        <v>43523</v>
      </c>
      <c r="C39589" s="2">
        <v>1.08260890558416E-7</v>
      </c>
      <c r="D39589" s="2">
        <v>0</v>
      </c>
      <c r="E39589" s="2">
        <v>4.3010567696482999E-6</v>
      </c>
      <c r="F39589" s="2">
        <v>1.9736349994957301E-7</v>
      </c>
    </row>
    <row r="39590" spans="1:6" x14ac:dyDescent="0.25">
      <c r="A39590" s="1" t="str">
        <f t="shared" si="1422"/>
        <v>99999</v>
      </c>
      <c r="B39590" s="1" t="str">
        <f>"76452"</f>
        <v>76452</v>
      </c>
      <c r="C39590" s="2">
        <v>0</v>
      </c>
      <c r="D39590" s="2">
        <v>0</v>
      </c>
      <c r="E39590" s="2">
        <v>8.6021135392965999E-6</v>
      </c>
      <c r="F39590" s="2">
        <v>1.9736349994957301E-7</v>
      </c>
    </row>
    <row r="39591" spans="1:6" x14ac:dyDescent="0.25">
      <c r="A39591" s="1" t="str">
        <f t="shared" si="1422"/>
        <v>99999</v>
      </c>
      <c r="B39591" s="1" t="str">
        <f>"31087"</f>
        <v>31087</v>
      </c>
      <c r="C39591" s="2">
        <v>1.0826089055841599E-6</v>
      </c>
      <c r="D39591" s="2">
        <v>1.50570889527644E-6</v>
      </c>
      <c r="E39591" s="2">
        <v>0</v>
      </c>
      <c r="F39591" s="2">
        <v>1.0854992497226499E-6</v>
      </c>
    </row>
    <row r="39592" spans="1:6" x14ac:dyDescent="0.25">
      <c r="A39592" s="1" t="str">
        <f t="shared" si="1422"/>
        <v>99999</v>
      </c>
      <c r="B39592" s="1" t="str">
        <f>"42045"</f>
        <v>42045</v>
      </c>
      <c r="C39592" s="2">
        <v>0</v>
      </c>
      <c r="D39592" s="2">
        <v>1.50570889527644E-6</v>
      </c>
      <c r="E39592" s="2">
        <v>0</v>
      </c>
      <c r="F39592" s="2">
        <v>9.8681749974786797E-8</v>
      </c>
    </row>
    <row r="39593" spans="1:6" x14ac:dyDescent="0.25">
      <c r="A39593" s="1" t="str">
        <f t="shared" si="1422"/>
        <v>99999</v>
      </c>
      <c r="B39593" s="1" t="str">
        <f>"47039"</f>
        <v>47039</v>
      </c>
      <c r="C39593" s="2">
        <v>0</v>
      </c>
      <c r="D39593" s="2">
        <v>1.50570889527644E-6</v>
      </c>
      <c r="E39593" s="2">
        <v>0</v>
      </c>
      <c r="F39593" s="2">
        <v>9.8681749974786797E-8</v>
      </c>
    </row>
    <row r="39594" spans="1:6" x14ac:dyDescent="0.25">
      <c r="A39594" s="1" t="str">
        <f t="shared" si="1422"/>
        <v>99999</v>
      </c>
      <c r="B39594" s="1" t="str">
        <f>"65706"</f>
        <v>65706</v>
      </c>
      <c r="C39594" s="2">
        <v>1.08260890558416E-7</v>
      </c>
      <c r="D39594" s="2">
        <v>0</v>
      </c>
      <c r="E39594" s="2">
        <v>0</v>
      </c>
      <c r="F39594" s="2">
        <v>9.8681749974786797E-8</v>
      </c>
    </row>
    <row r="39595" spans="1:6" x14ac:dyDescent="0.25">
      <c r="A39595" s="1" t="str">
        <f t="shared" si="1422"/>
        <v>99999</v>
      </c>
      <c r="B39595" s="1" t="str">
        <f>"30822"</f>
        <v>30822</v>
      </c>
      <c r="C39595" s="2">
        <v>0</v>
      </c>
      <c r="D39595" s="2">
        <v>1.50570889527644E-6</v>
      </c>
      <c r="E39595" s="2">
        <v>0</v>
      </c>
      <c r="F39595" s="2">
        <v>9.8681749974786797E-8</v>
      </c>
    </row>
    <row r="39596" spans="1:6" x14ac:dyDescent="0.25">
      <c r="A39596" s="1" t="str">
        <f t="shared" si="1422"/>
        <v>99999</v>
      </c>
      <c r="B39596" s="1" t="str">
        <f>"39324"</f>
        <v>39324</v>
      </c>
      <c r="C39596" s="2">
        <v>0</v>
      </c>
      <c r="D39596" s="2">
        <v>1.50570889527644E-6</v>
      </c>
      <c r="E39596" s="2">
        <v>0</v>
      </c>
      <c r="F39596" s="2">
        <v>9.8681749974786797E-8</v>
      </c>
    </row>
    <row r="39597" spans="1:6" x14ac:dyDescent="0.25">
      <c r="A39597" s="1" t="str">
        <f t="shared" si="1422"/>
        <v>99999</v>
      </c>
      <c r="B39597" s="1" t="str">
        <f>"58504"</f>
        <v>58504</v>
      </c>
      <c r="C39597" s="2">
        <v>1.29913068670099E-6</v>
      </c>
      <c r="D39597" s="2">
        <v>0</v>
      </c>
      <c r="E39597" s="2">
        <v>0</v>
      </c>
      <c r="F39597" s="2">
        <v>1.18418099969744E-6</v>
      </c>
    </row>
    <row r="39598" spans="1:6" x14ac:dyDescent="0.25">
      <c r="A39598" s="1" t="str">
        <f t="shared" si="1422"/>
        <v>99999</v>
      </c>
      <c r="B39598" s="1" t="str">
        <f>"63037"</f>
        <v>63037</v>
      </c>
      <c r="C39598" s="2">
        <v>5.4130445279207995E-7</v>
      </c>
      <c r="D39598" s="2">
        <v>0</v>
      </c>
      <c r="E39598" s="2">
        <v>0</v>
      </c>
      <c r="F39598" s="2">
        <v>4.9340874987393396E-7</v>
      </c>
    </row>
    <row r="39599" spans="1:6" x14ac:dyDescent="0.25">
      <c r="A39599" s="1" t="str">
        <f t="shared" si="1422"/>
        <v>99999</v>
      </c>
      <c r="B39599" s="1" t="str">
        <f>"87654"</f>
        <v>87654</v>
      </c>
      <c r="C39599" s="2">
        <v>0</v>
      </c>
      <c r="D39599" s="2">
        <v>0</v>
      </c>
      <c r="E39599" s="2">
        <v>4.3010567696482999E-6</v>
      </c>
      <c r="F39599" s="2">
        <v>9.8681749974786797E-8</v>
      </c>
    </row>
    <row r="39600" spans="1:6" x14ac:dyDescent="0.25">
      <c r="A39600" s="1" t="str">
        <f t="shared" si="1422"/>
        <v>99999</v>
      </c>
      <c r="B39600" s="1" t="str">
        <f>"41810"</f>
        <v>41810</v>
      </c>
      <c r="C39600" s="2">
        <v>5.4130445279207995E-7</v>
      </c>
      <c r="D39600" s="2">
        <v>0</v>
      </c>
      <c r="E39600" s="2">
        <v>4.3010567696482999E-6</v>
      </c>
      <c r="F39600" s="2">
        <v>5.9209049984871999E-7</v>
      </c>
    </row>
    <row r="39601" spans="1:6" x14ac:dyDescent="0.25">
      <c r="A39601" s="1" t="str">
        <f t="shared" si="1422"/>
        <v>99999</v>
      </c>
      <c r="B39601" s="1" t="str">
        <f>"78061"</f>
        <v>78061</v>
      </c>
      <c r="C39601" s="2">
        <v>1.08260890558416E-7</v>
      </c>
      <c r="D39601" s="2">
        <v>0</v>
      </c>
      <c r="E39601" s="2">
        <v>0</v>
      </c>
      <c r="F39601" s="2">
        <v>9.8681749974786797E-8</v>
      </c>
    </row>
    <row r="39602" spans="1:6" x14ac:dyDescent="0.25">
      <c r="A39602" s="1" t="str">
        <f t="shared" si="1422"/>
        <v>99999</v>
      </c>
      <c r="B39602" s="1" t="str">
        <f>"81129"</f>
        <v>81129</v>
      </c>
      <c r="C39602" s="2">
        <v>0</v>
      </c>
      <c r="D39602" s="2">
        <v>0</v>
      </c>
      <c r="E39602" s="2">
        <v>4.3010567696482999E-6</v>
      </c>
      <c r="F39602" s="2">
        <v>9.8681749974786797E-8</v>
      </c>
    </row>
    <row r="39603" spans="1:6" x14ac:dyDescent="0.25">
      <c r="A39603" s="1" t="str">
        <f t="shared" si="1422"/>
        <v>99999</v>
      </c>
      <c r="B39603" s="1" t="str">
        <f>"04644"</f>
        <v>04644</v>
      </c>
      <c r="C39603" s="2">
        <v>0</v>
      </c>
      <c r="D39603" s="2">
        <v>0</v>
      </c>
      <c r="E39603" s="2">
        <v>4.3010567696482999E-6</v>
      </c>
      <c r="F39603" s="2">
        <v>9.8681749974786797E-8</v>
      </c>
    </row>
    <row r="39604" spans="1:6" x14ac:dyDescent="0.25">
      <c r="A39604" s="1" t="str">
        <f t="shared" si="1422"/>
        <v>99999</v>
      </c>
      <c r="B39604" s="1" t="str">
        <f>"25691"</f>
        <v>25691</v>
      </c>
      <c r="C39604" s="2">
        <v>0</v>
      </c>
      <c r="D39604" s="2">
        <v>1.50570889527644E-6</v>
      </c>
      <c r="E39604" s="2">
        <v>0</v>
      </c>
      <c r="F39604" s="2">
        <v>9.8681749974786797E-8</v>
      </c>
    </row>
    <row r="39605" spans="1:6" x14ac:dyDescent="0.25">
      <c r="A39605" s="1" t="str">
        <f t="shared" si="1422"/>
        <v>99999</v>
      </c>
      <c r="B39605" s="1" t="str">
        <f>"41739"</f>
        <v>41739</v>
      </c>
      <c r="C39605" s="2">
        <v>5.0882618562455504E-6</v>
      </c>
      <c r="D39605" s="2">
        <v>0</v>
      </c>
      <c r="E39605" s="2">
        <v>4.3010567696482999E-6</v>
      </c>
      <c r="F39605" s="2">
        <v>4.7367239987897599E-6</v>
      </c>
    </row>
    <row r="39606" spans="1:6" x14ac:dyDescent="0.25">
      <c r="A39606" s="1" t="str">
        <f t="shared" si="1422"/>
        <v>99999</v>
      </c>
      <c r="B39606" s="1" t="str">
        <f>"57361"</f>
        <v>57361</v>
      </c>
      <c r="C39606" s="2">
        <v>0</v>
      </c>
      <c r="D39606" s="2">
        <v>0</v>
      </c>
      <c r="E39606" s="2">
        <v>4.3010567696482999E-6</v>
      </c>
      <c r="F39606" s="2">
        <v>9.8681749974786797E-8</v>
      </c>
    </row>
    <row r="39607" spans="1:6" x14ac:dyDescent="0.25">
      <c r="A39607" s="1" t="str">
        <f t="shared" si="1422"/>
        <v>99999</v>
      </c>
      <c r="B39607" s="1" t="str">
        <f>"99547"</f>
        <v>99547</v>
      </c>
      <c r="C39607" s="2">
        <v>0</v>
      </c>
      <c r="D39607" s="2">
        <v>0</v>
      </c>
      <c r="E39607" s="2">
        <v>4.3010567696482999E-6</v>
      </c>
      <c r="F39607" s="2">
        <v>9.8681749974786797E-8</v>
      </c>
    </row>
    <row r="39608" spans="1:6" x14ac:dyDescent="0.25">
      <c r="A39608" s="1" t="str">
        <f t="shared" si="1422"/>
        <v>99999</v>
      </c>
      <c r="B39608" s="1" t="str">
        <f>"59641"</f>
        <v>59641</v>
      </c>
      <c r="C39608" s="2">
        <v>5.4130445279207995E-7</v>
      </c>
      <c r="D39608" s="2">
        <v>0</v>
      </c>
      <c r="E39608" s="2">
        <v>4.3010567696482999E-6</v>
      </c>
      <c r="F39608" s="2">
        <v>5.9209049984871999E-7</v>
      </c>
    </row>
    <row r="39609" spans="1:6" x14ac:dyDescent="0.25">
      <c r="A39609" s="1" t="str">
        <f t="shared" si="1422"/>
        <v>99999</v>
      </c>
      <c r="B39609" s="1" t="str">
        <f>"78144"</f>
        <v>78144</v>
      </c>
      <c r="C39609" s="2">
        <v>0</v>
      </c>
      <c r="D39609" s="2">
        <v>1.50570889527644E-6</v>
      </c>
      <c r="E39609" s="2">
        <v>0</v>
      </c>
      <c r="F39609" s="2">
        <v>9.8681749974786797E-8</v>
      </c>
    </row>
    <row r="39610" spans="1:6" x14ac:dyDescent="0.25">
      <c r="A39610" s="1" t="str">
        <f t="shared" si="1422"/>
        <v>99999</v>
      </c>
      <c r="B39610" s="1" t="str">
        <f>"61418"</f>
        <v>61418</v>
      </c>
      <c r="C39610" s="2">
        <v>1.08260890558416E-7</v>
      </c>
      <c r="D39610" s="2">
        <v>0</v>
      </c>
      <c r="E39610" s="2">
        <v>0</v>
      </c>
      <c r="F39610" s="2">
        <v>9.8681749974786797E-8</v>
      </c>
    </row>
    <row r="39611" spans="1:6" x14ac:dyDescent="0.25">
      <c r="A39611" s="1" t="str">
        <f t="shared" si="1422"/>
        <v>99999</v>
      </c>
      <c r="B39611" s="1" t="str">
        <f>"72387"</f>
        <v>72387</v>
      </c>
      <c r="C39611" s="2">
        <v>0</v>
      </c>
      <c r="D39611" s="2">
        <v>0</v>
      </c>
      <c r="E39611" s="2">
        <v>4.3010567696482999E-6</v>
      </c>
      <c r="F39611" s="2">
        <v>9.8681749974786797E-8</v>
      </c>
    </row>
    <row r="39612" spans="1:6" x14ac:dyDescent="0.25">
      <c r="A39612" s="1" t="str">
        <f t="shared" si="1422"/>
        <v>99999</v>
      </c>
      <c r="B39612" s="1" t="str">
        <f>"16672"</f>
        <v>16672</v>
      </c>
      <c r="C39612" s="2">
        <v>0</v>
      </c>
      <c r="D39612" s="2">
        <v>1.50570889527644E-6</v>
      </c>
      <c r="E39612" s="2">
        <v>0</v>
      </c>
      <c r="F39612" s="2">
        <v>9.8681749974786797E-8</v>
      </c>
    </row>
    <row r="39613" spans="1:6" x14ac:dyDescent="0.25">
      <c r="A39613" s="1" t="str">
        <f t="shared" si="1422"/>
        <v>99999</v>
      </c>
      <c r="B39613" s="1" t="str">
        <f>"23870"</f>
        <v>23870</v>
      </c>
      <c r="C39613" s="2">
        <v>0</v>
      </c>
      <c r="D39613" s="2">
        <v>1.50570889527644E-6</v>
      </c>
      <c r="E39613" s="2">
        <v>0</v>
      </c>
      <c r="F39613" s="2">
        <v>9.8681749974786797E-8</v>
      </c>
    </row>
    <row r="39614" spans="1:6" x14ac:dyDescent="0.25">
      <c r="A39614" s="1" t="str">
        <f t="shared" si="1422"/>
        <v>99999</v>
      </c>
      <c r="B39614" s="1" t="str">
        <f>"50573"</f>
        <v>50573</v>
      </c>
      <c r="C39614" s="2">
        <v>0</v>
      </c>
      <c r="D39614" s="2">
        <v>0</v>
      </c>
      <c r="E39614" s="2">
        <v>4.3010567696482999E-6</v>
      </c>
      <c r="F39614" s="2">
        <v>9.8681749974786797E-8</v>
      </c>
    </row>
    <row r="39615" spans="1:6" x14ac:dyDescent="0.25">
      <c r="A39615" s="1" t="str">
        <f t="shared" si="1422"/>
        <v>99999</v>
      </c>
      <c r="B39615" s="1" t="str">
        <f>"23943"</f>
        <v>23943</v>
      </c>
      <c r="C39615" s="2">
        <v>0</v>
      </c>
      <c r="D39615" s="2">
        <v>9.0342533716586405E-6</v>
      </c>
      <c r="E39615" s="2">
        <v>0</v>
      </c>
      <c r="F39615" s="2">
        <v>5.9209049984871999E-7</v>
      </c>
    </row>
    <row r="39616" spans="1:6" x14ac:dyDescent="0.25">
      <c r="A39616" s="1" t="str">
        <f t="shared" si="1422"/>
        <v>99999</v>
      </c>
      <c r="B39616" s="1" t="str">
        <f>"76855"</f>
        <v>76855</v>
      </c>
      <c r="C39616" s="2">
        <v>0</v>
      </c>
      <c r="D39616" s="2">
        <v>0</v>
      </c>
      <c r="E39616" s="2">
        <v>4.3010567696482999E-6</v>
      </c>
      <c r="F39616" s="2">
        <v>9.8681749974786797E-8</v>
      </c>
    </row>
    <row r="39617" spans="1:6" x14ac:dyDescent="0.25">
      <c r="A39617" s="1" t="str">
        <f t="shared" si="1422"/>
        <v>99999</v>
      </c>
      <c r="B39617" s="1" t="str">
        <f>"12767"</f>
        <v>12767</v>
      </c>
      <c r="C39617" s="2">
        <v>4.3304356223366401E-7</v>
      </c>
      <c r="D39617" s="2">
        <v>0</v>
      </c>
      <c r="E39617" s="2">
        <v>4.3010567696482999E-6</v>
      </c>
      <c r="F39617" s="2">
        <v>4.9340874987393396E-7</v>
      </c>
    </row>
    <row r="39618" spans="1:6" x14ac:dyDescent="0.25">
      <c r="A39618" s="1" t="str">
        <f t="shared" si="1422"/>
        <v>99999</v>
      </c>
      <c r="B39618" s="1" t="str">
        <f>"84755"</f>
        <v>84755</v>
      </c>
      <c r="C39618" s="2">
        <v>1.08260890558416E-7</v>
      </c>
      <c r="D39618" s="2">
        <v>0</v>
      </c>
      <c r="E39618" s="2">
        <v>4.3010567696482999E-6</v>
      </c>
      <c r="F39618" s="2">
        <v>1.9736349994957301E-7</v>
      </c>
    </row>
    <row r="39619" spans="1:6" x14ac:dyDescent="0.25">
      <c r="A39619" s="1" t="str">
        <f t="shared" si="1422"/>
        <v>99999</v>
      </c>
      <c r="B39619" s="1" t="str">
        <f>"99729"</f>
        <v>99729</v>
      </c>
      <c r="C39619" s="2">
        <v>1.08260890558416E-7</v>
      </c>
      <c r="D39619" s="2">
        <v>0</v>
      </c>
      <c r="E39619" s="2">
        <v>4.3010567696482999E-6</v>
      </c>
      <c r="F39619" s="2">
        <v>1.9736349994957301E-7</v>
      </c>
    </row>
    <row r="39620" spans="1:6" x14ac:dyDescent="0.25">
      <c r="A39620" s="1" t="str">
        <f t="shared" si="1422"/>
        <v>99999</v>
      </c>
      <c r="B39620" s="1" t="str">
        <f>"31083"</f>
        <v>31083</v>
      </c>
      <c r="C39620" s="2">
        <v>0</v>
      </c>
      <c r="D39620" s="2">
        <v>1.50570889527644E-6</v>
      </c>
      <c r="E39620" s="2">
        <v>4.3010567696482999E-6</v>
      </c>
      <c r="F39620" s="2">
        <v>1.9736349994957301E-7</v>
      </c>
    </row>
    <row r="39621" spans="1:6" x14ac:dyDescent="0.25">
      <c r="A39621" s="1" t="str">
        <f t="shared" si="1422"/>
        <v>99999</v>
      </c>
      <c r="B39621" s="1" t="str">
        <f>"40361"</f>
        <v>40361</v>
      </c>
      <c r="C39621" s="2">
        <v>2.0569569206099001E-6</v>
      </c>
      <c r="D39621" s="2">
        <v>0</v>
      </c>
      <c r="E39621" s="2">
        <v>0</v>
      </c>
      <c r="F39621" s="2">
        <v>1.8749532495209401E-6</v>
      </c>
    </row>
    <row r="39622" spans="1:6" x14ac:dyDescent="0.25">
      <c r="A39622" s="1" t="str">
        <f t="shared" ref="A39622:A39685" si="1423">"99999"</f>
        <v>99999</v>
      </c>
      <c r="B39622" s="1" t="str">
        <f>"95936"</f>
        <v>95936</v>
      </c>
      <c r="C39622" s="2">
        <v>1.08260890558416E-7</v>
      </c>
      <c r="D39622" s="2">
        <v>0</v>
      </c>
      <c r="E39622" s="2">
        <v>4.3010567696482999E-6</v>
      </c>
      <c r="F39622" s="2">
        <v>1.9736349994957301E-7</v>
      </c>
    </row>
    <row r="39623" spans="1:6" x14ac:dyDescent="0.25">
      <c r="A39623" s="1" t="str">
        <f t="shared" si="1423"/>
        <v>99999</v>
      </c>
      <c r="B39623" s="1" t="str">
        <f>"02564"</f>
        <v>02564</v>
      </c>
      <c r="C39623" s="2">
        <v>0</v>
      </c>
      <c r="D39623" s="2">
        <v>0</v>
      </c>
      <c r="E39623" s="2">
        <v>1.29031703089449E-5</v>
      </c>
      <c r="F39623" s="2">
        <v>2.9604524992435999E-7</v>
      </c>
    </row>
    <row r="39624" spans="1:6" x14ac:dyDescent="0.25">
      <c r="A39624" s="1" t="str">
        <f t="shared" si="1423"/>
        <v>99999</v>
      </c>
      <c r="B39624" s="1" t="str">
        <f>"54649"</f>
        <v>54649</v>
      </c>
      <c r="C39624" s="2">
        <v>0</v>
      </c>
      <c r="D39624" s="2">
        <v>1.50570889527644E-6</v>
      </c>
      <c r="E39624" s="2">
        <v>0</v>
      </c>
      <c r="F39624" s="2">
        <v>9.8681749974786797E-8</v>
      </c>
    </row>
    <row r="39625" spans="1:6" x14ac:dyDescent="0.25">
      <c r="A39625" s="1" t="str">
        <f t="shared" si="1423"/>
        <v>99999</v>
      </c>
      <c r="B39625" s="1" t="str">
        <f>"99628"</f>
        <v>99628</v>
      </c>
      <c r="C39625" s="2">
        <v>0</v>
      </c>
      <c r="D39625" s="2">
        <v>0</v>
      </c>
      <c r="E39625" s="2">
        <v>4.3010567696482999E-6</v>
      </c>
      <c r="F39625" s="2">
        <v>9.8681749974786797E-8</v>
      </c>
    </row>
    <row r="39626" spans="1:6" x14ac:dyDescent="0.25">
      <c r="A39626" s="1" t="str">
        <f t="shared" si="1423"/>
        <v>99999</v>
      </c>
      <c r="B39626" s="1" t="str">
        <f>"44617"</f>
        <v>44617</v>
      </c>
      <c r="C39626" s="2">
        <v>0</v>
      </c>
      <c r="D39626" s="2">
        <v>0</v>
      </c>
      <c r="E39626" s="2">
        <v>4.3010567696482999E-6</v>
      </c>
      <c r="F39626" s="2">
        <v>9.8681749974786797E-8</v>
      </c>
    </row>
    <row r="39627" spans="1:6" x14ac:dyDescent="0.25">
      <c r="A39627" s="1" t="str">
        <f t="shared" si="1423"/>
        <v>99999</v>
      </c>
      <c r="B39627" s="1" t="str">
        <f>"71949"</f>
        <v>71949</v>
      </c>
      <c r="C39627" s="2">
        <v>6.49565343350497E-7</v>
      </c>
      <c r="D39627" s="2">
        <v>0</v>
      </c>
      <c r="E39627" s="2">
        <v>0</v>
      </c>
      <c r="F39627" s="2">
        <v>5.9209049984871999E-7</v>
      </c>
    </row>
    <row r="39628" spans="1:6" x14ac:dyDescent="0.25">
      <c r="A39628" s="1" t="str">
        <f t="shared" si="1423"/>
        <v>99999</v>
      </c>
      <c r="B39628" s="1" t="str">
        <f>"72669"</f>
        <v>72669</v>
      </c>
      <c r="C39628" s="2">
        <v>0</v>
      </c>
      <c r="D39628" s="2">
        <v>0</v>
      </c>
      <c r="E39628" s="2">
        <v>4.3010567696482999E-6</v>
      </c>
      <c r="F39628" s="2">
        <v>9.8681749974786797E-8</v>
      </c>
    </row>
    <row r="39629" spans="1:6" x14ac:dyDescent="0.25">
      <c r="A39629" s="1" t="str">
        <f t="shared" si="1423"/>
        <v>99999</v>
      </c>
      <c r="B39629" s="1" t="str">
        <f>"14838"</f>
        <v>14838</v>
      </c>
      <c r="C39629" s="2">
        <v>1.0826089055841599E-6</v>
      </c>
      <c r="D39629" s="2">
        <v>0</v>
      </c>
      <c r="E39629" s="2">
        <v>0</v>
      </c>
      <c r="F39629" s="2">
        <v>9.8681749974786791E-7</v>
      </c>
    </row>
    <row r="39630" spans="1:6" x14ac:dyDescent="0.25">
      <c r="A39630" s="1" t="str">
        <f t="shared" si="1423"/>
        <v>99999</v>
      </c>
      <c r="B39630" s="1" t="str">
        <f>"72464"</f>
        <v>72464</v>
      </c>
      <c r="C39630" s="2">
        <v>0</v>
      </c>
      <c r="D39630" s="2">
        <v>0</v>
      </c>
      <c r="E39630" s="2">
        <v>4.3010567696482999E-6</v>
      </c>
      <c r="F39630" s="2">
        <v>9.8681749974786797E-8</v>
      </c>
    </row>
    <row r="39631" spans="1:6" x14ac:dyDescent="0.25">
      <c r="A39631" s="1" t="str">
        <f t="shared" si="1423"/>
        <v>99999</v>
      </c>
      <c r="B39631" s="1" t="str">
        <f>"99621"</f>
        <v>99621</v>
      </c>
      <c r="C39631" s="2">
        <v>0</v>
      </c>
      <c r="D39631" s="2">
        <v>0</v>
      </c>
      <c r="E39631" s="2">
        <v>4.3010567696482999E-6</v>
      </c>
      <c r="F39631" s="2">
        <v>9.8681749974786797E-8</v>
      </c>
    </row>
    <row r="39632" spans="1:6" x14ac:dyDescent="0.25">
      <c r="A39632" s="1" t="str">
        <f t="shared" si="1423"/>
        <v>99999</v>
      </c>
      <c r="B39632" s="1" t="str">
        <f>"05863"</f>
        <v>05863</v>
      </c>
      <c r="C39632" s="2">
        <v>0</v>
      </c>
      <c r="D39632" s="2">
        <v>1.50570889527644E-6</v>
      </c>
      <c r="E39632" s="2">
        <v>0</v>
      </c>
      <c r="F39632" s="2">
        <v>9.8681749974786797E-8</v>
      </c>
    </row>
    <row r="39633" spans="1:6" x14ac:dyDescent="0.25">
      <c r="A39633" s="1" t="str">
        <f t="shared" si="1423"/>
        <v>99999</v>
      </c>
      <c r="B39633" s="1" t="str">
        <f>"71410"</f>
        <v>71410</v>
      </c>
      <c r="C39633" s="2">
        <v>0</v>
      </c>
      <c r="D39633" s="2">
        <v>0</v>
      </c>
      <c r="E39633" s="2">
        <v>4.3010567696482999E-6</v>
      </c>
      <c r="F39633" s="2">
        <v>9.8681749974786797E-8</v>
      </c>
    </row>
    <row r="39634" spans="1:6" x14ac:dyDescent="0.25">
      <c r="A39634" s="1" t="str">
        <f t="shared" si="1423"/>
        <v>99999</v>
      </c>
      <c r="B39634" s="1" t="str">
        <f>"75834"</f>
        <v>75834</v>
      </c>
      <c r="C39634" s="2">
        <v>0</v>
      </c>
      <c r="D39634" s="2">
        <v>0</v>
      </c>
      <c r="E39634" s="2">
        <v>4.3010567696482999E-6</v>
      </c>
      <c r="F39634" s="2">
        <v>9.8681749974786797E-8</v>
      </c>
    </row>
    <row r="39635" spans="1:6" x14ac:dyDescent="0.25">
      <c r="A39635" s="1" t="str">
        <f t="shared" si="1423"/>
        <v>99999</v>
      </c>
      <c r="B39635" s="1" t="str">
        <f>"78001"</f>
        <v>78001</v>
      </c>
      <c r="C39635" s="2">
        <v>1.08260890558416E-7</v>
      </c>
      <c r="D39635" s="2">
        <v>0</v>
      </c>
      <c r="E39635" s="2">
        <v>0</v>
      </c>
      <c r="F39635" s="2">
        <v>9.8681749974786797E-8</v>
      </c>
    </row>
    <row r="39636" spans="1:6" x14ac:dyDescent="0.25">
      <c r="A39636" s="1" t="str">
        <f t="shared" si="1423"/>
        <v>99999</v>
      </c>
      <c r="B39636" s="1" t="str">
        <f>"36261"</f>
        <v>36261</v>
      </c>
      <c r="C39636" s="2">
        <v>0</v>
      </c>
      <c r="D39636" s="2">
        <v>1.50570889527644E-6</v>
      </c>
      <c r="E39636" s="2">
        <v>0</v>
      </c>
      <c r="F39636" s="2">
        <v>9.8681749974786797E-8</v>
      </c>
    </row>
    <row r="39637" spans="1:6" x14ac:dyDescent="0.25">
      <c r="A39637" s="1" t="str">
        <f t="shared" si="1423"/>
        <v>99999</v>
      </c>
      <c r="B39637" s="1" t="str">
        <f>"99569"</f>
        <v>99569</v>
      </c>
      <c r="C39637" s="2">
        <v>0</v>
      </c>
      <c r="D39637" s="2">
        <v>0</v>
      </c>
      <c r="E39637" s="2">
        <v>4.3010567696482999E-6</v>
      </c>
      <c r="F39637" s="2">
        <v>9.8681749974786797E-8</v>
      </c>
    </row>
    <row r="39638" spans="1:6" x14ac:dyDescent="0.25">
      <c r="A39638" s="1" t="str">
        <f t="shared" si="1423"/>
        <v>99999</v>
      </c>
      <c r="B39638" s="1" t="str">
        <f>"24415"</f>
        <v>24415</v>
      </c>
      <c r="C39638" s="2">
        <v>0</v>
      </c>
      <c r="D39638" s="2">
        <v>1.50570889527644E-6</v>
      </c>
      <c r="E39638" s="2">
        <v>4.3010567696482999E-6</v>
      </c>
      <c r="F39638" s="2">
        <v>1.9736349994957301E-7</v>
      </c>
    </row>
    <row r="39639" spans="1:6" x14ac:dyDescent="0.25">
      <c r="A39639" s="1" t="str">
        <f t="shared" si="1423"/>
        <v>99999</v>
      </c>
      <c r="B39639" s="1" t="str">
        <f>"56736"</f>
        <v>56736</v>
      </c>
      <c r="C39639" s="2">
        <v>2.1652178111683201E-7</v>
      </c>
      <c r="D39639" s="2">
        <v>0</v>
      </c>
      <c r="E39639" s="2">
        <v>0</v>
      </c>
      <c r="F39639" s="2">
        <v>1.9736349994957301E-7</v>
      </c>
    </row>
    <row r="39640" spans="1:6" x14ac:dyDescent="0.25">
      <c r="A39640" s="1" t="str">
        <f t="shared" si="1423"/>
        <v>99999</v>
      </c>
      <c r="B39640" s="1" t="str">
        <f>"82428"</f>
        <v>82428</v>
      </c>
      <c r="C39640" s="2">
        <v>9.7434801502574508E-7</v>
      </c>
      <c r="D39640" s="2">
        <v>3.01141779055288E-6</v>
      </c>
      <c r="E39640" s="2">
        <v>4.3010567696482999E-6</v>
      </c>
      <c r="F39640" s="2">
        <v>1.18418099969744E-6</v>
      </c>
    </row>
    <row r="39641" spans="1:6" x14ac:dyDescent="0.25">
      <c r="A39641" s="1" t="str">
        <f t="shared" si="1423"/>
        <v>99999</v>
      </c>
      <c r="B39641" s="1" t="str">
        <f>"99774"</f>
        <v>99774</v>
      </c>
      <c r="C39641" s="2">
        <v>0</v>
      </c>
      <c r="D39641" s="2">
        <v>0</v>
      </c>
      <c r="E39641" s="2">
        <v>4.3010567696482999E-6</v>
      </c>
      <c r="F39641" s="2">
        <v>9.8681749974786797E-8</v>
      </c>
    </row>
    <row r="39642" spans="1:6" x14ac:dyDescent="0.25">
      <c r="A39642" s="1" t="str">
        <f t="shared" si="1423"/>
        <v>99999</v>
      </c>
      <c r="B39642" s="1" t="str">
        <f>"14870"</f>
        <v>14870</v>
      </c>
      <c r="C39642" s="2">
        <v>8.6608712446732894E-6</v>
      </c>
      <c r="D39642" s="2">
        <v>0</v>
      </c>
      <c r="E39642" s="2">
        <v>0</v>
      </c>
      <c r="F39642" s="2">
        <v>7.8945399979829399E-6</v>
      </c>
    </row>
    <row r="39643" spans="1:6" x14ac:dyDescent="0.25">
      <c r="A39643" s="1" t="str">
        <f t="shared" si="1423"/>
        <v>99999</v>
      </c>
      <c r="B39643" s="1" t="str">
        <f>"37774"</f>
        <v>37774</v>
      </c>
      <c r="C39643" s="2">
        <v>5.6295663090376404E-6</v>
      </c>
      <c r="D39643" s="2">
        <v>0</v>
      </c>
      <c r="E39643" s="2">
        <v>8.6021135392965999E-6</v>
      </c>
      <c r="F39643" s="2">
        <v>5.3288144986384803E-6</v>
      </c>
    </row>
    <row r="39644" spans="1:6" x14ac:dyDescent="0.25">
      <c r="A39644" s="1" t="str">
        <f t="shared" si="1423"/>
        <v>99999</v>
      </c>
      <c r="B39644" s="1" t="str">
        <f>"58497"</f>
        <v>58497</v>
      </c>
      <c r="C39644" s="2">
        <v>1.7321742489346499E-6</v>
      </c>
      <c r="D39644" s="2">
        <v>0</v>
      </c>
      <c r="E39644" s="2">
        <v>0</v>
      </c>
      <c r="F39644" s="2">
        <v>1.5789079995965801E-6</v>
      </c>
    </row>
    <row r="39645" spans="1:6" x14ac:dyDescent="0.25">
      <c r="A39645" s="1" t="str">
        <f t="shared" si="1423"/>
        <v>99999</v>
      </c>
      <c r="B39645" s="1" t="str">
        <f>"73028"</f>
        <v>73028</v>
      </c>
      <c r="C39645" s="2">
        <v>3.2478267167524799E-6</v>
      </c>
      <c r="D39645" s="2">
        <v>1.50570889527644E-6</v>
      </c>
      <c r="E39645" s="2">
        <v>0</v>
      </c>
      <c r="F39645" s="2">
        <v>3.0591342492183902E-6</v>
      </c>
    </row>
    <row r="39646" spans="1:6" x14ac:dyDescent="0.25">
      <c r="A39646" s="1" t="str">
        <f t="shared" si="1423"/>
        <v>99999</v>
      </c>
      <c r="B39646" s="1" t="str">
        <f>"76887"</f>
        <v>76887</v>
      </c>
      <c r="C39646" s="2">
        <v>1.62391335837624E-6</v>
      </c>
      <c r="D39646" s="2">
        <v>3.01141779055288E-6</v>
      </c>
      <c r="E39646" s="2">
        <v>4.3010567696482999E-6</v>
      </c>
      <c r="F39646" s="2">
        <v>1.77627149954616E-6</v>
      </c>
    </row>
    <row r="39647" spans="1:6" x14ac:dyDescent="0.25">
      <c r="A39647" s="1" t="str">
        <f t="shared" si="1423"/>
        <v>99999</v>
      </c>
      <c r="B39647" s="1" t="str">
        <f>"18419"</f>
        <v>18419</v>
      </c>
      <c r="C39647" s="2">
        <v>2.2734787017267302E-6</v>
      </c>
      <c r="D39647" s="2">
        <v>0</v>
      </c>
      <c r="E39647" s="2">
        <v>0</v>
      </c>
      <c r="F39647" s="2">
        <v>2.0723167494705202E-6</v>
      </c>
    </row>
    <row r="39648" spans="1:6" x14ac:dyDescent="0.25">
      <c r="A39648" s="1" t="str">
        <f t="shared" si="1423"/>
        <v>99999</v>
      </c>
      <c r="B39648" s="1" t="str">
        <f>"39359"</f>
        <v>39359</v>
      </c>
      <c r="C39648" s="2">
        <v>2.1652178111683201E-7</v>
      </c>
      <c r="D39648" s="2">
        <v>3.01141779055288E-6</v>
      </c>
      <c r="E39648" s="2">
        <v>0</v>
      </c>
      <c r="F39648" s="2">
        <v>3.9472699989914697E-7</v>
      </c>
    </row>
    <row r="39649" spans="1:6" x14ac:dyDescent="0.25">
      <c r="A39649" s="1" t="str">
        <f t="shared" si="1423"/>
        <v>99999</v>
      </c>
      <c r="B39649" s="1" t="str">
        <f>"47848"</f>
        <v>47848</v>
      </c>
      <c r="C39649" s="2">
        <v>7.1452187768554602E-6</v>
      </c>
      <c r="D39649" s="2">
        <v>0</v>
      </c>
      <c r="E39649" s="2">
        <v>0</v>
      </c>
      <c r="F39649" s="2">
        <v>6.5129954983359203E-6</v>
      </c>
    </row>
    <row r="39650" spans="1:6" x14ac:dyDescent="0.25">
      <c r="A39650" s="1" t="str">
        <f t="shared" si="1423"/>
        <v>99999</v>
      </c>
      <c r="B39650" s="1" t="str">
        <f>"52765"</f>
        <v>52765</v>
      </c>
      <c r="C39650" s="2">
        <v>3.2478267167524799E-6</v>
      </c>
      <c r="D39650" s="2">
        <v>0</v>
      </c>
      <c r="E39650" s="2">
        <v>0</v>
      </c>
      <c r="F39650" s="2">
        <v>2.9604524992435999E-6</v>
      </c>
    </row>
    <row r="39651" spans="1:6" x14ac:dyDescent="0.25">
      <c r="A39651" s="1" t="str">
        <f t="shared" si="1423"/>
        <v>99999</v>
      </c>
      <c r="B39651" s="1" t="str">
        <f>"99574"</f>
        <v>99574</v>
      </c>
      <c r="C39651" s="2">
        <v>2.1652178111683201E-7</v>
      </c>
      <c r="D39651" s="2">
        <v>0</v>
      </c>
      <c r="E39651" s="2">
        <v>1.29031703089449E-5</v>
      </c>
      <c r="F39651" s="2">
        <v>4.9340874987393396E-7</v>
      </c>
    </row>
    <row r="39652" spans="1:6" x14ac:dyDescent="0.25">
      <c r="A39652" s="1" t="str">
        <f t="shared" si="1423"/>
        <v>99999</v>
      </c>
      <c r="B39652" s="1" t="str">
        <f>"12853"</f>
        <v>12853</v>
      </c>
      <c r="C39652" s="2">
        <v>3.2478267167524799E-6</v>
      </c>
      <c r="D39652" s="2">
        <v>0</v>
      </c>
      <c r="E39652" s="2">
        <v>0</v>
      </c>
      <c r="F39652" s="2">
        <v>2.9604524992435999E-6</v>
      </c>
    </row>
    <row r="39653" spans="1:6" x14ac:dyDescent="0.25">
      <c r="A39653" s="1" t="str">
        <f t="shared" si="1423"/>
        <v>99999</v>
      </c>
      <c r="B39653" s="1" t="str">
        <f>"38655"</f>
        <v>38655</v>
      </c>
      <c r="C39653" s="2">
        <v>7.5782623390891299E-7</v>
      </c>
      <c r="D39653" s="2">
        <v>1.50570889527644E-6</v>
      </c>
      <c r="E39653" s="2">
        <v>0</v>
      </c>
      <c r="F39653" s="2">
        <v>7.8945399979829395E-7</v>
      </c>
    </row>
    <row r="39654" spans="1:6" x14ac:dyDescent="0.25">
      <c r="A39654" s="1" t="str">
        <f t="shared" si="1423"/>
        <v>99999</v>
      </c>
      <c r="B39654" s="1" t="str">
        <f>"61062"</f>
        <v>61062</v>
      </c>
      <c r="C39654" s="2">
        <v>2.1652178111683198E-6</v>
      </c>
      <c r="D39654" s="2">
        <v>0</v>
      </c>
      <c r="E39654" s="2">
        <v>0</v>
      </c>
      <c r="F39654" s="2">
        <v>1.9736349994957299E-6</v>
      </c>
    </row>
    <row r="39655" spans="1:6" x14ac:dyDescent="0.25">
      <c r="A39655" s="1" t="str">
        <f t="shared" si="1423"/>
        <v>99999</v>
      </c>
      <c r="B39655" s="1" t="str">
        <f>"84510"</f>
        <v>84510</v>
      </c>
      <c r="C39655" s="2">
        <v>2.59826137340198E-6</v>
      </c>
      <c r="D39655" s="2">
        <v>0</v>
      </c>
      <c r="E39655" s="2">
        <v>1.29031703089449E-5</v>
      </c>
      <c r="F39655" s="2">
        <v>2.6644072493192401E-6</v>
      </c>
    </row>
    <row r="39656" spans="1:6" x14ac:dyDescent="0.25">
      <c r="A39656" s="1" t="str">
        <f t="shared" si="1423"/>
        <v>99999</v>
      </c>
      <c r="B39656" s="1" t="str">
        <f>"26294"</f>
        <v>26294</v>
      </c>
      <c r="C39656" s="2">
        <v>2.59826137340198E-6</v>
      </c>
      <c r="D39656" s="2">
        <v>0</v>
      </c>
      <c r="E39656" s="2">
        <v>0</v>
      </c>
      <c r="F39656" s="2">
        <v>2.3683619993948799E-6</v>
      </c>
    </row>
    <row r="39657" spans="1:6" x14ac:dyDescent="0.25">
      <c r="A39657" s="1" t="str">
        <f t="shared" si="1423"/>
        <v>99999</v>
      </c>
      <c r="B39657" s="1" t="str">
        <f>"50652"</f>
        <v>50652</v>
      </c>
      <c r="C39657" s="2">
        <v>0</v>
      </c>
      <c r="D39657" s="2">
        <v>0</v>
      </c>
      <c r="E39657" s="2">
        <v>4.3010567696482999E-6</v>
      </c>
      <c r="F39657" s="2">
        <v>9.8681749974786797E-8</v>
      </c>
    </row>
    <row r="39658" spans="1:6" x14ac:dyDescent="0.25">
      <c r="A39658" s="1" t="str">
        <f t="shared" si="1423"/>
        <v>99999</v>
      </c>
      <c r="B39658" s="1" t="str">
        <f>"57340"</f>
        <v>57340</v>
      </c>
      <c r="C39658" s="2">
        <v>7.5782623390891299E-7</v>
      </c>
      <c r="D39658" s="2">
        <v>0</v>
      </c>
      <c r="E39658" s="2">
        <v>0</v>
      </c>
      <c r="F39658" s="2">
        <v>6.9077224982350697E-7</v>
      </c>
    </row>
    <row r="39659" spans="1:6" x14ac:dyDescent="0.25">
      <c r="A39659" s="1" t="str">
        <f t="shared" si="1423"/>
        <v>99999</v>
      </c>
      <c r="B39659" s="1" t="str">
        <f>"74340"</f>
        <v>74340</v>
      </c>
      <c r="C39659" s="2">
        <v>2.0569569206099001E-6</v>
      </c>
      <c r="D39659" s="2">
        <v>0</v>
      </c>
      <c r="E39659" s="2">
        <v>4.3010567696482999E-6</v>
      </c>
      <c r="F39659" s="2">
        <v>1.9736349994957299E-6</v>
      </c>
    </row>
    <row r="39660" spans="1:6" x14ac:dyDescent="0.25">
      <c r="A39660" s="1" t="str">
        <f t="shared" si="1423"/>
        <v>99999</v>
      </c>
      <c r="B39660" s="1" t="str">
        <f>"87820"</f>
        <v>87820</v>
      </c>
      <c r="C39660" s="2">
        <v>9.0939148069069495E-6</v>
      </c>
      <c r="D39660" s="2">
        <v>4.5171266858293203E-6</v>
      </c>
      <c r="E39660" s="2">
        <v>0</v>
      </c>
      <c r="F39660" s="2">
        <v>8.5853122478064497E-6</v>
      </c>
    </row>
    <row r="39661" spans="1:6" x14ac:dyDescent="0.25">
      <c r="A39661" s="1" t="str">
        <f t="shared" si="1423"/>
        <v>99999</v>
      </c>
      <c r="B39661" s="1" t="str">
        <f>"99833"</f>
        <v>99833</v>
      </c>
      <c r="C39661" s="2">
        <v>0</v>
      </c>
      <c r="D39661" s="2">
        <v>0</v>
      </c>
      <c r="E39661" s="2">
        <v>4.3010567696482999E-6</v>
      </c>
      <c r="F39661" s="2">
        <v>9.8681749974786797E-8</v>
      </c>
    </row>
    <row r="39662" spans="1:6" x14ac:dyDescent="0.25">
      <c r="A39662" s="1" t="str">
        <f t="shared" si="1423"/>
        <v>99999</v>
      </c>
      <c r="B39662" s="1" t="str">
        <f>"12861"</f>
        <v>12861</v>
      </c>
      <c r="C39662" s="2">
        <v>1.1908697961425701E-6</v>
      </c>
      <c r="D39662" s="2">
        <v>0</v>
      </c>
      <c r="E39662" s="2">
        <v>0</v>
      </c>
      <c r="F39662" s="2">
        <v>1.0854992497226499E-6</v>
      </c>
    </row>
    <row r="39663" spans="1:6" x14ac:dyDescent="0.25">
      <c r="A39663" s="1" t="str">
        <f t="shared" si="1423"/>
        <v>99999</v>
      </c>
      <c r="B39663" s="1" t="str">
        <f>"49457"</f>
        <v>49457</v>
      </c>
      <c r="C39663" s="2">
        <v>2.59826137340198E-6</v>
      </c>
      <c r="D39663" s="2">
        <v>0</v>
      </c>
      <c r="E39663" s="2">
        <v>0</v>
      </c>
      <c r="F39663" s="2">
        <v>2.3683619993948799E-6</v>
      </c>
    </row>
    <row r="39664" spans="1:6" x14ac:dyDescent="0.25">
      <c r="A39664" s="1" t="str">
        <f t="shared" si="1423"/>
        <v>99999</v>
      </c>
      <c r="B39664" s="1" t="str">
        <f>"50207"</f>
        <v>50207</v>
      </c>
      <c r="C39664" s="2">
        <v>1.51565246781782E-6</v>
      </c>
      <c r="D39664" s="2">
        <v>0</v>
      </c>
      <c r="E39664" s="2">
        <v>0</v>
      </c>
      <c r="F39664" s="2">
        <v>1.3815444996470099E-6</v>
      </c>
    </row>
    <row r="39665" spans="1:6" x14ac:dyDescent="0.25">
      <c r="A39665" s="1" t="str">
        <f t="shared" si="1423"/>
        <v>99999</v>
      </c>
      <c r="B39665" s="1" t="str">
        <f>"79530"</f>
        <v>79530</v>
      </c>
      <c r="C39665" s="2">
        <v>6.49565343350497E-7</v>
      </c>
      <c r="D39665" s="2">
        <v>0</v>
      </c>
      <c r="E39665" s="2">
        <v>0</v>
      </c>
      <c r="F39665" s="2">
        <v>5.9209049984871999E-7</v>
      </c>
    </row>
    <row r="39666" spans="1:6" x14ac:dyDescent="0.25">
      <c r="A39666" s="1" t="str">
        <f t="shared" si="1423"/>
        <v>99999</v>
      </c>
      <c r="B39666" s="1" t="str">
        <f>"50236"</f>
        <v>50236</v>
      </c>
      <c r="C39666" s="2">
        <v>2.1652178111683201E-7</v>
      </c>
      <c r="D39666" s="2">
        <v>0</v>
      </c>
      <c r="E39666" s="2">
        <v>0</v>
      </c>
      <c r="F39666" s="2">
        <v>1.9736349994957301E-7</v>
      </c>
    </row>
    <row r="39667" spans="1:6" x14ac:dyDescent="0.25">
      <c r="A39667" s="1" t="str">
        <f t="shared" si="1423"/>
        <v>99999</v>
      </c>
      <c r="B39667" s="1" t="str">
        <f>"99143"</f>
        <v>99143</v>
      </c>
      <c r="C39667" s="2">
        <v>7.5782623390891299E-7</v>
      </c>
      <c r="D39667" s="2">
        <v>0</v>
      </c>
      <c r="E39667" s="2">
        <v>0</v>
      </c>
      <c r="F39667" s="2">
        <v>6.9077224982350697E-7</v>
      </c>
    </row>
    <row r="39668" spans="1:6" x14ac:dyDescent="0.25">
      <c r="A39668" s="1" t="str">
        <f t="shared" si="1423"/>
        <v>99999</v>
      </c>
      <c r="B39668" s="1" t="str">
        <f>"16321"</f>
        <v>16321</v>
      </c>
      <c r="C39668" s="2">
        <v>0</v>
      </c>
      <c r="D39668" s="2">
        <v>0</v>
      </c>
      <c r="E39668" s="2">
        <v>4.3010567696482999E-6</v>
      </c>
      <c r="F39668" s="2">
        <v>9.8681749974786797E-8</v>
      </c>
    </row>
    <row r="39669" spans="1:6" x14ac:dyDescent="0.25">
      <c r="A39669" s="1" t="str">
        <f t="shared" si="1423"/>
        <v>99999</v>
      </c>
      <c r="B39669" s="1" t="str">
        <f>"27825"</f>
        <v>27825</v>
      </c>
      <c r="C39669" s="2">
        <v>1.08260890558416E-7</v>
      </c>
      <c r="D39669" s="2">
        <v>1.50570889527644E-6</v>
      </c>
      <c r="E39669" s="2">
        <v>4.3010567696482999E-6</v>
      </c>
      <c r="F39669" s="2">
        <v>2.9604524992435999E-7</v>
      </c>
    </row>
    <row r="39670" spans="1:6" x14ac:dyDescent="0.25">
      <c r="A39670" s="1" t="str">
        <f t="shared" si="1423"/>
        <v>99999</v>
      </c>
      <c r="B39670" s="1" t="str">
        <f>"29921"</f>
        <v>29921</v>
      </c>
      <c r="C39670" s="2">
        <v>1.08260890558416E-7</v>
      </c>
      <c r="D39670" s="2">
        <v>1.50570889527644E-6</v>
      </c>
      <c r="E39670" s="2">
        <v>0</v>
      </c>
      <c r="F39670" s="2">
        <v>1.9736349994957301E-7</v>
      </c>
    </row>
    <row r="39671" spans="1:6" x14ac:dyDescent="0.25">
      <c r="A39671" s="1" t="str">
        <f t="shared" si="1423"/>
        <v>99999</v>
      </c>
      <c r="B39671" s="1" t="str">
        <f>"54620"</f>
        <v>54620</v>
      </c>
      <c r="C39671" s="2">
        <v>0</v>
      </c>
      <c r="D39671" s="2">
        <v>1.50570889527644E-6</v>
      </c>
      <c r="E39671" s="2">
        <v>0</v>
      </c>
      <c r="F39671" s="2">
        <v>9.8681749974786797E-8</v>
      </c>
    </row>
    <row r="39672" spans="1:6" x14ac:dyDescent="0.25">
      <c r="A39672" s="1" t="str">
        <f t="shared" si="1423"/>
        <v>99999</v>
      </c>
      <c r="B39672" s="1" t="str">
        <f>"39751"</f>
        <v>39751</v>
      </c>
      <c r="C39672" s="2">
        <v>2.59826137340198E-6</v>
      </c>
      <c r="D39672" s="2">
        <v>1.50570889527644E-6</v>
      </c>
      <c r="E39672" s="2">
        <v>0</v>
      </c>
      <c r="F39672" s="2">
        <v>2.4670437493696702E-6</v>
      </c>
    </row>
    <row r="39673" spans="1:6" x14ac:dyDescent="0.25">
      <c r="A39673" s="1" t="str">
        <f t="shared" si="1423"/>
        <v>99999</v>
      </c>
      <c r="B39673" s="1" t="str">
        <f>"43713"</f>
        <v>43713</v>
      </c>
      <c r="C39673" s="2">
        <v>1.08260890558416E-7</v>
      </c>
      <c r="D39673" s="2">
        <v>0</v>
      </c>
      <c r="E39673" s="2">
        <v>0</v>
      </c>
      <c r="F39673" s="2">
        <v>9.8681749974786797E-8</v>
      </c>
    </row>
    <row r="39674" spans="1:6" x14ac:dyDescent="0.25">
      <c r="A39674" s="1" t="str">
        <f t="shared" si="1423"/>
        <v>99999</v>
      </c>
      <c r="B39674" s="1" t="str">
        <f>"64654"</f>
        <v>64654</v>
      </c>
      <c r="C39674" s="2">
        <v>0</v>
      </c>
      <c r="D39674" s="2">
        <v>0</v>
      </c>
      <c r="E39674" s="2">
        <v>4.3010567696482999E-6</v>
      </c>
      <c r="F39674" s="2">
        <v>9.8681749974786797E-8</v>
      </c>
    </row>
    <row r="39675" spans="1:6" x14ac:dyDescent="0.25">
      <c r="A39675" s="1" t="str">
        <f t="shared" si="1423"/>
        <v>99999</v>
      </c>
      <c r="B39675" s="1" t="str">
        <f>"89318"</f>
        <v>89318</v>
      </c>
      <c r="C39675" s="2">
        <v>0</v>
      </c>
      <c r="D39675" s="2">
        <v>1.50570889527644E-6</v>
      </c>
      <c r="E39675" s="2">
        <v>3.8709510926834699E-5</v>
      </c>
      <c r="F39675" s="2">
        <v>9.8681749974786791E-7</v>
      </c>
    </row>
    <row r="39676" spans="1:6" x14ac:dyDescent="0.25">
      <c r="A39676" s="1" t="str">
        <f t="shared" si="1423"/>
        <v>99999</v>
      </c>
      <c r="B39676" s="1" t="str">
        <f>"21930"</f>
        <v>21930</v>
      </c>
      <c r="C39676" s="2">
        <v>6.49565343350497E-7</v>
      </c>
      <c r="D39676" s="2">
        <v>0</v>
      </c>
      <c r="E39676" s="2">
        <v>0</v>
      </c>
      <c r="F39676" s="2">
        <v>5.9209049984871999E-7</v>
      </c>
    </row>
    <row r="39677" spans="1:6" x14ac:dyDescent="0.25">
      <c r="A39677" s="1" t="str">
        <f t="shared" si="1423"/>
        <v>99999</v>
      </c>
      <c r="B39677" s="1" t="str">
        <f>"57622"</f>
        <v>57622</v>
      </c>
      <c r="C39677" s="2">
        <v>1.0393045493607899E-5</v>
      </c>
      <c r="D39677" s="2">
        <v>0</v>
      </c>
      <c r="E39677" s="2">
        <v>0</v>
      </c>
      <c r="F39677" s="2">
        <v>9.4734479975795299E-6</v>
      </c>
    </row>
    <row r="39678" spans="1:6" x14ac:dyDescent="0.25">
      <c r="A39678" s="1" t="str">
        <f t="shared" si="1423"/>
        <v>99999</v>
      </c>
      <c r="B39678" s="1" t="str">
        <f>"15315"</f>
        <v>15315</v>
      </c>
      <c r="C39678" s="2">
        <v>0</v>
      </c>
      <c r="D39678" s="2">
        <v>0</v>
      </c>
      <c r="E39678" s="2">
        <v>1.29031703089449E-5</v>
      </c>
      <c r="F39678" s="2">
        <v>2.9604524992435999E-7</v>
      </c>
    </row>
    <row r="39679" spans="1:6" x14ac:dyDescent="0.25">
      <c r="A39679" s="1" t="str">
        <f t="shared" si="1423"/>
        <v>99999</v>
      </c>
      <c r="B39679" s="1" t="str">
        <f>"76225"</f>
        <v>76225</v>
      </c>
      <c r="C39679" s="2">
        <v>6.49565343350497E-7</v>
      </c>
      <c r="D39679" s="2">
        <v>0</v>
      </c>
      <c r="E39679" s="2">
        <v>0</v>
      </c>
      <c r="F39679" s="2">
        <v>5.9209049984871999E-7</v>
      </c>
    </row>
    <row r="39680" spans="1:6" x14ac:dyDescent="0.25">
      <c r="A39680" s="1" t="str">
        <f t="shared" si="1423"/>
        <v>99999</v>
      </c>
      <c r="B39680" s="1" t="str">
        <f>"31642"</f>
        <v>31642</v>
      </c>
      <c r="C39680" s="2">
        <v>2.49000048284357E-6</v>
      </c>
      <c r="D39680" s="2">
        <v>0</v>
      </c>
      <c r="E39680" s="2">
        <v>0</v>
      </c>
      <c r="F39680" s="2">
        <v>2.2696802494200901E-6</v>
      </c>
    </row>
    <row r="39681" spans="1:6" x14ac:dyDescent="0.25">
      <c r="A39681" s="1" t="str">
        <f t="shared" si="1423"/>
        <v>99999</v>
      </c>
      <c r="B39681" s="1" t="str">
        <f>"99661"</f>
        <v>99661</v>
      </c>
      <c r="C39681" s="2">
        <v>0</v>
      </c>
      <c r="D39681" s="2">
        <v>0</v>
      </c>
      <c r="E39681" s="2">
        <v>4.3010567696482999E-6</v>
      </c>
      <c r="F39681" s="2">
        <v>9.8681749974786797E-8</v>
      </c>
    </row>
    <row r="39682" spans="1:6" x14ac:dyDescent="0.25">
      <c r="A39682" s="1" t="str">
        <f t="shared" si="1423"/>
        <v>99999</v>
      </c>
      <c r="B39682" s="1" t="str">
        <f>"22626"</f>
        <v>22626</v>
      </c>
      <c r="C39682" s="2">
        <v>0</v>
      </c>
      <c r="D39682" s="2">
        <v>1.50570889527644E-6</v>
      </c>
      <c r="E39682" s="2">
        <v>0</v>
      </c>
      <c r="F39682" s="2">
        <v>9.8681749974786797E-8</v>
      </c>
    </row>
    <row r="39683" spans="1:6" x14ac:dyDescent="0.25">
      <c r="A39683" s="1" t="str">
        <f t="shared" si="1423"/>
        <v>99999</v>
      </c>
      <c r="B39683" s="1" t="str">
        <f>"79326"</f>
        <v>79326</v>
      </c>
      <c r="C39683" s="2">
        <v>2.3817395922851499E-6</v>
      </c>
      <c r="D39683" s="2">
        <v>0</v>
      </c>
      <c r="E39683" s="2">
        <v>4.3010567696482999E-6</v>
      </c>
      <c r="F39683" s="2">
        <v>2.2696802494200901E-6</v>
      </c>
    </row>
    <row r="39684" spans="1:6" x14ac:dyDescent="0.25">
      <c r="A39684" s="1" t="str">
        <f t="shared" si="1423"/>
        <v>99999</v>
      </c>
      <c r="B39684" s="1" t="str">
        <f>"29808"</f>
        <v>29808</v>
      </c>
      <c r="C39684" s="2">
        <v>0</v>
      </c>
      <c r="D39684" s="2">
        <v>3.01141779055288E-6</v>
      </c>
      <c r="E39684" s="2">
        <v>0</v>
      </c>
      <c r="F39684" s="2">
        <v>1.9736349994957301E-7</v>
      </c>
    </row>
    <row r="39685" spans="1:6" x14ac:dyDescent="0.25">
      <c r="A39685" s="1" t="str">
        <f t="shared" si="1423"/>
        <v>99999</v>
      </c>
      <c r="B39685" s="1" t="str">
        <f>"41347"</f>
        <v>41347</v>
      </c>
      <c r="C39685" s="2">
        <v>0</v>
      </c>
      <c r="D39685" s="2">
        <v>0</v>
      </c>
      <c r="E39685" s="2">
        <v>4.3010567696482999E-6</v>
      </c>
      <c r="F39685" s="2">
        <v>9.8681749974786797E-8</v>
      </c>
    </row>
    <row r="39686" spans="1:6" x14ac:dyDescent="0.25">
      <c r="A39686" s="1" t="str">
        <f t="shared" ref="A39686:A39749" si="1424">"99999"</f>
        <v>99999</v>
      </c>
      <c r="B39686" s="1" t="str">
        <f>"59710"</f>
        <v>59710</v>
      </c>
      <c r="C39686" s="2">
        <v>3.2478267167524802E-7</v>
      </c>
      <c r="D39686" s="2">
        <v>0</v>
      </c>
      <c r="E39686" s="2">
        <v>4.3010567696482999E-6</v>
      </c>
      <c r="F39686" s="2">
        <v>3.9472699989914697E-7</v>
      </c>
    </row>
    <row r="39687" spans="1:6" x14ac:dyDescent="0.25">
      <c r="A39687" s="1" t="str">
        <f t="shared" si="1424"/>
        <v>99999</v>
      </c>
      <c r="B39687" s="1" t="str">
        <f>"59755"</f>
        <v>59755</v>
      </c>
      <c r="C39687" s="2">
        <v>0</v>
      </c>
      <c r="D39687" s="2">
        <v>0</v>
      </c>
      <c r="E39687" s="2">
        <v>4.3010567696482999E-6</v>
      </c>
      <c r="F39687" s="2">
        <v>9.8681749974786797E-8</v>
      </c>
    </row>
    <row r="39688" spans="1:6" x14ac:dyDescent="0.25">
      <c r="A39688" s="1" t="str">
        <f t="shared" si="1424"/>
        <v>99999</v>
      </c>
      <c r="B39688" s="1" t="str">
        <f>"78604"</f>
        <v>78604</v>
      </c>
      <c r="C39688" s="2">
        <v>0</v>
      </c>
      <c r="D39688" s="2">
        <v>1.50570889527644E-6</v>
      </c>
      <c r="E39688" s="2">
        <v>0</v>
      </c>
      <c r="F39688" s="2">
        <v>9.8681749974786797E-8</v>
      </c>
    </row>
    <row r="39689" spans="1:6" x14ac:dyDescent="0.25">
      <c r="A39689" s="1" t="str">
        <f t="shared" si="1424"/>
        <v>99999</v>
      </c>
      <c r="B39689" s="1" t="str">
        <f>"15353"</f>
        <v>15353</v>
      </c>
      <c r="C39689" s="2">
        <v>0</v>
      </c>
      <c r="D39689" s="2">
        <v>0</v>
      </c>
      <c r="E39689" s="2">
        <v>8.6021135392965999E-6</v>
      </c>
      <c r="F39689" s="2">
        <v>1.9736349994957301E-7</v>
      </c>
    </row>
    <row r="39690" spans="1:6" x14ac:dyDescent="0.25">
      <c r="A39690" s="1" t="str">
        <f t="shared" si="1424"/>
        <v>99999</v>
      </c>
      <c r="B39690" s="1" t="str">
        <f>"79781"</f>
        <v>79781</v>
      </c>
      <c r="C39690" s="2">
        <v>0</v>
      </c>
      <c r="D39690" s="2">
        <v>1.50570889527644E-6</v>
      </c>
      <c r="E39690" s="2">
        <v>0</v>
      </c>
      <c r="F39690" s="2">
        <v>9.8681749974786797E-8</v>
      </c>
    </row>
    <row r="39691" spans="1:6" x14ac:dyDescent="0.25">
      <c r="A39691" s="1" t="str">
        <f t="shared" si="1424"/>
        <v>99999</v>
      </c>
      <c r="B39691" s="1" t="str">
        <f>"22577"</f>
        <v>22577</v>
      </c>
      <c r="C39691" s="2">
        <v>1.08260890558416E-7</v>
      </c>
      <c r="D39691" s="2">
        <v>1.50570889527644E-6</v>
      </c>
      <c r="E39691" s="2">
        <v>0</v>
      </c>
      <c r="F39691" s="2">
        <v>1.9736349994957301E-7</v>
      </c>
    </row>
    <row r="39692" spans="1:6" x14ac:dyDescent="0.25">
      <c r="A39692" s="1" t="str">
        <f t="shared" si="1424"/>
        <v>99999</v>
      </c>
      <c r="B39692" s="1" t="str">
        <f>"42764"</f>
        <v>42764</v>
      </c>
      <c r="C39692" s="2">
        <v>9.7434801502574508E-7</v>
      </c>
      <c r="D39692" s="2">
        <v>0</v>
      </c>
      <c r="E39692" s="2">
        <v>0</v>
      </c>
      <c r="F39692" s="2">
        <v>8.8813574977308104E-7</v>
      </c>
    </row>
    <row r="39693" spans="1:6" x14ac:dyDescent="0.25">
      <c r="A39693" s="1" t="str">
        <f t="shared" si="1424"/>
        <v>99999</v>
      </c>
      <c r="B39693" s="1" t="str">
        <f>"56063"</f>
        <v>56063</v>
      </c>
      <c r="C39693" s="2">
        <v>1.4073915772594101E-6</v>
      </c>
      <c r="D39693" s="2">
        <v>0</v>
      </c>
      <c r="E39693" s="2">
        <v>0</v>
      </c>
      <c r="F39693" s="2">
        <v>1.2828627496722201E-6</v>
      </c>
    </row>
    <row r="39694" spans="1:6" x14ac:dyDescent="0.25">
      <c r="A39694" s="1" t="str">
        <f t="shared" si="1424"/>
        <v>99999</v>
      </c>
      <c r="B39694" s="1" t="str">
        <f>"72662"</f>
        <v>72662</v>
      </c>
      <c r="C39694" s="2">
        <v>2.3817395922851499E-6</v>
      </c>
      <c r="D39694" s="2">
        <v>0</v>
      </c>
      <c r="E39694" s="2">
        <v>0</v>
      </c>
      <c r="F39694" s="2">
        <v>2.1709984994452998E-6</v>
      </c>
    </row>
    <row r="39695" spans="1:6" x14ac:dyDescent="0.25">
      <c r="A39695" s="1" t="str">
        <f t="shared" si="1424"/>
        <v>99999</v>
      </c>
      <c r="B39695" s="1" t="str">
        <f>"51460"</f>
        <v>51460</v>
      </c>
      <c r="C39695" s="2">
        <v>1.9486960300514902E-6</v>
      </c>
      <c r="D39695" s="2">
        <v>0</v>
      </c>
      <c r="E39695" s="2">
        <v>4.3010567696482999E-6</v>
      </c>
      <c r="F39695" s="2">
        <v>1.8749532495209401E-6</v>
      </c>
    </row>
    <row r="39696" spans="1:6" x14ac:dyDescent="0.25">
      <c r="A39696" s="1" t="str">
        <f t="shared" si="1424"/>
        <v>99999</v>
      </c>
      <c r="B39696" s="1" t="str">
        <f>"59642"</f>
        <v>59642</v>
      </c>
      <c r="C39696" s="2">
        <v>1.7321742489346499E-6</v>
      </c>
      <c r="D39696" s="2">
        <v>0</v>
      </c>
      <c r="E39696" s="2">
        <v>4.3010567696482999E-6</v>
      </c>
      <c r="F39696" s="2">
        <v>1.6775897495713699E-6</v>
      </c>
    </row>
    <row r="39697" spans="1:6" x14ac:dyDescent="0.25">
      <c r="A39697" s="1" t="str">
        <f t="shared" si="1424"/>
        <v>99999</v>
      </c>
      <c r="B39697" s="1" t="str">
        <f>"70570"</f>
        <v>70570</v>
      </c>
      <c r="C39697" s="2">
        <v>7.5782623390891299E-7</v>
      </c>
      <c r="D39697" s="2">
        <v>0</v>
      </c>
      <c r="E39697" s="2">
        <v>0</v>
      </c>
      <c r="F39697" s="2">
        <v>6.9077224982350697E-7</v>
      </c>
    </row>
    <row r="39698" spans="1:6" x14ac:dyDescent="0.25">
      <c r="A39698" s="1" t="str">
        <f t="shared" si="1424"/>
        <v>99999</v>
      </c>
      <c r="B39698" s="1" t="str">
        <f>"14481"</f>
        <v>14481</v>
      </c>
      <c r="C39698" s="2">
        <v>3.2478267167524802E-7</v>
      </c>
      <c r="D39698" s="2">
        <v>0</v>
      </c>
      <c r="E39698" s="2">
        <v>0</v>
      </c>
      <c r="F39698" s="2">
        <v>2.9604524992435999E-7</v>
      </c>
    </row>
    <row r="39699" spans="1:6" x14ac:dyDescent="0.25">
      <c r="A39699" s="1" t="str">
        <f t="shared" si="1424"/>
        <v>99999</v>
      </c>
      <c r="B39699" s="1" t="str">
        <f>"26385"</f>
        <v>26385</v>
      </c>
      <c r="C39699" s="2">
        <v>5.4130445279207995E-7</v>
      </c>
      <c r="D39699" s="2">
        <v>0</v>
      </c>
      <c r="E39699" s="2">
        <v>0</v>
      </c>
      <c r="F39699" s="2">
        <v>4.9340874987393396E-7</v>
      </c>
    </row>
    <row r="39700" spans="1:6" x14ac:dyDescent="0.25">
      <c r="A39700" s="1" t="str">
        <f t="shared" si="1424"/>
        <v>99999</v>
      </c>
      <c r="B39700" s="1" t="str">
        <f>"50220"</f>
        <v>50220</v>
      </c>
      <c r="C39700" s="2">
        <v>1.62391335837624E-6</v>
      </c>
      <c r="D39700" s="2">
        <v>1.50570889527644E-6</v>
      </c>
      <c r="E39700" s="2">
        <v>0</v>
      </c>
      <c r="F39700" s="2">
        <v>1.5789079995965801E-6</v>
      </c>
    </row>
    <row r="39701" spans="1:6" x14ac:dyDescent="0.25">
      <c r="A39701" s="1" t="str">
        <f t="shared" si="1424"/>
        <v>99999</v>
      </c>
      <c r="B39701" s="1" t="str">
        <f>"56444"</f>
        <v>56444</v>
      </c>
      <c r="C39701" s="2">
        <v>5.4130445279207995E-7</v>
      </c>
      <c r="D39701" s="2">
        <v>0</v>
      </c>
      <c r="E39701" s="2">
        <v>0</v>
      </c>
      <c r="F39701" s="2">
        <v>4.9340874987393396E-7</v>
      </c>
    </row>
    <row r="39702" spans="1:6" x14ac:dyDescent="0.25">
      <c r="A39702" s="1" t="str">
        <f t="shared" si="1424"/>
        <v>99999</v>
      </c>
      <c r="B39702" s="1" t="str">
        <f>"95920"</f>
        <v>95920</v>
      </c>
      <c r="C39702" s="2">
        <v>4.1139138412198104E-6</v>
      </c>
      <c r="D39702" s="2">
        <v>1.50570889527644E-6</v>
      </c>
      <c r="E39702" s="2">
        <v>8.6021135392965999E-6</v>
      </c>
      <c r="F39702" s="2">
        <v>4.0459517489662501E-6</v>
      </c>
    </row>
    <row r="39703" spans="1:6" x14ac:dyDescent="0.25">
      <c r="A39703" s="1" t="str">
        <f t="shared" si="1424"/>
        <v>99999</v>
      </c>
      <c r="B39703" s="1" t="str">
        <f>"95951"</f>
        <v>95951</v>
      </c>
      <c r="C39703" s="2">
        <v>0</v>
      </c>
      <c r="D39703" s="2">
        <v>0</v>
      </c>
      <c r="E39703" s="2">
        <v>8.6021135392965999E-6</v>
      </c>
      <c r="F39703" s="2">
        <v>1.9736349994957301E-7</v>
      </c>
    </row>
    <row r="39704" spans="1:6" x14ac:dyDescent="0.25">
      <c r="A39704" s="1" t="str">
        <f t="shared" si="1424"/>
        <v>99999</v>
      </c>
      <c r="B39704" s="1" t="str">
        <f>"24448"</f>
        <v>24448</v>
      </c>
      <c r="C39704" s="2">
        <v>3.2478267167524802E-7</v>
      </c>
      <c r="D39704" s="2">
        <v>1.50570889527644E-6</v>
      </c>
      <c r="E39704" s="2">
        <v>0</v>
      </c>
      <c r="F39704" s="2">
        <v>3.9472699989914697E-7</v>
      </c>
    </row>
    <row r="39705" spans="1:6" x14ac:dyDescent="0.25">
      <c r="A39705" s="1" t="str">
        <f t="shared" si="1424"/>
        <v>99999</v>
      </c>
      <c r="B39705" s="1" t="str">
        <f>"58343"</f>
        <v>58343</v>
      </c>
      <c r="C39705" s="2">
        <v>4.98000096568714E-6</v>
      </c>
      <c r="D39705" s="2">
        <v>0</v>
      </c>
      <c r="E39705" s="2">
        <v>4.3010567696482999E-6</v>
      </c>
      <c r="F39705" s="2">
        <v>4.6380422488149798E-6</v>
      </c>
    </row>
    <row r="39706" spans="1:6" x14ac:dyDescent="0.25">
      <c r="A39706" s="1" t="str">
        <f t="shared" si="1424"/>
        <v>99999</v>
      </c>
      <c r="B39706" s="1" t="str">
        <f>"62319"</f>
        <v>62319</v>
      </c>
      <c r="C39706" s="2">
        <v>1.0393045493607899E-5</v>
      </c>
      <c r="D39706" s="2">
        <v>0</v>
      </c>
      <c r="E39706" s="2">
        <v>4.3010567696482999E-6</v>
      </c>
      <c r="F39706" s="2">
        <v>9.5721297475543202E-6</v>
      </c>
    </row>
    <row r="39707" spans="1:6" x14ac:dyDescent="0.25">
      <c r="A39707" s="1" t="str">
        <f t="shared" si="1424"/>
        <v>99999</v>
      </c>
      <c r="B39707" s="1" t="str">
        <f>"65589"</f>
        <v>65589</v>
      </c>
      <c r="C39707" s="2">
        <v>1.1150871727516799E-5</v>
      </c>
      <c r="D39707" s="2">
        <v>3.01141779055288E-6</v>
      </c>
      <c r="E39707" s="2">
        <v>0</v>
      </c>
      <c r="F39707" s="2">
        <v>1.03615837473526E-5</v>
      </c>
    </row>
    <row r="39708" spans="1:6" x14ac:dyDescent="0.25">
      <c r="A39708" s="1" t="str">
        <f t="shared" si="1424"/>
        <v>99999</v>
      </c>
      <c r="B39708" s="1" t="str">
        <f>"70637"</f>
        <v>70637</v>
      </c>
      <c r="C39708" s="2">
        <v>1.7430003379904999E-5</v>
      </c>
      <c r="D39708" s="2">
        <v>0</v>
      </c>
      <c r="E39708" s="2">
        <v>0</v>
      </c>
      <c r="F39708" s="2">
        <v>1.5887761745940599E-5</v>
      </c>
    </row>
    <row r="39709" spans="1:6" x14ac:dyDescent="0.25">
      <c r="A39709" s="1" t="str">
        <f t="shared" si="1424"/>
        <v>99999</v>
      </c>
      <c r="B39709" s="1" t="str">
        <f>"68338"</f>
        <v>68338</v>
      </c>
      <c r="C39709" s="2">
        <v>1.0176523712491101E-5</v>
      </c>
      <c r="D39709" s="2">
        <v>3.01141779055288E-6</v>
      </c>
      <c r="E39709" s="2">
        <v>4.3010567696482999E-6</v>
      </c>
      <c r="F39709" s="2">
        <v>9.5721297475543202E-6</v>
      </c>
    </row>
    <row r="39710" spans="1:6" x14ac:dyDescent="0.25">
      <c r="A39710" s="1" t="str">
        <f t="shared" si="1424"/>
        <v>99999</v>
      </c>
      <c r="B39710" s="1" t="str">
        <f>"79519"</f>
        <v>79519</v>
      </c>
      <c r="C39710" s="2">
        <v>4.1139138412198104E-6</v>
      </c>
      <c r="D39710" s="2">
        <v>0</v>
      </c>
      <c r="E39710" s="2">
        <v>4.3010567696482999E-6</v>
      </c>
      <c r="F39710" s="2">
        <v>3.8485882490166797E-6</v>
      </c>
    </row>
    <row r="39711" spans="1:6" x14ac:dyDescent="0.25">
      <c r="A39711" s="1" t="str">
        <f t="shared" si="1424"/>
        <v>99999</v>
      </c>
      <c r="B39711" s="1" t="str">
        <f>"80741"</f>
        <v>80741</v>
      </c>
      <c r="C39711" s="2">
        <v>4.0056529506613898E-6</v>
      </c>
      <c r="D39711" s="2">
        <v>0</v>
      </c>
      <c r="E39711" s="2">
        <v>0</v>
      </c>
      <c r="F39711" s="2">
        <v>3.6512247490671102E-6</v>
      </c>
    </row>
    <row r="39712" spans="1:6" x14ac:dyDescent="0.25">
      <c r="A39712" s="1" t="str">
        <f t="shared" si="1424"/>
        <v>99999</v>
      </c>
      <c r="B39712" s="1" t="str">
        <f>"86505"</f>
        <v>86505</v>
      </c>
      <c r="C39712" s="2">
        <v>0</v>
      </c>
      <c r="D39712" s="2">
        <v>1.80685067433172E-5</v>
      </c>
      <c r="E39712" s="2">
        <v>8.6021135392965999E-6</v>
      </c>
      <c r="F39712" s="2">
        <v>1.3815444996470099E-6</v>
      </c>
    </row>
    <row r="39713" spans="1:6" x14ac:dyDescent="0.25">
      <c r="A39713" s="1" t="str">
        <f t="shared" si="1424"/>
        <v>99999</v>
      </c>
      <c r="B39713" s="1" t="str">
        <f>"96110"</f>
        <v>96110</v>
      </c>
      <c r="C39713" s="2">
        <v>0</v>
      </c>
      <c r="D39713" s="2">
        <v>0</v>
      </c>
      <c r="E39713" s="2">
        <v>4.3010567696482999E-5</v>
      </c>
      <c r="F39713" s="2">
        <v>9.8681749974786791E-7</v>
      </c>
    </row>
    <row r="39714" spans="1:6" x14ac:dyDescent="0.25">
      <c r="A39714" s="1" t="str">
        <f t="shared" si="1424"/>
        <v>99999</v>
      </c>
      <c r="B39714" s="1" t="str">
        <f>"93653"</f>
        <v>93653</v>
      </c>
      <c r="C39714" s="2">
        <v>4.6552182940118902E-6</v>
      </c>
      <c r="D39714" s="2">
        <v>0</v>
      </c>
      <c r="E39714" s="2">
        <v>0</v>
      </c>
      <c r="F39714" s="2">
        <v>4.2433152489158297E-6</v>
      </c>
    </row>
    <row r="39715" spans="1:6" x14ac:dyDescent="0.25">
      <c r="A39715" s="1" t="str">
        <f t="shared" si="1424"/>
        <v>99999</v>
      </c>
      <c r="B39715" s="1" t="str">
        <f>"99739"</f>
        <v>99739</v>
      </c>
      <c r="C39715" s="2">
        <v>0</v>
      </c>
      <c r="D39715" s="2">
        <v>0</v>
      </c>
      <c r="E39715" s="2">
        <v>4.3010567696482999E-6</v>
      </c>
      <c r="F39715" s="2">
        <v>9.8681749974786797E-8</v>
      </c>
    </row>
    <row r="39716" spans="1:6" x14ac:dyDescent="0.25">
      <c r="A39716" s="1" t="str">
        <f t="shared" si="1424"/>
        <v>99999</v>
      </c>
      <c r="B39716" s="1" t="str">
        <f>"05050"</f>
        <v>05050</v>
      </c>
      <c r="C39716" s="2">
        <v>9.6352192596990302E-6</v>
      </c>
      <c r="D39716" s="2">
        <v>1.50570889527644E-6</v>
      </c>
      <c r="E39716" s="2">
        <v>0</v>
      </c>
      <c r="F39716" s="2">
        <v>8.8813574977308104E-6</v>
      </c>
    </row>
    <row r="39717" spans="1:6" x14ac:dyDescent="0.25">
      <c r="A39717" s="1" t="str">
        <f t="shared" si="1424"/>
        <v>99999</v>
      </c>
      <c r="B39717" s="1" t="str">
        <f>"22815"</f>
        <v>22815</v>
      </c>
      <c r="C39717" s="2">
        <v>4.3304356223366396E-6</v>
      </c>
      <c r="D39717" s="2">
        <v>0</v>
      </c>
      <c r="E39717" s="2">
        <v>0</v>
      </c>
      <c r="F39717" s="2">
        <v>3.94726999899147E-6</v>
      </c>
    </row>
    <row r="39718" spans="1:6" x14ac:dyDescent="0.25">
      <c r="A39718" s="1" t="str">
        <f t="shared" si="1424"/>
        <v>99999</v>
      </c>
      <c r="B39718" s="1" t="str">
        <f>"38839"</f>
        <v>38839</v>
      </c>
      <c r="C39718" s="2">
        <v>2.1652178111683201E-7</v>
      </c>
      <c r="D39718" s="2">
        <v>1.50570889527644E-6</v>
      </c>
      <c r="E39718" s="2">
        <v>0</v>
      </c>
      <c r="F39718" s="2">
        <v>2.9604524992435999E-7</v>
      </c>
    </row>
    <row r="39719" spans="1:6" x14ac:dyDescent="0.25">
      <c r="A39719" s="1" t="str">
        <f t="shared" si="1424"/>
        <v>99999</v>
      </c>
      <c r="B39719" s="1" t="str">
        <f>"41778"</f>
        <v>41778</v>
      </c>
      <c r="C39719" s="2">
        <v>3.1395658261940598E-6</v>
      </c>
      <c r="D39719" s="2">
        <v>0</v>
      </c>
      <c r="E39719" s="2">
        <v>8.6021135392965999E-6</v>
      </c>
      <c r="F39719" s="2">
        <v>3.0591342492183902E-6</v>
      </c>
    </row>
    <row r="39720" spans="1:6" x14ac:dyDescent="0.25">
      <c r="A39720" s="1" t="str">
        <f t="shared" si="1424"/>
        <v>99999</v>
      </c>
      <c r="B39720" s="1" t="str">
        <f>"49087"</f>
        <v>49087</v>
      </c>
      <c r="C39720" s="2">
        <v>3.3560876073109E-6</v>
      </c>
      <c r="D39720" s="2">
        <v>0</v>
      </c>
      <c r="E39720" s="2">
        <v>0</v>
      </c>
      <c r="F39720" s="2">
        <v>3.0591342492183902E-6</v>
      </c>
    </row>
    <row r="39721" spans="1:6" x14ac:dyDescent="0.25">
      <c r="A39721" s="1" t="str">
        <f t="shared" si="1424"/>
        <v>99999</v>
      </c>
      <c r="B39721" s="1" t="str">
        <f>"57363"</f>
        <v>57363</v>
      </c>
      <c r="C39721" s="2">
        <v>2.2734787017267302E-6</v>
      </c>
      <c r="D39721" s="2">
        <v>1.50570889527644E-6</v>
      </c>
      <c r="E39721" s="2">
        <v>0</v>
      </c>
      <c r="F39721" s="2">
        <v>2.1709984994452998E-6</v>
      </c>
    </row>
    <row r="39722" spans="1:6" x14ac:dyDescent="0.25">
      <c r="A39722" s="1" t="str">
        <f t="shared" si="1424"/>
        <v>99999</v>
      </c>
      <c r="B39722" s="1" t="str">
        <f>"57661"</f>
        <v>57661</v>
      </c>
      <c r="C39722" s="2">
        <v>4.2221747317782301E-6</v>
      </c>
      <c r="D39722" s="2">
        <v>0</v>
      </c>
      <c r="E39722" s="2">
        <v>4.3010567696482999E-6</v>
      </c>
      <c r="F39722" s="2">
        <v>3.94726999899147E-6</v>
      </c>
    </row>
    <row r="39723" spans="1:6" x14ac:dyDescent="0.25">
      <c r="A39723" s="1" t="str">
        <f t="shared" si="1424"/>
        <v>99999</v>
      </c>
      <c r="B39723" s="1" t="str">
        <f>"58071"</f>
        <v>58071</v>
      </c>
      <c r="C39723" s="2">
        <v>6.3873925429465503E-6</v>
      </c>
      <c r="D39723" s="2">
        <v>6.0228355811057601E-6</v>
      </c>
      <c r="E39723" s="2">
        <v>0</v>
      </c>
      <c r="F39723" s="2">
        <v>6.2169502484115596E-6</v>
      </c>
    </row>
    <row r="39724" spans="1:6" x14ac:dyDescent="0.25">
      <c r="A39724" s="1" t="str">
        <f t="shared" si="1424"/>
        <v>99999</v>
      </c>
      <c r="B39724" s="1" t="str">
        <f>"69037"</f>
        <v>69037</v>
      </c>
      <c r="C39724" s="2">
        <v>6.9286969957386301E-6</v>
      </c>
      <c r="D39724" s="2">
        <v>0</v>
      </c>
      <c r="E39724" s="2">
        <v>4.3010567696482999E-6</v>
      </c>
      <c r="F39724" s="2">
        <v>6.4143137483611402E-6</v>
      </c>
    </row>
    <row r="39725" spans="1:6" x14ac:dyDescent="0.25">
      <c r="A39725" s="1" t="str">
        <f t="shared" si="1424"/>
        <v>99999</v>
      </c>
      <c r="B39725" s="1" t="str">
        <f>"73444"</f>
        <v>73444</v>
      </c>
      <c r="C39725" s="2">
        <v>2.7065222639604001E-6</v>
      </c>
      <c r="D39725" s="2">
        <v>1.50570889527644E-6</v>
      </c>
      <c r="E39725" s="2">
        <v>0</v>
      </c>
      <c r="F39725" s="2">
        <v>2.5657254993444499E-6</v>
      </c>
    </row>
    <row r="39726" spans="1:6" x14ac:dyDescent="0.25">
      <c r="A39726" s="1" t="str">
        <f t="shared" si="1424"/>
        <v>99999</v>
      </c>
      <c r="B39726" s="1" t="str">
        <f>"88414"</f>
        <v>88414</v>
      </c>
      <c r="C39726" s="2">
        <v>5.4130445279208001E-6</v>
      </c>
      <c r="D39726" s="2">
        <v>0</v>
      </c>
      <c r="E39726" s="2">
        <v>4.3010567696482999E-6</v>
      </c>
      <c r="F39726" s="2">
        <v>5.0327692487141197E-6</v>
      </c>
    </row>
    <row r="39727" spans="1:6" x14ac:dyDescent="0.25">
      <c r="A39727" s="1" t="str">
        <f t="shared" si="1424"/>
        <v>99999</v>
      </c>
      <c r="B39727" s="1" t="str">
        <f>"87718"</f>
        <v>87718</v>
      </c>
      <c r="C39727" s="2">
        <v>7.9030450107643795E-6</v>
      </c>
      <c r="D39727" s="2">
        <v>0</v>
      </c>
      <c r="E39727" s="2">
        <v>8.6021135392965999E-6</v>
      </c>
      <c r="F39727" s="2">
        <v>7.4011312481090098E-6</v>
      </c>
    </row>
    <row r="39728" spans="1:6" x14ac:dyDescent="0.25">
      <c r="A39728" s="1" t="str">
        <f t="shared" si="1424"/>
        <v>99999</v>
      </c>
      <c r="B39728" s="1" t="str">
        <f>"95981"</f>
        <v>95981</v>
      </c>
      <c r="C39728" s="2">
        <v>0</v>
      </c>
      <c r="D39728" s="2">
        <v>0</v>
      </c>
      <c r="E39728" s="2">
        <v>4.3010567696482999E-6</v>
      </c>
      <c r="F39728" s="2">
        <v>9.8681749974786797E-8</v>
      </c>
    </row>
    <row r="39729" spans="1:6" x14ac:dyDescent="0.25">
      <c r="A39729" s="1" t="str">
        <f t="shared" si="1424"/>
        <v>99999</v>
      </c>
      <c r="B39729" s="1" t="str">
        <f>"99757"</f>
        <v>99757</v>
      </c>
      <c r="C39729" s="2">
        <v>0</v>
      </c>
      <c r="D39729" s="2">
        <v>0</v>
      </c>
      <c r="E39729" s="2">
        <v>4.3010567696482999E-6</v>
      </c>
      <c r="F39729" s="2">
        <v>9.8681749974786797E-8</v>
      </c>
    </row>
    <row r="39730" spans="1:6" x14ac:dyDescent="0.25">
      <c r="A39730" s="1" t="str">
        <f t="shared" si="1424"/>
        <v>99999</v>
      </c>
      <c r="B39730" s="1" t="str">
        <f>"14060"</f>
        <v>14060</v>
      </c>
      <c r="C39730" s="2">
        <v>9.5269583691406198E-6</v>
      </c>
      <c r="D39730" s="2">
        <v>0</v>
      </c>
      <c r="E39730" s="2">
        <v>8.6021135392965999E-6</v>
      </c>
      <c r="F39730" s="2">
        <v>8.8813574977308104E-6</v>
      </c>
    </row>
    <row r="39731" spans="1:6" x14ac:dyDescent="0.25">
      <c r="A39731" s="1" t="str">
        <f t="shared" si="1424"/>
        <v>99999</v>
      </c>
      <c r="B39731" s="1" t="str">
        <f>"21650"</f>
        <v>21650</v>
      </c>
      <c r="C39731" s="2">
        <v>8.8773930257901203E-6</v>
      </c>
      <c r="D39731" s="2">
        <v>7.5285444763821999E-6</v>
      </c>
      <c r="E39731" s="2">
        <v>0</v>
      </c>
      <c r="F39731" s="2">
        <v>8.5853122478064497E-6</v>
      </c>
    </row>
    <row r="39732" spans="1:6" x14ac:dyDescent="0.25">
      <c r="A39732" s="1" t="str">
        <f t="shared" si="1424"/>
        <v>99999</v>
      </c>
      <c r="B39732" s="1" t="str">
        <f>"31519"</f>
        <v>31519</v>
      </c>
      <c r="C39732" s="2">
        <v>6.49565343350497E-6</v>
      </c>
      <c r="D39732" s="2">
        <v>3.01141779055288E-6</v>
      </c>
      <c r="E39732" s="2">
        <v>4.3010567696482999E-6</v>
      </c>
      <c r="F39732" s="2">
        <v>6.2169502484115596E-6</v>
      </c>
    </row>
    <row r="39733" spans="1:6" x14ac:dyDescent="0.25">
      <c r="A39733" s="1" t="str">
        <f t="shared" si="1424"/>
        <v>99999</v>
      </c>
      <c r="B39733" s="1" t="str">
        <f>"49910"</f>
        <v>49910</v>
      </c>
      <c r="C39733" s="2">
        <v>8.7691321352316998E-6</v>
      </c>
      <c r="D39733" s="2">
        <v>3.01141779055288E-6</v>
      </c>
      <c r="E39733" s="2">
        <v>4.3010567696482999E-6</v>
      </c>
      <c r="F39733" s="2">
        <v>8.2892669978820908E-6</v>
      </c>
    </row>
    <row r="39734" spans="1:6" x14ac:dyDescent="0.25">
      <c r="A39734" s="1" t="str">
        <f t="shared" si="1424"/>
        <v>99999</v>
      </c>
      <c r="B39734" s="1" t="str">
        <f>"60956"</f>
        <v>60956</v>
      </c>
      <c r="C39734" s="2">
        <v>5.5213054184792198E-6</v>
      </c>
      <c r="D39734" s="2">
        <v>1.50570889527644E-6</v>
      </c>
      <c r="E39734" s="2">
        <v>0</v>
      </c>
      <c r="F39734" s="2">
        <v>5.1314509986889099E-6</v>
      </c>
    </row>
    <row r="39735" spans="1:6" x14ac:dyDescent="0.25">
      <c r="A39735" s="1" t="str">
        <f t="shared" si="1424"/>
        <v>99999</v>
      </c>
      <c r="B39735" s="1" t="str">
        <f>"64761"</f>
        <v>64761</v>
      </c>
      <c r="C39735" s="2">
        <v>7.0369578862970498E-6</v>
      </c>
      <c r="D39735" s="2">
        <v>0</v>
      </c>
      <c r="E39735" s="2">
        <v>0</v>
      </c>
      <c r="F39735" s="2">
        <v>6.4143137483611402E-6</v>
      </c>
    </row>
    <row r="39736" spans="1:6" x14ac:dyDescent="0.25">
      <c r="A39736" s="1" t="str">
        <f t="shared" si="1424"/>
        <v>99999</v>
      </c>
      <c r="B39736" s="1" t="str">
        <f>"67468"</f>
        <v>67468</v>
      </c>
      <c r="C39736" s="2">
        <v>1.71052207082297E-5</v>
      </c>
      <c r="D39736" s="2">
        <v>0</v>
      </c>
      <c r="E39736" s="2">
        <v>4.3010567696482999E-6</v>
      </c>
      <c r="F39736" s="2">
        <v>1.56903982459911E-5</v>
      </c>
    </row>
    <row r="39737" spans="1:6" x14ac:dyDescent="0.25">
      <c r="A39737" s="1" t="str">
        <f t="shared" si="1424"/>
        <v>99999</v>
      </c>
      <c r="B39737" s="1" t="str">
        <f>"67570"</f>
        <v>67570</v>
      </c>
      <c r="C39737" s="2">
        <v>3.7891311695445602E-6</v>
      </c>
      <c r="D39737" s="2">
        <v>0</v>
      </c>
      <c r="E39737" s="2">
        <v>0</v>
      </c>
      <c r="F39737" s="2">
        <v>3.4538612491175301E-6</v>
      </c>
    </row>
    <row r="39738" spans="1:6" x14ac:dyDescent="0.25">
      <c r="A39738" s="1" t="str">
        <f t="shared" si="1424"/>
        <v>99999</v>
      </c>
      <c r="B39738" s="1" t="str">
        <f>"67546"</f>
        <v>67546</v>
      </c>
      <c r="C39738" s="2">
        <v>5.6295663090376404E-6</v>
      </c>
      <c r="D39738" s="2">
        <v>0</v>
      </c>
      <c r="E39738" s="2">
        <v>0</v>
      </c>
      <c r="F39738" s="2">
        <v>5.1314509986889099E-6</v>
      </c>
    </row>
    <row r="39739" spans="1:6" x14ac:dyDescent="0.25">
      <c r="A39739" s="1" t="str">
        <f t="shared" si="1424"/>
        <v>99999</v>
      </c>
      <c r="B39739" s="1" t="str">
        <f>"84728"</f>
        <v>84728</v>
      </c>
      <c r="C39739" s="2">
        <v>5.95434898071288E-6</v>
      </c>
      <c r="D39739" s="2">
        <v>1.0539962266935E-5</v>
      </c>
      <c r="E39739" s="2">
        <v>4.3010567696482999E-6</v>
      </c>
      <c r="F39739" s="2">
        <v>6.2169502484115596E-6</v>
      </c>
    </row>
    <row r="39740" spans="1:6" x14ac:dyDescent="0.25">
      <c r="A39740" s="1" t="str">
        <f t="shared" si="1424"/>
        <v>99999</v>
      </c>
      <c r="B39740" s="1" t="str">
        <f>"88120"</f>
        <v>88120</v>
      </c>
      <c r="C39740" s="2">
        <v>3.2478267167524799E-6</v>
      </c>
      <c r="D39740" s="2">
        <v>4.5171266858293203E-6</v>
      </c>
      <c r="E39740" s="2">
        <v>0</v>
      </c>
      <c r="F39740" s="2">
        <v>3.2564977491679601E-6</v>
      </c>
    </row>
    <row r="39741" spans="1:6" x14ac:dyDescent="0.25">
      <c r="A39741" s="1" t="str">
        <f t="shared" si="1424"/>
        <v>99999</v>
      </c>
      <c r="B39741" s="1" t="str">
        <f>"04420"</f>
        <v>04420</v>
      </c>
      <c r="C39741" s="2">
        <v>0</v>
      </c>
      <c r="D39741" s="2">
        <v>1.50570889527644E-6</v>
      </c>
      <c r="E39741" s="2">
        <v>4.3010567696482999E-6</v>
      </c>
      <c r="F39741" s="2">
        <v>1.9736349994957301E-7</v>
      </c>
    </row>
    <row r="39742" spans="1:6" x14ac:dyDescent="0.25">
      <c r="A39742" s="1" t="str">
        <f t="shared" si="1424"/>
        <v>99999</v>
      </c>
      <c r="B39742" s="1" t="str">
        <f>"24162"</f>
        <v>24162</v>
      </c>
      <c r="C39742" s="2">
        <v>2.1652178111683198E-6</v>
      </c>
      <c r="D39742" s="2">
        <v>0</v>
      </c>
      <c r="E39742" s="2">
        <v>0</v>
      </c>
      <c r="F39742" s="2">
        <v>1.9736349994957299E-6</v>
      </c>
    </row>
    <row r="39743" spans="1:6" x14ac:dyDescent="0.25">
      <c r="A39743" s="1" t="str">
        <f t="shared" si="1424"/>
        <v>99999</v>
      </c>
      <c r="B39743" s="1" t="str">
        <f>"24719"</f>
        <v>24719</v>
      </c>
      <c r="C39743" s="2">
        <v>1.08260890558416E-7</v>
      </c>
      <c r="D39743" s="2">
        <v>1.50570889527644E-6</v>
      </c>
      <c r="E39743" s="2">
        <v>0</v>
      </c>
      <c r="F39743" s="2">
        <v>1.9736349994957301E-7</v>
      </c>
    </row>
    <row r="39744" spans="1:6" x14ac:dyDescent="0.25">
      <c r="A39744" s="1" t="str">
        <f t="shared" si="1424"/>
        <v>99999</v>
      </c>
      <c r="B39744" s="1" t="str">
        <f>"52623"</f>
        <v>52623</v>
      </c>
      <c r="C39744" s="2">
        <v>1.34243504292436E-5</v>
      </c>
      <c r="D39744" s="2">
        <v>3.01141779055288E-6</v>
      </c>
      <c r="E39744" s="2">
        <v>0</v>
      </c>
      <c r="F39744" s="2">
        <v>1.2433900496823101E-5</v>
      </c>
    </row>
    <row r="39745" spans="1:6" x14ac:dyDescent="0.25">
      <c r="A39745" s="1" t="str">
        <f t="shared" si="1424"/>
        <v>99999</v>
      </c>
      <c r="B39745" s="1" t="str">
        <f>"59741"</f>
        <v>59741</v>
      </c>
      <c r="C39745" s="2">
        <v>1.08260890558416E-7</v>
      </c>
      <c r="D39745" s="2">
        <v>0</v>
      </c>
      <c r="E39745" s="2">
        <v>0</v>
      </c>
      <c r="F39745" s="2">
        <v>9.8681749974786797E-8</v>
      </c>
    </row>
    <row r="39746" spans="1:6" x14ac:dyDescent="0.25">
      <c r="A39746" s="1" t="str">
        <f t="shared" si="1424"/>
        <v>99999</v>
      </c>
      <c r="B39746" s="1" t="str">
        <f>"62078"</f>
        <v>62078</v>
      </c>
      <c r="C39746" s="2">
        <v>6.6039143240633804E-6</v>
      </c>
      <c r="D39746" s="2">
        <v>0</v>
      </c>
      <c r="E39746" s="2">
        <v>4.3010567696482999E-6</v>
      </c>
      <c r="F39746" s="2">
        <v>6.1182684984367804E-6</v>
      </c>
    </row>
    <row r="39747" spans="1:6" x14ac:dyDescent="0.25">
      <c r="A39747" s="1" t="str">
        <f t="shared" si="1424"/>
        <v>99999</v>
      </c>
      <c r="B39747" s="1" t="str">
        <f>"81231"</f>
        <v>81231</v>
      </c>
      <c r="C39747" s="2">
        <v>0</v>
      </c>
      <c r="D39747" s="2">
        <v>6.0228355811057601E-6</v>
      </c>
      <c r="E39747" s="2">
        <v>0</v>
      </c>
      <c r="F39747" s="2">
        <v>3.9472699989914697E-7</v>
      </c>
    </row>
    <row r="39748" spans="1:6" x14ac:dyDescent="0.25">
      <c r="A39748" s="1" t="str">
        <f t="shared" si="1424"/>
        <v>99999</v>
      </c>
      <c r="B39748" s="1" t="str">
        <f>"99572"</f>
        <v>99572</v>
      </c>
      <c r="C39748" s="2">
        <v>1.1908697961425701E-6</v>
      </c>
      <c r="D39748" s="2">
        <v>9.0342533716586405E-6</v>
      </c>
      <c r="E39748" s="2">
        <v>0</v>
      </c>
      <c r="F39748" s="2">
        <v>1.6775897495713699E-6</v>
      </c>
    </row>
    <row r="39749" spans="1:6" x14ac:dyDescent="0.25">
      <c r="A39749" s="1" t="str">
        <f t="shared" si="1424"/>
        <v>99999</v>
      </c>
      <c r="B39749" s="1" t="str">
        <f>"12722"</f>
        <v>12722</v>
      </c>
      <c r="C39749" s="2">
        <v>4.3304356223366401E-7</v>
      </c>
      <c r="D39749" s="2">
        <v>0</v>
      </c>
      <c r="E39749" s="2">
        <v>4.3010567696482999E-6</v>
      </c>
      <c r="F39749" s="2">
        <v>4.9340874987393396E-7</v>
      </c>
    </row>
    <row r="39750" spans="1:6" x14ac:dyDescent="0.25">
      <c r="A39750" s="1" t="str">
        <f t="shared" ref="A39750:A39813" si="1425">"99999"</f>
        <v>99999</v>
      </c>
      <c r="B39750" s="1" t="str">
        <f>"29720"</f>
        <v>29720</v>
      </c>
      <c r="C39750" s="2">
        <v>0</v>
      </c>
      <c r="D39750" s="2">
        <v>1.50570889527644E-6</v>
      </c>
      <c r="E39750" s="2">
        <v>0</v>
      </c>
      <c r="F39750" s="2">
        <v>9.8681749974786797E-8</v>
      </c>
    </row>
    <row r="39751" spans="1:6" x14ac:dyDescent="0.25">
      <c r="A39751" s="1" t="str">
        <f t="shared" si="1425"/>
        <v>99999</v>
      </c>
      <c r="B39751" s="1" t="str">
        <f>"30817"</f>
        <v>30817</v>
      </c>
      <c r="C39751" s="2">
        <v>4.6552182940118902E-6</v>
      </c>
      <c r="D39751" s="2">
        <v>0</v>
      </c>
      <c r="E39751" s="2">
        <v>0</v>
      </c>
      <c r="F39751" s="2">
        <v>4.2433152489158297E-6</v>
      </c>
    </row>
    <row r="39752" spans="1:6" x14ac:dyDescent="0.25">
      <c r="A39752" s="1" t="str">
        <f t="shared" si="1425"/>
        <v>99999</v>
      </c>
      <c r="B39752" s="1" t="str">
        <f>"47647"</f>
        <v>47647</v>
      </c>
      <c r="C39752" s="2">
        <v>2.2734787017267302E-6</v>
      </c>
      <c r="D39752" s="2">
        <v>1.50570889527644E-6</v>
      </c>
      <c r="E39752" s="2">
        <v>8.6021135392965999E-6</v>
      </c>
      <c r="F39752" s="2">
        <v>2.3683619993948799E-6</v>
      </c>
    </row>
    <row r="39753" spans="1:6" x14ac:dyDescent="0.25">
      <c r="A39753" s="1" t="str">
        <f t="shared" si="1425"/>
        <v>99999</v>
      </c>
      <c r="B39753" s="1" t="str">
        <f>"41351"</f>
        <v>41351</v>
      </c>
      <c r="C39753" s="2">
        <v>4.4386965128950601E-6</v>
      </c>
      <c r="D39753" s="2">
        <v>0</v>
      </c>
      <c r="E39753" s="2">
        <v>4.3010567696482999E-6</v>
      </c>
      <c r="F39753" s="2">
        <v>4.1446334989410403E-6</v>
      </c>
    </row>
    <row r="39754" spans="1:6" x14ac:dyDescent="0.25">
      <c r="A39754" s="1" t="str">
        <f t="shared" si="1425"/>
        <v>99999</v>
      </c>
      <c r="B39754" s="1" t="str">
        <f>"40492"</f>
        <v>40492</v>
      </c>
      <c r="C39754" s="2">
        <v>0</v>
      </c>
      <c r="D39754" s="2">
        <v>0</v>
      </c>
      <c r="E39754" s="2">
        <v>4.3010567696482999E-6</v>
      </c>
      <c r="F39754" s="2">
        <v>9.8681749974786797E-8</v>
      </c>
    </row>
    <row r="39755" spans="1:6" x14ac:dyDescent="0.25">
      <c r="A39755" s="1" t="str">
        <f t="shared" si="1425"/>
        <v>99999</v>
      </c>
      <c r="B39755" s="1" t="str">
        <f>"69169"</f>
        <v>69169</v>
      </c>
      <c r="C39755" s="2">
        <v>4.1139138412198104E-6</v>
      </c>
      <c r="D39755" s="2">
        <v>7.5285444763821999E-6</v>
      </c>
      <c r="E39755" s="2">
        <v>0</v>
      </c>
      <c r="F39755" s="2">
        <v>4.2433152489158297E-6</v>
      </c>
    </row>
    <row r="39756" spans="1:6" x14ac:dyDescent="0.25">
      <c r="A39756" s="1" t="str">
        <f t="shared" si="1425"/>
        <v>99999</v>
      </c>
      <c r="B39756" s="1" t="str">
        <f>"73526"</f>
        <v>73526</v>
      </c>
      <c r="C39756" s="2">
        <v>1.1908697961425701E-6</v>
      </c>
      <c r="D39756" s="2">
        <v>0</v>
      </c>
      <c r="E39756" s="2">
        <v>0</v>
      </c>
      <c r="F39756" s="2">
        <v>1.0854992497226499E-6</v>
      </c>
    </row>
    <row r="39757" spans="1:6" x14ac:dyDescent="0.25">
      <c r="A39757" s="1" t="str">
        <f t="shared" si="1425"/>
        <v>99999</v>
      </c>
      <c r="B39757" s="1" t="str">
        <f>"73079"</f>
        <v>73079</v>
      </c>
      <c r="C39757" s="2">
        <v>4.3304356223366401E-7</v>
      </c>
      <c r="D39757" s="2">
        <v>0</v>
      </c>
      <c r="E39757" s="2">
        <v>0</v>
      </c>
      <c r="F39757" s="2">
        <v>3.9472699989914697E-7</v>
      </c>
    </row>
    <row r="39758" spans="1:6" x14ac:dyDescent="0.25">
      <c r="A39758" s="1" t="str">
        <f t="shared" si="1425"/>
        <v>99999</v>
      </c>
      <c r="B39758" s="1" t="str">
        <f>"78360"</f>
        <v>78360</v>
      </c>
      <c r="C39758" s="2">
        <v>1.9486960300514902E-6</v>
      </c>
      <c r="D39758" s="2">
        <v>0</v>
      </c>
      <c r="E39758" s="2">
        <v>1.72042270785932E-5</v>
      </c>
      <c r="F39758" s="2">
        <v>2.1709984994452998E-6</v>
      </c>
    </row>
    <row r="39759" spans="1:6" x14ac:dyDescent="0.25">
      <c r="A39759" s="1" t="str">
        <f t="shared" si="1425"/>
        <v>99999</v>
      </c>
      <c r="B39759" s="1" t="str">
        <f>"15853"</f>
        <v>15853</v>
      </c>
      <c r="C39759" s="2">
        <v>1.7321742489346499E-6</v>
      </c>
      <c r="D39759" s="2">
        <v>0</v>
      </c>
      <c r="E39759" s="2">
        <v>0</v>
      </c>
      <c r="F39759" s="2">
        <v>1.5789079995965801E-6</v>
      </c>
    </row>
    <row r="39760" spans="1:6" x14ac:dyDescent="0.25">
      <c r="A39760" s="1" t="str">
        <f t="shared" si="1425"/>
        <v>99999</v>
      </c>
      <c r="B39760" s="1" t="str">
        <f>"25916"</f>
        <v>25916</v>
      </c>
      <c r="C39760" s="2">
        <v>0</v>
      </c>
      <c r="D39760" s="2">
        <v>1.50570889527644E-6</v>
      </c>
      <c r="E39760" s="2">
        <v>0</v>
      </c>
      <c r="F39760" s="2">
        <v>9.8681749974786797E-8</v>
      </c>
    </row>
    <row r="39761" spans="1:6" x14ac:dyDescent="0.25">
      <c r="A39761" s="1" t="str">
        <f t="shared" si="1425"/>
        <v>99999</v>
      </c>
      <c r="B39761" s="1" t="str">
        <f>"57386"</f>
        <v>57386</v>
      </c>
      <c r="C39761" s="2">
        <v>8.6608712446732898E-7</v>
      </c>
      <c r="D39761" s="2">
        <v>0</v>
      </c>
      <c r="E39761" s="2">
        <v>0</v>
      </c>
      <c r="F39761" s="2">
        <v>7.8945399979829395E-7</v>
      </c>
    </row>
    <row r="39762" spans="1:6" x14ac:dyDescent="0.25">
      <c r="A39762" s="1" t="str">
        <f t="shared" si="1425"/>
        <v>99999</v>
      </c>
      <c r="B39762" s="1" t="str">
        <f>"73440"</f>
        <v>73440</v>
      </c>
      <c r="C39762" s="2">
        <v>2.49000048284357E-6</v>
      </c>
      <c r="D39762" s="2">
        <v>0</v>
      </c>
      <c r="E39762" s="2">
        <v>4.3010567696482999E-6</v>
      </c>
      <c r="F39762" s="2">
        <v>2.3683619993948799E-6</v>
      </c>
    </row>
    <row r="39763" spans="1:6" x14ac:dyDescent="0.25">
      <c r="A39763" s="1" t="str">
        <f t="shared" si="1425"/>
        <v>99999</v>
      </c>
      <c r="B39763" s="1" t="str">
        <f>"73938"</f>
        <v>73938</v>
      </c>
      <c r="C39763" s="2">
        <v>1.18004370708673E-5</v>
      </c>
      <c r="D39763" s="2">
        <v>3.01141779055288E-6</v>
      </c>
      <c r="E39763" s="2">
        <v>0</v>
      </c>
      <c r="F39763" s="2">
        <v>1.0953674247201299E-5</v>
      </c>
    </row>
    <row r="39764" spans="1:6" x14ac:dyDescent="0.25">
      <c r="A39764" s="1" t="str">
        <f t="shared" si="1425"/>
        <v>99999</v>
      </c>
      <c r="B39764" s="1" t="str">
        <f>"96115"</f>
        <v>96115</v>
      </c>
      <c r="C39764" s="2">
        <v>3.46434849786931E-6</v>
      </c>
      <c r="D39764" s="2">
        <v>0</v>
      </c>
      <c r="E39764" s="2">
        <v>2.58063406178898E-5</v>
      </c>
      <c r="F39764" s="2">
        <v>3.7499064990418899E-6</v>
      </c>
    </row>
    <row r="39765" spans="1:6" x14ac:dyDescent="0.25">
      <c r="A39765" s="1" t="str">
        <f t="shared" si="1425"/>
        <v>99999</v>
      </c>
      <c r="B39765" s="1" t="str">
        <f>"13040"</f>
        <v>13040</v>
      </c>
      <c r="C39765" s="2">
        <v>1.0393045493607899E-5</v>
      </c>
      <c r="D39765" s="2">
        <v>0</v>
      </c>
      <c r="E39765" s="2">
        <v>0</v>
      </c>
      <c r="F39765" s="2">
        <v>9.4734479975795299E-6</v>
      </c>
    </row>
    <row r="39766" spans="1:6" x14ac:dyDescent="0.25">
      <c r="A39766" s="1" t="str">
        <f t="shared" si="1425"/>
        <v>99999</v>
      </c>
      <c r="B39766" s="1" t="str">
        <f>"48758"</f>
        <v>48758</v>
      </c>
      <c r="C39766" s="2">
        <v>0</v>
      </c>
      <c r="D39766" s="2">
        <v>1.50570889527644E-6</v>
      </c>
      <c r="E39766" s="2">
        <v>0</v>
      </c>
      <c r="F39766" s="2">
        <v>9.8681749974786797E-8</v>
      </c>
    </row>
    <row r="39767" spans="1:6" x14ac:dyDescent="0.25">
      <c r="A39767" s="1" t="str">
        <f t="shared" si="1425"/>
        <v>99999</v>
      </c>
      <c r="B39767" s="1" t="str">
        <f>"56287"</f>
        <v>56287</v>
      </c>
      <c r="C39767" s="2">
        <v>4.4386965128950601E-6</v>
      </c>
      <c r="D39767" s="2">
        <v>4.5171266858293203E-6</v>
      </c>
      <c r="E39767" s="2">
        <v>4.3010567696482999E-6</v>
      </c>
      <c r="F39767" s="2">
        <v>4.4406787488654001E-6</v>
      </c>
    </row>
    <row r="39768" spans="1:6" x14ac:dyDescent="0.25">
      <c r="A39768" s="1" t="str">
        <f t="shared" si="1425"/>
        <v>99999</v>
      </c>
      <c r="B39768" s="1" t="str">
        <f>"79848"</f>
        <v>79848</v>
      </c>
      <c r="C39768" s="2">
        <v>7.5782623390891299E-7</v>
      </c>
      <c r="D39768" s="2">
        <v>1.50570889527644E-6</v>
      </c>
      <c r="E39768" s="2">
        <v>0</v>
      </c>
      <c r="F39768" s="2">
        <v>7.8945399979829395E-7</v>
      </c>
    </row>
    <row r="39769" spans="1:6" x14ac:dyDescent="0.25">
      <c r="A39769" s="1" t="str">
        <f t="shared" si="1425"/>
        <v>99999</v>
      </c>
      <c r="B39769" s="1" t="str">
        <f>"59461"</f>
        <v>59461</v>
      </c>
      <c r="C39769" s="2">
        <v>2.49000048284357E-6</v>
      </c>
      <c r="D39769" s="2">
        <v>0</v>
      </c>
      <c r="E39769" s="2">
        <v>4.3010567696482999E-6</v>
      </c>
      <c r="F39769" s="2">
        <v>2.3683619993948799E-6</v>
      </c>
    </row>
    <row r="39770" spans="1:6" x14ac:dyDescent="0.25">
      <c r="A39770" s="1" t="str">
        <f t="shared" si="1425"/>
        <v>99999</v>
      </c>
      <c r="B39770" s="1" t="str">
        <f>"59411"</f>
        <v>59411</v>
      </c>
      <c r="C39770" s="2">
        <v>2.8147831545188202E-6</v>
      </c>
      <c r="D39770" s="2">
        <v>0</v>
      </c>
      <c r="E39770" s="2">
        <v>4.3010567696482999E-6</v>
      </c>
      <c r="F39770" s="2">
        <v>2.6644072493192401E-6</v>
      </c>
    </row>
    <row r="39771" spans="1:6" x14ac:dyDescent="0.25">
      <c r="A39771" s="1" t="str">
        <f t="shared" si="1425"/>
        <v>99999</v>
      </c>
      <c r="B39771" s="1" t="str">
        <f>"62098"</f>
        <v>62098</v>
      </c>
      <c r="C39771" s="2">
        <v>6.2791316523881298E-6</v>
      </c>
      <c r="D39771" s="2">
        <v>3.01141779055288E-6</v>
      </c>
      <c r="E39771" s="2">
        <v>4.3010567696482999E-6</v>
      </c>
      <c r="F39771" s="2">
        <v>6.0195867484619901E-6</v>
      </c>
    </row>
    <row r="39772" spans="1:6" x14ac:dyDescent="0.25">
      <c r="A39772" s="1" t="str">
        <f t="shared" si="1425"/>
        <v>99999</v>
      </c>
      <c r="B39772" s="1" t="str">
        <f>"62972"</f>
        <v>62972</v>
      </c>
      <c r="C39772" s="2">
        <v>1.9486960300514902E-6</v>
      </c>
      <c r="D39772" s="2">
        <v>0</v>
      </c>
      <c r="E39772" s="2">
        <v>0</v>
      </c>
      <c r="F39772" s="2">
        <v>1.77627149954616E-6</v>
      </c>
    </row>
    <row r="39773" spans="1:6" x14ac:dyDescent="0.25">
      <c r="A39773" s="1" t="str">
        <f t="shared" si="1425"/>
        <v>99999</v>
      </c>
      <c r="B39773" s="1" t="str">
        <f>"67142"</f>
        <v>67142</v>
      </c>
      <c r="C39773" s="2">
        <v>2.4358700375643599E-5</v>
      </c>
      <c r="D39773" s="2">
        <v>2.25856334291466E-5</v>
      </c>
      <c r="E39773" s="2">
        <v>8.6021135392965999E-6</v>
      </c>
      <c r="F39773" s="2">
        <v>2.38809834938984E-5</v>
      </c>
    </row>
    <row r="39774" spans="1:6" x14ac:dyDescent="0.25">
      <c r="A39774" s="1" t="str">
        <f t="shared" si="1425"/>
        <v>99999</v>
      </c>
      <c r="B39774" s="1" t="str">
        <f>"67150"</f>
        <v>67150</v>
      </c>
      <c r="C39774" s="2">
        <v>3.1395658261940598E-6</v>
      </c>
      <c r="D39774" s="2">
        <v>0</v>
      </c>
      <c r="E39774" s="2">
        <v>4.3010567696482999E-6</v>
      </c>
      <c r="F39774" s="2">
        <v>2.9604524992435999E-6</v>
      </c>
    </row>
    <row r="39775" spans="1:6" x14ac:dyDescent="0.25">
      <c r="A39775" s="1" t="str">
        <f t="shared" si="1425"/>
        <v>99999</v>
      </c>
      <c r="B39775" s="1" t="str">
        <f>"65676"</f>
        <v>65676</v>
      </c>
      <c r="C39775" s="2">
        <v>2.6523918186811901E-5</v>
      </c>
      <c r="D39775" s="2">
        <v>3.01141779055288E-6</v>
      </c>
      <c r="E39775" s="2">
        <v>3.44084541571864E-5</v>
      </c>
      <c r="F39775" s="2">
        <v>2.5163846243570599E-5</v>
      </c>
    </row>
    <row r="39776" spans="1:6" x14ac:dyDescent="0.25">
      <c r="A39776" s="1" t="str">
        <f t="shared" si="1425"/>
        <v>99999</v>
      </c>
      <c r="B39776" s="1" t="str">
        <f>"68954"</f>
        <v>68954</v>
      </c>
      <c r="C39776" s="2">
        <v>4.8717400751287203E-6</v>
      </c>
      <c r="D39776" s="2">
        <v>6.0228355811057601E-6</v>
      </c>
      <c r="E39776" s="2">
        <v>4.3010567696482999E-6</v>
      </c>
      <c r="F39776" s="2">
        <v>4.9340874987393404E-6</v>
      </c>
    </row>
    <row r="39777" spans="1:6" x14ac:dyDescent="0.25">
      <c r="A39777" s="1" t="str">
        <f t="shared" si="1425"/>
        <v>99999</v>
      </c>
      <c r="B39777" s="1" t="str">
        <f>"71661"</f>
        <v>71661</v>
      </c>
      <c r="C39777" s="2">
        <v>5.1965227468039701E-6</v>
      </c>
      <c r="D39777" s="2">
        <v>9.0342533716586405E-6</v>
      </c>
      <c r="E39777" s="2">
        <v>5.1612681235779599E-5</v>
      </c>
      <c r="F39777" s="2">
        <v>6.5129954983359203E-6</v>
      </c>
    </row>
    <row r="39778" spans="1:6" x14ac:dyDescent="0.25">
      <c r="A39778" s="1" t="str">
        <f t="shared" si="1425"/>
        <v>99999</v>
      </c>
      <c r="B39778" s="1" t="str">
        <f>"76050"</f>
        <v>76050</v>
      </c>
      <c r="C39778" s="2">
        <v>1.68886989271129E-5</v>
      </c>
      <c r="D39778" s="2">
        <v>3.01141779055288E-6</v>
      </c>
      <c r="E39778" s="2">
        <v>0</v>
      </c>
      <c r="F39778" s="2">
        <v>1.5591716496016299E-5</v>
      </c>
    </row>
    <row r="39779" spans="1:6" x14ac:dyDescent="0.25">
      <c r="A39779" s="1" t="str">
        <f t="shared" si="1425"/>
        <v>99999</v>
      </c>
      <c r="B39779" s="1" t="str">
        <f>"78624"</f>
        <v>78624</v>
      </c>
      <c r="C39779" s="2">
        <v>1.1908697961425701E-6</v>
      </c>
      <c r="D39779" s="2">
        <v>1.50570889527644E-6</v>
      </c>
      <c r="E39779" s="2">
        <v>0</v>
      </c>
      <c r="F39779" s="2">
        <v>1.18418099969744E-6</v>
      </c>
    </row>
    <row r="39780" spans="1:6" x14ac:dyDescent="0.25">
      <c r="A39780" s="1" t="str">
        <f t="shared" si="1425"/>
        <v>99999</v>
      </c>
      <c r="B39780" s="1" t="str">
        <f>"88042"</f>
        <v>88042</v>
      </c>
      <c r="C39780" s="2">
        <v>1.6672177145996001E-5</v>
      </c>
      <c r="D39780" s="2">
        <v>9.0342533716586405E-6</v>
      </c>
      <c r="E39780" s="2">
        <v>4.3010567696482999E-6</v>
      </c>
      <c r="F39780" s="2">
        <v>1.5887761745940599E-5</v>
      </c>
    </row>
    <row r="39781" spans="1:6" x14ac:dyDescent="0.25">
      <c r="A39781" s="1" t="str">
        <f t="shared" si="1425"/>
        <v>99999</v>
      </c>
      <c r="B39781" s="1" t="str">
        <f>"93512"</f>
        <v>93512</v>
      </c>
      <c r="C39781" s="2">
        <v>4.8717400751287203E-6</v>
      </c>
      <c r="D39781" s="2">
        <v>1.50570889527644E-6</v>
      </c>
      <c r="E39781" s="2">
        <v>0</v>
      </c>
      <c r="F39781" s="2">
        <v>4.5393604988401904E-6</v>
      </c>
    </row>
    <row r="39782" spans="1:6" x14ac:dyDescent="0.25">
      <c r="A39782" s="1" t="str">
        <f t="shared" si="1425"/>
        <v>99999</v>
      </c>
      <c r="B39782" s="1" t="str">
        <f>"92389"</f>
        <v>92389</v>
      </c>
      <c r="C39782" s="2">
        <v>4.1139138412198104E-6</v>
      </c>
      <c r="D39782" s="2">
        <v>1.50570889527644E-6</v>
      </c>
      <c r="E39782" s="2">
        <v>0</v>
      </c>
      <c r="F39782" s="2">
        <v>3.8485882490166797E-6</v>
      </c>
    </row>
    <row r="39783" spans="1:6" x14ac:dyDescent="0.25">
      <c r="A39783" s="1" t="str">
        <f t="shared" si="1425"/>
        <v>99999</v>
      </c>
      <c r="B39783" s="1" t="str">
        <f>"12857"</f>
        <v>12857</v>
      </c>
      <c r="C39783" s="2">
        <v>2.5874352843461398E-5</v>
      </c>
      <c r="D39783" s="2">
        <v>3.01141779055288E-6</v>
      </c>
      <c r="E39783" s="2">
        <v>1.29031703089449E-5</v>
      </c>
      <c r="F39783" s="2">
        <v>2.4078346993847899E-5</v>
      </c>
    </row>
    <row r="39784" spans="1:6" x14ac:dyDescent="0.25">
      <c r="A39784" s="1" t="str">
        <f t="shared" si="1425"/>
        <v>99999</v>
      </c>
      <c r="B39784" s="1" t="str">
        <f>"13787"</f>
        <v>13787</v>
      </c>
      <c r="C39784" s="2">
        <v>3.1720440933615901E-5</v>
      </c>
      <c r="D39784" s="2">
        <v>3.01141779055288E-6</v>
      </c>
      <c r="E39784" s="2">
        <v>0</v>
      </c>
      <c r="F39784" s="2">
        <v>2.9111116242562101E-5</v>
      </c>
    </row>
    <row r="39785" spans="1:6" x14ac:dyDescent="0.25">
      <c r="A39785" s="1" t="str">
        <f t="shared" si="1425"/>
        <v>99999</v>
      </c>
      <c r="B39785" s="1" t="str">
        <f>"23302"</f>
        <v>23302</v>
      </c>
      <c r="C39785" s="2">
        <v>1.1908697961425701E-6</v>
      </c>
      <c r="D39785" s="2">
        <v>1.50570889527644E-6</v>
      </c>
      <c r="E39785" s="2">
        <v>0</v>
      </c>
      <c r="F39785" s="2">
        <v>1.18418099969744E-6</v>
      </c>
    </row>
    <row r="39786" spans="1:6" x14ac:dyDescent="0.25">
      <c r="A39786" s="1" t="str">
        <f t="shared" si="1425"/>
        <v>99999</v>
      </c>
      <c r="B39786" s="1" t="str">
        <f>"29646"</f>
        <v>29646</v>
      </c>
      <c r="C39786" s="2">
        <v>6.3873925429465503E-6</v>
      </c>
      <c r="D39786" s="2">
        <v>0</v>
      </c>
      <c r="E39786" s="2">
        <v>4.3010567696482999E-6</v>
      </c>
      <c r="F39786" s="2">
        <v>5.9209049984871999E-6</v>
      </c>
    </row>
    <row r="39787" spans="1:6" x14ac:dyDescent="0.25">
      <c r="A39787" s="1" t="str">
        <f t="shared" si="1425"/>
        <v>99999</v>
      </c>
      <c r="B39787" s="1" t="str">
        <f>"37329"</f>
        <v>37329</v>
      </c>
      <c r="C39787" s="2">
        <v>2.6090874624578199E-5</v>
      </c>
      <c r="D39787" s="2">
        <v>1.50570889527644E-6</v>
      </c>
      <c r="E39787" s="2">
        <v>0</v>
      </c>
      <c r="F39787" s="2">
        <v>2.38809834938984E-5</v>
      </c>
    </row>
    <row r="39788" spans="1:6" x14ac:dyDescent="0.25">
      <c r="A39788" s="1" t="str">
        <f t="shared" si="1425"/>
        <v>99999</v>
      </c>
      <c r="B39788" s="1" t="str">
        <f>"41712"</f>
        <v>41712</v>
      </c>
      <c r="C39788" s="2">
        <v>1.3532611319802E-5</v>
      </c>
      <c r="D39788" s="2">
        <v>1.50570889527644E-6</v>
      </c>
      <c r="E39788" s="2">
        <v>4.3010567696482999E-6</v>
      </c>
      <c r="F39788" s="2">
        <v>1.2532582246797899E-5</v>
      </c>
    </row>
    <row r="39789" spans="1:6" x14ac:dyDescent="0.25">
      <c r="A39789" s="1" t="str">
        <f t="shared" si="1425"/>
        <v>99999</v>
      </c>
      <c r="B39789" s="1" t="str">
        <f>"42762"</f>
        <v>42762</v>
      </c>
      <c r="C39789" s="2">
        <v>2.23017434550337E-5</v>
      </c>
      <c r="D39789" s="2">
        <v>7.5285444763821999E-6</v>
      </c>
      <c r="E39789" s="2">
        <v>3.01073973875381E-5</v>
      </c>
      <c r="F39789" s="2">
        <v>2.1512621494503498E-5</v>
      </c>
    </row>
    <row r="39790" spans="1:6" x14ac:dyDescent="0.25">
      <c r="A39790" s="1" t="str">
        <f t="shared" si="1425"/>
        <v>99999</v>
      </c>
      <c r="B39790" s="1" t="str">
        <f>"46146"</f>
        <v>46146</v>
      </c>
      <c r="C39790" s="2">
        <v>8.7691321352316998E-6</v>
      </c>
      <c r="D39790" s="2">
        <v>9.0342533716586405E-6</v>
      </c>
      <c r="E39790" s="2">
        <v>1.29031703089449E-5</v>
      </c>
      <c r="F39790" s="2">
        <v>8.8813574977308104E-6</v>
      </c>
    </row>
    <row r="39791" spans="1:6" x14ac:dyDescent="0.25">
      <c r="A39791" s="1" t="str">
        <f t="shared" si="1425"/>
        <v>99999</v>
      </c>
      <c r="B39791" s="1" t="str">
        <f>"47529"</f>
        <v>47529</v>
      </c>
      <c r="C39791" s="2">
        <v>1.7321742489346499E-6</v>
      </c>
      <c r="D39791" s="2">
        <v>1.50570889527644E-6</v>
      </c>
      <c r="E39791" s="2">
        <v>4.3010567696482999E-6</v>
      </c>
      <c r="F39791" s="2">
        <v>1.77627149954616E-6</v>
      </c>
    </row>
    <row r="39792" spans="1:6" x14ac:dyDescent="0.25">
      <c r="A39792" s="1" t="str">
        <f t="shared" si="1425"/>
        <v>99999</v>
      </c>
      <c r="B39792" s="1" t="str">
        <f>"59225"</f>
        <v>59225</v>
      </c>
      <c r="C39792" s="2">
        <v>1.9595221191073298E-5</v>
      </c>
      <c r="D39792" s="2">
        <v>1.0539962266935E-5</v>
      </c>
      <c r="E39792" s="2">
        <v>1.29031703089449E-5</v>
      </c>
      <c r="F39792" s="2">
        <v>1.8848214245184198E-5</v>
      </c>
    </row>
    <row r="39793" spans="1:6" x14ac:dyDescent="0.25">
      <c r="A39793" s="1" t="str">
        <f t="shared" si="1425"/>
        <v>99999</v>
      </c>
      <c r="B39793" s="1" t="str">
        <f>"59219"</f>
        <v>59219</v>
      </c>
      <c r="C39793" s="2">
        <v>9.3104365880237906E-6</v>
      </c>
      <c r="D39793" s="2">
        <v>3.01141779055288E-6</v>
      </c>
      <c r="E39793" s="2">
        <v>1.29031703089449E-5</v>
      </c>
      <c r="F39793" s="2">
        <v>8.9800392477055905E-6</v>
      </c>
    </row>
    <row r="39794" spans="1:6" x14ac:dyDescent="0.25">
      <c r="A39794" s="1" t="str">
        <f t="shared" si="1425"/>
        <v>99999</v>
      </c>
      <c r="B39794" s="1" t="str">
        <f>"62424"</f>
        <v>62424</v>
      </c>
      <c r="C39794" s="2">
        <v>3.46434849786931E-6</v>
      </c>
      <c r="D39794" s="2">
        <v>3.01141779055288E-6</v>
      </c>
      <c r="E39794" s="2">
        <v>0</v>
      </c>
      <c r="F39794" s="2">
        <v>3.35517949914275E-6</v>
      </c>
    </row>
    <row r="39795" spans="1:6" x14ac:dyDescent="0.25">
      <c r="A39795" s="1" t="str">
        <f t="shared" si="1425"/>
        <v>99999</v>
      </c>
      <c r="B39795" s="1" t="str">
        <f>"63849"</f>
        <v>63849</v>
      </c>
      <c r="C39795" s="2">
        <v>5.6295663090376404E-6</v>
      </c>
      <c r="D39795" s="2">
        <v>1.50570889527644E-6</v>
      </c>
      <c r="E39795" s="2">
        <v>4.3010567696482999E-6</v>
      </c>
      <c r="F39795" s="2">
        <v>5.3288144986384803E-6</v>
      </c>
    </row>
    <row r="39796" spans="1:6" x14ac:dyDescent="0.25">
      <c r="A39796" s="1" t="str">
        <f t="shared" si="1425"/>
        <v>99999</v>
      </c>
      <c r="B39796" s="1" t="str">
        <f>"72024"</f>
        <v>72024</v>
      </c>
      <c r="C39796" s="2">
        <v>8.7691321352316998E-6</v>
      </c>
      <c r="D39796" s="2">
        <v>3.01141779055288E-6</v>
      </c>
      <c r="E39796" s="2">
        <v>0</v>
      </c>
      <c r="F39796" s="2">
        <v>8.1905852479073005E-6</v>
      </c>
    </row>
    <row r="39797" spans="1:6" x14ac:dyDescent="0.25">
      <c r="A39797" s="1" t="str">
        <f t="shared" si="1425"/>
        <v>99999</v>
      </c>
      <c r="B39797" s="1" t="str">
        <f>"73754"</f>
        <v>73754</v>
      </c>
      <c r="C39797" s="2">
        <v>2.1652178111683201E-7</v>
      </c>
      <c r="D39797" s="2">
        <v>0</v>
      </c>
      <c r="E39797" s="2">
        <v>0</v>
      </c>
      <c r="F39797" s="2">
        <v>1.9736349994957301E-7</v>
      </c>
    </row>
    <row r="39798" spans="1:6" x14ac:dyDescent="0.25">
      <c r="A39798" s="1" t="str">
        <f t="shared" si="1425"/>
        <v>99999</v>
      </c>
      <c r="B39798" s="1" t="str">
        <f>"76443"</f>
        <v>76443</v>
      </c>
      <c r="C39798" s="2">
        <v>3.3560876073109E-6</v>
      </c>
      <c r="D39798" s="2">
        <v>3.01141779055288E-6</v>
      </c>
      <c r="E39798" s="2">
        <v>4.3010567696482999E-6</v>
      </c>
      <c r="F39798" s="2">
        <v>3.35517949914275E-6</v>
      </c>
    </row>
    <row r="39799" spans="1:6" x14ac:dyDescent="0.25">
      <c r="A39799" s="1" t="str">
        <f t="shared" si="1425"/>
        <v>99999</v>
      </c>
      <c r="B39799" s="1" t="str">
        <f>"75961"</f>
        <v>75961</v>
      </c>
      <c r="C39799" s="2">
        <v>3.2478267167524802E-7</v>
      </c>
      <c r="D39799" s="2">
        <v>0</v>
      </c>
      <c r="E39799" s="2">
        <v>0</v>
      </c>
      <c r="F39799" s="2">
        <v>2.9604524992435999E-7</v>
      </c>
    </row>
    <row r="39800" spans="1:6" x14ac:dyDescent="0.25">
      <c r="A39800" s="1" t="str">
        <f t="shared" si="1425"/>
        <v>99999</v>
      </c>
      <c r="B39800" s="1" t="str">
        <f>"84031"</f>
        <v>84031</v>
      </c>
      <c r="C39800" s="2">
        <v>9.8517410408158696E-6</v>
      </c>
      <c r="D39800" s="2">
        <v>7.5285444763821999E-6</v>
      </c>
      <c r="E39800" s="2">
        <v>1.29031703089449E-5</v>
      </c>
      <c r="F39800" s="2">
        <v>9.7694932475038906E-6</v>
      </c>
    </row>
    <row r="39801" spans="1:6" x14ac:dyDescent="0.25">
      <c r="A39801" s="1" t="str">
        <f t="shared" si="1425"/>
        <v>99999</v>
      </c>
      <c r="B39801" s="1" t="str">
        <f>"83643"</f>
        <v>83643</v>
      </c>
      <c r="C39801" s="2">
        <v>5.8460880901544696E-6</v>
      </c>
      <c r="D39801" s="2">
        <v>3.01141779055288E-6</v>
      </c>
      <c r="E39801" s="2">
        <v>4.3010567696482999E-6</v>
      </c>
      <c r="F39801" s="2">
        <v>5.6248597485628401E-6</v>
      </c>
    </row>
    <row r="39802" spans="1:6" x14ac:dyDescent="0.25">
      <c r="A39802" s="1" t="str">
        <f t="shared" si="1425"/>
        <v>99999</v>
      </c>
      <c r="B39802" s="1" t="str">
        <f>"95922"</f>
        <v>95922</v>
      </c>
      <c r="C39802" s="2">
        <v>4.3304356223366401E-7</v>
      </c>
      <c r="D39802" s="2">
        <v>1.50570889527644E-6</v>
      </c>
      <c r="E39802" s="2">
        <v>0</v>
      </c>
      <c r="F39802" s="2">
        <v>4.9340874987393396E-7</v>
      </c>
    </row>
    <row r="39803" spans="1:6" x14ac:dyDescent="0.25">
      <c r="A39803" s="1" t="str">
        <f t="shared" si="1425"/>
        <v>99999</v>
      </c>
      <c r="B39803" s="1" t="str">
        <f>"98859"</f>
        <v>98859</v>
      </c>
      <c r="C39803" s="2">
        <v>1.7321742489346501E-5</v>
      </c>
      <c r="D39803" s="2">
        <v>0</v>
      </c>
      <c r="E39803" s="2">
        <v>2.15052838482415E-5</v>
      </c>
      <c r="F39803" s="2">
        <v>1.6282488745839801E-5</v>
      </c>
    </row>
    <row r="39804" spans="1:6" x14ac:dyDescent="0.25">
      <c r="A39804" s="1" t="str">
        <f t="shared" si="1425"/>
        <v>99999</v>
      </c>
      <c r="B39804" s="1" t="str">
        <f>"14745"</f>
        <v>14745</v>
      </c>
      <c r="C39804" s="2">
        <v>6.49565343350497E-7</v>
      </c>
      <c r="D39804" s="2">
        <v>0</v>
      </c>
      <c r="E39804" s="2">
        <v>4.3010567696482999E-6</v>
      </c>
      <c r="F39804" s="2">
        <v>6.9077224982350697E-7</v>
      </c>
    </row>
    <row r="39805" spans="1:6" x14ac:dyDescent="0.25">
      <c r="A39805" s="1" t="str">
        <f t="shared" si="1425"/>
        <v>99999</v>
      </c>
      <c r="B39805" s="1" t="str">
        <f>"14889"</f>
        <v>14889</v>
      </c>
      <c r="C39805" s="2">
        <v>5.4130445279207995E-7</v>
      </c>
      <c r="D39805" s="2">
        <v>0</v>
      </c>
      <c r="E39805" s="2">
        <v>0</v>
      </c>
      <c r="F39805" s="2">
        <v>4.9340874987393396E-7</v>
      </c>
    </row>
    <row r="39806" spans="1:6" x14ac:dyDescent="0.25">
      <c r="A39806" s="1" t="str">
        <f t="shared" si="1425"/>
        <v>99999</v>
      </c>
      <c r="B39806" s="1" t="str">
        <f>"18413"</f>
        <v>18413</v>
      </c>
      <c r="C39806" s="2">
        <v>1.0826089055841599E-6</v>
      </c>
      <c r="D39806" s="2">
        <v>1.50570889527644E-6</v>
      </c>
      <c r="E39806" s="2">
        <v>8.6021135392965999E-6</v>
      </c>
      <c r="F39806" s="2">
        <v>1.2828627496722201E-6</v>
      </c>
    </row>
    <row r="39807" spans="1:6" x14ac:dyDescent="0.25">
      <c r="A39807" s="1" t="str">
        <f t="shared" si="1425"/>
        <v>99999</v>
      </c>
      <c r="B39807" s="1" t="str">
        <f>"26271"</f>
        <v>26271</v>
      </c>
      <c r="C39807" s="2">
        <v>9.0939148069069495E-6</v>
      </c>
      <c r="D39807" s="2">
        <v>1.50570889527644E-6</v>
      </c>
      <c r="E39807" s="2">
        <v>0</v>
      </c>
      <c r="F39807" s="2">
        <v>8.3879487478568692E-6</v>
      </c>
    </row>
    <row r="39808" spans="1:6" x14ac:dyDescent="0.25">
      <c r="A39808" s="1" t="str">
        <f t="shared" si="1425"/>
        <v>99999</v>
      </c>
      <c r="B39808" s="1" t="str">
        <f>"40827"</f>
        <v>40827</v>
      </c>
      <c r="C39808" s="2">
        <v>1.51565246781782E-5</v>
      </c>
      <c r="D39808" s="2">
        <v>0</v>
      </c>
      <c r="E39808" s="2">
        <v>8.6021135392965999E-6</v>
      </c>
      <c r="F39808" s="2">
        <v>1.4012808496419701E-5</v>
      </c>
    </row>
    <row r="39809" spans="1:6" x14ac:dyDescent="0.25">
      <c r="A39809" s="1" t="str">
        <f t="shared" si="1425"/>
        <v>99999</v>
      </c>
      <c r="B39809" s="1" t="str">
        <f>"40843"</f>
        <v>40843</v>
      </c>
      <c r="C39809" s="2">
        <v>8.7691321352316998E-6</v>
      </c>
      <c r="D39809" s="2">
        <v>3.01141779055288E-6</v>
      </c>
      <c r="E39809" s="2">
        <v>8.6021135392965999E-6</v>
      </c>
      <c r="F39809" s="2">
        <v>8.3879487478568692E-6</v>
      </c>
    </row>
    <row r="39810" spans="1:6" x14ac:dyDescent="0.25">
      <c r="A39810" s="1" t="str">
        <f t="shared" si="1425"/>
        <v>99999</v>
      </c>
      <c r="B39810" s="1" t="str">
        <f>"48434"</f>
        <v>48434</v>
      </c>
      <c r="C39810" s="2">
        <v>6.3873925429465503E-6</v>
      </c>
      <c r="D39810" s="2">
        <v>1.50570889527644E-6</v>
      </c>
      <c r="E39810" s="2">
        <v>4.3010567696482999E-6</v>
      </c>
      <c r="F39810" s="2">
        <v>6.0195867484619901E-6</v>
      </c>
    </row>
    <row r="39811" spans="1:6" x14ac:dyDescent="0.25">
      <c r="A39811" s="1" t="str">
        <f t="shared" si="1425"/>
        <v>99999</v>
      </c>
      <c r="B39811" s="1" t="str">
        <f>"50227"</f>
        <v>50227</v>
      </c>
      <c r="C39811" s="2">
        <v>3.1395658261940598E-6</v>
      </c>
      <c r="D39811" s="2">
        <v>4.5171266858293203E-6</v>
      </c>
      <c r="E39811" s="2">
        <v>4.3010567696482999E-6</v>
      </c>
      <c r="F39811" s="2">
        <v>3.2564977491679601E-6</v>
      </c>
    </row>
    <row r="39812" spans="1:6" x14ac:dyDescent="0.25">
      <c r="A39812" s="1" t="str">
        <f t="shared" si="1425"/>
        <v>99999</v>
      </c>
      <c r="B39812" s="1" t="str">
        <f>"50452"</f>
        <v>50452</v>
      </c>
      <c r="C39812" s="2">
        <v>2.2734787017267301E-5</v>
      </c>
      <c r="D39812" s="2">
        <v>1.0539962266935E-5</v>
      </c>
      <c r="E39812" s="2">
        <v>1.29031703089449E-5</v>
      </c>
      <c r="F39812" s="2">
        <v>2.1709984994453001E-5</v>
      </c>
    </row>
    <row r="39813" spans="1:6" x14ac:dyDescent="0.25">
      <c r="A39813" s="1" t="str">
        <f t="shared" si="1425"/>
        <v>99999</v>
      </c>
      <c r="B39813" s="1" t="str">
        <f>"52308"</f>
        <v>52308</v>
      </c>
      <c r="C39813" s="2">
        <v>8.3360885729980396E-6</v>
      </c>
      <c r="D39813" s="2">
        <v>0</v>
      </c>
      <c r="E39813" s="2">
        <v>1.29031703089449E-5</v>
      </c>
      <c r="F39813" s="2">
        <v>7.8945399979829399E-6</v>
      </c>
    </row>
    <row r="39814" spans="1:6" x14ac:dyDescent="0.25">
      <c r="A39814" s="1" t="str">
        <f t="shared" ref="A39814:A39877" si="1426">"99999"</f>
        <v>99999</v>
      </c>
      <c r="B39814" s="1" t="str">
        <f>"58009"</f>
        <v>58009</v>
      </c>
      <c r="C39814" s="2">
        <v>5.1965227468039701E-6</v>
      </c>
      <c r="D39814" s="2">
        <v>3.01141779055288E-6</v>
      </c>
      <c r="E39814" s="2">
        <v>4.3010567696482999E-6</v>
      </c>
      <c r="F39814" s="2">
        <v>5.0327692487141197E-6</v>
      </c>
    </row>
    <row r="39815" spans="1:6" x14ac:dyDescent="0.25">
      <c r="A39815" s="1" t="str">
        <f t="shared" si="1426"/>
        <v>99999</v>
      </c>
      <c r="B39815" s="1" t="str">
        <f>"57660"</f>
        <v>57660</v>
      </c>
      <c r="C39815" s="2">
        <v>4.6552182940118902E-6</v>
      </c>
      <c r="D39815" s="2">
        <v>4.5171266858293203E-6</v>
      </c>
      <c r="E39815" s="2">
        <v>4.3010567696482999E-6</v>
      </c>
      <c r="F39815" s="2">
        <v>4.6380422488149798E-6</v>
      </c>
    </row>
    <row r="39816" spans="1:6" x14ac:dyDescent="0.25">
      <c r="A39816" s="1" t="str">
        <f t="shared" si="1426"/>
        <v>99999</v>
      </c>
      <c r="B39816" s="1" t="str">
        <f>"63901"</f>
        <v>63901</v>
      </c>
      <c r="C39816" s="2">
        <v>1.51565246781782E-6</v>
      </c>
      <c r="D39816" s="2">
        <v>0</v>
      </c>
      <c r="E39816" s="2">
        <v>0</v>
      </c>
      <c r="F39816" s="2">
        <v>1.3815444996470099E-6</v>
      </c>
    </row>
    <row r="39817" spans="1:6" x14ac:dyDescent="0.25">
      <c r="A39817" s="1" t="str">
        <f t="shared" si="1426"/>
        <v>99999</v>
      </c>
      <c r="B39817" s="1" t="str">
        <f>"65452"</f>
        <v>65452</v>
      </c>
      <c r="C39817" s="2">
        <v>7.2534796674138799E-6</v>
      </c>
      <c r="D39817" s="2">
        <v>0</v>
      </c>
      <c r="E39817" s="2">
        <v>0</v>
      </c>
      <c r="F39817" s="2">
        <v>6.6116772483107097E-6</v>
      </c>
    </row>
    <row r="39818" spans="1:6" x14ac:dyDescent="0.25">
      <c r="A39818" s="1" t="str">
        <f t="shared" si="1426"/>
        <v>99999</v>
      </c>
      <c r="B39818" s="1" t="str">
        <f>"65754"</f>
        <v>65754</v>
      </c>
      <c r="C39818" s="2">
        <v>8.6608712446732898E-7</v>
      </c>
      <c r="D39818" s="2">
        <v>0</v>
      </c>
      <c r="E39818" s="2">
        <v>0</v>
      </c>
      <c r="F39818" s="2">
        <v>7.8945399979829395E-7</v>
      </c>
    </row>
    <row r="39819" spans="1:6" x14ac:dyDescent="0.25">
      <c r="A39819" s="1" t="str">
        <f t="shared" si="1426"/>
        <v>99999</v>
      </c>
      <c r="B39819" s="1" t="str">
        <f>"69039"</f>
        <v>69039</v>
      </c>
      <c r="C39819" s="2">
        <v>6.0626098712712997E-6</v>
      </c>
      <c r="D39819" s="2">
        <v>0</v>
      </c>
      <c r="E39819" s="2">
        <v>4.3010567696482999E-6</v>
      </c>
      <c r="F39819" s="2">
        <v>5.6248597485628401E-6</v>
      </c>
    </row>
    <row r="39820" spans="1:6" x14ac:dyDescent="0.25">
      <c r="A39820" s="1" t="str">
        <f t="shared" si="1426"/>
        <v>99999</v>
      </c>
      <c r="B39820" s="1" t="str">
        <f>"76048"</f>
        <v>76048</v>
      </c>
      <c r="C39820" s="2">
        <v>1.14756543991921E-5</v>
      </c>
      <c r="D39820" s="2">
        <v>1.0539962266935E-5</v>
      </c>
      <c r="E39820" s="2">
        <v>3.8709510926834699E-5</v>
      </c>
      <c r="F39820" s="2">
        <v>1.2039173496923901E-5</v>
      </c>
    </row>
    <row r="39821" spans="1:6" x14ac:dyDescent="0.25">
      <c r="A39821" s="1" t="str">
        <f t="shared" si="1426"/>
        <v>99999</v>
      </c>
      <c r="B39821" s="1" t="str">
        <f>"84638"</f>
        <v>84638</v>
      </c>
      <c r="C39821" s="2">
        <v>1.7321742489346499E-6</v>
      </c>
      <c r="D39821" s="2">
        <v>1.50570889527644E-6</v>
      </c>
      <c r="E39821" s="2">
        <v>4.3010567696482999E-6</v>
      </c>
      <c r="F39821" s="2">
        <v>1.77627149954616E-6</v>
      </c>
    </row>
    <row r="39822" spans="1:6" x14ac:dyDescent="0.25">
      <c r="A39822" s="1" t="str">
        <f t="shared" si="1426"/>
        <v>99999</v>
      </c>
      <c r="B39822" s="1" t="str">
        <f>"95251"</f>
        <v>95251</v>
      </c>
      <c r="C39822" s="2">
        <v>8.3360885729980396E-6</v>
      </c>
      <c r="D39822" s="2">
        <v>3.01141779055288E-6</v>
      </c>
      <c r="E39822" s="2">
        <v>4.3010567696482999E-6</v>
      </c>
      <c r="F39822" s="2">
        <v>7.8945399979829399E-6</v>
      </c>
    </row>
    <row r="39823" spans="1:6" x14ac:dyDescent="0.25">
      <c r="A39823" s="1" t="str">
        <f t="shared" si="1426"/>
        <v>99999</v>
      </c>
      <c r="B39823" s="1" t="str">
        <f>"95939"</f>
        <v>95939</v>
      </c>
      <c r="C39823" s="2">
        <v>4.2221747317782301E-6</v>
      </c>
      <c r="D39823" s="2">
        <v>1.50570889527644E-6</v>
      </c>
      <c r="E39823" s="2">
        <v>4.3010567696482999E-6</v>
      </c>
      <c r="F39823" s="2">
        <v>4.0459517489662501E-6</v>
      </c>
    </row>
    <row r="39824" spans="1:6" x14ac:dyDescent="0.25">
      <c r="A39824" s="1" t="str">
        <f t="shared" si="1426"/>
        <v>99999</v>
      </c>
      <c r="B39824" s="1" t="str">
        <f>"97732"</f>
        <v>97732</v>
      </c>
      <c r="C39824" s="2">
        <v>8.7691321352316998E-6</v>
      </c>
      <c r="D39824" s="2">
        <v>0</v>
      </c>
      <c r="E39824" s="2">
        <v>1.29031703089449E-5</v>
      </c>
      <c r="F39824" s="2">
        <v>8.2892669978820908E-6</v>
      </c>
    </row>
    <row r="39825" spans="1:6" x14ac:dyDescent="0.25">
      <c r="A39825" s="1" t="str">
        <f t="shared" si="1426"/>
        <v>99999</v>
      </c>
      <c r="B39825" s="1" t="str">
        <f>"12738"</f>
        <v>12738</v>
      </c>
      <c r="C39825" s="2">
        <v>1.1259132618075199E-5</v>
      </c>
      <c r="D39825" s="2">
        <v>1.50570889527644E-6</v>
      </c>
      <c r="E39825" s="2">
        <v>1.29031703089449E-5</v>
      </c>
      <c r="F39825" s="2">
        <v>1.06576289972769E-5</v>
      </c>
    </row>
    <row r="39826" spans="1:6" x14ac:dyDescent="0.25">
      <c r="A39826" s="1" t="str">
        <f t="shared" si="1426"/>
        <v>99999</v>
      </c>
      <c r="B39826" s="1" t="str">
        <f>"15863"</f>
        <v>15863</v>
      </c>
      <c r="C39826" s="2">
        <v>1.29913068670099E-6</v>
      </c>
      <c r="D39826" s="2">
        <v>1.50570889527644E-6</v>
      </c>
      <c r="E39826" s="2">
        <v>1.72042270785932E-5</v>
      </c>
      <c r="F39826" s="2">
        <v>1.6775897495713699E-6</v>
      </c>
    </row>
    <row r="39827" spans="1:6" x14ac:dyDescent="0.25">
      <c r="A39827" s="1" t="str">
        <f t="shared" si="1426"/>
        <v>99999</v>
      </c>
      <c r="B39827" s="1" t="str">
        <f>"23002"</f>
        <v>23002</v>
      </c>
      <c r="C39827" s="2">
        <v>2.2734787017267302E-6</v>
      </c>
      <c r="D39827" s="2">
        <v>0</v>
      </c>
      <c r="E39827" s="2">
        <v>0</v>
      </c>
      <c r="F39827" s="2">
        <v>2.0723167494705202E-6</v>
      </c>
    </row>
    <row r="39828" spans="1:6" x14ac:dyDescent="0.25">
      <c r="A39828" s="1" t="str">
        <f t="shared" si="1426"/>
        <v>99999</v>
      </c>
      <c r="B39828" s="1" t="str">
        <f>"40863"</f>
        <v>40863</v>
      </c>
      <c r="C39828" s="2">
        <v>2.2085221673916801E-5</v>
      </c>
      <c r="D39828" s="2">
        <v>6.0228355811057601E-6</v>
      </c>
      <c r="E39828" s="2">
        <v>1.29031703089449E-5</v>
      </c>
      <c r="F39828" s="2">
        <v>2.082184924468E-5</v>
      </c>
    </row>
    <row r="39829" spans="1:6" x14ac:dyDescent="0.25">
      <c r="A39829" s="1" t="str">
        <f t="shared" si="1426"/>
        <v>99999</v>
      </c>
      <c r="B39829" s="1" t="str">
        <f>"46902"</f>
        <v>46902</v>
      </c>
      <c r="C39829" s="2">
        <v>5.7378271995960499E-6</v>
      </c>
      <c r="D39829" s="2">
        <v>0</v>
      </c>
      <c r="E39829" s="2">
        <v>0</v>
      </c>
      <c r="F39829" s="2">
        <v>5.2301327486637002E-6</v>
      </c>
    </row>
    <row r="39830" spans="1:6" x14ac:dyDescent="0.25">
      <c r="A39830" s="1" t="str">
        <f t="shared" si="1426"/>
        <v>99999</v>
      </c>
      <c r="B39830" s="1" t="str">
        <f>"50101"</f>
        <v>50101</v>
      </c>
      <c r="C39830" s="2">
        <v>4.3304356223366396E-6</v>
      </c>
      <c r="D39830" s="2">
        <v>6.0228355811057601E-6</v>
      </c>
      <c r="E39830" s="2">
        <v>4.3010567696482999E-6</v>
      </c>
      <c r="F39830" s="2">
        <v>4.4406787488654001E-6</v>
      </c>
    </row>
    <row r="39831" spans="1:6" x14ac:dyDescent="0.25">
      <c r="A39831" s="1" t="str">
        <f t="shared" si="1426"/>
        <v>99999</v>
      </c>
      <c r="B39831" s="1" t="str">
        <f>"59825"</f>
        <v>59825</v>
      </c>
      <c r="C39831" s="2">
        <v>1.8945655847722799E-5</v>
      </c>
      <c r="D39831" s="2">
        <v>1.50570889527644E-6</v>
      </c>
      <c r="E39831" s="2">
        <v>0</v>
      </c>
      <c r="F39831" s="2">
        <v>1.7367987995562399E-5</v>
      </c>
    </row>
    <row r="39832" spans="1:6" x14ac:dyDescent="0.25">
      <c r="A39832" s="1" t="str">
        <f t="shared" si="1426"/>
        <v>99999</v>
      </c>
      <c r="B39832" s="1" t="str">
        <f>"58782"</f>
        <v>58782</v>
      </c>
      <c r="C39832" s="2">
        <v>9.7434801502574508E-7</v>
      </c>
      <c r="D39832" s="2">
        <v>0</v>
      </c>
      <c r="E39832" s="2">
        <v>0</v>
      </c>
      <c r="F39832" s="2">
        <v>8.8813574977308104E-7</v>
      </c>
    </row>
    <row r="39833" spans="1:6" x14ac:dyDescent="0.25">
      <c r="A39833" s="1" t="str">
        <f t="shared" si="1426"/>
        <v>99999</v>
      </c>
      <c r="B39833" s="1" t="str">
        <f>"47224"</f>
        <v>47224</v>
      </c>
      <c r="C39833" s="2">
        <v>1.9053916738281199E-5</v>
      </c>
      <c r="D39833" s="2">
        <v>4.5171266858293203E-6</v>
      </c>
      <c r="E39833" s="2">
        <v>4.3010567696482999E-6</v>
      </c>
      <c r="F39833" s="2">
        <v>1.77627149954616E-5</v>
      </c>
    </row>
    <row r="39834" spans="1:6" x14ac:dyDescent="0.25">
      <c r="A39834" s="1" t="str">
        <f t="shared" si="1426"/>
        <v>99999</v>
      </c>
      <c r="B39834" s="1" t="str">
        <f>"49638"</f>
        <v>49638</v>
      </c>
      <c r="C39834" s="2">
        <v>5.3047836373623898E-6</v>
      </c>
      <c r="D39834" s="2">
        <v>0</v>
      </c>
      <c r="E39834" s="2">
        <v>0</v>
      </c>
      <c r="F39834" s="2">
        <v>4.8354057487645501E-6</v>
      </c>
    </row>
    <row r="39835" spans="1:6" x14ac:dyDescent="0.25">
      <c r="A39835" s="1" t="str">
        <f t="shared" si="1426"/>
        <v>99999</v>
      </c>
      <c r="B39835" s="1" t="str">
        <f>"50860"</f>
        <v>50860</v>
      </c>
      <c r="C39835" s="2">
        <v>1.5589568240411901E-5</v>
      </c>
      <c r="D39835" s="2">
        <v>4.5171266858293203E-6</v>
      </c>
      <c r="E39835" s="2">
        <v>4.3010567696482999E-6</v>
      </c>
      <c r="F39835" s="2">
        <v>1.46048989962684E-5</v>
      </c>
    </row>
    <row r="39836" spans="1:6" x14ac:dyDescent="0.25">
      <c r="A39836" s="1" t="str">
        <f t="shared" si="1426"/>
        <v>99999</v>
      </c>
      <c r="B39836" s="1" t="str">
        <f>"50862"</f>
        <v>50862</v>
      </c>
      <c r="C39836" s="2">
        <v>8.8773930257901203E-6</v>
      </c>
      <c r="D39836" s="2">
        <v>0</v>
      </c>
      <c r="E39836" s="2">
        <v>4.3010567696482999E-6</v>
      </c>
      <c r="F39836" s="2">
        <v>8.1905852479073005E-6</v>
      </c>
    </row>
    <row r="39837" spans="1:6" x14ac:dyDescent="0.25">
      <c r="A39837" s="1" t="str">
        <f t="shared" si="1426"/>
        <v>99999</v>
      </c>
      <c r="B39837" s="1" t="str">
        <f>"49338"</f>
        <v>49338</v>
      </c>
      <c r="C39837" s="2">
        <v>3.3560876073108999E-5</v>
      </c>
      <c r="D39837" s="2">
        <v>7.5285444763821999E-6</v>
      </c>
      <c r="E39837" s="2">
        <v>4.3010567696482999E-6</v>
      </c>
      <c r="F39837" s="2">
        <v>3.1183432992032599E-5</v>
      </c>
    </row>
    <row r="39838" spans="1:6" x14ac:dyDescent="0.25">
      <c r="A39838" s="1" t="str">
        <f t="shared" si="1426"/>
        <v>99999</v>
      </c>
      <c r="B39838" s="1" t="str">
        <f>"54855"</f>
        <v>54855</v>
      </c>
      <c r="C39838" s="2">
        <v>3.8973920601029803E-5</v>
      </c>
      <c r="D39838" s="2">
        <v>1.35513800574879E-5</v>
      </c>
      <c r="E39838" s="2">
        <v>1.72042270785932E-5</v>
      </c>
      <c r="F39838" s="2">
        <v>3.68082927405954E-5</v>
      </c>
    </row>
    <row r="39839" spans="1:6" x14ac:dyDescent="0.25">
      <c r="A39839" s="1" t="str">
        <f t="shared" si="1426"/>
        <v>99999</v>
      </c>
      <c r="B39839" s="1" t="str">
        <f>"54926"</f>
        <v>54926</v>
      </c>
      <c r="C39839" s="2">
        <v>2.2734787017267302E-6</v>
      </c>
      <c r="D39839" s="2">
        <v>0</v>
      </c>
      <c r="E39839" s="2">
        <v>4.3010567696482999E-6</v>
      </c>
      <c r="F39839" s="2">
        <v>2.1709984994452998E-6</v>
      </c>
    </row>
    <row r="39840" spans="1:6" x14ac:dyDescent="0.25">
      <c r="A39840" s="1" t="str">
        <f t="shared" si="1426"/>
        <v>99999</v>
      </c>
      <c r="B39840" s="1" t="str">
        <f>"57261"</f>
        <v>57261</v>
      </c>
      <c r="C39840" s="2">
        <v>1.6563916255437601E-5</v>
      </c>
      <c r="D39840" s="2">
        <v>7.5285444763821999E-6</v>
      </c>
      <c r="E39840" s="2">
        <v>1.72042270785932E-5</v>
      </c>
      <c r="F39840" s="2">
        <v>1.5986443495915399E-5</v>
      </c>
    </row>
    <row r="39841" spans="1:6" x14ac:dyDescent="0.25">
      <c r="A39841" s="1" t="str">
        <f t="shared" si="1426"/>
        <v>99999</v>
      </c>
      <c r="B39841" s="1" t="str">
        <f>"56521"</f>
        <v>56521</v>
      </c>
      <c r="C39841" s="2">
        <v>3.47517458692515E-5</v>
      </c>
      <c r="D39841" s="2">
        <v>1.0539962266935E-5</v>
      </c>
      <c r="E39841" s="2">
        <v>2.15052838482415E-5</v>
      </c>
      <c r="F39841" s="2">
        <v>3.2861022741603999E-5</v>
      </c>
    </row>
    <row r="39842" spans="1:6" x14ac:dyDescent="0.25">
      <c r="A39842" s="1" t="str">
        <f t="shared" si="1426"/>
        <v>99999</v>
      </c>
      <c r="B39842" s="1" t="str">
        <f>"56147"</f>
        <v>56147</v>
      </c>
      <c r="C39842" s="2">
        <v>7.3617405579722903E-6</v>
      </c>
      <c r="D39842" s="2">
        <v>6.0228355811057601E-6</v>
      </c>
      <c r="E39842" s="2">
        <v>0</v>
      </c>
      <c r="F39842" s="2">
        <v>7.10508599818465E-6</v>
      </c>
    </row>
    <row r="39843" spans="1:6" x14ac:dyDescent="0.25">
      <c r="A39843" s="1" t="str">
        <f t="shared" si="1426"/>
        <v>99999</v>
      </c>
      <c r="B39843" s="1" t="str">
        <f>"57481"</f>
        <v>57481</v>
      </c>
      <c r="C39843" s="2">
        <v>5.6295663090376404E-6</v>
      </c>
      <c r="D39843" s="2">
        <v>1.50570889527644E-6</v>
      </c>
      <c r="E39843" s="2">
        <v>0</v>
      </c>
      <c r="F39843" s="2">
        <v>5.2301327486637002E-6</v>
      </c>
    </row>
    <row r="39844" spans="1:6" x14ac:dyDescent="0.25">
      <c r="A39844" s="1" t="str">
        <f t="shared" si="1426"/>
        <v>99999</v>
      </c>
      <c r="B39844" s="1" t="str">
        <f>"57788"</f>
        <v>57788</v>
      </c>
      <c r="C39844" s="2">
        <v>1.5914350912087102E-5</v>
      </c>
      <c r="D39844" s="2">
        <v>4.5171266858293203E-6</v>
      </c>
      <c r="E39844" s="2">
        <v>1.29031703089449E-5</v>
      </c>
      <c r="F39844" s="2">
        <v>1.5098307746142301E-5</v>
      </c>
    </row>
    <row r="39845" spans="1:6" x14ac:dyDescent="0.25">
      <c r="A39845" s="1" t="str">
        <f t="shared" si="1426"/>
        <v>99999</v>
      </c>
      <c r="B39845" s="1" t="str">
        <f>"58048"</f>
        <v>58048</v>
      </c>
      <c r="C39845" s="2">
        <v>1.0826089055841599E-6</v>
      </c>
      <c r="D39845" s="2">
        <v>0</v>
      </c>
      <c r="E39845" s="2">
        <v>0</v>
      </c>
      <c r="F39845" s="2">
        <v>9.8681749974786791E-7</v>
      </c>
    </row>
    <row r="39846" spans="1:6" x14ac:dyDescent="0.25">
      <c r="A39846" s="1" t="str">
        <f t="shared" si="1426"/>
        <v>99999</v>
      </c>
      <c r="B39846" s="1" t="str">
        <f>"59832"</f>
        <v>59832</v>
      </c>
      <c r="C39846" s="2">
        <v>3.7891311695445598E-5</v>
      </c>
      <c r="D39846" s="2">
        <v>4.2159849067740298E-5</v>
      </c>
      <c r="E39846" s="2">
        <v>5.5913738005427899E-5</v>
      </c>
      <c r="F39846" s="2">
        <v>3.8584564240141597E-5</v>
      </c>
    </row>
    <row r="39847" spans="1:6" x14ac:dyDescent="0.25">
      <c r="A39847" s="1" t="str">
        <f t="shared" si="1426"/>
        <v>99999</v>
      </c>
      <c r="B39847" s="1" t="str">
        <f>"58752"</f>
        <v>58752</v>
      </c>
      <c r="C39847" s="2">
        <v>7.3617405579722903E-6</v>
      </c>
      <c r="D39847" s="2">
        <v>3.01141779055288E-6</v>
      </c>
      <c r="E39847" s="2">
        <v>1.29031703089449E-5</v>
      </c>
      <c r="F39847" s="2">
        <v>7.2037677481594301E-6</v>
      </c>
    </row>
    <row r="39848" spans="1:6" x14ac:dyDescent="0.25">
      <c r="A39848" s="1" t="str">
        <f t="shared" si="1426"/>
        <v>99999</v>
      </c>
      <c r="B39848" s="1" t="str">
        <f>"59450"</f>
        <v>59450</v>
      </c>
      <c r="C39848" s="2">
        <v>2.15439172211248E-5</v>
      </c>
      <c r="D39848" s="2">
        <v>1.35513800574879E-5</v>
      </c>
      <c r="E39848" s="2">
        <v>4.3010567696482999E-6</v>
      </c>
      <c r="F39848" s="2">
        <v>2.0624485744730399E-5</v>
      </c>
    </row>
    <row r="39849" spans="1:6" x14ac:dyDescent="0.25">
      <c r="A39849" s="1" t="str">
        <f t="shared" si="1426"/>
        <v>99999</v>
      </c>
      <c r="B39849" s="1" t="str">
        <f>"58363"</f>
        <v>58363</v>
      </c>
      <c r="C39849" s="2">
        <v>6.49565343350497E-6</v>
      </c>
      <c r="D39849" s="2">
        <v>3.01141779055288E-6</v>
      </c>
      <c r="E39849" s="2">
        <v>4.3010567696482999E-6</v>
      </c>
      <c r="F39849" s="2">
        <v>6.2169502484115596E-6</v>
      </c>
    </row>
    <row r="39850" spans="1:6" x14ac:dyDescent="0.25">
      <c r="A39850" s="1" t="str">
        <f t="shared" si="1426"/>
        <v>99999</v>
      </c>
      <c r="B39850" s="1" t="str">
        <f>"62675"</f>
        <v>62675</v>
      </c>
      <c r="C39850" s="2">
        <v>7.5782623390891299E-7</v>
      </c>
      <c r="D39850" s="2">
        <v>0</v>
      </c>
      <c r="E39850" s="2">
        <v>0</v>
      </c>
      <c r="F39850" s="2">
        <v>6.9077224982350697E-7</v>
      </c>
    </row>
    <row r="39851" spans="1:6" x14ac:dyDescent="0.25">
      <c r="A39851" s="1" t="str">
        <f t="shared" si="1426"/>
        <v>99999</v>
      </c>
      <c r="B39851" s="1" t="str">
        <f>"62985"</f>
        <v>62985</v>
      </c>
      <c r="C39851" s="2">
        <v>2.4358700375643599E-5</v>
      </c>
      <c r="D39851" s="2">
        <v>1.20456711622115E-5</v>
      </c>
      <c r="E39851" s="2">
        <v>0</v>
      </c>
      <c r="F39851" s="2">
        <v>2.2992847744125301E-5</v>
      </c>
    </row>
    <row r="39852" spans="1:6" x14ac:dyDescent="0.25">
      <c r="A39852" s="1" t="str">
        <f t="shared" si="1426"/>
        <v>99999</v>
      </c>
      <c r="B39852" s="1" t="str">
        <f>"63966"</f>
        <v>63966</v>
      </c>
      <c r="C39852" s="2">
        <v>2.5441309281227699E-5</v>
      </c>
      <c r="D39852" s="2">
        <v>1.50570889527644E-6</v>
      </c>
      <c r="E39852" s="2">
        <v>4.3010567696482999E-6</v>
      </c>
      <c r="F39852" s="2">
        <v>2.3387574744024402E-5</v>
      </c>
    </row>
    <row r="39853" spans="1:6" x14ac:dyDescent="0.25">
      <c r="A39853" s="1" t="str">
        <f t="shared" si="1426"/>
        <v>99999</v>
      </c>
      <c r="B39853" s="1" t="str">
        <f>"63459"</f>
        <v>63459</v>
      </c>
      <c r="C39853" s="2">
        <v>2.3817395922851499E-6</v>
      </c>
      <c r="D39853" s="2">
        <v>0</v>
      </c>
      <c r="E39853" s="2">
        <v>0</v>
      </c>
      <c r="F39853" s="2">
        <v>2.1709984994452998E-6</v>
      </c>
    </row>
    <row r="39854" spans="1:6" x14ac:dyDescent="0.25">
      <c r="A39854" s="1" t="str">
        <f t="shared" si="1426"/>
        <v>99999</v>
      </c>
      <c r="B39854" s="1" t="str">
        <f>"63462"</f>
        <v>63462</v>
      </c>
      <c r="C39854" s="2">
        <v>9.8517410408158696E-6</v>
      </c>
      <c r="D39854" s="2">
        <v>0</v>
      </c>
      <c r="E39854" s="2">
        <v>0</v>
      </c>
      <c r="F39854" s="2">
        <v>8.9800392477055905E-6</v>
      </c>
    </row>
    <row r="39855" spans="1:6" x14ac:dyDescent="0.25">
      <c r="A39855" s="1" t="str">
        <f t="shared" si="1426"/>
        <v>99999</v>
      </c>
      <c r="B39855" s="1" t="str">
        <f>"51647"</f>
        <v>51647</v>
      </c>
      <c r="C39855" s="2">
        <v>1.05013063841663E-5</v>
      </c>
      <c r="D39855" s="2">
        <v>3.01141779055288E-6</v>
      </c>
      <c r="E39855" s="2">
        <v>8.6021135392965999E-6</v>
      </c>
      <c r="F39855" s="2">
        <v>9.9668567474534592E-6</v>
      </c>
    </row>
    <row r="39856" spans="1:6" x14ac:dyDescent="0.25">
      <c r="A39856" s="1" t="str">
        <f t="shared" si="1426"/>
        <v>99999</v>
      </c>
      <c r="B39856" s="1" t="str">
        <f>"67651"</f>
        <v>67651</v>
      </c>
      <c r="C39856" s="2">
        <v>3.4102180525900997E-5</v>
      </c>
      <c r="D39856" s="2">
        <v>1.20456711622115E-5</v>
      </c>
      <c r="E39856" s="2">
        <v>2.15052838482415E-5</v>
      </c>
      <c r="F39856" s="2">
        <v>3.236761399173E-5</v>
      </c>
    </row>
    <row r="39857" spans="1:6" x14ac:dyDescent="0.25">
      <c r="A39857" s="1" t="str">
        <f t="shared" si="1426"/>
        <v>99999</v>
      </c>
      <c r="B39857" s="1" t="str">
        <f>"65612"</f>
        <v>65612</v>
      </c>
      <c r="C39857" s="2">
        <v>4.1139138412198104E-6</v>
      </c>
      <c r="D39857" s="2">
        <v>0</v>
      </c>
      <c r="E39857" s="2">
        <v>0</v>
      </c>
      <c r="F39857" s="2">
        <v>3.7499064990418899E-6</v>
      </c>
    </row>
    <row r="39858" spans="1:6" x14ac:dyDescent="0.25">
      <c r="A39858" s="1" t="str">
        <f t="shared" si="1426"/>
        <v>99999</v>
      </c>
      <c r="B39858" s="1" t="str">
        <f>"65603"</f>
        <v>65603</v>
      </c>
      <c r="C39858" s="2">
        <v>1.0176523712491101E-5</v>
      </c>
      <c r="D39858" s="2">
        <v>3.01141779055288E-6</v>
      </c>
      <c r="E39858" s="2">
        <v>8.6021135392965999E-6</v>
      </c>
      <c r="F39858" s="2">
        <v>9.6708114975291003E-6</v>
      </c>
    </row>
    <row r="39859" spans="1:6" x14ac:dyDescent="0.25">
      <c r="A39859" s="1" t="str">
        <f t="shared" si="1426"/>
        <v>99999</v>
      </c>
      <c r="B39859" s="1" t="str">
        <f>"68850"</f>
        <v>68850</v>
      </c>
      <c r="C39859" s="2">
        <v>2.1652178111683201E-7</v>
      </c>
      <c r="D39859" s="2">
        <v>0</v>
      </c>
      <c r="E39859" s="2">
        <v>0</v>
      </c>
      <c r="F39859" s="2">
        <v>1.9736349994957301E-7</v>
      </c>
    </row>
    <row r="39860" spans="1:6" x14ac:dyDescent="0.25">
      <c r="A39860" s="1" t="str">
        <f t="shared" si="1426"/>
        <v>99999</v>
      </c>
      <c r="B39860" s="1" t="str">
        <f>"68774"</f>
        <v>68774</v>
      </c>
      <c r="C39860" s="2">
        <v>2.1868699892800001E-5</v>
      </c>
      <c r="D39860" s="2">
        <v>1.35513800574879E-5</v>
      </c>
      <c r="E39860" s="2">
        <v>3.01073973875381E-5</v>
      </c>
      <c r="F39860" s="2">
        <v>2.1512621494503498E-5</v>
      </c>
    </row>
    <row r="39861" spans="1:6" x14ac:dyDescent="0.25">
      <c r="A39861" s="1" t="str">
        <f t="shared" si="1426"/>
        <v>99999</v>
      </c>
      <c r="B39861" s="1" t="str">
        <f>"68421"</f>
        <v>68421</v>
      </c>
      <c r="C39861" s="2">
        <v>3.5834354774835699E-5</v>
      </c>
      <c r="D39861" s="2">
        <v>4.5171266858293203E-6</v>
      </c>
      <c r="E39861" s="2">
        <v>2.15052838482415E-5</v>
      </c>
      <c r="F39861" s="2">
        <v>3.34531132414527E-5</v>
      </c>
    </row>
    <row r="39862" spans="1:6" x14ac:dyDescent="0.25">
      <c r="A39862" s="1" t="str">
        <f t="shared" si="1426"/>
        <v>99999</v>
      </c>
      <c r="B39862" s="1" t="str">
        <f>"72539"</f>
        <v>72539</v>
      </c>
      <c r="C39862" s="2">
        <v>1.9162177628839599E-5</v>
      </c>
      <c r="D39862" s="2">
        <v>6.0228355811057601E-6</v>
      </c>
      <c r="E39862" s="2">
        <v>4.3010567696482999E-6</v>
      </c>
      <c r="F39862" s="2">
        <v>1.79600784954111E-5</v>
      </c>
    </row>
    <row r="39863" spans="1:6" x14ac:dyDescent="0.25">
      <c r="A39863" s="1" t="str">
        <f t="shared" si="1426"/>
        <v>99999</v>
      </c>
      <c r="B39863" s="1" t="str">
        <f>"72851"</f>
        <v>72851</v>
      </c>
      <c r="C39863" s="2">
        <v>4.28713126611328E-5</v>
      </c>
      <c r="D39863" s="2">
        <v>7.5285444763821999E-6</v>
      </c>
      <c r="E39863" s="2">
        <v>4.3010567696482999E-6</v>
      </c>
      <c r="F39863" s="2">
        <v>3.9670063489864202E-5</v>
      </c>
    </row>
    <row r="39864" spans="1:6" x14ac:dyDescent="0.25">
      <c r="A39864" s="1" t="str">
        <f t="shared" si="1426"/>
        <v>99999</v>
      </c>
      <c r="B39864" s="1" t="str">
        <f>"71247"</f>
        <v>71247</v>
      </c>
      <c r="C39864" s="2">
        <v>1.08260890558416E-7</v>
      </c>
      <c r="D39864" s="2">
        <v>1.50570889527644E-6</v>
      </c>
      <c r="E39864" s="2">
        <v>4.3010567696482999E-6</v>
      </c>
      <c r="F39864" s="2">
        <v>2.9604524992435999E-7</v>
      </c>
    </row>
    <row r="39865" spans="1:6" x14ac:dyDescent="0.25">
      <c r="A39865" s="1" t="str">
        <f t="shared" si="1426"/>
        <v>99999</v>
      </c>
      <c r="B39865" s="1" t="str">
        <f>"73638"</f>
        <v>73638</v>
      </c>
      <c r="C39865" s="2">
        <v>1.30995677575683E-5</v>
      </c>
      <c r="D39865" s="2">
        <v>7.5285444763821999E-6</v>
      </c>
      <c r="E39865" s="2">
        <v>4.3010567696482999E-6</v>
      </c>
      <c r="F39865" s="2">
        <v>1.2532582246797899E-5</v>
      </c>
    </row>
    <row r="39866" spans="1:6" x14ac:dyDescent="0.25">
      <c r="A39866" s="1" t="str">
        <f t="shared" si="1426"/>
        <v>99999</v>
      </c>
      <c r="B39866" s="1" t="str">
        <f>"73757"</f>
        <v>73757</v>
      </c>
      <c r="C39866" s="2">
        <v>9.4186974785821993E-6</v>
      </c>
      <c r="D39866" s="2">
        <v>4.5171266858293203E-6</v>
      </c>
      <c r="E39866" s="2">
        <v>0</v>
      </c>
      <c r="F39866" s="2">
        <v>8.8813574977308104E-6</v>
      </c>
    </row>
    <row r="39867" spans="1:6" x14ac:dyDescent="0.25">
      <c r="A39867" s="1" t="str">
        <f t="shared" si="1426"/>
        <v>99999</v>
      </c>
      <c r="B39867" s="1" t="str">
        <f>"74535"</f>
        <v>74535</v>
      </c>
      <c r="C39867" s="2">
        <v>1.4073915772594101E-6</v>
      </c>
      <c r="D39867" s="2">
        <v>0</v>
      </c>
      <c r="E39867" s="2">
        <v>4.3010567696482999E-6</v>
      </c>
      <c r="F39867" s="2">
        <v>1.3815444996470099E-6</v>
      </c>
    </row>
    <row r="39868" spans="1:6" x14ac:dyDescent="0.25">
      <c r="A39868" s="1" t="str">
        <f t="shared" si="1426"/>
        <v>99999</v>
      </c>
      <c r="B39868" s="1" t="str">
        <f>"74570"</f>
        <v>74570</v>
      </c>
      <c r="C39868" s="2">
        <v>4.1247399302756502E-5</v>
      </c>
      <c r="D39868" s="2">
        <v>1.35513800574879E-5</v>
      </c>
      <c r="E39868" s="2">
        <v>4.3010567696482999E-5</v>
      </c>
      <c r="F39868" s="2">
        <v>3.9472699989914703E-5</v>
      </c>
    </row>
    <row r="39869" spans="1:6" x14ac:dyDescent="0.25">
      <c r="A39869" s="1" t="str">
        <f t="shared" si="1426"/>
        <v>99999</v>
      </c>
      <c r="B39869" s="1" t="str">
        <f>"74646"</f>
        <v>74646</v>
      </c>
      <c r="C39869" s="2">
        <v>1.51565246781782E-6</v>
      </c>
      <c r="D39869" s="2">
        <v>0</v>
      </c>
      <c r="E39869" s="2">
        <v>0</v>
      </c>
      <c r="F39869" s="2">
        <v>1.3815444996470099E-6</v>
      </c>
    </row>
    <row r="39870" spans="1:6" x14ac:dyDescent="0.25">
      <c r="A39870" s="1" t="str">
        <f t="shared" si="1426"/>
        <v>99999</v>
      </c>
      <c r="B39870" s="1" t="str">
        <f>"75431"</f>
        <v>75431</v>
      </c>
      <c r="C39870" s="2">
        <v>1.71052207082297E-5</v>
      </c>
      <c r="D39870" s="2">
        <v>1.65627978480408E-5</v>
      </c>
      <c r="E39870" s="2">
        <v>0</v>
      </c>
      <c r="F39870" s="2">
        <v>1.6677215745738901E-5</v>
      </c>
    </row>
    <row r="39871" spans="1:6" x14ac:dyDescent="0.25">
      <c r="A39871" s="1" t="str">
        <f t="shared" si="1426"/>
        <v>99999</v>
      </c>
      <c r="B39871" s="1" t="str">
        <f>"79364"</f>
        <v>79364</v>
      </c>
      <c r="C39871" s="2">
        <v>5.8460880901544696E-6</v>
      </c>
      <c r="D39871" s="2">
        <v>1.50570889527644E-6</v>
      </c>
      <c r="E39871" s="2">
        <v>1.72042270785932E-5</v>
      </c>
      <c r="F39871" s="2">
        <v>5.8222232485124198E-6</v>
      </c>
    </row>
    <row r="39872" spans="1:6" x14ac:dyDescent="0.25">
      <c r="A39872" s="1" t="str">
        <f t="shared" si="1426"/>
        <v>99999</v>
      </c>
      <c r="B39872" s="1" t="str">
        <f>"81024"</f>
        <v>81024</v>
      </c>
      <c r="C39872" s="2">
        <v>1.5697829130970301E-5</v>
      </c>
      <c r="D39872" s="2">
        <v>6.0228355811057601E-6</v>
      </c>
      <c r="E39872" s="2">
        <v>4.3010567696482999E-6</v>
      </c>
      <c r="F39872" s="2">
        <v>1.4802262496217999E-5</v>
      </c>
    </row>
    <row r="39873" spans="1:6" x14ac:dyDescent="0.25">
      <c r="A39873" s="1" t="str">
        <f t="shared" si="1426"/>
        <v>99999</v>
      </c>
      <c r="B39873" s="1" t="str">
        <f>"81121"</f>
        <v>81121</v>
      </c>
      <c r="C39873" s="2">
        <v>1.2016958851984099E-5</v>
      </c>
      <c r="D39873" s="2">
        <v>0</v>
      </c>
      <c r="E39873" s="2">
        <v>4.3010567696482999E-5</v>
      </c>
      <c r="F39873" s="2">
        <v>1.19404917469492E-5</v>
      </c>
    </row>
    <row r="39874" spans="1:6" x14ac:dyDescent="0.25">
      <c r="A39874" s="1" t="str">
        <f t="shared" si="1426"/>
        <v>99999</v>
      </c>
      <c r="B39874" s="1" t="str">
        <f>"82221"</f>
        <v>82221</v>
      </c>
      <c r="C39874" s="2">
        <v>1.51565246781782E-5</v>
      </c>
      <c r="D39874" s="2">
        <v>3.01141779055288E-6</v>
      </c>
      <c r="E39874" s="2">
        <v>2.7526763325749098E-4</v>
      </c>
      <c r="F39874" s="2">
        <v>2.0328440494806002E-5</v>
      </c>
    </row>
    <row r="39875" spans="1:6" x14ac:dyDescent="0.25">
      <c r="A39875" s="1" t="str">
        <f t="shared" si="1426"/>
        <v>99999</v>
      </c>
      <c r="B39875" s="1" t="str">
        <f>"84764"</f>
        <v>84764</v>
      </c>
      <c r="C39875" s="2">
        <v>3.0313049356356498E-6</v>
      </c>
      <c r="D39875" s="2">
        <v>3.01141779055288E-5</v>
      </c>
      <c r="E39875" s="2">
        <v>4.3010567696482999E-6</v>
      </c>
      <c r="F39875" s="2">
        <v>4.8354057487645501E-6</v>
      </c>
    </row>
    <row r="39876" spans="1:6" x14ac:dyDescent="0.25">
      <c r="A39876" s="1" t="str">
        <f t="shared" si="1426"/>
        <v>99999</v>
      </c>
      <c r="B39876" s="1" t="str">
        <f>"84523"</f>
        <v>84523</v>
      </c>
      <c r="C39876" s="2">
        <v>1.7321742489346499E-6</v>
      </c>
      <c r="D39876" s="2">
        <v>9.0342533716586399E-5</v>
      </c>
      <c r="E39876" s="2">
        <v>0</v>
      </c>
      <c r="F39876" s="2">
        <v>7.4998129980837899E-6</v>
      </c>
    </row>
    <row r="39877" spans="1:6" x14ac:dyDescent="0.25">
      <c r="A39877" s="1" t="str">
        <f t="shared" si="1426"/>
        <v>99999</v>
      </c>
      <c r="B39877" s="1" t="str">
        <f>"87828"</f>
        <v>87828</v>
      </c>
      <c r="C39877" s="2">
        <v>1.8296090504372299E-5</v>
      </c>
      <c r="D39877" s="2">
        <v>4.5171266858293203E-6</v>
      </c>
      <c r="E39877" s="2">
        <v>4.3010567696482999E-6</v>
      </c>
      <c r="F39877" s="2">
        <v>1.7071942745638099E-5</v>
      </c>
    </row>
    <row r="39878" spans="1:6" x14ac:dyDescent="0.25">
      <c r="A39878" s="1" t="str">
        <f t="shared" ref="A39878:A39941" si="1427">"99999"</f>
        <v>99999</v>
      </c>
      <c r="B39878" s="1" t="str">
        <f>"93530"</f>
        <v>93530</v>
      </c>
      <c r="C39878" s="2">
        <v>1.62391335837624E-6</v>
      </c>
      <c r="D39878" s="2">
        <v>1.50570889527644E-6</v>
      </c>
      <c r="E39878" s="2">
        <v>0</v>
      </c>
      <c r="F39878" s="2">
        <v>1.5789079995965801E-6</v>
      </c>
    </row>
    <row r="39879" spans="1:6" x14ac:dyDescent="0.25">
      <c r="A39879" s="1" t="str">
        <f t="shared" si="1427"/>
        <v>99999</v>
      </c>
      <c r="B39879" s="1" t="str">
        <f>"95257"</f>
        <v>95257</v>
      </c>
      <c r="C39879" s="2">
        <v>1.5589568240411901E-5</v>
      </c>
      <c r="D39879" s="2">
        <v>0</v>
      </c>
      <c r="E39879" s="2">
        <v>4.3010567696482999E-6</v>
      </c>
      <c r="F39879" s="2">
        <v>1.4308853746344E-5</v>
      </c>
    </row>
    <row r="39880" spans="1:6" x14ac:dyDescent="0.25">
      <c r="A39880" s="1" t="str">
        <f t="shared" si="1427"/>
        <v>99999</v>
      </c>
      <c r="B39880" s="1" t="str">
        <f>"98829"</f>
        <v>98829</v>
      </c>
      <c r="C39880" s="2">
        <v>0</v>
      </c>
      <c r="D39880" s="2">
        <v>1.50570889527644E-6</v>
      </c>
      <c r="E39880" s="2">
        <v>6.9677119668302501E-4</v>
      </c>
      <c r="F39880" s="2">
        <v>1.60851252458902E-5</v>
      </c>
    </row>
    <row r="39881" spans="1:6" x14ac:dyDescent="0.25">
      <c r="A39881" s="1" t="str">
        <f t="shared" si="1427"/>
        <v>99999</v>
      </c>
      <c r="B39881" s="1" t="str">
        <f>"83870"</f>
        <v>83870</v>
      </c>
      <c r="C39881" s="2">
        <v>1.25582633047762E-5</v>
      </c>
      <c r="D39881" s="2">
        <v>4.5171266858293203E-6</v>
      </c>
      <c r="E39881" s="2">
        <v>1.63440157246635E-4</v>
      </c>
      <c r="F39881" s="2">
        <v>1.5493034746041499E-5</v>
      </c>
    </row>
    <row r="39882" spans="1:6" x14ac:dyDescent="0.25">
      <c r="A39882" s="1" t="str">
        <f t="shared" si="1427"/>
        <v>99999</v>
      </c>
      <c r="B39882" s="1" t="str">
        <f>"99746"</f>
        <v>99746</v>
      </c>
      <c r="C39882" s="2">
        <v>0</v>
      </c>
      <c r="D39882" s="2">
        <v>0</v>
      </c>
      <c r="E39882" s="2">
        <v>4.3010567696482999E-6</v>
      </c>
      <c r="F39882" s="2">
        <v>9.8681749974786797E-8</v>
      </c>
    </row>
    <row r="39883" spans="1:6" x14ac:dyDescent="0.25">
      <c r="A39883" s="1" t="str">
        <f t="shared" si="1427"/>
        <v>99999</v>
      </c>
      <c r="B39883" s="1" t="str">
        <f>"12046"</f>
        <v>12046</v>
      </c>
      <c r="C39883" s="2">
        <v>3.3560876073109E-6</v>
      </c>
      <c r="D39883" s="2">
        <v>0</v>
      </c>
      <c r="E39883" s="2">
        <v>0</v>
      </c>
      <c r="F39883" s="2">
        <v>3.0591342492183902E-6</v>
      </c>
    </row>
    <row r="39884" spans="1:6" x14ac:dyDescent="0.25">
      <c r="A39884" s="1" t="str">
        <f t="shared" si="1427"/>
        <v>99999</v>
      </c>
      <c r="B39884" s="1" t="str">
        <f>"29932"</f>
        <v>29932</v>
      </c>
      <c r="C39884" s="2">
        <v>1.42904375537109E-5</v>
      </c>
      <c r="D39884" s="2">
        <v>1.50570889527644E-5</v>
      </c>
      <c r="E39884" s="2">
        <v>0</v>
      </c>
      <c r="F39884" s="2">
        <v>1.4012808496419701E-5</v>
      </c>
    </row>
    <row r="39885" spans="1:6" x14ac:dyDescent="0.25">
      <c r="A39885" s="1" t="str">
        <f t="shared" si="1427"/>
        <v>99999</v>
      </c>
      <c r="B39885" s="1" t="str">
        <f>"36860"</f>
        <v>36860</v>
      </c>
      <c r="C39885" s="2">
        <v>1.14756543991921E-5</v>
      </c>
      <c r="D39885" s="2">
        <v>4.5171266858293203E-6</v>
      </c>
      <c r="E39885" s="2">
        <v>0</v>
      </c>
      <c r="F39885" s="2">
        <v>1.07563107472517E-5</v>
      </c>
    </row>
    <row r="39886" spans="1:6" x14ac:dyDescent="0.25">
      <c r="A39886" s="1" t="str">
        <f t="shared" si="1427"/>
        <v>99999</v>
      </c>
      <c r="B39886" s="1" t="str">
        <f>"41132"</f>
        <v>41132</v>
      </c>
      <c r="C39886" s="2">
        <v>2.49000048284357E-6</v>
      </c>
      <c r="D39886" s="2">
        <v>0</v>
      </c>
      <c r="E39886" s="2">
        <v>0</v>
      </c>
      <c r="F39886" s="2">
        <v>2.2696802494200901E-6</v>
      </c>
    </row>
    <row r="39887" spans="1:6" x14ac:dyDescent="0.25">
      <c r="A39887" s="1" t="str">
        <f t="shared" si="1427"/>
        <v>99999</v>
      </c>
      <c r="B39887" s="1" t="str">
        <f>"48032"</f>
        <v>48032</v>
      </c>
      <c r="C39887" s="2">
        <v>1.39656548820356E-5</v>
      </c>
      <c r="D39887" s="2">
        <v>6.0228355811057601E-6</v>
      </c>
      <c r="E39887" s="2">
        <v>0</v>
      </c>
      <c r="F39887" s="2">
        <v>1.31246727466466E-5</v>
      </c>
    </row>
    <row r="39888" spans="1:6" x14ac:dyDescent="0.25">
      <c r="A39888" s="1" t="str">
        <f t="shared" si="1427"/>
        <v>99999</v>
      </c>
      <c r="B39888" s="1" t="str">
        <f>"48849"</f>
        <v>48849</v>
      </c>
      <c r="C39888" s="2">
        <v>4.3196095332807998E-5</v>
      </c>
      <c r="D39888" s="2">
        <v>1.9574215638593701E-5</v>
      </c>
      <c r="E39888" s="2">
        <v>8.6021135392965999E-6</v>
      </c>
      <c r="F39888" s="2">
        <v>4.0854244489561699E-5</v>
      </c>
    </row>
    <row r="39889" spans="1:6" x14ac:dyDescent="0.25">
      <c r="A39889" s="1" t="str">
        <f t="shared" si="1427"/>
        <v>99999</v>
      </c>
      <c r="B39889" s="1" t="str">
        <f>"48743"</f>
        <v>48743</v>
      </c>
      <c r="C39889" s="2">
        <v>4.5469574034534697E-6</v>
      </c>
      <c r="D39889" s="2">
        <v>3.01141779055288E-6</v>
      </c>
      <c r="E39889" s="2">
        <v>0</v>
      </c>
      <c r="F39889" s="2">
        <v>4.3419969988906098E-6</v>
      </c>
    </row>
    <row r="39890" spans="1:6" x14ac:dyDescent="0.25">
      <c r="A39890" s="1" t="str">
        <f t="shared" si="1427"/>
        <v>99999</v>
      </c>
      <c r="B39890" s="1" t="str">
        <f>"57232"</f>
        <v>57232</v>
      </c>
      <c r="C39890" s="2">
        <v>2.0028264753306899E-5</v>
      </c>
      <c r="D39890" s="2">
        <v>6.0228355811057601E-6</v>
      </c>
      <c r="E39890" s="2">
        <v>4.3010567696482999E-6</v>
      </c>
      <c r="F39890" s="2">
        <v>1.8749532495209401E-5</v>
      </c>
    </row>
    <row r="39891" spans="1:6" x14ac:dyDescent="0.25">
      <c r="A39891" s="1" t="str">
        <f t="shared" si="1427"/>
        <v>99999</v>
      </c>
      <c r="B39891" s="1" t="str">
        <f>"57339"</f>
        <v>57339</v>
      </c>
      <c r="C39891" s="2">
        <v>4.2221747317782301E-6</v>
      </c>
      <c r="D39891" s="2">
        <v>3.01141779055288E-6</v>
      </c>
      <c r="E39891" s="2">
        <v>4.3010567696482999E-6</v>
      </c>
      <c r="F39891" s="2">
        <v>4.1446334989410403E-6</v>
      </c>
    </row>
    <row r="39892" spans="1:6" x14ac:dyDescent="0.25">
      <c r="A39892" s="1" t="str">
        <f t="shared" si="1427"/>
        <v>99999</v>
      </c>
      <c r="B39892" s="1" t="str">
        <f>"56449"</f>
        <v>56449</v>
      </c>
      <c r="C39892" s="2">
        <v>1.8079568723255499E-5</v>
      </c>
      <c r="D39892" s="2">
        <v>1.50570889527644E-6</v>
      </c>
      <c r="E39892" s="2">
        <v>0</v>
      </c>
      <c r="F39892" s="2">
        <v>1.65785339957641E-5</v>
      </c>
    </row>
    <row r="39893" spans="1:6" x14ac:dyDescent="0.25">
      <c r="A39893" s="1" t="str">
        <f t="shared" si="1427"/>
        <v>99999</v>
      </c>
      <c r="B39893" s="1" t="str">
        <f>"57520"</f>
        <v>57520</v>
      </c>
      <c r="C39893" s="2">
        <v>1.0284784603049499E-5</v>
      </c>
      <c r="D39893" s="2">
        <v>4.5171266858293203E-6</v>
      </c>
      <c r="E39893" s="2">
        <v>4.3010567696482999E-6</v>
      </c>
      <c r="F39893" s="2">
        <v>9.7694932475038906E-6</v>
      </c>
    </row>
    <row r="39894" spans="1:6" x14ac:dyDescent="0.25">
      <c r="A39894" s="1" t="str">
        <f t="shared" si="1427"/>
        <v>99999</v>
      </c>
      <c r="B39894" s="1" t="str">
        <f>"58581"</f>
        <v>58581</v>
      </c>
      <c r="C39894" s="2">
        <v>9.96000193137428E-6</v>
      </c>
      <c r="D39894" s="2">
        <v>3.01141779055288E-6</v>
      </c>
      <c r="E39894" s="2">
        <v>4.3010567696482999E-6</v>
      </c>
      <c r="F39894" s="2">
        <v>9.3747662476047397E-6</v>
      </c>
    </row>
    <row r="39895" spans="1:6" x14ac:dyDescent="0.25">
      <c r="A39895" s="1" t="str">
        <f t="shared" si="1427"/>
        <v>99999</v>
      </c>
      <c r="B39895" s="1" t="str">
        <f>"59333"</f>
        <v>59333</v>
      </c>
      <c r="C39895" s="2">
        <v>2.8147831545188202E-6</v>
      </c>
      <c r="D39895" s="2">
        <v>0</v>
      </c>
      <c r="E39895" s="2">
        <v>4.3010567696482999E-6</v>
      </c>
      <c r="F39895" s="2">
        <v>2.6644072493192401E-6</v>
      </c>
    </row>
    <row r="39896" spans="1:6" x14ac:dyDescent="0.25">
      <c r="A39896" s="1" t="str">
        <f t="shared" si="1427"/>
        <v>99999</v>
      </c>
      <c r="B39896" s="1" t="str">
        <f>"59242"</f>
        <v>59242</v>
      </c>
      <c r="C39896" s="2">
        <v>7.0369578862970498E-6</v>
      </c>
      <c r="D39896" s="2">
        <v>0</v>
      </c>
      <c r="E39896" s="2">
        <v>4.3010567696482999E-6</v>
      </c>
      <c r="F39896" s="2">
        <v>6.5129954983359203E-6</v>
      </c>
    </row>
    <row r="39897" spans="1:6" x14ac:dyDescent="0.25">
      <c r="A39897" s="1" t="str">
        <f t="shared" si="1427"/>
        <v>99999</v>
      </c>
      <c r="B39897" s="1" t="str">
        <f>"67036"</f>
        <v>67036</v>
      </c>
      <c r="C39897" s="2">
        <v>6.49565343350497E-6</v>
      </c>
      <c r="D39897" s="2">
        <v>1.50570889527644E-6</v>
      </c>
      <c r="E39897" s="2">
        <v>4.3010567696482999E-6</v>
      </c>
      <c r="F39897" s="2">
        <v>6.1182684984367804E-6</v>
      </c>
    </row>
    <row r="39898" spans="1:6" x14ac:dyDescent="0.25">
      <c r="A39898" s="1" t="str">
        <f t="shared" si="1427"/>
        <v>99999</v>
      </c>
      <c r="B39898" s="1" t="str">
        <f>"66955"</f>
        <v>66955</v>
      </c>
      <c r="C39898" s="2">
        <v>1.08260890558416E-5</v>
      </c>
      <c r="D39898" s="2">
        <v>1.50570889527644E-6</v>
      </c>
      <c r="E39898" s="2">
        <v>6.8816908314372799E-5</v>
      </c>
      <c r="F39898" s="2">
        <v>1.154576474705E-5</v>
      </c>
    </row>
    <row r="39899" spans="1:6" x14ac:dyDescent="0.25">
      <c r="A39899" s="1" t="str">
        <f t="shared" si="1427"/>
        <v>99999</v>
      </c>
      <c r="B39899" s="1" t="str">
        <f>"65669"</f>
        <v>65669</v>
      </c>
      <c r="C39899" s="2">
        <v>1.2991306867009899E-5</v>
      </c>
      <c r="D39899" s="2">
        <v>0</v>
      </c>
      <c r="E39899" s="2">
        <v>4.3010567696482999E-6</v>
      </c>
      <c r="F39899" s="2">
        <v>1.19404917469492E-5</v>
      </c>
    </row>
    <row r="39900" spans="1:6" x14ac:dyDescent="0.25">
      <c r="A39900" s="1" t="str">
        <f t="shared" si="1427"/>
        <v>99999</v>
      </c>
      <c r="B39900" s="1" t="str">
        <f>"65626"</f>
        <v>65626</v>
      </c>
      <c r="C39900" s="2">
        <v>3.8757398819912901E-5</v>
      </c>
      <c r="D39900" s="2">
        <v>9.0342533716586405E-6</v>
      </c>
      <c r="E39900" s="2">
        <v>0</v>
      </c>
      <c r="F39900" s="2">
        <v>3.5920156990822301E-5</v>
      </c>
    </row>
    <row r="39901" spans="1:6" x14ac:dyDescent="0.25">
      <c r="A39901" s="1" t="str">
        <f t="shared" si="1427"/>
        <v>99999</v>
      </c>
      <c r="B39901" s="1" t="str">
        <f>"65738"</f>
        <v>65738</v>
      </c>
      <c r="C39901" s="2">
        <v>1.7321742489346499E-6</v>
      </c>
      <c r="D39901" s="2">
        <v>0</v>
      </c>
      <c r="E39901" s="2">
        <v>0</v>
      </c>
      <c r="F39901" s="2">
        <v>1.5789079995965801E-6</v>
      </c>
    </row>
    <row r="39902" spans="1:6" x14ac:dyDescent="0.25">
      <c r="A39902" s="1" t="str">
        <f t="shared" si="1427"/>
        <v>99999</v>
      </c>
      <c r="B39902" s="1" t="str">
        <f>"69046"</f>
        <v>69046</v>
      </c>
      <c r="C39902" s="2">
        <v>1.34243504292436E-5</v>
      </c>
      <c r="D39902" s="2">
        <v>0</v>
      </c>
      <c r="E39902" s="2">
        <v>4.3010567696482999E-6</v>
      </c>
      <c r="F39902" s="2">
        <v>1.23352187468483E-5</v>
      </c>
    </row>
    <row r="39903" spans="1:6" x14ac:dyDescent="0.25">
      <c r="A39903" s="1" t="str">
        <f t="shared" si="1427"/>
        <v>99999</v>
      </c>
      <c r="B39903" s="1" t="str">
        <f>"68923"</f>
        <v>68923</v>
      </c>
      <c r="C39903" s="2">
        <v>6.49565343350497E-6</v>
      </c>
      <c r="D39903" s="2">
        <v>1.50570889527644E-6</v>
      </c>
      <c r="E39903" s="2">
        <v>4.3010567696482999E-6</v>
      </c>
      <c r="F39903" s="2">
        <v>6.1182684984367804E-6</v>
      </c>
    </row>
    <row r="39904" spans="1:6" x14ac:dyDescent="0.25">
      <c r="A39904" s="1" t="str">
        <f t="shared" si="1427"/>
        <v>99999</v>
      </c>
      <c r="B39904" s="1" t="str">
        <f>"68854"</f>
        <v>68854</v>
      </c>
      <c r="C39904" s="2">
        <v>4.4495226019509003E-5</v>
      </c>
      <c r="D39904" s="2">
        <v>3.6137013486634501E-5</v>
      </c>
      <c r="E39904" s="2">
        <v>0</v>
      </c>
      <c r="F39904" s="2">
        <v>4.29265612390322E-5</v>
      </c>
    </row>
    <row r="39905" spans="1:6" x14ac:dyDescent="0.25">
      <c r="A39905" s="1" t="str">
        <f t="shared" si="1427"/>
        <v>99999</v>
      </c>
      <c r="B39905" s="1" t="str">
        <f>"68932"</f>
        <v>68932</v>
      </c>
      <c r="C39905" s="2">
        <v>1.15839152897505E-5</v>
      </c>
      <c r="D39905" s="2">
        <v>6.0228355811057601E-6</v>
      </c>
      <c r="E39905" s="2">
        <v>4.3010567696482999E-6</v>
      </c>
      <c r="F39905" s="2">
        <v>1.10523559971761E-5</v>
      </c>
    </row>
    <row r="39906" spans="1:6" x14ac:dyDescent="0.25">
      <c r="A39906" s="1" t="str">
        <f t="shared" si="1427"/>
        <v>99999</v>
      </c>
      <c r="B39906" s="1" t="str">
        <f>"68755"</f>
        <v>68755</v>
      </c>
      <c r="C39906" s="2">
        <v>1.7321742489346501E-5</v>
      </c>
      <c r="D39906" s="2">
        <v>3.01141779055288E-6</v>
      </c>
      <c r="E39906" s="2">
        <v>0</v>
      </c>
      <c r="F39906" s="2">
        <v>1.5986443495915399E-5</v>
      </c>
    </row>
    <row r="39907" spans="1:6" x14ac:dyDescent="0.25">
      <c r="A39907" s="1" t="str">
        <f t="shared" si="1427"/>
        <v>99999</v>
      </c>
      <c r="B39907" s="1" t="str">
        <f>"68828"</f>
        <v>68828</v>
      </c>
      <c r="C39907" s="2">
        <v>1.69969598176713E-5</v>
      </c>
      <c r="D39907" s="2">
        <v>1.50570889527644E-6</v>
      </c>
      <c r="E39907" s="2">
        <v>4.3010567696482999E-6</v>
      </c>
      <c r="F39907" s="2">
        <v>1.56903982459911E-5</v>
      </c>
    </row>
    <row r="39908" spans="1:6" x14ac:dyDescent="0.25">
      <c r="A39908" s="1" t="str">
        <f t="shared" si="1427"/>
        <v>99999</v>
      </c>
      <c r="B39908" s="1" t="str">
        <f>"72140"</f>
        <v>72140</v>
      </c>
      <c r="C39908" s="2">
        <v>3.8973920601029803E-6</v>
      </c>
      <c r="D39908" s="2">
        <v>3.01141779055288E-6</v>
      </c>
      <c r="E39908" s="2">
        <v>4.3010567696482999E-6</v>
      </c>
      <c r="F39908" s="2">
        <v>3.8485882490166797E-6</v>
      </c>
    </row>
    <row r="39909" spans="1:6" x14ac:dyDescent="0.25">
      <c r="A39909" s="1" t="str">
        <f t="shared" si="1427"/>
        <v>99999</v>
      </c>
      <c r="B39909" s="1" t="str">
        <f>"72469"</f>
        <v>72469</v>
      </c>
      <c r="C39909" s="2">
        <v>5.2614792811390202E-5</v>
      </c>
      <c r="D39909" s="2">
        <v>1.65627978480408E-5</v>
      </c>
      <c r="E39909" s="2">
        <v>8.6021135392965999E-6</v>
      </c>
      <c r="F39909" s="2">
        <v>4.92421932374186E-5</v>
      </c>
    </row>
    <row r="39910" spans="1:6" x14ac:dyDescent="0.25">
      <c r="A39910" s="1" t="str">
        <f t="shared" si="1427"/>
        <v>99999</v>
      </c>
      <c r="B39910" s="1" t="str">
        <f>"72660"</f>
        <v>72660</v>
      </c>
      <c r="C39910" s="2">
        <v>2.5224787500110899E-5</v>
      </c>
      <c r="D39910" s="2">
        <v>2.4091342324423E-5</v>
      </c>
      <c r="E39910" s="2">
        <v>4.3010567696482999E-6</v>
      </c>
      <c r="F39910" s="2">
        <v>2.4670437493696699E-5</v>
      </c>
    </row>
    <row r="39911" spans="1:6" x14ac:dyDescent="0.25">
      <c r="A39911" s="1" t="str">
        <f t="shared" si="1427"/>
        <v>99999</v>
      </c>
      <c r="B39911" s="1" t="str">
        <f>"72320"</f>
        <v>72320</v>
      </c>
      <c r="C39911" s="2">
        <v>8.7691321352316998E-6</v>
      </c>
      <c r="D39911" s="2">
        <v>6.0228355811057601E-6</v>
      </c>
      <c r="E39911" s="2">
        <v>4.3010567696482999E-6</v>
      </c>
      <c r="F39911" s="2">
        <v>8.4866304978316595E-6</v>
      </c>
    </row>
    <row r="39912" spans="1:6" x14ac:dyDescent="0.25">
      <c r="A39912" s="1" t="str">
        <f t="shared" si="1427"/>
        <v>99999</v>
      </c>
      <c r="B39912" s="1" t="str">
        <f>"71115"</f>
        <v>71115</v>
      </c>
      <c r="C39912" s="2">
        <v>7.7947841202059606E-6</v>
      </c>
      <c r="D39912" s="2">
        <v>1.80685067433172E-5</v>
      </c>
      <c r="E39912" s="2">
        <v>0</v>
      </c>
      <c r="F39912" s="2">
        <v>8.2892669978820908E-6</v>
      </c>
    </row>
    <row r="39913" spans="1:6" x14ac:dyDescent="0.25">
      <c r="A39913" s="1" t="str">
        <f t="shared" si="1427"/>
        <v>99999</v>
      </c>
      <c r="B39913" s="1" t="str">
        <f>"73601"</f>
        <v>73601</v>
      </c>
      <c r="C39913" s="2">
        <v>2.85808751074218E-5</v>
      </c>
      <c r="D39913" s="2">
        <v>2.25856334291466E-5</v>
      </c>
      <c r="E39913" s="2">
        <v>8.6021135392965999E-6</v>
      </c>
      <c r="F39913" s="2">
        <v>2.7729571742915E-5</v>
      </c>
    </row>
    <row r="39914" spans="1:6" x14ac:dyDescent="0.25">
      <c r="A39914" s="1" t="str">
        <f t="shared" si="1427"/>
        <v>99999</v>
      </c>
      <c r="B39914" s="1" t="str">
        <f>"73569"</f>
        <v>73569</v>
      </c>
      <c r="C39914" s="2">
        <v>2.1868699892800001E-5</v>
      </c>
      <c r="D39914" s="2">
        <v>2.55970512196994E-5</v>
      </c>
      <c r="E39914" s="2">
        <v>4.3010567696482999E-6</v>
      </c>
      <c r="F39914" s="2">
        <v>2.1709984994453001E-5</v>
      </c>
    </row>
    <row r="39915" spans="1:6" x14ac:dyDescent="0.25">
      <c r="A39915" s="1" t="str">
        <f t="shared" si="1427"/>
        <v>99999</v>
      </c>
      <c r="B39915" s="1" t="str">
        <f>"73744"</f>
        <v>73744</v>
      </c>
      <c r="C39915" s="2">
        <v>2.0028264753306899E-5</v>
      </c>
      <c r="D39915" s="2">
        <v>4.5171266858293203E-6</v>
      </c>
      <c r="E39915" s="2">
        <v>4.3010567696482999E-6</v>
      </c>
      <c r="F39915" s="2">
        <v>1.8650850745234699E-5</v>
      </c>
    </row>
    <row r="39916" spans="1:6" x14ac:dyDescent="0.25">
      <c r="A39916" s="1" t="str">
        <f t="shared" si="1427"/>
        <v>99999</v>
      </c>
      <c r="B39916" s="1" t="str">
        <f>"74521"</f>
        <v>74521</v>
      </c>
      <c r="C39916" s="2">
        <v>4.5469574034534697E-6</v>
      </c>
      <c r="D39916" s="2">
        <v>0</v>
      </c>
      <c r="E39916" s="2">
        <v>4.3010567696482999E-6</v>
      </c>
      <c r="F39916" s="2">
        <v>4.2433152489158297E-6</v>
      </c>
    </row>
    <row r="39917" spans="1:6" x14ac:dyDescent="0.25">
      <c r="A39917" s="1" t="str">
        <f t="shared" si="1427"/>
        <v>99999</v>
      </c>
      <c r="B39917" s="1" t="str">
        <f>"74949"</f>
        <v>74949</v>
      </c>
      <c r="C39917" s="2">
        <v>9.7434801502574508E-6</v>
      </c>
      <c r="D39917" s="2">
        <v>1.50570889527644E-6</v>
      </c>
      <c r="E39917" s="2">
        <v>4.3010567696482999E-6</v>
      </c>
      <c r="F39917" s="2">
        <v>9.0787209976803807E-6</v>
      </c>
    </row>
    <row r="39918" spans="1:6" x14ac:dyDescent="0.25">
      <c r="A39918" s="1" t="str">
        <f t="shared" si="1427"/>
        <v>99999</v>
      </c>
      <c r="B39918" s="1" t="str">
        <f>"74755"</f>
        <v>74755</v>
      </c>
      <c r="C39918" s="2">
        <v>1.40739157725941E-5</v>
      </c>
      <c r="D39918" s="2">
        <v>1.50570889527644E-6</v>
      </c>
      <c r="E39918" s="2">
        <v>4.3010567696482999E-6</v>
      </c>
      <c r="F39918" s="2">
        <v>1.30259909966718E-5</v>
      </c>
    </row>
    <row r="39919" spans="1:6" x14ac:dyDescent="0.25">
      <c r="A39919" s="1" t="str">
        <f t="shared" si="1427"/>
        <v>99999</v>
      </c>
      <c r="B39919" s="1" t="str">
        <f>"74825"</f>
        <v>74825</v>
      </c>
      <c r="C39919" s="2">
        <v>2.5333048390669299E-5</v>
      </c>
      <c r="D39919" s="2">
        <v>4.5171266858293203E-6</v>
      </c>
      <c r="E39919" s="2">
        <v>0</v>
      </c>
      <c r="F39919" s="2">
        <v>2.3387574744024402E-5</v>
      </c>
    </row>
    <row r="39920" spans="1:6" x14ac:dyDescent="0.25">
      <c r="A39920" s="1" t="str">
        <f t="shared" si="1427"/>
        <v>99999</v>
      </c>
      <c r="B39920" s="1" t="str">
        <f>"75451"</f>
        <v>75451</v>
      </c>
      <c r="C39920" s="2">
        <v>1.84043513949307E-6</v>
      </c>
      <c r="D39920" s="2">
        <v>0</v>
      </c>
      <c r="E39920" s="2">
        <v>0</v>
      </c>
      <c r="F39920" s="2">
        <v>1.6775897495713699E-6</v>
      </c>
    </row>
    <row r="39921" spans="1:6" x14ac:dyDescent="0.25">
      <c r="A39921" s="1" t="str">
        <f t="shared" si="1427"/>
        <v>99999</v>
      </c>
      <c r="B39921" s="1" t="str">
        <f>"76491"</f>
        <v>76491</v>
      </c>
      <c r="C39921" s="2">
        <v>1.9595221191073298E-5</v>
      </c>
      <c r="D39921" s="2">
        <v>0</v>
      </c>
      <c r="E39921" s="2">
        <v>4.3010567696482999E-6</v>
      </c>
      <c r="F39921" s="2">
        <v>1.79600784954111E-5</v>
      </c>
    </row>
    <row r="39922" spans="1:6" x14ac:dyDescent="0.25">
      <c r="A39922" s="1" t="str">
        <f t="shared" si="1427"/>
        <v>99999</v>
      </c>
      <c r="B39922" s="1" t="str">
        <f>"76261"</f>
        <v>76261</v>
      </c>
      <c r="C39922" s="2">
        <v>1.25582633047762E-5</v>
      </c>
      <c r="D39922" s="2">
        <v>3.01141779055288E-6</v>
      </c>
      <c r="E39922" s="2">
        <v>0</v>
      </c>
      <c r="F39922" s="2">
        <v>1.1644446497024801E-5</v>
      </c>
    </row>
    <row r="39923" spans="1:6" x14ac:dyDescent="0.25">
      <c r="A39923" s="1" t="str">
        <f t="shared" si="1427"/>
        <v>99999</v>
      </c>
      <c r="B39923" s="1" t="str">
        <f>"76631"</f>
        <v>76631</v>
      </c>
      <c r="C39923" s="2">
        <v>2.21934825644753E-5</v>
      </c>
      <c r="D39923" s="2">
        <v>0</v>
      </c>
      <c r="E39923" s="2">
        <v>4.3010567696482999E-6</v>
      </c>
      <c r="F39923" s="2">
        <v>2.0328440494806002E-5</v>
      </c>
    </row>
    <row r="39924" spans="1:6" x14ac:dyDescent="0.25">
      <c r="A39924" s="1" t="str">
        <f t="shared" si="1427"/>
        <v>99999</v>
      </c>
      <c r="B39924" s="1" t="str">
        <f>"81243"</f>
        <v>81243</v>
      </c>
      <c r="C39924" s="2">
        <v>1.8079568723255499E-5</v>
      </c>
      <c r="D39924" s="2">
        <v>9.0342533716586405E-6</v>
      </c>
      <c r="E39924" s="2">
        <v>0</v>
      </c>
      <c r="F39924" s="2">
        <v>1.7071942745638099E-5</v>
      </c>
    </row>
    <row r="39925" spans="1:6" x14ac:dyDescent="0.25">
      <c r="A39925" s="1" t="str">
        <f t="shared" si="1427"/>
        <v>99999</v>
      </c>
      <c r="B39925" s="1" t="str">
        <f>"81225"</f>
        <v>81225</v>
      </c>
      <c r="C39925" s="2">
        <v>8.6608712446732898E-7</v>
      </c>
      <c r="D39925" s="2">
        <v>0</v>
      </c>
      <c r="E39925" s="2">
        <v>0</v>
      </c>
      <c r="F39925" s="2">
        <v>7.8945399979829395E-7</v>
      </c>
    </row>
    <row r="39926" spans="1:6" x14ac:dyDescent="0.25">
      <c r="A39926" s="1" t="str">
        <f t="shared" si="1427"/>
        <v>99999</v>
      </c>
      <c r="B39926" s="1" t="str">
        <f>"81040"</f>
        <v>81040</v>
      </c>
      <c r="C39926" s="2">
        <v>2.4791743937877301E-5</v>
      </c>
      <c r="D39926" s="2">
        <v>1.35513800574879E-5</v>
      </c>
      <c r="E39926" s="2">
        <v>0</v>
      </c>
      <c r="F39926" s="2">
        <v>2.3486256493999199E-5</v>
      </c>
    </row>
    <row r="39927" spans="1:6" x14ac:dyDescent="0.25">
      <c r="A39927" s="1" t="str">
        <f t="shared" si="1427"/>
        <v>99999</v>
      </c>
      <c r="B39927" s="1" t="str">
        <f>"82321"</f>
        <v>82321</v>
      </c>
      <c r="C39927" s="2">
        <v>1.6455655364879201E-5</v>
      </c>
      <c r="D39927" s="2">
        <v>0</v>
      </c>
      <c r="E39927" s="2">
        <v>4.3010567696482999E-6</v>
      </c>
      <c r="F39927" s="2">
        <v>1.5098307746142301E-5</v>
      </c>
    </row>
    <row r="39928" spans="1:6" x14ac:dyDescent="0.25">
      <c r="A39928" s="1" t="str">
        <f t="shared" si="1427"/>
        <v>99999</v>
      </c>
      <c r="B39928" s="1" t="str">
        <f>"84739"</f>
        <v>84739</v>
      </c>
      <c r="C39928" s="2">
        <v>2.2518265236150501E-5</v>
      </c>
      <c r="D39928" s="2">
        <v>6.0228355811057601E-6</v>
      </c>
      <c r="E39928" s="2">
        <v>1.5053698693768999E-4</v>
      </c>
      <c r="F39928" s="2">
        <v>2.4374392243772301E-5</v>
      </c>
    </row>
    <row r="39929" spans="1:6" x14ac:dyDescent="0.25">
      <c r="A39929" s="1" t="str">
        <f t="shared" si="1427"/>
        <v>99999</v>
      </c>
      <c r="B39929" s="1" t="str">
        <f>"93513"</f>
        <v>93513</v>
      </c>
      <c r="C39929" s="2">
        <v>6.2358272961647698E-5</v>
      </c>
      <c r="D39929" s="2">
        <v>1.50570889527644E-5</v>
      </c>
      <c r="E39929" s="2">
        <v>2.58063406178898E-5</v>
      </c>
      <c r="F39929" s="2">
        <v>5.8419595985073702E-5</v>
      </c>
    </row>
    <row r="39930" spans="1:6" x14ac:dyDescent="0.25">
      <c r="A39930" s="1" t="str">
        <f t="shared" si="1427"/>
        <v>99999</v>
      </c>
      <c r="B39930" s="1" t="str">
        <f>"96034"</f>
        <v>96034</v>
      </c>
      <c r="C39930" s="2">
        <v>5.0882618562455504E-6</v>
      </c>
      <c r="D39930" s="2">
        <v>1.50570889527644E-6</v>
      </c>
      <c r="E39930" s="2">
        <v>0</v>
      </c>
      <c r="F39930" s="2">
        <v>4.7367239987897599E-6</v>
      </c>
    </row>
    <row r="39931" spans="1:6" x14ac:dyDescent="0.25">
      <c r="A39931" s="1" t="str">
        <f t="shared" si="1427"/>
        <v>99999</v>
      </c>
      <c r="B39931" s="1" t="str">
        <f>"97147"</f>
        <v>97147</v>
      </c>
      <c r="C39931" s="2">
        <v>2.86891359979802E-5</v>
      </c>
      <c r="D39931" s="2">
        <v>0</v>
      </c>
      <c r="E39931" s="2">
        <v>4.3010567696482999E-6</v>
      </c>
      <c r="F39931" s="2">
        <v>2.6249345493293201E-5</v>
      </c>
    </row>
    <row r="39932" spans="1:6" x14ac:dyDescent="0.25">
      <c r="A39932" s="1" t="str">
        <f t="shared" si="1427"/>
        <v>99999</v>
      </c>
      <c r="B39932" s="1" t="str">
        <f>"98647"</f>
        <v>98647</v>
      </c>
      <c r="C39932" s="2">
        <v>4.3953921566716897E-5</v>
      </c>
      <c r="D39932" s="2">
        <v>3.01141779055288E-6</v>
      </c>
      <c r="E39932" s="2">
        <v>2.15052838482415E-5</v>
      </c>
      <c r="F39932" s="2">
        <v>4.0755562739586902E-5</v>
      </c>
    </row>
    <row r="39933" spans="1:6" x14ac:dyDescent="0.25">
      <c r="A39933" s="1" t="str">
        <f t="shared" si="1427"/>
        <v>99999</v>
      </c>
      <c r="B39933" s="1" t="str">
        <f>"83525"</f>
        <v>83525</v>
      </c>
      <c r="C39933" s="2">
        <v>1.2125219742542599E-5</v>
      </c>
      <c r="D39933" s="2">
        <v>1.65627978480408E-5</v>
      </c>
      <c r="E39933" s="2">
        <v>4.6451413112201599E-4</v>
      </c>
      <c r="F39933" s="2">
        <v>2.2795484244175701E-5</v>
      </c>
    </row>
    <row r="39934" spans="1:6" x14ac:dyDescent="0.25">
      <c r="A39934" s="1" t="str">
        <f t="shared" si="1427"/>
        <v>99999</v>
      </c>
      <c r="B39934" s="1" t="str">
        <f>"98222"</f>
        <v>98222</v>
      </c>
      <c r="C39934" s="2">
        <v>2.2734787017267301E-5</v>
      </c>
      <c r="D39934" s="2">
        <v>7.5285444763821999E-6</v>
      </c>
      <c r="E39934" s="2">
        <v>1.72042270785932E-5</v>
      </c>
      <c r="F39934" s="2">
        <v>2.1611303244478299E-5</v>
      </c>
    </row>
    <row r="39935" spans="1:6" x14ac:dyDescent="0.25">
      <c r="A39935" s="1" t="str">
        <f t="shared" si="1427"/>
        <v>99999</v>
      </c>
      <c r="B39935" s="1" t="str">
        <f>"99664"</f>
        <v>99664</v>
      </c>
      <c r="C39935" s="2">
        <v>3.45352240881347E-5</v>
      </c>
      <c r="D39935" s="2">
        <v>6.1734064706334002E-5</v>
      </c>
      <c r="E39935" s="2">
        <v>5.1612681235779599E-5</v>
      </c>
      <c r="F39935" s="2">
        <v>3.6709610990620603E-5</v>
      </c>
    </row>
    <row r="39936" spans="1:6" x14ac:dyDescent="0.25">
      <c r="A39936" s="1" t="str">
        <f t="shared" si="1427"/>
        <v>99999</v>
      </c>
      <c r="B39936" s="1" t="str">
        <f>"00850"</f>
        <v>00850</v>
      </c>
      <c r="C39936" s="2">
        <v>1.4636872403497799E-4</v>
      </c>
      <c r="D39936" s="2">
        <v>3.3426737475136901E-4</v>
      </c>
      <c r="E39936" s="2">
        <v>2.15052838482415E-5</v>
      </c>
      <c r="F39936" s="2">
        <v>1.5581848321018801E-4</v>
      </c>
    </row>
    <row r="39937" spans="1:6" x14ac:dyDescent="0.25">
      <c r="A39937" s="1" t="str">
        <f t="shared" si="1427"/>
        <v>99999</v>
      </c>
      <c r="B39937" s="1" t="str">
        <f>"03817"</f>
        <v>03817</v>
      </c>
      <c r="C39937" s="2">
        <v>1.5806090021528701E-5</v>
      </c>
      <c r="D39937" s="2">
        <v>1.50570889527644E-5</v>
      </c>
      <c r="E39937" s="2">
        <v>3.01073973875381E-5</v>
      </c>
      <c r="F39937" s="2">
        <v>1.60851252458902E-5</v>
      </c>
    </row>
    <row r="39938" spans="1:6" x14ac:dyDescent="0.25">
      <c r="A39938" s="1" t="str">
        <f t="shared" si="1427"/>
        <v>99999</v>
      </c>
      <c r="B39938" s="1" t="str">
        <f>"03850"</f>
        <v>03850</v>
      </c>
      <c r="C39938" s="2">
        <v>1.08260890558416E-7</v>
      </c>
      <c r="D39938" s="2">
        <v>0</v>
      </c>
      <c r="E39938" s="2">
        <v>4.3010567696482999E-6</v>
      </c>
      <c r="F39938" s="2">
        <v>1.9736349994957301E-7</v>
      </c>
    </row>
    <row r="39939" spans="1:6" x14ac:dyDescent="0.25">
      <c r="A39939" s="1" t="str">
        <f t="shared" si="1427"/>
        <v>99999</v>
      </c>
      <c r="B39939" s="1" t="str">
        <f>"12434"</f>
        <v>12434</v>
      </c>
      <c r="C39939" s="2">
        <v>7.6865232296475401E-6</v>
      </c>
      <c r="D39939" s="2">
        <v>1.50570889527644E-6</v>
      </c>
      <c r="E39939" s="2">
        <v>2.58063406178898E-5</v>
      </c>
      <c r="F39939" s="2">
        <v>7.6971764980333696E-6</v>
      </c>
    </row>
    <row r="39940" spans="1:6" x14ac:dyDescent="0.25">
      <c r="A39940" s="1" t="str">
        <f t="shared" si="1427"/>
        <v>99999</v>
      </c>
      <c r="B39940" s="1" t="str">
        <f>"12108"</f>
        <v>12108</v>
      </c>
      <c r="C39940" s="2">
        <v>3.1287397371382199E-5</v>
      </c>
      <c r="D39940" s="2">
        <v>6.0228355811057601E-6</v>
      </c>
      <c r="E39940" s="2">
        <v>4.3010567696482999E-6</v>
      </c>
      <c r="F39940" s="2">
        <v>2.9012434492587301E-5</v>
      </c>
    </row>
    <row r="39941" spans="1:6" x14ac:dyDescent="0.25">
      <c r="A39941" s="1" t="str">
        <f t="shared" si="1427"/>
        <v>99999</v>
      </c>
      <c r="B39941" s="1" t="str">
        <f>"12864"</f>
        <v>12864</v>
      </c>
      <c r="C39941" s="2">
        <v>5.5213054184792198E-6</v>
      </c>
      <c r="D39941" s="2">
        <v>0</v>
      </c>
      <c r="E39941" s="2">
        <v>4.3010567696482999E-6</v>
      </c>
      <c r="F39941" s="2">
        <v>5.1314509986889099E-6</v>
      </c>
    </row>
    <row r="39942" spans="1:6" x14ac:dyDescent="0.25">
      <c r="A39942" s="1" t="str">
        <f t="shared" ref="A39942:A40005" si="1428">"99999"</f>
        <v>99999</v>
      </c>
      <c r="B39942" s="1" t="str">
        <f>"13473"</f>
        <v>13473</v>
      </c>
      <c r="C39942" s="2">
        <v>2.6740439967928698E-5</v>
      </c>
      <c r="D39942" s="2">
        <v>1.0539962266935E-5</v>
      </c>
      <c r="E39942" s="2">
        <v>4.3010567696482999E-6</v>
      </c>
      <c r="F39942" s="2">
        <v>2.5163846243570599E-5</v>
      </c>
    </row>
    <row r="39943" spans="1:6" x14ac:dyDescent="0.25">
      <c r="A39943" s="1" t="str">
        <f t="shared" si="1428"/>
        <v>99999</v>
      </c>
      <c r="B39943" s="1" t="str">
        <f>"16217"</f>
        <v>16217</v>
      </c>
      <c r="C39943" s="2">
        <v>7.2534796674138799E-6</v>
      </c>
      <c r="D39943" s="2">
        <v>1.0539962266935E-5</v>
      </c>
      <c r="E39943" s="2">
        <v>4.3010567696482999E-6</v>
      </c>
      <c r="F39943" s="2">
        <v>7.4011312481090098E-6</v>
      </c>
    </row>
    <row r="39944" spans="1:6" x14ac:dyDescent="0.25">
      <c r="A39944" s="1" t="str">
        <f t="shared" si="1428"/>
        <v>99999</v>
      </c>
      <c r="B39944" s="1" t="str">
        <f>"16222"</f>
        <v>16222</v>
      </c>
      <c r="C39944" s="2">
        <v>4.98000096568714E-6</v>
      </c>
      <c r="D39944" s="2">
        <v>1.50570889527644E-6</v>
      </c>
      <c r="E39944" s="2">
        <v>0</v>
      </c>
      <c r="F39944" s="2">
        <v>4.6380422488149798E-6</v>
      </c>
    </row>
    <row r="39945" spans="1:6" x14ac:dyDescent="0.25">
      <c r="A39945" s="1" t="str">
        <f t="shared" si="1428"/>
        <v>99999</v>
      </c>
      <c r="B39945" s="1" t="str">
        <f>"22847"</f>
        <v>22847</v>
      </c>
      <c r="C39945" s="2">
        <v>4.5253052253417903E-5</v>
      </c>
      <c r="D39945" s="2">
        <v>3.1619886800805203E-5</v>
      </c>
      <c r="E39945" s="2">
        <v>4.3010567696482999E-6</v>
      </c>
      <c r="F39945" s="2">
        <v>4.3419969988906097E-5</v>
      </c>
    </row>
    <row r="39946" spans="1:6" x14ac:dyDescent="0.25">
      <c r="A39946" s="1" t="str">
        <f t="shared" si="1428"/>
        <v>99999</v>
      </c>
      <c r="B39946" s="1" t="str">
        <f>"23176"</f>
        <v>23176</v>
      </c>
      <c r="C39946" s="2">
        <v>4.2113486427223799E-5</v>
      </c>
      <c r="D39946" s="2">
        <v>1.50570889527644E-6</v>
      </c>
      <c r="E39946" s="2">
        <v>8.6021135392965999E-6</v>
      </c>
      <c r="F39946" s="2">
        <v>3.8683245990116401E-5</v>
      </c>
    </row>
    <row r="39947" spans="1:6" x14ac:dyDescent="0.25">
      <c r="A39947" s="1" t="str">
        <f t="shared" si="1428"/>
        <v>99999</v>
      </c>
      <c r="B39947" s="1" t="str">
        <f>"24442"</f>
        <v>24442</v>
      </c>
      <c r="C39947" s="2">
        <v>8.3360885729980396E-6</v>
      </c>
      <c r="D39947" s="2">
        <v>7.5285444763821999E-6</v>
      </c>
      <c r="E39947" s="2">
        <v>0</v>
      </c>
      <c r="F39947" s="2">
        <v>8.0919034979325103E-6</v>
      </c>
    </row>
    <row r="39948" spans="1:6" x14ac:dyDescent="0.25">
      <c r="A39948" s="1" t="str">
        <f t="shared" si="1428"/>
        <v>99999</v>
      </c>
      <c r="B39948" s="1" t="str">
        <f>"25978"</f>
        <v>25978</v>
      </c>
      <c r="C39948" s="2">
        <v>2.91221795602139E-5</v>
      </c>
      <c r="D39948" s="2">
        <v>7.5285444763821999E-6</v>
      </c>
      <c r="E39948" s="2">
        <v>0</v>
      </c>
      <c r="F39948" s="2">
        <v>2.7038799493091499E-5</v>
      </c>
    </row>
    <row r="39949" spans="1:6" x14ac:dyDescent="0.25">
      <c r="A39949" s="1" t="str">
        <f t="shared" si="1428"/>
        <v>99999</v>
      </c>
      <c r="B39949" s="1" t="str">
        <f>"28668"</f>
        <v>28668</v>
      </c>
      <c r="C39949" s="2">
        <v>3.2478267167524799E-6</v>
      </c>
      <c r="D39949" s="2">
        <v>7.5285444763821999E-6</v>
      </c>
      <c r="E39949" s="2">
        <v>0</v>
      </c>
      <c r="F39949" s="2">
        <v>3.4538612491175301E-6</v>
      </c>
    </row>
    <row r="39950" spans="1:6" x14ac:dyDescent="0.25">
      <c r="A39950" s="1" t="str">
        <f t="shared" si="1428"/>
        <v>99999</v>
      </c>
      <c r="B39950" s="1" t="str">
        <f>"29653"</f>
        <v>29653</v>
      </c>
      <c r="C39950" s="2">
        <v>6.49565343350497E-6</v>
      </c>
      <c r="D39950" s="2">
        <v>1.50570889527644E-6</v>
      </c>
      <c r="E39950" s="2">
        <v>0</v>
      </c>
      <c r="F39950" s="2">
        <v>6.0195867484619901E-6</v>
      </c>
    </row>
    <row r="39951" spans="1:6" x14ac:dyDescent="0.25">
      <c r="A39951" s="1" t="str">
        <f t="shared" si="1428"/>
        <v>99999</v>
      </c>
      <c r="B39951" s="1" t="str">
        <f>"29692"</f>
        <v>29692</v>
      </c>
      <c r="C39951" s="2">
        <v>4.1355660193314899E-5</v>
      </c>
      <c r="D39951" s="2">
        <v>3.31255956960816E-5</v>
      </c>
      <c r="E39951" s="2">
        <v>1.29031703089449E-5</v>
      </c>
      <c r="F39951" s="2">
        <v>4.0163472239738201E-5</v>
      </c>
    </row>
    <row r="39952" spans="1:6" x14ac:dyDescent="0.25">
      <c r="A39952" s="1" t="str">
        <f t="shared" si="1428"/>
        <v>99999</v>
      </c>
      <c r="B39952" s="1" t="str">
        <f>"30452"</f>
        <v>30452</v>
      </c>
      <c r="C39952" s="2">
        <v>4.4386965128950601E-6</v>
      </c>
      <c r="D39952" s="2">
        <v>4.5171266858293203E-6</v>
      </c>
      <c r="E39952" s="2">
        <v>0</v>
      </c>
      <c r="F39952" s="2">
        <v>4.3419969988906098E-6</v>
      </c>
    </row>
    <row r="39953" spans="1:6" x14ac:dyDescent="0.25">
      <c r="A39953" s="1" t="str">
        <f t="shared" si="1428"/>
        <v>99999</v>
      </c>
      <c r="B39953" s="1" t="str">
        <f>"38454"</f>
        <v>38454</v>
      </c>
      <c r="C39953" s="2">
        <v>5.7486532886518899E-5</v>
      </c>
      <c r="D39953" s="2">
        <v>1.35513800574879E-5</v>
      </c>
      <c r="E39953" s="2">
        <v>0</v>
      </c>
      <c r="F39953" s="2">
        <v>5.3288144986384798E-5</v>
      </c>
    </row>
    <row r="39954" spans="1:6" x14ac:dyDescent="0.25">
      <c r="A39954" s="1" t="str">
        <f t="shared" si="1428"/>
        <v>99999</v>
      </c>
      <c r="B39954" s="1" t="str">
        <f>"37374"</f>
        <v>37374</v>
      </c>
      <c r="C39954" s="2">
        <v>2.1652178111683198E-6</v>
      </c>
      <c r="D39954" s="2">
        <v>1.50570889527644E-6</v>
      </c>
      <c r="E39954" s="2">
        <v>0</v>
      </c>
      <c r="F39954" s="2">
        <v>2.0723167494705202E-6</v>
      </c>
    </row>
    <row r="39955" spans="1:6" x14ac:dyDescent="0.25">
      <c r="A39955" s="1" t="str">
        <f t="shared" si="1428"/>
        <v>99999</v>
      </c>
      <c r="B39955" s="1" t="str">
        <f>"40171"</f>
        <v>40171</v>
      </c>
      <c r="C39955" s="2">
        <v>1.4831742006502999E-5</v>
      </c>
      <c r="D39955" s="2">
        <v>1.50570889527644E-6</v>
      </c>
      <c r="E39955" s="2">
        <v>6.8816908314372799E-5</v>
      </c>
      <c r="F39955" s="2">
        <v>1.5196989496117099E-5</v>
      </c>
    </row>
    <row r="39956" spans="1:6" x14ac:dyDescent="0.25">
      <c r="A39956" s="1" t="str">
        <f t="shared" si="1428"/>
        <v>99999</v>
      </c>
      <c r="B39956" s="1" t="str">
        <f>"42129"</f>
        <v>42129</v>
      </c>
      <c r="C39956" s="2">
        <v>1.69969598176713E-5</v>
      </c>
      <c r="D39956" s="2">
        <v>0</v>
      </c>
      <c r="E39956" s="2">
        <v>0</v>
      </c>
      <c r="F39956" s="2">
        <v>1.5493034746041499E-5</v>
      </c>
    </row>
    <row r="39957" spans="1:6" x14ac:dyDescent="0.25">
      <c r="A39957" s="1" t="str">
        <f t="shared" si="1428"/>
        <v>99999</v>
      </c>
      <c r="B39957" s="1" t="str">
        <f>"41554"</f>
        <v>41554</v>
      </c>
      <c r="C39957" s="2">
        <v>3.4860006759809999E-5</v>
      </c>
      <c r="D39957" s="2">
        <v>1.50570889527644E-6</v>
      </c>
      <c r="E39957" s="2">
        <v>8.6021135392965999E-5</v>
      </c>
      <c r="F39957" s="2">
        <v>3.38478402413518E-5</v>
      </c>
    </row>
    <row r="39958" spans="1:6" x14ac:dyDescent="0.25">
      <c r="A39958" s="1" t="str">
        <f t="shared" si="1428"/>
        <v>99999</v>
      </c>
      <c r="B39958" s="1" t="str">
        <f>"43548"</f>
        <v>43548</v>
      </c>
      <c r="C39958" s="2">
        <v>3.2261745386408E-5</v>
      </c>
      <c r="D39958" s="2">
        <v>1.35513800574879E-5</v>
      </c>
      <c r="E39958" s="2">
        <v>0</v>
      </c>
      <c r="F39958" s="2">
        <v>3.02952972422595E-5</v>
      </c>
    </row>
    <row r="39959" spans="1:6" x14ac:dyDescent="0.25">
      <c r="A39959" s="1" t="str">
        <f t="shared" si="1428"/>
        <v>99999</v>
      </c>
      <c r="B39959" s="1" t="str">
        <f>"40820"</f>
        <v>40820</v>
      </c>
      <c r="C39959" s="2">
        <v>1.41821766631525E-5</v>
      </c>
      <c r="D39959" s="2">
        <v>0</v>
      </c>
      <c r="E39959" s="2">
        <v>4.3010567696482999E-6</v>
      </c>
      <c r="F39959" s="2">
        <v>1.30259909966718E-5</v>
      </c>
    </row>
    <row r="39960" spans="1:6" x14ac:dyDescent="0.25">
      <c r="A39960" s="1" t="str">
        <f t="shared" si="1428"/>
        <v>99999</v>
      </c>
      <c r="B39960" s="1" t="str">
        <f>"41214"</f>
        <v>41214</v>
      </c>
      <c r="C39960" s="2">
        <v>3.4968267650368402E-5</v>
      </c>
      <c r="D39960" s="2">
        <v>2.7102760114975901E-5</v>
      </c>
      <c r="E39960" s="2">
        <v>6.0214794775076199E-5</v>
      </c>
      <c r="F39960" s="2">
        <v>3.5032021241049297E-5</v>
      </c>
    </row>
    <row r="39961" spans="1:6" x14ac:dyDescent="0.25">
      <c r="A39961" s="1" t="str">
        <f t="shared" si="1428"/>
        <v>99999</v>
      </c>
      <c r="B39961" s="1" t="str">
        <f>"45746"</f>
        <v>45746</v>
      </c>
      <c r="C39961" s="2">
        <v>1.0393045493607899E-5</v>
      </c>
      <c r="D39961" s="2">
        <v>0</v>
      </c>
      <c r="E39961" s="2">
        <v>0</v>
      </c>
      <c r="F39961" s="2">
        <v>9.4734479975795299E-6</v>
      </c>
    </row>
    <row r="39962" spans="1:6" x14ac:dyDescent="0.25">
      <c r="A39962" s="1" t="str">
        <f t="shared" si="1428"/>
        <v>99999</v>
      </c>
      <c r="B39962" s="1" t="str">
        <f>"45672"</f>
        <v>45672</v>
      </c>
      <c r="C39962" s="2">
        <v>4.8067835407936702E-5</v>
      </c>
      <c r="D39962" s="2">
        <v>7.5285444763821999E-6</v>
      </c>
      <c r="E39962" s="2">
        <v>0</v>
      </c>
      <c r="F39962" s="2">
        <v>4.4308105738679202E-5</v>
      </c>
    </row>
    <row r="39963" spans="1:6" x14ac:dyDescent="0.25">
      <c r="A39963" s="1" t="str">
        <f t="shared" si="1428"/>
        <v>99999</v>
      </c>
      <c r="B39963" s="1" t="str">
        <f>"45745"</f>
        <v>45745</v>
      </c>
      <c r="C39963" s="2">
        <v>2.8905657779097099E-5</v>
      </c>
      <c r="D39963" s="2">
        <v>7.5285444763821999E-6</v>
      </c>
      <c r="E39963" s="2">
        <v>0</v>
      </c>
      <c r="F39963" s="2">
        <v>2.6841435993142E-5</v>
      </c>
    </row>
    <row r="39964" spans="1:6" x14ac:dyDescent="0.25">
      <c r="A39964" s="1" t="str">
        <f t="shared" si="1428"/>
        <v>99999</v>
      </c>
      <c r="B39964" s="1" t="str">
        <f>"46076"</f>
        <v>46076</v>
      </c>
      <c r="C39964" s="2">
        <v>7.8056102092617996E-5</v>
      </c>
      <c r="D39964" s="2">
        <v>1.80685067433172E-5</v>
      </c>
      <c r="E39964" s="2">
        <v>2.58063406178898E-5</v>
      </c>
      <c r="F39964" s="2">
        <v>7.2925813231367403E-5</v>
      </c>
    </row>
    <row r="39965" spans="1:6" x14ac:dyDescent="0.25">
      <c r="A39965" s="1" t="str">
        <f t="shared" si="1428"/>
        <v>99999</v>
      </c>
      <c r="B39965" s="1" t="str">
        <f>"46759"</f>
        <v>46759</v>
      </c>
      <c r="C39965" s="2">
        <v>2.82560924357466E-5</v>
      </c>
      <c r="D39965" s="2">
        <v>3.01141779055288E-6</v>
      </c>
      <c r="E39965" s="2">
        <v>1.72042270785932E-5</v>
      </c>
      <c r="F39965" s="2">
        <v>2.6348027243268001E-5</v>
      </c>
    </row>
    <row r="39966" spans="1:6" x14ac:dyDescent="0.25">
      <c r="A39966" s="1" t="str">
        <f t="shared" si="1428"/>
        <v>99999</v>
      </c>
      <c r="B39966" s="1" t="str">
        <f>"47381"</f>
        <v>47381</v>
      </c>
      <c r="C39966" s="2">
        <v>7.3617405579722903E-6</v>
      </c>
      <c r="D39966" s="2">
        <v>1.35513800574879E-5</v>
      </c>
      <c r="E39966" s="2">
        <v>1.29031703089449E-5</v>
      </c>
      <c r="F39966" s="2">
        <v>7.8945399979829399E-6</v>
      </c>
    </row>
    <row r="39967" spans="1:6" x14ac:dyDescent="0.25">
      <c r="A39967" s="1" t="str">
        <f t="shared" si="1428"/>
        <v>99999</v>
      </c>
      <c r="B39967" s="1" t="str">
        <f>"46952"</f>
        <v>46952</v>
      </c>
      <c r="C39967" s="2">
        <v>6.49565343350497E-6</v>
      </c>
      <c r="D39967" s="2">
        <v>0</v>
      </c>
      <c r="E39967" s="2">
        <v>4.3010567696482999E-6</v>
      </c>
      <c r="F39967" s="2">
        <v>6.0195867484619901E-6</v>
      </c>
    </row>
    <row r="39968" spans="1:6" x14ac:dyDescent="0.25">
      <c r="A39968" s="1" t="str">
        <f t="shared" si="1428"/>
        <v>99999</v>
      </c>
      <c r="B39968" s="1" t="str">
        <f>"48627"</f>
        <v>48627</v>
      </c>
      <c r="C39968" s="2">
        <v>5.1856966577481302E-5</v>
      </c>
      <c r="D39968" s="2">
        <v>3.9148431277187403E-5</v>
      </c>
      <c r="E39968" s="2">
        <v>4.3010567696482999E-6</v>
      </c>
      <c r="F39968" s="2">
        <v>4.9932965487242098E-5</v>
      </c>
    </row>
    <row r="39969" spans="1:6" x14ac:dyDescent="0.25">
      <c r="A39969" s="1" t="str">
        <f t="shared" si="1428"/>
        <v>99999</v>
      </c>
      <c r="B39969" s="1" t="str">
        <f>"48630"</f>
        <v>48630</v>
      </c>
      <c r="C39969" s="2">
        <v>1.6130872693204E-5</v>
      </c>
      <c r="D39969" s="2">
        <v>0</v>
      </c>
      <c r="E39969" s="2">
        <v>0</v>
      </c>
      <c r="F39969" s="2">
        <v>1.47035807462432E-5</v>
      </c>
    </row>
    <row r="39970" spans="1:6" x14ac:dyDescent="0.25">
      <c r="A39970" s="1" t="str">
        <f t="shared" si="1428"/>
        <v>99999</v>
      </c>
      <c r="B39970" s="1" t="str">
        <f>"50274"</f>
        <v>50274</v>
      </c>
      <c r="C39970" s="2">
        <v>2.1219134549449501E-5</v>
      </c>
      <c r="D39970" s="2">
        <v>1.35513800574879E-5</v>
      </c>
      <c r="E39970" s="2">
        <v>4.3010567696482999E-6</v>
      </c>
      <c r="F39970" s="2">
        <v>2.0328440494806002E-5</v>
      </c>
    </row>
    <row r="39971" spans="1:6" x14ac:dyDescent="0.25">
      <c r="A39971" s="1" t="str">
        <f t="shared" si="1428"/>
        <v>99999</v>
      </c>
      <c r="B39971" s="1" t="str">
        <f>"50606"</f>
        <v>50606</v>
      </c>
      <c r="C39971" s="2">
        <v>4.7851313626819901E-5</v>
      </c>
      <c r="D39971" s="2">
        <v>4.3665557963016701E-5</v>
      </c>
      <c r="E39971" s="2">
        <v>3.8709510926834699E-5</v>
      </c>
      <c r="F39971" s="2">
        <v>4.7367239987897599E-5</v>
      </c>
    </row>
    <row r="39972" spans="1:6" x14ac:dyDescent="0.25">
      <c r="A39972" s="1" t="str">
        <f t="shared" si="1428"/>
        <v>99999</v>
      </c>
      <c r="B39972" s="1" t="str">
        <f>"50632"</f>
        <v>50632</v>
      </c>
      <c r="C39972" s="2">
        <v>5.3805662607532797E-5</v>
      </c>
      <c r="D39972" s="2">
        <v>4.5171266858293199E-5</v>
      </c>
      <c r="E39972" s="2">
        <v>4.3010567696482999E-5</v>
      </c>
      <c r="F39972" s="2">
        <v>5.2992099736460502E-5</v>
      </c>
    </row>
    <row r="39973" spans="1:6" x14ac:dyDescent="0.25">
      <c r="A39973" s="1" t="str">
        <f t="shared" si="1428"/>
        <v>99999</v>
      </c>
      <c r="B39973" s="1" t="str">
        <f>"50074"</f>
        <v>50074</v>
      </c>
      <c r="C39973" s="2">
        <v>4.00565295066139E-5</v>
      </c>
      <c r="D39973" s="2">
        <v>1.80685067433172E-5</v>
      </c>
      <c r="E39973" s="2">
        <v>4.3010567696482999E-6</v>
      </c>
      <c r="F39973" s="2">
        <v>3.7795110240343302E-5</v>
      </c>
    </row>
    <row r="39974" spans="1:6" x14ac:dyDescent="0.25">
      <c r="A39974" s="1" t="str">
        <f t="shared" si="1428"/>
        <v>99999</v>
      </c>
      <c r="B39974" s="1" t="str">
        <f>"53937"</f>
        <v>53937</v>
      </c>
      <c r="C39974" s="2">
        <v>9.5269583691406198E-6</v>
      </c>
      <c r="D39974" s="2">
        <v>3.01141779055288E-6</v>
      </c>
      <c r="E39974" s="2">
        <v>0</v>
      </c>
      <c r="F39974" s="2">
        <v>8.8813574977308104E-6</v>
      </c>
    </row>
    <row r="39975" spans="1:6" x14ac:dyDescent="0.25">
      <c r="A39975" s="1" t="str">
        <f t="shared" si="1428"/>
        <v>99999</v>
      </c>
      <c r="B39975" s="1" t="str">
        <f>"52747"</f>
        <v>52747</v>
      </c>
      <c r="C39975" s="2">
        <v>9.0830887178511098E-5</v>
      </c>
      <c r="D39975" s="2">
        <v>1.02388204878797E-4</v>
      </c>
      <c r="E39975" s="2">
        <v>7.3117965084021106E-5</v>
      </c>
      <c r="F39975" s="2">
        <v>9.1181936976703006E-5</v>
      </c>
    </row>
    <row r="39976" spans="1:6" x14ac:dyDescent="0.25">
      <c r="A39976" s="1" t="str">
        <f t="shared" si="1428"/>
        <v>99999</v>
      </c>
      <c r="B39976" s="1" t="str">
        <f>"52777"</f>
        <v>52777</v>
      </c>
      <c r="C39976" s="2">
        <v>3.5726093884277301E-6</v>
      </c>
      <c r="D39976" s="2">
        <v>0</v>
      </c>
      <c r="E39976" s="2">
        <v>0</v>
      </c>
      <c r="F39976" s="2">
        <v>3.2564977491679601E-6</v>
      </c>
    </row>
    <row r="39977" spans="1:6" x14ac:dyDescent="0.25">
      <c r="A39977" s="1" t="str">
        <f t="shared" si="1428"/>
        <v>99999</v>
      </c>
      <c r="B39977" s="1" t="str">
        <f>"52585"</f>
        <v>52585</v>
      </c>
      <c r="C39977" s="2">
        <v>4.0597833959405999E-5</v>
      </c>
      <c r="D39977" s="2">
        <v>2.7102760114975901E-5</v>
      </c>
      <c r="E39977" s="2">
        <v>3.01073973875381E-5</v>
      </c>
      <c r="F39977" s="2">
        <v>3.9472699989914703E-5</v>
      </c>
    </row>
    <row r="39978" spans="1:6" x14ac:dyDescent="0.25">
      <c r="A39978" s="1" t="str">
        <f t="shared" si="1428"/>
        <v>99999</v>
      </c>
      <c r="B39978" s="1" t="str">
        <f>"52232"</f>
        <v>52232</v>
      </c>
      <c r="C39978" s="2">
        <v>1.1150871727516799E-5</v>
      </c>
      <c r="D39978" s="2">
        <v>7.5285444763821999E-6</v>
      </c>
      <c r="E39978" s="2">
        <v>4.3010567696482999E-6</v>
      </c>
      <c r="F39978" s="2">
        <v>1.07563107472517E-5</v>
      </c>
    </row>
    <row r="39979" spans="1:6" x14ac:dyDescent="0.25">
      <c r="A39979" s="1" t="str">
        <f t="shared" si="1428"/>
        <v>99999</v>
      </c>
      <c r="B39979" s="1" t="str">
        <f>"54967"</f>
        <v>54967</v>
      </c>
      <c r="C39979" s="2">
        <v>2.46834830473188E-5</v>
      </c>
      <c r="D39979" s="2">
        <v>7.5285444763821999E-6</v>
      </c>
      <c r="E39979" s="2">
        <v>3.8709510926834699E-5</v>
      </c>
      <c r="F39979" s="2">
        <v>2.38809834938984E-5</v>
      </c>
    </row>
    <row r="39980" spans="1:6" x14ac:dyDescent="0.25">
      <c r="A39980" s="1" t="str">
        <f t="shared" si="1428"/>
        <v>99999</v>
      </c>
      <c r="B39980" s="1" t="str">
        <f>"54550"</f>
        <v>54550</v>
      </c>
      <c r="C39980" s="2">
        <v>3.9623485944380299E-5</v>
      </c>
      <c r="D39980" s="2">
        <v>6.0228355811057601E-6</v>
      </c>
      <c r="E39980" s="2">
        <v>4.3010567696482999E-6</v>
      </c>
      <c r="F39980" s="2">
        <v>3.6610929240645901E-5</v>
      </c>
    </row>
    <row r="39981" spans="1:6" x14ac:dyDescent="0.25">
      <c r="A39981" s="1" t="str">
        <f t="shared" si="1428"/>
        <v>99999</v>
      </c>
      <c r="B39981" s="1" t="str">
        <f>"57052"</f>
        <v>57052</v>
      </c>
      <c r="C39981" s="2">
        <v>1.43986984442693E-5</v>
      </c>
      <c r="D39981" s="2">
        <v>2.4091342324423E-5</v>
      </c>
      <c r="E39981" s="2">
        <v>1.72042270785932E-5</v>
      </c>
      <c r="F39981" s="2">
        <v>1.5098307746142301E-5</v>
      </c>
    </row>
    <row r="39982" spans="1:6" x14ac:dyDescent="0.25">
      <c r="A39982" s="1" t="str">
        <f t="shared" si="1428"/>
        <v>99999</v>
      </c>
      <c r="B39982" s="1" t="str">
        <f>"57217"</f>
        <v>57217</v>
      </c>
      <c r="C39982" s="2">
        <v>1.4831742006502999E-5</v>
      </c>
      <c r="D39982" s="2">
        <v>1.50570889527644E-6</v>
      </c>
      <c r="E39982" s="2">
        <v>4.3010567696482999E-6</v>
      </c>
      <c r="F39982" s="2">
        <v>1.37167632464953E-5</v>
      </c>
    </row>
    <row r="39983" spans="1:6" x14ac:dyDescent="0.25">
      <c r="A39983" s="1" t="str">
        <f t="shared" si="1428"/>
        <v>99999</v>
      </c>
      <c r="B39983" s="1" t="str">
        <f>"56644"</f>
        <v>56644</v>
      </c>
      <c r="C39983" s="2">
        <v>4.1788703755548602E-5</v>
      </c>
      <c r="D39983" s="2">
        <v>6.0228355811057601E-6</v>
      </c>
      <c r="E39983" s="2">
        <v>3.8709510926834699E-5</v>
      </c>
      <c r="F39983" s="2">
        <v>3.9374018239939899E-5</v>
      </c>
    </row>
    <row r="39984" spans="1:6" x14ac:dyDescent="0.25">
      <c r="A39984" s="1" t="str">
        <f t="shared" si="1428"/>
        <v>99999</v>
      </c>
      <c r="B39984" s="1" t="str">
        <f>"56669"</f>
        <v>56669</v>
      </c>
      <c r="C39984" s="2">
        <v>1.3857393991477199E-5</v>
      </c>
      <c r="D39984" s="2">
        <v>1.50570889527644E-6</v>
      </c>
      <c r="E39984" s="2">
        <v>0</v>
      </c>
      <c r="F39984" s="2">
        <v>1.27299457467474E-5</v>
      </c>
    </row>
    <row r="39985" spans="1:6" x14ac:dyDescent="0.25">
      <c r="A39985" s="1" t="str">
        <f t="shared" si="1428"/>
        <v>99999</v>
      </c>
      <c r="B39985" s="1" t="str">
        <f>"56761"</f>
        <v>56761</v>
      </c>
      <c r="C39985" s="2">
        <v>2.9013918669655499E-5</v>
      </c>
      <c r="D39985" s="2">
        <v>4.5171266858293203E-6</v>
      </c>
      <c r="E39985" s="2">
        <v>4.3010567696482999E-6</v>
      </c>
      <c r="F39985" s="2">
        <v>2.6841435993142E-5</v>
      </c>
    </row>
    <row r="39986" spans="1:6" x14ac:dyDescent="0.25">
      <c r="A39986" s="1" t="str">
        <f t="shared" si="1428"/>
        <v>99999</v>
      </c>
      <c r="B39986" s="1" t="str">
        <f>"56151"</f>
        <v>56151</v>
      </c>
      <c r="C39986" s="2">
        <v>4.5036530472301103E-5</v>
      </c>
      <c r="D39986" s="2">
        <v>1.80685067433172E-5</v>
      </c>
      <c r="E39986" s="2">
        <v>1.29031703089449E-5</v>
      </c>
      <c r="F39986" s="2">
        <v>4.25318342391331E-5</v>
      </c>
    </row>
    <row r="39987" spans="1:6" x14ac:dyDescent="0.25">
      <c r="A39987" s="1" t="str">
        <f t="shared" si="1428"/>
        <v>99999</v>
      </c>
      <c r="B39987" s="1" t="str">
        <f>"56119"</f>
        <v>56119</v>
      </c>
      <c r="C39987" s="2">
        <v>9.3104365880237906E-6</v>
      </c>
      <c r="D39987" s="2">
        <v>3.01141779055288E-6</v>
      </c>
      <c r="E39987" s="2">
        <v>0</v>
      </c>
      <c r="F39987" s="2">
        <v>8.6839939977812298E-6</v>
      </c>
    </row>
    <row r="39988" spans="1:6" x14ac:dyDescent="0.25">
      <c r="A39988" s="1" t="str">
        <f t="shared" si="1428"/>
        <v>99999</v>
      </c>
      <c r="B39988" s="1" t="str">
        <f>"56236"</f>
        <v>56236</v>
      </c>
      <c r="C39988" s="2">
        <v>1.4723481115944499E-5</v>
      </c>
      <c r="D39988" s="2">
        <v>4.5171266858293203E-6</v>
      </c>
      <c r="E39988" s="2">
        <v>0</v>
      </c>
      <c r="F39988" s="2">
        <v>1.37167632464953E-5</v>
      </c>
    </row>
    <row r="39989" spans="1:6" x14ac:dyDescent="0.25">
      <c r="A39989" s="1" t="str">
        <f t="shared" si="1428"/>
        <v>99999</v>
      </c>
      <c r="B39989" s="1" t="str">
        <f>"56111"</f>
        <v>56111</v>
      </c>
      <c r="C39989" s="2">
        <v>2.2843047907825799E-5</v>
      </c>
      <c r="D39989" s="2">
        <v>1.9574215638593701E-5</v>
      </c>
      <c r="E39989" s="2">
        <v>0</v>
      </c>
      <c r="F39989" s="2">
        <v>2.2104711994352199E-5</v>
      </c>
    </row>
    <row r="39990" spans="1:6" x14ac:dyDescent="0.25">
      <c r="A39990" s="1" t="str">
        <f t="shared" si="1428"/>
        <v>99999</v>
      </c>
      <c r="B39990" s="1" t="str">
        <f>"57466"</f>
        <v>57466</v>
      </c>
      <c r="C39990" s="2">
        <v>6.3873925429465503E-6</v>
      </c>
      <c r="D39990" s="2">
        <v>1.50570889527644E-6</v>
      </c>
      <c r="E39990" s="2">
        <v>4.3010567696482999E-6</v>
      </c>
      <c r="F39990" s="2">
        <v>6.0195867484619901E-6</v>
      </c>
    </row>
    <row r="39991" spans="1:6" x14ac:dyDescent="0.25">
      <c r="A39991" s="1" t="str">
        <f t="shared" si="1428"/>
        <v>99999</v>
      </c>
      <c r="B39991" s="1" t="str">
        <f>"58035"</f>
        <v>58035</v>
      </c>
      <c r="C39991" s="2">
        <v>1.13673935086336E-5</v>
      </c>
      <c r="D39991" s="2">
        <v>1.50570889527644E-6</v>
      </c>
      <c r="E39991" s="2">
        <v>1.72042270785932E-5</v>
      </c>
      <c r="F39991" s="2">
        <v>1.08549924972265E-5</v>
      </c>
    </row>
    <row r="39992" spans="1:6" x14ac:dyDescent="0.25">
      <c r="A39992" s="1" t="str">
        <f t="shared" si="1428"/>
        <v>99999</v>
      </c>
      <c r="B39992" s="1" t="str">
        <f>"58064"</f>
        <v>58064</v>
      </c>
      <c r="C39992" s="2">
        <v>3.5726093884277301E-6</v>
      </c>
      <c r="D39992" s="2">
        <v>0</v>
      </c>
      <c r="E39992" s="2">
        <v>0</v>
      </c>
      <c r="F39992" s="2">
        <v>3.2564977491679601E-6</v>
      </c>
    </row>
    <row r="39993" spans="1:6" x14ac:dyDescent="0.25">
      <c r="A39993" s="1" t="str">
        <f t="shared" si="1428"/>
        <v>99999</v>
      </c>
      <c r="B39993" s="1" t="str">
        <f>"57567"</f>
        <v>57567</v>
      </c>
      <c r="C39993" s="2">
        <v>2.21934825644753E-5</v>
      </c>
      <c r="D39993" s="2">
        <v>2.7102760114975901E-5</v>
      </c>
      <c r="E39993" s="2">
        <v>4.3010567696482999E-6</v>
      </c>
      <c r="F39993" s="2">
        <v>2.2104711994352199E-5</v>
      </c>
    </row>
    <row r="39994" spans="1:6" x14ac:dyDescent="0.25">
      <c r="A39994" s="1" t="str">
        <f t="shared" si="1428"/>
        <v>99999</v>
      </c>
      <c r="B39994" s="1" t="str">
        <f>"59837"</f>
        <v>59837</v>
      </c>
      <c r="C39994" s="2">
        <v>1.33160895386851E-5</v>
      </c>
      <c r="D39994" s="2">
        <v>9.0342533716586405E-6</v>
      </c>
      <c r="E39994" s="2">
        <v>4.3010567696482999E-6</v>
      </c>
      <c r="F39994" s="2">
        <v>1.2828627496722201E-5</v>
      </c>
    </row>
    <row r="39995" spans="1:6" x14ac:dyDescent="0.25">
      <c r="A39995" s="1" t="str">
        <f t="shared" si="1428"/>
        <v>99999</v>
      </c>
      <c r="B39995" s="1" t="str">
        <f>"58718"</f>
        <v>58718</v>
      </c>
      <c r="C39995" s="2">
        <v>6.6039143240633804E-6</v>
      </c>
      <c r="D39995" s="2">
        <v>4.5171266858293203E-6</v>
      </c>
      <c r="E39995" s="2">
        <v>0</v>
      </c>
      <c r="F39995" s="2">
        <v>6.3156319983863499E-6</v>
      </c>
    </row>
    <row r="39996" spans="1:6" x14ac:dyDescent="0.25">
      <c r="A39996" s="1" t="str">
        <f t="shared" si="1428"/>
        <v>99999</v>
      </c>
      <c r="B39996" s="1" t="str">
        <f>"58776"</f>
        <v>58776</v>
      </c>
      <c r="C39996" s="2">
        <v>1.08260890558416E-5</v>
      </c>
      <c r="D39996" s="2">
        <v>1.0539962266935E-5</v>
      </c>
      <c r="E39996" s="2">
        <v>1.29031703089449E-5</v>
      </c>
      <c r="F39996" s="2">
        <v>1.08549924972265E-5</v>
      </c>
    </row>
    <row r="39997" spans="1:6" x14ac:dyDescent="0.25">
      <c r="A39997" s="1" t="str">
        <f t="shared" si="1428"/>
        <v>99999</v>
      </c>
      <c r="B39997" s="1" t="str">
        <f>"58579"</f>
        <v>58579</v>
      </c>
      <c r="C39997" s="2">
        <v>4.0922616631081298E-5</v>
      </c>
      <c r="D39997" s="2">
        <v>1.20456711622115E-5</v>
      </c>
      <c r="E39997" s="2">
        <v>3.8709510926834699E-5</v>
      </c>
      <c r="F39997" s="2">
        <v>3.8979291240040697E-5</v>
      </c>
    </row>
    <row r="39998" spans="1:6" x14ac:dyDescent="0.25">
      <c r="A39998" s="1" t="str">
        <f t="shared" si="1428"/>
        <v>99999</v>
      </c>
      <c r="B39998" s="1" t="str">
        <f>"59077"</f>
        <v>59077</v>
      </c>
      <c r="C39998" s="2">
        <v>4.1139138412198104E-6</v>
      </c>
      <c r="D39998" s="2">
        <v>3.01141779055288E-6</v>
      </c>
      <c r="E39998" s="2">
        <v>4.3010567696482999E-6</v>
      </c>
      <c r="F39998" s="2">
        <v>4.0459517489662501E-6</v>
      </c>
    </row>
    <row r="39999" spans="1:6" x14ac:dyDescent="0.25">
      <c r="A39999" s="1" t="str">
        <f t="shared" si="1428"/>
        <v>99999</v>
      </c>
      <c r="B39999" s="1" t="str">
        <f>"59078"</f>
        <v>59078</v>
      </c>
      <c r="C39999" s="2">
        <v>4.4386965128950601E-6</v>
      </c>
      <c r="D39999" s="2">
        <v>1.50570889527644E-6</v>
      </c>
      <c r="E39999" s="2">
        <v>4.3010567696482999E-6</v>
      </c>
      <c r="F39999" s="2">
        <v>4.2433152489158297E-6</v>
      </c>
    </row>
    <row r="40000" spans="1:6" x14ac:dyDescent="0.25">
      <c r="A40000" s="1" t="str">
        <f t="shared" si="1428"/>
        <v>99999</v>
      </c>
      <c r="B40000" s="1" t="str">
        <f>"58524"</f>
        <v>58524</v>
      </c>
      <c r="C40000" s="2">
        <v>8.6608712446732894E-6</v>
      </c>
      <c r="D40000" s="2">
        <v>1.50570889527644E-6</v>
      </c>
      <c r="E40000" s="2">
        <v>4.3010567696482999E-6</v>
      </c>
      <c r="F40000" s="2">
        <v>8.0919034979325103E-6</v>
      </c>
    </row>
    <row r="40001" spans="1:6" x14ac:dyDescent="0.25">
      <c r="A40001" s="1" t="str">
        <f t="shared" si="1428"/>
        <v>99999</v>
      </c>
      <c r="B40001" s="1" t="str">
        <f>"59076"</f>
        <v>59076</v>
      </c>
      <c r="C40001" s="2">
        <v>2.3817395922851499E-6</v>
      </c>
      <c r="D40001" s="2">
        <v>0</v>
      </c>
      <c r="E40001" s="2">
        <v>4.3010567696482999E-6</v>
      </c>
      <c r="F40001" s="2">
        <v>2.2696802494200901E-6</v>
      </c>
    </row>
    <row r="40002" spans="1:6" x14ac:dyDescent="0.25">
      <c r="A40002" s="1" t="str">
        <f t="shared" si="1428"/>
        <v>99999</v>
      </c>
      <c r="B40002" s="1" t="str">
        <f>"59337"</f>
        <v>59337</v>
      </c>
      <c r="C40002" s="2">
        <v>3.9406964163263397E-5</v>
      </c>
      <c r="D40002" s="2">
        <v>6.0228355811057601E-6</v>
      </c>
      <c r="E40002" s="2">
        <v>3.01073973875381E-5</v>
      </c>
      <c r="F40002" s="2">
        <v>3.7005656240545001E-5</v>
      </c>
    </row>
    <row r="40003" spans="1:6" x14ac:dyDescent="0.25">
      <c r="A40003" s="1" t="str">
        <f t="shared" si="1428"/>
        <v>99999</v>
      </c>
      <c r="B40003" s="1" t="str">
        <f>"59727"</f>
        <v>59727</v>
      </c>
      <c r="C40003" s="2">
        <v>2.9230440450772301E-6</v>
      </c>
      <c r="D40003" s="2">
        <v>3.01141779055288E-6</v>
      </c>
      <c r="E40003" s="2">
        <v>0</v>
      </c>
      <c r="F40003" s="2">
        <v>2.8617707492688101E-6</v>
      </c>
    </row>
    <row r="40004" spans="1:6" x14ac:dyDescent="0.25">
      <c r="A40004" s="1" t="str">
        <f t="shared" si="1428"/>
        <v>99999</v>
      </c>
      <c r="B40004" s="1" t="str">
        <f>"59253"</f>
        <v>59253</v>
      </c>
      <c r="C40004" s="2">
        <v>5.6295663090376404E-6</v>
      </c>
      <c r="D40004" s="2">
        <v>0</v>
      </c>
      <c r="E40004" s="2">
        <v>4.3010567696482999E-6</v>
      </c>
      <c r="F40004" s="2">
        <v>5.2301327486637002E-6</v>
      </c>
    </row>
    <row r="40005" spans="1:6" x14ac:dyDescent="0.25">
      <c r="A40005" s="1" t="str">
        <f t="shared" si="1428"/>
        <v>99999</v>
      </c>
      <c r="B40005" s="1" t="str">
        <f>"59731"</f>
        <v>59731</v>
      </c>
      <c r="C40005" s="2">
        <v>1.7971307832697E-5</v>
      </c>
      <c r="D40005" s="2">
        <v>1.35513800574879E-5</v>
      </c>
      <c r="E40005" s="2">
        <v>4.3010567696482999E-6</v>
      </c>
      <c r="F40005" s="2">
        <v>1.7367987995562399E-5</v>
      </c>
    </row>
    <row r="40006" spans="1:6" x14ac:dyDescent="0.25">
      <c r="A40006" s="1" t="str">
        <f t="shared" ref="A40006:A40069" si="1429">"99999"</f>
        <v>99999</v>
      </c>
      <c r="B40006" s="1" t="str">
        <f>"59756"</f>
        <v>59756</v>
      </c>
      <c r="C40006" s="2">
        <v>6.0626098712712997E-6</v>
      </c>
      <c r="D40006" s="2">
        <v>0</v>
      </c>
      <c r="E40006" s="2">
        <v>4.3010567696482999E-6</v>
      </c>
      <c r="F40006" s="2">
        <v>5.6248597485628401E-6</v>
      </c>
    </row>
    <row r="40007" spans="1:6" x14ac:dyDescent="0.25">
      <c r="A40007" s="1" t="str">
        <f t="shared" si="1429"/>
        <v>99999</v>
      </c>
      <c r="B40007" s="1" t="str">
        <f>"58442"</f>
        <v>58442</v>
      </c>
      <c r="C40007" s="2">
        <v>2.4791743937877301E-5</v>
      </c>
      <c r="D40007" s="2">
        <v>1.50570889527644E-5</v>
      </c>
      <c r="E40007" s="2">
        <v>2.15052838482415E-5</v>
      </c>
      <c r="F40007" s="2">
        <v>2.4078346993847899E-5</v>
      </c>
    </row>
    <row r="40008" spans="1:6" x14ac:dyDescent="0.25">
      <c r="A40008" s="1" t="str">
        <f t="shared" si="1429"/>
        <v>99999</v>
      </c>
      <c r="B40008" s="1" t="str">
        <f>"58385"</f>
        <v>58385</v>
      </c>
      <c r="C40008" s="2">
        <v>9.7434801502574508E-6</v>
      </c>
      <c r="D40008" s="2">
        <v>1.0539962266935E-5</v>
      </c>
      <c r="E40008" s="2">
        <v>4.3010567696482999E-6</v>
      </c>
      <c r="F40008" s="2">
        <v>9.6708114975291003E-6</v>
      </c>
    </row>
    <row r="40009" spans="1:6" x14ac:dyDescent="0.25">
      <c r="A40009" s="1" t="str">
        <f t="shared" si="1429"/>
        <v>99999</v>
      </c>
      <c r="B40009" s="1" t="str">
        <f>"61435"</f>
        <v>61435</v>
      </c>
      <c r="C40009" s="2">
        <v>1.0393045493607899E-5</v>
      </c>
      <c r="D40009" s="2">
        <v>7.5285444763821999E-6</v>
      </c>
      <c r="E40009" s="2">
        <v>4.3010567696482999E-6</v>
      </c>
      <c r="F40009" s="2">
        <v>1.00655384974282E-5</v>
      </c>
    </row>
    <row r="40010" spans="1:6" x14ac:dyDescent="0.25">
      <c r="A40010" s="1" t="str">
        <f t="shared" si="1429"/>
        <v>99999</v>
      </c>
      <c r="B40010" s="1" t="str">
        <f>"61474"</f>
        <v>61474</v>
      </c>
      <c r="C40010" s="2">
        <v>1.29913068670099E-6</v>
      </c>
      <c r="D40010" s="2">
        <v>3.01141779055288E-6</v>
      </c>
      <c r="E40010" s="2">
        <v>0</v>
      </c>
      <c r="F40010" s="2">
        <v>1.3815444996470099E-6</v>
      </c>
    </row>
    <row r="40011" spans="1:6" x14ac:dyDescent="0.25">
      <c r="A40011" s="1" t="str">
        <f t="shared" si="1429"/>
        <v>99999</v>
      </c>
      <c r="B40011" s="1" t="str">
        <f>"62378"</f>
        <v>62378</v>
      </c>
      <c r="C40011" s="2">
        <v>4.8717400751287198E-5</v>
      </c>
      <c r="D40011" s="2">
        <v>1.50570889527644E-6</v>
      </c>
      <c r="E40011" s="2">
        <v>3.44084541571864E-5</v>
      </c>
      <c r="F40011" s="2">
        <v>4.5294923238427098E-5</v>
      </c>
    </row>
    <row r="40012" spans="1:6" x14ac:dyDescent="0.25">
      <c r="A40012" s="1" t="str">
        <f t="shared" si="1429"/>
        <v>99999</v>
      </c>
      <c r="B40012" s="1" t="str">
        <f>"62838"</f>
        <v>62838</v>
      </c>
      <c r="C40012" s="2">
        <v>7.6865232296475394E-5</v>
      </c>
      <c r="D40012" s="2">
        <v>5.5711229125228301E-5</v>
      </c>
      <c r="E40012" s="2">
        <v>1.29031703089449E-5</v>
      </c>
      <c r="F40012" s="2">
        <v>7.4011312481090096E-5</v>
      </c>
    </row>
    <row r="40013" spans="1:6" x14ac:dyDescent="0.25">
      <c r="A40013" s="1" t="str">
        <f t="shared" si="1429"/>
        <v>99999</v>
      </c>
      <c r="B40013" s="1" t="str">
        <f>"62447"</f>
        <v>62447</v>
      </c>
      <c r="C40013" s="2">
        <v>3.6700441899303002E-5</v>
      </c>
      <c r="D40013" s="2">
        <v>6.0228355811057601E-6</v>
      </c>
      <c r="E40013" s="2">
        <v>0</v>
      </c>
      <c r="F40013" s="2">
        <v>3.38478402413518E-5</v>
      </c>
    </row>
    <row r="40014" spans="1:6" x14ac:dyDescent="0.25">
      <c r="A40014" s="1" t="str">
        <f t="shared" si="1429"/>
        <v>99999</v>
      </c>
      <c r="B40014" s="1" t="str">
        <f>"62444"</f>
        <v>62444</v>
      </c>
      <c r="C40014" s="2">
        <v>2.1652178111683201E-5</v>
      </c>
      <c r="D40014" s="2">
        <v>4.5171266858293203E-6</v>
      </c>
      <c r="E40014" s="2">
        <v>4.3010567696482999E-6</v>
      </c>
      <c r="F40014" s="2">
        <v>2.0131076994856499E-5</v>
      </c>
    </row>
    <row r="40015" spans="1:6" x14ac:dyDescent="0.25">
      <c r="A40015" s="1" t="str">
        <f t="shared" si="1429"/>
        <v>99999</v>
      </c>
      <c r="B40015" s="1" t="str">
        <f>"63738"</f>
        <v>63738</v>
      </c>
      <c r="C40015" s="2">
        <v>2.1652178111683201E-7</v>
      </c>
      <c r="D40015" s="2">
        <v>0</v>
      </c>
      <c r="E40015" s="2">
        <v>8.6021135392965999E-6</v>
      </c>
      <c r="F40015" s="2">
        <v>3.9472699989914697E-7</v>
      </c>
    </row>
    <row r="40016" spans="1:6" x14ac:dyDescent="0.25">
      <c r="A40016" s="1" t="str">
        <f t="shared" si="1429"/>
        <v>99999</v>
      </c>
      <c r="B40016" s="1" t="str">
        <f>"64865"</f>
        <v>64865</v>
      </c>
      <c r="C40016" s="2">
        <v>1.7321742489346501E-5</v>
      </c>
      <c r="D40016" s="2">
        <v>4.5171266858293203E-6</v>
      </c>
      <c r="E40016" s="2">
        <v>0</v>
      </c>
      <c r="F40016" s="2">
        <v>1.60851252458902E-5</v>
      </c>
    </row>
    <row r="40017" spans="1:6" x14ac:dyDescent="0.25">
      <c r="A40017" s="1" t="str">
        <f t="shared" si="1429"/>
        <v>99999</v>
      </c>
      <c r="B40017" s="1" t="str">
        <f>"64475"</f>
        <v>64475</v>
      </c>
      <c r="C40017" s="2">
        <v>4.3304356223366396E-6</v>
      </c>
      <c r="D40017" s="2">
        <v>4.5171266858293203E-6</v>
      </c>
      <c r="E40017" s="2">
        <v>0</v>
      </c>
      <c r="F40017" s="2">
        <v>4.2433152489158297E-6</v>
      </c>
    </row>
    <row r="40018" spans="1:6" x14ac:dyDescent="0.25">
      <c r="A40018" s="1" t="str">
        <f t="shared" si="1429"/>
        <v>99999</v>
      </c>
      <c r="B40018" s="1" t="str">
        <f>"64429"</f>
        <v>64429</v>
      </c>
      <c r="C40018" s="2">
        <v>4.2221747317782301E-6</v>
      </c>
      <c r="D40018" s="2">
        <v>1.50570889527644E-6</v>
      </c>
      <c r="E40018" s="2">
        <v>0</v>
      </c>
      <c r="F40018" s="2">
        <v>3.94726999899147E-6</v>
      </c>
    </row>
    <row r="40019" spans="1:6" x14ac:dyDescent="0.25">
      <c r="A40019" s="1" t="str">
        <f t="shared" si="1429"/>
        <v>99999</v>
      </c>
      <c r="B40019" s="1" t="str">
        <f>"63936"</f>
        <v>63936</v>
      </c>
      <c r="C40019" s="2">
        <v>4.4278704238392203E-5</v>
      </c>
      <c r="D40019" s="2">
        <v>4.6676975753569603E-5</v>
      </c>
      <c r="E40019" s="2">
        <v>2.15052838482415E-5</v>
      </c>
      <c r="F40019" s="2">
        <v>4.3913378738780102E-5</v>
      </c>
    </row>
    <row r="40020" spans="1:6" x14ac:dyDescent="0.25">
      <c r="A40020" s="1" t="str">
        <f t="shared" si="1429"/>
        <v>99999</v>
      </c>
      <c r="B40020" s="1" t="str">
        <f>"68047"</f>
        <v>68047</v>
      </c>
      <c r="C40020" s="2">
        <v>8.3252624839422006E-5</v>
      </c>
      <c r="D40020" s="2">
        <v>6.1734064706334002E-5</v>
      </c>
      <c r="E40020" s="2">
        <v>7.3117965084021106E-5</v>
      </c>
      <c r="F40020" s="2">
        <v>8.1609807229148594E-5</v>
      </c>
    </row>
    <row r="40021" spans="1:6" x14ac:dyDescent="0.25">
      <c r="A40021" s="1" t="str">
        <f t="shared" si="1429"/>
        <v>99999</v>
      </c>
      <c r="B40021" s="1" t="str">
        <f>"67853"</f>
        <v>67853</v>
      </c>
      <c r="C40021" s="2">
        <v>3.00965275752396E-5</v>
      </c>
      <c r="D40021" s="2">
        <v>1.80685067433172E-5</v>
      </c>
      <c r="E40021" s="2">
        <v>1.72042270785932E-5</v>
      </c>
      <c r="F40021" s="2">
        <v>2.9012434492587301E-5</v>
      </c>
    </row>
    <row r="40022" spans="1:6" x14ac:dyDescent="0.25">
      <c r="A40022" s="1" t="str">
        <f t="shared" si="1429"/>
        <v>99999</v>
      </c>
      <c r="B40022" s="1" t="str">
        <f>"67057"</f>
        <v>67057</v>
      </c>
      <c r="C40022" s="2">
        <v>1.5264785568736599E-5</v>
      </c>
      <c r="D40022" s="2">
        <v>2.55970512196994E-5</v>
      </c>
      <c r="E40022" s="2">
        <v>8.6021135392965999E-6</v>
      </c>
      <c r="F40022" s="2">
        <v>1.5789079995965799E-5</v>
      </c>
    </row>
    <row r="40023" spans="1:6" x14ac:dyDescent="0.25">
      <c r="A40023" s="1" t="str">
        <f t="shared" si="1429"/>
        <v>99999</v>
      </c>
      <c r="B40023" s="1" t="str">
        <f>"67526"</f>
        <v>67526</v>
      </c>
      <c r="C40023" s="2">
        <v>2.49000048284357E-6</v>
      </c>
      <c r="D40023" s="2">
        <v>1.50570889527644E-6</v>
      </c>
      <c r="E40023" s="2">
        <v>0</v>
      </c>
      <c r="F40023" s="2">
        <v>2.3683619993948799E-6</v>
      </c>
    </row>
    <row r="40024" spans="1:6" x14ac:dyDescent="0.25">
      <c r="A40024" s="1" t="str">
        <f t="shared" si="1429"/>
        <v>99999</v>
      </c>
      <c r="B40024" s="1" t="str">
        <f>"67640"</f>
        <v>67640</v>
      </c>
      <c r="C40024" s="2">
        <v>1.5373046459294999E-5</v>
      </c>
      <c r="D40024" s="2">
        <v>0</v>
      </c>
      <c r="E40024" s="2">
        <v>4.3010567696482999E-6</v>
      </c>
      <c r="F40024" s="2">
        <v>1.41114902463945E-5</v>
      </c>
    </row>
    <row r="40025" spans="1:6" x14ac:dyDescent="0.25">
      <c r="A40025" s="1" t="str">
        <f t="shared" si="1429"/>
        <v>99999</v>
      </c>
      <c r="B40025" s="1" t="str">
        <f>"98672"</f>
        <v>98672</v>
      </c>
      <c r="C40025" s="2">
        <v>4.6573835118230599E-4</v>
      </c>
      <c r="D40025" s="2">
        <v>4.5472408637348502E-4</v>
      </c>
      <c r="E40025" s="2">
        <v>4.3010567696482999E-5</v>
      </c>
      <c r="F40025" s="2">
        <v>4.5531759438366599E-4</v>
      </c>
    </row>
    <row r="40026" spans="1:6" x14ac:dyDescent="0.25">
      <c r="A40026" s="1" t="str">
        <f t="shared" si="1429"/>
        <v>99999</v>
      </c>
      <c r="B40026" s="1" t="str">
        <f>"98670"</f>
        <v>98670</v>
      </c>
      <c r="C40026" s="2">
        <v>7.7947841202059606E-6</v>
      </c>
      <c r="D40026" s="2">
        <v>7.5285444763821999E-6</v>
      </c>
      <c r="E40026" s="2">
        <v>4.3010567696482999E-6</v>
      </c>
      <c r="F40026" s="2">
        <v>7.6971764980333696E-6</v>
      </c>
    </row>
    <row r="40027" spans="1:6" x14ac:dyDescent="0.25">
      <c r="A40027" s="1" t="str">
        <f t="shared" si="1429"/>
        <v>99999</v>
      </c>
      <c r="B40027" s="1" t="str">
        <f>"98614"</f>
        <v>98614</v>
      </c>
      <c r="C40027" s="2">
        <v>4.3196095332807998E-5</v>
      </c>
      <c r="D40027" s="2">
        <v>0</v>
      </c>
      <c r="E40027" s="2">
        <v>4.3010567696482999E-6</v>
      </c>
      <c r="F40027" s="2">
        <v>3.9472699989914703E-5</v>
      </c>
    </row>
    <row r="40028" spans="1:6" x14ac:dyDescent="0.25">
      <c r="A40028" s="1" t="str">
        <f t="shared" si="1429"/>
        <v>99999</v>
      </c>
      <c r="B40028" s="1" t="str">
        <f>"98624"</f>
        <v>98624</v>
      </c>
      <c r="C40028" s="2">
        <v>7.6215666953124904E-5</v>
      </c>
      <c r="D40028" s="2">
        <v>3.01141779055288E-6</v>
      </c>
      <c r="E40028" s="2">
        <v>2.58063406178898E-5</v>
      </c>
      <c r="F40028" s="2">
        <v>7.0261405982048202E-5</v>
      </c>
    </row>
    <row r="40029" spans="1:6" x14ac:dyDescent="0.25">
      <c r="A40029" s="1" t="str">
        <f t="shared" si="1429"/>
        <v>99999</v>
      </c>
      <c r="B40029" s="1" t="str">
        <f>"97741"</f>
        <v>97741</v>
      </c>
      <c r="C40029" s="2">
        <v>6.77280131333451E-4</v>
      </c>
      <c r="D40029" s="2">
        <v>9.9376787088244992E-4</v>
      </c>
      <c r="E40029" s="2">
        <v>7.8279233207599098E-4</v>
      </c>
      <c r="F40029" s="2">
        <v>7.0044306132103595E-4</v>
      </c>
    </row>
    <row r="40030" spans="1:6" x14ac:dyDescent="0.25">
      <c r="A40030" s="1" t="str">
        <f t="shared" si="1429"/>
        <v>99999</v>
      </c>
      <c r="B40030" s="1" t="str">
        <f>"97637"</f>
        <v>97637</v>
      </c>
      <c r="C40030" s="2">
        <v>9.4186974785821993E-6</v>
      </c>
      <c r="D40030" s="2">
        <v>1.50570889527644E-6</v>
      </c>
      <c r="E40030" s="2">
        <v>4.3010567696482999E-6</v>
      </c>
      <c r="F40030" s="2">
        <v>8.7826757477560201E-6</v>
      </c>
    </row>
    <row r="40031" spans="1:6" x14ac:dyDescent="0.25">
      <c r="A40031" s="1" t="str">
        <f t="shared" si="1429"/>
        <v>99999</v>
      </c>
      <c r="B40031" s="1" t="str">
        <f>"97638"</f>
        <v>97638</v>
      </c>
      <c r="C40031" s="2">
        <v>4.2763051770574302E-5</v>
      </c>
      <c r="D40031" s="2">
        <v>6.0228355811057601E-6</v>
      </c>
      <c r="E40031" s="2">
        <v>8.6021135392965999E-6</v>
      </c>
      <c r="F40031" s="2">
        <v>3.95713817398895E-5</v>
      </c>
    </row>
    <row r="40032" spans="1:6" x14ac:dyDescent="0.25">
      <c r="A40032" s="1" t="str">
        <f t="shared" si="1429"/>
        <v>99999</v>
      </c>
      <c r="B40032" s="1" t="str">
        <f>"97820"</f>
        <v>97820</v>
      </c>
      <c r="C40032" s="2">
        <v>6.4956534335049697E-5</v>
      </c>
      <c r="D40032" s="2">
        <v>6.1734064706334002E-5</v>
      </c>
      <c r="E40032" s="2">
        <v>1.72042270785932E-5</v>
      </c>
      <c r="F40032" s="2">
        <v>6.3649728733737403E-5</v>
      </c>
    </row>
    <row r="40033" spans="1:6" x14ac:dyDescent="0.25">
      <c r="A40033" s="1" t="str">
        <f t="shared" si="1429"/>
        <v>99999</v>
      </c>
      <c r="B40033" s="1" t="str">
        <f>"97877"</f>
        <v>97877</v>
      </c>
      <c r="C40033" s="2">
        <v>6.4090447210582305E-5</v>
      </c>
      <c r="D40033" s="2">
        <v>4.5171266858293203E-6</v>
      </c>
      <c r="E40033" s="2">
        <v>4.3010567696482999E-6</v>
      </c>
      <c r="F40033" s="2">
        <v>5.8814322984972897E-5</v>
      </c>
    </row>
    <row r="40034" spans="1:6" x14ac:dyDescent="0.25">
      <c r="A40034" s="1" t="str">
        <f t="shared" si="1429"/>
        <v>99999</v>
      </c>
      <c r="B40034" s="1" t="str">
        <f>"97065"</f>
        <v>97065</v>
      </c>
      <c r="C40034" s="2">
        <v>3.5293050322043599E-5</v>
      </c>
      <c r="D40034" s="2">
        <v>3.1619886800805203E-5</v>
      </c>
      <c r="E40034" s="2">
        <v>2.0645072494311799E-4</v>
      </c>
      <c r="F40034" s="2">
        <v>3.8979291240040697E-5</v>
      </c>
    </row>
    <row r="40035" spans="1:6" x14ac:dyDescent="0.25">
      <c r="A40035" s="1" t="str">
        <f t="shared" si="1429"/>
        <v>99999</v>
      </c>
      <c r="B40035" s="1" t="str">
        <f>"98376"</f>
        <v>98376</v>
      </c>
      <c r="C40035" s="2">
        <v>1.72676120440673E-4</v>
      </c>
      <c r="D40035" s="2">
        <v>1.2196242051739101E-4</v>
      </c>
      <c r="E40035" s="2">
        <v>4.7311624466131299E-5</v>
      </c>
      <c r="F40035" s="2">
        <v>1.6647611220746501E-4</v>
      </c>
    </row>
    <row r="40036" spans="1:6" x14ac:dyDescent="0.25">
      <c r="A40036" s="1" t="str">
        <f t="shared" si="1429"/>
        <v>99999</v>
      </c>
      <c r="B40036" s="1" t="str">
        <f>"98382"</f>
        <v>98382</v>
      </c>
      <c r="C40036" s="2">
        <v>2.5982613734019799E-5</v>
      </c>
      <c r="D40036" s="2">
        <v>1.0539962266935E-5</v>
      </c>
      <c r="E40036" s="2">
        <v>0</v>
      </c>
      <c r="F40036" s="2">
        <v>2.4374392243772301E-5</v>
      </c>
    </row>
    <row r="40037" spans="1:6" x14ac:dyDescent="0.25">
      <c r="A40037" s="1" t="str">
        <f t="shared" si="1429"/>
        <v>99999</v>
      </c>
      <c r="B40037" s="1" t="str">
        <f>"98245"</f>
        <v>98245</v>
      </c>
      <c r="C40037" s="2">
        <v>2.25940478595414E-4</v>
      </c>
      <c r="D40037" s="2">
        <v>1.79179358537896E-4</v>
      </c>
      <c r="E40037" s="2">
        <v>7.6515799932043299E-3</v>
      </c>
      <c r="F40037" s="2">
        <v>3.9324677364952501E-4</v>
      </c>
    </row>
    <row r="40038" spans="1:6" x14ac:dyDescent="0.25">
      <c r="A40038" s="1" t="str">
        <f t="shared" si="1429"/>
        <v>99999</v>
      </c>
      <c r="B40038" s="1" t="str">
        <f>"83805"</f>
        <v>83805</v>
      </c>
      <c r="C40038" s="2">
        <v>5.4476880128995003E-4</v>
      </c>
      <c r="D40038" s="2">
        <v>6.8660325624605599E-4</v>
      </c>
      <c r="E40038" s="2">
        <v>5.8494372067216895E-4</v>
      </c>
      <c r="F40038" s="2">
        <v>5.5498616185820104E-4</v>
      </c>
    </row>
    <row r="40039" spans="1:6" x14ac:dyDescent="0.25">
      <c r="A40039" s="1" t="str">
        <f t="shared" si="1429"/>
        <v>99999</v>
      </c>
      <c r="B40039" s="1" t="str">
        <f>"83812"</f>
        <v>83812</v>
      </c>
      <c r="C40039" s="2">
        <v>2.49000048284357E-6</v>
      </c>
      <c r="D40039" s="2">
        <v>1.50570889527644E-6</v>
      </c>
      <c r="E40039" s="2">
        <v>4.3010567696482999E-6</v>
      </c>
      <c r="F40039" s="2">
        <v>2.4670437493696702E-6</v>
      </c>
    </row>
    <row r="40040" spans="1:6" x14ac:dyDescent="0.25">
      <c r="A40040" s="1" t="str">
        <f t="shared" si="1429"/>
        <v>99999</v>
      </c>
      <c r="B40040" s="1" t="str">
        <f>"83547"</f>
        <v>83547</v>
      </c>
      <c r="C40040" s="2">
        <v>8.5526103541148705E-6</v>
      </c>
      <c r="D40040" s="2">
        <v>0</v>
      </c>
      <c r="E40040" s="2">
        <v>2.23654952021711E-4</v>
      </c>
      <c r="F40040" s="2">
        <v>1.2927309246696999E-5</v>
      </c>
    </row>
    <row r="40041" spans="1:6" x14ac:dyDescent="0.25">
      <c r="A40041" s="1" t="str">
        <f t="shared" si="1429"/>
        <v>99999</v>
      </c>
      <c r="B40041" s="1" t="str">
        <f>"83552"</f>
        <v>83552</v>
      </c>
      <c r="C40041" s="2">
        <v>5.5321315075350597E-5</v>
      </c>
      <c r="D40041" s="2">
        <v>1.0539962266935E-5</v>
      </c>
      <c r="E40041" s="2">
        <v>3.3548242803256698E-4</v>
      </c>
      <c r="F40041" s="2">
        <v>5.8814322984972897E-5</v>
      </c>
    </row>
    <row r="40042" spans="1:6" x14ac:dyDescent="0.25">
      <c r="A40042" s="1" t="str">
        <f t="shared" si="1429"/>
        <v>99999</v>
      </c>
      <c r="B40042" s="1" t="str">
        <f>"99603"</f>
        <v>99603</v>
      </c>
      <c r="C40042" s="2">
        <v>3.8649137929354501E-4</v>
      </c>
      <c r="D40042" s="2">
        <v>9.4407947733832795E-4</v>
      </c>
      <c r="E40042" s="2">
        <v>1.2301022361194099E-3</v>
      </c>
      <c r="F40042" s="2">
        <v>4.4239028513696902E-4</v>
      </c>
    </row>
    <row r="40043" spans="1:6" x14ac:dyDescent="0.25">
      <c r="A40043" s="1" t="str">
        <f t="shared" si="1429"/>
        <v>99999</v>
      </c>
      <c r="B40043" s="1" t="str">
        <f>"99615"</f>
        <v>99615</v>
      </c>
      <c r="C40043" s="2">
        <v>5.0103140150435004E-4</v>
      </c>
      <c r="D40043" s="2">
        <v>8.1308280344927696E-4</v>
      </c>
      <c r="E40043" s="2">
        <v>1.6301005156967E-3</v>
      </c>
      <c r="F40043" s="2">
        <v>5.4738766711014196E-4</v>
      </c>
    </row>
    <row r="40044" spans="1:6" x14ac:dyDescent="0.25">
      <c r="A40044" s="1" t="str">
        <f t="shared" si="1429"/>
        <v>99999</v>
      </c>
      <c r="B40044" s="1" t="str">
        <f>"99573"</f>
        <v>99573</v>
      </c>
      <c r="C40044" s="2">
        <v>4.28713126611328E-5</v>
      </c>
      <c r="D40044" s="2">
        <v>1.20456711622115E-5</v>
      </c>
      <c r="E40044" s="2">
        <v>4.3010567696482999E-6</v>
      </c>
      <c r="F40044" s="2">
        <v>3.99661087397886E-5</v>
      </c>
    </row>
    <row r="40045" spans="1:6" x14ac:dyDescent="0.25">
      <c r="A40045" s="1" t="str">
        <f t="shared" si="1429"/>
        <v>99999</v>
      </c>
      <c r="B40045" s="1" t="str">
        <f>"04490"</f>
        <v>04490</v>
      </c>
      <c r="C40045" s="2">
        <v>1.1908697961425701E-5</v>
      </c>
      <c r="D40045" s="2">
        <v>1.50570889527644E-5</v>
      </c>
      <c r="E40045" s="2">
        <v>4.3010567696482999E-6</v>
      </c>
      <c r="F40045" s="2">
        <v>1.19404917469492E-5</v>
      </c>
    </row>
    <row r="40046" spans="1:6" x14ac:dyDescent="0.25">
      <c r="A40046" s="1" t="str">
        <f t="shared" si="1429"/>
        <v>99999</v>
      </c>
      <c r="B40046" s="1" t="str">
        <f>"04261"</f>
        <v>04261</v>
      </c>
      <c r="C40046" s="2">
        <v>3.6700441899303002E-5</v>
      </c>
      <c r="D40046" s="2">
        <v>1.80685067433172E-5</v>
      </c>
      <c r="E40046" s="2">
        <v>2.58063406178898E-5</v>
      </c>
      <c r="F40046" s="2">
        <v>3.5229384740998803E-5</v>
      </c>
    </row>
    <row r="40047" spans="1:6" x14ac:dyDescent="0.25">
      <c r="A40047" s="1" t="str">
        <f t="shared" si="1429"/>
        <v>99999</v>
      </c>
      <c r="B40047" s="1" t="str">
        <f>"04982"</f>
        <v>04982</v>
      </c>
      <c r="C40047" s="2">
        <v>7.6865232296475401E-6</v>
      </c>
      <c r="D40047" s="2">
        <v>1.50570889527644E-6</v>
      </c>
      <c r="E40047" s="2">
        <v>2.15052838482415E-5</v>
      </c>
      <c r="F40047" s="2">
        <v>7.5984947480585801E-6</v>
      </c>
    </row>
    <row r="40048" spans="1:6" x14ac:dyDescent="0.25">
      <c r="A40048" s="1" t="str">
        <f t="shared" si="1429"/>
        <v>99999</v>
      </c>
      <c r="B40048" s="1" t="str">
        <f>"04735"</f>
        <v>04735</v>
      </c>
      <c r="C40048" s="2">
        <v>2.99882666846812E-5</v>
      </c>
      <c r="D40048" s="2">
        <v>2.4091342324423E-5</v>
      </c>
      <c r="E40048" s="2">
        <v>4.3010567696482999E-6</v>
      </c>
      <c r="F40048" s="2">
        <v>2.9012434492587301E-5</v>
      </c>
    </row>
    <row r="40049" spans="1:6" x14ac:dyDescent="0.25">
      <c r="A40049" s="1" t="str">
        <f t="shared" si="1429"/>
        <v>99999</v>
      </c>
      <c r="B40049" s="1" t="str">
        <f>"04772"</f>
        <v>04772</v>
      </c>
      <c r="C40049" s="2">
        <v>3.1179136480823802E-5</v>
      </c>
      <c r="D40049" s="2">
        <v>9.0342533716586405E-6</v>
      </c>
      <c r="E40049" s="2">
        <v>3.01073973875381E-5</v>
      </c>
      <c r="F40049" s="2">
        <v>2.9703206742410799E-5</v>
      </c>
    </row>
    <row r="40050" spans="1:6" x14ac:dyDescent="0.25">
      <c r="A40050" s="1" t="str">
        <f t="shared" si="1429"/>
        <v>99999</v>
      </c>
      <c r="B40050" s="1" t="str">
        <f>"04685"</f>
        <v>04685</v>
      </c>
      <c r="C40050" s="2">
        <v>1.8404351394930699E-5</v>
      </c>
      <c r="D40050" s="2">
        <v>3.01141779055288E-6</v>
      </c>
      <c r="E40050" s="2">
        <v>3.44084541571864E-5</v>
      </c>
      <c r="F40050" s="2">
        <v>1.77627149954616E-5</v>
      </c>
    </row>
    <row r="40051" spans="1:6" x14ac:dyDescent="0.25">
      <c r="A40051" s="1" t="str">
        <f t="shared" si="1429"/>
        <v>99999</v>
      </c>
      <c r="B40051" s="1" t="str">
        <f>"04573"</f>
        <v>04573</v>
      </c>
      <c r="C40051" s="2">
        <v>2.4900004828435702E-5</v>
      </c>
      <c r="D40051" s="2">
        <v>9.0342533716586405E-6</v>
      </c>
      <c r="E40051" s="2">
        <v>3.01073973875381E-5</v>
      </c>
      <c r="F40051" s="2">
        <v>2.3979665243873099E-5</v>
      </c>
    </row>
    <row r="40052" spans="1:6" x14ac:dyDescent="0.25">
      <c r="A40052" s="1" t="str">
        <f t="shared" si="1429"/>
        <v>99999</v>
      </c>
      <c r="B40052" s="1" t="str">
        <f>"04681"</f>
        <v>04681</v>
      </c>
      <c r="C40052" s="2">
        <v>6.3224360086114995E-5</v>
      </c>
      <c r="D40052" s="2">
        <v>2.7102760114975901E-5</v>
      </c>
      <c r="E40052" s="2">
        <v>6.4515851544724506E-5</v>
      </c>
      <c r="F40052" s="2">
        <v>6.0886639734443397E-5</v>
      </c>
    </row>
    <row r="40053" spans="1:6" x14ac:dyDescent="0.25">
      <c r="A40053" s="1" t="str">
        <f t="shared" si="1429"/>
        <v>99999</v>
      </c>
      <c r="B40053" s="1" t="str">
        <f>"04563"</f>
        <v>04563</v>
      </c>
      <c r="C40053" s="2">
        <v>8.5093059978915098E-5</v>
      </c>
      <c r="D40053" s="2">
        <v>9.0342533716586405E-6</v>
      </c>
      <c r="E40053" s="2">
        <v>3.01073973875381E-5</v>
      </c>
      <c r="F40053" s="2">
        <v>7.8846718229854602E-5</v>
      </c>
    </row>
    <row r="40054" spans="1:6" x14ac:dyDescent="0.25">
      <c r="A40054" s="1" t="str">
        <f t="shared" si="1429"/>
        <v>99999</v>
      </c>
      <c r="B40054" s="1" t="str">
        <f>"05355"</f>
        <v>05355</v>
      </c>
      <c r="C40054" s="2">
        <v>1.7213481598788101E-5</v>
      </c>
      <c r="D40054" s="2">
        <v>3.01141779055288E-6</v>
      </c>
      <c r="E40054" s="2">
        <v>4.3010567696482999E-6</v>
      </c>
      <c r="F40054" s="2">
        <v>1.5986443495915399E-5</v>
      </c>
    </row>
    <row r="40055" spans="1:6" x14ac:dyDescent="0.25">
      <c r="A40055" s="1" t="str">
        <f t="shared" si="1429"/>
        <v>99999</v>
      </c>
      <c r="B40055" s="1" t="str">
        <f>"12439"</f>
        <v>12439</v>
      </c>
      <c r="C40055" s="2">
        <v>2.0353047424982201E-5</v>
      </c>
      <c r="D40055" s="2">
        <v>1.0539962266935E-5</v>
      </c>
      <c r="E40055" s="2">
        <v>4.3010567696482999E-5</v>
      </c>
      <c r="F40055" s="2">
        <v>2.0229758744831201E-5</v>
      </c>
    </row>
    <row r="40056" spans="1:6" x14ac:dyDescent="0.25">
      <c r="A40056" s="1" t="str">
        <f t="shared" si="1429"/>
        <v>99999</v>
      </c>
      <c r="B40056" s="1" t="str">
        <f>"12473"</f>
        <v>12473</v>
      </c>
      <c r="C40056" s="2">
        <v>3.0854353809148598E-5</v>
      </c>
      <c r="D40056" s="2">
        <v>7.5285444763821999E-6</v>
      </c>
      <c r="E40056" s="2">
        <v>4.3010567696482999E-6</v>
      </c>
      <c r="F40056" s="2">
        <v>2.87163892426629E-5</v>
      </c>
    </row>
    <row r="40057" spans="1:6" x14ac:dyDescent="0.25">
      <c r="A40057" s="1" t="str">
        <f t="shared" si="1429"/>
        <v>99999</v>
      </c>
      <c r="B40057" s="1" t="str">
        <f>"12847"</f>
        <v>12847</v>
      </c>
      <c r="C40057" s="2">
        <v>6.2358272961647698E-5</v>
      </c>
      <c r="D40057" s="2">
        <v>1.80685067433172E-5</v>
      </c>
      <c r="E40057" s="2">
        <v>3.01073973875381E-5</v>
      </c>
      <c r="F40057" s="2">
        <v>5.87156412349981E-5</v>
      </c>
    </row>
    <row r="40058" spans="1:6" x14ac:dyDescent="0.25">
      <c r="A40058" s="1" t="str">
        <f t="shared" si="1429"/>
        <v>99999</v>
      </c>
      <c r="B40058" s="1" t="str">
        <f>"13305"</f>
        <v>13305</v>
      </c>
      <c r="C40058" s="2">
        <v>0</v>
      </c>
      <c r="D40058" s="2">
        <v>0</v>
      </c>
      <c r="E40058" s="2">
        <v>4.3010567696482999E-6</v>
      </c>
      <c r="F40058" s="2">
        <v>9.8681749974786797E-8</v>
      </c>
    </row>
    <row r="40059" spans="1:6" x14ac:dyDescent="0.25">
      <c r="A40059" s="1" t="str">
        <f t="shared" si="1429"/>
        <v>99999</v>
      </c>
      <c r="B40059" s="1" t="str">
        <f>"14777"</f>
        <v>14777</v>
      </c>
      <c r="C40059" s="2">
        <v>2.5116526609552499E-5</v>
      </c>
      <c r="D40059" s="2">
        <v>9.0342533716586405E-6</v>
      </c>
      <c r="E40059" s="2">
        <v>3.8709510926834699E-5</v>
      </c>
      <c r="F40059" s="2">
        <v>2.4374392243772301E-5</v>
      </c>
    </row>
    <row r="40060" spans="1:6" x14ac:dyDescent="0.25">
      <c r="A40060" s="1" t="str">
        <f t="shared" si="1429"/>
        <v>99999</v>
      </c>
      <c r="B40060" s="1" t="str">
        <f>"15341"</f>
        <v>15341</v>
      </c>
      <c r="C40060" s="2">
        <v>4.8825661641845601E-5</v>
      </c>
      <c r="D40060" s="2">
        <v>2.4091342324423E-5</v>
      </c>
      <c r="E40060" s="2">
        <v>4.3010567696482999E-6</v>
      </c>
      <c r="F40060" s="2">
        <v>4.6183058988200197E-5</v>
      </c>
    </row>
    <row r="40061" spans="1:6" x14ac:dyDescent="0.25">
      <c r="A40061" s="1" t="str">
        <f t="shared" si="1429"/>
        <v>99999</v>
      </c>
      <c r="B40061" s="1" t="str">
        <f>"15316"</f>
        <v>15316</v>
      </c>
      <c r="C40061" s="2">
        <v>3.7891311695445602E-6</v>
      </c>
      <c r="D40061" s="2">
        <v>0</v>
      </c>
      <c r="E40061" s="2">
        <v>8.6021135392965999E-6</v>
      </c>
      <c r="F40061" s="2">
        <v>3.6512247490671102E-6</v>
      </c>
    </row>
    <row r="40062" spans="1:6" x14ac:dyDescent="0.25">
      <c r="A40062" s="1" t="str">
        <f t="shared" si="1429"/>
        <v>99999</v>
      </c>
      <c r="B40062" s="1" t="str">
        <f>"16260"</f>
        <v>16260</v>
      </c>
      <c r="C40062" s="2">
        <v>1.5373046459294999E-5</v>
      </c>
      <c r="D40062" s="2">
        <v>4.5171266858293203E-6</v>
      </c>
      <c r="E40062" s="2">
        <v>4.3010567696482999E-6</v>
      </c>
      <c r="F40062" s="2">
        <v>1.4407535496318799E-5</v>
      </c>
    </row>
    <row r="40063" spans="1:6" x14ac:dyDescent="0.25">
      <c r="A40063" s="1" t="str">
        <f t="shared" si="1429"/>
        <v>99999</v>
      </c>
      <c r="B40063" s="1" t="str">
        <f>"16670"</f>
        <v>16670</v>
      </c>
      <c r="C40063" s="2">
        <v>9.6352192596990302E-6</v>
      </c>
      <c r="D40063" s="2">
        <v>1.50570889527644E-6</v>
      </c>
      <c r="E40063" s="2">
        <v>8.6021135392965999E-6</v>
      </c>
      <c r="F40063" s="2">
        <v>9.0787209976803807E-6</v>
      </c>
    </row>
    <row r="40064" spans="1:6" x14ac:dyDescent="0.25">
      <c r="A40064" s="1" t="str">
        <f t="shared" si="1429"/>
        <v>99999</v>
      </c>
      <c r="B40064" s="1" t="str">
        <f>"17014"</f>
        <v>17014</v>
      </c>
      <c r="C40064" s="2">
        <v>6.8204361051802096E-6</v>
      </c>
      <c r="D40064" s="2">
        <v>3.01141779055288E-6</v>
      </c>
      <c r="E40064" s="2">
        <v>2.58063406178898E-5</v>
      </c>
      <c r="F40064" s="2">
        <v>7.0064042482098597E-6</v>
      </c>
    </row>
    <row r="40065" spans="1:6" x14ac:dyDescent="0.25">
      <c r="A40065" s="1" t="str">
        <f t="shared" si="1429"/>
        <v>99999</v>
      </c>
      <c r="B40065" s="1" t="str">
        <f>"18632"</f>
        <v>18632</v>
      </c>
      <c r="C40065" s="2">
        <v>7.3617405579722903E-6</v>
      </c>
      <c r="D40065" s="2">
        <v>4.5171266858293203E-6</v>
      </c>
      <c r="E40065" s="2">
        <v>0</v>
      </c>
      <c r="F40065" s="2">
        <v>7.0064042482098597E-6</v>
      </c>
    </row>
    <row r="40066" spans="1:6" x14ac:dyDescent="0.25">
      <c r="A40066" s="1" t="str">
        <f t="shared" si="1429"/>
        <v>99999</v>
      </c>
      <c r="B40066" s="1" t="str">
        <f>"18629"</f>
        <v>18629</v>
      </c>
      <c r="C40066" s="2">
        <v>7.5782623390891299E-7</v>
      </c>
      <c r="D40066" s="2">
        <v>0</v>
      </c>
      <c r="E40066" s="2">
        <v>0</v>
      </c>
      <c r="F40066" s="2">
        <v>6.9077224982350697E-7</v>
      </c>
    </row>
    <row r="40067" spans="1:6" x14ac:dyDescent="0.25">
      <c r="A40067" s="1" t="str">
        <f t="shared" si="1429"/>
        <v>99999</v>
      </c>
      <c r="B40067" s="1" t="str">
        <f>"24483"</f>
        <v>24483</v>
      </c>
      <c r="C40067" s="2">
        <v>2.82560924357466E-5</v>
      </c>
      <c r="D40067" s="2">
        <v>1.50570889527644E-5</v>
      </c>
      <c r="E40067" s="2">
        <v>4.3010567696482999E-6</v>
      </c>
      <c r="F40067" s="2">
        <v>2.6841435993142E-5</v>
      </c>
    </row>
    <row r="40068" spans="1:6" x14ac:dyDescent="0.25">
      <c r="A40068" s="1" t="str">
        <f t="shared" si="1429"/>
        <v>99999</v>
      </c>
      <c r="B40068" s="1" t="str">
        <f>"24082"</f>
        <v>24082</v>
      </c>
      <c r="C40068" s="2">
        <v>1.87291340666059E-5</v>
      </c>
      <c r="D40068" s="2">
        <v>3.01141779055288E-6</v>
      </c>
      <c r="E40068" s="2">
        <v>4.3010567696482999E-6</v>
      </c>
      <c r="F40068" s="2">
        <v>1.7367987995562399E-5</v>
      </c>
    </row>
    <row r="40069" spans="1:6" x14ac:dyDescent="0.25">
      <c r="A40069" s="1" t="str">
        <f t="shared" si="1429"/>
        <v>99999</v>
      </c>
      <c r="B40069" s="1" t="str">
        <f>"24347"</f>
        <v>24347</v>
      </c>
      <c r="C40069" s="2">
        <v>5.3047836373623898E-6</v>
      </c>
      <c r="D40069" s="2">
        <v>0</v>
      </c>
      <c r="E40069" s="2">
        <v>0</v>
      </c>
      <c r="F40069" s="2">
        <v>4.8354057487645501E-6</v>
      </c>
    </row>
    <row r="40070" spans="1:6" x14ac:dyDescent="0.25">
      <c r="A40070" s="1" t="str">
        <f t="shared" ref="A40070:A40133" si="1430">"99999"</f>
        <v>99999</v>
      </c>
      <c r="B40070" s="1" t="str">
        <f>"24920"</f>
        <v>24920</v>
      </c>
      <c r="C40070" s="2">
        <v>1.5589568240411901E-5</v>
      </c>
      <c r="D40070" s="2">
        <v>6.0228355811057601E-6</v>
      </c>
      <c r="E40070" s="2">
        <v>0</v>
      </c>
      <c r="F40070" s="2">
        <v>1.46048989962684E-5</v>
      </c>
    </row>
    <row r="40071" spans="1:6" x14ac:dyDescent="0.25">
      <c r="A40071" s="1" t="str">
        <f t="shared" si="1430"/>
        <v>99999</v>
      </c>
      <c r="B40071" s="1" t="str">
        <f>"25672"</f>
        <v>25672</v>
      </c>
      <c r="C40071" s="2">
        <v>1.6672177145996001E-5</v>
      </c>
      <c r="D40071" s="2">
        <v>4.5171266858293203E-6</v>
      </c>
      <c r="E40071" s="2">
        <v>0</v>
      </c>
      <c r="F40071" s="2">
        <v>1.5493034746041499E-5</v>
      </c>
    </row>
    <row r="40072" spans="1:6" x14ac:dyDescent="0.25">
      <c r="A40072" s="1" t="str">
        <f t="shared" si="1430"/>
        <v>99999</v>
      </c>
      <c r="B40072" s="1" t="str">
        <f>"27826"</f>
        <v>27826</v>
      </c>
      <c r="C40072" s="2">
        <v>3.8216094367120903E-5</v>
      </c>
      <c r="D40072" s="2">
        <v>1.80685067433172E-5</v>
      </c>
      <c r="E40072" s="2">
        <v>0</v>
      </c>
      <c r="F40072" s="2">
        <v>3.6018838740797098E-5</v>
      </c>
    </row>
    <row r="40073" spans="1:6" x14ac:dyDescent="0.25">
      <c r="A40073" s="1" t="str">
        <f t="shared" si="1430"/>
        <v>99999</v>
      </c>
      <c r="B40073" s="1" t="str">
        <f>"29849"</f>
        <v>29849</v>
      </c>
      <c r="C40073" s="2">
        <v>1.76465251610218E-5</v>
      </c>
      <c r="D40073" s="2">
        <v>1.50570889527644E-5</v>
      </c>
      <c r="E40073" s="2">
        <v>0</v>
      </c>
      <c r="F40073" s="2">
        <v>1.7071942745638099E-5</v>
      </c>
    </row>
    <row r="40074" spans="1:6" x14ac:dyDescent="0.25">
      <c r="A40074" s="1" t="str">
        <f t="shared" si="1430"/>
        <v>99999</v>
      </c>
      <c r="B40074" s="1" t="str">
        <f>"32443"</f>
        <v>32443</v>
      </c>
      <c r="C40074" s="2">
        <v>1.7603220804798399E-4</v>
      </c>
      <c r="D40074" s="2">
        <v>5.2699811334675399E-5</v>
      </c>
      <c r="E40074" s="2">
        <v>1.07526419241207E-4</v>
      </c>
      <c r="F40074" s="2">
        <v>1.6637743045748999E-4</v>
      </c>
    </row>
    <row r="40075" spans="1:6" x14ac:dyDescent="0.25">
      <c r="A40075" s="1" t="str">
        <f t="shared" si="1430"/>
        <v>99999</v>
      </c>
      <c r="B40075" s="1" t="str">
        <f>"32423"</f>
        <v>32423</v>
      </c>
      <c r="C40075" s="2">
        <v>8.6175668884499201E-5</v>
      </c>
      <c r="D40075" s="2">
        <v>2.7102760114975901E-5</v>
      </c>
      <c r="E40075" s="2">
        <v>8.6021135392965999E-6</v>
      </c>
      <c r="F40075" s="2">
        <v>8.0524307979425996E-5</v>
      </c>
    </row>
    <row r="40076" spans="1:6" x14ac:dyDescent="0.25">
      <c r="A40076" s="1" t="str">
        <f t="shared" si="1430"/>
        <v>99999</v>
      </c>
      <c r="B40076" s="1" t="str">
        <f>"37059"</f>
        <v>37059</v>
      </c>
      <c r="C40076" s="2">
        <v>9.2887844099120997E-5</v>
      </c>
      <c r="D40076" s="2">
        <v>4.9688393544122498E-5</v>
      </c>
      <c r="E40076" s="2">
        <v>0</v>
      </c>
      <c r="F40076" s="2">
        <v>8.7925439227534995E-5</v>
      </c>
    </row>
    <row r="40077" spans="1:6" x14ac:dyDescent="0.25">
      <c r="A40077" s="1" t="str">
        <f t="shared" si="1430"/>
        <v>99999</v>
      </c>
      <c r="B40077" s="1" t="str">
        <f>"36558"</f>
        <v>36558</v>
      </c>
      <c r="C40077" s="2">
        <v>1.4723481115944499E-5</v>
      </c>
      <c r="D40077" s="2">
        <v>9.0342533716586405E-6</v>
      </c>
      <c r="E40077" s="2">
        <v>0</v>
      </c>
      <c r="F40077" s="2">
        <v>1.4012808496419701E-5</v>
      </c>
    </row>
    <row r="40078" spans="1:6" x14ac:dyDescent="0.25">
      <c r="A40078" s="1" t="str">
        <f t="shared" si="1430"/>
        <v>99999</v>
      </c>
      <c r="B40078" s="1" t="str">
        <f>"37846"</f>
        <v>37846</v>
      </c>
      <c r="C40078" s="2">
        <v>6.6905230365101097E-5</v>
      </c>
      <c r="D40078" s="2">
        <v>1.20456711622115E-5</v>
      </c>
      <c r="E40078" s="2">
        <v>1.29031703089449E-5</v>
      </c>
      <c r="F40078" s="2">
        <v>6.2070820734140894E-5</v>
      </c>
    </row>
    <row r="40079" spans="1:6" x14ac:dyDescent="0.25">
      <c r="A40079" s="1" t="str">
        <f t="shared" si="1430"/>
        <v>99999</v>
      </c>
      <c r="B40079" s="1" t="str">
        <f>"38670"</f>
        <v>38670</v>
      </c>
      <c r="C40079" s="2">
        <v>4.2763051770574302E-5</v>
      </c>
      <c r="D40079" s="2">
        <v>1.50570889527644E-5</v>
      </c>
      <c r="E40079" s="2">
        <v>8.6021135392965999E-6</v>
      </c>
      <c r="F40079" s="2">
        <v>4.0163472239738201E-5</v>
      </c>
    </row>
    <row r="40080" spans="1:6" x14ac:dyDescent="0.25">
      <c r="A40080" s="1" t="str">
        <f t="shared" si="1430"/>
        <v>99999</v>
      </c>
      <c r="B40080" s="1" t="str">
        <f>"38849"</f>
        <v>38849</v>
      </c>
      <c r="C40080" s="2">
        <v>2.85808751074218E-5</v>
      </c>
      <c r="D40080" s="2">
        <v>1.50570889527644E-6</v>
      </c>
      <c r="E40080" s="2">
        <v>4.3010567696482999E-6</v>
      </c>
      <c r="F40080" s="2">
        <v>2.6249345493293201E-5</v>
      </c>
    </row>
    <row r="40081" spans="1:6" x14ac:dyDescent="0.25">
      <c r="A40081" s="1" t="str">
        <f t="shared" si="1430"/>
        <v>99999</v>
      </c>
      <c r="B40081" s="1" t="str">
        <f>"42140"</f>
        <v>42140</v>
      </c>
      <c r="C40081" s="2">
        <v>7.0586100644087294E-5</v>
      </c>
      <c r="D40081" s="2">
        <v>5.7216938020504697E-5</v>
      </c>
      <c r="E40081" s="2">
        <v>4.3010567696482999E-5</v>
      </c>
      <c r="F40081" s="2">
        <v>6.9077224982350705E-5</v>
      </c>
    </row>
    <row r="40082" spans="1:6" x14ac:dyDescent="0.25">
      <c r="A40082" s="1" t="str">
        <f t="shared" si="1430"/>
        <v>99999</v>
      </c>
      <c r="B40082" s="1" t="str">
        <f>"41721"</f>
        <v>41721</v>
      </c>
      <c r="C40082" s="2">
        <v>4.0922616631081298E-5</v>
      </c>
      <c r="D40082" s="2">
        <v>1.80685067433172E-5</v>
      </c>
      <c r="E40082" s="2">
        <v>4.3010567696482999E-6</v>
      </c>
      <c r="F40082" s="2">
        <v>3.8584564240141597E-5</v>
      </c>
    </row>
    <row r="40083" spans="1:6" x14ac:dyDescent="0.25">
      <c r="A40083" s="1" t="str">
        <f t="shared" si="1430"/>
        <v>99999</v>
      </c>
      <c r="B40083" s="1" t="str">
        <f>"41849"</f>
        <v>41849</v>
      </c>
      <c r="C40083" s="2">
        <v>7.47000144853071E-6</v>
      </c>
      <c r="D40083" s="2">
        <v>0</v>
      </c>
      <c r="E40083" s="2">
        <v>4.3010567696482999E-6</v>
      </c>
      <c r="F40083" s="2">
        <v>6.9077224982350703E-6</v>
      </c>
    </row>
    <row r="40084" spans="1:6" x14ac:dyDescent="0.25">
      <c r="A40084" s="1" t="str">
        <f t="shared" si="1430"/>
        <v>99999</v>
      </c>
      <c r="B40084" s="1" t="str">
        <f>"41825"</f>
        <v>41825</v>
      </c>
      <c r="C40084" s="2">
        <v>1.9595221191073298E-5</v>
      </c>
      <c r="D40084" s="2">
        <v>3.01141779055288E-6</v>
      </c>
      <c r="E40084" s="2">
        <v>7.7419021853669399E-5</v>
      </c>
      <c r="F40084" s="2">
        <v>1.9835031744932101E-5</v>
      </c>
    </row>
    <row r="40085" spans="1:6" x14ac:dyDescent="0.25">
      <c r="A40085" s="1" t="str">
        <f t="shared" si="1430"/>
        <v>99999</v>
      </c>
      <c r="B40085" s="1" t="str">
        <f>"40816"</f>
        <v>40816</v>
      </c>
      <c r="C40085" s="2">
        <v>2.7065222639604001E-6</v>
      </c>
      <c r="D40085" s="2">
        <v>1.50570889527644E-6</v>
      </c>
      <c r="E40085" s="2">
        <v>3.44084541571864E-5</v>
      </c>
      <c r="F40085" s="2">
        <v>3.35517949914275E-6</v>
      </c>
    </row>
    <row r="40086" spans="1:6" x14ac:dyDescent="0.25">
      <c r="A40086" s="1" t="str">
        <f t="shared" si="1430"/>
        <v>99999</v>
      </c>
      <c r="B40086" s="1" t="str">
        <f>"41159"</f>
        <v>41159</v>
      </c>
      <c r="C40086" s="2">
        <v>2.92304404507723E-5</v>
      </c>
      <c r="D40086" s="2">
        <v>1.0539962266935E-5</v>
      </c>
      <c r="E40086" s="2">
        <v>4.3010567696482999E-6</v>
      </c>
      <c r="F40086" s="2">
        <v>2.7433526492990701E-5</v>
      </c>
    </row>
    <row r="40087" spans="1:6" x14ac:dyDescent="0.25">
      <c r="A40087" s="1" t="str">
        <f t="shared" si="1430"/>
        <v>99999</v>
      </c>
      <c r="B40087" s="1" t="str">
        <f>"40840"</f>
        <v>40840</v>
      </c>
      <c r="C40087" s="2">
        <v>2.0461308315540598E-5</v>
      </c>
      <c r="D40087" s="2">
        <v>4.5171266858293203E-6</v>
      </c>
      <c r="E40087" s="2">
        <v>1.29031703089449E-5</v>
      </c>
      <c r="F40087" s="2">
        <v>1.92429412450834E-5</v>
      </c>
    </row>
    <row r="40088" spans="1:6" x14ac:dyDescent="0.25">
      <c r="A40088" s="1" t="str">
        <f t="shared" si="1430"/>
        <v>99999</v>
      </c>
      <c r="B40088" s="1" t="str">
        <f>"47018"</f>
        <v>47018</v>
      </c>
      <c r="C40088" s="2">
        <v>4.3412617113924798E-5</v>
      </c>
      <c r="D40088" s="2">
        <v>2.8608469010252301E-5</v>
      </c>
      <c r="E40088" s="2">
        <v>8.6021135392965999E-6</v>
      </c>
      <c r="F40088" s="2">
        <v>4.1643698489360001E-5</v>
      </c>
    </row>
    <row r="40089" spans="1:6" x14ac:dyDescent="0.25">
      <c r="A40089" s="1" t="str">
        <f t="shared" si="1430"/>
        <v>99999</v>
      </c>
      <c r="B40089" s="1" t="str">
        <f>"77612"</f>
        <v>77612</v>
      </c>
      <c r="C40089" s="2">
        <v>3.6765398433638103E-4</v>
      </c>
      <c r="D40089" s="2">
        <v>1.58099434004026E-4</v>
      </c>
      <c r="E40089" s="2">
        <v>6.4515851544724506E-5</v>
      </c>
      <c r="F40089" s="2">
        <v>3.4696503291134999E-4</v>
      </c>
    </row>
    <row r="40090" spans="1:6" x14ac:dyDescent="0.25">
      <c r="A40090" s="1" t="str">
        <f t="shared" si="1430"/>
        <v>99999</v>
      </c>
      <c r="B40090" s="1" t="str">
        <f>"77465"</f>
        <v>77465</v>
      </c>
      <c r="C40090" s="2">
        <v>6.3982186320023902E-5</v>
      </c>
      <c r="D40090" s="2">
        <v>1.65627978480408E-5</v>
      </c>
      <c r="E40090" s="2">
        <v>0</v>
      </c>
      <c r="F40090" s="2">
        <v>5.9406413484821598E-5</v>
      </c>
    </row>
    <row r="40091" spans="1:6" x14ac:dyDescent="0.25">
      <c r="A40091" s="1" t="str">
        <f t="shared" si="1430"/>
        <v>99999</v>
      </c>
      <c r="B40091" s="1" t="str">
        <f>"77484"</f>
        <v>77484</v>
      </c>
      <c r="C40091" s="2">
        <v>3.5726093884277302E-5</v>
      </c>
      <c r="D40091" s="2">
        <v>1.50570889527644E-6</v>
      </c>
      <c r="E40091" s="2">
        <v>0</v>
      </c>
      <c r="F40091" s="2">
        <v>3.2663659241654398E-5</v>
      </c>
    </row>
    <row r="40092" spans="1:6" x14ac:dyDescent="0.25">
      <c r="A40092" s="1" t="str">
        <f t="shared" si="1430"/>
        <v>99999</v>
      </c>
      <c r="B40092" s="1" t="str">
        <f>"78022"</f>
        <v>78022</v>
      </c>
      <c r="C40092" s="2">
        <v>1.7105220708229699E-4</v>
      </c>
      <c r="D40092" s="2">
        <v>1.50570889527644E-4</v>
      </c>
      <c r="E40092" s="2">
        <v>9.8924305701910905E-5</v>
      </c>
      <c r="F40092" s="2">
        <v>1.68055020207061E-4</v>
      </c>
    </row>
    <row r="40093" spans="1:6" x14ac:dyDescent="0.25">
      <c r="A40093" s="1" t="str">
        <f t="shared" si="1430"/>
        <v>99999</v>
      </c>
      <c r="B40093" s="1" t="str">
        <f>"78060"</f>
        <v>78060</v>
      </c>
      <c r="C40093" s="2">
        <v>3.7891311695445602E-6</v>
      </c>
      <c r="D40093" s="2">
        <v>6.0228355811057601E-6</v>
      </c>
      <c r="E40093" s="2">
        <v>0</v>
      </c>
      <c r="F40093" s="2">
        <v>3.8485882490166797E-6</v>
      </c>
    </row>
    <row r="40094" spans="1:6" x14ac:dyDescent="0.25">
      <c r="A40094" s="1" t="str">
        <f t="shared" si="1430"/>
        <v>99999</v>
      </c>
      <c r="B40094" s="1" t="str">
        <f>"78117"</f>
        <v>78117</v>
      </c>
      <c r="C40094" s="2">
        <v>3.3669136963667403E-5</v>
      </c>
      <c r="D40094" s="2">
        <v>9.0342533716586405E-6</v>
      </c>
      <c r="E40094" s="2">
        <v>3.01073973875381E-5</v>
      </c>
      <c r="F40094" s="2">
        <v>3.19728869918309E-5</v>
      </c>
    </row>
    <row r="40095" spans="1:6" x14ac:dyDescent="0.25">
      <c r="A40095" s="1" t="str">
        <f t="shared" si="1430"/>
        <v>99999</v>
      </c>
      <c r="B40095" s="1" t="str">
        <f>"78070"</f>
        <v>78070</v>
      </c>
      <c r="C40095" s="2">
        <v>3.5293050322043599E-5</v>
      </c>
      <c r="D40095" s="2">
        <v>3.01141779055288E-6</v>
      </c>
      <c r="E40095" s="2">
        <v>8.6021135392965999E-6</v>
      </c>
      <c r="F40095" s="2">
        <v>3.2564977491679601E-5</v>
      </c>
    </row>
    <row r="40096" spans="1:6" x14ac:dyDescent="0.25">
      <c r="A40096" s="1" t="str">
        <f t="shared" si="1430"/>
        <v>99999</v>
      </c>
      <c r="B40096" s="1" t="str">
        <f>"76673"</f>
        <v>76673</v>
      </c>
      <c r="C40096" s="2">
        <v>6.4090447210582305E-5</v>
      </c>
      <c r="D40096" s="2">
        <v>1.20456711622115E-5</v>
      </c>
      <c r="E40096" s="2">
        <v>9.0322192162614306E-5</v>
      </c>
      <c r="F40096" s="2">
        <v>6.1281366734342599E-5</v>
      </c>
    </row>
    <row r="40097" spans="1:6" x14ac:dyDescent="0.25">
      <c r="A40097" s="1" t="str">
        <f t="shared" si="1430"/>
        <v>99999</v>
      </c>
      <c r="B40097" s="1" t="str">
        <f>"77975"</f>
        <v>77975</v>
      </c>
      <c r="C40097" s="2">
        <v>7.3725666470281405E-5</v>
      </c>
      <c r="D40097" s="2">
        <v>7.82968625543749E-5</v>
      </c>
      <c r="E40097" s="2">
        <v>3.44084541571864E-5</v>
      </c>
      <c r="F40097" s="2">
        <v>7.3123176731316997E-5</v>
      </c>
    </row>
    <row r="40098" spans="1:6" x14ac:dyDescent="0.25">
      <c r="A40098" s="1" t="str">
        <f t="shared" si="1430"/>
        <v>99999</v>
      </c>
      <c r="B40098" s="1" t="str">
        <f>"77995"</f>
        <v>77995</v>
      </c>
      <c r="C40098" s="2">
        <v>4.9107139957297501E-4</v>
      </c>
      <c r="D40098" s="2">
        <v>5.5108945567117695E-4</v>
      </c>
      <c r="E40098" s="2">
        <v>4.51610960813071E-4</v>
      </c>
      <c r="F40098" s="2">
        <v>4.94099522123757E-4</v>
      </c>
    </row>
    <row r="40099" spans="1:6" x14ac:dyDescent="0.25">
      <c r="A40099" s="1" t="str">
        <f t="shared" si="1430"/>
        <v>99999</v>
      </c>
      <c r="B40099" s="1" t="str">
        <f>"77986"</f>
        <v>77986</v>
      </c>
      <c r="C40099" s="2">
        <v>4.1139138412198104E-6</v>
      </c>
      <c r="D40099" s="2">
        <v>3.01141779055288E-6</v>
      </c>
      <c r="E40099" s="2">
        <v>0</v>
      </c>
      <c r="F40099" s="2">
        <v>3.94726999899147E-6</v>
      </c>
    </row>
    <row r="40100" spans="1:6" x14ac:dyDescent="0.25">
      <c r="A40100" s="1" t="str">
        <f t="shared" si="1430"/>
        <v>99999</v>
      </c>
      <c r="B40100" s="1" t="str">
        <f>"78159"</f>
        <v>78159</v>
      </c>
      <c r="C40100" s="2">
        <v>2.21934825644753E-5</v>
      </c>
      <c r="D40100" s="2">
        <v>1.20456711622115E-5</v>
      </c>
      <c r="E40100" s="2">
        <v>0</v>
      </c>
      <c r="F40100" s="2">
        <v>2.10192127446295E-5</v>
      </c>
    </row>
    <row r="40101" spans="1:6" x14ac:dyDescent="0.25">
      <c r="A40101" s="1" t="str">
        <f t="shared" si="1430"/>
        <v>99999</v>
      </c>
      <c r="B40101" s="1" t="str">
        <f>"76520"</f>
        <v>76520</v>
      </c>
      <c r="C40101" s="2">
        <v>4.5220573986250401E-4</v>
      </c>
      <c r="D40101" s="2">
        <v>5.9927214032002305E-4</v>
      </c>
      <c r="E40101" s="2">
        <v>7.1397542376161797E-4</v>
      </c>
      <c r="F40101" s="2">
        <v>4.6785017663046401E-4</v>
      </c>
    </row>
    <row r="40102" spans="1:6" x14ac:dyDescent="0.25">
      <c r="A40102" s="1" t="str">
        <f t="shared" si="1430"/>
        <v>99999</v>
      </c>
      <c r="B40102" s="1" t="str">
        <f>"76567"</f>
        <v>76567</v>
      </c>
      <c r="C40102" s="2">
        <v>4.94427487180286E-4</v>
      </c>
      <c r="D40102" s="2">
        <v>6.0378926700585197E-4</v>
      </c>
      <c r="E40102" s="2">
        <v>2.8817080356643602E-4</v>
      </c>
      <c r="F40102" s="2">
        <v>4.9686261112305097E-4</v>
      </c>
    </row>
    <row r="40103" spans="1:6" x14ac:dyDescent="0.25">
      <c r="A40103" s="1" t="str">
        <f t="shared" si="1430"/>
        <v>99999</v>
      </c>
      <c r="B40103" s="1" t="str">
        <f>"76518"</f>
        <v>76518</v>
      </c>
      <c r="C40103" s="2">
        <v>6.9611752629061499E-5</v>
      </c>
      <c r="D40103" s="2">
        <v>9.0342533716586405E-6</v>
      </c>
      <c r="E40103" s="2">
        <v>3.01073973875381E-5</v>
      </c>
      <c r="F40103" s="2">
        <v>6.4735227983460096E-5</v>
      </c>
    </row>
    <row r="40104" spans="1:6" x14ac:dyDescent="0.25">
      <c r="A40104" s="1" t="str">
        <f t="shared" si="1430"/>
        <v>99999</v>
      </c>
      <c r="B40104" s="1" t="str">
        <f>"76538"</f>
        <v>76538</v>
      </c>
      <c r="C40104" s="2">
        <v>2.39256568134099E-5</v>
      </c>
      <c r="D40104" s="2">
        <v>9.0342533716586405E-6</v>
      </c>
      <c r="E40104" s="2">
        <v>0</v>
      </c>
      <c r="F40104" s="2">
        <v>2.2400757244276601E-5</v>
      </c>
    </row>
    <row r="40105" spans="1:6" x14ac:dyDescent="0.25">
      <c r="A40105" s="1" t="str">
        <f t="shared" si="1430"/>
        <v>99999</v>
      </c>
      <c r="B40105" s="1" t="str">
        <f>"76525"</f>
        <v>76525</v>
      </c>
      <c r="C40105" s="2">
        <v>2.2734787017267301E-5</v>
      </c>
      <c r="D40105" s="2">
        <v>1.20456711622115E-5</v>
      </c>
      <c r="E40105" s="2">
        <v>3.01073973875381E-5</v>
      </c>
      <c r="F40105" s="2">
        <v>2.2203393744327E-5</v>
      </c>
    </row>
    <row r="40106" spans="1:6" x14ac:dyDescent="0.25">
      <c r="A40106" s="1" t="str">
        <f t="shared" si="1430"/>
        <v>99999</v>
      </c>
      <c r="B40106" s="1" t="str">
        <f>"76556"</f>
        <v>76556</v>
      </c>
      <c r="C40106" s="2">
        <v>7.9463493669877406E-5</v>
      </c>
      <c r="D40106" s="2">
        <v>2.55970512196994E-5</v>
      </c>
      <c r="E40106" s="2">
        <v>3.8709510926834699E-5</v>
      </c>
      <c r="F40106" s="2">
        <v>7.4998129980837904E-5</v>
      </c>
    </row>
    <row r="40107" spans="1:6" x14ac:dyDescent="0.25">
      <c r="A40107" s="1" t="str">
        <f t="shared" si="1430"/>
        <v>99999</v>
      </c>
      <c r="B40107" s="1" t="str">
        <f>"76539"</f>
        <v>76539</v>
      </c>
      <c r="C40107" s="2">
        <v>1.42904375537109E-5</v>
      </c>
      <c r="D40107" s="2">
        <v>0</v>
      </c>
      <c r="E40107" s="2">
        <v>0</v>
      </c>
      <c r="F40107" s="2">
        <v>1.30259909966718E-5</v>
      </c>
    </row>
    <row r="40108" spans="1:6" x14ac:dyDescent="0.25">
      <c r="A40108" s="1" t="str">
        <f t="shared" si="1430"/>
        <v>99999</v>
      </c>
      <c r="B40108" s="1" t="str">
        <f>"77872"</f>
        <v>77872</v>
      </c>
      <c r="C40108" s="2">
        <v>1.0057436732876801E-4</v>
      </c>
      <c r="D40108" s="2">
        <v>2.7102760114975901E-5</v>
      </c>
      <c r="E40108" s="2">
        <v>0</v>
      </c>
      <c r="F40108" s="2">
        <v>9.34516172261231E-5</v>
      </c>
    </row>
    <row r="40109" spans="1:6" x14ac:dyDescent="0.25">
      <c r="A40109" s="1" t="str">
        <f t="shared" si="1430"/>
        <v>99999</v>
      </c>
      <c r="B40109" s="1" t="str">
        <f>"79735"</f>
        <v>79735</v>
      </c>
      <c r="C40109" s="2">
        <v>5.0828488117176296E-4</v>
      </c>
      <c r="D40109" s="2">
        <v>8.8686253931782302E-4</v>
      </c>
      <c r="E40109" s="2">
        <v>9.5053354609227398E-4</v>
      </c>
      <c r="F40109" s="2">
        <v>5.4324303361120096E-4</v>
      </c>
    </row>
    <row r="40110" spans="1:6" x14ac:dyDescent="0.25">
      <c r="A40110" s="1" t="str">
        <f t="shared" si="1430"/>
        <v>99999</v>
      </c>
      <c r="B40110" s="1" t="str">
        <f>"78949"</f>
        <v>78949</v>
      </c>
      <c r="C40110" s="2">
        <v>3.4210441416459502E-5</v>
      </c>
      <c r="D40110" s="2">
        <v>7.5285444763821999E-6</v>
      </c>
      <c r="E40110" s="2">
        <v>0</v>
      </c>
      <c r="F40110" s="2">
        <v>3.1676841741906503E-5</v>
      </c>
    </row>
    <row r="40111" spans="1:6" x14ac:dyDescent="0.25">
      <c r="A40111" s="1" t="str">
        <f t="shared" si="1430"/>
        <v>99999</v>
      </c>
      <c r="B40111" s="1" t="str">
        <f>"78827"</f>
        <v>78827</v>
      </c>
      <c r="C40111" s="2">
        <v>5.8460880901544696E-6</v>
      </c>
      <c r="D40111" s="2">
        <v>6.6251191392163294E-5</v>
      </c>
      <c r="E40111" s="2">
        <v>6.0214794775076199E-5</v>
      </c>
      <c r="F40111" s="2">
        <v>1.10523559971761E-5</v>
      </c>
    </row>
    <row r="40112" spans="1:6" x14ac:dyDescent="0.25">
      <c r="A40112" s="1" t="str">
        <f t="shared" si="1430"/>
        <v>99999</v>
      </c>
      <c r="B40112" s="1" t="str">
        <f>"78932"</f>
        <v>78932</v>
      </c>
      <c r="C40112" s="2">
        <v>2.76065270923961E-5</v>
      </c>
      <c r="D40112" s="2">
        <v>2.4091342324423E-5</v>
      </c>
      <c r="E40112" s="2">
        <v>1.29031703089449E-5</v>
      </c>
      <c r="F40112" s="2">
        <v>2.7038799493091499E-5</v>
      </c>
    </row>
    <row r="40113" spans="1:6" x14ac:dyDescent="0.25">
      <c r="A40113" s="1" t="str">
        <f t="shared" si="1430"/>
        <v>99999</v>
      </c>
      <c r="B40113" s="1" t="str">
        <f>"79830"</f>
        <v>79830</v>
      </c>
      <c r="C40113" s="2">
        <v>5.0362966287775205E-4</v>
      </c>
      <c r="D40113" s="2">
        <v>7.5586586542877301E-4</v>
      </c>
      <c r="E40113" s="2">
        <v>1.5010688126072501E-3</v>
      </c>
      <c r="F40113" s="2">
        <v>5.4304567011125102E-4</v>
      </c>
    </row>
    <row r="40114" spans="1:6" x14ac:dyDescent="0.25">
      <c r="A40114" s="1" t="str">
        <f t="shared" si="1430"/>
        <v>99999</v>
      </c>
      <c r="B40114" s="1" t="str">
        <f>"81252"</f>
        <v>81252</v>
      </c>
      <c r="C40114" s="2">
        <v>2.5192309232943401E-4</v>
      </c>
      <c r="D40114" s="2">
        <v>1.8821361190955499E-4</v>
      </c>
      <c r="E40114" s="2">
        <v>3.2688031449327001E-4</v>
      </c>
      <c r="F40114" s="2">
        <v>2.4946746393626101E-4</v>
      </c>
    </row>
    <row r="40115" spans="1:6" x14ac:dyDescent="0.25">
      <c r="A40115" s="1" t="str">
        <f t="shared" si="1430"/>
        <v>99999</v>
      </c>
      <c r="B40115" s="1" t="str">
        <f>"81320"</f>
        <v>81320</v>
      </c>
      <c r="C40115" s="2">
        <v>2.46834830473188E-5</v>
      </c>
      <c r="D40115" s="2">
        <v>7.5285444763821999E-6</v>
      </c>
      <c r="E40115" s="2">
        <v>8.6021135392965999E-6</v>
      </c>
      <c r="F40115" s="2">
        <v>2.3190211244074899E-5</v>
      </c>
    </row>
    <row r="40116" spans="1:6" x14ac:dyDescent="0.25">
      <c r="A40116" s="1" t="str">
        <f t="shared" si="1430"/>
        <v>99999</v>
      </c>
      <c r="B40116" s="1" t="str">
        <f>"81201"</f>
        <v>81201</v>
      </c>
      <c r="C40116" s="2">
        <v>6.2661403455211199E-4</v>
      </c>
      <c r="D40116" s="2">
        <v>1.15789014046758E-3</v>
      </c>
      <c r="E40116" s="2">
        <v>2.0645072494311799E-3</v>
      </c>
      <c r="F40116" s="2">
        <v>6.9442347457257395E-4</v>
      </c>
    </row>
    <row r="40117" spans="1:6" x14ac:dyDescent="0.25">
      <c r="A40117" s="1" t="str">
        <f t="shared" si="1430"/>
        <v>99999</v>
      </c>
      <c r="B40117" s="1" t="str">
        <f>"81087"</f>
        <v>81087</v>
      </c>
      <c r="C40117" s="2">
        <v>7.6865232296475401E-6</v>
      </c>
      <c r="D40117" s="2">
        <v>0</v>
      </c>
      <c r="E40117" s="2">
        <v>4.3010567696482999E-6</v>
      </c>
      <c r="F40117" s="2">
        <v>7.10508599818465E-6</v>
      </c>
    </row>
    <row r="40118" spans="1:6" x14ac:dyDescent="0.25">
      <c r="A40118" s="1" t="str">
        <f t="shared" si="1430"/>
        <v>99999</v>
      </c>
      <c r="B40118" s="1" t="str">
        <f>"81143"</f>
        <v>81143</v>
      </c>
      <c r="C40118" s="2">
        <v>4.9800009656871403E-5</v>
      </c>
      <c r="D40118" s="2">
        <v>1.9574215638593701E-5</v>
      </c>
      <c r="E40118" s="2">
        <v>4.3010567696482999E-6</v>
      </c>
      <c r="F40118" s="2">
        <v>4.6775149488048898E-5</v>
      </c>
    </row>
    <row r="40119" spans="1:6" x14ac:dyDescent="0.25">
      <c r="A40119" s="1" t="str">
        <f t="shared" si="1430"/>
        <v>99999</v>
      </c>
      <c r="B40119" s="1" t="str">
        <f>"81027"</f>
        <v>81027</v>
      </c>
      <c r="C40119" s="2">
        <v>9.4186974785821993E-6</v>
      </c>
      <c r="D40119" s="2">
        <v>0</v>
      </c>
      <c r="E40119" s="2">
        <v>4.3010567696482999E-6</v>
      </c>
      <c r="F40119" s="2">
        <v>8.6839939977812298E-6</v>
      </c>
    </row>
    <row r="40120" spans="1:6" x14ac:dyDescent="0.25">
      <c r="A40120" s="1" t="str">
        <f t="shared" si="1430"/>
        <v>99999</v>
      </c>
      <c r="B40120" s="1" t="str">
        <f>"81064"</f>
        <v>81064</v>
      </c>
      <c r="C40120" s="2">
        <v>1.69969598176713E-5</v>
      </c>
      <c r="D40120" s="2">
        <v>3.01141779055288E-6</v>
      </c>
      <c r="E40120" s="2">
        <v>0</v>
      </c>
      <c r="F40120" s="2">
        <v>1.56903982459911E-5</v>
      </c>
    </row>
    <row r="40121" spans="1:6" x14ac:dyDescent="0.25">
      <c r="A40121" s="1" t="str">
        <f t="shared" si="1430"/>
        <v>99999</v>
      </c>
      <c r="B40121" s="1" t="str">
        <f>"84053"</f>
        <v>84053</v>
      </c>
      <c r="C40121" s="2">
        <v>2.0461308315540598E-5</v>
      </c>
      <c r="D40121" s="2">
        <v>0</v>
      </c>
      <c r="E40121" s="2">
        <v>1.29031703089449E-5</v>
      </c>
      <c r="F40121" s="2">
        <v>1.8946895995158999E-5</v>
      </c>
    </row>
    <row r="40122" spans="1:6" x14ac:dyDescent="0.25">
      <c r="A40122" s="1" t="str">
        <f t="shared" si="1430"/>
        <v>99999</v>
      </c>
      <c r="B40122" s="1" t="str">
        <f>"83276"</f>
        <v>83276</v>
      </c>
      <c r="C40122" s="2">
        <v>2.1229960638505401E-4</v>
      </c>
      <c r="D40122" s="2">
        <v>3.58358717075792E-4</v>
      </c>
      <c r="E40122" s="2">
        <v>2.8817080356643602E-4</v>
      </c>
      <c r="F40122" s="2">
        <v>2.2361284544286601E-4</v>
      </c>
    </row>
    <row r="40123" spans="1:6" x14ac:dyDescent="0.25">
      <c r="A40123" s="1" t="str">
        <f t="shared" si="1430"/>
        <v>99999</v>
      </c>
      <c r="B40123" s="1" t="str">
        <f>"83349"</f>
        <v>83349</v>
      </c>
      <c r="C40123" s="2">
        <v>3.6808702789861399E-5</v>
      </c>
      <c r="D40123" s="2">
        <v>4.5171266858293203E-6</v>
      </c>
      <c r="E40123" s="2">
        <v>4.3010567696482999E-5</v>
      </c>
      <c r="F40123" s="2">
        <v>3.4834657741099703E-5</v>
      </c>
    </row>
    <row r="40124" spans="1:6" x14ac:dyDescent="0.25">
      <c r="A40124" s="1" t="str">
        <f t="shared" si="1430"/>
        <v>99999</v>
      </c>
      <c r="B40124" s="1" t="str">
        <f>"83638"</f>
        <v>83638</v>
      </c>
      <c r="C40124" s="2">
        <v>5.3978880032426295E-4</v>
      </c>
      <c r="D40124" s="2">
        <v>1.1051903291329E-3</v>
      </c>
      <c r="E40124" s="2">
        <v>3.1827820095397402E-4</v>
      </c>
      <c r="F40124" s="2">
        <v>5.71762059353914E-4</v>
      </c>
    </row>
    <row r="40125" spans="1:6" x14ac:dyDescent="0.25">
      <c r="A40125" s="1" t="str">
        <f t="shared" si="1430"/>
        <v>99999</v>
      </c>
      <c r="B40125" s="1" t="str">
        <f>"83241"</f>
        <v>83241</v>
      </c>
      <c r="C40125" s="2">
        <v>7.5999145172008097E-5</v>
      </c>
      <c r="D40125" s="2">
        <v>2.7102760114975901E-5</v>
      </c>
      <c r="E40125" s="2">
        <v>1.72042270785932E-5</v>
      </c>
      <c r="F40125" s="2">
        <v>7.1445586981745603E-5</v>
      </c>
    </row>
    <row r="40126" spans="1:6" x14ac:dyDescent="0.25">
      <c r="A40126" s="1" t="str">
        <f t="shared" si="1430"/>
        <v>99999</v>
      </c>
      <c r="B40126" s="1" t="str">
        <f>"82420"</f>
        <v>82420</v>
      </c>
      <c r="C40126" s="2">
        <v>3.7241746352095101E-5</v>
      </c>
      <c r="D40126" s="2">
        <v>0</v>
      </c>
      <c r="E40126" s="2">
        <v>4.3010567696482999E-6</v>
      </c>
      <c r="F40126" s="2">
        <v>3.4045203741301401E-5</v>
      </c>
    </row>
    <row r="40127" spans="1:6" x14ac:dyDescent="0.25">
      <c r="A40127" s="1" t="str">
        <f t="shared" si="1430"/>
        <v>99999</v>
      </c>
      <c r="B40127" s="1" t="str">
        <f>"82421"</f>
        <v>82421</v>
      </c>
      <c r="C40127" s="2">
        <v>2.21934825644753E-5</v>
      </c>
      <c r="D40127" s="2">
        <v>0</v>
      </c>
      <c r="E40127" s="2">
        <v>8.6021135392965999E-6</v>
      </c>
      <c r="F40127" s="2">
        <v>2.0427122244780799E-5</v>
      </c>
    </row>
    <row r="40128" spans="1:6" x14ac:dyDescent="0.25">
      <c r="A40128" s="1" t="str">
        <f t="shared" si="1430"/>
        <v>99999</v>
      </c>
      <c r="B40128" s="1" t="str">
        <f>"82434"</f>
        <v>82434</v>
      </c>
      <c r="C40128" s="2">
        <v>6.1708707618297202E-6</v>
      </c>
      <c r="D40128" s="2">
        <v>1.50570889527644E-6</v>
      </c>
      <c r="E40128" s="2">
        <v>8.6021135392965999E-6</v>
      </c>
      <c r="F40128" s="2">
        <v>5.9209049984871999E-6</v>
      </c>
    </row>
    <row r="40129" spans="1:6" x14ac:dyDescent="0.25">
      <c r="A40129" s="1" t="str">
        <f t="shared" si="1430"/>
        <v>99999</v>
      </c>
      <c r="B40129" s="1" t="str">
        <f>"83127"</f>
        <v>83127</v>
      </c>
      <c r="C40129" s="2">
        <v>1.5925177001143001E-4</v>
      </c>
      <c r="D40129" s="2">
        <v>2.1079924533870101E-5</v>
      </c>
      <c r="E40129" s="2">
        <v>2.15052838482415E-5</v>
      </c>
      <c r="F40129" s="2">
        <v>1.4703580746243199E-4</v>
      </c>
    </row>
    <row r="40130" spans="1:6" x14ac:dyDescent="0.25">
      <c r="A40130" s="1" t="str">
        <f t="shared" si="1430"/>
        <v>99999</v>
      </c>
      <c r="B40130" s="1" t="str">
        <f>"80828"</f>
        <v>80828</v>
      </c>
      <c r="C40130" s="2">
        <v>1.17354805365323E-4</v>
      </c>
      <c r="D40130" s="2">
        <v>6.4745482496886904E-5</v>
      </c>
      <c r="E40130" s="2">
        <v>1.5913910047698701E-4</v>
      </c>
      <c r="F40130" s="2">
        <v>1.14865556970651E-4</v>
      </c>
    </row>
    <row r="40131" spans="1:6" x14ac:dyDescent="0.25">
      <c r="A40131" s="1" t="str">
        <f t="shared" si="1430"/>
        <v>99999</v>
      </c>
      <c r="B40131" s="1" t="str">
        <f>"80446"</f>
        <v>80446</v>
      </c>
      <c r="C40131" s="2">
        <v>5.1640444796364502E-5</v>
      </c>
      <c r="D40131" s="2">
        <v>6.0228355811057601E-6</v>
      </c>
      <c r="E40131" s="2">
        <v>1.16128532780504E-4</v>
      </c>
      <c r="F40131" s="2">
        <v>5.0130328987191699E-5</v>
      </c>
    </row>
    <row r="40132" spans="1:6" x14ac:dyDescent="0.25">
      <c r="A40132" s="1" t="str">
        <f t="shared" si="1430"/>
        <v>99999</v>
      </c>
      <c r="B40132" s="1" t="str">
        <f>"84662"</f>
        <v>84662</v>
      </c>
      <c r="C40132" s="2">
        <v>5.1099140343572402E-5</v>
      </c>
      <c r="D40132" s="2">
        <v>0</v>
      </c>
      <c r="E40132" s="2">
        <v>1.72042270785932E-5</v>
      </c>
      <c r="F40132" s="2">
        <v>4.6972512987998499E-5</v>
      </c>
    </row>
    <row r="40133" spans="1:6" x14ac:dyDescent="0.25">
      <c r="A40133" s="1" t="str">
        <f t="shared" si="1430"/>
        <v>99999</v>
      </c>
      <c r="B40133" s="1" t="str">
        <f>"84724"</f>
        <v>84724</v>
      </c>
      <c r="C40133" s="2">
        <v>5.3913923498091201E-5</v>
      </c>
      <c r="D40133" s="2">
        <v>9.0342533716586405E-6</v>
      </c>
      <c r="E40133" s="2">
        <v>0</v>
      </c>
      <c r="F40133" s="2">
        <v>4.9735601987292497E-5</v>
      </c>
    </row>
    <row r="40134" spans="1:6" x14ac:dyDescent="0.25">
      <c r="A40134" s="1" t="str">
        <f t="shared" ref="A40134:A40197" si="1431">"99999"</f>
        <v>99999</v>
      </c>
      <c r="B40134" s="1" t="str">
        <f>"84511"</f>
        <v>84511</v>
      </c>
      <c r="C40134" s="2">
        <v>1.6812916303722E-4</v>
      </c>
      <c r="D40134" s="2">
        <v>2.24350625396189E-4</v>
      </c>
      <c r="E40134" s="2">
        <v>2.7096657648784301E-4</v>
      </c>
      <c r="F40134" s="2">
        <v>1.74173288705498E-4</v>
      </c>
    </row>
    <row r="40135" spans="1:6" x14ac:dyDescent="0.25">
      <c r="A40135" s="1" t="str">
        <f t="shared" si="1431"/>
        <v>99999</v>
      </c>
      <c r="B40135" s="1" t="str">
        <f>"84513"</f>
        <v>84513</v>
      </c>
      <c r="C40135" s="2">
        <v>1.1042610836958401E-5</v>
      </c>
      <c r="D40135" s="2">
        <v>0</v>
      </c>
      <c r="E40135" s="2">
        <v>0</v>
      </c>
      <c r="F40135" s="2">
        <v>1.00655384974282E-5</v>
      </c>
    </row>
    <row r="40136" spans="1:6" x14ac:dyDescent="0.25">
      <c r="A40136" s="1" t="str">
        <f t="shared" si="1431"/>
        <v>99999</v>
      </c>
      <c r="B40136" s="1" t="str">
        <f>"84522"</f>
        <v>84522</v>
      </c>
      <c r="C40136" s="2">
        <v>1.4073915772594101E-6</v>
      </c>
      <c r="D40136" s="2">
        <v>1.2949096499377299E-4</v>
      </c>
      <c r="E40136" s="2">
        <v>4.3010567696482999E-6</v>
      </c>
      <c r="F40136" s="2">
        <v>9.8681749974786808E-6</v>
      </c>
    </row>
    <row r="40137" spans="1:6" x14ac:dyDescent="0.25">
      <c r="A40137" s="1" t="str">
        <f t="shared" si="1431"/>
        <v>99999</v>
      </c>
      <c r="B40137" s="1" t="str">
        <f>"84627"</f>
        <v>84627</v>
      </c>
      <c r="C40137" s="2">
        <v>2.17712650912974E-4</v>
      </c>
      <c r="D40137" s="2">
        <v>2.9060181678835302E-4</v>
      </c>
      <c r="E40137" s="2">
        <v>1.5913910047698701E-4</v>
      </c>
      <c r="F40137" s="2">
        <v>2.21145801693497E-4</v>
      </c>
    </row>
    <row r="40138" spans="1:6" x14ac:dyDescent="0.25">
      <c r="A40138" s="1" t="str">
        <f t="shared" si="1431"/>
        <v>99999</v>
      </c>
      <c r="B40138" s="1" t="str">
        <f>"84537"</f>
        <v>84537</v>
      </c>
      <c r="C40138" s="2">
        <v>7.5782623390891299E-7</v>
      </c>
      <c r="D40138" s="2">
        <v>1.2196242051739101E-4</v>
      </c>
      <c r="E40138" s="2">
        <v>4.3010567696482999E-6</v>
      </c>
      <c r="F40138" s="2">
        <v>8.7826757477560201E-6</v>
      </c>
    </row>
    <row r="40139" spans="1:6" x14ac:dyDescent="0.25">
      <c r="A40139" s="1" t="str">
        <f t="shared" si="1431"/>
        <v>99999</v>
      </c>
      <c r="B40139" s="1" t="str">
        <f>"89310"</f>
        <v>89310</v>
      </c>
      <c r="C40139" s="2">
        <v>5.9110446244895197E-5</v>
      </c>
      <c r="D40139" s="2">
        <v>1.65627978480408E-5</v>
      </c>
      <c r="E40139" s="2">
        <v>0</v>
      </c>
      <c r="F40139" s="2">
        <v>5.4965734735956198E-5</v>
      </c>
    </row>
    <row r="40140" spans="1:6" x14ac:dyDescent="0.25">
      <c r="A40140" s="1" t="str">
        <f t="shared" si="1431"/>
        <v>99999</v>
      </c>
      <c r="B40140" s="1" t="str">
        <f>"88435"</f>
        <v>88435</v>
      </c>
      <c r="C40140" s="2">
        <v>1.67371336803311E-4</v>
      </c>
      <c r="D40140" s="2">
        <v>3.40290210332475E-4</v>
      </c>
      <c r="E40140" s="2">
        <v>2.4516023586995298E-4</v>
      </c>
      <c r="F40140" s="2">
        <v>1.8048892070388501E-4</v>
      </c>
    </row>
    <row r="40141" spans="1:6" x14ac:dyDescent="0.25">
      <c r="A40141" s="1" t="str">
        <f t="shared" si="1431"/>
        <v>99999</v>
      </c>
      <c r="B40141" s="1" t="str">
        <f>"87823"</f>
        <v>87823</v>
      </c>
      <c r="C40141" s="2">
        <v>1.6563916255437601E-5</v>
      </c>
      <c r="D40141" s="2">
        <v>3.01141779055288E-6</v>
      </c>
      <c r="E40141" s="2">
        <v>4.3010567696482999E-6</v>
      </c>
      <c r="F40141" s="2">
        <v>1.5394352996066698E-5</v>
      </c>
    </row>
    <row r="40142" spans="1:6" x14ac:dyDescent="0.25">
      <c r="A40142" s="1" t="str">
        <f t="shared" si="1431"/>
        <v>99999</v>
      </c>
      <c r="B40142" s="1" t="str">
        <f>"87711"</f>
        <v>87711</v>
      </c>
      <c r="C40142" s="2">
        <v>3.2370006276966397E-5</v>
      </c>
      <c r="D40142" s="2">
        <v>3.01141779055288E-6</v>
      </c>
      <c r="E40142" s="2">
        <v>8.6021135392965999E-6</v>
      </c>
      <c r="F40142" s="2">
        <v>2.99005702423604E-5</v>
      </c>
    </row>
    <row r="40143" spans="1:6" x14ac:dyDescent="0.25">
      <c r="A40143" s="1" t="str">
        <f t="shared" si="1431"/>
        <v>99999</v>
      </c>
      <c r="B40143" s="1" t="str">
        <f>"87942"</f>
        <v>87942</v>
      </c>
      <c r="C40143" s="2">
        <v>4.2330008208340701E-5</v>
      </c>
      <c r="D40143" s="2">
        <v>1.50570889527644E-6</v>
      </c>
      <c r="E40143" s="2">
        <v>8.6021135392965999E-6</v>
      </c>
      <c r="F40143" s="2">
        <v>3.8880609490066002E-5</v>
      </c>
    </row>
    <row r="40144" spans="1:6" x14ac:dyDescent="0.25">
      <c r="A40144" s="1" t="str">
        <f t="shared" si="1431"/>
        <v>99999</v>
      </c>
      <c r="B40144" s="1" t="str">
        <f>"85533"</f>
        <v>85533</v>
      </c>
      <c r="C40144" s="2">
        <v>4.8067835407936702E-5</v>
      </c>
      <c r="D40144" s="2">
        <v>1.50570889527644E-5</v>
      </c>
      <c r="E40144" s="2">
        <v>1.29031703089449E-5</v>
      </c>
      <c r="F40144" s="2">
        <v>4.5097559738477497E-5</v>
      </c>
    </row>
    <row r="40145" spans="1:6" x14ac:dyDescent="0.25">
      <c r="A40145" s="1" t="str">
        <f t="shared" si="1431"/>
        <v>99999</v>
      </c>
      <c r="B40145" s="1" t="str">
        <f>"89419"</f>
        <v>89419</v>
      </c>
      <c r="C40145" s="2">
        <v>8.2278276824396197E-5</v>
      </c>
      <c r="D40145" s="2">
        <v>5.1194102439398901E-5</v>
      </c>
      <c r="E40145" s="2">
        <v>3.3548242803256698E-4</v>
      </c>
      <c r="F40145" s="2">
        <v>8.6050485978014102E-5</v>
      </c>
    </row>
    <row r="40146" spans="1:6" x14ac:dyDescent="0.25">
      <c r="A40146" s="1" t="str">
        <f t="shared" si="1431"/>
        <v>99999</v>
      </c>
      <c r="B40146" s="1" t="str">
        <f>"93514"</f>
        <v>93514</v>
      </c>
      <c r="C40146" s="2">
        <v>7.5576927698830295E-4</v>
      </c>
      <c r="D40146" s="2">
        <v>1.1443387604100901E-3</v>
      </c>
      <c r="E40146" s="2">
        <v>1.69031531047178E-3</v>
      </c>
      <c r="F40146" s="2">
        <v>8.0267735429491503E-4</v>
      </c>
    </row>
    <row r="40147" spans="1:6" x14ac:dyDescent="0.25">
      <c r="A40147" s="1" t="str">
        <f t="shared" si="1431"/>
        <v>99999</v>
      </c>
      <c r="B40147" s="1" t="str">
        <f>"95252"</f>
        <v>95252</v>
      </c>
      <c r="C40147" s="2">
        <v>6.1232359699840103E-4</v>
      </c>
      <c r="D40147" s="2">
        <v>4.3063274404906202E-4</v>
      </c>
      <c r="E40147" s="2">
        <v>2.0214966817347E-4</v>
      </c>
      <c r="F40147" s="2">
        <v>5.9100500059899798E-4</v>
      </c>
    </row>
    <row r="40148" spans="1:6" x14ac:dyDescent="0.25">
      <c r="A40148" s="1" t="str">
        <f t="shared" si="1431"/>
        <v>99999</v>
      </c>
      <c r="B40148" s="1" t="str">
        <f>"95254"</f>
        <v>95254</v>
      </c>
      <c r="C40148" s="2">
        <v>0</v>
      </c>
      <c r="D40148" s="2">
        <v>0</v>
      </c>
      <c r="E40148" s="2">
        <v>4.3010567696482999E-6</v>
      </c>
      <c r="F40148" s="2">
        <v>9.8681749974786797E-8</v>
      </c>
    </row>
    <row r="40149" spans="1:6" x14ac:dyDescent="0.25">
      <c r="A40149" s="1" t="str">
        <f t="shared" si="1431"/>
        <v>99999</v>
      </c>
      <c r="B40149" s="1" t="str">
        <f>"95228"</f>
        <v>95228</v>
      </c>
      <c r="C40149" s="2">
        <v>3.1276571282326402E-4</v>
      </c>
      <c r="D40149" s="2">
        <v>2.0929353644342499E-4</v>
      </c>
      <c r="E40149" s="2">
        <v>8.1720078623317706E-5</v>
      </c>
      <c r="F40149" s="2">
        <v>3.0068329217317503E-4</v>
      </c>
    </row>
    <row r="40150" spans="1:6" x14ac:dyDescent="0.25">
      <c r="A40150" s="1" t="str">
        <f t="shared" si="1431"/>
        <v>99999</v>
      </c>
      <c r="B40150" s="1" t="str">
        <f>"95689"</f>
        <v>95689</v>
      </c>
      <c r="C40150" s="2">
        <v>8.1953494152721E-5</v>
      </c>
      <c r="D40150" s="2">
        <v>3.01141779055288E-6</v>
      </c>
      <c r="E40150" s="2">
        <v>4.3010567696482999E-6</v>
      </c>
      <c r="F40150" s="2">
        <v>7.4998129980837904E-5</v>
      </c>
    </row>
    <row r="40151" spans="1:6" x14ac:dyDescent="0.25">
      <c r="A40151" s="1" t="str">
        <f t="shared" si="1431"/>
        <v>99999</v>
      </c>
      <c r="B40151" s="1" t="str">
        <f>"95987"</f>
        <v>95987</v>
      </c>
      <c r="C40151" s="2">
        <v>1.1302436974298601E-4</v>
      </c>
      <c r="D40151" s="2">
        <v>6.6251191392163294E-5</v>
      </c>
      <c r="E40151" s="2">
        <v>5.5913738005427899E-5</v>
      </c>
      <c r="F40151" s="2">
        <v>1.0864860672224E-4</v>
      </c>
    </row>
    <row r="40152" spans="1:6" x14ac:dyDescent="0.25">
      <c r="A40152" s="1" t="str">
        <f t="shared" si="1431"/>
        <v>99999</v>
      </c>
      <c r="B40152" s="1" t="str">
        <f>"95665"</f>
        <v>95665</v>
      </c>
      <c r="C40152" s="2">
        <v>2.11000475698353E-4</v>
      </c>
      <c r="D40152" s="2">
        <v>1.55088016213473E-4</v>
      </c>
      <c r="E40152" s="2">
        <v>1.5913910047698701E-4</v>
      </c>
      <c r="F40152" s="2">
        <v>2.0614617569732899E-4</v>
      </c>
    </row>
    <row r="40153" spans="1:6" x14ac:dyDescent="0.25">
      <c r="A40153" s="1" t="str">
        <f t="shared" si="1431"/>
        <v>99999</v>
      </c>
      <c r="B40153" s="1" t="str">
        <f>"71933"</f>
        <v>71933</v>
      </c>
      <c r="C40153" s="2">
        <v>1.32078286481267E-5</v>
      </c>
      <c r="D40153" s="2">
        <v>1.50570889527644E-6</v>
      </c>
      <c r="E40153" s="2">
        <v>0</v>
      </c>
      <c r="F40153" s="2">
        <v>1.2137855246898699E-5</v>
      </c>
    </row>
    <row r="40154" spans="1:6" x14ac:dyDescent="0.25">
      <c r="A40154" s="1" t="str">
        <f t="shared" si="1431"/>
        <v>99999</v>
      </c>
      <c r="B40154" s="1" t="str">
        <f>"73015"</f>
        <v>73015</v>
      </c>
      <c r="C40154" s="2">
        <v>1.10642630150701E-4</v>
      </c>
      <c r="D40154" s="2">
        <v>5.4205520229951803E-5</v>
      </c>
      <c r="E40154" s="2">
        <v>3.44084541571864E-5</v>
      </c>
      <c r="F40154" s="2">
        <v>1.05194745473122E-4</v>
      </c>
    </row>
    <row r="40155" spans="1:6" x14ac:dyDescent="0.25">
      <c r="A40155" s="1" t="str">
        <f t="shared" si="1431"/>
        <v>99999</v>
      </c>
      <c r="B40155" s="1" t="str">
        <f>"72554"</f>
        <v>72554</v>
      </c>
      <c r="C40155" s="2">
        <v>2.3990613347745E-4</v>
      </c>
      <c r="D40155" s="2">
        <v>1.08411040459903E-4</v>
      </c>
      <c r="E40155" s="2">
        <v>6.0214794775076199E-5</v>
      </c>
      <c r="F40155" s="2">
        <v>2.27165388441959E-4</v>
      </c>
    </row>
    <row r="40156" spans="1:6" x14ac:dyDescent="0.25">
      <c r="A40156" s="1" t="str">
        <f t="shared" si="1431"/>
        <v>99999</v>
      </c>
      <c r="B40156" s="1" t="str">
        <f>"72616"</f>
        <v>72616</v>
      </c>
      <c r="C40156" s="2">
        <v>5.2571488455166796E-4</v>
      </c>
      <c r="D40156" s="2">
        <v>8.0103713228706595E-4</v>
      </c>
      <c r="E40156" s="2">
        <v>4.3440673373447799E-4</v>
      </c>
      <c r="F40156" s="2">
        <v>5.4166412561160399E-4</v>
      </c>
    </row>
    <row r="40157" spans="1:6" x14ac:dyDescent="0.25">
      <c r="A40157" s="1" t="str">
        <f t="shared" si="1431"/>
        <v>99999</v>
      </c>
      <c r="B40157" s="1" t="str">
        <f>"72682"</f>
        <v>72682</v>
      </c>
      <c r="C40157" s="2">
        <v>1.77547860515802E-5</v>
      </c>
      <c r="D40157" s="2">
        <v>1.50570889527644E-6</v>
      </c>
      <c r="E40157" s="2">
        <v>0</v>
      </c>
      <c r="F40157" s="2">
        <v>1.6282488745839801E-5</v>
      </c>
    </row>
    <row r="40158" spans="1:6" x14ac:dyDescent="0.25">
      <c r="A40158" s="1" t="str">
        <f t="shared" si="1431"/>
        <v>99999</v>
      </c>
      <c r="B40158" s="1" t="str">
        <f>"72639"</f>
        <v>72639</v>
      </c>
      <c r="C40158" s="2">
        <v>5.2073488358598103E-5</v>
      </c>
      <c r="D40158" s="2">
        <v>1.50570889527644E-5</v>
      </c>
      <c r="E40158" s="2">
        <v>4.3010567696482999E-6</v>
      </c>
      <c r="F40158" s="2">
        <v>4.8551420987595102E-5</v>
      </c>
    </row>
    <row r="40159" spans="1:6" x14ac:dyDescent="0.25">
      <c r="A40159" s="1" t="str">
        <f t="shared" si="1431"/>
        <v>99999</v>
      </c>
      <c r="B40159" s="1" t="str">
        <f>"72624"</f>
        <v>72624</v>
      </c>
      <c r="C40159" s="2">
        <v>6.49565343350497E-6</v>
      </c>
      <c r="D40159" s="2">
        <v>0</v>
      </c>
      <c r="E40159" s="2">
        <v>4.3010567696482999E-6</v>
      </c>
      <c r="F40159" s="2">
        <v>6.0195867484619901E-6</v>
      </c>
    </row>
    <row r="40160" spans="1:6" x14ac:dyDescent="0.25">
      <c r="A40160" s="1" t="str">
        <f t="shared" si="1431"/>
        <v>99999</v>
      </c>
      <c r="B40160" s="1" t="str">
        <f>"72517"</f>
        <v>72517</v>
      </c>
      <c r="C40160" s="2">
        <v>3.4102180525900997E-5</v>
      </c>
      <c r="D40160" s="2">
        <v>3.01141779055288E-5</v>
      </c>
      <c r="E40160" s="2">
        <v>8.6021135392965999E-6</v>
      </c>
      <c r="F40160" s="2">
        <v>3.3255749741503099E-5</v>
      </c>
    </row>
    <row r="40161" spans="1:6" x14ac:dyDescent="0.25">
      <c r="A40161" s="1" t="str">
        <f t="shared" si="1431"/>
        <v>99999</v>
      </c>
      <c r="B40161" s="1" t="str">
        <f>"72854"</f>
        <v>72854</v>
      </c>
      <c r="C40161" s="2">
        <v>6.6472186802867496E-5</v>
      </c>
      <c r="D40161" s="2">
        <v>9.0342533716586405E-6</v>
      </c>
      <c r="E40161" s="2">
        <v>4.3010567696482999E-6</v>
      </c>
      <c r="F40161" s="2">
        <v>6.1281366734342599E-5</v>
      </c>
    </row>
    <row r="40162" spans="1:6" x14ac:dyDescent="0.25">
      <c r="A40162" s="1" t="str">
        <f t="shared" si="1431"/>
        <v>99999</v>
      </c>
      <c r="B40162" s="1" t="str">
        <f>"72436"</f>
        <v>72436</v>
      </c>
      <c r="C40162" s="2">
        <v>7.47000144853071E-6</v>
      </c>
      <c r="D40162" s="2">
        <v>0</v>
      </c>
      <c r="E40162" s="2">
        <v>0</v>
      </c>
      <c r="F40162" s="2">
        <v>6.8090407482602902E-6</v>
      </c>
    </row>
    <row r="40163" spans="1:6" x14ac:dyDescent="0.25">
      <c r="A40163" s="1" t="str">
        <f t="shared" si="1431"/>
        <v>99999</v>
      </c>
      <c r="B40163" s="1" t="str">
        <f>"72454"</f>
        <v>72454</v>
      </c>
      <c r="C40163" s="2">
        <v>2.9035570847767199E-4</v>
      </c>
      <c r="D40163" s="2">
        <v>4.0804711061991501E-4</v>
      </c>
      <c r="E40163" s="2">
        <v>8.6021135392965999E-5</v>
      </c>
      <c r="F40163" s="2">
        <v>2.9338084267504101E-4</v>
      </c>
    </row>
    <row r="40164" spans="1:6" x14ac:dyDescent="0.25">
      <c r="A40164" s="1" t="str">
        <f t="shared" si="1431"/>
        <v>99999</v>
      </c>
      <c r="B40164" s="1" t="str">
        <f>"71449"</f>
        <v>71449</v>
      </c>
      <c r="C40164" s="2">
        <v>6.0799316137606499E-4</v>
      </c>
      <c r="D40164" s="2">
        <v>8.4169127245952997E-4</v>
      </c>
      <c r="E40164" s="2">
        <v>2.1505283848241501E-4</v>
      </c>
      <c r="F40164" s="2">
        <v>6.1429389359304702E-4</v>
      </c>
    </row>
    <row r="40165" spans="1:6" x14ac:dyDescent="0.25">
      <c r="A40165" s="1" t="str">
        <f t="shared" si="1431"/>
        <v>99999</v>
      </c>
      <c r="B40165" s="1" t="str">
        <f>"71371"</f>
        <v>71371</v>
      </c>
      <c r="C40165" s="2">
        <v>9.4186974785822003E-5</v>
      </c>
      <c r="D40165" s="2">
        <v>4.0654140172463799E-5</v>
      </c>
      <c r="E40165" s="2">
        <v>1.72042270785932E-5</v>
      </c>
      <c r="F40165" s="2">
        <v>8.8912256727282897E-5</v>
      </c>
    </row>
    <row r="40166" spans="1:6" x14ac:dyDescent="0.25">
      <c r="A40166" s="1" t="str">
        <f t="shared" si="1431"/>
        <v>99999</v>
      </c>
      <c r="B40166" s="1" t="str">
        <f>"71465"</f>
        <v>71465</v>
      </c>
      <c r="C40166" s="2">
        <v>1.3770785279030499E-4</v>
      </c>
      <c r="D40166" s="2">
        <v>5.5711229125228301E-5</v>
      </c>
      <c r="E40166" s="2">
        <v>3.01073973875381E-5</v>
      </c>
      <c r="F40166" s="2">
        <v>1.29865182966819E-4</v>
      </c>
    </row>
    <row r="40167" spans="1:6" x14ac:dyDescent="0.25">
      <c r="A40167" s="1" t="str">
        <f t="shared" si="1431"/>
        <v>99999</v>
      </c>
      <c r="B40167" s="1" t="str">
        <f>"71654"</f>
        <v>71654</v>
      </c>
      <c r="C40167" s="2">
        <v>2.5950135466852299E-4</v>
      </c>
      <c r="D40167" s="2">
        <v>4.1557565509629698E-4</v>
      </c>
      <c r="E40167" s="2">
        <v>2.49461292639601E-4</v>
      </c>
      <c r="F40167" s="2">
        <v>2.6949985918114201E-4</v>
      </c>
    </row>
    <row r="40168" spans="1:6" x14ac:dyDescent="0.25">
      <c r="A40168" s="1" t="str">
        <f t="shared" si="1431"/>
        <v>99999</v>
      </c>
      <c r="B40168" s="1" t="str">
        <f>"71251"</f>
        <v>71251</v>
      </c>
      <c r="C40168" s="2">
        <v>4.3326008401478101E-4</v>
      </c>
      <c r="D40168" s="2">
        <v>5.6162941793811197E-4</v>
      </c>
      <c r="E40168" s="2">
        <v>1.5913910047698701E-4</v>
      </c>
      <c r="F40168" s="2">
        <v>4.3538388088875898E-4</v>
      </c>
    </row>
    <row r="40169" spans="1:6" x14ac:dyDescent="0.25">
      <c r="A40169" s="1" t="str">
        <f t="shared" si="1431"/>
        <v>99999</v>
      </c>
      <c r="B40169" s="1" t="str">
        <f>"71259"</f>
        <v>71259</v>
      </c>
      <c r="C40169" s="2">
        <v>8.29278421677467E-5</v>
      </c>
      <c r="D40169" s="2">
        <v>9.1848242611862802E-5</v>
      </c>
      <c r="E40169" s="2">
        <v>3.8709510926834699E-5</v>
      </c>
      <c r="F40169" s="2">
        <v>8.2497942978921706E-5</v>
      </c>
    </row>
    <row r="40170" spans="1:6" x14ac:dyDescent="0.25">
      <c r="A40170" s="1" t="str">
        <f t="shared" si="1431"/>
        <v>99999</v>
      </c>
      <c r="B40170" s="1" t="str">
        <f>"73546"</f>
        <v>73546</v>
      </c>
      <c r="C40170" s="2">
        <v>7.4050449141956602E-5</v>
      </c>
      <c r="D40170" s="2">
        <v>6.0228355811057599E-5</v>
      </c>
      <c r="E40170" s="2">
        <v>4.3010567696482999E-6</v>
      </c>
      <c r="F40170" s="2">
        <v>7.1544268731720394E-5</v>
      </c>
    </row>
    <row r="40171" spans="1:6" x14ac:dyDescent="0.25">
      <c r="A40171" s="1" t="str">
        <f t="shared" si="1431"/>
        <v>99999</v>
      </c>
      <c r="B40171" s="1" t="str">
        <f>"73651"</f>
        <v>73651</v>
      </c>
      <c r="C40171" s="2">
        <v>2.7390005311279199E-4</v>
      </c>
      <c r="D40171" s="2">
        <v>6.14329229272787E-4</v>
      </c>
      <c r="E40171" s="2">
        <v>2.2795600879136E-4</v>
      </c>
      <c r="F40171" s="2">
        <v>2.9515711417458699E-4</v>
      </c>
    </row>
    <row r="40172" spans="1:6" x14ac:dyDescent="0.25">
      <c r="A40172" s="1" t="str">
        <f t="shared" si="1431"/>
        <v>99999</v>
      </c>
      <c r="B40172" s="1" t="str">
        <f>"73660"</f>
        <v>73660</v>
      </c>
      <c r="C40172" s="2">
        <v>3.1828701824174298E-5</v>
      </c>
      <c r="D40172" s="2">
        <v>3.01141779055288E-6</v>
      </c>
      <c r="E40172" s="2">
        <v>4.3010567696482999E-6</v>
      </c>
      <c r="F40172" s="2">
        <v>2.9308479742511601E-5</v>
      </c>
    </row>
    <row r="40173" spans="1:6" x14ac:dyDescent="0.25">
      <c r="A40173" s="1" t="str">
        <f t="shared" si="1431"/>
        <v>99999</v>
      </c>
      <c r="B40173" s="1" t="str">
        <f>"73734"</f>
        <v>73734</v>
      </c>
      <c r="C40173" s="2">
        <v>3.9731746834938703E-5</v>
      </c>
      <c r="D40173" s="2">
        <v>3.01141779055288E-5</v>
      </c>
      <c r="E40173" s="2">
        <v>4.3010567696482999E-6</v>
      </c>
      <c r="F40173" s="2">
        <v>3.8288518990217199E-5</v>
      </c>
    </row>
    <row r="40174" spans="1:6" x14ac:dyDescent="0.25">
      <c r="A40174" s="1" t="str">
        <f t="shared" si="1431"/>
        <v>99999</v>
      </c>
      <c r="B40174" s="1" t="str">
        <f>"73632"</f>
        <v>73632</v>
      </c>
      <c r="C40174" s="2">
        <v>2.1089221480779399E-4</v>
      </c>
      <c r="D40174" s="2">
        <v>4.2310419957267901E-4</v>
      </c>
      <c r="E40174" s="2">
        <v>1.5483804370733801E-4</v>
      </c>
      <c r="F40174" s="2">
        <v>2.2351416369289199E-4</v>
      </c>
    </row>
    <row r="40175" spans="1:6" x14ac:dyDescent="0.25">
      <c r="A40175" s="1" t="str">
        <f t="shared" si="1431"/>
        <v>99999</v>
      </c>
      <c r="B40175" s="1" t="str">
        <f>"73530"</f>
        <v>73530</v>
      </c>
      <c r="C40175" s="2">
        <v>1.2125219742542599E-5</v>
      </c>
      <c r="D40175" s="2">
        <v>6.0228355811057601E-6</v>
      </c>
      <c r="E40175" s="2">
        <v>1.29031703089449E-5</v>
      </c>
      <c r="F40175" s="2">
        <v>1.1743128246999599E-5</v>
      </c>
    </row>
    <row r="40176" spans="1:6" x14ac:dyDescent="0.25">
      <c r="A40176" s="1" t="str">
        <f t="shared" si="1431"/>
        <v>99999</v>
      </c>
      <c r="B40176" s="1" t="str">
        <f>"73641"</f>
        <v>73641</v>
      </c>
      <c r="C40176" s="2">
        <v>4.0706094849964403E-5</v>
      </c>
      <c r="D40176" s="2">
        <v>1.0539962266935E-5</v>
      </c>
      <c r="E40176" s="2">
        <v>4.3010567696482999E-6</v>
      </c>
      <c r="F40176" s="2">
        <v>3.7893791990318099E-5</v>
      </c>
    </row>
    <row r="40177" spans="1:6" x14ac:dyDescent="0.25">
      <c r="A40177" s="1" t="str">
        <f t="shared" si="1431"/>
        <v>99999</v>
      </c>
      <c r="B40177" s="1" t="str">
        <f>"73547"</f>
        <v>73547</v>
      </c>
      <c r="C40177" s="2">
        <v>4.4170443347833698E-5</v>
      </c>
      <c r="D40177" s="2">
        <v>1.0539962266935E-5</v>
      </c>
      <c r="E40177" s="2">
        <v>2.15052838482415E-5</v>
      </c>
      <c r="F40177" s="2">
        <v>4.14463349894104E-5</v>
      </c>
    </row>
    <row r="40178" spans="1:6" x14ac:dyDescent="0.25">
      <c r="A40178" s="1" t="str">
        <f t="shared" si="1431"/>
        <v>99999</v>
      </c>
      <c r="B40178" s="1" t="str">
        <f>"73838"</f>
        <v>73838</v>
      </c>
      <c r="C40178" s="2">
        <v>4.6443922049560499E-5</v>
      </c>
      <c r="D40178" s="2">
        <v>7.5285444763821999E-6</v>
      </c>
      <c r="E40178" s="2">
        <v>4.3010567696482999E-6</v>
      </c>
      <c r="F40178" s="2">
        <v>4.29265612390322E-5</v>
      </c>
    </row>
    <row r="40179" spans="1:6" x14ac:dyDescent="0.25">
      <c r="A40179" s="1" t="str">
        <f t="shared" si="1431"/>
        <v>99999</v>
      </c>
      <c r="B40179" s="1" t="str">
        <f>"74957"</f>
        <v>74957</v>
      </c>
      <c r="C40179" s="2">
        <v>5.90021853543368E-5</v>
      </c>
      <c r="D40179" s="2">
        <v>1.80685067433172E-5</v>
      </c>
      <c r="E40179" s="2">
        <v>2.15052838482415E-5</v>
      </c>
      <c r="F40179" s="2">
        <v>5.5459143485830102E-5</v>
      </c>
    </row>
    <row r="40180" spans="1:6" x14ac:dyDescent="0.25">
      <c r="A40180" s="1" t="str">
        <f t="shared" si="1431"/>
        <v>99999</v>
      </c>
      <c r="B40180" s="1" t="str">
        <f>"74960"</f>
        <v>74960</v>
      </c>
      <c r="C40180" s="2">
        <v>8.5233799136640997E-4</v>
      </c>
      <c r="D40180" s="2">
        <v>7.2575168752324402E-4</v>
      </c>
      <c r="E40180" s="2">
        <v>2.23654952021711E-4</v>
      </c>
      <c r="F40180" s="2">
        <v>8.2961747203803198E-4</v>
      </c>
    </row>
    <row r="40181" spans="1:6" x14ac:dyDescent="0.25">
      <c r="A40181" s="1" t="str">
        <f t="shared" si="1431"/>
        <v>99999</v>
      </c>
      <c r="B40181" s="1" t="str">
        <f>"74428"</f>
        <v>74428</v>
      </c>
      <c r="C40181" s="2">
        <v>2.3600874141734699E-5</v>
      </c>
      <c r="D40181" s="2">
        <v>0</v>
      </c>
      <c r="E40181" s="2">
        <v>0</v>
      </c>
      <c r="F40181" s="2">
        <v>2.1512621494503498E-5</v>
      </c>
    </row>
    <row r="40182" spans="1:6" x14ac:dyDescent="0.25">
      <c r="A40182" s="1" t="str">
        <f t="shared" si="1431"/>
        <v>99999</v>
      </c>
      <c r="B40182" s="1" t="str">
        <f>"74523"</f>
        <v>74523</v>
      </c>
      <c r="C40182" s="2">
        <v>4.5447921856423099E-4</v>
      </c>
      <c r="D40182" s="2">
        <v>5.3302094892785897E-4</v>
      </c>
      <c r="E40182" s="2">
        <v>2.23654952021711E-4</v>
      </c>
      <c r="F40182" s="2">
        <v>4.54330776883918E-4</v>
      </c>
    </row>
    <row r="40183" spans="1:6" x14ac:dyDescent="0.25">
      <c r="A40183" s="1" t="str">
        <f t="shared" si="1431"/>
        <v>99999</v>
      </c>
      <c r="B40183" s="1" t="str">
        <f>"74549"</f>
        <v>74549</v>
      </c>
      <c r="C40183" s="2">
        <v>1.13673935086336E-5</v>
      </c>
      <c r="D40183" s="2">
        <v>7.5285444763821999E-6</v>
      </c>
      <c r="E40183" s="2">
        <v>4.3010567696482999E-6</v>
      </c>
      <c r="F40183" s="2">
        <v>1.0953674247201299E-5</v>
      </c>
    </row>
    <row r="40184" spans="1:6" x14ac:dyDescent="0.25">
      <c r="A40184" s="1" t="str">
        <f t="shared" si="1431"/>
        <v>99999</v>
      </c>
      <c r="B40184" s="1" t="str">
        <f>"74569"</f>
        <v>74569</v>
      </c>
      <c r="C40184" s="2">
        <v>3.7025224570978301E-5</v>
      </c>
      <c r="D40184" s="2">
        <v>1.0539962266935E-5</v>
      </c>
      <c r="E40184" s="2">
        <v>4.3010567696482999E-6</v>
      </c>
      <c r="F40184" s="2">
        <v>3.4538612491175298E-5</v>
      </c>
    </row>
    <row r="40185" spans="1:6" x14ac:dyDescent="0.25">
      <c r="A40185" s="1" t="str">
        <f t="shared" si="1431"/>
        <v>99999</v>
      </c>
      <c r="B40185" s="1" t="str">
        <f>"74748"</f>
        <v>74748</v>
      </c>
      <c r="C40185" s="2">
        <v>3.6916963680419897E-5</v>
      </c>
      <c r="D40185" s="2">
        <v>1.35513800574879E-5</v>
      </c>
      <c r="E40185" s="2">
        <v>0</v>
      </c>
      <c r="F40185" s="2">
        <v>3.4538612491175298E-5</v>
      </c>
    </row>
    <row r="40186" spans="1:6" x14ac:dyDescent="0.25">
      <c r="A40186" s="1" t="str">
        <f t="shared" si="1431"/>
        <v>99999</v>
      </c>
      <c r="B40186" s="1" t="str">
        <f>"74901"</f>
        <v>74901</v>
      </c>
      <c r="C40186" s="2">
        <v>1.62932640290416E-4</v>
      </c>
      <c r="D40186" s="2">
        <v>8.2813989240204205E-5</v>
      </c>
      <c r="E40186" s="2">
        <v>1.2473064631979999E-4</v>
      </c>
      <c r="F40186" s="2">
        <v>1.56805300709936E-4</v>
      </c>
    </row>
    <row r="40187" spans="1:6" x14ac:dyDescent="0.25">
      <c r="A40187" s="1" t="str">
        <f t="shared" si="1431"/>
        <v>99999</v>
      </c>
      <c r="B40187" s="1" t="str">
        <f>"74574"</f>
        <v>74574</v>
      </c>
      <c r="C40187" s="2">
        <v>5.5646097747025903E-5</v>
      </c>
      <c r="D40187" s="2">
        <v>2.55970512196994E-5</v>
      </c>
      <c r="E40187" s="2">
        <v>4.3010567696482999E-6</v>
      </c>
      <c r="F40187" s="2">
        <v>5.2498690986586503E-5</v>
      </c>
    </row>
    <row r="40188" spans="1:6" x14ac:dyDescent="0.25">
      <c r="A40188" s="1" t="str">
        <f t="shared" si="1431"/>
        <v>99999</v>
      </c>
      <c r="B40188" s="1" t="str">
        <f>"74344"</f>
        <v>74344</v>
      </c>
      <c r="C40188" s="2">
        <v>1.0440680285453601E-3</v>
      </c>
      <c r="D40188" s="2">
        <v>1.2783468520896899E-3</v>
      </c>
      <c r="E40188" s="2">
        <v>1.53117620999479E-3</v>
      </c>
      <c r="F40188" s="2">
        <v>1.07059830547646E-3</v>
      </c>
    </row>
    <row r="40189" spans="1:6" x14ac:dyDescent="0.25">
      <c r="A40189" s="1" t="str">
        <f t="shared" si="1431"/>
        <v>99999</v>
      </c>
      <c r="B40189" s="1" t="str">
        <f>"74338"</f>
        <v>74338</v>
      </c>
      <c r="C40189" s="2">
        <v>2.2561569592373899E-4</v>
      </c>
      <c r="D40189" s="2">
        <v>1.9875357417648999E-4</v>
      </c>
      <c r="E40189" s="2">
        <v>6.4515851544724506E-5</v>
      </c>
      <c r="F40189" s="2">
        <v>2.2015898419374899E-4</v>
      </c>
    </row>
    <row r="40190" spans="1:6" x14ac:dyDescent="0.25">
      <c r="A40190" s="1" t="str">
        <f t="shared" si="1431"/>
        <v>99999</v>
      </c>
      <c r="B40190" s="1" t="str">
        <f>"74343"</f>
        <v>74343</v>
      </c>
      <c r="C40190" s="2">
        <v>2.59826137340198E-6</v>
      </c>
      <c r="D40190" s="2">
        <v>0</v>
      </c>
      <c r="E40190" s="2">
        <v>0</v>
      </c>
      <c r="F40190" s="2">
        <v>2.3683619993948799E-6</v>
      </c>
    </row>
    <row r="40191" spans="1:6" x14ac:dyDescent="0.25">
      <c r="A40191" s="1" t="str">
        <f t="shared" si="1431"/>
        <v>99999</v>
      </c>
      <c r="B40191" s="1" t="str">
        <f>"73450"</f>
        <v>73450</v>
      </c>
      <c r="C40191" s="2">
        <v>5.9218707135453601E-5</v>
      </c>
      <c r="D40191" s="2">
        <v>1.20456711622115E-5</v>
      </c>
      <c r="E40191" s="2">
        <v>4.3010567696482999E-6</v>
      </c>
      <c r="F40191" s="2">
        <v>5.4867052985981401E-5</v>
      </c>
    </row>
    <row r="40192" spans="1:6" x14ac:dyDescent="0.25">
      <c r="A40192" s="1" t="str">
        <f t="shared" si="1431"/>
        <v>99999</v>
      </c>
      <c r="B40192" s="1" t="str">
        <f>"73052"</f>
        <v>73052</v>
      </c>
      <c r="C40192" s="2">
        <v>2.4694309136374698E-4</v>
      </c>
      <c r="D40192" s="2">
        <v>5.1043531549871304E-4</v>
      </c>
      <c r="E40192" s="2">
        <v>9.0322192162614306E-5</v>
      </c>
      <c r="F40192" s="2">
        <v>2.6061850168341102E-4</v>
      </c>
    </row>
    <row r="40193" spans="1:6" x14ac:dyDescent="0.25">
      <c r="A40193" s="1" t="str">
        <f t="shared" si="1431"/>
        <v>99999</v>
      </c>
      <c r="B40193" s="1" t="str">
        <f>"73059"</f>
        <v>73059</v>
      </c>
      <c r="C40193" s="2">
        <v>2.94469622318891E-5</v>
      </c>
      <c r="D40193" s="2">
        <v>1.0539962266935E-5</v>
      </c>
      <c r="E40193" s="2">
        <v>0</v>
      </c>
      <c r="F40193" s="2">
        <v>2.7532208242965501E-5</v>
      </c>
    </row>
    <row r="40194" spans="1:6" x14ac:dyDescent="0.25">
      <c r="A40194" s="1" t="str">
        <f t="shared" si="1431"/>
        <v>99999</v>
      </c>
      <c r="B40194" s="1" t="str">
        <f>"73074"</f>
        <v>73074</v>
      </c>
      <c r="C40194" s="2">
        <v>3.1179136480823802E-5</v>
      </c>
      <c r="D40194" s="2">
        <v>3.01141779055288E-6</v>
      </c>
      <c r="E40194" s="2">
        <v>4.3010567696482999E-6</v>
      </c>
      <c r="F40194" s="2">
        <v>2.87163892426629E-5</v>
      </c>
    </row>
    <row r="40195" spans="1:6" x14ac:dyDescent="0.25">
      <c r="A40195" s="1" t="str">
        <f t="shared" si="1431"/>
        <v>99999</v>
      </c>
      <c r="B40195" s="1" t="str">
        <f>"75773"</f>
        <v>75773</v>
      </c>
      <c r="C40195" s="2">
        <v>6.3278490531394204E-4</v>
      </c>
      <c r="D40195" s="2">
        <v>8.0555425897289499E-4</v>
      </c>
      <c r="E40195" s="2">
        <v>4.9892258527920298E-4</v>
      </c>
      <c r="F40195" s="2">
        <v>6.41036647836215E-4</v>
      </c>
    </row>
    <row r="40196" spans="1:6" x14ac:dyDescent="0.25">
      <c r="A40196" s="1" t="str">
        <f t="shared" si="1431"/>
        <v>99999</v>
      </c>
      <c r="B40196" s="1" t="str">
        <f>"75494"</f>
        <v>75494</v>
      </c>
      <c r="C40196" s="2">
        <v>5.8861446196610805E-4</v>
      </c>
      <c r="D40196" s="2">
        <v>6.2185777374916898E-4</v>
      </c>
      <c r="E40196" s="2">
        <v>5.2472892589709198E-4</v>
      </c>
      <c r="F40196" s="2">
        <v>5.8932741084942604E-4</v>
      </c>
    </row>
    <row r="40197" spans="1:6" x14ac:dyDescent="0.25">
      <c r="A40197" s="1" t="str">
        <f t="shared" si="1431"/>
        <v>99999</v>
      </c>
      <c r="B40197" s="1" t="str">
        <f>"75551"</f>
        <v>75551</v>
      </c>
      <c r="C40197" s="2">
        <v>5.7075141502397004E-4</v>
      </c>
      <c r="D40197" s="2">
        <v>7.4984302984766702E-4</v>
      </c>
      <c r="E40197" s="2">
        <v>7.0537331022232095E-4</v>
      </c>
      <c r="F40197" s="2">
        <v>5.8557750435038404E-4</v>
      </c>
    </row>
    <row r="40198" spans="1:6" x14ac:dyDescent="0.25">
      <c r="A40198" s="1" t="str">
        <f t="shared" ref="A40198:A40261" si="1432">"99999"</f>
        <v>99999</v>
      </c>
      <c r="B40198" s="1" t="str">
        <f>"75566"</f>
        <v>75566</v>
      </c>
      <c r="C40198" s="2">
        <v>7.2318274893021995E-5</v>
      </c>
      <c r="D40198" s="2">
        <v>1.35513800574879E-5</v>
      </c>
      <c r="E40198" s="2">
        <v>4.3010567696482999E-6</v>
      </c>
      <c r="F40198" s="2">
        <v>6.69062264829054E-5</v>
      </c>
    </row>
    <row r="40199" spans="1:6" x14ac:dyDescent="0.25">
      <c r="A40199" s="1" t="str">
        <f t="shared" si="1432"/>
        <v>99999</v>
      </c>
      <c r="B40199" s="1" t="str">
        <f>"75656"</f>
        <v>75656</v>
      </c>
      <c r="C40199" s="2">
        <v>2.98908318831787E-4</v>
      </c>
      <c r="D40199" s="2">
        <v>1.03893913774074E-4</v>
      </c>
      <c r="E40199" s="2">
        <v>1.5913910047698701E-4</v>
      </c>
      <c r="F40199" s="2">
        <v>2.8292057717771299E-4</v>
      </c>
    </row>
    <row r="40200" spans="1:6" x14ac:dyDescent="0.25">
      <c r="A40200" s="1" t="str">
        <f t="shared" si="1432"/>
        <v>99999</v>
      </c>
      <c r="B40200" s="1" t="str">
        <f>"79502"</f>
        <v>79502</v>
      </c>
      <c r="C40200" s="2">
        <v>4.0597833959405999E-5</v>
      </c>
      <c r="D40200" s="2">
        <v>2.8608469010252301E-5</v>
      </c>
      <c r="E40200" s="2">
        <v>7.7419021853669399E-5</v>
      </c>
      <c r="F40200" s="2">
        <v>4.0656880989612098E-5</v>
      </c>
    </row>
    <row r="40201" spans="1:6" x14ac:dyDescent="0.25">
      <c r="A40201" s="1" t="str">
        <f t="shared" si="1432"/>
        <v>99999</v>
      </c>
      <c r="B40201" s="1" t="str">
        <f>"79371"</f>
        <v>79371</v>
      </c>
      <c r="C40201" s="2">
        <v>7.5782623390891304E-5</v>
      </c>
      <c r="D40201" s="2">
        <v>2.1079924533870101E-5</v>
      </c>
      <c r="E40201" s="2">
        <v>6.0214794775076202E-4</v>
      </c>
      <c r="F40201" s="2">
        <v>8.4274214478467904E-5</v>
      </c>
    </row>
    <row r="40202" spans="1:6" x14ac:dyDescent="0.25">
      <c r="A40202" s="1" t="str">
        <f t="shared" si="1432"/>
        <v>99999</v>
      </c>
      <c r="B40202" s="1" t="str">
        <f>"79323"</f>
        <v>79323</v>
      </c>
      <c r="C40202" s="2">
        <v>2.7985440209350498E-4</v>
      </c>
      <c r="D40202" s="2">
        <v>4.4719554189710201E-4</v>
      </c>
      <c r="E40202" s="2">
        <v>3.8709510926834698E-4</v>
      </c>
      <c r="F40202" s="2">
        <v>2.9328216092506599E-4</v>
      </c>
    </row>
    <row r="40203" spans="1:6" x14ac:dyDescent="0.25">
      <c r="A40203" s="1" t="str">
        <f t="shared" si="1432"/>
        <v>99999</v>
      </c>
      <c r="B40203" s="1" t="str">
        <f>"76424"</f>
        <v>76424</v>
      </c>
      <c r="C40203" s="2">
        <v>4.7050183036687602E-4</v>
      </c>
      <c r="D40203" s="2">
        <v>8.4771410804063596E-4</v>
      </c>
      <c r="E40203" s="2">
        <v>5.5053526651498196E-4</v>
      </c>
      <c r="F40203" s="2">
        <v>4.9705997462300101E-4</v>
      </c>
    </row>
    <row r="40204" spans="1:6" x14ac:dyDescent="0.25">
      <c r="A40204" s="1" t="str">
        <f t="shared" si="1432"/>
        <v>99999</v>
      </c>
      <c r="B40204" s="1" t="str">
        <f>"76845"</f>
        <v>76845</v>
      </c>
      <c r="C40204" s="2">
        <v>1.4831742006502999E-5</v>
      </c>
      <c r="D40204" s="2">
        <v>1.0539962266935E-5</v>
      </c>
      <c r="E40204" s="2">
        <v>2.15052838482415E-5</v>
      </c>
      <c r="F40204" s="2">
        <v>1.47035807462432E-5</v>
      </c>
    </row>
    <row r="40205" spans="1:6" x14ac:dyDescent="0.25">
      <c r="A40205" s="1" t="str">
        <f t="shared" si="1432"/>
        <v>99999</v>
      </c>
      <c r="B40205" s="1" t="str">
        <f>"79257"</f>
        <v>79257</v>
      </c>
      <c r="C40205" s="2">
        <v>5.3047836373623898E-5</v>
      </c>
      <c r="D40205" s="2">
        <v>3.9148431277187403E-5</v>
      </c>
      <c r="E40205" s="2">
        <v>2.58063406178898E-5</v>
      </c>
      <c r="F40205" s="2">
        <v>5.1511873486838702E-5</v>
      </c>
    </row>
    <row r="40206" spans="1:6" x14ac:dyDescent="0.25">
      <c r="A40206" s="1" t="str">
        <f t="shared" si="1432"/>
        <v>99999</v>
      </c>
      <c r="B40206" s="1" t="str">
        <f>"79042"</f>
        <v>79042</v>
      </c>
      <c r="C40206" s="2">
        <v>2.3384352360617801E-5</v>
      </c>
      <c r="D40206" s="2">
        <v>3.01141779055288E-6</v>
      </c>
      <c r="E40206" s="2">
        <v>4.3010567696482999E-6</v>
      </c>
      <c r="F40206" s="2">
        <v>2.1611303244478299E-5</v>
      </c>
    </row>
    <row r="40207" spans="1:6" x14ac:dyDescent="0.25">
      <c r="A40207" s="1" t="str">
        <f t="shared" si="1432"/>
        <v>99999</v>
      </c>
      <c r="B40207" s="1" t="str">
        <f>"79046"</f>
        <v>79046</v>
      </c>
      <c r="C40207" s="2">
        <v>8.5526103541148705E-6</v>
      </c>
      <c r="D40207" s="2">
        <v>0</v>
      </c>
      <c r="E40207" s="2">
        <v>4.3010567696482999E-6</v>
      </c>
      <c r="F40207" s="2">
        <v>7.8945399979829399E-6</v>
      </c>
    </row>
    <row r="40208" spans="1:6" x14ac:dyDescent="0.25">
      <c r="A40208" s="1" t="str">
        <f t="shared" si="1432"/>
        <v>99999</v>
      </c>
      <c r="B40208" s="1" t="str">
        <f>"79052"</f>
        <v>79052</v>
      </c>
      <c r="C40208" s="2">
        <v>4.7310009174027802E-5</v>
      </c>
      <c r="D40208" s="2">
        <v>1.20456711622115E-5</v>
      </c>
      <c r="E40208" s="2">
        <v>2.58063406178898E-5</v>
      </c>
      <c r="F40208" s="2">
        <v>4.4505469238628803E-5</v>
      </c>
    </row>
    <row r="40209" spans="1:6" x14ac:dyDescent="0.25">
      <c r="A40209" s="1" t="str">
        <f t="shared" si="1432"/>
        <v>99999</v>
      </c>
      <c r="B40209" s="1" t="str">
        <f>"75973"</f>
        <v>75973</v>
      </c>
      <c r="C40209" s="2">
        <v>2.5711961507623798E-4</v>
      </c>
      <c r="D40209" s="2">
        <v>5.5711229125228301E-5</v>
      </c>
      <c r="E40209" s="2">
        <v>1.29031703089449E-5</v>
      </c>
      <c r="F40209" s="2">
        <v>2.3831642618910999E-4</v>
      </c>
    </row>
    <row r="40210" spans="1:6" x14ac:dyDescent="0.25">
      <c r="A40210" s="1" t="str">
        <f t="shared" si="1432"/>
        <v>99999</v>
      </c>
      <c r="B40210" s="1" t="str">
        <f>"75979"</f>
        <v>75979</v>
      </c>
      <c r="C40210" s="2">
        <v>8.7539756105535298E-4</v>
      </c>
      <c r="D40210" s="2">
        <v>8.3265701908787103E-4</v>
      </c>
      <c r="E40210" s="2">
        <v>6.6666379929548598E-4</v>
      </c>
      <c r="F40210" s="2">
        <v>8.6780730927827504E-4</v>
      </c>
    </row>
    <row r="40211" spans="1:6" x14ac:dyDescent="0.25">
      <c r="A40211" s="1" t="str">
        <f t="shared" si="1432"/>
        <v>99999</v>
      </c>
      <c r="B40211" s="1" t="str">
        <f>"75975"</f>
        <v>75975</v>
      </c>
      <c r="C40211" s="2">
        <v>1.79604817436412E-4</v>
      </c>
      <c r="D40211" s="2">
        <v>7.5285444763821999E-5</v>
      </c>
      <c r="E40211" s="2">
        <v>1.8322501838701701E-3</v>
      </c>
      <c r="F40211" s="2">
        <v>2.1068553619616899E-4</v>
      </c>
    </row>
    <row r="40212" spans="1:6" x14ac:dyDescent="0.25">
      <c r="A40212" s="1" t="str">
        <f t="shared" si="1432"/>
        <v>99999</v>
      </c>
      <c r="B40212" s="1" t="str">
        <f>"73950"</f>
        <v>73950</v>
      </c>
      <c r="C40212" s="2">
        <v>6.4306968991699194E-5</v>
      </c>
      <c r="D40212" s="2">
        <v>3.01141779055288E-5</v>
      </c>
      <c r="E40212" s="2">
        <v>0</v>
      </c>
      <c r="F40212" s="2">
        <v>6.0590594484519101E-5</v>
      </c>
    </row>
    <row r="40213" spans="1:6" x14ac:dyDescent="0.25">
      <c r="A40213" s="1" t="str">
        <f t="shared" si="1432"/>
        <v>99999</v>
      </c>
      <c r="B40213" s="1" t="str">
        <f>"75844"</f>
        <v>75844</v>
      </c>
      <c r="C40213" s="2">
        <v>3.9038877135364798E-4</v>
      </c>
      <c r="D40213" s="2">
        <v>4.5171266858293199E-5</v>
      </c>
      <c r="E40213" s="2">
        <v>6.8816908314372799E-5</v>
      </c>
      <c r="F40213" s="2">
        <v>3.6038575090792098E-4</v>
      </c>
    </row>
    <row r="40214" spans="1:6" x14ac:dyDescent="0.25">
      <c r="A40214" s="1" t="str">
        <f t="shared" si="1432"/>
        <v>99999</v>
      </c>
      <c r="B40214" s="1" t="str">
        <f>"75833"</f>
        <v>75833</v>
      </c>
      <c r="C40214" s="2">
        <v>1.76140468938543E-4</v>
      </c>
      <c r="D40214" s="2">
        <v>8.2813989240204205E-5</v>
      </c>
      <c r="E40214" s="2">
        <v>7.3117965084021106E-5</v>
      </c>
      <c r="F40214" s="2">
        <v>1.67660293207162E-4</v>
      </c>
    </row>
    <row r="40215" spans="1:6" x14ac:dyDescent="0.25">
      <c r="A40215" s="1" t="str">
        <f t="shared" si="1432"/>
        <v>99999</v>
      </c>
      <c r="B40215" s="1" t="str">
        <f>"75835"</f>
        <v>75835</v>
      </c>
      <c r="C40215" s="2">
        <v>8.48657121087424E-4</v>
      </c>
      <c r="D40215" s="2">
        <v>1.0780875690179299E-3</v>
      </c>
      <c r="E40215" s="2">
        <v>7.1827648053126604E-4</v>
      </c>
      <c r="F40215" s="2">
        <v>8.6070222328009003E-4</v>
      </c>
    </row>
    <row r="40216" spans="1:6" x14ac:dyDescent="0.25">
      <c r="A40216" s="1" t="str">
        <f t="shared" si="1432"/>
        <v>99999</v>
      </c>
      <c r="B40216" s="1" t="str">
        <f>"77331"</f>
        <v>77331</v>
      </c>
      <c r="C40216" s="2">
        <v>4.2838834393965202E-4</v>
      </c>
      <c r="D40216" s="2">
        <v>2.8006185452141702E-4</v>
      </c>
      <c r="E40216" s="2">
        <v>1.11827476010855E-4</v>
      </c>
      <c r="F40216" s="2">
        <v>4.1140421564488599E-4</v>
      </c>
    </row>
    <row r="40217" spans="1:6" x14ac:dyDescent="0.25">
      <c r="A40217" s="1" t="str">
        <f t="shared" si="1432"/>
        <v>99999</v>
      </c>
      <c r="B40217" s="1" t="str">
        <f>"67344"</f>
        <v>67344</v>
      </c>
      <c r="C40217" s="2">
        <v>1.75382642704634E-5</v>
      </c>
      <c r="D40217" s="2">
        <v>3.01141779055288E-6</v>
      </c>
      <c r="E40217" s="2">
        <v>4.3010567696482999E-6</v>
      </c>
      <c r="F40217" s="2">
        <v>1.6282488745839801E-5</v>
      </c>
    </row>
    <row r="40218" spans="1:6" x14ac:dyDescent="0.25">
      <c r="A40218" s="1" t="str">
        <f t="shared" si="1432"/>
        <v>99999</v>
      </c>
      <c r="B40218" s="1" t="str">
        <f>"67357"</f>
        <v>67357</v>
      </c>
      <c r="C40218" s="2">
        <v>1.9703482081631699E-5</v>
      </c>
      <c r="D40218" s="2">
        <v>9.0342533716586405E-6</v>
      </c>
      <c r="E40218" s="2">
        <v>4.3010567696482999E-6</v>
      </c>
      <c r="F40218" s="2">
        <v>1.8650850745234699E-5</v>
      </c>
    </row>
    <row r="40219" spans="1:6" x14ac:dyDescent="0.25">
      <c r="A40219" s="1" t="str">
        <f t="shared" si="1432"/>
        <v>99999</v>
      </c>
      <c r="B40219" s="1" t="str">
        <f>"67444"</f>
        <v>67444</v>
      </c>
      <c r="C40219" s="2">
        <v>3.8432616148237697E-5</v>
      </c>
      <c r="D40219" s="2">
        <v>1.80685067433172E-5</v>
      </c>
      <c r="E40219" s="2">
        <v>1.72042270785932E-5</v>
      </c>
      <c r="F40219" s="2">
        <v>3.6610929240645901E-5</v>
      </c>
    </row>
    <row r="40220" spans="1:6" x14ac:dyDescent="0.25">
      <c r="A40220" s="1" t="str">
        <f t="shared" si="1432"/>
        <v>99999</v>
      </c>
      <c r="B40220" s="1" t="str">
        <f>"67669"</f>
        <v>67669</v>
      </c>
      <c r="C40220" s="2">
        <v>1.05770890075572E-4</v>
      </c>
      <c r="D40220" s="2">
        <v>2.0176499196704299E-4</v>
      </c>
      <c r="E40220" s="2">
        <v>1.11827476010855E-4</v>
      </c>
      <c r="F40220" s="2">
        <v>1.12201149721332E-4</v>
      </c>
    </row>
    <row r="40221" spans="1:6" x14ac:dyDescent="0.25">
      <c r="A40221" s="1" t="str">
        <f t="shared" si="1432"/>
        <v>99999</v>
      </c>
      <c r="B40221" s="1" t="str">
        <f>"67764"</f>
        <v>67764</v>
      </c>
      <c r="C40221" s="2">
        <v>2.3384352360617801E-5</v>
      </c>
      <c r="D40221" s="2">
        <v>9.0342533716586405E-6</v>
      </c>
      <c r="E40221" s="2">
        <v>8.6021135392965999E-6</v>
      </c>
      <c r="F40221" s="2">
        <v>2.2104711994352199E-5</v>
      </c>
    </row>
    <row r="40222" spans="1:6" x14ac:dyDescent="0.25">
      <c r="A40222" s="1" t="str">
        <f t="shared" si="1432"/>
        <v>99999</v>
      </c>
      <c r="B40222" s="1" t="str">
        <f>"67657"</f>
        <v>67657</v>
      </c>
      <c r="C40222" s="2">
        <v>1.25582633047762E-5</v>
      </c>
      <c r="D40222" s="2">
        <v>3.01141779055288E-6</v>
      </c>
      <c r="E40222" s="2">
        <v>4.3010567696482999E-6</v>
      </c>
      <c r="F40222" s="2">
        <v>1.1743128246999599E-5</v>
      </c>
    </row>
    <row r="40223" spans="1:6" x14ac:dyDescent="0.25">
      <c r="A40223" s="1" t="str">
        <f t="shared" si="1432"/>
        <v>99999</v>
      </c>
      <c r="B40223" s="1" t="str">
        <f>"67452"</f>
        <v>67452</v>
      </c>
      <c r="C40223" s="2">
        <v>1.07178281652832E-5</v>
      </c>
      <c r="D40223" s="2">
        <v>3.01141779055288E-6</v>
      </c>
      <c r="E40223" s="2">
        <v>4.3010567696482999E-6</v>
      </c>
      <c r="F40223" s="2">
        <v>1.00655384974282E-5</v>
      </c>
    </row>
    <row r="40224" spans="1:6" x14ac:dyDescent="0.25">
      <c r="A40224" s="1" t="str">
        <f t="shared" si="1432"/>
        <v>99999</v>
      </c>
      <c r="B40224" s="1" t="str">
        <f>"67418"</f>
        <v>67418</v>
      </c>
      <c r="C40224" s="2">
        <v>1.06095672747247E-5</v>
      </c>
      <c r="D40224" s="2">
        <v>4.5171266858293203E-6</v>
      </c>
      <c r="E40224" s="2">
        <v>4.3010567696482999E-6</v>
      </c>
      <c r="F40224" s="2">
        <v>1.00655384974282E-5</v>
      </c>
    </row>
    <row r="40225" spans="1:6" x14ac:dyDescent="0.25">
      <c r="A40225" s="1" t="str">
        <f t="shared" si="1432"/>
        <v>99999</v>
      </c>
      <c r="B40225" s="1" t="str">
        <f>"67436"</f>
        <v>67436</v>
      </c>
      <c r="C40225" s="2">
        <v>3.2478267167524799E-6</v>
      </c>
      <c r="D40225" s="2">
        <v>3.01141779055288E-6</v>
      </c>
      <c r="E40225" s="2">
        <v>0</v>
      </c>
      <c r="F40225" s="2">
        <v>3.1578159991931699E-6</v>
      </c>
    </row>
    <row r="40226" spans="1:6" x14ac:dyDescent="0.25">
      <c r="A40226" s="1" t="str">
        <f t="shared" si="1432"/>
        <v>99999</v>
      </c>
      <c r="B40226" s="1" t="str">
        <f>"67578"</f>
        <v>67578</v>
      </c>
      <c r="C40226" s="2">
        <v>9.3970453004705196E-5</v>
      </c>
      <c r="D40226" s="2">
        <v>1.71650814061514E-4</v>
      </c>
      <c r="E40226" s="2">
        <v>1.29031703089449E-5</v>
      </c>
      <c r="F40226" s="2">
        <v>9.7201523725164995E-5</v>
      </c>
    </row>
    <row r="40227" spans="1:6" x14ac:dyDescent="0.25">
      <c r="A40227" s="1" t="str">
        <f t="shared" si="1432"/>
        <v>99999</v>
      </c>
      <c r="B40227" s="1" t="str">
        <f>"67642"</f>
        <v>67642</v>
      </c>
      <c r="C40227" s="2">
        <v>1.0804436877729901E-4</v>
      </c>
      <c r="D40227" s="2">
        <v>3.1770457690332799E-4</v>
      </c>
      <c r="E40227" s="2">
        <v>1.2042958955015201E-4</v>
      </c>
      <c r="F40227" s="2">
        <v>1.22069324718811E-4</v>
      </c>
    </row>
    <row r="40228" spans="1:6" x14ac:dyDescent="0.25">
      <c r="A40228" s="1" t="str">
        <f t="shared" si="1432"/>
        <v>99999</v>
      </c>
      <c r="B40228" s="1" t="str">
        <f>"66550"</f>
        <v>66550</v>
      </c>
      <c r="C40228" s="2">
        <v>2.6740439967928698E-5</v>
      </c>
      <c r="D40228" s="2">
        <v>2.4091342324423E-5</v>
      </c>
      <c r="E40228" s="2">
        <v>4.3010567696482999E-6</v>
      </c>
      <c r="F40228" s="2">
        <v>2.6051981993343701E-5</v>
      </c>
    </row>
    <row r="40229" spans="1:6" x14ac:dyDescent="0.25">
      <c r="A40229" s="1" t="str">
        <f t="shared" si="1432"/>
        <v>99999</v>
      </c>
      <c r="B40229" s="1" t="str">
        <f>"66937"</f>
        <v>66937</v>
      </c>
      <c r="C40229" s="2">
        <v>4.7851313626819901E-5</v>
      </c>
      <c r="D40229" s="2">
        <v>5.7216938020504697E-5</v>
      </c>
      <c r="E40229" s="2">
        <v>1.29031703089449E-5</v>
      </c>
      <c r="F40229" s="2">
        <v>4.7663285237821997E-5</v>
      </c>
    </row>
    <row r="40230" spans="1:6" x14ac:dyDescent="0.25">
      <c r="A40230" s="1" t="str">
        <f t="shared" si="1432"/>
        <v>99999</v>
      </c>
      <c r="B40230" s="1" t="str">
        <f>"66952"</f>
        <v>66952</v>
      </c>
      <c r="C40230" s="2">
        <v>3.6592181008744599E-5</v>
      </c>
      <c r="D40230" s="2">
        <v>3.9148431277187403E-5</v>
      </c>
      <c r="E40230" s="2">
        <v>1.29031703089449E-5</v>
      </c>
      <c r="F40230" s="2">
        <v>3.6216202240746699E-5</v>
      </c>
    </row>
    <row r="40231" spans="1:6" x14ac:dyDescent="0.25">
      <c r="A40231" s="1" t="str">
        <f t="shared" si="1432"/>
        <v>99999</v>
      </c>
      <c r="B40231" s="1" t="str">
        <f>"66942"</f>
        <v>66942</v>
      </c>
      <c r="C40231" s="2">
        <v>1.71052207082297E-5</v>
      </c>
      <c r="D40231" s="2">
        <v>0</v>
      </c>
      <c r="E40231" s="2">
        <v>8.6021135392965999E-6</v>
      </c>
      <c r="F40231" s="2">
        <v>1.5789079995965799E-5</v>
      </c>
    </row>
    <row r="40232" spans="1:6" x14ac:dyDescent="0.25">
      <c r="A40232" s="1" t="str">
        <f t="shared" si="1432"/>
        <v>99999</v>
      </c>
      <c r="B40232" s="1" t="str">
        <f>"66871"</f>
        <v>66871</v>
      </c>
      <c r="C40232" s="2">
        <v>7.18852313307883E-5</v>
      </c>
      <c r="D40232" s="2">
        <v>1.20456711622115E-5</v>
      </c>
      <c r="E40232" s="2">
        <v>1.29031703089449E-5</v>
      </c>
      <c r="F40232" s="2">
        <v>6.6610181232981002E-5</v>
      </c>
    </row>
    <row r="40233" spans="1:6" x14ac:dyDescent="0.25">
      <c r="A40233" s="1" t="str">
        <f t="shared" si="1432"/>
        <v>99999</v>
      </c>
      <c r="B40233" s="1" t="str">
        <f>"66943"</f>
        <v>66943</v>
      </c>
      <c r="C40233" s="2">
        <v>3.1070875590265398E-5</v>
      </c>
      <c r="D40233" s="2">
        <v>1.20456711622115E-5</v>
      </c>
      <c r="E40233" s="2">
        <v>1.29031703089449E-5</v>
      </c>
      <c r="F40233" s="2">
        <v>2.9407161492486401E-5</v>
      </c>
    </row>
    <row r="40234" spans="1:6" x14ac:dyDescent="0.25">
      <c r="A40234" s="1" t="str">
        <f t="shared" si="1432"/>
        <v>99999</v>
      </c>
      <c r="B40234" s="1" t="str">
        <f>"67024"</f>
        <v>67024</v>
      </c>
      <c r="C40234" s="2">
        <v>3.8757398819912901E-5</v>
      </c>
      <c r="D40234" s="2">
        <v>9.0342533716586405E-6</v>
      </c>
      <c r="E40234" s="2">
        <v>1.29031703089449E-5</v>
      </c>
      <c r="F40234" s="2">
        <v>3.6216202240746699E-5</v>
      </c>
    </row>
    <row r="40235" spans="1:6" x14ac:dyDescent="0.25">
      <c r="A40235" s="1" t="str">
        <f t="shared" si="1432"/>
        <v>99999</v>
      </c>
      <c r="B40235" s="1" t="str">
        <f>"65772"</f>
        <v>65772</v>
      </c>
      <c r="C40235" s="2">
        <v>1.2341741523659401E-4</v>
      </c>
      <c r="D40235" s="2">
        <v>4.5171266858293199E-5</v>
      </c>
      <c r="E40235" s="2">
        <v>2.15052838482415E-5</v>
      </c>
      <c r="F40235" s="2">
        <v>1.1595105622037401E-4</v>
      </c>
    </row>
    <row r="40236" spans="1:6" x14ac:dyDescent="0.25">
      <c r="A40236" s="1" t="str">
        <f t="shared" si="1432"/>
        <v>99999</v>
      </c>
      <c r="B40236" s="1" t="str">
        <f>"65769"</f>
        <v>65769</v>
      </c>
      <c r="C40236" s="2">
        <v>1.4193002752208299E-4</v>
      </c>
      <c r="D40236" s="2">
        <v>2.1079924533870101E-5</v>
      </c>
      <c r="E40236" s="2">
        <v>1.72042270785932E-5</v>
      </c>
      <c r="F40236" s="2">
        <v>1.3114804571649099E-4</v>
      </c>
    </row>
    <row r="40237" spans="1:6" x14ac:dyDescent="0.25">
      <c r="A40237" s="1" t="str">
        <f t="shared" si="1432"/>
        <v>99999</v>
      </c>
      <c r="B40237" s="1" t="str">
        <f>"65774"</f>
        <v>65774</v>
      </c>
      <c r="C40237" s="2">
        <v>9.2454800536887396E-5</v>
      </c>
      <c r="D40237" s="2">
        <v>2.55970512196994E-5</v>
      </c>
      <c r="E40237" s="2">
        <v>3.01073973875381E-5</v>
      </c>
      <c r="F40237" s="2">
        <v>8.6642576477862803E-5</v>
      </c>
    </row>
    <row r="40238" spans="1:6" x14ac:dyDescent="0.25">
      <c r="A40238" s="1" t="str">
        <f t="shared" si="1432"/>
        <v>99999</v>
      </c>
      <c r="B40238" s="1" t="str">
        <f>"65766"</f>
        <v>65766</v>
      </c>
      <c r="C40238" s="2">
        <v>1.4831742006502999E-5</v>
      </c>
      <c r="D40238" s="2">
        <v>3.01141779055288E-6</v>
      </c>
      <c r="E40238" s="2">
        <v>4.3010567696482999E-6</v>
      </c>
      <c r="F40238" s="2">
        <v>1.38154449964701E-5</v>
      </c>
    </row>
    <row r="40239" spans="1:6" x14ac:dyDescent="0.25">
      <c r="A40239" s="1" t="str">
        <f t="shared" si="1432"/>
        <v>99999</v>
      </c>
      <c r="B40239" s="1" t="str">
        <f>"65616"</f>
        <v>65616</v>
      </c>
      <c r="C40239" s="2">
        <v>1.3067089490400799E-4</v>
      </c>
      <c r="D40239" s="2">
        <v>1.08411040459903E-4</v>
      </c>
      <c r="E40239" s="2">
        <v>5.2902998266674103E-4</v>
      </c>
      <c r="F40239" s="2">
        <v>1.3835181346465099E-4</v>
      </c>
    </row>
    <row r="40240" spans="1:6" x14ac:dyDescent="0.25">
      <c r="A40240" s="1" t="str">
        <f t="shared" si="1432"/>
        <v>99999</v>
      </c>
      <c r="B40240" s="1" t="str">
        <f>"65668"</f>
        <v>65668</v>
      </c>
      <c r="C40240" s="2">
        <v>1.7776438229691899E-4</v>
      </c>
      <c r="D40240" s="2">
        <v>1.68639396270961E-4</v>
      </c>
      <c r="E40240" s="2">
        <v>1.63440157246635E-4</v>
      </c>
      <c r="F40240" s="2">
        <v>1.76837695954817E-4</v>
      </c>
    </row>
    <row r="40241" spans="1:6" x14ac:dyDescent="0.25">
      <c r="A40241" s="1" t="str">
        <f t="shared" si="1432"/>
        <v>99999</v>
      </c>
      <c r="B40241" s="1" t="str">
        <f>"65681"</f>
        <v>65681</v>
      </c>
      <c r="C40241" s="2">
        <v>1.4409524533325101E-4</v>
      </c>
      <c r="D40241" s="2">
        <v>9.0342533716586399E-5</v>
      </c>
      <c r="E40241" s="2">
        <v>2.15052838482415E-5</v>
      </c>
      <c r="F40241" s="2">
        <v>1.37759722964802E-4</v>
      </c>
    </row>
    <row r="40242" spans="1:6" x14ac:dyDescent="0.25">
      <c r="A40242" s="1" t="str">
        <f t="shared" si="1432"/>
        <v>99999</v>
      </c>
      <c r="B40242" s="1" t="str">
        <f>"65690"</f>
        <v>65690</v>
      </c>
      <c r="C40242" s="2">
        <v>3.5076528540926799E-5</v>
      </c>
      <c r="D40242" s="2">
        <v>2.1079924533870101E-5</v>
      </c>
      <c r="E40242" s="2">
        <v>4.3010567696482999E-6</v>
      </c>
      <c r="F40242" s="2">
        <v>3.34531132414527E-5</v>
      </c>
    </row>
    <row r="40243" spans="1:6" x14ac:dyDescent="0.25">
      <c r="A40243" s="1" t="str">
        <f t="shared" si="1432"/>
        <v>99999</v>
      </c>
      <c r="B40243" s="1" t="str">
        <f>"65647"</f>
        <v>65647</v>
      </c>
      <c r="C40243" s="2">
        <v>1.2525785037608699E-4</v>
      </c>
      <c r="D40243" s="2">
        <v>2.8608469010252301E-5</v>
      </c>
      <c r="E40243" s="2">
        <v>1.2473064631979999E-4</v>
      </c>
      <c r="F40243" s="2">
        <v>1.18911508719618E-4</v>
      </c>
    </row>
    <row r="40244" spans="1:6" x14ac:dyDescent="0.25">
      <c r="A40244" s="1" t="str">
        <f t="shared" si="1432"/>
        <v>99999</v>
      </c>
      <c r="B40244" s="1" t="str">
        <f>"65609"</f>
        <v>65609</v>
      </c>
      <c r="C40244" s="2">
        <v>4.1788703755548602E-5</v>
      </c>
      <c r="D40244" s="2">
        <v>9.0342533716586405E-6</v>
      </c>
      <c r="E40244" s="2">
        <v>4.3010567696482999E-6</v>
      </c>
      <c r="F40244" s="2">
        <v>3.8781927740091198E-5</v>
      </c>
    </row>
    <row r="40245" spans="1:6" x14ac:dyDescent="0.25">
      <c r="A40245" s="1" t="str">
        <f t="shared" si="1432"/>
        <v>99999</v>
      </c>
      <c r="B40245" s="1" t="str">
        <f>"65610"</f>
        <v>65610</v>
      </c>
      <c r="C40245" s="2">
        <v>3.7458268133211902E-5</v>
      </c>
      <c r="D40245" s="2">
        <v>4.5171266858293203E-6</v>
      </c>
      <c r="E40245" s="2">
        <v>4.3010567696482999E-6</v>
      </c>
      <c r="F40245" s="2">
        <v>3.4538612491175298E-5</v>
      </c>
    </row>
    <row r="40246" spans="1:6" x14ac:dyDescent="0.25">
      <c r="A40246" s="1" t="str">
        <f t="shared" si="1432"/>
        <v>99999</v>
      </c>
      <c r="B40246" s="1" t="str">
        <f>"65646"</f>
        <v>65646</v>
      </c>
      <c r="C40246" s="2">
        <v>1.2969654688898199E-4</v>
      </c>
      <c r="D40246" s="2">
        <v>1.50570889527644E-5</v>
      </c>
      <c r="E40246" s="2">
        <v>1.29031703089449E-5</v>
      </c>
      <c r="F40246" s="2">
        <v>1.19503599219466E-4</v>
      </c>
    </row>
    <row r="40247" spans="1:6" x14ac:dyDescent="0.25">
      <c r="A40247" s="1" t="str">
        <f t="shared" si="1432"/>
        <v>99999</v>
      </c>
      <c r="B40247" s="1" t="str">
        <f>"69154"</f>
        <v>69154</v>
      </c>
      <c r="C40247" s="2">
        <v>8.34691466205388E-5</v>
      </c>
      <c r="D40247" s="2">
        <v>6.0228355811057599E-5</v>
      </c>
      <c r="E40247" s="2">
        <v>1.29031703089449E-5</v>
      </c>
      <c r="F40247" s="2">
        <v>8.0326944479476402E-5</v>
      </c>
    </row>
    <row r="40248" spans="1:6" x14ac:dyDescent="0.25">
      <c r="A40248" s="1" t="str">
        <f t="shared" si="1432"/>
        <v>99999</v>
      </c>
      <c r="B40248" s="1" t="str">
        <f>"69125"</f>
        <v>69125</v>
      </c>
      <c r="C40248" s="2">
        <v>2.30595696889426E-5</v>
      </c>
      <c r="D40248" s="2">
        <v>7.5285444763821999E-6</v>
      </c>
      <c r="E40248" s="2">
        <v>4.3010567696482999E-6</v>
      </c>
      <c r="F40248" s="2">
        <v>2.1611303244478299E-5</v>
      </c>
    </row>
    <row r="40249" spans="1:6" x14ac:dyDescent="0.25">
      <c r="A40249" s="1" t="str">
        <f t="shared" si="1432"/>
        <v>99999</v>
      </c>
      <c r="B40249" s="1" t="str">
        <f>"69142"</f>
        <v>69142</v>
      </c>
      <c r="C40249" s="2">
        <v>7.6865232296475401E-6</v>
      </c>
      <c r="D40249" s="2">
        <v>6.0228355811057601E-6</v>
      </c>
      <c r="E40249" s="2">
        <v>4.3010567696482999E-6</v>
      </c>
      <c r="F40249" s="2">
        <v>7.4998129980837899E-6</v>
      </c>
    </row>
    <row r="40250" spans="1:6" x14ac:dyDescent="0.25">
      <c r="A40250" s="1" t="str">
        <f t="shared" si="1432"/>
        <v>99999</v>
      </c>
      <c r="B40250" s="1" t="str">
        <f>"69220"</f>
        <v>69220</v>
      </c>
      <c r="C40250" s="2">
        <v>4.1139138412198104E-6</v>
      </c>
      <c r="D40250" s="2">
        <v>1.50570889527644E-6</v>
      </c>
      <c r="E40250" s="2">
        <v>0</v>
      </c>
      <c r="F40250" s="2">
        <v>3.8485882490166797E-6</v>
      </c>
    </row>
    <row r="40251" spans="1:6" x14ac:dyDescent="0.25">
      <c r="A40251" s="1" t="str">
        <f t="shared" si="1432"/>
        <v>99999</v>
      </c>
      <c r="B40251" s="1" t="str">
        <f>"68977"</f>
        <v>68977</v>
      </c>
      <c r="C40251" s="2">
        <v>1.8187829613813899E-5</v>
      </c>
      <c r="D40251" s="2">
        <v>4.5171266858293203E-6</v>
      </c>
      <c r="E40251" s="2">
        <v>4.3010567696482999E-6</v>
      </c>
      <c r="F40251" s="2">
        <v>1.6973260995663299E-5</v>
      </c>
    </row>
    <row r="40252" spans="1:6" x14ac:dyDescent="0.25">
      <c r="A40252" s="1" t="str">
        <f t="shared" si="1432"/>
        <v>99999</v>
      </c>
      <c r="B40252" s="1" t="str">
        <f>"69337"</f>
        <v>69337</v>
      </c>
      <c r="C40252" s="2">
        <v>3.5130658986205998E-4</v>
      </c>
      <c r="D40252" s="2">
        <v>6.1734064706334005E-4</v>
      </c>
      <c r="E40252" s="2">
        <v>7.5268493468845195E-4</v>
      </c>
      <c r="F40252" s="2">
        <v>3.7795110240343302E-4</v>
      </c>
    </row>
    <row r="40253" spans="1:6" x14ac:dyDescent="0.25">
      <c r="A40253" s="1" t="str">
        <f t="shared" si="1432"/>
        <v>99999</v>
      </c>
      <c r="B40253" s="1" t="str">
        <f>"68926"</f>
        <v>68926</v>
      </c>
      <c r="C40253" s="2">
        <v>5.0341314109663503E-5</v>
      </c>
      <c r="D40253" s="2">
        <v>1.50570889527644E-5</v>
      </c>
      <c r="E40253" s="2">
        <v>1.72042270785932E-5</v>
      </c>
      <c r="F40253" s="2">
        <v>4.7268558237922802E-5</v>
      </c>
    </row>
    <row r="40254" spans="1:6" x14ac:dyDescent="0.25">
      <c r="A40254" s="1" t="str">
        <f t="shared" si="1432"/>
        <v>99999</v>
      </c>
      <c r="B40254" s="1" t="str">
        <f>"68979"</f>
        <v>68979</v>
      </c>
      <c r="C40254" s="2">
        <v>9.6568714378107194E-5</v>
      </c>
      <c r="D40254" s="2">
        <v>1.0088249598352101E-4</v>
      </c>
      <c r="E40254" s="2">
        <v>7.3117965084021106E-5</v>
      </c>
      <c r="F40254" s="2">
        <v>9.6313387975391896E-5</v>
      </c>
    </row>
    <row r="40255" spans="1:6" x14ac:dyDescent="0.25">
      <c r="A40255" s="1" t="str">
        <f t="shared" si="1432"/>
        <v>99999</v>
      </c>
      <c r="B40255" s="1" t="str">
        <f>"71003"</f>
        <v>71003</v>
      </c>
      <c r="C40255" s="2">
        <v>4.8392618079612001E-5</v>
      </c>
      <c r="D40255" s="2">
        <v>1.80685067433172E-5</v>
      </c>
      <c r="E40255" s="2">
        <v>4.3010567696482999E-6</v>
      </c>
      <c r="F40255" s="2">
        <v>4.5393604988401902E-5</v>
      </c>
    </row>
    <row r="40256" spans="1:6" x14ac:dyDescent="0.25">
      <c r="A40256" s="1" t="str">
        <f t="shared" si="1432"/>
        <v>99999</v>
      </c>
      <c r="B40256" s="1" t="str">
        <f>"68661"</f>
        <v>68661</v>
      </c>
      <c r="C40256" s="2">
        <v>2.8104527188964801E-4</v>
      </c>
      <c r="D40256" s="2">
        <v>3.9600143945770302E-4</v>
      </c>
      <c r="E40256" s="2">
        <v>4.1290144988623701E-4</v>
      </c>
      <c r="F40256" s="2">
        <v>2.9160457117549503E-4</v>
      </c>
    </row>
    <row r="40257" spans="1:6" x14ac:dyDescent="0.25">
      <c r="A40257" s="1" t="str">
        <f t="shared" si="1432"/>
        <v>99999</v>
      </c>
      <c r="B40257" s="1" t="str">
        <f>"68640"</f>
        <v>68640</v>
      </c>
      <c r="C40257" s="2">
        <v>7.56743625003329E-5</v>
      </c>
      <c r="D40257" s="2">
        <v>1.50570889527644E-5</v>
      </c>
      <c r="E40257" s="2">
        <v>1.29031703089449E-5</v>
      </c>
      <c r="F40257" s="2">
        <v>7.0261405982048202E-5</v>
      </c>
    </row>
    <row r="40258" spans="1:6" x14ac:dyDescent="0.25">
      <c r="A40258" s="1" t="str">
        <f t="shared" si="1432"/>
        <v>99999</v>
      </c>
      <c r="B40258" s="1" t="str">
        <f>"68716"</f>
        <v>68716</v>
      </c>
      <c r="C40258" s="2">
        <v>4.9800009656871403E-5</v>
      </c>
      <c r="D40258" s="2">
        <v>2.55970512196994E-5</v>
      </c>
      <c r="E40258" s="2">
        <v>8.1720078623317706E-5</v>
      </c>
      <c r="F40258" s="2">
        <v>4.8946147987494202E-5</v>
      </c>
    </row>
    <row r="40259" spans="1:6" x14ac:dyDescent="0.25">
      <c r="A40259" s="1" t="str">
        <f t="shared" si="1432"/>
        <v>99999</v>
      </c>
      <c r="B40259" s="1" t="str">
        <f>"68726"</f>
        <v>68726</v>
      </c>
      <c r="C40259" s="2">
        <v>7.76230585303843E-5</v>
      </c>
      <c r="D40259" s="2">
        <v>3.01141779055288E-6</v>
      </c>
      <c r="E40259" s="2">
        <v>8.6021135392965999E-6</v>
      </c>
      <c r="F40259" s="2">
        <v>7.1149541731821205E-5</v>
      </c>
    </row>
    <row r="40260" spans="1:6" x14ac:dyDescent="0.25">
      <c r="A40260" s="1" t="str">
        <f t="shared" si="1432"/>
        <v>99999</v>
      </c>
      <c r="B40260" s="1" t="str">
        <f>"68843"</f>
        <v>68843</v>
      </c>
      <c r="C40260" s="2">
        <v>3.9623485944380299E-5</v>
      </c>
      <c r="D40260" s="2">
        <v>4.5171266858293199E-5</v>
      </c>
      <c r="E40260" s="2">
        <v>1.29031703089449E-5</v>
      </c>
      <c r="F40260" s="2">
        <v>3.9374018239939899E-5</v>
      </c>
    </row>
    <row r="40261" spans="1:6" x14ac:dyDescent="0.25">
      <c r="A40261" s="1" t="str">
        <f t="shared" si="1432"/>
        <v>99999</v>
      </c>
      <c r="B40261" s="1" t="str">
        <f>"68714"</f>
        <v>68714</v>
      </c>
      <c r="C40261" s="2">
        <v>8.34691466205388E-5</v>
      </c>
      <c r="D40261" s="2">
        <v>3.1619886800805203E-5</v>
      </c>
      <c r="E40261" s="2">
        <v>5.1612681235779599E-5</v>
      </c>
      <c r="F40261" s="2">
        <v>7.9340126979728499E-5</v>
      </c>
    </row>
    <row r="40262" spans="1:6" x14ac:dyDescent="0.25">
      <c r="A40262" s="1" t="str">
        <f t="shared" ref="A40262:A40325" si="1433">"99999"</f>
        <v>99999</v>
      </c>
      <c r="B40262" s="1" t="str">
        <f>"68791"</f>
        <v>68791</v>
      </c>
      <c r="C40262" s="2">
        <v>1.0133219356267701E-4</v>
      </c>
      <c r="D40262" s="2">
        <v>4.0654140172463799E-5</v>
      </c>
      <c r="E40262" s="2">
        <v>1.5483804370733801E-4</v>
      </c>
      <c r="F40262" s="2">
        <v>9.8583068224812004E-5</v>
      </c>
    </row>
    <row r="40263" spans="1:6" x14ac:dyDescent="0.25">
      <c r="A40263" s="1" t="str">
        <f t="shared" si="1433"/>
        <v>99999</v>
      </c>
      <c r="B40263" s="1" t="str">
        <f>"68813"</f>
        <v>68813</v>
      </c>
      <c r="C40263" s="2">
        <v>3.0854353809148598E-5</v>
      </c>
      <c r="D40263" s="2">
        <v>2.7102760114975901E-5</v>
      </c>
      <c r="E40263" s="2">
        <v>4.3010567696482999E-6</v>
      </c>
      <c r="F40263" s="2">
        <v>2.9999251992335099E-5</v>
      </c>
    </row>
    <row r="40264" spans="1:6" x14ac:dyDescent="0.25">
      <c r="A40264" s="1" t="str">
        <f t="shared" si="1433"/>
        <v>99999</v>
      </c>
      <c r="B40264" s="1" t="str">
        <f>"68815"</f>
        <v>68815</v>
      </c>
      <c r="C40264" s="2">
        <v>3.0421310246914899E-5</v>
      </c>
      <c r="D40264" s="2">
        <v>1.65627978480408E-5</v>
      </c>
      <c r="E40264" s="2">
        <v>1.29031703089449E-5</v>
      </c>
      <c r="F40264" s="2">
        <v>2.9111116242562101E-5</v>
      </c>
    </row>
    <row r="40265" spans="1:6" x14ac:dyDescent="0.25">
      <c r="A40265" s="1" t="str">
        <f t="shared" si="1433"/>
        <v>99999</v>
      </c>
      <c r="B40265" s="1" t="str">
        <f>"68323"</f>
        <v>68323</v>
      </c>
      <c r="C40265" s="2">
        <v>1.6455655364879201E-5</v>
      </c>
      <c r="D40265" s="2">
        <v>6.0228355811057601E-6</v>
      </c>
      <c r="E40265" s="2">
        <v>1.29031703089449E-5</v>
      </c>
      <c r="F40265" s="2">
        <v>1.56903982459911E-5</v>
      </c>
    </row>
    <row r="40266" spans="1:6" x14ac:dyDescent="0.25">
      <c r="A40266" s="1" t="str">
        <f t="shared" si="1433"/>
        <v>99999</v>
      </c>
      <c r="B40266" s="1" t="str">
        <f>"68337"</f>
        <v>68337</v>
      </c>
      <c r="C40266" s="2">
        <v>2.0244786534423801E-5</v>
      </c>
      <c r="D40266" s="2">
        <v>4.5171266858293203E-6</v>
      </c>
      <c r="E40266" s="2">
        <v>4.3010567696482999E-6</v>
      </c>
      <c r="F40266" s="2">
        <v>1.8848214245184198E-5</v>
      </c>
    </row>
    <row r="40267" spans="1:6" x14ac:dyDescent="0.25">
      <c r="A40267" s="1" t="str">
        <f t="shared" si="1433"/>
        <v>99999</v>
      </c>
      <c r="B40267" s="1" t="str">
        <f>"68371"</f>
        <v>68371</v>
      </c>
      <c r="C40267" s="2">
        <v>6.7879578380126906E-5</v>
      </c>
      <c r="D40267" s="2">
        <v>5.4205520229951803E-5</v>
      </c>
      <c r="E40267" s="2">
        <v>4.7311624466131299E-5</v>
      </c>
      <c r="F40267" s="2">
        <v>6.6511499483006293E-5</v>
      </c>
    </row>
    <row r="40268" spans="1:6" x14ac:dyDescent="0.25">
      <c r="A40268" s="1" t="str">
        <f t="shared" si="1433"/>
        <v>99999</v>
      </c>
      <c r="B40268" s="1" t="str">
        <f>"68433"</f>
        <v>68433</v>
      </c>
      <c r="C40268" s="2">
        <v>1.50482637876198E-5</v>
      </c>
      <c r="D40268" s="2">
        <v>6.0228355811057601E-6</v>
      </c>
      <c r="E40268" s="2">
        <v>4.3010567696482999E-6</v>
      </c>
      <c r="F40268" s="2">
        <v>1.42101719963693E-5</v>
      </c>
    </row>
    <row r="40269" spans="1:6" x14ac:dyDescent="0.25">
      <c r="A40269" s="1" t="str">
        <f t="shared" si="1433"/>
        <v>99999</v>
      </c>
      <c r="B40269" s="1" t="str">
        <f>"68319"</f>
        <v>68319</v>
      </c>
      <c r="C40269" s="2">
        <v>2.91221795602139E-5</v>
      </c>
      <c r="D40269" s="2">
        <v>2.25856334291466E-5</v>
      </c>
      <c r="E40269" s="2">
        <v>4.3010567696482999E-6</v>
      </c>
      <c r="F40269" s="2">
        <v>2.8124298742814199E-5</v>
      </c>
    </row>
    <row r="40270" spans="1:6" x14ac:dyDescent="0.25">
      <c r="A40270" s="1" t="str">
        <f t="shared" si="1433"/>
        <v>99999</v>
      </c>
      <c r="B40270" s="1" t="str">
        <f>"72131"</f>
        <v>72131</v>
      </c>
      <c r="C40270" s="2">
        <v>2.1933656427135099E-4</v>
      </c>
      <c r="D40270" s="2">
        <v>1.0539962266935E-4</v>
      </c>
      <c r="E40270" s="2">
        <v>2.15052838482415E-5</v>
      </c>
      <c r="F40270" s="2">
        <v>2.0733035669702701E-4</v>
      </c>
    </row>
    <row r="40271" spans="1:6" x14ac:dyDescent="0.25">
      <c r="A40271" s="1" t="str">
        <f t="shared" si="1433"/>
        <v>99999</v>
      </c>
      <c r="B40271" s="1" t="str">
        <f>"72088"</f>
        <v>72088</v>
      </c>
      <c r="C40271" s="2">
        <v>1.9118873272616201E-4</v>
      </c>
      <c r="D40271" s="2">
        <v>7.5285444763821999E-5</v>
      </c>
      <c r="E40271" s="2">
        <v>6.4515851544724506E-5</v>
      </c>
      <c r="F40271" s="2">
        <v>1.8068628420383399E-4</v>
      </c>
    </row>
    <row r="40272" spans="1:6" x14ac:dyDescent="0.25">
      <c r="A40272" s="1" t="str">
        <f t="shared" si="1433"/>
        <v>99999</v>
      </c>
      <c r="B40272" s="1" t="str">
        <f>"72101"</f>
        <v>72101</v>
      </c>
      <c r="C40272" s="2">
        <v>1.6434003186767499E-4</v>
      </c>
      <c r="D40272" s="2">
        <v>1.08411040459903E-4</v>
      </c>
      <c r="E40272" s="2">
        <v>1.11827476010855E-4</v>
      </c>
      <c r="F40272" s="2">
        <v>1.59469707959255E-4</v>
      </c>
    </row>
    <row r="40273" spans="1:6" x14ac:dyDescent="0.25">
      <c r="A40273" s="1" t="str">
        <f t="shared" si="1433"/>
        <v>99999</v>
      </c>
      <c r="B40273" s="1" t="str">
        <f>"72042"</f>
        <v>72042</v>
      </c>
      <c r="C40273" s="2">
        <v>2.9576875300559198E-4</v>
      </c>
      <c r="D40273" s="2">
        <v>4.4267841521127298E-4</v>
      </c>
      <c r="E40273" s="2">
        <v>1.07526419241207E-4</v>
      </c>
      <c r="F40273" s="2">
        <v>3.0107801917307402E-4</v>
      </c>
    </row>
    <row r="40274" spans="1:6" x14ac:dyDescent="0.25">
      <c r="A40274" s="1" t="str">
        <f t="shared" si="1433"/>
        <v>99999</v>
      </c>
      <c r="B40274" s="1" t="str">
        <f>"72080"</f>
        <v>72080</v>
      </c>
      <c r="C40274" s="2">
        <v>3.9190442382146597E-5</v>
      </c>
      <c r="D40274" s="2">
        <v>7.5285444763821999E-6</v>
      </c>
      <c r="E40274" s="2">
        <v>4.3010567696482999E-6</v>
      </c>
      <c r="F40274" s="2">
        <v>3.6314883990721503E-5</v>
      </c>
    </row>
    <row r="40275" spans="1:6" x14ac:dyDescent="0.25">
      <c r="A40275" s="1" t="str">
        <f t="shared" si="1433"/>
        <v>99999</v>
      </c>
      <c r="B40275" s="1" t="str">
        <f>"72141"</f>
        <v>72141</v>
      </c>
      <c r="C40275" s="2">
        <v>3.5076528540926799E-5</v>
      </c>
      <c r="D40275" s="2">
        <v>9.0342533716586405E-6</v>
      </c>
      <c r="E40275" s="2">
        <v>4.3010567696482999E-6</v>
      </c>
      <c r="F40275" s="2">
        <v>3.2663659241654398E-5</v>
      </c>
    </row>
    <row r="40276" spans="1:6" x14ac:dyDescent="0.25">
      <c r="A40276" s="1" t="str">
        <f t="shared" si="1433"/>
        <v>99999</v>
      </c>
      <c r="B40276" s="1" t="str">
        <f>"72006"</f>
        <v>72006</v>
      </c>
      <c r="C40276" s="2">
        <v>1.72351337768998E-4</v>
      </c>
      <c r="D40276" s="2">
        <v>2.6801618335920601E-4</v>
      </c>
      <c r="E40276" s="2">
        <v>9.0322192162614306E-5</v>
      </c>
      <c r="F40276" s="2">
        <v>1.7673901420484301E-4</v>
      </c>
    </row>
    <row r="40277" spans="1:6" x14ac:dyDescent="0.25">
      <c r="A40277" s="1" t="str">
        <f t="shared" si="1433"/>
        <v>99999</v>
      </c>
      <c r="B40277" s="1" t="str">
        <f>"71860"</f>
        <v>71860</v>
      </c>
      <c r="C40277" s="2">
        <v>1.6607220611660999E-4</v>
      </c>
      <c r="D40277" s="2">
        <v>2.0477640975759501E-4</v>
      </c>
      <c r="E40277" s="2">
        <v>2.1935389525206301E-4</v>
      </c>
      <c r="F40277" s="2">
        <v>1.6983129170660799E-4</v>
      </c>
    </row>
    <row r="40278" spans="1:6" x14ac:dyDescent="0.25">
      <c r="A40278" s="1" t="str">
        <f t="shared" si="1433"/>
        <v>99999</v>
      </c>
      <c r="B40278" s="1" t="str">
        <f>"71937"</f>
        <v>71937</v>
      </c>
      <c r="C40278" s="2">
        <v>1.10967412822376E-4</v>
      </c>
      <c r="D40278" s="2">
        <v>3.1619886800805203E-5</v>
      </c>
      <c r="E40278" s="2">
        <v>4.3010567696482999E-6</v>
      </c>
      <c r="F40278" s="2">
        <v>1.03319792223601E-4</v>
      </c>
    </row>
    <row r="40279" spans="1:6" x14ac:dyDescent="0.25">
      <c r="A40279" s="1" t="str">
        <f t="shared" si="1433"/>
        <v>99999</v>
      </c>
      <c r="B40279" s="1" t="str">
        <f>"71763"</f>
        <v>71763</v>
      </c>
      <c r="C40279" s="2">
        <v>9.3212626770796303E-5</v>
      </c>
      <c r="D40279" s="2">
        <v>4.8182684648845999E-5</v>
      </c>
      <c r="E40279" s="2">
        <v>4.3010567696482999E-6</v>
      </c>
      <c r="F40279" s="2">
        <v>8.8221484477459406E-5</v>
      </c>
    </row>
    <row r="40280" spans="1:6" x14ac:dyDescent="0.25">
      <c r="A40280" s="1" t="str">
        <f t="shared" si="1433"/>
        <v>99999</v>
      </c>
      <c r="B40280" s="1" t="str">
        <f>"72027"</f>
        <v>72027</v>
      </c>
      <c r="C40280" s="2">
        <v>8.3577407511097203E-5</v>
      </c>
      <c r="D40280" s="2">
        <v>2.25856334291466E-5</v>
      </c>
      <c r="E40280" s="2">
        <v>4.3010567696482999E-6</v>
      </c>
      <c r="F40280" s="2">
        <v>7.7761218980132004E-5</v>
      </c>
    </row>
    <row r="40281" spans="1:6" x14ac:dyDescent="0.25">
      <c r="A40281" s="1" t="str">
        <f t="shared" si="1433"/>
        <v>99999</v>
      </c>
      <c r="B40281" s="1" t="str">
        <f>"62992"</f>
        <v>62992</v>
      </c>
      <c r="C40281" s="2">
        <v>4.7959574517378298E-5</v>
      </c>
      <c r="D40281" s="2">
        <v>4.2159849067740298E-5</v>
      </c>
      <c r="E40281" s="2">
        <v>2.58063406178898E-5</v>
      </c>
      <c r="F40281" s="2">
        <v>4.7071194737973303E-5</v>
      </c>
    </row>
    <row r="40282" spans="1:6" x14ac:dyDescent="0.25">
      <c r="A40282" s="1" t="str">
        <f t="shared" si="1433"/>
        <v>99999</v>
      </c>
      <c r="B40282" s="1" t="str">
        <f>"63028"</f>
        <v>63028</v>
      </c>
      <c r="C40282" s="2">
        <v>3.4968267650368402E-5</v>
      </c>
      <c r="D40282" s="2">
        <v>1.50570889527644E-6</v>
      </c>
      <c r="E40282" s="2">
        <v>0</v>
      </c>
      <c r="F40282" s="2">
        <v>3.19728869918309E-5</v>
      </c>
    </row>
    <row r="40283" spans="1:6" x14ac:dyDescent="0.25">
      <c r="A40283" s="1" t="str">
        <f t="shared" si="1433"/>
        <v>99999</v>
      </c>
      <c r="B40283" s="1" t="str">
        <f>"62442"</f>
        <v>62442</v>
      </c>
      <c r="C40283" s="2">
        <v>1.3261959093405901E-4</v>
      </c>
      <c r="D40283" s="2">
        <v>1.0991674935517999E-4</v>
      </c>
      <c r="E40283" s="2">
        <v>9.4623248932262599E-5</v>
      </c>
      <c r="F40283" s="2">
        <v>1.30259909966718E-4</v>
      </c>
    </row>
    <row r="40284" spans="1:6" x14ac:dyDescent="0.25">
      <c r="A40284" s="1" t="str">
        <f t="shared" si="1433"/>
        <v>99999</v>
      </c>
      <c r="B40284" s="1" t="str">
        <f>"62417"</f>
        <v>62417</v>
      </c>
      <c r="C40284" s="2">
        <v>1.5708655220026099E-4</v>
      </c>
      <c r="D40284" s="2">
        <v>1.68639396270961E-4</v>
      </c>
      <c r="E40284" s="2">
        <v>6.0214794775076199E-5</v>
      </c>
      <c r="F40284" s="2">
        <v>1.55621119710238E-4</v>
      </c>
    </row>
    <row r="40285" spans="1:6" x14ac:dyDescent="0.25">
      <c r="A40285" s="1" t="str">
        <f t="shared" si="1433"/>
        <v>99999</v>
      </c>
      <c r="B40285" s="1" t="str">
        <f>"62618"</f>
        <v>62618</v>
      </c>
      <c r="C40285" s="2">
        <v>3.59209634872824E-4</v>
      </c>
      <c r="D40285" s="2">
        <v>4.3966699742071998E-4</v>
      </c>
      <c r="E40285" s="2">
        <v>4.0429933634693999E-4</v>
      </c>
      <c r="F40285" s="2">
        <v>3.6551720190661002E-4</v>
      </c>
    </row>
    <row r="40286" spans="1:6" x14ac:dyDescent="0.25">
      <c r="A40286" s="1" t="str">
        <f t="shared" si="1433"/>
        <v>99999</v>
      </c>
      <c r="B40286" s="1" t="str">
        <f>"62422"</f>
        <v>62422</v>
      </c>
      <c r="C40286" s="2">
        <v>5.06660967813387E-5</v>
      </c>
      <c r="D40286" s="2">
        <v>7.5285444763821999E-6</v>
      </c>
      <c r="E40286" s="2">
        <v>2.15052838482415E-5</v>
      </c>
      <c r="F40286" s="2">
        <v>4.7169876487947998E-5</v>
      </c>
    </row>
    <row r="40287" spans="1:6" x14ac:dyDescent="0.25">
      <c r="A40287" s="1" t="str">
        <f t="shared" si="1433"/>
        <v>99999</v>
      </c>
      <c r="B40287" s="1" t="str">
        <f>"62639"</f>
        <v>62639</v>
      </c>
      <c r="C40287" s="2">
        <v>1.6022611802645498E-5</v>
      </c>
      <c r="D40287" s="2">
        <v>3.01141779055288E-6</v>
      </c>
      <c r="E40287" s="2">
        <v>0</v>
      </c>
      <c r="F40287" s="2">
        <v>1.4802262496217999E-5</v>
      </c>
    </row>
    <row r="40288" spans="1:6" x14ac:dyDescent="0.25">
      <c r="A40288" s="1" t="str">
        <f t="shared" si="1433"/>
        <v>99999</v>
      </c>
      <c r="B40288" s="1" t="str">
        <f>"62449"</f>
        <v>62449</v>
      </c>
      <c r="C40288" s="2">
        <v>1.62174814056507E-4</v>
      </c>
      <c r="D40288" s="2">
        <v>1.68639396270961E-4</v>
      </c>
      <c r="E40288" s="2">
        <v>8.1720078623317706E-5</v>
      </c>
      <c r="F40288" s="2">
        <v>1.6075257070892701E-4</v>
      </c>
    </row>
    <row r="40289" spans="1:6" x14ac:dyDescent="0.25">
      <c r="A40289" s="1" t="str">
        <f t="shared" si="1433"/>
        <v>99999</v>
      </c>
      <c r="B40289" s="1" t="str">
        <f>"62451"</f>
        <v>62451</v>
      </c>
      <c r="C40289" s="2">
        <v>1.2341741523659401E-4</v>
      </c>
      <c r="D40289" s="2">
        <v>1.68639396270961E-4</v>
      </c>
      <c r="E40289" s="2">
        <v>1.3333275985909701E-4</v>
      </c>
      <c r="F40289" s="2">
        <v>1.2660868521765099E-4</v>
      </c>
    </row>
    <row r="40290" spans="1:6" x14ac:dyDescent="0.25">
      <c r="A40290" s="1" t="str">
        <f t="shared" si="1433"/>
        <v>99999</v>
      </c>
      <c r="B40290" s="1" t="str">
        <f>"62432"</f>
        <v>62432</v>
      </c>
      <c r="C40290" s="2">
        <v>2.74982662018377E-5</v>
      </c>
      <c r="D40290" s="2">
        <v>9.0342533716586405E-6</v>
      </c>
      <c r="E40290" s="2">
        <v>8.6021135392965999E-6</v>
      </c>
      <c r="F40290" s="2">
        <v>2.5854618493394101E-5</v>
      </c>
    </row>
    <row r="40291" spans="1:6" x14ac:dyDescent="0.25">
      <c r="A40291" s="1" t="str">
        <f t="shared" si="1433"/>
        <v>99999</v>
      </c>
      <c r="B40291" s="1" t="str">
        <f>"63648"</f>
        <v>63648</v>
      </c>
      <c r="C40291" s="2">
        <v>5.0341314109663503E-5</v>
      </c>
      <c r="D40291" s="2">
        <v>3.01141779055288E-6</v>
      </c>
      <c r="E40291" s="2">
        <v>8.6021135392965999E-6</v>
      </c>
      <c r="F40291" s="2">
        <v>4.6281740738175001E-5</v>
      </c>
    </row>
    <row r="40292" spans="1:6" x14ac:dyDescent="0.25">
      <c r="A40292" s="1" t="str">
        <f t="shared" si="1433"/>
        <v>99999</v>
      </c>
      <c r="B40292" s="1" t="str">
        <f>"63640"</f>
        <v>63640</v>
      </c>
      <c r="C40292" s="2">
        <v>7.6973493187033797E-5</v>
      </c>
      <c r="D40292" s="2">
        <v>1.80685067433172E-5</v>
      </c>
      <c r="E40292" s="2">
        <v>0</v>
      </c>
      <c r="F40292" s="2">
        <v>7.13469052317708E-5</v>
      </c>
    </row>
    <row r="40293" spans="1:6" x14ac:dyDescent="0.25">
      <c r="A40293" s="1" t="str">
        <f t="shared" si="1433"/>
        <v>99999</v>
      </c>
      <c r="B40293" s="1" t="str">
        <f>"63655"</f>
        <v>63655</v>
      </c>
      <c r="C40293" s="2">
        <v>8.2061755043279404E-5</v>
      </c>
      <c r="D40293" s="2">
        <v>1.35513800574879E-5</v>
      </c>
      <c r="E40293" s="2">
        <v>1.29031703089449E-5</v>
      </c>
      <c r="F40293" s="2">
        <v>7.5984947480585806E-5</v>
      </c>
    </row>
    <row r="40294" spans="1:6" x14ac:dyDescent="0.25">
      <c r="A40294" s="1" t="str">
        <f t="shared" si="1433"/>
        <v>99999</v>
      </c>
      <c r="B40294" s="1" t="str">
        <f>"63735"</f>
        <v>63735</v>
      </c>
      <c r="C40294" s="2">
        <v>3.3885658744784197E-5</v>
      </c>
      <c r="D40294" s="2">
        <v>2.4091342324423E-5</v>
      </c>
      <c r="E40294" s="2">
        <v>4.3010567696482999E-6</v>
      </c>
      <c r="F40294" s="2">
        <v>3.2564977491679601E-5</v>
      </c>
    </row>
    <row r="40295" spans="1:6" x14ac:dyDescent="0.25">
      <c r="A40295" s="1" t="str">
        <f t="shared" si="1433"/>
        <v>99999</v>
      </c>
      <c r="B40295" s="1" t="str">
        <f>"63825"</f>
        <v>63825</v>
      </c>
      <c r="C40295" s="2">
        <v>2.2734787017267299E-4</v>
      </c>
      <c r="D40295" s="2">
        <v>1.5207659842292001E-4</v>
      </c>
      <c r="E40295" s="2">
        <v>6.8816908314372799E-5</v>
      </c>
      <c r="F40295" s="2">
        <v>2.1877743969410201E-4</v>
      </c>
    </row>
    <row r="40296" spans="1:6" x14ac:dyDescent="0.25">
      <c r="A40296" s="1" t="str">
        <f t="shared" si="1433"/>
        <v>99999</v>
      </c>
      <c r="B40296" s="1" t="str">
        <f>"63830"</f>
        <v>63830</v>
      </c>
      <c r="C40296" s="2">
        <v>3.49466154722567E-4</v>
      </c>
      <c r="D40296" s="2">
        <v>4.4117270631599699E-4</v>
      </c>
      <c r="E40296" s="2">
        <v>3.13977144184326E-4</v>
      </c>
      <c r="F40296" s="2">
        <v>3.5466220940938301E-4</v>
      </c>
    </row>
    <row r="40297" spans="1:6" x14ac:dyDescent="0.25">
      <c r="A40297" s="1" t="str">
        <f t="shared" si="1433"/>
        <v>99999</v>
      </c>
      <c r="B40297" s="1" t="str">
        <f>"63841"</f>
        <v>63841</v>
      </c>
      <c r="C40297" s="2">
        <v>7.2740492366199798E-4</v>
      </c>
      <c r="D40297" s="2">
        <v>1.1262702536667701E-3</v>
      </c>
      <c r="E40297" s="2">
        <v>5.2472892589709198E-4</v>
      </c>
      <c r="F40297" s="2">
        <v>7.4889580055865698E-4</v>
      </c>
    </row>
    <row r="40298" spans="1:6" x14ac:dyDescent="0.25">
      <c r="A40298" s="1" t="str">
        <f t="shared" si="1433"/>
        <v>99999</v>
      </c>
      <c r="B40298" s="1" t="str">
        <f>"63620"</f>
        <v>63620</v>
      </c>
      <c r="C40298" s="2">
        <v>1.10642630150701E-4</v>
      </c>
      <c r="D40298" s="2">
        <v>4.9688393544122498E-5</v>
      </c>
      <c r="E40298" s="2">
        <v>1.63440157246635E-4</v>
      </c>
      <c r="F40298" s="2">
        <v>1.07859152722441E-4</v>
      </c>
    </row>
    <row r="40299" spans="1:6" x14ac:dyDescent="0.25">
      <c r="A40299" s="1" t="str">
        <f t="shared" si="1433"/>
        <v>99999</v>
      </c>
      <c r="B40299" s="1" t="str">
        <f>"63873"</f>
        <v>63873</v>
      </c>
      <c r="C40299" s="2">
        <v>2.41638307726384E-4</v>
      </c>
      <c r="D40299" s="2">
        <v>2.9210752568362901E-4</v>
      </c>
      <c r="E40299" s="2">
        <v>2.3655812233065599E-4</v>
      </c>
      <c r="F40299" s="2">
        <v>2.4482942168744599E-4</v>
      </c>
    </row>
    <row r="40300" spans="1:6" x14ac:dyDescent="0.25">
      <c r="A40300" s="1" t="str">
        <f t="shared" si="1433"/>
        <v>99999</v>
      </c>
      <c r="B40300" s="1" t="str">
        <f>"65072"</f>
        <v>65072</v>
      </c>
      <c r="C40300" s="2">
        <v>1.8090394812311301E-4</v>
      </c>
      <c r="D40300" s="2">
        <v>5.1194102439398901E-5</v>
      </c>
      <c r="E40300" s="2">
        <v>1.11827476010855E-4</v>
      </c>
      <c r="F40300" s="2">
        <v>1.7081810920635499E-4</v>
      </c>
    </row>
    <row r="40301" spans="1:6" x14ac:dyDescent="0.25">
      <c r="A40301" s="1" t="str">
        <f t="shared" si="1433"/>
        <v>99999</v>
      </c>
      <c r="B40301" s="1" t="str">
        <f>"65075"</f>
        <v>65075</v>
      </c>
      <c r="C40301" s="2">
        <v>3.6159137446510998E-5</v>
      </c>
      <c r="D40301" s="2">
        <v>1.80685067433172E-5</v>
      </c>
      <c r="E40301" s="2">
        <v>1.29031703089449E-5</v>
      </c>
      <c r="F40301" s="2">
        <v>3.4439930741200501E-5</v>
      </c>
    </row>
    <row r="40302" spans="1:6" x14ac:dyDescent="0.25">
      <c r="A40302" s="1" t="str">
        <f t="shared" si="1433"/>
        <v>99999</v>
      </c>
      <c r="B40302" s="1" t="str">
        <f>"65247"</f>
        <v>65247</v>
      </c>
      <c r="C40302" s="2">
        <v>3.7025224570978301E-5</v>
      </c>
      <c r="D40302" s="2">
        <v>7.5285444763821999E-6</v>
      </c>
      <c r="E40302" s="2">
        <v>2.15052838482415E-5</v>
      </c>
      <c r="F40302" s="2">
        <v>3.4735975991124899E-5</v>
      </c>
    </row>
    <row r="40303" spans="1:6" x14ac:dyDescent="0.25">
      <c r="A40303" s="1" t="str">
        <f t="shared" si="1433"/>
        <v>99999</v>
      </c>
      <c r="B40303" s="1" t="str">
        <f>"64790"</f>
        <v>64790</v>
      </c>
      <c r="C40303" s="2">
        <v>4.3737399785600097E-5</v>
      </c>
      <c r="D40303" s="2">
        <v>1.50570889527644E-5</v>
      </c>
      <c r="E40303" s="2">
        <v>1.29031703089449E-5</v>
      </c>
      <c r="F40303" s="2">
        <v>4.1150289739486097E-5</v>
      </c>
    </row>
    <row r="40304" spans="1:6" x14ac:dyDescent="0.25">
      <c r="A40304" s="1" t="str">
        <f t="shared" si="1433"/>
        <v>99999</v>
      </c>
      <c r="B40304" s="1" t="str">
        <f>"65541"</f>
        <v>65541</v>
      </c>
      <c r="C40304" s="2">
        <v>2.1760439002241601E-5</v>
      </c>
      <c r="D40304" s="2">
        <v>3.01141779055288E-6</v>
      </c>
      <c r="E40304" s="2">
        <v>4.3010567696482999E-6</v>
      </c>
      <c r="F40304" s="2">
        <v>2.0131076994856499E-5</v>
      </c>
    </row>
    <row r="40305" spans="1:6" x14ac:dyDescent="0.25">
      <c r="A40305" s="1" t="str">
        <f t="shared" si="1433"/>
        <v>99999</v>
      </c>
      <c r="B40305" s="1" t="str">
        <f>"65535"</f>
        <v>65535</v>
      </c>
      <c r="C40305" s="2">
        <v>9.3753931223588402E-5</v>
      </c>
      <c r="D40305" s="2">
        <v>4.5171266858293199E-5</v>
      </c>
      <c r="E40305" s="2">
        <v>3.8709510926834699E-5</v>
      </c>
      <c r="F40305" s="2">
        <v>8.9306983727182004E-5</v>
      </c>
    </row>
    <row r="40306" spans="1:6" x14ac:dyDescent="0.25">
      <c r="A40306" s="1" t="str">
        <f t="shared" si="1433"/>
        <v>99999</v>
      </c>
      <c r="B40306" s="1" t="str">
        <f>"65468"</f>
        <v>65468</v>
      </c>
      <c r="C40306" s="2">
        <v>4.8717400751287203E-6</v>
      </c>
      <c r="D40306" s="2">
        <v>3.01141779055288E-6</v>
      </c>
      <c r="E40306" s="2">
        <v>4.3010567696482999E-6</v>
      </c>
      <c r="F40306" s="2">
        <v>4.7367239987897599E-6</v>
      </c>
    </row>
    <row r="40307" spans="1:6" x14ac:dyDescent="0.25">
      <c r="A40307" s="1" t="str">
        <f t="shared" si="1433"/>
        <v>99999</v>
      </c>
      <c r="B40307" s="1" t="str">
        <f>"64779"</f>
        <v>64779</v>
      </c>
      <c r="C40307" s="2">
        <v>2.4575222156760399E-5</v>
      </c>
      <c r="D40307" s="2">
        <v>1.20456711622115E-5</v>
      </c>
      <c r="E40307" s="2">
        <v>0</v>
      </c>
      <c r="F40307" s="2">
        <v>2.3190211244074899E-5</v>
      </c>
    </row>
    <row r="40308" spans="1:6" x14ac:dyDescent="0.25">
      <c r="A40308" s="1" t="str">
        <f t="shared" si="1433"/>
        <v>99999</v>
      </c>
      <c r="B40308" s="1" t="str">
        <f>"65559"</f>
        <v>65559</v>
      </c>
      <c r="C40308" s="2">
        <v>3.5726093884277302E-5</v>
      </c>
      <c r="D40308" s="2">
        <v>4.5171266858293203E-6</v>
      </c>
      <c r="E40308" s="2">
        <v>0</v>
      </c>
      <c r="F40308" s="2">
        <v>3.2861022741603999E-5</v>
      </c>
    </row>
    <row r="40309" spans="1:6" x14ac:dyDescent="0.25">
      <c r="A40309" s="1" t="str">
        <f t="shared" si="1433"/>
        <v>99999</v>
      </c>
      <c r="B40309" s="1" t="str">
        <f>"64645"</f>
        <v>64645</v>
      </c>
      <c r="C40309" s="2">
        <v>1.7430003379904999E-5</v>
      </c>
      <c r="D40309" s="2">
        <v>1.20456711622115E-5</v>
      </c>
      <c r="E40309" s="2">
        <v>8.6021135392965999E-6</v>
      </c>
      <c r="F40309" s="2">
        <v>1.6874579245688502E-5</v>
      </c>
    </row>
    <row r="40310" spans="1:6" x14ac:dyDescent="0.25">
      <c r="A40310" s="1" t="str">
        <f t="shared" si="1433"/>
        <v>99999</v>
      </c>
      <c r="B40310" s="1" t="str">
        <f>"64660"</f>
        <v>64660</v>
      </c>
      <c r="C40310" s="2">
        <v>2.9771744903564399E-5</v>
      </c>
      <c r="D40310" s="2">
        <v>1.35513800574879E-5</v>
      </c>
      <c r="E40310" s="2">
        <v>4.3010567696482999E-6</v>
      </c>
      <c r="F40310" s="2">
        <v>2.8124298742814199E-5</v>
      </c>
    </row>
    <row r="40311" spans="1:6" x14ac:dyDescent="0.25">
      <c r="A40311" s="1" t="str">
        <f t="shared" si="1433"/>
        <v>99999</v>
      </c>
      <c r="B40311" s="1" t="str">
        <f>"64661"</f>
        <v>64661</v>
      </c>
      <c r="C40311" s="2">
        <v>5.9543489807128798E-5</v>
      </c>
      <c r="D40311" s="2">
        <v>3.7642722381910999E-5</v>
      </c>
      <c r="E40311" s="2">
        <v>2.58063406178898E-5</v>
      </c>
      <c r="F40311" s="2">
        <v>5.7334096735351097E-5</v>
      </c>
    </row>
    <row r="40312" spans="1:6" x14ac:dyDescent="0.25">
      <c r="A40312" s="1" t="str">
        <f t="shared" si="1433"/>
        <v>99999</v>
      </c>
      <c r="B40312" s="1" t="str">
        <f>"64632"</f>
        <v>64632</v>
      </c>
      <c r="C40312" s="2">
        <v>4.7526530955144602E-5</v>
      </c>
      <c r="D40312" s="2">
        <v>1.0539962266935E-5</v>
      </c>
      <c r="E40312" s="2">
        <v>8.6021135392965999E-6</v>
      </c>
      <c r="F40312" s="2">
        <v>4.4209423988704398E-5</v>
      </c>
    </row>
    <row r="40313" spans="1:6" x14ac:dyDescent="0.25">
      <c r="A40313" s="1" t="str">
        <f t="shared" si="1433"/>
        <v>99999</v>
      </c>
      <c r="B40313" s="1" t="str">
        <f>"64497"</f>
        <v>64497</v>
      </c>
      <c r="C40313" s="2">
        <v>8.5526103541148705E-6</v>
      </c>
      <c r="D40313" s="2">
        <v>3.01141779055288E-6</v>
      </c>
      <c r="E40313" s="2">
        <v>0</v>
      </c>
      <c r="F40313" s="2">
        <v>7.9932217479577302E-6</v>
      </c>
    </row>
    <row r="40314" spans="1:6" x14ac:dyDescent="0.25">
      <c r="A40314" s="1" t="str">
        <f t="shared" si="1433"/>
        <v>99999</v>
      </c>
      <c r="B40314" s="1" t="str">
        <f>"64733"</f>
        <v>64733</v>
      </c>
      <c r="C40314" s="2">
        <v>1.2883045976451501E-5</v>
      </c>
      <c r="D40314" s="2">
        <v>7.5285444763821999E-6</v>
      </c>
      <c r="E40314" s="2">
        <v>0</v>
      </c>
      <c r="F40314" s="2">
        <v>1.22365369968735E-5</v>
      </c>
    </row>
    <row r="40315" spans="1:6" x14ac:dyDescent="0.25">
      <c r="A40315" s="1" t="str">
        <f t="shared" si="1433"/>
        <v>99999</v>
      </c>
      <c r="B40315" s="1" t="str">
        <f>"64035"</f>
        <v>64035</v>
      </c>
      <c r="C40315" s="2">
        <v>4.3304356223366401E-7</v>
      </c>
      <c r="D40315" s="2">
        <v>0</v>
      </c>
      <c r="E40315" s="2">
        <v>0</v>
      </c>
      <c r="F40315" s="2">
        <v>3.9472699989914697E-7</v>
      </c>
    </row>
    <row r="40316" spans="1:6" x14ac:dyDescent="0.25">
      <c r="A40316" s="1" t="str">
        <f t="shared" si="1433"/>
        <v>99999</v>
      </c>
      <c r="B40316" s="1" t="str">
        <f>"63532"</f>
        <v>63532</v>
      </c>
      <c r="C40316" s="2">
        <v>8.0546102575461604E-5</v>
      </c>
      <c r="D40316" s="2">
        <v>6.1734064706334002E-5</v>
      </c>
      <c r="E40316" s="2">
        <v>5.1612681235779599E-5</v>
      </c>
      <c r="F40316" s="2">
        <v>7.8649354729904995E-5</v>
      </c>
    </row>
    <row r="40317" spans="1:6" x14ac:dyDescent="0.25">
      <c r="A40317" s="1" t="str">
        <f t="shared" si="1433"/>
        <v>99999</v>
      </c>
      <c r="B40317" s="1" t="str">
        <f>"63534"</f>
        <v>63534</v>
      </c>
      <c r="C40317" s="2">
        <v>5.1099140343572402E-5</v>
      </c>
      <c r="D40317" s="2">
        <v>1.65627978480408E-5</v>
      </c>
      <c r="E40317" s="2">
        <v>3.01073973875381E-5</v>
      </c>
      <c r="F40317" s="2">
        <v>4.8354057487645501E-5</v>
      </c>
    </row>
    <row r="40318" spans="1:6" x14ac:dyDescent="0.25">
      <c r="A40318" s="1" t="str">
        <f t="shared" si="1433"/>
        <v>99999</v>
      </c>
      <c r="B40318" s="1" t="str">
        <f>"63560"</f>
        <v>63560</v>
      </c>
      <c r="C40318" s="2">
        <v>1.39656548820356E-5</v>
      </c>
      <c r="D40318" s="2">
        <v>0</v>
      </c>
      <c r="E40318" s="2">
        <v>2.15052838482415E-5</v>
      </c>
      <c r="F40318" s="2">
        <v>1.3223354496621401E-5</v>
      </c>
    </row>
    <row r="40319" spans="1:6" x14ac:dyDescent="0.25">
      <c r="A40319" s="1" t="str">
        <f t="shared" si="1433"/>
        <v>99999</v>
      </c>
      <c r="B40319" s="1" t="str">
        <f>"63556"</f>
        <v>63556</v>
      </c>
      <c r="C40319" s="2">
        <v>2.07969170762717E-4</v>
      </c>
      <c r="D40319" s="2">
        <v>3.4480733701830398E-4</v>
      </c>
      <c r="E40319" s="2">
        <v>2.6236446294854599E-4</v>
      </c>
      <c r="F40319" s="2">
        <v>2.1818534919425299E-4</v>
      </c>
    </row>
    <row r="40320" spans="1:6" x14ac:dyDescent="0.25">
      <c r="A40320" s="1" t="str">
        <f t="shared" si="1433"/>
        <v>99999</v>
      </c>
      <c r="B40320" s="1" t="str">
        <f>"63434"</f>
        <v>63434</v>
      </c>
      <c r="C40320" s="2">
        <v>3.1503919152499101E-5</v>
      </c>
      <c r="D40320" s="2">
        <v>3.9148431277187403E-5</v>
      </c>
      <c r="E40320" s="2">
        <v>3.01073973875381E-5</v>
      </c>
      <c r="F40320" s="2">
        <v>3.19728869918309E-5</v>
      </c>
    </row>
    <row r="40321" spans="1:6" x14ac:dyDescent="0.25">
      <c r="A40321" s="1" t="str">
        <f t="shared" si="1433"/>
        <v>99999</v>
      </c>
      <c r="B40321" s="1" t="str">
        <f>"65049"</f>
        <v>65049</v>
      </c>
      <c r="C40321" s="2">
        <v>7.8499971743907504E-4</v>
      </c>
      <c r="D40321" s="2">
        <v>1.0404448466360199E-3</v>
      </c>
      <c r="E40321" s="2">
        <v>2.0731093629704801E-3</v>
      </c>
      <c r="F40321" s="2">
        <v>8.3129506178760402E-4</v>
      </c>
    </row>
    <row r="40322" spans="1:6" x14ac:dyDescent="0.25">
      <c r="A40322" s="1" t="str">
        <f t="shared" si="1433"/>
        <v>99999</v>
      </c>
      <c r="B40322" s="1" t="str">
        <f>"63334"</f>
        <v>63334</v>
      </c>
      <c r="C40322" s="2">
        <v>3.5412137301657899E-4</v>
      </c>
      <c r="D40322" s="2">
        <v>6.14329229272787E-4</v>
      </c>
      <c r="E40322" s="2">
        <v>4.4730990404342298E-4</v>
      </c>
      <c r="F40322" s="2">
        <v>3.73313060154618E-4</v>
      </c>
    </row>
    <row r="40323" spans="1:6" x14ac:dyDescent="0.25">
      <c r="A40323" s="1" t="str">
        <f t="shared" si="1433"/>
        <v>99999</v>
      </c>
      <c r="B40323" s="1" t="str">
        <f>"63336"</f>
        <v>63336</v>
      </c>
      <c r="C40323" s="2">
        <v>7.7081754077592296E-5</v>
      </c>
      <c r="D40323" s="2">
        <v>2.4091342324423E-5</v>
      </c>
      <c r="E40323" s="2">
        <v>5.1612681235779599E-5</v>
      </c>
      <c r="F40323" s="2">
        <v>7.3024494981342193E-5</v>
      </c>
    </row>
    <row r="40324" spans="1:6" x14ac:dyDescent="0.25">
      <c r="A40324" s="1" t="str">
        <f t="shared" si="1433"/>
        <v>99999</v>
      </c>
      <c r="B40324" s="1" t="str">
        <f>"63353"</f>
        <v>63353</v>
      </c>
      <c r="C40324" s="2">
        <v>2.8754092532315298E-4</v>
      </c>
      <c r="D40324" s="2">
        <v>5.1194102439398902E-4</v>
      </c>
      <c r="E40324" s="2">
        <v>3.5268665511115999E-4</v>
      </c>
      <c r="F40324" s="2">
        <v>3.0374242642239302E-4</v>
      </c>
    </row>
    <row r="40325" spans="1:6" x14ac:dyDescent="0.25">
      <c r="A40325" s="1" t="str">
        <f t="shared" si="1433"/>
        <v>99999</v>
      </c>
      <c r="B40325" s="1" t="str">
        <f>"66714"</f>
        <v>66714</v>
      </c>
      <c r="C40325" s="2">
        <v>1.76465251610218E-5</v>
      </c>
      <c r="D40325" s="2">
        <v>0</v>
      </c>
      <c r="E40325" s="2">
        <v>8.6021135392965999E-6</v>
      </c>
      <c r="F40325" s="2">
        <v>1.6282488745839801E-5</v>
      </c>
    </row>
    <row r="40326" spans="1:6" x14ac:dyDescent="0.25">
      <c r="A40326" s="1" t="str">
        <f t="shared" ref="A40326:A40389" si="1434">"99999"</f>
        <v>99999</v>
      </c>
      <c r="B40326" s="1" t="str">
        <f>"66781"</f>
        <v>66781</v>
      </c>
      <c r="C40326" s="2">
        <v>6.8962187285710996E-5</v>
      </c>
      <c r="D40326" s="2">
        <v>9.0342533716586405E-6</v>
      </c>
      <c r="E40326" s="2">
        <v>1.29031703089449E-5</v>
      </c>
      <c r="F40326" s="2">
        <v>6.3748410483712207E-5</v>
      </c>
    </row>
    <row r="40327" spans="1:6" x14ac:dyDescent="0.25">
      <c r="A40327" s="1" t="str">
        <f t="shared" si="1434"/>
        <v>99999</v>
      </c>
      <c r="B40327" s="1" t="str">
        <f>"66701"</f>
        <v>66701</v>
      </c>
      <c r="C40327" s="2">
        <v>7.1722839994950698E-4</v>
      </c>
      <c r="D40327" s="2">
        <v>9.8774503530134491E-4</v>
      </c>
      <c r="E40327" s="2">
        <v>4.0429933634693999E-4</v>
      </c>
      <c r="F40327" s="2">
        <v>7.27777906064052E-4</v>
      </c>
    </row>
    <row r="40328" spans="1:6" x14ac:dyDescent="0.25">
      <c r="A40328" s="1" t="str">
        <f t="shared" si="1434"/>
        <v>99999</v>
      </c>
      <c r="B40328" s="1" t="str">
        <f>"51566"</f>
        <v>51566</v>
      </c>
      <c r="C40328" s="2">
        <v>3.8248572634288401E-4</v>
      </c>
      <c r="D40328" s="2">
        <v>5.7819221578615299E-4</v>
      </c>
      <c r="E40328" s="2">
        <v>8.9892086485649501E-4</v>
      </c>
      <c r="F40328" s="2">
        <v>4.0716090039597002E-4</v>
      </c>
    </row>
    <row r="40329" spans="1:6" x14ac:dyDescent="0.25">
      <c r="A40329" s="1" t="str">
        <f t="shared" si="1434"/>
        <v>99999</v>
      </c>
      <c r="B40329" s="1" t="str">
        <f>"66770"</f>
        <v>66770</v>
      </c>
      <c r="C40329" s="2">
        <v>5.1099140343572402E-5</v>
      </c>
      <c r="D40329" s="2">
        <v>1.9574215638593701E-5</v>
      </c>
      <c r="E40329" s="2">
        <v>8.7311452423860503E-4</v>
      </c>
      <c r="F40329" s="2">
        <v>6.7893043982653303E-5</v>
      </c>
    </row>
    <row r="40330" spans="1:6" x14ac:dyDescent="0.25">
      <c r="A40330" s="1" t="str">
        <f t="shared" si="1434"/>
        <v>99999</v>
      </c>
      <c r="B40330" s="1" t="str">
        <f>"66434"</f>
        <v>66434</v>
      </c>
      <c r="C40330" s="2">
        <v>2.6718787789817099E-4</v>
      </c>
      <c r="D40330" s="2">
        <v>5.4054949340424203E-4</v>
      </c>
      <c r="E40330" s="2">
        <v>3.3118137126291901E-4</v>
      </c>
      <c r="F40330" s="2">
        <v>2.8657180192677998E-4</v>
      </c>
    </row>
    <row r="40331" spans="1:6" x14ac:dyDescent="0.25">
      <c r="A40331" s="1" t="str">
        <f t="shared" si="1434"/>
        <v>99999</v>
      </c>
      <c r="B40331" s="1" t="str">
        <f>"66738"</f>
        <v>66738</v>
      </c>
      <c r="C40331" s="2">
        <v>2.1760439002241601E-5</v>
      </c>
      <c r="D40331" s="2">
        <v>6.0228355811057601E-6</v>
      </c>
      <c r="E40331" s="2">
        <v>4.3010567696482999E-6</v>
      </c>
      <c r="F40331" s="2">
        <v>2.0328440494806002E-5</v>
      </c>
    </row>
    <row r="40332" spans="1:6" x14ac:dyDescent="0.25">
      <c r="A40332" s="1" t="str">
        <f t="shared" si="1434"/>
        <v>99999</v>
      </c>
      <c r="B40332" s="1" t="str">
        <f>"51544"</f>
        <v>51544</v>
      </c>
      <c r="C40332" s="2">
        <v>3.6375659227627798E-5</v>
      </c>
      <c r="D40332" s="2">
        <v>1.20456711622115E-5</v>
      </c>
      <c r="E40332" s="2">
        <v>3.44084541571864E-5</v>
      </c>
      <c r="F40332" s="2">
        <v>3.4735975991124899E-5</v>
      </c>
    </row>
    <row r="40333" spans="1:6" x14ac:dyDescent="0.25">
      <c r="A40333" s="1" t="str">
        <f t="shared" si="1434"/>
        <v>99999</v>
      </c>
      <c r="B40333" s="1" t="str">
        <f>"51631"</f>
        <v>51631</v>
      </c>
      <c r="C40333" s="2">
        <v>1.6563916255437601E-5</v>
      </c>
      <c r="D40333" s="2">
        <v>1.20456711622115E-5</v>
      </c>
      <c r="E40333" s="2">
        <v>1.72042270785932E-5</v>
      </c>
      <c r="F40333" s="2">
        <v>1.6282488745839801E-5</v>
      </c>
    </row>
    <row r="40334" spans="1:6" x14ac:dyDescent="0.25">
      <c r="A40334" s="1" t="str">
        <f t="shared" si="1434"/>
        <v>99999</v>
      </c>
      <c r="B40334" s="1" t="str">
        <f>"51636"</f>
        <v>51636</v>
      </c>
      <c r="C40334" s="2">
        <v>2.2626526126708901E-5</v>
      </c>
      <c r="D40334" s="2">
        <v>1.35513800574879E-5</v>
      </c>
      <c r="E40334" s="2">
        <v>4.3010567696482999E-6</v>
      </c>
      <c r="F40334" s="2">
        <v>2.1611303244478299E-5</v>
      </c>
    </row>
    <row r="40335" spans="1:6" x14ac:dyDescent="0.25">
      <c r="A40335" s="1" t="str">
        <f t="shared" si="1434"/>
        <v>99999</v>
      </c>
      <c r="B40335" s="1" t="str">
        <f>"51639"</f>
        <v>51639</v>
      </c>
      <c r="C40335" s="2">
        <v>4.7634791845703101E-5</v>
      </c>
      <c r="D40335" s="2">
        <v>9.0342533716586405E-6</v>
      </c>
      <c r="E40335" s="2">
        <v>3.01073973875381E-5</v>
      </c>
      <c r="F40335" s="2">
        <v>4.4702832738578397E-5</v>
      </c>
    </row>
    <row r="40336" spans="1:6" x14ac:dyDescent="0.25">
      <c r="A40336" s="1" t="str">
        <f t="shared" si="1434"/>
        <v>99999</v>
      </c>
      <c r="B40336" s="1" t="str">
        <f>"51638"</f>
        <v>51638</v>
      </c>
      <c r="C40336" s="2">
        <v>7.1019144206321003E-5</v>
      </c>
      <c r="D40336" s="2">
        <v>9.0342533716586405E-6</v>
      </c>
      <c r="E40336" s="2">
        <v>1.3333275985909701E-4</v>
      </c>
      <c r="F40336" s="2">
        <v>6.83864527325272E-5</v>
      </c>
    </row>
    <row r="40337" spans="1:6" x14ac:dyDescent="0.25">
      <c r="A40337" s="1" t="str">
        <f t="shared" si="1434"/>
        <v>99999</v>
      </c>
      <c r="B40337" s="1" t="str">
        <f>"66403"</f>
        <v>66403</v>
      </c>
      <c r="C40337" s="2">
        <v>3.7241746352095101E-5</v>
      </c>
      <c r="D40337" s="2">
        <v>4.0654140172463799E-5</v>
      </c>
      <c r="E40337" s="2">
        <v>2.15052838482415E-5</v>
      </c>
      <c r="F40337" s="2">
        <v>3.7104337990519798E-5</v>
      </c>
    </row>
    <row r="40338" spans="1:6" x14ac:dyDescent="0.25">
      <c r="A40338" s="1" t="str">
        <f t="shared" si="1434"/>
        <v>99999</v>
      </c>
      <c r="B40338" s="1" t="str">
        <f>"68045"</f>
        <v>68045</v>
      </c>
      <c r="C40338" s="2">
        <v>9.8300888627041801E-5</v>
      </c>
      <c r="D40338" s="2">
        <v>1.8068506743317201E-4</v>
      </c>
      <c r="E40338" s="2">
        <v>1.5913910047698701E-4</v>
      </c>
      <c r="F40338" s="2">
        <v>1.05096063723147E-4</v>
      </c>
    </row>
    <row r="40339" spans="1:6" x14ac:dyDescent="0.25">
      <c r="A40339" s="1" t="str">
        <f t="shared" si="1434"/>
        <v>99999</v>
      </c>
      <c r="B40339" s="1" t="str">
        <f>"68055"</f>
        <v>68055</v>
      </c>
      <c r="C40339" s="2">
        <v>1.40739157725941E-5</v>
      </c>
      <c r="D40339" s="2">
        <v>3.01141779055288E-6</v>
      </c>
      <c r="E40339" s="2">
        <v>4.3010567696482999E-6</v>
      </c>
      <c r="F40339" s="2">
        <v>1.31246727466466E-5</v>
      </c>
    </row>
    <row r="40340" spans="1:6" x14ac:dyDescent="0.25">
      <c r="A40340" s="1" t="str">
        <f t="shared" si="1434"/>
        <v>99999</v>
      </c>
      <c r="B40340" s="1" t="str">
        <f>"67837"</f>
        <v>67837</v>
      </c>
      <c r="C40340" s="2">
        <v>3.5076528540926799E-5</v>
      </c>
      <c r="D40340" s="2">
        <v>2.4091342324423E-5</v>
      </c>
      <c r="E40340" s="2">
        <v>4.3010567696482999E-6</v>
      </c>
      <c r="F40340" s="2">
        <v>3.3650476741402301E-5</v>
      </c>
    </row>
    <row r="40341" spans="1:6" x14ac:dyDescent="0.25">
      <c r="A40341" s="1" t="str">
        <f t="shared" si="1434"/>
        <v>99999</v>
      </c>
      <c r="B40341" s="1" t="str">
        <f>"67855"</f>
        <v>67855</v>
      </c>
      <c r="C40341" s="2">
        <v>4.7743052736261498E-5</v>
      </c>
      <c r="D40341" s="2">
        <v>3.9148431277187403E-5</v>
      </c>
      <c r="E40341" s="2">
        <v>2.15052838482415E-5</v>
      </c>
      <c r="F40341" s="2">
        <v>4.6577785988099297E-5</v>
      </c>
    </row>
    <row r="40342" spans="1:6" x14ac:dyDescent="0.25">
      <c r="A40342" s="1" t="str">
        <f t="shared" si="1434"/>
        <v>99999</v>
      </c>
      <c r="B40342" s="1" t="str">
        <f>"67054"</f>
        <v>67054</v>
      </c>
      <c r="C40342" s="2">
        <v>6.2358272961647698E-5</v>
      </c>
      <c r="D40342" s="2">
        <v>1.92730738595384E-4</v>
      </c>
      <c r="E40342" s="2">
        <v>9.8924305701910905E-5</v>
      </c>
      <c r="F40342" s="2">
        <v>7.1741632231670001E-5</v>
      </c>
    </row>
    <row r="40343" spans="1:6" x14ac:dyDescent="0.25">
      <c r="A40343" s="1" t="str">
        <f t="shared" si="1434"/>
        <v>99999</v>
      </c>
      <c r="B40343" s="1" t="str">
        <f>"67068"</f>
        <v>67068</v>
      </c>
      <c r="C40343" s="2">
        <v>2.3221961024780201E-4</v>
      </c>
      <c r="D40343" s="2">
        <v>4.0051856614353298E-4</v>
      </c>
      <c r="E40343" s="2">
        <v>1.97848611403821E-4</v>
      </c>
      <c r="F40343" s="2">
        <v>2.4246105968805099E-4</v>
      </c>
    </row>
    <row r="40344" spans="1:6" x14ac:dyDescent="0.25">
      <c r="A40344" s="1" t="str">
        <f t="shared" si="1434"/>
        <v>99999</v>
      </c>
      <c r="B40344" s="1" t="str">
        <f>"67073"</f>
        <v>67073</v>
      </c>
      <c r="C40344" s="2">
        <v>1.5264785568736599E-5</v>
      </c>
      <c r="D40344" s="2">
        <v>1.65627978480408E-5</v>
      </c>
      <c r="E40344" s="2">
        <v>4.3010567696482999E-6</v>
      </c>
      <c r="F40344" s="2">
        <v>1.5098307746142301E-5</v>
      </c>
    </row>
    <row r="40345" spans="1:6" x14ac:dyDescent="0.25">
      <c r="A40345" s="1" t="str">
        <f t="shared" si="1434"/>
        <v>99999</v>
      </c>
      <c r="B40345" s="1" t="str">
        <f>"57472"</f>
        <v>57472</v>
      </c>
      <c r="C40345" s="2">
        <v>5.2290010139714998E-5</v>
      </c>
      <c r="D40345" s="2">
        <v>7.6791153659098402E-5</v>
      </c>
      <c r="E40345" s="2">
        <v>6.0214794775076199E-5</v>
      </c>
      <c r="F40345" s="2">
        <v>5.40775989861831E-5</v>
      </c>
    </row>
    <row r="40346" spans="1:6" x14ac:dyDescent="0.25">
      <c r="A40346" s="1" t="str">
        <f t="shared" si="1434"/>
        <v>99999</v>
      </c>
      <c r="B40346" s="1" t="str">
        <f>"57547"</f>
        <v>57547</v>
      </c>
      <c r="C40346" s="2">
        <v>4.98000096568714E-6</v>
      </c>
      <c r="D40346" s="2">
        <v>1.50570889527644E-6</v>
      </c>
      <c r="E40346" s="2">
        <v>4.3010567696482999E-6</v>
      </c>
      <c r="F40346" s="2">
        <v>4.7367239987897599E-6</v>
      </c>
    </row>
    <row r="40347" spans="1:6" x14ac:dyDescent="0.25">
      <c r="A40347" s="1" t="str">
        <f t="shared" si="1434"/>
        <v>99999</v>
      </c>
      <c r="B40347" s="1" t="str">
        <f>"57752"</f>
        <v>57752</v>
      </c>
      <c r="C40347" s="2">
        <v>9.5377844581964605E-5</v>
      </c>
      <c r="D40347" s="2">
        <v>3.01141779055288E-6</v>
      </c>
      <c r="E40347" s="2">
        <v>4.7311624466131299E-5</v>
      </c>
      <c r="F40347" s="2">
        <v>8.8221484477459406E-5</v>
      </c>
    </row>
    <row r="40348" spans="1:6" x14ac:dyDescent="0.25">
      <c r="A40348" s="1" t="str">
        <f t="shared" si="1434"/>
        <v>99999</v>
      </c>
      <c r="B40348" s="1" t="str">
        <f>"57475"</f>
        <v>57475</v>
      </c>
      <c r="C40348" s="2">
        <v>4.98000096568714E-6</v>
      </c>
      <c r="D40348" s="2">
        <v>1.50570889527644E-6</v>
      </c>
      <c r="E40348" s="2">
        <v>0</v>
      </c>
      <c r="F40348" s="2">
        <v>4.6380422488149798E-6</v>
      </c>
    </row>
    <row r="40349" spans="1:6" x14ac:dyDescent="0.25">
      <c r="A40349" s="1" t="str">
        <f t="shared" si="1434"/>
        <v>99999</v>
      </c>
      <c r="B40349" s="1" t="str">
        <f>"57551"</f>
        <v>57551</v>
      </c>
      <c r="C40349" s="2">
        <v>4.8176096298495099E-5</v>
      </c>
      <c r="D40349" s="2">
        <v>3.4631304591358098E-5</v>
      </c>
      <c r="E40349" s="2">
        <v>6.0214794775076199E-5</v>
      </c>
      <c r="F40349" s="2">
        <v>4.75646034878472E-5</v>
      </c>
    </row>
    <row r="40350" spans="1:6" x14ac:dyDescent="0.25">
      <c r="A40350" s="1" t="str">
        <f t="shared" si="1434"/>
        <v>99999</v>
      </c>
      <c r="B40350" s="1" t="str">
        <f>"59865"</f>
        <v>59865</v>
      </c>
      <c r="C40350" s="2">
        <v>1.05879150966131E-4</v>
      </c>
      <c r="D40350" s="2">
        <v>3.01141779055288E-5</v>
      </c>
      <c r="E40350" s="2">
        <v>2.15052838482415E-5</v>
      </c>
      <c r="F40350" s="2">
        <v>9.8977795224711098E-5</v>
      </c>
    </row>
    <row r="40351" spans="1:6" x14ac:dyDescent="0.25">
      <c r="A40351" s="1" t="str">
        <f t="shared" si="1434"/>
        <v>99999</v>
      </c>
      <c r="B40351" s="1" t="str">
        <f>"58544"</f>
        <v>58544</v>
      </c>
      <c r="C40351" s="2">
        <v>2.84726142168634E-5</v>
      </c>
      <c r="D40351" s="2">
        <v>3.01141779055288E-6</v>
      </c>
      <c r="E40351" s="2">
        <v>3.01073973875381E-5</v>
      </c>
      <c r="F40351" s="2">
        <v>2.6841435993142E-5</v>
      </c>
    </row>
    <row r="40352" spans="1:6" x14ac:dyDescent="0.25">
      <c r="A40352" s="1" t="str">
        <f t="shared" si="1434"/>
        <v>99999</v>
      </c>
      <c r="B40352" s="1" t="str">
        <f>"58647"</f>
        <v>58647</v>
      </c>
      <c r="C40352" s="2">
        <v>6.1059142274946706E-5</v>
      </c>
      <c r="D40352" s="2">
        <v>1.0539962266935E-5</v>
      </c>
      <c r="E40352" s="2">
        <v>8.1720078623317706E-5</v>
      </c>
      <c r="F40352" s="2">
        <v>5.8222232485124203E-5</v>
      </c>
    </row>
    <row r="40353" spans="1:6" x14ac:dyDescent="0.25">
      <c r="A40353" s="1" t="str">
        <f t="shared" si="1434"/>
        <v>99999</v>
      </c>
      <c r="B40353" s="1" t="str">
        <f>"58533"</f>
        <v>58533</v>
      </c>
      <c r="C40353" s="2">
        <v>6.12756640560635E-5</v>
      </c>
      <c r="D40353" s="2">
        <v>1.80685067433172E-5</v>
      </c>
      <c r="E40353" s="2">
        <v>6.0214794775076199E-5</v>
      </c>
      <c r="F40353" s="2">
        <v>5.8419595985073702E-5</v>
      </c>
    </row>
    <row r="40354" spans="1:6" x14ac:dyDescent="0.25">
      <c r="A40354" s="1" t="str">
        <f t="shared" si="1434"/>
        <v>99999</v>
      </c>
      <c r="B40354" s="1" t="str">
        <f>"59053"</f>
        <v>59053</v>
      </c>
      <c r="C40354" s="2">
        <v>1.4506959334827701E-5</v>
      </c>
      <c r="D40354" s="2">
        <v>4.5171266858293203E-6</v>
      </c>
      <c r="E40354" s="2">
        <v>4.3010567696482999E-6</v>
      </c>
      <c r="F40354" s="2">
        <v>1.3618081496520501E-5</v>
      </c>
    </row>
    <row r="40355" spans="1:6" x14ac:dyDescent="0.25">
      <c r="A40355" s="1" t="str">
        <f t="shared" si="1434"/>
        <v>99999</v>
      </c>
      <c r="B40355" s="1" t="str">
        <f>"58540"</f>
        <v>58540</v>
      </c>
      <c r="C40355" s="2">
        <v>1.2980480777954E-4</v>
      </c>
      <c r="D40355" s="2">
        <v>6.9262609182716196E-5</v>
      </c>
      <c r="E40355" s="2">
        <v>2.7526763325749098E-4</v>
      </c>
      <c r="F40355" s="2">
        <v>1.2917441071699499E-4</v>
      </c>
    </row>
    <row r="40356" spans="1:6" x14ac:dyDescent="0.25">
      <c r="A40356" s="1" t="str">
        <f t="shared" si="1434"/>
        <v>99999</v>
      </c>
      <c r="B40356" s="1" t="str">
        <f>"58576"</f>
        <v>58576</v>
      </c>
      <c r="C40356" s="2">
        <v>4.28713126611328E-5</v>
      </c>
      <c r="D40356" s="2">
        <v>1.20456711622115E-5</v>
      </c>
      <c r="E40356" s="2">
        <v>3.01073973875381E-5</v>
      </c>
      <c r="F40356" s="2">
        <v>4.0558199239637301E-5</v>
      </c>
    </row>
    <row r="40357" spans="1:6" x14ac:dyDescent="0.25">
      <c r="A40357" s="1" t="str">
        <f t="shared" si="1434"/>
        <v>99999</v>
      </c>
      <c r="B40357" s="1" t="str">
        <f>"58531"</f>
        <v>58531</v>
      </c>
      <c r="C40357" s="2">
        <v>2.5008265718994098E-5</v>
      </c>
      <c r="D40357" s="2">
        <v>7.5285444763821999E-6</v>
      </c>
      <c r="E40357" s="2">
        <v>6.0214794775076199E-5</v>
      </c>
      <c r="F40357" s="2">
        <v>2.4670437493696699E-5</v>
      </c>
    </row>
    <row r="40358" spans="1:6" x14ac:dyDescent="0.25">
      <c r="A40358" s="1" t="str">
        <f t="shared" si="1434"/>
        <v>99999</v>
      </c>
      <c r="B40358" s="1" t="str">
        <f>"59086"</f>
        <v>59086</v>
      </c>
      <c r="C40358" s="2">
        <v>5.3697401716974401E-5</v>
      </c>
      <c r="D40358" s="2">
        <v>1.65627978480408E-5</v>
      </c>
      <c r="E40358" s="2">
        <v>3.8709510926834699E-5</v>
      </c>
      <c r="F40358" s="2">
        <v>5.0919782986989899E-5</v>
      </c>
    </row>
    <row r="40359" spans="1:6" x14ac:dyDescent="0.25">
      <c r="A40359" s="1" t="str">
        <f t="shared" si="1434"/>
        <v>99999</v>
      </c>
      <c r="B40359" s="1" t="str">
        <f>"58626"</f>
        <v>58626</v>
      </c>
      <c r="C40359" s="2">
        <v>2.5008265718994098E-5</v>
      </c>
      <c r="D40359" s="2">
        <v>6.0228355811057601E-6</v>
      </c>
      <c r="E40359" s="2">
        <v>1.72042270785932E-5</v>
      </c>
      <c r="F40359" s="2">
        <v>2.3584938243973999E-5</v>
      </c>
    </row>
    <row r="40360" spans="1:6" x14ac:dyDescent="0.25">
      <c r="A40360" s="1" t="str">
        <f t="shared" si="1434"/>
        <v>99999</v>
      </c>
      <c r="B40360" s="1" t="str">
        <f>"59043"</f>
        <v>59043</v>
      </c>
      <c r="C40360" s="2">
        <v>2.4900004828435702E-5</v>
      </c>
      <c r="D40360" s="2">
        <v>7.5285444763821999E-6</v>
      </c>
      <c r="E40360" s="2">
        <v>1.29031703089449E-5</v>
      </c>
      <c r="F40360" s="2">
        <v>2.3486256493999199E-5</v>
      </c>
    </row>
    <row r="40361" spans="1:6" x14ac:dyDescent="0.25">
      <c r="A40361" s="1" t="str">
        <f t="shared" si="1434"/>
        <v>99999</v>
      </c>
      <c r="B40361" s="1" t="str">
        <f>"58568"</f>
        <v>58568</v>
      </c>
      <c r="C40361" s="2">
        <v>1.9486960300514902E-5</v>
      </c>
      <c r="D40361" s="2">
        <v>6.0228355811057601E-6</v>
      </c>
      <c r="E40361" s="2">
        <v>4.3010567696482999E-6</v>
      </c>
      <c r="F40361" s="2">
        <v>1.8256123745335501E-5</v>
      </c>
    </row>
    <row r="40362" spans="1:6" x14ac:dyDescent="0.25">
      <c r="A40362" s="1" t="str">
        <f t="shared" si="1434"/>
        <v>99999</v>
      </c>
      <c r="B40362" s="1" t="str">
        <f>"59436"</f>
        <v>59436</v>
      </c>
      <c r="C40362" s="2">
        <v>8.8882191148459603E-5</v>
      </c>
      <c r="D40362" s="2">
        <v>1.65627978480408E-5</v>
      </c>
      <c r="E40362" s="2">
        <v>4.7311624466131299E-5</v>
      </c>
      <c r="F40362" s="2">
        <v>8.3188715228745198E-5</v>
      </c>
    </row>
    <row r="40363" spans="1:6" x14ac:dyDescent="0.25">
      <c r="A40363" s="1" t="str">
        <f t="shared" si="1434"/>
        <v>99999</v>
      </c>
      <c r="B40363" s="1" t="str">
        <f>"59644"</f>
        <v>59644</v>
      </c>
      <c r="C40363" s="2">
        <v>2.2832221818769899E-4</v>
      </c>
      <c r="D40363" s="2">
        <v>2.5145338551116499E-4</v>
      </c>
      <c r="E40363" s="2">
        <v>3.0107397387538101E-4</v>
      </c>
      <c r="F40363" s="2">
        <v>2.3150738544084899E-4</v>
      </c>
    </row>
    <row r="40364" spans="1:6" x14ac:dyDescent="0.25">
      <c r="A40364" s="1" t="str">
        <f t="shared" si="1434"/>
        <v>99999</v>
      </c>
      <c r="B40364" s="1" t="str">
        <f>"59464"</f>
        <v>59464</v>
      </c>
      <c r="C40364" s="2">
        <v>2.76065270923961E-5</v>
      </c>
      <c r="D40364" s="2">
        <v>1.80685067433172E-5</v>
      </c>
      <c r="E40364" s="2">
        <v>1.29031703089449E-5</v>
      </c>
      <c r="F40364" s="2">
        <v>2.6644072493192399E-5</v>
      </c>
    </row>
    <row r="40365" spans="1:6" x14ac:dyDescent="0.25">
      <c r="A40365" s="1" t="str">
        <f t="shared" si="1434"/>
        <v>99999</v>
      </c>
      <c r="B40365" s="1" t="str">
        <f>"59711"</f>
        <v>59711</v>
      </c>
      <c r="C40365" s="2">
        <v>6.7359926105446503E-4</v>
      </c>
      <c r="D40365" s="2">
        <v>7.3478594089490296E-4</v>
      </c>
      <c r="E40365" s="2">
        <v>7.6558810499739705E-4</v>
      </c>
      <c r="F40365" s="2">
        <v>6.7971989382633105E-4</v>
      </c>
    </row>
    <row r="40366" spans="1:6" x14ac:dyDescent="0.25">
      <c r="A40366" s="1" t="str">
        <f t="shared" si="1434"/>
        <v>99999</v>
      </c>
      <c r="B40366" s="1" t="str">
        <f>"59270"</f>
        <v>59270</v>
      </c>
      <c r="C40366" s="2">
        <v>4.6443922049560499E-4</v>
      </c>
      <c r="D40366" s="2">
        <v>8.3867985466897703E-4</v>
      </c>
      <c r="E40366" s="2">
        <v>1.0838663059513701E-3</v>
      </c>
      <c r="F40366" s="2">
        <v>5.03178243121437E-4</v>
      </c>
    </row>
    <row r="40367" spans="1:6" x14ac:dyDescent="0.25">
      <c r="A40367" s="1" t="str">
        <f t="shared" si="1434"/>
        <v>99999</v>
      </c>
      <c r="B40367" s="1" t="str">
        <f>"59524"</f>
        <v>59524</v>
      </c>
      <c r="C40367" s="2">
        <v>2.29513087983842E-5</v>
      </c>
      <c r="D40367" s="2">
        <v>1.50570889527644E-6</v>
      </c>
      <c r="E40367" s="2">
        <v>4.3010567696482999E-6</v>
      </c>
      <c r="F40367" s="2">
        <v>2.11178944946043E-5</v>
      </c>
    </row>
    <row r="40368" spans="1:6" x14ac:dyDescent="0.25">
      <c r="A40368" s="1" t="str">
        <f t="shared" si="1434"/>
        <v>99999</v>
      </c>
      <c r="B40368" s="1" t="str">
        <f>"59422"</f>
        <v>59422</v>
      </c>
      <c r="C40368" s="2">
        <v>1.4095567950705699E-4</v>
      </c>
      <c r="D40368" s="2">
        <v>7.3779735868545501E-5</v>
      </c>
      <c r="E40368" s="2">
        <v>1.8494544109487701E-4</v>
      </c>
      <c r="F40368" s="2">
        <v>1.3756235946485199E-4</v>
      </c>
    </row>
    <row r="40369" spans="1:6" x14ac:dyDescent="0.25">
      <c r="A40369" s="1" t="str">
        <f t="shared" si="1434"/>
        <v>99999</v>
      </c>
      <c r="B40369" s="1" t="str">
        <f>"59262"</f>
        <v>59262</v>
      </c>
      <c r="C40369" s="2">
        <v>3.75665290237704E-5</v>
      </c>
      <c r="D40369" s="2">
        <v>1.50570889527644E-6</v>
      </c>
      <c r="E40369" s="2">
        <v>3.8709510926834699E-5</v>
      </c>
      <c r="F40369" s="2">
        <v>3.5229384740998803E-5</v>
      </c>
    </row>
    <row r="40370" spans="1:6" x14ac:dyDescent="0.25">
      <c r="A40370" s="1" t="str">
        <f t="shared" si="1434"/>
        <v>99999</v>
      </c>
      <c r="B40370" s="1" t="str">
        <f>"59722"</f>
        <v>59722</v>
      </c>
      <c r="C40370" s="2">
        <v>2.5495439726507001E-4</v>
      </c>
      <c r="D40370" s="2">
        <v>3.9901285724825602E-4</v>
      </c>
      <c r="E40370" s="2">
        <v>3.39783484802215E-4</v>
      </c>
      <c r="F40370" s="2">
        <v>2.6634204318194899E-4</v>
      </c>
    </row>
    <row r="40371" spans="1:6" x14ac:dyDescent="0.25">
      <c r="A40371" s="1" t="str">
        <f t="shared" si="1434"/>
        <v>99999</v>
      </c>
      <c r="B40371" s="1" t="str">
        <f>"59456"</f>
        <v>59456</v>
      </c>
      <c r="C40371" s="2">
        <v>1.34243504292436E-5</v>
      </c>
      <c r="D40371" s="2">
        <v>3.01141779055288E-6</v>
      </c>
      <c r="E40371" s="2">
        <v>1.29031703089449E-5</v>
      </c>
      <c r="F40371" s="2">
        <v>1.27299457467474E-5</v>
      </c>
    </row>
    <row r="40372" spans="1:6" x14ac:dyDescent="0.25">
      <c r="A40372" s="1" t="str">
        <f t="shared" si="1434"/>
        <v>99999</v>
      </c>
      <c r="B40372" s="1" t="str">
        <f>"59721"</f>
        <v>59721</v>
      </c>
      <c r="C40372" s="2">
        <v>1.0068262821932701E-5</v>
      </c>
      <c r="D40372" s="2">
        <v>1.50570889527644E-6</v>
      </c>
      <c r="E40372" s="2">
        <v>0</v>
      </c>
      <c r="F40372" s="2">
        <v>9.2760844976299596E-6</v>
      </c>
    </row>
    <row r="40373" spans="1:6" x14ac:dyDescent="0.25">
      <c r="A40373" s="1" t="str">
        <f t="shared" si="1434"/>
        <v>99999</v>
      </c>
      <c r="B40373" s="1" t="str">
        <f>"59217"</f>
        <v>59217</v>
      </c>
      <c r="C40373" s="2">
        <v>1.7321742489346499E-6</v>
      </c>
      <c r="D40373" s="2">
        <v>0</v>
      </c>
      <c r="E40373" s="2">
        <v>4.3010567696482999E-6</v>
      </c>
      <c r="F40373" s="2">
        <v>1.6775897495713699E-6</v>
      </c>
    </row>
    <row r="40374" spans="1:6" x14ac:dyDescent="0.25">
      <c r="A40374" s="1" t="str">
        <f t="shared" si="1434"/>
        <v>99999</v>
      </c>
      <c r="B40374" s="1" t="str">
        <f>"59740"</f>
        <v>59740</v>
      </c>
      <c r="C40374" s="2">
        <v>3.4426963197576303E-5</v>
      </c>
      <c r="D40374" s="2">
        <v>0</v>
      </c>
      <c r="E40374" s="2">
        <v>4.3010567696482999E-6</v>
      </c>
      <c r="F40374" s="2">
        <v>3.1479478241956902E-5</v>
      </c>
    </row>
    <row r="40375" spans="1:6" x14ac:dyDescent="0.25">
      <c r="A40375" s="1" t="str">
        <f t="shared" si="1434"/>
        <v>99999</v>
      </c>
      <c r="B40375" s="1" t="str">
        <f>"59433"</f>
        <v>59433</v>
      </c>
      <c r="C40375" s="2">
        <v>3.2261745386408E-5</v>
      </c>
      <c r="D40375" s="2">
        <v>3.7642722381910999E-5</v>
      </c>
      <c r="E40375" s="2">
        <v>4.7311624466131299E-5</v>
      </c>
      <c r="F40375" s="2">
        <v>3.2959704491578701E-5</v>
      </c>
    </row>
    <row r="40376" spans="1:6" x14ac:dyDescent="0.25">
      <c r="A40376" s="1" t="str">
        <f t="shared" si="1434"/>
        <v>99999</v>
      </c>
      <c r="B40376" s="1" t="str">
        <f>"58301"</f>
        <v>58301</v>
      </c>
      <c r="C40376" s="2">
        <v>5.7627272044244904E-4</v>
      </c>
      <c r="D40376" s="2">
        <v>9.0191962827058697E-4</v>
      </c>
      <c r="E40376" s="2">
        <v>1.78923961617369E-3</v>
      </c>
      <c r="F40376" s="2">
        <v>6.2544493134019795E-4</v>
      </c>
    </row>
    <row r="40377" spans="1:6" x14ac:dyDescent="0.25">
      <c r="A40377" s="1" t="str">
        <f t="shared" si="1434"/>
        <v>99999</v>
      </c>
      <c r="B40377" s="1" t="str">
        <f>"58416"</f>
        <v>58416</v>
      </c>
      <c r="C40377" s="2">
        <v>2.4250439485085199E-5</v>
      </c>
      <c r="D40377" s="2">
        <v>1.0539962266935E-5</v>
      </c>
      <c r="E40377" s="2">
        <v>7.7419021853669399E-5</v>
      </c>
      <c r="F40377" s="2">
        <v>2.4571755743721902E-5</v>
      </c>
    </row>
    <row r="40378" spans="1:6" x14ac:dyDescent="0.25">
      <c r="A40378" s="1" t="str">
        <f t="shared" si="1434"/>
        <v>99999</v>
      </c>
      <c r="B40378" s="1" t="str">
        <f>"58362"</f>
        <v>58362</v>
      </c>
      <c r="C40378" s="2">
        <v>4.4386965128950601E-6</v>
      </c>
      <c r="D40378" s="2">
        <v>1.50570889527644E-6</v>
      </c>
      <c r="E40378" s="2">
        <v>4.3010567696482999E-6</v>
      </c>
      <c r="F40378" s="2">
        <v>4.2433152489158297E-6</v>
      </c>
    </row>
    <row r="40379" spans="1:6" x14ac:dyDescent="0.25">
      <c r="A40379" s="1" t="str">
        <f t="shared" si="1434"/>
        <v>99999</v>
      </c>
      <c r="B40379" s="1" t="str">
        <f>"58448"</f>
        <v>58448</v>
      </c>
      <c r="C40379" s="2">
        <v>2.0353047424982201E-5</v>
      </c>
      <c r="D40379" s="2">
        <v>1.50570889527644E-5</v>
      </c>
      <c r="E40379" s="2">
        <v>3.8709510926834699E-5</v>
      </c>
      <c r="F40379" s="2">
        <v>2.0427122244780799E-5</v>
      </c>
    </row>
    <row r="40380" spans="1:6" x14ac:dyDescent="0.25">
      <c r="A40380" s="1" t="str">
        <f t="shared" si="1434"/>
        <v>99999</v>
      </c>
      <c r="B40380" s="1" t="str">
        <f>"58454"</f>
        <v>58454</v>
      </c>
      <c r="C40380" s="2">
        <v>1.3857393991477199E-5</v>
      </c>
      <c r="D40380" s="2">
        <v>6.0228355811057601E-6</v>
      </c>
      <c r="E40380" s="2">
        <v>4.3010567696482999E-6</v>
      </c>
      <c r="F40380" s="2">
        <v>1.31246727466466E-5</v>
      </c>
    </row>
    <row r="40381" spans="1:6" x14ac:dyDescent="0.25">
      <c r="A40381" s="1" t="str">
        <f t="shared" si="1434"/>
        <v>99999</v>
      </c>
      <c r="B40381" s="1" t="str">
        <f>"58369"</f>
        <v>58369</v>
      </c>
      <c r="C40381" s="2">
        <v>4.6335661159002102E-5</v>
      </c>
      <c r="D40381" s="2">
        <v>1.20456711622115E-5</v>
      </c>
      <c r="E40381" s="2">
        <v>1.29031703089449E-5</v>
      </c>
      <c r="F40381" s="2">
        <v>4.3321288238931401E-5</v>
      </c>
    </row>
    <row r="40382" spans="1:6" x14ac:dyDescent="0.25">
      <c r="A40382" s="1" t="str">
        <f t="shared" si="1434"/>
        <v>99999</v>
      </c>
      <c r="B40382" s="1" t="str">
        <f>"58464"</f>
        <v>58464</v>
      </c>
      <c r="C40382" s="2">
        <v>1.2125219742542599E-5</v>
      </c>
      <c r="D40382" s="2">
        <v>1.50570889527644E-6</v>
      </c>
      <c r="E40382" s="2">
        <v>4.3010567696482999E-6</v>
      </c>
      <c r="F40382" s="2">
        <v>1.1249719497125601E-5</v>
      </c>
    </row>
    <row r="40383" spans="1:6" x14ac:dyDescent="0.25">
      <c r="A40383" s="1" t="str">
        <f t="shared" si="1434"/>
        <v>99999</v>
      </c>
      <c r="B40383" s="1" t="str">
        <f>"58272"</f>
        <v>58272</v>
      </c>
      <c r="C40383" s="2">
        <v>7.1452187768554602E-6</v>
      </c>
      <c r="D40383" s="2">
        <v>0</v>
      </c>
      <c r="E40383" s="2">
        <v>4.3010567696482999E-6</v>
      </c>
      <c r="F40383" s="2">
        <v>6.6116772483107097E-6</v>
      </c>
    </row>
    <row r="40384" spans="1:6" x14ac:dyDescent="0.25">
      <c r="A40384" s="1" t="str">
        <f t="shared" si="1434"/>
        <v>99999</v>
      </c>
      <c r="B40384" s="1" t="str">
        <f>"58265"</f>
        <v>58265</v>
      </c>
      <c r="C40384" s="2">
        <v>2.7390005311279201E-5</v>
      </c>
      <c r="D40384" s="2">
        <v>2.4091342324423E-5</v>
      </c>
      <c r="E40384" s="2">
        <v>4.3010567696482999E-6</v>
      </c>
      <c r="F40384" s="2">
        <v>2.6644072493192399E-5</v>
      </c>
    </row>
    <row r="40385" spans="1:6" x14ac:dyDescent="0.25">
      <c r="A40385" s="1" t="str">
        <f t="shared" si="1434"/>
        <v>99999</v>
      </c>
      <c r="B40385" s="1" t="str">
        <f>"61423"</f>
        <v>61423</v>
      </c>
      <c r="C40385" s="2">
        <v>2.99882666846812E-5</v>
      </c>
      <c r="D40385" s="2">
        <v>1.35513800574879E-5</v>
      </c>
      <c r="E40385" s="2">
        <v>0</v>
      </c>
      <c r="F40385" s="2">
        <v>2.8222980492788999E-5</v>
      </c>
    </row>
    <row r="40386" spans="1:6" x14ac:dyDescent="0.25">
      <c r="A40386" s="1" t="str">
        <f t="shared" si="1434"/>
        <v>99999</v>
      </c>
      <c r="B40386" s="1" t="str">
        <f>"61735"</f>
        <v>61735</v>
      </c>
      <c r="C40386" s="2">
        <v>2.4791743937877301E-5</v>
      </c>
      <c r="D40386" s="2">
        <v>9.0342533716586405E-6</v>
      </c>
      <c r="E40386" s="2">
        <v>4.3010567696482999E-6</v>
      </c>
      <c r="F40386" s="2">
        <v>2.3288892994049601E-5</v>
      </c>
    </row>
    <row r="40387" spans="1:6" x14ac:dyDescent="0.25">
      <c r="A40387" s="1" t="str">
        <f t="shared" si="1434"/>
        <v>99999</v>
      </c>
      <c r="B40387" s="1" t="str">
        <f>"60931"</f>
        <v>60931</v>
      </c>
      <c r="C40387" s="2">
        <v>3.00965275752396E-5</v>
      </c>
      <c r="D40387" s="2">
        <v>7.5285444763821999E-6</v>
      </c>
      <c r="E40387" s="2">
        <v>5.8924477744181703E-4</v>
      </c>
      <c r="F40387" s="2">
        <v>4.14463349894104E-5</v>
      </c>
    </row>
    <row r="40388" spans="1:6" x14ac:dyDescent="0.25">
      <c r="A40388" s="1" t="str">
        <f t="shared" si="1434"/>
        <v>99999</v>
      </c>
      <c r="B40388" s="1" t="str">
        <f>"60955"</f>
        <v>60955</v>
      </c>
      <c r="C40388" s="2">
        <v>8.82326258051091E-5</v>
      </c>
      <c r="D40388" s="2">
        <v>1.5207659842292001E-4</v>
      </c>
      <c r="E40388" s="2">
        <v>1.16128532780504E-4</v>
      </c>
      <c r="F40388" s="2">
        <v>9.3056890226223899E-5</v>
      </c>
    </row>
    <row r="40389" spans="1:6" x14ac:dyDescent="0.25">
      <c r="A40389" s="1" t="str">
        <f t="shared" si="1434"/>
        <v>99999</v>
      </c>
      <c r="B40389" s="1" t="str">
        <f>"60948"</f>
        <v>60948</v>
      </c>
      <c r="C40389" s="2">
        <v>8.9423495601251702E-5</v>
      </c>
      <c r="D40389" s="2">
        <v>1.50570889527644E-5</v>
      </c>
      <c r="E40389" s="2">
        <v>3.8709510926834699E-5</v>
      </c>
      <c r="F40389" s="2">
        <v>8.3386078728694805E-5</v>
      </c>
    </row>
    <row r="40390" spans="1:6" x14ac:dyDescent="0.25">
      <c r="A40390" s="1" t="str">
        <f t="shared" ref="A40390:A40453" si="1435">"99999"</f>
        <v>99999</v>
      </c>
      <c r="B40390" s="1" t="str">
        <f>"60922"</f>
        <v>60922</v>
      </c>
      <c r="C40390" s="2">
        <v>5.08826185624555E-5</v>
      </c>
      <c r="D40390" s="2">
        <v>2.4091342324423E-5</v>
      </c>
      <c r="E40390" s="2">
        <v>4.6451413112201599E-4</v>
      </c>
      <c r="F40390" s="2">
        <v>5.8616959485023303E-5</v>
      </c>
    </row>
    <row r="40391" spans="1:6" x14ac:dyDescent="0.25">
      <c r="A40391" s="1" t="str">
        <f t="shared" si="1435"/>
        <v>99999</v>
      </c>
      <c r="B40391" s="1" t="str">
        <f>"60951"</f>
        <v>60951</v>
      </c>
      <c r="C40391" s="2">
        <v>3.4102180525900997E-5</v>
      </c>
      <c r="D40391" s="2">
        <v>6.0228355811057601E-6</v>
      </c>
      <c r="E40391" s="2">
        <v>9.59135659631571E-4</v>
      </c>
      <c r="F40391" s="2">
        <v>5.3485508486334399E-5</v>
      </c>
    </row>
    <row r="40392" spans="1:6" x14ac:dyDescent="0.25">
      <c r="A40392" s="1" t="str">
        <f t="shared" si="1435"/>
        <v>99999</v>
      </c>
      <c r="B40392" s="1" t="str">
        <f>"62278"</f>
        <v>62278</v>
      </c>
      <c r="C40392" s="2">
        <v>2.7108526995827401E-4</v>
      </c>
      <c r="D40392" s="2">
        <v>4.74298302012078E-4</v>
      </c>
      <c r="E40392" s="2">
        <v>1.8064438432522799E-4</v>
      </c>
      <c r="F40392" s="2">
        <v>2.8232848667786498E-4</v>
      </c>
    </row>
    <row r="40393" spans="1:6" x14ac:dyDescent="0.25">
      <c r="A40393" s="1" t="str">
        <f t="shared" si="1435"/>
        <v>99999</v>
      </c>
      <c r="B40393" s="1" t="str">
        <f>"62362"</f>
        <v>62362</v>
      </c>
      <c r="C40393" s="2">
        <v>1.77547860515802E-5</v>
      </c>
      <c r="D40393" s="2">
        <v>1.50570889527644E-6</v>
      </c>
      <c r="E40393" s="2">
        <v>1.29031703089449E-5</v>
      </c>
      <c r="F40393" s="2">
        <v>1.65785339957641E-5</v>
      </c>
    </row>
    <row r="40394" spans="1:6" x14ac:dyDescent="0.25">
      <c r="A40394" s="1" t="str">
        <f t="shared" si="1435"/>
        <v>99999</v>
      </c>
      <c r="B40394" s="1" t="str">
        <f>"61928"</f>
        <v>61928</v>
      </c>
      <c r="C40394" s="2">
        <v>2.7931309764071301E-5</v>
      </c>
      <c r="D40394" s="2">
        <v>1.9574215638593701E-5</v>
      </c>
      <c r="E40394" s="2">
        <v>4.3010567696482999E-6</v>
      </c>
      <c r="F40394" s="2">
        <v>2.6841435993142E-5</v>
      </c>
    </row>
    <row r="40395" spans="1:6" x14ac:dyDescent="0.25">
      <c r="A40395" s="1" t="str">
        <f t="shared" si="1435"/>
        <v>99999</v>
      </c>
      <c r="B40395" s="1" t="str">
        <f>"62032"</f>
        <v>62032</v>
      </c>
      <c r="C40395" s="2">
        <v>3.9731746834938703E-5</v>
      </c>
      <c r="D40395" s="2">
        <v>1.9574215638593701E-5</v>
      </c>
      <c r="E40395" s="2">
        <v>1.29031703089449E-5</v>
      </c>
      <c r="F40395" s="2">
        <v>3.7795110240343302E-5</v>
      </c>
    </row>
    <row r="40396" spans="1:6" x14ac:dyDescent="0.25">
      <c r="A40396" s="1" t="str">
        <f t="shared" si="1435"/>
        <v>99999</v>
      </c>
      <c r="B40396" s="1" t="str">
        <f>"61956"</f>
        <v>61956</v>
      </c>
      <c r="C40396" s="2">
        <v>1.4442002800492699E-4</v>
      </c>
      <c r="D40396" s="2">
        <v>1.4304234505126099E-4</v>
      </c>
      <c r="E40396" s="2">
        <v>2.3655812233065599E-4</v>
      </c>
      <c r="F40396" s="2">
        <v>1.4644371696258301E-4</v>
      </c>
    </row>
    <row r="40397" spans="1:6" x14ac:dyDescent="0.25">
      <c r="A40397" s="1" t="str">
        <f t="shared" si="1435"/>
        <v>99999</v>
      </c>
      <c r="B40397" s="1" t="str">
        <f>"61910"</f>
        <v>61910</v>
      </c>
      <c r="C40397" s="2">
        <v>1.9324568964677199E-4</v>
      </c>
      <c r="D40397" s="2">
        <v>3.1017603242694601E-4</v>
      </c>
      <c r="E40397" s="2">
        <v>2.6666551971819401E-4</v>
      </c>
      <c r="F40397" s="2">
        <v>2.02593632698237E-4</v>
      </c>
    </row>
    <row r="40398" spans="1:6" x14ac:dyDescent="0.25">
      <c r="A40398" s="1" t="str">
        <f t="shared" si="1435"/>
        <v>99999</v>
      </c>
      <c r="B40398" s="1" t="str">
        <f>"62056"</f>
        <v>62056</v>
      </c>
      <c r="C40398" s="2">
        <v>4.4116312902554503E-4</v>
      </c>
      <c r="D40398" s="2">
        <v>7.7393437217209001E-4</v>
      </c>
      <c r="E40398" s="2">
        <v>3.5698771188080898E-4</v>
      </c>
      <c r="F40398" s="2">
        <v>4.6104113588220298E-4</v>
      </c>
    </row>
    <row r="40399" spans="1:6" x14ac:dyDescent="0.25">
      <c r="A40399" s="1" t="str">
        <f t="shared" si="1435"/>
        <v>99999</v>
      </c>
      <c r="B40399" s="1" t="str">
        <f>"62082"</f>
        <v>62082</v>
      </c>
      <c r="C40399" s="2">
        <v>1.51673507672341E-4</v>
      </c>
      <c r="D40399" s="2">
        <v>1.26479547203221E-4</v>
      </c>
      <c r="E40399" s="2">
        <v>8.1720078623317706E-5</v>
      </c>
      <c r="F40399" s="2">
        <v>1.48417351962079E-4</v>
      </c>
    </row>
    <row r="40400" spans="1:6" x14ac:dyDescent="0.25">
      <c r="A40400" s="1" t="str">
        <f t="shared" si="1435"/>
        <v>99999</v>
      </c>
      <c r="B40400" s="1" t="str">
        <f>"62050"</f>
        <v>62050</v>
      </c>
      <c r="C40400" s="2">
        <v>3.8216094367120903E-5</v>
      </c>
      <c r="D40400" s="2">
        <v>4.5171266858293203E-6</v>
      </c>
      <c r="E40400" s="2">
        <v>4.3010567696482999E-6</v>
      </c>
      <c r="F40400" s="2">
        <v>3.5229384740998803E-5</v>
      </c>
    </row>
    <row r="40401" spans="1:6" x14ac:dyDescent="0.25">
      <c r="A40401" s="1" t="str">
        <f t="shared" si="1435"/>
        <v>99999</v>
      </c>
      <c r="B40401" s="1" t="str">
        <f>"61957"</f>
        <v>61957</v>
      </c>
      <c r="C40401" s="2">
        <v>9.6243931706431902E-5</v>
      </c>
      <c r="D40401" s="2">
        <v>1.2045671162211499E-4</v>
      </c>
      <c r="E40401" s="2">
        <v>1.29031703089449E-5</v>
      </c>
      <c r="F40401" s="2">
        <v>9.5918660975492694E-5</v>
      </c>
    </row>
    <row r="40402" spans="1:6" x14ac:dyDescent="0.25">
      <c r="A40402" s="1" t="str">
        <f t="shared" si="1435"/>
        <v>99999</v>
      </c>
      <c r="B40402" s="1" t="str">
        <f>"62896"</f>
        <v>62896</v>
      </c>
      <c r="C40402" s="2">
        <v>6.4252838546419904E-4</v>
      </c>
      <c r="D40402" s="2">
        <v>7.1671743415158498E-4</v>
      </c>
      <c r="E40402" s="2">
        <v>5.2902998266674103E-4</v>
      </c>
      <c r="F40402" s="2">
        <v>6.4478655433525701E-4</v>
      </c>
    </row>
    <row r="40403" spans="1:6" x14ac:dyDescent="0.25">
      <c r="A40403" s="1" t="str">
        <f t="shared" si="1435"/>
        <v>99999</v>
      </c>
      <c r="B40403" s="1" t="str">
        <f>"62822"</f>
        <v>62822</v>
      </c>
      <c r="C40403" s="2">
        <v>1.6585568433549299E-4</v>
      </c>
      <c r="D40403" s="2">
        <v>1.79179358537896E-4</v>
      </c>
      <c r="E40403" s="2">
        <v>6.8816908314372799E-5</v>
      </c>
      <c r="F40403" s="2">
        <v>1.6450247720796899E-4</v>
      </c>
    </row>
    <row r="40404" spans="1:6" x14ac:dyDescent="0.25">
      <c r="A40404" s="1" t="str">
        <f t="shared" si="1435"/>
        <v>99999</v>
      </c>
      <c r="B40404" s="1" t="str">
        <f>"62823"</f>
        <v>62823</v>
      </c>
      <c r="C40404" s="2">
        <v>8.0113059013227895E-5</v>
      </c>
      <c r="D40404" s="2">
        <v>1.65627978480408E-5</v>
      </c>
      <c r="E40404" s="2">
        <v>4.3010567696482999E-6</v>
      </c>
      <c r="F40404" s="2">
        <v>7.4208675981039595E-5</v>
      </c>
    </row>
    <row r="40405" spans="1:6" x14ac:dyDescent="0.25">
      <c r="A40405" s="1" t="str">
        <f t="shared" si="1435"/>
        <v>99999</v>
      </c>
      <c r="B40405" s="1" t="str">
        <f>"62890"</f>
        <v>62890</v>
      </c>
      <c r="C40405" s="2">
        <v>1.2320089345547699E-4</v>
      </c>
      <c r="D40405" s="2">
        <v>7.3779735868545501E-5</v>
      </c>
      <c r="E40405" s="2">
        <v>1.29031703089449E-5</v>
      </c>
      <c r="F40405" s="2">
        <v>1.17431282469996E-4</v>
      </c>
    </row>
    <row r="40406" spans="1:6" x14ac:dyDescent="0.25">
      <c r="A40406" s="1" t="str">
        <f t="shared" si="1435"/>
        <v>99999</v>
      </c>
      <c r="B40406" s="1" t="str">
        <f>"62934"</f>
        <v>62934</v>
      </c>
      <c r="C40406" s="2">
        <v>4.0164790397172297E-5</v>
      </c>
      <c r="D40406" s="2">
        <v>3.31255956960816E-5</v>
      </c>
      <c r="E40406" s="2">
        <v>3.8709510926834699E-5</v>
      </c>
      <c r="F40406" s="2">
        <v>3.9670063489864202E-5</v>
      </c>
    </row>
    <row r="40407" spans="1:6" x14ac:dyDescent="0.25">
      <c r="A40407" s="1" t="str">
        <f t="shared" si="1435"/>
        <v>99999</v>
      </c>
      <c r="B40407" s="1" t="str">
        <f>"62906"</f>
        <v>62906</v>
      </c>
      <c r="C40407" s="2">
        <v>3.9547703320989402E-4</v>
      </c>
      <c r="D40407" s="2">
        <v>5.7668650689087604E-4</v>
      </c>
      <c r="E40407" s="2">
        <v>5.2042786912744401E-4</v>
      </c>
      <c r="F40407" s="2">
        <v>4.1022003464518802E-4</v>
      </c>
    </row>
    <row r="40408" spans="1:6" x14ac:dyDescent="0.25">
      <c r="A40408" s="1" t="str">
        <f t="shared" si="1435"/>
        <v>99999</v>
      </c>
      <c r="B40408" s="1" t="str">
        <f>"62917"</f>
        <v>62917</v>
      </c>
      <c r="C40408" s="2">
        <v>1.1367393508633601E-4</v>
      </c>
      <c r="D40408" s="2">
        <v>3.9148431277187403E-5</v>
      </c>
      <c r="E40408" s="2">
        <v>9.0322192162614306E-5</v>
      </c>
      <c r="F40408" s="2">
        <v>1.08253879722341E-4</v>
      </c>
    </row>
    <row r="40409" spans="1:6" x14ac:dyDescent="0.25">
      <c r="A40409" s="1" t="str">
        <f t="shared" si="1435"/>
        <v>99999</v>
      </c>
      <c r="B40409" s="1" t="str">
        <f>"52165"</f>
        <v>52165</v>
      </c>
      <c r="C40409" s="2">
        <v>5.2831314592507002E-5</v>
      </c>
      <c r="D40409" s="2">
        <v>7.5285444763821999E-6</v>
      </c>
      <c r="E40409" s="2">
        <v>4.3010567696482999E-5</v>
      </c>
      <c r="F40409" s="2">
        <v>4.96369202373177E-5</v>
      </c>
    </row>
    <row r="40410" spans="1:6" x14ac:dyDescent="0.25">
      <c r="A40410" s="1" t="str">
        <f t="shared" si="1435"/>
        <v>99999</v>
      </c>
      <c r="B40410" s="1" t="str">
        <f>"52208"</f>
        <v>52208</v>
      </c>
      <c r="C40410" s="2">
        <v>1.08260890558416E-5</v>
      </c>
      <c r="D40410" s="2">
        <v>7.5285444763821999E-6</v>
      </c>
      <c r="E40410" s="2">
        <v>0</v>
      </c>
      <c r="F40410" s="2">
        <v>1.03615837473526E-5</v>
      </c>
    </row>
    <row r="40411" spans="1:6" x14ac:dyDescent="0.25">
      <c r="A40411" s="1" t="str">
        <f t="shared" si="1435"/>
        <v>99999</v>
      </c>
      <c r="B40411" s="1" t="str">
        <f>"52325"</f>
        <v>52325</v>
      </c>
      <c r="C40411" s="2">
        <v>3.7025224570978301E-5</v>
      </c>
      <c r="D40411" s="2">
        <v>3.01141779055288E-6</v>
      </c>
      <c r="E40411" s="2">
        <v>1.29031703089449E-5</v>
      </c>
      <c r="F40411" s="2">
        <v>3.4242567241251002E-5</v>
      </c>
    </row>
    <row r="40412" spans="1:6" x14ac:dyDescent="0.25">
      <c r="A40412" s="1" t="str">
        <f t="shared" si="1435"/>
        <v>99999</v>
      </c>
      <c r="B40412" s="1" t="str">
        <f>"52342"</f>
        <v>52342</v>
      </c>
      <c r="C40412" s="2">
        <v>1.63690466524325E-4</v>
      </c>
      <c r="D40412" s="2">
        <v>2.3338487876784801E-4</v>
      </c>
      <c r="E40412" s="2">
        <v>3.39783484802215E-4</v>
      </c>
      <c r="F40412" s="2">
        <v>1.72298335455977E-4</v>
      </c>
    </row>
    <row r="40413" spans="1:6" x14ac:dyDescent="0.25">
      <c r="A40413" s="1" t="str">
        <f t="shared" si="1435"/>
        <v>99999</v>
      </c>
      <c r="B40413" s="1" t="str">
        <f>"52171"</f>
        <v>52171</v>
      </c>
      <c r="C40413" s="2">
        <v>5.4780010622558498E-5</v>
      </c>
      <c r="D40413" s="2">
        <v>3.1619886800805203E-5</v>
      </c>
      <c r="E40413" s="2">
        <v>8.6021135392965999E-6</v>
      </c>
      <c r="F40413" s="2">
        <v>5.22026457366622E-5</v>
      </c>
    </row>
    <row r="40414" spans="1:6" x14ac:dyDescent="0.25">
      <c r="A40414" s="1" t="str">
        <f t="shared" si="1435"/>
        <v>99999</v>
      </c>
      <c r="B40414" s="1" t="str">
        <f>"52044"</f>
        <v>52044</v>
      </c>
      <c r="C40414" s="2">
        <v>8.0113059013227898E-6</v>
      </c>
      <c r="D40414" s="2">
        <v>3.01141779055288E-6</v>
      </c>
      <c r="E40414" s="2">
        <v>4.3010567696482999E-6</v>
      </c>
      <c r="F40414" s="2">
        <v>7.5984947480585801E-6</v>
      </c>
    </row>
    <row r="40415" spans="1:6" x14ac:dyDescent="0.25">
      <c r="A40415" s="1" t="str">
        <f t="shared" si="1435"/>
        <v>99999</v>
      </c>
      <c r="B40415" s="1" t="str">
        <f>"52251"</f>
        <v>52251</v>
      </c>
      <c r="C40415" s="2">
        <v>1.8079568723255499E-5</v>
      </c>
      <c r="D40415" s="2">
        <v>4.5171266858293203E-6</v>
      </c>
      <c r="E40415" s="2">
        <v>1.29031703089449E-5</v>
      </c>
      <c r="F40415" s="2">
        <v>1.7071942745638099E-5</v>
      </c>
    </row>
    <row r="40416" spans="1:6" x14ac:dyDescent="0.25">
      <c r="A40416" s="1" t="str">
        <f t="shared" si="1435"/>
        <v>99999</v>
      </c>
      <c r="B40416" s="1" t="str">
        <f>"61036"</f>
        <v>61036</v>
      </c>
      <c r="C40416" s="2">
        <v>5.0514531534556902E-4</v>
      </c>
      <c r="D40416" s="2">
        <v>7.5887728321932595E-4</v>
      </c>
      <c r="E40416" s="2">
        <v>8.0859867269387998E-4</v>
      </c>
      <c r="F40416" s="2">
        <v>5.2873681636490702E-4</v>
      </c>
    </row>
    <row r="40417" spans="1:6" x14ac:dyDescent="0.25">
      <c r="A40417" s="1" t="str">
        <f t="shared" si="1435"/>
        <v>99999</v>
      </c>
      <c r="B40417" s="1" t="str">
        <f>"61001"</f>
        <v>61001</v>
      </c>
      <c r="C40417" s="2">
        <v>1.1302436974298601E-4</v>
      </c>
      <c r="D40417" s="2">
        <v>3.7642722381910999E-5</v>
      </c>
      <c r="E40417" s="2">
        <v>6.0214794775076199E-5</v>
      </c>
      <c r="F40417" s="2">
        <v>1.0687233522269399E-4</v>
      </c>
    </row>
    <row r="40418" spans="1:6" x14ac:dyDescent="0.25">
      <c r="A40418" s="1" t="str">
        <f t="shared" si="1435"/>
        <v>99999</v>
      </c>
      <c r="B40418" s="1" t="str">
        <f>"54660"</f>
        <v>54660</v>
      </c>
      <c r="C40418" s="2">
        <v>8.0264624260009698E-4</v>
      </c>
      <c r="D40418" s="2">
        <v>8.9890821048003501E-4</v>
      </c>
      <c r="E40418" s="2">
        <v>1.7290248213986099E-3</v>
      </c>
      <c r="F40418" s="2">
        <v>8.3020956253788102E-4</v>
      </c>
    </row>
    <row r="40419" spans="1:6" x14ac:dyDescent="0.25">
      <c r="A40419" s="1" t="str">
        <f t="shared" si="1435"/>
        <v>99999</v>
      </c>
      <c r="B40419" s="1" t="str">
        <f>"54656"</f>
        <v>54656</v>
      </c>
      <c r="C40419" s="2">
        <v>8.7604712639870305E-4</v>
      </c>
      <c r="D40419" s="2">
        <v>8.52231234726465E-4</v>
      </c>
      <c r="E40419" s="2">
        <v>1.5053698693769E-3</v>
      </c>
      <c r="F40419" s="2">
        <v>8.8892520377287904E-4</v>
      </c>
    </row>
    <row r="40420" spans="1:6" x14ac:dyDescent="0.25">
      <c r="A40420" s="1" t="str">
        <f t="shared" si="1435"/>
        <v>99999</v>
      </c>
      <c r="B40420" s="1" t="str">
        <f>"54721"</f>
        <v>54721</v>
      </c>
      <c r="C40420" s="2">
        <v>6.8962187285710996E-5</v>
      </c>
      <c r="D40420" s="2">
        <v>1.9574215638593701E-5</v>
      </c>
      <c r="E40420" s="2">
        <v>2.58063406178898E-5</v>
      </c>
      <c r="F40420" s="2">
        <v>6.4735227983460096E-5</v>
      </c>
    </row>
    <row r="40421" spans="1:6" x14ac:dyDescent="0.25">
      <c r="A40421" s="1" t="str">
        <f t="shared" si="1435"/>
        <v>99999</v>
      </c>
      <c r="B40421" s="1" t="str">
        <f>"54733"</f>
        <v>54733</v>
      </c>
      <c r="C40421" s="2">
        <v>6.6688708583984303E-5</v>
      </c>
      <c r="D40421" s="2">
        <v>1.35513800574879E-5</v>
      </c>
      <c r="E40421" s="2">
        <v>2.15052838482415E-5</v>
      </c>
      <c r="F40421" s="2">
        <v>6.2169502484115603E-5</v>
      </c>
    </row>
    <row r="40422" spans="1:6" x14ac:dyDescent="0.25">
      <c r="A40422" s="1" t="str">
        <f t="shared" si="1435"/>
        <v>99999</v>
      </c>
      <c r="B40422" s="1" t="str">
        <f>"54646"</f>
        <v>54646</v>
      </c>
      <c r="C40422" s="2">
        <v>2.68487008584872E-4</v>
      </c>
      <c r="D40422" s="2">
        <v>1.55088016213473E-4</v>
      </c>
      <c r="E40422" s="2">
        <v>2.0214966817347E-4</v>
      </c>
      <c r="F40422" s="2">
        <v>2.5953300243368899E-4</v>
      </c>
    </row>
    <row r="40423" spans="1:6" x14ac:dyDescent="0.25">
      <c r="A40423" s="1" t="str">
        <f t="shared" si="1435"/>
        <v>99999</v>
      </c>
      <c r="B40423" s="1" t="str">
        <f>"54805"</f>
        <v>54805</v>
      </c>
      <c r="C40423" s="2">
        <v>8.2494798605513099E-5</v>
      </c>
      <c r="D40423" s="2">
        <v>3.9148431277187403E-5</v>
      </c>
      <c r="E40423" s="2">
        <v>6.4515851544724506E-5</v>
      </c>
      <c r="F40423" s="2">
        <v>7.9241445229753804E-5</v>
      </c>
    </row>
    <row r="40424" spans="1:6" x14ac:dyDescent="0.25">
      <c r="A40424" s="1" t="str">
        <f t="shared" si="1435"/>
        <v>99999</v>
      </c>
      <c r="B40424" s="1" t="str">
        <f>"54889"</f>
        <v>54889</v>
      </c>
      <c r="C40424" s="2">
        <v>1.88806993133877E-4</v>
      </c>
      <c r="D40424" s="2">
        <v>7.0768318077992694E-5</v>
      </c>
      <c r="E40424" s="2">
        <v>1.5913910047698701E-4</v>
      </c>
      <c r="F40424" s="2">
        <v>1.8039023895390999E-4</v>
      </c>
    </row>
    <row r="40425" spans="1:6" x14ac:dyDescent="0.25">
      <c r="A40425" s="1" t="str">
        <f t="shared" si="1435"/>
        <v>99999</v>
      </c>
      <c r="B40425" s="1" t="str">
        <f>"54848"</f>
        <v>54848</v>
      </c>
      <c r="C40425" s="2">
        <v>3.37990500323375E-4</v>
      </c>
      <c r="D40425" s="2">
        <v>5.01401062127054E-4</v>
      </c>
      <c r="E40425" s="2">
        <v>3.6989088218975403E-4</v>
      </c>
      <c r="F40425" s="2">
        <v>3.4943207666071998E-4</v>
      </c>
    </row>
    <row r="40426" spans="1:6" x14ac:dyDescent="0.25">
      <c r="A40426" s="1" t="str">
        <f t="shared" si="1435"/>
        <v>99999</v>
      </c>
      <c r="B40426" s="1" t="str">
        <f>"55030"</f>
        <v>55030</v>
      </c>
      <c r="C40426" s="2">
        <v>7.5241318938099204E-5</v>
      </c>
      <c r="D40426" s="2">
        <v>1.35513800574879E-5</v>
      </c>
      <c r="E40426" s="2">
        <v>1.72042270785932E-5</v>
      </c>
      <c r="F40426" s="2">
        <v>6.9866678982149E-5</v>
      </c>
    </row>
    <row r="40427" spans="1:6" x14ac:dyDescent="0.25">
      <c r="A40427" s="1" t="str">
        <f t="shared" si="1435"/>
        <v>99999</v>
      </c>
      <c r="B40427" s="1" t="str">
        <f>"55036"</f>
        <v>55036</v>
      </c>
      <c r="C40427" s="2">
        <v>6.0626098712712997E-6</v>
      </c>
      <c r="D40427" s="2">
        <v>3.01141779055288E-6</v>
      </c>
      <c r="E40427" s="2">
        <v>4.3010567696482999E-6</v>
      </c>
      <c r="F40427" s="2">
        <v>5.8222232485124198E-6</v>
      </c>
    </row>
    <row r="40428" spans="1:6" x14ac:dyDescent="0.25">
      <c r="A40428" s="1" t="str">
        <f t="shared" si="1435"/>
        <v>99999</v>
      </c>
      <c r="B40428" s="1" t="str">
        <f>"54876"</f>
        <v>54876</v>
      </c>
      <c r="C40428" s="2">
        <v>1.60442639807572E-4</v>
      </c>
      <c r="D40428" s="2">
        <v>6.6251191392163294E-5</v>
      </c>
      <c r="E40428" s="2">
        <v>4.7311624466131299E-5</v>
      </c>
      <c r="F40428" s="2">
        <v>1.5167384971124701E-4</v>
      </c>
    </row>
    <row r="40429" spans="1:6" x14ac:dyDescent="0.25">
      <c r="A40429" s="1" t="str">
        <f t="shared" si="1435"/>
        <v>99999</v>
      </c>
      <c r="B40429" s="1" t="str">
        <f>"54858"</f>
        <v>54858</v>
      </c>
      <c r="C40429" s="2">
        <v>1.06528716309481E-4</v>
      </c>
      <c r="D40429" s="2">
        <v>4.8182684648845999E-5</v>
      </c>
      <c r="E40429" s="2">
        <v>9.0322192162614306E-5</v>
      </c>
      <c r="F40429" s="2">
        <v>1.02332974723853E-4</v>
      </c>
    </row>
    <row r="40430" spans="1:6" x14ac:dyDescent="0.25">
      <c r="A40430" s="1" t="str">
        <f t="shared" si="1435"/>
        <v>99999</v>
      </c>
      <c r="B40430" s="1" t="str">
        <f>"54001"</f>
        <v>54001</v>
      </c>
      <c r="C40430" s="2">
        <v>4.4798356513072601E-4</v>
      </c>
      <c r="D40430" s="2">
        <v>4.1858707288684998E-4</v>
      </c>
      <c r="E40430" s="2">
        <v>2.7526763325749098E-4</v>
      </c>
      <c r="F40430" s="2">
        <v>4.4209423988704401E-4</v>
      </c>
    </row>
    <row r="40431" spans="1:6" x14ac:dyDescent="0.25">
      <c r="A40431" s="1" t="str">
        <f t="shared" si="1435"/>
        <v>99999</v>
      </c>
      <c r="B40431" s="1" t="str">
        <f>"54622"</f>
        <v>54622</v>
      </c>
      <c r="C40431" s="2">
        <v>1.2092741475375E-4</v>
      </c>
      <c r="D40431" s="2">
        <v>3.7642722381910999E-5</v>
      </c>
      <c r="E40431" s="2">
        <v>5.5913738005427899E-5</v>
      </c>
      <c r="F40431" s="2">
        <v>1.13977421220878E-4</v>
      </c>
    </row>
    <row r="40432" spans="1:6" x14ac:dyDescent="0.25">
      <c r="A40432" s="1" t="str">
        <f t="shared" si="1435"/>
        <v>99999</v>
      </c>
      <c r="B40432" s="1" t="str">
        <f>"54623"</f>
        <v>54623</v>
      </c>
      <c r="C40432" s="2">
        <v>6.5606099678400105E-5</v>
      </c>
      <c r="D40432" s="2">
        <v>5.7216938020504697E-5</v>
      </c>
      <c r="E40432" s="2">
        <v>7.3117965084021106E-5</v>
      </c>
      <c r="F40432" s="2">
        <v>6.5228636733334006E-5</v>
      </c>
    </row>
    <row r="40433" spans="1:6" x14ac:dyDescent="0.25">
      <c r="A40433" s="1" t="str">
        <f t="shared" si="1435"/>
        <v>99999</v>
      </c>
      <c r="B40433" s="1" t="str">
        <f>"54982"</f>
        <v>54982</v>
      </c>
      <c r="C40433" s="2">
        <v>4.4246225971224598E-4</v>
      </c>
      <c r="D40433" s="2">
        <v>3.7793293271438602E-4</v>
      </c>
      <c r="E40433" s="2">
        <v>2.1075178171276601E-4</v>
      </c>
      <c r="F40433" s="2">
        <v>4.3291683713938899E-4</v>
      </c>
    </row>
    <row r="40434" spans="1:6" x14ac:dyDescent="0.25">
      <c r="A40434" s="1" t="str">
        <f t="shared" si="1435"/>
        <v>99999</v>
      </c>
      <c r="B40434" s="1" t="str">
        <f>"54961"</f>
        <v>54961</v>
      </c>
      <c r="C40434" s="2">
        <v>5.36107930045276E-4</v>
      </c>
      <c r="D40434" s="2">
        <v>4.4719554189710201E-4</v>
      </c>
      <c r="E40434" s="2">
        <v>7.7849127530634204E-4</v>
      </c>
      <c r="F40434" s="2">
        <v>5.3584190236309203E-4</v>
      </c>
    </row>
    <row r="40435" spans="1:6" x14ac:dyDescent="0.25">
      <c r="A40435" s="1" t="str">
        <f t="shared" si="1435"/>
        <v>99999</v>
      </c>
      <c r="B40435" s="1" t="str">
        <f>"54965"</f>
        <v>54965</v>
      </c>
      <c r="C40435" s="2">
        <v>7.1019144206321003E-5</v>
      </c>
      <c r="D40435" s="2">
        <v>1.20456711622115E-5</v>
      </c>
      <c r="E40435" s="2">
        <v>8.6021135392965999E-6</v>
      </c>
      <c r="F40435" s="2">
        <v>6.5722045483207998E-5</v>
      </c>
    </row>
    <row r="40436" spans="1:6" x14ac:dyDescent="0.25">
      <c r="A40436" s="1" t="str">
        <f t="shared" si="1435"/>
        <v>99999</v>
      </c>
      <c r="B40436" s="1" t="str">
        <f>"54460"</f>
        <v>54460</v>
      </c>
      <c r="C40436" s="2">
        <v>1.14323500429687E-4</v>
      </c>
      <c r="D40436" s="2">
        <v>8.2813989240204205E-5</v>
      </c>
      <c r="E40436" s="2">
        <v>7.7419021853669399E-5</v>
      </c>
      <c r="F40436" s="2">
        <v>1.1141169572153399E-4</v>
      </c>
    </row>
    <row r="40437" spans="1:6" x14ac:dyDescent="0.25">
      <c r="A40437" s="1" t="str">
        <f t="shared" si="1435"/>
        <v>99999</v>
      </c>
      <c r="B40437" s="1" t="str">
        <f>"54456"</f>
        <v>54456</v>
      </c>
      <c r="C40437" s="2">
        <v>3.24349628113014E-4</v>
      </c>
      <c r="D40437" s="2">
        <v>3.8696718608604501E-4</v>
      </c>
      <c r="E40437" s="2">
        <v>3.6128876865045701E-4</v>
      </c>
      <c r="F40437" s="2">
        <v>3.2930099966586298E-4</v>
      </c>
    </row>
    <row r="40438" spans="1:6" x14ac:dyDescent="0.25">
      <c r="A40438" s="1" t="str">
        <f t="shared" si="1435"/>
        <v>99999</v>
      </c>
      <c r="B40438" s="1" t="str">
        <f>"54457"</f>
        <v>54457</v>
      </c>
      <c r="C40438" s="2">
        <v>3.1027571234041999E-4</v>
      </c>
      <c r="D40438" s="2">
        <v>1.12928167145733E-4</v>
      </c>
      <c r="E40438" s="2">
        <v>3.44084541571864E-5</v>
      </c>
      <c r="F40438" s="2">
        <v>2.9101248067564599E-4</v>
      </c>
    </row>
    <row r="40439" spans="1:6" x14ac:dyDescent="0.25">
      <c r="A40439" s="1" t="str">
        <f t="shared" si="1435"/>
        <v>99999</v>
      </c>
      <c r="B40439" s="1" t="str">
        <f>"54511"</f>
        <v>54511</v>
      </c>
      <c r="C40439" s="2">
        <v>8.7691321352317001E-5</v>
      </c>
      <c r="D40439" s="2">
        <v>1.9574215638593701E-5</v>
      </c>
      <c r="E40439" s="2">
        <v>4.3010567696482999E-6</v>
      </c>
      <c r="F40439" s="2">
        <v>8.1313761979224305E-5</v>
      </c>
    </row>
    <row r="40440" spans="1:6" x14ac:dyDescent="0.25">
      <c r="A40440" s="1" t="str">
        <f t="shared" si="1435"/>
        <v>99999</v>
      </c>
      <c r="B40440" s="1" t="str">
        <f>"54555"</f>
        <v>54555</v>
      </c>
      <c r="C40440" s="2">
        <v>3.4870832848865802E-4</v>
      </c>
      <c r="D40440" s="2">
        <v>3.89978603876598E-4</v>
      </c>
      <c r="E40440" s="2">
        <v>2.79568690027139E-4</v>
      </c>
      <c r="F40440" s="2">
        <v>3.4982680366061898E-4</v>
      </c>
    </row>
    <row r="40441" spans="1:6" x14ac:dyDescent="0.25">
      <c r="A40441" s="1" t="str">
        <f t="shared" si="1435"/>
        <v>99999</v>
      </c>
      <c r="B40441" s="1" t="str">
        <f>"54561"</f>
        <v>54561</v>
      </c>
      <c r="C40441" s="2">
        <v>4.4386965128950601E-6</v>
      </c>
      <c r="D40441" s="2">
        <v>6.0228355811057601E-6</v>
      </c>
      <c r="E40441" s="2">
        <v>4.3010567696482999E-6</v>
      </c>
      <c r="F40441" s="2">
        <v>4.5393604988401904E-6</v>
      </c>
    </row>
    <row r="40442" spans="1:6" x14ac:dyDescent="0.25">
      <c r="A40442" s="1" t="str">
        <f t="shared" si="1435"/>
        <v>99999</v>
      </c>
      <c r="B40442" s="1" t="str">
        <f>"54529"</f>
        <v>54529</v>
      </c>
      <c r="C40442" s="2">
        <v>1.03389150483287E-4</v>
      </c>
      <c r="D40442" s="2">
        <v>2.25856334291466E-5</v>
      </c>
      <c r="E40442" s="2">
        <v>1.72042270785932E-5</v>
      </c>
      <c r="F40442" s="2">
        <v>9.6116024475442302E-5</v>
      </c>
    </row>
    <row r="40443" spans="1:6" x14ac:dyDescent="0.25">
      <c r="A40443" s="1" t="str">
        <f t="shared" si="1435"/>
        <v>99999</v>
      </c>
      <c r="B40443" s="1" t="str">
        <f>"57325"</f>
        <v>57325</v>
      </c>
      <c r="C40443" s="2">
        <v>2.1305743261896301E-4</v>
      </c>
      <c r="D40443" s="2">
        <v>5.2398669555620101E-4</v>
      </c>
      <c r="E40443" s="2">
        <v>3.91396166037995E-4</v>
      </c>
      <c r="F40443" s="2">
        <v>2.3752697218931099E-4</v>
      </c>
    </row>
    <row r="40444" spans="1:6" x14ac:dyDescent="0.25">
      <c r="A40444" s="1" t="str">
        <f t="shared" si="1435"/>
        <v>99999</v>
      </c>
      <c r="B40444" s="1" t="str">
        <f>"57212"</f>
        <v>57212</v>
      </c>
      <c r="C40444" s="2">
        <v>8.0004798122669505E-5</v>
      </c>
      <c r="D40444" s="2">
        <v>2.25856334291466E-5</v>
      </c>
      <c r="E40444" s="2">
        <v>1.5913910047698701E-4</v>
      </c>
      <c r="F40444" s="2">
        <v>7.8057264230056294E-5</v>
      </c>
    </row>
    <row r="40445" spans="1:6" x14ac:dyDescent="0.25">
      <c r="A40445" s="1" t="str">
        <f t="shared" si="1435"/>
        <v>99999</v>
      </c>
      <c r="B40445" s="1" t="str">
        <f>"57356"</f>
        <v>57356</v>
      </c>
      <c r="C40445" s="2">
        <v>6.3332620976673399E-5</v>
      </c>
      <c r="D40445" s="2">
        <v>1.80685067433172E-5</v>
      </c>
      <c r="E40445" s="2">
        <v>2.58063406178898E-5</v>
      </c>
      <c r="F40445" s="2">
        <v>5.9505095234796402E-5</v>
      </c>
    </row>
    <row r="40446" spans="1:6" x14ac:dyDescent="0.25">
      <c r="A40446" s="1" t="str">
        <f t="shared" si="1435"/>
        <v>99999</v>
      </c>
      <c r="B40446" s="1" t="str">
        <f>"57367"</f>
        <v>57367</v>
      </c>
      <c r="C40446" s="2">
        <v>1.08260890558416E-5</v>
      </c>
      <c r="D40446" s="2">
        <v>3.01141779055288E-5</v>
      </c>
      <c r="E40446" s="2">
        <v>4.3010567696482999E-6</v>
      </c>
      <c r="F40446" s="2">
        <v>1.19404917469492E-5</v>
      </c>
    </row>
    <row r="40447" spans="1:6" x14ac:dyDescent="0.25">
      <c r="A40447" s="1" t="str">
        <f t="shared" si="1435"/>
        <v>99999</v>
      </c>
      <c r="B40447" s="1" t="str">
        <f>"57062"</f>
        <v>57062</v>
      </c>
      <c r="C40447" s="2">
        <v>6.5930882350075397E-5</v>
      </c>
      <c r="D40447" s="2">
        <v>2.55970512196994E-5</v>
      </c>
      <c r="E40447" s="2">
        <v>1.41934873398393E-4</v>
      </c>
      <c r="F40447" s="2">
        <v>6.5031273233384494E-5</v>
      </c>
    </row>
    <row r="40448" spans="1:6" x14ac:dyDescent="0.25">
      <c r="A40448" s="1" t="str">
        <f t="shared" si="1435"/>
        <v>99999</v>
      </c>
      <c r="B40448" s="1" t="str">
        <f>"57270"</f>
        <v>57270</v>
      </c>
      <c r="C40448" s="2">
        <v>3.4318702307017899E-5</v>
      </c>
      <c r="D40448" s="2">
        <v>3.01141779055288E-6</v>
      </c>
      <c r="E40448" s="2">
        <v>4.3010567696482999E-5</v>
      </c>
      <c r="F40448" s="2">
        <v>3.2466295741704798E-5</v>
      </c>
    </row>
    <row r="40449" spans="1:6" x14ac:dyDescent="0.25">
      <c r="A40449" s="1" t="str">
        <f t="shared" si="1435"/>
        <v>99999</v>
      </c>
      <c r="B40449" s="1" t="str">
        <f>"57345"</f>
        <v>57345</v>
      </c>
      <c r="C40449" s="2">
        <v>4.4928269581742699E-5</v>
      </c>
      <c r="D40449" s="2">
        <v>2.7102760114975901E-5</v>
      </c>
      <c r="E40449" s="2">
        <v>2.15052838482415E-5</v>
      </c>
      <c r="F40449" s="2">
        <v>4.3222606488956597E-5</v>
      </c>
    </row>
    <row r="40450" spans="1:6" x14ac:dyDescent="0.25">
      <c r="A40450" s="1" t="str">
        <f t="shared" si="1435"/>
        <v>99999</v>
      </c>
      <c r="B40450" s="1" t="str">
        <f>"57273"</f>
        <v>57273</v>
      </c>
      <c r="C40450" s="2">
        <v>5.9976533369362501E-5</v>
      </c>
      <c r="D40450" s="2">
        <v>2.7102760114975901E-5</v>
      </c>
      <c r="E40450" s="2">
        <v>1.29031703089449E-5</v>
      </c>
      <c r="F40450" s="2">
        <v>5.6742006235502403E-5</v>
      </c>
    </row>
    <row r="40451" spans="1:6" x14ac:dyDescent="0.25">
      <c r="A40451" s="1" t="str">
        <f t="shared" si="1435"/>
        <v>99999</v>
      </c>
      <c r="B40451" s="1" t="str">
        <f>"56382"</f>
        <v>56382</v>
      </c>
      <c r="C40451" s="2">
        <v>7.03695788629705E-5</v>
      </c>
      <c r="D40451" s="2">
        <v>6.0228355811057601E-6</v>
      </c>
      <c r="E40451" s="2">
        <v>1.29031703089449E-5</v>
      </c>
      <c r="F40451" s="2">
        <v>6.48339097334349E-5</v>
      </c>
    </row>
    <row r="40452" spans="1:6" x14ac:dyDescent="0.25">
      <c r="A40452" s="1" t="str">
        <f t="shared" si="1435"/>
        <v>99999</v>
      </c>
      <c r="B40452" s="1" t="str">
        <f>"56446"</f>
        <v>56446</v>
      </c>
      <c r="C40452" s="2">
        <v>7.5890884281449694E-5</v>
      </c>
      <c r="D40452" s="2">
        <v>4.2159849067740298E-5</v>
      </c>
      <c r="E40452" s="2">
        <v>5.1612681235779599E-5</v>
      </c>
      <c r="F40452" s="2">
        <v>7.3123176731316997E-5</v>
      </c>
    </row>
    <row r="40453" spans="1:6" x14ac:dyDescent="0.25">
      <c r="A40453" s="1" t="str">
        <f t="shared" si="1435"/>
        <v>99999</v>
      </c>
      <c r="B40453" s="1" t="str">
        <f>"56469"</f>
        <v>56469</v>
      </c>
      <c r="C40453" s="2">
        <v>7.3184362017489305E-5</v>
      </c>
      <c r="D40453" s="2">
        <v>6.0228355811057601E-6</v>
      </c>
      <c r="E40453" s="2">
        <v>4.3010567696482999E-6</v>
      </c>
      <c r="F40453" s="2">
        <v>6.7202271732829798E-5</v>
      </c>
    </row>
    <row r="40454" spans="1:6" x14ac:dyDescent="0.25">
      <c r="A40454" s="1" t="str">
        <f t="shared" ref="A40454:A40517" si="1436">"99999"</f>
        <v>99999</v>
      </c>
      <c r="B40454" s="1" t="str">
        <f>"56434"</f>
        <v>56434</v>
      </c>
      <c r="C40454" s="2">
        <v>8.8773930257901203E-6</v>
      </c>
      <c r="D40454" s="2">
        <v>7.5285444763821999E-6</v>
      </c>
      <c r="E40454" s="2">
        <v>8.6021135392965999E-6</v>
      </c>
      <c r="F40454" s="2">
        <v>8.7826757477560201E-6</v>
      </c>
    </row>
    <row r="40455" spans="1:6" x14ac:dyDescent="0.25">
      <c r="A40455" s="1" t="str">
        <f t="shared" si="1436"/>
        <v>99999</v>
      </c>
      <c r="B40455" s="1" t="str">
        <f>"56623"</f>
        <v>56623</v>
      </c>
      <c r="C40455" s="2">
        <v>1.9573569012961599E-4</v>
      </c>
      <c r="D40455" s="2">
        <v>1.47559471737091E-4</v>
      </c>
      <c r="E40455" s="2">
        <v>1.8494544109487701E-4</v>
      </c>
      <c r="F40455" s="2">
        <v>1.92330730700859E-4</v>
      </c>
    </row>
    <row r="40456" spans="1:6" x14ac:dyDescent="0.25">
      <c r="A40456" s="1" t="str">
        <f t="shared" si="1436"/>
        <v>99999</v>
      </c>
      <c r="B40456" s="1" t="str">
        <f>"56678"</f>
        <v>56678</v>
      </c>
      <c r="C40456" s="2">
        <v>2.3492613251176299E-5</v>
      </c>
      <c r="D40456" s="2">
        <v>1.50570889527644E-6</v>
      </c>
      <c r="E40456" s="2">
        <v>4.3010567696482999E-6</v>
      </c>
      <c r="F40456" s="2">
        <v>2.1611303244478299E-5</v>
      </c>
    </row>
    <row r="40457" spans="1:6" x14ac:dyDescent="0.25">
      <c r="A40457" s="1" t="str">
        <f t="shared" si="1436"/>
        <v>99999</v>
      </c>
      <c r="B40457" s="1" t="str">
        <f>"56482"</f>
        <v>56482</v>
      </c>
      <c r="C40457" s="2">
        <v>3.0399658068803201E-4</v>
      </c>
      <c r="D40457" s="2">
        <v>5.5410087346173E-4</v>
      </c>
      <c r="E40457" s="2">
        <v>7.1827648053126604E-4</v>
      </c>
      <c r="F40457" s="2">
        <v>3.2989309016571202E-4</v>
      </c>
    </row>
    <row r="40458" spans="1:6" x14ac:dyDescent="0.25">
      <c r="A40458" s="1" t="str">
        <f t="shared" si="1436"/>
        <v>99999</v>
      </c>
      <c r="B40458" s="1" t="str">
        <f>"56686"</f>
        <v>56686</v>
      </c>
      <c r="C40458" s="2">
        <v>6.5606099678400105E-5</v>
      </c>
      <c r="D40458" s="2">
        <v>6.0228355811057601E-6</v>
      </c>
      <c r="E40458" s="2">
        <v>4.3010567696482999E-6</v>
      </c>
      <c r="F40458" s="2">
        <v>6.0294549234594703E-5</v>
      </c>
    </row>
    <row r="40459" spans="1:6" x14ac:dyDescent="0.25">
      <c r="A40459" s="1" t="str">
        <f t="shared" si="1436"/>
        <v>99999</v>
      </c>
      <c r="B40459" s="1" t="str">
        <f>"56590"</f>
        <v>56590</v>
      </c>
      <c r="C40459" s="2">
        <v>1.85126122854891E-5</v>
      </c>
      <c r="D40459" s="2">
        <v>9.0342533716586405E-6</v>
      </c>
      <c r="E40459" s="2">
        <v>4.3010567696482999E-6</v>
      </c>
      <c r="F40459" s="2">
        <v>1.7565351495512E-5</v>
      </c>
    </row>
    <row r="40460" spans="1:6" x14ac:dyDescent="0.25">
      <c r="A40460" s="1" t="str">
        <f t="shared" si="1436"/>
        <v>99999</v>
      </c>
      <c r="B40460" s="1" t="str">
        <f>"56757"</f>
        <v>56757</v>
      </c>
      <c r="C40460" s="2">
        <v>3.9190442382146597E-5</v>
      </c>
      <c r="D40460" s="2">
        <v>1.20456711622115E-5</v>
      </c>
      <c r="E40460" s="2">
        <v>4.7311624466131299E-5</v>
      </c>
      <c r="F40460" s="2">
        <v>3.7597746740393702E-5</v>
      </c>
    </row>
    <row r="40461" spans="1:6" x14ac:dyDescent="0.25">
      <c r="A40461" s="1" t="str">
        <f t="shared" si="1436"/>
        <v>99999</v>
      </c>
      <c r="B40461" s="1" t="str">
        <f>"56673"</f>
        <v>56673</v>
      </c>
      <c r="C40461" s="2">
        <v>4.1896964646106998E-5</v>
      </c>
      <c r="D40461" s="2">
        <v>6.0228355811057601E-6</v>
      </c>
      <c r="E40461" s="2">
        <v>2.15052838482415E-5</v>
      </c>
      <c r="F40461" s="2">
        <v>3.9077972990015501E-5</v>
      </c>
    </row>
    <row r="40462" spans="1:6" x14ac:dyDescent="0.25">
      <c r="A40462" s="1" t="str">
        <f t="shared" si="1436"/>
        <v>99999</v>
      </c>
      <c r="B40462" s="1" t="str">
        <f>"56516"</f>
        <v>56516</v>
      </c>
      <c r="C40462" s="2">
        <v>1.24500024142178E-5</v>
      </c>
      <c r="D40462" s="2">
        <v>6.0228355811057601E-6</v>
      </c>
      <c r="E40462" s="2">
        <v>8.6021135392965999E-6</v>
      </c>
      <c r="F40462" s="2">
        <v>1.19404917469492E-5</v>
      </c>
    </row>
    <row r="40463" spans="1:6" x14ac:dyDescent="0.25">
      <c r="A40463" s="1" t="str">
        <f t="shared" si="1436"/>
        <v>99999</v>
      </c>
      <c r="B40463" s="1" t="str">
        <f>"56733"</f>
        <v>56733</v>
      </c>
      <c r="C40463" s="2">
        <v>1.9162177628839599E-5</v>
      </c>
      <c r="D40463" s="2">
        <v>3.01141779055288E-6</v>
      </c>
      <c r="E40463" s="2">
        <v>1.29031703089449E-5</v>
      </c>
      <c r="F40463" s="2">
        <v>1.79600784954111E-5</v>
      </c>
    </row>
    <row r="40464" spans="1:6" x14ac:dyDescent="0.25">
      <c r="A40464" s="1" t="str">
        <f t="shared" si="1436"/>
        <v>99999</v>
      </c>
      <c r="B40464" s="1" t="str">
        <f>"56081"</f>
        <v>56081</v>
      </c>
      <c r="C40464" s="2">
        <v>3.04646146031383E-4</v>
      </c>
      <c r="D40464" s="2">
        <v>3.58358717075792E-4</v>
      </c>
      <c r="E40464" s="2">
        <v>3.7849299572905002E-4</v>
      </c>
      <c r="F40464" s="2">
        <v>3.0986069492082999E-4</v>
      </c>
    </row>
    <row r="40465" spans="1:6" x14ac:dyDescent="0.25">
      <c r="A40465" s="1" t="str">
        <f t="shared" si="1436"/>
        <v>99999</v>
      </c>
      <c r="B40465" s="1" t="str">
        <f>"56170"</f>
        <v>56170</v>
      </c>
      <c r="C40465" s="2">
        <v>2.84726142168634E-5</v>
      </c>
      <c r="D40465" s="2">
        <v>1.35513800574879E-5</v>
      </c>
      <c r="E40465" s="2">
        <v>0</v>
      </c>
      <c r="F40465" s="2">
        <v>2.6841435993142E-5</v>
      </c>
    </row>
    <row r="40466" spans="1:6" x14ac:dyDescent="0.25">
      <c r="A40466" s="1" t="str">
        <f t="shared" si="1436"/>
        <v>99999</v>
      </c>
      <c r="B40466" s="1" t="str">
        <f>"56223"</f>
        <v>56223</v>
      </c>
      <c r="C40466" s="2">
        <v>7.3617405579722906E-5</v>
      </c>
      <c r="D40466" s="2">
        <v>7.2274026973269097E-5</v>
      </c>
      <c r="E40466" s="2">
        <v>7.3117965084021106E-5</v>
      </c>
      <c r="F40466" s="2">
        <v>7.3517903731216104E-5</v>
      </c>
    </row>
    <row r="40467" spans="1:6" x14ac:dyDescent="0.25">
      <c r="A40467" s="1" t="str">
        <f t="shared" si="1436"/>
        <v>99999</v>
      </c>
      <c r="B40467" s="1" t="str">
        <f>"56248"</f>
        <v>56248</v>
      </c>
      <c r="C40467" s="2">
        <v>2.9880005794122799E-5</v>
      </c>
      <c r="D40467" s="2">
        <v>1.0539962266935E-5</v>
      </c>
      <c r="E40467" s="2">
        <v>3.01073973875381E-5</v>
      </c>
      <c r="F40467" s="2">
        <v>2.8617707492688099E-5</v>
      </c>
    </row>
    <row r="40468" spans="1:6" x14ac:dyDescent="0.25">
      <c r="A40468" s="1" t="str">
        <f t="shared" si="1436"/>
        <v>99999</v>
      </c>
      <c r="B40468" s="1" t="str">
        <f>"56271"</f>
        <v>56271</v>
      </c>
      <c r="C40468" s="2">
        <v>6.3440881867231802E-5</v>
      </c>
      <c r="D40468" s="2">
        <v>5.4205520229951803E-5</v>
      </c>
      <c r="E40468" s="2">
        <v>8.6021135392965999E-5</v>
      </c>
      <c r="F40468" s="2">
        <v>6.33536834838131E-5</v>
      </c>
    </row>
    <row r="40469" spans="1:6" x14ac:dyDescent="0.25">
      <c r="A40469" s="1" t="str">
        <f t="shared" si="1436"/>
        <v>99999</v>
      </c>
      <c r="B40469" s="1" t="str">
        <f>"56245"</f>
        <v>56245</v>
      </c>
      <c r="C40469" s="2">
        <v>2.1219134549449501E-5</v>
      </c>
      <c r="D40469" s="2">
        <v>2.1079924533870101E-5</v>
      </c>
      <c r="E40469" s="2">
        <v>1.72042270785932E-5</v>
      </c>
      <c r="F40469" s="2">
        <v>2.11178944946043E-5</v>
      </c>
    </row>
    <row r="40470" spans="1:6" x14ac:dyDescent="0.25">
      <c r="A40470" s="1" t="str">
        <f t="shared" si="1436"/>
        <v>99999</v>
      </c>
      <c r="B40470" s="1" t="str">
        <f>"55339"</f>
        <v>55339</v>
      </c>
      <c r="C40470" s="2">
        <v>3.5726093884277301E-6</v>
      </c>
      <c r="D40470" s="2">
        <v>1.50570889527644E-6</v>
      </c>
      <c r="E40470" s="2">
        <v>0</v>
      </c>
      <c r="F40470" s="2">
        <v>3.35517949914275E-6</v>
      </c>
    </row>
    <row r="40471" spans="1:6" x14ac:dyDescent="0.25">
      <c r="A40471" s="1" t="str">
        <f t="shared" si="1436"/>
        <v>99999</v>
      </c>
      <c r="B40471" s="1" t="str">
        <f>"57638"</f>
        <v>57638</v>
      </c>
      <c r="C40471" s="2">
        <v>1.2893872065507299E-4</v>
      </c>
      <c r="D40471" s="2">
        <v>2.1682208091980699E-4</v>
      </c>
      <c r="E40471" s="2">
        <v>1.4623593016804199E-4</v>
      </c>
      <c r="F40471" s="2">
        <v>1.3509531571548301E-4</v>
      </c>
    </row>
    <row r="40472" spans="1:6" x14ac:dyDescent="0.25">
      <c r="A40472" s="1" t="str">
        <f t="shared" si="1436"/>
        <v>99999</v>
      </c>
      <c r="B40472" s="1" t="str">
        <f>"57450"</f>
        <v>57450</v>
      </c>
      <c r="C40472" s="2">
        <v>3.2694788948641601E-5</v>
      </c>
      <c r="D40472" s="2">
        <v>3.01141779055288E-6</v>
      </c>
      <c r="E40472" s="2">
        <v>2.15052838482415E-5</v>
      </c>
      <c r="F40472" s="2">
        <v>3.0492660742209101E-5</v>
      </c>
    </row>
    <row r="40473" spans="1:6" x14ac:dyDescent="0.25">
      <c r="A40473" s="1" t="str">
        <f t="shared" si="1436"/>
        <v>99999</v>
      </c>
      <c r="B40473" s="1" t="str">
        <f>"47987"</f>
        <v>47987</v>
      </c>
      <c r="C40473" s="2">
        <v>1.9974134308027699E-4</v>
      </c>
      <c r="D40473" s="2">
        <v>1.76167940747343E-4</v>
      </c>
      <c r="E40473" s="2">
        <v>9.0322192162614306E-5</v>
      </c>
      <c r="F40473" s="2">
        <v>1.9568591020000201E-4</v>
      </c>
    </row>
    <row r="40474" spans="1:6" x14ac:dyDescent="0.25">
      <c r="A40474" s="1" t="str">
        <f t="shared" si="1436"/>
        <v>99999</v>
      </c>
      <c r="B40474" s="1" t="str">
        <f>"47348"</f>
        <v>47348</v>
      </c>
      <c r="C40474" s="2">
        <v>5.5960054329645301E-4</v>
      </c>
      <c r="D40474" s="2">
        <v>5.6162941793811197E-4</v>
      </c>
      <c r="E40474" s="2">
        <v>4.5591201758272E-4</v>
      </c>
      <c r="F40474" s="2">
        <v>5.5735452385759503E-4</v>
      </c>
    </row>
    <row r="40475" spans="1:6" x14ac:dyDescent="0.25">
      <c r="A40475" s="1" t="str">
        <f t="shared" si="1436"/>
        <v>99999</v>
      </c>
      <c r="B40475" s="1" t="str">
        <f>"47454"</f>
        <v>47454</v>
      </c>
      <c r="C40475" s="2">
        <v>4.5350487054920502E-4</v>
      </c>
      <c r="D40475" s="2">
        <v>6.4293769828304001E-4</v>
      </c>
      <c r="E40475" s="2">
        <v>4.1290144988623701E-4</v>
      </c>
      <c r="F40475" s="2">
        <v>4.6498840588119497E-4</v>
      </c>
    </row>
    <row r="40476" spans="1:6" x14ac:dyDescent="0.25">
      <c r="A40476" s="1" t="str">
        <f t="shared" si="1436"/>
        <v>99999</v>
      </c>
      <c r="B40476" s="1" t="str">
        <f>"47336"</f>
        <v>47336</v>
      </c>
      <c r="C40476" s="2">
        <v>1.8177003524757999E-4</v>
      </c>
      <c r="D40476" s="2">
        <v>1.7315652295679001E-4</v>
      </c>
      <c r="E40476" s="2">
        <v>1.07526419241207E-4</v>
      </c>
      <c r="F40476" s="2">
        <v>1.79502103204137E-4</v>
      </c>
    </row>
    <row r="40477" spans="1:6" x14ac:dyDescent="0.25">
      <c r="A40477" s="1" t="str">
        <f t="shared" si="1436"/>
        <v>99999</v>
      </c>
      <c r="B40477" s="1" t="str">
        <f>"47523"</f>
        <v>47523</v>
      </c>
      <c r="C40477" s="2">
        <v>2.11758301932262E-4</v>
      </c>
      <c r="D40477" s="2">
        <v>1.34008091679603E-4</v>
      </c>
      <c r="E40477" s="2">
        <v>9.0322192162614306E-5</v>
      </c>
      <c r="F40477" s="2">
        <v>2.0387649544790899E-4</v>
      </c>
    </row>
    <row r="40478" spans="1:6" x14ac:dyDescent="0.25">
      <c r="A40478" s="1" t="str">
        <f t="shared" si="1436"/>
        <v>99999</v>
      </c>
      <c r="B40478" s="1" t="str">
        <f>"47449"</f>
        <v>47449</v>
      </c>
      <c r="C40478" s="2">
        <v>4.5577834925093202E-5</v>
      </c>
      <c r="D40478" s="2">
        <v>2.8608469010252301E-5</v>
      </c>
      <c r="E40478" s="2">
        <v>8.6021135392965999E-6</v>
      </c>
      <c r="F40478" s="2">
        <v>4.3617333488855698E-5</v>
      </c>
    </row>
    <row r="40479" spans="1:6" x14ac:dyDescent="0.25">
      <c r="A40479" s="1" t="str">
        <f t="shared" si="1436"/>
        <v>99999</v>
      </c>
      <c r="B40479" s="1" t="str">
        <f>"47562"</f>
        <v>47562</v>
      </c>
      <c r="C40479" s="2">
        <v>2.2734787017267302E-6</v>
      </c>
      <c r="D40479" s="2">
        <v>0</v>
      </c>
      <c r="E40479" s="2">
        <v>0</v>
      </c>
      <c r="F40479" s="2">
        <v>2.0723167494705202E-6</v>
      </c>
    </row>
    <row r="40480" spans="1:6" x14ac:dyDescent="0.25">
      <c r="A40480" s="1" t="str">
        <f t="shared" si="1436"/>
        <v>99999</v>
      </c>
      <c r="B40480" s="1" t="str">
        <f>"47550"</f>
        <v>47550</v>
      </c>
      <c r="C40480" s="2">
        <v>3.2911310729758503E-5</v>
      </c>
      <c r="D40480" s="2">
        <v>1.20456711622115E-5</v>
      </c>
      <c r="E40480" s="2">
        <v>4.3010567696482999E-6</v>
      </c>
      <c r="F40480" s="2">
        <v>3.0887387742108201E-5</v>
      </c>
    </row>
    <row r="40481" spans="1:6" x14ac:dyDescent="0.25">
      <c r="A40481" s="1" t="str">
        <f t="shared" si="1436"/>
        <v>99999</v>
      </c>
      <c r="B40481" s="1" t="str">
        <f>"47952"</f>
        <v>47952</v>
      </c>
      <c r="C40481" s="2">
        <v>1.20602632082075E-4</v>
      </c>
      <c r="D40481" s="2">
        <v>2.8608469010252301E-5</v>
      </c>
      <c r="E40481" s="2">
        <v>3.44084541571864E-5</v>
      </c>
      <c r="F40481" s="2">
        <v>1.12595876721231E-4</v>
      </c>
    </row>
    <row r="40482" spans="1:6" x14ac:dyDescent="0.25">
      <c r="A40482" s="1" t="str">
        <f t="shared" si="1436"/>
        <v>99999</v>
      </c>
      <c r="B40482" s="1" t="str">
        <f>"47957"</f>
        <v>47957</v>
      </c>
      <c r="C40482" s="2">
        <v>8.2386537714954696E-5</v>
      </c>
      <c r="D40482" s="2">
        <v>2.25856334291466E-5</v>
      </c>
      <c r="E40482" s="2">
        <v>1.72042270785932E-5</v>
      </c>
      <c r="F40482" s="2">
        <v>7.6971764980333696E-5</v>
      </c>
    </row>
    <row r="40483" spans="1:6" x14ac:dyDescent="0.25">
      <c r="A40483" s="1" t="str">
        <f t="shared" si="1436"/>
        <v>99999</v>
      </c>
      <c r="B40483" s="1" t="str">
        <f>"47960"</f>
        <v>47960</v>
      </c>
      <c r="C40483" s="2">
        <v>7.8467493476739995E-4</v>
      </c>
      <c r="D40483" s="2">
        <v>1.00581354204466E-3</v>
      </c>
      <c r="E40483" s="2">
        <v>7.9569550238493499E-4</v>
      </c>
      <c r="F40483" s="2">
        <v>7.99420856545747E-4</v>
      </c>
    </row>
    <row r="40484" spans="1:6" x14ac:dyDescent="0.25">
      <c r="A40484" s="1" t="str">
        <f t="shared" si="1436"/>
        <v>99999</v>
      </c>
      <c r="B40484" s="1" t="str">
        <f>"47576"</f>
        <v>47576</v>
      </c>
      <c r="C40484" s="2">
        <v>2.9013918669655499E-5</v>
      </c>
      <c r="D40484" s="2">
        <v>1.0539962266935E-5</v>
      </c>
      <c r="E40484" s="2">
        <v>1.29031703089449E-5</v>
      </c>
      <c r="F40484" s="2">
        <v>2.7433526492990701E-5</v>
      </c>
    </row>
    <row r="40485" spans="1:6" x14ac:dyDescent="0.25">
      <c r="A40485" s="1" t="str">
        <f t="shared" si="1436"/>
        <v>99999</v>
      </c>
      <c r="B40485" s="1" t="str">
        <f>"48897"</f>
        <v>48897</v>
      </c>
      <c r="C40485" s="2">
        <v>6.65804476934259E-5</v>
      </c>
      <c r="D40485" s="2">
        <v>3.01141779055288E-5</v>
      </c>
      <c r="E40485" s="2">
        <v>8.6021135392965999E-6</v>
      </c>
      <c r="F40485" s="2">
        <v>6.2860274733939094E-5</v>
      </c>
    </row>
    <row r="40486" spans="1:6" x14ac:dyDescent="0.25">
      <c r="A40486" s="1" t="str">
        <f t="shared" si="1436"/>
        <v>99999</v>
      </c>
      <c r="B40486" s="1" t="str">
        <f>"48471"</f>
        <v>48471</v>
      </c>
      <c r="C40486" s="2">
        <v>2.86999620870361E-4</v>
      </c>
      <c r="D40486" s="2">
        <v>6.4444340717831599E-4</v>
      </c>
      <c r="E40486" s="2">
        <v>4.9892258527920298E-4</v>
      </c>
      <c r="F40486" s="2">
        <v>3.1528819116944301E-4</v>
      </c>
    </row>
    <row r="40487" spans="1:6" x14ac:dyDescent="0.25">
      <c r="A40487" s="1" t="str">
        <f t="shared" si="1436"/>
        <v>99999</v>
      </c>
      <c r="B40487" s="1" t="str">
        <f>"48464"</f>
        <v>48464</v>
      </c>
      <c r="C40487" s="2">
        <v>1.78630469421386E-5</v>
      </c>
      <c r="D40487" s="2">
        <v>1.50570889527644E-6</v>
      </c>
      <c r="E40487" s="2">
        <v>8.6021135392965999E-6</v>
      </c>
      <c r="F40487" s="2">
        <v>1.65785339957641E-5</v>
      </c>
    </row>
    <row r="40488" spans="1:6" x14ac:dyDescent="0.25">
      <c r="A40488" s="1" t="str">
        <f t="shared" si="1436"/>
        <v>99999</v>
      </c>
      <c r="B40488" s="1" t="str">
        <f>"48757"</f>
        <v>48757</v>
      </c>
      <c r="C40488" s="2">
        <v>1.5275611657792501E-4</v>
      </c>
      <c r="D40488" s="2">
        <v>9.7871078192968605E-5</v>
      </c>
      <c r="E40488" s="2">
        <v>9.0322192162614306E-5</v>
      </c>
      <c r="F40488" s="2">
        <v>1.4772657971225499E-4</v>
      </c>
    </row>
    <row r="40489" spans="1:6" x14ac:dyDescent="0.25">
      <c r="A40489" s="1" t="str">
        <f t="shared" si="1436"/>
        <v>99999</v>
      </c>
      <c r="B40489" s="1" t="str">
        <f>"48636"</f>
        <v>48636</v>
      </c>
      <c r="C40489" s="2">
        <v>6.5281317006724894E-5</v>
      </c>
      <c r="D40489" s="2">
        <v>1.80685067433172E-5</v>
      </c>
      <c r="E40489" s="2">
        <v>0</v>
      </c>
      <c r="F40489" s="2">
        <v>6.0689276234493797E-5</v>
      </c>
    </row>
    <row r="40490" spans="1:6" x14ac:dyDescent="0.25">
      <c r="A40490" s="1" t="str">
        <f t="shared" si="1436"/>
        <v>99999</v>
      </c>
      <c r="B40490" s="1" t="str">
        <f>"48705"</f>
        <v>48705</v>
      </c>
      <c r="C40490" s="2">
        <v>4.8067835407936702E-5</v>
      </c>
      <c r="D40490" s="2">
        <v>1.0539962266935E-5</v>
      </c>
      <c r="E40490" s="2">
        <v>0</v>
      </c>
      <c r="F40490" s="2">
        <v>4.4505469238628803E-5</v>
      </c>
    </row>
    <row r="40491" spans="1:6" x14ac:dyDescent="0.25">
      <c r="A40491" s="1" t="str">
        <f t="shared" si="1436"/>
        <v>99999</v>
      </c>
      <c r="B40491" s="1" t="str">
        <f>"48759"</f>
        <v>48759</v>
      </c>
      <c r="C40491" s="2">
        <v>1.97792647050226E-4</v>
      </c>
      <c r="D40491" s="2">
        <v>2.4844196772061199E-4</v>
      </c>
      <c r="E40491" s="2">
        <v>1.4623593016804199E-4</v>
      </c>
      <c r="F40491" s="2">
        <v>1.99929225448918E-4</v>
      </c>
    </row>
    <row r="40492" spans="1:6" x14ac:dyDescent="0.25">
      <c r="A40492" s="1" t="str">
        <f t="shared" si="1436"/>
        <v>99999</v>
      </c>
      <c r="B40492" s="1" t="str">
        <f>"48740"</f>
        <v>48740</v>
      </c>
      <c r="C40492" s="2">
        <v>1.7494959914240001E-4</v>
      </c>
      <c r="D40492" s="2">
        <v>1.0991674935517999E-4</v>
      </c>
      <c r="E40492" s="2">
        <v>5.1612681235779599E-5</v>
      </c>
      <c r="F40492" s="2">
        <v>1.6785765670711199E-4</v>
      </c>
    </row>
    <row r="40493" spans="1:6" x14ac:dyDescent="0.25">
      <c r="A40493" s="1" t="str">
        <f t="shared" si="1436"/>
        <v>99999</v>
      </c>
      <c r="B40493" s="1" t="str">
        <f>"48737"</f>
        <v>48737</v>
      </c>
      <c r="C40493" s="2">
        <v>1.2374219790826899E-4</v>
      </c>
      <c r="D40493" s="2">
        <v>6.6251191392163294E-5</v>
      </c>
      <c r="E40493" s="2">
        <v>8.6021135392965999E-6</v>
      </c>
      <c r="F40493" s="2">
        <v>1.17332600720021E-4</v>
      </c>
    </row>
    <row r="40494" spans="1:6" x14ac:dyDescent="0.25">
      <c r="A40494" s="1" t="str">
        <f t="shared" si="1436"/>
        <v>99999</v>
      </c>
      <c r="B40494" s="1" t="str">
        <f>"48765"</f>
        <v>48765</v>
      </c>
      <c r="C40494" s="2">
        <v>5.42387061697665E-5</v>
      </c>
      <c r="D40494" s="2">
        <v>1.0539962266935E-5</v>
      </c>
      <c r="E40494" s="2">
        <v>0</v>
      </c>
      <c r="F40494" s="2">
        <v>5.0130328987191699E-5</v>
      </c>
    </row>
    <row r="40495" spans="1:6" x14ac:dyDescent="0.25">
      <c r="A40495" s="1" t="str">
        <f t="shared" si="1436"/>
        <v>99999</v>
      </c>
      <c r="B40495" s="1" t="str">
        <f>"48454"</f>
        <v>48454</v>
      </c>
      <c r="C40495" s="2">
        <v>6.3765664538907094E-5</v>
      </c>
      <c r="D40495" s="2">
        <v>1.65627978480408E-5</v>
      </c>
      <c r="E40495" s="2">
        <v>1.29031703089449E-5</v>
      </c>
      <c r="F40495" s="2">
        <v>5.9505095234796402E-5</v>
      </c>
    </row>
    <row r="40496" spans="1:6" x14ac:dyDescent="0.25">
      <c r="A40496" s="1" t="str">
        <f t="shared" si="1436"/>
        <v>99999</v>
      </c>
      <c r="B40496" s="1" t="str">
        <f>"49738"</f>
        <v>49738</v>
      </c>
      <c r="C40496" s="2">
        <v>6.19035772213023E-4</v>
      </c>
      <c r="D40496" s="2">
        <v>6.7004045839801605E-4</v>
      </c>
      <c r="E40496" s="2">
        <v>3.6128876865045701E-4</v>
      </c>
      <c r="F40496" s="2">
        <v>6.1646489209249303E-4</v>
      </c>
    </row>
    <row r="40497" spans="1:6" x14ac:dyDescent="0.25">
      <c r="A40497" s="1" t="str">
        <f t="shared" si="1436"/>
        <v>99999</v>
      </c>
      <c r="B40497" s="1" t="str">
        <f>"49719"</f>
        <v>49719</v>
      </c>
      <c r="C40497" s="2">
        <v>9.3104365880237899E-5</v>
      </c>
      <c r="D40497" s="2">
        <v>5.4205520229951803E-5</v>
      </c>
      <c r="E40497" s="2">
        <v>5.1612681235779599E-5</v>
      </c>
      <c r="F40497" s="2">
        <v>8.9603028977106402E-5</v>
      </c>
    </row>
    <row r="40498" spans="1:6" x14ac:dyDescent="0.25">
      <c r="A40498" s="1" t="str">
        <f t="shared" si="1436"/>
        <v>99999</v>
      </c>
      <c r="B40498" s="1" t="str">
        <f>"49721"</f>
        <v>49721</v>
      </c>
      <c r="C40498" s="2">
        <v>9.2259930933882199E-4</v>
      </c>
      <c r="D40498" s="2">
        <v>9.2450526169973399E-4</v>
      </c>
      <c r="E40498" s="2">
        <v>9.2902826224403295E-4</v>
      </c>
      <c r="F40498" s="2">
        <v>9.2287172576420602E-4</v>
      </c>
    </row>
    <row r="40499" spans="1:6" x14ac:dyDescent="0.25">
      <c r="A40499" s="1" t="str">
        <f t="shared" si="1436"/>
        <v>99999</v>
      </c>
      <c r="B40499" s="1" t="str">
        <f>"49759"</f>
        <v>49759</v>
      </c>
      <c r="C40499" s="2">
        <v>1.4182176663152501E-4</v>
      </c>
      <c r="D40499" s="2">
        <v>2.8608469010252301E-5</v>
      </c>
      <c r="E40499" s="2">
        <v>0</v>
      </c>
      <c r="F40499" s="2">
        <v>1.3114804571649099E-4</v>
      </c>
    </row>
    <row r="40500" spans="1:6" x14ac:dyDescent="0.25">
      <c r="A40500" s="1" t="str">
        <f t="shared" si="1436"/>
        <v>99999</v>
      </c>
      <c r="B40500" s="1" t="str">
        <f>"49660"</f>
        <v>49660</v>
      </c>
      <c r="C40500" s="2">
        <v>7.8640710901633495E-4</v>
      </c>
      <c r="D40500" s="2">
        <v>1.0012964153588301E-3</v>
      </c>
      <c r="E40500" s="2">
        <v>1.0064472840976999E-3</v>
      </c>
      <c r="F40500" s="2">
        <v>8.0553912504418396E-4</v>
      </c>
    </row>
    <row r="40501" spans="1:6" x14ac:dyDescent="0.25">
      <c r="A40501" s="1" t="str">
        <f t="shared" si="1436"/>
        <v>99999</v>
      </c>
      <c r="B40501" s="1" t="str">
        <f>"49781"</f>
        <v>49781</v>
      </c>
      <c r="C40501" s="2">
        <v>2.7855527140680398E-4</v>
      </c>
      <c r="D40501" s="2">
        <v>4.53218377478208E-4</v>
      </c>
      <c r="E40501" s="2">
        <v>4.4730990404342298E-4</v>
      </c>
      <c r="F40501" s="2">
        <v>2.9387425142491503E-4</v>
      </c>
    </row>
    <row r="40502" spans="1:6" x14ac:dyDescent="0.25">
      <c r="A40502" s="1" t="str">
        <f t="shared" si="1436"/>
        <v>99999</v>
      </c>
      <c r="B40502" s="1" t="str">
        <f>"49629"</f>
        <v>49629</v>
      </c>
      <c r="C40502" s="2">
        <v>1.54163508155184E-4</v>
      </c>
      <c r="D40502" s="2">
        <v>2.31879169872571E-4</v>
      </c>
      <c r="E40502" s="2">
        <v>3.39783484802215E-4</v>
      </c>
      <c r="F40502" s="2">
        <v>1.63515659708221E-4</v>
      </c>
    </row>
    <row r="40503" spans="1:6" x14ac:dyDescent="0.25">
      <c r="A40503" s="1" t="str">
        <f t="shared" si="1436"/>
        <v>99999</v>
      </c>
      <c r="B40503" s="1" t="str">
        <f>"49631"</f>
        <v>49631</v>
      </c>
      <c r="C40503" s="2">
        <v>3.1211614747991303E-4</v>
      </c>
      <c r="D40503" s="2">
        <v>1.71650814061514E-4</v>
      </c>
      <c r="E40503" s="2">
        <v>1.11827476010855E-4</v>
      </c>
      <c r="F40503" s="2">
        <v>2.9831493017378E-4</v>
      </c>
    </row>
    <row r="40504" spans="1:6" x14ac:dyDescent="0.25">
      <c r="A40504" s="1" t="str">
        <f t="shared" si="1436"/>
        <v>99999</v>
      </c>
      <c r="B40504" s="1" t="str">
        <f>"51201"</f>
        <v>51201</v>
      </c>
      <c r="C40504" s="2">
        <v>3.5011572006591701E-4</v>
      </c>
      <c r="D40504" s="2">
        <v>5.3452665782313604E-4</v>
      </c>
      <c r="E40504" s="2">
        <v>5.6343843682392695E-4</v>
      </c>
      <c r="F40504" s="2">
        <v>3.6709610990620601E-4</v>
      </c>
    </row>
    <row r="40505" spans="1:6" x14ac:dyDescent="0.25">
      <c r="A40505" s="1" t="str">
        <f t="shared" si="1436"/>
        <v>99999</v>
      </c>
      <c r="B40505" s="1" t="str">
        <f>"50851"</f>
        <v>50851</v>
      </c>
      <c r="C40505" s="2">
        <v>1.11725239056285E-4</v>
      </c>
      <c r="D40505" s="2">
        <v>1.6261656068985501E-4</v>
      </c>
      <c r="E40505" s="2">
        <v>1.16128532780504E-4</v>
      </c>
      <c r="F40505" s="2">
        <v>1.15161602220576E-4</v>
      </c>
    </row>
    <row r="40506" spans="1:6" x14ac:dyDescent="0.25">
      <c r="A40506" s="1" t="str">
        <f t="shared" si="1436"/>
        <v>99999</v>
      </c>
      <c r="B40506" s="1" t="str">
        <f>"51028"</f>
        <v>51028</v>
      </c>
      <c r="C40506" s="2">
        <v>9.7759584174249796E-5</v>
      </c>
      <c r="D40506" s="2">
        <v>1.08411040459903E-4</v>
      </c>
      <c r="E40506" s="2">
        <v>3.01073973875381E-5</v>
      </c>
      <c r="F40506" s="2">
        <v>9.6905478475240597E-5</v>
      </c>
    </row>
    <row r="40507" spans="1:6" x14ac:dyDescent="0.25">
      <c r="A40507" s="1" t="str">
        <f t="shared" si="1436"/>
        <v>99999</v>
      </c>
      <c r="B40507" s="1" t="str">
        <f>"52042"</f>
        <v>52042</v>
      </c>
      <c r="C40507" s="2">
        <v>8.6500451556174494E-5</v>
      </c>
      <c r="D40507" s="2">
        <v>6.3239773601610501E-5</v>
      </c>
      <c r="E40507" s="2">
        <v>7.3117965084021106E-5</v>
      </c>
      <c r="F40507" s="2">
        <v>8.4668941478366997E-5</v>
      </c>
    </row>
    <row r="40508" spans="1:6" x14ac:dyDescent="0.25">
      <c r="A40508" s="1" t="str">
        <f t="shared" si="1436"/>
        <v>99999</v>
      </c>
      <c r="B40508" s="1" t="str">
        <f>"51462"</f>
        <v>51462</v>
      </c>
      <c r="C40508" s="2">
        <v>5.90021853543368E-5</v>
      </c>
      <c r="D40508" s="2">
        <v>1.80685067433172E-5</v>
      </c>
      <c r="E40508" s="2">
        <v>4.7311624466131299E-5</v>
      </c>
      <c r="F40508" s="2">
        <v>5.6051233985678898E-5</v>
      </c>
    </row>
    <row r="40509" spans="1:6" x14ac:dyDescent="0.25">
      <c r="A40509" s="1" t="str">
        <f t="shared" si="1436"/>
        <v>99999</v>
      </c>
      <c r="B40509" s="1" t="str">
        <f>"52030"</f>
        <v>52030</v>
      </c>
      <c r="C40509" s="2">
        <v>2.0028264753306899E-5</v>
      </c>
      <c r="D40509" s="2">
        <v>1.50570889527644E-6</v>
      </c>
      <c r="E40509" s="2">
        <v>5.1612681235779599E-5</v>
      </c>
      <c r="F40509" s="2">
        <v>1.95389864950077E-5</v>
      </c>
    </row>
    <row r="40510" spans="1:6" x14ac:dyDescent="0.25">
      <c r="A40510" s="1" t="str">
        <f t="shared" si="1436"/>
        <v>99999</v>
      </c>
      <c r="B40510" s="1" t="str">
        <f>"51466"</f>
        <v>51466</v>
      </c>
      <c r="C40510" s="2">
        <v>5.9326968026011998E-5</v>
      </c>
      <c r="D40510" s="2">
        <v>1.65627978480408E-5</v>
      </c>
      <c r="E40510" s="2">
        <v>4.7311624466131299E-5</v>
      </c>
      <c r="F40510" s="2">
        <v>5.6248597485628397E-5</v>
      </c>
    </row>
    <row r="40511" spans="1:6" x14ac:dyDescent="0.25">
      <c r="A40511" s="1" t="str">
        <f t="shared" si="1436"/>
        <v>99999</v>
      </c>
      <c r="B40511" s="1" t="str">
        <f>"51014"</f>
        <v>51014</v>
      </c>
      <c r="C40511" s="2">
        <v>2.30595696889426E-5</v>
      </c>
      <c r="D40511" s="2">
        <v>0</v>
      </c>
      <c r="E40511" s="2">
        <v>4.3010567696482999E-6</v>
      </c>
      <c r="F40511" s="2">
        <v>2.11178944946043E-5</v>
      </c>
    </row>
    <row r="40512" spans="1:6" x14ac:dyDescent="0.25">
      <c r="A40512" s="1" t="str">
        <f t="shared" si="1436"/>
        <v>99999</v>
      </c>
      <c r="B40512" s="1" t="str">
        <f>"51439"</f>
        <v>51439</v>
      </c>
      <c r="C40512" s="2">
        <v>5.1099140343572402E-5</v>
      </c>
      <c r="D40512" s="2">
        <v>2.25856334291466E-5</v>
      </c>
      <c r="E40512" s="2">
        <v>2.15052838482415E-5</v>
      </c>
      <c r="F40512" s="2">
        <v>4.8551420987595102E-5</v>
      </c>
    </row>
    <row r="40513" spans="1:6" x14ac:dyDescent="0.25">
      <c r="A40513" s="1" t="str">
        <f t="shared" si="1436"/>
        <v>99999</v>
      </c>
      <c r="B40513" s="1" t="str">
        <f>"50841"</f>
        <v>50841</v>
      </c>
      <c r="C40513" s="2">
        <v>1.55462638841885E-4</v>
      </c>
      <c r="D40513" s="2">
        <v>3.0264748795056398E-4</v>
      </c>
      <c r="E40513" s="2">
        <v>2.1505283848241501E-4</v>
      </c>
      <c r="F40513" s="2">
        <v>1.6647611220746501E-4</v>
      </c>
    </row>
    <row r="40514" spans="1:6" x14ac:dyDescent="0.25">
      <c r="A40514" s="1" t="str">
        <f t="shared" si="1436"/>
        <v>99999</v>
      </c>
      <c r="B40514" s="1" t="str">
        <f>"51458"</f>
        <v>51458</v>
      </c>
      <c r="C40514" s="2">
        <v>8.0870885247136801E-5</v>
      </c>
      <c r="D40514" s="2">
        <v>5.4205520229951803E-5</v>
      </c>
      <c r="E40514" s="2">
        <v>9.4623248932262599E-5</v>
      </c>
      <c r="F40514" s="2">
        <v>7.9438808729703303E-5</v>
      </c>
    </row>
    <row r="40515" spans="1:6" x14ac:dyDescent="0.25">
      <c r="A40515" s="1" t="str">
        <f t="shared" si="1436"/>
        <v>99999</v>
      </c>
      <c r="B40515" s="1" t="str">
        <f>"50248"</f>
        <v>50248</v>
      </c>
      <c r="C40515" s="2">
        <v>1.43986984442693E-5</v>
      </c>
      <c r="D40515" s="2">
        <v>6.0228355811057601E-6</v>
      </c>
      <c r="E40515" s="2">
        <v>0</v>
      </c>
      <c r="F40515" s="2">
        <v>1.35193997465457E-5</v>
      </c>
    </row>
    <row r="40516" spans="1:6" x14ac:dyDescent="0.25">
      <c r="A40516" s="1" t="str">
        <f t="shared" si="1436"/>
        <v>99999</v>
      </c>
      <c r="B40516" s="1" t="str">
        <f>"50144"</f>
        <v>50144</v>
      </c>
      <c r="C40516" s="2">
        <v>1.5719481309082E-4</v>
      </c>
      <c r="D40516" s="2">
        <v>2.34890587663124E-4</v>
      </c>
      <c r="E40516" s="2">
        <v>2.6666551971819401E-4</v>
      </c>
      <c r="F40516" s="2">
        <v>1.6479852245789299E-4</v>
      </c>
    </row>
    <row r="40517" spans="1:6" x14ac:dyDescent="0.25">
      <c r="A40517" s="1" t="str">
        <f t="shared" si="1436"/>
        <v>99999</v>
      </c>
      <c r="B40517" s="1" t="str">
        <f>"50540"</f>
        <v>50540</v>
      </c>
      <c r="C40517" s="2">
        <v>5.7161750214843702E-5</v>
      </c>
      <c r="D40517" s="2">
        <v>1.80685067433172E-5</v>
      </c>
      <c r="E40517" s="2">
        <v>3.44084541571864E-5</v>
      </c>
      <c r="F40517" s="2">
        <v>5.40775989861831E-5</v>
      </c>
    </row>
    <row r="40518" spans="1:6" x14ac:dyDescent="0.25">
      <c r="A40518" s="1" t="str">
        <f t="shared" ref="A40518:A40581" si="1437">"99999"</f>
        <v>99999</v>
      </c>
      <c r="B40518" s="1" t="str">
        <f>"50546"</f>
        <v>50546</v>
      </c>
      <c r="C40518" s="2">
        <v>2.2085221673916801E-5</v>
      </c>
      <c r="D40518" s="2">
        <v>4.5171266858293203E-6</v>
      </c>
      <c r="E40518" s="2">
        <v>4.3010567696482999E-6</v>
      </c>
      <c r="F40518" s="2">
        <v>2.0525803994755599E-5</v>
      </c>
    </row>
    <row r="40519" spans="1:6" x14ac:dyDescent="0.25">
      <c r="A40519" s="1" t="str">
        <f t="shared" si="1437"/>
        <v>99999</v>
      </c>
      <c r="B40519" s="1" t="str">
        <f>"50548"</f>
        <v>50548</v>
      </c>
      <c r="C40519" s="2">
        <v>3.0572875493696701E-4</v>
      </c>
      <c r="D40519" s="2">
        <v>5.6915796241449395E-4</v>
      </c>
      <c r="E40519" s="2">
        <v>5.3763209620603697E-4</v>
      </c>
      <c r="F40519" s="2">
        <v>3.28314182166115E-4</v>
      </c>
    </row>
    <row r="40520" spans="1:6" x14ac:dyDescent="0.25">
      <c r="A40520" s="1" t="str">
        <f t="shared" si="1437"/>
        <v>99999</v>
      </c>
      <c r="B40520" s="1" t="str">
        <f>"50628"</f>
        <v>50628</v>
      </c>
      <c r="C40520" s="2">
        <v>6.9611752629061499E-5</v>
      </c>
      <c r="D40520" s="2">
        <v>4.3665557963016701E-5</v>
      </c>
      <c r="E40520" s="2">
        <v>3.44084541571864E-5</v>
      </c>
      <c r="F40520" s="2">
        <v>6.7103589982854994E-5</v>
      </c>
    </row>
    <row r="40521" spans="1:6" x14ac:dyDescent="0.25">
      <c r="A40521" s="1" t="str">
        <f t="shared" si="1437"/>
        <v>99999</v>
      </c>
      <c r="B40521" s="1" t="str">
        <f>"50556"</f>
        <v>50556</v>
      </c>
      <c r="C40521" s="2">
        <v>1.8837394957164399E-5</v>
      </c>
      <c r="D40521" s="2">
        <v>3.01141779055288E-6</v>
      </c>
      <c r="E40521" s="2">
        <v>1.29031703089449E-5</v>
      </c>
      <c r="F40521" s="2">
        <v>1.76640332454868E-5</v>
      </c>
    </row>
    <row r="40522" spans="1:6" x14ac:dyDescent="0.25">
      <c r="A40522" s="1" t="str">
        <f t="shared" si="1437"/>
        <v>99999</v>
      </c>
      <c r="B40522" s="1" t="str">
        <f>"50528"</f>
        <v>50528</v>
      </c>
      <c r="C40522" s="2">
        <v>2.0894351877774301E-5</v>
      </c>
      <c r="D40522" s="2">
        <v>1.0539962266935E-5</v>
      </c>
      <c r="E40522" s="2">
        <v>4.3010567696482999E-6</v>
      </c>
      <c r="F40522" s="2">
        <v>1.9835031744932101E-5</v>
      </c>
    </row>
    <row r="40523" spans="1:6" x14ac:dyDescent="0.25">
      <c r="A40523" s="1" t="str">
        <f t="shared" si="1437"/>
        <v>99999</v>
      </c>
      <c r="B40523" s="1" t="str">
        <f>"50607"</f>
        <v>50607</v>
      </c>
      <c r="C40523" s="2">
        <v>2.6523918186811901E-5</v>
      </c>
      <c r="D40523" s="2">
        <v>6.0228355811057601E-6</v>
      </c>
      <c r="E40523" s="2">
        <v>1.29031703089449E-5</v>
      </c>
      <c r="F40523" s="2">
        <v>2.4867800993646201E-5</v>
      </c>
    </row>
    <row r="40524" spans="1:6" x14ac:dyDescent="0.25">
      <c r="A40524" s="1" t="str">
        <f t="shared" si="1437"/>
        <v>99999</v>
      </c>
      <c r="B40524" s="1" t="str">
        <f>"50625"</f>
        <v>50625</v>
      </c>
      <c r="C40524" s="2">
        <v>5.7378271995960502E-5</v>
      </c>
      <c r="D40524" s="2">
        <v>2.25856334291466E-5</v>
      </c>
      <c r="E40524" s="2">
        <v>1.72042270785932E-5</v>
      </c>
      <c r="F40524" s="2">
        <v>5.4176280736157897E-5</v>
      </c>
    </row>
    <row r="40525" spans="1:6" x14ac:dyDescent="0.25">
      <c r="A40525" s="1" t="str">
        <f t="shared" si="1437"/>
        <v>99999</v>
      </c>
      <c r="B40525" s="1" t="str">
        <f>"50655"</f>
        <v>50655</v>
      </c>
      <c r="C40525" s="2">
        <v>4.0706094849964403E-5</v>
      </c>
      <c r="D40525" s="2">
        <v>4.5171266858293203E-6</v>
      </c>
      <c r="E40525" s="2">
        <v>5.5913738005427899E-5</v>
      </c>
      <c r="F40525" s="2">
        <v>3.8683245990116401E-5</v>
      </c>
    </row>
    <row r="40526" spans="1:6" x14ac:dyDescent="0.25">
      <c r="A40526" s="1" t="str">
        <f t="shared" si="1437"/>
        <v>99999</v>
      </c>
      <c r="B40526" s="1" t="str">
        <f>"49908"</f>
        <v>49908</v>
      </c>
      <c r="C40526" s="2">
        <v>1.2720654640613799E-4</v>
      </c>
      <c r="D40526" s="2">
        <v>1.12928167145733E-4</v>
      </c>
      <c r="E40526" s="2">
        <v>1.16128532780504E-4</v>
      </c>
      <c r="F40526" s="2">
        <v>1.26016594717802E-4</v>
      </c>
    </row>
    <row r="40527" spans="1:6" x14ac:dyDescent="0.25">
      <c r="A40527" s="1" t="str">
        <f t="shared" si="1437"/>
        <v>99999</v>
      </c>
      <c r="B40527" s="1" t="str">
        <f>"49959"</f>
        <v>49959</v>
      </c>
      <c r="C40527" s="2">
        <v>3.1503919152499101E-5</v>
      </c>
      <c r="D40527" s="2">
        <v>0</v>
      </c>
      <c r="E40527" s="2">
        <v>4.3010567696482999E-6</v>
      </c>
      <c r="F40527" s="2">
        <v>2.88150709926377E-5</v>
      </c>
    </row>
    <row r="40528" spans="1:6" x14ac:dyDescent="0.25">
      <c r="A40528" s="1" t="str">
        <f t="shared" si="1437"/>
        <v>99999</v>
      </c>
      <c r="B40528" s="1" t="str">
        <f>"50006"</f>
        <v>50006</v>
      </c>
      <c r="C40528" s="2">
        <v>9.1480452521861601E-5</v>
      </c>
      <c r="D40528" s="2">
        <v>5.2699811334675399E-5</v>
      </c>
      <c r="E40528" s="2">
        <v>3.01073973875381E-5</v>
      </c>
      <c r="F40528" s="2">
        <v>8.7530712227635901E-5</v>
      </c>
    </row>
    <row r="40529" spans="1:6" x14ac:dyDescent="0.25">
      <c r="A40529" s="1" t="str">
        <f t="shared" si="1437"/>
        <v>99999</v>
      </c>
      <c r="B40529" s="1" t="str">
        <f>"50034"</f>
        <v>50034</v>
      </c>
      <c r="C40529" s="2">
        <v>2.2626526126708901E-5</v>
      </c>
      <c r="D40529" s="2">
        <v>1.50570889527644E-5</v>
      </c>
      <c r="E40529" s="2">
        <v>1.29031703089449E-5</v>
      </c>
      <c r="F40529" s="2">
        <v>2.1907348494402598E-5</v>
      </c>
    </row>
    <row r="40530" spans="1:6" x14ac:dyDescent="0.25">
      <c r="A40530" s="1" t="str">
        <f t="shared" si="1437"/>
        <v>99999</v>
      </c>
      <c r="B40530" s="1" t="str">
        <f>"49885"</f>
        <v>49885</v>
      </c>
      <c r="C40530" s="2">
        <v>1.4831742006502999E-5</v>
      </c>
      <c r="D40530" s="2">
        <v>3.01141779055288E-6</v>
      </c>
      <c r="E40530" s="2">
        <v>0</v>
      </c>
      <c r="F40530" s="2">
        <v>1.37167632464953E-5</v>
      </c>
    </row>
    <row r="40531" spans="1:6" x14ac:dyDescent="0.25">
      <c r="A40531" s="1" t="str">
        <f t="shared" si="1437"/>
        <v>99999</v>
      </c>
      <c r="B40531" s="1" t="str">
        <f>"49309"</f>
        <v>49309</v>
      </c>
      <c r="C40531" s="2">
        <v>1.70402641738947E-4</v>
      </c>
      <c r="D40531" s="2">
        <v>3.9148431277187403E-5</v>
      </c>
      <c r="E40531" s="2">
        <v>0</v>
      </c>
      <c r="F40531" s="2">
        <v>1.57890799959658E-4</v>
      </c>
    </row>
    <row r="40532" spans="1:6" x14ac:dyDescent="0.25">
      <c r="A40532" s="1" t="str">
        <f t="shared" si="1437"/>
        <v>99999</v>
      </c>
      <c r="B40532" s="1" t="str">
        <f>"49058"</f>
        <v>49058</v>
      </c>
      <c r="C40532" s="2">
        <v>9.1891843905983603E-4</v>
      </c>
      <c r="D40532" s="2">
        <v>9.9226216198717394E-4</v>
      </c>
      <c r="E40532" s="2">
        <v>1.1440811007264399E-3</v>
      </c>
      <c r="F40532" s="2">
        <v>9.2889131251266803E-4</v>
      </c>
    </row>
    <row r="40533" spans="1:6" x14ac:dyDescent="0.25">
      <c r="A40533" s="1" t="str">
        <f t="shared" si="1437"/>
        <v>99999</v>
      </c>
      <c r="B40533" s="1" t="str">
        <f>"54202"</f>
        <v>54202</v>
      </c>
      <c r="C40533" s="2">
        <v>1.16705240021972E-4</v>
      </c>
      <c r="D40533" s="2">
        <v>2.4091342324423E-5</v>
      </c>
      <c r="E40533" s="2">
        <v>4.7311624466131299E-5</v>
      </c>
      <c r="F40533" s="2">
        <v>1.09043333722139E-4</v>
      </c>
    </row>
    <row r="40534" spans="1:6" x14ac:dyDescent="0.25">
      <c r="A40534" s="1" t="str">
        <f t="shared" si="1437"/>
        <v>99999</v>
      </c>
      <c r="B40534" s="1" t="str">
        <f>"53930"</f>
        <v>53930</v>
      </c>
      <c r="C40534" s="2">
        <v>6.3440881867231802E-5</v>
      </c>
      <c r="D40534" s="2">
        <v>3.01141779055288E-5</v>
      </c>
      <c r="E40534" s="2">
        <v>3.01073973875381E-5</v>
      </c>
      <c r="F40534" s="2">
        <v>6.0491912734544297E-5</v>
      </c>
    </row>
    <row r="40535" spans="1:6" x14ac:dyDescent="0.25">
      <c r="A40535" s="1" t="str">
        <f t="shared" si="1437"/>
        <v>99999</v>
      </c>
      <c r="B40535" s="1" t="str">
        <f>"52573"</f>
        <v>52573</v>
      </c>
      <c r="C40535" s="2">
        <v>9.6352192596990302E-6</v>
      </c>
      <c r="D40535" s="2">
        <v>3.01141779055288E-6</v>
      </c>
      <c r="E40535" s="2">
        <v>4.3010567696482999E-6</v>
      </c>
      <c r="F40535" s="2">
        <v>9.0787209976803807E-6</v>
      </c>
    </row>
    <row r="40536" spans="1:6" x14ac:dyDescent="0.25">
      <c r="A40536" s="1" t="str">
        <f t="shared" si="1437"/>
        <v>99999</v>
      </c>
      <c r="B40536" s="1" t="str">
        <f>"52572"</f>
        <v>52572</v>
      </c>
      <c r="C40536" s="2">
        <v>7.0477839753528904E-5</v>
      </c>
      <c r="D40536" s="2">
        <v>9.0342533716586399E-5</v>
      </c>
      <c r="E40536" s="2">
        <v>0</v>
      </c>
      <c r="F40536" s="2">
        <v>7.0162724232073398E-5</v>
      </c>
    </row>
    <row r="40537" spans="1:6" x14ac:dyDescent="0.25">
      <c r="A40537" s="1" t="str">
        <f t="shared" si="1437"/>
        <v>99999</v>
      </c>
      <c r="B40537" s="1" t="str">
        <f>"39439"</f>
        <v>39439</v>
      </c>
      <c r="C40537" s="2">
        <v>6.2791316523881298E-6</v>
      </c>
      <c r="D40537" s="2">
        <v>4.5171266858293203E-6</v>
      </c>
      <c r="E40537" s="2">
        <v>0</v>
      </c>
      <c r="F40537" s="2">
        <v>6.0195867484619901E-6</v>
      </c>
    </row>
    <row r="40538" spans="1:6" x14ac:dyDescent="0.25">
      <c r="A40538" s="1" t="str">
        <f t="shared" si="1437"/>
        <v>99999</v>
      </c>
      <c r="B40538" s="1" t="str">
        <f>"38851"</f>
        <v>38851</v>
      </c>
      <c r="C40538" s="2">
        <v>4.71259656600785E-4</v>
      </c>
      <c r="D40538" s="2">
        <v>8.04048550077619E-4</v>
      </c>
      <c r="E40538" s="2">
        <v>2.23654952021711E-4</v>
      </c>
      <c r="F40538" s="2">
        <v>4.8738916312547202E-4</v>
      </c>
    </row>
    <row r="40539" spans="1:6" x14ac:dyDescent="0.25">
      <c r="A40539" s="1" t="str">
        <f t="shared" si="1437"/>
        <v>99999</v>
      </c>
      <c r="B40539" s="1" t="str">
        <f>"38665"</f>
        <v>38665</v>
      </c>
      <c r="C40539" s="2">
        <v>2.4900004828435702E-5</v>
      </c>
      <c r="D40539" s="2">
        <v>0</v>
      </c>
      <c r="E40539" s="2">
        <v>0</v>
      </c>
      <c r="F40539" s="2">
        <v>2.26968024942009E-5</v>
      </c>
    </row>
    <row r="40540" spans="1:6" x14ac:dyDescent="0.25">
      <c r="A40540" s="1" t="str">
        <f t="shared" si="1437"/>
        <v>99999</v>
      </c>
      <c r="B40540" s="1" t="str">
        <f>"38619"</f>
        <v>38619</v>
      </c>
      <c r="C40540" s="2">
        <v>1.71918294206764E-4</v>
      </c>
      <c r="D40540" s="2">
        <v>1.02388204878797E-4</v>
      </c>
      <c r="E40540" s="2">
        <v>2.58063406178898E-5</v>
      </c>
      <c r="F40540" s="2">
        <v>1.64009068458095E-4</v>
      </c>
    </row>
    <row r="40541" spans="1:6" x14ac:dyDescent="0.25">
      <c r="A40541" s="1" t="str">
        <f t="shared" si="1437"/>
        <v>99999</v>
      </c>
      <c r="B40541" s="1" t="str">
        <f>"38549"</f>
        <v>38549</v>
      </c>
      <c r="C40541" s="2">
        <v>2.6837874769431298E-4</v>
      </c>
      <c r="D40541" s="2">
        <v>3.0716461463639301E-4</v>
      </c>
      <c r="E40541" s="2">
        <v>6.8816908314372799E-5</v>
      </c>
      <c r="F40541" s="2">
        <v>2.6634204318194899E-4</v>
      </c>
    </row>
    <row r="40542" spans="1:6" x14ac:dyDescent="0.25">
      <c r="A40542" s="1" t="str">
        <f t="shared" si="1437"/>
        <v>99999</v>
      </c>
      <c r="B40542" s="1" t="str">
        <f>"38610"</f>
        <v>38610</v>
      </c>
      <c r="C40542" s="2">
        <v>1.8588394908880001E-4</v>
      </c>
      <c r="D40542" s="2">
        <v>7.3779735868545501E-5</v>
      </c>
      <c r="E40542" s="2">
        <v>5.5913738005427899E-5</v>
      </c>
      <c r="F40542" s="2">
        <v>1.7555483320514501E-4</v>
      </c>
    </row>
    <row r="40543" spans="1:6" x14ac:dyDescent="0.25">
      <c r="A40543" s="1" t="str">
        <f t="shared" si="1437"/>
        <v>99999</v>
      </c>
      <c r="B40543" s="1" t="str">
        <f>"36910"</f>
        <v>36910</v>
      </c>
      <c r="C40543" s="2">
        <v>4.3304356223366396E-6</v>
      </c>
      <c r="D40543" s="2">
        <v>3.01141779055288E-6</v>
      </c>
      <c r="E40543" s="2">
        <v>0</v>
      </c>
      <c r="F40543" s="2">
        <v>4.1446334989410403E-6</v>
      </c>
    </row>
    <row r="40544" spans="1:6" x14ac:dyDescent="0.25">
      <c r="A40544" s="1" t="str">
        <f t="shared" si="1437"/>
        <v>99999</v>
      </c>
      <c r="B40544" s="1" t="str">
        <f>"38633"</f>
        <v>38633</v>
      </c>
      <c r="C40544" s="2">
        <v>1.2893872065507299E-4</v>
      </c>
      <c r="D40544" s="2">
        <v>2.7102760114975901E-5</v>
      </c>
      <c r="E40544" s="2">
        <v>3.44084541571864E-5</v>
      </c>
      <c r="F40544" s="2">
        <v>1.2009568971931499E-4</v>
      </c>
    </row>
    <row r="40545" spans="1:6" x14ac:dyDescent="0.25">
      <c r="A40545" s="1" t="str">
        <f t="shared" si="1437"/>
        <v>99999</v>
      </c>
      <c r="B40545" s="1" t="str">
        <f>"38556"</f>
        <v>38556</v>
      </c>
      <c r="C40545" s="2">
        <v>7.0207187527132804E-4</v>
      </c>
      <c r="D40545" s="2">
        <v>5.9174359584364096E-4</v>
      </c>
      <c r="E40545" s="2">
        <v>3.44084541571864E-4</v>
      </c>
      <c r="F40545" s="2">
        <v>6.8662761632456602E-4</v>
      </c>
    </row>
    <row r="40546" spans="1:6" x14ac:dyDescent="0.25">
      <c r="A40546" s="1" t="str">
        <f t="shared" si="1437"/>
        <v>99999</v>
      </c>
      <c r="B40546" s="1" t="str">
        <f>"38577"</f>
        <v>38577</v>
      </c>
      <c r="C40546" s="2">
        <v>7.5782623390891304E-5</v>
      </c>
      <c r="D40546" s="2">
        <v>3.6137013486634501E-5</v>
      </c>
      <c r="E40546" s="2">
        <v>8.6021135392965999E-6</v>
      </c>
      <c r="F40546" s="2">
        <v>7.1642950481695197E-5</v>
      </c>
    </row>
    <row r="40547" spans="1:6" x14ac:dyDescent="0.25">
      <c r="A40547" s="1" t="str">
        <f t="shared" si="1437"/>
        <v>99999</v>
      </c>
      <c r="B40547" s="1" t="str">
        <f>"38553"</f>
        <v>38553</v>
      </c>
      <c r="C40547" s="2">
        <v>1.32078286481267E-4</v>
      </c>
      <c r="D40547" s="2">
        <v>1.18951002726838E-4</v>
      </c>
      <c r="E40547" s="2">
        <v>4.3010567696482999E-5</v>
      </c>
      <c r="F40547" s="2">
        <v>1.2917441071699499E-4</v>
      </c>
    </row>
    <row r="40548" spans="1:6" x14ac:dyDescent="0.25">
      <c r="A40548" s="1" t="str">
        <f t="shared" si="1437"/>
        <v>99999</v>
      </c>
      <c r="B40548" s="1" t="str">
        <f>"42276"</f>
        <v>42276</v>
      </c>
      <c r="C40548" s="2">
        <v>8.0870885247136801E-4</v>
      </c>
      <c r="D40548" s="2">
        <v>1.35513800574879E-3</v>
      </c>
      <c r="E40548" s="2">
        <v>5.4193315297568602E-4</v>
      </c>
      <c r="F40548" s="2">
        <v>8.3840014778578805E-4</v>
      </c>
    </row>
    <row r="40549" spans="1:6" x14ac:dyDescent="0.25">
      <c r="A40549" s="1" t="str">
        <f t="shared" si="1437"/>
        <v>99999</v>
      </c>
      <c r="B40549" s="1" t="str">
        <f>"42320"</f>
        <v>42320</v>
      </c>
      <c r="C40549" s="2">
        <v>4.0067355595669799E-4</v>
      </c>
      <c r="D40549" s="2">
        <v>4.0804711061991501E-4</v>
      </c>
      <c r="E40549" s="2">
        <v>3.3548242803256698E-4</v>
      </c>
      <c r="F40549" s="2">
        <v>3.9966108739788601E-4</v>
      </c>
    </row>
    <row r="40550" spans="1:6" x14ac:dyDescent="0.25">
      <c r="A40550" s="1" t="str">
        <f t="shared" si="1437"/>
        <v>99999</v>
      </c>
      <c r="B40550" s="1" t="str">
        <f>"42347"</f>
        <v>42347</v>
      </c>
      <c r="C40550" s="2">
        <v>3.1536397419666597E-4</v>
      </c>
      <c r="D40550" s="2">
        <v>3.7040438823800399E-4</v>
      </c>
      <c r="E40550" s="2">
        <v>3.91396166037995E-4</v>
      </c>
      <c r="F40550" s="2">
        <v>3.20715687418057E-4</v>
      </c>
    </row>
    <row r="40551" spans="1:6" x14ac:dyDescent="0.25">
      <c r="A40551" s="1" t="str">
        <f t="shared" si="1437"/>
        <v>99999</v>
      </c>
      <c r="B40551" s="1" t="str">
        <f>"42437"</f>
        <v>42437</v>
      </c>
      <c r="C40551" s="2">
        <v>3.5217267698652699E-4</v>
      </c>
      <c r="D40551" s="2">
        <v>5.0441247991760705E-4</v>
      </c>
      <c r="E40551" s="2">
        <v>2.6666551971819401E-4</v>
      </c>
      <c r="F40551" s="2">
        <v>3.6018838740797099E-4</v>
      </c>
    </row>
    <row r="40552" spans="1:6" x14ac:dyDescent="0.25">
      <c r="A40552" s="1" t="str">
        <f t="shared" si="1437"/>
        <v>99999</v>
      </c>
      <c r="B40552" s="1" t="str">
        <f>"42328"</f>
        <v>42328</v>
      </c>
      <c r="C40552" s="2">
        <v>6.4306968991699194E-5</v>
      </c>
      <c r="D40552" s="2">
        <v>1.35513800574879E-5</v>
      </c>
      <c r="E40552" s="2">
        <v>3.44084541571864E-5</v>
      </c>
      <c r="F40552" s="2">
        <v>6.0294549234594703E-5</v>
      </c>
    </row>
    <row r="40553" spans="1:6" x14ac:dyDescent="0.25">
      <c r="A40553" s="1" t="str">
        <f t="shared" si="1437"/>
        <v>99999</v>
      </c>
      <c r="B40553" s="1" t="str">
        <f>"42404"</f>
        <v>42404</v>
      </c>
      <c r="C40553" s="2">
        <v>1.20169588519841E-4</v>
      </c>
      <c r="D40553" s="2">
        <v>5.2699811334675399E-5</v>
      </c>
      <c r="E40553" s="2">
        <v>6.4515851544724506E-5</v>
      </c>
      <c r="F40553" s="2">
        <v>1.14470829970752E-4</v>
      </c>
    </row>
    <row r="40554" spans="1:6" x14ac:dyDescent="0.25">
      <c r="A40554" s="1" t="str">
        <f t="shared" si="1437"/>
        <v>99999</v>
      </c>
      <c r="B40554" s="1" t="str">
        <f>"42361"</f>
        <v>42361</v>
      </c>
      <c r="C40554" s="2">
        <v>3.3560876073108999E-5</v>
      </c>
      <c r="D40554" s="2">
        <v>6.0228355811057601E-6</v>
      </c>
      <c r="E40554" s="2">
        <v>8.6021135392965999E-6</v>
      </c>
      <c r="F40554" s="2">
        <v>3.1183432992032599E-5</v>
      </c>
    </row>
    <row r="40555" spans="1:6" x14ac:dyDescent="0.25">
      <c r="A40555" s="1" t="str">
        <f t="shared" si="1437"/>
        <v>99999</v>
      </c>
      <c r="B40555" s="1" t="str">
        <f>"41653"</f>
        <v>41653</v>
      </c>
      <c r="C40555" s="2">
        <v>6.1578794549627103E-4</v>
      </c>
      <c r="D40555" s="2">
        <v>1.0780875690179299E-3</v>
      </c>
      <c r="E40555" s="2">
        <v>1.6344015724663501E-3</v>
      </c>
      <c r="F40555" s="2">
        <v>6.6945699182895297E-4</v>
      </c>
    </row>
    <row r="40556" spans="1:6" x14ac:dyDescent="0.25">
      <c r="A40556" s="1" t="str">
        <f t="shared" si="1437"/>
        <v>99999</v>
      </c>
      <c r="B40556" s="1" t="str">
        <f>"41514"</f>
        <v>41514</v>
      </c>
      <c r="C40556" s="2">
        <v>1.70402641738947E-4</v>
      </c>
      <c r="D40556" s="2">
        <v>9.7871078192968605E-5</v>
      </c>
      <c r="E40556" s="2">
        <v>1.37633816628745E-4</v>
      </c>
      <c r="F40556" s="2">
        <v>1.6489720420786801E-4</v>
      </c>
    </row>
    <row r="40557" spans="1:6" x14ac:dyDescent="0.25">
      <c r="A40557" s="1" t="str">
        <f t="shared" si="1437"/>
        <v>99999</v>
      </c>
      <c r="B40557" s="1" t="str">
        <f>"41773"</f>
        <v>41773</v>
      </c>
      <c r="C40557" s="2">
        <v>4.1896964646106998E-5</v>
      </c>
      <c r="D40557" s="2">
        <v>3.01141779055288E-6</v>
      </c>
      <c r="E40557" s="2">
        <v>6.0214794775076199E-5</v>
      </c>
      <c r="F40557" s="2">
        <v>3.9768745239838999E-5</v>
      </c>
    </row>
    <row r="40558" spans="1:6" x14ac:dyDescent="0.25">
      <c r="A40558" s="1" t="str">
        <f t="shared" si="1437"/>
        <v>99999</v>
      </c>
      <c r="B40558" s="1" t="str">
        <f>"41557"</f>
        <v>41557</v>
      </c>
      <c r="C40558" s="2">
        <v>8.7799582242875499E-5</v>
      </c>
      <c r="D40558" s="2">
        <v>7.5285444763821999E-6</v>
      </c>
      <c r="E40558" s="2">
        <v>3.8709510926834699E-5</v>
      </c>
      <c r="F40558" s="2">
        <v>8.1412443729199095E-5</v>
      </c>
    </row>
    <row r="40559" spans="1:6" x14ac:dyDescent="0.25">
      <c r="A40559" s="1" t="str">
        <f t="shared" si="1437"/>
        <v>99999</v>
      </c>
      <c r="B40559" s="1" t="str">
        <f>"41817"</f>
        <v>41817</v>
      </c>
      <c r="C40559" s="2">
        <v>1.69969598176713E-5</v>
      </c>
      <c r="D40559" s="2">
        <v>0</v>
      </c>
      <c r="E40559" s="2">
        <v>8.6021135392965999E-6</v>
      </c>
      <c r="F40559" s="2">
        <v>1.56903982459911E-5</v>
      </c>
    </row>
    <row r="40560" spans="1:6" x14ac:dyDescent="0.25">
      <c r="A40560" s="1" t="str">
        <f t="shared" si="1437"/>
        <v>99999</v>
      </c>
      <c r="B40560" s="1" t="str">
        <f>"41855"</f>
        <v>41855</v>
      </c>
      <c r="C40560" s="2">
        <v>2.2843047907825799E-5</v>
      </c>
      <c r="D40560" s="2">
        <v>0</v>
      </c>
      <c r="E40560" s="2">
        <v>1.29031703089449E-5</v>
      </c>
      <c r="F40560" s="2">
        <v>2.11178944946043E-5</v>
      </c>
    </row>
    <row r="40561" spans="1:6" x14ac:dyDescent="0.25">
      <c r="A40561" s="1" t="str">
        <f t="shared" si="1437"/>
        <v>99999</v>
      </c>
      <c r="B40561" s="1" t="str">
        <f>"41519"</f>
        <v>41519</v>
      </c>
      <c r="C40561" s="2">
        <v>4.2221747317782297E-5</v>
      </c>
      <c r="D40561" s="2">
        <v>0</v>
      </c>
      <c r="E40561" s="2">
        <v>4.3010567696482999E-6</v>
      </c>
      <c r="F40561" s="2">
        <v>3.8584564240141597E-5</v>
      </c>
    </row>
    <row r="40562" spans="1:6" x14ac:dyDescent="0.25">
      <c r="A40562" s="1" t="str">
        <f t="shared" si="1437"/>
        <v>99999</v>
      </c>
      <c r="B40562" s="1" t="str">
        <f>"41534"</f>
        <v>41534</v>
      </c>
      <c r="C40562" s="2">
        <v>6.2791316523881298E-6</v>
      </c>
      <c r="D40562" s="2">
        <v>0</v>
      </c>
      <c r="E40562" s="2">
        <v>4.3010567696482999E-6</v>
      </c>
      <c r="F40562" s="2">
        <v>5.8222232485124198E-6</v>
      </c>
    </row>
    <row r="40563" spans="1:6" x14ac:dyDescent="0.25">
      <c r="A40563" s="1" t="str">
        <f t="shared" si="1437"/>
        <v>99999</v>
      </c>
      <c r="B40563" s="1" t="str">
        <f>"41663"</f>
        <v>41663</v>
      </c>
      <c r="C40563" s="2">
        <v>1.62391335837624E-5</v>
      </c>
      <c r="D40563" s="2">
        <v>0</v>
      </c>
      <c r="E40563" s="2">
        <v>4.3010567696482999E-6</v>
      </c>
      <c r="F40563" s="2">
        <v>1.49009442461928E-5</v>
      </c>
    </row>
    <row r="40564" spans="1:6" x14ac:dyDescent="0.25">
      <c r="A40564" s="1" t="str">
        <f t="shared" si="1437"/>
        <v>99999</v>
      </c>
      <c r="B40564" s="1" t="str">
        <f>"41666"</f>
        <v>41666</v>
      </c>
      <c r="C40564" s="2">
        <v>2.86891359979802E-5</v>
      </c>
      <c r="D40564" s="2">
        <v>1.50570889527644E-6</v>
      </c>
      <c r="E40564" s="2">
        <v>2.58063406178898E-5</v>
      </c>
      <c r="F40564" s="2">
        <v>2.6841435993142E-5</v>
      </c>
    </row>
    <row r="40565" spans="1:6" x14ac:dyDescent="0.25">
      <c r="A40565" s="1" t="str">
        <f t="shared" si="1437"/>
        <v>99999</v>
      </c>
      <c r="B40565" s="1" t="str">
        <f>"41631"</f>
        <v>41631</v>
      </c>
      <c r="C40565" s="2">
        <v>4.1355660193314899E-5</v>
      </c>
      <c r="D40565" s="2">
        <v>2.55970512196994E-5</v>
      </c>
      <c r="E40565" s="2">
        <v>8.6021135392965999E-6</v>
      </c>
      <c r="F40565" s="2">
        <v>3.95713817398895E-5</v>
      </c>
    </row>
    <row r="40566" spans="1:6" x14ac:dyDescent="0.25">
      <c r="A40566" s="1" t="str">
        <f t="shared" si="1437"/>
        <v>99999</v>
      </c>
      <c r="B40566" s="1" t="str">
        <f>"41861"</f>
        <v>41861</v>
      </c>
      <c r="C40566" s="2">
        <v>1.2125219742542599E-5</v>
      </c>
      <c r="D40566" s="2">
        <v>0</v>
      </c>
      <c r="E40566" s="2">
        <v>4.3010567696482999E-6</v>
      </c>
      <c r="F40566" s="2">
        <v>1.11510377471509E-5</v>
      </c>
    </row>
    <row r="40567" spans="1:6" x14ac:dyDescent="0.25">
      <c r="A40567" s="1" t="str">
        <f t="shared" si="1437"/>
        <v>99999</v>
      </c>
      <c r="B40567" s="1" t="str">
        <f>"41759"</f>
        <v>41759</v>
      </c>
      <c r="C40567" s="2">
        <v>2.1868699892800001E-5</v>
      </c>
      <c r="D40567" s="2">
        <v>3.01141779055288E-6</v>
      </c>
      <c r="E40567" s="2">
        <v>1.72042270785932E-5</v>
      </c>
      <c r="F40567" s="2">
        <v>2.0525803994755599E-5</v>
      </c>
    </row>
    <row r="40568" spans="1:6" x14ac:dyDescent="0.25">
      <c r="A40568" s="1" t="str">
        <f t="shared" si="1437"/>
        <v>99999</v>
      </c>
      <c r="B40568" s="1" t="str">
        <f>"41502"</f>
        <v>41502</v>
      </c>
      <c r="C40568" s="2">
        <v>2.65022660087002E-4</v>
      </c>
      <c r="D40568" s="2">
        <v>5.4356091119479497E-4</v>
      </c>
      <c r="E40568" s="2">
        <v>1.29031703089449E-5</v>
      </c>
      <c r="F40568" s="2">
        <v>2.7749308092909998E-4</v>
      </c>
    </row>
    <row r="40569" spans="1:6" x14ac:dyDescent="0.25">
      <c r="A40569" s="1" t="str">
        <f t="shared" si="1437"/>
        <v>99999</v>
      </c>
      <c r="B40569" s="1" t="str">
        <f>"41862"</f>
        <v>41862</v>
      </c>
      <c r="C40569" s="2">
        <v>3.4968267650368402E-5</v>
      </c>
      <c r="D40569" s="2">
        <v>3.01141779055288E-6</v>
      </c>
      <c r="E40569" s="2">
        <v>3.44084541571864E-5</v>
      </c>
      <c r="F40569" s="2">
        <v>3.2861022741603999E-5</v>
      </c>
    </row>
    <row r="40570" spans="1:6" x14ac:dyDescent="0.25">
      <c r="A40570" s="1" t="str">
        <f t="shared" si="1437"/>
        <v>99999</v>
      </c>
      <c r="B40570" s="1" t="str">
        <f>"41777"</f>
        <v>41777</v>
      </c>
      <c r="C40570" s="2">
        <v>3.4968267650368402E-5</v>
      </c>
      <c r="D40570" s="2">
        <v>1.20456711622115E-5</v>
      </c>
      <c r="E40570" s="2">
        <v>1.72042270785932E-5</v>
      </c>
      <c r="F40570" s="2">
        <v>3.3058386241553498E-5</v>
      </c>
    </row>
    <row r="40571" spans="1:6" x14ac:dyDescent="0.25">
      <c r="A40571" s="1" t="str">
        <f t="shared" si="1437"/>
        <v>99999</v>
      </c>
      <c r="B40571" s="1" t="str">
        <f>"47619"</f>
        <v>47619</v>
      </c>
      <c r="C40571" s="2">
        <v>3.2478267167524799E-6</v>
      </c>
      <c r="D40571" s="2">
        <v>0</v>
      </c>
      <c r="E40571" s="2">
        <v>0</v>
      </c>
      <c r="F40571" s="2">
        <v>2.9604524992435999E-6</v>
      </c>
    </row>
    <row r="40572" spans="1:6" x14ac:dyDescent="0.25">
      <c r="A40572" s="1" t="str">
        <f t="shared" si="1437"/>
        <v>99999</v>
      </c>
      <c r="B40572" s="1" t="str">
        <f>"42635"</f>
        <v>42635</v>
      </c>
      <c r="C40572" s="2">
        <v>1.3218654737182599E-4</v>
      </c>
      <c r="D40572" s="2">
        <v>4.0654140172463799E-5</v>
      </c>
      <c r="E40572" s="2">
        <v>5.5913738005427899E-5</v>
      </c>
      <c r="F40572" s="2">
        <v>1.2443768671820601E-4</v>
      </c>
    </row>
    <row r="40573" spans="1:6" x14ac:dyDescent="0.25">
      <c r="A40573" s="1" t="str">
        <f t="shared" si="1437"/>
        <v>99999</v>
      </c>
      <c r="B40573" s="1" t="str">
        <f>"47108"</f>
        <v>47108</v>
      </c>
      <c r="C40573" s="2">
        <v>4.7634791845703099E-6</v>
      </c>
      <c r="D40573" s="2">
        <v>0</v>
      </c>
      <c r="E40573" s="2">
        <v>1.72042270785932E-5</v>
      </c>
      <c r="F40573" s="2">
        <v>4.7367239987897599E-6</v>
      </c>
    </row>
    <row r="40574" spans="1:6" x14ac:dyDescent="0.25">
      <c r="A40574" s="1" t="str">
        <f t="shared" si="1437"/>
        <v>99999</v>
      </c>
      <c r="B40574" s="1" t="str">
        <f>"41348"</f>
        <v>41348</v>
      </c>
      <c r="C40574" s="2">
        <v>4.4711747800625797E-5</v>
      </c>
      <c r="D40574" s="2">
        <v>4.5171266858293203E-6</v>
      </c>
      <c r="E40574" s="2">
        <v>2.15052838482415E-5</v>
      </c>
      <c r="F40574" s="2">
        <v>4.1545016739385197E-5</v>
      </c>
    </row>
    <row r="40575" spans="1:6" x14ac:dyDescent="0.25">
      <c r="A40575" s="1" t="str">
        <f t="shared" si="1437"/>
        <v>99999</v>
      </c>
      <c r="B40575" s="1" t="str">
        <f>"40350"</f>
        <v>40350</v>
      </c>
      <c r="C40575" s="2">
        <v>1.6347394474320801E-5</v>
      </c>
      <c r="D40575" s="2">
        <v>1.50570889527644E-6</v>
      </c>
      <c r="E40575" s="2">
        <v>4.3010567696482999E-6</v>
      </c>
      <c r="F40575" s="2">
        <v>1.5098307746142301E-5</v>
      </c>
    </row>
    <row r="40576" spans="1:6" x14ac:dyDescent="0.25">
      <c r="A40576" s="1" t="str">
        <f t="shared" si="1437"/>
        <v>99999</v>
      </c>
      <c r="B40576" s="1" t="str">
        <f>"40437"</f>
        <v>40437</v>
      </c>
      <c r="C40576" s="2">
        <v>5.6079141309259497E-5</v>
      </c>
      <c r="D40576" s="2">
        <v>1.50570889527644E-5</v>
      </c>
      <c r="E40576" s="2">
        <v>1.29031703089449E-5</v>
      </c>
      <c r="F40576" s="2">
        <v>5.2400009236611699E-5</v>
      </c>
    </row>
    <row r="40577" spans="1:6" x14ac:dyDescent="0.25">
      <c r="A40577" s="1" t="str">
        <f t="shared" si="1437"/>
        <v>99999</v>
      </c>
      <c r="B40577" s="1" t="str">
        <f>"40359"</f>
        <v>40359</v>
      </c>
      <c r="C40577" s="2">
        <v>4.09226166310813E-4</v>
      </c>
      <c r="D40577" s="2">
        <v>3.0415319684584099E-4</v>
      </c>
      <c r="E40577" s="2">
        <v>6.4085745867759698E-4</v>
      </c>
      <c r="F40577" s="2">
        <v>4.0765430914584399E-4</v>
      </c>
    </row>
    <row r="40578" spans="1:6" x14ac:dyDescent="0.25">
      <c r="A40578" s="1" t="str">
        <f t="shared" si="1437"/>
        <v>99999</v>
      </c>
      <c r="B40578" s="1" t="str">
        <f>"40460"</f>
        <v>40460</v>
      </c>
      <c r="C40578" s="2">
        <v>5.2290010139714998E-5</v>
      </c>
      <c r="D40578" s="2">
        <v>3.01141779055288E-6</v>
      </c>
      <c r="E40578" s="2">
        <v>4.3010567696482999E-6</v>
      </c>
      <c r="F40578" s="2">
        <v>4.79593304877463E-5</v>
      </c>
    </row>
    <row r="40579" spans="1:6" x14ac:dyDescent="0.25">
      <c r="A40579" s="1" t="str">
        <f t="shared" si="1437"/>
        <v>99999</v>
      </c>
      <c r="B40579" s="1" t="str">
        <f>"40461"</f>
        <v>40461</v>
      </c>
      <c r="C40579" s="2">
        <v>6.9828274410178401E-5</v>
      </c>
      <c r="D40579" s="2">
        <v>3.7642722381910999E-5</v>
      </c>
      <c r="E40579" s="2">
        <v>4.3010567696482999E-6</v>
      </c>
      <c r="F40579" s="2">
        <v>6.6215454233081896E-5</v>
      </c>
    </row>
    <row r="40580" spans="1:6" x14ac:dyDescent="0.25">
      <c r="A40580" s="1" t="str">
        <f t="shared" si="1437"/>
        <v>99999</v>
      </c>
      <c r="B40580" s="1" t="str">
        <f>"41049"</f>
        <v>41049</v>
      </c>
      <c r="C40580" s="2">
        <v>1.3012959045121601E-4</v>
      </c>
      <c r="D40580" s="2">
        <v>2.25856334291466E-5</v>
      </c>
      <c r="E40580" s="2">
        <v>2.58063406178898E-5</v>
      </c>
      <c r="F40580" s="2">
        <v>1.2068778021916399E-4</v>
      </c>
    </row>
    <row r="40581" spans="1:6" x14ac:dyDescent="0.25">
      <c r="A40581" s="1" t="str">
        <f t="shared" si="1437"/>
        <v>99999</v>
      </c>
      <c r="B40581" s="1" t="str">
        <f>"41035"</f>
        <v>41035</v>
      </c>
      <c r="C40581" s="2">
        <v>3.3560876073109E-6</v>
      </c>
      <c r="D40581" s="2">
        <v>0</v>
      </c>
      <c r="E40581" s="2">
        <v>4.3010567696482999E-6</v>
      </c>
      <c r="F40581" s="2">
        <v>3.1578159991931699E-6</v>
      </c>
    </row>
    <row r="40582" spans="1:6" x14ac:dyDescent="0.25">
      <c r="A40582" s="1" t="str">
        <f t="shared" ref="A40582:A40645" si="1438">"99999"</f>
        <v>99999</v>
      </c>
      <c r="B40582" s="1" t="str">
        <f>"41039"</f>
        <v>41039</v>
      </c>
      <c r="C40582" s="2">
        <v>1.6185003138483199E-4</v>
      </c>
      <c r="D40582" s="2">
        <v>5.7216938020504697E-5</v>
      </c>
      <c r="E40582" s="2">
        <v>1.29031703089449E-5</v>
      </c>
      <c r="F40582" s="2">
        <v>1.5157516796127199E-4</v>
      </c>
    </row>
    <row r="40583" spans="1:6" x14ac:dyDescent="0.25">
      <c r="A40583" s="1" t="str">
        <f t="shared" si="1438"/>
        <v>99999</v>
      </c>
      <c r="B40583" s="1" t="str">
        <f>"45850"</f>
        <v>45850</v>
      </c>
      <c r="C40583" s="2">
        <v>1.43986984442693E-5</v>
      </c>
      <c r="D40583" s="2">
        <v>0</v>
      </c>
      <c r="E40583" s="2">
        <v>0</v>
      </c>
      <c r="F40583" s="2">
        <v>1.31246727466466E-5</v>
      </c>
    </row>
    <row r="40584" spans="1:6" x14ac:dyDescent="0.25">
      <c r="A40584" s="1" t="str">
        <f t="shared" si="1438"/>
        <v>99999</v>
      </c>
      <c r="B40584" s="1" t="str">
        <f>"45813"</f>
        <v>45813</v>
      </c>
      <c r="C40584" s="2">
        <v>1.55246117060768E-4</v>
      </c>
      <c r="D40584" s="2">
        <v>2.7102760114975901E-5</v>
      </c>
      <c r="E40584" s="2">
        <v>1.2042958955015201E-4</v>
      </c>
      <c r="F40584" s="2">
        <v>1.4604898996268401E-4</v>
      </c>
    </row>
    <row r="40585" spans="1:6" x14ac:dyDescent="0.25">
      <c r="A40585" s="1" t="str">
        <f t="shared" si="1438"/>
        <v>99999</v>
      </c>
      <c r="B40585" s="1" t="str">
        <f>"45812"</f>
        <v>45812</v>
      </c>
      <c r="C40585" s="2">
        <v>8.2170015933837794E-5</v>
      </c>
      <c r="D40585" s="2">
        <v>2.1079924533870101E-5</v>
      </c>
      <c r="E40585" s="2">
        <v>3.8709510926834699E-5</v>
      </c>
      <c r="F40585" s="2">
        <v>7.7169128480283195E-5</v>
      </c>
    </row>
    <row r="40586" spans="1:6" x14ac:dyDescent="0.25">
      <c r="A40586" s="1" t="str">
        <f t="shared" si="1438"/>
        <v>99999</v>
      </c>
      <c r="B40586" s="1" t="str">
        <f>"45154"</f>
        <v>45154</v>
      </c>
      <c r="C40586" s="2">
        <v>2.7065222639604001E-5</v>
      </c>
      <c r="D40586" s="2">
        <v>6.0228355811057601E-6</v>
      </c>
      <c r="E40586" s="2">
        <v>0</v>
      </c>
      <c r="F40586" s="2">
        <v>2.5065164493595799E-5</v>
      </c>
    </row>
    <row r="40587" spans="1:6" x14ac:dyDescent="0.25">
      <c r="A40587" s="1" t="str">
        <f t="shared" si="1438"/>
        <v>99999</v>
      </c>
      <c r="B40587" s="1" t="str">
        <f>"45347"</f>
        <v>45347</v>
      </c>
      <c r="C40587" s="2">
        <v>1.8902351491499399E-4</v>
      </c>
      <c r="D40587" s="2">
        <v>1.3852521836543201E-4</v>
      </c>
      <c r="E40587" s="2">
        <v>9.0322192162614306E-5</v>
      </c>
      <c r="F40587" s="2">
        <v>1.8344937320312801E-4</v>
      </c>
    </row>
    <row r="40588" spans="1:6" x14ac:dyDescent="0.25">
      <c r="A40588" s="1" t="str">
        <f t="shared" si="1438"/>
        <v>99999</v>
      </c>
      <c r="B40588" s="1" t="str">
        <f>"45693"</f>
        <v>45693</v>
      </c>
      <c r="C40588" s="2">
        <v>4.62598785356112E-4</v>
      </c>
      <c r="D40588" s="2">
        <v>5.30009531137307E-4</v>
      </c>
      <c r="E40588" s="2">
        <v>6.7956696960443097E-4</v>
      </c>
      <c r="F40588" s="2">
        <v>4.7199481012940501E-4</v>
      </c>
    </row>
    <row r="40589" spans="1:6" x14ac:dyDescent="0.25">
      <c r="A40589" s="1" t="str">
        <f t="shared" si="1438"/>
        <v>99999</v>
      </c>
      <c r="B40589" s="1" t="str">
        <f>"45769"</f>
        <v>45769</v>
      </c>
      <c r="C40589" s="2">
        <v>3.78588334282781E-4</v>
      </c>
      <c r="D40589" s="2">
        <v>5.3904378450896496E-4</v>
      </c>
      <c r="E40589" s="2">
        <v>2.1075178171276601E-4</v>
      </c>
      <c r="F40589" s="2">
        <v>3.8525355190156699E-4</v>
      </c>
    </row>
    <row r="40590" spans="1:6" x14ac:dyDescent="0.25">
      <c r="A40590" s="1" t="str">
        <f t="shared" si="1438"/>
        <v>99999</v>
      </c>
      <c r="B40590" s="1" t="str">
        <f>"47043"</f>
        <v>47043</v>
      </c>
      <c r="C40590" s="2">
        <v>4.3813182408991E-4</v>
      </c>
      <c r="D40590" s="2">
        <v>2.9361323457890499E-4</v>
      </c>
      <c r="E40590" s="2">
        <v>4.6881518789166401E-4</v>
      </c>
      <c r="F40590" s="2">
        <v>4.2936429414029698E-4</v>
      </c>
    </row>
    <row r="40591" spans="1:6" x14ac:dyDescent="0.25">
      <c r="A40591" s="1" t="str">
        <f t="shared" si="1438"/>
        <v>99999</v>
      </c>
      <c r="B40591" s="1" t="str">
        <f>"47023"</f>
        <v>47023</v>
      </c>
      <c r="C40591" s="2">
        <v>8.0329580794344702E-5</v>
      </c>
      <c r="D40591" s="2">
        <v>3.9148431277187403E-5</v>
      </c>
      <c r="E40591" s="2">
        <v>2.15052838482415E-5</v>
      </c>
      <c r="F40591" s="2">
        <v>7.6280992730510204E-5</v>
      </c>
    </row>
    <row r="40592" spans="1:6" x14ac:dyDescent="0.25">
      <c r="A40592" s="1" t="str">
        <f t="shared" si="1438"/>
        <v>99999</v>
      </c>
      <c r="B40592" s="1" t="str">
        <f>"46031"</f>
        <v>46031</v>
      </c>
      <c r="C40592" s="2">
        <v>2.2626526126708901E-5</v>
      </c>
      <c r="D40592" s="2">
        <v>1.0539962266935E-5</v>
      </c>
      <c r="E40592" s="2">
        <v>0</v>
      </c>
      <c r="F40592" s="2">
        <v>2.1315257994553901E-5</v>
      </c>
    </row>
    <row r="40593" spans="1:6" x14ac:dyDescent="0.25">
      <c r="A40593" s="1" t="str">
        <f t="shared" si="1438"/>
        <v>99999</v>
      </c>
      <c r="B40593" s="1" t="str">
        <f>"46072"</f>
        <v>46072</v>
      </c>
      <c r="C40593" s="2">
        <v>4.7472400509865402E-4</v>
      </c>
      <c r="D40593" s="2">
        <v>6.5347766054997503E-4</v>
      </c>
      <c r="E40593" s="2">
        <v>5.0322364204885095E-4</v>
      </c>
      <c r="F40593" s="2">
        <v>4.8709311787554702E-4</v>
      </c>
    </row>
    <row r="40594" spans="1:6" x14ac:dyDescent="0.25">
      <c r="A40594" s="1" t="str">
        <f t="shared" si="1438"/>
        <v>99999</v>
      </c>
      <c r="B40594" s="1" t="str">
        <f>"46104"</f>
        <v>46104</v>
      </c>
      <c r="C40594" s="2">
        <v>3.3560876073108999E-5</v>
      </c>
      <c r="D40594" s="2">
        <v>1.35513800574879E-5</v>
      </c>
      <c r="E40594" s="2">
        <v>3.44084541571864E-5</v>
      </c>
      <c r="F40594" s="2">
        <v>3.2268932241755197E-5</v>
      </c>
    </row>
    <row r="40595" spans="1:6" x14ac:dyDescent="0.25">
      <c r="A40595" s="1" t="str">
        <f t="shared" si="1438"/>
        <v>99999</v>
      </c>
      <c r="B40595" s="1" t="str">
        <f>"45650"</f>
        <v>45650</v>
      </c>
      <c r="C40595" s="2">
        <v>2.84726142168634E-5</v>
      </c>
      <c r="D40595" s="2">
        <v>6.0228355811057601E-6</v>
      </c>
      <c r="E40595" s="2">
        <v>0</v>
      </c>
      <c r="F40595" s="2">
        <v>2.6348027243268001E-5</v>
      </c>
    </row>
    <row r="40596" spans="1:6" x14ac:dyDescent="0.25">
      <c r="A40596" s="1" t="str">
        <f t="shared" si="1438"/>
        <v>99999</v>
      </c>
      <c r="B40596" s="1" t="str">
        <f>"43716"</f>
        <v>43716</v>
      </c>
      <c r="C40596" s="2">
        <v>9.3429148551913097E-5</v>
      </c>
      <c r="D40596" s="2">
        <v>4.3665557963016701E-5</v>
      </c>
      <c r="E40596" s="2">
        <v>1.72042270785932E-5</v>
      </c>
      <c r="F40596" s="2">
        <v>8.8418847977408905E-5</v>
      </c>
    </row>
    <row r="40597" spans="1:6" x14ac:dyDescent="0.25">
      <c r="A40597" s="1" t="str">
        <f t="shared" si="1438"/>
        <v>99999</v>
      </c>
      <c r="B40597" s="1" t="str">
        <f>"43316"</f>
        <v>43316</v>
      </c>
      <c r="C40597" s="2">
        <v>2.70760487286598E-4</v>
      </c>
      <c r="D40597" s="2">
        <v>2.9361323457890499E-4</v>
      </c>
      <c r="E40597" s="2">
        <v>2.1935389525206301E-4</v>
      </c>
      <c r="F40597" s="2">
        <v>2.7107876718073898E-4</v>
      </c>
    </row>
    <row r="40598" spans="1:6" x14ac:dyDescent="0.25">
      <c r="A40598" s="1" t="str">
        <f t="shared" si="1438"/>
        <v>99999</v>
      </c>
      <c r="B40598" s="1" t="str">
        <f>"43332"</f>
        <v>43332</v>
      </c>
      <c r="C40598" s="2">
        <v>8.6608712446732894E-6</v>
      </c>
      <c r="D40598" s="2">
        <v>1.50570889527644E-6</v>
      </c>
      <c r="E40598" s="2">
        <v>0</v>
      </c>
      <c r="F40598" s="2">
        <v>7.9932217479577302E-6</v>
      </c>
    </row>
    <row r="40599" spans="1:6" x14ac:dyDescent="0.25">
      <c r="A40599" s="1" t="str">
        <f t="shared" si="1438"/>
        <v>99999</v>
      </c>
      <c r="B40599" s="1" t="str">
        <f>"46761"</f>
        <v>46761</v>
      </c>
      <c r="C40599" s="2">
        <v>4.92695312931351E-4</v>
      </c>
      <c r="D40599" s="2">
        <v>6.2185777374916898E-4</v>
      </c>
      <c r="E40599" s="2">
        <v>3.7419193895940199E-4</v>
      </c>
      <c r="F40599" s="2">
        <v>4.9844151912264805E-4</v>
      </c>
    </row>
    <row r="40600" spans="1:6" x14ac:dyDescent="0.25">
      <c r="A40600" s="1" t="str">
        <f t="shared" si="1438"/>
        <v>99999</v>
      </c>
      <c r="B40600" s="1" t="str">
        <f>"46532"</f>
        <v>46532</v>
      </c>
      <c r="C40600" s="2">
        <v>5.7594793777077398E-5</v>
      </c>
      <c r="D40600" s="2">
        <v>2.8608469010252301E-5</v>
      </c>
      <c r="E40600" s="2">
        <v>3.01073973875381E-5</v>
      </c>
      <c r="F40600" s="2">
        <v>5.5064416485931002E-5</v>
      </c>
    </row>
    <row r="40601" spans="1:6" x14ac:dyDescent="0.25">
      <c r="A40601" s="1" t="str">
        <f t="shared" si="1438"/>
        <v>99999</v>
      </c>
      <c r="B40601" s="1" t="str">
        <f>"32448"</f>
        <v>32448</v>
      </c>
      <c r="C40601" s="2">
        <v>5.4022184388649596E-4</v>
      </c>
      <c r="D40601" s="2">
        <v>7.1220030746575605E-4</v>
      </c>
      <c r="E40601" s="2">
        <v>6.5376062898654099E-4</v>
      </c>
      <c r="F40601" s="2">
        <v>5.5409802610842699E-4</v>
      </c>
    </row>
    <row r="40602" spans="1:6" x14ac:dyDescent="0.25">
      <c r="A40602" s="1" t="str">
        <f t="shared" si="1438"/>
        <v>99999</v>
      </c>
      <c r="B40602" s="1" t="str">
        <f>"32455"</f>
        <v>32455</v>
      </c>
      <c r="C40602" s="2">
        <v>1.1713828358420601E-4</v>
      </c>
      <c r="D40602" s="2">
        <v>8.7331115926033497E-5</v>
      </c>
      <c r="E40602" s="2">
        <v>3.44084541571864E-5</v>
      </c>
      <c r="F40602" s="2">
        <v>1.1328664897105499E-4</v>
      </c>
    </row>
    <row r="40603" spans="1:6" x14ac:dyDescent="0.25">
      <c r="A40603" s="1" t="str">
        <f t="shared" si="1438"/>
        <v>99999</v>
      </c>
      <c r="B40603" s="1" t="str">
        <f>"32428"</f>
        <v>32428</v>
      </c>
      <c r="C40603" s="2">
        <v>9.0527756684947601E-4</v>
      </c>
      <c r="D40603" s="2">
        <v>1.0660418978557099E-3</v>
      </c>
      <c r="E40603" s="2">
        <v>4.3870779050412601E-4</v>
      </c>
      <c r="F40603" s="2">
        <v>9.0510901076874405E-4</v>
      </c>
    </row>
    <row r="40604" spans="1:6" x14ac:dyDescent="0.25">
      <c r="A40604" s="1" t="str">
        <f t="shared" si="1438"/>
        <v>99999</v>
      </c>
      <c r="B40604" s="1" t="str">
        <f>"32445"</f>
        <v>32445</v>
      </c>
      <c r="C40604" s="2">
        <v>6.9070448176269494E-5</v>
      </c>
      <c r="D40604" s="2">
        <v>8.1308280344927694E-5</v>
      </c>
      <c r="E40604" s="2">
        <v>2.15052838482415E-5</v>
      </c>
      <c r="F40604" s="2">
        <v>6.8781179732426402E-5</v>
      </c>
    </row>
    <row r="40605" spans="1:6" x14ac:dyDescent="0.25">
      <c r="A40605" s="1" t="str">
        <f t="shared" si="1438"/>
        <v>99999</v>
      </c>
      <c r="B40605" s="1" t="str">
        <f>"32427"</f>
        <v>32427</v>
      </c>
      <c r="C40605" s="2">
        <v>7.7406536749267507E-5</v>
      </c>
      <c r="D40605" s="2">
        <v>4.2159849067740298E-5</v>
      </c>
      <c r="E40605" s="2">
        <v>8.6021135392965999E-6</v>
      </c>
      <c r="F40605" s="2">
        <v>7.3517903731216104E-5</v>
      </c>
    </row>
    <row r="40606" spans="1:6" x14ac:dyDescent="0.25">
      <c r="A40606" s="1" t="str">
        <f t="shared" si="1438"/>
        <v>99999</v>
      </c>
      <c r="B40606" s="1" t="str">
        <f>"39837"</f>
        <v>39837</v>
      </c>
      <c r="C40606" s="2">
        <v>3.47733980473632E-4</v>
      </c>
      <c r="D40606" s="2">
        <v>5.48078037880624E-4</v>
      </c>
      <c r="E40606" s="2">
        <v>2.6236446294854599E-4</v>
      </c>
      <c r="F40606" s="2">
        <v>3.5890552465829898E-4</v>
      </c>
    </row>
    <row r="40607" spans="1:6" x14ac:dyDescent="0.25">
      <c r="A40607" s="1" t="str">
        <f t="shared" si="1438"/>
        <v>99999</v>
      </c>
      <c r="B40607" s="1" t="str">
        <f>"35654"</f>
        <v>35654</v>
      </c>
      <c r="C40607" s="2">
        <v>3.8844007532359701E-4</v>
      </c>
      <c r="D40607" s="2">
        <v>2.21339207605636E-4</v>
      </c>
      <c r="E40607" s="2">
        <v>2.7526763325749098E-4</v>
      </c>
      <c r="F40607" s="2">
        <v>3.7489196815421503E-4</v>
      </c>
    </row>
    <row r="40608" spans="1:6" x14ac:dyDescent="0.25">
      <c r="A40608" s="1" t="str">
        <f t="shared" si="1438"/>
        <v>99999</v>
      </c>
      <c r="B40608" s="1" t="str">
        <f>"35552"</f>
        <v>35552</v>
      </c>
      <c r="C40608" s="2">
        <v>7.4266970923073396E-5</v>
      </c>
      <c r="D40608" s="2">
        <v>3.6137013486634501E-5</v>
      </c>
      <c r="E40608" s="2">
        <v>2.15052838482415E-5</v>
      </c>
      <c r="F40608" s="2">
        <v>7.0557451231972505E-5</v>
      </c>
    </row>
    <row r="40609" spans="1:6" x14ac:dyDescent="0.25">
      <c r="A40609" s="1" t="str">
        <f t="shared" si="1438"/>
        <v>99999</v>
      </c>
      <c r="B40609" s="1" t="str">
        <f>"35543"</f>
        <v>35543</v>
      </c>
      <c r="C40609" s="2">
        <v>6.6363925912309106E-5</v>
      </c>
      <c r="D40609" s="2">
        <v>5.5711229125228301E-5</v>
      </c>
      <c r="E40609" s="2">
        <v>3.01073973875381E-5</v>
      </c>
      <c r="F40609" s="2">
        <v>6.48339097334349E-5</v>
      </c>
    </row>
    <row r="40610" spans="1:6" x14ac:dyDescent="0.25">
      <c r="A40610" s="1" t="str">
        <f t="shared" si="1438"/>
        <v>99999</v>
      </c>
      <c r="B40610" s="1" t="str">
        <f>"35592"</f>
        <v>35592</v>
      </c>
      <c r="C40610" s="2">
        <v>2.5549570171786199E-4</v>
      </c>
      <c r="D40610" s="2">
        <v>2.2284491650091301E-4</v>
      </c>
      <c r="E40610" s="2">
        <v>6.3655640190794804E-4</v>
      </c>
      <c r="F40610" s="2">
        <v>2.6209872793303302E-4</v>
      </c>
    </row>
    <row r="40611" spans="1:6" x14ac:dyDescent="0.25">
      <c r="A40611" s="1" t="str">
        <f t="shared" si="1438"/>
        <v>99999</v>
      </c>
      <c r="B40611" s="1" t="str">
        <f>"35553"</f>
        <v>35553</v>
      </c>
      <c r="C40611" s="2">
        <v>2.6372352940030099E-4</v>
      </c>
      <c r="D40611" s="2">
        <v>1.6713368737568399E-4</v>
      </c>
      <c r="E40611" s="2">
        <v>5.1612681235779599E-5</v>
      </c>
      <c r="F40611" s="2">
        <v>2.52526598185479E-4</v>
      </c>
    </row>
    <row r="40612" spans="1:6" x14ac:dyDescent="0.25">
      <c r="A40612" s="1" t="str">
        <f t="shared" si="1438"/>
        <v>99999</v>
      </c>
      <c r="B40612" s="1" t="str">
        <f>"35554"</f>
        <v>35554</v>
      </c>
      <c r="C40612" s="2">
        <v>4.1572181974431801E-5</v>
      </c>
      <c r="D40612" s="2">
        <v>1.50570889527644E-5</v>
      </c>
      <c r="E40612" s="2">
        <v>8.6021135392965999E-6</v>
      </c>
      <c r="F40612" s="2">
        <v>3.9077972990015501E-5</v>
      </c>
    </row>
    <row r="40613" spans="1:6" x14ac:dyDescent="0.25">
      <c r="A40613" s="1" t="str">
        <f t="shared" si="1438"/>
        <v>99999</v>
      </c>
      <c r="B40613" s="1" t="str">
        <f>"36420"</f>
        <v>36420</v>
      </c>
      <c r="C40613" s="2">
        <v>7.5739319034667904E-4</v>
      </c>
      <c r="D40613" s="2">
        <v>1.9167674236869E-3</v>
      </c>
      <c r="E40613" s="2">
        <v>4.81718358200609E-4</v>
      </c>
      <c r="F40613" s="2">
        <v>8.2705174653868805E-4</v>
      </c>
    </row>
    <row r="40614" spans="1:6" x14ac:dyDescent="0.25">
      <c r="A40614" s="1" t="str">
        <f t="shared" si="1438"/>
        <v>99999</v>
      </c>
      <c r="B40614" s="1" t="str">
        <f>"36445"</f>
        <v>36445</v>
      </c>
      <c r="C40614" s="2">
        <v>2.4791743937877301E-4</v>
      </c>
      <c r="D40614" s="2">
        <v>1.15939584936285E-4</v>
      </c>
      <c r="E40614" s="2">
        <v>1.2473064631979999E-4</v>
      </c>
      <c r="F40614" s="2">
        <v>2.3644147293958899E-4</v>
      </c>
    </row>
    <row r="40615" spans="1:6" x14ac:dyDescent="0.25">
      <c r="A40615" s="1" t="str">
        <f t="shared" si="1438"/>
        <v>99999</v>
      </c>
      <c r="B40615" s="1" t="str">
        <f>"36451"</f>
        <v>36451</v>
      </c>
      <c r="C40615" s="2">
        <v>2.74008314003351E-4</v>
      </c>
      <c r="D40615" s="2">
        <v>2.2736204318674199E-4</v>
      </c>
      <c r="E40615" s="2">
        <v>2.9247186033608399E-4</v>
      </c>
      <c r="F40615" s="2">
        <v>2.7137481243066301E-4</v>
      </c>
    </row>
    <row r="40616" spans="1:6" x14ac:dyDescent="0.25">
      <c r="A40616" s="1" t="str">
        <f t="shared" si="1438"/>
        <v>99999</v>
      </c>
      <c r="B40616" s="1" t="str">
        <f>"36460"</f>
        <v>36460</v>
      </c>
      <c r="C40616" s="2">
        <v>5.9695055053910601E-4</v>
      </c>
      <c r="D40616" s="2">
        <v>1.0193649221021501E-3</v>
      </c>
      <c r="E40616" s="2">
        <v>5.5053526651498196E-4</v>
      </c>
      <c r="F40616" s="2">
        <v>6.2356997809067695E-4</v>
      </c>
    </row>
    <row r="40617" spans="1:6" x14ac:dyDescent="0.25">
      <c r="A40617" s="1" t="str">
        <f t="shared" si="1438"/>
        <v>99999</v>
      </c>
      <c r="B40617" s="1" t="str">
        <f>"36471"</f>
        <v>36471</v>
      </c>
      <c r="C40617" s="2">
        <v>7.2967840236372403E-5</v>
      </c>
      <c r="D40617" s="2">
        <v>1.80685067433172E-5</v>
      </c>
      <c r="E40617" s="2">
        <v>4.3010567696482999E-6</v>
      </c>
      <c r="F40617" s="2">
        <v>6.7794362232678499E-5</v>
      </c>
    </row>
    <row r="40618" spans="1:6" x14ac:dyDescent="0.25">
      <c r="A40618" s="1" t="str">
        <f t="shared" si="1438"/>
        <v>99999</v>
      </c>
      <c r="B40618" s="1" t="str">
        <f>"36474"</f>
        <v>36474</v>
      </c>
      <c r="C40618" s="2">
        <v>1.8252786148148899E-4</v>
      </c>
      <c r="D40618" s="2">
        <v>6.3239773601610501E-5</v>
      </c>
      <c r="E40618" s="2">
        <v>4.3010567696482999E-6</v>
      </c>
      <c r="F40618" s="2">
        <v>1.7062074570640601E-4</v>
      </c>
    </row>
    <row r="40619" spans="1:6" x14ac:dyDescent="0.25">
      <c r="A40619" s="1" t="str">
        <f t="shared" si="1438"/>
        <v>99999</v>
      </c>
      <c r="B40619" s="1" t="str">
        <f>"36502"</f>
        <v>36502</v>
      </c>
      <c r="C40619" s="2">
        <v>2.5549570171786201E-5</v>
      </c>
      <c r="D40619" s="2">
        <v>1.35513800574879E-5</v>
      </c>
      <c r="E40619" s="2">
        <v>0</v>
      </c>
      <c r="F40619" s="2">
        <v>2.41770287438227E-5</v>
      </c>
    </row>
    <row r="40620" spans="1:6" x14ac:dyDescent="0.25">
      <c r="A40620" s="1" t="str">
        <f t="shared" si="1438"/>
        <v>99999</v>
      </c>
      <c r="B40620" s="1" t="str">
        <f>"36274"</f>
        <v>36274</v>
      </c>
      <c r="C40620" s="2">
        <v>6.1091620542114199E-4</v>
      </c>
      <c r="D40620" s="2">
        <v>7.8899146112485397E-4</v>
      </c>
      <c r="E40620" s="2">
        <v>7.6988916176704599E-4</v>
      </c>
      <c r="F40620" s="2">
        <v>6.2623438533999703E-4</v>
      </c>
    </row>
    <row r="40621" spans="1:6" x14ac:dyDescent="0.25">
      <c r="A40621" s="1" t="str">
        <f t="shared" si="1438"/>
        <v>99999</v>
      </c>
      <c r="B40621" s="1" t="str">
        <f>"36251"</f>
        <v>36251</v>
      </c>
      <c r="C40621" s="2">
        <v>3.70901811053133E-4</v>
      </c>
      <c r="D40621" s="2">
        <v>2.07787827548148E-4</v>
      </c>
      <c r="E40621" s="2">
        <v>7.9999655915458405E-4</v>
      </c>
      <c r="F40621" s="2">
        <v>3.7005656240545002E-4</v>
      </c>
    </row>
    <row r="40622" spans="1:6" x14ac:dyDescent="0.25">
      <c r="A40622" s="1" t="str">
        <f t="shared" si="1438"/>
        <v>99999</v>
      </c>
      <c r="B40622" s="1" t="str">
        <f>"37078"</f>
        <v>37078</v>
      </c>
      <c r="C40622" s="2">
        <v>4.5686095815651599E-5</v>
      </c>
      <c r="D40622" s="2">
        <v>6.4745482496886904E-5</v>
      </c>
      <c r="E40622" s="2">
        <v>0</v>
      </c>
      <c r="F40622" s="2">
        <v>4.5887013738275799E-5</v>
      </c>
    </row>
    <row r="40623" spans="1:6" x14ac:dyDescent="0.25">
      <c r="A40623" s="1" t="str">
        <f t="shared" si="1438"/>
        <v>99999</v>
      </c>
      <c r="B40623" s="1" t="str">
        <f>"37097"</f>
        <v>37097</v>
      </c>
      <c r="C40623" s="2">
        <v>1.6531437988270099E-4</v>
      </c>
      <c r="D40623" s="2">
        <v>9.0342533716586399E-5</v>
      </c>
      <c r="E40623" s="2">
        <v>1.29031703089449E-5</v>
      </c>
      <c r="F40623" s="2">
        <v>1.5690398245991099E-4</v>
      </c>
    </row>
    <row r="40624" spans="1:6" x14ac:dyDescent="0.25">
      <c r="A40624" s="1" t="str">
        <f t="shared" si="1438"/>
        <v>99999</v>
      </c>
      <c r="B40624" s="1" t="str">
        <f>"37150"</f>
        <v>37150</v>
      </c>
      <c r="C40624" s="2">
        <v>1.5113220321954799E-4</v>
      </c>
      <c r="D40624" s="2">
        <v>1.08411040459903E-4</v>
      </c>
      <c r="E40624" s="2">
        <v>0</v>
      </c>
      <c r="F40624" s="2">
        <v>1.4486480896298701E-4</v>
      </c>
    </row>
    <row r="40625" spans="1:6" x14ac:dyDescent="0.25">
      <c r="A40625" s="1" t="str">
        <f t="shared" si="1438"/>
        <v>99999</v>
      </c>
      <c r="B40625" s="1" t="str">
        <f>"37061"</f>
        <v>37061</v>
      </c>
      <c r="C40625" s="2">
        <v>3.9591007677212698E-4</v>
      </c>
      <c r="D40625" s="2">
        <v>2.5597051219699402E-4</v>
      </c>
      <c r="E40625" s="2">
        <v>6.4515851544724506E-5</v>
      </c>
      <c r="F40625" s="2">
        <v>3.7913528340313002E-4</v>
      </c>
    </row>
    <row r="40626" spans="1:6" x14ac:dyDescent="0.25">
      <c r="A40626" s="1" t="str">
        <f t="shared" si="1438"/>
        <v>99999</v>
      </c>
      <c r="B40626" s="1" t="str">
        <f>"36728"</f>
        <v>36728</v>
      </c>
      <c r="C40626" s="2">
        <v>5.0341314109663503E-5</v>
      </c>
      <c r="D40626" s="2">
        <v>1.50570889527644E-5</v>
      </c>
      <c r="E40626" s="2">
        <v>8.6021135392965999E-6</v>
      </c>
      <c r="F40626" s="2">
        <v>4.7071194737973303E-5</v>
      </c>
    </row>
    <row r="40627" spans="1:6" x14ac:dyDescent="0.25">
      <c r="A40627" s="1" t="str">
        <f t="shared" si="1438"/>
        <v>99999</v>
      </c>
      <c r="B40627" s="1" t="str">
        <f>"36759"</f>
        <v>36759</v>
      </c>
      <c r="C40627" s="2">
        <v>1.08260890558416E-5</v>
      </c>
      <c r="D40627" s="2">
        <v>1.50570889527644E-6</v>
      </c>
      <c r="E40627" s="2">
        <v>0</v>
      </c>
      <c r="F40627" s="2">
        <v>9.9668567474534592E-6</v>
      </c>
    </row>
    <row r="40628" spans="1:6" x14ac:dyDescent="0.25">
      <c r="A40628" s="1" t="str">
        <f t="shared" si="1438"/>
        <v>99999</v>
      </c>
      <c r="B40628" s="1" t="str">
        <f>"36039"</f>
        <v>36039</v>
      </c>
      <c r="C40628" s="2">
        <v>2.0244786534423801E-5</v>
      </c>
      <c r="D40628" s="2">
        <v>4.5171266858293203E-6</v>
      </c>
      <c r="E40628" s="2">
        <v>1.29031703089449E-5</v>
      </c>
      <c r="F40628" s="2">
        <v>1.9045577745133799E-5</v>
      </c>
    </row>
    <row r="40629" spans="1:6" x14ac:dyDescent="0.25">
      <c r="A40629" s="1" t="str">
        <f t="shared" si="1438"/>
        <v>99999</v>
      </c>
      <c r="B40629" s="1" t="str">
        <f>"36042"</f>
        <v>36042</v>
      </c>
      <c r="C40629" s="2">
        <v>9.3212626770796303E-5</v>
      </c>
      <c r="D40629" s="2">
        <v>1.35513800574879E-5</v>
      </c>
      <c r="E40629" s="2">
        <v>1.29031703089449E-5</v>
      </c>
      <c r="F40629" s="2">
        <v>8.6149167727988797E-5</v>
      </c>
    </row>
    <row r="40630" spans="1:6" x14ac:dyDescent="0.25">
      <c r="A40630" s="1" t="str">
        <f t="shared" si="1438"/>
        <v>99999</v>
      </c>
      <c r="B40630" s="1" t="str">
        <f>"36049"</f>
        <v>36049</v>
      </c>
      <c r="C40630" s="2">
        <v>3.7902137784501499E-4</v>
      </c>
      <c r="D40630" s="2">
        <v>7.2725739641852001E-4</v>
      </c>
      <c r="E40630" s="2">
        <v>4.1720250665588498E-4</v>
      </c>
      <c r="F40630" s="2">
        <v>4.0272022164710401E-4</v>
      </c>
    </row>
    <row r="40631" spans="1:6" x14ac:dyDescent="0.25">
      <c r="A40631" s="1" t="str">
        <f t="shared" si="1438"/>
        <v>99999</v>
      </c>
      <c r="B40631" s="1" t="str">
        <f>"35973"</f>
        <v>35973</v>
      </c>
      <c r="C40631" s="2">
        <v>1.7581568626686699E-4</v>
      </c>
      <c r="D40631" s="2">
        <v>3.9148431277187403E-5</v>
      </c>
      <c r="E40631" s="2">
        <v>1.72042270785932E-5</v>
      </c>
      <c r="F40631" s="2">
        <v>1.63219614458297E-4</v>
      </c>
    </row>
    <row r="40632" spans="1:6" x14ac:dyDescent="0.25">
      <c r="A40632" s="1" t="str">
        <f t="shared" si="1438"/>
        <v>99999</v>
      </c>
      <c r="B40632" s="1" t="str">
        <f>"37640"</f>
        <v>37640</v>
      </c>
      <c r="C40632" s="2">
        <v>2.0309743068758801E-4</v>
      </c>
      <c r="D40632" s="2">
        <v>8.5825407030757094E-5</v>
      </c>
      <c r="E40632" s="2">
        <v>5.5913738005427899E-5</v>
      </c>
      <c r="F40632" s="2">
        <v>1.92034685450935E-4</v>
      </c>
    </row>
    <row r="40633" spans="1:6" x14ac:dyDescent="0.25">
      <c r="A40633" s="1" t="str">
        <f t="shared" si="1438"/>
        <v>99999</v>
      </c>
      <c r="B40633" s="1" t="str">
        <f>"37680"</f>
        <v>37680</v>
      </c>
      <c r="C40633" s="2">
        <v>4.5577834925093202E-5</v>
      </c>
      <c r="D40633" s="2">
        <v>2.7102760114975901E-5</v>
      </c>
      <c r="E40633" s="2">
        <v>1.72042270785932E-5</v>
      </c>
      <c r="F40633" s="2">
        <v>4.3716015238830501E-5</v>
      </c>
    </row>
    <row r="40634" spans="1:6" x14ac:dyDescent="0.25">
      <c r="A40634" s="1" t="str">
        <f t="shared" si="1438"/>
        <v>99999</v>
      </c>
      <c r="B40634" s="1" t="str">
        <f>"38348"</f>
        <v>38348</v>
      </c>
      <c r="C40634" s="2">
        <v>5.3697401716974401E-5</v>
      </c>
      <c r="D40634" s="2">
        <v>1.80685067433172E-5</v>
      </c>
      <c r="E40634" s="2">
        <v>8.6021135392965999E-6</v>
      </c>
      <c r="F40634" s="2">
        <v>5.0327692487141198E-5</v>
      </c>
    </row>
    <row r="40635" spans="1:6" x14ac:dyDescent="0.25">
      <c r="A40635" s="1" t="str">
        <f t="shared" si="1438"/>
        <v>99999</v>
      </c>
      <c r="B40635" s="1" t="str">
        <f>"38372"</f>
        <v>38372</v>
      </c>
      <c r="C40635" s="2">
        <v>1.16651109576693E-3</v>
      </c>
      <c r="D40635" s="2">
        <v>1.88815895467665E-3</v>
      </c>
      <c r="E40635" s="2">
        <v>8.8171663777790205E-4</v>
      </c>
      <c r="F40635" s="2">
        <v>1.2072725291915401E-3</v>
      </c>
    </row>
    <row r="40636" spans="1:6" x14ac:dyDescent="0.25">
      <c r="A40636" s="1" t="str">
        <f t="shared" si="1438"/>
        <v>99999</v>
      </c>
      <c r="B40636" s="1" t="str">
        <f>"38351"</f>
        <v>38351</v>
      </c>
      <c r="C40636" s="2">
        <v>9.7174975365234295E-4</v>
      </c>
      <c r="D40636" s="2">
        <v>1.24522125639361E-3</v>
      </c>
      <c r="E40636" s="2">
        <v>6.9677119668302501E-4</v>
      </c>
      <c r="F40636" s="2">
        <v>9.8336363849875008E-4</v>
      </c>
    </row>
    <row r="40637" spans="1:6" x14ac:dyDescent="0.25">
      <c r="A40637" s="1" t="str">
        <f t="shared" si="1438"/>
        <v>99999</v>
      </c>
      <c r="B40637" s="1" t="str">
        <f>"38387"</f>
        <v>38387</v>
      </c>
      <c r="C40637" s="2">
        <v>2.2734787017267301E-5</v>
      </c>
      <c r="D40637" s="2">
        <v>1.50570889527644E-6</v>
      </c>
      <c r="E40637" s="2">
        <v>0</v>
      </c>
      <c r="F40637" s="2">
        <v>2.082184924468E-5</v>
      </c>
    </row>
    <row r="40638" spans="1:6" x14ac:dyDescent="0.25">
      <c r="A40638" s="1" t="str">
        <f t="shared" si="1438"/>
        <v>99999</v>
      </c>
      <c r="B40638" s="1" t="str">
        <f>"38317"</f>
        <v>38317</v>
      </c>
      <c r="C40638" s="2">
        <v>1.4409524533325101E-4</v>
      </c>
      <c r="D40638" s="2">
        <v>1.7315652295679001E-4</v>
      </c>
      <c r="E40638" s="2">
        <v>6.8816908314372799E-5</v>
      </c>
      <c r="F40638" s="2">
        <v>1.44272718463138E-4</v>
      </c>
    </row>
    <row r="40639" spans="1:6" x14ac:dyDescent="0.25">
      <c r="A40639" s="1" t="str">
        <f t="shared" si="1438"/>
        <v>99999</v>
      </c>
      <c r="B40639" s="1" t="str">
        <f>"38379"</f>
        <v>38379</v>
      </c>
      <c r="C40639" s="2">
        <v>7.5133058047540801E-5</v>
      </c>
      <c r="D40639" s="2">
        <v>3.1619886800805203E-5</v>
      </c>
      <c r="E40639" s="2">
        <v>0</v>
      </c>
      <c r="F40639" s="2">
        <v>7.0557451231972505E-5</v>
      </c>
    </row>
    <row r="40640" spans="1:6" x14ac:dyDescent="0.25">
      <c r="A40640" s="1" t="str">
        <f t="shared" si="1438"/>
        <v>99999</v>
      </c>
      <c r="B40640" s="1" t="str">
        <f>"38332"</f>
        <v>38332</v>
      </c>
      <c r="C40640" s="2">
        <v>7.0369578862970498E-6</v>
      </c>
      <c r="D40640" s="2">
        <v>0</v>
      </c>
      <c r="E40640" s="2">
        <v>0</v>
      </c>
      <c r="F40640" s="2">
        <v>6.4143137483611402E-6</v>
      </c>
    </row>
    <row r="40641" spans="1:6" x14ac:dyDescent="0.25">
      <c r="A40641" s="1" t="str">
        <f t="shared" si="1438"/>
        <v>99999</v>
      </c>
      <c r="B40641" s="1" t="str">
        <f>"38042"</f>
        <v>38042</v>
      </c>
      <c r="C40641" s="2">
        <v>4.46034869100674E-5</v>
      </c>
      <c r="D40641" s="2">
        <v>2.25856334291466E-5</v>
      </c>
      <c r="E40641" s="2">
        <v>8.6021135392965999E-6</v>
      </c>
      <c r="F40641" s="2">
        <v>4.2334470739183499E-5</v>
      </c>
    </row>
    <row r="40642" spans="1:6" x14ac:dyDescent="0.25">
      <c r="A40642" s="1" t="str">
        <f t="shared" si="1438"/>
        <v>99999</v>
      </c>
      <c r="B40642" s="1" t="str">
        <f>"38258"</f>
        <v>38258</v>
      </c>
      <c r="C40642" s="2">
        <v>9.2454800536887396E-5</v>
      </c>
      <c r="D40642" s="2">
        <v>5.2699811334675399E-5</v>
      </c>
      <c r="E40642" s="2">
        <v>0</v>
      </c>
      <c r="F40642" s="2">
        <v>8.7728075727585401E-5</v>
      </c>
    </row>
    <row r="40643" spans="1:6" x14ac:dyDescent="0.25">
      <c r="A40643" s="1" t="str">
        <f t="shared" si="1438"/>
        <v>99999</v>
      </c>
      <c r="B40643" s="1" t="str">
        <f>"37869"</f>
        <v>37869</v>
      </c>
      <c r="C40643" s="2">
        <v>2.9576875300559198E-4</v>
      </c>
      <c r="D40643" s="2">
        <v>1.4153663615598501E-4</v>
      </c>
      <c r="E40643" s="2">
        <v>2.49461292639601E-4</v>
      </c>
      <c r="F40643" s="2">
        <v>2.8459816692728498E-4</v>
      </c>
    </row>
    <row r="40644" spans="1:6" x14ac:dyDescent="0.25">
      <c r="A40644" s="1" t="str">
        <f t="shared" si="1438"/>
        <v>99999</v>
      </c>
      <c r="B40644" s="1" t="str">
        <f>"37356"</f>
        <v>37356</v>
      </c>
      <c r="C40644" s="2">
        <v>8.6933495118408094E-5</v>
      </c>
      <c r="D40644" s="2">
        <v>4.9688393544122498E-5</v>
      </c>
      <c r="E40644" s="2">
        <v>5.5913738005427899E-5</v>
      </c>
      <c r="F40644" s="2">
        <v>8.3780805728593993E-5</v>
      </c>
    </row>
    <row r="40645" spans="1:6" x14ac:dyDescent="0.25">
      <c r="A40645" s="1" t="str">
        <f t="shared" si="1438"/>
        <v>99999</v>
      </c>
      <c r="B40645" s="1" t="str">
        <f>"37379"</f>
        <v>37379</v>
      </c>
      <c r="C40645" s="2">
        <v>1.25582633047762E-5</v>
      </c>
      <c r="D40645" s="2">
        <v>1.50570889527644E-6</v>
      </c>
      <c r="E40645" s="2">
        <v>0</v>
      </c>
      <c r="F40645" s="2">
        <v>1.154576474705E-5</v>
      </c>
    </row>
    <row r="40646" spans="1:6" x14ac:dyDescent="0.25">
      <c r="A40646" s="1" t="str">
        <f t="shared" ref="A40646:A40709" si="1439">"99999"</f>
        <v>99999</v>
      </c>
      <c r="B40646" s="1" t="str">
        <f>"37339"</f>
        <v>37339</v>
      </c>
      <c r="C40646" s="2">
        <v>7.0802622425204101E-5</v>
      </c>
      <c r="D40646" s="2">
        <v>2.1079924533870101E-5</v>
      </c>
      <c r="E40646" s="2">
        <v>4.3010567696482999E-6</v>
      </c>
      <c r="F40646" s="2">
        <v>6.6018090733132301E-5</v>
      </c>
    </row>
    <row r="40647" spans="1:6" x14ac:dyDescent="0.25">
      <c r="A40647" s="1" t="str">
        <f t="shared" si="1439"/>
        <v>99999</v>
      </c>
      <c r="B40647" s="1" t="str">
        <f>"37185"</f>
        <v>37185</v>
      </c>
      <c r="C40647" s="2">
        <v>5.1932749200872205E-4</v>
      </c>
      <c r="D40647" s="2">
        <v>6.5950049613108005E-4</v>
      </c>
      <c r="E40647" s="2">
        <v>1.67741214016283E-4</v>
      </c>
      <c r="F40647" s="2">
        <v>5.2044754936702502E-4</v>
      </c>
    </row>
    <row r="40648" spans="1:6" x14ac:dyDescent="0.25">
      <c r="A40648" s="1" t="str">
        <f t="shared" si="1439"/>
        <v>99999</v>
      </c>
      <c r="B40648" s="1" t="str">
        <f>"37308"</f>
        <v>37308</v>
      </c>
      <c r="C40648" s="2">
        <v>5.672870665261E-5</v>
      </c>
      <c r="D40648" s="2">
        <v>1.0539962266935E-5</v>
      </c>
      <c r="E40648" s="2">
        <v>0</v>
      </c>
      <c r="F40648" s="2">
        <v>5.2400009236611699E-5</v>
      </c>
    </row>
    <row r="40649" spans="1:6" x14ac:dyDescent="0.25">
      <c r="A40649" s="1" t="str">
        <f t="shared" si="1439"/>
        <v>99999</v>
      </c>
      <c r="B40649" s="1" t="str">
        <f>"39168"</f>
        <v>39168</v>
      </c>
      <c r="C40649" s="2">
        <v>1.94328298552357E-4</v>
      </c>
      <c r="D40649" s="2">
        <v>8.1308280344927694E-5</v>
      </c>
      <c r="E40649" s="2">
        <v>3.44084541571864E-5</v>
      </c>
      <c r="F40649" s="2">
        <v>1.83252009703179E-4</v>
      </c>
    </row>
    <row r="40650" spans="1:6" x14ac:dyDescent="0.25">
      <c r="A40650" s="1" t="str">
        <f t="shared" si="1439"/>
        <v>99999</v>
      </c>
      <c r="B40650" s="1" t="str">
        <f>"39327"</f>
        <v>39327</v>
      </c>
      <c r="C40650" s="2">
        <v>2.0158177821977E-4</v>
      </c>
      <c r="D40650" s="2">
        <v>8.4319698135480595E-5</v>
      </c>
      <c r="E40650" s="2">
        <v>7.3117965084021106E-5</v>
      </c>
      <c r="F40650" s="2">
        <v>1.9094918620121199E-4</v>
      </c>
    </row>
    <row r="40651" spans="1:6" x14ac:dyDescent="0.25">
      <c r="A40651" s="1" t="str">
        <f t="shared" si="1439"/>
        <v>99999</v>
      </c>
      <c r="B40651" s="1" t="str">
        <f>"39160"</f>
        <v>39160</v>
      </c>
      <c r="C40651" s="2">
        <v>1.4593568047274399E-4</v>
      </c>
      <c r="D40651" s="2">
        <v>2.25856334291466E-5</v>
      </c>
      <c r="E40651" s="2">
        <v>4.3010567696482999E-6</v>
      </c>
      <c r="F40651" s="2">
        <v>1.3460190696560899E-4</v>
      </c>
    </row>
    <row r="40652" spans="1:6" x14ac:dyDescent="0.25">
      <c r="A40652" s="1" t="str">
        <f t="shared" si="1439"/>
        <v>99999</v>
      </c>
      <c r="B40652" s="1" t="str">
        <f>"39120"</f>
        <v>39120</v>
      </c>
      <c r="C40652" s="2">
        <v>4.6876965611794201E-5</v>
      </c>
      <c r="D40652" s="2">
        <v>1.80685067433172E-5</v>
      </c>
      <c r="E40652" s="2">
        <v>0</v>
      </c>
      <c r="F40652" s="2">
        <v>4.3913378738780102E-5</v>
      </c>
    </row>
    <row r="40653" spans="1:6" x14ac:dyDescent="0.25">
      <c r="A40653" s="1" t="str">
        <f t="shared" si="1439"/>
        <v>99999</v>
      </c>
      <c r="B40653" s="1" t="str">
        <f>"39116"</f>
        <v>39116</v>
      </c>
      <c r="C40653" s="2">
        <v>1.4561089780106901E-4</v>
      </c>
      <c r="D40653" s="2">
        <v>4.8182684648845999E-5</v>
      </c>
      <c r="E40653" s="2">
        <v>0</v>
      </c>
      <c r="F40653" s="2">
        <v>1.35884769715281E-4</v>
      </c>
    </row>
    <row r="40654" spans="1:6" x14ac:dyDescent="0.25">
      <c r="A40654" s="1" t="str">
        <f t="shared" si="1439"/>
        <v>99999</v>
      </c>
      <c r="B40654" s="1" t="str">
        <f>"39086"</f>
        <v>39086</v>
      </c>
      <c r="C40654" s="2">
        <v>7.9463493669877406E-5</v>
      </c>
      <c r="D40654" s="2">
        <v>1.50570889527644E-5</v>
      </c>
      <c r="E40654" s="2">
        <v>2.15052838482415E-5</v>
      </c>
      <c r="F40654" s="2">
        <v>7.3912630731115306E-5</v>
      </c>
    </row>
    <row r="40655" spans="1:6" x14ac:dyDescent="0.25">
      <c r="A40655" s="1" t="str">
        <f t="shared" si="1439"/>
        <v>99999</v>
      </c>
      <c r="B40655" s="1" t="str">
        <f>"40178"</f>
        <v>40178</v>
      </c>
      <c r="C40655" s="2">
        <v>3.4318702307017899E-5</v>
      </c>
      <c r="D40655" s="2">
        <v>4.5171266858293203E-6</v>
      </c>
      <c r="E40655" s="2">
        <v>4.7311624466131299E-5</v>
      </c>
      <c r="F40655" s="2">
        <v>3.2663659241654398E-5</v>
      </c>
    </row>
    <row r="40656" spans="1:6" x14ac:dyDescent="0.25">
      <c r="A40656" s="1" t="str">
        <f t="shared" si="1439"/>
        <v>99999</v>
      </c>
      <c r="B40656" s="1" t="str">
        <f>"39483"</f>
        <v>39483</v>
      </c>
      <c r="C40656" s="2">
        <v>4.3423443202980698E-4</v>
      </c>
      <c r="D40656" s="2">
        <v>2.13810663129254E-4</v>
      </c>
      <c r="E40656" s="2">
        <v>3.44084541571864E-5</v>
      </c>
      <c r="F40656" s="2">
        <v>4.1061476164508702E-4</v>
      </c>
    </row>
    <row r="40657" spans="1:6" x14ac:dyDescent="0.25">
      <c r="A40657" s="1" t="str">
        <f t="shared" si="1439"/>
        <v>99999</v>
      </c>
      <c r="B40657" s="1" t="str">
        <f>"40311"</f>
        <v>40311</v>
      </c>
      <c r="C40657" s="2">
        <v>3.7912963873557297E-4</v>
      </c>
      <c r="D40657" s="2">
        <v>2.8909610789307601E-4</v>
      </c>
      <c r="E40657" s="2">
        <v>3.09676087414677E-4</v>
      </c>
      <c r="F40657" s="2">
        <v>3.7163547040504699E-4</v>
      </c>
    </row>
    <row r="40658" spans="1:6" x14ac:dyDescent="0.25">
      <c r="A40658" s="1" t="str">
        <f t="shared" si="1439"/>
        <v>99999</v>
      </c>
      <c r="B40658" s="1" t="str">
        <f>"39664"</f>
        <v>39664</v>
      </c>
      <c r="C40658" s="2">
        <v>1.3142872113791699E-4</v>
      </c>
      <c r="D40658" s="2">
        <v>3.9148431277187403E-5</v>
      </c>
      <c r="E40658" s="2">
        <v>4.3010567696482999E-6</v>
      </c>
      <c r="F40658" s="2">
        <v>1.2246405171870999E-4</v>
      </c>
    </row>
    <row r="40659" spans="1:6" x14ac:dyDescent="0.25">
      <c r="A40659" s="1" t="str">
        <f t="shared" si="1439"/>
        <v>99999</v>
      </c>
      <c r="B40659" s="1" t="str">
        <f>"39643"</f>
        <v>39643</v>
      </c>
      <c r="C40659" s="2">
        <v>8.9748278272926995E-5</v>
      </c>
      <c r="D40659" s="2">
        <v>5.4205520229951803E-5</v>
      </c>
      <c r="E40659" s="2">
        <v>1.72042270785932E-5</v>
      </c>
      <c r="F40659" s="2">
        <v>8.5754440728089704E-5</v>
      </c>
    </row>
    <row r="40660" spans="1:6" x14ac:dyDescent="0.25">
      <c r="A40660" s="1" t="str">
        <f t="shared" si="1439"/>
        <v>99999</v>
      </c>
      <c r="B40660" s="1" t="str">
        <f>"39631"</f>
        <v>39631</v>
      </c>
      <c r="C40660" s="2">
        <v>1.4117220128817399E-4</v>
      </c>
      <c r="D40660" s="2">
        <v>1.18951002726838E-4</v>
      </c>
      <c r="E40660" s="2">
        <v>3.8709510926834699E-5</v>
      </c>
      <c r="F40660" s="2">
        <v>1.3736499596490301E-4</v>
      </c>
    </row>
    <row r="40661" spans="1:6" x14ac:dyDescent="0.25">
      <c r="A40661" s="1" t="str">
        <f t="shared" si="1439"/>
        <v>99999</v>
      </c>
      <c r="B40661" s="1" t="str">
        <f>"39652"</f>
        <v>39652</v>
      </c>
      <c r="C40661" s="2">
        <v>5.8677402682661502E-5</v>
      </c>
      <c r="D40661" s="2">
        <v>3.01141779055288E-6</v>
      </c>
      <c r="E40661" s="2">
        <v>0</v>
      </c>
      <c r="F40661" s="2">
        <v>5.3682871986284E-5</v>
      </c>
    </row>
    <row r="40662" spans="1:6" x14ac:dyDescent="0.25">
      <c r="A40662" s="1" t="str">
        <f t="shared" si="1439"/>
        <v>99999</v>
      </c>
      <c r="B40662" s="1" t="str">
        <f>"39743"</f>
        <v>39743</v>
      </c>
      <c r="C40662" s="2">
        <v>1.7321742489346499E-6</v>
      </c>
      <c r="D40662" s="2">
        <v>0</v>
      </c>
      <c r="E40662" s="2">
        <v>0</v>
      </c>
      <c r="F40662" s="2">
        <v>1.5789079995965801E-6</v>
      </c>
    </row>
    <row r="40663" spans="1:6" x14ac:dyDescent="0.25">
      <c r="A40663" s="1" t="str">
        <f t="shared" si="1439"/>
        <v>99999</v>
      </c>
      <c r="B40663" s="1" t="str">
        <f>"39669"</f>
        <v>39669</v>
      </c>
      <c r="C40663" s="2">
        <v>2.1013438857388499E-4</v>
      </c>
      <c r="D40663" s="2">
        <v>1.1142245825045601E-4</v>
      </c>
      <c r="E40663" s="2">
        <v>1.72042270785932E-5</v>
      </c>
      <c r="F40663" s="2">
        <v>1.9923845319909399E-4</v>
      </c>
    </row>
    <row r="40664" spans="1:6" x14ac:dyDescent="0.25">
      <c r="A40664" s="1" t="str">
        <f t="shared" si="1439"/>
        <v>99999</v>
      </c>
      <c r="B40664" s="1" t="str">
        <f>"39362"</f>
        <v>39362</v>
      </c>
      <c r="C40664" s="2">
        <v>1.5080742054787301E-4</v>
      </c>
      <c r="D40664" s="2">
        <v>5.8722646915781101E-5</v>
      </c>
      <c r="E40664" s="2">
        <v>2.15052838482415E-5</v>
      </c>
      <c r="F40664" s="2">
        <v>1.4180567471376801E-4</v>
      </c>
    </row>
    <row r="40665" spans="1:6" x14ac:dyDescent="0.25">
      <c r="A40665" s="1" t="str">
        <f t="shared" si="1439"/>
        <v>99999</v>
      </c>
      <c r="B40665" s="1" t="str">
        <f>"24823"</f>
        <v>24823</v>
      </c>
      <c r="C40665" s="2">
        <v>1.3532611319802E-5</v>
      </c>
      <c r="D40665" s="2">
        <v>1.50570889527644E-6</v>
      </c>
      <c r="E40665" s="2">
        <v>0</v>
      </c>
      <c r="F40665" s="2">
        <v>1.2433900496823101E-5</v>
      </c>
    </row>
    <row r="40666" spans="1:6" x14ac:dyDescent="0.25">
      <c r="A40666" s="1" t="str">
        <f t="shared" si="1439"/>
        <v>99999</v>
      </c>
      <c r="B40666" s="1" t="str">
        <f>"24870"</f>
        <v>24870</v>
      </c>
      <c r="C40666" s="2">
        <v>2.5982613734019799E-5</v>
      </c>
      <c r="D40666" s="2">
        <v>7.5285444763821999E-6</v>
      </c>
      <c r="E40666" s="2">
        <v>1.72042270785932E-5</v>
      </c>
      <c r="F40666" s="2">
        <v>2.4571755743721902E-5</v>
      </c>
    </row>
    <row r="40667" spans="1:6" x14ac:dyDescent="0.25">
      <c r="A40667" s="1" t="str">
        <f t="shared" si="1439"/>
        <v>99999</v>
      </c>
      <c r="B40667" s="1" t="str">
        <f>"26362"</f>
        <v>26362</v>
      </c>
      <c r="C40667" s="2">
        <v>1.8177003524757999E-4</v>
      </c>
      <c r="D40667" s="2">
        <v>2.4091342324422999E-4</v>
      </c>
      <c r="E40667" s="2">
        <v>1.07526419241207E-4</v>
      </c>
      <c r="F40667" s="2">
        <v>1.8394278195300201E-4</v>
      </c>
    </row>
    <row r="40668" spans="1:6" x14ac:dyDescent="0.25">
      <c r="A40668" s="1" t="str">
        <f t="shared" si="1439"/>
        <v>99999</v>
      </c>
      <c r="B40668" s="1" t="str">
        <f>"26146"</f>
        <v>26146</v>
      </c>
      <c r="C40668" s="2">
        <v>8.2603059496071503E-5</v>
      </c>
      <c r="D40668" s="2">
        <v>3.01141779055288E-5</v>
      </c>
      <c r="E40668" s="2">
        <v>8.6021135392965999E-6</v>
      </c>
      <c r="F40668" s="2">
        <v>7.7465173730207606E-5</v>
      </c>
    </row>
    <row r="40669" spans="1:6" x14ac:dyDescent="0.25">
      <c r="A40669" s="1" t="str">
        <f t="shared" si="1439"/>
        <v>99999</v>
      </c>
      <c r="B40669" s="1" t="str">
        <f>"26276"</f>
        <v>26276</v>
      </c>
      <c r="C40669" s="2">
        <v>2.1976960783358401E-5</v>
      </c>
      <c r="D40669" s="2">
        <v>3.01141779055288E-6</v>
      </c>
      <c r="E40669" s="2">
        <v>0</v>
      </c>
      <c r="F40669" s="2">
        <v>2.0229758744831201E-5</v>
      </c>
    </row>
    <row r="40670" spans="1:6" x14ac:dyDescent="0.25">
      <c r="A40670" s="1" t="str">
        <f t="shared" si="1439"/>
        <v>99999</v>
      </c>
      <c r="B40670" s="1" t="str">
        <f>"25976"</f>
        <v>25976</v>
      </c>
      <c r="C40670" s="2">
        <v>7.0153057081853598E-5</v>
      </c>
      <c r="D40670" s="2">
        <v>2.25856334291466E-5</v>
      </c>
      <c r="E40670" s="2">
        <v>4.3010567696482999E-6</v>
      </c>
      <c r="F40670" s="2">
        <v>6.5524681983258404E-5</v>
      </c>
    </row>
    <row r="40671" spans="1:6" x14ac:dyDescent="0.25">
      <c r="A40671" s="1" t="str">
        <f t="shared" si="1439"/>
        <v>99999</v>
      </c>
      <c r="B40671" s="1" t="str">
        <f>"25958"</f>
        <v>25958</v>
      </c>
      <c r="C40671" s="2">
        <v>3.75665290237704E-5</v>
      </c>
      <c r="D40671" s="2">
        <v>1.35513800574879E-5</v>
      </c>
      <c r="E40671" s="2">
        <v>1.29031703089449E-5</v>
      </c>
      <c r="F40671" s="2">
        <v>3.5426748240948397E-5</v>
      </c>
    </row>
    <row r="40672" spans="1:6" x14ac:dyDescent="0.25">
      <c r="A40672" s="1" t="str">
        <f t="shared" si="1439"/>
        <v>99999</v>
      </c>
      <c r="B40672" s="1" t="str">
        <f>"26836"</f>
        <v>26836</v>
      </c>
      <c r="C40672" s="2">
        <v>3.54987460141046E-4</v>
      </c>
      <c r="D40672" s="2">
        <v>5.4506662009007095E-4</v>
      </c>
      <c r="E40672" s="2">
        <v>3.91396166037995E-4</v>
      </c>
      <c r="F40672" s="2">
        <v>3.6828029090590398E-4</v>
      </c>
    </row>
    <row r="40673" spans="1:6" x14ac:dyDescent="0.25">
      <c r="A40673" s="1" t="str">
        <f t="shared" si="1439"/>
        <v>99999</v>
      </c>
      <c r="B40673" s="1" t="str">
        <f>"26833"</f>
        <v>26833</v>
      </c>
      <c r="C40673" s="2">
        <v>1.1129219549405101E-4</v>
      </c>
      <c r="D40673" s="2">
        <v>3.6137013486634501E-5</v>
      </c>
      <c r="E40673" s="2">
        <v>8.6021135392965999E-6</v>
      </c>
      <c r="F40673" s="2">
        <v>1.0401056447342499E-4</v>
      </c>
    </row>
    <row r="40674" spans="1:6" x14ac:dyDescent="0.25">
      <c r="A40674" s="1" t="str">
        <f t="shared" si="1439"/>
        <v>99999</v>
      </c>
      <c r="B40674" s="1" t="str">
        <f>"26684"</f>
        <v>26684</v>
      </c>
      <c r="C40674" s="2">
        <v>9.96000193137428E-6</v>
      </c>
      <c r="D40674" s="2">
        <v>0</v>
      </c>
      <c r="E40674" s="2">
        <v>4.3010567696482999E-6</v>
      </c>
      <c r="F40674" s="2">
        <v>9.1774027476551693E-6</v>
      </c>
    </row>
    <row r="40675" spans="1:6" x14ac:dyDescent="0.25">
      <c r="A40675" s="1" t="str">
        <f t="shared" si="1439"/>
        <v>99999</v>
      </c>
      <c r="B40675" s="1" t="str">
        <f>"26815"</f>
        <v>26815</v>
      </c>
      <c r="C40675" s="2">
        <v>6.8312621942360601E-5</v>
      </c>
      <c r="D40675" s="2">
        <v>6.0228355811057601E-6</v>
      </c>
      <c r="E40675" s="2">
        <v>1.72042270785932E-5</v>
      </c>
      <c r="F40675" s="2">
        <v>6.3057638233888702E-5</v>
      </c>
    </row>
    <row r="40676" spans="1:6" x14ac:dyDescent="0.25">
      <c r="A40676" s="1" t="str">
        <f t="shared" si="1439"/>
        <v>99999</v>
      </c>
      <c r="B40676" s="1" t="str">
        <f>"26679"</f>
        <v>26679</v>
      </c>
      <c r="C40676" s="2">
        <v>8.5309581760031905E-5</v>
      </c>
      <c r="D40676" s="2">
        <v>3.31255956960816E-5</v>
      </c>
      <c r="E40676" s="2">
        <v>1.72042270785932E-5</v>
      </c>
      <c r="F40676" s="2">
        <v>8.0326944479476402E-5</v>
      </c>
    </row>
    <row r="40677" spans="1:6" x14ac:dyDescent="0.25">
      <c r="A40677" s="1" t="str">
        <f t="shared" si="1439"/>
        <v>99999</v>
      </c>
      <c r="B40677" s="1" t="str">
        <f>"27217"</f>
        <v>27217</v>
      </c>
      <c r="C40677" s="2">
        <v>6.8420882832919005E-5</v>
      </c>
      <c r="D40677" s="2">
        <v>2.25856334291466E-5</v>
      </c>
      <c r="E40677" s="2">
        <v>2.15052838482415E-5</v>
      </c>
      <c r="F40677" s="2">
        <v>6.4340500983561003E-5</v>
      </c>
    </row>
    <row r="40678" spans="1:6" x14ac:dyDescent="0.25">
      <c r="A40678" s="1" t="str">
        <f t="shared" si="1439"/>
        <v>99999</v>
      </c>
      <c r="B40678" s="1" t="str">
        <f>"27229"</f>
        <v>27229</v>
      </c>
      <c r="C40678" s="2">
        <v>1.38790461695889E-4</v>
      </c>
      <c r="D40678" s="2">
        <v>1.06905331564627E-4</v>
      </c>
      <c r="E40678" s="2">
        <v>0</v>
      </c>
      <c r="F40678" s="2">
        <v>1.3351640771588601E-4</v>
      </c>
    </row>
    <row r="40679" spans="1:6" x14ac:dyDescent="0.25">
      <c r="A40679" s="1" t="str">
        <f t="shared" si="1439"/>
        <v>99999</v>
      </c>
      <c r="B40679" s="1" t="str">
        <f>"27314"</f>
        <v>27314</v>
      </c>
      <c r="C40679" s="2">
        <v>5.3480879935857498E-5</v>
      </c>
      <c r="D40679" s="2">
        <v>2.1079924533870101E-5</v>
      </c>
      <c r="E40679" s="2">
        <v>8.6021135392965999E-6</v>
      </c>
      <c r="F40679" s="2">
        <v>5.0327692487141198E-5</v>
      </c>
    </row>
    <row r="40680" spans="1:6" x14ac:dyDescent="0.25">
      <c r="A40680" s="1" t="str">
        <f t="shared" si="1439"/>
        <v>99999</v>
      </c>
      <c r="B40680" s="1" t="str">
        <f>"27846"</f>
        <v>27846</v>
      </c>
      <c r="C40680" s="2">
        <v>1.54921334389093E-4</v>
      </c>
      <c r="D40680" s="2">
        <v>4.5171266858293199E-5</v>
      </c>
      <c r="E40680" s="2">
        <v>6.0214794775076199E-5</v>
      </c>
      <c r="F40680" s="2">
        <v>1.4555558121280999E-4</v>
      </c>
    </row>
    <row r="40681" spans="1:6" x14ac:dyDescent="0.25">
      <c r="A40681" s="1" t="str">
        <f t="shared" si="1439"/>
        <v>99999</v>
      </c>
      <c r="B40681" s="1" t="str">
        <f>"28631"</f>
        <v>28631</v>
      </c>
      <c r="C40681" s="2">
        <v>5.7378271995960502E-5</v>
      </c>
      <c r="D40681" s="2">
        <v>2.4091342324423E-5</v>
      </c>
      <c r="E40681" s="2">
        <v>1.29031703089449E-5</v>
      </c>
      <c r="F40681" s="2">
        <v>5.4176280736157897E-5</v>
      </c>
    </row>
    <row r="40682" spans="1:6" x14ac:dyDescent="0.25">
      <c r="A40682" s="1" t="str">
        <f t="shared" si="1439"/>
        <v>99999</v>
      </c>
      <c r="B40682" s="1" t="str">
        <f>"28615"</f>
        <v>28615</v>
      </c>
      <c r="C40682" s="2">
        <v>1.3456828696411101E-4</v>
      </c>
      <c r="D40682" s="2">
        <v>2.8608469010252301E-5</v>
      </c>
      <c r="E40682" s="2">
        <v>3.8709510926834699E-5</v>
      </c>
      <c r="F40682" s="2">
        <v>1.2542450421795399E-4</v>
      </c>
    </row>
    <row r="40683" spans="1:6" x14ac:dyDescent="0.25">
      <c r="A40683" s="1" t="str">
        <f t="shared" si="1439"/>
        <v>99999</v>
      </c>
      <c r="B40683" s="1" t="str">
        <f>"28694"</f>
        <v>28694</v>
      </c>
      <c r="C40683" s="2">
        <v>6.0355446486316995E-4</v>
      </c>
      <c r="D40683" s="2">
        <v>9.3655093286194597E-4</v>
      </c>
      <c r="E40683" s="2">
        <v>5.0322364204885095E-4</v>
      </c>
      <c r="F40683" s="2">
        <v>6.2307656934080299E-4</v>
      </c>
    </row>
    <row r="40684" spans="1:6" x14ac:dyDescent="0.25">
      <c r="A40684" s="1" t="str">
        <f t="shared" si="1439"/>
        <v>99999</v>
      </c>
      <c r="B40684" s="1" t="str">
        <f>"28127"</f>
        <v>28127</v>
      </c>
      <c r="C40684" s="2">
        <v>1.4506959334827701E-4</v>
      </c>
      <c r="D40684" s="2">
        <v>5.2699811334675399E-5</v>
      </c>
      <c r="E40684" s="2">
        <v>0</v>
      </c>
      <c r="F40684" s="2">
        <v>1.3568740621533099E-4</v>
      </c>
    </row>
    <row r="40685" spans="1:6" x14ac:dyDescent="0.25">
      <c r="A40685" s="1" t="str">
        <f t="shared" si="1439"/>
        <v>99999</v>
      </c>
      <c r="B40685" s="1" t="str">
        <f>"28328"</f>
        <v>28328</v>
      </c>
      <c r="C40685" s="2">
        <v>1.3772950496841699E-3</v>
      </c>
      <c r="D40685" s="2">
        <v>1.90773317031525E-3</v>
      </c>
      <c r="E40685" s="2">
        <v>1.1053715897996099E-3</v>
      </c>
      <c r="F40685" s="2">
        <v>1.40582021014081E-3</v>
      </c>
    </row>
    <row r="40686" spans="1:6" x14ac:dyDescent="0.25">
      <c r="A40686" s="1" t="str">
        <f t="shared" si="1439"/>
        <v>99999</v>
      </c>
      <c r="B40686" s="1" t="str">
        <f>"28399"</f>
        <v>28399</v>
      </c>
      <c r="C40686" s="2">
        <v>9.8733932189275496E-5</v>
      </c>
      <c r="D40686" s="2">
        <v>4.8182684648845999E-5</v>
      </c>
      <c r="E40686" s="2">
        <v>5.5913738005427899E-5</v>
      </c>
      <c r="F40686" s="2">
        <v>9.4438434725870895E-5</v>
      </c>
    </row>
    <row r="40687" spans="1:6" x14ac:dyDescent="0.25">
      <c r="A40687" s="1" t="str">
        <f t="shared" si="1439"/>
        <v>99999</v>
      </c>
      <c r="B40687" s="1" t="str">
        <f>"28439"</f>
        <v>28439</v>
      </c>
      <c r="C40687" s="2">
        <v>7.03695788629705E-5</v>
      </c>
      <c r="D40687" s="2">
        <v>4.8182684648845999E-5</v>
      </c>
      <c r="E40687" s="2">
        <v>3.44084541571864E-5</v>
      </c>
      <c r="F40687" s="2">
        <v>6.8090407482602897E-5</v>
      </c>
    </row>
    <row r="40688" spans="1:6" x14ac:dyDescent="0.25">
      <c r="A40688" s="1" t="str">
        <f t="shared" si="1439"/>
        <v>99999</v>
      </c>
      <c r="B40688" s="1" t="str">
        <f>"28442"</f>
        <v>28442</v>
      </c>
      <c r="C40688" s="2">
        <v>8.5201320869473501E-5</v>
      </c>
      <c r="D40688" s="2">
        <v>3.31255956960816E-5</v>
      </c>
      <c r="E40688" s="2">
        <v>8.6021135392965999E-6</v>
      </c>
      <c r="F40688" s="2">
        <v>8.0030899229552099E-5</v>
      </c>
    </row>
    <row r="40689" spans="1:6" x14ac:dyDescent="0.25">
      <c r="A40689" s="1" t="str">
        <f t="shared" si="1439"/>
        <v>99999</v>
      </c>
      <c r="B40689" s="1" t="str">
        <f>"28444"</f>
        <v>28444</v>
      </c>
      <c r="C40689" s="2">
        <v>1.2287611078380201E-4</v>
      </c>
      <c r="D40689" s="2">
        <v>5.5711229125228301E-5</v>
      </c>
      <c r="E40689" s="2">
        <v>8.6021135392965999E-6</v>
      </c>
      <c r="F40689" s="2">
        <v>1.15852374470399E-4</v>
      </c>
    </row>
    <row r="40690" spans="1:6" x14ac:dyDescent="0.25">
      <c r="A40690" s="1" t="str">
        <f t="shared" si="1439"/>
        <v>99999</v>
      </c>
      <c r="B40690" s="1" t="str">
        <f>"28472"</f>
        <v>28472</v>
      </c>
      <c r="C40690" s="2">
        <v>1.02144150241865E-3</v>
      </c>
      <c r="D40690" s="2">
        <v>1.8625619034569501E-3</v>
      </c>
      <c r="E40690" s="2">
        <v>1.07956524918172E-3</v>
      </c>
      <c r="F40690" s="2">
        <v>1.0779007549745899E-3</v>
      </c>
    </row>
    <row r="40691" spans="1:6" x14ac:dyDescent="0.25">
      <c r="A40691" s="1" t="str">
        <f t="shared" si="1439"/>
        <v>99999</v>
      </c>
      <c r="B40691" s="1" t="str">
        <f>"28466"</f>
        <v>28466</v>
      </c>
      <c r="C40691" s="2">
        <v>7.0586100644087302E-4</v>
      </c>
      <c r="D40691" s="2">
        <v>1.0810989868084799E-3</v>
      </c>
      <c r="E40691" s="2">
        <v>1.8494544109487701E-4</v>
      </c>
      <c r="F40691" s="2">
        <v>7.1850182156642196E-4</v>
      </c>
    </row>
    <row r="40692" spans="1:6" x14ac:dyDescent="0.25">
      <c r="A40692" s="1" t="str">
        <f t="shared" si="1439"/>
        <v>99999</v>
      </c>
      <c r="B40692" s="1" t="str">
        <f>"28431"</f>
        <v>28431</v>
      </c>
      <c r="C40692" s="2">
        <v>3.9439442430431001E-4</v>
      </c>
      <c r="D40692" s="2">
        <v>3.7642722381910998E-4</v>
      </c>
      <c r="E40692" s="2">
        <v>2.4516023586995298E-4</v>
      </c>
      <c r="F40692" s="2">
        <v>3.8979291240040699E-4</v>
      </c>
    </row>
    <row r="40693" spans="1:6" x14ac:dyDescent="0.25">
      <c r="A40693" s="1" t="str">
        <f t="shared" si="1439"/>
        <v>99999</v>
      </c>
      <c r="B40693" s="1" t="str">
        <f>"28702"</f>
        <v>28702</v>
      </c>
      <c r="C40693" s="2">
        <v>2.99882666846812E-5</v>
      </c>
      <c r="D40693" s="2">
        <v>9.0342533716586405E-6</v>
      </c>
      <c r="E40693" s="2">
        <v>1.29031703089449E-5</v>
      </c>
      <c r="F40693" s="2">
        <v>2.8222980492788999E-5</v>
      </c>
    </row>
    <row r="40694" spans="1:6" x14ac:dyDescent="0.25">
      <c r="A40694" s="1" t="str">
        <f t="shared" si="1439"/>
        <v>99999</v>
      </c>
      <c r="B40694" s="1" t="str">
        <f>"28705"</f>
        <v>28705</v>
      </c>
      <c r="C40694" s="2">
        <v>4.0164790397172298E-4</v>
      </c>
      <c r="D40694" s="2">
        <v>3.0264748795056398E-4</v>
      </c>
      <c r="E40694" s="2">
        <v>1.2903170308944901E-4</v>
      </c>
      <c r="F40694" s="2">
        <v>3.8890477665063402E-4</v>
      </c>
    </row>
    <row r="40695" spans="1:6" x14ac:dyDescent="0.25">
      <c r="A40695" s="1" t="str">
        <f t="shared" si="1439"/>
        <v>99999</v>
      </c>
      <c r="B40695" s="1" t="str">
        <f>"28763"</f>
        <v>28763</v>
      </c>
      <c r="C40695" s="2">
        <v>1.7321742489346501E-4</v>
      </c>
      <c r="D40695" s="2">
        <v>7.82968625543749E-5</v>
      </c>
      <c r="E40695" s="2">
        <v>4.3010567696482999E-6</v>
      </c>
      <c r="F40695" s="2">
        <v>1.63120932708322E-4</v>
      </c>
    </row>
    <row r="40696" spans="1:6" x14ac:dyDescent="0.25">
      <c r="A40696" s="1" t="str">
        <f t="shared" si="1439"/>
        <v>99999</v>
      </c>
      <c r="B40696" s="1" t="str">
        <f>"29056"</f>
        <v>29056</v>
      </c>
      <c r="C40696" s="2">
        <v>1.1703002269364701E-4</v>
      </c>
      <c r="D40696" s="2">
        <v>8.5825407030757094E-5</v>
      </c>
      <c r="E40696" s="2">
        <v>5.1612681235779599E-5</v>
      </c>
      <c r="F40696" s="2">
        <v>1.1348401247100401E-4</v>
      </c>
    </row>
    <row r="40697" spans="1:6" x14ac:dyDescent="0.25">
      <c r="A40697" s="1" t="str">
        <f t="shared" si="1439"/>
        <v>99999</v>
      </c>
      <c r="B40697" s="1" t="str">
        <f>"29040"</f>
        <v>29040</v>
      </c>
      <c r="C40697" s="2">
        <v>4.1030877521639702E-5</v>
      </c>
      <c r="D40697" s="2">
        <v>4.5171266858293203E-6</v>
      </c>
      <c r="E40697" s="2">
        <v>0</v>
      </c>
      <c r="F40697" s="2">
        <v>3.7696428490368499E-5</v>
      </c>
    </row>
    <row r="40698" spans="1:6" x14ac:dyDescent="0.25">
      <c r="A40698" s="1" t="str">
        <f t="shared" si="1439"/>
        <v>99999</v>
      </c>
      <c r="B40698" s="1" t="str">
        <f>"29727"</f>
        <v>29727</v>
      </c>
      <c r="C40698" s="2">
        <v>8.1087407028253704E-5</v>
      </c>
      <c r="D40698" s="2">
        <v>3.1619886800805203E-5</v>
      </c>
      <c r="E40698" s="2">
        <v>8.6021135392965999E-6</v>
      </c>
      <c r="F40698" s="2">
        <v>7.6182310980535401E-5</v>
      </c>
    </row>
    <row r="40699" spans="1:6" x14ac:dyDescent="0.25">
      <c r="A40699" s="1" t="str">
        <f t="shared" si="1439"/>
        <v>99999</v>
      </c>
      <c r="B40699" s="1" t="str">
        <f>"29010"</f>
        <v>29010</v>
      </c>
      <c r="C40699" s="2">
        <v>6.1503011926236195E-4</v>
      </c>
      <c r="D40699" s="2">
        <v>7.7995720775319601E-4</v>
      </c>
      <c r="E40699" s="2">
        <v>8.6021135392966004E-4</v>
      </c>
      <c r="F40699" s="2">
        <v>6.3146451808865996E-4</v>
      </c>
    </row>
    <row r="40700" spans="1:6" x14ac:dyDescent="0.25">
      <c r="A40700" s="1" t="str">
        <f t="shared" si="1439"/>
        <v>99999</v>
      </c>
      <c r="B40700" s="1" t="str">
        <f>"28901"</f>
        <v>28901</v>
      </c>
      <c r="C40700" s="2">
        <v>3.3625832607444E-4</v>
      </c>
      <c r="D40700" s="2">
        <v>3.1770457690332799E-4</v>
      </c>
      <c r="E40700" s="2">
        <v>8.1720078623317706E-5</v>
      </c>
      <c r="F40700" s="2">
        <v>3.2920231791588802E-4</v>
      </c>
    </row>
    <row r="40701" spans="1:6" x14ac:dyDescent="0.25">
      <c r="A40701" s="1" t="str">
        <f t="shared" si="1439"/>
        <v>99999</v>
      </c>
      <c r="B40701" s="1" t="str">
        <f>"28904"</f>
        <v>28904</v>
      </c>
      <c r="C40701" s="2">
        <v>7.7579754174160996E-4</v>
      </c>
      <c r="D40701" s="2">
        <v>8.1157709455400098E-4</v>
      </c>
      <c r="E40701" s="2">
        <v>3.13977144184326E-4</v>
      </c>
      <c r="F40701" s="2">
        <v>7.6754665130389095E-4</v>
      </c>
    </row>
    <row r="40702" spans="1:6" x14ac:dyDescent="0.25">
      <c r="A40702" s="1" t="str">
        <f t="shared" si="1439"/>
        <v>99999</v>
      </c>
      <c r="B40702" s="1" t="str">
        <f>"29104"</f>
        <v>29104</v>
      </c>
      <c r="C40702" s="2">
        <v>3.8649137929354497E-5</v>
      </c>
      <c r="D40702" s="2">
        <v>1.65627978480408E-5</v>
      </c>
      <c r="E40702" s="2">
        <v>3.44084541571864E-5</v>
      </c>
      <c r="F40702" s="2">
        <v>3.7104337990519798E-5</v>
      </c>
    </row>
    <row r="40703" spans="1:6" x14ac:dyDescent="0.25">
      <c r="A40703" s="1" t="str">
        <f t="shared" si="1439"/>
        <v>99999</v>
      </c>
      <c r="B40703" s="1" t="str">
        <f>"29101"</f>
        <v>29101</v>
      </c>
      <c r="C40703" s="2">
        <v>1.08585673230091E-4</v>
      </c>
      <c r="D40703" s="2">
        <v>5.5711229125228301E-5</v>
      </c>
      <c r="E40703" s="2">
        <v>4.3010567696482999E-6</v>
      </c>
      <c r="F40703" s="2">
        <v>1.0272770172375301E-4</v>
      </c>
    </row>
    <row r="40704" spans="1:6" x14ac:dyDescent="0.25">
      <c r="A40704" s="1" t="str">
        <f t="shared" si="1439"/>
        <v>99999</v>
      </c>
      <c r="B40704" s="1" t="str">
        <f>"29081"</f>
        <v>29081</v>
      </c>
      <c r="C40704" s="2">
        <v>4.51447913628595E-5</v>
      </c>
      <c r="D40704" s="2">
        <v>4.0654140172463799E-5</v>
      </c>
      <c r="E40704" s="2">
        <v>0</v>
      </c>
      <c r="F40704" s="2">
        <v>4.3814696988805298E-5</v>
      </c>
    </row>
    <row r="40705" spans="1:6" x14ac:dyDescent="0.25">
      <c r="A40705" s="1" t="str">
        <f t="shared" si="1439"/>
        <v>99999</v>
      </c>
      <c r="B40705" s="1" t="str">
        <f>"29520"</f>
        <v>29520</v>
      </c>
      <c r="C40705" s="2">
        <v>7.4862405821144698E-4</v>
      </c>
      <c r="D40705" s="2">
        <v>1.09013324018014E-3</v>
      </c>
      <c r="E40705" s="2">
        <v>2.5376234940924903E-4</v>
      </c>
      <c r="F40705" s="2">
        <v>7.5965211130590805E-4</v>
      </c>
    </row>
    <row r="40706" spans="1:6" x14ac:dyDescent="0.25">
      <c r="A40706" s="1" t="str">
        <f t="shared" si="1439"/>
        <v>99999</v>
      </c>
      <c r="B40706" s="1" t="str">
        <f>"29488"</f>
        <v>29488</v>
      </c>
      <c r="C40706" s="2">
        <v>1.28570633627175E-3</v>
      </c>
      <c r="D40706" s="2">
        <v>2.0778782754814801E-3</v>
      </c>
      <c r="E40706" s="2">
        <v>5.8064266390252001E-4</v>
      </c>
      <c r="F40706" s="2">
        <v>1.32144731391237E-3</v>
      </c>
    </row>
    <row r="40707" spans="1:6" x14ac:dyDescent="0.25">
      <c r="A40707" s="1" t="str">
        <f t="shared" si="1439"/>
        <v>99999</v>
      </c>
      <c r="B40707" s="1" t="str">
        <f>"29518"</f>
        <v>29518</v>
      </c>
      <c r="C40707" s="2">
        <v>7.03695788629705E-5</v>
      </c>
      <c r="D40707" s="2">
        <v>3.01141779055288E-5</v>
      </c>
      <c r="E40707" s="2">
        <v>8.6021135392965999E-6</v>
      </c>
      <c r="F40707" s="2">
        <v>6.6314135983056699E-5</v>
      </c>
    </row>
    <row r="40708" spans="1:6" x14ac:dyDescent="0.25">
      <c r="A40708" s="1" t="str">
        <f t="shared" si="1439"/>
        <v>99999</v>
      </c>
      <c r="B40708" s="1" t="str">
        <f>"29432"</f>
        <v>29432</v>
      </c>
      <c r="C40708" s="2">
        <v>3.1287397371382199E-5</v>
      </c>
      <c r="D40708" s="2">
        <v>1.0539962266935E-5</v>
      </c>
      <c r="E40708" s="2">
        <v>0</v>
      </c>
      <c r="F40708" s="2">
        <v>2.92097979925368E-5</v>
      </c>
    </row>
    <row r="40709" spans="1:6" x14ac:dyDescent="0.25">
      <c r="A40709" s="1" t="str">
        <f t="shared" si="1439"/>
        <v>99999</v>
      </c>
      <c r="B40709" s="1" t="str">
        <f>"29581"</f>
        <v>29581</v>
      </c>
      <c r="C40709" s="2">
        <v>9.35374094424715E-5</v>
      </c>
      <c r="D40709" s="2">
        <v>2.1079924533870101E-5</v>
      </c>
      <c r="E40709" s="2">
        <v>0</v>
      </c>
      <c r="F40709" s="2">
        <v>8.6642576477862803E-5</v>
      </c>
    </row>
    <row r="40710" spans="1:6" x14ac:dyDescent="0.25">
      <c r="A40710" s="1" t="str">
        <f t="shared" ref="A40710:A40773" si="1440">"99999"</f>
        <v>99999</v>
      </c>
      <c r="B40710" s="1" t="str">
        <f>"29556"</f>
        <v>29556</v>
      </c>
      <c r="C40710" s="2">
        <v>7.1712013905894797E-4</v>
      </c>
      <c r="D40710" s="2">
        <v>1.05249051779823E-3</v>
      </c>
      <c r="E40710" s="2">
        <v>4.8601941497025799E-4</v>
      </c>
      <c r="F40710" s="2">
        <v>7.33797492812514E-4</v>
      </c>
    </row>
    <row r="40711" spans="1:6" x14ac:dyDescent="0.25">
      <c r="A40711" s="1" t="str">
        <f t="shared" si="1440"/>
        <v>99999</v>
      </c>
      <c r="B40711" s="1" t="str">
        <f>"29536"</f>
        <v>29536</v>
      </c>
      <c r="C40711" s="2">
        <v>8.5093059978915103E-4</v>
      </c>
      <c r="D40711" s="2">
        <v>1.3009324855188401E-3</v>
      </c>
      <c r="E40711" s="2">
        <v>5.4623420974533399E-4</v>
      </c>
      <c r="F40711" s="2">
        <v>8.7343216902683804E-4</v>
      </c>
    </row>
    <row r="40712" spans="1:6" x14ac:dyDescent="0.25">
      <c r="A40712" s="1" t="str">
        <f t="shared" si="1440"/>
        <v>99999</v>
      </c>
      <c r="B40712" s="1" t="str">
        <f>"29546"</f>
        <v>29546</v>
      </c>
      <c r="C40712" s="2">
        <v>1.5210655123457399E-4</v>
      </c>
      <c r="D40712" s="2">
        <v>6.0228355811057599E-5</v>
      </c>
      <c r="E40712" s="2">
        <v>0</v>
      </c>
      <c r="F40712" s="2">
        <v>1.4259512871356601E-4</v>
      </c>
    </row>
    <row r="40713" spans="1:6" x14ac:dyDescent="0.25">
      <c r="A40713" s="1" t="str">
        <f t="shared" si="1440"/>
        <v>99999</v>
      </c>
      <c r="B40713" s="1" t="str">
        <f>"30520"</f>
        <v>30520</v>
      </c>
      <c r="C40713" s="2">
        <v>2.3947308991521601E-4</v>
      </c>
      <c r="D40713" s="2">
        <v>1.3250238278432599E-4</v>
      </c>
      <c r="E40713" s="2">
        <v>4.3010567696482999E-6</v>
      </c>
      <c r="F40713" s="2">
        <v>2.2706670669198401E-4</v>
      </c>
    </row>
    <row r="40714" spans="1:6" x14ac:dyDescent="0.25">
      <c r="A40714" s="1" t="str">
        <f t="shared" si="1440"/>
        <v>99999</v>
      </c>
      <c r="B40714" s="1" t="str">
        <f>"30560"</f>
        <v>30560</v>
      </c>
      <c r="C40714" s="2">
        <v>4.5382965322088E-4</v>
      </c>
      <c r="D40714" s="2">
        <v>1.7315652295679001E-4</v>
      </c>
      <c r="E40714" s="2">
        <v>4.7311624466131299E-5</v>
      </c>
      <c r="F40714" s="2">
        <v>4.2610779639112899E-4</v>
      </c>
    </row>
    <row r="40715" spans="1:6" x14ac:dyDescent="0.25">
      <c r="A40715" s="1" t="str">
        <f t="shared" si="1440"/>
        <v>99999</v>
      </c>
      <c r="B40715" s="1" t="str">
        <f>"30582"</f>
        <v>30582</v>
      </c>
      <c r="C40715" s="2">
        <v>5.3275184243796502E-4</v>
      </c>
      <c r="D40715" s="2">
        <v>3.5384159038996302E-4</v>
      </c>
      <c r="E40715" s="2">
        <v>2.1935389525206301E-4</v>
      </c>
      <c r="F40715" s="2">
        <v>5.1383587211871397E-4</v>
      </c>
    </row>
    <row r="40716" spans="1:6" x14ac:dyDescent="0.25">
      <c r="A40716" s="1" t="str">
        <f t="shared" si="1440"/>
        <v>99999</v>
      </c>
      <c r="B40716" s="1" t="str">
        <f>"30417"</f>
        <v>30417</v>
      </c>
      <c r="C40716" s="2">
        <v>5.4336140971269001E-4</v>
      </c>
      <c r="D40716" s="2">
        <v>6.7154616729329204E-4</v>
      </c>
      <c r="E40716" s="2">
        <v>3.9999827957729202E-4</v>
      </c>
      <c r="F40716" s="2">
        <v>5.4847316635986496E-4</v>
      </c>
    </row>
    <row r="40717" spans="1:6" x14ac:dyDescent="0.25">
      <c r="A40717" s="1" t="str">
        <f t="shared" si="1440"/>
        <v>99999</v>
      </c>
      <c r="B40717" s="1" t="str">
        <f>"30678"</f>
        <v>30678</v>
      </c>
      <c r="C40717" s="2">
        <v>7.7298275858709103E-5</v>
      </c>
      <c r="D40717" s="2">
        <v>2.25856334291466E-5</v>
      </c>
      <c r="E40717" s="2">
        <v>1.29031703089449E-5</v>
      </c>
      <c r="F40717" s="2">
        <v>7.2235040981543898E-5</v>
      </c>
    </row>
    <row r="40718" spans="1:6" x14ac:dyDescent="0.25">
      <c r="A40718" s="1" t="str">
        <f t="shared" si="1440"/>
        <v>99999</v>
      </c>
      <c r="B40718" s="1" t="str">
        <f>"30660"</f>
        <v>30660</v>
      </c>
      <c r="C40718" s="2">
        <v>5.8352620010986298E-5</v>
      </c>
      <c r="D40718" s="2">
        <v>1.9574215638593701E-5</v>
      </c>
      <c r="E40718" s="2">
        <v>4.3010567696482999E-6</v>
      </c>
      <c r="F40718" s="2">
        <v>5.4571007736057098E-5</v>
      </c>
    </row>
    <row r="40719" spans="1:6" x14ac:dyDescent="0.25">
      <c r="A40719" s="1" t="str">
        <f t="shared" si="1440"/>
        <v>99999</v>
      </c>
      <c r="B40719" s="1" t="str">
        <f>"30453"</f>
        <v>30453</v>
      </c>
      <c r="C40719" s="2">
        <v>2.4055569882079999E-4</v>
      </c>
      <c r="D40719" s="2">
        <v>8.2813989240204205E-5</v>
      </c>
      <c r="E40719" s="2">
        <v>8.1720078623317706E-5</v>
      </c>
      <c r="F40719" s="2">
        <v>2.2657329794210999E-4</v>
      </c>
    </row>
    <row r="40720" spans="1:6" x14ac:dyDescent="0.25">
      <c r="A40720" s="1" t="str">
        <f t="shared" si="1440"/>
        <v>99999</v>
      </c>
      <c r="B40720" s="1" t="str">
        <f>"31068"</f>
        <v>31068</v>
      </c>
      <c r="C40720" s="2">
        <v>1.1876219694258201E-4</v>
      </c>
      <c r="D40720" s="2">
        <v>4.9688393544122498E-5</v>
      </c>
      <c r="E40720" s="2">
        <v>4.3010567696482999E-5</v>
      </c>
      <c r="F40720" s="2">
        <v>1.12497194971256E-4</v>
      </c>
    </row>
    <row r="40721" spans="1:6" x14ac:dyDescent="0.25">
      <c r="A40721" s="1" t="str">
        <f t="shared" si="1440"/>
        <v>99999</v>
      </c>
      <c r="B40721" s="1" t="str">
        <f>"31079"</f>
        <v>31079</v>
      </c>
      <c r="C40721" s="2">
        <v>1.09776543026233E-4</v>
      </c>
      <c r="D40721" s="2">
        <v>6.7756900287439806E-5</v>
      </c>
      <c r="E40721" s="2">
        <v>1.72042270785932E-5</v>
      </c>
      <c r="F40721" s="2">
        <v>1.04898700223198E-4</v>
      </c>
    </row>
    <row r="40722" spans="1:6" x14ac:dyDescent="0.25">
      <c r="A40722" s="1" t="str">
        <f t="shared" si="1440"/>
        <v>99999</v>
      </c>
      <c r="B40722" s="1" t="str">
        <f>"31544"</f>
        <v>31544</v>
      </c>
      <c r="C40722" s="2">
        <v>4.1355660193314899E-5</v>
      </c>
      <c r="D40722" s="2">
        <v>2.25856334291466E-5</v>
      </c>
      <c r="E40722" s="2">
        <v>0</v>
      </c>
      <c r="F40722" s="2">
        <v>3.9176654739990298E-5</v>
      </c>
    </row>
    <row r="40723" spans="1:6" x14ac:dyDescent="0.25">
      <c r="A40723" s="1" t="str">
        <f t="shared" si="1440"/>
        <v>99999</v>
      </c>
      <c r="B40723" s="1" t="str">
        <f>"31639"</f>
        <v>31639</v>
      </c>
      <c r="C40723" s="2">
        <v>5.4303662704101503E-4</v>
      </c>
      <c r="D40723" s="2">
        <v>8.4470269025008302E-4</v>
      </c>
      <c r="E40723" s="2">
        <v>4.7311624466131301E-4</v>
      </c>
      <c r="F40723" s="2">
        <v>5.61203112106612E-4</v>
      </c>
    </row>
    <row r="40724" spans="1:6" x14ac:dyDescent="0.25">
      <c r="A40724" s="1" t="str">
        <f t="shared" si="1440"/>
        <v>99999</v>
      </c>
      <c r="B40724" s="1" t="str">
        <f>"31645"</f>
        <v>31645</v>
      </c>
      <c r="C40724" s="2">
        <v>1.55895682404119E-4</v>
      </c>
      <c r="D40724" s="2">
        <v>4.2159849067740298E-5</v>
      </c>
      <c r="E40724" s="2">
        <v>1.03225362471559E-4</v>
      </c>
      <c r="F40724" s="2">
        <v>1.47233170962381E-4</v>
      </c>
    </row>
    <row r="40725" spans="1:6" x14ac:dyDescent="0.25">
      <c r="A40725" s="1" t="str">
        <f t="shared" si="1440"/>
        <v>99999</v>
      </c>
      <c r="B40725" s="1" t="str">
        <f>"31730"</f>
        <v>31730</v>
      </c>
      <c r="C40725" s="2">
        <v>4.9117966046353402E-4</v>
      </c>
      <c r="D40725" s="2">
        <v>8.9890821048003501E-4</v>
      </c>
      <c r="E40725" s="2">
        <v>4.1290144988623701E-4</v>
      </c>
      <c r="F40725" s="2">
        <v>5.1610555236813495E-4</v>
      </c>
    </row>
    <row r="40726" spans="1:6" x14ac:dyDescent="0.25">
      <c r="A40726" s="1" t="str">
        <f t="shared" si="1440"/>
        <v>99999</v>
      </c>
      <c r="B40726" s="1" t="str">
        <f>"31812"</f>
        <v>31812</v>
      </c>
      <c r="C40726" s="2">
        <v>8.1195667918812104E-6</v>
      </c>
      <c r="D40726" s="2">
        <v>1.50570889527644E-6</v>
      </c>
      <c r="E40726" s="2">
        <v>0</v>
      </c>
      <c r="F40726" s="2">
        <v>7.4998129980837899E-6</v>
      </c>
    </row>
    <row r="40727" spans="1:6" x14ac:dyDescent="0.25">
      <c r="A40727" s="1" t="str">
        <f t="shared" si="1440"/>
        <v>99999</v>
      </c>
      <c r="B40727" s="1" t="str">
        <f>"32054"</f>
        <v>32054</v>
      </c>
      <c r="C40727" s="2">
        <v>5.1618792618252801E-4</v>
      </c>
      <c r="D40727" s="2">
        <v>4.4117270631599699E-4</v>
      </c>
      <c r="E40727" s="2">
        <v>1.67741214016283E-4</v>
      </c>
      <c r="F40727" s="2">
        <v>5.0327692487141197E-4</v>
      </c>
    </row>
    <row r="40728" spans="1:6" x14ac:dyDescent="0.25">
      <c r="A40728" s="1" t="str">
        <f t="shared" si="1440"/>
        <v>99999</v>
      </c>
      <c r="B40728" s="1" t="str">
        <f>"32044"</f>
        <v>32044</v>
      </c>
      <c r="C40728" s="2">
        <v>7.9463493669877406E-5</v>
      </c>
      <c r="D40728" s="2">
        <v>3.6137013486634501E-5</v>
      </c>
      <c r="E40728" s="2">
        <v>1.72042270785932E-5</v>
      </c>
      <c r="F40728" s="2">
        <v>7.5195493480787498E-5</v>
      </c>
    </row>
    <row r="40729" spans="1:6" x14ac:dyDescent="0.25">
      <c r="A40729" s="1" t="str">
        <f t="shared" si="1440"/>
        <v>99999</v>
      </c>
      <c r="B40729" s="1" t="str">
        <f>"15828"</f>
        <v>15828</v>
      </c>
      <c r="C40729" s="2">
        <v>2.0894351877774301E-5</v>
      </c>
      <c r="D40729" s="2">
        <v>2.4091342324423E-5</v>
      </c>
      <c r="E40729" s="2">
        <v>4.3010567696482999E-6</v>
      </c>
      <c r="F40729" s="2">
        <v>2.07231674947052E-5</v>
      </c>
    </row>
    <row r="40730" spans="1:6" x14ac:dyDescent="0.25">
      <c r="A40730" s="1" t="str">
        <f t="shared" si="1440"/>
        <v>99999</v>
      </c>
      <c r="B40730" s="1" t="str">
        <f>"15784"</f>
        <v>15784</v>
      </c>
      <c r="C40730" s="2">
        <v>7.5782623390891297E-6</v>
      </c>
      <c r="D40730" s="2">
        <v>3.01141779055288E-6</v>
      </c>
      <c r="E40730" s="2">
        <v>0</v>
      </c>
      <c r="F40730" s="2">
        <v>7.10508599818465E-6</v>
      </c>
    </row>
    <row r="40731" spans="1:6" x14ac:dyDescent="0.25">
      <c r="A40731" s="1" t="str">
        <f t="shared" si="1440"/>
        <v>99999</v>
      </c>
      <c r="B40731" s="1" t="str">
        <f>"16655"</f>
        <v>16655</v>
      </c>
      <c r="C40731" s="2">
        <v>7.1452187768554604E-5</v>
      </c>
      <c r="D40731" s="2">
        <v>3.31255956960816E-5</v>
      </c>
      <c r="E40731" s="2">
        <v>1.29031703089449E-5</v>
      </c>
      <c r="F40731" s="2">
        <v>6.7596998732728905E-5</v>
      </c>
    </row>
    <row r="40732" spans="1:6" x14ac:dyDescent="0.25">
      <c r="A40732" s="1" t="str">
        <f t="shared" si="1440"/>
        <v>99999</v>
      </c>
      <c r="B40732" s="1" t="str">
        <f>"16901"</f>
        <v>16901</v>
      </c>
      <c r="C40732" s="2">
        <v>5.5646097747025897E-4</v>
      </c>
      <c r="D40732" s="2">
        <v>7.75440081067366E-4</v>
      </c>
      <c r="E40732" s="2">
        <v>7.6988916176704599E-4</v>
      </c>
      <c r="F40732" s="2">
        <v>5.7570932935290605E-4</v>
      </c>
    </row>
    <row r="40733" spans="1:6" x14ac:dyDescent="0.25">
      <c r="A40733" s="1" t="str">
        <f t="shared" si="1440"/>
        <v>99999</v>
      </c>
      <c r="B40733" s="1" t="str">
        <f>"16927"</f>
        <v>16927</v>
      </c>
      <c r="C40733" s="2">
        <v>3.4210441416459502E-5</v>
      </c>
      <c r="D40733" s="2">
        <v>3.4631304591358098E-5</v>
      </c>
      <c r="E40733" s="2">
        <v>6.4515851544724506E-5</v>
      </c>
      <c r="F40733" s="2">
        <v>3.49333394910745E-5</v>
      </c>
    </row>
    <row r="40734" spans="1:6" x14ac:dyDescent="0.25">
      <c r="A40734" s="1" t="str">
        <f t="shared" si="1440"/>
        <v>99999</v>
      </c>
      <c r="B40734" s="1" t="str">
        <f>"16938"</f>
        <v>16938</v>
      </c>
      <c r="C40734" s="2">
        <v>3.2911310729758503E-5</v>
      </c>
      <c r="D40734" s="2">
        <v>1.50570889527644E-5</v>
      </c>
      <c r="E40734" s="2">
        <v>8.6021135392965999E-6</v>
      </c>
      <c r="F40734" s="2">
        <v>3.1183432992032599E-5</v>
      </c>
    </row>
    <row r="40735" spans="1:6" x14ac:dyDescent="0.25">
      <c r="A40735" s="1" t="str">
        <f t="shared" si="1440"/>
        <v>99999</v>
      </c>
      <c r="B40735" s="1" t="str">
        <f>"17212"</f>
        <v>17212</v>
      </c>
      <c r="C40735" s="2">
        <v>3.4643484978693103E-5</v>
      </c>
      <c r="D40735" s="2">
        <v>4.5171266858293203E-6</v>
      </c>
      <c r="E40735" s="2">
        <v>4.3010567696482999E-6</v>
      </c>
      <c r="F40735" s="2">
        <v>3.19728869918309E-5</v>
      </c>
    </row>
    <row r="40736" spans="1:6" x14ac:dyDescent="0.25">
      <c r="A40736" s="1" t="str">
        <f t="shared" si="1440"/>
        <v>99999</v>
      </c>
      <c r="B40736" s="1" t="str">
        <f>"17059"</f>
        <v>17059</v>
      </c>
      <c r="C40736" s="2">
        <v>3.47517458692515E-4</v>
      </c>
      <c r="D40736" s="2">
        <v>4.80321137593184E-4</v>
      </c>
      <c r="E40736" s="2">
        <v>3.8709510926834698E-4</v>
      </c>
      <c r="F40736" s="2">
        <v>3.57129253158753E-4</v>
      </c>
    </row>
    <row r="40737" spans="1:6" x14ac:dyDescent="0.25">
      <c r="A40737" s="1" t="str">
        <f t="shared" si="1440"/>
        <v>99999</v>
      </c>
      <c r="B40737" s="1" t="str">
        <f>"18623"</f>
        <v>18623</v>
      </c>
      <c r="C40737" s="2">
        <v>1.8837394957164399E-5</v>
      </c>
      <c r="D40737" s="2">
        <v>1.50570889527644E-5</v>
      </c>
      <c r="E40737" s="2">
        <v>0</v>
      </c>
      <c r="F40737" s="2">
        <v>1.81574419953607E-5</v>
      </c>
    </row>
    <row r="40738" spans="1:6" x14ac:dyDescent="0.25">
      <c r="A40738" s="1" t="str">
        <f t="shared" si="1440"/>
        <v>99999</v>
      </c>
      <c r="B40738" s="1" t="str">
        <f>"18619"</f>
        <v>18619</v>
      </c>
      <c r="C40738" s="2">
        <v>1.0068262821932701E-5</v>
      </c>
      <c r="D40738" s="2">
        <v>3.01141779055288E-6</v>
      </c>
      <c r="E40738" s="2">
        <v>0</v>
      </c>
      <c r="F40738" s="2">
        <v>9.3747662476047397E-6</v>
      </c>
    </row>
    <row r="40739" spans="1:6" x14ac:dyDescent="0.25">
      <c r="A40739" s="1" t="str">
        <f t="shared" si="1440"/>
        <v>99999</v>
      </c>
      <c r="B40739" s="1" t="str">
        <f>"18421"</f>
        <v>18421</v>
      </c>
      <c r="C40739" s="2">
        <v>2.0169003911032899E-4</v>
      </c>
      <c r="D40739" s="2">
        <v>1.14433876041009E-4</v>
      </c>
      <c r="E40739" s="2">
        <v>3.09676087414677E-4</v>
      </c>
      <c r="F40739" s="2">
        <v>1.98448999199296E-4</v>
      </c>
    </row>
    <row r="40740" spans="1:6" x14ac:dyDescent="0.25">
      <c r="A40740" s="1" t="str">
        <f t="shared" si="1440"/>
        <v>99999</v>
      </c>
      <c r="B40740" s="1" t="str">
        <f>"18844"</f>
        <v>18844</v>
      </c>
      <c r="C40740" s="2">
        <v>7.8922189217085306E-5</v>
      </c>
      <c r="D40740" s="2">
        <v>2.25856334291466E-5</v>
      </c>
      <c r="E40740" s="2">
        <v>3.01073973875381E-5</v>
      </c>
      <c r="F40740" s="2">
        <v>7.4109994231064805E-5</v>
      </c>
    </row>
    <row r="40741" spans="1:6" x14ac:dyDescent="0.25">
      <c r="A40741" s="1" t="str">
        <f t="shared" si="1440"/>
        <v>99999</v>
      </c>
      <c r="B40741" s="1" t="str">
        <f>"18812"</f>
        <v>18812</v>
      </c>
      <c r="C40741" s="2">
        <v>8.9748278272926995E-5</v>
      </c>
      <c r="D40741" s="2">
        <v>1.9574215638593701E-5</v>
      </c>
      <c r="E40741" s="2">
        <v>8.6021135392965999E-6</v>
      </c>
      <c r="F40741" s="2">
        <v>8.3287396978720001E-5</v>
      </c>
    </row>
    <row r="40742" spans="1:6" x14ac:dyDescent="0.25">
      <c r="A40742" s="1" t="str">
        <f t="shared" si="1440"/>
        <v>99999</v>
      </c>
      <c r="B40742" s="1" t="str">
        <f>"21660"</f>
        <v>21660</v>
      </c>
      <c r="C40742" s="2">
        <v>1.74083512017933E-4</v>
      </c>
      <c r="D40742" s="2">
        <v>1.26479547203221E-4</v>
      </c>
      <c r="E40742" s="2">
        <v>2.7526763325749098E-4</v>
      </c>
      <c r="F40742" s="2">
        <v>1.7328515295572501E-4</v>
      </c>
    </row>
    <row r="40743" spans="1:6" x14ac:dyDescent="0.25">
      <c r="A40743" s="1" t="str">
        <f t="shared" si="1440"/>
        <v>99999</v>
      </c>
      <c r="B40743" s="1" t="str">
        <f>"21520"</f>
        <v>21520</v>
      </c>
      <c r="C40743" s="2">
        <v>1.07719586105624E-4</v>
      </c>
      <c r="D40743" s="2">
        <v>1.12928167145733E-4</v>
      </c>
      <c r="E40743" s="2">
        <v>9.4623248932262599E-5</v>
      </c>
      <c r="F40743" s="2">
        <v>1.07760470972467E-4</v>
      </c>
    </row>
    <row r="40744" spans="1:6" x14ac:dyDescent="0.25">
      <c r="A40744" s="1" t="str">
        <f t="shared" si="1440"/>
        <v>99999</v>
      </c>
      <c r="B40744" s="1" t="str">
        <f>"21541"</f>
        <v>21541</v>
      </c>
      <c r="C40744" s="2">
        <v>1.3197002559070899E-4</v>
      </c>
      <c r="D40744" s="2">
        <v>2.10799245338701E-4</v>
      </c>
      <c r="E40744" s="2">
        <v>1.7634332755557999E-4</v>
      </c>
      <c r="F40744" s="2">
        <v>1.38154449964701E-4</v>
      </c>
    </row>
    <row r="40745" spans="1:6" x14ac:dyDescent="0.25">
      <c r="A40745" s="1" t="str">
        <f t="shared" si="1440"/>
        <v>99999</v>
      </c>
      <c r="B40745" s="1" t="str">
        <f>"21521"</f>
        <v>21521</v>
      </c>
      <c r="C40745" s="2">
        <v>6.0626098712712997E-6</v>
      </c>
      <c r="D40745" s="2">
        <v>0</v>
      </c>
      <c r="E40745" s="2">
        <v>0</v>
      </c>
      <c r="F40745" s="2">
        <v>5.52617799858806E-6</v>
      </c>
    </row>
    <row r="40746" spans="1:6" x14ac:dyDescent="0.25">
      <c r="A40746" s="1" t="str">
        <f t="shared" si="1440"/>
        <v>99999</v>
      </c>
      <c r="B40746" s="1" t="str">
        <f>"22448"</f>
        <v>22448</v>
      </c>
      <c r="C40746" s="2">
        <v>8.8665669367342796E-5</v>
      </c>
      <c r="D40746" s="2">
        <v>4.3966699742071998E-4</v>
      </c>
      <c r="E40746" s="2">
        <v>2.1935389525206301E-4</v>
      </c>
      <c r="F40746" s="2">
        <v>1.14668193470702E-4</v>
      </c>
    </row>
    <row r="40747" spans="1:6" x14ac:dyDescent="0.25">
      <c r="A40747" s="1" t="str">
        <f t="shared" si="1440"/>
        <v>99999</v>
      </c>
      <c r="B40747" s="1" t="str">
        <f>"22514"</f>
        <v>22514</v>
      </c>
      <c r="C40747" s="2">
        <v>1.05879150966131E-4</v>
      </c>
      <c r="D40747" s="2">
        <v>9.0342533716586399E-5</v>
      </c>
      <c r="E40747" s="2">
        <v>3.01073973875381E-5</v>
      </c>
      <c r="F40747" s="2">
        <v>1.03122428723652E-4</v>
      </c>
    </row>
    <row r="40748" spans="1:6" x14ac:dyDescent="0.25">
      <c r="A40748" s="1" t="str">
        <f t="shared" si="1440"/>
        <v>99999</v>
      </c>
      <c r="B40748" s="1" t="str">
        <f>"22432"</f>
        <v>22432</v>
      </c>
      <c r="C40748" s="2">
        <v>1.8945655847722799E-5</v>
      </c>
      <c r="D40748" s="2">
        <v>3.4631304591358098E-5</v>
      </c>
      <c r="E40748" s="2">
        <v>4.7311624466131299E-5</v>
      </c>
      <c r="F40748" s="2">
        <v>2.0624485744730399E-5</v>
      </c>
    </row>
    <row r="40749" spans="1:6" x14ac:dyDescent="0.25">
      <c r="A40749" s="1" t="str">
        <f t="shared" si="1440"/>
        <v>99999</v>
      </c>
      <c r="B40749" s="1" t="str">
        <f>"23038"</f>
        <v>23038</v>
      </c>
      <c r="C40749" s="2">
        <v>3.3236093401433701E-5</v>
      </c>
      <c r="D40749" s="2">
        <v>1.50570889527644E-5</v>
      </c>
      <c r="E40749" s="2">
        <v>0</v>
      </c>
      <c r="F40749" s="2">
        <v>3.1282114742007402E-5</v>
      </c>
    </row>
    <row r="40750" spans="1:6" x14ac:dyDescent="0.25">
      <c r="A40750" s="1" t="str">
        <f t="shared" si="1440"/>
        <v>99999</v>
      </c>
      <c r="B40750" s="1" t="str">
        <f>"22835"</f>
        <v>22835</v>
      </c>
      <c r="C40750" s="2">
        <v>6.9211187333995399E-4</v>
      </c>
      <c r="D40750" s="2">
        <v>8.0705996786817195E-4</v>
      </c>
      <c r="E40750" s="2">
        <v>3.44084541571864E-4</v>
      </c>
      <c r="F40750" s="2">
        <v>6.9166038557327998E-4</v>
      </c>
    </row>
    <row r="40751" spans="1:6" x14ac:dyDescent="0.25">
      <c r="A40751" s="1" t="str">
        <f t="shared" si="1440"/>
        <v>99999</v>
      </c>
      <c r="B40751" s="1" t="str">
        <f>"22942"</f>
        <v>22942</v>
      </c>
      <c r="C40751" s="2">
        <v>4.0673616582796902E-4</v>
      </c>
      <c r="D40751" s="2">
        <v>2.5597051219699402E-4</v>
      </c>
      <c r="E40751" s="2">
        <v>2.8817080356643602E-4</v>
      </c>
      <c r="F40751" s="2">
        <v>3.9413490939929798E-4</v>
      </c>
    </row>
    <row r="40752" spans="1:6" x14ac:dyDescent="0.25">
      <c r="A40752" s="1" t="str">
        <f t="shared" si="1440"/>
        <v>99999</v>
      </c>
      <c r="B40752" s="1" t="str">
        <f>"22923"</f>
        <v>22923</v>
      </c>
      <c r="C40752" s="2">
        <v>7.71900149681507E-5</v>
      </c>
      <c r="D40752" s="2">
        <v>3.6137013486634501E-5</v>
      </c>
      <c r="E40752" s="2">
        <v>3.01073973875381E-5</v>
      </c>
      <c r="F40752" s="2">
        <v>7.34192219812413E-5</v>
      </c>
    </row>
    <row r="40753" spans="1:6" x14ac:dyDescent="0.25">
      <c r="A40753" s="1" t="str">
        <f t="shared" si="1440"/>
        <v>99999</v>
      </c>
      <c r="B40753" s="1" t="str">
        <f>"23149"</f>
        <v>23149</v>
      </c>
      <c r="C40753" s="2">
        <v>5.8785663573219898E-5</v>
      </c>
      <c r="D40753" s="2">
        <v>6.4745482496886904E-5</v>
      </c>
      <c r="E40753" s="2">
        <v>2.15052838482415E-5</v>
      </c>
      <c r="F40753" s="2">
        <v>5.8320914235099E-5</v>
      </c>
    </row>
    <row r="40754" spans="1:6" x14ac:dyDescent="0.25">
      <c r="A40754" s="1" t="str">
        <f t="shared" si="1440"/>
        <v>99999</v>
      </c>
      <c r="B40754" s="1" t="str">
        <f>"23093"</f>
        <v>23093</v>
      </c>
      <c r="C40754" s="2">
        <v>7.8034449914506305E-4</v>
      </c>
      <c r="D40754" s="2">
        <v>6.5347766054997503E-4</v>
      </c>
      <c r="E40754" s="2">
        <v>3.2257925772362199E-4</v>
      </c>
      <c r="F40754" s="2">
        <v>7.6152706455542905E-4</v>
      </c>
    </row>
    <row r="40755" spans="1:6" x14ac:dyDescent="0.25">
      <c r="A40755" s="1" t="str">
        <f t="shared" si="1440"/>
        <v>99999</v>
      </c>
      <c r="B40755" s="1" t="str">
        <f>"23420"</f>
        <v>23420</v>
      </c>
      <c r="C40755" s="2">
        <v>1.01873498015469E-4</v>
      </c>
      <c r="D40755" s="2">
        <v>4.0654140172463799E-5</v>
      </c>
      <c r="E40755" s="2">
        <v>8.6021135392965999E-6</v>
      </c>
      <c r="F40755" s="2">
        <v>9.5721297475543195E-5</v>
      </c>
    </row>
    <row r="40756" spans="1:6" x14ac:dyDescent="0.25">
      <c r="A40756" s="1" t="str">
        <f t="shared" si="1440"/>
        <v>99999</v>
      </c>
      <c r="B40756" s="1" t="str">
        <f>"23359"</f>
        <v>23359</v>
      </c>
      <c r="C40756" s="2">
        <v>2.7931309764071301E-5</v>
      </c>
      <c r="D40756" s="2">
        <v>9.0342533716586405E-6</v>
      </c>
      <c r="E40756" s="2">
        <v>0</v>
      </c>
      <c r="F40756" s="2">
        <v>2.6051981993343701E-5</v>
      </c>
    </row>
    <row r="40757" spans="1:6" x14ac:dyDescent="0.25">
      <c r="A40757" s="1" t="str">
        <f t="shared" si="1440"/>
        <v>99999</v>
      </c>
      <c r="B40757" s="1" t="str">
        <f>"23350"</f>
        <v>23350</v>
      </c>
      <c r="C40757" s="2">
        <v>1.06853498981156E-4</v>
      </c>
      <c r="D40757" s="2">
        <v>1.03893913774074E-4</v>
      </c>
      <c r="E40757" s="2">
        <v>1.2042958955015201E-4</v>
      </c>
      <c r="F40757" s="2">
        <v>1.06971016972668E-4</v>
      </c>
    </row>
    <row r="40758" spans="1:6" x14ac:dyDescent="0.25">
      <c r="A40758" s="1" t="str">
        <f t="shared" si="1440"/>
        <v>99999</v>
      </c>
      <c r="B40758" s="1" t="str">
        <f>"23310"</f>
        <v>23310</v>
      </c>
      <c r="C40758" s="2">
        <v>3.5661137349942199E-4</v>
      </c>
      <c r="D40758" s="2">
        <v>4.14069946201021E-4</v>
      </c>
      <c r="E40758" s="2">
        <v>2.9677291710573201E-4</v>
      </c>
      <c r="F40758" s="2">
        <v>3.59004206408274E-4</v>
      </c>
    </row>
    <row r="40759" spans="1:6" x14ac:dyDescent="0.25">
      <c r="A40759" s="1" t="str">
        <f t="shared" si="1440"/>
        <v>99999</v>
      </c>
      <c r="B40759" s="1" t="str">
        <f>"24465"</f>
        <v>24465</v>
      </c>
      <c r="C40759" s="2">
        <v>8.2386537714954696E-5</v>
      </c>
      <c r="D40759" s="2">
        <v>3.01141779055288E-5</v>
      </c>
      <c r="E40759" s="2">
        <v>8.6021135392965999E-6</v>
      </c>
      <c r="F40759" s="2">
        <v>7.7267810230257999E-5</v>
      </c>
    </row>
    <row r="40760" spans="1:6" x14ac:dyDescent="0.25">
      <c r="A40760" s="1" t="str">
        <f t="shared" si="1440"/>
        <v>99999</v>
      </c>
      <c r="B40760" s="1" t="str">
        <f>"24472"</f>
        <v>24472</v>
      </c>
      <c r="C40760" s="2">
        <v>8.1303928809370497E-5</v>
      </c>
      <c r="D40760" s="2">
        <v>4.8182684648845999E-5</v>
      </c>
      <c r="E40760" s="2">
        <v>4.7311624466131299E-5</v>
      </c>
      <c r="F40760" s="2">
        <v>7.8353309479980705E-5</v>
      </c>
    </row>
    <row r="40761" spans="1:6" x14ac:dyDescent="0.25">
      <c r="A40761" s="1" t="str">
        <f t="shared" si="1440"/>
        <v>99999</v>
      </c>
      <c r="B40761" s="1" t="str">
        <f>"23950"</f>
        <v>23950</v>
      </c>
      <c r="C40761" s="2">
        <v>1.70402641738947E-4</v>
      </c>
      <c r="D40761" s="2">
        <v>1.4605376284181399E-4</v>
      </c>
      <c r="E40761" s="2">
        <v>7.3117965084021106E-5</v>
      </c>
      <c r="F40761" s="2">
        <v>1.6657479395744E-4</v>
      </c>
    </row>
    <row r="40762" spans="1:6" x14ac:dyDescent="0.25">
      <c r="A40762" s="1" t="str">
        <f t="shared" si="1440"/>
        <v>99999</v>
      </c>
      <c r="B40762" s="1" t="str">
        <f>"23889"</f>
        <v>23889</v>
      </c>
      <c r="C40762" s="2">
        <v>3.4643484978693103E-5</v>
      </c>
      <c r="D40762" s="2">
        <v>2.1079924533870101E-5</v>
      </c>
      <c r="E40762" s="2">
        <v>4.3010567696482999E-6</v>
      </c>
      <c r="F40762" s="2">
        <v>3.3058386241553498E-5</v>
      </c>
    </row>
    <row r="40763" spans="1:6" x14ac:dyDescent="0.25">
      <c r="A40763" s="1" t="str">
        <f t="shared" si="1440"/>
        <v>99999</v>
      </c>
      <c r="B40763" s="1" t="str">
        <f>"23954"</f>
        <v>23954</v>
      </c>
      <c r="C40763" s="2">
        <v>1.09343499464E-4</v>
      </c>
      <c r="D40763" s="2">
        <v>2.55970512196994E-5</v>
      </c>
      <c r="E40763" s="2">
        <v>2.15052838482415E-5</v>
      </c>
      <c r="F40763" s="2">
        <v>1.01839565973979E-4</v>
      </c>
    </row>
    <row r="40764" spans="1:6" x14ac:dyDescent="0.25">
      <c r="A40764" s="1" t="str">
        <f t="shared" si="1440"/>
        <v>99999</v>
      </c>
      <c r="B40764" s="1" t="str">
        <f>"23915"</f>
        <v>23915</v>
      </c>
      <c r="C40764" s="2">
        <v>4.2546529989457501E-5</v>
      </c>
      <c r="D40764" s="2">
        <v>1.9574215638593701E-5</v>
      </c>
      <c r="E40764" s="2">
        <v>4.3010567696482999E-6</v>
      </c>
      <c r="F40764" s="2">
        <v>4.0163472239738201E-5</v>
      </c>
    </row>
    <row r="40765" spans="1:6" x14ac:dyDescent="0.25">
      <c r="A40765" s="1" t="str">
        <f t="shared" si="1440"/>
        <v>99999</v>
      </c>
      <c r="B40765" s="1" t="str">
        <f>"23919"</f>
        <v>23919</v>
      </c>
      <c r="C40765" s="2">
        <v>1.77114816953568E-4</v>
      </c>
      <c r="D40765" s="2">
        <v>6.3239773601610501E-5</v>
      </c>
      <c r="E40765" s="2">
        <v>4.3010567696482999E-6</v>
      </c>
      <c r="F40765" s="2">
        <v>1.6568665820766701E-4</v>
      </c>
    </row>
    <row r="40766" spans="1:6" x14ac:dyDescent="0.25">
      <c r="A40766" s="1" t="str">
        <f t="shared" si="1440"/>
        <v>99999</v>
      </c>
      <c r="B40766" s="1" t="str">
        <f>"24450"</f>
        <v>24450</v>
      </c>
      <c r="C40766" s="2">
        <v>1.2726067685141799E-3</v>
      </c>
      <c r="D40766" s="2">
        <v>1.5840057578308099E-3</v>
      </c>
      <c r="E40766" s="2">
        <v>1.1956937819622201E-3</v>
      </c>
      <c r="F40766" s="2">
        <v>1.2912506984200801E-3</v>
      </c>
    </row>
    <row r="40767" spans="1:6" x14ac:dyDescent="0.25">
      <c r="A40767" s="1" t="str">
        <f t="shared" si="1440"/>
        <v>99999</v>
      </c>
      <c r="B40767" s="1" t="str">
        <f>"23847"</f>
        <v>23847</v>
      </c>
      <c r="C40767" s="2">
        <v>7.3866405628007304E-4</v>
      </c>
      <c r="D40767" s="2">
        <v>1.16692439383924E-3</v>
      </c>
      <c r="E40767" s="2">
        <v>1.0580599653334799E-3</v>
      </c>
      <c r="F40767" s="2">
        <v>7.7405964680222702E-4</v>
      </c>
    </row>
    <row r="40768" spans="1:6" x14ac:dyDescent="0.25">
      <c r="A40768" s="1" t="str">
        <f t="shared" si="1440"/>
        <v>99999</v>
      </c>
      <c r="B40768" s="1" t="str">
        <f>"23839"</f>
        <v>23839</v>
      </c>
      <c r="C40768" s="2">
        <v>4.3196095332807998E-5</v>
      </c>
      <c r="D40768" s="2">
        <v>5.4205520229951803E-5</v>
      </c>
      <c r="E40768" s="2">
        <v>4.3010567696482999E-6</v>
      </c>
      <c r="F40768" s="2">
        <v>4.3025242989006997E-5</v>
      </c>
    </row>
    <row r="40769" spans="1:6" x14ac:dyDescent="0.25">
      <c r="A40769" s="1" t="str">
        <f t="shared" si="1440"/>
        <v>99999</v>
      </c>
      <c r="B40769" s="1" t="str">
        <f>"23842"</f>
        <v>23842</v>
      </c>
      <c r="C40769" s="2">
        <v>1.62391335837624E-6</v>
      </c>
      <c r="D40769" s="2">
        <v>0</v>
      </c>
      <c r="E40769" s="2">
        <v>0</v>
      </c>
      <c r="F40769" s="2">
        <v>1.4802262496218E-6</v>
      </c>
    </row>
    <row r="40770" spans="1:6" x14ac:dyDescent="0.25">
      <c r="A40770" s="1" t="str">
        <f t="shared" si="1440"/>
        <v>99999</v>
      </c>
      <c r="B40770" s="1" t="str">
        <f>"24072"</f>
        <v>24072</v>
      </c>
      <c r="C40770" s="2">
        <v>7.0694361534645697E-5</v>
      </c>
      <c r="D40770" s="2">
        <v>1.80685067433172E-5</v>
      </c>
      <c r="E40770" s="2">
        <v>1.29031703089449E-5</v>
      </c>
      <c r="F40770" s="2">
        <v>6.5919408983157498E-5</v>
      </c>
    </row>
    <row r="40771" spans="1:6" x14ac:dyDescent="0.25">
      <c r="A40771" s="1" t="str">
        <f t="shared" si="1440"/>
        <v>99999</v>
      </c>
      <c r="B40771" s="1" t="str">
        <f>"24105"</f>
        <v>24105</v>
      </c>
      <c r="C40771" s="2">
        <v>2.77147879829545E-5</v>
      </c>
      <c r="D40771" s="2">
        <v>3.01141779055288E-6</v>
      </c>
      <c r="E40771" s="2">
        <v>4.3010567696482999E-6</v>
      </c>
      <c r="F40771" s="2">
        <v>2.5558573243469699E-5</v>
      </c>
    </row>
    <row r="40772" spans="1:6" x14ac:dyDescent="0.25">
      <c r="A40772" s="1" t="str">
        <f t="shared" si="1440"/>
        <v>99999</v>
      </c>
      <c r="B40772" s="1" t="str">
        <f>"24055"</f>
        <v>24055</v>
      </c>
      <c r="C40772" s="2">
        <v>2.0028264753306899E-5</v>
      </c>
      <c r="D40772" s="2">
        <v>4.5171266858293203E-6</v>
      </c>
      <c r="E40772" s="2">
        <v>0</v>
      </c>
      <c r="F40772" s="2">
        <v>1.8552168995259899E-5</v>
      </c>
    </row>
    <row r="40773" spans="1:6" x14ac:dyDescent="0.25">
      <c r="A40773" s="1" t="str">
        <f t="shared" si="1440"/>
        <v>99999</v>
      </c>
      <c r="B40773" s="1" t="str">
        <f>"24266"</f>
        <v>24266</v>
      </c>
      <c r="C40773" s="2">
        <v>4.1431442816705801E-4</v>
      </c>
      <c r="D40773" s="2">
        <v>3.2372741248443398E-4</v>
      </c>
      <c r="E40773" s="2">
        <v>5.2472892589709198E-4</v>
      </c>
      <c r="F40773" s="2">
        <v>4.1091080689501202E-4</v>
      </c>
    </row>
    <row r="40774" spans="1:6" x14ac:dyDescent="0.25">
      <c r="A40774" s="1" t="str">
        <f t="shared" ref="A40774:A40837" si="1441">"99999"</f>
        <v>99999</v>
      </c>
      <c r="B40774" s="1" t="str">
        <f>"24330"</f>
        <v>24330</v>
      </c>
      <c r="C40774" s="2">
        <v>1.74841338251842E-4</v>
      </c>
      <c r="D40774" s="2">
        <v>5.4205520229951803E-5</v>
      </c>
      <c r="E40774" s="2">
        <v>2.15052838482415E-5</v>
      </c>
      <c r="F40774" s="2">
        <v>1.6341697795824601E-4</v>
      </c>
    </row>
    <row r="40775" spans="1:6" x14ac:dyDescent="0.25">
      <c r="A40775" s="1" t="str">
        <f t="shared" si="1441"/>
        <v>99999</v>
      </c>
      <c r="B40775" s="1" t="str">
        <f>"24614"</f>
        <v>24614</v>
      </c>
      <c r="C40775" s="2">
        <v>3.3138658599931101E-4</v>
      </c>
      <c r="D40775" s="2">
        <v>2.8457898120724698E-4</v>
      </c>
      <c r="E40775" s="2">
        <v>1.8924649786452501E-4</v>
      </c>
      <c r="F40775" s="2">
        <v>3.2505768441694701E-4</v>
      </c>
    </row>
    <row r="40776" spans="1:6" x14ac:dyDescent="0.25">
      <c r="A40776" s="1" t="str">
        <f t="shared" si="1441"/>
        <v>99999</v>
      </c>
      <c r="B40776" s="1" t="str">
        <f>"24631"</f>
        <v>24631</v>
      </c>
      <c r="C40776" s="2">
        <v>5.97600115882457E-5</v>
      </c>
      <c r="D40776" s="2">
        <v>7.0768318077992694E-5</v>
      </c>
      <c r="E40776" s="2">
        <v>4.3010567696482999E-5</v>
      </c>
      <c r="F40776" s="2">
        <v>6.0097185734645102E-5</v>
      </c>
    </row>
    <row r="40777" spans="1:6" x14ac:dyDescent="0.25">
      <c r="A40777" s="1" t="str">
        <f t="shared" si="1441"/>
        <v>99999</v>
      </c>
      <c r="B40777" s="1" t="str">
        <f>"24539"</f>
        <v>24539</v>
      </c>
      <c r="C40777" s="2">
        <v>1.09343499464E-5</v>
      </c>
      <c r="D40777" s="2">
        <v>1.50570889527644E-6</v>
      </c>
      <c r="E40777" s="2">
        <v>4.3010567696482999E-6</v>
      </c>
      <c r="F40777" s="2">
        <v>1.0164220247403001E-5</v>
      </c>
    </row>
    <row r="40778" spans="1:6" x14ac:dyDescent="0.25">
      <c r="A40778" s="1" t="str">
        <f t="shared" si="1441"/>
        <v>99999</v>
      </c>
      <c r="B40778" s="1" t="str">
        <f>"24578"</f>
        <v>24578</v>
      </c>
      <c r="C40778" s="2">
        <v>5.3913923498091201E-5</v>
      </c>
      <c r="D40778" s="2">
        <v>6.6251191392163294E-5</v>
      </c>
      <c r="E40778" s="2">
        <v>4.3010567696482999E-6</v>
      </c>
      <c r="F40778" s="2">
        <v>5.3584190236309203E-5</v>
      </c>
    </row>
    <row r="40779" spans="1:6" x14ac:dyDescent="0.25">
      <c r="A40779" s="1" t="str">
        <f t="shared" si="1441"/>
        <v>99999</v>
      </c>
      <c r="B40779" s="1" t="str">
        <f>"24520"</f>
        <v>24520</v>
      </c>
      <c r="C40779" s="2">
        <v>1.33810460730202E-4</v>
      </c>
      <c r="D40779" s="2">
        <v>7.0768318077992694E-5</v>
      </c>
      <c r="E40779" s="2">
        <v>1.72042270785932E-5</v>
      </c>
      <c r="F40779" s="2">
        <v>1.2700341221754999E-4</v>
      </c>
    </row>
    <row r="40780" spans="1:6" x14ac:dyDescent="0.25">
      <c r="A40780" s="1" t="str">
        <f t="shared" si="1441"/>
        <v>99999</v>
      </c>
      <c r="B40780" s="1" t="str">
        <f>"24986"</f>
        <v>24986</v>
      </c>
      <c r="C40780" s="2">
        <v>4.6627965563509802E-4</v>
      </c>
      <c r="D40780" s="2">
        <v>4.2611561736323201E-4</v>
      </c>
      <c r="E40780" s="2">
        <v>4.6451413112201599E-4</v>
      </c>
      <c r="F40780" s="2">
        <v>4.6360686138154799E-4</v>
      </c>
    </row>
    <row r="40781" spans="1:6" x14ac:dyDescent="0.25">
      <c r="A40781" s="1" t="str">
        <f t="shared" si="1441"/>
        <v>99999</v>
      </c>
      <c r="B40781" s="1" t="str">
        <f>"24970"</f>
        <v>24970</v>
      </c>
      <c r="C40781" s="2">
        <v>3.9244572827425801E-4</v>
      </c>
      <c r="D40781" s="2">
        <v>4.7279259311680202E-4</v>
      </c>
      <c r="E40781" s="2">
        <v>3.1827820095397402E-4</v>
      </c>
      <c r="F40781" s="2">
        <v>3.9600986264881898E-4</v>
      </c>
    </row>
    <row r="40782" spans="1:6" x14ac:dyDescent="0.25">
      <c r="A40782" s="1" t="str">
        <f t="shared" si="1441"/>
        <v>99999</v>
      </c>
      <c r="B40782" s="1" t="str">
        <f>"24977"</f>
        <v>24977</v>
      </c>
      <c r="C40782" s="2">
        <v>3.4860006759809999E-5</v>
      </c>
      <c r="D40782" s="2">
        <v>7.5285444763821999E-6</v>
      </c>
      <c r="E40782" s="2">
        <v>0</v>
      </c>
      <c r="F40782" s="2">
        <v>3.2268932241755197E-5</v>
      </c>
    </row>
    <row r="40783" spans="1:6" x14ac:dyDescent="0.25">
      <c r="A40783" s="1" t="str">
        <f t="shared" si="1441"/>
        <v>99999</v>
      </c>
      <c r="B40783" s="1" t="str">
        <f>"24981"</f>
        <v>24981</v>
      </c>
      <c r="C40783" s="2">
        <v>3.1936962714732702E-5</v>
      </c>
      <c r="D40783" s="2">
        <v>1.20456711622115E-5</v>
      </c>
      <c r="E40783" s="2">
        <v>4.3010567696482999E-6</v>
      </c>
      <c r="F40783" s="2">
        <v>2.9999251992335099E-5</v>
      </c>
    </row>
    <row r="40784" spans="1:6" x14ac:dyDescent="0.25">
      <c r="A40784" s="1" t="str">
        <f t="shared" si="1441"/>
        <v>99999</v>
      </c>
      <c r="B40784" s="1" t="str">
        <f>"24963"</f>
        <v>24963</v>
      </c>
      <c r="C40784" s="2">
        <v>2.5398004925004399E-4</v>
      </c>
      <c r="D40784" s="2">
        <v>4.3665557963016701E-5</v>
      </c>
      <c r="E40784" s="2">
        <v>6.4515851544724506E-5</v>
      </c>
      <c r="F40784" s="2">
        <v>2.3584938243974E-4</v>
      </c>
    </row>
    <row r="40785" spans="1:6" x14ac:dyDescent="0.25">
      <c r="A40785" s="1" t="str">
        <f t="shared" si="1441"/>
        <v>99999</v>
      </c>
      <c r="B40785" s="1" t="str">
        <f>"25259"</f>
        <v>25259</v>
      </c>
      <c r="C40785" s="2">
        <v>4.46034869100674E-5</v>
      </c>
      <c r="D40785" s="2">
        <v>3.01141779055288E-6</v>
      </c>
      <c r="E40785" s="2">
        <v>1.29031703089449E-5</v>
      </c>
      <c r="F40785" s="2">
        <v>4.1150289739486097E-5</v>
      </c>
    </row>
    <row r="40786" spans="1:6" x14ac:dyDescent="0.25">
      <c r="A40786" s="1" t="str">
        <f t="shared" si="1441"/>
        <v>99999</v>
      </c>
      <c r="B40786" s="1" t="str">
        <f>"24951"</f>
        <v>24951</v>
      </c>
      <c r="C40786" s="2">
        <v>1.12591326180752E-4</v>
      </c>
      <c r="D40786" s="2">
        <v>3.1619886800805203E-5</v>
      </c>
      <c r="E40786" s="2">
        <v>0</v>
      </c>
      <c r="F40786" s="2">
        <v>1.04701336723248E-4</v>
      </c>
    </row>
    <row r="40787" spans="1:6" x14ac:dyDescent="0.25">
      <c r="A40787" s="1" t="str">
        <f t="shared" si="1441"/>
        <v>99999</v>
      </c>
      <c r="B40787" s="1" t="str">
        <f>"24925"</f>
        <v>24925</v>
      </c>
      <c r="C40787" s="2">
        <v>8.0762624356578398E-5</v>
      </c>
      <c r="D40787" s="2">
        <v>3.7642722381910999E-5</v>
      </c>
      <c r="E40787" s="2">
        <v>0</v>
      </c>
      <c r="F40787" s="2">
        <v>7.6083629230560597E-5</v>
      </c>
    </row>
    <row r="40788" spans="1:6" x14ac:dyDescent="0.25">
      <c r="A40788" s="1" t="str">
        <f t="shared" si="1441"/>
        <v>99999</v>
      </c>
      <c r="B40788" s="1" t="str">
        <f>"24944"</f>
        <v>24944</v>
      </c>
      <c r="C40788" s="2">
        <v>2.1652178111683201E-5</v>
      </c>
      <c r="D40788" s="2">
        <v>1.0539962266935E-5</v>
      </c>
      <c r="E40788" s="2">
        <v>4.3010567696482999E-6</v>
      </c>
      <c r="F40788" s="2">
        <v>2.0525803994755599E-5</v>
      </c>
    </row>
    <row r="40789" spans="1:6" x14ac:dyDescent="0.25">
      <c r="A40789" s="1" t="str">
        <f t="shared" si="1441"/>
        <v>99999</v>
      </c>
      <c r="B40789" s="1" t="str">
        <f>"24874"</f>
        <v>24874</v>
      </c>
      <c r="C40789" s="2">
        <v>1.85126122854891E-5</v>
      </c>
      <c r="D40789" s="2">
        <v>2.25856334291466E-5</v>
      </c>
      <c r="E40789" s="2">
        <v>3.01073973875381E-5</v>
      </c>
      <c r="F40789" s="2">
        <v>1.9045577745133799E-5</v>
      </c>
    </row>
    <row r="40790" spans="1:6" x14ac:dyDescent="0.25">
      <c r="A40790" s="1" t="str">
        <f t="shared" si="1441"/>
        <v>99999</v>
      </c>
      <c r="B40790" s="1" t="str">
        <f>"24935"</f>
        <v>24935</v>
      </c>
      <c r="C40790" s="2">
        <v>4.43869651289506E-5</v>
      </c>
      <c r="D40790" s="2">
        <v>1.0539962266935E-5</v>
      </c>
      <c r="E40790" s="2">
        <v>0</v>
      </c>
      <c r="F40790" s="2">
        <v>4.1150289739486097E-5</v>
      </c>
    </row>
    <row r="40791" spans="1:6" x14ac:dyDescent="0.25">
      <c r="A40791" s="1" t="str">
        <f t="shared" si="1441"/>
        <v>99999</v>
      </c>
      <c r="B40791" s="1" t="str">
        <f>"24945"</f>
        <v>24945</v>
      </c>
      <c r="C40791" s="2">
        <v>2.77147879829545E-5</v>
      </c>
      <c r="D40791" s="2">
        <v>7.5285444763821999E-6</v>
      </c>
      <c r="E40791" s="2">
        <v>8.6021135392965999E-6</v>
      </c>
      <c r="F40791" s="2">
        <v>2.5953300243368901E-5</v>
      </c>
    </row>
    <row r="40792" spans="1:6" x14ac:dyDescent="0.25">
      <c r="A40792" s="1" t="str">
        <f t="shared" si="1441"/>
        <v>99999</v>
      </c>
      <c r="B40792" s="1" t="str">
        <f>"24892"</f>
        <v>24892</v>
      </c>
      <c r="C40792" s="2">
        <v>5.4780010622558498E-5</v>
      </c>
      <c r="D40792" s="2">
        <v>3.01141779055288E-6</v>
      </c>
      <c r="E40792" s="2">
        <v>0</v>
      </c>
      <c r="F40792" s="2">
        <v>5.0130328987191699E-5</v>
      </c>
    </row>
    <row r="40793" spans="1:6" x14ac:dyDescent="0.25">
      <c r="A40793" s="1" t="str">
        <f t="shared" si="1441"/>
        <v>99999</v>
      </c>
      <c r="B40793" s="1" t="str">
        <f>"36476"</f>
        <v>36476</v>
      </c>
      <c r="C40793" s="2">
        <v>0</v>
      </c>
      <c r="D40793" s="2">
        <v>1.50570889527644E-6</v>
      </c>
      <c r="E40793" s="2">
        <v>0</v>
      </c>
      <c r="F40793" s="2">
        <v>9.8681749974786797E-8</v>
      </c>
    </row>
    <row r="40794" spans="1:6" x14ac:dyDescent="0.25">
      <c r="A40794" s="1" t="str">
        <f t="shared" si="1441"/>
        <v>99999</v>
      </c>
      <c r="B40794" s="1" t="str">
        <f>"99565"</f>
        <v>99565</v>
      </c>
      <c r="C40794" s="2">
        <v>0</v>
      </c>
      <c r="D40794" s="2">
        <v>0</v>
      </c>
      <c r="E40794" s="2">
        <v>4.3010567696482999E-6</v>
      </c>
      <c r="F40794" s="2">
        <v>9.8681749974786797E-8</v>
      </c>
    </row>
    <row r="40795" spans="1:6" x14ac:dyDescent="0.25">
      <c r="A40795" s="1" t="str">
        <f t="shared" si="1441"/>
        <v>99999</v>
      </c>
      <c r="B40795" s="1" t="str">
        <f>"99741"</f>
        <v>99741</v>
      </c>
      <c r="C40795" s="2">
        <v>0</v>
      </c>
      <c r="D40795" s="2">
        <v>0</v>
      </c>
      <c r="E40795" s="2">
        <v>4.3010567696482999E-6</v>
      </c>
      <c r="F40795" s="2">
        <v>9.8681749974786797E-8</v>
      </c>
    </row>
    <row r="40796" spans="1:6" x14ac:dyDescent="0.25">
      <c r="A40796" s="1" t="str">
        <f t="shared" si="1441"/>
        <v>99999</v>
      </c>
      <c r="B40796" s="1" t="str">
        <f>"02584"</f>
        <v>02584</v>
      </c>
      <c r="C40796" s="2">
        <v>1.8750786244717599E-4</v>
      </c>
      <c r="D40796" s="2">
        <v>1.50570889527644E-4</v>
      </c>
      <c r="E40796" s="2">
        <v>8.6021135392965999E-6</v>
      </c>
      <c r="F40796" s="2">
        <v>1.80982329453759E-4</v>
      </c>
    </row>
    <row r="40797" spans="1:6" x14ac:dyDescent="0.25">
      <c r="A40797" s="1" t="str">
        <f t="shared" si="1441"/>
        <v>99999</v>
      </c>
      <c r="B40797" s="1" t="str">
        <f>"03882"</f>
        <v>03882</v>
      </c>
      <c r="C40797" s="2">
        <v>7.8705667435968499E-5</v>
      </c>
      <c r="D40797" s="2">
        <v>3.1619886800805203E-5</v>
      </c>
      <c r="E40797" s="2">
        <v>3.01073973875381E-5</v>
      </c>
      <c r="F40797" s="2">
        <v>7.4504721230964007E-5</v>
      </c>
    </row>
    <row r="40798" spans="1:6" x14ac:dyDescent="0.25">
      <c r="A40798" s="1" t="str">
        <f t="shared" si="1441"/>
        <v>99999</v>
      </c>
      <c r="B40798" s="1" t="str">
        <f>"04010"</f>
        <v>04010</v>
      </c>
      <c r="C40798" s="2">
        <v>7.9571754560435796E-5</v>
      </c>
      <c r="D40798" s="2">
        <v>3.6137013486634501E-5</v>
      </c>
      <c r="E40798" s="2">
        <v>2.58063406178898E-5</v>
      </c>
      <c r="F40798" s="2">
        <v>7.5491538730711896E-5</v>
      </c>
    </row>
    <row r="40799" spans="1:6" x14ac:dyDescent="0.25">
      <c r="A40799" s="1" t="str">
        <f t="shared" si="1441"/>
        <v>99999</v>
      </c>
      <c r="B40799" s="1" t="str">
        <f>"03836"</f>
        <v>03836</v>
      </c>
      <c r="C40799" s="2">
        <v>1.07827846996182E-4</v>
      </c>
      <c r="D40799" s="2">
        <v>2.1079924533870101E-5</v>
      </c>
      <c r="E40799" s="2">
        <v>3.01073973875381E-5</v>
      </c>
      <c r="F40799" s="2">
        <v>1.00359339724358E-4</v>
      </c>
    </row>
    <row r="40800" spans="1:6" x14ac:dyDescent="0.25">
      <c r="A40800" s="1" t="str">
        <f t="shared" si="1441"/>
        <v>99999</v>
      </c>
      <c r="B40800" s="1" t="str">
        <f>"04535"</f>
        <v>04535</v>
      </c>
      <c r="C40800" s="2">
        <v>3.6050876555952499E-5</v>
      </c>
      <c r="D40800" s="2">
        <v>1.0539962266935E-5</v>
      </c>
      <c r="E40800" s="2">
        <v>2.15052838482415E-5</v>
      </c>
      <c r="F40800" s="2">
        <v>3.4045203741301401E-5</v>
      </c>
    </row>
    <row r="40801" spans="1:6" x14ac:dyDescent="0.25">
      <c r="A40801" s="1" t="str">
        <f t="shared" si="1441"/>
        <v>99999</v>
      </c>
      <c r="B40801" s="1" t="str">
        <f>"04464"</f>
        <v>04464</v>
      </c>
      <c r="C40801" s="2">
        <v>2.0677830096657399E-5</v>
      </c>
      <c r="D40801" s="2">
        <v>4.5171266858293203E-6</v>
      </c>
      <c r="E40801" s="2">
        <v>1.29031703089449E-5</v>
      </c>
      <c r="F40801" s="2">
        <v>1.9440304745033001E-5</v>
      </c>
    </row>
    <row r="40802" spans="1:6" x14ac:dyDescent="0.25">
      <c r="A40802" s="1" t="str">
        <f t="shared" si="1441"/>
        <v>99999</v>
      </c>
      <c r="B40802" s="1" t="str">
        <f>"04547"</f>
        <v>04547</v>
      </c>
      <c r="C40802" s="2">
        <v>5.672870665261E-5</v>
      </c>
      <c r="D40802" s="2">
        <v>1.35513800574879E-5</v>
      </c>
      <c r="E40802" s="2">
        <v>2.15052838482415E-5</v>
      </c>
      <c r="F40802" s="2">
        <v>5.3090781486435299E-5</v>
      </c>
    </row>
    <row r="40803" spans="1:6" x14ac:dyDescent="0.25">
      <c r="A40803" s="1" t="str">
        <f t="shared" si="1441"/>
        <v>99999</v>
      </c>
      <c r="B40803" s="1" t="str">
        <f>"04353"</f>
        <v>04353</v>
      </c>
      <c r="C40803" s="2">
        <v>1.0533784651333799E-4</v>
      </c>
      <c r="D40803" s="2">
        <v>3.01141779055288E-5</v>
      </c>
      <c r="E40803" s="2">
        <v>5.1612681235779599E-5</v>
      </c>
      <c r="F40803" s="2">
        <v>9.9175158724660705E-5</v>
      </c>
    </row>
    <row r="40804" spans="1:6" x14ac:dyDescent="0.25">
      <c r="A40804" s="1" t="str">
        <f t="shared" si="1441"/>
        <v>99999</v>
      </c>
      <c r="B40804" s="1" t="str">
        <f>"04408"</f>
        <v>04408</v>
      </c>
      <c r="C40804" s="2">
        <v>1.0068262821932701E-5</v>
      </c>
      <c r="D40804" s="2">
        <v>7.5285444763821999E-6</v>
      </c>
      <c r="E40804" s="2">
        <v>3.01073973875381E-5</v>
      </c>
      <c r="F40804" s="2">
        <v>1.03615837473526E-5</v>
      </c>
    </row>
    <row r="40805" spans="1:6" x14ac:dyDescent="0.25">
      <c r="A40805" s="1" t="str">
        <f t="shared" si="1441"/>
        <v>99999</v>
      </c>
      <c r="B40805" s="1" t="str">
        <f>"04342"</f>
        <v>04342</v>
      </c>
      <c r="C40805" s="2">
        <v>9.1155669850186404E-5</v>
      </c>
      <c r="D40805" s="2">
        <v>1.80685067433172E-5</v>
      </c>
      <c r="E40805" s="2">
        <v>3.44084541571864E-5</v>
      </c>
      <c r="F40805" s="2">
        <v>8.5063668478266199E-5</v>
      </c>
    </row>
    <row r="40806" spans="1:6" x14ac:dyDescent="0.25">
      <c r="A40806" s="1" t="str">
        <f t="shared" si="1441"/>
        <v>99999</v>
      </c>
      <c r="B40806" s="1" t="str">
        <f>"05042"</f>
        <v>05042</v>
      </c>
      <c r="C40806" s="2">
        <v>3.00965275752396E-5</v>
      </c>
      <c r="D40806" s="2">
        <v>1.20456711622115E-5</v>
      </c>
      <c r="E40806" s="2">
        <v>1.72042270785932E-5</v>
      </c>
      <c r="F40806" s="2">
        <v>2.8617707492688099E-5</v>
      </c>
    </row>
    <row r="40807" spans="1:6" x14ac:dyDescent="0.25">
      <c r="A40807" s="1" t="str">
        <f t="shared" si="1441"/>
        <v>99999</v>
      </c>
      <c r="B40807" s="1" t="str">
        <f>"04983"</f>
        <v>04983</v>
      </c>
      <c r="C40807" s="2">
        <v>6.7663056599010098E-5</v>
      </c>
      <c r="D40807" s="2">
        <v>3.7642722381910999E-5</v>
      </c>
      <c r="E40807" s="2">
        <v>6.4515851544724506E-5</v>
      </c>
      <c r="F40807" s="2">
        <v>6.5623363733233195E-5</v>
      </c>
    </row>
    <row r="40808" spans="1:6" x14ac:dyDescent="0.25">
      <c r="A40808" s="1" t="str">
        <f t="shared" si="1441"/>
        <v>99999</v>
      </c>
      <c r="B40808" s="1" t="str">
        <f>"04854"</f>
        <v>04854</v>
      </c>
      <c r="C40808" s="2">
        <v>9.3320887661354707E-5</v>
      </c>
      <c r="D40808" s="2">
        <v>2.1079924533870101E-5</v>
      </c>
      <c r="E40808" s="2">
        <v>4.3010567696482999E-5</v>
      </c>
      <c r="F40808" s="2">
        <v>8.7432030477661098E-5</v>
      </c>
    </row>
    <row r="40809" spans="1:6" x14ac:dyDescent="0.25">
      <c r="A40809" s="1" t="str">
        <f t="shared" si="1441"/>
        <v>99999</v>
      </c>
      <c r="B40809" s="1" t="str">
        <f>"04786"</f>
        <v>04786</v>
      </c>
      <c r="C40809" s="2">
        <v>6.9936535300736804E-5</v>
      </c>
      <c r="D40809" s="2">
        <v>2.4091342324423E-5</v>
      </c>
      <c r="E40809" s="2">
        <v>1.3333275985909701E-4</v>
      </c>
      <c r="F40809" s="2">
        <v>6.83864527325272E-5</v>
      </c>
    </row>
    <row r="40810" spans="1:6" x14ac:dyDescent="0.25">
      <c r="A40810" s="1" t="str">
        <f t="shared" si="1441"/>
        <v>99999</v>
      </c>
      <c r="B40810" s="1" t="str">
        <f>"04861"</f>
        <v>04861</v>
      </c>
      <c r="C40810" s="2">
        <v>1.5210655123457399E-4</v>
      </c>
      <c r="D40810" s="2">
        <v>2.18327789815083E-4</v>
      </c>
      <c r="E40810" s="2">
        <v>2.9247186033608399E-4</v>
      </c>
      <c r="F40810" s="2">
        <v>1.5966707145920501E-4</v>
      </c>
    </row>
    <row r="40811" spans="1:6" x14ac:dyDescent="0.25">
      <c r="A40811" s="1" t="str">
        <f t="shared" si="1441"/>
        <v>99999</v>
      </c>
      <c r="B40811" s="1" t="str">
        <f>"04779"</f>
        <v>04779</v>
      </c>
      <c r="C40811" s="2">
        <v>3.2911310729758503E-5</v>
      </c>
      <c r="D40811" s="2">
        <v>7.5285444763821999E-6</v>
      </c>
      <c r="E40811" s="2">
        <v>4.3010567696482999E-6</v>
      </c>
      <c r="F40811" s="2">
        <v>3.0591342492183898E-5</v>
      </c>
    </row>
    <row r="40812" spans="1:6" x14ac:dyDescent="0.25">
      <c r="A40812" s="1" t="str">
        <f t="shared" si="1441"/>
        <v>99999</v>
      </c>
      <c r="B40812" s="1" t="str">
        <f>"04849"</f>
        <v>04849</v>
      </c>
      <c r="C40812" s="2">
        <v>3.09084842544278E-4</v>
      </c>
      <c r="D40812" s="2">
        <v>1.5207659842292001E-4</v>
      </c>
      <c r="E40812" s="2">
        <v>2.3655812233065599E-4</v>
      </c>
      <c r="F40812" s="2">
        <v>2.9713074917408301E-4</v>
      </c>
    </row>
    <row r="40813" spans="1:6" x14ac:dyDescent="0.25">
      <c r="A40813" s="1" t="str">
        <f t="shared" si="1441"/>
        <v>99999</v>
      </c>
      <c r="B40813" s="1" t="str">
        <f>"04739"</f>
        <v>04739</v>
      </c>
      <c r="C40813" s="2">
        <v>4.9042183422962497E-5</v>
      </c>
      <c r="D40813" s="2">
        <v>1.0539962266935E-5</v>
      </c>
      <c r="E40813" s="2">
        <v>7.3117965084021106E-5</v>
      </c>
      <c r="F40813" s="2">
        <v>4.7071194737973303E-5</v>
      </c>
    </row>
    <row r="40814" spans="1:6" x14ac:dyDescent="0.25">
      <c r="A40814" s="1" t="str">
        <f t="shared" si="1441"/>
        <v>99999</v>
      </c>
      <c r="B40814" s="1" t="str">
        <f>"04762"</f>
        <v>04762</v>
      </c>
      <c r="C40814" s="2">
        <v>3.3452615182550501E-5</v>
      </c>
      <c r="D40814" s="2">
        <v>1.65627978480408E-5</v>
      </c>
      <c r="E40814" s="2">
        <v>1.72042270785932E-5</v>
      </c>
      <c r="F40814" s="2">
        <v>3.19728869918309E-5</v>
      </c>
    </row>
    <row r="40815" spans="1:6" x14ac:dyDescent="0.25">
      <c r="A40815" s="1" t="str">
        <f t="shared" si="1441"/>
        <v>99999</v>
      </c>
      <c r="B40815" s="1" t="str">
        <f>"04740"</f>
        <v>04740</v>
      </c>
      <c r="C40815" s="2">
        <v>5.8460880901544701E-5</v>
      </c>
      <c r="D40815" s="2">
        <v>3.01141779055288E-5</v>
      </c>
      <c r="E40815" s="2">
        <v>8.1720078623317706E-5</v>
      </c>
      <c r="F40815" s="2">
        <v>5.7136733235401503E-5</v>
      </c>
    </row>
    <row r="40816" spans="1:6" x14ac:dyDescent="0.25">
      <c r="A40816" s="1" t="str">
        <f t="shared" si="1441"/>
        <v>99999</v>
      </c>
      <c r="B40816" s="1" t="str">
        <f>"04766"</f>
        <v>04766</v>
      </c>
      <c r="C40816" s="2">
        <v>2.1110873658891101E-5</v>
      </c>
      <c r="D40816" s="2">
        <v>3.01141779055288E-6</v>
      </c>
      <c r="E40816" s="2">
        <v>4.3010567696482999E-6</v>
      </c>
      <c r="F40816" s="2">
        <v>1.95389864950077E-5</v>
      </c>
    </row>
    <row r="40817" spans="1:6" x14ac:dyDescent="0.25">
      <c r="A40817" s="1" t="str">
        <f t="shared" si="1441"/>
        <v>99999</v>
      </c>
      <c r="B40817" s="1" t="str">
        <f>"04859"</f>
        <v>04859</v>
      </c>
      <c r="C40817" s="2">
        <v>3.39939196353426E-5</v>
      </c>
      <c r="D40817" s="2">
        <v>6.0228355811057601E-6</v>
      </c>
      <c r="E40817" s="2">
        <v>8.6021135392965999E-6</v>
      </c>
      <c r="F40817" s="2">
        <v>3.1578159991931699E-5</v>
      </c>
    </row>
    <row r="40818" spans="1:6" x14ac:dyDescent="0.25">
      <c r="A40818" s="1" t="str">
        <f t="shared" si="1441"/>
        <v>99999</v>
      </c>
      <c r="B40818" s="1" t="str">
        <f>"04976"</f>
        <v>04976</v>
      </c>
      <c r="C40818" s="2">
        <v>5.37840104294211E-4</v>
      </c>
      <c r="D40818" s="2">
        <v>6.4143198938776305E-4</v>
      </c>
      <c r="E40818" s="2">
        <v>2.1548294415937902E-3</v>
      </c>
      <c r="F40818" s="2">
        <v>5.8172891610136805E-4</v>
      </c>
    </row>
    <row r="40819" spans="1:6" x14ac:dyDescent="0.25">
      <c r="A40819" s="1" t="str">
        <f t="shared" si="1441"/>
        <v>99999</v>
      </c>
      <c r="B40819" s="1" t="str">
        <f>"04920"</f>
        <v>04920</v>
      </c>
      <c r="C40819" s="2">
        <v>9.25630614274458E-5</v>
      </c>
      <c r="D40819" s="2">
        <v>1.0539962266935E-5</v>
      </c>
      <c r="E40819" s="2">
        <v>7.3117965084021106E-5</v>
      </c>
      <c r="F40819" s="2">
        <v>8.6741258227837606E-5</v>
      </c>
    </row>
    <row r="40820" spans="1:6" x14ac:dyDescent="0.25">
      <c r="A40820" s="1" t="str">
        <f t="shared" si="1441"/>
        <v>99999</v>
      </c>
      <c r="B40820" s="1" t="str">
        <f>"04676"</f>
        <v>04676</v>
      </c>
      <c r="C40820" s="2">
        <v>5.9110446244895197E-5</v>
      </c>
      <c r="D40820" s="2">
        <v>3.31255956960816E-5</v>
      </c>
      <c r="E40820" s="2">
        <v>3.8709510926834699E-5</v>
      </c>
      <c r="F40820" s="2">
        <v>5.6939369735451902E-5</v>
      </c>
    </row>
    <row r="40821" spans="1:6" x14ac:dyDescent="0.25">
      <c r="A40821" s="1" t="str">
        <f t="shared" si="1441"/>
        <v>99999</v>
      </c>
      <c r="B40821" s="1" t="str">
        <f>"04626"</f>
        <v>04626</v>
      </c>
      <c r="C40821" s="2">
        <v>3.0204788465798102E-5</v>
      </c>
      <c r="D40821" s="2">
        <v>1.50570889527644E-5</v>
      </c>
      <c r="E40821" s="2">
        <v>3.01073973875381E-5</v>
      </c>
      <c r="F40821" s="2">
        <v>2.92097979925368E-5</v>
      </c>
    </row>
    <row r="40822" spans="1:6" x14ac:dyDescent="0.25">
      <c r="A40822" s="1" t="str">
        <f t="shared" si="1441"/>
        <v>99999</v>
      </c>
      <c r="B40822" s="1" t="str">
        <f>"04607"</f>
        <v>04607</v>
      </c>
      <c r="C40822" s="2">
        <v>6.9611752629061499E-5</v>
      </c>
      <c r="D40822" s="2">
        <v>3.01141779055288E-5</v>
      </c>
      <c r="E40822" s="2">
        <v>1.5053698693768999E-4</v>
      </c>
      <c r="F40822" s="2">
        <v>6.8879861482401097E-5</v>
      </c>
    </row>
    <row r="40823" spans="1:6" x14ac:dyDescent="0.25">
      <c r="A40823" s="1" t="str">
        <f t="shared" si="1441"/>
        <v>99999</v>
      </c>
      <c r="B40823" s="1" t="str">
        <f>"04609"</f>
        <v>04609</v>
      </c>
      <c r="C40823" s="2">
        <v>3.94069641632634E-4</v>
      </c>
      <c r="D40823" s="2">
        <v>8.4921981693591195E-4</v>
      </c>
      <c r="E40823" s="2">
        <v>9.2472720547438498E-4</v>
      </c>
      <c r="F40823" s="2">
        <v>4.3607465313858201E-4</v>
      </c>
    </row>
    <row r="40824" spans="1:6" x14ac:dyDescent="0.25">
      <c r="A40824" s="1" t="str">
        <f t="shared" si="1441"/>
        <v>99999</v>
      </c>
      <c r="B40824" s="1" t="str">
        <f>"04628"</f>
        <v>04628</v>
      </c>
      <c r="C40824" s="2">
        <v>3.7025224570978301E-5</v>
      </c>
      <c r="D40824" s="2">
        <v>1.80685067433172E-5</v>
      </c>
      <c r="E40824" s="2">
        <v>2.15052838482415E-5</v>
      </c>
      <c r="F40824" s="2">
        <v>3.5426748240948397E-5</v>
      </c>
    </row>
    <row r="40825" spans="1:6" x14ac:dyDescent="0.25">
      <c r="A40825" s="1" t="str">
        <f t="shared" si="1441"/>
        <v>99999</v>
      </c>
      <c r="B40825" s="1" t="str">
        <f>"04555"</f>
        <v>04555</v>
      </c>
      <c r="C40825" s="2">
        <v>1.02414802468261E-4</v>
      </c>
      <c r="D40825" s="2">
        <v>4.2159849067740298E-5</v>
      </c>
      <c r="E40825" s="2">
        <v>6.0214794775076199E-5</v>
      </c>
      <c r="F40825" s="2">
        <v>9.7497568975089298E-5</v>
      </c>
    </row>
    <row r="40826" spans="1:6" x14ac:dyDescent="0.25">
      <c r="A40826" s="1" t="str">
        <f t="shared" si="1441"/>
        <v>99999</v>
      </c>
      <c r="B40826" s="1" t="str">
        <f>"05492"</f>
        <v>05492</v>
      </c>
      <c r="C40826" s="2">
        <v>3.5617832993718898E-5</v>
      </c>
      <c r="D40826" s="2">
        <v>1.50570889527644E-5</v>
      </c>
      <c r="E40826" s="2">
        <v>2.58063406178898E-5</v>
      </c>
      <c r="F40826" s="2">
        <v>3.4045203741301401E-5</v>
      </c>
    </row>
    <row r="40827" spans="1:6" x14ac:dyDescent="0.25">
      <c r="A40827" s="1" t="str">
        <f t="shared" si="1441"/>
        <v>99999</v>
      </c>
      <c r="B40827" s="1" t="str">
        <f>"05356"</f>
        <v>05356</v>
      </c>
      <c r="C40827" s="2">
        <v>5.4671749732000101E-5</v>
      </c>
      <c r="D40827" s="2">
        <v>2.55970512196994E-5</v>
      </c>
      <c r="E40827" s="2">
        <v>2.58063406178898E-5</v>
      </c>
      <c r="F40827" s="2">
        <v>5.2103963986687403E-5</v>
      </c>
    </row>
    <row r="40828" spans="1:6" x14ac:dyDescent="0.25">
      <c r="A40828" s="1" t="str">
        <f t="shared" si="1441"/>
        <v>99999</v>
      </c>
      <c r="B40828" s="1" t="str">
        <f>"05855"</f>
        <v>05855</v>
      </c>
      <c r="C40828" s="2">
        <v>4.1214921035588999E-4</v>
      </c>
      <c r="D40828" s="2">
        <v>8.2663418350676504E-4</v>
      </c>
      <c r="E40828" s="2">
        <v>1.8279491271005199E-3</v>
      </c>
      <c r="F40828" s="2">
        <v>4.7179744662945497E-4</v>
      </c>
    </row>
    <row r="40829" spans="1:6" x14ac:dyDescent="0.25">
      <c r="A40829" s="1" t="str">
        <f t="shared" si="1441"/>
        <v>99999</v>
      </c>
      <c r="B40829" s="1" t="str">
        <f>"05847"</f>
        <v>05847</v>
      </c>
      <c r="C40829" s="2">
        <v>5.1640444796364502E-5</v>
      </c>
      <c r="D40829" s="2">
        <v>1.20456711622115E-5</v>
      </c>
      <c r="E40829" s="2">
        <v>1.29031703089449E-5</v>
      </c>
      <c r="F40829" s="2">
        <v>4.8156693987695901E-5</v>
      </c>
    </row>
    <row r="40830" spans="1:6" x14ac:dyDescent="0.25">
      <c r="A40830" s="1" t="str">
        <f t="shared" si="1441"/>
        <v>99999</v>
      </c>
      <c r="B40830" s="1" t="str">
        <f>"05875"</f>
        <v>05875</v>
      </c>
      <c r="C40830" s="2">
        <v>4.08143557405228E-5</v>
      </c>
      <c r="D40830" s="2">
        <v>1.35513800574879E-5</v>
      </c>
      <c r="E40830" s="2">
        <v>8.6021135392965999E-6</v>
      </c>
      <c r="F40830" s="2">
        <v>3.8288518990217199E-5</v>
      </c>
    </row>
    <row r="40831" spans="1:6" x14ac:dyDescent="0.25">
      <c r="A40831" s="1" t="str">
        <f t="shared" si="1441"/>
        <v>99999</v>
      </c>
      <c r="B40831" s="1" t="str">
        <f>"12418"</f>
        <v>12418</v>
      </c>
      <c r="C40831" s="2">
        <v>3.7783050804887201E-5</v>
      </c>
      <c r="D40831" s="2">
        <v>1.20456711622115E-5</v>
      </c>
      <c r="E40831" s="2">
        <v>4.3010567696482999E-6</v>
      </c>
      <c r="F40831" s="2">
        <v>3.53280664909736E-5</v>
      </c>
    </row>
    <row r="40832" spans="1:6" x14ac:dyDescent="0.25">
      <c r="A40832" s="1" t="str">
        <f t="shared" si="1441"/>
        <v>99999</v>
      </c>
      <c r="B40832" s="1" t="str">
        <f>"12492"</f>
        <v>12492</v>
      </c>
      <c r="C40832" s="2">
        <v>1.51565246781782E-5</v>
      </c>
      <c r="D40832" s="2">
        <v>4.5171266858293203E-6</v>
      </c>
      <c r="E40832" s="2">
        <v>4.3010567696482999E-6</v>
      </c>
      <c r="F40832" s="2">
        <v>1.42101719963693E-5</v>
      </c>
    </row>
    <row r="40833" spans="1:6" x14ac:dyDescent="0.25">
      <c r="A40833" s="1" t="str">
        <f t="shared" si="1441"/>
        <v>99999</v>
      </c>
      <c r="B40833" s="1" t="str">
        <f>"12766"</f>
        <v>12766</v>
      </c>
      <c r="C40833" s="2">
        <v>2.0244786534423801E-5</v>
      </c>
      <c r="D40833" s="2">
        <v>7.5285444763821999E-6</v>
      </c>
      <c r="E40833" s="2">
        <v>4.3010567696482999E-6</v>
      </c>
      <c r="F40833" s="2">
        <v>1.9045577745133799E-5</v>
      </c>
    </row>
    <row r="40834" spans="1:6" x14ac:dyDescent="0.25">
      <c r="A40834" s="1" t="str">
        <f t="shared" si="1441"/>
        <v>99999</v>
      </c>
      <c r="B40834" s="1" t="str">
        <f>"12783"</f>
        <v>12783</v>
      </c>
      <c r="C40834" s="2">
        <v>9.7110018830899293E-5</v>
      </c>
      <c r="D40834" s="2">
        <v>6.1734064706334002E-5</v>
      </c>
      <c r="E40834" s="2">
        <v>7.3117965084021106E-5</v>
      </c>
      <c r="F40834" s="2">
        <v>9.4241071225921395E-5</v>
      </c>
    </row>
    <row r="40835" spans="1:6" x14ac:dyDescent="0.25">
      <c r="A40835" s="1" t="str">
        <f t="shared" si="1441"/>
        <v>99999</v>
      </c>
      <c r="B40835" s="1" t="str">
        <f>"12776"</f>
        <v>12776</v>
      </c>
      <c r="C40835" s="2">
        <v>1.54921334389093E-4</v>
      </c>
      <c r="D40835" s="2">
        <v>7.2274026973269097E-5</v>
      </c>
      <c r="E40835" s="2">
        <v>1.11827476010855E-4</v>
      </c>
      <c r="F40835" s="2">
        <v>1.4851603371205399E-4</v>
      </c>
    </row>
    <row r="40836" spans="1:6" x14ac:dyDescent="0.25">
      <c r="A40836" s="1" t="str">
        <f t="shared" si="1441"/>
        <v>99999</v>
      </c>
      <c r="B40836" s="1" t="str">
        <f>"12788"</f>
        <v>12788</v>
      </c>
      <c r="C40836" s="2">
        <v>1.11616978165727E-4</v>
      </c>
      <c r="D40836" s="2">
        <v>3.4631304591358098E-5</v>
      </c>
      <c r="E40836" s="2">
        <v>5.5913738005427899E-5</v>
      </c>
      <c r="F40836" s="2">
        <v>1.05293427223097E-4</v>
      </c>
    </row>
    <row r="40837" spans="1:6" x14ac:dyDescent="0.25">
      <c r="A40837" s="1" t="str">
        <f t="shared" si="1441"/>
        <v>99999</v>
      </c>
      <c r="B40837" s="1" t="str">
        <f>"12723"</f>
        <v>12723</v>
      </c>
      <c r="C40837" s="2">
        <v>1.3565089586969499E-4</v>
      </c>
      <c r="D40837" s="2">
        <v>9.4859660402415704E-5</v>
      </c>
      <c r="E40837" s="2">
        <v>9.8924305701910905E-5</v>
      </c>
      <c r="F40837" s="2">
        <v>1.32134863216239E-4</v>
      </c>
    </row>
    <row r="40838" spans="1:6" x14ac:dyDescent="0.25">
      <c r="A40838" s="1" t="str">
        <f t="shared" ref="A40838:A40901" si="1442">"99999"</f>
        <v>99999</v>
      </c>
      <c r="B40838" s="1" t="str">
        <f>"12729"</f>
        <v>12729</v>
      </c>
      <c r="C40838" s="2">
        <v>7.3617405579722903E-6</v>
      </c>
      <c r="D40838" s="2">
        <v>1.50570889527644E-6</v>
      </c>
      <c r="E40838" s="2">
        <v>0</v>
      </c>
      <c r="F40838" s="2">
        <v>6.8090407482602902E-6</v>
      </c>
    </row>
    <row r="40839" spans="1:6" x14ac:dyDescent="0.25">
      <c r="A40839" s="1" t="str">
        <f t="shared" si="1442"/>
        <v>99999</v>
      </c>
      <c r="B40839" s="1" t="str">
        <f>"12139"</f>
        <v>12139</v>
      </c>
      <c r="C40839" s="2">
        <v>2.4142178594526799E-5</v>
      </c>
      <c r="D40839" s="2">
        <v>4.5171266858293203E-6</v>
      </c>
      <c r="E40839" s="2">
        <v>1.72042270785932E-5</v>
      </c>
      <c r="F40839" s="2">
        <v>2.26968024942009E-5</v>
      </c>
    </row>
    <row r="40840" spans="1:6" x14ac:dyDescent="0.25">
      <c r="A40840" s="1" t="str">
        <f t="shared" si="1442"/>
        <v>99999</v>
      </c>
      <c r="B40840" s="1" t="str">
        <f>"12167"</f>
        <v>12167</v>
      </c>
      <c r="C40840" s="2">
        <v>9.9924801985418099E-5</v>
      </c>
      <c r="D40840" s="2">
        <v>1.8068506743317201E-4</v>
      </c>
      <c r="E40840" s="2">
        <v>4.0860039311658801E-4</v>
      </c>
      <c r="F40840" s="2">
        <v>1.12299831471307E-4</v>
      </c>
    </row>
    <row r="40841" spans="1:6" x14ac:dyDescent="0.25">
      <c r="A40841" s="1" t="str">
        <f t="shared" si="1442"/>
        <v>99999</v>
      </c>
      <c r="B40841" s="1" t="str">
        <f>"12851"</f>
        <v>12851</v>
      </c>
      <c r="C40841" s="2">
        <v>1.41821766631525E-5</v>
      </c>
      <c r="D40841" s="2">
        <v>4.5171266858293203E-6</v>
      </c>
      <c r="E40841" s="2">
        <v>4.3010567696482999E-6</v>
      </c>
      <c r="F40841" s="2">
        <v>1.3322036246596199E-5</v>
      </c>
    </row>
    <row r="40842" spans="1:6" x14ac:dyDescent="0.25">
      <c r="A40842" s="1" t="str">
        <f t="shared" si="1442"/>
        <v>99999</v>
      </c>
      <c r="B40842" s="1" t="str">
        <f>"12974"</f>
        <v>12974</v>
      </c>
      <c r="C40842" s="2">
        <v>8.9964800054043802E-5</v>
      </c>
      <c r="D40842" s="2">
        <v>1.4304234505126099E-4</v>
      </c>
      <c r="E40842" s="2">
        <v>2.5806340617889802E-4</v>
      </c>
      <c r="F40842" s="2">
        <v>9.7300205475139704E-5</v>
      </c>
    </row>
    <row r="40843" spans="1:6" x14ac:dyDescent="0.25">
      <c r="A40843" s="1" t="str">
        <f t="shared" si="1442"/>
        <v>99999</v>
      </c>
      <c r="B40843" s="1" t="str">
        <f>"12960"</f>
        <v>12960</v>
      </c>
      <c r="C40843" s="2">
        <v>3.4318702307017899E-5</v>
      </c>
      <c r="D40843" s="2">
        <v>7.5285444763821999E-6</v>
      </c>
      <c r="E40843" s="2">
        <v>4.3010567696482999E-6</v>
      </c>
      <c r="F40843" s="2">
        <v>3.1874205241856103E-5</v>
      </c>
    </row>
    <row r="40844" spans="1:6" x14ac:dyDescent="0.25">
      <c r="A40844" s="1" t="str">
        <f t="shared" si="1442"/>
        <v>99999</v>
      </c>
      <c r="B40844" s="1" t="str">
        <f>"12977"</f>
        <v>12977</v>
      </c>
      <c r="C40844" s="2">
        <v>1.08260890558416E-7</v>
      </c>
      <c r="D40844" s="2">
        <v>3.01141779055288E-6</v>
      </c>
      <c r="E40844" s="2">
        <v>4.3010567696482999E-6</v>
      </c>
      <c r="F40844" s="2">
        <v>3.9472699989914697E-7</v>
      </c>
    </row>
    <row r="40845" spans="1:6" x14ac:dyDescent="0.25">
      <c r="A40845" s="1" t="str">
        <f t="shared" si="1442"/>
        <v>99999</v>
      </c>
      <c r="B40845" s="1" t="str">
        <f>"13830"</f>
        <v>13830</v>
      </c>
      <c r="C40845" s="2">
        <v>2.0667004007601599E-4</v>
      </c>
      <c r="D40845" s="2">
        <v>8.2813989240204205E-5</v>
      </c>
      <c r="E40845" s="2">
        <v>1.37633816628745E-4</v>
      </c>
      <c r="F40845" s="2">
        <v>1.9696877294967399E-4</v>
      </c>
    </row>
    <row r="40846" spans="1:6" x14ac:dyDescent="0.25">
      <c r="A40846" s="1" t="str">
        <f t="shared" si="1442"/>
        <v>99999</v>
      </c>
      <c r="B40846" s="1" t="str">
        <f>"13782"</f>
        <v>13782</v>
      </c>
      <c r="C40846" s="2">
        <v>4.9258705204079297E-5</v>
      </c>
      <c r="D40846" s="2">
        <v>2.25856334291466E-5</v>
      </c>
      <c r="E40846" s="2">
        <v>2.15052838482415E-5</v>
      </c>
      <c r="F40846" s="2">
        <v>4.6873831238023702E-5</v>
      </c>
    </row>
    <row r="40847" spans="1:6" x14ac:dyDescent="0.25">
      <c r="A40847" s="1" t="str">
        <f t="shared" si="1442"/>
        <v>99999</v>
      </c>
      <c r="B40847" s="1" t="str">
        <f>"13733"</f>
        <v>13733</v>
      </c>
      <c r="C40847" s="2">
        <v>2.7065222639604001E-4</v>
      </c>
      <c r="D40847" s="2">
        <v>1.86707903014278E-4</v>
      </c>
      <c r="E40847" s="2">
        <v>2.49461292639601E-4</v>
      </c>
      <c r="F40847" s="2">
        <v>2.6466445343237797E-4</v>
      </c>
    </row>
    <row r="40848" spans="1:6" x14ac:dyDescent="0.25">
      <c r="A40848" s="1" t="str">
        <f t="shared" si="1442"/>
        <v>99999</v>
      </c>
      <c r="B40848" s="1" t="str">
        <f>"13740"</f>
        <v>13740</v>
      </c>
      <c r="C40848" s="2">
        <v>3.1720440933615901E-5</v>
      </c>
      <c r="D40848" s="2">
        <v>7.5285444763821999E-6</v>
      </c>
      <c r="E40848" s="2">
        <v>8.6021135392965999E-6</v>
      </c>
      <c r="F40848" s="2">
        <v>2.9604524992435998E-5</v>
      </c>
    </row>
    <row r="40849" spans="1:6" x14ac:dyDescent="0.25">
      <c r="A40849" s="1" t="str">
        <f t="shared" si="1442"/>
        <v>99999</v>
      </c>
      <c r="B40849" s="1" t="str">
        <f>"14530"</f>
        <v>14530</v>
      </c>
      <c r="C40849" s="2">
        <v>2.8061222832741401E-4</v>
      </c>
      <c r="D40849" s="2">
        <v>3.55347299285239E-4</v>
      </c>
      <c r="E40849" s="2">
        <v>5.5053526651498196E-4</v>
      </c>
      <c r="F40849" s="2">
        <v>2.9170325292546902E-4</v>
      </c>
    </row>
    <row r="40850" spans="1:6" x14ac:dyDescent="0.25">
      <c r="A40850" s="1" t="str">
        <f t="shared" si="1442"/>
        <v>99999</v>
      </c>
      <c r="B40850" s="1" t="str">
        <f>"14837"</f>
        <v>14837</v>
      </c>
      <c r="C40850" s="2">
        <v>5.7053489324285298E-5</v>
      </c>
      <c r="D40850" s="2">
        <v>1.50570889527644E-5</v>
      </c>
      <c r="E40850" s="2">
        <v>2.15052838482415E-5</v>
      </c>
      <c r="F40850" s="2">
        <v>5.3485508486334399E-5</v>
      </c>
    </row>
    <row r="40851" spans="1:6" x14ac:dyDescent="0.25">
      <c r="A40851" s="1" t="str">
        <f t="shared" si="1442"/>
        <v>99999</v>
      </c>
      <c r="B40851" s="1" t="str">
        <f>"14843"</f>
        <v>14843</v>
      </c>
      <c r="C40851" s="2">
        <v>4.6552182940118902E-6</v>
      </c>
      <c r="D40851" s="2">
        <v>1.50570889527644E-6</v>
      </c>
      <c r="E40851" s="2">
        <v>0</v>
      </c>
      <c r="F40851" s="2">
        <v>4.3419969988906098E-6</v>
      </c>
    </row>
    <row r="40852" spans="1:6" x14ac:dyDescent="0.25">
      <c r="A40852" s="1" t="str">
        <f t="shared" si="1442"/>
        <v>99999</v>
      </c>
      <c r="B40852" s="1" t="str">
        <f>"14865"</f>
        <v>14865</v>
      </c>
      <c r="C40852" s="2">
        <v>1.1703002269364701E-4</v>
      </c>
      <c r="D40852" s="2">
        <v>1.08411040459903E-4</v>
      </c>
      <c r="E40852" s="2">
        <v>1.7634332755557999E-4</v>
      </c>
      <c r="F40852" s="2">
        <v>1.1782600946989499E-4</v>
      </c>
    </row>
    <row r="40853" spans="1:6" x14ac:dyDescent="0.25">
      <c r="A40853" s="1" t="str">
        <f t="shared" si="1442"/>
        <v>99999</v>
      </c>
      <c r="B40853" s="1" t="str">
        <f>"14802"</f>
        <v>14802</v>
      </c>
      <c r="C40853" s="2">
        <v>5.9651750697687297E-5</v>
      </c>
      <c r="D40853" s="2">
        <v>7.82968625543749E-5</v>
      </c>
      <c r="E40853" s="2">
        <v>3.09676087414677E-4</v>
      </c>
      <c r="F40853" s="2">
        <v>6.6610181232981002E-5</v>
      </c>
    </row>
    <row r="40854" spans="1:6" x14ac:dyDescent="0.25">
      <c r="A40854" s="1" t="str">
        <f t="shared" si="1442"/>
        <v>99999</v>
      </c>
      <c r="B40854" s="1" t="str">
        <f>"14735"</f>
        <v>14735</v>
      </c>
      <c r="C40854" s="2">
        <v>1.22010023659335E-4</v>
      </c>
      <c r="D40854" s="2">
        <v>2.25856334291466E-5</v>
      </c>
      <c r="E40854" s="2">
        <v>2.4516023586995298E-4</v>
      </c>
      <c r="F40854" s="2">
        <v>1.18319418219769E-4</v>
      </c>
    </row>
    <row r="40855" spans="1:6" x14ac:dyDescent="0.25">
      <c r="A40855" s="1" t="str">
        <f t="shared" si="1442"/>
        <v>99999</v>
      </c>
      <c r="B40855" s="1" t="str">
        <f>"14803"</f>
        <v>14803</v>
      </c>
      <c r="C40855" s="2">
        <v>5.6945228433726902E-5</v>
      </c>
      <c r="D40855" s="2">
        <v>3.9148431277187403E-5</v>
      </c>
      <c r="E40855" s="2">
        <v>9.8924305701910905E-5</v>
      </c>
      <c r="F40855" s="2">
        <v>5.6742006235502403E-5</v>
      </c>
    </row>
    <row r="40856" spans="1:6" x14ac:dyDescent="0.25">
      <c r="A40856" s="1" t="str">
        <f t="shared" si="1442"/>
        <v>99999</v>
      </c>
      <c r="B40856" s="1" t="str">
        <f>"15364"</f>
        <v>15364</v>
      </c>
      <c r="C40856" s="2">
        <v>3.6808702789861399E-5</v>
      </c>
      <c r="D40856" s="2">
        <v>1.35513800574879E-5</v>
      </c>
      <c r="E40856" s="2">
        <v>4.3010567696482999E-6</v>
      </c>
      <c r="F40856" s="2">
        <v>3.4538612491175298E-5</v>
      </c>
    </row>
    <row r="40857" spans="1:6" x14ac:dyDescent="0.25">
      <c r="A40857" s="1" t="str">
        <f t="shared" si="1442"/>
        <v>99999</v>
      </c>
      <c r="B40857" s="1" t="str">
        <f>"63866"</f>
        <v>63866</v>
      </c>
      <c r="C40857" s="2">
        <v>0</v>
      </c>
      <c r="D40857" s="2">
        <v>0</v>
      </c>
      <c r="E40857" s="2">
        <v>4.3010567696482999E-6</v>
      </c>
      <c r="F40857" s="2">
        <v>9.8681749974786797E-8</v>
      </c>
    </row>
    <row r="40858" spans="1:6" x14ac:dyDescent="0.25">
      <c r="A40858" s="1" t="str">
        <f t="shared" si="1442"/>
        <v>99999</v>
      </c>
      <c r="B40858" s="1" t="str">
        <f>"48633"</f>
        <v>48633</v>
      </c>
      <c r="C40858" s="2">
        <v>1.08260890558416E-7</v>
      </c>
      <c r="D40858" s="2">
        <v>0</v>
      </c>
      <c r="E40858" s="2">
        <v>0</v>
      </c>
      <c r="F40858" s="2">
        <v>9.8681749974786797E-8</v>
      </c>
    </row>
    <row r="40859" spans="1:6" x14ac:dyDescent="0.25">
      <c r="A40859" s="1" t="str">
        <f t="shared" si="1442"/>
        <v>99999</v>
      </c>
      <c r="B40859" s="1" t="str">
        <f>"23407"</f>
        <v>23407</v>
      </c>
      <c r="C40859" s="2">
        <v>0</v>
      </c>
      <c r="D40859" s="2">
        <v>1.50570889527644E-6</v>
      </c>
      <c r="E40859" s="2">
        <v>0</v>
      </c>
      <c r="F40859" s="2">
        <v>9.8681749974786797E-8</v>
      </c>
    </row>
    <row r="40860" spans="1:6" x14ac:dyDescent="0.25">
      <c r="A40860" s="1" t="str">
        <f t="shared" si="1442"/>
        <v>99999</v>
      </c>
      <c r="B40860" s="1" t="str">
        <f>"63853"</f>
        <v>63853</v>
      </c>
      <c r="C40860" s="2">
        <v>1.08260890558416E-7</v>
      </c>
      <c r="D40860" s="2">
        <v>0</v>
      </c>
      <c r="E40860" s="2">
        <v>4.3010567696482999E-6</v>
      </c>
      <c r="F40860" s="2">
        <v>1.9736349994957301E-7</v>
      </c>
    </row>
    <row r="40861" spans="1:6" x14ac:dyDescent="0.25">
      <c r="A40861" s="1" t="str">
        <f t="shared" si="1442"/>
        <v>99999</v>
      </c>
      <c r="B40861" s="1" t="str">
        <f>"76530"</f>
        <v>76530</v>
      </c>
      <c r="C40861" s="2">
        <v>3.2478267167524802E-7</v>
      </c>
      <c r="D40861" s="2">
        <v>0</v>
      </c>
      <c r="E40861" s="2">
        <v>0</v>
      </c>
      <c r="F40861" s="2">
        <v>2.9604524992435999E-7</v>
      </c>
    </row>
    <row r="40862" spans="1:6" x14ac:dyDescent="0.25">
      <c r="A40862" s="1" t="str">
        <f t="shared" si="1442"/>
        <v>99999</v>
      </c>
      <c r="B40862" s="1" t="str">
        <f>"99620"</f>
        <v>99620</v>
      </c>
      <c r="C40862" s="2">
        <v>0</v>
      </c>
      <c r="D40862" s="2">
        <v>0</v>
      </c>
      <c r="E40862" s="2">
        <v>4.3010567696482999E-6</v>
      </c>
      <c r="F40862" s="2">
        <v>9.8681749974786797E-8</v>
      </c>
    </row>
    <row r="40863" spans="1:6" x14ac:dyDescent="0.25">
      <c r="A40863" s="1" t="str">
        <f t="shared" si="1442"/>
        <v>99999</v>
      </c>
      <c r="B40863" s="1" t="str">
        <f>"86544"</f>
        <v>86544</v>
      </c>
      <c r="C40863" s="2">
        <v>1.08260890558416E-7</v>
      </c>
      <c r="D40863" s="2">
        <v>0</v>
      </c>
      <c r="E40863" s="2">
        <v>4.3010567696482999E-6</v>
      </c>
      <c r="F40863" s="2">
        <v>1.9736349994957301E-7</v>
      </c>
    </row>
    <row r="40864" spans="1:6" x14ac:dyDescent="0.25">
      <c r="A40864" s="1" t="str">
        <f t="shared" si="1442"/>
        <v>99999</v>
      </c>
      <c r="B40864" s="1" t="str">
        <f>"98632"</f>
        <v>98632</v>
      </c>
      <c r="C40864" s="2">
        <v>1.4073915772594101E-6</v>
      </c>
      <c r="D40864" s="2">
        <v>0</v>
      </c>
      <c r="E40864" s="2">
        <v>0</v>
      </c>
      <c r="F40864" s="2">
        <v>1.2828627496722201E-6</v>
      </c>
    </row>
    <row r="40865" spans="1:6" x14ac:dyDescent="0.25">
      <c r="A40865" s="1" t="str">
        <f t="shared" si="1442"/>
        <v>99999</v>
      </c>
      <c r="B40865" s="1" t="str">
        <f>"04646"</f>
        <v>04646</v>
      </c>
      <c r="C40865" s="2">
        <v>0</v>
      </c>
      <c r="D40865" s="2">
        <v>0</v>
      </c>
      <c r="E40865" s="2">
        <v>4.3010567696482999E-6</v>
      </c>
      <c r="F40865" s="2">
        <v>9.8681749974786797E-8</v>
      </c>
    </row>
    <row r="40866" spans="1:6" x14ac:dyDescent="0.25">
      <c r="A40866" s="1" t="str">
        <f t="shared" si="1442"/>
        <v>99999</v>
      </c>
      <c r="B40866" s="1" t="str">
        <f>"25059"</f>
        <v>25059</v>
      </c>
      <c r="C40866" s="2">
        <v>1.1908697961425701E-6</v>
      </c>
      <c r="D40866" s="2">
        <v>1.50570889527644E-6</v>
      </c>
      <c r="E40866" s="2">
        <v>0</v>
      </c>
      <c r="F40866" s="2">
        <v>1.18418099969744E-6</v>
      </c>
    </row>
    <row r="40867" spans="1:6" x14ac:dyDescent="0.25">
      <c r="A40867" s="1" t="str">
        <f t="shared" si="1442"/>
        <v>99999</v>
      </c>
      <c r="B40867" s="1" t="str">
        <f>"12120"</f>
        <v>12120</v>
      </c>
      <c r="C40867" s="2">
        <v>2.1652178111683201E-7</v>
      </c>
      <c r="D40867" s="2">
        <v>0</v>
      </c>
      <c r="E40867" s="2">
        <v>0</v>
      </c>
      <c r="F40867" s="2">
        <v>1.9736349994957301E-7</v>
      </c>
    </row>
    <row r="40868" spans="1:6" x14ac:dyDescent="0.25">
      <c r="A40868" s="1" t="str">
        <f t="shared" si="1442"/>
        <v>99999</v>
      </c>
      <c r="B40868" s="1" t="str">
        <f>"28779"</f>
        <v>28779</v>
      </c>
      <c r="C40868" s="2">
        <v>1.08260890558416E-7</v>
      </c>
      <c r="D40868" s="2">
        <v>0</v>
      </c>
      <c r="E40868" s="2">
        <v>0</v>
      </c>
      <c r="F40868" s="2">
        <v>9.8681749974786797E-8</v>
      </c>
    </row>
    <row r="40869" spans="1:6" x14ac:dyDescent="0.25">
      <c r="A40869" s="1" t="str">
        <f t="shared" si="1442"/>
        <v>99999</v>
      </c>
      <c r="B40869" s="1" t="str">
        <f>"40410"</f>
        <v>40410</v>
      </c>
      <c r="C40869" s="2">
        <v>0</v>
      </c>
      <c r="D40869" s="2">
        <v>0</v>
      </c>
      <c r="E40869" s="2">
        <v>4.3010567696482999E-6</v>
      </c>
      <c r="F40869" s="2">
        <v>9.8681749974786797E-8</v>
      </c>
    </row>
    <row r="40870" spans="1:6" x14ac:dyDescent="0.25">
      <c r="A40870" s="1" t="str">
        <f t="shared" si="1442"/>
        <v>99999</v>
      </c>
      <c r="B40870" s="1" t="str">
        <f>"59075"</f>
        <v>59075</v>
      </c>
      <c r="C40870" s="2">
        <v>4.3304356223366396E-6</v>
      </c>
      <c r="D40870" s="2">
        <v>0</v>
      </c>
      <c r="E40870" s="2">
        <v>8.6021135392965999E-6</v>
      </c>
      <c r="F40870" s="2">
        <v>4.1446334989410403E-6</v>
      </c>
    </row>
    <row r="40871" spans="1:6" x14ac:dyDescent="0.25">
      <c r="A40871" s="1" t="str">
        <f t="shared" si="1442"/>
        <v>99999</v>
      </c>
      <c r="B40871" s="1" t="str">
        <f>"29923"</f>
        <v>29923</v>
      </c>
      <c r="C40871" s="2">
        <v>0</v>
      </c>
      <c r="D40871" s="2">
        <v>1.50570889527644E-6</v>
      </c>
      <c r="E40871" s="2">
        <v>0</v>
      </c>
      <c r="F40871" s="2">
        <v>9.8681749974786797E-8</v>
      </c>
    </row>
    <row r="40872" spans="1:6" x14ac:dyDescent="0.25">
      <c r="A40872" s="1" t="str">
        <f t="shared" si="1442"/>
        <v>99999</v>
      </c>
      <c r="B40872" s="1" t="str">
        <f>"33944"</f>
        <v>33944</v>
      </c>
      <c r="C40872" s="2">
        <v>0</v>
      </c>
      <c r="D40872" s="2">
        <v>0</v>
      </c>
      <c r="E40872" s="2">
        <v>4.3010567696482999E-6</v>
      </c>
      <c r="F40872" s="2">
        <v>9.8681749974786797E-8</v>
      </c>
    </row>
    <row r="40873" spans="1:6" x14ac:dyDescent="0.25">
      <c r="A40873" s="1" t="str">
        <f t="shared" si="1442"/>
        <v>99999</v>
      </c>
      <c r="B40873" s="1" t="str">
        <f>"79231"</f>
        <v>79231</v>
      </c>
      <c r="C40873" s="2">
        <v>0</v>
      </c>
      <c r="D40873" s="2">
        <v>0</v>
      </c>
      <c r="E40873" s="2">
        <v>4.3010567696482999E-6</v>
      </c>
      <c r="F40873" s="2">
        <v>9.8681749974786797E-8</v>
      </c>
    </row>
    <row r="40874" spans="1:6" x14ac:dyDescent="0.25">
      <c r="A40874" s="1" t="str">
        <f t="shared" si="1442"/>
        <v>99999</v>
      </c>
      <c r="B40874" s="1" t="str">
        <f>"56720"</f>
        <v>56720</v>
      </c>
      <c r="C40874" s="2">
        <v>0</v>
      </c>
      <c r="D40874" s="2">
        <v>0</v>
      </c>
      <c r="E40874" s="2">
        <v>4.3010567696482999E-6</v>
      </c>
      <c r="F40874" s="2">
        <v>9.8681749974786797E-8</v>
      </c>
    </row>
    <row r="40875" spans="1:6" x14ac:dyDescent="0.25">
      <c r="A40875" s="1" t="str">
        <f t="shared" si="1442"/>
        <v>99999</v>
      </c>
      <c r="B40875" s="1" t="str">
        <f>"65038"</f>
        <v>65038</v>
      </c>
      <c r="C40875" s="2">
        <v>0</v>
      </c>
      <c r="D40875" s="2">
        <v>0</v>
      </c>
      <c r="E40875" s="2">
        <v>4.3010567696482999E-6</v>
      </c>
      <c r="F40875" s="2">
        <v>9.8681749974786797E-8</v>
      </c>
    </row>
    <row r="40876" spans="1:6" x14ac:dyDescent="0.25">
      <c r="A40876" s="1" t="str">
        <f t="shared" si="1442"/>
        <v>99999</v>
      </c>
      <c r="B40876" s="1" t="str">
        <f>"39171"</f>
        <v>39171</v>
      </c>
      <c r="C40876" s="2">
        <v>0</v>
      </c>
      <c r="D40876" s="2">
        <v>1.50570889527644E-6</v>
      </c>
      <c r="E40876" s="2">
        <v>0</v>
      </c>
      <c r="F40876" s="2">
        <v>9.8681749974786797E-8</v>
      </c>
    </row>
    <row r="40877" spans="1:6" x14ac:dyDescent="0.25">
      <c r="A40877" s="1" t="str">
        <f t="shared" si="1442"/>
        <v>99999</v>
      </c>
      <c r="B40877" s="1" t="str">
        <f>"49657"</f>
        <v>49657</v>
      </c>
      <c r="C40877" s="2">
        <v>1.08260890558416E-7</v>
      </c>
      <c r="D40877" s="2">
        <v>0</v>
      </c>
      <c r="E40877" s="2">
        <v>0</v>
      </c>
      <c r="F40877" s="2">
        <v>9.8681749974786797E-8</v>
      </c>
    </row>
    <row r="40878" spans="1:6" x14ac:dyDescent="0.25">
      <c r="A40878" s="1" t="str">
        <f t="shared" si="1442"/>
        <v>99999</v>
      </c>
      <c r="B40878" s="1" t="str">
        <f>"99564"</f>
        <v>99564</v>
      </c>
      <c r="C40878" s="2">
        <v>0</v>
      </c>
      <c r="D40878" s="2">
        <v>0</v>
      </c>
      <c r="E40878" s="2">
        <v>4.3010567696482999E-6</v>
      </c>
      <c r="F40878" s="2">
        <v>9.8681749974786797E-8</v>
      </c>
    </row>
    <row r="40879" spans="1:6" x14ac:dyDescent="0.25">
      <c r="A40879" s="1" t="str">
        <f t="shared" si="1442"/>
        <v>99999</v>
      </c>
      <c r="B40879" s="1" t="str">
        <f>"46912"</f>
        <v>46912</v>
      </c>
      <c r="C40879" s="2">
        <v>0</v>
      </c>
      <c r="D40879" s="2">
        <v>0</v>
      </c>
      <c r="E40879" s="2">
        <v>4.3010567696482999E-6</v>
      </c>
      <c r="F40879" s="2">
        <v>9.8681749974786797E-8</v>
      </c>
    </row>
    <row r="40880" spans="1:6" x14ac:dyDescent="0.25">
      <c r="A40880" s="1" t="str">
        <f t="shared" si="1442"/>
        <v>99999</v>
      </c>
      <c r="B40880" s="1" t="str">
        <f>"71677"</f>
        <v>71677</v>
      </c>
      <c r="C40880" s="2">
        <v>1.08260890558416E-7</v>
      </c>
      <c r="D40880" s="2">
        <v>0</v>
      </c>
      <c r="E40880" s="2">
        <v>4.3010567696482999E-6</v>
      </c>
      <c r="F40880" s="2">
        <v>1.9736349994957301E-7</v>
      </c>
    </row>
    <row r="40881" spans="1:6" x14ac:dyDescent="0.25">
      <c r="A40881" s="1" t="str">
        <f t="shared" si="1442"/>
        <v>99999</v>
      </c>
      <c r="B40881" s="1" t="str">
        <f>"56127"</f>
        <v>56127</v>
      </c>
      <c r="C40881" s="2">
        <v>1.08260890558416E-7</v>
      </c>
      <c r="D40881" s="2">
        <v>0</v>
      </c>
      <c r="E40881" s="2">
        <v>0</v>
      </c>
      <c r="F40881" s="2">
        <v>9.8681749974786797E-8</v>
      </c>
    </row>
    <row r="40882" spans="1:6" x14ac:dyDescent="0.25">
      <c r="A40882" s="1" t="str">
        <f t="shared" si="1442"/>
        <v>99999</v>
      </c>
      <c r="B40882" s="1" t="str">
        <f>"04672"</f>
        <v>04672</v>
      </c>
      <c r="C40882" s="2">
        <v>0</v>
      </c>
      <c r="D40882" s="2">
        <v>0</v>
      </c>
      <c r="E40882" s="2">
        <v>4.3010567696482999E-6</v>
      </c>
      <c r="F40882" s="2">
        <v>9.8681749974786797E-8</v>
      </c>
    </row>
    <row r="40883" spans="1:6" x14ac:dyDescent="0.25">
      <c r="A40883" s="1" t="str">
        <f t="shared" si="1442"/>
        <v>99999</v>
      </c>
      <c r="B40883" s="1" t="str">
        <f>"42638"</f>
        <v>42638</v>
      </c>
      <c r="C40883" s="2">
        <v>0</v>
      </c>
      <c r="D40883" s="2">
        <v>0</v>
      </c>
      <c r="E40883" s="2">
        <v>4.3010567696482999E-6</v>
      </c>
      <c r="F40883" s="2">
        <v>9.8681749974786797E-8</v>
      </c>
    </row>
    <row r="40884" spans="1:6" x14ac:dyDescent="0.25">
      <c r="A40884" s="1" t="str">
        <f t="shared" si="1442"/>
        <v>99999</v>
      </c>
      <c r="B40884" s="1" t="str">
        <f>"96054"</f>
        <v>96054</v>
      </c>
      <c r="C40884" s="2">
        <v>0</v>
      </c>
      <c r="D40884" s="2">
        <v>0</v>
      </c>
      <c r="E40884" s="2">
        <v>4.3010567696482999E-6</v>
      </c>
      <c r="F40884" s="2">
        <v>9.8681749974786797E-8</v>
      </c>
    </row>
    <row r="40885" spans="1:6" x14ac:dyDescent="0.25">
      <c r="A40885" s="1" t="str">
        <f t="shared" si="1442"/>
        <v>99999</v>
      </c>
      <c r="B40885" s="1" t="str">
        <f>"99922"</f>
        <v>99922</v>
      </c>
      <c r="C40885" s="2">
        <v>0</v>
      </c>
      <c r="D40885" s="2">
        <v>0</v>
      </c>
      <c r="E40885" s="2">
        <v>4.3010567696482999E-6</v>
      </c>
      <c r="F40885" s="2">
        <v>9.8681749974786797E-8</v>
      </c>
    </row>
    <row r="40886" spans="1:6" x14ac:dyDescent="0.25">
      <c r="A40886" s="1" t="str">
        <f t="shared" si="1442"/>
        <v>99999</v>
      </c>
      <c r="B40886" s="1" t="str">
        <f>"24177"</f>
        <v>24177</v>
      </c>
      <c r="C40886" s="2">
        <v>0</v>
      </c>
      <c r="D40886" s="2">
        <v>0</v>
      </c>
      <c r="E40886" s="2">
        <v>4.3010567696482999E-6</v>
      </c>
      <c r="F40886" s="2">
        <v>9.8681749974786797E-8</v>
      </c>
    </row>
    <row r="40887" spans="1:6" x14ac:dyDescent="0.25">
      <c r="A40887" s="1" t="str">
        <f t="shared" si="1442"/>
        <v>99999</v>
      </c>
      <c r="B40887" s="1" t="str">
        <f>"99608"</f>
        <v>99608</v>
      </c>
      <c r="C40887" s="2">
        <v>0</v>
      </c>
      <c r="D40887" s="2">
        <v>0</v>
      </c>
      <c r="E40887" s="2">
        <v>4.3010567696482999E-6</v>
      </c>
      <c r="F40887" s="2">
        <v>9.8681749974786797E-8</v>
      </c>
    </row>
    <row r="40888" spans="1:6" x14ac:dyDescent="0.25">
      <c r="A40888" s="1" t="str">
        <f t="shared" si="1442"/>
        <v>99999</v>
      </c>
      <c r="B40888" s="1" t="str">
        <f>"27570"</f>
        <v>27570</v>
      </c>
      <c r="C40888" s="2">
        <v>0</v>
      </c>
      <c r="D40888" s="2">
        <v>1.50570889527644E-6</v>
      </c>
      <c r="E40888" s="2">
        <v>0</v>
      </c>
      <c r="F40888" s="2">
        <v>9.8681749974786797E-8</v>
      </c>
    </row>
    <row r="40889" spans="1:6" x14ac:dyDescent="0.25">
      <c r="A40889" s="1" t="str">
        <f t="shared" si="1442"/>
        <v>99999</v>
      </c>
      <c r="B40889" s="1" t="str">
        <f>"99731"</f>
        <v>99731</v>
      </c>
      <c r="C40889" s="2">
        <v>0</v>
      </c>
      <c r="D40889" s="2">
        <v>1.50570889527644E-6</v>
      </c>
      <c r="E40889" s="2">
        <v>0</v>
      </c>
      <c r="F40889" s="2">
        <v>9.8681749974786797E-8</v>
      </c>
    </row>
    <row r="40890" spans="1:6" x14ac:dyDescent="0.25">
      <c r="A40890" s="1" t="str">
        <f t="shared" si="1442"/>
        <v>99999</v>
      </c>
      <c r="B40890" s="1" t="str">
        <f>"99644"</f>
        <v>99644</v>
      </c>
      <c r="C40890" s="2">
        <v>0</v>
      </c>
      <c r="D40890" s="2">
        <v>0</v>
      </c>
      <c r="E40890" s="2">
        <v>4.3010567696482999E-6</v>
      </c>
      <c r="F40890" s="2">
        <v>9.8681749974786797E-8</v>
      </c>
    </row>
    <row r="40891" spans="1:6" x14ac:dyDescent="0.25">
      <c r="A40891" s="1" t="str">
        <f t="shared" si="1442"/>
        <v>99999</v>
      </c>
      <c r="B40891" s="1" t="str">
        <f>"26033"</f>
        <v>26033</v>
      </c>
      <c r="C40891" s="2">
        <v>0</v>
      </c>
      <c r="D40891" s="2">
        <v>1.50570889527644E-6</v>
      </c>
      <c r="E40891" s="2">
        <v>0</v>
      </c>
      <c r="F40891" s="2">
        <v>9.8681749974786797E-8</v>
      </c>
    </row>
    <row r="40892" spans="1:6" x14ac:dyDescent="0.25">
      <c r="A40892" s="1" t="str">
        <f t="shared" si="1442"/>
        <v>99999</v>
      </c>
      <c r="B40892" s="1" t="str">
        <f>"47033"</f>
        <v>47033</v>
      </c>
      <c r="C40892" s="2">
        <v>0</v>
      </c>
      <c r="D40892" s="2">
        <v>1.50570889527644E-6</v>
      </c>
      <c r="E40892" s="2">
        <v>0</v>
      </c>
      <c r="F40892" s="2">
        <v>9.8681749974786797E-8</v>
      </c>
    </row>
    <row r="40893" spans="1:6" x14ac:dyDescent="0.25">
      <c r="A40893" s="1" t="str">
        <f t="shared" si="1442"/>
        <v>99999</v>
      </c>
      <c r="B40893" s="1" t="str">
        <f>"62411"</f>
        <v>62411</v>
      </c>
      <c r="C40893" s="2">
        <v>2.1652178111683201E-7</v>
      </c>
      <c r="D40893" s="2">
        <v>0</v>
      </c>
      <c r="E40893" s="2">
        <v>0</v>
      </c>
      <c r="F40893" s="2">
        <v>1.9736349994957301E-7</v>
      </c>
    </row>
    <row r="40894" spans="1:6" x14ac:dyDescent="0.25">
      <c r="A40894" s="1" t="str">
        <f t="shared" si="1442"/>
        <v>99999</v>
      </c>
      <c r="B40894" s="1" t="str">
        <f>"04645"</f>
        <v>04645</v>
      </c>
      <c r="C40894" s="2">
        <v>0</v>
      </c>
      <c r="D40894" s="2">
        <v>0</v>
      </c>
      <c r="E40894" s="2">
        <v>4.3010567696482999E-6</v>
      </c>
      <c r="F40894" s="2">
        <v>9.8681749974786797E-8</v>
      </c>
    </row>
    <row r="40895" spans="1:6" x14ac:dyDescent="0.25">
      <c r="A40895" s="1" t="str">
        <f t="shared" si="1442"/>
        <v>99999</v>
      </c>
      <c r="B40895" s="1" t="str">
        <f>"26561"</f>
        <v>26561</v>
      </c>
      <c r="C40895" s="2">
        <v>0</v>
      </c>
      <c r="D40895" s="2">
        <v>0</v>
      </c>
      <c r="E40895" s="2">
        <v>4.3010567696482999E-6</v>
      </c>
      <c r="F40895" s="2">
        <v>9.8681749974786797E-8</v>
      </c>
    </row>
    <row r="40896" spans="1:6" x14ac:dyDescent="0.25">
      <c r="A40896" s="1" t="str">
        <f t="shared" si="1442"/>
        <v>99999</v>
      </c>
      <c r="B40896" s="1" t="str">
        <f>"14863"</f>
        <v>14863</v>
      </c>
      <c r="C40896" s="2">
        <v>0</v>
      </c>
      <c r="D40896" s="2">
        <v>0</v>
      </c>
      <c r="E40896" s="2">
        <v>4.3010567696482999E-6</v>
      </c>
      <c r="F40896" s="2">
        <v>9.8681749974786797E-8</v>
      </c>
    </row>
    <row r="40897" spans="1:6" x14ac:dyDescent="0.25">
      <c r="A40897" s="1" t="str">
        <f t="shared" si="1442"/>
        <v>99999</v>
      </c>
      <c r="B40897" s="1" t="str">
        <f>"54760"</f>
        <v>54760</v>
      </c>
      <c r="C40897" s="2">
        <v>0</v>
      </c>
      <c r="D40897" s="2">
        <v>0</v>
      </c>
      <c r="E40897" s="2">
        <v>4.3010567696482999E-6</v>
      </c>
      <c r="F40897" s="2">
        <v>9.8681749974786797E-8</v>
      </c>
    </row>
    <row r="40898" spans="1:6" x14ac:dyDescent="0.25">
      <c r="A40898" s="1" t="str">
        <f t="shared" si="1442"/>
        <v>99999</v>
      </c>
      <c r="B40898" s="1" t="str">
        <f>"23401"</f>
        <v>23401</v>
      </c>
      <c r="C40898" s="2">
        <v>0</v>
      </c>
      <c r="D40898" s="2">
        <v>1.50570889527644E-6</v>
      </c>
      <c r="E40898" s="2">
        <v>0</v>
      </c>
      <c r="F40898" s="2">
        <v>9.8681749974786797E-8</v>
      </c>
    </row>
    <row r="40899" spans="1:6" x14ac:dyDescent="0.25">
      <c r="A40899" s="1" t="str">
        <f t="shared" si="1442"/>
        <v>99999</v>
      </c>
      <c r="B40899" s="1" t="str">
        <f>"38393"</f>
        <v>38393</v>
      </c>
      <c r="C40899" s="2">
        <v>0</v>
      </c>
      <c r="D40899" s="2">
        <v>0</v>
      </c>
      <c r="E40899" s="2">
        <v>4.3010567696482999E-6</v>
      </c>
      <c r="F40899" s="2">
        <v>9.8681749974786797E-8</v>
      </c>
    </row>
    <row r="40900" spans="1:6" x14ac:dyDescent="0.25">
      <c r="A40900" s="1" t="str">
        <f t="shared" si="1442"/>
        <v>99999</v>
      </c>
      <c r="B40900" s="1" t="str">
        <f>"57311"</f>
        <v>57311</v>
      </c>
      <c r="C40900" s="2">
        <v>1.08260890558416E-7</v>
      </c>
      <c r="D40900" s="2">
        <v>0</v>
      </c>
      <c r="E40900" s="2">
        <v>0</v>
      </c>
      <c r="F40900" s="2">
        <v>9.8681749974786797E-8</v>
      </c>
    </row>
    <row r="40901" spans="1:6" x14ac:dyDescent="0.25">
      <c r="A40901" s="1" t="str">
        <f t="shared" si="1442"/>
        <v>99999</v>
      </c>
      <c r="B40901" s="1" t="str">
        <f>"75934"</f>
        <v>75934</v>
      </c>
      <c r="C40901" s="2">
        <v>0</v>
      </c>
      <c r="D40901" s="2">
        <v>1.50570889527644E-6</v>
      </c>
      <c r="E40901" s="2">
        <v>0</v>
      </c>
      <c r="F40901" s="2">
        <v>9.8681749974786797E-8</v>
      </c>
    </row>
    <row r="40902" spans="1:6" x14ac:dyDescent="0.25">
      <c r="A40902" s="1" t="str">
        <f t="shared" ref="A40902:A40965" si="1443">"99999"</f>
        <v>99999</v>
      </c>
      <c r="B40902" s="1" t="str">
        <f>"65733"</f>
        <v>65733</v>
      </c>
      <c r="C40902" s="2">
        <v>3.2478267167524802E-7</v>
      </c>
      <c r="D40902" s="2">
        <v>0</v>
      </c>
      <c r="E40902" s="2">
        <v>0</v>
      </c>
      <c r="F40902" s="2">
        <v>2.9604524992435999E-7</v>
      </c>
    </row>
    <row r="40903" spans="1:6" x14ac:dyDescent="0.25">
      <c r="A40903" s="1" t="str">
        <f t="shared" si="1443"/>
        <v>99999</v>
      </c>
      <c r="B40903" s="1" t="str">
        <f>"79033"</f>
        <v>79033</v>
      </c>
      <c r="C40903" s="2">
        <v>0</v>
      </c>
      <c r="D40903" s="2">
        <v>0</v>
      </c>
      <c r="E40903" s="2">
        <v>4.3010567696482999E-6</v>
      </c>
      <c r="F40903" s="2">
        <v>9.8681749974786797E-8</v>
      </c>
    </row>
    <row r="40904" spans="1:6" x14ac:dyDescent="0.25">
      <c r="A40904" s="1" t="str">
        <f t="shared" si="1443"/>
        <v>99999</v>
      </c>
      <c r="B40904" s="1" t="str">
        <f>"40049"</f>
        <v>40049</v>
      </c>
      <c r="C40904" s="2">
        <v>0</v>
      </c>
      <c r="D40904" s="2">
        <v>0</v>
      </c>
      <c r="E40904" s="2">
        <v>4.3010567696482999E-6</v>
      </c>
      <c r="F40904" s="2">
        <v>9.8681749974786797E-8</v>
      </c>
    </row>
    <row r="40905" spans="1:6" x14ac:dyDescent="0.25">
      <c r="A40905" s="1" t="str">
        <f t="shared" si="1443"/>
        <v>99999</v>
      </c>
      <c r="B40905" s="1" t="str">
        <f>"75444"</f>
        <v>75444</v>
      </c>
      <c r="C40905" s="2">
        <v>0</v>
      </c>
      <c r="D40905" s="2">
        <v>0</v>
      </c>
      <c r="E40905" s="2">
        <v>4.3010567696482999E-6</v>
      </c>
      <c r="F40905" s="2">
        <v>9.8681749974786797E-8</v>
      </c>
    </row>
    <row r="40906" spans="1:6" x14ac:dyDescent="0.25">
      <c r="A40906" s="1" t="str">
        <f t="shared" si="1443"/>
        <v>99999</v>
      </c>
      <c r="B40906" s="1" t="str">
        <f>"24847"</f>
        <v>24847</v>
      </c>
      <c r="C40906" s="2">
        <v>0</v>
      </c>
      <c r="D40906" s="2">
        <v>1.50570889527644E-6</v>
      </c>
      <c r="E40906" s="2">
        <v>0</v>
      </c>
      <c r="F40906" s="2">
        <v>9.8681749974786797E-8</v>
      </c>
    </row>
    <row r="40907" spans="1:6" x14ac:dyDescent="0.25">
      <c r="A40907" s="1" t="str">
        <f t="shared" si="1443"/>
        <v>99999</v>
      </c>
      <c r="B40907" s="1" t="str">
        <f>"78952"</f>
        <v>78952</v>
      </c>
      <c r="C40907" s="2">
        <v>0</v>
      </c>
      <c r="D40907" s="2">
        <v>1.50570889527644E-6</v>
      </c>
      <c r="E40907" s="2">
        <v>0</v>
      </c>
      <c r="F40907" s="2">
        <v>9.8681749974786797E-8</v>
      </c>
    </row>
    <row r="40908" spans="1:6" x14ac:dyDescent="0.25">
      <c r="A40908" s="1" t="str">
        <f t="shared" si="1443"/>
        <v>99999</v>
      </c>
      <c r="B40908" s="1" t="str">
        <f>"65607"</f>
        <v>65607</v>
      </c>
      <c r="C40908" s="2">
        <v>0</v>
      </c>
      <c r="D40908" s="2">
        <v>0</v>
      </c>
      <c r="E40908" s="2">
        <v>4.3010567696482999E-6</v>
      </c>
      <c r="F40908" s="2">
        <v>9.8681749974786797E-8</v>
      </c>
    </row>
    <row r="40909" spans="1:6" x14ac:dyDescent="0.25">
      <c r="A40909" s="1" t="str">
        <f t="shared" si="1443"/>
        <v>99999</v>
      </c>
      <c r="B40909" s="1" t="str">
        <f>"24888"</f>
        <v>24888</v>
      </c>
      <c r="C40909" s="2">
        <v>1.08260890558416E-7</v>
      </c>
      <c r="D40909" s="2">
        <v>1.50570889527644E-6</v>
      </c>
      <c r="E40909" s="2">
        <v>0</v>
      </c>
      <c r="F40909" s="2">
        <v>1.9736349994957301E-7</v>
      </c>
    </row>
    <row r="40910" spans="1:6" x14ac:dyDescent="0.25">
      <c r="A40910" s="1" t="str">
        <f t="shared" si="1443"/>
        <v>99999</v>
      </c>
      <c r="B40910" s="1" t="str">
        <f>"24867"</f>
        <v>24867</v>
      </c>
      <c r="C40910" s="2">
        <v>1.08260890558416E-7</v>
      </c>
      <c r="D40910" s="2">
        <v>1.50570889527644E-6</v>
      </c>
      <c r="E40910" s="2">
        <v>0</v>
      </c>
      <c r="F40910" s="2">
        <v>1.9736349994957301E-7</v>
      </c>
    </row>
    <row r="40911" spans="1:6" x14ac:dyDescent="0.25">
      <c r="A40911" s="1" t="str">
        <f t="shared" si="1443"/>
        <v>99999</v>
      </c>
      <c r="B40911" s="1" t="str">
        <f>"45687"</f>
        <v>45687</v>
      </c>
      <c r="C40911" s="2">
        <v>0</v>
      </c>
      <c r="D40911" s="2">
        <v>1.50570889527644E-6</v>
      </c>
      <c r="E40911" s="2">
        <v>0</v>
      </c>
      <c r="F40911" s="2">
        <v>9.8681749974786797E-8</v>
      </c>
    </row>
    <row r="40912" spans="1:6" x14ac:dyDescent="0.25">
      <c r="A40912" s="1" t="str">
        <f t="shared" si="1443"/>
        <v>99999</v>
      </c>
      <c r="B40912" s="1" t="str">
        <f>"62840"</f>
        <v>62840</v>
      </c>
      <c r="C40912" s="2">
        <v>0</v>
      </c>
      <c r="D40912" s="2">
        <v>0</v>
      </c>
      <c r="E40912" s="2">
        <v>4.3010567696482999E-6</v>
      </c>
      <c r="F40912" s="2">
        <v>9.8681749974786797E-8</v>
      </c>
    </row>
    <row r="40913" spans="1:6" x14ac:dyDescent="0.25">
      <c r="A40913" s="1" t="str">
        <f t="shared" si="1443"/>
        <v>99999</v>
      </c>
      <c r="B40913" s="1" t="str">
        <f>"99546"</f>
        <v>99546</v>
      </c>
      <c r="C40913" s="2">
        <v>0</v>
      </c>
      <c r="D40913" s="2">
        <v>0</v>
      </c>
      <c r="E40913" s="2">
        <v>4.3010567696482999E-6</v>
      </c>
      <c r="F40913" s="2">
        <v>9.8681749974786797E-8</v>
      </c>
    </row>
    <row r="40914" spans="1:6" x14ac:dyDescent="0.25">
      <c r="A40914" s="1" t="str">
        <f t="shared" si="1443"/>
        <v>99999</v>
      </c>
      <c r="B40914" s="1" t="str">
        <f>"39087"</f>
        <v>39087</v>
      </c>
      <c r="C40914" s="2">
        <v>0</v>
      </c>
      <c r="D40914" s="2">
        <v>1.50570889527644E-6</v>
      </c>
      <c r="E40914" s="2">
        <v>0</v>
      </c>
      <c r="F40914" s="2">
        <v>9.8681749974786797E-8</v>
      </c>
    </row>
    <row r="40915" spans="1:6" x14ac:dyDescent="0.25">
      <c r="A40915" s="1" t="str">
        <f t="shared" si="1443"/>
        <v>99999</v>
      </c>
      <c r="B40915" s="1" t="str">
        <f>"54413"</f>
        <v>54413</v>
      </c>
      <c r="C40915" s="2">
        <v>2.1652178111683201E-7</v>
      </c>
      <c r="D40915" s="2">
        <v>0</v>
      </c>
      <c r="E40915" s="2">
        <v>0</v>
      </c>
      <c r="F40915" s="2">
        <v>1.9736349994957301E-7</v>
      </c>
    </row>
    <row r="40916" spans="1:6" x14ac:dyDescent="0.25">
      <c r="A40916" s="1" t="str">
        <f t="shared" si="1443"/>
        <v>99999</v>
      </c>
      <c r="B40916" s="1" t="str">
        <f>"22544"</f>
        <v>22544</v>
      </c>
      <c r="C40916" s="2">
        <v>0</v>
      </c>
      <c r="D40916" s="2">
        <v>0</v>
      </c>
      <c r="E40916" s="2">
        <v>4.3010567696482999E-6</v>
      </c>
      <c r="F40916" s="2">
        <v>9.8681749974786797E-8</v>
      </c>
    </row>
    <row r="40917" spans="1:6" x14ac:dyDescent="0.25">
      <c r="A40917" s="1" t="str">
        <f t="shared" si="1443"/>
        <v>99999</v>
      </c>
      <c r="B40917" s="1" t="str">
        <f>"52166"</f>
        <v>52166</v>
      </c>
      <c r="C40917" s="2">
        <v>0</v>
      </c>
      <c r="D40917" s="2">
        <v>0</v>
      </c>
      <c r="E40917" s="2">
        <v>4.3010567696482999E-6</v>
      </c>
      <c r="F40917" s="2">
        <v>9.8681749974786797E-8</v>
      </c>
    </row>
    <row r="40918" spans="1:6" x14ac:dyDescent="0.25">
      <c r="A40918" s="1" t="str">
        <f t="shared" si="1443"/>
        <v>99999</v>
      </c>
      <c r="B40918" s="1" t="str">
        <f>"59527"</f>
        <v>59527</v>
      </c>
      <c r="C40918" s="2">
        <v>0</v>
      </c>
      <c r="D40918" s="2">
        <v>0</v>
      </c>
      <c r="E40918" s="2">
        <v>4.3010567696482999E-6</v>
      </c>
      <c r="F40918" s="2">
        <v>9.8681749974786797E-8</v>
      </c>
    </row>
    <row r="40919" spans="1:6" x14ac:dyDescent="0.25">
      <c r="A40919" s="1" t="str">
        <f t="shared" si="1443"/>
        <v>99999</v>
      </c>
      <c r="B40919" s="1" t="str">
        <f>"30414"</f>
        <v>30414</v>
      </c>
      <c r="C40919" s="2">
        <v>0</v>
      </c>
      <c r="D40919" s="2">
        <v>3.01141779055288E-6</v>
      </c>
      <c r="E40919" s="2">
        <v>0</v>
      </c>
      <c r="F40919" s="2">
        <v>1.9736349994957301E-7</v>
      </c>
    </row>
    <row r="40920" spans="1:6" x14ac:dyDescent="0.25">
      <c r="A40920" s="1" t="str">
        <f t="shared" si="1443"/>
        <v>99999</v>
      </c>
      <c r="B40920" s="1" t="str">
        <f>"63860"</f>
        <v>63860</v>
      </c>
      <c r="C40920" s="2">
        <v>0</v>
      </c>
      <c r="D40920" s="2">
        <v>0</v>
      </c>
      <c r="E40920" s="2">
        <v>4.3010567696482999E-6</v>
      </c>
      <c r="F40920" s="2">
        <v>9.8681749974786797E-8</v>
      </c>
    </row>
    <row r="40921" spans="1:6" x14ac:dyDescent="0.25">
      <c r="A40921" s="1" t="str">
        <f t="shared" si="1443"/>
        <v>99999</v>
      </c>
      <c r="B40921" s="1" t="str">
        <f>"99732"</f>
        <v>99732</v>
      </c>
      <c r="C40921" s="2">
        <v>0</v>
      </c>
      <c r="D40921" s="2">
        <v>0</v>
      </c>
      <c r="E40921" s="2">
        <v>4.3010567696482999E-6</v>
      </c>
      <c r="F40921" s="2">
        <v>9.8681749974786797E-8</v>
      </c>
    </row>
    <row r="40922" spans="1:6" x14ac:dyDescent="0.25">
      <c r="A40922" s="1" t="str">
        <f t="shared" si="1443"/>
        <v>99999</v>
      </c>
      <c r="B40922" s="1" t="str">
        <f>"99785"</f>
        <v>99785</v>
      </c>
      <c r="C40922" s="2">
        <v>0</v>
      </c>
      <c r="D40922" s="2">
        <v>0</v>
      </c>
      <c r="E40922" s="2">
        <v>4.3010567696482999E-6</v>
      </c>
      <c r="F40922" s="2">
        <v>9.8681749974786797E-8</v>
      </c>
    </row>
    <row r="40923" spans="1:6" x14ac:dyDescent="0.25">
      <c r="A40923" s="1" t="str">
        <f t="shared" si="1443"/>
        <v>99999</v>
      </c>
      <c r="B40923" s="1" t="str">
        <f>"47969"</f>
        <v>47969</v>
      </c>
      <c r="C40923" s="2">
        <v>1.84043513949307E-6</v>
      </c>
      <c r="D40923" s="2">
        <v>0</v>
      </c>
      <c r="E40923" s="2">
        <v>1.29031703089449E-5</v>
      </c>
      <c r="F40923" s="2">
        <v>1.9736349994957299E-6</v>
      </c>
    </row>
    <row r="40924" spans="1:6" x14ac:dyDescent="0.25">
      <c r="A40924" s="1" t="str">
        <f t="shared" si="1443"/>
        <v>99999</v>
      </c>
      <c r="B40924" s="1" t="str">
        <f>"56258"</f>
        <v>56258</v>
      </c>
      <c r="C40924" s="2">
        <v>1.51565246781782E-6</v>
      </c>
      <c r="D40924" s="2">
        <v>0</v>
      </c>
      <c r="E40924" s="2">
        <v>0</v>
      </c>
      <c r="F40924" s="2">
        <v>1.3815444996470099E-6</v>
      </c>
    </row>
    <row r="40925" spans="1:6" x14ac:dyDescent="0.25">
      <c r="A40925" s="1" t="str">
        <f t="shared" si="1443"/>
        <v>99999</v>
      </c>
      <c r="B40925" s="1" t="str">
        <f>"58789"</f>
        <v>58789</v>
      </c>
      <c r="C40925" s="2">
        <v>1.84043513949307E-6</v>
      </c>
      <c r="D40925" s="2">
        <v>0</v>
      </c>
      <c r="E40925" s="2">
        <v>0</v>
      </c>
      <c r="F40925" s="2">
        <v>1.6775897495713699E-6</v>
      </c>
    </row>
    <row r="40926" spans="1:6" x14ac:dyDescent="0.25">
      <c r="A40926" s="1" t="str">
        <f t="shared" si="1443"/>
        <v>99999</v>
      </c>
      <c r="B40926" s="1" t="str">
        <f>"99613"</f>
        <v>99613</v>
      </c>
      <c r="C40926" s="2">
        <v>0</v>
      </c>
      <c r="D40926" s="2">
        <v>0</v>
      </c>
      <c r="E40926" s="2">
        <v>8.6021135392965999E-6</v>
      </c>
      <c r="F40926" s="2">
        <v>1.9736349994957301E-7</v>
      </c>
    </row>
    <row r="40927" spans="1:6" x14ac:dyDescent="0.25">
      <c r="A40927" s="1" t="str">
        <f t="shared" si="1443"/>
        <v>99999</v>
      </c>
      <c r="B40927" s="1" t="str">
        <f>"38451"</f>
        <v>38451</v>
      </c>
      <c r="C40927" s="2">
        <v>1.4073915772594101E-6</v>
      </c>
      <c r="D40927" s="2">
        <v>0</v>
      </c>
      <c r="E40927" s="2">
        <v>0</v>
      </c>
      <c r="F40927" s="2">
        <v>1.2828627496722201E-6</v>
      </c>
    </row>
    <row r="40928" spans="1:6" x14ac:dyDescent="0.25">
      <c r="A40928" s="1" t="str">
        <f t="shared" si="1443"/>
        <v>99999</v>
      </c>
      <c r="B40928" s="1" t="str">
        <f>"81638"</f>
        <v>81638</v>
      </c>
      <c r="C40928" s="2">
        <v>1.08260890558416E-7</v>
      </c>
      <c r="D40928" s="2">
        <v>0</v>
      </c>
      <c r="E40928" s="2">
        <v>0</v>
      </c>
      <c r="F40928" s="2">
        <v>9.8681749974786797E-8</v>
      </c>
    </row>
    <row r="40929" spans="1:6" x14ac:dyDescent="0.25">
      <c r="A40929" s="1" t="str">
        <f t="shared" si="1443"/>
        <v>99999</v>
      </c>
      <c r="B40929" s="1" t="str">
        <f>"83446"</f>
        <v>83446</v>
      </c>
      <c r="C40929" s="2">
        <v>3.2478267167524799E-6</v>
      </c>
      <c r="D40929" s="2">
        <v>4.5171266858293203E-6</v>
      </c>
      <c r="E40929" s="2">
        <v>4.3010567696482999E-6</v>
      </c>
      <c r="F40929" s="2">
        <v>3.35517949914275E-6</v>
      </c>
    </row>
    <row r="40930" spans="1:6" x14ac:dyDescent="0.25">
      <c r="A40930" s="1" t="str">
        <f t="shared" si="1443"/>
        <v>99999</v>
      </c>
      <c r="B40930" s="1" t="str">
        <f>"99650"</f>
        <v>99650</v>
      </c>
      <c r="C40930" s="2">
        <v>0</v>
      </c>
      <c r="D40930" s="2">
        <v>0</v>
      </c>
      <c r="E40930" s="2">
        <v>4.3010567696482999E-6</v>
      </c>
      <c r="F40930" s="2">
        <v>9.8681749974786797E-8</v>
      </c>
    </row>
    <row r="40931" spans="1:6" x14ac:dyDescent="0.25">
      <c r="A40931" s="1" t="str">
        <f t="shared" si="1443"/>
        <v>99999</v>
      </c>
      <c r="B40931" s="1" t="str">
        <f>"73662"</f>
        <v>73662</v>
      </c>
      <c r="C40931" s="2">
        <v>4.98000096568714E-6</v>
      </c>
      <c r="D40931" s="2">
        <v>1.50570889527644E-6</v>
      </c>
      <c r="E40931" s="2">
        <v>8.6021135392965999E-6</v>
      </c>
      <c r="F40931" s="2">
        <v>4.8354057487645501E-6</v>
      </c>
    </row>
    <row r="40932" spans="1:6" x14ac:dyDescent="0.25">
      <c r="A40932" s="1" t="str">
        <f t="shared" si="1443"/>
        <v>99999</v>
      </c>
      <c r="B40932" s="1" t="str">
        <f>"38871"</f>
        <v>38871</v>
      </c>
      <c r="C40932" s="2">
        <v>4.8717400751287203E-6</v>
      </c>
      <c r="D40932" s="2">
        <v>0</v>
      </c>
      <c r="E40932" s="2">
        <v>0</v>
      </c>
      <c r="F40932" s="2">
        <v>4.4406787488654001E-6</v>
      </c>
    </row>
    <row r="40933" spans="1:6" x14ac:dyDescent="0.25">
      <c r="A40933" s="1" t="str">
        <f t="shared" si="1443"/>
        <v>99999</v>
      </c>
      <c r="B40933" s="1" t="str">
        <f>"41526"</f>
        <v>41526</v>
      </c>
      <c r="C40933" s="2">
        <v>0</v>
      </c>
      <c r="D40933" s="2">
        <v>0</v>
      </c>
      <c r="E40933" s="2">
        <v>4.3010567696482999E-6</v>
      </c>
      <c r="F40933" s="2">
        <v>9.8681749974786797E-8</v>
      </c>
    </row>
    <row r="40934" spans="1:6" x14ac:dyDescent="0.25">
      <c r="A40934" s="1" t="str">
        <f t="shared" si="1443"/>
        <v>99999</v>
      </c>
      <c r="B40934" s="1" t="str">
        <f>"92328"</f>
        <v>92328</v>
      </c>
      <c r="C40934" s="2">
        <v>1.29913068670099E-6</v>
      </c>
      <c r="D40934" s="2">
        <v>9.0342533716586405E-6</v>
      </c>
      <c r="E40934" s="2">
        <v>0</v>
      </c>
      <c r="F40934" s="2">
        <v>1.77627149954616E-6</v>
      </c>
    </row>
    <row r="40935" spans="1:6" x14ac:dyDescent="0.25">
      <c r="A40935" s="1" t="str">
        <f t="shared" si="1443"/>
        <v>99999</v>
      </c>
      <c r="B40935" s="1" t="str">
        <f>"14867"</f>
        <v>14867</v>
      </c>
      <c r="C40935" s="2">
        <v>3.2478267167524802E-7</v>
      </c>
      <c r="D40935" s="2">
        <v>0</v>
      </c>
      <c r="E40935" s="2">
        <v>0</v>
      </c>
      <c r="F40935" s="2">
        <v>2.9604524992435999E-7</v>
      </c>
    </row>
    <row r="40936" spans="1:6" x14ac:dyDescent="0.25">
      <c r="A40936" s="1" t="str">
        <f t="shared" si="1443"/>
        <v>99999</v>
      </c>
      <c r="B40936" s="1" t="str">
        <f>"59084"</f>
        <v>59084</v>
      </c>
      <c r="C40936" s="2">
        <v>5.4130445279207995E-7</v>
      </c>
      <c r="D40936" s="2">
        <v>1.50570889527644E-6</v>
      </c>
      <c r="E40936" s="2">
        <v>4.3010567696482999E-6</v>
      </c>
      <c r="F40936" s="2">
        <v>6.9077224982350697E-7</v>
      </c>
    </row>
    <row r="40937" spans="1:6" x14ac:dyDescent="0.25">
      <c r="A40937" s="1" t="str">
        <f t="shared" si="1443"/>
        <v>99999</v>
      </c>
      <c r="B40937" s="1" t="str">
        <f>"04431"</f>
        <v>04431</v>
      </c>
      <c r="C40937" s="2">
        <v>0</v>
      </c>
      <c r="D40937" s="2">
        <v>0</v>
      </c>
      <c r="E40937" s="2">
        <v>4.3010567696482999E-6</v>
      </c>
      <c r="F40937" s="2">
        <v>9.8681749974786797E-8</v>
      </c>
    </row>
    <row r="40938" spans="1:6" x14ac:dyDescent="0.25">
      <c r="A40938" s="1" t="str">
        <f t="shared" si="1443"/>
        <v>99999</v>
      </c>
      <c r="B40938" s="1" t="str">
        <f>"22968"</f>
        <v>22968</v>
      </c>
      <c r="C40938" s="2">
        <v>2.7065222639604001E-6</v>
      </c>
      <c r="D40938" s="2">
        <v>0</v>
      </c>
      <c r="E40938" s="2">
        <v>0</v>
      </c>
      <c r="F40938" s="2">
        <v>2.4670437493696702E-6</v>
      </c>
    </row>
    <row r="40939" spans="1:6" x14ac:dyDescent="0.25">
      <c r="A40939" s="1" t="str">
        <f t="shared" si="1443"/>
        <v>99999</v>
      </c>
      <c r="B40939" s="1" t="str">
        <f>"50566"</f>
        <v>50566</v>
      </c>
      <c r="C40939" s="2">
        <v>1.08260890558416E-7</v>
      </c>
      <c r="D40939" s="2">
        <v>0</v>
      </c>
      <c r="E40939" s="2">
        <v>0</v>
      </c>
      <c r="F40939" s="2">
        <v>9.8681749974786797E-8</v>
      </c>
    </row>
    <row r="40940" spans="1:6" x14ac:dyDescent="0.25">
      <c r="A40940" s="1" t="str">
        <f t="shared" si="1443"/>
        <v>99999</v>
      </c>
      <c r="B40940" s="1" t="str">
        <f>"99777"</f>
        <v>99777</v>
      </c>
      <c r="C40940" s="2">
        <v>0</v>
      </c>
      <c r="D40940" s="2">
        <v>0</v>
      </c>
      <c r="E40940" s="2">
        <v>4.3010567696482999E-6</v>
      </c>
      <c r="F40940" s="2">
        <v>9.8681749974786797E-8</v>
      </c>
    </row>
    <row r="40941" spans="1:6" x14ac:dyDescent="0.25">
      <c r="A40941" s="1" t="str">
        <f t="shared" si="1443"/>
        <v>99999</v>
      </c>
      <c r="B40941" s="1" t="str">
        <f>"39191"</f>
        <v>39191</v>
      </c>
      <c r="C40941" s="2">
        <v>2.49000048284357E-6</v>
      </c>
      <c r="D40941" s="2">
        <v>0</v>
      </c>
      <c r="E40941" s="2">
        <v>0</v>
      </c>
      <c r="F40941" s="2">
        <v>2.2696802494200901E-6</v>
      </c>
    </row>
    <row r="40942" spans="1:6" x14ac:dyDescent="0.25">
      <c r="A40942" s="1" t="str">
        <f t="shared" si="1443"/>
        <v>99999</v>
      </c>
      <c r="B40942" s="1" t="str">
        <f>"95955"</f>
        <v>95955</v>
      </c>
      <c r="C40942" s="2">
        <v>0</v>
      </c>
      <c r="D40942" s="2">
        <v>0</v>
      </c>
      <c r="E40942" s="2">
        <v>4.3010567696482999E-6</v>
      </c>
      <c r="F40942" s="2">
        <v>9.8681749974786797E-8</v>
      </c>
    </row>
    <row r="40943" spans="1:6" x14ac:dyDescent="0.25">
      <c r="A40943" s="1" t="str">
        <f t="shared" si="1443"/>
        <v>99999</v>
      </c>
      <c r="B40943" s="1" t="str">
        <f>"59404"</f>
        <v>59404</v>
      </c>
      <c r="C40943" s="2">
        <v>4.3304356223366401E-7</v>
      </c>
      <c r="D40943" s="2">
        <v>0</v>
      </c>
      <c r="E40943" s="2">
        <v>0</v>
      </c>
      <c r="F40943" s="2">
        <v>3.9472699989914697E-7</v>
      </c>
    </row>
    <row r="40944" spans="1:6" x14ac:dyDescent="0.25">
      <c r="A40944" s="1" t="str">
        <f t="shared" si="1443"/>
        <v>99999</v>
      </c>
      <c r="B40944" s="1" t="str">
        <f>"62960"</f>
        <v>62960</v>
      </c>
      <c r="C40944" s="2">
        <v>8.6608712446732898E-7</v>
      </c>
      <c r="D40944" s="2">
        <v>0</v>
      </c>
      <c r="E40944" s="2">
        <v>0</v>
      </c>
      <c r="F40944" s="2">
        <v>7.8945399979829395E-7</v>
      </c>
    </row>
    <row r="40945" spans="1:6" x14ac:dyDescent="0.25">
      <c r="A40945" s="1" t="str">
        <f t="shared" si="1443"/>
        <v>99999</v>
      </c>
      <c r="B40945" s="1" t="str">
        <f>"43505"</f>
        <v>43505</v>
      </c>
      <c r="C40945" s="2">
        <v>1.1908697961425701E-6</v>
      </c>
      <c r="D40945" s="2">
        <v>0</v>
      </c>
      <c r="E40945" s="2">
        <v>4.3010567696482999E-6</v>
      </c>
      <c r="F40945" s="2">
        <v>1.18418099969744E-6</v>
      </c>
    </row>
    <row r="40946" spans="1:6" x14ac:dyDescent="0.25">
      <c r="A40946" s="1" t="str">
        <f t="shared" si="1443"/>
        <v>99999</v>
      </c>
      <c r="B40946" s="1" t="str">
        <f>"45832"</f>
        <v>45832</v>
      </c>
      <c r="C40946" s="2">
        <v>6.49565343350497E-7</v>
      </c>
      <c r="D40946" s="2">
        <v>0</v>
      </c>
      <c r="E40946" s="2">
        <v>0</v>
      </c>
      <c r="F40946" s="2">
        <v>5.9209049984871999E-7</v>
      </c>
    </row>
    <row r="40947" spans="1:6" x14ac:dyDescent="0.25">
      <c r="A40947" s="1" t="str">
        <f t="shared" si="1443"/>
        <v>99999</v>
      </c>
      <c r="B40947" s="1" t="str">
        <f>"54654"</f>
        <v>54654</v>
      </c>
      <c r="C40947" s="2">
        <v>0</v>
      </c>
      <c r="D40947" s="2">
        <v>0</v>
      </c>
      <c r="E40947" s="2">
        <v>4.3010567696482999E-6</v>
      </c>
      <c r="F40947" s="2">
        <v>9.8681749974786797E-8</v>
      </c>
    </row>
    <row r="40948" spans="1:6" x14ac:dyDescent="0.25">
      <c r="A40948" s="1" t="str">
        <f t="shared" si="1443"/>
        <v>99999</v>
      </c>
      <c r="B40948" s="1" t="str">
        <f>"99651"</f>
        <v>99651</v>
      </c>
      <c r="C40948" s="2">
        <v>0</v>
      </c>
      <c r="D40948" s="2">
        <v>0</v>
      </c>
      <c r="E40948" s="2">
        <v>4.3010567696482999E-6</v>
      </c>
      <c r="F40948" s="2">
        <v>9.8681749974786797E-8</v>
      </c>
    </row>
    <row r="40949" spans="1:6" x14ac:dyDescent="0.25">
      <c r="A40949" s="1" t="str">
        <f t="shared" si="1443"/>
        <v>99999</v>
      </c>
      <c r="B40949" s="1" t="str">
        <f>"36879"</f>
        <v>36879</v>
      </c>
      <c r="C40949" s="2">
        <v>1.08260890558416E-7</v>
      </c>
      <c r="D40949" s="2">
        <v>0</v>
      </c>
      <c r="E40949" s="2">
        <v>0</v>
      </c>
      <c r="F40949" s="2">
        <v>9.8681749974786797E-8</v>
      </c>
    </row>
    <row r="40950" spans="1:6" x14ac:dyDescent="0.25">
      <c r="A40950" s="1" t="str">
        <f t="shared" si="1443"/>
        <v>99999</v>
      </c>
      <c r="B40950" s="1" t="str">
        <f>"66540"</f>
        <v>66540</v>
      </c>
      <c r="C40950" s="2">
        <v>2.1652178111683201E-7</v>
      </c>
      <c r="D40950" s="2">
        <v>0</v>
      </c>
      <c r="E40950" s="2">
        <v>0</v>
      </c>
      <c r="F40950" s="2">
        <v>1.9736349994957301E-7</v>
      </c>
    </row>
    <row r="40951" spans="1:6" x14ac:dyDescent="0.25">
      <c r="A40951" s="1" t="str">
        <f t="shared" si="1443"/>
        <v>99999</v>
      </c>
      <c r="B40951" s="1" t="str">
        <f>"96024"</f>
        <v>96024</v>
      </c>
      <c r="C40951" s="2">
        <v>5.4130445279207995E-7</v>
      </c>
      <c r="D40951" s="2">
        <v>0</v>
      </c>
      <c r="E40951" s="2">
        <v>4.3010567696482999E-6</v>
      </c>
      <c r="F40951" s="2">
        <v>5.9209049984871999E-7</v>
      </c>
    </row>
    <row r="40952" spans="1:6" x14ac:dyDescent="0.25">
      <c r="A40952" s="1" t="str">
        <f t="shared" si="1443"/>
        <v>99999</v>
      </c>
      <c r="B40952" s="1" t="str">
        <f>"13813"</f>
        <v>13813</v>
      </c>
      <c r="C40952" s="2">
        <v>7.1452187768554602E-6</v>
      </c>
      <c r="D40952" s="2">
        <v>1.50570889527644E-6</v>
      </c>
      <c r="E40952" s="2">
        <v>0</v>
      </c>
      <c r="F40952" s="2">
        <v>6.6116772483107097E-6</v>
      </c>
    </row>
    <row r="40953" spans="1:6" x14ac:dyDescent="0.25">
      <c r="A40953" s="1" t="str">
        <f t="shared" si="1443"/>
        <v>99999</v>
      </c>
      <c r="B40953" s="1" t="str">
        <f>"99665"</f>
        <v>99665</v>
      </c>
      <c r="C40953" s="2">
        <v>0</v>
      </c>
      <c r="D40953" s="2">
        <v>0</v>
      </c>
      <c r="E40953" s="2">
        <v>4.3010567696482999E-6</v>
      </c>
      <c r="F40953" s="2">
        <v>9.8681749974786797E-8</v>
      </c>
    </row>
    <row r="40954" spans="1:6" x14ac:dyDescent="0.25">
      <c r="A40954" s="1" t="str">
        <f t="shared" si="1443"/>
        <v>99999</v>
      </c>
      <c r="B40954" s="1" t="str">
        <f>"98651"</f>
        <v>98651</v>
      </c>
      <c r="C40954" s="2">
        <v>3.2478267167524802E-7</v>
      </c>
      <c r="D40954" s="2">
        <v>0</v>
      </c>
      <c r="E40954" s="2">
        <v>0</v>
      </c>
      <c r="F40954" s="2">
        <v>2.9604524992435999E-7</v>
      </c>
    </row>
    <row r="40955" spans="1:6" x14ac:dyDescent="0.25">
      <c r="A40955" s="1" t="str">
        <f t="shared" si="1443"/>
        <v>99999</v>
      </c>
      <c r="B40955" s="1" t="str">
        <f>"49616"</f>
        <v>49616</v>
      </c>
      <c r="C40955" s="2">
        <v>7.5782623390891299E-7</v>
      </c>
      <c r="D40955" s="2">
        <v>0</v>
      </c>
      <c r="E40955" s="2">
        <v>0</v>
      </c>
      <c r="F40955" s="2">
        <v>6.9077224982350697E-7</v>
      </c>
    </row>
    <row r="40956" spans="1:6" x14ac:dyDescent="0.25">
      <c r="A40956" s="1" t="str">
        <f t="shared" si="1443"/>
        <v>99999</v>
      </c>
      <c r="B40956" s="1" t="str">
        <f>"84534"</f>
        <v>84534</v>
      </c>
      <c r="C40956" s="2">
        <v>1.08260890558416E-7</v>
      </c>
      <c r="D40956" s="2">
        <v>0</v>
      </c>
      <c r="E40956" s="2">
        <v>4.3010567696482999E-6</v>
      </c>
      <c r="F40956" s="2">
        <v>1.9736349994957301E-7</v>
      </c>
    </row>
    <row r="40957" spans="1:6" x14ac:dyDescent="0.25">
      <c r="A40957" s="1" t="str">
        <f t="shared" si="1443"/>
        <v>99999</v>
      </c>
      <c r="B40957" s="1" t="str">
        <f>"56593"</f>
        <v>56593</v>
      </c>
      <c r="C40957" s="2">
        <v>0</v>
      </c>
      <c r="D40957" s="2">
        <v>0</v>
      </c>
      <c r="E40957" s="2">
        <v>4.3010567696482999E-6</v>
      </c>
      <c r="F40957" s="2">
        <v>9.8681749974786797E-8</v>
      </c>
    </row>
    <row r="40958" spans="1:6" x14ac:dyDescent="0.25">
      <c r="A40958" s="1" t="str">
        <f t="shared" si="1443"/>
        <v>99999</v>
      </c>
      <c r="B40958" s="1" t="str">
        <f>"99727"</f>
        <v>99727</v>
      </c>
      <c r="C40958" s="2">
        <v>2.1652178111683201E-7</v>
      </c>
      <c r="D40958" s="2">
        <v>0</v>
      </c>
      <c r="E40958" s="2">
        <v>4.3010567696482999E-6</v>
      </c>
      <c r="F40958" s="2">
        <v>2.9604524992435999E-7</v>
      </c>
    </row>
    <row r="40959" spans="1:6" x14ac:dyDescent="0.25">
      <c r="A40959" s="1" t="str">
        <f t="shared" si="1443"/>
        <v>99999</v>
      </c>
      <c r="B40959" s="1" t="str">
        <f>"50609"</f>
        <v>50609</v>
      </c>
      <c r="C40959" s="2">
        <v>6.49565343350497E-7</v>
      </c>
      <c r="D40959" s="2">
        <v>0</v>
      </c>
      <c r="E40959" s="2">
        <v>0</v>
      </c>
      <c r="F40959" s="2">
        <v>5.9209049984871999E-7</v>
      </c>
    </row>
    <row r="40960" spans="1:6" x14ac:dyDescent="0.25">
      <c r="A40960" s="1" t="str">
        <f t="shared" si="1443"/>
        <v>99999</v>
      </c>
      <c r="B40960" s="1" t="str">
        <f>"52562"</f>
        <v>52562</v>
      </c>
      <c r="C40960" s="2">
        <v>3.6808702789861401E-6</v>
      </c>
      <c r="D40960" s="2">
        <v>3.01141779055288E-6</v>
      </c>
      <c r="E40960" s="2">
        <v>8.6021135392965999E-6</v>
      </c>
      <c r="F40960" s="2">
        <v>3.7499064990418899E-6</v>
      </c>
    </row>
    <row r="40961" spans="1:6" x14ac:dyDescent="0.25">
      <c r="A40961" s="1" t="str">
        <f t="shared" si="1443"/>
        <v>99999</v>
      </c>
      <c r="B40961" s="1" t="str">
        <f>"54963"</f>
        <v>54963</v>
      </c>
      <c r="C40961" s="2">
        <v>1.51565246781782E-6</v>
      </c>
      <c r="D40961" s="2">
        <v>1.50570889527644E-6</v>
      </c>
      <c r="E40961" s="2">
        <v>0</v>
      </c>
      <c r="F40961" s="2">
        <v>1.4802262496218E-6</v>
      </c>
    </row>
    <row r="40962" spans="1:6" x14ac:dyDescent="0.25">
      <c r="A40962" s="1" t="str">
        <f t="shared" si="1443"/>
        <v>99999</v>
      </c>
      <c r="B40962" s="1" t="str">
        <f>"72677"</f>
        <v>72677</v>
      </c>
      <c r="C40962" s="2">
        <v>6.49565343350497E-7</v>
      </c>
      <c r="D40962" s="2">
        <v>0</v>
      </c>
      <c r="E40962" s="2">
        <v>4.3010567696482999E-6</v>
      </c>
      <c r="F40962" s="2">
        <v>6.9077224982350697E-7</v>
      </c>
    </row>
    <row r="40963" spans="1:6" x14ac:dyDescent="0.25">
      <c r="A40963" s="1" t="str">
        <f t="shared" si="1443"/>
        <v>99999</v>
      </c>
      <c r="B40963" s="1" t="str">
        <f>"50222"</f>
        <v>50222</v>
      </c>
      <c r="C40963" s="2">
        <v>3.2478267167524802E-7</v>
      </c>
      <c r="D40963" s="2">
        <v>0</v>
      </c>
      <c r="E40963" s="2">
        <v>0</v>
      </c>
      <c r="F40963" s="2">
        <v>2.9604524992435999E-7</v>
      </c>
    </row>
    <row r="40964" spans="1:6" x14ac:dyDescent="0.25">
      <c r="A40964" s="1" t="str">
        <f t="shared" si="1443"/>
        <v>99999</v>
      </c>
      <c r="B40964" s="1" t="str">
        <f>"78019"</f>
        <v>78019</v>
      </c>
      <c r="C40964" s="2">
        <v>5.4130445279207995E-7</v>
      </c>
      <c r="D40964" s="2">
        <v>1.50570889527644E-6</v>
      </c>
      <c r="E40964" s="2">
        <v>0</v>
      </c>
      <c r="F40964" s="2">
        <v>5.9209049984871999E-7</v>
      </c>
    </row>
    <row r="40965" spans="1:6" x14ac:dyDescent="0.25">
      <c r="A40965" s="1" t="str">
        <f t="shared" si="1443"/>
        <v>99999</v>
      </c>
      <c r="B40965" s="1" t="str">
        <f>"84515"</f>
        <v>84515</v>
      </c>
      <c r="C40965" s="2">
        <v>2.49000048284357E-6</v>
      </c>
      <c r="D40965" s="2">
        <v>1.50570889527644E-6</v>
      </c>
      <c r="E40965" s="2">
        <v>4.3010567696482999E-6</v>
      </c>
      <c r="F40965" s="2">
        <v>2.4670437493696702E-6</v>
      </c>
    </row>
    <row r="40966" spans="1:6" x14ac:dyDescent="0.25">
      <c r="A40966" s="1" t="str">
        <f t="shared" ref="A40966:A41029" si="1444">"99999"</f>
        <v>99999</v>
      </c>
      <c r="B40966" s="1" t="str">
        <f>"99752"</f>
        <v>99752</v>
      </c>
      <c r="C40966" s="2">
        <v>1.08260890558416E-7</v>
      </c>
      <c r="D40966" s="2">
        <v>0</v>
      </c>
      <c r="E40966" s="2">
        <v>4.3010567696482999E-6</v>
      </c>
      <c r="F40966" s="2">
        <v>1.9736349994957301E-7</v>
      </c>
    </row>
    <row r="40967" spans="1:6" x14ac:dyDescent="0.25">
      <c r="A40967" s="1" t="str">
        <f t="shared" si="1444"/>
        <v>99999</v>
      </c>
      <c r="B40967" s="1" t="str">
        <f>"62428"</f>
        <v>62428</v>
      </c>
      <c r="C40967" s="2">
        <v>3.2478267167524802E-7</v>
      </c>
      <c r="D40967" s="2">
        <v>0</v>
      </c>
      <c r="E40967" s="2">
        <v>0</v>
      </c>
      <c r="F40967" s="2">
        <v>2.9604524992435999E-7</v>
      </c>
    </row>
    <row r="40968" spans="1:6" x14ac:dyDescent="0.25">
      <c r="A40968" s="1" t="str">
        <f t="shared" si="1444"/>
        <v>99999</v>
      </c>
      <c r="B40968" s="1" t="str">
        <f>"98572"</f>
        <v>98572</v>
      </c>
      <c r="C40968" s="2">
        <v>1.08260890558416E-7</v>
      </c>
      <c r="D40968" s="2">
        <v>0</v>
      </c>
      <c r="E40968" s="2">
        <v>0</v>
      </c>
      <c r="F40968" s="2">
        <v>9.8681749974786797E-8</v>
      </c>
    </row>
    <row r="40969" spans="1:6" x14ac:dyDescent="0.25">
      <c r="A40969" s="1" t="str">
        <f t="shared" si="1444"/>
        <v>99999</v>
      </c>
      <c r="B40969" s="1" t="str">
        <f>"14030"</f>
        <v>14030</v>
      </c>
      <c r="C40969" s="2">
        <v>1.62391335837624E-6</v>
      </c>
      <c r="D40969" s="2">
        <v>1.50570889527644E-6</v>
      </c>
      <c r="E40969" s="2">
        <v>8.6021135392965999E-6</v>
      </c>
      <c r="F40969" s="2">
        <v>1.77627149954616E-6</v>
      </c>
    </row>
    <row r="40970" spans="1:6" x14ac:dyDescent="0.25">
      <c r="A40970" s="1" t="str">
        <f t="shared" si="1444"/>
        <v>99999</v>
      </c>
      <c r="B40970" s="1" t="str">
        <f>"25966"</f>
        <v>25966</v>
      </c>
      <c r="C40970" s="2">
        <v>0</v>
      </c>
      <c r="D40970" s="2">
        <v>1.50570889527644E-6</v>
      </c>
      <c r="E40970" s="2">
        <v>0</v>
      </c>
      <c r="F40970" s="2">
        <v>9.8681749974786797E-8</v>
      </c>
    </row>
    <row r="40971" spans="1:6" x14ac:dyDescent="0.25">
      <c r="A40971" s="1" t="str">
        <f t="shared" si="1444"/>
        <v>99999</v>
      </c>
      <c r="B40971" s="1" t="str">
        <f>"37730"</f>
        <v>37730</v>
      </c>
      <c r="C40971" s="2">
        <v>0</v>
      </c>
      <c r="D40971" s="2">
        <v>1.50570889527644E-6</v>
      </c>
      <c r="E40971" s="2">
        <v>0</v>
      </c>
      <c r="F40971" s="2">
        <v>9.8681749974786797E-8</v>
      </c>
    </row>
    <row r="40972" spans="1:6" x14ac:dyDescent="0.25">
      <c r="A40972" s="1" t="str">
        <f t="shared" si="1444"/>
        <v>99999</v>
      </c>
      <c r="B40972" s="1" t="str">
        <f>"56056"</f>
        <v>56056</v>
      </c>
      <c r="C40972" s="2">
        <v>1.08260890558416E-7</v>
      </c>
      <c r="D40972" s="2">
        <v>0</v>
      </c>
      <c r="E40972" s="2">
        <v>4.3010567696482999E-6</v>
      </c>
      <c r="F40972" s="2">
        <v>1.9736349994957301E-7</v>
      </c>
    </row>
    <row r="40973" spans="1:6" x14ac:dyDescent="0.25">
      <c r="A40973" s="1" t="str">
        <f t="shared" si="1444"/>
        <v>99999</v>
      </c>
      <c r="B40973" s="1" t="str">
        <f>"62876"</f>
        <v>62876</v>
      </c>
      <c r="C40973" s="2">
        <v>0</v>
      </c>
      <c r="D40973" s="2">
        <v>0</v>
      </c>
      <c r="E40973" s="2">
        <v>4.3010567696482999E-6</v>
      </c>
      <c r="F40973" s="2">
        <v>9.8681749974786797E-8</v>
      </c>
    </row>
    <row r="40974" spans="1:6" x14ac:dyDescent="0.25">
      <c r="A40974" s="1" t="str">
        <f t="shared" si="1444"/>
        <v>99999</v>
      </c>
      <c r="B40974" s="1" t="str">
        <f>"23873"</f>
        <v>23873</v>
      </c>
      <c r="C40974" s="2">
        <v>0</v>
      </c>
      <c r="D40974" s="2">
        <v>0</v>
      </c>
      <c r="E40974" s="2">
        <v>4.3010567696482999E-6</v>
      </c>
      <c r="F40974" s="2">
        <v>9.8681749974786797E-8</v>
      </c>
    </row>
    <row r="40975" spans="1:6" x14ac:dyDescent="0.25">
      <c r="A40975" s="1" t="str">
        <f t="shared" si="1444"/>
        <v>99999</v>
      </c>
      <c r="B40975" s="1" t="str">
        <f>"95225"</f>
        <v>95225</v>
      </c>
      <c r="C40975" s="2">
        <v>0</v>
      </c>
      <c r="D40975" s="2">
        <v>0</v>
      </c>
      <c r="E40975" s="2">
        <v>4.3010567696482999E-6</v>
      </c>
      <c r="F40975" s="2">
        <v>9.8681749974786797E-8</v>
      </c>
    </row>
    <row r="40976" spans="1:6" x14ac:dyDescent="0.25">
      <c r="A40976" s="1" t="str">
        <f t="shared" si="1444"/>
        <v>99999</v>
      </c>
      <c r="B40976" s="1" t="str">
        <f>"99783"</f>
        <v>99783</v>
      </c>
      <c r="C40976" s="2">
        <v>0</v>
      </c>
      <c r="D40976" s="2">
        <v>0</v>
      </c>
      <c r="E40976" s="2">
        <v>4.3010567696482999E-6</v>
      </c>
      <c r="F40976" s="2">
        <v>9.8681749974786797E-8</v>
      </c>
    </row>
    <row r="40977" spans="1:6" x14ac:dyDescent="0.25">
      <c r="A40977" s="1" t="str">
        <f t="shared" si="1444"/>
        <v>99999</v>
      </c>
      <c r="B40977" s="1" t="str">
        <f>"32042"</f>
        <v>32042</v>
      </c>
      <c r="C40977" s="2">
        <v>0</v>
      </c>
      <c r="D40977" s="2">
        <v>0</v>
      </c>
      <c r="E40977" s="2">
        <v>8.6021135392965999E-6</v>
      </c>
      <c r="F40977" s="2">
        <v>1.9736349994957301E-7</v>
      </c>
    </row>
    <row r="40978" spans="1:6" x14ac:dyDescent="0.25">
      <c r="A40978" s="1" t="str">
        <f t="shared" si="1444"/>
        <v>99999</v>
      </c>
      <c r="B40978" s="1" t="str">
        <f>"74459"</f>
        <v>74459</v>
      </c>
      <c r="C40978" s="2">
        <v>1.08260890558416E-7</v>
      </c>
      <c r="D40978" s="2">
        <v>1.50570889527644E-6</v>
      </c>
      <c r="E40978" s="2">
        <v>0</v>
      </c>
      <c r="F40978" s="2">
        <v>1.9736349994957301E-7</v>
      </c>
    </row>
    <row r="40979" spans="1:6" x14ac:dyDescent="0.25">
      <c r="A40979" s="1" t="str">
        <f t="shared" si="1444"/>
        <v>99999</v>
      </c>
      <c r="B40979" s="1" t="str">
        <f>"99830"</f>
        <v>99830</v>
      </c>
      <c r="C40979" s="2">
        <v>1.08260890558416E-7</v>
      </c>
      <c r="D40979" s="2">
        <v>0</v>
      </c>
      <c r="E40979" s="2">
        <v>4.3010567696482999E-6</v>
      </c>
      <c r="F40979" s="2">
        <v>1.9736349994957301E-7</v>
      </c>
    </row>
    <row r="40980" spans="1:6" x14ac:dyDescent="0.25">
      <c r="A40980" s="1" t="str">
        <f t="shared" si="1444"/>
        <v>99999</v>
      </c>
      <c r="B40980" s="1" t="str">
        <f>"25688"</f>
        <v>25688</v>
      </c>
      <c r="C40980" s="2">
        <v>0</v>
      </c>
      <c r="D40980" s="2">
        <v>1.50570889527644E-6</v>
      </c>
      <c r="E40980" s="2">
        <v>0</v>
      </c>
      <c r="F40980" s="2">
        <v>9.8681749974786797E-8</v>
      </c>
    </row>
    <row r="40981" spans="1:6" x14ac:dyDescent="0.25">
      <c r="A40981" s="1" t="str">
        <f t="shared" si="1444"/>
        <v>99999</v>
      </c>
      <c r="B40981" s="1" t="str">
        <f>"79221"</f>
        <v>79221</v>
      </c>
      <c r="C40981" s="2">
        <v>1.08260890558416E-7</v>
      </c>
      <c r="D40981" s="2">
        <v>0</v>
      </c>
      <c r="E40981" s="2">
        <v>0</v>
      </c>
      <c r="F40981" s="2">
        <v>9.8681749974786797E-8</v>
      </c>
    </row>
    <row r="40982" spans="1:6" x14ac:dyDescent="0.25">
      <c r="A40982" s="1" t="str">
        <f t="shared" si="1444"/>
        <v>99999</v>
      </c>
      <c r="B40982" s="1" t="str">
        <f>"99724"</f>
        <v>99724</v>
      </c>
      <c r="C40982" s="2">
        <v>0</v>
      </c>
      <c r="D40982" s="2">
        <v>0</v>
      </c>
      <c r="E40982" s="2">
        <v>4.3010567696482999E-6</v>
      </c>
      <c r="F40982" s="2">
        <v>9.8681749974786797E-8</v>
      </c>
    </row>
    <row r="40983" spans="1:6" x14ac:dyDescent="0.25">
      <c r="A40983" s="1" t="str">
        <f t="shared" si="1444"/>
        <v>99999</v>
      </c>
      <c r="B40983" s="1" t="str">
        <f>"61912"</f>
        <v>61912</v>
      </c>
      <c r="C40983" s="2">
        <v>1.08260890558416E-7</v>
      </c>
      <c r="D40983" s="2">
        <v>0</v>
      </c>
      <c r="E40983" s="2">
        <v>0</v>
      </c>
      <c r="F40983" s="2">
        <v>9.8681749974786797E-8</v>
      </c>
    </row>
    <row r="40984" spans="1:6" x14ac:dyDescent="0.25">
      <c r="A40984" s="1" t="str">
        <f t="shared" si="1444"/>
        <v>99999</v>
      </c>
      <c r="B40984" s="1" t="str">
        <f>"04234"</f>
        <v>04234</v>
      </c>
      <c r="C40984" s="2">
        <v>0</v>
      </c>
      <c r="D40984" s="2">
        <v>0</v>
      </c>
      <c r="E40984" s="2">
        <v>4.3010567696482999E-6</v>
      </c>
      <c r="F40984" s="2">
        <v>9.8681749974786797E-8</v>
      </c>
    </row>
    <row r="40985" spans="1:6" x14ac:dyDescent="0.25">
      <c r="A40985" s="1" t="str">
        <f t="shared" si="1444"/>
        <v>99999</v>
      </c>
      <c r="B40985" s="1" t="str">
        <f>"87746"</f>
        <v>87746</v>
      </c>
      <c r="C40985" s="2">
        <v>3.5726093884277301E-6</v>
      </c>
      <c r="D40985" s="2">
        <v>1.50570889527644E-6</v>
      </c>
      <c r="E40985" s="2">
        <v>3.44084541571864E-5</v>
      </c>
      <c r="F40985" s="2">
        <v>4.1446334989410403E-6</v>
      </c>
    </row>
    <row r="40986" spans="1:6" x14ac:dyDescent="0.25">
      <c r="A40986" s="1" t="str">
        <f t="shared" si="1444"/>
        <v>99999</v>
      </c>
      <c r="B40986" s="1" t="str">
        <f>"83542"</f>
        <v>83542</v>
      </c>
      <c r="C40986" s="2">
        <v>3.2478267167524799E-6</v>
      </c>
      <c r="D40986" s="2">
        <v>0</v>
      </c>
      <c r="E40986" s="2">
        <v>1.5913910047698701E-4</v>
      </c>
      <c r="F40986" s="2">
        <v>6.6116772483107097E-6</v>
      </c>
    </row>
    <row r="40987" spans="1:6" x14ac:dyDescent="0.25">
      <c r="A40987" s="1" t="str">
        <f t="shared" si="1444"/>
        <v>99999</v>
      </c>
      <c r="B40987" s="1" t="str">
        <f>"99780"</f>
        <v>99780</v>
      </c>
      <c r="C40987" s="2">
        <v>6.7121752146218001E-6</v>
      </c>
      <c r="D40987" s="2">
        <v>1.20456711622115E-5</v>
      </c>
      <c r="E40987" s="2">
        <v>8.6021135392965999E-6</v>
      </c>
      <c r="F40987" s="2">
        <v>7.10508599818465E-6</v>
      </c>
    </row>
    <row r="40988" spans="1:6" x14ac:dyDescent="0.25">
      <c r="A40988" s="1" t="str">
        <f t="shared" si="1444"/>
        <v>99999</v>
      </c>
      <c r="B40988" s="1" t="str">
        <f>"23139"</f>
        <v>23139</v>
      </c>
      <c r="C40988" s="2">
        <v>8.4443494635564601E-6</v>
      </c>
      <c r="D40988" s="2">
        <v>1.50570889527644E-6</v>
      </c>
      <c r="E40988" s="2">
        <v>0</v>
      </c>
      <c r="F40988" s="2">
        <v>7.7958582480081497E-6</v>
      </c>
    </row>
    <row r="40989" spans="1:6" x14ac:dyDescent="0.25">
      <c r="A40989" s="1" t="str">
        <f t="shared" si="1444"/>
        <v>99999</v>
      </c>
      <c r="B40989" s="1" t="str">
        <f>"23083"</f>
        <v>23083</v>
      </c>
      <c r="C40989" s="2">
        <v>6.49565343350497E-7</v>
      </c>
      <c r="D40989" s="2">
        <v>1.50570889527644E-6</v>
      </c>
      <c r="E40989" s="2">
        <v>0</v>
      </c>
      <c r="F40989" s="2">
        <v>6.9077224982350697E-7</v>
      </c>
    </row>
    <row r="40990" spans="1:6" x14ac:dyDescent="0.25">
      <c r="A40990" s="1" t="str">
        <f t="shared" si="1444"/>
        <v>99999</v>
      </c>
      <c r="B40990" s="1" t="str">
        <f>"57248"</f>
        <v>57248</v>
      </c>
      <c r="C40990" s="2">
        <v>2.7065222639604001E-6</v>
      </c>
      <c r="D40990" s="2">
        <v>0</v>
      </c>
      <c r="E40990" s="2">
        <v>0</v>
      </c>
      <c r="F40990" s="2">
        <v>2.4670437493696702E-6</v>
      </c>
    </row>
    <row r="40991" spans="1:6" x14ac:dyDescent="0.25">
      <c r="A40991" s="1" t="str">
        <f t="shared" si="1444"/>
        <v>99999</v>
      </c>
      <c r="B40991" s="1" t="str">
        <f>"59338"</f>
        <v>59338</v>
      </c>
      <c r="C40991" s="2">
        <v>7.2534796674138799E-6</v>
      </c>
      <c r="D40991" s="2">
        <v>1.50570889527644E-6</v>
      </c>
      <c r="E40991" s="2">
        <v>8.6021135392965999E-6</v>
      </c>
      <c r="F40991" s="2">
        <v>6.9077224982350703E-6</v>
      </c>
    </row>
    <row r="40992" spans="1:6" x14ac:dyDescent="0.25">
      <c r="A40992" s="1" t="str">
        <f t="shared" si="1444"/>
        <v>99999</v>
      </c>
      <c r="B40992" s="1" t="str">
        <f>"68834"</f>
        <v>68834</v>
      </c>
      <c r="C40992" s="2">
        <v>1.1908697961425701E-6</v>
      </c>
      <c r="D40992" s="2">
        <v>0</v>
      </c>
      <c r="E40992" s="2">
        <v>0</v>
      </c>
      <c r="F40992" s="2">
        <v>1.0854992497226499E-6</v>
      </c>
    </row>
    <row r="40993" spans="1:6" x14ac:dyDescent="0.25">
      <c r="A40993" s="1" t="str">
        <f t="shared" si="1444"/>
        <v>99999</v>
      </c>
      <c r="B40993" s="1" t="str">
        <f>"89427"</f>
        <v>89427</v>
      </c>
      <c r="C40993" s="2">
        <v>0</v>
      </c>
      <c r="D40993" s="2">
        <v>1.50570889527644E-6</v>
      </c>
      <c r="E40993" s="2">
        <v>4.3010567696482999E-6</v>
      </c>
      <c r="F40993" s="2">
        <v>1.9736349994957301E-7</v>
      </c>
    </row>
    <row r="40994" spans="1:6" x14ac:dyDescent="0.25">
      <c r="A40994" s="1" t="str">
        <f t="shared" si="1444"/>
        <v>99999</v>
      </c>
      <c r="B40994" s="1" t="str">
        <f>"14840"</f>
        <v>14840</v>
      </c>
      <c r="C40994" s="2">
        <v>4.5469574034534697E-6</v>
      </c>
      <c r="D40994" s="2">
        <v>0</v>
      </c>
      <c r="E40994" s="2">
        <v>8.6021135392965999E-6</v>
      </c>
      <c r="F40994" s="2">
        <v>4.3419969988906098E-6</v>
      </c>
    </row>
    <row r="40995" spans="1:6" x14ac:dyDescent="0.25">
      <c r="A40995" s="1" t="str">
        <f t="shared" si="1444"/>
        <v>99999</v>
      </c>
      <c r="B40995" s="1" t="str">
        <f>"23389"</f>
        <v>23389</v>
      </c>
      <c r="C40995" s="2">
        <v>0</v>
      </c>
      <c r="D40995" s="2">
        <v>3.01141779055288E-6</v>
      </c>
      <c r="E40995" s="2">
        <v>0</v>
      </c>
      <c r="F40995" s="2">
        <v>1.9736349994957301E-7</v>
      </c>
    </row>
    <row r="40996" spans="1:6" x14ac:dyDescent="0.25">
      <c r="A40996" s="1" t="str">
        <f t="shared" si="1444"/>
        <v>99999</v>
      </c>
      <c r="B40996" s="1" t="str">
        <f>"48734"</f>
        <v>48734</v>
      </c>
      <c r="C40996" s="2">
        <v>7.7947841202059606E-6</v>
      </c>
      <c r="D40996" s="2">
        <v>3.01141779055288E-6</v>
      </c>
      <c r="E40996" s="2">
        <v>0</v>
      </c>
      <c r="F40996" s="2">
        <v>7.3024494981342204E-6</v>
      </c>
    </row>
    <row r="40997" spans="1:6" x14ac:dyDescent="0.25">
      <c r="A40997" s="1" t="str">
        <f t="shared" si="1444"/>
        <v>99999</v>
      </c>
      <c r="B40997" s="1" t="str">
        <f>"50029"</f>
        <v>50029</v>
      </c>
      <c r="C40997" s="2">
        <v>3.2478267167524802E-7</v>
      </c>
      <c r="D40997" s="2">
        <v>0</v>
      </c>
      <c r="E40997" s="2">
        <v>0</v>
      </c>
      <c r="F40997" s="2">
        <v>2.9604524992435999E-7</v>
      </c>
    </row>
    <row r="40998" spans="1:6" x14ac:dyDescent="0.25">
      <c r="A40998" s="1" t="str">
        <f t="shared" si="1444"/>
        <v>99999</v>
      </c>
      <c r="B40998" s="1" t="str">
        <f>"54933"</f>
        <v>54933</v>
      </c>
      <c r="C40998" s="2">
        <v>9.3104365880237906E-6</v>
      </c>
      <c r="D40998" s="2">
        <v>1.50570889527644E-5</v>
      </c>
      <c r="E40998" s="2">
        <v>1.29031703089449E-5</v>
      </c>
      <c r="F40998" s="2">
        <v>9.7694932475038906E-6</v>
      </c>
    </row>
    <row r="40999" spans="1:6" x14ac:dyDescent="0.25">
      <c r="A40999" s="1" t="str">
        <f t="shared" si="1444"/>
        <v>99999</v>
      </c>
      <c r="B40999" s="1" t="str">
        <f>"61466"</f>
        <v>61466</v>
      </c>
      <c r="C40999" s="2">
        <v>2.1652178111683201E-7</v>
      </c>
      <c r="D40999" s="2">
        <v>0</v>
      </c>
      <c r="E40999" s="2">
        <v>0</v>
      </c>
      <c r="F40999" s="2">
        <v>1.9736349994957301E-7</v>
      </c>
    </row>
    <row r="41000" spans="1:6" x14ac:dyDescent="0.25">
      <c r="A41000" s="1" t="str">
        <f t="shared" si="1444"/>
        <v>99999</v>
      </c>
      <c r="B41000" s="1" t="str">
        <f>"63442"</f>
        <v>63442</v>
      </c>
      <c r="C41000" s="2">
        <v>3.6808702789861401E-6</v>
      </c>
      <c r="D41000" s="2">
        <v>6.0228355811057601E-6</v>
      </c>
      <c r="E41000" s="2">
        <v>4.3010567696482999E-6</v>
      </c>
      <c r="F41000" s="2">
        <v>3.8485882490166797E-6</v>
      </c>
    </row>
    <row r="41001" spans="1:6" x14ac:dyDescent="0.25">
      <c r="A41001" s="1" t="str">
        <f t="shared" si="1444"/>
        <v>99999</v>
      </c>
      <c r="B41001" s="1" t="str">
        <f>"67151"</f>
        <v>67151</v>
      </c>
      <c r="C41001" s="2">
        <v>1.62391335837624E-6</v>
      </c>
      <c r="D41001" s="2">
        <v>0</v>
      </c>
      <c r="E41001" s="2">
        <v>0</v>
      </c>
      <c r="F41001" s="2">
        <v>1.4802262496218E-6</v>
      </c>
    </row>
    <row r="41002" spans="1:6" x14ac:dyDescent="0.25">
      <c r="A41002" s="1" t="str">
        <f t="shared" si="1444"/>
        <v>99999</v>
      </c>
      <c r="B41002" s="1" t="str">
        <f>"79744"</f>
        <v>79744</v>
      </c>
      <c r="C41002" s="2">
        <v>8.6608712446732898E-7</v>
      </c>
      <c r="D41002" s="2">
        <v>3.01141779055288E-6</v>
      </c>
      <c r="E41002" s="2">
        <v>0</v>
      </c>
      <c r="F41002" s="2">
        <v>9.8681749974786791E-7</v>
      </c>
    </row>
    <row r="41003" spans="1:6" x14ac:dyDescent="0.25">
      <c r="A41003" s="1" t="str">
        <f t="shared" si="1444"/>
        <v>99999</v>
      </c>
      <c r="B41003" s="1" t="str">
        <f>"83238"</f>
        <v>83238</v>
      </c>
      <c r="C41003" s="2">
        <v>5.7378271995960499E-6</v>
      </c>
      <c r="D41003" s="2">
        <v>0</v>
      </c>
      <c r="E41003" s="2">
        <v>4.3010567696482999E-6</v>
      </c>
      <c r="F41003" s="2">
        <v>5.3288144986384803E-6</v>
      </c>
    </row>
    <row r="41004" spans="1:6" x14ac:dyDescent="0.25">
      <c r="A41004" s="1" t="str">
        <f t="shared" si="1444"/>
        <v>99999</v>
      </c>
      <c r="B41004" s="1" t="str">
        <f>"83122"</f>
        <v>83122</v>
      </c>
      <c r="C41004" s="2">
        <v>3.1395658261940598E-6</v>
      </c>
      <c r="D41004" s="2">
        <v>0</v>
      </c>
      <c r="E41004" s="2">
        <v>4.3010567696482999E-6</v>
      </c>
      <c r="F41004" s="2">
        <v>2.9604524992435999E-6</v>
      </c>
    </row>
    <row r="41005" spans="1:6" x14ac:dyDescent="0.25">
      <c r="A41005" s="1" t="str">
        <f t="shared" si="1444"/>
        <v>99999</v>
      </c>
      <c r="B41005" s="1" t="str">
        <f>"28611"</f>
        <v>28611</v>
      </c>
      <c r="C41005" s="2">
        <v>4.5469574034534697E-6</v>
      </c>
      <c r="D41005" s="2">
        <v>6.0228355811057601E-6</v>
      </c>
      <c r="E41005" s="2">
        <v>0</v>
      </c>
      <c r="F41005" s="2">
        <v>4.5393604988401904E-6</v>
      </c>
    </row>
    <row r="41006" spans="1:6" x14ac:dyDescent="0.25">
      <c r="A41006" s="1" t="str">
        <f t="shared" si="1444"/>
        <v>99999</v>
      </c>
      <c r="B41006" s="1" t="str">
        <f>"68423"</f>
        <v>68423</v>
      </c>
      <c r="C41006" s="2">
        <v>2.1652178111683201E-7</v>
      </c>
      <c r="D41006" s="2">
        <v>0</v>
      </c>
      <c r="E41006" s="2">
        <v>0</v>
      </c>
      <c r="F41006" s="2">
        <v>1.9736349994957301E-7</v>
      </c>
    </row>
    <row r="41007" spans="1:6" x14ac:dyDescent="0.25">
      <c r="A41007" s="1" t="str">
        <f t="shared" si="1444"/>
        <v>99999</v>
      </c>
      <c r="B41007" s="1" t="str">
        <f>"83229"</f>
        <v>83229</v>
      </c>
      <c r="C41007" s="2">
        <v>2.1652178111683201E-7</v>
      </c>
      <c r="D41007" s="2">
        <v>1.50570889527644E-5</v>
      </c>
      <c r="E41007" s="2">
        <v>4.3010567696482999E-6</v>
      </c>
      <c r="F41007" s="2">
        <v>1.2828627496722201E-6</v>
      </c>
    </row>
    <row r="41008" spans="1:6" x14ac:dyDescent="0.25">
      <c r="A41008" s="1" t="str">
        <f t="shared" si="1444"/>
        <v>99999</v>
      </c>
      <c r="B41008" s="1" t="str">
        <f>"84516"</f>
        <v>84516</v>
      </c>
      <c r="C41008" s="2">
        <v>0</v>
      </c>
      <c r="D41008" s="2">
        <v>4.5171266858293203E-6</v>
      </c>
      <c r="E41008" s="2">
        <v>4.3010567696482999E-6</v>
      </c>
      <c r="F41008" s="2">
        <v>3.9472699989914697E-7</v>
      </c>
    </row>
    <row r="41009" spans="1:6" x14ac:dyDescent="0.25">
      <c r="A41009" s="1" t="str">
        <f t="shared" si="1444"/>
        <v>99999</v>
      </c>
      <c r="B41009" s="1" t="str">
        <f>"23866"</f>
        <v>23866</v>
      </c>
      <c r="C41009" s="2">
        <v>1.84043513949307E-6</v>
      </c>
      <c r="D41009" s="2">
        <v>0</v>
      </c>
      <c r="E41009" s="2">
        <v>0</v>
      </c>
      <c r="F41009" s="2">
        <v>1.6775897495713699E-6</v>
      </c>
    </row>
    <row r="41010" spans="1:6" x14ac:dyDescent="0.25">
      <c r="A41010" s="1" t="str">
        <f t="shared" si="1444"/>
        <v>99999</v>
      </c>
      <c r="B41010" s="1" t="str">
        <f>"41310"</f>
        <v>41310</v>
      </c>
      <c r="C41010" s="2">
        <v>1.0826089055841599E-6</v>
      </c>
      <c r="D41010" s="2">
        <v>0</v>
      </c>
      <c r="E41010" s="2">
        <v>4.3010567696482999E-6</v>
      </c>
      <c r="F41010" s="2">
        <v>1.0854992497226499E-6</v>
      </c>
    </row>
    <row r="41011" spans="1:6" x14ac:dyDescent="0.25">
      <c r="A41011" s="1" t="str">
        <f t="shared" si="1444"/>
        <v>99999</v>
      </c>
      <c r="B41011" s="1" t="str">
        <f>"50446"</f>
        <v>50446</v>
      </c>
      <c r="C41011" s="2">
        <v>2.3817395922851499E-6</v>
      </c>
      <c r="D41011" s="2">
        <v>0</v>
      </c>
      <c r="E41011" s="2">
        <v>0</v>
      </c>
      <c r="F41011" s="2">
        <v>2.1709984994452998E-6</v>
      </c>
    </row>
    <row r="41012" spans="1:6" x14ac:dyDescent="0.25">
      <c r="A41012" s="1" t="str">
        <f t="shared" si="1444"/>
        <v>99999</v>
      </c>
      <c r="B41012" s="1" t="str">
        <f>"56629"</f>
        <v>56629</v>
      </c>
      <c r="C41012" s="2">
        <v>0</v>
      </c>
      <c r="D41012" s="2">
        <v>0</v>
      </c>
      <c r="E41012" s="2">
        <v>4.3010567696482999E-6</v>
      </c>
      <c r="F41012" s="2">
        <v>9.8681749974786797E-8</v>
      </c>
    </row>
    <row r="41013" spans="1:6" x14ac:dyDescent="0.25">
      <c r="A41013" s="1" t="str">
        <f t="shared" si="1444"/>
        <v>99999</v>
      </c>
      <c r="B41013" s="1" t="str">
        <f>"73552"</f>
        <v>73552</v>
      </c>
      <c r="C41013" s="2">
        <v>3.2478267167524802E-7</v>
      </c>
      <c r="D41013" s="2">
        <v>0</v>
      </c>
      <c r="E41013" s="2">
        <v>0</v>
      </c>
      <c r="F41013" s="2">
        <v>2.9604524992435999E-7</v>
      </c>
    </row>
    <row r="41014" spans="1:6" x14ac:dyDescent="0.25">
      <c r="A41014" s="1" t="str">
        <f t="shared" si="1444"/>
        <v>99999</v>
      </c>
      <c r="B41014" s="1" t="str">
        <f>"84531"</f>
        <v>84531</v>
      </c>
      <c r="C41014" s="2">
        <v>1.51565246781782E-6</v>
      </c>
      <c r="D41014" s="2">
        <v>1.50570889527644E-6</v>
      </c>
      <c r="E41014" s="2">
        <v>0</v>
      </c>
      <c r="F41014" s="2">
        <v>1.4802262496218E-6</v>
      </c>
    </row>
    <row r="41015" spans="1:6" x14ac:dyDescent="0.25">
      <c r="A41015" s="1" t="str">
        <f t="shared" si="1444"/>
        <v>99999</v>
      </c>
      <c r="B41015" s="1" t="str">
        <f>"87011"</f>
        <v>87011</v>
      </c>
      <c r="C41015" s="2">
        <v>0</v>
      </c>
      <c r="D41015" s="2">
        <v>0</v>
      </c>
      <c r="E41015" s="2">
        <v>4.3010567696482999E-6</v>
      </c>
      <c r="F41015" s="2">
        <v>9.8681749974786797E-8</v>
      </c>
    </row>
    <row r="41016" spans="1:6" x14ac:dyDescent="0.25">
      <c r="A41016" s="1" t="str">
        <f t="shared" si="1444"/>
        <v>99999</v>
      </c>
      <c r="B41016" s="1" t="str">
        <f>"18463"</f>
        <v>18463</v>
      </c>
      <c r="C41016" s="2">
        <v>6.7121752146218001E-6</v>
      </c>
      <c r="D41016" s="2">
        <v>4.5171266858293203E-6</v>
      </c>
      <c r="E41016" s="2">
        <v>8.6021135392965999E-6</v>
      </c>
      <c r="F41016" s="2">
        <v>6.6116772483107097E-6</v>
      </c>
    </row>
    <row r="41017" spans="1:6" x14ac:dyDescent="0.25">
      <c r="A41017" s="1" t="str">
        <f t="shared" si="1444"/>
        <v>99999</v>
      </c>
      <c r="B41017" s="1" t="str">
        <f>"28664"</f>
        <v>28664</v>
      </c>
      <c r="C41017" s="2">
        <v>0</v>
      </c>
      <c r="D41017" s="2">
        <v>0</v>
      </c>
      <c r="E41017" s="2">
        <v>4.3010567696482999E-6</v>
      </c>
      <c r="F41017" s="2">
        <v>9.8681749974786797E-8</v>
      </c>
    </row>
    <row r="41018" spans="1:6" x14ac:dyDescent="0.25">
      <c r="A41018" s="1" t="str">
        <f t="shared" si="1444"/>
        <v>99999</v>
      </c>
      <c r="B41018" s="1" t="str">
        <f>"38668"</f>
        <v>38668</v>
      </c>
      <c r="C41018" s="2">
        <v>1.29913068670099E-6</v>
      </c>
      <c r="D41018" s="2">
        <v>1.50570889527644E-6</v>
      </c>
      <c r="E41018" s="2">
        <v>0</v>
      </c>
      <c r="F41018" s="2">
        <v>1.2828627496722201E-6</v>
      </c>
    </row>
    <row r="41019" spans="1:6" x14ac:dyDescent="0.25">
      <c r="A41019" s="1" t="str">
        <f t="shared" si="1444"/>
        <v>99999</v>
      </c>
      <c r="B41019" s="1" t="str">
        <f>"45327"</f>
        <v>45327</v>
      </c>
      <c r="C41019" s="2">
        <v>3.1395658261940598E-6</v>
      </c>
      <c r="D41019" s="2">
        <v>0</v>
      </c>
      <c r="E41019" s="2">
        <v>0</v>
      </c>
      <c r="F41019" s="2">
        <v>2.8617707492688101E-6</v>
      </c>
    </row>
    <row r="41020" spans="1:6" x14ac:dyDescent="0.25">
      <c r="A41020" s="1" t="str">
        <f t="shared" si="1444"/>
        <v>99999</v>
      </c>
      <c r="B41020" s="1" t="str">
        <f>"50839"</f>
        <v>50839</v>
      </c>
      <c r="C41020" s="2">
        <v>2.59826137340198E-6</v>
      </c>
      <c r="D41020" s="2">
        <v>1.50570889527644E-6</v>
      </c>
      <c r="E41020" s="2">
        <v>4.3010567696482999E-6</v>
      </c>
      <c r="F41020" s="2">
        <v>2.5657254993444499E-6</v>
      </c>
    </row>
    <row r="41021" spans="1:6" x14ac:dyDescent="0.25">
      <c r="A41021" s="1" t="str">
        <f t="shared" si="1444"/>
        <v>99999</v>
      </c>
      <c r="B41021" s="1" t="str">
        <f>"65536"</f>
        <v>65536</v>
      </c>
      <c r="C41021" s="2">
        <v>3.3560876073109E-6</v>
      </c>
      <c r="D41021" s="2">
        <v>0</v>
      </c>
      <c r="E41021" s="2">
        <v>0</v>
      </c>
      <c r="F41021" s="2">
        <v>3.0591342492183902E-6</v>
      </c>
    </row>
    <row r="41022" spans="1:6" x14ac:dyDescent="0.25">
      <c r="A41022" s="1" t="str">
        <f t="shared" si="1444"/>
        <v>99999</v>
      </c>
      <c r="B41022" s="1" t="str">
        <f>"72572"</f>
        <v>72572</v>
      </c>
      <c r="C41022" s="2">
        <v>9.5269583691406198E-6</v>
      </c>
      <c r="D41022" s="2">
        <v>1.50570889527644E-6</v>
      </c>
      <c r="E41022" s="2">
        <v>4.3010567696482999E-6</v>
      </c>
      <c r="F41022" s="2">
        <v>8.8813574977308104E-6</v>
      </c>
    </row>
    <row r="41023" spans="1:6" x14ac:dyDescent="0.25">
      <c r="A41023" s="1" t="str">
        <f t="shared" si="1444"/>
        <v>99999</v>
      </c>
      <c r="B41023" s="1" t="str">
        <f>"36793"</f>
        <v>36793</v>
      </c>
      <c r="C41023" s="2">
        <v>5.8460880901544696E-6</v>
      </c>
      <c r="D41023" s="2">
        <v>1.20456711622115E-5</v>
      </c>
      <c r="E41023" s="2">
        <v>0</v>
      </c>
      <c r="F41023" s="2">
        <v>6.1182684984367804E-6</v>
      </c>
    </row>
    <row r="41024" spans="1:6" x14ac:dyDescent="0.25">
      <c r="A41024" s="1" t="str">
        <f t="shared" si="1444"/>
        <v>99999</v>
      </c>
      <c r="B41024" s="1" t="str">
        <f>"49078"</f>
        <v>49078</v>
      </c>
      <c r="C41024" s="2">
        <v>5.5213054184792198E-6</v>
      </c>
      <c r="D41024" s="2">
        <v>0</v>
      </c>
      <c r="E41024" s="2">
        <v>0</v>
      </c>
      <c r="F41024" s="2">
        <v>5.0327692487141197E-6</v>
      </c>
    </row>
    <row r="41025" spans="1:6" x14ac:dyDescent="0.25">
      <c r="A41025" s="1" t="str">
        <f t="shared" si="1444"/>
        <v>99999</v>
      </c>
      <c r="B41025" s="1" t="str">
        <f>"52501"</f>
        <v>52501</v>
      </c>
      <c r="C41025" s="2">
        <v>2.1652178111683201E-7</v>
      </c>
      <c r="D41025" s="2">
        <v>0</v>
      </c>
      <c r="E41025" s="2">
        <v>0</v>
      </c>
      <c r="F41025" s="2">
        <v>1.9736349994957301E-7</v>
      </c>
    </row>
    <row r="41026" spans="1:6" x14ac:dyDescent="0.25">
      <c r="A41026" s="1" t="str">
        <f t="shared" si="1444"/>
        <v>99999</v>
      </c>
      <c r="B41026" s="1" t="str">
        <f>"68701"</f>
        <v>68701</v>
      </c>
      <c r="C41026" s="2">
        <v>3.2478267167524802E-7</v>
      </c>
      <c r="D41026" s="2">
        <v>0</v>
      </c>
      <c r="E41026" s="2">
        <v>0</v>
      </c>
      <c r="F41026" s="2">
        <v>2.9604524992435999E-7</v>
      </c>
    </row>
    <row r="41027" spans="1:6" x14ac:dyDescent="0.25">
      <c r="A41027" s="1" t="str">
        <f t="shared" si="1444"/>
        <v>99999</v>
      </c>
      <c r="B41027" s="1" t="str">
        <f>"52323"</f>
        <v>52323</v>
      </c>
      <c r="C41027" s="2">
        <v>1.62391335837624E-6</v>
      </c>
      <c r="D41027" s="2">
        <v>0</v>
      </c>
      <c r="E41027" s="2">
        <v>0</v>
      </c>
      <c r="F41027" s="2">
        <v>1.4802262496218E-6</v>
      </c>
    </row>
    <row r="41028" spans="1:6" x14ac:dyDescent="0.25">
      <c r="A41028" s="1" t="str">
        <f t="shared" si="1444"/>
        <v>99999</v>
      </c>
      <c r="B41028" s="1" t="str">
        <f>"86515"</f>
        <v>86515</v>
      </c>
      <c r="C41028" s="2">
        <v>0</v>
      </c>
      <c r="D41028" s="2">
        <v>0</v>
      </c>
      <c r="E41028" s="2">
        <v>4.3010567696482999E-6</v>
      </c>
      <c r="F41028" s="2">
        <v>9.8681749974786797E-8</v>
      </c>
    </row>
    <row r="41029" spans="1:6" x14ac:dyDescent="0.25">
      <c r="A41029" s="1" t="str">
        <f t="shared" si="1444"/>
        <v>99999</v>
      </c>
      <c r="B41029" s="1" t="str">
        <f>"83802"</f>
        <v>83802</v>
      </c>
      <c r="C41029" s="2">
        <v>1.7321742489346499E-6</v>
      </c>
      <c r="D41029" s="2">
        <v>1.50570889527644E-6</v>
      </c>
      <c r="E41029" s="2">
        <v>4.3010567696482999E-6</v>
      </c>
      <c r="F41029" s="2">
        <v>1.77627149954616E-6</v>
      </c>
    </row>
    <row r="41030" spans="1:6" x14ac:dyDescent="0.25">
      <c r="A41030" s="1" t="str">
        <f t="shared" ref="A41030:A41093" si="1445">"99999"</f>
        <v>99999</v>
      </c>
      <c r="B41030" s="1" t="str">
        <f>"13124"</f>
        <v>13124</v>
      </c>
      <c r="C41030" s="2">
        <v>4.6552182940118902E-6</v>
      </c>
      <c r="D41030" s="2">
        <v>0</v>
      </c>
      <c r="E41030" s="2">
        <v>4.3010567696482999E-6</v>
      </c>
      <c r="F41030" s="2">
        <v>4.3419969988906098E-6</v>
      </c>
    </row>
    <row r="41031" spans="1:6" x14ac:dyDescent="0.25">
      <c r="A41031" s="1" t="str">
        <f t="shared" si="1445"/>
        <v>99999</v>
      </c>
      <c r="B41031" s="1" t="str">
        <f>"76857"</f>
        <v>76857</v>
      </c>
      <c r="C41031" s="2">
        <v>1.51565246781782E-6</v>
      </c>
      <c r="D41031" s="2">
        <v>0</v>
      </c>
      <c r="E41031" s="2">
        <v>0</v>
      </c>
      <c r="F41031" s="2">
        <v>1.3815444996470099E-6</v>
      </c>
    </row>
    <row r="41032" spans="1:6" x14ac:dyDescent="0.25">
      <c r="A41032" s="1" t="str">
        <f t="shared" si="1445"/>
        <v>99999</v>
      </c>
      <c r="B41032" s="1" t="str">
        <f>"95232"</f>
        <v>95232</v>
      </c>
      <c r="C41032" s="2">
        <v>4.6552182940118902E-6</v>
      </c>
      <c r="D41032" s="2">
        <v>3.01141779055288E-6</v>
      </c>
      <c r="E41032" s="2">
        <v>8.6021135392965999E-6</v>
      </c>
      <c r="F41032" s="2">
        <v>4.6380422488149798E-6</v>
      </c>
    </row>
    <row r="41033" spans="1:6" x14ac:dyDescent="0.25">
      <c r="A41033" s="1" t="str">
        <f t="shared" si="1445"/>
        <v>99999</v>
      </c>
      <c r="B41033" s="1" t="str">
        <f>"32432"</f>
        <v>32432</v>
      </c>
      <c r="C41033" s="2">
        <v>0</v>
      </c>
      <c r="D41033" s="2">
        <v>0</v>
      </c>
      <c r="E41033" s="2">
        <v>4.3010567696482999E-6</v>
      </c>
      <c r="F41033" s="2">
        <v>9.8681749974786797E-8</v>
      </c>
    </row>
    <row r="41034" spans="1:6" x14ac:dyDescent="0.25">
      <c r="A41034" s="1" t="str">
        <f t="shared" si="1445"/>
        <v>99999</v>
      </c>
      <c r="B41034" s="1" t="str">
        <f>"41520"</f>
        <v>41520</v>
      </c>
      <c r="C41034" s="2">
        <v>0</v>
      </c>
      <c r="D41034" s="2">
        <v>1.50570889527644E-6</v>
      </c>
      <c r="E41034" s="2">
        <v>4.3010567696482999E-6</v>
      </c>
      <c r="F41034" s="2">
        <v>1.9736349994957301E-7</v>
      </c>
    </row>
    <row r="41035" spans="1:6" x14ac:dyDescent="0.25">
      <c r="A41035" s="1" t="str">
        <f t="shared" si="1445"/>
        <v>99999</v>
      </c>
      <c r="B41035" s="1" t="str">
        <f>"04629"</f>
        <v>04629</v>
      </c>
      <c r="C41035" s="2">
        <v>0</v>
      </c>
      <c r="D41035" s="2">
        <v>0</v>
      </c>
      <c r="E41035" s="2">
        <v>4.3010567696482999E-6</v>
      </c>
      <c r="F41035" s="2">
        <v>9.8681749974786797E-8</v>
      </c>
    </row>
    <row r="41036" spans="1:6" x14ac:dyDescent="0.25">
      <c r="A41036" s="1" t="str">
        <f t="shared" si="1445"/>
        <v>99999</v>
      </c>
      <c r="B41036" s="1" t="str">
        <f>"43556"</f>
        <v>43556</v>
      </c>
      <c r="C41036" s="2">
        <v>3.2478267167524802E-7</v>
      </c>
      <c r="D41036" s="2">
        <v>0</v>
      </c>
      <c r="E41036" s="2">
        <v>0</v>
      </c>
      <c r="F41036" s="2">
        <v>2.9604524992435999E-7</v>
      </c>
    </row>
    <row r="41037" spans="1:6" x14ac:dyDescent="0.25">
      <c r="A41037" s="1" t="str">
        <f t="shared" si="1445"/>
        <v>99999</v>
      </c>
      <c r="B41037" s="1" t="str">
        <f>"60917"</f>
        <v>60917</v>
      </c>
      <c r="C41037" s="2">
        <v>2.1652178111683201E-7</v>
      </c>
      <c r="D41037" s="2">
        <v>0</v>
      </c>
      <c r="E41037" s="2">
        <v>0</v>
      </c>
      <c r="F41037" s="2">
        <v>1.9736349994957301E-7</v>
      </c>
    </row>
    <row r="41038" spans="1:6" x14ac:dyDescent="0.25">
      <c r="A41038" s="1" t="str">
        <f t="shared" si="1445"/>
        <v>99999</v>
      </c>
      <c r="B41038" s="1" t="str">
        <f>"67561"</f>
        <v>67561</v>
      </c>
      <c r="C41038" s="2">
        <v>2.1652178111683201E-7</v>
      </c>
      <c r="D41038" s="2">
        <v>0</v>
      </c>
      <c r="E41038" s="2">
        <v>0</v>
      </c>
      <c r="F41038" s="2">
        <v>1.9736349994957301E-7</v>
      </c>
    </row>
    <row r="41039" spans="1:6" x14ac:dyDescent="0.25">
      <c r="A41039" s="1" t="str">
        <f t="shared" si="1445"/>
        <v>99999</v>
      </c>
      <c r="B41039" s="1" t="str">
        <f>"67801"</f>
        <v>67801</v>
      </c>
      <c r="C41039" s="2">
        <v>4.3304356223366401E-7</v>
      </c>
      <c r="D41039" s="2">
        <v>0</v>
      </c>
      <c r="E41039" s="2">
        <v>0</v>
      </c>
      <c r="F41039" s="2">
        <v>3.9472699989914697E-7</v>
      </c>
    </row>
    <row r="41040" spans="1:6" x14ac:dyDescent="0.25">
      <c r="A41040" s="1" t="str">
        <f t="shared" si="1445"/>
        <v>99999</v>
      </c>
      <c r="B41040" s="1" t="str">
        <f>"77970"</f>
        <v>77970</v>
      </c>
      <c r="C41040" s="2">
        <v>1.08260890558416E-7</v>
      </c>
      <c r="D41040" s="2">
        <v>1.50570889527644E-6</v>
      </c>
      <c r="E41040" s="2">
        <v>0</v>
      </c>
      <c r="F41040" s="2">
        <v>1.9736349994957301E-7</v>
      </c>
    </row>
    <row r="41041" spans="1:6" x14ac:dyDescent="0.25">
      <c r="A41041" s="1" t="str">
        <f t="shared" si="1445"/>
        <v>99999</v>
      </c>
      <c r="B41041" s="1" t="str">
        <f>"78671"</f>
        <v>78671</v>
      </c>
      <c r="C41041" s="2">
        <v>6.49565343350497E-7</v>
      </c>
      <c r="D41041" s="2">
        <v>0</v>
      </c>
      <c r="E41041" s="2">
        <v>0</v>
      </c>
      <c r="F41041" s="2">
        <v>5.9209049984871999E-7</v>
      </c>
    </row>
    <row r="41042" spans="1:6" x14ac:dyDescent="0.25">
      <c r="A41042" s="1" t="str">
        <f t="shared" si="1445"/>
        <v>99999</v>
      </c>
      <c r="B41042" s="1" t="str">
        <f>"60921"</f>
        <v>60921</v>
      </c>
      <c r="C41042" s="2">
        <v>3.2478267167524802E-7</v>
      </c>
      <c r="D41042" s="2">
        <v>0</v>
      </c>
      <c r="E41042" s="2">
        <v>0</v>
      </c>
      <c r="F41042" s="2">
        <v>2.9604524992435999E-7</v>
      </c>
    </row>
    <row r="41043" spans="1:6" x14ac:dyDescent="0.25">
      <c r="A41043" s="1" t="str">
        <f t="shared" si="1445"/>
        <v>99999</v>
      </c>
      <c r="B41043" s="1" t="str">
        <f>"99561"</f>
        <v>99561</v>
      </c>
      <c r="C41043" s="2">
        <v>1.08260890558416E-7</v>
      </c>
      <c r="D41043" s="2">
        <v>0</v>
      </c>
      <c r="E41043" s="2">
        <v>4.3010567696482999E-6</v>
      </c>
      <c r="F41043" s="2">
        <v>1.9736349994957301E-7</v>
      </c>
    </row>
    <row r="41044" spans="1:6" x14ac:dyDescent="0.25">
      <c r="A41044" s="1" t="str">
        <f t="shared" si="1445"/>
        <v>99999</v>
      </c>
      <c r="B41044" s="1" t="str">
        <f>"52201"</f>
        <v>52201</v>
      </c>
      <c r="C41044" s="2">
        <v>4.3304356223366401E-7</v>
      </c>
      <c r="D41044" s="2">
        <v>0</v>
      </c>
      <c r="E41044" s="2">
        <v>0</v>
      </c>
      <c r="F41044" s="2">
        <v>3.9472699989914697E-7</v>
      </c>
    </row>
    <row r="41045" spans="1:6" x14ac:dyDescent="0.25">
      <c r="A41045" s="1" t="str">
        <f t="shared" si="1445"/>
        <v>99999</v>
      </c>
      <c r="B41045" s="1" t="str">
        <f>"54838"</f>
        <v>54838</v>
      </c>
      <c r="C41045" s="2">
        <v>6.9286969957386301E-6</v>
      </c>
      <c r="D41045" s="2">
        <v>0</v>
      </c>
      <c r="E41045" s="2">
        <v>0</v>
      </c>
      <c r="F41045" s="2">
        <v>6.3156319983863499E-6</v>
      </c>
    </row>
    <row r="41046" spans="1:6" x14ac:dyDescent="0.25">
      <c r="A41046" s="1" t="str">
        <f t="shared" si="1445"/>
        <v>99999</v>
      </c>
      <c r="B41046" s="1" t="str">
        <f>"63023"</f>
        <v>63023</v>
      </c>
      <c r="C41046" s="2">
        <v>3.2478267167524802E-7</v>
      </c>
      <c r="D41046" s="2">
        <v>0</v>
      </c>
      <c r="E41046" s="2">
        <v>0</v>
      </c>
      <c r="F41046" s="2">
        <v>2.9604524992435999E-7</v>
      </c>
    </row>
    <row r="41047" spans="1:6" x14ac:dyDescent="0.25">
      <c r="A41047" s="1" t="str">
        <f t="shared" si="1445"/>
        <v>99999</v>
      </c>
      <c r="B41047" s="1" t="str">
        <f>"72416"</f>
        <v>72416</v>
      </c>
      <c r="C41047" s="2">
        <v>3.2478267167524802E-7</v>
      </c>
      <c r="D41047" s="2">
        <v>0</v>
      </c>
      <c r="E41047" s="2">
        <v>0</v>
      </c>
      <c r="F41047" s="2">
        <v>2.9604524992435999E-7</v>
      </c>
    </row>
    <row r="41048" spans="1:6" x14ac:dyDescent="0.25">
      <c r="A41048" s="1" t="str">
        <f t="shared" si="1445"/>
        <v>99999</v>
      </c>
      <c r="B41048" s="1" t="str">
        <f>"83867"</f>
        <v>83867</v>
      </c>
      <c r="C41048" s="2">
        <v>0</v>
      </c>
      <c r="D41048" s="2">
        <v>0</v>
      </c>
      <c r="E41048" s="2">
        <v>6.8816908314372799E-5</v>
      </c>
      <c r="F41048" s="2">
        <v>1.5789079995965801E-6</v>
      </c>
    </row>
    <row r="41049" spans="1:6" x14ac:dyDescent="0.25">
      <c r="A41049" s="1" t="str">
        <f t="shared" si="1445"/>
        <v>99999</v>
      </c>
      <c r="B41049" s="1" t="str">
        <f>"56054"</f>
        <v>56054</v>
      </c>
      <c r="C41049" s="2">
        <v>2.49000048284357E-6</v>
      </c>
      <c r="D41049" s="2">
        <v>0</v>
      </c>
      <c r="E41049" s="2">
        <v>0</v>
      </c>
      <c r="F41049" s="2">
        <v>2.2696802494200901E-6</v>
      </c>
    </row>
    <row r="41050" spans="1:6" x14ac:dyDescent="0.25">
      <c r="A41050" s="1" t="str">
        <f t="shared" si="1445"/>
        <v>99999</v>
      </c>
      <c r="B41050" s="1" t="str">
        <f>"58716"</f>
        <v>58716</v>
      </c>
      <c r="C41050" s="2">
        <v>6.1708707618297202E-6</v>
      </c>
      <c r="D41050" s="2">
        <v>0</v>
      </c>
      <c r="E41050" s="2">
        <v>4.3010567696482999E-6</v>
      </c>
      <c r="F41050" s="2">
        <v>5.7235414985376303E-6</v>
      </c>
    </row>
    <row r="41051" spans="1:6" x14ac:dyDescent="0.25">
      <c r="A41051" s="1" t="str">
        <f t="shared" si="1445"/>
        <v>99999</v>
      </c>
      <c r="B41051" s="1" t="str">
        <f>"59244"</f>
        <v>59244</v>
      </c>
      <c r="C41051" s="2">
        <v>7.6865232296475401E-6</v>
      </c>
      <c r="D41051" s="2">
        <v>0</v>
      </c>
      <c r="E41051" s="2">
        <v>4.3010567696482999E-6</v>
      </c>
      <c r="F41051" s="2">
        <v>7.10508599818465E-6</v>
      </c>
    </row>
    <row r="41052" spans="1:6" x14ac:dyDescent="0.25">
      <c r="A41052" s="1" t="str">
        <f t="shared" si="1445"/>
        <v>99999</v>
      </c>
      <c r="B41052" s="1" t="str">
        <f>"58224"</f>
        <v>58224</v>
      </c>
      <c r="C41052" s="2">
        <v>3.46434849786931E-6</v>
      </c>
      <c r="D41052" s="2">
        <v>4.5171266858293203E-6</v>
      </c>
      <c r="E41052" s="2">
        <v>4.3010567696482999E-6</v>
      </c>
      <c r="F41052" s="2">
        <v>3.5525429990923199E-6</v>
      </c>
    </row>
    <row r="41053" spans="1:6" x14ac:dyDescent="0.25">
      <c r="A41053" s="1" t="str">
        <f t="shared" si="1445"/>
        <v>99999</v>
      </c>
      <c r="B41053" s="1" t="str">
        <f>"72933"</f>
        <v>72933</v>
      </c>
      <c r="C41053" s="2">
        <v>1.9486960300514902E-6</v>
      </c>
      <c r="D41053" s="2">
        <v>0</v>
      </c>
      <c r="E41053" s="2">
        <v>0</v>
      </c>
      <c r="F41053" s="2">
        <v>1.77627149954616E-6</v>
      </c>
    </row>
    <row r="41054" spans="1:6" x14ac:dyDescent="0.25">
      <c r="A41054" s="1" t="str">
        <f t="shared" si="1445"/>
        <v>99999</v>
      </c>
      <c r="B41054" s="1" t="str">
        <f>"84643"</f>
        <v>84643</v>
      </c>
      <c r="C41054" s="2">
        <v>1.0826089055841599E-6</v>
      </c>
      <c r="D41054" s="2">
        <v>0</v>
      </c>
      <c r="E41054" s="2">
        <v>8.6021135392965999E-6</v>
      </c>
      <c r="F41054" s="2">
        <v>1.18418099969744E-6</v>
      </c>
    </row>
    <row r="41055" spans="1:6" x14ac:dyDescent="0.25">
      <c r="A41055" s="1" t="str">
        <f t="shared" si="1445"/>
        <v>99999</v>
      </c>
      <c r="B41055" s="1" t="str">
        <f>"96135"</f>
        <v>96135</v>
      </c>
      <c r="C41055" s="2">
        <v>0</v>
      </c>
      <c r="D41055" s="2">
        <v>0</v>
      </c>
      <c r="E41055" s="2">
        <v>4.3010567696482999E-6</v>
      </c>
      <c r="F41055" s="2">
        <v>9.8681749974786797E-8</v>
      </c>
    </row>
    <row r="41056" spans="1:6" x14ac:dyDescent="0.25">
      <c r="A41056" s="1" t="str">
        <f t="shared" si="1445"/>
        <v>99999</v>
      </c>
      <c r="B41056" s="1" t="str">
        <f>"95568"</f>
        <v>95568</v>
      </c>
      <c r="C41056" s="2">
        <v>1.8837394957164399E-5</v>
      </c>
      <c r="D41056" s="2">
        <v>7.5285444763821999E-6</v>
      </c>
      <c r="E41056" s="2">
        <v>4.3010567696482999E-6</v>
      </c>
      <c r="F41056" s="2">
        <v>1.77627149954616E-5</v>
      </c>
    </row>
    <row r="41057" spans="1:6" x14ac:dyDescent="0.25">
      <c r="A41057" s="1" t="str">
        <f t="shared" si="1445"/>
        <v>99999</v>
      </c>
      <c r="B41057" s="1" t="str">
        <f>"83868"</f>
        <v>83868</v>
      </c>
      <c r="C41057" s="2">
        <v>4.98000096568714E-6</v>
      </c>
      <c r="D41057" s="2">
        <v>0</v>
      </c>
      <c r="E41057" s="2">
        <v>4.3010567696482999E-6</v>
      </c>
      <c r="F41057" s="2">
        <v>4.6380422488149798E-6</v>
      </c>
    </row>
    <row r="41058" spans="1:6" x14ac:dyDescent="0.25">
      <c r="A41058" s="1" t="str">
        <f t="shared" si="1445"/>
        <v>99999</v>
      </c>
      <c r="B41058" s="1" t="str">
        <f>"99826"</f>
        <v>99826</v>
      </c>
      <c r="C41058" s="2">
        <v>2.1652178111683201E-7</v>
      </c>
      <c r="D41058" s="2">
        <v>0</v>
      </c>
      <c r="E41058" s="2">
        <v>4.3010567696482999E-6</v>
      </c>
      <c r="F41058" s="2">
        <v>2.9604524992435999E-7</v>
      </c>
    </row>
    <row r="41059" spans="1:6" x14ac:dyDescent="0.25">
      <c r="A41059" s="1" t="str">
        <f t="shared" si="1445"/>
        <v>99999</v>
      </c>
      <c r="B41059" s="1" t="str">
        <f>"12427"</f>
        <v>12427</v>
      </c>
      <c r="C41059" s="2">
        <v>1.33160895386851E-5</v>
      </c>
      <c r="D41059" s="2">
        <v>6.0228355811057601E-6</v>
      </c>
      <c r="E41059" s="2">
        <v>4.3010567696482999E-6</v>
      </c>
      <c r="F41059" s="2">
        <v>1.26312639967727E-5</v>
      </c>
    </row>
    <row r="41060" spans="1:6" x14ac:dyDescent="0.25">
      <c r="A41060" s="1" t="str">
        <f t="shared" si="1445"/>
        <v>99999</v>
      </c>
      <c r="B41060" s="1" t="str">
        <f>"24271"</f>
        <v>24271</v>
      </c>
      <c r="C41060" s="2">
        <v>1.7321742489346499E-6</v>
      </c>
      <c r="D41060" s="2">
        <v>0</v>
      </c>
      <c r="E41060" s="2">
        <v>0</v>
      </c>
      <c r="F41060" s="2">
        <v>1.5789079995965801E-6</v>
      </c>
    </row>
    <row r="41061" spans="1:6" x14ac:dyDescent="0.25">
      <c r="A41061" s="1" t="str">
        <f t="shared" si="1445"/>
        <v>99999</v>
      </c>
      <c r="B41061" s="1" t="str">
        <f>"36913"</f>
        <v>36913</v>
      </c>
      <c r="C41061" s="2">
        <v>2.9230440450772301E-6</v>
      </c>
      <c r="D41061" s="2">
        <v>4.5171266858293203E-6</v>
      </c>
      <c r="E41061" s="2">
        <v>0</v>
      </c>
      <c r="F41061" s="2">
        <v>2.9604524992435999E-6</v>
      </c>
    </row>
    <row r="41062" spans="1:6" x14ac:dyDescent="0.25">
      <c r="A41062" s="1" t="str">
        <f t="shared" si="1445"/>
        <v>99999</v>
      </c>
      <c r="B41062" s="1" t="str">
        <f>"41607"</f>
        <v>41607</v>
      </c>
      <c r="C41062" s="2">
        <v>1.49400028970614E-5</v>
      </c>
      <c r="D41062" s="2">
        <v>1.50570889527644E-6</v>
      </c>
      <c r="E41062" s="2">
        <v>1.29031703089449E-5</v>
      </c>
      <c r="F41062" s="2">
        <v>1.4012808496419701E-5</v>
      </c>
    </row>
    <row r="41063" spans="1:6" x14ac:dyDescent="0.25">
      <c r="A41063" s="1" t="str">
        <f t="shared" si="1445"/>
        <v>99999</v>
      </c>
      <c r="B41063" s="1" t="str">
        <f>"41619"</f>
        <v>41619</v>
      </c>
      <c r="C41063" s="2">
        <v>2.2085221673916801E-5</v>
      </c>
      <c r="D41063" s="2">
        <v>1.50570889527644E-6</v>
      </c>
      <c r="E41063" s="2">
        <v>1.29031703089449E-5</v>
      </c>
      <c r="F41063" s="2">
        <v>2.0525803994755599E-5</v>
      </c>
    </row>
    <row r="41064" spans="1:6" x14ac:dyDescent="0.25">
      <c r="A41064" s="1" t="str">
        <f t="shared" si="1445"/>
        <v>99999</v>
      </c>
      <c r="B41064" s="1" t="str">
        <f>"41835"</f>
        <v>41835</v>
      </c>
      <c r="C41064" s="2">
        <v>2.5874352843461398E-5</v>
      </c>
      <c r="D41064" s="2">
        <v>3.01141779055288E-6</v>
      </c>
      <c r="E41064" s="2">
        <v>1.29031703089449E-5</v>
      </c>
      <c r="F41064" s="2">
        <v>2.4078346993847899E-5</v>
      </c>
    </row>
    <row r="41065" spans="1:6" x14ac:dyDescent="0.25">
      <c r="A41065" s="1" t="str">
        <f t="shared" si="1445"/>
        <v>99999</v>
      </c>
      <c r="B41065" s="1" t="str">
        <f>"46978"</f>
        <v>46978</v>
      </c>
      <c r="C41065" s="2">
        <v>4.1139138412198104E-6</v>
      </c>
      <c r="D41065" s="2">
        <v>4.5171266858293203E-6</v>
      </c>
      <c r="E41065" s="2">
        <v>0</v>
      </c>
      <c r="F41065" s="2">
        <v>4.0459517489662501E-6</v>
      </c>
    </row>
    <row r="41066" spans="1:6" x14ac:dyDescent="0.25">
      <c r="A41066" s="1" t="str">
        <f t="shared" si="1445"/>
        <v>99999</v>
      </c>
      <c r="B41066" s="1" t="str">
        <f>"51432"</f>
        <v>51432</v>
      </c>
      <c r="C41066" s="2">
        <v>2.9230440450772301E-6</v>
      </c>
      <c r="D41066" s="2">
        <v>1.50570889527644E-6</v>
      </c>
      <c r="E41066" s="2">
        <v>4.3010567696482999E-6</v>
      </c>
      <c r="F41066" s="2">
        <v>2.8617707492688101E-6</v>
      </c>
    </row>
    <row r="41067" spans="1:6" x14ac:dyDescent="0.25">
      <c r="A41067" s="1" t="str">
        <f t="shared" si="1445"/>
        <v>99999</v>
      </c>
      <c r="B41067" s="1" t="str">
        <f>"56091"</f>
        <v>56091</v>
      </c>
      <c r="C41067" s="2">
        <v>8.3360885729980396E-6</v>
      </c>
      <c r="D41067" s="2">
        <v>4.5171266858293203E-6</v>
      </c>
      <c r="E41067" s="2">
        <v>4.3010567696482999E-6</v>
      </c>
      <c r="F41067" s="2">
        <v>7.9932217479577302E-6</v>
      </c>
    </row>
    <row r="41068" spans="1:6" x14ac:dyDescent="0.25">
      <c r="A41068" s="1" t="str">
        <f t="shared" si="1445"/>
        <v>99999</v>
      </c>
      <c r="B41068" s="1" t="str">
        <f>"57756"</f>
        <v>57756</v>
      </c>
      <c r="C41068" s="2">
        <v>3.7674789914328797E-5</v>
      </c>
      <c r="D41068" s="2">
        <v>0</v>
      </c>
      <c r="E41068" s="2">
        <v>8.6021135392965999E-6</v>
      </c>
      <c r="F41068" s="2">
        <v>3.4538612491175298E-5</v>
      </c>
    </row>
    <row r="41069" spans="1:6" x14ac:dyDescent="0.25">
      <c r="A41069" s="1" t="str">
        <f t="shared" si="1445"/>
        <v>99999</v>
      </c>
      <c r="B41069" s="1" t="str">
        <f>"59848"</f>
        <v>59848</v>
      </c>
      <c r="C41069" s="2">
        <v>6.8204361051802096E-6</v>
      </c>
      <c r="D41069" s="2">
        <v>0</v>
      </c>
      <c r="E41069" s="2">
        <v>4.3010567696482999E-6</v>
      </c>
      <c r="F41069" s="2">
        <v>6.3156319983863499E-6</v>
      </c>
    </row>
    <row r="41070" spans="1:6" x14ac:dyDescent="0.25">
      <c r="A41070" s="1" t="str">
        <f t="shared" si="1445"/>
        <v>99999</v>
      </c>
      <c r="B41070" s="1" t="str">
        <f>"58779"</f>
        <v>58779</v>
      </c>
      <c r="C41070" s="2">
        <v>9.2021756974653701E-6</v>
      </c>
      <c r="D41070" s="2">
        <v>3.01141779055288E-6</v>
      </c>
      <c r="E41070" s="2">
        <v>0</v>
      </c>
      <c r="F41070" s="2">
        <v>8.5853122478064497E-6</v>
      </c>
    </row>
    <row r="41071" spans="1:6" x14ac:dyDescent="0.25">
      <c r="A41071" s="1" t="str">
        <f t="shared" si="1445"/>
        <v>99999</v>
      </c>
      <c r="B41071" s="1" t="str">
        <f>"59276"</f>
        <v>59276</v>
      </c>
      <c r="C41071" s="2">
        <v>8.6608712446732898E-7</v>
      </c>
      <c r="D41071" s="2">
        <v>0</v>
      </c>
      <c r="E41071" s="2">
        <v>1.29031703089449E-5</v>
      </c>
      <c r="F41071" s="2">
        <v>1.0854992497226499E-6</v>
      </c>
    </row>
    <row r="41072" spans="1:6" x14ac:dyDescent="0.25">
      <c r="A41072" s="1" t="str">
        <f t="shared" si="1445"/>
        <v>99999</v>
      </c>
      <c r="B41072" s="1" t="str">
        <f>"74530"</f>
        <v>74530</v>
      </c>
      <c r="C41072" s="2">
        <v>6.49565343350497E-7</v>
      </c>
      <c r="D41072" s="2">
        <v>0</v>
      </c>
      <c r="E41072" s="2">
        <v>4.3010567696482999E-6</v>
      </c>
      <c r="F41072" s="2">
        <v>6.9077224982350697E-7</v>
      </c>
    </row>
    <row r="41073" spans="1:6" x14ac:dyDescent="0.25">
      <c r="A41073" s="1" t="str">
        <f t="shared" si="1445"/>
        <v>99999</v>
      </c>
      <c r="B41073" s="1" t="str">
        <f>"74836"</f>
        <v>74836</v>
      </c>
      <c r="C41073" s="2">
        <v>1.08260890558416E-7</v>
      </c>
      <c r="D41073" s="2">
        <v>0</v>
      </c>
      <c r="E41073" s="2">
        <v>4.3010567696482999E-6</v>
      </c>
      <c r="F41073" s="2">
        <v>1.9736349994957301E-7</v>
      </c>
    </row>
    <row r="41074" spans="1:6" x14ac:dyDescent="0.25">
      <c r="A41074" s="1" t="str">
        <f t="shared" si="1445"/>
        <v>99999</v>
      </c>
      <c r="B41074" s="1" t="str">
        <f>"79789"</f>
        <v>79789</v>
      </c>
      <c r="C41074" s="2">
        <v>3.2478267167524802E-7</v>
      </c>
      <c r="D41074" s="2">
        <v>4.5171266858293203E-6</v>
      </c>
      <c r="E41074" s="2">
        <v>0</v>
      </c>
      <c r="F41074" s="2">
        <v>5.9209049984871999E-7</v>
      </c>
    </row>
    <row r="41075" spans="1:6" x14ac:dyDescent="0.25">
      <c r="A41075" s="1" t="str">
        <f t="shared" si="1445"/>
        <v>99999</v>
      </c>
      <c r="B41075" s="1" t="str">
        <f>"87728"</f>
        <v>87728</v>
      </c>
      <c r="C41075" s="2">
        <v>9.3104365880237906E-6</v>
      </c>
      <c r="D41075" s="2">
        <v>0</v>
      </c>
      <c r="E41075" s="2">
        <v>8.6021135392965999E-6</v>
      </c>
      <c r="F41075" s="2">
        <v>8.6839939977812298E-6</v>
      </c>
    </row>
    <row r="41076" spans="1:6" x14ac:dyDescent="0.25">
      <c r="A41076" s="1" t="str">
        <f t="shared" si="1445"/>
        <v>99999</v>
      </c>
      <c r="B41076" s="1" t="str">
        <f>"96133"</f>
        <v>96133</v>
      </c>
      <c r="C41076" s="2">
        <v>6.1708707618297202E-6</v>
      </c>
      <c r="D41076" s="2">
        <v>1.0539962266935E-5</v>
      </c>
      <c r="E41076" s="2">
        <v>8.6021135392965999E-6</v>
      </c>
      <c r="F41076" s="2">
        <v>6.5129954983359203E-6</v>
      </c>
    </row>
    <row r="41077" spans="1:6" x14ac:dyDescent="0.25">
      <c r="A41077" s="1" t="str">
        <f t="shared" si="1445"/>
        <v>99999</v>
      </c>
      <c r="B41077" s="1" t="str">
        <f>"93522"</f>
        <v>93522</v>
      </c>
      <c r="C41077" s="2">
        <v>0</v>
      </c>
      <c r="D41077" s="2">
        <v>3.01141779055288E-6</v>
      </c>
      <c r="E41077" s="2">
        <v>0</v>
      </c>
      <c r="F41077" s="2">
        <v>1.9736349994957301E-7</v>
      </c>
    </row>
    <row r="41078" spans="1:6" x14ac:dyDescent="0.25">
      <c r="A41078" s="1" t="str">
        <f t="shared" si="1445"/>
        <v>99999</v>
      </c>
      <c r="B41078" s="1" t="str">
        <f>"99605"</f>
        <v>99605</v>
      </c>
      <c r="C41078" s="2">
        <v>1.51565246781782E-6</v>
      </c>
      <c r="D41078" s="2">
        <v>1.50570889527644E-6</v>
      </c>
      <c r="E41078" s="2">
        <v>4.3010567696482999E-6</v>
      </c>
      <c r="F41078" s="2">
        <v>1.5789079995965801E-6</v>
      </c>
    </row>
    <row r="41079" spans="1:6" x14ac:dyDescent="0.25">
      <c r="A41079" s="1" t="str">
        <f t="shared" si="1445"/>
        <v>99999</v>
      </c>
      <c r="B41079" s="1" t="str">
        <f>"03226"</f>
        <v>03226</v>
      </c>
      <c r="C41079" s="2">
        <v>3.2478267167524802E-7</v>
      </c>
      <c r="D41079" s="2">
        <v>0</v>
      </c>
      <c r="E41079" s="2">
        <v>0</v>
      </c>
      <c r="F41079" s="2">
        <v>2.9604524992435999E-7</v>
      </c>
    </row>
    <row r="41080" spans="1:6" x14ac:dyDescent="0.25">
      <c r="A41080" s="1" t="str">
        <f t="shared" si="1445"/>
        <v>99999</v>
      </c>
      <c r="B41080" s="1" t="str">
        <f>"12469"</f>
        <v>12469</v>
      </c>
      <c r="C41080" s="2">
        <v>3.7891311695445602E-6</v>
      </c>
      <c r="D41080" s="2">
        <v>0</v>
      </c>
      <c r="E41080" s="2">
        <v>0</v>
      </c>
      <c r="F41080" s="2">
        <v>3.4538612491175301E-6</v>
      </c>
    </row>
    <row r="41081" spans="1:6" x14ac:dyDescent="0.25">
      <c r="A41081" s="1" t="str">
        <f t="shared" si="1445"/>
        <v>99999</v>
      </c>
      <c r="B41081" s="1" t="str">
        <f>"25617"</f>
        <v>25617</v>
      </c>
      <c r="C41081" s="2">
        <v>2.3817395922851499E-6</v>
      </c>
      <c r="D41081" s="2">
        <v>0</v>
      </c>
      <c r="E41081" s="2">
        <v>0</v>
      </c>
      <c r="F41081" s="2">
        <v>2.1709984994452998E-6</v>
      </c>
    </row>
    <row r="41082" spans="1:6" x14ac:dyDescent="0.25">
      <c r="A41082" s="1" t="str">
        <f t="shared" si="1445"/>
        <v>99999</v>
      </c>
      <c r="B41082" s="1" t="str">
        <f>"28605"</f>
        <v>28605</v>
      </c>
      <c r="C41082" s="2">
        <v>4.98000096568714E-6</v>
      </c>
      <c r="D41082" s="2">
        <v>0</v>
      </c>
      <c r="E41082" s="2">
        <v>0</v>
      </c>
      <c r="F41082" s="2">
        <v>4.5393604988401904E-6</v>
      </c>
    </row>
    <row r="41083" spans="1:6" x14ac:dyDescent="0.25">
      <c r="A41083" s="1" t="str">
        <f t="shared" si="1445"/>
        <v>99999</v>
      </c>
      <c r="B41083" s="1" t="str">
        <f>"35579"</f>
        <v>35579</v>
      </c>
      <c r="C41083" s="2">
        <v>1.08260890558416E-7</v>
      </c>
      <c r="D41083" s="2">
        <v>0</v>
      </c>
      <c r="E41083" s="2">
        <v>0</v>
      </c>
      <c r="F41083" s="2">
        <v>9.8681749974786797E-8</v>
      </c>
    </row>
    <row r="41084" spans="1:6" x14ac:dyDescent="0.25">
      <c r="A41084" s="1" t="str">
        <f t="shared" si="1445"/>
        <v>99999</v>
      </c>
      <c r="B41084" s="1" t="str">
        <f>"42003"</f>
        <v>42003</v>
      </c>
      <c r="C41084" s="2">
        <v>3.2478267167524799E-6</v>
      </c>
      <c r="D41084" s="2">
        <v>0</v>
      </c>
      <c r="E41084" s="2">
        <v>0</v>
      </c>
      <c r="F41084" s="2">
        <v>2.9604524992435999E-6</v>
      </c>
    </row>
    <row r="41085" spans="1:6" x14ac:dyDescent="0.25">
      <c r="A41085" s="1" t="str">
        <f t="shared" si="1445"/>
        <v>99999</v>
      </c>
      <c r="B41085" s="1" t="str">
        <f>"45309"</f>
        <v>45309</v>
      </c>
      <c r="C41085" s="2">
        <v>3.7891311695445602E-6</v>
      </c>
      <c r="D41085" s="2">
        <v>1.50570889527644E-6</v>
      </c>
      <c r="E41085" s="2">
        <v>0</v>
      </c>
      <c r="F41085" s="2">
        <v>3.5525429990923199E-6</v>
      </c>
    </row>
    <row r="41086" spans="1:6" x14ac:dyDescent="0.25">
      <c r="A41086" s="1" t="str">
        <f t="shared" si="1445"/>
        <v>99999</v>
      </c>
      <c r="B41086" s="1" t="str">
        <f>"50059"</f>
        <v>50059</v>
      </c>
      <c r="C41086" s="2">
        <v>1.51565246781782E-6</v>
      </c>
      <c r="D41086" s="2">
        <v>1.50570889527644E-5</v>
      </c>
      <c r="E41086" s="2">
        <v>1.72042270785932E-5</v>
      </c>
      <c r="F41086" s="2">
        <v>2.76308899929403E-6</v>
      </c>
    </row>
    <row r="41087" spans="1:6" x14ac:dyDescent="0.25">
      <c r="A41087" s="1" t="str">
        <f t="shared" si="1445"/>
        <v>99999</v>
      </c>
      <c r="B41087" s="1" t="str">
        <f>"56716"</f>
        <v>56716</v>
      </c>
      <c r="C41087" s="2">
        <v>1.4073915772594101E-6</v>
      </c>
      <c r="D41087" s="2">
        <v>1.50570889527644E-6</v>
      </c>
      <c r="E41087" s="2">
        <v>0</v>
      </c>
      <c r="F41087" s="2">
        <v>1.3815444996470099E-6</v>
      </c>
    </row>
    <row r="41088" spans="1:6" x14ac:dyDescent="0.25">
      <c r="A41088" s="1" t="str">
        <f t="shared" si="1445"/>
        <v>99999</v>
      </c>
      <c r="B41088" s="1" t="str">
        <f>"58277"</f>
        <v>58277</v>
      </c>
      <c r="C41088" s="2">
        <v>1.23417415236594E-5</v>
      </c>
      <c r="D41088" s="2">
        <v>0</v>
      </c>
      <c r="E41088" s="2">
        <v>4.3010567696482999E-6</v>
      </c>
      <c r="F41088" s="2">
        <v>1.1348401247100399E-5</v>
      </c>
    </row>
    <row r="41089" spans="1:6" x14ac:dyDescent="0.25">
      <c r="A41089" s="1" t="str">
        <f t="shared" si="1445"/>
        <v>99999</v>
      </c>
      <c r="B41089" s="1" t="str">
        <f>"63440"</f>
        <v>63440</v>
      </c>
      <c r="C41089" s="2">
        <v>1.0826089055841599E-6</v>
      </c>
      <c r="D41089" s="2">
        <v>0</v>
      </c>
      <c r="E41089" s="2">
        <v>0</v>
      </c>
      <c r="F41089" s="2">
        <v>9.8681749974786791E-7</v>
      </c>
    </row>
    <row r="41090" spans="1:6" x14ac:dyDescent="0.25">
      <c r="A41090" s="1" t="str">
        <f t="shared" si="1445"/>
        <v>99999</v>
      </c>
      <c r="B41090" s="1" t="str">
        <f>"67459"</f>
        <v>67459</v>
      </c>
      <c r="C41090" s="2">
        <v>1.2233480633101E-5</v>
      </c>
      <c r="D41090" s="2">
        <v>4.0654140172463799E-5</v>
      </c>
      <c r="E41090" s="2">
        <v>0</v>
      </c>
      <c r="F41090" s="2">
        <v>1.38154449964701E-5</v>
      </c>
    </row>
    <row r="41091" spans="1:6" x14ac:dyDescent="0.25">
      <c r="A41091" s="1" t="str">
        <f t="shared" si="1445"/>
        <v>99999</v>
      </c>
      <c r="B41091" s="1" t="str">
        <f>"96038"</f>
        <v>96038</v>
      </c>
      <c r="C41091" s="2">
        <v>1.39656548820356E-5</v>
      </c>
      <c r="D41091" s="2">
        <v>3.01141779055288E-6</v>
      </c>
      <c r="E41091" s="2">
        <v>4.3010567696482999E-6</v>
      </c>
      <c r="F41091" s="2">
        <v>1.30259909966718E-5</v>
      </c>
    </row>
    <row r="41092" spans="1:6" x14ac:dyDescent="0.25">
      <c r="A41092" s="1" t="str">
        <f t="shared" si="1445"/>
        <v>99999</v>
      </c>
      <c r="B41092" s="1" t="str">
        <f>"39328"</f>
        <v>39328</v>
      </c>
      <c r="C41092" s="2">
        <v>2.1652178111683201E-7</v>
      </c>
      <c r="D41092" s="2">
        <v>0</v>
      </c>
      <c r="E41092" s="2">
        <v>0</v>
      </c>
      <c r="F41092" s="2">
        <v>1.9736349994957301E-7</v>
      </c>
    </row>
    <row r="41093" spans="1:6" x14ac:dyDescent="0.25">
      <c r="A41093" s="1" t="str">
        <f t="shared" si="1445"/>
        <v>99999</v>
      </c>
      <c r="B41093" s="1" t="str">
        <f>"48613"</f>
        <v>48613</v>
      </c>
      <c r="C41093" s="2">
        <v>6.1708707618297202E-6</v>
      </c>
      <c r="D41093" s="2">
        <v>3.01141779055288E-6</v>
      </c>
      <c r="E41093" s="2">
        <v>0</v>
      </c>
      <c r="F41093" s="2">
        <v>5.8222232485124198E-6</v>
      </c>
    </row>
    <row r="41094" spans="1:6" x14ac:dyDescent="0.25">
      <c r="A41094" s="1" t="str">
        <f t="shared" ref="A41094:A41157" si="1446">"99999"</f>
        <v>99999</v>
      </c>
      <c r="B41094" s="1" t="str">
        <f>"56289"</f>
        <v>56289</v>
      </c>
      <c r="C41094" s="2">
        <v>5.95434898071288E-6</v>
      </c>
      <c r="D41094" s="2">
        <v>1.50570889527644E-6</v>
      </c>
      <c r="E41094" s="2">
        <v>0</v>
      </c>
      <c r="F41094" s="2">
        <v>5.52617799858806E-6</v>
      </c>
    </row>
    <row r="41095" spans="1:6" x14ac:dyDescent="0.25">
      <c r="A41095" s="1" t="str">
        <f t="shared" si="1446"/>
        <v>99999</v>
      </c>
      <c r="B41095" s="1" t="str">
        <f>"59273"</f>
        <v>59273</v>
      </c>
      <c r="C41095" s="2">
        <v>1.1908697961425701E-6</v>
      </c>
      <c r="D41095" s="2">
        <v>0</v>
      </c>
      <c r="E41095" s="2">
        <v>4.3010567696482999E-6</v>
      </c>
      <c r="F41095" s="2">
        <v>1.18418099969744E-6</v>
      </c>
    </row>
    <row r="41096" spans="1:6" x14ac:dyDescent="0.25">
      <c r="A41096" s="1" t="str">
        <f t="shared" si="1446"/>
        <v>99999</v>
      </c>
      <c r="B41096" s="1" t="str">
        <f>"65001"</f>
        <v>65001</v>
      </c>
      <c r="C41096" s="2">
        <v>5.4130445279208001E-6</v>
      </c>
      <c r="D41096" s="2">
        <v>0</v>
      </c>
      <c r="E41096" s="2">
        <v>0</v>
      </c>
      <c r="F41096" s="2">
        <v>4.9340874987393404E-6</v>
      </c>
    </row>
    <row r="41097" spans="1:6" x14ac:dyDescent="0.25">
      <c r="A41097" s="1" t="str">
        <f t="shared" si="1446"/>
        <v>99999</v>
      </c>
      <c r="B41097" s="1" t="str">
        <f>"67846"</f>
        <v>67846</v>
      </c>
      <c r="C41097" s="2">
        <v>1.4073915772594101E-6</v>
      </c>
      <c r="D41097" s="2">
        <v>3.01141779055288E-6</v>
      </c>
      <c r="E41097" s="2">
        <v>4.3010567696482999E-6</v>
      </c>
      <c r="F41097" s="2">
        <v>1.5789079995965801E-6</v>
      </c>
    </row>
    <row r="41098" spans="1:6" x14ac:dyDescent="0.25">
      <c r="A41098" s="1" t="str">
        <f t="shared" si="1446"/>
        <v>99999</v>
      </c>
      <c r="B41098" s="1" t="str">
        <f>"74640"</f>
        <v>74640</v>
      </c>
      <c r="C41098" s="2">
        <v>1.62391335837624E-6</v>
      </c>
      <c r="D41098" s="2">
        <v>0</v>
      </c>
      <c r="E41098" s="2">
        <v>0</v>
      </c>
      <c r="F41098" s="2">
        <v>1.4802262496218E-6</v>
      </c>
    </row>
    <row r="41099" spans="1:6" x14ac:dyDescent="0.25">
      <c r="A41099" s="1" t="str">
        <f t="shared" si="1446"/>
        <v>99999</v>
      </c>
      <c r="B41099" s="1" t="str">
        <f>"78021"</f>
        <v>78021</v>
      </c>
      <c r="C41099" s="2">
        <v>1.4073915772594101E-6</v>
      </c>
      <c r="D41099" s="2">
        <v>1.50570889527644E-6</v>
      </c>
      <c r="E41099" s="2">
        <v>3.44084541571864E-5</v>
      </c>
      <c r="F41099" s="2">
        <v>2.1709984994452998E-6</v>
      </c>
    </row>
    <row r="41100" spans="1:6" x14ac:dyDescent="0.25">
      <c r="A41100" s="1" t="str">
        <f t="shared" si="1446"/>
        <v>99999</v>
      </c>
      <c r="B41100" s="1" t="str">
        <f>"99160"</f>
        <v>99160</v>
      </c>
      <c r="C41100" s="2">
        <v>4.5469574034534697E-6</v>
      </c>
      <c r="D41100" s="2">
        <v>1.0539962266935E-5</v>
      </c>
      <c r="E41100" s="2">
        <v>2.15052838482415E-5</v>
      </c>
      <c r="F41100" s="2">
        <v>5.3288144986384803E-6</v>
      </c>
    </row>
    <row r="41101" spans="1:6" x14ac:dyDescent="0.25">
      <c r="A41101" s="1" t="str">
        <f t="shared" si="1446"/>
        <v>99999</v>
      </c>
      <c r="B41101" s="1" t="str">
        <f>"13806"</f>
        <v>13806</v>
      </c>
      <c r="C41101" s="2">
        <v>3.8973920601029803E-6</v>
      </c>
      <c r="D41101" s="2">
        <v>0</v>
      </c>
      <c r="E41101" s="2">
        <v>4.3010567696482999E-6</v>
      </c>
      <c r="F41101" s="2">
        <v>3.6512247490671102E-6</v>
      </c>
    </row>
    <row r="41102" spans="1:6" x14ac:dyDescent="0.25">
      <c r="A41102" s="1" t="str">
        <f t="shared" si="1446"/>
        <v>99999</v>
      </c>
      <c r="B41102" s="1" t="str">
        <f>"24716"</f>
        <v>24716</v>
      </c>
      <c r="C41102" s="2">
        <v>1.08260890558416E-7</v>
      </c>
      <c r="D41102" s="2">
        <v>1.50570889527644E-6</v>
      </c>
      <c r="E41102" s="2">
        <v>0</v>
      </c>
      <c r="F41102" s="2">
        <v>1.9736349994957301E-7</v>
      </c>
    </row>
    <row r="41103" spans="1:6" x14ac:dyDescent="0.25">
      <c r="A41103" s="1" t="str">
        <f t="shared" si="1446"/>
        <v>99999</v>
      </c>
      <c r="B41103" s="1" t="str">
        <f>"37707"</f>
        <v>37707</v>
      </c>
      <c r="C41103" s="2">
        <v>0</v>
      </c>
      <c r="D41103" s="2">
        <v>0</v>
      </c>
      <c r="E41103" s="2">
        <v>4.3010567696482999E-6</v>
      </c>
      <c r="F41103" s="2">
        <v>9.8681749974786797E-8</v>
      </c>
    </row>
    <row r="41104" spans="1:6" x14ac:dyDescent="0.25">
      <c r="A41104" s="1" t="str">
        <f t="shared" si="1446"/>
        <v>99999</v>
      </c>
      <c r="B41104" s="1" t="str">
        <f>"39113"</f>
        <v>39113</v>
      </c>
      <c r="C41104" s="2">
        <v>8.6608712446732898E-7</v>
      </c>
      <c r="D41104" s="2">
        <v>7.5285444763821999E-6</v>
      </c>
      <c r="E41104" s="2">
        <v>0</v>
      </c>
      <c r="F41104" s="2">
        <v>1.2828627496722201E-6</v>
      </c>
    </row>
    <row r="41105" spans="1:6" x14ac:dyDescent="0.25">
      <c r="A41105" s="1" t="str">
        <f t="shared" si="1446"/>
        <v>99999</v>
      </c>
      <c r="B41105" s="1" t="str">
        <f>"50651"</f>
        <v>50651</v>
      </c>
      <c r="C41105" s="2">
        <v>9.7434801502574508E-7</v>
      </c>
      <c r="D41105" s="2">
        <v>1.50570889527644E-6</v>
      </c>
      <c r="E41105" s="2">
        <v>0</v>
      </c>
      <c r="F41105" s="2">
        <v>9.8681749974786791E-7</v>
      </c>
    </row>
    <row r="41106" spans="1:6" x14ac:dyDescent="0.25">
      <c r="A41106" s="1" t="str">
        <f t="shared" si="1446"/>
        <v>99999</v>
      </c>
      <c r="B41106" s="1" t="str">
        <f>"52586"</f>
        <v>52586</v>
      </c>
      <c r="C41106" s="2">
        <v>6.49565343350497E-7</v>
      </c>
      <c r="D41106" s="2">
        <v>0</v>
      </c>
      <c r="E41106" s="2">
        <v>0</v>
      </c>
      <c r="F41106" s="2">
        <v>5.9209049984871999E-7</v>
      </c>
    </row>
    <row r="41107" spans="1:6" x14ac:dyDescent="0.25">
      <c r="A41107" s="1" t="str">
        <f t="shared" si="1446"/>
        <v>99999</v>
      </c>
      <c r="B41107" s="1" t="str">
        <f>"56546"</f>
        <v>56546</v>
      </c>
      <c r="C41107" s="2">
        <v>1.08260890558416E-7</v>
      </c>
      <c r="D41107" s="2">
        <v>0</v>
      </c>
      <c r="E41107" s="2">
        <v>0</v>
      </c>
      <c r="F41107" s="2">
        <v>9.8681749974786797E-8</v>
      </c>
    </row>
    <row r="41108" spans="1:6" x14ac:dyDescent="0.25">
      <c r="A41108" s="1" t="str">
        <f t="shared" si="1446"/>
        <v>99999</v>
      </c>
      <c r="B41108" s="1" t="str">
        <f>"57428"</f>
        <v>57428</v>
      </c>
      <c r="C41108" s="2">
        <v>2.9230440450772301E-6</v>
      </c>
      <c r="D41108" s="2">
        <v>0</v>
      </c>
      <c r="E41108" s="2">
        <v>0</v>
      </c>
      <c r="F41108" s="2">
        <v>2.6644072493192401E-6</v>
      </c>
    </row>
    <row r="41109" spans="1:6" x14ac:dyDescent="0.25">
      <c r="A41109" s="1" t="str">
        <f t="shared" si="1446"/>
        <v>99999</v>
      </c>
      <c r="B41109" s="1" t="str">
        <f>"67843"</f>
        <v>67843</v>
      </c>
      <c r="C41109" s="2">
        <v>2.49000048284357E-6</v>
      </c>
      <c r="D41109" s="2">
        <v>0</v>
      </c>
      <c r="E41109" s="2">
        <v>8.6021135392965999E-6</v>
      </c>
      <c r="F41109" s="2">
        <v>2.4670437493696702E-6</v>
      </c>
    </row>
    <row r="41110" spans="1:6" x14ac:dyDescent="0.25">
      <c r="A41110" s="1" t="str">
        <f t="shared" si="1446"/>
        <v>99999</v>
      </c>
      <c r="B41110" s="1" t="str">
        <f>"73946"</f>
        <v>73946</v>
      </c>
      <c r="C41110" s="2">
        <v>4.1139138412198104E-6</v>
      </c>
      <c r="D41110" s="2">
        <v>0</v>
      </c>
      <c r="E41110" s="2">
        <v>4.3010567696482999E-6</v>
      </c>
      <c r="F41110" s="2">
        <v>3.8485882490166797E-6</v>
      </c>
    </row>
    <row r="41111" spans="1:6" x14ac:dyDescent="0.25">
      <c r="A41111" s="1" t="str">
        <f t="shared" si="1446"/>
        <v>99999</v>
      </c>
      <c r="B41111" s="1" t="str">
        <f>"75865"</f>
        <v>75865</v>
      </c>
      <c r="C41111" s="2">
        <v>5.4130445279207995E-7</v>
      </c>
      <c r="D41111" s="2">
        <v>0</v>
      </c>
      <c r="E41111" s="2">
        <v>4.3010567696482999E-6</v>
      </c>
      <c r="F41111" s="2">
        <v>5.9209049984871999E-7</v>
      </c>
    </row>
    <row r="41112" spans="1:6" x14ac:dyDescent="0.25">
      <c r="A41112" s="1" t="str">
        <f t="shared" si="1446"/>
        <v>99999</v>
      </c>
      <c r="B41112" s="1" t="str">
        <f>"75848"</f>
        <v>75848</v>
      </c>
      <c r="C41112" s="2">
        <v>1.08260890558416E-7</v>
      </c>
      <c r="D41112" s="2">
        <v>0</v>
      </c>
      <c r="E41112" s="2">
        <v>4.3010567696482999E-6</v>
      </c>
      <c r="F41112" s="2">
        <v>1.9736349994957301E-7</v>
      </c>
    </row>
    <row r="41113" spans="1:6" x14ac:dyDescent="0.25">
      <c r="A41113" s="1" t="str">
        <f t="shared" si="1446"/>
        <v>99999</v>
      </c>
      <c r="B41113" s="1" t="str">
        <f>"56566"</f>
        <v>56566</v>
      </c>
      <c r="C41113" s="2">
        <v>1.4506959334827701E-5</v>
      </c>
      <c r="D41113" s="2">
        <v>1.50570889527644E-6</v>
      </c>
      <c r="E41113" s="2">
        <v>4.3010567696482999E-5</v>
      </c>
      <c r="F41113" s="2">
        <v>1.4308853746344E-5</v>
      </c>
    </row>
    <row r="41114" spans="1:6" x14ac:dyDescent="0.25">
      <c r="A41114" s="1" t="str">
        <f t="shared" si="1446"/>
        <v>99999</v>
      </c>
      <c r="B41114" s="1" t="str">
        <f>"56087"</f>
        <v>56087</v>
      </c>
      <c r="C41114" s="2">
        <v>9.7434801502574508E-6</v>
      </c>
      <c r="D41114" s="2">
        <v>4.5171266858293203E-6</v>
      </c>
      <c r="E41114" s="2">
        <v>0</v>
      </c>
      <c r="F41114" s="2">
        <v>9.1774027476551693E-6</v>
      </c>
    </row>
    <row r="41115" spans="1:6" x14ac:dyDescent="0.25">
      <c r="A41115" s="1" t="str">
        <f t="shared" si="1446"/>
        <v>99999</v>
      </c>
      <c r="B41115" s="1" t="str">
        <f>"58016"</f>
        <v>58016</v>
      </c>
      <c r="C41115" s="2">
        <v>1.1259132618075199E-5</v>
      </c>
      <c r="D41115" s="2">
        <v>3.01141779055288E-6</v>
      </c>
      <c r="E41115" s="2">
        <v>8.6021135392965999E-6</v>
      </c>
      <c r="F41115" s="2">
        <v>1.06576289972769E-5</v>
      </c>
    </row>
    <row r="41116" spans="1:6" x14ac:dyDescent="0.25">
      <c r="A41116" s="1" t="str">
        <f t="shared" si="1446"/>
        <v>99999</v>
      </c>
      <c r="B41116" s="1" t="str">
        <f>"58734"</f>
        <v>58734</v>
      </c>
      <c r="C41116" s="2">
        <v>4.4386965128950601E-6</v>
      </c>
      <c r="D41116" s="2">
        <v>1.50570889527644E-6</v>
      </c>
      <c r="E41116" s="2">
        <v>0</v>
      </c>
      <c r="F41116" s="2">
        <v>4.1446334989410403E-6</v>
      </c>
    </row>
    <row r="41117" spans="1:6" x14ac:dyDescent="0.25">
      <c r="A41117" s="1" t="str">
        <f t="shared" si="1446"/>
        <v>99999</v>
      </c>
      <c r="B41117" s="1" t="str">
        <f>"58643"</f>
        <v>58643</v>
      </c>
      <c r="C41117" s="2">
        <v>2.1652178111683198E-6</v>
      </c>
      <c r="D41117" s="2">
        <v>4.5171266858293203E-6</v>
      </c>
      <c r="E41117" s="2">
        <v>4.3010567696482999E-6</v>
      </c>
      <c r="F41117" s="2">
        <v>2.3683619993948799E-6</v>
      </c>
    </row>
    <row r="41118" spans="1:6" x14ac:dyDescent="0.25">
      <c r="A41118" s="1" t="str">
        <f t="shared" si="1446"/>
        <v>99999</v>
      </c>
      <c r="B41118" s="1" t="str">
        <f>"59460"</f>
        <v>59460</v>
      </c>
      <c r="C41118" s="2">
        <v>6.9286969957386301E-6</v>
      </c>
      <c r="D41118" s="2">
        <v>1.50570889527644E-6</v>
      </c>
      <c r="E41118" s="2">
        <v>4.3010567696482999E-6</v>
      </c>
      <c r="F41118" s="2">
        <v>6.5129954983359203E-6</v>
      </c>
    </row>
    <row r="41119" spans="1:6" x14ac:dyDescent="0.25">
      <c r="A41119" s="1" t="str">
        <f t="shared" si="1446"/>
        <v>99999</v>
      </c>
      <c r="B41119" s="1" t="str">
        <f>"59345"</f>
        <v>59345</v>
      </c>
      <c r="C41119" s="2">
        <v>3.2478267167524799E-6</v>
      </c>
      <c r="D41119" s="2">
        <v>1.50570889527644E-6</v>
      </c>
      <c r="E41119" s="2">
        <v>0</v>
      </c>
      <c r="F41119" s="2">
        <v>3.0591342492183902E-6</v>
      </c>
    </row>
    <row r="41120" spans="1:6" x14ac:dyDescent="0.25">
      <c r="A41120" s="1" t="str">
        <f t="shared" si="1446"/>
        <v>99999</v>
      </c>
      <c r="B41120" s="1" t="str">
        <f>"59347"</f>
        <v>59347</v>
      </c>
      <c r="C41120" s="2">
        <v>1.42904375537109E-5</v>
      </c>
      <c r="D41120" s="2">
        <v>0</v>
      </c>
      <c r="E41120" s="2">
        <v>4.3010567696482999E-6</v>
      </c>
      <c r="F41120" s="2">
        <v>1.31246727466466E-5</v>
      </c>
    </row>
    <row r="41121" spans="1:6" x14ac:dyDescent="0.25">
      <c r="A41121" s="1" t="str">
        <f t="shared" si="1446"/>
        <v>99999</v>
      </c>
      <c r="B41121" s="1" t="str">
        <f>"62811"</f>
        <v>62811</v>
      </c>
      <c r="C41121" s="2">
        <v>1.39656548820356E-5</v>
      </c>
      <c r="D41121" s="2">
        <v>0</v>
      </c>
      <c r="E41121" s="2">
        <v>4.3010567696482999E-6</v>
      </c>
      <c r="F41121" s="2">
        <v>1.2828627496722201E-5</v>
      </c>
    </row>
    <row r="41122" spans="1:6" x14ac:dyDescent="0.25">
      <c r="A41122" s="1" t="str">
        <f t="shared" si="1446"/>
        <v>99999</v>
      </c>
      <c r="B41122" s="1" t="str">
        <f>"63857"</f>
        <v>63857</v>
      </c>
      <c r="C41122" s="2">
        <v>3.0313049356356498E-6</v>
      </c>
      <c r="D41122" s="2">
        <v>0</v>
      </c>
      <c r="E41122" s="2">
        <v>0</v>
      </c>
      <c r="F41122" s="2">
        <v>2.76308899929403E-6</v>
      </c>
    </row>
    <row r="41123" spans="1:6" x14ac:dyDescent="0.25">
      <c r="A41123" s="1" t="str">
        <f t="shared" si="1446"/>
        <v>99999</v>
      </c>
      <c r="B41123" s="1" t="str">
        <f>"51572"</f>
        <v>51572</v>
      </c>
      <c r="C41123" s="2">
        <v>2.5224787500110899E-5</v>
      </c>
      <c r="D41123" s="2">
        <v>6.0228355811057601E-6</v>
      </c>
      <c r="E41123" s="2">
        <v>1.29031703089449E-5</v>
      </c>
      <c r="F41123" s="2">
        <v>2.3683619993948799E-5</v>
      </c>
    </row>
    <row r="41124" spans="1:6" x14ac:dyDescent="0.25">
      <c r="A41124" s="1" t="str">
        <f t="shared" si="1446"/>
        <v>99999</v>
      </c>
      <c r="B41124" s="1" t="str">
        <f>"67438"</f>
        <v>67438</v>
      </c>
      <c r="C41124" s="2">
        <v>1.5264785568736599E-5</v>
      </c>
      <c r="D41124" s="2">
        <v>6.0228355811057601E-6</v>
      </c>
      <c r="E41124" s="2">
        <v>4.3010567696482999E-6</v>
      </c>
      <c r="F41124" s="2">
        <v>1.4407535496318799E-5</v>
      </c>
    </row>
    <row r="41125" spans="1:6" x14ac:dyDescent="0.25">
      <c r="A41125" s="1" t="str">
        <f t="shared" si="1446"/>
        <v>99999</v>
      </c>
      <c r="B41125" s="1" t="str">
        <f>"68837"</f>
        <v>68837</v>
      </c>
      <c r="C41125" s="2">
        <v>7.5782623390891297E-6</v>
      </c>
      <c r="D41125" s="2">
        <v>6.0228355811057601E-6</v>
      </c>
      <c r="E41125" s="2">
        <v>4.3010567696482999E-6</v>
      </c>
      <c r="F41125" s="2">
        <v>7.4011312481090098E-6</v>
      </c>
    </row>
    <row r="41126" spans="1:6" x14ac:dyDescent="0.25">
      <c r="A41126" s="1" t="str">
        <f t="shared" si="1446"/>
        <v>99999</v>
      </c>
      <c r="B41126" s="1" t="str">
        <f>"68332"</f>
        <v>68332</v>
      </c>
      <c r="C41126" s="2">
        <v>8.1195667918812104E-6</v>
      </c>
      <c r="D41126" s="2">
        <v>1.50570889527644E-6</v>
      </c>
      <c r="E41126" s="2">
        <v>8.6021135392965999E-6</v>
      </c>
      <c r="F41126" s="2">
        <v>7.6971764980333696E-6</v>
      </c>
    </row>
    <row r="41127" spans="1:6" x14ac:dyDescent="0.25">
      <c r="A41127" s="1" t="str">
        <f t="shared" si="1446"/>
        <v>99999</v>
      </c>
      <c r="B41127" s="1" t="str">
        <f>"68437"</f>
        <v>68437</v>
      </c>
      <c r="C41127" s="2">
        <v>1.6563916255437601E-5</v>
      </c>
      <c r="D41127" s="2">
        <v>1.50570889527644E-6</v>
      </c>
      <c r="E41127" s="2">
        <v>4.3010567696482999E-6</v>
      </c>
      <c r="F41127" s="2">
        <v>1.5295671246091901E-5</v>
      </c>
    </row>
    <row r="41128" spans="1:6" x14ac:dyDescent="0.25">
      <c r="A41128" s="1" t="str">
        <f t="shared" si="1446"/>
        <v>99999</v>
      </c>
      <c r="B41128" s="1" t="str">
        <f>"72048"</f>
        <v>72048</v>
      </c>
      <c r="C41128" s="2">
        <v>4.6552182940118902E-6</v>
      </c>
      <c r="D41128" s="2">
        <v>0</v>
      </c>
      <c r="E41128" s="2">
        <v>4.3010567696482999E-6</v>
      </c>
      <c r="F41128" s="2">
        <v>4.3419969988906098E-6</v>
      </c>
    </row>
    <row r="41129" spans="1:6" x14ac:dyDescent="0.25">
      <c r="A41129" s="1" t="str">
        <f t="shared" si="1446"/>
        <v>99999</v>
      </c>
      <c r="B41129" s="1" t="str">
        <f>"72170"</f>
        <v>72170</v>
      </c>
      <c r="C41129" s="2">
        <v>1.08260890558416E-7</v>
      </c>
      <c r="D41129" s="2">
        <v>0</v>
      </c>
      <c r="E41129" s="2">
        <v>4.3010567696482999E-6</v>
      </c>
      <c r="F41129" s="2">
        <v>1.9736349994957301E-7</v>
      </c>
    </row>
    <row r="41130" spans="1:6" x14ac:dyDescent="0.25">
      <c r="A41130" s="1" t="str">
        <f t="shared" si="1446"/>
        <v>99999</v>
      </c>
      <c r="B41130" s="1" t="str">
        <f>"73001"</f>
        <v>73001</v>
      </c>
      <c r="C41130" s="2">
        <v>0</v>
      </c>
      <c r="D41130" s="2">
        <v>1.50570889527644E-6</v>
      </c>
      <c r="E41130" s="2">
        <v>4.3010567696482999E-6</v>
      </c>
      <c r="F41130" s="2">
        <v>1.9736349994957301E-7</v>
      </c>
    </row>
    <row r="41131" spans="1:6" x14ac:dyDescent="0.25">
      <c r="A41131" s="1" t="str">
        <f t="shared" si="1446"/>
        <v>99999</v>
      </c>
      <c r="B41131" s="1" t="str">
        <f>"74472"</f>
        <v>74472</v>
      </c>
      <c r="C41131" s="2">
        <v>2.7173483530162401E-5</v>
      </c>
      <c r="D41131" s="2">
        <v>3.01141779055288E-5</v>
      </c>
      <c r="E41131" s="2">
        <v>1.72042270785932E-5</v>
      </c>
      <c r="F41131" s="2">
        <v>2.7137481243066299E-5</v>
      </c>
    </row>
    <row r="41132" spans="1:6" x14ac:dyDescent="0.25">
      <c r="A41132" s="1" t="str">
        <f t="shared" si="1446"/>
        <v>99999</v>
      </c>
      <c r="B41132" s="1" t="str">
        <f>"79517"</f>
        <v>79517</v>
      </c>
      <c r="C41132" s="2">
        <v>4.4386965128950601E-6</v>
      </c>
      <c r="D41132" s="2">
        <v>3.01141779055288E-6</v>
      </c>
      <c r="E41132" s="2">
        <v>8.6021135392965999E-6</v>
      </c>
      <c r="F41132" s="2">
        <v>4.4406787488654001E-6</v>
      </c>
    </row>
    <row r="41133" spans="1:6" x14ac:dyDescent="0.25">
      <c r="A41133" s="1" t="str">
        <f t="shared" si="1446"/>
        <v>99999</v>
      </c>
      <c r="B41133" s="1" t="str">
        <f>"76365"</f>
        <v>76365</v>
      </c>
      <c r="C41133" s="2">
        <v>2.49000048284357E-6</v>
      </c>
      <c r="D41133" s="2">
        <v>0</v>
      </c>
      <c r="E41133" s="2">
        <v>0</v>
      </c>
      <c r="F41133" s="2">
        <v>2.2696802494200901E-6</v>
      </c>
    </row>
    <row r="41134" spans="1:6" x14ac:dyDescent="0.25">
      <c r="A41134" s="1" t="str">
        <f t="shared" si="1446"/>
        <v>99999</v>
      </c>
      <c r="B41134" s="1" t="str">
        <f>"81157"</f>
        <v>81157</v>
      </c>
      <c r="C41134" s="2">
        <v>7.1993492221346703E-5</v>
      </c>
      <c r="D41134" s="2">
        <v>1.06905331564627E-4</v>
      </c>
      <c r="E41134" s="2">
        <v>8.6021135392965999E-6</v>
      </c>
      <c r="F41134" s="2">
        <v>7.2827131481392599E-5</v>
      </c>
    </row>
    <row r="41135" spans="1:6" x14ac:dyDescent="0.25">
      <c r="A41135" s="1" t="str">
        <f t="shared" si="1446"/>
        <v>99999</v>
      </c>
      <c r="B41135" s="1" t="str">
        <f>"84749"</f>
        <v>84749</v>
      </c>
      <c r="C41135" s="2">
        <v>1.2016958851984099E-5</v>
      </c>
      <c r="D41135" s="2">
        <v>3.01141779055288E-6</v>
      </c>
      <c r="E41135" s="2">
        <v>1.29031703089449E-5</v>
      </c>
      <c r="F41135" s="2">
        <v>1.14470829970752E-5</v>
      </c>
    </row>
    <row r="41136" spans="1:6" x14ac:dyDescent="0.25">
      <c r="A41136" s="1" t="str">
        <f t="shared" si="1446"/>
        <v>99999</v>
      </c>
      <c r="B41136" s="1" t="str">
        <f>"95230"</f>
        <v>95230</v>
      </c>
      <c r="C41136" s="2">
        <v>4.8717400751287203E-6</v>
      </c>
      <c r="D41136" s="2">
        <v>0</v>
      </c>
      <c r="E41136" s="2">
        <v>8.6021135392965999E-6</v>
      </c>
      <c r="F41136" s="2">
        <v>4.6380422488149798E-6</v>
      </c>
    </row>
    <row r="41137" spans="1:6" x14ac:dyDescent="0.25">
      <c r="A41137" s="1" t="str">
        <f t="shared" si="1446"/>
        <v>99999</v>
      </c>
      <c r="B41137" s="1" t="str">
        <f>"93601"</f>
        <v>93601</v>
      </c>
      <c r="C41137" s="2">
        <v>4.6552182940118902E-6</v>
      </c>
      <c r="D41137" s="2">
        <v>0</v>
      </c>
      <c r="E41137" s="2">
        <v>0</v>
      </c>
      <c r="F41137" s="2">
        <v>4.2433152489158297E-6</v>
      </c>
    </row>
    <row r="41138" spans="1:6" x14ac:dyDescent="0.25">
      <c r="A41138" s="1" t="str">
        <f t="shared" si="1446"/>
        <v>99999</v>
      </c>
      <c r="B41138" s="1" t="str">
        <f>"99590"</f>
        <v>99590</v>
      </c>
      <c r="C41138" s="2">
        <v>0</v>
      </c>
      <c r="D41138" s="2">
        <v>0</v>
      </c>
      <c r="E41138" s="2">
        <v>4.3010567696482999E-6</v>
      </c>
      <c r="F41138" s="2">
        <v>9.8681749974786797E-8</v>
      </c>
    </row>
    <row r="41139" spans="1:6" x14ac:dyDescent="0.25">
      <c r="A41139" s="1" t="str">
        <f t="shared" si="1446"/>
        <v>99999</v>
      </c>
      <c r="B41139" s="1" t="str">
        <f>"12450"</f>
        <v>12450</v>
      </c>
      <c r="C41139" s="2">
        <v>8.8773930257901203E-6</v>
      </c>
      <c r="D41139" s="2">
        <v>0</v>
      </c>
      <c r="E41139" s="2">
        <v>1.29031703089449E-5</v>
      </c>
      <c r="F41139" s="2">
        <v>8.3879487478568692E-6</v>
      </c>
    </row>
    <row r="41140" spans="1:6" x14ac:dyDescent="0.25">
      <c r="A41140" s="1" t="str">
        <f t="shared" si="1446"/>
        <v>99999</v>
      </c>
      <c r="B41140" s="1" t="str">
        <f>"12792"</f>
        <v>12792</v>
      </c>
      <c r="C41140" s="2">
        <v>5.7378271995960499E-6</v>
      </c>
      <c r="D41140" s="2">
        <v>3.01141779055288E-6</v>
      </c>
      <c r="E41140" s="2">
        <v>4.3010567696482999E-6</v>
      </c>
      <c r="F41140" s="2">
        <v>5.52617799858806E-6</v>
      </c>
    </row>
    <row r="41141" spans="1:6" x14ac:dyDescent="0.25">
      <c r="A41141" s="1" t="str">
        <f t="shared" si="1446"/>
        <v>99999</v>
      </c>
      <c r="B41141" s="1" t="str">
        <f>"25845"</f>
        <v>25845</v>
      </c>
      <c r="C41141" s="2">
        <v>1.2125219742542599E-5</v>
      </c>
      <c r="D41141" s="2">
        <v>1.50570889527644E-6</v>
      </c>
      <c r="E41141" s="2">
        <v>0</v>
      </c>
      <c r="F41141" s="2">
        <v>1.11510377471509E-5</v>
      </c>
    </row>
    <row r="41142" spans="1:6" x14ac:dyDescent="0.25">
      <c r="A41142" s="1" t="str">
        <f t="shared" si="1446"/>
        <v>99999</v>
      </c>
      <c r="B41142" s="1" t="str">
        <f>"31044"</f>
        <v>31044</v>
      </c>
      <c r="C41142" s="2">
        <v>7.2534796674138799E-6</v>
      </c>
      <c r="D41142" s="2">
        <v>3.01141779055288E-6</v>
      </c>
      <c r="E41142" s="2">
        <v>0</v>
      </c>
      <c r="F41142" s="2">
        <v>6.8090407482602902E-6</v>
      </c>
    </row>
    <row r="41143" spans="1:6" x14ac:dyDescent="0.25">
      <c r="A41143" s="1" t="str">
        <f t="shared" si="1446"/>
        <v>99999</v>
      </c>
      <c r="B41143" s="1" t="str">
        <f>"35089"</f>
        <v>35089</v>
      </c>
      <c r="C41143" s="2">
        <v>3.2478267167524802E-7</v>
      </c>
      <c r="D41143" s="2">
        <v>1.50570889527644E-6</v>
      </c>
      <c r="E41143" s="2">
        <v>0</v>
      </c>
      <c r="F41143" s="2">
        <v>3.9472699989914697E-7</v>
      </c>
    </row>
    <row r="41144" spans="1:6" x14ac:dyDescent="0.25">
      <c r="A41144" s="1" t="str">
        <f t="shared" si="1446"/>
        <v>99999</v>
      </c>
      <c r="B41144" s="1" t="str">
        <f>"36804"</f>
        <v>36804</v>
      </c>
      <c r="C41144" s="2">
        <v>8.1195667918812104E-6</v>
      </c>
      <c r="D41144" s="2">
        <v>7.5285444763821999E-6</v>
      </c>
      <c r="E41144" s="2">
        <v>0</v>
      </c>
      <c r="F41144" s="2">
        <v>7.8945399979829399E-6</v>
      </c>
    </row>
    <row r="41145" spans="1:6" x14ac:dyDescent="0.25">
      <c r="A41145" s="1" t="str">
        <f t="shared" si="1446"/>
        <v>99999</v>
      </c>
      <c r="B41145" s="1" t="str">
        <f>"40319"</f>
        <v>40319</v>
      </c>
      <c r="C41145" s="2">
        <v>0</v>
      </c>
      <c r="D41145" s="2">
        <v>0</v>
      </c>
      <c r="E41145" s="2">
        <v>4.3010567696482999E-6</v>
      </c>
      <c r="F41145" s="2">
        <v>9.8681749974786797E-8</v>
      </c>
    </row>
    <row r="41146" spans="1:6" x14ac:dyDescent="0.25">
      <c r="A41146" s="1" t="str">
        <f t="shared" si="1446"/>
        <v>99999</v>
      </c>
      <c r="B41146" s="1" t="str">
        <f>"41056"</f>
        <v>41056</v>
      </c>
      <c r="C41146" s="2">
        <v>1.29913068670099E-6</v>
      </c>
      <c r="D41146" s="2">
        <v>0</v>
      </c>
      <c r="E41146" s="2">
        <v>0</v>
      </c>
      <c r="F41146" s="2">
        <v>1.18418099969744E-6</v>
      </c>
    </row>
    <row r="41147" spans="1:6" x14ac:dyDescent="0.25">
      <c r="A41147" s="1" t="str">
        <f t="shared" si="1446"/>
        <v>99999</v>
      </c>
      <c r="B41147" s="1" t="str">
        <f>"46792"</f>
        <v>46792</v>
      </c>
      <c r="C41147" s="2">
        <v>2.5116526609552499E-5</v>
      </c>
      <c r="D41147" s="2">
        <v>4.5171266858293203E-6</v>
      </c>
      <c r="E41147" s="2">
        <v>0</v>
      </c>
      <c r="F41147" s="2">
        <v>2.3190211244074899E-5</v>
      </c>
    </row>
    <row r="41148" spans="1:6" x14ac:dyDescent="0.25">
      <c r="A41148" s="1" t="str">
        <f t="shared" si="1446"/>
        <v>99999</v>
      </c>
      <c r="B41148" s="1" t="str">
        <f>"50457"</f>
        <v>50457</v>
      </c>
      <c r="C41148" s="2">
        <v>2.9230440450772301E-6</v>
      </c>
      <c r="D41148" s="2">
        <v>0</v>
      </c>
      <c r="E41148" s="2">
        <v>0</v>
      </c>
      <c r="F41148" s="2">
        <v>2.6644072493192401E-6</v>
      </c>
    </row>
    <row r="41149" spans="1:6" x14ac:dyDescent="0.25">
      <c r="A41149" s="1" t="str">
        <f t="shared" si="1446"/>
        <v>99999</v>
      </c>
      <c r="B41149" s="1" t="str">
        <f>"52071"</f>
        <v>52071</v>
      </c>
      <c r="C41149" s="2">
        <v>6.2791316523881298E-6</v>
      </c>
      <c r="D41149" s="2">
        <v>9.0342533716586405E-6</v>
      </c>
      <c r="E41149" s="2">
        <v>8.6021135392965999E-6</v>
      </c>
      <c r="F41149" s="2">
        <v>6.5129954983359203E-6</v>
      </c>
    </row>
    <row r="41150" spans="1:6" x14ac:dyDescent="0.25">
      <c r="A41150" s="1" t="str">
        <f t="shared" si="1446"/>
        <v>99999</v>
      </c>
      <c r="B41150" s="1" t="str">
        <f>"54517"</f>
        <v>54517</v>
      </c>
      <c r="C41150" s="2">
        <v>7.1452187768554602E-6</v>
      </c>
      <c r="D41150" s="2">
        <v>1.50570889527644E-6</v>
      </c>
      <c r="E41150" s="2">
        <v>4.3010567696482999E-6</v>
      </c>
      <c r="F41150" s="2">
        <v>6.7103589982854999E-6</v>
      </c>
    </row>
    <row r="41151" spans="1:6" x14ac:dyDescent="0.25">
      <c r="A41151" s="1" t="str">
        <f t="shared" si="1446"/>
        <v>99999</v>
      </c>
      <c r="B41151" s="1" t="str">
        <f>"57221"</f>
        <v>57221</v>
      </c>
      <c r="C41151" s="2">
        <v>3.5726093884277301E-6</v>
      </c>
      <c r="D41151" s="2">
        <v>0</v>
      </c>
      <c r="E41151" s="2">
        <v>4.3010567696482999E-6</v>
      </c>
      <c r="F41151" s="2">
        <v>3.35517949914275E-6</v>
      </c>
    </row>
    <row r="41152" spans="1:6" x14ac:dyDescent="0.25">
      <c r="A41152" s="1" t="str">
        <f t="shared" si="1446"/>
        <v>99999</v>
      </c>
      <c r="B41152" s="1" t="str">
        <f>"57566"</f>
        <v>57566</v>
      </c>
      <c r="C41152" s="2">
        <v>1.09343499464E-5</v>
      </c>
      <c r="D41152" s="2">
        <v>3.01141779055288E-6</v>
      </c>
      <c r="E41152" s="2">
        <v>2.15052838482415E-5</v>
      </c>
      <c r="F41152" s="2">
        <v>1.06576289972769E-5</v>
      </c>
    </row>
    <row r="41153" spans="1:6" x14ac:dyDescent="0.25">
      <c r="A41153" s="1" t="str">
        <f t="shared" si="1446"/>
        <v>99999</v>
      </c>
      <c r="B41153" s="1" t="str">
        <f>"59827"</f>
        <v>59827</v>
      </c>
      <c r="C41153" s="2">
        <v>9.6352192596990302E-6</v>
      </c>
      <c r="D41153" s="2">
        <v>1.50570889527644E-6</v>
      </c>
      <c r="E41153" s="2">
        <v>1.72042270785932E-5</v>
      </c>
      <c r="F41153" s="2">
        <v>9.2760844976299596E-6</v>
      </c>
    </row>
    <row r="41154" spans="1:6" x14ac:dyDescent="0.25">
      <c r="A41154" s="1" t="str">
        <f t="shared" si="1446"/>
        <v>99999</v>
      </c>
      <c r="B41154" s="1" t="str">
        <f>"63381"</f>
        <v>63381</v>
      </c>
      <c r="C41154" s="2">
        <v>4.4386965128950601E-6</v>
      </c>
      <c r="D41154" s="2">
        <v>1.50570889527644E-6</v>
      </c>
      <c r="E41154" s="2">
        <v>0</v>
      </c>
      <c r="F41154" s="2">
        <v>4.1446334989410403E-6</v>
      </c>
    </row>
    <row r="41155" spans="1:6" x14ac:dyDescent="0.25">
      <c r="A41155" s="1" t="str">
        <f t="shared" si="1446"/>
        <v>99999</v>
      </c>
      <c r="B41155" s="1" t="str">
        <f>"65770"</f>
        <v>65770</v>
      </c>
      <c r="C41155" s="2">
        <v>8.9856539163485408E-6</v>
      </c>
      <c r="D41155" s="2">
        <v>3.01141779055288E-6</v>
      </c>
      <c r="E41155" s="2">
        <v>0</v>
      </c>
      <c r="F41155" s="2">
        <v>8.3879487478568692E-6</v>
      </c>
    </row>
    <row r="41156" spans="1:6" x14ac:dyDescent="0.25">
      <c r="A41156" s="1" t="str">
        <f t="shared" si="1446"/>
        <v>99999</v>
      </c>
      <c r="B41156" s="1" t="str">
        <f>"74543"</f>
        <v>74543</v>
      </c>
      <c r="C41156" s="2">
        <v>1.4615220225386101E-5</v>
      </c>
      <c r="D41156" s="2">
        <v>3.01141779055288E-6</v>
      </c>
      <c r="E41156" s="2">
        <v>4.3010567696482999E-6</v>
      </c>
      <c r="F41156" s="2">
        <v>1.3618081496520501E-5</v>
      </c>
    </row>
    <row r="41157" spans="1:6" x14ac:dyDescent="0.25">
      <c r="A41157" s="1" t="str">
        <f t="shared" si="1446"/>
        <v>99999</v>
      </c>
      <c r="B41157" s="1" t="str">
        <f>"75756"</f>
        <v>75756</v>
      </c>
      <c r="C41157" s="2">
        <v>8.4443494635564601E-6</v>
      </c>
      <c r="D41157" s="2">
        <v>1.50570889527644E-5</v>
      </c>
      <c r="E41157" s="2">
        <v>0</v>
      </c>
      <c r="F41157" s="2">
        <v>8.6839939977812298E-6</v>
      </c>
    </row>
    <row r="41158" spans="1:6" x14ac:dyDescent="0.25">
      <c r="A41158" s="1" t="str">
        <f t="shared" ref="A41158:A41221" si="1447">"99999"</f>
        <v>99999</v>
      </c>
      <c r="B41158" s="1" t="str">
        <f>"79330"</f>
        <v>79330</v>
      </c>
      <c r="C41158" s="2">
        <v>1.0284784603049499E-5</v>
      </c>
      <c r="D41158" s="2">
        <v>1.0539962266935E-5</v>
      </c>
      <c r="E41158" s="2">
        <v>1.2903170308944901E-4</v>
      </c>
      <c r="F41158" s="2">
        <v>1.30259909966718E-5</v>
      </c>
    </row>
    <row r="41159" spans="1:6" x14ac:dyDescent="0.25">
      <c r="A41159" s="1" t="str">
        <f t="shared" si="1447"/>
        <v>99999</v>
      </c>
      <c r="B41159" s="1" t="str">
        <f>"81131"</f>
        <v>81131</v>
      </c>
      <c r="C41159" s="2">
        <v>3.2478267167524802E-7</v>
      </c>
      <c r="D41159" s="2">
        <v>0</v>
      </c>
      <c r="E41159" s="2">
        <v>4.3010567696482999E-6</v>
      </c>
      <c r="F41159" s="2">
        <v>3.9472699989914697E-7</v>
      </c>
    </row>
    <row r="41160" spans="1:6" x14ac:dyDescent="0.25">
      <c r="A41160" s="1" t="str">
        <f t="shared" si="1447"/>
        <v>99999</v>
      </c>
      <c r="B41160" s="1" t="str">
        <f>"80451"</f>
        <v>80451</v>
      </c>
      <c r="C41160" s="2">
        <v>1.08260890558416E-7</v>
      </c>
      <c r="D41160" s="2">
        <v>0</v>
      </c>
      <c r="E41160" s="2">
        <v>4.3010567696482999E-6</v>
      </c>
      <c r="F41160" s="2">
        <v>1.9736349994957301E-7</v>
      </c>
    </row>
    <row r="41161" spans="1:6" x14ac:dyDescent="0.25">
      <c r="A41161" s="1" t="str">
        <f t="shared" si="1447"/>
        <v>99999</v>
      </c>
      <c r="B41161" s="1" t="str">
        <f>"84656"</f>
        <v>84656</v>
      </c>
      <c r="C41161" s="2">
        <v>4.0056529506613898E-6</v>
      </c>
      <c r="D41161" s="2">
        <v>3.01141779055288E-6</v>
      </c>
      <c r="E41161" s="2">
        <v>0</v>
      </c>
      <c r="F41161" s="2">
        <v>3.8485882490166797E-6</v>
      </c>
    </row>
    <row r="41162" spans="1:6" x14ac:dyDescent="0.25">
      <c r="A41162" s="1" t="str">
        <f t="shared" si="1447"/>
        <v>99999</v>
      </c>
      <c r="B41162" s="1" t="str">
        <f>"88112"</f>
        <v>88112</v>
      </c>
      <c r="C41162" s="2">
        <v>5.4130445279207995E-7</v>
      </c>
      <c r="D41162" s="2">
        <v>1.50570889527644E-6</v>
      </c>
      <c r="E41162" s="2">
        <v>0</v>
      </c>
      <c r="F41162" s="2">
        <v>5.9209049984871999E-7</v>
      </c>
    </row>
    <row r="41163" spans="1:6" x14ac:dyDescent="0.25">
      <c r="A41163" s="1" t="str">
        <f t="shared" si="1447"/>
        <v>99999</v>
      </c>
      <c r="B41163" s="1" t="str">
        <f>"88410"</f>
        <v>88410</v>
      </c>
      <c r="C41163" s="2">
        <v>7.5782623390891297E-6</v>
      </c>
      <c r="D41163" s="2">
        <v>3.01141779055288E-6</v>
      </c>
      <c r="E41163" s="2">
        <v>4.3010567696482999E-6</v>
      </c>
      <c r="F41163" s="2">
        <v>7.2037677481594301E-6</v>
      </c>
    </row>
    <row r="41164" spans="1:6" x14ac:dyDescent="0.25">
      <c r="A41164" s="1" t="str">
        <f t="shared" si="1447"/>
        <v>99999</v>
      </c>
      <c r="B41164" s="1" t="str">
        <f>"96056"</f>
        <v>96056</v>
      </c>
      <c r="C41164" s="2">
        <v>7.3617405579722903E-6</v>
      </c>
      <c r="D41164" s="2">
        <v>0</v>
      </c>
      <c r="E41164" s="2">
        <v>0</v>
      </c>
      <c r="F41164" s="2">
        <v>6.7103589982854999E-6</v>
      </c>
    </row>
    <row r="41165" spans="1:6" x14ac:dyDescent="0.25">
      <c r="A41165" s="1" t="str">
        <f t="shared" si="1447"/>
        <v>99999</v>
      </c>
      <c r="B41165" s="1" t="str">
        <f>"99762"</f>
        <v>99762</v>
      </c>
      <c r="C41165" s="2">
        <v>0</v>
      </c>
      <c r="D41165" s="2">
        <v>1.50570889527644E-6</v>
      </c>
      <c r="E41165" s="2">
        <v>1.72042270785932E-5</v>
      </c>
      <c r="F41165" s="2">
        <v>4.9340874987393396E-7</v>
      </c>
    </row>
    <row r="41166" spans="1:6" x14ac:dyDescent="0.25">
      <c r="A41166" s="1" t="str">
        <f t="shared" si="1447"/>
        <v>99999</v>
      </c>
      <c r="B41166" s="1" t="str">
        <f>"99827"</f>
        <v>99827</v>
      </c>
      <c r="C41166" s="2">
        <v>2.5441309281227699E-5</v>
      </c>
      <c r="D41166" s="2">
        <v>3.6137013486634501E-5</v>
      </c>
      <c r="E41166" s="2">
        <v>4.3010567696482999E-6</v>
      </c>
      <c r="F41166" s="2">
        <v>2.56572549934445E-5</v>
      </c>
    </row>
    <row r="41167" spans="1:6" x14ac:dyDescent="0.25">
      <c r="A41167" s="1" t="str">
        <f t="shared" si="1447"/>
        <v>99999</v>
      </c>
      <c r="B41167" s="1" t="str">
        <f>"99639"</f>
        <v>99639</v>
      </c>
      <c r="C41167" s="2">
        <v>9.96000193137428E-6</v>
      </c>
      <c r="D41167" s="2">
        <v>1.50570889527644E-5</v>
      </c>
      <c r="E41167" s="2">
        <v>1.29031703089449E-5</v>
      </c>
      <c r="F41167" s="2">
        <v>1.03615837473526E-5</v>
      </c>
    </row>
    <row r="41168" spans="1:6" x14ac:dyDescent="0.25">
      <c r="A41168" s="1" t="str">
        <f t="shared" si="1447"/>
        <v>99999</v>
      </c>
      <c r="B41168" s="1" t="str">
        <f>"04358"</f>
        <v>04358</v>
      </c>
      <c r="C41168" s="2">
        <v>8.6608712446732898E-7</v>
      </c>
      <c r="D41168" s="2">
        <v>0</v>
      </c>
      <c r="E41168" s="2">
        <v>0</v>
      </c>
      <c r="F41168" s="2">
        <v>7.8945399979829395E-7</v>
      </c>
    </row>
    <row r="41169" spans="1:6" x14ac:dyDescent="0.25">
      <c r="A41169" s="1" t="str">
        <f t="shared" si="1447"/>
        <v>99999</v>
      </c>
      <c r="B41169" s="1" t="str">
        <f>"04570"</f>
        <v>04570</v>
      </c>
      <c r="C41169" s="2">
        <v>0</v>
      </c>
      <c r="D41169" s="2">
        <v>0</v>
      </c>
      <c r="E41169" s="2">
        <v>4.3010567696482999E-6</v>
      </c>
      <c r="F41169" s="2">
        <v>9.8681749974786797E-8</v>
      </c>
    </row>
    <row r="41170" spans="1:6" x14ac:dyDescent="0.25">
      <c r="A41170" s="1" t="str">
        <f t="shared" si="1447"/>
        <v>99999</v>
      </c>
      <c r="B41170" s="1" t="str">
        <f>"12752"</f>
        <v>12752</v>
      </c>
      <c r="C41170" s="2">
        <v>1.5589568240411901E-5</v>
      </c>
      <c r="D41170" s="2">
        <v>4.5171266858293203E-6</v>
      </c>
      <c r="E41170" s="2">
        <v>3.01073973875381E-5</v>
      </c>
      <c r="F41170" s="2">
        <v>1.5196989496117099E-5</v>
      </c>
    </row>
    <row r="41171" spans="1:6" x14ac:dyDescent="0.25">
      <c r="A41171" s="1" t="str">
        <f t="shared" si="1447"/>
        <v>99999</v>
      </c>
      <c r="B41171" s="1" t="str">
        <f>"15730"</f>
        <v>15730</v>
      </c>
      <c r="C41171" s="2">
        <v>7.3617405579722903E-6</v>
      </c>
      <c r="D41171" s="2">
        <v>9.0342533716586405E-6</v>
      </c>
      <c r="E41171" s="2">
        <v>0</v>
      </c>
      <c r="F41171" s="2">
        <v>7.3024494981342204E-6</v>
      </c>
    </row>
    <row r="41172" spans="1:6" x14ac:dyDescent="0.25">
      <c r="A41172" s="1" t="str">
        <f t="shared" si="1447"/>
        <v>99999</v>
      </c>
      <c r="B41172" s="1" t="str">
        <f>"41740"</f>
        <v>41740</v>
      </c>
      <c r="C41172" s="2">
        <v>3.3560876073108999E-5</v>
      </c>
      <c r="D41172" s="2">
        <v>9.0342533716586405E-6</v>
      </c>
      <c r="E41172" s="2">
        <v>3.44084541571864E-5</v>
      </c>
      <c r="F41172" s="2">
        <v>3.19728869918309E-5</v>
      </c>
    </row>
    <row r="41173" spans="1:6" x14ac:dyDescent="0.25">
      <c r="A41173" s="1" t="str">
        <f t="shared" si="1447"/>
        <v>99999</v>
      </c>
      <c r="B41173" s="1" t="str">
        <f>"42054"</f>
        <v>42054</v>
      </c>
      <c r="C41173" s="2">
        <v>7.47000144853071E-6</v>
      </c>
      <c r="D41173" s="2">
        <v>1.50570889527644E-6</v>
      </c>
      <c r="E41173" s="2">
        <v>2.58063406178898E-5</v>
      </c>
      <c r="F41173" s="2">
        <v>7.4998129980837899E-6</v>
      </c>
    </row>
    <row r="41174" spans="1:6" x14ac:dyDescent="0.25">
      <c r="A41174" s="1" t="str">
        <f t="shared" si="1447"/>
        <v>99999</v>
      </c>
      <c r="B41174" s="1" t="str">
        <f>"41547"</f>
        <v>41547</v>
      </c>
      <c r="C41174" s="2">
        <v>1.50482637876198E-5</v>
      </c>
      <c r="D41174" s="2">
        <v>0</v>
      </c>
      <c r="E41174" s="2">
        <v>8.6021135392965999E-6</v>
      </c>
      <c r="F41174" s="2">
        <v>1.39141267464449E-5</v>
      </c>
    </row>
    <row r="41175" spans="1:6" x14ac:dyDescent="0.25">
      <c r="A41175" s="1" t="str">
        <f t="shared" si="1447"/>
        <v>99999</v>
      </c>
      <c r="B41175" s="1" t="str">
        <f>"51443"</f>
        <v>51443</v>
      </c>
      <c r="C41175" s="2">
        <v>3.2478267167524802E-7</v>
      </c>
      <c r="D41175" s="2">
        <v>0</v>
      </c>
      <c r="E41175" s="2">
        <v>0</v>
      </c>
      <c r="F41175" s="2">
        <v>2.9604524992435999E-7</v>
      </c>
    </row>
    <row r="41176" spans="1:6" x14ac:dyDescent="0.25">
      <c r="A41176" s="1" t="str">
        <f t="shared" si="1447"/>
        <v>99999</v>
      </c>
      <c r="B41176" s="1" t="str">
        <f>"52333"</f>
        <v>52333</v>
      </c>
      <c r="C41176" s="2">
        <v>2.3817395922851499E-6</v>
      </c>
      <c r="D41176" s="2">
        <v>0</v>
      </c>
      <c r="E41176" s="2">
        <v>0</v>
      </c>
      <c r="F41176" s="2">
        <v>2.1709984994452998E-6</v>
      </c>
    </row>
    <row r="41177" spans="1:6" x14ac:dyDescent="0.25">
      <c r="A41177" s="1" t="str">
        <f t="shared" si="1447"/>
        <v>99999</v>
      </c>
      <c r="B41177" s="1" t="str">
        <f>"47470"</f>
        <v>47470</v>
      </c>
      <c r="C41177" s="2">
        <v>1.25582633047762E-5</v>
      </c>
      <c r="D41177" s="2">
        <v>1.35513800574879E-5</v>
      </c>
      <c r="E41177" s="2">
        <v>0</v>
      </c>
      <c r="F41177" s="2">
        <v>1.23352187468483E-5</v>
      </c>
    </row>
    <row r="41178" spans="1:6" x14ac:dyDescent="0.25">
      <c r="A41178" s="1" t="str">
        <f t="shared" si="1447"/>
        <v>99999</v>
      </c>
      <c r="B41178" s="1" t="str">
        <f>"54408"</f>
        <v>54408</v>
      </c>
      <c r="C41178" s="2">
        <v>6.2791316523881298E-6</v>
      </c>
      <c r="D41178" s="2">
        <v>3.01141779055288E-6</v>
      </c>
      <c r="E41178" s="2">
        <v>8.6021135392965999E-6</v>
      </c>
      <c r="F41178" s="2">
        <v>6.1182684984367804E-6</v>
      </c>
    </row>
    <row r="41179" spans="1:6" x14ac:dyDescent="0.25">
      <c r="A41179" s="1" t="str">
        <f t="shared" si="1447"/>
        <v>99999</v>
      </c>
      <c r="B41179" s="1" t="str">
        <f>"52635"</f>
        <v>52635</v>
      </c>
      <c r="C41179" s="2">
        <v>1.4073915772594101E-6</v>
      </c>
      <c r="D41179" s="2">
        <v>1.50570889527644E-6</v>
      </c>
      <c r="E41179" s="2">
        <v>0</v>
      </c>
      <c r="F41179" s="2">
        <v>1.3815444996470099E-6</v>
      </c>
    </row>
    <row r="41180" spans="1:6" x14ac:dyDescent="0.25">
      <c r="A41180" s="1" t="str">
        <f t="shared" si="1447"/>
        <v>99999</v>
      </c>
      <c r="B41180" s="1" t="str">
        <f>"52637"</f>
        <v>52637</v>
      </c>
      <c r="C41180" s="2">
        <v>1.0826089055841599E-6</v>
      </c>
      <c r="D41180" s="2">
        <v>0</v>
      </c>
      <c r="E41180" s="2">
        <v>0</v>
      </c>
      <c r="F41180" s="2">
        <v>9.8681749974786791E-7</v>
      </c>
    </row>
    <row r="41181" spans="1:6" x14ac:dyDescent="0.25">
      <c r="A41181" s="1" t="str">
        <f t="shared" si="1447"/>
        <v>99999</v>
      </c>
      <c r="B41181" s="1" t="str">
        <f>"52553"</f>
        <v>52553</v>
      </c>
      <c r="C41181" s="2">
        <v>1.0176523712491101E-5</v>
      </c>
      <c r="D41181" s="2">
        <v>2.25856334291466E-5</v>
      </c>
      <c r="E41181" s="2">
        <v>0</v>
      </c>
      <c r="F41181" s="2">
        <v>1.07563107472517E-5</v>
      </c>
    </row>
    <row r="41182" spans="1:6" x14ac:dyDescent="0.25">
      <c r="A41182" s="1" t="str">
        <f t="shared" si="1447"/>
        <v>99999</v>
      </c>
      <c r="B41182" s="1" t="str">
        <f>"55069"</f>
        <v>55069</v>
      </c>
      <c r="C41182" s="2">
        <v>1.5589568240411901E-5</v>
      </c>
      <c r="D41182" s="2">
        <v>3.01141779055288E-6</v>
      </c>
      <c r="E41182" s="2">
        <v>4.3010567696482999E-6</v>
      </c>
      <c r="F41182" s="2">
        <v>1.45062172462936E-5</v>
      </c>
    </row>
    <row r="41183" spans="1:6" x14ac:dyDescent="0.25">
      <c r="A41183" s="1" t="str">
        <f t="shared" si="1447"/>
        <v>99999</v>
      </c>
      <c r="B41183" s="1" t="str">
        <f>"55767"</f>
        <v>55767</v>
      </c>
      <c r="C41183" s="2">
        <v>2.0028264753306899E-5</v>
      </c>
      <c r="D41183" s="2">
        <v>0</v>
      </c>
      <c r="E41183" s="2">
        <v>0</v>
      </c>
      <c r="F41183" s="2">
        <v>1.8256123745335501E-5</v>
      </c>
    </row>
    <row r="41184" spans="1:6" x14ac:dyDescent="0.25">
      <c r="A41184" s="1" t="str">
        <f t="shared" si="1447"/>
        <v>99999</v>
      </c>
      <c r="B41184" s="1" t="str">
        <f>"57321"</f>
        <v>57321</v>
      </c>
      <c r="C41184" s="2">
        <v>1.5697829130970301E-5</v>
      </c>
      <c r="D41184" s="2">
        <v>4.5171266858293203E-6</v>
      </c>
      <c r="E41184" s="2">
        <v>4.3010567696482999E-6</v>
      </c>
      <c r="F41184" s="2">
        <v>1.47035807462432E-5</v>
      </c>
    </row>
    <row r="41185" spans="1:6" x14ac:dyDescent="0.25">
      <c r="A41185" s="1" t="str">
        <f t="shared" si="1447"/>
        <v>99999</v>
      </c>
      <c r="B41185" s="1" t="str">
        <f>"57050"</f>
        <v>57050</v>
      </c>
      <c r="C41185" s="2">
        <v>8.7691321352316998E-6</v>
      </c>
      <c r="D41185" s="2">
        <v>6.0228355811057601E-6</v>
      </c>
      <c r="E41185" s="2">
        <v>4.3010567696482999E-6</v>
      </c>
      <c r="F41185" s="2">
        <v>8.4866304978316595E-6</v>
      </c>
    </row>
    <row r="41186" spans="1:6" x14ac:dyDescent="0.25">
      <c r="A41186" s="1" t="str">
        <f t="shared" si="1447"/>
        <v>99999</v>
      </c>
      <c r="B41186" s="1" t="str">
        <f>"57334"</f>
        <v>57334</v>
      </c>
      <c r="C41186" s="2">
        <v>1.84043513949307E-6</v>
      </c>
      <c r="D41186" s="2">
        <v>1.50570889527644E-6</v>
      </c>
      <c r="E41186" s="2">
        <v>0</v>
      </c>
      <c r="F41186" s="2">
        <v>1.77627149954616E-6</v>
      </c>
    </row>
    <row r="41187" spans="1:6" x14ac:dyDescent="0.25">
      <c r="A41187" s="1" t="str">
        <f t="shared" si="1447"/>
        <v>99999</v>
      </c>
      <c r="B41187" s="1" t="str">
        <f>"56540"</f>
        <v>56540</v>
      </c>
      <c r="C41187" s="2">
        <v>9.4186974785821993E-6</v>
      </c>
      <c r="D41187" s="2">
        <v>0</v>
      </c>
      <c r="E41187" s="2">
        <v>4.3010567696482999E-6</v>
      </c>
      <c r="F41187" s="2">
        <v>8.6839939977812298E-6</v>
      </c>
    </row>
    <row r="41188" spans="1:6" x14ac:dyDescent="0.25">
      <c r="A41188" s="1" t="str">
        <f t="shared" si="1447"/>
        <v>99999</v>
      </c>
      <c r="B41188" s="1" t="str">
        <f>"56548"</f>
        <v>56548</v>
      </c>
      <c r="C41188" s="2">
        <v>3.83243552576793E-5</v>
      </c>
      <c r="D41188" s="2">
        <v>1.50570889527644E-5</v>
      </c>
      <c r="E41188" s="2">
        <v>8.6021135392965999E-5</v>
      </c>
      <c r="F41188" s="2">
        <v>3.7893791990318099E-5</v>
      </c>
    </row>
    <row r="41189" spans="1:6" x14ac:dyDescent="0.25">
      <c r="A41189" s="1" t="str">
        <f t="shared" si="1447"/>
        <v>99999</v>
      </c>
      <c r="B41189" s="1" t="str">
        <f>"56211"</f>
        <v>56211</v>
      </c>
      <c r="C41189" s="2">
        <v>2.23017434550337E-5</v>
      </c>
      <c r="D41189" s="2">
        <v>0</v>
      </c>
      <c r="E41189" s="2">
        <v>1.72042270785932E-5</v>
      </c>
      <c r="F41189" s="2">
        <v>2.07231674947052E-5</v>
      </c>
    </row>
    <row r="41190" spans="1:6" x14ac:dyDescent="0.25">
      <c r="A41190" s="1" t="str">
        <f t="shared" si="1447"/>
        <v>99999</v>
      </c>
      <c r="B41190" s="1" t="str">
        <f>"57659"</f>
        <v>57659</v>
      </c>
      <c r="C41190" s="2">
        <v>1.4073915772594101E-6</v>
      </c>
      <c r="D41190" s="2">
        <v>3.01141779055288E-6</v>
      </c>
      <c r="E41190" s="2">
        <v>4.3010567696482999E-6</v>
      </c>
      <c r="F41190" s="2">
        <v>1.5789079995965801E-6</v>
      </c>
    </row>
    <row r="41191" spans="1:6" x14ac:dyDescent="0.25">
      <c r="A41191" s="1" t="str">
        <f t="shared" si="1447"/>
        <v>99999</v>
      </c>
      <c r="B41191" s="1" t="str">
        <f>"59831"</f>
        <v>59831</v>
      </c>
      <c r="C41191" s="2">
        <v>1.49400028970614E-5</v>
      </c>
      <c r="D41191" s="2">
        <v>1.80685067433172E-5</v>
      </c>
      <c r="E41191" s="2">
        <v>1.29031703089449E-5</v>
      </c>
      <c r="F41191" s="2">
        <v>1.5098307746142301E-5</v>
      </c>
    </row>
    <row r="41192" spans="1:6" x14ac:dyDescent="0.25">
      <c r="A41192" s="1" t="str">
        <f t="shared" si="1447"/>
        <v>99999</v>
      </c>
      <c r="B41192" s="1" t="str">
        <f>"58621"</f>
        <v>58621</v>
      </c>
      <c r="C41192" s="2">
        <v>2.9880005794122799E-5</v>
      </c>
      <c r="D41192" s="2">
        <v>3.01141779055288E-6</v>
      </c>
      <c r="E41192" s="2">
        <v>5.5913738005427899E-5</v>
      </c>
      <c r="F41192" s="2">
        <v>2.87163892426629E-5</v>
      </c>
    </row>
    <row r="41193" spans="1:6" x14ac:dyDescent="0.25">
      <c r="A41193" s="1" t="str">
        <f t="shared" si="1447"/>
        <v>99999</v>
      </c>
      <c r="B41193" s="1" t="str">
        <f>"59250"</f>
        <v>59250</v>
      </c>
      <c r="C41193" s="2">
        <v>5.0882618562455504E-6</v>
      </c>
      <c r="D41193" s="2">
        <v>6.0228355811057601E-6</v>
      </c>
      <c r="E41193" s="2">
        <v>4.3010567696482999E-6</v>
      </c>
      <c r="F41193" s="2">
        <v>5.1314509986889099E-6</v>
      </c>
    </row>
    <row r="41194" spans="1:6" x14ac:dyDescent="0.25">
      <c r="A41194" s="1" t="str">
        <f t="shared" si="1447"/>
        <v>99999</v>
      </c>
      <c r="B41194" s="1" t="str">
        <f>"59312"</f>
        <v>59312</v>
      </c>
      <c r="C41194" s="2">
        <v>2.9230440450772301E-6</v>
      </c>
      <c r="D41194" s="2">
        <v>0</v>
      </c>
      <c r="E41194" s="2">
        <v>4.3010567696482999E-6</v>
      </c>
      <c r="F41194" s="2">
        <v>2.76308899929403E-6</v>
      </c>
    </row>
    <row r="41195" spans="1:6" x14ac:dyDescent="0.25">
      <c r="A41195" s="1" t="str">
        <f t="shared" si="1447"/>
        <v>99999</v>
      </c>
      <c r="B41195" s="1" t="str">
        <f>"59420"</f>
        <v>59420</v>
      </c>
      <c r="C41195" s="2">
        <v>6.49565343350497E-6</v>
      </c>
      <c r="D41195" s="2">
        <v>0</v>
      </c>
      <c r="E41195" s="2">
        <v>4.3010567696482999E-6</v>
      </c>
      <c r="F41195" s="2">
        <v>6.0195867484619901E-6</v>
      </c>
    </row>
    <row r="41196" spans="1:6" x14ac:dyDescent="0.25">
      <c r="A41196" s="1" t="str">
        <f t="shared" si="1447"/>
        <v>99999</v>
      </c>
      <c r="B41196" s="1" t="str">
        <f>"58445"</f>
        <v>58445</v>
      </c>
      <c r="C41196" s="2">
        <v>5.5213054184792198E-6</v>
      </c>
      <c r="D41196" s="2">
        <v>4.5171266858293203E-6</v>
      </c>
      <c r="E41196" s="2">
        <v>1.29031703089449E-5</v>
      </c>
      <c r="F41196" s="2">
        <v>5.6248597485628401E-6</v>
      </c>
    </row>
    <row r="41197" spans="1:6" x14ac:dyDescent="0.25">
      <c r="A41197" s="1" t="str">
        <f t="shared" si="1447"/>
        <v>99999</v>
      </c>
      <c r="B41197" s="1" t="str">
        <f>"58321"</f>
        <v>58321</v>
      </c>
      <c r="C41197" s="2">
        <v>7.7947841202059606E-6</v>
      </c>
      <c r="D41197" s="2">
        <v>1.50570889527644E-6</v>
      </c>
      <c r="E41197" s="2">
        <v>4.3010567696482999E-6</v>
      </c>
      <c r="F41197" s="2">
        <v>7.3024494981342204E-6</v>
      </c>
    </row>
    <row r="41198" spans="1:6" x14ac:dyDescent="0.25">
      <c r="A41198" s="1" t="str">
        <f t="shared" si="1447"/>
        <v>99999</v>
      </c>
      <c r="B41198" s="1" t="str">
        <f>"58238"</f>
        <v>58238</v>
      </c>
      <c r="C41198" s="2">
        <v>6.1708707618297202E-6</v>
      </c>
      <c r="D41198" s="2">
        <v>1.50570889527644E-6</v>
      </c>
      <c r="E41198" s="2">
        <v>4.3010567696482999E-6</v>
      </c>
      <c r="F41198" s="2">
        <v>5.8222232485124198E-6</v>
      </c>
    </row>
    <row r="41199" spans="1:6" x14ac:dyDescent="0.25">
      <c r="A41199" s="1" t="str">
        <f t="shared" si="1447"/>
        <v>99999</v>
      </c>
      <c r="B41199" s="1" t="str">
        <f>"63439"</f>
        <v>63439</v>
      </c>
      <c r="C41199" s="2">
        <v>7.9030450107643795E-6</v>
      </c>
      <c r="D41199" s="2">
        <v>7.5285444763821999E-6</v>
      </c>
      <c r="E41199" s="2">
        <v>4.3010567696482999E-6</v>
      </c>
      <c r="F41199" s="2">
        <v>7.7958582480081497E-6</v>
      </c>
    </row>
    <row r="41200" spans="1:6" x14ac:dyDescent="0.25">
      <c r="A41200" s="1" t="str">
        <f t="shared" si="1447"/>
        <v>99999</v>
      </c>
      <c r="B41200" s="1" t="str">
        <f>"63566"</f>
        <v>63566</v>
      </c>
      <c r="C41200" s="2">
        <v>5.7378271995960499E-6</v>
      </c>
      <c r="D41200" s="2">
        <v>3.01141779055288E-6</v>
      </c>
      <c r="E41200" s="2">
        <v>1.29031703089449E-5</v>
      </c>
      <c r="F41200" s="2">
        <v>5.7235414985376303E-6</v>
      </c>
    </row>
    <row r="41201" spans="1:6" x14ac:dyDescent="0.25">
      <c r="A41201" s="1" t="str">
        <f t="shared" si="1447"/>
        <v>99999</v>
      </c>
      <c r="B41201" s="1" t="str">
        <f>"66771"</f>
        <v>66771</v>
      </c>
      <c r="C41201" s="2">
        <v>4.1680442864990198E-5</v>
      </c>
      <c r="D41201" s="2">
        <v>3.31255956960816E-5</v>
      </c>
      <c r="E41201" s="2">
        <v>1.29031703089449E-5</v>
      </c>
      <c r="F41201" s="2">
        <v>4.0459517489662497E-5</v>
      </c>
    </row>
    <row r="41202" spans="1:6" x14ac:dyDescent="0.25">
      <c r="A41202" s="1" t="str">
        <f t="shared" si="1447"/>
        <v>99999</v>
      </c>
      <c r="B41202" s="1" t="str">
        <f>"67840"</f>
        <v>67840</v>
      </c>
      <c r="C41202" s="2">
        <v>6.49565343350497E-6</v>
      </c>
      <c r="D41202" s="2">
        <v>1.50570889527644E-6</v>
      </c>
      <c r="E41202" s="2">
        <v>4.3010567696482999E-6</v>
      </c>
      <c r="F41202" s="2">
        <v>6.1182684984367804E-6</v>
      </c>
    </row>
    <row r="41203" spans="1:6" x14ac:dyDescent="0.25">
      <c r="A41203" s="1" t="str">
        <f t="shared" si="1447"/>
        <v>99999</v>
      </c>
      <c r="B41203" s="1" t="str">
        <f>"67450"</f>
        <v>67450</v>
      </c>
      <c r="C41203" s="2">
        <v>3.2911310729758503E-5</v>
      </c>
      <c r="D41203" s="2">
        <v>9.0342533716586405E-6</v>
      </c>
      <c r="E41203" s="2">
        <v>1.72042270785932E-5</v>
      </c>
      <c r="F41203" s="2">
        <v>3.0986069492082998E-5</v>
      </c>
    </row>
    <row r="41204" spans="1:6" x14ac:dyDescent="0.25">
      <c r="A41204" s="1" t="str">
        <f t="shared" si="1447"/>
        <v>99999</v>
      </c>
      <c r="B41204" s="1" t="str">
        <f>"66858"</f>
        <v>66858</v>
      </c>
      <c r="C41204" s="2">
        <v>2.4900004828435702E-5</v>
      </c>
      <c r="D41204" s="2">
        <v>9.0342533716586405E-6</v>
      </c>
      <c r="E41204" s="2">
        <v>4.3010567696482999E-6</v>
      </c>
      <c r="F41204" s="2">
        <v>2.3387574744024402E-5</v>
      </c>
    </row>
    <row r="41205" spans="1:6" x14ac:dyDescent="0.25">
      <c r="A41205" s="1" t="str">
        <f t="shared" si="1447"/>
        <v>99999</v>
      </c>
      <c r="B41205" s="1" t="str">
        <f>"66522"</f>
        <v>66522</v>
      </c>
      <c r="C41205" s="2">
        <v>5.0882618562455504E-6</v>
      </c>
      <c r="D41205" s="2">
        <v>1.50570889527644E-6</v>
      </c>
      <c r="E41205" s="2">
        <v>0</v>
      </c>
      <c r="F41205" s="2">
        <v>4.7367239987897599E-6</v>
      </c>
    </row>
    <row r="41206" spans="1:6" x14ac:dyDescent="0.25">
      <c r="A41206" s="1" t="str">
        <f t="shared" si="1447"/>
        <v>99999</v>
      </c>
      <c r="B41206" s="1" t="str">
        <f>"68971"</f>
        <v>68971</v>
      </c>
      <c r="C41206" s="2">
        <v>4.1896964646106998E-5</v>
      </c>
      <c r="D41206" s="2">
        <v>2.7102760114975901E-5</v>
      </c>
      <c r="E41206" s="2">
        <v>4.3010567696482999E-6</v>
      </c>
      <c r="F41206" s="2">
        <v>4.0064790489763397E-5</v>
      </c>
    </row>
    <row r="41207" spans="1:6" x14ac:dyDescent="0.25">
      <c r="A41207" s="1" t="str">
        <f t="shared" si="1447"/>
        <v>99999</v>
      </c>
      <c r="B41207" s="1" t="str">
        <f>"68659"</f>
        <v>68659</v>
      </c>
      <c r="C41207" s="2">
        <v>1.0176523712491101E-5</v>
      </c>
      <c r="D41207" s="2">
        <v>6.0228355811057601E-6</v>
      </c>
      <c r="E41207" s="2">
        <v>4.3010567696482999E-6</v>
      </c>
      <c r="F41207" s="2">
        <v>9.7694932475038906E-6</v>
      </c>
    </row>
    <row r="41208" spans="1:6" x14ac:dyDescent="0.25">
      <c r="A41208" s="1" t="str">
        <f t="shared" si="1447"/>
        <v>99999</v>
      </c>
      <c r="B41208" s="1" t="str">
        <f>"68416"</f>
        <v>68416</v>
      </c>
      <c r="C41208" s="2">
        <v>1.24500024142178E-5</v>
      </c>
      <c r="D41208" s="2">
        <v>4.5171266858293203E-6</v>
      </c>
      <c r="E41208" s="2">
        <v>4.3010567696482999E-6</v>
      </c>
      <c r="F41208" s="2">
        <v>1.1743128246999599E-5</v>
      </c>
    </row>
    <row r="41209" spans="1:6" x14ac:dyDescent="0.25">
      <c r="A41209" s="1" t="str">
        <f t="shared" si="1447"/>
        <v>99999</v>
      </c>
      <c r="B41209" s="1" t="str">
        <f>"72060"</f>
        <v>72060</v>
      </c>
      <c r="C41209" s="2">
        <v>8.8773930257901203E-6</v>
      </c>
      <c r="D41209" s="2">
        <v>3.01141779055288E-6</v>
      </c>
      <c r="E41209" s="2">
        <v>0</v>
      </c>
      <c r="F41209" s="2">
        <v>8.2892669978820908E-6</v>
      </c>
    </row>
    <row r="41210" spans="1:6" x14ac:dyDescent="0.25">
      <c r="A41210" s="1" t="str">
        <f t="shared" si="1447"/>
        <v>99999</v>
      </c>
      <c r="B41210" s="1" t="str">
        <f>"72566"</f>
        <v>72566</v>
      </c>
      <c r="C41210" s="2">
        <v>4.4820008691184201E-5</v>
      </c>
      <c r="D41210" s="2">
        <v>1.65627978480408E-5</v>
      </c>
      <c r="E41210" s="2">
        <v>1.29031703089449E-5</v>
      </c>
      <c r="F41210" s="2">
        <v>4.2235788989208702E-5</v>
      </c>
    </row>
    <row r="41211" spans="1:6" x14ac:dyDescent="0.25">
      <c r="A41211" s="1" t="str">
        <f t="shared" si="1447"/>
        <v>99999</v>
      </c>
      <c r="B41211" s="1" t="str">
        <f>"72458"</f>
        <v>72458</v>
      </c>
      <c r="C41211" s="2">
        <v>3.5293050322043599E-5</v>
      </c>
      <c r="D41211" s="2">
        <v>1.50570889527644E-6</v>
      </c>
      <c r="E41211" s="2">
        <v>4.3010567696482999E-6</v>
      </c>
      <c r="F41211" s="2">
        <v>3.236761399173E-5</v>
      </c>
    </row>
    <row r="41212" spans="1:6" x14ac:dyDescent="0.25">
      <c r="A41212" s="1" t="str">
        <f t="shared" si="1447"/>
        <v>99999</v>
      </c>
      <c r="B41212" s="1" t="str">
        <f>"74019"</f>
        <v>74019</v>
      </c>
      <c r="C41212" s="2">
        <v>2.49000048284357E-6</v>
      </c>
      <c r="D41212" s="2">
        <v>0</v>
      </c>
      <c r="E41212" s="2">
        <v>0</v>
      </c>
      <c r="F41212" s="2">
        <v>2.2696802494200901E-6</v>
      </c>
    </row>
    <row r="41213" spans="1:6" x14ac:dyDescent="0.25">
      <c r="A41213" s="1" t="str">
        <f t="shared" si="1447"/>
        <v>99999</v>
      </c>
      <c r="B41213" s="1" t="str">
        <f>"75672"</f>
        <v>75672</v>
      </c>
      <c r="C41213" s="2">
        <v>2.3817395922851499E-6</v>
      </c>
      <c r="D41213" s="2">
        <v>0</v>
      </c>
      <c r="E41213" s="2">
        <v>0</v>
      </c>
      <c r="F41213" s="2">
        <v>2.1709984994452998E-6</v>
      </c>
    </row>
    <row r="41214" spans="1:6" x14ac:dyDescent="0.25">
      <c r="A41214" s="1" t="str">
        <f t="shared" si="1447"/>
        <v>99999</v>
      </c>
      <c r="B41214" s="1" t="str">
        <f>"79043"</f>
        <v>79043</v>
      </c>
      <c r="C41214" s="2">
        <v>1.6022611802645498E-5</v>
      </c>
      <c r="D41214" s="2">
        <v>1.35513800574879E-5</v>
      </c>
      <c r="E41214" s="2">
        <v>4.3010567696482999E-6</v>
      </c>
      <c r="F41214" s="2">
        <v>1.5591716496016299E-5</v>
      </c>
    </row>
    <row r="41215" spans="1:6" x14ac:dyDescent="0.25">
      <c r="A41215" s="1" t="str">
        <f t="shared" si="1447"/>
        <v>99999</v>
      </c>
      <c r="B41215" s="1" t="str">
        <f>"78027"</f>
        <v>78027</v>
      </c>
      <c r="C41215" s="2">
        <v>2.0569569206099001E-6</v>
      </c>
      <c r="D41215" s="2">
        <v>0</v>
      </c>
      <c r="E41215" s="2">
        <v>0</v>
      </c>
      <c r="F41215" s="2">
        <v>1.8749532495209401E-6</v>
      </c>
    </row>
    <row r="41216" spans="1:6" x14ac:dyDescent="0.25">
      <c r="A41216" s="1" t="str">
        <f t="shared" si="1447"/>
        <v>99999</v>
      </c>
      <c r="B41216" s="1" t="str">
        <f>"79842"</f>
        <v>79842</v>
      </c>
      <c r="C41216" s="2">
        <v>1.0826089055841599E-6</v>
      </c>
      <c r="D41216" s="2">
        <v>3.01141779055288E-6</v>
      </c>
      <c r="E41216" s="2">
        <v>0</v>
      </c>
      <c r="F41216" s="2">
        <v>1.18418099969744E-6</v>
      </c>
    </row>
    <row r="41217" spans="1:6" x14ac:dyDescent="0.25">
      <c r="A41217" s="1" t="str">
        <f t="shared" si="1447"/>
        <v>99999</v>
      </c>
      <c r="B41217" s="1" t="str">
        <f>"79855"</f>
        <v>79855</v>
      </c>
      <c r="C41217" s="2">
        <v>1.7321742489346499E-6</v>
      </c>
      <c r="D41217" s="2">
        <v>3.01141779055288E-6</v>
      </c>
      <c r="E41217" s="2">
        <v>0</v>
      </c>
      <c r="F41217" s="2">
        <v>1.77627149954616E-6</v>
      </c>
    </row>
    <row r="41218" spans="1:6" x14ac:dyDescent="0.25">
      <c r="A41218" s="1" t="str">
        <f t="shared" si="1447"/>
        <v>99999</v>
      </c>
      <c r="B41218" s="1" t="str">
        <f>"81331"</f>
        <v>81331</v>
      </c>
      <c r="C41218" s="2">
        <v>1.5697829130970301E-5</v>
      </c>
      <c r="D41218" s="2">
        <v>0</v>
      </c>
      <c r="E41218" s="2">
        <v>4.3010567696482999E-6</v>
      </c>
      <c r="F41218" s="2">
        <v>1.4407535496318799E-5</v>
      </c>
    </row>
    <row r="41219" spans="1:6" x14ac:dyDescent="0.25">
      <c r="A41219" s="1" t="str">
        <f t="shared" si="1447"/>
        <v>99999</v>
      </c>
      <c r="B41219" s="1" t="str">
        <f>"85922"</f>
        <v>85922</v>
      </c>
      <c r="C41219" s="2">
        <v>7.6865232296475401E-6</v>
      </c>
      <c r="D41219" s="2">
        <v>1.50570889527644E-6</v>
      </c>
      <c r="E41219" s="2">
        <v>2.15052838482415E-5</v>
      </c>
      <c r="F41219" s="2">
        <v>7.5984947480585801E-6</v>
      </c>
    </row>
    <row r="41220" spans="1:6" x14ac:dyDescent="0.25">
      <c r="A41220" s="1" t="str">
        <f t="shared" si="1447"/>
        <v>99999</v>
      </c>
      <c r="B41220" s="1" t="str">
        <f>"89010"</f>
        <v>89010</v>
      </c>
      <c r="C41220" s="2">
        <v>1.4506959334827701E-5</v>
      </c>
      <c r="D41220" s="2">
        <v>2.8608469010252301E-5</v>
      </c>
      <c r="E41220" s="2">
        <v>8.6021135392965999E-6</v>
      </c>
      <c r="F41220" s="2">
        <v>1.5295671246091901E-5</v>
      </c>
    </row>
    <row r="41221" spans="1:6" x14ac:dyDescent="0.25">
      <c r="A41221" s="1" t="str">
        <f t="shared" si="1447"/>
        <v>99999</v>
      </c>
      <c r="B41221" s="1" t="str">
        <f>"04975"</f>
        <v>04975</v>
      </c>
      <c r="C41221" s="2">
        <v>2.0569569206099001E-6</v>
      </c>
      <c r="D41221" s="2">
        <v>0</v>
      </c>
      <c r="E41221" s="2">
        <v>4.3010567696482999E-6</v>
      </c>
      <c r="F41221" s="2">
        <v>1.9736349994957299E-6</v>
      </c>
    </row>
    <row r="41222" spans="1:6" x14ac:dyDescent="0.25">
      <c r="A41222" s="1" t="str">
        <f t="shared" ref="A41222:A41285" si="1448">"99999"</f>
        <v>99999</v>
      </c>
      <c r="B41222" s="1" t="str">
        <f>"04642"</f>
        <v>04642</v>
      </c>
      <c r="C41222" s="2">
        <v>2.1110873658891101E-5</v>
      </c>
      <c r="D41222" s="2">
        <v>1.50570889527644E-6</v>
      </c>
      <c r="E41222" s="2">
        <v>4.3010567696482999E-6</v>
      </c>
      <c r="F41222" s="2">
        <v>1.9440304745033001E-5</v>
      </c>
    </row>
    <row r="41223" spans="1:6" x14ac:dyDescent="0.25">
      <c r="A41223" s="1" t="str">
        <f t="shared" si="1448"/>
        <v>99999</v>
      </c>
      <c r="B41223" s="1" t="str">
        <f>"12460"</f>
        <v>12460</v>
      </c>
      <c r="C41223" s="2">
        <v>1.07178281652832E-5</v>
      </c>
      <c r="D41223" s="2">
        <v>1.20456711622115E-5</v>
      </c>
      <c r="E41223" s="2">
        <v>4.3010567696482999E-6</v>
      </c>
      <c r="F41223" s="2">
        <v>1.06576289972769E-5</v>
      </c>
    </row>
    <row r="41224" spans="1:6" x14ac:dyDescent="0.25">
      <c r="A41224" s="1" t="str">
        <f t="shared" si="1448"/>
        <v>99999</v>
      </c>
      <c r="B41224" s="1" t="str">
        <f>"13825"</f>
        <v>13825</v>
      </c>
      <c r="C41224" s="2">
        <v>3.7891311695445602E-6</v>
      </c>
      <c r="D41224" s="2">
        <v>0</v>
      </c>
      <c r="E41224" s="2">
        <v>0</v>
      </c>
      <c r="F41224" s="2">
        <v>3.4538612491175301E-6</v>
      </c>
    </row>
    <row r="41225" spans="1:6" x14ac:dyDescent="0.25">
      <c r="A41225" s="1" t="str">
        <f t="shared" si="1448"/>
        <v>99999</v>
      </c>
      <c r="B41225" s="1" t="str">
        <f>"13485"</f>
        <v>13485</v>
      </c>
      <c r="C41225" s="2">
        <v>5.5213054184792198E-6</v>
      </c>
      <c r="D41225" s="2">
        <v>1.50570889527644E-6</v>
      </c>
      <c r="E41225" s="2">
        <v>0</v>
      </c>
      <c r="F41225" s="2">
        <v>5.1314509986889099E-6</v>
      </c>
    </row>
    <row r="41226" spans="1:6" x14ac:dyDescent="0.25">
      <c r="A41226" s="1" t="str">
        <f t="shared" si="1448"/>
        <v>99999</v>
      </c>
      <c r="B41226" s="1" t="str">
        <f>"22538"</f>
        <v>22538</v>
      </c>
      <c r="C41226" s="2">
        <v>8.0113059013227898E-6</v>
      </c>
      <c r="D41226" s="2">
        <v>1.50570889527644E-6</v>
      </c>
      <c r="E41226" s="2">
        <v>4.3010567696482999E-6</v>
      </c>
      <c r="F41226" s="2">
        <v>7.4998129980837899E-6</v>
      </c>
    </row>
    <row r="41227" spans="1:6" x14ac:dyDescent="0.25">
      <c r="A41227" s="1" t="str">
        <f t="shared" si="1448"/>
        <v>99999</v>
      </c>
      <c r="B41227" s="1" t="str">
        <f>"26456"</f>
        <v>26456</v>
      </c>
      <c r="C41227" s="2">
        <v>1.0284784603049499E-5</v>
      </c>
      <c r="D41227" s="2">
        <v>0</v>
      </c>
      <c r="E41227" s="2">
        <v>0</v>
      </c>
      <c r="F41227" s="2">
        <v>9.3747662476047397E-6</v>
      </c>
    </row>
    <row r="41228" spans="1:6" x14ac:dyDescent="0.25">
      <c r="A41228" s="1" t="str">
        <f t="shared" si="1448"/>
        <v>99999</v>
      </c>
      <c r="B41228" s="1" t="str">
        <f>"33960"</f>
        <v>33960</v>
      </c>
      <c r="C41228" s="2">
        <v>2.1652178111683198E-6</v>
      </c>
      <c r="D41228" s="2">
        <v>1.50570889527644E-6</v>
      </c>
      <c r="E41228" s="2">
        <v>0</v>
      </c>
      <c r="F41228" s="2">
        <v>2.0723167494705202E-6</v>
      </c>
    </row>
    <row r="41229" spans="1:6" x14ac:dyDescent="0.25">
      <c r="A41229" s="1" t="str">
        <f t="shared" si="1448"/>
        <v>99999</v>
      </c>
      <c r="B41229" s="1" t="str">
        <f>"38460"</f>
        <v>38460</v>
      </c>
      <c r="C41229" s="2">
        <v>7.9355232779319002E-5</v>
      </c>
      <c r="D41229" s="2">
        <v>4.8182684648845999E-5</v>
      </c>
      <c r="E41229" s="2">
        <v>0</v>
      </c>
      <c r="F41229" s="2">
        <v>7.5491538730711896E-5</v>
      </c>
    </row>
    <row r="41230" spans="1:6" x14ac:dyDescent="0.25">
      <c r="A41230" s="1" t="str">
        <f t="shared" si="1448"/>
        <v>99999</v>
      </c>
      <c r="B41230" s="1" t="str">
        <f>"39145"</f>
        <v>39145</v>
      </c>
      <c r="C41230" s="2">
        <v>7.2534796674138799E-6</v>
      </c>
      <c r="D41230" s="2">
        <v>0</v>
      </c>
      <c r="E41230" s="2">
        <v>0</v>
      </c>
      <c r="F41230" s="2">
        <v>6.6116772483107097E-6</v>
      </c>
    </row>
    <row r="41231" spans="1:6" x14ac:dyDescent="0.25">
      <c r="A41231" s="1" t="str">
        <f t="shared" si="1448"/>
        <v>99999</v>
      </c>
      <c r="B41231" s="1" t="str">
        <f>"39662"</f>
        <v>39662</v>
      </c>
      <c r="C41231" s="2">
        <v>1.0068262821932701E-5</v>
      </c>
      <c r="D41231" s="2">
        <v>0</v>
      </c>
      <c r="E41231" s="2">
        <v>0</v>
      </c>
      <c r="F41231" s="2">
        <v>9.1774027476551693E-6</v>
      </c>
    </row>
    <row r="41232" spans="1:6" x14ac:dyDescent="0.25">
      <c r="A41232" s="1" t="str">
        <f t="shared" si="1448"/>
        <v>99999</v>
      </c>
      <c r="B41232" s="1" t="str">
        <f>"41566"</f>
        <v>41566</v>
      </c>
      <c r="C41232" s="2">
        <v>1.8945655847722799E-5</v>
      </c>
      <c r="D41232" s="2">
        <v>0</v>
      </c>
      <c r="E41232" s="2">
        <v>4.3010567696482999E-6</v>
      </c>
      <c r="F41232" s="2">
        <v>1.7367987995562399E-5</v>
      </c>
    </row>
    <row r="41233" spans="1:6" x14ac:dyDescent="0.25">
      <c r="A41233" s="1" t="str">
        <f t="shared" si="1448"/>
        <v>99999</v>
      </c>
      <c r="B41233" s="1" t="str">
        <f>"40979"</f>
        <v>40979</v>
      </c>
      <c r="C41233" s="2">
        <v>3.1395658261940598E-6</v>
      </c>
      <c r="D41233" s="2">
        <v>0</v>
      </c>
      <c r="E41233" s="2">
        <v>8.6021135392965999E-6</v>
      </c>
      <c r="F41233" s="2">
        <v>3.0591342492183902E-6</v>
      </c>
    </row>
    <row r="41234" spans="1:6" x14ac:dyDescent="0.25">
      <c r="A41234" s="1" t="str">
        <f t="shared" si="1448"/>
        <v>99999</v>
      </c>
      <c r="B41234" s="1" t="str">
        <f>"46050"</f>
        <v>46050</v>
      </c>
      <c r="C41234" s="2">
        <v>1.62391335837624E-6</v>
      </c>
      <c r="D41234" s="2">
        <v>1.50570889527644E-6</v>
      </c>
      <c r="E41234" s="2">
        <v>0</v>
      </c>
      <c r="F41234" s="2">
        <v>1.5789079995965801E-6</v>
      </c>
    </row>
    <row r="41235" spans="1:6" x14ac:dyDescent="0.25">
      <c r="A41235" s="1" t="str">
        <f t="shared" si="1448"/>
        <v>99999</v>
      </c>
      <c r="B41235" s="1" t="str">
        <f>"47446"</f>
        <v>47446</v>
      </c>
      <c r="C41235" s="2">
        <v>4.8717400751287203E-6</v>
      </c>
      <c r="D41235" s="2">
        <v>0</v>
      </c>
      <c r="E41235" s="2">
        <v>0</v>
      </c>
      <c r="F41235" s="2">
        <v>4.4406787488654001E-6</v>
      </c>
    </row>
    <row r="41236" spans="1:6" x14ac:dyDescent="0.25">
      <c r="A41236" s="1" t="str">
        <f t="shared" si="1448"/>
        <v>99999</v>
      </c>
      <c r="B41236" s="1" t="str">
        <f>"52038"</f>
        <v>52038</v>
      </c>
      <c r="C41236" s="2">
        <v>2.29513087983842E-5</v>
      </c>
      <c r="D41236" s="2">
        <v>1.50570889527644E-6</v>
      </c>
      <c r="E41236" s="2">
        <v>1.29031703089449E-5</v>
      </c>
      <c r="F41236" s="2">
        <v>2.1315257994553901E-5</v>
      </c>
    </row>
    <row r="41237" spans="1:6" x14ac:dyDescent="0.25">
      <c r="A41237" s="1" t="str">
        <f t="shared" si="1448"/>
        <v>99999</v>
      </c>
      <c r="B41237" s="1" t="str">
        <f>"50483"</f>
        <v>50483</v>
      </c>
      <c r="C41237" s="2">
        <v>3.9623485944380299E-5</v>
      </c>
      <c r="D41237" s="2">
        <v>7.5285444763821999E-6</v>
      </c>
      <c r="E41237" s="2">
        <v>3.01073973875381E-5</v>
      </c>
      <c r="F41237" s="2">
        <v>3.7301701490469398E-5</v>
      </c>
    </row>
    <row r="41238" spans="1:6" x14ac:dyDescent="0.25">
      <c r="A41238" s="1" t="str">
        <f t="shared" si="1448"/>
        <v>99999</v>
      </c>
      <c r="B41238" s="1" t="str">
        <f>"49098"</f>
        <v>49098</v>
      </c>
      <c r="C41238" s="2">
        <v>2.2626526126708901E-5</v>
      </c>
      <c r="D41238" s="2">
        <v>3.01141779055288E-6</v>
      </c>
      <c r="E41238" s="2">
        <v>0</v>
      </c>
      <c r="F41238" s="2">
        <v>2.082184924468E-5</v>
      </c>
    </row>
    <row r="41239" spans="1:6" x14ac:dyDescent="0.25">
      <c r="A41239" s="1" t="str">
        <f t="shared" si="1448"/>
        <v>99999</v>
      </c>
      <c r="B41239" s="1" t="str">
        <f>"52568"</f>
        <v>52568</v>
      </c>
      <c r="C41239" s="2">
        <v>3.46434849786931E-6</v>
      </c>
      <c r="D41239" s="2">
        <v>1.50570889527644E-6</v>
      </c>
      <c r="E41239" s="2">
        <v>4.3010567696482999E-6</v>
      </c>
      <c r="F41239" s="2">
        <v>3.35517949914275E-6</v>
      </c>
    </row>
    <row r="41240" spans="1:6" x14ac:dyDescent="0.25">
      <c r="A41240" s="1" t="str">
        <f t="shared" si="1448"/>
        <v>99999</v>
      </c>
      <c r="B41240" s="1" t="str">
        <f>"54488"</f>
        <v>54488</v>
      </c>
      <c r="C41240" s="2">
        <v>4.3087834442249601E-5</v>
      </c>
      <c r="D41240" s="2">
        <v>1.0539962266935E-5</v>
      </c>
      <c r="E41240" s="2">
        <v>1.72042270785932E-5</v>
      </c>
      <c r="F41240" s="2">
        <v>4.0360835739687802E-5</v>
      </c>
    </row>
    <row r="41241" spans="1:6" x14ac:dyDescent="0.25">
      <c r="A41241" s="1" t="str">
        <f t="shared" si="1448"/>
        <v>99999</v>
      </c>
      <c r="B41241" s="1" t="str">
        <f>"64726"</f>
        <v>64726</v>
      </c>
      <c r="C41241" s="2">
        <v>3.5293050322043599E-5</v>
      </c>
      <c r="D41241" s="2">
        <v>1.9574215638593701E-5</v>
      </c>
      <c r="E41241" s="2">
        <v>4.3010567696482999E-6</v>
      </c>
      <c r="F41241" s="2">
        <v>3.3551794991427497E-5</v>
      </c>
    </row>
    <row r="41242" spans="1:6" x14ac:dyDescent="0.25">
      <c r="A41242" s="1" t="str">
        <f t="shared" si="1448"/>
        <v>99999</v>
      </c>
      <c r="B41242" s="1" t="str">
        <f>"67070"</f>
        <v>67070</v>
      </c>
      <c r="C41242" s="2">
        <v>7.1019144206321003E-5</v>
      </c>
      <c r="D41242" s="2">
        <v>1.7466223185206699E-4</v>
      </c>
      <c r="E41242" s="2">
        <v>3.44084541571864E-5</v>
      </c>
      <c r="F41242" s="2">
        <v>7.6971764980333696E-5</v>
      </c>
    </row>
    <row r="41243" spans="1:6" x14ac:dyDescent="0.25">
      <c r="A41243" s="1" t="str">
        <f t="shared" si="1448"/>
        <v>99999</v>
      </c>
      <c r="B41243" s="1" t="str">
        <f>"67114"</f>
        <v>67114</v>
      </c>
      <c r="C41243" s="2">
        <v>1.8837394957164399E-5</v>
      </c>
      <c r="D41243" s="2">
        <v>4.5171266858293203E-6</v>
      </c>
      <c r="E41243" s="2">
        <v>0</v>
      </c>
      <c r="F41243" s="2">
        <v>1.7466669745537199E-5</v>
      </c>
    </row>
    <row r="41244" spans="1:6" x14ac:dyDescent="0.25">
      <c r="A41244" s="1" t="str">
        <f t="shared" si="1448"/>
        <v>99999</v>
      </c>
      <c r="B41244" s="1" t="str">
        <f>"67134"</f>
        <v>67134</v>
      </c>
      <c r="C41244" s="2">
        <v>2.1760439002241601E-5</v>
      </c>
      <c r="D41244" s="2">
        <v>1.80685067433172E-5</v>
      </c>
      <c r="E41244" s="2">
        <v>8.6021135392965999E-6</v>
      </c>
      <c r="F41244" s="2">
        <v>2.12165762445791E-5</v>
      </c>
    </row>
    <row r="41245" spans="1:6" x14ac:dyDescent="0.25">
      <c r="A41245" s="1" t="str">
        <f t="shared" si="1448"/>
        <v>99999</v>
      </c>
      <c r="B41245" s="1" t="str">
        <f>"67066"</f>
        <v>67066</v>
      </c>
      <c r="C41245" s="2">
        <v>1.4615220225386101E-5</v>
      </c>
      <c r="D41245" s="2">
        <v>0</v>
      </c>
      <c r="E41245" s="2">
        <v>4.3010567696482999E-6</v>
      </c>
      <c r="F41245" s="2">
        <v>1.3420717996571E-5</v>
      </c>
    </row>
    <row r="41246" spans="1:6" x14ac:dyDescent="0.25">
      <c r="A41246" s="1" t="str">
        <f t="shared" si="1448"/>
        <v>99999</v>
      </c>
      <c r="B41246" s="1" t="str">
        <f>"67552"</f>
        <v>67552</v>
      </c>
      <c r="C41246" s="2">
        <v>3.2694788948641601E-5</v>
      </c>
      <c r="D41246" s="2">
        <v>1.50570889527644E-5</v>
      </c>
      <c r="E41246" s="2">
        <v>1.72042270785932E-5</v>
      </c>
      <c r="F41246" s="2">
        <v>3.1183432992032599E-5</v>
      </c>
    </row>
    <row r="41247" spans="1:6" x14ac:dyDescent="0.25">
      <c r="A41247" s="1" t="str">
        <f t="shared" si="1448"/>
        <v>99999</v>
      </c>
      <c r="B41247" s="1" t="str">
        <f>"67731"</f>
        <v>67731</v>
      </c>
      <c r="C41247" s="2">
        <v>4.0273051287730802E-5</v>
      </c>
      <c r="D41247" s="2">
        <v>3.31255956960816E-5</v>
      </c>
      <c r="E41247" s="2">
        <v>3.01073973875381E-5</v>
      </c>
      <c r="F41247" s="2">
        <v>3.95713817398895E-5</v>
      </c>
    </row>
    <row r="41248" spans="1:6" x14ac:dyDescent="0.25">
      <c r="A41248" s="1" t="str">
        <f t="shared" si="1448"/>
        <v>99999</v>
      </c>
      <c r="B41248" s="1" t="str">
        <f>"66518"</f>
        <v>66518</v>
      </c>
      <c r="C41248" s="2">
        <v>1.09343499464E-5</v>
      </c>
      <c r="D41248" s="2">
        <v>3.01141779055288E-6</v>
      </c>
      <c r="E41248" s="2">
        <v>4.3010567696482999E-6</v>
      </c>
      <c r="F41248" s="2">
        <v>1.02629019973778E-5</v>
      </c>
    </row>
    <row r="41249" spans="1:6" x14ac:dyDescent="0.25">
      <c r="A41249" s="1" t="str">
        <f t="shared" si="1448"/>
        <v>99999</v>
      </c>
      <c r="B41249" s="1" t="str">
        <f>"66870"</f>
        <v>66870</v>
      </c>
      <c r="C41249" s="2">
        <v>1.07178281652832E-5</v>
      </c>
      <c r="D41249" s="2">
        <v>1.50570889527644E-6</v>
      </c>
      <c r="E41249" s="2">
        <v>8.6021135392965999E-6</v>
      </c>
      <c r="F41249" s="2">
        <v>1.00655384974282E-5</v>
      </c>
    </row>
    <row r="41250" spans="1:6" x14ac:dyDescent="0.25">
      <c r="A41250" s="1" t="str">
        <f t="shared" si="1448"/>
        <v>99999</v>
      </c>
      <c r="B41250" s="1" t="str">
        <f>"65638"</f>
        <v>65638</v>
      </c>
      <c r="C41250" s="2">
        <v>3.83243552576793E-5</v>
      </c>
      <c r="D41250" s="2">
        <v>1.50570889527644E-6</v>
      </c>
      <c r="E41250" s="2">
        <v>4.3010567696482999E-6</v>
      </c>
      <c r="F41250" s="2">
        <v>3.5130702991024101E-5</v>
      </c>
    </row>
    <row r="41251" spans="1:6" x14ac:dyDescent="0.25">
      <c r="A41251" s="1" t="str">
        <f t="shared" si="1448"/>
        <v>99999</v>
      </c>
      <c r="B41251" s="1" t="str">
        <f>"68975"</f>
        <v>68975</v>
      </c>
      <c r="C41251" s="2">
        <v>6.0626098712712997E-6</v>
      </c>
      <c r="D41251" s="2">
        <v>3.01141779055288E-6</v>
      </c>
      <c r="E41251" s="2">
        <v>4.3010567696482999E-6</v>
      </c>
      <c r="F41251" s="2">
        <v>5.8222232485124198E-6</v>
      </c>
    </row>
    <row r="41252" spans="1:6" x14ac:dyDescent="0.25">
      <c r="A41252" s="1" t="str">
        <f t="shared" si="1448"/>
        <v>99999</v>
      </c>
      <c r="B41252" s="1" t="str">
        <f>"69120"</f>
        <v>69120</v>
      </c>
      <c r="C41252" s="2">
        <v>5.5321315075350597E-5</v>
      </c>
      <c r="D41252" s="2">
        <v>8.5825407030757094E-5</v>
      </c>
      <c r="E41252" s="2">
        <v>2.58063406178898E-5</v>
      </c>
      <c r="F41252" s="2">
        <v>5.6643324485527599E-5</v>
      </c>
    </row>
    <row r="41253" spans="1:6" x14ac:dyDescent="0.25">
      <c r="A41253" s="1" t="str">
        <f t="shared" si="1448"/>
        <v>99999</v>
      </c>
      <c r="B41253" s="1" t="str">
        <f>"68927"</f>
        <v>68927</v>
      </c>
      <c r="C41253" s="2">
        <v>5.49965324036754E-5</v>
      </c>
      <c r="D41253" s="2">
        <v>2.7102760114975901E-5</v>
      </c>
      <c r="E41253" s="2">
        <v>4.7311624466131299E-5</v>
      </c>
      <c r="F41253" s="2">
        <v>5.2992099736460502E-5</v>
      </c>
    </row>
    <row r="41254" spans="1:6" x14ac:dyDescent="0.25">
      <c r="A41254" s="1" t="str">
        <f t="shared" si="1448"/>
        <v>99999</v>
      </c>
      <c r="B41254" s="1" t="str">
        <f>"70532"</f>
        <v>70532</v>
      </c>
      <c r="C41254" s="2">
        <v>3.0529571137473299E-5</v>
      </c>
      <c r="D41254" s="2">
        <v>1.65627978480408E-5</v>
      </c>
      <c r="E41254" s="2">
        <v>0</v>
      </c>
      <c r="F41254" s="2">
        <v>2.89137527426125E-5</v>
      </c>
    </row>
    <row r="41255" spans="1:6" x14ac:dyDescent="0.25">
      <c r="A41255" s="1" t="str">
        <f t="shared" si="1448"/>
        <v>99999</v>
      </c>
      <c r="B41255" s="1" t="str">
        <f>"68734"</f>
        <v>68734</v>
      </c>
      <c r="C41255" s="2">
        <v>7.47000144853071E-6</v>
      </c>
      <c r="D41255" s="2">
        <v>4.5171266858293203E-6</v>
      </c>
      <c r="E41255" s="2">
        <v>0</v>
      </c>
      <c r="F41255" s="2">
        <v>7.10508599818465E-6</v>
      </c>
    </row>
    <row r="41256" spans="1:6" x14ac:dyDescent="0.25">
      <c r="A41256" s="1" t="str">
        <f t="shared" si="1448"/>
        <v>99999</v>
      </c>
      <c r="B41256" s="1" t="str">
        <f>"72949"</f>
        <v>72949</v>
      </c>
      <c r="C41256" s="2">
        <v>2.2843047907825799E-5</v>
      </c>
      <c r="D41256" s="2">
        <v>3.01141779055288E-6</v>
      </c>
      <c r="E41256" s="2">
        <v>0</v>
      </c>
      <c r="F41256" s="2">
        <v>2.10192127446295E-5</v>
      </c>
    </row>
    <row r="41257" spans="1:6" x14ac:dyDescent="0.25">
      <c r="A41257" s="1" t="str">
        <f t="shared" si="1448"/>
        <v>99999</v>
      </c>
      <c r="B41257" s="1" t="str">
        <f>"72532"</f>
        <v>72532</v>
      </c>
      <c r="C41257" s="2">
        <v>4.0056529506613898E-6</v>
      </c>
      <c r="D41257" s="2">
        <v>0</v>
      </c>
      <c r="E41257" s="2">
        <v>0</v>
      </c>
      <c r="F41257" s="2">
        <v>3.6512247490671102E-6</v>
      </c>
    </row>
    <row r="41258" spans="1:6" x14ac:dyDescent="0.25">
      <c r="A41258" s="1" t="str">
        <f t="shared" si="1448"/>
        <v>99999</v>
      </c>
      <c r="B41258" s="1" t="str">
        <f>"72473"</f>
        <v>72473</v>
      </c>
      <c r="C41258" s="2">
        <v>1.06961759871715E-4</v>
      </c>
      <c r="D41258" s="2">
        <v>3.6137013486634501E-5</v>
      </c>
      <c r="E41258" s="2">
        <v>3.01073973875381E-5</v>
      </c>
      <c r="F41258" s="2">
        <v>1.00556703224307E-4</v>
      </c>
    </row>
    <row r="41259" spans="1:6" x14ac:dyDescent="0.25">
      <c r="A41259" s="1" t="str">
        <f t="shared" si="1448"/>
        <v>99999</v>
      </c>
      <c r="B41259" s="1" t="str">
        <f>"72852"</f>
        <v>72852</v>
      </c>
      <c r="C41259" s="2">
        <v>3.3236093401433701E-5</v>
      </c>
      <c r="D41259" s="2">
        <v>4.5171266858293203E-6</v>
      </c>
      <c r="E41259" s="2">
        <v>4.3010567696482999E-6</v>
      </c>
      <c r="F41259" s="2">
        <v>3.06900242421586E-5</v>
      </c>
    </row>
    <row r="41260" spans="1:6" x14ac:dyDescent="0.25">
      <c r="A41260" s="1" t="str">
        <f t="shared" si="1448"/>
        <v>99999</v>
      </c>
      <c r="B41260" s="1" t="str">
        <f>"73528"</f>
        <v>73528</v>
      </c>
      <c r="C41260" s="2">
        <v>1.0284784603049499E-5</v>
      </c>
      <c r="D41260" s="2">
        <v>3.01141779055288E-6</v>
      </c>
      <c r="E41260" s="2">
        <v>0</v>
      </c>
      <c r="F41260" s="2">
        <v>9.5721297475543202E-6</v>
      </c>
    </row>
    <row r="41261" spans="1:6" x14ac:dyDescent="0.25">
      <c r="A41261" s="1" t="str">
        <f t="shared" si="1448"/>
        <v>99999</v>
      </c>
      <c r="B41261" s="1" t="str">
        <f>"73933"</f>
        <v>73933</v>
      </c>
      <c r="C41261" s="2">
        <v>2.39256568134099E-5</v>
      </c>
      <c r="D41261" s="2">
        <v>1.0539962266935E-5</v>
      </c>
      <c r="E41261" s="2">
        <v>8.6021135392965999E-6</v>
      </c>
      <c r="F41261" s="2">
        <v>2.26968024942009E-5</v>
      </c>
    </row>
    <row r="41262" spans="1:6" x14ac:dyDescent="0.25">
      <c r="A41262" s="1" t="str">
        <f t="shared" si="1448"/>
        <v>99999</v>
      </c>
      <c r="B41262" s="1" t="str">
        <f>"76635"</f>
        <v>76635</v>
      </c>
      <c r="C41262" s="2">
        <v>4.7634791845703101E-5</v>
      </c>
      <c r="D41262" s="2">
        <v>1.35513800574879E-5</v>
      </c>
      <c r="E41262" s="2">
        <v>3.01073973875381E-5</v>
      </c>
      <c r="F41262" s="2">
        <v>4.49988779885027E-5</v>
      </c>
    </row>
    <row r="41263" spans="1:6" x14ac:dyDescent="0.25">
      <c r="A41263" s="1" t="str">
        <f t="shared" si="1448"/>
        <v>99999</v>
      </c>
      <c r="B41263" s="1" t="str">
        <f>"76534"</f>
        <v>76534</v>
      </c>
      <c r="C41263" s="2">
        <v>3.1395658261940598E-6</v>
      </c>
      <c r="D41263" s="2">
        <v>1.50570889527644E-6</v>
      </c>
      <c r="E41263" s="2">
        <v>0</v>
      </c>
      <c r="F41263" s="2">
        <v>2.9604524992435999E-6</v>
      </c>
    </row>
    <row r="41264" spans="1:6" x14ac:dyDescent="0.25">
      <c r="A41264" s="1" t="str">
        <f t="shared" si="1448"/>
        <v>99999</v>
      </c>
      <c r="B41264" s="1" t="str">
        <f>"78840"</f>
        <v>78840</v>
      </c>
      <c r="C41264" s="2">
        <v>2.59826137340198E-6</v>
      </c>
      <c r="D41264" s="2">
        <v>0</v>
      </c>
      <c r="E41264" s="2">
        <v>0</v>
      </c>
      <c r="F41264" s="2">
        <v>2.3683619993948799E-6</v>
      </c>
    </row>
    <row r="41265" spans="1:6" x14ac:dyDescent="0.25">
      <c r="A41265" s="1" t="str">
        <f t="shared" si="1448"/>
        <v>99999</v>
      </c>
      <c r="B41265" s="1" t="str">
        <f>"79739"</f>
        <v>79739</v>
      </c>
      <c r="C41265" s="2">
        <v>2.5766091952903002E-5</v>
      </c>
      <c r="D41265" s="2">
        <v>2.4091342324423E-5</v>
      </c>
      <c r="E41265" s="2">
        <v>0</v>
      </c>
      <c r="F41265" s="2">
        <v>2.5065164493595799E-5</v>
      </c>
    </row>
    <row r="41266" spans="1:6" x14ac:dyDescent="0.25">
      <c r="A41266" s="1" t="str">
        <f t="shared" si="1448"/>
        <v>99999</v>
      </c>
      <c r="B41266" s="1" t="str">
        <f>"81325"</f>
        <v>81325</v>
      </c>
      <c r="C41266" s="2">
        <v>8.1195667918812104E-6</v>
      </c>
      <c r="D41266" s="2">
        <v>0</v>
      </c>
      <c r="E41266" s="2">
        <v>1.29031703089449E-5</v>
      </c>
      <c r="F41266" s="2">
        <v>7.6971764980333696E-6</v>
      </c>
    </row>
    <row r="41267" spans="1:6" x14ac:dyDescent="0.25">
      <c r="A41267" s="1" t="str">
        <f t="shared" si="1448"/>
        <v>99999</v>
      </c>
      <c r="B41267" s="1" t="str">
        <f>"81092"</f>
        <v>81092</v>
      </c>
      <c r="C41267" s="2">
        <v>4.00565295066139E-5</v>
      </c>
      <c r="D41267" s="2">
        <v>6.0228355811057601E-6</v>
      </c>
      <c r="E41267" s="2">
        <v>2.15052838482415E-5</v>
      </c>
      <c r="F41267" s="2">
        <v>3.7400383240444202E-5</v>
      </c>
    </row>
    <row r="41268" spans="1:6" x14ac:dyDescent="0.25">
      <c r="A41268" s="1" t="str">
        <f t="shared" si="1448"/>
        <v>99999</v>
      </c>
      <c r="B41268" s="1" t="str">
        <f>"83255"</f>
        <v>83255</v>
      </c>
      <c r="C41268" s="2">
        <v>7.9030450107643795E-6</v>
      </c>
      <c r="D41268" s="2">
        <v>0</v>
      </c>
      <c r="E41268" s="2">
        <v>8.6021135392965999E-6</v>
      </c>
      <c r="F41268" s="2">
        <v>7.4011312481090098E-6</v>
      </c>
    </row>
    <row r="41269" spans="1:6" x14ac:dyDescent="0.25">
      <c r="A41269" s="1" t="str">
        <f t="shared" si="1448"/>
        <v>99999</v>
      </c>
      <c r="B41269" s="1" t="str">
        <f>"82431"</f>
        <v>82431</v>
      </c>
      <c r="C41269" s="2">
        <v>1.7505786003295799E-4</v>
      </c>
      <c r="D41269" s="2">
        <v>2.7554472783558799E-4</v>
      </c>
      <c r="E41269" s="2">
        <v>2.3655812233065599E-4</v>
      </c>
      <c r="F41269" s="2">
        <v>1.8305464620322899E-4</v>
      </c>
    </row>
    <row r="41270" spans="1:6" x14ac:dyDescent="0.25">
      <c r="A41270" s="1" t="str">
        <f t="shared" si="1448"/>
        <v>99999</v>
      </c>
      <c r="B41270" s="1" t="str">
        <f>"82334"</f>
        <v>82334</v>
      </c>
      <c r="C41270" s="2">
        <v>2.59826137340198E-6</v>
      </c>
      <c r="D41270" s="2">
        <v>3.01141779055288E-6</v>
      </c>
      <c r="E41270" s="2">
        <v>4.3010567696482999E-6</v>
      </c>
      <c r="F41270" s="2">
        <v>2.6644072493192401E-6</v>
      </c>
    </row>
    <row r="41271" spans="1:6" x14ac:dyDescent="0.25">
      <c r="A41271" s="1" t="str">
        <f t="shared" si="1448"/>
        <v>99999</v>
      </c>
      <c r="B41271" s="1" t="str">
        <f>"82411"</f>
        <v>82411</v>
      </c>
      <c r="C41271" s="2">
        <v>1.3749133100918801E-5</v>
      </c>
      <c r="D41271" s="2">
        <v>3.01141779055288E-6</v>
      </c>
      <c r="E41271" s="2">
        <v>4.3010567696482999E-6</v>
      </c>
      <c r="F41271" s="2">
        <v>1.2828627496722201E-5</v>
      </c>
    </row>
    <row r="41272" spans="1:6" x14ac:dyDescent="0.25">
      <c r="A41272" s="1" t="str">
        <f t="shared" si="1448"/>
        <v>99999</v>
      </c>
      <c r="B41272" s="1" t="str">
        <f>"80812"</f>
        <v>80812</v>
      </c>
      <c r="C41272" s="2">
        <v>1.16921761803089E-5</v>
      </c>
      <c r="D41272" s="2">
        <v>3.01141779055288E-6</v>
      </c>
      <c r="E41272" s="2">
        <v>2.15052838482415E-5</v>
      </c>
      <c r="F41272" s="2">
        <v>1.1348401247100399E-5</v>
      </c>
    </row>
    <row r="41273" spans="1:6" x14ac:dyDescent="0.25">
      <c r="A41273" s="1" t="str">
        <f t="shared" si="1448"/>
        <v>99999</v>
      </c>
      <c r="B41273" s="1" t="str">
        <f>"84736"</f>
        <v>84736</v>
      </c>
      <c r="C41273" s="2">
        <v>9.5269583691406198E-6</v>
      </c>
      <c r="D41273" s="2">
        <v>3.01141779055288E-6</v>
      </c>
      <c r="E41273" s="2">
        <v>4.3010567696482999E-6</v>
      </c>
      <c r="F41273" s="2">
        <v>8.9800392477055905E-6</v>
      </c>
    </row>
    <row r="41274" spans="1:6" x14ac:dyDescent="0.25">
      <c r="A41274" s="1" t="str">
        <f t="shared" si="1448"/>
        <v>99999</v>
      </c>
      <c r="B41274" s="1" t="str">
        <f>"84518"</f>
        <v>84518</v>
      </c>
      <c r="C41274" s="2">
        <v>2.94469622318891E-5</v>
      </c>
      <c r="D41274" s="2">
        <v>6.4745482496886904E-5</v>
      </c>
      <c r="E41274" s="2">
        <v>4.3010567696482999E-6</v>
      </c>
      <c r="F41274" s="2">
        <v>3.1183432992032599E-5</v>
      </c>
    </row>
    <row r="41275" spans="1:6" x14ac:dyDescent="0.25">
      <c r="A41275" s="1" t="str">
        <f t="shared" si="1448"/>
        <v>99999</v>
      </c>
      <c r="B41275" s="1" t="str">
        <f>"89008"</f>
        <v>89008</v>
      </c>
      <c r="C41275" s="2">
        <v>4.1139138412198104E-6</v>
      </c>
      <c r="D41275" s="2">
        <v>3.01141779055288E-6</v>
      </c>
      <c r="E41275" s="2">
        <v>1.3763381662874499E-3</v>
      </c>
      <c r="F41275" s="2">
        <v>3.5525429990923201E-5</v>
      </c>
    </row>
    <row r="41276" spans="1:6" x14ac:dyDescent="0.25">
      <c r="A41276" s="1" t="str">
        <f t="shared" si="1448"/>
        <v>99999</v>
      </c>
      <c r="B41276" s="1" t="str">
        <f>"87825"</f>
        <v>87825</v>
      </c>
      <c r="C41276" s="2">
        <v>1.16921761803089E-5</v>
      </c>
      <c r="D41276" s="2">
        <v>1.50570889527644E-6</v>
      </c>
      <c r="E41276" s="2">
        <v>8.6021135392965999E-6</v>
      </c>
      <c r="F41276" s="2">
        <v>1.0953674247201299E-5</v>
      </c>
    </row>
    <row r="41277" spans="1:6" x14ac:dyDescent="0.25">
      <c r="A41277" s="1" t="str">
        <f t="shared" si="1448"/>
        <v>99999</v>
      </c>
      <c r="B41277" s="1" t="str">
        <f>"85901"</f>
        <v>85901</v>
      </c>
      <c r="C41277" s="2">
        <v>4.3737399785600097E-5</v>
      </c>
      <c r="D41277" s="2">
        <v>0</v>
      </c>
      <c r="E41277" s="2">
        <v>4.3010567696482999E-5</v>
      </c>
      <c r="F41277" s="2">
        <v>4.0854244489561699E-5</v>
      </c>
    </row>
    <row r="41278" spans="1:6" x14ac:dyDescent="0.25">
      <c r="A41278" s="1" t="str">
        <f t="shared" si="1448"/>
        <v>99999</v>
      </c>
      <c r="B41278" s="1" t="str">
        <f>"96046"</f>
        <v>96046</v>
      </c>
      <c r="C41278" s="2">
        <v>5.0882618562455504E-6</v>
      </c>
      <c r="D41278" s="2">
        <v>0</v>
      </c>
      <c r="E41278" s="2">
        <v>4.3010567696482999E-6</v>
      </c>
      <c r="F41278" s="2">
        <v>4.7367239987897599E-6</v>
      </c>
    </row>
    <row r="41279" spans="1:6" x14ac:dyDescent="0.25">
      <c r="A41279" s="1" t="str">
        <f t="shared" si="1448"/>
        <v>99999</v>
      </c>
      <c r="B41279" s="1" t="str">
        <f>"96048"</f>
        <v>96048</v>
      </c>
      <c r="C41279" s="2">
        <v>2.15439172211248E-5</v>
      </c>
      <c r="D41279" s="2">
        <v>9.0342533716586405E-6</v>
      </c>
      <c r="E41279" s="2">
        <v>4.3010567696482999E-6</v>
      </c>
      <c r="F41279" s="2">
        <v>2.0328440494806002E-5</v>
      </c>
    </row>
    <row r="41280" spans="1:6" x14ac:dyDescent="0.25">
      <c r="A41280" s="1" t="str">
        <f t="shared" si="1448"/>
        <v>99999</v>
      </c>
      <c r="B41280" s="1" t="str">
        <f>"96076"</f>
        <v>96076</v>
      </c>
      <c r="C41280" s="2">
        <v>6.1708707618297202E-6</v>
      </c>
      <c r="D41280" s="2">
        <v>1.50570889527644E-6</v>
      </c>
      <c r="E41280" s="2">
        <v>1.29031703089449E-5</v>
      </c>
      <c r="F41280" s="2">
        <v>6.0195867484619901E-6</v>
      </c>
    </row>
    <row r="41281" spans="1:6" x14ac:dyDescent="0.25">
      <c r="A41281" s="1" t="str">
        <f t="shared" si="1448"/>
        <v>99999</v>
      </c>
      <c r="B41281" s="1" t="str">
        <f>"97867"</f>
        <v>97867</v>
      </c>
      <c r="C41281" s="2">
        <v>4.1139138412198104E-6</v>
      </c>
      <c r="D41281" s="2">
        <v>1.50570889527644E-6</v>
      </c>
      <c r="E41281" s="2">
        <v>0</v>
      </c>
      <c r="F41281" s="2">
        <v>3.8485882490166797E-6</v>
      </c>
    </row>
    <row r="41282" spans="1:6" x14ac:dyDescent="0.25">
      <c r="A41282" s="1" t="str">
        <f t="shared" si="1448"/>
        <v>99999</v>
      </c>
      <c r="B41282" s="1" t="str">
        <f>"97874"</f>
        <v>97874</v>
      </c>
      <c r="C41282" s="2">
        <v>3.1287397371382199E-5</v>
      </c>
      <c r="D41282" s="2">
        <v>3.01141779055288E-6</v>
      </c>
      <c r="E41282" s="2">
        <v>0</v>
      </c>
      <c r="F41282" s="2">
        <v>2.87163892426629E-5</v>
      </c>
    </row>
    <row r="41283" spans="1:6" x14ac:dyDescent="0.25">
      <c r="A41283" s="1" t="str">
        <f t="shared" si="1448"/>
        <v>99999</v>
      </c>
      <c r="B41283" s="1" t="str">
        <f>"83808"</f>
        <v>83808</v>
      </c>
      <c r="C41283" s="2">
        <v>4.3304356223366396E-6</v>
      </c>
      <c r="D41283" s="2">
        <v>1.50570889527644E-6</v>
      </c>
      <c r="E41283" s="2">
        <v>1.5053698693768999E-4</v>
      </c>
      <c r="F41283" s="2">
        <v>7.4998129980837899E-6</v>
      </c>
    </row>
    <row r="41284" spans="1:6" x14ac:dyDescent="0.25">
      <c r="A41284" s="1" t="str">
        <f t="shared" si="1448"/>
        <v>99999</v>
      </c>
      <c r="B41284" s="1" t="str">
        <f>"83537"</f>
        <v>83537</v>
      </c>
      <c r="C41284" s="2">
        <v>5.5213054184792198E-6</v>
      </c>
      <c r="D41284" s="2">
        <v>3.01141779055288E-6</v>
      </c>
      <c r="E41284" s="2">
        <v>0</v>
      </c>
      <c r="F41284" s="2">
        <v>5.2301327486637002E-6</v>
      </c>
    </row>
    <row r="41285" spans="1:6" x14ac:dyDescent="0.25">
      <c r="A41285" s="1" t="str">
        <f t="shared" si="1448"/>
        <v>99999</v>
      </c>
      <c r="B41285" s="1" t="str">
        <f>"99150"</f>
        <v>99150</v>
      </c>
      <c r="C41285" s="2">
        <v>8.7691321352316998E-6</v>
      </c>
      <c r="D41285" s="2">
        <v>3.01141779055288E-6</v>
      </c>
      <c r="E41285" s="2">
        <v>1.97848611403821E-4</v>
      </c>
      <c r="F41285" s="2">
        <v>1.27299457467474E-5</v>
      </c>
    </row>
    <row r="41286" spans="1:6" x14ac:dyDescent="0.25">
      <c r="A41286" s="1" t="str">
        <f t="shared" ref="A41286:A41349" si="1449">"99999"</f>
        <v>99999</v>
      </c>
      <c r="B41286" s="1" t="str">
        <f>"99612"</f>
        <v>99612</v>
      </c>
      <c r="C41286" s="2">
        <v>0</v>
      </c>
      <c r="D41286" s="2">
        <v>0</v>
      </c>
      <c r="E41286" s="2">
        <v>4.3010567696482999E-6</v>
      </c>
      <c r="F41286" s="2">
        <v>9.8681749974786797E-8</v>
      </c>
    </row>
    <row r="41287" spans="1:6" x14ac:dyDescent="0.25">
      <c r="A41287" s="1" t="str">
        <f t="shared" si="1449"/>
        <v>99999</v>
      </c>
      <c r="B41287" s="1" t="str">
        <f>"99322"</f>
        <v>99322</v>
      </c>
      <c r="C41287" s="2">
        <v>7.6865232296475401E-6</v>
      </c>
      <c r="D41287" s="2">
        <v>3.01141779055288E-6</v>
      </c>
      <c r="E41287" s="2">
        <v>1.16128532780504E-4</v>
      </c>
      <c r="F41287" s="2">
        <v>9.8681749974786808E-6</v>
      </c>
    </row>
    <row r="41288" spans="1:6" x14ac:dyDescent="0.25">
      <c r="A41288" s="1" t="str">
        <f t="shared" si="1449"/>
        <v>99999</v>
      </c>
      <c r="B41288" s="1" t="str">
        <f>"03887"</f>
        <v>03887</v>
      </c>
      <c r="C41288" s="2">
        <v>1.13673935086336E-5</v>
      </c>
      <c r="D41288" s="2">
        <v>1.20456711622115E-5</v>
      </c>
      <c r="E41288" s="2">
        <v>4.3010567696482999E-6</v>
      </c>
      <c r="F41288" s="2">
        <v>1.1249719497125601E-5</v>
      </c>
    </row>
    <row r="41289" spans="1:6" x14ac:dyDescent="0.25">
      <c r="A41289" s="1" t="str">
        <f t="shared" si="1449"/>
        <v>99999</v>
      </c>
      <c r="B41289" s="1" t="str">
        <f>"04237"</f>
        <v>04237</v>
      </c>
      <c r="C41289" s="2">
        <v>7.6865232296475401E-6</v>
      </c>
      <c r="D41289" s="2">
        <v>0</v>
      </c>
      <c r="E41289" s="2">
        <v>8.6021135392965999E-6</v>
      </c>
      <c r="F41289" s="2">
        <v>7.2037677481594301E-6</v>
      </c>
    </row>
    <row r="41290" spans="1:6" x14ac:dyDescent="0.25">
      <c r="A41290" s="1" t="str">
        <f t="shared" si="1449"/>
        <v>99999</v>
      </c>
      <c r="B41290" s="1" t="str">
        <f>"04949"</f>
        <v>04949</v>
      </c>
      <c r="C41290" s="2">
        <v>5.7378271995960502E-5</v>
      </c>
      <c r="D41290" s="2">
        <v>1.80685067433172E-5</v>
      </c>
      <c r="E41290" s="2">
        <v>1.2473064631979999E-4</v>
      </c>
      <c r="F41290" s="2">
        <v>5.6347279235603201E-5</v>
      </c>
    </row>
    <row r="41291" spans="1:6" x14ac:dyDescent="0.25">
      <c r="A41291" s="1" t="str">
        <f t="shared" si="1449"/>
        <v>99999</v>
      </c>
      <c r="B41291" s="1" t="str">
        <f>"05868"</f>
        <v>05868</v>
      </c>
      <c r="C41291" s="2">
        <v>2.3817395922851499E-6</v>
      </c>
      <c r="D41291" s="2">
        <v>0</v>
      </c>
      <c r="E41291" s="2">
        <v>4.3010567696482999E-6</v>
      </c>
      <c r="F41291" s="2">
        <v>2.2696802494200901E-6</v>
      </c>
    </row>
    <row r="41292" spans="1:6" x14ac:dyDescent="0.25">
      <c r="A41292" s="1" t="str">
        <f t="shared" si="1449"/>
        <v>99999</v>
      </c>
      <c r="B41292" s="1" t="str">
        <f>"12779"</f>
        <v>12779</v>
      </c>
      <c r="C41292" s="2">
        <v>5.97600115882457E-5</v>
      </c>
      <c r="D41292" s="2">
        <v>3.31255956960816E-5</v>
      </c>
      <c r="E41292" s="2">
        <v>9.0322192162614306E-5</v>
      </c>
      <c r="F41292" s="2">
        <v>5.87156412349981E-5</v>
      </c>
    </row>
    <row r="41293" spans="1:6" x14ac:dyDescent="0.25">
      <c r="A41293" s="1" t="str">
        <f t="shared" si="1449"/>
        <v>99999</v>
      </c>
      <c r="B41293" s="1" t="str">
        <f>"12780"</f>
        <v>12780</v>
      </c>
      <c r="C41293" s="2">
        <v>3.2478267167524799E-6</v>
      </c>
      <c r="D41293" s="2">
        <v>3.01141779055288E-6</v>
      </c>
      <c r="E41293" s="2">
        <v>0</v>
      </c>
      <c r="F41293" s="2">
        <v>3.1578159991931699E-6</v>
      </c>
    </row>
    <row r="41294" spans="1:6" x14ac:dyDescent="0.25">
      <c r="A41294" s="1" t="str">
        <f t="shared" si="1449"/>
        <v>99999</v>
      </c>
      <c r="B41294" s="1" t="str">
        <f>"12190"</f>
        <v>12190</v>
      </c>
      <c r="C41294" s="2">
        <v>1.8404351394930699E-5</v>
      </c>
      <c r="D41294" s="2">
        <v>4.5171266858293203E-6</v>
      </c>
      <c r="E41294" s="2">
        <v>4.3010567696482999E-6</v>
      </c>
      <c r="F41294" s="2">
        <v>1.7170624495612899E-5</v>
      </c>
    </row>
    <row r="41295" spans="1:6" x14ac:dyDescent="0.25">
      <c r="A41295" s="1" t="str">
        <f t="shared" si="1449"/>
        <v>99999</v>
      </c>
      <c r="B41295" s="1" t="str">
        <f>"14714"</f>
        <v>14714</v>
      </c>
      <c r="C41295" s="2">
        <v>2.1868699892800001E-5</v>
      </c>
      <c r="D41295" s="2">
        <v>7.5285444763821999E-6</v>
      </c>
      <c r="E41295" s="2">
        <v>2.15052838482415E-5</v>
      </c>
      <c r="F41295" s="2">
        <v>2.0920530994654801E-5</v>
      </c>
    </row>
    <row r="41296" spans="1:6" x14ac:dyDescent="0.25">
      <c r="A41296" s="1" t="str">
        <f t="shared" si="1449"/>
        <v>99999</v>
      </c>
      <c r="B41296" s="1" t="str">
        <f>"24879"</f>
        <v>24879</v>
      </c>
      <c r="C41296" s="2">
        <v>1.5589568240411901E-5</v>
      </c>
      <c r="D41296" s="2">
        <v>1.50570889527644E-6</v>
      </c>
      <c r="E41296" s="2">
        <v>0</v>
      </c>
      <c r="F41296" s="2">
        <v>1.4308853746344E-5</v>
      </c>
    </row>
    <row r="41297" spans="1:6" x14ac:dyDescent="0.25">
      <c r="A41297" s="1" t="str">
        <f t="shared" si="1449"/>
        <v>99999</v>
      </c>
      <c r="B41297" s="1" t="str">
        <f>"27534"</f>
        <v>27534</v>
      </c>
      <c r="C41297" s="2">
        <v>4.3304356223366401E-7</v>
      </c>
      <c r="D41297" s="2">
        <v>1.50570889527644E-6</v>
      </c>
      <c r="E41297" s="2">
        <v>0</v>
      </c>
      <c r="F41297" s="2">
        <v>4.9340874987393396E-7</v>
      </c>
    </row>
    <row r="41298" spans="1:6" x14ac:dyDescent="0.25">
      <c r="A41298" s="1" t="str">
        <f t="shared" si="1449"/>
        <v>99999</v>
      </c>
      <c r="B41298" s="1" t="str">
        <f>"36035"</f>
        <v>36035</v>
      </c>
      <c r="C41298" s="2">
        <v>2.5441309281227699E-5</v>
      </c>
      <c r="D41298" s="2">
        <v>6.0228355811057601E-6</v>
      </c>
      <c r="E41298" s="2">
        <v>8.6021135392965999E-6</v>
      </c>
      <c r="F41298" s="2">
        <v>2.37823017439236E-5</v>
      </c>
    </row>
    <row r="41299" spans="1:6" x14ac:dyDescent="0.25">
      <c r="A41299" s="1" t="str">
        <f t="shared" si="1449"/>
        <v>99999</v>
      </c>
      <c r="B41299" s="1" t="str">
        <f>"38963"</f>
        <v>38963</v>
      </c>
      <c r="C41299" s="2">
        <v>8.5417842650590295E-5</v>
      </c>
      <c r="D41299" s="2">
        <v>4.9688393544122498E-5</v>
      </c>
      <c r="E41299" s="2">
        <v>7.7419021853669399E-5</v>
      </c>
      <c r="F41299" s="2">
        <v>8.2892669978820895E-5</v>
      </c>
    </row>
    <row r="41300" spans="1:6" x14ac:dyDescent="0.25">
      <c r="A41300" s="1" t="str">
        <f t="shared" si="1449"/>
        <v>99999</v>
      </c>
      <c r="B41300" s="1" t="str">
        <f>"39769"</f>
        <v>39769</v>
      </c>
      <c r="C41300" s="2">
        <v>2.1002612768332701E-5</v>
      </c>
      <c r="D41300" s="2">
        <v>0</v>
      </c>
      <c r="E41300" s="2">
        <v>0</v>
      </c>
      <c r="F41300" s="2">
        <v>1.91442594951086E-5</v>
      </c>
    </row>
    <row r="41301" spans="1:6" x14ac:dyDescent="0.25">
      <c r="A41301" s="1" t="str">
        <f t="shared" si="1449"/>
        <v>99999</v>
      </c>
      <c r="B41301" s="1" t="str">
        <f>"38841"</f>
        <v>38841</v>
      </c>
      <c r="C41301" s="2">
        <v>7.3617405579722903E-6</v>
      </c>
      <c r="D41301" s="2">
        <v>0</v>
      </c>
      <c r="E41301" s="2">
        <v>8.6021135392965999E-6</v>
      </c>
      <c r="F41301" s="2">
        <v>6.9077224982350703E-6</v>
      </c>
    </row>
    <row r="41302" spans="1:6" x14ac:dyDescent="0.25">
      <c r="A41302" s="1" t="str">
        <f t="shared" si="1449"/>
        <v>99999</v>
      </c>
      <c r="B41302" s="1" t="str">
        <f>"41746"</f>
        <v>41746</v>
      </c>
      <c r="C41302" s="2">
        <v>1.13673935086336E-5</v>
      </c>
      <c r="D41302" s="2">
        <v>3.01141779055288E-6</v>
      </c>
      <c r="E41302" s="2">
        <v>1.29031703089449E-5</v>
      </c>
      <c r="F41302" s="2">
        <v>1.08549924972265E-5</v>
      </c>
    </row>
    <row r="41303" spans="1:6" x14ac:dyDescent="0.25">
      <c r="A41303" s="1" t="str">
        <f t="shared" si="1449"/>
        <v>99999</v>
      </c>
      <c r="B41303" s="1" t="str">
        <f>"42088"</f>
        <v>42088</v>
      </c>
      <c r="C41303" s="2">
        <v>1.51565246781782E-5</v>
      </c>
      <c r="D41303" s="2">
        <v>1.50570889527644E-6</v>
      </c>
      <c r="E41303" s="2">
        <v>4.3010567696482999E-6</v>
      </c>
      <c r="F41303" s="2">
        <v>1.4012808496419701E-5</v>
      </c>
    </row>
    <row r="41304" spans="1:6" x14ac:dyDescent="0.25">
      <c r="A41304" s="1" t="str">
        <f t="shared" si="1449"/>
        <v>99999</v>
      </c>
      <c r="B41304" s="1" t="str">
        <f>"42553"</f>
        <v>42553</v>
      </c>
      <c r="C41304" s="2">
        <v>1.62391335837624E-6</v>
      </c>
      <c r="D41304" s="2">
        <v>0</v>
      </c>
      <c r="E41304" s="2">
        <v>0</v>
      </c>
      <c r="F41304" s="2">
        <v>1.4802262496218E-6</v>
      </c>
    </row>
    <row r="41305" spans="1:6" x14ac:dyDescent="0.25">
      <c r="A41305" s="1" t="str">
        <f t="shared" si="1449"/>
        <v>99999</v>
      </c>
      <c r="B41305" s="1" t="str">
        <f>"41833"</f>
        <v>41833</v>
      </c>
      <c r="C41305" s="2">
        <v>1.9162177628839599E-5</v>
      </c>
      <c r="D41305" s="2">
        <v>0</v>
      </c>
      <c r="E41305" s="2">
        <v>2.15052838482415E-5</v>
      </c>
      <c r="F41305" s="2">
        <v>1.79600784954111E-5</v>
      </c>
    </row>
    <row r="41306" spans="1:6" x14ac:dyDescent="0.25">
      <c r="A41306" s="1" t="str">
        <f t="shared" si="1449"/>
        <v>99999</v>
      </c>
      <c r="B41306" s="1" t="str">
        <f>"41660"</f>
        <v>41660</v>
      </c>
      <c r="C41306" s="2">
        <v>2.9663484013005999E-5</v>
      </c>
      <c r="D41306" s="2">
        <v>1.50570889527644E-6</v>
      </c>
      <c r="E41306" s="2">
        <v>4.3010567696482999E-6</v>
      </c>
      <c r="F41306" s="2">
        <v>2.72361629930411E-5</v>
      </c>
    </row>
    <row r="41307" spans="1:6" x14ac:dyDescent="0.25">
      <c r="A41307" s="1" t="str">
        <f t="shared" si="1449"/>
        <v>99999</v>
      </c>
      <c r="B41307" s="1" t="str">
        <f>"41727"</f>
        <v>41727</v>
      </c>
      <c r="C41307" s="2">
        <v>3.5617832993718898E-5</v>
      </c>
      <c r="D41307" s="2">
        <v>1.9574215638593701E-5</v>
      </c>
      <c r="E41307" s="2">
        <v>6.4515851544724506E-5</v>
      </c>
      <c r="F41307" s="2">
        <v>3.5229384740998803E-5</v>
      </c>
    </row>
    <row r="41308" spans="1:6" x14ac:dyDescent="0.25">
      <c r="A41308" s="1" t="str">
        <f t="shared" si="1449"/>
        <v>99999</v>
      </c>
      <c r="B41308" s="1" t="str">
        <f>"41838"</f>
        <v>41838</v>
      </c>
      <c r="C41308" s="2">
        <v>1.85126122854891E-5</v>
      </c>
      <c r="D41308" s="2">
        <v>0</v>
      </c>
      <c r="E41308" s="2">
        <v>2.58063406178898E-5</v>
      </c>
      <c r="F41308" s="2">
        <v>1.7466669745537199E-5</v>
      </c>
    </row>
    <row r="41309" spans="1:6" x14ac:dyDescent="0.25">
      <c r="A41309" s="1" t="str">
        <f t="shared" si="1449"/>
        <v>99999</v>
      </c>
      <c r="B41309" s="1" t="str">
        <f>"41839"</f>
        <v>41839</v>
      </c>
      <c r="C41309" s="2">
        <v>2.2843047907825799E-5</v>
      </c>
      <c r="D41309" s="2">
        <v>0</v>
      </c>
      <c r="E41309" s="2">
        <v>1.29031703089449E-5</v>
      </c>
      <c r="F41309" s="2">
        <v>2.11178944946043E-5</v>
      </c>
    </row>
    <row r="41310" spans="1:6" x14ac:dyDescent="0.25">
      <c r="A41310" s="1" t="str">
        <f t="shared" si="1449"/>
        <v>99999</v>
      </c>
      <c r="B41310" s="1" t="str">
        <f>"43535"</f>
        <v>43535</v>
      </c>
      <c r="C41310" s="2">
        <v>3.6700441899303002E-5</v>
      </c>
      <c r="D41310" s="2">
        <v>9.0342533716586405E-6</v>
      </c>
      <c r="E41310" s="2">
        <v>0</v>
      </c>
      <c r="F41310" s="2">
        <v>3.4045203741301401E-5</v>
      </c>
    </row>
    <row r="41311" spans="1:6" x14ac:dyDescent="0.25">
      <c r="A41311" s="1" t="str">
        <f t="shared" si="1449"/>
        <v>99999</v>
      </c>
      <c r="B41311" s="1" t="str">
        <f>"42541"</f>
        <v>42541</v>
      </c>
      <c r="C41311" s="2">
        <v>2.84726142168634E-5</v>
      </c>
      <c r="D41311" s="2">
        <v>7.5285444763821999E-6</v>
      </c>
      <c r="E41311" s="2">
        <v>7.3117965084021106E-5</v>
      </c>
      <c r="F41311" s="2">
        <v>2.8124298742814199E-5</v>
      </c>
    </row>
    <row r="41312" spans="1:6" x14ac:dyDescent="0.25">
      <c r="A41312" s="1" t="str">
        <f t="shared" si="1449"/>
        <v>99999</v>
      </c>
      <c r="B41312" s="1" t="str">
        <f>"41201"</f>
        <v>41201</v>
      </c>
      <c r="C41312" s="2">
        <v>1.40739157725941E-5</v>
      </c>
      <c r="D41312" s="2">
        <v>1.50570889527644E-6</v>
      </c>
      <c r="E41312" s="2">
        <v>8.6021135392965999E-6</v>
      </c>
      <c r="F41312" s="2">
        <v>1.31246727466466E-5</v>
      </c>
    </row>
    <row r="41313" spans="1:6" x14ac:dyDescent="0.25">
      <c r="A41313" s="1" t="str">
        <f t="shared" si="1449"/>
        <v>99999</v>
      </c>
      <c r="B41313" s="1" t="str">
        <f>"41219"</f>
        <v>41219</v>
      </c>
      <c r="C41313" s="2">
        <v>1.03497411373845E-4</v>
      </c>
      <c r="D41313" s="2">
        <v>1.35513800574879E-5</v>
      </c>
      <c r="E41313" s="2">
        <v>1.37633816628745E-4</v>
      </c>
      <c r="F41313" s="2">
        <v>9.8385704724862397E-5</v>
      </c>
    </row>
    <row r="41314" spans="1:6" x14ac:dyDescent="0.25">
      <c r="A41314" s="1" t="str">
        <f t="shared" si="1449"/>
        <v>99999</v>
      </c>
      <c r="B41314" s="1" t="str">
        <f>"45896"</f>
        <v>45896</v>
      </c>
      <c r="C41314" s="2">
        <v>7.1452187768554602E-6</v>
      </c>
      <c r="D41314" s="2">
        <v>3.01141779055288E-6</v>
      </c>
      <c r="E41314" s="2">
        <v>0</v>
      </c>
      <c r="F41314" s="2">
        <v>6.7103589982854999E-6</v>
      </c>
    </row>
    <row r="41315" spans="1:6" x14ac:dyDescent="0.25">
      <c r="A41315" s="1" t="str">
        <f t="shared" si="1449"/>
        <v>99999</v>
      </c>
      <c r="B41315" s="1" t="str">
        <f>"47460"</f>
        <v>47460</v>
      </c>
      <c r="C41315" s="2">
        <v>4.98000096568714E-6</v>
      </c>
      <c r="D41315" s="2">
        <v>0</v>
      </c>
      <c r="E41315" s="2">
        <v>0</v>
      </c>
      <c r="F41315" s="2">
        <v>4.5393604988401904E-6</v>
      </c>
    </row>
    <row r="41316" spans="1:6" x14ac:dyDescent="0.25">
      <c r="A41316" s="1" t="str">
        <f t="shared" si="1449"/>
        <v>99999</v>
      </c>
      <c r="B41316" s="1" t="str">
        <f>"48659"</f>
        <v>48659</v>
      </c>
      <c r="C41316" s="2">
        <v>1.48750463627263E-4</v>
      </c>
      <c r="D41316" s="2">
        <v>8.1308280344927694E-5</v>
      </c>
      <c r="E41316" s="2">
        <v>8.6021135392965999E-6</v>
      </c>
      <c r="F41316" s="2">
        <v>1.4111490246394501E-4</v>
      </c>
    </row>
    <row r="41317" spans="1:6" x14ac:dyDescent="0.25">
      <c r="A41317" s="1" t="str">
        <f t="shared" si="1449"/>
        <v>99999</v>
      </c>
      <c r="B41317" s="1" t="str">
        <f>"48735"</f>
        <v>48735</v>
      </c>
      <c r="C41317" s="2">
        <v>4.8825661641845601E-5</v>
      </c>
      <c r="D41317" s="2">
        <v>1.20456711622115E-5</v>
      </c>
      <c r="E41317" s="2">
        <v>8.6021135392965999E-6</v>
      </c>
      <c r="F41317" s="2">
        <v>4.5492286738376699E-5</v>
      </c>
    </row>
    <row r="41318" spans="1:6" x14ac:dyDescent="0.25">
      <c r="A41318" s="1" t="str">
        <f t="shared" si="1449"/>
        <v>99999</v>
      </c>
      <c r="B41318" s="1" t="str">
        <f>"48652"</f>
        <v>48652</v>
      </c>
      <c r="C41318" s="2">
        <v>3.9731746834938703E-5</v>
      </c>
      <c r="D41318" s="2">
        <v>1.65627978480408E-5</v>
      </c>
      <c r="E41318" s="2">
        <v>0</v>
      </c>
      <c r="F41318" s="2">
        <v>3.7301701490469398E-5</v>
      </c>
    </row>
    <row r="41319" spans="1:6" x14ac:dyDescent="0.25">
      <c r="A41319" s="1" t="str">
        <f t="shared" si="1449"/>
        <v>99999</v>
      </c>
      <c r="B41319" s="1" t="str">
        <f>"49705"</f>
        <v>49705</v>
      </c>
      <c r="C41319" s="2">
        <v>4.8825661641845601E-5</v>
      </c>
      <c r="D41319" s="2">
        <v>1.0539962266935E-5</v>
      </c>
      <c r="E41319" s="2">
        <v>1.29031703089449E-5</v>
      </c>
      <c r="F41319" s="2">
        <v>4.5492286738376699E-5</v>
      </c>
    </row>
    <row r="41320" spans="1:6" x14ac:dyDescent="0.25">
      <c r="A41320" s="1" t="str">
        <f t="shared" si="1449"/>
        <v>99999</v>
      </c>
      <c r="B41320" s="1" t="str">
        <f>"49634"</f>
        <v>49634</v>
      </c>
      <c r="C41320" s="2">
        <v>5.4130445279208001E-6</v>
      </c>
      <c r="D41320" s="2">
        <v>7.5285444763821999E-6</v>
      </c>
      <c r="E41320" s="2">
        <v>8.6021135392965999E-6</v>
      </c>
      <c r="F41320" s="2">
        <v>5.6248597485628401E-6</v>
      </c>
    </row>
    <row r="41321" spans="1:6" x14ac:dyDescent="0.25">
      <c r="A41321" s="1" t="str">
        <f t="shared" si="1449"/>
        <v>99999</v>
      </c>
      <c r="B41321" s="1" t="str">
        <f>"51019"</f>
        <v>51019</v>
      </c>
      <c r="C41321" s="2">
        <v>5.4130445279208001E-6</v>
      </c>
      <c r="D41321" s="2">
        <v>0</v>
      </c>
      <c r="E41321" s="2">
        <v>0</v>
      </c>
      <c r="F41321" s="2">
        <v>4.9340874987393404E-6</v>
      </c>
    </row>
    <row r="41322" spans="1:6" x14ac:dyDescent="0.25">
      <c r="A41322" s="1" t="str">
        <f t="shared" si="1449"/>
        <v>99999</v>
      </c>
      <c r="B41322" s="1" t="str">
        <f>"51436"</f>
        <v>51436</v>
      </c>
      <c r="C41322" s="2">
        <v>6.0626098712712997E-6</v>
      </c>
      <c r="D41322" s="2">
        <v>1.50570889527644E-6</v>
      </c>
      <c r="E41322" s="2">
        <v>0</v>
      </c>
      <c r="F41322" s="2">
        <v>5.6248597485628401E-6</v>
      </c>
    </row>
    <row r="41323" spans="1:6" x14ac:dyDescent="0.25">
      <c r="A41323" s="1" t="str">
        <f t="shared" si="1449"/>
        <v>99999</v>
      </c>
      <c r="B41323" s="1" t="str">
        <f>"51441"</f>
        <v>51441</v>
      </c>
      <c r="C41323" s="2">
        <v>2.0028264753306899E-5</v>
      </c>
      <c r="D41323" s="2">
        <v>0</v>
      </c>
      <c r="E41323" s="2">
        <v>1.72042270785932E-5</v>
      </c>
      <c r="F41323" s="2">
        <v>1.8650850745234699E-5</v>
      </c>
    </row>
    <row r="41324" spans="1:6" x14ac:dyDescent="0.25">
      <c r="A41324" s="1" t="str">
        <f t="shared" si="1449"/>
        <v>99999</v>
      </c>
      <c r="B41324" s="1" t="str">
        <f>"50430"</f>
        <v>50430</v>
      </c>
      <c r="C41324" s="2">
        <v>3.0962614699707001E-5</v>
      </c>
      <c r="D41324" s="2">
        <v>1.20456711622115E-5</v>
      </c>
      <c r="E41324" s="2">
        <v>8.6021135392965999E-6</v>
      </c>
      <c r="F41324" s="2">
        <v>2.92097979925368E-5</v>
      </c>
    </row>
    <row r="41325" spans="1:6" x14ac:dyDescent="0.25">
      <c r="A41325" s="1" t="str">
        <f t="shared" si="1449"/>
        <v>99999</v>
      </c>
      <c r="B41325" s="1" t="str">
        <f>"50571"</f>
        <v>50571</v>
      </c>
      <c r="C41325" s="2">
        <v>1.4831742006502999E-5</v>
      </c>
      <c r="D41325" s="2">
        <v>4.5171266858293203E-6</v>
      </c>
      <c r="E41325" s="2">
        <v>4.3010567696482999E-6</v>
      </c>
      <c r="F41325" s="2">
        <v>1.39141267464449E-5</v>
      </c>
    </row>
    <row r="41326" spans="1:6" x14ac:dyDescent="0.25">
      <c r="A41326" s="1" t="str">
        <f t="shared" si="1449"/>
        <v>99999</v>
      </c>
      <c r="B41326" s="1" t="str">
        <f>"50669"</f>
        <v>50669</v>
      </c>
      <c r="C41326" s="2">
        <v>1.05013063841663E-5</v>
      </c>
      <c r="D41326" s="2">
        <v>9.0342533716586405E-6</v>
      </c>
      <c r="E41326" s="2">
        <v>0</v>
      </c>
      <c r="F41326" s="2">
        <v>1.0164220247403001E-5</v>
      </c>
    </row>
    <row r="41327" spans="1:6" x14ac:dyDescent="0.25">
      <c r="A41327" s="1" t="str">
        <f t="shared" si="1449"/>
        <v>99999</v>
      </c>
      <c r="B41327" s="1" t="str">
        <f>"50048"</f>
        <v>50048</v>
      </c>
      <c r="C41327" s="2">
        <v>1.13673935086336E-5</v>
      </c>
      <c r="D41327" s="2">
        <v>3.01141779055288E-6</v>
      </c>
      <c r="E41327" s="2">
        <v>0</v>
      </c>
      <c r="F41327" s="2">
        <v>1.0558947247302099E-5</v>
      </c>
    </row>
    <row r="41328" spans="1:6" x14ac:dyDescent="0.25">
      <c r="A41328" s="1" t="str">
        <f t="shared" si="1449"/>
        <v>99999</v>
      </c>
      <c r="B41328" s="1" t="str">
        <f>"50058"</f>
        <v>50058</v>
      </c>
      <c r="C41328" s="2">
        <v>6.3873925429465503E-6</v>
      </c>
      <c r="D41328" s="2">
        <v>3.01141779055288E-6</v>
      </c>
      <c r="E41328" s="2">
        <v>0</v>
      </c>
      <c r="F41328" s="2">
        <v>6.0195867484619901E-6</v>
      </c>
    </row>
    <row r="41329" spans="1:6" x14ac:dyDescent="0.25">
      <c r="A41329" s="1" t="str">
        <f t="shared" si="1449"/>
        <v>99999</v>
      </c>
      <c r="B41329" s="1" t="str">
        <f>"49960"</f>
        <v>49960</v>
      </c>
      <c r="C41329" s="2">
        <v>1.0284784603049499E-5</v>
      </c>
      <c r="D41329" s="2">
        <v>1.50570889527644E-6</v>
      </c>
      <c r="E41329" s="2">
        <v>4.3010567696482999E-6</v>
      </c>
      <c r="F41329" s="2">
        <v>9.5721297475543202E-6</v>
      </c>
    </row>
    <row r="41330" spans="1:6" x14ac:dyDescent="0.25">
      <c r="A41330" s="1" t="str">
        <f t="shared" si="1449"/>
        <v>99999</v>
      </c>
      <c r="B41330" s="1" t="str">
        <f>"52561"</f>
        <v>52561</v>
      </c>
      <c r="C41330" s="2">
        <v>2.2734787017267302E-6</v>
      </c>
      <c r="D41330" s="2">
        <v>3.01141779055288E-6</v>
      </c>
      <c r="E41330" s="2">
        <v>0</v>
      </c>
      <c r="F41330" s="2">
        <v>2.2696802494200901E-6</v>
      </c>
    </row>
    <row r="41331" spans="1:6" x14ac:dyDescent="0.25">
      <c r="A41331" s="1" t="str">
        <f t="shared" si="1449"/>
        <v>99999</v>
      </c>
      <c r="B41331" s="1" t="str">
        <f>"52326"</f>
        <v>52326</v>
      </c>
      <c r="C41331" s="2">
        <v>3.0746092918590099E-5</v>
      </c>
      <c r="D41331" s="2">
        <v>7.5285444763821999E-6</v>
      </c>
      <c r="E41331" s="2">
        <v>3.8709510926834699E-5</v>
      </c>
      <c r="F41331" s="2">
        <v>2.9407161492486401E-5</v>
      </c>
    </row>
    <row r="41332" spans="1:6" x14ac:dyDescent="0.25">
      <c r="A41332" s="1" t="str">
        <f t="shared" si="1449"/>
        <v>99999</v>
      </c>
      <c r="B41332" s="1" t="str">
        <f>"52225"</f>
        <v>52225</v>
      </c>
      <c r="C41332" s="2">
        <v>2.1110873658891101E-5</v>
      </c>
      <c r="D41332" s="2">
        <v>4.5171266858293203E-6</v>
      </c>
      <c r="E41332" s="2">
        <v>4.3010567696482999E-6</v>
      </c>
      <c r="F41332" s="2">
        <v>1.96376682449825E-5</v>
      </c>
    </row>
    <row r="41333" spans="1:6" x14ac:dyDescent="0.25">
      <c r="A41333" s="1" t="str">
        <f t="shared" si="1449"/>
        <v>99999</v>
      </c>
      <c r="B41333" s="1" t="str">
        <f>"54828"</f>
        <v>54828</v>
      </c>
      <c r="C41333" s="2">
        <v>5.1748705686922899E-5</v>
      </c>
      <c r="D41333" s="2">
        <v>1.20456711622115E-5</v>
      </c>
      <c r="E41333" s="2">
        <v>1.29031703089449E-5</v>
      </c>
      <c r="F41333" s="2">
        <v>4.8255375737670698E-5</v>
      </c>
    </row>
    <row r="41334" spans="1:6" x14ac:dyDescent="0.25">
      <c r="A41334" s="1" t="str">
        <f t="shared" si="1449"/>
        <v>99999</v>
      </c>
      <c r="B41334" s="1" t="str">
        <f>"54485"</f>
        <v>54485</v>
      </c>
      <c r="C41334" s="2">
        <v>2.7281744420720801E-5</v>
      </c>
      <c r="D41334" s="2">
        <v>7.5285444763821999E-6</v>
      </c>
      <c r="E41334" s="2">
        <v>8.6021135392965999E-6</v>
      </c>
      <c r="F41334" s="2">
        <v>2.5558573243469699E-5</v>
      </c>
    </row>
    <row r="41335" spans="1:6" x14ac:dyDescent="0.25">
      <c r="A41335" s="1" t="str">
        <f t="shared" si="1449"/>
        <v>99999</v>
      </c>
      <c r="B41335" s="1" t="str">
        <f>"54463"</f>
        <v>54463</v>
      </c>
      <c r="C41335" s="2">
        <v>6.6363925912309106E-5</v>
      </c>
      <c r="D41335" s="2">
        <v>3.01141779055288E-5</v>
      </c>
      <c r="E41335" s="2">
        <v>3.01073973875381E-5</v>
      </c>
      <c r="F41335" s="2">
        <v>6.3156319983863506E-5</v>
      </c>
    </row>
    <row r="41336" spans="1:6" x14ac:dyDescent="0.25">
      <c r="A41336" s="1" t="str">
        <f t="shared" si="1449"/>
        <v>99999</v>
      </c>
      <c r="B41336" s="1" t="str">
        <f>"55785"</f>
        <v>55785</v>
      </c>
      <c r="C41336" s="2">
        <v>1.25582633047762E-5</v>
      </c>
      <c r="D41336" s="2">
        <v>0</v>
      </c>
      <c r="E41336" s="2">
        <v>2.58063406178898E-5</v>
      </c>
      <c r="F41336" s="2">
        <v>1.2039173496923901E-5</v>
      </c>
    </row>
    <row r="41337" spans="1:6" x14ac:dyDescent="0.25">
      <c r="A41337" s="1" t="str">
        <f t="shared" si="1449"/>
        <v>99999</v>
      </c>
      <c r="B41337" s="1" t="str">
        <f>"57269"</f>
        <v>57269</v>
      </c>
      <c r="C41337" s="2">
        <v>1.9595221191073298E-5</v>
      </c>
      <c r="D41337" s="2">
        <v>4.5171266858293203E-6</v>
      </c>
      <c r="E41337" s="2">
        <v>4.3010567696482999E-6</v>
      </c>
      <c r="F41337" s="2">
        <v>1.8256123745335501E-5</v>
      </c>
    </row>
    <row r="41338" spans="1:6" x14ac:dyDescent="0.25">
      <c r="A41338" s="1" t="str">
        <f t="shared" si="1449"/>
        <v>99999</v>
      </c>
      <c r="B41338" s="1" t="str">
        <f>"57341"</f>
        <v>57341</v>
      </c>
      <c r="C41338" s="2">
        <v>1.25582633047762E-5</v>
      </c>
      <c r="D41338" s="2">
        <v>1.50570889527644E-6</v>
      </c>
      <c r="E41338" s="2">
        <v>4.3010567696482999E-6</v>
      </c>
      <c r="F41338" s="2">
        <v>1.1644446497024801E-5</v>
      </c>
    </row>
    <row r="41339" spans="1:6" x14ac:dyDescent="0.25">
      <c r="A41339" s="1" t="str">
        <f t="shared" si="1449"/>
        <v>99999</v>
      </c>
      <c r="B41339" s="1" t="str">
        <f>"56311"</f>
        <v>56311</v>
      </c>
      <c r="C41339" s="2">
        <v>2.94469622318891E-5</v>
      </c>
      <c r="D41339" s="2">
        <v>3.01141779055288E-6</v>
      </c>
      <c r="E41339" s="2">
        <v>1.29031703089449E-5</v>
      </c>
      <c r="F41339" s="2">
        <v>2.73348447430159E-5</v>
      </c>
    </row>
    <row r="41340" spans="1:6" x14ac:dyDescent="0.25">
      <c r="A41340" s="1" t="str">
        <f t="shared" si="1449"/>
        <v>99999</v>
      </c>
      <c r="B41340" s="1" t="str">
        <f>"56282"</f>
        <v>56282</v>
      </c>
      <c r="C41340" s="2">
        <v>1.18004370708673E-5</v>
      </c>
      <c r="D41340" s="2">
        <v>0</v>
      </c>
      <c r="E41340" s="2">
        <v>0</v>
      </c>
      <c r="F41340" s="2">
        <v>1.07563107472517E-5</v>
      </c>
    </row>
    <row r="41341" spans="1:6" x14ac:dyDescent="0.25">
      <c r="A41341" s="1" t="str">
        <f t="shared" si="1449"/>
        <v>99999</v>
      </c>
      <c r="B41341" s="1" t="str">
        <f>"56115"</f>
        <v>56115</v>
      </c>
      <c r="C41341" s="2">
        <v>1.06095672747247E-5</v>
      </c>
      <c r="D41341" s="2">
        <v>3.01141779055288E-6</v>
      </c>
      <c r="E41341" s="2">
        <v>0</v>
      </c>
      <c r="F41341" s="2">
        <v>9.8681749974786808E-6</v>
      </c>
    </row>
    <row r="41342" spans="1:6" x14ac:dyDescent="0.25">
      <c r="A41342" s="1" t="str">
        <f t="shared" si="1449"/>
        <v>99999</v>
      </c>
      <c r="B41342" s="1" t="str">
        <f>"56120"</f>
        <v>56120</v>
      </c>
      <c r="C41342" s="2">
        <v>5.6295663090376399E-5</v>
      </c>
      <c r="D41342" s="2">
        <v>1.20456711622115E-5</v>
      </c>
      <c r="E41342" s="2">
        <v>8.6021135392965999E-6</v>
      </c>
      <c r="F41342" s="2">
        <v>5.2301327486636997E-5</v>
      </c>
    </row>
    <row r="41343" spans="1:6" x14ac:dyDescent="0.25">
      <c r="A41343" s="1" t="str">
        <f t="shared" si="1449"/>
        <v>99999</v>
      </c>
      <c r="B41343" s="1" t="str">
        <f>"57552"</f>
        <v>57552</v>
      </c>
      <c r="C41343" s="2">
        <v>3.45352240881347E-5</v>
      </c>
      <c r="D41343" s="2">
        <v>1.20456711622115E-5</v>
      </c>
      <c r="E41343" s="2">
        <v>1.29031703089449E-5</v>
      </c>
      <c r="F41343" s="2">
        <v>3.2564977491679601E-5</v>
      </c>
    </row>
    <row r="41344" spans="1:6" x14ac:dyDescent="0.25">
      <c r="A41344" s="1" t="str">
        <f t="shared" si="1449"/>
        <v>99999</v>
      </c>
      <c r="B41344" s="1" t="str">
        <f>"57794"</f>
        <v>57794</v>
      </c>
      <c r="C41344" s="2">
        <v>1.9486960300514902E-5</v>
      </c>
      <c r="D41344" s="2">
        <v>0</v>
      </c>
      <c r="E41344" s="2">
        <v>4.3010567696482999E-6</v>
      </c>
      <c r="F41344" s="2">
        <v>1.7861396745436401E-5</v>
      </c>
    </row>
    <row r="41345" spans="1:6" x14ac:dyDescent="0.25">
      <c r="A41345" s="1" t="str">
        <f t="shared" si="1449"/>
        <v>99999</v>
      </c>
      <c r="B41345" s="1" t="str">
        <f>"58760"</f>
        <v>58760</v>
      </c>
      <c r="C41345" s="2">
        <v>1.2233480633101E-5</v>
      </c>
      <c r="D41345" s="2">
        <v>9.0342533716586405E-6</v>
      </c>
      <c r="E41345" s="2">
        <v>4.3010567696482999E-6</v>
      </c>
      <c r="F41345" s="2">
        <v>1.18418099969744E-5</v>
      </c>
    </row>
    <row r="41346" spans="1:6" x14ac:dyDescent="0.25">
      <c r="A41346" s="1" t="str">
        <f t="shared" si="1449"/>
        <v>99999</v>
      </c>
      <c r="B41346" s="1" t="str">
        <f>"58737"</f>
        <v>58737</v>
      </c>
      <c r="C41346" s="2">
        <v>1.3640872210360401E-5</v>
      </c>
      <c r="D41346" s="2">
        <v>1.35513800574879E-5</v>
      </c>
      <c r="E41346" s="2">
        <v>1.29031703089449E-5</v>
      </c>
      <c r="F41346" s="2">
        <v>1.3618081496520501E-5</v>
      </c>
    </row>
    <row r="41347" spans="1:6" x14ac:dyDescent="0.25">
      <c r="A41347" s="1" t="str">
        <f t="shared" si="1449"/>
        <v>99999</v>
      </c>
      <c r="B41347" s="1" t="str">
        <f>"58652"</f>
        <v>58652</v>
      </c>
      <c r="C41347" s="2">
        <v>4.7634791845703099E-6</v>
      </c>
      <c r="D41347" s="2">
        <v>0</v>
      </c>
      <c r="E41347" s="2">
        <v>0</v>
      </c>
      <c r="F41347" s="2">
        <v>4.3419969988906098E-6</v>
      </c>
    </row>
    <row r="41348" spans="1:6" x14ac:dyDescent="0.25">
      <c r="A41348" s="1" t="str">
        <f t="shared" si="1449"/>
        <v>99999</v>
      </c>
      <c r="B41348" s="1" t="str">
        <f>"58565"</f>
        <v>58565</v>
      </c>
      <c r="C41348" s="2">
        <v>9.6352192596990302E-6</v>
      </c>
      <c r="D41348" s="2">
        <v>1.20456711622115E-5</v>
      </c>
      <c r="E41348" s="2">
        <v>4.3010567696482999E-6</v>
      </c>
      <c r="F41348" s="2">
        <v>9.6708114975291003E-6</v>
      </c>
    </row>
    <row r="41349" spans="1:6" x14ac:dyDescent="0.25">
      <c r="A41349" s="1" t="str">
        <f t="shared" si="1449"/>
        <v>99999</v>
      </c>
      <c r="B41349" s="1" t="str">
        <f>"59247"</f>
        <v>59247</v>
      </c>
      <c r="C41349" s="2">
        <v>4.8717400751287203E-6</v>
      </c>
      <c r="D41349" s="2">
        <v>7.5285444763821999E-6</v>
      </c>
      <c r="E41349" s="2">
        <v>4.3010567696482999E-6</v>
      </c>
      <c r="F41349" s="2">
        <v>5.0327692487141197E-6</v>
      </c>
    </row>
    <row r="41350" spans="1:6" x14ac:dyDescent="0.25">
      <c r="A41350" s="1" t="str">
        <f t="shared" ref="A41350:A41413" si="1450">"99999"</f>
        <v>99999</v>
      </c>
      <c r="B41350" s="1" t="str">
        <f>"59528"</f>
        <v>59528</v>
      </c>
      <c r="C41350" s="2">
        <v>7.0369578862970498E-6</v>
      </c>
      <c r="D41350" s="2">
        <v>0</v>
      </c>
      <c r="E41350" s="2">
        <v>4.3010567696482999E-6</v>
      </c>
      <c r="F41350" s="2">
        <v>6.5129954983359203E-6</v>
      </c>
    </row>
    <row r="41351" spans="1:6" x14ac:dyDescent="0.25">
      <c r="A41351" s="1" t="str">
        <f t="shared" si="1450"/>
        <v>99999</v>
      </c>
      <c r="B41351" s="1" t="str">
        <f>"59546"</f>
        <v>59546</v>
      </c>
      <c r="C41351" s="2">
        <v>3.3560876073109E-6</v>
      </c>
      <c r="D41351" s="2">
        <v>1.50570889527644E-6</v>
      </c>
      <c r="E41351" s="2">
        <v>4.3010567696482999E-6</v>
      </c>
      <c r="F41351" s="2">
        <v>3.2564977491679601E-6</v>
      </c>
    </row>
    <row r="41352" spans="1:6" x14ac:dyDescent="0.25">
      <c r="A41352" s="1" t="str">
        <f t="shared" si="1450"/>
        <v>99999</v>
      </c>
      <c r="B41352" s="1" t="str">
        <f>"59419"</f>
        <v>59419</v>
      </c>
      <c r="C41352" s="2">
        <v>6.7121752146218001E-6</v>
      </c>
      <c r="D41352" s="2">
        <v>4.5171266858293203E-6</v>
      </c>
      <c r="E41352" s="2">
        <v>4.3010567696482999E-6</v>
      </c>
      <c r="F41352" s="2">
        <v>6.5129954983359203E-6</v>
      </c>
    </row>
    <row r="41353" spans="1:6" x14ac:dyDescent="0.25">
      <c r="A41353" s="1" t="str">
        <f t="shared" si="1450"/>
        <v>99999</v>
      </c>
      <c r="B41353" s="1" t="str">
        <f>"59447"</f>
        <v>59447</v>
      </c>
      <c r="C41353" s="2">
        <v>1.69969598176713E-5</v>
      </c>
      <c r="D41353" s="2">
        <v>4.5171266858293203E-6</v>
      </c>
      <c r="E41353" s="2">
        <v>4.3010567696482999E-6</v>
      </c>
      <c r="F41353" s="2">
        <v>1.5887761745940599E-5</v>
      </c>
    </row>
    <row r="41354" spans="1:6" x14ac:dyDescent="0.25">
      <c r="A41354" s="1" t="str">
        <f t="shared" si="1450"/>
        <v>99999</v>
      </c>
      <c r="B41354" s="1" t="str">
        <f>"58429"</f>
        <v>58429</v>
      </c>
      <c r="C41354" s="2">
        <v>3.1070875590265398E-5</v>
      </c>
      <c r="D41354" s="2">
        <v>2.55970512196994E-5</v>
      </c>
      <c r="E41354" s="2">
        <v>4.3010567696482999E-5</v>
      </c>
      <c r="F41354" s="2">
        <v>3.0986069492082998E-5</v>
      </c>
    </row>
    <row r="41355" spans="1:6" x14ac:dyDescent="0.25">
      <c r="A41355" s="1" t="str">
        <f t="shared" si="1450"/>
        <v>99999</v>
      </c>
      <c r="B41355" s="1" t="str">
        <f>"58481"</f>
        <v>58481</v>
      </c>
      <c r="C41355" s="2">
        <v>1.5264785568736599E-5</v>
      </c>
      <c r="D41355" s="2">
        <v>1.50570889527644E-6</v>
      </c>
      <c r="E41355" s="2">
        <v>4.3010567696482999E-6</v>
      </c>
      <c r="F41355" s="2">
        <v>1.41114902463945E-5</v>
      </c>
    </row>
    <row r="41356" spans="1:6" x14ac:dyDescent="0.25">
      <c r="A41356" s="1" t="str">
        <f t="shared" si="1450"/>
        <v>99999</v>
      </c>
      <c r="B41356" s="1" t="str">
        <f>"58282"</f>
        <v>58282</v>
      </c>
      <c r="C41356" s="2">
        <v>6.7987839270685296E-5</v>
      </c>
      <c r="D41356" s="2">
        <v>3.01141779055288E-5</v>
      </c>
      <c r="E41356" s="2">
        <v>6.4515851544724506E-5</v>
      </c>
      <c r="F41356" s="2">
        <v>6.5426000233283601E-5</v>
      </c>
    </row>
    <row r="41357" spans="1:6" x14ac:dyDescent="0.25">
      <c r="A41357" s="1" t="str">
        <f t="shared" si="1450"/>
        <v>99999</v>
      </c>
      <c r="B41357" s="1" t="str">
        <f>"58487"</f>
        <v>58487</v>
      </c>
      <c r="C41357" s="2">
        <v>2.5224787500110899E-5</v>
      </c>
      <c r="D41357" s="2">
        <v>1.20456711622115E-5</v>
      </c>
      <c r="E41357" s="2">
        <v>8.6021135392965999E-6</v>
      </c>
      <c r="F41357" s="2">
        <v>2.3979665243873099E-5</v>
      </c>
    </row>
    <row r="41358" spans="1:6" x14ac:dyDescent="0.25">
      <c r="A41358" s="1" t="str">
        <f t="shared" si="1450"/>
        <v>99999</v>
      </c>
      <c r="B41358" s="1" t="str">
        <f>"58241"</f>
        <v>58241</v>
      </c>
      <c r="C41358" s="2">
        <v>7.47000144853071E-6</v>
      </c>
      <c r="D41358" s="2">
        <v>1.50570889527644E-6</v>
      </c>
      <c r="E41358" s="2">
        <v>4.3010567696482999E-6</v>
      </c>
      <c r="F41358" s="2">
        <v>7.0064042482098597E-6</v>
      </c>
    </row>
    <row r="41359" spans="1:6" x14ac:dyDescent="0.25">
      <c r="A41359" s="1" t="str">
        <f t="shared" si="1450"/>
        <v>99999</v>
      </c>
      <c r="B41359" s="1" t="str">
        <f>"61932"</f>
        <v>61932</v>
      </c>
      <c r="C41359" s="2">
        <v>2.5333048390669299E-5</v>
      </c>
      <c r="D41359" s="2">
        <v>1.0539962266935E-5</v>
      </c>
      <c r="E41359" s="2">
        <v>2.58063406178898E-5</v>
      </c>
      <c r="F41359" s="2">
        <v>2.4374392243772301E-5</v>
      </c>
    </row>
    <row r="41360" spans="1:6" x14ac:dyDescent="0.25">
      <c r="A41360" s="1" t="str">
        <f t="shared" si="1450"/>
        <v>99999</v>
      </c>
      <c r="B41360" s="1" t="str">
        <f>"62831"</f>
        <v>62831</v>
      </c>
      <c r="C41360" s="2">
        <v>3.3885658744784197E-5</v>
      </c>
      <c r="D41360" s="2">
        <v>2.8608469010252301E-5</v>
      </c>
      <c r="E41360" s="2">
        <v>4.3010567696482999E-6</v>
      </c>
      <c r="F41360" s="2">
        <v>3.2861022741603999E-5</v>
      </c>
    </row>
    <row r="41361" spans="1:6" x14ac:dyDescent="0.25">
      <c r="A41361" s="1" t="str">
        <f t="shared" si="1450"/>
        <v>99999</v>
      </c>
      <c r="B41361" s="1" t="str">
        <f>"62887"</f>
        <v>62887</v>
      </c>
      <c r="C41361" s="2">
        <v>1.9811742972190099E-5</v>
      </c>
      <c r="D41361" s="2">
        <v>4.5171266858293203E-6</v>
      </c>
      <c r="E41361" s="2">
        <v>4.3010567696482999E-6</v>
      </c>
      <c r="F41361" s="2">
        <v>1.8453487245285098E-5</v>
      </c>
    </row>
    <row r="41362" spans="1:6" x14ac:dyDescent="0.25">
      <c r="A41362" s="1" t="str">
        <f t="shared" si="1450"/>
        <v>99999</v>
      </c>
      <c r="B41362" s="1" t="str">
        <f>"62916"</f>
        <v>62916</v>
      </c>
      <c r="C41362" s="2">
        <v>1.0068262821932701E-5</v>
      </c>
      <c r="D41362" s="2">
        <v>1.50570889527644E-6</v>
      </c>
      <c r="E41362" s="2">
        <v>0</v>
      </c>
      <c r="F41362" s="2">
        <v>9.2760844976299596E-6</v>
      </c>
    </row>
    <row r="41363" spans="1:6" x14ac:dyDescent="0.25">
      <c r="A41363" s="1" t="str">
        <f t="shared" si="1450"/>
        <v>99999</v>
      </c>
      <c r="B41363" s="1" t="str">
        <f>"62475"</f>
        <v>62475</v>
      </c>
      <c r="C41363" s="2">
        <v>1.39656548820356E-5</v>
      </c>
      <c r="D41363" s="2">
        <v>4.5171266858293203E-6</v>
      </c>
      <c r="E41363" s="2">
        <v>4.3010567696482999E-6</v>
      </c>
      <c r="F41363" s="2">
        <v>1.31246727466466E-5</v>
      </c>
    </row>
    <row r="41364" spans="1:6" x14ac:dyDescent="0.25">
      <c r="A41364" s="1" t="str">
        <f t="shared" si="1450"/>
        <v>99999</v>
      </c>
      <c r="B41364" s="1" t="str">
        <f>"63771"</f>
        <v>63771</v>
      </c>
      <c r="C41364" s="2">
        <v>1.09343499464E-5</v>
      </c>
      <c r="D41364" s="2">
        <v>4.5171266858293203E-6</v>
      </c>
      <c r="E41364" s="2">
        <v>4.3010567696482999E-6</v>
      </c>
      <c r="F41364" s="2">
        <v>1.03615837473526E-5</v>
      </c>
    </row>
    <row r="41365" spans="1:6" x14ac:dyDescent="0.25">
      <c r="A41365" s="1" t="str">
        <f t="shared" si="1450"/>
        <v>99999</v>
      </c>
      <c r="B41365" s="1" t="str">
        <f>"64778"</f>
        <v>64778</v>
      </c>
      <c r="C41365" s="2">
        <v>3.2370006276966397E-5</v>
      </c>
      <c r="D41365" s="2">
        <v>1.20456711622115E-5</v>
      </c>
      <c r="E41365" s="2">
        <v>4.3010567696482999E-6</v>
      </c>
      <c r="F41365" s="2">
        <v>3.03939789922343E-5</v>
      </c>
    </row>
    <row r="41366" spans="1:6" x14ac:dyDescent="0.25">
      <c r="A41366" s="1" t="str">
        <f t="shared" si="1450"/>
        <v>99999</v>
      </c>
      <c r="B41366" s="1" t="str">
        <f>"65444"</f>
        <v>65444</v>
      </c>
      <c r="C41366" s="2">
        <v>6.1167403165505096E-5</v>
      </c>
      <c r="D41366" s="2">
        <v>3.01141779055288E-6</v>
      </c>
      <c r="E41366" s="2">
        <v>4.3010567696482999E-6</v>
      </c>
      <c r="F41366" s="2">
        <v>5.6051233985678898E-5</v>
      </c>
    </row>
    <row r="41367" spans="1:6" x14ac:dyDescent="0.25">
      <c r="A41367" s="1" t="str">
        <f t="shared" si="1450"/>
        <v>99999</v>
      </c>
      <c r="B41367" s="1" t="str">
        <f>"65566"</f>
        <v>65566</v>
      </c>
      <c r="C41367" s="2">
        <v>4.1030877521639702E-5</v>
      </c>
      <c r="D41367" s="2">
        <v>3.01141779055288E-5</v>
      </c>
      <c r="E41367" s="2">
        <v>8.6021135392965999E-6</v>
      </c>
      <c r="F41367" s="2">
        <v>3.95713817398895E-5</v>
      </c>
    </row>
    <row r="41368" spans="1:6" x14ac:dyDescent="0.25">
      <c r="A41368" s="1" t="str">
        <f t="shared" si="1450"/>
        <v>99999</v>
      </c>
      <c r="B41368" s="1" t="str">
        <f>"65570"</f>
        <v>65570</v>
      </c>
      <c r="C41368" s="2">
        <v>2.86891359979802E-5</v>
      </c>
      <c r="D41368" s="2">
        <v>3.01141779055288E-6</v>
      </c>
      <c r="E41368" s="2">
        <v>4.3010567696482999E-6</v>
      </c>
      <c r="F41368" s="2">
        <v>2.6446708993242801E-5</v>
      </c>
    </row>
    <row r="41369" spans="1:6" x14ac:dyDescent="0.25">
      <c r="A41369" s="1" t="str">
        <f t="shared" si="1450"/>
        <v>99999</v>
      </c>
      <c r="B41369" s="1" t="str">
        <f>"83120"</f>
        <v>83120</v>
      </c>
      <c r="C41369" s="2">
        <v>1.39656548820356E-5</v>
      </c>
      <c r="D41369" s="2">
        <v>1.35513800574879E-5</v>
      </c>
      <c r="E41369" s="2">
        <v>2.15052838482415E-5</v>
      </c>
      <c r="F41369" s="2">
        <v>1.41114902463945E-5</v>
      </c>
    </row>
    <row r="41370" spans="1:6" x14ac:dyDescent="0.25">
      <c r="A41370" s="1" t="str">
        <f t="shared" si="1450"/>
        <v>99999</v>
      </c>
      <c r="B41370" s="1" t="str">
        <f>"80731"</f>
        <v>80731</v>
      </c>
      <c r="C41370" s="2">
        <v>8.0004798122669505E-5</v>
      </c>
      <c r="D41370" s="2">
        <v>3.31255956960816E-5</v>
      </c>
      <c r="E41370" s="2">
        <v>7.7419021853669399E-5</v>
      </c>
      <c r="F41370" s="2">
        <v>7.6873083230358905E-5</v>
      </c>
    </row>
    <row r="41371" spans="1:6" x14ac:dyDescent="0.25">
      <c r="A41371" s="1" t="str">
        <f t="shared" si="1450"/>
        <v>99999</v>
      </c>
      <c r="B41371" s="1" t="str">
        <f>"80805"</f>
        <v>80805</v>
      </c>
      <c r="C41371" s="2">
        <v>2.0244786534423801E-5</v>
      </c>
      <c r="D41371" s="2">
        <v>0</v>
      </c>
      <c r="E41371" s="2">
        <v>4.3010567696482999E-6</v>
      </c>
      <c r="F41371" s="2">
        <v>1.8552168995259899E-5</v>
      </c>
    </row>
    <row r="41372" spans="1:6" x14ac:dyDescent="0.25">
      <c r="A41372" s="1" t="str">
        <f t="shared" si="1450"/>
        <v>99999</v>
      </c>
      <c r="B41372" s="1" t="str">
        <f>"80737"</f>
        <v>80737</v>
      </c>
      <c r="C41372" s="2">
        <v>9.6676975268665598E-5</v>
      </c>
      <c r="D41372" s="2">
        <v>2.2736204318674199E-4</v>
      </c>
      <c r="E41372" s="2">
        <v>1.5053698693768999E-4</v>
      </c>
      <c r="F41372" s="2">
        <v>1.0647760822279401E-4</v>
      </c>
    </row>
    <row r="41373" spans="1:6" x14ac:dyDescent="0.25">
      <c r="A41373" s="1" t="str">
        <f t="shared" si="1450"/>
        <v>99999</v>
      </c>
      <c r="B41373" s="1" t="str">
        <f>"84751"</f>
        <v>84751</v>
      </c>
      <c r="C41373" s="2">
        <v>6.3116099195556605E-5</v>
      </c>
      <c r="D41373" s="2">
        <v>4.5171266858293199E-5</v>
      </c>
      <c r="E41373" s="2">
        <v>4.7311624466131299E-5</v>
      </c>
      <c r="F41373" s="2">
        <v>6.1577411984266902E-5</v>
      </c>
    </row>
    <row r="41374" spans="1:6" x14ac:dyDescent="0.25">
      <c r="A41374" s="1" t="str">
        <f t="shared" si="1450"/>
        <v>99999</v>
      </c>
      <c r="B41374" s="1" t="str">
        <f>"84644"</f>
        <v>84644</v>
      </c>
      <c r="C41374" s="2">
        <v>2.2626526126708901E-5</v>
      </c>
      <c r="D41374" s="2">
        <v>0</v>
      </c>
      <c r="E41374" s="2">
        <v>4.3010567696482999E-6</v>
      </c>
      <c r="F41374" s="2">
        <v>2.07231674947052E-5</v>
      </c>
    </row>
    <row r="41375" spans="1:6" x14ac:dyDescent="0.25">
      <c r="A41375" s="1" t="str">
        <f t="shared" si="1450"/>
        <v>99999</v>
      </c>
      <c r="B41375" s="1" t="str">
        <f>"85938"</f>
        <v>85938</v>
      </c>
      <c r="C41375" s="2">
        <v>6.0193055150479301E-5</v>
      </c>
      <c r="D41375" s="2">
        <v>1.15939584936285E-4</v>
      </c>
      <c r="E41375" s="2">
        <v>3.4838559834151202E-4</v>
      </c>
      <c r="F41375" s="2">
        <v>7.0458769481997701E-5</v>
      </c>
    </row>
    <row r="41376" spans="1:6" x14ac:dyDescent="0.25">
      <c r="A41376" s="1" t="str">
        <f t="shared" si="1450"/>
        <v>99999</v>
      </c>
      <c r="B41376" s="1" t="str">
        <f>"89317"</f>
        <v>89317</v>
      </c>
      <c r="C41376" s="2">
        <v>0</v>
      </c>
      <c r="D41376" s="2">
        <v>1.50570889527644E-6</v>
      </c>
      <c r="E41376" s="2">
        <v>3.09676087414677E-4</v>
      </c>
      <c r="F41376" s="2">
        <v>7.2037677481594301E-6</v>
      </c>
    </row>
    <row r="41377" spans="1:6" x14ac:dyDescent="0.25">
      <c r="A41377" s="1" t="str">
        <f t="shared" si="1450"/>
        <v>99999</v>
      </c>
      <c r="B41377" s="1" t="str">
        <f>"89311"</f>
        <v>89311</v>
      </c>
      <c r="C41377" s="2">
        <v>5.95434898071288E-6</v>
      </c>
      <c r="D41377" s="2">
        <v>6.0228355811057601E-6</v>
      </c>
      <c r="E41377" s="2">
        <v>0</v>
      </c>
      <c r="F41377" s="2">
        <v>5.8222232485124198E-6</v>
      </c>
    </row>
    <row r="41378" spans="1:6" x14ac:dyDescent="0.25">
      <c r="A41378" s="1" t="str">
        <f t="shared" si="1450"/>
        <v>99999</v>
      </c>
      <c r="B41378" s="1" t="str">
        <f>"88411"</f>
        <v>88411</v>
      </c>
      <c r="C41378" s="2">
        <v>5.0882618562455504E-6</v>
      </c>
      <c r="D41378" s="2">
        <v>4.5171266858293203E-6</v>
      </c>
      <c r="E41378" s="2">
        <v>1.29031703089449E-5</v>
      </c>
      <c r="F41378" s="2">
        <v>5.2301327486637002E-6</v>
      </c>
    </row>
    <row r="41379" spans="1:6" x14ac:dyDescent="0.25">
      <c r="A41379" s="1" t="str">
        <f t="shared" si="1450"/>
        <v>99999</v>
      </c>
      <c r="B41379" s="1" t="str">
        <f>"93529"</f>
        <v>93529</v>
      </c>
      <c r="C41379" s="2">
        <v>2.1327395440007902E-5</v>
      </c>
      <c r="D41379" s="2">
        <v>4.5171266858293203E-6</v>
      </c>
      <c r="E41379" s="2">
        <v>1.72042270785932E-5</v>
      </c>
      <c r="F41379" s="2">
        <v>2.0131076994856499E-5</v>
      </c>
    </row>
    <row r="41380" spans="1:6" x14ac:dyDescent="0.25">
      <c r="A41380" s="1" t="str">
        <f t="shared" si="1450"/>
        <v>99999</v>
      </c>
      <c r="B41380" s="1" t="str">
        <f>"96064"</f>
        <v>96064</v>
      </c>
      <c r="C41380" s="2">
        <v>1.8988960203946101E-4</v>
      </c>
      <c r="D41380" s="2">
        <v>7.6791153659098402E-5</v>
      </c>
      <c r="E41380" s="2">
        <v>5.5913738005427899E-5</v>
      </c>
      <c r="F41380" s="2">
        <v>1.7940342145416201E-4</v>
      </c>
    </row>
    <row r="41381" spans="1:6" x14ac:dyDescent="0.25">
      <c r="A41381" s="1" t="str">
        <f t="shared" si="1450"/>
        <v>99999</v>
      </c>
      <c r="B41381" s="1" t="str">
        <f>"96097"</f>
        <v>96097</v>
      </c>
      <c r="C41381" s="2">
        <v>6.7922882736350305E-4</v>
      </c>
      <c r="D41381" s="2">
        <v>1.4620433373134199E-3</v>
      </c>
      <c r="E41381" s="2">
        <v>1.0494578517941801E-3</v>
      </c>
      <c r="F41381" s="2">
        <v>7.3902762556117801E-4</v>
      </c>
    </row>
    <row r="41382" spans="1:6" x14ac:dyDescent="0.25">
      <c r="A41382" s="1" t="str">
        <f t="shared" si="1450"/>
        <v>99999</v>
      </c>
      <c r="B41382" s="1" t="str">
        <f>"96091"</f>
        <v>96091</v>
      </c>
      <c r="C41382" s="2">
        <v>4.2979573551691197E-5</v>
      </c>
      <c r="D41382" s="2">
        <v>2.4091342324423E-5</v>
      </c>
      <c r="E41382" s="2">
        <v>4.3010567696482999E-6</v>
      </c>
      <c r="F41382" s="2">
        <v>4.0854244489561699E-5</v>
      </c>
    </row>
    <row r="41383" spans="1:6" x14ac:dyDescent="0.25">
      <c r="A41383" s="1" t="str">
        <f t="shared" si="1450"/>
        <v>99999</v>
      </c>
      <c r="B41383" s="1" t="str">
        <f>"95932"</f>
        <v>95932</v>
      </c>
      <c r="C41383" s="2">
        <v>3.3008745531261E-4</v>
      </c>
      <c r="D41383" s="2">
        <v>6.2637490043499899E-4</v>
      </c>
      <c r="E41383" s="2">
        <v>7.8279233207599098E-4</v>
      </c>
      <c r="F41383" s="2">
        <v>3.5989234215804702E-4</v>
      </c>
    </row>
    <row r="41384" spans="1:6" x14ac:dyDescent="0.25">
      <c r="A41384" s="1" t="str">
        <f t="shared" si="1450"/>
        <v>99999</v>
      </c>
      <c r="B41384" s="1" t="str">
        <f>"95970"</f>
        <v>95970</v>
      </c>
      <c r="C41384" s="2">
        <v>1.2233480633101E-5</v>
      </c>
      <c r="D41384" s="2">
        <v>6.0228355811057601E-6</v>
      </c>
      <c r="E41384" s="2">
        <v>1.29031703089449E-5</v>
      </c>
      <c r="F41384" s="2">
        <v>1.18418099969744E-5</v>
      </c>
    </row>
    <row r="41385" spans="1:6" x14ac:dyDescent="0.25">
      <c r="A41385" s="1" t="str">
        <f t="shared" si="1450"/>
        <v>99999</v>
      </c>
      <c r="B41385" s="1" t="str">
        <f>"95640"</f>
        <v>95640</v>
      </c>
      <c r="C41385" s="2">
        <v>3.8205268278065002E-4</v>
      </c>
      <c r="D41385" s="2">
        <v>1.12928167145733E-4</v>
      </c>
      <c r="E41385" s="2">
        <v>2.0645072494311799E-4</v>
      </c>
      <c r="F41385" s="2">
        <v>3.6038575090792098E-4</v>
      </c>
    </row>
    <row r="41386" spans="1:6" x14ac:dyDescent="0.25">
      <c r="A41386" s="1" t="str">
        <f t="shared" si="1450"/>
        <v>99999</v>
      </c>
      <c r="B41386" s="1" t="str">
        <f>"97130"</f>
        <v>97130</v>
      </c>
      <c r="C41386" s="2">
        <v>1.4788437650279599E-4</v>
      </c>
      <c r="D41386" s="2">
        <v>0</v>
      </c>
      <c r="E41386" s="2">
        <v>8.6021135392965999E-6</v>
      </c>
      <c r="F41386" s="2">
        <v>1.3499663396550801E-4</v>
      </c>
    </row>
    <row r="41387" spans="1:6" x14ac:dyDescent="0.25">
      <c r="A41387" s="1" t="str">
        <f t="shared" si="1450"/>
        <v>99999</v>
      </c>
      <c r="B41387" s="1" t="str">
        <f>"97758"</f>
        <v>97758</v>
      </c>
      <c r="C41387" s="2">
        <v>1.0393045493607899E-5</v>
      </c>
      <c r="D41387" s="2">
        <v>1.65627978480408E-5</v>
      </c>
      <c r="E41387" s="2">
        <v>0</v>
      </c>
      <c r="F41387" s="2">
        <v>1.0558947247302099E-5</v>
      </c>
    </row>
    <row r="41388" spans="1:6" x14ac:dyDescent="0.25">
      <c r="A41388" s="1" t="str">
        <f t="shared" si="1450"/>
        <v>99999</v>
      </c>
      <c r="B41388" s="1" t="str">
        <f>"97812"</f>
        <v>97812</v>
      </c>
      <c r="C41388" s="2">
        <v>4.1030877521639702E-5</v>
      </c>
      <c r="D41388" s="2">
        <v>4.9688393544122498E-5</v>
      </c>
      <c r="E41388" s="2">
        <v>0</v>
      </c>
      <c r="F41388" s="2">
        <v>4.0656880989612098E-5</v>
      </c>
    </row>
    <row r="41389" spans="1:6" x14ac:dyDescent="0.25">
      <c r="A41389" s="1" t="str">
        <f t="shared" si="1450"/>
        <v>99999</v>
      </c>
      <c r="B41389" s="1" t="str">
        <f>"97873"</f>
        <v>97873</v>
      </c>
      <c r="C41389" s="2">
        <v>2.5441309281227699E-5</v>
      </c>
      <c r="D41389" s="2">
        <v>0</v>
      </c>
      <c r="E41389" s="2">
        <v>8.6021135392965999E-6</v>
      </c>
      <c r="F41389" s="2">
        <v>2.3387574744024402E-5</v>
      </c>
    </row>
    <row r="41390" spans="1:6" x14ac:dyDescent="0.25">
      <c r="A41390" s="1" t="str">
        <f t="shared" si="1450"/>
        <v>99999</v>
      </c>
      <c r="B41390" s="1" t="str">
        <f>"97842"</f>
        <v>97842</v>
      </c>
      <c r="C41390" s="2">
        <v>1.76465251610218E-5</v>
      </c>
      <c r="D41390" s="2">
        <v>6.0228355811057601E-6</v>
      </c>
      <c r="E41390" s="2">
        <v>4.3010567696482999E-6</v>
      </c>
      <c r="F41390" s="2">
        <v>1.65785339957641E-5</v>
      </c>
    </row>
    <row r="41391" spans="1:6" x14ac:dyDescent="0.25">
      <c r="A41391" s="1" t="str">
        <f t="shared" si="1450"/>
        <v>99999</v>
      </c>
      <c r="B41391" s="1" t="str">
        <f>"96915"</f>
        <v>96915</v>
      </c>
      <c r="C41391" s="2">
        <v>6.2574794742764497E-4</v>
      </c>
      <c r="D41391" s="2">
        <v>1.1142245825045601E-4</v>
      </c>
      <c r="E41391" s="2">
        <v>5.1612681235779605E-4</v>
      </c>
      <c r="F41391" s="2">
        <v>5.8952477434937598E-4</v>
      </c>
    </row>
    <row r="41392" spans="1:6" x14ac:dyDescent="0.25">
      <c r="A41392" s="1" t="str">
        <f t="shared" si="1450"/>
        <v>99999</v>
      </c>
      <c r="B41392" s="1" t="str">
        <f>"98855"</f>
        <v>98855</v>
      </c>
      <c r="C41392" s="2">
        <v>3.0085701486183802E-4</v>
      </c>
      <c r="D41392" s="2">
        <v>1.2949096499377299E-4</v>
      </c>
      <c r="E41392" s="2">
        <v>2.4085917910030401E-4</v>
      </c>
      <c r="F41392" s="2">
        <v>2.8824939167635202E-4</v>
      </c>
    </row>
    <row r="41393" spans="1:6" x14ac:dyDescent="0.25">
      <c r="A41393" s="1" t="str">
        <f t="shared" si="1450"/>
        <v>99999</v>
      </c>
      <c r="B41393" s="1" t="str">
        <f>"98849"</f>
        <v>98849</v>
      </c>
      <c r="C41393" s="2">
        <v>5.9868272478804097E-5</v>
      </c>
      <c r="D41393" s="2">
        <v>2.7102760114975901E-5</v>
      </c>
      <c r="E41393" s="2">
        <v>4.3010567696482999E-5</v>
      </c>
      <c r="F41393" s="2">
        <v>5.7334096735351097E-5</v>
      </c>
    </row>
    <row r="41394" spans="1:6" x14ac:dyDescent="0.25">
      <c r="A41394" s="1" t="str">
        <f t="shared" si="1450"/>
        <v>99999</v>
      </c>
      <c r="B41394" s="1" t="str">
        <f>"98339"</f>
        <v>98339</v>
      </c>
      <c r="C41394" s="2">
        <v>3.8346007435790998E-4</v>
      </c>
      <c r="D41394" s="2">
        <v>4.4267841521127298E-4</v>
      </c>
      <c r="E41394" s="2">
        <v>2.79568690027139E-4</v>
      </c>
      <c r="F41394" s="2">
        <v>3.8495750665164301E-4</v>
      </c>
    </row>
    <row r="41395" spans="1:6" x14ac:dyDescent="0.25">
      <c r="A41395" s="1" t="str">
        <f t="shared" si="1450"/>
        <v>99999</v>
      </c>
      <c r="B41395" s="1" t="str">
        <f>"98243"</f>
        <v>98243</v>
      </c>
      <c r="C41395" s="2">
        <v>3.1828701824174298E-5</v>
      </c>
      <c r="D41395" s="2">
        <v>3.9148431277187403E-5</v>
      </c>
      <c r="E41395" s="2">
        <v>7.7419021853669399E-5</v>
      </c>
      <c r="F41395" s="2">
        <v>3.3354431491477903E-5</v>
      </c>
    </row>
    <row r="41396" spans="1:6" x14ac:dyDescent="0.25">
      <c r="A41396" s="1" t="str">
        <f t="shared" si="1450"/>
        <v>99999</v>
      </c>
      <c r="B41396" s="1" t="str">
        <f>"99134"</f>
        <v>99134</v>
      </c>
      <c r="C41396" s="2">
        <v>1.0176523712491101E-5</v>
      </c>
      <c r="D41396" s="2">
        <v>1.50570889527644E-6</v>
      </c>
      <c r="E41396" s="2">
        <v>4.1290144988623701E-4</v>
      </c>
      <c r="F41396" s="2">
        <v>1.8848214245184198E-5</v>
      </c>
    </row>
    <row r="41397" spans="1:6" x14ac:dyDescent="0.25">
      <c r="A41397" s="1" t="str">
        <f t="shared" si="1450"/>
        <v>99999</v>
      </c>
      <c r="B41397" s="1" t="str">
        <f>"99328"</f>
        <v>99328</v>
      </c>
      <c r="C41397" s="2">
        <v>2.0721134452880799E-4</v>
      </c>
      <c r="D41397" s="2">
        <v>4.0804711061991501E-4</v>
      </c>
      <c r="E41397" s="2">
        <v>1.97848611403821E-4</v>
      </c>
      <c r="F41397" s="2">
        <v>2.2015898419374899E-4</v>
      </c>
    </row>
    <row r="41398" spans="1:6" x14ac:dyDescent="0.25">
      <c r="A41398" s="1" t="str">
        <f t="shared" si="1450"/>
        <v>99999</v>
      </c>
      <c r="B41398" s="1" t="str">
        <f>"00606"</f>
        <v>00606</v>
      </c>
      <c r="C41398" s="2">
        <v>2.77797445172895E-4</v>
      </c>
      <c r="D41398" s="2">
        <v>2.13810663129254E-4</v>
      </c>
      <c r="E41398" s="2">
        <v>1.2903170308944901E-4</v>
      </c>
      <c r="F41398" s="2">
        <v>2.7019063143096601E-4</v>
      </c>
    </row>
    <row r="41399" spans="1:6" x14ac:dyDescent="0.25">
      <c r="A41399" s="1" t="str">
        <f t="shared" si="1450"/>
        <v>99999</v>
      </c>
      <c r="B41399" s="1" t="str">
        <f>"03896"</f>
        <v>03896</v>
      </c>
      <c r="C41399" s="2">
        <v>8.5093059978915098E-5</v>
      </c>
      <c r="D41399" s="2">
        <v>2.3790200545367699E-4</v>
      </c>
      <c r="E41399" s="2">
        <v>8.6021135392965999E-6</v>
      </c>
      <c r="F41399" s="2">
        <v>9.3352935476148297E-5</v>
      </c>
    </row>
    <row r="41400" spans="1:6" x14ac:dyDescent="0.25">
      <c r="A41400" s="1" t="str">
        <f t="shared" si="1450"/>
        <v>99999</v>
      </c>
      <c r="B41400" s="1" t="str">
        <f>"04442"</f>
        <v>04442</v>
      </c>
      <c r="C41400" s="2">
        <v>3.1503919152499101E-5</v>
      </c>
      <c r="D41400" s="2">
        <v>1.50570889527644E-6</v>
      </c>
      <c r="E41400" s="2">
        <v>8.6021135392965999E-6</v>
      </c>
      <c r="F41400" s="2">
        <v>2.9012434492587301E-5</v>
      </c>
    </row>
    <row r="41401" spans="1:6" x14ac:dyDescent="0.25">
      <c r="A41401" s="1" t="str">
        <f t="shared" si="1450"/>
        <v>99999</v>
      </c>
      <c r="B41401" s="1" t="str">
        <f>"04544"</f>
        <v>04544</v>
      </c>
      <c r="C41401" s="2">
        <v>4.7418270064586199E-5</v>
      </c>
      <c r="D41401" s="2">
        <v>1.9574215638593701E-5</v>
      </c>
      <c r="E41401" s="2">
        <v>3.44084541571864E-5</v>
      </c>
      <c r="F41401" s="2">
        <v>4.5294923238427098E-5</v>
      </c>
    </row>
    <row r="41402" spans="1:6" x14ac:dyDescent="0.25">
      <c r="A41402" s="1" t="str">
        <f t="shared" si="1450"/>
        <v>99999</v>
      </c>
      <c r="B41402" s="1" t="str">
        <f>"04413"</f>
        <v>04413</v>
      </c>
      <c r="C41402" s="2">
        <v>1.42904375537109E-5</v>
      </c>
      <c r="D41402" s="2">
        <v>1.35513800574879E-5</v>
      </c>
      <c r="E41402" s="2">
        <v>4.3010567696482999E-6</v>
      </c>
      <c r="F41402" s="2">
        <v>1.4012808496419701E-5</v>
      </c>
    </row>
    <row r="41403" spans="1:6" x14ac:dyDescent="0.25">
      <c r="A41403" s="1" t="str">
        <f t="shared" si="1450"/>
        <v>99999</v>
      </c>
      <c r="B41403" s="1" t="str">
        <f>"04984"</f>
        <v>04984</v>
      </c>
      <c r="C41403" s="2">
        <v>2.5766091952903002E-5</v>
      </c>
      <c r="D41403" s="2">
        <v>0</v>
      </c>
      <c r="E41403" s="2">
        <v>8.6021135392965999E-6</v>
      </c>
      <c r="F41403" s="2">
        <v>2.3683619993948799E-5</v>
      </c>
    </row>
    <row r="41404" spans="1:6" x14ac:dyDescent="0.25">
      <c r="A41404" s="1" t="str">
        <f t="shared" si="1450"/>
        <v>99999</v>
      </c>
      <c r="B41404" s="1" t="str">
        <f>"04942"</f>
        <v>04942</v>
      </c>
      <c r="C41404" s="2">
        <v>6.8637404614035799E-5</v>
      </c>
      <c r="D41404" s="2">
        <v>7.5285444763821999E-6</v>
      </c>
      <c r="E41404" s="2">
        <v>1.41934873398393E-4</v>
      </c>
      <c r="F41404" s="2">
        <v>6.6314135983056699E-5</v>
      </c>
    </row>
    <row r="41405" spans="1:6" x14ac:dyDescent="0.25">
      <c r="A41405" s="1" t="str">
        <f t="shared" si="1450"/>
        <v>99999</v>
      </c>
      <c r="B41405" s="1" t="str">
        <f>"04616"</f>
        <v>04616</v>
      </c>
      <c r="C41405" s="2">
        <v>4.9691748766313E-5</v>
      </c>
      <c r="D41405" s="2">
        <v>1.50570889527644E-5</v>
      </c>
      <c r="E41405" s="2">
        <v>4.3010567696482999E-5</v>
      </c>
      <c r="F41405" s="2">
        <v>4.7268558237922802E-5</v>
      </c>
    </row>
    <row r="41406" spans="1:6" x14ac:dyDescent="0.25">
      <c r="A41406" s="1" t="str">
        <f t="shared" si="1450"/>
        <v>99999</v>
      </c>
      <c r="B41406" s="1" t="str">
        <f>"05444"</f>
        <v>05444</v>
      </c>
      <c r="C41406" s="2">
        <v>4.38456606761585E-5</v>
      </c>
      <c r="D41406" s="2">
        <v>2.25856334291466E-5</v>
      </c>
      <c r="E41406" s="2">
        <v>4.7311624466131299E-5</v>
      </c>
      <c r="F41406" s="2">
        <v>4.25318342391331E-5</v>
      </c>
    </row>
    <row r="41407" spans="1:6" x14ac:dyDescent="0.25">
      <c r="A41407" s="1" t="str">
        <f t="shared" si="1450"/>
        <v>99999</v>
      </c>
      <c r="B41407" s="1" t="str">
        <f>"05858"</f>
        <v>05858</v>
      </c>
      <c r="C41407" s="2">
        <v>1.6022611802645498E-5</v>
      </c>
      <c r="D41407" s="2">
        <v>4.5171266858293203E-6</v>
      </c>
      <c r="E41407" s="2">
        <v>0</v>
      </c>
      <c r="F41407" s="2">
        <v>1.49009442461928E-5</v>
      </c>
    </row>
    <row r="41408" spans="1:6" x14ac:dyDescent="0.25">
      <c r="A41408" s="1" t="str">
        <f t="shared" si="1450"/>
        <v>99999</v>
      </c>
      <c r="B41408" s="1" t="str">
        <f>"12424"</f>
        <v>12424</v>
      </c>
      <c r="C41408" s="2">
        <v>2.1976960783358401E-5</v>
      </c>
      <c r="D41408" s="2">
        <v>6.0228355811057601E-6</v>
      </c>
      <c r="E41408" s="2">
        <v>3.01073973875381E-5</v>
      </c>
      <c r="F41408" s="2">
        <v>2.11178944946043E-5</v>
      </c>
    </row>
    <row r="41409" spans="1:6" x14ac:dyDescent="0.25">
      <c r="A41409" s="1" t="str">
        <f t="shared" si="1450"/>
        <v>99999</v>
      </c>
      <c r="B41409" s="1" t="str">
        <f>"12759"</f>
        <v>12759</v>
      </c>
      <c r="C41409" s="2">
        <v>7.2101753111905093E-5</v>
      </c>
      <c r="D41409" s="2">
        <v>1.65627978480408E-5</v>
      </c>
      <c r="E41409" s="2">
        <v>7.3117965084021106E-5</v>
      </c>
      <c r="F41409" s="2">
        <v>6.8485134482502004E-5</v>
      </c>
    </row>
    <row r="41410" spans="1:6" x14ac:dyDescent="0.25">
      <c r="A41410" s="1" t="str">
        <f t="shared" si="1450"/>
        <v>99999</v>
      </c>
      <c r="B41410" s="1" t="str">
        <f>"13325"</f>
        <v>13325</v>
      </c>
      <c r="C41410" s="2">
        <v>3.7999572586004001E-5</v>
      </c>
      <c r="D41410" s="2">
        <v>2.1079924533870101E-5</v>
      </c>
      <c r="E41410" s="2">
        <v>3.01073973875381E-5</v>
      </c>
      <c r="F41410" s="2">
        <v>3.6709610990620603E-5</v>
      </c>
    </row>
    <row r="41411" spans="1:6" x14ac:dyDescent="0.25">
      <c r="A41411" s="1" t="str">
        <f t="shared" si="1450"/>
        <v>99999</v>
      </c>
      <c r="B41411" s="1" t="str">
        <f>"13072"</f>
        <v>13072</v>
      </c>
      <c r="C41411" s="2">
        <v>1.3640872210360401E-5</v>
      </c>
      <c r="D41411" s="2">
        <v>0</v>
      </c>
      <c r="E41411" s="2">
        <v>4.3010567696482999E-6</v>
      </c>
      <c r="F41411" s="2">
        <v>1.2532582246797899E-5</v>
      </c>
    </row>
    <row r="41412" spans="1:6" x14ac:dyDescent="0.25">
      <c r="A41412" s="1" t="str">
        <f t="shared" si="1450"/>
        <v>99999</v>
      </c>
      <c r="B41412" s="1" t="str">
        <f>"13832"</f>
        <v>13832</v>
      </c>
      <c r="C41412" s="2">
        <v>1.86208731760475E-5</v>
      </c>
      <c r="D41412" s="2">
        <v>0</v>
      </c>
      <c r="E41412" s="2">
        <v>4.3010567696482999E-6</v>
      </c>
      <c r="F41412" s="2">
        <v>1.7071942745638099E-5</v>
      </c>
    </row>
    <row r="41413" spans="1:6" x14ac:dyDescent="0.25">
      <c r="A41413" s="1" t="str">
        <f t="shared" si="1450"/>
        <v>99999</v>
      </c>
      <c r="B41413" s="1" t="str">
        <f>"13750"</f>
        <v>13750</v>
      </c>
      <c r="C41413" s="2">
        <v>5.0233053219105099E-5</v>
      </c>
      <c r="D41413" s="2">
        <v>7.5285444763821999E-6</v>
      </c>
      <c r="E41413" s="2">
        <v>1.72042270785932E-5</v>
      </c>
      <c r="F41413" s="2">
        <v>4.6676467738074101E-5</v>
      </c>
    </row>
    <row r="41414" spans="1:6" x14ac:dyDescent="0.25">
      <c r="A41414" s="1" t="str">
        <f t="shared" ref="A41414:A41477" si="1451">"99999"</f>
        <v>99999</v>
      </c>
      <c r="B41414" s="1" t="str">
        <f>"18441"</f>
        <v>18441</v>
      </c>
      <c r="C41414" s="2">
        <v>1.23417415236594E-5</v>
      </c>
      <c r="D41414" s="2">
        <v>7.5285444763821999E-6</v>
      </c>
      <c r="E41414" s="2">
        <v>1.29031703089449E-5</v>
      </c>
      <c r="F41414" s="2">
        <v>1.2039173496923901E-5</v>
      </c>
    </row>
    <row r="41415" spans="1:6" x14ac:dyDescent="0.25">
      <c r="A41415" s="1" t="str">
        <f t="shared" si="1451"/>
        <v>99999</v>
      </c>
      <c r="B41415" s="1" t="str">
        <f>"18823"</f>
        <v>18823</v>
      </c>
      <c r="C41415" s="2">
        <v>1.09343499464E-5</v>
      </c>
      <c r="D41415" s="2">
        <v>6.0228355811057601E-6</v>
      </c>
      <c r="E41415" s="2">
        <v>1.72042270785932E-5</v>
      </c>
      <c r="F41415" s="2">
        <v>1.07563107472517E-5</v>
      </c>
    </row>
    <row r="41416" spans="1:6" x14ac:dyDescent="0.25">
      <c r="A41416" s="1" t="str">
        <f t="shared" si="1451"/>
        <v>99999</v>
      </c>
      <c r="B41416" s="1" t="str">
        <f>"23084"</f>
        <v>23084</v>
      </c>
      <c r="C41416" s="2">
        <v>1.06095672747247E-5</v>
      </c>
      <c r="D41416" s="2">
        <v>1.0539962266935E-5</v>
      </c>
      <c r="E41416" s="2">
        <v>0</v>
      </c>
      <c r="F41416" s="2">
        <v>1.03615837473526E-5</v>
      </c>
    </row>
    <row r="41417" spans="1:6" x14ac:dyDescent="0.25">
      <c r="A41417" s="1" t="str">
        <f t="shared" si="1451"/>
        <v>99999</v>
      </c>
      <c r="B41417" s="1" t="str">
        <f>"24815"</f>
        <v>24815</v>
      </c>
      <c r="C41417" s="2">
        <v>1.6672177145996001E-5</v>
      </c>
      <c r="D41417" s="2">
        <v>3.01141779055288E-6</v>
      </c>
      <c r="E41417" s="2">
        <v>0</v>
      </c>
      <c r="F41417" s="2">
        <v>1.5394352996066698E-5</v>
      </c>
    </row>
    <row r="41418" spans="1:6" x14ac:dyDescent="0.25">
      <c r="A41418" s="1" t="str">
        <f t="shared" si="1451"/>
        <v>99999</v>
      </c>
      <c r="B41418" s="1" t="str">
        <f>"41503"</f>
        <v>41503</v>
      </c>
      <c r="C41418" s="2">
        <v>3.5942615665394102E-5</v>
      </c>
      <c r="D41418" s="2">
        <v>2.9361323457890499E-4</v>
      </c>
      <c r="E41418" s="2">
        <v>8.6021135392965999E-5</v>
      </c>
      <c r="F41418" s="2">
        <v>5.3978917236208303E-5</v>
      </c>
    </row>
    <row r="41419" spans="1:6" x14ac:dyDescent="0.25">
      <c r="A41419" s="1" t="str">
        <f t="shared" si="1451"/>
        <v>99999</v>
      </c>
      <c r="B41419" s="1" t="str">
        <f>"26631"</f>
        <v>26631</v>
      </c>
      <c r="C41419" s="2">
        <v>1.6130872693204E-5</v>
      </c>
      <c r="D41419" s="2">
        <v>3.01141779055288E-6</v>
      </c>
      <c r="E41419" s="2">
        <v>4.3010567696482999E-6</v>
      </c>
      <c r="F41419" s="2">
        <v>1.49996259961675E-5</v>
      </c>
    </row>
    <row r="41420" spans="1:6" x14ac:dyDescent="0.25">
      <c r="A41420" s="1" t="str">
        <f t="shared" si="1451"/>
        <v>99999</v>
      </c>
      <c r="B41420" s="1" t="str">
        <f>"26440"</f>
        <v>26440</v>
      </c>
      <c r="C41420" s="2">
        <v>4.8717400751287203E-6</v>
      </c>
      <c r="D41420" s="2">
        <v>0</v>
      </c>
      <c r="E41420" s="2">
        <v>0</v>
      </c>
      <c r="F41420" s="2">
        <v>4.4406787488654001E-6</v>
      </c>
    </row>
    <row r="41421" spans="1:6" x14ac:dyDescent="0.25">
      <c r="A41421" s="1" t="str">
        <f t="shared" si="1451"/>
        <v>99999</v>
      </c>
      <c r="B41421" s="1" t="str">
        <f>"27341"</f>
        <v>27341</v>
      </c>
      <c r="C41421" s="2">
        <v>2.1219134549449501E-5</v>
      </c>
      <c r="D41421" s="2">
        <v>1.65627978480408E-5</v>
      </c>
      <c r="E41421" s="2">
        <v>0</v>
      </c>
      <c r="F41421" s="2">
        <v>2.0427122244780799E-5</v>
      </c>
    </row>
    <row r="41422" spans="1:6" x14ac:dyDescent="0.25">
      <c r="A41422" s="1" t="str">
        <f t="shared" si="1451"/>
        <v>99999</v>
      </c>
      <c r="B41422" s="1" t="str">
        <f>"29564"</f>
        <v>29564</v>
      </c>
      <c r="C41422" s="2">
        <v>4.4711747800625797E-5</v>
      </c>
      <c r="D41422" s="2">
        <v>1.80685067433172E-5</v>
      </c>
      <c r="E41422" s="2">
        <v>0</v>
      </c>
      <c r="F41422" s="2">
        <v>4.1939743739284297E-5</v>
      </c>
    </row>
    <row r="41423" spans="1:6" x14ac:dyDescent="0.25">
      <c r="A41423" s="1" t="str">
        <f t="shared" si="1451"/>
        <v>99999</v>
      </c>
      <c r="B41423" s="1" t="str">
        <f>"29911"</f>
        <v>29911</v>
      </c>
      <c r="C41423" s="2">
        <v>5.9651750697687297E-5</v>
      </c>
      <c r="D41423" s="2">
        <v>1.9574215638593701E-5</v>
      </c>
      <c r="E41423" s="2">
        <v>8.6021135392965999E-6</v>
      </c>
      <c r="F41423" s="2">
        <v>5.5853870485729297E-5</v>
      </c>
    </row>
    <row r="41424" spans="1:6" x14ac:dyDescent="0.25">
      <c r="A41424" s="1" t="str">
        <f t="shared" si="1451"/>
        <v>99999</v>
      </c>
      <c r="B41424" s="1" t="str">
        <f>"30541"</f>
        <v>30541</v>
      </c>
      <c r="C41424" s="2">
        <v>8.4984799088356599E-5</v>
      </c>
      <c r="D41424" s="2">
        <v>6.0228355811057601E-6</v>
      </c>
      <c r="E41424" s="2">
        <v>1.29031703089449E-5</v>
      </c>
      <c r="F41424" s="2">
        <v>7.8155945980031097E-5</v>
      </c>
    </row>
    <row r="41425" spans="1:6" x14ac:dyDescent="0.25">
      <c r="A41425" s="1" t="str">
        <f t="shared" si="1451"/>
        <v>99999</v>
      </c>
      <c r="B41425" s="1" t="str">
        <f>"30818"</f>
        <v>30818</v>
      </c>
      <c r="C41425" s="2">
        <v>3.0962614699707001E-5</v>
      </c>
      <c r="D41425" s="2">
        <v>1.20456711622115E-5</v>
      </c>
      <c r="E41425" s="2">
        <v>8.6021135392965999E-6</v>
      </c>
      <c r="F41425" s="2">
        <v>2.92097979925368E-5</v>
      </c>
    </row>
    <row r="41426" spans="1:6" x14ac:dyDescent="0.25">
      <c r="A41426" s="1" t="str">
        <f t="shared" si="1451"/>
        <v>99999</v>
      </c>
      <c r="B41426" s="1" t="str">
        <f>"32430"</f>
        <v>32430</v>
      </c>
      <c r="C41426" s="2">
        <v>6.9178709066827898E-5</v>
      </c>
      <c r="D41426" s="2">
        <v>2.4091342324423E-5</v>
      </c>
      <c r="E41426" s="2">
        <v>3.8709510926834699E-5</v>
      </c>
      <c r="F41426" s="2">
        <v>6.5524681983258404E-5</v>
      </c>
    </row>
    <row r="41427" spans="1:6" x14ac:dyDescent="0.25">
      <c r="A41427" s="1" t="str">
        <f t="shared" si="1451"/>
        <v>99999</v>
      </c>
      <c r="B41427" s="1" t="str">
        <f>"38340"</f>
        <v>38340</v>
      </c>
      <c r="C41427" s="2">
        <v>1.78630469421386E-5</v>
      </c>
      <c r="D41427" s="2">
        <v>7.5285444763821999E-6</v>
      </c>
      <c r="E41427" s="2">
        <v>0</v>
      </c>
      <c r="F41427" s="2">
        <v>1.6775897495713701E-5</v>
      </c>
    </row>
    <row r="41428" spans="1:6" x14ac:dyDescent="0.25">
      <c r="A41428" s="1" t="str">
        <f t="shared" si="1451"/>
        <v>99999</v>
      </c>
      <c r="B41428" s="1" t="str">
        <f>"37348"</f>
        <v>37348</v>
      </c>
      <c r="C41428" s="2">
        <v>7.4375231813631894E-5</v>
      </c>
      <c r="D41428" s="2">
        <v>4.2159849067740298E-5</v>
      </c>
      <c r="E41428" s="2">
        <v>0</v>
      </c>
      <c r="F41428" s="2">
        <v>7.0557451231972505E-5</v>
      </c>
    </row>
    <row r="41429" spans="1:6" x14ac:dyDescent="0.25">
      <c r="A41429" s="1" t="str">
        <f t="shared" si="1451"/>
        <v>99999</v>
      </c>
      <c r="B41429" s="1" t="str">
        <f>"38914"</f>
        <v>38914</v>
      </c>
      <c r="C41429" s="2">
        <v>2.7281744420720801E-5</v>
      </c>
      <c r="D41429" s="2">
        <v>2.4091342324423E-5</v>
      </c>
      <c r="E41429" s="2">
        <v>0</v>
      </c>
      <c r="F41429" s="2">
        <v>2.6446708993242801E-5</v>
      </c>
    </row>
    <row r="41430" spans="1:6" x14ac:dyDescent="0.25">
      <c r="A41430" s="1" t="str">
        <f t="shared" si="1451"/>
        <v>99999</v>
      </c>
      <c r="B41430" s="1" t="str">
        <f>"40170"</f>
        <v>40170</v>
      </c>
      <c r="C41430" s="2">
        <v>1.7321742489346501E-5</v>
      </c>
      <c r="D41430" s="2">
        <v>6.0228355811057601E-6</v>
      </c>
      <c r="E41430" s="2">
        <v>7.7419021853669399E-5</v>
      </c>
      <c r="F41430" s="2">
        <v>1.79600784954111E-5</v>
      </c>
    </row>
    <row r="41431" spans="1:6" x14ac:dyDescent="0.25">
      <c r="A41431" s="1" t="str">
        <f t="shared" si="1451"/>
        <v>99999</v>
      </c>
      <c r="B41431" s="1" t="str">
        <f>"42368"</f>
        <v>42368</v>
      </c>
      <c r="C41431" s="2">
        <v>3.1395658261940602E-5</v>
      </c>
      <c r="D41431" s="2">
        <v>3.01141779055288E-6</v>
      </c>
      <c r="E41431" s="2">
        <v>2.58063406178898E-5</v>
      </c>
      <c r="F41431" s="2">
        <v>2.9407161492486401E-5</v>
      </c>
    </row>
    <row r="41432" spans="1:6" x14ac:dyDescent="0.25">
      <c r="A41432" s="1" t="str">
        <f t="shared" si="1451"/>
        <v>99999</v>
      </c>
      <c r="B41432" s="1" t="str">
        <f>"41843"</f>
        <v>41843</v>
      </c>
      <c r="C41432" s="2">
        <v>2.5441309281227699E-5</v>
      </c>
      <c r="D41432" s="2">
        <v>0</v>
      </c>
      <c r="E41432" s="2">
        <v>1.29031703089449E-5</v>
      </c>
      <c r="F41432" s="2">
        <v>2.3486256493999199E-5</v>
      </c>
    </row>
    <row r="41433" spans="1:6" x14ac:dyDescent="0.25">
      <c r="A41433" s="1" t="str">
        <f t="shared" si="1451"/>
        <v>99999</v>
      </c>
      <c r="B41433" s="1" t="str">
        <f>"76470"</f>
        <v>76470</v>
      </c>
      <c r="C41433" s="2">
        <v>2.1154178015114501E-4</v>
      </c>
      <c r="D41433" s="2">
        <v>3.0264748795056398E-4</v>
      </c>
      <c r="E41433" s="2">
        <v>1.93547554634173E-4</v>
      </c>
      <c r="F41433" s="2">
        <v>2.1709984994452999E-4</v>
      </c>
    </row>
    <row r="41434" spans="1:6" x14ac:dyDescent="0.25">
      <c r="A41434" s="1" t="str">
        <f t="shared" si="1451"/>
        <v>99999</v>
      </c>
      <c r="B41434" s="1" t="str">
        <f>"76380"</f>
        <v>76380</v>
      </c>
      <c r="C41434" s="2">
        <v>2.62316137823042E-4</v>
      </c>
      <c r="D41434" s="2">
        <v>4.2762132625850902E-4</v>
      </c>
      <c r="E41434" s="2">
        <v>2.8817080356643602E-4</v>
      </c>
      <c r="F41434" s="2">
        <v>2.7374317443005797E-4</v>
      </c>
    </row>
    <row r="41435" spans="1:6" x14ac:dyDescent="0.25">
      <c r="A41435" s="1" t="str">
        <f t="shared" si="1451"/>
        <v>99999</v>
      </c>
      <c r="B41435" s="1" t="str">
        <f>"76444"</f>
        <v>76444</v>
      </c>
      <c r="C41435" s="2">
        <v>2.1262438905672899E-4</v>
      </c>
      <c r="D41435" s="2">
        <v>2.8608469010252301E-4</v>
      </c>
      <c r="E41435" s="2">
        <v>2.5806340617889802E-4</v>
      </c>
      <c r="F41435" s="2">
        <v>2.18481394444178E-4</v>
      </c>
    </row>
    <row r="41436" spans="1:6" x14ac:dyDescent="0.25">
      <c r="A41436" s="1" t="str">
        <f t="shared" si="1451"/>
        <v>99999</v>
      </c>
      <c r="B41436" s="1" t="str">
        <f>"76844"</f>
        <v>76844</v>
      </c>
      <c r="C41436" s="2">
        <v>2.3557569785511299E-4</v>
      </c>
      <c r="D41436" s="2">
        <v>1.03893913774074E-4</v>
      </c>
      <c r="E41436" s="2">
        <v>2.5806340617889802E-4</v>
      </c>
      <c r="F41436" s="2">
        <v>2.2746143369188301E-4</v>
      </c>
    </row>
    <row r="41437" spans="1:6" x14ac:dyDescent="0.25">
      <c r="A41437" s="1" t="str">
        <f t="shared" si="1451"/>
        <v>99999</v>
      </c>
      <c r="B41437" s="1" t="str">
        <f>"76858"</f>
        <v>76858</v>
      </c>
      <c r="C41437" s="2">
        <v>7.3617405579722903E-6</v>
      </c>
      <c r="D41437" s="2">
        <v>6.0228355811057601E-6</v>
      </c>
      <c r="E41437" s="2">
        <v>3.01073973875381E-5</v>
      </c>
      <c r="F41437" s="2">
        <v>7.7958582480081497E-6</v>
      </c>
    </row>
    <row r="41438" spans="1:6" x14ac:dyDescent="0.25">
      <c r="A41438" s="1" t="str">
        <f t="shared" si="1451"/>
        <v>99999</v>
      </c>
      <c r="B41438" s="1" t="str">
        <f>"76388"</f>
        <v>76388</v>
      </c>
      <c r="C41438" s="2">
        <v>8.5526103541148705E-6</v>
      </c>
      <c r="D41438" s="2">
        <v>0</v>
      </c>
      <c r="E41438" s="2">
        <v>1.29031703089449E-5</v>
      </c>
      <c r="F41438" s="2">
        <v>8.0919034979325103E-6</v>
      </c>
    </row>
    <row r="41439" spans="1:6" x14ac:dyDescent="0.25">
      <c r="A41439" s="1" t="str">
        <f t="shared" si="1451"/>
        <v>99999</v>
      </c>
      <c r="B41439" s="1" t="str">
        <f>"76487"</f>
        <v>76487</v>
      </c>
      <c r="C41439" s="2">
        <v>7.3617405579722903E-6</v>
      </c>
      <c r="D41439" s="2">
        <v>7.5285444763821999E-6</v>
      </c>
      <c r="E41439" s="2">
        <v>0</v>
      </c>
      <c r="F41439" s="2">
        <v>7.2037677481594301E-6</v>
      </c>
    </row>
    <row r="41440" spans="1:6" x14ac:dyDescent="0.25">
      <c r="A41440" s="1" t="str">
        <f t="shared" si="1451"/>
        <v>99999</v>
      </c>
      <c r="B41440" s="1" t="str">
        <f>"76841"</f>
        <v>76841</v>
      </c>
      <c r="C41440" s="2">
        <v>9.7434801502574508E-6</v>
      </c>
      <c r="D41440" s="2">
        <v>1.50570889527644E-6</v>
      </c>
      <c r="E41440" s="2">
        <v>0</v>
      </c>
      <c r="F41440" s="2">
        <v>8.9800392477055905E-6</v>
      </c>
    </row>
    <row r="41441" spans="1:6" x14ac:dyDescent="0.25">
      <c r="A41441" s="1" t="str">
        <f t="shared" si="1451"/>
        <v>99999</v>
      </c>
      <c r="B41441" s="1" t="str">
        <f>"79084"</f>
        <v>79084</v>
      </c>
      <c r="C41441" s="2">
        <v>2.29513087983842E-5</v>
      </c>
      <c r="D41441" s="2">
        <v>1.35513800574879E-5</v>
      </c>
      <c r="E41441" s="2">
        <v>0</v>
      </c>
      <c r="F41441" s="2">
        <v>2.1808666744427801E-5</v>
      </c>
    </row>
    <row r="41442" spans="1:6" x14ac:dyDescent="0.25">
      <c r="A41442" s="1" t="str">
        <f t="shared" si="1451"/>
        <v>99999</v>
      </c>
      <c r="B41442" s="1" t="str">
        <f>"76950"</f>
        <v>76950</v>
      </c>
      <c r="C41442" s="2">
        <v>1.8328568771539799E-4</v>
      </c>
      <c r="D41442" s="2">
        <v>4.0051856614353298E-4</v>
      </c>
      <c r="E41442" s="2">
        <v>4.21503563425533E-4</v>
      </c>
      <c r="F41442" s="2">
        <v>2.02988359698136E-4</v>
      </c>
    </row>
    <row r="41443" spans="1:6" x14ac:dyDescent="0.25">
      <c r="A41443" s="1" t="str">
        <f t="shared" si="1451"/>
        <v>99999</v>
      </c>
      <c r="B41443" s="1" t="str">
        <f>"79239"</f>
        <v>79239</v>
      </c>
      <c r="C41443" s="2">
        <v>1.68886989271129E-5</v>
      </c>
      <c r="D41443" s="2">
        <v>2.25856334291466E-5</v>
      </c>
      <c r="E41443" s="2">
        <v>4.3010567696482999E-6</v>
      </c>
      <c r="F41443" s="2">
        <v>1.6973260995663299E-5</v>
      </c>
    </row>
    <row r="41444" spans="1:6" x14ac:dyDescent="0.25">
      <c r="A41444" s="1" t="str">
        <f t="shared" si="1451"/>
        <v>99999</v>
      </c>
      <c r="B41444" s="1" t="str">
        <f>"79248"</f>
        <v>79248</v>
      </c>
      <c r="C41444" s="2">
        <v>3.4102180525900997E-5</v>
      </c>
      <c r="D41444" s="2">
        <v>2.4091342324423E-5</v>
      </c>
      <c r="E41444" s="2">
        <v>1.29031703089449E-5</v>
      </c>
      <c r="F41444" s="2">
        <v>3.2959704491578701E-5</v>
      </c>
    </row>
    <row r="41445" spans="1:6" x14ac:dyDescent="0.25">
      <c r="A41445" s="1" t="str">
        <f t="shared" si="1451"/>
        <v>99999</v>
      </c>
      <c r="B41445" s="1" t="str">
        <f>"76945"</f>
        <v>76945</v>
      </c>
      <c r="C41445" s="2">
        <v>9.0181321835160595E-5</v>
      </c>
      <c r="D41445" s="2">
        <v>3.31255956960816E-5</v>
      </c>
      <c r="E41445" s="2">
        <v>3.01073973875381E-5</v>
      </c>
      <c r="F41445" s="2">
        <v>8.5063668478266199E-5</v>
      </c>
    </row>
    <row r="41446" spans="1:6" x14ac:dyDescent="0.25">
      <c r="A41446" s="1" t="str">
        <f t="shared" si="1451"/>
        <v>99999</v>
      </c>
      <c r="B41446" s="1" t="str">
        <f>"75974"</f>
        <v>75974</v>
      </c>
      <c r="C41446" s="2">
        <v>1.3933176614868101E-4</v>
      </c>
      <c r="D41446" s="2">
        <v>5.4205520229951803E-5</v>
      </c>
      <c r="E41446" s="2">
        <v>1.5096709261465499E-3</v>
      </c>
      <c r="F41446" s="2">
        <v>1.6519324945779299E-4</v>
      </c>
    </row>
    <row r="41447" spans="1:6" x14ac:dyDescent="0.25">
      <c r="A41447" s="1" t="str">
        <f t="shared" si="1451"/>
        <v>99999</v>
      </c>
      <c r="B41447" s="1" t="str">
        <f>"75856"</f>
        <v>75856</v>
      </c>
      <c r="C41447" s="2">
        <v>1.85126122854891E-5</v>
      </c>
      <c r="D41447" s="2">
        <v>6.0228355811057601E-6</v>
      </c>
      <c r="E41447" s="2">
        <v>4.3010567696482999E-6</v>
      </c>
      <c r="F41447" s="2">
        <v>1.7367987995562399E-5</v>
      </c>
    </row>
    <row r="41448" spans="1:6" x14ac:dyDescent="0.25">
      <c r="A41448" s="1" t="str">
        <f t="shared" si="1451"/>
        <v>99999</v>
      </c>
      <c r="B41448" s="1" t="str">
        <f>"75933"</f>
        <v>75933</v>
      </c>
      <c r="C41448" s="2">
        <v>1.33485678058527E-4</v>
      </c>
      <c r="D41448" s="2">
        <v>2.4091342324423E-5</v>
      </c>
      <c r="E41448" s="2">
        <v>0</v>
      </c>
      <c r="F41448" s="2">
        <v>1.2325350571850801E-4</v>
      </c>
    </row>
    <row r="41449" spans="1:6" x14ac:dyDescent="0.25">
      <c r="A41449" s="1" t="str">
        <f t="shared" si="1451"/>
        <v>99999</v>
      </c>
      <c r="B41449" s="1" t="str">
        <f>"75948"</f>
        <v>75948</v>
      </c>
      <c r="C41449" s="2">
        <v>6.4491012505648497E-4</v>
      </c>
      <c r="D41449" s="2">
        <v>4.5472408637348502E-4</v>
      </c>
      <c r="E41449" s="2">
        <v>1.07526419241207E-4</v>
      </c>
      <c r="F41449" s="2">
        <v>6.2011611684155996E-4</v>
      </c>
    </row>
    <row r="41450" spans="1:6" x14ac:dyDescent="0.25">
      <c r="A41450" s="1" t="str">
        <f t="shared" si="1451"/>
        <v>99999</v>
      </c>
      <c r="B41450" s="1" t="str">
        <f>"77624"</f>
        <v>77624</v>
      </c>
      <c r="C41450" s="2">
        <v>3.1395658261940602E-5</v>
      </c>
      <c r="D41450" s="2">
        <v>1.50570889527644E-6</v>
      </c>
      <c r="E41450" s="2">
        <v>0</v>
      </c>
      <c r="F41450" s="2">
        <v>2.87163892426629E-5</v>
      </c>
    </row>
    <row r="41451" spans="1:6" x14ac:dyDescent="0.25">
      <c r="A41451" s="1" t="str">
        <f t="shared" si="1451"/>
        <v>99999</v>
      </c>
      <c r="B41451" s="1" t="str">
        <f>"77632"</f>
        <v>77632</v>
      </c>
      <c r="C41451" s="2">
        <v>9.6352192596990306E-5</v>
      </c>
      <c r="D41451" s="2">
        <v>2.25856334291466E-5</v>
      </c>
      <c r="E41451" s="2">
        <v>4.3010567696482999E-6</v>
      </c>
      <c r="F41451" s="2">
        <v>8.9405665477156794E-5</v>
      </c>
    </row>
    <row r="41452" spans="1:6" x14ac:dyDescent="0.25">
      <c r="A41452" s="1" t="str">
        <f t="shared" si="1451"/>
        <v>99999</v>
      </c>
      <c r="B41452" s="1" t="str">
        <f>"78072"</f>
        <v>78072</v>
      </c>
      <c r="C41452" s="2">
        <v>7.47000144853071E-6</v>
      </c>
      <c r="D41452" s="2">
        <v>9.0342533716586405E-6</v>
      </c>
      <c r="E41452" s="2">
        <v>4.3010567696482999E-6</v>
      </c>
      <c r="F41452" s="2">
        <v>7.4998129980837899E-6</v>
      </c>
    </row>
    <row r="41453" spans="1:6" x14ac:dyDescent="0.25">
      <c r="A41453" s="1" t="str">
        <f t="shared" si="1451"/>
        <v>99999</v>
      </c>
      <c r="B41453" s="1" t="str">
        <f>"78116"</f>
        <v>78116</v>
      </c>
      <c r="C41453" s="2">
        <v>1.67804380365545E-5</v>
      </c>
      <c r="D41453" s="2">
        <v>3.01141779055288E-6</v>
      </c>
      <c r="E41453" s="2">
        <v>1.72042270785932E-5</v>
      </c>
      <c r="F41453" s="2">
        <v>1.5887761745940599E-5</v>
      </c>
    </row>
    <row r="41454" spans="1:6" x14ac:dyDescent="0.25">
      <c r="A41454" s="1" t="str">
        <f t="shared" si="1451"/>
        <v>99999</v>
      </c>
      <c r="B41454" s="1" t="str">
        <f>"76649"</f>
        <v>76649</v>
      </c>
      <c r="C41454" s="2">
        <v>4.08143557405228E-5</v>
      </c>
      <c r="D41454" s="2">
        <v>7.5285444763821999E-6</v>
      </c>
      <c r="E41454" s="2">
        <v>3.44084541571864E-5</v>
      </c>
      <c r="F41454" s="2">
        <v>3.84858824901668E-5</v>
      </c>
    </row>
    <row r="41455" spans="1:6" x14ac:dyDescent="0.25">
      <c r="A41455" s="1" t="str">
        <f t="shared" si="1451"/>
        <v>99999</v>
      </c>
      <c r="B41455" s="1" t="str">
        <f>"77964"</f>
        <v>77964</v>
      </c>
      <c r="C41455" s="2">
        <v>4.4571008642899898E-4</v>
      </c>
      <c r="D41455" s="2">
        <v>5.3753807561368898E-4</v>
      </c>
      <c r="E41455" s="2">
        <v>6.9247013991337596E-4</v>
      </c>
      <c r="F41455" s="2">
        <v>4.57389911133136E-4</v>
      </c>
    </row>
    <row r="41456" spans="1:6" x14ac:dyDescent="0.25">
      <c r="A41456" s="1" t="str">
        <f t="shared" si="1451"/>
        <v>99999</v>
      </c>
      <c r="B41456" s="1" t="str">
        <f>"78383"</f>
        <v>78383</v>
      </c>
      <c r="C41456" s="2">
        <v>1.07719586105624E-4</v>
      </c>
      <c r="D41456" s="2">
        <v>1.20456711622115E-5</v>
      </c>
      <c r="E41456" s="2">
        <v>3.8709510926834699E-5</v>
      </c>
      <c r="F41456" s="2">
        <v>9.9865930974484197E-5</v>
      </c>
    </row>
    <row r="41457" spans="1:6" x14ac:dyDescent="0.25">
      <c r="A41457" s="1" t="str">
        <f t="shared" si="1451"/>
        <v>99999</v>
      </c>
      <c r="B41457" s="1" t="str">
        <f>"76633"</f>
        <v>76633</v>
      </c>
      <c r="C41457" s="2">
        <v>2.5224787500110899E-5</v>
      </c>
      <c r="D41457" s="2">
        <v>0</v>
      </c>
      <c r="E41457" s="2">
        <v>0</v>
      </c>
      <c r="F41457" s="2">
        <v>2.2992847744125301E-5</v>
      </c>
    </row>
    <row r="41458" spans="1:6" x14ac:dyDescent="0.25">
      <c r="A41458" s="1" t="str">
        <f t="shared" si="1451"/>
        <v>99999</v>
      </c>
      <c r="B41458" s="1" t="str">
        <f>"76636"</f>
        <v>76636</v>
      </c>
      <c r="C41458" s="2">
        <v>7.4158710032515006E-5</v>
      </c>
      <c r="D41458" s="2">
        <v>1.65627978480408E-5</v>
      </c>
      <c r="E41458" s="2">
        <v>2.15052838482415E-5</v>
      </c>
      <c r="F41458" s="2">
        <v>6.9175906732325495E-5</v>
      </c>
    </row>
    <row r="41459" spans="1:6" x14ac:dyDescent="0.25">
      <c r="A41459" s="1" t="str">
        <f t="shared" si="1451"/>
        <v>99999</v>
      </c>
      <c r="B41459" s="1" t="str">
        <f>"76642"</f>
        <v>76642</v>
      </c>
      <c r="C41459" s="2">
        <v>3.5509572103160502E-4</v>
      </c>
      <c r="D41459" s="2">
        <v>5.1645815107981903E-4</v>
      </c>
      <c r="E41459" s="2">
        <v>5.33331039436389E-4</v>
      </c>
      <c r="F41459" s="2">
        <v>3.6976051715552599E-4</v>
      </c>
    </row>
    <row r="41460" spans="1:6" x14ac:dyDescent="0.25">
      <c r="A41460" s="1" t="str">
        <f t="shared" si="1451"/>
        <v>99999</v>
      </c>
      <c r="B41460" s="1" t="str">
        <f>"77664"</f>
        <v>77664</v>
      </c>
      <c r="C41460" s="2">
        <v>1.6574742344493501E-4</v>
      </c>
      <c r="D41460" s="2">
        <v>6.1734064706334002E-5</v>
      </c>
      <c r="E41460" s="2">
        <v>7.2687859407056295E-4</v>
      </c>
      <c r="F41460" s="2">
        <v>1.7180492670610301E-4</v>
      </c>
    </row>
    <row r="41461" spans="1:6" x14ac:dyDescent="0.25">
      <c r="A41461" s="1" t="str">
        <f t="shared" si="1451"/>
        <v>99999</v>
      </c>
      <c r="B41461" s="1" t="str">
        <f>"77857"</f>
        <v>77857</v>
      </c>
      <c r="C41461" s="2">
        <v>5.3589140826415997E-5</v>
      </c>
      <c r="D41461" s="2">
        <v>1.50570889527644E-6</v>
      </c>
      <c r="E41461" s="2">
        <v>0</v>
      </c>
      <c r="F41461" s="2">
        <v>4.8946147987494202E-5</v>
      </c>
    </row>
    <row r="41462" spans="1:6" x14ac:dyDescent="0.25">
      <c r="A41462" s="1" t="str">
        <f t="shared" si="1451"/>
        <v>99999</v>
      </c>
      <c r="B41462" s="1" t="str">
        <f>"78934"</f>
        <v>78934</v>
      </c>
      <c r="C41462" s="2">
        <v>3.7187615906815902E-4</v>
      </c>
      <c r="D41462" s="2">
        <v>6.3540915380665695E-4</v>
      </c>
      <c r="E41462" s="2">
        <v>3.44084541571864E-4</v>
      </c>
      <c r="F41462" s="2">
        <v>3.8851004965073503E-4</v>
      </c>
    </row>
    <row r="41463" spans="1:6" x14ac:dyDescent="0.25">
      <c r="A41463" s="1" t="str">
        <f t="shared" si="1451"/>
        <v>99999</v>
      </c>
      <c r="B41463" s="1" t="str">
        <f>"78942"</f>
        <v>78942</v>
      </c>
      <c r="C41463" s="2">
        <v>4.13015297480357E-4</v>
      </c>
      <c r="D41463" s="2">
        <v>8.5825407030757099E-4</v>
      </c>
      <c r="E41463" s="2">
        <v>5.5913738005427898E-4</v>
      </c>
      <c r="F41463" s="2">
        <v>4.4554810113616198E-4</v>
      </c>
    </row>
    <row r="41464" spans="1:6" x14ac:dyDescent="0.25">
      <c r="A41464" s="1" t="str">
        <f t="shared" si="1451"/>
        <v>99999</v>
      </c>
      <c r="B41464" s="1" t="str">
        <f>"78954"</f>
        <v>78954</v>
      </c>
      <c r="C41464" s="2">
        <v>7.7514797639825897E-5</v>
      </c>
      <c r="D41464" s="2">
        <v>1.9122502970010701E-4</v>
      </c>
      <c r="E41464" s="2">
        <v>3.01073973875381E-5</v>
      </c>
      <c r="F41464" s="2">
        <v>8.3879487478568702E-5</v>
      </c>
    </row>
    <row r="41465" spans="1:6" x14ac:dyDescent="0.25">
      <c r="A41465" s="1" t="str">
        <f t="shared" si="1451"/>
        <v>99999</v>
      </c>
      <c r="B41465" s="1" t="str">
        <f>"78946"</f>
        <v>78946</v>
      </c>
      <c r="C41465" s="2">
        <v>5.8569141792103098E-5</v>
      </c>
      <c r="D41465" s="2">
        <v>1.65627978480408E-5</v>
      </c>
      <c r="E41465" s="2">
        <v>1.97848611403821E-4</v>
      </c>
      <c r="F41465" s="2">
        <v>5.9011686484922498E-5</v>
      </c>
    </row>
    <row r="41466" spans="1:6" x14ac:dyDescent="0.25">
      <c r="A41466" s="1" t="str">
        <f t="shared" si="1451"/>
        <v>99999</v>
      </c>
      <c r="B41466" s="1" t="str">
        <f>"78832"</f>
        <v>78832</v>
      </c>
      <c r="C41466" s="2">
        <v>7.2967840236372403E-5</v>
      </c>
      <c r="D41466" s="2">
        <v>3.01141779055288E-5</v>
      </c>
      <c r="E41466" s="2">
        <v>6.0214794775076199E-5</v>
      </c>
      <c r="F41466" s="2">
        <v>6.9866678982149E-5</v>
      </c>
    </row>
    <row r="41467" spans="1:6" x14ac:dyDescent="0.25">
      <c r="A41467" s="1" t="str">
        <f t="shared" si="1451"/>
        <v>99999</v>
      </c>
      <c r="B41467" s="1" t="str">
        <f>"79756"</f>
        <v>79756</v>
      </c>
      <c r="C41467" s="2">
        <v>4.9302009560302695E-4</v>
      </c>
      <c r="D41467" s="2">
        <v>6.8359183845550402E-4</v>
      </c>
      <c r="E41467" s="2">
        <v>6.7956696960443097E-4</v>
      </c>
      <c r="F41467" s="2">
        <v>5.0978992036974805E-4</v>
      </c>
    </row>
    <row r="41468" spans="1:6" x14ac:dyDescent="0.25">
      <c r="A41468" s="1" t="str">
        <f t="shared" si="1451"/>
        <v>99999</v>
      </c>
      <c r="B41468" s="1" t="str">
        <f>"79843"</f>
        <v>79843</v>
      </c>
      <c r="C41468" s="2">
        <v>1.4615220225386101E-5</v>
      </c>
      <c r="D41468" s="2">
        <v>1.80685067433172E-5</v>
      </c>
      <c r="E41468" s="2">
        <v>2.58063406178898E-5</v>
      </c>
      <c r="F41468" s="2">
        <v>1.5098307746142301E-5</v>
      </c>
    </row>
    <row r="41469" spans="1:6" x14ac:dyDescent="0.25">
      <c r="A41469" s="1" t="str">
        <f t="shared" si="1451"/>
        <v>99999</v>
      </c>
      <c r="B41469" s="1" t="str">
        <f>"78669"</f>
        <v>78669</v>
      </c>
      <c r="C41469" s="2">
        <v>2.7909657585959601E-4</v>
      </c>
      <c r="D41469" s="2">
        <v>2.5446480330171799E-4</v>
      </c>
      <c r="E41469" s="2">
        <v>8.1720078623317706E-5</v>
      </c>
      <c r="F41469" s="2">
        <v>2.7295372043025998E-4</v>
      </c>
    </row>
    <row r="41470" spans="1:6" x14ac:dyDescent="0.25">
      <c r="A41470" s="1" t="str">
        <f t="shared" si="1451"/>
        <v>99999</v>
      </c>
      <c r="B41470" s="1" t="str">
        <f>"78657"</f>
        <v>78657</v>
      </c>
      <c r="C41470" s="2">
        <v>5.5776010815695998E-4</v>
      </c>
      <c r="D41470" s="2">
        <v>4.5020695968765501E-4</v>
      </c>
      <c r="E41470" s="2">
        <v>1.39784345013569E-3</v>
      </c>
      <c r="F41470" s="2">
        <v>5.6998578785436797E-4</v>
      </c>
    </row>
    <row r="41471" spans="1:6" x14ac:dyDescent="0.25">
      <c r="A41471" s="1" t="str">
        <f t="shared" si="1451"/>
        <v>99999</v>
      </c>
      <c r="B41471" s="1" t="str">
        <f>"78659"</f>
        <v>78659</v>
      </c>
      <c r="C41471" s="2">
        <v>1.78630469421386E-5</v>
      </c>
      <c r="D41471" s="2">
        <v>3.01141779055288E-6</v>
      </c>
      <c r="E41471" s="2">
        <v>1.72042270785932E-5</v>
      </c>
      <c r="F41471" s="2">
        <v>1.6874579245688502E-5</v>
      </c>
    </row>
    <row r="41472" spans="1:6" x14ac:dyDescent="0.25">
      <c r="A41472" s="1" t="str">
        <f t="shared" si="1451"/>
        <v>99999</v>
      </c>
      <c r="B41472" s="1" t="str">
        <f>"78636"</f>
        <v>78636</v>
      </c>
      <c r="C41472" s="2">
        <v>1.6000959624533901E-4</v>
      </c>
      <c r="D41472" s="2">
        <v>8.4319698135480595E-5</v>
      </c>
      <c r="E41472" s="2">
        <v>1.37633816628745E-4</v>
      </c>
      <c r="F41472" s="2">
        <v>1.54535620460516E-4</v>
      </c>
    </row>
    <row r="41473" spans="1:6" x14ac:dyDescent="0.25">
      <c r="A41473" s="1" t="str">
        <f t="shared" si="1451"/>
        <v>99999</v>
      </c>
      <c r="B41473" s="1" t="str">
        <f>"81235"</f>
        <v>81235</v>
      </c>
      <c r="C41473" s="2">
        <v>7.81643629831764E-5</v>
      </c>
      <c r="D41473" s="2">
        <v>6.0228355811057601E-6</v>
      </c>
      <c r="E41473" s="2">
        <v>6.4515851544724506E-5</v>
      </c>
      <c r="F41473" s="2">
        <v>7.3123176731316997E-5</v>
      </c>
    </row>
    <row r="41474" spans="1:6" x14ac:dyDescent="0.25">
      <c r="A41474" s="1" t="str">
        <f t="shared" si="1451"/>
        <v>99999</v>
      </c>
      <c r="B41474" s="1" t="str">
        <f>"81416"</f>
        <v>81416</v>
      </c>
      <c r="C41474" s="2">
        <v>7.4959840622647301E-4</v>
      </c>
      <c r="D41474" s="2">
        <v>1.34610375237713E-3</v>
      </c>
      <c r="E41474" s="2">
        <v>1.3892413365964001E-3</v>
      </c>
      <c r="F41474" s="2">
        <v>8.0336812654473904E-4</v>
      </c>
    </row>
    <row r="41475" spans="1:6" x14ac:dyDescent="0.25">
      <c r="A41475" s="1" t="str">
        <f t="shared" si="1451"/>
        <v>99999</v>
      </c>
      <c r="B41475" s="1" t="str">
        <f>"81413"</f>
        <v>81413</v>
      </c>
      <c r="C41475" s="2">
        <v>3.9526051142877702E-4</v>
      </c>
      <c r="D41475" s="2">
        <v>1.8520219411900199E-4</v>
      </c>
      <c r="E41475" s="2">
        <v>3.5698771188080898E-4</v>
      </c>
      <c r="F41475" s="2">
        <v>3.8061550965275202E-4</v>
      </c>
    </row>
    <row r="41476" spans="1:6" x14ac:dyDescent="0.25">
      <c r="A41476" s="1" t="str">
        <f t="shared" si="1451"/>
        <v>99999</v>
      </c>
      <c r="B41476" s="1" t="str">
        <f>"81230"</f>
        <v>81230</v>
      </c>
      <c r="C41476" s="2">
        <v>7.3574101223499604E-4</v>
      </c>
      <c r="D41476" s="2">
        <v>1.40482639929291E-3</v>
      </c>
      <c r="E41476" s="2">
        <v>3.0322450226020498E-3</v>
      </c>
      <c r="F41476" s="2">
        <v>8.3228187928735097E-4</v>
      </c>
    </row>
    <row r="41477" spans="1:6" x14ac:dyDescent="0.25">
      <c r="A41477" s="1" t="str">
        <f t="shared" si="1451"/>
        <v>99999</v>
      </c>
      <c r="B41477" s="1" t="str">
        <f>"81332"</f>
        <v>81332</v>
      </c>
      <c r="C41477" s="2">
        <v>1.5481307349853501E-5</v>
      </c>
      <c r="D41477" s="2">
        <v>0</v>
      </c>
      <c r="E41477" s="2">
        <v>4.3010567696482999E-6</v>
      </c>
      <c r="F41477" s="2">
        <v>1.42101719963693E-5</v>
      </c>
    </row>
    <row r="41478" spans="1:6" x14ac:dyDescent="0.25">
      <c r="A41478" s="1" t="str">
        <f t="shared" ref="A41478:A41541" si="1452">"99999"</f>
        <v>99999</v>
      </c>
      <c r="B41478" s="1" t="str">
        <f>"81415"</f>
        <v>81415</v>
      </c>
      <c r="C41478" s="2">
        <v>8.4984799088356599E-5</v>
      </c>
      <c r="D41478" s="2">
        <v>1.65627978480408E-5</v>
      </c>
      <c r="E41478" s="2">
        <v>6.4515851544724506E-5</v>
      </c>
      <c r="F41478" s="2">
        <v>8.0030899229552099E-5</v>
      </c>
    </row>
    <row r="41479" spans="1:6" x14ac:dyDescent="0.25">
      <c r="A41479" s="1" t="str">
        <f t="shared" si="1452"/>
        <v>99999</v>
      </c>
      <c r="B41479" s="1" t="str">
        <f>"81052"</f>
        <v>81052</v>
      </c>
      <c r="C41479" s="2">
        <v>4.9291183471246805E-4</v>
      </c>
      <c r="D41479" s="2">
        <v>9.5160802181471003E-4</v>
      </c>
      <c r="E41479" s="2">
        <v>1.0451567950245299E-3</v>
      </c>
      <c r="F41479" s="2">
        <v>5.3564453886314198E-4</v>
      </c>
    </row>
    <row r="41480" spans="1:6" x14ac:dyDescent="0.25">
      <c r="A41480" s="1" t="str">
        <f t="shared" si="1452"/>
        <v>99999</v>
      </c>
      <c r="B41480" s="1" t="str">
        <f>"81039"</f>
        <v>81039</v>
      </c>
      <c r="C41480" s="2">
        <v>9.0939148069069502E-5</v>
      </c>
      <c r="D41480" s="2">
        <v>1.2497383830794399E-4</v>
      </c>
      <c r="E41480" s="2">
        <v>8.6021135392965999E-5</v>
      </c>
      <c r="F41480" s="2">
        <v>9.3056890226223899E-5</v>
      </c>
    </row>
    <row r="41481" spans="1:6" x14ac:dyDescent="0.25">
      <c r="A41481" s="1" t="str">
        <f t="shared" si="1452"/>
        <v>99999</v>
      </c>
      <c r="B41481" s="1" t="str">
        <f>"81073"</f>
        <v>81073</v>
      </c>
      <c r="C41481" s="2">
        <v>1.34243504292436E-4</v>
      </c>
      <c r="D41481" s="2">
        <v>2.7855614562614098E-4</v>
      </c>
      <c r="E41481" s="2">
        <v>2.1505283848241501E-4</v>
      </c>
      <c r="F41481" s="2">
        <v>1.4555558121280999E-4</v>
      </c>
    </row>
    <row r="41482" spans="1:6" x14ac:dyDescent="0.25">
      <c r="A41482" s="1" t="str">
        <f t="shared" si="1452"/>
        <v>99999</v>
      </c>
      <c r="B41482" s="1" t="str">
        <f>"81082"</f>
        <v>81082</v>
      </c>
      <c r="C41482" s="2">
        <v>7.0185535349021196E-4</v>
      </c>
      <c r="D41482" s="2">
        <v>1.1322930892478801E-3</v>
      </c>
      <c r="E41482" s="2">
        <v>1.46666035845007E-3</v>
      </c>
      <c r="F41482" s="2">
        <v>7.4761293780898404E-4</v>
      </c>
    </row>
    <row r="41483" spans="1:6" x14ac:dyDescent="0.25">
      <c r="A41483" s="1" t="str">
        <f t="shared" si="1452"/>
        <v>99999</v>
      </c>
      <c r="B41483" s="1" t="str">
        <f>"81130"</f>
        <v>81130</v>
      </c>
      <c r="C41483" s="2">
        <v>9.7976105955366604E-5</v>
      </c>
      <c r="D41483" s="2">
        <v>3.31255956960816E-5</v>
      </c>
      <c r="E41483" s="2">
        <v>6.0214794775076199E-5</v>
      </c>
      <c r="F41483" s="2">
        <v>9.2859526726274305E-5</v>
      </c>
    </row>
    <row r="41484" spans="1:6" x14ac:dyDescent="0.25">
      <c r="A41484" s="1" t="str">
        <f t="shared" si="1452"/>
        <v>99999</v>
      </c>
      <c r="B41484" s="1" t="str">
        <f>"81146"</f>
        <v>81146</v>
      </c>
      <c r="C41484" s="2">
        <v>3.4968267650368402E-5</v>
      </c>
      <c r="D41484" s="2">
        <v>1.9574215638593701E-5</v>
      </c>
      <c r="E41484" s="2">
        <v>3.8709510926834699E-5</v>
      </c>
      <c r="F41484" s="2">
        <v>3.4045203741301401E-5</v>
      </c>
    </row>
    <row r="41485" spans="1:6" x14ac:dyDescent="0.25">
      <c r="A41485" s="1" t="str">
        <f t="shared" si="1452"/>
        <v>99999</v>
      </c>
      <c r="B41485" s="1" t="str">
        <f>"81069"</f>
        <v>81069</v>
      </c>
      <c r="C41485" s="2">
        <v>2.0569569206098999E-5</v>
      </c>
      <c r="D41485" s="2">
        <v>3.01141779055288E-6</v>
      </c>
      <c r="E41485" s="2">
        <v>0</v>
      </c>
      <c r="F41485" s="2">
        <v>1.8946895995158999E-5</v>
      </c>
    </row>
    <row r="41486" spans="1:6" x14ac:dyDescent="0.25">
      <c r="A41486" s="1" t="str">
        <f t="shared" si="1452"/>
        <v>99999</v>
      </c>
      <c r="B41486" s="1" t="str">
        <f>"84046"</f>
        <v>84046</v>
      </c>
      <c r="C41486" s="2">
        <v>9.8084366845924994E-5</v>
      </c>
      <c r="D41486" s="2">
        <v>4.5171266858293203E-6</v>
      </c>
      <c r="E41486" s="2">
        <v>2.58063406178898E-5</v>
      </c>
      <c r="F41486" s="2">
        <v>9.0293801226929893E-5</v>
      </c>
    </row>
    <row r="41487" spans="1:6" x14ac:dyDescent="0.25">
      <c r="A41487" s="1" t="str">
        <f t="shared" si="1452"/>
        <v>99999</v>
      </c>
      <c r="B41487" s="1" t="str">
        <f>"83253"</f>
        <v>83253</v>
      </c>
      <c r="C41487" s="2">
        <v>1.18004370708673E-5</v>
      </c>
      <c r="D41487" s="2">
        <v>1.35513800574879E-5</v>
      </c>
      <c r="E41487" s="2">
        <v>8.6021135392965999E-6</v>
      </c>
      <c r="F41487" s="2">
        <v>1.18418099969744E-5</v>
      </c>
    </row>
    <row r="41488" spans="1:6" x14ac:dyDescent="0.25">
      <c r="A41488" s="1" t="str">
        <f t="shared" si="1452"/>
        <v>99999</v>
      </c>
      <c r="B41488" s="1" t="str">
        <f>"82414"</f>
        <v>82414</v>
      </c>
      <c r="C41488" s="2">
        <v>1.06701933734374E-3</v>
      </c>
      <c r="D41488" s="2">
        <v>2.2886775208201802E-3</v>
      </c>
      <c r="E41488" s="2">
        <v>2.26665691760465E-3</v>
      </c>
      <c r="F41488" s="2">
        <v>1.1746088699498801E-3</v>
      </c>
    </row>
    <row r="41489" spans="1:6" x14ac:dyDescent="0.25">
      <c r="A41489" s="1" t="str">
        <f t="shared" si="1452"/>
        <v>99999</v>
      </c>
      <c r="B41489" s="1" t="str">
        <f>"82219"</f>
        <v>82219</v>
      </c>
      <c r="C41489" s="2">
        <v>7.1452187768554602E-6</v>
      </c>
      <c r="D41489" s="2">
        <v>0</v>
      </c>
      <c r="E41489" s="2">
        <v>5.5913738005427899E-5</v>
      </c>
      <c r="F41489" s="2">
        <v>7.7958582480081497E-6</v>
      </c>
    </row>
    <row r="41490" spans="1:6" x14ac:dyDescent="0.25">
      <c r="A41490" s="1" t="str">
        <f t="shared" si="1452"/>
        <v>99999</v>
      </c>
      <c r="B41490" s="1" t="str">
        <f>"82442"</f>
        <v>82442</v>
      </c>
      <c r="C41490" s="2">
        <v>2.1110873658891101E-5</v>
      </c>
      <c r="D41490" s="2">
        <v>4.5171266858293203E-6</v>
      </c>
      <c r="E41490" s="2">
        <v>2.0214966817347E-4</v>
      </c>
      <c r="F41490" s="2">
        <v>2.41770287438227E-5</v>
      </c>
    </row>
    <row r="41491" spans="1:6" x14ac:dyDescent="0.25">
      <c r="A41491" s="1" t="str">
        <f t="shared" si="1452"/>
        <v>99999</v>
      </c>
      <c r="B41491" s="1" t="str">
        <f>"82443"</f>
        <v>82443</v>
      </c>
      <c r="C41491" s="2">
        <v>2.7519918379949299E-4</v>
      </c>
      <c r="D41491" s="2">
        <v>4.2912703515378501E-4</v>
      </c>
      <c r="E41491" s="2">
        <v>6.7956696960443097E-4</v>
      </c>
      <c r="F41491" s="2">
        <v>2.94565023674738E-4</v>
      </c>
    </row>
    <row r="41492" spans="1:6" x14ac:dyDescent="0.25">
      <c r="A41492" s="1" t="str">
        <f t="shared" si="1452"/>
        <v>99999</v>
      </c>
      <c r="B41492" s="1" t="str">
        <f>"83227"</f>
        <v>83227</v>
      </c>
      <c r="C41492" s="2">
        <v>1.5806090021528701E-5</v>
      </c>
      <c r="D41492" s="2">
        <v>7.5285444763821999E-6</v>
      </c>
      <c r="E41492" s="2">
        <v>4.3010567696482999E-6</v>
      </c>
      <c r="F41492" s="2">
        <v>1.49996259961675E-5</v>
      </c>
    </row>
    <row r="41493" spans="1:6" x14ac:dyDescent="0.25">
      <c r="A41493" s="1" t="str">
        <f t="shared" si="1452"/>
        <v>99999</v>
      </c>
      <c r="B41493" s="1" t="str">
        <f>"83124"</f>
        <v>83124</v>
      </c>
      <c r="C41493" s="2">
        <v>5.0882618562455504E-6</v>
      </c>
      <c r="D41493" s="2">
        <v>0</v>
      </c>
      <c r="E41493" s="2">
        <v>4.3010567696482999E-6</v>
      </c>
      <c r="F41493" s="2">
        <v>4.7367239987897599E-6</v>
      </c>
    </row>
    <row r="41494" spans="1:6" x14ac:dyDescent="0.25">
      <c r="A41494" s="1" t="str">
        <f t="shared" si="1452"/>
        <v>99999</v>
      </c>
      <c r="B41494" s="1" t="str">
        <f>"83114"</f>
        <v>83114</v>
      </c>
      <c r="C41494" s="2">
        <v>3.2478267167524799E-6</v>
      </c>
      <c r="D41494" s="2">
        <v>3.01141779055288E-6</v>
      </c>
      <c r="E41494" s="2">
        <v>1.29031703089449E-5</v>
      </c>
      <c r="F41494" s="2">
        <v>3.4538612491175301E-6</v>
      </c>
    </row>
    <row r="41495" spans="1:6" x14ac:dyDescent="0.25">
      <c r="A41495" s="1" t="str">
        <f t="shared" si="1452"/>
        <v>99999</v>
      </c>
      <c r="B41495" s="1" t="str">
        <f>"82213"</f>
        <v>82213</v>
      </c>
      <c r="C41495" s="2">
        <v>2.5441309281227699E-5</v>
      </c>
      <c r="D41495" s="2">
        <v>6.0228355811057599E-5</v>
      </c>
      <c r="E41495" s="2">
        <v>2.58063406178898E-5</v>
      </c>
      <c r="F41495" s="2">
        <v>2.7729571742915E-5</v>
      </c>
    </row>
    <row r="41496" spans="1:6" x14ac:dyDescent="0.25">
      <c r="A41496" s="1" t="str">
        <f t="shared" si="1452"/>
        <v>99999</v>
      </c>
      <c r="B41496" s="1" t="str">
        <f>"82639"</f>
        <v>82639</v>
      </c>
      <c r="C41496" s="2">
        <v>4.53613131439763E-5</v>
      </c>
      <c r="D41496" s="2">
        <v>4.6676975753569603E-5</v>
      </c>
      <c r="E41496" s="2">
        <v>4.3010567696482999E-6</v>
      </c>
      <c r="F41496" s="2">
        <v>4.4505469238628803E-5</v>
      </c>
    </row>
    <row r="41497" spans="1:6" x14ac:dyDescent="0.25">
      <c r="A41497" s="1" t="str">
        <f t="shared" si="1452"/>
        <v>99999</v>
      </c>
      <c r="B41497" s="1" t="str">
        <f>"72556"</f>
        <v>72556</v>
      </c>
      <c r="C41497" s="2">
        <v>2.7725614072010303E-4</v>
      </c>
      <c r="D41497" s="2">
        <v>1.26479547203221E-4</v>
      </c>
      <c r="E41497" s="2">
        <v>1.11827476010855E-4</v>
      </c>
      <c r="F41497" s="2">
        <v>2.6357895418265502E-4</v>
      </c>
    </row>
    <row r="41498" spans="1:6" x14ac:dyDescent="0.25">
      <c r="A41498" s="1" t="str">
        <f t="shared" si="1452"/>
        <v>99999</v>
      </c>
      <c r="B41498" s="1" t="str">
        <f>"72560"</f>
        <v>72560</v>
      </c>
      <c r="C41498" s="2">
        <v>5.2051836180486404E-4</v>
      </c>
      <c r="D41498" s="2">
        <v>4.3966699742071998E-4</v>
      </c>
      <c r="E41498" s="2">
        <v>1.37633816628745E-4</v>
      </c>
      <c r="F41498" s="2">
        <v>5.0643474087060504E-4</v>
      </c>
    </row>
    <row r="41499" spans="1:6" x14ac:dyDescent="0.25">
      <c r="A41499" s="1" t="str">
        <f t="shared" si="1452"/>
        <v>99999</v>
      </c>
      <c r="B41499" s="1" t="str">
        <f>"72650"</f>
        <v>72650</v>
      </c>
      <c r="C41499" s="2">
        <v>4.1734573310269401E-4</v>
      </c>
      <c r="D41499" s="2">
        <v>1.1142245825045601E-4</v>
      </c>
      <c r="E41499" s="2">
        <v>3.8709510926834699E-5</v>
      </c>
      <c r="F41499" s="2">
        <v>3.8860873140070999E-4</v>
      </c>
    </row>
    <row r="41500" spans="1:6" x14ac:dyDescent="0.25">
      <c r="A41500" s="1" t="str">
        <f t="shared" si="1452"/>
        <v>99999</v>
      </c>
      <c r="B41500" s="1" t="str">
        <f>"72531"</f>
        <v>72531</v>
      </c>
      <c r="C41500" s="2">
        <v>2.0353047424982201E-5</v>
      </c>
      <c r="D41500" s="2">
        <v>1.50570889527644E-6</v>
      </c>
      <c r="E41500" s="2">
        <v>4.3010567696482999E-6</v>
      </c>
      <c r="F41500" s="2">
        <v>1.8749532495209401E-5</v>
      </c>
    </row>
    <row r="41501" spans="1:6" x14ac:dyDescent="0.25">
      <c r="A41501" s="1" t="str">
        <f t="shared" si="1452"/>
        <v>99999</v>
      </c>
      <c r="B41501" s="1" t="str">
        <f>"72565"</f>
        <v>72565</v>
      </c>
      <c r="C41501" s="2">
        <v>9.35374094424715E-5</v>
      </c>
      <c r="D41501" s="2">
        <v>1.35513800574879E-5</v>
      </c>
      <c r="E41501" s="2">
        <v>8.6021135392965999E-6</v>
      </c>
      <c r="F41501" s="2">
        <v>8.6346531227938405E-5</v>
      </c>
    </row>
    <row r="41502" spans="1:6" x14ac:dyDescent="0.25">
      <c r="A41502" s="1" t="str">
        <f t="shared" si="1452"/>
        <v>99999</v>
      </c>
      <c r="B41502" s="1" t="str">
        <f>"72679"</f>
        <v>72679</v>
      </c>
      <c r="C41502" s="2">
        <v>7.0369578862970498E-6</v>
      </c>
      <c r="D41502" s="2">
        <v>4.5171266858293203E-6</v>
      </c>
      <c r="E41502" s="2">
        <v>0</v>
      </c>
      <c r="F41502" s="2">
        <v>6.7103589982854999E-6</v>
      </c>
    </row>
    <row r="41503" spans="1:6" x14ac:dyDescent="0.25">
      <c r="A41503" s="1" t="str">
        <f t="shared" si="1452"/>
        <v>99999</v>
      </c>
      <c r="B41503" s="1" t="str">
        <f>"72523"</f>
        <v>72523</v>
      </c>
      <c r="C41503" s="2">
        <v>4.6876965611794201E-5</v>
      </c>
      <c r="D41503" s="2">
        <v>1.0539962266935E-5</v>
      </c>
      <c r="E41503" s="2">
        <v>4.3010567696482999E-6</v>
      </c>
      <c r="F41503" s="2">
        <v>4.3518651738880901E-5</v>
      </c>
    </row>
    <row r="41504" spans="1:6" x14ac:dyDescent="0.25">
      <c r="A41504" s="1" t="str">
        <f t="shared" si="1452"/>
        <v>99999</v>
      </c>
      <c r="B41504" s="1" t="str">
        <f>"72653"</f>
        <v>72653</v>
      </c>
      <c r="C41504" s="2">
        <v>1.39656548820356E-5</v>
      </c>
      <c r="D41504" s="2">
        <v>7.5285444763821999E-6</v>
      </c>
      <c r="E41504" s="2">
        <v>4.3010567696482999E-6</v>
      </c>
      <c r="F41504" s="2">
        <v>1.3322036246596199E-5</v>
      </c>
    </row>
    <row r="41505" spans="1:6" x14ac:dyDescent="0.25">
      <c r="A41505" s="1" t="str">
        <f t="shared" si="1452"/>
        <v>99999</v>
      </c>
      <c r="B41505" s="1" t="str">
        <f>"72839"</f>
        <v>72839</v>
      </c>
      <c r="C41505" s="2">
        <v>3.4643484978693103E-5</v>
      </c>
      <c r="D41505" s="2">
        <v>4.5171266858293203E-6</v>
      </c>
      <c r="E41505" s="2">
        <v>4.3010567696482999E-6</v>
      </c>
      <c r="F41505" s="2">
        <v>3.19728869918309E-5</v>
      </c>
    </row>
    <row r="41506" spans="1:6" x14ac:dyDescent="0.25">
      <c r="A41506" s="1" t="str">
        <f t="shared" si="1452"/>
        <v>99999</v>
      </c>
      <c r="B41506" s="1" t="str">
        <f>"72396"</f>
        <v>72396</v>
      </c>
      <c r="C41506" s="2">
        <v>6.9276143868330503E-4</v>
      </c>
      <c r="D41506" s="2">
        <v>9.5461943960526297E-4</v>
      </c>
      <c r="E41506" s="2">
        <v>2.5376234940924903E-4</v>
      </c>
      <c r="F41506" s="2">
        <v>6.99850970821188E-4</v>
      </c>
    </row>
    <row r="41507" spans="1:6" x14ac:dyDescent="0.25">
      <c r="A41507" s="1" t="str">
        <f t="shared" si="1452"/>
        <v>99999</v>
      </c>
      <c r="B41507" s="1" t="str">
        <f>"71366"</f>
        <v>71366</v>
      </c>
      <c r="C41507" s="2">
        <v>7.3400883798606099E-5</v>
      </c>
      <c r="D41507" s="2">
        <v>8.1308280344927694E-5</v>
      </c>
      <c r="E41507" s="2">
        <v>2.58063406178898E-5</v>
      </c>
      <c r="F41507" s="2">
        <v>7.2827131481392599E-5</v>
      </c>
    </row>
    <row r="41508" spans="1:6" x14ac:dyDescent="0.25">
      <c r="A41508" s="1" t="str">
        <f t="shared" si="1452"/>
        <v>99999</v>
      </c>
      <c r="B41508" s="1" t="str">
        <f>"71486"</f>
        <v>71486</v>
      </c>
      <c r="C41508" s="2">
        <v>2.12732649947287E-4</v>
      </c>
      <c r="D41508" s="2">
        <v>6.6251191392163294E-5</v>
      </c>
      <c r="E41508" s="2">
        <v>5.5913738005427899E-5</v>
      </c>
      <c r="F41508" s="2">
        <v>1.99534498449018E-4</v>
      </c>
    </row>
    <row r="41509" spans="1:6" x14ac:dyDescent="0.25">
      <c r="A41509" s="1" t="str">
        <f t="shared" si="1452"/>
        <v>99999</v>
      </c>
      <c r="B41509" s="1" t="str">
        <f>"71479"</f>
        <v>71479</v>
      </c>
      <c r="C41509" s="2">
        <v>3.0204788465798102E-5</v>
      </c>
      <c r="D41509" s="2">
        <v>4.5171266858293203E-6</v>
      </c>
      <c r="E41509" s="2">
        <v>1.29031703089449E-5</v>
      </c>
      <c r="F41509" s="2">
        <v>2.8124298742814199E-5</v>
      </c>
    </row>
    <row r="41510" spans="1:6" x14ac:dyDescent="0.25">
      <c r="A41510" s="1" t="str">
        <f t="shared" si="1452"/>
        <v>99999</v>
      </c>
      <c r="B41510" s="1" t="str">
        <f>"71422"</f>
        <v>71422</v>
      </c>
      <c r="C41510" s="2">
        <v>8.3902190182772495E-5</v>
      </c>
      <c r="D41510" s="2">
        <v>3.7642722381910999E-5</v>
      </c>
      <c r="E41510" s="2">
        <v>1.72042270785932E-5</v>
      </c>
      <c r="F41510" s="2">
        <v>7.9340126979728499E-5</v>
      </c>
    </row>
    <row r="41511" spans="1:6" x14ac:dyDescent="0.25">
      <c r="A41511" s="1" t="str">
        <f t="shared" si="1452"/>
        <v>99999</v>
      </c>
      <c r="B41511" s="1" t="str">
        <f>"71655"</f>
        <v>71655</v>
      </c>
      <c r="C41511" s="2">
        <v>8.8514104120560998E-4</v>
      </c>
      <c r="D41511" s="2">
        <v>1.1097074558187299E-3</v>
      </c>
      <c r="E41511" s="2">
        <v>5.8924477744181703E-4</v>
      </c>
      <c r="F41511" s="2">
        <v>8.9306983727182004E-4</v>
      </c>
    </row>
    <row r="41512" spans="1:6" x14ac:dyDescent="0.25">
      <c r="A41512" s="1" t="str">
        <f t="shared" si="1452"/>
        <v>99999</v>
      </c>
      <c r="B41512" s="1" t="str">
        <f>"71725"</f>
        <v>71725</v>
      </c>
      <c r="C41512" s="2">
        <v>2.3709135032293099E-5</v>
      </c>
      <c r="D41512" s="2">
        <v>1.20456711622115E-5</v>
      </c>
      <c r="E41512" s="2">
        <v>4.3010567696482999E-6</v>
      </c>
      <c r="F41512" s="2">
        <v>2.2499438994251299E-5</v>
      </c>
    </row>
    <row r="41513" spans="1:6" x14ac:dyDescent="0.25">
      <c r="A41513" s="1" t="str">
        <f t="shared" si="1452"/>
        <v>99999</v>
      </c>
      <c r="B41513" s="1" t="str">
        <f>"71263"</f>
        <v>71263</v>
      </c>
      <c r="C41513" s="2">
        <v>3.7945442140724801E-4</v>
      </c>
      <c r="D41513" s="2">
        <v>3.0867032353167003E-4</v>
      </c>
      <c r="E41513" s="2">
        <v>1.37633816628745E-4</v>
      </c>
      <c r="F41513" s="2">
        <v>3.6926710840565202E-4</v>
      </c>
    </row>
    <row r="41514" spans="1:6" x14ac:dyDescent="0.25">
      <c r="A41514" s="1" t="str">
        <f t="shared" si="1452"/>
        <v>99999</v>
      </c>
      <c r="B41514" s="1" t="str">
        <f>"71266"</f>
        <v>71266</v>
      </c>
      <c r="C41514" s="2">
        <v>8.2603059496071503E-5</v>
      </c>
      <c r="D41514" s="2">
        <v>6.0228355811057599E-5</v>
      </c>
      <c r="E41514" s="2">
        <v>1.29031703089449E-5</v>
      </c>
      <c r="F41514" s="2">
        <v>7.9537490479678093E-5</v>
      </c>
    </row>
    <row r="41515" spans="1:6" x14ac:dyDescent="0.25">
      <c r="A41515" s="1" t="str">
        <f t="shared" si="1452"/>
        <v>99999</v>
      </c>
      <c r="B41515" s="1" t="str">
        <f>"71232"</f>
        <v>71232</v>
      </c>
      <c r="C41515" s="2">
        <v>3.6159137446510999E-4</v>
      </c>
      <c r="D41515" s="2">
        <v>6.4896053386414502E-4</v>
      </c>
      <c r="E41515" s="2">
        <v>1.8494544109487701E-4</v>
      </c>
      <c r="F41515" s="2">
        <v>3.76372194403836E-4</v>
      </c>
    </row>
    <row r="41516" spans="1:6" x14ac:dyDescent="0.25">
      <c r="A41516" s="1" t="str">
        <f t="shared" si="1452"/>
        <v>99999</v>
      </c>
      <c r="B41516" s="1" t="str">
        <f>"71238"</f>
        <v>71238</v>
      </c>
      <c r="C41516" s="2">
        <v>5.52130541847922E-5</v>
      </c>
      <c r="D41516" s="2">
        <v>2.4091342324423E-5</v>
      </c>
      <c r="E41516" s="2">
        <v>4.3010567696482999E-6</v>
      </c>
      <c r="F41516" s="2">
        <v>5.2005282236712599E-5</v>
      </c>
    </row>
    <row r="41517" spans="1:6" x14ac:dyDescent="0.25">
      <c r="A41517" s="1" t="str">
        <f t="shared" si="1452"/>
        <v>99999</v>
      </c>
      <c r="B41517" s="1" t="str">
        <f>"74042"</f>
        <v>74042</v>
      </c>
      <c r="C41517" s="2">
        <v>1.51565246781782E-5</v>
      </c>
      <c r="D41517" s="2">
        <v>4.5171266858293203E-6</v>
      </c>
      <c r="E41517" s="2">
        <v>4.3010567696482999E-6</v>
      </c>
      <c r="F41517" s="2">
        <v>1.42101719963693E-5</v>
      </c>
    </row>
    <row r="41518" spans="1:6" x14ac:dyDescent="0.25">
      <c r="A41518" s="1" t="str">
        <f t="shared" si="1452"/>
        <v>99999</v>
      </c>
      <c r="B41518" s="1" t="str">
        <f>"74048"</f>
        <v>74048</v>
      </c>
      <c r="C41518" s="2">
        <v>3.2391658455078098E-4</v>
      </c>
      <c r="D41518" s="2">
        <v>3.9750714835297998E-4</v>
      </c>
      <c r="E41518" s="2">
        <v>1.3333275985909701E-4</v>
      </c>
      <c r="F41518" s="2">
        <v>3.2436691216712398E-4</v>
      </c>
    </row>
    <row r="41519" spans="1:6" x14ac:dyDescent="0.25">
      <c r="A41519" s="1" t="str">
        <f t="shared" si="1452"/>
        <v>99999</v>
      </c>
      <c r="B41519" s="1" t="str">
        <f>"73550"</f>
        <v>73550</v>
      </c>
      <c r="C41519" s="2">
        <v>1.4777611561223801E-4</v>
      </c>
      <c r="D41519" s="2">
        <v>3.1017603242694601E-4</v>
      </c>
      <c r="E41519" s="2">
        <v>3.8709510926834699E-5</v>
      </c>
      <c r="F41519" s="2">
        <v>1.5591716496016301E-4</v>
      </c>
    </row>
    <row r="41520" spans="1:6" x14ac:dyDescent="0.25">
      <c r="A41520" s="1" t="str">
        <f t="shared" si="1452"/>
        <v>99999</v>
      </c>
      <c r="B41520" s="1" t="str">
        <f>"73659"</f>
        <v>73659</v>
      </c>
      <c r="C41520" s="2">
        <v>1.5373046459294999E-5</v>
      </c>
      <c r="D41520" s="2">
        <v>1.65627978480408E-5</v>
      </c>
      <c r="E41520" s="2">
        <v>4.3010567696482999E-6</v>
      </c>
      <c r="F41520" s="2">
        <v>1.5196989496117099E-5</v>
      </c>
    </row>
    <row r="41521" spans="1:6" x14ac:dyDescent="0.25">
      <c r="A41521" s="1" t="str">
        <f t="shared" si="1452"/>
        <v>99999</v>
      </c>
      <c r="B41521" s="1" t="str">
        <f>"73666"</f>
        <v>73666</v>
      </c>
      <c r="C41521" s="2">
        <v>2.1219134549449501E-5</v>
      </c>
      <c r="D41521" s="2">
        <v>6.0228355811057601E-6</v>
      </c>
      <c r="E41521" s="2">
        <v>4.3010567696482999E-6</v>
      </c>
      <c r="F41521" s="2">
        <v>1.9835031744932101E-5</v>
      </c>
    </row>
    <row r="41522" spans="1:6" x14ac:dyDescent="0.25">
      <c r="A41522" s="1" t="str">
        <f t="shared" si="1452"/>
        <v>99999</v>
      </c>
      <c r="B41522" s="1" t="str">
        <f>"73573"</f>
        <v>73573</v>
      </c>
      <c r="C41522" s="2">
        <v>1.6683003235051899E-4</v>
      </c>
      <c r="D41522" s="2">
        <v>2.8156756341669398E-4</v>
      </c>
      <c r="E41522" s="2">
        <v>8.6021135392965999E-5</v>
      </c>
      <c r="F41522" s="2">
        <v>1.7249569895592701E-4</v>
      </c>
    </row>
    <row r="41523" spans="1:6" x14ac:dyDescent="0.25">
      <c r="A41523" s="1" t="str">
        <f t="shared" si="1452"/>
        <v>99999</v>
      </c>
      <c r="B41523" s="1" t="str">
        <f>"73718"</f>
        <v>73718</v>
      </c>
      <c r="C41523" s="2">
        <v>2.9555223122447599E-5</v>
      </c>
      <c r="D41523" s="2">
        <v>2.1079924533870101E-5</v>
      </c>
      <c r="E41523" s="2">
        <v>4.3010567696482999E-6</v>
      </c>
      <c r="F41523" s="2">
        <v>2.84203439927386E-5</v>
      </c>
    </row>
    <row r="41524" spans="1:6" x14ac:dyDescent="0.25">
      <c r="A41524" s="1" t="str">
        <f t="shared" si="1452"/>
        <v>99999</v>
      </c>
      <c r="B41524" s="1" t="str">
        <f>"73772"</f>
        <v>73772</v>
      </c>
      <c r="C41524" s="2">
        <v>2.4077222060191699E-4</v>
      </c>
      <c r="D41524" s="2">
        <v>4.1858707288684998E-4</v>
      </c>
      <c r="E41524" s="2">
        <v>1.41934873398393E-4</v>
      </c>
      <c r="F41524" s="2">
        <v>2.5015823618608398E-4</v>
      </c>
    </row>
    <row r="41525" spans="1:6" x14ac:dyDescent="0.25">
      <c r="A41525" s="1" t="str">
        <f t="shared" si="1452"/>
        <v>99999</v>
      </c>
      <c r="B41525" s="1" t="str">
        <f>"73760"</f>
        <v>73760</v>
      </c>
      <c r="C41525" s="2">
        <v>3.0637832028031702E-5</v>
      </c>
      <c r="D41525" s="2">
        <v>1.0539962266935E-5</v>
      </c>
      <c r="E41525" s="2">
        <v>4.3010567696482999E-6</v>
      </c>
      <c r="F41525" s="2">
        <v>2.87163892426629E-5</v>
      </c>
    </row>
    <row r="41526" spans="1:6" x14ac:dyDescent="0.25">
      <c r="A41526" s="1" t="str">
        <f t="shared" si="1452"/>
        <v>99999</v>
      </c>
      <c r="B41526" s="1" t="str">
        <f>"73726"</f>
        <v>73726</v>
      </c>
      <c r="C41526" s="2">
        <v>3.2045223605291098E-5</v>
      </c>
      <c r="D41526" s="2">
        <v>1.35513800574879E-5</v>
      </c>
      <c r="E41526" s="2">
        <v>4.3010567696482999E-6</v>
      </c>
      <c r="F41526" s="2">
        <v>3.0196615492284699E-5</v>
      </c>
    </row>
    <row r="41527" spans="1:6" x14ac:dyDescent="0.25">
      <c r="A41527" s="1" t="str">
        <f t="shared" si="1452"/>
        <v>99999</v>
      </c>
      <c r="B41527" s="1" t="str">
        <f>"73570"</f>
        <v>73570</v>
      </c>
      <c r="C41527" s="2">
        <v>2.8039570654629701E-5</v>
      </c>
      <c r="D41527" s="2">
        <v>9.0342533716586405E-6</v>
      </c>
      <c r="E41527" s="2">
        <v>4.3010567696482999E-6</v>
      </c>
      <c r="F41527" s="2">
        <v>2.6249345493293201E-5</v>
      </c>
    </row>
    <row r="41528" spans="1:6" x14ac:dyDescent="0.25">
      <c r="A41528" s="1" t="str">
        <f t="shared" si="1452"/>
        <v>99999</v>
      </c>
      <c r="B41528" s="1" t="str">
        <f>"74964"</f>
        <v>74964</v>
      </c>
      <c r="C41528" s="2">
        <v>1.8068742634199601E-4</v>
      </c>
      <c r="D41528" s="2">
        <v>7.2274026973269097E-5</v>
      </c>
      <c r="E41528" s="2">
        <v>1.29031703089449E-5</v>
      </c>
      <c r="F41528" s="2">
        <v>1.6973260995663299E-4</v>
      </c>
    </row>
    <row r="41529" spans="1:6" x14ac:dyDescent="0.25">
      <c r="A41529" s="1" t="str">
        <f t="shared" si="1452"/>
        <v>99999</v>
      </c>
      <c r="B41529" s="1" t="str">
        <f>"74361"</f>
        <v>74361</v>
      </c>
      <c r="C41529" s="2">
        <v>8.3631537956376401E-4</v>
      </c>
      <c r="D41529" s="2">
        <v>1.3536322968535201E-3</v>
      </c>
      <c r="E41529" s="2">
        <v>9.9354411378875691E-4</v>
      </c>
      <c r="F41529" s="2">
        <v>8.7382689602673704E-4</v>
      </c>
    </row>
    <row r="41530" spans="1:6" x14ac:dyDescent="0.25">
      <c r="A41530" s="1" t="str">
        <f t="shared" si="1452"/>
        <v>99999</v>
      </c>
      <c r="B41530" s="1" t="str">
        <f>"74352"</f>
        <v>74352</v>
      </c>
      <c r="C41530" s="2">
        <v>4.0933442720137098E-4</v>
      </c>
      <c r="D41530" s="2">
        <v>7.82968625543749E-5</v>
      </c>
      <c r="E41530" s="2">
        <v>5.1612681235779599E-5</v>
      </c>
      <c r="F41530" s="2">
        <v>3.7943132865305503E-4</v>
      </c>
    </row>
    <row r="41531" spans="1:6" x14ac:dyDescent="0.25">
      <c r="A41531" s="1" t="str">
        <f t="shared" si="1452"/>
        <v>99999</v>
      </c>
      <c r="B41531" s="1" t="str">
        <f>"74455"</f>
        <v>74455</v>
      </c>
      <c r="C41531" s="2">
        <v>1.7213481598788101E-5</v>
      </c>
      <c r="D41531" s="2">
        <v>1.0539962266935E-5</v>
      </c>
      <c r="E41531" s="2">
        <v>0</v>
      </c>
      <c r="F41531" s="2">
        <v>1.6381170495814601E-5</v>
      </c>
    </row>
    <row r="41532" spans="1:6" x14ac:dyDescent="0.25">
      <c r="A41532" s="1" t="str">
        <f t="shared" si="1452"/>
        <v>99999</v>
      </c>
      <c r="B41532" s="1" t="str">
        <f>"74727"</f>
        <v>74727</v>
      </c>
      <c r="C41532" s="2">
        <v>1.47234811159445E-4</v>
      </c>
      <c r="D41532" s="2">
        <v>5.1194102439398901E-5</v>
      </c>
      <c r="E41532" s="2">
        <v>2.58063406178898E-5</v>
      </c>
      <c r="F41532" s="2">
        <v>1.38154449964701E-4</v>
      </c>
    </row>
    <row r="41533" spans="1:6" x14ac:dyDescent="0.25">
      <c r="A41533" s="1" t="str">
        <f t="shared" si="1452"/>
        <v>99999</v>
      </c>
      <c r="B41533" s="1" t="str">
        <f>"74745"</f>
        <v>74745</v>
      </c>
      <c r="C41533" s="2">
        <v>6.7565621797507501E-4</v>
      </c>
      <c r="D41533" s="2">
        <v>1.3476094612724101E-3</v>
      </c>
      <c r="E41533" s="2">
        <v>6.2795428836865199E-4</v>
      </c>
      <c r="F41533" s="2">
        <v>7.1860050331639704E-4</v>
      </c>
    </row>
    <row r="41534" spans="1:6" x14ac:dyDescent="0.25">
      <c r="A41534" s="1" t="str">
        <f t="shared" si="1452"/>
        <v>99999</v>
      </c>
      <c r="B41534" s="1" t="str">
        <f>"74848"</f>
        <v>74848</v>
      </c>
      <c r="C41534" s="2">
        <v>3.5769398240500703E-4</v>
      </c>
      <c r="D41534" s="2">
        <v>6.4896053386414502E-4</v>
      </c>
      <c r="E41534" s="2">
        <v>3.7419193895940199E-4</v>
      </c>
      <c r="F41534" s="2">
        <v>3.7716164840363503E-4</v>
      </c>
    </row>
    <row r="41535" spans="1:6" x14ac:dyDescent="0.25">
      <c r="A41535" s="1" t="str">
        <f t="shared" si="1452"/>
        <v>99999</v>
      </c>
      <c r="B41535" s="1" t="str">
        <f>"74850"</f>
        <v>74850</v>
      </c>
      <c r="C41535" s="2">
        <v>1.76465251610218E-5</v>
      </c>
      <c r="D41535" s="2">
        <v>4.5171266858293203E-6</v>
      </c>
      <c r="E41535" s="2">
        <v>2.58063406178898E-5</v>
      </c>
      <c r="F41535" s="2">
        <v>1.6973260995663299E-5</v>
      </c>
    </row>
    <row r="41536" spans="1:6" x14ac:dyDescent="0.25">
      <c r="A41536" s="1" t="str">
        <f t="shared" si="1452"/>
        <v>99999</v>
      </c>
      <c r="B41536" s="1" t="str">
        <f>"74630"</f>
        <v>74630</v>
      </c>
      <c r="C41536" s="2">
        <v>1.8079568723255499E-5</v>
      </c>
      <c r="D41536" s="2">
        <v>7.5285444763821999E-6</v>
      </c>
      <c r="E41536" s="2">
        <v>4.3010567696482999E-6</v>
      </c>
      <c r="F41536" s="2">
        <v>1.7071942745638099E-5</v>
      </c>
    </row>
    <row r="41537" spans="1:6" x14ac:dyDescent="0.25">
      <c r="A41537" s="1" t="str">
        <f t="shared" si="1452"/>
        <v>99999</v>
      </c>
      <c r="B41537" s="1" t="str">
        <f>"74859"</f>
        <v>74859</v>
      </c>
      <c r="C41537" s="2">
        <v>3.8324355257679299E-4</v>
      </c>
      <c r="D41537" s="2">
        <v>4.8333255538373699E-4</v>
      </c>
      <c r="E41537" s="2">
        <v>1.63440157246635E-4</v>
      </c>
      <c r="F41537" s="2">
        <v>3.8476014315169302E-4</v>
      </c>
    </row>
    <row r="41538" spans="1:6" x14ac:dyDescent="0.25">
      <c r="A41538" s="1" t="str">
        <f t="shared" si="1452"/>
        <v>99999</v>
      </c>
      <c r="B41538" s="1" t="str">
        <f>"74868"</f>
        <v>74868</v>
      </c>
      <c r="C41538" s="2">
        <v>6.4187882012084897E-4</v>
      </c>
      <c r="D41538" s="2">
        <v>9.83227908615515E-4</v>
      </c>
      <c r="E41538" s="2">
        <v>3.2257925772362199E-4</v>
      </c>
      <c r="F41538" s="2">
        <v>6.56924409582155E-4</v>
      </c>
    </row>
    <row r="41539" spans="1:6" x14ac:dyDescent="0.25">
      <c r="A41539" s="1" t="str">
        <f t="shared" si="1452"/>
        <v>99999</v>
      </c>
      <c r="B41539" s="1" t="str">
        <f>"74572"</f>
        <v>74572</v>
      </c>
      <c r="C41539" s="2">
        <v>3.1936962714732702E-5</v>
      </c>
      <c r="D41539" s="2">
        <v>2.1079924533870101E-5</v>
      </c>
      <c r="E41539" s="2">
        <v>4.3010567696482999E-6</v>
      </c>
      <c r="F41539" s="2">
        <v>3.0591342492183898E-5</v>
      </c>
    </row>
    <row r="41540" spans="1:6" x14ac:dyDescent="0.25">
      <c r="A41540" s="1" t="str">
        <f t="shared" si="1452"/>
        <v>99999</v>
      </c>
      <c r="B41540" s="1" t="str">
        <f>"73446"</f>
        <v>73446</v>
      </c>
      <c r="C41540" s="2">
        <v>3.6960268036643199E-4</v>
      </c>
      <c r="D41540" s="2">
        <v>6.3992628049248696E-4</v>
      </c>
      <c r="E41540" s="2">
        <v>4.3440673373447799E-4</v>
      </c>
      <c r="F41540" s="2">
        <v>3.8880609490065998E-4</v>
      </c>
    </row>
    <row r="41541" spans="1:6" x14ac:dyDescent="0.25">
      <c r="A41541" s="1" t="str">
        <f t="shared" si="1452"/>
        <v>99999</v>
      </c>
      <c r="B41541" s="1" t="str">
        <f>"73447"</f>
        <v>73447</v>
      </c>
      <c r="C41541" s="2">
        <v>3.7458268133211902E-5</v>
      </c>
      <c r="D41541" s="2">
        <v>9.0342533716586405E-6</v>
      </c>
      <c r="E41541" s="2">
        <v>4.3010567696482999E-6</v>
      </c>
      <c r="F41541" s="2">
        <v>3.4834657741099703E-5</v>
      </c>
    </row>
    <row r="41542" spans="1:6" x14ac:dyDescent="0.25">
      <c r="A41542" s="1" t="str">
        <f t="shared" ref="A41542:A41605" si="1453">"99999"</f>
        <v>99999</v>
      </c>
      <c r="B41542" s="1" t="str">
        <f>"73434"</f>
        <v>73434</v>
      </c>
      <c r="C41542" s="2">
        <v>4.5686095815651599E-5</v>
      </c>
      <c r="D41542" s="2">
        <v>1.50570889527644E-5</v>
      </c>
      <c r="E41542" s="2">
        <v>4.3010567696482999E-6</v>
      </c>
      <c r="F41542" s="2">
        <v>4.2729197739082599E-5</v>
      </c>
    </row>
    <row r="41543" spans="1:6" x14ac:dyDescent="0.25">
      <c r="A41543" s="1" t="str">
        <f t="shared" si="1453"/>
        <v>99999</v>
      </c>
      <c r="B41543" s="1" t="str">
        <f>"73062"</f>
        <v>73062</v>
      </c>
      <c r="C41543" s="2">
        <v>7.9680015450994294E-5</v>
      </c>
      <c r="D41543" s="2">
        <v>4.0654140172463799E-5</v>
      </c>
      <c r="E41543" s="2">
        <v>4.3010567696482999E-6</v>
      </c>
      <c r="F41543" s="2">
        <v>7.5392856980737106E-5</v>
      </c>
    </row>
    <row r="41544" spans="1:6" x14ac:dyDescent="0.25">
      <c r="A41544" s="1" t="str">
        <f t="shared" si="1453"/>
        <v>99999</v>
      </c>
      <c r="B41544" s="1" t="str">
        <f>"75169"</f>
        <v>75169</v>
      </c>
      <c r="C41544" s="2">
        <v>6.7251665214888097E-4</v>
      </c>
      <c r="D41544" s="2">
        <v>6.67029040607463E-4</v>
      </c>
      <c r="E41544" s="2">
        <v>2.23654952021711E-4</v>
      </c>
      <c r="F41544" s="2">
        <v>6.6185849708089498E-4</v>
      </c>
    </row>
    <row r="41545" spans="1:6" x14ac:dyDescent="0.25">
      <c r="A41545" s="1" t="str">
        <f t="shared" si="1453"/>
        <v>99999</v>
      </c>
      <c r="B41545" s="1" t="str">
        <f>"75783"</f>
        <v>75783</v>
      </c>
      <c r="C41545" s="2">
        <v>4.2979573551691198E-4</v>
      </c>
      <c r="D41545" s="2">
        <v>2.7554472783558799E-4</v>
      </c>
      <c r="E41545" s="2">
        <v>8.4730818362071495E-4</v>
      </c>
      <c r="F41545" s="2">
        <v>4.2926561239032201E-4</v>
      </c>
    </row>
    <row r="41546" spans="1:6" x14ac:dyDescent="0.25">
      <c r="A41546" s="1" t="str">
        <f t="shared" si="1453"/>
        <v>99999</v>
      </c>
      <c r="B41546" s="1" t="str">
        <f>"75432"</f>
        <v>75432</v>
      </c>
      <c r="C41546" s="2">
        <v>2.1435656330566399E-4</v>
      </c>
      <c r="D41546" s="2">
        <v>2.66510474463929E-4</v>
      </c>
      <c r="E41546" s="2">
        <v>1.37633816628745E-4</v>
      </c>
      <c r="F41546" s="2">
        <v>2.1601435069480799E-4</v>
      </c>
    </row>
    <row r="41547" spans="1:6" x14ac:dyDescent="0.25">
      <c r="A41547" s="1" t="str">
        <f t="shared" si="1453"/>
        <v>99999</v>
      </c>
      <c r="B41547" s="1" t="str">
        <f>"75440"</f>
        <v>75440</v>
      </c>
      <c r="C41547" s="2">
        <v>5.0124792328546601E-4</v>
      </c>
      <c r="D41547" s="2">
        <v>4.9387251765067202E-4</v>
      </c>
      <c r="E41547" s="2">
        <v>2.7096657648784301E-4</v>
      </c>
      <c r="F41547" s="2">
        <v>4.9548106662340404E-4</v>
      </c>
    </row>
    <row r="41548" spans="1:6" x14ac:dyDescent="0.25">
      <c r="A41548" s="1" t="str">
        <f t="shared" si="1453"/>
        <v>99999</v>
      </c>
      <c r="B41548" s="1" t="str">
        <f>"75417"</f>
        <v>75417</v>
      </c>
      <c r="C41548" s="2">
        <v>1.9790090794078401E-4</v>
      </c>
      <c r="D41548" s="2">
        <v>1.03893913774074E-4</v>
      </c>
      <c r="E41548" s="2">
        <v>8.1720078623317706E-5</v>
      </c>
      <c r="F41548" s="2">
        <v>1.8907423295169099E-4</v>
      </c>
    </row>
    <row r="41549" spans="1:6" x14ac:dyDescent="0.25">
      <c r="A41549" s="1" t="str">
        <f t="shared" si="1453"/>
        <v>99999</v>
      </c>
      <c r="B41549" s="1" t="str">
        <f>"75455"</f>
        <v>75455</v>
      </c>
      <c r="C41549" s="2">
        <v>6.1708707618297202E-6</v>
      </c>
      <c r="D41549" s="2">
        <v>0</v>
      </c>
      <c r="E41549" s="2">
        <v>0</v>
      </c>
      <c r="F41549" s="2">
        <v>5.6248597485628401E-6</v>
      </c>
    </row>
    <row r="41550" spans="1:6" x14ac:dyDescent="0.25">
      <c r="A41550" s="1" t="str">
        <f t="shared" si="1453"/>
        <v>99999</v>
      </c>
      <c r="B41550" s="1" t="str">
        <f>"75428"</f>
        <v>75428</v>
      </c>
      <c r="C41550" s="2">
        <v>9.4186974785821993E-6</v>
      </c>
      <c r="D41550" s="2">
        <v>4.5171266858293203E-6</v>
      </c>
      <c r="E41550" s="2">
        <v>0</v>
      </c>
      <c r="F41550" s="2">
        <v>8.8813574977308104E-6</v>
      </c>
    </row>
    <row r="41551" spans="1:6" x14ac:dyDescent="0.25">
      <c r="A41551" s="1" t="str">
        <f t="shared" si="1453"/>
        <v>99999</v>
      </c>
      <c r="B41551" s="1" t="str">
        <f>"75643"</f>
        <v>75643</v>
      </c>
      <c r="C41551" s="2">
        <v>1.6130872693203999E-4</v>
      </c>
      <c r="D41551" s="2">
        <v>2.25856334291466E-5</v>
      </c>
      <c r="E41551" s="2">
        <v>1.29031703089449E-5</v>
      </c>
      <c r="F41551" s="2">
        <v>1.48812078961978E-4</v>
      </c>
    </row>
    <row r="41552" spans="1:6" x14ac:dyDescent="0.25">
      <c r="A41552" s="1" t="str">
        <f t="shared" si="1453"/>
        <v>99999</v>
      </c>
      <c r="B41552" s="1" t="str">
        <f>"75638"</f>
        <v>75638</v>
      </c>
      <c r="C41552" s="2">
        <v>4.0662790493741098E-4</v>
      </c>
      <c r="D41552" s="2">
        <v>4.7279259311680202E-4</v>
      </c>
      <c r="E41552" s="2">
        <v>2.0645072494311799E-4</v>
      </c>
      <c r="F41552" s="2">
        <v>4.0637144639617202E-4</v>
      </c>
    </row>
    <row r="41553" spans="1:6" x14ac:dyDescent="0.25">
      <c r="A41553" s="1" t="str">
        <f t="shared" si="1453"/>
        <v>99999</v>
      </c>
      <c r="B41553" s="1" t="str">
        <f>"75554"</f>
        <v>75554</v>
      </c>
      <c r="C41553" s="2">
        <v>1.3370219983964299E-4</v>
      </c>
      <c r="D41553" s="2">
        <v>4.5171266858293199E-5</v>
      </c>
      <c r="E41553" s="2">
        <v>8.6021135392965999E-6</v>
      </c>
      <c r="F41553" s="2">
        <v>1.2502977721805399E-4</v>
      </c>
    </row>
    <row r="41554" spans="1:6" x14ac:dyDescent="0.25">
      <c r="A41554" s="1" t="str">
        <f t="shared" si="1453"/>
        <v>99999</v>
      </c>
      <c r="B41554" s="1" t="str">
        <f>"75669"</f>
        <v>75669</v>
      </c>
      <c r="C41554" s="2">
        <v>3.4860006759809999E-5</v>
      </c>
      <c r="D41554" s="2">
        <v>1.9574215638593701E-5</v>
      </c>
      <c r="E41554" s="2">
        <v>9.0322192162614306E-5</v>
      </c>
      <c r="F41554" s="2">
        <v>3.5130702991024101E-5</v>
      </c>
    </row>
    <row r="41555" spans="1:6" x14ac:dyDescent="0.25">
      <c r="A41555" s="1" t="str">
        <f t="shared" si="1453"/>
        <v>99999</v>
      </c>
      <c r="B41555" s="1" t="str">
        <f>"75410"</f>
        <v>75410</v>
      </c>
      <c r="C41555" s="2">
        <v>3.4275397950794503E-4</v>
      </c>
      <c r="D41555" s="2">
        <v>2.1230495423397799E-4</v>
      </c>
      <c r="E41555" s="2">
        <v>1.2042958955015201E-4</v>
      </c>
      <c r="F41555" s="2">
        <v>3.2910363616591402E-4</v>
      </c>
    </row>
    <row r="41556" spans="1:6" x14ac:dyDescent="0.25">
      <c r="A41556" s="1" t="str">
        <f t="shared" si="1453"/>
        <v>99999</v>
      </c>
      <c r="B41556" s="1" t="str">
        <f>"79566"</f>
        <v>79566</v>
      </c>
      <c r="C41556" s="2">
        <v>4.3304356223366396E-6</v>
      </c>
      <c r="D41556" s="2">
        <v>1.50570889527644E-6</v>
      </c>
      <c r="E41556" s="2">
        <v>4.3010567696482999E-6</v>
      </c>
      <c r="F41556" s="2">
        <v>4.1446334989410403E-6</v>
      </c>
    </row>
    <row r="41557" spans="1:6" x14ac:dyDescent="0.25">
      <c r="A41557" s="1" t="str">
        <f t="shared" si="1453"/>
        <v>99999</v>
      </c>
      <c r="B41557" s="1" t="str">
        <f>"79547"</f>
        <v>79547</v>
      </c>
      <c r="C41557" s="2">
        <v>5.3264358154740698E-5</v>
      </c>
      <c r="D41557" s="2">
        <v>1.80685067433172E-5</v>
      </c>
      <c r="E41557" s="2">
        <v>3.44084541571864E-5</v>
      </c>
      <c r="F41557" s="2">
        <v>5.0525055987090799E-5</v>
      </c>
    </row>
    <row r="41558" spans="1:6" x14ac:dyDescent="0.25">
      <c r="A41558" s="1" t="str">
        <f t="shared" si="1453"/>
        <v>99999</v>
      </c>
      <c r="B41558" s="1" t="str">
        <f>"79556"</f>
        <v>79556</v>
      </c>
      <c r="C41558" s="2">
        <v>2.3600874141734699E-5</v>
      </c>
      <c r="D41558" s="2">
        <v>6.0228355811057601E-6</v>
      </c>
      <c r="E41558" s="2">
        <v>0</v>
      </c>
      <c r="F41558" s="2">
        <v>2.1907348494402598E-5</v>
      </c>
    </row>
    <row r="41559" spans="1:6" x14ac:dyDescent="0.25">
      <c r="A41559" s="1" t="str">
        <f t="shared" si="1453"/>
        <v>99999</v>
      </c>
      <c r="B41559" s="1" t="str">
        <f>"79505"</f>
        <v>79505</v>
      </c>
      <c r="C41559" s="2">
        <v>6.1708707618297202E-6</v>
      </c>
      <c r="D41559" s="2">
        <v>3.01141779055288E-6</v>
      </c>
      <c r="E41559" s="2">
        <v>4.3010567696482999E-6</v>
      </c>
      <c r="F41559" s="2">
        <v>5.9209049984871999E-6</v>
      </c>
    </row>
    <row r="41560" spans="1:6" x14ac:dyDescent="0.25">
      <c r="A41560" s="1" t="str">
        <f t="shared" si="1453"/>
        <v>99999</v>
      </c>
      <c r="B41560" s="1" t="str">
        <f>"76432"</f>
        <v>76432</v>
      </c>
      <c r="C41560" s="2">
        <v>6.8204361051802096E-6</v>
      </c>
      <c r="D41560" s="2">
        <v>3.01141779055288E-6</v>
      </c>
      <c r="E41560" s="2">
        <v>0</v>
      </c>
      <c r="F41560" s="2">
        <v>6.4143137483611402E-6</v>
      </c>
    </row>
    <row r="41561" spans="1:6" x14ac:dyDescent="0.25">
      <c r="A41561" s="1" t="str">
        <f t="shared" si="1453"/>
        <v>99999</v>
      </c>
      <c r="B41561" s="1" t="str">
        <f>"67432"</f>
        <v>67432</v>
      </c>
      <c r="C41561" s="2">
        <v>3.1687962666448398E-4</v>
      </c>
      <c r="D41561" s="2">
        <v>5.5259516456645304E-4</v>
      </c>
      <c r="E41561" s="2">
        <v>1.63440157246635E-4</v>
      </c>
      <c r="F41561" s="2">
        <v>3.2880759091598902E-4</v>
      </c>
    </row>
    <row r="41562" spans="1:6" x14ac:dyDescent="0.25">
      <c r="A41562" s="1" t="str">
        <f t="shared" si="1453"/>
        <v>99999</v>
      </c>
      <c r="B41562" s="1" t="str">
        <f>"67547"</f>
        <v>67547</v>
      </c>
      <c r="C41562" s="2">
        <v>1.19628284067049E-4</v>
      </c>
      <c r="D41562" s="2">
        <v>2.66510474463929E-4</v>
      </c>
      <c r="E41562" s="2">
        <v>6.8816908314372799E-5</v>
      </c>
      <c r="F41562" s="2">
        <v>1.2808891146727299E-4</v>
      </c>
    </row>
    <row r="41563" spans="1:6" x14ac:dyDescent="0.25">
      <c r="A41563" s="1" t="str">
        <f t="shared" si="1453"/>
        <v>99999</v>
      </c>
      <c r="B41563" s="1" t="str">
        <f>"67410"</f>
        <v>67410</v>
      </c>
      <c r="C41563" s="2">
        <v>5.1109966432628202E-4</v>
      </c>
      <c r="D41563" s="2">
        <v>6.8058042066495097E-4</v>
      </c>
      <c r="E41563" s="2">
        <v>6.8386802637408002E-4</v>
      </c>
      <c r="F41563" s="2">
        <v>5.2617109086556299E-4</v>
      </c>
    </row>
    <row r="41564" spans="1:6" x14ac:dyDescent="0.25">
      <c r="A41564" s="1" t="str">
        <f t="shared" si="1453"/>
        <v>99999</v>
      </c>
      <c r="B41564" s="1" t="str">
        <f>"67740"</f>
        <v>67740</v>
      </c>
      <c r="C41564" s="2">
        <v>6.6363925912309106E-5</v>
      </c>
      <c r="D41564" s="2">
        <v>3.7642722381910999E-5</v>
      </c>
      <c r="E41564" s="2">
        <v>3.44084541571864E-5</v>
      </c>
      <c r="F41564" s="2">
        <v>6.3748410483712207E-5</v>
      </c>
    </row>
    <row r="41565" spans="1:6" x14ac:dyDescent="0.25">
      <c r="A41565" s="1" t="str">
        <f t="shared" si="1453"/>
        <v>99999</v>
      </c>
      <c r="B41565" s="1" t="str">
        <f>"67741"</f>
        <v>67741</v>
      </c>
      <c r="C41565" s="2">
        <v>2.0786090987215901E-5</v>
      </c>
      <c r="D41565" s="2">
        <v>1.0539962266935E-5</v>
      </c>
      <c r="E41565" s="2">
        <v>2.58063406178898E-5</v>
      </c>
      <c r="F41565" s="2">
        <v>2.0229758744831201E-5</v>
      </c>
    </row>
    <row r="41566" spans="1:6" x14ac:dyDescent="0.25">
      <c r="A41566" s="1" t="str">
        <f t="shared" si="1453"/>
        <v>99999</v>
      </c>
      <c r="B41566" s="1" t="str">
        <f>"67524"</f>
        <v>67524</v>
      </c>
      <c r="C41566" s="2">
        <v>2.1219134549449501E-5</v>
      </c>
      <c r="D41566" s="2">
        <v>1.9574215638593701E-5</v>
      </c>
      <c r="E41566" s="2">
        <v>2.58063406178898E-5</v>
      </c>
      <c r="F41566" s="2">
        <v>2.12165762445791E-5</v>
      </c>
    </row>
    <row r="41567" spans="1:6" x14ac:dyDescent="0.25">
      <c r="A41567" s="1" t="str">
        <f t="shared" si="1453"/>
        <v>99999</v>
      </c>
      <c r="B41567" s="1" t="str">
        <f>"67567"</f>
        <v>67567</v>
      </c>
      <c r="C41567" s="2">
        <v>6.1708707618297202E-6</v>
      </c>
      <c r="D41567" s="2">
        <v>3.01141779055288E-6</v>
      </c>
      <c r="E41567" s="2">
        <v>4.3010567696482999E-6</v>
      </c>
      <c r="F41567" s="2">
        <v>5.9209049984871999E-6</v>
      </c>
    </row>
    <row r="41568" spans="1:6" x14ac:dyDescent="0.25">
      <c r="A41568" s="1" t="str">
        <f t="shared" si="1453"/>
        <v>99999</v>
      </c>
      <c r="B41568" s="1" t="str">
        <f>"67417"</f>
        <v>67417</v>
      </c>
      <c r="C41568" s="2">
        <v>1.06095672747247E-5</v>
      </c>
      <c r="D41568" s="2">
        <v>1.50570889527644E-6</v>
      </c>
      <c r="E41568" s="2">
        <v>4.3010567696482999E-6</v>
      </c>
      <c r="F41568" s="2">
        <v>9.8681749974786808E-6</v>
      </c>
    </row>
    <row r="41569" spans="1:6" x14ac:dyDescent="0.25">
      <c r="A41569" s="1" t="str">
        <f t="shared" si="1453"/>
        <v>99999</v>
      </c>
      <c r="B41569" s="1" t="str">
        <f>"67575"</f>
        <v>67575</v>
      </c>
      <c r="C41569" s="2">
        <v>2.9663484013005999E-5</v>
      </c>
      <c r="D41569" s="2">
        <v>2.4091342324423E-5</v>
      </c>
      <c r="E41569" s="2">
        <v>1.29031703089449E-5</v>
      </c>
      <c r="F41569" s="2">
        <v>2.89137527426125E-5</v>
      </c>
    </row>
    <row r="41570" spans="1:6" x14ac:dyDescent="0.25">
      <c r="A41570" s="1" t="str">
        <f t="shared" si="1453"/>
        <v>99999</v>
      </c>
      <c r="B41570" s="1" t="str">
        <f>"67583"</f>
        <v>67583</v>
      </c>
      <c r="C41570" s="2">
        <v>2.4791743937877301E-5</v>
      </c>
      <c r="D41570" s="2">
        <v>1.65627978480408E-5</v>
      </c>
      <c r="E41570" s="2">
        <v>0</v>
      </c>
      <c r="F41570" s="2">
        <v>2.3683619993948799E-5</v>
      </c>
    </row>
    <row r="41571" spans="1:6" x14ac:dyDescent="0.25">
      <c r="A41571" s="1" t="str">
        <f t="shared" si="1453"/>
        <v>99999</v>
      </c>
      <c r="B41571" s="1" t="str">
        <f>"66839"</f>
        <v>66839</v>
      </c>
      <c r="C41571" s="2">
        <v>2.2236786920698599E-4</v>
      </c>
      <c r="D41571" s="2">
        <v>3.8094435050493901E-4</v>
      </c>
      <c r="E41571" s="2">
        <v>2.1505283848241501E-4</v>
      </c>
      <c r="F41571" s="2">
        <v>2.3259288469057199E-4</v>
      </c>
    </row>
    <row r="41572" spans="1:6" x14ac:dyDescent="0.25">
      <c r="A41572" s="1" t="str">
        <f t="shared" si="1453"/>
        <v>99999</v>
      </c>
      <c r="B41572" s="1" t="str">
        <f>"66508"</f>
        <v>66508</v>
      </c>
      <c r="C41572" s="2">
        <v>2.42179612179176E-4</v>
      </c>
      <c r="D41572" s="2">
        <v>5.6313512683338796E-4</v>
      </c>
      <c r="E41572" s="2">
        <v>5.93545834211465E-4</v>
      </c>
      <c r="F41572" s="2">
        <v>2.7127613068068799E-4</v>
      </c>
    </row>
    <row r="41573" spans="1:6" x14ac:dyDescent="0.25">
      <c r="A41573" s="1" t="str">
        <f t="shared" si="1453"/>
        <v>99999</v>
      </c>
      <c r="B41573" s="1" t="str">
        <f>"66940"</f>
        <v>66940</v>
      </c>
      <c r="C41573" s="2">
        <v>1.9920003862748499E-5</v>
      </c>
      <c r="D41573" s="2">
        <v>1.20456711622115E-5</v>
      </c>
      <c r="E41573" s="2">
        <v>4.3010567696482999E-6</v>
      </c>
      <c r="F41573" s="2">
        <v>1.9045577745133799E-5</v>
      </c>
    </row>
    <row r="41574" spans="1:6" x14ac:dyDescent="0.25">
      <c r="A41574" s="1" t="str">
        <f t="shared" si="1453"/>
        <v>99999</v>
      </c>
      <c r="B41574" s="1" t="str">
        <f>"66968"</f>
        <v>66968</v>
      </c>
      <c r="C41574" s="2">
        <v>9.4836540129172506E-5</v>
      </c>
      <c r="D41574" s="2">
        <v>2.7855614562614098E-4</v>
      </c>
      <c r="E41574" s="2">
        <v>1.97848611403821E-4</v>
      </c>
      <c r="F41574" s="2">
        <v>1.09240697222089E-4</v>
      </c>
    </row>
    <row r="41575" spans="1:6" x14ac:dyDescent="0.25">
      <c r="A41575" s="1" t="str">
        <f t="shared" si="1453"/>
        <v>99999</v>
      </c>
      <c r="B41575" s="1" t="str">
        <f>"66861"</f>
        <v>66861</v>
      </c>
      <c r="C41575" s="2">
        <v>1.82852644153164E-4</v>
      </c>
      <c r="D41575" s="2">
        <v>2.5597051219699402E-4</v>
      </c>
      <c r="E41575" s="2">
        <v>1.37633816628745E-4</v>
      </c>
      <c r="F41575" s="2">
        <v>1.86607189202321E-4</v>
      </c>
    </row>
    <row r="41576" spans="1:6" x14ac:dyDescent="0.25">
      <c r="A41576" s="1" t="str">
        <f t="shared" si="1453"/>
        <v>99999</v>
      </c>
      <c r="B41576" s="1" t="str">
        <f>"66548"</f>
        <v>66548</v>
      </c>
      <c r="C41576" s="2">
        <v>4.9583487875754603E-5</v>
      </c>
      <c r="D41576" s="2">
        <v>3.31255956960816E-5</v>
      </c>
      <c r="E41576" s="2">
        <v>3.44084541571864E-5</v>
      </c>
      <c r="F41576" s="2">
        <v>4.8156693987695901E-5</v>
      </c>
    </row>
    <row r="41577" spans="1:6" x14ac:dyDescent="0.25">
      <c r="A41577" s="1" t="str">
        <f t="shared" si="1453"/>
        <v>99999</v>
      </c>
      <c r="B41577" s="1" t="str">
        <f>"66946"</f>
        <v>66946</v>
      </c>
      <c r="C41577" s="2">
        <v>8.4443494635564601E-6</v>
      </c>
      <c r="D41577" s="2">
        <v>3.01141779055288E-6</v>
      </c>
      <c r="E41577" s="2">
        <v>0</v>
      </c>
      <c r="F41577" s="2">
        <v>7.8945399979829399E-6</v>
      </c>
    </row>
    <row r="41578" spans="1:6" x14ac:dyDescent="0.25">
      <c r="A41578" s="1" t="str">
        <f t="shared" si="1453"/>
        <v>99999</v>
      </c>
      <c r="B41578" s="1" t="str">
        <f>"66872"</f>
        <v>66872</v>
      </c>
      <c r="C41578" s="2">
        <v>5.2181749249156499E-5</v>
      </c>
      <c r="D41578" s="2">
        <v>4.5171266858293203E-6</v>
      </c>
      <c r="E41578" s="2">
        <v>1.29031703089449E-5</v>
      </c>
      <c r="F41578" s="2">
        <v>4.8156693987695901E-5</v>
      </c>
    </row>
    <row r="41579" spans="1:6" x14ac:dyDescent="0.25">
      <c r="A41579" s="1" t="str">
        <f t="shared" si="1453"/>
        <v>99999</v>
      </c>
      <c r="B41579" s="1" t="str">
        <f>"66958"</f>
        <v>66958</v>
      </c>
      <c r="C41579" s="2">
        <v>1.6455655364879201E-5</v>
      </c>
      <c r="D41579" s="2">
        <v>9.0342533716586405E-6</v>
      </c>
      <c r="E41579" s="2">
        <v>1.72042270785932E-5</v>
      </c>
      <c r="F41579" s="2">
        <v>1.5986443495915399E-5</v>
      </c>
    </row>
    <row r="41580" spans="1:6" x14ac:dyDescent="0.25">
      <c r="A41580" s="1" t="str">
        <f t="shared" si="1453"/>
        <v>99999</v>
      </c>
      <c r="B41580" s="1" t="str">
        <f>"66949"</f>
        <v>66949</v>
      </c>
      <c r="C41580" s="2">
        <v>3.3560876073108999E-5</v>
      </c>
      <c r="D41580" s="2">
        <v>1.50570889527644E-5</v>
      </c>
      <c r="E41580" s="2">
        <v>8.6021135392965999E-6</v>
      </c>
      <c r="F41580" s="2">
        <v>3.17755234918813E-5</v>
      </c>
    </row>
    <row r="41581" spans="1:6" x14ac:dyDescent="0.25">
      <c r="A41581" s="1" t="str">
        <f t="shared" si="1453"/>
        <v>99999</v>
      </c>
      <c r="B41581" s="1" t="str">
        <f>"66970"</f>
        <v>66970</v>
      </c>
      <c r="C41581" s="2">
        <v>8.1195667918812104E-6</v>
      </c>
      <c r="D41581" s="2">
        <v>1.50570889527644E-6</v>
      </c>
      <c r="E41581" s="2">
        <v>1.72042270785932E-5</v>
      </c>
      <c r="F41581" s="2">
        <v>7.8945399979829399E-6</v>
      </c>
    </row>
    <row r="41582" spans="1:6" x14ac:dyDescent="0.25">
      <c r="A41582" s="1" t="str">
        <f t="shared" si="1453"/>
        <v>99999</v>
      </c>
      <c r="B41582" s="1" t="str">
        <f>"65761"</f>
        <v>65761</v>
      </c>
      <c r="C41582" s="2">
        <v>7.03695788629705E-5</v>
      </c>
      <c r="D41582" s="2">
        <v>2.7102760114975901E-5</v>
      </c>
      <c r="E41582" s="2">
        <v>2.15052838482415E-5</v>
      </c>
      <c r="F41582" s="2">
        <v>6.6412817733031503E-5</v>
      </c>
    </row>
    <row r="41583" spans="1:6" x14ac:dyDescent="0.25">
      <c r="A41583" s="1" t="str">
        <f t="shared" si="1453"/>
        <v>99999</v>
      </c>
      <c r="B41583" s="1" t="str">
        <f>"66039"</f>
        <v>66039</v>
      </c>
      <c r="C41583" s="2">
        <v>3.8216094367120903E-5</v>
      </c>
      <c r="D41583" s="2">
        <v>9.0342533716586405E-6</v>
      </c>
      <c r="E41583" s="2">
        <v>1.29031703089449E-5</v>
      </c>
      <c r="F41583" s="2">
        <v>3.5722793490872802E-5</v>
      </c>
    </row>
    <row r="41584" spans="1:6" x14ac:dyDescent="0.25">
      <c r="A41584" s="1" t="str">
        <f t="shared" si="1453"/>
        <v>99999</v>
      </c>
      <c r="B41584" s="1" t="str">
        <f>"65682"</f>
        <v>65682</v>
      </c>
      <c r="C41584" s="2">
        <v>8.7474799571200194E-5</v>
      </c>
      <c r="D41584" s="2">
        <v>4.0654140172463799E-5</v>
      </c>
      <c r="E41584" s="2">
        <v>8.6021135392965999E-6</v>
      </c>
      <c r="F41584" s="2">
        <v>8.2596624728896497E-5</v>
      </c>
    </row>
    <row r="41585" spans="1:6" x14ac:dyDescent="0.25">
      <c r="A41585" s="1" t="str">
        <f t="shared" si="1453"/>
        <v>99999</v>
      </c>
      <c r="B41585" s="1" t="str">
        <f>"65591"</f>
        <v>65591</v>
      </c>
      <c r="C41585" s="2">
        <v>8.4768277307239805E-5</v>
      </c>
      <c r="D41585" s="2">
        <v>2.25856334291466E-5</v>
      </c>
      <c r="E41585" s="2">
        <v>1.72042270785932E-5</v>
      </c>
      <c r="F41585" s="2">
        <v>7.9142763479779E-5</v>
      </c>
    </row>
    <row r="41586" spans="1:6" x14ac:dyDescent="0.25">
      <c r="A41586" s="1" t="str">
        <f t="shared" si="1453"/>
        <v>99999</v>
      </c>
      <c r="B41586" s="1" t="str">
        <f>"65661"</f>
        <v>65661</v>
      </c>
      <c r="C41586" s="2">
        <v>1.4853394184614601E-4</v>
      </c>
      <c r="D41586" s="2">
        <v>2.24350625396189E-4</v>
      </c>
      <c r="E41586" s="2">
        <v>1.07526419241207E-4</v>
      </c>
      <c r="F41586" s="2">
        <v>1.5256198546102E-4</v>
      </c>
    </row>
    <row r="41587" spans="1:6" x14ac:dyDescent="0.25">
      <c r="A41587" s="1" t="str">
        <f t="shared" si="1453"/>
        <v>99999</v>
      </c>
      <c r="B41587" s="1" t="str">
        <f>"65634"</f>
        <v>65634</v>
      </c>
      <c r="C41587" s="2">
        <v>7.4483492704190298E-5</v>
      </c>
      <c r="D41587" s="2">
        <v>9.0342533716586405E-6</v>
      </c>
      <c r="E41587" s="2">
        <v>8.6021135392965999E-6</v>
      </c>
      <c r="F41587" s="2">
        <v>6.8682497982451598E-5</v>
      </c>
    </row>
    <row r="41588" spans="1:6" x14ac:dyDescent="0.25">
      <c r="A41588" s="1" t="str">
        <f t="shared" si="1453"/>
        <v>99999</v>
      </c>
      <c r="B41588" s="1" t="str">
        <f>"65633"</f>
        <v>65633</v>
      </c>
      <c r="C41588" s="2">
        <v>2.0169003911032899E-4</v>
      </c>
      <c r="D41588" s="2">
        <v>1.18951002726838E-4</v>
      </c>
      <c r="E41588" s="2">
        <v>5.1612681235779599E-5</v>
      </c>
      <c r="F41588" s="2">
        <v>1.9282413945073299E-4</v>
      </c>
    </row>
    <row r="41589" spans="1:6" x14ac:dyDescent="0.25">
      <c r="A41589" s="1" t="str">
        <f t="shared" si="1453"/>
        <v>99999</v>
      </c>
      <c r="B41589" s="1" t="str">
        <f>"65734"</f>
        <v>65734</v>
      </c>
      <c r="C41589" s="2">
        <v>2.8288570702914099E-4</v>
      </c>
      <c r="D41589" s="2">
        <v>6.3239773601610501E-5</v>
      </c>
      <c r="E41589" s="2">
        <v>6.8816908314372799E-5</v>
      </c>
      <c r="F41589" s="2">
        <v>2.6357895418265502E-4</v>
      </c>
    </row>
    <row r="41590" spans="1:6" x14ac:dyDescent="0.25">
      <c r="A41590" s="1" t="str">
        <f t="shared" si="1453"/>
        <v>99999</v>
      </c>
      <c r="B41590" s="1" t="str">
        <f>"65737"</f>
        <v>65737</v>
      </c>
      <c r="C41590" s="2">
        <v>6.7977013181629497E-4</v>
      </c>
      <c r="D41590" s="2">
        <v>9.8172219972023902E-4</v>
      </c>
      <c r="E41590" s="2">
        <v>4.21503563425533E-4</v>
      </c>
      <c r="F41590" s="2">
        <v>6.9363402057277595E-4</v>
      </c>
    </row>
    <row r="41591" spans="1:6" x14ac:dyDescent="0.25">
      <c r="A41591" s="1" t="str">
        <f t="shared" si="1453"/>
        <v>99999</v>
      </c>
      <c r="B41591" s="1" t="str">
        <f>"65707"</f>
        <v>65707</v>
      </c>
      <c r="C41591" s="2">
        <v>1.18545675161465E-4</v>
      </c>
      <c r="D41591" s="2">
        <v>9.7871078192968605E-5</v>
      </c>
      <c r="E41591" s="2">
        <v>1.29031703089449E-5</v>
      </c>
      <c r="F41591" s="2">
        <v>1.14766875220677E-4</v>
      </c>
    </row>
    <row r="41592" spans="1:6" x14ac:dyDescent="0.25">
      <c r="A41592" s="1" t="str">
        <f t="shared" si="1453"/>
        <v>99999</v>
      </c>
      <c r="B41592" s="1" t="str">
        <f>"65732"</f>
        <v>65732</v>
      </c>
      <c r="C41592" s="2">
        <v>6.8853926395152606E-5</v>
      </c>
      <c r="D41592" s="2">
        <v>3.1619886800805203E-5</v>
      </c>
      <c r="E41592" s="2">
        <v>1.72042270785932E-5</v>
      </c>
      <c r="F41592" s="2">
        <v>6.5228636733334006E-5</v>
      </c>
    </row>
    <row r="41593" spans="1:6" x14ac:dyDescent="0.25">
      <c r="A41593" s="1" t="str">
        <f t="shared" si="1453"/>
        <v>99999</v>
      </c>
      <c r="B41593" s="1" t="str">
        <f>"65611"</f>
        <v>65611</v>
      </c>
      <c r="C41593" s="2">
        <v>1.5351394281183401E-4</v>
      </c>
      <c r="D41593" s="2">
        <v>6.4745482496886904E-5</v>
      </c>
      <c r="E41593" s="2">
        <v>5.1612681235779599E-5</v>
      </c>
      <c r="F41593" s="2">
        <v>1.4535821771286E-4</v>
      </c>
    </row>
    <row r="41594" spans="1:6" x14ac:dyDescent="0.25">
      <c r="A41594" s="1" t="str">
        <f t="shared" si="1453"/>
        <v>99999</v>
      </c>
      <c r="B41594" s="1" t="str">
        <f>"69033"</f>
        <v>69033</v>
      </c>
      <c r="C41594" s="2">
        <v>1.4182176663152501E-4</v>
      </c>
      <c r="D41594" s="2">
        <v>1.9423644749066001E-4</v>
      </c>
      <c r="E41594" s="2">
        <v>2.15052838482415E-5</v>
      </c>
      <c r="F41594" s="2">
        <v>1.4249644696359199E-4</v>
      </c>
    </row>
    <row r="41595" spans="1:6" x14ac:dyDescent="0.25">
      <c r="A41595" s="1" t="str">
        <f t="shared" si="1453"/>
        <v>99999</v>
      </c>
      <c r="B41595" s="1" t="str">
        <f>"69145"</f>
        <v>69145</v>
      </c>
      <c r="C41595" s="2">
        <v>1.8263612237204801E-4</v>
      </c>
      <c r="D41595" s="2">
        <v>4.14069946201021E-4</v>
      </c>
      <c r="E41595" s="2">
        <v>2.49461292639601E-4</v>
      </c>
      <c r="F41595" s="2">
        <v>1.9933713494906899E-4</v>
      </c>
    </row>
    <row r="41596" spans="1:6" x14ac:dyDescent="0.25">
      <c r="A41596" s="1" t="str">
        <f t="shared" si="1453"/>
        <v>99999</v>
      </c>
      <c r="B41596" s="1" t="str">
        <f>"68930"</f>
        <v>68930</v>
      </c>
      <c r="C41596" s="2">
        <v>6.3657403648348704E-5</v>
      </c>
      <c r="D41596" s="2">
        <v>3.1619886800805203E-5</v>
      </c>
      <c r="E41596" s="2">
        <v>3.01073973875381E-5</v>
      </c>
      <c r="F41596" s="2">
        <v>6.07879579844686E-5</v>
      </c>
    </row>
    <row r="41597" spans="1:6" x14ac:dyDescent="0.25">
      <c r="A41597" s="1" t="str">
        <f t="shared" si="1453"/>
        <v>99999</v>
      </c>
      <c r="B41597" s="1" t="str">
        <f>"69038"</f>
        <v>69038</v>
      </c>
      <c r="C41597" s="2">
        <v>2.0136525643865401E-5</v>
      </c>
      <c r="D41597" s="2">
        <v>3.6137013486634501E-5</v>
      </c>
      <c r="E41597" s="2">
        <v>0</v>
      </c>
      <c r="F41597" s="2">
        <v>2.07231674947052E-5</v>
      </c>
    </row>
    <row r="41598" spans="1:6" x14ac:dyDescent="0.25">
      <c r="A41598" s="1" t="str">
        <f t="shared" si="1453"/>
        <v>99999</v>
      </c>
      <c r="B41598" s="1" t="str">
        <f>"69045"</f>
        <v>69045</v>
      </c>
      <c r="C41598" s="2">
        <v>5.7811315558194198E-5</v>
      </c>
      <c r="D41598" s="2">
        <v>6.0228355811057599E-5</v>
      </c>
      <c r="E41598" s="2">
        <v>4.3010567696482999E-6</v>
      </c>
      <c r="F41598" s="2">
        <v>5.6742006235502403E-5</v>
      </c>
    </row>
    <row r="41599" spans="1:6" x14ac:dyDescent="0.25">
      <c r="A41599" s="1" t="str">
        <f t="shared" si="1453"/>
        <v>99999</v>
      </c>
      <c r="B41599" s="1" t="str">
        <f>"69367"</f>
        <v>69367</v>
      </c>
      <c r="C41599" s="2">
        <v>1.6455655364879201E-5</v>
      </c>
      <c r="D41599" s="2">
        <v>3.01141779055288E-6</v>
      </c>
      <c r="E41599" s="2">
        <v>0</v>
      </c>
      <c r="F41599" s="2">
        <v>1.5196989496117099E-5</v>
      </c>
    </row>
    <row r="41600" spans="1:6" x14ac:dyDescent="0.25">
      <c r="A41600" s="1" t="str">
        <f t="shared" si="1453"/>
        <v>99999</v>
      </c>
      <c r="B41600" s="1" t="str">
        <f>"69354"</f>
        <v>69354</v>
      </c>
      <c r="C41600" s="2">
        <v>7.9030450107643795E-6</v>
      </c>
      <c r="D41600" s="2">
        <v>1.50570889527644E-6</v>
      </c>
      <c r="E41600" s="2">
        <v>0</v>
      </c>
      <c r="F41600" s="2">
        <v>7.3024494981342204E-6</v>
      </c>
    </row>
    <row r="41601" spans="1:6" x14ac:dyDescent="0.25">
      <c r="A41601" s="1" t="str">
        <f t="shared" si="1453"/>
        <v>99999</v>
      </c>
      <c r="B41601" s="1" t="str">
        <f>"71016"</f>
        <v>71016</v>
      </c>
      <c r="C41601" s="2">
        <v>1.05554368294455E-4</v>
      </c>
      <c r="D41601" s="2">
        <v>3.7642722381910999E-5</v>
      </c>
      <c r="E41601" s="2">
        <v>3.01073973875381E-5</v>
      </c>
      <c r="F41601" s="2">
        <v>9.9372522224610299E-5</v>
      </c>
    </row>
    <row r="41602" spans="1:6" x14ac:dyDescent="0.25">
      <c r="A41602" s="1" t="str">
        <f t="shared" si="1453"/>
        <v>99999</v>
      </c>
      <c r="B41602" s="1" t="str">
        <f>"71040"</f>
        <v>71040</v>
      </c>
      <c r="C41602" s="2">
        <v>4.4700921711569999E-4</v>
      </c>
      <c r="D41602" s="2">
        <v>5.4958374677589999E-4</v>
      </c>
      <c r="E41602" s="2">
        <v>2.0214966817347E-4</v>
      </c>
      <c r="F41602" s="2">
        <v>4.4811382663550601E-4</v>
      </c>
    </row>
    <row r="41603" spans="1:6" x14ac:dyDescent="0.25">
      <c r="A41603" s="1" t="str">
        <f t="shared" si="1453"/>
        <v>99999</v>
      </c>
      <c r="B41603" s="1" t="str">
        <f>"71065"</f>
        <v>71065</v>
      </c>
      <c r="C41603" s="2">
        <v>5.6836967543168403E-5</v>
      </c>
      <c r="D41603" s="2">
        <v>2.25856334291466E-5</v>
      </c>
      <c r="E41603" s="2">
        <v>9.8924305701910905E-5</v>
      </c>
      <c r="F41603" s="2">
        <v>5.5557825235804899E-5</v>
      </c>
    </row>
    <row r="41604" spans="1:6" x14ac:dyDescent="0.25">
      <c r="A41604" s="1" t="str">
        <f t="shared" si="1453"/>
        <v>99999</v>
      </c>
      <c r="B41604" s="1" t="str">
        <f>"70644"</f>
        <v>70644</v>
      </c>
      <c r="C41604" s="2">
        <v>4.8717400751287203E-6</v>
      </c>
      <c r="D41604" s="2">
        <v>0</v>
      </c>
      <c r="E41604" s="2">
        <v>4.3010567696482999E-6</v>
      </c>
      <c r="F41604" s="2">
        <v>4.5393604988401904E-6</v>
      </c>
    </row>
    <row r="41605" spans="1:6" x14ac:dyDescent="0.25">
      <c r="A41605" s="1" t="str">
        <f t="shared" si="1453"/>
        <v>99999</v>
      </c>
      <c r="B41605" s="1" t="str">
        <f>"68722"</f>
        <v>68722</v>
      </c>
      <c r="C41605" s="2">
        <v>2.6523918186811901E-5</v>
      </c>
      <c r="D41605" s="2">
        <v>9.0342533716586405E-6</v>
      </c>
      <c r="E41605" s="2">
        <v>1.29031703089449E-5</v>
      </c>
      <c r="F41605" s="2">
        <v>2.5065164493595799E-5</v>
      </c>
    </row>
    <row r="41606" spans="1:6" x14ac:dyDescent="0.25">
      <c r="A41606" s="1" t="str">
        <f t="shared" ref="A41606:A41669" si="1454">"99999"</f>
        <v>99999</v>
      </c>
      <c r="B41606" s="1" t="str">
        <f>"68763"</f>
        <v>68763</v>
      </c>
      <c r="C41606" s="2">
        <v>2.6751266056984602E-4</v>
      </c>
      <c r="D41606" s="2">
        <v>5.5108945567117695E-4</v>
      </c>
      <c r="E41606" s="2">
        <v>5.0752469881849903E-4</v>
      </c>
      <c r="F41606" s="2">
        <v>2.9160457117549503E-4</v>
      </c>
    </row>
    <row r="41607" spans="1:6" x14ac:dyDescent="0.25">
      <c r="A41607" s="1" t="str">
        <f t="shared" si="1454"/>
        <v>99999</v>
      </c>
      <c r="B41607" s="1" t="str">
        <f>"68725"</f>
        <v>68725</v>
      </c>
      <c r="C41607" s="2">
        <v>3.5509572103160502E-5</v>
      </c>
      <c r="D41607" s="2">
        <v>3.01141779055288E-6</v>
      </c>
      <c r="E41607" s="2">
        <v>0</v>
      </c>
      <c r="F41607" s="2">
        <v>3.2564977491679601E-5</v>
      </c>
    </row>
    <row r="41608" spans="1:6" x14ac:dyDescent="0.25">
      <c r="A41608" s="1" t="str">
        <f t="shared" si="1454"/>
        <v>99999</v>
      </c>
      <c r="B41608" s="1" t="str">
        <f>"68651"</f>
        <v>68651</v>
      </c>
      <c r="C41608" s="2">
        <v>7.5999145172008097E-5</v>
      </c>
      <c r="D41608" s="2">
        <v>9.9376787088244995E-5</v>
      </c>
      <c r="E41608" s="2">
        <v>5.1612681235779599E-5</v>
      </c>
      <c r="F41608" s="2">
        <v>7.6971764980333696E-5</v>
      </c>
    </row>
    <row r="41609" spans="1:6" x14ac:dyDescent="0.25">
      <c r="A41609" s="1" t="str">
        <f t="shared" si="1454"/>
        <v>99999</v>
      </c>
      <c r="B41609" s="1" t="str">
        <f>"68814"</f>
        <v>68814</v>
      </c>
      <c r="C41609" s="2">
        <v>4.91504443135209E-5</v>
      </c>
      <c r="D41609" s="2">
        <v>3.01141779055288E-5</v>
      </c>
      <c r="E41609" s="2">
        <v>8.6021135392965999E-6</v>
      </c>
      <c r="F41609" s="2">
        <v>4.6972512987998499E-5</v>
      </c>
    </row>
    <row r="41610" spans="1:6" x14ac:dyDescent="0.25">
      <c r="A41610" s="1" t="str">
        <f t="shared" si="1454"/>
        <v>99999</v>
      </c>
      <c r="B41610" s="1" t="str">
        <f>"68769"</f>
        <v>68769</v>
      </c>
      <c r="C41610" s="2">
        <v>1.13673935086336E-5</v>
      </c>
      <c r="D41610" s="2">
        <v>4.5171266858293203E-6</v>
      </c>
      <c r="E41610" s="2">
        <v>0</v>
      </c>
      <c r="F41610" s="2">
        <v>1.06576289972769E-5</v>
      </c>
    </row>
    <row r="41611" spans="1:6" x14ac:dyDescent="0.25">
      <c r="A41611" s="1" t="str">
        <f t="shared" si="1454"/>
        <v>99999</v>
      </c>
      <c r="B41611" s="1" t="str">
        <f>"68352"</f>
        <v>68352</v>
      </c>
      <c r="C41611" s="2">
        <v>2.9923310150346198E-4</v>
      </c>
      <c r="D41611" s="2">
        <v>5.01401062127054E-4</v>
      </c>
      <c r="E41611" s="2">
        <v>3.3548242803256698E-4</v>
      </c>
      <c r="F41611" s="2">
        <v>3.1331455616994802E-4</v>
      </c>
    </row>
    <row r="41612" spans="1:6" x14ac:dyDescent="0.25">
      <c r="A41612" s="1" t="str">
        <f t="shared" si="1454"/>
        <v>99999</v>
      </c>
      <c r="B41612" s="1" t="str">
        <f>"68316"</f>
        <v>68316</v>
      </c>
      <c r="C41612" s="2">
        <v>2.0028264753306899E-5</v>
      </c>
      <c r="D41612" s="2">
        <v>1.50570889527644E-6</v>
      </c>
      <c r="E41612" s="2">
        <v>0</v>
      </c>
      <c r="F41612" s="2">
        <v>1.8354805495310301E-5</v>
      </c>
    </row>
    <row r="41613" spans="1:6" x14ac:dyDescent="0.25">
      <c r="A41613" s="1" t="str">
        <f t="shared" si="1454"/>
        <v>99999</v>
      </c>
      <c r="B41613" s="1" t="str">
        <f>"68414"</f>
        <v>68414</v>
      </c>
      <c r="C41613" s="2">
        <v>1.68886989271129E-5</v>
      </c>
      <c r="D41613" s="2">
        <v>1.50570889527644E-6</v>
      </c>
      <c r="E41613" s="2">
        <v>8.6021135392965999E-6</v>
      </c>
      <c r="F41613" s="2">
        <v>1.56903982459911E-5</v>
      </c>
    </row>
    <row r="41614" spans="1:6" x14ac:dyDescent="0.25">
      <c r="A41614" s="1" t="str">
        <f t="shared" si="1454"/>
        <v>99999</v>
      </c>
      <c r="B41614" s="1" t="str">
        <f>"68460"</f>
        <v>68460</v>
      </c>
      <c r="C41614" s="2">
        <v>4.4062182457275301E-5</v>
      </c>
      <c r="D41614" s="2">
        <v>3.01141779055288E-5</v>
      </c>
      <c r="E41614" s="2">
        <v>3.44084541571864E-5</v>
      </c>
      <c r="F41614" s="2">
        <v>4.29265612390322E-5</v>
      </c>
    </row>
    <row r="41615" spans="1:6" x14ac:dyDescent="0.25">
      <c r="A41615" s="1" t="str">
        <f t="shared" si="1454"/>
        <v>99999</v>
      </c>
      <c r="B41615" s="1" t="str">
        <f>"72039"</f>
        <v>72039</v>
      </c>
      <c r="C41615" s="2">
        <v>5.6512184871493199E-5</v>
      </c>
      <c r="D41615" s="2">
        <v>5.7216938020504697E-5</v>
      </c>
      <c r="E41615" s="2">
        <v>1.29031703089449E-5</v>
      </c>
      <c r="F41615" s="2">
        <v>5.5557825235804899E-5</v>
      </c>
    </row>
    <row r="41616" spans="1:6" x14ac:dyDescent="0.25">
      <c r="A41616" s="1" t="str">
        <f t="shared" si="1454"/>
        <v>99999</v>
      </c>
      <c r="B41616" s="1" t="str">
        <f>"72069"</f>
        <v>72069</v>
      </c>
      <c r="C41616" s="2">
        <v>6.8096100161243699E-5</v>
      </c>
      <c r="D41616" s="2">
        <v>1.65627978480408E-5</v>
      </c>
      <c r="E41616" s="2">
        <v>1.72042270785932E-5</v>
      </c>
      <c r="F41616" s="2">
        <v>6.3551046983762694E-5</v>
      </c>
    </row>
    <row r="41617" spans="1:6" x14ac:dyDescent="0.25">
      <c r="A41617" s="1" t="str">
        <f t="shared" si="1454"/>
        <v>99999</v>
      </c>
      <c r="B41617" s="1" t="str">
        <f>"72051"</f>
        <v>72051</v>
      </c>
      <c r="C41617" s="2">
        <v>3.2694788948641601E-5</v>
      </c>
      <c r="D41617" s="2">
        <v>6.0228355811057601E-6</v>
      </c>
      <c r="E41617" s="2">
        <v>4.3010567696482999E-6</v>
      </c>
      <c r="F41617" s="2">
        <v>3.02952972422595E-5</v>
      </c>
    </row>
    <row r="41618" spans="1:6" x14ac:dyDescent="0.25">
      <c r="A41618" s="1" t="str">
        <f t="shared" si="1454"/>
        <v>99999</v>
      </c>
      <c r="B41618" s="1" t="str">
        <f>"72179"</f>
        <v>72179</v>
      </c>
      <c r="C41618" s="2">
        <v>2.2518265236150501E-5</v>
      </c>
      <c r="D41618" s="2">
        <v>3.01141779055288E-6</v>
      </c>
      <c r="E41618" s="2">
        <v>4.3010567696482999E-6</v>
      </c>
      <c r="F41618" s="2">
        <v>2.082184924468E-5</v>
      </c>
    </row>
    <row r="41619" spans="1:6" x14ac:dyDescent="0.25">
      <c r="A41619" s="1" t="str">
        <f t="shared" si="1454"/>
        <v>99999</v>
      </c>
      <c r="B41619" s="1" t="str">
        <f>"71832"</f>
        <v>71832</v>
      </c>
      <c r="C41619" s="2">
        <v>4.7797183181540702E-4</v>
      </c>
      <c r="D41619" s="2">
        <v>6.9262609182716198E-4</v>
      </c>
      <c r="E41619" s="2">
        <v>3.7419193895940199E-4</v>
      </c>
      <c r="F41619" s="2">
        <v>4.8965884337489197E-4</v>
      </c>
    </row>
    <row r="41620" spans="1:6" x14ac:dyDescent="0.25">
      <c r="A41620" s="1" t="str">
        <f t="shared" si="1454"/>
        <v>99999</v>
      </c>
      <c r="B41620" s="1" t="str">
        <f>"71861"</f>
        <v>71861</v>
      </c>
      <c r="C41620" s="2">
        <v>7.8705667435968499E-5</v>
      </c>
      <c r="D41620" s="2">
        <v>2.7102760114975901E-5</v>
      </c>
      <c r="E41620" s="2">
        <v>1.29031703089449E-5</v>
      </c>
      <c r="F41620" s="2">
        <v>7.3813948981140502E-5</v>
      </c>
    </row>
    <row r="41621" spans="1:6" x14ac:dyDescent="0.25">
      <c r="A41621" s="1" t="str">
        <f t="shared" si="1454"/>
        <v>99999</v>
      </c>
      <c r="B41621" s="1" t="str">
        <f>"71833"</f>
        <v>71833</v>
      </c>
      <c r="C41621" s="2">
        <v>9.1263930740744794E-5</v>
      </c>
      <c r="D41621" s="2">
        <v>1.65627978480408E-5</v>
      </c>
      <c r="E41621" s="2">
        <v>1.72042270785932E-5</v>
      </c>
      <c r="F41621" s="2">
        <v>8.4668941478366997E-5</v>
      </c>
    </row>
    <row r="41622" spans="1:6" x14ac:dyDescent="0.25">
      <c r="A41622" s="1" t="str">
        <f t="shared" si="1454"/>
        <v>99999</v>
      </c>
      <c r="B41622" s="1" t="str">
        <f>"72017"</f>
        <v>72017</v>
      </c>
      <c r="C41622" s="2">
        <v>3.47517458692515E-5</v>
      </c>
      <c r="D41622" s="2">
        <v>3.01141779055288E-6</v>
      </c>
      <c r="E41622" s="2">
        <v>4.3010567696482999E-6</v>
      </c>
      <c r="F41622" s="2">
        <v>3.19728869918309E-5</v>
      </c>
    </row>
    <row r="41623" spans="1:6" x14ac:dyDescent="0.25">
      <c r="A41623" s="1" t="str">
        <f t="shared" si="1454"/>
        <v>99999</v>
      </c>
      <c r="B41623" s="1" t="str">
        <f>"71945"</f>
        <v>71945</v>
      </c>
      <c r="C41623" s="2">
        <v>8.1520450590487304E-5</v>
      </c>
      <c r="D41623" s="2">
        <v>3.6137013486634501E-5</v>
      </c>
      <c r="E41623" s="2">
        <v>4.3010567696482999E-6</v>
      </c>
      <c r="F41623" s="2">
        <v>7.6774401480384101E-5</v>
      </c>
    </row>
    <row r="41624" spans="1:6" x14ac:dyDescent="0.25">
      <c r="A41624" s="1" t="str">
        <f t="shared" si="1454"/>
        <v>99999</v>
      </c>
      <c r="B41624" s="1" t="str">
        <f>"73038"</f>
        <v>73038</v>
      </c>
      <c r="C41624" s="2">
        <v>8.3793929292214105E-5</v>
      </c>
      <c r="D41624" s="2">
        <v>3.4631304591358098E-5</v>
      </c>
      <c r="E41624" s="2">
        <v>8.6021135392965999E-6</v>
      </c>
      <c r="F41624" s="2">
        <v>7.8846718229854602E-5</v>
      </c>
    </row>
    <row r="41625" spans="1:6" x14ac:dyDescent="0.25">
      <c r="A41625" s="1" t="str">
        <f t="shared" si="1454"/>
        <v>99999</v>
      </c>
      <c r="B41625" s="1" t="str">
        <f>"63036"</f>
        <v>63036</v>
      </c>
      <c r="C41625" s="2">
        <v>1.16921761803089E-5</v>
      </c>
      <c r="D41625" s="2">
        <v>0</v>
      </c>
      <c r="E41625" s="2">
        <v>0</v>
      </c>
      <c r="F41625" s="2">
        <v>1.06576289972769E-5</v>
      </c>
    </row>
    <row r="41626" spans="1:6" x14ac:dyDescent="0.25">
      <c r="A41626" s="1" t="str">
        <f t="shared" si="1454"/>
        <v>99999</v>
      </c>
      <c r="B41626" s="1" t="str">
        <f>"62801"</f>
        <v>62801</v>
      </c>
      <c r="C41626" s="2">
        <v>2.5766091952903002E-5</v>
      </c>
      <c r="D41626" s="2">
        <v>1.20456711622115E-5</v>
      </c>
      <c r="E41626" s="2">
        <v>0</v>
      </c>
      <c r="F41626" s="2">
        <v>2.42757104937975E-5</v>
      </c>
    </row>
    <row r="41627" spans="1:6" x14ac:dyDescent="0.25">
      <c r="A41627" s="1" t="str">
        <f t="shared" si="1454"/>
        <v>99999</v>
      </c>
      <c r="B41627" s="1" t="str">
        <f>"62821"</f>
        <v>62821</v>
      </c>
      <c r="C41627" s="2">
        <v>4.3001225729802898E-4</v>
      </c>
      <c r="D41627" s="2">
        <v>6.5648907834052798E-4</v>
      </c>
      <c r="E41627" s="2">
        <v>5.3763209620603697E-4</v>
      </c>
      <c r="F41627" s="2">
        <v>4.4732437263570802E-4</v>
      </c>
    </row>
    <row r="41628" spans="1:6" x14ac:dyDescent="0.25">
      <c r="A41628" s="1" t="str">
        <f t="shared" si="1454"/>
        <v>99999</v>
      </c>
      <c r="B41628" s="1" t="str">
        <f>"62863"</f>
        <v>62863</v>
      </c>
      <c r="C41628" s="2">
        <v>5.4834141067837698E-4</v>
      </c>
      <c r="D41628" s="2">
        <v>7.4382019426656103E-4</v>
      </c>
      <c r="E41628" s="2">
        <v>5.0322364204885095E-4</v>
      </c>
      <c r="F41628" s="2">
        <v>5.6011761285688899E-4</v>
      </c>
    </row>
    <row r="41629" spans="1:6" x14ac:dyDescent="0.25">
      <c r="A41629" s="1" t="str">
        <f t="shared" si="1454"/>
        <v>99999</v>
      </c>
      <c r="B41629" s="1" t="str">
        <f>"62865"</f>
        <v>62865</v>
      </c>
      <c r="C41629" s="2">
        <v>1.09884803916792E-4</v>
      </c>
      <c r="D41629" s="2">
        <v>2.8608469010252301E-5</v>
      </c>
      <c r="E41629" s="2">
        <v>8.6021135392965999E-6</v>
      </c>
      <c r="F41629" s="2">
        <v>1.02234292973879E-4</v>
      </c>
    </row>
    <row r="41630" spans="1:6" x14ac:dyDescent="0.25">
      <c r="A41630" s="1" t="str">
        <f t="shared" si="1454"/>
        <v>99999</v>
      </c>
      <c r="B41630" s="1" t="str">
        <f>"62869"</f>
        <v>62869</v>
      </c>
      <c r="C41630" s="2">
        <v>1.33810460730202E-4</v>
      </c>
      <c r="D41630" s="2">
        <v>6.9262609182716196E-5</v>
      </c>
      <c r="E41630" s="2">
        <v>1.3333275985909701E-4</v>
      </c>
      <c r="F41630" s="2">
        <v>1.29569137716895E-4</v>
      </c>
    </row>
    <row r="41631" spans="1:6" x14ac:dyDescent="0.25">
      <c r="A41631" s="1" t="str">
        <f t="shared" si="1454"/>
        <v>99999</v>
      </c>
      <c r="B41631" s="1" t="str">
        <f>"62691"</f>
        <v>62691</v>
      </c>
      <c r="C41631" s="2">
        <v>1.30779155794566E-4</v>
      </c>
      <c r="D41631" s="2">
        <v>1.7767364964261899E-4</v>
      </c>
      <c r="E41631" s="2">
        <v>9.4623248932262599E-5</v>
      </c>
      <c r="F41631" s="2">
        <v>1.3302299896601199E-4</v>
      </c>
    </row>
    <row r="41632" spans="1:6" x14ac:dyDescent="0.25">
      <c r="A41632" s="1" t="str">
        <f t="shared" si="1454"/>
        <v>99999</v>
      </c>
      <c r="B41632" s="1" t="str">
        <f>"62899"</f>
        <v>62899</v>
      </c>
      <c r="C41632" s="2">
        <v>9.0397843616277498E-5</v>
      </c>
      <c r="D41632" s="2">
        <v>3.7642722381910999E-5</v>
      </c>
      <c r="E41632" s="2">
        <v>1.72042270785932E-5</v>
      </c>
      <c r="F41632" s="2">
        <v>8.5261031978215807E-5</v>
      </c>
    </row>
    <row r="41633" spans="1:6" x14ac:dyDescent="0.25">
      <c r="A41633" s="1" t="str">
        <f t="shared" si="1454"/>
        <v>99999</v>
      </c>
      <c r="B41633" s="1" t="str">
        <f>"62843"</f>
        <v>62843</v>
      </c>
      <c r="C41633" s="2">
        <v>6.7121752146218001E-6</v>
      </c>
      <c r="D41633" s="2">
        <v>4.5171266858293203E-6</v>
      </c>
      <c r="E41633" s="2">
        <v>4.3010567696482999E-6</v>
      </c>
      <c r="F41633" s="2">
        <v>6.5129954983359203E-6</v>
      </c>
    </row>
    <row r="41634" spans="1:6" x14ac:dyDescent="0.25">
      <c r="A41634" s="1" t="str">
        <f t="shared" si="1454"/>
        <v>99999</v>
      </c>
      <c r="B41634" s="1" t="str">
        <f>"62868"</f>
        <v>62868</v>
      </c>
      <c r="C41634" s="2">
        <v>1.01007410891002E-4</v>
      </c>
      <c r="D41634" s="2">
        <v>6.6251191392163294E-5</v>
      </c>
      <c r="E41634" s="2">
        <v>2.15052838482415E-5</v>
      </c>
      <c r="F41634" s="2">
        <v>9.6905478475240597E-5</v>
      </c>
    </row>
    <row r="41635" spans="1:6" x14ac:dyDescent="0.25">
      <c r="A41635" s="1" t="str">
        <f t="shared" si="1454"/>
        <v>99999</v>
      </c>
      <c r="B41635" s="1" t="str">
        <f>"62856"</f>
        <v>62856</v>
      </c>
      <c r="C41635" s="2">
        <v>1.40739157725941E-5</v>
      </c>
      <c r="D41635" s="2">
        <v>0</v>
      </c>
      <c r="E41635" s="2">
        <v>4.3010567696482999E-6</v>
      </c>
      <c r="F41635" s="2">
        <v>1.2927309246696999E-5</v>
      </c>
    </row>
    <row r="41636" spans="1:6" x14ac:dyDescent="0.25">
      <c r="A41636" s="1" t="str">
        <f t="shared" si="1454"/>
        <v>99999</v>
      </c>
      <c r="B41636" s="1" t="str">
        <f>"62878"</f>
        <v>62878</v>
      </c>
      <c r="C41636" s="2">
        <v>1.85126122854891E-5</v>
      </c>
      <c r="D41636" s="2">
        <v>4.5171266858293203E-6</v>
      </c>
      <c r="E41636" s="2">
        <v>4.3010567696482999E-6</v>
      </c>
      <c r="F41636" s="2">
        <v>1.7269306245587602E-5</v>
      </c>
    </row>
    <row r="41637" spans="1:6" x14ac:dyDescent="0.25">
      <c r="A41637" s="1" t="str">
        <f t="shared" si="1454"/>
        <v>99999</v>
      </c>
      <c r="B41637" s="1" t="str">
        <f>"62860"</f>
        <v>62860</v>
      </c>
      <c r="C41637" s="2">
        <v>3.4318702307017899E-5</v>
      </c>
      <c r="D41637" s="2">
        <v>1.9574215638593701E-5</v>
      </c>
      <c r="E41637" s="2">
        <v>4.3010567696482999E-6</v>
      </c>
      <c r="F41637" s="2">
        <v>3.2663659241654398E-5</v>
      </c>
    </row>
    <row r="41638" spans="1:6" x14ac:dyDescent="0.25">
      <c r="A41638" s="1" t="str">
        <f t="shared" si="1454"/>
        <v>99999</v>
      </c>
      <c r="B41638" s="1" t="str">
        <f>"62947"</f>
        <v>62947</v>
      </c>
      <c r="C41638" s="2">
        <v>4.9475226985196098E-5</v>
      </c>
      <c r="D41638" s="2">
        <v>9.0342533716586405E-6</v>
      </c>
      <c r="E41638" s="2">
        <v>4.3010567696482999E-6</v>
      </c>
      <c r="F41638" s="2">
        <v>4.5788331988301002E-5</v>
      </c>
    </row>
    <row r="41639" spans="1:6" x14ac:dyDescent="0.25">
      <c r="A41639" s="1" t="str">
        <f t="shared" si="1454"/>
        <v>99999</v>
      </c>
      <c r="B41639" s="1" t="str">
        <f>"62943"</f>
        <v>62943</v>
      </c>
      <c r="C41639" s="2">
        <v>1.7321742489346499E-6</v>
      </c>
      <c r="D41639" s="2">
        <v>3.01141779055288E-6</v>
      </c>
      <c r="E41639" s="2">
        <v>0</v>
      </c>
      <c r="F41639" s="2">
        <v>1.77627149954616E-6</v>
      </c>
    </row>
    <row r="41640" spans="1:6" x14ac:dyDescent="0.25">
      <c r="A41640" s="1" t="str">
        <f t="shared" si="1454"/>
        <v>99999</v>
      </c>
      <c r="B41640" s="1" t="str">
        <f>"62970"</f>
        <v>62970</v>
      </c>
      <c r="C41640" s="2">
        <v>3.2370006276966397E-5</v>
      </c>
      <c r="D41640" s="2">
        <v>1.80685067433172E-5</v>
      </c>
      <c r="E41640" s="2">
        <v>1.29031703089449E-5</v>
      </c>
      <c r="F41640" s="2">
        <v>3.0986069492082998E-5</v>
      </c>
    </row>
    <row r="41641" spans="1:6" x14ac:dyDescent="0.25">
      <c r="A41641" s="1" t="str">
        <f t="shared" si="1454"/>
        <v>99999</v>
      </c>
      <c r="B41641" s="1" t="str">
        <f>"62448"</f>
        <v>62448</v>
      </c>
      <c r="C41641" s="2">
        <v>3.1233266926103002E-4</v>
      </c>
      <c r="D41641" s="2">
        <v>4.9838964433650105E-4</v>
      </c>
      <c r="E41641" s="2">
        <v>2.2795600879136E-4</v>
      </c>
      <c r="F41641" s="2">
        <v>3.22590640667578E-4</v>
      </c>
    </row>
    <row r="41642" spans="1:6" x14ac:dyDescent="0.25">
      <c r="A41642" s="1" t="str">
        <f t="shared" si="1454"/>
        <v>99999</v>
      </c>
      <c r="B41642" s="1" t="str">
        <f>"62565"</f>
        <v>62565</v>
      </c>
      <c r="C41642" s="2">
        <v>4.0911790542025398E-4</v>
      </c>
      <c r="D41642" s="2">
        <v>5.6915796241449395E-4</v>
      </c>
      <c r="E41642" s="2">
        <v>3.7419193895940199E-4</v>
      </c>
      <c r="F41642" s="2">
        <v>4.1880534689299497E-4</v>
      </c>
    </row>
    <row r="41643" spans="1:6" x14ac:dyDescent="0.25">
      <c r="A41643" s="1" t="str">
        <f t="shared" si="1454"/>
        <v>99999</v>
      </c>
      <c r="B41643" s="1" t="str">
        <f>"62617"</f>
        <v>62617</v>
      </c>
      <c r="C41643" s="2">
        <v>4.8176096298495099E-5</v>
      </c>
      <c r="D41643" s="2">
        <v>1.65627978480408E-5</v>
      </c>
      <c r="E41643" s="2">
        <v>0</v>
      </c>
      <c r="F41643" s="2">
        <v>4.49988779885027E-5</v>
      </c>
    </row>
    <row r="41644" spans="1:6" x14ac:dyDescent="0.25">
      <c r="A41644" s="1" t="str">
        <f t="shared" si="1454"/>
        <v>99999</v>
      </c>
      <c r="B41644" s="1" t="str">
        <f>"62462"</f>
        <v>62462</v>
      </c>
      <c r="C41644" s="2">
        <v>2.78230488735129E-5</v>
      </c>
      <c r="D41644" s="2">
        <v>1.35513800574879E-5</v>
      </c>
      <c r="E41644" s="2">
        <v>4.3010567696482999E-6</v>
      </c>
      <c r="F41644" s="2">
        <v>2.6348027243268001E-5</v>
      </c>
    </row>
    <row r="41645" spans="1:6" x14ac:dyDescent="0.25">
      <c r="A41645" s="1" t="str">
        <f t="shared" si="1454"/>
        <v>99999</v>
      </c>
      <c r="B41645" s="1" t="str">
        <f>"62479"</f>
        <v>62479</v>
      </c>
      <c r="C41645" s="2">
        <v>3.7783050804887201E-5</v>
      </c>
      <c r="D41645" s="2">
        <v>6.0228355811057601E-6</v>
      </c>
      <c r="E41645" s="2">
        <v>4.3010567696482999E-6</v>
      </c>
      <c r="F41645" s="2">
        <v>3.49333394910745E-5</v>
      </c>
    </row>
    <row r="41646" spans="1:6" x14ac:dyDescent="0.25">
      <c r="A41646" s="1" t="str">
        <f t="shared" si="1454"/>
        <v>99999</v>
      </c>
      <c r="B41646" s="1" t="str">
        <f>"62655"</f>
        <v>62655</v>
      </c>
      <c r="C41646" s="2">
        <v>2.6523918186811901E-5</v>
      </c>
      <c r="D41646" s="2">
        <v>1.20456711622115E-5</v>
      </c>
      <c r="E41646" s="2">
        <v>4.3010567696482999E-6</v>
      </c>
      <c r="F41646" s="2">
        <v>2.5065164493595799E-5</v>
      </c>
    </row>
    <row r="41647" spans="1:6" x14ac:dyDescent="0.25">
      <c r="A41647" s="1" t="str">
        <f t="shared" si="1454"/>
        <v>99999</v>
      </c>
      <c r="B41647" s="1" t="str">
        <f>"62534"</f>
        <v>62534</v>
      </c>
      <c r="C41647" s="2">
        <v>6.2683055633322896E-5</v>
      </c>
      <c r="D41647" s="2">
        <v>2.1079924533870101E-5</v>
      </c>
      <c r="E41647" s="2">
        <v>1.72042270785932E-5</v>
      </c>
      <c r="F41647" s="2">
        <v>5.8913004734947701E-5</v>
      </c>
    </row>
    <row r="41648" spans="1:6" x14ac:dyDescent="0.25">
      <c r="A41648" s="1" t="str">
        <f t="shared" si="1454"/>
        <v>99999</v>
      </c>
      <c r="B41648" s="1" t="str">
        <f>"62481"</f>
        <v>62481</v>
      </c>
      <c r="C41648" s="2">
        <v>1.85126122854891E-5</v>
      </c>
      <c r="D41648" s="2">
        <v>1.20456711622115E-5</v>
      </c>
      <c r="E41648" s="2">
        <v>4.3010567696482999E-6</v>
      </c>
      <c r="F41648" s="2">
        <v>1.77627149954616E-5</v>
      </c>
    </row>
    <row r="41649" spans="1:6" x14ac:dyDescent="0.25">
      <c r="A41649" s="1" t="str">
        <f t="shared" si="1454"/>
        <v>99999</v>
      </c>
      <c r="B41649" s="1" t="str">
        <f>"63748"</f>
        <v>63748</v>
      </c>
      <c r="C41649" s="2">
        <v>4.3953921566716897E-5</v>
      </c>
      <c r="D41649" s="2">
        <v>1.50570889527644E-5</v>
      </c>
      <c r="E41649" s="2">
        <v>4.3010567696482999E-6</v>
      </c>
      <c r="F41649" s="2">
        <v>4.1150289739486097E-5</v>
      </c>
    </row>
    <row r="41650" spans="1:6" x14ac:dyDescent="0.25">
      <c r="A41650" s="1" t="str">
        <f t="shared" si="1454"/>
        <v>99999</v>
      </c>
      <c r="B41650" s="1" t="str">
        <f>"63879"</f>
        <v>63879</v>
      </c>
      <c r="C41650" s="2">
        <v>4.0381312178289199E-5</v>
      </c>
      <c r="D41650" s="2">
        <v>1.35513800574879E-5</v>
      </c>
      <c r="E41650" s="2">
        <v>4.3010567696482999E-6</v>
      </c>
      <c r="F41650" s="2">
        <v>3.7795110240343302E-5</v>
      </c>
    </row>
    <row r="41651" spans="1:6" x14ac:dyDescent="0.25">
      <c r="A41651" s="1" t="str">
        <f t="shared" si="1454"/>
        <v>99999</v>
      </c>
      <c r="B41651" s="1" t="str">
        <f>"65263"</f>
        <v>65263</v>
      </c>
      <c r="C41651" s="2">
        <v>9.5594366363081399E-5</v>
      </c>
      <c r="D41651" s="2">
        <v>1.9574215638593701E-5</v>
      </c>
      <c r="E41651" s="2">
        <v>5.1612681235779599E-5</v>
      </c>
      <c r="F41651" s="2">
        <v>8.9603028977106402E-5</v>
      </c>
    </row>
    <row r="41652" spans="1:6" x14ac:dyDescent="0.25">
      <c r="A41652" s="1" t="str">
        <f t="shared" si="1454"/>
        <v>99999</v>
      </c>
      <c r="B41652" s="1" t="str">
        <f>"64873"</f>
        <v>64873</v>
      </c>
      <c r="C41652" s="2">
        <v>2.6523918186811901E-5</v>
      </c>
      <c r="D41652" s="2">
        <v>1.50570889527644E-6</v>
      </c>
      <c r="E41652" s="2">
        <v>0</v>
      </c>
      <c r="F41652" s="2">
        <v>2.42757104937975E-5</v>
      </c>
    </row>
    <row r="41653" spans="1:6" x14ac:dyDescent="0.25">
      <c r="A41653" s="1" t="str">
        <f t="shared" si="1454"/>
        <v>99999</v>
      </c>
      <c r="B41653" s="1" t="str">
        <f>"64772"</f>
        <v>64772</v>
      </c>
      <c r="C41653" s="2">
        <v>8.4367712012173703E-4</v>
      </c>
      <c r="D41653" s="2">
        <v>1.11121316471401E-3</v>
      </c>
      <c r="E41653" s="2">
        <v>5.2042786912744401E-4</v>
      </c>
      <c r="F41653" s="2">
        <v>8.5379450078185495E-4</v>
      </c>
    </row>
    <row r="41654" spans="1:6" x14ac:dyDescent="0.25">
      <c r="A41654" s="1" t="str">
        <f t="shared" si="1454"/>
        <v>99999</v>
      </c>
      <c r="B41654" s="1" t="str">
        <f>"65401"</f>
        <v>65401</v>
      </c>
      <c r="C41654" s="2">
        <v>3.4426963197576303E-5</v>
      </c>
      <c r="D41654" s="2">
        <v>6.0228355811057601E-6</v>
      </c>
      <c r="E41654" s="2">
        <v>2.58063406178898E-5</v>
      </c>
      <c r="F41654" s="2">
        <v>3.236761399173E-5</v>
      </c>
    </row>
    <row r="41655" spans="1:6" x14ac:dyDescent="0.25">
      <c r="A41655" s="1" t="str">
        <f t="shared" si="1454"/>
        <v>99999</v>
      </c>
      <c r="B41655" s="1" t="str">
        <f>"65542"</f>
        <v>65542</v>
      </c>
      <c r="C41655" s="2">
        <v>2.7162657441106599E-4</v>
      </c>
      <c r="D41655" s="2">
        <v>1.15939584936285E-4</v>
      </c>
      <c r="E41655" s="2">
        <v>1.72042270785932E-4</v>
      </c>
      <c r="F41655" s="2">
        <v>2.5913827543378999E-4</v>
      </c>
    </row>
    <row r="41656" spans="1:6" x14ac:dyDescent="0.25">
      <c r="A41656" s="1" t="str">
        <f t="shared" si="1454"/>
        <v>99999</v>
      </c>
      <c r="B41656" s="1" t="str">
        <f>"65557"</f>
        <v>65557</v>
      </c>
      <c r="C41656" s="2">
        <v>1.4506959334827701E-5</v>
      </c>
      <c r="D41656" s="2">
        <v>6.0228355811057601E-6</v>
      </c>
      <c r="E41656" s="2">
        <v>4.3010567696482999E-6</v>
      </c>
      <c r="F41656" s="2">
        <v>1.37167632464953E-5</v>
      </c>
    </row>
    <row r="41657" spans="1:6" x14ac:dyDescent="0.25">
      <c r="A41657" s="1" t="str">
        <f t="shared" si="1454"/>
        <v>99999</v>
      </c>
      <c r="B41657" s="1" t="str">
        <f>"64482"</f>
        <v>64482</v>
      </c>
      <c r="C41657" s="2">
        <v>1.18545675161465E-4</v>
      </c>
      <c r="D41657" s="2">
        <v>2.2585633429146601E-4</v>
      </c>
      <c r="E41657" s="2">
        <v>9.4623248932262599E-5</v>
      </c>
      <c r="F41657" s="2">
        <v>1.2502977721805399E-4</v>
      </c>
    </row>
    <row r="41658" spans="1:6" x14ac:dyDescent="0.25">
      <c r="A41658" s="1" t="str">
        <f t="shared" si="1454"/>
        <v>99999</v>
      </c>
      <c r="B41658" s="1" t="str">
        <f>"64676"</f>
        <v>64676</v>
      </c>
      <c r="C41658" s="2">
        <v>9.6352192596990302E-6</v>
      </c>
      <c r="D41658" s="2">
        <v>6.0228355811057601E-6</v>
      </c>
      <c r="E41658" s="2">
        <v>4.3010567696482999E-6</v>
      </c>
      <c r="F41658" s="2">
        <v>9.2760844976299596E-6</v>
      </c>
    </row>
    <row r="41659" spans="1:6" x14ac:dyDescent="0.25">
      <c r="A41659" s="1" t="str">
        <f t="shared" si="1454"/>
        <v>99999</v>
      </c>
      <c r="B41659" s="1" t="str">
        <f>"64638"</f>
        <v>64638</v>
      </c>
      <c r="C41659" s="2">
        <v>2.74982662018377E-5</v>
      </c>
      <c r="D41659" s="2">
        <v>7.5285444763821999E-6</v>
      </c>
      <c r="E41659" s="2">
        <v>3.01073973875381E-5</v>
      </c>
      <c r="F41659" s="2">
        <v>2.6249345493293201E-5</v>
      </c>
    </row>
    <row r="41660" spans="1:6" x14ac:dyDescent="0.25">
      <c r="A41660" s="1" t="str">
        <f t="shared" si="1454"/>
        <v>99999</v>
      </c>
      <c r="B41660" s="1" t="str">
        <f>"64724"</f>
        <v>64724</v>
      </c>
      <c r="C41660" s="2">
        <v>1.13132630633544E-4</v>
      </c>
      <c r="D41660" s="2">
        <v>1.65627978480408E-4</v>
      </c>
      <c r="E41660" s="2">
        <v>8.1720078623317706E-5</v>
      </c>
      <c r="F41660" s="2">
        <v>1.15852374470399E-4</v>
      </c>
    </row>
    <row r="41661" spans="1:6" x14ac:dyDescent="0.25">
      <c r="A41661" s="1" t="str">
        <f t="shared" si="1454"/>
        <v>99999</v>
      </c>
      <c r="B41661" s="1" t="str">
        <f>"64630"</f>
        <v>64630</v>
      </c>
      <c r="C41661" s="2">
        <v>3.5834354774835699E-5</v>
      </c>
      <c r="D41661" s="2">
        <v>3.01141779055288E-6</v>
      </c>
      <c r="E41661" s="2">
        <v>8.6021135392965999E-6</v>
      </c>
      <c r="F41661" s="2">
        <v>3.3058386241553498E-5</v>
      </c>
    </row>
    <row r="41662" spans="1:6" x14ac:dyDescent="0.25">
      <c r="A41662" s="1" t="str">
        <f t="shared" si="1454"/>
        <v>99999</v>
      </c>
      <c r="B41662" s="1" t="str">
        <f>"64635"</f>
        <v>64635</v>
      </c>
      <c r="C41662" s="2">
        <v>2.84726142168634E-5</v>
      </c>
      <c r="D41662" s="2">
        <v>7.5285444763821999E-6</v>
      </c>
      <c r="E41662" s="2">
        <v>4.3010567696482999E-6</v>
      </c>
      <c r="F41662" s="2">
        <v>2.6545390743217599E-5</v>
      </c>
    </row>
    <row r="41663" spans="1:6" x14ac:dyDescent="0.25">
      <c r="A41663" s="1" t="str">
        <f t="shared" si="1454"/>
        <v>99999</v>
      </c>
      <c r="B41663" s="1" t="str">
        <f>"64649"</f>
        <v>64649</v>
      </c>
      <c r="C41663" s="2">
        <v>1.2125219742542599E-5</v>
      </c>
      <c r="D41663" s="2">
        <v>1.50570889527644E-6</v>
      </c>
      <c r="E41663" s="2">
        <v>0</v>
      </c>
      <c r="F41663" s="2">
        <v>1.11510377471509E-5</v>
      </c>
    </row>
    <row r="41664" spans="1:6" x14ac:dyDescent="0.25">
      <c r="A41664" s="1" t="str">
        <f t="shared" si="1454"/>
        <v>99999</v>
      </c>
      <c r="B41664" s="1" t="str">
        <f>"64620"</f>
        <v>64620</v>
      </c>
      <c r="C41664" s="2">
        <v>3.0204788465798102E-5</v>
      </c>
      <c r="D41664" s="2">
        <v>7.5285444763821999E-6</v>
      </c>
      <c r="E41664" s="2">
        <v>4.3010567696482999E-6</v>
      </c>
      <c r="F41664" s="2">
        <v>2.8124298742814199E-5</v>
      </c>
    </row>
    <row r="41665" spans="1:6" x14ac:dyDescent="0.25">
      <c r="A41665" s="1" t="str">
        <f t="shared" si="1454"/>
        <v>99999</v>
      </c>
      <c r="B41665" s="1" t="str">
        <f>"63957"</f>
        <v>63957</v>
      </c>
      <c r="C41665" s="2">
        <v>4.72558787287486E-4</v>
      </c>
      <c r="D41665" s="2">
        <v>3.1770457690332799E-4</v>
      </c>
      <c r="E41665" s="2">
        <v>1.16128532780504E-4</v>
      </c>
      <c r="F41665" s="2">
        <v>4.5423209513394298E-4</v>
      </c>
    </row>
    <row r="41666" spans="1:6" x14ac:dyDescent="0.25">
      <c r="A41666" s="1" t="str">
        <f t="shared" si="1454"/>
        <v>99999</v>
      </c>
      <c r="B41666" s="1" t="str">
        <f>"63956"</f>
        <v>63956</v>
      </c>
      <c r="C41666" s="2">
        <v>5.3913923498091201E-5</v>
      </c>
      <c r="D41666" s="2">
        <v>3.1619886800805203E-5</v>
      </c>
      <c r="E41666" s="2">
        <v>4.3010567696482999E-6</v>
      </c>
      <c r="F41666" s="2">
        <v>5.1314509986889101E-5</v>
      </c>
    </row>
    <row r="41667" spans="1:6" x14ac:dyDescent="0.25">
      <c r="A41667" s="1" t="str">
        <f t="shared" si="1454"/>
        <v>99999</v>
      </c>
      <c r="B41667" s="1" t="str">
        <f>"63952"</f>
        <v>63952</v>
      </c>
      <c r="C41667" s="2">
        <v>2.8147831545188199E-5</v>
      </c>
      <c r="D41667" s="2">
        <v>1.50570889527644E-6</v>
      </c>
      <c r="E41667" s="2">
        <v>4.3010567696482999E-6</v>
      </c>
      <c r="F41667" s="2">
        <v>2.5854618493394101E-5</v>
      </c>
    </row>
    <row r="41668" spans="1:6" x14ac:dyDescent="0.25">
      <c r="A41668" s="1" t="str">
        <f t="shared" si="1454"/>
        <v>99999</v>
      </c>
      <c r="B41668" s="1" t="str">
        <f>"63934"</f>
        <v>63934</v>
      </c>
      <c r="C41668" s="2">
        <v>2.5657831062344601E-5</v>
      </c>
      <c r="D41668" s="2">
        <v>9.0342533716586405E-6</v>
      </c>
      <c r="E41668" s="2">
        <v>4.3010567696482999E-6</v>
      </c>
      <c r="F41668" s="2">
        <v>2.4078346993847899E-5</v>
      </c>
    </row>
    <row r="41669" spans="1:6" x14ac:dyDescent="0.25">
      <c r="A41669" s="1" t="str">
        <f t="shared" si="1454"/>
        <v>99999</v>
      </c>
      <c r="B41669" s="1" t="str">
        <f>"63432"</f>
        <v>63432</v>
      </c>
      <c r="C41669" s="2">
        <v>2.5008265718994098E-5</v>
      </c>
      <c r="D41669" s="2">
        <v>7.5285444763821999E-6</v>
      </c>
      <c r="E41669" s="2">
        <v>0</v>
      </c>
      <c r="F41669" s="2">
        <v>2.3288892994049601E-5</v>
      </c>
    </row>
    <row r="41670" spans="1:6" x14ac:dyDescent="0.25">
      <c r="A41670" s="1" t="str">
        <f t="shared" ref="A41670:A41733" si="1455">"99999"</f>
        <v>99999</v>
      </c>
      <c r="B41670" s="1" t="str">
        <f>"65013"</f>
        <v>65013</v>
      </c>
      <c r="C41670" s="2">
        <v>9.7651323283691298E-5</v>
      </c>
      <c r="D41670" s="2">
        <v>4.3665557963016701E-5</v>
      </c>
      <c r="E41670" s="2">
        <v>9.8924305701910905E-5</v>
      </c>
      <c r="F41670" s="2">
        <v>9.4142389475946605E-5</v>
      </c>
    </row>
    <row r="41671" spans="1:6" x14ac:dyDescent="0.25">
      <c r="A41671" s="1" t="str">
        <f t="shared" si="1455"/>
        <v>99999</v>
      </c>
      <c r="B41671" s="1" t="str">
        <f>"63539"</f>
        <v>63539</v>
      </c>
      <c r="C41671" s="2">
        <v>1.8404351394930699E-5</v>
      </c>
      <c r="D41671" s="2">
        <v>1.80685067433172E-5</v>
      </c>
      <c r="E41671" s="2">
        <v>4.3010567696482999E-6</v>
      </c>
      <c r="F41671" s="2">
        <v>1.80587602453859E-5</v>
      </c>
    </row>
    <row r="41672" spans="1:6" x14ac:dyDescent="0.25">
      <c r="A41672" s="1" t="str">
        <f t="shared" si="1455"/>
        <v>99999</v>
      </c>
      <c r="B41672" s="1" t="str">
        <f>"63384"</f>
        <v>63384</v>
      </c>
      <c r="C41672" s="2">
        <v>1.0306436781161201E-4</v>
      </c>
      <c r="D41672" s="2">
        <v>1.7315652295679001E-4</v>
      </c>
      <c r="E41672" s="2">
        <v>3.8709510926834699E-5</v>
      </c>
      <c r="F41672" s="2">
        <v>1.0618156297287E-4</v>
      </c>
    </row>
    <row r="41673" spans="1:6" x14ac:dyDescent="0.25">
      <c r="A41673" s="1" t="str">
        <f t="shared" si="1455"/>
        <v>99999</v>
      </c>
      <c r="B41673" s="1" t="str">
        <f>"63551"</f>
        <v>63551</v>
      </c>
      <c r="C41673" s="2">
        <v>2.1868699892800001E-5</v>
      </c>
      <c r="D41673" s="2">
        <v>3.01141779055288E-6</v>
      </c>
      <c r="E41673" s="2">
        <v>4.3010567696482999E-6</v>
      </c>
      <c r="F41673" s="2">
        <v>2.0229758744831201E-5</v>
      </c>
    </row>
    <row r="41674" spans="1:6" x14ac:dyDescent="0.25">
      <c r="A41674" s="1" t="str">
        <f t="shared" si="1455"/>
        <v>99999</v>
      </c>
      <c r="B41674" s="1" t="str">
        <f>"66720"</f>
        <v>66720</v>
      </c>
      <c r="C41674" s="2">
        <v>5.9326968026012005E-4</v>
      </c>
      <c r="D41674" s="2">
        <v>9.1998813501390495E-4</v>
      </c>
      <c r="E41674" s="2">
        <v>2.4516023586995298E-4</v>
      </c>
      <c r="F41674" s="2">
        <v>6.0669539884498902E-4</v>
      </c>
    </row>
    <row r="41675" spans="1:6" x14ac:dyDescent="0.25">
      <c r="A41675" s="1" t="str">
        <f t="shared" si="1455"/>
        <v>99999</v>
      </c>
      <c r="B41675" s="1" t="str">
        <f>"66411"</f>
        <v>66411</v>
      </c>
      <c r="C41675" s="2">
        <v>6.3224360086114995E-5</v>
      </c>
      <c r="D41675" s="2">
        <v>1.2497383830794399E-4</v>
      </c>
      <c r="E41675" s="2">
        <v>9.0322192162614306E-5</v>
      </c>
      <c r="F41675" s="2">
        <v>6.7893043982653303E-5</v>
      </c>
    </row>
    <row r="41676" spans="1:6" x14ac:dyDescent="0.25">
      <c r="A41676" s="1" t="str">
        <f t="shared" si="1455"/>
        <v>99999</v>
      </c>
      <c r="B41676" s="1" t="str">
        <f>"66432"</f>
        <v>66432</v>
      </c>
      <c r="C41676" s="2">
        <v>1.1908697961425701E-6</v>
      </c>
      <c r="D41676" s="2">
        <v>0</v>
      </c>
      <c r="E41676" s="2">
        <v>0</v>
      </c>
      <c r="F41676" s="2">
        <v>1.0854992497226499E-6</v>
      </c>
    </row>
    <row r="41677" spans="1:6" x14ac:dyDescent="0.25">
      <c r="A41677" s="1" t="str">
        <f t="shared" si="1455"/>
        <v>99999</v>
      </c>
      <c r="B41677" s="1" t="str">
        <f>"66772"</f>
        <v>66772</v>
      </c>
      <c r="C41677" s="2">
        <v>1.77547860515802E-5</v>
      </c>
      <c r="D41677" s="2">
        <v>6.0228355811057601E-6</v>
      </c>
      <c r="E41677" s="2">
        <v>4.3010567696482999E-6</v>
      </c>
      <c r="F41677" s="2">
        <v>1.6677215745738901E-5</v>
      </c>
    </row>
    <row r="41678" spans="1:6" x14ac:dyDescent="0.25">
      <c r="A41678" s="1" t="str">
        <f t="shared" si="1455"/>
        <v>99999</v>
      </c>
      <c r="B41678" s="1" t="str">
        <f>"66732"</f>
        <v>66732</v>
      </c>
      <c r="C41678" s="2">
        <v>1.5481307349853501E-5</v>
      </c>
      <c r="D41678" s="2">
        <v>1.50570889527644E-5</v>
      </c>
      <c r="E41678" s="2">
        <v>4.3010567696482999E-6</v>
      </c>
      <c r="F41678" s="2">
        <v>1.5196989496117099E-5</v>
      </c>
    </row>
    <row r="41679" spans="1:6" x14ac:dyDescent="0.25">
      <c r="A41679" s="1" t="str">
        <f t="shared" si="1455"/>
        <v>99999</v>
      </c>
      <c r="B41679" s="1" t="str">
        <f>"66417"</f>
        <v>66417</v>
      </c>
      <c r="C41679" s="2">
        <v>1.75382642704634E-5</v>
      </c>
      <c r="D41679" s="2">
        <v>1.65627978480408E-5</v>
      </c>
      <c r="E41679" s="2">
        <v>8.6021135392965999E-6</v>
      </c>
      <c r="F41679" s="2">
        <v>1.7269306245587602E-5</v>
      </c>
    </row>
    <row r="41680" spans="1:6" x14ac:dyDescent="0.25">
      <c r="A41680" s="1" t="str">
        <f t="shared" si="1455"/>
        <v>99999</v>
      </c>
      <c r="B41680" s="1" t="str">
        <f>"51570"</f>
        <v>51570</v>
      </c>
      <c r="C41680" s="2">
        <v>4.91504443135209E-5</v>
      </c>
      <c r="D41680" s="2">
        <v>1.65627978480408E-5</v>
      </c>
      <c r="E41680" s="2">
        <v>6.0214794775076199E-5</v>
      </c>
      <c r="F41680" s="2">
        <v>4.7268558237922802E-5</v>
      </c>
    </row>
    <row r="41681" spans="1:6" x14ac:dyDescent="0.25">
      <c r="A41681" s="1" t="str">
        <f t="shared" si="1455"/>
        <v>99999</v>
      </c>
      <c r="B41681" s="1" t="str">
        <f>"66415"</f>
        <v>66415</v>
      </c>
      <c r="C41681" s="2">
        <v>4.1896964646106998E-5</v>
      </c>
      <c r="D41681" s="2">
        <v>2.55970512196994E-5</v>
      </c>
      <c r="E41681" s="2">
        <v>2.15052838482415E-5</v>
      </c>
      <c r="F41681" s="2">
        <v>4.0360835739687802E-5</v>
      </c>
    </row>
    <row r="41682" spans="1:6" x14ac:dyDescent="0.25">
      <c r="A41682" s="1" t="str">
        <f t="shared" si="1455"/>
        <v>99999</v>
      </c>
      <c r="B41682" s="1" t="str">
        <f>"66746"</f>
        <v>66746</v>
      </c>
      <c r="C41682" s="2">
        <v>1.1908697961425701E-6</v>
      </c>
      <c r="D41682" s="2">
        <v>6.0228355811057601E-6</v>
      </c>
      <c r="E41682" s="2">
        <v>0</v>
      </c>
      <c r="F41682" s="2">
        <v>1.4802262496218E-6</v>
      </c>
    </row>
    <row r="41683" spans="1:6" x14ac:dyDescent="0.25">
      <c r="A41683" s="1" t="str">
        <f t="shared" si="1455"/>
        <v>99999</v>
      </c>
      <c r="B41683" s="1" t="str">
        <f>"67871"</f>
        <v>67871</v>
      </c>
      <c r="C41683" s="2">
        <v>2.62316137823042E-4</v>
      </c>
      <c r="D41683" s="2">
        <v>4.9236680875539604E-4</v>
      </c>
      <c r="E41683" s="2">
        <v>2.7096657648784301E-4</v>
      </c>
      <c r="F41683" s="2">
        <v>2.77591762679075E-4</v>
      </c>
    </row>
    <row r="41684" spans="1:6" x14ac:dyDescent="0.25">
      <c r="A41684" s="1" t="str">
        <f t="shared" si="1455"/>
        <v>99999</v>
      </c>
      <c r="B41684" s="1" t="str">
        <f>"68014"</f>
        <v>68014</v>
      </c>
      <c r="C41684" s="2">
        <v>1.5264785568736599E-5</v>
      </c>
      <c r="D41684" s="2">
        <v>3.01141779055288E-6</v>
      </c>
      <c r="E41684" s="2">
        <v>4.3010567696482999E-6</v>
      </c>
      <c r="F41684" s="2">
        <v>1.42101719963693E-5</v>
      </c>
    </row>
    <row r="41685" spans="1:6" x14ac:dyDescent="0.25">
      <c r="A41685" s="1" t="str">
        <f t="shared" si="1455"/>
        <v>99999</v>
      </c>
      <c r="B41685" s="1" t="str">
        <f>"67861"</f>
        <v>67861</v>
      </c>
      <c r="C41685" s="2">
        <v>9.3753931223588402E-5</v>
      </c>
      <c r="D41685" s="2">
        <v>1.2045671162211499E-4</v>
      </c>
      <c r="E41685" s="2">
        <v>3.8709510926834699E-5</v>
      </c>
      <c r="F41685" s="2">
        <v>9.4241071225921395E-5</v>
      </c>
    </row>
    <row r="41686" spans="1:6" x14ac:dyDescent="0.25">
      <c r="A41686" s="1" t="str">
        <f t="shared" si="1455"/>
        <v>99999</v>
      </c>
      <c r="B41686" s="1" t="str">
        <f>"67058"</f>
        <v>67058</v>
      </c>
      <c r="C41686" s="2">
        <v>1.21035675644309E-4</v>
      </c>
      <c r="D41686" s="2">
        <v>1.92730738595384E-4</v>
      </c>
      <c r="E41686" s="2">
        <v>6.4515851544724506E-5</v>
      </c>
      <c r="F41686" s="2">
        <v>1.2443768671820601E-4</v>
      </c>
    </row>
    <row r="41687" spans="1:6" x14ac:dyDescent="0.25">
      <c r="A41687" s="1" t="str">
        <f t="shared" si="1455"/>
        <v>99999</v>
      </c>
      <c r="B41687" s="1" t="str">
        <f>"67045"</f>
        <v>67045</v>
      </c>
      <c r="C41687" s="2">
        <v>2.29946131546075E-4</v>
      </c>
      <c r="D41687" s="2">
        <v>3.9901285724825602E-4</v>
      </c>
      <c r="E41687" s="2">
        <v>1.7634332755557999E-4</v>
      </c>
      <c r="F41687" s="2">
        <v>2.3979665243873099E-4</v>
      </c>
    </row>
    <row r="41688" spans="1:6" x14ac:dyDescent="0.25">
      <c r="A41688" s="1" t="str">
        <f t="shared" si="1455"/>
        <v>99999</v>
      </c>
      <c r="B41688" s="1" t="str">
        <f>"67554"</f>
        <v>67554</v>
      </c>
      <c r="C41688" s="2">
        <v>2.2875526174993301E-4</v>
      </c>
      <c r="D41688" s="2">
        <v>4.4568983300182603E-4</v>
      </c>
      <c r="E41688" s="2">
        <v>1.41934873398393E-4</v>
      </c>
      <c r="F41688" s="2">
        <v>2.4098083343842899E-4</v>
      </c>
    </row>
    <row r="41689" spans="1:6" x14ac:dyDescent="0.25">
      <c r="A41689" s="1" t="str">
        <f t="shared" si="1455"/>
        <v>99999</v>
      </c>
      <c r="B41689" s="1" t="str">
        <f>"56550"</f>
        <v>56550</v>
      </c>
      <c r="C41689" s="2">
        <v>2.40339177039683E-5</v>
      </c>
      <c r="D41689" s="2">
        <v>6.0228355811057601E-6</v>
      </c>
      <c r="E41689" s="2">
        <v>2.58063406178898E-5</v>
      </c>
      <c r="F41689" s="2">
        <v>2.2894165994150501E-5</v>
      </c>
    </row>
    <row r="41690" spans="1:6" x14ac:dyDescent="0.25">
      <c r="A41690" s="1" t="str">
        <f t="shared" si="1455"/>
        <v>99999</v>
      </c>
      <c r="B41690" s="1" t="str">
        <f>"56727"</f>
        <v>56727</v>
      </c>
      <c r="C41690" s="2">
        <v>2.6199135515136701E-5</v>
      </c>
      <c r="D41690" s="2">
        <v>4.5171266858293203E-6</v>
      </c>
      <c r="E41690" s="2">
        <v>3.01073973875381E-5</v>
      </c>
      <c r="F41690" s="2">
        <v>2.4867800993646201E-5</v>
      </c>
    </row>
    <row r="41691" spans="1:6" x14ac:dyDescent="0.25">
      <c r="A41691" s="1" t="str">
        <f t="shared" si="1455"/>
        <v>99999</v>
      </c>
      <c r="B41691" s="1" t="str">
        <f>"56728"</f>
        <v>56728</v>
      </c>
      <c r="C41691" s="2">
        <v>5.90021853543368E-5</v>
      </c>
      <c r="D41691" s="2">
        <v>5.2699811334675399E-5</v>
      </c>
      <c r="E41691" s="2">
        <v>7.3117965084021106E-5</v>
      </c>
      <c r="F41691" s="2">
        <v>5.8913004734947701E-5</v>
      </c>
    </row>
    <row r="41692" spans="1:6" x14ac:dyDescent="0.25">
      <c r="A41692" s="1" t="str">
        <f t="shared" si="1455"/>
        <v>99999</v>
      </c>
      <c r="B41692" s="1" t="str">
        <f>"56714"</f>
        <v>56714</v>
      </c>
      <c r="C41692" s="2">
        <v>6.6905230365101097E-5</v>
      </c>
      <c r="D41692" s="2">
        <v>4.5171266858293203E-6</v>
      </c>
      <c r="E41692" s="2">
        <v>3.8709510926834699E-5</v>
      </c>
      <c r="F41692" s="2">
        <v>6.2169502484115603E-5</v>
      </c>
    </row>
    <row r="41693" spans="1:6" x14ac:dyDescent="0.25">
      <c r="A41693" s="1" t="str">
        <f t="shared" si="1455"/>
        <v>99999</v>
      </c>
      <c r="B41693" s="1" t="str">
        <f>"56742"</f>
        <v>56742</v>
      </c>
      <c r="C41693" s="2">
        <v>3.9515225053821902E-5</v>
      </c>
      <c r="D41693" s="2">
        <v>1.80685067433172E-5</v>
      </c>
      <c r="E41693" s="2">
        <v>3.8709510926834699E-5</v>
      </c>
      <c r="F41693" s="2">
        <v>3.80911554902677E-5</v>
      </c>
    </row>
    <row r="41694" spans="1:6" x14ac:dyDescent="0.25">
      <c r="A41694" s="1" t="str">
        <f t="shared" si="1455"/>
        <v>99999</v>
      </c>
      <c r="B41694" s="1" t="str">
        <f>"56759"</f>
        <v>56759</v>
      </c>
      <c r="C41694" s="2">
        <v>2.0353047424982201E-5</v>
      </c>
      <c r="D41694" s="2">
        <v>0</v>
      </c>
      <c r="E41694" s="2">
        <v>4.3010567696482999E-6</v>
      </c>
      <c r="F41694" s="2">
        <v>1.8650850745234699E-5</v>
      </c>
    </row>
    <row r="41695" spans="1:6" x14ac:dyDescent="0.25">
      <c r="A41695" s="1" t="str">
        <f t="shared" si="1455"/>
        <v>99999</v>
      </c>
      <c r="B41695" s="1" t="str">
        <f>"56738"</f>
        <v>56738</v>
      </c>
      <c r="C41695" s="2">
        <v>6.9395230847944705E-5</v>
      </c>
      <c r="D41695" s="2">
        <v>2.7102760114975901E-5</v>
      </c>
      <c r="E41695" s="2">
        <v>3.01073973875381E-5</v>
      </c>
      <c r="F41695" s="2">
        <v>6.5722045483207998E-5</v>
      </c>
    </row>
    <row r="41696" spans="1:6" x14ac:dyDescent="0.25">
      <c r="A41696" s="1" t="str">
        <f t="shared" si="1455"/>
        <v>99999</v>
      </c>
      <c r="B41696" s="1" t="str">
        <f>"56122"</f>
        <v>56122</v>
      </c>
      <c r="C41696" s="2">
        <v>2.68487008584872E-5</v>
      </c>
      <c r="D41696" s="2">
        <v>1.50570889527644E-5</v>
      </c>
      <c r="E41696" s="2">
        <v>2.15052838482415E-5</v>
      </c>
      <c r="F41696" s="2">
        <v>2.5953300243368901E-5</v>
      </c>
    </row>
    <row r="41697" spans="1:6" x14ac:dyDescent="0.25">
      <c r="A41697" s="1" t="str">
        <f t="shared" si="1455"/>
        <v>99999</v>
      </c>
      <c r="B41697" s="1" t="str">
        <f>"56159"</f>
        <v>56159</v>
      </c>
      <c r="C41697" s="2">
        <v>1.3770785279030499E-4</v>
      </c>
      <c r="D41697" s="2">
        <v>9.9376787088244995E-5</v>
      </c>
      <c r="E41697" s="2">
        <v>6.8816908314372799E-5</v>
      </c>
      <c r="F41697" s="2">
        <v>1.33615089465861E-4</v>
      </c>
    </row>
    <row r="41698" spans="1:6" x14ac:dyDescent="0.25">
      <c r="A41698" s="1" t="str">
        <f t="shared" si="1455"/>
        <v>99999</v>
      </c>
      <c r="B41698" s="1" t="str">
        <f>"56220"</f>
        <v>56220</v>
      </c>
      <c r="C41698" s="2">
        <v>1.64448292758234E-4</v>
      </c>
      <c r="D41698" s="2">
        <v>1.9122502970010701E-4</v>
      </c>
      <c r="E41698" s="2">
        <v>1.8064438432522799E-4</v>
      </c>
      <c r="F41698" s="2">
        <v>1.6657479395744E-4</v>
      </c>
    </row>
    <row r="41699" spans="1:6" x14ac:dyDescent="0.25">
      <c r="A41699" s="1" t="str">
        <f t="shared" si="1455"/>
        <v>99999</v>
      </c>
      <c r="B41699" s="1" t="str">
        <f>"56240"</f>
        <v>56240</v>
      </c>
      <c r="C41699" s="2">
        <v>5.59708804187011E-5</v>
      </c>
      <c r="D41699" s="2">
        <v>1.80685067433172E-5</v>
      </c>
      <c r="E41699" s="2">
        <v>4.3010567696482999E-5</v>
      </c>
      <c r="F41699" s="2">
        <v>5.3189463236410001E-5</v>
      </c>
    </row>
    <row r="41700" spans="1:6" x14ac:dyDescent="0.25">
      <c r="A41700" s="1" t="str">
        <f t="shared" si="1455"/>
        <v>99999</v>
      </c>
      <c r="B41700" s="1" t="str">
        <f>"56023"</f>
        <v>56023</v>
      </c>
      <c r="C41700" s="2">
        <v>2.7931309764071301E-5</v>
      </c>
      <c r="D41700" s="2">
        <v>9.0342533716586405E-6</v>
      </c>
      <c r="E41700" s="2">
        <v>4.3010567696482999E-6</v>
      </c>
      <c r="F41700" s="2">
        <v>2.6150663743318498E-5</v>
      </c>
    </row>
    <row r="41701" spans="1:6" x14ac:dyDescent="0.25">
      <c r="A41701" s="1" t="str">
        <f t="shared" si="1455"/>
        <v>99999</v>
      </c>
      <c r="B41701" s="1" t="str">
        <f>"56224"</f>
        <v>56224</v>
      </c>
      <c r="C41701" s="2">
        <v>1.78630469421386E-5</v>
      </c>
      <c r="D41701" s="2">
        <v>2.8608469010252301E-5</v>
      </c>
      <c r="E41701" s="2">
        <v>0</v>
      </c>
      <c r="F41701" s="2">
        <v>1.81574419953607E-5</v>
      </c>
    </row>
    <row r="41702" spans="1:6" x14ac:dyDescent="0.25">
      <c r="A41702" s="1" t="str">
        <f t="shared" si="1455"/>
        <v>99999</v>
      </c>
      <c r="B41702" s="1" t="str">
        <f>"56225"</f>
        <v>56225</v>
      </c>
      <c r="C41702" s="2">
        <v>3.3452615182550501E-5</v>
      </c>
      <c r="D41702" s="2">
        <v>2.4091342324423E-5</v>
      </c>
      <c r="E41702" s="2">
        <v>8.6021135392965999E-6</v>
      </c>
      <c r="F41702" s="2">
        <v>3.2268932241755197E-5</v>
      </c>
    </row>
    <row r="41703" spans="1:6" x14ac:dyDescent="0.25">
      <c r="A41703" s="1" t="str">
        <f t="shared" si="1455"/>
        <v>99999</v>
      </c>
      <c r="B41703" s="1" t="str">
        <f>"55396"</f>
        <v>55396</v>
      </c>
      <c r="C41703" s="2">
        <v>1.1551437022583001E-4</v>
      </c>
      <c r="D41703" s="2">
        <v>3.31255956960816E-5</v>
      </c>
      <c r="E41703" s="2">
        <v>4.3010567696482999E-5</v>
      </c>
      <c r="F41703" s="2">
        <v>1.0845124322229E-4</v>
      </c>
    </row>
    <row r="41704" spans="1:6" x14ac:dyDescent="0.25">
      <c r="A41704" s="1" t="str">
        <f t="shared" si="1455"/>
        <v>99999</v>
      </c>
      <c r="B41704" s="1" t="str">
        <f>"55338"</f>
        <v>55338</v>
      </c>
      <c r="C41704" s="2">
        <v>5.8893924463778302E-5</v>
      </c>
      <c r="D41704" s="2">
        <v>4.5171266858293203E-6</v>
      </c>
      <c r="E41704" s="2">
        <v>4.3010567696482999E-6</v>
      </c>
      <c r="F41704" s="2">
        <v>5.40775989861831E-5</v>
      </c>
    </row>
    <row r="41705" spans="1:6" x14ac:dyDescent="0.25">
      <c r="A41705" s="1" t="str">
        <f t="shared" si="1455"/>
        <v>99999</v>
      </c>
      <c r="B41705" s="1" t="str">
        <f>"57760"</f>
        <v>57760</v>
      </c>
      <c r="C41705" s="2">
        <v>6.1925229399414003E-5</v>
      </c>
      <c r="D41705" s="2">
        <v>6.0228355811057601E-6</v>
      </c>
      <c r="E41705" s="2">
        <v>3.8709510926834699E-5</v>
      </c>
      <c r="F41705" s="2">
        <v>5.7728823735250197E-5</v>
      </c>
    </row>
    <row r="41706" spans="1:6" x14ac:dyDescent="0.25">
      <c r="A41706" s="1" t="str">
        <f t="shared" si="1455"/>
        <v>99999</v>
      </c>
      <c r="B41706" s="1" t="str">
        <f>"57434"</f>
        <v>57434</v>
      </c>
      <c r="C41706" s="2">
        <v>2.1219134549449501E-5</v>
      </c>
      <c r="D41706" s="2">
        <v>1.35513800574879E-5</v>
      </c>
      <c r="E41706" s="2">
        <v>2.15052838482415E-5</v>
      </c>
      <c r="F41706" s="2">
        <v>2.07231674947052E-5</v>
      </c>
    </row>
    <row r="41707" spans="1:6" x14ac:dyDescent="0.25">
      <c r="A41707" s="1" t="str">
        <f t="shared" si="1455"/>
        <v>99999</v>
      </c>
      <c r="B41707" s="1" t="str">
        <f>"57477"</f>
        <v>57477</v>
      </c>
      <c r="C41707" s="2">
        <v>8.1195667918812104E-6</v>
      </c>
      <c r="D41707" s="2">
        <v>3.01141779055288E-6</v>
      </c>
      <c r="E41707" s="2">
        <v>4.3010567696482999E-6</v>
      </c>
      <c r="F41707" s="2">
        <v>7.6971764980333696E-6</v>
      </c>
    </row>
    <row r="41708" spans="1:6" x14ac:dyDescent="0.25">
      <c r="A41708" s="1" t="str">
        <f t="shared" si="1455"/>
        <v>99999</v>
      </c>
      <c r="B41708" s="1" t="str">
        <f>"57722"</f>
        <v>57722</v>
      </c>
      <c r="C41708" s="2">
        <v>2.6523918186811901E-5</v>
      </c>
      <c r="D41708" s="2">
        <v>6.0228355811057601E-6</v>
      </c>
      <c r="E41708" s="2">
        <v>4.3010567696482999E-6</v>
      </c>
      <c r="F41708" s="2">
        <v>2.4670437493696699E-5</v>
      </c>
    </row>
    <row r="41709" spans="1:6" x14ac:dyDescent="0.25">
      <c r="A41709" s="1" t="str">
        <f t="shared" si="1455"/>
        <v>99999</v>
      </c>
      <c r="B41709" s="1" t="str">
        <f>"57457"</f>
        <v>57457</v>
      </c>
      <c r="C41709" s="2">
        <v>7.3617405579722903E-6</v>
      </c>
      <c r="D41709" s="2">
        <v>7.5285444763821999E-6</v>
      </c>
      <c r="E41709" s="2">
        <v>8.6021135392965999E-6</v>
      </c>
      <c r="F41709" s="2">
        <v>7.4011312481090098E-6</v>
      </c>
    </row>
    <row r="41710" spans="1:6" x14ac:dyDescent="0.25">
      <c r="A41710" s="1" t="str">
        <f t="shared" si="1455"/>
        <v>99999</v>
      </c>
      <c r="B41710" s="1" t="str">
        <f>"57521"</f>
        <v>57521</v>
      </c>
      <c r="C41710" s="2">
        <v>7.3617405579722903E-6</v>
      </c>
      <c r="D41710" s="2">
        <v>0</v>
      </c>
      <c r="E41710" s="2">
        <v>4.3010567696482999E-6</v>
      </c>
      <c r="F41710" s="2">
        <v>6.8090407482602902E-6</v>
      </c>
    </row>
    <row r="41711" spans="1:6" x14ac:dyDescent="0.25">
      <c r="A41711" s="1" t="str">
        <f t="shared" si="1455"/>
        <v>99999</v>
      </c>
      <c r="B41711" s="1" t="str">
        <f>"57541"</f>
        <v>57541</v>
      </c>
      <c r="C41711" s="2">
        <v>6.0626098712712997E-6</v>
      </c>
      <c r="D41711" s="2">
        <v>1.50570889527644E-6</v>
      </c>
      <c r="E41711" s="2">
        <v>4.3010567696482999E-6</v>
      </c>
      <c r="F41711" s="2">
        <v>5.7235414985376303E-6</v>
      </c>
    </row>
    <row r="41712" spans="1:6" x14ac:dyDescent="0.25">
      <c r="A41712" s="1" t="str">
        <f t="shared" si="1455"/>
        <v>99999</v>
      </c>
      <c r="B41712" s="1" t="str">
        <f>"57543"</f>
        <v>57543</v>
      </c>
      <c r="C41712" s="2">
        <v>1.75382642704634E-5</v>
      </c>
      <c r="D41712" s="2">
        <v>9.0342533716586405E-6</v>
      </c>
      <c r="E41712" s="2">
        <v>8.6021135392965999E-6</v>
      </c>
      <c r="F41712" s="2">
        <v>1.6775897495713701E-5</v>
      </c>
    </row>
    <row r="41713" spans="1:6" x14ac:dyDescent="0.25">
      <c r="A41713" s="1" t="str">
        <f t="shared" si="1455"/>
        <v>99999</v>
      </c>
      <c r="B41713" s="1" t="str">
        <f>"58045"</f>
        <v>58045</v>
      </c>
      <c r="C41713" s="2">
        <v>1.23309154346036E-4</v>
      </c>
      <c r="D41713" s="2">
        <v>5.7216938020504697E-5</v>
      </c>
      <c r="E41713" s="2">
        <v>1.97848611403821E-4</v>
      </c>
      <c r="F41713" s="2">
        <v>1.2068778021916399E-4</v>
      </c>
    </row>
    <row r="41714" spans="1:6" x14ac:dyDescent="0.25">
      <c r="A41714" s="1" t="str">
        <f t="shared" si="1455"/>
        <v>99999</v>
      </c>
      <c r="B41714" s="1" t="str">
        <f>"58057"</f>
        <v>58057</v>
      </c>
      <c r="C41714" s="2">
        <v>3.5726093884277301E-6</v>
      </c>
      <c r="D41714" s="2">
        <v>3.01141779055288E-6</v>
      </c>
      <c r="E41714" s="2">
        <v>8.6021135392965999E-6</v>
      </c>
      <c r="F41714" s="2">
        <v>3.6512247490671102E-6</v>
      </c>
    </row>
    <row r="41715" spans="1:6" x14ac:dyDescent="0.25">
      <c r="A41715" s="1" t="str">
        <f t="shared" si="1455"/>
        <v>99999</v>
      </c>
      <c r="B41715" s="1" t="str">
        <f>"57568"</f>
        <v>57568</v>
      </c>
      <c r="C41715" s="2">
        <v>1.42904375537109E-5</v>
      </c>
      <c r="D41715" s="2">
        <v>3.01141779055288E-6</v>
      </c>
      <c r="E41715" s="2">
        <v>8.6021135392965999E-6</v>
      </c>
      <c r="F41715" s="2">
        <v>1.3420717996571E-5</v>
      </c>
    </row>
    <row r="41716" spans="1:6" x14ac:dyDescent="0.25">
      <c r="A41716" s="1" t="str">
        <f t="shared" si="1455"/>
        <v>99999</v>
      </c>
      <c r="B41716" s="1" t="str">
        <f>"58068"</f>
        <v>58068</v>
      </c>
      <c r="C41716" s="2">
        <v>1.9053916738281199E-5</v>
      </c>
      <c r="D41716" s="2">
        <v>6.0228355811057601E-6</v>
      </c>
      <c r="E41716" s="2">
        <v>1.29031703089449E-5</v>
      </c>
      <c r="F41716" s="2">
        <v>1.80587602453859E-5</v>
      </c>
    </row>
    <row r="41717" spans="1:6" x14ac:dyDescent="0.25">
      <c r="A41717" s="1" t="str">
        <f t="shared" si="1455"/>
        <v>99999</v>
      </c>
      <c r="B41717" s="1" t="str">
        <f>"58069"</f>
        <v>58069</v>
      </c>
      <c r="C41717" s="2">
        <v>8.7691321352316998E-6</v>
      </c>
      <c r="D41717" s="2">
        <v>0</v>
      </c>
      <c r="E41717" s="2">
        <v>4.3010567696482999E-6</v>
      </c>
      <c r="F41717" s="2">
        <v>8.0919034979325103E-6</v>
      </c>
    </row>
    <row r="41718" spans="1:6" x14ac:dyDescent="0.25">
      <c r="A41718" s="1" t="str">
        <f t="shared" si="1455"/>
        <v>99999</v>
      </c>
      <c r="B41718" s="1" t="str">
        <f>"59833"</f>
        <v>59833</v>
      </c>
      <c r="C41718" s="2">
        <v>2.10459171245561E-4</v>
      </c>
      <c r="D41718" s="2">
        <v>1.2497383830794399E-4</v>
      </c>
      <c r="E41718" s="2">
        <v>2.8817080356643602E-4</v>
      </c>
      <c r="F41718" s="2">
        <v>2.0663958444720301E-4</v>
      </c>
    </row>
    <row r="41719" spans="1:6" x14ac:dyDescent="0.25">
      <c r="A41719" s="1" t="str">
        <f t="shared" si="1455"/>
        <v>99999</v>
      </c>
      <c r="B41719" s="1" t="str">
        <f>"59853"</f>
        <v>59853</v>
      </c>
      <c r="C41719" s="2">
        <v>4.7743052736261498E-5</v>
      </c>
      <c r="D41719" s="2">
        <v>2.4091342324423E-5</v>
      </c>
      <c r="E41719" s="2">
        <v>2.58063406178898E-5</v>
      </c>
      <c r="F41719" s="2">
        <v>4.5689650238326198E-5</v>
      </c>
    </row>
    <row r="41720" spans="1:6" x14ac:dyDescent="0.25">
      <c r="A41720" s="1" t="str">
        <f t="shared" si="1455"/>
        <v>99999</v>
      </c>
      <c r="B41720" s="1" t="str">
        <f>"58559"</f>
        <v>58559</v>
      </c>
      <c r="C41720" s="2">
        <v>1.26665241953346E-5</v>
      </c>
      <c r="D41720" s="2">
        <v>1.50570889527644E-6</v>
      </c>
      <c r="E41720" s="2">
        <v>2.15052838482415E-5</v>
      </c>
      <c r="F41720" s="2">
        <v>1.2137855246898699E-5</v>
      </c>
    </row>
    <row r="41721" spans="1:6" x14ac:dyDescent="0.25">
      <c r="A41721" s="1" t="str">
        <f t="shared" si="1455"/>
        <v>99999</v>
      </c>
      <c r="B41721" s="1" t="str">
        <f>"58771"</f>
        <v>58771</v>
      </c>
      <c r="C41721" s="2">
        <v>2.0894351877774301E-5</v>
      </c>
      <c r="D41721" s="2">
        <v>0</v>
      </c>
      <c r="E41721" s="2">
        <v>2.15052838482415E-5</v>
      </c>
      <c r="F41721" s="2">
        <v>1.95389864950077E-5</v>
      </c>
    </row>
    <row r="41722" spans="1:6" x14ac:dyDescent="0.25">
      <c r="A41722" s="1" t="str">
        <f t="shared" si="1455"/>
        <v>99999</v>
      </c>
      <c r="B41722" s="1" t="str">
        <f>"58535"</f>
        <v>58535</v>
      </c>
      <c r="C41722" s="2">
        <v>6.3873925429465503E-6</v>
      </c>
      <c r="D41722" s="2">
        <v>0</v>
      </c>
      <c r="E41722" s="2">
        <v>0</v>
      </c>
      <c r="F41722" s="2">
        <v>5.8222232485124198E-6</v>
      </c>
    </row>
    <row r="41723" spans="1:6" x14ac:dyDescent="0.25">
      <c r="A41723" s="1" t="str">
        <f t="shared" si="1455"/>
        <v>99999</v>
      </c>
      <c r="B41723" s="1" t="str">
        <f>"58784"</f>
        <v>58784</v>
      </c>
      <c r="C41723" s="2">
        <v>1.2092741475375E-4</v>
      </c>
      <c r="D41723" s="2">
        <v>1.06905331564627E-4</v>
      </c>
      <c r="E41723" s="2">
        <v>3.2688031449327001E-4</v>
      </c>
      <c r="F41723" s="2">
        <v>1.2473373196812999E-4</v>
      </c>
    </row>
    <row r="41724" spans="1:6" x14ac:dyDescent="0.25">
      <c r="A41724" s="1" t="str">
        <f t="shared" si="1455"/>
        <v>99999</v>
      </c>
      <c r="B41724" s="1" t="str">
        <f>"59046"</f>
        <v>59046</v>
      </c>
      <c r="C41724" s="2">
        <v>3.5617832993718898E-5</v>
      </c>
      <c r="D41724" s="2">
        <v>7.5285444763821999E-6</v>
      </c>
      <c r="E41724" s="2">
        <v>4.3010567696482999E-6</v>
      </c>
      <c r="F41724" s="2">
        <v>3.3058386241553498E-5</v>
      </c>
    </row>
    <row r="41725" spans="1:6" x14ac:dyDescent="0.25">
      <c r="A41725" s="1" t="str">
        <f t="shared" si="1455"/>
        <v>99999</v>
      </c>
      <c r="B41725" s="1" t="str">
        <f>"58831"</f>
        <v>58831</v>
      </c>
      <c r="C41725" s="2">
        <v>3.83243552576793E-5</v>
      </c>
      <c r="D41725" s="2">
        <v>7.9802571449651304E-5</v>
      </c>
      <c r="E41725" s="2">
        <v>2.5806340617889802E-4</v>
      </c>
      <c r="F41725" s="2">
        <v>4.60843772382254E-5</v>
      </c>
    </row>
    <row r="41726" spans="1:6" x14ac:dyDescent="0.25">
      <c r="A41726" s="1" t="str">
        <f t="shared" si="1455"/>
        <v>99999</v>
      </c>
      <c r="B41726" s="1" t="str">
        <f>"58630"</f>
        <v>58630</v>
      </c>
      <c r="C41726" s="2">
        <v>5.0882618562455504E-6</v>
      </c>
      <c r="D41726" s="2">
        <v>0</v>
      </c>
      <c r="E41726" s="2">
        <v>0</v>
      </c>
      <c r="F41726" s="2">
        <v>4.6380422488149798E-6</v>
      </c>
    </row>
    <row r="41727" spans="1:6" x14ac:dyDescent="0.25">
      <c r="A41727" s="1" t="str">
        <f t="shared" si="1455"/>
        <v>99999</v>
      </c>
      <c r="B41727" s="1" t="str">
        <f>"59451"</f>
        <v>59451</v>
      </c>
      <c r="C41727" s="2">
        <v>1.5373046459294999E-5</v>
      </c>
      <c r="D41727" s="2">
        <v>7.5285444763821999E-6</v>
      </c>
      <c r="E41727" s="2">
        <v>4.3010567696482999E-6</v>
      </c>
      <c r="F41727" s="2">
        <v>1.46048989962684E-5</v>
      </c>
    </row>
    <row r="41728" spans="1:6" x14ac:dyDescent="0.25">
      <c r="A41728" s="1" t="str">
        <f t="shared" si="1455"/>
        <v>99999</v>
      </c>
      <c r="B41728" s="1" t="str">
        <f>"59538"</f>
        <v>59538</v>
      </c>
      <c r="C41728" s="2">
        <v>1.41280462178733E-4</v>
      </c>
      <c r="D41728" s="2">
        <v>3.1619886800805203E-5</v>
      </c>
      <c r="E41728" s="2">
        <v>1.3333275985909701E-4</v>
      </c>
      <c r="F41728" s="2">
        <v>1.3391113471578501E-4</v>
      </c>
    </row>
    <row r="41729" spans="1:6" x14ac:dyDescent="0.25">
      <c r="A41729" s="1" t="str">
        <f t="shared" si="1455"/>
        <v>99999</v>
      </c>
      <c r="B41729" s="1" t="str">
        <f>"59457"</f>
        <v>59457</v>
      </c>
      <c r="C41729" s="2">
        <v>5.1174922966963296E-4</v>
      </c>
      <c r="D41729" s="2">
        <v>1.00882495983521E-3</v>
      </c>
      <c r="E41729" s="2">
        <v>8.4300712685106698E-4</v>
      </c>
      <c r="F41729" s="2">
        <v>5.5192702760898196E-4</v>
      </c>
    </row>
    <row r="41730" spans="1:6" x14ac:dyDescent="0.25">
      <c r="A41730" s="1" t="str">
        <f t="shared" si="1455"/>
        <v>99999</v>
      </c>
      <c r="B41730" s="1" t="str">
        <f>"59261"</f>
        <v>59261</v>
      </c>
      <c r="C41730" s="2">
        <v>1.18004370708673E-5</v>
      </c>
      <c r="D41730" s="2">
        <v>6.0228355811057601E-6</v>
      </c>
      <c r="E41730" s="2">
        <v>4.3010567696482999E-6</v>
      </c>
      <c r="F41730" s="2">
        <v>1.1249719497125601E-5</v>
      </c>
    </row>
    <row r="41731" spans="1:6" x14ac:dyDescent="0.25">
      <c r="A41731" s="1" t="str">
        <f t="shared" si="1455"/>
        <v>99999</v>
      </c>
      <c r="B41731" s="1" t="str">
        <f>"59453"</f>
        <v>59453</v>
      </c>
      <c r="C41731" s="2">
        <v>2.3167830579501E-5</v>
      </c>
      <c r="D41731" s="2">
        <v>0</v>
      </c>
      <c r="E41731" s="2">
        <v>4.3010567696482999E-6</v>
      </c>
      <c r="F41731" s="2">
        <v>2.12165762445791E-5</v>
      </c>
    </row>
    <row r="41732" spans="1:6" x14ac:dyDescent="0.25">
      <c r="A41732" s="1" t="str">
        <f t="shared" si="1455"/>
        <v>99999</v>
      </c>
      <c r="B41732" s="1" t="str">
        <f>"59736"</f>
        <v>59736</v>
      </c>
      <c r="C41732" s="2">
        <v>7.5782623390891299E-7</v>
      </c>
      <c r="D41732" s="2">
        <v>0</v>
      </c>
      <c r="E41732" s="2">
        <v>4.3010567696482999E-6</v>
      </c>
      <c r="F41732" s="2">
        <v>7.8945399979829395E-7</v>
      </c>
    </row>
    <row r="41733" spans="1:6" x14ac:dyDescent="0.25">
      <c r="A41733" s="1" t="str">
        <f t="shared" si="1455"/>
        <v>99999</v>
      </c>
      <c r="B41733" s="1" t="str">
        <f>"59739"</f>
        <v>59739</v>
      </c>
      <c r="C41733" s="2">
        <v>1.32078286481267E-5</v>
      </c>
      <c r="D41733" s="2">
        <v>1.50570889527644E-5</v>
      </c>
      <c r="E41733" s="2">
        <v>4.3010567696482999E-6</v>
      </c>
      <c r="F41733" s="2">
        <v>1.31246727466466E-5</v>
      </c>
    </row>
    <row r="41734" spans="1:6" x14ac:dyDescent="0.25">
      <c r="A41734" s="1" t="str">
        <f t="shared" ref="A41734:A41797" si="1456">"99999"</f>
        <v>99999</v>
      </c>
      <c r="B41734" s="1" t="str">
        <f>"59214"</f>
        <v>59214</v>
      </c>
      <c r="C41734" s="2">
        <v>8.9856539163485408E-6</v>
      </c>
      <c r="D41734" s="2">
        <v>4.5171266858293203E-6</v>
      </c>
      <c r="E41734" s="2">
        <v>4.3010567696482999E-6</v>
      </c>
      <c r="F41734" s="2">
        <v>8.5853122478064497E-6</v>
      </c>
    </row>
    <row r="41735" spans="1:6" x14ac:dyDescent="0.25">
      <c r="A41735" s="1" t="str">
        <f t="shared" si="1456"/>
        <v>99999</v>
      </c>
      <c r="B41735" s="1" t="str">
        <f>"59522"</f>
        <v>59522</v>
      </c>
      <c r="C41735" s="2">
        <v>5.5321315075350597E-5</v>
      </c>
      <c r="D41735" s="2">
        <v>2.4091342324423E-5</v>
      </c>
      <c r="E41735" s="2">
        <v>3.44084541571864E-5</v>
      </c>
      <c r="F41735" s="2">
        <v>5.2794736236510901E-5</v>
      </c>
    </row>
    <row r="41736" spans="1:6" x14ac:dyDescent="0.25">
      <c r="A41736" s="1" t="str">
        <f t="shared" si="1456"/>
        <v>99999</v>
      </c>
      <c r="B41736" s="1" t="str">
        <f>"58227"</f>
        <v>58227</v>
      </c>
      <c r="C41736" s="2">
        <v>3.1720440933615901E-5</v>
      </c>
      <c r="D41736" s="2">
        <v>7.5285444763821999E-6</v>
      </c>
      <c r="E41736" s="2">
        <v>2.15052838482415E-5</v>
      </c>
      <c r="F41736" s="2">
        <v>2.99005702423604E-5</v>
      </c>
    </row>
    <row r="41737" spans="1:6" x14ac:dyDescent="0.25">
      <c r="A41737" s="1" t="str">
        <f t="shared" si="1456"/>
        <v>99999</v>
      </c>
      <c r="B41737" s="1" t="str">
        <f>"58257"</f>
        <v>58257</v>
      </c>
      <c r="C41737" s="2">
        <v>1.26556981062788E-4</v>
      </c>
      <c r="D41737" s="2">
        <v>2.0929353644342499E-4</v>
      </c>
      <c r="E41737" s="2">
        <v>3.7849299572905002E-4</v>
      </c>
      <c r="F41737" s="2">
        <v>1.37759722964802E-4</v>
      </c>
    </row>
    <row r="41738" spans="1:6" x14ac:dyDescent="0.25">
      <c r="A41738" s="1" t="str">
        <f t="shared" si="1456"/>
        <v>99999</v>
      </c>
      <c r="B41738" s="1" t="str">
        <f>"58461"</f>
        <v>58461</v>
      </c>
      <c r="C41738" s="2">
        <v>3.5184789431485203E-5</v>
      </c>
      <c r="D41738" s="2">
        <v>1.20456711622115E-5</v>
      </c>
      <c r="E41738" s="2">
        <v>2.15052838482415E-5</v>
      </c>
      <c r="F41738" s="2">
        <v>3.3354431491477903E-5</v>
      </c>
    </row>
    <row r="41739" spans="1:6" x14ac:dyDescent="0.25">
      <c r="A41739" s="1" t="str">
        <f t="shared" si="1456"/>
        <v>99999</v>
      </c>
      <c r="B41739" s="1" t="str">
        <f>"58236"</f>
        <v>58236</v>
      </c>
      <c r="C41739" s="2">
        <v>2.1652178111683198E-6</v>
      </c>
      <c r="D41739" s="2">
        <v>1.50570889527644E-6</v>
      </c>
      <c r="E41739" s="2">
        <v>4.3010567696482999E-6</v>
      </c>
      <c r="F41739" s="2">
        <v>2.1709984994452998E-6</v>
      </c>
    </row>
    <row r="41740" spans="1:6" x14ac:dyDescent="0.25">
      <c r="A41740" s="1" t="str">
        <f t="shared" si="1456"/>
        <v>99999</v>
      </c>
      <c r="B41740" s="1" t="str">
        <f>"61567"</f>
        <v>61567</v>
      </c>
      <c r="C41740" s="2">
        <v>7.56743625003329E-5</v>
      </c>
      <c r="D41740" s="2">
        <v>2.55970512196994E-5</v>
      </c>
      <c r="E41740" s="2">
        <v>5.5913738005427898E-4</v>
      </c>
      <c r="F41740" s="2">
        <v>8.3484760478669595E-5</v>
      </c>
    </row>
    <row r="41741" spans="1:6" x14ac:dyDescent="0.25">
      <c r="A41741" s="1" t="str">
        <f t="shared" si="1456"/>
        <v>99999</v>
      </c>
      <c r="B41741" s="1" t="str">
        <f>"60960"</f>
        <v>60960</v>
      </c>
      <c r="C41741" s="2">
        <v>9.8517410408158696E-6</v>
      </c>
      <c r="D41741" s="2">
        <v>3.01141779055288E-6</v>
      </c>
      <c r="E41741" s="2">
        <v>4.3010567696482999E-6</v>
      </c>
      <c r="F41741" s="2">
        <v>9.2760844976299596E-6</v>
      </c>
    </row>
    <row r="41742" spans="1:6" x14ac:dyDescent="0.25">
      <c r="A41742" s="1" t="str">
        <f t="shared" si="1456"/>
        <v>99999</v>
      </c>
      <c r="B41742" s="1" t="str">
        <f>"60930"</f>
        <v>60930</v>
      </c>
      <c r="C41742" s="2">
        <v>3.37773978542258E-5</v>
      </c>
      <c r="D41742" s="2">
        <v>7.5285444763821999E-6</v>
      </c>
      <c r="E41742" s="2">
        <v>5.6773949359357502E-4</v>
      </c>
      <c r="F41742" s="2">
        <v>4.4308105738679202E-5</v>
      </c>
    </row>
    <row r="41743" spans="1:6" x14ac:dyDescent="0.25">
      <c r="A41743" s="1" t="str">
        <f t="shared" si="1456"/>
        <v>99999</v>
      </c>
      <c r="B41743" s="1" t="str">
        <f>"60962"</f>
        <v>60962</v>
      </c>
      <c r="C41743" s="2">
        <v>3.4210441416459502E-5</v>
      </c>
      <c r="D41743" s="2">
        <v>4.5171266858293199E-5</v>
      </c>
      <c r="E41743" s="2">
        <v>2.58063406178898E-5</v>
      </c>
      <c r="F41743" s="2">
        <v>3.4735975991124899E-5</v>
      </c>
    </row>
    <row r="41744" spans="1:6" x14ac:dyDescent="0.25">
      <c r="A41744" s="1" t="str">
        <f t="shared" si="1456"/>
        <v>99999</v>
      </c>
      <c r="B41744" s="1" t="str">
        <f>"62340"</f>
        <v>62340</v>
      </c>
      <c r="C41744" s="2">
        <v>9.1696974302978395E-5</v>
      </c>
      <c r="D41744" s="2">
        <v>5.2699811334675399E-5</v>
      </c>
      <c r="E41744" s="2">
        <v>7.7419021853669399E-5</v>
      </c>
      <c r="F41744" s="2">
        <v>8.8813574977308094E-5</v>
      </c>
    </row>
    <row r="41745" spans="1:6" x14ac:dyDescent="0.25">
      <c r="A41745" s="1" t="str">
        <f t="shared" si="1456"/>
        <v>99999</v>
      </c>
      <c r="B41745" s="1" t="str">
        <f>"62237"</f>
        <v>62237</v>
      </c>
      <c r="C41745" s="2">
        <v>1.3781611368086301E-4</v>
      </c>
      <c r="D41745" s="2">
        <v>5.5711229125228301E-5</v>
      </c>
      <c r="E41745" s="2">
        <v>6.0214794775076199E-5</v>
      </c>
      <c r="F41745" s="2">
        <v>1.30654636966617E-4</v>
      </c>
    </row>
    <row r="41746" spans="1:6" x14ac:dyDescent="0.25">
      <c r="A41746" s="1" t="str">
        <f t="shared" si="1456"/>
        <v>99999</v>
      </c>
      <c r="B41746" s="1" t="str">
        <f>"62323"</f>
        <v>62323</v>
      </c>
      <c r="C41746" s="2">
        <v>1.71052207082297E-5</v>
      </c>
      <c r="D41746" s="2">
        <v>4.5171266858293203E-6</v>
      </c>
      <c r="E41746" s="2">
        <v>4.3010567696482999E-6</v>
      </c>
      <c r="F41746" s="2">
        <v>1.5986443495915399E-5</v>
      </c>
    </row>
    <row r="41747" spans="1:6" x14ac:dyDescent="0.25">
      <c r="A41747" s="1" t="str">
        <f t="shared" si="1456"/>
        <v>99999</v>
      </c>
      <c r="B41747" s="1" t="str">
        <f>"61882"</f>
        <v>61882</v>
      </c>
      <c r="C41747" s="2">
        <v>3.30195716203169E-5</v>
      </c>
      <c r="D41747" s="2">
        <v>1.80685067433172E-5</v>
      </c>
      <c r="E41747" s="2">
        <v>0</v>
      </c>
      <c r="F41747" s="2">
        <v>3.1282114742007402E-5</v>
      </c>
    </row>
    <row r="41748" spans="1:6" x14ac:dyDescent="0.25">
      <c r="A41748" s="1" t="str">
        <f t="shared" si="1456"/>
        <v>99999</v>
      </c>
      <c r="B41748" s="1" t="str">
        <f>"61924"</f>
        <v>61924</v>
      </c>
      <c r="C41748" s="2">
        <v>1.16272196459738E-4</v>
      </c>
      <c r="D41748" s="2">
        <v>1.34008091679603E-4</v>
      </c>
      <c r="E41748" s="2">
        <v>2.58063406178898E-5</v>
      </c>
      <c r="F41748" s="2">
        <v>1.1535896572052499E-4</v>
      </c>
    </row>
    <row r="41749" spans="1:6" x14ac:dyDescent="0.25">
      <c r="A41749" s="1" t="str">
        <f t="shared" si="1456"/>
        <v>99999</v>
      </c>
      <c r="B41749" s="1" t="str">
        <f>"62094"</f>
        <v>62094</v>
      </c>
      <c r="C41749" s="2">
        <v>5.9651750697687297E-5</v>
      </c>
      <c r="D41749" s="2">
        <v>9.0342533716586405E-6</v>
      </c>
      <c r="E41749" s="2">
        <v>4.7311624466131299E-5</v>
      </c>
      <c r="F41749" s="2">
        <v>5.6051233985678898E-5</v>
      </c>
    </row>
    <row r="41750" spans="1:6" x14ac:dyDescent="0.25">
      <c r="A41750" s="1" t="str">
        <f t="shared" si="1456"/>
        <v>99999</v>
      </c>
      <c r="B41750" s="1" t="str">
        <f>"62016"</f>
        <v>62016</v>
      </c>
      <c r="C41750" s="2">
        <v>2.7325048776944203E-4</v>
      </c>
      <c r="D41750" s="2">
        <v>2.6952189225448199E-4</v>
      </c>
      <c r="E41750" s="2">
        <v>1.3333275985909701E-4</v>
      </c>
      <c r="F41750" s="2">
        <v>2.6979590443106701E-4</v>
      </c>
    </row>
    <row r="41751" spans="1:6" x14ac:dyDescent="0.25">
      <c r="A41751" s="1" t="str">
        <f t="shared" si="1456"/>
        <v>99999</v>
      </c>
      <c r="B41751" s="1" t="str">
        <f>"61933"</f>
        <v>61933</v>
      </c>
      <c r="C41751" s="2">
        <v>6.2033490289972406E-5</v>
      </c>
      <c r="D41751" s="2">
        <v>4.5171266858293199E-5</v>
      </c>
      <c r="E41751" s="2">
        <v>3.44084541571864E-5</v>
      </c>
      <c r="F41751" s="2">
        <v>6.0294549234594703E-5</v>
      </c>
    </row>
    <row r="41752" spans="1:6" x14ac:dyDescent="0.25">
      <c r="A41752" s="1" t="str">
        <f t="shared" si="1456"/>
        <v>99999</v>
      </c>
      <c r="B41752" s="1" t="str">
        <f>"63080"</f>
        <v>63080</v>
      </c>
      <c r="C41752" s="2">
        <v>1.86858297103826E-4</v>
      </c>
      <c r="D41752" s="2">
        <v>1.06905331564627E-4</v>
      </c>
      <c r="E41752" s="2">
        <v>1.5483804370733801E-4</v>
      </c>
      <c r="F41752" s="2">
        <v>1.8088364770378401E-4</v>
      </c>
    </row>
    <row r="41753" spans="1:6" x14ac:dyDescent="0.25">
      <c r="A41753" s="1" t="str">
        <f t="shared" si="1456"/>
        <v>99999</v>
      </c>
      <c r="B41753" s="1" t="str">
        <f>"53803"</f>
        <v>53803</v>
      </c>
      <c r="C41753" s="2">
        <v>6.6363925912309106E-5</v>
      </c>
      <c r="D41753" s="2">
        <v>4.2159849067740298E-5</v>
      </c>
      <c r="E41753" s="2">
        <v>6.0214794775076199E-5</v>
      </c>
      <c r="F41753" s="2">
        <v>6.4636546233485306E-5</v>
      </c>
    </row>
    <row r="41754" spans="1:6" x14ac:dyDescent="0.25">
      <c r="A41754" s="1" t="str">
        <f t="shared" si="1456"/>
        <v>99999</v>
      </c>
      <c r="B41754" s="1" t="str">
        <f>"53948"</f>
        <v>53948</v>
      </c>
      <c r="C41754" s="2">
        <v>4.7245052639692802E-4</v>
      </c>
      <c r="D41754" s="2">
        <v>5.2850382224203004E-4</v>
      </c>
      <c r="E41754" s="2">
        <v>8.0429761592423201E-4</v>
      </c>
      <c r="F41754" s="2">
        <v>4.8373793837640401E-4</v>
      </c>
    </row>
    <row r="41755" spans="1:6" x14ac:dyDescent="0.25">
      <c r="A41755" s="1" t="str">
        <f t="shared" si="1456"/>
        <v>99999</v>
      </c>
      <c r="B41755" s="1" t="str">
        <f>"53952"</f>
        <v>53952</v>
      </c>
      <c r="C41755" s="2">
        <v>2.1435656330566399E-4</v>
      </c>
      <c r="D41755" s="2">
        <v>3.4631304591358098E-5</v>
      </c>
      <c r="E41755" s="2">
        <v>4.7311624466131299E-5</v>
      </c>
      <c r="F41755" s="2">
        <v>1.9874504444922E-4</v>
      </c>
    </row>
    <row r="41756" spans="1:6" x14ac:dyDescent="0.25">
      <c r="A41756" s="1" t="str">
        <f t="shared" si="1456"/>
        <v>99999</v>
      </c>
      <c r="B41756" s="1" t="str">
        <f>"53924"</f>
        <v>53924</v>
      </c>
      <c r="C41756" s="2">
        <v>6.9720013519619997E-5</v>
      </c>
      <c r="D41756" s="2">
        <v>2.25856334291466E-5</v>
      </c>
      <c r="E41756" s="2">
        <v>4.3010567696482999E-5</v>
      </c>
      <c r="F41756" s="2">
        <v>6.6018090733132301E-5</v>
      </c>
    </row>
    <row r="41757" spans="1:6" x14ac:dyDescent="0.25">
      <c r="A41757" s="1" t="str">
        <f t="shared" si="1456"/>
        <v>99999</v>
      </c>
      <c r="B41757" s="1" t="str">
        <f>"52754"</f>
        <v>52754</v>
      </c>
      <c r="C41757" s="2">
        <v>3.39939196353426E-5</v>
      </c>
      <c r="D41757" s="2">
        <v>1.0539962266935E-5</v>
      </c>
      <c r="E41757" s="2">
        <v>4.3010567696482999E-6</v>
      </c>
      <c r="F41757" s="2">
        <v>3.17755234918813E-5</v>
      </c>
    </row>
    <row r="41758" spans="1:6" x14ac:dyDescent="0.25">
      <c r="A41758" s="1" t="str">
        <f t="shared" si="1456"/>
        <v>99999</v>
      </c>
      <c r="B41758" s="1" t="str">
        <f>"52653"</f>
        <v>52653</v>
      </c>
      <c r="C41758" s="2">
        <v>1.8729134066605899E-4</v>
      </c>
      <c r="D41758" s="2">
        <v>2.7102760114975901E-4</v>
      </c>
      <c r="E41758" s="2">
        <v>2.1505283848241501E-4</v>
      </c>
      <c r="F41758" s="2">
        <v>1.9341622995058201E-4</v>
      </c>
    </row>
    <row r="41759" spans="1:6" x14ac:dyDescent="0.25">
      <c r="A41759" s="1" t="str">
        <f t="shared" si="1456"/>
        <v>99999</v>
      </c>
      <c r="B41759" s="1" t="str">
        <f>"52576"</f>
        <v>52576</v>
      </c>
      <c r="C41759" s="2">
        <v>2.9555223122447599E-5</v>
      </c>
      <c r="D41759" s="2">
        <v>1.35513800574879E-5</v>
      </c>
      <c r="E41759" s="2">
        <v>8.6021135392965999E-6</v>
      </c>
      <c r="F41759" s="2">
        <v>2.8025616992839402E-5</v>
      </c>
    </row>
    <row r="41760" spans="1:6" x14ac:dyDescent="0.25">
      <c r="A41760" s="1" t="str">
        <f t="shared" si="1456"/>
        <v>99999</v>
      </c>
      <c r="B41760" s="1" t="str">
        <f>"52581"</f>
        <v>52581</v>
      </c>
      <c r="C41760" s="2">
        <v>1.9486960300514902E-5</v>
      </c>
      <c r="D41760" s="2">
        <v>1.0539962266935E-5</v>
      </c>
      <c r="E41760" s="2">
        <v>8.6021135392965999E-6</v>
      </c>
      <c r="F41760" s="2">
        <v>1.8650850745234699E-5</v>
      </c>
    </row>
    <row r="41761" spans="1:6" x14ac:dyDescent="0.25">
      <c r="A41761" s="1" t="str">
        <f t="shared" si="1456"/>
        <v>99999</v>
      </c>
      <c r="B41761" s="1" t="str">
        <f>"52551"</f>
        <v>52551</v>
      </c>
      <c r="C41761" s="2">
        <v>4.7851313626819901E-5</v>
      </c>
      <c r="D41761" s="2">
        <v>1.80685067433172E-5</v>
      </c>
      <c r="E41761" s="2">
        <v>2.58063406178898E-5</v>
      </c>
      <c r="F41761" s="2">
        <v>4.5393604988401902E-5</v>
      </c>
    </row>
    <row r="41762" spans="1:6" x14ac:dyDescent="0.25">
      <c r="A41762" s="1" t="str">
        <f t="shared" si="1456"/>
        <v>99999</v>
      </c>
      <c r="B41762" s="1" t="str">
        <f>"52761"</f>
        <v>52761</v>
      </c>
      <c r="C41762" s="2">
        <v>2.9771744903564399E-5</v>
      </c>
      <c r="D41762" s="2">
        <v>3.01141779055288E-6</v>
      </c>
      <c r="E41762" s="2">
        <v>8.6021135392965999E-6</v>
      </c>
      <c r="F41762" s="2">
        <v>2.7532208242965501E-5</v>
      </c>
    </row>
    <row r="41763" spans="1:6" x14ac:dyDescent="0.25">
      <c r="A41763" s="1" t="str">
        <f t="shared" si="1456"/>
        <v>99999</v>
      </c>
      <c r="B41763" s="1" t="str">
        <f>"52542"</f>
        <v>52542</v>
      </c>
      <c r="C41763" s="2">
        <v>2.68487008584872E-5</v>
      </c>
      <c r="D41763" s="2">
        <v>1.65627978480408E-5</v>
      </c>
      <c r="E41763" s="2">
        <v>1.72042270785932E-5</v>
      </c>
      <c r="F41763" s="2">
        <v>2.5953300243368901E-5</v>
      </c>
    </row>
    <row r="41764" spans="1:6" x14ac:dyDescent="0.25">
      <c r="A41764" s="1" t="str">
        <f t="shared" si="1456"/>
        <v>99999</v>
      </c>
      <c r="B41764" s="1" t="str">
        <f>"52136"</f>
        <v>52136</v>
      </c>
      <c r="C41764" s="2">
        <v>3.08435277200927E-4</v>
      </c>
      <c r="D41764" s="2">
        <v>4.0804711061991501E-4</v>
      </c>
      <c r="E41764" s="2">
        <v>2.9247186033608399E-4</v>
      </c>
      <c r="F41764" s="2">
        <v>3.1459741891961998E-4</v>
      </c>
    </row>
    <row r="41765" spans="1:6" x14ac:dyDescent="0.25">
      <c r="A41765" s="1" t="str">
        <f t="shared" si="1456"/>
        <v>99999</v>
      </c>
      <c r="B41765" s="1" t="str">
        <f>"52255"</f>
        <v>52255</v>
      </c>
      <c r="C41765" s="2">
        <v>4.3412617113924798E-5</v>
      </c>
      <c r="D41765" s="2">
        <v>7.5285444763821999E-6</v>
      </c>
      <c r="E41765" s="2">
        <v>2.15052838482415E-5</v>
      </c>
      <c r="F41765" s="2">
        <v>4.0558199239637301E-5</v>
      </c>
    </row>
    <row r="41766" spans="1:6" x14ac:dyDescent="0.25">
      <c r="A41766" s="1" t="str">
        <f t="shared" si="1456"/>
        <v>99999</v>
      </c>
      <c r="B41766" s="1" t="str">
        <f>"52335"</f>
        <v>52335</v>
      </c>
      <c r="C41766" s="2">
        <v>3.2153484495849597E-5</v>
      </c>
      <c r="D41766" s="2">
        <v>7.5285444763821999E-6</v>
      </c>
      <c r="E41766" s="2">
        <v>1.29031703089449E-5</v>
      </c>
      <c r="F41766" s="2">
        <v>3.0097933742309899E-5</v>
      </c>
    </row>
    <row r="41767" spans="1:6" x14ac:dyDescent="0.25">
      <c r="A41767" s="1" t="str">
        <f t="shared" si="1456"/>
        <v>99999</v>
      </c>
      <c r="B41767" s="1" t="str">
        <f>"52169"</f>
        <v>52169</v>
      </c>
      <c r="C41767" s="2">
        <v>1.9486960300514902E-5</v>
      </c>
      <c r="D41767" s="2">
        <v>0</v>
      </c>
      <c r="E41767" s="2">
        <v>4.3010567696482999E-6</v>
      </c>
      <c r="F41767" s="2">
        <v>1.7861396745436401E-5</v>
      </c>
    </row>
    <row r="41768" spans="1:6" x14ac:dyDescent="0.25">
      <c r="A41768" s="1" t="str">
        <f t="shared" si="1456"/>
        <v>99999</v>
      </c>
      <c r="B41768" s="1" t="str">
        <f>"52210"</f>
        <v>52210</v>
      </c>
      <c r="C41768" s="2">
        <v>3.4426963197576303E-5</v>
      </c>
      <c r="D41768" s="2">
        <v>9.0342533716586405E-6</v>
      </c>
      <c r="E41768" s="2">
        <v>2.15052838482415E-5</v>
      </c>
      <c r="F41768" s="2">
        <v>3.2466295741704798E-5</v>
      </c>
    </row>
    <row r="41769" spans="1:6" x14ac:dyDescent="0.25">
      <c r="A41769" s="1" t="str">
        <f t="shared" si="1456"/>
        <v>99999</v>
      </c>
      <c r="B41769" s="1" t="str">
        <f>"52221"</f>
        <v>52221</v>
      </c>
      <c r="C41769" s="2">
        <v>1.0393045493607899E-5</v>
      </c>
      <c r="D41769" s="2">
        <v>3.01141779055288E-6</v>
      </c>
      <c r="E41769" s="2">
        <v>0</v>
      </c>
      <c r="F41769" s="2">
        <v>9.6708114975291003E-6</v>
      </c>
    </row>
    <row r="41770" spans="1:6" x14ac:dyDescent="0.25">
      <c r="A41770" s="1" t="str">
        <f t="shared" si="1456"/>
        <v>99999</v>
      </c>
      <c r="B41770" s="1" t="str">
        <f>"52223"</f>
        <v>52223</v>
      </c>
      <c r="C41770" s="2">
        <v>8.0762624356578398E-5</v>
      </c>
      <c r="D41770" s="2">
        <v>2.25856334291466E-5</v>
      </c>
      <c r="E41770" s="2">
        <v>3.01073973875381E-5</v>
      </c>
      <c r="F41770" s="2">
        <v>7.5787583980636199E-5</v>
      </c>
    </row>
    <row r="41771" spans="1:6" x14ac:dyDescent="0.25">
      <c r="A41771" s="1" t="str">
        <f t="shared" si="1456"/>
        <v>99999</v>
      </c>
      <c r="B41771" s="1" t="str">
        <f>"52048"</f>
        <v>52048</v>
      </c>
      <c r="C41771" s="2">
        <v>1.8945655847722799E-5</v>
      </c>
      <c r="D41771" s="2">
        <v>1.35513800574879E-5</v>
      </c>
      <c r="E41771" s="2">
        <v>0</v>
      </c>
      <c r="F41771" s="2">
        <v>1.81574419953607E-5</v>
      </c>
    </row>
    <row r="41772" spans="1:6" x14ac:dyDescent="0.25">
      <c r="A41772" s="1" t="str">
        <f t="shared" si="1456"/>
        <v>99999</v>
      </c>
      <c r="B41772" s="1" t="str">
        <f>"52054"</f>
        <v>52054</v>
      </c>
      <c r="C41772" s="2">
        <v>4.00565295066139E-5</v>
      </c>
      <c r="D41772" s="2">
        <v>3.31255956960816E-5</v>
      </c>
      <c r="E41772" s="2">
        <v>1.72042270785932E-5</v>
      </c>
      <c r="F41772" s="2">
        <v>3.9077972990015501E-5</v>
      </c>
    </row>
    <row r="41773" spans="1:6" x14ac:dyDescent="0.25">
      <c r="A41773" s="1" t="str">
        <f t="shared" si="1456"/>
        <v>99999</v>
      </c>
      <c r="B41773" s="1" t="str">
        <f>"52049"</f>
        <v>52049</v>
      </c>
      <c r="C41773" s="2">
        <v>7.8380884764293302E-5</v>
      </c>
      <c r="D41773" s="2">
        <v>4.5171266858293199E-5</v>
      </c>
      <c r="E41773" s="2">
        <v>5.1612681235779599E-5</v>
      </c>
      <c r="F41773" s="2">
        <v>7.5590220480686605E-5</v>
      </c>
    </row>
    <row r="41774" spans="1:6" x14ac:dyDescent="0.25">
      <c r="A41774" s="1" t="str">
        <f t="shared" si="1456"/>
        <v>99999</v>
      </c>
      <c r="B41774" s="1" t="str">
        <f>"61053"</f>
        <v>61053</v>
      </c>
      <c r="C41774" s="2">
        <v>1.6260785761874099E-4</v>
      </c>
      <c r="D41774" s="2">
        <v>2.6801618335920601E-4</v>
      </c>
      <c r="E41774" s="2">
        <v>2.4085917910030401E-4</v>
      </c>
      <c r="F41774" s="2">
        <v>1.7131151795622899E-4</v>
      </c>
    </row>
    <row r="41775" spans="1:6" x14ac:dyDescent="0.25">
      <c r="A41775" s="1" t="str">
        <f t="shared" si="1456"/>
        <v>99999</v>
      </c>
      <c r="B41775" s="1" t="str">
        <f>"54755"</f>
        <v>54755</v>
      </c>
      <c r="C41775" s="2">
        <v>2.9674310102061801E-4</v>
      </c>
      <c r="D41775" s="2">
        <v>2.6952189225448199E-4</v>
      </c>
      <c r="E41775" s="2">
        <v>3.3118137126291901E-4</v>
      </c>
      <c r="F41775" s="2">
        <v>2.9574920467443603E-4</v>
      </c>
    </row>
    <row r="41776" spans="1:6" x14ac:dyDescent="0.25">
      <c r="A41776" s="1" t="str">
        <f t="shared" si="1456"/>
        <v>99999</v>
      </c>
      <c r="B41776" s="1" t="str">
        <f>"54747"</f>
        <v>54747</v>
      </c>
      <c r="C41776" s="2">
        <v>1.5232307301569101E-4</v>
      </c>
      <c r="D41776" s="2">
        <v>7.82968625543749E-5</v>
      </c>
      <c r="E41776" s="2">
        <v>3.13977144184326E-4</v>
      </c>
      <c r="F41776" s="2">
        <v>1.5118044096137299E-4</v>
      </c>
    </row>
    <row r="41777" spans="1:6" x14ac:dyDescent="0.25">
      <c r="A41777" s="1" t="str">
        <f t="shared" si="1456"/>
        <v>99999</v>
      </c>
      <c r="B41777" s="1" t="str">
        <f>"54731"</f>
        <v>54731</v>
      </c>
      <c r="C41777" s="2">
        <v>4.1572181974431801E-5</v>
      </c>
      <c r="D41777" s="2">
        <v>2.25856334291466E-5</v>
      </c>
      <c r="E41777" s="2">
        <v>3.44084541571864E-5</v>
      </c>
      <c r="F41777" s="2">
        <v>4.0163472239738201E-5</v>
      </c>
    </row>
    <row r="41778" spans="1:6" x14ac:dyDescent="0.25">
      <c r="A41778" s="1" t="str">
        <f t="shared" si="1456"/>
        <v>99999</v>
      </c>
      <c r="B41778" s="1" t="str">
        <f>"54827"</f>
        <v>54827</v>
      </c>
      <c r="C41778" s="2">
        <v>1.25582633047762E-5</v>
      </c>
      <c r="D41778" s="2">
        <v>4.5171266858293203E-6</v>
      </c>
      <c r="E41778" s="2">
        <v>4.3010567696482999E-6</v>
      </c>
      <c r="F41778" s="2">
        <v>1.18418099969744E-5</v>
      </c>
    </row>
    <row r="41779" spans="1:6" x14ac:dyDescent="0.25">
      <c r="A41779" s="1" t="str">
        <f t="shared" si="1456"/>
        <v>99999</v>
      </c>
      <c r="B41779" s="1" t="str">
        <f>"54768"</f>
        <v>54768</v>
      </c>
      <c r="C41779" s="2">
        <v>3.75665290237704E-5</v>
      </c>
      <c r="D41779" s="2">
        <v>2.55970512196994E-5</v>
      </c>
      <c r="E41779" s="2">
        <v>0</v>
      </c>
      <c r="F41779" s="2">
        <v>3.5920156990822301E-5</v>
      </c>
    </row>
    <row r="41780" spans="1:6" x14ac:dyDescent="0.25">
      <c r="A41780" s="1" t="str">
        <f t="shared" si="1456"/>
        <v>99999</v>
      </c>
      <c r="B41780" s="1" t="str">
        <f>"54757"</f>
        <v>54757</v>
      </c>
      <c r="C41780" s="2">
        <v>6.5281317006724894E-5</v>
      </c>
      <c r="D41780" s="2">
        <v>1.0539962266935E-5</v>
      </c>
      <c r="E41780" s="2">
        <v>1.72042270785932E-5</v>
      </c>
      <c r="F41780" s="2">
        <v>6.0590594484519101E-5</v>
      </c>
    </row>
    <row r="41781" spans="1:6" x14ac:dyDescent="0.25">
      <c r="A41781" s="1" t="str">
        <f t="shared" si="1456"/>
        <v>99999</v>
      </c>
      <c r="B41781" s="1" t="str">
        <f>"54846"</f>
        <v>54846</v>
      </c>
      <c r="C41781" s="2">
        <v>2.99882666846812E-5</v>
      </c>
      <c r="D41781" s="2">
        <v>7.5285444763821999E-6</v>
      </c>
      <c r="E41781" s="2">
        <v>1.29031703089449E-5</v>
      </c>
      <c r="F41781" s="2">
        <v>2.8124298742814199E-5</v>
      </c>
    </row>
    <row r="41782" spans="1:6" x14ac:dyDescent="0.25">
      <c r="A41782" s="1" t="str">
        <f t="shared" si="1456"/>
        <v>99999</v>
      </c>
      <c r="B41782" s="1" t="str">
        <f>"54651"</f>
        <v>54651</v>
      </c>
      <c r="C41782" s="2">
        <v>7.2210014002463497E-5</v>
      </c>
      <c r="D41782" s="2">
        <v>9.0342533716586405E-6</v>
      </c>
      <c r="E41782" s="2">
        <v>9.4623248932262599E-5</v>
      </c>
      <c r="F41782" s="2">
        <v>6.8583816232476794E-5</v>
      </c>
    </row>
    <row r="41783" spans="1:6" x14ac:dyDescent="0.25">
      <c r="A41783" s="1" t="str">
        <f t="shared" si="1456"/>
        <v>99999</v>
      </c>
      <c r="B41783" s="1" t="str">
        <f>"54868"</f>
        <v>54868</v>
      </c>
      <c r="C41783" s="2">
        <v>8.9380191245028303E-4</v>
      </c>
      <c r="D41783" s="2">
        <v>1.50420318638116E-3</v>
      </c>
      <c r="E41783" s="2">
        <v>1.59139100476987E-3</v>
      </c>
      <c r="F41783" s="2">
        <v>9.4981184350732297E-4</v>
      </c>
    </row>
    <row r="41784" spans="1:6" x14ac:dyDescent="0.25">
      <c r="A41784" s="1" t="str">
        <f t="shared" si="1456"/>
        <v>99999</v>
      </c>
      <c r="B41784" s="1" t="str">
        <f>"54893"</f>
        <v>54893</v>
      </c>
      <c r="C41784" s="2">
        <v>3.2673136770529902E-4</v>
      </c>
      <c r="D41784" s="2">
        <v>1.3551380057487899E-4</v>
      </c>
      <c r="E41784" s="2">
        <v>7.3117965084021106E-5</v>
      </c>
      <c r="F41784" s="2">
        <v>3.0838046867120799E-4</v>
      </c>
    </row>
    <row r="41785" spans="1:6" x14ac:dyDescent="0.25">
      <c r="A41785" s="1" t="str">
        <f t="shared" si="1456"/>
        <v>99999</v>
      </c>
      <c r="B41785" s="1" t="str">
        <f>"54875"</f>
        <v>54875</v>
      </c>
      <c r="C41785" s="2">
        <v>7.4050449141956602E-5</v>
      </c>
      <c r="D41785" s="2">
        <v>1.80685067433172E-5</v>
      </c>
      <c r="E41785" s="2">
        <v>4.3010567696482999E-6</v>
      </c>
      <c r="F41785" s="2">
        <v>6.8781179732426402E-5</v>
      </c>
    </row>
    <row r="41786" spans="1:6" x14ac:dyDescent="0.25">
      <c r="A41786" s="1" t="str">
        <f t="shared" si="1456"/>
        <v>99999</v>
      </c>
      <c r="B41786" s="1" t="str">
        <f>"54895"</f>
        <v>54895</v>
      </c>
      <c r="C41786" s="2">
        <v>7.5999145172008097E-5</v>
      </c>
      <c r="D41786" s="2">
        <v>2.4091342324423E-5</v>
      </c>
      <c r="E41786" s="2">
        <v>1.72042270785932E-5</v>
      </c>
      <c r="F41786" s="2">
        <v>7.1248223481795996E-5</v>
      </c>
    </row>
    <row r="41787" spans="1:6" x14ac:dyDescent="0.25">
      <c r="A41787" s="1" t="str">
        <f t="shared" si="1456"/>
        <v>99999</v>
      </c>
      <c r="B41787" s="1" t="str">
        <f>"54616"</f>
        <v>54616</v>
      </c>
      <c r="C41787" s="2">
        <v>1.3067089490400799E-4</v>
      </c>
      <c r="D41787" s="2">
        <v>3.1619886800805203E-5</v>
      </c>
      <c r="E41787" s="2">
        <v>1.67741214016283E-4</v>
      </c>
      <c r="F41787" s="2">
        <v>1.2502977721805399E-4</v>
      </c>
    </row>
    <row r="41788" spans="1:6" x14ac:dyDescent="0.25">
      <c r="A41788" s="1" t="str">
        <f t="shared" si="1456"/>
        <v>99999</v>
      </c>
      <c r="B41788" s="1" t="str">
        <f>"54624"</f>
        <v>54624</v>
      </c>
      <c r="C41788" s="2">
        <v>9.6676975268665598E-5</v>
      </c>
      <c r="D41788" s="2">
        <v>1.9574215638593701E-5</v>
      </c>
      <c r="E41788" s="2">
        <v>6.4515851544724506E-5</v>
      </c>
      <c r="F41788" s="2">
        <v>9.0885891726778594E-5</v>
      </c>
    </row>
    <row r="41789" spans="1:6" x14ac:dyDescent="0.25">
      <c r="A41789" s="1" t="str">
        <f t="shared" si="1456"/>
        <v>99999</v>
      </c>
      <c r="B41789" s="1" t="str">
        <f>"54618"</f>
        <v>54618</v>
      </c>
      <c r="C41789" s="2">
        <v>1.2298437167435999E-4</v>
      </c>
      <c r="D41789" s="2">
        <v>4.2159849067740298E-5</v>
      </c>
      <c r="E41789" s="2">
        <v>1.16128532780504E-4</v>
      </c>
      <c r="F41789" s="2">
        <v>1.17529964219971E-4</v>
      </c>
    </row>
    <row r="41790" spans="1:6" x14ac:dyDescent="0.25">
      <c r="A41790" s="1" t="str">
        <f t="shared" si="1456"/>
        <v>99999</v>
      </c>
      <c r="B41790" s="1" t="str">
        <f>"54637"</f>
        <v>54637</v>
      </c>
      <c r="C41790" s="2">
        <v>4.3304356223366396E-6</v>
      </c>
      <c r="D41790" s="2">
        <v>1.0539962266935E-5</v>
      </c>
      <c r="E41790" s="2">
        <v>0</v>
      </c>
      <c r="F41790" s="2">
        <v>4.6380422488149798E-6</v>
      </c>
    </row>
    <row r="41791" spans="1:6" x14ac:dyDescent="0.25">
      <c r="A41791" s="1" t="str">
        <f t="shared" si="1456"/>
        <v>99999</v>
      </c>
      <c r="B41791" s="1" t="str">
        <f>"54480"</f>
        <v>54480</v>
      </c>
      <c r="C41791" s="2">
        <v>5.8352620010986298E-5</v>
      </c>
      <c r="D41791" s="2">
        <v>2.4091342324423E-5</v>
      </c>
      <c r="E41791" s="2">
        <v>3.01073973875381E-5</v>
      </c>
      <c r="F41791" s="2">
        <v>5.5459143485830102E-5</v>
      </c>
    </row>
    <row r="41792" spans="1:6" x14ac:dyDescent="0.25">
      <c r="A41792" s="1" t="str">
        <f t="shared" si="1456"/>
        <v>99999</v>
      </c>
      <c r="B41792" s="1" t="str">
        <f>"54436"</f>
        <v>54436</v>
      </c>
      <c r="C41792" s="2">
        <v>9.6243931706431902E-5</v>
      </c>
      <c r="D41792" s="2">
        <v>3.7642722381910999E-5</v>
      </c>
      <c r="E41792" s="2">
        <v>2.15052838482415E-5</v>
      </c>
      <c r="F41792" s="2">
        <v>9.0688528226829E-5</v>
      </c>
    </row>
    <row r="41793" spans="1:6" x14ac:dyDescent="0.25">
      <c r="A41793" s="1" t="str">
        <f t="shared" si="1456"/>
        <v>99999</v>
      </c>
      <c r="B41793" s="1" t="str">
        <f>"54462"</f>
        <v>54462</v>
      </c>
      <c r="C41793" s="2">
        <v>3.4860006759809999E-5</v>
      </c>
      <c r="D41793" s="2">
        <v>4.5171266858293203E-6</v>
      </c>
      <c r="E41793" s="2">
        <v>1.29031703089449E-5</v>
      </c>
      <c r="F41793" s="2">
        <v>3.236761399173E-5</v>
      </c>
    </row>
    <row r="41794" spans="1:6" x14ac:dyDescent="0.25">
      <c r="A41794" s="1" t="str">
        <f t="shared" si="1456"/>
        <v>99999</v>
      </c>
      <c r="B41794" s="1" t="str">
        <f>"54428"</f>
        <v>54428</v>
      </c>
      <c r="C41794" s="2">
        <v>1.0068262821932701E-4</v>
      </c>
      <c r="D41794" s="2">
        <v>3.6137013486634501E-5</v>
      </c>
      <c r="E41794" s="2">
        <v>1.29031703089449E-5</v>
      </c>
      <c r="F41794" s="2">
        <v>9.4438434725870895E-5</v>
      </c>
    </row>
    <row r="41795" spans="1:6" x14ac:dyDescent="0.25">
      <c r="A41795" s="1" t="str">
        <f t="shared" si="1456"/>
        <v>99999</v>
      </c>
      <c r="B41795" s="1" t="str">
        <f>"54512"</f>
        <v>54512</v>
      </c>
      <c r="C41795" s="2">
        <v>6.5389577897283297E-5</v>
      </c>
      <c r="D41795" s="2">
        <v>5.7216938020504697E-5</v>
      </c>
      <c r="E41795" s="2">
        <v>5.5913738005427899E-5</v>
      </c>
      <c r="F41795" s="2">
        <v>6.4636546233485306E-5</v>
      </c>
    </row>
    <row r="41796" spans="1:6" x14ac:dyDescent="0.25">
      <c r="A41796" s="1" t="str">
        <f t="shared" si="1456"/>
        <v>99999</v>
      </c>
      <c r="B41796" s="1" t="str">
        <f>"54465"</f>
        <v>54465</v>
      </c>
      <c r="C41796" s="2">
        <v>6.7879578380126906E-5</v>
      </c>
      <c r="D41796" s="2">
        <v>9.0342533716586405E-6</v>
      </c>
      <c r="E41796" s="2">
        <v>8.6021135392965999E-6</v>
      </c>
      <c r="F41796" s="2">
        <v>6.2662911233989595E-5</v>
      </c>
    </row>
    <row r="41797" spans="1:6" x14ac:dyDescent="0.25">
      <c r="A41797" s="1" t="str">
        <f t="shared" si="1456"/>
        <v>99999</v>
      </c>
      <c r="B41797" s="1" t="str">
        <f>"55615"</f>
        <v>55615</v>
      </c>
      <c r="C41797" s="2">
        <v>9.4186974785821993E-6</v>
      </c>
      <c r="D41797" s="2">
        <v>3.01141779055288E-6</v>
      </c>
      <c r="E41797" s="2">
        <v>4.3010567696482999E-6</v>
      </c>
      <c r="F41797" s="2">
        <v>8.8813574977308104E-6</v>
      </c>
    </row>
    <row r="41798" spans="1:6" x14ac:dyDescent="0.25">
      <c r="A41798" s="1" t="str">
        <f t="shared" ref="A41798:A41861" si="1457">"99999"</f>
        <v>99999</v>
      </c>
      <c r="B41798" s="1" t="str">
        <f>"57249"</f>
        <v>57249</v>
      </c>
      <c r="C41798" s="2">
        <v>6.3765664538907094E-5</v>
      </c>
      <c r="D41798" s="2">
        <v>2.4091342324423E-5</v>
      </c>
      <c r="E41798" s="2">
        <v>1.3333275985909701E-4</v>
      </c>
      <c r="F41798" s="2">
        <v>6.2761592983964399E-5</v>
      </c>
    </row>
    <row r="41799" spans="1:6" x14ac:dyDescent="0.25">
      <c r="A41799" s="1" t="str">
        <f t="shared" si="1457"/>
        <v>99999</v>
      </c>
      <c r="B41799" s="1" t="str">
        <f>"57059"</f>
        <v>57059</v>
      </c>
      <c r="C41799" s="2">
        <v>6.7987839270685296E-5</v>
      </c>
      <c r="D41799" s="2">
        <v>4.6676975753569603E-5</v>
      </c>
      <c r="E41799" s="2">
        <v>3.44084541571864E-5</v>
      </c>
      <c r="F41799" s="2">
        <v>6.5820727233182802E-5</v>
      </c>
    </row>
    <row r="41800" spans="1:6" x14ac:dyDescent="0.25">
      <c r="A41800" s="1" t="str">
        <f t="shared" si="1457"/>
        <v>99999</v>
      </c>
      <c r="B41800" s="1" t="str">
        <f>"57237"</f>
        <v>57237</v>
      </c>
      <c r="C41800" s="2">
        <v>3.8432616148237697E-5</v>
      </c>
      <c r="D41800" s="2">
        <v>1.0539962266935E-5</v>
      </c>
      <c r="E41800" s="2">
        <v>4.7311624466131299E-5</v>
      </c>
      <c r="F41800" s="2">
        <v>3.68082927405954E-5</v>
      </c>
    </row>
    <row r="41801" spans="1:6" x14ac:dyDescent="0.25">
      <c r="A41801" s="1" t="str">
        <f t="shared" si="1457"/>
        <v>99999</v>
      </c>
      <c r="B41801" s="1" t="str">
        <f>"57258"</f>
        <v>57258</v>
      </c>
      <c r="C41801" s="2">
        <v>1.0393045493607899E-5</v>
      </c>
      <c r="D41801" s="2">
        <v>6.0228355811057601E-6</v>
      </c>
      <c r="E41801" s="2">
        <v>8.6021135392965999E-6</v>
      </c>
      <c r="F41801" s="2">
        <v>1.00655384974282E-5</v>
      </c>
    </row>
    <row r="41802" spans="1:6" x14ac:dyDescent="0.25">
      <c r="A41802" s="1" t="str">
        <f t="shared" si="1457"/>
        <v>99999</v>
      </c>
      <c r="B41802" s="1" t="str">
        <f>"57219"</f>
        <v>57219</v>
      </c>
      <c r="C41802" s="2">
        <v>2.78230488735129E-5</v>
      </c>
      <c r="D41802" s="2">
        <v>1.65627978480408E-5</v>
      </c>
      <c r="E41802" s="2">
        <v>4.7311624466131299E-5</v>
      </c>
      <c r="F41802" s="2">
        <v>2.7532208242965501E-5</v>
      </c>
    </row>
    <row r="41803" spans="1:6" x14ac:dyDescent="0.25">
      <c r="A41803" s="1" t="str">
        <f t="shared" si="1457"/>
        <v>99999</v>
      </c>
      <c r="B41803" s="1" t="str">
        <f>"57369"</f>
        <v>57369</v>
      </c>
      <c r="C41803" s="2">
        <v>9.8084366845924994E-5</v>
      </c>
      <c r="D41803" s="2">
        <v>6.4745482496886904E-5</v>
      </c>
      <c r="E41803" s="2">
        <v>1.2042958955015201E-4</v>
      </c>
      <c r="F41803" s="2">
        <v>9.64120697253667E-5</v>
      </c>
    </row>
    <row r="41804" spans="1:6" x14ac:dyDescent="0.25">
      <c r="A41804" s="1" t="str">
        <f t="shared" si="1457"/>
        <v>99999</v>
      </c>
      <c r="B41804" s="1" t="str">
        <f>"57362"</f>
        <v>57362</v>
      </c>
      <c r="C41804" s="2">
        <v>1.2417524147050301E-4</v>
      </c>
      <c r="D41804" s="2">
        <v>2.6349905667337698E-4</v>
      </c>
      <c r="E41804" s="2">
        <v>2.5806340617889802E-4</v>
      </c>
      <c r="F41804" s="2">
        <v>1.36378178465155E-4</v>
      </c>
    </row>
    <row r="41805" spans="1:6" x14ac:dyDescent="0.25">
      <c r="A41805" s="1" t="str">
        <f t="shared" si="1457"/>
        <v>99999</v>
      </c>
      <c r="B41805" s="1" t="str">
        <f>"57227"</f>
        <v>57227</v>
      </c>
      <c r="C41805" s="2">
        <v>2.2734787017267301E-5</v>
      </c>
      <c r="D41805" s="2">
        <v>1.50570889527644E-6</v>
      </c>
      <c r="E41805" s="2">
        <v>2.15052838482415E-5</v>
      </c>
      <c r="F41805" s="2">
        <v>2.1315257994553901E-5</v>
      </c>
    </row>
    <row r="41806" spans="1:6" x14ac:dyDescent="0.25">
      <c r="A41806" s="1" t="str">
        <f t="shared" si="1457"/>
        <v>99999</v>
      </c>
      <c r="B41806" s="1" t="str">
        <f>"57373"</f>
        <v>57373</v>
      </c>
      <c r="C41806" s="2">
        <v>2.2734787017267301E-5</v>
      </c>
      <c r="D41806" s="2">
        <v>6.0228355811057601E-6</v>
      </c>
      <c r="E41806" s="2">
        <v>4.3010567696482999E-6</v>
      </c>
      <c r="F41806" s="2">
        <v>2.12165762445791E-5</v>
      </c>
    </row>
    <row r="41807" spans="1:6" x14ac:dyDescent="0.25">
      <c r="A41807" s="1" t="str">
        <f t="shared" si="1457"/>
        <v>99999</v>
      </c>
      <c r="B41807" s="1" t="str">
        <f>"57380"</f>
        <v>57380</v>
      </c>
      <c r="C41807" s="2">
        <v>1.2363393701771101E-4</v>
      </c>
      <c r="D41807" s="2">
        <v>8.88368248213099E-5</v>
      </c>
      <c r="E41807" s="2">
        <v>1.8064438432522799E-4</v>
      </c>
      <c r="F41807" s="2">
        <v>1.2266141521866E-4</v>
      </c>
    </row>
    <row r="41808" spans="1:6" x14ac:dyDescent="0.25">
      <c r="A41808" s="1" t="str">
        <f t="shared" si="1457"/>
        <v>99999</v>
      </c>
      <c r="B41808" s="1" t="str">
        <f>"57263"</f>
        <v>57263</v>
      </c>
      <c r="C41808" s="2">
        <v>2.7065222639604001E-6</v>
      </c>
      <c r="D41808" s="2">
        <v>0</v>
      </c>
      <c r="E41808" s="2">
        <v>0</v>
      </c>
      <c r="F41808" s="2">
        <v>2.4670437493696702E-6</v>
      </c>
    </row>
    <row r="41809" spans="1:6" x14ac:dyDescent="0.25">
      <c r="A41809" s="1" t="str">
        <f t="shared" si="1457"/>
        <v>99999</v>
      </c>
      <c r="B41809" s="1" t="str">
        <f>"56283"</f>
        <v>56283</v>
      </c>
      <c r="C41809" s="2">
        <v>3.5260572054876099E-4</v>
      </c>
      <c r="D41809" s="2">
        <v>5.7969792468142898E-4</v>
      </c>
      <c r="E41809" s="2">
        <v>6.1935217482935497E-4</v>
      </c>
      <c r="F41809" s="2">
        <v>3.7360910540454198E-4</v>
      </c>
    </row>
    <row r="41810" spans="1:6" x14ac:dyDescent="0.25">
      <c r="A41810" s="1" t="str">
        <f t="shared" si="1457"/>
        <v>99999</v>
      </c>
      <c r="B41810" s="1" t="str">
        <f>"56347"</f>
        <v>56347</v>
      </c>
      <c r="C41810" s="2">
        <v>3.3744919587058302E-4</v>
      </c>
      <c r="D41810" s="2">
        <v>4.4267841521127298E-4</v>
      </c>
      <c r="E41810" s="2">
        <v>7.6558810499739705E-4</v>
      </c>
      <c r="F41810" s="2">
        <v>3.5416880065950899E-4</v>
      </c>
    </row>
    <row r="41811" spans="1:6" x14ac:dyDescent="0.25">
      <c r="A41811" s="1" t="str">
        <f t="shared" si="1457"/>
        <v>99999</v>
      </c>
      <c r="B41811" s="1" t="str">
        <f>"56278"</f>
        <v>56278</v>
      </c>
      <c r="C41811" s="2">
        <v>1.73650468455699E-4</v>
      </c>
      <c r="D41811" s="2">
        <v>3.4480733701830398E-4</v>
      </c>
      <c r="E41811" s="2">
        <v>2.49461292639601E-4</v>
      </c>
      <c r="F41811" s="2">
        <v>1.86607189202321E-4</v>
      </c>
    </row>
    <row r="41812" spans="1:6" x14ac:dyDescent="0.25">
      <c r="A41812" s="1" t="str">
        <f t="shared" si="1457"/>
        <v>99999</v>
      </c>
      <c r="B41812" s="1" t="str">
        <f>"56373"</f>
        <v>56373</v>
      </c>
      <c r="C41812" s="2">
        <v>1.26015676609996E-4</v>
      </c>
      <c r="D41812" s="2">
        <v>4.2159849067740298E-5</v>
      </c>
      <c r="E41812" s="2">
        <v>1.03225362471559E-4</v>
      </c>
      <c r="F41812" s="2">
        <v>1.1999700796934E-4</v>
      </c>
    </row>
    <row r="41813" spans="1:6" x14ac:dyDescent="0.25">
      <c r="A41813" s="1" t="str">
        <f t="shared" si="1457"/>
        <v>99999</v>
      </c>
      <c r="B41813" s="1" t="str">
        <f>"56467"</f>
        <v>56467</v>
      </c>
      <c r="C41813" s="2">
        <v>2.19986129614701E-4</v>
      </c>
      <c r="D41813" s="2">
        <v>7.0768318077992694E-5</v>
      </c>
      <c r="E41813" s="2">
        <v>6.8816908314372799E-5</v>
      </c>
      <c r="F41813" s="2">
        <v>2.06738266197178E-4</v>
      </c>
    </row>
    <row r="41814" spans="1:6" x14ac:dyDescent="0.25">
      <c r="A41814" s="1" t="str">
        <f t="shared" si="1457"/>
        <v>99999</v>
      </c>
      <c r="B41814" s="1" t="str">
        <f>"56466"</f>
        <v>56466</v>
      </c>
      <c r="C41814" s="2">
        <v>1.1551437022583001E-4</v>
      </c>
      <c r="D41814" s="2">
        <v>5.5711229125228301E-5</v>
      </c>
      <c r="E41814" s="2">
        <v>6.8816908314372799E-5</v>
      </c>
      <c r="F41814" s="2">
        <v>1.10523559971761E-4</v>
      </c>
    </row>
    <row r="41815" spans="1:6" x14ac:dyDescent="0.25">
      <c r="A41815" s="1" t="str">
        <f t="shared" si="1457"/>
        <v>99999</v>
      </c>
      <c r="B41815" s="1" t="str">
        <f>"56511"</f>
        <v>56511</v>
      </c>
      <c r="C41815" s="2">
        <v>1.18437414270907E-4</v>
      </c>
      <c r="D41815" s="2">
        <v>3.31255956960816E-5</v>
      </c>
      <c r="E41815" s="2">
        <v>6.8816908314372799E-5</v>
      </c>
      <c r="F41815" s="2">
        <v>1.11707740971458E-4</v>
      </c>
    </row>
    <row r="41816" spans="1:6" x14ac:dyDescent="0.25">
      <c r="A41816" s="1" t="str">
        <f t="shared" si="1457"/>
        <v>99999</v>
      </c>
      <c r="B41816" s="1" t="str">
        <f>"56475"</f>
        <v>56475</v>
      </c>
      <c r="C41816" s="2">
        <v>8.7799582242875499E-5</v>
      </c>
      <c r="D41816" s="2">
        <v>3.7642722381910999E-5</v>
      </c>
      <c r="E41816" s="2">
        <v>3.8709510926834699E-5</v>
      </c>
      <c r="F41816" s="2">
        <v>8.3386078728694805E-5</v>
      </c>
    </row>
    <row r="41817" spans="1:6" x14ac:dyDescent="0.25">
      <c r="A41817" s="1" t="str">
        <f t="shared" si="1457"/>
        <v>99999</v>
      </c>
      <c r="B41817" s="1" t="str">
        <f>"47515"</f>
        <v>47515</v>
      </c>
      <c r="C41817" s="2">
        <v>5.6620445762051603E-5</v>
      </c>
      <c r="D41817" s="2">
        <v>1.9574215638593701E-5</v>
      </c>
      <c r="E41817" s="2">
        <v>2.15052838482415E-5</v>
      </c>
      <c r="F41817" s="2">
        <v>5.3386826736359602E-5</v>
      </c>
    </row>
    <row r="41818" spans="1:6" x14ac:dyDescent="0.25">
      <c r="A41818" s="1" t="str">
        <f t="shared" si="1457"/>
        <v>99999</v>
      </c>
      <c r="B41818" s="1" t="str">
        <f>"47354"</f>
        <v>47354</v>
      </c>
      <c r="C41818" s="2">
        <v>3.0204788465798102E-5</v>
      </c>
      <c r="D41818" s="2">
        <v>2.25856334291466E-5</v>
      </c>
      <c r="E41818" s="2">
        <v>2.15052838482415E-5</v>
      </c>
      <c r="F41818" s="2">
        <v>2.9505843242461201E-5</v>
      </c>
    </row>
    <row r="41819" spans="1:6" x14ac:dyDescent="0.25">
      <c r="A41819" s="1" t="str">
        <f t="shared" si="1457"/>
        <v>99999</v>
      </c>
      <c r="B41819" s="1" t="str">
        <f>"47358"</f>
        <v>47358</v>
      </c>
      <c r="C41819" s="2">
        <v>3.9623485944380299E-5</v>
      </c>
      <c r="D41819" s="2">
        <v>1.80685067433172E-5</v>
      </c>
      <c r="E41819" s="2">
        <v>1.2688117470462401E-3</v>
      </c>
      <c r="F41819" s="2">
        <v>6.6412817733031503E-5</v>
      </c>
    </row>
    <row r="41820" spans="1:6" x14ac:dyDescent="0.25">
      <c r="A41820" s="1" t="str">
        <f t="shared" si="1457"/>
        <v>99999</v>
      </c>
      <c r="B41820" s="1" t="str">
        <f>"47579"</f>
        <v>47579</v>
      </c>
      <c r="C41820" s="2">
        <v>1.3283611271517601E-4</v>
      </c>
      <c r="D41820" s="2">
        <v>6.3239773601610501E-5</v>
      </c>
      <c r="E41820" s="2">
        <v>1.4623593016804199E-4</v>
      </c>
      <c r="F41820" s="2">
        <v>1.2858232021714701E-4</v>
      </c>
    </row>
    <row r="41821" spans="1:6" x14ac:dyDescent="0.25">
      <c r="A41821" s="1" t="str">
        <f t="shared" si="1457"/>
        <v>99999</v>
      </c>
      <c r="B41821" s="1" t="str">
        <f>"47531"</f>
        <v>47531</v>
      </c>
      <c r="C41821" s="2">
        <v>4.8392618079612001E-5</v>
      </c>
      <c r="D41821" s="2">
        <v>1.50570889527644E-5</v>
      </c>
      <c r="E41821" s="2">
        <v>0</v>
      </c>
      <c r="F41821" s="2">
        <v>4.5097559738477497E-5</v>
      </c>
    </row>
    <row r="41822" spans="1:6" x14ac:dyDescent="0.25">
      <c r="A41822" s="1" t="str">
        <f t="shared" si="1457"/>
        <v>99999</v>
      </c>
      <c r="B41822" s="1" t="str">
        <f>"47926"</f>
        <v>47926</v>
      </c>
      <c r="C41822" s="2">
        <v>3.6375659227627798E-5</v>
      </c>
      <c r="D41822" s="2">
        <v>1.65627978480408E-5</v>
      </c>
      <c r="E41822" s="2">
        <v>8.6021135392965999E-6</v>
      </c>
      <c r="F41822" s="2">
        <v>3.4439930741200501E-5</v>
      </c>
    </row>
    <row r="41823" spans="1:6" x14ac:dyDescent="0.25">
      <c r="A41823" s="1" t="str">
        <f t="shared" si="1457"/>
        <v>99999</v>
      </c>
      <c r="B41823" s="1" t="str">
        <f>"46939"</f>
        <v>46939</v>
      </c>
      <c r="C41823" s="2">
        <v>1.22010023659335E-4</v>
      </c>
      <c r="D41823" s="2">
        <v>3.01141779055288E-5</v>
      </c>
      <c r="E41823" s="2">
        <v>6.4515851544724506E-5</v>
      </c>
      <c r="F41823" s="2">
        <v>1.14668193470702E-4</v>
      </c>
    </row>
    <row r="41824" spans="1:6" x14ac:dyDescent="0.25">
      <c r="A41824" s="1" t="str">
        <f t="shared" si="1457"/>
        <v>99999</v>
      </c>
      <c r="B41824" s="1" t="str">
        <f>"48635"</f>
        <v>48635</v>
      </c>
      <c r="C41824" s="2">
        <v>1.5806090021528701E-4</v>
      </c>
      <c r="D41824" s="2">
        <v>3.9148431277187403E-5</v>
      </c>
      <c r="E41824" s="2">
        <v>0</v>
      </c>
      <c r="F41824" s="2">
        <v>1.4664108046253299E-4</v>
      </c>
    </row>
    <row r="41825" spans="1:6" x14ac:dyDescent="0.25">
      <c r="A41825" s="1" t="str">
        <f t="shared" si="1457"/>
        <v>99999</v>
      </c>
      <c r="B41825" s="1" t="str">
        <f>"48703"</f>
        <v>48703</v>
      </c>
      <c r="C41825" s="2">
        <v>2.5008265718994103E-4</v>
      </c>
      <c r="D41825" s="2">
        <v>8.4319698135480595E-5</v>
      </c>
      <c r="E41825" s="2">
        <v>1.3333275985909701E-4</v>
      </c>
      <c r="F41825" s="2">
        <v>2.3654015468956301E-4</v>
      </c>
    </row>
    <row r="41826" spans="1:6" x14ac:dyDescent="0.25">
      <c r="A41826" s="1" t="str">
        <f t="shared" si="1457"/>
        <v>99999</v>
      </c>
      <c r="B41826" s="1" t="str">
        <f>"48617"</f>
        <v>48617</v>
      </c>
      <c r="C41826" s="2">
        <v>3.3647484785555699E-4</v>
      </c>
      <c r="D41826" s="2">
        <v>5.8270934247198203E-4</v>
      </c>
      <c r="E41826" s="2">
        <v>6.1505111805970701E-4</v>
      </c>
      <c r="F41826" s="2">
        <v>3.59004206408274E-4</v>
      </c>
    </row>
    <row r="41827" spans="1:6" x14ac:dyDescent="0.25">
      <c r="A41827" s="1" t="str">
        <f t="shared" si="1457"/>
        <v>99999</v>
      </c>
      <c r="B41827" s="1" t="str">
        <f>"48768"</f>
        <v>48768</v>
      </c>
      <c r="C41827" s="2">
        <v>4.7342487441195301E-4</v>
      </c>
      <c r="D41827" s="2">
        <v>3.7040438823800399E-4</v>
      </c>
      <c r="E41827" s="2">
        <v>3.7849299572905002E-4</v>
      </c>
      <c r="F41827" s="2">
        <v>4.6449499713132101E-4</v>
      </c>
    </row>
    <row r="41828" spans="1:6" x14ac:dyDescent="0.25">
      <c r="A41828" s="1" t="str">
        <f t="shared" si="1457"/>
        <v>99999</v>
      </c>
      <c r="B41828" s="1" t="str">
        <f>"48610"</f>
        <v>48610</v>
      </c>
      <c r="C41828" s="2">
        <v>2.6415657296253498E-4</v>
      </c>
      <c r="D41828" s="2">
        <v>6.0228355811057599E-5</v>
      </c>
      <c r="E41828" s="2">
        <v>1.72042270785932E-5</v>
      </c>
      <c r="F41828" s="2">
        <v>2.4512546693737002E-4</v>
      </c>
    </row>
    <row r="41829" spans="1:6" x14ac:dyDescent="0.25">
      <c r="A41829" s="1" t="str">
        <f t="shared" si="1457"/>
        <v>99999</v>
      </c>
      <c r="B41829" s="1" t="str">
        <f>"48651"</f>
        <v>48651</v>
      </c>
      <c r="C41829" s="2">
        <v>3.5845180863891503E-4</v>
      </c>
      <c r="D41829" s="2">
        <v>2.1682208091980699E-4</v>
      </c>
      <c r="E41829" s="2">
        <v>2.3655812233065599E-4</v>
      </c>
      <c r="F41829" s="2">
        <v>3.4637294241150101E-4</v>
      </c>
    </row>
    <row r="41830" spans="1:6" x14ac:dyDescent="0.25">
      <c r="A41830" s="1" t="str">
        <f t="shared" si="1457"/>
        <v>99999</v>
      </c>
      <c r="B41830" s="1" t="str">
        <f>"48622"</f>
        <v>48622</v>
      </c>
      <c r="C41830" s="2">
        <v>3.0453788514082399E-4</v>
      </c>
      <c r="D41830" s="2">
        <v>1.82190776328449E-4</v>
      </c>
      <c r="E41830" s="2">
        <v>8.6021135392965999E-5</v>
      </c>
      <c r="F41830" s="2">
        <v>2.9150588942552E-4</v>
      </c>
    </row>
    <row r="41831" spans="1:6" x14ac:dyDescent="0.25">
      <c r="A41831" s="1" t="str">
        <f t="shared" si="1457"/>
        <v>99999</v>
      </c>
      <c r="B41831" s="1" t="str">
        <f>"48441"</f>
        <v>48441</v>
      </c>
      <c r="C41831" s="2">
        <v>2.43370481975319E-4</v>
      </c>
      <c r="D41831" s="2">
        <v>2.45430549930059E-4</v>
      </c>
      <c r="E41831" s="2">
        <v>9.8924305701910905E-5</v>
      </c>
      <c r="F41831" s="2">
        <v>2.4019137943863099E-4</v>
      </c>
    </row>
    <row r="41832" spans="1:6" x14ac:dyDescent="0.25">
      <c r="A41832" s="1" t="str">
        <f t="shared" si="1457"/>
        <v>99999</v>
      </c>
      <c r="B41832" s="1" t="str">
        <f>"48097"</f>
        <v>48097</v>
      </c>
      <c r="C41832" s="2">
        <v>2.3492613251176299E-5</v>
      </c>
      <c r="D41832" s="2">
        <v>4.5171266858293203E-6</v>
      </c>
      <c r="E41832" s="2">
        <v>0</v>
      </c>
      <c r="F41832" s="2">
        <v>2.1709984994453001E-5</v>
      </c>
    </row>
    <row r="41833" spans="1:6" x14ac:dyDescent="0.25">
      <c r="A41833" s="1" t="str">
        <f t="shared" si="1457"/>
        <v>99999</v>
      </c>
      <c r="B41833" s="1" t="str">
        <f>"49730"</f>
        <v>49730</v>
      </c>
      <c r="C41833" s="2">
        <v>1.30995677575683E-4</v>
      </c>
      <c r="D41833" s="2">
        <v>4.2159849067740298E-5</v>
      </c>
      <c r="E41833" s="2">
        <v>1.72042270785932E-5</v>
      </c>
      <c r="F41833" s="2">
        <v>1.2256273346868501E-4</v>
      </c>
    </row>
    <row r="41834" spans="1:6" x14ac:dyDescent="0.25">
      <c r="A41834" s="1" t="str">
        <f t="shared" si="1457"/>
        <v>99999</v>
      </c>
      <c r="B41834" s="1" t="str">
        <f>"49659"</f>
        <v>49659</v>
      </c>
      <c r="C41834" s="2">
        <v>2.8862353422873699E-4</v>
      </c>
      <c r="D41834" s="2">
        <v>1.68639396270961E-4</v>
      </c>
      <c r="E41834" s="2">
        <v>1.2473064631979999E-4</v>
      </c>
      <c r="F41834" s="2">
        <v>2.7699967217922601E-4</v>
      </c>
    </row>
    <row r="41835" spans="1:6" x14ac:dyDescent="0.25">
      <c r="A41835" s="1" t="str">
        <f t="shared" si="1457"/>
        <v>99999</v>
      </c>
      <c r="B41835" s="1" t="str">
        <f>"49756"</f>
        <v>49756</v>
      </c>
      <c r="C41835" s="2">
        <v>3.2023571427179502E-4</v>
      </c>
      <c r="D41835" s="2">
        <v>9.6365369297692093E-5</v>
      </c>
      <c r="E41835" s="2">
        <v>2.58063406178898E-5</v>
      </c>
      <c r="F41835" s="2">
        <v>2.9880833892365402E-4</v>
      </c>
    </row>
    <row r="41836" spans="1:6" x14ac:dyDescent="0.25">
      <c r="A41836" s="1" t="str">
        <f t="shared" si="1457"/>
        <v>99999</v>
      </c>
      <c r="B41836" s="1" t="str">
        <f>"49751"</f>
        <v>49751</v>
      </c>
      <c r="C41836" s="2">
        <v>1.6455655364879199E-4</v>
      </c>
      <c r="D41836" s="2">
        <v>5.2699811334675399E-5</v>
      </c>
      <c r="E41836" s="2">
        <v>0</v>
      </c>
      <c r="F41836" s="2">
        <v>1.5345012121079299E-4</v>
      </c>
    </row>
    <row r="41837" spans="1:6" x14ac:dyDescent="0.25">
      <c r="A41837" s="1" t="str">
        <f t="shared" si="1457"/>
        <v>99999</v>
      </c>
      <c r="B41837" s="1" t="str">
        <f>"49729"</f>
        <v>49729</v>
      </c>
      <c r="C41837" s="2">
        <v>9.1155669850186404E-5</v>
      </c>
      <c r="D41837" s="2">
        <v>5.2699811334675399E-5</v>
      </c>
      <c r="E41837" s="2">
        <v>0</v>
      </c>
      <c r="F41837" s="2">
        <v>8.6543894727887999E-5</v>
      </c>
    </row>
    <row r="41838" spans="1:6" x14ac:dyDescent="0.25">
      <c r="A41838" s="1" t="str">
        <f t="shared" si="1457"/>
        <v>99999</v>
      </c>
      <c r="B41838" s="1" t="str">
        <f>"49619"</f>
        <v>49619</v>
      </c>
      <c r="C41838" s="2">
        <v>6.4956534335049697E-5</v>
      </c>
      <c r="D41838" s="2">
        <v>2.1079924533870101E-5</v>
      </c>
      <c r="E41838" s="2">
        <v>0</v>
      </c>
      <c r="F41838" s="2">
        <v>6.0590594484519101E-5</v>
      </c>
    </row>
    <row r="41839" spans="1:6" x14ac:dyDescent="0.25">
      <c r="A41839" s="1" t="str">
        <f t="shared" si="1457"/>
        <v>99999</v>
      </c>
      <c r="B41839" s="1" t="str">
        <f>"51001"</f>
        <v>51001</v>
      </c>
      <c r="C41839" s="2">
        <v>1.3370219983964299E-4</v>
      </c>
      <c r="D41839" s="2">
        <v>8.5825407030757094E-5</v>
      </c>
      <c r="E41839" s="2">
        <v>1.2042958955015201E-4</v>
      </c>
      <c r="F41839" s="2">
        <v>1.30259909966718E-4</v>
      </c>
    </row>
    <row r="41840" spans="1:6" x14ac:dyDescent="0.25">
      <c r="A41840" s="1" t="str">
        <f t="shared" si="1457"/>
        <v>99999</v>
      </c>
      <c r="B41840" s="1" t="str">
        <f>"51246"</f>
        <v>51246</v>
      </c>
      <c r="C41840" s="2">
        <v>1.83393948605956E-4</v>
      </c>
      <c r="D41840" s="2">
        <v>2.95118943474182E-4</v>
      </c>
      <c r="E41840" s="2">
        <v>1.8494544109487701E-4</v>
      </c>
      <c r="F41840" s="2">
        <v>1.90751822701262E-4</v>
      </c>
    </row>
    <row r="41841" spans="1:6" x14ac:dyDescent="0.25">
      <c r="A41841" s="1" t="str">
        <f t="shared" si="1457"/>
        <v>99999</v>
      </c>
      <c r="B41841" s="1" t="str">
        <f>"52040"</f>
        <v>52040</v>
      </c>
      <c r="C41841" s="2">
        <v>3.6050876555952499E-5</v>
      </c>
      <c r="D41841" s="2">
        <v>4.8182684648845999E-5</v>
      </c>
      <c r="E41841" s="2">
        <v>1.72042270785932E-5</v>
      </c>
      <c r="F41841" s="2">
        <v>3.64135657406963E-5</v>
      </c>
    </row>
    <row r="41842" spans="1:6" x14ac:dyDescent="0.25">
      <c r="A41842" s="1" t="str">
        <f t="shared" si="1457"/>
        <v>99999</v>
      </c>
      <c r="B41842" s="1" t="str">
        <f>"51029"</f>
        <v>51029</v>
      </c>
      <c r="C41842" s="2">
        <v>1.51565246781782E-5</v>
      </c>
      <c r="D41842" s="2">
        <v>9.0342533716586405E-6</v>
      </c>
      <c r="E41842" s="2">
        <v>4.3010567696482999E-6</v>
      </c>
      <c r="F41842" s="2">
        <v>1.45062172462936E-5</v>
      </c>
    </row>
    <row r="41843" spans="1:6" x14ac:dyDescent="0.25">
      <c r="A41843" s="1" t="str">
        <f t="shared" si="1457"/>
        <v>99999</v>
      </c>
      <c r="B41843" s="1" t="str">
        <f>"52032"</f>
        <v>52032</v>
      </c>
      <c r="C41843" s="2">
        <v>4.3196095332807998E-5</v>
      </c>
      <c r="D41843" s="2">
        <v>3.01141779055288E-6</v>
      </c>
      <c r="E41843" s="2">
        <v>0</v>
      </c>
      <c r="F41843" s="2">
        <v>3.95713817398895E-5</v>
      </c>
    </row>
    <row r="41844" spans="1:6" x14ac:dyDescent="0.25">
      <c r="A41844" s="1" t="str">
        <f t="shared" si="1457"/>
        <v>99999</v>
      </c>
      <c r="B41844" s="1" t="str">
        <f>"51243"</f>
        <v>51243</v>
      </c>
      <c r="C41844" s="2">
        <v>4.00565295066139E-5</v>
      </c>
      <c r="D41844" s="2">
        <v>1.20456711622115E-5</v>
      </c>
      <c r="E41844" s="2">
        <v>8.6021135392965999E-6</v>
      </c>
      <c r="F41844" s="2">
        <v>3.7499064990418898E-5</v>
      </c>
    </row>
    <row r="41845" spans="1:6" x14ac:dyDescent="0.25">
      <c r="A41845" s="1" t="str">
        <f t="shared" si="1457"/>
        <v>99999</v>
      </c>
      <c r="B41845" s="1" t="str">
        <f>"51358"</f>
        <v>51358</v>
      </c>
      <c r="C41845" s="2">
        <v>6.7230013036776403E-5</v>
      </c>
      <c r="D41845" s="2">
        <v>9.0342533716586405E-6</v>
      </c>
      <c r="E41845" s="2">
        <v>3.8709510926834699E-5</v>
      </c>
      <c r="F41845" s="2">
        <v>6.2761592983964399E-5</v>
      </c>
    </row>
    <row r="41846" spans="1:6" x14ac:dyDescent="0.25">
      <c r="A41846" s="1" t="str">
        <f t="shared" si="1457"/>
        <v>99999</v>
      </c>
      <c r="B41846" s="1" t="str">
        <f>"51350"</f>
        <v>51350</v>
      </c>
      <c r="C41846" s="2">
        <v>2.5657831062344601E-5</v>
      </c>
      <c r="D41846" s="2">
        <v>4.5171266858293203E-6</v>
      </c>
      <c r="E41846" s="2">
        <v>4.3010567696482999E-6</v>
      </c>
      <c r="F41846" s="2">
        <v>2.37823017439236E-5</v>
      </c>
    </row>
    <row r="41847" spans="1:6" x14ac:dyDescent="0.25">
      <c r="A41847" s="1" t="str">
        <f t="shared" si="1457"/>
        <v>99999</v>
      </c>
      <c r="B41847" s="1" t="str">
        <f>"51034"</f>
        <v>51034</v>
      </c>
      <c r="C41847" s="2">
        <v>1.00033062875976E-4</v>
      </c>
      <c r="D41847" s="2">
        <v>1.8520219411900199E-4</v>
      </c>
      <c r="E41847" s="2">
        <v>1.63440157246635E-4</v>
      </c>
      <c r="F41847" s="2">
        <v>1.07069698722643E-4</v>
      </c>
    </row>
    <row r="41848" spans="1:6" x14ac:dyDescent="0.25">
      <c r="A41848" s="1" t="str">
        <f t="shared" si="1457"/>
        <v>99999</v>
      </c>
      <c r="B41848" s="1" t="str">
        <f>"51446"</f>
        <v>51446</v>
      </c>
      <c r="C41848" s="2">
        <v>3.0962614699707001E-5</v>
      </c>
      <c r="D41848" s="2">
        <v>9.0342533716586405E-6</v>
      </c>
      <c r="E41848" s="2">
        <v>2.15052838482415E-5</v>
      </c>
      <c r="F41848" s="2">
        <v>2.9308479742511601E-5</v>
      </c>
    </row>
    <row r="41849" spans="1:6" x14ac:dyDescent="0.25">
      <c r="A41849" s="1" t="str">
        <f t="shared" si="1457"/>
        <v>99999</v>
      </c>
      <c r="B41849" s="1" t="str">
        <f>"50539"</f>
        <v>50539</v>
      </c>
      <c r="C41849" s="2">
        <v>2.91221795602139E-5</v>
      </c>
      <c r="D41849" s="2">
        <v>1.35513800574879E-5</v>
      </c>
      <c r="E41849" s="2">
        <v>4.3010567696482999E-6</v>
      </c>
      <c r="F41849" s="2">
        <v>2.7532208242965501E-5</v>
      </c>
    </row>
    <row r="41850" spans="1:6" x14ac:dyDescent="0.25">
      <c r="A41850" s="1" t="str">
        <f t="shared" si="1457"/>
        <v>99999</v>
      </c>
      <c r="B41850" s="1" t="str">
        <f>"50583"</f>
        <v>50583</v>
      </c>
      <c r="C41850" s="2">
        <v>1.6098394426036401E-4</v>
      </c>
      <c r="D41850" s="2">
        <v>3.4330162812302799E-4</v>
      </c>
      <c r="E41850" s="2">
        <v>2.5806340617889802E-4</v>
      </c>
      <c r="F41850" s="2">
        <v>1.7516010620524601E-4</v>
      </c>
    </row>
    <row r="41851" spans="1:6" x14ac:dyDescent="0.25">
      <c r="A41851" s="1" t="str">
        <f t="shared" si="1457"/>
        <v>99999</v>
      </c>
      <c r="B41851" s="1" t="str">
        <f>"50595"</f>
        <v>50595</v>
      </c>
      <c r="C41851" s="2">
        <v>4.7775531003429003E-4</v>
      </c>
      <c r="D41851" s="2">
        <v>6.5347766054997503E-4</v>
      </c>
      <c r="E41851" s="2">
        <v>8.4300712685106698E-4</v>
      </c>
      <c r="F41851" s="2">
        <v>4.9765206512284897E-4</v>
      </c>
    </row>
    <row r="41852" spans="1:6" x14ac:dyDescent="0.25">
      <c r="A41852" s="1" t="str">
        <f t="shared" si="1457"/>
        <v>99999</v>
      </c>
      <c r="B41852" s="1" t="str">
        <f>"50525"</f>
        <v>50525</v>
      </c>
      <c r="C41852" s="2">
        <v>1.9746786437855099E-4</v>
      </c>
      <c r="D41852" s="2">
        <v>3.5233588149468698E-4</v>
      </c>
      <c r="E41852" s="2">
        <v>3.0537503064502898E-4</v>
      </c>
      <c r="F41852" s="2">
        <v>2.10093445696321E-4</v>
      </c>
    </row>
    <row r="41853" spans="1:6" x14ac:dyDescent="0.25">
      <c r="A41853" s="1" t="str">
        <f t="shared" si="1457"/>
        <v>99999</v>
      </c>
      <c r="B41853" s="1" t="str">
        <f>"50475"</f>
        <v>50475</v>
      </c>
      <c r="C41853" s="2">
        <v>8.0221319903786299E-5</v>
      </c>
      <c r="D41853" s="2">
        <v>2.25856334291466E-5</v>
      </c>
      <c r="E41853" s="2">
        <v>5.1612681235779599E-5</v>
      </c>
      <c r="F41853" s="2">
        <v>7.5787583980636199E-5</v>
      </c>
    </row>
    <row r="41854" spans="1:6" x14ac:dyDescent="0.25">
      <c r="A41854" s="1" t="str">
        <f t="shared" si="1457"/>
        <v>99999</v>
      </c>
      <c r="B41854" s="1" t="str">
        <f>"50627"</f>
        <v>50627</v>
      </c>
      <c r="C41854" s="2">
        <v>1.78630469421386E-4</v>
      </c>
      <c r="D41854" s="2">
        <v>2.9361323457890499E-4</v>
      </c>
      <c r="E41854" s="2">
        <v>2.0214966817347E-4</v>
      </c>
      <c r="F41854" s="2">
        <v>1.86705870952296E-4</v>
      </c>
    </row>
    <row r="41855" spans="1:6" x14ac:dyDescent="0.25">
      <c r="A41855" s="1" t="str">
        <f t="shared" si="1457"/>
        <v>99999</v>
      </c>
      <c r="B41855" s="1" t="str">
        <f>"50641"</f>
        <v>50641</v>
      </c>
      <c r="C41855" s="2">
        <v>8.2711320386629907E-5</v>
      </c>
      <c r="D41855" s="2">
        <v>5.8722646915781101E-5</v>
      </c>
      <c r="E41855" s="2">
        <v>8.6021135392965999E-5</v>
      </c>
      <c r="F41855" s="2">
        <v>8.1215080229249501E-5</v>
      </c>
    </row>
    <row r="41856" spans="1:6" x14ac:dyDescent="0.25">
      <c r="A41856" s="1" t="str">
        <f t="shared" si="1457"/>
        <v>99999</v>
      </c>
      <c r="B41856" s="1" t="str">
        <f>"50648"</f>
        <v>50648</v>
      </c>
      <c r="C41856" s="2">
        <v>1.6033437891701399E-4</v>
      </c>
      <c r="D41856" s="2">
        <v>7.3779735868545501E-5</v>
      </c>
      <c r="E41856" s="2">
        <v>2.6236446294854599E-4</v>
      </c>
      <c r="F41856" s="2">
        <v>1.5700266420988501E-4</v>
      </c>
    </row>
    <row r="41857" spans="1:6" x14ac:dyDescent="0.25">
      <c r="A41857" s="1" t="str">
        <f t="shared" si="1457"/>
        <v>99999</v>
      </c>
      <c r="B41857" s="1" t="str">
        <f>"50605"</f>
        <v>50605</v>
      </c>
      <c r="C41857" s="2">
        <v>9.4186974785821993E-6</v>
      </c>
      <c r="D41857" s="2">
        <v>7.5285444763821999E-6</v>
      </c>
      <c r="E41857" s="2">
        <v>4.3010567696482999E-6</v>
      </c>
      <c r="F41857" s="2">
        <v>9.1774027476551693E-6</v>
      </c>
    </row>
    <row r="41858" spans="1:6" x14ac:dyDescent="0.25">
      <c r="A41858" s="1" t="str">
        <f t="shared" si="1457"/>
        <v>99999</v>
      </c>
      <c r="B41858" s="1" t="str">
        <f>"50450"</f>
        <v>50450</v>
      </c>
      <c r="C41858" s="2">
        <v>1.47451332940562E-4</v>
      </c>
      <c r="D41858" s="2">
        <v>2.18327789815083E-4</v>
      </c>
      <c r="E41858" s="2">
        <v>3.0537503064502898E-4</v>
      </c>
      <c r="F41858" s="2">
        <v>1.5571980146021299E-4</v>
      </c>
    </row>
    <row r="41859" spans="1:6" x14ac:dyDescent="0.25">
      <c r="A41859" s="1" t="str">
        <f t="shared" si="1457"/>
        <v>99999</v>
      </c>
      <c r="B41859" s="1" t="str">
        <f>"50597"</f>
        <v>50597</v>
      </c>
      <c r="C41859" s="2">
        <v>7.56743625003329E-5</v>
      </c>
      <c r="D41859" s="2">
        <v>1.2798525609849701E-4</v>
      </c>
      <c r="E41859" s="2">
        <v>7.3117965084021106E-5</v>
      </c>
      <c r="F41859" s="2">
        <v>7.9044081729804196E-5</v>
      </c>
    </row>
    <row r="41860" spans="1:6" x14ac:dyDescent="0.25">
      <c r="A41860" s="1" t="str">
        <f t="shared" si="1457"/>
        <v>99999</v>
      </c>
      <c r="B41860" s="1" t="str">
        <f>"50602"</f>
        <v>50602</v>
      </c>
      <c r="C41860" s="2">
        <v>8.1628711481045694E-5</v>
      </c>
      <c r="D41860" s="2">
        <v>3.4631304591358098E-5</v>
      </c>
      <c r="E41860" s="2">
        <v>3.8709510926834699E-5</v>
      </c>
      <c r="F41860" s="2">
        <v>7.7563855480182396E-5</v>
      </c>
    </row>
    <row r="41861" spans="1:6" x14ac:dyDescent="0.25">
      <c r="A41861" s="1" t="str">
        <f t="shared" si="1457"/>
        <v>99999</v>
      </c>
      <c r="B41861" s="1" t="str">
        <f>"50439"</f>
        <v>50439</v>
      </c>
      <c r="C41861" s="2">
        <v>1.5589568240411901E-5</v>
      </c>
      <c r="D41861" s="2">
        <v>9.0342533716586405E-6</v>
      </c>
      <c r="E41861" s="2">
        <v>4.3010567696482999E-6</v>
      </c>
      <c r="F41861" s="2">
        <v>1.49009442461928E-5</v>
      </c>
    </row>
    <row r="41862" spans="1:6" x14ac:dyDescent="0.25">
      <c r="A41862" s="1" t="str">
        <f t="shared" ref="A41862:A41925" si="1458">"99999"</f>
        <v>99999</v>
      </c>
      <c r="B41862" s="1" t="str">
        <f>"50049"</f>
        <v>50049</v>
      </c>
      <c r="C41862" s="2">
        <v>3.50981807190385E-4</v>
      </c>
      <c r="D41862" s="2">
        <v>4.3364416183961399E-4</v>
      </c>
      <c r="E41862" s="2">
        <v>5.5483632328463101E-4</v>
      </c>
      <c r="F41862" s="2">
        <v>3.6107652315774401E-4</v>
      </c>
    </row>
    <row r="41863" spans="1:6" x14ac:dyDescent="0.25">
      <c r="A41863" s="1" t="str">
        <f t="shared" si="1458"/>
        <v>99999</v>
      </c>
      <c r="B41863" s="1" t="str">
        <f>"50068"</f>
        <v>50068</v>
      </c>
      <c r="C41863" s="2">
        <v>1.9270438519397999E-5</v>
      </c>
      <c r="D41863" s="2">
        <v>0</v>
      </c>
      <c r="E41863" s="2">
        <v>4.3010567696482999E-6</v>
      </c>
      <c r="F41863" s="2">
        <v>1.76640332454868E-5</v>
      </c>
    </row>
    <row r="41864" spans="1:6" x14ac:dyDescent="0.25">
      <c r="A41864" s="1" t="str">
        <f t="shared" si="1458"/>
        <v>99999</v>
      </c>
      <c r="B41864" s="1" t="str">
        <f>"50071"</f>
        <v>50071</v>
      </c>
      <c r="C41864" s="2">
        <v>6.2466533852206102E-5</v>
      </c>
      <c r="D41864" s="2">
        <v>2.8608469010252301E-5</v>
      </c>
      <c r="E41864" s="2">
        <v>3.44084541571864E-5</v>
      </c>
      <c r="F41864" s="2">
        <v>5.9603776984771199E-5</v>
      </c>
    </row>
    <row r="41865" spans="1:6" x14ac:dyDescent="0.25">
      <c r="A41865" s="1" t="str">
        <f t="shared" si="1458"/>
        <v>99999</v>
      </c>
      <c r="B41865" s="1" t="str">
        <f>"49948"</f>
        <v>49948</v>
      </c>
      <c r="C41865" s="2">
        <v>4.3087834442249601E-5</v>
      </c>
      <c r="D41865" s="2">
        <v>7.5285444763821999E-6</v>
      </c>
      <c r="E41865" s="2">
        <v>4.3010567696482999E-6</v>
      </c>
      <c r="F41865" s="2">
        <v>3.9867426989813803E-5</v>
      </c>
    </row>
    <row r="41866" spans="1:6" x14ac:dyDescent="0.25">
      <c r="A41866" s="1" t="str">
        <f t="shared" si="1458"/>
        <v>99999</v>
      </c>
      <c r="B41866" s="1" t="str">
        <f>"50122"</f>
        <v>50122</v>
      </c>
      <c r="C41866" s="2">
        <v>7.3617405579722906E-5</v>
      </c>
      <c r="D41866" s="2">
        <v>1.35513800574879E-5</v>
      </c>
      <c r="E41866" s="2">
        <v>2.15052838482415E-5</v>
      </c>
      <c r="F41866" s="2">
        <v>6.8485134482502004E-5</v>
      </c>
    </row>
    <row r="41867" spans="1:6" x14ac:dyDescent="0.25">
      <c r="A41867" s="1" t="str">
        <f t="shared" si="1458"/>
        <v>99999</v>
      </c>
      <c r="B41867" s="1" t="str">
        <f>"50126"</f>
        <v>50126</v>
      </c>
      <c r="C41867" s="2">
        <v>3.56719634389981E-4</v>
      </c>
      <c r="D41867" s="2">
        <v>5.9626072252947E-4</v>
      </c>
      <c r="E41867" s="2">
        <v>7.6558810499739705E-4</v>
      </c>
      <c r="F41867" s="2">
        <v>3.8179969065244999E-4</v>
      </c>
    </row>
    <row r="41868" spans="1:6" x14ac:dyDescent="0.25">
      <c r="A41868" s="1" t="str">
        <f t="shared" si="1458"/>
        <v>99999</v>
      </c>
      <c r="B41868" s="1" t="str">
        <f>"50132"</f>
        <v>50132</v>
      </c>
      <c r="C41868" s="2">
        <v>2.0894351877774301E-5</v>
      </c>
      <c r="D41868" s="2">
        <v>4.5171266858293203E-6</v>
      </c>
      <c r="E41868" s="2">
        <v>8.6021135392965999E-6</v>
      </c>
      <c r="F41868" s="2">
        <v>1.95389864950077E-5</v>
      </c>
    </row>
    <row r="41869" spans="1:6" x14ac:dyDescent="0.25">
      <c r="A41869" s="1" t="str">
        <f t="shared" si="1458"/>
        <v>99999</v>
      </c>
      <c r="B41869" s="1" t="str">
        <f>"50065"</f>
        <v>50065</v>
      </c>
      <c r="C41869" s="2">
        <v>3.2478267167524801E-5</v>
      </c>
      <c r="D41869" s="2">
        <v>1.35513800574879E-5</v>
      </c>
      <c r="E41869" s="2">
        <v>3.01073973875381E-5</v>
      </c>
      <c r="F41869" s="2">
        <v>3.1183432992032599E-5</v>
      </c>
    </row>
    <row r="41870" spans="1:6" x14ac:dyDescent="0.25">
      <c r="A41870" s="1" t="str">
        <f t="shared" si="1458"/>
        <v>99999</v>
      </c>
      <c r="B41870" s="1" t="str">
        <f>"50133"</f>
        <v>50133</v>
      </c>
      <c r="C41870" s="2">
        <v>3.1395658261940602E-5</v>
      </c>
      <c r="D41870" s="2">
        <v>1.50570889527644E-6</v>
      </c>
      <c r="E41870" s="2">
        <v>1.29031703089449E-5</v>
      </c>
      <c r="F41870" s="2">
        <v>2.9012434492587301E-5</v>
      </c>
    </row>
    <row r="41871" spans="1:6" x14ac:dyDescent="0.25">
      <c r="A41871" s="1" t="str">
        <f t="shared" si="1458"/>
        <v>99999</v>
      </c>
      <c r="B41871" s="1" t="str">
        <f>"49420"</f>
        <v>49420</v>
      </c>
      <c r="C41871" s="2">
        <v>3.3874832655728402E-4</v>
      </c>
      <c r="D41871" s="2">
        <v>4.4418412410654901E-4</v>
      </c>
      <c r="E41871" s="2">
        <v>5.1182575558814797E-4</v>
      </c>
      <c r="F41871" s="2">
        <v>3.4962944016066899E-4</v>
      </c>
    </row>
    <row r="41872" spans="1:6" x14ac:dyDescent="0.25">
      <c r="A41872" s="1" t="str">
        <f t="shared" si="1458"/>
        <v>99999</v>
      </c>
      <c r="B41872" s="1" t="str">
        <f>"49330"</f>
        <v>49330</v>
      </c>
      <c r="C41872" s="2">
        <v>1.2016958851984099E-5</v>
      </c>
      <c r="D41872" s="2">
        <v>3.01141779055288E-6</v>
      </c>
      <c r="E41872" s="2">
        <v>0</v>
      </c>
      <c r="F41872" s="2">
        <v>1.11510377471509E-5</v>
      </c>
    </row>
    <row r="41873" spans="1:6" x14ac:dyDescent="0.25">
      <c r="A41873" s="1" t="str">
        <f t="shared" si="1458"/>
        <v>99999</v>
      </c>
      <c r="B41873" s="1" t="str">
        <f>"49436"</f>
        <v>49436</v>
      </c>
      <c r="C41873" s="2">
        <v>1.78630469421386E-4</v>
      </c>
      <c r="D41873" s="2">
        <v>7.2274026973269097E-5</v>
      </c>
      <c r="E41873" s="2">
        <v>8.6021135392965999E-6</v>
      </c>
      <c r="F41873" s="2">
        <v>1.67758974957137E-4</v>
      </c>
    </row>
    <row r="41874" spans="1:6" x14ac:dyDescent="0.25">
      <c r="A41874" s="1" t="str">
        <f t="shared" si="1458"/>
        <v>99999</v>
      </c>
      <c r="B41874" s="1" t="str">
        <f>"49022"</f>
        <v>49022</v>
      </c>
      <c r="C41874" s="2">
        <v>2.2518265236150501E-5</v>
      </c>
      <c r="D41874" s="2">
        <v>1.20456711622115E-5</v>
      </c>
      <c r="E41874" s="2">
        <v>8.6021135392965999E-6</v>
      </c>
      <c r="F41874" s="2">
        <v>2.1512621494503498E-5</v>
      </c>
    </row>
    <row r="41875" spans="1:6" x14ac:dyDescent="0.25">
      <c r="A41875" s="1" t="str">
        <f t="shared" si="1458"/>
        <v>99999</v>
      </c>
      <c r="B41875" s="1" t="str">
        <f>"49043"</f>
        <v>49043</v>
      </c>
      <c r="C41875" s="2">
        <v>1.3738307011862999E-4</v>
      </c>
      <c r="D41875" s="2">
        <v>4.5171266858293199E-5</v>
      </c>
      <c r="E41875" s="2">
        <v>8.6021135392965999E-5</v>
      </c>
      <c r="F41875" s="2">
        <v>1.3016122821674301E-4</v>
      </c>
    </row>
    <row r="41876" spans="1:6" x14ac:dyDescent="0.25">
      <c r="A41876" s="1" t="str">
        <f t="shared" si="1458"/>
        <v>99999</v>
      </c>
      <c r="B41876" s="1" t="str">
        <f>"49057"</f>
        <v>49057</v>
      </c>
      <c r="C41876" s="2">
        <v>3.0497092870305798E-4</v>
      </c>
      <c r="D41876" s="2">
        <v>2.52959094406442E-4</v>
      </c>
      <c r="E41876" s="2">
        <v>3.7419193895940199E-4</v>
      </c>
      <c r="F41876" s="2">
        <v>3.0315033592254501E-4</v>
      </c>
    </row>
    <row r="41877" spans="1:6" x14ac:dyDescent="0.25">
      <c r="A41877" s="1" t="str">
        <f t="shared" si="1458"/>
        <v>99999</v>
      </c>
      <c r="B41877" s="1" t="str">
        <f>"49071"</f>
        <v>49071</v>
      </c>
      <c r="C41877" s="2">
        <v>3.7631485558105402E-4</v>
      </c>
      <c r="D41877" s="2">
        <v>2.5597051219699402E-4</v>
      </c>
      <c r="E41877" s="2">
        <v>2.3655812233065599E-4</v>
      </c>
      <c r="F41877" s="2">
        <v>3.6522115665668501E-4</v>
      </c>
    </row>
    <row r="41878" spans="1:6" x14ac:dyDescent="0.25">
      <c r="A41878" s="1" t="str">
        <f t="shared" si="1458"/>
        <v>99999</v>
      </c>
      <c r="B41878" s="1" t="str">
        <f>"54409"</f>
        <v>54409</v>
      </c>
      <c r="C41878" s="2">
        <v>6.7479013085060702E-4</v>
      </c>
      <c r="D41878" s="2">
        <v>9.4257376844305099E-4</v>
      </c>
      <c r="E41878" s="2">
        <v>8.0429761592423201E-4</v>
      </c>
      <c r="F41878" s="2">
        <v>6.9531161032234702E-4</v>
      </c>
    </row>
    <row r="41879" spans="1:6" x14ac:dyDescent="0.25">
      <c r="A41879" s="1" t="str">
        <f t="shared" si="1458"/>
        <v>99999</v>
      </c>
      <c r="B41879" s="1" t="str">
        <f>"53530"</f>
        <v>53530</v>
      </c>
      <c r="C41879" s="2">
        <v>2.2225960831642801E-4</v>
      </c>
      <c r="D41879" s="2">
        <v>3.9148431277187399E-4</v>
      </c>
      <c r="E41879" s="2">
        <v>2.3225706556100799E-4</v>
      </c>
      <c r="F41879" s="2">
        <v>2.3357970219032E-4</v>
      </c>
    </row>
    <row r="41880" spans="1:6" x14ac:dyDescent="0.25">
      <c r="A41880" s="1" t="str">
        <f t="shared" si="1458"/>
        <v>99999</v>
      </c>
      <c r="B41880" s="1" t="str">
        <f>"53518"</f>
        <v>53518</v>
      </c>
      <c r="C41880" s="2">
        <v>4.9800009656871403E-5</v>
      </c>
      <c r="D41880" s="2">
        <v>1.50570889527644E-5</v>
      </c>
      <c r="E41880" s="2">
        <v>0</v>
      </c>
      <c r="F41880" s="2">
        <v>4.6380422488149798E-5</v>
      </c>
    </row>
    <row r="41881" spans="1:6" x14ac:dyDescent="0.25">
      <c r="A41881" s="1" t="str">
        <f t="shared" si="1458"/>
        <v>99999</v>
      </c>
      <c r="B41881" s="1" t="str">
        <f>"38585"</f>
        <v>38585</v>
      </c>
      <c r="C41881" s="2">
        <v>2.8786570799482802E-4</v>
      </c>
      <c r="D41881" s="2">
        <v>1.7767364964261899E-4</v>
      </c>
      <c r="E41881" s="2">
        <v>1.41934873398393E-4</v>
      </c>
      <c r="F41881" s="2">
        <v>2.7729571742914999E-4</v>
      </c>
    </row>
    <row r="41882" spans="1:6" x14ac:dyDescent="0.25">
      <c r="A41882" s="1" t="str">
        <f t="shared" si="1458"/>
        <v>99999</v>
      </c>
      <c r="B41882" s="1" t="str">
        <f>"38620"</f>
        <v>38620</v>
      </c>
      <c r="C41882" s="2">
        <v>1.6076742247924801E-4</v>
      </c>
      <c r="D41882" s="2">
        <v>1.9574215638593701E-5</v>
      </c>
      <c r="E41882" s="2">
        <v>0</v>
      </c>
      <c r="F41882" s="2">
        <v>1.4782526146222999E-4</v>
      </c>
    </row>
    <row r="41883" spans="1:6" x14ac:dyDescent="0.25">
      <c r="A41883" s="1" t="str">
        <f t="shared" si="1458"/>
        <v>99999</v>
      </c>
      <c r="B41883" s="1" t="str">
        <f>"38650"</f>
        <v>38650</v>
      </c>
      <c r="C41883" s="2">
        <v>2.02231343563121E-4</v>
      </c>
      <c r="D41883" s="2">
        <v>5.8722646915781101E-5</v>
      </c>
      <c r="E41883" s="2">
        <v>1.63440157246635E-4</v>
      </c>
      <c r="F41883" s="2">
        <v>1.9193600370096E-4</v>
      </c>
    </row>
    <row r="41884" spans="1:6" x14ac:dyDescent="0.25">
      <c r="A41884" s="1" t="str">
        <f t="shared" si="1458"/>
        <v>99999</v>
      </c>
      <c r="B41884" s="1" t="str">
        <f>"38645"</f>
        <v>38645</v>
      </c>
      <c r="C41884" s="2">
        <v>1.84043513949307E-6</v>
      </c>
      <c r="D41884" s="2">
        <v>1.50570889527644E-6</v>
      </c>
      <c r="E41884" s="2">
        <v>0</v>
      </c>
      <c r="F41884" s="2">
        <v>1.77627149954616E-6</v>
      </c>
    </row>
    <row r="41885" spans="1:6" x14ac:dyDescent="0.25">
      <c r="A41885" s="1" t="str">
        <f t="shared" si="1458"/>
        <v>99999</v>
      </c>
      <c r="B41885" s="1" t="str">
        <f>"38647"</f>
        <v>38647</v>
      </c>
      <c r="C41885" s="2">
        <v>6.9070448176269494E-5</v>
      </c>
      <c r="D41885" s="2">
        <v>4.2159849067740298E-5</v>
      </c>
      <c r="E41885" s="2">
        <v>0</v>
      </c>
      <c r="F41885" s="2">
        <v>6.5722045483207998E-5</v>
      </c>
    </row>
    <row r="41886" spans="1:6" x14ac:dyDescent="0.25">
      <c r="A41886" s="1" t="str">
        <f t="shared" si="1458"/>
        <v>99999</v>
      </c>
      <c r="B41886" s="1" t="str">
        <f>"42280"</f>
        <v>42280</v>
      </c>
      <c r="C41886" s="2">
        <v>2.68487008584872E-5</v>
      </c>
      <c r="D41886" s="2">
        <v>1.50570889527644E-6</v>
      </c>
      <c r="E41886" s="2">
        <v>4.3010567696482999E-5</v>
      </c>
      <c r="F41886" s="2">
        <v>2.5558573243469699E-5</v>
      </c>
    </row>
    <row r="41887" spans="1:6" x14ac:dyDescent="0.25">
      <c r="A41887" s="1" t="str">
        <f t="shared" si="1458"/>
        <v>99999</v>
      </c>
      <c r="B41887" s="1" t="str">
        <f>"42445"</f>
        <v>42445</v>
      </c>
      <c r="C41887" s="2">
        <v>5.8276837387595396E-4</v>
      </c>
      <c r="D41887" s="2">
        <v>7.3026881420907295E-4</v>
      </c>
      <c r="E41887" s="2">
        <v>5.0752469881849903E-4</v>
      </c>
      <c r="F41887" s="2">
        <v>5.9070895534907297E-4</v>
      </c>
    </row>
    <row r="41888" spans="1:6" x14ac:dyDescent="0.25">
      <c r="A41888" s="1" t="str">
        <f t="shared" si="1458"/>
        <v>99999</v>
      </c>
      <c r="B41888" s="1" t="str">
        <f>"42206"</f>
        <v>42206</v>
      </c>
      <c r="C41888" s="2">
        <v>2.6935309570933901E-4</v>
      </c>
      <c r="D41888" s="2">
        <v>9.7871078192968605E-5</v>
      </c>
      <c r="E41888" s="2">
        <v>1.37633816628745E-4</v>
      </c>
      <c r="F41888" s="2">
        <v>2.5509232368482298E-4</v>
      </c>
    </row>
    <row r="41889" spans="1:6" x14ac:dyDescent="0.25">
      <c r="A41889" s="1" t="str">
        <f t="shared" si="1458"/>
        <v>99999</v>
      </c>
      <c r="B41889" s="1" t="str">
        <f>"42023"</f>
        <v>42023</v>
      </c>
      <c r="C41889" s="2">
        <v>1.2341741523659401E-4</v>
      </c>
      <c r="D41889" s="2">
        <v>5.1194102439398901E-5</v>
      </c>
      <c r="E41889" s="2">
        <v>1.8924649786452501E-4</v>
      </c>
      <c r="F41889" s="2">
        <v>1.2019437146929E-4</v>
      </c>
    </row>
    <row r="41890" spans="1:6" x14ac:dyDescent="0.25">
      <c r="A41890" s="1" t="str">
        <f t="shared" si="1458"/>
        <v>99999</v>
      </c>
      <c r="B41890" s="1" t="str">
        <f>"41522"</f>
        <v>41522</v>
      </c>
      <c r="C41890" s="2">
        <v>2.6859526947542998E-4</v>
      </c>
      <c r="D41890" s="2">
        <v>1.03893913774074E-4</v>
      </c>
      <c r="E41890" s="2">
        <v>8.6021135392965999E-5</v>
      </c>
      <c r="F41890" s="2">
        <v>2.5361209743520201E-4</v>
      </c>
    </row>
    <row r="41891" spans="1:6" x14ac:dyDescent="0.25">
      <c r="A41891" s="1" t="str">
        <f t="shared" si="1458"/>
        <v>99999</v>
      </c>
      <c r="B41891" s="1" t="str">
        <f>"41527"</f>
        <v>41527</v>
      </c>
      <c r="C41891" s="2">
        <v>2.3600874141734699E-5</v>
      </c>
      <c r="D41891" s="2">
        <v>3.01141779055288E-6</v>
      </c>
      <c r="E41891" s="2">
        <v>4.3010567696482999E-6</v>
      </c>
      <c r="F41891" s="2">
        <v>2.1808666744427801E-5</v>
      </c>
    </row>
    <row r="41892" spans="1:6" x14ac:dyDescent="0.25">
      <c r="A41892" s="1" t="str">
        <f t="shared" si="1458"/>
        <v>99999</v>
      </c>
      <c r="B41892" s="1" t="str">
        <f>"42050"</f>
        <v>42050</v>
      </c>
      <c r="C41892" s="2">
        <v>1.69644815505038E-4</v>
      </c>
      <c r="D41892" s="2">
        <v>2.6500476556865301E-4</v>
      </c>
      <c r="E41892" s="2">
        <v>2.4516023586995298E-4</v>
      </c>
      <c r="F41892" s="2">
        <v>1.77627149954616E-4</v>
      </c>
    </row>
    <row r="41893" spans="1:6" x14ac:dyDescent="0.25">
      <c r="A41893" s="1" t="str">
        <f t="shared" si="1458"/>
        <v>99999</v>
      </c>
      <c r="B41893" s="1" t="str">
        <f>"41655"</f>
        <v>41655</v>
      </c>
      <c r="C41893" s="2">
        <v>4.0706094849964403E-5</v>
      </c>
      <c r="D41893" s="2">
        <v>0</v>
      </c>
      <c r="E41893" s="2">
        <v>2.15052838482415E-5</v>
      </c>
      <c r="F41893" s="2">
        <v>3.7597746740393702E-5</v>
      </c>
    </row>
    <row r="41894" spans="1:6" x14ac:dyDescent="0.25">
      <c r="A41894" s="1" t="str">
        <f t="shared" si="1458"/>
        <v>99999</v>
      </c>
      <c r="B41894" s="1" t="str">
        <f>"41819"</f>
        <v>41819</v>
      </c>
      <c r="C41894" s="2">
        <v>2.39256568134099E-5</v>
      </c>
      <c r="D41894" s="2">
        <v>1.50570889527644E-6</v>
      </c>
      <c r="E41894" s="2">
        <v>8.6021135392965999E-6</v>
      </c>
      <c r="F41894" s="2">
        <v>2.2104711994352199E-5</v>
      </c>
    </row>
    <row r="41895" spans="1:6" x14ac:dyDescent="0.25">
      <c r="A41895" s="1" t="str">
        <f t="shared" si="1458"/>
        <v>99999</v>
      </c>
      <c r="B41895" s="1" t="str">
        <f>"41821"</f>
        <v>41821</v>
      </c>
      <c r="C41895" s="2">
        <v>2.5333048390669299E-5</v>
      </c>
      <c r="D41895" s="2">
        <v>1.50570889527644E-6</v>
      </c>
      <c r="E41895" s="2">
        <v>4.3010567696482999E-5</v>
      </c>
      <c r="F41895" s="2">
        <v>2.41770287438227E-5</v>
      </c>
    </row>
    <row r="41896" spans="1:6" x14ac:dyDescent="0.25">
      <c r="A41896" s="1" t="str">
        <f t="shared" si="1458"/>
        <v>99999</v>
      </c>
      <c r="B41896" s="1" t="str">
        <f>"41544"</f>
        <v>41544</v>
      </c>
      <c r="C41896" s="2">
        <v>3.0204788465798102E-5</v>
      </c>
      <c r="D41896" s="2">
        <v>1.50570889527644E-6</v>
      </c>
      <c r="E41896" s="2">
        <v>2.15052838482415E-5</v>
      </c>
      <c r="F41896" s="2">
        <v>2.8124298742814199E-5</v>
      </c>
    </row>
    <row r="41897" spans="1:6" x14ac:dyDescent="0.25">
      <c r="A41897" s="1" t="str">
        <f t="shared" si="1458"/>
        <v>99999</v>
      </c>
      <c r="B41897" s="1" t="str">
        <f>"41836"</f>
        <v>41836</v>
      </c>
      <c r="C41897" s="2">
        <v>3.8973920601029803E-5</v>
      </c>
      <c r="D41897" s="2">
        <v>1.35513800574879E-5</v>
      </c>
      <c r="E41897" s="2">
        <v>1.29031703089449E-5</v>
      </c>
      <c r="F41897" s="2">
        <v>3.6709610990620603E-5</v>
      </c>
    </row>
    <row r="41898" spans="1:6" x14ac:dyDescent="0.25">
      <c r="A41898" s="1" t="str">
        <f t="shared" si="1458"/>
        <v>99999</v>
      </c>
      <c r="B41898" s="1" t="str">
        <f>"41537"</f>
        <v>41537</v>
      </c>
      <c r="C41898" s="2">
        <v>2.1760439002241599E-4</v>
      </c>
      <c r="D41898" s="2">
        <v>9.1848242611862802E-5</v>
      </c>
      <c r="E41898" s="2">
        <v>1.11827476010855E-4</v>
      </c>
      <c r="F41898" s="2">
        <v>2.0693562969712701E-4</v>
      </c>
    </row>
    <row r="41899" spans="1:6" x14ac:dyDescent="0.25">
      <c r="A41899" s="1" t="str">
        <f t="shared" si="1458"/>
        <v>99999</v>
      </c>
      <c r="B41899" s="1" t="str">
        <f>"42035"</f>
        <v>42035</v>
      </c>
      <c r="C41899" s="2">
        <v>4.00565295066139E-5</v>
      </c>
      <c r="D41899" s="2">
        <v>1.9574215638593701E-5</v>
      </c>
      <c r="E41899" s="2">
        <v>1.03225362471559E-4</v>
      </c>
      <c r="F41899" s="2">
        <v>4.0163472239738201E-5</v>
      </c>
    </row>
    <row r="41900" spans="1:6" x14ac:dyDescent="0.25">
      <c r="A41900" s="1" t="str">
        <f t="shared" si="1458"/>
        <v>99999</v>
      </c>
      <c r="B41900" s="1" t="str">
        <f>"41564"</f>
        <v>41564</v>
      </c>
      <c r="C41900" s="2">
        <v>4.00565295066139E-5</v>
      </c>
      <c r="D41900" s="2">
        <v>1.50570889527644E-6</v>
      </c>
      <c r="E41900" s="2">
        <v>1.72042270785932E-5</v>
      </c>
      <c r="F41900" s="2">
        <v>3.7005656240545001E-5</v>
      </c>
    </row>
    <row r="41901" spans="1:6" x14ac:dyDescent="0.25">
      <c r="A41901" s="1" t="str">
        <f t="shared" si="1458"/>
        <v>99999</v>
      </c>
      <c r="B41901" s="1" t="str">
        <f>"47639"</f>
        <v>47639</v>
      </c>
      <c r="C41901" s="2">
        <v>1.9075568916392899E-4</v>
      </c>
      <c r="D41901" s="2">
        <v>1.0991674935517999E-4</v>
      </c>
      <c r="E41901" s="2">
        <v>1.3333275985909701E-4</v>
      </c>
      <c r="F41901" s="2">
        <v>1.8414014545295199E-4</v>
      </c>
    </row>
    <row r="41902" spans="1:6" x14ac:dyDescent="0.25">
      <c r="A41902" s="1" t="str">
        <f t="shared" si="1458"/>
        <v>99999</v>
      </c>
      <c r="B41902" s="1" t="str">
        <f>"47637"</f>
        <v>47637</v>
      </c>
      <c r="C41902" s="2">
        <v>9.4186974785821993E-6</v>
      </c>
      <c r="D41902" s="2">
        <v>0</v>
      </c>
      <c r="E41902" s="2">
        <v>0</v>
      </c>
      <c r="F41902" s="2">
        <v>8.5853122478064497E-6</v>
      </c>
    </row>
    <row r="41903" spans="1:6" x14ac:dyDescent="0.25">
      <c r="A41903" s="1" t="str">
        <f t="shared" si="1458"/>
        <v>99999</v>
      </c>
      <c r="B41903" s="1" t="str">
        <f>"47640"</f>
        <v>47640</v>
      </c>
      <c r="C41903" s="2">
        <v>4.4928269581742699E-5</v>
      </c>
      <c r="D41903" s="2">
        <v>1.20456711622115E-5</v>
      </c>
      <c r="E41903" s="2">
        <v>4.3010567696482999E-6</v>
      </c>
      <c r="F41903" s="2">
        <v>4.1841061989309602E-5</v>
      </c>
    </row>
    <row r="41904" spans="1:6" x14ac:dyDescent="0.25">
      <c r="A41904" s="1" t="str">
        <f t="shared" si="1458"/>
        <v>99999</v>
      </c>
      <c r="B41904" s="1" t="str">
        <f>"43545"</f>
        <v>43545</v>
      </c>
      <c r="C41904" s="2">
        <v>7.1527970391945504E-4</v>
      </c>
      <c r="D41904" s="2">
        <v>9.4859660402415698E-4</v>
      </c>
      <c r="E41904" s="2">
        <v>1.34623076889991E-3</v>
      </c>
      <c r="F41904" s="2">
        <v>7.4504721230964001E-4</v>
      </c>
    </row>
    <row r="41905" spans="1:6" x14ac:dyDescent="0.25">
      <c r="A41905" s="1" t="str">
        <f t="shared" si="1458"/>
        <v>99999</v>
      </c>
      <c r="B41905" s="1" t="str">
        <f>"43524"</f>
        <v>43524</v>
      </c>
      <c r="C41905" s="2">
        <v>5.7378271995960502E-5</v>
      </c>
      <c r="D41905" s="2">
        <v>2.55970512196994E-5</v>
      </c>
      <c r="E41905" s="2">
        <v>8.6021135392965999E-6</v>
      </c>
      <c r="F41905" s="2">
        <v>5.4176280736157897E-5</v>
      </c>
    </row>
    <row r="41906" spans="1:6" x14ac:dyDescent="0.25">
      <c r="A41906" s="1" t="str">
        <f t="shared" si="1458"/>
        <v>99999</v>
      </c>
      <c r="B41906" s="1" t="str">
        <f>"42726"</f>
        <v>42726</v>
      </c>
      <c r="C41906" s="2">
        <v>3.3495919538773899E-4</v>
      </c>
      <c r="D41906" s="2">
        <v>1.2949096499377299E-4</v>
      </c>
      <c r="E41906" s="2">
        <v>5.2472892589709198E-4</v>
      </c>
      <c r="F41906" s="2">
        <v>3.2584713841674599E-4</v>
      </c>
    </row>
    <row r="41907" spans="1:6" x14ac:dyDescent="0.25">
      <c r="A41907" s="1" t="str">
        <f t="shared" si="1458"/>
        <v>99999</v>
      </c>
      <c r="B41907" s="1" t="str">
        <f>"42728"</f>
        <v>42728</v>
      </c>
      <c r="C41907" s="2">
        <v>8.5536929630204597E-4</v>
      </c>
      <c r="D41907" s="2">
        <v>1.02087063099742E-3</v>
      </c>
      <c r="E41907" s="2">
        <v>2.37418333684586E-3</v>
      </c>
      <c r="F41907" s="2">
        <v>9.0106305901977801E-4</v>
      </c>
    </row>
    <row r="41908" spans="1:6" x14ac:dyDescent="0.25">
      <c r="A41908" s="1" t="str">
        <f t="shared" si="1458"/>
        <v>99999</v>
      </c>
      <c r="B41908" s="1" t="str">
        <f>"42565"</f>
        <v>42565</v>
      </c>
      <c r="C41908" s="2">
        <v>3.6375659227627798E-5</v>
      </c>
      <c r="D41908" s="2">
        <v>7.5285444763821999E-6</v>
      </c>
      <c r="E41908" s="2">
        <v>2.15052838482415E-5</v>
      </c>
      <c r="F41908" s="2">
        <v>3.4143885491276198E-5</v>
      </c>
    </row>
    <row r="41909" spans="1:6" x14ac:dyDescent="0.25">
      <c r="A41909" s="1" t="str">
        <f t="shared" si="1458"/>
        <v>99999</v>
      </c>
      <c r="B41909" s="1" t="str">
        <f>"42566"</f>
        <v>42566</v>
      </c>
      <c r="C41909" s="2">
        <v>3.5401311212602003E-5</v>
      </c>
      <c r="D41909" s="2">
        <v>1.9574215638593701E-5</v>
      </c>
      <c r="E41909" s="2">
        <v>1.29031703089449E-5</v>
      </c>
      <c r="F41909" s="2">
        <v>3.38478402413518E-5</v>
      </c>
    </row>
    <row r="41910" spans="1:6" x14ac:dyDescent="0.25">
      <c r="A41910" s="1" t="str">
        <f t="shared" si="1458"/>
        <v>99999</v>
      </c>
      <c r="B41910" s="1" t="str">
        <f>"42647"</f>
        <v>42647</v>
      </c>
      <c r="C41910" s="2">
        <v>1.6802090214666101E-4</v>
      </c>
      <c r="D41910" s="2">
        <v>3.6137013486634501E-5</v>
      </c>
      <c r="E41910" s="2">
        <v>6.8816908314372799E-5</v>
      </c>
      <c r="F41910" s="2">
        <v>1.5710134595986E-4</v>
      </c>
    </row>
    <row r="41911" spans="1:6" x14ac:dyDescent="0.25">
      <c r="A41911" s="1" t="str">
        <f t="shared" si="1458"/>
        <v>99999</v>
      </c>
      <c r="B41911" s="1" t="str">
        <f>"40829"</f>
        <v>40829</v>
      </c>
      <c r="C41911" s="2">
        <v>8.7691321352316998E-6</v>
      </c>
      <c r="D41911" s="2">
        <v>0</v>
      </c>
      <c r="E41911" s="2">
        <v>4.3010567696482999E-6</v>
      </c>
      <c r="F41911" s="2">
        <v>8.0919034979325103E-6</v>
      </c>
    </row>
    <row r="41912" spans="1:6" x14ac:dyDescent="0.25">
      <c r="A41912" s="1" t="str">
        <f t="shared" si="1458"/>
        <v>99999</v>
      </c>
      <c r="B41912" s="1" t="str">
        <f>"41164"</f>
        <v>41164</v>
      </c>
      <c r="C41912" s="2">
        <v>6.3982186320023902E-5</v>
      </c>
      <c r="D41912" s="2">
        <v>1.50570889527644E-6</v>
      </c>
      <c r="E41912" s="2">
        <v>8.6021135392965999E-6</v>
      </c>
      <c r="F41912" s="2">
        <v>5.8616959485023303E-5</v>
      </c>
    </row>
    <row r="41913" spans="1:6" x14ac:dyDescent="0.25">
      <c r="A41913" s="1" t="str">
        <f t="shared" si="1458"/>
        <v>99999</v>
      </c>
      <c r="B41913" s="1" t="str">
        <f>"40972"</f>
        <v>40972</v>
      </c>
      <c r="C41913" s="2">
        <v>8.6608712446732898E-7</v>
      </c>
      <c r="D41913" s="2">
        <v>0</v>
      </c>
      <c r="E41913" s="2">
        <v>0</v>
      </c>
      <c r="F41913" s="2">
        <v>7.8945399979829395E-7</v>
      </c>
    </row>
    <row r="41914" spans="1:6" x14ac:dyDescent="0.25">
      <c r="A41914" s="1" t="str">
        <f t="shared" si="1458"/>
        <v>99999</v>
      </c>
      <c r="B41914" s="1" t="str">
        <f>"41339"</f>
        <v>41339</v>
      </c>
      <c r="C41914" s="2">
        <v>5.4466054039939101E-4</v>
      </c>
      <c r="D41914" s="2">
        <v>6.2185777374916898E-4</v>
      </c>
      <c r="E41914" s="2">
        <v>7.3978176437950805E-4</v>
      </c>
      <c r="F41914" s="2">
        <v>5.5419670785840196E-4</v>
      </c>
    </row>
    <row r="41915" spans="1:6" x14ac:dyDescent="0.25">
      <c r="A41915" s="1" t="str">
        <f t="shared" si="1458"/>
        <v>99999</v>
      </c>
      <c r="B41915" s="1" t="str">
        <f>"41222"</f>
        <v>41222</v>
      </c>
      <c r="C41915" s="2">
        <v>1.06961759871715E-4</v>
      </c>
      <c r="D41915" s="2">
        <v>4.5171266858293199E-5</v>
      </c>
      <c r="E41915" s="2">
        <v>1.41934873398393E-4</v>
      </c>
      <c r="F41915" s="2">
        <v>1.037145192235E-4</v>
      </c>
    </row>
    <row r="41916" spans="1:6" x14ac:dyDescent="0.25">
      <c r="A41916" s="1" t="str">
        <f t="shared" si="1458"/>
        <v>99999</v>
      </c>
      <c r="B41916" s="1" t="str">
        <f>"40810"</f>
        <v>40810</v>
      </c>
      <c r="C41916" s="2">
        <v>4.5794356706210002E-5</v>
      </c>
      <c r="D41916" s="2">
        <v>9.0342533716586405E-6</v>
      </c>
      <c r="E41916" s="2">
        <v>1.72042270785932E-5</v>
      </c>
      <c r="F41916" s="2">
        <v>4.2729197739082599E-5</v>
      </c>
    </row>
    <row r="41917" spans="1:6" x14ac:dyDescent="0.25">
      <c r="A41917" s="1" t="str">
        <f t="shared" si="1458"/>
        <v>99999</v>
      </c>
      <c r="B41917" s="1" t="str">
        <f>"41352"</f>
        <v>41352</v>
      </c>
      <c r="C41917" s="2">
        <v>2.6740439967928698E-5</v>
      </c>
      <c r="D41917" s="2">
        <v>1.50570889527644E-6</v>
      </c>
      <c r="E41917" s="2">
        <v>3.8709510926834699E-5</v>
      </c>
      <c r="F41917" s="2">
        <v>2.53612097435202E-5</v>
      </c>
    </row>
    <row r="41918" spans="1:6" x14ac:dyDescent="0.25">
      <c r="A41918" s="1" t="str">
        <f t="shared" si="1458"/>
        <v>99999</v>
      </c>
      <c r="B41918" s="1" t="str">
        <f>"40419"</f>
        <v>40419</v>
      </c>
      <c r="C41918" s="2">
        <v>7.18852313307883E-5</v>
      </c>
      <c r="D41918" s="2">
        <v>3.9148431277187403E-5</v>
      </c>
      <c r="E41918" s="2">
        <v>1.72042270785932E-5</v>
      </c>
      <c r="F41918" s="2">
        <v>6.8485134482502004E-5</v>
      </c>
    </row>
    <row r="41919" spans="1:6" x14ac:dyDescent="0.25">
      <c r="A41919" s="1" t="str">
        <f t="shared" si="1458"/>
        <v>99999</v>
      </c>
      <c r="B41919" s="1" t="str">
        <f>"44611"</f>
        <v>44611</v>
      </c>
      <c r="C41919" s="2">
        <v>8.2061755043279404E-5</v>
      </c>
      <c r="D41919" s="2">
        <v>2.25856334291466E-5</v>
      </c>
      <c r="E41919" s="2">
        <v>4.3010567696482999E-6</v>
      </c>
      <c r="F41919" s="2">
        <v>7.63796744804849E-5</v>
      </c>
    </row>
    <row r="41920" spans="1:6" x14ac:dyDescent="0.25">
      <c r="A41920" s="1" t="str">
        <f t="shared" si="1458"/>
        <v>99999</v>
      </c>
      <c r="B41920" s="1" t="str">
        <f>"44654"</f>
        <v>44654</v>
      </c>
      <c r="C41920" s="2">
        <v>7.5923362548617197E-4</v>
      </c>
      <c r="D41920" s="2">
        <v>1.12024741808567E-3</v>
      </c>
      <c r="E41920" s="2">
        <v>6.2795428836865199E-4</v>
      </c>
      <c r="F41920" s="2">
        <v>7.7988187005073996E-4</v>
      </c>
    </row>
    <row r="41921" spans="1:6" x14ac:dyDescent="0.25">
      <c r="A41921" s="1" t="str">
        <f t="shared" si="1458"/>
        <v>99999</v>
      </c>
      <c r="B41921" s="1" t="str">
        <f>"44633"</f>
        <v>44633</v>
      </c>
      <c r="C41921" s="2">
        <v>6.60391432406338E-5</v>
      </c>
      <c r="D41921" s="2">
        <v>4.3665557963016701E-5</v>
      </c>
      <c r="E41921" s="2">
        <v>2.15052838482415E-5</v>
      </c>
      <c r="F41921" s="2">
        <v>6.3551046983762694E-5</v>
      </c>
    </row>
    <row r="41922" spans="1:6" x14ac:dyDescent="0.25">
      <c r="A41922" s="1" t="str">
        <f t="shared" si="1458"/>
        <v>99999</v>
      </c>
      <c r="B41922" s="1" t="str">
        <f>"44627"</f>
        <v>44627</v>
      </c>
      <c r="C41922" s="2">
        <v>7.8489145654851705E-5</v>
      </c>
      <c r="D41922" s="2">
        <v>6.1734064706334002E-5</v>
      </c>
      <c r="E41922" s="2">
        <v>0</v>
      </c>
      <c r="F41922" s="2">
        <v>7.5590220480686605E-5</v>
      </c>
    </row>
    <row r="41923" spans="1:6" x14ac:dyDescent="0.25">
      <c r="A41923" s="1" t="str">
        <f t="shared" si="1458"/>
        <v>99999</v>
      </c>
      <c r="B41923" s="1" t="str">
        <f>"45886"</f>
        <v>45886</v>
      </c>
      <c r="C41923" s="2">
        <v>4.2221747317782301E-6</v>
      </c>
      <c r="D41923" s="2">
        <v>1.50570889527644E-6</v>
      </c>
      <c r="E41923" s="2">
        <v>0</v>
      </c>
      <c r="F41923" s="2">
        <v>3.94726999899147E-6</v>
      </c>
    </row>
    <row r="41924" spans="1:6" x14ac:dyDescent="0.25">
      <c r="A41924" s="1" t="str">
        <f t="shared" si="1458"/>
        <v>99999</v>
      </c>
      <c r="B41924" s="1" t="str">
        <f>"45849"</f>
        <v>45849</v>
      </c>
      <c r="C41924" s="2">
        <v>3.7350007242653498E-5</v>
      </c>
      <c r="D41924" s="2">
        <v>1.35513800574879E-5</v>
      </c>
      <c r="E41924" s="2">
        <v>4.3010567696482999E-6</v>
      </c>
      <c r="F41924" s="2">
        <v>3.5032021241049297E-5</v>
      </c>
    </row>
    <row r="41925" spans="1:6" x14ac:dyDescent="0.25">
      <c r="A41925" s="1" t="str">
        <f t="shared" si="1458"/>
        <v>99999</v>
      </c>
      <c r="B41925" s="1" t="str">
        <f>"41041"</f>
        <v>41041</v>
      </c>
      <c r="C41925" s="2">
        <v>4.0543703514126802E-4</v>
      </c>
      <c r="D41925" s="2">
        <v>5.6313512683338796E-4</v>
      </c>
      <c r="E41925" s="2">
        <v>4.6021307435236802E-4</v>
      </c>
      <c r="F41925" s="2">
        <v>4.1702907539344899E-4</v>
      </c>
    </row>
    <row r="41926" spans="1:6" x14ac:dyDescent="0.25">
      <c r="A41926" s="1" t="str">
        <f t="shared" ref="A41926:A41989" si="1459">"99999"</f>
        <v>99999</v>
      </c>
      <c r="B41926" s="1" t="str">
        <f>"45876"</f>
        <v>45876</v>
      </c>
      <c r="C41926" s="2">
        <v>3.9948268616055503E-5</v>
      </c>
      <c r="D41926" s="2">
        <v>1.50570889527644E-6</v>
      </c>
      <c r="E41926" s="2">
        <v>1.72042270785932E-5</v>
      </c>
      <c r="F41926" s="2">
        <v>3.6906974490570197E-5</v>
      </c>
    </row>
    <row r="41927" spans="1:6" x14ac:dyDescent="0.25">
      <c r="A41927" s="1" t="str">
        <f t="shared" si="1459"/>
        <v>99999</v>
      </c>
      <c r="B41927" s="1" t="str">
        <f>"45877"</f>
        <v>45877</v>
      </c>
      <c r="C41927" s="2">
        <v>8.4984799088356599E-5</v>
      </c>
      <c r="D41927" s="2">
        <v>2.25856334291466E-5</v>
      </c>
      <c r="E41927" s="2">
        <v>5.5913738005427899E-5</v>
      </c>
      <c r="F41927" s="2">
        <v>8.0228262729501598E-5</v>
      </c>
    </row>
    <row r="41928" spans="1:6" x14ac:dyDescent="0.25">
      <c r="A41928" s="1" t="str">
        <f t="shared" si="1459"/>
        <v>99999</v>
      </c>
      <c r="B41928" s="1" t="str">
        <f>"45810"</f>
        <v>45810</v>
      </c>
      <c r="C41928" s="2">
        <v>6.2877925236328098E-4</v>
      </c>
      <c r="D41928" s="2">
        <v>4.59241213059314E-4</v>
      </c>
      <c r="E41928" s="2">
        <v>1.02795256794594E-3</v>
      </c>
      <c r="F41928" s="2">
        <v>6.2682647583984499E-4</v>
      </c>
    </row>
    <row r="41929" spans="1:6" x14ac:dyDescent="0.25">
      <c r="A41929" s="1" t="str">
        <f t="shared" si="1459"/>
        <v>99999</v>
      </c>
      <c r="B41929" s="1" t="str">
        <f>"44882"</f>
        <v>44882</v>
      </c>
      <c r="C41929" s="2">
        <v>8.9531756491810106E-5</v>
      </c>
      <c r="D41929" s="2">
        <v>3.01141779055288E-5</v>
      </c>
      <c r="E41929" s="2">
        <v>3.8709510926834699E-5</v>
      </c>
      <c r="F41929" s="2">
        <v>8.4471577978417498E-5</v>
      </c>
    </row>
    <row r="41930" spans="1:6" x14ac:dyDescent="0.25">
      <c r="A41930" s="1" t="str">
        <f t="shared" si="1459"/>
        <v>99999</v>
      </c>
      <c r="B41930" s="1" t="str">
        <f>"45381"</f>
        <v>45381</v>
      </c>
      <c r="C41930" s="2">
        <v>2.4347874286587701E-4</v>
      </c>
      <c r="D41930" s="2">
        <v>1.61110851794579E-4</v>
      </c>
      <c r="E41930" s="2">
        <v>1.11827476010855E-4</v>
      </c>
      <c r="F41930" s="2">
        <v>2.3505992843994201E-4</v>
      </c>
    </row>
    <row r="41931" spans="1:6" x14ac:dyDescent="0.25">
      <c r="A41931" s="1" t="str">
        <f t="shared" si="1459"/>
        <v>99999</v>
      </c>
      <c r="B41931" s="1" t="str">
        <f>"45321"</f>
        <v>45321</v>
      </c>
      <c r="C41931" s="2">
        <v>4.4711747800625797E-5</v>
      </c>
      <c r="D41931" s="2">
        <v>3.9148431277187403E-5</v>
      </c>
      <c r="E41931" s="2">
        <v>0</v>
      </c>
      <c r="F41931" s="2">
        <v>4.3321288238931401E-5</v>
      </c>
    </row>
    <row r="41932" spans="1:6" x14ac:dyDescent="0.25">
      <c r="A41932" s="1" t="str">
        <f t="shared" si="1459"/>
        <v>99999</v>
      </c>
      <c r="B41932" s="1" t="str">
        <f>"47006"</f>
        <v>47006</v>
      </c>
      <c r="C41932" s="2">
        <v>4.0164790397172298E-4</v>
      </c>
      <c r="D41932" s="2">
        <v>5.48078037880624E-4</v>
      </c>
      <c r="E41932" s="2">
        <v>5.1612681235779605E-4</v>
      </c>
      <c r="F41932" s="2">
        <v>4.13871259394255E-4</v>
      </c>
    </row>
    <row r="41933" spans="1:6" x14ac:dyDescent="0.25">
      <c r="A41933" s="1" t="str">
        <f t="shared" si="1459"/>
        <v>99999</v>
      </c>
      <c r="B41933" s="1" t="str">
        <f>"47032"</f>
        <v>47032</v>
      </c>
      <c r="C41933" s="2">
        <v>9.4186974785821993E-6</v>
      </c>
      <c r="D41933" s="2">
        <v>0</v>
      </c>
      <c r="E41933" s="2">
        <v>0</v>
      </c>
      <c r="F41933" s="2">
        <v>8.5853122478064497E-6</v>
      </c>
    </row>
    <row r="41934" spans="1:6" x14ac:dyDescent="0.25">
      <c r="A41934" s="1" t="str">
        <f t="shared" si="1459"/>
        <v>99999</v>
      </c>
      <c r="B41934" s="1" t="str">
        <f>"45660"</f>
        <v>45660</v>
      </c>
      <c r="C41934" s="2">
        <v>4.43869651289506E-4</v>
      </c>
      <c r="D41934" s="2">
        <v>2.95118943474182E-4</v>
      </c>
      <c r="E41934" s="2">
        <v>2.23654952021711E-4</v>
      </c>
      <c r="F41934" s="2">
        <v>4.29068248890373E-4</v>
      </c>
    </row>
    <row r="41935" spans="1:6" x14ac:dyDescent="0.25">
      <c r="A41935" s="1" t="str">
        <f t="shared" si="1459"/>
        <v>99999</v>
      </c>
      <c r="B41935" s="1" t="str">
        <f>"45732"</f>
        <v>45732</v>
      </c>
      <c r="C41935" s="2">
        <v>5.4022184388649598E-5</v>
      </c>
      <c r="D41935" s="2">
        <v>2.1079924533870101E-5</v>
      </c>
      <c r="E41935" s="2">
        <v>0</v>
      </c>
      <c r="F41935" s="2">
        <v>5.0623737737065603E-5</v>
      </c>
    </row>
    <row r="41936" spans="1:6" x14ac:dyDescent="0.25">
      <c r="A41936" s="1" t="str">
        <f t="shared" si="1459"/>
        <v>99999</v>
      </c>
      <c r="B41936" s="1" t="str">
        <f>"45651"</f>
        <v>45651</v>
      </c>
      <c r="C41936" s="2">
        <v>3.04646146031383E-4</v>
      </c>
      <c r="D41936" s="2">
        <v>2.8156756341669398E-4</v>
      </c>
      <c r="E41936" s="2">
        <v>1.2042958955015201E-4</v>
      </c>
      <c r="F41936" s="2">
        <v>2.9890702067362899E-4</v>
      </c>
    </row>
    <row r="41937" spans="1:6" x14ac:dyDescent="0.25">
      <c r="A41937" s="1" t="str">
        <f t="shared" si="1459"/>
        <v>99999</v>
      </c>
      <c r="B41937" s="1" t="str">
        <f>"45613"</f>
        <v>45613</v>
      </c>
      <c r="C41937" s="2">
        <v>1.7007785906727099E-4</v>
      </c>
      <c r="D41937" s="2">
        <v>7.3779735868545501E-5</v>
      </c>
      <c r="E41937" s="2">
        <v>1.72042270785932E-5</v>
      </c>
      <c r="F41937" s="2">
        <v>1.6025916195905299E-4</v>
      </c>
    </row>
    <row r="41938" spans="1:6" x14ac:dyDescent="0.25">
      <c r="A41938" s="1" t="str">
        <f t="shared" si="1459"/>
        <v>99999</v>
      </c>
      <c r="B41938" s="1" t="str">
        <f>"43758"</f>
        <v>43758</v>
      </c>
      <c r="C41938" s="2">
        <v>1.6401524919600001E-4</v>
      </c>
      <c r="D41938" s="2">
        <v>3.31255956960816E-5</v>
      </c>
      <c r="E41938" s="2">
        <v>4.3010567696482999E-5</v>
      </c>
      <c r="F41938" s="2">
        <v>1.52660667210995E-4</v>
      </c>
    </row>
    <row r="41939" spans="1:6" x14ac:dyDescent="0.25">
      <c r="A41939" s="1" t="str">
        <f t="shared" si="1459"/>
        <v>99999</v>
      </c>
      <c r="B41939" s="1" t="str">
        <f>"43728"</f>
        <v>43728</v>
      </c>
      <c r="C41939" s="2">
        <v>5.08826185624555E-5</v>
      </c>
      <c r="D41939" s="2">
        <v>7.5285444763821999E-6</v>
      </c>
      <c r="E41939" s="2">
        <v>0</v>
      </c>
      <c r="F41939" s="2">
        <v>4.6873831238023702E-5</v>
      </c>
    </row>
    <row r="41940" spans="1:6" x14ac:dyDescent="0.25">
      <c r="A41940" s="1" t="str">
        <f t="shared" si="1459"/>
        <v>99999</v>
      </c>
      <c r="B41940" s="1" t="str">
        <f>"43787"</f>
        <v>43787</v>
      </c>
      <c r="C41940" s="2">
        <v>1.3987307060147301E-4</v>
      </c>
      <c r="D41940" s="2">
        <v>3.1619886800805203E-5</v>
      </c>
      <c r="E41940" s="2">
        <v>1.29031703089449E-5</v>
      </c>
      <c r="F41940" s="2">
        <v>1.29865182966819E-4</v>
      </c>
    </row>
    <row r="41941" spans="1:6" x14ac:dyDescent="0.25">
      <c r="A41941" s="1" t="str">
        <f t="shared" si="1459"/>
        <v>99999</v>
      </c>
      <c r="B41941" s="1" t="str">
        <f>"46565"</f>
        <v>46565</v>
      </c>
      <c r="C41941" s="2">
        <v>3.0150658020518901E-4</v>
      </c>
      <c r="D41941" s="2">
        <v>3.0867032353167003E-4</v>
      </c>
      <c r="E41941" s="2">
        <v>2.23654952021711E-4</v>
      </c>
      <c r="F41941" s="2">
        <v>3.0018988342330101E-4</v>
      </c>
    </row>
    <row r="41942" spans="1:6" x14ac:dyDescent="0.25">
      <c r="A41942" s="1" t="str">
        <f t="shared" si="1459"/>
        <v>99999</v>
      </c>
      <c r="B41942" s="1" t="str">
        <f>"46531"</f>
        <v>46531</v>
      </c>
      <c r="C41942" s="2">
        <v>6.9178709066827898E-5</v>
      </c>
      <c r="D41942" s="2">
        <v>2.55970512196994E-5</v>
      </c>
      <c r="E41942" s="2">
        <v>4.3010567696482999E-6</v>
      </c>
      <c r="F41942" s="2">
        <v>6.48339097334349E-5</v>
      </c>
    </row>
    <row r="41943" spans="1:6" x14ac:dyDescent="0.25">
      <c r="A41943" s="1" t="str">
        <f t="shared" si="1459"/>
        <v>99999</v>
      </c>
      <c r="B41943" s="1" t="str">
        <f>"47355"</f>
        <v>47355</v>
      </c>
      <c r="C41943" s="2">
        <v>1.12266543509077E-4</v>
      </c>
      <c r="D41943" s="2">
        <v>6.0228355811057599E-5</v>
      </c>
      <c r="E41943" s="2">
        <v>3.44084541571864E-5</v>
      </c>
      <c r="F41943" s="2">
        <v>1.07069698722643E-4</v>
      </c>
    </row>
    <row r="41944" spans="1:6" x14ac:dyDescent="0.25">
      <c r="A41944" s="1" t="str">
        <f t="shared" si="1459"/>
        <v>99999</v>
      </c>
      <c r="B41944" s="1" t="str">
        <f>"47452"</f>
        <v>47452</v>
      </c>
      <c r="C41944" s="2">
        <v>2.4694309136374698E-4</v>
      </c>
      <c r="D41944" s="2">
        <v>2.3639629655840101E-4</v>
      </c>
      <c r="E41944" s="2">
        <v>2.3655812233065599E-4</v>
      </c>
      <c r="F41944" s="2">
        <v>2.4601360268714298E-4</v>
      </c>
    </row>
    <row r="41945" spans="1:6" x14ac:dyDescent="0.25">
      <c r="A41945" s="1" t="str">
        <f t="shared" si="1459"/>
        <v>99999</v>
      </c>
      <c r="B41945" s="1" t="str">
        <f>"32431"</f>
        <v>32431</v>
      </c>
      <c r="C41945" s="2">
        <v>2.9262918717939799E-4</v>
      </c>
      <c r="D41945" s="2">
        <v>1.68639396270961E-4</v>
      </c>
      <c r="E41945" s="2">
        <v>1.16128532780504E-4</v>
      </c>
      <c r="F41945" s="2">
        <v>2.8045353342834398E-4</v>
      </c>
    </row>
    <row r="41946" spans="1:6" x14ac:dyDescent="0.25">
      <c r="A41946" s="1" t="str">
        <f t="shared" si="1459"/>
        <v>99999</v>
      </c>
      <c r="B41946" s="1" t="str">
        <f>"39827"</f>
        <v>39827</v>
      </c>
      <c r="C41946" s="2">
        <v>2.2431656523703799E-4</v>
      </c>
      <c r="D41946" s="2">
        <v>8.4319698135480595E-5</v>
      </c>
      <c r="E41946" s="2">
        <v>3.1827820095397402E-4</v>
      </c>
      <c r="F41946" s="2">
        <v>2.1729721344448E-4</v>
      </c>
    </row>
    <row r="41947" spans="1:6" x14ac:dyDescent="0.25">
      <c r="A41947" s="1" t="str">
        <f t="shared" si="1459"/>
        <v>99999</v>
      </c>
      <c r="B41947" s="1" t="str">
        <f>"39828"</f>
        <v>39828</v>
      </c>
      <c r="C41947" s="2">
        <v>8.27004942975741E-4</v>
      </c>
      <c r="D41947" s="2">
        <v>1.2331755852314E-3</v>
      </c>
      <c r="E41947" s="2">
        <v>8.1289972946352903E-4</v>
      </c>
      <c r="F41947" s="2">
        <v>8.5330109203198099E-4</v>
      </c>
    </row>
    <row r="41948" spans="1:6" x14ac:dyDescent="0.25">
      <c r="A41948" s="1" t="str">
        <f t="shared" si="1459"/>
        <v>99999</v>
      </c>
      <c r="B41948" s="1" t="str">
        <f>"39845"</f>
        <v>39845</v>
      </c>
      <c r="C41948" s="2">
        <v>5.1813662221257897E-4</v>
      </c>
      <c r="D41948" s="2">
        <v>6.7305187618856802E-4</v>
      </c>
      <c r="E41948" s="2">
        <v>2.6236446294854599E-4</v>
      </c>
      <c r="F41948" s="2">
        <v>5.2242118436652098E-4</v>
      </c>
    </row>
    <row r="41949" spans="1:6" x14ac:dyDescent="0.25">
      <c r="A41949" s="1" t="str">
        <f t="shared" si="1459"/>
        <v>99999</v>
      </c>
      <c r="B41949" s="1" t="str">
        <f>"39840"</f>
        <v>39840</v>
      </c>
      <c r="C41949" s="2">
        <v>2.84184837715842E-4</v>
      </c>
      <c r="D41949" s="2">
        <v>3.19210285798605E-4</v>
      </c>
      <c r="E41949" s="2">
        <v>9.4623248932262599E-5</v>
      </c>
      <c r="F41949" s="2">
        <v>2.82131123177915E-4</v>
      </c>
    </row>
    <row r="41950" spans="1:6" x14ac:dyDescent="0.25">
      <c r="A41950" s="1" t="str">
        <f t="shared" si="1459"/>
        <v>99999</v>
      </c>
      <c r="B41950" s="1" t="str">
        <f>"39851"</f>
        <v>39851</v>
      </c>
      <c r="C41950" s="2">
        <v>2.06236996513782E-4</v>
      </c>
      <c r="D41950" s="2">
        <v>1.82190776328449E-4</v>
      </c>
      <c r="E41950" s="2">
        <v>9.8924305701910905E-5</v>
      </c>
      <c r="F41950" s="2">
        <v>2.02198905698338E-4</v>
      </c>
    </row>
    <row r="41951" spans="1:6" x14ac:dyDescent="0.25">
      <c r="A41951" s="1" t="str">
        <f t="shared" si="1459"/>
        <v>99999</v>
      </c>
      <c r="B41951" s="1" t="str">
        <f>"39862"</f>
        <v>39862</v>
      </c>
      <c r="C41951" s="2">
        <v>6.3982186320023902E-5</v>
      </c>
      <c r="D41951" s="2">
        <v>1.65627978480408E-5</v>
      </c>
      <c r="E41951" s="2">
        <v>0</v>
      </c>
      <c r="F41951" s="2">
        <v>5.9406413484821598E-5</v>
      </c>
    </row>
    <row r="41952" spans="1:6" x14ac:dyDescent="0.25">
      <c r="A41952" s="1" t="str">
        <f t="shared" si="1459"/>
        <v>99999</v>
      </c>
      <c r="B41952" s="1" t="str">
        <f>"32321"</f>
        <v>32321</v>
      </c>
      <c r="C41952" s="2">
        <v>2.4867526561268101E-4</v>
      </c>
      <c r="D41952" s="2">
        <v>1.55088016213473E-4</v>
      </c>
      <c r="E41952" s="2">
        <v>8.1720078623317706E-5</v>
      </c>
      <c r="F41952" s="2">
        <v>2.3871115318900899E-4</v>
      </c>
    </row>
    <row r="41953" spans="1:6" x14ac:dyDescent="0.25">
      <c r="A41953" s="1" t="str">
        <f t="shared" si="1459"/>
        <v>99999</v>
      </c>
      <c r="B41953" s="1" t="str">
        <f>"32347"</f>
        <v>32347</v>
      </c>
      <c r="C41953" s="2">
        <v>4.33909649358132E-4</v>
      </c>
      <c r="D41953" s="2">
        <v>6.5046624275942198E-4</v>
      </c>
      <c r="E41953" s="2">
        <v>1.11827476010855E-4</v>
      </c>
      <c r="F41953" s="2">
        <v>4.4071269538739698E-4</v>
      </c>
    </row>
    <row r="41954" spans="1:6" x14ac:dyDescent="0.25">
      <c r="A41954" s="1" t="str">
        <f t="shared" si="1459"/>
        <v>99999</v>
      </c>
      <c r="B41954" s="1" t="str">
        <f>"33471"</f>
        <v>33471</v>
      </c>
      <c r="C41954" s="2">
        <v>4.3152790976584601E-4</v>
      </c>
      <c r="D41954" s="2">
        <v>1.86707903014278E-4</v>
      </c>
      <c r="E41954" s="2">
        <v>1.11010275224622E-2</v>
      </c>
      <c r="F41954" s="2">
        <v>6.6027958908129801E-4</v>
      </c>
    </row>
    <row r="41955" spans="1:6" x14ac:dyDescent="0.25">
      <c r="A41955" s="1" t="str">
        <f t="shared" si="1459"/>
        <v>99999</v>
      </c>
      <c r="B41955" s="1" t="str">
        <f>"35503"</f>
        <v>35503</v>
      </c>
      <c r="C41955" s="2">
        <v>2.92304404507723E-5</v>
      </c>
      <c r="D41955" s="2">
        <v>7.5285444763821999E-6</v>
      </c>
      <c r="E41955" s="2">
        <v>3.01073973875381E-5</v>
      </c>
      <c r="F41955" s="2">
        <v>2.7828253492889801E-5</v>
      </c>
    </row>
    <row r="41956" spans="1:6" x14ac:dyDescent="0.25">
      <c r="A41956" s="1" t="str">
        <f t="shared" si="1459"/>
        <v>99999</v>
      </c>
      <c r="B41956" s="1" t="str">
        <f>"35594"</f>
        <v>35594</v>
      </c>
      <c r="C41956" s="2">
        <v>4.2914617017356099E-4</v>
      </c>
      <c r="D41956" s="2">
        <v>4.0804711061991501E-4</v>
      </c>
      <c r="E41956" s="2">
        <v>2.9677291710573201E-4</v>
      </c>
      <c r="F41956" s="2">
        <v>4.2472625189148201E-4</v>
      </c>
    </row>
    <row r="41957" spans="1:6" x14ac:dyDescent="0.25">
      <c r="A41957" s="1" t="str">
        <f t="shared" si="1459"/>
        <v>99999</v>
      </c>
      <c r="B41957" s="1" t="str">
        <f>"35564"</f>
        <v>35564</v>
      </c>
      <c r="C41957" s="2">
        <v>1.5687003041914499E-4</v>
      </c>
      <c r="D41957" s="2">
        <v>1.17445293831562E-4</v>
      </c>
      <c r="E41957" s="2">
        <v>1.07526419241207E-4</v>
      </c>
      <c r="F41957" s="2">
        <v>1.5315407596086899E-4</v>
      </c>
    </row>
    <row r="41958" spans="1:6" x14ac:dyDescent="0.25">
      <c r="A41958" s="1" t="str">
        <f t="shared" si="1459"/>
        <v>99999</v>
      </c>
      <c r="B41958" s="1" t="str">
        <f>"35575"</f>
        <v>35575</v>
      </c>
      <c r="C41958" s="2">
        <v>6.2033490289972406E-5</v>
      </c>
      <c r="D41958" s="2">
        <v>4.5171266858293199E-5</v>
      </c>
      <c r="E41958" s="2">
        <v>0</v>
      </c>
      <c r="F41958" s="2">
        <v>5.9505095234796402E-5</v>
      </c>
    </row>
    <row r="41959" spans="1:6" x14ac:dyDescent="0.25">
      <c r="A41959" s="1" t="str">
        <f t="shared" si="1459"/>
        <v>99999</v>
      </c>
      <c r="B41959" s="1" t="str">
        <f>"35572"</f>
        <v>35572</v>
      </c>
      <c r="C41959" s="2">
        <v>6.9286969957386301E-5</v>
      </c>
      <c r="D41959" s="2">
        <v>9.0342533716586405E-6</v>
      </c>
      <c r="E41959" s="2">
        <v>1.72042270785932E-5</v>
      </c>
      <c r="F41959" s="2">
        <v>6.4143137483611395E-5</v>
      </c>
    </row>
    <row r="41960" spans="1:6" x14ac:dyDescent="0.25">
      <c r="A41960" s="1" t="str">
        <f t="shared" si="1459"/>
        <v>99999</v>
      </c>
      <c r="B41960" s="1" t="str">
        <f>"35574"</f>
        <v>35574</v>
      </c>
      <c r="C41960" s="2">
        <v>7.9571754560435796E-5</v>
      </c>
      <c r="D41960" s="2">
        <v>1.80685067433172E-5</v>
      </c>
      <c r="E41960" s="2">
        <v>3.8709510926834699E-5</v>
      </c>
      <c r="F41960" s="2">
        <v>7.4603402980938797E-5</v>
      </c>
    </row>
    <row r="41961" spans="1:6" x14ac:dyDescent="0.25">
      <c r="A41961" s="1" t="str">
        <f t="shared" si="1459"/>
        <v>99999</v>
      </c>
      <c r="B41961" s="1" t="str">
        <f>"36475"</f>
        <v>36475</v>
      </c>
      <c r="C41961" s="2">
        <v>1.02414802468261E-4</v>
      </c>
      <c r="D41961" s="2">
        <v>3.01141779055288E-5</v>
      </c>
      <c r="E41961" s="2">
        <v>8.6021135392965999E-6</v>
      </c>
      <c r="F41961" s="2">
        <v>9.5523933975593601E-5</v>
      </c>
    </row>
    <row r="41962" spans="1:6" x14ac:dyDescent="0.25">
      <c r="A41962" s="1" t="str">
        <f t="shared" si="1459"/>
        <v>99999</v>
      </c>
      <c r="B41962" s="1" t="str">
        <f>"36435"</f>
        <v>36435</v>
      </c>
      <c r="C41962" s="2">
        <v>3.6808702789861399E-5</v>
      </c>
      <c r="D41962" s="2">
        <v>7.5285444763821999E-6</v>
      </c>
      <c r="E41962" s="2">
        <v>4.7311624466131299E-5</v>
      </c>
      <c r="F41962" s="2">
        <v>3.5130702991024101E-5</v>
      </c>
    </row>
    <row r="41963" spans="1:6" x14ac:dyDescent="0.25">
      <c r="A41963" s="1" t="str">
        <f t="shared" si="1459"/>
        <v>99999</v>
      </c>
      <c r="B41963" s="1" t="str">
        <f>"36524"</f>
        <v>36524</v>
      </c>
      <c r="C41963" s="2">
        <v>7.2751318455255596E-5</v>
      </c>
      <c r="D41963" s="2">
        <v>3.9148431277187403E-5</v>
      </c>
      <c r="E41963" s="2">
        <v>1.72042270785932E-5</v>
      </c>
      <c r="F41963" s="2">
        <v>6.9274588482300299E-5</v>
      </c>
    </row>
    <row r="41964" spans="1:6" x14ac:dyDescent="0.25">
      <c r="A41964" s="1" t="str">
        <f t="shared" si="1459"/>
        <v>99999</v>
      </c>
      <c r="B41964" s="1" t="str">
        <f>"36481"</f>
        <v>36481</v>
      </c>
      <c r="C41964" s="2">
        <v>3.0313049356356498E-6</v>
      </c>
      <c r="D41964" s="2">
        <v>3.01141779055288E-6</v>
      </c>
      <c r="E41964" s="2">
        <v>0</v>
      </c>
      <c r="F41964" s="2">
        <v>2.9604524992435999E-6</v>
      </c>
    </row>
    <row r="41965" spans="1:6" x14ac:dyDescent="0.25">
      <c r="A41965" s="1" t="str">
        <f t="shared" si="1459"/>
        <v>99999</v>
      </c>
      <c r="B41965" s="1" t="str">
        <f>"36482"</f>
        <v>36482</v>
      </c>
      <c r="C41965" s="2">
        <v>6.9611752629061499E-5</v>
      </c>
      <c r="D41965" s="2">
        <v>1.9574215638593701E-5</v>
      </c>
      <c r="E41965" s="2">
        <v>4.3010567696482999E-6</v>
      </c>
      <c r="F41965" s="2">
        <v>6.48339097334349E-5</v>
      </c>
    </row>
    <row r="41966" spans="1:6" x14ac:dyDescent="0.25">
      <c r="A41966" s="1" t="str">
        <f t="shared" si="1459"/>
        <v>99999</v>
      </c>
      <c r="B41966" s="1" t="str">
        <f>"36426"</f>
        <v>36426</v>
      </c>
      <c r="C41966" s="2">
        <v>1.06095672747247E-5</v>
      </c>
      <c r="D41966" s="2">
        <v>9.0342533716586405E-6</v>
      </c>
      <c r="E41966" s="2">
        <v>0</v>
      </c>
      <c r="F41966" s="2">
        <v>1.02629019973778E-5</v>
      </c>
    </row>
    <row r="41967" spans="1:6" x14ac:dyDescent="0.25">
      <c r="A41967" s="1" t="str">
        <f t="shared" si="1459"/>
        <v>99999</v>
      </c>
      <c r="B41967" s="1" t="str">
        <f>"36258"</f>
        <v>36258</v>
      </c>
      <c r="C41967" s="2">
        <v>1.4279611464655E-4</v>
      </c>
      <c r="D41967" s="2">
        <v>1.02388204878797E-4</v>
      </c>
      <c r="E41967" s="2">
        <v>3.01073973875381E-5</v>
      </c>
      <c r="F41967" s="2">
        <v>1.3756235946485199E-4</v>
      </c>
    </row>
    <row r="41968" spans="1:6" x14ac:dyDescent="0.25">
      <c r="A41968" s="1" t="str">
        <f t="shared" si="1459"/>
        <v>99999</v>
      </c>
      <c r="B41968" s="1" t="str">
        <f>"36272"</f>
        <v>36272</v>
      </c>
      <c r="C41968" s="2">
        <v>1.8566742730768301E-4</v>
      </c>
      <c r="D41968" s="2">
        <v>5.5711229125228301E-5</v>
      </c>
      <c r="E41968" s="2">
        <v>2.58063406178898E-5</v>
      </c>
      <c r="F41968" s="2">
        <v>1.73482516455675E-4</v>
      </c>
    </row>
    <row r="41969" spans="1:6" x14ac:dyDescent="0.25">
      <c r="A41969" s="1" t="str">
        <f t="shared" si="1459"/>
        <v>99999</v>
      </c>
      <c r="B41969" s="1" t="str">
        <f>"37134"</f>
        <v>37134</v>
      </c>
      <c r="C41969" s="2">
        <v>1.54921334389093E-4</v>
      </c>
      <c r="D41969" s="2">
        <v>1.15939584936285E-4</v>
      </c>
      <c r="E41969" s="2">
        <v>8.6021135392965999E-6</v>
      </c>
      <c r="F41969" s="2">
        <v>1.4900944246192801E-4</v>
      </c>
    </row>
    <row r="41970" spans="1:6" x14ac:dyDescent="0.25">
      <c r="A41970" s="1" t="str">
        <f t="shared" si="1459"/>
        <v>99999</v>
      </c>
      <c r="B41970" s="1" t="str">
        <f>"37137"</f>
        <v>37137</v>
      </c>
      <c r="C41970" s="2">
        <v>1.97251342597434E-4</v>
      </c>
      <c r="D41970" s="2">
        <v>5.4205520229951803E-5</v>
      </c>
      <c r="E41970" s="2">
        <v>5.1612681235779599E-5</v>
      </c>
      <c r="F41970" s="2">
        <v>1.8453487245285099E-4</v>
      </c>
    </row>
    <row r="41971" spans="1:6" x14ac:dyDescent="0.25">
      <c r="A41971" s="1" t="str">
        <f t="shared" si="1459"/>
        <v>99999</v>
      </c>
      <c r="B41971" s="1" t="str">
        <f>"36830"</f>
        <v>36830</v>
      </c>
      <c r="C41971" s="2">
        <v>5.5537836856467397E-5</v>
      </c>
      <c r="D41971" s="2">
        <v>2.7102760114975901E-5</v>
      </c>
      <c r="E41971" s="2">
        <v>4.3010567696482999E-5</v>
      </c>
      <c r="F41971" s="2">
        <v>5.3386826736359602E-5</v>
      </c>
    </row>
    <row r="41972" spans="1:6" x14ac:dyDescent="0.25">
      <c r="A41972" s="1" t="str">
        <f t="shared" si="1459"/>
        <v>99999</v>
      </c>
      <c r="B41972" s="1" t="str">
        <f>"36736"</f>
        <v>36736</v>
      </c>
      <c r="C41972" s="2">
        <v>8.3577407511097203E-5</v>
      </c>
      <c r="D41972" s="2">
        <v>2.7102760114975901E-5</v>
      </c>
      <c r="E41972" s="2">
        <v>0</v>
      </c>
      <c r="F41972" s="2">
        <v>7.7958582480081503E-5</v>
      </c>
    </row>
    <row r="41973" spans="1:6" x14ac:dyDescent="0.25">
      <c r="A41973" s="1" t="str">
        <f t="shared" si="1459"/>
        <v>99999</v>
      </c>
      <c r="B41973" s="1" t="str">
        <f>"36720"</f>
        <v>36720</v>
      </c>
      <c r="C41973" s="2">
        <v>6.3007838304998201E-5</v>
      </c>
      <c r="D41973" s="2">
        <v>6.0228355811057601E-6</v>
      </c>
      <c r="E41973" s="2">
        <v>1.29031703089449E-5</v>
      </c>
      <c r="F41973" s="2">
        <v>5.8123550735149399E-5</v>
      </c>
    </row>
    <row r="41974" spans="1:6" x14ac:dyDescent="0.25">
      <c r="A41974" s="1" t="str">
        <f t="shared" si="1459"/>
        <v>99999</v>
      </c>
      <c r="B41974" s="1" t="str">
        <f>"36053"</f>
        <v>36053</v>
      </c>
      <c r="C41974" s="2">
        <v>8.2819581277188297E-5</v>
      </c>
      <c r="D41974" s="2">
        <v>3.6137013486634501E-5</v>
      </c>
      <c r="E41974" s="2">
        <v>3.44084541571864E-5</v>
      </c>
      <c r="F41974" s="2">
        <v>7.8649354729904995E-5</v>
      </c>
    </row>
    <row r="41975" spans="1:6" x14ac:dyDescent="0.25">
      <c r="A41975" s="1" t="str">
        <f t="shared" si="1459"/>
        <v>99999</v>
      </c>
      <c r="B41975" s="1" t="str">
        <f>"36005"</f>
        <v>36005</v>
      </c>
      <c r="C41975" s="2">
        <v>3.6483920118186202E-5</v>
      </c>
      <c r="D41975" s="2">
        <v>2.55970512196994E-5</v>
      </c>
      <c r="E41975" s="2">
        <v>0</v>
      </c>
      <c r="F41975" s="2">
        <v>3.49333394910745E-5</v>
      </c>
    </row>
    <row r="41976" spans="1:6" x14ac:dyDescent="0.25">
      <c r="A41976" s="1" t="str">
        <f t="shared" si="1459"/>
        <v>99999</v>
      </c>
      <c r="B41976" s="1" t="str">
        <f>"37752"</f>
        <v>37752</v>
      </c>
      <c r="C41976" s="2">
        <v>3.1601353954001599E-4</v>
      </c>
      <c r="D41976" s="2">
        <v>2.18327789815083E-4</v>
      </c>
      <c r="E41976" s="2">
        <v>3.7419193895940199E-4</v>
      </c>
      <c r="F41976" s="2">
        <v>3.10946194170553E-4</v>
      </c>
    </row>
    <row r="41977" spans="1:6" x14ac:dyDescent="0.25">
      <c r="A41977" s="1" t="str">
        <f t="shared" si="1459"/>
        <v>99999</v>
      </c>
      <c r="B41977" s="1" t="str">
        <f>"38334"</f>
        <v>38334</v>
      </c>
      <c r="C41977" s="2">
        <v>6.6796969474542693E-5</v>
      </c>
      <c r="D41977" s="2">
        <v>3.6137013486634501E-5</v>
      </c>
      <c r="E41977" s="2">
        <v>8.6021135392965999E-6</v>
      </c>
      <c r="F41977" s="2">
        <v>6.3452365233787904E-5</v>
      </c>
    </row>
    <row r="41978" spans="1:6" x14ac:dyDescent="0.25">
      <c r="A41978" s="1" t="str">
        <f t="shared" si="1459"/>
        <v>99999</v>
      </c>
      <c r="B41978" s="1" t="str">
        <f>"38375"</f>
        <v>38375</v>
      </c>
      <c r="C41978" s="2">
        <v>5.08934446515114E-4</v>
      </c>
      <c r="D41978" s="2">
        <v>9.22999552804458E-4</v>
      </c>
      <c r="E41978" s="2">
        <v>2.5806340617889802E-4</v>
      </c>
      <c r="F41978" s="2">
        <v>5.3031572436450399E-4</v>
      </c>
    </row>
    <row r="41979" spans="1:6" x14ac:dyDescent="0.25">
      <c r="A41979" s="1" t="str">
        <f t="shared" si="1459"/>
        <v>99999</v>
      </c>
      <c r="B41979" s="1" t="str">
        <f>"38328"</f>
        <v>38328</v>
      </c>
      <c r="C41979" s="2">
        <v>5.7161750214843702E-5</v>
      </c>
      <c r="D41979" s="2">
        <v>1.9574215638593701E-5</v>
      </c>
      <c r="E41979" s="2">
        <v>0</v>
      </c>
      <c r="F41979" s="2">
        <v>5.3386826736359602E-5</v>
      </c>
    </row>
    <row r="41980" spans="1:6" x14ac:dyDescent="0.25">
      <c r="A41980" s="1" t="str">
        <f t="shared" si="1459"/>
        <v>99999</v>
      </c>
      <c r="B41980" s="1" t="str">
        <f>"38363"</f>
        <v>38363</v>
      </c>
      <c r="C41980" s="2">
        <v>3.6180789624622601E-4</v>
      </c>
      <c r="D41980" s="2">
        <v>5.5259516456645304E-4</v>
      </c>
      <c r="E41980" s="2">
        <v>2.49461292639601E-4</v>
      </c>
      <c r="F41980" s="2">
        <v>3.7173415215502098E-4</v>
      </c>
    </row>
    <row r="41981" spans="1:6" x14ac:dyDescent="0.25">
      <c r="A41981" s="1" t="str">
        <f t="shared" si="1459"/>
        <v>99999</v>
      </c>
      <c r="B41981" s="1" t="str">
        <f>"38381"</f>
        <v>38381</v>
      </c>
      <c r="C41981" s="2">
        <v>8.82326258051091E-5</v>
      </c>
      <c r="D41981" s="2">
        <v>4.2159849067740298E-5</v>
      </c>
      <c r="E41981" s="2">
        <v>2.58063406178898E-5</v>
      </c>
      <c r="F41981" s="2">
        <v>8.3780805728593993E-5</v>
      </c>
    </row>
    <row r="41982" spans="1:6" x14ac:dyDescent="0.25">
      <c r="A41982" s="1" t="str">
        <f t="shared" si="1459"/>
        <v>99999</v>
      </c>
      <c r="B41982" s="1" t="str">
        <f>"38305"</f>
        <v>38305</v>
      </c>
      <c r="C41982" s="2">
        <v>8.3360885729980396E-6</v>
      </c>
      <c r="D41982" s="2">
        <v>3.01141779055288E-6</v>
      </c>
      <c r="E41982" s="2">
        <v>0</v>
      </c>
      <c r="F41982" s="2">
        <v>7.7958582480081497E-6</v>
      </c>
    </row>
    <row r="41983" spans="1:6" x14ac:dyDescent="0.25">
      <c r="A41983" s="1" t="str">
        <f t="shared" si="1459"/>
        <v>99999</v>
      </c>
      <c r="B41983" s="1" t="str">
        <f>"38463"</f>
        <v>38463</v>
      </c>
      <c r="C41983" s="2">
        <v>1.1540610933527101E-4</v>
      </c>
      <c r="D41983" s="2">
        <v>6.7756900287439806E-5</v>
      </c>
      <c r="E41983" s="2">
        <v>8.6021135392965999E-6</v>
      </c>
      <c r="F41983" s="2">
        <v>1.09832787721937E-4</v>
      </c>
    </row>
    <row r="41984" spans="1:6" x14ac:dyDescent="0.25">
      <c r="A41984" s="1" t="str">
        <f t="shared" si="1459"/>
        <v>99999</v>
      </c>
      <c r="B41984" s="1" t="str">
        <f>"38487"</f>
        <v>38487</v>
      </c>
      <c r="C41984" s="2">
        <v>1.77547860515802E-5</v>
      </c>
      <c r="D41984" s="2">
        <v>1.35513800574879E-5</v>
      </c>
      <c r="E41984" s="2">
        <v>4.3010567696482999E-6</v>
      </c>
      <c r="F41984" s="2">
        <v>1.7170624495612899E-5</v>
      </c>
    </row>
    <row r="41985" spans="1:6" x14ac:dyDescent="0.25">
      <c r="A41985" s="1" t="str">
        <f t="shared" si="1459"/>
        <v>99999</v>
      </c>
      <c r="B41985" s="1" t="str">
        <f>"38080"</f>
        <v>38080</v>
      </c>
      <c r="C41985" s="2">
        <v>1.19736544957608E-4</v>
      </c>
      <c r="D41985" s="2">
        <v>1.23468129412668E-4</v>
      </c>
      <c r="E41985" s="2">
        <v>6.0214794775076199E-5</v>
      </c>
      <c r="F41985" s="2">
        <v>1.1861546346969301E-4</v>
      </c>
    </row>
    <row r="41986" spans="1:6" x14ac:dyDescent="0.25">
      <c r="A41986" s="1" t="str">
        <f t="shared" si="1459"/>
        <v>99999</v>
      </c>
      <c r="B41986" s="1" t="str">
        <f>"37841"</f>
        <v>37841</v>
      </c>
      <c r="C41986" s="2">
        <v>5.0243879308160897E-4</v>
      </c>
      <c r="D41986" s="2">
        <v>7.4231448537128504E-4</v>
      </c>
      <c r="E41986" s="2">
        <v>1.37633816628745E-4</v>
      </c>
      <c r="F41986" s="2">
        <v>5.0978992036974805E-4</v>
      </c>
    </row>
    <row r="41987" spans="1:6" x14ac:dyDescent="0.25">
      <c r="A41987" s="1" t="str">
        <f t="shared" si="1459"/>
        <v>99999</v>
      </c>
      <c r="B41987" s="1" t="str">
        <f>"39192"</f>
        <v>39192</v>
      </c>
      <c r="C41987" s="2">
        <v>4.6335661159002102E-5</v>
      </c>
      <c r="D41987" s="2">
        <v>1.9574215638593701E-5</v>
      </c>
      <c r="E41987" s="2">
        <v>0</v>
      </c>
      <c r="F41987" s="2">
        <v>4.3518651738880901E-5</v>
      </c>
    </row>
    <row r="41988" spans="1:6" x14ac:dyDescent="0.25">
      <c r="A41988" s="1" t="str">
        <f t="shared" si="1459"/>
        <v>99999</v>
      </c>
      <c r="B41988" s="1" t="str">
        <f>"39341"</f>
        <v>39341</v>
      </c>
      <c r="C41988" s="2">
        <v>5.8958880998113397E-4</v>
      </c>
      <c r="D41988" s="2">
        <v>8.0103713228706595E-4</v>
      </c>
      <c r="E41988" s="2">
        <v>2.4516023586995298E-4</v>
      </c>
      <c r="F41988" s="2">
        <v>5.9554436109783798E-4</v>
      </c>
    </row>
    <row r="41989" spans="1:6" x14ac:dyDescent="0.25">
      <c r="A41989" s="1" t="str">
        <f t="shared" si="1459"/>
        <v>99999</v>
      </c>
      <c r="B41989" s="1" t="str">
        <f>"39332"</f>
        <v>39332</v>
      </c>
      <c r="C41989" s="2">
        <v>7.6865232296475394E-5</v>
      </c>
      <c r="D41989" s="2">
        <v>3.01141779055288E-5</v>
      </c>
      <c r="E41989" s="2">
        <v>8.6021135392965999E-6</v>
      </c>
      <c r="F41989" s="2">
        <v>7.2235040981543898E-5</v>
      </c>
    </row>
    <row r="41990" spans="1:6" x14ac:dyDescent="0.25">
      <c r="A41990" s="1" t="str">
        <f t="shared" ref="A41990:A42053" si="1460">"99999"</f>
        <v>99999</v>
      </c>
      <c r="B41990" s="1" t="str">
        <f>"39051"</f>
        <v>39051</v>
      </c>
      <c r="C41990" s="2">
        <v>8.3230972661310295E-4</v>
      </c>
      <c r="D41990" s="2">
        <v>1.0133420865210401E-3</v>
      </c>
      <c r="E41990" s="2">
        <v>3.09676087414677E-4</v>
      </c>
      <c r="F41990" s="2">
        <v>8.3218319753737698E-4</v>
      </c>
    </row>
    <row r="41991" spans="1:6" x14ac:dyDescent="0.25">
      <c r="A41991" s="1" t="str">
        <f t="shared" si="1460"/>
        <v>99999</v>
      </c>
      <c r="B41991" s="1" t="str">
        <f>"38925"</f>
        <v>38925</v>
      </c>
      <c r="C41991" s="2">
        <v>1.07503064324507E-4</v>
      </c>
      <c r="D41991" s="2">
        <v>3.01141779055288E-5</v>
      </c>
      <c r="E41991" s="2">
        <v>2.58063406178898E-5</v>
      </c>
      <c r="F41991" s="2">
        <v>1.00556703224307E-4</v>
      </c>
    </row>
    <row r="41992" spans="1:6" x14ac:dyDescent="0.25">
      <c r="A41992" s="1" t="str">
        <f t="shared" si="1460"/>
        <v>99999</v>
      </c>
      <c r="B41992" s="1" t="str">
        <f>"38950"</f>
        <v>38950</v>
      </c>
      <c r="C41992" s="2">
        <v>3.7783050804887201E-5</v>
      </c>
      <c r="D41992" s="2">
        <v>9.0342533716586405E-6</v>
      </c>
      <c r="E41992" s="2">
        <v>0</v>
      </c>
      <c r="F41992" s="2">
        <v>3.5032021241049297E-5</v>
      </c>
    </row>
    <row r="41993" spans="1:6" x14ac:dyDescent="0.25">
      <c r="A41993" s="1" t="str">
        <f t="shared" si="1460"/>
        <v>99999</v>
      </c>
      <c r="B41993" s="1" t="str">
        <f>"40312"</f>
        <v>40312</v>
      </c>
      <c r="C41993" s="2">
        <v>2.9425310053777501E-4</v>
      </c>
      <c r="D41993" s="2">
        <v>1.3250238278432599E-4</v>
      </c>
      <c r="E41993" s="2">
        <v>1.03225362471559E-4</v>
      </c>
      <c r="F41993" s="2">
        <v>2.7926935242864601E-4</v>
      </c>
    </row>
    <row r="41994" spans="1:6" x14ac:dyDescent="0.25">
      <c r="A41994" s="1" t="str">
        <f t="shared" si="1460"/>
        <v>99999</v>
      </c>
      <c r="B41994" s="1" t="str">
        <f>"39573"</f>
        <v>39573</v>
      </c>
      <c r="C41994" s="2">
        <v>1.7430003379904999E-5</v>
      </c>
      <c r="D41994" s="2">
        <v>3.01141779055288E-6</v>
      </c>
      <c r="E41994" s="2">
        <v>0</v>
      </c>
      <c r="F41994" s="2">
        <v>1.60851252458902E-5</v>
      </c>
    </row>
    <row r="41995" spans="1:6" x14ac:dyDescent="0.25">
      <c r="A41995" s="1" t="str">
        <f t="shared" si="1460"/>
        <v>99999</v>
      </c>
      <c r="B41995" s="1" t="str">
        <f>"39641"</f>
        <v>39641</v>
      </c>
      <c r="C41995" s="2">
        <v>2.9197962183604798E-4</v>
      </c>
      <c r="D41995" s="2">
        <v>1.0088249598352101E-4</v>
      </c>
      <c r="E41995" s="2">
        <v>6.4515851544724506E-5</v>
      </c>
      <c r="F41995" s="2">
        <v>2.7423658317993199E-4</v>
      </c>
    </row>
    <row r="41996" spans="1:6" x14ac:dyDescent="0.25">
      <c r="A41996" s="1" t="str">
        <f t="shared" si="1460"/>
        <v>99999</v>
      </c>
      <c r="B41996" s="1" t="str">
        <f>"39654"</f>
        <v>39654</v>
      </c>
      <c r="C41996" s="2">
        <v>3.0854353809148602E-4</v>
      </c>
      <c r="D41996" s="2">
        <v>2.6199334777810002E-4</v>
      </c>
      <c r="E41996" s="2">
        <v>9.4623248932262599E-5</v>
      </c>
      <c r="F41996" s="2">
        <v>3.005846104232E-4</v>
      </c>
    </row>
    <row r="41997" spans="1:6" x14ac:dyDescent="0.25">
      <c r="A41997" s="1" t="str">
        <f t="shared" si="1460"/>
        <v>99999</v>
      </c>
      <c r="B41997" s="1" t="str">
        <f>"40040"</f>
        <v>40040</v>
      </c>
      <c r="C41997" s="2">
        <v>2.7931309764071301E-5</v>
      </c>
      <c r="D41997" s="2">
        <v>3.01141779055288E-6</v>
      </c>
      <c r="E41997" s="2">
        <v>6.8816908314372799E-5</v>
      </c>
      <c r="F41997" s="2">
        <v>2.72361629930411E-5</v>
      </c>
    </row>
    <row r="41998" spans="1:6" x14ac:dyDescent="0.25">
      <c r="A41998" s="1" t="str">
        <f t="shared" si="1460"/>
        <v>99999</v>
      </c>
      <c r="B41998" s="1" t="str">
        <f>"39767"</f>
        <v>39767</v>
      </c>
      <c r="C41998" s="2">
        <v>3.2694788948641601E-5</v>
      </c>
      <c r="D41998" s="2">
        <v>1.80685067433172E-5</v>
      </c>
      <c r="E41998" s="2">
        <v>0</v>
      </c>
      <c r="F41998" s="2">
        <v>3.0986069492082998E-5</v>
      </c>
    </row>
    <row r="41999" spans="1:6" x14ac:dyDescent="0.25">
      <c r="A41999" s="1" t="str">
        <f t="shared" si="1460"/>
        <v>99999</v>
      </c>
      <c r="B41999" s="1" t="str">
        <f>"40111"</f>
        <v>40111</v>
      </c>
      <c r="C41999" s="2">
        <v>8.8990452039018007E-5</v>
      </c>
      <c r="D41999" s="2">
        <v>4.6676975753569603E-5</v>
      </c>
      <c r="E41999" s="2">
        <v>5.4193315297568602E-4</v>
      </c>
      <c r="F41999" s="2">
        <v>9.6609433225316199E-5</v>
      </c>
    </row>
    <row r="42000" spans="1:6" x14ac:dyDescent="0.25">
      <c r="A42000" s="1" t="str">
        <f t="shared" si="1460"/>
        <v>99999</v>
      </c>
      <c r="B42000" s="1" t="str">
        <f>"39772"</f>
        <v>39772</v>
      </c>
      <c r="C42000" s="2">
        <v>1.0382219404552099E-4</v>
      </c>
      <c r="D42000" s="2">
        <v>5.4205520229951803E-5</v>
      </c>
      <c r="E42000" s="2">
        <v>1.72042270785932E-5</v>
      </c>
      <c r="F42000" s="2">
        <v>9.8583068224812004E-5</v>
      </c>
    </row>
    <row r="42001" spans="1:6" x14ac:dyDescent="0.25">
      <c r="A42001" s="1" t="str">
        <f t="shared" si="1460"/>
        <v>99999</v>
      </c>
      <c r="B42001" s="1" t="str">
        <f>"40115"</f>
        <v>40115</v>
      </c>
      <c r="C42001" s="2">
        <v>3.1936962714732702E-5</v>
      </c>
      <c r="D42001" s="2">
        <v>1.50570889527644E-6</v>
      </c>
      <c r="E42001" s="2">
        <v>8.1720078623317706E-5</v>
      </c>
      <c r="F42001" s="2">
        <v>3.1084751242057802E-5</v>
      </c>
    </row>
    <row r="42002" spans="1:6" x14ac:dyDescent="0.25">
      <c r="A42002" s="1" t="str">
        <f t="shared" si="1460"/>
        <v>99999</v>
      </c>
      <c r="B42002" s="1" t="str">
        <f>"39668"</f>
        <v>39668</v>
      </c>
      <c r="C42002" s="2">
        <v>3.0204788465798102E-5</v>
      </c>
      <c r="D42002" s="2">
        <v>7.5285444763821999E-6</v>
      </c>
      <c r="E42002" s="2">
        <v>0</v>
      </c>
      <c r="F42002" s="2">
        <v>2.8025616992839402E-5</v>
      </c>
    </row>
    <row r="42003" spans="1:6" x14ac:dyDescent="0.25">
      <c r="A42003" s="1" t="str">
        <f t="shared" si="1460"/>
        <v>99999</v>
      </c>
      <c r="B42003" s="1" t="str">
        <f>"40062"</f>
        <v>40062</v>
      </c>
      <c r="C42003" s="2">
        <v>1.8187829613813899E-5</v>
      </c>
      <c r="D42003" s="2">
        <v>1.50570889527644E-6</v>
      </c>
      <c r="E42003" s="2">
        <v>2.15052838482415E-5</v>
      </c>
      <c r="F42003" s="2">
        <v>1.7170624495612899E-5</v>
      </c>
    </row>
    <row r="42004" spans="1:6" x14ac:dyDescent="0.25">
      <c r="A42004" s="1" t="str">
        <f t="shared" si="1460"/>
        <v>99999</v>
      </c>
      <c r="B42004" s="1" t="str">
        <f>"40152"</f>
        <v>40152</v>
      </c>
      <c r="C42004" s="2">
        <v>5.7703054667635801E-5</v>
      </c>
      <c r="D42004" s="2">
        <v>3.4631304591358098E-5</v>
      </c>
      <c r="E42004" s="2">
        <v>1.2903170308944901E-4</v>
      </c>
      <c r="F42004" s="2">
        <v>5.7827505485225001E-5</v>
      </c>
    </row>
    <row r="42005" spans="1:6" x14ac:dyDescent="0.25">
      <c r="A42005" s="1" t="str">
        <f t="shared" si="1460"/>
        <v>99999</v>
      </c>
      <c r="B42005" s="1" t="str">
        <f>"39346"</f>
        <v>39346</v>
      </c>
      <c r="C42005" s="2">
        <v>1.8426003573042399E-4</v>
      </c>
      <c r="D42005" s="2">
        <v>7.6791153659098402E-5</v>
      </c>
      <c r="E42005" s="2">
        <v>2.58063406178898E-5</v>
      </c>
      <c r="F42005" s="2">
        <v>1.7358119820564999E-4</v>
      </c>
    </row>
    <row r="42006" spans="1:6" x14ac:dyDescent="0.25">
      <c r="A42006" s="1" t="str">
        <f t="shared" si="1460"/>
        <v>99999</v>
      </c>
      <c r="B42006" s="1" t="str">
        <f>"38860"</f>
        <v>38860</v>
      </c>
      <c r="C42006" s="2">
        <v>3.0648658117087598E-4</v>
      </c>
      <c r="D42006" s="2">
        <v>3.9449573056242698E-4</v>
      </c>
      <c r="E42006" s="2">
        <v>8.1720078623317706E-5</v>
      </c>
      <c r="F42006" s="2">
        <v>3.0709760592153603E-4</v>
      </c>
    </row>
    <row r="42007" spans="1:6" x14ac:dyDescent="0.25">
      <c r="A42007" s="1" t="str">
        <f t="shared" si="1460"/>
        <v>99999</v>
      </c>
      <c r="B42007" s="1" t="str">
        <f>"38659"</f>
        <v>38659</v>
      </c>
      <c r="C42007" s="2">
        <v>1.51565246781782E-5</v>
      </c>
      <c r="D42007" s="2">
        <v>1.50570889527644E-6</v>
      </c>
      <c r="E42007" s="2">
        <v>0</v>
      </c>
      <c r="F42007" s="2">
        <v>1.39141267464449E-5</v>
      </c>
    </row>
    <row r="42008" spans="1:6" x14ac:dyDescent="0.25">
      <c r="A42008" s="1" t="str">
        <f t="shared" si="1460"/>
        <v>99999</v>
      </c>
      <c r="B42008" s="1" t="str">
        <f>"38858"</f>
        <v>38858</v>
      </c>
      <c r="C42008" s="2">
        <v>1.7765612140636E-4</v>
      </c>
      <c r="D42008" s="2">
        <v>8.1308280344927694E-5</v>
      </c>
      <c r="E42008" s="2">
        <v>1.72042270785932E-5</v>
      </c>
      <c r="F42008" s="2">
        <v>1.67660293207162E-4</v>
      </c>
    </row>
    <row r="42009" spans="1:6" x14ac:dyDescent="0.25">
      <c r="A42009" s="1" t="str">
        <f t="shared" si="1460"/>
        <v>99999</v>
      </c>
      <c r="B42009" s="1" t="str">
        <f>"25882"</f>
        <v>25882</v>
      </c>
      <c r="C42009" s="2">
        <v>1.16596979131414E-4</v>
      </c>
      <c r="D42009" s="2">
        <v>2.1531637202453101E-4</v>
      </c>
      <c r="E42009" s="2">
        <v>1.41934873398393E-4</v>
      </c>
      <c r="F42009" s="2">
        <v>1.2364823271840701E-4</v>
      </c>
    </row>
    <row r="42010" spans="1:6" x14ac:dyDescent="0.25">
      <c r="A42010" s="1" t="str">
        <f t="shared" si="1460"/>
        <v>99999</v>
      </c>
      <c r="B42010" s="1" t="str">
        <f>"26621"</f>
        <v>26621</v>
      </c>
      <c r="C42010" s="2">
        <v>2.8364353326305E-5</v>
      </c>
      <c r="D42010" s="2">
        <v>9.0342533716586405E-6</v>
      </c>
      <c r="E42010" s="2">
        <v>0</v>
      </c>
      <c r="F42010" s="2">
        <v>2.6446708993242801E-5</v>
      </c>
    </row>
    <row r="42011" spans="1:6" x14ac:dyDescent="0.25">
      <c r="A42011" s="1" t="str">
        <f t="shared" si="1460"/>
        <v>99999</v>
      </c>
      <c r="B42011" s="1" t="str">
        <f>"26801"</f>
        <v>26801</v>
      </c>
      <c r="C42011" s="2">
        <v>6.7771317489568502E-5</v>
      </c>
      <c r="D42011" s="2">
        <v>4.3665557963016701E-5</v>
      </c>
      <c r="E42011" s="2">
        <v>1.72042270785932E-5</v>
      </c>
      <c r="F42011" s="2">
        <v>6.5031273233384494E-5</v>
      </c>
    </row>
    <row r="42012" spans="1:6" x14ac:dyDescent="0.25">
      <c r="A42012" s="1" t="str">
        <f t="shared" si="1460"/>
        <v>99999</v>
      </c>
      <c r="B42012" s="1" t="str">
        <f>"26818"</f>
        <v>26818</v>
      </c>
      <c r="C42012" s="2">
        <v>4.28713126611328E-5</v>
      </c>
      <c r="D42012" s="2">
        <v>3.01141779055288E-6</v>
      </c>
      <c r="E42012" s="2">
        <v>4.3010567696482999E-6</v>
      </c>
      <c r="F42012" s="2">
        <v>3.9374018239939899E-5</v>
      </c>
    </row>
    <row r="42013" spans="1:6" x14ac:dyDescent="0.25">
      <c r="A42013" s="1" t="str">
        <f t="shared" si="1460"/>
        <v>99999</v>
      </c>
      <c r="B42013" s="1" t="str">
        <f>"26812"</f>
        <v>26812</v>
      </c>
      <c r="C42013" s="2">
        <v>9.4078713895263599E-5</v>
      </c>
      <c r="D42013" s="2">
        <v>3.9148431277187403E-5</v>
      </c>
      <c r="E42013" s="2">
        <v>4.3010567696482999E-6</v>
      </c>
      <c r="F42013" s="2">
        <v>8.8418847977408905E-5</v>
      </c>
    </row>
    <row r="42014" spans="1:6" x14ac:dyDescent="0.25">
      <c r="A42014" s="1" t="str">
        <f t="shared" si="1460"/>
        <v>99999</v>
      </c>
      <c r="B42014" s="1" t="str">
        <f>"27356"</f>
        <v>27356</v>
      </c>
      <c r="C42014" s="2">
        <v>1.2049437119151701E-4</v>
      </c>
      <c r="D42014" s="2">
        <v>8.5825407030757094E-5</v>
      </c>
      <c r="E42014" s="2">
        <v>0</v>
      </c>
      <c r="F42014" s="2">
        <v>1.154576474705E-4</v>
      </c>
    </row>
    <row r="42015" spans="1:6" x14ac:dyDescent="0.25">
      <c r="A42015" s="1" t="str">
        <f t="shared" si="1460"/>
        <v>99999</v>
      </c>
      <c r="B42015" s="1" t="str">
        <f>"27343"</f>
        <v>27343</v>
      </c>
      <c r="C42015" s="2">
        <v>2.7281744420720801E-5</v>
      </c>
      <c r="D42015" s="2">
        <v>1.50570889527644E-5</v>
      </c>
      <c r="E42015" s="2">
        <v>1.72042270785932E-5</v>
      </c>
      <c r="F42015" s="2">
        <v>2.6249345493293201E-5</v>
      </c>
    </row>
    <row r="42016" spans="1:6" x14ac:dyDescent="0.25">
      <c r="A42016" s="1" t="str">
        <f t="shared" si="1460"/>
        <v>99999</v>
      </c>
      <c r="B42016" s="1" t="str">
        <f>"27306"</f>
        <v>27306</v>
      </c>
      <c r="C42016" s="2">
        <v>3.18395279132301E-4</v>
      </c>
      <c r="D42016" s="2">
        <v>1.34008091679603E-4</v>
      </c>
      <c r="E42016" s="2">
        <v>2.15052838482415E-5</v>
      </c>
      <c r="F42016" s="2">
        <v>2.99499111173477E-4</v>
      </c>
    </row>
    <row r="42017" spans="1:6" x14ac:dyDescent="0.25">
      <c r="A42017" s="1" t="str">
        <f t="shared" si="1460"/>
        <v>99999</v>
      </c>
      <c r="B42017" s="1" t="str">
        <f>"27371"</f>
        <v>27371</v>
      </c>
      <c r="C42017" s="2">
        <v>3.7046876749089998E-4</v>
      </c>
      <c r="D42017" s="2">
        <v>5.9776643142474598E-4</v>
      </c>
      <c r="E42017" s="2">
        <v>3.13977144184326E-4</v>
      </c>
      <c r="F42017" s="2">
        <v>3.8406937090186999E-4</v>
      </c>
    </row>
    <row r="42018" spans="1:6" x14ac:dyDescent="0.25">
      <c r="A42018" s="1" t="str">
        <f t="shared" si="1460"/>
        <v>99999</v>
      </c>
      <c r="B42018" s="1" t="str">
        <f>"27553"</f>
        <v>27553</v>
      </c>
      <c r="C42018" s="2">
        <v>6.6255665021750594E-5</v>
      </c>
      <c r="D42018" s="2">
        <v>2.4091342324423E-5</v>
      </c>
      <c r="E42018" s="2">
        <v>8.6021135392965999E-6</v>
      </c>
      <c r="F42018" s="2">
        <v>6.2169502484115603E-5</v>
      </c>
    </row>
    <row r="42019" spans="1:6" x14ac:dyDescent="0.25">
      <c r="A42019" s="1" t="str">
        <f t="shared" si="1460"/>
        <v>99999</v>
      </c>
      <c r="B42019" s="1" t="str">
        <f>"27857"</f>
        <v>27857</v>
      </c>
      <c r="C42019" s="2">
        <v>7.0153057081853598E-5</v>
      </c>
      <c r="D42019" s="2">
        <v>1.65627978480408E-5</v>
      </c>
      <c r="E42019" s="2">
        <v>5.1612681235779599E-5</v>
      </c>
      <c r="F42019" s="2">
        <v>6.6215454233081896E-5</v>
      </c>
    </row>
    <row r="42020" spans="1:6" x14ac:dyDescent="0.25">
      <c r="A42020" s="1" t="str">
        <f t="shared" si="1460"/>
        <v>99999</v>
      </c>
      <c r="B42020" s="1" t="str">
        <f>"28627"</f>
        <v>28627</v>
      </c>
      <c r="C42020" s="2">
        <v>8.8990452039018007E-5</v>
      </c>
      <c r="D42020" s="2">
        <v>2.4091342324423E-5</v>
      </c>
      <c r="E42020" s="2">
        <v>1.29031703089449E-5</v>
      </c>
      <c r="F42020" s="2">
        <v>8.2991351728795698E-5</v>
      </c>
    </row>
    <row r="42021" spans="1:6" x14ac:dyDescent="0.25">
      <c r="A42021" s="1" t="str">
        <f t="shared" si="1460"/>
        <v>99999</v>
      </c>
      <c r="B42021" s="1" t="str">
        <f>"28622"</f>
        <v>28622</v>
      </c>
      <c r="C42021" s="2">
        <v>1.36733504775279E-4</v>
      </c>
      <c r="D42021" s="2">
        <v>3.4631304591358098E-5</v>
      </c>
      <c r="E42021" s="2">
        <v>3.01073973875381E-5</v>
      </c>
      <c r="F42021" s="2">
        <v>1.27595502717399E-4</v>
      </c>
    </row>
    <row r="42022" spans="1:6" x14ac:dyDescent="0.25">
      <c r="A42022" s="1" t="str">
        <f t="shared" si="1460"/>
        <v>99999</v>
      </c>
      <c r="B42022" s="1" t="str">
        <f>"28623"</f>
        <v>28623</v>
      </c>
      <c r="C42022" s="2">
        <v>1.03930454936079E-4</v>
      </c>
      <c r="D42022" s="2">
        <v>3.9148431277187403E-5</v>
      </c>
      <c r="E42022" s="2">
        <v>8.6021135392965999E-6</v>
      </c>
      <c r="F42022" s="2">
        <v>9.7497568975089298E-5</v>
      </c>
    </row>
    <row r="42023" spans="1:6" x14ac:dyDescent="0.25">
      <c r="A42023" s="1" t="str">
        <f t="shared" si="1460"/>
        <v>99999</v>
      </c>
      <c r="B42023" s="1" t="str">
        <f>"27983"</f>
        <v>27983</v>
      </c>
      <c r="C42023" s="2">
        <v>4.9031357333906604E-4</v>
      </c>
      <c r="D42023" s="2">
        <v>6.0077784921529903E-4</v>
      </c>
      <c r="E42023" s="2">
        <v>1.3333275985909701E-4</v>
      </c>
      <c r="F42023" s="2">
        <v>4.8936279812496696E-4</v>
      </c>
    </row>
    <row r="42024" spans="1:6" x14ac:dyDescent="0.25">
      <c r="A42024" s="1" t="str">
        <f t="shared" si="1460"/>
        <v>99999</v>
      </c>
      <c r="B42024" s="1" t="str">
        <f>"27957"</f>
        <v>27957</v>
      </c>
      <c r="C42024" s="2">
        <v>8.6175668884499201E-5</v>
      </c>
      <c r="D42024" s="2">
        <v>3.4631304591358098E-5</v>
      </c>
      <c r="E42024" s="2">
        <v>0</v>
      </c>
      <c r="F42024" s="2">
        <v>8.0820353229350299E-5</v>
      </c>
    </row>
    <row r="42025" spans="1:6" x14ac:dyDescent="0.25">
      <c r="A42025" s="1" t="str">
        <f t="shared" si="1460"/>
        <v>99999</v>
      </c>
      <c r="B42025" s="1" t="str">
        <f>"28617"</f>
        <v>28617</v>
      </c>
      <c r="C42025" s="2">
        <v>1.33485678058527E-4</v>
      </c>
      <c r="D42025" s="2">
        <v>3.4631304591358098E-5</v>
      </c>
      <c r="E42025" s="2">
        <v>7.3117965084021106E-5</v>
      </c>
      <c r="F42025" s="2">
        <v>1.2562186771790301E-4</v>
      </c>
    </row>
    <row r="42026" spans="1:6" x14ac:dyDescent="0.25">
      <c r="A42026" s="1" t="str">
        <f t="shared" si="1460"/>
        <v>99999</v>
      </c>
      <c r="B42026" s="1" t="str">
        <f>"28693"</f>
        <v>28693</v>
      </c>
      <c r="C42026" s="2">
        <v>7.9896537232111101E-5</v>
      </c>
      <c r="D42026" s="2">
        <v>2.7102760114975901E-5</v>
      </c>
      <c r="E42026" s="2">
        <v>1.29031703089449E-5</v>
      </c>
      <c r="F42026" s="2">
        <v>7.48994482308631E-5</v>
      </c>
    </row>
    <row r="42027" spans="1:6" x14ac:dyDescent="0.25">
      <c r="A42027" s="1" t="str">
        <f t="shared" si="1460"/>
        <v>99999</v>
      </c>
      <c r="B42027" s="1" t="str">
        <f>"28657"</f>
        <v>28657</v>
      </c>
      <c r="C42027" s="2">
        <v>5.5635271657969996E-4</v>
      </c>
      <c r="D42027" s="2">
        <v>4.2611561736323201E-4</v>
      </c>
      <c r="E42027" s="2">
        <v>8.6021135392965999E-5</v>
      </c>
      <c r="F42027" s="2">
        <v>5.3702608336278902E-4</v>
      </c>
    </row>
    <row r="42028" spans="1:6" x14ac:dyDescent="0.25">
      <c r="A42028" s="1" t="str">
        <f t="shared" si="1460"/>
        <v>99999</v>
      </c>
      <c r="B42028" s="1" t="str">
        <f>"28318"</f>
        <v>28318</v>
      </c>
      <c r="C42028" s="2">
        <v>2.0071569109530299E-4</v>
      </c>
      <c r="D42028" s="2">
        <v>5.4205520229951803E-5</v>
      </c>
      <c r="E42028" s="2">
        <v>4.3010567696482999E-6</v>
      </c>
      <c r="F42028" s="2">
        <v>1.86607189202321E-4</v>
      </c>
    </row>
    <row r="42029" spans="1:6" x14ac:dyDescent="0.25">
      <c r="A42029" s="1" t="str">
        <f t="shared" si="1460"/>
        <v>99999</v>
      </c>
      <c r="B42029" s="1" t="str">
        <f>"28450"</f>
        <v>28450</v>
      </c>
      <c r="C42029" s="2">
        <v>1.18978718723699E-4</v>
      </c>
      <c r="D42029" s="2">
        <v>5.7216938020504697E-5</v>
      </c>
      <c r="E42029" s="2">
        <v>9.0322192162614306E-5</v>
      </c>
      <c r="F42029" s="2">
        <v>1.1427346647080301E-4</v>
      </c>
    </row>
    <row r="42030" spans="1:6" x14ac:dyDescent="0.25">
      <c r="A42030" s="1" t="str">
        <f t="shared" si="1460"/>
        <v>99999</v>
      </c>
      <c r="B42030" s="1" t="str">
        <f>"28456"</f>
        <v>28456</v>
      </c>
      <c r="C42030" s="2">
        <v>1.8068742634199601E-4</v>
      </c>
      <c r="D42030" s="2">
        <v>7.5285444763821999E-5</v>
      </c>
      <c r="E42030" s="2">
        <v>8.6021135392965999E-6</v>
      </c>
      <c r="F42030" s="2">
        <v>1.6983129170660799E-4</v>
      </c>
    </row>
    <row r="42031" spans="1:6" x14ac:dyDescent="0.25">
      <c r="A42031" s="1" t="str">
        <f t="shared" si="1460"/>
        <v>99999</v>
      </c>
      <c r="B42031" s="1" t="str">
        <f>"28434"</f>
        <v>28434</v>
      </c>
      <c r="C42031" s="2">
        <v>7.1452187768554604E-5</v>
      </c>
      <c r="D42031" s="2">
        <v>3.6137013486634501E-5</v>
      </c>
      <c r="E42031" s="2">
        <v>0</v>
      </c>
      <c r="F42031" s="2">
        <v>6.7498316982754101E-5</v>
      </c>
    </row>
    <row r="42032" spans="1:6" x14ac:dyDescent="0.25">
      <c r="A42032" s="1" t="str">
        <f t="shared" si="1460"/>
        <v>99999</v>
      </c>
      <c r="B42032" s="1" t="str">
        <f>"28464"</f>
        <v>28464</v>
      </c>
      <c r="C42032" s="2">
        <v>1.06961759871715E-4</v>
      </c>
      <c r="D42032" s="2">
        <v>4.9688393544122498E-5</v>
      </c>
      <c r="E42032" s="2">
        <v>3.8709510926834699E-5</v>
      </c>
      <c r="F42032" s="2">
        <v>1.0164220247403E-4</v>
      </c>
    </row>
    <row r="42033" spans="1:6" x14ac:dyDescent="0.25">
      <c r="A42033" s="1" t="str">
        <f t="shared" si="1460"/>
        <v>99999</v>
      </c>
      <c r="B42033" s="1" t="str">
        <f>"28722"</f>
        <v>28722</v>
      </c>
      <c r="C42033" s="2">
        <v>3.6916963680419897E-4</v>
      </c>
      <c r="D42033" s="2">
        <v>3.9600143945770302E-4</v>
      </c>
      <c r="E42033" s="2">
        <v>2.6666551971819401E-4</v>
      </c>
      <c r="F42033" s="2">
        <v>3.6857633615582802E-4</v>
      </c>
    </row>
    <row r="42034" spans="1:6" x14ac:dyDescent="0.25">
      <c r="A42034" s="1" t="str">
        <f t="shared" si="1460"/>
        <v>99999</v>
      </c>
      <c r="B42034" s="1" t="str">
        <f>"28773"</f>
        <v>28773</v>
      </c>
      <c r="C42034" s="2">
        <v>1.21360458315984E-4</v>
      </c>
      <c r="D42034" s="2">
        <v>1.3551380057487899E-4</v>
      </c>
      <c r="E42034" s="2">
        <v>9.8924305701910905E-5</v>
      </c>
      <c r="F42034" s="2">
        <v>1.21773279468886E-4</v>
      </c>
    </row>
    <row r="42035" spans="1:6" x14ac:dyDescent="0.25">
      <c r="A42035" s="1" t="str">
        <f t="shared" si="1460"/>
        <v>99999</v>
      </c>
      <c r="B42035" s="1" t="str">
        <f>"28775"</f>
        <v>28775</v>
      </c>
      <c r="C42035" s="2">
        <v>3.1287397371382199E-5</v>
      </c>
      <c r="D42035" s="2">
        <v>1.80685067433172E-5</v>
      </c>
      <c r="E42035" s="2">
        <v>0</v>
      </c>
      <c r="F42035" s="2">
        <v>2.9703206742410799E-5</v>
      </c>
    </row>
    <row r="42036" spans="1:6" x14ac:dyDescent="0.25">
      <c r="A42036" s="1" t="str">
        <f t="shared" si="1460"/>
        <v>99999</v>
      </c>
      <c r="B42036" s="1" t="str">
        <f>"28741"</f>
        <v>28741</v>
      </c>
      <c r="C42036" s="2">
        <v>3.8616659662186998E-4</v>
      </c>
      <c r="D42036" s="2">
        <v>1.7315652295679001E-4</v>
      </c>
      <c r="E42036" s="2">
        <v>7.7419021853669399E-5</v>
      </c>
      <c r="F42036" s="2">
        <v>3.6512247490671102E-4</v>
      </c>
    </row>
    <row r="42037" spans="1:6" x14ac:dyDescent="0.25">
      <c r="A42037" s="1" t="str">
        <f t="shared" si="1460"/>
        <v>99999</v>
      </c>
      <c r="B42037" s="1" t="str">
        <f>"29718"</f>
        <v>29718</v>
      </c>
      <c r="C42037" s="2">
        <v>1.5827742199640401E-4</v>
      </c>
      <c r="D42037" s="2">
        <v>1.15939584936285E-4</v>
      </c>
      <c r="E42037" s="2">
        <v>1.29031703089449E-5</v>
      </c>
      <c r="F42037" s="2">
        <v>1.52167258461121E-4</v>
      </c>
    </row>
    <row r="42038" spans="1:6" x14ac:dyDescent="0.25">
      <c r="A42038" s="1" t="str">
        <f t="shared" si="1460"/>
        <v>99999</v>
      </c>
      <c r="B42038" s="1" t="str">
        <f>"28905"</f>
        <v>28905</v>
      </c>
      <c r="C42038" s="2">
        <v>1.9746786437855099E-4</v>
      </c>
      <c r="D42038" s="2">
        <v>8.7331115926033497E-5</v>
      </c>
      <c r="E42038" s="2">
        <v>5.1612681235779599E-5</v>
      </c>
      <c r="F42038" s="2">
        <v>1.8690323445224601E-4</v>
      </c>
    </row>
    <row r="42039" spans="1:6" x14ac:dyDescent="0.25">
      <c r="A42039" s="1" t="str">
        <f t="shared" si="1460"/>
        <v>99999</v>
      </c>
      <c r="B42039" s="1" t="str">
        <f>"28902"</f>
        <v>28902</v>
      </c>
      <c r="C42039" s="2">
        <v>8.7691321352317001E-5</v>
      </c>
      <c r="D42039" s="2">
        <v>4.2159849067740298E-5</v>
      </c>
      <c r="E42039" s="2">
        <v>1.29031703089449E-5</v>
      </c>
      <c r="F42039" s="2">
        <v>8.2991351728795698E-5</v>
      </c>
    </row>
    <row r="42040" spans="1:6" x14ac:dyDescent="0.25">
      <c r="A42040" s="1" t="str">
        <f t="shared" si="1460"/>
        <v>99999</v>
      </c>
      <c r="B42040" s="1" t="str">
        <f>"29446"</f>
        <v>29446</v>
      </c>
      <c r="C42040" s="2">
        <v>8.7691321352317001E-5</v>
      </c>
      <c r="D42040" s="2">
        <v>6.3239773601610501E-5</v>
      </c>
      <c r="E42040" s="2">
        <v>0</v>
      </c>
      <c r="F42040" s="2">
        <v>8.4076850978518296E-5</v>
      </c>
    </row>
    <row r="42041" spans="1:6" x14ac:dyDescent="0.25">
      <c r="A42041" s="1" t="str">
        <f t="shared" si="1460"/>
        <v>99999</v>
      </c>
      <c r="B42041" s="1" t="str">
        <f>"29475"</f>
        <v>29475</v>
      </c>
      <c r="C42041" s="2">
        <v>1.6282437939985699E-4</v>
      </c>
      <c r="D42041" s="2">
        <v>4.9688393544122498E-5</v>
      </c>
      <c r="E42041" s="2">
        <v>8.6021135392965999E-6</v>
      </c>
      <c r="F42041" s="2">
        <v>1.51871213211196E-4</v>
      </c>
    </row>
    <row r="42042" spans="1:6" x14ac:dyDescent="0.25">
      <c r="A42042" s="1" t="str">
        <f t="shared" si="1460"/>
        <v>99999</v>
      </c>
      <c r="B42042" s="1" t="str">
        <f>"29481"</f>
        <v>29481</v>
      </c>
      <c r="C42042" s="2">
        <v>1.10859151931818E-4</v>
      </c>
      <c r="D42042" s="2">
        <v>4.2159849067740298E-5</v>
      </c>
      <c r="E42042" s="2">
        <v>0</v>
      </c>
      <c r="F42042" s="2">
        <v>1.0381320097347499E-4</v>
      </c>
    </row>
    <row r="42043" spans="1:6" x14ac:dyDescent="0.25">
      <c r="A42043" s="1" t="str">
        <f t="shared" si="1460"/>
        <v>99999</v>
      </c>
      <c r="B42043" s="1" t="str">
        <f>"29554"</f>
        <v>29554</v>
      </c>
      <c r="C42043" s="2">
        <v>2.7541570558060999E-4</v>
      </c>
      <c r="D42043" s="2">
        <v>2.28867752082018E-4</v>
      </c>
      <c r="E42043" s="2">
        <v>1.8494544109487701E-4</v>
      </c>
      <c r="F42043" s="2">
        <v>2.7028931318094098E-4</v>
      </c>
    </row>
    <row r="42044" spans="1:6" x14ac:dyDescent="0.25">
      <c r="A42044" s="1" t="str">
        <f t="shared" si="1460"/>
        <v>99999</v>
      </c>
      <c r="B42044" s="1" t="str">
        <f>"29547"</f>
        <v>29547</v>
      </c>
      <c r="C42044" s="2">
        <v>1.2861393798339801E-4</v>
      </c>
      <c r="D42044" s="2">
        <v>5.7216938020504697E-5</v>
      </c>
      <c r="E42044" s="2">
        <v>3.8709510926834699E-5</v>
      </c>
      <c r="F42044" s="2">
        <v>1.21871961218861E-4</v>
      </c>
    </row>
    <row r="42045" spans="1:6" x14ac:dyDescent="0.25">
      <c r="A42045" s="1" t="str">
        <f t="shared" si="1460"/>
        <v>99999</v>
      </c>
      <c r="B42045" s="1" t="str">
        <f>"29655"</f>
        <v>29655</v>
      </c>
      <c r="C42045" s="2">
        <v>1.33485678058527E-4</v>
      </c>
      <c r="D42045" s="2">
        <v>2.55970512196994E-5</v>
      </c>
      <c r="E42045" s="2">
        <v>4.3010567696482999E-6</v>
      </c>
      <c r="F42045" s="2">
        <v>1.23450869218458E-4</v>
      </c>
    </row>
    <row r="42046" spans="1:6" x14ac:dyDescent="0.25">
      <c r="A42046" s="1" t="str">
        <f t="shared" si="1460"/>
        <v>99999</v>
      </c>
      <c r="B42046" s="1" t="str">
        <f>"29628"</f>
        <v>29628</v>
      </c>
      <c r="C42046" s="2">
        <v>1.7754786051580199E-4</v>
      </c>
      <c r="D42046" s="2">
        <v>1.8821361190955499E-4</v>
      </c>
      <c r="E42046" s="2">
        <v>5.1612681235779599E-5</v>
      </c>
      <c r="F42046" s="2">
        <v>1.75357469705196E-4</v>
      </c>
    </row>
    <row r="42047" spans="1:6" x14ac:dyDescent="0.25">
      <c r="A42047" s="1" t="str">
        <f t="shared" si="1460"/>
        <v>99999</v>
      </c>
      <c r="B42047" s="1" t="str">
        <f>"29945"</f>
        <v>29945</v>
      </c>
      <c r="C42047" s="2">
        <v>1.52214812125133E-4</v>
      </c>
      <c r="D42047" s="2">
        <v>5.7216938020504697E-5</v>
      </c>
      <c r="E42047" s="2">
        <v>1.29031703089449E-5</v>
      </c>
      <c r="F42047" s="2">
        <v>1.42792492213516E-4</v>
      </c>
    </row>
    <row r="42048" spans="1:6" x14ac:dyDescent="0.25">
      <c r="A42048" s="1" t="str">
        <f t="shared" si="1460"/>
        <v>99999</v>
      </c>
      <c r="B42048" s="1" t="str">
        <f>"30530"</f>
        <v>30530</v>
      </c>
      <c r="C42048" s="2">
        <v>1.7527438181407499E-4</v>
      </c>
      <c r="D42048" s="2">
        <v>3.7642722381910999E-5</v>
      </c>
      <c r="E42048" s="2">
        <v>0</v>
      </c>
      <c r="F42048" s="2">
        <v>1.6223279695854899E-4</v>
      </c>
    </row>
    <row r="42049" spans="1:6" x14ac:dyDescent="0.25">
      <c r="A42049" s="1" t="str">
        <f t="shared" si="1460"/>
        <v>99999</v>
      </c>
      <c r="B42049" s="1" t="str">
        <f>"30513"</f>
        <v>30513</v>
      </c>
      <c r="C42049" s="2">
        <v>9.8333366894209407E-4</v>
      </c>
      <c r="D42049" s="2">
        <v>2.0251784641468098E-3</v>
      </c>
      <c r="E42049" s="2">
        <v>1.1827906116532801E-3</v>
      </c>
      <c r="F42049" s="2">
        <v>1.05619076998014E-3</v>
      </c>
    </row>
    <row r="42050" spans="1:6" x14ac:dyDescent="0.25">
      <c r="A42050" s="1" t="str">
        <f t="shared" si="1460"/>
        <v>99999</v>
      </c>
      <c r="B42050" s="1" t="str">
        <f>"30523"</f>
        <v>30523</v>
      </c>
      <c r="C42050" s="2">
        <v>4.7526530955144602E-5</v>
      </c>
      <c r="D42050" s="2">
        <v>2.7102760114975901E-5</v>
      </c>
      <c r="E42050" s="2">
        <v>0</v>
      </c>
      <c r="F42050" s="2">
        <v>4.5097559738477497E-5</v>
      </c>
    </row>
    <row r="42051" spans="1:6" x14ac:dyDescent="0.25">
      <c r="A42051" s="1" t="str">
        <f t="shared" si="1460"/>
        <v>99999</v>
      </c>
      <c r="B42051" s="1" t="str">
        <f>"30545"</f>
        <v>30545</v>
      </c>
      <c r="C42051" s="2">
        <v>5.8677402682661502E-5</v>
      </c>
      <c r="D42051" s="2">
        <v>2.31879169872571E-4</v>
      </c>
      <c r="E42051" s="2">
        <v>9.4623248932262599E-5</v>
      </c>
      <c r="F42051" s="2">
        <v>7.0853496481896902E-5</v>
      </c>
    </row>
    <row r="42052" spans="1:6" x14ac:dyDescent="0.25">
      <c r="A42052" s="1" t="str">
        <f t="shared" si="1460"/>
        <v>99999</v>
      </c>
      <c r="B42052" s="1" t="str">
        <f>"30546"</f>
        <v>30546</v>
      </c>
      <c r="C42052" s="2">
        <v>7.6951841008922198E-4</v>
      </c>
      <c r="D42052" s="2">
        <v>9.9677928867300297E-4</v>
      </c>
      <c r="E42052" s="2">
        <v>5.33331039436389E-4</v>
      </c>
      <c r="F42052" s="2">
        <v>7.78993734300967E-4</v>
      </c>
    </row>
    <row r="42053" spans="1:6" x14ac:dyDescent="0.25">
      <c r="A42053" s="1" t="str">
        <f t="shared" si="1460"/>
        <v>99999</v>
      </c>
      <c r="B42053" s="1" t="str">
        <f>"30539"</f>
        <v>30539</v>
      </c>
      <c r="C42053" s="2">
        <v>1.66180467007168E-4</v>
      </c>
      <c r="D42053" s="2">
        <v>1.03893913774074E-4</v>
      </c>
      <c r="E42053" s="2">
        <v>8.6021135392965999E-6</v>
      </c>
      <c r="F42053" s="2">
        <v>1.5848289045950701E-4</v>
      </c>
    </row>
    <row r="42054" spans="1:6" x14ac:dyDescent="0.25">
      <c r="A42054" s="1" t="str">
        <f t="shared" ref="A42054:A42117" si="1461">"99999"</f>
        <v>99999</v>
      </c>
      <c r="B42054" s="1" t="str">
        <f>"30669"</f>
        <v>30669</v>
      </c>
      <c r="C42054" s="2">
        <v>1.77331338734685E-4</v>
      </c>
      <c r="D42054" s="2">
        <v>1.97247865281213E-4</v>
      </c>
      <c r="E42054" s="2">
        <v>5.5913738005427899E-5</v>
      </c>
      <c r="F42054" s="2">
        <v>1.7585087845506999E-4</v>
      </c>
    </row>
    <row r="42055" spans="1:6" x14ac:dyDescent="0.25">
      <c r="A42055" s="1" t="str">
        <f t="shared" si="1461"/>
        <v>99999</v>
      </c>
      <c r="B42055" s="1" t="str">
        <f>"29810"</f>
        <v>29810</v>
      </c>
      <c r="C42055" s="2">
        <v>2.8667483819868602E-4</v>
      </c>
      <c r="D42055" s="2">
        <v>4.7881542869790801E-4</v>
      </c>
      <c r="E42055" s="2">
        <v>1.37633816628745E-4</v>
      </c>
      <c r="F42055" s="2">
        <v>2.9584788642441002E-4</v>
      </c>
    </row>
    <row r="42056" spans="1:6" x14ac:dyDescent="0.25">
      <c r="A42056" s="1" t="str">
        <f t="shared" si="1461"/>
        <v>99999</v>
      </c>
      <c r="B42056" s="1" t="str">
        <f>"30642"</f>
        <v>30642</v>
      </c>
      <c r="C42056" s="2">
        <v>9.6363018686046204E-4</v>
      </c>
      <c r="D42056" s="2">
        <v>1.5222716931244801E-3</v>
      </c>
      <c r="E42056" s="2">
        <v>7.7849127530634204E-4</v>
      </c>
      <c r="F42056" s="2">
        <v>9.9599490249552302E-4</v>
      </c>
    </row>
    <row r="42057" spans="1:6" x14ac:dyDescent="0.25">
      <c r="A42057" s="1" t="str">
        <f t="shared" si="1461"/>
        <v>99999</v>
      </c>
      <c r="B42057" s="1" t="str">
        <f>"30816"</f>
        <v>30816</v>
      </c>
      <c r="C42057" s="2">
        <v>1.5373046459294999E-5</v>
      </c>
      <c r="D42057" s="2">
        <v>3.01141779055288E-6</v>
      </c>
      <c r="E42057" s="2">
        <v>4.3010567696482999E-6</v>
      </c>
      <c r="F42057" s="2">
        <v>1.4308853746344E-5</v>
      </c>
    </row>
    <row r="42058" spans="1:6" x14ac:dyDescent="0.25">
      <c r="A42058" s="1" t="str">
        <f t="shared" si="1461"/>
        <v>99999</v>
      </c>
      <c r="B42058" s="1" t="str">
        <f>"31018"</f>
        <v>31018</v>
      </c>
      <c r="C42058" s="2">
        <v>6.8312621942360601E-5</v>
      </c>
      <c r="D42058" s="2">
        <v>3.6137013486634501E-5</v>
      </c>
      <c r="E42058" s="2">
        <v>8.6021135392965999E-6</v>
      </c>
      <c r="F42058" s="2">
        <v>6.48339097334349E-5</v>
      </c>
    </row>
    <row r="42059" spans="1:6" x14ac:dyDescent="0.25">
      <c r="A42059" s="1" t="str">
        <f t="shared" si="1461"/>
        <v>99999</v>
      </c>
      <c r="B42059" s="1" t="str">
        <f>"31042"</f>
        <v>31042</v>
      </c>
      <c r="C42059" s="2">
        <v>7.9571754560435796E-5</v>
      </c>
      <c r="D42059" s="2">
        <v>6.3239773601610501E-5</v>
      </c>
      <c r="E42059" s="2">
        <v>2.15052838482415E-5</v>
      </c>
      <c r="F42059" s="2">
        <v>7.7169128480283195E-5</v>
      </c>
    </row>
    <row r="42060" spans="1:6" x14ac:dyDescent="0.25">
      <c r="A42060" s="1" t="str">
        <f t="shared" si="1461"/>
        <v>99999</v>
      </c>
      <c r="B42060" s="1" t="str">
        <f>"31060"</f>
        <v>31060</v>
      </c>
      <c r="C42060" s="2">
        <v>1.03930454936079E-4</v>
      </c>
      <c r="D42060" s="2">
        <v>4.6676975753569603E-5</v>
      </c>
      <c r="E42060" s="2">
        <v>8.6021135392965999E-6</v>
      </c>
      <c r="F42060" s="2">
        <v>9.7990977724963304E-5</v>
      </c>
    </row>
    <row r="42061" spans="1:6" x14ac:dyDescent="0.25">
      <c r="A42061" s="1" t="str">
        <f t="shared" si="1461"/>
        <v>99999</v>
      </c>
      <c r="B42061" s="1" t="str">
        <f>"31041"</f>
        <v>31041</v>
      </c>
      <c r="C42061" s="2">
        <v>2.9663484013005999E-5</v>
      </c>
      <c r="D42061" s="2">
        <v>1.35513800574879E-5</v>
      </c>
      <c r="E42061" s="2">
        <v>8.6021135392965999E-6</v>
      </c>
      <c r="F42061" s="2">
        <v>2.8124298742814199E-5</v>
      </c>
    </row>
    <row r="42062" spans="1:6" x14ac:dyDescent="0.25">
      <c r="A42062" s="1" t="str">
        <f t="shared" si="1461"/>
        <v>99999</v>
      </c>
      <c r="B42062" s="1" t="str">
        <f>"31011"</f>
        <v>31011</v>
      </c>
      <c r="C42062" s="2">
        <v>4.8825661641845601E-5</v>
      </c>
      <c r="D42062" s="2">
        <v>3.01141779055288E-5</v>
      </c>
      <c r="E42062" s="2">
        <v>4.3010567696482999E-6</v>
      </c>
      <c r="F42062" s="2">
        <v>4.6577785988099297E-5</v>
      </c>
    </row>
    <row r="42063" spans="1:6" x14ac:dyDescent="0.25">
      <c r="A42063" s="1" t="str">
        <f t="shared" si="1461"/>
        <v>99999</v>
      </c>
      <c r="B42063" s="1" t="str">
        <f>"31094"</f>
        <v>31094</v>
      </c>
      <c r="C42063" s="2">
        <v>7.3076101126930902E-5</v>
      </c>
      <c r="D42063" s="2">
        <v>2.4091342324423E-5</v>
      </c>
      <c r="E42063" s="2">
        <v>8.6021135392965999E-6</v>
      </c>
      <c r="F42063" s="2">
        <v>6.83864527325272E-5</v>
      </c>
    </row>
    <row r="42064" spans="1:6" x14ac:dyDescent="0.25">
      <c r="A42064" s="1" t="str">
        <f t="shared" si="1461"/>
        <v>99999</v>
      </c>
      <c r="B42064" s="1" t="str">
        <f>"31750"</f>
        <v>31750</v>
      </c>
      <c r="C42064" s="2">
        <v>7.2643057564697206E-5</v>
      </c>
      <c r="D42064" s="2">
        <v>2.1079924533870101E-5</v>
      </c>
      <c r="E42064" s="2">
        <v>0</v>
      </c>
      <c r="F42064" s="2">
        <v>6.7596998732728905E-5</v>
      </c>
    </row>
    <row r="42065" spans="1:6" x14ac:dyDescent="0.25">
      <c r="A42065" s="1" t="str">
        <f t="shared" si="1461"/>
        <v>99999</v>
      </c>
      <c r="B42065" s="1" t="str">
        <f>"31749"</f>
        <v>31749</v>
      </c>
      <c r="C42065" s="2">
        <v>1.2818089442116399E-4</v>
      </c>
      <c r="D42065" s="2">
        <v>2.25856334291466E-5</v>
      </c>
      <c r="E42065" s="2">
        <v>6.0214794775076199E-5</v>
      </c>
      <c r="F42065" s="2">
        <v>1.19700962719416E-4</v>
      </c>
    </row>
    <row r="42066" spans="1:6" x14ac:dyDescent="0.25">
      <c r="A42066" s="1" t="str">
        <f t="shared" si="1461"/>
        <v>99999</v>
      </c>
      <c r="B42066" s="1" t="str">
        <f>"32060"</f>
        <v>32060</v>
      </c>
      <c r="C42066" s="2">
        <v>1.1020958658846699E-3</v>
      </c>
      <c r="D42066" s="2">
        <v>4.4418412410654901E-4</v>
      </c>
      <c r="E42066" s="2">
        <v>1.8494544109487701E-4</v>
      </c>
      <c r="F42066" s="2">
        <v>1.0379346462348E-3</v>
      </c>
    </row>
    <row r="42067" spans="1:6" x14ac:dyDescent="0.25">
      <c r="A42067" s="1" t="str">
        <f t="shared" si="1461"/>
        <v>99999</v>
      </c>
      <c r="B42067" s="1" t="str">
        <f>"32052"</f>
        <v>32052</v>
      </c>
      <c r="C42067" s="2">
        <v>3.2889658551646801E-4</v>
      </c>
      <c r="D42067" s="2">
        <v>4.6676975753569603E-4</v>
      </c>
      <c r="E42067" s="2">
        <v>1.72042270785932E-4</v>
      </c>
      <c r="F42067" s="2">
        <v>3.34333768914577E-4</v>
      </c>
    </row>
    <row r="42068" spans="1:6" x14ac:dyDescent="0.25">
      <c r="A42068" s="1" t="str">
        <f t="shared" si="1461"/>
        <v>99999</v>
      </c>
      <c r="B42068" s="1" t="str">
        <f>"32058"</f>
        <v>32058</v>
      </c>
      <c r="C42068" s="2">
        <v>1.7029438084838799E-4</v>
      </c>
      <c r="D42068" s="2">
        <v>7.82968625543749E-5</v>
      </c>
      <c r="E42068" s="2">
        <v>1.29031703089449E-5</v>
      </c>
      <c r="F42068" s="2">
        <v>1.6065388895895199E-4</v>
      </c>
    </row>
    <row r="42069" spans="1:6" x14ac:dyDescent="0.25">
      <c r="A42069" s="1" t="str">
        <f t="shared" si="1461"/>
        <v>99999</v>
      </c>
      <c r="B42069" s="1" t="str">
        <f>"32096"</f>
        <v>32096</v>
      </c>
      <c r="C42069" s="2">
        <v>9.6243931706431902E-5</v>
      </c>
      <c r="D42069" s="2">
        <v>1.3099667388905001E-4</v>
      </c>
      <c r="E42069" s="2">
        <v>1.72042270785932E-5</v>
      </c>
      <c r="F42069" s="2">
        <v>9.6708114975291003E-5</v>
      </c>
    </row>
    <row r="42070" spans="1:6" x14ac:dyDescent="0.25">
      <c r="A42070" s="1" t="str">
        <f t="shared" si="1461"/>
        <v>99999</v>
      </c>
      <c r="B42070" s="1" t="str">
        <f>"32440"</f>
        <v>32440</v>
      </c>
      <c r="C42070" s="2">
        <v>3.26081802361949E-4</v>
      </c>
      <c r="D42070" s="2">
        <v>4.4418412410654901E-4</v>
      </c>
      <c r="E42070" s="2">
        <v>2.0645072494311799E-4</v>
      </c>
      <c r="F42070" s="2">
        <v>3.3107727116540902E-4</v>
      </c>
    </row>
    <row r="42071" spans="1:6" x14ac:dyDescent="0.25">
      <c r="A42071" s="1" t="str">
        <f t="shared" si="1461"/>
        <v>99999</v>
      </c>
      <c r="B42071" s="1" t="str">
        <f>"32446"</f>
        <v>32446</v>
      </c>
      <c r="C42071" s="2">
        <v>5.5602793390802498E-4</v>
      </c>
      <c r="D42071" s="2">
        <v>1.24522125639361E-3</v>
      </c>
      <c r="E42071" s="2">
        <v>5.8924477744181703E-4</v>
      </c>
      <c r="F42071" s="2">
        <v>6.0195867484619898E-4</v>
      </c>
    </row>
    <row r="42072" spans="1:6" x14ac:dyDescent="0.25">
      <c r="A42072" s="1" t="str">
        <f t="shared" si="1461"/>
        <v>99999</v>
      </c>
      <c r="B42072" s="1" t="str">
        <f>"32426"</f>
        <v>32426</v>
      </c>
      <c r="C42072" s="2">
        <v>5.9651750697687297E-5</v>
      </c>
      <c r="D42072" s="2">
        <v>4.6676975753569603E-5</v>
      </c>
      <c r="E42072" s="2">
        <v>1.72042270785932E-5</v>
      </c>
      <c r="F42072" s="2">
        <v>5.7827505485225001E-5</v>
      </c>
    </row>
    <row r="42073" spans="1:6" x14ac:dyDescent="0.25">
      <c r="A42073" s="1" t="str">
        <f t="shared" si="1461"/>
        <v>99999</v>
      </c>
      <c r="B42073" s="1" t="str">
        <f>"14813"</f>
        <v>14813</v>
      </c>
      <c r="C42073" s="2">
        <v>1.2818089442116399E-4</v>
      </c>
      <c r="D42073" s="2">
        <v>2.1230495423397799E-4</v>
      </c>
      <c r="E42073" s="2">
        <v>2.7096657648784301E-4</v>
      </c>
      <c r="F42073" s="2">
        <v>1.3697026896500401E-4</v>
      </c>
    </row>
    <row r="42074" spans="1:6" x14ac:dyDescent="0.25">
      <c r="A42074" s="1" t="str">
        <f t="shared" si="1461"/>
        <v>99999</v>
      </c>
      <c r="B42074" s="1" t="str">
        <f>"14709"</f>
        <v>14709</v>
      </c>
      <c r="C42074" s="2">
        <v>7.9355232779319002E-5</v>
      </c>
      <c r="D42074" s="2">
        <v>3.9148431277187403E-5</v>
      </c>
      <c r="E42074" s="2">
        <v>5.1612681235779599E-5</v>
      </c>
      <c r="F42074" s="2">
        <v>7.6083629230560597E-5</v>
      </c>
    </row>
    <row r="42075" spans="1:6" x14ac:dyDescent="0.25">
      <c r="A42075" s="1" t="str">
        <f t="shared" si="1461"/>
        <v>99999</v>
      </c>
      <c r="B42075" s="1" t="str">
        <f>"14805"</f>
        <v>14805</v>
      </c>
      <c r="C42075" s="2">
        <v>5.7270011105402099E-5</v>
      </c>
      <c r="D42075" s="2">
        <v>1.35513800574879E-5</v>
      </c>
      <c r="E42075" s="2">
        <v>4.7311624466131299E-5</v>
      </c>
      <c r="F42075" s="2">
        <v>5.4176280736157897E-5</v>
      </c>
    </row>
    <row r="42076" spans="1:6" x14ac:dyDescent="0.25">
      <c r="A42076" s="1" t="str">
        <f t="shared" si="1461"/>
        <v>99999</v>
      </c>
      <c r="B42076" s="1" t="str">
        <f>"15521"</f>
        <v>15521</v>
      </c>
      <c r="C42076" s="2">
        <v>9.2238278755770494E-5</v>
      </c>
      <c r="D42076" s="2">
        <v>6.7756900287439806E-5</v>
      </c>
      <c r="E42076" s="2">
        <v>1.72042270785932E-5</v>
      </c>
      <c r="F42076" s="2">
        <v>8.8912256727282897E-5</v>
      </c>
    </row>
    <row r="42077" spans="1:6" x14ac:dyDescent="0.25">
      <c r="A42077" s="1" t="str">
        <f t="shared" si="1461"/>
        <v>99999</v>
      </c>
      <c r="B42077" s="1" t="str">
        <f>"15554"</f>
        <v>15554</v>
      </c>
      <c r="C42077" s="2">
        <v>1.2839741620228101E-4</v>
      </c>
      <c r="D42077" s="2">
        <v>5.5711229125228301E-5</v>
      </c>
      <c r="E42077" s="2">
        <v>6.4515851544724506E-5</v>
      </c>
      <c r="F42077" s="2">
        <v>1.2216800646878601E-4</v>
      </c>
    </row>
    <row r="42078" spans="1:6" x14ac:dyDescent="0.25">
      <c r="A42078" s="1" t="str">
        <f t="shared" si="1461"/>
        <v>99999</v>
      </c>
      <c r="B42078" s="1" t="str">
        <f>"15349"</f>
        <v>15349</v>
      </c>
      <c r="C42078" s="2">
        <v>7.3617405579722906E-5</v>
      </c>
      <c r="D42078" s="2">
        <v>5.4205520229951803E-5</v>
      </c>
      <c r="E42078" s="2">
        <v>1.72042270785932E-5</v>
      </c>
      <c r="F42078" s="2">
        <v>7.1050859981846497E-5</v>
      </c>
    </row>
    <row r="42079" spans="1:6" x14ac:dyDescent="0.25">
      <c r="A42079" s="1" t="str">
        <f t="shared" si="1461"/>
        <v>99999</v>
      </c>
      <c r="B42079" s="1" t="str">
        <f>"15352"</f>
        <v>15352</v>
      </c>
      <c r="C42079" s="2">
        <v>5.1640444796364502E-5</v>
      </c>
      <c r="D42079" s="2">
        <v>1.9574215638593701E-5</v>
      </c>
      <c r="E42079" s="2">
        <v>4.3010567696482999E-6</v>
      </c>
      <c r="F42079" s="2">
        <v>4.8452739237620299E-5</v>
      </c>
    </row>
    <row r="42080" spans="1:6" x14ac:dyDescent="0.25">
      <c r="A42080" s="1" t="str">
        <f t="shared" si="1461"/>
        <v>99999</v>
      </c>
      <c r="B42080" s="1" t="str">
        <f>"15824"</f>
        <v>15824</v>
      </c>
      <c r="C42080" s="2">
        <v>2.5527917993674499E-4</v>
      </c>
      <c r="D42080" s="2">
        <v>2.8759039899780003E-4</v>
      </c>
      <c r="E42080" s="2">
        <v>3.13977144184326E-4</v>
      </c>
      <c r="F42080" s="2">
        <v>2.5874354843389099E-4</v>
      </c>
    </row>
    <row r="42081" spans="1:6" x14ac:dyDescent="0.25">
      <c r="A42081" s="1" t="str">
        <f t="shared" si="1461"/>
        <v>99999</v>
      </c>
      <c r="B42081" s="1" t="str">
        <f>"15834"</f>
        <v>15834</v>
      </c>
      <c r="C42081" s="2">
        <v>2.6534744275867801E-4</v>
      </c>
      <c r="D42081" s="2">
        <v>3.1770457690332799E-4</v>
      </c>
      <c r="E42081" s="2">
        <v>5.33331039436389E-4</v>
      </c>
      <c r="F42081" s="2">
        <v>2.74927355429756E-4</v>
      </c>
    </row>
    <row r="42082" spans="1:6" x14ac:dyDescent="0.25">
      <c r="A42082" s="1" t="str">
        <f t="shared" si="1461"/>
        <v>99999</v>
      </c>
      <c r="B42082" s="1" t="str">
        <f>"15865"</f>
        <v>15865</v>
      </c>
      <c r="C42082" s="2">
        <v>7.4591753594748701E-5</v>
      </c>
      <c r="D42082" s="2">
        <v>8.2813989240204205E-5</v>
      </c>
      <c r="E42082" s="2">
        <v>1.03225362471559E-4</v>
      </c>
      <c r="F42082" s="2">
        <v>7.5787583980636199E-5</v>
      </c>
    </row>
    <row r="42083" spans="1:6" x14ac:dyDescent="0.25">
      <c r="A42083" s="1" t="str">
        <f t="shared" si="1461"/>
        <v>99999</v>
      </c>
      <c r="B42083" s="1" t="str">
        <f>"15861"</f>
        <v>15861</v>
      </c>
      <c r="C42083" s="2">
        <v>9.0939148069069495E-6</v>
      </c>
      <c r="D42083" s="2">
        <v>4.5171266858293203E-6</v>
      </c>
      <c r="E42083" s="2">
        <v>1.29031703089449E-5</v>
      </c>
      <c r="F42083" s="2">
        <v>8.8813574977308104E-6</v>
      </c>
    </row>
    <row r="42084" spans="1:6" x14ac:dyDescent="0.25">
      <c r="A42084" s="1" t="str">
        <f t="shared" si="1461"/>
        <v>99999</v>
      </c>
      <c r="B42084" s="1" t="str">
        <f>"16364"</f>
        <v>16364</v>
      </c>
      <c r="C42084" s="2">
        <v>1.2991306867009899E-5</v>
      </c>
      <c r="D42084" s="2">
        <v>4.5171266858293203E-6</v>
      </c>
      <c r="E42084" s="2">
        <v>8.6021135392965999E-6</v>
      </c>
      <c r="F42084" s="2">
        <v>1.23352187468483E-5</v>
      </c>
    </row>
    <row r="42085" spans="1:6" x14ac:dyDescent="0.25">
      <c r="A42085" s="1" t="str">
        <f t="shared" si="1461"/>
        <v>99999</v>
      </c>
      <c r="B42085" s="1" t="str">
        <f>"16232"</f>
        <v>16232</v>
      </c>
      <c r="C42085" s="2">
        <v>1.9422003766179799E-4</v>
      </c>
      <c r="D42085" s="2">
        <v>8.2813989240204205E-5</v>
      </c>
      <c r="E42085" s="2">
        <v>1.67741214016283E-4</v>
      </c>
      <c r="F42085" s="2">
        <v>1.86311143952397E-4</v>
      </c>
    </row>
    <row r="42086" spans="1:6" x14ac:dyDescent="0.25">
      <c r="A42086" s="1" t="str">
        <f t="shared" si="1461"/>
        <v>99999</v>
      </c>
      <c r="B42086" s="1" t="str">
        <f>"16695"</f>
        <v>16695</v>
      </c>
      <c r="C42086" s="2">
        <v>3.6916963680419897E-5</v>
      </c>
      <c r="D42086" s="2">
        <v>3.1619886800805203E-5</v>
      </c>
      <c r="E42086" s="2">
        <v>0</v>
      </c>
      <c r="F42086" s="2">
        <v>3.5722793490872802E-5</v>
      </c>
    </row>
    <row r="42087" spans="1:6" x14ac:dyDescent="0.25">
      <c r="A42087" s="1" t="str">
        <f t="shared" si="1461"/>
        <v>99999</v>
      </c>
      <c r="B42087" s="1" t="str">
        <f>"16933"</f>
        <v>16933</v>
      </c>
      <c r="C42087" s="2">
        <v>3.3322702113880399E-4</v>
      </c>
      <c r="D42087" s="2">
        <v>5.5560658235700598E-4</v>
      </c>
      <c r="E42087" s="2">
        <v>6.9247013991337596E-4</v>
      </c>
      <c r="F42087" s="2">
        <v>3.5604375390902999E-4</v>
      </c>
    </row>
    <row r="42088" spans="1:6" x14ac:dyDescent="0.25">
      <c r="A42088" s="1" t="str">
        <f t="shared" si="1461"/>
        <v>99999</v>
      </c>
      <c r="B42088" s="1" t="str">
        <f>"26055"</f>
        <v>26055</v>
      </c>
      <c r="C42088" s="2">
        <v>2.9771744903564399E-5</v>
      </c>
      <c r="D42088" s="2">
        <v>4.0654140172463799E-5</v>
      </c>
      <c r="E42088" s="2">
        <v>1.29031703089449E-5</v>
      </c>
      <c r="F42088" s="2">
        <v>3.0097933742309899E-5</v>
      </c>
    </row>
    <row r="42089" spans="1:6" x14ac:dyDescent="0.25">
      <c r="A42089" s="1" t="str">
        <f t="shared" si="1461"/>
        <v>99999</v>
      </c>
      <c r="B42089" s="1" t="str">
        <f>"18470"</f>
        <v>18470</v>
      </c>
      <c r="C42089" s="2">
        <v>1.3521785230746099E-4</v>
      </c>
      <c r="D42089" s="2">
        <v>3.9148431277187403E-5</v>
      </c>
      <c r="E42089" s="2">
        <v>2.58063406178898E-5</v>
      </c>
      <c r="F42089" s="2">
        <v>1.26411321717701E-4</v>
      </c>
    </row>
    <row r="42090" spans="1:6" x14ac:dyDescent="0.25">
      <c r="A42090" s="1" t="str">
        <f t="shared" si="1461"/>
        <v>99999</v>
      </c>
      <c r="B42090" s="1" t="str">
        <f>"18818"</f>
        <v>18818</v>
      </c>
      <c r="C42090" s="2">
        <v>6.8529143723477395E-5</v>
      </c>
      <c r="D42090" s="2">
        <v>3.7642722381910999E-5</v>
      </c>
      <c r="E42090" s="2">
        <v>4.3010567696482999E-5</v>
      </c>
      <c r="F42090" s="2">
        <v>6.5919408983157498E-5</v>
      </c>
    </row>
    <row r="42091" spans="1:6" x14ac:dyDescent="0.25">
      <c r="A42091" s="1" t="str">
        <f t="shared" si="1461"/>
        <v>99999</v>
      </c>
      <c r="B42091" s="1" t="str">
        <f>"21523"</f>
        <v>21523</v>
      </c>
      <c r="C42091" s="2">
        <v>1.50482637876198E-5</v>
      </c>
      <c r="D42091" s="2">
        <v>4.5171266858293203E-6</v>
      </c>
      <c r="E42091" s="2">
        <v>8.6021135392965999E-6</v>
      </c>
      <c r="F42091" s="2">
        <v>1.42101719963693E-5</v>
      </c>
    </row>
    <row r="42092" spans="1:6" x14ac:dyDescent="0.25">
      <c r="A42092" s="1" t="str">
        <f t="shared" si="1461"/>
        <v>99999</v>
      </c>
      <c r="B42092" s="1" t="str">
        <f>"21620"</f>
        <v>21620</v>
      </c>
      <c r="C42092" s="2">
        <v>6.2748012167657997E-4</v>
      </c>
      <c r="D42092" s="2">
        <v>1.25274980086999E-3</v>
      </c>
      <c r="E42092" s="2">
        <v>1.16128532780504E-3</v>
      </c>
      <c r="F42092" s="2">
        <v>6.8070671132607898E-4</v>
      </c>
    </row>
    <row r="42093" spans="1:6" x14ac:dyDescent="0.25">
      <c r="A42093" s="1" t="str">
        <f t="shared" si="1461"/>
        <v>99999</v>
      </c>
      <c r="B42093" s="1" t="str">
        <f>"22660"</f>
        <v>22660</v>
      </c>
      <c r="C42093" s="2">
        <v>8.4876538197798196E-5</v>
      </c>
      <c r="D42093" s="2">
        <v>4.0654140172463799E-5</v>
      </c>
      <c r="E42093" s="2">
        <v>1.72042270785932E-5</v>
      </c>
      <c r="F42093" s="2">
        <v>8.0425626229451206E-5</v>
      </c>
    </row>
    <row r="42094" spans="1:6" x14ac:dyDescent="0.25">
      <c r="A42094" s="1" t="str">
        <f t="shared" si="1461"/>
        <v>99999</v>
      </c>
      <c r="B42094" s="1" t="str">
        <f>"22437"</f>
        <v>22437</v>
      </c>
      <c r="C42094" s="2">
        <v>2.6415657296253501E-5</v>
      </c>
      <c r="D42094" s="2">
        <v>3.01141779055288E-6</v>
      </c>
      <c r="E42094" s="2">
        <v>4.3010567696482999E-6</v>
      </c>
      <c r="F42094" s="2">
        <v>2.4374392243772301E-5</v>
      </c>
    </row>
    <row r="42095" spans="1:6" x14ac:dyDescent="0.25">
      <c r="A42095" s="1" t="str">
        <f t="shared" si="1461"/>
        <v>99999</v>
      </c>
      <c r="B42095" s="1" t="str">
        <f>"22438"</f>
        <v>22438</v>
      </c>
      <c r="C42095" s="2">
        <v>1.8837394957164399E-5</v>
      </c>
      <c r="D42095" s="2">
        <v>1.50570889527644E-6</v>
      </c>
      <c r="E42095" s="2">
        <v>4.3010567696482999E-6</v>
      </c>
      <c r="F42095" s="2">
        <v>1.7367987995562399E-5</v>
      </c>
    </row>
    <row r="42096" spans="1:6" x14ac:dyDescent="0.25">
      <c r="A42096" s="1" t="str">
        <f t="shared" si="1461"/>
        <v>99999</v>
      </c>
      <c r="B42096" s="1" t="str">
        <f>"22844"</f>
        <v>22844</v>
      </c>
      <c r="C42096" s="2">
        <v>1.9887525595581001E-4</v>
      </c>
      <c r="D42096" s="2">
        <v>1.4304234505126099E-4</v>
      </c>
      <c r="E42096" s="2">
        <v>1.07526419241207E-4</v>
      </c>
      <c r="F42096" s="2">
        <v>1.93120184700657E-4</v>
      </c>
    </row>
    <row r="42097" spans="1:6" x14ac:dyDescent="0.25">
      <c r="A42097" s="1" t="str">
        <f t="shared" si="1461"/>
        <v>99999</v>
      </c>
      <c r="B42097" s="1" t="str">
        <f>"22849"</f>
        <v>22849</v>
      </c>
      <c r="C42097" s="2">
        <v>2.6924483481878102E-4</v>
      </c>
      <c r="D42097" s="2">
        <v>2.1983349871035999E-4</v>
      </c>
      <c r="E42097" s="2">
        <v>1.2903170308944901E-4</v>
      </c>
      <c r="F42097" s="2">
        <v>2.6278950018285697E-4</v>
      </c>
    </row>
    <row r="42098" spans="1:6" x14ac:dyDescent="0.25">
      <c r="A42098" s="1" t="str">
        <f t="shared" si="1461"/>
        <v>99999</v>
      </c>
      <c r="B42098" s="1" t="str">
        <f>"23117"</f>
        <v>23117</v>
      </c>
      <c r="C42098" s="2">
        <v>5.1986879646151397E-4</v>
      </c>
      <c r="D42098" s="2">
        <v>3.55347299285239E-4</v>
      </c>
      <c r="E42098" s="2">
        <v>4.3010567696482999E-5</v>
      </c>
      <c r="F42098" s="2">
        <v>4.9814547387272304E-4</v>
      </c>
    </row>
    <row r="42099" spans="1:6" x14ac:dyDescent="0.25">
      <c r="A42099" s="1" t="str">
        <f t="shared" si="1461"/>
        <v>99999</v>
      </c>
      <c r="B42099" s="1" t="str">
        <f>"23071"</f>
        <v>23071</v>
      </c>
      <c r="C42099" s="2">
        <v>9.2887844099120997E-5</v>
      </c>
      <c r="D42099" s="2">
        <v>6.3239773601610501E-5</v>
      </c>
      <c r="E42099" s="2">
        <v>1.29031703089449E-5</v>
      </c>
      <c r="F42099" s="2">
        <v>8.9109620227232397E-5</v>
      </c>
    </row>
    <row r="42100" spans="1:6" x14ac:dyDescent="0.25">
      <c r="A42100" s="1" t="str">
        <f t="shared" si="1461"/>
        <v>99999</v>
      </c>
      <c r="B42100" s="1" t="str">
        <f>"23336"</f>
        <v>23336</v>
      </c>
      <c r="C42100" s="2">
        <v>3.6462267940074502E-4</v>
      </c>
      <c r="D42100" s="2">
        <v>4.80321137593184E-4</v>
      </c>
      <c r="E42100" s="2">
        <v>1.7634332755557999E-4</v>
      </c>
      <c r="F42100" s="2">
        <v>3.6788556390600499E-4</v>
      </c>
    </row>
    <row r="42101" spans="1:6" x14ac:dyDescent="0.25">
      <c r="A42101" s="1" t="str">
        <f t="shared" si="1461"/>
        <v>99999</v>
      </c>
      <c r="B42101" s="1" t="str">
        <f>"23301"</f>
        <v>23301</v>
      </c>
      <c r="C42101" s="2">
        <v>5.8785663573219898E-5</v>
      </c>
      <c r="D42101" s="2">
        <v>7.0768318077992694E-5</v>
      </c>
      <c r="E42101" s="2">
        <v>2.58063406178898E-5</v>
      </c>
      <c r="F42101" s="2">
        <v>5.8814322984972897E-5</v>
      </c>
    </row>
    <row r="42102" spans="1:6" x14ac:dyDescent="0.25">
      <c r="A42102" s="1" t="str">
        <f t="shared" si="1461"/>
        <v>99999</v>
      </c>
      <c r="B42102" s="1" t="str">
        <f>"23303"</f>
        <v>23303</v>
      </c>
      <c r="C42102" s="2">
        <v>2.5549570171786201E-5</v>
      </c>
      <c r="D42102" s="2">
        <v>6.0228355811057601E-6</v>
      </c>
      <c r="E42102" s="2">
        <v>0</v>
      </c>
      <c r="F42102" s="2">
        <v>2.3683619993948799E-5</v>
      </c>
    </row>
    <row r="42103" spans="1:6" x14ac:dyDescent="0.25">
      <c r="A42103" s="1" t="str">
        <f t="shared" si="1461"/>
        <v>99999</v>
      </c>
      <c r="B42103" s="1" t="str">
        <f>"23947"</f>
        <v>23947</v>
      </c>
      <c r="C42103" s="2">
        <v>2.2031091228637601E-4</v>
      </c>
      <c r="D42103" s="2">
        <v>1.17445293831562E-4</v>
      </c>
      <c r="E42103" s="2">
        <v>8.1720078623317706E-5</v>
      </c>
      <c r="F42103" s="2">
        <v>2.1038949094624501E-4</v>
      </c>
    </row>
    <row r="42104" spans="1:6" x14ac:dyDescent="0.25">
      <c r="A42104" s="1" t="str">
        <f t="shared" si="1461"/>
        <v>99999</v>
      </c>
      <c r="B42104" s="1" t="str">
        <f>"23952"</f>
        <v>23952</v>
      </c>
      <c r="C42104" s="2">
        <v>1.26665241953346E-5</v>
      </c>
      <c r="D42104" s="2">
        <v>7.5285444763821999E-6</v>
      </c>
      <c r="E42104" s="2">
        <v>4.3010567696482999E-6</v>
      </c>
      <c r="F42104" s="2">
        <v>1.2137855246898699E-5</v>
      </c>
    </row>
    <row r="42105" spans="1:6" x14ac:dyDescent="0.25">
      <c r="A42105" s="1" t="str">
        <f t="shared" si="1461"/>
        <v>99999</v>
      </c>
      <c r="B42105" s="1" t="str">
        <f>"23944"</f>
        <v>23944</v>
      </c>
      <c r="C42105" s="2">
        <v>1.7819742585915301E-4</v>
      </c>
      <c r="D42105" s="2">
        <v>6.7756900287439806E-5</v>
      </c>
      <c r="E42105" s="2">
        <v>6.4515851544724506E-5</v>
      </c>
      <c r="F42105" s="2">
        <v>1.6835106545698601E-4</v>
      </c>
    </row>
    <row r="42106" spans="1:6" x14ac:dyDescent="0.25">
      <c r="A42106" s="1" t="str">
        <f t="shared" si="1461"/>
        <v>99999</v>
      </c>
      <c r="B42106" s="1" t="str">
        <f>"23890"</f>
        <v>23890</v>
      </c>
      <c r="C42106" s="2">
        <v>2.7173483530162401E-5</v>
      </c>
      <c r="D42106" s="2">
        <v>7.5285444763821999E-6</v>
      </c>
      <c r="E42106" s="2">
        <v>0</v>
      </c>
      <c r="F42106" s="2">
        <v>2.52625279935454E-5</v>
      </c>
    </row>
    <row r="42107" spans="1:6" x14ac:dyDescent="0.25">
      <c r="A42107" s="1" t="str">
        <f t="shared" si="1461"/>
        <v>99999</v>
      </c>
      <c r="B42107" s="1" t="str">
        <f>"23968"</f>
        <v>23968</v>
      </c>
      <c r="C42107" s="2">
        <v>5.14239230152476E-5</v>
      </c>
      <c r="D42107" s="2">
        <v>4.0654140172463799E-5</v>
      </c>
      <c r="E42107" s="2">
        <v>4.3010567696482999E-6</v>
      </c>
      <c r="F42107" s="2">
        <v>4.96369202373177E-5</v>
      </c>
    </row>
    <row r="42108" spans="1:6" x14ac:dyDescent="0.25">
      <c r="A42108" s="1" t="str">
        <f t="shared" si="1461"/>
        <v>99999</v>
      </c>
      <c r="B42108" s="1" t="str">
        <f>"24439"</f>
        <v>24439</v>
      </c>
      <c r="C42108" s="2">
        <v>5.1965227468039699E-5</v>
      </c>
      <c r="D42108" s="2">
        <v>1.65627978480408E-5</v>
      </c>
      <c r="E42108" s="2">
        <v>4.3010567696482999E-6</v>
      </c>
      <c r="F42108" s="2">
        <v>4.8551420987595102E-5</v>
      </c>
    </row>
    <row r="42109" spans="1:6" x14ac:dyDescent="0.25">
      <c r="A42109" s="1" t="str">
        <f t="shared" si="1461"/>
        <v>99999</v>
      </c>
      <c r="B42109" s="1" t="str">
        <f>"23959"</f>
        <v>23959</v>
      </c>
      <c r="C42109" s="2">
        <v>6.2683055633322896E-5</v>
      </c>
      <c r="D42109" s="2">
        <v>1.35513800574879E-5</v>
      </c>
      <c r="E42109" s="2">
        <v>4.3010567696482999E-6</v>
      </c>
      <c r="F42109" s="2">
        <v>5.8123550735149399E-5</v>
      </c>
    </row>
    <row r="42110" spans="1:6" x14ac:dyDescent="0.25">
      <c r="A42110" s="1" t="str">
        <f t="shared" si="1461"/>
        <v>99999</v>
      </c>
      <c r="B42110" s="1" t="str">
        <f>"24079"</f>
        <v>24079</v>
      </c>
      <c r="C42110" s="2">
        <v>9.4836540129172506E-5</v>
      </c>
      <c r="D42110" s="2">
        <v>2.25856334291466E-5</v>
      </c>
      <c r="E42110" s="2">
        <v>5.5913738005427899E-5</v>
      </c>
      <c r="F42110" s="2">
        <v>8.92083019772072E-5</v>
      </c>
    </row>
    <row r="42111" spans="1:6" x14ac:dyDescent="0.25">
      <c r="A42111" s="1" t="str">
        <f t="shared" si="1461"/>
        <v>99999</v>
      </c>
      <c r="B42111" s="1" t="str">
        <f>"24382"</f>
        <v>24382</v>
      </c>
      <c r="C42111" s="2">
        <v>9.2909496277232702E-4</v>
      </c>
      <c r="D42111" s="2">
        <v>1.7405994829395601E-3</v>
      </c>
      <c r="E42111" s="2">
        <v>1.27311280381589E-3</v>
      </c>
      <c r="F42111" s="2">
        <v>9.9017267924701008E-4</v>
      </c>
    </row>
    <row r="42112" spans="1:6" x14ac:dyDescent="0.25">
      <c r="A42112" s="1" t="str">
        <f t="shared" si="1461"/>
        <v>99999</v>
      </c>
      <c r="B42112" s="1" t="str">
        <f>"24360"</f>
        <v>24360</v>
      </c>
      <c r="C42112" s="2">
        <v>2.8678309908924401E-4</v>
      </c>
      <c r="D42112" s="2">
        <v>1.76167940747343E-4</v>
      </c>
      <c r="E42112" s="2">
        <v>1.67741214016283E-4</v>
      </c>
      <c r="F42112" s="2">
        <v>2.76802308679277E-4</v>
      </c>
    </row>
    <row r="42113" spans="1:6" x14ac:dyDescent="0.25">
      <c r="A42113" s="1" t="str">
        <f t="shared" si="1461"/>
        <v>99999</v>
      </c>
      <c r="B42113" s="1" t="str">
        <f>"24248"</f>
        <v>24248</v>
      </c>
      <c r="C42113" s="2">
        <v>1.3261959093405901E-4</v>
      </c>
      <c r="D42113" s="2">
        <v>6.1734064706334002E-5</v>
      </c>
      <c r="E42113" s="2">
        <v>8.1720078623317706E-5</v>
      </c>
      <c r="F42113" s="2">
        <v>1.26806048717601E-4</v>
      </c>
    </row>
    <row r="42114" spans="1:6" x14ac:dyDescent="0.25">
      <c r="A42114" s="1" t="str">
        <f t="shared" si="1461"/>
        <v>99999</v>
      </c>
      <c r="B42114" s="1" t="str">
        <f>"24281"</f>
        <v>24281</v>
      </c>
      <c r="C42114" s="2">
        <v>1.21901762768776E-4</v>
      </c>
      <c r="D42114" s="2">
        <v>6.1734064706334002E-5</v>
      </c>
      <c r="E42114" s="2">
        <v>7.3117965084021106E-5</v>
      </c>
      <c r="F42114" s="2">
        <v>1.16839191970147E-4</v>
      </c>
    </row>
    <row r="42115" spans="1:6" x14ac:dyDescent="0.25">
      <c r="A42115" s="1" t="str">
        <f t="shared" si="1461"/>
        <v>99999</v>
      </c>
      <c r="B42115" s="1" t="str">
        <f>"24343"</f>
        <v>24343</v>
      </c>
      <c r="C42115" s="2">
        <v>4.8067835407936702E-4</v>
      </c>
      <c r="D42115" s="2">
        <v>5.2699811334675395E-4</v>
      </c>
      <c r="E42115" s="2">
        <v>3.4838559834151202E-4</v>
      </c>
      <c r="F42115" s="2">
        <v>4.8067880412718602E-4</v>
      </c>
    </row>
    <row r="42116" spans="1:6" x14ac:dyDescent="0.25">
      <c r="A42116" s="1" t="str">
        <f t="shared" si="1461"/>
        <v>99999</v>
      </c>
      <c r="B42116" s="1" t="str">
        <f>"24311"</f>
        <v>24311</v>
      </c>
      <c r="C42116" s="2">
        <v>8.8882191148459603E-5</v>
      </c>
      <c r="D42116" s="2">
        <v>4.2159849067740298E-5</v>
      </c>
      <c r="E42116" s="2">
        <v>1.29031703089449E-5</v>
      </c>
      <c r="F42116" s="2">
        <v>8.4076850978518296E-5</v>
      </c>
    </row>
    <row r="42117" spans="1:6" x14ac:dyDescent="0.25">
      <c r="A42117" s="1" t="str">
        <f t="shared" si="1461"/>
        <v>99999</v>
      </c>
      <c r="B42117" s="1" t="str">
        <f>"24225"</f>
        <v>24225</v>
      </c>
      <c r="C42117" s="2">
        <v>9.4403496566938797E-5</v>
      </c>
      <c r="D42117" s="2">
        <v>4.2159849067740298E-5</v>
      </c>
      <c r="E42117" s="2">
        <v>4.3010567696482999E-5</v>
      </c>
      <c r="F42117" s="2">
        <v>8.9800392477055901E-5</v>
      </c>
    </row>
    <row r="42118" spans="1:6" x14ac:dyDescent="0.25">
      <c r="A42118" s="1" t="str">
        <f t="shared" ref="A42118:A42181" si="1462">"99999"</f>
        <v>99999</v>
      </c>
      <c r="B42118" s="1" t="str">
        <f>"24217"</f>
        <v>24217</v>
      </c>
      <c r="C42118" s="2">
        <v>2.0569569206098999E-5</v>
      </c>
      <c r="D42118" s="2">
        <v>3.01141779055288E-6</v>
      </c>
      <c r="E42118" s="2">
        <v>0</v>
      </c>
      <c r="F42118" s="2">
        <v>1.8946895995158999E-5</v>
      </c>
    </row>
    <row r="42119" spans="1:6" x14ac:dyDescent="0.25">
      <c r="A42119" s="1" t="str">
        <f t="shared" si="1462"/>
        <v>99999</v>
      </c>
      <c r="B42119" s="1" t="str">
        <f>"24185"</f>
        <v>24185</v>
      </c>
      <c r="C42119" s="2">
        <v>4.8717400751287198E-5</v>
      </c>
      <c r="D42119" s="2">
        <v>2.25856334291466E-5</v>
      </c>
      <c r="E42119" s="2">
        <v>2.15052838482415E-5</v>
      </c>
      <c r="F42119" s="2">
        <v>4.6380422488149798E-5</v>
      </c>
    </row>
    <row r="42120" spans="1:6" x14ac:dyDescent="0.25">
      <c r="A42120" s="1" t="str">
        <f t="shared" si="1462"/>
        <v>99999</v>
      </c>
      <c r="B42120" s="1" t="str">
        <f>"24622"</f>
        <v>24622</v>
      </c>
      <c r="C42120" s="2">
        <v>3.2803049839199998E-5</v>
      </c>
      <c r="D42120" s="2">
        <v>7.5285444763821999E-6</v>
      </c>
      <c r="E42120" s="2">
        <v>0</v>
      </c>
      <c r="F42120" s="2">
        <v>3.03939789922343E-5</v>
      </c>
    </row>
    <row r="42121" spans="1:6" x14ac:dyDescent="0.25">
      <c r="A42121" s="1" t="str">
        <f t="shared" si="1462"/>
        <v>99999</v>
      </c>
      <c r="B42121" s="1" t="str">
        <f>"24983"</f>
        <v>24983</v>
      </c>
      <c r="C42121" s="2">
        <v>1.5957655268310499E-4</v>
      </c>
      <c r="D42121" s="2">
        <v>3.7642722381910999E-5</v>
      </c>
      <c r="E42121" s="2">
        <v>4.7311624466131299E-5</v>
      </c>
      <c r="F42121" s="2">
        <v>1.4900944246192801E-4</v>
      </c>
    </row>
    <row r="42122" spans="1:6" x14ac:dyDescent="0.25">
      <c r="A42122" s="1" t="str">
        <f t="shared" si="1462"/>
        <v>99999</v>
      </c>
      <c r="B42122" s="1" t="str">
        <f>"25251"</f>
        <v>25251</v>
      </c>
      <c r="C42122" s="2">
        <v>2.40339177039683E-5</v>
      </c>
      <c r="D42122" s="2">
        <v>3.01141779055288E-6</v>
      </c>
      <c r="E42122" s="2">
        <v>4.3010567696482999E-6</v>
      </c>
      <c r="F42122" s="2">
        <v>2.2203393744327E-5</v>
      </c>
    </row>
    <row r="42123" spans="1:6" x14ac:dyDescent="0.25">
      <c r="A42123" s="1" t="str">
        <f t="shared" si="1462"/>
        <v>99999</v>
      </c>
      <c r="B42123" s="1" t="str">
        <f>"24934"</f>
        <v>24934</v>
      </c>
      <c r="C42123" s="2">
        <v>2.9880005794122799E-5</v>
      </c>
      <c r="D42123" s="2">
        <v>7.5285444763821999E-6</v>
      </c>
      <c r="E42123" s="2">
        <v>8.6021135392965999E-6</v>
      </c>
      <c r="F42123" s="2">
        <v>2.7926935242864601E-5</v>
      </c>
    </row>
    <row r="42124" spans="1:6" x14ac:dyDescent="0.25">
      <c r="A42124" s="1" t="str">
        <f t="shared" si="1462"/>
        <v>99999</v>
      </c>
      <c r="B42124" s="1" t="str">
        <f>"24850"</f>
        <v>24850</v>
      </c>
      <c r="C42124" s="2">
        <v>2.40339177039683E-5</v>
      </c>
      <c r="D42124" s="2">
        <v>4.5171266858293203E-6</v>
      </c>
      <c r="E42124" s="2">
        <v>0</v>
      </c>
      <c r="F42124" s="2">
        <v>2.2203393744327E-5</v>
      </c>
    </row>
    <row r="42125" spans="1:6" x14ac:dyDescent="0.25">
      <c r="A42125" s="1" t="str">
        <f t="shared" si="1462"/>
        <v>99999</v>
      </c>
      <c r="B42125" s="1" t="str">
        <f>"24938"</f>
        <v>24938</v>
      </c>
      <c r="C42125" s="2">
        <v>1.0468828116998801E-4</v>
      </c>
      <c r="D42125" s="2">
        <v>6.0228355811057601E-6</v>
      </c>
      <c r="E42125" s="2">
        <v>0</v>
      </c>
      <c r="F42125" s="2">
        <v>9.5819979225517904E-5</v>
      </c>
    </row>
    <row r="42126" spans="1:6" x14ac:dyDescent="0.25">
      <c r="A42126" s="1" t="str">
        <f t="shared" si="1462"/>
        <v>99999</v>
      </c>
      <c r="B42126" s="1" t="str">
        <f>"24822"</f>
        <v>24822</v>
      </c>
      <c r="C42126" s="2">
        <v>2.24100043455921E-5</v>
      </c>
      <c r="D42126" s="2">
        <v>4.5171266858293203E-6</v>
      </c>
      <c r="E42126" s="2">
        <v>0</v>
      </c>
      <c r="F42126" s="2">
        <v>2.07231674947052E-5</v>
      </c>
    </row>
    <row r="42127" spans="1:6" x14ac:dyDescent="0.25">
      <c r="A42127" s="1" t="str">
        <f t="shared" si="1462"/>
        <v>99999</v>
      </c>
      <c r="B42127" s="1" t="str">
        <f>"24868"</f>
        <v>24868</v>
      </c>
      <c r="C42127" s="2">
        <v>4.6010878487326803E-5</v>
      </c>
      <c r="D42127" s="2">
        <v>1.35513800574879E-5</v>
      </c>
      <c r="E42127" s="2">
        <v>8.6021135392965999E-6</v>
      </c>
      <c r="F42127" s="2">
        <v>4.3025242989006997E-5</v>
      </c>
    </row>
    <row r="42128" spans="1:6" x14ac:dyDescent="0.25">
      <c r="A42128" s="1" t="str">
        <f t="shared" si="1462"/>
        <v>99999</v>
      </c>
      <c r="B42128" s="1" t="str">
        <f>"25876"</f>
        <v>25876</v>
      </c>
      <c r="C42128" s="2">
        <v>1.2125219742542599E-5</v>
      </c>
      <c r="D42128" s="2">
        <v>1.50570889527644E-6</v>
      </c>
      <c r="E42128" s="2">
        <v>4.3010567696482999E-6</v>
      </c>
      <c r="F42128" s="2">
        <v>1.1249719497125601E-5</v>
      </c>
    </row>
    <row r="42129" spans="1:6" x14ac:dyDescent="0.25">
      <c r="A42129" s="1" t="str">
        <f t="shared" si="1462"/>
        <v>99999</v>
      </c>
      <c r="B42129" s="1" t="str">
        <f>"25678"</f>
        <v>25678</v>
      </c>
      <c r="C42129" s="2">
        <v>6.5606099678400105E-5</v>
      </c>
      <c r="D42129" s="2">
        <v>9.0342533716586405E-6</v>
      </c>
      <c r="E42129" s="2">
        <v>0</v>
      </c>
      <c r="F42129" s="2">
        <v>6.03932309845695E-5</v>
      </c>
    </row>
    <row r="42130" spans="1:6" x14ac:dyDescent="0.25">
      <c r="A42130" s="1" t="str">
        <f t="shared" si="1462"/>
        <v>99999</v>
      </c>
      <c r="B42130" s="1" t="str">
        <f>"25621"</f>
        <v>25621</v>
      </c>
      <c r="C42130" s="2">
        <v>8.6933495118408094E-5</v>
      </c>
      <c r="D42130" s="2">
        <v>7.5285444763821999E-6</v>
      </c>
      <c r="E42130" s="2">
        <v>4.7311624466131299E-5</v>
      </c>
      <c r="F42130" s="2">
        <v>8.0820353229350299E-5</v>
      </c>
    </row>
    <row r="42131" spans="1:6" x14ac:dyDescent="0.25">
      <c r="A42131" s="1" t="str">
        <f t="shared" si="1462"/>
        <v>99999</v>
      </c>
      <c r="B42131" s="1" t="str">
        <f>"26415"</f>
        <v>26415</v>
      </c>
      <c r="C42131" s="2">
        <v>1.54163508155184E-4</v>
      </c>
      <c r="D42131" s="2">
        <v>1.44548053946538E-4</v>
      </c>
      <c r="E42131" s="2">
        <v>6.8816908314372799E-5</v>
      </c>
      <c r="F42131" s="2">
        <v>1.5157516796127199E-4</v>
      </c>
    </row>
    <row r="42132" spans="1:6" x14ac:dyDescent="0.25">
      <c r="A42132" s="1" t="str">
        <f t="shared" si="1462"/>
        <v>99999</v>
      </c>
      <c r="B42132" s="1" t="str">
        <f>"26405"</f>
        <v>26405</v>
      </c>
      <c r="C42132" s="2">
        <v>5.7378271995960502E-5</v>
      </c>
      <c r="D42132" s="2">
        <v>1.35513800574879E-5</v>
      </c>
      <c r="E42132" s="2">
        <v>0</v>
      </c>
      <c r="F42132" s="2">
        <v>5.3189463236410001E-5</v>
      </c>
    </row>
    <row r="42133" spans="1:6" x14ac:dyDescent="0.25">
      <c r="A42133" s="1" t="str">
        <f t="shared" si="1462"/>
        <v>99999</v>
      </c>
      <c r="B42133" s="1" t="str">
        <f>"26321"</f>
        <v>26321</v>
      </c>
      <c r="C42133" s="2">
        <v>2.3600874141734699E-5</v>
      </c>
      <c r="D42133" s="2">
        <v>1.20456711622115E-5</v>
      </c>
      <c r="E42133" s="2">
        <v>4.3010567696482999E-6</v>
      </c>
      <c r="F42133" s="2">
        <v>2.2400757244276601E-5</v>
      </c>
    </row>
    <row r="42134" spans="1:6" x14ac:dyDescent="0.25">
      <c r="A42134" s="1" t="str">
        <f t="shared" si="1462"/>
        <v>99999</v>
      </c>
      <c r="B42134" s="1" t="str">
        <f>"26218"</f>
        <v>26218</v>
      </c>
      <c r="C42134" s="2">
        <v>1.30021329560657E-4</v>
      </c>
      <c r="D42134" s="2">
        <v>2.1079924533870101E-5</v>
      </c>
      <c r="E42134" s="2">
        <v>0</v>
      </c>
      <c r="F42134" s="2">
        <v>1.1989832621936499E-4</v>
      </c>
    </row>
    <row r="42135" spans="1:6" x14ac:dyDescent="0.25">
      <c r="A42135" s="1" t="str">
        <f t="shared" si="1462"/>
        <v>99999</v>
      </c>
      <c r="B42135" s="1" t="str">
        <f>"26260"</f>
        <v>26260</v>
      </c>
      <c r="C42135" s="2">
        <v>3.47517458692515E-5</v>
      </c>
      <c r="D42135" s="2">
        <v>5.1194102439398901E-5</v>
      </c>
      <c r="E42135" s="2">
        <v>1.72042270785932E-5</v>
      </c>
      <c r="F42135" s="2">
        <v>3.5426748240948397E-5</v>
      </c>
    </row>
    <row r="42136" spans="1:6" x14ac:dyDescent="0.25">
      <c r="A42136" s="1" t="str">
        <f t="shared" si="1462"/>
        <v>99999</v>
      </c>
      <c r="B42136" s="1" t="str">
        <f>"26206"</f>
        <v>26206</v>
      </c>
      <c r="C42136" s="2">
        <v>9.9600019313742807E-5</v>
      </c>
      <c r="D42136" s="2">
        <v>5.8722646915781101E-5</v>
      </c>
      <c r="E42136" s="2">
        <v>5.5913738005427899E-5</v>
      </c>
      <c r="F42136" s="2">
        <v>9.5918660975492694E-5</v>
      </c>
    </row>
    <row r="42137" spans="1:6" x14ac:dyDescent="0.25">
      <c r="A42137" s="1" t="str">
        <f t="shared" si="1462"/>
        <v>99999</v>
      </c>
      <c r="B42137" s="1" t="str">
        <f>"04538"</f>
        <v>04538</v>
      </c>
      <c r="C42137" s="2">
        <v>1.82094817919255E-4</v>
      </c>
      <c r="D42137" s="2">
        <v>4.5020695968765501E-4</v>
      </c>
      <c r="E42137" s="2">
        <v>4.3440673373447799E-4</v>
      </c>
      <c r="F42137" s="2">
        <v>2.0545540344750601E-4</v>
      </c>
    </row>
    <row r="42138" spans="1:6" x14ac:dyDescent="0.25">
      <c r="A42138" s="1" t="str">
        <f t="shared" si="1462"/>
        <v>99999</v>
      </c>
      <c r="B42138" s="1" t="str">
        <f>"04539"</f>
        <v>04539</v>
      </c>
      <c r="C42138" s="2">
        <v>4.89339225324041E-5</v>
      </c>
      <c r="D42138" s="2">
        <v>1.20456711622115E-5</v>
      </c>
      <c r="E42138" s="2">
        <v>1.03225362471559E-4</v>
      </c>
      <c r="F42138" s="2">
        <v>4.7761966987796801E-5</v>
      </c>
    </row>
    <row r="42139" spans="1:6" x14ac:dyDescent="0.25">
      <c r="A42139" s="1" t="str">
        <f t="shared" si="1462"/>
        <v>99999</v>
      </c>
      <c r="B42139" s="1" t="str">
        <f>"04479"</f>
        <v>04479</v>
      </c>
      <c r="C42139" s="2">
        <v>6.6796969474542693E-5</v>
      </c>
      <c r="D42139" s="2">
        <v>1.50570889527644E-5</v>
      </c>
      <c r="E42139" s="2">
        <v>5.1612681235779599E-5</v>
      </c>
      <c r="F42139" s="2">
        <v>6.3057638233888702E-5</v>
      </c>
    </row>
    <row r="42140" spans="1:6" x14ac:dyDescent="0.25">
      <c r="A42140" s="1" t="str">
        <f t="shared" si="1462"/>
        <v>99999</v>
      </c>
      <c r="B42140" s="1" t="str">
        <f>"04537"</f>
        <v>04537</v>
      </c>
      <c r="C42140" s="2">
        <v>1.0371393315496199E-4</v>
      </c>
      <c r="D42140" s="2">
        <v>5.4205520229951803E-5</v>
      </c>
      <c r="E42140" s="2">
        <v>3.44084541571864E-5</v>
      </c>
      <c r="F42140" s="2">
        <v>9.8879113474736294E-5</v>
      </c>
    </row>
    <row r="42141" spans="1:6" x14ac:dyDescent="0.25">
      <c r="A42141" s="1" t="str">
        <f t="shared" si="1462"/>
        <v>99999</v>
      </c>
      <c r="B42141" s="1" t="str">
        <f>"04238"</f>
        <v>04238</v>
      </c>
      <c r="C42141" s="2">
        <v>5.1207401234130799E-5</v>
      </c>
      <c r="D42141" s="2">
        <v>1.0539962266935E-5</v>
      </c>
      <c r="E42141" s="2">
        <v>1.72042270785932E-5</v>
      </c>
      <c r="F42141" s="2">
        <v>4.7761966987796801E-5</v>
      </c>
    </row>
    <row r="42142" spans="1:6" x14ac:dyDescent="0.25">
      <c r="A42142" s="1" t="str">
        <f t="shared" si="1462"/>
        <v>99999</v>
      </c>
      <c r="B42142" s="1" t="str">
        <f>"05101"</f>
        <v>05101</v>
      </c>
      <c r="C42142" s="2">
        <v>2.2972960976495901E-4</v>
      </c>
      <c r="D42142" s="2">
        <v>4.6676975753569603E-4</v>
      </c>
      <c r="E42142" s="2">
        <v>1.49246669906796E-3</v>
      </c>
      <c r="F42142" s="2">
        <v>2.7423658317993199E-4</v>
      </c>
    </row>
    <row r="42143" spans="1:6" x14ac:dyDescent="0.25">
      <c r="A42143" s="1" t="str">
        <f t="shared" si="1462"/>
        <v>99999</v>
      </c>
      <c r="B42143" s="1" t="str">
        <f>"04841"</f>
        <v>04841</v>
      </c>
      <c r="C42143" s="2">
        <v>5.7053489324285298E-4</v>
      </c>
      <c r="D42143" s="2">
        <v>1.3777236391779399E-3</v>
      </c>
      <c r="E42143" s="2">
        <v>1.5827888912305699E-3</v>
      </c>
      <c r="F42143" s="2">
        <v>6.4666150758477703E-4</v>
      </c>
    </row>
    <row r="42144" spans="1:6" x14ac:dyDescent="0.25">
      <c r="A42144" s="1" t="str">
        <f t="shared" si="1462"/>
        <v>99999</v>
      </c>
      <c r="B42144" s="1" t="str">
        <f>"04743"</f>
        <v>04743</v>
      </c>
      <c r="C42144" s="2">
        <v>2.4174656861694301E-4</v>
      </c>
      <c r="D42144" s="2">
        <v>3.3125595696081601E-4</v>
      </c>
      <c r="E42144" s="2">
        <v>9.2042614870473604E-4</v>
      </c>
      <c r="F42144" s="2">
        <v>2.6318422718275603E-4</v>
      </c>
    </row>
    <row r="42145" spans="1:6" x14ac:dyDescent="0.25">
      <c r="A42145" s="1" t="str">
        <f t="shared" si="1462"/>
        <v>99999</v>
      </c>
      <c r="B42145" s="1" t="str">
        <f>"04787"</f>
        <v>04787</v>
      </c>
      <c r="C42145" s="2">
        <v>1.8945655847722799E-5</v>
      </c>
      <c r="D42145" s="2">
        <v>3.01141779055288E-6</v>
      </c>
      <c r="E42145" s="2">
        <v>0</v>
      </c>
      <c r="F42145" s="2">
        <v>1.7466669745537199E-5</v>
      </c>
    </row>
    <row r="42146" spans="1:6" x14ac:dyDescent="0.25">
      <c r="A42146" s="1" t="str">
        <f t="shared" si="1462"/>
        <v>99999</v>
      </c>
      <c r="B42146" s="1" t="str">
        <f>"04843"</f>
        <v>04843</v>
      </c>
      <c r="C42146" s="2">
        <v>3.4849180670754103E-4</v>
      </c>
      <c r="D42146" s="2">
        <v>5.1194102439398902E-4</v>
      </c>
      <c r="E42146" s="2">
        <v>8.5591029716001197E-4</v>
      </c>
      <c r="F42146" s="2">
        <v>3.7084601640524802E-4</v>
      </c>
    </row>
    <row r="42147" spans="1:6" x14ac:dyDescent="0.25">
      <c r="A42147" s="1" t="str">
        <f t="shared" si="1462"/>
        <v>99999</v>
      </c>
      <c r="B42147" s="1" t="str">
        <f>"04756"</f>
        <v>04756</v>
      </c>
      <c r="C42147" s="2">
        <v>1.98550473284135E-4</v>
      </c>
      <c r="D42147" s="2">
        <v>2.4994767661588901E-4</v>
      </c>
      <c r="E42147" s="2">
        <v>7.1397542376161797E-4</v>
      </c>
      <c r="F42147" s="2">
        <v>2.1374467044538799E-4</v>
      </c>
    </row>
    <row r="42148" spans="1:6" x14ac:dyDescent="0.25">
      <c r="A42148" s="1" t="str">
        <f t="shared" si="1462"/>
        <v>99999</v>
      </c>
      <c r="B42148" s="1" t="str">
        <f>"04783"</f>
        <v>04783</v>
      </c>
      <c r="C42148" s="2">
        <v>3.6267398337069401E-5</v>
      </c>
      <c r="D42148" s="2">
        <v>4.5171266858293203E-6</v>
      </c>
      <c r="E42148" s="2">
        <v>4.3010567696482999E-6</v>
      </c>
      <c r="F42148" s="2">
        <v>3.34531132414527E-5</v>
      </c>
    </row>
    <row r="42149" spans="1:6" x14ac:dyDescent="0.25">
      <c r="A42149" s="1" t="str">
        <f t="shared" si="1462"/>
        <v>99999</v>
      </c>
      <c r="B42149" s="1" t="str">
        <f>"04858"</f>
        <v>04858</v>
      </c>
      <c r="C42149" s="2">
        <v>6.9503491738503095E-5</v>
      </c>
      <c r="D42149" s="2">
        <v>9.0342533716586405E-6</v>
      </c>
      <c r="E42149" s="2">
        <v>4.3010567696482999E-6</v>
      </c>
      <c r="F42149" s="2">
        <v>6.4044455733636605E-5</v>
      </c>
    </row>
    <row r="42150" spans="1:6" x14ac:dyDescent="0.25">
      <c r="A42150" s="1" t="str">
        <f t="shared" si="1462"/>
        <v>99999</v>
      </c>
      <c r="B42150" s="1" t="str">
        <f>"04850"</f>
        <v>04850</v>
      </c>
      <c r="C42150" s="2">
        <v>0</v>
      </c>
      <c r="D42150" s="2">
        <v>0</v>
      </c>
      <c r="E42150" s="2">
        <v>4.3010567696482999E-6</v>
      </c>
      <c r="F42150" s="2">
        <v>9.8681749974786797E-8</v>
      </c>
    </row>
    <row r="42151" spans="1:6" x14ac:dyDescent="0.25">
      <c r="A42151" s="1" t="str">
        <f t="shared" si="1462"/>
        <v>99999</v>
      </c>
      <c r="B42151" s="1" t="str">
        <f>"04950"</f>
        <v>04950</v>
      </c>
      <c r="C42151" s="2">
        <v>2.5982613734019797E-4</v>
      </c>
      <c r="D42151" s="2">
        <v>2.3790200545367699E-4</v>
      </c>
      <c r="E42151" s="2">
        <v>4.8601941497025799E-4</v>
      </c>
      <c r="F42151" s="2">
        <v>2.6357895418265502E-4</v>
      </c>
    </row>
    <row r="42152" spans="1:6" x14ac:dyDescent="0.25">
      <c r="A42152" s="1" t="str">
        <f t="shared" si="1462"/>
        <v>99999</v>
      </c>
      <c r="B42152" s="1" t="str">
        <f>"04915"</f>
        <v>04915</v>
      </c>
      <c r="C42152" s="2">
        <v>6.2250012071089203E-4</v>
      </c>
      <c r="D42152" s="2">
        <v>1.16692439383924E-3</v>
      </c>
      <c r="E42152" s="2">
        <v>1.247306463198E-3</v>
      </c>
      <c r="F42152" s="2">
        <v>6.7251612607817195E-4</v>
      </c>
    </row>
    <row r="42153" spans="1:6" x14ac:dyDescent="0.25">
      <c r="A42153" s="1" t="str">
        <f t="shared" si="1462"/>
        <v>99999</v>
      </c>
      <c r="B42153" s="1" t="str">
        <f>"04938"</f>
        <v>04938</v>
      </c>
      <c r="C42153" s="2">
        <v>5.8579967881158899E-4</v>
      </c>
      <c r="D42153" s="2">
        <v>7.1069459857047899E-4</v>
      </c>
      <c r="E42153" s="2">
        <v>1.4236497907535799E-3</v>
      </c>
      <c r="F42153" s="2">
        <v>6.1320839434332499E-4</v>
      </c>
    </row>
    <row r="42154" spans="1:6" x14ac:dyDescent="0.25">
      <c r="A42154" s="1" t="str">
        <f t="shared" si="1462"/>
        <v>99999</v>
      </c>
      <c r="B42154" s="1" t="str">
        <f>"04649"</f>
        <v>04649</v>
      </c>
      <c r="C42154" s="2">
        <v>5.1099140343572402E-5</v>
      </c>
      <c r="D42154" s="2">
        <v>4.5171266858293199E-5</v>
      </c>
      <c r="E42154" s="2">
        <v>1.29031703089449E-5</v>
      </c>
      <c r="F42154" s="2">
        <v>4.9834283737267301E-5</v>
      </c>
    </row>
    <row r="42155" spans="1:6" x14ac:dyDescent="0.25">
      <c r="A42155" s="1" t="str">
        <f t="shared" si="1462"/>
        <v>99999</v>
      </c>
      <c r="B42155" s="1" t="str">
        <f>"04605"</f>
        <v>04605</v>
      </c>
      <c r="C42155" s="2">
        <v>9.1859365638816105E-4</v>
      </c>
      <c r="D42155" s="2">
        <v>1.73909377404428E-3</v>
      </c>
      <c r="E42155" s="2">
        <v>1.90966920572384E-3</v>
      </c>
      <c r="F42155" s="2">
        <v>9.9510676674574995E-4</v>
      </c>
    </row>
    <row r="42156" spans="1:6" x14ac:dyDescent="0.25">
      <c r="A42156" s="1" t="str">
        <f t="shared" si="1462"/>
        <v>99999</v>
      </c>
      <c r="B42156" s="1" t="str">
        <f>"04666"</f>
        <v>04666</v>
      </c>
      <c r="C42156" s="2">
        <v>6.9828274410178401E-5</v>
      </c>
      <c r="D42156" s="2">
        <v>2.7102760114975901E-5</v>
      </c>
      <c r="E42156" s="2">
        <v>1.29031703089449E-5</v>
      </c>
      <c r="F42156" s="2">
        <v>6.5722045483207998E-5</v>
      </c>
    </row>
    <row r="42157" spans="1:6" x14ac:dyDescent="0.25">
      <c r="A42157" s="1" t="str">
        <f t="shared" si="1462"/>
        <v>99999</v>
      </c>
      <c r="B42157" s="1" t="str">
        <f>"04634"</f>
        <v>04634</v>
      </c>
      <c r="C42157" s="2">
        <v>1.18653936052024E-4</v>
      </c>
      <c r="D42157" s="2">
        <v>2.25856334291466E-5</v>
      </c>
      <c r="E42157" s="2">
        <v>2.0645072494311799E-4</v>
      </c>
      <c r="F42157" s="2">
        <v>1.14372148220777E-4</v>
      </c>
    </row>
    <row r="42158" spans="1:6" x14ac:dyDescent="0.25">
      <c r="A42158" s="1" t="str">
        <f t="shared" si="1462"/>
        <v>99999</v>
      </c>
      <c r="B42158" s="1" t="str">
        <f>"04571"</f>
        <v>04571</v>
      </c>
      <c r="C42158" s="2">
        <v>1.78630469421386E-5</v>
      </c>
      <c r="D42158" s="2">
        <v>3.01141779055288E-6</v>
      </c>
      <c r="E42158" s="2">
        <v>4.3010567696482999E-6</v>
      </c>
      <c r="F42158" s="2">
        <v>1.65785339957641E-5</v>
      </c>
    </row>
    <row r="42159" spans="1:6" x14ac:dyDescent="0.25">
      <c r="A42159" s="1" t="str">
        <f t="shared" si="1462"/>
        <v>99999</v>
      </c>
      <c r="B42159" s="1" t="str">
        <f>"04679"</f>
        <v>04679</v>
      </c>
      <c r="C42159" s="2">
        <v>8.8340886695667504E-5</v>
      </c>
      <c r="D42159" s="2">
        <v>4.3665557963016701E-5</v>
      </c>
      <c r="E42159" s="2">
        <v>4.7311624466131299E-5</v>
      </c>
      <c r="F42159" s="2">
        <v>8.4471577978417498E-5</v>
      </c>
    </row>
    <row r="42160" spans="1:6" x14ac:dyDescent="0.25">
      <c r="A42160" s="1" t="str">
        <f t="shared" si="1462"/>
        <v>99999</v>
      </c>
      <c r="B42160" s="1" t="str">
        <f>"04553"</f>
        <v>04553</v>
      </c>
      <c r="C42160" s="2">
        <v>9.3104365880237899E-5</v>
      </c>
      <c r="D42160" s="2">
        <v>7.9802571449651304E-5</v>
      </c>
      <c r="E42160" s="2">
        <v>9.0322192162614306E-5</v>
      </c>
      <c r="F42160" s="2">
        <v>9.21687544764508E-5</v>
      </c>
    </row>
    <row r="42161" spans="1:6" x14ac:dyDescent="0.25">
      <c r="A42161" s="1" t="str">
        <f t="shared" si="1462"/>
        <v>99999</v>
      </c>
      <c r="B42161" s="1" t="str">
        <f>"04680"</f>
        <v>04680</v>
      </c>
      <c r="C42161" s="2">
        <v>7.4050449141956602E-5</v>
      </c>
      <c r="D42161" s="2">
        <v>2.8608469010252301E-5</v>
      </c>
      <c r="E42161" s="2">
        <v>2.1505283848241501E-4</v>
      </c>
      <c r="F42161" s="2">
        <v>7.4307357731014399E-5</v>
      </c>
    </row>
    <row r="42162" spans="1:6" x14ac:dyDescent="0.25">
      <c r="A42162" s="1" t="str">
        <f t="shared" si="1462"/>
        <v>99999</v>
      </c>
      <c r="B42162" s="1" t="str">
        <f>"04643"</f>
        <v>04643</v>
      </c>
      <c r="C42162" s="2">
        <v>5.2939575483065501E-5</v>
      </c>
      <c r="D42162" s="2">
        <v>2.8608469010252301E-5</v>
      </c>
      <c r="E42162" s="2">
        <v>2.58063406178898E-5</v>
      </c>
      <c r="F42162" s="2">
        <v>5.07224194870404E-5</v>
      </c>
    </row>
    <row r="42163" spans="1:6" x14ac:dyDescent="0.25">
      <c r="A42163" s="1" t="str">
        <f t="shared" si="1462"/>
        <v>99999</v>
      </c>
      <c r="B42163" s="1" t="str">
        <f>"04623"</f>
        <v>04623</v>
      </c>
      <c r="C42163" s="2">
        <v>5.0341314109663503E-5</v>
      </c>
      <c r="D42163" s="2">
        <v>2.8608469010252301E-5</v>
      </c>
      <c r="E42163" s="2">
        <v>6.8816908314372799E-5</v>
      </c>
      <c r="F42163" s="2">
        <v>4.9340874987393397E-5</v>
      </c>
    </row>
    <row r="42164" spans="1:6" x14ac:dyDescent="0.25">
      <c r="A42164" s="1" t="str">
        <f t="shared" si="1462"/>
        <v>99999</v>
      </c>
      <c r="B42164" s="1" t="str">
        <f>"05672"</f>
        <v>05672</v>
      </c>
      <c r="C42164" s="2">
        <v>4.8988052977683302E-4</v>
      </c>
      <c r="D42164" s="2">
        <v>1.22715274965029E-3</v>
      </c>
      <c r="E42164" s="2">
        <v>1.2215001225801101E-3</v>
      </c>
      <c r="F42164" s="2">
        <v>5.5498616185820104E-4</v>
      </c>
    </row>
    <row r="42165" spans="1:6" x14ac:dyDescent="0.25">
      <c r="A42165" s="1" t="str">
        <f t="shared" si="1462"/>
        <v>99999</v>
      </c>
      <c r="B42165" s="1" t="str">
        <f>"05662"</f>
        <v>05662</v>
      </c>
      <c r="C42165" s="2">
        <v>3.2478267167524799E-6</v>
      </c>
      <c r="D42165" s="2">
        <v>1.50570889527644E-6</v>
      </c>
      <c r="E42165" s="2">
        <v>8.6021135392965999E-6</v>
      </c>
      <c r="F42165" s="2">
        <v>3.2564977491679601E-6</v>
      </c>
    </row>
    <row r="42166" spans="1:6" x14ac:dyDescent="0.25">
      <c r="A42166" s="1" t="str">
        <f t="shared" si="1462"/>
        <v>99999</v>
      </c>
      <c r="B42166" s="1" t="str">
        <f>"05146"</f>
        <v>05146</v>
      </c>
      <c r="C42166" s="2">
        <v>3.8107833476562398E-5</v>
      </c>
      <c r="D42166" s="2">
        <v>7.5285444763821999E-6</v>
      </c>
      <c r="E42166" s="2">
        <v>4.3010567696482999E-6</v>
      </c>
      <c r="F42166" s="2">
        <v>3.53280664909736E-5</v>
      </c>
    </row>
    <row r="42167" spans="1:6" x14ac:dyDescent="0.25">
      <c r="A42167" s="1" t="str">
        <f t="shared" si="1462"/>
        <v>99999</v>
      </c>
      <c r="B42167" s="1" t="str">
        <f>"05359"</f>
        <v>05359</v>
      </c>
      <c r="C42167" s="2">
        <v>3.4426963197576303E-5</v>
      </c>
      <c r="D42167" s="2">
        <v>1.50570889527644E-5</v>
      </c>
      <c r="E42167" s="2">
        <v>2.58063406178898E-5</v>
      </c>
      <c r="F42167" s="2">
        <v>3.2959704491578701E-5</v>
      </c>
    </row>
    <row r="42168" spans="1:6" x14ac:dyDescent="0.25">
      <c r="A42168" s="1" t="str">
        <f t="shared" si="1462"/>
        <v>99999</v>
      </c>
      <c r="B42168" s="1" t="str">
        <f>"05353"</f>
        <v>05353</v>
      </c>
      <c r="C42168" s="2">
        <v>4.7310009174027802E-5</v>
      </c>
      <c r="D42168" s="2">
        <v>2.55970512196994E-5</v>
      </c>
      <c r="E42168" s="2">
        <v>3.01073973875381E-5</v>
      </c>
      <c r="F42168" s="2">
        <v>4.5492286738376699E-5</v>
      </c>
    </row>
    <row r="42169" spans="1:6" x14ac:dyDescent="0.25">
      <c r="A42169" s="1" t="str">
        <f t="shared" si="1462"/>
        <v>99999</v>
      </c>
      <c r="B42169" s="1" t="str">
        <f>"05343"</f>
        <v>05343</v>
      </c>
      <c r="C42169" s="2">
        <v>4.08143557405228E-5</v>
      </c>
      <c r="D42169" s="2">
        <v>2.25856334291466E-5</v>
      </c>
      <c r="E42169" s="2">
        <v>1.29031703089449E-5</v>
      </c>
      <c r="F42169" s="2">
        <v>3.8979291240040697E-5</v>
      </c>
    </row>
    <row r="42170" spans="1:6" x14ac:dyDescent="0.25">
      <c r="A42170" s="1" t="str">
        <f t="shared" si="1462"/>
        <v>99999</v>
      </c>
      <c r="B42170" s="1" t="str">
        <f>"05843"</f>
        <v>05843</v>
      </c>
      <c r="C42170" s="2">
        <v>1.2536611126664501E-4</v>
      </c>
      <c r="D42170" s="2">
        <v>3.7642722381910999E-5</v>
      </c>
      <c r="E42170" s="2">
        <v>1.2473064631979999E-4</v>
      </c>
      <c r="F42170" s="2">
        <v>1.19602280969441E-4</v>
      </c>
    </row>
    <row r="42171" spans="1:6" x14ac:dyDescent="0.25">
      <c r="A42171" s="1" t="str">
        <f t="shared" si="1462"/>
        <v>99999</v>
      </c>
      <c r="B42171" s="1" t="str">
        <f>"05826"</f>
        <v>05826</v>
      </c>
      <c r="C42171" s="2">
        <v>4.36291388950417E-5</v>
      </c>
      <c r="D42171" s="2">
        <v>1.9574215638593701E-5</v>
      </c>
      <c r="E42171" s="2">
        <v>4.3010567696482999E-5</v>
      </c>
      <c r="F42171" s="2">
        <v>4.2038425489259101E-5</v>
      </c>
    </row>
    <row r="42172" spans="1:6" x14ac:dyDescent="0.25">
      <c r="A42172" s="1" t="str">
        <f t="shared" si="1462"/>
        <v>99999</v>
      </c>
      <c r="B42172" s="1" t="str">
        <f>"05753"</f>
        <v>05753</v>
      </c>
      <c r="C42172" s="2">
        <v>5.2365792763105895E-4</v>
      </c>
      <c r="D42172" s="2">
        <v>5.8406448047773098E-3</v>
      </c>
      <c r="E42172" s="2">
        <v>1.4752624719893599E-3</v>
      </c>
      <c r="F42172" s="2">
        <v>8.9395797302159301E-4</v>
      </c>
    </row>
    <row r="42173" spans="1:6" x14ac:dyDescent="0.25">
      <c r="A42173" s="1" t="str">
        <f t="shared" si="1462"/>
        <v>99999</v>
      </c>
      <c r="B42173" s="1" t="str">
        <f>"05740"</f>
        <v>05740</v>
      </c>
      <c r="C42173" s="2">
        <v>7.1668709549671506E-5</v>
      </c>
      <c r="D42173" s="2">
        <v>4.0654140172463799E-5</v>
      </c>
      <c r="E42173" s="2">
        <v>8.6021135392965999E-6</v>
      </c>
      <c r="F42173" s="2">
        <v>6.8189089232577606E-5</v>
      </c>
    </row>
    <row r="42174" spans="1:6" x14ac:dyDescent="0.25">
      <c r="A42174" s="1" t="str">
        <f t="shared" si="1462"/>
        <v>99999</v>
      </c>
      <c r="B42174" s="1" t="str">
        <f>"05747"</f>
        <v>05747</v>
      </c>
      <c r="C42174" s="2">
        <v>2.6307396405695101E-5</v>
      </c>
      <c r="D42174" s="2">
        <v>9.0342533716586405E-6</v>
      </c>
      <c r="E42174" s="2">
        <v>0</v>
      </c>
      <c r="F42174" s="2">
        <v>2.4571755743721902E-5</v>
      </c>
    </row>
    <row r="42175" spans="1:6" x14ac:dyDescent="0.25">
      <c r="A42175" s="1" t="str">
        <f t="shared" si="1462"/>
        <v>99999</v>
      </c>
      <c r="B42175" s="1" t="str">
        <f>"12474"</f>
        <v>12474</v>
      </c>
      <c r="C42175" s="2">
        <v>6.3549142757790206E-5</v>
      </c>
      <c r="D42175" s="2">
        <v>3.01141779055288E-5</v>
      </c>
      <c r="E42175" s="2">
        <v>1.72042270785932E-5</v>
      </c>
      <c r="F42175" s="2">
        <v>6.0294549234594703E-5</v>
      </c>
    </row>
    <row r="42176" spans="1:6" x14ac:dyDescent="0.25">
      <c r="A42176" s="1" t="str">
        <f t="shared" si="1462"/>
        <v>99999</v>
      </c>
      <c r="B42176" s="1" t="str">
        <f>"12436"</f>
        <v>12436</v>
      </c>
      <c r="C42176" s="2">
        <v>2.1327395440007902E-5</v>
      </c>
      <c r="D42176" s="2">
        <v>0</v>
      </c>
      <c r="E42176" s="2">
        <v>1.29031703089449E-5</v>
      </c>
      <c r="F42176" s="2">
        <v>1.9736349994957301E-5</v>
      </c>
    </row>
    <row r="42177" spans="1:6" x14ac:dyDescent="0.25">
      <c r="A42177" s="1" t="str">
        <f t="shared" si="1462"/>
        <v>99999</v>
      </c>
      <c r="B42177" s="1" t="str">
        <f>"12482"</f>
        <v>12482</v>
      </c>
      <c r="C42177" s="2">
        <v>3.9515225053821902E-5</v>
      </c>
      <c r="D42177" s="2">
        <v>1.50570889527644E-5</v>
      </c>
      <c r="E42177" s="2">
        <v>6.0214794775076199E-5</v>
      </c>
      <c r="F42177" s="2">
        <v>3.8387200740192003E-5</v>
      </c>
    </row>
    <row r="42178" spans="1:6" x14ac:dyDescent="0.25">
      <c r="A42178" s="1" t="str">
        <f t="shared" si="1462"/>
        <v>99999</v>
      </c>
      <c r="B42178" s="1" t="str">
        <f>"12768"</f>
        <v>12768</v>
      </c>
      <c r="C42178" s="2">
        <v>7.7298275858709103E-5</v>
      </c>
      <c r="D42178" s="2">
        <v>3.31255956960816E-5</v>
      </c>
      <c r="E42178" s="2">
        <v>5.1612681235779599E-5</v>
      </c>
      <c r="F42178" s="2">
        <v>7.3813948981140502E-5</v>
      </c>
    </row>
    <row r="42179" spans="1:6" x14ac:dyDescent="0.25">
      <c r="A42179" s="1" t="str">
        <f t="shared" si="1462"/>
        <v>99999</v>
      </c>
      <c r="B42179" s="1" t="str">
        <f>"12790"</f>
        <v>12790</v>
      </c>
      <c r="C42179" s="2">
        <v>2.8851527333817901E-4</v>
      </c>
      <c r="D42179" s="2">
        <v>6.9262609182716196E-5</v>
      </c>
      <c r="E42179" s="2">
        <v>1.07526419241207E-4</v>
      </c>
      <c r="F42179" s="2">
        <v>2.6999326793101603E-4</v>
      </c>
    </row>
    <row r="42180" spans="1:6" x14ac:dyDescent="0.25">
      <c r="A42180" s="1" t="str">
        <f t="shared" si="1462"/>
        <v>99999</v>
      </c>
      <c r="B42180" s="1" t="str">
        <f>"12764"</f>
        <v>12764</v>
      </c>
      <c r="C42180" s="2">
        <v>1.21793501878218E-4</v>
      </c>
      <c r="D42180" s="2">
        <v>5.8722646915781101E-5</v>
      </c>
      <c r="E42180" s="2">
        <v>7.3117965084021106E-5</v>
      </c>
      <c r="F42180" s="2">
        <v>1.1654314672022301E-4</v>
      </c>
    </row>
    <row r="42181" spans="1:6" x14ac:dyDescent="0.25">
      <c r="A42181" s="1" t="str">
        <f t="shared" si="1462"/>
        <v>99999</v>
      </c>
      <c r="B42181" s="1" t="str">
        <f>"12775"</f>
        <v>12775</v>
      </c>
      <c r="C42181" s="2">
        <v>1.37274809228071E-4</v>
      </c>
      <c r="D42181" s="2">
        <v>4.6676975753569603E-5</v>
      </c>
      <c r="E42181" s="2">
        <v>3.01073973875381E-5</v>
      </c>
      <c r="F42181" s="2">
        <v>1.2887836546707099E-4</v>
      </c>
    </row>
    <row r="42182" spans="1:6" x14ac:dyDescent="0.25">
      <c r="A42182" s="1" t="str">
        <f t="shared" ref="A42182:A42245" si="1463">"99999"</f>
        <v>99999</v>
      </c>
      <c r="B42182" s="1" t="str">
        <f>"12765"</f>
        <v>12765</v>
      </c>
      <c r="C42182" s="2">
        <v>4.3737399785600097E-5</v>
      </c>
      <c r="D42182" s="2">
        <v>2.1079924533870101E-5</v>
      </c>
      <c r="E42182" s="2">
        <v>1.29031703089449E-5</v>
      </c>
      <c r="F42182" s="2">
        <v>4.1545016739385197E-5</v>
      </c>
    </row>
    <row r="42183" spans="1:6" x14ac:dyDescent="0.25">
      <c r="A42183" s="1" t="str">
        <f t="shared" si="1463"/>
        <v>99999</v>
      </c>
      <c r="B42183" s="1" t="str">
        <f>"12083"</f>
        <v>12083</v>
      </c>
      <c r="C42183" s="2">
        <v>1.2287611078380201E-4</v>
      </c>
      <c r="D42183" s="2">
        <v>4.9688393544122498E-5</v>
      </c>
      <c r="E42183" s="2">
        <v>1.5483804370733801E-4</v>
      </c>
      <c r="F42183" s="2">
        <v>1.1881282696964301E-4</v>
      </c>
    </row>
    <row r="42184" spans="1:6" x14ac:dyDescent="0.25">
      <c r="A42184" s="1" t="str">
        <f t="shared" si="1463"/>
        <v>99999</v>
      </c>
      <c r="B42184" s="1" t="str">
        <f>"12883"</f>
        <v>12883</v>
      </c>
      <c r="C42184" s="2">
        <v>2.6069222446466602E-4</v>
      </c>
      <c r="D42184" s="2">
        <v>2.9361323457890499E-4</v>
      </c>
      <c r="E42184" s="2">
        <v>6.3225534513829996E-4</v>
      </c>
      <c r="F42184" s="2">
        <v>2.7137481243066301E-4</v>
      </c>
    </row>
    <row r="42185" spans="1:6" x14ac:dyDescent="0.25">
      <c r="A42185" s="1" t="str">
        <f t="shared" si="1463"/>
        <v>99999</v>
      </c>
      <c r="B42185" s="1" t="str">
        <f>"12912"</f>
        <v>12912</v>
      </c>
      <c r="C42185" s="2">
        <v>4.4928269581742699E-5</v>
      </c>
      <c r="D42185" s="2">
        <v>6.0228355811057601E-6</v>
      </c>
      <c r="E42185" s="2">
        <v>9.0322192162614306E-5</v>
      </c>
      <c r="F42185" s="2">
        <v>4.3419969988906097E-5</v>
      </c>
    </row>
    <row r="42186" spans="1:6" x14ac:dyDescent="0.25">
      <c r="A42186" s="1" t="str">
        <f t="shared" si="1463"/>
        <v>99999</v>
      </c>
      <c r="B42186" s="1" t="str">
        <f>"12928"</f>
        <v>12928</v>
      </c>
      <c r="C42186" s="2">
        <v>9.2021756974653701E-5</v>
      </c>
      <c r="D42186" s="2">
        <v>3.9148431277187403E-5</v>
      </c>
      <c r="E42186" s="2">
        <v>3.44084541571864E-5</v>
      </c>
      <c r="F42186" s="2">
        <v>8.7234666977711504E-5</v>
      </c>
    </row>
    <row r="42187" spans="1:6" x14ac:dyDescent="0.25">
      <c r="A42187" s="1" t="str">
        <f t="shared" si="1463"/>
        <v>99999</v>
      </c>
      <c r="B42187" s="1" t="str">
        <f>"12946"</f>
        <v>12946</v>
      </c>
      <c r="C42187" s="2">
        <v>5.3015358106456301E-4</v>
      </c>
      <c r="D42187" s="2">
        <v>9.5311373070998602E-4</v>
      </c>
      <c r="E42187" s="2">
        <v>2.1634315551330901E-3</v>
      </c>
      <c r="F42187" s="2">
        <v>5.9534699759788805E-4</v>
      </c>
    </row>
    <row r="42188" spans="1:6" x14ac:dyDescent="0.25">
      <c r="A42188" s="1" t="str">
        <f t="shared" si="1463"/>
        <v>99999</v>
      </c>
      <c r="B42188" s="1" t="str">
        <f>"12944"</f>
        <v>12944</v>
      </c>
      <c r="C42188" s="2">
        <v>1.2493306770441199E-4</v>
      </c>
      <c r="D42188" s="2">
        <v>9.4859660402415704E-5</v>
      </c>
      <c r="E42188" s="2">
        <v>1.07526419241207E-4</v>
      </c>
      <c r="F42188" s="2">
        <v>1.2256273346868501E-4</v>
      </c>
    </row>
    <row r="42189" spans="1:6" x14ac:dyDescent="0.25">
      <c r="A42189" s="1" t="str">
        <f t="shared" si="1463"/>
        <v>99999</v>
      </c>
      <c r="B42189" s="1" t="str">
        <f>"13367"</f>
        <v>13367</v>
      </c>
      <c r="C42189" s="2">
        <v>4.032718173301E-4</v>
      </c>
      <c r="D42189" s="2">
        <v>4.77309719802631E-4</v>
      </c>
      <c r="E42189" s="2">
        <v>7.7849127530634204E-4</v>
      </c>
      <c r="F42189" s="2">
        <v>4.1673303014352398E-4</v>
      </c>
    </row>
    <row r="42190" spans="1:6" x14ac:dyDescent="0.25">
      <c r="A42190" s="1" t="str">
        <f t="shared" si="1463"/>
        <v>99999</v>
      </c>
      <c r="B42190" s="1" t="str">
        <f>"13433"</f>
        <v>13433</v>
      </c>
      <c r="C42190" s="2">
        <v>5.8136098229869402E-5</v>
      </c>
      <c r="D42190" s="2">
        <v>1.50570889527644E-5</v>
      </c>
      <c r="E42190" s="2">
        <v>2.15052838482415E-5</v>
      </c>
      <c r="F42190" s="2">
        <v>5.4472325986082301E-5</v>
      </c>
    </row>
    <row r="42191" spans="1:6" x14ac:dyDescent="0.25">
      <c r="A42191" s="1" t="str">
        <f t="shared" si="1463"/>
        <v>99999</v>
      </c>
      <c r="B42191" s="1" t="str">
        <f>"13309"</f>
        <v>13309</v>
      </c>
      <c r="C42191" s="2">
        <v>4.7634791845703101E-5</v>
      </c>
      <c r="D42191" s="2">
        <v>1.9574215638593701E-5</v>
      </c>
      <c r="E42191" s="2">
        <v>4.3010567696482999E-6</v>
      </c>
      <c r="F42191" s="2">
        <v>4.4801514488553201E-5</v>
      </c>
    </row>
    <row r="42192" spans="1:6" x14ac:dyDescent="0.25">
      <c r="A42192" s="1" t="str">
        <f t="shared" si="1463"/>
        <v>99999</v>
      </c>
      <c r="B42192" s="1" t="str">
        <f>"13815"</f>
        <v>13815</v>
      </c>
      <c r="C42192" s="2">
        <v>6.9113752532492796E-4</v>
      </c>
      <c r="D42192" s="2">
        <v>9.1396529943279896E-4</v>
      </c>
      <c r="E42192" s="2">
        <v>1.6731110833931801E-3</v>
      </c>
      <c r="F42192" s="2">
        <v>7.2827131481392597E-4</v>
      </c>
    </row>
    <row r="42193" spans="1:6" x14ac:dyDescent="0.25">
      <c r="A42193" s="1" t="str">
        <f t="shared" si="1463"/>
        <v>99999</v>
      </c>
      <c r="B42193" s="1" t="str">
        <f>"13620"</f>
        <v>13620</v>
      </c>
      <c r="C42193" s="2">
        <v>8.6933495118408094E-5</v>
      </c>
      <c r="D42193" s="2">
        <v>2.1079924533870101E-5</v>
      </c>
      <c r="E42193" s="2">
        <v>1.5913910047698701E-4</v>
      </c>
      <c r="F42193" s="2">
        <v>8.4274214478467904E-5</v>
      </c>
    </row>
    <row r="42194" spans="1:6" x14ac:dyDescent="0.25">
      <c r="A42194" s="1" t="str">
        <f t="shared" si="1463"/>
        <v>99999</v>
      </c>
      <c r="B42194" s="1" t="str">
        <f>"13739"</f>
        <v>13739</v>
      </c>
      <c r="C42194" s="2">
        <v>5.4346967060324897E-5</v>
      </c>
      <c r="D42194" s="2">
        <v>6.0228355811057601E-6</v>
      </c>
      <c r="E42194" s="2">
        <v>2.58063406178898E-5</v>
      </c>
      <c r="F42194" s="2">
        <v>5.0525055987090799E-5</v>
      </c>
    </row>
    <row r="42195" spans="1:6" x14ac:dyDescent="0.25">
      <c r="A42195" s="1" t="str">
        <f t="shared" si="1463"/>
        <v>99999</v>
      </c>
      <c r="B42195" s="1" t="str">
        <f>"13436"</f>
        <v>13436</v>
      </c>
      <c r="C42195" s="2">
        <v>1.5481307349853501E-5</v>
      </c>
      <c r="D42195" s="2">
        <v>4.9688393544122498E-5</v>
      </c>
      <c r="E42195" s="2">
        <v>4.3010567696482999E-6</v>
      </c>
      <c r="F42195" s="2">
        <v>1.7466669745537199E-5</v>
      </c>
    </row>
    <row r="42196" spans="1:6" x14ac:dyDescent="0.25">
      <c r="A42196" s="1" t="str">
        <f t="shared" si="1463"/>
        <v>99999</v>
      </c>
      <c r="B42196" s="1" t="str">
        <f>"13843"</f>
        <v>13843</v>
      </c>
      <c r="C42196" s="2">
        <v>4.9800009656871403E-5</v>
      </c>
      <c r="D42196" s="2">
        <v>1.20456711622115E-5</v>
      </c>
      <c r="E42196" s="2">
        <v>3.8709510926834699E-5</v>
      </c>
      <c r="F42196" s="2">
        <v>4.7071194737973303E-5</v>
      </c>
    </row>
    <row r="42197" spans="1:6" x14ac:dyDescent="0.25">
      <c r="A42197" s="1" t="str">
        <f t="shared" si="1463"/>
        <v>99999</v>
      </c>
      <c r="B42197" s="1" t="str">
        <f>"13846"</f>
        <v>13846</v>
      </c>
      <c r="C42197" s="2">
        <v>1.68886989271129E-5</v>
      </c>
      <c r="D42197" s="2">
        <v>4.5171266858293203E-6</v>
      </c>
      <c r="E42197" s="2">
        <v>8.6021135392965999E-6</v>
      </c>
      <c r="F42197" s="2">
        <v>1.5887761745940599E-5</v>
      </c>
    </row>
    <row r="42198" spans="1:6" x14ac:dyDescent="0.25">
      <c r="A42198" s="1" t="str">
        <f t="shared" si="1463"/>
        <v>99999</v>
      </c>
      <c r="B42198" s="1" t="str">
        <f>"14437"</f>
        <v>14437</v>
      </c>
      <c r="C42198" s="2">
        <v>1.29913068670099E-6</v>
      </c>
      <c r="D42198" s="2">
        <v>4.5171266858293203E-6</v>
      </c>
      <c r="E42198" s="2">
        <v>0</v>
      </c>
      <c r="F42198" s="2">
        <v>1.4802262496218E-6</v>
      </c>
    </row>
    <row r="42199" spans="1:6" x14ac:dyDescent="0.25">
      <c r="A42199" s="1" t="str">
        <f t="shared" si="1463"/>
        <v>99999</v>
      </c>
      <c r="B42199" s="1" t="str">
        <f>"14884"</f>
        <v>14884</v>
      </c>
      <c r="C42199" s="2">
        <v>1.8079568723255499E-5</v>
      </c>
      <c r="D42199" s="2">
        <v>0</v>
      </c>
      <c r="E42199" s="2">
        <v>4.3010567696482999E-6</v>
      </c>
      <c r="F42199" s="2">
        <v>1.65785339957641E-5</v>
      </c>
    </row>
    <row r="42200" spans="1:6" x14ac:dyDescent="0.25">
      <c r="A42200" s="1" t="str">
        <f t="shared" si="1463"/>
        <v>99999</v>
      </c>
      <c r="B42200" s="1" t="str">
        <f>"14822"</f>
        <v>14822</v>
      </c>
      <c r="C42200" s="2">
        <v>4.36291388950417E-5</v>
      </c>
      <c r="D42200" s="2">
        <v>1.80685067433172E-5</v>
      </c>
      <c r="E42200" s="2">
        <v>8.6021135392965999E-6</v>
      </c>
      <c r="F42200" s="2">
        <v>4.1150289739486097E-5</v>
      </c>
    </row>
    <row r="42201" spans="1:6" x14ac:dyDescent="0.25">
      <c r="A42201" s="1" t="str">
        <f t="shared" si="1463"/>
        <v>99999</v>
      </c>
      <c r="B42201" s="1" t="str">
        <f>"73032"</f>
        <v>73032</v>
      </c>
      <c r="C42201" s="2">
        <v>0</v>
      </c>
      <c r="D42201" s="2">
        <v>0</v>
      </c>
      <c r="E42201" s="2">
        <v>4.3010567696482999E-6</v>
      </c>
      <c r="F42201" s="2">
        <v>9.8681749974786797E-8</v>
      </c>
    </row>
    <row r="42202" spans="1:6" x14ac:dyDescent="0.25">
      <c r="A42202" s="1" t="str">
        <f t="shared" si="1463"/>
        <v>99999</v>
      </c>
      <c r="B42202" s="1" t="str">
        <f>"81430"</f>
        <v>81430</v>
      </c>
      <c r="C42202" s="2">
        <v>2.1652178111683201E-7</v>
      </c>
      <c r="D42202" s="2">
        <v>0</v>
      </c>
      <c r="E42202" s="2">
        <v>4.3010567696482999E-6</v>
      </c>
      <c r="F42202" s="2">
        <v>2.9604524992435999E-7</v>
      </c>
    </row>
    <row r="42203" spans="1:6" x14ac:dyDescent="0.25">
      <c r="A42203" s="1" t="str">
        <f t="shared" si="1463"/>
        <v>99999</v>
      </c>
      <c r="B42203" s="1" t="str">
        <f>"62829"</f>
        <v>62829</v>
      </c>
      <c r="C42203" s="2">
        <v>0</v>
      </c>
      <c r="D42203" s="2">
        <v>0</v>
      </c>
      <c r="E42203" s="2">
        <v>4.3010567696482999E-6</v>
      </c>
      <c r="F42203" s="2">
        <v>9.8681749974786797E-8</v>
      </c>
    </row>
    <row r="42204" spans="1:6" x14ac:dyDescent="0.25">
      <c r="A42204" s="1" t="str">
        <f t="shared" si="1463"/>
        <v>99999</v>
      </c>
      <c r="B42204" s="1" t="str">
        <f>"75858"</f>
        <v>75858</v>
      </c>
      <c r="C42204" s="2">
        <v>0</v>
      </c>
      <c r="D42204" s="2">
        <v>1.50570889527644E-6</v>
      </c>
      <c r="E42204" s="2">
        <v>0</v>
      </c>
      <c r="F42204" s="2">
        <v>9.8681749974786797E-8</v>
      </c>
    </row>
    <row r="42205" spans="1:6" x14ac:dyDescent="0.25">
      <c r="A42205" s="1" t="str">
        <f t="shared" si="1463"/>
        <v>99999</v>
      </c>
      <c r="B42205" s="1" t="str">
        <f>"59101"</f>
        <v>59101</v>
      </c>
      <c r="C42205" s="2">
        <v>2.1652178111683201E-7</v>
      </c>
      <c r="D42205" s="2">
        <v>0</v>
      </c>
      <c r="E42205" s="2">
        <v>0</v>
      </c>
      <c r="F42205" s="2">
        <v>1.9736349994957301E-7</v>
      </c>
    </row>
    <row r="42206" spans="1:6" x14ac:dyDescent="0.25">
      <c r="A42206" s="1" t="str">
        <f t="shared" si="1463"/>
        <v>99999</v>
      </c>
      <c r="B42206" s="1" t="str">
        <f>"79832"</f>
        <v>79832</v>
      </c>
      <c r="C42206" s="2">
        <v>0</v>
      </c>
      <c r="D42206" s="2">
        <v>1.50570889527644E-6</v>
      </c>
      <c r="E42206" s="2">
        <v>0</v>
      </c>
      <c r="F42206" s="2">
        <v>9.8681749974786797E-8</v>
      </c>
    </row>
    <row r="42207" spans="1:6" x14ac:dyDescent="0.25">
      <c r="A42207" s="1" t="str">
        <f t="shared" si="1463"/>
        <v>99999</v>
      </c>
      <c r="B42207" s="1" t="str">
        <f>"83671"</f>
        <v>83671</v>
      </c>
      <c r="C42207" s="2">
        <v>0</v>
      </c>
      <c r="D42207" s="2">
        <v>0</v>
      </c>
      <c r="E42207" s="2">
        <v>4.3010567696482999E-6</v>
      </c>
      <c r="F42207" s="2">
        <v>9.8681749974786797E-8</v>
      </c>
    </row>
    <row r="42208" spans="1:6" x14ac:dyDescent="0.25">
      <c r="A42208" s="1" t="str">
        <f t="shared" si="1463"/>
        <v>99999</v>
      </c>
      <c r="B42208" s="1" t="str">
        <f>"99653"</f>
        <v>99653</v>
      </c>
      <c r="C42208" s="2">
        <v>0</v>
      </c>
      <c r="D42208" s="2">
        <v>1.50570889527644E-6</v>
      </c>
      <c r="E42208" s="2">
        <v>0</v>
      </c>
      <c r="F42208" s="2">
        <v>9.8681749974786797E-8</v>
      </c>
    </row>
    <row r="42209" spans="1:6" x14ac:dyDescent="0.25">
      <c r="A42209" s="1" t="str">
        <f t="shared" si="1463"/>
        <v>99999</v>
      </c>
      <c r="B42209" s="1" t="str">
        <f>"56041"</f>
        <v>56041</v>
      </c>
      <c r="C42209" s="2">
        <v>2.1652178111683201E-7</v>
      </c>
      <c r="D42209" s="2">
        <v>0</v>
      </c>
      <c r="E42209" s="2">
        <v>0</v>
      </c>
      <c r="F42209" s="2">
        <v>1.9736349994957301E-7</v>
      </c>
    </row>
    <row r="42210" spans="1:6" x14ac:dyDescent="0.25">
      <c r="A42210" s="1" t="str">
        <f t="shared" si="1463"/>
        <v>99999</v>
      </c>
      <c r="B42210" s="1" t="str">
        <f>"04016"</f>
        <v>04016</v>
      </c>
      <c r="C42210" s="2">
        <v>0</v>
      </c>
      <c r="D42210" s="2">
        <v>0</v>
      </c>
      <c r="E42210" s="2">
        <v>4.3010567696482999E-6</v>
      </c>
      <c r="F42210" s="2">
        <v>9.8681749974786797E-8</v>
      </c>
    </row>
    <row r="42211" spans="1:6" x14ac:dyDescent="0.25">
      <c r="A42211" s="1" t="str">
        <f t="shared" si="1463"/>
        <v>99999</v>
      </c>
      <c r="B42211" s="1" t="str">
        <f>"47536"</f>
        <v>47536</v>
      </c>
      <c r="C42211" s="2">
        <v>0</v>
      </c>
      <c r="D42211" s="2">
        <v>1.50570889527644E-6</v>
      </c>
      <c r="E42211" s="2">
        <v>0</v>
      </c>
      <c r="F42211" s="2">
        <v>9.8681749974786797E-8</v>
      </c>
    </row>
    <row r="42212" spans="1:6" x14ac:dyDescent="0.25">
      <c r="A42212" s="1" t="str">
        <f t="shared" si="1463"/>
        <v>99999</v>
      </c>
      <c r="B42212" s="1" t="str">
        <f>"99776"</f>
        <v>99776</v>
      </c>
      <c r="C42212" s="2">
        <v>0</v>
      </c>
      <c r="D42212" s="2">
        <v>0</v>
      </c>
      <c r="E42212" s="2">
        <v>4.3010567696482999E-6</v>
      </c>
      <c r="F42212" s="2">
        <v>9.8681749974786797E-8</v>
      </c>
    </row>
    <row r="42213" spans="1:6" x14ac:dyDescent="0.25">
      <c r="A42213" s="1" t="str">
        <f t="shared" si="1463"/>
        <v>99999</v>
      </c>
      <c r="B42213" s="1" t="str">
        <f>"28765"</f>
        <v>28765</v>
      </c>
      <c r="C42213" s="2">
        <v>0</v>
      </c>
      <c r="D42213" s="2">
        <v>0</v>
      </c>
      <c r="E42213" s="2">
        <v>4.3010567696482999E-6</v>
      </c>
      <c r="F42213" s="2">
        <v>9.8681749974786797E-8</v>
      </c>
    </row>
    <row r="42214" spans="1:6" x14ac:dyDescent="0.25">
      <c r="A42214" s="1" t="str">
        <f t="shared" si="1463"/>
        <v>99999</v>
      </c>
      <c r="B42214" s="1" t="str">
        <f>"23427"</f>
        <v>23427</v>
      </c>
      <c r="C42214" s="2">
        <v>0</v>
      </c>
      <c r="D42214" s="2">
        <v>1.50570889527644E-6</v>
      </c>
      <c r="E42214" s="2">
        <v>0</v>
      </c>
      <c r="F42214" s="2">
        <v>9.8681749974786797E-8</v>
      </c>
    </row>
    <row r="42215" spans="1:6" x14ac:dyDescent="0.25">
      <c r="A42215" s="1" t="str">
        <f t="shared" si="1463"/>
        <v>99999</v>
      </c>
      <c r="B42215" s="1" t="str">
        <f>"40157"</f>
        <v>40157</v>
      </c>
      <c r="C42215" s="2">
        <v>4.3304356223366401E-7</v>
      </c>
      <c r="D42215" s="2">
        <v>0</v>
      </c>
      <c r="E42215" s="2">
        <v>0</v>
      </c>
      <c r="F42215" s="2">
        <v>3.9472699989914697E-7</v>
      </c>
    </row>
    <row r="42216" spans="1:6" x14ac:dyDescent="0.25">
      <c r="A42216" s="1" t="str">
        <f t="shared" si="1463"/>
        <v>99999</v>
      </c>
      <c r="B42216" s="1" t="str">
        <f>"67341"</f>
        <v>67341</v>
      </c>
      <c r="C42216" s="2">
        <v>1.08260890558416E-7</v>
      </c>
      <c r="D42216" s="2">
        <v>0</v>
      </c>
      <c r="E42216" s="2">
        <v>0</v>
      </c>
      <c r="F42216" s="2">
        <v>9.8681749974786797E-8</v>
      </c>
    </row>
    <row r="42217" spans="1:6" x14ac:dyDescent="0.25">
      <c r="A42217" s="1" t="str">
        <f t="shared" si="1463"/>
        <v>99999</v>
      </c>
      <c r="B42217" s="1" t="str">
        <f>"70640"</f>
        <v>70640</v>
      </c>
      <c r="C42217" s="2">
        <v>2.1652178111683201E-7</v>
      </c>
      <c r="D42217" s="2">
        <v>0</v>
      </c>
      <c r="E42217" s="2">
        <v>0</v>
      </c>
      <c r="F42217" s="2">
        <v>1.9736349994957301E-7</v>
      </c>
    </row>
    <row r="42218" spans="1:6" x14ac:dyDescent="0.25">
      <c r="A42218" s="1" t="str">
        <f t="shared" si="1463"/>
        <v>99999</v>
      </c>
      <c r="B42218" s="1" t="str">
        <f>"71329"</f>
        <v>71329</v>
      </c>
      <c r="C42218" s="2">
        <v>0</v>
      </c>
      <c r="D42218" s="2">
        <v>1.50570889527644E-6</v>
      </c>
      <c r="E42218" s="2">
        <v>4.3010567696482999E-6</v>
      </c>
      <c r="F42218" s="2">
        <v>1.9736349994957301E-7</v>
      </c>
    </row>
    <row r="42219" spans="1:6" x14ac:dyDescent="0.25">
      <c r="A42219" s="1" t="str">
        <f t="shared" si="1463"/>
        <v>99999</v>
      </c>
      <c r="B42219" s="1" t="str">
        <f>"77460"</f>
        <v>77460</v>
      </c>
      <c r="C42219" s="2">
        <v>0</v>
      </c>
      <c r="D42219" s="2">
        <v>1.50570889527644E-6</v>
      </c>
      <c r="E42219" s="2">
        <v>0</v>
      </c>
      <c r="F42219" s="2">
        <v>9.8681749974786797E-8</v>
      </c>
    </row>
    <row r="42220" spans="1:6" x14ac:dyDescent="0.25">
      <c r="A42220" s="1" t="str">
        <f t="shared" si="1463"/>
        <v>99999</v>
      </c>
      <c r="B42220" s="1" t="str">
        <f>"98623"</f>
        <v>98623</v>
      </c>
      <c r="C42220" s="2">
        <v>0</v>
      </c>
      <c r="D42220" s="2">
        <v>1.50570889527644E-6</v>
      </c>
      <c r="E42220" s="2">
        <v>0</v>
      </c>
      <c r="F42220" s="2">
        <v>9.8681749974786797E-8</v>
      </c>
    </row>
    <row r="42221" spans="1:6" x14ac:dyDescent="0.25">
      <c r="A42221" s="1" t="str">
        <f t="shared" si="1463"/>
        <v>99999</v>
      </c>
      <c r="B42221" s="1" t="str">
        <f>"75990"</f>
        <v>75990</v>
      </c>
      <c r="C42221" s="2">
        <v>0</v>
      </c>
      <c r="D42221" s="2">
        <v>1.50570889527644E-6</v>
      </c>
      <c r="E42221" s="2">
        <v>0</v>
      </c>
      <c r="F42221" s="2">
        <v>9.8681749974786797E-8</v>
      </c>
    </row>
    <row r="42222" spans="1:6" x14ac:dyDescent="0.25">
      <c r="A42222" s="1" t="str">
        <f t="shared" si="1463"/>
        <v>99999</v>
      </c>
      <c r="B42222" s="1" t="str">
        <f>"99678"</f>
        <v>99678</v>
      </c>
      <c r="C42222" s="2">
        <v>0</v>
      </c>
      <c r="D42222" s="2">
        <v>0</v>
      </c>
      <c r="E42222" s="2">
        <v>4.3010567696482999E-6</v>
      </c>
      <c r="F42222" s="2">
        <v>9.8681749974786797E-8</v>
      </c>
    </row>
    <row r="42223" spans="1:6" x14ac:dyDescent="0.25">
      <c r="A42223" s="1" t="str">
        <f t="shared" si="1463"/>
        <v>99999</v>
      </c>
      <c r="B42223" s="1" t="str">
        <f>"99765"</f>
        <v>99765</v>
      </c>
      <c r="C42223" s="2">
        <v>0</v>
      </c>
      <c r="D42223" s="2">
        <v>0</v>
      </c>
      <c r="E42223" s="2">
        <v>4.3010567696482999E-6</v>
      </c>
      <c r="F42223" s="2">
        <v>9.8681749974786797E-8</v>
      </c>
    </row>
    <row r="42224" spans="1:6" x14ac:dyDescent="0.25">
      <c r="A42224" s="1" t="str">
        <f t="shared" si="1463"/>
        <v>99999</v>
      </c>
      <c r="B42224" s="1" t="str">
        <f>"22529"</f>
        <v>22529</v>
      </c>
      <c r="C42224" s="2">
        <v>0</v>
      </c>
      <c r="D42224" s="2">
        <v>0</v>
      </c>
      <c r="E42224" s="2">
        <v>4.3010567696482999E-6</v>
      </c>
      <c r="F42224" s="2">
        <v>9.8681749974786797E-8</v>
      </c>
    </row>
    <row r="42225" spans="1:6" x14ac:dyDescent="0.25">
      <c r="A42225" s="1" t="str">
        <f t="shared" si="1463"/>
        <v>99999</v>
      </c>
      <c r="B42225" s="1" t="str">
        <f>"30665"</f>
        <v>30665</v>
      </c>
      <c r="C42225" s="2">
        <v>0</v>
      </c>
      <c r="D42225" s="2">
        <v>0</v>
      </c>
      <c r="E42225" s="2">
        <v>4.3010567696482999E-6</v>
      </c>
      <c r="F42225" s="2">
        <v>9.8681749974786797E-8</v>
      </c>
    </row>
    <row r="42226" spans="1:6" x14ac:dyDescent="0.25">
      <c r="A42226" s="1" t="str">
        <f t="shared" si="1463"/>
        <v>99999</v>
      </c>
      <c r="B42226" s="1" t="str">
        <f>"95980"</f>
        <v>95980</v>
      </c>
      <c r="C42226" s="2">
        <v>0</v>
      </c>
      <c r="D42226" s="2">
        <v>0</v>
      </c>
      <c r="E42226" s="2">
        <v>4.3010567696482999E-6</v>
      </c>
      <c r="F42226" s="2">
        <v>9.8681749974786797E-8</v>
      </c>
    </row>
    <row r="42227" spans="1:6" x14ac:dyDescent="0.25">
      <c r="A42227" s="1" t="str">
        <f t="shared" si="1463"/>
        <v>99999</v>
      </c>
      <c r="B42227" s="1" t="str">
        <f>"04737"</f>
        <v>04737</v>
      </c>
      <c r="C42227" s="2">
        <v>0</v>
      </c>
      <c r="D42227" s="2">
        <v>0</v>
      </c>
      <c r="E42227" s="2">
        <v>4.3010567696482999E-6</v>
      </c>
      <c r="F42227" s="2">
        <v>9.8681749974786797E-8</v>
      </c>
    </row>
    <row r="42228" spans="1:6" x14ac:dyDescent="0.25">
      <c r="A42228" s="1" t="str">
        <f t="shared" si="1463"/>
        <v>99999</v>
      </c>
      <c r="B42228" s="1" t="str">
        <f>"51347"</f>
        <v>51347</v>
      </c>
      <c r="C42228" s="2">
        <v>1.08260890558416E-7</v>
      </c>
      <c r="D42228" s="2">
        <v>0</v>
      </c>
      <c r="E42228" s="2">
        <v>0</v>
      </c>
      <c r="F42228" s="2">
        <v>9.8681749974786797E-8</v>
      </c>
    </row>
    <row r="42229" spans="1:6" x14ac:dyDescent="0.25">
      <c r="A42229" s="1" t="str">
        <f t="shared" si="1463"/>
        <v>99999</v>
      </c>
      <c r="B42229" s="1" t="str">
        <f>"98280"</f>
        <v>98280</v>
      </c>
      <c r="C42229" s="2">
        <v>9.7434801502574508E-7</v>
      </c>
      <c r="D42229" s="2">
        <v>1.50570889527644E-6</v>
      </c>
      <c r="E42229" s="2">
        <v>0</v>
      </c>
      <c r="F42229" s="2">
        <v>9.8681749974786791E-7</v>
      </c>
    </row>
    <row r="42230" spans="1:6" x14ac:dyDescent="0.25">
      <c r="A42230" s="1" t="str">
        <f t="shared" si="1463"/>
        <v>99999</v>
      </c>
      <c r="B42230" s="1" t="str">
        <f>"23031"</f>
        <v>23031</v>
      </c>
      <c r="C42230" s="2">
        <v>0</v>
      </c>
      <c r="D42230" s="2">
        <v>1.50570889527644E-6</v>
      </c>
      <c r="E42230" s="2">
        <v>0</v>
      </c>
      <c r="F42230" s="2">
        <v>9.8681749974786797E-8</v>
      </c>
    </row>
    <row r="42231" spans="1:6" x14ac:dyDescent="0.25">
      <c r="A42231" s="1" t="str">
        <f t="shared" si="1463"/>
        <v>99999</v>
      </c>
      <c r="B42231" s="1" t="str">
        <f>"32360"</f>
        <v>32360</v>
      </c>
      <c r="C42231" s="2">
        <v>1.08260890558416E-7</v>
      </c>
      <c r="D42231" s="2">
        <v>0</v>
      </c>
      <c r="E42231" s="2">
        <v>4.3010567696482999E-6</v>
      </c>
      <c r="F42231" s="2">
        <v>1.9736349994957301E-7</v>
      </c>
    </row>
    <row r="42232" spans="1:6" x14ac:dyDescent="0.25">
      <c r="A42232" s="1" t="str">
        <f t="shared" si="1463"/>
        <v>99999</v>
      </c>
      <c r="B42232" s="1" t="str">
        <f>"77989"</f>
        <v>77989</v>
      </c>
      <c r="C42232" s="2">
        <v>0</v>
      </c>
      <c r="D42232" s="2">
        <v>1.50570889527644E-6</v>
      </c>
      <c r="E42232" s="2">
        <v>0</v>
      </c>
      <c r="F42232" s="2">
        <v>9.8681749974786797E-8</v>
      </c>
    </row>
    <row r="42233" spans="1:6" x14ac:dyDescent="0.25">
      <c r="A42233" s="1" t="str">
        <f t="shared" si="1463"/>
        <v>99999</v>
      </c>
      <c r="B42233" s="1" t="str">
        <f>"31051"</f>
        <v>31051</v>
      </c>
      <c r="C42233" s="2">
        <v>0</v>
      </c>
      <c r="D42233" s="2">
        <v>1.50570889527644E-6</v>
      </c>
      <c r="E42233" s="2">
        <v>4.3010567696482999E-6</v>
      </c>
      <c r="F42233" s="2">
        <v>1.9736349994957301E-7</v>
      </c>
    </row>
    <row r="42234" spans="1:6" x14ac:dyDescent="0.25">
      <c r="A42234" s="1" t="str">
        <f t="shared" si="1463"/>
        <v>99999</v>
      </c>
      <c r="B42234" s="1" t="str">
        <f>"38455"</f>
        <v>38455</v>
      </c>
      <c r="C42234" s="2">
        <v>0</v>
      </c>
      <c r="D42234" s="2">
        <v>1.50570889527644E-6</v>
      </c>
      <c r="E42234" s="2">
        <v>0</v>
      </c>
      <c r="F42234" s="2">
        <v>9.8681749974786797E-8</v>
      </c>
    </row>
    <row r="42235" spans="1:6" x14ac:dyDescent="0.25">
      <c r="A42235" s="1" t="str">
        <f t="shared" si="1463"/>
        <v>99999</v>
      </c>
      <c r="B42235" s="1" t="str">
        <f>"99550"</f>
        <v>99550</v>
      </c>
      <c r="C42235" s="2">
        <v>0</v>
      </c>
      <c r="D42235" s="2">
        <v>0</v>
      </c>
      <c r="E42235" s="2">
        <v>4.3010567696482999E-6</v>
      </c>
      <c r="F42235" s="2">
        <v>9.8681749974786797E-8</v>
      </c>
    </row>
    <row r="42236" spans="1:6" x14ac:dyDescent="0.25">
      <c r="A42236" s="1" t="str">
        <f t="shared" si="1463"/>
        <v>99999</v>
      </c>
      <c r="B42236" s="1" t="str">
        <f>"75564"</f>
        <v>75564</v>
      </c>
      <c r="C42236" s="2">
        <v>0</v>
      </c>
      <c r="D42236" s="2">
        <v>1.50570889527644E-6</v>
      </c>
      <c r="E42236" s="2">
        <v>0</v>
      </c>
      <c r="F42236" s="2">
        <v>9.8681749974786797E-8</v>
      </c>
    </row>
    <row r="42237" spans="1:6" x14ac:dyDescent="0.25">
      <c r="A42237" s="1" t="str">
        <f t="shared" si="1463"/>
        <v>99999</v>
      </c>
      <c r="B42237" s="1" t="str">
        <f>"96742"</f>
        <v>96742</v>
      </c>
      <c r="C42237" s="2">
        <v>0</v>
      </c>
      <c r="D42237" s="2">
        <v>1.50570889527644E-6</v>
      </c>
      <c r="E42237" s="2">
        <v>0</v>
      </c>
      <c r="F42237" s="2">
        <v>9.8681749974786797E-8</v>
      </c>
    </row>
    <row r="42238" spans="1:6" x14ac:dyDescent="0.25">
      <c r="A42238" s="1" t="str">
        <f t="shared" si="1463"/>
        <v>99999</v>
      </c>
      <c r="B42238" s="1" t="str">
        <f>"99681"</f>
        <v>99681</v>
      </c>
      <c r="C42238" s="2">
        <v>0</v>
      </c>
      <c r="D42238" s="2">
        <v>0</v>
      </c>
      <c r="E42238" s="2">
        <v>4.3010567696482999E-6</v>
      </c>
      <c r="F42238" s="2">
        <v>9.8681749974786797E-8</v>
      </c>
    </row>
    <row r="42239" spans="1:6" x14ac:dyDescent="0.25">
      <c r="A42239" s="1" t="str">
        <f t="shared" si="1463"/>
        <v>99999</v>
      </c>
      <c r="B42239" s="1" t="str">
        <f>"72014"</f>
        <v>72014</v>
      </c>
      <c r="C42239" s="2">
        <v>0</v>
      </c>
      <c r="D42239" s="2">
        <v>0</v>
      </c>
      <c r="E42239" s="2">
        <v>4.3010567696482999E-6</v>
      </c>
      <c r="F42239" s="2">
        <v>9.8681749974786797E-8</v>
      </c>
    </row>
    <row r="42240" spans="1:6" x14ac:dyDescent="0.25">
      <c r="A42240" s="1" t="str">
        <f t="shared" si="1463"/>
        <v>99999</v>
      </c>
      <c r="B42240" s="1" t="str">
        <f>"16058"</f>
        <v>16058</v>
      </c>
      <c r="C42240" s="2">
        <v>0</v>
      </c>
      <c r="D42240" s="2">
        <v>0</v>
      </c>
      <c r="E42240" s="2">
        <v>4.3010567696482999E-6</v>
      </c>
      <c r="F42240" s="2">
        <v>9.8681749974786797E-8</v>
      </c>
    </row>
    <row r="42241" spans="1:6" x14ac:dyDescent="0.25">
      <c r="A42241" s="1" t="str">
        <f t="shared" si="1463"/>
        <v>99999</v>
      </c>
      <c r="B42241" s="1" t="str">
        <f>"23408"</f>
        <v>23408</v>
      </c>
      <c r="C42241" s="2">
        <v>0</v>
      </c>
      <c r="D42241" s="2">
        <v>1.50570889527644E-6</v>
      </c>
      <c r="E42241" s="2">
        <v>0</v>
      </c>
      <c r="F42241" s="2">
        <v>9.8681749974786797E-8</v>
      </c>
    </row>
    <row r="42242" spans="1:6" x14ac:dyDescent="0.25">
      <c r="A42242" s="1" t="str">
        <f t="shared" si="1463"/>
        <v>99999</v>
      </c>
      <c r="B42242" s="1" t="str">
        <f>"71218"</f>
        <v>71218</v>
      </c>
      <c r="C42242" s="2">
        <v>0</v>
      </c>
      <c r="D42242" s="2">
        <v>0</v>
      </c>
      <c r="E42242" s="2">
        <v>4.3010567696482999E-6</v>
      </c>
      <c r="F42242" s="2">
        <v>9.8681749974786797E-8</v>
      </c>
    </row>
    <row r="42243" spans="1:6" x14ac:dyDescent="0.25">
      <c r="A42243" s="1" t="str">
        <f t="shared" si="1463"/>
        <v>99999</v>
      </c>
      <c r="B42243" s="1" t="str">
        <f>"99602"</f>
        <v>99602</v>
      </c>
      <c r="C42243" s="2">
        <v>0</v>
      </c>
      <c r="D42243" s="2">
        <v>0</v>
      </c>
      <c r="E42243" s="2">
        <v>4.3010567696482999E-6</v>
      </c>
      <c r="F42243" s="2">
        <v>9.8681749974786797E-8</v>
      </c>
    </row>
    <row r="42244" spans="1:6" x14ac:dyDescent="0.25">
      <c r="A42244" s="1" t="str">
        <f t="shared" si="1463"/>
        <v>99999</v>
      </c>
      <c r="B42244" s="1" t="str">
        <f>"22446"</f>
        <v>22446</v>
      </c>
      <c r="C42244" s="2">
        <v>0</v>
      </c>
      <c r="D42244" s="2">
        <v>0</v>
      </c>
      <c r="E42244" s="2">
        <v>4.3010567696482999E-6</v>
      </c>
      <c r="F42244" s="2">
        <v>9.8681749974786797E-8</v>
      </c>
    </row>
    <row r="42245" spans="1:6" x14ac:dyDescent="0.25">
      <c r="A42245" s="1" t="str">
        <f t="shared" si="1463"/>
        <v>99999</v>
      </c>
      <c r="B42245" s="1" t="str">
        <f>"54662"</f>
        <v>54662</v>
      </c>
      <c r="C42245" s="2">
        <v>0</v>
      </c>
      <c r="D42245" s="2">
        <v>0</v>
      </c>
      <c r="E42245" s="2">
        <v>4.3010567696482999E-6</v>
      </c>
      <c r="F42245" s="2">
        <v>9.8681749974786797E-8</v>
      </c>
    </row>
    <row r="42246" spans="1:6" x14ac:dyDescent="0.25">
      <c r="A42246" s="1" t="str">
        <f t="shared" ref="A42246:A42309" si="1464">"99999"</f>
        <v>99999</v>
      </c>
      <c r="B42246" s="1" t="str">
        <f>"74935"</f>
        <v>74935</v>
      </c>
      <c r="C42246" s="2">
        <v>0</v>
      </c>
      <c r="D42246" s="2">
        <v>0</v>
      </c>
      <c r="E42246" s="2">
        <v>4.3010567696482999E-6</v>
      </c>
      <c r="F42246" s="2">
        <v>9.8681749974786797E-8</v>
      </c>
    </row>
    <row r="42247" spans="1:6" x14ac:dyDescent="0.25">
      <c r="A42247" s="1" t="str">
        <f t="shared" si="1464"/>
        <v>99999</v>
      </c>
      <c r="B42247" s="1" t="str">
        <f>"26434"</f>
        <v>26434</v>
      </c>
      <c r="C42247" s="2">
        <v>0</v>
      </c>
      <c r="D42247" s="2">
        <v>1.50570889527644E-6</v>
      </c>
      <c r="E42247" s="2">
        <v>0</v>
      </c>
      <c r="F42247" s="2">
        <v>9.8681749974786797E-8</v>
      </c>
    </row>
    <row r="42248" spans="1:6" x14ac:dyDescent="0.25">
      <c r="A42248" s="1" t="str">
        <f t="shared" si="1464"/>
        <v>99999</v>
      </c>
      <c r="B42248" s="1" t="str">
        <f>"22552"</f>
        <v>22552</v>
      </c>
      <c r="C42248" s="2">
        <v>0</v>
      </c>
      <c r="D42248" s="2">
        <v>1.50570889527644E-6</v>
      </c>
      <c r="E42248" s="2">
        <v>0</v>
      </c>
      <c r="F42248" s="2">
        <v>9.8681749974786797E-8</v>
      </c>
    </row>
    <row r="42249" spans="1:6" x14ac:dyDescent="0.25">
      <c r="A42249" s="1" t="str">
        <f t="shared" si="1464"/>
        <v>99999</v>
      </c>
      <c r="B42249" s="1" t="str">
        <f>"66056"</f>
        <v>66056</v>
      </c>
      <c r="C42249" s="2">
        <v>1.08260890558416E-7</v>
      </c>
      <c r="D42249" s="2">
        <v>0</v>
      </c>
      <c r="E42249" s="2">
        <v>0</v>
      </c>
      <c r="F42249" s="2">
        <v>9.8681749974786797E-8</v>
      </c>
    </row>
    <row r="42250" spans="1:6" x14ac:dyDescent="0.25">
      <c r="A42250" s="1" t="str">
        <f t="shared" si="1464"/>
        <v>99999</v>
      </c>
      <c r="B42250" s="1" t="str">
        <f>"16225"</f>
        <v>16225</v>
      </c>
      <c r="C42250" s="2">
        <v>0</v>
      </c>
      <c r="D42250" s="2">
        <v>0</v>
      </c>
      <c r="E42250" s="2">
        <v>4.3010567696482999E-6</v>
      </c>
      <c r="F42250" s="2">
        <v>9.8681749974786797E-8</v>
      </c>
    </row>
    <row r="42251" spans="1:6" x14ac:dyDescent="0.25">
      <c r="A42251" s="1" t="str">
        <f t="shared" si="1464"/>
        <v>99999</v>
      </c>
      <c r="B42251" s="1" t="str">
        <f>"38622"</f>
        <v>38622</v>
      </c>
      <c r="C42251" s="2">
        <v>0</v>
      </c>
      <c r="D42251" s="2">
        <v>1.50570889527644E-6</v>
      </c>
      <c r="E42251" s="2">
        <v>0</v>
      </c>
      <c r="F42251" s="2">
        <v>9.8681749974786797E-8</v>
      </c>
    </row>
    <row r="42252" spans="1:6" x14ac:dyDescent="0.25">
      <c r="A42252" s="1" t="str">
        <f t="shared" si="1464"/>
        <v>99999</v>
      </c>
      <c r="B42252" s="1" t="str">
        <f>"99679"</f>
        <v>99679</v>
      </c>
      <c r="C42252" s="2">
        <v>0</v>
      </c>
      <c r="D42252" s="2">
        <v>0</v>
      </c>
      <c r="E42252" s="2">
        <v>4.3010567696482999E-6</v>
      </c>
      <c r="F42252" s="2">
        <v>9.8681749974786797E-8</v>
      </c>
    </row>
    <row r="42253" spans="1:6" x14ac:dyDescent="0.25">
      <c r="A42253" s="1" t="str">
        <f t="shared" si="1464"/>
        <v>99999</v>
      </c>
      <c r="B42253" s="1" t="str">
        <f>"99591"</f>
        <v>99591</v>
      </c>
      <c r="C42253" s="2">
        <v>0</v>
      </c>
      <c r="D42253" s="2">
        <v>0</v>
      </c>
      <c r="E42253" s="2">
        <v>4.3010567696482999E-6</v>
      </c>
      <c r="F42253" s="2">
        <v>9.8681749974786797E-8</v>
      </c>
    </row>
    <row r="42254" spans="1:6" x14ac:dyDescent="0.25">
      <c r="A42254" s="1" t="str">
        <f t="shared" si="1464"/>
        <v>99999</v>
      </c>
      <c r="B42254" s="1" t="str">
        <f>"04855"</f>
        <v>04855</v>
      </c>
      <c r="C42254" s="2">
        <v>0</v>
      </c>
      <c r="D42254" s="2">
        <v>0</v>
      </c>
      <c r="E42254" s="2">
        <v>4.3010567696482999E-6</v>
      </c>
      <c r="F42254" s="2">
        <v>9.8681749974786797E-8</v>
      </c>
    </row>
    <row r="42255" spans="1:6" x14ac:dyDescent="0.25">
      <c r="A42255" s="1" t="str">
        <f t="shared" si="1464"/>
        <v>99999</v>
      </c>
      <c r="B42255" s="1" t="str">
        <f>"59835"</f>
        <v>59835</v>
      </c>
      <c r="C42255" s="2">
        <v>0</v>
      </c>
      <c r="D42255" s="2">
        <v>0</v>
      </c>
      <c r="E42255" s="2">
        <v>4.3010567696482999E-6</v>
      </c>
      <c r="F42255" s="2">
        <v>9.8681749974786797E-8</v>
      </c>
    </row>
    <row r="42256" spans="1:6" x14ac:dyDescent="0.25">
      <c r="A42256" s="1" t="str">
        <f t="shared" si="1464"/>
        <v>99999</v>
      </c>
      <c r="B42256" s="1" t="str">
        <f>"99692"</f>
        <v>99692</v>
      </c>
      <c r="C42256" s="2">
        <v>0</v>
      </c>
      <c r="D42256" s="2">
        <v>0</v>
      </c>
      <c r="E42256" s="2">
        <v>4.3010567696482999E-6</v>
      </c>
      <c r="F42256" s="2">
        <v>9.8681749974786797E-8</v>
      </c>
    </row>
    <row r="42257" spans="1:6" x14ac:dyDescent="0.25">
      <c r="A42257" s="1" t="str">
        <f t="shared" si="1464"/>
        <v>99999</v>
      </c>
      <c r="B42257" s="1" t="str">
        <f>"61731"</f>
        <v>61731</v>
      </c>
      <c r="C42257" s="2">
        <v>2.1652178111683201E-7</v>
      </c>
      <c r="D42257" s="2">
        <v>0</v>
      </c>
      <c r="E42257" s="2">
        <v>0</v>
      </c>
      <c r="F42257" s="2">
        <v>1.9736349994957301E-7</v>
      </c>
    </row>
    <row r="42258" spans="1:6" x14ac:dyDescent="0.25">
      <c r="A42258" s="1" t="str">
        <f t="shared" si="1464"/>
        <v>99999</v>
      </c>
      <c r="B42258" s="1" t="str">
        <f>"76528"</f>
        <v>76528</v>
      </c>
      <c r="C42258" s="2">
        <v>1.08260890558416E-7</v>
      </c>
      <c r="D42258" s="2">
        <v>0</v>
      </c>
      <c r="E42258" s="2">
        <v>0</v>
      </c>
      <c r="F42258" s="2">
        <v>9.8681749974786797E-8</v>
      </c>
    </row>
    <row r="42259" spans="1:6" x14ac:dyDescent="0.25">
      <c r="A42259" s="1" t="str">
        <f t="shared" si="1464"/>
        <v>99999</v>
      </c>
      <c r="B42259" s="1" t="str">
        <f>"95654"</f>
        <v>95654</v>
      </c>
      <c r="C42259" s="2">
        <v>0</v>
      </c>
      <c r="D42259" s="2">
        <v>0</v>
      </c>
      <c r="E42259" s="2">
        <v>4.3010567696482999E-6</v>
      </c>
      <c r="F42259" s="2">
        <v>9.8681749974786797E-8</v>
      </c>
    </row>
    <row r="42260" spans="1:6" x14ac:dyDescent="0.25">
      <c r="A42260" s="1" t="str">
        <f t="shared" si="1464"/>
        <v>99999</v>
      </c>
      <c r="B42260" s="1" t="str">
        <f>"63840"</f>
        <v>63840</v>
      </c>
      <c r="C42260" s="2">
        <v>0</v>
      </c>
      <c r="D42260" s="2">
        <v>0</v>
      </c>
      <c r="E42260" s="2">
        <v>4.3010567696482999E-6</v>
      </c>
      <c r="F42260" s="2">
        <v>9.8681749974786797E-8</v>
      </c>
    </row>
    <row r="42261" spans="1:6" x14ac:dyDescent="0.25">
      <c r="A42261" s="1" t="str">
        <f t="shared" si="1464"/>
        <v>99999</v>
      </c>
      <c r="B42261" s="1" t="str">
        <f>"97761"</f>
        <v>97761</v>
      </c>
      <c r="C42261" s="2">
        <v>0</v>
      </c>
      <c r="D42261" s="2">
        <v>0</v>
      </c>
      <c r="E42261" s="2">
        <v>4.3010567696482999E-6</v>
      </c>
      <c r="F42261" s="2">
        <v>9.8681749974786797E-8</v>
      </c>
    </row>
    <row r="42262" spans="1:6" x14ac:dyDescent="0.25">
      <c r="A42262" s="1" t="str">
        <f t="shared" si="1464"/>
        <v>99999</v>
      </c>
      <c r="B42262" s="1" t="str">
        <f>"23423"</f>
        <v>23423</v>
      </c>
      <c r="C42262" s="2">
        <v>0</v>
      </c>
      <c r="D42262" s="2">
        <v>1.50570889527644E-6</v>
      </c>
      <c r="E42262" s="2">
        <v>0</v>
      </c>
      <c r="F42262" s="2">
        <v>9.8681749974786797E-8</v>
      </c>
    </row>
    <row r="42263" spans="1:6" x14ac:dyDescent="0.25">
      <c r="A42263" s="1" t="str">
        <f t="shared" si="1464"/>
        <v>99999</v>
      </c>
      <c r="B42263" s="1" t="str">
        <f>"00802"</f>
        <v>00802</v>
      </c>
      <c r="C42263" s="2">
        <v>1.2697919853596599E-3</v>
      </c>
      <c r="D42263" s="2">
        <v>4.8800025295909401E-3</v>
      </c>
      <c r="E42263" s="2">
        <v>2.3139685420707802E-3</v>
      </c>
      <c r="F42263" s="2">
        <v>1.53035657860899E-3</v>
      </c>
    </row>
    <row r="42264" spans="1:6" x14ac:dyDescent="0.25">
      <c r="A42264" s="1" t="str">
        <f t="shared" si="1464"/>
        <v>99999</v>
      </c>
      <c r="B42264" s="1" t="str">
        <f>"04472"</f>
        <v>04472</v>
      </c>
      <c r="C42264" s="2">
        <v>1.01873498015469E-4</v>
      </c>
      <c r="D42264" s="2">
        <v>3.9148431277187403E-5</v>
      </c>
      <c r="E42264" s="2">
        <v>6.8816908314372799E-5</v>
      </c>
      <c r="F42264" s="2">
        <v>9.7004160225215401E-5</v>
      </c>
    </row>
    <row r="42265" spans="1:6" x14ac:dyDescent="0.25">
      <c r="A42265" s="1" t="str">
        <f t="shared" si="1464"/>
        <v>99999</v>
      </c>
      <c r="B42265" s="1" t="str">
        <f>"63666"</f>
        <v>63666</v>
      </c>
      <c r="C42265" s="2">
        <v>0</v>
      </c>
      <c r="D42265" s="2">
        <v>0</v>
      </c>
      <c r="E42265" s="2">
        <v>4.3010567696482999E-6</v>
      </c>
      <c r="F42265" s="2">
        <v>9.8681749974786797E-8</v>
      </c>
    </row>
    <row r="42266" spans="1:6" x14ac:dyDescent="0.25">
      <c r="A42266" s="1" t="str">
        <f t="shared" si="1464"/>
        <v>99999</v>
      </c>
      <c r="B42266" s="1" t="str">
        <f>"71334"</f>
        <v>71334</v>
      </c>
      <c r="C42266" s="2">
        <v>6.49565343350497E-7</v>
      </c>
      <c r="D42266" s="2">
        <v>0</v>
      </c>
      <c r="E42266" s="2">
        <v>0</v>
      </c>
      <c r="F42266" s="2">
        <v>5.9209049984871999E-7</v>
      </c>
    </row>
    <row r="42267" spans="1:6" x14ac:dyDescent="0.25">
      <c r="A42267" s="1" t="str">
        <f t="shared" si="1464"/>
        <v>99999</v>
      </c>
      <c r="B42267" s="1" t="str">
        <f>"82615"</f>
        <v>82615</v>
      </c>
      <c r="C42267" s="2">
        <v>6.49565343350497E-7</v>
      </c>
      <c r="D42267" s="2">
        <v>1.50570889527644E-6</v>
      </c>
      <c r="E42267" s="2">
        <v>4.3010567696482999E-6</v>
      </c>
      <c r="F42267" s="2">
        <v>7.8945399979829395E-7</v>
      </c>
    </row>
    <row r="42268" spans="1:6" x14ac:dyDescent="0.25">
      <c r="A42268" s="1" t="str">
        <f t="shared" si="1464"/>
        <v>99999</v>
      </c>
      <c r="B42268" s="1" t="str">
        <f>"29038"</f>
        <v>29038</v>
      </c>
      <c r="C42268" s="2">
        <v>5.4130445279207995E-7</v>
      </c>
      <c r="D42268" s="2">
        <v>0</v>
      </c>
      <c r="E42268" s="2">
        <v>0</v>
      </c>
      <c r="F42268" s="2">
        <v>4.9340874987393396E-7</v>
      </c>
    </row>
    <row r="42269" spans="1:6" x14ac:dyDescent="0.25">
      <c r="A42269" s="1" t="str">
        <f t="shared" si="1464"/>
        <v>99999</v>
      </c>
      <c r="B42269" s="1" t="str">
        <f>"59454"</f>
        <v>59454</v>
      </c>
      <c r="C42269" s="2">
        <v>9.7434801502574508E-7</v>
      </c>
      <c r="D42269" s="2">
        <v>1.50570889527644E-6</v>
      </c>
      <c r="E42269" s="2">
        <v>4.3010567696482999E-6</v>
      </c>
      <c r="F42269" s="2">
        <v>1.0854992497226499E-6</v>
      </c>
    </row>
    <row r="42270" spans="1:6" x14ac:dyDescent="0.25">
      <c r="A42270" s="1" t="str">
        <f t="shared" si="1464"/>
        <v>99999</v>
      </c>
      <c r="B42270" s="1" t="str">
        <f>"71253"</f>
        <v>71253</v>
      </c>
      <c r="C42270" s="2">
        <v>0</v>
      </c>
      <c r="D42270" s="2">
        <v>0</v>
      </c>
      <c r="E42270" s="2">
        <v>4.3010567696482999E-6</v>
      </c>
      <c r="F42270" s="2">
        <v>9.8681749974786797E-8</v>
      </c>
    </row>
    <row r="42271" spans="1:6" x14ac:dyDescent="0.25">
      <c r="A42271" s="1" t="str">
        <f t="shared" si="1464"/>
        <v>99999</v>
      </c>
      <c r="B42271" s="1" t="str">
        <f>"50027"</f>
        <v>50027</v>
      </c>
      <c r="C42271" s="2">
        <v>1.1908697961425701E-6</v>
      </c>
      <c r="D42271" s="2">
        <v>0</v>
      </c>
      <c r="E42271" s="2">
        <v>0</v>
      </c>
      <c r="F42271" s="2">
        <v>1.0854992497226499E-6</v>
      </c>
    </row>
    <row r="42272" spans="1:6" x14ac:dyDescent="0.25">
      <c r="A42272" s="1" t="str">
        <f t="shared" si="1464"/>
        <v>99999</v>
      </c>
      <c r="B42272" s="1" t="str">
        <f>"99927"</f>
        <v>99927</v>
      </c>
      <c r="C42272" s="2">
        <v>0</v>
      </c>
      <c r="D42272" s="2">
        <v>0</v>
      </c>
      <c r="E42272" s="2">
        <v>4.3010567696482999E-6</v>
      </c>
      <c r="F42272" s="2">
        <v>9.8681749974786797E-8</v>
      </c>
    </row>
    <row r="42273" spans="1:6" x14ac:dyDescent="0.25">
      <c r="A42273" s="1" t="str">
        <f t="shared" si="1464"/>
        <v>99999</v>
      </c>
      <c r="B42273" s="1" t="str">
        <f>"63068"</f>
        <v>63068</v>
      </c>
      <c r="C42273" s="2">
        <v>2.2734787017267302E-6</v>
      </c>
      <c r="D42273" s="2">
        <v>0</v>
      </c>
      <c r="E42273" s="2">
        <v>0</v>
      </c>
      <c r="F42273" s="2">
        <v>2.0723167494705202E-6</v>
      </c>
    </row>
    <row r="42274" spans="1:6" x14ac:dyDescent="0.25">
      <c r="A42274" s="1" t="str">
        <f t="shared" si="1464"/>
        <v>99999</v>
      </c>
      <c r="B42274" s="1" t="str">
        <f>"66017"</f>
        <v>66017</v>
      </c>
      <c r="C42274" s="2">
        <v>3.2478267167524802E-7</v>
      </c>
      <c r="D42274" s="2">
        <v>0</v>
      </c>
      <c r="E42274" s="2">
        <v>0</v>
      </c>
      <c r="F42274" s="2">
        <v>2.9604524992435999E-7</v>
      </c>
    </row>
    <row r="42275" spans="1:6" x14ac:dyDescent="0.25">
      <c r="A42275" s="1" t="str">
        <f t="shared" si="1464"/>
        <v>99999</v>
      </c>
      <c r="B42275" s="1" t="str">
        <f>"04775"</f>
        <v>04775</v>
      </c>
      <c r="C42275" s="2">
        <v>0</v>
      </c>
      <c r="D42275" s="2">
        <v>0</v>
      </c>
      <c r="E42275" s="2">
        <v>4.3010567696482999E-6</v>
      </c>
      <c r="F42275" s="2">
        <v>9.8681749974786797E-8</v>
      </c>
    </row>
    <row r="42276" spans="1:6" x14ac:dyDescent="0.25">
      <c r="A42276" s="1" t="str">
        <f t="shared" si="1464"/>
        <v>99999</v>
      </c>
      <c r="B42276" s="1" t="str">
        <f>"24085"</f>
        <v>24085</v>
      </c>
      <c r="C42276" s="2">
        <v>1.51565246781782E-6</v>
      </c>
      <c r="D42276" s="2">
        <v>0</v>
      </c>
      <c r="E42276" s="2">
        <v>0</v>
      </c>
      <c r="F42276" s="2">
        <v>1.3815444996470099E-6</v>
      </c>
    </row>
    <row r="42277" spans="1:6" x14ac:dyDescent="0.25">
      <c r="A42277" s="1" t="str">
        <f t="shared" si="1464"/>
        <v>99999</v>
      </c>
      <c r="B42277" s="1" t="str">
        <f>"57621"</f>
        <v>57621</v>
      </c>
      <c r="C42277" s="2">
        <v>1.08260890558416E-7</v>
      </c>
      <c r="D42277" s="2">
        <v>0</v>
      </c>
      <c r="E42277" s="2">
        <v>8.6021135392965999E-6</v>
      </c>
      <c r="F42277" s="2">
        <v>2.9604524992435999E-7</v>
      </c>
    </row>
    <row r="42278" spans="1:6" x14ac:dyDescent="0.25">
      <c r="A42278" s="1" t="str">
        <f t="shared" si="1464"/>
        <v>99999</v>
      </c>
      <c r="B42278" s="1" t="str">
        <f>"05840"</f>
        <v>05840</v>
      </c>
      <c r="C42278" s="2">
        <v>0</v>
      </c>
      <c r="D42278" s="2">
        <v>1.50570889527644E-6</v>
      </c>
      <c r="E42278" s="2">
        <v>0</v>
      </c>
      <c r="F42278" s="2">
        <v>9.8681749974786797E-8</v>
      </c>
    </row>
    <row r="42279" spans="1:6" x14ac:dyDescent="0.25">
      <c r="A42279" s="1" t="str">
        <f t="shared" si="1464"/>
        <v>99999</v>
      </c>
      <c r="B42279" s="1" t="str">
        <f>"41037"</f>
        <v>41037</v>
      </c>
      <c r="C42279" s="2">
        <v>0</v>
      </c>
      <c r="D42279" s="2">
        <v>0</v>
      </c>
      <c r="E42279" s="2">
        <v>4.3010567696482999E-6</v>
      </c>
      <c r="F42279" s="2">
        <v>9.8681749974786797E-8</v>
      </c>
    </row>
    <row r="42280" spans="1:6" x14ac:dyDescent="0.25">
      <c r="A42280" s="1" t="str">
        <f t="shared" si="1464"/>
        <v>99999</v>
      </c>
      <c r="B42280" s="1" t="str">
        <f>"62854"</f>
        <v>62854</v>
      </c>
      <c r="C42280" s="2">
        <v>7.5782623390891299E-7</v>
      </c>
      <c r="D42280" s="2">
        <v>0</v>
      </c>
      <c r="E42280" s="2">
        <v>0</v>
      </c>
      <c r="F42280" s="2">
        <v>6.9077224982350697E-7</v>
      </c>
    </row>
    <row r="42281" spans="1:6" x14ac:dyDescent="0.25">
      <c r="A42281" s="1" t="str">
        <f t="shared" si="1464"/>
        <v>99999</v>
      </c>
      <c r="B42281" s="1" t="str">
        <f>"56549"</f>
        <v>56549</v>
      </c>
      <c r="C42281" s="2">
        <v>1.08260890558416E-7</v>
      </c>
      <c r="D42281" s="2">
        <v>0</v>
      </c>
      <c r="E42281" s="2">
        <v>0</v>
      </c>
      <c r="F42281" s="2">
        <v>9.8681749974786797E-8</v>
      </c>
    </row>
    <row r="42282" spans="1:6" x14ac:dyDescent="0.25">
      <c r="A42282" s="1" t="str">
        <f t="shared" si="1464"/>
        <v>99999</v>
      </c>
      <c r="B42282" s="1" t="str">
        <f>"45056"</f>
        <v>45056</v>
      </c>
      <c r="C42282" s="2">
        <v>2.1652178111683201E-7</v>
      </c>
      <c r="D42282" s="2">
        <v>0</v>
      </c>
      <c r="E42282" s="2">
        <v>0</v>
      </c>
      <c r="F42282" s="2">
        <v>1.9736349994957301E-7</v>
      </c>
    </row>
    <row r="42283" spans="1:6" x14ac:dyDescent="0.25">
      <c r="A42283" s="1" t="str">
        <f t="shared" si="1464"/>
        <v>99999</v>
      </c>
      <c r="B42283" s="1" t="str">
        <f>"99764"</f>
        <v>99764</v>
      </c>
      <c r="C42283" s="2">
        <v>0</v>
      </c>
      <c r="D42283" s="2">
        <v>0</v>
      </c>
      <c r="E42283" s="2">
        <v>4.3010567696482999E-6</v>
      </c>
      <c r="F42283" s="2">
        <v>9.8681749974786797E-8</v>
      </c>
    </row>
    <row r="42284" spans="1:6" x14ac:dyDescent="0.25">
      <c r="A42284" s="1" t="str">
        <f t="shared" si="1464"/>
        <v>99999</v>
      </c>
      <c r="B42284" s="1" t="str">
        <f>"83337"</f>
        <v>83337</v>
      </c>
      <c r="C42284" s="2">
        <v>0</v>
      </c>
      <c r="D42284" s="2">
        <v>1.50570889527644E-6</v>
      </c>
      <c r="E42284" s="2">
        <v>0</v>
      </c>
      <c r="F42284" s="2">
        <v>9.8681749974786797E-8</v>
      </c>
    </row>
    <row r="42285" spans="1:6" x14ac:dyDescent="0.25">
      <c r="A42285" s="1" t="str">
        <f t="shared" si="1464"/>
        <v>99999</v>
      </c>
      <c r="B42285" s="1" t="str">
        <f>"28755"</f>
        <v>28755</v>
      </c>
      <c r="C42285" s="2">
        <v>0</v>
      </c>
      <c r="D42285" s="2">
        <v>0</v>
      </c>
      <c r="E42285" s="2">
        <v>4.3010567696482999E-6</v>
      </c>
      <c r="F42285" s="2">
        <v>9.8681749974786797E-8</v>
      </c>
    </row>
    <row r="42286" spans="1:6" x14ac:dyDescent="0.25">
      <c r="A42286" s="1" t="str">
        <f t="shared" si="1464"/>
        <v>99999</v>
      </c>
      <c r="B42286" s="1" t="str">
        <f>"87935"</f>
        <v>87935</v>
      </c>
      <c r="C42286" s="2">
        <v>0</v>
      </c>
      <c r="D42286" s="2">
        <v>1.50570889527644E-6</v>
      </c>
      <c r="E42286" s="2">
        <v>8.6021135392965999E-6</v>
      </c>
      <c r="F42286" s="2">
        <v>2.9604524992435999E-7</v>
      </c>
    </row>
    <row r="42287" spans="1:6" x14ac:dyDescent="0.25">
      <c r="A42287" s="1" t="str">
        <f t="shared" si="1464"/>
        <v>99999</v>
      </c>
      <c r="B42287" s="1" t="str">
        <f>"69190"</f>
        <v>69190</v>
      </c>
      <c r="C42287" s="2">
        <v>0</v>
      </c>
      <c r="D42287" s="2">
        <v>1.50570889527644E-6</v>
      </c>
      <c r="E42287" s="2">
        <v>0</v>
      </c>
      <c r="F42287" s="2">
        <v>9.8681749974786797E-8</v>
      </c>
    </row>
    <row r="42288" spans="1:6" x14ac:dyDescent="0.25">
      <c r="A42288" s="1" t="str">
        <f t="shared" si="1464"/>
        <v>99999</v>
      </c>
      <c r="B42288" s="1" t="str">
        <f>"28903"</f>
        <v>28903</v>
      </c>
      <c r="C42288" s="2">
        <v>0</v>
      </c>
      <c r="D42288" s="2">
        <v>1.50570889527644E-6</v>
      </c>
      <c r="E42288" s="2">
        <v>4.3010567696482999E-6</v>
      </c>
      <c r="F42288" s="2">
        <v>1.9736349994957301E-7</v>
      </c>
    </row>
    <row r="42289" spans="1:6" x14ac:dyDescent="0.25">
      <c r="A42289" s="1" t="str">
        <f t="shared" si="1464"/>
        <v>99999</v>
      </c>
      <c r="B42289" s="1" t="str">
        <f>"99635"</f>
        <v>99635</v>
      </c>
      <c r="C42289" s="2">
        <v>0</v>
      </c>
      <c r="D42289" s="2">
        <v>0</v>
      </c>
      <c r="E42289" s="2">
        <v>4.3010567696482999E-6</v>
      </c>
      <c r="F42289" s="2">
        <v>9.8681749974786797E-8</v>
      </c>
    </row>
    <row r="42290" spans="1:6" x14ac:dyDescent="0.25">
      <c r="A42290" s="1" t="str">
        <f t="shared" si="1464"/>
        <v>99999</v>
      </c>
      <c r="B42290" s="1" t="str">
        <f>"04851"</f>
        <v>04851</v>
      </c>
      <c r="C42290" s="2">
        <v>0</v>
      </c>
      <c r="D42290" s="2">
        <v>0</v>
      </c>
      <c r="E42290" s="2">
        <v>4.3010567696482999E-6</v>
      </c>
      <c r="F42290" s="2">
        <v>9.8681749974786797E-8</v>
      </c>
    </row>
    <row r="42291" spans="1:6" x14ac:dyDescent="0.25">
      <c r="A42291" s="1" t="str">
        <f t="shared" si="1464"/>
        <v>99999</v>
      </c>
      <c r="B42291" s="1" t="str">
        <f>"59856"</f>
        <v>59856</v>
      </c>
      <c r="C42291" s="2">
        <v>0</v>
      </c>
      <c r="D42291" s="2">
        <v>0</v>
      </c>
      <c r="E42291" s="2">
        <v>4.3010567696482999E-6</v>
      </c>
      <c r="F42291" s="2">
        <v>9.8681749974786797E-8</v>
      </c>
    </row>
    <row r="42292" spans="1:6" x14ac:dyDescent="0.25">
      <c r="A42292" s="1" t="str">
        <f t="shared" si="1464"/>
        <v>99999</v>
      </c>
      <c r="B42292" s="1" t="str">
        <f>"99668"</f>
        <v>99668</v>
      </c>
      <c r="C42292" s="2">
        <v>0</v>
      </c>
      <c r="D42292" s="2">
        <v>0</v>
      </c>
      <c r="E42292" s="2">
        <v>4.3010567696482999E-6</v>
      </c>
      <c r="F42292" s="2">
        <v>9.8681749974786797E-8</v>
      </c>
    </row>
    <row r="42293" spans="1:6" x14ac:dyDescent="0.25">
      <c r="A42293" s="1" t="str">
        <f t="shared" si="1464"/>
        <v>99999</v>
      </c>
      <c r="B42293" s="1" t="str">
        <f>"15351"</f>
        <v>15351</v>
      </c>
      <c r="C42293" s="2">
        <v>0</v>
      </c>
      <c r="D42293" s="2">
        <v>0</v>
      </c>
      <c r="E42293" s="2">
        <v>8.6021135392965999E-6</v>
      </c>
      <c r="F42293" s="2">
        <v>1.9736349994957301E-7</v>
      </c>
    </row>
    <row r="42294" spans="1:6" x14ac:dyDescent="0.25">
      <c r="A42294" s="1" t="str">
        <f t="shared" si="1464"/>
        <v>99999</v>
      </c>
      <c r="B42294" s="1" t="str">
        <f>"43777"</f>
        <v>43777</v>
      </c>
      <c r="C42294" s="2">
        <v>2.1652178111683201E-7</v>
      </c>
      <c r="D42294" s="2">
        <v>0</v>
      </c>
      <c r="E42294" s="2">
        <v>0</v>
      </c>
      <c r="F42294" s="2">
        <v>1.9736349994957301E-7</v>
      </c>
    </row>
    <row r="42295" spans="1:6" x14ac:dyDescent="0.25">
      <c r="A42295" s="1" t="str">
        <f t="shared" si="1464"/>
        <v>99999</v>
      </c>
      <c r="B42295" s="1" t="str">
        <f>"65675"</f>
        <v>65675</v>
      </c>
      <c r="C42295" s="2">
        <v>0</v>
      </c>
      <c r="D42295" s="2">
        <v>0</v>
      </c>
      <c r="E42295" s="2">
        <v>4.3010567696482999E-6</v>
      </c>
      <c r="F42295" s="2">
        <v>9.8681749974786797E-8</v>
      </c>
    </row>
    <row r="42296" spans="1:6" x14ac:dyDescent="0.25">
      <c r="A42296" s="1" t="str">
        <f t="shared" si="1464"/>
        <v>99999</v>
      </c>
      <c r="B42296" s="1" t="str">
        <f>"83833"</f>
        <v>83833</v>
      </c>
      <c r="C42296" s="2">
        <v>6.49565343350497E-7</v>
      </c>
      <c r="D42296" s="2">
        <v>0</v>
      </c>
      <c r="E42296" s="2">
        <v>0</v>
      </c>
      <c r="F42296" s="2">
        <v>5.9209049984871999E-7</v>
      </c>
    </row>
    <row r="42297" spans="1:6" x14ac:dyDescent="0.25">
      <c r="A42297" s="1" t="str">
        <f t="shared" si="1464"/>
        <v>99999</v>
      </c>
      <c r="B42297" s="1" t="str">
        <f>"05141"</f>
        <v>05141</v>
      </c>
      <c r="C42297" s="2">
        <v>3.2478267167524802E-7</v>
      </c>
      <c r="D42297" s="2">
        <v>0</v>
      </c>
      <c r="E42297" s="2">
        <v>4.3010567696482999E-6</v>
      </c>
      <c r="F42297" s="2">
        <v>3.9472699989914697E-7</v>
      </c>
    </row>
    <row r="42298" spans="1:6" x14ac:dyDescent="0.25">
      <c r="A42298" s="1" t="str">
        <f t="shared" si="1464"/>
        <v>99999</v>
      </c>
      <c r="B42298" s="1" t="str">
        <f>"84740"</f>
        <v>84740</v>
      </c>
      <c r="C42298" s="2">
        <v>0</v>
      </c>
      <c r="D42298" s="2">
        <v>1.50570889527644E-6</v>
      </c>
      <c r="E42298" s="2">
        <v>4.3010567696482999E-6</v>
      </c>
      <c r="F42298" s="2">
        <v>1.9736349994957301E-7</v>
      </c>
    </row>
    <row r="42299" spans="1:6" x14ac:dyDescent="0.25">
      <c r="A42299" s="1" t="str">
        <f t="shared" si="1464"/>
        <v>99999</v>
      </c>
      <c r="B42299" s="1" t="str">
        <f>"59054"</f>
        <v>59054</v>
      </c>
      <c r="C42299" s="2">
        <v>2.1652178111683201E-7</v>
      </c>
      <c r="D42299" s="2">
        <v>0</v>
      </c>
      <c r="E42299" s="2">
        <v>4.3010567696482999E-6</v>
      </c>
      <c r="F42299" s="2">
        <v>2.9604524992435999E-7</v>
      </c>
    </row>
    <row r="42300" spans="1:6" x14ac:dyDescent="0.25">
      <c r="A42300" s="1" t="str">
        <f t="shared" si="1464"/>
        <v>99999</v>
      </c>
      <c r="B42300" s="1" t="str">
        <f>"21607"</f>
        <v>21607</v>
      </c>
      <c r="C42300" s="2">
        <v>4.3304356223366401E-7</v>
      </c>
      <c r="D42300" s="2">
        <v>0</v>
      </c>
      <c r="E42300" s="2">
        <v>0</v>
      </c>
      <c r="F42300" s="2">
        <v>3.9472699989914697E-7</v>
      </c>
    </row>
    <row r="42301" spans="1:6" x14ac:dyDescent="0.25">
      <c r="A42301" s="1" t="str">
        <f t="shared" si="1464"/>
        <v>99999</v>
      </c>
      <c r="B42301" s="1" t="str">
        <f>"15733"</f>
        <v>15733</v>
      </c>
      <c r="C42301" s="2">
        <v>0</v>
      </c>
      <c r="D42301" s="2">
        <v>1.50570889527644E-6</v>
      </c>
      <c r="E42301" s="2">
        <v>0</v>
      </c>
      <c r="F42301" s="2">
        <v>9.8681749974786797E-8</v>
      </c>
    </row>
    <row r="42302" spans="1:6" x14ac:dyDescent="0.25">
      <c r="A42302" s="1" t="str">
        <f t="shared" si="1464"/>
        <v>99999</v>
      </c>
      <c r="B42302" s="1" t="str">
        <f>"39832"</f>
        <v>39832</v>
      </c>
      <c r="C42302" s="2">
        <v>1.08260890558416E-7</v>
      </c>
      <c r="D42302" s="2">
        <v>1.50570889527644E-6</v>
      </c>
      <c r="E42302" s="2">
        <v>0</v>
      </c>
      <c r="F42302" s="2">
        <v>1.9736349994957301E-7</v>
      </c>
    </row>
    <row r="42303" spans="1:6" x14ac:dyDescent="0.25">
      <c r="A42303" s="1" t="str">
        <f t="shared" si="1464"/>
        <v>99999</v>
      </c>
      <c r="B42303" s="1" t="str">
        <f>"98561"</f>
        <v>98561</v>
      </c>
      <c r="C42303" s="2">
        <v>0</v>
      </c>
      <c r="D42303" s="2">
        <v>0</v>
      </c>
      <c r="E42303" s="2">
        <v>4.3010567696482999E-6</v>
      </c>
      <c r="F42303" s="2">
        <v>9.8681749974786797E-8</v>
      </c>
    </row>
    <row r="42304" spans="1:6" x14ac:dyDescent="0.25">
      <c r="A42304" s="1" t="str">
        <f t="shared" si="1464"/>
        <v>99999</v>
      </c>
      <c r="B42304" s="1" t="str">
        <f>"16939"</f>
        <v>16939</v>
      </c>
      <c r="C42304" s="2">
        <v>0</v>
      </c>
      <c r="D42304" s="2">
        <v>1.50570889527644E-6</v>
      </c>
      <c r="E42304" s="2">
        <v>0</v>
      </c>
      <c r="F42304" s="2">
        <v>9.8681749974786797E-8</v>
      </c>
    </row>
    <row r="42305" spans="1:6" x14ac:dyDescent="0.25">
      <c r="A42305" s="1" t="str">
        <f t="shared" si="1464"/>
        <v>99999</v>
      </c>
      <c r="B42305" s="1" t="str">
        <f>"99742"</f>
        <v>99742</v>
      </c>
      <c r="C42305" s="2">
        <v>0</v>
      </c>
      <c r="D42305" s="2">
        <v>0</v>
      </c>
      <c r="E42305" s="2">
        <v>4.3010567696482999E-6</v>
      </c>
      <c r="F42305" s="2">
        <v>9.8681749974786797E-8</v>
      </c>
    </row>
    <row r="42306" spans="1:6" x14ac:dyDescent="0.25">
      <c r="A42306" s="1" t="str">
        <f t="shared" si="1464"/>
        <v>99999</v>
      </c>
      <c r="B42306" s="1" t="str">
        <f>"99919"</f>
        <v>99919</v>
      </c>
      <c r="C42306" s="2">
        <v>1.08260890558416E-7</v>
      </c>
      <c r="D42306" s="2">
        <v>0</v>
      </c>
      <c r="E42306" s="2">
        <v>4.3010567696482999E-6</v>
      </c>
      <c r="F42306" s="2">
        <v>1.9736349994957301E-7</v>
      </c>
    </row>
    <row r="42307" spans="1:6" x14ac:dyDescent="0.25">
      <c r="A42307" s="1" t="str">
        <f t="shared" si="1464"/>
        <v>99999</v>
      </c>
      <c r="B42307" s="1" t="str">
        <f>"99583"</f>
        <v>99583</v>
      </c>
      <c r="C42307" s="2">
        <v>0</v>
      </c>
      <c r="D42307" s="2">
        <v>0</v>
      </c>
      <c r="E42307" s="2">
        <v>4.3010567696482999E-6</v>
      </c>
      <c r="F42307" s="2">
        <v>9.8681749974786797E-8</v>
      </c>
    </row>
    <row r="42308" spans="1:6" x14ac:dyDescent="0.25">
      <c r="A42308" s="1" t="str">
        <f t="shared" si="1464"/>
        <v>99999</v>
      </c>
      <c r="B42308" s="1" t="str">
        <f>"15847"</f>
        <v>15847</v>
      </c>
      <c r="C42308" s="2">
        <v>0</v>
      </c>
      <c r="D42308" s="2">
        <v>1.50570889527644E-6</v>
      </c>
      <c r="E42308" s="2">
        <v>0</v>
      </c>
      <c r="F42308" s="2">
        <v>9.8681749974786797E-8</v>
      </c>
    </row>
    <row r="42309" spans="1:6" x14ac:dyDescent="0.25">
      <c r="A42309" s="1" t="str">
        <f t="shared" si="1464"/>
        <v>99999</v>
      </c>
      <c r="B42309" s="1" t="str">
        <f>"86512"</f>
        <v>86512</v>
      </c>
      <c r="C42309" s="2">
        <v>0</v>
      </c>
      <c r="D42309" s="2">
        <v>0</v>
      </c>
      <c r="E42309" s="2">
        <v>8.6021135392965999E-6</v>
      </c>
      <c r="F42309" s="2">
        <v>1.9736349994957301E-7</v>
      </c>
    </row>
    <row r="42310" spans="1:6" x14ac:dyDescent="0.25">
      <c r="A42310" s="1" t="str">
        <f t="shared" ref="A42310:A42373" si="1465">"99999"</f>
        <v>99999</v>
      </c>
      <c r="B42310" s="1" t="str">
        <f>"15325"</f>
        <v>15325</v>
      </c>
      <c r="C42310" s="2">
        <v>0</v>
      </c>
      <c r="D42310" s="2">
        <v>0</v>
      </c>
      <c r="E42310" s="2">
        <v>1.72042270785932E-5</v>
      </c>
      <c r="F42310" s="2">
        <v>3.9472699989914697E-7</v>
      </c>
    </row>
    <row r="42311" spans="1:6" x14ac:dyDescent="0.25">
      <c r="A42311" s="1" t="str">
        <f t="shared" si="1465"/>
        <v>99999</v>
      </c>
      <c r="B42311" s="1" t="str">
        <f>"31789"</f>
        <v>31789</v>
      </c>
      <c r="C42311" s="2">
        <v>7.5782623390891299E-7</v>
      </c>
      <c r="D42311" s="2">
        <v>0</v>
      </c>
      <c r="E42311" s="2">
        <v>0</v>
      </c>
      <c r="F42311" s="2">
        <v>6.9077224982350697E-7</v>
      </c>
    </row>
    <row r="42312" spans="1:6" x14ac:dyDescent="0.25">
      <c r="A42312" s="1" t="str">
        <f t="shared" si="1465"/>
        <v>99999</v>
      </c>
      <c r="B42312" s="1" t="str">
        <f>"95957"</f>
        <v>95957</v>
      </c>
      <c r="C42312" s="2">
        <v>7.5782623390891299E-7</v>
      </c>
      <c r="D42312" s="2">
        <v>1.50570889527644E-6</v>
      </c>
      <c r="E42312" s="2">
        <v>0</v>
      </c>
      <c r="F42312" s="2">
        <v>7.8945399979829395E-7</v>
      </c>
    </row>
    <row r="42313" spans="1:6" x14ac:dyDescent="0.25">
      <c r="A42313" s="1" t="str">
        <f t="shared" si="1465"/>
        <v>99999</v>
      </c>
      <c r="B42313" s="1" t="str">
        <f>"04738"</f>
        <v>04738</v>
      </c>
      <c r="C42313" s="2">
        <v>0</v>
      </c>
      <c r="D42313" s="2">
        <v>0</v>
      </c>
      <c r="E42313" s="2">
        <v>4.3010567696482999E-6</v>
      </c>
      <c r="F42313" s="2">
        <v>9.8681749974786797E-8</v>
      </c>
    </row>
    <row r="42314" spans="1:6" x14ac:dyDescent="0.25">
      <c r="A42314" s="1" t="str">
        <f t="shared" si="1465"/>
        <v>99999</v>
      </c>
      <c r="B42314" s="1" t="str">
        <f>"31627"</f>
        <v>31627</v>
      </c>
      <c r="C42314" s="2">
        <v>0</v>
      </c>
      <c r="D42314" s="2">
        <v>1.50570889527644E-6</v>
      </c>
      <c r="E42314" s="2">
        <v>0</v>
      </c>
      <c r="F42314" s="2">
        <v>9.8681749974786797E-8</v>
      </c>
    </row>
    <row r="42315" spans="1:6" x14ac:dyDescent="0.25">
      <c r="A42315" s="1" t="str">
        <f t="shared" si="1465"/>
        <v>99999</v>
      </c>
      <c r="B42315" s="1" t="str">
        <f>"39080"</f>
        <v>39080</v>
      </c>
      <c r="C42315" s="2">
        <v>0</v>
      </c>
      <c r="D42315" s="2">
        <v>1.50570889527644E-6</v>
      </c>
      <c r="E42315" s="2">
        <v>0</v>
      </c>
      <c r="F42315" s="2">
        <v>9.8681749974786797E-8</v>
      </c>
    </row>
    <row r="42316" spans="1:6" x14ac:dyDescent="0.25">
      <c r="A42316" s="1" t="str">
        <f t="shared" si="1465"/>
        <v>99999</v>
      </c>
      <c r="B42316" s="1" t="str">
        <f>"26349"</f>
        <v>26349</v>
      </c>
      <c r="C42316" s="2">
        <v>0</v>
      </c>
      <c r="D42316" s="2">
        <v>1.50570889527644E-6</v>
      </c>
      <c r="E42316" s="2">
        <v>0</v>
      </c>
      <c r="F42316" s="2">
        <v>9.8681749974786797E-8</v>
      </c>
    </row>
    <row r="42317" spans="1:6" x14ac:dyDescent="0.25">
      <c r="A42317" s="1" t="str">
        <f t="shared" si="1465"/>
        <v>99999</v>
      </c>
      <c r="B42317" s="1" t="str">
        <f>"72066"</f>
        <v>72066</v>
      </c>
      <c r="C42317" s="2">
        <v>0</v>
      </c>
      <c r="D42317" s="2">
        <v>0</v>
      </c>
      <c r="E42317" s="2">
        <v>4.3010567696482999E-6</v>
      </c>
      <c r="F42317" s="2">
        <v>9.8681749974786797E-8</v>
      </c>
    </row>
    <row r="42318" spans="1:6" x14ac:dyDescent="0.25">
      <c r="A42318" s="1" t="str">
        <f t="shared" si="1465"/>
        <v>99999</v>
      </c>
      <c r="B42318" s="1" t="str">
        <f>"76650"</f>
        <v>76650</v>
      </c>
      <c r="C42318" s="2">
        <v>0</v>
      </c>
      <c r="D42318" s="2">
        <v>1.50570889527644E-6</v>
      </c>
      <c r="E42318" s="2">
        <v>0</v>
      </c>
      <c r="F42318" s="2">
        <v>9.8681749974786797E-8</v>
      </c>
    </row>
    <row r="42319" spans="1:6" x14ac:dyDescent="0.25">
      <c r="A42319" s="1" t="str">
        <f t="shared" si="1465"/>
        <v>99999</v>
      </c>
      <c r="B42319" s="1" t="str">
        <f>"99749"</f>
        <v>99749</v>
      </c>
      <c r="C42319" s="2">
        <v>0</v>
      </c>
      <c r="D42319" s="2">
        <v>0</v>
      </c>
      <c r="E42319" s="2">
        <v>4.3010567696482999E-6</v>
      </c>
      <c r="F42319" s="2">
        <v>9.8681749974786797E-8</v>
      </c>
    </row>
    <row r="42320" spans="1:6" x14ac:dyDescent="0.25">
      <c r="A42320" s="1" t="str">
        <f t="shared" si="1465"/>
        <v>99999</v>
      </c>
      <c r="B42320" s="1" t="str">
        <f>"99825"</f>
        <v>99825</v>
      </c>
      <c r="C42320" s="2">
        <v>2.1652178111683201E-7</v>
      </c>
      <c r="D42320" s="2">
        <v>0</v>
      </c>
      <c r="E42320" s="2">
        <v>4.3010567696482999E-6</v>
      </c>
      <c r="F42320" s="2">
        <v>2.9604524992435999E-7</v>
      </c>
    </row>
    <row r="42321" spans="1:6" x14ac:dyDescent="0.25">
      <c r="A42321" s="1" t="str">
        <f t="shared" si="1465"/>
        <v>99999</v>
      </c>
      <c r="B42321" s="1" t="str">
        <f>"26275"</f>
        <v>26275</v>
      </c>
      <c r="C42321" s="2">
        <v>0</v>
      </c>
      <c r="D42321" s="2">
        <v>0</v>
      </c>
      <c r="E42321" s="2">
        <v>4.3010567696482999E-6</v>
      </c>
      <c r="F42321" s="2">
        <v>9.8681749974786797E-8</v>
      </c>
    </row>
    <row r="42322" spans="1:6" x14ac:dyDescent="0.25">
      <c r="A42322" s="1" t="str">
        <f t="shared" si="1465"/>
        <v>99999</v>
      </c>
      <c r="B42322" s="1" t="str">
        <f>"79003"</f>
        <v>79003</v>
      </c>
      <c r="C42322" s="2">
        <v>1.08260890558416E-7</v>
      </c>
      <c r="D42322" s="2">
        <v>0</v>
      </c>
      <c r="E42322" s="2">
        <v>4.3010567696482999E-6</v>
      </c>
      <c r="F42322" s="2">
        <v>1.9736349994957301E-7</v>
      </c>
    </row>
    <row r="42323" spans="1:6" x14ac:dyDescent="0.25">
      <c r="A42323" s="1" t="str">
        <f t="shared" si="1465"/>
        <v>99999</v>
      </c>
      <c r="B42323" s="1" t="str">
        <f>"51603"</f>
        <v>51603</v>
      </c>
      <c r="C42323" s="2">
        <v>0</v>
      </c>
      <c r="D42323" s="2">
        <v>3.01141779055288E-6</v>
      </c>
      <c r="E42323" s="2">
        <v>0</v>
      </c>
      <c r="F42323" s="2">
        <v>1.9736349994957301E-7</v>
      </c>
    </row>
    <row r="42324" spans="1:6" x14ac:dyDescent="0.25">
      <c r="A42324" s="1" t="str">
        <f t="shared" si="1465"/>
        <v>99999</v>
      </c>
      <c r="B42324" s="1" t="str">
        <f>"76686"</f>
        <v>76686</v>
      </c>
      <c r="C42324" s="2">
        <v>0</v>
      </c>
      <c r="D42324" s="2">
        <v>1.50570889527644E-6</v>
      </c>
      <c r="E42324" s="2">
        <v>0</v>
      </c>
      <c r="F42324" s="2">
        <v>9.8681749974786797E-8</v>
      </c>
    </row>
    <row r="42325" spans="1:6" x14ac:dyDescent="0.25">
      <c r="A42325" s="1" t="str">
        <f t="shared" si="1465"/>
        <v>99999</v>
      </c>
      <c r="B42325" s="1" t="str">
        <f>"14737"</f>
        <v>14737</v>
      </c>
      <c r="C42325" s="2">
        <v>1.0826089055841599E-6</v>
      </c>
      <c r="D42325" s="2">
        <v>0</v>
      </c>
      <c r="E42325" s="2">
        <v>0</v>
      </c>
      <c r="F42325" s="2">
        <v>9.8681749974786791E-7</v>
      </c>
    </row>
    <row r="42326" spans="1:6" x14ac:dyDescent="0.25">
      <c r="A42326" s="1" t="str">
        <f t="shared" si="1465"/>
        <v>99999</v>
      </c>
      <c r="B42326" s="1" t="str">
        <f>"14887"</f>
        <v>14887</v>
      </c>
      <c r="C42326" s="2">
        <v>0</v>
      </c>
      <c r="D42326" s="2">
        <v>0</v>
      </c>
      <c r="E42326" s="2">
        <v>4.3010567696482999E-6</v>
      </c>
      <c r="F42326" s="2">
        <v>9.8681749974786797E-8</v>
      </c>
    </row>
    <row r="42327" spans="1:6" x14ac:dyDescent="0.25">
      <c r="A42327" s="1" t="str">
        <f t="shared" si="1465"/>
        <v>99999</v>
      </c>
      <c r="B42327" s="1" t="str">
        <f>"99768"</f>
        <v>99768</v>
      </c>
      <c r="C42327" s="2">
        <v>0</v>
      </c>
      <c r="D42327" s="2">
        <v>0</v>
      </c>
      <c r="E42327" s="2">
        <v>4.3010567696482999E-6</v>
      </c>
      <c r="F42327" s="2">
        <v>9.8681749974786797E-8</v>
      </c>
    </row>
    <row r="42328" spans="1:6" x14ac:dyDescent="0.25">
      <c r="A42328" s="1" t="str">
        <f t="shared" si="1465"/>
        <v>99999</v>
      </c>
      <c r="B42328" s="1" t="str">
        <f>"57358"</f>
        <v>57358</v>
      </c>
      <c r="C42328" s="2">
        <v>0</v>
      </c>
      <c r="D42328" s="2">
        <v>0</v>
      </c>
      <c r="E42328" s="2">
        <v>4.3010567696482999E-6</v>
      </c>
      <c r="F42328" s="2">
        <v>9.8681749974786797E-8</v>
      </c>
    </row>
    <row r="42329" spans="1:6" x14ac:dyDescent="0.25">
      <c r="A42329" s="1" t="str">
        <f t="shared" si="1465"/>
        <v>99999</v>
      </c>
      <c r="B42329" s="1" t="str">
        <f>"69167"</f>
        <v>69167</v>
      </c>
      <c r="C42329" s="2">
        <v>1.0826089055841599E-6</v>
      </c>
      <c r="D42329" s="2">
        <v>0</v>
      </c>
      <c r="E42329" s="2">
        <v>0</v>
      </c>
      <c r="F42329" s="2">
        <v>9.8681749974786791E-7</v>
      </c>
    </row>
    <row r="42330" spans="1:6" x14ac:dyDescent="0.25">
      <c r="A42330" s="1" t="str">
        <f t="shared" si="1465"/>
        <v>99999</v>
      </c>
      <c r="B42330" s="1" t="str">
        <f>"04267"</f>
        <v>04267</v>
      </c>
      <c r="C42330" s="2">
        <v>0</v>
      </c>
      <c r="D42330" s="2">
        <v>0</v>
      </c>
      <c r="E42330" s="2">
        <v>4.3010567696482999E-6</v>
      </c>
      <c r="F42330" s="2">
        <v>9.8681749974786797E-8</v>
      </c>
    </row>
    <row r="42331" spans="1:6" x14ac:dyDescent="0.25">
      <c r="A42331" s="1" t="str">
        <f t="shared" si="1465"/>
        <v>99999</v>
      </c>
      <c r="B42331" s="1" t="str">
        <f>"36832"</f>
        <v>36832</v>
      </c>
      <c r="C42331" s="2">
        <v>1.0826089055841599E-6</v>
      </c>
      <c r="D42331" s="2">
        <v>1.50570889527644E-6</v>
      </c>
      <c r="E42331" s="2">
        <v>0</v>
      </c>
      <c r="F42331" s="2">
        <v>1.0854992497226499E-6</v>
      </c>
    </row>
    <row r="42332" spans="1:6" x14ac:dyDescent="0.25">
      <c r="A42332" s="1" t="str">
        <f t="shared" si="1465"/>
        <v>99999</v>
      </c>
      <c r="B42332" s="1" t="str">
        <f>"46786"</f>
        <v>46786</v>
      </c>
      <c r="C42332" s="2">
        <v>0</v>
      </c>
      <c r="D42332" s="2">
        <v>0</v>
      </c>
      <c r="E42332" s="2">
        <v>4.3010567696482999E-6</v>
      </c>
      <c r="F42332" s="2">
        <v>9.8681749974786797E-8</v>
      </c>
    </row>
    <row r="42333" spans="1:6" x14ac:dyDescent="0.25">
      <c r="A42333" s="1" t="str">
        <f t="shared" si="1465"/>
        <v>99999</v>
      </c>
      <c r="B42333" s="1" t="str">
        <f>"48618"</f>
        <v>48618</v>
      </c>
      <c r="C42333" s="2">
        <v>7.47000144853071E-6</v>
      </c>
      <c r="D42333" s="2">
        <v>1.50570889527644E-6</v>
      </c>
      <c r="E42333" s="2">
        <v>0</v>
      </c>
      <c r="F42333" s="2">
        <v>6.9077224982350703E-6</v>
      </c>
    </row>
    <row r="42334" spans="1:6" x14ac:dyDescent="0.25">
      <c r="A42334" s="1" t="str">
        <f t="shared" si="1465"/>
        <v>99999</v>
      </c>
      <c r="B42334" s="1" t="str">
        <f>"53901"</f>
        <v>53901</v>
      </c>
      <c r="C42334" s="2">
        <v>2.0569569206099001E-6</v>
      </c>
      <c r="D42334" s="2">
        <v>0</v>
      </c>
      <c r="E42334" s="2">
        <v>0</v>
      </c>
      <c r="F42334" s="2">
        <v>1.8749532495209401E-6</v>
      </c>
    </row>
    <row r="42335" spans="1:6" x14ac:dyDescent="0.25">
      <c r="A42335" s="1" t="str">
        <f t="shared" si="1465"/>
        <v>99999</v>
      </c>
      <c r="B42335" s="1" t="str">
        <f>"56740"</f>
        <v>56740</v>
      </c>
      <c r="C42335" s="2">
        <v>6.49565343350497E-7</v>
      </c>
      <c r="D42335" s="2">
        <v>1.0539962266935E-5</v>
      </c>
      <c r="E42335" s="2">
        <v>1.29031703089449E-5</v>
      </c>
      <c r="F42335" s="2">
        <v>1.5789079995965801E-6</v>
      </c>
    </row>
    <row r="42336" spans="1:6" x14ac:dyDescent="0.25">
      <c r="A42336" s="1" t="str">
        <f t="shared" si="1465"/>
        <v>99999</v>
      </c>
      <c r="B42336" s="1" t="str">
        <f>"58452"</f>
        <v>58452</v>
      </c>
      <c r="C42336" s="2">
        <v>1.4073915772594101E-6</v>
      </c>
      <c r="D42336" s="2">
        <v>0</v>
      </c>
      <c r="E42336" s="2">
        <v>4.3010567696482999E-6</v>
      </c>
      <c r="F42336" s="2">
        <v>1.3815444996470099E-6</v>
      </c>
    </row>
    <row r="42337" spans="1:6" x14ac:dyDescent="0.25">
      <c r="A42337" s="1" t="str">
        <f t="shared" si="1465"/>
        <v>99999</v>
      </c>
      <c r="B42337" s="1" t="str">
        <f>"60929"</f>
        <v>60929</v>
      </c>
      <c r="C42337" s="2">
        <v>1.0826089055841599E-6</v>
      </c>
      <c r="D42337" s="2">
        <v>0</v>
      </c>
      <c r="E42337" s="2">
        <v>0</v>
      </c>
      <c r="F42337" s="2">
        <v>9.8681749974786791E-7</v>
      </c>
    </row>
    <row r="42338" spans="1:6" x14ac:dyDescent="0.25">
      <c r="A42338" s="1" t="str">
        <f t="shared" si="1465"/>
        <v>99999</v>
      </c>
      <c r="B42338" s="1" t="str">
        <f>"14130"</f>
        <v>14130</v>
      </c>
      <c r="C42338" s="2">
        <v>2.2734787017267302E-6</v>
      </c>
      <c r="D42338" s="2">
        <v>0</v>
      </c>
      <c r="E42338" s="2">
        <v>4.3010567696482999E-6</v>
      </c>
      <c r="F42338" s="2">
        <v>2.1709984994452998E-6</v>
      </c>
    </row>
    <row r="42339" spans="1:6" x14ac:dyDescent="0.25">
      <c r="A42339" s="1" t="str">
        <f t="shared" si="1465"/>
        <v>99999</v>
      </c>
      <c r="B42339" s="1" t="str">
        <f>"62825"</f>
        <v>62825</v>
      </c>
      <c r="C42339" s="2">
        <v>2.1652178111683201E-7</v>
      </c>
      <c r="D42339" s="2">
        <v>0</v>
      </c>
      <c r="E42339" s="2">
        <v>4.3010567696482999E-6</v>
      </c>
      <c r="F42339" s="2">
        <v>2.9604524992435999E-7</v>
      </c>
    </row>
    <row r="42340" spans="1:6" x14ac:dyDescent="0.25">
      <c r="A42340" s="1" t="str">
        <f t="shared" si="1465"/>
        <v>99999</v>
      </c>
      <c r="B42340" s="1" t="str">
        <f>"66864"</f>
        <v>66864</v>
      </c>
      <c r="C42340" s="2">
        <v>2.49000048284357E-6</v>
      </c>
      <c r="D42340" s="2">
        <v>1.50570889527644E-6</v>
      </c>
      <c r="E42340" s="2">
        <v>0</v>
      </c>
      <c r="F42340" s="2">
        <v>2.3683619993948799E-6</v>
      </c>
    </row>
    <row r="42341" spans="1:6" x14ac:dyDescent="0.25">
      <c r="A42341" s="1" t="str">
        <f t="shared" si="1465"/>
        <v>99999</v>
      </c>
      <c r="B42341" s="1" t="str">
        <f>"83111"</f>
        <v>83111</v>
      </c>
      <c r="C42341" s="2">
        <v>6.6039143240633804E-6</v>
      </c>
      <c r="D42341" s="2">
        <v>0</v>
      </c>
      <c r="E42341" s="2">
        <v>4.3010567696482999E-6</v>
      </c>
      <c r="F42341" s="2">
        <v>6.1182684984367804E-6</v>
      </c>
    </row>
    <row r="42342" spans="1:6" x14ac:dyDescent="0.25">
      <c r="A42342" s="1" t="str">
        <f t="shared" si="1465"/>
        <v>99999</v>
      </c>
      <c r="B42342" s="1" t="str">
        <f>"52073"</f>
        <v>52073</v>
      </c>
      <c r="C42342" s="2">
        <v>1.4073915772594101E-6</v>
      </c>
      <c r="D42342" s="2">
        <v>0</v>
      </c>
      <c r="E42342" s="2">
        <v>0</v>
      </c>
      <c r="F42342" s="2">
        <v>1.2828627496722201E-6</v>
      </c>
    </row>
    <row r="42343" spans="1:6" x14ac:dyDescent="0.25">
      <c r="A42343" s="1" t="str">
        <f t="shared" si="1465"/>
        <v>99999</v>
      </c>
      <c r="B42343" s="1" t="str">
        <f>"67515"</f>
        <v>67515</v>
      </c>
      <c r="C42343" s="2">
        <v>2.7065222639604001E-6</v>
      </c>
      <c r="D42343" s="2">
        <v>3.01141779055288E-6</v>
      </c>
      <c r="E42343" s="2">
        <v>4.3010567696482999E-6</v>
      </c>
      <c r="F42343" s="2">
        <v>2.76308899929403E-6</v>
      </c>
    </row>
    <row r="42344" spans="1:6" x14ac:dyDescent="0.25">
      <c r="A42344" s="1" t="str">
        <f t="shared" si="1465"/>
        <v>99999</v>
      </c>
      <c r="B42344" s="1" t="str">
        <f>"99722"</f>
        <v>99722</v>
      </c>
      <c r="C42344" s="2">
        <v>0</v>
      </c>
      <c r="D42344" s="2">
        <v>0</v>
      </c>
      <c r="E42344" s="2">
        <v>4.3010567696482999E-6</v>
      </c>
      <c r="F42344" s="2">
        <v>9.8681749974786797E-8</v>
      </c>
    </row>
    <row r="42345" spans="1:6" x14ac:dyDescent="0.25">
      <c r="A42345" s="1" t="str">
        <f t="shared" si="1465"/>
        <v>99999</v>
      </c>
      <c r="B42345" s="1" t="str">
        <f>"23480"</f>
        <v>23480</v>
      </c>
      <c r="C42345" s="2">
        <v>4.3304356223366401E-7</v>
      </c>
      <c r="D42345" s="2">
        <v>1.50570889527644E-6</v>
      </c>
      <c r="E42345" s="2">
        <v>0</v>
      </c>
      <c r="F42345" s="2">
        <v>4.9340874987393396E-7</v>
      </c>
    </row>
    <row r="42346" spans="1:6" x14ac:dyDescent="0.25">
      <c r="A42346" s="1" t="str">
        <f t="shared" si="1465"/>
        <v>99999</v>
      </c>
      <c r="B42346" s="1" t="str">
        <f>"24881"</f>
        <v>24881</v>
      </c>
      <c r="C42346" s="2">
        <v>3.2478267167524802E-7</v>
      </c>
      <c r="D42346" s="2">
        <v>1.50570889527644E-6</v>
      </c>
      <c r="E42346" s="2">
        <v>0</v>
      </c>
      <c r="F42346" s="2">
        <v>3.9472699989914697E-7</v>
      </c>
    </row>
    <row r="42347" spans="1:6" x14ac:dyDescent="0.25">
      <c r="A42347" s="1" t="str">
        <f t="shared" si="1465"/>
        <v>99999</v>
      </c>
      <c r="B42347" s="1" t="str">
        <f>"59035"</f>
        <v>59035</v>
      </c>
      <c r="C42347" s="2">
        <v>0</v>
      </c>
      <c r="D42347" s="2">
        <v>0</v>
      </c>
      <c r="E42347" s="2">
        <v>8.6021135392965999E-6</v>
      </c>
      <c r="F42347" s="2">
        <v>1.9736349994957301E-7</v>
      </c>
    </row>
    <row r="42348" spans="1:6" x14ac:dyDescent="0.25">
      <c r="A42348" s="1" t="str">
        <f t="shared" si="1465"/>
        <v>99999</v>
      </c>
      <c r="B42348" s="1" t="str">
        <f>"58496"</f>
        <v>58496</v>
      </c>
      <c r="C42348" s="2">
        <v>1.08260890558416E-7</v>
      </c>
      <c r="D42348" s="2">
        <v>0</v>
      </c>
      <c r="E42348" s="2">
        <v>0</v>
      </c>
      <c r="F42348" s="2">
        <v>9.8681749974786797E-8</v>
      </c>
    </row>
    <row r="42349" spans="1:6" x14ac:dyDescent="0.25">
      <c r="A42349" s="1" t="str">
        <f t="shared" si="1465"/>
        <v>99999</v>
      </c>
      <c r="B42349" s="1" t="str">
        <f>"79777"</f>
        <v>79777</v>
      </c>
      <c r="C42349" s="2">
        <v>1.08260890558416E-7</v>
      </c>
      <c r="D42349" s="2">
        <v>1.50570889527644E-6</v>
      </c>
      <c r="E42349" s="2">
        <v>0</v>
      </c>
      <c r="F42349" s="2">
        <v>1.9736349994957301E-7</v>
      </c>
    </row>
    <row r="42350" spans="1:6" x14ac:dyDescent="0.25">
      <c r="A42350" s="1" t="str">
        <f t="shared" si="1465"/>
        <v>99999</v>
      </c>
      <c r="B42350" s="1" t="str">
        <f>"80832"</f>
        <v>80832</v>
      </c>
      <c r="C42350" s="2">
        <v>1.29913068670099E-6</v>
      </c>
      <c r="D42350" s="2">
        <v>0</v>
      </c>
      <c r="E42350" s="2">
        <v>0</v>
      </c>
      <c r="F42350" s="2">
        <v>1.18418099969744E-6</v>
      </c>
    </row>
    <row r="42351" spans="1:6" x14ac:dyDescent="0.25">
      <c r="A42351" s="1" t="str">
        <f t="shared" si="1465"/>
        <v>99999</v>
      </c>
      <c r="B42351" s="1" t="str">
        <f>"15744"</f>
        <v>15744</v>
      </c>
      <c r="C42351" s="2">
        <v>7.5782623390891299E-7</v>
      </c>
      <c r="D42351" s="2">
        <v>1.50570889527644E-6</v>
      </c>
      <c r="E42351" s="2">
        <v>0</v>
      </c>
      <c r="F42351" s="2">
        <v>7.8945399979829395E-7</v>
      </c>
    </row>
    <row r="42352" spans="1:6" x14ac:dyDescent="0.25">
      <c r="A42352" s="1" t="str">
        <f t="shared" si="1465"/>
        <v>99999</v>
      </c>
      <c r="B42352" s="1" t="str">
        <f>"23429"</f>
        <v>23429</v>
      </c>
      <c r="C42352" s="2">
        <v>0</v>
      </c>
      <c r="D42352" s="2">
        <v>1.50570889527644E-6</v>
      </c>
      <c r="E42352" s="2">
        <v>0</v>
      </c>
      <c r="F42352" s="2">
        <v>9.8681749974786797E-8</v>
      </c>
    </row>
    <row r="42353" spans="1:6" x14ac:dyDescent="0.25">
      <c r="A42353" s="1" t="str">
        <f t="shared" si="1465"/>
        <v>99999</v>
      </c>
      <c r="B42353" s="1" t="str">
        <f>"46979"</f>
        <v>46979</v>
      </c>
      <c r="C42353" s="2">
        <v>2.7065222639604001E-6</v>
      </c>
      <c r="D42353" s="2">
        <v>0</v>
      </c>
      <c r="E42353" s="2">
        <v>0</v>
      </c>
      <c r="F42353" s="2">
        <v>2.4670437493696702E-6</v>
      </c>
    </row>
    <row r="42354" spans="1:6" x14ac:dyDescent="0.25">
      <c r="A42354" s="1" t="str">
        <f t="shared" si="1465"/>
        <v>99999</v>
      </c>
      <c r="B42354" s="1" t="str">
        <f>"65243"</f>
        <v>65243</v>
      </c>
      <c r="C42354" s="2">
        <v>2.59826137340198E-6</v>
      </c>
      <c r="D42354" s="2">
        <v>0</v>
      </c>
      <c r="E42354" s="2">
        <v>0</v>
      </c>
      <c r="F42354" s="2">
        <v>2.3683619993948799E-6</v>
      </c>
    </row>
    <row r="42355" spans="1:6" x14ac:dyDescent="0.25">
      <c r="A42355" s="1" t="str">
        <f t="shared" si="1465"/>
        <v>99999</v>
      </c>
      <c r="B42355" s="1" t="str">
        <f>"14876"</f>
        <v>14876</v>
      </c>
      <c r="C42355" s="2">
        <v>0</v>
      </c>
      <c r="D42355" s="2">
        <v>0</v>
      </c>
      <c r="E42355" s="2">
        <v>4.3010567696482999E-6</v>
      </c>
      <c r="F42355" s="2">
        <v>9.8681749974786797E-8</v>
      </c>
    </row>
    <row r="42356" spans="1:6" x14ac:dyDescent="0.25">
      <c r="A42356" s="1" t="str">
        <f t="shared" si="1465"/>
        <v>99999</v>
      </c>
      <c r="B42356" s="1" t="str">
        <f>"47383"</f>
        <v>47383</v>
      </c>
      <c r="C42356" s="2">
        <v>4.3304356223366401E-7</v>
      </c>
      <c r="D42356" s="2">
        <v>0</v>
      </c>
      <c r="E42356" s="2">
        <v>0</v>
      </c>
      <c r="F42356" s="2">
        <v>3.9472699989914697E-7</v>
      </c>
    </row>
    <row r="42357" spans="1:6" x14ac:dyDescent="0.25">
      <c r="A42357" s="1" t="str">
        <f t="shared" si="1465"/>
        <v>99999</v>
      </c>
      <c r="B42357" s="1" t="str">
        <f>"62069"</f>
        <v>62069</v>
      </c>
      <c r="C42357" s="2">
        <v>7.5782623390891299E-7</v>
      </c>
      <c r="D42357" s="2">
        <v>0</v>
      </c>
      <c r="E42357" s="2">
        <v>0</v>
      </c>
      <c r="F42357" s="2">
        <v>6.9077224982350697E-7</v>
      </c>
    </row>
    <row r="42358" spans="1:6" x14ac:dyDescent="0.25">
      <c r="A42358" s="1" t="str">
        <f t="shared" si="1465"/>
        <v>99999</v>
      </c>
      <c r="B42358" s="1" t="str">
        <f>"67491"</f>
        <v>67491</v>
      </c>
      <c r="C42358" s="2">
        <v>2.2734787017267302E-6</v>
      </c>
      <c r="D42358" s="2">
        <v>0</v>
      </c>
      <c r="E42358" s="2">
        <v>0</v>
      </c>
      <c r="F42358" s="2">
        <v>2.0723167494705202E-6</v>
      </c>
    </row>
    <row r="42359" spans="1:6" x14ac:dyDescent="0.25">
      <c r="A42359" s="1" t="str">
        <f t="shared" si="1465"/>
        <v>99999</v>
      </c>
      <c r="B42359" s="1" t="str">
        <f>"17224"</f>
        <v>17224</v>
      </c>
      <c r="C42359" s="2">
        <v>1.08260890558416E-7</v>
      </c>
      <c r="D42359" s="2">
        <v>3.01141779055288E-6</v>
      </c>
      <c r="E42359" s="2">
        <v>0</v>
      </c>
      <c r="F42359" s="2">
        <v>2.9604524992435999E-7</v>
      </c>
    </row>
    <row r="42360" spans="1:6" x14ac:dyDescent="0.25">
      <c r="A42360" s="1" t="str">
        <f t="shared" si="1465"/>
        <v>99999</v>
      </c>
      <c r="B42360" s="1" t="str">
        <f>"45620"</f>
        <v>45620</v>
      </c>
      <c r="C42360" s="2">
        <v>5.6295663090376404E-6</v>
      </c>
      <c r="D42360" s="2">
        <v>6.0228355811057601E-6</v>
      </c>
      <c r="E42360" s="2">
        <v>0</v>
      </c>
      <c r="F42360" s="2">
        <v>5.52617799858806E-6</v>
      </c>
    </row>
    <row r="42361" spans="1:6" x14ac:dyDescent="0.25">
      <c r="A42361" s="1" t="str">
        <f t="shared" si="1465"/>
        <v>99999</v>
      </c>
      <c r="B42361" s="1" t="str">
        <f>"50464"</f>
        <v>50464</v>
      </c>
      <c r="C42361" s="2">
        <v>6.49565343350497E-7</v>
      </c>
      <c r="D42361" s="2">
        <v>0</v>
      </c>
      <c r="E42361" s="2">
        <v>0</v>
      </c>
      <c r="F42361" s="2">
        <v>5.9209049984871999E-7</v>
      </c>
    </row>
    <row r="42362" spans="1:6" x14ac:dyDescent="0.25">
      <c r="A42362" s="1" t="str">
        <f t="shared" si="1465"/>
        <v>99999</v>
      </c>
      <c r="B42362" s="1" t="str">
        <f>"46988"</f>
        <v>46988</v>
      </c>
      <c r="C42362" s="2">
        <v>2.1652178111683201E-7</v>
      </c>
      <c r="D42362" s="2">
        <v>0</v>
      </c>
      <c r="E42362" s="2">
        <v>0</v>
      </c>
      <c r="F42362" s="2">
        <v>1.9736349994957301E-7</v>
      </c>
    </row>
    <row r="42363" spans="1:6" x14ac:dyDescent="0.25">
      <c r="A42363" s="1" t="str">
        <f t="shared" si="1465"/>
        <v>99999</v>
      </c>
      <c r="B42363" s="1" t="str">
        <f>"49062"</f>
        <v>49062</v>
      </c>
      <c r="C42363" s="2">
        <v>1.08260890558416E-7</v>
      </c>
      <c r="D42363" s="2">
        <v>3.01141779055288E-6</v>
      </c>
      <c r="E42363" s="2">
        <v>0</v>
      </c>
      <c r="F42363" s="2">
        <v>2.9604524992435999E-7</v>
      </c>
    </row>
    <row r="42364" spans="1:6" x14ac:dyDescent="0.25">
      <c r="A42364" s="1" t="str">
        <f t="shared" si="1465"/>
        <v>99999</v>
      </c>
      <c r="B42364" s="1" t="str">
        <f>"74830"</f>
        <v>74830</v>
      </c>
      <c r="C42364" s="2">
        <v>1.29913068670099E-6</v>
      </c>
      <c r="D42364" s="2">
        <v>0</v>
      </c>
      <c r="E42364" s="2">
        <v>4.3010567696482999E-6</v>
      </c>
      <c r="F42364" s="2">
        <v>1.2828627496722201E-6</v>
      </c>
    </row>
    <row r="42365" spans="1:6" x14ac:dyDescent="0.25">
      <c r="A42365" s="1" t="str">
        <f t="shared" si="1465"/>
        <v>99999</v>
      </c>
      <c r="B42365" s="1" t="str">
        <f>"78389"</f>
        <v>78389</v>
      </c>
      <c r="C42365" s="2">
        <v>1.08260890558416E-7</v>
      </c>
      <c r="D42365" s="2">
        <v>0</v>
      </c>
      <c r="E42365" s="2">
        <v>0</v>
      </c>
      <c r="F42365" s="2">
        <v>9.8681749974786797E-8</v>
      </c>
    </row>
    <row r="42366" spans="1:6" x14ac:dyDescent="0.25">
      <c r="A42366" s="1" t="str">
        <f t="shared" si="1465"/>
        <v>99999</v>
      </c>
      <c r="B42366" s="1" t="str">
        <f>"99566"</f>
        <v>99566</v>
      </c>
      <c r="C42366" s="2">
        <v>1.08260890558416E-7</v>
      </c>
      <c r="D42366" s="2">
        <v>0</v>
      </c>
      <c r="E42366" s="2">
        <v>4.3010567696482999E-6</v>
      </c>
      <c r="F42366" s="2">
        <v>1.9736349994957301E-7</v>
      </c>
    </row>
    <row r="42367" spans="1:6" x14ac:dyDescent="0.25">
      <c r="A42367" s="1" t="str">
        <f t="shared" si="1465"/>
        <v>99999</v>
      </c>
      <c r="B42367" s="1" t="str">
        <f>"24607"</f>
        <v>24607</v>
      </c>
      <c r="C42367" s="2">
        <v>1.08260890558416E-7</v>
      </c>
      <c r="D42367" s="2">
        <v>1.50570889527644E-6</v>
      </c>
      <c r="E42367" s="2">
        <v>8.6021135392965999E-6</v>
      </c>
      <c r="F42367" s="2">
        <v>3.9472699989914697E-7</v>
      </c>
    </row>
    <row r="42368" spans="1:6" x14ac:dyDescent="0.25">
      <c r="A42368" s="1" t="str">
        <f t="shared" si="1465"/>
        <v>99999</v>
      </c>
      <c r="B42368" s="1" t="str">
        <f>"40161"</f>
        <v>40161</v>
      </c>
      <c r="C42368" s="2">
        <v>8.6608712446732898E-7</v>
      </c>
      <c r="D42368" s="2">
        <v>0</v>
      </c>
      <c r="E42368" s="2">
        <v>0</v>
      </c>
      <c r="F42368" s="2">
        <v>7.8945399979829395E-7</v>
      </c>
    </row>
    <row r="42369" spans="1:6" x14ac:dyDescent="0.25">
      <c r="A42369" s="1" t="str">
        <f t="shared" si="1465"/>
        <v>99999</v>
      </c>
      <c r="B42369" s="1" t="str">
        <f>"46798"</f>
        <v>46798</v>
      </c>
      <c r="C42369" s="2">
        <v>3.5726093884277301E-6</v>
      </c>
      <c r="D42369" s="2">
        <v>0</v>
      </c>
      <c r="E42369" s="2">
        <v>0</v>
      </c>
      <c r="F42369" s="2">
        <v>3.2564977491679601E-6</v>
      </c>
    </row>
    <row r="42370" spans="1:6" x14ac:dyDescent="0.25">
      <c r="A42370" s="1" t="str">
        <f t="shared" si="1465"/>
        <v>99999</v>
      </c>
      <c r="B42370" s="1" t="str">
        <f>"77326"</f>
        <v>77326</v>
      </c>
      <c r="C42370" s="2">
        <v>0</v>
      </c>
      <c r="D42370" s="2">
        <v>1.50570889527644E-6</v>
      </c>
      <c r="E42370" s="2">
        <v>0</v>
      </c>
      <c r="F42370" s="2">
        <v>9.8681749974786797E-8</v>
      </c>
    </row>
    <row r="42371" spans="1:6" x14ac:dyDescent="0.25">
      <c r="A42371" s="1" t="str">
        <f t="shared" si="1465"/>
        <v>99999</v>
      </c>
      <c r="B42371" s="1" t="str">
        <f>"81102"</f>
        <v>81102</v>
      </c>
      <c r="C42371" s="2">
        <v>0</v>
      </c>
      <c r="D42371" s="2">
        <v>1.50570889527644E-6</v>
      </c>
      <c r="E42371" s="2">
        <v>0</v>
      </c>
      <c r="F42371" s="2">
        <v>9.8681749974786797E-8</v>
      </c>
    </row>
    <row r="42372" spans="1:6" x14ac:dyDescent="0.25">
      <c r="A42372" s="1" t="str">
        <f t="shared" si="1465"/>
        <v>99999</v>
      </c>
      <c r="B42372" s="1" t="str">
        <f>"30597"</f>
        <v>30597</v>
      </c>
      <c r="C42372" s="2">
        <v>0</v>
      </c>
      <c r="D42372" s="2">
        <v>1.20456711622115E-5</v>
      </c>
      <c r="E42372" s="2">
        <v>8.6021135392965999E-6</v>
      </c>
      <c r="F42372" s="2">
        <v>9.8681749974786791E-7</v>
      </c>
    </row>
    <row r="42373" spans="1:6" x14ac:dyDescent="0.25">
      <c r="A42373" s="1" t="str">
        <f t="shared" si="1465"/>
        <v>99999</v>
      </c>
      <c r="B42373" s="1" t="str">
        <f>"29899"</f>
        <v>29899</v>
      </c>
      <c r="C42373" s="2">
        <v>0</v>
      </c>
      <c r="D42373" s="2">
        <v>1.50570889527644E-6</v>
      </c>
      <c r="E42373" s="2">
        <v>4.3010567696482999E-6</v>
      </c>
      <c r="F42373" s="2">
        <v>1.9736349994957301E-7</v>
      </c>
    </row>
    <row r="42374" spans="1:6" x14ac:dyDescent="0.25">
      <c r="A42374" s="1" t="str">
        <f t="shared" ref="A42374:A42437" si="1466">"99999"</f>
        <v>99999</v>
      </c>
      <c r="B42374" s="1" t="str">
        <f>"16054"</f>
        <v>16054</v>
      </c>
      <c r="C42374" s="2">
        <v>0</v>
      </c>
      <c r="D42374" s="2">
        <v>0</v>
      </c>
      <c r="E42374" s="2">
        <v>8.6021135392965999E-6</v>
      </c>
      <c r="F42374" s="2">
        <v>1.9736349994957301E-7</v>
      </c>
    </row>
    <row r="42375" spans="1:6" x14ac:dyDescent="0.25">
      <c r="A42375" s="1" t="str">
        <f t="shared" si="1466"/>
        <v>99999</v>
      </c>
      <c r="B42375" s="1" t="str">
        <f>"23413"</f>
        <v>23413</v>
      </c>
      <c r="C42375" s="2">
        <v>3.2478267167524802E-7</v>
      </c>
      <c r="D42375" s="2">
        <v>1.50570889527644E-6</v>
      </c>
      <c r="E42375" s="2">
        <v>0</v>
      </c>
      <c r="F42375" s="2">
        <v>3.9472699989914697E-7</v>
      </c>
    </row>
    <row r="42376" spans="1:6" x14ac:dyDescent="0.25">
      <c r="A42376" s="1" t="str">
        <f t="shared" si="1466"/>
        <v>99999</v>
      </c>
      <c r="B42376" s="1" t="str">
        <f>"40964"</f>
        <v>40964</v>
      </c>
      <c r="C42376" s="2">
        <v>3.3560876073109E-6</v>
      </c>
      <c r="D42376" s="2">
        <v>0</v>
      </c>
      <c r="E42376" s="2">
        <v>4.3010567696482999E-6</v>
      </c>
      <c r="F42376" s="2">
        <v>3.1578159991931699E-6</v>
      </c>
    </row>
    <row r="42377" spans="1:6" x14ac:dyDescent="0.25">
      <c r="A42377" s="1" t="str">
        <f t="shared" si="1466"/>
        <v>99999</v>
      </c>
      <c r="B42377" s="1" t="str">
        <f>"68878"</f>
        <v>68878</v>
      </c>
      <c r="C42377" s="2">
        <v>5.4130445279207995E-7</v>
      </c>
      <c r="D42377" s="2">
        <v>0</v>
      </c>
      <c r="E42377" s="2">
        <v>0</v>
      </c>
      <c r="F42377" s="2">
        <v>4.9340874987393396E-7</v>
      </c>
    </row>
    <row r="42378" spans="1:6" x14ac:dyDescent="0.25">
      <c r="A42378" s="1" t="str">
        <f t="shared" si="1466"/>
        <v>99999</v>
      </c>
      <c r="B42378" s="1" t="str">
        <f>"74722"</f>
        <v>74722</v>
      </c>
      <c r="C42378" s="2">
        <v>0</v>
      </c>
      <c r="D42378" s="2">
        <v>1.50570889527644E-6</v>
      </c>
      <c r="E42378" s="2">
        <v>4.3010567696482999E-6</v>
      </c>
      <c r="F42378" s="2">
        <v>1.9736349994957301E-7</v>
      </c>
    </row>
    <row r="42379" spans="1:6" x14ac:dyDescent="0.25">
      <c r="A42379" s="1" t="str">
        <f t="shared" si="1466"/>
        <v>99999</v>
      </c>
      <c r="B42379" s="1" t="str">
        <f>"99753"</f>
        <v>99753</v>
      </c>
      <c r="C42379" s="2">
        <v>0</v>
      </c>
      <c r="D42379" s="2">
        <v>0</v>
      </c>
      <c r="E42379" s="2">
        <v>4.3010567696482999E-6</v>
      </c>
      <c r="F42379" s="2">
        <v>9.8681749974786797E-8</v>
      </c>
    </row>
    <row r="42380" spans="1:6" x14ac:dyDescent="0.25">
      <c r="A42380" s="1" t="str">
        <f t="shared" si="1466"/>
        <v>99999</v>
      </c>
      <c r="B42380" s="1" t="str">
        <f>"50532"</f>
        <v>50532</v>
      </c>
      <c r="C42380" s="2">
        <v>2.0569569206099001E-6</v>
      </c>
      <c r="D42380" s="2">
        <v>0</v>
      </c>
      <c r="E42380" s="2">
        <v>0</v>
      </c>
      <c r="F42380" s="2">
        <v>1.8749532495209401E-6</v>
      </c>
    </row>
    <row r="42381" spans="1:6" x14ac:dyDescent="0.25">
      <c r="A42381" s="1" t="str">
        <f t="shared" si="1466"/>
        <v>99999</v>
      </c>
      <c r="B42381" s="1" t="str">
        <f>"61064"</f>
        <v>61064</v>
      </c>
      <c r="C42381" s="2">
        <v>9.7434801502574508E-7</v>
      </c>
      <c r="D42381" s="2">
        <v>0</v>
      </c>
      <c r="E42381" s="2">
        <v>0</v>
      </c>
      <c r="F42381" s="2">
        <v>8.8813574977308104E-7</v>
      </c>
    </row>
    <row r="42382" spans="1:6" x14ac:dyDescent="0.25">
      <c r="A42382" s="1" t="str">
        <f t="shared" si="1466"/>
        <v>99999</v>
      </c>
      <c r="B42382" s="1" t="str">
        <f>"36446"</f>
        <v>36446</v>
      </c>
      <c r="C42382" s="2">
        <v>0</v>
      </c>
      <c r="D42382" s="2">
        <v>1.50570889527644E-6</v>
      </c>
      <c r="E42382" s="2">
        <v>0</v>
      </c>
      <c r="F42382" s="2">
        <v>9.8681749974786797E-8</v>
      </c>
    </row>
    <row r="42383" spans="1:6" x14ac:dyDescent="0.25">
      <c r="A42383" s="1" t="str">
        <f t="shared" si="1466"/>
        <v>99999</v>
      </c>
      <c r="B42383" s="1" t="str">
        <f>"65664"</f>
        <v>65664</v>
      </c>
      <c r="C42383" s="2">
        <v>1.29913068670099E-6</v>
      </c>
      <c r="D42383" s="2">
        <v>0</v>
      </c>
      <c r="E42383" s="2">
        <v>4.3010567696482999E-6</v>
      </c>
      <c r="F42383" s="2">
        <v>1.2828627496722201E-6</v>
      </c>
    </row>
    <row r="42384" spans="1:6" x14ac:dyDescent="0.25">
      <c r="A42384" s="1" t="str">
        <f t="shared" si="1466"/>
        <v>99999</v>
      </c>
      <c r="B42384" s="1" t="str">
        <f>"49717"</f>
        <v>49717</v>
      </c>
      <c r="C42384" s="2">
        <v>0</v>
      </c>
      <c r="D42384" s="2">
        <v>3.01141779055288E-6</v>
      </c>
      <c r="E42384" s="2">
        <v>0</v>
      </c>
      <c r="F42384" s="2">
        <v>1.9736349994957301E-7</v>
      </c>
    </row>
    <row r="42385" spans="1:6" x14ac:dyDescent="0.25">
      <c r="A42385" s="1" t="str">
        <f t="shared" si="1466"/>
        <v>99999</v>
      </c>
      <c r="B42385" s="1" t="str">
        <f>"71235"</f>
        <v>71235</v>
      </c>
      <c r="C42385" s="2">
        <v>3.2478267167524802E-7</v>
      </c>
      <c r="D42385" s="2">
        <v>0</v>
      </c>
      <c r="E42385" s="2">
        <v>0</v>
      </c>
      <c r="F42385" s="2">
        <v>2.9604524992435999E-7</v>
      </c>
    </row>
    <row r="42386" spans="1:6" x14ac:dyDescent="0.25">
      <c r="A42386" s="1" t="str">
        <f t="shared" si="1466"/>
        <v>99999</v>
      </c>
      <c r="B42386" s="1" t="str">
        <f>"95915"</f>
        <v>95915</v>
      </c>
      <c r="C42386" s="2">
        <v>0</v>
      </c>
      <c r="D42386" s="2">
        <v>1.50570889527644E-6</v>
      </c>
      <c r="E42386" s="2">
        <v>4.3010567696482999E-6</v>
      </c>
      <c r="F42386" s="2">
        <v>1.9736349994957301E-7</v>
      </c>
    </row>
    <row r="42387" spans="1:6" x14ac:dyDescent="0.25">
      <c r="A42387" s="1" t="str">
        <f t="shared" si="1466"/>
        <v>99999</v>
      </c>
      <c r="B42387" s="1" t="str">
        <f>"35559"</f>
        <v>35559</v>
      </c>
      <c r="C42387" s="2">
        <v>0</v>
      </c>
      <c r="D42387" s="2">
        <v>1.50570889527644E-6</v>
      </c>
      <c r="E42387" s="2">
        <v>0</v>
      </c>
      <c r="F42387" s="2">
        <v>9.8681749974786797E-8</v>
      </c>
    </row>
    <row r="42388" spans="1:6" x14ac:dyDescent="0.25">
      <c r="A42388" s="1" t="str">
        <f t="shared" si="1466"/>
        <v>99999</v>
      </c>
      <c r="B42388" s="1" t="str">
        <f>"49792"</f>
        <v>49792</v>
      </c>
      <c r="C42388" s="2">
        <v>1.08260890558416E-7</v>
      </c>
      <c r="D42388" s="2">
        <v>0</v>
      </c>
      <c r="E42388" s="2">
        <v>0</v>
      </c>
      <c r="F42388" s="2">
        <v>9.8681749974786797E-8</v>
      </c>
    </row>
    <row r="42389" spans="1:6" x14ac:dyDescent="0.25">
      <c r="A42389" s="1" t="str">
        <f t="shared" si="1466"/>
        <v>99999</v>
      </c>
      <c r="B42389" s="1" t="str">
        <f>"76949"</f>
        <v>76949</v>
      </c>
      <c r="C42389" s="2">
        <v>0</v>
      </c>
      <c r="D42389" s="2">
        <v>0</v>
      </c>
      <c r="E42389" s="2">
        <v>8.6021135392965999E-6</v>
      </c>
      <c r="F42389" s="2">
        <v>1.9736349994957301E-7</v>
      </c>
    </row>
    <row r="42390" spans="1:6" x14ac:dyDescent="0.25">
      <c r="A42390" s="1" t="str">
        <f t="shared" si="1466"/>
        <v>99999</v>
      </c>
      <c r="B42390" s="1" t="str">
        <f>"45855"</f>
        <v>45855</v>
      </c>
      <c r="C42390" s="2">
        <v>3.2478267167524802E-7</v>
      </c>
      <c r="D42390" s="2">
        <v>1.50570889527644E-6</v>
      </c>
      <c r="E42390" s="2">
        <v>0</v>
      </c>
      <c r="F42390" s="2">
        <v>3.9472699989914697E-7</v>
      </c>
    </row>
    <row r="42391" spans="1:6" x14ac:dyDescent="0.25">
      <c r="A42391" s="1" t="str">
        <f t="shared" si="1466"/>
        <v>99999</v>
      </c>
      <c r="B42391" s="1" t="str">
        <f>"47541"</f>
        <v>47541</v>
      </c>
      <c r="C42391" s="2">
        <v>3.2478267167524802E-7</v>
      </c>
      <c r="D42391" s="2">
        <v>0</v>
      </c>
      <c r="E42391" s="2">
        <v>0</v>
      </c>
      <c r="F42391" s="2">
        <v>2.9604524992435999E-7</v>
      </c>
    </row>
    <row r="42392" spans="1:6" x14ac:dyDescent="0.25">
      <c r="A42392" s="1" t="str">
        <f t="shared" si="1466"/>
        <v>99999</v>
      </c>
      <c r="B42392" s="1" t="str">
        <f>"47970"</f>
        <v>47970</v>
      </c>
      <c r="C42392" s="2">
        <v>5.4130445279207995E-7</v>
      </c>
      <c r="D42392" s="2">
        <v>0</v>
      </c>
      <c r="E42392" s="2">
        <v>0</v>
      </c>
      <c r="F42392" s="2">
        <v>4.9340874987393396E-7</v>
      </c>
    </row>
    <row r="42393" spans="1:6" x14ac:dyDescent="0.25">
      <c r="A42393" s="1" t="str">
        <f t="shared" si="1466"/>
        <v>99999</v>
      </c>
      <c r="B42393" s="1" t="str">
        <f>"95345"</f>
        <v>95345</v>
      </c>
      <c r="C42393" s="2">
        <v>2.6523918186811901E-5</v>
      </c>
      <c r="D42393" s="2">
        <v>3.01141779055288E-6</v>
      </c>
      <c r="E42393" s="2">
        <v>1.72042270785932E-5</v>
      </c>
      <c r="F42393" s="2">
        <v>2.4769119243671401E-5</v>
      </c>
    </row>
    <row r="42394" spans="1:6" x14ac:dyDescent="0.25">
      <c r="A42394" s="1" t="str">
        <f t="shared" si="1466"/>
        <v>99999</v>
      </c>
      <c r="B42394" s="1" t="str">
        <f>"98827"</f>
        <v>98827</v>
      </c>
      <c r="C42394" s="2">
        <v>1.41821766631525E-5</v>
      </c>
      <c r="D42394" s="2">
        <v>6.0228355811057601E-6</v>
      </c>
      <c r="E42394" s="2">
        <v>0</v>
      </c>
      <c r="F42394" s="2">
        <v>1.3322036246596199E-5</v>
      </c>
    </row>
    <row r="42395" spans="1:6" x14ac:dyDescent="0.25">
      <c r="A42395" s="1" t="str">
        <f t="shared" si="1466"/>
        <v>99999</v>
      </c>
      <c r="B42395" s="1" t="str">
        <f>"99625"</f>
        <v>99625</v>
      </c>
      <c r="C42395" s="2">
        <v>0</v>
      </c>
      <c r="D42395" s="2">
        <v>0</v>
      </c>
      <c r="E42395" s="2">
        <v>4.3010567696482999E-6</v>
      </c>
      <c r="F42395" s="2">
        <v>9.8681749974786797E-8</v>
      </c>
    </row>
    <row r="42396" spans="1:6" x14ac:dyDescent="0.25">
      <c r="A42396" s="1" t="str">
        <f t="shared" si="1466"/>
        <v>99999</v>
      </c>
      <c r="B42396" s="1" t="str">
        <f>"27872"</f>
        <v>27872</v>
      </c>
      <c r="C42396" s="2">
        <v>5.3047836373623898E-6</v>
      </c>
      <c r="D42396" s="2">
        <v>4.5171266858293203E-6</v>
      </c>
      <c r="E42396" s="2">
        <v>0</v>
      </c>
      <c r="F42396" s="2">
        <v>5.1314509986889099E-6</v>
      </c>
    </row>
    <row r="42397" spans="1:6" x14ac:dyDescent="0.25">
      <c r="A42397" s="1" t="str">
        <f t="shared" si="1466"/>
        <v>99999</v>
      </c>
      <c r="B42397" s="1" t="str">
        <f>"50459"</f>
        <v>50459</v>
      </c>
      <c r="C42397" s="2">
        <v>1.0826089055841599E-6</v>
      </c>
      <c r="D42397" s="2">
        <v>0</v>
      </c>
      <c r="E42397" s="2">
        <v>0</v>
      </c>
      <c r="F42397" s="2">
        <v>9.8681749974786791E-7</v>
      </c>
    </row>
    <row r="42398" spans="1:6" x14ac:dyDescent="0.25">
      <c r="A42398" s="1" t="str">
        <f t="shared" si="1466"/>
        <v>99999</v>
      </c>
      <c r="B42398" s="1" t="str">
        <f>"56384"</f>
        <v>56384</v>
      </c>
      <c r="C42398" s="2">
        <v>1.3749133100918801E-5</v>
      </c>
      <c r="D42398" s="2">
        <v>2.7102760114975901E-5</v>
      </c>
      <c r="E42398" s="2">
        <v>3.01073973875381E-5</v>
      </c>
      <c r="F42398" s="2">
        <v>1.49996259961675E-5</v>
      </c>
    </row>
    <row r="42399" spans="1:6" x14ac:dyDescent="0.25">
      <c r="A42399" s="1" t="str">
        <f t="shared" si="1466"/>
        <v>99999</v>
      </c>
      <c r="B42399" s="1" t="str">
        <f>"58638"</f>
        <v>58638</v>
      </c>
      <c r="C42399" s="2">
        <v>4.4386965128950601E-6</v>
      </c>
      <c r="D42399" s="2">
        <v>0</v>
      </c>
      <c r="E42399" s="2">
        <v>0</v>
      </c>
      <c r="F42399" s="2">
        <v>4.0459517489662501E-6</v>
      </c>
    </row>
    <row r="42400" spans="1:6" x14ac:dyDescent="0.25">
      <c r="A42400" s="1" t="str">
        <f t="shared" si="1466"/>
        <v>99999</v>
      </c>
      <c r="B42400" s="1" t="str">
        <f>"59746"</f>
        <v>59746</v>
      </c>
      <c r="C42400" s="2">
        <v>7.5782623390891299E-7</v>
      </c>
      <c r="D42400" s="2">
        <v>1.50570889527644E-6</v>
      </c>
      <c r="E42400" s="2">
        <v>4.3010567696482999E-6</v>
      </c>
      <c r="F42400" s="2">
        <v>8.8813574977308104E-7</v>
      </c>
    </row>
    <row r="42401" spans="1:6" x14ac:dyDescent="0.25">
      <c r="A42401" s="1" t="str">
        <f t="shared" si="1466"/>
        <v>99999</v>
      </c>
      <c r="B42401" s="1" t="str">
        <f>"59444"</f>
        <v>59444</v>
      </c>
      <c r="C42401" s="2">
        <v>5.8460880901544696E-6</v>
      </c>
      <c r="D42401" s="2">
        <v>1.50570889527644E-6</v>
      </c>
      <c r="E42401" s="2">
        <v>4.3010567696482999E-6</v>
      </c>
      <c r="F42401" s="2">
        <v>5.52617799858806E-6</v>
      </c>
    </row>
    <row r="42402" spans="1:6" x14ac:dyDescent="0.25">
      <c r="A42402" s="1" t="str">
        <f t="shared" si="1466"/>
        <v>99999</v>
      </c>
      <c r="B42402" s="1" t="str">
        <f>"62311"</f>
        <v>62311</v>
      </c>
      <c r="C42402" s="2">
        <v>6.49565343350497E-7</v>
      </c>
      <c r="D42402" s="2">
        <v>0</v>
      </c>
      <c r="E42402" s="2">
        <v>0</v>
      </c>
      <c r="F42402" s="2">
        <v>5.9209049984871999E-7</v>
      </c>
    </row>
    <row r="42403" spans="1:6" x14ac:dyDescent="0.25">
      <c r="A42403" s="1" t="str">
        <f t="shared" si="1466"/>
        <v>99999</v>
      </c>
      <c r="B42403" s="1" t="str">
        <f>"62467"</f>
        <v>62467</v>
      </c>
      <c r="C42403" s="2">
        <v>2.7065222639604001E-6</v>
      </c>
      <c r="D42403" s="2">
        <v>4.5171266858293203E-6</v>
      </c>
      <c r="E42403" s="2">
        <v>0</v>
      </c>
      <c r="F42403" s="2">
        <v>2.76308899929403E-6</v>
      </c>
    </row>
    <row r="42404" spans="1:6" x14ac:dyDescent="0.25">
      <c r="A42404" s="1" t="str">
        <f t="shared" si="1466"/>
        <v>99999</v>
      </c>
      <c r="B42404" s="1" t="str">
        <f>"65768"</f>
        <v>65768</v>
      </c>
      <c r="C42404" s="2">
        <v>2.5766091952903002E-5</v>
      </c>
      <c r="D42404" s="2">
        <v>4.5171266858293203E-6</v>
      </c>
      <c r="E42404" s="2">
        <v>4.3010567696482999E-6</v>
      </c>
      <c r="F42404" s="2">
        <v>2.38809834938984E-5</v>
      </c>
    </row>
    <row r="42405" spans="1:6" x14ac:dyDescent="0.25">
      <c r="A42405" s="1" t="str">
        <f t="shared" si="1466"/>
        <v>99999</v>
      </c>
      <c r="B42405" s="1" t="str">
        <f>"68431"</f>
        <v>68431</v>
      </c>
      <c r="C42405" s="2">
        <v>1.9270438519397999E-5</v>
      </c>
      <c r="D42405" s="2">
        <v>4.5171266858293203E-6</v>
      </c>
      <c r="E42405" s="2">
        <v>4.3010567696482999E-6</v>
      </c>
      <c r="F42405" s="2">
        <v>1.79600784954111E-5</v>
      </c>
    </row>
    <row r="42406" spans="1:6" x14ac:dyDescent="0.25">
      <c r="A42406" s="1" t="str">
        <f t="shared" si="1466"/>
        <v>99999</v>
      </c>
      <c r="B42406" s="1" t="str">
        <f>"76869"</f>
        <v>76869</v>
      </c>
      <c r="C42406" s="2">
        <v>6.0626098712712997E-6</v>
      </c>
      <c r="D42406" s="2">
        <v>1.50570889527644E-6</v>
      </c>
      <c r="E42406" s="2">
        <v>1.29031703089449E-5</v>
      </c>
      <c r="F42406" s="2">
        <v>5.9209049984871999E-6</v>
      </c>
    </row>
    <row r="42407" spans="1:6" x14ac:dyDescent="0.25">
      <c r="A42407" s="1" t="str">
        <f t="shared" si="1466"/>
        <v>99999</v>
      </c>
      <c r="B42407" s="1" t="str">
        <f>"79056"</f>
        <v>79056</v>
      </c>
      <c r="C42407" s="2">
        <v>3.46434849786931E-6</v>
      </c>
      <c r="D42407" s="2">
        <v>1.50570889527644E-6</v>
      </c>
      <c r="E42407" s="2">
        <v>0</v>
      </c>
      <c r="F42407" s="2">
        <v>3.2564977491679601E-6</v>
      </c>
    </row>
    <row r="42408" spans="1:6" x14ac:dyDescent="0.25">
      <c r="A42408" s="1" t="str">
        <f t="shared" si="1466"/>
        <v>99999</v>
      </c>
      <c r="B42408" s="1" t="str">
        <f>"88121"</f>
        <v>88121</v>
      </c>
      <c r="C42408" s="2">
        <v>2.0569569206099001E-6</v>
      </c>
      <c r="D42408" s="2">
        <v>1.50570889527644E-6</v>
      </c>
      <c r="E42408" s="2">
        <v>0</v>
      </c>
      <c r="F42408" s="2">
        <v>1.9736349994957299E-6</v>
      </c>
    </row>
    <row r="42409" spans="1:6" x14ac:dyDescent="0.25">
      <c r="A42409" s="1" t="str">
        <f t="shared" si="1466"/>
        <v>99999</v>
      </c>
      <c r="B42409" s="1" t="str">
        <f>"87830"</f>
        <v>87830</v>
      </c>
      <c r="C42409" s="2">
        <v>1.67804380365545E-5</v>
      </c>
      <c r="D42409" s="2">
        <v>6.0228355811057601E-6</v>
      </c>
      <c r="E42409" s="2">
        <v>4.3010567696482999E-6</v>
      </c>
      <c r="F42409" s="2">
        <v>1.5789079995965799E-5</v>
      </c>
    </row>
    <row r="42410" spans="1:6" x14ac:dyDescent="0.25">
      <c r="A42410" s="1" t="str">
        <f t="shared" si="1466"/>
        <v>99999</v>
      </c>
      <c r="B42410" s="1" t="str">
        <f>"17814"</f>
        <v>17814</v>
      </c>
      <c r="C42410" s="2">
        <v>8.5526103541148705E-6</v>
      </c>
      <c r="D42410" s="2">
        <v>1.50570889527644E-6</v>
      </c>
      <c r="E42410" s="2">
        <v>0</v>
      </c>
      <c r="F42410" s="2">
        <v>7.8945399979829399E-6</v>
      </c>
    </row>
    <row r="42411" spans="1:6" x14ac:dyDescent="0.25">
      <c r="A42411" s="1" t="str">
        <f t="shared" si="1466"/>
        <v>99999</v>
      </c>
      <c r="B42411" s="1" t="str">
        <f>"26215"</f>
        <v>26215</v>
      </c>
      <c r="C42411" s="2">
        <v>7.1452187768554602E-6</v>
      </c>
      <c r="D42411" s="2">
        <v>3.01141779055288E-6</v>
      </c>
      <c r="E42411" s="2">
        <v>4.3010567696482999E-6</v>
      </c>
      <c r="F42411" s="2">
        <v>6.8090407482602902E-6</v>
      </c>
    </row>
    <row r="42412" spans="1:6" x14ac:dyDescent="0.25">
      <c r="A42412" s="1" t="str">
        <f t="shared" si="1466"/>
        <v>99999</v>
      </c>
      <c r="B42412" s="1" t="str">
        <f>"51244"</f>
        <v>51244</v>
      </c>
      <c r="C42412" s="2">
        <v>3.8973920601029803E-6</v>
      </c>
      <c r="D42412" s="2">
        <v>1.0539962266935E-5</v>
      </c>
      <c r="E42412" s="2">
        <v>8.6021135392965999E-6</v>
      </c>
      <c r="F42412" s="2">
        <v>4.4406787488654001E-6</v>
      </c>
    </row>
    <row r="42413" spans="1:6" x14ac:dyDescent="0.25">
      <c r="A42413" s="1" t="str">
        <f t="shared" si="1466"/>
        <v>99999</v>
      </c>
      <c r="B42413" s="1" t="str">
        <f>"59240"</f>
        <v>59240</v>
      </c>
      <c r="C42413" s="2">
        <v>1.9486960300514902E-6</v>
      </c>
      <c r="D42413" s="2">
        <v>0</v>
      </c>
      <c r="E42413" s="2">
        <v>4.3010567696482999E-6</v>
      </c>
      <c r="F42413" s="2">
        <v>1.8749532495209401E-6</v>
      </c>
    </row>
    <row r="42414" spans="1:6" x14ac:dyDescent="0.25">
      <c r="A42414" s="1" t="str">
        <f t="shared" si="1466"/>
        <v>99999</v>
      </c>
      <c r="B42414" s="1" t="str">
        <f>"62671"</f>
        <v>62671</v>
      </c>
      <c r="C42414" s="2">
        <v>9.7434801502574508E-7</v>
      </c>
      <c r="D42414" s="2">
        <v>1.50570889527644E-6</v>
      </c>
      <c r="E42414" s="2">
        <v>0</v>
      </c>
      <c r="F42414" s="2">
        <v>9.8681749974786791E-7</v>
      </c>
    </row>
    <row r="42415" spans="1:6" x14ac:dyDescent="0.25">
      <c r="A42415" s="1" t="str">
        <f t="shared" si="1466"/>
        <v>99999</v>
      </c>
      <c r="B42415" s="1" t="str">
        <f>"64765"</f>
        <v>64765</v>
      </c>
      <c r="C42415" s="2">
        <v>1.62391335837624E-6</v>
      </c>
      <c r="D42415" s="2">
        <v>0</v>
      </c>
      <c r="E42415" s="2">
        <v>4.3010567696482999E-6</v>
      </c>
      <c r="F42415" s="2">
        <v>1.5789079995965801E-6</v>
      </c>
    </row>
    <row r="42416" spans="1:6" x14ac:dyDescent="0.25">
      <c r="A42416" s="1" t="str">
        <f t="shared" si="1466"/>
        <v>99999</v>
      </c>
      <c r="B42416" s="1" t="str">
        <f>"74561"</f>
        <v>74561</v>
      </c>
      <c r="C42416" s="2">
        <v>2.5116526609552499E-5</v>
      </c>
      <c r="D42416" s="2">
        <v>7.5285444763821999E-6</v>
      </c>
      <c r="E42416" s="2">
        <v>1.72042270785932E-5</v>
      </c>
      <c r="F42416" s="2">
        <v>2.37823017439236E-5</v>
      </c>
    </row>
    <row r="42417" spans="1:6" x14ac:dyDescent="0.25">
      <c r="A42417" s="1" t="str">
        <f t="shared" si="1466"/>
        <v>99999</v>
      </c>
      <c r="B42417" s="1" t="str">
        <f>"77327"</f>
        <v>77327</v>
      </c>
      <c r="C42417" s="2">
        <v>2.1652178111683201E-7</v>
      </c>
      <c r="D42417" s="2">
        <v>0</v>
      </c>
      <c r="E42417" s="2">
        <v>0</v>
      </c>
      <c r="F42417" s="2">
        <v>1.9736349994957301E-7</v>
      </c>
    </row>
    <row r="42418" spans="1:6" x14ac:dyDescent="0.25">
      <c r="A42418" s="1" t="str">
        <f t="shared" si="1466"/>
        <v>99999</v>
      </c>
      <c r="B42418" s="1" t="str">
        <f>"99403"</f>
        <v>99403</v>
      </c>
      <c r="C42418" s="2">
        <v>1.7321742489346499E-6</v>
      </c>
      <c r="D42418" s="2">
        <v>0</v>
      </c>
      <c r="E42418" s="2">
        <v>0</v>
      </c>
      <c r="F42418" s="2">
        <v>1.5789079995965801E-6</v>
      </c>
    </row>
    <row r="42419" spans="1:6" x14ac:dyDescent="0.25">
      <c r="A42419" s="1" t="str">
        <f t="shared" si="1466"/>
        <v>99999</v>
      </c>
      <c r="B42419" s="1" t="str">
        <f>"14533"</f>
        <v>14533</v>
      </c>
      <c r="C42419" s="2">
        <v>3.2478267167524802E-7</v>
      </c>
      <c r="D42419" s="2">
        <v>0</v>
      </c>
      <c r="E42419" s="2">
        <v>0</v>
      </c>
      <c r="F42419" s="2">
        <v>2.9604524992435999E-7</v>
      </c>
    </row>
    <row r="42420" spans="1:6" x14ac:dyDescent="0.25">
      <c r="A42420" s="1" t="str">
        <f t="shared" si="1466"/>
        <v>99999</v>
      </c>
      <c r="B42420" s="1" t="str">
        <f>"53954"</f>
        <v>53954</v>
      </c>
      <c r="C42420" s="2">
        <v>8.9856539163485408E-6</v>
      </c>
      <c r="D42420" s="2">
        <v>1.50570889527644E-6</v>
      </c>
      <c r="E42420" s="2">
        <v>0</v>
      </c>
      <c r="F42420" s="2">
        <v>8.2892669978820908E-6</v>
      </c>
    </row>
    <row r="42421" spans="1:6" x14ac:dyDescent="0.25">
      <c r="A42421" s="1" t="str">
        <f t="shared" si="1466"/>
        <v>99999</v>
      </c>
      <c r="B42421" s="1" t="str">
        <f>"52652"</f>
        <v>52652</v>
      </c>
      <c r="C42421" s="2">
        <v>1.1908697961425701E-6</v>
      </c>
      <c r="D42421" s="2">
        <v>0</v>
      </c>
      <c r="E42421" s="2">
        <v>4.3010567696482999E-6</v>
      </c>
      <c r="F42421" s="2">
        <v>1.18418099969744E-6</v>
      </c>
    </row>
    <row r="42422" spans="1:6" x14ac:dyDescent="0.25">
      <c r="A42422" s="1" t="str">
        <f t="shared" si="1466"/>
        <v>99999</v>
      </c>
      <c r="B42422" s="1" t="str">
        <f>"57650"</f>
        <v>57650</v>
      </c>
      <c r="C42422" s="2">
        <v>4.0056529506613898E-6</v>
      </c>
      <c r="D42422" s="2">
        <v>0</v>
      </c>
      <c r="E42422" s="2">
        <v>0</v>
      </c>
      <c r="F42422" s="2">
        <v>3.6512247490671102E-6</v>
      </c>
    </row>
    <row r="42423" spans="1:6" x14ac:dyDescent="0.25">
      <c r="A42423" s="1" t="str">
        <f t="shared" si="1466"/>
        <v>99999</v>
      </c>
      <c r="B42423" s="1" t="str">
        <f>"58644"</f>
        <v>58644</v>
      </c>
      <c r="C42423" s="2">
        <v>7.5782623390891299E-7</v>
      </c>
      <c r="D42423" s="2">
        <v>1.50570889527644E-6</v>
      </c>
      <c r="E42423" s="2">
        <v>4.3010567696482999E-6</v>
      </c>
      <c r="F42423" s="2">
        <v>8.8813574977308104E-7</v>
      </c>
    </row>
    <row r="42424" spans="1:6" x14ac:dyDescent="0.25">
      <c r="A42424" s="1" t="str">
        <f t="shared" si="1466"/>
        <v>99999</v>
      </c>
      <c r="B42424" s="1" t="str">
        <f>"67511"</f>
        <v>67511</v>
      </c>
      <c r="C42424" s="2">
        <v>5.4130445279208001E-6</v>
      </c>
      <c r="D42424" s="2">
        <v>1.50570889527644E-6</v>
      </c>
      <c r="E42424" s="2">
        <v>4.3010567696482999E-6</v>
      </c>
      <c r="F42424" s="2">
        <v>5.1314509986889099E-6</v>
      </c>
    </row>
    <row r="42425" spans="1:6" x14ac:dyDescent="0.25">
      <c r="A42425" s="1" t="str">
        <f t="shared" si="1466"/>
        <v>99999</v>
      </c>
      <c r="B42425" s="1" t="str">
        <f>"76093"</f>
        <v>76093</v>
      </c>
      <c r="C42425" s="2">
        <v>2.9230440450772301E-6</v>
      </c>
      <c r="D42425" s="2">
        <v>0</v>
      </c>
      <c r="E42425" s="2">
        <v>0</v>
      </c>
      <c r="F42425" s="2">
        <v>2.6644072493192401E-6</v>
      </c>
    </row>
    <row r="42426" spans="1:6" x14ac:dyDescent="0.25">
      <c r="A42426" s="1" t="str">
        <f t="shared" si="1466"/>
        <v>99999</v>
      </c>
      <c r="B42426" s="1" t="str">
        <f>"79223"</f>
        <v>79223</v>
      </c>
      <c r="C42426" s="2">
        <v>1.51565246781782E-6</v>
      </c>
      <c r="D42426" s="2">
        <v>3.01141779055288E-6</v>
      </c>
      <c r="E42426" s="2">
        <v>8.6021135392965999E-6</v>
      </c>
      <c r="F42426" s="2">
        <v>1.77627149954616E-6</v>
      </c>
    </row>
    <row r="42427" spans="1:6" x14ac:dyDescent="0.25">
      <c r="A42427" s="1" t="str">
        <f t="shared" si="1466"/>
        <v>99999</v>
      </c>
      <c r="B42427" s="1" t="str">
        <f>"83239"</f>
        <v>83239</v>
      </c>
      <c r="C42427" s="2">
        <v>2.4466961266201999E-5</v>
      </c>
      <c r="D42427" s="2">
        <v>0</v>
      </c>
      <c r="E42427" s="2">
        <v>4.3010567696482999E-6</v>
      </c>
      <c r="F42427" s="2">
        <v>2.2400757244276601E-5</v>
      </c>
    </row>
    <row r="42428" spans="1:6" x14ac:dyDescent="0.25">
      <c r="A42428" s="1" t="str">
        <f t="shared" si="1466"/>
        <v>99999</v>
      </c>
      <c r="B42428" s="1" t="str">
        <f>"80478"</f>
        <v>80478</v>
      </c>
      <c r="C42428" s="2">
        <v>0</v>
      </c>
      <c r="D42428" s="2">
        <v>0</v>
      </c>
      <c r="E42428" s="2">
        <v>4.3010567696482999E-6</v>
      </c>
      <c r="F42428" s="2">
        <v>9.8681749974786797E-8</v>
      </c>
    </row>
    <row r="42429" spans="1:6" x14ac:dyDescent="0.25">
      <c r="A42429" s="1" t="str">
        <f t="shared" si="1466"/>
        <v>99999</v>
      </c>
      <c r="B42429" s="1" t="str">
        <f>"98819"</f>
        <v>98819</v>
      </c>
      <c r="C42429" s="2">
        <v>0</v>
      </c>
      <c r="D42429" s="2">
        <v>3.01141779055288E-6</v>
      </c>
      <c r="E42429" s="2">
        <v>7.7419021853669399E-5</v>
      </c>
      <c r="F42429" s="2">
        <v>1.9736349994957299E-6</v>
      </c>
    </row>
    <row r="42430" spans="1:6" x14ac:dyDescent="0.25">
      <c r="A42430" s="1" t="str">
        <f t="shared" si="1466"/>
        <v>99999</v>
      </c>
      <c r="B42430" s="1" t="str">
        <f>"99557"</f>
        <v>99557</v>
      </c>
      <c r="C42430" s="2">
        <v>0</v>
      </c>
      <c r="D42430" s="2">
        <v>0</v>
      </c>
      <c r="E42430" s="2">
        <v>1.29031703089449E-5</v>
      </c>
      <c r="F42430" s="2">
        <v>2.9604524992435999E-7</v>
      </c>
    </row>
    <row r="42431" spans="1:6" x14ac:dyDescent="0.25">
      <c r="A42431" s="1" t="str">
        <f t="shared" si="1466"/>
        <v>99999</v>
      </c>
      <c r="B42431" s="1" t="str">
        <f>"22853"</f>
        <v>22853</v>
      </c>
      <c r="C42431" s="2">
        <v>6.2791316523881298E-6</v>
      </c>
      <c r="D42431" s="2">
        <v>3.01141779055288E-6</v>
      </c>
      <c r="E42431" s="2">
        <v>0</v>
      </c>
      <c r="F42431" s="2">
        <v>5.9209049984871999E-6</v>
      </c>
    </row>
    <row r="42432" spans="1:6" x14ac:dyDescent="0.25">
      <c r="A42432" s="1" t="str">
        <f t="shared" si="1466"/>
        <v>99999</v>
      </c>
      <c r="B42432" s="1" t="str">
        <f>"31038"</f>
        <v>31038</v>
      </c>
      <c r="C42432" s="2">
        <v>1.51565246781782E-6</v>
      </c>
      <c r="D42432" s="2">
        <v>0</v>
      </c>
      <c r="E42432" s="2">
        <v>0</v>
      </c>
      <c r="F42432" s="2">
        <v>1.3815444996470099E-6</v>
      </c>
    </row>
    <row r="42433" spans="1:6" x14ac:dyDescent="0.25">
      <c r="A42433" s="1" t="str">
        <f t="shared" si="1466"/>
        <v>99999</v>
      </c>
      <c r="B42433" s="1" t="str">
        <f>"41160"</f>
        <v>41160</v>
      </c>
      <c r="C42433" s="2">
        <v>2.7065222639604001E-6</v>
      </c>
      <c r="D42433" s="2">
        <v>0</v>
      </c>
      <c r="E42433" s="2">
        <v>4.3010567696482999E-6</v>
      </c>
      <c r="F42433" s="2">
        <v>2.5657254993444499E-6</v>
      </c>
    </row>
    <row r="42434" spans="1:6" x14ac:dyDescent="0.25">
      <c r="A42434" s="1" t="str">
        <f t="shared" si="1466"/>
        <v>99999</v>
      </c>
      <c r="B42434" s="1" t="str">
        <f>"59089"</f>
        <v>59089</v>
      </c>
      <c r="C42434" s="2">
        <v>6.2791316523881298E-6</v>
      </c>
      <c r="D42434" s="2">
        <v>0</v>
      </c>
      <c r="E42434" s="2">
        <v>4.3010567696482999E-6</v>
      </c>
      <c r="F42434" s="2">
        <v>5.8222232485124198E-6</v>
      </c>
    </row>
    <row r="42435" spans="1:6" x14ac:dyDescent="0.25">
      <c r="A42435" s="1" t="str">
        <f t="shared" si="1466"/>
        <v>99999</v>
      </c>
      <c r="B42435" s="1" t="str">
        <f>"68452"</f>
        <v>68452</v>
      </c>
      <c r="C42435" s="2">
        <v>5.3047836373623898E-6</v>
      </c>
      <c r="D42435" s="2">
        <v>3.01141779055288E-6</v>
      </c>
      <c r="E42435" s="2">
        <v>8.6021135392965999E-6</v>
      </c>
      <c r="F42435" s="2">
        <v>5.2301327486637002E-6</v>
      </c>
    </row>
    <row r="42436" spans="1:6" x14ac:dyDescent="0.25">
      <c r="A42436" s="1" t="str">
        <f t="shared" si="1466"/>
        <v>99999</v>
      </c>
      <c r="B42436" s="1" t="str">
        <f>"72842"</f>
        <v>72842</v>
      </c>
      <c r="C42436" s="2">
        <v>1.4073915772594101E-6</v>
      </c>
      <c r="D42436" s="2">
        <v>0</v>
      </c>
      <c r="E42436" s="2">
        <v>0</v>
      </c>
      <c r="F42436" s="2">
        <v>1.2828627496722201E-6</v>
      </c>
    </row>
    <row r="42437" spans="1:6" x14ac:dyDescent="0.25">
      <c r="A42437" s="1" t="str">
        <f t="shared" si="1466"/>
        <v>99999</v>
      </c>
      <c r="B42437" s="1" t="str">
        <f>"81128"</f>
        <v>81128</v>
      </c>
      <c r="C42437" s="2">
        <v>0</v>
      </c>
      <c r="D42437" s="2">
        <v>0</v>
      </c>
      <c r="E42437" s="2">
        <v>8.6021135392965999E-6</v>
      </c>
      <c r="F42437" s="2">
        <v>1.9736349994957301E-7</v>
      </c>
    </row>
    <row r="42438" spans="1:6" x14ac:dyDescent="0.25">
      <c r="A42438" s="1" t="str">
        <f t="shared" ref="A42438:A42501" si="1467">"99999"</f>
        <v>99999</v>
      </c>
      <c r="B42438" s="1" t="str">
        <f>"26209"</f>
        <v>26209</v>
      </c>
      <c r="C42438" s="2">
        <v>0</v>
      </c>
      <c r="D42438" s="2">
        <v>4.5171266858293203E-6</v>
      </c>
      <c r="E42438" s="2">
        <v>0</v>
      </c>
      <c r="F42438" s="2">
        <v>2.9604524992435999E-7</v>
      </c>
    </row>
    <row r="42439" spans="1:6" x14ac:dyDescent="0.25">
      <c r="A42439" s="1" t="str">
        <f t="shared" si="1467"/>
        <v>99999</v>
      </c>
      <c r="B42439" s="1" t="str">
        <f>"28792"</f>
        <v>28792</v>
      </c>
      <c r="C42439" s="2">
        <v>1.62391335837624E-6</v>
      </c>
      <c r="D42439" s="2">
        <v>0</v>
      </c>
      <c r="E42439" s="2">
        <v>0</v>
      </c>
      <c r="F42439" s="2">
        <v>1.4802262496218E-6</v>
      </c>
    </row>
    <row r="42440" spans="1:6" x14ac:dyDescent="0.25">
      <c r="A42440" s="1" t="str">
        <f t="shared" si="1467"/>
        <v>99999</v>
      </c>
      <c r="B42440" s="1" t="str">
        <f>"29493"</f>
        <v>29493</v>
      </c>
      <c r="C42440" s="2">
        <v>2.59826137340198E-6</v>
      </c>
      <c r="D42440" s="2">
        <v>4.5171266858293203E-6</v>
      </c>
      <c r="E42440" s="2">
        <v>0</v>
      </c>
      <c r="F42440" s="2">
        <v>2.6644072493192401E-6</v>
      </c>
    </row>
    <row r="42441" spans="1:6" x14ac:dyDescent="0.25">
      <c r="A42441" s="1" t="str">
        <f t="shared" si="1467"/>
        <v>99999</v>
      </c>
      <c r="B42441" s="1" t="str">
        <f>"52322"</f>
        <v>52322</v>
      </c>
      <c r="C42441" s="2">
        <v>1.1908697961425701E-6</v>
      </c>
      <c r="D42441" s="2">
        <v>0</v>
      </c>
      <c r="E42441" s="2">
        <v>0</v>
      </c>
      <c r="F42441" s="2">
        <v>1.0854992497226499E-6</v>
      </c>
    </row>
    <row r="42442" spans="1:6" x14ac:dyDescent="0.25">
      <c r="A42442" s="1" t="str">
        <f t="shared" si="1467"/>
        <v>99999</v>
      </c>
      <c r="B42442" s="1" t="str">
        <f>"72392"</f>
        <v>72392</v>
      </c>
      <c r="C42442" s="2">
        <v>2.59826137340198E-6</v>
      </c>
      <c r="D42442" s="2">
        <v>0</v>
      </c>
      <c r="E42442" s="2">
        <v>0</v>
      </c>
      <c r="F42442" s="2">
        <v>2.3683619993948799E-6</v>
      </c>
    </row>
    <row r="42443" spans="1:6" x14ac:dyDescent="0.25">
      <c r="A42443" s="1" t="str">
        <f t="shared" si="1467"/>
        <v>99999</v>
      </c>
      <c r="B42443" s="1" t="str">
        <f>"78676"</f>
        <v>78676</v>
      </c>
      <c r="C42443" s="2">
        <v>3.7891311695445602E-6</v>
      </c>
      <c r="D42443" s="2">
        <v>0</v>
      </c>
      <c r="E42443" s="2">
        <v>0</v>
      </c>
      <c r="F42443" s="2">
        <v>3.4538612491175301E-6</v>
      </c>
    </row>
    <row r="42444" spans="1:6" x14ac:dyDescent="0.25">
      <c r="A42444" s="1" t="str">
        <f t="shared" si="1467"/>
        <v>99999</v>
      </c>
      <c r="B42444" s="1" t="str">
        <f>"97722"</f>
        <v>97722</v>
      </c>
      <c r="C42444" s="2">
        <v>5.0882618562455504E-6</v>
      </c>
      <c r="D42444" s="2">
        <v>9.0342533716586405E-6</v>
      </c>
      <c r="E42444" s="2">
        <v>4.3010567696482999E-6</v>
      </c>
      <c r="F42444" s="2">
        <v>5.3288144986384803E-6</v>
      </c>
    </row>
    <row r="42445" spans="1:6" x14ac:dyDescent="0.25">
      <c r="A42445" s="1" t="str">
        <f t="shared" si="1467"/>
        <v>99999</v>
      </c>
      <c r="B42445" s="1" t="str">
        <f>"25986"</f>
        <v>25986</v>
      </c>
      <c r="C42445" s="2">
        <v>0</v>
      </c>
      <c r="D42445" s="2">
        <v>1.50570889527644E-6</v>
      </c>
      <c r="E42445" s="2">
        <v>0</v>
      </c>
      <c r="F42445" s="2">
        <v>9.8681749974786797E-8</v>
      </c>
    </row>
    <row r="42446" spans="1:6" x14ac:dyDescent="0.25">
      <c r="A42446" s="1" t="str">
        <f t="shared" si="1467"/>
        <v>99999</v>
      </c>
      <c r="B42446" s="1" t="str">
        <f>"37332"</f>
        <v>37332</v>
      </c>
      <c r="C42446" s="2">
        <v>3.6808702789861401E-6</v>
      </c>
      <c r="D42446" s="2">
        <v>0</v>
      </c>
      <c r="E42446" s="2">
        <v>0</v>
      </c>
      <c r="F42446" s="2">
        <v>3.35517949914275E-6</v>
      </c>
    </row>
    <row r="42447" spans="1:6" x14ac:dyDescent="0.25">
      <c r="A42447" s="1" t="str">
        <f t="shared" si="1467"/>
        <v>99999</v>
      </c>
      <c r="B42447" s="1" t="str">
        <f>"42338"</f>
        <v>42338</v>
      </c>
      <c r="C42447" s="2">
        <v>4.4386965128950601E-6</v>
      </c>
      <c r="D42447" s="2">
        <v>3.01141779055288E-6</v>
      </c>
      <c r="E42447" s="2">
        <v>8.6021135392965999E-6</v>
      </c>
      <c r="F42447" s="2">
        <v>4.4406787488654001E-6</v>
      </c>
    </row>
    <row r="42448" spans="1:6" x14ac:dyDescent="0.25">
      <c r="A42448" s="1" t="str">
        <f t="shared" si="1467"/>
        <v>99999</v>
      </c>
      <c r="B42448" s="1" t="str">
        <f>"45789"</f>
        <v>45789</v>
      </c>
      <c r="C42448" s="2">
        <v>1.84043513949307E-6</v>
      </c>
      <c r="D42448" s="2">
        <v>0</v>
      </c>
      <c r="E42448" s="2">
        <v>0</v>
      </c>
      <c r="F42448" s="2">
        <v>1.6775897495713699E-6</v>
      </c>
    </row>
    <row r="42449" spans="1:6" x14ac:dyDescent="0.25">
      <c r="A42449" s="1" t="str">
        <f t="shared" si="1467"/>
        <v>99999</v>
      </c>
      <c r="B42449" s="1" t="str">
        <f>"59332"</f>
        <v>59332</v>
      </c>
      <c r="C42449" s="2">
        <v>4.1139138412198104E-6</v>
      </c>
      <c r="D42449" s="2">
        <v>0</v>
      </c>
      <c r="E42449" s="2">
        <v>4.3010567696482999E-6</v>
      </c>
      <c r="F42449" s="2">
        <v>3.8485882490166797E-6</v>
      </c>
    </row>
    <row r="42450" spans="1:6" x14ac:dyDescent="0.25">
      <c r="A42450" s="1" t="str">
        <f t="shared" si="1467"/>
        <v>99999</v>
      </c>
      <c r="B42450" s="1" t="str">
        <f>"64487"</f>
        <v>64487</v>
      </c>
      <c r="C42450" s="2">
        <v>1.62391335837624E-6</v>
      </c>
      <c r="D42450" s="2">
        <v>1.50570889527644E-6</v>
      </c>
      <c r="E42450" s="2">
        <v>0</v>
      </c>
      <c r="F42450" s="2">
        <v>1.5789079995965801E-6</v>
      </c>
    </row>
    <row r="42451" spans="1:6" x14ac:dyDescent="0.25">
      <c r="A42451" s="1" t="str">
        <f t="shared" si="1467"/>
        <v>99999</v>
      </c>
      <c r="B42451" s="1" t="str">
        <f>"77412"</f>
        <v>77412</v>
      </c>
      <c r="C42451" s="2">
        <v>1.08260890558416E-7</v>
      </c>
      <c r="D42451" s="2">
        <v>1.50570889527644E-6</v>
      </c>
      <c r="E42451" s="2">
        <v>0</v>
      </c>
      <c r="F42451" s="2">
        <v>1.9736349994957301E-7</v>
      </c>
    </row>
    <row r="42452" spans="1:6" x14ac:dyDescent="0.25">
      <c r="A42452" s="1" t="str">
        <f t="shared" si="1467"/>
        <v>99999</v>
      </c>
      <c r="B42452" s="1" t="str">
        <f>"24066"</f>
        <v>24066</v>
      </c>
      <c r="C42452" s="2">
        <v>3.2478267167524799E-6</v>
      </c>
      <c r="D42452" s="2">
        <v>0</v>
      </c>
      <c r="E42452" s="2">
        <v>0</v>
      </c>
      <c r="F42452" s="2">
        <v>2.9604524992435999E-6</v>
      </c>
    </row>
    <row r="42453" spans="1:6" x14ac:dyDescent="0.25">
      <c r="A42453" s="1" t="str">
        <f t="shared" si="1467"/>
        <v>99999</v>
      </c>
      <c r="B42453" s="1" t="str">
        <f>"41848"</f>
        <v>41848</v>
      </c>
      <c r="C42453" s="2">
        <v>1.1908697961425701E-6</v>
      </c>
      <c r="D42453" s="2">
        <v>0</v>
      </c>
      <c r="E42453" s="2">
        <v>4.3010567696482999E-6</v>
      </c>
      <c r="F42453" s="2">
        <v>1.18418099969744E-6</v>
      </c>
    </row>
    <row r="42454" spans="1:6" x14ac:dyDescent="0.25">
      <c r="A42454" s="1" t="str">
        <f t="shared" si="1467"/>
        <v>99999</v>
      </c>
      <c r="B42454" s="1" t="str">
        <f>"46140"</f>
        <v>46140</v>
      </c>
      <c r="C42454" s="2">
        <v>4.5469574034534697E-6</v>
      </c>
      <c r="D42454" s="2">
        <v>0</v>
      </c>
      <c r="E42454" s="2">
        <v>0</v>
      </c>
      <c r="F42454" s="2">
        <v>4.1446334989410403E-6</v>
      </c>
    </row>
    <row r="42455" spans="1:6" x14ac:dyDescent="0.25">
      <c r="A42455" s="1" t="str">
        <f t="shared" si="1467"/>
        <v>99999</v>
      </c>
      <c r="B42455" s="1" t="str">
        <f>"50479"</f>
        <v>50479</v>
      </c>
      <c r="C42455" s="2">
        <v>3.2478267167524799E-6</v>
      </c>
      <c r="D42455" s="2">
        <v>0</v>
      </c>
      <c r="E42455" s="2">
        <v>0</v>
      </c>
      <c r="F42455" s="2">
        <v>2.9604524992435999E-6</v>
      </c>
    </row>
    <row r="42456" spans="1:6" x14ac:dyDescent="0.25">
      <c r="A42456" s="1" t="str">
        <f t="shared" si="1467"/>
        <v>99999</v>
      </c>
      <c r="B42456" s="1" t="str">
        <f>"51551"</f>
        <v>51551</v>
      </c>
      <c r="C42456" s="2">
        <v>1.08260890558416E-7</v>
      </c>
      <c r="D42456" s="2">
        <v>0</v>
      </c>
      <c r="E42456" s="2">
        <v>0</v>
      </c>
      <c r="F42456" s="2">
        <v>9.8681749974786797E-8</v>
      </c>
    </row>
    <row r="42457" spans="1:6" x14ac:dyDescent="0.25">
      <c r="A42457" s="1" t="str">
        <f t="shared" si="1467"/>
        <v>99999</v>
      </c>
      <c r="B42457" s="1" t="str">
        <f>"14037"</f>
        <v>14037</v>
      </c>
      <c r="C42457" s="2">
        <v>4.6660443830677299E-5</v>
      </c>
      <c r="D42457" s="2">
        <v>2.25856334291466E-5</v>
      </c>
      <c r="E42457" s="2">
        <v>2.15052838482415E-5</v>
      </c>
      <c r="F42457" s="2">
        <v>4.4505469238628803E-5</v>
      </c>
    </row>
    <row r="42458" spans="1:6" x14ac:dyDescent="0.25">
      <c r="A42458" s="1" t="str">
        <f t="shared" si="1467"/>
        <v>99999</v>
      </c>
      <c r="B42458" s="1" t="str">
        <f>"26638"</f>
        <v>26638</v>
      </c>
      <c r="C42458" s="2">
        <v>9.0939148069069495E-6</v>
      </c>
      <c r="D42458" s="2">
        <v>4.5171266858293203E-6</v>
      </c>
      <c r="E42458" s="2">
        <v>4.3010567696482999E-6</v>
      </c>
      <c r="F42458" s="2">
        <v>8.6839939977812298E-6</v>
      </c>
    </row>
    <row r="42459" spans="1:6" x14ac:dyDescent="0.25">
      <c r="A42459" s="1" t="str">
        <f t="shared" si="1467"/>
        <v>99999</v>
      </c>
      <c r="B42459" s="1" t="str">
        <f>"36455"</f>
        <v>36455</v>
      </c>
      <c r="C42459" s="2">
        <v>0</v>
      </c>
      <c r="D42459" s="2">
        <v>1.50570889527644E-6</v>
      </c>
      <c r="E42459" s="2">
        <v>0</v>
      </c>
      <c r="F42459" s="2">
        <v>9.8681749974786797E-8</v>
      </c>
    </row>
    <row r="42460" spans="1:6" x14ac:dyDescent="0.25">
      <c r="A42460" s="1" t="str">
        <f t="shared" si="1467"/>
        <v>99999</v>
      </c>
      <c r="B42460" s="1" t="str">
        <f>"42166"</f>
        <v>42166</v>
      </c>
      <c r="C42460" s="2">
        <v>1.1259132618075199E-5</v>
      </c>
      <c r="D42460" s="2">
        <v>4.5171266858293203E-6</v>
      </c>
      <c r="E42460" s="2">
        <v>0</v>
      </c>
      <c r="F42460" s="2">
        <v>1.0558947247302099E-5</v>
      </c>
    </row>
    <row r="42461" spans="1:6" x14ac:dyDescent="0.25">
      <c r="A42461" s="1" t="str">
        <f t="shared" si="1467"/>
        <v>99999</v>
      </c>
      <c r="B42461" s="1" t="str">
        <f>"43567"</f>
        <v>43567</v>
      </c>
      <c r="C42461" s="2">
        <v>2.49000048284357E-6</v>
      </c>
      <c r="D42461" s="2">
        <v>0</v>
      </c>
      <c r="E42461" s="2">
        <v>0</v>
      </c>
      <c r="F42461" s="2">
        <v>2.2696802494200901E-6</v>
      </c>
    </row>
    <row r="42462" spans="1:6" x14ac:dyDescent="0.25">
      <c r="A42462" s="1" t="str">
        <f t="shared" si="1467"/>
        <v>99999</v>
      </c>
      <c r="B42462" s="1" t="str">
        <f>"41232"</f>
        <v>41232</v>
      </c>
      <c r="C42462" s="2">
        <v>2.38173959228515E-5</v>
      </c>
      <c r="D42462" s="2">
        <v>1.50570889527644E-6</v>
      </c>
      <c r="E42462" s="2">
        <v>4.3010567696482999E-5</v>
      </c>
      <c r="F42462" s="2">
        <v>2.2795484244175701E-5</v>
      </c>
    </row>
    <row r="42463" spans="1:6" x14ac:dyDescent="0.25">
      <c r="A42463" s="1" t="str">
        <f t="shared" si="1467"/>
        <v>99999</v>
      </c>
      <c r="B42463" s="1" t="str">
        <f>"46161"</f>
        <v>46161</v>
      </c>
      <c r="C42463" s="2">
        <v>1.9486960300514902E-6</v>
      </c>
      <c r="D42463" s="2">
        <v>1.50570889527644E-6</v>
      </c>
      <c r="E42463" s="2">
        <v>0</v>
      </c>
      <c r="F42463" s="2">
        <v>1.8749532495209401E-6</v>
      </c>
    </row>
    <row r="42464" spans="1:6" x14ac:dyDescent="0.25">
      <c r="A42464" s="1" t="str">
        <f t="shared" si="1467"/>
        <v>99999</v>
      </c>
      <c r="B42464" s="1" t="str">
        <f>"47514"</f>
        <v>47514</v>
      </c>
      <c r="C42464" s="2">
        <v>2.0028264753306899E-5</v>
      </c>
      <c r="D42464" s="2">
        <v>4.5171266858293203E-6</v>
      </c>
      <c r="E42464" s="2">
        <v>1.2903170308944901E-4</v>
      </c>
      <c r="F42464" s="2">
        <v>2.1512621494503498E-5</v>
      </c>
    </row>
    <row r="42465" spans="1:6" x14ac:dyDescent="0.25">
      <c r="A42465" s="1" t="str">
        <f t="shared" si="1467"/>
        <v>99999</v>
      </c>
      <c r="B42465" s="1" t="str">
        <f>"50620"</f>
        <v>50620</v>
      </c>
      <c r="C42465" s="2">
        <v>3.1395658261940598E-6</v>
      </c>
      <c r="D42465" s="2">
        <v>9.0342533716586405E-6</v>
      </c>
      <c r="E42465" s="2">
        <v>0</v>
      </c>
      <c r="F42465" s="2">
        <v>3.4538612491175301E-6</v>
      </c>
    </row>
    <row r="42466" spans="1:6" x14ac:dyDescent="0.25">
      <c r="A42466" s="1" t="str">
        <f t="shared" si="1467"/>
        <v>99999</v>
      </c>
      <c r="B42466" s="1" t="str">
        <f>"49929"</f>
        <v>49929</v>
      </c>
      <c r="C42466" s="2">
        <v>7.6865232296475401E-6</v>
      </c>
      <c r="D42466" s="2">
        <v>0</v>
      </c>
      <c r="E42466" s="2">
        <v>4.3010567696482999E-6</v>
      </c>
      <c r="F42466" s="2">
        <v>7.10508599818465E-6</v>
      </c>
    </row>
    <row r="42467" spans="1:6" x14ac:dyDescent="0.25">
      <c r="A42467" s="1" t="str">
        <f t="shared" si="1467"/>
        <v>99999</v>
      </c>
      <c r="B42467" s="1" t="str">
        <f>"52356"</f>
        <v>52356</v>
      </c>
      <c r="C42467" s="2">
        <v>1.0176523712491101E-5</v>
      </c>
      <c r="D42467" s="2">
        <v>1.0539962266935E-5</v>
      </c>
      <c r="E42467" s="2">
        <v>0</v>
      </c>
      <c r="F42467" s="2">
        <v>9.9668567474534592E-6</v>
      </c>
    </row>
    <row r="42468" spans="1:6" x14ac:dyDescent="0.25">
      <c r="A42468" s="1" t="str">
        <f t="shared" si="1467"/>
        <v>99999</v>
      </c>
      <c r="B42468" s="1" t="str">
        <f>"57335"</f>
        <v>57335</v>
      </c>
      <c r="C42468" s="2">
        <v>1.5806090021528701E-5</v>
      </c>
      <c r="D42468" s="2">
        <v>2.7102760114975901E-5</v>
      </c>
      <c r="E42468" s="2">
        <v>4.3010567696482999E-6</v>
      </c>
      <c r="F42468" s="2">
        <v>1.6282488745839801E-5</v>
      </c>
    </row>
    <row r="42469" spans="1:6" x14ac:dyDescent="0.25">
      <c r="A42469" s="1" t="str">
        <f t="shared" si="1467"/>
        <v>99999</v>
      </c>
      <c r="B42469" s="1" t="str">
        <f>"57043"</f>
        <v>57043</v>
      </c>
      <c r="C42469" s="2">
        <v>1.0826089055841599E-6</v>
      </c>
      <c r="D42469" s="2">
        <v>0</v>
      </c>
      <c r="E42469" s="2">
        <v>0</v>
      </c>
      <c r="F42469" s="2">
        <v>9.8681749974786791E-7</v>
      </c>
    </row>
    <row r="42470" spans="1:6" x14ac:dyDescent="0.25">
      <c r="A42470" s="1" t="str">
        <f t="shared" si="1467"/>
        <v>99999</v>
      </c>
      <c r="B42470" s="1" t="str">
        <f>"59012"</f>
        <v>59012</v>
      </c>
      <c r="C42470" s="2">
        <v>5.7378271995960499E-6</v>
      </c>
      <c r="D42470" s="2">
        <v>1.50570889527644E-6</v>
      </c>
      <c r="E42470" s="2">
        <v>4.3010567696482999E-6</v>
      </c>
      <c r="F42470" s="2">
        <v>5.4274962486132697E-6</v>
      </c>
    </row>
    <row r="42471" spans="1:6" x14ac:dyDescent="0.25">
      <c r="A42471" s="1" t="str">
        <f t="shared" si="1467"/>
        <v>99999</v>
      </c>
      <c r="B42471" s="1" t="str">
        <f>"61754"</f>
        <v>61754</v>
      </c>
      <c r="C42471" s="2">
        <v>2.3817395922851499E-6</v>
      </c>
      <c r="D42471" s="2">
        <v>0</v>
      </c>
      <c r="E42471" s="2">
        <v>0</v>
      </c>
      <c r="F42471" s="2">
        <v>2.1709984994452998E-6</v>
      </c>
    </row>
    <row r="42472" spans="1:6" x14ac:dyDescent="0.25">
      <c r="A42472" s="1" t="str">
        <f t="shared" si="1467"/>
        <v>99999</v>
      </c>
      <c r="B42472" s="1" t="str">
        <f>"66412"</f>
        <v>66412</v>
      </c>
      <c r="C42472" s="2">
        <v>1.5806090021528701E-5</v>
      </c>
      <c r="D42472" s="2">
        <v>1.0539962266935E-5</v>
      </c>
      <c r="E42472" s="2">
        <v>0</v>
      </c>
      <c r="F42472" s="2">
        <v>1.5098307746142301E-5</v>
      </c>
    </row>
    <row r="42473" spans="1:6" x14ac:dyDescent="0.25">
      <c r="A42473" s="1" t="str">
        <f t="shared" si="1467"/>
        <v>99999</v>
      </c>
      <c r="B42473" s="1" t="str">
        <f>"68628"</f>
        <v>68628</v>
      </c>
      <c r="C42473" s="2">
        <v>5.8460880901544696E-6</v>
      </c>
      <c r="D42473" s="2">
        <v>0</v>
      </c>
      <c r="E42473" s="2">
        <v>0</v>
      </c>
      <c r="F42473" s="2">
        <v>5.3288144986384803E-6</v>
      </c>
    </row>
    <row r="42474" spans="1:6" x14ac:dyDescent="0.25">
      <c r="A42474" s="1" t="str">
        <f t="shared" si="1467"/>
        <v>99999</v>
      </c>
      <c r="B42474" s="1" t="str">
        <f>"71972"</f>
        <v>71972</v>
      </c>
      <c r="C42474" s="2">
        <v>1.3640872210360401E-5</v>
      </c>
      <c r="D42474" s="2">
        <v>1.50570889527644E-6</v>
      </c>
      <c r="E42474" s="2">
        <v>4.3010567696482999E-6</v>
      </c>
      <c r="F42474" s="2">
        <v>1.26312639967727E-5</v>
      </c>
    </row>
    <row r="42475" spans="1:6" x14ac:dyDescent="0.25">
      <c r="A42475" s="1" t="str">
        <f t="shared" si="1467"/>
        <v>99999</v>
      </c>
      <c r="B42475" s="1" t="str">
        <f>"72470"</f>
        <v>72470</v>
      </c>
      <c r="C42475" s="2">
        <v>1.43986984442693E-5</v>
      </c>
      <c r="D42475" s="2">
        <v>4.5171266858293203E-6</v>
      </c>
      <c r="E42475" s="2">
        <v>1.29031703089449E-5</v>
      </c>
      <c r="F42475" s="2">
        <v>1.37167632464953E-5</v>
      </c>
    </row>
    <row r="42476" spans="1:6" x14ac:dyDescent="0.25">
      <c r="A42476" s="1" t="str">
        <f t="shared" si="1467"/>
        <v>99999</v>
      </c>
      <c r="B42476" s="1" t="str">
        <f>"72672"</f>
        <v>72672</v>
      </c>
      <c r="C42476" s="2">
        <v>1.7321742489346499E-6</v>
      </c>
      <c r="D42476" s="2">
        <v>1.50570889527644E-6</v>
      </c>
      <c r="E42476" s="2">
        <v>4.3010567696482999E-6</v>
      </c>
      <c r="F42476" s="2">
        <v>1.77627149954616E-6</v>
      </c>
    </row>
    <row r="42477" spans="1:6" x14ac:dyDescent="0.25">
      <c r="A42477" s="1" t="str">
        <f t="shared" si="1467"/>
        <v>99999</v>
      </c>
      <c r="B42477" s="1" t="str">
        <f>"79527"</f>
        <v>79527</v>
      </c>
      <c r="C42477" s="2">
        <v>4.1139138412198104E-6</v>
      </c>
      <c r="D42477" s="2">
        <v>3.01141779055288E-6</v>
      </c>
      <c r="E42477" s="2">
        <v>0</v>
      </c>
      <c r="F42477" s="2">
        <v>3.94726999899147E-6</v>
      </c>
    </row>
    <row r="42478" spans="1:6" x14ac:dyDescent="0.25">
      <c r="A42478" s="1" t="str">
        <f t="shared" si="1467"/>
        <v>99999</v>
      </c>
      <c r="B42478" s="1" t="str">
        <f>"79560"</f>
        <v>79560</v>
      </c>
      <c r="C42478" s="2">
        <v>4.3304356223366396E-6</v>
      </c>
      <c r="D42478" s="2">
        <v>0</v>
      </c>
      <c r="E42478" s="2">
        <v>4.3010567696482999E-6</v>
      </c>
      <c r="F42478" s="2">
        <v>4.0459517489662501E-6</v>
      </c>
    </row>
    <row r="42479" spans="1:6" x14ac:dyDescent="0.25">
      <c r="A42479" s="1" t="str">
        <f t="shared" si="1467"/>
        <v>99999</v>
      </c>
      <c r="B42479" s="1" t="str">
        <f>"84634"</f>
        <v>84634</v>
      </c>
      <c r="C42479" s="2">
        <v>6.49565343350497E-6</v>
      </c>
      <c r="D42479" s="2">
        <v>0</v>
      </c>
      <c r="E42479" s="2">
        <v>4.3010567696482999E-6</v>
      </c>
      <c r="F42479" s="2">
        <v>6.0195867484619901E-6</v>
      </c>
    </row>
    <row r="42480" spans="1:6" x14ac:dyDescent="0.25">
      <c r="A42480" s="1" t="str">
        <f t="shared" si="1467"/>
        <v>99999</v>
      </c>
      <c r="B42480" s="1" t="str">
        <f>"84649"</f>
        <v>84649</v>
      </c>
      <c r="C42480" s="2">
        <v>3.0313049356356498E-6</v>
      </c>
      <c r="D42480" s="2">
        <v>0</v>
      </c>
      <c r="E42480" s="2">
        <v>4.3010567696482999E-6</v>
      </c>
      <c r="F42480" s="2">
        <v>2.8617707492688101E-6</v>
      </c>
    </row>
    <row r="42481" spans="1:6" x14ac:dyDescent="0.25">
      <c r="A42481" s="1" t="str">
        <f t="shared" si="1467"/>
        <v>99999</v>
      </c>
      <c r="B42481" s="1" t="str">
        <f>"97904"</f>
        <v>97904</v>
      </c>
      <c r="C42481" s="2">
        <v>1.5806090021528701E-5</v>
      </c>
      <c r="D42481" s="2">
        <v>1.50570889527644E-6</v>
      </c>
      <c r="E42481" s="2">
        <v>4.3010567696482999E-6</v>
      </c>
      <c r="F42481" s="2">
        <v>1.46048989962684E-5</v>
      </c>
    </row>
    <row r="42482" spans="1:6" x14ac:dyDescent="0.25">
      <c r="A42482" s="1" t="str">
        <f t="shared" si="1467"/>
        <v>99999</v>
      </c>
      <c r="B42482" s="1" t="str">
        <f>"05154"</f>
        <v>05154</v>
      </c>
      <c r="C42482" s="2">
        <v>6.6039143240633804E-6</v>
      </c>
      <c r="D42482" s="2">
        <v>3.01141779055288E-6</v>
      </c>
      <c r="E42482" s="2">
        <v>0</v>
      </c>
      <c r="F42482" s="2">
        <v>6.2169502484115596E-6</v>
      </c>
    </row>
    <row r="42483" spans="1:6" x14ac:dyDescent="0.25">
      <c r="A42483" s="1" t="str">
        <f t="shared" si="1467"/>
        <v>99999</v>
      </c>
      <c r="B42483" s="1" t="str">
        <f>"23430"</f>
        <v>23430</v>
      </c>
      <c r="C42483" s="2">
        <v>8.9856539163485408E-6</v>
      </c>
      <c r="D42483" s="2">
        <v>4.5171266858293203E-6</v>
      </c>
      <c r="E42483" s="2">
        <v>0</v>
      </c>
      <c r="F42483" s="2">
        <v>8.4866304978316595E-6</v>
      </c>
    </row>
    <row r="42484" spans="1:6" x14ac:dyDescent="0.25">
      <c r="A42484" s="1" t="str">
        <f t="shared" si="1467"/>
        <v>99999</v>
      </c>
      <c r="B42484" s="1" t="str">
        <f>"23409"</f>
        <v>23409</v>
      </c>
      <c r="C42484" s="2">
        <v>8.7691321352316998E-6</v>
      </c>
      <c r="D42484" s="2">
        <v>6.0228355811057601E-6</v>
      </c>
      <c r="E42484" s="2">
        <v>0</v>
      </c>
      <c r="F42484" s="2">
        <v>8.3879487478568692E-6</v>
      </c>
    </row>
    <row r="42485" spans="1:6" x14ac:dyDescent="0.25">
      <c r="A42485" s="1" t="str">
        <f t="shared" si="1467"/>
        <v>99999</v>
      </c>
      <c r="B42485" s="1" t="str">
        <f>"30450"</f>
        <v>30450</v>
      </c>
      <c r="C42485" s="2">
        <v>7.5782623390891299E-7</v>
      </c>
      <c r="D42485" s="2">
        <v>0</v>
      </c>
      <c r="E42485" s="2">
        <v>0</v>
      </c>
      <c r="F42485" s="2">
        <v>6.9077224982350697E-7</v>
      </c>
    </row>
    <row r="42486" spans="1:6" x14ac:dyDescent="0.25">
      <c r="A42486" s="1" t="str">
        <f t="shared" si="1467"/>
        <v>99999</v>
      </c>
      <c r="B42486" s="1" t="str">
        <f>"36453"</f>
        <v>36453</v>
      </c>
      <c r="C42486" s="2">
        <v>2.49000048284357E-6</v>
      </c>
      <c r="D42486" s="2">
        <v>1.50570889527644E-6</v>
      </c>
      <c r="E42486" s="2">
        <v>0</v>
      </c>
      <c r="F42486" s="2">
        <v>2.3683619993948799E-6</v>
      </c>
    </row>
    <row r="42487" spans="1:6" x14ac:dyDescent="0.25">
      <c r="A42487" s="1" t="str">
        <f t="shared" si="1467"/>
        <v>99999</v>
      </c>
      <c r="B42487" s="1" t="str">
        <f>"38589"</f>
        <v>38589</v>
      </c>
      <c r="C42487" s="2">
        <v>1.5373046459294999E-5</v>
      </c>
      <c r="D42487" s="2">
        <v>7.5285444763821999E-6</v>
      </c>
      <c r="E42487" s="2">
        <v>0</v>
      </c>
      <c r="F42487" s="2">
        <v>1.45062172462936E-5</v>
      </c>
    </row>
    <row r="42488" spans="1:6" x14ac:dyDescent="0.25">
      <c r="A42488" s="1" t="str">
        <f t="shared" si="1467"/>
        <v>99999</v>
      </c>
      <c r="B42488" s="1" t="str">
        <f>"43522"</f>
        <v>43522</v>
      </c>
      <c r="C42488" s="2">
        <v>3.0313049356356498E-6</v>
      </c>
      <c r="D42488" s="2">
        <v>0</v>
      </c>
      <c r="E42488" s="2">
        <v>0</v>
      </c>
      <c r="F42488" s="2">
        <v>2.76308899929403E-6</v>
      </c>
    </row>
    <row r="42489" spans="1:6" x14ac:dyDescent="0.25">
      <c r="A42489" s="1" t="str">
        <f t="shared" si="1467"/>
        <v>99999</v>
      </c>
      <c r="B42489" s="1" t="str">
        <f>"43981"</f>
        <v>43981</v>
      </c>
      <c r="C42489" s="2">
        <v>3.46434849786931E-6</v>
      </c>
      <c r="D42489" s="2">
        <v>0</v>
      </c>
      <c r="E42489" s="2">
        <v>4.3010567696482999E-6</v>
      </c>
      <c r="F42489" s="2">
        <v>3.2564977491679601E-6</v>
      </c>
    </row>
    <row r="42490" spans="1:6" x14ac:dyDescent="0.25">
      <c r="A42490" s="1" t="str">
        <f t="shared" si="1467"/>
        <v>99999</v>
      </c>
      <c r="B42490" s="1" t="str">
        <f>"41052"</f>
        <v>41052</v>
      </c>
      <c r="C42490" s="2">
        <v>6.1708707618297202E-6</v>
      </c>
      <c r="D42490" s="2">
        <v>0</v>
      </c>
      <c r="E42490" s="2">
        <v>4.3010567696482999E-6</v>
      </c>
      <c r="F42490" s="2">
        <v>5.7235414985376303E-6</v>
      </c>
    </row>
    <row r="42491" spans="1:6" x14ac:dyDescent="0.25">
      <c r="A42491" s="1" t="str">
        <f t="shared" si="1467"/>
        <v>99999</v>
      </c>
      <c r="B42491" s="1" t="str">
        <f>"57319"</f>
        <v>57319</v>
      </c>
      <c r="C42491" s="2">
        <v>6.3873925429465503E-6</v>
      </c>
      <c r="D42491" s="2">
        <v>1.50570889527644E-6</v>
      </c>
      <c r="E42491" s="2">
        <v>0</v>
      </c>
      <c r="F42491" s="2">
        <v>5.9209049984871999E-6</v>
      </c>
    </row>
    <row r="42492" spans="1:6" x14ac:dyDescent="0.25">
      <c r="A42492" s="1" t="str">
        <f t="shared" si="1467"/>
        <v>99999</v>
      </c>
      <c r="B42492" s="1" t="str">
        <f>"56308"</f>
        <v>56308</v>
      </c>
      <c r="C42492" s="2">
        <v>3.5726093884277301E-6</v>
      </c>
      <c r="D42492" s="2">
        <v>0</v>
      </c>
      <c r="E42492" s="2">
        <v>0</v>
      </c>
      <c r="F42492" s="2">
        <v>3.2564977491679601E-6</v>
      </c>
    </row>
    <row r="42493" spans="1:6" x14ac:dyDescent="0.25">
      <c r="A42493" s="1" t="str">
        <f t="shared" si="1467"/>
        <v>99999</v>
      </c>
      <c r="B42493" s="1" t="str">
        <f>"59062"</f>
        <v>59062</v>
      </c>
      <c r="C42493" s="2">
        <v>5.5213054184792198E-6</v>
      </c>
      <c r="D42493" s="2">
        <v>0</v>
      </c>
      <c r="E42493" s="2">
        <v>4.3010567696482999E-6</v>
      </c>
      <c r="F42493" s="2">
        <v>5.1314509986889099E-6</v>
      </c>
    </row>
    <row r="42494" spans="1:6" x14ac:dyDescent="0.25">
      <c r="A42494" s="1" t="str">
        <f t="shared" si="1467"/>
        <v>99999</v>
      </c>
      <c r="B42494" s="1" t="str">
        <f>"60939"</f>
        <v>60939</v>
      </c>
      <c r="C42494" s="2">
        <v>1.51565246781782E-6</v>
      </c>
      <c r="D42494" s="2">
        <v>1.50570889527644E-6</v>
      </c>
      <c r="E42494" s="2">
        <v>0</v>
      </c>
      <c r="F42494" s="2">
        <v>1.4802262496218E-6</v>
      </c>
    </row>
    <row r="42495" spans="1:6" x14ac:dyDescent="0.25">
      <c r="A42495" s="1" t="str">
        <f t="shared" si="1467"/>
        <v>99999</v>
      </c>
      <c r="B42495" s="1" t="str">
        <f>"68455"</f>
        <v>68455</v>
      </c>
      <c r="C42495" s="2">
        <v>1.7321742489346499E-6</v>
      </c>
      <c r="D42495" s="2">
        <v>1.50570889527644E-6</v>
      </c>
      <c r="E42495" s="2">
        <v>0</v>
      </c>
      <c r="F42495" s="2">
        <v>1.6775897495713699E-6</v>
      </c>
    </row>
    <row r="42496" spans="1:6" x14ac:dyDescent="0.25">
      <c r="A42496" s="1" t="str">
        <f t="shared" si="1467"/>
        <v>99999</v>
      </c>
      <c r="B42496" s="1" t="str">
        <f>"68341"</f>
        <v>68341</v>
      </c>
      <c r="C42496" s="2">
        <v>4.1788703755548602E-5</v>
      </c>
      <c r="D42496" s="2">
        <v>7.5285444763821999E-6</v>
      </c>
      <c r="E42496" s="2">
        <v>1.72042270785932E-5</v>
      </c>
      <c r="F42496" s="2">
        <v>3.8979291240040697E-5</v>
      </c>
    </row>
    <row r="42497" spans="1:6" x14ac:dyDescent="0.25">
      <c r="A42497" s="1" t="str">
        <f t="shared" si="1467"/>
        <v>99999</v>
      </c>
      <c r="B42497" s="1" t="str">
        <f>"72038"</f>
        <v>72038</v>
      </c>
      <c r="C42497" s="2">
        <v>5.95434898071288E-6</v>
      </c>
      <c r="D42497" s="2">
        <v>0</v>
      </c>
      <c r="E42497" s="2">
        <v>4.3010567696482999E-6</v>
      </c>
      <c r="F42497" s="2">
        <v>5.52617799858806E-6</v>
      </c>
    </row>
    <row r="42498" spans="1:6" x14ac:dyDescent="0.25">
      <c r="A42498" s="1" t="str">
        <f t="shared" si="1467"/>
        <v>99999</v>
      </c>
      <c r="B42498" s="1" t="str">
        <f>"74437"</f>
        <v>74437</v>
      </c>
      <c r="C42498" s="2">
        <v>4.7634791845703099E-6</v>
      </c>
      <c r="D42498" s="2">
        <v>3.01141779055288E-6</v>
      </c>
      <c r="E42498" s="2">
        <v>0</v>
      </c>
      <c r="F42498" s="2">
        <v>4.5393604988401904E-6</v>
      </c>
    </row>
    <row r="42499" spans="1:6" x14ac:dyDescent="0.25">
      <c r="A42499" s="1" t="str">
        <f t="shared" si="1467"/>
        <v>99999</v>
      </c>
      <c r="B42499" s="1" t="str">
        <f>"74447"</f>
        <v>74447</v>
      </c>
      <c r="C42499" s="2">
        <v>2.1652178111683201E-7</v>
      </c>
      <c r="D42499" s="2">
        <v>0</v>
      </c>
      <c r="E42499" s="2">
        <v>0</v>
      </c>
      <c r="F42499" s="2">
        <v>1.9736349994957301E-7</v>
      </c>
    </row>
    <row r="42500" spans="1:6" x14ac:dyDescent="0.25">
      <c r="A42500" s="1" t="str">
        <f t="shared" si="1467"/>
        <v>99999</v>
      </c>
      <c r="B42500" s="1" t="str">
        <f>"75478"</f>
        <v>75478</v>
      </c>
      <c r="C42500" s="2">
        <v>4.3304356223366396E-6</v>
      </c>
      <c r="D42500" s="2">
        <v>0</v>
      </c>
      <c r="E42500" s="2">
        <v>0</v>
      </c>
      <c r="F42500" s="2">
        <v>3.94726999899147E-6</v>
      </c>
    </row>
    <row r="42501" spans="1:6" x14ac:dyDescent="0.25">
      <c r="A42501" s="1" t="str">
        <f t="shared" si="1467"/>
        <v>99999</v>
      </c>
      <c r="B42501" s="1" t="str">
        <f>"76578"</f>
        <v>76578</v>
      </c>
      <c r="C42501" s="2">
        <v>3.3560876073109E-6</v>
      </c>
      <c r="D42501" s="2">
        <v>0</v>
      </c>
      <c r="E42501" s="2">
        <v>0</v>
      </c>
      <c r="F42501" s="2">
        <v>3.0591342492183902E-6</v>
      </c>
    </row>
    <row r="42502" spans="1:6" x14ac:dyDescent="0.25">
      <c r="A42502" s="1" t="str">
        <f t="shared" ref="A42502:A42565" si="1468">"99999"</f>
        <v>99999</v>
      </c>
      <c r="B42502" s="1" t="str">
        <f>"84667"</f>
        <v>84667</v>
      </c>
      <c r="C42502" s="2">
        <v>1.5589568240411901E-5</v>
      </c>
      <c r="D42502" s="2">
        <v>4.5171266858293203E-6</v>
      </c>
      <c r="E42502" s="2">
        <v>0</v>
      </c>
      <c r="F42502" s="2">
        <v>1.45062172462936E-5</v>
      </c>
    </row>
    <row r="42503" spans="1:6" x14ac:dyDescent="0.25">
      <c r="A42503" s="1" t="str">
        <f t="shared" si="1468"/>
        <v>99999</v>
      </c>
      <c r="B42503" s="1" t="str">
        <f>"97840"</f>
        <v>97840</v>
      </c>
      <c r="C42503" s="2">
        <v>8.4443494635564601E-6</v>
      </c>
      <c r="D42503" s="2">
        <v>3.01141779055288E-6</v>
      </c>
      <c r="E42503" s="2">
        <v>4.3010567696482999E-6</v>
      </c>
      <c r="F42503" s="2">
        <v>7.9932217479577302E-6</v>
      </c>
    </row>
    <row r="42504" spans="1:6" x14ac:dyDescent="0.25">
      <c r="A42504" s="1" t="str">
        <f t="shared" si="1468"/>
        <v>99999</v>
      </c>
      <c r="B42504" s="1" t="str">
        <f>"97033"</f>
        <v>97033</v>
      </c>
      <c r="C42504" s="2">
        <v>5.3047836373623898E-6</v>
      </c>
      <c r="D42504" s="2">
        <v>0</v>
      </c>
      <c r="E42504" s="2">
        <v>4.3010567696482999E-6</v>
      </c>
      <c r="F42504" s="2">
        <v>4.9340874987393404E-6</v>
      </c>
    </row>
    <row r="42505" spans="1:6" x14ac:dyDescent="0.25">
      <c r="A42505" s="1" t="str">
        <f t="shared" si="1468"/>
        <v>99999</v>
      </c>
      <c r="B42505" s="1" t="str">
        <f>"03883"</f>
        <v>03883</v>
      </c>
      <c r="C42505" s="2">
        <v>7.5782623390891297E-6</v>
      </c>
      <c r="D42505" s="2">
        <v>9.0342533716586405E-6</v>
      </c>
      <c r="E42505" s="2">
        <v>4.3010567696482999E-6</v>
      </c>
      <c r="F42505" s="2">
        <v>7.5984947480585801E-6</v>
      </c>
    </row>
    <row r="42506" spans="1:6" x14ac:dyDescent="0.25">
      <c r="A42506" s="1" t="str">
        <f t="shared" si="1468"/>
        <v>99999</v>
      </c>
      <c r="B42506" s="1" t="str">
        <f>"10940"</f>
        <v>10940</v>
      </c>
      <c r="C42506" s="2">
        <v>1.9270438519397999E-5</v>
      </c>
      <c r="D42506" s="2">
        <v>1.50570889527644E-6</v>
      </c>
      <c r="E42506" s="2">
        <v>0</v>
      </c>
      <c r="F42506" s="2">
        <v>1.76640332454868E-5</v>
      </c>
    </row>
    <row r="42507" spans="1:6" x14ac:dyDescent="0.25">
      <c r="A42507" s="1" t="str">
        <f t="shared" si="1468"/>
        <v>99999</v>
      </c>
      <c r="B42507" s="1" t="str">
        <f>"36727"</f>
        <v>36727</v>
      </c>
      <c r="C42507" s="2">
        <v>1.32078286481267E-5</v>
      </c>
      <c r="D42507" s="2">
        <v>0</v>
      </c>
      <c r="E42507" s="2">
        <v>8.6021135392965999E-6</v>
      </c>
      <c r="F42507" s="2">
        <v>1.22365369968735E-5</v>
      </c>
    </row>
    <row r="42508" spans="1:6" x14ac:dyDescent="0.25">
      <c r="A42508" s="1" t="str">
        <f t="shared" si="1468"/>
        <v>99999</v>
      </c>
      <c r="B42508" s="1" t="str">
        <f>"43977"</f>
        <v>43977</v>
      </c>
      <c r="C42508" s="2">
        <v>8.0113059013227898E-6</v>
      </c>
      <c r="D42508" s="2">
        <v>0</v>
      </c>
      <c r="E42508" s="2">
        <v>0</v>
      </c>
      <c r="F42508" s="2">
        <v>7.3024494981342204E-6</v>
      </c>
    </row>
    <row r="42509" spans="1:6" x14ac:dyDescent="0.25">
      <c r="A42509" s="1" t="str">
        <f t="shared" si="1468"/>
        <v>99999</v>
      </c>
      <c r="B42509" s="1" t="str">
        <f>"46182"</f>
        <v>46182</v>
      </c>
      <c r="C42509" s="2">
        <v>4.4386965128950601E-6</v>
      </c>
      <c r="D42509" s="2">
        <v>0</v>
      </c>
      <c r="E42509" s="2">
        <v>0</v>
      </c>
      <c r="F42509" s="2">
        <v>4.0459517489662501E-6</v>
      </c>
    </row>
    <row r="42510" spans="1:6" x14ac:dyDescent="0.25">
      <c r="A42510" s="1" t="str">
        <f t="shared" si="1468"/>
        <v>99999</v>
      </c>
      <c r="B42510" s="1" t="str">
        <f>"52621"</f>
        <v>52621</v>
      </c>
      <c r="C42510" s="2">
        <v>4.1139138412198104E-6</v>
      </c>
      <c r="D42510" s="2">
        <v>3.01141779055288E-6</v>
      </c>
      <c r="E42510" s="2">
        <v>0</v>
      </c>
      <c r="F42510" s="2">
        <v>3.94726999899147E-6</v>
      </c>
    </row>
    <row r="42511" spans="1:6" x14ac:dyDescent="0.25">
      <c r="A42511" s="1" t="str">
        <f t="shared" si="1468"/>
        <v>99999</v>
      </c>
      <c r="B42511" s="1" t="str">
        <f>"62861"</f>
        <v>62861</v>
      </c>
      <c r="C42511" s="2">
        <v>1.08260890558416E-7</v>
      </c>
      <c r="D42511" s="2">
        <v>0</v>
      </c>
      <c r="E42511" s="2">
        <v>4.3010567696482999E-6</v>
      </c>
      <c r="F42511" s="2">
        <v>1.9736349994957301E-7</v>
      </c>
    </row>
    <row r="42512" spans="1:6" x14ac:dyDescent="0.25">
      <c r="A42512" s="1" t="str">
        <f t="shared" si="1468"/>
        <v>99999</v>
      </c>
      <c r="B42512" s="1" t="str">
        <f>"65062"</f>
        <v>65062</v>
      </c>
      <c r="C42512" s="2">
        <v>2.59826137340198E-6</v>
      </c>
      <c r="D42512" s="2">
        <v>0</v>
      </c>
      <c r="E42512" s="2">
        <v>0</v>
      </c>
      <c r="F42512" s="2">
        <v>2.3683619993948799E-6</v>
      </c>
    </row>
    <row r="42513" spans="1:6" x14ac:dyDescent="0.25">
      <c r="A42513" s="1" t="str">
        <f t="shared" si="1468"/>
        <v>99999</v>
      </c>
      <c r="B42513" s="1" t="str">
        <f>"65775"</f>
        <v>65775</v>
      </c>
      <c r="C42513" s="2">
        <v>1.08260890558416E-7</v>
      </c>
      <c r="D42513" s="2">
        <v>0</v>
      </c>
      <c r="E42513" s="2">
        <v>0</v>
      </c>
      <c r="F42513" s="2">
        <v>9.8681749974786797E-8</v>
      </c>
    </row>
    <row r="42514" spans="1:6" x14ac:dyDescent="0.25">
      <c r="A42514" s="1" t="str">
        <f t="shared" si="1468"/>
        <v>99999</v>
      </c>
      <c r="B42514" s="1" t="str">
        <f>"68929"</f>
        <v>68929</v>
      </c>
      <c r="C42514" s="2">
        <v>1.06095672747247E-5</v>
      </c>
      <c r="D42514" s="2">
        <v>1.50570889527644E-6</v>
      </c>
      <c r="E42514" s="2">
        <v>4.3010567696482999E-6</v>
      </c>
      <c r="F42514" s="2">
        <v>9.8681749974786808E-6</v>
      </c>
    </row>
    <row r="42515" spans="1:6" x14ac:dyDescent="0.25">
      <c r="A42515" s="1" t="str">
        <f t="shared" si="1468"/>
        <v>99999</v>
      </c>
      <c r="B42515" s="1" t="str">
        <f>"69138"</f>
        <v>69138</v>
      </c>
      <c r="C42515" s="2">
        <v>7.6865232296475401E-6</v>
      </c>
      <c r="D42515" s="2">
        <v>1.50570889527644E-6</v>
      </c>
      <c r="E42515" s="2">
        <v>0</v>
      </c>
      <c r="F42515" s="2">
        <v>7.10508599818465E-6</v>
      </c>
    </row>
    <row r="42516" spans="1:6" x14ac:dyDescent="0.25">
      <c r="A42516" s="1" t="str">
        <f t="shared" si="1468"/>
        <v>99999</v>
      </c>
      <c r="B42516" s="1" t="str">
        <f>"72311"</f>
        <v>72311</v>
      </c>
      <c r="C42516" s="2">
        <v>0</v>
      </c>
      <c r="D42516" s="2">
        <v>0</v>
      </c>
      <c r="E42516" s="2">
        <v>4.3010567696482999E-6</v>
      </c>
      <c r="F42516" s="2">
        <v>9.8681749974786797E-8</v>
      </c>
    </row>
    <row r="42517" spans="1:6" x14ac:dyDescent="0.25">
      <c r="A42517" s="1" t="str">
        <f t="shared" si="1468"/>
        <v>99999</v>
      </c>
      <c r="B42517" s="1" t="str">
        <f>"73770"</f>
        <v>73770</v>
      </c>
      <c r="C42517" s="2">
        <v>1.62391335837624E-6</v>
      </c>
      <c r="D42517" s="2">
        <v>3.01141779055288E-6</v>
      </c>
      <c r="E42517" s="2">
        <v>4.3010567696482999E-6</v>
      </c>
      <c r="F42517" s="2">
        <v>1.77627149954616E-6</v>
      </c>
    </row>
    <row r="42518" spans="1:6" x14ac:dyDescent="0.25">
      <c r="A42518" s="1" t="str">
        <f t="shared" si="1468"/>
        <v>99999</v>
      </c>
      <c r="B42518" s="1" t="str">
        <f>"75691"</f>
        <v>75691</v>
      </c>
      <c r="C42518" s="2">
        <v>9.7434801502574508E-6</v>
      </c>
      <c r="D42518" s="2">
        <v>3.01141779055288E-6</v>
      </c>
      <c r="E42518" s="2">
        <v>8.6021135392965999E-6</v>
      </c>
      <c r="F42518" s="2">
        <v>9.2760844976299596E-6</v>
      </c>
    </row>
    <row r="42519" spans="1:6" x14ac:dyDescent="0.25">
      <c r="A42519" s="1" t="str">
        <f t="shared" si="1468"/>
        <v>99999</v>
      </c>
      <c r="B42519" s="1" t="str">
        <f>"79511"</f>
        <v>79511</v>
      </c>
      <c r="C42519" s="2">
        <v>6.49565343350497E-6</v>
      </c>
      <c r="D42519" s="2">
        <v>1.50570889527644E-6</v>
      </c>
      <c r="E42519" s="2">
        <v>4.3010567696482999E-6</v>
      </c>
      <c r="F42519" s="2">
        <v>6.1182684984367804E-6</v>
      </c>
    </row>
    <row r="42520" spans="1:6" x14ac:dyDescent="0.25">
      <c r="A42520" s="1" t="str">
        <f t="shared" si="1468"/>
        <v>99999</v>
      </c>
      <c r="B42520" s="1" t="str">
        <f>"96124"</f>
        <v>96124</v>
      </c>
      <c r="C42520" s="2">
        <v>5.0882618562455504E-6</v>
      </c>
      <c r="D42520" s="2">
        <v>3.01141779055288E-6</v>
      </c>
      <c r="E42520" s="2">
        <v>0</v>
      </c>
      <c r="F42520" s="2">
        <v>4.8354057487645501E-6</v>
      </c>
    </row>
    <row r="42521" spans="1:6" x14ac:dyDescent="0.25">
      <c r="A42521" s="1" t="str">
        <f t="shared" si="1468"/>
        <v>99999</v>
      </c>
      <c r="B42521" s="1" t="str">
        <f>"51578"</f>
        <v>51578</v>
      </c>
      <c r="C42521" s="2">
        <v>6.6039143240633804E-6</v>
      </c>
      <c r="D42521" s="2">
        <v>3.01141779055288E-6</v>
      </c>
      <c r="E42521" s="2">
        <v>0</v>
      </c>
      <c r="F42521" s="2">
        <v>6.2169502484115596E-6</v>
      </c>
    </row>
    <row r="42522" spans="1:6" x14ac:dyDescent="0.25">
      <c r="A42522" s="1" t="str">
        <f t="shared" si="1468"/>
        <v>99999</v>
      </c>
      <c r="B42522" s="1" t="str">
        <f>"67834"</f>
        <v>67834</v>
      </c>
      <c r="C42522" s="2">
        <v>5.4130445279207995E-7</v>
      </c>
      <c r="D42522" s="2">
        <v>0</v>
      </c>
      <c r="E42522" s="2">
        <v>0</v>
      </c>
      <c r="F42522" s="2">
        <v>4.9340874987393396E-7</v>
      </c>
    </row>
    <row r="42523" spans="1:6" x14ac:dyDescent="0.25">
      <c r="A42523" s="1" t="str">
        <f t="shared" si="1468"/>
        <v>99999</v>
      </c>
      <c r="B42523" s="1" t="str">
        <f>"67658"</f>
        <v>67658</v>
      </c>
      <c r="C42523" s="2">
        <v>3.8973920601029803E-6</v>
      </c>
      <c r="D42523" s="2">
        <v>0</v>
      </c>
      <c r="E42523" s="2">
        <v>4.3010567696482999E-6</v>
      </c>
      <c r="F42523" s="2">
        <v>3.6512247490671102E-6</v>
      </c>
    </row>
    <row r="42524" spans="1:6" x14ac:dyDescent="0.25">
      <c r="A42524" s="1" t="str">
        <f t="shared" si="1468"/>
        <v>99999</v>
      </c>
      <c r="B42524" s="1" t="str">
        <f>"66932"</f>
        <v>66932</v>
      </c>
      <c r="C42524" s="2">
        <v>8.8773930257901203E-6</v>
      </c>
      <c r="D42524" s="2">
        <v>6.0228355811057601E-6</v>
      </c>
      <c r="E42524" s="2">
        <v>4.3010567696482999E-6</v>
      </c>
      <c r="F42524" s="2">
        <v>8.5853122478064497E-6</v>
      </c>
    </row>
    <row r="42525" spans="1:6" x14ac:dyDescent="0.25">
      <c r="A42525" s="1" t="str">
        <f t="shared" si="1468"/>
        <v>99999</v>
      </c>
      <c r="B42525" s="1" t="str">
        <f>"66033"</f>
        <v>66033</v>
      </c>
      <c r="C42525" s="2">
        <v>4.0597833959405999E-5</v>
      </c>
      <c r="D42525" s="2">
        <v>3.31255956960816E-5</v>
      </c>
      <c r="E42525" s="2">
        <v>8.6021135392965999E-6</v>
      </c>
      <c r="F42525" s="2">
        <v>3.9374018239939899E-5</v>
      </c>
    </row>
    <row r="42526" spans="1:6" x14ac:dyDescent="0.25">
      <c r="A42526" s="1" t="str">
        <f t="shared" si="1468"/>
        <v>99999</v>
      </c>
      <c r="B42526" s="1" t="str">
        <f>"65715"</f>
        <v>65715</v>
      </c>
      <c r="C42526" s="2">
        <v>1.41821766631525E-5</v>
      </c>
      <c r="D42526" s="2">
        <v>0</v>
      </c>
      <c r="E42526" s="2">
        <v>4.3010567696482999E-6</v>
      </c>
      <c r="F42526" s="2">
        <v>1.30259909966718E-5</v>
      </c>
    </row>
    <row r="42527" spans="1:6" x14ac:dyDescent="0.25">
      <c r="A42527" s="1" t="str">
        <f t="shared" si="1468"/>
        <v>99999</v>
      </c>
      <c r="B42527" s="1" t="str">
        <f>"70638"</f>
        <v>70638</v>
      </c>
      <c r="C42527" s="2">
        <v>1.4615220225386101E-5</v>
      </c>
      <c r="D42527" s="2">
        <v>1.50570889527644E-6</v>
      </c>
      <c r="E42527" s="2">
        <v>4.3010567696482999E-6</v>
      </c>
      <c r="F42527" s="2">
        <v>1.35193997465457E-5</v>
      </c>
    </row>
    <row r="42528" spans="1:6" x14ac:dyDescent="0.25">
      <c r="A42528" s="1" t="str">
        <f t="shared" si="1468"/>
        <v>99999</v>
      </c>
      <c r="B42528" s="1" t="str">
        <f>"68724"</f>
        <v>68724</v>
      </c>
      <c r="C42528" s="2">
        <v>1.0068262821932701E-5</v>
      </c>
      <c r="D42528" s="2">
        <v>1.9574215638593701E-5</v>
      </c>
      <c r="E42528" s="2">
        <v>1.29031703089449E-5</v>
      </c>
      <c r="F42528" s="2">
        <v>1.07563107472517E-5</v>
      </c>
    </row>
    <row r="42529" spans="1:6" x14ac:dyDescent="0.25">
      <c r="A42529" s="1" t="str">
        <f t="shared" si="1468"/>
        <v>99999</v>
      </c>
      <c r="B42529" s="1" t="str">
        <f>"68443"</f>
        <v>68443</v>
      </c>
      <c r="C42529" s="2">
        <v>4.9691748766313E-5</v>
      </c>
      <c r="D42529" s="2">
        <v>1.0539962266935E-5</v>
      </c>
      <c r="E42529" s="2">
        <v>1.72042270785932E-5</v>
      </c>
      <c r="F42529" s="2">
        <v>4.6380422488149798E-5</v>
      </c>
    </row>
    <row r="42530" spans="1:6" x14ac:dyDescent="0.25">
      <c r="A42530" s="1" t="str">
        <f t="shared" si="1468"/>
        <v>99999</v>
      </c>
      <c r="B42530" s="1" t="str">
        <f>"68346"</f>
        <v>68346</v>
      </c>
      <c r="C42530" s="2">
        <v>2.2843047907825799E-5</v>
      </c>
      <c r="D42530" s="2">
        <v>9.0342533716586405E-6</v>
      </c>
      <c r="E42530" s="2">
        <v>0</v>
      </c>
      <c r="F42530" s="2">
        <v>2.1413939744528701E-5</v>
      </c>
    </row>
    <row r="42531" spans="1:6" x14ac:dyDescent="0.25">
      <c r="A42531" s="1" t="str">
        <f t="shared" si="1468"/>
        <v>99999</v>
      </c>
      <c r="B42531" s="1" t="str">
        <f>"68320"</f>
        <v>68320</v>
      </c>
      <c r="C42531" s="2">
        <v>1.93786994099564E-5</v>
      </c>
      <c r="D42531" s="2">
        <v>3.01141779055288E-6</v>
      </c>
      <c r="E42531" s="2">
        <v>8.6021135392965999E-6</v>
      </c>
      <c r="F42531" s="2">
        <v>1.80587602453859E-5</v>
      </c>
    </row>
    <row r="42532" spans="1:6" x14ac:dyDescent="0.25">
      <c r="A42532" s="1" t="str">
        <f t="shared" si="1468"/>
        <v>99999</v>
      </c>
      <c r="B42532" s="1" t="str">
        <f>"68413"</f>
        <v>68413</v>
      </c>
      <c r="C42532" s="2">
        <v>1.9486960300514902E-6</v>
      </c>
      <c r="D42532" s="2">
        <v>0</v>
      </c>
      <c r="E42532" s="2">
        <v>0</v>
      </c>
      <c r="F42532" s="2">
        <v>1.77627149954616E-6</v>
      </c>
    </row>
    <row r="42533" spans="1:6" x14ac:dyDescent="0.25">
      <c r="A42533" s="1" t="str">
        <f t="shared" si="1468"/>
        <v>99999</v>
      </c>
      <c r="B42533" s="1" t="str">
        <f>"72134"</f>
        <v>72134</v>
      </c>
      <c r="C42533" s="2">
        <v>1.5264785568736599E-5</v>
      </c>
      <c r="D42533" s="2">
        <v>3.01141779055288E-6</v>
      </c>
      <c r="E42533" s="2">
        <v>4.3010567696482999E-6</v>
      </c>
      <c r="F42533" s="2">
        <v>1.42101719963693E-5</v>
      </c>
    </row>
    <row r="42534" spans="1:6" x14ac:dyDescent="0.25">
      <c r="A42534" s="1" t="str">
        <f t="shared" si="1468"/>
        <v>99999</v>
      </c>
      <c r="B42534" s="1" t="str">
        <f>"73719"</f>
        <v>73719</v>
      </c>
      <c r="C42534" s="2">
        <v>9.0939148069069495E-6</v>
      </c>
      <c r="D42534" s="2">
        <v>0</v>
      </c>
      <c r="E42534" s="2">
        <v>4.3010567696482999E-6</v>
      </c>
      <c r="F42534" s="2">
        <v>8.3879487478568692E-6</v>
      </c>
    </row>
    <row r="42535" spans="1:6" x14ac:dyDescent="0.25">
      <c r="A42535" s="1" t="str">
        <f t="shared" si="1468"/>
        <v>99999</v>
      </c>
      <c r="B42535" s="1" t="str">
        <f>"73520"</f>
        <v>73520</v>
      </c>
      <c r="C42535" s="2">
        <v>0</v>
      </c>
      <c r="D42535" s="2">
        <v>0</v>
      </c>
      <c r="E42535" s="2">
        <v>4.3010567696482999E-6</v>
      </c>
      <c r="F42535" s="2">
        <v>9.8681749974786797E-8</v>
      </c>
    </row>
    <row r="42536" spans="1:6" x14ac:dyDescent="0.25">
      <c r="A42536" s="1" t="str">
        <f t="shared" si="1468"/>
        <v>99999</v>
      </c>
      <c r="B42536" s="1" t="str">
        <f>"74350"</f>
        <v>74350</v>
      </c>
      <c r="C42536" s="2">
        <v>1.0826089055841599E-6</v>
      </c>
      <c r="D42536" s="2">
        <v>1.50570889527644E-6</v>
      </c>
      <c r="E42536" s="2">
        <v>4.3010567696482999E-6</v>
      </c>
      <c r="F42536" s="2">
        <v>1.18418099969744E-6</v>
      </c>
    </row>
    <row r="42537" spans="1:6" x14ac:dyDescent="0.25">
      <c r="A42537" s="1" t="str">
        <f t="shared" si="1468"/>
        <v>99999</v>
      </c>
      <c r="B42537" s="1" t="str">
        <f>"73960"</f>
        <v>73960</v>
      </c>
      <c r="C42537" s="2">
        <v>8.5526103541148705E-6</v>
      </c>
      <c r="D42537" s="2">
        <v>1.50570889527644E-6</v>
      </c>
      <c r="E42537" s="2">
        <v>0</v>
      </c>
      <c r="F42537" s="2">
        <v>7.8945399979829399E-6</v>
      </c>
    </row>
    <row r="42538" spans="1:6" x14ac:dyDescent="0.25">
      <c r="A42538" s="1" t="str">
        <f t="shared" si="1468"/>
        <v>99999</v>
      </c>
      <c r="B42538" s="1" t="str">
        <f>"77359"</f>
        <v>77359</v>
      </c>
      <c r="C42538" s="2">
        <v>2.4466961266201999E-5</v>
      </c>
      <c r="D42538" s="2">
        <v>4.5171266858293203E-6</v>
      </c>
      <c r="E42538" s="2">
        <v>0</v>
      </c>
      <c r="F42538" s="2">
        <v>2.25981207442261E-5</v>
      </c>
    </row>
    <row r="42539" spans="1:6" x14ac:dyDescent="0.25">
      <c r="A42539" s="1" t="str">
        <f t="shared" si="1468"/>
        <v>99999</v>
      </c>
      <c r="B42539" s="1" t="str">
        <f>"77356"</f>
        <v>77356</v>
      </c>
      <c r="C42539" s="2">
        <v>5.6295663090376404E-6</v>
      </c>
      <c r="D42539" s="2">
        <v>0</v>
      </c>
      <c r="E42539" s="2">
        <v>0</v>
      </c>
      <c r="F42539" s="2">
        <v>5.1314509986889099E-6</v>
      </c>
    </row>
    <row r="42540" spans="1:6" x14ac:dyDescent="0.25">
      <c r="A42540" s="1" t="str">
        <f t="shared" si="1468"/>
        <v>99999</v>
      </c>
      <c r="B42540" s="1" t="str">
        <f>"76519"</f>
        <v>76519</v>
      </c>
      <c r="C42540" s="2">
        <v>1.6022611802645498E-5</v>
      </c>
      <c r="D42540" s="2">
        <v>1.35513800574879E-5</v>
      </c>
      <c r="E42540" s="2">
        <v>1.29031703089449E-5</v>
      </c>
      <c r="F42540" s="2">
        <v>1.5789079995965799E-5</v>
      </c>
    </row>
    <row r="42541" spans="1:6" x14ac:dyDescent="0.25">
      <c r="A42541" s="1" t="str">
        <f t="shared" si="1468"/>
        <v>99999</v>
      </c>
      <c r="B42541" s="1" t="str">
        <f>"82430"</f>
        <v>82430</v>
      </c>
      <c r="C42541" s="2">
        <v>5.7378271995960499E-6</v>
      </c>
      <c r="D42541" s="2">
        <v>4.5171266858293203E-6</v>
      </c>
      <c r="E42541" s="2">
        <v>0</v>
      </c>
      <c r="F42541" s="2">
        <v>5.52617799858806E-6</v>
      </c>
    </row>
    <row r="42542" spans="1:6" x14ac:dyDescent="0.25">
      <c r="A42542" s="1" t="str">
        <f t="shared" si="1468"/>
        <v>99999</v>
      </c>
      <c r="B42542" s="1" t="str">
        <f>"82636"</f>
        <v>82636</v>
      </c>
      <c r="C42542" s="2">
        <v>3.2478267167524799E-6</v>
      </c>
      <c r="D42542" s="2">
        <v>0</v>
      </c>
      <c r="E42542" s="2">
        <v>0</v>
      </c>
      <c r="F42542" s="2">
        <v>2.9604524992435999E-6</v>
      </c>
    </row>
    <row r="42543" spans="1:6" x14ac:dyDescent="0.25">
      <c r="A42543" s="1" t="str">
        <f t="shared" si="1468"/>
        <v>99999</v>
      </c>
      <c r="B42543" s="1" t="str">
        <f>"84623"</f>
        <v>84623</v>
      </c>
      <c r="C42543" s="2">
        <v>1.41821766631525E-5</v>
      </c>
      <c r="D42543" s="2">
        <v>0</v>
      </c>
      <c r="E42543" s="2">
        <v>0</v>
      </c>
      <c r="F42543" s="2">
        <v>1.2927309246696999E-5</v>
      </c>
    </row>
    <row r="42544" spans="1:6" x14ac:dyDescent="0.25">
      <c r="A42544" s="1" t="str">
        <f t="shared" si="1468"/>
        <v>99999</v>
      </c>
      <c r="B42544" s="1" t="str">
        <f>"12743"</f>
        <v>12743</v>
      </c>
      <c r="C42544" s="2">
        <v>1.86208731760475E-5</v>
      </c>
      <c r="D42544" s="2">
        <v>3.01141779055288E-6</v>
      </c>
      <c r="E42544" s="2">
        <v>4.3010567696482999E-6</v>
      </c>
      <c r="F42544" s="2">
        <v>1.7269306245587602E-5</v>
      </c>
    </row>
    <row r="42545" spans="1:6" x14ac:dyDescent="0.25">
      <c r="A42545" s="1" t="str">
        <f t="shared" si="1468"/>
        <v>99999</v>
      </c>
      <c r="B42545" s="1" t="str">
        <f>"14721"</f>
        <v>14721</v>
      </c>
      <c r="C42545" s="2">
        <v>5.7378271995960499E-6</v>
      </c>
      <c r="D42545" s="2">
        <v>1.50570889527644E-6</v>
      </c>
      <c r="E42545" s="2">
        <v>1.2473064631979999E-4</v>
      </c>
      <c r="F42545" s="2">
        <v>8.1905852479073005E-6</v>
      </c>
    </row>
    <row r="42546" spans="1:6" x14ac:dyDescent="0.25">
      <c r="A42546" s="1" t="str">
        <f t="shared" si="1468"/>
        <v>99999</v>
      </c>
      <c r="B42546" s="1" t="str">
        <f>"18453"</f>
        <v>18453</v>
      </c>
      <c r="C42546" s="2">
        <v>6.7771317489568502E-5</v>
      </c>
      <c r="D42546" s="2">
        <v>2.1079924533870101E-5</v>
      </c>
      <c r="E42546" s="2">
        <v>0</v>
      </c>
      <c r="F42546" s="2">
        <v>6.3156319983863506E-5</v>
      </c>
    </row>
    <row r="42547" spans="1:6" x14ac:dyDescent="0.25">
      <c r="A42547" s="1" t="str">
        <f t="shared" si="1468"/>
        <v>99999</v>
      </c>
      <c r="B42547" s="1" t="str">
        <f>"30457"</f>
        <v>30457</v>
      </c>
      <c r="C42547" s="2">
        <v>1.51565246781782E-6</v>
      </c>
      <c r="D42547" s="2">
        <v>4.5171266858293203E-6</v>
      </c>
      <c r="E42547" s="2">
        <v>0</v>
      </c>
      <c r="F42547" s="2">
        <v>1.6775897495713699E-6</v>
      </c>
    </row>
    <row r="42548" spans="1:6" x14ac:dyDescent="0.25">
      <c r="A42548" s="1" t="str">
        <f t="shared" si="1468"/>
        <v>99999</v>
      </c>
      <c r="B42548" s="1" t="str">
        <f>"35984"</f>
        <v>35984</v>
      </c>
      <c r="C42548" s="2">
        <v>1.85126122854891E-5</v>
      </c>
      <c r="D42548" s="2">
        <v>0</v>
      </c>
      <c r="E42548" s="2">
        <v>8.6021135392965999E-6</v>
      </c>
      <c r="F42548" s="2">
        <v>1.7071942745638099E-5</v>
      </c>
    </row>
    <row r="42549" spans="1:6" x14ac:dyDescent="0.25">
      <c r="A42549" s="1" t="str">
        <f t="shared" si="1468"/>
        <v>99999</v>
      </c>
      <c r="B42549" s="1" t="str">
        <f>"38468"</f>
        <v>38468</v>
      </c>
      <c r="C42549" s="2">
        <v>1.0393045493607899E-5</v>
      </c>
      <c r="D42549" s="2">
        <v>4.5171266858293203E-6</v>
      </c>
      <c r="E42549" s="2">
        <v>0</v>
      </c>
      <c r="F42549" s="2">
        <v>9.7694932475038906E-6</v>
      </c>
    </row>
    <row r="42550" spans="1:6" x14ac:dyDescent="0.25">
      <c r="A42550" s="1" t="str">
        <f t="shared" si="1468"/>
        <v>99999</v>
      </c>
      <c r="B42550" s="1" t="str">
        <f>"37369"</f>
        <v>37369</v>
      </c>
      <c r="C42550" s="2">
        <v>6.7121752146218001E-6</v>
      </c>
      <c r="D42550" s="2">
        <v>3.01141779055288E-6</v>
      </c>
      <c r="E42550" s="2">
        <v>0</v>
      </c>
      <c r="F42550" s="2">
        <v>6.3156319983863499E-6</v>
      </c>
    </row>
    <row r="42551" spans="1:6" x14ac:dyDescent="0.25">
      <c r="A42551" s="1" t="str">
        <f t="shared" si="1468"/>
        <v>99999</v>
      </c>
      <c r="B42551" s="1" t="str">
        <f>"39166"</f>
        <v>39166</v>
      </c>
      <c r="C42551" s="2">
        <v>1.5806090021528701E-5</v>
      </c>
      <c r="D42551" s="2">
        <v>7.5285444763821999E-6</v>
      </c>
      <c r="E42551" s="2">
        <v>2.58063406178898E-5</v>
      </c>
      <c r="F42551" s="2">
        <v>1.5493034746041499E-5</v>
      </c>
    </row>
    <row r="42552" spans="1:6" x14ac:dyDescent="0.25">
      <c r="A42552" s="1" t="str">
        <f t="shared" si="1468"/>
        <v>99999</v>
      </c>
      <c r="B42552" s="1" t="str">
        <f>"39756"</f>
        <v>39756</v>
      </c>
      <c r="C42552" s="2">
        <v>6.2141751180530796E-5</v>
      </c>
      <c r="D42552" s="2">
        <v>8.5825407030757094E-5</v>
      </c>
      <c r="E42552" s="2">
        <v>0</v>
      </c>
      <c r="F42552" s="2">
        <v>6.2268184234090393E-5</v>
      </c>
    </row>
    <row r="42553" spans="1:6" x14ac:dyDescent="0.25">
      <c r="A42553" s="1" t="str">
        <f t="shared" si="1468"/>
        <v>99999</v>
      </c>
      <c r="B42553" s="1" t="str">
        <f>"42266"</f>
        <v>42266</v>
      </c>
      <c r="C42553" s="2">
        <v>7.5782623390891297E-6</v>
      </c>
      <c r="D42553" s="2">
        <v>0</v>
      </c>
      <c r="E42553" s="2">
        <v>0</v>
      </c>
      <c r="F42553" s="2">
        <v>6.9077224982350703E-6</v>
      </c>
    </row>
    <row r="42554" spans="1:6" x14ac:dyDescent="0.25">
      <c r="A42554" s="1" t="str">
        <f t="shared" si="1468"/>
        <v>99999</v>
      </c>
      <c r="B42554" s="1" t="str">
        <f>"42354"</f>
        <v>42354</v>
      </c>
      <c r="C42554" s="2">
        <v>1.40739157725941E-5</v>
      </c>
      <c r="D42554" s="2">
        <v>1.50570889527644E-6</v>
      </c>
      <c r="E42554" s="2">
        <v>4.3010567696482999E-6</v>
      </c>
      <c r="F42554" s="2">
        <v>1.30259909966718E-5</v>
      </c>
    </row>
    <row r="42555" spans="1:6" x14ac:dyDescent="0.25">
      <c r="A42555" s="1" t="str">
        <f t="shared" si="1468"/>
        <v>99999</v>
      </c>
      <c r="B42555" s="1" t="str">
        <f>"41622"</f>
        <v>41622</v>
      </c>
      <c r="C42555" s="2">
        <v>1.41821766631525E-5</v>
      </c>
      <c r="D42555" s="2">
        <v>1.35513800574879E-5</v>
      </c>
      <c r="E42555" s="2">
        <v>1.29031703089449E-5</v>
      </c>
      <c r="F42555" s="2">
        <v>1.41114902463945E-5</v>
      </c>
    </row>
    <row r="42556" spans="1:6" x14ac:dyDescent="0.25">
      <c r="A42556" s="1" t="str">
        <f t="shared" si="1468"/>
        <v>99999</v>
      </c>
      <c r="B42556" s="1" t="str">
        <f>"41729"</f>
        <v>41729</v>
      </c>
      <c r="C42556" s="2">
        <v>1.1908697961425701E-6</v>
      </c>
      <c r="D42556" s="2">
        <v>0</v>
      </c>
      <c r="E42556" s="2">
        <v>4.3010567696482999E-6</v>
      </c>
      <c r="F42556" s="2">
        <v>1.18418099969744E-6</v>
      </c>
    </row>
    <row r="42557" spans="1:6" x14ac:dyDescent="0.25">
      <c r="A42557" s="1" t="str">
        <f t="shared" si="1468"/>
        <v>99999</v>
      </c>
      <c r="B42557" s="1" t="str">
        <f>"41650"</f>
        <v>41650</v>
      </c>
      <c r="C42557" s="2">
        <v>3.1287397371382199E-5</v>
      </c>
      <c r="D42557" s="2">
        <v>0</v>
      </c>
      <c r="E42557" s="2">
        <v>4.7311624466131299E-5</v>
      </c>
      <c r="F42557" s="2">
        <v>2.9604524992435998E-5</v>
      </c>
    </row>
    <row r="42558" spans="1:6" x14ac:dyDescent="0.25">
      <c r="A42558" s="1" t="str">
        <f t="shared" si="1468"/>
        <v>99999</v>
      </c>
      <c r="B42558" s="1" t="str">
        <f>"41317"</f>
        <v>41317</v>
      </c>
      <c r="C42558" s="2">
        <v>2.0569569206098999E-5</v>
      </c>
      <c r="D42558" s="2">
        <v>4.5171266858293203E-6</v>
      </c>
      <c r="E42558" s="2">
        <v>2.15052838482415E-5</v>
      </c>
      <c r="F42558" s="2">
        <v>1.95389864950077E-5</v>
      </c>
    </row>
    <row r="42559" spans="1:6" x14ac:dyDescent="0.25">
      <c r="A42559" s="1" t="str">
        <f t="shared" si="1468"/>
        <v>99999</v>
      </c>
      <c r="B42559" s="1" t="str">
        <f>"45859"</f>
        <v>45859</v>
      </c>
      <c r="C42559" s="2">
        <v>1.84043513949307E-6</v>
      </c>
      <c r="D42559" s="2">
        <v>1.50570889527644E-6</v>
      </c>
      <c r="E42559" s="2">
        <v>0</v>
      </c>
      <c r="F42559" s="2">
        <v>1.77627149954616E-6</v>
      </c>
    </row>
    <row r="42560" spans="1:6" x14ac:dyDescent="0.25">
      <c r="A42560" s="1" t="str">
        <f t="shared" si="1468"/>
        <v>99999</v>
      </c>
      <c r="B42560" s="1" t="str">
        <f>"43340"</f>
        <v>43340</v>
      </c>
      <c r="C42560" s="2">
        <v>6.9828274410178401E-5</v>
      </c>
      <c r="D42560" s="2">
        <v>2.1079924533870101E-5</v>
      </c>
      <c r="E42560" s="2">
        <v>0</v>
      </c>
      <c r="F42560" s="2">
        <v>6.5031273233384494E-5</v>
      </c>
    </row>
    <row r="42561" spans="1:6" x14ac:dyDescent="0.25">
      <c r="A42561" s="1" t="str">
        <f t="shared" si="1468"/>
        <v>99999</v>
      </c>
      <c r="B42561" s="1" t="str">
        <f>"56541"</f>
        <v>56541</v>
      </c>
      <c r="C42561" s="2">
        <v>3.0313049356356498E-6</v>
      </c>
      <c r="D42561" s="2">
        <v>0</v>
      </c>
      <c r="E42561" s="2">
        <v>4.3010567696482999E-6</v>
      </c>
      <c r="F42561" s="2">
        <v>2.8617707492688101E-6</v>
      </c>
    </row>
    <row r="42562" spans="1:6" x14ac:dyDescent="0.25">
      <c r="A42562" s="1" t="str">
        <f t="shared" si="1468"/>
        <v>99999</v>
      </c>
      <c r="B42562" s="1" t="str">
        <f>"56125"</f>
        <v>56125</v>
      </c>
      <c r="C42562" s="2">
        <v>4.0056529506613898E-6</v>
      </c>
      <c r="D42562" s="2">
        <v>1.0539962266935E-5</v>
      </c>
      <c r="E42562" s="2">
        <v>4.3010567696482999E-6</v>
      </c>
      <c r="F42562" s="2">
        <v>4.4406787488654001E-6</v>
      </c>
    </row>
    <row r="42563" spans="1:6" x14ac:dyDescent="0.25">
      <c r="A42563" s="1" t="str">
        <f t="shared" si="1468"/>
        <v>99999</v>
      </c>
      <c r="B42563" s="1" t="str">
        <f>"59922"</f>
        <v>59922</v>
      </c>
      <c r="C42563" s="2">
        <v>1.29913068670099E-6</v>
      </c>
      <c r="D42563" s="2">
        <v>0</v>
      </c>
      <c r="E42563" s="2">
        <v>0</v>
      </c>
      <c r="F42563" s="2">
        <v>1.18418099969744E-6</v>
      </c>
    </row>
    <row r="42564" spans="1:6" x14ac:dyDescent="0.25">
      <c r="A42564" s="1" t="str">
        <f t="shared" si="1468"/>
        <v>99999</v>
      </c>
      <c r="B42564" s="1" t="str">
        <f>"58570"</f>
        <v>58570</v>
      </c>
      <c r="C42564" s="2">
        <v>3.2478267167524799E-6</v>
      </c>
      <c r="D42564" s="2">
        <v>3.01141779055288E-6</v>
      </c>
      <c r="E42564" s="2">
        <v>4.3010567696482999E-6</v>
      </c>
      <c r="F42564" s="2">
        <v>3.2564977491679601E-6</v>
      </c>
    </row>
    <row r="42565" spans="1:6" x14ac:dyDescent="0.25">
      <c r="A42565" s="1" t="str">
        <f t="shared" si="1468"/>
        <v>99999</v>
      </c>
      <c r="B42565" s="1" t="str">
        <f>"59318"</f>
        <v>59318</v>
      </c>
      <c r="C42565" s="2">
        <v>7.1452187768554602E-6</v>
      </c>
      <c r="D42565" s="2">
        <v>0</v>
      </c>
      <c r="E42565" s="2">
        <v>4.3010567696482999E-6</v>
      </c>
      <c r="F42565" s="2">
        <v>6.6116772483107097E-6</v>
      </c>
    </row>
    <row r="42566" spans="1:6" x14ac:dyDescent="0.25">
      <c r="A42566" s="1" t="str">
        <f t="shared" ref="A42566:A42629" si="1469">"99999"</f>
        <v>99999</v>
      </c>
      <c r="B42566" s="1" t="str">
        <f>"59448"</f>
        <v>59448</v>
      </c>
      <c r="C42566" s="2">
        <v>8.3360885729980396E-6</v>
      </c>
      <c r="D42566" s="2">
        <v>1.50570889527644E-6</v>
      </c>
      <c r="E42566" s="2">
        <v>4.3010567696482999E-6</v>
      </c>
      <c r="F42566" s="2">
        <v>7.7958582480081497E-6</v>
      </c>
    </row>
    <row r="42567" spans="1:6" x14ac:dyDescent="0.25">
      <c r="A42567" s="1" t="str">
        <f t="shared" si="1469"/>
        <v>99999</v>
      </c>
      <c r="B42567" s="1" t="str">
        <f>"58441"</f>
        <v>58441</v>
      </c>
      <c r="C42567" s="2">
        <v>1.4506959334827701E-5</v>
      </c>
      <c r="D42567" s="2">
        <v>1.20456711622115E-5</v>
      </c>
      <c r="E42567" s="2">
        <v>2.15052838482415E-5</v>
      </c>
      <c r="F42567" s="2">
        <v>1.45062172462936E-5</v>
      </c>
    </row>
    <row r="42568" spans="1:6" x14ac:dyDescent="0.25">
      <c r="A42568" s="1" t="str">
        <f t="shared" si="1469"/>
        <v>99999</v>
      </c>
      <c r="B42568" s="1" t="str">
        <f>"58355"</f>
        <v>58355</v>
      </c>
      <c r="C42568" s="2">
        <v>4.7634791845703099E-6</v>
      </c>
      <c r="D42568" s="2">
        <v>1.0539962266935E-5</v>
      </c>
      <c r="E42568" s="2">
        <v>4.3010567696482999E-6</v>
      </c>
      <c r="F42568" s="2">
        <v>5.1314509986889099E-6</v>
      </c>
    </row>
    <row r="42569" spans="1:6" x14ac:dyDescent="0.25">
      <c r="A42569" s="1" t="str">
        <f t="shared" si="1469"/>
        <v>99999</v>
      </c>
      <c r="B42569" s="1" t="str">
        <f>"62907"</f>
        <v>62907</v>
      </c>
      <c r="C42569" s="2">
        <v>5.4130445279207995E-7</v>
      </c>
      <c r="D42569" s="2">
        <v>0</v>
      </c>
      <c r="E42569" s="2">
        <v>0</v>
      </c>
      <c r="F42569" s="2">
        <v>4.9340874987393396E-7</v>
      </c>
    </row>
    <row r="42570" spans="1:6" x14ac:dyDescent="0.25">
      <c r="A42570" s="1" t="str">
        <f t="shared" si="1469"/>
        <v>99999</v>
      </c>
      <c r="B42570" s="1" t="str">
        <f>"63030"</f>
        <v>63030</v>
      </c>
      <c r="C42570" s="2">
        <v>8.7691321352316998E-6</v>
      </c>
      <c r="D42570" s="2">
        <v>1.50570889527644E-6</v>
      </c>
      <c r="E42570" s="2">
        <v>0</v>
      </c>
      <c r="F42570" s="2">
        <v>8.0919034979325103E-6</v>
      </c>
    </row>
    <row r="42571" spans="1:6" x14ac:dyDescent="0.25">
      <c r="A42571" s="1" t="str">
        <f t="shared" si="1469"/>
        <v>99999</v>
      </c>
      <c r="B42571" s="1" t="str">
        <f>"63781"</f>
        <v>63781</v>
      </c>
      <c r="C42571" s="2">
        <v>2.59826137340198E-6</v>
      </c>
      <c r="D42571" s="2">
        <v>1.50570889527644E-6</v>
      </c>
      <c r="E42571" s="2">
        <v>0</v>
      </c>
      <c r="F42571" s="2">
        <v>2.4670437493696702E-6</v>
      </c>
    </row>
    <row r="42572" spans="1:6" x14ac:dyDescent="0.25">
      <c r="A42572" s="1" t="str">
        <f t="shared" si="1469"/>
        <v>99999</v>
      </c>
      <c r="B42572" s="1" t="str">
        <f>"51523"</f>
        <v>51523</v>
      </c>
      <c r="C42572" s="2">
        <v>1.8187829613813899E-5</v>
      </c>
      <c r="D42572" s="2">
        <v>1.35513800574879E-5</v>
      </c>
      <c r="E42572" s="2">
        <v>2.15052838482415E-5</v>
      </c>
      <c r="F42572" s="2">
        <v>1.79600784954111E-5</v>
      </c>
    </row>
    <row r="42573" spans="1:6" x14ac:dyDescent="0.25">
      <c r="A42573" s="1" t="str">
        <f t="shared" si="1469"/>
        <v>99999</v>
      </c>
      <c r="B42573" s="1" t="str">
        <f>"66741"</f>
        <v>66741</v>
      </c>
      <c r="C42573" s="2">
        <v>1.08260890558416E-5</v>
      </c>
      <c r="D42573" s="2">
        <v>7.5285444763821999E-6</v>
      </c>
      <c r="E42573" s="2">
        <v>8.6021135392965999E-6</v>
      </c>
      <c r="F42573" s="2">
        <v>1.0558947247302099E-5</v>
      </c>
    </row>
    <row r="42574" spans="1:6" x14ac:dyDescent="0.25">
      <c r="A42574" s="1" t="str">
        <f t="shared" si="1469"/>
        <v>99999</v>
      </c>
      <c r="B42574" s="1" t="str">
        <f>"74032"</f>
        <v>74032</v>
      </c>
      <c r="C42574" s="2">
        <v>7.1452187768554602E-6</v>
      </c>
      <c r="D42574" s="2">
        <v>1.50570889527644E-6</v>
      </c>
      <c r="E42574" s="2">
        <v>0</v>
      </c>
      <c r="F42574" s="2">
        <v>6.6116772483107097E-6</v>
      </c>
    </row>
    <row r="42575" spans="1:6" x14ac:dyDescent="0.25">
      <c r="A42575" s="1" t="str">
        <f t="shared" si="1469"/>
        <v>99999</v>
      </c>
      <c r="B42575" s="1" t="str">
        <f>"79376"</f>
        <v>79376</v>
      </c>
      <c r="C42575" s="2">
        <v>9.2021756974653701E-6</v>
      </c>
      <c r="D42575" s="2">
        <v>6.0228355811057601E-6</v>
      </c>
      <c r="E42575" s="2">
        <v>8.6021135392965999E-6</v>
      </c>
      <c r="F42575" s="2">
        <v>8.9800392477055905E-6</v>
      </c>
    </row>
    <row r="42576" spans="1:6" x14ac:dyDescent="0.25">
      <c r="A42576" s="1" t="str">
        <f t="shared" si="1469"/>
        <v>99999</v>
      </c>
      <c r="B42576" s="1" t="str">
        <f>"76691"</f>
        <v>76691</v>
      </c>
      <c r="C42576" s="2">
        <v>4.8717400751287203E-6</v>
      </c>
      <c r="D42576" s="2">
        <v>0</v>
      </c>
      <c r="E42576" s="2">
        <v>0</v>
      </c>
      <c r="F42576" s="2">
        <v>4.4406787488654001E-6</v>
      </c>
    </row>
    <row r="42577" spans="1:6" x14ac:dyDescent="0.25">
      <c r="A42577" s="1" t="str">
        <f t="shared" si="1469"/>
        <v>99999</v>
      </c>
      <c r="B42577" s="1" t="str">
        <f>"78340"</f>
        <v>78340</v>
      </c>
      <c r="C42577" s="2">
        <v>4.7634791845703099E-6</v>
      </c>
      <c r="D42577" s="2">
        <v>6.0228355811057601E-6</v>
      </c>
      <c r="E42577" s="2">
        <v>0</v>
      </c>
      <c r="F42577" s="2">
        <v>4.7367239987897599E-6</v>
      </c>
    </row>
    <row r="42578" spans="1:6" x14ac:dyDescent="0.25">
      <c r="A42578" s="1" t="str">
        <f t="shared" si="1469"/>
        <v>99999</v>
      </c>
      <c r="B42578" s="1" t="str">
        <f>"80833"</f>
        <v>80833</v>
      </c>
      <c r="C42578" s="2">
        <v>1.42904375537109E-5</v>
      </c>
      <c r="D42578" s="2">
        <v>3.01141779055288E-6</v>
      </c>
      <c r="E42578" s="2">
        <v>2.58063406178898E-5</v>
      </c>
      <c r="F42578" s="2">
        <v>1.38154449964701E-5</v>
      </c>
    </row>
    <row r="42579" spans="1:6" x14ac:dyDescent="0.25">
      <c r="A42579" s="1" t="str">
        <f t="shared" si="1469"/>
        <v>99999</v>
      </c>
      <c r="B42579" s="1" t="str">
        <f>"99006"</f>
        <v>99006</v>
      </c>
      <c r="C42579" s="2">
        <v>4.7634791845703099E-6</v>
      </c>
      <c r="D42579" s="2">
        <v>0</v>
      </c>
      <c r="E42579" s="2">
        <v>0</v>
      </c>
      <c r="F42579" s="2">
        <v>4.3419969988906098E-6</v>
      </c>
    </row>
    <row r="42580" spans="1:6" x14ac:dyDescent="0.25">
      <c r="A42580" s="1" t="str">
        <f t="shared" si="1469"/>
        <v>99999</v>
      </c>
      <c r="B42580" s="1" t="str">
        <f>"99350"</f>
        <v>99350</v>
      </c>
      <c r="C42580" s="2">
        <v>9.2021756974653701E-6</v>
      </c>
      <c r="D42580" s="2">
        <v>1.80685067433172E-5</v>
      </c>
      <c r="E42580" s="2">
        <v>4.3010567696482999E-6</v>
      </c>
      <c r="F42580" s="2">
        <v>9.6708114975291003E-6</v>
      </c>
    </row>
    <row r="42581" spans="1:6" x14ac:dyDescent="0.25">
      <c r="A42581" s="1" t="str">
        <f t="shared" si="1469"/>
        <v>99999</v>
      </c>
      <c r="B42581" s="1" t="str">
        <f>"99606"</f>
        <v>99606</v>
      </c>
      <c r="C42581" s="2">
        <v>0</v>
      </c>
      <c r="D42581" s="2">
        <v>0</v>
      </c>
      <c r="E42581" s="2">
        <v>8.6021135392965999E-6</v>
      </c>
      <c r="F42581" s="2">
        <v>1.9736349994957301E-7</v>
      </c>
    </row>
    <row r="42582" spans="1:6" x14ac:dyDescent="0.25">
      <c r="A42582" s="1" t="str">
        <f t="shared" si="1469"/>
        <v>99999</v>
      </c>
      <c r="B42582" s="1" t="str">
        <f>"03897"</f>
        <v>03897</v>
      </c>
      <c r="C42582" s="2">
        <v>7.6865232296475401E-6</v>
      </c>
      <c r="D42582" s="2">
        <v>0</v>
      </c>
      <c r="E42582" s="2">
        <v>0</v>
      </c>
      <c r="F42582" s="2">
        <v>7.0064042482098597E-6</v>
      </c>
    </row>
    <row r="42583" spans="1:6" x14ac:dyDescent="0.25">
      <c r="A42583" s="1" t="str">
        <f t="shared" si="1469"/>
        <v>99999</v>
      </c>
      <c r="B42583" s="1" t="str">
        <f>"04558"</f>
        <v>04558</v>
      </c>
      <c r="C42583" s="2">
        <v>3.0313049356356498E-5</v>
      </c>
      <c r="D42583" s="2">
        <v>3.01141779055288E-6</v>
      </c>
      <c r="E42583" s="2">
        <v>1.29031703089449E-5</v>
      </c>
      <c r="F42583" s="2">
        <v>2.8124298742814199E-5</v>
      </c>
    </row>
    <row r="42584" spans="1:6" x14ac:dyDescent="0.25">
      <c r="A42584" s="1" t="str">
        <f t="shared" si="1469"/>
        <v>99999</v>
      </c>
      <c r="B42584" s="1" t="str">
        <f>"12164"</f>
        <v>12164</v>
      </c>
      <c r="C42584" s="2">
        <v>3.9190442382146597E-5</v>
      </c>
      <c r="D42584" s="2">
        <v>1.35513800574879E-5</v>
      </c>
      <c r="E42584" s="2">
        <v>4.3010567696482999E-6</v>
      </c>
      <c r="F42584" s="2">
        <v>3.6709610990620603E-5</v>
      </c>
    </row>
    <row r="42585" spans="1:6" x14ac:dyDescent="0.25">
      <c r="A42585" s="1" t="str">
        <f t="shared" si="1469"/>
        <v>99999</v>
      </c>
      <c r="B42585" s="1" t="str">
        <f>"65640"</f>
        <v>65640</v>
      </c>
      <c r="C42585" s="2">
        <v>4.6552182940118902E-6</v>
      </c>
      <c r="D42585" s="2">
        <v>0</v>
      </c>
      <c r="E42585" s="2">
        <v>0</v>
      </c>
      <c r="F42585" s="2">
        <v>4.2433152489158297E-6</v>
      </c>
    </row>
    <row r="42586" spans="1:6" x14ac:dyDescent="0.25">
      <c r="A42586" s="1" t="str">
        <f t="shared" si="1469"/>
        <v>99999</v>
      </c>
      <c r="B42586" s="1" t="str">
        <f>"69146"</f>
        <v>69146</v>
      </c>
      <c r="C42586" s="2">
        <v>2.4250439485085199E-5</v>
      </c>
      <c r="D42586" s="2">
        <v>1.0539962266935E-5</v>
      </c>
      <c r="E42586" s="2">
        <v>0</v>
      </c>
      <c r="F42586" s="2">
        <v>2.2795484244175701E-5</v>
      </c>
    </row>
    <row r="42587" spans="1:6" x14ac:dyDescent="0.25">
      <c r="A42587" s="1" t="str">
        <f t="shared" si="1469"/>
        <v>99999</v>
      </c>
      <c r="B42587" s="1" t="str">
        <f>"69216"</f>
        <v>69216</v>
      </c>
      <c r="C42587" s="2">
        <v>9.5269583691406198E-6</v>
      </c>
      <c r="D42587" s="2">
        <v>0</v>
      </c>
      <c r="E42587" s="2">
        <v>8.6021135392965999E-6</v>
      </c>
      <c r="F42587" s="2">
        <v>8.8813574977308104E-6</v>
      </c>
    </row>
    <row r="42588" spans="1:6" x14ac:dyDescent="0.25">
      <c r="A42588" s="1" t="str">
        <f t="shared" si="1469"/>
        <v>99999</v>
      </c>
      <c r="B42588" s="1" t="str">
        <f>"71024"</f>
        <v>71024</v>
      </c>
      <c r="C42588" s="2">
        <v>8.2278276824396208E-6</v>
      </c>
      <c r="D42588" s="2">
        <v>6.0228355811057601E-6</v>
      </c>
      <c r="E42588" s="2">
        <v>0</v>
      </c>
      <c r="F42588" s="2">
        <v>7.8945399979829399E-6</v>
      </c>
    </row>
    <row r="42589" spans="1:6" x14ac:dyDescent="0.25">
      <c r="A42589" s="1" t="str">
        <f t="shared" si="1469"/>
        <v>99999</v>
      </c>
      <c r="B42589" s="1" t="str">
        <f>"68601"</f>
        <v>68601</v>
      </c>
      <c r="C42589" s="2">
        <v>6.0950881384388302E-5</v>
      </c>
      <c r="D42589" s="2">
        <v>3.7642722381910999E-5</v>
      </c>
      <c r="E42589" s="2">
        <v>3.44084541571864E-5</v>
      </c>
      <c r="F42589" s="2">
        <v>5.8814322984972897E-5</v>
      </c>
    </row>
    <row r="42590" spans="1:6" x14ac:dyDescent="0.25">
      <c r="A42590" s="1" t="str">
        <f t="shared" si="1469"/>
        <v>99999</v>
      </c>
      <c r="B42590" s="1" t="str">
        <f>"68310"</f>
        <v>68310</v>
      </c>
      <c r="C42590" s="2">
        <v>2.1652178111683201E-7</v>
      </c>
      <c r="D42590" s="2">
        <v>0</v>
      </c>
      <c r="E42590" s="2">
        <v>0</v>
      </c>
      <c r="F42590" s="2">
        <v>1.9736349994957301E-7</v>
      </c>
    </row>
    <row r="42591" spans="1:6" x14ac:dyDescent="0.25">
      <c r="A42591" s="1" t="str">
        <f t="shared" si="1469"/>
        <v>99999</v>
      </c>
      <c r="B42591" s="1" t="str">
        <f>"68440"</f>
        <v>68440</v>
      </c>
      <c r="C42591" s="2">
        <v>1.05013063841663E-5</v>
      </c>
      <c r="D42591" s="2">
        <v>2.55970512196994E-5</v>
      </c>
      <c r="E42591" s="2">
        <v>0</v>
      </c>
      <c r="F42591" s="2">
        <v>1.1249719497125601E-5</v>
      </c>
    </row>
    <row r="42592" spans="1:6" x14ac:dyDescent="0.25">
      <c r="A42592" s="1" t="str">
        <f t="shared" si="1469"/>
        <v>99999</v>
      </c>
      <c r="B42592" s="1" t="str">
        <f>"71841"</f>
        <v>71841</v>
      </c>
      <c r="C42592" s="2">
        <v>4.9800009656871403E-5</v>
      </c>
      <c r="D42592" s="2">
        <v>1.50570889527644E-6</v>
      </c>
      <c r="E42592" s="2">
        <v>8.6021135392965999E-6</v>
      </c>
      <c r="F42592" s="2">
        <v>4.5689650238326198E-5</v>
      </c>
    </row>
    <row r="42593" spans="1:6" x14ac:dyDescent="0.25">
      <c r="A42593" s="1" t="str">
        <f t="shared" si="1469"/>
        <v>99999</v>
      </c>
      <c r="B42593" s="1" t="str">
        <f>"72005"</f>
        <v>72005</v>
      </c>
      <c r="C42593" s="2">
        <v>7.5782623390891297E-6</v>
      </c>
      <c r="D42593" s="2">
        <v>3.01141779055288E-6</v>
      </c>
      <c r="E42593" s="2">
        <v>4.3010567696482999E-6</v>
      </c>
      <c r="F42593" s="2">
        <v>7.2037677481594301E-6</v>
      </c>
    </row>
    <row r="42594" spans="1:6" x14ac:dyDescent="0.25">
      <c r="A42594" s="1" t="str">
        <f t="shared" si="1469"/>
        <v>99999</v>
      </c>
      <c r="B42594" s="1" t="str">
        <f>"72331"</f>
        <v>72331</v>
      </c>
      <c r="C42594" s="2">
        <v>8.0113059013227898E-6</v>
      </c>
      <c r="D42594" s="2">
        <v>3.01141779055288E-6</v>
      </c>
      <c r="E42594" s="2">
        <v>0</v>
      </c>
      <c r="F42594" s="2">
        <v>7.4998129980837899E-6</v>
      </c>
    </row>
    <row r="42595" spans="1:6" x14ac:dyDescent="0.25">
      <c r="A42595" s="1" t="str">
        <f t="shared" si="1469"/>
        <v>99999</v>
      </c>
      <c r="B42595" s="1" t="str">
        <f>"73042"</f>
        <v>73042</v>
      </c>
      <c r="C42595" s="2">
        <v>3.7999572586004001E-5</v>
      </c>
      <c r="D42595" s="2">
        <v>4.5171266858293203E-6</v>
      </c>
      <c r="E42595" s="2">
        <v>4.3010567696482999E-6</v>
      </c>
      <c r="F42595" s="2">
        <v>3.5032021241049297E-5</v>
      </c>
    </row>
    <row r="42596" spans="1:6" x14ac:dyDescent="0.25">
      <c r="A42596" s="1" t="str">
        <f t="shared" si="1469"/>
        <v>99999</v>
      </c>
      <c r="B42596" s="1" t="str">
        <f>"79540"</f>
        <v>79540</v>
      </c>
      <c r="C42596" s="2">
        <v>7.47000144853071E-6</v>
      </c>
      <c r="D42596" s="2">
        <v>4.5171266858293203E-6</v>
      </c>
      <c r="E42596" s="2">
        <v>8.6021135392965999E-6</v>
      </c>
      <c r="F42596" s="2">
        <v>7.3024494981342204E-6</v>
      </c>
    </row>
    <row r="42597" spans="1:6" x14ac:dyDescent="0.25">
      <c r="A42597" s="1" t="str">
        <f t="shared" si="1469"/>
        <v>99999</v>
      </c>
      <c r="B42597" s="1" t="str">
        <f>"76842"</f>
        <v>76842</v>
      </c>
      <c r="C42597" s="2">
        <v>9.8517410408158696E-6</v>
      </c>
      <c r="D42597" s="2">
        <v>0</v>
      </c>
      <c r="E42597" s="2">
        <v>8.6021135392965999E-5</v>
      </c>
      <c r="F42597" s="2">
        <v>1.0953674247201299E-5</v>
      </c>
    </row>
    <row r="42598" spans="1:6" x14ac:dyDescent="0.25">
      <c r="A42598" s="1" t="str">
        <f t="shared" si="1469"/>
        <v>99999</v>
      </c>
      <c r="B42598" s="1" t="str">
        <f>"76363"</f>
        <v>76363</v>
      </c>
      <c r="C42598" s="2">
        <v>1.8404351394930699E-5</v>
      </c>
      <c r="D42598" s="2">
        <v>1.50570889527644E-6</v>
      </c>
      <c r="E42598" s="2">
        <v>8.6021135392965999E-6</v>
      </c>
      <c r="F42598" s="2">
        <v>1.7071942745638099E-5</v>
      </c>
    </row>
    <row r="42599" spans="1:6" x14ac:dyDescent="0.25">
      <c r="A42599" s="1" t="str">
        <f t="shared" si="1469"/>
        <v>99999</v>
      </c>
      <c r="B42599" s="1" t="str">
        <f>"79005"</f>
        <v>79005</v>
      </c>
      <c r="C42599" s="2">
        <v>4.36291388950417E-5</v>
      </c>
      <c r="D42599" s="2">
        <v>5.7216938020504697E-5</v>
      </c>
      <c r="E42599" s="2">
        <v>9.0322192162614306E-5</v>
      </c>
      <c r="F42599" s="2">
        <v>4.5590968488351503E-5</v>
      </c>
    </row>
    <row r="42600" spans="1:6" x14ac:dyDescent="0.25">
      <c r="A42600" s="1" t="str">
        <f t="shared" si="1469"/>
        <v>99999</v>
      </c>
      <c r="B42600" s="1" t="str">
        <f>"76670"</f>
        <v>76670</v>
      </c>
      <c r="C42600" s="2">
        <v>2.77147879829545E-5</v>
      </c>
      <c r="D42600" s="2">
        <v>4.5171266858293203E-6</v>
      </c>
      <c r="E42600" s="2">
        <v>4.3010567696482999E-6</v>
      </c>
      <c r="F42600" s="2">
        <v>2.56572549934445E-5</v>
      </c>
    </row>
    <row r="42601" spans="1:6" x14ac:dyDescent="0.25">
      <c r="A42601" s="1" t="str">
        <f t="shared" si="1469"/>
        <v>99999</v>
      </c>
      <c r="B42601" s="1" t="str">
        <f>"77994"</f>
        <v>77994</v>
      </c>
      <c r="C42601" s="2">
        <v>1.7430003379904999E-5</v>
      </c>
      <c r="D42601" s="2">
        <v>9.0342533716586405E-6</v>
      </c>
      <c r="E42601" s="2">
        <v>0</v>
      </c>
      <c r="F42601" s="2">
        <v>1.64798522457893E-5</v>
      </c>
    </row>
    <row r="42602" spans="1:6" x14ac:dyDescent="0.25">
      <c r="A42602" s="1" t="str">
        <f t="shared" si="1469"/>
        <v>99999</v>
      </c>
      <c r="B42602" s="1" t="str">
        <f>"77971"</f>
        <v>77971</v>
      </c>
      <c r="C42602" s="2">
        <v>1.4506959334827701E-5</v>
      </c>
      <c r="D42602" s="2">
        <v>1.50570889527644E-6</v>
      </c>
      <c r="E42602" s="2">
        <v>0</v>
      </c>
      <c r="F42602" s="2">
        <v>1.3322036246596199E-5</v>
      </c>
    </row>
    <row r="42603" spans="1:6" x14ac:dyDescent="0.25">
      <c r="A42603" s="1" t="str">
        <f t="shared" si="1469"/>
        <v>99999</v>
      </c>
      <c r="B42603" s="1" t="str">
        <f>"76570"</f>
        <v>76570</v>
      </c>
      <c r="C42603" s="2">
        <v>3.46434849786931E-6</v>
      </c>
      <c r="D42603" s="2">
        <v>0</v>
      </c>
      <c r="E42603" s="2">
        <v>0</v>
      </c>
      <c r="F42603" s="2">
        <v>3.1578159991931699E-6</v>
      </c>
    </row>
    <row r="42604" spans="1:6" x14ac:dyDescent="0.25">
      <c r="A42604" s="1" t="str">
        <f t="shared" si="1469"/>
        <v>99999</v>
      </c>
      <c r="B42604" s="1" t="str">
        <f>"79743"</f>
        <v>79743</v>
      </c>
      <c r="C42604" s="2">
        <v>2.1652178111683201E-7</v>
      </c>
      <c r="D42604" s="2">
        <v>3.01141779055288E-6</v>
      </c>
      <c r="E42604" s="2">
        <v>0</v>
      </c>
      <c r="F42604" s="2">
        <v>3.9472699989914697E-7</v>
      </c>
    </row>
    <row r="42605" spans="1:6" x14ac:dyDescent="0.25">
      <c r="A42605" s="1" t="str">
        <f t="shared" si="1469"/>
        <v>99999</v>
      </c>
      <c r="B42605" s="1" t="str">
        <f>"81030"</f>
        <v>81030</v>
      </c>
      <c r="C42605" s="2">
        <v>7.5782623390891297E-6</v>
      </c>
      <c r="D42605" s="2">
        <v>0</v>
      </c>
      <c r="E42605" s="2">
        <v>1.29031703089449E-5</v>
      </c>
      <c r="F42605" s="2">
        <v>7.2037677481594301E-6</v>
      </c>
    </row>
    <row r="42606" spans="1:6" x14ac:dyDescent="0.25">
      <c r="A42606" s="1" t="str">
        <f t="shared" si="1469"/>
        <v>99999</v>
      </c>
      <c r="B42606" s="1" t="str">
        <f>"81136"</f>
        <v>81136</v>
      </c>
      <c r="C42606" s="2">
        <v>1.1042610836958401E-5</v>
      </c>
      <c r="D42606" s="2">
        <v>4.5171266858293203E-6</v>
      </c>
      <c r="E42606" s="2">
        <v>8.6021135392965999E-6</v>
      </c>
      <c r="F42606" s="2">
        <v>1.0558947247302099E-5</v>
      </c>
    </row>
    <row r="42607" spans="1:6" x14ac:dyDescent="0.25">
      <c r="A42607" s="1" t="str">
        <f t="shared" si="1469"/>
        <v>99999</v>
      </c>
      <c r="B42607" s="1" t="str">
        <f>"84021"</f>
        <v>84021</v>
      </c>
      <c r="C42607" s="2">
        <v>6.4956534335049697E-5</v>
      </c>
      <c r="D42607" s="2">
        <v>0</v>
      </c>
      <c r="E42607" s="2">
        <v>8.6021135392965999E-6</v>
      </c>
      <c r="F42607" s="2">
        <v>5.9406413484821598E-5</v>
      </c>
    </row>
    <row r="42608" spans="1:6" x14ac:dyDescent="0.25">
      <c r="A42608" s="1" t="str">
        <f t="shared" si="1469"/>
        <v>99999</v>
      </c>
      <c r="B42608" s="1" t="str">
        <f>"82222"</f>
        <v>82222</v>
      </c>
      <c r="C42608" s="2">
        <v>9.3104365880237906E-6</v>
      </c>
      <c r="D42608" s="2">
        <v>4.5171266858293203E-6</v>
      </c>
      <c r="E42608" s="2">
        <v>2.15052838482415E-5</v>
      </c>
      <c r="F42608" s="2">
        <v>9.2760844976299596E-6</v>
      </c>
    </row>
    <row r="42609" spans="1:6" x14ac:dyDescent="0.25">
      <c r="A42609" s="1" t="str">
        <f t="shared" si="1469"/>
        <v>99999</v>
      </c>
      <c r="B42609" s="1" t="str">
        <f>"83223"</f>
        <v>83223</v>
      </c>
      <c r="C42609" s="2">
        <v>1.1042610836958401E-5</v>
      </c>
      <c r="D42609" s="2">
        <v>0</v>
      </c>
      <c r="E42609" s="2">
        <v>4.3010567696482999E-6</v>
      </c>
      <c r="F42609" s="2">
        <v>1.0164220247403001E-5</v>
      </c>
    </row>
    <row r="42610" spans="1:6" x14ac:dyDescent="0.25">
      <c r="A42610" s="1" t="str">
        <f t="shared" si="1469"/>
        <v>99999</v>
      </c>
      <c r="B42610" s="1" t="str">
        <f>"83116"</f>
        <v>83116</v>
      </c>
      <c r="C42610" s="2">
        <v>2.5982613734019799E-5</v>
      </c>
      <c r="D42610" s="2">
        <v>0</v>
      </c>
      <c r="E42610" s="2">
        <v>4.3010567696482999E-6</v>
      </c>
      <c r="F42610" s="2">
        <v>2.37823017439236E-5</v>
      </c>
    </row>
    <row r="42611" spans="1:6" x14ac:dyDescent="0.25">
      <c r="A42611" s="1" t="str">
        <f t="shared" si="1469"/>
        <v>99999</v>
      </c>
      <c r="B42611" s="1" t="str">
        <f>"80810"</f>
        <v>80810</v>
      </c>
      <c r="C42611" s="2">
        <v>5.4130445279208001E-5</v>
      </c>
      <c r="D42611" s="2">
        <v>4.5171266858293203E-6</v>
      </c>
      <c r="E42611" s="2">
        <v>3.01073973875381E-5</v>
      </c>
      <c r="F42611" s="2">
        <v>5.0327692487141198E-5</v>
      </c>
    </row>
    <row r="42612" spans="1:6" x14ac:dyDescent="0.25">
      <c r="A42612" s="1" t="str">
        <f t="shared" si="1469"/>
        <v>99999</v>
      </c>
      <c r="B42612" s="1" t="str">
        <f>"84715"</f>
        <v>84715</v>
      </c>
      <c r="C42612" s="2">
        <v>1.9595221191073298E-5</v>
      </c>
      <c r="D42612" s="2">
        <v>9.0342533716586405E-6</v>
      </c>
      <c r="E42612" s="2">
        <v>8.6021135392965999E-6</v>
      </c>
      <c r="F42612" s="2">
        <v>1.8650850745234699E-5</v>
      </c>
    </row>
    <row r="42613" spans="1:6" x14ac:dyDescent="0.25">
      <c r="A42613" s="1" t="str">
        <f t="shared" si="1469"/>
        <v>99999</v>
      </c>
      <c r="B42613" s="1" t="str">
        <f>"89319"</f>
        <v>89319</v>
      </c>
      <c r="C42613" s="2">
        <v>1.51565246781782E-6</v>
      </c>
      <c r="D42613" s="2">
        <v>1.50570889527644E-6</v>
      </c>
      <c r="E42613" s="2">
        <v>0</v>
      </c>
      <c r="F42613" s="2">
        <v>1.4802262496218E-6</v>
      </c>
    </row>
    <row r="42614" spans="1:6" x14ac:dyDescent="0.25">
      <c r="A42614" s="1" t="str">
        <f t="shared" si="1469"/>
        <v>99999</v>
      </c>
      <c r="B42614" s="1" t="str">
        <f>"88418"</f>
        <v>88418</v>
      </c>
      <c r="C42614" s="2">
        <v>9.5269583691406198E-6</v>
      </c>
      <c r="D42614" s="2">
        <v>1.50570889527644E-6</v>
      </c>
      <c r="E42614" s="2">
        <v>4.3010567696482999E-6</v>
      </c>
      <c r="F42614" s="2">
        <v>8.8813574977308104E-6</v>
      </c>
    </row>
    <row r="42615" spans="1:6" x14ac:dyDescent="0.25">
      <c r="A42615" s="1" t="str">
        <f t="shared" si="1469"/>
        <v>99999</v>
      </c>
      <c r="B42615" s="1" t="str">
        <f>"88020"</f>
        <v>88020</v>
      </c>
      <c r="C42615" s="2">
        <v>3.1828701824174298E-5</v>
      </c>
      <c r="D42615" s="2">
        <v>1.80685067433172E-5</v>
      </c>
      <c r="E42615" s="2">
        <v>4.3010567696482999E-6</v>
      </c>
      <c r="F42615" s="2">
        <v>3.02952972422595E-5</v>
      </c>
    </row>
    <row r="42616" spans="1:6" x14ac:dyDescent="0.25">
      <c r="A42616" s="1" t="str">
        <f t="shared" si="1469"/>
        <v>99999</v>
      </c>
      <c r="B42616" s="1" t="str">
        <f>"98641"</f>
        <v>98641</v>
      </c>
      <c r="C42616" s="2">
        <v>2.3384352360617801E-5</v>
      </c>
      <c r="D42616" s="2">
        <v>0</v>
      </c>
      <c r="E42616" s="2">
        <v>4.3010567696482999E-6</v>
      </c>
      <c r="F42616" s="2">
        <v>2.1413939744528701E-5</v>
      </c>
    </row>
    <row r="42617" spans="1:6" x14ac:dyDescent="0.25">
      <c r="A42617" s="1" t="str">
        <f t="shared" si="1469"/>
        <v>99999</v>
      </c>
      <c r="B42617" s="1" t="str">
        <f>"83846"</f>
        <v>83846</v>
      </c>
      <c r="C42617" s="2">
        <v>3.5726093884277301E-6</v>
      </c>
      <c r="D42617" s="2">
        <v>3.01141779055288E-6</v>
      </c>
      <c r="E42617" s="2">
        <v>1.29031703089449E-5</v>
      </c>
      <c r="F42617" s="2">
        <v>3.7499064990418899E-6</v>
      </c>
    </row>
    <row r="42618" spans="1:6" x14ac:dyDescent="0.25">
      <c r="A42618" s="1" t="str">
        <f t="shared" si="1469"/>
        <v>99999</v>
      </c>
      <c r="B42618" s="1" t="str">
        <f>"99133"</f>
        <v>99133</v>
      </c>
      <c r="C42618" s="2">
        <v>1.5914350912087102E-5</v>
      </c>
      <c r="D42618" s="2">
        <v>3.01141779055288E-6</v>
      </c>
      <c r="E42618" s="2">
        <v>3.44084541571864E-5</v>
      </c>
      <c r="F42618" s="2">
        <v>1.5493034746041499E-5</v>
      </c>
    </row>
    <row r="42619" spans="1:6" x14ac:dyDescent="0.25">
      <c r="A42619" s="1" t="str">
        <f t="shared" si="1469"/>
        <v>99999</v>
      </c>
      <c r="B42619" s="1" t="str">
        <f>"23069"</f>
        <v>23069</v>
      </c>
      <c r="C42619" s="2">
        <v>3.5726093884277302E-5</v>
      </c>
      <c r="D42619" s="2">
        <v>3.6137013486634501E-5</v>
      </c>
      <c r="E42619" s="2">
        <v>0</v>
      </c>
      <c r="F42619" s="2">
        <v>3.49333394910745E-5</v>
      </c>
    </row>
    <row r="42620" spans="1:6" x14ac:dyDescent="0.25">
      <c r="A42620" s="1" t="str">
        <f t="shared" si="1469"/>
        <v>99999</v>
      </c>
      <c r="B42620" s="1" t="str">
        <f>"23070"</f>
        <v>23070</v>
      </c>
      <c r="C42620" s="2">
        <v>2.0244786534423801E-5</v>
      </c>
      <c r="D42620" s="2">
        <v>0</v>
      </c>
      <c r="E42620" s="2">
        <v>4.3010567696482999E-6</v>
      </c>
      <c r="F42620" s="2">
        <v>1.8552168995259899E-5</v>
      </c>
    </row>
    <row r="42621" spans="1:6" x14ac:dyDescent="0.25">
      <c r="A42621" s="1" t="str">
        <f t="shared" si="1469"/>
        <v>99999</v>
      </c>
      <c r="B42621" s="1" t="str">
        <f>"23313"</f>
        <v>23313</v>
      </c>
      <c r="C42621" s="2">
        <v>0</v>
      </c>
      <c r="D42621" s="2">
        <v>1.50570889527644E-6</v>
      </c>
      <c r="E42621" s="2">
        <v>0</v>
      </c>
      <c r="F42621" s="2">
        <v>9.8681749974786797E-8</v>
      </c>
    </row>
    <row r="42622" spans="1:6" x14ac:dyDescent="0.25">
      <c r="A42622" s="1" t="str">
        <f t="shared" si="1469"/>
        <v>99999</v>
      </c>
      <c r="B42622" s="1" t="str">
        <f>"39740"</f>
        <v>39740</v>
      </c>
      <c r="C42622" s="2">
        <v>2.4466961266201999E-5</v>
      </c>
      <c r="D42622" s="2">
        <v>7.5285444763821999E-6</v>
      </c>
      <c r="E42622" s="2">
        <v>0</v>
      </c>
      <c r="F42622" s="2">
        <v>2.2795484244175701E-5</v>
      </c>
    </row>
    <row r="42623" spans="1:6" x14ac:dyDescent="0.25">
      <c r="A42623" s="1" t="str">
        <f t="shared" si="1469"/>
        <v>99999</v>
      </c>
      <c r="B42623" s="1" t="str">
        <f>"40075"</f>
        <v>40075</v>
      </c>
      <c r="C42623" s="2">
        <v>1.51565246781782E-5</v>
      </c>
      <c r="D42623" s="2">
        <v>1.50570889527644E-6</v>
      </c>
      <c r="E42623" s="2">
        <v>0</v>
      </c>
      <c r="F42623" s="2">
        <v>1.39141267464449E-5</v>
      </c>
    </row>
    <row r="42624" spans="1:6" x14ac:dyDescent="0.25">
      <c r="A42624" s="1" t="str">
        <f t="shared" si="1469"/>
        <v>99999</v>
      </c>
      <c r="B42624" s="1" t="str">
        <f>"42210"</f>
        <v>42210</v>
      </c>
      <c r="C42624" s="2">
        <v>6.49565343350497E-7</v>
      </c>
      <c r="D42624" s="2">
        <v>0</v>
      </c>
      <c r="E42624" s="2">
        <v>0</v>
      </c>
      <c r="F42624" s="2">
        <v>5.9209049984871999E-7</v>
      </c>
    </row>
    <row r="42625" spans="1:6" x14ac:dyDescent="0.25">
      <c r="A42625" s="1" t="str">
        <f t="shared" si="1469"/>
        <v>99999</v>
      </c>
      <c r="B42625" s="1" t="str">
        <f>"42078"</f>
        <v>42078</v>
      </c>
      <c r="C42625" s="2">
        <v>1.8404351394930699E-5</v>
      </c>
      <c r="D42625" s="2">
        <v>3.01141779055288E-6</v>
      </c>
      <c r="E42625" s="2">
        <v>0</v>
      </c>
      <c r="F42625" s="2">
        <v>1.6973260995663299E-5</v>
      </c>
    </row>
    <row r="42626" spans="1:6" x14ac:dyDescent="0.25">
      <c r="A42626" s="1" t="str">
        <f t="shared" si="1469"/>
        <v>99999</v>
      </c>
      <c r="B42626" s="1" t="str">
        <f>"47633"</f>
        <v>47633</v>
      </c>
      <c r="C42626" s="2">
        <v>9.4186974785821993E-6</v>
      </c>
      <c r="D42626" s="2">
        <v>7.5285444763821999E-6</v>
      </c>
      <c r="E42626" s="2">
        <v>8.6021135392965999E-6</v>
      </c>
      <c r="F42626" s="2">
        <v>9.2760844976299596E-6</v>
      </c>
    </row>
    <row r="42627" spans="1:6" x14ac:dyDescent="0.25">
      <c r="A42627" s="1" t="str">
        <f t="shared" si="1469"/>
        <v>99999</v>
      </c>
      <c r="B42627" s="1" t="str">
        <f>"43529"</f>
        <v>43529</v>
      </c>
      <c r="C42627" s="2">
        <v>3.1395658261940598E-6</v>
      </c>
      <c r="D42627" s="2">
        <v>1.50570889527644E-6</v>
      </c>
      <c r="E42627" s="2">
        <v>0</v>
      </c>
      <c r="F42627" s="2">
        <v>2.9604524992435999E-6</v>
      </c>
    </row>
    <row r="42628" spans="1:6" x14ac:dyDescent="0.25">
      <c r="A42628" s="1" t="str">
        <f t="shared" si="1469"/>
        <v>99999</v>
      </c>
      <c r="B42628" s="1" t="str">
        <f>"40819"</f>
        <v>40819</v>
      </c>
      <c r="C42628" s="2">
        <v>2.92304404507723E-5</v>
      </c>
      <c r="D42628" s="2">
        <v>9.0342533716586405E-6</v>
      </c>
      <c r="E42628" s="2">
        <v>8.6021135392965999E-6</v>
      </c>
      <c r="F42628" s="2">
        <v>2.7433526492990701E-5</v>
      </c>
    </row>
    <row r="42629" spans="1:6" x14ac:dyDescent="0.25">
      <c r="A42629" s="1" t="str">
        <f t="shared" si="1469"/>
        <v>99999</v>
      </c>
      <c r="B42629" s="1" t="str">
        <f>"51242"</f>
        <v>51242</v>
      </c>
      <c r="C42629" s="2">
        <v>1.14756543991921E-5</v>
      </c>
      <c r="D42629" s="2">
        <v>0</v>
      </c>
      <c r="E42629" s="2">
        <v>1.29031703089449E-5</v>
      </c>
      <c r="F42629" s="2">
        <v>1.07563107472517E-5</v>
      </c>
    </row>
    <row r="42630" spans="1:6" x14ac:dyDescent="0.25">
      <c r="A42630" s="1" t="str">
        <f t="shared" ref="A42630:A42693" si="1470">"99999"</f>
        <v>99999</v>
      </c>
      <c r="B42630" s="1" t="str">
        <f>"49927"</f>
        <v>49927</v>
      </c>
      <c r="C42630" s="2">
        <v>8.0113059013227898E-6</v>
      </c>
      <c r="D42630" s="2">
        <v>0</v>
      </c>
      <c r="E42630" s="2">
        <v>4.3010567696482999E-6</v>
      </c>
      <c r="F42630" s="2">
        <v>7.4011312481090098E-6</v>
      </c>
    </row>
    <row r="42631" spans="1:6" x14ac:dyDescent="0.25">
      <c r="A42631" s="1" t="str">
        <f t="shared" si="1470"/>
        <v>99999</v>
      </c>
      <c r="B42631" s="1" t="str">
        <f>"49971"</f>
        <v>49971</v>
      </c>
      <c r="C42631" s="2">
        <v>2.3600874141734699E-5</v>
      </c>
      <c r="D42631" s="2">
        <v>1.50570889527644E-6</v>
      </c>
      <c r="E42631" s="2">
        <v>4.3010567696482999E-6</v>
      </c>
      <c r="F42631" s="2">
        <v>2.1709984994453001E-5</v>
      </c>
    </row>
    <row r="42632" spans="1:6" x14ac:dyDescent="0.25">
      <c r="A42632" s="1" t="str">
        <f t="shared" si="1470"/>
        <v>99999</v>
      </c>
      <c r="B42632" s="1" t="str">
        <f>"52778"</f>
        <v>52778</v>
      </c>
      <c r="C42632" s="2">
        <v>3.47517458692515E-5</v>
      </c>
      <c r="D42632" s="2">
        <v>6.0228355811057601E-6</v>
      </c>
      <c r="E42632" s="2">
        <v>0</v>
      </c>
      <c r="F42632" s="2">
        <v>3.2071568741805697E-5</v>
      </c>
    </row>
    <row r="42633" spans="1:6" x14ac:dyDescent="0.25">
      <c r="A42633" s="1" t="str">
        <f t="shared" si="1470"/>
        <v>99999</v>
      </c>
      <c r="B42633" s="1" t="str">
        <f>"52626"</f>
        <v>52626</v>
      </c>
      <c r="C42633" s="2">
        <v>4.99082705474298E-5</v>
      </c>
      <c r="D42633" s="2">
        <v>1.50570889527644E-5</v>
      </c>
      <c r="E42633" s="2">
        <v>4.3010567696482999E-5</v>
      </c>
      <c r="F42633" s="2">
        <v>4.7465921737872403E-5</v>
      </c>
    </row>
    <row r="42634" spans="1:6" x14ac:dyDescent="0.25">
      <c r="A42634" s="1" t="str">
        <f t="shared" si="1470"/>
        <v>99999</v>
      </c>
      <c r="B42634" s="1" t="str">
        <f>"52567"</f>
        <v>52567</v>
      </c>
      <c r="C42634" s="2">
        <v>1.9486960300514902E-6</v>
      </c>
      <c r="D42634" s="2">
        <v>0</v>
      </c>
      <c r="E42634" s="2">
        <v>0</v>
      </c>
      <c r="F42634" s="2">
        <v>1.77627149954616E-6</v>
      </c>
    </row>
    <row r="42635" spans="1:6" x14ac:dyDescent="0.25">
      <c r="A42635" s="1" t="str">
        <f t="shared" si="1470"/>
        <v>99999</v>
      </c>
      <c r="B42635" s="1" t="str">
        <f>"52776"</f>
        <v>52776</v>
      </c>
      <c r="C42635" s="2">
        <v>1.42904375537109E-5</v>
      </c>
      <c r="D42635" s="2">
        <v>1.0539962266935E-5</v>
      </c>
      <c r="E42635" s="2">
        <v>0</v>
      </c>
      <c r="F42635" s="2">
        <v>1.37167632464953E-5</v>
      </c>
    </row>
    <row r="42636" spans="1:6" x14ac:dyDescent="0.25">
      <c r="A42636" s="1" t="str">
        <f t="shared" si="1470"/>
        <v>99999</v>
      </c>
      <c r="B42636" s="1" t="str">
        <f>"52253"</f>
        <v>52253</v>
      </c>
      <c r="C42636" s="2">
        <v>2.3167830579501E-5</v>
      </c>
      <c r="D42636" s="2">
        <v>3.01141779055288E-6</v>
      </c>
      <c r="E42636" s="2">
        <v>0</v>
      </c>
      <c r="F42636" s="2">
        <v>2.1315257994553901E-5</v>
      </c>
    </row>
    <row r="42637" spans="1:6" x14ac:dyDescent="0.25">
      <c r="A42637" s="1" t="str">
        <f t="shared" si="1470"/>
        <v>99999</v>
      </c>
      <c r="B42637" s="1" t="str">
        <f>"52355"</f>
        <v>52355</v>
      </c>
      <c r="C42637" s="2">
        <v>1.5264785568736599E-5</v>
      </c>
      <c r="D42637" s="2">
        <v>1.50570889527644E-6</v>
      </c>
      <c r="E42637" s="2">
        <v>4.3010567696482999E-6</v>
      </c>
      <c r="F42637" s="2">
        <v>1.41114902463945E-5</v>
      </c>
    </row>
    <row r="42638" spans="1:6" x14ac:dyDescent="0.25">
      <c r="A42638" s="1" t="str">
        <f t="shared" si="1470"/>
        <v>99999</v>
      </c>
      <c r="B42638" s="1" t="str">
        <f>"57364"</f>
        <v>57364</v>
      </c>
      <c r="C42638" s="2">
        <v>4.3304356223366396E-6</v>
      </c>
      <c r="D42638" s="2">
        <v>0</v>
      </c>
      <c r="E42638" s="2">
        <v>4.3010567696482999E-6</v>
      </c>
      <c r="F42638" s="2">
        <v>4.0459517489662501E-6</v>
      </c>
    </row>
    <row r="42639" spans="1:6" x14ac:dyDescent="0.25">
      <c r="A42639" s="1" t="str">
        <f t="shared" si="1470"/>
        <v>99999</v>
      </c>
      <c r="B42639" s="1" t="str">
        <f>"56293"</f>
        <v>56293</v>
      </c>
      <c r="C42639" s="2">
        <v>5.4780010622558498E-5</v>
      </c>
      <c r="D42639" s="2">
        <v>3.1619886800805203E-5</v>
      </c>
      <c r="E42639" s="2">
        <v>4.3010567696482999E-5</v>
      </c>
      <c r="F42639" s="2">
        <v>5.2992099736460502E-5</v>
      </c>
    </row>
    <row r="42640" spans="1:6" x14ac:dyDescent="0.25">
      <c r="A42640" s="1" t="str">
        <f t="shared" si="1470"/>
        <v>99999</v>
      </c>
      <c r="B42640" s="1" t="str">
        <f>"56009"</f>
        <v>56009</v>
      </c>
      <c r="C42640" s="2">
        <v>6.49565343350497E-7</v>
      </c>
      <c r="D42640" s="2">
        <v>0</v>
      </c>
      <c r="E42640" s="2">
        <v>0</v>
      </c>
      <c r="F42640" s="2">
        <v>5.9209049984871999E-7</v>
      </c>
    </row>
    <row r="42641" spans="1:6" x14ac:dyDescent="0.25">
      <c r="A42641" s="1" t="str">
        <f t="shared" si="1470"/>
        <v>99999</v>
      </c>
      <c r="B42641" s="1" t="str">
        <f>"56088"</f>
        <v>56088</v>
      </c>
      <c r="C42641" s="2">
        <v>1.0284784603049499E-5</v>
      </c>
      <c r="D42641" s="2">
        <v>0</v>
      </c>
      <c r="E42641" s="2">
        <v>0</v>
      </c>
      <c r="F42641" s="2">
        <v>9.3747662476047397E-6</v>
      </c>
    </row>
    <row r="42642" spans="1:6" x14ac:dyDescent="0.25">
      <c r="A42642" s="1" t="str">
        <f t="shared" si="1470"/>
        <v>99999</v>
      </c>
      <c r="B42642" s="1" t="str">
        <f>"57750"</f>
        <v>57750</v>
      </c>
      <c r="C42642" s="2">
        <v>1.1042610836958401E-5</v>
      </c>
      <c r="D42642" s="2">
        <v>1.50570889527644E-6</v>
      </c>
      <c r="E42642" s="2">
        <v>4.3010567696482999E-6</v>
      </c>
      <c r="F42642" s="2">
        <v>1.02629019973778E-5</v>
      </c>
    </row>
    <row r="42643" spans="1:6" x14ac:dyDescent="0.25">
      <c r="A42643" s="1" t="str">
        <f t="shared" si="1470"/>
        <v>99999</v>
      </c>
      <c r="B42643" s="1" t="str">
        <f>"59715"</f>
        <v>59715</v>
      </c>
      <c r="C42643" s="2">
        <v>6.0626098712712997E-6</v>
      </c>
      <c r="D42643" s="2">
        <v>1.50570889527644E-6</v>
      </c>
      <c r="E42643" s="2">
        <v>0</v>
      </c>
      <c r="F42643" s="2">
        <v>5.6248597485628401E-6</v>
      </c>
    </row>
    <row r="42644" spans="1:6" x14ac:dyDescent="0.25">
      <c r="A42644" s="1" t="str">
        <f t="shared" si="1470"/>
        <v>99999</v>
      </c>
      <c r="B42644" s="1" t="str">
        <f>"58313"</f>
        <v>58313</v>
      </c>
      <c r="C42644" s="2">
        <v>3.46434849786931E-6</v>
      </c>
      <c r="D42644" s="2">
        <v>0</v>
      </c>
      <c r="E42644" s="2">
        <v>4.3010567696482999E-6</v>
      </c>
      <c r="F42644" s="2">
        <v>3.2564977491679601E-6</v>
      </c>
    </row>
    <row r="42645" spans="1:6" x14ac:dyDescent="0.25">
      <c r="A42645" s="1" t="str">
        <f t="shared" si="1470"/>
        <v>99999</v>
      </c>
      <c r="B42645" s="1" t="str">
        <f>"61949"</f>
        <v>61949</v>
      </c>
      <c r="C42645" s="2">
        <v>8.3360885729980396E-6</v>
      </c>
      <c r="D42645" s="2">
        <v>0</v>
      </c>
      <c r="E42645" s="2">
        <v>1.29031703089449E-5</v>
      </c>
      <c r="F42645" s="2">
        <v>7.8945399979829399E-6</v>
      </c>
    </row>
    <row r="42646" spans="1:6" x14ac:dyDescent="0.25">
      <c r="A42646" s="1" t="str">
        <f t="shared" si="1470"/>
        <v>99999</v>
      </c>
      <c r="B42646" s="1" t="str">
        <f>"62879"</f>
        <v>62879</v>
      </c>
      <c r="C42646" s="2">
        <v>0</v>
      </c>
      <c r="D42646" s="2">
        <v>0</v>
      </c>
      <c r="E42646" s="2">
        <v>4.3010567696482999E-6</v>
      </c>
      <c r="F42646" s="2">
        <v>9.8681749974786797E-8</v>
      </c>
    </row>
    <row r="42647" spans="1:6" x14ac:dyDescent="0.25">
      <c r="A42647" s="1" t="str">
        <f t="shared" si="1470"/>
        <v>99999</v>
      </c>
      <c r="B42647" s="1" t="str">
        <f>"63543"</f>
        <v>63543</v>
      </c>
      <c r="C42647" s="2">
        <v>1.8945655847722799E-5</v>
      </c>
      <c r="D42647" s="2">
        <v>1.20456711622115E-5</v>
      </c>
      <c r="E42647" s="2">
        <v>4.3010567696482999E-6</v>
      </c>
      <c r="F42647" s="2">
        <v>1.81574419953607E-5</v>
      </c>
    </row>
    <row r="42648" spans="1:6" x14ac:dyDescent="0.25">
      <c r="A42648" s="1" t="str">
        <f t="shared" si="1470"/>
        <v>99999</v>
      </c>
      <c r="B42648" s="1" t="str">
        <f>"66406"</f>
        <v>66406</v>
      </c>
      <c r="C42648" s="2">
        <v>2.4900004828435702E-5</v>
      </c>
      <c r="D42648" s="2">
        <v>1.0539962266935E-5</v>
      </c>
      <c r="E42648" s="2">
        <v>2.15052838482415E-5</v>
      </c>
      <c r="F42648" s="2">
        <v>2.38809834938984E-5</v>
      </c>
    </row>
    <row r="42649" spans="1:6" x14ac:dyDescent="0.25">
      <c r="A42649" s="1" t="str">
        <f t="shared" si="1470"/>
        <v>99999</v>
      </c>
      <c r="B42649" s="1" t="str">
        <f>"54466"</f>
        <v>54466</v>
      </c>
      <c r="C42649" s="2">
        <v>2.0353047424982201E-5</v>
      </c>
      <c r="D42649" s="2">
        <v>4.5171266858293203E-6</v>
      </c>
      <c r="E42649" s="2">
        <v>0</v>
      </c>
      <c r="F42649" s="2">
        <v>1.8848214245184198E-5</v>
      </c>
    </row>
    <row r="42650" spans="1:6" x14ac:dyDescent="0.25">
      <c r="A42650" s="1" t="str">
        <f t="shared" si="1470"/>
        <v>99999</v>
      </c>
      <c r="B42650" s="1" t="str">
        <f>"54560"</f>
        <v>54560</v>
      </c>
      <c r="C42650" s="2">
        <v>4.6768704721235703E-5</v>
      </c>
      <c r="D42650" s="2">
        <v>7.0768318077992694E-5</v>
      </c>
      <c r="E42650" s="2">
        <v>2.15052838482415E-5</v>
      </c>
      <c r="F42650" s="2">
        <v>4.7761966987796801E-5</v>
      </c>
    </row>
    <row r="42651" spans="1:6" x14ac:dyDescent="0.25">
      <c r="A42651" s="1" t="str">
        <f t="shared" si="1470"/>
        <v>99999</v>
      </c>
      <c r="B42651" s="1" t="str">
        <f>"57234"</f>
        <v>57234</v>
      </c>
      <c r="C42651" s="2">
        <v>7.9030450107643795E-6</v>
      </c>
      <c r="D42651" s="2">
        <v>3.01141779055288E-6</v>
      </c>
      <c r="E42651" s="2">
        <v>0</v>
      </c>
      <c r="F42651" s="2">
        <v>7.4011312481090098E-6</v>
      </c>
    </row>
    <row r="42652" spans="1:6" x14ac:dyDescent="0.25">
      <c r="A42652" s="1" t="str">
        <f t="shared" si="1470"/>
        <v>99999</v>
      </c>
      <c r="B42652" s="1" t="str">
        <f>"57330"</f>
        <v>57330</v>
      </c>
      <c r="C42652" s="2">
        <v>2.1760439002241601E-5</v>
      </c>
      <c r="D42652" s="2">
        <v>9.0342533716586405E-6</v>
      </c>
      <c r="E42652" s="2">
        <v>4.3010567696482999E-6</v>
      </c>
      <c r="F42652" s="2">
        <v>2.0525803994755599E-5</v>
      </c>
    </row>
    <row r="42653" spans="1:6" x14ac:dyDescent="0.25">
      <c r="A42653" s="1" t="str">
        <f t="shared" si="1470"/>
        <v>99999</v>
      </c>
      <c r="B42653" s="1" t="str">
        <f>"57278"</f>
        <v>57278</v>
      </c>
      <c r="C42653" s="2">
        <v>2.9555223122447599E-5</v>
      </c>
      <c r="D42653" s="2">
        <v>1.80685067433172E-5</v>
      </c>
      <c r="E42653" s="2">
        <v>3.01073973875381E-5</v>
      </c>
      <c r="F42653" s="2">
        <v>2.88150709926377E-5</v>
      </c>
    </row>
    <row r="42654" spans="1:6" x14ac:dyDescent="0.25">
      <c r="A42654" s="1" t="str">
        <f t="shared" si="1470"/>
        <v>99999</v>
      </c>
      <c r="B42654" s="1" t="str">
        <f>"57024"</f>
        <v>57024</v>
      </c>
      <c r="C42654" s="2">
        <v>2.1976960783358401E-5</v>
      </c>
      <c r="D42654" s="2">
        <v>2.55970512196994E-5</v>
      </c>
      <c r="E42654" s="2">
        <v>4.7311624466131299E-5</v>
      </c>
      <c r="F42654" s="2">
        <v>2.2795484244175701E-5</v>
      </c>
    </row>
    <row r="42655" spans="1:6" x14ac:dyDescent="0.25">
      <c r="A42655" s="1" t="str">
        <f t="shared" si="1470"/>
        <v>99999</v>
      </c>
      <c r="B42655" s="1" t="str">
        <f>"57057"</f>
        <v>57057</v>
      </c>
      <c r="C42655" s="2">
        <v>7.7947841202059606E-6</v>
      </c>
      <c r="D42655" s="2">
        <v>6.0228355811057601E-6</v>
      </c>
      <c r="E42655" s="2">
        <v>8.6021135392965999E-6</v>
      </c>
      <c r="F42655" s="2">
        <v>7.6971764980333696E-6</v>
      </c>
    </row>
    <row r="42656" spans="1:6" x14ac:dyDescent="0.25">
      <c r="A42656" s="1" t="str">
        <f t="shared" si="1470"/>
        <v>99999</v>
      </c>
      <c r="B42656" s="1" t="str">
        <f>"57383"</f>
        <v>57383</v>
      </c>
      <c r="C42656" s="2">
        <v>3.5942615665394102E-5</v>
      </c>
      <c r="D42656" s="2">
        <v>1.9574215638593701E-5</v>
      </c>
      <c r="E42656" s="2">
        <v>1.72042270785932E-5</v>
      </c>
      <c r="F42656" s="2">
        <v>3.4439930741200501E-5</v>
      </c>
    </row>
    <row r="42657" spans="1:6" x14ac:dyDescent="0.25">
      <c r="A42657" s="1" t="str">
        <f t="shared" si="1470"/>
        <v>99999</v>
      </c>
      <c r="B42657" s="1" t="str">
        <f>"56453"</f>
        <v>56453</v>
      </c>
      <c r="C42657" s="2">
        <v>2.30595696889426E-5</v>
      </c>
      <c r="D42657" s="2">
        <v>0</v>
      </c>
      <c r="E42657" s="2">
        <v>8.6021135392965999E-6</v>
      </c>
      <c r="F42657" s="2">
        <v>2.12165762445791E-5</v>
      </c>
    </row>
    <row r="42658" spans="1:6" x14ac:dyDescent="0.25">
      <c r="A42658" s="1" t="str">
        <f t="shared" si="1470"/>
        <v>99999</v>
      </c>
      <c r="B42658" s="1" t="str">
        <f>"56652"</f>
        <v>56652</v>
      </c>
      <c r="C42658" s="2">
        <v>2.9555223122447599E-5</v>
      </c>
      <c r="D42658" s="2">
        <v>3.01141779055288E-6</v>
      </c>
      <c r="E42658" s="2">
        <v>0</v>
      </c>
      <c r="F42658" s="2">
        <v>2.7137481243066299E-5</v>
      </c>
    </row>
    <row r="42659" spans="1:6" x14ac:dyDescent="0.25">
      <c r="A42659" s="1" t="str">
        <f t="shared" si="1470"/>
        <v>99999</v>
      </c>
      <c r="B42659" s="1" t="str">
        <f>"56519"</f>
        <v>56519</v>
      </c>
      <c r="C42659" s="2">
        <v>9.8517410408158696E-6</v>
      </c>
      <c r="D42659" s="2">
        <v>4.5171266858293203E-6</v>
      </c>
      <c r="E42659" s="2">
        <v>8.6021135392965999E-6</v>
      </c>
      <c r="F42659" s="2">
        <v>9.4734479975795299E-6</v>
      </c>
    </row>
    <row r="42660" spans="1:6" x14ac:dyDescent="0.25">
      <c r="A42660" s="1" t="str">
        <f t="shared" si="1470"/>
        <v>99999</v>
      </c>
      <c r="B42660" s="1" t="str">
        <f>"56744"</f>
        <v>56744</v>
      </c>
      <c r="C42660" s="2">
        <v>2.4900004828435702E-5</v>
      </c>
      <c r="D42660" s="2">
        <v>1.65627978480408E-5</v>
      </c>
      <c r="E42660" s="2">
        <v>4.3010567696482999E-6</v>
      </c>
      <c r="F42660" s="2">
        <v>2.38809834938984E-5</v>
      </c>
    </row>
    <row r="42661" spans="1:6" x14ac:dyDescent="0.25">
      <c r="A42661" s="1" t="str">
        <f t="shared" si="1470"/>
        <v>99999</v>
      </c>
      <c r="B42661" s="1" t="str">
        <f>"56136"</f>
        <v>56136</v>
      </c>
      <c r="C42661" s="2">
        <v>8.5850886212824004E-5</v>
      </c>
      <c r="D42661" s="2">
        <v>2.4091342324423E-5</v>
      </c>
      <c r="E42661" s="2">
        <v>6.0214794775076199E-5</v>
      </c>
      <c r="F42661" s="2">
        <v>8.1215080229249501E-5</v>
      </c>
    </row>
    <row r="42662" spans="1:6" x14ac:dyDescent="0.25">
      <c r="A42662" s="1" t="str">
        <f t="shared" si="1470"/>
        <v>99999</v>
      </c>
      <c r="B42662" s="1" t="str">
        <f>"56098"</f>
        <v>56098</v>
      </c>
      <c r="C42662" s="2">
        <v>1.2460828503273701E-4</v>
      </c>
      <c r="D42662" s="2">
        <v>3.01141779055288E-5</v>
      </c>
      <c r="E42662" s="2">
        <v>1.11827476010855E-4</v>
      </c>
      <c r="F42662" s="2">
        <v>1.18122054719819E-4</v>
      </c>
    </row>
    <row r="42663" spans="1:6" x14ac:dyDescent="0.25">
      <c r="A42663" s="1" t="str">
        <f t="shared" si="1470"/>
        <v>99999</v>
      </c>
      <c r="B42663" s="1" t="str">
        <f>"56058"</f>
        <v>56058</v>
      </c>
      <c r="C42663" s="2">
        <v>2.5766091952903002E-5</v>
      </c>
      <c r="D42663" s="2">
        <v>1.50570889527644E-6</v>
      </c>
      <c r="E42663" s="2">
        <v>1.72042270785932E-5</v>
      </c>
      <c r="F42663" s="2">
        <v>2.3979665243873099E-5</v>
      </c>
    </row>
    <row r="42664" spans="1:6" x14ac:dyDescent="0.25">
      <c r="A42664" s="1" t="str">
        <f t="shared" si="1470"/>
        <v>99999</v>
      </c>
      <c r="B42664" s="1" t="str">
        <f>"55366"</f>
        <v>55366</v>
      </c>
      <c r="C42664" s="2">
        <v>5.3047836373623898E-6</v>
      </c>
      <c r="D42664" s="2">
        <v>0</v>
      </c>
      <c r="E42664" s="2">
        <v>4.3010567696482999E-6</v>
      </c>
      <c r="F42664" s="2">
        <v>4.9340874987393404E-6</v>
      </c>
    </row>
    <row r="42665" spans="1:6" x14ac:dyDescent="0.25">
      <c r="A42665" s="1" t="str">
        <f t="shared" si="1470"/>
        <v>99999</v>
      </c>
      <c r="B42665" s="1" t="str">
        <f>"57773"</f>
        <v>57773</v>
      </c>
      <c r="C42665" s="2">
        <v>1.0284784603049499E-5</v>
      </c>
      <c r="D42665" s="2">
        <v>0</v>
      </c>
      <c r="E42665" s="2">
        <v>1.29031703089449E-5</v>
      </c>
      <c r="F42665" s="2">
        <v>9.6708114975291003E-6</v>
      </c>
    </row>
    <row r="42666" spans="1:6" x14ac:dyDescent="0.25">
      <c r="A42666" s="1" t="str">
        <f t="shared" si="1470"/>
        <v>99999</v>
      </c>
      <c r="B42666" s="1" t="str">
        <f>"57461"</f>
        <v>57461</v>
      </c>
      <c r="C42666" s="2">
        <v>2.15439172211248E-5</v>
      </c>
      <c r="D42666" s="2">
        <v>7.5285444763821999E-6</v>
      </c>
      <c r="E42666" s="2">
        <v>4.3010567696482999E-6</v>
      </c>
      <c r="F42666" s="2">
        <v>2.0229758744831201E-5</v>
      </c>
    </row>
    <row r="42667" spans="1:6" x14ac:dyDescent="0.25">
      <c r="A42667" s="1" t="str">
        <f t="shared" si="1470"/>
        <v>99999</v>
      </c>
      <c r="B42667" s="1" t="str">
        <f>"59874"</f>
        <v>59874</v>
      </c>
      <c r="C42667" s="2">
        <v>7.0586100644087294E-5</v>
      </c>
      <c r="D42667" s="2">
        <v>4.5171266858293199E-5</v>
      </c>
      <c r="E42667" s="2">
        <v>2.58063406178898E-5</v>
      </c>
      <c r="F42667" s="2">
        <v>6.7893043982653303E-5</v>
      </c>
    </row>
    <row r="42668" spans="1:6" x14ac:dyDescent="0.25">
      <c r="A42668" s="1" t="str">
        <f t="shared" si="1470"/>
        <v>99999</v>
      </c>
      <c r="B42668" s="1" t="str">
        <f>"58759"</f>
        <v>58759</v>
      </c>
      <c r="C42668" s="2">
        <v>1.6563916255437601E-5</v>
      </c>
      <c r="D42668" s="2">
        <v>4.5171266858293203E-6</v>
      </c>
      <c r="E42668" s="2">
        <v>2.15052838482415E-5</v>
      </c>
      <c r="F42668" s="2">
        <v>1.5887761745940599E-5</v>
      </c>
    </row>
    <row r="42669" spans="1:6" x14ac:dyDescent="0.25">
      <c r="A42669" s="1" t="str">
        <f t="shared" si="1470"/>
        <v>99999</v>
      </c>
      <c r="B42669" s="1" t="str">
        <f>"58529"</f>
        <v>58529</v>
      </c>
      <c r="C42669" s="2">
        <v>3.4968267650368402E-5</v>
      </c>
      <c r="D42669" s="2">
        <v>1.35513800574879E-5</v>
      </c>
      <c r="E42669" s="2">
        <v>5.1612681235779599E-5</v>
      </c>
      <c r="F42669" s="2">
        <v>3.3946521991326597E-5</v>
      </c>
    </row>
    <row r="42670" spans="1:6" x14ac:dyDescent="0.25">
      <c r="A42670" s="1" t="str">
        <f t="shared" si="1470"/>
        <v>99999</v>
      </c>
      <c r="B42670" s="1" t="str">
        <f>"59486"</f>
        <v>59486</v>
      </c>
      <c r="C42670" s="2">
        <v>5.1965227468039699E-5</v>
      </c>
      <c r="D42670" s="2">
        <v>0</v>
      </c>
      <c r="E42670" s="2">
        <v>2.15052838482415E-5</v>
      </c>
      <c r="F42670" s="2">
        <v>4.7860648737771598E-5</v>
      </c>
    </row>
    <row r="42671" spans="1:6" x14ac:dyDescent="0.25">
      <c r="A42671" s="1" t="str">
        <f t="shared" si="1470"/>
        <v>99999</v>
      </c>
      <c r="B42671" s="1" t="str">
        <f>"59520"</f>
        <v>59520</v>
      </c>
      <c r="C42671" s="2">
        <v>2.7065222639604001E-5</v>
      </c>
      <c r="D42671" s="2">
        <v>7.5285444763821999E-6</v>
      </c>
      <c r="E42671" s="2">
        <v>4.3010567696482999E-6</v>
      </c>
      <c r="F42671" s="2">
        <v>2.52625279935454E-5</v>
      </c>
    </row>
    <row r="42672" spans="1:6" x14ac:dyDescent="0.25">
      <c r="A42672" s="1" t="str">
        <f t="shared" si="1470"/>
        <v>99999</v>
      </c>
      <c r="B42672" s="1" t="str">
        <f>"59241"</f>
        <v>59241</v>
      </c>
      <c r="C42672" s="2">
        <v>1.50482637876198E-5</v>
      </c>
      <c r="D42672" s="2">
        <v>3.01141779055288E-6</v>
      </c>
      <c r="E42672" s="2">
        <v>4.3010567696482999E-6</v>
      </c>
      <c r="F42672" s="2">
        <v>1.4012808496419701E-5</v>
      </c>
    </row>
    <row r="42673" spans="1:6" x14ac:dyDescent="0.25">
      <c r="A42673" s="1" t="str">
        <f t="shared" si="1470"/>
        <v>99999</v>
      </c>
      <c r="B42673" s="1" t="str">
        <f>"59223"</f>
        <v>59223</v>
      </c>
      <c r="C42673" s="2">
        <v>7.0369578862970498E-6</v>
      </c>
      <c r="D42673" s="2">
        <v>3.01141779055288E-6</v>
      </c>
      <c r="E42673" s="2">
        <v>2.15052838482415E-5</v>
      </c>
      <c r="F42673" s="2">
        <v>7.10508599818465E-6</v>
      </c>
    </row>
    <row r="42674" spans="1:6" x14ac:dyDescent="0.25">
      <c r="A42674" s="1" t="str">
        <f t="shared" si="1470"/>
        <v>99999</v>
      </c>
      <c r="B42674" s="1" t="str">
        <f>"59324"</f>
        <v>59324</v>
      </c>
      <c r="C42674" s="2">
        <v>2.6415657296253501E-5</v>
      </c>
      <c r="D42674" s="2">
        <v>4.5171266858293203E-6</v>
      </c>
      <c r="E42674" s="2">
        <v>2.58063406178898E-5</v>
      </c>
      <c r="F42674" s="2">
        <v>2.4966482743620998E-5</v>
      </c>
    </row>
    <row r="42675" spans="1:6" x14ac:dyDescent="0.25">
      <c r="A42675" s="1" t="str">
        <f t="shared" si="1470"/>
        <v>99999</v>
      </c>
      <c r="B42675" s="1" t="str">
        <f>"59252"</f>
        <v>59252</v>
      </c>
      <c r="C42675" s="2">
        <v>9.3104365880237906E-6</v>
      </c>
      <c r="D42675" s="2">
        <v>3.01141779055288E-6</v>
      </c>
      <c r="E42675" s="2">
        <v>4.3010567696482999E-6</v>
      </c>
      <c r="F42675" s="2">
        <v>8.7826757477560201E-6</v>
      </c>
    </row>
    <row r="42676" spans="1:6" x14ac:dyDescent="0.25">
      <c r="A42676" s="1" t="str">
        <f t="shared" si="1470"/>
        <v>99999</v>
      </c>
      <c r="B42676" s="1" t="str">
        <f>"59529"</f>
        <v>59529</v>
      </c>
      <c r="C42676" s="2">
        <v>4.8717400751287203E-6</v>
      </c>
      <c r="D42676" s="2">
        <v>1.50570889527644E-6</v>
      </c>
      <c r="E42676" s="2">
        <v>4.3010567696482999E-6</v>
      </c>
      <c r="F42676" s="2">
        <v>4.6380422488149798E-6</v>
      </c>
    </row>
    <row r="42677" spans="1:6" x14ac:dyDescent="0.25">
      <c r="A42677" s="1" t="str">
        <f t="shared" si="1470"/>
        <v>99999</v>
      </c>
      <c r="B42677" s="1" t="str">
        <f>"59274"</f>
        <v>59274</v>
      </c>
      <c r="C42677" s="2">
        <v>1.16921761803089E-5</v>
      </c>
      <c r="D42677" s="2">
        <v>4.5171266858293203E-6</v>
      </c>
      <c r="E42677" s="2">
        <v>4.3010567696482999E-6</v>
      </c>
      <c r="F42677" s="2">
        <v>1.10523559971761E-5</v>
      </c>
    </row>
    <row r="42678" spans="1:6" x14ac:dyDescent="0.25">
      <c r="A42678" s="1" t="str">
        <f t="shared" si="1470"/>
        <v>99999</v>
      </c>
      <c r="B42678" s="1" t="str">
        <f>"59733"</f>
        <v>59733</v>
      </c>
      <c r="C42678" s="2">
        <v>1.39656548820356E-5</v>
      </c>
      <c r="D42678" s="2">
        <v>1.65627978480408E-5</v>
      </c>
      <c r="E42678" s="2">
        <v>4.3010567696482999E-6</v>
      </c>
      <c r="F42678" s="2">
        <v>1.39141267464449E-5</v>
      </c>
    </row>
    <row r="42679" spans="1:6" x14ac:dyDescent="0.25">
      <c r="A42679" s="1" t="str">
        <f t="shared" si="1470"/>
        <v>99999</v>
      </c>
      <c r="B42679" s="1" t="str">
        <f>"58219"</f>
        <v>58219</v>
      </c>
      <c r="C42679" s="2">
        <v>4.0056529506613898E-6</v>
      </c>
      <c r="D42679" s="2">
        <v>0</v>
      </c>
      <c r="E42679" s="2">
        <v>4.3010567696482999E-6</v>
      </c>
      <c r="F42679" s="2">
        <v>3.7499064990418899E-6</v>
      </c>
    </row>
    <row r="42680" spans="1:6" x14ac:dyDescent="0.25">
      <c r="A42680" s="1" t="str">
        <f t="shared" si="1470"/>
        <v>99999</v>
      </c>
      <c r="B42680" s="1" t="str">
        <f>"58229"</f>
        <v>58229</v>
      </c>
      <c r="C42680" s="2">
        <v>6.49565343350497E-6</v>
      </c>
      <c r="D42680" s="2">
        <v>0</v>
      </c>
      <c r="E42680" s="2">
        <v>4.3010567696482999E-6</v>
      </c>
      <c r="F42680" s="2">
        <v>6.0195867484619901E-6</v>
      </c>
    </row>
    <row r="42681" spans="1:6" x14ac:dyDescent="0.25">
      <c r="A42681" s="1" t="str">
        <f t="shared" si="1470"/>
        <v>99999</v>
      </c>
      <c r="B42681" s="1" t="str">
        <f>"58484"</f>
        <v>58484</v>
      </c>
      <c r="C42681" s="2">
        <v>5.1965227468039701E-6</v>
      </c>
      <c r="D42681" s="2">
        <v>4.5171266858293203E-6</v>
      </c>
      <c r="E42681" s="2">
        <v>8.6021135392965999E-6</v>
      </c>
      <c r="F42681" s="2">
        <v>5.2301327486637002E-6</v>
      </c>
    </row>
    <row r="42682" spans="1:6" x14ac:dyDescent="0.25">
      <c r="A42682" s="1" t="str">
        <f t="shared" si="1470"/>
        <v>99999</v>
      </c>
      <c r="B42682" s="1" t="str">
        <f>"58325"</f>
        <v>58325</v>
      </c>
      <c r="C42682" s="2">
        <v>3.8973920601029803E-6</v>
      </c>
      <c r="D42682" s="2">
        <v>9.0342533716586405E-6</v>
      </c>
      <c r="E42682" s="2">
        <v>0</v>
      </c>
      <c r="F42682" s="2">
        <v>4.1446334989410403E-6</v>
      </c>
    </row>
    <row r="42683" spans="1:6" x14ac:dyDescent="0.25">
      <c r="A42683" s="1" t="str">
        <f t="shared" si="1470"/>
        <v>99999</v>
      </c>
      <c r="B42683" s="1" t="str">
        <f>"58223"</f>
        <v>58223</v>
      </c>
      <c r="C42683" s="2">
        <v>2.0569569206098999E-5</v>
      </c>
      <c r="D42683" s="2">
        <v>4.5171266858293203E-6</v>
      </c>
      <c r="E42683" s="2">
        <v>4.3010567696482999E-6</v>
      </c>
      <c r="F42683" s="2">
        <v>1.91442594951086E-5</v>
      </c>
    </row>
    <row r="42684" spans="1:6" x14ac:dyDescent="0.25">
      <c r="A42684" s="1" t="str">
        <f t="shared" si="1470"/>
        <v>99999</v>
      </c>
      <c r="B42684" s="1" t="str">
        <f>"58377"</f>
        <v>58377</v>
      </c>
      <c r="C42684" s="2">
        <v>1.43986984442693E-5</v>
      </c>
      <c r="D42684" s="2">
        <v>0</v>
      </c>
      <c r="E42684" s="2">
        <v>8.6021135392965999E-6</v>
      </c>
      <c r="F42684" s="2">
        <v>1.3322036246596199E-5</v>
      </c>
    </row>
    <row r="42685" spans="1:6" x14ac:dyDescent="0.25">
      <c r="A42685" s="1" t="str">
        <f t="shared" si="1470"/>
        <v>99999</v>
      </c>
      <c r="B42685" s="1" t="str">
        <f>"58486"</f>
        <v>58486</v>
      </c>
      <c r="C42685" s="2">
        <v>1.13673935086336E-5</v>
      </c>
      <c r="D42685" s="2">
        <v>4.5171266858293203E-6</v>
      </c>
      <c r="E42685" s="2">
        <v>1.29031703089449E-5</v>
      </c>
      <c r="F42685" s="2">
        <v>1.0953674247201299E-5</v>
      </c>
    </row>
    <row r="42686" spans="1:6" x14ac:dyDescent="0.25">
      <c r="A42686" s="1" t="str">
        <f t="shared" si="1470"/>
        <v>99999</v>
      </c>
      <c r="B42686" s="1" t="str">
        <f>"61756"</f>
        <v>61756</v>
      </c>
      <c r="C42686" s="2">
        <v>1.18004370708673E-5</v>
      </c>
      <c r="D42686" s="2">
        <v>3.01141779055288E-6</v>
      </c>
      <c r="E42686" s="2">
        <v>0</v>
      </c>
      <c r="F42686" s="2">
        <v>1.0953674247201299E-5</v>
      </c>
    </row>
    <row r="42687" spans="1:6" x14ac:dyDescent="0.25">
      <c r="A42687" s="1" t="str">
        <f t="shared" si="1470"/>
        <v>99999</v>
      </c>
      <c r="B42687" s="1" t="str">
        <f>"61955"</f>
        <v>61955</v>
      </c>
      <c r="C42687" s="2">
        <v>1.0393045493607899E-5</v>
      </c>
      <c r="D42687" s="2">
        <v>0</v>
      </c>
      <c r="E42687" s="2">
        <v>4.3010567696482999E-6</v>
      </c>
      <c r="F42687" s="2">
        <v>9.5721297475543202E-6</v>
      </c>
    </row>
    <row r="42688" spans="1:6" x14ac:dyDescent="0.25">
      <c r="A42688" s="1" t="str">
        <f t="shared" si="1470"/>
        <v>99999</v>
      </c>
      <c r="B42688" s="1" t="str">
        <f>"62027"</f>
        <v>62027</v>
      </c>
      <c r="C42688" s="2">
        <v>1.8187829613813899E-5</v>
      </c>
      <c r="D42688" s="2">
        <v>7.5285444763821999E-6</v>
      </c>
      <c r="E42688" s="2">
        <v>8.6021135392965999E-6</v>
      </c>
      <c r="F42688" s="2">
        <v>1.7269306245587602E-5</v>
      </c>
    </row>
    <row r="42689" spans="1:6" x14ac:dyDescent="0.25">
      <c r="A42689" s="1" t="str">
        <f t="shared" si="1470"/>
        <v>99999</v>
      </c>
      <c r="B42689" s="1" t="str">
        <f>"62886"</f>
        <v>62886</v>
      </c>
      <c r="C42689" s="2">
        <v>1.3749133100918801E-5</v>
      </c>
      <c r="D42689" s="2">
        <v>4.5171266858293203E-6</v>
      </c>
      <c r="E42689" s="2">
        <v>4.3010567696482999E-6</v>
      </c>
      <c r="F42689" s="2">
        <v>1.2927309246696999E-5</v>
      </c>
    </row>
    <row r="42690" spans="1:6" x14ac:dyDescent="0.25">
      <c r="A42690" s="1" t="str">
        <f t="shared" si="1470"/>
        <v>99999</v>
      </c>
      <c r="B42690" s="1" t="str">
        <f>"62862"</f>
        <v>62862</v>
      </c>
      <c r="C42690" s="2">
        <v>2.0244786534423801E-5</v>
      </c>
      <c r="D42690" s="2">
        <v>7.5285444763821999E-6</v>
      </c>
      <c r="E42690" s="2">
        <v>4.3010567696482999E-6</v>
      </c>
      <c r="F42690" s="2">
        <v>1.9045577745133799E-5</v>
      </c>
    </row>
    <row r="42691" spans="1:6" x14ac:dyDescent="0.25">
      <c r="A42691" s="1" t="str">
        <f t="shared" si="1470"/>
        <v>99999</v>
      </c>
      <c r="B42691" s="1" t="str">
        <f>"62433"</f>
        <v>62433</v>
      </c>
      <c r="C42691" s="2">
        <v>3.7891311695445598E-5</v>
      </c>
      <c r="D42691" s="2">
        <v>9.0342533716586405E-6</v>
      </c>
      <c r="E42691" s="2">
        <v>2.58063406178898E-5</v>
      </c>
      <c r="F42691" s="2">
        <v>3.5722793490872802E-5</v>
      </c>
    </row>
    <row r="42692" spans="1:6" x14ac:dyDescent="0.25">
      <c r="A42692" s="1" t="str">
        <f t="shared" si="1470"/>
        <v>99999</v>
      </c>
      <c r="B42692" s="1" t="str">
        <f>"63626"</f>
        <v>63626</v>
      </c>
      <c r="C42692" s="2">
        <v>4.2005225536665402E-5</v>
      </c>
      <c r="D42692" s="2">
        <v>1.0539962266935E-5</v>
      </c>
      <c r="E42692" s="2">
        <v>4.3010567696482999E-6</v>
      </c>
      <c r="F42692" s="2">
        <v>3.9077972990015501E-5</v>
      </c>
    </row>
    <row r="42693" spans="1:6" x14ac:dyDescent="0.25">
      <c r="A42693" s="1" t="str">
        <f t="shared" si="1470"/>
        <v>99999</v>
      </c>
      <c r="B42693" s="1" t="str">
        <f>"63783"</f>
        <v>63783</v>
      </c>
      <c r="C42693" s="2">
        <v>8.1195667918812104E-6</v>
      </c>
      <c r="D42693" s="2">
        <v>6.0228355811057601E-6</v>
      </c>
      <c r="E42693" s="2">
        <v>4.3010567696482999E-6</v>
      </c>
      <c r="F42693" s="2">
        <v>7.8945399979829399E-6</v>
      </c>
    </row>
    <row r="42694" spans="1:6" x14ac:dyDescent="0.25">
      <c r="A42694" s="1" t="str">
        <f t="shared" ref="A42694:A42757" si="1471">"99999"</f>
        <v>99999</v>
      </c>
      <c r="B42694" s="1" t="str">
        <f>"64874"</f>
        <v>64874</v>
      </c>
      <c r="C42694" s="2">
        <v>4.98000096568714E-6</v>
      </c>
      <c r="D42694" s="2">
        <v>1.50570889527644E-6</v>
      </c>
      <c r="E42694" s="2">
        <v>1.72042270785932E-5</v>
      </c>
      <c r="F42694" s="2">
        <v>5.0327692487141197E-6</v>
      </c>
    </row>
    <row r="42695" spans="1:6" x14ac:dyDescent="0.25">
      <c r="A42695" s="1" t="str">
        <f t="shared" si="1471"/>
        <v>99999</v>
      </c>
      <c r="B42695" s="1" t="str">
        <f>"64636"</f>
        <v>64636</v>
      </c>
      <c r="C42695" s="2">
        <v>1.69969598176713E-5</v>
      </c>
      <c r="D42695" s="2">
        <v>1.0539962266935E-5</v>
      </c>
      <c r="E42695" s="2">
        <v>4.3010567696482999E-6</v>
      </c>
      <c r="F42695" s="2">
        <v>1.6282488745839801E-5</v>
      </c>
    </row>
    <row r="42696" spans="1:6" x14ac:dyDescent="0.25">
      <c r="A42696" s="1" t="str">
        <f t="shared" si="1471"/>
        <v>99999</v>
      </c>
      <c r="B42696" s="1" t="str">
        <f>"63943"</f>
        <v>63943</v>
      </c>
      <c r="C42696" s="2">
        <v>5.2398271030273401E-5</v>
      </c>
      <c r="D42696" s="2">
        <v>2.8608469010252301E-5</v>
      </c>
      <c r="E42696" s="2">
        <v>4.3010567696482999E-6</v>
      </c>
      <c r="F42696" s="2">
        <v>4.9735601987292497E-5</v>
      </c>
    </row>
    <row r="42697" spans="1:6" x14ac:dyDescent="0.25">
      <c r="A42697" s="1" t="str">
        <f t="shared" si="1471"/>
        <v>99999</v>
      </c>
      <c r="B42697" s="1" t="str">
        <f>"63559"</f>
        <v>63559</v>
      </c>
      <c r="C42697" s="2">
        <v>3.6808702789861401E-6</v>
      </c>
      <c r="D42697" s="2">
        <v>0</v>
      </c>
      <c r="E42697" s="2">
        <v>0</v>
      </c>
      <c r="F42697" s="2">
        <v>3.35517949914275E-6</v>
      </c>
    </row>
    <row r="42698" spans="1:6" x14ac:dyDescent="0.25">
      <c r="A42698" s="1" t="str">
        <f t="shared" si="1471"/>
        <v>99999</v>
      </c>
      <c r="B42698" s="1" t="str">
        <f>"63431"</f>
        <v>63431</v>
      </c>
      <c r="C42698" s="2">
        <v>1.85126122854891E-5</v>
      </c>
      <c r="D42698" s="2">
        <v>4.5171266858293203E-6</v>
      </c>
      <c r="E42698" s="2">
        <v>4.3010567696482999E-6</v>
      </c>
      <c r="F42698" s="2">
        <v>1.7269306245587602E-5</v>
      </c>
    </row>
    <row r="42699" spans="1:6" x14ac:dyDescent="0.25">
      <c r="A42699" s="1" t="str">
        <f t="shared" si="1471"/>
        <v>99999</v>
      </c>
      <c r="B42699" s="1" t="str">
        <f>"63343"</f>
        <v>63343</v>
      </c>
      <c r="C42699" s="2">
        <v>1.62391335837624E-6</v>
      </c>
      <c r="D42699" s="2">
        <v>0</v>
      </c>
      <c r="E42699" s="2">
        <v>0</v>
      </c>
      <c r="F42699" s="2">
        <v>1.4802262496218E-6</v>
      </c>
    </row>
    <row r="42700" spans="1:6" x14ac:dyDescent="0.25">
      <c r="A42700" s="1" t="str">
        <f t="shared" si="1471"/>
        <v>99999</v>
      </c>
      <c r="B42700" s="1" t="str">
        <f>"51651"</f>
        <v>51651</v>
      </c>
      <c r="C42700" s="2">
        <v>7.7947841202059606E-6</v>
      </c>
      <c r="D42700" s="2">
        <v>6.0228355811057601E-6</v>
      </c>
      <c r="E42700" s="2">
        <v>8.6021135392965999E-6</v>
      </c>
      <c r="F42700" s="2">
        <v>7.6971764980333696E-6</v>
      </c>
    </row>
    <row r="42701" spans="1:6" x14ac:dyDescent="0.25">
      <c r="A42701" s="1" t="str">
        <f t="shared" si="1471"/>
        <v>99999</v>
      </c>
      <c r="B42701" s="1" t="str">
        <f>"67862"</f>
        <v>67862</v>
      </c>
      <c r="C42701" s="2">
        <v>1.2233480633101E-5</v>
      </c>
      <c r="D42701" s="2">
        <v>6.0228355811057601E-6</v>
      </c>
      <c r="E42701" s="2">
        <v>8.6021135392965999E-6</v>
      </c>
      <c r="F42701" s="2">
        <v>1.1743128246999599E-5</v>
      </c>
    </row>
    <row r="42702" spans="1:6" x14ac:dyDescent="0.25">
      <c r="A42702" s="1" t="str">
        <f t="shared" si="1471"/>
        <v>99999</v>
      </c>
      <c r="B42702" s="1" t="str">
        <f>"67863"</f>
        <v>67863</v>
      </c>
      <c r="C42702" s="2">
        <v>1.9703482081631699E-5</v>
      </c>
      <c r="D42702" s="2">
        <v>1.0539962266935E-5</v>
      </c>
      <c r="E42702" s="2">
        <v>3.01073973875381E-5</v>
      </c>
      <c r="F42702" s="2">
        <v>1.9341622995058201E-5</v>
      </c>
    </row>
    <row r="42703" spans="1:6" x14ac:dyDescent="0.25">
      <c r="A42703" s="1" t="str">
        <f t="shared" si="1471"/>
        <v>99999</v>
      </c>
      <c r="B42703" s="1" t="str">
        <f>"67155"</f>
        <v>67155</v>
      </c>
      <c r="C42703" s="2">
        <v>9.8517410408158696E-6</v>
      </c>
      <c r="D42703" s="2">
        <v>0</v>
      </c>
      <c r="E42703" s="2">
        <v>4.3010567696482999E-6</v>
      </c>
      <c r="F42703" s="2">
        <v>9.0787209976803807E-6</v>
      </c>
    </row>
    <row r="42704" spans="1:6" x14ac:dyDescent="0.25">
      <c r="A42704" s="1" t="str">
        <f t="shared" si="1471"/>
        <v>99999</v>
      </c>
      <c r="B42704" s="1" t="str">
        <f>"67065"</f>
        <v>67065</v>
      </c>
      <c r="C42704" s="2">
        <v>1.39656548820356E-5</v>
      </c>
      <c r="D42704" s="2">
        <v>7.5285444763821999E-6</v>
      </c>
      <c r="E42704" s="2">
        <v>8.6021135392965999E-6</v>
      </c>
      <c r="F42704" s="2">
        <v>1.3420717996571E-5</v>
      </c>
    </row>
    <row r="42705" spans="1:6" x14ac:dyDescent="0.25">
      <c r="A42705" s="1" t="str">
        <f t="shared" si="1471"/>
        <v>99999</v>
      </c>
      <c r="B42705" s="1" t="str">
        <f>"67053"</f>
        <v>67053</v>
      </c>
      <c r="C42705" s="2">
        <v>2.6523918186811901E-5</v>
      </c>
      <c r="D42705" s="2">
        <v>4.8182684648845999E-5</v>
      </c>
      <c r="E42705" s="2">
        <v>2.58063406178898E-5</v>
      </c>
      <c r="F42705" s="2">
        <v>2.7926935242864601E-5</v>
      </c>
    </row>
    <row r="42706" spans="1:6" x14ac:dyDescent="0.25">
      <c r="A42706" s="1" t="str">
        <f t="shared" si="1471"/>
        <v>99999</v>
      </c>
      <c r="B42706" s="1" t="str">
        <f>"67458"</f>
        <v>67458</v>
      </c>
      <c r="C42706" s="2">
        <v>1.2991306867009899E-5</v>
      </c>
      <c r="D42706" s="2">
        <v>1.50570889527644E-6</v>
      </c>
      <c r="E42706" s="2">
        <v>4.3010567696482999E-6</v>
      </c>
      <c r="F42706" s="2">
        <v>1.2039173496923901E-5</v>
      </c>
    </row>
    <row r="42707" spans="1:6" x14ac:dyDescent="0.25">
      <c r="A42707" s="1" t="str">
        <f t="shared" si="1471"/>
        <v>99999</v>
      </c>
      <c r="B42707" s="1" t="str">
        <f>"67355"</f>
        <v>67355</v>
      </c>
      <c r="C42707" s="2">
        <v>1.4831742006502999E-5</v>
      </c>
      <c r="D42707" s="2">
        <v>1.50570889527644E-6</v>
      </c>
      <c r="E42707" s="2">
        <v>8.6021135392965999E-6</v>
      </c>
      <c r="F42707" s="2">
        <v>1.38154449964701E-5</v>
      </c>
    </row>
    <row r="42708" spans="1:6" x14ac:dyDescent="0.25">
      <c r="A42708" s="1" t="str">
        <f t="shared" si="1471"/>
        <v>99999</v>
      </c>
      <c r="B42708" s="1" t="str">
        <f>"67747"</f>
        <v>67747</v>
      </c>
      <c r="C42708" s="2">
        <v>9.5269583691406198E-6</v>
      </c>
      <c r="D42708" s="2">
        <v>6.0228355811057601E-6</v>
      </c>
      <c r="E42708" s="2">
        <v>1.72042270785932E-5</v>
      </c>
      <c r="F42708" s="2">
        <v>9.4734479975795299E-6</v>
      </c>
    </row>
    <row r="42709" spans="1:6" x14ac:dyDescent="0.25">
      <c r="A42709" s="1" t="str">
        <f t="shared" si="1471"/>
        <v>99999</v>
      </c>
      <c r="B42709" s="1" t="str">
        <f>"67664"</f>
        <v>67664</v>
      </c>
      <c r="C42709" s="2">
        <v>1.6347394474320801E-5</v>
      </c>
      <c r="D42709" s="2">
        <v>6.0228355811057601E-6</v>
      </c>
      <c r="E42709" s="2">
        <v>4.3010567696482999E-6</v>
      </c>
      <c r="F42709" s="2">
        <v>1.5394352996066698E-5</v>
      </c>
    </row>
    <row r="42710" spans="1:6" x14ac:dyDescent="0.25">
      <c r="A42710" s="1" t="str">
        <f t="shared" si="1471"/>
        <v>99999</v>
      </c>
      <c r="B42710" s="1" t="str">
        <f>"66959"</f>
        <v>66959</v>
      </c>
      <c r="C42710" s="2">
        <v>1.49400028970614E-5</v>
      </c>
      <c r="D42710" s="2">
        <v>0</v>
      </c>
      <c r="E42710" s="2">
        <v>1.29031703089449E-5</v>
      </c>
      <c r="F42710" s="2">
        <v>1.39141267464449E-5</v>
      </c>
    </row>
    <row r="42711" spans="1:6" x14ac:dyDescent="0.25">
      <c r="A42711" s="1" t="str">
        <f t="shared" si="1471"/>
        <v>99999</v>
      </c>
      <c r="B42711" s="1" t="str">
        <f>"65756"</f>
        <v>65756</v>
      </c>
      <c r="C42711" s="2">
        <v>4.9258705204079297E-5</v>
      </c>
      <c r="D42711" s="2">
        <v>1.35513800574879E-5</v>
      </c>
      <c r="E42711" s="2">
        <v>4.3010567696482999E-6</v>
      </c>
      <c r="F42711" s="2">
        <v>4.5887013738275799E-5</v>
      </c>
    </row>
    <row r="42712" spans="1:6" x14ac:dyDescent="0.25">
      <c r="A42712" s="1" t="str">
        <f t="shared" si="1471"/>
        <v>99999</v>
      </c>
      <c r="B42712" s="1" t="str">
        <f>"66015"</f>
        <v>66015</v>
      </c>
      <c r="C42712" s="2">
        <v>4.2654790880015898E-5</v>
      </c>
      <c r="D42712" s="2">
        <v>1.80685067433172E-5</v>
      </c>
      <c r="E42712" s="2">
        <v>1.29031703089449E-5</v>
      </c>
      <c r="F42712" s="2">
        <v>4.0360835739687802E-5</v>
      </c>
    </row>
    <row r="42713" spans="1:6" x14ac:dyDescent="0.25">
      <c r="A42713" s="1" t="str">
        <f t="shared" si="1471"/>
        <v>99999</v>
      </c>
      <c r="B42713" s="1" t="str">
        <f>"12155"</f>
        <v>12155</v>
      </c>
      <c r="C42713" s="2">
        <v>8.9856539163485408E-6</v>
      </c>
      <c r="D42713" s="2">
        <v>0</v>
      </c>
      <c r="E42713" s="2">
        <v>0</v>
      </c>
      <c r="F42713" s="2">
        <v>8.1905852479073005E-6</v>
      </c>
    </row>
    <row r="42714" spans="1:6" x14ac:dyDescent="0.25">
      <c r="A42714" s="1" t="str">
        <f t="shared" si="1471"/>
        <v>99999</v>
      </c>
      <c r="B42714" s="1" t="str">
        <f>"13464"</f>
        <v>13464</v>
      </c>
      <c r="C42714" s="2">
        <v>4.8176096298495099E-5</v>
      </c>
      <c r="D42714" s="2">
        <v>9.0342533716586405E-6</v>
      </c>
      <c r="E42714" s="2">
        <v>4.3010567696482999E-6</v>
      </c>
      <c r="F42714" s="2">
        <v>4.46041509886036E-5</v>
      </c>
    </row>
    <row r="42715" spans="1:6" x14ac:dyDescent="0.25">
      <c r="A42715" s="1" t="str">
        <f t="shared" si="1471"/>
        <v>99999</v>
      </c>
      <c r="B42715" s="1" t="str">
        <f>"15778"</f>
        <v>15778</v>
      </c>
      <c r="C42715" s="2">
        <v>2.49000048284357E-6</v>
      </c>
      <c r="D42715" s="2">
        <v>1.50570889527644E-6</v>
      </c>
      <c r="E42715" s="2">
        <v>0</v>
      </c>
      <c r="F42715" s="2">
        <v>2.3683619993948799E-6</v>
      </c>
    </row>
    <row r="42716" spans="1:6" x14ac:dyDescent="0.25">
      <c r="A42716" s="1" t="str">
        <f t="shared" si="1471"/>
        <v>99999</v>
      </c>
      <c r="B42716" s="1" t="str">
        <f>"18455"</f>
        <v>18455</v>
      </c>
      <c r="C42716" s="2">
        <v>7.1452187768554602E-6</v>
      </c>
      <c r="D42716" s="2">
        <v>1.35513800574879E-5</v>
      </c>
      <c r="E42716" s="2">
        <v>0</v>
      </c>
      <c r="F42716" s="2">
        <v>7.4011312481090098E-6</v>
      </c>
    </row>
    <row r="42717" spans="1:6" x14ac:dyDescent="0.25">
      <c r="A42717" s="1" t="str">
        <f t="shared" si="1471"/>
        <v>99999</v>
      </c>
      <c r="B42717" s="1" t="str">
        <f>"18842"</f>
        <v>18842</v>
      </c>
      <c r="C42717" s="2">
        <v>1.15839152897505E-5</v>
      </c>
      <c r="D42717" s="2">
        <v>1.0539962266935E-5</v>
      </c>
      <c r="E42717" s="2">
        <v>8.6021135392965999E-6</v>
      </c>
      <c r="F42717" s="2">
        <v>1.14470829970752E-5</v>
      </c>
    </row>
    <row r="42718" spans="1:6" x14ac:dyDescent="0.25">
      <c r="A42718" s="1" t="str">
        <f t="shared" si="1471"/>
        <v>99999</v>
      </c>
      <c r="B42718" s="1" t="str">
        <f>"21649"</f>
        <v>21649</v>
      </c>
      <c r="C42718" s="2">
        <v>5.3047836373623898E-5</v>
      </c>
      <c r="D42718" s="2">
        <v>1.9574215638593701E-5</v>
      </c>
      <c r="E42718" s="2">
        <v>3.44084541571864E-5</v>
      </c>
      <c r="F42718" s="2">
        <v>5.0426374237116002E-5</v>
      </c>
    </row>
    <row r="42719" spans="1:6" x14ac:dyDescent="0.25">
      <c r="A42719" s="1" t="str">
        <f t="shared" si="1471"/>
        <v>99999</v>
      </c>
      <c r="B42719" s="1" t="str">
        <f>"22972"</f>
        <v>22972</v>
      </c>
      <c r="C42719" s="2">
        <v>1.4831742006502999E-5</v>
      </c>
      <c r="D42719" s="2">
        <v>0</v>
      </c>
      <c r="E42719" s="2">
        <v>4.3010567696482999E-6</v>
      </c>
      <c r="F42719" s="2">
        <v>1.3618081496520501E-5</v>
      </c>
    </row>
    <row r="42720" spans="1:6" x14ac:dyDescent="0.25">
      <c r="A42720" s="1" t="str">
        <f t="shared" si="1471"/>
        <v>99999</v>
      </c>
      <c r="B42720" s="1" t="str">
        <f>"23354"</f>
        <v>23354</v>
      </c>
      <c r="C42720" s="2">
        <v>1.30995677575683E-5</v>
      </c>
      <c r="D42720" s="2">
        <v>6.0228355811057601E-6</v>
      </c>
      <c r="E42720" s="2">
        <v>0</v>
      </c>
      <c r="F42720" s="2">
        <v>1.23352187468483E-5</v>
      </c>
    </row>
    <row r="42721" spans="1:6" x14ac:dyDescent="0.25">
      <c r="A42721" s="1" t="str">
        <f t="shared" si="1471"/>
        <v>99999</v>
      </c>
      <c r="B42721" s="1" t="str">
        <f>"24432"</f>
        <v>24432</v>
      </c>
      <c r="C42721" s="2">
        <v>2.9230440450772301E-6</v>
      </c>
      <c r="D42721" s="2">
        <v>0</v>
      </c>
      <c r="E42721" s="2">
        <v>0</v>
      </c>
      <c r="F42721" s="2">
        <v>2.6644072493192401E-6</v>
      </c>
    </row>
    <row r="42722" spans="1:6" x14ac:dyDescent="0.25">
      <c r="A42722" s="1" t="str">
        <f t="shared" si="1471"/>
        <v>99999</v>
      </c>
      <c r="B42722" s="1" t="str">
        <f>"24413"</f>
        <v>24413</v>
      </c>
      <c r="C42722" s="2">
        <v>2.0569569206098999E-5</v>
      </c>
      <c r="D42722" s="2">
        <v>7.5285444763821999E-6</v>
      </c>
      <c r="E42722" s="2">
        <v>0</v>
      </c>
      <c r="F42722" s="2">
        <v>1.92429412450834E-5</v>
      </c>
    </row>
    <row r="42723" spans="1:6" x14ac:dyDescent="0.25">
      <c r="A42723" s="1" t="str">
        <f t="shared" si="1471"/>
        <v>99999</v>
      </c>
      <c r="B42723" s="1" t="str">
        <f>"24882"</f>
        <v>24882</v>
      </c>
      <c r="C42723" s="2">
        <v>2.5333048390669299E-5</v>
      </c>
      <c r="D42723" s="2">
        <v>0</v>
      </c>
      <c r="E42723" s="2">
        <v>4.3010567696482999E-6</v>
      </c>
      <c r="F42723" s="2">
        <v>2.3190211244074899E-5</v>
      </c>
    </row>
    <row r="42724" spans="1:6" x14ac:dyDescent="0.25">
      <c r="A42724" s="1" t="str">
        <f t="shared" si="1471"/>
        <v>99999</v>
      </c>
      <c r="B42724" s="1" t="str">
        <f>"26330"</f>
        <v>26330</v>
      </c>
      <c r="C42724" s="2">
        <v>3.0313049356356498E-6</v>
      </c>
      <c r="D42724" s="2">
        <v>0</v>
      </c>
      <c r="E42724" s="2">
        <v>0</v>
      </c>
      <c r="F42724" s="2">
        <v>2.76308899929403E-6</v>
      </c>
    </row>
    <row r="42725" spans="1:6" x14ac:dyDescent="0.25">
      <c r="A42725" s="1" t="str">
        <f t="shared" si="1471"/>
        <v>99999</v>
      </c>
      <c r="B42725" s="1" t="str">
        <f>"26343"</f>
        <v>26343</v>
      </c>
      <c r="C42725" s="2">
        <v>3.1287397371382199E-5</v>
      </c>
      <c r="D42725" s="2">
        <v>7.5285444763821999E-6</v>
      </c>
      <c r="E42725" s="2">
        <v>4.3010567696482999E-6</v>
      </c>
      <c r="F42725" s="2">
        <v>2.9111116242562101E-5</v>
      </c>
    </row>
    <row r="42726" spans="1:6" x14ac:dyDescent="0.25">
      <c r="A42726" s="1" t="str">
        <f t="shared" si="1471"/>
        <v>99999</v>
      </c>
      <c r="B42726" s="1" t="str">
        <f>"26421"</f>
        <v>26421</v>
      </c>
      <c r="C42726" s="2">
        <v>1.3532611319802E-5</v>
      </c>
      <c r="D42726" s="2">
        <v>4.5171266858293203E-6</v>
      </c>
      <c r="E42726" s="2">
        <v>0</v>
      </c>
      <c r="F42726" s="2">
        <v>1.26312639967727E-5</v>
      </c>
    </row>
    <row r="42727" spans="1:6" x14ac:dyDescent="0.25">
      <c r="A42727" s="1" t="str">
        <f t="shared" si="1471"/>
        <v>99999</v>
      </c>
      <c r="B42727" s="1" t="str">
        <f>"26254"</f>
        <v>26254</v>
      </c>
      <c r="C42727" s="2">
        <v>3.5726093884277301E-6</v>
      </c>
      <c r="D42727" s="2">
        <v>0</v>
      </c>
      <c r="E42727" s="2">
        <v>0</v>
      </c>
      <c r="F42727" s="2">
        <v>3.2564977491679601E-6</v>
      </c>
    </row>
    <row r="42728" spans="1:6" x14ac:dyDescent="0.25">
      <c r="A42728" s="1" t="str">
        <f t="shared" si="1471"/>
        <v>99999</v>
      </c>
      <c r="B42728" s="1" t="str">
        <f>"26217"</f>
        <v>26217</v>
      </c>
      <c r="C42728" s="2">
        <v>2.0353047424982201E-5</v>
      </c>
      <c r="D42728" s="2">
        <v>7.5285444763821999E-6</v>
      </c>
      <c r="E42728" s="2">
        <v>4.3010567696482999E-6</v>
      </c>
      <c r="F42728" s="2">
        <v>1.91442594951086E-5</v>
      </c>
    </row>
    <row r="42729" spans="1:6" x14ac:dyDescent="0.25">
      <c r="A42729" s="1" t="str">
        <f t="shared" si="1471"/>
        <v>99999</v>
      </c>
      <c r="B42729" s="1" t="str">
        <f>"26838"</f>
        <v>26838</v>
      </c>
      <c r="C42729" s="2">
        <v>4.3304356223366396E-6</v>
      </c>
      <c r="D42729" s="2">
        <v>0</v>
      </c>
      <c r="E42729" s="2">
        <v>4.3010567696482999E-6</v>
      </c>
      <c r="F42729" s="2">
        <v>4.0459517489662501E-6</v>
      </c>
    </row>
    <row r="42730" spans="1:6" x14ac:dyDescent="0.25">
      <c r="A42730" s="1" t="str">
        <f t="shared" si="1471"/>
        <v>99999</v>
      </c>
      <c r="B42730" s="1" t="str">
        <f>"26690"</f>
        <v>26690</v>
      </c>
      <c r="C42730" s="2">
        <v>7.47000144853071E-6</v>
      </c>
      <c r="D42730" s="2">
        <v>0</v>
      </c>
      <c r="E42730" s="2">
        <v>4.3010567696482999E-6</v>
      </c>
      <c r="F42730" s="2">
        <v>6.9077224982350703E-6</v>
      </c>
    </row>
    <row r="42731" spans="1:6" x14ac:dyDescent="0.25">
      <c r="A42731" s="1" t="str">
        <f t="shared" si="1471"/>
        <v>99999</v>
      </c>
      <c r="B42731" s="1" t="str">
        <f>"27249"</f>
        <v>27249</v>
      </c>
      <c r="C42731" s="2">
        <v>2.76065270923961E-5</v>
      </c>
      <c r="D42731" s="2">
        <v>2.55970512196994E-5</v>
      </c>
      <c r="E42731" s="2">
        <v>8.6021135392965999E-6</v>
      </c>
      <c r="F42731" s="2">
        <v>2.7038799493091499E-5</v>
      </c>
    </row>
    <row r="42732" spans="1:6" x14ac:dyDescent="0.25">
      <c r="A42732" s="1" t="str">
        <f t="shared" si="1471"/>
        <v>99999</v>
      </c>
      <c r="B42732" s="1" t="str">
        <f>"27847"</f>
        <v>27847</v>
      </c>
      <c r="C42732" s="2">
        <v>2.5766091952903002E-5</v>
      </c>
      <c r="D42732" s="2">
        <v>1.35513800574879E-5</v>
      </c>
      <c r="E42732" s="2">
        <v>0</v>
      </c>
      <c r="F42732" s="2">
        <v>2.4374392243772301E-5</v>
      </c>
    </row>
    <row r="42733" spans="1:6" x14ac:dyDescent="0.25">
      <c r="A42733" s="1" t="str">
        <f t="shared" si="1471"/>
        <v>99999</v>
      </c>
      <c r="B42733" s="1" t="str">
        <f>"27928"</f>
        <v>27928</v>
      </c>
      <c r="C42733" s="2">
        <v>1.05013063841663E-4</v>
      </c>
      <c r="D42733" s="2">
        <v>9.7871078192968605E-5</v>
      </c>
      <c r="E42733" s="2">
        <v>0</v>
      </c>
      <c r="F42733" s="2">
        <v>1.0213561122390401E-4</v>
      </c>
    </row>
    <row r="42734" spans="1:6" x14ac:dyDescent="0.25">
      <c r="A42734" s="1" t="str">
        <f t="shared" si="1471"/>
        <v>99999</v>
      </c>
      <c r="B42734" s="1" t="str">
        <f>"28574"</f>
        <v>28574</v>
      </c>
      <c r="C42734" s="2">
        <v>7.0369578862970498E-6</v>
      </c>
      <c r="D42734" s="2">
        <v>0</v>
      </c>
      <c r="E42734" s="2">
        <v>0</v>
      </c>
      <c r="F42734" s="2">
        <v>6.4143137483611402E-6</v>
      </c>
    </row>
    <row r="42735" spans="1:6" x14ac:dyDescent="0.25">
      <c r="A42735" s="1" t="str">
        <f t="shared" si="1471"/>
        <v>99999</v>
      </c>
      <c r="B42735" s="1" t="str">
        <f>"29916"</f>
        <v>29916</v>
      </c>
      <c r="C42735" s="2">
        <v>5.1315662124689203E-5</v>
      </c>
      <c r="D42735" s="2">
        <v>2.7102760114975901E-5</v>
      </c>
      <c r="E42735" s="2">
        <v>0</v>
      </c>
      <c r="F42735" s="2">
        <v>4.8551420987595102E-5</v>
      </c>
    </row>
    <row r="42736" spans="1:6" x14ac:dyDescent="0.25">
      <c r="A42736" s="1" t="str">
        <f t="shared" si="1471"/>
        <v>99999</v>
      </c>
      <c r="B42736" s="1" t="str">
        <f>"30455"</f>
        <v>30455</v>
      </c>
      <c r="C42736" s="2">
        <v>4.0706094849964403E-5</v>
      </c>
      <c r="D42736" s="2">
        <v>1.65627978480408E-5</v>
      </c>
      <c r="E42736" s="2">
        <v>4.3010567696482999E-6</v>
      </c>
      <c r="F42736" s="2">
        <v>3.8288518990217199E-5</v>
      </c>
    </row>
    <row r="42737" spans="1:6" x14ac:dyDescent="0.25">
      <c r="A42737" s="1" t="str">
        <f t="shared" si="1471"/>
        <v>99999</v>
      </c>
      <c r="B42737" s="1" t="str">
        <f>"35459"</f>
        <v>35459</v>
      </c>
      <c r="C42737" s="2">
        <v>5.08826185624555E-5</v>
      </c>
      <c r="D42737" s="2">
        <v>2.7102760114975901E-5</v>
      </c>
      <c r="E42737" s="2">
        <v>0</v>
      </c>
      <c r="F42737" s="2">
        <v>4.8156693987695901E-5</v>
      </c>
    </row>
    <row r="42738" spans="1:6" x14ac:dyDescent="0.25">
      <c r="A42738" s="1" t="str">
        <f t="shared" si="1471"/>
        <v>99999</v>
      </c>
      <c r="B42738" s="1" t="str">
        <f>"37726"</f>
        <v>37726</v>
      </c>
      <c r="C42738" s="2">
        <v>9.4186974785821993E-6</v>
      </c>
      <c r="D42738" s="2">
        <v>4.5171266858293203E-6</v>
      </c>
      <c r="E42738" s="2">
        <v>0</v>
      </c>
      <c r="F42738" s="2">
        <v>8.8813574977308104E-6</v>
      </c>
    </row>
    <row r="42739" spans="1:6" x14ac:dyDescent="0.25">
      <c r="A42739" s="1" t="str">
        <f t="shared" si="1471"/>
        <v>99999</v>
      </c>
      <c r="B42739" s="1" t="str">
        <f>"38327"</f>
        <v>38327</v>
      </c>
      <c r="C42739" s="2">
        <v>4.00565295066139E-5</v>
      </c>
      <c r="D42739" s="2">
        <v>7.0768318077992694E-5</v>
      </c>
      <c r="E42739" s="2">
        <v>8.6021135392965999E-6</v>
      </c>
      <c r="F42739" s="2">
        <v>4.1347653239435603E-5</v>
      </c>
    </row>
    <row r="42740" spans="1:6" x14ac:dyDescent="0.25">
      <c r="A42740" s="1" t="str">
        <f t="shared" si="1471"/>
        <v>99999</v>
      </c>
      <c r="B42740" s="1" t="str">
        <f>"38471"</f>
        <v>38471</v>
      </c>
      <c r="C42740" s="2">
        <v>3.83243552576793E-5</v>
      </c>
      <c r="D42740" s="2">
        <v>2.25856334291466E-5</v>
      </c>
      <c r="E42740" s="2">
        <v>8.6021135392965999E-6</v>
      </c>
      <c r="F42740" s="2">
        <v>3.6610929240645901E-5</v>
      </c>
    </row>
    <row r="42741" spans="1:6" x14ac:dyDescent="0.25">
      <c r="A42741" s="1" t="str">
        <f t="shared" si="1471"/>
        <v>99999</v>
      </c>
      <c r="B42741" s="1" t="str">
        <f>"38476"</f>
        <v>38476</v>
      </c>
      <c r="C42741" s="2">
        <v>2.0028264753306899E-5</v>
      </c>
      <c r="D42741" s="2">
        <v>6.0228355811057601E-6</v>
      </c>
      <c r="E42741" s="2">
        <v>0</v>
      </c>
      <c r="F42741" s="2">
        <v>1.8650850745234699E-5</v>
      </c>
    </row>
    <row r="42742" spans="1:6" x14ac:dyDescent="0.25">
      <c r="A42742" s="1" t="str">
        <f t="shared" si="1471"/>
        <v>99999</v>
      </c>
      <c r="B42742" s="1" t="str">
        <f>"39325"</f>
        <v>39325</v>
      </c>
      <c r="C42742" s="2">
        <v>2.8147831545188199E-5</v>
      </c>
      <c r="D42742" s="2">
        <v>3.01141779055288E-6</v>
      </c>
      <c r="E42742" s="2">
        <v>8.6021135392965999E-6</v>
      </c>
      <c r="F42742" s="2">
        <v>2.6051981993343701E-5</v>
      </c>
    </row>
    <row r="42743" spans="1:6" x14ac:dyDescent="0.25">
      <c r="A42743" s="1" t="str">
        <f t="shared" si="1471"/>
        <v>99999</v>
      </c>
      <c r="B42743" s="1" t="str">
        <f>"39054"</f>
        <v>39054</v>
      </c>
      <c r="C42743" s="2">
        <v>1.6563916255437601E-5</v>
      </c>
      <c r="D42743" s="2">
        <v>6.0228355811057601E-6</v>
      </c>
      <c r="E42743" s="2">
        <v>0</v>
      </c>
      <c r="F42743" s="2">
        <v>1.5493034746041499E-5</v>
      </c>
    </row>
    <row r="42744" spans="1:6" x14ac:dyDescent="0.25">
      <c r="A42744" s="1" t="str">
        <f t="shared" si="1471"/>
        <v>99999</v>
      </c>
      <c r="B42744" s="1" t="str">
        <f>"42202"</f>
        <v>42202</v>
      </c>
      <c r="C42744" s="2">
        <v>1.1616393556917999E-4</v>
      </c>
      <c r="D42744" s="2">
        <v>6.6251191392163294E-5</v>
      </c>
      <c r="E42744" s="2">
        <v>4.7311624466131299E-5</v>
      </c>
      <c r="F42744" s="2">
        <v>1.11313013971559E-4</v>
      </c>
    </row>
    <row r="42745" spans="1:6" x14ac:dyDescent="0.25">
      <c r="A42745" s="1" t="str">
        <f t="shared" si="1471"/>
        <v>99999</v>
      </c>
      <c r="B42745" s="1" t="str">
        <f>"41524"</f>
        <v>41524</v>
      </c>
      <c r="C42745" s="2">
        <v>1.51565246781782E-5</v>
      </c>
      <c r="D42745" s="2">
        <v>3.01141779055288E-6</v>
      </c>
      <c r="E42745" s="2">
        <v>8.6021135392965999E-6</v>
      </c>
      <c r="F42745" s="2">
        <v>1.42101719963693E-5</v>
      </c>
    </row>
    <row r="42746" spans="1:6" x14ac:dyDescent="0.25">
      <c r="A42746" s="1" t="str">
        <f t="shared" si="1471"/>
        <v>99999</v>
      </c>
      <c r="B42746" s="1" t="str">
        <f>"41548"</f>
        <v>41548</v>
      </c>
      <c r="C42746" s="2">
        <v>2.8147831545188199E-5</v>
      </c>
      <c r="D42746" s="2">
        <v>1.50570889527644E-6</v>
      </c>
      <c r="E42746" s="2">
        <v>4.3010567696482999E-6</v>
      </c>
      <c r="F42746" s="2">
        <v>2.5854618493394101E-5</v>
      </c>
    </row>
    <row r="42747" spans="1:6" x14ac:dyDescent="0.25">
      <c r="A42747" s="1" t="str">
        <f t="shared" si="1471"/>
        <v>99999</v>
      </c>
      <c r="B42747" s="1" t="str">
        <f>"41632"</f>
        <v>41632</v>
      </c>
      <c r="C42747" s="2">
        <v>4.28713126611328E-5</v>
      </c>
      <c r="D42747" s="2">
        <v>0</v>
      </c>
      <c r="E42747" s="2">
        <v>4.3010567696482999E-6</v>
      </c>
      <c r="F42747" s="2">
        <v>3.9176654739990298E-5</v>
      </c>
    </row>
    <row r="42748" spans="1:6" x14ac:dyDescent="0.25">
      <c r="A42748" s="1" t="str">
        <f t="shared" si="1471"/>
        <v>99999</v>
      </c>
      <c r="B42748" s="1" t="str">
        <f>"41513"</f>
        <v>41513</v>
      </c>
      <c r="C42748" s="2">
        <v>2.0136525643865401E-5</v>
      </c>
      <c r="D42748" s="2">
        <v>3.01141779055288E-6</v>
      </c>
      <c r="E42748" s="2">
        <v>8.6021135392965999E-6</v>
      </c>
      <c r="F42748" s="2">
        <v>1.8749532495209401E-5</v>
      </c>
    </row>
    <row r="42749" spans="1:6" x14ac:dyDescent="0.25">
      <c r="A42749" s="1" t="str">
        <f t="shared" si="1471"/>
        <v>99999</v>
      </c>
      <c r="B42749" s="1" t="str">
        <f>"47174"</f>
        <v>47174</v>
      </c>
      <c r="C42749" s="2">
        <v>9.2021756974653701E-6</v>
      </c>
      <c r="D42749" s="2">
        <v>7.5285444763821999E-6</v>
      </c>
      <c r="E42749" s="2">
        <v>2.15052838482415E-5</v>
      </c>
      <c r="F42749" s="2">
        <v>9.3747662476047397E-6</v>
      </c>
    </row>
    <row r="42750" spans="1:6" x14ac:dyDescent="0.25">
      <c r="A42750" s="1" t="str">
        <f t="shared" si="1471"/>
        <v>99999</v>
      </c>
      <c r="B42750" s="1" t="str">
        <f>"42718"</f>
        <v>42718</v>
      </c>
      <c r="C42750" s="2">
        <v>3.9298703272705E-5</v>
      </c>
      <c r="D42750" s="2">
        <v>3.01141779055288E-6</v>
      </c>
      <c r="E42750" s="2">
        <v>9.4623248932262599E-5</v>
      </c>
      <c r="F42750" s="2">
        <v>3.8189837240242402E-5</v>
      </c>
    </row>
    <row r="42751" spans="1:6" x14ac:dyDescent="0.25">
      <c r="A42751" s="1" t="str">
        <f t="shared" si="1471"/>
        <v>99999</v>
      </c>
      <c r="B42751" s="1" t="str">
        <f>"42603"</f>
        <v>42603</v>
      </c>
      <c r="C42751" s="2">
        <v>3.9731746834938703E-5</v>
      </c>
      <c r="D42751" s="2">
        <v>4.5171266858293203E-6</v>
      </c>
      <c r="E42751" s="2">
        <v>1.29031703089449E-5</v>
      </c>
      <c r="F42751" s="2">
        <v>3.68082927405954E-5</v>
      </c>
    </row>
    <row r="42752" spans="1:6" x14ac:dyDescent="0.25">
      <c r="A42752" s="1" t="str">
        <f t="shared" si="1471"/>
        <v>99999</v>
      </c>
      <c r="B42752" s="1" t="str">
        <f>"42784"</f>
        <v>42784</v>
      </c>
      <c r="C42752" s="2">
        <v>3.9731746834938703E-5</v>
      </c>
      <c r="D42752" s="2">
        <v>6.0228355811057601E-6</v>
      </c>
      <c r="E42752" s="2">
        <v>1.03225362471559E-4</v>
      </c>
      <c r="F42752" s="2">
        <v>3.8979291240040697E-5</v>
      </c>
    </row>
    <row r="42753" spans="1:6" x14ac:dyDescent="0.25">
      <c r="A42753" s="1" t="str">
        <f t="shared" si="1471"/>
        <v>99999</v>
      </c>
      <c r="B42753" s="1" t="str">
        <f>"40870"</f>
        <v>40870</v>
      </c>
      <c r="C42753" s="2">
        <v>2.23017434550337E-5</v>
      </c>
      <c r="D42753" s="2">
        <v>3.01141779055288E-6</v>
      </c>
      <c r="E42753" s="2">
        <v>3.01073973875381E-5</v>
      </c>
      <c r="F42753" s="2">
        <v>2.12165762445791E-5</v>
      </c>
    </row>
    <row r="42754" spans="1:6" x14ac:dyDescent="0.25">
      <c r="A42754" s="1" t="str">
        <f t="shared" si="1471"/>
        <v>99999</v>
      </c>
      <c r="B42754" s="1" t="str">
        <f>"40826"</f>
        <v>40826</v>
      </c>
      <c r="C42754" s="2">
        <v>3.4860006759809999E-5</v>
      </c>
      <c r="D42754" s="2">
        <v>3.01141779055288E-6</v>
      </c>
      <c r="E42754" s="2">
        <v>1.29031703089449E-5</v>
      </c>
      <c r="F42754" s="2">
        <v>3.2268932241755197E-5</v>
      </c>
    </row>
    <row r="42755" spans="1:6" x14ac:dyDescent="0.25">
      <c r="A42755" s="1" t="str">
        <f t="shared" si="1471"/>
        <v>99999</v>
      </c>
      <c r="B42755" s="1" t="str">
        <f>"41360"</f>
        <v>41360</v>
      </c>
      <c r="C42755" s="2">
        <v>3.8216094367120903E-5</v>
      </c>
      <c r="D42755" s="2">
        <v>0</v>
      </c>
      <c r="E42755" s="2">
        <v>6.4515851544724506E-5</v>
      </c>
      <c r="F42755" s="2">
        <v>3.6314883990721503E-5</v>
      </c>
    </row>
    <row r="42756" spans="1:6" x14ac:dyDescent="0.25">
      <c r="A42756" s="1" t="str">
        <f t="shared" si="1471"/>
        <v>99999</v>
      </c>
      <c r="B42756" s="1" t="str">
        <f>"45776"</f>
        <v>45776</v>
      </c>
      <c r="C42756" s="2">
        <v>2.94469622318891E-5</v>
      </c>
      <c r="D42756" s="2">
        <v>3.01141779055288E-6</v>
      </c>
      <c r="E42756" s="2">
        <v>1.72042270785932E-5</v>
      </c>
      <c r="F42756" s="2">
        <v>2.7433526492990701E-5</v>
      </c>
    </row>
    <row r="42757" spans="1:6" x14ac:dyDescent="0.25">
      <c r="A42757" s="1" t="str">
        <f t="shared" si="1471"/>
        <v>99999</v>
      </c>
      <c r="B42757" s="1" t="str">
        <f>"46133"</f>
        <v>46133</v>
      </c>
      <c r="C42757" s="2">
        <v>1.50482637876198E-5</v>
      </c>
      <c r="D42757" s="2">
        <v>4.5171266858293203E-6</v>
      </c>
      <c r="E42757" s="2">
        <v>4.3010567696482999E-6</v>
      </c>
      <c r="F42757" s="2">
        <v>1.41114902463945E-5</v>
      </c>
    </row>
    <row r="42758" spans="1:6" x14ac:dyDescent="0.25">
      <c r="A42758" s="1" t="str">
        <f t="shared" ref="A42758:A42821" si="1472">"99999"</f>
        <v>99999</v>
      </c>
      <c r="B42758" s="1" t="str">
        <f>"43747"</f>
        <v>43747</v>
      </c>
      <c r="C42758" s="2">
        <v>3.7674789914328797E-5</v>
      </c>
      <c r="D42758" s="2">
        <v>1.65627978480408E-5</v>
      </c>
      <c r="E42758" s="2">
        <v>0</v>
      </c>
      <c r="F42758" s="2">
        <v>3.5426748240948397E-5</v>
      </c>
    </row>
    <row r="42759" spans="1:6" x14ac:dyDescent="0.25">
      <c r="A42759" s="1" t="str">
        <f t="shared" si="1472"/>
        <v>99999</v>
      </c>
      <c r="B42759" s="1" t="str">
        <f>"46747"</f>
        <v>46747</v>
      </c>
      <c r="C42759" s="2">
        <v>2.76065270923961E-5</v>
      </c>
      <c r="D42759" s="2">
        <v>1.80685067433172E-5</v>
      </c>
      <c r="E42759" s="2">
        <v>1.72042270785932E-5</v>
      </c>
      <c r="F42759" s="2">
        <v>2.6742754243167199E-5</v>
      </c>
    </row>
    <row r="42760" spans="1:6" x14ac:dyDescent="0.25">
      <c r="A42760" s="1" t="str">
        <f t="shared" si="1472"/>
        <v>99999</v>
      </c>
      <c r="B42760" s="1" t="str">
        <f>"47949"</f>
        <v>47949</v>
      </c>
      <c r="C42760" s="2">
        <v>5.0341314109663503E-5</v>
      </c>
      <c r="D42760" s="2">
        <v>3.01141779055288E-5</v>
      </c>
      <c r="E42760" s="2">
        <v>3.01073973875381E-5</v>
      </c>
      <c r="F42760" s="2">
        <v>4.8551420987595102E-5</v>
      </c>
    </row>
    <row r="42761" spans="1:6" x14ac:dyDescent="0.25">
      <c r="A42761" s="1" t="str">
        <f t="shared" si="1472"/>
        <v>99999</v>
      </c>
      <c r="B42761" s="1" t="str">
        <f>"46511"</f>
        <v>46511</v>
      </c>
      <c r="C42761" s="2">
        <v>5.1965227468039699E-5</v>
      </c>
      <c r="D42761" s="2">
        <v>9.0342533716586405E-6</v>
      </c>
      <c r="E42761" s="2">
        <v>1.29031703089449E-5</v>
      </c>
      <c r="F42761" s="2">
        <v>4.8255375737670698E-5</v>
      </c>
    </row>
    <row r="42762" spans="1:6" x14ac:dyDescent="0.25">
      <c r="A42762" s="1" t="str">
        <f t="shared" si="1472"/>
        <v>99999</v>
      </c>
      <c r="B42762" s="1" t="str">
        <f>"49780"</f>
        <v>49780</v>
      </c>
      <c r="C42762" s="2">
        <v>1.0284784603049499E-5</v>
      </c>
      <c r="D42762" s="2">
        <v>1.50570889527644E-6</v>
      </c>
      <c r="E42762" s="2">
        <v>0</v>
      </c>
      <c r="F42762" s="2">
        <v>9.4734479975795299E-6</v>
      </c>
    </row>
    <row r="42763" spans="1:6" x14ac:dyDescent="0.25">
      <c r="A42763" s="1" t="str">
        <f t="shared" si="1472"/>
        <v>99999</v>
      </c>
      <c r="B42763" s="1" t="str">
        <f>"49782"</f>
        <v>49782</v>
      </c>
      <c r="C42763" s="2">
        <v>5.6079141309259497E-5</v>
      </c>
      <c r="D42763" s="2">
        <v>3.01141779055288E-6</v>
      </c>
      <c r="E42763" s="2">
        <v>8.6021135392965999E-6</v>
      </c>
      <c r="F42763" s="2">
        <v>5.1511873486838702E-5</v>
      </c>
    </row>
    <row r="42764" spans="1:6" x14ac:dyDescent="0.25">
      <c r="A42764" s="1" t="str">
        <f t="shared" si="1472"/>
        <v>99999</v>
      </c>
      <c r="B42764" s="1" t="str">
        <f>"49820"</f>
        <v>49820</v>
      </c>
      <c r="C42764" s="2">
        <v>1.40739157725941E-5</v>
      </c>
      <c r="D42764" s="2">
        <v>9.0342533716586405E-6</v>
      </c>
      <c r="E42764" s="2">
        <v>4.3010567696482999E-6</v>
      </c>
      <c r="F42764" s="2">
        <v>1.35193997465457E-5</v>
      </c>
    </row>
    <row r="42765" spans="1:6" x14ac:dyDescent="0.25">
      <c r="A42765" s="1" t="str">
        <f t="shared" si="1472"/>
        <v>99999</v>
      </c>
      <c r="B42765" s="1" t="str">
        <f>"51053"</f>
        <v>51053</v>
      </c>
      <c r="C42765" s="2">
        <v>6.1059142274946706E-5</v>
      </c>
      <c r="D42765" s="2">
        <v>2.4091342324423E-5</v>
      </c>
      <c r="E42765" s="2">
        <v>4.7311624466131299E-5</v>
      </c>
      <c r="F42765" s="2">
        <v>5.8320914235099E-5</v>
      </c>
    </row>
    <row r="42766" spans="1:6" x14ac:dyDescent="0.25">
      <c r="A42766" s="1" t="str">
        <f t="shared" si="1472"/>
        <v>99999</v>
      </c>
      <c r="B42766" s="1" t="str">
        <f>"50158"</f>
        <v>50158</v>
      </c>
      <c r="C42766" s="2">
        <v>2.49000048284357E-6</v>
      </c>
      <c r="D42766" s="2">
        <v>1.50570889527644E-6</v>
      </c>
      <c r="E42766" s="2">
        <v>0</v>
      </c>
      <c r="F42766" s="2">
        <v>2.3683619993948799E-6</v>
      </c>
    </row>
    <row r="42767" spans="1:6" x14ac:dyDescent="0.25">
      <c r="A42767" s="1" t="str">
        <f t="shared" si="1472"/>
        <v>99999</v>
      </c>
      <c r="B42767" s="1" t="str">
        <f>"50484"</f>
        <v>50484</v>
      </c>
      <c r="C42767" s="2">
        <v>2.4466961266201999E-5</v>
      </c>
      <c r="D42767" s="2">
        <v>0</v>
      </c>
      <c r="E42767" s="2">
        <v>2.15052838482415E-5</v>
      </c>
      <c r="F42767" s="2">
        <v>2.2795484244175701E-5</v>
      </c>
    </row>
    <row r="42768" spans="1:6" x14ac:dyDescent="0.25">
      <c r="A42768" s="1" t="str">
        <f t="shared" si="1472"/>
        <v>99999</v>
      </c>
      <c r="B42768" s="1" t="str">
        <f>"50042"</f>
        <v>50042</v>
      </c>
      <c r="C42768" s="2">
        <v>1.9162177628839599E-5</v>
      </c>
      <c r="D42768" s="2">
        <v>7.5285444763821999E-6</v>
      </c>
      <c r="E42768" s="2">
        <v>1.29031703089449E-5</v>
      </c>
      <c r="F42768" s="2">
        <v>1.8256123745335501E-5</v>
      </c>
    </row>
    <row r="42769" spans="1:6" x14ac:dyDescent="0.25">
      <c r="A42769" s="1" t="str">
        <f t="shared" si="1472"/>
        <v>99999</v>
      </c>
      <c r="B42769" s="1" t="str">
        <f>"50020"</f>
        <v>50020</v>
      </c>
      <c r="C42769" s="2">
        <v>7.7081754077592296E-5</v>
      </c>
      <c r="D42769" s="2">
        <v>2.55970512196994E-5</v>
      </c>
      <c r="E42769" s="2">
        <v>6.4515851544724506E-5</v>
      </c>
      <c r="F42769" s="2">
        <v>7.34192219812413E-5</v>
      </c>
    </row>
    <row r="42770" spans="1:6" x14ac:dyDescent="0.25">
      <c r="A42770" s="1" t="str">
        <f t="shared" si="1472"/>
        <v>99999</v>
      </c>
      <c r="B42770" s="1" t="str">
        <f>"49861"</f>
        <v>49861</v>
      </c>
      <c r="C42770" s="2">
        <v>2.23017434550337E-5</v>
      </c>
      <c r="D42770" s="2">
        <v>1.50570889527644E-5</v>
      </c>
      <c r="E42770" s="2">
        <v>0</v>
      </c>
      <c r="F42770" s="2">
        <v>2.1315257994553901E-5</v>
      </c>
    </row>
    <row r="42771" spans="1:6" x14ac:dyDescent="0.25">
      <c r="A42771" s="1" t="str">
        <f t="shared" si="1472"/>
        <v>99999</v>
      </c>
      <c r="B42771" s="1" t="str">
        <f>"49312"</f>
        <v>49312</v>
      </c>
      <c r="C42771" s="2">
        <v>1.07178281652832E-5</v>
      </c>
      <c r="D42771" s="2">
        <v>3.01141779055288E-6</v>
      </c>
      <c r="E42771" s="2">
        <v>8.6021135392965999E-6</v>
      </c>
      <c r="F42771" s="2">
        <v>1.0164220247403001E-5</v>
      </c>
    </row>
    <row r="42772" spans="1:6" x14ac:dyDescent="0.25">
      <c r="A42772" s="1" t="str">
        <f t="shared" si="1472"/>
        <v>99999</v>
      </c>
      <c r="B42772" s="1" t="str">
        <f>"53587"</f>
        <v>53587</v>
      </c>
      <c r="C42772" s="2">
        <v>5.9326968026011998E-5</v>
      </c>
      <c r="D42772" s="2">
        <v>2.7102760114975901E-5</v>
      </c>
      <c r="E42772" s="2">
        <v>5.5913738005427899E-5</v>
      </c>
      <c r="F42772" s="2">
        <v>5.7136733235401503E-5</v>
      </c>
    </row>
    <row r="42773" spans="1:6" x14ac:dyDescent="0.25">
      <c r="A42773" s="1" t="str">
        <f t="shared" si="1472"/>
        <v>99999</v>
      </c>
      <c r="B42773" s="1" t="str">
        <f>"52569"</f>
        <v>52569</v>
      </c>
      <c r="C42773" s="2">
        <v>5.3805662607532797E-5</v>
      </c>
      <c r="D42773" s="2">
        <v>2.25856334291466E-5</v>
      </c>
      <c r="E42773" s="2">
        <v>4.3010567696482999E-6</v>
      </c>
      <c r="F42773" s="2">
        <v>5.0623737737065603E-5</v>
      </c>
    </row>
    <row r="42774" spans="1:6" x14ac:dyDescent="0.25">
      <c r="A42774" s="1" t="str">
        <f t="shared" si="1472"/>
        <v>99999</v>
      </c>
      <c r="B42774" s="1" t="str">
        <f>"52329"</f>
        <v>52329</v>
      </c>
      <c r="C42774" s="2">
        <v>3.8973920601029803E-5</v>
      </c>
      <c r="D42774" s="2">
        <v>3.01141779055288E-6</v>
      </c>
      <c r="E42774" s="2">
        <v>2.15052838482415E-5</v>
      </c>
      <c r="F42774" s="2">
        <v>3.6216202240746699E-5</v>
      </c>
    </row>
    <row r="42775" spans="1:6" x14ac:dyDescent="0.25">
      <c r="A42775" s="1" t="str">
        <f t="shared" si="1472"/>
        <v>99999</v>
      </c>
      <c r="B42775" s="1" t="str">
        <f>"52074"</f>
        <v>52074</v>
      </c>
      <c r="C42775" s="2">
        <v>1.6347394474320801E-5</v>
      </c>
      <c r="D42775" s="2">
        <v>7.5285444763821999E-6</v>
      </c>
      <c r="E42775" s="2">
        <v>3.01073973875381E-5</v>
      </c>
      <c r="F42775" s="2">
        <v>1.60851252458902E-5</v>
      </c>
    </row>
    <row r="42776" spans="1:6" x14ac:dyDescent="0.25">
      <c r="A42776" s="1" t="str">
        <f t="shared" si="1472"/>
        <v>99999</v>
      </c>
      <c r="B42776" s="1" t="str">
        <f>"54841"</f>
        <v>54841</v>
      </c>
      <c r="C42776" s="2">
        <v>5.95434898071288E-6</v>
      </c>
      <c r="D42776" s="2">
        <v>3.01141779055288E-6</v>
      </c>
      <c r="E42776" s="2">
        <v>4.3010567696482999E-6</v>
      </c>
      <c r="F42776" s="2">
        <v>5.7235414985376303E-6</v>
      </c>
    </row>
    <row r="42777" spans="1:6" x14ac:dyDescent="0.25">
      <c r="A42777" s="1" t="str">
        <f t="shared" si="1472"/>
        <v>99999</v>
      </c>
      <c r="B42777" s="1" t="str">
        <f>"83615"</f>
        <v>83615</v>
      </c>
      <c r="C42777" s="2">
        <v>1.5751959576249501E-4</v>
      </c>
      <c r="D42777" s="2">
        <v>1.4605376284181399E-4</v>
      </c>
      <c r="E42777" s="2">
        <v>1.2473064631979999E-4</v>
      </c>
      <c r="F42777" s="2">
        <v>1.56015846710137E-4</v>
      </c>
    </row>
    <row r="42778" spans="1:6" x14ac:dyDescent="0.25">
      <c r="A42778" s="1" t="str">
        <f t="shared" si="1472"/>
        <v>99999</v>
      </c>
      <c r="B42778" s="1" t="str">
        <f>"83324"</f>
        <v>83324</v>
      </c>
      <c r="C42778" s="2">
        <v>2.6415657296253501E-5</v>
      </c>
      <c r="D42778" s="2">
        <v>9.0342533716586405E-6</v>
      </c>
      <c r="E42778" s="2">
        <v>8.6021135392965999E-6</v>
      </c>
      <c r="F42778" s="2">
        <v>2.4867800993646201E-5</v>
      </c>
    </row>
    <row r="42779" spans="1:6" x14ac:dyDescent="0.25">
      <c r="A42779" s="1" t="str">
        <f t="shared" si="1472"/>
        <v>99999</v>
      </c>
      <c r="B42779" s="1" t="str">
        <f>"83314"</f>
        <v>83314</v>
      </c>
      <c r="C42779" s="2">
        <v>2.5657831062344601E-5</v>
      </c>
      <c r="D42779" s="2">
        <v>1.9574215638593701E-5</v>
      </c>
      <c r="E42779" s="2">
        <v>8.6021135392965999E-6</v>
      </c>
      <c r="F42779" s="2">
        <v>2.4867800993646201E-5</v>
      </c>
    </row>
    <row r="42780" spans="1:6" x14ac:dyDescent="0.25">
      <c r="A42780" s="1" t="str">
        <f t="shared" si="1472"/>
        <v>99999</v>
      </c>
      <c r="B42780" s="1" t="str">
        <f>"82633"</f>
        <v>82633</v>
      </c>
      <c r="C42780" s="2">
        <v>5.5115619383289604E-4</v>
      </c>
      <c r="D42780" s="2">
        <v>7.4683161205711397E-4</v>
      </c>
      <c r="E42780" s="2">
        <v>8.6881346746895695E-4</v>
      </c>
      <c r="F42780" s="2">
        <v>5.7126865060404004E-4</v>
      </c>
    </row>
    <row r="42781" spans="1:6" x14ac:dyDescent="0.25">
      <c r="A42781" s="1" t="str">
        <f t="shared" si="1472"/>
        <v>99999</v>
      </c>
      <c r="B42781" s="1" t="str">
        <f>"82324"</f>
        <v>82324</v>
      </c>
      <c r="C42781" s="2">
        <v>7.3617405579722903E-6</v>
      </c>
      <c r="D42781" s="2">
        <v>0</v>
      </c>
      <c r="E42781" s="2">
        <v>4.3010567696482999E-6</v>
      </c>
      <c r="F42781" s="2">
        <v>6.8090407482602902E-6</v>
      </c>
    </row>
    <row r="42782" spans="1:6" x14ac:dyDescent="0.25">
      <c r="A42782" s="1" t="str">
        <f t="shared" si="1472"/>
        <v>99999</v>
      </c>
      <c r="B42782" s="1" t="str">
        <f>"82223"</f>
        <v>82223</v>
      </c>
      <c r="C42782" s="2">
        <v>2.5333048390669299E-5</v>
      </c>
      <c r="D42782" s="2">
        <v>7.5285444763821999E-6</v>
      </c>
      <c r="E42782" s="2">
        <v>1.8494544109487701E-4</v>
      </c>
      <c r="F42782" s="2">
        <v>2.7828253492889801E-5</v>
      </c>
    </row>
    <row r="42783" spans="1:6" x14ac:dyDescent="0.25">
      <c r="A42783" s="1" t="str">
        <f t="shared" si="1472"/>
        <v>99999</v>
      </c>
      <c r="B42783" s="1" t="str">
        <f>"83113"</f>
        <v>83113</v>
      </c>
      <c r="C42783" s="2">
        <v>1.11075673712934E-4</v>
      </c>
      <c r="D42783" s="2">
        <v>2.25856334291466E-5</v>
      </c>
      <c r="E42783" s="2">
        <v>6.0214794775076199E-5</v>
      </c>
      <c r="F42783" s="2">
        <v>1.041092462234E-4</v>
      </c>
    </row>
    <row r="42784" spans="1:6" x14ac:dyDescent="0.25">
      <c r="A42784" s="1" t="str">
        <f t="shared" si="1472"/>
        <v>99999</v>
      </c>
      <c r="B42784" s="1" t="str">
        <f>"82332"</f>
        <v>82332</v>
      </c>
      <c r="C42784" s="2">
        <v>2.0569569206099001E-6</v>
      </c>
      <c r="D42784" s="2">
        <v>0</v>
      </c>
      <c r="E42784" s="2">
        <v>4.3010567696482999E-6</v>
      </c>
      <c r="F42784" s="2">
        <v>1.9736349994957299E-6</v>
      </c>
    </row>
    <row r="42785" spans="1:6" x14ac:dyDescent="0.25">
      <c r="A42785" s="1" t="str">
        <f t="shared" si="1472"/>
        <v>99999</v>
      </c>
      <c r="B42785" s="1" t="str">
        <f>"82433"</f>
        <v>82433</v>
      </c>
      <c r="C42785" s="2">
        <v>5.0557835890780303E-5</v>
      </c>
      <c r="D42785" s="2">
        <v>1.50570889527644E-5</v>
      </c>
      <c r="E42785" s="2">
        <v>0</v>
      </c>
      <c r="F42785" s="2">
        <v>4.7071194737973303E-5</v>
      </c>
    </row>
    <row r="42786" spans="1:6" x14ac:dyDescent="0.25">
      <c r="A42786" s="1" t="str">
        <f t="shared" si="1472"/>
        <v>99999</v>
      </c>
      <c r="B42786" s="1" t="str">
        <f>"83217"</f>
        <v>83217</v>
      </c>
      <c r="C42786" s="2">
        <v>3.47517458692515E-5</v>
      </c>
      <c r="D42786" s="2">
        <v>1.50570889527644E-6</v>
      </c>
      <c r="E42786" s="2">
        <v>4.3010567696482999E-6</v>
      </c>
      <c r="F42786" s="2">
        <v>3.1874205241856103E-5</v>
      </c>
    </row>
    <row r="42787" spans="1:6" x14ac:dyDescent="0.25">
      <c r="A42787" s="1" t="str">
        <f t="shared" si="1472"/>
        <v>99999</v>
      </c>
      <c r="B42787" s="1" t="str">
        <f>"80759"</f>
        <v>80759</v>
      </c>
      <c r="C42787" s="2">
        <v>2.20202651395818E-4</v>
      </c>
      <c r="D42787" s="2">
        <v>4.38161288525444E-4</v>
      </c>
      <c r="E42787" s="2">
        <v>4.1290144988623701E-4</v>
      </c>
      <c r="F42787" s="2">
        <v>2.38908516688958E-4</v>
      </c>
    </row>
    <row r="42788" spans="1:6" x14ac:dyDescent="0.25">
      <c r="A42788" s="1" t="str">
        <f t="shared" si="1472"/>
        <v>99999</v>
      </c>
      <c r="B42788" s="1" t="str">
        <f>"80743"</f>
        <v>80743</v>
      </c>
      <c r="C42788" s="2">
        <v>4.6443922049560499E-5</v>
      </c>
      <c r="D42788" s="2">
        <v>2.4091342324423E-5</v>
      </c>
      <c r="E42788" s="2">
        <v>4.3010567696482999E-5</v>
      </c>
      <c r="F42788" s="2">
        <v>4.4900196238527903E-5</v>
      </c>
    </row>
    <row r="42789" spans="1:6" x14ac:dyDescent="0.25">
      <c r="A42789" s="1" t="str">
        <f t="shared" si="1472"/>
        <v>99999</v>
      </c>
      <c r="B42789" s="1" t="str">
        <f>"80821"</f>
        <v>80821</v>
      </c>
      <c r="C42789" s="2">
        <v>5.08826185624555E-5</v>
      </c>
      <c r="D42789" s="2">
        <v>3.31255956960816E-5</v>
      </c>
      <c r="E42789" s="2">
        <v>3.01073973875381E-5</v>
      </c>
      <c r="F42789" s="2">
        <v>4.92421932374186E-5</v>
      </c>
    </row>
    <row r="42790" spans="1:6" x14ac:dyDescent="0.25">
      <c r="A42790" s="1" t="str">
        <f t="shared" si="1472"/>
        <v>99999</v>
      </c>
      <c r="B42790" s="1" t="str">
        <f>"84754"</f>
        <v>84754</v>
      </c>
      <c r="C42790" s="2">
        <v>1.6152524871315601E-4</v>
      </c>
      <c r="D42790" s="2">
        <v>6.3239773601610501E-5</v>
      </c>
      <c r="E42790" s="2">
        <v>9.4623248932262599E-5</v>
      </c>
      <c r="F42790" s="2">
        <v>1.5354880296076801E-4</v>
      </c>
    </row>
    <row r="42791" spans="1:6" x14ac:dyDescent="0.25">
      <c r="A42791" s="1" t="str">
        <f t="shared" si="1472"/>
        <v>99999</v>
      </c>
      <c r="B42791" s="1" t="str">
        <f>"84741"</f>
        <v>84741</v>
      </c>
      <c r="C42791" s="2">
        <v>3.1081701679321202E-4</v>
      </c>
      <c r="D42791" s="2">
        <v>5.01401062127054E-4</v>
      </c>
      <c r="E42791" s="2">
        <v>3.2257925772362199E-4</v>
      </c>
      <c r="F42791" s="2">
        <v>3.2357745816732501E-4</v>
      </c>
    </row>
    <row r="42792" spans="1:6" x14ac:dyDescent="0.25">
      <c r="A42792" s="1" t="str">
        <f t="shared" si="1472"/>
        <v>99999</v>
      </c>
      <c r="B42792" s="1" t="str">
        <f>"84642"</f>
        <v>84642</v>
      </c>
      <c r="C42792" s="2">
        <v>1.3034611223233301E-4</v>
      </c>
      <c r="D42792" s="2">
        <v>1.92730738595384E-4</v>
      </c>
      <c r="E42792" s="2">
        <v>1.8064438432522799E-4</v>
      </c>
      <c r="F42792" s="2">
        <v>1.35588724465357E-4</v>
      </c>
    </row>
    <row r="42793" spans="1:6" x14ac:dyDescent="0.25">
      <c r="A42793" s="1" t="str">
        <f t="shared" si="1472"/>
        <v>99999</v>
      </c>
      <c r="B42793" s="1" t="str">
        <f>"84657"</f>
        <v>84657</v>
      </c>
      <c r="C42793" s="2">
        <v>3.0746092918590099E-5</v>
      </c>
      <c r="D42793" s="2">
        <v>1.50570889527644E-6</v>
      </c>
      <c r="E42793" s="2">
        <v>4.3010567696482999E-6</v>
      </c>
      <c r="F42793" s="2">
        <v>2.8222980492788999E-5</v>
      </c>
    </row>
    <row r="42794" spans="1:6" x14ac:dyDescent="0.25">
      <c r="A42794" s="1" t="str">
        <f t="shared" si="1472"/>
        <v>99999</v>
      </c>
      <c r="B42794" s="1" t="str">
        <f>"86547"</f>
        <v>86547</v>
      </c>
      <c r="C42794" s="2">
        <v>3.4643484978693103E-5</v>
      </c>
      <c r="D42794" s="2">
        <v>0</v>
      </c>
      <c r="E42794" s="2">
        <v>1.29031703089449E-5</v>
      </c>
      <c r="F42794" s="2">
        <v>3.1874205241856103E-5</v>
      </c>
    </row>
    <row r="42795" spans="1:6" x14ac:dyDescent="0.25">
      <c r="A42795" s="1" t="str">
        <f t="shared" si="1472"/>
        <v>99999</v>
      </c>
      <c r="B42795" s="1" t="str">
        <f>"88045"</f>
        <v>88045</v>
      </c>
      <c r="C42795" s="2">
        <v>1.79604817436412E-4</v>
      </c>
      <c r="D42795" s="2">
        <v>3.8847289498132099E-4</v>
      </c>
      <c r="E42795" s="2">
        <v>1.67741214016283E-4</v>
      </c>
      <c r="F42795" s="2">
        <v>1.9302150295068301E-4</v>
      </c>
    </row>
    <row r="42796" spans="1:6" x14ac:dyDescent="0.25">
      <c r="A42796" s="1" t="str">
        <f t="shared" si="1472"/>
        <v>99999</v>
      </c>
      <c r="B42796" s="1" t="str">
        <f>"88426"</f>
        <v>88426</v>
      </c>
      <c r="C42796" s="2">
        <v>5.52130541847922E-5</v>
      </c>
      <c r="D42796" s="2">
        <v>2.25856334291466E-5</v>
      </c>
      <c r="E42796" s="2">
        <v>3.44084541571864E-5</v>
      </c>
      <c r="F42796" s="2">
        <v>5.25973727365613E-5</v>
      </c>
    </row>
    <row r="42797" spans="1:6" x14ac:dyDescent="0.25">
      <c r="A42797" s="1" t="str">
        <f t="shared" si="1472"/>
        <v>99999</v>
      </c>
      <c r="B42797" s="1" t="str">
        <f>"89017"</f>
        <v>89017</v>
      </c>
      <c r="C42797" s="2">
        <v>1.93786994099564E-5</v>
      </c>
      <c r="D42797" s="2">
        <v>1.35513800574879E-5</v>
      </c>
      <c r="E42797" s="2">
        <v>3.44084541571864E-5</v>
      </c>
      <c r="F42797" s="2">
        <v>1.9341622995058201E-5</v>
      </c>
    </row>
    <row r="42798" spans="1:6" x14ac:dyDescent="0.25">
      <c r="A42798" s="1" t="str">
        <f t="shared" si="1472"/>
        <v>99999</v>
      </c>
      <c r="B42798" s="1" t="str">
        <f>"87801"</f>
        <v>87801</v>
      </c>
      <c r="C42798" s="2">
        <v>5.0655270692282904E-4</v>
      </c>
      <c r="D42798" s="2">
        <v>5.4356091119479497E-4</v>
      </c>
      <c r="E42798" s="2">
        <v>9.6343671640121897E-4</v>
      </c>
      <c r="F42798" s="2">
        <v>5.1946073186727698E-4</v>
      </c>
    </row>
    <row r="42799" spans="1:6" x14ac:dyDescent="0.25">
      <c r="A42799" s="1" t="str">
        <f t="shared" si="1472"/>
        <v>99999</v>
      </c>
      <c r="B42799" s="1" t="str">
        <f>"87931"</f>
        <v>87931</v>
      </c>
      <c r="C42799" s="2">
        <v>4.08143557405228E-5</v>
      </c>
      <c r="D42799" s="2">
        <v>2.55970512196994E-5</v>
      </c>
      <c r="E42799" s="2">
        <v>8.6021135392965999E-6</v>
      </c>
      <c r="F42799" s="2">
        <v>3.9077972990015501E-5</v>
      </c>
    </row>
    <row r="42800" spans="1:6" x14ac:dyDescent="0.25">
      <c r="A42800" s="1" t="str">
        <f t="shared" si="1472"/>
        <v>99999</v>
      </c>
      <c r="B42800" s="1" t="str">
        <f>"89820"</f>
        <v>89820</v>
      </c>
      <c r="C42800" s="2">
        <v>3.1254919104214702E-4</v>
      </c>
      <c r="D42800" s="2">
        <v>3.0565890574111697E-4</v>
      </c>
      <c r="E42800" s="2">
        <v>7.6558810499739705E-4</v>
      </c>
      <c r="F42800" s="2">
        <v>3.2249195891760298E-4</v>
      </c>
    </row>
    <row r="42801" spans="1:6" x14ac:dyDescent="0.25">
      <c r="A42801" s="1" t="str">
        <f t="shared" si="1472"/>
        <v>99999</v>
      </c>
      <c r="B42801" s="1" t="str">
        <f>"96134"</f>
        <v>96134</v>
      </c>
      <c r="C42801" s="2">
        <v>8.0329580794344702E-5</v>
      </c>
      <c r="D42801" s="2">
        <v>5.4205520229951803E-5</v>
      </c>
      <c r="E42801" s="2">
        <v>3.0107397387538101E-4</v>
      </c>
      <c r="F42801" s="2">
        <v>8.3682123978619203E-5</v>
      </c>
    </row>
    <row r="42802" spans="1:6" x14ac:dyDescent="0.25">
      <c r="A42802" s="1" t="str">
        <f t="shared" si="1472"/>
        <v>99999</v>
      </c>
      <c r="B42802" s="1" t="str">
        <f>"95552"</f>
        <v>95552</v>
      </c>
      <c r="C42802" s="2">
        <v>1.5481307349853501E-5</v>
      </c>
      <c r="D42802" s="2">
        <v>3.01141779055288E-5</v>
      </c>
      <c r="E42802" s="2">
        <v>1.29031703089449E-5</v>
      </c>
      <c r="F42802" s="2">
        <v>1.6381170495814601E-5</v>
      </c>
    </row>
    <row r="42803" spans="1:6" x14ac:dyDescent="0.25">
      <c r="A42803" s="1" t="str">
        <f t="shared" si="1472"/>
        <v>99999</v>
      </c>
      <c r="B42803" s="1" t="str">
        <f>"95247"</f>
        <v>95247</v>
      </c>
      <c r="C42803" s="2">
        <v>1.7494959914240001E-4</v>
      </c>
      <c r="D42803" s="2">
        <v>2.8006185452141702E-4</v>
      </c>
      <c r="E42803" s="2">
        <v>2.7096657648784301E-4</v>
      </c>
      <c r="F42803" s="2">
        <v>1.84041463702977E-4</v>
      </c>
    </row>
    <row r="42804" spans="1:6" x14ac:dyDescent="0.25">
      <c r="A42804" s="1" t="str">
        <f t="shared" si="1472"/>
        <v>99999</v>
      </c>
      <c r="B42804" s="1" t="str">
        <f>"95245"</f>
        <v>95245</v>
      </c>
      <c r="C42804" s="2">
        <v>1.0230654157770301E-4</v>
      </c>
      <c r="D42804" s="2">
        <v>3.01141779055288E-5</v>
      </c>
      <c r="E42804" s="2">
        <v>6.4515851544724506E-5</v>
      </c>
      <c r="F42804" s="2">
        <v>9.6708114975291003E-5</v>
      </c>
    </row>
    <row r="42805" spans="1:6" x14ac:dyDescent="0.25">
      <c r="A42805" s="1" t="str">
        <f t="shared" si="1472"/>
        <v>99999</v>
      </c>
      <c r="B42805" s="1" t="str">
        <f>"96044"</f>
        <v>96044</v>
      </c>
      <c r="C42805" s="2">
        <v>4.4928269581742699E-5</v>
      </c>
      <c r="D42805" s="2">
        <v>1.35513800574879E-5</v>
      </c>
      <c r="E42805" s="2">
        <v>4.3010567696482999E-6</v>
      </c>
      <c r="F42805" s="2">
        <v>4.1939743739284297E-5</v>
      </c>
    </row>
    <row r="42806" spans="1:6" x14ac:dyDescent="0.25">
      <c r="A42806" s="1" t="str">
        <f t="shared" si="1472"/>
        <v>99999</v>
      </c>
      <c r="B42806" s="1" t="str">
        <f>"96027"</f>
        <v>96027</v>
      </c>
      <c r="C42806" s="2">
        <v>6.8853926395152606E-5</v>
      </c>
      <c r="D42806" s="2">
        <v>1.20456711622115E-5</v>
      </c>
      <c r="E42806" s="2">
        <v>1.72042270785932E-5</v>
      </c>
      <c r="F42806" s="2">
        <v>6.3945773983661801E-5</v>
      </c>
    </row>
    <row r="42807" spans="1:6" x14ac:dyDescent="0.25">
      <c r="A42807" s="1" t="str">
        <f t="shared" si="1472"/>
        <v>99999</v>
      </c>
      <c r="B42807" s="1" t="str">
        <f>"96058"</f>
        <v>96058</v>
      </c>
      <c r="C42807" s="2">
        <v>3.1287397371382199E-5</v>
      </c>
      <c r="D42807" s="2">
        <v>9.0342533716586405E-6</v>
      </c>
      <c r="E42807" s="2">
        <v>8.6021135392965999E-6</v>
      </c>
      <c r="F42807" s="2">
        <v>2.9308479742511601E-5</v>
      </c>
    </row>
    <row r="42808" spans="1:6" x14ac:dyDescent="0.25">
      <c r="A42808" s="1" t="str">
        <f t="shared" si="1472"/>
        <v>99999</v>
      </c>
      <c r="B42808" s="1" t="str">
        <f>"95979"</f>
        <v>95979</v>
      </c>
      <c r="C42808" s="2">
        <v>2.8797396888538699E-5</v>
      </c>
      <c r="D42808" s="2">
        <v>9.0342533716586405E-6</v>
      </c>
      <c r="E42808" s="2">
        <v>4.3010567696482999E-6</v>
      </c>
      <c r="F42808" s="2">
        <v>2.6940117743116699E-5</v>
      </c>
    </row>
    <row r="42809" spans="1:6" x14ac:dyDescent="0.25">
      <c r="A42809" s="1" t="str">
        <f t="shared" si="1472"/>
        <v>99999</v>
      </c>
      <c r="B42809" s="1" t="str">
        <f>"98620"</f>
        <v>98620</v>
      </c>
      <c r="C42809" s="2">
        <v>3.8724920552745399E-4</v>
      </c>
      <c r="D42809" s="2">
        <v>3.8094435050493901E-4</v>
      </c>
      <c r="E42809" s="2">
        <v>4.4730990404342298E-4</v>
      </c>
      <c r="F42809" s="2">
        <v>3.8821400440081099E-4</v>
      </c>
    </row>
    <row r="42810" spans="1:6" x14ac:dyDescent="0.25">
      <c r="A42810" s="1" t="str">
        <f t="shared" si="1472"/>
        <v>99999</v>
      </c>
      <c r="B42810" s="1" t="str">
        <f>"98605"</f>
        <v>98605</v>
      </c>
      <c r="C42810" s="2">
        <v>1.1345741330522E-4</v>
      </c>
      <c r="D42810" s="2">
        <v>1.3852521836543201E-4</v>
      </c>
      <c r="E42810" s="2">
        <v>1.72042270785932E-5</v>
      </c>
      <c r="F42810" s="2">
        <v>1.12891921971156E-4</v>
      </c>
    </row>
    <row r="42811" spans="1:6" x14ac:dyDescent="0.25">
      <c r="A42811" s="1" t="str">
        <f t="shared" si="1472"/>
        <v>99999</v>
      </c>
      <c r="B42811" s="1" t="str">
        <f>"98635"</f>
        <v>98635</v>
      </c>
      <c r="C42811" s="2">
        <v>2.2431656523703799E-4</v>
      </c>
      <c r="D42811" s="2">
        <v>7.0768318077992694E-5</v>
      </c>
      <c r="E42811" s="2">
        <v>7.3117965084021106E-5</v>
      </c>
      <c r="F42811" s="2">
        <v>2.1078421794614401E-4</v>
      </c>
    </row>
    <row r="42812" spans="1:6" x14ac:dyDescent="0.25">
      <c r="A42812" s="1" t="str">
        <f t="shared" si="1472"/>
        <v>99999</v>
      </c>
      <c r="B42812" s="1" t="str">
        <f>"97730"</f>
        <v>97730</v>
      </c>
      <c r="C42812" s="2">
        <v>3.5726093884277302E-5</v>
      </c>
      <c r="D42812" s="2">
        <v>1.0539962266935E-5</v>
      </c>
      <c r="E42812" s="2">
        <v>8.6021135392965999E-6</v>
      </c>
      <c r="F42812" s="2">
        <v>3.34531132414527E-5</v>
      </c>
    </row>
    <row r="42813" spans="1:6" x14ac:dyDescent="0.25">
      <c r="A42813" s="1" t="str">
        <f t="shared" si="1472"/>
        <v>99999</v>
      </c>
      <c r="B42813" s="1" t="str">
        <f>"97885"</f>
        <v>97885</v>
      </c>
      <c r="C42813" s="2">
        <v>8.0762624356578398E-5</v>
      </c>
      <c r="D42813" s="2">
        <v>9.0342533716586405E-6</v>
      </c>
      <c r="E42813" s="2">
        <v>4.3010567696482999E-6</v>
      </c>
      <c r="F42813" s="2">
        <v>7.4307357731014399E-5</v>
      </c>
    </row>
    <row r="42814" spans="1:6" x14ac:dyDescent="0.25">
      <c r="A42814" s="1" t="str">
        <f t="shared" si="1472"/>
        <v>99999</v>
      </c>
      <c r="B42814" s="1" t="str">
        <f>"97857"</f>
        <v>97857</v>
      </c>
      <c r="C42814" s="2">
        <v>2.5874352843461398E-5</v>
      </c>
      <c r="D42814" s="2">
        <v>4.5171266858293203E-6</v>
      </c>
      <c r="E42814" s="2">
        <v>8.6021135392965999E-6</v>
      </c>
      <c r="F42814" s="2">
        <v>2.4078346993847899E-5</v>
      </c>
    </row>
    <row r="42815" spans="1:6" x14ac:dyDescent="0.25">
      <c r="A42815" s="1" t="str">
        <f t="shared" si="1472"/>
        <v>99999</v>
      </c>
      <c r="B42815" s="1" t="str">
        <f>"97039"</f>
        <v>97039</v>
      </c>
      <c r="C42815" s="2">
        <v>2.99882666846812E-5</v>
      </c>
      <c r="D42815" s="2">
        <v>1.50570889527644E-5</v>
      </c>
      <c r="E42815" s="2">
        <v>2.1075178171276601E-4</v>
      </c>
      <c r="F42815" s="2">
        <v>3.3157067991528302E-5</v>
      </c>
    </row>
    <row r="42816" spans="1:6" x14ac:dyDescent="0.25">
      <c r="A42816" s="1" t="str">
        <f t="shared" si="1472"/>
        <v>99999</v>
      </c>
      <c r="B42816" s="1" t="str">
        <f>"97108"</f>
        <v>97108</v>
      </c>
      <c r="C42816" s="2">
        <v>2.9663484013005999E-5</v>
      </c>
      <c r="D42816" s="2">
        <v>3.01141779055288E-6</v>
      </c>
      <c r="E42816" s="2">
        <v>1.29031703089449E-5</v>
      </c>
      <c r="F42816" s="2">
        <v>2.7532208242965501E-5</v>
      </c>
    </row>
    <row r="42817" spans="1:6" x14ac:dyDescent="0.25">
      <c r="A42817" s="1" t="str">
        <f t="shared" si="1472"/>
        <v>99999</v>
      </c>
      <c r="B42817" s="1" t="str">
        <f>"96913"</f>
        <v>96913</v>
      </c>
      <c r="C42817" s="2">
        <v>6.6688708583984295E-4</v>
      </c>
      <c r="D42817" s="2">
        <v>3.4284991545444499E-3</v>
      </c>
      <c r="E42817" s="2">
        <v>2.8042890138106902E-3</v>
      </c>
      <c r="F42817" s="2">
        <v>8.9691842552083701E-4</v>
      </c>
    </row>
    <row r="42818" spans="1:6" x14ac:dyDescent="0.25">
      <c r="A42818" s="1" t="str">
        <f t="shared" si="1472"/>
        <v>99999</v>
      </c>
      <c r="B42818" s="1" t="str">
        <f>"98577"</f>
        <v>98577</v>
      </c>
      <c r="C42818" s="2">
        <v>3.3658310874611498E-4</v>
      </c>
      <c r="D42818" s="2">
        <v>3.7793293271438602E-4</v>
      </c>
      <c r="E42818" s="2">
        <v>4.4730990404342298E-4</v>
      </c>
      <c r="F42818" s="2">
        <v>3.4183358191266101E-4</v>
      </c>
    </row>
    <row r="42819" spans="1:6" x14ac:dyDescent="0.25">
      <c r="A42819" s="1" t="str">
        <f t="shared" si="1472"/>
        <v>99999</v>
      </c>
      <c r="B42819" s="1" t="str">
        <f>"98844"</f>
        <v>98844</v>
      </c>
      <c r="C42819" s="2">
        <v>2.5874352843461402E-4</v>
      </c>
      <c r="D42819" s="2">
        <v>2.13810663129254E-4</v>
      </c>
      <c r="E42819" s="2">
        <v>1.01935045440664E-3</v>
      </c>
      <c r="F42819" s="2">
        <v>2.7324976568018401E-4</v>
      </c>
    </row>
    <row r="42820" spans="1:6" x14ac:dyDescent="0.25">
      <c r="A42820" s="1" t="str">
        <f t="shared" si="1472"/>
        <v>99999</v>
      </c>
      <c r="B42820" s="1" t="str">
        <f>"98813"</f>
        <v>98813</v>
      </c>
      <c r="C42820" s="2">
        <v>3.6808702789861401E-6</v>
      </c>
      <c r="D42820" s="2">
        <v>7.5285444763821999E-6</v>
      </c>
      <c r="E42820" s="2">
        <v>0</v>
      </c>
      <c r="F42820" s="2">
        <v>3.8485882490166797E-6</v>
      </c>
    </row>
    <row r="42821" spans="1:6" x14ac:dyDescent="0.25">
      <c r="A42821" s="1" t="str">
        <f t="shared" si="1472"/>
        <v>99999</v>
      </c>
      <c r="B42821" s="1" t="str">
        <f>"98841"</f>
        <v>98841</v>
      </c>
      <c r="C42821" s="2">
        <v>5.8774837484164104E-4</v>
      </c>
      <c r="D42821" s="2">
        <v>6.3390344491138096E-4</v>
      </c>
      <c r="E42821" s="2">
        <v>3.39783484802215E-4</v>
      </c>
      <c r="F42821" s="2">
        <v>5.8508409560051105E-4</v>
      </c>
    </row>
    <row r="42822" spans="1:6" x14ac:dyDescent="0.25">
      <c r="A42822" s="1" t="str">
        <f t="shared" ref="A42822:A42885" si="1473">"99999"</f>
        <v>99999</v>
      </c>
      <c r="B42822" s="1" t="str">
        <f>"98856"</f>
        <v>98856</v>
      </c>
      <c r="C42822" s="2">
        <v>8.4335233745006096E-5</v>
      </c>
      <c r="D42822" s="2">
        <v>1.65627978480408E-5</v>
      </c>
      <c r="E42822" s="2">
        <v>9.7633988671016396E-4</v>
      </c>
      <c r="F42822" s="2">
        <v>1.00359339724358E-4</v>
      </c>
    </row>
    <row r="42823" spans="1:6" x14ac:dyDescent="0.25">
      <c r="A42823" s="1" t="str">
        <f t="shared" si="1473"/>
        <v>99999</v>
      </c>
      <c r="B42823" s="1" t="str">
        <f>"98279"</f>
        <v>98279</v>
      </c>
      <c r="C42823" s="2">
        <v>4.9691748766313E-5</v>
      </c>
      <c r="D42823" s="2">
        <v>7.5285444763821999E-6</v>
      </c>
      <c r="E42823" s="2">
        <v>7.35480707609859E-4</v>
      </c>
      <c r="F42823" s="2">
        <v>6.2662911233989595E-5</v>
      </c>
    </row>
    <row r="42824" spans="1:6" x14ac:dyDescent="0.25">
      <c r="A42824" s="1" t="str">
        <f t="shared" si="1473"/>
        <v>99999</v>
      </c>
      <c r="B42824" s="1" t="str">
        <f>"83873"</f>
        <v>83873</v>
      </c>
      <c r="C42824" s="2">
        <v>1.3944002703923999E-4</v>
      </c>
      <c r="D42824" s="2">
        <v>3.0415319684584099E-4</v>
      </c>
      <c r="E42824" s="2">
        <v>3.6989088218975403E-4</v>
      </c>
      <c r="F42824" s="2">
        <v>1.5552243796026401E-4</v>
      </c>
    </row>
    <row r="42825" spans="1:6" x14ac:dyDescent="0.25">
      <c r="A42825" s="1" t="str">
        <f t="shared" si="1473"/>
        <v>99999</v>
      </c>
      <c r="B42825" s="1" t="str">
        <f>"83850"</f>
        <v>83850</v>
      </c>
      <c r="C42825" s="2">
        <v>1.57411334871937E-4</v>
      </c>
      <c r="D42825" s="2">
        <v>1.12928167145733E-4</v>
      </c>
      <c r="E42825" s="2">
        <v>1.2042958955015201E-4</v>
      </c>
      <c r="F42825" s="2">
        <v>1.5364748471074301E-4</v>
      </c>
    </row>
    <row r="42826" spans="1:6" x14ac:dyDescent="0.25">
      <c r="A42826" s="1" t="str">
        <f t="shared" si="1473"/>
        <v>99999</v>
      </c>
      <c r="B42826" s="1" t="str">
        <f>"83541"</f>
        <v>83541</v>
      </c>
      <c r="C42826" s="2">
        <v>3.0529571137473299E-5</v>
      </c>
      <c r="D42826" s="2">
        <v>7.5285444763821999E-6</v>
      </c>
      <c r="E42826" s="2">
        <v>0</v>
      </c>
      <c r="F42826" s="2">
        <v>2.83216622427638E-5</v>
      </c>
    </row>
    <row r="42827" spans="1:6" x14ac:dyDescent="0.25">
      <c r="A42827" s="1" t="str">
        <f t="shared" si="1473"/>
        <v>99999</v>
      </c>
      <c r="B42827" s="1" t="str">
        <f>"99166"</f>
        <v>99166</v>
      </c>
      <c r="C42827" s="2">
        <v>1.4777611561223801E-4</v>
      </c>
      <c r="D42827" s="2">
        <v>1.0088249598352101E-4</v>
      </c>
      <c r="E42827" s="2">
        <v>4.3010567696483002E-4</v>
      </c>
      <c r="F42827" s="2">
        <v>1.5118044096137299E-4</v>
      </c>
    </row>
    <row r="42828" spans="1:6" x14ac:dyDescent="0.25">
      <c r="A42828" s="1" t="str">
        <f t="shared" si="1473"/>
        <v>99999</v>
      </c>
      <c r="B42828" s="1" t="str">
        <f>"99611"</f>
        <v>99611</v>
      </c>
      <c r="C42828" s="2">
        <v>9.3515757264359795E-4</v>
      </c>
      <c r="D42828" s="2">
        <v>1.3310466634243699E-3</v>
      </c>
      <c r="E42828" s="2">
        <v>1.9870882275775099E-3</v>
      </c>
      <c r="F42828" s="2">
        <v>9.8523859174827109E-4</v>
      </c>
    </row>
    <row r="42829" spans="1:6" x14ac:dyDescent="0.25">
      <c r="A42829" s="1" t="str">
        <f t="shared" si="1473"/>
        <v>99999</v>
      </c>
      <c r="B42829" s="1" t="str">
        <f>"99556"</f>
        <v>99556</v>
      </c>
      <c r="C42829" s="2">
        <v>3.9298703272705E-5</v>
      </c>
      <c r="D42829" s="2">
        <v>1.0539962266935E-5</v>
      </c>
      <c r="E42829" s="2">
        <v>1.29031703089449E-5</v>
      </c>
      <c r="F42829" s="2">
        <v>3.68082927405954E-5</v>
      </c>
    </row>
    <row r="42830" spans="1:6" x14ac:dyDescent="0.25">
      <c r="A42830" s="1" t="str">
        <f t="shared" si="1473"/>
        <v>99999</v>
      </c>
      <c r="B42830" s="1" t="str">
        <f>"99669"</f>
        <v>99669</v>
      </c>
      <c r="C42830" s="2">
        <v>1.0848823842858799E-3</v>
      </c>
      <c r="D42830" s="2">
        <v>1.5840057578308099E-3</v>
      </c>
      <c r="E42830" s="2">
        <v>1.5956920615395199E-3</v>
      </c>
      <c r="F42830" s="2">
        <v>1.1293139467114599E-3</v>
      </c>
    </row>
    <row r="42831" spans="1:6" x14ac:dyDescent="0.25">
      <c r="A42831" s="1" t="str">
        <f t="shared" si="1473"/>
        <v>99999</v>
      </c>
      <c r="B42831" s="1" t="str">
        <f>"99672"</f>
        <v>99672</v>
      </c>
      <c r="C42831" s="2">
        <v>7.8380884764293302E-5</v>
      </c>
      <c r="D42831" s="2">
        <v>1.20456711622115E-5</v>
      </c>
      <c r="E42831" s="2">
        <v>6.0214794775076199E-5</v>
      </c>
      <c r="F42831" s="2">
        <v>7.3616585481190894E-5</v>
      </c>
    </row>
    <row r="42832" spans="1:6" x14ac:dyDescent="0.25">
      <c r="A42832" s="1" t="str">
        <f t="shared" si="1473"/>
        <v>99999</v>
      </c>
      <c r="B42832" s="1" t="str">
        <f>"04459"</f>
        <v>04459</v>
      </c>
      <c r="C42832" s="2">
        <v>5.1965227468039701E-6</v>
      </c>
      <c r="D42832" s="2">
        <v>0</v>
      </c>
      <c r="E42832" s="2">
        <v>1.72042270785932E-5</v>
      </c>
      <c r="F42832" s="2">
        <v>5.1314509986889099E-6</v>
      </c>
    </row>
    <row r="42833" spans="1:6" x14ac:dyDescent="0.25">
      <c r="A42833" s="1" t="str">
        <f t="shared" si="1473"/>
        <v>99999</v>
      </c>
      <c r="B42833" s="1" t="str">
        <f>"04476"</f>
        <v>04476</v>
      </c>
      <c r="C42833" s="2">
        <v>6.6796969474542693E-5</v>
      </c>
      <c r="D42833" s="2">
        <v>1.20456711622115E-5</v>
      </c>
      <c r="E42833" s="2">
        <v>2.58063406178898E-5</v>
      </c>
      <c r="F42833" s="2">
        <v>6.2268184234090393E-5</v>
      </c>
    </row>
    <row r="42834" spans="1:6" x14ac:dyDescent="0.25">
      <c r="A42834" s="1" t="str">
        <f t="shared" si="1473"/>
        <v>99999</v>
      </c>
      <c r="B42834" s="1" t="str">
        <f>"04478"</f>
        <v>04478</v>
      </c>
      <c r="C42834" s="2">
        <v>3.2045223605291098E-5</v>
      </c>
      <c r="D42834" s="2">
        <v>3.01141779055288E-6</v>
      </c>
      <c r="E42834" s="2">
        <v>4.3010567696482999E-6</v>
      </c>
      <c r="F42834" s="2">
        <v>2.9505843242461201E-5</v>
      </c>
    </row>
    <row r="42835" spans="1:6" x14ac:dyDescent="0.25">
      <c r="A42835" s="1" t="str">
        <f t="shared" si="1473"/>
        <v>99999</v>
      </c>
      <c r="B42835" s="1" t="str">
        <f>"04485"</f>
        <v>04485</v>
      </c>
      <c r="C42835" s="2">
        <v>1.24500024142178E-5</v>
      </c>
      <c r="D42835" s="2">
        <v>0</v>
      </c>
      <c r="E42835" s="2">
        <v>8.6021135392965999E-6</v>
      </c>
      <c r="F42835" s="2">
        <v>1.154576474705E-5</v>
      </c>
    </row>
    <row r="42836" spans="1:6" x14ac:dyDescent="0.25">
      <c r="A42836" s="1" t="str">
        <f t="shared" si="1473"/>
        <v>99999</v>
      </c>
      <c r="B42836" s="1" t="str">
        <f>"04973"</f>
        <v>04973</v>
      </c>
      <c r="C42836" s="2">
        <v>6.7771317489568502E-5</v>
      </c>
      <c r="D42836" s="2">
        <v>2.4091342324423E-5</v>
      </c>
      <c r="E42836" s="2">
        <v>2.15052838482415E-5</v>
      </c>
      <c r="F42836" s="2">
        <v>6.3847092233686997E-5</v>
      </c>
    </row>
    <row r="42837" spans="1:6" x14ac:dyDescent="0.25">
      <c r="A42837" s="1" t="str">
        <f t="shared" si="1473"/>
        <v>99999</v>
      </c>
      <c r="B42837" s="1" t="str">
        <f>"04693"</f>
        <v>04693</v>
      </c>
      <c r="C42837" s="2">
        <v>2.1652178111683201E-5</v>
      </c>
      <c r="D42837" s="2">
        <v>4.5171266858293203E-6</v>
      </c>
      <c r="E42837" s="2">
        <v>3.44084541571864E-5</v>
      </c>
      <c r="F42837" s="2">
        <v>2.082184924468E-5</v>
      </c>
    </row>
    <row r="42838" spans="1:6" x14ac:dyDescent="0.25">
      <c r="A42838" s="1" t="str">
        <f t="shared" si="1473"/>
        <v>99999</v>
      </c>
      <c r="B42838" s="1" t="str">
        <f>"05442"</f>
        <v>05442</v>
      </c>
      <c r="C42838" s="2">
        <v>1.87291340666059E-5</v>
      </c>
      <c r="D42838" s="2">
        <v>4.5171266858293203E-6</v>
      </c>
      <c r="E42838" s="2">
        <v>4.3010567696482999E-6</v>
      </c>
      <c r="F42838" s="2">
        <v>1.7466669745537199E-5</v>
      </c>
    </row>
    <row r="42839" spans="1:6" x14ac:dyDescent="0.25">
      <c r="A42839" s="1" t="str">
        <f t="shared" si="1473"/>
        <v>99999</v>
      </c>
      <c r="B42839" s="1" t="str">
        <f>"05360"</f>
        <v>05360</v>
      </c>
      <c r="C42839" s="2">
        <v>2.3600874141734699E-5</v>
      </c>
      <c r="D42839" s="2">
        <v>1.50570889527644E-6</v>
      </c>
      <c r="E42839" s="2">
        <v>4.3010567696482999E-6</v>
      </c>
      <c r="F42839" s="2">
        <v>2.1709984994453001E-5</v>
      </c>
    </row>
    <row r="42840" spans="1:6" x14ac:dyDescent="0.25">
      <c r="A42840" s="1" t="str">
        <f t="shared" si="1473"/>
        <v>99999</v>
      </c>
      <c r="B42840" s="1" t="str">
        <f>"12751"</f>
        <v>12751</v>
      </c>
      <c r="C42840" s="2">
        <v>3.8973920601029803E-5</v>
      </c>
      <c r="D42840" s="2">
        <v>6.0228355811057601E-6</v>
      </c>
      <c r="E42840" s="2">
        <v>3.01073973875381E-5</v>
      </c>
      <c r="F42840" s="2">
        <v>3.6610929240645901E-5</v>
      </c>
    </row>
    <row r="42841" spans="1:6" x14ac:dyDescent="0.25">
      <c r="A42841" s="1" t="str">
        <f t="shared" si="1473"/>
        <v>99999</v>
      </c>
      <c r="B42841" s="1" t="str">
        <f>"75124"</f>
        <v>75124</v>
      </c>
      <c r="C42841" s="2">
        <v>5.2398271030273401E-5</v>
      </c>
      <c r="D42841" s="2">
        <v>7.5285444763821999E-6</v>
      </c>
      <c r="E42841" s="2">
        <v>8.6021135392965999E-6</v>
      </c>
      <c r="F42841" s="2">
        <v>4.8452739237620299E-5</v>
      </c>
    </row>
    <row r="42842" spans="1:6" x14ac:dyDescent="0.25">
      <c r="A42842" s="1" t="str">
        <f t="shared" si="1473"/>
        <v>99999</v>
      </c>
      <c r="B42842" s="1" t="str">
        <f>"75754"</f>
        <v>75754</v>
      </c>
      <c r="C42842" s="2">
        <v>2.9133005649269699E-4</v>
      </c>
      <c r="D42842" s="2">
        <v>2.10799245338701E-4</v>
      </c>
      <c r="E42842" s="2">
        <v>1.16128532780504E-4</v>
      </c>
      <c r="F42842" s="2">
        <v>2.8203244142793998E-4</v>
      </c>
    </row>
    <row r="42843" spans="1:6" x14ac:dyDescent="0.25">
      <c r="A42843" s="1" t="str">
        <f t="shared" si="1473"/>
        <v>99999</v>
      </c>
      <c r="B42843" s="1" t="str">
        <f>"75436"</f>
        <v>75436</v>
      </c>
      <c r="C42843" s="2">
        <v>1.8025438277976199E-4</v>
      </c>
      <c r="D42843" s="2">
        <v>5.5711229125228301E-5</v>
      </c>
      <c r="E42843" s="2">
        <v>7.3117965084021106E-5</v>
      </c>
      <c r="F42843" s="2">
        <v>1.69633928206658E-4</v>
      </c>
    </row>
    <row r="42844" spans="1:6" x14ac:dyDescent="0.25">
      <c r="A42844" s="1" t="str">
        <f t="shared" si="1473"/>
        <v>99999</v>
      </c>
      <c r="B42844" s="1" t="str">
        <f>"75639"</f>
        <v>75639</v>
      </c>
      <c r="C42844" s="2">
        <v>1.9216308074118801E-4</v>
      </c>
      <c r="D42844" s="2">
        <v>5.2699811334675399E-5</v>
      </c>
      <c r="E42844" s="2">
        <v>2.15052838482415E-5</v>
      </c>
      <c r="F42844" s="2">
        <v>1.79107376204238E-4</v>
      </c>
    </row>
    <row r="42845" spans="1:6" x14ac:dyDescent="0.25">
      <c r="A42845" s="1" t="str">
        <f t="shared" si="1473"/>
        <v>99999</v>
      </c>
      <c r="B42845" s="1" t="str">
        <f>"75563"</f>
        <v>75563</v>
      </c>
      <c r="C42845" s="2">
        <v>2.3308569737226999E-4</v>
      </c>
      <c r="D42845" s="2">
        <v>1.37019509470156E-4</v>
      </c>
      <c r="E42845" s="2">
        <v>9.8924305701910905E-5</v>
      </c>
      <c r="F42845" s="2">
        <v>2.23711527192841E-4</v>
      </c>
    </row>
    <row r="42846" spans="1:6" x14ac:dyDescent="0.25">
      <c r="A42846" s="1" t="str">
        <f t="shared" si="1473"/>
        <v>99999</v>
      </c>
      <c r="B42846" s="1" t="str">
        <f>"75683"</f>
        <v>75683</v>
      </c>
      <c r="C42846" s="2">
        <v>7.5349579828657594E-5</v>
      </c>
      <c r="D42846" s="2">
        <v>4.5171266858293203E-6</v>
      </c>
      <c r="E42846" s="2">
        <v>8.6021135392965999E-6</v>
      </c>
      <c r="F42846" s="2">
        <v>6.9175906732325495E-5</v>
      </c>
    </row>
    <row r="42847" spans="1:6" x14ac:dyDescent="0.25">
      <c r="A42847" s="1" t="str">
        <f t="shared" si="1473"/>
        <v>99999</v>
      </c>
      <c r="B42847" s="1" t="str">
        <f>"75560"</f>
        <v>75560</v>
      </c>
      <c r="C42847" s="2">
        <v>9.2779583208562594E-5</v>
      </c>
      <c r="D42847" s="2">
        <v>1.35513800574879E-5</v>
      </c>
      <c r="E42847" s="2">
        <v>3.01073973875381E-5</v>
      </c>
      <c r="F42847" s="2">
        <v>8.6149167727988797E-5</v>
      </c>
    </row>
    <row r="42848" spans="1:6" x14ac:dyDescent="0.25">
      <c r="A42848" s="1" t="str">
        <f t="shared" si="1473"/>
        <v>99999</v>
      </c>
      <c r="B42848" s="1" t="str">
        <f>"76070"</f>
        <v>76070</v>
      </c>
      <c r="C42848" s="2">
        <v>1.67804380365545E-5</v>
      </c>
      <c r="D42848" s="2">
        <v>3.01141779055288E-6</v>
      </c>
      <c r="E42848" s="2">
        <v>1.4623593016804199E-4</v>
      </c>
      <c r="F42848" s="2">
        <v>1.8848214245184198E-5</v>
      </c>
    </row>
    <row r="42849" spans="1:6" x14ac:dyDescent="0.25">
      <c r="A42849" s="1" t="str">
        <f t="shared" si="1473"/>
        <v>99999</v>
      </c>
      <c r="B42849" s="1" t="str">
        <f>"76077"</f>
        <v>76077</v>
      </c>
      <c r="C42849" s="2">
        <v>1.77547860515802E-5</v>
      </c>
      <c r="D42849" s="2">
        <v>2.7102760114975901E-5</v>
      </c>
      <c r="E42849" s="2">
        <v>3.01073973875381E-5</v>
      </c>
      <c r="F42849" s="2">
        <v>1.8650850745234699E-5</v>
      </c>
    </row>
    <row r="42850" spans="1:6" x14ac:dyDescent="0.25">
      <c r="A42850" s="1" t="str">
        <f t="shared" si="1473"/>
        <v>99999</v>
      </c>
      <c r="B42850" s="1" t="str">
        <f>"79370"</f>
        <v>79370</v>
      </c>
      <c r="C42850" s="2">
        <v>1.18329153380348E-4</v>
      </c>
      <c r="D42850" s="2">
        <v>1.89719320804831E-4</v>
      </c>
      <c r="E42850" s="2">
        <v>1.97848611403821E-4</v>
      </c>
      <c r="F42850" s="2">
        <v>1.2483241371810501E-4</v>
      </c>
    </row>
    <row r="42851" spans="1:6" x14ac:dyDescent="0.25">
      <c r="A42851" s="1" t="str">
        <f t="shared" si="1473"/>
        <v>99999</v>
      </c>
      <c r="B42851" s="1" t="str">
        <f>"79347"</f>
        <v>79347</v>
      </c>
      <c r="C42851" s="2">
        <v>3.95801815881569E-4</v>
      </c>
      <c r="D42851" s="2">
        <v>6.0228355811057599E-4</v>
      </c>
      <c r="E42851" s="2">
        <v>4.9032047173990596E-4</v>
      </c>
      <c r="F42851" s="2">
        <v>4.1150289739486101E-4</v>
      </c>
    </row>
    <row r="42852" spans="1:6" x14ac:dyDescent="0.25">
      <c r="A42852" s="1" t="str">
        <f t="shared" si="1473"/>
        <v>99999</v>
      </c>
      <c r="B42852" s="1" t="str">
        <f>"79351"</f>
        <v>79351</v>
      </c>
      <c r="C42852" s="2">
        <v>4.3304356223366396E-6</v>
      </c>
      <c r="D42852" s="2">
        <v>1.0539962266935E-5</v>
      </c>
      <c r="E42852" s="2">
        <v>4.3010567696482999E-6</v>
      </c>
      <c r="F42852" s="2">
        <v>4.7367239987897599E-6</v>
      </c>
    </row>
    <row r="42853" spans="1:6" x14ac:dyDescent="0.25">
      <c r="A42853" s="1" t="str">
        <f t="shared" si="1473"/>
        <v>99999</v>
      </c>
      <c r="B42853" s="1" t="str">
        <f>"79544"</f>
        <v>79544</v>
      </c>
      <c r="C42853" s="2">
        <v>2.5549570171786201E-5</v>
      </c>
      <c r="D42853" s="2">
        <v>2.25856334291466E-5</v>
      </c>
      <c r="E42853" s="2">
        <v>8.6021135392965999E-6</v>
      </c>
      <c r="F42853" s="2">
        <v>2.4966482743620998E-5</v>
      </c>
    </row>
    <row r="42854" spans="1:6" x14ac:dyDescent="0.25">
      <c r="A42854" s="1" t="str">
        <f t="shared" si="1473"/>
        <v>99999</v>
      </c>
      <c r="B42854" s="1" t="str">
        <f>"76849"</f>
        <v>76849</v>
      </c>
      <c r="C42854" s="2">
        <v>2.0840221432495099E-4</v>
      </c>
      <c r="D42854" s="2">
        <v>3.89978603876598E-4</v>
      </c>
      <c r="E42854" s="2">
        <v>2.79568690027139E-4</v>
      </c>
      <c r="F42854" s="2">
        <v>2.21935255693295E-4</v>
      </c>
    </row>
    <row r="42855" spans="1:6" x14ac:dyDescent="0.25">
      <c r="A42855" s="1" t="str">
        <f t="shared" si="1473"/>
        <v>99999</v>
      </c>
      <c r="B42855" s="1" t="str">
        <f>"76872"</f>
        <v>76872</v>
      </c>
      <c r="C42855" s="2">
        <v>4.1788703755548602E-5</v>
      </c>
      <c r="D42855" s="2">
        <v>6.0228355811057601E-6</v>
      </c>
      <c r="E42855" s="2">
        <v>8.6021135392965999E-6</v>
      </c>
      <c r="F42855" s="2">
        <v>3.8683245990116401E-5</v>
      </c>
    </row>
    <row r="42856" spans="1:6" x14ac:dyDescent="0.25">
      <c r="A42856" s="1" t="str">
        <f t="shared" si="1473"/>
        <v>99999</v>
      </c>
      <c r="B42856" s="1" t="str">
        <f>"76877"</f>
        <v>76877</v>
      </c>
      <c r="C42856" s="2">
        <v>2.2529091325206401E-4</v>
      </c>
      <c r="D42856" s="2">
        <v>4.7128688422152501E-4</v>
      </c>
      <c r="E42856" s="2">
        <v>2.2795600879136E-4</v>
      </c>
      <c r="F42856" s="2">
        <v>2.4147424218830301E-4</v>
      </c>
    </row>
    <row r="42857" spans="1:6" x14ac:dyDescent="0.25">
      <c r="A42857" s="1" t="str">
        <f t="shared" si="1473"/>
        <v>99999</v>
      </c>
      <c r="B42857" s="1" t="str">
        <f>"76878"</f>
        <v>76878</v>
      </c>
      <c r="C42857" s="2">
        <v>9.1913496084095297E-5</v>
      </c>
      <c r="D42857" s="2">
        <v>7.3779735868545501E-5</v>
      </c>
      <c r="E42857" s="2">
        <v>2.3225706556100799E-4</v>
      </c>
      <c r="F42857" s="2">
        <v>9.3945025975996998E-5</v>
      </c>
    </row>
    <row r="42858" spans="1:6" x14ac:dyDescent="0.25">
      <c r="A42858" s="1" t="str">
        <f t="shared" si="1473"/>
        <v>99999</v>
      </c>
      <c r="B42858" s="1" t="str">
        <f>"76445"</f>
        <v>76445</v>
      </c>
      <c r="C42858" s="2">
        <v>1.6455655364879201E-5</v>
      </c>
      <c r="D42858" s="2">
        <v>9.0342533716586405E-6</v>
      </c>
      <c r="E42858" s="2">
        <v>4.3010567696482999E-6</v>
      </c>
      <c r="F42858" s="2">
        <v>1.56903982459911E-5</v>
      </c>
    </row>
    <row r="42859" spans="1:6" x14ac:dyDescent="0.25">
      <c r="A42859" s="1" t="str">
        <f t="shared" si="1473"/>
        <v>99999</v>
      </c>
      <c r="B42859" s="1" t="str">
        <f>"76384"</f>
        <v>76384</v>
      </c>
      <c r="C42859" s="2">
        <v>3.2478267167524802E-7</v>
      </c>
      <c r="D42859" s="2">
        <v>0</v>
      </c>
      <c r="E42859" s="2">
        <v>0</v>
      </c>
      <c r="F42859" s="2">
        <v>2.9604524992435999E-7</v>
      </c>
    </row>
    <row r="42860" spans="1:6" x14ac:dyDescent="0.25">
      <c r="A42860" s="1" t="str">
        <f t="shared" si="1473"/>
        <v>99999</v>
      </c>
      <c r="B42860" s="1" t="str">
        <f>"76866"</f>
        <v>76866</v>
      </c>
      <c r="C42860" s="2">
        <v>2.5549570171786201E-5</v>
      </c>
      <c r="D42860" s="2">
        <v>9.0342533716586405E-6</v>
      </c>
      <c r="E42860" s="2">
        <v>2.58063406178898E-5</v>
      </c>
      <c r="F42860" s="2">
        <v>2.4473073993747101E-5</v>
      </c>
    </row>
    <row r="42861" spans="1:6" x14ac:dyDescent="0.25">
      <c r="A42861" s="1" t="str">
        <f t="shared" si="1473"/>
        <v>99999</v>
      </c>
      <c r="B42861" s="1" t="str">
        <f>"76837"</f>
        <v>76837</v>
      </c>
      <c r="C42861" s="2">
        <v>2.93387013413307E-5</v>
      </c>
      <c r="D42861" s="2">
        <v>1.65627978480408E-5</v>
      </c>
      <c r="E42861" s="2">
        <v>4.3010567696482999E-5</v>
      </c>
      <c r="F42861" s="2">
        <v>2.88150709926377E-5</v>
      </c>
    </row>
    <row r="42862" spans="1:6" x14ac:dyDescent="0.25">
      <c r="A42862" s="1" t="str">
        <f t="shared" si="1473"/>
        <v>99999</v>
      </c>
      <c r="B42862" s="1" t="str">
        <f>"79088"</f>
        <v>79088</v>
      </c>
      <c r="C42862" s="2">
        <v>2.7888005407847999E-4</v>
      </c>
      <c r="D42862" s="2">
        <v>3.9449573056242698E-4</v>
      </c>
      <c r="E42862" s="2">
        <v>2.7096657648784301E-4</v>
      </c>
      <c r="F42862" s="2">
        <v>2.86275756676856E-4</v>
      </c>
    </row>
    <row r="42863" spans="1:6" x14ac:dyDescent="0.25">
      <c r="A42863" s="1" t="str">
        <f t="shared" si="1473"/>
        <v>99999</v>
      </c>
      <c r="B42863" s="1" t="str">
        <f>"79035"</f>
        <v>79035</v>
      </c>
      <c r="C42863" s="2">
        <v>2.4033917703968299E-4</v>
      </c>
      <c r="D42863" s="2">
        <v>2.6199334777810002E-4</v>
      </c>
      <c r="E42863" s="2">
        <v>2.4516023586995298E-4</v>
      </c>
      <c r="F42863" s="2">
        <v>2.4186896918820201E-4</v>
      </c>
    </row>
    <row r="42864" spans="1:6" x14ac:dyDescent="0.25">
      <c r="A42864" s="1" t="str">
        <f t="shared" si="1473"/>
        <v>99999</v>
      </c>
      <c r="B42864" s="1" t="str">
        <f>"79018"</f>
        <v>79018</v>
      </c>
      <c r="C42864" s="2">
        <v>4.5469574034534697E-6</v>
      </c>
      <c r="D42864" s="2">
        <v>1.50570889527644E-6</v>
      </c>
      <c r="E42864" s="2">
        <v>6.8816908314372799E-5</v>
      </c>
      <c r="F42864" s="2">
        <v>5.8222232485124198E-6</v>
      </c>
    </row>
    <row r="42865" spans="1:6" x14ac:dyDescent="0.25">
      <c r="A42865" s="1" t="str">
        <f t="shared" si="1473"/>
        <v>99999</v>
      </c>
      <c r="B42865" s="1" t="str">
        <f>"79081"</f>
        <v>79081</v>
      </c>
      <c r="C42865" s="2">
        <v>1.7657351250077599E-4</v>
      </c>
      <c r="D42865" s="2">
        <v>3.3276166585609302E-4</v>
      </c>
      <c r="E42865" s="2">
        <v>1.5483804370733801E-4</v>
      </c>
      <c r="F42865" s="2">
        <v>1.86311143952397E-4</v>
      </c>
    </row>
    <row r="42866" spans="1:6" x14ac:dyDescent="0.25">
      <c r="A42866" s="1" t="str">
        <f t="shared" si="1473"/>
        <v>99999</v>
      </c>
      <c r="B42866" s="1" t="str">
        <f>"79011"</f>
        <v>79011</v>
      </c>
      <c r="C42866" s="2">
        <v>1.51565246781782E-5</v>
      </c>
      <c r="D42866" s="2">
        <v>1.35513800574879E-5</v>
      </c>
      <c r="E42866" s="2">
        <v>1.29031703089449E-5</v>
      </c>
      <c r="F42866" s="2">
        <v>1.49996259961675E-5</v>
      </c>
    </row>
    <row r="42867" spans="1:6" x14ac:dyDescent="0.25">
      <c r="A42867" s="1" t="str">
        <f t="shared" si="1473"/>
        <v>99999</v>
      </c>
      <c r="B42867" s="1" t="str">
        <f>"76251"</f>
        <v>76251</v>
      </c>
      <c r="C42867" s="2">
        <v>3.8107833476562398E-5</v>
      </c>
      <c r="D42867" s="2">
        <v>2.4091342324423E-5</v>
      </c>
      <c r="E42867" s="2">
        <v>8.6021135392965999E-6</v>
      </c>
      <c r="F42867" s="2">
        <v>3.6512247490671097E-5</v>
      </c>
    </row>
    <row r="42868" spans="1:6" x14ac:dyDescent="0.25">
      <c r="A42868" s="1" t="str">
        <f t="shared" si="1473"/>
        <v>99999</v>
      </c>
      <c r="B42868" s="1" t="str">
        <f>"75930"</f>
        <v>75930</v>
      </c>
      <c r="C42868" s="2">
        <v>1.87832645118852E-4</v>
      </c>
      <c r="D42868" s="2">
        <v>4.2159849067740298E-5</v>
      </c>
      <c r="E42868" s="2">
        <v>2.79568690027139E-4</v>
      </c>
      <c r="F42868" s="2">
        <v>1.8039023895390999E-4</v>
      </c>
    </row>
    <row r="42869" spans="1:6" x14ac:dyDescent="0.25">
      <c r="A42869" s="1" t="str">
        <f t="shared" si="1473"/>
        <v>99999</v>
      </c>
      <c r="B42869" s="1" t="str">
        <f>"75932"</f>
        <v>75932</v>
      </c>
      <c r="C42869" s="2">
        <v>1.60659161588689E-4</v>
      </c>
      <c r="D42869" s="2">
        <v>9.33539515071393E-5</v>
      </c>
      <c r="E42869" s="2">
        <v>8.6021135392965999E-6</v>
      </c>
      <c r="F42869" s="2">
        <v>1.5275934896096901E-4</v>
      </c>
    </row>
    <row r="42870" spans="1:6" x14ac:dyDescent="0.25">
      <c r="A42870" s="1" t="str">
        <f t="shared" si="1473"/>
        <v>99999</v>
      </c>
      <c r="B42870" s="1" t="str">
        <f>"75847"</f>
        <v>75847</v>
      </c>
      <c r="C42870" s="2">
        <v>1.30021329560657E-4</v>
      </c>
      <c r="D42870" s="2">
        <v>1.50570889527644E-5</v>
      </c>
      <c r="E42870" s="2">
        <v>8.6021135392965999E-6</v>
      </c>
      <c r="F42870" s="2">
        <v>1.19700962719416E-4</v>
      </c>
    </row>
    <row r="42871" spans="1:6" x14ac:dyDescent="0.25">
      <c r="A42871" s="1" t="str">
        <f t="shared" si="1473"/>
        <v>99999</v>
      </c>
      <c r="B42871" s="1" t="str">
        <f>"75938"</f>
        <v>75938</v>
      </c>
      <c r="C42871" s="2">
        <v>2.5582048438953703E-4</v>
      </c>
      <c r="D42871" s="2">
        <v>8.88368248213099E-5</v>
      </c>
      <c r="E42871" s="2">
        <v>3.01073973875381E-5</v>
      </c>
      <c r="F42871" s="2">
        <v>2.39697970688757E-4</v>
      </c>
    </row>
    <row r="42872" spans="1:6" x14ac:dyDescent="0.25">
      <c r="A42872" s="1" t="str">
        <f t="shared" si="1473"/>
        <v>99999</v>
      </c>
      <c r="B42872" s="1" t="str">
        <f>"75939"</f>
        <v>75939</v>
      </c>
      <c r="C42872" s="2">
        <v>3.08868320763161E-4</v>
      </c>
      <c r="D42872" s="2">
        <v>2.03270700862319E-4</v>
      </c>
      <c r="E42872" s="2">
        <v>1.8494544109487701E-4</v>
      </c>
      <c r="F42872" s="2">
        <v>2.99104384173578E-4</v>
      </c>
    </row>
    <row r="42873" spans="1:6" x14ac:dyDescent="0.25">
      <c r="A42873" s="1" t="str">
        <f t="shared" si="1473"/>
        <v>99999</v>
      </c>
      <c r="B42873" s="1" t="str">
        <f>"75852"</f>
        <v>75852</v>
      </c>
      <c r="C42873" s="2">
        <v>8.4226972854447706E-5</v>
      </c>
      <c r="D42873" s="2">
        <v>1.65627978480408E-5</v>
      </c>
      <c r="E42873" s="2">
        <v>2.58063406178898E-5</v>
      </c>
      <c r="F42873" s="2">
        <v>7.8451991229955495E-5</v>
      </c>
    </row>
    <row r="42874" spans="1:6" x14ac:dyDescent="0.25">
      <c r="A42874" s="1" t="str">
        <f t="shared" si="1473"/>
        <v>99999</v>
      </c>
      <c r="B42874" s="1" t="str">
        <f>"75928"</f>
        <v>75928</v>
      </c>
      <c r="C42874" s="2">
        <v>1.03280889592729E-4</v>
      </c>
      <c r="D42874" s="2">
        <v>3.31255956960816E-5</v>
      </c>
      <c r="E42874" s="2">
        <v>0</v>
      </c>
      <c r="F42874" s="2">
        <v>9.6313387975391896E-5</v>
      </c>
    </row>
    <row r="42875" spans="1:6" x14ac:dyDescent="0.25">
      <c r="A42875" s="1" t="str">
        <f t="shared" si="1473"/>
        <v>99999</v>
      </c>
      <c r="B42875" s="1" t="str">
        <f>"77363"</f>
        <v>77363</v>
      </c>
      <c r="C42875" s="2">
        <v>1.7397525112737401E-4</v>
      </c>
      <c r="D42875" s="2">
        <v>1.2798525609849701E-4</v>
      </c>
      <c r="E42875" s="2">
        <v>2.15052838482415E-5</v>
      </c>
      <c r="F42875" s="2">
        <v>1.6746292970721299E-4</v>
      </c>
    </row>
    <row r="42876" spans="1:6" x14ac:dyDescent="0.25">
      <c r="A42876" s="1" t="str">
        <f t="shared" si="1473"/>
        <v>99999</v>
      </c>
      <c r="B42876" s="1" t="str">
        <f>"77434"</f>
        <v>77434</v>
      </c>
      <c r="C42876" s="2">
        <v>2.0385525692149701E-4</v>
      </c>
      <c r="D42876" s="2">
        <v>3.3426737475136901E-4</v>
      </c>
      <c r="E42876" s="2">
        <v>2.0645072494311799E-4</v>
      </c>
      <c r="F42876" s="2">
        <v>2.12461807695716E-4</v>
      </c>
    </row>
    <row r="42877" spans="1:6" x14ac:dyDescent="0.25">
      <c r="A42877" s="1" t="str">
        <f t="shared" si="1473"/>
        <v>99999</v>
      </c>
      <c r="B42877" s="1" t="str">
        <f>"78071"</f>
        <v>78071</v>
      </c>
      <c r="C42877" s="2">
        <v>8.3577407511097203E-5</v>
      </c>
      <c r="D42877" s="2">
        <v>1.5659372510874899E-4</v>
      </c>
      <c r="E42877" s="2">
        <v>6.4515851544724506E-5</v>
      </c>
      <c r="F42877" s="2">
        <v>8.7925439227534995E-5</v>
      </c>
    </row>
    <row r="42878" spans="1:6" x14ac:dyDescent="0.25">
      <c r="A42878" s="1" t="str">
        <f t="shared" si="1473"/>
        <v>99999</v>
      </c>
      <c r="B42878" s="1" t="str">
        <f>"76676"</f>
        <v>76676</v>
      </c>
      <c r="C42878" s="2">
        <v>1.4831742006502999E-5</v>
      </c>
      <c r="D42878" s="2">
        <v>3.01141779055288E-6</v>
      </c>
      <c r="E42878" s="2">
        <v>0</v>
      </c>
      <c r="F42878" s="2">
        <v>1.37167632464953E-5</v>
      </c>
    </row>
    <row r="42879" spans="1:6" x14ac:dyDescent="0.25">
      <c r="A42879" s="1" t="str">
        <f t="shared" si="1473"/>
        <v>99999</v>
      </c>
      <c r="B42879" s="1" t="str">
        <f>"76665"</f>
        <v>76665</v>
      </c>
      <c r="C42879" s="2">
        <v>1.1464828310136201E-4</v>
      </c>
      <c r="D42879" s="2">
        <v>8.88368248213099E-5</v>
      </c>
      <c r="E42879" s="2">
        <v>6.0214794775076199E-5</v>
      </c>
      <c r="F42879" s="2">
        <v>1.11707740971458E-4</v>
      </c>
    </row>
    <row r="42880" spans="1:6" x14ac:dyDescent="0.25">
      <c r="A42880" s="1" t="str">
        <f t="shared" si="1473"/>
        <v>99999</v>
      </c>
      <c r="B42880" s="1" t="str">
        <f>"78361"</f>
        <v>78361</v>
      </c>
      <c r="C42880" s="2">
        <v>2.4748439581653901E-4</v>
      </c>
      <c r="D42880" s="2">
        <v>4.0051856614353298E-4</v>
      </c>
      <c r="E42880" s="2">
        <v>2.4085917910030401E-4</v>
      </c>
      <c r="F42880" s="2">
        <v>2.5736200393424401E-4</v>
      </c>
    </row>
    <row r="42881" spans="1:6" x14ac:dyDescent="0.25">
      <c r="A42881" s="1" t="str">
        <f t="shared" si="1473"/>
        <v>99999</v>
      </c>
      <c r="B42881" s="1" t="str">
        <f>"78368"</f>
        <v>78368</v>
      </c>
      <c r="C42881" s="2">
        <v>6.8420882832919005E-5</v>
      </c>
      <c r="D42881" s="2">
        <v>1.80685067433172E-5</v>
      </c>
      <c r="E42881" s="2">
        <v>2.58063406178898E-5</v>
      </c>
      <c r="F42881" s="2">
        <v>6.4143137483611395E-5</v>
      </c>
    </row>
    <row r="42882" spans="1:6" x14ac:dyDescent="0.25">
      <c r="A42882" s="1" t="str">
        <f t="shared" si="1473"/>
        <v>99999</v>
      </c>
      <c r="B42882" s="1" t="str">
        <f>"77873"</f>
        <v>77873</v>
      </c>
      <c r="C42882" s="2">
        <v>3.3236093401433701E-5</v>
      </c>
      <c r="D42882" s="2">
        <v>2.55970512196994E-5</v>
      </c>
      <c r="E42882" s="2">
        <v>8.6021135392965999E-6</v>
      </c>
      <c r="F42882" s="2">
        <v>3.2170250491780501E-5</v>
      </c>
    </row>
    <row r="42883" spans="1:6" x14ac:dyDescent="0.25">
      <c r="A42883" s="1" t="str">
        <f t="shared" si="1473"/>
        <v>99999</v>
      </c>
      <c r="B42883" s="1" t="str">
        <f>"78945"</f>
        <v>78945</v>
      </c>
      <c r="C42883" s="2">
        <v>5.8309315654762905E-4</v>
      </c>
      <c r="D42883" s="2">
        <v>1.0133420865210401E-3</v>
      </c>
      <c r="E42883" s="2">
        <v>6.1505111805970701E-4</v>
      </c>
      <c r="F42883" s="2">
        <v>6.1202421334362702E-4</v>
      </c>
    </row>
    <row r="42884" spans="1:6" x14ac:dyDescent="0.25">
      <c r="A42884" s="1" t="str">
        <f t="shared" si="1473"/>
        <v>99999</v>
      </c>
      <c r="B42884" s="1" t="str">
        <f>"79731"</f>
        <v>79731</v>
      </c>
      <c r="C42884" s="2">
        <v>1.92271341631747E-4</v>
      </c>
      <c r="D42884" s="2">
        <v>2.8759039899780003E-4</v>
      </c>
      <c r="E42884" s="2">
        <v>2.8386974679678702E-4</v>
      </c>
      <c r="F42884" s="2">
        <v>2.00619997698741E-4</v>
      </c>
    </row>
    <row r="42885" spans="1:6" x14ac:dyDescent="0.25">
      <c r="A42885" s="1" t="str">
        <f t="shared" si="1473"/>
        <v>99999</v>
      </c>
      <c r="B42885" s="1" t="str">
        <f>"78940"</f>
        <v>78940</v>
      </c>
      <c r="C42885" s="2">
        <v>1.3857393991477201E-4</v>
      </c>
      <c r="D42885" s="2">
        <v>7.3779735868545501E-5</v>
      </c>
      <c r="E42885" s="2">
        <v>0</v>
      </c>
      <c r="F42885" s="2">
        <v>1.3114804571649099E-4</v>
      </c>
    </row>
    <row r="42886" spans="1:6" x14ac:dyDescent="0.25">
      <c r="A42886" s="1" t="str">
        <f t="shared" ref="A42886:A42949" si="1474">"99999"</f>
        <v>99999</v>
      </c>
      <c r="B42886" s="1" t="str">
        <f>"78873"</f>
        <v>78873</v>
      </c>
      <c r="C42886" s="2">
        <v>2.1652178111683201E-5</v>
      </c>
      <c r="D42886" s="2">
        <v>2.1079924533870101E-5</v>
      </c>
      <c r="E42886" s="2">
        <v>0</v>
      </c>
      <c r="F42886" s="2">
        <v>2.11178944946043E-5</v>
      </c>
    </row>
    <row r="42887" spans="1:6" x14ac:dyDescent="0.25">
      <c r="A42887" s="1" t="str">
        <f t="shared" si="1474"/>
        <v>99999</v>
      </c>
      <c r="B42887" s="1" t="str">
        <f>"78643"</f>
        <v>78643</v>
      </c>
      <c r="C42887" s="2">
        <v>4.3997225922940298E-4</v>
      </c>
      <c r="D42887" s="2">
        <v>6.2336348264444604E-4</v>
      </c>
      <c r="E42887" s="2">
        <v>2.2795600879136E-4</v>
      </c>
      <c r="F42887" s="2">
        <v>4.4712700913575901E-4</v>
      </c>
    </row>
    <row r="42888" spans="1:6" x14ac:dyDescent="0.25">
      <c r="A42888" s="1" t="str">
        <f t="shared" si="1474"/>
        <v>99999</v>
      </c>
      <c r="B42888" s="1" t="str">
        <f>"78642"</f>
        <v>78642</v>
      </c>
      <c r="C42888" s="2">
        <v>2.77147879829545E-5</v>
      </c>
      <c r="D42888" s="2">
        <v>4.5171266858293203E-6</v>
      </c>
      <c r="E42888" s="2">
        <v>8.6021135392965999E-6</v>
      </c>
      <c r="F42888" s="2">
        <v>2.57559367434193E-5</v>
      </c>
    </row>
    <row r="42889" spans="1:6" x14ac:dyDescent="0.25">
      <c r="A42889" s="1" t="str">
        <f t="shared" si="1474"/>
        <v>99999</v>
      </c>
      <c r="B42889" s="1" t="str">
        <f>"78672"</f>
        <v>78672</v>
      </c>
      <c r="C42889" s="2">
        <v>7.5782623390891304E-5</v>
      </c>
      <c r="D42889" s="2">
        <v>3.9148431277187403E-5</v>
      </c>
      <c r="E42889" s="2">
        <v>8.6021135392965999E-6</v>
      </c>
      <c r="F42889" s="2">
        <v>7.1840313981644697E-5</v>
      </c>
    </row>
    <row r="42890" spans="1:6" x14ac:dyDescent="0.25">
      <c r="A42890" s="1" t="str">
        <f t="shared" si="1474"/>
        <v>99999</v>
      </c>
      <c r="B42890" s="1" t="str">
        <f>"78631"</f>
        <v>78631</v>
      </c>
      <c r="C42890" s="2">
        <v>4.3304356223366401E-7</v>
      </c>
      <c r="D42890" s="2">
        <v>0</v>
      </c>
      <c r="E42890" s="2">
        <v>0</v>
      </c>
      <c r="F42890" s="2">
        <v>3.9472699989914697E-7</v>
      </c>
    </row>
    <row r="42891" spans="1:6" x14ac:dyDescent="0.25">
      <c r="A42891" s="1" t="str">
        <f t="shared" si="1474"/>
        <v>99999</v>
      </c>
      <c r="B42891" s="1" t="str">
        <f>"81328"</f>
        <v>81328</v>
      </c>
      <c r="C42891" s="2">
        <v>2.2031091228637601E-4</v>
      </c>
      <c r="D42891" s="2">
        <v>1.0088249598352101E-4</v>
      </c>
      <c r="E42891" s="2">
        <v>2.4085917910030401E-4</v>
      </c>
      <c r="F42891" s="2">
        <v>2.1295521644558899E-4</v>
      </c>
    </row>
    <row r="42892" spans="1:6" x14ac:dyDescent="0.25">
      <c r="A42892" s="1" t="str">
        <f t="shared" si="1474"/>
        <v>99999</v>
      </c>
      <c r="B42892" s="1" t="str">
        <f>"81433"</f>
        <v>81433</v>
      </c>
      <c r="C42892" s="2">
        <v>3.5509572103160502E-5</v>
      </c>
      <c r="D42892" s="2">
        <v>0</v>
      </c>
      <c r="E42892" s="2">
        <v>1.29031703089449E-5</v>
      </c>
      <c r="F42892" s="2">
        <v>3.2663659241654398E-5</v>
      </c>
    </row>
    <row r="42893" spans="1:6" x14ac:dyDescent="0.25">
      <c r="A42893" s="1" t="str">
        <f t="shared" si="1474"/>
        <v>99999</v>
      </c>
      <c r="B42893" s="1" t="str">
        <f>"81224"</f>
        <v>81224</v>
      </c>
      <c r="C42893" s="2">
        <v>1.4853394184614601E-4</v>
      </c>
      <c r="D42893" s="2">
        <v>2.4091342324423E-5</v>
      </c>
      <c r="E42893" s="2">
        <v>5.0322364204885095E-4</v>
      </c>
      <c r="F42893" s="2">
        <v>1.4851603371205399E-4</v>
      </c>
    </row>
    <row r="42894" spans="1:6" x14ac:dyDescent="0.25">
      <c r="A42894" s="1" t="str">
        <f t="shared" si="1474"/>
        <v>99999</v>
      </c>
      <c r="B42894" s="1" t="str">
        <f>"81435"</f>
        <v>81435</v>
      </c>
      <c r="C42894" s="2">
        <v>5.1813662221257897E-4</v>
      </c>
      <c r="D42894" s="2">
        <v>9.1547100832807505E-4</v>
      </c>
      <c r="E42894" s="2">
        <v>7.0107225345267298E-4</v>
      </c>
      <c r="F42894" s="2">
        <v>5.4837448460989E-4</v>
      </c>
    </row>
    <row r="42895" spans="1:6" x14ac:dyDescent="0.25">
      <c r="A42895" s="1" t="str">
        <f t="shared" si="1474"/>
        <v>99999</v>
      </c>
      <c r="B42895" s="1" t="str">
        <f>"81323"</f>
        <v>81323</v>
      </c>
      <c r="C42895" s="2">
        <v>2.19228303380792E-4</v>
      </c>
      <c r="D42895" s="2">
        <v>1.17445293831562E-4</v>
      </c>
      <c r="E42895" s="2">
        <v>1.8494544109487701E-4</v>
      </c>
      <c r="F42895" s="2">
        <v>2.1177103544589199E-4</v>
      </c>
    </row>
    <row r="42896" spans="1:6" x14ac:dyDescent="0.25">
      <c r="A42896" s="1" t="str">
        <f t="shared" si="1474"/>
        <v>99999</v>
      </c>
      <c r="B42896" s="1" t="str">
        <f>"81423"</f>
        <v>81423</v>
      </c>
      <c r="C42896" s="2">
        <v>5.672870665261E-5</v>
      </c>
      <c r="D42896" s="2">
        <v>0</v>
      </c>
      <c r="E42896" s="2">
        <v>3.01073973875381E-5</v>
      </c>
      <c r="F42896" s="2">
        <v>5.2400009236611699E-5</v>
      </c>
    </row>
    <row r="42897" spans="1:6" x14ac:dyDescent="0.25">
      <c r="A42897" s="1" t="str">
        <f t="shared" si="1474"/>
        <v>99999</v>
      </c>
      <c r="B42897" s="1" t="str">
        <f>"81077"</f>
        <v>81077</v>
      </c>
      <c r="C42897" s="2">
        <v>3.2911310729758503E-5</v>
      </c>
      <c r="D42897" s="2">
        <v>0</v>
      </c>
      <c r="E42897" s="2">
        <v>3.01073973875381E-5</v>
      </c>
      <c r="F42897" s="2">
        <v>3.06900242421586E-5</v>
      </c>
    </row>
    <row r="42898" spans="1:6" x14ac:dyDescent="0.25">
      <c r="A42898" s="1" t="str">
        <f t="shared" si="1474"/>
        <v>99999</v>
      </c>
      <c r="B42898" s="1" t="str">
        <f>"81101"</f>
        <v>81101</v>
      </c>
      <c r="C42898" s="2">
        <v>9.0181321835160601E-4</v>
      </c>
      <c r="D42898" s="2">
        <v>1.367183676911E-3</v>
      </c>
      <c r="E42898" s="2">
        <v>2.5634298347103801E-3</v>
      </c>
      <c r="F42898" s="2">
        <v>9.7043632925205301E-4</v>
      </c>
    </row>
    <row r="42899" spans="1:6" x14ac:dyDescent="0.25">
      <c r="A42899" s="1" t="str">
        <f t="shared" si="1474"/>
        <v>99999</v>
      </c>
      <c r="B42899" s="1" t="str">
        <f>"81144"</f>
        <v>81144</v>
      </c>
      <c r="C42899" s="2">
        <v>3.6841181057029E-4</v>
      </c>
      <c r="D42899" s="2">
        <v>5.9626072252947E-4</v>
      </c>
      <c r="E42899" s="2">
        <v>8.3870607008141901E-4</v>
      </c>
      <c r="F42899" s="2">
        <v>3.9413490939929798E-4</v>
      </c>
    </row>
    <row r="42900" spans="1:6" x14ac:dyDescent="0.25">
      <c r="A42900" s="1" t="str">
        <f t="shared" si="1474"/>
        <v>99999</v>
      </c>
      <c r="B42900" s="1" t="str">
        <f>"81149"</f>
        <v>81149</v>
      </c>
      <c r="C42900" s="2">
        <v>4.5253052253417903E-5</v>
      </c>
      <c r="D42900" s="2">
        <v>1.35513800574879E-5</v>
      </c>
      <c r="E42900" s="2">
        <v>3.01073973875381E-5</v>
      </c>
      <c r="F42900" s="2">
        <v>4.2827879489057403E-5</v>
      </c>
    </row>
    <row r="42901" spans="1:6" x14ac:dyDescent="0.25">
      <c r="A42901" s="1" t="str">
        <f t="shared" si="1474"/>
        <v>99999</v>
      </c>
      <c r="B42901" s="1" t="str">
        <f>"81211"</f>
        <v>81211</v>
      </c>
      <c r="C42901" s="2">
        <v>3.7382485509821102E-4</v>
      </c>
      <c r="D42901" s="2">
        <v>1.89719320804831E-4</v>
      </c>
      <c r="E42901" s="2">
        <v>3.0537503064502898E-4</v>
      </c>
      <c r="F42901" s="2">
        <v>3.6018838740797099E-4</v>
      </c>
    </row>
    <row r="42902" spans="1:6" x14ac:dyDescent="0.25">
      <c r="A42902" s="1" t="str">
        <f t="shared" si="1474"/>
        <v>99999</v>
      </c>
      <c r="B42902" s="1" t="str">
        <f>"81049"</f>
        <v>81049</v>
      </c>
      <c r="C42902" s="2">
        <v>1.5697829130970301E-5</v>
      </c>
      <c r="D42902" s="2">
        <v>1.50570889527644E-6</v>
      </c>
      <c r="E42902" s="2">
        <v>1.72042270785932E-5</v>
      </c>
      <c r="F42902" s="2">
        <v>1.4802262496217999E-5</v>
      </c>
    </row>
    <row r="42903" spans="1:6" x14ac:dyDescent="0.25">
      <c r="A42903" s="1" t="str">
        <f t="shared" si="1474"/>
        <v>99999</v>
      </c>
      <c r="B42903" s="1" t="str">
        <f>"84086"</f>
        <v>84086</v>
      </c>
      <c r="C42903" s="2">
        <v>3.7891311695445602E-6</v>
      </c>
      <c r="D42903" s="2">
        <v>1.50570889527644E-6</v>
      </c>
      <c r="E42903" s="2">
        <v>4.3010567696482999E-6</v>
      </c>
      <c r="F42903" s="2">
        <v>3.6512247490671102E-6</v>
      </c>
    </row>
    <row r="42904" spans="1:6" x14ac:dyDescent="0.25">
      <c r="A42904" s="1" t="str">
        <f t="shared" si="1474"/>
        <v>99999</v>
      </c>
      <c r="B42904" s="1" t="str">
        <f>"83467"</f>
        <v>83467</v>
      </c>
      <c r="C42904" s="2">
        <v>3.5682789528053898E-4</v>
      </c>
      <c r="D42904" s="2">
        <v>6.67029040607463E-4</v>
      </c>
      <c r="E42904" s="2">
        <v>4.3440673373447799E-4</v>
      </c>
      <c r="F42904" s="2">
        <v>3.7893791990318101E-4</v>
      </c>
    </row>
    <row r="42905" spans="1:6" x14ac:dyDescent="0.25">
      <c r="A42905" s="1" t="str">
        <f t="shared" si="1474"/>
        <v>99999</v>
      </c>
      <c r="B42905" s="1" t="str">
        <f>"68760"</f>
        <v>68760</v>
      </c>
      <c r="C42905" s="2">
        <v>1.01873498015469E-4</v>
      </c>
      <c r="D42905" s="2">
        <v>6.9262609182716196E-5</v>
      </c>
      <c r="E42905" s="2">
        <v>1.5913910047698701E-4</v>
      </c>
      <c r="F42905" s="2">
        <v>1.01050111974181E-4</v>
      </c>
    </row>
    <row r="42906" spans="1:6" x14ac:dyDescent="0.25">
      <c r="A42906" s="1" t="str">
        <f t="shared" si="1474"/>
        <v>99999</v>
      </c>
      <c r="B42906" s="1" t="str">
        <f>"68719"</f>
        <v>68719</v>
      </c>
      <c r="C42906" s="2">
        <v>1.08260890558416E-5</v>
      </c>
      <c r="D42906" s="2">
        <v>3.01141779055288E-6</v>
      </c>
      <c r="E42906" s="2">
        <v>4.3010567696482999E-6</v>
      </c>
      <c r="F42906" s="2">
        <v>1.0164220247403001E-5</v>
      </c>
    </row>
    <row r="42907" spans="1:6" x14ac:dyDescent="0.25">
      <c r="A42907" s="1" t="str">
        <f t="shared" si="1474"/>
        <v>99999</v>
      </c>
      <c r="B42907" s="1" t="str">
        <f>"68777"</f>
        <v>68777</v>
      </c>
      <c r="C42907" s="2">
        <v>4.2763051770574302E-5</v>
      </c>
      <c r="D42907" s="2">
        <v>1.80685067433172E-5</v>
      </c>
      <c r="E42907" s="2">
        <v>4.3010567696482999E-6</v>
      </c>
      <c r="F42907" s="2">
        <v>4.0262153989712998E-5</v>
      </c>
    </row>
    <row r="42908" spans="1:6" x14ac:dyDescent="0.25">
      <c r="A42908" s="1" t="str">
        <f t="shared" si="1474"/>
        <v>99999</v>
      </c>
      <c r="B42908" s="1" t="str">
        <f>"68355"</f>
        <v>68355</v>
      </c>
      <c r="C42908" s="2">
        <v>2.7833874962568698E-4</v>
      </c>
      <c r="D42908" s="2">
        <v>4.74298302012078E-4</v>
      </c>
      <c r="E42908" s="2">
        <v>3.3548242803256698E-4</v>
      </c>
      <c r="F42908" s="2">
        <v>2.9249270692526799E-4</v>
      </c>
    </row>
    <row r="42909" spans="1:6" x14ac:dyDescent="0.25">
      <c r="A42909" s="1" t="str">
        <f t="shared" si="1474"/>
        <v>99999</v>
      </c>
      <c r="B42909" s="1" t="str">
        <f>"68343"</f>
        <v>68343</v>
      </c>
      <c r="C42909" s="2">
        <v>5.1748705686922899E-5</v>
      </c>
      <c r="D42909" s="2">
        <v>3.01141779055288E-6</v>
      </c>
      <c r="E42909" s="2">
        <v>1.29031703089449E-5</v>
      </c>
      <c r="F42909" s="2">
        <v>4.7663285237821997E-5</v>
      </c>
    </row>
    <row r="42910" spans="1:6" x14ac:dyDescent="0.25">
      <c r="A42910" s="1" t="str">
        <f t="shared" si="1474"/>
        <v>99999</v>
      </c>
      <c r="B42910" s="1" t="str">
        <f>"68378"</f>
        <v>68378</v>
      </c>
      <c r="C42910" s="2">
        <v>3.7350007242653498E-5</v>
      </c>
      <c r="D42910" s="2">
        <v>3.01141779055288E-6</v>
      </c>
      <c r="E42910" s="2">
        <v>4.3010567696482999E-6</v>
      </c>
      <c r="F42910" s="2">
        <v>3.4341248991225799E-5</v>
      </c>
    </row>
    <row r="42911" spans="1:6" x14ac:dyDescent="0.25">
      <c r="A42911" s="1" t="str">
        <f t="shared" si="1474"/>
        <v>99999</v>
      </c>
      <c r="B42911" s="1" t="str">
        <f>"68351"</f>
        <v>68351</v>
      </c>
      <c r="C42911" s="2">
        <v>4.46034869100674E-5</v>
      </c>
      <c r="D42911" s="2">
        <v>5.1194102439398901E-5</v>
      </c>
      <c r="E42911" s="2">
        <v>1.29031703089449E-5</v>
      </c>
      <c r="F42911" s="2">
        <v>4.4308105738679202E-5</v>
      </c>
    </row>
    <row r="42912" spans="1:6" x14ac:dyDescent="0.25">
      <c r="A42912" s="1" t="str">
        <f t="shared" si="1474"/>
        <v>99999</v>
      </c>
      <c r="B42912" s="1" t="str">
        <f>"68447"</f>
        <v>68447</v>
      </c>
      <c r="C42912" s="2">
        <v>2.6090874624578199E-5</v>
      </c>
      <c r="D42912" s="2">
        <v>1.35513800574879E-5</v>
      </c>
      <c r="E42912" s="2">
        <v>4.3010567696482999E-6</v>
      </c>
      <c r="F42912" s="2">
        <v>2.4769119243671401E-5</v>
      </c>
    </row>
    <row r="42913" spans="1:6" x14ac:dyDescent="0.25">
      <c r="A42913" s="1" t="str">
        <f t="shared" si="1474"/>
        <v>99999</v>
      </c>
      <c r="B42913" s="1" t="str">
        <f>"68359"</f>
        <v>68359</v>
      </c>
      <c r="C42913" s="2">
        <v>7.0910883315762505E-5</v>
      </c>
      <c r="D42913" s="2">
        <v>1.14433876041009E-4</v>
      </c>
      <c r="E42913" s="2">
        <v>3.44084541571864E-5</v>
      </c>
      <c r="F42913" s="2">
        <v>7.2925813231367403E-5</v>
      </c>
    </row>
    <row r="42914" spans="1:6" x14ac:dyDescent="0.25">
      <c r="A42914" s="1" t="str">
        <f t="shared" si="1474"/>
        <v>99999</v>
      </c>
      <c r="B42914" s="1" t="str">
        <f>"68446"</f>
        <v>68446</v>
      </c>
      <c r="C42914" s="2">
        <v>1.41496983959849E-4</v>
      </c>
      <c r="D42914" s="2">
        <v>6.9262609182716196E-5</v>
      </c>
      <c r="E42914" s="2">
        <v>8.6021135392965999E-5</v>
      </c>
      <c r="F42914" s="2">
        <v>1.35490042715382E-4</v>
      </c>
    </row>
    <row r="42915" spans="1:6" x14ac:dyDescent="0.25">
      <c r="A42915" s="1" t="str">
        <f t="shared" si="1474"/>
        <v>99999</v>
      </c>
      <c r="B42915" s="1" t="str">
        <f>"68429"</f>
        <v>68429</v>
      </c>
      <c r="C42915" s="2">
        <v>8.3360885729980396E-6</v>
      </c>
      <c r="D42915" s="2">
        <v>1.20456711622115E-5</v>
      </c>
      <c r="E42915" s="2">
        <v>8.6021135392965999E-6</v>
      </c>
      <c r="F42915" s="2">
        <v>8.5853122478064497E-6</v>
      </c>
    </row>
    <row r="42916" spans="1:6" x14ac:dyDescent="0.25">
      <c r="A42916" s="1" t="str">
        <f t="shared" si="1474"/>
        <v>99999</v>
      </c>
      <c r="B42916" s="1" t="str">
        <f>"72063"</f>
        <v>72063</v>
      </c>
      <c r="C42916" s="2">
        <v>8.8665669367342796E-5</v>
      </c>
      <c r="D42916" s="2">
        <v>2.55970512196994E-5</v>
      </c>
      <c r="E42916" s="2">
        <v>4.3010567696482999E-6</v>
      </c>
      <c r="F42916" s="2">
        <v>8.2596624728896497E-5</v>
      </c>
    </row>
    <row r="42917" spans="1:6" x14ac:dyDescent="0.25">
      <c r="A42917" s="1" t="str">
        <f t="shared" si="1474"/>
        <v>99999</v>
      </c>
      <c r="B42917" s="1" t="str">
        <f>"72067"</f>
        <v>72067</v>
      </c>
      <c r="C42917" s="2">
        <v>2.3990613347745E-4</v>
      </c>
      <c r="D42917" s="2">
        <v>2.3639629655840101E-4</v>
      </c>
      <c r="E42917" s="2">
        <v>2.58063406178898E-5</v>
      </c>
      <c r="F42917" s="2">
        <v>2.34763883190017E-4</v>
      </c>
    </row>
    <row r="42918" spans="1:6" x14ac:dyDescent="0.25">
      <c r="A42918" s="1" t="str">
        <f t="shared" si="1474"/>
        <v>99999</v>
      </c>
      <c r="B42918" s="1" t="str">
        <f>"72157"</f>
        <v>72157</v>
      </c>
      <c r="C42918" s="2">
        <v>8.8557408476784406E-5</v>
      </c>
      <c r="D42918" s="2">
        <v>5.1194102439398901E-5</v>
      </c>
      <c r="E42918" s="2">
        <v>4.3010567696482999E-6</v>
      </c>
      <c r="F42918" s="2">
        <v>8.41755327284931E-5</v>
      </c>
    </row>
    <row r="42919" spans="1:6" x14ac:dyDescent="0.25">
      <c r="A42919" s="1" t="str">
        <f t="shared" si="1474"/>
        <v>99999</v>
      </c>
      <c r="B42919" s="1" t="str">
        <f>"72036"</f>
        <v>72036</v>
      </c>
      <c r="C42919" s="2">
        <v>4.2330008208340701E-5</v>
      </c>
      <c r="D42919" s="2">
        <v>3.31255956960816E-5</v>
      </c>
      <c r="E42919" s="2">
        <v>3.8709510926834699E-5</v>
      </c>
      <c r="F42919" s="2">
        <v>4.1643698489360001E-5</v>
      </c>
    </row>
    <row r="42920" spans="1:6" x14ac:dyDescent="0.25">
      <c r="A42920" s="1" t="str">
        <f t="shared" si="1474"/>
        <v>99999</v>
      </c>
      <c r="B42920" s="1" t="str">
        <f>"71965"</f>
        <v>71965</v>
      </c>
      <c r="C42920" s="2">
        <v>1.49400028970614E-5</v>
      </c>
      <c r="D42920" s="2">
        <v>4.5171266858293203E-6</v>
      </c>
      <c r="E42920" s="2">
        <v>4.3010567696482999E-6</v>
      </c>
      <c r="F42920" s="2">
        <v>1.4012808496419701E-5</v>
      </c>
    </row>
    <row r="42921" spans="1:6" x14ac:dyDescent="0.25">
      <c r="A42921" s="1" t="str">
        <f t="shared" si="1474"/>
        <v>99999</v>
      </c>
      <c r="B42921" s="1" t="str">
        <f>"71958"</f>
        <v>71958</v>
      </c>
      <c r="C42921" s="2">
        <v>1.33485678058527E-4</v>
      </c>
      <c r="D42921" s="2">
        <v>1.14433876041009E-4</v>
      </c>
      <c r="E42921" s="2">
        <v>3.44084541571864E-5</v>
      </c>
      <c r="F42921" s="2">
        <v>1.2996386471679399E-4</v>
      </c>
    </row>
    <row r="42922" spans="1:6" x14ac:dyDescent="0.25">
      <c r="A42922" s="1" t="str">
        <f t="shared" si="1474"/>
        <v>99999</v>
      </c>
      <c r="B42922" s="1" t="str">
        <f>"71845"</f>
        <v>71845</v>
      </c>
      <c r="C42922" s="2">
        <v>1.13890456867453E-4</v>
      </c>
      <c r="D42922" s="2">
        <v>7.82968625543749E-5</v>
      </c>
      <c r="E42922" s="2">
        <v>3.8709510926834699E-5</v>
      </c>
      <c r="F42922" s="2">
        <v>1.09832787721937E-4</v>
      </c>
    </row>
    <row r="42923" spans="1:6" x14ac:dyDescent="0.25">
      <c r="A42923" s="1" t="str">
        <f t="shared" si="1474"/>
        <v>99999</v>
      </c>
      <c r="B42923" s="1" t="str">
        <f>"71973"</f>
        <v>71973</v>
      </c>
      <c r="C42923" s="2">
        <v>5.59708804187011E-5</v>
      </c>
      <c r="D42923" s="2">
        <v>2.1079924533870101E-5</v>
      </c>
      <c r="E42923" s="2">
        <v>4.3010567696482999E-6</v>
      </c>
      <c r="F42923" s="2">
        <v>5.2498690986586503E-5</v>
      </c>
    </row>
    <row r="42924" spans="1:6" x14ac:dyDescent="0.25">
      <c r="A42924" s="1" t="str">
        <f t="shared" si="1474"/>
        <v>99999</v>
      </c>
      <c r="B42924" s="1" t="str">
        <f>"71827"</f>
        <v>71827</v>
      </c>
      <c r="C42924" s="2">
        <v>3.2586528058083198E-5</v>
      </c>
      <c r="D42924" s="2">
        <v>4.5171266858293203E-6</v>
      </c>
      <c r="E42924" s="2">
        <v>4.3010567696482999E-6</v>
      </c>
      <c r="F42924" s="2">
        <v>3.0097933742309899E-5</v>
      </c>
    </row>
    <row r="42925" spans="1:6" x14ac:dyDescent="0.25">
      <c r="A42925" s="1" t="str">
        <f t="shared" si="1474"/>
        <v>99999</v>
      </c>
      <c r="B42925" s="1" t="str">
        <f>"73024"</f>
        <v>73024</v>
      </c>
      <c r="C42925" s="2">
        <v>3.4210441416459502E-5</v>
      </c>
      <c r="D42925" s="2">
        <v>9.0342533716586405E-6</v>
      </c>
      <c r="E42925" s="2">
        <v>8.6021135392965999E-6</v>
      </c>
      <c r="F42925" s="2">
        <v>3.19728869918309E-5</v>
      </c>
    </row>
    <row r="42926" spans="1:6" x14ac:dyDescent="0.25">
      <c r="A42926" s="1" t="str">
        <f t="shared" si="1474"/>
        <v>99999</v>
      </c>
      <c r="B42926" s="1" t="str">
        <f>"72634"</f>
        <v>72634</v>
      </c>
      <c r="C42926" s="2">
        <v>2.4055569882079999E-4</v>
      </c>
      <c r="D42926" s="2">
        <v>1.4153663615598501E-4</v>
      </c>
      <c r="E42926" s="2">
        <v>8.6021135392965999E-5</v>
      </c>
      <c r="F42926" s="2">
        <v>2.30520567941101E-4</v>
      </c>
    </row>
    <row r="42927" spans="1:6" x14ac:dyDescent="0.25">
      <c r="A42927" s="1" t="str">
        <f t="shared" si="1474"/>
        <v>99999</v>
      </c>
      <c r="B42927" s="1" t="str">
        <f>"72587"</f>
        <v>72587</v>
      </c>
      <c r="C42927" s="2">
        <v>8.2278276824396208E-6</v>
      </c>
      <c r="D42927" s="2">
        <v>0</v>
      </c>
      <c r="E42927" s="2">
        <v>4.3010567696482999E-6</v>
      </c>
      <c r="F42927" s="2">
        <v>7.5984947480585801E-6</v>
      </c>
    </row>
    <row r="42928" spans="1:6" x14ac:dyDescent="0.25">
      <c r="A42928" s="1" t="str">
        <f t="shared" si="1474"/>
        <v>99999</v>
      </c>
      <c r="B42928" s="1" t="str">
        <f>"72601"</f>
        <v>72601</v>
      </c>
      <c r="C42928" s="2">
        <v>7.0369578862970498E-6</v>
      </c>
      <c r="D42928" s="2">
        <v>3.01141779055288E-6</v>
      </c>
      <c r="E42928" s="2">
        <v>0</v>
      </c>
      <c r="F42928" s="2">
        <v>6.6116772483107097E-6</v>
      </c>
    </row>
    <row r="42929" spans="1:6" x14ac:dyDescent="0.25">
      <c r="A42929" s="1" t="str">
        <f t="shared" si="1474"/>
        <v>99999</v>
      </c>
      <c r="B42929" s="1" t="str">
        <f>"72513"</f>
        <v>72513</v>
      </c>
      <c r="C42929" s="2">
        <v>5.5646097747025903E-5</v>
      </c>
      <c r="D42929" s="2">
        <v>1.65627978480408E-5</v>
      </c>
      <c r="E42929" s="2">
        <v>0</v>
      </c>
      <c r="F42929" s="2">
        <v>5.1807918736762998E-5</v>
      </c>
    </row>
    <row r="42930" spans="1:6" x14ac:dyDescent="0.25">
      <c r="A42930" s="1" t="str">
        <f t="shared" si="1474"/>
        <v>99999</v>
      </c>
      <c r="B42930" s="1" t="str">
        <f>"72567"</f>
        <v>72567</v>
      </c>
      <c r="C42930" s="2">
        <v>1.26665241953346E-5</v>
      </c>
      <c r="D42930" s="2">
        <v>1.50570889527644E-6</v>
      </c>
      <c r="E42930" s="2">
        <v>4.3010567696482999E-6</v>
      </c>
      <c r="F42930" s="2">
        <v>1.1743128246999599E-5</v>
      </c>
    </row>
    <row r="42931" spans="1:6" x14ac:dyDescent="0.25">
      <c r="A42931" s="1" t="str">
        <f t="shared" si="1474"/>
        <v>99999</v>
      </c>
      <c r="B42931" s="1" t="str">
        <f>"72501"</f>
        <v>72501</v>
      </c>
      <c r="C42931" s="2">
        <v>1.7321742489346499E-6</v>
      </c>
      <c r="D42931" s="2">
        <v>0</v>
      </c>
      <c r="E42931" s="2">
        <v>0</v>
      </c>
      <c r="F42931" s="2">
        <v>1.5789079995965801E-6</v>
      </c>
    </row>
    <row r="42932" spans="1:6" x14ac:dyDescent="0.25">
      <c r="A42932" s="1" t="str">
        <f t="shared" si="1474"/>
        <v>99999</v>
      </c>
      <c r="B42932" s="1" t="str">
        <f>"72515"</f>
        <v>72515</v>
      </c>
      <c r="C42932" s="2">
        <v>5.95434898071288E-6</v>
      </c>
      <c r="D42932" s="2">
        <v>0</v>
      </c>
      <c r="E42932" s="2">
        <v>0</v>
      </c>
      <c r="F42932" s="2">
        <v>5.4274962486132697E-6</v>
      </c>
    </row>
    <row r="42933" spans="1:6" x14ac:dyDescent="0.25">
      <c r="A42933" s="1" t="str">
        <f t="shared" si="1474"/>
        <v>99999</v>
      </c>
      <c r="B42933" s="1" t="str">
        <f>"72833"</f>
        <v>72833</v>
      </c>
      <c r="C42933" s="2">
        <v>2.59826137340198E-6</v>
      </c>
      <c r="D42933" s="2">
        <v>0</v>
      </c>
      <c r="E42933" s="2">
        <v>0</v>
      </c>
      <c r="F42933" s="2">
        <v>2.3683619993948799E-6</v>
      </c>
    </row>
    <row r="42934" spans="1:6" x14ac:dyDescent="0.25">
      <c r="A42934" s="1" t="str">
        <f t="shared" si="1474"/>
        <v>99999</v>
      </c>
      <c r="B42934" s="1" t="str">
        <f>"72821"</f>
        <v>72821</v>
      </c>
      <c r="C42934" s="2">
        <v>1.8187829613813899E-5</v>
      </c>
      <c r="D42934" s="2">
        <v>1.50570889527644E-6</v>
      </c>
      <c r="E42934" s="2">
        <v>0</v>
      </c>
      <c r="F42934" s="2">
        <v>1.6677215745738901E-5</v>
      </c>
    </row>
    <row r="42935" spans="1:6" x14ac:dyDescent="0.25">
      <c r="A42935" s="1" t="str">
        <f t="shared" si="1474"/>
        <v>99999</v>
      </c>
      <c r="B42935" s="1" t="str">
        <f>"72834"</f>
        <v>72834</v>
      </c>
      <c r="C42935" s="2">
        <v>3.7891311695445602E-6</v>
      </c>
      <c r="D42935" s="2">
        <v>0</v>
      </c>
      <c r="E42935" s="2">
        <v>0</v>
      </c>
      <c r="F42935" s="2">
        <v>3.4538612491175301E-6</v>
      </c>
    </row>
    <row r="42936" spans="1:6" x14ac:dyDescent="0.25">
      <c r="A42936" s="1" t="str">
        <f t="shared" si="1474"/>
        <v>99999</v>
      </c>
      <c r="B42936" s="1" t="str">
        <f>"72455"</f>
        <v>72455</v>
      </c>
      <c r="C42936" s="2">
        <v>7.1733666084006502E-4</v>
      </c>
      <c r="D42936" s="2">
        <v>9.0794246385169297E-4</v>
      </c>
      <c r="E42936" s="2">
        <v>5.4623420974533399E-4</v>
      </c>
      <c r="F42936" s="2">
        <v>7.25902952814531E-4</v>
      </c>
    </row>
    <row r="42937" spans="1:6" x14ac:dyDescent="0.25">
      <c r="A42937" s="1" t="str">
        <f t="shared" si="1474"/>
        <v>99999</v>
      </c>
      <c r="B42937" s="1" t="str">
        <f>"72456"</f>
        <v>72456</v>
      </c>
      <c r="C42937" s="2">
        <v>3.47517458692515E-5</v>
      </c>
      <c r="D42937" s="2">
        <v>1.9574215638593701E-5</v>
      </c>
      <c r="E42937" s="2">
        <v>4.3010567696482999E-6</v>
      </c>
      <c r="F42937" s="2">
        <v>3.3058386241553498E-5</v>
      </c>
    </row>
    <row r="42938" spans="1:6" x14ac:dyDescent="0.25">
      <c r="A42938" s="1" t="str">
        <f t="shared" si="1474"/>
        <v>99999</v>
      </c>
      <c r="B42938" s="1" t="str">
        <f>"72410"</f>
        <v>72410</v>
      </c>
      <c r="C42938" s="2">
        <v>2.7931309764071301E-5</v>
      </c>
      <c r="D42938" s="2">
        <v>1.0539962266935E-5</v>
      </c>
      <c r="E42938" s="2">
        <v>1.29031703089449E-5</v>
      </c>
      <c r="F42938" s="2">
        <v>2.6446708993242801E-5</v>
      </c>
    </row>
    <row r="42939" spans="1:6" x14ac:dyDescent="0.25">
      <c r="A42939" s="1" t="str">
        <f t="shared" si="1474"/>
        <v>99999</v>
      </c>
      <c r="B42939" s="1" t="str">
        <f>"72435"</f>
        <v>72435</v>
      </c>
      <c r="C42939" s="2">
        <v>2.6523918186811901E-5</v>
      </c>
      <c r="D42939" s="2">
        <v>2.7102760114975901E-5</v>
      </c>
      <c r="E42939" s="2">
        <v>4.3010567696482999E-6</v>
      </c>
      <c r="F42939" s="2">
        <v>2.6051981993343701E-5</v>
      </c>
    </row>
    <row r="42940" spans="1:6" x14ac:dyDescent="0.25">
      <c r="A42940" s="1" t="str">
        <f t="shared" si="1474"/>
        <v>99999</v>
      </c>
      <c r="B42940" s="1" t="str">
        <f>"71418"</f>
        <v>71418</v>
      </c>
      <c r="C42940" s="2">
        <v>2.9501092677168398E-4</v>
      </c>
      <c r="D42940" s="2">
        <v>1.5960514289930201E-4</v>
      </c>
      <c r="E42940" s="2">
        <v>9.0322192162614306E-5</v>
      </c>
      <c r="F42940" s="2">
        <v>2.8144035092809099E-4</v>
      </c>
    </row>
    <row r="42941" spans="1:6" x14ac:dyDescent="0.25">
      <c r="A42941" s="1" t="str">
        <f t="shared" si="1474"/>
        <v>99999</v>
      </c>
      <c r="B42941" s="1" t="str">
        <f>"71435"</f>
        <v>71435</v>
      </c>
      <c r="C42941" s="2">
        <v>1.44528288895485E-4</v>
      </c>
      <c r="D42941" s="2">
        <v>4.6676975753569603E-5</v>
      </c>
      <c r="E42941" s="2">
        <v>1.29031703089449E-5</v>
      </c>
      <c r="F42941" s="2">
        <v>1.3509531571548301E-4</v>
      </c>
    </row>
    <row r="42942" spans="1:6" x14ac:dyDescent="0.25">
      <c r="A42942" s="1" t="str">
        <f t="shared" si="1474"/>
        <v>99999</v>
      </c>
      <c r="B42942" s="1" t="str">
        <f>"71282"</f>
        <v>71282</v>
      </c>
      <c r="C42942" s="2">
        <v>4.80245310517134E-4</v>
      </c>
      <c r="D42942" s="2">
        <v>7.4833732095238995E-4</v>
      </c>
      <c r="E42942" s="2">
        <v>4.3010567696483002E-4</v>
      </c>
      <c r="F42942" s="2">
        <v>4.9666524762310201E-4</v>
      </c>
    </row>
    <row r="42943" spans="1:6" x14ac:dyDescent="0.25">
      <c r="A42943" s="1" t="str">
        <f t="shared" si="1474"/>
        <v>99999</v>
      </c>
      <c r="B42943" s="1" t="str">
        <f>"71254"</f>
        <v>71254</v>
      </c>
      <c r="C42943" s="2">
        <v>2.8873179511929497E-4</v>
      </c>
      <c r="D42943" s="2">
        <v>4.7279259311680202E-4</v>
      </c>
      <c r="E42943" s="2">
        <v>2.3225706556100799E-4</v>
      </c>
      <c r="F42943" s="2">
        <v>2.99499111173477E-4</v>
      </c>
    </row>
    <row r="42944" spans="1:6" x14ac:dyDescent="0.25">
      <c r="A42944" s="1" t="str">
        <f t="shared" si="1474"/>
        <v>99999</v>
      </c>
      <c r="B42944" s="1" t="str">
        <f>"71295"</f>
        <v>71295</v>
      </c>
      <c r="C42944" s="2">
        <v>7.2989492414484098E-4</v>
      </c>
      <c r="D42944" s="2">
        <v>8.2362276571621297E-4</v>
      </c>
      <c r="E42944" s="2">
        <v>6.8386802637408002E-4</v>
      </c>
      <c r="F42944" s="2">
        <v>7.3498167381221198E-4</v>
      </c>
    </row>
    <row r="42945" spans="1:6" x14ac:dyDescent="0.25">
      <c r="A42945" s="1" t="str">
        <f t="shared" si="1474"/>
        <v>99999</v>
      </c>
      <c r="B42945" s="1" t="str">
        <f>"73537"</f>
        <v>73537</v>
      </c>
      <c r="C42945" s="2">
        <v>9.7434801502574508E-7</v>
      </c>
      <c r="D42945" s="2">
        <v>0</v>
      </c>
      <c r="E42945" s="2">
        <v>0</v>
      </c>
      <c r="F42945" s="2">
        <v>8.8813574977308104E-7</v>
      </c>
    </row>
    <row r="42946" spans="1:6" x14ac:dyDescent="0.25">
      <c r="A42946" s="1" t="str">
        <f t="shared" si="1474"/>
        <v>99999</v>
      </c>
      <c r="B42946" s="1" t="str">
        <f>"73542"</f>
        <v>73542</v>
      </c>
      <c r="C42946" s="2">
        <v>2.5289744034445998E-4</v>
      </c>
      <c r="D42946" s="2">
        <v>5.01401062127054E-4</v>
      </c>
      <c r="E42946" s="2">
        <v>1.8064438432522799E-4</v>
      </c>
      <c r="F42946" s="2">
        <v>2.6752622418164701E-4</v>
      </c>
    </row>
    <row r="42947" spans="1:6" x14ac:dyDescent="0.25">
      <c r="A42947" s="1" t="str">
        <f t="shared" si="1474"/>
        <v>99999</v>
      </c>
      <c r="B42947" s="1" t="str">
        <f>"73848"</f>
        <v>73848</v>
      </c>
      <c r="C42947" s="2">
        <v>6.3332620976673399E-5</v>
      </c>
      <c r="D42947" s="2">
        <v>4.9688393544122498E-5</v>
      </c>
      <c r="E42947" s="2">
        <v>4.3010567696482999E-6</v>
      </c>
      <c r="F42947" s="2">
        <v>6.1084003234393005E-5</v>
      </c>
    </row>
    <row r="42948" spans="1:6" x14ac:dyDescent="0.25">
      <c r="A42948" s="1" t="str">
        <f t="shared" si="1474"/>
        <v>99999</v>
      </c>
      <c r="B42948" s="1" t="str">
        <f>"73844"</f>
        <v>73844</v>
      </c>
      <c r="C42948" s="2">
        <v>1.5914350912087102E-5</v>
      </c>
      <c r="D42948" s="2">
        <v>1.0539962266935E-5</v>
      </c>
      <c r="E42948" s="2">
        <v>4.3010567696482999E-6</v>
      </c>
      <c r="F42948" s="2">
        <v>1.5295671246091901E-5</v>
      </c>
    </row>
    <row r="42949" spans="1:6" x14ac:dyDescent="0.25">
      <c r="A42949" s="1" t="str">
        <f t="shared" si="1474"/>
        <v>99999</v>
      </c>
      <c r="B42949" s="1" t="str">
        <f>"73755"</f>
        <v>73755</v>
      </c>
      <c r="C42949" s="2">
        <v>5.4780010622558498E-5</v>
      </c>
      <c r="D42949" s="2">
        <v>1.35513800574879E-5</v>
      </c>
      <c r="E42949" s="2">
        <v>4.3010567696482999E-6</v>
      </c>
      <c r="F42949" s="2">
        <v>5.0919782986989899E-5</v>
      </c>
    </row>
    <row r="42950" spans="1:6" x14ac:dyDescent="0.25">
      <c r="A42950" s="1" t="str">
        <f t="shared" ref="A42950:A43013" si="1475">"99999"</f>
        <v>99999</v>
      </c>
      <c r="B42950" s="1" t="str">
        <f>"73749"</f>
        <v>73749</v>
      </c>
      <c r="C42950" s="2">
        <v>3.6592181008744599E-5</v>
      </c>
      <c r="D42950" s="2">
        <v>4.5171266858293199E-5</v>
      </c>
      <c r="E42950" s="2">
        <v>4.3010567696482999E-6</v>
      </c>
      <c r="F42950" s="2">
        <v>3.64135657406963E-5</v>
      </c>
    </row>
    <row r="42951" spans="1:6" x14ac:dyDescent="0.25">
      <c r="A42951" s="1" t="str">
        <f t="shared" si="1475"/>
        <v>99999</v>
      </c>
      <c r="B42951" s="1" t="str">
        <f>"73759"</f>
        <v>73759</v>
      </c>
      <c r="C42951" s="2">
        <v>1.1778784892755599E-4</v>
      </c>
      <c r="D42951" s="2">
        <v>2.8006185452141702E-4</v>
      </c>
      <c r="E42951" s="2">
        <v>5.5913738005427899E-5</v>
      </c>
      <c r="F42951" s="2">
        <v>1.2700341221754999E-4</v>
      </c>
    </row>
    <row r="42952" spans="1:6" x14ac:dyDescent="0.25">
      <c r="A42952" s="1" t="str">
        <f t="shared" si="1475"/>
        <v>99999</v>
      </c>
      <c r="B42952" s="1" t="str">
        <f>"73860"</f>
        <v>73860</v>
      </c>
      <c r="C42952" s="2">
        <v>9.5810888144198301E-5</v>
      </c>
      <c r="D42952" s="2">
        <v>1.8520219411900199E-4</v>
      </c>
      <c r="E42952" s="2">
        <v>3.8709510926834699E-5</v>
      </c>
      <c r="F42952" s="2">
        <v>1.00359339724358E-4</v>
      </c>
    </row>
    <row r="42953" spans="1:6" x14ac:dyDescent="0.25">
      <c r="A42953" s="1" t="str">
        <f t="shared" si="1475"/>
        <v>99999</v>
      </c>
      <c r="B42953" s="1" t="str">
        <f>"73716"</f>
        <v>73716</v>
      </c>
      <c r="C42953" s="2">
        <v>3.6375659227627798E-5</v>
      </c>
      <c r="D42953" s="2">
        <v>6.0228355811057601E-6</v>
      </c>
      <c r="E42953" s="2">
        <v>4.3010567696482999E-6</v>
      </c>
      <c r="F42953" s="2">
        <v>3.3650476741402301E-5</v>
      </c>
    </row>
    <row r="42954" spans="1:6" x14ac:dyDescent="0.25">
      <c r="A42954" s="1" t="str">
        <f t="shared" si="1475"/>
        <v>99999</v>
      </c>
      <c r="B42954" s="1" t="str">
        <f>"73741"</f>
        <v>73741</v>
      </c>
      <c r="C42954" s="2">
        <v>3.6483920118186202E-5</v>
      </c>
      <c r="D42954" s="2">
        <v>1.65627978480408E-5</v>
      </c>
      <c r="E42954" s="2">
        <v>2.15052838482415E-5</v>
      </c>
      <c r="F42954" s="2">
        <v>3.4834657741099703E-5</v>
      </c>
    </row>
    <row r="42955" spans="1:6" x14ac:dyDescent="0.25">
      <c r="A42955" s="1" t="str">
        <f t="shared" si="1475"/>
        <v>99999</v>
      </c>
      <c r="B42955" s="1" t="str">
        <f>"74531"</f>
        <v>74531</v>
      </c>
      <c r="C42955" s="2">
        <v>4.0597833959405999E-5</v>
      </c>
      <c r="D42955" s="2">
        <v>1.9574215638593701E-5</v>
      </c>
      <c r="E42955" s="2">
        <v>4.3010567696482999E-6</v>
      </c>
      <c r="F42955" s="2">
        <v>3.8387200740192003E-5</v>
      </c>
    </row>
    <row r="42956" spans="1:6" x14ac:dyDescent="0.25">
      <c r="A42956" s="1" t="str">
        <f t="shared" si="1475"/>
        <v>99999</v>
      </c>
      <c r="B42956" s="1" t="str">
        <f>"74557"</f>
        <v>74557</v>
      </c>
      <c r="C42956" s="2">
        <v>3.9298703272705E-5</v>
      </c>
      <c r="D42956" s="2">
        <v>6.0228355811057601E-6</v>
      </c>
      <c r="E42956" s="2">
        <v>1.29031703089449E-5</v>
      </c>
      <c r="F42956" s="2">
        <v>3.6512247490671097E-5</v>
      </c>
    </row>
    <row r="42957" spans="1:6" x14ac:dyDescent="0.25">
      <c r="A42957" s="1" t="str">
        <f t="shared" si="1475"/>
        <v>99999</v>
      </c>
      <c r="B42957" s="1" t="str">
        <f>"74540"</f>
        <v>74540</v>
      </c>
      <c r="C42957" s="2">
        <v>1.5806090021528701E-5</v>
      </c>
      <c r="D42957" s="2">
        <v>3.01141779055288E-6</v>
      </c>
      <c r="E42957" s="2">
        <v>4.3010567696482999E-6</v>
      </c>
      <c r="F42957" s="2">
        <v>1.47035807462432E-5</v>
      </c>
    </row>
    <row r="42958" spans="1:6" x14ac:dyDescent="0.25">
      <c r="A42958" s="1" t="str">
        <f t="shared" si="1475"/>
        <v>99999</v>
      </c>
      <c r="B42958" s="1" t="str">
        <f>"74728"</f>
        <v>74728</v>
      </c>
      <c r="C42958" s="2">
        <v>9.0874191534734503E-4</v>
      </c>
      <c r="D42958" s="2">
        <v>9.7569936413913303E-4</v>
      </c>
      <c r="E42958" s="2">
        <v>1.5483804370733801E-4</v>
      </c>
      <c r="F42958" s="2">
        <v>8.9583292627111401E-4</v>
      </c>
    </row>
    <row r="42959" spans="1:6" x14ac:dyDescent="0.25">
      <c r="A42959" s="1" t="str">
        <f t="shared" si="1475"/>
        <v>99999</v>
      </c>
      <c r="B42959" s="1" t="str">
        <f>"74743"</f>
        <v>74743</v>
      </c>
      <c r="C42959" s="2">
        <v>4.6898617789905802E-4</v>
      </c>
      <c r="D42959" s="2">
        <v>7.9953142339178899E-4</v>
      </c>
      <c r="E42959" s="2">
        <v>2.7096657648784301E-4</v>
      </c>
      <c r="F42959" s="2">
        <v>4.8610630037579898E-4</v>
      </c>
    </row>
    <row r="42960" spans="1:6" x14ac:dyDescent="0.25">
      <c r="A42960" s="1" t="str">
        <f t="shared" si="1475"/>
        <v>99999</v>
      </c>
      <c r="B42960" s="1" t="str">
        <f>"74827"</f>
        <v>74827</v>
      </c>
      <c r="C42960" s="2">
        <v>2.3384352360617801E-5</v>
      </c>
      <c r="D42960" s="2">
        <v>1.50570889527644E-6</v>
      </c>
      <c r="E42960" s="2">
        <v>4.3010567696482999E-6</v>
      </c>
      <c r="F42960" s="2">
        <v>2.1512621494503498E-5</v>
      </c>
    </row>
    <row r="42961" spans="1:6" x14ac:dyDescent="0.25">
      <c r="A42961" s="1" t="str">
        <f t="shared" si="1475"/>
        <v>99999</v>
      </c>
      <c r="B42961" s="1" t="str">
        <f>"74931"</f>
        <v>74931</v>
      </c>
      <c r="C42961" s="2">
        <v>3.4102180525900997E-5</v>
      </c>
      <c r="D42961" s="2">
        <v>9.0342533716586405E-6</v>
      </c>
      <c r="E42961" s="2">
        <v>0</v>
      </c>
      <c r="F42961" s="2">
        <v>3.1676841741906503E-5</v>
      </c>
    </row>
    <row r="42962" spans="1:6" x14ac:dyDescent="0.25">
      <c r="A42962" s="1" t="str">
        <f t="shared" si="1475"/>
        <v>99999</v>
      </c>
      <c r="B42962" s="1" t="str">
        <f>"74643"</f>
        <v>74643</v>
      </c>
      <c r="C42962" s="2">
        <v>1.9703482081631699E-5</v>
      </c>
      <c r="D42962" s="2">
        <v>0</v>
      </c>
      <c r="E42962" s="2">
        <v>4.3010567696482999E-6</v>
      </c>
      <c r="F42962" s="2">
        <v>1.80587602453859E-5</v>
      </c>
    </row>
    <row r="42963" spans="1:6" x14ac:dyDescent="0.25">
      <c r="A42963" s="1" t="str">
        <f t="shared" si="1475"/>
        <v>99999</v>
      </c>
      <c r="B42963" s="1" t="str">
        <f>"74944"</f>
        <v>74944</v>
      </c>
      <c r="C42963" s="2">
        <v>3.39939196353426E-5</v>
      </c>
      <c r="D42963" s="2">
        <v>4.5171266858293203E-6</v>
      </c>
      <c r="E42963" s="2">
        <v>1.29031703089449E-5</v>
      </c>
      <c r="F42963" s="2">
        <v>3.1578159991931699E-5</v>
      </c>
    </row>
    <row r="42964" spans="1:6" x14ac:dyDescent="0.25">
      <c r="A42964" s="1" t="str">
        <f t="shared" si="1475"/>
        <v>99999</v>
      </c>
      <c r="B42964" s="1" t="str">
        <f>"74644"</f>
        <v>74644</v>
      </c>
      <c r="C42964" s="2">
        <v>1.6347394474320801E-5</v>
      </c>
      <c r="D42964" s="2">
        <v>3.01141779055288E-6</v>
      </c>
      <c r="E42964" s="2">
        <v>4.3010567696482999E-6</v>
      </c>
      <c r="F42964" s="2">
        <v>1.5196989496117099E-5</v>
      </c>
    </row>
    <row r="42965" spans="1:6" x14ac:dyDescent="0.25">
      <c r="A42965" s="1" t="str">
        <f t="shared" si="1475"/>
        <v>99999</v>
      </c>
      <c r="B42965" s="1" t="str">
        <f>"74831"</f>
        <v>74831</v>
      </c>
      <c r="C42965" s="2">
        <v>2.49000048284357E-6</v>
      </c>
      <c r="D42965" s="2">
        <v>1.50570889527644E-6</v>
      </c>
      <c r="E42965" s="2">
        <v>0</v>
      </c>
      <c r="F42965" s="2">
        <v>2.3683619993948799E-6</v>
      </c>
    </row>
    <row r="42966" spans="1:6" x14ac:dyDescent="0.25">
      <c r="A42966" s="1" t="str">
        <f t="shared" si="1475"/>
        <v>99999</v>
      </c>
      <c r="B42966" s="1" t="str">
        <f>"74330"</f>
        <v>74330</v>
      </c>
      <c r="C42966" s="2">
        <v>1.74624816470725E-4</v>
      </c>
      <c r="D42966" s="2">
        <v>9.6365369297692093E-5</v>
      </c>
      <c r="E42966" s="2">
        <v>6.0214794775076199E-5</v>
      </c>
      <c r="F42966" s="2">
        <v>1.6687083920736401E-4</v>
      </c>
    </row>
    <row r="42967" spans="1:6" x14ac:dyDescent="0.25">
      <c r="A42967" s="1" t="str">
        <f t="shared" si="1475"/>
        <v>99999</v>
      </c>
      <c r="B42967" s="1" t="str">
        <f>"73432"</f>
        <v>73432</v>
      </c>
      <c r="C42967" s="2">
        <v>5.52130541847922E-5</v>
      </c>
      <c r="D42967" s="2">
        <v>2.1079924533870101E-5</v>
      </c>
      <c r="E42967" s="2">
        <v>4.3010567696482999E-6</v>
      </c>
      <c r="F42967" s="2">
        <v>5.1807918736762998E-5</v>
      </c>
    </row>
    <row r="42968" spans="1:6" x14ac:dyDescent="0.25">
      <c r="A42968" s="1" t="str">
        <f t="shared" si="1475"/>
        <v>99999</v>
      </c>
      <c r="B42968" s="1" t="str">
        <f>"73047"</f>
        <v>73047</v>
      </c>
      <c r="C42968" s="2">
        <v>1.09776543026233E-4</v>
      </c>
      <c r="D42968" s="2">
        <v>9.0342533716586399E-5</v>
      </c>
      <c r="E42968" s="2">
        <v>6.0214794775076199E-5</v>
      </c>
      <c r="F42968" s="2">
        <v>1.07365743972568E-4</v>
      </c>
    </row>
    <row r="42969" spans="1:6" x14ac:dyDescent="0.25">
      <c r="A42969" s="1" t="str">
        <f t="shared" si="1475"/>
        <v>99999</v>
      </c>
      <c r="B42969" s="1" t="str">
        <f>"64656"</f>
        <v>64656</v>
      </c>
      <c r="C42969" s="2">
        <v>1.6022611802645498E-5</v>
      </c>
      <c r="D42969" s="2">
        <v>4.5171266858293203E-6</v>
      </c>
      <c r="E42969" s="2">
        <v>2.15052838482415E-5</v>
      </c>
      <c r="F42969" s="2">
        <v>1.5394352996066698E-5</v>
      </c>
    </row>
    <row r="42970" spans="1:6" x14ac:dyDescent="0.25">
      <c r="A42970" s="1" t="str">
        <f t="shared" si="1475"/>
        <v>99999</v>
      </c>
      <c r="B42970" s="1" t="str">
        <f>"63960"</f>
        <v>63960</v>
      </c>
      <c r="C42970" s="2">
        <v>1.6975307639559601E-4</v>
      </c>
      <c r="D42970" s="2">
        <v>8.1308280344927694E-5</v>
      </c>
      <c r="E42970" s="2">
        <v>3.8709510926834699E-5</v>
      </c>
      <c r="F42970" s="2">
        <v>1.60949934208877E-4</v>
      </c>
    </row>
    <row r="42971" spans="1:6" x14ac:dyDescent="0.25">
      <c r="A42971" s="1" t="str">
        <f t="shared" si="1475"/>
        <v>99999</v>
      </c>
      <c r="B42971" s="1" t="str">
        <f>"63555"</f>
        <v>63555</v>
      </c>
      <c r="C42971" s="2">
        <v>1.9097221094504599E-4</v>
      </c>
      <c r="D42971" s="2">
        <v>4.5020695968765501E-4</v>
      </c>
      <c r="E42971" s="2">
        <v>1.4623593016804199E-4</v>
      </c>
      <c r="F42971" s="2">
        <v>2.0693562969712701E-4</v>
      </c>
    </row>
    <row r="42972" spans="1:6" x14ac:dyDescent="0.25">
      <c r="A42972" s="1" t="str">
        <f t="shared" si="1475"/>
        <v>99999</v>
      </c>
      <c r="B42972" s="1" t="str">
        <f>"63563"</f>
        <v>63563</v>
      </c>
      <c r="C42972" s="2">
        <v>4.0489573068847603E-5</v>
      </c>
      <c r="D42972" s="2">
        <v>2.25856334291466E-5</v>
      </c>
      <c r="E42972" s="2">
        <v>1.72042270785932E-5</v>
      </c>
      <c r="F42972" s="2">
        <v>3.8781927740091198E-5</v>
      </c>
    </row>
    <row r="42973" spans="1:6" x14ac:dyDescent="0.25">
      <c r="A42973" s="1" t="str">
        <f t="shared" si="1475"/>
        <v>99999</v>
      </c>
      <c r="B42973" s="1" t="str">
        <f>"65026"</f>
        <v>65026</v>
      </c>
      <c r="C42973" s="2">
        <v>6.8431708921974795E-4</v>
      </c>
      <c r="D42973" s="2">
        <v>9.6666511076747398E-4</v>
      </c>
      <c r="E42973" s="2">
        <v>6.1505111805970701E-4</v>
      </c>
      <c r="F42973" s="2">
        <v>7.0123251532083503E-4</v>
      </c>
    </row>
    <row r="42974" spans="1:6" x14ac:dyDescent="0.25">
      <c r="A42974" s="1" t="str">
        <f t="shared" si="1475"/>
        <v>99999</v>
      </c>
      <c r="B42974" s="1" t="str">
        <f>"63456"</f>
        <v>63456</v>
      </c>
      <c r="C42974" s="2">
        <v>1.3738307011862999E-4</v>
      </c>
      <c r="D42974" s="2">
        <v>2.1531637202453101E-4</v>
      </c>
      <c r="E42974" s="2">
        <v>1.5053698693768999E-4</v>
      </c>
      <c r="F42974" s="2">
        <v>1.42792492213516E-4</v>
      </c>
    </row>
    <row r="42975" spans="1:6" x14ac:dyDescent="0.25">
      <c r="A42975" s="1" t="str">
        <f t="shared" si="1475"/>
        <v>99999</v>
      </c>
      <c r="B42975" s="1" t="str">
        <f>"63531"</f>
        <v>63531</v>
      </c>
      <c r="C42975" s="2">
        <v>3.37773978542258E-5</v>
      </c>
      <c r="D42975" s="2">
        <v>3.01141779055288E-5</v>
      </c>
      <c r="E42975" s="2">
        <v>3.44084541571864E-5</v>
      </c>
      <c r="F42975" s="2">
        <v>3.3551794991427497E-5</v>
      </c>
    </row>
    <row r="42976" spans="1:6" x14ac:dyDescent="0.25">
      <c r="A42976" s="1" t="str">
        <f t="shared" si="1475"/>
        <v>99999</v>
      </c>
      <c r="B42976" s="1" t="str">
        <f>"63361"</f>
        <v>63361</v>
      </c>
      <c r="C42976" s="2">
        <v>2.33410480043945E-4</v>
      </c>
      <c r="D42976" s="2">
        <v>4.4117270631599699E-4</v>
      </c>
      <c r="E42976" s="2">
        <v>2.4516023586995298E-4</v>
      </c>
      <c r="F42976" s="2">
        <v>2.47296465436815E-4</v>
      </c>
    </row>
    <row r="42977" spans="1:6" x14ac:dyDescent="0.25">
      <c r="A42977" s="1" t="str">
        <f t="shared" si="1475"/>
        <v>99999</v>
      </c>
      <c r="B42977" s="1" t="str">
        <f>"66725"</f>
        <v>66725</v>
      </c>
      <c r="C42977" s="2">
        <v>2.9003092580599598E-4</v>
      </c>
      <c r="D42977" s="2">
        <v>4.2611561736323201E-4</v>
      </c>
      <c r="E42977" s="2">
        <v>1.5483804370733801E-4</v>
      </c>
      <c r="F42977" s="2">
        <v>2.9584788642441002E-4</v>
      </c>
    </row>
    <row r="42978" spans="1:6" x14ac:dyDescent="0.25">
      <c r="A42978" s="1" t="str">
        <f t="shared" si="1475"/>
        <v>99999</v>
      </c>
      <c r="B42978" s="1" t="str">
        <f>"66755"</f>
        <v>66755</v>
      </c>
      <c r="C42978" s="2">
        <v>6.0626098712712997E-5</v>
      </c>
      <c r="D42978" s="2">
        <v>4.5171266858293199E-5</v>
      </c>
      <c r="E42978" s="2">
        <v>1.72042270785932E-5</v>
      </c>
      <c r="F42978" s="2">
        <v>5.8616959485023303E-5</v>
      </c>
    </row>
    <row r="42979" spans="1:6" x14ac:dyDescent="0.25">
      <c r="A42979" s="1" t="str">
        <f t="shared" si="1475"/>
        <v>99999</v>
      </c>
      <c r="B42979" s="1" t="str">
        <f>"51530"</f>
        <v>51530</v>
      </c>
      <c r="C42979" s="2">
        <v>4.1030877521639702E-5</v>
      </c>
      <c r="D42979" s="2">
        <v>1.65627978480408E-5</v>
      </c>
      <c r="E42979" s="2">
        <v>3.01073973875381E-5</v>
      </c>
      <c r="F42979" s="2">
        <v>3.9176654739990298E-5</v>
      </c>
    </row>
    <row r="42980" spans="1:6" x14ac:dyDescent="0.25">
      <c r="A42980" s="1" t="str">
        <f t="shared" si="1475"/>
        <v>99999</v>
      </c>
      <c r="B42980" s="1" t="str">
        <f>"51537"</f>
        <v>51537</v>
      </c>
      <c r="C42980" s="2">
        <v>3.4102180525901003E-4</v>
      </c>
      <c r="D42980" s="2">
        <v>5.5711229125228305E-4</v>
      </c>
      <c r="E42980" s="2">
        <v>6.5376062898654099E-4</v>
      </c>
      <c r="F42980" s="2">
        <v>3.62359385907417E-4</v>
      </c>
    </row>
    <row r="42981" spans="1:6" x14ac:dyDescent="0.25">
      <c r="A42981" s="1" t="str">
        <f t="shared" si="1475"/>
        <v>99999</v>
      </c>
      <c r="B42981" s="1" t="str">
        <f>"66776"</f>
        <v>66776</v>
      </c>
      <c r="C42981" s="2">
        <v>5.6945228433726902E-5</v>
      </c>
      <c r="D42981" s="2">
        <v>2.4091342324423E-5</v>
      </c>
      <c r="E42981" s="2">
        <v>4.3010567696482999E-6</v>
      </c>
      <c r="F42981" s="2">
        <v>5.3584190236309203E-5</v>
      </c>
    </row>
    <row r="42982" spans="1:6" x14ac:dyDescent="0.25">
      <c r="A42982" s="1" t="str">
        <f t="shared" si="1475"/>
        <v>99999</v>
      </c>
      <c r="B42982" s="1" t="str">
        <f>"66761"</f>
        <v>66761</v>
      </c>
      <c r="C42982" s="2">
        <v>1.3532611319802E-5</v>
      </c>
      <c r="D42982" s="2">
        <v>1.50570889527644E-5</v>
      </c>
      <c r="E42982" s="2">
        <v>4.6881518789166401E-4</v>
      </c>
      <c r="F42982" s="2">
        <v>2.4078346993847899E-5</v>
      </c>
    </row>
    <row r="42983" spans="1:6" x14ac:dyDescent="0.25">
      <c r="A42983" s="1" t="str">
        <f t="shared" si="1475"/>
        <v>99999</v>
      </c>
      <c r="B42983" s="1" t="str">
        <f>"66775"</f>
        <v>66775</v>
      </c>
      <c r="C42983" s="2">
        <v>9.2021756974653701E-6</v>
      </c>
      <c r="D42983" s="2">
        <v>4.5171266858293203E-6</v>
      </c>
      <c r="E42983" s="2">
        <v>4.3010567696482999E-6</v>
      </c>
      <c r="F42983" s="2">
        <v>8.7826757477560201E-6</v>
      </c>
    </row>
    <row r="42984" spans="1:6" x14ac:dyDescent="0.25">
      <c r="A42984" s="1" t="str">
        <f t="shared" si="1475"/>
        <v>99999</v>
      </c>
      <c r="B42984" s="1" t="str">
        <f>"67865"</f>
        <v>67865</v>
      </c>
      <c r="C42984" s="2">
        <v>3.9190442382146597E-5</v>
      </c>
      <c r="D42984" s="2">
        <v>9.0342533716586405E-6</v>
      </c>
      <c r="E42984" s="2">
        <v>4.7311624466131299E-5</v>
      </c>
      <c r="F42984" s="2">
        <v>3.7400383240444202E-5</v>
      </c>
    </row>
    <row r="42985" spans="1:6" x14ac:dyDescent="0.25">
      <c r="A42985" s="1" t="str">
        <f t="shared" si="1475"/>
        <v>99999</v>
      </c>
      <c r="B42985" s="1" t="str">
        <f>"67124"</f>
        <v>67124</v>
      </c>
      <c r="C42985" s="2">
        <v>4.3650791073153298E-4</v>
      </c>
      <c r="D42985" s="2">
        <v>8.1157709455400098E-4</v>
      </c>
      <c r="E42985" s="2">
        <v>5.3763209620603697E-4</v>
      </c>
      <c r="F42985" s="2">
        <v>4.63409497881598E-4</v>
      </c>
    </row>
    <row r="42986" spans="1:6" x14ac:dyDescent="0.25">
      <c r="A42986" s="1" t="str">
        <f t="shared" si="1475"/>
        <v>99999</v>
      </c>
      <c r="B42986" s="1" t="str">
        <f>"67621"</f>
        <v>67621</v>
      </c>
      <c r="C42986" s="2">
        <v>2.23017434550337E-5</v>
      </c>
      <c r="D42986" s="2">
        <v>1.20456711622115E-5</v>
      </c>
      <c r="E42986" s="2">
        <v>8.6021135392965999E-6</v>
      </c>
      <c r="F42986" s="2">
        <v>2.1315257994553901E-5</v>
      </c>
    </row>
    <row r="42987" spans="1:6" x14ac:dyDescent="0.25">
      <c r="A42987" s="1" t="str">
        <f t="shared" si="1475"/>
        <v>99999</v>
      </c>
      <c r="B42987" s="1" t="str">
        <f>"67625"</f>
        <v>67625</v>
      </c>
      <c r="C42987" s="2">
        <v>1.9595221191073298E-5</v>
      </c>
      <c r="D42987" s="2">
        <v>1.65627978480408E-5</v>
      </c>
      <c r="E42987" s="2">
        <v>1.29031703089449E-5</v>
      </c>
      <c r="F42987" s="2">
        <v>1.92429412450834E-5</v>
      </c>
    </row>
    <row r="42988" spans="1:6" x14ac:dyDescent="0.25">
      <c r="A42988" s="1" t="str">
        <f t="shared" si="1475"/>
        <v>99999</v>
      </c>
      <c r="B42988" s="1" t="str">
        <f>"67626"</f>
        <v>67626</v>
      </c>
      <c r="C42988" s="2">
        <v>6.0626098712712997E-6</v>
      </c>
      <c r="D42988" s="2">
        <v>7.5285444763821999E-6</v>
      </c>
      <c r="E42988" s="2">
        <v>4.3010567696482999E-6</v>
      </c>
      <c r="F42988" s="2">
        <v>6.1182684984367804E-6</v>
      </c>
    </row>
    <row r="42989" spans="1:6" x14ac:dyDescent="0.25">
      <c r="A42989" s="1" t="str">
        <f t="shared" si="1475"/>
        <v>99999</v>
      </c>
      <c r="B42989" s="1" t="str">
        <f>"67487"</f>
        <v>67487</v>
      </c>
      <c r="C42989" s="2">
        <v>6.5822621459517007E-5</v>
      </c>
      <c r="D42989" s="2">
        <v>3.01141779055288E-5</v>
      </c>
      <c r="E42989" s="2">
        <v>8.1720078623317706E-5</v>
      </c>
      <c r="F42989" s="2">
        <v>6.3847092233686997E-5</v>
      </c>
    </row>
    <row r="42990" spans="1:6" x14ac:dyDescent="0.25">
      <c r="A42990" s="1" t="str">
        <f t="shared" si="1475"/>
        <v>99999</v>
      </c>
      <c r="B42990" s="1" t="str">
        <f>"67523"</f>
        <v>67523</v>
      </c>
      <c r="C42990" s="2">
        <v>2.0353047424982201E-5</v>
      </c>
      <c r="D42990" s="2">
        <v>1.80685067433172E-5</v>
      </c>
      <c r="E42990" s="2">
        <v>4.3010567696482999E-6</v>
      </c>
      <c r="F42990" s="2">
        <v>1.9835031744932101E-5</v>
      </c>
    </row>
    <row r="42991" spans="1:6" x14ac:dyDescent="0.25">
      <c r="A42991" s="1" t="str">
        <f t="shared" si="1475"/>
        <v>99999</v>
      </c>
      <c r="B42991" s="1" t="str">
        <f>"67752"</f>
        <v>67752</v>
      </c>
      <c r="C42991" s="2">
        <v>7.4158710032515006E-5</v>
      </c>
      <c r="D42991" s="2">
        <v>9.9376787088244995E-5</v>
      </c>
      <c r="E42991" s="2">
        <v>5.5913738005427899E-5</v>
      </c>
      <c r="F42991" s="2">
        <v>7.5392856980737106E-5</v>
      </c>
    </row>
    <row r="42992" spans="1:6" x14ac:dyDescent="0.25">
      <c r="A42992" s="1" t="str">
        <f t="shared" si="1475"/>
        <v>99999</v>
      </c>
      <c r="B42992" s="1" t="str">
        <f>"67756"</f>
        <v>67756</v>
      </c>
      <c r="C42992" s="2">
        <v>1.2287611078380201E-4</v>
      </c>
      <c r="D42992" s="2">
        <v>9.9376787088244995E-5</v>
      </c>
      <c r="E42992" s="2">
        <v>1.16128532780504E-4</v>
      </c>
      <c r="F42992" s="2">
        <v>1.21181188969038E-4</v>
      </c>
    </row>
    <row r="42993" spans="1:6" x14ac:dyDescent="0.25">
      <c r="A42993" s="1" t="str">
        <f t="shared" si="1475"/>
        <v>99999</v>
      </c>
      <c r="B42993" s="1" t="str">
        <f>"67431"</f>
        <v>67431</v>
      </c>
      <c r="C42993" s="2">
        <v>1.10750891041259E-4</v>
      </c>
      <c r="D42993" s="2">
        <v>3.31255956960816E-5</v>
      </c>
      <c r="E42993" s="2">
        <v>4.7311624466131299E-5</v>
      </c>
      <c r="F42993" s="2">
        <v>1.0420792797337401E-4</v>
      </c>
    </row>
    <row r="42994" spans="1:6" x14ac:dyDescent="0.25">
      <c r="A42994" s="1" t="str">
        <f t="shared" si="1475"/>
        <v>99999</v>
      </c>
      <c r="B42994" s="1" t="str">
        <f>"67352"</f>
        <v>67352</v>
      </c>
      <c r="C42994" s="2">
        <v>3.5184789431485203E-5</v>
      </c>
      <c r="D42994" s="2">
        <v>6.0228355811057601E-6</v>
      </c>
      <c r="E42994" s="2">
        <v>2.15052838482415E-5</v>
      </c>
      <c r="F42994" s="2">
        <v>3.2959704491578701E-5</v>
      </c>
    </row>
    <row r="42995" spans="1:6" x14ac:dyDescent="0.25">
      <c r="A42995" s="1" t="str">
        <f t="shared" si="1475"/>
        <v>99999</v>
      </c>
      <c r="B42995" s="1" t="str">
        <f>"67751"</f>
        <v>67751</v>
      </c>
      <c r="C42995" s="2">
        <v>1.4723481115944499E-5</v>
      </c>
      <c r="D42995" s="2">
        <v>1.9574215638593701E-5</v>
      </c>
      <c r="E42995" s="2">
        <v>8.6021135392965999E-6</v>
      </c>
      <c r="F42995" s="2">
        <v>1.49009442461928E-5</v>
      </c>
    </row>
    <row r="42996" spans="1:6" x14ac:dyDescent="0.25">
      <c r="A42996" s="1" t="str">
        <f t="shared" si="1475"/>
        <v>99999</v>
      </c>
      <c r="B42996" s="1" t="str">
        <f>"67734"</f>
        <v>67734</v>
      </c>
      <c r="C42996" s="2">
        <v>1.07178281652832E-5</v>
      </c>
      <c r="D42996" s="2">
        <v>1.20456711622115E-5</v>
      </c>
      <c r="E42996" s="2">
        <v>1.29031703089449E-5</v>
      </c>
      <c r="F42996" s="2">
        <v>1.08549924972265E-5</v>
      </c>
    </row>
    <row r="42997" spans="1:6" x14ac:dyDescent="0.25">
      <c r="A42997" s="1" t="str">
        <f t="shared" si="1475"/>
        <v>99999</v>
      </c>
      <c r="B42997" s="1" t="str">
        <f>"67758"</f>
        <v>67758</v>
      </c>
      <c r="C42997" s="2">
        <v>5.7486532886518899E-5</v>
      </c>
      <c r="D42997" s="2">
        <v>4.5171266858293199E-5</v>
      </c>
      <c r="E42997" s="2">
        <v>4.3010567696482999E-5</v>
      </c>
      <c r="F42997" s="2">
        <v>5.6347279235603201E-5</v>
      </c>
    </row>
    <row r="42998" spans="1:6" x14ac:dyDescent="0.25">
      <c r="A42998" s="1" t="str">
        <f t="shared" si="1475"/>
        <v>99999</v>
      </c>
      <c r="B42998" s="1" t="str">
        <f>"67466"</f>
        <v>67466</v>
      </c>
      <c r="C42998" s="2">
        <v>3.9515225053821902E-5</v>
      </c>
      <c r="D42998" s="2">
        <v>1.20456711622115E-5</v>
      </c>
      <c r="E42998" s="2">
        <v>8.6021135392965999E-6</v>
      </c>
      <c r="F42998" s="2">
        <v>3.7005656240545001E-5</v>
      </c>
    </row>
    <row r="42999" spans="1:6" x14ac:dyDescent="0.25">
      <c r="A42999" s="1" t="str">
        <f t="shared" si="1475"/>
        <v>99999</v>
      </c>
      <c r="B42999" s="1" t="str">
        <f>"67423"</f>
        <v>67423</v>
      </c>
      <c r="C42999" s="2">
        <v>1.6563916255437601E-5</v>
      </c>
      <c r="D42999" s="2">
        <v>6.0228355811057601E-6</v>
      </c>
      <c r="E42999" s="2">
        <v>4.3010567696482999E-6</v>
      </c>
      <c r="F42999" s="2">
        <v>1.5591716496016299E-5</v>
      </c>
    </row>
    <row r="43000" spans="1:6" x14ac:dyDescent="0.25">
      <c r="A43000" s="1" t="str">
        <f t="shared" si="1475"/>
        <v>99999</v>
      </c>
      <c r="B43000" s="1" t="str">
        <f>"67623"</f>
        <v>67623</v>
      </c>
      <c r="C43000" s="2">
        <v>1.86208731760475E-5</v>
      </c>
      <c r="D43000" s="2">
        <v>3.01141779055288E-5</v>
      </c>
      <c r="E43000" s="2">
        <v>0</v>
      </c>
      <c r="F43000" s="2">
        <v>1.8946895995158999E-5</v>
      </c>
    </row>
    <row r="43001" spans="1:6" x14ac:dyDescent="0.25">
      <c r="A43001" s="1" t="str">
        <f t="shared" si="1475"/>
        <v>99999</v>
      </c>
      <c r="B43001" s="1" t="str">
        <f>"66521"</f>
        <v>66521</v>
      </c>
      <c r="C43001" s="2">
        <v>3.0313049356356498E-6</v>
      </c>
      <c r="D43001" s="2">
        <v>1.50570889527644E-6</v>
      </c>
      <c r="E43001" s="2">
        <v>0</v>
      </c>
      <c r="F43001" s="2">
        <v>2.8617707492688101E-6</v>
      </c>
    </row>
    <row r="43002" spans="1:6" x14ac:dyDescent="0.25">
      <c r="A43002" s="1" t="str">
        <f t="shared" si="1475"/>
        <v>99999</v>
      </c>
      <c r="B43002" s="1" t="str">
        <f>"66538"</f>
        <v>66538</v>
      </c>
      <c r="C43002" s="2">
        <v>1.74624816470725E-4</v>
      </c>
      <c r="D43002" s="2">
        <v>3.58358717075792E-4</v>
      </c>
      <c r="E43002" s="2">
        <v>3.39783484802215E-4</v>
      </c>
      <c r="F43002" s="2">
        <v>1.90455777451338E-4</v>
      </c>
    </row>
    <row r="43003" spans="1:6" x14ac:dyDescent="0.25">
      <c r="A43003" s="1" t="str">
        <f t="shared" si="1475"/>
        <v>99999</v>
      </c>
      <c r="B43003" s="1" t="str">
        <f>"66834"</f>
        <v>66834</v>
      </c>
      <c r="C43003" s="2">
        <v>4.8717400751287203E-6</v>
      </c>
      <c r="D43003" s="2">
        <v>1.50570889527644E-6</v>
      </c>
      <c r="E43003" s="2">
        <v>0</v>
      </c>
      <c r="F43003" s="2">
        <v>4.5393604988401904E-6</v>
      </c>
    </row>
    <row r="43004" spans="1:6" x14ac:dyDescent="0.25">
      <c r="A43004" s="1" t="str">
        <f t="shared" si="1475"/>
        <v>99999</v>
      </c>
      <c r="B43004" s="1" t="str">
        <f>"66953"</f>
        <v>66953</v>
      </c>
      <c r="C43004" s="2">
        <v>3.1936962714732702E-5</v>
      </c>
      <c r="D43004" s="2">
        <v>5.1194102439398901E-5</v>
      </c>
      <c r="E43004" s="2">
        <v>2.15052838482415E-5</v>
      </c>
      <c r="F43004" s="2">
        <v>3.2959704491578701E-5</v>
      </c>
    </row>
    <row r="43005" spans="1:6" x14ac:dyDescent="0.25">
      <c r="A43005" s="1" t="str">
        <f t="shared" si="1475"/>
        <v>99999</v>
      </c>
      <c r="B43005" s="1" t="str">
        <f>"65786"</f>
        <v>65786</v>
      </c>
      <c r="C43005" s="2">
        <v>1.2666524195334601E-4</v>
      </c>
      <c r="D43005" s="2">
        <v>5.7216938020504697E-5</v>
      </c>
      <c r="E43005" s="2">
        <v>2.58063406178898E-5</v>
      </c>
      <c r="F43005" s="2">
        <v>1.19799644469391E-4</v>
      </c>
    </row>
    <row r="43006" spans="1:6" x14ac:dyDescent="0.25">
      <c r="A43006" s="1" t="str">
        <f t="shared" si="1475"/>
        <v>99999</v>
      </c>
      <c r="B43006" s="1" t="str">
        <f>"65793"</f>
        <v>65793</v>
      </c>
      <c r="C43006" s="2">
        <v>4.1463921083873303E-5</v>
      </c>
      <c r="D43006" s="2">
        <v>9.0342533716586405E-6</v>
      </c>
      <c r="E43006" s="2">
        <v>4.3010567696482999E-6</v>
      </c>
      <c r="F43006" s="2">
        <v>3.84858824901668E-5</v>
      </c>
    </row>
    <row r="43007" spans="1:6" x14ac:dyDescent="0.25">
      <c r="A43007" s="1" t="str">
        <f t="shared" si="1475"/>
        <v>99999</v>
      </c>
      <c r="B43007" s="1" t="str">
        <f>"65674"</f>
        <v>65674</v>
      </c>
      <c r="C43007" s="2">
        <v>5.3047836373623898E-5</v>
      </c>
      <c r="D43007" s="2">
        <v>3.01141779055288E-5</v>
      </c>
      <c r="E43007" s="2">
        <v>0</v>
      </c>
      <c r="F43007" s="2">
        <v>5.0327692487141198E-5</v>
      </c>
    </row>
    <row r="43008" spans="1:6" x14ac:dyDescent="0.25">
      <c r="A43008" s="1" t="str">
        <f t="shared" si="1475"/>
        <v>99999</v>
      </c>
      <c r="B43008" s="1" t="str">
        <f>"65625"</f>
        <v>65625</v>
      </c>
      <c r="C43008" s="2">
        <v>5.9002185354336796E-4</v>
      </c>
      <c r="D43008" s="2">
        <v>7.3930306758073199E-4</v>
      </c>
      <c r="E43008" s="2">
        <v>2.1935389525206301E-4</v>
      </c>
      <c r="F43008" s="2">
        <v>5.9130104584892201E-4</v>
      </c>
    </row>
    <row r="43009" spans="1:6" x14ac:dyDescent="0.25">
      <c r="A43009" s="1" t="str">
        <f t="shared" si="1475"/>
        <v>99999</v>
      </c>
      <c r="B43009" s="1" t="str">
        <f>"65631"</f>
        <v>65631</v>
      </c>
      <c r="C43009" s="2">
        <v>4.51447913628595E-5</v>
      </c>
      <c r="D43009" s="2">
        <v>1.50570889527644E-6</v>
      </c>
      <c r="E43009" s="2">
        <v>0</v>
      </c>
      <c r="F43009" s="2">
        <v>4.1248971489460799E-5</v>
      </c>
    </row>
    <row r="43010" spans="1:6" x14ac:dyDescent="0.25">
      <c r="A43010" s="1" t="str">
        <f t="shared" si="1475"/>
        <v>99999</v>
      </c>
      <c r="B43010" s="1" t="str">
        <f>"65635"</f>
        <v>65635</v>
      </c>
      <c r="C43010" s="2">
        <v>3.37773978542258E-5</v>
      </c>
      <c r="D43010" s="2">
        <v>1.35513800574879E-5</v>
      </c>
      <c r="E43010" s="2">
        <v>4.3010567696482999E-6</v>
      </c>
      <c r="F43010" s="2">
        <v>3.17755234918813E-5</v>
      </c>
    </row>
    <row r="43011" spans="1:6" x14ac:dyDescent="0.25">
      <c r="A43011" s="1" t="str">
        <f t="shared" si="1475"/>
        <v>99999</v>
      </c>
      <c r="B43011" s="1" t="str">
        <f>"65705"</f>
        <v>65705</v>
      </c>
      <c r="C43011" s="2">
        <v>2.01798300000887E-4</v>
      </c>
      <c r="D43011" s="2">
        <v>1.0088249598352101E-4</v>
      </c>
      <c r="E43011" s="2">
        <v>7.7419021853669399E-5</v>
      </c>
      <c r="F43011" s="2">
        <v>1.92330730700859E-4</v>
      </c>
    </row>
    <row r="43012" spans="1:6" x14ac:dyDescent="0.25">
      <c r="A43012" s="1" t="str">
        <f t="shared" si="1475"/>
        <v>99999</v>
      </c>
      <c r="B43012" s="1" t="str">
        <f>"65717"</f>
        <v>65717</v>
      </c>
      <c r="C43012" s="2">
        <v>1.22010023659335E-4</v>
      </c>
      <c r="D43012" s="2">
        <v>5.1194102439398901E-5</v>
      </c>
      <c r="E43012" s="2">
        <v>6.0214794775076199E-5</v>
      </c>
      <c r="F43012" s="2">
        <v>1.1595105622037401E-4</v>
      </c>
    </row>
    <row r="43013" spans="1:6" x14ac:dyDescent="0.25">
      <c r="A43013" s="1" t="str">
        <f t="shared" si="1475"/>
        <v>99999</v>
      </c>
      <c r="B43013" s="1" t="str">
        <f>"65637"</f>
        <v>65637</v>
      </c>
      <c r="C43013" s="2">
        <v>7.7298275858709103E-5</v>
      </c>
      <c r="D43013" s="2">
        <v>3.01141779055288E-5</v>
      </c>
      <c r="E43013" s="2">
        <v>8.6021135392965999E-6</v>
      </c>
      <c r="F43013" s="2">
        <v>7.2629767981443005E-5</v>
      </c>
    </row>
    <row r="43014" spans="1:6" x14ac:dyDescent="0.25">
      <c r="A43014" s="1" t="str">
        <f t="shared" ref="A43014:A43077" si="1476">"99999"</f>
        <v>99999</v>
      </c>
      <c r="B43014" s="1" t="str">
        <f>"65658"</f>
        <v>65658</v>
      </c>
      <c r="C43014" s="2">
        <v>9.2238278755770494E-5</v>
      </c>
      <c r="D43014" s="2">
        <v>2.25856334291466E-5</v>
      </c>
      <c r="E43014" s="2">
        <v>8.6021135392965999E-6</v>
      </c>
      <c r="F43014" s="2">
        <v>8.5754440728089704E-5</v>
      </c>
    </row>
    <row r="43015" spans="1:6" x14ac:dyDescent="0.25">
      <c r="A43015" s="1" t="str">
        <f t="shared" si="1476"/>
        <v>99999</v>
      </c>
      <c r="B43015" s="1" t="str">
        <f>"69144"</f>
        <v>69144</v>
      </c>
      <c r="C43015" s="2">
        <v>1.0068262821932701E-5</v>
      </c>
      <c r="D43015" s="2">
        <v>0</v>
      </c>
      <c r="E43015" s="2">
        <v>0</v>
      </c>
      <c r="F43015" s="2">
        <v>9.1774027476551693E-6</v>
      </c>
    </row>
    <row r="43016" spans="1:6" x14ac:dyDescent="0.25">
      <c r="A43016" s="1" t="str">
        <f t="shared" si="1476"/>
        <v>99999</v>
      </c>
      <c r="B43016" s="1" t="str">
        <f>"69211"</f>
        <v>69211</v>
      </c>
      <c r="C43016" s="2">
        <v>2.29513087983842E-5</v>
      </c>
      <c r="D43016" s="2">
        <v>1.80685067433172E-5</v>
      </c>
      <c r="E43016" s="2">
        <v>4.3010567696482999E-6</v>
      </c>
      <c r="F43016" s="2">
        <v>2.2203393744327E-5</v>
      </c>
    </row>
    <row r="43017" spans="1:6" x14ac:dyDescent="0.25">
      <c r="A43017" s="1" t="str">
        <f t="shared" si="1476"/>
        <v>99999</v>
      </c>
      <c r="B43017" s="1" t="str">
        <f>"68922"</f>
        <v>68922</v>
      </c>
      <c r="C43017" s="2">
        <v>6.8529143723477395E-5</v>
      </c>
      <c r="D43017" s="2">
        <v>2.4091342324423E-5</v>
      </c>
      <c r="E43017" s="2">
        <v>4.3010567696482999E-5</v>
      </c>
      <c r="F43017" s="2">
        <v>6.5031273233384494E-5</v>
      </c>
    </row>
    <row r="43018" spans="1:6" x14ac:dyDescent="0.25">
      <c r="A43018" s="1" t="str">
        <f t="shared" si="1476"/>
        <v>99999</v>
      </c>
      <c r="B43018" s="1" t="str">
        <f>"69221"</f>
        <v>69221</v>
      </c>
      <c r="C43018" s="2">
        <v>1.1042610836958401E-5</v>
      </c>
      <c r="D43018" s="2">
        <v>1.50570889527644E-6</v>
      </c>
      <c r="E43018" s="2">
        <v>4.3010567696482999E-6</v>
      </c>
      <c r="F43018" s="2">
        <v>1.02629019973778E-5</v>
      </c>
    </row>
    <row r="43019" spans="1:6" x14ac:dyDescent="0.25">
      <c r="A43019" s="1" t="str">
        <f t="shared" si="1476"/>
        <v>99999</v>
      </c>
      <c r="B43019" s="1" t="str">
        <f>"69156"</f>
        <v>69156</v>
      </c>
      <c r="C43019" s="2">
        <v>3.7458268133211902E-5</v>
      </c>
      <c r="D43019" s="2">
        <v>3.6137013486634501E-5</v>
      </c>
      <c r="E43019" s="2">
        <v>4.3010567696482999E-6</v>
      </c>
      <c r="F43019" s="2">
        <v>3.6610929240645901E-5</v>
      </c>
    </row>
    <row r="43020" spans="1:6" x14ac:dyDescent="0.25">
      <c r="A43020" s="1" t="str">
        <f t="shared" si="1476"/>
        <v>99999</v>
      </c>
      <c r="B43020" s="1" t="str">
        <f>"69150"</f>
        <v>69150</v>
      </c>
      <c r="C43020" s="2">
        <v>2.6090874624578199E-5</v>
      </c>
      <c r="D43020" s="2">
        <v>3.1619886800805203E-5</v>
      </c>
      <c r="E43020" s="2">
        <v>0</v>
      </c>
      <c r="F43020" s="2">
        <v>2.5854618493394101E-5</v>
      </c>
    </row>
    <row r="43021" spans="1:6" x14ac:dyDescent="0.25">
      <c r="A43021" s="1" t="str">
        <f t="shared" si="1476"/>
        <v>99999</v>
      </c>
      <c r="B43021" s="1" t="str">
        <f>"69351"</f>
        <v>69351</v>
      </c>
      <c r="C43021" s="2">
        <v>1.16921761803089E-5</v>
      </c>
      <c r="D43021" s="2">
        <v>1.50570889527644E-6</v>
      </c>
      <c r="E43021" s="2">
        <v>8.6021135392965999E-6</v>
      </c>
      <c r="F43021" s="2">
        <v>1.0953674247201299E-5</v>
      </c>
    </row>
    <row r="43022" spans="1:6" x14ac:dyDescent="0.25">
      <c r="A43022" s="1" t="str">
        <f t="shared" si="1476"/>
        <v>99999</v>
      </c>
      <c r="B43022" s="1" t="str">
        <f>"69336"</f>
        <v>69336</v>
      </c>
      <c r="C43022" s="2">
        <v>1.1703002269364701E-4</v>
      </c>
      <c r="D43022" s="2">
        <v>9.7871078192968605E-5</v>
      </c>
      <c r="E43022" s="2">
        <v>3.8709510926834699E-5</v>
      </c>
      <c r="F43022" s="2">
        <v>1.13977421220878E-4</v>
      </c>
    </row>
    <row r="43023" spans="1:6" x14ac:dyDescent="0.25">
      <c r="A43023" s="1" t="str">
        <f t="shared" si="1476"/>
        <v>99999</v>
      </c>
      <c r="B43023" s="1" t="str">
        <f>"71028"</f>
        <v>71028</v>
      </c>
      <c r="C43023" s="2">
        <v>4.4278704238392203E-5</v>
      </c>
      <c r="D43023" s="2">
        <v>1.80685067433172E-5</v>
      </c>
      <c r="E43023" s="2">
        <v>2.15052838482415E-5</v>
      </c>
      <c r="F43023" s="2">
        <v>4.2038425489259101E-5</v>
      </c>
    </row>
    <row r="43024" spans="1:6" x14ac:dyDescent="0.25">
      <c r="A43024" s="1" t="str">
        <f t="shared" si="1476"/>
        <v>99999</v>
      </c>
      <c r="B43024" s="1" t="str">
        <f>"70658"</f>
        <v>70658</v>
      </c>
      <c r="C43024" s="2">
        <v>3.6267398337069401E-5</v>
      </c>
      <c r="D43024" s="2">
        <v>9.0342533716586405E-6</v>
      </c>
      <c r="E43024" s="2">
        <v>0</v>
      </c>
      <c r="F43024" s="2">
        <v>3.3650476741402301E-5</v>
      </c>
    </row>
    <row r="43025" spans="1:6" x14ac:dyDescent="0.25">
      <c r="A43025" s="1" t="str">
        <f t="shared" si="1476"/>
        <v>99999</v>
      </c>
      <c r="B43025" s="1" t="str">
        <f>"70657"</f>
        <v>70657</v>
      </c>
      <c r="C43025" s="2">
        <v>3.7674789914328797E-5</v>
      </c>
      <c r="D43025" s="2">
        <v>0</v>
      </c>
      <c r="E43025" s="2">
        <v>0</v>
      </c>
      <c r="F43025" s="2">
        <v>3.4341248991225799E-5</v>
      </c>
    </row>
    <row r="43026" spans="1:6" x14ac:dyDescent="0.25">
      <c r="A43026" s="1" t="str">
        <f t="shared" si="1476"/>
        <v>99999</v>
      </c>
      <c r="B43026" s="1" t="str">
        <f>"68658"</f>
        <v>68658</v>
      </c>
      <c r="C43026" s="2">
        <v>3.6483920118186202E-5</v>
      </c>
      <c r="D43026" s="2">
        <v>6.0228355811057601E-6</v>
      </c>
      <c r="E43026" s="2">
        <v>8.6021135392965999E-6</v>
      </c>
      <c r="F43026" s="2">
        <v>3.38478402413518E-5</v>
      </c>
    </row>
    <row r="43027" spans="1:6" x14ac:dyDescent="0.25">
      <c r="A43027" s="1" t="str">
        <f t="shared" si="1476"/>
        <v>99999</v>
      </c>
      <c r="B43027" s="1" t="str">
        <f>"68723"</f>
        <v>68723</v>
      </c>
      <c r="C43027" s="2">
        <v>2.86891359979802E-5</v>
      </c>
      <c r="D43027" s="2">
        <v>3.01141779055288E-6</v>
      </c>
      <c r="E43027" s="2">
        <v>8.6021135392965999E-6</v>
      </c>
      <c r="F43027" s="2">
        <v>2.6545390743217599E-5</v>
      </c>
    </row>
    <row r="43028" spans="1:6" x14ac:dyDescent="0.25">
      <c r="A43028" s="1" t="str">
        <f t="shared" si="1476"/>
        <v>99999</v>
      </c>
      <c r="B43028" s="1" t="str">
        <f>"68624"</f>
        <v>68624</v>
      </c>
      <c r="C43028" s="2">
        <v>5.5104793294233803E-5</v>
      </c>
      <c r="D43028" s="2">
        <v>3.6137013486634501E-5</v>
      </c>
      <c r="E43028" s="2">
        <v>7.7419021853669399E-5</v>
      </c>
      <c r="F43028" s="2">
        <v>5.4373644236107498E-5</v>
      </c>
    </row>
    <row r="43029" spans="1:6" x14ac:dyDescent="0.25">
      <c r="A43029" s="1" t="str">
        <f t="shared" si="1476"/>
        <v>99999</v>
      </c>
      <c r="B43029" s="1" t="str">
        <f>"68620"</f>
        <v>68620</v>
      </c>
      <c r="C43029" s="2">
        <v>1.5687003041914499E-4</v>
      </c>
      <c r="D43029" s="2">
        <v>3.1168174132222302E-4</v>
      </c>
      <c r="E43029" s="2">
        <v>2.1505283848241501E-4</v>
      </c>
      <c r="F43029" s="2">
        <v>1.6835106545698601E-4</v>
      </c>
    </row>
    <row r="43030" spans="1:6" x14ac:dyDescent="0.25">
      <c r="A43030" s="1" t="str">
        <f t="shared" si="1476"/>
        <v>99999</v>
      </c>
      <c r="B43030" s="1" t="str">
        <f>"68823"</f>
        <v>68823</v>
      </c>
      <c r="C43030" s="2">
        <v>1.46476984925537E-4</v>
      </c>
      <c r="D43030" s="2">
        <v>1.12928167145733E-4</v>
      </c>
      <c r="E43030" s="2">
        <v>0</v>
      </c>
      <c r="F43030" s="2">
        <v>1.4091753896399499E-4</v>
      </c>
    </row>
    <row r="43031" spans="1:6" x14ac:dyDescent="0.25">
      <c r="A43031" s="1" t="str">
        <f t="shared" si="1476"/>
        <v>99999</v>
      </c>
      <c r="B43031" s="1" t="str">
        <f>"68727"</f>
        <v>68727</v>
      </c>
      <c r="C43031" s="2">
        <v>4.4062182457275301E-5</v>
      </c>
      <c r="D43031" s="2">
        <v>1.20456711622115E-5</v>
      </c>
      <c r="E43031" s="2">
        <v>3.01073973875381E-5</v>
      </c>
      <c r="F43031" s="2">
        <v>4.1643698489360001E-5</v>
      </c>
    </row>
    <row r="43032" spans="1:6" x14ac:dyDescent="0.25">
      <c r="A43032" s="1" t="str">
        <f t="shared" si="1476"/>
        <v>99999</v>
      </c>
      <c r="B43032" s="1" t="str">
        <f>"68757"</f>
        <v>68757</v>
      </c>
      <c r="C43032" s="2">
        <v>3.0313049356356498E-6</v>
      </c>
      <c r="D43032" s="2">
        <v>1.50570889527644E-6</v>
      </c>
      <c r="E43032" s="2">
        <v>0</v>
      </c>
      <c r="F43032" s="2">
        <v>2.8617707492688101E-6</v>
      </c>
    </row>
    <row r="43033" spans="1:6" x14ac:dyDescent="0.25">
      <c r="A43033" s="1" t="str">
        <f t="shared" si="1476"/>
        <v>99999</v>
      </c>
      <c r="B43033" s="1" t="str">
        <f>"62274"</f>
        <v>62274</v>
      </c>
      <c r="C43033" s="2">
        <v>3.2987093353149398E-4</v>
      </c>
      <c r="D43033" s="2">
        <v>4.2310419957267901E-4</v>
      </c>
      <c r="E43033" s="2">
        <v>3.0537503064502898E-4</v>
      </c>
      <c r="F43033" s="2">
        <v>3.3541926816430001E-4</v>
      </c>
    </row>
    <row r="43034" spans="1:6" x14ac:dyDescent="0.25">
      <c r="A43034" s="1" t="str">
        <f t="shared" si="1476"/>
        <v>99999</v>
      </c>
      <c r="B43034" s="1" t="str">
        <f>"62312"</f>
        <v>62312</v>
      </c>
      <c r="C43034" s="2">
        <v>1.07719586105624E-4</v>
      </c>
      <c r="D43034" s="2">
        <v>1.89719320804831E-4</v>
      </c>
      <c r="E43034" s="2">
        <v>9.8924305701910905E-5</v>
      </c>
      <c r="F43034" s="2">
        <v>1.12891921971156E-4</v>
      </c>
    </row>
    <row r="43035" spans="1:6" x14ac:dyDescent="0.25">
      <c r="A43035" s="1" t="str">
        <f t="shared" si="1476"/>
        <v>99999</v>
      </c>
      <c r="B43035" s="1" t="str">
        <f>"62277"</f>
        <v>62277</v>
      </c>
      <c r="C43035" s="2">
        <v>5.2506531920831798E-5</v>
      </c>
      <c r="D43035" s="2">
        <v>2.25856334291466E-5</v>
      </c>
      <c r="E43035" s="2">
        <v>4.3010567696482999E-6</v>
      </c>
      <c r="F43035" s="2">
        <v>4.94395567373681E-5</v>
      </c>
    </row>
    <row r="43036" spans="1:6" x14ac:dyDescent="0.25">
      <c r="A43036" s="1" t="str">
        <f t="shared" si="1476"/>
        <v>99999</v>
      </c>
      <c r="B43036" s="1" t="str">
        <f>"62366"</f>
        <v>62366</v>
      </c>
      <c r="C43036" s="2">
        <v>8.3685668401655593E-5</v>
      </c>
      <c r="D43036" s="2">
        <v>1.2196242051739101E-4</v>
      </c>
      <c r="E43036" s="2">
        <v>1.72042270785932E-5</v>
      </c>
      <c r="F43036" s="2">
        <v>8.4668941478366997E-5</v>
      </c>
    </row>
    <row r="43037" spans="1:6" x14ac:dyDescent="0.25">
      <c r="A43037" s="1" t="str">
        <f t="shared" si="1476"/>
        <v>99999</v>
      </c>
      <c r="B43037" s="1" t="str">
        <f>"61929"</f>
        <v>61929</v>
      </c>
      <c r="C43037" s="2">
        <v>1.29913068670099E-6</v>
      </c>
      <c r="D43037" s="2">
        <v>0</v>
      </c>
      <c r="E43037" s="2">
        <v>0</v>
      </c>
      <c r="F43037" s="2">
        <v>1.18418099969744E-6</v>
      </c>
    </row>
    <row r="43038" spans="1:6" x14ac:dyDescent="0.25">
      <c r="A43038" s="1" t="str">
        <f t="shared" si="1476"/>
        <v>99999</v>
      </c>
      <c r="B43038" s="1" t="str">
        <f>"61944"</f>
        <v>61944</v>
      </c>
      <c r="C43038" s="2">
        <v>6.7847100112959397E-4</v>
      </c>
      <c r="D43038" s="2">
        <v>8.6427690588867601E-4</v>
      </c>
      <c r="E43038" s="2">
        <v>7.3978176437950805E-4</v>
      </c>
      <c r="F43038" s="2">
        <v>6.9205511257317898E-4</v>
      </c>
    </row>
    <row r="43039" spans="1:6" x14ac:dyDescent="0.25">
      <c r="A43039" s="1" t="str">
        <f t="shared" si="1476"/>
        <v>99999</v>
      </c>
      <c r="B43039" s="1" t="str">
        <f>"62075"</f>
        <v>62075</v>
      </c>
      <c r="C43039" s="2">
        <v>1.76140468938543E-4</v>
      </c>
      <c r="D43039" s="2">
        <v>2.4091342324422999E-4</v>
      </c>
      <c r="E43039" s="2">
        <v>1.07526419241207E-4</v>
      </c>
      <c r="F43039" s="2">
        <v>1.7881133095431299E-4</v>
      </c>
    </row>
    <row r="43040" spans="1:6" x14ac:dyDescent="0.25">
      <c r="A43040" s="1" t="str">
        <f t="shared" si="1476"/>
        <v>99999</v>
      </c>
      <c r="B43040" s="1" t="str">
        <f>"62083"</f>
        <v>62083</v>
      </c>
      <c r="C43040" s="2">
        <v>2.59826137340198E-6</v>
      </c>
      <c r="D43040" s="2">
        <v>0</v>
      </c>
      <c r="E43040" s="2">
        <v>0</v>
      </c>
      <c r="F43040" s="2">
        <v>2.3683619993948799E-6</v>
      </c>
    </row>
    <row r="43041" spans="1:6" x14ac:dyDescent="0.25">
      <c r="A43041" s="1" t="str">
        <f t="shared" si="1476"/>
        <v>99999</v>
      </c>
      <c r="B43041" s="1" t="str">
        <f>"61942"</f>
        <v>61942</v>
      </c>
      <c r="C43041" s="2">
        <v>6.3116099195556605E-5</v>
      </c>
      <c r="D43041" s="2">
        <v>3.9148431277187403E-5</v>
      </c>
      <c r="E43041" s="2">
        <v>2.58063406178898E-5</v>
      </c>
      <c r="F43041" s="2">
        <v>6.0689276234493797E-5</v>
      </c>
    </row>
    <row r="43042" spans="1:6" x14ac:dyDescent="0.25">
      <c r="A43042" s="1" t="str">
        <f t="shared" si="1476"/>
        <v>99999</v>
      </c>
      <c r="B43042" s="1" t="str">
        <f>"62076"</f>
        <v>62076</v>
      </c>
      <c r="C43042" s="2">
        <v>3.6808702789861401E-6</v>
      </c>
      <c r="D43042" s="2">
        <v>0</v>
      </c>
      <c r="E43042" s="2">
        <v>4.3010567696482999E-6</v>
      </c>
      <c r="F43042" s="2">
        <v>3.4538612491175301E-6</v>
      </c>
    </row>
    <row r="43043" spans="1:6" x14ac:dyDescent="0.25">
      <c r="A43043" s="1" t="str">
        <f t="shared" si="1476"/>
        <v>99999</v>
      </c>
      <c r="B43043" s="1" t="str">
        <f>"63091"</f>
        <v>63091</v>
      </c>
      <c r="C43043" s="2">
        <v>6.7663056599010098E-5</v>
      </c>
      <c r="D43043" s="2">
        <v>4.8182684648845999E-5</v>
      </c>
      <c r="E43043" s="2">
        <v>3.01073973875381E-5</v>
      </c>
      <c r="F43043" s="2">
        <v>6.5524681983258404E-5</v>
      </c>
    </row>
    <row r="43044" spans="1:6" x14ac:dyDescent="0.25">
      <c r="A43044" s="1" t="str">
        <f t="shared" si="1476"/>
        <v>99999</v>
      </c>
      <c r="B43044" s="1" t="str">
        <f>"62824"</f>
        <v>62824</v>
      </c>
      <c r="C43044" s="2">
        <v>9.2887844099120997E-5</v>
      </c>
      <c r="D43044" s="2">
        <v>4.8182684648845999E-5</v>
      </c>
      <c r="E43044" s="2">
        <v>1.29031703089449E-5</v>
      </c>
      <c r="F43044" s="2">
        <v>8.8122802727484602E-5</v>
      </c>
    </row>
    <row r="43045" spans="1:6" x14ac:dyDescent="0.25">
      <c r="A43045" s="1" t="str">
        <f t="shared" si="1476"/>
        <v>99999</v>
      </c>
      <c r="B43045" s="1" t="str">
        <f>"62885"</f>
        <v>62885</v>
      </c>
      <c r="C43045" s="2">
        <v>3.9948268616055503E-5</v>
      </c>
      <c r="D43045" s="2">
        <v>1.20456711622115E-5</v>
      </c>
      <c r="E43045" s="2">
        <v>4.3010567696482999E-6</v>
      </c>
      <c r="F43045" s="2">
        <v>3.7301701490469398E-5</v>
      </c>
    </row>
    <row r="43046" spans="1:6" x14ac:dyDescent="0.25">
      <c r="A43046" s="1" t="str">
        <f t="shared" si="1476"/>
        <v>99999</v>
      </c>
      <c r="B43046" s="1" t="str">
        <f>"62895"</f>
        <v>62895</v>
      </c>
      <c r="C43046" s="2">
        <v>8.6067407993940798E-5</v>
      </c>
      <c r="D43046" s="2">
        <v>3.4631304591358098E-5</v>
      </c>
      <c r="E43046" s="2">
        <v>3.01073973875381E-5</v>
      </c>
      <c r="F43046" s="2">
        <v>8.1412443729199095E-5</v>
      </c>
    </row>
    <row r="43047" spans="1:6" x14ac:dyDescent="0.25">
      <c r="A43047" s="1" t="str">
        <f t="shared" si="1476"/>
        <v>99999</v>
      </c>
      <c r="B43047" s="1" t="str">
        <f>"62836"</f>
        <v>62836</v>
      </c>
      <c r="C43047" s="2">
        <v>3.3669136963667403E-5</v>
      </c>
      <c r="D43047" s="2">
        <v>2.7102760114975901E-5</v>
      </c>
      <c r="E43047" s="2">
        <v>8.6021135392965999E-6</v>
      </c>
      <c r="F43047" s="2">
        <v>3.2663659241654398E-5</v>
      </c>
    </row>
    <row r="43048" spans="1:6" x14ac:dyDescent="0.25">
      <c r="A43048" s="1" t="str">
        <f t="shared" si="1476"/>
        <v>99999</v>
      </c>
      <c r="B43048" s="1" t="str">
        <f>"62818"</f>
        <v>62818</v>
      </c>
      <c r="C43048" s="2">
        <v>1.8187829613813899E-5</v>
      </c>
      <c r="D43048" s="2">
        <v>1.80685067433172E-5</v>
      </c>
      <c r="E43048" s="2">
        <v>4.3010567696482999E-6</v>
      </c>
      <c r="F43048" s="2">
        <v>1.7861396745436401E-5</v>
      </c>
    </row>
    <row r="43049" spans="1:6" x14ac:dyDescent="0.25">
      <c r="A43049" s="1" t="str">
        <f t="shared" si="1476"/>
        <v>99999</v>
      </c>
      <c r="B43049" s="1" t="str">
        <f>"62871"</f>
        <v>62871</v>
      </c>
      <c r="C43049" s="2">
        <v>4.1355660193314899E-5</v>
      </c>
      <c r="D43049" s="2">
        <v>1.0539962266935E-5</v>
      </c>
      <c r="E43049" s="2">
        <v>8.6021135392965999E-6</v>
      </c>
      <c r="F43049" s="2">
        <v>3.8584564240141597E-5</v>
      </c>
    </row>
    <row r="43050" spans="1:6" x14ac:dyDescent="0.25">
      <c r="A43050" s="1" t="str">
        <f t="shared" si="1476"/>
        <v>99999</v>
      </c>
      <c r="B43050" s="1" t="str">
        <f>"62880"</f>
        <v>62880</v>
      </c>
      <c r="C43050" s="2">
        <v>2.85808751074218E-5</v>
      </c>
      <c r="D43050" s="2">
        <v>7.5285444763821999E-6</v>
      </c>
      <c r="E43050" s="2">
        <v>1.29031703089449E-5</v>
      </c>
      <c r="F43050" s="2">
        <v>2.6841435993142E-5</v>
      </c>
    </row>
    <row r="43051" spans="1:6" x14ac:dyDescent="0.25">
      <c r="A43051" s="1" t="str">
        <f t="shared" si="1476"/>
        <v>99999</v>
      </c>
      <c r="B43051" s="1" t="str">
        <f>"62851"</f>
        <v>62851</v>
      </c>
      <c r="C43051" s="2">
        <v>1.33160895386851E-5</v>
      </c>
      <c r="D43051" s="2">
        <v>9.0342533716586405E-6</v>
      </c>
      <c r="E43051" s="2">
        <v>4.3010567696482999E-6</v>
      </c>
      <c r="F43051" s="2">
        <v>1.2828627496722201E-5</v>
      </c>
    </row>
    <row r="43052" spans="1:6" x14ac:dyDescent="0.25">
      <c r="A43052" s="1" t="str">
        <f t="shared" si="1476"/>
        <v>99999</v>
      </c>
      <c r="B43052" s="1" t="str">
        <f>"62897"</f>
        <v>62897</v>
      </c>
      <c r="C43052" s="2">
        <v>2.4900004828435702E-5</v>
      </c>
      <c r="D43052" s="2">
        <v>3.9148431277187403E-5</v>
      </c>
      <c r="E43052" s="2">
        <v>1.29031703089449E-5</v>
      </c>
      <c r="F43052" s="2">
        <v>2.5558573243469699E-5</v>
      </c>
    </row>
    <row r="43053" spans="1:6" x14ac:dyDescent="0.25">
      <c r="A43053" s="1" t="str">
        <f t="shared" si="1476"/>
        <v>99999</v>
      </c>
      <c r="B43053" s="1" t="str">
        <f>"62964"</f>
        <v>62964</v>
      </c>
      <c r="C43053" s="2">
        <v>9.2130017865212104E-5</v>
      </c>
      <c r="D43053" s="2">
        <v>1.92730738595384E-4</v>
      </c>
      <c r="E43053" s="2">
        <v>9.4623248932262599E-5</v>
      </c>
      <c r="F43053" s="2">
        <v>9.8780431724761504E-5</v>
      </c>
    </row>
    <row r="43054" spans="1:6" x14ac:dyDescent="0.25">
      <c r="A43054" s="1" t="str">
        <f t="shared" si="1476"/>
        <v>99999</v>
      </c>
      <c r="B43054" s="1" t="str">
        <f>"62984"</f>
        <v>62984</v>
      </c>
      <c r="C43054" s="2">
        <v>7.4375231813631894E-5</v>
      </c>
      <c r="D43054" s="2">
        <v>3.1619886800805203E-5</v>
      </c>
      <c r="E43054" s="2">
        <v>1.72042270785932E-5</v>
      </c>
      <c r="F43054" s="2">
        <v>7.0261405982048202E-5</v>
      </c>
    </row>
    <row r="43055" spans="1:6" x14ac:dyDescent="0.25">
      <c r="A43055" s="1" t="str">
        <f t="shared" si="1476"/>
        <v>99999</v>
      </c>
      <c r="B43055" s="1" t="str">
        <f>"62941"</f>
        <v>62941</v>
      </c>
      <c r="C43055" s="2">
        <v>2.5766091952903002E-5</v>
      </c>
      <c r="D43055" s="2">
        <v>6.0228355811057601E-6</v>
      </c>
      <c r="E43055" s="2">
        <v>8.6021135392965999E-6</v>
      </c>
      <c r="F43055" s="2">
        <v>2.4078346993847899E-5</v>
      </c>
    </row>
    <row r="43056" spans="1:6" x14ac:dyDescent="0.25">
      <c r="A43056" s="1" t="str">
        <f t="shared" si="1476"/>
        <v>99999</v>
      </c>
      <c r="B43056" s="1" t="str">
        <f>"62920"</f>
        <v>62920</v>
      </c>
      <c r="C43056" s="2">
        <v>1.4485307156716001E-4</v>
      </c>
      <c r="D43056" s="2">
        <v>6.9262609182716196E-5</v>
      </c>
      <c r="E43056" s="2">
        <v>3.8709510926834699E-5</v>
      </c>
      <c r="F43056" s="2">
        <v>1.37463677714878E-4</v>
      </c>
    </row>
    <row r="43057" spans="1:6" x14ac:dyDescent="0.25">
      <c r="A43057" s="1" t="str">
        <f t="shared" si="1476"/>
        <v>99999</v>
      </c>
      <c r="B43057" s="1" t="str">
        <f>"62446"</f>
        <v>62446</v>
      </c>
      <c r="C43057" s="2">
        <v>1.9270438519397999E-5</v>
      </c>
      <c r="D43057" s="2">
        <v>1.80685067433172E-5</v>
      </c>
      <c r="E43057" s="2">
        <v>8.6021135392965999E-6</v>
      </c>
      <c r="F43057" s="2">
        <v>1.8946895995158999E-5</v>
      </c>
    </row>
    <row r="43058" spans="1:6" x14ac:dyDescent="0.25">
      <c r="A43058" s="1" t="str">
        <f t="shared" si="1476"/>
        <v>99999</v>
      </c>
      <c r="B43058" s="1" t="str">
        <f>"62471"</f>
        <v>62471</v>
      </c>
      <c r="C43058" s="2">
        <v>4.6368139426169601E-4</v>
      </c>
      <c r="D43058" s="2">
        <v>8.7933399484144104E-4</v>
      </c>
      <c r="E43058" s="2">
        <v>7.1397542376161797E-4</v>
      </c>
      <c r="F43058" s="2">
        <v>4.9666524762310201E-4</v>
      </c>
    </row>
    <row r="43059" spans="1:6" x14ac:dyDescent="0.25">
      <c r="A43059" s="1" t="str">
        <f t="shared" si="1476"/>
        <v>99999</v>
      </c>
      <c r="B43059" s="1" t="str">
        <f>"62550"</f>
        <v>62550</v>
      </c>
      <c r="C43059" s="2">
        <v>1.18545675161465E-4</v>
      </c>
      <c r="D43059" s="2">
        <v>1.44548053946538E-4</v>
      </c>
      <c r="E43059" s="2">
        <v>1.07526419241207E-4</v>
      </c>
      <c r="F43059" s="2">
        <v>1.1999700796934E-4</v>
      </c>
    </row>
    <row r="43060" spans="1:6" x14ac:dyDescent="0.25">
      <c r="A43060" s="1" t="str">
        <f t="shared" si="1476"/>
        <v>99999</v>
      </c>
      <c r="B43060" s="1" t="str">
        <f>"62427"</f>
        <v>62427</v>
      </c>
      <c r="C43060" s="2">
        <v>8.5417842650590295E-5</v>
      </c>
      <c r="D43060" s="2">
        <v>2.4091342324423E-5</v>
      </c>
      <c r="E43060" s="2">
        <v>2.15052838482415E-5</v>
      </c>
      <c r="F43060" s="2">
        <v>7.9932217479577295E-5</v>
      </c>
    </row>
    <row r="43061" spans="1:6" x14ac:dyDescent="0.25">
      <c r="A43061" s="1" t="str">
        <f t="shared" si="1476"/>
        <v>99999</v>
      </c>
      <c r="B43061" s="1" t="str">
        <f>"62452"</f>
        <v>62452</v>
      </c>
      <c r="C43061" s="2">
        <v>2.2843047907825799E-5</v>
      </c>
      <c r="D43061" s="2">
        <v>6.0228355811057601E-6</v>
      </c>
      <c r="E43061" s="2">
        <v>8.6021135392965999E-6</v>
      </c>
      <c r="F43061" s="2">
        <v>2.1413939744528701E-5</v>
      </c>
    </row>
    <row r="43062" spans="1:6" x14ac:dyDescent="0.25">
      <c r="A43062" s="1" t="str">
        <f t="shared" si="1476"/>
        <v>99999</v>
      </c>
      <c r="B43062" s="1" t="str">
        <f>"62466"</f>
        <v>62466</v>
      </c>
      <c r="C43062" s="2">
        <v>1.2785611174948901E-4</v>
      </c>
      <c r="D43062" s="2">
        <v>1.4003092726070799E-4</v>
      </c>
      <c r="E43062" s="2">
        <v>9.0322192162614306E-5</v>
      </c>
      <c r="F43062" s="2">
        <v>1.2779286621734801E-4</v>
      </c>
    </row>
    <row r="43063" spans="1:6" x14ac:dyDescent="0.25">
      <c r="A43063" s="1" t="str">
        <f t="shared" si="1476"/>
        <v>99999</v>
      </c>
      <c r="B43063" s="1" t="str">
        <f>"62434"</f>
        <v>62434</v>
      </c>
      <c r="C43063" s="2">
        <v>1.7971307832697E-5</v>
      </c>
      <c r="D43063" s="2">
        <v>1.50570889527644E-6</v>
      </c>
      <c r="E43063" s="2">
        <v>4.3010567696482999E-6</v>
      </c>
      <c r="F43063" s="2">
        <v>1.65785339957641E-5</v>
      </c>
    </row>
    <row r="43064" spans="1:6" x14ac:dyDescent="0.25">
      <c r="A43064" s="1" t="str">
        <f t="shared" si="1476"/>
        <v>99999</v>
      </c>
      <c r="B43064" s="1" t="str">
        <f>"62463"</f>
        <v>62463</v>
      </c>
      <c r="C43064" s="2">
        <v>5.9543489807128798E-5</v>
      </c>
      <c r="D43064" s="2">
        <v>4.3665557963016701E-5</v>
      </c>
      <c r="E43064" s="2">
        <v>3.8709510926834699E-5</v>
      </c>
      <c r="F43064" s="2">
        <v>5.8024868985174602E-5</v>
      </c>
    </row>
    <row r="43065" spans="1:6" x14ac:dyDescent="0.25">
      <c r="A43065" s="1" t="str">
        <f t="shared" si="1476"/>
        <v>99999</v>
      </c>
      <c r="B43065" s="1" t="str">
        <f>"62438"</f>
        <v>62438</v>
      </c>
      <c r="C43065" s="2">
        <v>1.77547860515802E-5</v>
      </c>
      <c r="D43065" s="2">
        <v>1.50570889527644E-6</v>
      </c>
      <c r="E43065" s="2">
        <v>4.3010567696482999E-6</v>
      </c>
      <c r="F43065" s="2">
        <v>1.6381170495814601E-5</v>
      </c>
    </row>
    <row r="43066" spans="1:6" x14ac:dyDescent="0.25">
      <c r="A43066" s="1" t="str">
        <f t="shared" si="1476"/>
        <v>99999</v>
      </c>
      <c r="B43066" s="1" t="str">
        <f>"62633"</f>
        <v>62633</v>
      </c>
      <c r="C43066" s="2">
        <v>3.5184789431485203E-5</v>
      </c>
      <c r="D43066" s="2">
        <v>7.5285444763821999E-6</v>
      </c>
      <c r="E43066" s="2">
        <v>0</v>
      </c>
      <c r="F43066" s="2">
        <v>3.2564977491679601E-5</v>
      </c>
    </row>
    <row r="43067" spans="1:6" x14ac:dyDescent="0.25">
      <c r="A43067" s="1" t="str">
        <f t="shared" si="1476"/>
        <v>99999</v>
      </c>
      <c r="B43067" s="1" t="str">
        <f>"61842"</f>
        <v>61842</v>
      </c>
      <c r="C43067" s="2">
        <v>1.3868220080533099E-4</v>
      </c>
      <c r="D43067" s="2">
        <v>2.3037346097729499E-4</v>
      </c>
      <c r="E43067" s="2">
        <v>2.1935389525206301E-4</v>
      </c>
      <c r="F43067" s="2">
        <v>1.46542398712558E-4</v>
      </c>
    </row>
    <row r="43068" spans="1:6" x14ac:dyDescent="0.25">
      <c r="A43068" s="1" t="str">
        <f t="shared" si="1476"/>
        <v>99999</v>
      </c>
      <c r="B43068" s="1" t="str">
        <f>"63660"</f>
        <v>63660</v>
      </c>
      <c r="C43068" s="2">
        <v>1.6953655461447899E-4</v>
      </c>
      <c r="D43068" s="2">
        <v>7.5285444763821999E-5</v>
      </c>
      <c r="E43068" s="2">
        <v>2.15052838482415E-5</v>
      </c>
      <c r="F43068" s="2">
        <v>1.5996311670912899E-4</v>
      </c>
    </row>
    <row r="43069" spans="1:6" x14ac:dyDescent="0.25">
      <c r="A43069" s="1" t="str">
        <f t="shared" si="1476"/>
        <v>99999</v>
      </c>
      <c r="B43069" s="1" t="str">
        <f>"63664"</f>
        <v>63664</v>
      </c>
      <c r="C43069" s="2">
        <v>4.68769656117942E-4</v>
      </c>
      <c r="D43069" s="2">
        <v>6.2336348264444604E-4</v>
      </c>
      <c r="E43069" s="2">
        <v>3.6558982542010497E-4</v>
      </c>
      <c r="F43069" s="2">
        <v>4.7653417062824501E-4</v>
      </c>
    </row>
    <row r="43070" spans="1:6" x14ac:dyDescent="0.25">
      <c r="A43070" s="1" t="str">
        <f t="shared" si="1476"/>
        <v>99999</v>
      </c>
      <c r="B43070" s="1" t="str">
        <f>"63636"</f>
        <v>63636</v>
      </c>
      <c r="C43070" s="2">
        <v>4.7201748283469398E-5</v>
      </c>
      <c r="D43070" s="2">
        <v>9.0342533716586405E-6</v>
      </c>
      <c r="E43070" s="2">
        <v>3.44084541571864E-5</v>
      </c>
      <c r="F43070" s="2">
        <v>4.4406787488653999E-5</v>
      </c>
    </row>
    <row r="43071" spans="1:6" x14ac:dyDescent="0.25">
      <c r="A43071" s="1" t="str">
        <f t="shared" si="1476"/>
        <v>99999</v>
      </c>
      <c r="B43071" s="1" t="str">
        <f>"65329"</f>
        <v>65329</v>
      </c>
      <c r="C43071" s="2">
        <v>2.6740439967928698E-5</v>
      </c>
      <c r="D43071" s="2">
        <v>6.0228355811057601E-6</v>
      </c>
      <c r="E43071" s="2">
        <v>4.3010567696482999E-6</v>
      </c>
      <c r="F43071" s="2">
        <v>2.4867800993646201E-5</v>
      </c>
    </row>
    <row r="43072" spans="1:6" x14ac:dyDescent="0.25">
      <c r="A43072" s="1" t="str">
        <f t="shared" si="1476"/>
        <v>99999</v>
      </c>
      <c r="B43072" s="1" t="str">
        <f>"63656"</f>
        <v>63656</v>
      </c>
      <c r="C43072" s="2">
        <v>3.2153484495849597E-5</v>
      </c>
      <c r="D43072" s="2">
        <v>3.01141779055288E-6</v>
      </c>
      <c r="E43072" s="2">
        <v>8.6021135392965999E-6</v>
      </c>
      <c r="F43072" s="2">
        <v>2.9703206742410799E-5</v>
      </c>
    </row>
    <row r="43073" spans="1:6" x14ac:dyDescent="0.25">
      <c r="A43073" s="1" t="str">
        <f t="shared" si="1476"/>
        <v>99999</v>
      </c>
      <c r="B43073" s="1" t="str">
        <f>"65354"</f>
        <v>65354</v>
      </c>
      <c r="C43073" s="2">
        <v>2.94469622318891E-5</v>
      </c>
      <c r="D43073" s="2">
        <v>2.1079924533870101E-5</v>
      </c>
      <c r="E43073" s="2">
        <v>1.29031703089449E-5</v>
      </c>
      <c r="F43073" s="2">
        <v>2.8519025742713299E-5</v>
      </c>
    </row>
    <row r="43074" spans="1:6" x14ac:dyDescent="0.25">
      <c r="A43074" s="1" t="str">
        <f t="shared" si="1476"/>
        <v>99999</v>
      </c>
      <c r="B43074" s="1" t="str">
        <f>"65064"</f>
        <v>65064</v>
      </c>
      <c r="C43074" s="2">
        <v>3.0204788465798102E-5</v>
      </c>
      <c r="D43074" s="2">
        <v>7.5285444763821999E-6</v>
      </c>
      <c r="E43074" s="2">
        <v>4.3010567696482999E-6</v>
      </c>
      <c r="F43074" s="2">
        <v>2.8124298742814199E-5</v>
      </c>
    </row>
    <row r="43075" spans="1:6" x14ac:dyDescent="0.25">
      <c r="A43075" s="1" t="str">
        <f t="shared" si="1476"/>
        <v>99999</v>
      </c>
      <c r="B43075" s="1" t="str">
        <f>"65265"</f>
        <v>65265</v>
      </c>
      <c r="C43075" s="2">
        <v>6.1708707618297202E-6</v>
      </c>
      <c r="D43075" s="2">
        <v>1.50570889527644E-6</v>
      </c>
      <c r="E43075" s="2">
        <v>0</v>
      </c>
      <c r="F43075" s="2">
        <v>5.7235414985376303E-6</v>
      </c>
    </row>
    <row r="43076" spans="1:6" x14ac:dyDescent="0.25">
      <c r="A43076" s="1" t="str">
        <f t="shared" si="1476"/>
        <v>99999</v>
      </c>
      <c r="B43076" s="1" t="str">
        <f>"65281"</f>
        <v>65281</v>
      </c>
      <c r="C43076" s="2">
        <v>1.6304090118097401E-4</v>
      </c>
      <c r="D43076" s="2">
        <v>2.9361323457890499E-4</v>
      </c>
      <c r="E43076" s="2">
        <v>1.5483804370733801E-4</v>
      </c>
      <c r="F43076" s="2">
        <v>1.7141019970620401E-4</v>
      </c>
    </row>
    <row r="43077" spans="1:6" x14ac:dyDescent="0.25">
      <c r="A43077" s="1" t="str">
        <f t="shared" si="1476"/>
        <v>99999</v>
      </c>
      <c r="B43077" s="1" t="str">
        <f>"65459"</f>
        <v>65459</v>
      </c>
      <c r="C43077" s="2">
        <v>8.1520450590487304E-5</v>
      </c>
      <c r="D43077" s="2">
        <v>9.0342533716586405E-6</v>
      </c>
      <c r="E43077" s="2">
        <v>0</v>
      </c>
      <c r="F43077" s="2">
        <v>7.48994482308631E-5</v>
      </c>
    </row>
    <row r="43078" spans="1:6" x14ac:dyDescent="0.25">
      <c r="A43078" s="1" t="str">
        <f t="shared" ref="A43078:A43141" si="1477">"99999"</f>
        <v>99999</v>
      </c>
      <c r="B43078" s="1" t="str">
        <f>"65470"</f>
        <v>65470</v>
      </c>
      <c r="C43078" s="2">
        <v>6.8204361051802096E-6</v>
      </c>
      <c r="D43078" s="2">
        <v>4.5171266858293203E-6</v>
      </c>
      <c r="E43078" s="2">
        <v>0</v>
      </c>
      <c r="F43078" s="2">
        <v>6.5129954983359203E-6</v>
      </c>
    </row>
    <row r="43079" spans="1:6" x14ac:dyDescent="0.25">
      <c r="A43079" s="1" t="str">
        <f t="shared" si="1477"/>
        <v>99999</v>
      </c>
      <c r="B43079" s="1" t="str">
        <f>"64862"</f>
        <v>64862</v>
      </c>
      <c r="C43079" s="2">
        <v>1.0393045493607899E-5</v>
      </c>
      <c r="D43079" s="2">
        <v>6.0228355811057601E-6</v>
      </c>
      <c r="E43079" s="2">
        <v>0</v>
      </c>
      <c r="F43079" s="2">
        <v>9.8681749974786808E-6</v>
      </c>
    </row>
    <row r="43080" spans="1:6" x14ac:dyDescent="0.25">
      <c r="A43080" s="1" t="str">
        <f t="shared" si="1477"/>
        <v>99999</v>
      </c>
      <c r="B43080" s="1" t="str">
        <f>"64784"</f>
        <v>64784</v>
      </c>
      <c r="C43080" s="2">
        <v>8.34691466205388E-5</v>
      </c>
      <c r="D43080" s="2">
        <v>6.9262609182716196E-5</v>
      </c>
      <c r="E43080" s="2">
        <v>1.72042270785932E-5</v>
      </c>
      <c r="F43080" s="2">
        <v>8.1017716729299907E-5</v>
      </c>
    </row>
    <row r="43081" spans="1:6" x14ac:dyDescent="0.25">
      <c r="A43081" s="1" t="str">
        <f t="shared" si="1477"/>
        <v>99999</v>
      </c>
      <c r="B43081" s="1" t="str">
        <f>"65580"</f>
        <v>65580</v>
      </c>
      <c r="C43081" s="2">
        <v>4.89339225324041E-5</v>
      </c>
      <c r="D43081" s="2">
        <v>1.20456711622115E-5</v>
      </c>
      <c r="E43081" s="2">
        <v>4.3010567696482999E-6</v>
      </c>
      <c r="F43081" s="2">
        <v>4.5492286738376699E-5</v>
      </c>
    </row>
    <row r="43082" spans="1:6" x14ac:dyDescent="0.25">
      <c r="A43082" s="1" t="str">
        <f t="shared" si="1477"/>
        <v>99999</v>
      </c>
      <c r="B43082" s="1" t="str">
        <f>"64402"</f>
        <v>64402</v>
      </c>
      <c r="C43082" s="2">
        <v>1.3662524388472101E-4</v>
      </c>
      <c r="D43082" s="2">
        <v>2.3940771434895401E-4</v>
      </c>
      <c r="E43082" s="2">
        <v>1.11827476010855E-4</v>
      </c>
      <c r="F43082" s="2">
        <v>1.42792492213516E-4</v>
      </c>
    </row>
    <row r="43083" spans="1:6" x14ac:dyDescent="0.25">
      <c r="A43083" s="1" t="str">
        <f t="shared" si="1477"/>
        <v>99999</v>
      </c>
      <c r="B43083" s="1" t="str">
        <f>"64624"</f>
        <v>64624</v>
      </c>
      <c r="C43083" s="2">
        <v>1.14756543991921E-5</v>
      </c>
      <c r="D43083" s="2">
        <v>3.01141779055288E-6</v>
      </c>
      <c r="E43083" s="2">
        <v>0</v>
      </c>
      <c r="F43083" s="2">
        <v>1.06576289972769E-5</v>
      </c>
    </row>
    <row r="43084" spans="1:6" x14ac:dyDescent="0.25">
      <c r="A43084" s="1" t="str">
        <f t="shared" si="1477"/>
        <v>99999</v>
      </c>
      <c r="B43084" s="1" t="str">
        <f>"64633"</f>
        <v>64633</v>
      </c>
      <c r="C43084" s="2">
        <v>3.6505572296297901E-4</v>
      </c>
      <c r="D43084" s="2">
        <v>6.1282352037751102E-4</v>
      </c>
      <c r="E43084" s="2">
        <v>3.8279405249869798E-4</v>
      </c>
      <c r="F43084" s="2">
        <v>3.8170100890247503E-4</v>
      </c>
    </row>
    <row r="43085" spans="1:6" x14ac:dyDescent="0.25">
      <c r="A43085" s="1" t="str">
        <f t="shared" si="1477"/>
        <v>99999</v>
      </c>
      <c r="B43085" s="1" t="str">
        <f>"64659"</f>
        <v>64659</v>
      </c>
      <c r="C43085" s="2">
        <v>4.6010878487326803E-5</v>
      </c>
      <c r="D43085" s="2">
        <v>3.31255956960816E-5</v>
      </c>
      <c r="E43085" s="2">
        <v>8.6021135392965999E-6</v>
      </c>
      <c r="F43085" s="2">
        <v>4.4308105738679202E-5</v>
      </c>
    </row>
    <row r="43086" spans="1:6" x14ac:dyDescent="0.25">
      <c r="A43086" s="1" t="str">
        <f t="shared" si="1477"/>
        <v>99999</v>
      </c>
      <c r="B43086" s="1" t="str">
        <f>"64667"</f>
        <v>64667</v>
      </c>
      <c r="C43086" s="2">
        <v>2.0136525643865401E-5</v>
      </c>
      <c r="D43086" s="2">
        <v>4.5171266858293203E-6</v>
      </c>
      <c r="E43086" s="2">
        <v>2.15052838482415E-5</v>
      </c>
      <c r="F43086" s="2">
        <v>1.91442594951086E-5</v>
      </c>
    </row>
    <row r="43087" spans="1:6" x14ac:dyDescent="0.25">
      <c r="A43087" s="1" t="str">
        <f t="shared" si="1477"/>
        <v>99999</v>
      </c>
      <c r="B43087" s="1" t="str">
        <f>"64679"</f>
        <v>64679</v>
      </c>
      <c r="C43087" s="2">
        <v>4.5686095815651599E-5</v>
      </c>
      <c r="D43087" s="2">
        <v>4.5171266858293203E-6</v>
      </c>
      <c r="E43087" s="2">
        <v>1.29031703089449E-5</v>
      </c>
      <c r="F43087" s="2">
        <v>4.2235788989208702E-5</v>
      </c>
    </row>
    <row r="43088" spans="1:6" x14ac:dyDescent="0.25">
      <c r="A43088" s="1" t="str">
        <f t="shared" si="1477"/>
        <v>99999</v>
      </c>
      <c r="B43088" s="1" t="str">
        <f>"64491"</f>
        <v>64491</v>
      </c>
      <c r="C43088" s="2">
        <v>1.32727851824618E-4</v>
      </c>
      <c r="D43088" s="2">
        <v>2.18327789815083E-4</v>
      </c>
      <c r="E43088" s="2">
        <v>1.37633816628745E-4</v>
      </c>
      <c r="F43088" s="2">
        <v>1.3845049521462501E-4</v>
      </c>
    </row>
    <row r="43089" spans="1:6" x14ac:dyDescent="0.25">
      <c r="A43089" s="1" t="str">
        <f t="shared" si="1477"/>
        <v>99999</v>
      </c>
      <c r="B43089" s="1" t="str">
        <f>"64683"</f>
        <v>64683</v>
      </c>
      <c r="C43089" s="2">
        <v>4.8381791990556101E-4</v>
      </c>
      <c r="D43089" s="2">
        <v>7.2274026973269097E-4</v>
      </c>
      <c r="E43089" s="2">
        <v>5.4623420974533399E-4</v>
      </c>
      <c r="F43089" s="2">
        <v>5.00908562872017E-4</v>
      </c>
    </row>
    <row r="43090" spans="1:6" x14ac:dyDescent="0.25">
      <c r="A43090" s="1" t="str">
        <f t="shared" si="1477"/>
        <v>99999</v>
      </c>
      <c r="B43090" s="1" t="str">
        <f>"64668"</f>
        <v>64668</v>
      </c>
      <c r="C43090" s="2">
        <v>6.8529143723477395E-5</v>
      </c>
      <c r="D43090" s="2">
        <v>8.5825407030757094E-5</v>
      </c>
      <c r="E43090" s="2">
        <v>2.15052838482415E-5</v>
      </c>
      <c r="F43090" s="2">
        <v>6.8583816232476794E-5</v>
      </c>
    </row>
    <row r="43091" spans="1:6" x14ac:dyDescent="0.25">
      <c r="A43091" s="1" t="str">
        <f t="shared" si="1477"/>
        <v>99999</v>
      </c>
      <c r="B43091" s="1" t="str">
        <f>"64738"</f>
        <v>64738</v>
      </c>
      <c r="C43091" s="2">
        <v>6.4090447210582305E-5</v>
      </c>
      <c r="D43091" s="2">
        <v>2.8608469010252301E-5</v>
      </c>
      <c r="E43091" s="2">
        <v>4.3010567696482999E-6</v>
      </c>
      <c r="F43091" s="2">
        <v>6.03932309845695E-5</v>
      </c>
    </row>
    <row r="43092" spans="1:6" x14ac:dyDescent="0.25">
      <c r="A43092" s="1" t="str">
        <f t="shared" si="1477"/>
        <v>99999</v>
      </c>
      <c r="B43092" s="1" t="str">
        <f>"64481"</f>
        <v>64481</v>
      </c>
      <c r="C43092" s="2">
        <v>6.4090447210582305E-5</v>
      </c>
      <c r="D43092" s="2">
        <v>1.0539962266935E-5</v>
      </c>
      <c r="E43092" s="2">
        <v>1.29031703089449E-5</v>
      </c>
      <c r="F43092" s="2">
        <v>5.9406413484821598E-5</v>
      </c>
    </row>
    <row r="43093" spans="1:6" x14ac:dyDescent="0.25">
      <c r="A43093" s="1" t="str">
        <f t="shared" si="1477"/>
        <v>99999</v>
      </c>
      <c r="B43093" s="1" t="str">
        <f>"64489"</f>
        <v>64489</v>
      </c>
      <c r="C43093" s="2">
        <v>9.4186974785822003E-5</v>
      </c>
      <c r="D43093" s="2">
        <v>1.50570889527644E-4</v>
      </c>
      <c r="E43093" s="2">
        <v>4.7311624466131299E-5</v>
      </c>
      <c r="F43093" s="2">
        <v>9.6806796725265793E-5</v>
      </c>
    </row>
    <row r="43094" spans="1:6" x14ac:dyDescent="0.25">
      <c r="A43094" s="1" t="str">
        <f t="shared" si="1477"/>
        <v>99999</v>
      </c>
      <c r="B43094" s="1" t="str">
        <f>"64442"</f>
        <v>64442</v>
      </c>
      <c r="C43094" s="2">
        <v>3.8973920601029803E-5</v>
      </c>
      <c r="D43094" s="2">
        <v>3.01141779055288E-5</v>
      </c>
      <c r="E43094" s="2">
        <v>1.72042270785932E-5</v>
      </c>
      <c r="F43094" s="2">
        <v>3.7893791990318099E-5</v>
      </c>
    </row>
    <row r="43095" spans="1:6" x14ac:dyDescent="0.25">
      <c r="A43095" s="1" t="str">
        <f t="shared" si="1477"/>
        <v>99999</v>
      </c>
      <c r="B43095" s="1" t="str">
        <f>"64681"</f>
        <v>64681</v>
      </c>
      <c r="C43095" s="2">
        <v>1.71052207082297E-5</v>
      </c>
      <c r="D43095" s="2">
        <v>4.5171266858293203E-6</v>
      </c>
      <c r="E43095" s="2">
        <v>2.15052838482415E-5</v>
      </c>
      <c r="F43095" s="2">
        <v>1.6381170495814601E-5</v>
      </c>
    </row>
    <row r="43096" spans="1:6" x14ac:dyDescent="0.25">
      <c r="A43096" s="1" t="str">
        <f t="shared" si="1477"/>
        <v>99999</v>
      </c>
      <c r="B43096" s="1" t="str">
        <f>"64728"</f>
        <v>64728</v>
      </c>
      <c r="C43096" s="2">
        <v>3.0746092918590099E-5</v>
      </c>
      <c r="D43096" s="2">
        <v>1.50570889527644E-5</v>
      </c>
      <c r="E43096" s="2">
        <v>8.6021135392965999E-6</v>
      </c>
      <c r="F43096" s="2">
        <v>2.92097979925368E-5</v>
      </c>
    </row>
    <row r="43097" spans="1:6" x14ac:dyDescent="0.25">
      <c r="A43097" s="1" t="str">
        <f t="shared" si="1477"/>
        <v>99999</v>
      </c>
      <c r="B43097" s="1" t="str">
        <f>"56760"</f>
        <v>56760</v>
      </c>
      <c r="C43097" s="2">
        <v>1.9053916738281199E-5</v>
      </c>
      <c r="D43097" s="2">
        <v>4.5171266858293203E-6</v>
      </c>
      <c r="E43097" s="2">
        <v>1.29031703089449E-5</v>
      </c>
      <c r="F43097" s="2">
        <v>1.79600784954111E-5</v>
      </c>
    </row>
    <row r="43098" spans="1:6" x14ac:dyDescent="0.25">
      <c r="A43098" s="1" t="str">
        <f t="shared" si="1477"/>
        <v>99999</v>
      </c>
      <c r="B43098" s="1" t="str">
        <f>"56660"</f>
        <v>56660</v>
      </c>
      <c r="C43098" s="2">
        <v>1.5264785568736599E-5</v>
      </c>
      <c r="D43098" s="2">
        <v>4.5171266858293203E-6</v>
      </c>
      <c r="E43098" s="2">
        <v>4.3010567696482999E-6</v>
      </c>
      <c r="F43098" s="2">
        <v>1.4308853746344E-5</v>
      </c>
    </row>
    <row r="43099" spans="1:6" x14ac:dyDescent="0.25">
      <c r="A43099" s="1" t="str">
        <f t="shared" si="1477"/>
        <v>99999</v>
      </c>
      <c r="B43099" s="1" t="str">
        <f>"56062"</f>
        <v>56062</v>
      </c>
      <c r="C43099" s="2">
        <v>1.5383872548350899E-4</v>
      </c>
      <c r="D43099" s="2">
        <v>1.8821361190955499E-4</v>
      </c>
      <c r="E43099" s="2">
        <v>2.5806340617889802E-4</v>
      </c>
      <c r="F43099" s="2">
        <v>1.5848289045950701E-4</v>
      </c>
    </row>
    <row r="43100" spans="1:6" x14ac:dyDescent="0.25">
      <c r="A43100" s="1" t="str">
        <f t="shared" si="1477"/>
        <v>99999</v>
      </c>
      <c r="B43100" s="1" t="str">
        <f>"56118"</f>
        <v>56118</v>
      </c>
      <c r="C43100" s="2">
        <v>2.32760914700594E-5</v>
      </c>
      <c r="D43100" s="2">
        <v>1.9574215638593701E-5</v>
      </c>
      <c r="E43100" s="2">
        <v>4.3010567696482999E-6</v>
      </c>
      <c r="F43100" s="2">
        <v>2.25981207442261E-5</v>
      </c>
    </row>
    <row r="43101" spans="1:6" x14ac:dyDescent="0.25">
      <c r="A43101" s="1" t="str">
        <f t="shared" si="1477"/>
        <v>99999</v>
      </c>
      <c r="B43101" s="1" t="str">
        <f>"56152"</f>
        <v>56152</v>
      </c>
      <c r="C43101" s="2">
        <v>8.0329580794344702E-5</v>
      </c>
      <c r="D43101" s="2">
        <v>6.4745482496886904E-5</v>
      </c>
      <c r="E43101" s="2">
        <v>4.7311624466131299E-5</v>
      </c>
      <c r="F43101" s="2">
        <v>7.8550672979930299E-5</v>
      </c>
    </row>
    <row r="43102" spans="1:6" x14ac:dyDescent="0.25">
      <c r="A43102" s="1" t="str">
        <f t="shared" si="1477"/>
        <v>99999</v>
      </c>
      <c r="B43102" s="1" t="str">
        <f>"56235"</f>
        <v>56235</v>
      </c>
      <c r="C43102" s="2">
        <v>2.1327395440007902E-5</v>
      </c>
      <c r="D43102" s="2">
        <v>1.50570889527644E-6</v>
      </c>
      <c r="E43102" s="2">
        <v>0</v>
      </c>
      <c r="F43102" s="2">
        <v>1.95389864950077E-5</v>
      </c>
    </row>
    <row r="43103" spans="1:6" x14ac:dyDescent="0.25">
      <c r="A43103" s="1" t="str">
        <f t="shared" si="1477"/>
        <v>99999</v>
      </c>
      <c r="B43103" s="1" t="str">
        <f>"56256"</f>
        <v>56256</v>
      </c>
      <c r="C43103" s="2">
        <v>1.49724811642289E-4</v>
      </c>
      <c r="D43103" s="2">
        <v>2.74039018940312E-4</v>
      </c>
      <c r="E43103" s="2">
        <v>2.23654952021711E-4</v>
      </c>
      <c r="F43103" s="2">
        <v>1.5956838970922999E-4</v>
      </c>
    </row>
    <row r="43104" spans="1:6" x14ac:dyDescent="0.25">
      <c r="A43104" s="1" t="str">
        <f t="shared" si="1477"/>
        <v>99999</v>
      </c>
      <c r="B43104" s="1" t="str">
        <f>"56265"</f>
        <v>56265</v>
      </c>
      <c r="C43104" s="2">
        <v>4.3131138798472999E-4</v>
      </c>
      <c r="D43104" s="2">
        <v>7.5887728321932595E-4</v>
      </c>
      <c r="E43104" s="2">
        <v>9.2902826224403295E-4</v>
      </c>
      <c r="F43104" s="2">
        <v>4.6419895188139698E-4</v>
      </c>
    </row>
    <row r="43105" spans="1:6" x14ac:dyDescent="0.25">
      <c r="A43105" s="1" t="str">
        <f t="shared" si="1477"/>
        <v>99999</v>
      </c>
      <c r="B43105" s="1" t="str">
        <f>"56270"</f>
        <v>56270</v>
      </c>
      <c r="C43105" s="2">
        <v>3.75665290237704E-5</v>
      </c>
      <c r="D43105" s="2">
        <v>2.25856334291466E-5</v>
      </c>
      <c r="E43105" s="2">
        <v>1.72042270785932E-5</v>
      </c>
      <c r="F43105" s="2">
        <v>3.6117520490771902E-5</v>
      </c>
    </row>
    <row r="43106" spans="1:6" x14ac:dyDescent="0.25">
      <c r="A43106" s="1" t="str">
        <f t="shared" si="1477"/>
        <v>99999</v>
      </c>
      <c r="B43106" s="1" t="str">
        <f>"56186"</f>
        <v>56186</v>
      </c>
      <c r="C43106" s="2">
        <v>1.9811742972190099E-5</v>
      </c>
      <c r="D43106" s="2">
        <v>7.5285444763821999E-6</v>
      </c>
      <c r="E43106" s="2">
        <v>8.6021135392965999E-6</v>
      </c>
      <c r="F43106" s="2">
        <v>1.8749532495209401E-5</v>
      </c>
    </row>
    <row r="43107" spans="1:6" x14ac:dyDescent="0.25">
      <c r="A43107" s="1" t="str">
        <f t="shared" si="1477"/>
        <v>99999</v>
      </c>
      <c r="B43107" s="1" t="str">
        <f>"56237"</f>
        <v>56237</v>
      </c>
      <c r="C43107" s="2">
        <v>3.0204788465798102E-5</v>
      </c>
      <c r="D43107" s="2">
        <v>2.1079924533870101E-5</v>
      </c>
      <c r="E43107" s="2">
        <v>1.29031703089449E-5</v>
      </c>
      <c r="F43107" s="2">
        <v>2.92097979925368E-5</v>
      </c>
    </row>
    <row r="43108" spans="1:6" x14ac:dyDescent="0.25">
      <c r="A43108" s="1" t="str">
        <f t="shared" si="1477"/>
        <v>99999</v>
      </c>
      <c r="B43108" s="1" t="str">
        <f>"56243"</f>
        <v>56243</v>
      </c>
      <c r="C43108" s="2">
        <v>7.9138710998202195E-5</v>
      </c>
      <c r="D43108" s="2">
        <v>2.25856334291466E-5</v>
      </c>
      <c r="E43108" s="2">
        <v>3.01073973875381E-5</v>
      </c>
      <c r="F43108" s="2">
        <v>7.4307357731014399E-5</v>
      </c>
    </row>
    <row r="43109" spans="1:6" x14ac:dyDescent="0.25">
      <c r="A43109" s="1" t="str">
        <f t="shared" si="1477"/>
        <v>99999</v>
      </c>
      <c r="B43109" s="1" t="str">
        <f>"56230"</f>
        <v>56230</v>
      </c>
      <c r="C43109" s="2">
        <v>1.8296090504372299E-5</v>
      </c>
      <c r="D43109" s="2">
        <v>1.0539962266935E-5</v>
      </c>
      <c r="E43109" s="2">
        <v>4.3010567696482999E-6</v>
      </c>
      <c r="F43109" s="2">
        <v>1.7466669745537199E-5</v>
      </c>
    </row>
    <row r="43110" spans="1:6" x14ac:dyDescent="0.25">
      <c r="A43110" s="1" t="str">
        <f t="shared" si="1477"/>
        <v>99999</v>
      </c>
      <c r="B43110" s="1" t="str">
        <f>"56257"</f>
        <v>56257</v>
      </c>
      <c r="C43110" s="2">
        <v>2.9880005794122799E-5</v>
      </c>
      <c r="D43110" s="2">
        <v>1.50570889527644E-5</v>
      </c>
      <c r="E43110" s="2">
        <v>0</v>
      </c>
      <c r="F43110" s="2">
        <v>2.8222980492788999E-5</v>
      </c>
    </row>
    <row r="43111" spans="1:6" x14ac:dyDescent="0.25">
      <c r="A43111" s="1" t="str">
        <f t="shared" si="1477"/>
        <v>99999</v>
      </c>
      <c r="B43111" s="1" t="str">
        <f>"55333"</f>
        <v>55333</v>
      </c>
      <c r="C43111" s="2">
        <v>3.45352240881347E-5</v>
      </c>
      <c r="D43111" s="2">
        <v>3.1619886800805203E-5</v>
      </c>
      <c r="E43111" s="2">
        <v>2.15052838482415E-5</v>
      </c>
      <c r="F43111" s="2">
        <v>3.4045203741301401E-5</v>
      </c>
    </row>
    <row r="43112" spans="1:6" x14ac:dyDescent="0.25">
      <c r="A43112" s="1" t="str">
        <f t="shared" si="1477"/>
        <v>99999</v>
      </c>
      <c r="B43112" s="1" t="str">
        <f>"55355"</f>
        <v>55355</v>
      </c>
      <c r="C43112" s="2">
        <v>4.8998879066739095E-4</v>
      </c>
      <c r="D43112" s="2">
        <v>6.2637490043499899E-4</v>
      </c>
      <c r="E43112" s="2">
        <v>7.2687859407056295E-4</v>
      </c>
      <c r="F43112" s="2">
        <v>5.0436242412113497E-4</v>
      </c>
    </row>
    <row r="43113" spans="1:6" x14ac:dyDescent="0.25">
      <c r="A43113" s="1" t="str">
        <f t="shared" si="1477"/>
        <v>99999</v>
      </c>
      <c r="B43113" s="1" t="str">
        <f>"57580"</f>
        <v>57580</v>
      </c>
      <c r="C43113" s="2">
        <v>2.6686309522649498E-4</v>
      </c>
      <c r="D43113" s="2">
        <v>4.9387251765067202E-4</v>
      </c>
      <c r="E43113" s="2">
        <v>5.93545834211465E-4</v>
      </c>
      <c r="F43113" s="2">
        <v>2.892362091761E-4</v>
      </c>
    </row>
    <row r="43114" spans="1:6" x14ac:dyDescent="0.25">
      <c r="A43114" s="1" t="str">
        <f t="shared" si="1477"/>
        <v>99999</v>
      </c>
      <c r="B43114" s="1" t="str">
        <f>"57633"</f>
        <v>57633</v>
      </c>
      <c r="C43114" s="2">
        <v>2.7390005311279201E-5</v>
      </c>
      <c r="D43114" s="2">
        <v>9.0342533716586405E-6</v>
      </c>
      <c r="E43114" s="2">
        <v>1.72042270785932E-5</v>
      </c>
      <c r="F43114" s="2">
        <v>2.5953300243368901E-5</v>
      </c>
    </row>
    <row r="43115" spans="1:6" x14ac:dyDescent="0.25">
      <c r="A43115" s="1" t="str">
        <f t="shared" si="1477"/>
        <v>99999</v>
      </c>
      <c r="B43115" s="1" t="str">
        <f>"57747"</f>
        <v>57747</v>
      </c>
      <c r="C43115" s="2">
        <v>3.8952268422918102E-4</v>
      </c>
      <c r="D43115" s="2">
        <v>5.48078037880624E-4</v>
      </c>
      <c r="E43115" s="2">
        <v>6.4085745867759698E-4</v>
      </c>
      <c r="F43115" s="2">
        <v>4.0568067414634802E-4</v>
      </c>
    </row>
    <row r="43116" spans="1:6" x14ac:dyDescent="0.25">
      <c r="A43116" s="1" t="str">
        <f t="shared" si="1477"/>
        <v>99999</v>
      </c>
      <c r="B43116" s="1" t="str">
        <f>"57435"</f>
        <v>57435</v>
      </c>
      <c r="C43116" s="2">
        <v>1.26665241953346E-5</v>
      </c>
      <c r="D43116" s="2">
        <v>1.50570889527644E-6</v>
      </c>
      <c r="E43116" s="2">
        <v>1.29031703089449E-5</v>
      </c>
      <c r="F43116" s="2">
        <v>1.19404917469492E-5</v>
      </c>
    </row>
    <row r="43117" spans="1:6" x14ac:dyDescent="0.25">
      <c r="A43117" s="1" t="str">
        <f t="shared" si="1477"/>
        <v>99999</v>
      </c>
      <c r="B43117" s="1" t="str">
        <f>"57442"</f>
        <v>57442</v>
      </c>
      <c r="C43117" s="2">
        <v>1.21685240987659E-4</v>
      </c>
      <c r="D43117" s="2">
        <v>1.9875357417648999E-4</v>
      </c>
      <c r="E43117" s="2">
        <v>1.8064438432522799E-4</v>
      </c>
      <c r="F43117" s="2">
        <v>1.2808891146727299E-4</v>
      </c>
    </row>
    <row r="43118" spans="1:6" x14ac:dyDescent="0.25">
      <c r="A43118" s="1" t="str">
        <f t="shared" si="1477"/>
        <v>99999</v>
      </c>
      <c r="B43118" s="1" t="str">
        <f>"57436"</f>
        <v>57436</v>
      </c>
      <c r="C43118" s="2">
        <v>2.1976960783358401E-5</v>
      </c>
      <c r="D43118" s="2">
        <v>1.35513800574879E-5</v>
      </c>
      <c r="E43118" s="2">
        <v>3.01073973875381E-5</v>
      </c>
      <c r="F43118" s="2">
        <v>2.1611303244478299E-5</v>
      </c>
    </row>
    <row r="43119" spans="1:6" x14ac:dyDescent="0.25">
      <c r="A43119" s="1" t="str">
        <f t="shared" si="1477"/>
        <v>99999</v>
      </c>
      <c r="B43119" s="1" t="str">
        <f>"58072"</f>
        <v>58072</v>
      </c>
      <c r="C43119" s="2">
        <v>5.1965227468039703E-4</v>
      </c>
      <c r="D43119" s="2">
        <v>7.8447433443902504E-4</v>
      </c>
      <c r="E43119" s="2">
        <v>1.1440811007264399E-3</v>
      </c>
      <c r="F43119" s="2">
        <v>5.5133493710913303E-4</v>
      </c>
    </row>
    <row r="43120" spans="1:6" x14ac:dyDescent="0.25">
      <c r="A43120" s="1" t="str">
        <f t="shared" si="1477"/>
        <v>99999</v>
      </c>
      <c r="B43120" s="1" t="str">
        <f>"57601"</f>
        <v>57601</v>
      </c>
      <c r="C43120" s="2">
        <v>2.3027091421775101E-4</v>
      </c>
      <c r="D43120" s="2">
        <v>4.38161288525444E-4</v>
      </c>
      <c r="E43120" s="2">
        <v>4.0429933634693999E-4</v>
      </c>
      <c r="F43120" s="2">
        <v>2.4788855593666398E-4</v>
      </c>
    </row>
    <row r="43121" spans="1:6" x14ac:dyDescent="0.25">
      <c r="A43121" s="1" t="str">
        <f t="shared" si="1477"/>
        <v>99999</v>
      </c>
      <c r="B43121" s="1" t="str">
        <f>"57430"</f>
        <v>57430</v>
      </c>
      <c r="C43121" s="2">
        <v>9.1588713412420005E-5</v>
      </c>
      <c r="D43121" s="2">
        <v>4.5171266858293199E-5</v>
      </c>
      <c r="E43121" s="2">
        <v>8.1720078623317706E-5</v>
      </c>
      <c r="F43121" s="2">
        <v>8.8320166227434102E-5</v>
      </c>
    </row>
    <row r="43122" spans="1:6" x14ac:dyDescent="0.25">
      <c r="A43122" s="1" t="str">
        <f t="shared" si="1477"/>
        <v>99999</v>
      </c>
      <c r="B43122" s="1" t="str">
        <f>"57467"</f>
        <v>57467</v>
      </c>
      <c r="C43122" s="2">
        <v>1.5697829130970301E-5</v>
      </c>
      <c r="D43122" s="2">
        <v>6.0228355811057601E-6</v>
      </c>
      <c r="E43122" s="2">
        <v>1.29031703089449E-5</v>
      </c>
      <c r="F43122" s="2">
        <v>1.49996259961675E-5</v>
      </c>
    </row>
    <row r="43123" spans="1:6" x14ac:dyDescent="0.25">
      <c r="A43123" s="1" t="str">
        <f t="shared" si="1477"/>
        <v>99999</v>
      </c>
      <c r="B43123" s="1" t="str">
        <f>"58065"</f>
        <v>58065</v>
      </c>
      <c r="C43123" s="2">
        <v>1.4073915772594101E-6</v>
      </c>
      <c r="D43123" s="2">
        <v>1.50570889527644E-6</v>
      </c>
      <c r="E43123" s="2">
        <v>0</v>
      </c>
      <c r="F43123" s="2">
        <v>1.3815444996470099E-6</v>
      </c>
    </row>
    <row r="43124" spans="1:6" x14ac:dyDescent="0.25">
      <c r="A43124" s="1" t="str">
        <f t="shared" si="1477"/>
        <v>99999</v>
      </c>
      <c r="B43124" s="1" t="str">
        <f>"57641"</f>
        <v>57641</v>
      </c>
      <c r="C43124" s="2">
        <v>1.93786994099564E-5</v>
      </c>
      <c r="D43124" s="2">
        <v>3.1619886800805203E-5</v>
      </c>
      <c r="E43124" s="2">
        <v>4.3010567696482999E-5</v>
      </c>
      <c r="F43124" s="2">
        <v>2.07231674947052E-5</v>
      </c>
    </row>
    <row r="43125" spans="1:6" x14ac:dyDescent="0.25">
      <c r="A43125" s="1" t="str">
        <f t="shared" si="1477"/>
        <v>99999</v>
      </c>
      <c r="B43125" s="1" t="str">
        <f>"57438"</f>
        <v>57438</v>
      </c>
      <c r="C43125" s="2">
        <v>5.5754358637584299E-5</v>
      </c>
      <c r="D43125" s="2">
        <v>8.88368248213099E-5</v>
      </c>
      <c r="E43125" s="2">
        <v>8.6021135392965999E-5</v>
      </c>
      <c r="F43125" s="2">
        <v>5.8616959485023303E-5</v>
      </c>
    </row>
    <row r="43126" spans="1:6" x14ac:dyDescent="0.25">
      <c r="A43126" s="1" t="str">
        <f t="shared" si="1477"/>
        <v>99999</v>
      </c>
      <c r="B43126" s="1" t="str">
        <f>"57631"</f>
        <v>57631</v>
      </c>
      <c r="C43126" s="2">
        <v>1.8296090504372299E-5</v>
      </c>
      <c r="D43126" s="2">
        <v>9.0342533716586405E-6</v>
      </c>
      <c r="E43126" s="2">
        <v>2.15052838482415E-5</v>
      </c>
      <c r="F43126" s="2">
        <v>1.77627149954616E-5</v>
      </c>
    </row>
    <row r="43127" spans="1:6" x14ac:dyDescent="0.25">
      <c r="A43127" s="1" t="str">
        <f t="shared" si="1477"/>
        <v>99999</v>
      </c>
      <c r="B43127" s="1" t="str">
        <f>"58027"</f>
        <v>58027</v>
      </c>
      <c r="C43127" s="2">
        <v>7.0694361534645697E-5</v>
      </c>
      <c r="D43127" s="2">
        <v>1.3250238278432599E-4</v>
      </c>
      <c r="E43127" s="2">
        <v>1.5913910047698701E-4</v>
      </c>
      <c r="F43127" s="2">
        <v>7.6774401480384101E-5</v>
      </c>
    </row>
    <row r="43128" spans="1:6" x14ac:dyDescent="0.25">
      <c r="A43128" s="1" t="str">
        <f t="shared" si="1477"/>
        <v>99999</v>
      </c>
      <c r="B43128" s="1" t="str">
        <f>"58062"</f>
        <v>58062</v>
      </c>
      <c r="C43128" s="2">
        <v>1.06095672747247E-5</v>
      </c>
      <c r="D43128" s="2">
        <v>1.50570889527644E-6</v>
      </c>
      <c r="E43128" s="2">
        <v>4.3010567696482999E-6</v>
      </c>
      <c r="F43128" s="2">
        <v>9.8681749974786808E-6</v>
      </c>
    </row>
    <row r="43129" spans="1:6" x14ac:dyDescent="0.25">
      <c r="A43129" s="1" t="str">
        <f t="shared" si="1477"/>
        <v>99999</v>
      </c>
      <c r="B43129" s="1" t="str">
        <f>"59870"</f>
        <v>59870</v>
      </c>
      <c r="C43129" s="2">
        <v>5.5483706411188201E-4</v>
      </c>
      <c r="D43129" s="2">
        <v>4.9236680875539604E-4</v>
      </c>
      <c r="E43129" s="2">
        <v>6.7096485606513503E-4</v>
      </c>
      <c r="F43129" s="2">
        <v>5.5340725385860396E-4</v>
      </c>
    </row>
    <row r="43130" spans="1:6" x14ac:dyDescent="0.25">
      <c r="A43130" s="1" t="str">
        <f t="shared" si="1477"/>
        <v>99999</v>
      </c>
      <c r="B43130" s="1" t="str">
        <f>"59829"</f>
        <v>59829</v>
      </c>
      <c r="C43130" s="2">
        <v>1.2363393701771101E-4</v>
      </c>
      <c r="D43130" s="2">
        <v>5.4205520229951803E-5</v>
      </c>
      <c r="E43130" s="2">
        <v>1.8494544109487701E-4</v>
      </c>
      <c r="F43130" s="2">
        <v>1.2049041671921401E-4</v>
      </c>
    </row>
    <row r="43131" spans="1:6" x14ac:dyDescent="0.25">
      <c r="A43131" s="1" t="str">
        <f t="shared" si="1477"/>
        <v>99999</v>
      </c>
      <c r="B43131" s="1" t="str">
        <f>"59914"</f>
        <v>59914</v>
      </c>
      <c r="C43131" s="2">
        <v>4.6552182940118902E-6</v>
      </c>
      <c r="D43131" s="2">
        <v>0</v>
      </c>
      <c r="E43131" s="2">
        <v>4.3010567696482999E-6</v>
      </c>
      <c r="F43131" s="2">
        <v>4.3419969988906098E-6</v>
      </c>
    </row>
    <row r="43132" spans="1:6" x14ac:dyDescent="0.25">
      <c r="A43132" s="1" t="str">
        <f t="shared" si="1477"/>
        <v>99999</v>
      </c>
      <c r="B43132" s="1" t="str">
        <f>"58748"</f>
        <v>58748</v>
      </c>
      <c r="C43132" s="2">
        <v>8.3360885729980396E-6</v>
      </c>
      <c r="D43132" s="2">
        <v>1.50570889527644E-6</v>
      </c>
      <c r="E43132" s="2">
        <v>4.3010567696482999E-6</v>
      </c>
      <c r="F43132" s="2">
        <v>7.7958582480081497E-6</v>
      </c>
    </row>
    <row r="43133" spans="1:6" x14ac:dyDescent="0.25">
      <c r="A43133" s="1" t="str">
        <f t="shared" si="1477"/>
        <v>99999</v>
      </c>
      <c r="B43133" s="1" t="str">
        <f>"58847"</f>
        <v>58847</v>
      </c>
      <c r="C43133" s="2">
        <v>1.3857393991477199E-5</v>
      </c>
      <c r="D43133" s="2">
        <v>2.1079924533870101E-5</v>
      </c>
      <c r="E43133" s="2">
        <v>4.3010567696482999E-6</v>
      </c>
      <c r="F43133" s="2">
        <v>1.41114902463945E-5</v>
      </c>
    </row>
    <row r="43134" spans="1:6" x14ac:dyDescent="0.25">
      <c r="A43134" s="1" t="str">
        <f t="shared" si="1477"/>
        <v>99999</v>
      </c>
      <c r="B43134" s="1" t="str">
        <f>"58623"</f>
        <v>58623</v>
      </c>
      <c r="C43134" s="2">
        <v>1.2038611030095801E-4</v>
      </c>
      <c r="D43134" s="2">
        <v>9.0342533716586399E-5</v>
      </c>
      <c r="E43134" s="2">
        <v>2.0645072494311799E-4</v>
      </c>
      <c r="F43134" s="2">
        <v>1.20391734969239E-4</v>
      </c>
    </row>
    <row r="43135" spans="1:6" x14ac:dyDescent="0.25">
      <c r="A43135" s="1" t="str">
        <f t="shared" si="1477"/>
        <v>99999</v>
      </c>
      <c r="B43135" s="1" t="str">
        <f>"59034"</f>
        <v>59034</v>
      </c>
      <c r="C43135" s="2">
        <v>2.25399174142622E-4</v>
      </c>
      <c r="D43135" s="2">
        <v>3.4480733701830398E-4</v>
      </c>
      <c r="E43135" s="2">
        <v>4.6451413112201599E-4</v>
      </c>
      <c r="F43135" s="2">
        <v>2.3871115318900899E-4</v>
      </c>
    </row>
    <row r="43136" spans="1:6" x14ac:dyDescent="0.25">
      <c r="A43136" s="1" t="str">
        <f t="shared" si="1477"/>
        <v>99999</v>
      </c>
      <c r="B43136" s="1" t="str">
        <f>"59330"</f>
        <v>59330</v>
      </c>
      <c r="C43136" s="2">
        <v>4.7418270064586199E-4</v>
      </c>
      <c r="D43136" s="2">
        <v>6.8810896514133295E-4</v>
      </c>
      <c r="E43136" s="2">
        <v>8.9031875131719799E-4</v>
      </c>
      <c r="F43136" s="2">
        <v>4.9775074687282404E-4</v>
      </c>
    </row>
    <row r="43137" spans="1:6" x14ac:dyDescent="0.25">
      <c r="A43137" s="1" t="str">
        <f t="shared" si="1477"/>
        <v>99999</v>
      </c>
      <c r="B43137" s="1" t="str">
        <f>"59474"</f>
        <v>59474</v>
      </c>
      <c r="C43137" s="2">
        <v>1.8620873176047501E-4</v>
      </c>
      <c r="D43137" s="2">
        <v>3.7040438823800399E-4</v>
      </c>
      <c r="E43137" s="2">
        <v>3.7849299572905002E-4</v>
      </c>
      <c r="F43137" s="2">
        <v>2.0269231444821199E-4</v>
      </c>
    </row>
    <row r="43138" spans="1:6" x14ac:dyDescent="0.25">
      <c r="A43138" s="1" t="str">
        <f t="shared" si="1477"/>
        <v>99999</v>
      </c>
      <c r="B43138" s="1" t="str">
        <f>"59322"</f>
        <v>59322</v>
      </c>
      <c r="C43138" s="2">
        <v>4.5469574034534697E-6</v>
      </c>
      <c r="D43138" s="2">
        <v>0</v>
      </c>
      <c r="E43138" s="2">
        <v>4.3010567696482999E-6</v>
      </c>
      <c r="F43138" s="2">
        <v>4.2433152489158297E-6</v>
      </c>
    </row>
    <row r="43139" spans="1:6" x14ac:dyDescent="0.25">
      <c r="A43139" s="1" t="str">
        <f t="shared" si="1477"/>
        <v>99999</v>
      </c>
      <c r="B43139" s="1" t="str">
        <f>"59645"</f>
        <v>59645</v>
      </c>
      <c r="C43139" s="2">
        <v>1.0631219452836401E-4</v>
      </c>
      <c r="D43139" s="2">
        <v>1.35513800574879E-5</v>
      </c>
      <c r="E43139" s="2">
        <v>6.0214794775076199E-5</v>
      </c>
      <c r="F43139" s="2">
        <v>9.9175158724660705E-5</v>
      </c>
    </row>
    <row r="43140" spans="1:6" x14ac:dyDescent="0.25">
      <c r="A43140" s="1" t="str">
        <f t="shared" si="1477"/>
        <v>99999</v>
      </c>
      <c r="B43140" s="1" t="str">
        <f>"59729"</f>
        <v>59729</v>
      </c>
      <c r="C43140" s="2">
        <v>1.52431333906249E-4</v>
      </c>
      <c r="D43140" s="2">
        <v>1.4304234505126099E-4</v>
      </c>
      <c r="E43140" s="2">
        <v>2.1935389525206301E-4</v>
      </c>
      <c r="F43140" s="2">
        <v>1.53351439460818E-4</v>
      </c>
    </row>
    <row r="43141" spans="1:6" x14ac:dyDescent="0.25">
      <c r="A43141" s="1" t="str">
        <f t="shared" si="1477"/>
        <v>99999</v>
      </c>
      <c r="B43141" s="1" t="str">
        <f>"59754"</f>
        <v>59754</v>
      </c>
      <c r="C43141" s="2">
        <v>5.3156097264182301E-5</v>
      </c>
      <c r="D43141" s="2">
        <v>9.0342533716586405E-6</v>
      </c>
      <c r="E43141" s="2">
        <v>1.72042270785932E-5</v>
      </c>
      <c r="F43141" s="2">
        <v>4.94395567373681E-5</v>
      </c>
    </row>
    <row r="43142" spans="1:6" x14ac:dyDescent="0.25">
      <c r="A43142" s="1" t="str">
        <f t="shared" ref="A43142:A43205" si="1478">"99999"</f>
        <v>99999</v>
      </c>
      <c r="B43142" s="1" t="str">
        <f>"59257"</f>
        <v>59257</v>
      </c>
      <c r="C43142" s="2">
        <v>5.4130445279208001E-6</v>
      </c>
      <c r="D43142" s="2">
        <v>7.5285444763821999E-6</v>
      </c>
      <c r="E43142" s="2">
        <v>3.8709510926834699E-5</v>
      </c>
      <c r="F43142" s="2">
        <v>6.3156319983863499E-6</v>
      </c>
    </row>
    <row r="43143" spans="1:6" x14ac:dyDescent="0.25">
      <c r="A43143" s="1" t="str">
        <f t="shared" si="1478"/>
        <v>99999</v>
      </c>
      <c r="B43143" s="1" t="str">
        <f>"58356"</f>
        <v>58356</v>
      </c>
      <c r="C43143" s="2">
        <v>1.0717828165283199E-4</v>
      </c>
      <c r="D43143" s="2">
        <v>2.1531637202453101E-4</v>
      </c>
      <c r="E43143" s="2">
        <v>2.1075178171276601E-4</v>
      </c>
      <c r="F43143" s="2">
        <v>1.16641828470198E-4</v>
      </c>
    </row>
    <row r="43144" spans="1:6" x14ac:dyDescent="0.25">
      <c r="A43144" s="1" t="str">
        <f t="shared" si="1478"/>
        <v>99999</v>
      </c>
      <c r="B43144" s="1" t="str">
        <f>"58413"</f>
        <v>58413</v>
      </c>
      <c r="C43144" s="2">
        <v>7.8272623873734803E-5</v>
      </c>
      <c r="D43144" s="2">
        <v>1.1142245825045601E-4</v>
      </c>
      <c r="E43144" s="2">
        <v>7.7419021853669399E-5</v>
      </c>
      <c r="F43144" s="2">
        <v>8.0425626229451206E-5</v>
      </c>
    </row>
    <row r="43145" spans="1:6" x14ac:dyDescent="0.25">
      <c r="A43145" s="1" t="str">
        <f t="shared" si="1478"/>
        <v>99999</v>
      </c>
      <c r="B43145" s="1" t="str">
        <f>"58346"</f>
        <v>58346</v>
      </c>
      <c r="C43145" s="2">
        <v>2.1002612768332701E-5</v>
      </c>
      <c r="D43145" s="2">
        <v>9.0342533716586405E-6</v>
      </c>
      <c r="E43145" s="2">
        <v>1.29031703089449E-5</v>
      </c>
      <c r="F43145" s="2">
        <v>2.0032395244881699E-5</v>
      </c>
    </row>
    <row r="43146" spans="1:6" x14ac:dyDescent="0.25">
      <c r="A43146" s="1" t="str">
        <f t="shared" si="1478"/>
        <v>99999</v>
      </c>
      <c r="B43146" s="1" t="str">
        <f>"58341"</f>
        <v>58341</v>
      </c>
      <c r="C43146" s="2">
        <v>1.6130872693203999E-4</v>
      </c>
      <c r="D43146" s="2">
        <v>2.5446480330171799E-4</v>
      </c>
      <c r="E43146" s="2">
        <v>2.9677291710573201E-4</v>
      </c>
      <c r="F43146" s="2">
        <v>1.7052206395643099E-4</v>
      </c>
    </row>
    <row r="43147" spans="1:6" x14ac:dyDescent="0.25">
      <c r="A43147" s="1" t="str">
        <f t="shared" si="1478"/>
        <v>99999</v>
      </c>
      <c r="B43147" s="1" t="str">
        <f>"58318"</f>
        <v>58318</v>
      </c>
      <c r="C43147" s="2">
        <v>2.8732440354203598E-4</v>
      </c>
      <c r="D43147" s="2">
        <v>4.5472408637348502E-4</v>
      </c>
      <c r="E43147" s="2">
        <v>5.2042786912744401E-4</v>
      </c>
      <c r="F43147" s="2">
        <v>3.0364374467241898E-4</v>
      </c>
    </row>
    <row r="43148" spans="1:6" x14ac:dyDescent="0.25">
      <c r="A43148" s="1" t="str">
        <f t="shared" si="1478"/>
        <v>99999</v>
      </c>
      <c r="B43148" s="1" t="str">
        <f>"58366"</f>
        <v>58366</v>
      </c>
      <c r="C43148" s="2">
        <v>6.1167403165505096E-5</v>
      </c>
      <c r="D43148" s="2">
        <v>1.20456711622115E-5</v>
      </c>
      <c r="E43148" s="2">
        <v>8.1720078623317706E-5</v>
      </c>
      <c r="F43148" s="2">
        <v>5.8419595985073702E-5</v>
      </c>
    </row>
    <row r="43149" spans="1:6" x14ac:dyDescent="0.25">
      <c r="A43149" s="1" t="str">
        <f t="shared" si="1478"/>
        <v>99999</v>
      </c>
      <c r="B43149" s="1" t="str">
        <f>"58488"</f>
        <v>58488</v>
      </c>
      <c r="C43149" s="2">
        <v>1.51565246781782E-5</v>
      </c>
      <c r="D43149" s="2">
        <v>1.50570889527644E-6</v>
      </c>
      <c r="E43149" s="2">
        <v>1.29031703089449E-5</v>
      </c>
      <c r="F43149" s="2">
        <v>1.42101719963693E-5</v>
      </c>
    </row>
    <row r="43150" spans="1:6" x14ac:dyDescent="0.25">
      <c r="A43150" s="1" t="str">
        <f t="shared" si="1478"/>
        <v>99999</v>
      </c>
      <c r="B43150" s="1" t="str">
        <f>"58367"</f>
        <v>58367</v>
      </c>
      <c r="C43150" s="2">
        <v>6.6905230365101097E-5</v>
      </c>
      <c r="D43150" s="2">
        <v>4.8182684648845999E-5</v>
      </c>
      <c r="E43150" s="2">
        <v>1.5913910047698701E-4</v>
      </c>
      <c r="F43150" s="2">
        <v>6.7794362232678499E-5</v>
      </c>
    </row>
    <row r="43151" spans="1:6" x14ac:dyDescent="0.25">
      <c r="A43151" s="1" t="str">
        <f t="shared" si="1478"/>
        <v>99999</v>
      </c>
      <c r="B43151" s="1" t="str">
        <f>"58460"</f>
        <v>58460</v>
      </c>
      <c r="C43151" s="2">
        <v>1.6130872693204E-5</v>
      </c>
      <c r="D43151" s="2">
        <v>1.50570889527644E-5</v>
      </c>
      <c r="E43151" s="2">
        <v>2.15052838482415E-5</v>
      </c>
      <c r="F43151" s="2">
        <v>1.6183806995865E-5</v>
      </c>
    </row>
    <row r="43152" spans="1:6" x14ac:dyDescent="0.25">
      <c r="A43152" s="1" t="str">
        <f t="shared" si="1478"/>
        <v>99999</v>
      </c>
      <c r="B43152" s="1" t="str">
        <f>"58261"</f>
        <v>58261</v>
      </c>
      <c r="C43152" s="2">
        <v>4.7959574517378298E-5</v>
      </c>
      <c r="D43152" s="2">
        <v>3.01141779055288E-5</v>
      </c>
      <c r="E43152" s="2">
        <v>4.3010567696482999E-5</v>
      </c>
      <c r="F43152" s="2">
        <v>4.6676467738074101E-5</v>
      </c>
    </row>
    <row r="43153" spans="1:6" x14ac:dyDescent="0.25">
      <c r="A43153" s="1" t="str">
        <f t="shared" si="1478"/>
        <v>99999</v>
      </c>
      <c r="B43153" s="1" t="str">
        <f>"58466"</f>
        <v>58466</v>
      </c>
      <c r="C43153" s="2">
        <v>2.6415657296253501E-5</v>
      </c>
      <c r="D43153" s="2">
        <v>9.0342533716586405E-6</v>
      </c>
      <c r="E43153" s="2">
        <v>8.1720078623317706E-5</v>
      </c>
      <c r="F43153" s="2">
        <v>2.6545390743217599E-5</v>
      </c>
    </row>
    <row r="43154" spans="1:6" x14ac:dyDescent="0.25">
      <c r="A43154" s="1" t="str">
        <f t="shared" si="1478"/>
        <v>99999</v>
      </c>
      <c r="B43154" s="1" t="str">
        <f>"58254"</f>
        <v>58254</v>
      </c>
      <c r="C43154" s="2">
        <v>4.1463921083873303E-5</v>
      </c>
      <c r="D43154" s="2">
        <v>2.1079924533870101E-5</v>
      </c>
      <c r="E43154" s="2">
        <v>3.8709510926834699E-5</v>
      </c>
      <c r="F43154" s="2">
        <v>4.0064790489763397E-5</v>
      </c>
    </row>
    <row r="43155" spans="1:6" x14ac:dyDescent="0.25">
      <c r="A43155" s="1" t="str">
        <f t="shared" si="1478"/>
        <v>99999</v>
      </c>
      <c r="B43155" s="1" t="str">
        <f>"61546"</f>
        <v>61546</v>
      </c>
      <c r="C43155" s="2">
        <v>1.24283502361061E-4</v>
      </c>
      <c r="D43155" s="2">
        <v>8.7331115926033497E-5</v>
      </c>
      <c r="E43155" s="2">
        <v>9.4623248932262599E-5</v>
      </c>
      <c r="F43155" s="2">
        <v>1.21181188969038E-4</v>
      </c>
    </row>
    <row r="43156" spans="1:6" x14ac:dyDescent="0.25">
      <c r="A43156" s="1" t="str">
        <f t="shared" si="1478"/>
        <v>99999</v>
      </c>
      <c r="B43156" s="1" t="str">
        <f>"60968"</f>
        <v>60968</v>
      </c>
      <c r="C43156" s="2">
        <v>2.1110873658891101E-5</v>
      </c>
      <c r="D43156" s="2">
        <v>4.5171266858293203E-6</v>
      </c>
      <c r="E43156" s="2">
        <v>3.8279405249869798E-4</v>
      </c>
      <c r="F43156" s="2">
        <v>2.83216622427638E-5</v>
      </c>
    </row>
    <row r="43157" spans="1:6" x14ac:dyDescent="0.25">
      <c r="A43157" s="1" t="str">
        <f t="shared" si="1478"/>
        <v>99999</v>
      </c>
      <c r="B43157" s="1" t="str">
        <f>"60919"</f>
        <v>60919</v>
      </c>
      <c r="C43157" s="2">
        <v>1.9162177628839599E-5</v>
      </c>
      <c r="D43157" s="2">
        <v>1.20456711622115E-5</v>
      </c>
      <c r="E43157" s="2">
        <v>1.2042958955015201E-4</v>
      </c>
      <c r="F43157" s="2">
        <v>2.10192127446295E-5</v>
      </c>
    </row>
    <row r="43158" spans="1:6" x14ac:dyDescent="0.25">
      <c r="A43158" s="1" t="str">
        <f t="shared" si="1478"/>
        <v>99999</v>
      </c>
      <c r="B43158" s="1" t="str">
        <f>"60942"</f>
        <v>60942</v>
      </c>
      <c r="C43158" s="2">
        <v>8.0113059013227898E-6</v>
      </c>
      <c r="D43158" s="2">
        <v>7.5285444763821999E-6</v>
      </c>
      <c r="E43158" s="2">
        <v>0</v>
      </c>
      <c r="F43158" s="2">
        <v>7.7958582480081497E-6</v>
      </c>
    </row>
    <row r="43159" spans="1:6" x14ac:dyDescent="0.25">
      <c r="A43159" s="1" t="str">
        <f t="shared" si="1478"/>
        <v>99999</v>
      </c>
      <c r="B43159" s="1" t="str">
        <f>"60912"</f>
        <v>60912</v>
      </c>
      <c r="C43159" s="2">
        <v>3.30195716203169E-5</v>
      </c>
      <c r="D43159" s="2">
        <v>7.5285444763821999E-6</v>
      </c>
      <c r="E43159" s="2">
        <v>4.6451413112201599E-4</v>
      </c>
      <c r="F43159" s="2">
        <v>4.1248971489460799E-5</v>
      </c>
    </row>
    <row r="43160" spans="1:6" x14ac:dyDescent="0.25">
      <c r="A43160" s="1" t="str">
        <f t="shared" si="1478"/>
        <v>99999</v>
      </c>
      <c r="B43160" s="1" t="str">
        <f>"60945"</f>
        <v>60945</v>
      </c>
      <c r="C43160" s="2">
        <v>9.4186974785821993E-6</v>
      </c>
      <c r="D43160" s="2">
        <v>2.1079924533870101E-5</v>
      </c>
      <c r="E43160" s="2">
        <v>0</v>
      </c>
      <c r="F43160" s="2">
        <v>9.9668567474534592E-6</v>
      </c>
    </row>
    <row r="43161" spans="1:6" x14ac:dyDescent="0.25">
      <c r="A43161" s="1" t="str">
        <f t="shared" si="1478"/>
        <v>99999</v>
      </c>
      <c r="B43161" s="1" t="str">
        <f>"52738"</f>
        <v>52738</v>
      </c>
      <c r="C43161" s="2">
        <v>1.55462638841885E-4</v>
      </c>
      <c r="D43161" s="2">
        <v>1.76167940747343E-4</v>
      </c>
      <c r="E43161" s="2">
        <v>1.3333275985909701E-4</v>
      </c>
      <c r="F43161" s="2">
        <v>1.5631189196006201E-4</v>
      </c>
    </row>
    <row r="43162" spans="1:6" x14ac:dyDescent="0.25">
      <c r="A43162" s="1" t="str">
        <f t="shared" si="1478"/>
        <v>99999</v>
      </c>
      <c r="B43162" s="1" t="str">
        <f>"52620"</f>
        <v>52620</v>
      </c>
      <c r="C43162" s="2">
        <v>5.0774357671897097E-5</v>
      </c>
      <c r="D43162" s="2">
        <v>2.55970512196994E-5</v>
      </c>
      <c r="E43162" s="2">
        <v>2.58063406178898E-5</v>
      </c>
      <c r="F43162" s="2">
        <v>4.8551420987595102E-5</v>
      </c>
    </row>
    <row r="43163" spans="1:6" x14ac:dyDescent="0.25">
      <c r="A43163" s="1" t="str">
        <f t="shared" si="1478"/>
        <v>99999</v>
      </c>
      <c r="B43163" s="1" t="str">
        <f>"52651"</f>
        <v>52651</v>
      </c>
      <c r="C43163" s="2">
        <v>3.1070875590265398E-5</v>
      </c>
      <c r="D43163" s="2">
        <v>4.5171266858293203E-6</v>
      </c>
      <c r="E43163" s="2">
        <v>8.6021135392965999E-6</v>
      </c>
      <c r="F43163" s="2">
        <v>2.88150709926377E-5</v>
      </c>
    </row>
    <row r="43164" spans="1:6" x14ac:dyDescent="0.25">
      <c r="A43164" s="1" t="str">
        <f t="shared" si="1478"/>
        <v>99999</v>
      </c>
      <c r="B43164" s="1" t="str">
        <f>"52549"</f>
        <v>52549</v>
      </c>
      <c r="C43164" s="2">
        <v>3.7674789914328797E-5</v>
      </c>
      <c r="D43164" s="2">
        <v>1.35513800574879E-5</v>
      </c>
      <c r="E43164" s="2">
        <v>4.3010567696482999E-6</v>
      </c>
      <c r="F43164" s="2">
        <v>3.53280664909736E-5</v>
      </c>
    </row>
    <row r="43165" spans="1:6" x14ac:dyDescent="0.25">
      <c r="A43165" s="1" t="str">
        <f t="shared" si="1478"/>
        <v>99999</v>
      </c>
      <c r="B43165" s="1" t="str">
        <f>"52560"</f>
        <v>52560</v>
      </c>
      <c r="C43165" s="2">
        <v>2.2085221673916801E-5</v>
      </c>
      <c r="D43165" s="2">
        <v>9.0342533716586405E-6</v>
      </c>
      <c r="E43165" s="2">
        <v>4.3010567696482999E-6</v>
      </c>
      <c r="F43165" s="2">
        <v>2.082184924468E-5</v>
      </c>
    </row>
    <row r="43166" spans="1:6" x14ac:dyDescent="0.25">
      <c r="A43166" s="1" t="str">
        <f t="shared" si="1478"/>
        <v>99999</v>
      </c>
      <c r="B43166" s="1" t="str">
        <f>"52555"</f>
        <v>52555</v>
      </c>
      <c r="C43166" s="2">
        <v>2.0028264753306899E-5</v>
      </c>
      <c r="D43166" s="2">
        <v>1.50570889527644E-6</v>
      </c>
      <c r="E43166" s="2">
        <v>1.29031703089449E-5</v>
      </c>
      <c r="F43166" s="2">
        <v>1.8650850745234699E-5</v>
      </c>
    </row>
    <row r="43167" spans="1:6" x14ac:dyDescent="0.25">
      <c r="A43167" s="1" t="str">
        <f t="shared" si="1478"/>
        <v>99999</v>
      </c>
      <c r="B43167" s="1" t="str">
        <f>"52318"</f>
        <v>52318</v>
      </c>
      <c r="C43167" s="2">
        <v>3.8973920601029803E-6</v>
      </c>
      <c r="D43167" s="2">
        <v>0</v>
      </c>
      <c r="E43167" s="2">
        <v>0</v>
      </c>
      <c r="F43167" s="2">
        <v>3.5525429990923199E-6</v>
      </c>
    </row>
    <row r="43168" spans="1:6" x14ac:dyDescent="0.25">
      <c r="A43168" s="1" t="str">
        <f t="shared" si="1478"/>
        <v>99999</v>
      </c>
      <c r="B43168" s="1" t="str">
        <f>"52142"</f>
        <v>52142</v>
      </c>
      <c r="C43168" s="2">
        <v>8.0113059013227895E-5</v>
      </c>
      <c r="D43168" s="2">
        <v>3.31255956960816E-5</v>
      </c>
      <c r="E43168" s="2">
        <v>4.7311624466131299E-5</v>
      </c>
      <c r="F43168" s="2">
        <v>7.6280992730510204E-5</v>
      </c>
    </row>
    <row r="43169" spans="1:6" x14ac:dyDescent="0.25">
      <c r="A43169" s="1" t="str">
        <f t="shared" si="1478"/>
        <v>99999</v>
      </c>
      <c r="B43169" s="1" t="str">
        <f>"52172"</f>
        <v>52172</v>
      </c>
      <c r="C43169" s="2">
        <v>3.2683962859585798E-4</v>
      </c>
      <c r="D43169" s="2">
        <v>4.7881542869790801E-4</v>
      </c>
      <c r="E43169" s="2">
        <v>4.9462152850955404E-4</v>
      </c>
      <c r="F43169" s="2">
        <v>3.4064940091296401E-4</v>
      </c>
    </row>
    <row r="43170" spans="1:6" x14ac:dyDescent="0.25">
      <c r="A43170" s="1" t="str">
        <f t="shared" si="1478"/>
        <v>99999</v>
      </c>
      <c r="B43170" s="1" t="str">
        <f>"52064"</f>
        <v>52064</v>
      </c>
      <c r="C43170" s="2">
        <v>4.46034869100674E-5</v>
      </c>
      <c r="D43170" s="2">
        <v>2.1079924533870101E-5</v>
      </c>
      <c r="E43170" s="2">
        <v>3.8709510926834699E-5</v>
      </c>
      <c r="F43170" s="2">
        <v>4.29265612390322E-5</v>
      </c>
    </row>
    <row r="43171" spans="1:6" x14ac:dyDescent="0.25">
      <c r="A43171" s="1" t="str">
        <f t="shared" si="1478"/>
        <v>99999</v>
      </c>
      <c r="B43171" s="1" t="str">
        <f>"52043"</f>
        <v>52043</v>
      </c>
      <c r="C43171" s="2">
        <v>1.21793501878218E-4</v>
      </c>
      <c r="D43171" s="2">
        <v>1.55088016213473E-4</v>
      </c>
      <c r="E43171" s="2">
        <v>1.03225362471559E-4</v>
      </c>
      <c r="F43171" s="2">
        <v>1.2354955096843299E-4</v>
      </c>
    </row>
    <row r="43172" spans="1:6" x14ac:dyDescent="0.25">
      <c r="A43172" s="1" t="str">
        <f t="shared" si="1478"/>
        <v>99999</v>
      </c>
      <c r="B43172" s="1" t="str">
        <f>"52161"</f>
        <v>52161</v>
      </c>
      <c r="C43172" s="2">
        <v>7.03695788629705E-5</v>
      </c>
      <c r="D43172" s="2">
        <v>2.8608469010252301E-5</v>
      </c>
      <c r="E43172" s="2">
        <v>3.8709510926834699E-5</v>
      </c>
      <c r="F43172" s="2">
        <v>6.69062264829054E-5</v>
      </c>
    </row>
    <row r="43173" spans="1:6" x14ac:dyDescent="0.25">
      <c r="A43173" s="1" t="str">
        <f t="shared" si="1478"/>
        <v>99999</v>
      </c>
      <c r="B43173" s="1" t="str">
        <f>"52175"</f>
        <v>52175</v>
      </c>
      <c r="C43173" s="2">
        <v>1.87832645118852E-4</v>
      </c>
      <c r="D43173" s="2">
        <v>3.1168174132222302E-4</v>
      </c>
      <c r="E43173" s="2">
        <v>3.6128876865045701E-4</v>
      </c>
      <c r="F43173" s="2">
        <v>1.99929225448918E-4</v>
      </c>
    </row>
    <row r="43174" spans="1:6" x14ac:dyDescent="0.25">
      <c r="A43174" s="1" t="str">
        <f t="shared" si="1478"/>
        <v>99999</v>
      </c>
      <c r="B43174" s="1" t="str">
        <f>"52158"</f>
        <v>52158</v>
      </c>
      <c r="C43174" s="2">
        <v>2.5657831062344601E-5</v>
      </c>
      <c r="D43174" s="2">
        <v>3.01141779055288E-6</v>
      </c>
      <c r="E43174" s="2">
        <v>1.29031703089449E-5</v>
      </c>
      <c r="F43174" s="2">
        <v>2.38809834938984E-5</v>
      </c>
    </row>
    <row r="43175" spans="1:6" x14ac:dyDescent="0.25">
      <c r="A43175" s="1" t="str">
        <f t="shared" si="1478"/>
        <v>99999</v>
      </c>
      <c r="B43175" s="1" t="str">
        <f>"54661"</f>
        <v>54661</v>
      </c>
      <c r="C43175" s="2">
        <v>1.9519438567682399E-4</v>
      </c>
      <c r="D43175" s="2">
        <v>8.2813989240204205E-5</v>
      </c>
      <c r="E43175" s="2">
        <v>1.5053698693768999E-4</v>
      </c>
      <c r="F43175" s="2">
        <v>1.8680455270227099E-4</v>
      </c>
    </row>
    <row r="43176" spans="1:6" x14ac:dyDescent="0.25">
      <c r="A43176" s="1" t="str">
        <f t="shared" si="1478"/>
        <v>99999</v>
      </c>
      <c r="B43176" s="1" t="str">
        <f>"54817"</f>
        <v>54817</v>
      </c>
      <c r="C43176" s="2">
        <v>1.8490960107377401E-4</v>
      </c>
      <c r="D43176" s="2">
        <v>4.6676975753569603E-5</v>
      </c>
      <c r="E43176" s="2">
        <v>3.0107397387538101E-4</v>
      </c>
      <c r="F43176" s="2">
        <v>1.7851528570438899E-4</v>
      </c>
    </row>
    <row r="43177" spans="1:6" x14ac:dyDescent="0.25">
      <c r="A43177" s="1" t="str">
        <f t="shared" si="1478"/>
        <v>99999</v>
      </c>
      <c r="B43177" s="1" t="str">
        <f>"54843"</f>
        <v>54843</v>
      </c>
      <c r="C43177" s="2">
        <v>8.4042929340498397E-4</v>
      </c>
      <c r="D43177" s="2">
        <v>8.7481686815561201E-4</v>
      </c>
      <c r="E43177" s="2">
        <v>7.9139444561528703E-4</v>
      </c>
      <c r="F43177" s="2">
        <v>8.4155796378498102E-4</v>
      </c>
    </row>
    <row r="43178" spans="1:6" x14ac:dyDescent="0.25">
      <c r="A43178" s="1" t="str">
        <f t="shared" si="1478"/>
        <v>99999</v>
      </c>
      <c r="B43178" s="1" t="str">
        <f>"54837"</f>
        <v>54837</v>
      </c>
      <c r="C43178" s="2">
        <v>2.30920479561101E-4</v>
      </c>
      <c r="D43178" s="2">
        <v>9.9376787088244995E-5</v>
      </c>
      <c r="E43178" s="2">
        <v>1.4623593016804199E-4</v>
      </c>
      <c r="F43178" s="2">
        <v>2.20356347693698E-4</v>
      </c>
    </row>
    <row r="43179" spans="1:6" x14ac:dyDescent="0.25">
      <c r="A43179" s="1" t="str">
        <f t="shared" si="1478"/>
        <v>99999</v>
      </c>
      <c r="B43179" s="1" t="str">
        <f>"54847"</f>
        <v>54847</v>
      </c>
      <c r="C43179" s="2">
        <v>1.73109164002907E-4</v>
      </c>
      <c r="D43179" s="2">
        <v>7.82968625543749E-5</v>
      </c>
      <c r="E43179" s="2">
        <v>9.0322192162614306E-5</v>
      </c>
      <c r="F43179" s="2">
        <v>1.6499588595784301E-4</v>
      </c>
    </row>
    <row r="43180" spans="1:6" x14ac:dyDescent="0.25">
      <c r="A43180" s="1" t="str">
        <f t="shared" si="1478"/>
        <v>99999</v>
      </c>
      <c r="B43180" s="1" t="str">
        <f>"54664"</f>
        <v>54664</v>
      </c>
      <c r="C43180" s="2">
        <v>9.8409149517600204E-5</v>
      </c>
      <c r="D43180" s="2">
        <v>3.7642722381910999E-5</v>
      </c>
      <c r="E43180" s="2">
        <v>2.58063406178898E-5</v>
      </c>
      <c r="F43180" s="2">
        <v>9.2760844976299596E-5</v>
      </c>
    </row>
    <row r="43181" spans="1:6" x14ac:dyDescent="0.25">
      <c r="A43181" s="1" t="str">
        <f t="shared" si="1478"/>
        <v>99999</v>
      </c>
      <c r="B43181" s="1" t="str">
        <f>"54756"</f>
        <v>54756</v>
      </c>
      <c r="C43181" s="2">
        <v>6.5930882350075397E-5</v>
      </c>
      <c r="D43181" s="2">
        <v>1.20456711622115E-5</v>
      </c>
      <c r="E43181" s="2">
        <v>3.8709510926834699E-5</v>
      </c>
      <c r="F43181" s="2">
        <v>6.1774775484216496E-5</v>
      </c>
    </row>
    <row r="43182" spans="1:6" x14ac:dyDescent="0.25">
      <c r="A43182" s="1" t="str">
        <f t="shared" si="1478"/>
        <v>99999</v>
      </c>
      <c r="B43182" s="1" t="str">
        <f>"54844"</f>
        <v>54844</v>
      </c>
      <c r="C43182" s="2">
        <v>2.29513087983842E-5</v>
      </c>
      <c r="D43182" s="2">
        <v>6.0228355811057601E-6</v>
      </c>
      <c r="E43182" s="2">
        <v>4.3010567696482999E-6</v>
      </c>
      <c r="F43182" s="2">
        <v>2.1413939744528701E-5</v>
      </c>
    </row>
    <row r="43183" spans="1:6" x14ac:dyDescent="0.25">
      <c r="A43183" s="1" t="str">
        <f t="shared" si="1478"/>
        <v>99999</v>
      </c>
      <c r="B43183" s="1" t="str">
        <f>"54759"</f>
        <v>54759</v>
      </c>
      <c r="C43183" s="2">
        <v>8.72582777900834E-5</v>
      </c>
      <c r="D43183" s="2">
        <v>2.8608469010252301E-5</v>
      </c>
      <c r="E43183" s="2">
        <v>4.21503563425533E-4</v>
      </c>
      <c r="F43183" s="2">
        <v>9.1083255226728202E-5</v>
      </c>
    </row>
    <row r="43184" spans="1:6" x14ac:dyDescent="0.25">
      <c r="A43184" s="1" t="str">
        <f t="shared" si="1478"/>
        <v>99999</v>
      </c>
      <c r="B43184" s="1" t="str">
        <f>"61074"</f>
        <v>61074</v>
      </c>
      <c r="C43184" s="2">
        <v>2.81478315451882E-4</v>
      </c>
      <c r="D43184" s="2">
        <v>4.1256423730574399E-4</v>
      </c>
      <c r="E43184" s="2">
        <v>3.7849299572905002E-4</v>
      </c>
      <c r="F43184" s="2">
        <v>2.92295343425318E-4</v>
      </c>
    </row>
    <row r="43185" spans="1:6" x14ac:dyDescent="0.25">
      <c r="A43185" s="1" t="str">
        <f t="shared" si="1478"/>
        <v>99999</v>
      </c>
      <c r="B43185" s="1" t="str">
        <f>"54634"</f>
        <v>54634</v>
      </c>
      <c r="C43185" s="2">
        <v>2.0991786679276799E-4</v>
      </c>
      <c r="D43185" s="2">
        <v>8.4319698135480595E-5</v>
      </c>
      <c r="E43185" s="2">
        <v>2.1935389525206301E-4</v>
      </c>
      <c r="F43185" s="2">
        <v>2.0190286044841299E-4</v>
      </c>
    </row>
    <row r="43186" spans="1:6" x14ac:dyDescent="0.25">
      <c r="A43186" s="1" t="str">
        <f t="shared" si="1478"/>
        <v>99999</v>
      </c>
      <c r="B43186" s="1" t="str">
        <f>"54611"</f>
        <v>54611</v>
      </c>
      <c r="C43186" s="2">
        <v>5.7378271995960502E-5</v>
      </c>
      <c r="D43186" s="2">
        <v>2.4091342324423E-5</v>
      </c>
      <c r="E43186" s="2">
        <v>3.8709510926834699E-5</v>
      </c>
      <c r="F43186" s="2">
        <v>5.4768371236006598E-5</v>
      </c>
    </row>
    <row r="43187" spans="1:6" x14ac:dyDescent="0.25">
      <c r="A43187" s="1" t="str">
        <f t="shared" si="1478"/>
        <v>99999</v>
      </c>
      <c r="B43187" s="1" t="str">
        <f>"54628"</f>
        <v>54628</v>
      </c>
      <c r="C43187" s="2">
        <v>7.2534796674138803E-5</v>
      </c>
      <c r="D43187" s="2">
        <v>7.5285444763821999E-6</v>
      </c>
      <c r="E43187" s="2">
        <v>1.29031703089449E-5</v>
      </c>
      <c r="F43187" s="2">
        <v>6.69062264829054E-5</v>
      </c>
    </row>
    <row r="43188" spans="1:6" x14ac:dyDescent="0.25">
      <c r="A43188" s="1" t="str">
        <f t="shared" si="1478"/>
        <v>99999</v>
      </c>
      <c r="B43188" s="1" t="str">
        <f>"54962"</f>
        <v>54962</v>
      </c>
      <c r="C43188" s="2">
        <v>6.5497838787841701E-5</v>
      </c>
      <c r="D43188" s="2">
        <v>2.1079924533870101E-5</v>
      </c>
      <c r="E43188" s="2">
        <v>1.72042270785932E-5</v>
      </c>
      <c r="F43188" s="2">
        <v>6.1478730234292098E-5</v>
      </c>
    </row>
    <row r="43189" spans="1:6" x14ac:dyDescent="0.25">
      <c r="A43189" s="1" t="str">
        <f t="shared" si="1478"/>
        <v>99999</v>
      </c>
      <c r="B43189" s="1" t="str">
        <f>"54970"</f>
        <v>54970</v>
      </c>
      <c r="C43189" s="2">
        <v>1.73866990236816E-4</v>
      </c>
      <c r="D43189" s="2">
        <v>8.7331115926033497E-5</v>
      </c>
      <c r="E43189" s="2">
        <v>9.4623248932262599E-5</v>
      </c>
      <c r="F43189" s="2">
        <v>1.6637743045748999E-4</v>
      </c>
    </row>
    <row r="43190" spans="1:6" x14ac:dyDescent="0.25">
      <c r="A43190" s="1" t="str">
        <f t="shared" si="1478"/>
        <v>99999</v>
      </c>
      <c r="B43190" s="1" t="str">
        <f>"54981"</f>
        <v>54981</v>
      </c>
      <c r="C43190" s="2">
        <v>8.5753451411321399E-4</v>
      </c>
      <c r="D43190" s="2">
        <v>9.8623932640606806E-4</v>
      </c>
      <c r="E43190" s="2">
        <v>1.3419297121302701E-3</v>
      </c>
      <c r="F43190" s="2">
        <v>8.7708339377590497E-4</v>
      </c>
    </row>
    <row r="43191" spans="1:6" x14ac:dyDescent="0.25">
      <c r="A43191" s="1" t="str">
        <f t="shared" si="1478"/>
        <v>99999</v>
      </c>
      <c r="B43191" s="1" t="str">
        <f>"54501"</f>
        <v>54501</v>
      </c>
      <c r="C43191" s="2">
        <v>1.2742306818725501E-3</v>
      </c>
      <c r="D43191" s="2">
        <v>1.8249191810750401E-3</v>
      </c>
      <c r="E43191" s="2">
        <v>1.21289800904082E-3</v>
      </c>
      <c r="F43191" s="2">
        <v>1.3089147316655699E-3</v>
      </c>
    </row>
    <row r="43192" spans="1:6" x14ac:dyDescent="0.25">
      <c r="A43192" s="1" t="str">
        <f t="shared" si="1478"/>
        <v>99999</v>
      </c>
      <c r="B43192" s="1" t="str">
        <f>"54521"</f>
        <v>54521</v>
      </c>
      <c r="C43192" s="2">
        <v>6.6006664973466305E-4</v>
      </c>
      <c r="D43192" s="2">
        <v>3.7191009713328002E-4</v>
      </c>
      <c r="E43192" s="2">
        <v>3.2688031449327001E-4</v>
      </c>
      <c r="F43192" s="2">
        <v>6.33536834838131E-4</v>
      </c>
    </row>
    <row r="43193" spans="1:6" x14ac:dyDescent="0.25">
      <c r="A43193" s="1" t="str">
        <f t="shared" si="1478"/>
        <v>99999</v>
      </c>
      <c r="B43193" s="1" t="str">
        <f>"54537"</f>
        <v>54537</v>
      </c>
      <c r="C43193" s="2">
        <v>2.99882666846812E-5</v>
      </c>
      <c r="D43193" s="2">
        <v>9.0342533716586405E-6</v>
      </c>
      <c r="E43193" s="2">
        <v>4.3010567696482999E-6</v>
      </c>
      <c r="F43193" s="2">
        <v>2.8025616992839402E-5</v>
      </c>
    </row>
    <row r="43194" spans="1:6" x14ac:dyDescent="0.25">
      <c r="A43194" s="1" t="str">
        <f t="shared" si="1478"/>
        <v>99999</v>
      </c>
      <c r="B43194" s="1" t="str">
        <f>"54557"</f>
        <v>54557</v>
      </c>
      <c r="C43194" s="2">
        <v>8.4010451073330899E-5</v>
      </c>
      <c r="D43194" s="2">
        <v>3.4631304591358098E-5</v>
      </c>
      <c r="E43194" s="2">
        <v>4.3010567696482999E-6</v>
      </c>
      <c r="F43194" s="2">
        <v>7.8945399979829406E-5</v>
      </c>
    </row>
    <row r="43195" spans="1:6" x14ac:dyDescent="0.25">
      <c r="A43195" s="1" t="str">
        <f t="shared" si="1478"/>
        <v>99999</v>
      </c>
      <c r="B43195" s="1" t="str">
        <f>"54530"</f>
        <v>54530</v>
      </c>
      <c r="C43195" s="2">
        <v>4.8825661641845601E-5</v>
      </c>
      <c r="D43195" s="2">
        <v>9.0342533716586405E-6</v>
      </c>
      <c r="E43195" s="2">
        <v>8.6021135392965999E-6</v>
      </c>
      <c r="F43195" s="2">
        <v>4.5294923238427098E-5</v>
      </c>
    </row>
    <row r="43196" spans="1:6" x14ac:dyDescent="0.25">
      <c r="A43196" s="1" t="str">
        <f t="shared" si="1478"/>
        <v>99999</v>
      </c>
      <c r="B43196" s="1" t="str">
        <f>"54420"</f>
        <v>54420</v>
      </c>
      <c r="C43196" s="2">
        <v>5.2723053701948599E-5</v>
      </c>
      <c r="D43196" s="2">
        <v>2.1079924533870101E-5</v>
      </c>
      <c r="E43196" s="2">
        <v>0</v>
      </c>
      <c r="F43196" s="2">
        <v>4.94395567373681E-5</v>
      </c>
    </row>
    <row r="43197" spans="1:6" x14ac:dyDescent="0.25">
      <c r="A43197" s="1" t="str">
        <f t="shared" si="1478"/>
        <v>99999</v>
      </c>
      <c r="B43197" s="1" t="str">
        <f>"54547"</f>
        <v>54547</v>
      </c>
      <c r="C43197" s="2">
        <v>2.2810569640658199E-4</v>
      </c>
      <c r="D43197" s="2">
        <v>1.89719320804831E-4</v>
      </c>
      <c r="E43197" s="2">
        <v>1.2473064631979999E-4</v>
      </c>
      <c r="F43197" s="2">
        <v>2.2321811844296701E-4</v>
      </c>
    </row>
    <row r="43198" spans="1:6" x14ac:dyDescent="0.25">
      <c r="A43198" s="1" t="str">
        <f t="shared" si="1478"/>
        <v>99999</v>
      </c>
      <c r="B43198" s="1" t="str">
        <f>"54433"</f>
        <v>54433</v>
      </c>
      <c r="C43198" s="2">
        <v>8.4984799088356599E-5</v>
      </c>
      <c r="D43198" s="2">
        <v>2.25856334291466E-5</v>
      </c>
      <c r="E43198" s="2">
        <v>3.8709510926834699E-5</v>
      </c>
      <c r="F43198" s="2">
        <v>7.9833535729602505E-5</v>
      </c>
    </row>
    <row r="43199" spans="1:6" x14ac:dyDescent="0.25">
      <c r="A43199" s="1" t="str">
        <f t="shared" si="1478"/>
        <v>99999</v>
      </c>
      <c r="B43199" s="1" t="str">
        <f>"54447"</f>
        <v>54447</v>
      </c>
      <c r="C43199" s="2">
        <v>3.1612180043057497E-5</v>
      </c>
      <c r="D43199" s="2">
        <v>1.50570889527644E-6</v>
      </c>
      <c r="E43199" s="2">
        <v>1.29031703089449E-5</v>
      </c>
      <c r="F43199" s="2">
        <v>2.92097979925368E-5</v>
      </c>
    </row>
    <row r="43200" spans="1:6" x14ac:dyDescent="0.25">
      <c r="A43200" s="1" t="str">
        <f t="shared" si="1478"/>
        <v>99999</v>
      </c>
      <c r="B43200" s="1" t="str">
        <f>"55760"</f>
        <v>55760</v>
      </c>
      <c r="C43200" s="2">
        <v>2.3460134984008699E-4</v>
      </c>
      <c r="D43200" s="2">
        <v>1.17445293831562E-4</v>
      </c>
      <c r="E43200" s="2">
        <v>1.2042958955015201E-4</v>
      </c>
      <c r="F43200" s="2">
        <v>2.2430361769268999E-4</v>
      </c>
    </row>
    <row r="43201" spans="1:6" x14ac:dyDescent="0.25">
      <c r="A43201" s="1" t="str">
        <f t="shared" si="1478"/>
        <v>99999</v>
      </c>
      <c r="B43201" s="1" t="str">
        <f>"55787"</f>
        <v>55787</v>
      </c>
      <c r="C43201" s="2">
        <v>3.00965275752396E-5</v>
      </c>
      <c r="D43201" s="2">
        <v>1.50570889527644E-6</v>
      </c>
      <c r="E43201" s="2">
        <v>0</v>
      </c>
      <c r="F43201" s="2">
        <v>2.7532208242965501E-5</v>
      </c>
    </row>
    <row r="43202" spans="1:6" x14ac:dyDescent="0.25">
      <c r="A43202" s="1" t="str">
        <f t="shared" si="1478"/>
        <v>99999</v>
      </c>
      <c r="B43202" s="1" t="str">
        <f>"57359"</f>
        <v>57359</v>
      </c>
      <c r="C43202" s="2">
        <v>2.9771744903564399E-5</v>
      </c>
      <c r="D43202" s="2">
        <v>9.0342533716586405E-6</v>
      </c>
      <c r="E43202" s="2">
        <v>1.72042270785932E-5</v>
      </c>
      <c r="F43202" s="2">
        <v>2.8124298742814199E-5</v>
      </c>
    </row>
    <row r="43203" spans="1:6" x14ac:dyDescent="0.25">
      <c r="A43203" s="1" t="str">
        <f t="shared" si="1478"/>
        <v>99999</v>
      </c>
      <c r="B43203" s="1" t="str">
        <f>"57366"</f>
        <v>57366</v>
      </c>
      <c r="C43203" s="2">
        <v>1.04363498498313E-4</v>
      </c>
      <c r="D43203" s="2">
        <v>6.1734064706334002E-5</v>
      </c>
      <c r="E43203" s="2">
        <v>1.72042270785932E-4</v>
      </c>
      <c r="F43203" s="2">
        <v>1.03122428723652E-4</v>
      </c>
    </row>
    <row r="43204" spans="1:6" x14ac:dyDescent="0.25">
      <c r="A43204" s="1" t="str">
        <f t="shared" si="1478"/>
        <v>99999</v>
      </c>
      <c r="B43204" s="1" t="str">
        <f>"57317"</f>
        <v>57317</v>
      </c>
      <c r="C43204" s="2">
        <v>2.4575222156760399E-5</v>
      </c>
      <c r="D43204" s="2">
        <v>4.2159849067740298E-5</v>
      </c>
      <c r="E43204" s="2">
        <v>2.15052838482415E-5</v>
      </c>
      <c r="F43204" s="2">
        <v>2.56572549934445E-5</v>
      </c>
    </row>
    <row r="43205" spans="1:6" x14ac:dyDescent="0.25">
      <c r="A43205" s="1" t="str">
        <f t="shared" si="1478"/>
        <v>99999</v>
      </c>
      <c r="B43205" s="1" t="str">
        <f>"56350"</f>
        <v>56350</v>
      </c>
      <c r="C43205" s="2">
        <v>3.98400077254971E-5</v>
      </c>
      <c r="D43205" s="2">
        <v>2.25856334291466E-5</v>
      </c>
      <c r="E43205" s="2">
        <v>4.3010567696482999E-6</v>
      </c>
      <c r="F43205" s="2">
        <v>3.7893791990318099E-5</v>
      </c>
    </row>
    <row r="43206" spans="1:6" x14ac:dyDescent="0.25">
      <c r="A43206" s="1" t="str">
        <f t="shared" ref="A43206:A43269" si="1479">"99999"</f>
        <v>99999</v>
      </c>
      <c r="B43206" s="1" t="str">
        <f>"56340"</f>
        <v>56340</v>
      </c>
      <c r="C43206" s="2">
        <v>1.9703482081631699E-5</v>
      </c>
      <c r="D43206" s="2">
        <v>4.5171266858293203E-6</v>
      </c>
      <c r="E43206" s="2">
        <v>0</v>
      </c>
      <c r="F43206" s="2">
        <v>1.8256123745335501E-5</v>
      </c>
    </row>
    <row r="43207" spans="1:6" x14ac:dyDescent="0.25">
      <c r="A43207" s="1" t="str">
        <f t="shared" si="1479"/>
        <v>99999</v>
      </c>
      <c r="B43207" s="1" t="str">
        <f>"56431"</f>
        <v>56431</v>
      </c>
      <c r="C43207" s="2">
        <v>6.2282490338256798E-4</v>
      </c>
      <c r="D43207" s="2">
        <v>4.8784968206956603E-4</v>
      </c>
      <c r="E43207" s="2">
        <v>6.0214794775076202E-4</v>
      </c>
      <c r="F43207" s="2">
        <v>6.1350443959324902E-4</v>
      </c>
    </row>
    <row r="43208" spans="1:6" x14ac:dyDescent="0.25">
      <c r="A43208" s="1" t="str">
        <f t="shared" si="1479"/>
        <v>99999</v>
      </c>
      <c r="B43208" s="1" t="str">
        <f>"56437"</f>
        <v>56437</v>
      </c>
      <c r="C43208" s="2">
        <v>5.42387061697665E-5</v>
      </c>
      <c r="D43208" s="2">
        <v>3.1619886800805203E-5</v>
      </c>
      <c r="E43208" s="2">
        <v>6.4515851544724506E-5</v>
      </c>
      <c r="F43208" s="2">
        <v>5.2992099736460502E-5</v>
      </c>
    </row>
    <row r="43209" spans="1:6" x14ac:dyDescent="0.25">
      <c r="A43209" s="1" t="str">
        <f t="shared" si="1479"/>
        <v>99999</v>
      </c>
      <c r="B43209" s="1" t="str">
        <f>"56443"</f>
        <v>56443</v>
      </c>
      <c r="C43209" s="2">
        <v>1.12483065290194E-4</v>
      </c>
      <c r="D43209" s="2">
        <v>4.3665557963016701E-5</v>
      </c>
      <c r="E43209" s="2">
        <v>1.29031703089449E-5</v>
      </c>
      <c r="F43209" s="2">
        <v>1.05688154222996E-4</v>
      </c>
    </row>
    <row r="43210" spans="1:6" x14ac:dyDescent="0.25">
      <c r="A43210" s="1" t="str">
        <f t="shared" si="1479"/>
        <v>99999</v>
      </c>
      <c r="B43210" s="1" t="str">
        <f>"56338"</f>
        <v>56338</v>
      </c>
      <c r="C43210" s="2">
        <v>8.87739302579012E-5</v>
      </c>
      <c r="D43210" s="2">
        <v>2.1079924533870101E-5</v>
      </c>
      <c r="E43210" s="2">
        <v>0</v>
      </c>
      <c r="F43210" s="2">
        <v>8.2300579478972194E-5</v>
      </c>
    </row>
    <row r="43211" spans="1:6" x14ac:dyDescent="0.25">
      <c r="A43211" s="1" t="str">
        <f t="shared" si="1479"/>
        <v>99999</v>
      </c>
      <c r="B43211" s="1" t="str">
        <f>"56440"</f>
        <v>56440</v>
      </c>
      <c r="C43211" s="2">
        <v>6.7338273927334806E-5</v>
      </c>
      <c r="D43211" s="2">
        <v>1.0539962266935E-5</v>
      </c>
      <c r="E43211" s="2">
        <v>8.6021135392965999E-5</v>
      </c>
      <c r="F43211" s="2">
        <v>6.4044455733636605E-5</v>
      </c>
    </row>
    <row r="43212" spans="1:6" x14ac:dyDescent="0.25">
      <c r="A43212" s="1" t="str">
        <f t="shared" si="1479"/>
        <v>99999</v>
      </c>
      <c r="B43212" s="1" t="str">
        <f>"56297"</f>
        <v>56297</v>
      </c>
      <c r="C43212" s="2">
        <v>3.2694788948641601E-5</v>
      </c>
      <c r="D43212" s="2">
        <v>3.01141779055288E-5</v>
      </c>
      <c r="E43212" s="2">
        <v>2.58063406178898E-5</v>
      </c>
      <c r="F43212" s="2">
        <v>3.236761399173E-5</v>
      </c>
    </row>
    <row r="43213" spans="1:6" x14ac:dyDescent="0.25">
      <c r="A43213" s="1" t="str">
        <f t="shared" si="1479"/>
        <v>99999</v>
      </c>
      <c r="B43213" s="1" t="str">
        <f>"56601"</f>
        <v>56601</v>
      </c>
      <c r="C43213" s="2">
        <v>1.06095672747247E-4</v>
      </c>
      <c r="D43213" s="2">
        <v>4.5171266858293199E-5</v>
      </c>
      <c r="E43213" s="2">
        <v>3.01073973875381E-5</v>
      </c>
      <c r="F43213" s="2">
        <v>1.00359339724358E-4</v>
      </c>
    </row>
    <row r="43214" spans="1:6" x14ac:dyDescent="0.25">
      <c r="A43214" s="1" t="str">
        <f t="shared" si="1479"/>
        <v>99999</v>
      </c>
      <c r="B43214" s="1" t="str">
        <f>"56479"</f>
        <v>56479</v>
      </c>
      <c r="C43214" s="2">
        <v>2.8905657779097098E-4</v>
      </c>
      <c r="D43214" s="2">
        <v>2.8759039899780003E-4</v>
      </c>
      <c r="E43214" s="2">
        <v>4.4300884727377501E-4</v>
      </c>
      <c r="F43214" s="2">
        <v>2.9249270692526799E-4</v>
      </c>
    </row>
    <row r="43215" spans="1:6" x14ac:dyDescent="0.25">
      <c r="A43215" s="1" t="str">
        <f t="shared" si="1479"/>
        <v>99999</v>
      </c>
      <c r="B43215" s="1" t="str">
        <f>"56621"</f>
        <v>56621</v>
      </c>
      <c r="C43215" s="2">
        <v>2.15222650430131E-4</v>
      </c>
      <c r="D43215" s="2">
        <v>1.86707903014278E-4</v>
      </c>
      <c r="E43215" s="2">
        <v>1.63440157246635E-4</v>
      </c>
      <c r="F43215" s="2">
        <v>2.1216576244579099E-4</v>
      </c>
    </row>
    <row r="43216" spans="1:6" x14ac:dyDescent="0.25">
      <c r="A43216" s="1" t="str">
        <f t="shared" si="1479"/>
        <v>99999</v>
      </c>
      <c r="B43216" s="1" t="str">
        <f>"56554"</f>
        <v>56554</v>
      </c>
      <c r="C43216" s="2">
        <v>1.5838568288696199E-4</v>
      </c>
      <c r="D43216" s="2">
        <v>5.2699811334675399E-5</v>
      </c>
      <c r="E43216" s="2">
        <v>1.07526419241207E-4</v>
      </c>
      <c r="F43216" s="2">
        <v>1.502923052116E-4</v>
      </c>
    </row>
    <row r="43217" spans="1:6" x14ac:dyDescent="0.25">
      <c r="A43217" s="1" t="str">
        <f t="shared" si="1479"/>
        <v>99999</v>
      </c>
      <c r="B43217" s="1" t="str">
        <f>"56725"</f>
        <v>56725</v>
      </c>
      <c r="C43217" s="2">
        <v>5.0449575000221899E-5</v>
      </c>
      <c r="D43217" s="2">
        <v>3.01141779055288E-6</v>
      </c>
      <c r="E43217" s="2">
        <v>4.3010567696482999E-6</v>
      </c>
      <c r="F43217" s="2">
        <v>4.6281740738175001E-5</v>
      </c>
    </row>
    <row r="43218" spans="1:6" x14ac:dyDescent="0.25">
      <c r="A43218" s="1" t="str">
        <f t="shared" si="1479"/>
        <v>99999</v>
      </c>
      <c r="B43218" s="1" t="str">
        <f>"56634"</f>
        <v>56634</v>
      </c>
      <c r="C43218" s="2">
        <v>7.2967840236372403E-5</v>
      </c>
      <c r="D43218" s="2">
        <v>3.6137013486634501E-5</v>
      </c>
      <c r="E43218" s="2">
        <v>3.44084541571864E-5</v>
      </c>
      <c r="F43218" s="2">
        <v>6.9669315482199406E-5</v>
      </c>
    </row>
    <row r="43219" spans="1:6" x14ac:dyDescent="0.25">
      <c r="A43219" s="1" t="str">
        <f t="shared" si="1479"/>
        <v>99999</v>
      </c>
      <c r="B43219" s="1" t="str">
        <f>"56477"</f>
        <v>56477</v>
      </c>
      <c r="C43219" s="2">
        <v>1.16488718240855E-4</v>
      </c>
      <c r="D43219" s="2">
        <v>6.3239773601610501E-5</v>
      </c>
      <c r="E43219" s="2">
        <v>5.5913738005427899E-5</v>
      </c>
      <c r="F43219" s="2">
        <v>1.11609059221483E-4</v>
      </c>
    </row>
    <row r="43220" spans="1:6" x14ac:dyDescent="0.25">
      <c r="A43220" s="1" t="str">
        <f t="shared" si="1479"/>
        <v>99999</v>
      </c>
      <c r="B43220" s="1" t="str">
        <f>"56726"</f>
        <v>56726</v>
      </c>
      <c r="C43220" s="2">
        <v>7.6540449624800197E-5</v>
      </c>
      <c r="D43220" s="2">
        <v>2.8608469010252301E-5</v>
      </c>
      <c r="E43220" s="2">
        <v>3.01073973875381E-5</v>
      </c>
      <c r="F43220" s="2">
        <v>7.2333722731518702E-5</v>
      </c>
    </row>
    <row r="43221" spans="1:6" x14ac:dyDescent="0.25">
      <c r="A43221" s="1" t="str">
        <f t="shared" si="1479"/>
        <v>99999</v>
      </c>
      <c r="B43221" s="1" t="str">
        <f>"56578"</f>
        <v>56578</v>
      </c>
      <c r="C43221" s="2">
        <v>6.0950881384388302E-5</v>
      </c>
      <c r="D43221" s="2">
        <v>4.5171266858293203E-6</v>
      </c>
      <c r="E43221" s="2">
        <v>4.3010567696482999E-6</v>
      </c>
      <c r="F43221" s="2">
        <v>5.5952552235704101E-5</v>
      </c>
    </row>
    <row r="43222" spans="1:6" x14ac:dyDescent="0.25">
      <c r="A43222" s="1" t="str">
        <f t="shared" si="1479"/>
        <v>99999</v>
      </c>
      <c r="B43222" s="1" t="str">
        <f>"56584"</f>
        <v>56584</v>
      </c>
      <c r="C43222" s="2">
        <v>7.7514797639825897E-5</v>
      </c>
      <c r="D43222" s="2">
        <v>1.20456711622115E-5</v>
      </c>
      <c r="E43222" s="2">
        <v>6.4515851544724506E-5</v>
      </c>
      <c r="F43222" s="2">
        <v>7.2925813231367403E-5</v>
      </c>
    </row>
    <row r="43223" spans="1:6" x14ac:dyDescent="0.25">
      <c r="A43223" s="1" t="str">
        <f t="shared" si="1479"/>
        <v>99999</v>
      </c>
      <c r="B43223" s="1" t="str">
        <f>"56710"</f>
        <v>56710</v>
      </c>
      <c r="C43223" s="2">
        <v>2.23017434550337E-5</v>
      </c>
      <c r="D43223" s="2">
        <v>0</v>
      </c>
      <c r="E43223" s="2">
        <v>3.8709510926834699E-5</v>
      </c>
      <c r="F43223" s="2">
        <v>2.12165762445791E-5</v>
      </c>
    </row>
    <row r="43224" spans="1:6" x14ac:dyDescent="0.25">
      <c r="A43224" s="1" t="str">
        <f t="shared" si="1479"/>
        <v>99999</v>
      </c>
      <c r="B43224" s="1" t="str">
        <f>"56724"</f>
        <v>56724</v>
      </c>
      <c r="C43224" s="2">
        <v>1.13673935086336E-5</v>
      </c>
      <c r="D43224" s="2">
        <v>3.01141779055288E-6</v>
      </c>
      <c r="E43224" s="2">
        <v>4.3010567696482999E-6</v>
      </c>
      <c r="F43224" s="2">
        <v>1.06576289972769E-5</v>
      </c>
    </row>
    <row r="43225" spans="1:6" x14ac:dyDescent="0.25">
      <c r="A43225" s="1" t="str">
        <f t="shared" si="1479"/>
        <v>99999</v>
      </c>
      <c r="B43225" s="1" t="str">
        <f>"48729"</f>
        <v>48729</v>
      </c>
      <c r="C43225" s="2">
        <v>7.6215666953124904E-5</v>
      </c>
      <c r="D43225" s="2">
        <v>9.0342533716586405E-6</v>
      </c>
      <c r="E43225" s="2">
        <v>8.6021135392965999E-6</v>
      </c>
      <c r="F43225" s="2">
        <v>7.0261405982048202E-5</v>
      </c>
    </row>
    <row r="43226" spans="1:6" x14ac:dyDescent="0.25">
      <c r="A43226" s="1" t="str">
        <f t="shared" si="1479"/>
        <v>99999</v>
      </c>
      <c r="B43226" s="1" t="str">
        <f>"48742"</f>
        <v>48742</v>
      </c>
      <c r="C43226" s="2">
        <v>1.2374219790826899E-4</v>
      </c>
      <c r="D43226" s="2">
        <v>4.3665557963016701E-5</v>
      </c>
      <c r="E43226" s="2">
        <v>1.29031703089449E-5</v>
      </c>
      <c r="F43226" s="2">
        <v>1.1595105622037401E-4</v>
      </c>
    </row>
    <row r="43227" spans="1:6" x14ac:dyDescent="0.25">
      <c r="A43227" s="1" t="str">
        <f t="shared" si="1479"/>
        <v>99999</v>
      </c>
      <c r="B43227" s="1" t="str">
        <f>"48744"</f>
        <v>48744</v>
      </c>
      <c r="C43227" s="2">
        <v>2.10459171245561E-4</v>
      </c>
      <c r="D43227" s="2">
        <v>8.5825407030757094E-5</v>
      </c>
      <c r="E43227" s="2">
        <v>7.7419021853669399E-5</v>
      </c>
      <c r="F43227" s="2">
        <v>1.9923845319909399E-4</v>
      </c>
    </row>
    <row r="43228" spans="1:6" x14ac:dyDescent="0.25">
      <c r="A43228" s="1" t="str">
        <f t="shared" si="1479"/>
        <v>99999</v>
      </c>
      <c r="B43228" s="1" t="str">
        <f>"48745"</f>
        <v>48745</v>
      </c>
      <c r="C43228" s="2">
        <v>8.2603059496071503E-5</v>
      </c>
      <c r="D43228" s="2">
        <v>1.80685067433172E-5</v>
      </c>
      <c r="E43228" s="2">
        <v>0</v>
      </c>
      <c r="F43228" s="2">
        <v>7.6478356230459704E-5</v>
      </c>
    </row>
    <row r="43229" spans="1:6" x14ac:dyDescent="0.25">
      <c r="A43229" s="1" t="str">
        <f t="shared" si="1479"/>
        <v>99999</v>
      </c>
      <c r="B43229" s="1" t="str">
        <f>"48647"</f>
        <v>48647</v>
      </c>
      <c r="C43229" s="2">
        <v>3.0421310246914901E-4</v>
      </c>
      <c r="D43229" s="2">
        <v>2.0477640975759501E-4</v>
      </c>
      <c r="E43229" s="2">
        <v>1.11827476010855E-4</v>
      </c>
      <c r="F43229" s="2">
        <v>2.9328216092506599E-4</v>
      </c>
    </row>
    <row r="43230" spans="1:6" x14ac:dyDescent="0.25">
      <c r="A43230" s="1" t="str">
        <f t="shared" si="1479"/>
        <v>99999</v>
      </c>
      <c r="B43230" s="1" t="str">
        <f>"48725"</f>
        <v>48725</v>
      </c>
      <c r="C43230" s="2">
        <v>2.1652178111683201E-4</v>
      </c>
      <c r="D43230" s="2">
        <v>1.2798525609849701E-4</v>
      </c>
      <c r="E43230" s="2">
        <v>5.5913738005427899E-5</v>
      </c>
      <c r="F43230" s="2">
        <v>2.0703431144710201E-4</v>
      </c>
    </row>
    <row r="43231" spans="1:6" x14ac:dyDescent="0.25">
      <c r="A43231" s="1" t="str">
        <f t="shared" si="1479"/>
        <v>99999</v>
      </c>
      <c r="B43231" s="1" t="str">
        <f>"48721"</f>
        <v>48721</v>
      </c>
      <c r="C43231" s="2">
        <v>3.8540877038796101E-5</v>
      </c>
      <c r="D43231" s="2">
        <v>1.0539962266935E-5</v>
      </c>
      <c r="E43231" s="2">
        <v>0</v>
      </c>
      <c r="F43231" s="2">
        <v>3.5821475240847599E-5</v>
      </c>
    </row>
    <row r="43232" spans="1:6" x14ac:dyDescent="0.25">
      <c r="A43232" s="1" t="str">
        <f t="shared" si="1479"/>
        <v>99999</v>
      </c>
      <c r="B43232" s="1" t="str">
        <f>"48762"</f>
        <v>48762</v>
      </c>
      <c r="C43232" s="2">
        <v>9.6676975268665598E-5</v>
      </c>
      <c r="D43232" s="2">
        <v>5.5711229125228301E-5</v>
      </c>
      <c r="E43232" s="2">
        <v>0</v>
      </c>
      <c r="F43232" s="2">
        <v>9.1774027476551707E-5</v>
      </c>
    </row>
    <row r="43233" spans="1:6" x14ac:dyDescent="0.25">
      <c r="A43233" s="1" t="str">
        <f t="shared" si="1479"/>
        <v>99999</v>
      </c>
      <c r="B43233" s="1" t="str">
        <f>"49712"</f>
        <v>49712</v>
      </c>
      <c r="C43233" s="2">
        <v>5.4346967060324902E-4</v>
      </c>
      <c r="D43233" s="2">
        <v>4.9236680875539604E-4</v>
      </c>
      <c r="E43233" s="2">
        <v>7.3978176437950805E-4</v>
      </c>
      <c r="F43233" s="2">
        <v>5.4462457811084799E-4</v>
      </c>
    </row>
    <row r="43234" spans="1:6" x14ac:dyDescent="0.25">
      <c r="A43234" s="1" t="str">
        <f t="shared" si="1479"/>
        <v>99999</v>
      </c>
      <c r="B43234" s="1" t="str">
        <f>"49713"</f>
        <v>49713</v>
      </c>
      <c r="C43234" s="2">
        <v>1.19086979614257E-4</v>
      </c>
      <c r="D43234" s="2">
        <v>4.5171266858293199E-5</v>
      </c>
      <c r="E43234" s="2">
        <v>4.7311624466131299E-5</v>
      </c>
      <c r="F43234" s="2">
        <v>1.12595876721231E-4</v>
      </c>
    </row>
    <row r="43235" spans="1:6" x14ac:dyDescent="0.25">
      <c r="A43235" s="1" t="str">
        <f t="shared" si="1479"/>
        <v>99999</v>
      </c>
      <c r="B43235" s="1" t="str">
        <f>"49746"</f>
        <v>49746</v>
      </c>
      <c r="C43235" s="2">
        <v>2.1316569350952099E-4</v>
      </c>
      <c r="D43235" s="2">
        <v>1.34008091679603E-4</v>
      </c>
      <c r="E43235" s="2">
        <v>6.4515851544724506E-5</v>
      </c>
      <c r="F43235" s="2">
        <v>2.0456726769773299E-4</v>
      </c>
    </row>
    <row r="43236" spans="1:6" x14ac:dyDescent="0.25">
      <c r="A43236" s="1" t="str">
        <f t="shared" si="1479"/>
        <v>99999</v>
      </c>
      <c r="B43236" s="1" t="str">
        <f>"49675"</f>
        <v>49675</v>
      </c>
      <c r="C43236" s="2">
        <v>8.1845233262162597E-5</v>
      </c>
      <c r="D43236" s="2">
        <v>2.1079924533870101E-5</v>
      </c>
      <c r="E43236" s="2">
        <v>1.29031703089449E-5</v>
      </c>
      <c r="F43236" s="2">
        <v>7.6280992730510204E-5</v>
      </c>
    </row>
    <row r="43237" spans="1:6" x14ac:dyDescent="0.25">
      <c r="A43237" s="1" t="str">
        <f t="shared" si="1479"/>
        <v>99999</v>
      </c>
      <c r="B43237" s="1" t="str">
        <f>"49707"</f>
        <v>49707</v>
      </c>
      <c r="C43237" s="2">
        <v>4.5577834925093202E-5</v>
      </c>
      <c r="D43237" s="2">
        <v>0</v>
      </c>
      <c r="E43237" s="2">
        <v>4.3010567696482999E-6</v>
      </c>
      <c r="F43237" s="2">
        <v>4.1643698489360001E-5</v>
      </c>
    </row>
    <row r="43238" spans="1:6" x14ac:dyDescent="0.25">
      <c r="A43238" s="1" t="str">
        <f t="shared" si="1479"/>
        <v>99999</v>
      </c>
      <c r="B43238" s="1" t="str">
        <f>"49676"</f>
        <v>49676</v>
      </c>
      <c r="C43238" s="2">
        <v>9.6243931706431902E-5</v>
      </c>
      <c r="D43238" s="2">
        <v>3.01141779055288E-5</v>
      </c>
      <c r="E43238" s="2">
        <v>0</v>
      </c>
      <c r="F43238" s="2">
        <v>8.9701710727081206E-5</v>
      </c>
    </row>
    <row r="43239" spans="1:6" x14ac:dyDescent="0.25">
      <c r="A43239" s="1" t="str">
        <f t="shared" si="1479"/>
        <v>99999</v>
      </c>
      <c r="B43239" s="1" t="str">
        <f>"49644"</f>
        <v>49644</v>
      </c>
      <c r="C43239" s="2">
        <v>1.98550473284135E-4</v>
      </c>
      <c r="D43239" s="2">
        <v>4.9688393544122498E-5</v>
      </c>
      <c r="E43239" s="2">
        <v>1.72042270785932E-5</v>
      </c>
      <c r="F43239" s="2">
        <v>1.8463355420282601E-4</v>
      </c>
    </row>
    <row r="43240" spans="1:6" x14ac:dyDescent="0.25">
      <c r="A43240" s="1" t="str">
        <f t="shared" si="1479"/>
        <v>99999</v>
      </c>
      <c r="B43240" s="1" t="str">
        <f>"49623"</f>
        <v>49623</v>
      </c>
      <c r="C43240" s="2">
        <v>6.9611752629061499E-5</v>
      </c>
      <c r="D43240" s="2">
        <v>1.50570889527644E-5</v>
      </c>
      <c r="E43240" s="2">
        <v>1.29031703089449E-5</v>
      </c>
      <c r="F43240" s="2">
        <v>6.4735227983460096E-5</v>
      </c>
    </row>
    <row r="43241" spans="1:6" x14ac:dyDescent="0.25">
      <c r="A43241" s="1" t="str">
        <f t="shared" si="1479"/>
        <v>99999</v>
      </c>
      <c r="B43241" s="1" t="str">
        <f>"49455"</f>
        <v>49455</v>
      </c>
      <c r="C43241" s="2">
        <v>3.1687962666448398E-4</v>
      </c>
      <c r="D43241" s="2">
        <v>2.9361323457890499E-4</v>
      </c>
      <c r="E43241" s="2">
        <v>3.39783484802215E-4</v>
      </c>
      <c r="F43241" s="2">
        <v>3.1588028166929199E-4</v>
      </c>
    </row>
    <row r="43242" spans="1:6" x14ac:dyDescent="0.25">
      <c r="A43242" s="1" t="str">
        <f t="shared" si="1479"/>
        <v>99999</v>
      </c>
      <c r="B43242" s="1" t="str">
        <f>"51027"</f>
        <v>51027</v>
      </c>
      <c r="C43242" s="2">
        <v>5.61874021998179E-5</v>
      </c>
      <c r="D43242" s="2">
        <v>7.9802571449651304E-5</v>
      </c>
      <c r="E43242" s="2">
        <v>3.44084541571864E-5</v>
      </c>
      <c r="F43242" s="2">
        <v>5.72354149853763E-5</v>
      </c>
    </row>
    <row r="43243" spans="1:6" x14ac:dyDescent="0.25">
      <c r="A43243" s="1" t="str">
        <f t="shared" si="1479"/>
        <v>99999</v>
      </c>
      <c r="B43243" s="1" t="str">
        <f>"51232"</f>
        <v>51232</v>
      </c>
      <c r="C43243" s="2">
        <v>4.0922616631081298E-5</v>
      </c>
      <c r="D43243" s="2">
        <v>1.80685067433172E-5</v>
      </c>
      <c r="E43243" s="2">
        <v>1.72042270785932E-5</v>
      </c>
      <c r="F43243" s="2">
        <v>3.8880609490066002E-5</v>
      </c>
    </row>
    <row r="43244" spans="1:6" x14ac:dyDescent="0.25">
      <c r="A43244" s="1" t="str">
        <f t="shared" si="1479"/>
        <v>99999</v>
      </c>
      <c r="B43244" s="1" t="str">
        <f>"51234"</f>
        <v>51234</v>
      </c>
      <c r="C43244" s="2">
        <v>5.6403923980934802E-5</v>
      </c>
      <c r="D43244" s="2">
        <v>2.4091342324423E-5</v>
      </c>
      <c r="E43244" s="2">
        <v>3.01073973875381E-5</v>
      </c>
      <c r="F43244" s="2">
        <v>5.3682871986284E-5</v>
      </c>
    </row>
    <row r="43245" spans="1:6" x14ac:dyDescent="0.25">
      <c r="A43245" s="1" t="str">
        <f t="shared" si="1479"/>
        <v>99999</v>
      </c>
      <c r="B43245" s="1" t="str">
        <f>"51062"</f>
        <v>51062</v>
      </c>
      <c r="C43245" s="2">
        <v>2.85808751074218E-5</v>
      </c>
      <c r="D43245" s="2">
        <v>7.5285444763821999E-6</v>
      </c>
      <c r="E43245" s="2">
        <v>8.6021135392965999E-6</v>
      </c>
      <c r="F43245" s="2">
        <v>2.6742754243167199E-5</v>
      </c>
    </row>
    <row r="43246" spans="1:6" x14ac:dyDescent="0.25">
      <c r="A43246" s="1" t="str">
        <f t="shared" si="1479"/>
        <v>99999</v>
      </c>
      <c r="B43246" s="1" t="str">
        <f>"51020"</f>
        <v>51020</v>
      </c>
      <c r="C43246" s="2">
        <v>3.3344354291992097E-5</v>
      </c>
      <c r="D43246" s="2">
        <v>2.25856334291466E-5</v>
      </c>
      <c r="E43246" s="2">
        <v>2.15052838482415E-5</v>
      </c>
      <c r="F43246" s="2">
        <v>3.236761399173E-5</v>
      </c>
    </row>
    <row r="43247" spans="1:6" x14ac:dyDescent="0.25">
      <c r="A43247" s="1" t="str">
        <f t="shared" si="1479"/>
        <v>99999</v>
      </c>
      <c r="B43247" s="1" t="str">
        <f>"51245"</f>
        <v>51245</v>
      </c>
      <c r="C43247" s="2">
        <v>7.2210014002463497E-5</v>
      </c>
      <c r="D43247" s="2">
        <v>8.1308280344927694E-5</v>
      </c>
      <c r="E43247" s="2">
        <v>6.8816908314372799E-5</v>
      </c>
      <c r="F43247" s="2">
        <v>7.2728449731417795E-5</v>
      </c>
    </row>
    <row r="43248" spans="1:6" x14ac:dyDescent="0.25">
      <c r="A43248" s="1" t="str">
        <f t="shared" si="1479"/>
        <v>99999</v>
      </c>
      <c r="B43248" s="1" t="str">
        <f>"50830"</f>
        <v>50830</v>
      </c>
      <c r="C43248" s="2">
        <v>8.8665669367342796E-5</v>
      </c>
      <c r="D43248" s="2">
        <v>8.4319698135480595E-5</v>
      </c>
      <c r="E43248" s="2">
        <v>6.8816908314372799E-5</v>
      </c>
      <c r="F43248" s="2">
        <v>8.7925439227534995E-5</v>
      </c>
    </row>
    <row r="43249" spans="1:6" x14ac:dyDescent="0.25">
      <c r="A43249" s="1" t="str">
        <f t="shared" si="1479"/>
        <v>99999</v>
      </c>
      <c r="B43249" s="1" t="str">
        <f>"51455"</f>
        <v>51455</v>
      </c>
      <c r="C43249" s="2">
        <v>1.5481307349853501E-5</v>
      </c>
      <c r="D43249" s="2">
        <v>3.01141779055288E-6</v>
      </c>
      <c r="E43249" s="2">
        <v>0</v>
      </c>
      <c r="F43249" s="2">
        <v>1.4308853746344E-5</v>
      </c>
    </row>
    <row r="43250" spans="1:6" x14ac:dyDescent="0.25">
      <c r="A43250" s="1" t="str">
        <f t="shared" si="1479"/>
        <v>99999</v>
      </c>
      <c r="B43250" s="1" t="str">
        <f>"51346"</f>
        <v>51346</v>
      </c>
      <c r="C43250" s="2">
        <v>1.23092632564919E-4</v>
      </c>
      <c r="D43250" s="2">
        <v>1.5960514289930201E-4</v>
      </c>
      <c r="E43250" s="2">
        <v>1.03225362471559E-4</v>
      </c>
      <c r="F43250" s="2">
        <v>1.2502977721805399E-4</v>
      </c>
    </row>
    <row r="43251" spans="1:6" x14ac:dyDescent="0.25">
      <c r="A43251" s="1" t="str">
        <f t="shared" si="1479"/>
        <v>99999</v>
      </c>
      <c r="B43251" s="1" t="str">
        <f>"51009"</f>
        <v>51009</v>
      </c>
      <c r="C43251" s="2">
        <v>1.06095672747247E-5</v>
      </c>
      <c r="D43251" s="2">
        <v>4.5171266858293203E-6</v>
      </c>
      <c r="E43251" s="2">
        <v>1.29031703089449E-5</v>
      </c>
      <c r="F43251" s="2">
        <v>1.02629019973778E-5</v>
      </c>
    </row>
    <row r="43252" spans="1:6" x14ac:dyDescent="0.25">
      <c r="A43252" s="1" t="str">
        <f t="shared" si="1479"/>
        <v>99999</v>
      </c>
      <c r="B43252" s="1" t="str">
        <f>"52041"</f>
        <v>52041</v>
      </c>
      <c r="C43252" s="2">
        <v>6.9828274410178401E-5</v>
      </c>
      <c r="D43252" s="2">
        <v>4.6676975753569603E-5</v>
      </c>
      <c r="E43252" s="2">
        <v>3.8709510926834699E-5</v>
      </c>
      <c r="F43252" s="2">
        <v>6.7596998732728905E-5</v>
      </c>
    </row>
    <row r="43253" spans="1:6" x14ac:dyDescent="0.25">
      <c r="A43253" s="1" t="str">
        <f t="shared" si="1479"/>
        <v>99999</v>
      </c>
      <c r="B43253" s="1" t="str">
        <f>"51448"</f>
        <v>51448</v>
      </c>
      <c r="C43253" s="2">
        <v>3.45352240881347E-5</v>
      </c>
      <c r="D43253" s="2">
        <v>0</v>
      </c>
      <c r="E43253" s="2">
        <v>1.29031703089449E-5</v>
      </c>
      <c r="F43253" s="2">
        <v>3.17755234918813E-5</v>
      </c>
    </row>
    <row r="43254" spans="1:6" x14ac:dyDescent="0.25">
      <c r="A43254" s="1" t="str">
        <f t="shared" si="1479"/>
        <v>99999</v>
      </c>
      <c r="B43254" s="1" t="str">
        <f>"50171"</f>
        <v>50171</v>
      </c>
      <c r="C43254" s="2">
        <v>1.55246117060768E-4</v>
      </c>
      <c r="D43254" s="2">
        <v>1.18951002726838E-4</v>
      </c>
      <c r="E43254" s="2">
        <v>1.11827476010855E-4</v>
      </c>
      <c r="F43254" s="2">
        <v>1.51871213211196E-4</v>
      </c>
    </row>
    <row r="43255" spans="1:6" x14ac:dyDescent="0.25">
      <c r="A43255" s="1" t="str">
        <f t="shared" si="1479"/>
        <v>99999</v>
      </c>
      <c r="B43255" s="1" t="str">
        <f>"50249"</f>
        <v>50249</v>
      </c>
      <c r="C43255" s="2">
        <v>6.1167403165505096E-5</v>
      </c>
      <c r="D43255" s="2">
        <v>1.50570889527644E-6</v>
      </c>
      <c r="E43255" s="2">
        <v>4.3010567696482999E-5</v>
      </c>
      <c r="F43255" s="2">
        <v>5.68406879854772E-5</v>
      </c>
    </row>
    <row r="43256" spans="1:6" x14ac:dyDescent="0.25">
      <c r="A43256" s="1" t="str">
        <f t="shared" si="1479"/>
        <v>99999</v>
      </c>
      <c r="B43256" s="1" t="str">
        <f>"50164"</f>
        <v>50164</v>
      </c>
      <c r="C43256" s="2">
        <v>7.7947841202059606E-6</v>
      </c>
      <c r="D43256" s="2">
        <v>7.5285444763821999E-6</v>
      </c>
      <c r="E43256" s="2">
        <v>0</v>
      </c>
      <c r="F43256" s="2">
        <v>7.5984947480585801E-6</v>
      </c>
    </row>
    <row r="43257" spans="1:6" x14ac:dyDescent="0.25">
      <c r="A43257" s="1" t="str">
        <f t="shared" si="1479"/>
        <v>99999</v>
      </c>
      <c r="B43257" s="1" t="str">
        <f>"50436"</f>
        <v>50436</v>
      </c>
      <c r="C43257" s="2">
        <v>3.5271398143931902E-4</v>
      </c>
      <c r="D43257" s="2">
        <v>3.9901285724825602E-4</v>
      </c>
      <c r="E43257" s="2">
        <v>4.6451413112201599E-4</v>
      </c>
      <c r="F43257" s="2">
        <v>3.5831343415844999E-4</v>
      </c>
    </row>
    <row r="43258" spans="1:6" x14ac:dyDescent="0.25">
      <c r="A43258" s="1" t="str">
        <f t="shared" si="1479"/>
        <v>99999</v>
      </c>
      <c r="B43258" s="1" t="str">
        <f>"50451"</f>
        <v>50451</v>
      </c>
      <c r="C43258" s="2">
        <v>2.91221795602139E-5</v>
      </c>
      <c r="D43258" s="2">
        <v>4.5171266858293199E-5</v>
      </c>
      <c r="E43258" s="2">
        <v>1.29031703089449E-5</v>
      </c>
      <c r="F43258" s="2">
        <v>2.9801888492385599E-5</v>
      </c>
    </row>
    <row r="43259" spans="1:6" x14ac:dyDescent="0.25">
      <c r="A43259" s="1" t="str">
        <f t="shared" si="1479"/>
        <v>99999</v>
      </c>
      <c r="B43259" s="1" t="str">
        <f>"50420"</f>
        <v>50420</v>
      </c>
      <c r="C43259" s="2">
        <v>2.1976960783358401E-5</v>
      </c>
      <c r="D43259" s="2">
        <v>4.5171266858293203E-6</v>
      </c>
      <c r="E43259" s="2">
        <v>1.29031703089449E-5</v>
      </c>
      <c r="F43259" s="2">
        <v>2.0624485744730399E-5</v>
      </c>
    </row>
    <row r="43260" spans="1:6" x14ac:dyDescent="0.25">
      <c r="A43260" s="1" t="str">
        <f t="shared" si="1479"/>
        <v>99999</v>
      </c>
      <c r="B43260" s="1" t="str">
        <f>"50659"</f>
        <v>50659</v>
      </c>
      <c r="C43260" s="2">
        <v>2.7833874962568698E-4</v>
      </c>
      <c r="D43260" s="2">
        <v>4.9838964433650105E-4</v>
      </c>
      <c r="E43260" s="2">
        <v>3.3118137126291901E-4</v>
      </c>
      <c r="F43260" s="2">
        <v>2.9397293317488902E-4</v>
      </c>
    </row>
    <row r="43261" spans="1:6" x14ac:dyDescent="0.25">
      <c r="A43261" s="1" t="str">
        <f t="shared" si="1479"/>
        <v>99999</v>
      </c>
      <c r="B43261" s="1" t="str">
        <f>"50438"</f>
        <v>50438</v>
      </c>
      <c r="C43261" s="2">
        <v>2.03313952468705E-4</v>
      </c>
      <c r="D43261" s="2">
        <v>2.98130361264735E-4</v>
      </c>
      <c r="E43261" s="2">
        <v>1.5053698693768999E-4</v>
      </c>
      <c r="F43261" s="2">
        <v>2.0831717419677399E-4</v>
      </c>
    </row>
    <row r="43262" spans="1:6" x14ac:dyDescent="0.25">
      <c r="A43262" s="1" t="str">
        <f t="shared" si="1479"/>
        <v>99999</v>
      </c>
      <c r="B43262" s="1" t="str">
        <f>"50670"</f>
        <v>50670</v>
      </c>
      <c r="C43262" s="2">
        <v>9.8409149517600204E-5</v>
      </c>
      <c r="D43262" s="2">
        <v>3.1619886800805203E-5</v>
      </c>
      <c r="E43262" s="2">
        <v>3.44084541571864E-5</v>
      </c>
      <c r="F43262" s="2">
        <v>9.2563481476350002E-5</v>
      </c>
    </row>
    <row r="43263" spans="1:6" x14ac:dyDescent="0.25">
      <c r="A43263" s="1" t="str">
        <f t="shared" si="1479"/>
        <v>99999</v>
      </c>
      <c r="B43263" s="1" t="str">
        <f>"50535"</f>
        <v>50535</v>
      </c>
      <c r="C43263" s="2">
        <v>5.5104793294233803E-5</v>
      </c>
      <c r="D43263" s="2">
        <v>5.1194102439398901E-5</v>
      </c>
      <c r="E43263" s="2">
        <v>5.5913738005427899E-5</v>
      </c>
      <c r="F43263" s="2">
        <v>5.4867052985981401E-5</v>
      </c>
    </row>
    <row r="43264" spans="1:6" x14ac:dyDescent="0.25">
      <c r="A43264" s="1" t="str">
        <f t="shared" si="1479"/>
        <v>99999</v>
      </c>
      <c r="B43264" s="1" t="str">
        <f>"50542"</f>
        <v>50542</v>
      </c>
      <c r="C43264" s="2">
        <v>5.08826185624555E-5</v>
      </c>
      <c r="D43264" s="2">
        <v>3.7642722381910999E-5</v>
      </c>
      <c r="E43264" s="2">
        <v>4.3010567696482999E-5</v>
      </c>
      <c r="F43264" s="2">
        <v>4.9834283737267301E-5</v>
      </c>
    </row>
    <row r="43265" spans="1:6" x14ac:dyDescent="0.25">
      <c r="A43265" s="1" t="str">
        <f t="shared" si="1479"/>
        <v>99999</v>
      </c>
      <c r="B43265" s="1" t="str">
        <f>"50598"</f>
        <v>50598</v>
      </c>
      <c r="C43265" s="2">
        <v>4.9366966094637701E-5</v>
      </c>
      <c r="D43265" s="2">
        <v>4.0654140172463799E-5</v>
      </c>
      <c r="E43265" s="2">
        <v>3.44084541571864E-5</v>
      </c>
      <c r="F43265" s="2">
        <v>4.8452739237620299E-5</v>
      </c>
    </row>
    <row r="43266" spans="1:6" x14ac:dyDescent="0.25">
      <c r="A43266" s="1" t="str">
        <f t="shared" si="1479"/>
        <v>99999</v>
      </c>
      <c r="B43266" s="1" t="str">
        <f>"50480"</f>
        <v>50480</v>
      </c>
      <c r="C43266" s="2">
        <v>5.52130541847922E-5</v>
      </c>
      <c r="D43266" s="2">
        <v>9.0342533716586405E-6</v>
      </c>
      <c r="E43266" s="2">
        <v>5.1612681235779599E-5</v>
      </c>
      <c r="F43266" s="2">
        <v>5.2103963986687403E-5</v>
      </c>
    </row>
    <row r="43267" spans="1:6" x14ac:dyDescent="0.25">
      <c r="A43267" s="1" t="str">
        <f t="shared" si="1479"/>
        <v>99999</v>
      </c>
      <c r="B43267" s="1" t="str">
        <f>"50660"</f>
        <v>50660</v>
      </c>
      <c r="C43267" s="2">
        <v>5.6512184871493199E-5</v>
      </c>
      <c r="D43267" s="2">
        <v>4.5171266858293203E-6</v>
      </c>
      <c r="E43267" s="2">
        <v>3.01073973875381E-5</v>
      </c>
      <c r="F43267" s="2">
        <v>5.2498690986586503E-5</v>
      </c>
    </row>
    <row r="43268" spans="1:6" x14ac:dyDescent="0.25">
      <c r="A43268" s="1" t="str">
        <f t="shared" si="1479"/>
        <v>99999</v>
      </c>
      <c r="B43268" s="1" t="str">
        <f>"49912"</f>
        <v>49912</v>
      </c>
      <c r="C43268" s="2">
        <v>6.1708707618297195E-5</v>
      </c>
      <c r="D43268" s="2">
        <v>1.50570889527644E-5</v>
      </c>
      <c r="E43268" s="2">
        <v>3.44084541571864E-5</v>
      </c>
      <c r="F43268" s="2">
        <v>5.8024868985174602E-5</v>
      </c>
    </row>
    <row r="43269" spans="1:6" x14ac:dyDescent="0.25">
      <c r="A43269" s="1" t="str">
        <f t="shared" si="1479"/>
        <v>99999</v>
      </c>
      <c r="B43269" s="1" t="str">
        <f>"49911"</f>
        <v>49911</v>
      </c>
      <c r="C43269" s="2">
        <v>1.98009168831343E-4</v>
      </c>
      <c r="D43269" s="2">
        <v>1.8369648522372501E-4</v>
      </c>
      <c r="E43269" s="2">
        <v>2.6236446294854599E-4</v>
      </c>
      <c r="F43269" s="2">
        <v>1.9854768094927099E-4</v>
      </c>
    </row>
    <row r="43270" spans="1:6" x14ac:dyDescent="0.25">
      <c r="A43270" s="1" t="str">
        <f t="shared" ref="A43270:A43333" si="1480">"99999"</f>
        <v>99999</v>
      </c>
      <c r="B43270" s="1" t="str">
        <f>"49903"</f>
        <v>49903</v>
      </c>
      <c r="C43270" s="2">
        <v>1.42904375537109E-5</v>
      </c>
      <c r="D43270" s="2">
        <v>0</v>
      </c>
      <c r="E43270" s="2">
        <v>1.29031703089449E-5</v>
      </c>
      <c r="F43270" s="2">
        <v>1.3322036246596199E-5</v>
      </c>
    </row>
    <row r="43271" spans="1:6" x14ac:dyDescent="0.25">
      <c r="A43271" s="1" t="str">
        <f t="shared" si="1480"/>
        <v>99999</v>
      </c>
      <c r="B43271" s="1" t="str">
        <f>"49967"</f>
        <v>49967</v>
      </c>
      <c r="C43271" s="2">
        <v>4.2330008208340701E-5</v>
      </c>
      <c r="D43271" s="2">
        <v>3.01141779055288E-6</v>
      </c>
      <c r="E43271" s="2">
        <v>4.3010567696482999E-6</v>
      </c>
      <c r="F43271" s="2">
        <v>3.8880609490066002E-5</v>
      </c>
    </row>
    <row r="43272" spans="1:6" x14ac:dyDescent="0.25">
      <c r="A43272" s="1" t="str">
        <f t="shared" si="1480"/>
        <v>99999</v>
      </c>
      <c r="B43272" s="1" t="str">
        <f>"49327"</f>
        <v>49327</v>
      </c>
      <c r="C43272" s="2">
        <v>3.7631485558105402E-4</v>
      </c>
      <c r="D43272" s="2">
        <v>1.8068506743317201E-4</v>
      </c>
      <c r="E43272" s="2">
        <v>1.8494544109487701E-4</v>
      </c>
      <c r="F43272" s="2">
        <v>3.5910288815824902E-4</v>
      </c>
    </row>
    <row r="43273" spans="1:6" x14ac:dyDescent="0.25">
      <c r="A43273" s="1" t="str">
        <f t="shared" si="1480"/>
        <v>99999</v>
      </c>
      <c r="B43273" s="1" t="str">
        <f>"49325"</f>
        <v>49325</v>
      </c>
      <c r="C43273" s="2">
        <v>6.7771317489568502E-5</v>
      </c>
      <c r="D43273" s="2">
        <v>3.4631304591358098E-5</v>
      </c>
      <c r="E43273" s="2">
        <v>3.01073973875381E-5</v>
      </c>
      <c r="F43273" s="2">
        <v>6.4735227983460096E-5</v>
      </c>
    </row>
    <row r="43274" spans="1:6" x14ac:dyDescent="0.25">
      <c r="A43274" s="1" t="str">
        <f t="shared" si="1480"/>
        <v>99999</v>
      </c>
      <c r="B43274" s="1" t="str">
        <f>"49090"</f>
        <v>49090</v>
      </c>
      <c r="C43274" s="2">
        <v>8.1423015788984799E-4</v>
      </c>
      <c r="D43274" s="2">
        <v>1.2437155474983299E-3</v>
      </c>
      <c r="E43274" s="2">
        <v>1.2946180876641301E-3</v>
      </c>
      <c r="F43274" s="2">
        <v>8.5339977378195596E-4</v>
      </c>
    </row>
    <row r="43275" spans="1:6" x14ac:dyDescent="0.25">
      <c r="A43275" s="1" t="str">
        <f t="shared" si="1480"/>
        <v>99999</v>
      </c>
      <c r="B43275" s="1" t="str">
        <f>"49017"</f>
        <v>49017</v>
      </c>
      <c r="C43275" s="2">
        <v>9.0722626287952695E-5</v>
      </c>
      <c r="D43275" s="2">
        <v>1.80685067433172E-5</v>
      </c>
      <c r="E43275" s="2">
        <v>4.3010567696482999E-5</v>
      </c>
      <c r="F43275" s="2">
        <v>8.4866304978316605E-5</v>
      </c>
    </row>
    <row r="43276" spans="1:6" x14ac:dyDescent="0.25">
      <c r="A43276" s="1" t="str">
        <f t="shared" si="1480"/>
        <v>99999</v>
      </c>
      <c r="B43276" s="1" t="str">
        <f>"54204"</f>
        <v>54204</v>
      </c>
      <c r="C43276" s="2">
        <v>9.6568714378107194E-5</v>
      </c>
      <c r="D43276" s="2">
        <v>4.8182684648845999E-5</v>
      </c>
      <c r="E43276" s="2">
        <v>2.58063406178898E-5</v>
      </c>
      <c r="F43276" s="2">
        <v>9.1774027476551707E-5</v>
      </c>
    </row>
    <row r="43277" spans="1:6" x14ac:dyDescent="0.25">
      <c r="A43277" s="1" t="str">
        <f t="shared" si="1480"/>
        <v>99999</v>
      </c>
      <c r="B43277" s="1" t="str">
        <f>"54209"</f>
        <v>54209</v>
      </c>
      <c r="C43277" s="2">
        <v>1.39548287929798E-4</v>
      </c>
      <c r="D43277" s="2">
        <v>1.06905331564627E-4</v>
      </c>
      <c r="E43277" s="2">
        <v>3.39783484802215E-4</v>
      </c>
      <c r="F43277" s="2">
        <v>1.42003038213718E-4</v>
      </c>
    </row>
    <row r="43278" spans="1:6" x14ac:dyDescent="0.25">
      <c r="A43278" s="1" t="str">
        <f t="shared" si="1480"/>
        <v>99999</v>
      </c>
      <c r="B43278" s="1" t="str">
        <f>"54235"</f>
        <v>54235</v>
      </c>
      <c r="C43278" s="2">
        <v>1.1629384863785001E-3</v>
      </c>
      <c r="D43278" s="2">
        <v>1.28888681435663E-3</v>
      </c>
      <c r="E43278" s="2">
        <v>1.78493855940404E-3</v>
      </c>
      <c r="F43278" s="2">
        <v>1.1854638624471099E-3</v>
      </c>
    </row>
    <row r="43279" spans="1:6" x14ac:dyDescent="0.25">
      <c r="A43279" s="1" t="str">
        <f t="shared" si="1480"/>
        <v>99999</v>
      </c>
      <c r="B43279" s="1" t="str">
        <f>"54246"</f>
        <v>54246</v>
      </c>
      <c r="C43279" s="2">
        <v>7.4483492704190298E-5</v>
      </c>
      <c r="D43279" s="2">
        <v>4.5171266858293199E-5</v>
      </c>
      <c r="E43279" s="2">
        <v>3.44084541571864E-5</v>
      </c>
      <c r="F43279" s="2">
        <v>7.1642950481695197E-5</v>
      </c>
    </row>
    <row r="43280" spans="1:6" x14ac:dyDescent="0.25">
      <c r="A43280" s="1" t="str">
        <f t="shared" si="1480"/>
        <v>99999</v>
      </c>
      <c r="B43280" s="1" t="str">
        <f>"53541"</f>
        <v>53541</v>
      </c>
      <c r="C43280" s="2">
        <v>4.6227400268443698E-5</v>
      </c>
      <c r="D43280" s="2">
        <v>2.55970512196994E-5</v>
      </c>
      <c r="E43280" s="2">
        <v>8.6021135392965999E-6</v>
      </c>
      <c r="F43280" s="2">
        <v>4.4012060488754899E-5</v>
      </c>
    </row>
    <row r="43281" spans="1:6" x14ac:dyDescent="0.25">
      <c r="A43281" s="1" t="str">
        <f t="shared" si="1480"/>
        <v>99999</v>
      </c>
      <c r="B43281" s="1" t="str">
        <f>"53573"</f>
        <v>53573</v>
      </c>
      <c r="C43281" s="2">
        <v>4.5577834925093202E-5</v>
      </c>
      <c r="D43281" s="2">
        <v>1.20456711622115E-5</v>
      </c>
      <c r="E43281" s="2">
        <v>1.29031703089449E-5</v>
      </c>
      <c r="F43281" s="2">
        <v>4.2630515989107903E-5</v>
      </c>
    </row>
    <row r="43282" spans="1:6" x14ac:dyDescent="0.25">
      <c r="A43282" s="1" t="str">
        <f t="shared" si="1480"/>
        <v>99999</v>
      </c>
      <c r="B43282" s="1" t="str">
        <f>"53516"</f>
        <v>53516</v>
      </c>
      <c r="C43282" s="2">
        <v>5.8785663573219898E-5</v>
      </c>
      <c r="D43282" s="2">
        <v>2.1079924533870101E-5</v>
      </c>
      <c r="E43282" s="2">
        <v>1.72042270785932E-5</v>
      </c>
      <c r="F43282" s="2">
        <v>5.53604617358554E-5</v>
      </c>
    </row>
    <row r="43283" spans="1:6" x14ac:dyDescent="0.25">
      <c r="A43283" s="1" t="str">
        <f t="shared" si="1480"/>
        <v>99999</v>
      </c>
      <c r="B43283" s="1" t="str">
        <f>"53821"</f>
        <v>53821</v>
      </c>
      <c r="C43283" s="2">
        <v>4.2373312564563997E-4</v>
      </c>
      <c r="D43283" s="2">
        <v>6.91120382931886E-4</v>
      </c>
      <c r="E43283" s="2">
        <v>6.3655640190794804E-4</v>
      </c>
      <c r="F43283" s="2">
        <v>4.4614019163601102E-4</v>
      </c>
    </row>
    <row r="43284" spans="1:6" x14ac:dyDescent="0.25">
      <c r="A43284" s="1" t="str">
        <f t="shared" si="1480"/>
        <v>99999</v>
      </c>
      <c r="B43284" s="1" t="str">
        <f>"53934"</f>
        <v>53934</v>
      </c>
      <c r="C43284" s="2">
        <v>3.6191615713678502E-4</v>
      </c>
      <c r="D43284" s="2">
        <v>1.0991674935517999E-4</v>
      </c>
      <c r="E43284" s="2">
        <v>1.72042270785932E-4</v>
      </c>
      <c r="F43284" s="2">
        <v>3.4104412791286301E-4</v>
      </c>
    </row>
    <row r="43285" spans="1:6" x14ac:dyDescent="0.25">
      <c r="A43285" s="1" t="str">
        <f t="shared" si="1480"/>
        <v>99999</v>
      </c>
      <c r="B43285" s="1" t="str">
        <f>"53949"</f>
        <v>53949</v>
      </c>
      <c r="C43285" s="2">
        <v>3.9655964211547803E-4</v>
      </c>
      <c r="D43285" s="2">
        <v>1.50570889527644E-4</v>
      </c>
      <c r="E43285" s="2">
        <v>2.3655812233065599E-4</v>
      </c>
      <c r="F43285" s="2">
        <v>3.7676692140373597E-4</v>
      </c>
    </row>
    <row r="43286" spans="1:6" x14ac:dyDescent="0.25">
      <c r="A43286" s="1" t="str">
        <f t="shared" si="1480"/>
        <v>99999</v>
      </c>
      <c r="B43286" s="1" t="str">
        <f>"53965"</f>
        <v>53965</v>
      </c>
      <c r="C43286" s="2">
        <v>2.84184837715842E-4</v>
      </c>
      <c r="D43286" s="2">
        <v>1.14433876041009E-4</v>
      </c>
      <c r="E43286" s="2">
        <v>2.2795600879136E-4</v>
      </c>
      <c r="F43286" s="2">
        <v>2.7176953943056201E-4</v>
      </c>
    </row>
    <row r="43287" spans="1:6" x14ac:dyDescent="0.25">
      <c r="A43287" s="1" t="str">
        <f t="shared" si="1480"/>
        <v>99999</v>
      </c>
      <c r="B43287" s="1" t="str">
        <f>"52570"</f>
        <v>52570</v>
      </c>
      <c r="C43287" s="2">
        <v>4.7093487392911002E-5</v>
      </c>
      <c r="D43287" s="2">
        <v>3.01141779055288E-5</v>
      </c>
      <c r="E43287" s="2">
        <v>3.8709510926834699E-5</v>
      </c>
      <c r="F43287" s="2">
        <v>4.5788331988301002E-5</v>
      </c>
    </row>
    <row r="43288" spans="1:6" x14ac:dyDescent="0.25">
      <c r="A43288" s="1" t="str">
        <f t="shared" si="1480"/>
        <v>99999</v>
      </c>
      <c r="B43288" s="1" t="str">
        <f>"52772"</f>
        <v>52772</v>
      </c>
      <c r="C43288" s="2">
        <v>2.7541570558060999E-4</v>
      </c>
      <c r="D43288" s="2">
        <v>3.3577308364664602E-4</v>
      </c>
      <c r="E43288" s="2">
        <v>3.0537503064502898E-4</v>
      </c>
      <c r="F43288" s="2">
        <v>2.8005880642844401E-4</v>
      </c>
    </row>
    <row r="43289" spans="1:6" x14ac:dyDescent="0.25">
      <c r="A43289" s="1" t="str">
        <f t="shared" si="1480"/>
        <v>99999</v>
      </c>
      <c r="B43289" s="1" t="str">
        <f>"42378"</f>
        <v>42378</v>
      </c>
      <c r="C43289" s="2">
        <v>5.2181749249156499E-5</v>
      </c>
      <c r="D43289" s="2">
        <v>1.20456711622115E-5</v>
      </c>
      <c r="E43289" s="2">
        <v>1.29031703089449E-5</v>
      </c>
      <c r="F43289" s="2">
        <v>4.8650102737569798E-5</v>
      </c>
    </row>
    <row r="43290" spans="1:6" x14ac:dyDescent="0.25">
      <c r="A43290" s="1" t="str">
        <f t="shared" si="1480"/>
        <v>99999</v>
      </c>
      <c r="B43290" s="1" t="str">
        <f>"41722"</f>
        <v>41722</v>
      </c>
      <c r="C43290" s="2">
        <v>7.0261317972412002E-5</v>
      </c>
      <c r="D43290" s="2">
        <v>6.0228355811057601E-6</v>
      </c>
      <c r="E43290" s="2">
        <v>8.6021135392965999E-6</v>
      </c>
      <c r="F43290" s="2">
        <v>6.4636546233485306E-5</v>
      </c>
    </row>
    <row r="43291" spans="1:6" x14ac:dyDescent="0.25">
      <c r="A43291" s="1" t="str">
        <f t="shared" si="1480"/>
        <v>99999</v>
      </c>
      <c r="B43291" s="1" t="str">
        <f>"41568"</f>
        <v>41568</v>
      </c>
      <c r="C43291" s="2">
        <v>3.7133485461536698E-5</v>
      </c>
      <c r="D43291" s="2">
        <v>3.01141779055288E-6</v>
      </c>
      <c r="E43291" s="2">
        <v>8.1720078623317706E-5</v>
      </c>
      <c r="F43291" s="2">
        <v>3.5920156990822301E-5</v>
      </c>
    </row>
    <row r="43292" spans="1:6" x14ac:dyDescent="0.25">
      <c r="A43292" s="1" t="str">
        <f t="shared" si="1480"/>
        <v>99999</v>
      </c>
      <c r="B43292" s="1" t="str">
        <f>"41615"</f>
        <v>41615</v>
      </c>
      <c r="C43292" s="2">
        <v>3.00965275752396E-5</v>
      </c>
      <c r="D43292" s="2">
        <v>0</v>
      </c>
      <c r="E43292" s="2">
        <v>1.29031703089449E-5</v>
      </c>
      <c r="F43292" s="2">
        <v>2.7729571742915E-5</v>
      </c>
    </row>
    <row r="43293" spans="1:6" x14ac:dyDescent="0.25">
      <c r="A43293" s="1" t="str">
        <f t="shared" si="1480"/>
        <v>99999</v>
      </c>
      <c r="B43293" s="1" t="str">
        <f>"41535"</f>
        <v>41535</v>
      </c>
      <c r="C43293" s="2">
        <v>2.32760914700594E-5</v>
      </c>
      <c r="D43293" s="2">
        <v>1.50570889527644E-6</v>
      </c>
      <c r="E43293" s="2">
        <v>3.44084541571864E-5</v>
      </c>
      <c r="F43293" s="2">
        <v>2.2104711994352199E-5</v>
      </c>
    </row>
    <row r="43294" spans="1:6" x14ac:dyDescent="0.25">
      <c r="A43294" s="1" t="str">
        <f t="shared" si="1480"/>
        <v>99999</v>
      </c>
      <c r="B43294" s="1" t="str">
        <f>"41822"</f>
        <v>41822</v>
      </c>
      <c r="C43294" s="2">
        <v>6.3007838304998201E-5</v>
      </c>
      <c r="D43294" s="2">
        <v>7.2274026973269097E-5</v>
      </c>
      <c r="E43294" s="2">
        <v>8.6021135392965999E-5</v>
      </c>
      <c r="F43294" s="2">
        <v>6.4143137483611395E-5</v>
      </c>
    </row>
    <row r="43295" spans="1:6" x14ac:dyDescent="0.25">
      <c r="A43295" s="1" t="str">
        <f t="shared" si="1480"/>
        <v>99999</v>
      </c>
      <c r="B43295" s="1" t="str">
        <f>"41601"</f>
        <v>41601</v>
      </c>
      <c r="C43295" s="2">
        <v>2.9555223122447599E-5</v>
      </c>
      <c r="D43295" s="2">
        <v>5.4205520229951803E-5</v>
      </c>
      <c r="E43295" s="2">
        <v>3.44084541571864E-5</v>
      </c>
      <c r="F43295" s="2">
        <v>3.1282114742007402E-5</v>
      </c>
    </row>
    <row r="43296" spans="1:6" x14ac:dyDescent="0.25">
      <c r="A43296" s="1" t="str">
        <f t="shared" si="1480"/>
        <v>99999</v>
      </c>
      <c r="B43296" s="1" t="str">
        <f>"41602"</f>
        <v>41602</v>
      </c>
      <c r="C43296" s="2">
        <v>2.99882666846812E-5</v>
      </c>
      <c r="D43296" s="2">
        <v>1.20456711622115E-5</v>
      </c>
      <c r="E43296" s="2">
        <v>8.6021135392965999E-6</v>
      </c>
      <c r="F43296" s="2">
        <v>2.83216622427638E-5</v>
      </c>
    </row>
    <row r="43297" spans="1:6" x14ac:dyDescent="0.25">
      <c r="A43297" s="1" t="str">
        <f t="shared" si="1480"/>
        <v>99999</v>
      </c>
      <c r="B43297" s="1" t="str">
        <f>"41763"</f>
        <v>41763</v>
      </c>
      <c r="C43297" s="2">
        <v>2.6307396405695101E-5</v>
      </c>
      <c r="D43297" s="2">
        <v>1.50570889527644E-6</v>
      </c>
      <c r="E43297" s="2">
        <v>2.58063406178898E-5</v>
      </c>
      <c r="F43297" s="2">
        <v>2.4670437493696699E-5</v>
      </c>
    </row>
    <row r="43298" spans="1:6" x14ac:dyDescent="0.25">
      <c r="A43298" s="1" t="str">
        <f t="shared" si="1480"/>
        <v>99999</v>
      </c>
      <c r="B43298" s="1" t="str">
        <f>"43516"</f>
        <v>43516</v>
      </c>
      <c r="C43298" s="2">
        <v>1.24283502361061E-4</v>
      </c>
      <c r="D43298" s="2">
        <v>1.58099434004026E-4</v>
      </c>
      <c r="E43298" s="2">
        <v>1.41934873398393E-4</v>
      </c>
      <c r="F43298" s="2">
        <v>1.2690473046757499E-4</v>
      </c>
    </row>
    <row r="43299" spans="1:6" x14ac:dyDescent="0.25">
      <c r="A43299" s="1" t="str">
        <f t="shared" si="1480"/>
        <v>99999</v>
      </c>
      <c r="B43299" s="1" t="str">
        <f>"43517"</f>
        <v>43517</v>
      </c>
      <c r="C43299" s="2">
        <v>1.2709828551558E-4</v>
      </c>
      <c r="D43299" s="2">
        <v>1.3250238278432599E-4</v>
      </c>
      <c r="E43299" s="2">
        <v>6.8816908314372799E-5</v>
      </c>
      <c r="F43299" s="2">
        <v>1.26115276467777E-4</v>
      </c>
    </row>
    <row r="43300" spans="1:6" x14ac:dyDescent="0.25">
      <c r="A43300" s="1" t="str">
        <f t="shared" si="1480"/>
        <v>99999</v>
      </c>
      <c r="B43300" s="1" t="str">
        <f>"47660"</f>
        <v>47660</v>
      </c>
      <c r="C43300" s="2">
        <v>2.3849874190019001E-4</v>
      </c>
      <c r="D43300" s="2">
        <v>2.77050436730865E-4</v>
      </c>
      <c r="E43300" s="2">
        <v>2.23654952021711E-4</v>
      </c>
      <c r="F43300" s="2">
        <v>2.4068478818850501E-4</v>
      </c>
    </row>
    <row r="43301" spans="1:6" x14ac:dyDescent="0.25">
      <c r="A43301" s="1" t="str">
        <f t="shared" si="1480"/>
        <v>99999</v>
      </c>
      <c r="B43301" s="1" t="str">
        <f>"47666"</f>
        <v>47666</v>
      </c>
      <c r="C43301" s="2">
        <v>6.5606099678400105E-5</v>
      </c>
      <c r="D43301" s="2">
        <v>1.9574215638593701E-5</v>
      </c>
      <c r="E43301" s="2">
        <v>3.44084541571864E-5</v>
      </c>
      <c r="F43301" s="2">
        <v>6.18734572341913E-5</v>
      </c>
    </row>
    <row r="43302" spans="1:6" x14ac:dyDescent="0.25">
      <c r="A43302" s="1" t="str">
        <f t="shared" si="1480"/>
        <v>99999</v>
      </c>
      <c r="B43302" s="1" t="str">
        <f>"47634"</f>
        <v>47634</v>
      </c>
      <c r="C43302" s="2">
        <v>1.12483065290194E-4</v>
      </c>
      <c r="D43302" s="2">
        <v>3.6137013486634501E-5</v>
      </c>
      <c r="E43302" s="2">
        <v>4.3010567696482999E-6</v>
      </c>
      <c r="F43302" s="2">
        <v>1.0499738197317301E-4</v>
      </c>
    </row>
    <row r="43303" spans="1:6" x14ac:dyDescent="0.25">
      <c r="A43303" s="1" t="str">
        <f t="shared" si="1480"/>
        <v>99999</v>
      </c>
      <c r="B43303" s="1" t="str">
        <f>"43506"</f>
        <v>43506</v>
      </c>
      <c r="C43303" s="2">
        <v>7.6832754029307901E-4</v>
      </c>
      <c r="D43303" s="2">
        <v>1.03291630215963E-3</v>
      </c>
      <c r="E43303" s="2">
        <v>1.6817131969324799E-3</v>
      </c>
      <c r="F43303" s="2">
        <v>8.0662462429390697E-4</v>
      </c>
    </row>
    <row r="43304" spans="1:6" x14ac:dyDescent="0.25">
      <c r="A43304" s="1" t="str">
        <f t="shared" si="1480"/>
        <v>99999</v>
      </c>
      <c r="B43304" s="1" t="str">
        <f>"43518"</f>
        <v>43518</v>
      </c>
      <c r="C43304" s="2">
        <v>1.16596979131414E-4</v>
      </c>
      <c r="D43304" s="2">
        <v>6.1734064706334002E-5</v>
      </c>
      <c r="E43304" s="2">
        <v>4.3010567696482999E-5</v>
      </c>
      <c r="F43304" s="2">
        <v>1.11313013971559E-4</v>
      </c>
    </row>
    <row r="43305" spans="1:6" x14ac:dyDescent="0.25">
      <c r="A43305" s="1" t="str">
        <f t="shared" si="1480"/>
        <v>99999</v>
      </c>
      <c r="B43305" s="1" t="str">
        <f>"47175"</f>
        <v>47175</v>
      </c>
      <c r="C43305" s="2">
        <v>5.3047836373623898E-5</v>
      </c>
      <c r="D43305" s="2">
        <v>7.5285444763821999E-6</v>
      </c>
      <c r="E43305" s="2">
        <v>2.58063406178898E-5</v>
      </c>
      <c r="F43305" s="2">
        <v>4.94395567373681E-5</v>
      </c>
    </row>
    <row r="43306" spans="1:6" x14ac:dyDescent="0.25">
      <c r="A43306" s="1" t="str">
        <f t="shared" si="1480"/>
        <v>99999</v>
      </c>
      <c r="B43306" s="1" t="str">
        <f>"43570"</f>
        <v>43570</v>
      </c>
      <c r="C43306" s="2">
        <v>1.50482637876198E-4</v>
      </c>
      <c r="D43306" s="2">
        <v>1.12928167145733E-4</v>
      </c>
      <c r="E43306" s="2">
        <v>3.2257925772362199E-4</v>
      </c>
      <c r="F43306" s="2">
        <v>1.5196989496117099E-4</v>
      </c>
    </row>
    <row r="43307" spans="1:6" x14ac:dyDescent="0.25">
      <c r="A43307" s="1" t="str">
        <f t="shared" si="1480"/>
        <v>99999</v>
      </c>
      <c r="B43307" s="1" t="str">
        <f>"42721"</f>
        <v>42721</v>
      </c>
      <c r="C43307" s="2">
        <v>2.0060743020474501E-4</v>
      </c>
      <c r="D43307" s="2">
        <v>9.33539515071393E-5</v>
      </c>
      <c r="E43307" s="2">
        <v>3.7849299572905002E-4</v>
      </c>
      <c r="F43307" s="2">
        <v>1.97659545199497E-4</v>
      </c>
    </row>
    <row r="43308" spans="1:6" x14ac:dyDescent="0.25">
      <c r="A43308" s="1" t="str">
        <f t="shared" si="1480"/>
        <v>99999</v>
      </c>
      <c r="B43308" s="1" t="str">
        <f>"42749"</f>
        <v>42749</v>
      </c>
      <c r="C43308" s="2">
        <v>2.74008314003351E-4</v>
      </c>
      <c r="D43308" s="2">
        <v>2.95118943474182E-4</v>
      </c>
      <c r="E43308" s="2">
        <v>1.13547898718715E-3</v>
      </c>
      <c r="F43308" s="2">
        <v>2.9515711417458699E-4</v>
      </c>
    </row>
    <row r="43309" spans="1:6" x14ac:dyDescent="0.25">
      <c r="A43309" s="1" t="str">
        <f t="shared" si="1480"/>
        <v>99999</v>
      </c>
      <c r="B43309" s="1" t="str">
        <f>"47118"</f>
        <v>47118</v>
      </c>
      <c r="C43309" s="2">
        <v>1.93786994099564E-4</v>
      </c>
      <c r="D43309" s="2">
        <v>7.3779735868545501E-5</v>
      </c>
      <c r="E43309" s="2">
        <v>5.2902998266674103E-4</v>
      </c>
      <c r="F43309" s="2">
        <v>1.9361359345053099E-4</v>
      </c>
    </row>
    <row r="43310" spans="1:6" x14ac:dyDescent="0.25">
      <c r="A43310" s="1" t="str">
        <f t="shared" si="1480"/>
        <v>99999</v>
      </c>
      <c r="B43310" s="1" t="str">
        <f>"47137"</f>
        <v>47137</v>
      </c>
      <c r="C43310" s="2">
        <v>8.5959147103382394E-5</v>
      </c>
      <c r="D43310" s="2">
        <v>7.0768318077992694E-5</v>
      </c>
      <c r="E43310" s="2">
        <v>1.41934873398393E-4</v>
      </c>
      <c r="F43310" s="2">
        <v>8.6247849477963601E-5</v>
      </c>
    </row>
    <row r="43311" spans="1:6" x14ac:dyDescent="0.25">
      <c r="A43311" s="1" t="str">
        <f t="shared" si="1480"/>
        <v>99999</v>
      </c>
      <c r="B43311" s="1" t="str">
        <f>"42742"</f>
        <v>42742</v>
      </c>
      <c r="C43311" s="2">
        <v>3.3560876073109E-6</v>
      </c>
      <c r="D43311" s="2">
        <v>0</v>
      </c>
      <c r="E43311" s="2">
        <v>1.29031703089449E-5</v>
      </c>
      <c r="F43311" s="2">
        <v>3.35517949914275E-6</v>
      </c>
    </row>
    <row r="43312" spans="1:6" x14ac:dyDescent="0.25">
      <c r="A43312" s="1" t="str">
        <f t="shared" si="1480"/>
        <v>99999</v>
      </c>
      <c r="B43312" s="1" t="str">
        <f>"47125"</f>
        <v>47125</v>
      </c>
      <c r="C43312" s="2">
        <v>4.1139138412198099E-5</v>
      </c>
      <c r="D43312" s="2">
        <v>1.65627978480408E-5</v>
      </c>
      <c r="E43312" s="2">
        <v>1.07526419241207E-4</v>
      </c>
      <c r="F43312" s="2">
        <v>4.10516079895113E-5</v>
      </c>
    </row>
    <row r="43313" spans="1:6" x14ac:dyDescent="0.25">
      <c r="A43313" s="1" t="str">
        <f t="shared" si="1480"/>
        <v>99999</v>
      </c>
      <c r="B43313" s="1" t="str">
        <f>"40927"</f>
        <v>40927</v>
      </c>
      <c r="C43313" s="2">
        <v>2.40339177039683E-5</v>
      </c>
      <c r="D43313" s="2">
        <v>4.5171266858293203E-6</v>
      </c>
      <c r="E43313" s="2">
        <v>4.3010567696482999E-6</v>
      </c>
      <c r="F43313" s="2">
        <v>2.23020754943018E-5</v>
      </c>
    </row>
    <row r="43314" spans="1:6" x14ac:dyDescent="0.25">
      <c r="A43314" s="1" t="str">
        <f t="shared" si="1480"/>
        <v>99999</v>
      </c>
      <c r="B43314" s="1" t="str">
        <f>"41171"</f>
        <v>41171</v>
      </c>
      <c r="C43314" s="2">
        <v>1.8772438422829299E-4</v>
      </c>
      <c r="D43314" s="2">
        <v>8.5825407030757094E-5</v>
      </c>
      <c r="E43314" s="2">
        <v>4.0860039311658801E-4</v>
      </c>
      <c r="F43314" s="2">
        <v>1.8611378045244701E-4</v>
      </c>
    </row>
    <row r="43315" spans="1:6" x14ac:dyDescent="0.25">
      <c r="A43315" s="1" t="str">
        <f t="shared" si="1480"/>
        <v>99999</v>
      </c>
      <c r="B43315" s="1" t="str">
        <f>"40865"</f>
        <v>40865</v>
      </c>
      <c r="C43315" s="2">
        <v>1.2991306867009899E-5</v>
      </c>
      <c r="D43315" s="2">
        <v>3.01141779055288E-6</v>
      </c>
      <c r="E43315" s="2">
        <v>1.29031703089449E-5</v>
      </c>
      <c r="F43315" s="2">
        <v>1.23352187468483E-5</v>
      </c>
    </row>
    <row r="43316" spans="1:6" x14ac:dyDescent="0.25">
      <c r="A43316" s="1" t="str">
        <f t="shared" si="1480"/>
        <v>99999</v>
      </c>
      <c r="B43316" s="1" t="str">
        <f>"41267"</f>
        <v>41267</v>
      </c>
      <c r="C43316" s="2">
        <v>4.38456606761585E-5</v>
      </c>
      <c r="D43316" s="2">
        <v>9.0342533716586405E-6</v>
      </c>
      <c r="E43316" s="2">
        <v>3.0537503064502898E-4</v>
      </c>
      <c r="F43316" s="2">
        <v>4.75646034878472E-5</v>
      </c>
    </row>
    <row r="43317" spans="1:6" x14ac:dyDescent="0.25">
      <c r="A43317" s="1" t="str">
        <f t="shared" si="1480"/>
        <v>99999</v>
      </c>
      <c r="B43317" s="1" t="str">
        <f>"41314"</f>
        <v>41314</v>
      </c>
      <c r="C43317" s="2">
        <v>2.37416132994606E-4</v>
      </c>
      <c r="D43317" s="2">
        <v>9.1848242611862802E-5</v>
      </c>
      <c r="E43317" s="2">
        <v>2.0214966817347E-4</v>
      </c>
      <c r="F43317" s="2">
        <v>2.2706670669198401E-4</v>
      </c>
    </row>
    <row r="43318" spans="1:6" x14ac:dyDescent="0.25">
      <c r="A43318" s="1" t="str">
        <f t="shared" si="1480"/>
        <v>99999</v>
      </c>
      <c r="B43318" s="1" t="str">
        <f>"41332"</f>
        <v>41332</v>
      </c>
      <c r="C43318" s="2">
        <v>7.2859579345814E-5</v>
      </c>
      <c r="D43318" s="2">
        <v>1.9574215638593701E-5</v>
      </c>
      <c r="E43318" s="2">
        <v>1.2903170308944901E-4</v>
      </c>
      <c r="F43318" s="2">
        <v>7.0656132981947295E-5</v>
      </c>
    </row>
    <row r="43319" spans="1:6" x14ac:dyDescent="0.25">
      <c r="A43319" s="1" t="str">
        <f t="shared" si="1480"/>
        <v>99999</v>
      </c>
      <c r="B43319" s="1" t="str">
        <f>"41472"</f>
        <v>41472</v>
      </c>
      <c r="C43319" s="2">
        <v>4.84467485248912E-4</v>
      </c>
      <c r="D43319" s="2">
        <v>4.0051856614353298E-4</v>
      </c>
      <c r="E43319" s="2">
        <v>6.3655640190794804E-4</v>
      </c>
      <c r="F43319" s="2">
        <v>4.82455075626732E-4</v>
      </c>
    </row>
    <row r="43320" spans="1:6" x14ac:dyDescent="0.25">
      <c r="A43320" s="1" t="str">
        <f t="shared" si="1480"/>
        <v>99999</v>
      </c>
      <c r="B43320" s="1" t="str">
        <f>"41124"</f>
        <v>41124</v>
      </c>
      <c r="C43320" s="2">
        <v>5.97600115882457E-5</v>
      </c>
      <c r="D43320" s="2">
        <v>1.50570889527644E-6</v>
      </c>
      <c r="E43320" s="2">
        <v>3.8709510926834699E-5</v>
      </c>
      <c r="F43320" s="2">
        <v>5.5459143485830102E-5</v>
      </c>
    </row>
    <row r="43321" spans="1:6" x14ac:dyDescent="0.25">
      <c r="A43321" s="1" t="str">
        <f t="shared" si="1480"/>
        <v>99999</v>
      </c>
      <c r="B43321" s="1" t="str">
        <f>"41264"</f>
        <v>41264</v>
      </c>
      <c r="C43321" s="2">
        <v>2.5549570171786201E-5</v>
      </c>
      <c r="D43321" s="2">
        <v>0</v>
      </c>
      <c r="E43321" s="2">
        <v>8.6021135392965999E-6</v>
      </c>
      <c r="F43321" s="2">
        <v>2.3486256493999199E-5</v>
      </c>
    </row>
    <row r="43322" spans="1:6" x14ac:dyDescent="0.25">
      <c r="A43322" s="1" t="str">
        <f t="shared" si="1480"/>
        <v>99999</v>
      </c>
      <c r="B43322" s="1" t="str">
        <f>"41166"</f>
        <v>41166</v>
      </c>
      <c r="C43322" s="2">
        <v>3.3560876073108999E-5</v>
      </c>
      <c r="D43322" s="2">
        <v>1.35513800574879E-5</v>
      </c>
      <c r="E43322" s="2">
        <v>1.72042270785932E-5</v>
      </c>
      <c r="F43322" s="2">
        <v>3.1874205241856103E-5</v>
      </c>
    </row>
    <row r="43323" spans="1:6" x14ac:dyDescent="0.25">
      <c r="A43323" s="1" t="str">
        <f t="shared" si="1480"/>
        <v>99999</v>
      </c>
      <c r="B43323" s="1" t="str">
        <f>"41238"</f>
        <v>41238</v>
      </c>
      <c r="C43323" s="2">
        <v>5.7486532886518899E-5</v>
      </c>
      <c r="D43323" s="2">
        <v>3.01141779055288E-6</v>
      </c>
      <c r="E43323" s="2">
        <v>1.29031703089449E-5</v>
      </c>
      <c r="F43323" s="2">
        <v>5.2893417986485698E-5</v>
      </c>
    </row>
    <row r="43324" spans="1:6" x14ac:dyDescent="0.25">
      <c r="A43324" s="1" t="str">
        <f t="shared" si="1480"/>
        <v>99999</v>
      </c>
      <c r="B43324" s="1" t="str">
        <f>"41254"</f>
        <v>41254</v>
      </c>
      <c r="C43324" s="2">
        <v>2.82560924357466E-5</v>
      </c>
      <c r="D43324" s="2">
        <v>0</v>
      </c>
      <c r="E43324" s="2">
        <v>0</v>
      </c>
      <c r="F43324" s="2">
        <v>2.57559367434193E-5</v>
      </c>
    </row>
    <row r="43325" spans="1:6" x14ac:dyDescent="0.25">
      <c r="A43325" s="1" t="str">
        <f t="shared" si="1480"/>
        <v>99999</v>
      </c>
      <c r="B43325" s="1" t="str">
        <f>"40402"</f>
        <v>40402</v>
      </c>
      <c r="C43325" s="2">
        <v>1.2709828551558E-4</v>
      </c>
      <c r="D43325" s="2">
        <v>4.6676975753569603E-5</v>
      </c>
      <c r="E43325" s="2">
        <v>1.11827476010855E-4</v>
      </c>
      <c r="F43325" s="2">
        <v>1.21477234218962E-4</v>
      </c>
    </row>
    <row r="43326" spans="1:6" x14ac:dyDescent="0.25">
      <c r="A43326" s="1" t="str">
        <f t="shared" si="1480"/>
        <v>99999</v>
      </c>
      <c r="B43326" s="1" t="str">
        <f>"40403"</f>
        <v>40403</v>
      </c>
      <c r="C43326" s="2">
        <v>1.06095672747247E-4</v>
      </c>
      <c r="D43326" s="2">
        <v>2.25856334291466E-5</v>
      </c>
      <c r="E43326" s="2">
        <v>2.58063406178898E-5</v>
      </c>
      <c r="F43326" s="2">
        <v>9.8780431724761504E-5</v>
      </c>
    </row>
    <row r="43327" spans="1:6" x14ac:dyDescent="0.25">
      <c r="A43327" s="1" t="str">
        <f t="shared" si="1480"/>
        <v>99999</v>
      </c>
      <c r="B43327" s="1" t="str">
        <f>"44676"</f>
        <v>44676</v>
      </c>
      <c r="C43327" s="2">
        <v>4.0381312178289199E-5</v>
      </c>
      <c r="D43327" s="2">
        <v>1.35513800574879E-5</v>
      </c>
      <c r="E43327" s="2">
        <v>0</v>
      </c>
      <c r="F43327" s="2">
        <v>3.7696428490368499E-5</v>
      </c>
    </row>
    <row r="43328" spans="1:6" x14ac:dyDescent="0.25">
      <c r="A43328" s="1" t="str">
        <f t="shared" si="1480"/>
        <v>99999</v>
      </c>
      <c r="B43328" s="1" t="str">
        <f>"45873"</f>
        <v>45873</v>
      </c>
      <c r="C43328" s="2">
        <v>1.10317847479026E-4</v>
      </c>
      <c r="D43328" s="2">
        <v>3.6137013486634501E-5</v>
      </c>
      <c r="E43328" s="2">
        <v>2.15052838482415E-5</v>
      </c>
      <c r="F43328" s="2">
        <v>1.03418473973576E-4</v>
      </c>
    </row>
    <row r="43329" spans="1:6" x14ac:dyDescent="0.25">
      <c r="A43329" s="1" t="str">
        <f t="shared" si="1480"/>
        <v>99999</v>
      </c>
      <c r="B43329" s="1" t="str">
        <f>"45833"</f>
        <v>45833</v>
      </c>
      <c r="C43329" s="2">
        <v>1.51565246781782E-5</v>
      </c>
      <c r="D43329" s="2">
        <v>3.01141779055288E-6</v>
      </c>
      <c r="E43329" s="2">
        <v>0</v>
      </c>
      <c r="F43329" s="2">
        <v>1.4012808496419701E-5</v>
      </c>
    </row>
    <row r="43330" spans="1:6" x14ac:dyDescent="0.25">
      <c r="A43330" s="1" t="str">
        <f t="shared" si="1480"/>
        <v>99999</v>
      </c>
      <c r="B43330" s="1" t="str">
        <f>"45844"</f>
        <v>45844</v>
      </c>
      <c r="C43330" s="2">
        <v>1.2839741620228101E-4</v>
      </c>
      <c r="D43330" s="2">
        <v>5.2699811334675399E-5</v>
      </c>
      <c r="E43330" s="2">
        <v>2.15052838482415E-5</v>
      </c>
      <c r="F43330" s="2">
        <v>1.20983825469088E-4</v>
      </c>
    </row>
    <row r="43331" spans="1:6" x14ac:dyDescent="0.25">
      <c r="A43331" s="1" t="str">
        <f t="shared" si="1480"/>
        <v>99999</v>
      </c>
      <c r="B43331" s="1" t="str">
        <f>"43006"</f>
        <v>43006</v>
      </c>
      <c r="C43331" s="2">
        <v>1.3857393991477199E-5</v>
      </c>
      <c r="D43331" s="2">
        <v>0</v>
      </c>
      <c r="E43331" s="2">
        <v>8.6021135392965999E-6</v>
      </c>
      <c r="F43331" s="2">
        <v>1.2828627496722201E-5</v>
      </c>
    </row>
    <row r="43332" spans="1:6" x14ac:dyDescent="0.25">
      <c r="A43332" s="1" t="str">
        <f t="shared" si="1480"/>
        <v>99999</v>
      </c>
      <c r="B43332" s="1" t="str">
        <f>"45830"</f>
        <v>45830</v>
      </c>
      <c r="C43332" s="2">
        <v>2.0612873562322401E-4</v>
      </c>
      <c r="D43332" s="2">
        <v>1.5659372510874899E-4</v>
      </c>
      <c r="E43332" s="2">
        <v>2.2795600879136E-4</v>
      </c>
      <c r="F43332" s="2">
        <v>2.03383086698035E-4</v>
      </c>
    </row>
    <row r="43333" spans="1:6" x14ac:dyDescent="0.25">
      <c r="A43333" s="1" t="str">
        <f t="shared" si="1480"/>
        <v>99999</v>
      </c>
      <c r="B43333" s="1" t="str">
        <f>"45382"</f>
        <v>45382</v>
      </c>
      <c r="C43333" s="2">
        <v>4.2330008208340701E-5</v>
      </c>
      <c r="D43333" s="2">
        <v>1.20456711622115E-5</v>
      </c>
      <c r="E43333" s="2">
        <v>2.58063406178898E-5</v>
      </c>
      <c r="F43333" s="2">
        <v>3.99661087397886E-5</v>
      </c>
    </row>
    <row r="43334" spans="1:6" x14ac:dyDescent="0.25">
      <c r="A43334" s="1" t="str">
        <f t="shared" ref="A43334:A43397" si="1481">"99999"</f>
        <v>99999</v>
      </c>
      <c r="B43334" s="1" t="str">
        <f>"45715"</f>
        <v>45715</v>
      </c>
      <c r="C43334" s="2">
        <v>4.6876965611794201E-5</v>
      </c>
      <c r="D43334" s="2">
        <v>6.0228355811057601E-6</v>
      </c>
      <c r="E43334" s="2">
        <v>8.6021135392965999E-6</v>
      </c>
      <c r="F43334" s="2">
        <v>4.3321288238931401E-5</v>
      </c>
    </row>
    <row r="43335" spans="1:6" x14ac:dyDescent="0.25">
      <c r="A43335" s="1" t="str">
        <f t="shared" si="1481"/>
        <v>99999</v>
      </c>
      <c r="B43335" s="1" t="str">
        <f>"47038"</f>
        <v>47038</v>
      </c>
      <c r="C43335" s="2">
        <v>9.9166975751509206E-5</v>
      </c>
      <c r="D43335" s="2">
        <v>9.0342533716586405E-6</v>
      </c>
      <c r="E43335" s="2">
        <v>4.3010567696482999E-6</v>
      </c>
      <c r="F43335" s="2">
        <v>9.1083255226728202E-5</v>
      </c>
    </row>
    <row r="43336" spans="1:6" x14ac:dyDescent="0.25">
      <c r="A43336" s="1" t="str">
        <f t="shared" si="1481"/>
        <v>99999</v>
      </c>
      <c r="B43336" s="1" t="str">
        <f>"45723"</f>
        <v>45723</v>
      </c>
      <c r="C43336" s="2">
        <v>2.1760439002241601E-5</v>
      </c>
      <c r="D43336" s="2">
        <v>4.5171266858293203E-6</v>
      </c>
      <c r="E43336" s="2">
        <v>0</v>
      </c>
      <c r="F43336" s="2">
        <v>2.0131076994856499E-5</v>
      </c>
    </row>
    <row r="43337" spans="1:6" x14ac:dyDescent="0.25">
      <c r="A43337" s="1" t="str">
        <f t="shared" si="1481"/>
        <v>99999</v>
      </c>
      <c r="B43337" s="1" t="str">
        <f>"46115"</f>
        <v>46115</v>
      </c>
      <c r="C43337" s="2">
        <v>8.9315234710693299E-5</v>
      </c>
      <c r="D43337" s="2">
        <v>2.1079924533870101E-5</v>
      </c>
      <c r="E43337" s="2">
        <v>6.4515851544724506E-5</v>
      </c>
      <c r="F43337" s="2">
        <v>8.4274214478467904E-5</v>
      </c>
    </row>
    <row r="43338" spans="1:6" x14ac:dyDescent="0.25">
      <c r="A43338" s="1" t="str">
        <f t="shared" si="1481"/>
        <v>99999</v>
      </c>
      <c r="B43338" s="1" t="str">
        <f>"46127"</f>
        <v>46127</v>
      </c>
      <c r="C43338" s="2">
        <v>1.30995677575683E-5</v>
      </c>
      <c r="D43338" s="2">
        <v>4.5171266858293203E-6</v>
      </c>
      <c r="E43338" s="2">
        <v>0</v>
      </c>
      <c r="F43338" s="2">
        <v>1.22365369968735E-5</v>
      </c>
    </row>
    <row r="43339" spans="1:6" x14ac:dyDescent="0.25">
      <c r="A43339" s="1" t="str">
        <f t="shared" si="1481"/>
        <v>99999</v>
      </c>
      <c r="B43339" s="1" t="str">
        <f>"45647"</f>
        <v>45647</v>
      </c>
      <c r="C43339" s="2">
        <v>5.8785663573219898E-5</v>
      </c>
      <c r="D43339" s="2">
        <v>6.0228355811057601E-6</v>
      </c>
      <c r="E43339" s="2">
        <v>0</v>
      </c>
      <c r="F43339" s="2">
        <v>5.3978917236208303E-5</v>
      </c>
    </row>
    <row r="43340" spans="1:6" x14ac:dyDescent="0.25">
      <c r="A43340" s="1" t="str">
        <f t="shared" si="1481"/>
        <v>99999</v>
      </c>
      <c r="B43340" s="1" t="str">
        <f>"45123"</f>
        <v>45123</v>
      </c>
      <c r="C43340" s="2">
        <v>3.4632658889637301E-4</v>
      </c>
      <c r="D43340" s="2">
        <v>3.55347299285239E-4</v>
      </c>
      <c r="E43340" s="2">
        <v>5.5483632328463101E-4</v>
      </c>
      <c r="F43340" s="2">
        <v>3.5170175691013998E-4</v>
      </c>
    </row>
    <row r="43341" spans="1:6" x14ac:dyDescent="0.25">
      <c r="A43341" s="1" t="str">
        <f t="shared" si="1481"/>
        <v>99999</v>
      </c>
      <c r="B43341" s="1" t="str">
        <f>"43804"</f>
        <v>43804</v>
      </c>
      <c r="C43341" s="2">
        <v>6.3440881867231802E-5</v>
      </c>
      <c r="D43341" s="2">
        <v>5.4205520229951803E-5</v>
      </c>
      <c r="E43341" s="2">
        <v>0</v>
      </c>
      <c r="F43341" s="2">
        <v>6.1380048484317295E-5</v>
      </c>
    </row>
    <row r="43342" spans="1:6" x14ac:dyDescent="0.25">
      <c r="A43342" s="1" t="str">
        <f t="shared" si="1481"/>
        <v>99999</v>
      </c>
      <c r="B43342" s="1" t="str">
        <f>"46776"</f>
        <v>46776</v>
      </c>
      <c r="C43342" s="2">
        <v>1.8945655847722799E-5</v>
      </c>
      <c r="D43342" s="2">
        <v>0</v>
      </c>
      <c r="E43342" s="2">
        <v>0</v>
      </c>
      <c r="F43342" s="2">
        <v>1.7269306245587602E-5</v>
      </c>
    </row>
    <row r="43343" spans="1:6" x14ac:dyDescent="0.25">
      <c r="A43343" s="1" t="str">
        <f t="shared" si="1481"/>
        <v>99999</v>
      </c>
      <c r="B43343" s="1" t="str">
        <f>"46746"</f>
        <v>46746</v>
      </c>
      <c r="C43343" s="2">
        <v>1.77872643187477E-4</v>
      </c>
      <c r="D43343" s="2">
        <v>1.2497383830794399E-4</v>
      </c>
      <c r="E43343" s="2">
        <v>5.5913738005427899E-5</v>
      </c>
      <c r="F43343" s="2">
        <v>1.7160756320615399E-4</v>
      </c>
    </row>
    <row r="43344" spans="1:6" x14ac:dyDescent="0.25">
      <c r="A43344" s="1" t="str">
        <f t="shared" si="1481"/>
        <v>99999</v>
      </c>
      <c r="B43344" s="1" t="str">
        <f>"46714"</f>
        <v>46714</v>
      </c>
      <c r="C43344" s="2">
        <v>7.3671536025002196E-4</v>
      </c>
      <c r="D43344" s="2">
        <v>1.0539962266935001E-3</v>
      </c>
      <c r="E43344" s="2">
        <v>1.1956937819622201E-3</v>
      </c>
      <c r="F43344" s="2">
        <v>7.6804006005376502E-4</v>
      </c>
    </row>
    <row r="43345" spans="1:6" x14ac:dyDescent="0.25">
      <c r="A43345" s="1" t="str">
        <f t="shared" si="1481"/>
        <v>99999</v>
      </c>
      <c r="B43345" s="1" t="str">
        <f>"47380"</f>
        <v>47380</v>
      </c>
      <c r="C43345" s="2">
        <v>1.05662629185014E-4</v>
      </c>
      <c r="D43345" s="2">
        <v>8.88368248213099E-5</v>
      </c>
      <c r="E43345" s="2">
        <v>2.58063406178898E-5</v>
      </c>
      <c r="F43345" s="2">
        <v>1.0272770172375301E-4</v>
      </c>
    </row>
    <row r="43346" spans="1:6" x14ac:dyDescent="0.25">
      <c r="A43346" s="1" t="str">
        <f t="shared" si="1481"/>
        <v>99999</v>
      </c>
      <c r="B43346" s="1" t="str">
        <f>"47432"</f>
        <v>47432</v>
      </c>
      <c r="C43346" s="2">
        <v>2.6069222446466602E-4</v>
      </c>
      <c r="D43346" s="2">
        <v>3.5384159038996302E-4</v>
      </c>
      <c r="E43346" s="2">
        <v>3.3548242803256698E-4</v>
      </c>
      <c r="F43346" s="2">
        <v>2.6851304168139402E-4</v>
      </c>
    </row>
    <row r="43347" spans="1:6" x14ac:dyDescent="0.25">
      <c r="A43347" s="1" t="str">
        <f t="shared" si="1481"/>
        <v>99999</v>
      </c>
      <c r="B43347" s="1" t="str">
        <f>"47469"</f>
        <v>47469</v>
      </c>
      <c r="C43347" s="2">
        <v>1.00249584657093E-4</v>
      </c>
      <c r="D43347" s="2">
        <v>5.7216938020504697E-5</v>
      </c>
      <c r="E43347" s="2">
        <v>3.8709510926834699E-5</v>
      </c>
      <c r="F43347" s="2">
        <v>9.6017342725467498E-5</v>
      </c>
    </row>
    <row r="43348" spans="1:6" x14ac:dyDescent="0.25">
      <c r="A43348" s="1" t="str">
        <f t="shared" si="1481"/>
        <v>99999</v>
      </c>
      <c r="B43348" s="1" t="str">
        <f>"47581"</f>
        <v>47581</v>
      </c>
      <c r="C43348" s="2">
        <v>3.5152311164317698E-4</v>
      </c>
      <c r="D43348" s="2">
        <v>7.2274026973269097E-5</v>
      </c>
      <c r="E43348" s="2">
        <v>6.0214794775076199E-5</v>
      </c>
      <c r="F43348" s="2">
        <v>3.2653791066656902E-4</v>
      </c>
    </row>
    <row r="43349" spans="1:6" x14ac:dyDescent="0.25">
      <c r="A43349" s="1" t="str">
        <f t="shared" si="1481"/>
        <v>99999</v>
      </c>
      <c r="B43349" s="1" t="str">
        <f>"47532"</f>
        <v>47532</v>
      </c>
      <c r="C43349" s="2">
        <v>2.82560924357466E-5</v>
      </c>
      <c r="D43349" s="2">
        <v>1.9574215638593701E-5</v>
      </c>
      <c r="E43349" s="2">
        <v>0</v>
      </c>
      <c r="F43349" s="2">
        <v>2.7038799493091499E-5</v>
      </c>
    </row>
    <row r="43350" spans="1:6" x14ac:dyDescent="0.25">
      <c r="A43350" s="1" t="str">
        <f t="shared" si="1481"/>
        <v>99999</v>
      </c>
      <c r="B43350" s="1" t="str">
        <f>"46951"</f>
        <v>46951</v>
      </c>
      <c r="C43350" s="2">
        <v>5.2181749249156499E-5</v>
      </c>
      <c r="D43350" s="2">
        <v>2.1079924533870101E-5</v>
      </c>
      <c r="E43350" s="2">
        <v>0</v>
      </c>
      <c r="F43350" s="2">
        <v>4.8946147987494202E-5</v>
      </c>
    </row>
    <row r="43351" spans="1:6" x14ac:dyDescent="0.25">
      <c r="A43351" s="1" t="str">
        <f t="shared" si="1481"/>
        <v>99999</v>
      </c>
      <c r="B43351" s="1" t="str">
        <f>"48468"</f>
        <v>48468</v>
      </c>
      <c r="C43351" s="2">
        <v>9.9924801985418099E-5</v>
      </c>
      <c r="D43351" s="2">
        <v>3.31255956960816E-5</v>
      </c>
      <c r="E43351" s="2">
        <v>4.3010567696482999E-6</v>
      </c>
      <c r="F43351" s="2">
        <v>9.3352935476148297E-5</v>
      </c>
    </row>
    <row r="43352" spans="1:6" x14ac:dyDescent="0.25">
      <c r="A43352" s="1" t="str">
        <f t="shared" si="1481"/>
        <v>99999</v>
      </c>
      <c r="B43352" s="1" t="str">
        <f>"48469"</f>
        <v>48469</v>
      </c>
      <c r="C43352" s="2">
        <v>1.08152629667857E-4</v>
      </c>
      <c r="D43352" s="2">
        <v>6.9262609182716196E-5</v>
      </c>
      <c r="E43352" s="2">
        <v>2.58063406178898E-5</v>
      </c>
      <c r="F43352" s="2">
        <v>1.037145192235E-4</v>
      </c>
    </row>
    <row r="43353" spans="1:6" x14ac:dyDescent="0.25">
      <c r="A43353" s="1" t="str">
        <f t="shared" si="1481"/>
        <v>99999</v>
      </c>
      <c r="B43353" s="1" t="str">
        <f>"35549"</f>
        <v>35549</v>
      </c>
      <c r="C43353" s="2">
        <v>2.0461308315540598E-5</v>
      </c>
      <c r="D43353" s="2">
        <v>0</v>
      </c>
      <c r="E43353" s="2">
        <v>0</v>
      </c>
      <c r="F43353" s="2">
        <v>1.8650850745234699E-5</v>
      </c>
    </row>
    <row r="43354" spans="1:6" x14ac:dyDescent="0.25">
      <c r="A43354" s="1" t="str">
        <f t="shared" si="1481"/>
        <v>99999</v>
      </c>
      <c r="B43354" s="1" t="str">
        <f>"35585"</f>
        <v>35585</v>
      </c>
      <c r="C43354" s="2">
        <v>8.5201320869473501E-5</v>
      </c>
      <c r="D43354" s="2">
        <v>5.8722646915781101E-5</v>
      </c>
      <c r="E43354" s="2">
        <v>4.3010567696482999E-6</v>
      </c>
      <c r="F43354" s="2">
        <v>8.1609807229148594E-5</v>
      </c>
    </row>
    <row r="43355" spans="1:6" x14ac:dyDescent="0.25">
      <c r="A43355" s="1" t="str">
        <f t="shared" si="1481"/>
        <v>99999</v>
      </c>
      <c r="B43355" s="1" t="str">
        <f>"35582"</f>
        <v>35582</v>
      </c>
      <c r="C43355" s="2">
        <v>2.2659004393876499E-4</v>
      </c>
      <c r="D43355" s="2">
        <v>2.03270700862319E-4</v>
      </c>
      <c r="E43355" s="2">
        <v>1.3333275985909701E-4</v>
      </c>
      <c r="F43355" s="2">
        <v>2.2292207319304301E-4</v>
      </c>
    </row>
    <row r="43356" spans="1:6" x14ac:dyDescent="0.25">
      <c r="A43356" s="1" t="str">
        <f t="shared" si="1481"/>
        <v>99999</v>
      </c>
      <c r="B43356" s="1" t="str">
        <f>"36421"</f>
        <v>36421</v>
      </c>
      <c r="C43356" s="2">
        <v>5.84608809015447E-4</v>
      </c>
      <c r="D43356" s="2">
        <v>3.9449573056242698E-4</v>
      </c>
      <c r="E43356" s="2">
        <v>1.93547554634173E-4</v>
      </c>
      <c r="F43356" s="2">
        <v>5.6317674710610797E-4</v>
      </c>
    </row>
    <row r="43357" spans="1:6" x14ac:dyDescent="0.25">
      <c r="A43357" s="1" t="str">
        <f t="shared" si="1481"/>
        <v>99999</v>
      </c>
      <c r="B43357" s="1" t="str">
        <f>"36432"</f>
        <v>36432</v>
      </c>
      <c r="C43357" s="2">
        <v>2.1154178015114501E-4</v>
      </c>
      <c r="D43357" s="2">
        <v>8.1308280344927694E-5</v>
      </c>
      <c r="E43357" s="2">
        <v>1.72042270785932E-5</v>
      </c>
      <c r="F43357" s="2">
        <v>1.9854768094927099E-4</v>
      </c>
    </row>
    <row r="43358" spans="1:6" x14ac:dyDescent="0.25">
      <c r="A43358" s="1" t="str">
        <f t="shared" si="1481"/>
        <v>99999</v>
      </c>
      <c r="B43358" s="1" t="str">
        <f>"36456"</f>
        <v>36456</v>
      </c>
      <c r="C43358" s="2">
        <v>1.2114393653486699E-4</v>
      </c>
      <c r="D43358" s="2">
        <v>4.6676975753569603E-5</v>
      </c>
      <c r="E43358" s="2">
        <v>1.41934873398393E-4</v>
      </c>
      <c r="F43358" s="2">
        <v>1.16740510220172E-4</v>
      </c>
    </row>
    <row r="43359" spans="1:6" x14ac:dyDescent="0.25">
      <c r="A43359" s="1" t="str">
        <f t="shared" si="1481"/>
        <v>99999</v>
      </c>
      <c r="B43359" s="1" t="str">
        <f>"36545"</f>
        <v>36545</v>
      </c>
      <c r="C43359" s="2">
        <v>5.4303662704101503E-4</v>
      </c>
      <c r="D43359" s="2">
        <v>7.9652000560123703E-4</v>
      </c>
      <c r="E43359" s="2">
        <v>4.81718358200609E-4</v>
      </c>
      <c r="F43359" s="2">
        <v>5.5824265960736897E-4</v>
      </c>
    </row>
    <row r="43360" spans="1:6" x14ac:dyDescent="0.25">
      <c r="A43360" s="1" t="str">
        <f t="shared" si="1481"/>
        <v>99999</v>
      </c>
      <c r="B43360" s="1" t="str">
        <f>"36278"</f>
        <v>36278</v>
      </c>
      <c r="C43360" s="2">
        <v>3.6159137446510999E-4</v>
      </c>
      <c r="D43360" s="2">
        <v>2.9963607016001098E-4</v>
      </c>
      <c r="E43360" s="2">
        <v>1.63440157246635E-4</v>
      </c>
      <c r="F43360" s="2">
        <v>3.5298461965981199E-4</v>
      </c>
    </row>
    <row r="43361" spans="1:6" x14ac:dyDescent="0.25">
      <c r="A43361" s="1" t="str">
        <f t="shared" si="1481"/>
        <v>99999</v>
      </c>
      <c r="B43361" s="1" t="str">
        <f>"36255"</f>
        <v>36255</v>
      </c>
      <c r="C43361" s="2">
        <v>7.4916536266423899E-5</v>
      </c>
      <c r="D43361" s="2">
        <v>1.80685067433172E-5</v>
      </c>
      <c r="E43361" s="2">
        <v>0</v>
      </c>
      <c r="F43361" s="2">
        <v>6.9471951982249907E-5</v>
      </c>
    </row>
    <row r="43362" spans="1:6" x14ac:dyDescent="0.25">
      <c r="A43362" s="1" t="str">
        <f t="shared" si="1481"/>
        <v>99999</v>
      </c>
      <c r="B43362" s="1" t="str">
        <f>"36262"</f>
        <v>36262</v>
      </c>
      <c r="C43362" s="2">
        <v>8.9098712929576505E-5</v>
      </c>
      <c r="D43362" s="2">
        <v>6.4745482496886904E-5</v>
      </c>
      <c r="E43362" s="2">
        <v>2.58063406178898E-5</v>
      </c>
      <c r="F43362" s="2">
        <v>8.6050485978014102E-5</v>
      </c>
    </row>
    <row r="43363" spans="1:6" x14ac:dyDescent="0.25">
      <c r="A43363" s="1" t="str">
        <f t="shared" si="1481"/>
        <v>99999</v>
      </c>
      <c r="B43363" s="1" t="str">
        <f>"37144"</f>
        <v>37144</v>
      </c>
      <c r="C43363" s="2">
        <v>1.16596979131414E-4</v>
      </c>
      <c r="D43363" s="2">
        <v>7.0768318077992694E-5</v>
      </c>
      <c r="E43363" s="2">
        <v>0</v>
      </c>
      <c r="F43363" s="2">
        <v>1.1091828697166E-4</v>
      </c>
    </row>
    <row r="43364" spans="1:6" x14ac:dyDescent="0.25">
      <c r="A43364" s="1" t="str">
        <f t="shared" si="1481"/>
        <v>99999</v>
      </c>
      <c r="B43364" s="1" t="str">
        <f>"36769"</f>
        <v>36769</v>
      </c>
      <c r="C43364" s="2">
        <v>1.09560021245117E-4</v>
      </c>
      <c r="D43364" s="2">
        <v>6.6251191392163294E-5</v>
      </c>
      <c r="E43364" s="2">
        <v>5.1612681235779599E-5</v>
      </c>
      <c r="F43364" s="2">
        <v>1.05392108973072E-4</v>
      </c>
    </row>
    <row r="43365" spans="1:6" x14ac:dyDescent="0.25">
      <c r="A43365" s="1" t="str">
        <f t="shared" si="1481"/>
        <v>99999</v>
      </c>
      <c r="B43365" s="1" t="str">
        <f>"37033"</f>
        <v>37033</v>
      </c>
      <c r="C43365" s="2">
        <v>4.3856486765214302E-4</v>
      </c>
      <c r="D43365" s="2">
        <v>7.1671743415158498E-4</v>
      </c>
      <c r="E43365" s="2">
        <v>2.4516023586995298E-4</v>
      </c>
      <c r="F43365" s="2">
        <v>4.5235714188442198E-4</v>
      </c>
    </row>
    <row r="43366" spans="1:6" x14ac:dyDescent="0.25">
      <c r="A43366" s="1" t="str">
        <f t="shared" si="1481"/>
        <v>99999</v>
      </c>
      <c r="B43366" s="1" t="str">
        <f>"37050"</f>
        <v>37050</v>
      </c>
      <c r="C43366" s="2">
        <v>3.3127832510875297E-5</v>
      </c>
      <c r="D43366" s="2">
        <v>7.5285444763821999E-6</v>
      </c>
      <c r="E43366" s="2">
        <v>1.72042270785932E-5</v>
      </c>
      <c r="F43366" s="2">
        <v>3.1084751242057802E-5</v>
      </c>
    </row>
    <row r="43367" spans="1:6" x14ac:dyDescent="0.25">
      <c r="A43367" s="1" t="str">
        <f t="shared" si="1481"/>
        <v>99999</v>
      </c>
      <c r="B43367" s="1" t="str">
        <f>"36083"</f>
        <v>36083</v>
      </c>
      <c r="C43367" s="2">
        <v>5.8201054764204499E-4</v>
      </c>
      <c r="D43367" s="2">
        <v>8.3265701908787103E-4</v>
      </c>
      <c r="E43367" s="2">
        <v>1.1655863845746899E-3</v>
      </c>
      <c r="F43367" s="2">
        <v>6.1182684984367795E-4</v>
      </c>
    </row>
    <row r="43368" spans="1:6" x14ac:dyDescent="0.25">
      <c r="A43368" s="1" t="str">
        <f t="shared" si="1481"/>
        <v>99999</v>
      </c>
      <c r="B43368" s="1" t="str">
        <f>"36032"</f>
        <v>36032</v>
      </c>
      <c r="C43368" s="2">
        <v>3.5509572103160502E-5</v>
      </c>
      <c r="D43368" s="2">
        <v>9.0342533716586405E-6</v>
      </c>
      <c r="E43368" s="2">
        <v>1.1698874413443301E-3</v>
      </c>
      <c r="F43368" s="2">
        <v>5.9801140484720799E-5</v>
      </c>
    </row>
    <row r="43369" spans="1:6" x14ac:dyDescent="0.25">
      <c r="A43369" s="1" t="str">
        <f t="shared" si="1481"/>
        <v>99999</v>
      </c>
      <c r="B43369" s="1" t="str">
        <f>"36081"</f>
        <v>36081</v>
      </c>
      <c r="C43369" s="2">
        <v>2.14356563305664E-5</v>
      </c>
      <c r="D43369" s="2">
        <v>7.5285444763821999E-6</v>
      </c>
      <c r="E43369" s="2">
        <v>0</v>
      </c>
      <c r="F43369" s="2">
        <v>2.0032395244881699E-5</v>
      </c>
    </row>
    <row r="43370" spans="1:6" x14ac:dyDescent="0.25">
      <c r="A43370" s="1" t="str">
        <f t="shared" si="1481"/>
        <v>99999</v>
      </c>
      <c r="B43370" s="1" t="str">
        <f>"36075"</f>
        <v>36075</v>
      </c>
      <c r="C43370" s="2">
        <v>1.03930454936079E-4</v>
      </c>
      <c r="D43370" s="2">
        <v>7.2274026973269097E-5</v>
      </c>
      <c r="E43370" s="2">
        <v>2.15052838482415E-5</v>
      </c>
      <c r="F43370" s="2">
        <v>9.9964612724459E-5</v>
      </c>
    </row>
    <row r="43371" spans="1:6" x14ac:dyDescent="0.25">
      <c r="A43371" s="1" t="str">
        <f t="shared" si="1481"/>
        <v>99999</v>
      </c>
      <c r="B43371" s="1" t="str">
        <f>"37683"</f>
        <v>37683</v>
      </c>
      <c r="C43371" s="2">
        <v>7.5587753787886099E-4</v>
      </c>
      <c r="D43371" s="2">
        <v>8.3717414577369996E-4</v>
      </c>
      <c r="E43371" s="2">
        <v>4.9032047173990596E-4</v>
      </c>
      <c r="F43371" s="2">
        <v>7.5511275080706805E-4</v>
      </c>
    </row>
    <row r="43372" spans="1:6" x14ac:dyDescent="0.25">
      <c r="A43372" s="1" t="str">
        <f t="shared" si="1481"/>
        <v>99999</v>
      </c>
      <c r="B43372" s="1" t="str">
        <f>"37688"</f>
        <v>37688</v>
      </c>
      <c r="C43372" s="2">
        <v>6.8312621942360601E-5</v>
      </c>
      <c r="D43372" s="2">
        <v>3.4631304591358098E-5</v>
      </c>
      <c r="E43372" s="2">
        <v>3.8709510926834699E-5</v>
      </c>
      <c r="F43372" s="2">
        <v>6.5426000233283601E-5</v>
      </c>
    </row>
    <row r="43373" spans="1:6" x14ac:dyDescent="0.25">
      <c r="A43373" s="1" t="str">
        <f t="shared" si="1481"/>
        <v>99999</v>
      </c>
      <c r="B43373" s="1" t="str">
        <f>"37715"</f>
        <v>37715</v>
      </c>
      <c r="C43373" s="2">
        <v>3.6267398337069401E-5</v>
      </c>
      <c r="D43373" s="2">
        <v>2.4091342324423E-5</v>
      </c>
      <c r="E43373" s="2">
        <v>0</v>
      </c>
      <c r="F43373" s="2">
        <v>3.4637294241150102E-5</v>
      </c>
    </row>
    <row r="43374" spans="1:6" x14ac:dyDescent="0.25">
      <c r="A43374" s="1" t="str">
        <f t="shared" si="1481"/>
        <v>99999</v>
      </c>
      <c r="B43374" s="1" t="str">
        <f>"38342"</f>
        <v>38342</v>
      </c>
      <c r="C43374" s="2">
        <v>9.3753931223588402E-5</v>
      </c>
      <c r="D43374" s="2">
        <v>4.0654140172463799E-5</v>
      </c>
      <c r="E43374" s="2">
        <v>0</v>
      </c>
      <c r="F43374" s="2">
        <v>8.8122802727484602E-5</v>
      </c>
    </row>
    <row r="43375" spans="1:6" x14ac:dyDescent="0.25">
      <c r="A43375" s="1" t="str">
        <f t="shared" si="1481"/>
        <v>99999</v>
      </c>
      <c r="B43375" s="1" t="str">
        <f>"38311"</f>
        <v>38311</v>
      </c>
      <c r="C43375" s="2">
        <v>6.7121752146217999E-5</v>
      </c>
      <c r="D43375" s="2">
        <v>1.80685067433172E-5</v>
      </c>
      <c r="E43375" s="2">
        <v>0</v>
      </c>
      <c r="F43375" s="2">
        <v>6.2366865984065197E-5</v>
      </c>
    </row>
    <row r="43376" spans="1:6" x14ac:dyDescent="0.25">
      <c r="A43376" s="1" t="str">
        <f t="shared" si="1481"/>
        <v>99999</v>
      </c>
      <c r="B43376" s="1" t="str">
        <f>"38450"</f>
        <v>38450</v>
      </c>
      <c r="C43376" s="2">
        <v>1.4582741958218601E-4</v>
      </c>
      <c r="D43376" s="2">
        <v>8.2813989240204205E-5</v>
      </c>
      <c r="E43376" s="2">
        <v>3.44084541571864E-5</v>
      </c>
      <c r="F43376" s="2">
        <v>1.3914126746444899E-4</v>
      </c>
    </row>
    <row r="43377" spans="1:6" x14ac:dyDescent="0.25">
      <c r="A43377" s="1" t="str">
        <f t="shared" si="1481"/>
        <v>99999</v>
      </c>
      <c r="B43377" s="1" t="str">
        <f>"38352"</f>
        <v>38352</v>
      </c>
      <c r="C43377" s="2">
        <v>7.6865232296475401E-6</v>
      </c>
      <c r="D43377" s="2">
        <v>3.01141779055288E-6</v>
      </c>
      <c r="E43377" s="2">
        <v>0</v>
      </c>
      <c r="F43377" s="2">
        <v>7.2037677481594301E-6</v>
      </c>
    </row>
    <row r="43378" spans="1:6" x14ac:dyDescent="0.25">
      <c r="A43378" s="1" t="str">
        <f t="shared" si="1481"/>
        <v>99999</v>
      </c>
      <c r="B43378" s="1" t="str">
        <f>"38506"</f>
        <v>38506</v>
      </c>
      <c r="C43378" s="2">
        <v>4.0597833959405999E-5</v>
      </c>
      <c r="D43378" s="2">
        <v>2.7102760114975901E-5</v>
      </c>
      <c r="E43378" s="2">
        <v>0</v>
      </c>
      <c r="F43378" s="2">
        <v>3.8781927740091198E-5</v>
      </c>
    </row>
    <row r="43379" spans="1:6" x14ac:dyDescent="0.25">
      <c r="A43379" s="1" t="str">
        <f t="shared" si="1481"/>
        <v>99999</v>
      </c>
      <c r="B43379" s="1" t="str">
        <f>"38313"</f>
        <v>38313</v>
      </c>
      <c r="C43379" s="2">
        <v>3.2261745386408E-5</v>
      </c>
      <c r="D43379" s="2">
        <v>4.5171266858293203E-6</v>
      </c>
      <c r="E43379" s="2">
        <v>1.72042270785932E-5</v>
      </c>
      <c r="F43379" s="2">
        <v>3.0097933742309899E-5</v>
      </c>
    </row>
    <row r="43380" spans="1:6" x14ac:dyDescent="0.25">
      <c r="A43380" s="1" t="str">
        <f t="shared" si="1481"/>
        <v>99999</v>
      </c>
      <c r="B43380" s="1" t="str">
        <f>"38040"</f>
        <v>38040</v>
      </c>
      <c r="C43380" s="2">
        <v>2.2626526126708901E-4</v>
      </c>
      <c r="D43380" s="2">
        <v>3.0264748795056398E-4</v>
      </c>
      <c r="E43380" s="2">
        <v>1.11827476010855E-4</v>
      </c>
      <c r="F43380" s="2">
        <v>2.2864561469158101E-4</v>
      </c>
    </row>
    <row r="43381" spans="1:6" x14ac:dyDescent="0.25">
      <c r="A43381" s="1" t="str">
        <f t="shared" si="1481"/>
        <v>99999</v>
      </c>
      <c r="B43381" s="1" t="str">
        <f>"38079"</f>
        <v>38079</v>
      </c>
      <c r="C43381" s="2">
        <v>1.8924003669611099E-4</v>
      </c>
      <c r="D43381" s="2">
        <v>3.2523312137971099E-4</v>
      </c>
      <c r="E43381" s="2">
        <v>8.1720078623317706E-5</v>
      </c>
      <c r="F43381" s="2">
        <v>1.9568591020000201E-4</v>
      </c>
    </row>
    <row r="43382" spans="1:6" x14ac:dyDescent="0.25">
      <c r="A43382" s="1" t="str">
        <f t="shared" si="1481"/>
        <v>99999</v>
      </c>
      <c r="B43382" s="1" t="str">
        <f>"38220"</f>
        <v>38220</v>
      </c>
      <c r="C43382" s="2">
        <v>9.8625671298717106E-5</v>
      </c>
      <c r="D43382" s="2">
        <v>4.6676975753569603E-5</v>
      </c>
      <c r="E43382" s="2">
        <v>4.3010567696482999E-6</v>
      </c>
      <c r="F43382" s="2">
        <v>9.3056890226223899E-5</v>
      </c>
    </row>
    <row r="43383" spans="1:6" x14ac:dyDescent="0.25">
      <c r="A43383" s="1" t="str">
        <f t="shared" si="1481"/>
        <v>99999</v>
      </c>
      <c r="B43383" s="1" t="str">
        <f>"37847"</f>
        <v>37847</v>
      </c>
      <c r="C43383" s="2">
        <v>7.1560448659112994E-5</v>
      </c>
      <c r="D43383" s="2">
        <v>2.55970512196994E-5</v>
      </c>
      <c r="E43383" s="2">
        <v>8.6021135392965999E-6</v>
      </c>
      <c r="F43383" s="2">
        <v>6.7103589982854994E-5</v>
      </c>
    </row>
    <row r="43384" spans="1:6" x14ac:dyDescent="0.25">
      <c r="A43384" s="1" t="str">
        <f t="shared" si="1481"/>
        <v>99999</v>
      </c>
      <c r="B43384" s="1" t="str">
        <f>"37334"</f>
        <v>37334</v>
      </c>
      <c r="C43384" s="2">
        <v>1.22259023707619E-3</v>
      </c>
      <c r="D43384" s="2">
        <v>1.6065913912599601E-3</v>
      </c>
      <c r="E43384" s="2">
        <v>1.9397766031113799E-3</v>
      </c>
      <c r="F43384" s="2">
        <v>1.26421189892699E-3</v>
      </c>
    </row>
    <row r="43385" spans="1:6" x14ac:dyDescent="0.25">
      <c r="A43385" s="1" t="str">
        <f t="shared" si="1481"/>
        <v>99999</v>
      </c>
      <c r="B43385" s="1" t="str">
        <f>"37367"</f>
        <v>37367</v>
      </c>
      <c r="C43385" s="2">
        <v>5.67178805635542E-4</v>
      </c>
      <c r="D43385" s="2">
        <v>3.6889867934272697E-4</v>
      </c>
      <c r="E43385" s="2">
        <v>9.8924305701910905E-5</v>
      </c>
      <c r="F43385" s="2">
        <v>5.4344039711115002E-4</v>
      </c>
    </row>
    <row r="43386" spans="1:6" x14ac:dyDescent="0.25">
      <c r="A43386" s="1" t="str">
        <f t="shared" si="1481"/>
        <v>99999</v>
      </c>
      <c r="B43386" s="1" t="str">
        <f>"37359"</f>
        <v>37359</v>
      </c>
      <c r="C43386" s="2">
        <v>3.1179136480823802E-5</v>
      </c>
      <c r="D43386" s="2">
        <v>1.65627978480408E-5</v>
      </c>
      <c r="E43386" s="2">
        <v>2.58063406178898E-5</v>
      </c>
      <c r="F43386" s="2">
        <v>3.0097933742309899E-5</v>
      </c>
    </row>
    <row r="43387" spans="1:6" x14ac:dyDescent="0.25">
      <c r="A43387" s="1" t="str">
        <f t="shared" si="1481"/>
        <v>99999</v>
      </c>
      <c r="B43387" s="1" t="str">
        <f>"37365"</f>
        <v>37365</v>
      </c>
      <c r="C43387" s="2">
        <v>8.9531756491810106E-5</v>
      </c>
      <c r="D43387" s="2">
        <v>4.3665557963016701E-5</v>
      </c>
      <c r="E43387" s="2">
        <v>0</v>
      </c>
      <c r="F43387" s="2">
        <v>8.4471577978417498E-5</v>
      </c>
    </row>
    <row r="43388" spans="1:6" x14ac:dyDescent="0.25">
      <c r="A43388" s="1" t="str">
        <f t="shared" si="1481"/>
        <v>99999</v>
      </c>
      <c r="B43388" s="1" t="str">
        <f>"37387"</f>
        <v>37387</v>
      </c>
      <c r="C43388" s="2">
        <v>1.6185003138483199E-4</v>
      </c>
      <c r="D43388" s="2">
        <v>1.34008091679603E-4</v>
      </c>
      <c r="E43388" s="2">
        <v>3.01073973875381E-5</v>
      </c>
      <c r="F43388" s="2">
        <v>1.5700266420988501E-4</v>
      </c>
    </row>
    <row r="43389" spans="1:6" x14ac:dyDescent="0.25">
      <c r="A43389" s="1" t="str">
        <f t="shared" si="1481"/>
        <v>99999</v>
      </c>
      <c r="B43389" s="1" t="str">
        <f>"39159"</f>
        <v>39159</v>
      </c>
      <c r="C43389" s="2">
        <v>1.65422640773259E-4</v>
      </c>
      <c r="D43389" s="2">
        <v>2.74039018940312E-4</v>
      </c>
      <c r="E43389" s="2">
        <v>2.58063406178898E-5</v>
      </c>
      <c r="F43389" s="2">
        <v>1.6933788295673399E-4</v>
      </c>
    </row>
    <row r="43390" spans="1:6" x14ac:dyDescent="0.25">
      <c r="A43390" s="1" t="str">
        <f t="shared" si="1481"/>
        <v>99999</v>
      </c>
      <c r="B43390" s="1" t="str">
        <f>"38928"</f>
        <v>38928</v>
      </c>
      <c r="C43390" s="2">
        <v>2.1976960783358401E-5</v>
      </c>
      <c r="D43390" s="2">
        <v>4.5171266858293203E-6</v>
      </c>
      <c r="E43390" s="2">
        <v>0</v>
      </c>
      <c r="F43390" s="2">
        <v>2.0328440494806002E-5</v>
      </c>
    </row>
    <row r="43391" spans="1:6" x14ac:dyDescent="0.25">
      <c r="A43391" s="1" t="str">
        <f t="shared" si="1481"/>
        <v>99999</v>
      </c>
      <c r="B43391" s="1" t="str">
        <f>"38948"</f>
        <v>38948</v>
      </c>
      <c r="C43391" s="2">
        <v>1.65639162554376E-4</v>
      </c>
      <c r="D43391" s="2">
        <v>7.9802571449651304E-5</v>
      </c>
      <c r="E43391" s="2">
        <v>3.44084541571864E-5</v>
      </c>
      <c r="F43391" s="2">
        <v>1.5700266420988501E-4</v>
      </c>
    </row>
    <row r="43392" spans="1:6" x14ac:dyDescent="0.25">
      <c r="A43392" s="1" t="str">
        <f t="shared" si="1481"/>
        <v>99999</v>
      </c>
      <c r="B43392" s="1" t="str">
        <f>"38916"</f>
        <v>38916</v>
      </c>
      <c r="C43392" s="2">
        <v>2.0439656137428901E-4</v>
      </c>
      <c r="D43392" s="2">
        <v>1.4304234505126099E-4</v>
      </c>
      <c r="E43392" s="2">
        <v>1.07526419241207E-4</v>
      </c>
      <c r="F43392" s="2">
        <v>1.9815295394937099E-4</v>
      </c>
    </row>
    <row r="43393" spans="1:6" x14ac:dyDescent="0.25">
      <c r="A43393" s="1" t="str">
        <f t="shared" si="1481"/>
        <v>99999</v>
      </c>
      <c r="B43393" s="1" t="str">
        <f>"38913"</f>
        <v>38913</v>
      </c>
      <c r="C43393" s="2">
        <v>2.8797396888538699E-5</v>
      </c>
      <c r="D43393" s="2">
        <v>7.5285444763821999E-6</v>
      </c>
      <c r="E43393" s="2">
        <v>0</v>
      </c>
      <c r="F43393" s="2">
        <v>2.6742754243167199E-5</v>
      </c>
    </row>
    <row r="43394" spans="1:6" x14ac:dyDescent="0.25">
      <c r="A43394" s="1" t="str">
        <f t="shared" si="1481"/>
        <v>99999</v>
      </c>
      <c r="B43394" s="1" t="str">
        <f>"39094"</f>
        <v>39094</v>
      </c>
      <c r="C43394" s="2">
        <v>1.8913177580555301E-4</v>
      </c>
      <c r="D43394" s="2">
        <v>3.7642722381910999E-5</v>
      </c>
      <c r="E43394" s="2">
        <v>8.6021135392965999E-6</v>
      </c>
      <c r="F43394" s="2">
        <v>1.7506142445527099E-4</v>
      </c>
    </row>
    <row r="43395" spans="1:6" x14ac:dyDescent="0.25">
      <c r="A43395" s="1" t="str">
        <f t="shared" si="1481"/>
        <v>99999</v>
      </c>
      <c r="B43395" s="1" t="str">
        <f>"38957"</f>
        <v>38957</v>
      </c>
      <c r="C43395" s="2">
        <v>1.87291340666059E-5</v>
      </c>
      <c r="D43395" s="2">
        <v>9.9376787088244995E-5</v>
      </c>
      <c r="E43395" s="2">
        <v>0</v>
      </c>
      <c r="F43395" s="2">
        <v>2.3584938243973999E-5</v>
      </c>
    </row>
    <row r="43396" spans="1:6" x14ac:dyDescent="0.25">
      <c r="A43396" s="1" t="str">
        <f t="shared" si="1481"/>
        <v>99999</v>
      </c>
      <c r="B43396" s="1" t="str">
        <f>"39117"</f>
        <v>39117</v>
      </c>
      <c r="C43396" s="2">
        <v>4.8533357237337901E-4</v>
      </c>
      <c r="D43396" s="2">
        <v>3.82450059400215E-4</v>
      </c>
      <c r="E43396" s="2">
        <v>1.2903170308944901E-4</v>
      </c>
      <c r="F43396" s="2">
        <v>4.7041590212980799E-4</v>
      </c>
    </row>
    <row r="43397" spans="1:6" x14ac:dyDescent="0.25">
      <c r="A43397" s="1" t="str">
        <f t="shared" si="1481"/>
        <v>99999</v>
      </c>
      <c r="B43397" s="1" t="str">
        <f>"38951"</f>
        <v>38951</v>
      </c>
      <c r="C43397" s="2">
        <v>6.1492185837180293E-5</v>
      </c>
      <c r="D43397" s="2">
        <v>3.4631304591358098E-5</v>
      </c>
      <c r="E43397" s="2">
        <v>0</v>
      </c>
      <c r="F43397" s="2">
        <v>5.8320914235099E-5</v>
      </c>
    </row>
    <row r="43398" spans="1:6" x14ac:dyDescent="0.25">
      <c r="A43398" s="1" t="str">
        <f t="shared" ref="A43398:A43461" si="1482">"99999"</f>
        <v>99999</v>
      </c>
      <c r="B43398" s="1" t="str">
        <f>"39647"</f>
        <v>39647</v>
      </c>
      <c r="C43398" s="2">
        <v>6.75547957084516E-5</v>
      </c>
      <c r="D43398" s="2">
        <v>9.0342533716586405E-6</v>
      </c>
      <c r="E43398" s="2">
        <v>0</v>
      </c>
      <c r="F43398" s="2">
        <v>6.2169502484115603E-5</v>
      </c>
    </row>
    <row r="43399" spans="1:6" x14ac:dyDescent="0.25">
      <c r="A43399" s="1" t="str">
        <f t="shared" si="1482"/>
        <v>99999</v>
      </c>
      <c r="B43399" s="1" t="str">
        <f>"39663"</f>
        <v>39663</v>
      </c>
      <c r="C43399" s="2">
        <v>2.3211134935724399E-4</v>
      </c>
      <c r="D43399" s="2">
        <v>4.3665557963016701E-5</v>
      </c>
      <c r="E43399" s="2">
        <v>1.29031703089449E-5</v>
      </c>
      <c r="F43399" s="2">
        <v>2.14731487945136E-4</v>
      </c>
    </row>
    <row r="43400" spans="1:6" x14ac:dyDescent="0.25">
      <c r="A43400" s="1" t="str">
        <f t="shared" si="1482"/>
        <v>99999</v>
      </c>
      <c r="B43400" s="1" t="str">
        <f>"39638"</f>
        <v>39638</v>
      </c>
      <c r="C43400" s="2">
        <v>1.7603220804798399E-4</v>
      </c>
      <c r="D43400" s="2">
        <v>6.3239773601610501E-5</v>
      </c>
      <c r="E43400" s="2">
        <v>1.72042270785932E-5</v>
      </c>
      <c r="F43400" s="2">
        <v>1.6499588595784301E-4</v>
      </c>
    </row>
    <row r="43401" spans="1:6" x14ac:dyDescent="0.25">
      <c r="A43401" s="1" t="str">
        <f t="shared" si="1482"/>
        <v>99999</v>
      </c>
      <c r="B43401" s="1" t="str">
        <f>"40011"</f>
        <v>40011</v>
      </c>
      <c r="C43401" s="2">
        <v>2.3167830579501E-5</v>
      </c>
      <c r="D43401" s="2">
        <v>9.0342533716586405E-6</v>
      </c>
      <c r="E43401" s="2">
        <v>8.6021135392965999E-6</v>
      </c>
      <c r="F43401" s="2">
        <v>2.1907348494402598E-5</v>
      </c>
    </row>
    <row r="43402" spans="1:6" x14ac:dyDescent="0.25">
      <c r="A43402" s="1" t="str">
        <f t="shared" si="1482"/>
        <v>99999</v>
      </c>
      <c r="B43402" s="1" t="str">
        <f>"39747"</f>
        <v>39747</v>
      </c>
      <c r="C43402" s="2">
        <v>1.04904802951105E-4</v>
      </c>
      <c r="D43402" s="2">
        <v>5.2699811334675399E-5</v>
      </c>
      <c r="E43402" s="2">
        <v>1.72042270785932E-5</v>
      </c>
      <c r="F43402" s="2">
        <v>9.9471203974585103E-5</v>
      </c>
    </row>
    <row r="43403" spans="1:6" x14ac:dyDescent="0.25">
      <c r="A43403" s="1" t="str">
        <f t="shared" si="1482"/>
        <v>99999</v>
      </c>
      <c r="B43403" s="1" t="str">
        <f>"40146"</f>
        <v>40146</v>
      </c>
      <c r="C43403" s="2">
        <v>1.78089164968594E-4</v>
      </c>
      <c r="D43403" s="2">
        <v>6.7756900287439806E-5</v>
      </c>
      <c r="E43403" s="2">
        <v>1.1655863845746899E-3</v>
      </c>
      <c r="F43403" s="2">
        <v>1.93514911700556E-4</v>
      </c>
    </row>
    <row r="43404" spans="1:6" x14ac:dyDescent="0.25">
      <c r="A43404" s="1" t="str">
        <f t="shared" si="1482"/>
        <v>99999</v>
      </c>
      <c r="B43404" s="1" t="str">
        <f>"40078"</f>
        <v>40078</v>
      </c>
      <c r="C43404" s="2">
        <v>1.29263503326748E-4</v>
      </c>
      <c r="D43404" s="2">
        <v>2.55970512196994E-5</v>
      </c>
      <c r="E43404" s="2">
        <v>2.0214966817347E-4</v>
      </c>
      <c r="F43404" s="2">
        <v>1.24141641468281E-4</v>
      </c>
    </row>
    <row r="43405" spans="1:6" x14ac:dyDescent="0.25">
      <c r="A43405" s="1" t="str">
        <f t="shared" si="1482"/>
        <v>99999</v>
      </c>
      <c r="B43405" s="1" t="str">
        <f>"39461"</f>
        <v>39461</v>
      </c>
      <c r="C43405" s="2">
        <v>3.3885658744784197E-5</v>
      </c>
      <c r="D43405" s="2">
        <v>6.0228355811057601E-6</v>
      </c>
      <c r="E43405" s="2">
        <v>0</v>
      </c>
      <c r="F43405" s="2">
        <v>3.1282114742007402E-5</v>
      </c>
    </row>
    <row r="43406" spans="1:6" x14ac:dyDescent="0.25">
      <c r="A43406" s="1" t="str">
        <f t="shared" si="1482"/>
        <v>99999</v>
      </c>
      <c r="B43406" s="1" t="str">
        <f>"39427"</f>
        <v>39427</v>
      </c>
      <c r="C43406" s="2">
        <v>6.9395230847944705E-5</v>
      </c>
      <c r="D43406" s="2">
        <v>2.25856334291466E-5</v>
      </c>
      <c r="E43406" s="2">
        <v>8.6021135392965999E-6</v>
      </c>
      <c r="F43406" s="2">
        <v>6.4932591483409703E-5</v>
      </c>
    </row>
    <row r="43407" spans="1:6" x14ac:dyDescent="0.25">
      <c r="A43407" s="1" t="str">
        <f t="shared" si="1482"/>
        <v>99999</v>
      </c>
      <c r="B43407" s="1" t="str">
        <f>"39456"</f>
        <v>39456</v>
      </c>
      <c r="C43407" s="2">
        <v>5.5754358637584299E-5</v>
      </c>
      <c r="D43407" s="2">
        <v>4.5171266858293203E-6</v>
      </c>
      <c r="E43407" s="2">
        <v>0</v>
      </c>
      <c r="F43407" s="2">
        <v>5.11171464869395E-5</v>
      </c>
    </row>
    <row r="43408" spans="1:6" x14ac:dyDescent="0.25">
      <c r="A43408" s="1" t="str">
        <f t="shared" si="1482"/>
        <v>99999</v>
      </c>
      <c r="B43408" s="1" t="str">
        <f>"38829"</f>
        <v>38829</v>
      </c>
      <c r="C43408" s="2">
        <v>3.3560876073108999E-5</v>
      </c>
      <c r="D43408" s="2">
        <v>6.0228355811057601E-6</v>
      </c>
      <c r="E43408" s="2">
        <v>0</v>
      </c>
      <c r="F43408" s="2">
        <v>3.0986069492082998E-5</v>
      </c>
    </row>
    <row r="43409" spans="1:6" x14ac:dyDescent="0.25">
      <c r="A43409" s="1" t="str">
        <f t="shared" si="1482"/>
        <v>99999</v>
      </c>
      <c r="B43409" s="1" t="str">
        <f>"38744"</f>
        <v>38744</v>
      </c>
      <c r="C43409" s="2">
        <v>1.2774785085893101E-5</v>
      </c>
      <c r="D43409" s="2">
        <v>3.01141779055288E-6</v>
      </c>
      <c r="E43409" s="2">
        <v>0</v>
      </c>
      <c r="F43409" s="2">
        <v>1.18418099969744E-5</v>
      </c>
    </row>
    <row r="43410" spans="1:6" x14ac:dyDescent="0.25">
      <c r="A43410" s="1" t="str">
        <f t="shared" si="1482"/>
        <v>99999</v>
      </c>
      <c r="B43410" s="1" t="str">
        <f>"38873"</f>
        <v>38873</v>
      </c>
      <c r="C43410" s="2">
        <v>1.4063089683538199E-4</v>
      </c>
      <c r="D43410" s="2">
        <v>5.8722646915781101E-5</v>
      </c>
      <c r="E43410" s="2">
        <v>3.44084541571864E-5</v>
      </c>
      <c r="F43410" s="2">
        <v>1.3282563546606301E-4</v>
      </c>
    </row>
    <row r="43411" spans="1:6" x14ac:dyDescent="0.25">
      <c r="A43411" s="1" t="str">
        <f t="shared" si="1482"/>
        <v>99999</v>
      </c>
      <c r="B43411" s="1" t="str">
        <f>"38568"</f>
        <v>38568</v>
      </c>
      <c r="C43411" s="2">
        <v>4.9258705204079297E-5</v>
      </c>
      <c r="D43411" s="2">
        <v>7.5285444763821999E-6</v>
      </c>
      <c r="E43411" s="2">
        <v>4.3010567696482999E-6</v>
      </c>
      <c r="F43411" s="2">
        <v>4.5492286738376699E-5</v>
      </c>
    </row>
    <row r="43412" spans="1:6" x14ac:dyDescent="0.25">
      <c r="A43412" s="1" t="str">
        <f t="shared" si="1482"/>
        <v>99999</v>
      </c>
      <c r="B43412" s="1" t="str">
        <f>"42167"</f>
        <v>42167</v>
      </c>
      <c r="C43412" s="2">
        <v>4.5382965322088E-4</v>
      </c>
      <c r="D43412" s="2">
        <v>5.0742389770815999E-4</v>
      </c>
      <c r="E43412" s="2">
        <v>7.0967436699196902E-4</v>
      </c>
      <c r="F43412" s="2">
        <v>4.6321213438164899E-4</v>
      </c>
    </row>
    <row r="43413" spans="1:6" x14ac:dyDescent="0.25">
      <c r="A43413" s="1" t="str">
        <f t="shared" si="1482"/>
        <v>99999</v>
      </c>
      <c r="B43413" s="1" t="str">
        <f>"42343"</f>
        <v>42343</v>
      </c>
      <c r="C43413" s="2">
        <v>9.2238278755770494E-5</v>
      </c>
      <c r="D43413" s="2">
        <v>2.7102760114975901E-5</v>
      </c>
      <c r="E43413" s="2">
        <v>1.72042270785932E-5</v>
      </c>
      <c r="F43413" s="2">
        <v>8.6247849477963601E-5</v>
      </c>
    </row>
    <row r="43414" spans="1:6" x14ac:dyDescent="0.25">
      <c r="A43414" s="1" t="str">
        <f t="shared" si="1482"/>
        <v>99999</v>
      </c>
      <c r="B43414" s="1" t="str">
        <f>"42459"</f>
        <v>42459</v>
      </c>
      <c r="C43414" s="2">
        <v>2.3211134935724399E-4</v>
      </c>
      <c r="D43414" s="2">
        <v>2.42419132139506E-4</v>
      </c>
      <c r="E43414" s="2">
        <v>9.0322192162614306E-5</v>
      </c>
      <c r="F43414" s="2">
        <v>2.29533750441354E-4</v>
      </c>
    </row>
    <row r="43415" spans="1:6" x14ac:dyDescent="0.25">
      <c r="A43415" s="1" t="str">
        <f t="shared" si="1482"/>
        <v>99999</v>
      </c>
      <c r="B43415" s="1" t="str">
        <f>"42411"</f>
        <v>42411</v>
      </c>
      <c r="C43415" s="2">
        <v>8.8449147586226002E-5</v>
      </c>
      <c r="D43415" s="2">
        <v>6.3239773601610501E-5</v>
      </c>
      <c r="E43415" s="2">
        <v>2.58063406178898E-5</v>
      </c>
      <c r="F43415" s="2">
        <v>8.5359713728190502E-5</v>
      </c>
    </row>
    <row r="43416" spans="1:6" x14ac:dyDescent="0.25">
      <c r="A43416" s="1" t="str">
        <f t="shared" si="1482"/>
        <v>99999</v>
      </c>
      <c r="B43416" s="1" t="str">
        <f>"42461"</f>
        <v>42461</v>
      </c>
      <c r="C43416" s="2">
        <v>4.1680442864990198E-5</v>
      </c>
      <c r="D43416" s="2">
        <v>2.25856334291466E-5</v>
      </c>
      <c r="E43416" s="2">
        <v>3.01073973875381E-5</v>
      </c>
      <c r="F43416" s="2">
        <v>4.0163472239738201E-5</v>
      </c>
    </row>
    <row r="43417" spans="1:6" x14ac:dyDescent="0.25">
      <c r="A43417" s="1" t="str">
        <f t="shared" si="1482"/>
        <v>99999</v>
      </c>
      <c r="B43417" s="1" t="str">
        <f>"26201"</f>
        <v>26201</v>
      </c>
      <c r="C43417" s="2">
        <v>1.01072367425337E-3</v>
      </c>
      <c r="D43417" s="2">
        <v>1.1006732024470701E-3</v>
      </c>
      <c r="E43417" s="2">
        <v>8.17200786233177E-4</v>
      </c>
      <c r="F43417" s="2">
        <v>1.01217870949138E-3</v>
      </c>
    </row>
    <row r="43418" spans="1:6" x14ac:dyDescent="0.25">
      <c r="A43418" s="1" t="str">
        <f t="shared" si="1482"/>
        <v>99999</v>
      </c>
      <c r="B43418" s="1" t="str">
        <f>"26159"</f>
        <v>26159</v>
      </c>
      <c r="C43418" s="2">
        <v>1.38465679024214E-4</v>
      </c>
      <c r="D43418" s="2">
        <v>9.9376787088244995E-5</v>
      </c>
      <c r="E43418" s="2">
        <v>6.8816908314372799E-5</v>
      </c>
      <c r="F43418" s="2">
        <v>1.3430586171568401E-4</v>
      </c>
    </row>
    <row r="43419" spans="1:6" x14ac:dyDescent="0.25">
      <c r="A43419" s="1" t="str">
        <f t="shared" si="1482"/>
        <v>99999</v>
      </c>
      <c r="B43419" s="1" t="str">
        <f>"26167"</f>
        <v>26167</v>
      </c>
      <c r="C43419" s="2">
        <v>3.1936962714732702E-5</v>
      </c>
      <c r="D43419" s="2">
        <v>1.20456711622115E-5</v>
      </c>
      <c r="E43419" s="2">
        <v>8.6021135392965999E-6</v>
      </c>
      <c r="F43419" s="2">
        <v>3.0097933742309899E-5</v>
      </c>
    </row>
    <row r="43420" spans="1:6" x14ac:dyDescent="0.25">
      <c r="A43420" s="1" t="str">
        <f t="shared" si="1482"/>
        <v>99999</v>
      </c>
      <c r="B43420" s="1" t="str">
        <f>"26234"</f>
        <v>26234</v>
      </c>
      <c r="C43420" s="2">
        <v>5.2614792811390202E-5</v>
      </c>
      <c r="D43420" s="2">
        <v>1.9574215638593701E-5</v>
      </c>
      <c r="E43420" s="2">
        <v>0</v>
      </c>
      <c r="F43420" s="2">
        <v>4.92421932374186E-5</v>
      </c>
    </row>
    <row r="43421" spans="1:6" x14ac:dyDescent="0.25">
      <c r="A43421" s="1" t="str">
        <f t="shared" si="1482"/>
        <v>99999</v>
      </c>
      <c r="B43421" s="1" t="str">
        <f>"25951"</f>
        <v>25951</v>
      </c>
      <c r="C43421" s="2">
        <v>3.9071355402532301E-4</v>
      </c>
      <c r="D43421" s="2">
        <v>4.6225263084986699E-4</v>
      </c>
      <c r="E43421" s="2">
        <v>1.93547554634173E-4</v>
      </c>
      <c r="F43421" s="2">
        <v>3.9087841165012999E-4</v>
      </c>
    </row>
    <row r="43422" spans="1:6" x14ac:dyDescent="0.25">
      <c r="A43422" s="1" t="str">
        <f t="shared" si="1482"/>
        <v>99999</v>
      </c>
      <c r="B43422" s="1" t="str">
        <f>"25962"</f>
        <v>25962</v>
      </c>
      <c r="C43422" s="2">
        <v>2.78013966954012E-4</v>
      </c>
      <c r="D43422" s="2">
        <v>4.0202427503880901E-4</v>
      </c>
      <c r="E43422" s="2">
        <v>1.79784172971299E-3</v>
      </c>
      <c r="F43422" s="2">
        <v>3.2101173266798098E-4</v>
      </c>
    </row>
    <row r="43423" spans="1:6" x14ac:dyDescent="0.25">
      <c r="A43423" s="1" t="str">
        <f t="shared" si="1482"/>
        <v>99999</v>
      </c>
      <c r="B43423" s="1" t="str">
        <f>"26137"</f>
        <v>26137</v>
      </c>
      <c r="C43423" s="2">
        <v>4.51447913628595E-5</v>
      </c>
      <c r="D43423" s="2">
        <v>3.01141779055288E-6</v>
      </c>
      <c r="E43423" s="2">
        <v>0</v>
      </c>
      <c r="F43423" s="2">
        <v>4.1347653239435603E-5</v>
      </c>
    </row>
    <row r="43424" spans="1:6" x14ac:dyDescent="0.25">
      <c r="A43424" s="1" t="str">
        <f t="shared" si="1482"/>
        <v>99999</v>
      </c>
      <c r="B43424" s="1" t="str">
        <f>"25981"</f>
        <v>25981</v>
      </c>
      <c r="C43424" s="2">
        <v>3.1720440933615901E-5</v>
      </c>
      <c r="D43424" s="2">
        <v>4.5171266858293203E-6</v>
      </c>
      <c r="E43424" s="2">
        <v>0</v>
      </c>
      <c r="F43424" s="2">
        <v>2.92097979925368E-5</v>
      </c>
    </row>
    <row r="43425" spans="1:6" x14ac:dyDescent="0.25">
      <c r="A43425" s="1" t="str">
        <f t="shared" si="1482"/>
        <v>99999</v>
      </c>
      <c r="B43425" s="1" t="str">
        <f>"26855"</f>
        <v>26855</v>
      </c>
      <c r="C43425" s="2">
        <v>2.76065270923961E-5</v>
      </c>
      <c r="D43425" s="2">
        <v>4.5171266858293203E-6</v>
      </c>
      <c r="E43425" s="2">
        <v>0</v>
      </c>
      <c r="F43425" s="2">
        <v>2.5459891493494899E-5</v>
      </c>
    </row>
    <row r="43426" spans="1:6" x14ac:dyDescent="0.25">
      <c r="A43426" s="1" t="str">
        <f t="shared" si="1482"/>
        <v>99999</v>
      </c>
      <c r="B43426" s="1" t="str">
        <f>"26629"</f>
        <v>26629</v>
      </c>
      <c r="C43426" s="2">
        <v>2.4358700375643599E-5</v>
      </c>
      <c r="D43426" s="2">
        <v>4.5171266858293203E-6</v>
      </c>
      <c r="E43426" s="2">
        <v>4.3010567696482999E-6</v>
      </c>
      <c r="F43426" s="2">
        <v>2.25981207442261E-5</v>
      </c>
    </row>
    <row r="43427" spans="1:6" x14ac:dyDescent="0.25">
      <c r="A43427" s="1" t="str">
        <f t="shared" si="1482"/>
        <v>99999</v>
      </c>
      <c r="B43427" s="1" t="str">
        <f>"26710"</f>
        <v>26710</v>
      </c>
      <c r="C43427" s="2">
        <v>9.7434801502574508E-6</v>
      </c>
      <c r="D43427" s="2">
        <v>6.0228355811057601E-6</v>
      </c>
      <c r="E43427" s="2">
        <v>0</v>
      </c>
      <c r="F43427" s="2">
        <v>9.2760844976299596E-6</v>
      </c>
    </row>
    <row r="43428" spans="1:6" x14ac:dyDescent="0.25">
      <c r="A43428" s="1" t="str">
        <f t="shared" si="1482"/>
        <v>99999</v>
      </c>
      <c r="B43428" s="1" t="str">
        <f>"26802"</f>
        <v>26802</v>
      </c>
      <c r="C43428" s="2">
        <v>5.2290010139714998E-5</v>
      </c>
      <c r="D43428" s="2">
        <v>2.4091342324423E-5</v>
      </c>
      <c r="E43428" s="2">
        <v>8.6021135392965999E-6</v>
      </c>
      <c r="F43428" s="2">
        <v>4.94395567373681E-5</v>
      </c>
    </row>
    <row r="43429" spans="1:6" x14ac:dyDescent="0.25">
      <c r="A43429" s="1" t="str">
        <f t="shared" si="1482"/>
        <v>99999</v>
      </c>
      <c r="B43429" s="1" t="str">
        <f>"26430"</f>
        <v>26430</v>
      </c>
      <c r="C43429" s="2">
        <v>1.8079568723255499E-5</v>
      </c>
      <c r="D43429" s="2">
        <v>9.0342533716586405E-6</v>
      </c>
      <c r="E43429" s="2">
        <v>4.3010567696482999E-6</v>
      </c>
      <c r="F43429" s="2">
        <v>1.7170624495612899E-5</v>
      </c>
    </row>
    <row r="43430" spans="1:6" x14ac:dyDescent="0.25">
      <c r="A43430" s="1" t="str">
        <f t="shared" si="1482"/>
        <v>99999</v>
      </c>
      <c r="B43430" s="1" t="str">
        <f>"27281"</f>
        <v>27281</v>
      </c>
      <c r="C43430" s="2">
        <v>3.2803049839199998E-5</v>
      </c>
      <c r="D43430" s="2">
        <v>9.0342533716586405E-6</v>
      </c>
      <c r="E43430" s="2">
        <v>0</v>
      </c>
      <c r="F43430" s="2">
        <v>3.0492660742209101E-5</v>
      </c>
    </row>
    <row r="43431" spans="1:6" x14ac:dyDescent="0.25">
      <c r="A43431" s="1" t="str">
        <f t="shared" si="1482"/>
        <v>99999</v>
      </c>
      <c r="B43431" s="1" t="str">
        <f>"27883"</f>
        <v>27883</v>
      </c>
      <c r="C43431" s="2">
        <v>5.1532183905806003E-5</v>
      </c>
      <c r="D43431" s="2">
        <v>1.50570889527644E-5</v>
      </c>
      <c r="E43431" s="2">
        <v>0</v>
      </c>
      <c r="F43431" s="2">
        <v>4.79593304877463E-5</v>
      </c>
    </row>
    <row r="43432" spans="1:6" x14ac:dyDescent="0.25">
      <c r="A43432" s="1" t="str">
        <f t="shared" si="1482"/>
        <v>99999</v>
      </c>
      <c r="B43432" s="1" t="str">
        <f>"27805"</f>
        <v>27805</v>
      </c>
      <c r="C43432" s="2">
        <v>1.56436986856911E-4</v>
      </c>
      <c r="D43432" s="2">
        <v>8.1308280344927694E-5</v>
      </c>
      <c r="E43432" s="2">
        <v>1.63440157246635E-4</v>
      </c>
      <c r="F43432" s="2">
        <v>1.5167384971124701E-4</v>
      </c>
    </row>
    <row r="43433" spans="1:6" x14ac:dyDescent="0.25">
      <c r="A43433" s="1" t="str">
        <f t="shared" si="1482"/>
        <v>99999</v>
      </c>
      <c r="B43433" s="1" t="str">
        <f>"28139"</f>
        <v>28139</v>
      </c>
      <c r="C43433" s="2">
        <v>6.3873925429465498E-5</v>
      </c>
      <c r="D43433" s="2">
        <v>2.25856334291466E-5</v>
      </c>
      <c r="E43433" s="2">
        <v>0</v>
      </c>
      <c r="F43433" s="2">
        <v>5.9702458734746002E-5</v>
      </c>
    </row>
    <row r="43434" spans="1:6" x14ac:dyDescent="0.25">
      <c r="A43434" s="1" t="str">
        <f t="shared" si="1482"/>
        <v>99999</v>
      </c>
      <c r="B43434" s="1" t="str">
        <f>"28382"</f>
        <v>28382</v>
      </c>
      <c r="C43434" s="2">
        <v>3.1276571282326402E-4</v>
      </c>
      <c r="D43434" s="2">
        <v>1.8369648522372501E-4</v>
      </c>
      <c r="E43434" s="2">
        <v>1.72042270785932E-5</v>
      </c>
      <c r="F43434" s="2">
        <v>2.9752547617398201E-4</v>
      </c>
    </row>
    <row r="43435" spans="1:6" x14ac:dyDescent="0.25">
      <c r="A43435" s="1" t="str">
        <f t="shared" si="1482"/>
        <v>99999</v>
      </c>
      <c r="B43435" s="1" t="str">
        <f>"28538"</f>
        <v>28538</v>
      </c>
      <c r="C43435" s="2">
        <v>9.1696974302978395E-5</v>
      </c>
      <c r="D43435" s="2">
        <v>3.9148431277187403E-5</v>
      </c>
      <c r="E43435" s="2">
        <v>0</v>
      </c>
      <c r="F43435" s="2">
        <v>8.6149167727988797E-5</v>
      </c>
    </row>
    <row r="43436" spans="1:6" x14ac:dyDescent="0.25">
      <c r="A43436" s="1" t="str">
        <f t="shared" si="1482"/>
        <v>99999</v>
      </c>
      <c r="B43436" s="1" t="str">
        <f>"28430"</f>
        <v>28430</v>
      </c>
      <c r="C43436" s="2">
        <v>8.3360885729980396E-5</v>
      </c>
      <c r="D43436" s="2">
        <v>1.9574215638593701E-5</v>
      </c>
      <c r="E43436" s="2">
        <v>0</v>
      </c>
      <c r="F43436" s="2">
        <v>7.7267810230257999E-5</v>
      </c>
    </row>
    <row r="43437" spans="1:6" x14ac:dyDescent="0.25">
      <c r="A43437" s="1" t="str">
        <f t="shared" si="1482"/>
        <v>99999</v>
      </c>
      <c r="B43437" s="1" t="str">
        <f>"28771"</f>
        <v>28771</v>
      </c>
      <c r="C43437" s="2">
        <v>4.5437095767367197E-4</v>
      </c>
      <c r="D43437" s="2">
        <v>2.07787827548148E-4</v>
      </c>
      <c r="E43437" s="2">
        <v>6.0214794775076199E-5</v>
      </c>
      <c r="F43437" s="2">
        <v>4.2916693064034699E-4</v>
      </c>
    </row>
    <row r="43438" spans="1:6" x14ac:dyDescent="0.25">
      <c r="A43438" s="1" t="str">
        <f t="shared" si="1482"/>
        <v>99999</v>
      </c>
      <c r="B43438" s="1" t="str">
        <f>"28782"</f>
        <v>28782</v>
      </c>
      <c r="C43438" s="2">
        <v>3.9969920794167202E-4</v>
      </c>
      <c r="D43438" s="2">
        <v>4.7580401090735502E-4</v>
      </c>
      <c r="E43438" s="2">
        <v>3.7849299572905002E-4</v>
      </c>
      <c r="F43438" s="2">
        <v>4.0420044789672601E-4</v>
      </c>
    </row>
    <row r="43439" spans="1:6" x14ac:dyDescent="0.25">
      <c r="A43439" s="1" t="str">
        <f t="shared" si="1482"/>
        <v>99999</v>
      </c>
      <c r="B43439" s="1" t="str">
        <f>"29728"</f>
        <v>29728</v>
      </c>
      <c r="C43439" s="2">
        <v>4.9377792183693604E-4</v>
      </c>
      <c r="D43439" s="2">
        <v>5.2097527776564796E-4</v>
      </c>
      <c r="E43439" s="2">
        <v>1.5053698693768999E-4</v>
      </c>
      <c r="F43439" s="2">
        <v>4.87685208375396E-4</v>
      </c>
    </row>
    <row r="43440" spans="1:6" x14ac:dyDescent="0.25">
      <c r="A43440" s="1" t="str">
        <f t="shared" si="1482"/>
        <v>99999</v>
      </c>
      <c r="B43440" s="1" t="str">
        <f>"29550"</f>
        <v>29550</v>
      </c>
      <c r="C43440" s="2">
        <v>1.36733504775279E-4</v>
      </c>
      <c r="D43440" s="2">
        <v>3.6137013486634501E-5</v>
      </c>
      <c r="E43440" s="2">
        <v>0</v>
      </c>
      <c r="F43440" s="2">
        <v>1.2700341221754999E-4</v>
      </c>
    </row>
    <row r="43441" spans="1:6" x14ac:dyDescent="0.25">
      <c r="A43441" s="1" t="str">
        <f t="shared" si="1482"/>
        <v>99999</v>
      </c>
      <c r="B43441" s="1" t="str">
        <f>"29649"</f>
        <v>29649</v>
      </c>
      <c r="C43441" s="2">
        <v>1.2016958851984099E-5</v>
      </c>
      <c r="D43441" s="2">
        <v>0</v>
      </c>
      <c r="E43441" s="2">
        <v>0</v>
      </c>
      <c r="F43441" s="2">
        <v>1.0953674247201299E-5</v>
      </c>
    </row>
    <row r="43442" spans="1:6" x14ac:dyDescent="0.25">
      <c r="A43442" s="1" t="str">
        <f t="shared" si="1482"/>
        <v>99999</v>
      </c>
      <c r="B43442" s="1" t="str">
        <f>"29934"</f>
        <v>29934</v>
      </c>
      <c r="C43442" s="2">
        <v>6.0626098712712997E-6</v>
      </c>
      <c r="D43442" s="2">
        <v>4.5171266858293203E-6</v>
      </c>
      <c r="E43442" s="2">
        <v>0</v>
      </c>
      <c r="F43442" s="2">
        <v>5.8222232485124198E-6</v>
      </c>
    </row>
    <row r="43443" spans="1:6" x14ac:dyDescent="0.25">
      <c r="A43443" s="1" t="str">
        <f t="shared" si="1482"/>
        <v>99999</v>
      </c>
      <c r="B43443" s="1" t="str">
        <f>"29924"</f>
        <v>29924</v>
      </c>
      <c r="C43443" s="2">
        <v>2.3882352457186599E-4</v>
      </c>
      <c r="D43443" s="2">
        <v>5.72169380205047E-4</v>
      </c>
      <c r="E43443" s="2">
        <v>1.16128532780504E-4</v>
      </c>
      <c r="F43443" s="2">
        <v>2.57855412684117E-4</v>
      </c>
    </row>
    <row r="43444" spans="1:6" x14ac:dyDescent="0.25">
      <c r="A43444" s="1" t="str">
        <f t="shared" si="1482"/>
        <v>99999</v>
      </c>
      <c r="B43444" s="1" t="str">
        <f>"29929"</f>
        <v>29929</v>
      </c>
      <c r="C43444" s="2">
        <v>7.0477839753528904E-5</v>
      </c>
      <c r="D43444" s="2">
        <v>3.4631304591358098E-5</v>
      </c>
      <c r="E43444" s="2">
        <v>4.3010567696482999E-6</v>
      </c>
      <c r="F43444" s="2">
        <v>6.6610181232981002E-5</v>
      </c>
    </row>
    <row r="43445" spans="1:6" x14ac:dyDescent="0.25">
      <c r="A43445" s="1" t="str">
        <f t="shared" si="1482"/>
        <v>99999</v>
      </c>
      <c r="B43445" s="1" t="str">
        <f>"30514"</f>
        <v>30514</v>
      </c>
      <c r="C43445" s="2">
        <v>1.8826568868108499E-4</v>
      </c>
      <c r="D43445" s="2">
        <v>6.9714321851299199E-4</v>
      </c>
      <c r="E43445" s="2">
        <v>4.3010567696482999E-6</v>
      </c>
      <c r="F43445" s="2">
        <v>2.17395895194455E-4</v>
      </c>
    </row>
    <row r="43446" spans="1:6" x14ac:dyDescent="0.25">
      <c r="A43446" s="1" t="str">
        <f t="shared" si="1482"/>
        <v>99999</v>
      </c>
      <c r="B43446" s="1" t="str">
        <f>"30631"</f>
        <v>30631</v>
      </c>
      <c r="C43446" s="2">
        <v>1.2352567612715199E-4</v>
      </c>
      <c r="D43446" s="2">
        <v>4.9688393544122498E-5</v>
      </c>
      <c r="E43446" s="2">
        <v>1.29031703089449E-5</v>
      </c>
      <c r="F43446" s="2">
        <v>1.1614841972032399E-4</v>
      </c>
    </row>
    <row r="43447" spans="1:6" x14ac:dyDescent="0.25">
      <c r="A43447" s="1" t="str">
        <f t="shared" si="1482"/>
        <v>99999</v>
      </c>
      <c r="B43447" s="1" t="str">
        <f>"30557"</f>
        <v>30557</v>
      </c>
      <c r="C43447" s="2">
        <v>1.3889872258644699E-4</v>
      </c>
      <c r="D43447" s="2">
        <v>3.31255956960816E-5</v>
      </c>
      <c r="E43447" s="2">
        <v>1.29031703089449E-5</v>
      </c>
      <c r="F43447" s="2">
        <v>1.29075728967021E-4</v>
      </c>
    </row>
    <row r="43448" spans="1:6" x14ac:dyDescent="0.25">
      <c r="A43448" s="1" t="str">
        <f t="shared" si="1482"/>
        <v>99999</v>
      </c>
      <c r="B43448" s="1" t="str">
        <f>"30534"</f>
        <v>30534</v>
      </c>
      <c r="C43448" s="2">
        <v>1.8924003669611099E-4</v>
      </c>
      <c r="D43448" s="2">
        <v>1.9574215638593701E-5</v>
      </c>
      <c r="E43448" s="2">
        <v>1.29031703089449E-5</v>
      </c>
      <c r="F43448" s="2">
        <v>1.7407460695552301E-4</v>
      </c>
    </row>
    <row r="43449" spans="1:6" x14ac:dyDescent="0.25">
      <c r="A43449" s="1" t="str">
        <f t="shared" si="1482"/>
        <v>99999</v>
      </c>
      <c r="B43449" s="1" t="str">
        <f>"30413"</f>
        <v>30413</v>
      </c>
      <c r="C43449" s="2">
        <v>8.1845233262162597E-5</v>
      </c>
      <c r="D43449" s="2">
        <v>3.31255956960816E-5</v>
      </c>
      <c r="E43449" s="2">
        <v>0</v>
      </c>
      <c r="F43449" s="2">
        <v>7.6774401480384101E-5</v>
      </c>
    </row>
    <row r="43450" spans="1:6" x14ac:dyDescent="0.25">
      <c r="A43450" s="1" t="str">
        <f t="shared" si="1482"/>
        <v>99999</v>
      </c>
      <c r="B43450" s="1" t="str">
        <f>"30662"</f>
        <v>30662</v>
      </c>
      <c r="C43450" s="2">
        <v>4.1842834200827802E-4</v>
      </c>
      <c r="D43450" s="2">
        <v>5.5861800014755903E-4</v>
      </c>
      <c r="E43450" s="2">
        <v>1.8924649786452501E-4</v>
      </c>
      <c r="F43450" s="2">
        <v>4.2235788989208699E-4</v>
      </c>
    </row>
    <row r="43451" spans="1:6" x14ac:dyDescent="0.25">
      <c r="A43451" s="1" t="str">
        <f t="shared" si="1482"/>
        <v>99999</v>
      </c>
      <c r="B43451" s="1" t="str">
        <f>"29827"</f>
        <v>29827</v>
      </c>
      <c r="C43451" s="2">
        <v>1.5383872548350899E-4</v>
      </c>
      <c r="D43451" s="2">
        <v>1.0991674935517999E-4</v>
      </c>
      <c r="E43451" s="2">
        <v>2.23654952021711E-4</v>
      </c>
      <c r="F43451" s="2">
        <v>1.5256198546102E-4</v>
      </c>
    </row>
    <row r="43452" spans="1:6" x14ac:dyDescent="0.25">
      <c r="A43452" s="1" t="str">
        <f t="shared" si="1482"/>
        <v>99999</v>
      </c>
      <c r="B43452" s="1" t="str">
        <f>"30635"</f>
        <v>30635</v>
      </c>
      <c r="C43452" s="2">
        <v>8.4768277307239797E-4</v>
      </c>
      <c r="D43452" s="2">
        <v>1.25124409197472E-3</v>
      </c>
      <c r="E43452" s="2">
        <v>7.1397542376161797E-4</v>
      </c>
      <c r="F43452" s="2">
        <v>8.7106380702744297E-4</v>
      </c>
    </row>
    <row r="43453" spans="1:6" x14ac:dyDescent="0.25">
      <c r="A43453" s="1" t="str">
        <f t="shared" si="1482"/>
        <v>99999</v>
      </c>
      <c r="B43453" s="1" t="str">
        <f>"30477"</f>
        <v>30477</v>
      </c>
      <c r="C43453" s="2">
        <v>1.03280889592729E-4</v>
      </c>
      <c r="D43453" s="2">
        <v>3.7642722381910999E-5</v>
      </c>
      <c r="E43453" s="2">
        <v>4.7311624466131299E-5</v>
      </c>
      <c r="F43453" s="2">
        <v>9.7694932475038906E-5</v>
      </c>
    </row>
    <row r="43454" spans="1:6" x14ac:dyDescent="0.25">
      <c r="A43454" s="1" t="str">
        <f t="shared" si="1482"/>
        <v>99999</v>
      </c>
      <c r="B43454" s="1" t="str">
        <f>"30810"</f>
        <v>30810</v>
      </c>
      <c r="C43454" s="2">
        <v>1.1302436974298601E-4</v>
      </c>
      <c r="D43454" s="2">
        <v>1.0088249598352101E-4</v>
      </c>
      <c r="E43454" s="2">
        <v>1.29031703089449E-5</v>
      </c>
      <c r="F43454" s="2">
        <v>1.09931469471912E-4</v>
      </c>
    </row>
    <row r="43455" spans="1:6" x14ac:dyDescent="0.25">
      <c r="A43455" s="1" t="str">
        <f t="shared" si="1482"/>
        <v>99999</v>
      </c>
      <c r="B43455" s="1" t="str">
        <f>"30428"</f>
        <v>30428</v>
      </c>
      <c r="C43455" s="2">
        <v>9.2130017865212104E-5</v>
      </c>
      <c r="D43455" s="2">
        <v>3.1619886800805203E-5</v>
      </c>
      <c r="E43455" s="2">
        <v>5.1612681235779599E-5</v>
      </c>
      <c r="F43455" s="2">
        <v>8.7234666977711504E-5</v>
      </c>
    </row>
    <row r="43456" spans="1:6" x14ac:dyDescent="0.25">
      <c r="A43456" s="1" t="str">
        <f t="shared" si="1482"/>
        <v>99999</v>
      </c>
      <c r="B43456" s="1" t="str">
        <f>"30420"</f>
        <v>30420</v>
      </c>
      <c r="C43456" s="2">
        <v>1.03605672264404E-4</v>
      </c>
      <c r="D43456" s="2">
        <v>3.01141779055288E-5</v>
      </c>
      <c r="E43456" s="2">
        <v>8.6021135392965999E-6</v>
      </c>
      <c r="F43456" s="2">
        <v>9.6609433225316199E-5</v>
      </c>
    </row>
    <row r="43457" spans="1:6" x14ac:dyDescent="0.25">
      <c r="A43457" s="1" t="str">
        <f t="shared" si="1482"/>
        <v>99999</v>
      </c>
      <c r="B43457" s="1" t="str">
        <f>"31082"</f>
        <v>31082</v>
      </c>
      <c r="C43457" s="2">
        <v>5.6512184871493202E-4</v>
      </c>
      <c r="D43457" s="2">
        <v>1.00882495983521E-3</v>
      </c>
      <c r="E43457" s="2">
        <v>5.0322364204885095E-4</v>
      </c>
      <c r="F43457" s="2">
        <v>5.9278127209854402E-4</v>
      </c>
    </row>
    <row r="43458" spans="1:6" x14ac:dyDescent="0.25">
      <c r="A43458" s="1" t="str">
        <f t="shared" si="1482"/>
        <v>99999</v>
      </c>
      <c r="B43458" s="1" t="str">
        <f>"31070"</f>
        <v>31070</v>
      </c>
      <c r="C43458" s="2">
        <v>2.7281744420720801E-5</v>
      </c>
      <c r="D43458" s="2">
        <v>2.4091342324423E-5</v>
      </c>
      <c r="E43458" s="2">
        <v>0</v>
      </c>
      <c r="F43458" s="2">
        <v>2.6446708993242801E-5</v>
      </c>
    </row>
    <row r="43459" spans="1:6" x14ac:dyDescent="0.25">
      <c r="A43459" s="1" t="str">
        <f t="shared" si="1482"/>
        <v>99999</v>
      </c>
      <c r="B43459" s="1" t="str">
        <f>"31072"</f>
        <v>31072</v>
      </c>
      <c r="C43459" s="2">
        <v>7.1235665987437797E-5</v>
      </c>
      <c r="D43459" s="2">
        <v>1.80685067433172E-5</v>
      </c>
      <c r="E43459" s="2">
        <v>8.6021135392965999E-6</v>
      </c>
      <c r="F43459" s="2">
        <v>6.6314135983056699E-5</v>
      </c>
    </row>
    <row r="43460" spans="1:6" x14ac:dyDescent="0.25">
      <c r="A43460" s="1" t="str">
        <f t="shared" si="1482"/>
        <v>99999</v>
      </c>
      <c r="B43460" s="1" t="str">
        <f>"31023"</f>
        <v>31023</v>
      </c>
      <c r="C43460" s="2">
        <v>7.8889710949917795E-4</v>
      </c>
      <c r="D43460" s="2">
        <v>1.0419505555312901E-3</v>
      </c>
      <c r="E43460" s="2">
        <v>4.6451413112201599E-4</v>
      </c>
      <c r="F43460" s="2">
        <v>7.9803931204609996E-4</v>
      </c>
    </row>
    <row r="43461" spans="1:6" x14ac:dyDescent="0.25">
      <c r="A43461" s="1" t="str">
        <f t="shared" si="1482"/>
        <v>99999</v>
      </c>
      <c r="B43461" s="1" t="str">
        <f>"31031"</f>
        <v>31031</v>
      </c>
      <c r="C43461" s="2">
        <v>2.3947308991521601E-4</v>
      </c>
      <c r="D43461" s="2">
        <v>2.10799245338701E-4</v>
      </c>
      <c r="E43461" s="2">
        <v>5.1612681235779599E-5</v>
      </c>
      <c r="F43461" s="2">
        <v>2.33283656940396E-4</v>
      </c>
    </row>
    <row r="43462" spans="1:6" x14ac:dyDescent="0.25">
      <c r="A43462" s="1" t="str">
        <f t="shared" ref="A43462:A43525" si="1483">"99999"</f>
        <v>99999</v>
      </c>
      <c r="B43462" s="1" t="str">
        <f>"31054"</f>
        <v>31054</v>
      </c>
      <c r="C43462" s="2">
        <v>7.9463493669877406E-5</v>
      </c>
      <c r="D43462" s="2">
        <v>1.02388204878797E-4</v>
      </c>
      <c r="E43462" s="2">
        <v>2.15052838482415E-5</v>
      </c>
      <c r="F43462" s="2">
        <v>7.9636172229652897E-5</v>
      </c>
    </row>
    <row r="43463" spans="1:6" x14ac:dyDescent="0.25">
      <c r="A43463" s="1" t="str">
        <f t="shared" si="1483"/>
        <v>99999</v>
      </c>
      <c r="B43463" s="1" t="str">
        <f>"31001"</f>
        <v>31001</v>
      </c>
      <c r="C43463" s="2">
        <v>1.6509785810158399E-4</v>
      </c>
      <c r="D43463" s="2">
        <v>1.7014510516623701E-4</v>
      </c>
      <c r="E43463" s="2">
        <v>9.0322192162614306E-5</v>
      </c>
      <c r="F43463" s="2">
        <v>1.6371302320817099E-4</v>
      </c>
    </row>
    <row r="43464" spans="1:6" x14ac:dyDescent="0.25">
      <c r="A43464" s="1" t="str">
        <f t="shared" si="1483"/>
        <v>99999</v>
      </c>
      <c r="B43464" s="1" t="str">
        <f>"31089"</f>
        <v>31089</v>
      </c>
      <c r="C43464" s="2">
        <v>2.7476614023725997E-4</v>
      </c>
      <c r="D43464" s="2">
        <v>1.7767364964261899E-4</v>
      </c>
      <c r="E43464" s="2">
        <v>6.4515851544724506E-5</v>
      </c>
      <c r="F43464" s="2">
        <v>2.6357895418265502E-4</v>
      </c>
    </row>
    <row r="43465" spans="1:6" x14ac:dyDescent="0.25">
      <c r="A43465" s="1" t="str">
        <f t="shared" si="1483"/>
        <v>99999</v>
      </c>
      <c r="B43465" s="1" t="str">
        <f>"31091"</f>
        <v>31091</v>
      </c>
      <c r="C43465" s="2">
        <v>8.34691466205388E-5</v>
      </c>
      <c r="D43465" s="2">
        <v>7.6791153659098402E-5</v>
      </c>
      <c r="E43465" s="2">
        <v>2.58063406178898E-5</v>
      </c>
      <c r="F43465" s="2">
        <v>8.1708488979123398E-5</v>
      </c>
    </row>
    <row r="43466" spans="1:6" x14ac:dyDescent="0.25">
      <c r="A43466" s="1" t="str">
        <f t="shared" si="1483"/>
        <v>99999</v>
      </c>
      <c r="B43466" s="1" t="str">
        <f>"31774"</f>
        <v>31774</v>
      </c>
      <c r="C43466" s="2">
        <v>3.4297050128906202E-4</v>
      </c>
      <c r="D43466" s="2">
        <v>4.7580401090735502E-4</v>
      </c>
      <c r="E43466" s="2">
        <v>1.63440157246635E-4</v>
      </c>
      <c r="F43466" s="2">
        <v>3.4755712341119898E-4</v>
      </c>
    </row>
    <row r="43467" spans="1:6" x14ac:dyDescent="0.25">
      <c r="A43467" s="1" t="str">
        <f t="shared" si="1483"/>
        <v>99999</v>
      </c>
      <c r="B43467" s="1" t="str">
        <f>"31765"</f>
        <v>31765</v>
      </c>
      <c r="C43467" s="2">
        <v>4.43869651289506E-5</v>
      </c>
      <c r="D43467" s="2">
        <v>4.0654140172463799E-5</v>
      </c>
      <c r="E43467" s="2">
        <v>2.15052838482415E-5</v>
      </c>
      <c r="F43467" s="2">
        <v>4.3617333488855698E-5</v>
      </c>
    </row>
    <row r="43468" spans="1:6" x14ac:dyDescent="0.25">
      <c r="A43468" s="1" t="str">
        <f t="shared" si="1483"/>
        <v>99999</v>
      </c>
      <c r="B43468" s="1" t="str">
        <f>"31824"</f>
        <v>31824</v>
      </c>
      <c r="C43468" s="2">
        <v>8.4768277307239805E-5</v>
      </c>
      <c r="D43468" s="2">
        <v>4.2159849067740298E-5</v>
      </c>
      <c r="E43468" s="2">
        <v>0</v>
      </c>
      <c r="F43468" s="2">
        <v>8.0030899229552099E-5</v>
      </c>
    </row>
    <row r="43469" spans="1:6" x14ac:dyDescent="0.25">
      <c r="A43469" s="1" t="str">
        <f t="shared" si="1483"/>
        <v>99999</v>
      </c>
      <c r="B43469" s="1" t="str">
        <f>"31806"</f>
        <v>31806</v>
      </c>
      <c r="C43469" s="2">
        <v>7.7947841202059606E-6</v>
      </c>
      <c r="D43469" s="2">
        <v>1.50570889527644E-6</v>
      </c>
      <c r="E43469" s="2">
        <v>4.3010567696482999E-6</v>
      </c>
      <c r="F43469" s="2">
        <v>7.3024494981342204E-6</v>
      </c>
    </row>
    <row r="43470" spans="1:6" x14ac:dyDescent="0.25">
      <c r="A43470" s="1" t="str">
        <f t="shared" si="1483"/>
        <v>99999</v>
      </c>
      <c r="B43470" s="1" t="str">
        <f>"31798"</f>
        <v>31798</v>
      </c>
      <c r="C43470" s="2">
        <v>3.4860006759809999E-5</v>
      </c>
      <c r="D43470" s="2">
        <v>1.0539962266935E-5</v>
      </c>
      <c r="E43470" s="2">
        <v>4.3010567696482999E-6</v>
      </c>
      <c r="F43470" s="2">
        <v>3.2564977491679601E-5</v>
      </c>
    </row>
    <row r="43471" spans="1:6" x14ac:dyDescent="0.25">
      <c r="A43471" s="1" t="str">
        <f t="shared" si="1483"/>
        <v>99999</v>
      </c>
      <c r="B43471" s="1" t="str">
        <f>"31790"</f>
        <v>31790</v>
      </c>
      <c r="C43471" s="2">
        <v>9.5810888144198301E-5</v>
      </c>
      <c r="D43471" s="2">
        <v>7.6791153659098402E-5</v>
      </c>
      <c r="E43471" s="2">
        <v>1.29031703089449E-5</v>
      </c>
      <c r="F43471" s="2">
        <v>9.2662163226324805E-5</v>
      </c>
    </row>
    <row r="43472" spans="1:6" x14ac:dyDescent="0.25">
      <c r="A43472" s="1" t="str">
        <f t="shared" si="1483"/>
        <v>99999</v>
      </c>
      <c r="B43472" s="1" t="str">
        <f>"39813"</f>
        <v>39813</v>
      </c>
      <c r="C43472" s="2">
        <v>9.6352192596990306E-5</v>
      </c>
      <c r="D43472" s="2">
        <v>6.3239773601610501E-5</v>
      </c>
      <c r="E43472" s="2">
        <v>3.01073973875381E-5</v>
      </c>
      <c r="F43472" s="2">
        <v>9.2662163226324805E-5</v>
      </c>
    </row>
    <row r="43473" spans="1:6" x14ac:dyDescent="0.25">
      <c r="A43473" s="1" t="str">
        <f t="shared" si="1483"/>
        <v>99999</v>
      </c>
      <c r="B43473" s="1" t="str">
        <f>"39866"</f>
        <v>39866</v>
      </c>
      <c r="C43473" s="2">
        <v>2.6523918186811901E-5</v>
      </c>
      <c r="D43473" s="2">
        <v>1.65627978480408E-5</v>
      </c>
      <c r="E43473" s="2">
        <v>1.72042270785932E-5</v>
      </c>
      <c r="F43473" s="2">
        <v>2.56572549934445E-5</v>
      </c>
    </row>
    <row r="43474" spans="1:6" x14ac:dyDescent="0.25">
      <c r="A43474" s="1" t="str">
        <f t="shared" si="1483"/>
        <v>99999</v>
      </c>
      <c r="B43474" s="1" t="str">
        <f>"39841"</f>
        <v>39841</v>
      </c>
      <c r="C43474" s="2">
        <v>5.0990879453013999E-5</v>
      </c>
      <c r="D43474" s="2">
        <v>2.55970512196994E-5</v>
      </c>
      <c r="E43474" s="2">
        <v>0</v>
      </c>
      <c r="F43474" s="2">
        <v>4.8156693987695901E-5</v>
      </c>
    </row>
    <row r="43475" spans="1:6" x14ac:dyDescent="0.25">
      <c r="A43475" s="1" t="str">
        <f t="shared" si="1483"/>
        <v>99999</v>
      </c>
      <c r="B43475" s="1" t="str">
        <f>"39877"</f>
        <v>39877</v>
      </c>
      <c r="C43475" s="2">
        <v>1.2774785085893101E-5</v>
      </c>
      <c r="D43475" s="2">
        <v>9.0342533716586405E-6</v>
      </c>
      <c r="E43475" s="2">
        <v>0</v>
      </c>
      <c r="F43475" s="2">
        <v>1.22365369968735E-5</v>
      </c>
    </row>
    <row r="43476" spans="1:6" x14ac:dyDescent="0.25">
      <c r="A43476" s="1" t="str">
        <f t="shared" si="1483"/>
        <v>99999</v>
      </c>
      <c r="B43476" s="1" t="str">
        <f>"32628"</f>
        <v>32628</v>
      </c>
      <c r="C43476" s="2">
        <v>1.5253959479680801E-4</v>
      </c>
      <c r="D43476" s="2">
        <v>2.2284491650091301E-4</v>
      </c>
      <c r="E43476" s="2">
        <v>4.7311624466131299E-5</v>
      </c>
      <c r="F43476" s="2">
        <v>1.5473298396046501E-4</v>
      </c>
    </row>
    <row r="43477" spans="1:6" x14ac:dyDescent="0.25">
      <c r="A43477" s="1" t="str">
        <f t="shared" si="1483"/>
        <v>99999</v>
      </c>
      <c r="B43477" s="1" t="str">
        <f>"32320"</f>
        <v>32320</v>
      </c>
      <c r="C43477" s="2">
        <v>2.3968961169633301E-4</v>
      </c>
      <c r="D43477" s="2">
        <v>5.7518079799560005E-4</v>
      </c>
      <c r="E43477" s="2">
        <v>2.49461292639601E-4</v>
      </c>
      <c r="F43477" s="2">
        <v>2.6190136443308401E-4</v>
      </c>
    </row>
    <row r="43478" spans="1:6" x14ac:dyDescent="0.25">
      <c r="A43478" s="1" t="str">
        <f t="shared" si="1483"/>
        <v>99999</v>
      </c>
      <c r="B43478" s="1" t="str">
        <f>"32334"</f>
        <v>32334</v>
      </c>
      <c r="C43478" s="2">
        <v>9.4836540129172506E-5</v>
      </c>
      <c r="D43478" s="2">
        <v>5.8722646915781101E-5</v>
      </c>
      <c r="E43478" s="2">
        <v>3.44084541571864E-5</v>
      </c>
      <c r="F43478" s="2">
        <v>9.1083255226728202E-5</v>
      </c>
    </row>
    <row r="43479" spans="1:6" x14ac:dyDescent="0.25">
      <c r="A43479" s="1" t="str">
        <f t="shared" si="1483"/>
        <v>99999</v>
      </c>
      <c r="B43479" s="1" t="str">
        <f>"35548"</f>
        <v>35548</v>
      </c>
      <c r="C43479" s="2">
        <v>1.04363498498313E-4</v>
      </c>
      <c r="D43479" s="2">
        <v>2.4091342324423E-5</v>
      </c>
      <c r="E43479" s="2">
        <v>1.37633816628745E-4</v>
      </c>
      <c r="F43479" s="2">
        <v>9.9865930974484197E-5</v>
      </c>
    </row>
    <row r="43480" spans="1:6" x14ac:dyDescent="0.25">
      <c r="A43480" s="1" t="str">
        <f t="shared" si="1483"/>
        <v>99999</v>
      </c>
      <c r="B43480" s="1" t="str">
        <f>"35546"</f>
        <v>35546</v>
      </c>
      <c r="C43480" s="2">
        <v>1.6758785858442799E-4</v>
      </c>
      <c r="D43480" s="2">
        <v>1.18951002726838E-4</v>
      </c>
      <c r="E43480" s="2">
        <v>4.3010567696482999E-5</v>
      </c>
      <c r="F43480" s="2">
        <v>1.6154202470872601E-4</v>
      </c>
    </row>
    <row r="43481" spans="1:6" x14ac:dyDescent="0.25">
      <c r="A43481" s="1" t="str">
        <f t="shared" si="1483"/>
        <v>99999</v>
      </c>
      <c r="B43481" s="1" t="str">
        <f>"17238"</f>
        <v>17238</v>
      </c>
      <c r="C43481" s="2">
        <v>8.9098712929576505E-5</v>
      </c>
      <c r="D43481" s="2">
        <v>3.01141779055288E-5</v>
      </c>
      <c r="E43481" s="2">
        <v>0</v>
      </c>
      <c r="F43481" s="2">
        <v>8.3188715228745198E-5</v>
      </c>
    </row>
    <row r="43482" spans="1:6" x14ac:dyDescent="0.25">
      <c r="A43482" s="1" t="str">
        <f t="shared" si="1483"/>
        <v>99999</v>
      </c>
      <c r="B43482" s="1" t="str">
        <f>"18630"</f>
        <v>18630</v>
      </c>
      <c r="C43482" s="2">
        <v>7.9571754560435796E-5</v>
      </c>
      <c r="D43482" s="2">
        <v>1.0539962266935E-5</v>
      </c>
      <c r="E43482" s="2">
        <v>0</v>
      </c>
      <c r="F43482" s="2">
        <v>7.3221858481291801E-5</v>
      </c>
    </row>
    <row r="43483" spans="1:6" x14ac:dyDescent="0.25">
      <c r="A43483" s="1" t="str">
        <f t="shared" si="1483"/>
        <v>99999</v>
      </c>
      <c r="B43483" s="1" t="str">
        <f>"18446"</f>
        <v>18446</v>
      </c>
      <c r="C43483" s="2">
        <v>6.2683055633322896E-5</v>
      </c>
      <c r="D43483" s="2">
        <v>2.25856334291466E-5</v>
      </c>
      <c r="E43483" s="2">
        <v>0</v>
      </c>
      <c r="F43483" s="2">
        <v>5.8616959485023303E-5</v>
      </c>
    </row>
    <row r="43484" spans="1:6" x14ac:dyDescent="0.25">
      <c r="A43484" s="1" t="str">
        <f t="shared" si="1483"/>
        <v>99999</v>
      </c>
      <c r="B43484" s="1" t="str">
        <f>"18436"</f>
        <v>18436</v>
      </c>
      <c r="C43484" s="2">
        <v>6.94277091151122E-4</v>
      </c>
      <c r="D43484" s="2">
        <v>2.3037346097729499E-4</v>
      </c>
      <c r="E43484" s="2">
        <v>2.9247186033608399E-4</v>
      </c>
      <c r="F43484" s="2">
        <v>6.54654729332735E-4</v>
      </c>
    </row>
    <row r="43485" spans="1:6" x14ac:dyDescent="0.25">
      <c r="A43485" s="1" t="str">
        <f t="shared" si="1483"/>
        <v>99999</v>
      </c>
      <c r="B43485" s="1" t="str">
        <f>"18415"</f>
        <v>18415</v>
      </c>
      <c r="C43485" s="2">
        <v>8.3902190182772495E-5</v>
      </c>
      <c r="D43485" s="2">
        <v>2.55970512196994E-5</v>
      </c>
      <c r="E43485" s="2">
        <v>2.58063406178898E-5</v>
      </c>
      <c r="F43485" s="2">
        <v>7.8748036479879798E-5</v>
      </c>
    </row>
    <row r="43486" spans="1:6" x14ac:dyDescent="0.25">
      <c r="A43486" s="1" t="str">
        <f t="shared" si="1483"/>
        <v>99999</v>
      </c>
      <c r="B43486" s="1" t="str">
        <f>"18830"</f>
        <v>18830</v>
      </c>
      <c r="C43486" s="2">
        <v>3.6050876555952499E-5</v>
      </c>
      <c r="D43486" s="2">
        <v>2.4091342324423E-5</v>
      </c>
      <c r="E43486" s="2">
        <v>1.72042270785932E-5</v>
      </c>
      <c r="F43486" s="2">
        <v>3.4834657741099703E-5</v>
      </c>
    </row>
    <row r="43487" spans="1:6" x14ac:dyDescent="0.25">
      <c r="A43487" s="1" t="str">
        <f t="shared" si="1483"/>
        <v>99999</v>
      </c>
      <c r="B43487" s="1" t="str">
        <f>"18822"</f>
        <v>18822</v>
      </c>
      <c r="C43487" s="2">
        <v>1.72351337768998E-4</v>
      </c>
      <c r="D43487" s="2">
        <v>1.4153663615598501E-4</v>
      </c>
      <c r="E43487" s="2">
        <v>2.4085917910030401E-4</v>
      </c>
      <c r="F43487" s="2">
        <v>1.71903608456078E-4</v>
      </c>
    </row>
    <row r="43488" spans="1:6" x14ac:dyDescent="0.25">
      <c r="A43488" s="1" t="str">
        <f t="shared" si="1483"/>
        <v>99999</v>
      </c>
      <c r="B43488" s="1" t="str">
        <f>"21538"</f>
        <v>21538</v>
      </c>
      <c r="C43488" s="2">
        <v>2.84726142168634E-5</v>
      </c>
      <c r="D43488" s="2">
        <v>3.01141779055288E-6</v>
      </c>
      <c r="E43488" s="2">
        <v>0</v>
      </c>
      <c r="F43488" s="2">
        <v>2.6150663743318498E-5</v>
      </c>
    </row>
    <row r="43489" spans="1:6" x14ac:dyDescent="0.25">
      <c r="A43489" s="1" t="str">
        <f t="shared" si="1483"/>
        <v>99999</v>
      </c>
      <c r="B43489" s="1" t="str">
        <f>"21550"</f>
        <v>21550</v>
      </c>
      <c r="C43489" s="2">
        <v>8.7085060365189903E-4</v>
      </c>
      <c r="D43489" s="2">
        <v>1.14283305151481E-3</v>
      </c>
      <c r="E43489" s="2">
        <v>1.30752125797308E-3</v>
      </c>
      <c r="F43489" s="2">
        <v>8.9869469702038305E-4</v>
      </c>
    </row>
    <row r="43490" spans="1:6" x14ac:dyDescent="0.25">
      <c r="A43490" s="1" t="str">
        <f t="shared" si="1483"/>
        <v>99999</v>
      </c>
      <c r="B43490" s="1" t="str">
        <f>"21539"</f>
        <v>21539</v>
      </c>
      <c r="C43490" s="2">
        <v>2.77147879829545E-5</v>
      </c>
      <c r="D43490" s="2">
        <v>0</v>
      </c>
      <c r="E43490" s="2">
        <v>0</v>
      </c>
      <c r="F43490" s="2">
        <v>2.52625279935454E-5</v>
      </c>
    </row>
    <row r="43491" spans="1:6" x14ac:dyDescent="0.25">
      <c r="A43491" s="1" t="str">
        <f t="shared" si="1483"/>
        <v>99999</v>
      </c>
      <c r="B43491" s="1" t="str">
        <f>"21632"</f>
        <v>21632</v>
      </c>
      <c r="C43491" s="2">
        <v>2.7866353229736299E-4</v>
      </c>
      <c r="D43491" s="2">
        <v>3.1168174132222302E-4</v>
      </c>
      <c r="E43491" s="2">
        <v>3.44084541571864E-4</v>
      </c>
      <c r="F43491" s="2">
        <v>2.8232848667786498E-4</v>
      </c>
    </row>
    <row r="43492" spans="1:6" x14ac:dyDescent="0.25">
      <c r="A43492" s="1" t="str">
        <f t="shared" si="1483"/>
        <v>99999</v>
      </c>
      <c r="B43492" s="1" t="str">
        <f>"21636"</f>
        <v>21636</v>
      </c>
      <c r="C43492" s="2">
        <v>5.1532183905806003E-5</v>
      </c>
      <c r="D43492" s="2">
        <v>1.65627978480408E-5</v>
      </c>
      <c r="E43492" s="2">
        <v>0</v>
      </c>
      <c r="F43492" s="2">
        <v>4.8058012237721097E-5</v>
      </c>
    </row>
    <row r="43493" spans="1:6" x14ac:dyDescent="0.25">
      <c r="A43493" s="1" t="str">
        <f t="shared" si="1483"/>
        <v>99999</v>
      </c>
      <c r="B43493" s="1" t="str">
        <f>"22488"</f>
        <v>22488</v>
      </c>
      <c r="C43493" s="2">
        <v>7.9680015450994294E-5</v>
      </c>
      <c r="D43493" s="2">
        <v>4.8182684648845999E-5</v>
      </c>
      <c r="E43493" s="2">
        <v>4.3010567696482999E-6</v>
      </c>
      <c r="F43493" s="2">
        <v>7.5886265730611003E-5</v>
      </c>
    </row>
    <row r="43494" spans="1:6" x14ac:dyDescent="0.25">
      <c r="A43494" s="1" t="str">
        <f t="shared" si="1483"/>
        <v>99999</v>
      </c>
      <c r="B43494" s="1" t="str">
        <f>"22460"</f>
        <v>22460</v>
      </c>
      <c r="C43494" s="2">
        <v>1.10859151931818E-4</v>
      </c>
      <c r="D43494" s="2">
        <v>1.80685067433172E-5</v>
      </c>
      <c r="E43494" s="2">
        <v>6.4515851544724506E-5</v>
      </c>
      <c r="F43494" s="2">
        <v>1.037145192235E-4</v>
      </c>
    </row>
    <row r="43495" spans="1:6" x14ac:dyDescent="0.25">
      <c r="A43495" s="1" t="str">
        <f t="shared" si="1483"/>
        <v>99999</v>
      </c>
      <c r="B43495" s="1" t="str">
        <f>"23027"</f>
        <v>23027</v>
      </c>
      <c r="C43495" s="2">
        <v>7.1560448659112994E-5</v>
      </c>
      <c r="D43495" s="2">
        <v>1.80685067433172E-5</v>
      </c>
      <c r="E43495" s="2">
        <v>4.3010567696482999E-6</v>
      </c>
      <c r="F43495" s="2">
        <v>6.6511499483006293E-5</v>
      </c>
    </row>
    <row r="43496" spans="1:6" x14ac:dyDescent="0.25">
      <c r="A43496" s="1" t="str">
        <f t="shared" si="1483"/>
        <v>99999</v>
      </c>
      <c r="B43496" s="1" t="str">
        <f>"22974"</f>
        <v>22974</v>
      </c>
      <c r="C43496" s="2">
        <v>4.1572181974431801E-5</v>
      </c>
      <c r="D43496" s="2">
        <v>5.1194102439398901E-5</v>
      </c>
      <c r="E43496" s="2">
        <v>0</v>
      </c>
      <c r="F43496" s="2">
        <v>4.1248971489460799E-5</v>
      </c>
    </row>
    <row r="43497" spans="1:6" x14ac:dyDescent="0.25">
      <c r="A43497" s="1" t="str">
        <f t="shared" si="1483"/>
        <v>99999</v>
      </c>
      <c r="B43497" s="1" t="str">
        <f>"22572"</f>
        <v>22572</v>
      </c>
      <c r="C43497" s="2">
        <v>3.1687962666448398E-4</v>
      </c>
      <c r="D43497" s="2">
        <v>2.2585633429146601E-4</v>
      </c>
      <c r="E43497" s="2">
        <v>2.4085917910030401E-4</v>
      </c>
      <c r="F43497" s="2">
        <v>3.0916992267100701E-4</v>
      </c>
    </row>
    <row r="43498" spans="1:6" x14ac:dyDescent="0.25">
      <c r="A43498" s="1" t="str">
        <f t="shared" si="1483"/>
        <v>99999</v>
      </c>
      <c r="B43498" s="1" t="str">
        <f>"22567"</f>
        <v>22567</v>
      </c>
      <c r="C43498" s="2">
        <v>1.3835741813365501E-4</v>
      </c>
      <c r="D43498" s="2">
        <v>4.0654140172463799E-5</v>
      </c>
      <c r="E43498" s="2">
        <v>4.3010567696482999E-6</v>
      </c>
      <c r="F43498" s="2">
        <v>1.2887836546707099E-4</v>
      </c>
    </row>
    <row r="43499" spans="1:6" x14ac:dyDescent="0.25">
      <c r="A43499" s="1" t="str">
        <f t="shared" si="1483"/>
        <v>99999</v>
      </c>
      <c r="B43499" s="1" t="str">
        <f>"22560"</f>
        <v>22560</v>
      </c>
      <c r="C43499" s="2">
        <v>2.5517091904618598E-4</v>
      </c>
      <c r="D43499" s="2">
        <v>2.4091342324422999E-4</v>
      </c>
      <c r="E43499" s="2">
        <v>1.97848611403821E-4</v>
      </c>
      <c r="F43499" s="2">
        <v>2.52921325185378E-4</v>
      </c>
    </row>
    <row r="43500" spans="1:6" x14ac:dyDescent="0.25">
      <c r="A43500" s="1" t="str">
        <f t="shared" si="1483"/>
        <v>99999</v>
      </c>
      <c r="B43500" s="1" t="str">
        <f>"22576"</f>
        <v>22576</v>
      </c>
      <c r="C43500" s="2">
        <v>9.88421930798339E-5</v>
      </c>
      <c r="D43500" s="2">
        <v>1.65627978480408E-5</v>
      </c>
      <c r="E43500" s="2">
        <v>1.29031703089449E-5</v>
      </c>
      <c r="F43500" s="2">
        <v>9.1477982226627295E-5</v>
      </c>
    </row>
    <row r="43501" spans="1:6" x14ac:dyDescent="0.25">
      <c r="A43501" s="1" t="str">
        <f t="shared" si="1483"/>
        <v>99999</v>
      </c>
      <c r="B43501" s="1" t="str">
        <f>"23123"</f>
        <v>23123</v>
      </c>
      <c r="C43501" s="2">
        <v>9.2346539646328898E-5</v>
      </c>
      <c r="D43501" s="2">
        <v>4.3665557963016701E-5</v>
      </c>
      <c r="E43501" s="2">
        <v>1.29031703089449E-5</v>
      </c>
      <c r="F43501" s="2">
        <v>8.7333348727686294E-5</v>
      </c>
    </row>
    <row r="43502" spans="1:6" x14ac:dyDescent="0.25">
      <c r="A43502" s="1" t="str">
        <f t="shared" si="1483"/>
        <v>99999</v>
      </c>
      <c r="B43502" s="1" t="str">
        <f>"23079"</f>
        <v>23079</v>
      </c>
      <c r="C43502" s="2">
        <v>2.21934825644753E-5</v>
      </c>
      <c r="D43502" s="2">
        <v>1.20456711622115E-5</v>
      </c>
      <c r="E43502" s="2">
        <v>4.3010567696482999E-6</v>
      </c>
      <c r="F43502" s="2">
        <v>2.11178944946043E-5</v>
      </c>
    </row>
    <row r="43503" spans="1:6" x14ac:dyDescent="0.25">
      <c r="A43503" s="1" t="str">
        <f t="shared" si="1483"/>
        <v>99999</v>
      </c>
      <c r="B43503" s="1" t="str">
        <f>"23417"</f>
        <v>23417</v>
      </c>
      <c r="C43503" s="2">
        <v>2.2929656620272501E-4</v>
      </c>
      <c r="D43503" s="2">
        <v>2.2585633429146601E-4</v>
      </c>
      <c r="E43503" s="2">
        <v>1.5483804370733801E-4</v>
      </c>
      <c r="F43503" s="2">
        <v>2.2736275194190799E-4</v>
      </c>
    </row>
    <row r="43504" spans="1:6" x14ac:dyDescent="0.25">
      <c r="A43504" s="1" t="str">
        <f t="shared" si="1483"/>
        <v>99999</v>
      </c>
      <c r="B43504" s="1" t="str">
        <f>"23824"</f>
        <v>23824</v>
      </c>
      <c r="C43504" s="2">
        <v>3.7512398578491203E-4</v>
      </c>
      <c r="D43504" s="2">
        <v>5.48078037880624E-4</v>
      </c>
      <c r="E43504" s="2">
        <v>3.8279405249869798E-4</v>
      </c>
      <c r="F43504" s="2">
        <v>3.8663509640121402E-4</v>
      </c>
    </row>
    <row r="43505" spans="1:6" x14ac:dyDescent="0.25">
      <c r="A43505" s="1" t="str">
        <f t="shared" si="1483"/>
        <v>99999</v>
      </c>
      <c r="B43505" s="1" t="str">
        <f>"23936"</f>
        <v>23936</v>
      </c>
      <c r="C43505" s="2">
        <v>3.1493093063443198E-4</v>
      </c>
      <c r="D43505" s="2">
        <v>2.3037346097729499E-4</v>
      </c>
      <c r="E43505" s="2">
        <v>1.2042958955015201E-4</v>
      </c>
      <c r="F43505" s="2">
        <v>3.0492660742209099E-4</v>
      </c>
    </row>
    <row r="43506" spans="1:6" x14ac:dyDescent="0.25">
      <c r="A43506" s="1" t="str">
        <f t="shared" si="1483"/>
        <v>99999</v>
      </c>
      <c r="B43506" s="1" t="str">
        <f>"23934"</f>
        <v>23934</v>
      </c>
      <c r="C43506" s="2">
        <v>3.8757398819912901E-5</v>
      </c>
      <c r="D43506" s="2">
        <v>6.0228355811057601E-6</v>
      </c>
      <c r="E43506" s="2">
        <v>4.3010567696482999E-6</v>
      </c>
      <c r="F43506" s="2">
        <v>3.5821475240847599E-5</v>
      </c>
    </row>
    <row r="43507" spans="1:6" x14ac:dyDescent="0.25">
      <c r="A43507" s="1" t="str">
        <f t="shared" si="1483"/>
        <v>99999</v>
      </c>
      <c r="B43507" s="1" t="str">
        <f>"23964"</f>
        <v>23964</v>
      </c>
      <c r="C43507" s="2">
        <v>6.2899577414439703E-5</v>
      </c>
      <c r="D43507" s="2">
        <v>1.9574215638593701E-5</v>
      </c>
      <c r="E43507" s="2">
        <v>8.6021135392965999E-6</v>
      </c>
      <c r="F43507" s="2">
        <v>5.8814322984972897E-5</v>
      </c>
    </row>
    <row r="43508" spans="1:6" x14ac:dyDescent="0.25">
      <c r="A43508" s="1" t="str">
        <f t="shared" si="1483"/>
        <v>99999</v>
      </c>
      <c r="B43508" s="1" t="str">
        <f>"23976"</f>
        <v>23976</v>
      </c>
      <c r="C43508" s="2">
        <v>1.06095672747247E-5</v>
      </c>
      <c r="D43508" s="2">
        <v>1.9574215638593701E-5</v>
      </c>
      <c r="E43508" s="2">
        <v>4.3010567696482999E-6</v>
      </c>
      <c r="F43508" s="2">
        <v>1.10523559971761E-5</v>
      </c>
    </row>
    <row r="43509" spans="1:6" x14ac:dyDescent="0.25">
      <c r="A43509" s="1" t="str">
        <f t="shared" si="1483"/>
        <v>99999</v>
      </c>
      <c r="B43509" s="1" t="str">
        <f>"23960"</f>
        <v>23960</v>
      </c>
      <c r="C43509" s="2">
        <v>9.7759584174249796E-5</v>
      </c>
      <c r="D43509" s="2">
        <v>4.2159849067740298E-5</v>
      </c>
      <c r="E43509" s="2">
        <v>4.3010567696482999E-6</v>
      </c>
      <c r="F43509" s="2">
        <v>9.1971390976501301E-5</v>
      </c>
    </row>
    <row r="43510" spans="1:6" x14ac:dyDescent="0.25">
      <c r="A43510" s="1" t="str">
        <f t="shared" si="1483"/>
        <v>99999</v>
      </c>
      <c r="B43510" s="1" t="str">
        <f>"23881"</f>
        <v>23881</v>
      </c>
      <c r="C43510" s="2">
        <v>8.2278276824396197E-5</v>
      </c>
      <c r="D43510" s="2">
        <v>2.1079924533870101E-5</v>
      </c>
      <c r="E43510" s="2">
        <v>1.7634332755557999E-4</v>
      </c>
      <c r="F43510" s="2">
        <v>8.0425626229451206E-5</v>
      </c>
    </row>
    <row r="43511" spans="1:6" x14ac:dyDescent="0.25">
      <c r="A43511" s="1" t="str">
        <f t="shared" si="1483"/>
        <v>99999</v>
      </c>
      <c r="B43511" s="1" t="str">
        <f>"23856"</f>
        <v>23856</v>
      </c>
      <c r="C43511" s="2">
        <v>5.9218707135453601E-5</v>
      </c>
      <c r="D43511" s="2">
        <v>3.4631304591358098E-5</v>
      </c>
      <c r="E43511" s="2">
        <v>4.3010567696482999E-6</v>
      </c>
      <c r="F43511" s="2">
        <v>5.6347279235603201E-5</v>
      </c>
    </row>
    <row r="43512" spans="1:6" x14ac:dyDescent="0.25">
      <c r="A43512" s="1" t="str">
        <f t="shared" si="1483"/>
        <v>99999</v>
      </c>
      <c r="B43512" s="1" t="str">
        <f>"23846"</f>
        <v>23846</v>
      </c>
      <c r="C43512" s="2">
        <v>4.53613131439763E-5</v>
      </c>
      <c r="D43512" s="2">
        <v>2.7102760114975901E-5</v>
      </c>
      <c r="E43512" s="2">
        <v>8.6021135392965999E-6</v>
      </c>
      <c r="F43512" s="2">
        <v>4.3321288238931401E-5</v>
      </c>
    </row>
    <row r="43513" spans="1:6" x14ac:dyDescent="0.25">
      <c r="A43513" s="1" t="str">
        <f t="shared" si="1483"/>
        <v>99999</v>
      </c>
      <c r="B43513" s="1" t="str">
        <f>"24380"</f>
        <v>24380</v>
      </c>
      <c r="C43513" s="2">
        <v>1.5806090021528701E-4</v>
      </c>
      <c r="D43513" s="2">
        <v>6.4745482496886904E-5</v>
      </c>
      <c r="E43513" s="2">
        <v>1.29031703089449E-5</v>
      </c>
      <c r="F43513" s="2">
        <v>1.4861471546202801E-4</v>
      </c>
    </row>
    <row r="43514" spans="1:6" x14ac:dyDescent="0.25">
      <c r="A43514" s="1" t="str">
        <f t="shared" si="1483"/>
        <v>99999</v>
      </c>
      <c r="B43514" s="1" t="str">
        <f>"24363"</f>
        <v>24363</v>
      </c>
      <c r="C43514" s="2">
        <v>9.3753931223588402E-5</v>
      </c>
      <c r="D43514" s="2">
        <v>3.9148431277187403E-5</v>
      </c>
      <c r="E43514" s="2">
        <v>1.29031703089449E-5</v>
      </c>
      <c r="F43514" s="2">
        <v>8.8320166227434102E-5</v>
      </c>
    </row>
    <row r="43515" spans="1:6" x14ac:dyDescent="0.25">
      <c r="A43515" s="1" t="str">
        <f t="shared" si="1483"/>
        <v>99999</v>
      </c>
      <c r="B43515" s="1" t="str">
        <f>"24354"</f>
        <v>24354</v>
      </c>
      <c r="C43515" s="2">
        <v>9.7261584077680996E-4</v>
      </c>
      <c r="D43515" s="2">
        <v>1.27985256098497E-3</v>
      </c>
      <c r="E43515" s="2">
        <v>7.5698599145810101E-4</v>
      </c>
      <c r="F43515" s="2">
        <v>9.8780431724761501E-4</v>
      </c>
    </row>
    <row r="43516" spans="1:6" x14ac:dyDescent="0.25">
      <c r="A43516" s="1" t="str">
        <f t="shared" si="1483"/>
        <v>99999</v>
      </c>
      <c r="B43516" s="1" t="str">
        <f>"24368"</f>
        <v>24368</v>
      </c>
      <c r="C43516" s="2">
        <v>2.2951308798384201E-4</v>
      </c>
      <c r="D43516" s="2">
        <v>1.08411040459903E-4</v>
      </c>
      <c r="E43516" s="2">
        <v>1.11827476010855E-4</v>
      </c>
      <c r="F43516" s="2">
        <v>2.18876121444077E-4</v>
      </c>
    </row>
    <row r="43517" spans="1:6" x14ac:dyDescent="0.25">
      <c r="A43517" s="1" t="str">
        <f t="shared" si="1483"/>
        <v>99999</v>
      </c>
      <c r="B43517" s="1" t="str">
        <f>"24381"</f>
        <v>24381</v>
      </c>
      <c r="C43517" s="2">
        <v>2.6350700761918399E-4</v>
      </c>
      <c r="D43517" s="2">
        <v>1.7466223185206699E-4</v>
      </c>
      <c r="E43517" s="2">
        <v>7.3117965084021106E-5</v>
      </c>
      <c r="F43517" s="2">
        <v>2.53316052185277E-4</v>
      </c>
    </row>
    <row r="43518" spans="1:6" x14ac:dyDescent="0.25">
      <c r="A43518" s="1" t="str">
        <f t="shared" si="1483"/>
        <v>99999</v>
      </c>
      <c r="B43518" s="1" t="str">
        <f>"24350"</f>
        <v>24350</v>
      </c>
      <c r="C43518" s="2">
        <v>7.2643057564697206E-5</v>
      </c>
      <c r="D43518" s="2">
        <v>2.4091342324423E-5</v>
      </c>
      <c r="E43518" s="2">
        <v>0</v>
      </c>
      <c r="F43518" s="2">
        <v>6.7794362232678499E-5</v>
      </c>
    </row>
    <row r="43519" spans="1:6" x14ac:dyDescent="0.25">
      <c r="A43519" s="1" t="str">
        <f t="shared" si="1483"/>
        <v>99999</v>
      </c>
      <c r="B43519" s="1" t="str">
        <f>"24244"</f>
        <v>24244</v>
      </c>
      <c r="C43519" s="2">
        <v>4.9691748766313E-5</v>
      </c>
      <c r="D43519" s="2">
        <v>1.65627978480408E-5</v>
      </c>
      <c r="E43519" s="2">
        <v>8.6021135392965999E-6</v>
      </c>
      <c r="F43519" s="2">
        <v>4.6577785988099297E-5</v>
      </c>
    </row>
    <row r="43520" spans="1:6" x14ac:dyDescent="0.25">
      <c r="A43520" s="1" t="str">
        <f t="shared" si="1483"/>
        <v>99999</v>
      </c>
      <c r="B43520" s="1" t="str">
        <f>"24326"</f>
        <v>24326</v>
      </c>
      <c r="C43520" s="2">
        <v>7.03695788629705E-5</v>
      </c>
      <c r="D43520" s="2">
        <v>1.35513800574879E-5</v>
      </c>
      <c r="E43520" s="2">
        <v>4.3010567696482999E-6</v>
      </c>
      <c r="F43520" s="2">
        <v>6.5129954983359203E-5</v>
      </c>
    </row>
    <row r="43521" spans="1:6" x14ac:dyDescent="0.25">
      <c r="A43521" s="1" t="str">
        <f t="shared" si="1483"/>
        <v>99999</v>
      </c>
      <c r="B43521" s="1" t="str">
        <f>"24224"</f>
        <v>24224</v>
      </c>
      <c r="C43521" s="2">
        <v>2.5213961411055101E-4</v>
      </c>
      <c r="D43521" s="2">
        <v>5.7216938020504697E-5</v>
      </c>
      <c r="E43521" s="2">
        <v>2.58063406178898E-5</v>
      </c>
      <c r="F43521" s="2">
        <v>2.3417179269016899E-4</v>
      </c>
    </row>
    <row r="43522" spans="1:6" x14ac:dyDescent="0.25">
      <c r="A43522" s="1" t="str">
        <f t="shared" si="1483"/>
        <v>99999</v>
      </c>
      <c r="B43522" s="1" t="str">
        <f>"24656"</f>
        <v>24656</v>
      </c>
      <c r="C43522" s="2">
        <v>1.2525785037608699E-4</v>
      </c>
      <c r="D43522" s="2">
        <v>6.6251191392163294E-5</v>
      </c>
      <c r="E43522" s="2">
        <v>0</v>
      </c>
      <c r="F43522" s="2">
        <v>1.18516781719718E-4</v>
      </c>
    </row>
    <row r="43523" spans="1:6" x14ac:dyDescent="0.25">
      <c r="A43523" s="1" t="str">
        <f t="shared" si="1483"/>
        <v>99999</v>
      </c>
      <c r="B43523" s="1" t="str">
        <f>"24620"</f>
        <v>24620</v>
      </c>
      <c r="C43523" s="2">
        <v>1.06636977200039E-4</v>
      </c>
      <c r="D43523" s="2">
        <v>2.8608469010252301E-5</v>
      </c>
      <c r="E43523" s="2">
        <v>0</v>
      </c>
      <c r="F43523" s="2">
        <v>9.9076476974685902E-5</v>
      </c>
    </row>
    <row r="43524" spans="1:6" x14ac:dyDescent="0.25">
      <c r="A43524" s="1" t="str">
        <f t="shared" si="1483"/>
        <v>99999</v>
      </c>
      <c r="B43524" s="1" t="str">
        <f>"24598"</f>
        <v>24598</v>
      </c>
      <c r="C43524" s="2">
        <v>1.00249584657093E-4</v>
      </c>
      <c r="D43524" s="2">
        <v>3.9148431277187403E-5</v>
      </c>
      <c r="E43524" s="2">
        <v>4.3010567696482999E-6</v>
      </c>
      <c r="F43524" s="2">
        <v>9.4043707725971801E-5</v>
      </c>
    </row>
    <row r="43525" spans="1:6" x14ac:dyDescent="0.25">
      <c r="A43525" s="1" t="str">
        <f t="shared" si="1483"/>
        <v>99999</v>
      </c>
      <c r="B43525" s="1" t="str">
        <f>"24529"</f>
        <v>24529</v>
      </c>
      <c r="C43525" s="2">
        <v>1.04038715826637E-4</v>
      </c>
      <c r="D43525" s="2">
        <v>6.1734064706334002E-5</v>
      </c>
      <c r="E43525" s="2">
        <v>8.6021135392965999E-6</v>
      </c>
      <c r="F43525" s="2">
        <v>9.9076476974685902E-5</v>
      </c>
    </row>
    <row r="43526" spans="1:6" x14ac:dyDescent="0.25">
      <c r="A43526" s="1" t="str">
        <f t="shared" ref="A43526:A43589" si="1484">"99999"</f>
        <v>99999</v>
      </c>
      <c r="B43526" s="1" t="str">
        <f>"24646"</f>
        <v>24646</v>
      </c>
      <c r="C43526" s="2">
        <v>3.2478267167524801E-5</v>
      </c>
      <c r="D43526" s="2">
        <v>0</v>
      </c>
      <c r="E43526" s="2">
        <v>4.3010567696482999E-6</v>
      </c>
      <c r="F43526" s="2">
        <v>2.9703206742410799E-5</v>
      </c>
    </row>
    <row r="43527" spans="1:6" x14ac:dyDescent="0.25">
      <c r="A43527" s="1" t="str">
        <f t="shared" si="1484"/>
        <v>99999</v>
      </c>
      <c r="B43527" s="1" t="str">
        <f>"24649"</f>
        <v>24649</v>
      </c>
      <c r="C43527" s="2">
        <v>1.02414802468261E-4</v>
      </c>
      <c r="D43527" s="2">
        <v>2.8608469010252301E-5</v>
      </c>
      <c r="E43527" s="2">
        <v>8.6021135392965999E-6</v>
      </c>
      <c r="F43527" s="2">
        <v>9.5425252225618797E-5</v>
      </c>
    </row>
    <row r="43528" spans="1:6" x14ac:dyDescent="0.25">
      <c r="A43528" s="1" t="str">
        <f t="shared" si="1484"/>
        <v>99999</v>
      </c>
      <c r="B43528" s="1" t="str">
        <f>"24639"</f>
        <v>24639</v>
      </c>
      <c r="C43528" s="2">
        <v>5.0774357671897097E-5</v>
      </c>
      <c r="D43528" s="2">
        <v>1.20456711622115E-5</v>
      </c>
      <c r="E43528" s="2">
        <v>4.3010567696482999E-6</v>
      </c>
      <c r="F43528" s="2">
        <v>4.7169876487947998E-5</v>
      </c>
    </row>
    <row r="43529" spans="1:6" x14ac:dyDescent="0.25">
      <c r="A43529" s="1" t="str">
        <f t="shared" si="1484"/>
        <v>99999</v>
      </c>
      <c r="B43529" s="1" t="str">
        <f>"24597"</f>
        <v>24597</v>
      </c>
      <c r="C43529" s="2">
        <v>6.0842620493829797E-5</v>
      </c>
      <c r="D43529" s="2">
        <v>1.50570889527644E-6</v>
      </c>
      <c r="E43529" s="2">
        <v>4.3010567696482999E-6</v>
      </c>
      <c r="F43529" s="2">
        <v>5.5656506985779703E-5</v>
      </c>
    </row>
    <row r="43530" spans="1:6" x14ac:dyDescent="0.25">
      <c r="A43530" s="1" t="str">
        <f t="shared" si="1484"/>
        <v>99999</v>
      </c>
      <c r="B43530" s="1" t="str">
        <f>"24534"</f>
        <v>24534</v>
      </c>
      <c r="C43530" s="2">
        <v>8.0979146137695205E-5</v>
      </c>
      <c r="D43530" s="2">
        <v>1.0539962266935E-5</v>
      </c>
      <c r="E43530" s="2">
        <v>4.3010567696482999E-6</v>
      </c>
      <c r="F43530" s="2">
        <v>7.4603402980938797E-5</v>
      </c>
    </row>
    <row r="43531" spans="1:6" x14ac:dyDescent="0.25">
      <c r="A43531" s="1" t="str">
        <f t="shared" si="1484"/>
        <v>99999</v>
      </c>
      <c r="B43531" s="1" t="str">
        <f>"24580"</f>
        <v>24580</v>
      </c>
      <c r="C43531" s="2">
        <v>3.3452615182550501E-5</v>
      </c>
      <c r="D43531" s="2">
        <v>9.0342533716586405E-6</v>
      </c>
      <c r="E43531" s="2">
        <v>8.6021135392965999E-6</v>
      </c>
      <c r="F43531" s="2">
        <v>3.1282114742007402E-5</v>
      </c>
    </row>
    <row r="43532" spans="1:6" x14ac:dyDescent="0.25">
      <c r="A43532" s="1" t="str">
        <f t="shared" si="1484"/>
        <v>99999</v>
      </c>
      <c r="B43532" s="1" t="str">
        <f>"24592"</f>
        <v>24592</v>
      </c>
      <c r="C43532" s="2">
        <v>7.6605406159135198E-4</v>
      </c>
      <c r="D43532" s="2">
        <v>1.24220983860306E-3</v>
      </c>
      <c r="E43532" s="2">
        <v>8.77415581008253E-4</v>
      </c>
      <c r="F43532" s="2">
        <v>7.9981558354564697E-4</v>
      </c>
    </row>
    <row r="43533" spans="1:6" x14ac:dyDescent="0.25">
      <c r="A43533" s="1" t="str">
        <f t="shared" si="1484"/>
        <v>99999</v>
      </c>
      <c r="B43533" s="1" t="str">
        <f>"24558"</f>
        <v>24558</v>
      </c>
      <c r="C43533" s="2">
        <v>3.4730093691139898E-4</v>
      </c>
      <c r="D43533" s="2">
        <v>1.9574215638593699E-4</v>
      </c>
      <c r="E43533" s="2">
        <v>1.2042958955015201E-4</v>
      </c>
      <c r="F43533" s="2">
        <v>3.3216277041513202E-4</v>
      </c>
    </row>
    <row r="43534" spans="1:6" x14ac:dyDescent="0.25">
      <c r="A43534" s="1" t="str">
        <f t="shared" si="1484"/>
        <v>99999</v>
      </c>
      <c r="B43534" s="1" t="str">
        <f>"24991"</f>
        <v>24991</v>
      </c>
      <c r="C43534" s="2">
        <v>2.3600874141734699E-5</v>
      </c>
      <c r="D43534" s="2">
        <v>1.50570889527644E-6</v>
      </c>
      <c r="E43534" s="2">
        <v>4.3010567696482999E-6</v>
      </c>
      <c r="F43534" s="2">
        <v>2.1709984994453001E-5</v>
      </c>
    </row>
    <row r="43535" spans="1:6" x14ac:dyDescent="0.25">
      <c r="A43535" s="1" t="str">
        <f t="shared" si="1484"/>
        <v>99999</v>
      </c>
      <c r="B43535" s="1" t="str">
        <f>"24976"</f>
        <v>24976</v>
      </c>
      <c r="C43535" s="2">
        <v>9.5594366363081399E-5</v>
      </c>
      <c r="D43535" s="2">
        <v>2.7102760114975901E-5</v>
      </c>
      <c r="E43535" s="2">
        <v>1.72042270785932E-5</v>
      </c>
      <c r="F43535" s="2">
        <v>8.9306983727182004E-5</v>
      </c>
    </row>
    <row r="43536" spans="1:6" x14ac:dyDescent="0.25">
      <c r="A43536" s="1" t="str">
        <f t="shared" si="1484"/>
        <v>99999</v>
      </c>
      <c r="B43536" s="1" t="str">
        <f>"24910"</f>
        <v>24910</v>
      </c>
      <c r="C43536" s="2">
        <v>1.9400351588068099E-4</v>
      </c>
      <c r="D43536" s="2">
        <v>5.4205520229951803E-5</v>
      </c>
      <c r="E43536" s="2">
        <v>3.8709510926834699E-5</v>
      </c>
      <c r="F43536" s="2">
        <v>1.8127837470368301E-4</v>
      </c>
    </row>
    <row r="43537" spans="1:6" x14ac:dyDescent="0.25">
      <c r="A43537" s="1" t="str">
        <f t="shared" si="1484"/>
        <v>99999</v>
      </c>
      <c r="B43537" s="1" t="str">
        <f>"24946"</f>
        <v>24946</v>
      </c>
      <c r="C43537" s="2">
        <v>6.0626098712712997E-5</v>
      </c>
      <c r="D43537" s="2">
        <v>3.1619886800805203E-5</v>
      </c>
      <c r="E43537" s="2">
        <v>0</v>
      </c>
      <c r="F43537" s="2">
        <v>5.7334096735351097E-5</v>
      </c>
    </row>
    <row r="43538" spans="1:6" x14ac:dyDescent="0.25">
      <c r="A43538" s="1" t="str">
        <f t="shared" si="1484"/>
        <v>99999</v>
      </c>
      <c r="B43538" s="1" t="str">
        <f>"24830"</f>
        <v>24830</v>
      </c>
      <c r="C43538" s="2">
        <v>1.4073915772594101E-6</v>
      </c>
      <c r="D43538" s="2">
        <v>1.50570889527644E-6</v>
      </c>
      <c r="E43538" s="2">
        <v>0</v>
      </c>
      <c r="F43538" s="2">
        <v>1.3815444996470099E-6</v>
      </c>
    </row>
    <row r="43539" spans="1:6" x14ac:dyDescent="0.25">
      <c r="A43539" s="1" t="str">
        <f t="shared" si="1484"/>
        <v>99999</v>
      </c>
      <c r="B43539" s="1" t="str">
        <f>"24839"</f>
        <v>24839</v>
      </c>
      <c r="C43539" s="2">
        <v>1.2774785085893101E-5</v>
      </c>
      <c r="D43539" s="2">
        <v>1.50570889527644E-6</v>
      </c>
      <c r="E43539" s="2">
        <v>0</v>
      </c>
      <c r="F43539" s="2">
        <v>1.1743128246999599E-5</v>
      </c>
    </row>
    <row r="43540" spans="1:6" x14ac:dyDescent="0.25">
      <c r="A43540" s="1" t="str">
        <f t="shared" si="1484"/>
        <v>99999</v>
      </c>
      <c r="B43540" s="1" t="str">
        <f>"25676"</f>
        <v>25676</v>
      </c>
      <c r="C43540" s="2">
        <v>3.5726093884277302E-5</v>
      </c>
      <c r="D43540" s="2">
        <v>3.01141779055288E-6</v>
      </c>
      <c r="E43540" s="2">
        <v>4.3010567696482999E-6</v>
      </c>
      <c r="F43540" s="2">
        <v>3.2861022741603999E-5</v>
      </c>
    </row>
    <row r="43541" spans="1:6" x14ac:dyDescent="0.25">
      <c r="A43541" s="1" t="str">
        <f t="shared" si="1484"/>
        <v>99999</v>
      </c>
      <c r="B43541" s="1" t="str">
        <f>"26338"</f>
        <v>26338</v>
      </c>
      <c r="C43541" s="2">
        <v>4.0164790397172297E-5</v>
      </c>
      <c r="D43541" s="2">
        <v>1.35513800574879E-5</v>
      </c>
      <c r="E43541" s="2">
        <v>4.3010567696482999E-6</v>
      </c>
      <c r="F43541" s="2">
        <v>3.7597746740393702E-5</v>
      </c>
    </row>
    <row r="43542" spans="1:6" x14ac:dyDescent="0.25">
      <c r="A43542" s="1" t="str">
        <f t="shared" si="1484"/>
        <v>99999</v>
      </c>
      <c r="B43542" s="1" t="str">
        <f>"26376"</f>
        <v>26376</v>
      </c>
      <c r="C43542" s="2">
        <v>3.1179136480823802E-5</v>
      </c>
      <c r="D43542" s="2">
        <v>4.5171266858293203E-6</v>
      </c>
      <c r="E43542" s="2">
        <v>4.3010567696482999E-6</v>
      </c>
      <c r="F43542" s="2">
        <v>2.88150709926377E-5</v>
      </c>
    </row>
    <row r="43543" spans="1:6" x14ac:dyDescent="0.25">
      <c r="A43543" s="1" t="str">
        <f t="shared" si="1484"/>
        <v>99999</v>
      </c>
      <c r="B43543" s="1" t="str">
        <f>"26419"</f>
        <v>26419</v>
      </c>
      <c r="C43543" s="2">
        <v>3.7999572586004001E-5</v>
      </c>
      <c r="D43543" s="2">
        <v>3.01141779055288E-5</v>
      </c>
      <c r="E43543" s="2">
        <v>0</v>
      </c>
      <c r="F43543" s="2">
        <v>3.6610929240645901E-5</v>
      </c>
    </row>
    <row r="43544" spans="1:6" x14ac:dyDescent="0.25">
      <c r="A43544" s="1" t="str">
        <f t="shared" si="1484"/>
        <v>99999</v>
      </c>
      <c r="B43544" s="1" t="str">
        <f>"26377"</f>
        <v>26377</v>
      </c>
      <c r="C43544" s="2">
        <v>3.2478267167524801E-5</v>
      </c>
      <c r="D43544" s="2">
        <v>1.9574215638593701E-5</v>
      </c>
      <c r="E43544" s="2">
        <v>0</v>
      </c>
      <c r="F43544" s="2">
        <v>3.0887387742108201E-5</v>
      </c>
    </row>
    <row r="43545" spans="1:6" x14ac:dyDescent="0.25">
      <c r="A43545" s="1" t="str">
        <f t="shared" si="1484"/>
        <v>99999</v>
      </c>
      <c r="B43545" s="1" t="str">
        <f>"04224"</f>
        <v>04224</v>
      </c>
      <c r="C43545" s="2">
        <v>1.3023785134177399E-4</v>
      </c>
      <c r="D43545" s="2">
        <v>2.8608469010252301E-5</v>
      </c>
      <c r="E43545" s="2">
        <v>8.6021135392965999E-5</v>
      </c>
      <c r="F43545" s="2">
        <v>1.2256273346868501E-4</v>
      </c>
    </row>
    <row r="43546" spans="1:6" x14ac:dyDescent="0.25">
      <c r="A43546" s="1" t="str">
        <f t="shared" si="1484"/>
        <v>99999</v>
      </c>
      <c r="B43546" s="1" t="str">
        <f>"04292"</f>
        <v>04292</v>
      </c>
      <c r="C43546" s="2">
        <v>5.2939575483065501E-5</v>
      </c>
      <c r="D43546" s="2">
        <v>1.0539962266935E-5</v>
      </c>
      <c r="E43546" s="2">
        <v>2.15052838482415E-5</v>
      </c>
      <c r="F43546" s="2">
        <v>4.94395567373681E-5</v>
      </c>
    </row>
    <row r="43547" spans="1:6" x14ac:dyDescent="0.25">
      <c r="A43547" s="1" t="str">
        <f t="shared" si="1484"/>
        <v>99999</v>
      </c>
      <c r="B43547" s="1" t="str">
        <f>"04217"</f>
        <v>04217</v>
      </c>
      <c r="C43547" s="2">
        <v>1.6845394570889501E-4</v>
      </c>
      <c r="D43547" s="2">
        <v>6.9262609182716196E-5</v>
      </c>
      <c r="E43547" s="2">
        <v>7.3117965084021106E-5</v>
      </c>
      <c r="F43547" s="2">
        <v>1.59765753209179E-4</v>
      </c>
    </row>
    <row r="43548" spans="1:6" x14ac:dyDescent="0.25">
      <c r="A43548" s="1" t="str">
        <f t="shared" si="1484"/>
        <v>99999</v>
      </c>
      <c r="B43548" s="1" t="str">
        <f>"04221"</f>
        <v>04221</v>
      </c>
      <c r="C43548" s="2">
        <v>4.2979573551691197E-5</v>
      </c>
      <c r="D43548" s="2">
        <v>1.0539962266935E-5</v>
      </c>
      <c r="E43548" s="2">
        <v>5.5913738005427899E-5</v>
      </c>
      <c r="F43548" s="2">
        <v>4.1150289739486097E-5</v>
      </c>
    </row>
    <row r="43549" spans="1:6" x14ac:dyDescent="0.25">
      <c r="A43549" s="1" t="str">
        <f t="shared" si="1484"/>
        <v>99999</v>
      </c>
      <c r="B43549" s="1" t="str">
        <f>"04986"</f>
        <v>04986</v>
      </c>
      <c r="C43549" s="2">
        <v>8.29278421677467E-5</v>
      </c>
      <c r="D43549" s="2">
        <v>3.1619886800805203E-5</v>
      </c>
      <c r="E43549" s="2">
        <v>7.7419021853669399E-5</v>
      </c>
      <c r="F43549" s="2">
        <v>7.9438808729703303E-5</v>
      </c>
    </row>
    <row r="43550" spans="1:6" x14ac:dyDescent="0.25">
      <c r="A43550" s="1" t="str">
        <f t="shared" si="1484"/>
        <v>99999</v>
      </c>
      <c r="B43550" s="1" t="str">
        <f>"04987"</f>
        <v>04987</v>
      </c>
      <c r="C43550" s="2">
        <v>5.0774357671897097E-5</v>
      </c>
      <c r="D43550" s="2">
        <v>7.5285444763821999E-6</v>
      </c>
      <c r="E43550" s="2">
        <v>1.8494544109487701E-4</v>
      </c>
      <c r="F43550" s="2">
        <v>5.1018464736964703E-5</v>
      </c>
    </row>
    <row r="43551" spans="1:6" x14ac:dyDescent="0.25">
      <c r="A43551" s="1" t="str">
        <f t="shared" si="1484"/>
        <v>99999</v>
      </c>
      <c r="B43551" s="1" t="str">
        <f>"04862"</f>
        <v>04862</v>
      </c>
      <c r="C43551" s="2">
        <v>1.7159351153508899E-4</v>
      </c>
      <c r="D43551" s="2">
        <v>7.6791153659098402E-5</v>
      </c>
      <c r="E43551" s="2">
        <v>5.5913738005427899E-5</v>
      </c>
      <c r="F43551" s="2">
        <v>1.6272620570842301E-4</v>
      </c>
    </row>
    <row r="43552" spans="1:6" x14ac:dyDescent="0.25">
      <c r="A43552" s="1" t="str">
        <f t="shared" si="1484"/>
        <v>99999</v>
      </c>
      <c r="B43552" s="1" t="str">
        <f>"04856"</f>
        <v>04856</v>
      </c>
      <c r="C43552" s="2">
        <v>2.8180309812355698E-4</v>
      </c>
      <c r="D43552" s="2">
        <v>5.1043531549871304E-4</v>
      </c>
      <c r="E43552" s="2">
        <v>2.6236446294854599E-4</v>
      </c>
      <c r="F43552" s="2">
        <v>2.9634129517428398E-4</v>
      </c>
    </row>
    <row r="43553" spans="1:6" x14ac:dyDescent="0.25">
      <c r="A43553" s="1" t="str">
        <f t="shared" si="1484"/>
        <v>99999</v>
      </c>
      <c r="B43553" s="1" t="str">
        <f>"04853"</f>
        <v>04853</v>
      </c>
      <c r="C43553" s="2">
        <v>3.0204788465798102E-5</v>
      </c>
      <c r="D43553" s="2">
        <v>9.0342533716586405E-6</v>
      </c>
      <c r="E43553" s="2">
        <v>8.6021135392965999E-6</v>
      </c>
      <c r="F43553" s="2">
        <v>2.83216622427638E-5</v>
      </c>
    </row>
    <row r="43554" spans="1:6" x14ac:dyDescent="0.25">
      <c r="A43554" s="1" t="str">
        <f t="shared" si="1484"/>
        <v>99999</v>
      </c>
      <c r="B43554" s="1" t="str">
        <f>"04958"</f>
        <v>04958</v>
      </c>
      <c r="C43554" s="2">
        <v>8.9748278272926995E-5</v>
      </c>
      <c r="D43554" s="2">
        <v>2.55970512196994E-5</v>
      </c>
      <c r="E43554" s="2">
        <v>7.3117965084021106E-5</v>
      </c>
      <c r="F43554" s="2">
        <v>8.5162350228241003E-5</v>
      </c>
    </row>
    <row r="43555" spans="1:6" x14ac:dyDescent="0.25">
      <c r="A43555" s="1" t="str">
        <f t="shared" si="1484"/>
        <v>99999</v>
      </c>
      <c r="B43555" s="1" t="str">
        <f>"04936"</f>
        <v>04936</v>
      </c>
      <c r="C43555" s="2">
        <v>8.6608712446732894E-6</v>
      </c>
      <c r="D43555" s="2">
        <v>1.20456711622115E-5</v>
      </c>
      <c r="E43555" s="2">
        <v>4.3010567696482999E-6</v>
      </c>
      <c r="F43555" s="2">
        <v>8.7826757477560201E-6</v>
      </c>
    </row>
    <row r="43556" spans="1:6" x14ac:dyDescent="0.25">
      <c r="A43556" s="1" t="str">
        <f t="shared" si="1484"/>
        <v>99999</v>
      </c>
      <c r="B43556" s="1" t="str">
        <f>"04951"</f>
        <v>04951</v>
      </c>
      <c r="C43556" s="2">
        <v>5.1965227468039699E-5</v>
      </c>
      <c r="D43556" s="2">
        <v>9.0342533716586405E-6</v>
      </c>
      <c r="E43556" s="2">
        <v>4.3010567696482999E-5</v>
      </c>
      <c r="F43556" s="2">
        <v>4.8946147987494202E-5</v>
      </c>
    </row>
    <row r="43557" spans="1:6" x14ac:dyDescent="0.25">
      <c r="A43557" s="1" t="str">
        <f t="shared" si="1484"/>
        <v>99999</v>
      </c>
      <c r="B43557" s="1" t="str">
        <f>"04923"</f>
        <v>04923</v>
      </c>
      <c r="C43557" s="2">
        <v>2.68487008584872E-5</v>
      </c>
      <c r="D43557" s="2">
        <v>9.0342533716586405E-6</v>
      </c>
      <c r="E43557" s="2">
        <v>1.72042270785932E-5</v>
      </c>
      <c r="F43557" s="2">
        <v>2.5459891493494899E-5</v>
      </c>
    </row>
    <row r="43558" spans="1:6" x14ac:dyDescent="0.25">
      <c r="A43558" s="1" t="str">
        <f t="shared" si="1484"/>
        <v>99999</v>
      </c>
      <c r="B43558" s="1" t="str">
        <f>"04924"</f>
        <v>04924</v>
      </c>
      <c r="C43558" s="2">
        <v>1.03280889592729E-4</v>
      </c>
      <c r="D43558" s="2">
        <v>5.2699811334675399E-5</v>
      </c>
      <c r="E43558" s="2">
        <v>4.3010567696482999E-5</v>
      </c>
      <c r="F43558" s="2">
        <v>9.8583068224812004E-5</v>
      </c>
    </row>
    <row r="43559" spans="1:6" x14ac:dyDescent="0.25">
      <c r="A43559" s="1" t="str">
        <f t="shared" si="1484"/>
        <v>99999</v>
      </c>
      <c r="B43559" s="1" t="str">
        <f>"04911"</f>
        <v>04911</v>
      </c>
      <c r="C43559" s="2">
        <v>9.4836540129172506E-5</v>
      </c>
      <c r="D43559" s="2">
        <v>1.35513800574879E-5</v>
      </c>
      <c r="E43559" s="2">
        <v>3.01073973875381E-5</v>
      </c>
      <c r="F43559" s="2">
        <v>8.8024120977509799E-5</v>
      </c>
    </row>
    <row r="43560" spans="1:6" x14ac:dyDescent="0.25">
      <c r="A43560" s="1" t="str">
        <f t="shared" si="1484"/>
        <v>99999</v>
      </c>
      <c r="B43560" s="1" t="str">
        <f>"04654"</f>
        <v>04654</v>
      </c>
      <c r="C43560" s="2">
        <v>1.94544820333473E-4</v>
      </c>
      <c r="D43560" s="2">
        <v>2.8759039899780003E-4</v>
      </c>
      <c r="E43560" s="2">
        <v>5.8494372067216895E-4</v>
      </c>
      <c r="F43560" s="2">
        <v>2.0960003694644701E-4</v>
      </c>
    </row>
    <row r="43561" spans="1:6" x14ac:dyDescent="0.25">
      <c r="A43561" s="1" t="str">
        <f t="shared" si="1484"/>
        <v>99999</v>
      </c>
      <c r="B43561" s="1" t="str">
        <f>"04612"</f>
        <v>04612</v>
      </c>
      <c r="C43561" s="2">
        <v>2.1110873658891101E-5</v>
      </c>
      <c r="D43561" s="2">
        <v>4.5171266858293203E-6</v>
      </c>
      <c r="E43561" s="2">
        <v>4.3010567696482999E-6</v>
      </c>
      <c r="F43561" s="2">
        <v>1.96376682449825E-5</v>
      </c>
    </row>
    <row r="43562" spans="1:6" x14ac:dyDescent="0.25">
      <c r="A43562" s="1" t="str">
        <f t="shared" si="1484"/>
        <v>99999</v>
      </c>
      <c r="B43562" s="1" t="str">
        <f>"04640"</f>
        <v>04640</v>
      </c>
      <c r="C43562" s="2">
        <v>1.31753503809592E-4</v>
      </c>
      <c r="D43562" s="2">
        <v>8.4319698135480595E-5</v>
      </c>
      <c r="E43562" s="2">
        <v>3.1827820095397402E-4</v>
      </c>
      <c r="F43562" s="2">
        <v>1.32924317216037E-4</v>
      </c>
    </row>
    <row r="43563" spans="1:6" x14ac:dyDescent="0.25">
      <c r="A43563" s="1" t="str">
        <f t="shared" si="1484"/>
        <v>99999</v>
      </c>
      <c r="B43563" s="1" t="str">
        <f>"04657"</f>
        <v>04657</v>
      </c>
      <c r="C43563" s="2">
        <v>2.92304404507723E-5</v>
      </c>
      <c r="D43563" s="2">
        <v>4.5171266858293203E-6</v>
      </c>
      <c r="E43563" s="2">
        <v>8.6021135392965999E-6</v>
      </c>
      <c r="F43563" s="2">
        <v>2.7137481243066299E-5</v>
      </c>
    </row>
    <row r="43564" spans="1:6" x14ac:dyDescent="0.25">
      <c r="A43564" s="1" t="str">
        <f t="shared" si="1484"/>
        <v>99999</v>
      </c>
      <c r="B43564" s="1" t="str">
        <f>"04614"</f>
        <v>04614</v>
      </c>
      <c r="C43564" s="2">
        <v>2.6556396453979397E-4</v>
      </c>
      <c r="D43564" s="2">
        <v>2.45430549930059E-4</v>
      </c>
      <c r="E43564" s="2">
        <v>3.13977144184326E-4</v>
      </c>
      <c r="F43564" s="2">
        <v>2.6535522568220101E-4</v>
      </c>
    </row>
    <row r="43565" spans="1:6" x14ac:dyDescent="0.25">
      <c r="A43565" s="1" t="str">
        <f t="shared" si="1484"/>
        <v>99999</v>
      </c>
      <c r="B43565" s="1" t="str">
        <f>"04554"</f>
        <v>04554</v>
      </c>
      <c r="C43565" s="2">
        <v>6.0842620493829797E-5</v>
      </c>
      <c r="D43565" s="2">
        <v>1.80685067433172E-5</v>
      </c>
      <c r="E43565" s="2">
        <v>4.7311624466131299E-5</v>
      </c>
      <c r="F43565" s="2">
        <v>5.7728823735250197E-5</v>
      </c>
    </row>
    <row r="43566" spans="1:6" x14ac:dyDescent="0.25">
      <c r="A43566" s="1" t="str">
        <f t="shared" si="1484"/>
        <v>99999</v>
      </c>
      <c r="B43566" s="1" t="str">
        <f>"05456"</f>
        <v>05456</v>
      </c>
      <c r="C43566" s="2">
        <v>5.8027837339310999E-5</v>
      </c>
      <c r="D43566" s="2">
        <v>2.7102760114975901E-5</v>
      </c>
      <c r="E43566" s="2">
        <v>2.58063406178898E-5</v>
      </c>
      <c r="F43566" s="2">
        <v>5.5261779985880603E-5</v>
      </c>
    </row>
    <row r="43567" spans="1:6" x14ac:dyDescent="0.25">
      <c r="A43567" s="1" t="str">
        <f t="shared" si="1484"/>
        <v>99999</v>
      </c>
      <c r="B43567" s="1" t="str">
        <f>"05491"</f>
        <v>05491</v>
      </c>
      <c r="C43567" s="2">
        <v>3.0334701534468199E-4</v>
      </c>
      <c r="D43567" s="2">
        <v>3.0415319684584099E-4</v>
      </c>
      <c r="E43567" s="2">
        <v>5.4193315297568602E-4</v>
      </c>
      <c r="F43567" s="2">
        <v>3.0887387742108201E-4</v>
      </c>
    </row>
    <row r="43568" spans="1:6" x14ac:dyDescent="0.25">
      <c r="A43568" s="1" t="str">
        <f t="shared" si="1484"/>
        <v>99999</v>
      </c>
      <c r="B43568" s="1" t="str">
        <f>"05301"</f>
        <v>05301</v>
      </c>
      <c r="C43568" s="2">
        <v>8.9943147875932105E-4</v>
      </c>
      <c r="D43568" s="2">
        <v>1.7255423939868E-3</v>
      </c>
      <c r="E43568" s="2">
        <v>4.6064318002933301E-3</v>
      </c>
      <c r="F43568" s="2">
        <v>1.03862541848463E-3</v>
      </c>
    </row>
    <row r="43569" spans="1:6" x14ac:dyDescent="0.25">
      <c r="A43569" s="1" t="str">
        <f t="shared" si="1484"/>
        <v>99999</v>
      </c>
      <c r="B43569" s="1" t="str">
        <f>"05358"</f>
        <v>05358</v>
      </c>
      <c r="C43569" s="2">
        <v>1.34243504292436E-5</v>
      </c>
      <c r="D43569" s="2">
        <v>4.5171266858293203E-6</v>
      </c>
      <c r="E43569" s="2">
        <v>4.3010567696482999E-6</v>
      </c>
      <c r="F43569" s="2">
        <v>1.26312639967727E-5</v>
      </c>
    </row>
    <row r="43570" spans="1:6" x14ac:dyDescent="0.25">
      <c r="A43570" s="1" t="str">
        <f t="shared" si="1484"/>
        <v>99999</v>
      </c>
      <c r="B43570" s="1" t="str">
        <f>"05859"</f>
        <v>05859</v>
      </c>
      <c r="C43570" s="2">
        <v>1.3197002559070899E-4</v>
      </c>
      <c r="D43570" s="2">
        <v>6.6251191392163294E-5</v>
      </c>
      <c r="E43570" s="2">
        <v>2.4516023586995298E-4</v>
      </c>
      <c r="F43570" s="2">
        <v>1.30259909966718E-4</v>
      </c>
    </row>
    <row r="43571" spans="1:6" x14ac:dyDescent="0.25">
      <c r="A43571" s="1" t="str">
        <f t="shared" si="1484"/>
        <v>99999</v>
      </c>
      <c r="B43571" s="1" t="str">
        <f>"05866"</f>
        <v>05866</v>
      </c>
      <c r="C43571" s="2">
        <v>2.30595696889426E-5</v>
      </c>
      <c r="D43571" s="2">
        <v>7.5285444763821999E-6</v>
      </c>
      <c r="E43571" s="2">
        <v>0</v>
      </c>
      <c r="F43571" s="2">
        <v>2.1512621494503498E-5</v>
      </c>
    </row>
    <row r="43572" spans="1:6" x14ac:dyDescent="0.25">
      <c r="A43572" s="1" t="str">
        <f t="shared" si="1484"/>
        <v>99999</v>
      </c>
      <c r="B43572" s="1" t="str">
        <f>"05851"</f>
        <v>05851</v>
      </c>
      <c r="C43572" s="2">
        <v>2.2161004297307699E-4</v>
      </c>
      <c r="D43572" s="2">
        <v>1.6713368737568399E-4</v>
      </c>
      <c r="E43572" s="2">
        <v>2.9677291710573201E-4</v>
      </c>
      <c r="F43572" s="2">
        <v>2.1976425719384999E-4</v>
      </c>
    </row>
    <row r="43573" spans="1:6" x14ac:dyDescent="0.25">
      <c r="A43573" s="1" t="str">
        <f t="shared" si="1484"/>
        <v>99999</v>
      </c>
      <c r="B43573" s="1" t="str">
        <f>"05850"</f>
        <v>05850</v>
      </c>
      <c r="C43573" s="2">
        <v>9.5269583691406198E-6</v>
      </c>
      <c r="D43573" s="2">
        <v>4.5171266858293203E-6</v>
      </c>
      <c r="E43573" s="2">
        <v>4.3010567696482999E-5</v>
      </c>
      <c r="F43573" s="2">
        <v>9.9668567474534592E-6</v>
      </c>
    </row>
    <row r="43574" spans="1:6" x14ac:dyDescent="0.25">
      <c r="A43574" s="1" t="str">
        <f t="shared" si="1484"/>
        <v>99999</v>
      </c>
      <c r="B43574" s="1" t="str">
        <f>"05841"</f>
        <v>05841</v>
      </c>
      <c r="C43574" s="2">
        <v>2.5657831062344601E-5</v>
      </c>
      <c r="D43574" s="2">
        <v>1.65627978480408E-5</v>
      </c>
      <c r="E43574" s="2">
        <v>8.6021135392965999E-6</v>
      </c>
      <c r="F43574" s="2">
        <v>2.4670437493696699E-5</v>
      </c>
    </row>
    <row r="43575" spans="1:6" x14ac:dyDescent="0.25">
      <c r="A43575" s="1" t="str">
        <f t="shared" si="1484"/>
        <v>99999</v>
      </c>
      <c r="B43575" s="1" t="str">
        <f>"05842"</f>
        <v>05842</v>
      </c>
      <c r="C43575" s="2">
        <v>3.1828701824174298E-5</v>
      </c>
      <c r="D43575" s="2">
        <v>1.65627978480408E-5</v>
      </c>
      <c r="E43575" s="2">
        <v>0</v>
      </c>
      <c r="F43575" s="2">
        <v>3.0097933742309899E-5</v>
      </c>
    </row>
    <row r="43576" spans="1:6" x14ac:dyDescent="0.25">
      <c r="A43576" s="1" t="str">
        <f t="shared" si="1484"/>
        <v>99999</v>
      </c>
      <c r="B43576" s="1" t="str">
        <f>"12442"</f>
        <v>12442</v>
      </c>
      <c r="C43576" s="2">
        <v>2.3600874141734699E-5</v>
      </c>
      <c r="D43576" s="2">
        <v>7.5285444763821999E-6</v>
      </c>
      <c r="E43576" s="2">
        <v>3.44084541571864E-5</v>
      </c>
      <c r="F43576" s="2">
        <v>2.2795484244175701E-5</v>
      </c>
    </row>
    <row r="43577" spans="1:6" x14ac:dyDescent="0.25">
      <c r="A43577" s="1" t="str">
        <f t="shared" si="1484"/>
        <v>99999</v>
      </c>
      <c r="B43577" s="1" t="str">
        <f>"12414"</f>
        <v>12414</v>
      </c>
      <c r="C43577" s="2">
        <v>5.9099620155839301E-4</v>
      </c>
      <c r="D43577" s="2">
        <v>8.8535683042254704E-4</v>
      </c>
      <c r="E43577" s="2">
        <v>1.8967660354149E-3</v>
      </c>
      <c r="F43577" s="2">
        <v>6.4024719383641603E-4</v>
      </c>
    </row>
    <row r="43578" spans="1:6" x14ac:dyDescent="0.25">
      <c r="A43578" s="1" t="str">
        <f t="shared" si="1484"/>
        <v>99999</v>
      </c>
      <c r="B43578" s="1" t="str">
        <f>"12468"</f>
        <v>12468</v>
      </c>
      <c r="C43578" s="2">
        <v>7.5024797156982397E-5</v>
      </c>
      <c r="D43578" s="2">
        <v>3.01141779055288E-5</v>
      </c>
      <c r="E43578" s="2">
        <v>2.15052838482415E-5</v>
      </c>
      <c r="F43578" s="2">
        <v>7.0853496481896902E-5</v>
      </c>
    </row>
    <row r="43579" spans="1:6" x14ac:dyDescent="0.25">
      <c r="A43579" s="1" t="str">
        <f t="shared" si="1484"/>
        <v>99999</v>
      </c>
      <c r="B43579" s="1" t="str">
        <f>"12455"</f>
        <v>12455</v>
      </c>
      <c r="C43579" s="2">
        <v>8.3902190182772495E-5</v>
      </c>
      <c r="D43579" s="2">
        <v>4.0654140172463799E-5</v>
      </c>
      <c r="E43579" s="2">
        <v>4.3010567696482999E-6</v>
      </c>
      <c r="F43579" s="2">
        <v>7.9241445229753804E-5</v>
      </c>
    </row>
    <row r="43580" spans="1:6" x14ac:dyDescent="0.25">
      <c r="A43580" s="1" t="str">
        <f t="shared" si="1484"/>
        <v>99999</v>
      </c>
      <c r="B43580" s="1" t="str">
        <f>"12465"</f>
        <v>12465</v>
      </c>
      <c r="C43580" s="2">
        <v>7.5782623390891299E-7</v>
      </c>
      <c r="D43580" s="2">
        <v>0</v>
      </c>
      <c r="E43580" s="2">
        <v>0</v>
      </c>
      <c r="F43580" s="2">
        <v>6.9077224982350697E-7</v>
      </c>
    </row>
    <row r="43581" spans="1:6" x14ac:dyDescent="0.25">
      <c r="A43581" s="1" t="str">
        <f t="shared" si="1484"/>
        <v>99999</v>
      </c>
      <c r="B43581" s="1" t="str">
        <f>"12496"</f>
        <v>12496</v>
      </c>
      <c r="C43581" s="2">
        <v>7.9680015450994294E-5</v>
      </c>
      <c r="D43581" s="2">
        <v>7.9802571449651304E-5</v>
      </c>
      <c r="E43581" s="2">
        <v>3.01073973875381E-5</v>
      </c>
      <c r="F43581" s="2">
        <v>7.8550672979930299E-5</v>
      </c>
    </row>
    <row r="43582" spans="1:6" x14ac:dyDescent="0.25">
      <c r="A43582" s="1" t="str">
        <f t="shared" si="1484"/>
        <v>99999</v>
      </c>
      <c r="B43582" s="1" t="str">
        <f>"12754"</f>
        <v>12754</v>
      </c>
      <c r="C43582" s="2">
        <v>4.6671269919733202E-4</v>
      </c>
      <c r="D43582" s="2">
        <v>7.9652000560123703E-4</v>
      </c>
      <c r="E43582" s="2">
        <v>1.8279491271005199E-3</v>
      </c>
      <c r="F43582" s="2">
        <v>5.1955941361725205E-4</v>
      </c>
    </row>
    <row r="43583" spans="1:6" x14ac:dyDescent="0.25">
      <c r="A43583" s="1" t="str">
        <f t="shared" si="1484"/>
        <v>99999</v>
      </c>
      <c r="B43583" s="1" t="str">
        <f>"12770"</f>
        <v>12770</v>
      </c>
      <c r="C43583" s="2">
        <v>9.5269583691406198E-6</v>
      </c>
      <c r="D43583" s="2">
        <v>4.5171266858293203E-6</v>
      </c>
      <c r="E43583" s="2">
        <v>4.3010567696482999E-6</v>
      </c>
      <c r="F43583" s="2">
        <v>9.0787209976803807E-6</v>
      </c>
    </row>
    <row r="43584" spans="1:6" x14ac:dyDescent="0.25">
      <c r="A43584" s="1" t="str">
        <f t="shared" si="1484"/>
        <v>99999</v>
      </c>
      <c r="B43584" s="1" t="str">
        <f>"12747"</f>
        <v>12747</v>
      </c>
      <c r="C43584" s="2">
        <v>1.09018716792325E-4</v>
      </c>
      <c r="D43584" s="2">
        <v>2.7102760114975901E-5</v>
      </c>
      <c r="E43584" s="2">
        <v>1.07526419241207E-4</v>
      </c>
      <c r="F43584" s="2">
        <v>1.03615837473526E-4</v>
      </c>
    </row>
    <row r="43585" spans="1:6" x14ac:dyDescent="0.25">
      <c r="A43585" s="1" t="str">
        <f t="shared" si="1484"/>
        <v>99999</v>
      </c>
      <c r="B43585" s="1" t="str">
        <f>"12737"</f>
        <v>12737</v>
      </c>
      <c r="C43585" s="2">
        <v>1.01765237124911E-4</v>
      </c>
      <c r="D43585" s="2">
        <v>2.1079924533870101E-5</v>
      </c>
      <c r="E43585" s="2">
        <v>2.58063406178898E-5</v>
      </c>
      <c r="F43585" s="2">
        <v>9.4734479975795306E-5</v>
      </c>
    </row>
    <row r="43586" spans="1:6" x14ac:dyDescent="0.25">
      <c r="A43586" s="1" t="str">
        <f t="shared" si="1484"/>
        <v>99999</v>
      </c>
      <c r="B43586" s="1" t="str">
        <f>"12192"</f>
        <v>12192</v>
      </c>
      <c r="C43586" s="2">
        <v>8.3793929292214105E-5</v>
      </c>
      <c r="D43586" s="2">
        <v>1.34008091679603E-4</v>
      </c>
      <c r="E43586" s="2">
        <v>3.44084541571864E-5</v>
      </c>
      <c r="F43586" s="2">
        <v>8.5951804228039298E-5</v>
      </c>
    </row>
    <row r="43587" spans="1:6" x14ac:dyDescent="0.25">
      <c r="A43587" s="1" t="str">
        <f t="shared" si="1484"/>
        <v>99999</v>
      </c>
      <c r="B43587" s="1" t="str">
        <f>"12176"</f>
        <v>12176</v>
      </c>
      <c r="C43587" s="2">
        <v>1.3532611319802E-5</v>
      </c>
      <c r="D43587" s="2">
        <v>1.50570889527644E-6</v>
      </c>
      <c r="E43587" s="2">
        <v>4.3010567696482999E-6</v>
      </c>
      <c r="F43587" s="2">
        <v>1.2532582246797899E-5</v>
      </c>
    </row>
    <row r="43588" spans="1:6" x14ac:dyDescent="0.25">
      <c r="A43588" s="1" t="str">
        <f t="shared" si="1484"/>
        <v>99999</v>
      </c>
      <c r="B43588" s="1" t="str">
        <f>"12941"</f>
        <v>12941</v>
      </c>
      <c r="C43588" s="2">
        <v>6.7121752146217999E-5</v>
      </c>
      <c r="D43588" s="2">
        <v>7.5285444763821999E-6</v>
      </c>
      <c r="E43588" s="2">
        <v>4.3010567696482999E-6</v>
      </c>
      <c r="F43588" s="2">
        <v>6.1774775484216496E-5</v>
      </c>
    </row>
    <row r="43589" spans="1:6" x14ac:dyDescent="0.25">
      <c r="A43589" s="1" t="str">
        <f t="shared" si="1484"/>
        <v>99999</v>
      </c>
      <c r="B43589" s="1" t="str">
        <f>"12987"</f>
        <v>12987</v>
      </c>
      <c r="C43589" s="2">
        <v>8.8773930257901203E-6</v>
      </c>
      <c r="D43589" s="2">
        <v>7.5285444763821999E-6</v>
      </c>
      <c r="E43589" s="2">
        <v>4.3010567696482999E-6</v>
      </c>
      <c r="F43589" s="2">
        <v>8.6839939977812298E-6</v>
      </c>
    </row>
    <row r="43590" spans="1:6" x14ac:dyDescent="0.25">
      <c r="A43590" s="1" t="str">
        <f t="shared" ref="A43590:A43653" si="1485">"99999"</f>
        <v>99999</v>
      </c>
      <c r="B43590" s="1" t="str">
        <f>"13839"</f>
        <v>13839</v>
      </c>
      <c r="C43590" s="2">
        <v>8.2711320386629907E-5</v>
      </c>
      <c r="D43590" s="2">
        <v>1.20456711622115E-5</v>
      </c>
      <c r="E43590" s="2">
        <v>4.3010567696482999E-6</v>
      </c>
      <c r="F43590" s="2">
        <v>7.6280992730510204E-5</v>
      </c>
    </row>
    <row r="43591" spans="1:6" x14ac:dyDescent="0.25">
      <c r="A43591" s="1" t="str">
        <f t="shared" si="1485"/>
        <v>99999</v>
      </c>
      <c r="B43591" s="1" t="str">
        <f>"13786"</f>
        <v>13786</v>
      </c>
      <c r="C43591" s="2">
        <v>1.85126122854891E-5</v>
      </c>
      <c r="D43591" s="2">
        <v>1.65627978480408E-5</v>
      </c>
      <c r="E43591" s="2">
        <v>1.29031703089449E-5</v>
      </c>
      <c r="F43591" s="2">
        <v>1.8256123745335501E-5</v>
      </c>
    </row>
    <row r="43592" spans="1:6" x14ac:dyDescent="0.25">
      <c r="A43592" s="1" t="str">
        <f t="shared" si="1485"/>
        <v>99999</v>
      </c>
      <c r="B43592" s="1" t="str">
        <f>"13619"</f>
        <v>13619</v>
      </c>
      <c r="C43592" s="2">
        <v>5.5321315075350597E-5</v>
      </c>
      <c r="D43592" s="2">
        <v>1.80685067433172E-5</v>
      </c>
      <c r="E43592" s="2">
        <v>4.3010567696482999E-5</v>
      </c>
      <c r="F43592" s="2">
        <v>5.25973727365613E-5</v>
      </c>
    </row>
    <row r="43593" spans="1:6" x14ac:dyDescent="0.25">
      <c r="A43593" s="1" t="str">
        <f t="shared" si="1485"/>
        <v>99999</v>
      </c>
      <c r="B43593" s="1" t="str">
        <f>"13626"</f>
        <v>13626</v>
      </c>
      <c r="C43593" s="2">
        <v>6.6905230365101097E-5</v>
      </c>
      <c r="D43593" s="2">
        <v>1.9574215638593701E-5</v>
      </c>
      <c r="E43593" s="2">
        <v>2.0214966817347E-4</v>
      </c>
      <c r="F43593" s="2">
        <v>6.69062264829054E-5</v>
      </c>
    </row>
    <row r="43594" spans="1:6" x14ac:dyDescent="0.25">
      <c r="A43594" s="1" t="str">
        <f t="shared" si="1485"/>
        <v>99999</v>
      </c>
      <c r="B43594" s="1" t="str">
        <f>"13757"</f>
        <v>13757</v>
      </c>
      <c r="C43594" s="2">
        <v>6.0409576931596203E-5</v>
      </c>
      <c r="D43594" s="2">
        <v>1.50570889527644E-6</v>
      </c>
      <c r="E43594" s="2">
        <v>2.58063406178898E-5</v>
      </c>
      <c r="F43594" s="2">
        <v>5.57551887357545E-5</v>
      </c>
    </row>
    <row r="43595" spans="1:6" x14ac:dyDescent="0.25">
      <c r="A43595" s="1" t="str">
        <f t="shared" si="1485"/>
        <v>99999</v>
      </c>
      <c r="B43595" s="1" t="str">
        <f>"14569"</f>
        <v>14569</v>
      </c>
      <c r="C43595" s="2">
        <v>3.24566149894131E-4</v>
      </c>
      <c r="D43595" s="2">
        <v>4.4568983300182603E-4</v>
      </c>
      <c r="E43595" s="2">
        <v>7.0967436699196902E-4</v>
      </c>
      <c r="F43595" s="2">
        <v>3.4134017316278699E-4</v>
      </c>
    </row>
    <row r="43596" spans="1:6" x14ac:dyDescent="0.25">
      <c r="A43596" s="1" t="str">
        <f t="shared" si="1485"/>
        <v>99999</v>
      </c>
      <c r="B43596" s="1" t="str">
        <f>"14717"</f>
        <v>14717</v>
      </c>
      <c r="C43596" s="2">
        <v>6.1925229399414003E-5</v>
      </c>
      <c r="D43596" s="2">
        <v>2.1079924533870101E-5</v>
      </c>
      <c r="E43596" s="2">
        <v>5.5913738005427899E-5</v>
      </c>
      <c r="F43596" s="2">
        <v>5.9110368234897301E-5</v>
      </c>
    </row>
    <row r="43597" spans="1:6" x14ac:dyDescent="0.25">
      <c r="A43597" s="1" t="str">
        <f t="shared" si="1485"/>
        <v>99999</v>
      </c>
      <c r="B43597" s="1" t="str">
        <f>"14727"</f>
        <v>14727</v>
      </c>
      <c r="C43597" s="2">
        <v>2.40880481492475E-4</v>
      </c>
      <c r="D43597" s="2">
        <v>2.6199334777810002E-4</v>
      </c>
      <c r="E43597" s="2">
        <v>2.5806340617889802E-4</v>
      </c>
      <c r="F43597" s="2">
        <v>2.42658423188E-4</v>
      </c>
    </row>
    <row r="43598" spans="1:6" x14ac:dyDescent="0.25">
      <c r="A43598" s="1" t="str">
        <f t="shared" si="1485"/>
        <v>99999</v>
      </c>
      <c r="B43598" s="1" t="str">
        <f>"15522"</f>
        <v>15522</v>
      </c>
      <c r="C43598" s="2">
        <v>6.9081274265325298E-4</v>
      </c>
      <c r="D43598" s="2">
        <v>1.3340580812149199E-3</v>
      </c>
      <c r="E43598" s="2">
        <v>1.01935045440664E-3</v>
      </c>
      <c r="F43598" s="2">
        <v>7.4050785181080001E-4</v>
      </c>
    </row>
    <row r="43599" spans="1:6" x14ac:dyDescent="0.25">
      <c r="A43599" s="1" t="str">
        <f t="shared" si="1485"/>
        <v>99999</v>
      </c>
      <c r="B43599" s="1" t="str">
        <f>"15535"</f>
        <v>15535</v>
      </c>
      <c r="C43599" s="2">
        <v>1.21035675644309E-4</v>
      </c>
      <c r="D43599" s="2">
        <v>3.9148431277187403E-5</v>
      </c>
      <c r="E43599" s="2">
        <v>0</v>
      </c>
      <c r="F43599" s="2">
        <v>1.12891921971156E-4</v>
      </c>
    </row>
    <row r="43600" spans="1:6" x14ac:dyDescent="0.25">
      <c r="A43600" s="1" t="str">
        <f t="shared" si="1485"/>
        <v>99999</v>
      </c>
      <c r="B43600" s="1" t="str">
        <f>"15320"</f>
        <v>15320</v>
      </c>
      <c r="C43600" s="2">
        <v>2.7606527092396098E-4</v>
      </c>
      <c r="D43600" s="2">
        <v>2.9963607016001098E-4</v>
      </c>
      <c r="E43600" s="2">
        <v>8.1720078623317706E-5</v>
      </c>
      <c r="F43600" s="2">
        <v>2.7315108393020899E-4</v>
      </c>
    </row>
    <row r="43601" spans="1:6" x14ac:dyDescent="0.25">
      <c r="A43601" s="1" t="str">
        <f t="shared" si="1485"/>
        <v>99999</v>
      </c>
      <c r="B43601" s="1" t="str">
        <f>"15357"</f>
        <v>15357</v>
      </c>
      <c r="C43601" s="2">
        <v>7.3509144689164503E-5</v>
      </c>
      <c r="D43601" s="2">
        <v>5.2699811334675399E-5</v>
      </c>
      <c r="E43601" s="2">
        <v>3.01073973875381E-5</v>
      </c>
      <c r="F43601" s="2">
        <v>7.1149541731821205E-5</v>
      </c>
    </row>
    <row r="43602" spans="1:6" x14ac:dyDescent="0.25">
      <c r="A43602" s="1" t="str">
        <f t="shared" si="1485"/>
        <v>99999</v>
      </c>
      <c r="B43602" s="1" t="str">
        <f>"15823"</f>
        <v>15823</v>
      </c>
      <c r="C43602" s="2">
        <v>1.42904375537109E-5</v>
      </c>
      <c r="D43602" s="2">
        <v>1.0539962266935E-5</v>
      </c>
      <c r="E43602" s="2">
        <v>0</v>
      </c>
      <c r="F43602" s="2">
        <v>1.37167632464953E-5</v>
      </c>
    </row>
    <row r="43603" spans="1:6" x14ac:dyDescent="0.25">
      <c r="A43603" s="1" t="str">
        <f t="shared" si="1485"/>
        <v>99999</v>
      </c>
      <c r="B43603" s="1" t="str">
        <f>"16254"</f>
        <v>16254</v>
      </c>
      <c r="C43603" s="2">
        <v>1.5860220466807899E-4</v>
      </c>
      <c r="D43603" s="2">
        <v>2.31879169872571E-4</v>
      </c>
      <c r="E43603" s="2">
        <v>1.2473064631979999E-4</v>
      </c>
      <c r="F43603" s="2">
        <v>1.6262752395844801E-4</v>
      </c>
    </row>
    <row r="43604" spans="1:6" x14ac:dyDescent="0.25">
      <c r="A43604" s="1" t="str">
        <f t="shared" si="1485"/>
        <v>99999</v>
      </c>
      <c r="B43604" s="1" t="str">
        <f>"16255"</f>
        <v>16255</v>
      </c>
      <c r="C43604" s="2">
        <v>6.7121752146217999E-5</v>
      </c>
      <c r="D43604" s="2">
        <v>2.8608469010252301E-5</v>
      </c>
      <c r="E43604" s="2">
        <v>4.3010567696482999E-6</v>
      </c>
      <c r="F43604" s="2">
        <v>6.3156319983863506E-5</v>
      </c>
    </row>
    <row r="43605" spans="1:6" x14ac:dyDescent="0.25">
      <c r="A43605" s="1" t="str">
        <f t="shared" si="1485"/>
        <v>99999</v>
      </c>
      <c r="B43605" s="1" t="str">
        <f>"16720"</f>
        <v>16720</v>
      </c>
      <c r="C43605" s="2">
        <v>8.4226972854447706E-5</v>
      </c>
      <c r="D43605" s="2">
        <v>3.9148431277187403E-5</v>
      </c>
      <c r="E43605" s="2">
        <v>7.3117965084021106E-5</v>
      </c>
      <c r="F43605" s="2">
        <v>8.1017716729299907E-5</v>
      </c>
    </row>
    <row r="43606" spans="1:6" x14ac:dyDescent="0.25">
      <c r="A43606" s="1" t="str">
        <f t="shared" si="1485"/>
        <v>99999</v>
      </c>
      <c r="B43606" s="1" t="str">
        <f>"16920"</f>
        <v>16920</v>
      </c>
      <c r="C43606" s="2">
        <v>1.0382219404552099E-4</v>
      </c>
      <c r="D43606" s="2">
        <v>1.50570889527644E-4</v>
      </c>
      <c r="E43606" s="2">
        <v>9.4623248932262599E-5</v>
      </c>
      <c r="F43606" s="2">
        <v>1.0667497172274401E-4</v>
      </c>
    </row>
    <row r="43607" spans="1:6" x14ac:dyDescent="0.25">
      <c r="A43607" s="1" t="str">
        <f t="shared" si="1485"/>
        <v>99999</v>
      </c>
      <c r="B43607" s="1" t="str">
        <f>"16946"</f>
        <v>16946</v>
      </c>
      <c r="C43607" s="2">
        <v>1.2958828599842401E-4</v>
      </c>
      <c r="D43607" s="2">
        <v>5.8722646915781101E-5</v>
      </c>
      <c r="E43607" s="2">
        <v>5.1612681235779599E-5</v>
      </c>
      <c r="F43607" s="2">
        <v>1.2315482396853299E-4</v>
      </c>
    </row>
    <row r="43608" spans="1:6" x14ac:dyDescent="0.25">
      <c r="A43608" s="1" t="str">
        <f t="shared" si="1485"/>
        <v>99999</v>
      </c>
      <c r="B43608" s="1" t="str">
        <f>"17267"</f>
        <v>17267</v>
      </c>
      <c r="C43608" s="2">
        <v>1.4463654978604399E-4</v>
      </c>
      <c r="D43608" s="2">
        <v>6.3239773601610501E-5</v>
      </c>
      <c r="E43608" s="2">
        <v>1.29031703089449E-5</v>
      </c>
      <c r="F43608" s="2">
        <v>1.3627949671518E-4</v>
      </c>
    </row>
    <row r="43609" spans="1:6" x14ac:dyDescent="0.25">
      <c r="A43609" s="1" t="str">
        <f t="shared" si="1485"/>
        <v>99999</v>
      </c>
      <c r="B43609" s="1" t="str">
        <f>"65532"</f>
        <v>65532</v>
      </c>
      <c r="C43609" s="2">
        <v>2.1652178111683201E-7</v>
      </c>
      <c r="D43609" s="2">
        <v>0</v>
      </c>
      <c r="E43609" s="2">
        <v>4.3010567696482999E-6</v>
      </c>
      <c r="F43609" s="2">
        <v>2.9604524992435999E-7</v>
      </c>
    </row>
    <row r="43610" spans="1:6" x14ac:dyDescent="0.25">
      <c r="A43610" s="1" t="str">
        <f t="shared" si="1485"/>
        <v>99999</v>
      </c>
      <c r="B43610" s="1" t="str">
        <f>"75942"</f>
        <v>75942</v>
      </c>
      <c r="C43610" s="2">
        <v>1.08260890558416E-7</v>
      </c>
      <c r="D43610" s="2">
        <v>0</v>
      </c>
      <c r="E43610" s="2">
        <v>4.3010567696482999E-6</v>
      </c>
      <c r="F43610" s="2">
        <v>1.9736349994957301E-7</v>
      </c>
    </row>
    <row r="43611" spans="1:6" x14ac:dyDescent="0.25">
      <c r="A43611" s="1" t="str">
        <f t="shared" si="1485"/>
        <v>99999</v>
      </c>
      <c r="B43611" s="1" t="str">
        <f>"22957"</f>
        <v>22957</v>
      </c>
      <c r="C43611" s="2">
        <v>0</v>
      </c>
      <c r="D43611" s="2">
        <v>0</v>
      </c>
      <c r="E43611" s="2">
        <v>4.3010567696482999E-6</v>
      </c>
      <c r="F43611" s="2">
        <v>9.8681749974786797E-8</v>
      </c>
    </row>
    <row r="43612" spans="1:6" x14ac:dyDescent="0.25">
      <c r="A43612" s="1" t="str">
        <f t="shared" si="1485"/>
        <v>99999</v>
      </c>
      <c r="B43612" s="1" t="str">
        <f>"67851"</f>
        <v>67851</v>
      </c>
      <c r="C43612" s="2">
        <v>4.3304356223366401E-7</v>
      </c>
      <c r="D43612" s="2">
        <v>0</v>
      </c>
      <c r="E43612" s="2">
        <v>0</v>
      </c>
      <c r="F43612" s="2">
        <v>3.9472699989914697E-7</v>
      </c>
    </row>
    <row r="43613" spans="1:6" x14ac:dyDescent="0.25">
      <c r="A43613" s="1" t="str">
        <f t="shared" si="1485"/>
        <v>99999</v>
      </c>
      <c r="B43613" s="1" t="str">
        <f>"16213"</f>
        <v>16213</v>
      </c>
      <c r="C43613" s="2">
        <v>0</v>
      </c>
      <c r="D43613" s="2">
        <v>0</v>
      </c>
      <c r="E43613" s="2">
        <v>8.6021135392965999E-6</v>
      </c>
      <c r="F43613" s="2">
        <v>1.9736349994957301E-7</v>
      </c>
    </row>
    <row r="43614" spans="1:6" x14ac:dyDescent="0.25">
      <c r="A43614" s="1" t="str">
        <f t="shared" si="1485"/>
        <v>99999</v>
      </c>
      <c r="B43614" s="1" t="str">
        <f>"42037"</f>
        <v>42037</v>
      </c>
      <c r="C43614" s="2">
        <v>0</v>
      </c>
      <c r="D43614" s="2">
        <v>0</v>
      </c>
      <c r="E43614" s="2">
        <v>4.3010567696482999E-6</v>
      </c>
      <c r="F43614" s="2">
        <v>9.8681749974786797E-8</v>
      </c>
    </row>
    <row r="43615" spans="1:6" x14ac:dyDescent="0.25">
      <c r="A43615" s="1" t="str">
        <f t="shared" si="1485"/>
        <v>99999</v>
      </c>
      <c r="B43615" s="1" t="str">
        <f>"45841"</f>
        <v>45841</v>
      </c>
      <c r="C43615" s="2">
        <v>4.3304356223366401E-7</v>
      </c>
      <c r="D43615" s="2">
        <v>0</v>
      </c>
      <c r="E43615" s="2">
        <v>0</v>
      </c>
      <c r="F43615" s="2">
        <v>3.9472699989914697E-7</v>
      </c>
    </row>
    <row r="43616" spans="1:6" x14ac:dyDescent="0.25">
      <c r="A43616" s="1" t="str">
        <f t="shared" si="1485"/>
        <v>99999</v>
      </c>
      <c r="B43616" s="1" t="str">
        <f>"63828"</f>
        <v>63828</v>
      </c>
      <c r="C43616" s="2">
        <v>0</v>
      </c>
      <c r="D43616" s="2">
        <v>1.50570889527644E-6</v>
      </c>
      <c r="E43616" s="2">
        <v>4.3010567696482999E-6</v>
      </c>
      <c r="F43616" s="2">
        <v>1.9736349994957301E-7</v>
      </c>
    </row>
    <row r="43617" spans="1:6" x14ac:dyDescent="0.25">
      <c r="A43617" s="1" t="str">
        <f t="shared" si="1485"/>
        <v>99999</v>
      </c>
      <c r="B43617" s="1" t="str">
        <f>"99738"</f>
        <v>99738</v>
      </c>
      <c r="C43617" s="2">
        <v>0</v>
      </c>
      <c r="D43617" s="2">
        <v>0</v>
      </c>
      <c r="E43617" s="2">
        <v>4.3010567696482999E-6</v>
      </c>
      <c r="F43617" s="2">
        <v>9.8681749974786797E-8</v>
      </c>
    </row>
    <row r="43618" spans="1:6" x14ac:dyDescent="0.25">
      <c r="A43618" s="1" t="str">
        <f t="shared" si="1485"/>
        <v>99999</v>
      </c>
      <c r="B43618" s="1" t="str">
        <f>"99841"</f>
        <v>99841</v>
      </c>
      <c r="C43618" s="2">
        <v>0</v>
      </c>
      <c r="D43618" s="2">
        <v>0</v>
      </c>
      <c r="E43618" s="2">
        <v>4.3010567696482999E-6</v>
      </c>
      <c r="F43618" s="2">
        <v>9.8681749974786797E-8</v>
      </c>
    </row>
    <row r="43619" spans="1:6" x14ac:dyDescent="0.25">
      <c r="A43619" s="1" t="str">
        <f t="shared" si="1485"/>
        <v>99999</v>
      </c>
      <c r="B43619" s="1" t="str">
        <f>"41542"</f>
        <v>41542</v>
      </c>
      <c r="C43619" s="2">
        <v>0</v>
      </c>
      <c r="D43619" s="2">
        <v>0</v>
      </c>
      <c r="E43619" s="2">
        <v>4.3010567696482999E-6</v>
      </c>
      <c r="F43619" s="2">
        <v>9.8681749974786797E-8</v>
      </c>
    </row>
    <row r="43620" spans="1:6" x14ac:dyDescent="0.25">
      <c r="A43620" s="1" t="str">
        <f t="shared" si="1485"/>
        <v>99999</v>
      </c>
      <c r="B43620" s="1" t="str">
        <f>"85930"</f>
        <v>85930</v>
      </c>
      <c r="C43620" s="2">
        <v>1.08260890558416E-7</v>
      </c>
      <c r="D43620" s="2">
        <v>0</v>
      </c>
      <c r="E43620" s="2">
        <v>4.3010567696482999E-6</v>
      </c>
      <c r="F43620" s="2">
        <v>1.9736349994957301E-7</v>
      </c>
    </row>
    <row r="43621" spans="1:6" x14ac:dyDescent="0.25">
      <c r="A43621" s="1" t="str">
        <f t="shared" si="1485"/>
        <v>99999</v>
      </c>
      <c r="B43621" s="1" t="str">
        <f>"04744"</f>
        <v>04744</v>
      </c>
      <c r="C43621" s="2">
        <v>0</v>
      </c>
      <c r="D43621" s="2">
        <v>0</v>
      </c>
      <c r="E43621" s="2">
        <v>4.3010567696482999E-6</v>
      </c>
      <c r="F43621" s="2">
        <v>9.8681749974786797E-8</v>
      </c>
    </row>
    <row r="43622" spans="1:6" x14ac:dyDescent="0.25">
      <c r="A43622" s="1" t="str">
        <f t="shared" si="1485"/>
        <v>99999</v>
      </c>
      <c r="B43622" s="1" t="str">
        <f>"45698"</f>
        <v>45698</v>
      </c>
      <c r="C43622" s="2">
        <v>0</v>
      </c>
      <c r="D43622" s="2">
        <v>1.50570889527644E-6</v>
      </c>
      <c r="E43622" s="2">
        <v>0</v>
      </c>
      <c r="F43622" s="2">
        <v>9.8681749974786797E-8</v>
      </c>
    </row>
    <row r="43623" spans="1:6" x14ac:dyDescent="0.25">
      <c r="A43623" s="1" t="str">
        <f t="shared" si="1485"/>
        <v>99999</v>
      </c>
      <c r="B43623" s="1" t="str">
        <f>"72108"</f>
        <v>72108</v>
      </c>
      <c r="C43623" s="2">
        <v>0</v>
      </c>
      <c r="D43623" s="2">
        <v>0</v>
      </c>
      <c r="E43623" s="2">
        <v>4.3010567696482999E-6</v>
      </c>
      <c r="F43623" s="2">
        <v>9.8681749974786797E-8</v>
      </c>
    </row>
    <row r="43624" spans="1:6" x14ac:dyDescent="0.25">
      <c r="A43624" s="1" t="str">
        <f t="shared" si="1485"/>
        <v>99999</v>
      </c>
      <c r="B43624" s="1" t="str">
        <f>"16036"</f>
        <v>16036</v>
      </c>
      <c r="C43624" s="2">
        <v>1.08260890558416E-7</v>
      </c>
      <c r="D43624" s="2">
        <v>0</v>
      </c>
      <c r="E43624" s="2">
        <v>4.3010567696482999E-6</v>
      </c>
      <c r="F43624" s="2">
        <v>1.9736349994957301E-7</v>
      </c>
    </row>
    <row r="43625" spans="1:6" x14ac:dyDescent="0.25">
      <c r="A43625" s="1" t="str">
        <f t="shared" si="1485"/>
        <v>99999</v>
      </c>
      <c r="B43625" s="1" t="str">
        <f>"25943"</f>
        <v>25943</v>
      </c>
      <c r="C43625" s="2">
        <v>0</v>
      </c>
      <c r="D43625" s="2">
        <v>1.50570889527644E-6</v>
      </c>
      <c r="E43625" s="2">
        <v>0</v>
      </c>
      <c r="F43625" s="2">
        <v>9.8681749974786797E-8</v>
      </c>
    </row>
    <row r="43626" spans="1:6" x14ac:dyDescent="0.25">
      <c r="A43626" s="1" t="str">
        <f t="shared" si="1485"/>
        <v>99999</v>
      </c>
      <c r="B43626" s="1" t="str">
        <f>"72424"</f>
        <v>72424</v>
      </c>
      <c r="C43626" s="2">
        <v>0</v>
      </c>
      <c r="D43626" s="2">
        <v>0</v>
      </c>
      <c r="E43626" s="2">
        <v>4.3010567696482999E-6</v>
      </c>
      <c r="F43626" s="2">
        <v>9.8681749974786797E-8</v>
      </c>
    </row>
    <row r="43627" spans="1:6" x14ac:dyDescent="0.25">
      <c r="A43627" s="1" t="str">
        <f t="shared" si="1485"/>
        <v>99999</v>
      </c>
      <c r="B43627" s="1" t="str">
        <f>"74750"</f>
        <v>74750</v>
      </c>
      <c r="C43627" s="2">
        <v>3.2478267167524802E-7</v>
      </c>
      <c r="D43627" s="2">
        <v>0</v>
      </c>
      <c r="E43627" s="2">
        <v>4.3010567696482999E-6</v>
      </c>
      <c r="F43627" s="2">
        <v>3.9472699989914697E-7</v>
      </c>
    </row>
    <row r="43628" spans="1:6" x14ac:dyDescent="0.25">
      <c r="A43628" s="1" t="str">
        <f t="shared" si="1485"/>
        <v>99999</v>
      </c>
      <c r="B43628" s="1" t="str">
        <f>"40153"</f>
        <v>40153</v>
      </c>
      <c r="C43628" s="2">
        <v>0</v>
      </c>
      <c r="D43628" s="2">
        <v>0</v>
      </c>
      <c r="E43628" s="2">
        <v>4.3010567696482999E-6</v>
      </c>
      <c r="F43628" s="2">
        <v>9.8681749974786797E-8</v>
      </c>
    </row>
    <row r="43629" spans="1:6" x14ac:dyDescent="0.25">
      <c r="A43629" s="1" t="str">
        <f t="shared" si="1485"/>
        <v>99999</v>
      </c>
      <c r="B43629" s="1" t="str">
        <f>"86504"</f>
        <v>86504</v>
      </c>
      <c r="C43629" s="2">
        <v>0</v>
      </c>
      <c r="D43629" s="2">
        <v>0</v>
      </c>
      <c r="E43629" s="2">
        <v>4.3010567696482999E-6</v>
      </c>
      <c r="F43629" s="2">
        <v>9.8681749974786797E-8</v>
      </c>
    </row>
    <row r="43630" spans="1:6" x14ac:dyDescent="0.25">
      <c r="A43630" s="1" t="str">
        <f t="shared" si="1485"/>
        <v>99999</v>
      </c>
      <c r="B43630" s="1" t="str">
        <f>"57445"</f>
        <v>57445</v>
      </c>
      <c r="C43630" s="2">
        <v>1.08260890558416E-7</v>
      </c>
      <c r="D43630" s="2">
        <v>0</v>
      </c>
      <c r="E43630" s="2">
        <v>0</v>
      </c>
      <c r="F43630" s="2">
        <v>9.8681749974786797E-8</v>
      </c>
    </row>
    <row r="43631" spans="1:6" x14ac:dyDescent="0.25">
      <c r="A43631" s="1" t="str">
        <f t="shared" si="1485"/>
        <v>99999</v>
      </c>
      <c r="B43631" s="1" t="str">
        <f>"40008"</f>
        <v>40008</v>
      </c>
      <c r="C43631" s="2">
        <v>3.2478267167524802E-7</v>
      </c>
      <c r="D43631" s="2">
        <v>0</v>
      </c>
      <c r="E43631" s="2">
        <v>0</v>
      </c>
      <c r="F43631" s="2">
        <v>2.9604524992435999E-7</v>
      </c>
    </row>
    <row r="43632" spans="1:6" x14ac:dyDescent="0.25">
      <c r="A43632" s="1" t="str">
        <f t="shared" si="1485"/>
        <v>99999</v>
      </c>
      <c r="B43632" s="1" t="str">
        <f>"82835"</f>
        <v>82835</v>
      </c>
      <c r="C43632" s="2">
        <v>1.08260890558416E-7</v>
      </c>
      <c r="D43632" s="2">
        <v>0</v>
      </c>
      <c r="E43632" s="2">
        <v>0</v>
      </c>
      <c r="F43632" s="2">
        <v>9.8681749974786797E-8</v>
      </c>
    </row>
    <row r="43633" spans="1:6" x14ac:dyDescent="0.25">
      <c r="A43633" s="1" t="str">
        <f t="shared" si="1485"/>
        <v>99999</v>
      </c>
      <c r="B43633" s="1" t="str">
        <f>"99558"</f>
        <v>99558</v>
      </c>
      <c r="C43633" s="2">
        <v>0</v>
      </c>
      <c r="D43633" s="2">
        <v>0</v>
      </c>
      <c r="E43633" s="2">
        <v>4.3010567696482999E-6</v>
      </c>
      <c r="F43633" s="2">
        <v>9.8681749974786797E-8</v>
      </c>
    </row>
    <row r="43634" spans="1:6" x14ac:dyDescent="0.25">
      <c r="A43634" s="1" t="str">
        <f t="shared" si="1485"/>
        <v>99999</v>
      </c>
      <c r="B43634" s="1" t="str">
        <f>"99684"</f>
        <v>99684</v>
      </c>
      <c r="C43634" s="2">
        <v>0</v>
      </c>
      <c r="D43634" s="2">
        <v>0</v>
      </c>
      <c r="E43634" s="2">
        <v>4.3010567696482999E-6</v>
      </c>
      <c r="F43634" s="2">
        <v>9.8681749974786797E-8</v>
      </c>
    </row>
    <row r="43635" spans="1:6" x14ac:dyDescent="0.25">
      <c r="A43635" s="1" t="str">
        <f t="shared" si="1485"/>
        <v>99999</v>
      </c>
      <c r="B43635" s="1" t="str">
        <f>"99745"</f>
        <v>99745</v>
      </c>
      <c r="C43635" s="2">
        <v>0</v>
      </c>
      <c r="D43635" s="2">
        <v>0</v>
      </c>
      <c r="E43635" s="2">
        <v>4.3010567696482999E-6</v>
      </c>
      <c r="F43635" s="2">
        <v>9.8681749974786797E-8</v>
      </c>
    </row>
    <row r="43636" spans="1:6" x14ac:dyDescent="0.25">
      <c r="A43636" s="1" t="str">
        <f t="shared" si="1485"/>
        <v>99999</v>
      </c>
      <c r="B43636" s="1" t="str">
        <f>"38077"</f>
        <v>38077</v>
      </c>
      <c r="C43636" s="2">
        <v>0</v>
      </c>
      <c r="D43636" s="2">
        <v>1.50570889527644E-6</v>
      </c>
      <c r="E43636" s="2">
        <v>0</v>
      </c>
      <c r="F43636" s="2">
        <v>9.8681749974786797E-8</v>
      </c>
    </row>
    <row r="43637" spans="1:6" x14ac:dyDescent="0.25">
      <c r="A43637" s="1" t="str">
        <f t="shared" si="1485"/>
        <v>99999</v>
      </c>
      <c r="B43637" s="1" t="str">
        <f>"54761"</f>
        <v>54761</v>
      </c>
      <c r="C43637" s="2">
        <v>3.2478267167524802E-7</v>
      </c>
      <c r="D43637" s="2">
        <v>0</v>
      </c>
      <c r="E43637" s="2">
        <v>0</v>
      </c>
      <c r="F43637" s="2">
        <v>2.9604524992435999E-7</v>
      </c>
    </row>
    <row r="43638" spans="1:6" x14ac:dyDescent="0.25">
      <c r="A43638" s="1" t="str">
        <f t="shared" si="1485"/>
        <v>99999</v>
      </c>
      <c r="B43638" s="1" t="str">
        <f>"43984"</f>
        <v>43984</v>
      </c>
      <c r="C43638" s="2">
        <v>0</v>
      </c>
      <c r="D43638" s="2">
        <v>0</v>
      </c>
      <c r="E43638" s="2">
        <v>4.3010567696482999E-6</v>
      </c>
      <c r="F43638" s="2">
        <v>9.8681749974786797E-8</v>
      </c>
    </row>
    <row r="43639" spans="1:6" x14ac:dyDescent="0.25">
      <c r="A43639" s="1" t="str">
        <f t="shared" si="1485"/>
        <v>99999</v>
      </c>
      <c r="B43639" s="1" t="str">
        <f>"31780"</f>
        <v>31780</v>
      </c>
      <c r="C43639" s="2">
        <v>1.08260890558416E-7</v>
      </c>
      <c r="D43639" s="2">
        <v>0</v>
      </c>
      <c r="E43639" s="2">
        <v>0</v>
      </c>
      <c r="F43639" s="2">
        <v>9.8681749974786797E-8</v>
      </c>
    </row>
    <row r="43640" spans="1:6" x14ac:dyDescent="0.25">
      <c r="A43640" s="1" t="str">
        <f t="shared" si="1485"/>
        <v>99999</v>
      </c>
      <c r="B43640" s="1" t="str">
        <f>"72457"</f>
        <v>72457</v>
      </c>
      <c r="C43640" s="2">
        <v>0</v>
      </c>
      <c r="D43640" s="2">
        <v>0</v>
      </c>
      <c r="E43640" s="2">
        <v>4.3010567696482999E-6</v>
      </c>
      <c r="F43640" s="2">
        <v>9.8681749974786797E-8</v>
      </c>
    </row>
    <row r="43641" spans="1:6" x14ac:dyDescent="0.25">
      <c r="A43641" s="1" t="str">
        <f t="shared" si="1485"/>
        <v>99999</v>
      </c>
      <c r="B43641" s="1" t="str">
        <f>"99778"</f>
        <v>99778</v>
      </c>
      <c r="C43641" s="2">
        <v>0</v>
      </c>
      <c r="D43641" s="2">
        <v>0</v>
      </c>
      <c r="E43641" s="2">
        <v>4.3010567696482999E-6</v>
      </c>
      <c r="F43641" s="2">
        <v>9.8681749974786797E-8</v>
      </c>
    </row>
    <row r="43642" spans="1:6" x14ac:dyDescent="0.25">
      <c r="A43642" s="1" t="str">
        <f t="shared" si="1485"/>
        <v>99999</v>
      </c>
      <c r="B43642" s="1" t="str">
        <f>"15801"</f>
        <v>15801</v>
      </c>
      <c r="C43642" s="2">
        <v>1.08260890558416E-7</v>
      </c>
      <c r="D43642" s="2">
        <v>0</v>
      </c>
      <c r="E43642" s="2">
        <v>0</v>
      </c>
      <c r="F43642" s="2">
        <v>9.8681749974786797E-8</v>
      </c>
    </row>
    <row r="43643" spans="1:6" x14ac:dyDescent="0.25">
      <c r="A43643" s="1" t="str">
        <f t="shared" si="1485"/>
        <v>99999</v>
      </c>
      <c r="B43643" s="1" t="str">
        <f>"71354"</f>
        <v>71354</v>
      </c>
      <c r="C43643" s="2">
        <v>3.2478267167524802E-7</v>
      </c>
      <c r="D43643" s="2">
        <v>0</v>
      </c>
      <c r="E43643" s="2">
        <v>0</v>
      </c>
      <c r="F43643" s="2">
        <v>2.9604524992435999E-7</v>
      </c>
    </row>
    <row r="43644" spans="1:6" x14ac:dyDescent="0.25">
      <c r="A43644" s="1" t="str">
        <f t="shared" si="1485"/>
        <v>99999</v>
      </c>
      <c r="B43644" s="1" t="str">
        <f>"99636"</f>
        <v>99636</v>
      </c>
      <c r="C43644" s="2">
        <v>0</v>
      </c>
      <c r="D43644" s="2">
        <v>0</v>
      </c>
      <c r="E43644" s="2">
        <v>4.3010567696482999E-6</v>
      </c>
      <c r="F43644" s="2">
        <v>9.8681749974786797E-8</v>
      </c>
    </row>
    <row r="43645" spans="1:6" x14ac:dyDescent="0.25">
      <c r="A43645" s="1" t="str">
        <f t="shared" si="1485"/>
        <v>99999</v>
      </c>
      <c r="B43645" s="1" t="str">
        <f>"57782"</f>
        <v>57782</v>
      </c>
      <c r="C43645" s="2">
        <v>1.08260890558416E-7</v>
      </c>
      <c r="D43645" s="2">
        <v>0</v>
      </c>
      <c r="E43645" s="2">
        <v>4.3010567696482999E-6</v>
      </c>
      <c r="F43645" s="2">
        <v>1.9736349994957301E-7</v>
      </c>
    </row>
    <row r="43646" spans="1:6" x14ac:dyDescent="0.25">
      <c r="A43646" s="1" t="str">
        <f t="shared" si="1485"/>
        <v>99999</v>
      </c>
      <c r="B43646" s="1" t="str">
        <f>"79094"</f>
        <v>79094</v>
      </c>
      <c r="C43646" s="2">
        <v>1.08260890558416E-7</v>
      </c>
      <c r="D43646" s="2">
        <v>0</v>
      </c>
      <c r="E43646" s="2">
        <v>0</v>
      </c>
      <c r="F43646" s="2">
        <v>9.8681749974786797E-8</v>
      </c>
    </row>
    <row r="43647" spans="1:6" x14ac:dyDescent="0.25">
      <c r="A43647" s="1" t="str">
        <f t="shared" si="1485"/>
        <v>99999</v>
      </c>
      <c r="B43647" s="1" t="str">
        <f>"30464"</f>
        <v>30464</v>
      </c>
      <c r="C43647" s="2">
        <v>0</v>
      </c>
      <c r="D43647" s="2">
        <v>1.50570889527644E-6</v>
      </c>
      <c r="E43647" s="2">
        <v>0</v>
      </c>
      <c r="F43647" s="2">
        <v>9.8681749974786797E-8</v>
      </c>
    </row>
    <row r="43648" spans="1:6" x14ac:dyDescent="0.25">
      <c r="A43648" s="1" t="str">
        <f t="shared" si="1485"/>
        <v>99999</v>
      </c>
      <c r="B43648" s="1" t="str">
        <f>"77987"</f>
        <v>77987</v>
      </c>
      <c r="C43648" s="2">
        <v>0</v>
      </c>
      <c r="D43648" s="2">
        <v>1.50570889527644E-6</v>
      </c>
      <c r="E43648" s="2">
        <v>0</v>
      </c>
      <c r="F43648" s="2">
        <v>9.8681749974786797E-8</v>
      </c>
    </row>
    <row r="43649" spans="1:6" x14ac:dyDescent="0.25">
      <c r="A43649" s="1" t="str">
        <f t="shared" si="1485"/>
        <v>99999</v>
      </c>
      <c r="B43649" s="1" t="str">
        <f>"81330"</f>
        <v>81330</v>
      </c>
      <c r="C43649" s="2">
        <v>0</v>
      </c>
      <c r="D43649" s="2">
        <v>1.50570889527644E-6</v>
      </c>
      <c r="E43649" s="2">
        <v>0</v>
      </c>
      <c r="F43649" s="2">
        <v>9.8681749974786797E-8</v>
      </c>
    </row>
    <row r="43650" spans="1:6" x14ac:dyDescent="0.25">
      <c r="A43650" s="1" t="str">
        <f t="shared" si="1485"/>
        <v>99999</v>
      </c>
      <c r="B43650" s="1" t="str">
        <f>"79051"</f>
        <v>79051</v>
      </c>
      <c r="C43650" s="2">
        <v>2.1652178111683201E-7</v>
      </c>
      <c r="D43650" s="2">
        <v>0</v>
      </c>
      <c r="E43650" s="2">
        <v>0</v>
      </c>
      <c r="F43650" s="2">
        <v>1.9736349994957301E-7</v>
      </c>
    </row>
    <row r="43651" spans="1:6" x14ac:dyDescent="0.25">
      <c r="A43651" s="1" t="str">
        <f t="shared" si="1485"/>
        <v>99999</v>
      </c>
      <c r="B43651" s="1" t="str">
        <f>"76880"</f>
        <v>76880</v>
      </c>
      <c r="C43651" s="2">
        <v>0</v>
      </c>
      <c r="D43651" s="2">
        <v>0</v>
      </c>
      <c r="E43651" s="2">
        <v>1.29031703089449E-5</v>
      </c>
      <c r="F43651" s="2">
        <v>2.9604524992435999E-7</v>
      </c>
    </row>
    <row r="43652" spans="1:6" x14ac:dyDescent="0.25">
      <c r="A43652" s="1" t="str">
        <f t="shared" si="1485"/>
        <v>99999</v>
      </c>
      <c r="B43652" s="1" t="str">
        <f>"51008"</f>
        <v>51008</v>
      </c>
      <c r="C43652" s="2">
        <v>0</v>
      </c>
      <c r="D43652" s="2">
        <v>0</v>
      </c>
      <c r="E43652" s="2">
        <v>4.3010567696482999E-6</v>
      </c>
      <c r="F43652" s="2">
        <v>9.8681749974786797E-8</v>
      </c>
    </row>
    <row r="43653" spans="1:6" x14ac:dyDescent="0.25">
      <c r="A43653" s="1" t="str">
        <f t="shared" si="1485"/>
        <v>99999</v>
      </c>
      <c r="B43653" s="1" t="str">
        <f>"65586"</f>
        <v>65586</v>
      </c>
      <c r="C43653" s="2">
        <v>0</v>
      </c>
      <c r="D43653" s="2">
        <v>0</v>
      </c>
      <c r="E43653" s="2">
        <v>4.3010567696482999E-6</v>
      </c>
      <c r="F43653" s="2">
        <v>9.8681749974786797E-8</v>
      </c>
    </row>
    <row r="43654" spans="1:6" x14ac:dyDescent="0.25">
      <c r="A43654" s="1" t="str">
        <f t="shared" ref="A43654:A43717" si="1486">"99999"</f>
        <v>99999</v>
      </c>
      <c r="B43654" s="1" t="str">
        <f>"18820"</f>
        <v>18820</v>
      </c>
      <c r="C43654" s="2">
        <v>0</v>
      </c>
      <c r="D43654" s="2">
        <v>1.50570889527644E-6</v>
      </c>
      <c r="E43654" s="2">
        <v>0</v>
      </c>
      <c r="F43654" s="2">
        <v>9.8681749974786797E-8</v>
      </c>
    </row>
    <row r="43655" spans="1:6" x14ac:dyDescent="0.25">
      <c r="A43655" s="1" t="str">
        <f t="shared" si="1486"/>
        <v>99999</v>
      </c>
      <c r="B43655" s="1" t="str">
        <f>"81248"</f>
        <v>81248</v>
      </c>
      <c r="C43655" s="2">
        <v>0</v>
      </c>
      <c r="D43655" s="2">
        <v>0</v>
      </c>
      <c r="E43655" s="2">
        <v>4.3010567696482999E-6</v>
      </c>
      <c r="F43655" s="2">
        <v>9.8681749974786797E-8</v>
      </c>
    </row>
    <row r="43656" spans="1:6" x14ac:dyDescent="0.25">
      <c r="A43656" s="1" t="str">
        <f t="shared" si="1486"/>
        <v>99999</v>
      </c>
      <c r="B43656" s="1" t="str">
        <f>"50255"</f>
        <v>50255</v>
      </c>
      <c r="C43656" s="2">
        <v>0</v>
      </c>
      <c r="D43656" s="2">
        <v>0</v>
      </c>
      <c r="E43656" s="2">
        <v>4.3010567696482999E-6</v>
      </c>
      <c r="F43656" s="2">
        <v>9.8681749974786797E-8</v>
      </c>
    </row>
    <row r="43657" spans="1:6" x14ac:dyDescent="0.25">
      <c r="A43657" s="1" t="str">
        <f t="shared" si="1486"/>
        <v>99999</v>
      </c>
      <c r="B43657" s="1" t="str">
        <f>"24474"</f>
        <v>24474</v>
      </c>
      <c r="C43657" s="2">
        <v>1.08260890558416E-7</v>
      </c>
      <c r="D43657" s="2">
        <v>0</v>
      </c>
      <c r="E43657" s="2">
        <v>4.3010567696482999E-6</v>
      </c>
      <c r="F43657" s="2">
        <v>1.9736349994957301E-7</v>
      </c>
    </row>
    <row r="43658" spans="1:6" x14ac:dyDescent="0.25">
      <c r="A43658" s="1" t="str">
        <f t="shared" si="1486"/>
        <v>99999</v>
      </c>
      <c r="B43658" s="1" t="str">
        <f>"46819"</f>
        <v>46819</v>
      </c>
      <c r="C43658" s="2">
        <v>3.2478267167524802E-7</v>
      </c>
      <c r="D43658" s="2">
        <v>0</v>
      </c>
      <c r="E43658" s="2">
        <v>0</v>
      </c>
      <c r="F43658" s="2">
        <v>2.9604524992435999E-7</v>
      </c>
    </row>
    <row r="43659" spans="1:6" x14ac:dyDescent="0.25">
      <c r="A43659" s="1" t="str">
        <f t="shared" si="1486"/>
        <v>99999</v>
      </c>
      <c r="B43659" s="1" t="str">
        <f>"54499"</f>
        <v>54499</v>
      </c>
      <c r="C43659" s="2">
        <v>3.2478267167524802E-7</v>
      </c>
      <c r="D43659" s="2">
        <v>0</v>
      </c>
      <c r="E43659" s="2">
        <v>0</v>
      </c>
      <c r="F43659" s="2">
        <v>2.9604524992435999E-7</v>
      </c>
    </row>
    <row r="43660" spans="1:6" x14ac:dyDescent="0.25">
      <c r="A43660" s="1" t="str">
        <f t="shared" si="1486"/>
        <v>99999</v>
      </c>
      <c r="B43660" s="1" t="str">
        <f>"23486"</f>
        <v>23486</v>
      </c>
      <c r="C43660" s="2">
        <v>0</v>
      </c>
      <c r="D43660" s="2">
        <v>1.50570889527644E-6</v>
      </c>
      <c r="E43660" s="2">
        <v>0</v>
      </c>
      <c r="F43660" s="2">
        <v>9.8681749974786797E-8</v>
      </c>
    </row>
    <row r="43661" spans="1:6" x14ac:dyDescent="0.25">
      <c r="A43661" s="1" t="str">
        <f t="shared" si="1486"/>
        <v>99999</v>
      </c>
      <c r="B43661" s="1" t="str">
        <f>"50102"</f>
        <v>50102</v>
      </c>
      <c r="C43661" s="2">
        <v>0</v>
      </c>
      <c r="D43661" s="2">
        <v>1.50570889527644E-6</v>
      </c>
      <c r="E43661" s="2">
        <v>0</v>
      </c>
      <c r="F43661" s="2">
        <v>9.8681749974786797E-8</v>
      </c>
    </row>
    <row r="43662" spans="1:6" x14ac:dyDescent="0.25">
      <c r="A43662" s="1" t="str">
        <f t="shared" si="1486"/>
        <v>99999</v>
      </c>
      <c r="B43662" s="1" t="str">
        <f>"47925"</f>
        <v>47925</v>
      </c>
      <c r="C43662" s="2">
        <v>0</v>
      </c>
      <c r="D43662" s="2">
        <v>0</v>
      </c>
      <c r="E43662" s="2">
        <v>4.3010567696482999E-6</v>
      </c>
      <c r="F43662" s="2">
        <v>9.8681749974786797E-8</v>
      </c>
    </row>
    <row r="43663" spans="1:6" x14ac:dyDescent="0.25">
      <c r="A43663" s="1" t="str">
        <f t="shared" si="1486"/>
        <v>99999</v>
      </c>
      <c r="B43663" s="1" t="str">
        <f>"28653"</f>
        <v>28653</v>
      </c>
      <c r="C43663" s="2">
        <v>0</v>
      </c>
      <c r="D43663" s="2">
        <v>0</v>
      </c>
      <c r="E43663" s="2">
        <v>4.3010567696482999E-6</v>
      </c>
      <c r="F43663" s="2">
        <v>9.8681749974786797E-8</v>
      </c>
    </row>
    <row r="43664" spans="1:6" x14ac:dyDescent="0.25">
      <c r="A43664" s="1" t="str">
        <f t="shared" si="1486"/>
        <v>99999</v>
      </c>
      <c r="B43664" s="1" t="str">
        <f>"13331"</f>
        <v>13331</v>
      </c>
      <c r="C43664" s="2">
        <v>1.08260890558416E-7</v>
      </c>
      <c r="D43664" s="2">
        <v>0</v>
      </c>
      <c r="E43664" s="2">
        <v>0</v>
      </c>
      <c r="F43664" s="2">
        <v>9.8681749974786797E-8</v>
      </c>
    </row>
    <row r="43665" spans="1:6" x14ac:dyDescent="0.25">
      <c r="A43665" s="1" t="str">
        <f t="shared" si="1486"/>
        <v>99999</v>
      </c>
      <c r="B43665" s="1" t="str">
        <f>"18449"</f>
        <v>18449</v>
      </c>
      <c r="C43665" s="2">
        <v>0</v>
      </c>
      <c r="D43665" s="2">
        <v>1.50570889527644E-6</v>
      </c>
      <c r="E43665" s="2">
        <v>0</v>
      </c>
      <c r="F43665" s="2">
        <v>9.8681749974786797E-8</v>
      </c>
    </row>
    <row r="43666" spans="1:6" x14ac:dyDescent="0.25">
      <c r="A43666" s="1" t="str">
        <f t="shared" si="1486"/>
        <v>99999</v>
      </c>
      <c r="B43666" s="1" t="str">
        <f>"36745"</f>
        <v>36745</v>
      </c>
      <c r="C43666" s="2">
        <v>0</v>
      </c>
      <c r="D43666" s="2">
        <v>1.50570889527644E-6</v>
      </c>
      <c r="E43666" s="2">
        <v>0</v>
      </c>
      <c r="F43666" s="2">
        <v>9.8681749974786797E-8</v>
      </c>
    </row>
    <row r="43667" spans="1:6" x14ac:dyDescent="0.25">
      <c r="A43667" s="1" t="str">
        <f t="shared" si="1486"/>
        <v>99999</v>
      </c>
      <c r="B43667" s="1" t="str">
        <f>"16911"</f>
        <v>16911</v>
      </c>
      <c r="C43667" s="2">
        <v>0</v>
      </c>
      <c r="D43667" s="2">
        <v>1.50570889527644E-6</v>
      </c>
      <c r="E43667" s="2">
        <v>0</v>
      </c>
      <c r="F43667" s="2">
        <v>9.8681749974786797E-8</v>
      </c>
    </row>
    <row r="43668" spans="1:6" x14ac:dyDescent="0.25">
      <c r="A43668" s="1" t="str">
        <f t="shared" si="1486"/>
        <v>99999</v>
      </c>
      <c r="B43668" s="1" t="str">
        <f>"99788"</f>
        <v>99788</v>
      </c>
      <c r="C43668" s="2">
        <v>0</v>
      </c>
      <c r="D43668" s="2">
        <v>0</v>
      </c>
      <c r="E43668" s="2">
        <v>4.3010567696482999E-6</v>
      </c>
      <c r="F43668" s="2">
        <v>9.8681749974786797E-8</v>
      </c>
    </row>
    <row r="43669" spans="1:6" x14ac:dyDescent="0.25">
      <c r="A43669" s="1" t="str">
        <f t="shared" si="1486"/>
        <v>99999</v>
      </c>
      <c r="B43669" s="1" t="str">
        <f>"03818"</f>
        <v>03818</v>
      </c>
      <c r="C43669" s="2">
        <v>3.7945442140724801E-4</v>
      </c>
      <c r="D43669" s="2">
        <v>1.14885588709592E-3</v>
      </c>
      <c r="E43669" s="2">
        <v>1.97848611403821E-4</v>
      </c>
      <c r="F43669" s="2">
        <v>4.2571306939122999E-4</v>
      </c>
    </row>
    <row r="43670" spans="1:6" x14ac:dyDescent="0.25">
      <c r="A43670" s="1" t="str">
        <f t="shared" si="1486"/>
        <v>99999</v>
      </c>
      <c r="B43670" s="1" t="str">
        <f>"03860"</f>
        <v>03860</v>
      </c>
      <c r="C43670" s="2">
        <v>3.6289050515181002E-4</v>
      </c>
      <c r="D43670" s="2">
        <v>8.3115131019259505E-4</v>
      </c>
      <c r="E43670" s="2">
        <v>1.63440157246635E-4</v>
      </c>
      <c r="F43670" s="2">
        <v>3.8900345840060899E-4</v>
      </c>
    </row>
    <row r="43671" spans="1:6" x14ac:dyDescent="0.25">
      <c r="A43671" s="1" t="str">
        <f t="shared" si="1486"/>
        <v>99999</v>
      </c>
      <c r="B43671" s="1" t="str">
        <f>"04471"</f>
        <v>04471</v>
      </c>
      <c r="C43671" s="2">
        <v>4.8825661641845601E-5</v>
      </c>
      <c r="D43671" s="2">
        <v>1.0539962266935E-5</v>
      </c>
      <c r="E43671" s="2">
        <v>8.6021135392965999E-6</v>
      </c>
      <c r="F43671" s="2">
        <v>4.5393604988401902E-5</v>
      </c>
    </row>
    <row r="43672" spans="1:6" x14ac:dyDescent="0.25">
      <c r="A43672" s="1" t="str">
        <f t="shared" si="1486"/>
        <v>99999</v>
      </c>
      <c r="B43672" s="1" t="str">
        <f>"04268"</f>
        <v>04268</v>
      </c>
      <c r="C43672" s="2">
        <v>3.4383658841352898E-4</v>
      </c>
      <c r="D43672" s="2">
        <v>5.6162941793811197E-4</v>
      </c>
      <c r="E43672" s="2">
        <v>8.17200786233177E-4</v>
      </c>
      <c r="F43672" s="2">
        <v>3.6897106315572701E-4</v>
      </c>
    </row>
    <row r="43673" spans="1:6" x14ac:dyDescent="0.25">
      <c r="A43673" s="1" t="str">
        <f t="shared" si="1486"/>
        <v>99999</v>
      </c>
      <c r="B43673" s="1" t="str">
        <f>"80429"</f>
        <v>80429</v>
      </c>
      <c r="C43673" s="2">
        <v>0</v>
      </c>
      <c r="D43673" s="2">
        <v>1.50570889527644E-6</v>
      </c>
      <c r="E43673" s="2">
        <v>0</v>
      </c>
      <c r="F43673" s="2">
        <v>9.8681749974786797E-8</v>
      </c>
    </row>
    <row r="43674" spans="1:6" x14ac:dyDescent="0.25">
      <c r="A43674" s="1" t="str">
        <f t="shared" si="1486"/>
        <v>99999</v>
      </c>
      <c r="B43674" s="1" t="str">
        <f>"59487"</f>
        <v>59487</v>
      </c>
      <c r="C43674" s="2">
        <v>1.29913068670099E-6</v>
      </c>
      <c r="D43674" s="2">
        <v>0</v>
      </c>
      <c r="E43674" s="2">
        <v>0</v>
      </c>
      <c r="F43674" s="2">
        <v>1.18418099969744E-6</v>
      </c>
    </row>
    <row r="43675" spans="1:6" x14ac:dyDescent="0.25">
      <c r="A43675" s="1" t="str">
        <f t="shared" si="1486"/>
        <v>99999</v>
      </c>
      <c r="B43675" s="1" t="str">
        <f>"74942"</f>
        <v>74942</v>
      </c>
      <c r="C43675" s="2">
        <v>0</v>
      </c>
      <c r="D43675" s="2">
        <v>0</v>
      </c>
      <c r="E43675" s="2">
        <v>4.3010567696482999E-6</v>
      </c>
      <c r="F43675" s="2">
        <v>9.8681749974786797E-8</v>
      </c>
    </row>
    <row r="43676" spans="1:6" x14ac:dyDescent="0.25">
      <c r="A43676" s="1" t="str">
        <f t="shared" si="1486"/>
        <v>99999</v>
      </c>
      <c r="B43676" s="1" t="str">
        <f>"84732"</f>
        <v>84732</v>
      </c>
      <c r="C43676" s="2">
        <v>3.6808702789861401E-6</v>
      </c>
      <c r="D43676" s="2">
        <v>0</v>
      </c>
      <c r="E43676" s="2">
        <v>4.3010567696482999E-6</v>
      </c>
      <c r="F43676" s="2">
        <v>3.4538612491175301E-6</v>
      </c>
    </row>
    <row r="43677" spans="1:6" x14ac:dyDescent="0.25">
      <c r="A43677" s="1" t="str">
        <f t="shared" si="1486"/>
        <v>99999</v>
      </c>
      <c r="B43677" s="1" t="str">
        <f>"71320"</f>
        <v>71320</v>
      </c>
      <c r="C43677" s="2">
        <v>0</v>
      </c>
      <c r="D43677" s="2">
        <v>0</v>
      </c>
      <c r="E43677" s="2">
        <v>4.3010567696482999E-6</v>
      </c>
      <c r="F43677" s="2">
        <v>9.8681749974786797E-8</v>
      </c>
    </row>
    <row r="43678" spans="1:6" x14ac:dyDescent="0.25">
      <c r="A43678" s="1" t="str">
        <f t="shared" si="1486"/>
        <v>99999</v>
      </c>
      <c r="B43678" s="1" t="str">
        <f>"78582"</f>
        <v>78582</v>
      </c>
      <c r="C43678" s="2">
        <v>5.4130445279207995E-7</v>
      </c>
      <c r="D43678" s="2">
        <v>0</v>
      </c>
      <c r="E43678" s="2">
        <v>0</v>
      </c>
      <c r="F43678" s="2">
        <v>4.9340874987393396E-7</v>
      </c>
    </row>
    <row r="43679" spans="1:6" x14ac:dyDescent="0.25">
      <c r="A43679" s="1" t="str">
        <f t="shared" si="1486"/>
        <v>99999</v>
      </c>
      <c r="B43679" s="1" t="str">
        <f>"15715"</f>
        <v>15715</v>
      </c>
      <c r="C43679" s="2">
        <v>0</v>
      </c>
      <c r="D43679" s="2">
        <v>1.50570889527644E-6</v>
      </c>
      <c r="E43679" s="2">
        <v>8.6021135392965999E-6</v>
      </c>
      <c r="F43679" s="2">
        <v>2.9604524992435999E-7</v>
      </c>
    </row>
    <row r="43680" spans="1:6" x14ac:dyDescent="0.25">
      <c r="A43680" s="1" t="str">
        <f t="shared" si="1486"/>
        <v>99999</v>
      </c>
      <c r="B43680" s="1" t="str">
        <f>"36764"</f>
        <v>36764</v>
      </c>
      <c r="C43680" s="2">
        <v>0</v>
      </c>
      <c r="D43680" s="2">
        <v>0</v>
      </c>
      <c r="E43680" s="2">
        <v>4.3010567696482999E-6</v>
      </c>
      <c r="F43680" s="2">
        <v>9.8681749974786797E-8</v>
      </c>
    </row>
    <row r="43681" spans="1:6" x14ac:dyDescent="0.25">
      <c r="A43681" s="1" t="str">
        <f t="shared" si="1486"/>
        <v>99999</v>
      </c>
      <c r="B43681" s="1" t="str">
        <f>"22517"</f>
        <v>22517</v>
      </c>
      <c r="C43681" s="2">
        <v>0</v>
      </c>
      <c r="D43681" s="2">
        <v>0</v>
      </c>
      <c r="E43681" s="2">
        <v>4.3010567696482999E-6</v>
      </c>
      <c r="F43681" s="2">
        <v>9.8681749974786797E-8</v>
      </c>
    </row>
    <row r="43682" spans="1:6" x14ac:dyDescent="0.25">
      <c r="A43682" s="1" t="str">
        <f t="shared" si="1486"/>
        <v>99999</v>
      </c>
      <c r="B43682" s="1" t="str">
        <f>"73746"</f>
        <v>73746</v>
      </c>
      <c r="C43682" s="2">
        <v>0</v>
      </c>
      <c r="D43682" s="2">
        <v>0</v>
      </c>
      <c r="E43682" s="2">
        <v>4.3010567696482999E-6</v>
      </c>
      <c r="F43682" s="2">
        <v>9.8681749974786797E-8</v>
      </c>
    </row>
    <row r="43683" spans="1:6" x14ac:dyDescent="0.25">
      <c r="A43683" s="1" t="str">
        <f t="shared" si="1486"/>
        <v>99999</v>
      </c>
      <c r="B43683" s="1" t="str">
        <f>"49764"</f>
        <v>49764</v>
      </c>
      <c r="C43683" s="2">
        <v>1.08260890558416E-7</v>
      </c>
      <c r="D43683" s="2">
        <v>1.50570889527644E-6</v>
      </c>
      <c r="E43683" s="2">
        <v>0</v>
      </c>
      <c r="F43683" s="2">
        <v>1.9736349994957301E-7</v>
      </c>
    </row>
    <row r="43684" spans="1:6" x14ac:dyDescent="0.25">
      <c r="A43684" s="1" t="str">
        <f t="shared" si="1486"/>
        <v>99999</v>
      </c>
      <c r="B43684" s="1" t="str">
        <f>"54452"</f>
        <v>54452</v>
      </c>
      <c r="C43684" s="2">
        <v>1.08260890558416E-7</v>
      </c>
      <c r="D43684" s="2">
        <v>0</v>
      </c>
      <c r="E43684" s="2">
        <v>0</v>
      </c>
      <c r="F43684" s="2">
        <v>9.8681749974786797E-8</v>
      </c>
    </row>
    <row r="43685" spans="1:6" x14ac:dyDescent="0.25">
      <c r="A43685" s="1" t="str">
        <f t="shared" si="1486"/>
        <v>99999</v>
      </c>
      <c r="B43685" s="1" t="str">
        <f>"99751"</f>
        <v>99751</v>
      </c>
      <c r="C43685" s="2">
        <v>0</v>
      </c>
      <c r="D43685" s="2">
        <v>0</v>
      </c>
      <c r="E43685" s="2">
        <v>4.3010567696482999E-6</v>
      </c>
      <c r="F43685" s="2">
        <v>9.8681749974786797E-8</v>
      </c>
    </row>
    <row r="43686" spans="1:6" x14ac:dyDescent="0.25">
      <c r="A43686" s="1" t="str">
        <f t="shared" si="1486"/>
        <v>99999</v>
      </c>
      <c r="B43686" s="1" t="str">
        <f>"50153"</f>
        <v>50153</v>
      </c>
      <c r="C43686" s="2">
        <v>8.6608712446732898E-7</v>
      </c>
      <c r="D43686" s="2">
        <v>0</v>
      </c>
      <c r="E43686" s="2">
        <v>0</v>
      </c>
      <c r="F43686" s="2">
        <v>7.8945399979829395E-7</v>
      </c>
    </row>
    <row r="43687" spans="1:6" x14ac:dyDescent="0.25">
      <c r="A43687" s="1" t="str">
        <f t="shared" si="1486"/>
        <v>99999</v>
      </c>
      <c r="B43687" s="1" t="str">
        <f>"77850"</f>
        <v>77850</v>
      </c>
      <c r="C43687" s="2">
        <v>0</v>
      </c>
      <c r="D43687" s="2">
        <v>1.50570889527644E-6</v>
      </c>
      <c r="E43687" s="2">
        <v>0</v>
      </c>
      <c r="F43687" s="2">
        <v>9.8681749974786797E-8</v>
      </c>
    </row>
    <row r="43688" spans="1:6" x14ac:dyDescent="0.25">
      <c r="A43688" s="1" t="str">
        <f t="shared" si="1486"/>
        <v>99999</v>
      </c>
      <c r="B43688" s="1" t="str">
        <f>"23941"</f>
        <v>23941</v>
      </c>
      <c r="C43688" s="2">
        <v>0</v>
      </c>
      <c r="D43688" s="2">
        <v>0</v>
      </c>
      <c r="E43688" s="2">
        <v>4.3010567696482999E-6</v>
      </c>
      <c r="F43688" s="2">
        <v>9.8681749974786797E-8</v>
      </c>
    </row>
    <row r="43689" spans="1:6" x14ac:dyDescent="0.25">
      <c r="A43689" s="1" t="str">
        <f t="shared" si="1486"/>
        <v>99999</v>
      </c>
      <c r="B43689" s="1" t="str">
        <f>"56568"</f>
        <v>56568</v>
      </c>
      <c r="C43689" s="2">
        <v>6.49565343350497E-7</v>
      </c>
      <c r="D43689" s="2">
        <v>0</v>
      </c>
      <c r="E43689" s="2">
        <v>0</v>
      </c>
      <c r="F43689" s="2">
        <v>5.9209049984871999E-7</v>
      </c>
    </row>
    <row r="43690" spans="1:6" x14ac:dyDescent="0.25">
      <c r="A43690" s="1" t="str">
        <f t="shared" si="1486"/>
        <v>99999</v>
      </c>
      <c r="B43690" s="1" t="str">
        <f>"99929"</f>
        <v>99929</v>
      </c>
      <c r="C43690" s="2">
        <v>0</v>
      </c>
      <c r="D43690" s="2">
        <v>0</v>
      </c>
      <c r="E43690" s="2">
        <v>4.3010567696482999E-6</v>
      </c>
      <c r="F43690" s="2">
        <v>9.8681749974786797E-8</v>
      </c>
    </row>
    <row r="43691" spans="1:6" x14ac:dyDescent="0.25">
      <c r="A43691" s="1" t="str">
        <f t="shared" si="1486"/>
        <v>99999</v>
      </c>
      <c r="B43691" s="1" t="str">
        <f>"23414"</f>
        <v>23414</v>
      </c>
      <c r="C43691" s="2">
        <v>0</v>
      </c>
      <c r="D43691" s="2">
        <v>1.50570889527644E-6</v>
      </c>
      <c r="E43691" s="2">
        <v>0</v>
      </c>
      <c r="F43691" s="2">
        <v>9.8681749974786797E-8</v>
      </c>
    </row>
    <row r="43692" spans="1:6" x14ac:dyDescent="0.25">
      <c r="A43692" s="1" t="str">
        <f t="shared" si="1486"/>
        <v>99999</v>
      </c>
      <c r="B43692" s="1" t="str">
        <f>"70576"</f>
        <v>70576</v>
      </c>
      <c r="C43692" s="2">
        <v>0</v>
      </c>
      <c r="D43692" s="2">
        <v>1.50570889527644E-6</v>
      </c>
      <c r="E43692" s="2">
        <v>4.3010567696482999E-6</v>
      </c>
      <c r="F43692" s="2">
        <v>1.9736349994957301E-7</v>
      </c>
    </row>
    <row r="43693" spans="1:6" x14ac:dyDescent="0.25">
      <c r="A43693" s="1" t="str">
        <f t="shared" si="1486"/>
        <v>99999</v>
      </c>
      <c r="B43693" s="1" t="str">
        <f>"81135"</f>
        <v>81135</v>
      </c>
      <c r="C43693" s="2">
        <v>0</v>
      </c>
      <c r="D43693" s="2">
        <v>0</v>
      </c>
      <c r="E43693" s="2">
        <v>4.3010567696482999E-6</v>
      </c>
      <c r="F43693" s="2">
        <v>9.8681749974786797E-8</v>
      </c>
    </row>
    <row r="43694" spans="1:6" x14ac:dyDescent="0.25">
      <c r="A43694" s="1" t="str">
        <f t="shared" si="1486"/>
        <v>99999</v>
      </c>
      <c r="B43694" s="1" t="str">
        <f>"26289"</f>
        <v>26289</v>
      </c>
      <c r="C43694" s="2">
        <v>1.51565246781782E-6</v>
      </c>
      <c r="D43694" s="2">
        <v>1.50570889527644E-6</v>
      </c>
      <c r="E43694" s="2">
        <v>0</v>
      </c>
      <c r="F43694" s="2">
        <v>1.4802262496218E-6</v>
      </c>
    </row>
    <row r="43695" spans="1:6" x14ac:dyDescent="0.25">
      <c r="A43695" s="1" t="str">
        <f t="shared" si="1486"/>
        <v>99999</v>
      </c>
      <c r="B43695" s="1" t="str">
        <f>"30438"</f>
        <v>30438</v>
      </c>
      <c r="C43695" s="2">
        <v>0</v>
      </c>
      <c r="D43695" s="2">
        <v>1.50570889527644E-6</v>
      </c>
      <c r="E43695" s="2">
        <v>0</v>
      </c>
      <c r="F43695" s="2">
        <v>9.8681749974786797E-8</v>
      </c>
    </row>
    <row r="43696" spans="1:6" x14ac:dyDescent="0.25">
      <c r="A43696" s="1" t="str">
        <f t="shared" si="1486"/>
        <v>99999</v>
      </c>
      <c r="B43696" s="1" t="str">
        <f>"46528"</f>
        <v>46528</v>
      </c>
      <c r="C43696" s="2">
        <v>1.4073915772594101E-6</v>
      </c>
      <c r="D43696" s="2">
        <v>0</v>
      </c>
      <c r="E43696" s="2">
        <v>0</v>
      </c>
      <c r="F43696" s="2">
        <v>1.2828627496722201E-6</v>
      </c>
    </row>
    <row r="43697" spans="1:6" x14ac:dyDescent="0.25">
      <c r="A43697" s="1" t="str">
        <f t="shared" si="1486"/>
        <v>99999</v>
      </c>
      <c r="B43697" s="1" t="str">
        <f>"99146"</f>
        <v>99146</v>
      </c>
      <c r="C43697" s="2">
        <v>2.1652178111683201E-7</v>
      </c>
      <c r="D43697" s="2">
        <v>0</v>
      </c>
      <c r="E43697" s="2">
        <v>4.3010567696482999E-6</v>
      </c>
      <c r="F43697" s="2">
        <v>2.9604524992435999E-7</v>
      </c>
    </row>
    <row r="43698" spans="1:6" x14ac:dyDescent="0.25">
      <c r="A43698" s="1" t="str">
        <f t="shared" si="1486"/>
        <v>99999</v>
      </c>
      <c r="B43698" s="1" t="str">
        <f>"39114"</f>
        <v>39114</v>
      </c>
      <c r="C43698" s="2">
        <v>1.7321742489346499E-6</v>
      </c>
      <c r="D43698" s="2">
        <v>0</v>
      </c>
      <c r="E43698" s="2">
        <v>0</v>
      </c>
      <c r="F43698" s="2">
        <v>1.5789079995965801E-6</v>
      </c>
    </row>
    <row r="43699" spans="1:6" x14ac:dyDescent="0.25">
      <c r="A43699" s="1" t="str">
        <f t="shared" si="1486"/>
        <v>99999</v>
      </c>
      <c r="B43699" s="1" t="str">
        <f>"42631"</f>
        <v>42631</v>
      </c>
      <c r="C43699" s="2">
        <v>0</v>
      </c>
      <c r="D43699" s="2">
        <v>0</v>
      </c>
      <c r="E43699" s="2">
        <v>4.3010567696482999E-6</v>
      </c>
      <c r="F43699" s="2">
        <v>9.8681749974786797E-8</v>
      </c>
    </row>
    <row r="43700" spans="1:6" x14ac:dyDescent="0.25">
      <c r="A43700" s="1" t="str">
        <f t="shared" si="1486"/>
        <v>99999</v>
      </c>
      <c r="B43700" s="1" t="str">
        <f>"59467"</f>
        <v>59467</v>
      </c>
      <c r="C43700" s="2">
        <v>1.08260890558416E-7</v>
      </c>
      <c r="D43700" s="2">
        <v>0</v>
      </c>
      <c r="E43700" s="2">
        <v>4.3010567696482999E-6</v>
      </c>
      <c r="F43700" s="2">
        <v>1.9736349994957301E-7</v>
      </c>
    </row>
    <row r="43701" spans="1:6" x14ac:dyDescent="0.25">
      <c r="A43701" s="1" t="str">
        <f t="shared" si="1486"/>
        <v>99999</v>
      </c>
      <c r="B43701" s="1" t="str">
        <f>"70662"</f>
        <v>70662</v>
      </c>
      <c r="C43701" s="2">
        <v>2.1652178111683201E-7</v>
      </c>
      <c r="D43701" s="2">
        <v>1.50570889527644E-6</v>
      </c>
      <c r="E43701" s="2">
        <v>0</v>
      </c>
      <c r="F43701" s="2">
        <v>2.9604524992435999E-7</v>
      </c>
    </row>
    <row r="43702" spans="1:6" x14ac:dyDescent="0.25">
      <c r="A43702" s="1" t="str">
        <f t="shared" si="1486"/>
        <v>99999</v>
      </c>
      <c r="B43702" s="1" t="str">
        <f>"27865"</f>
        <v>27865</v>
      </c>
      <c r="C43702" s="2">
        <v>1.08260890558416E-7</v>
      </c>
      <c r="D43702" s="2">
        <v>0</v>
      </c>
      <c r="E43702" s="2">
        <v>0</v>
      </c>
      <c r="F43702" s="2">
        <v>9.8681749974786797E-8</v>
      </c>
    </row>
    <row r="43703" spans="1:6" x14ac:dyDescent="0.25">
      <c r="A43703" s="1" t="str">
        <f t="shared" si="1486"/>
        <v>99999</v>
      </c>
      <c r="B43703" s="1" t="str">
        <f>"62544"</f>
        <v>62544</v>
      </c>
      <c r="C43703" s="2">
        <v>1.08260890558416E-7</v>
      </c>
      <c r="D43703" s="2">
        <v>0</v>
      </c>
      <c r="E43703" s="2">
        <v>0</v>
      </c>
      <c r="F43703" s="2">
        <v>9.8681749974786797E-8</v>
      </c>
    </row>
    <row r="43704" spans="1:6" x14ac:dyDescent="0.25">
      <c r="A43704" s="1" t="str">
        <f t="shared" si="1486"/>
        <v>99999</v>
      </c>
      <c r="B43704" s="1" t="str">
        <f>"79788"</f>
        <v>79788</v>
      </c>
      <c r="C43704" s="2">
        <v>0</v>
      </c>
      <c r="D43704" s="2">
        <v>1.50570889527644E-6</v>
      </c>
      <c r="E43704" s="2">
        <v>0</v>
      </c>
      <c r="F43704" s="2">
        <v>9.8681749974786797E-8</v>
      </c>
    </row>
    <row r="43705" spans="1:6" x14ac:dyDescent="0.25">
      <c r="A43705" s="1" t="str">
        <f t="shared" si="1486"/>
        <v>99999</v>
      </c>
      <c r="B43705" s="1" t="str">
        <f>"85937"</f>
        <v>85937</v>
      </c>
      <c r="C43705" s="2">
        <v>8.6608712446732898E-7</v>
      </c>
      <c r="D43705" s="2">
        <v>0</v>
      </c>
      <c r="E43705" s="2">
        <v>4.3010567696482999E-6</v>
      </c>
      <c r="F43705" s="2">
        <v>8.8813574977308104E-7</v>
      </c>
    </row>
    <row r="43706" spans="1:6" x14ac:dyDescent="0.25">
      <c r="A43706" s="1" t="str">
        <f t="shared" si="1486"/>
        <v>99999</v>
      </c>
      <c r="B43706" s="1" t="str">
        <f>"28421"</f>
        <v>28421</v>
      </c>
      <c r="C43706" s="2">
        <v>1.08260890558416E-7</v>
      </c>
      <c r="D43706" s="2">
        <v>0</v>
      </c>
      <c r="E43706" s="2">
        <v>0</v>
      </c>
      <c r="F43706" s="2">
        <v>9.8681749974786797E-8</v>
      </c>
    </row>
    <row r="43707" spans="1:6" x14ac:dyDescent="0.25">
      <c r="A43707" s="1" t="str">
        <f t="shared" si="1486"/>
        <v>99999</v>
      </c>
      <c r="B43707" s="1" t="str">
        <f>"57474"</f>
        <v>57474</v>
      </c>
      <c r="C43707" s="2">
        <v>4.3304356223366401E-7</v>
      </c>
      <c r="D43707" s="2">
        <v>0</v>
      </c>
      <c r="E43707" s="2">
        <v>0</v>
      </c>
      <c r="F43707" s="2">
        <v>3.9472699989914697E-7</v>
      </c>
    </row>
    <row r="43708" spans="1:6" x14ac:dyDescent="0.25">
      <c r="A43708" s="1" t="str">
        <f t="shared" si="1486"/>
        <v>99999</v>
      </c>
      <c r="B43708" s="1" t="str">
        <f>"04637"</f>
        <v>04637</v>
      </c>
      <c r="C43708" s="2">
        <v>0</v>
      </c>
      <c r="D43708" s="2">
        <v>0</v>
      </c>
      <c r="E43708" s="2">
        <v>4.3010567696482999E-6</v>
      </c>
      <c r="F43708" s="2">
        <v>9.8681749974786797E-8</v>
      </c>
    </row>
    <row r="43709" spans="1:6" x14ac:dyDescent="0.25">
      <c r="A43709" s="1" t="str">
        <f t="shared" si="1486"/>
        <v>99999</v>
      </c>
      <c r="B43709" s="1" t="str">
        <f>"05159"</f>
        <v>05159</v>
      </c>
      <c r="C43709" s="2">
        <v>0</v>
      </c>
      <c r="D43709" s="2">
        <v>1.50570889527644E-6</v>
      </c>
      <c r="E43709" s="2">
        <v>0</v>
      </c>
      <c r="F43709" s="2">
        <v>9.8681749974786797E-8</v>
      </c>
    </row>
    <row r="43710" spans="1:6" x14ac:dyDescent="0.25">
      <c r="A43710" s="1" t="str">
        <f t="shared" si="1486"/>
        <v>99999</v>
      </c>
      <c r="B43710" s="1" t="str">
        <f>"10963"</f>
        <v>10963</v>
      </c>
      <c r="C43710" s="2">
        <v>1.4073915772594101E-6</v>
      </c>
      <c r="D43710" s="2">
        <v>0</v>
      </c>
      <c r="E43710" s="2">
        <v>0</v>
      </c>
      <c r="F43710" s="2">
        <v>1.2828627496722201E-6</v>
      </c>
    </row>
    <row r="43711" spans="1:6" x14ac:dyDescent="0.25">
      <c r="A43711" s="1" t="str">
        <f t="shared" si="1486"/>
        <v>99999</v>
      </c>
      <c r="B43711" s="1" t="str">
        <f>"99666"</f>
        <v>99666</v>
      </c>
      <c r="C43711" s="2">
        <v>0</v>
      </c>
      <c r="D43711" s="2">
        <v>0</v>
      </c>
      <c r="E43711" s="2">
        <v>4.3010567696482999E-6</v>
      </c>
      <c r="F43711" s="2">
        <v>9.8681749974786797E-8</v>
      </c>
    </row>
    <row r="43712" spans="1:6" x14ac:dyDescent="0.25">
      <c r="A43712" s="1" t="str">
        <f t="shared" si="1486"/>
        <v>99999</v>
      </c>
      <c r="B43712" s="1" t="str">
        <f>"45711"</f>
        <v>45711</v>
      </c>
      <c r="C43712" s="2">
        <v>2.3817395922851499E-6</v>
      </c>
      <c r="D43712" s="2">
        <v>0</v>
      </c>
      <c r="E43712" s="2">
        <v>0</v>
      </c>
      <c r="F43712" s="2">
        <v>2.1709984994452998E-6</v>
      </c>
    </row>
    <row r="43713" spans="1:6" x14ac:dyDescent="0.25">
      <c r="A43713" s="1" t="str">
        <f t="shared" si="1486"/>
        <v>99999</v>
      </c>
      <c r="B43713" s="1" t="str">
        <f>"50110"</f>
        <v>50110</v>
      </c>
      <c r="C43713" s="2">
        <v>3.1395658261940598E-6</v>
      </c>
      <c r="D43713" s="2">
        <v>0</v>
      </c>
      <c r="E43713" s="2">
        <v>4.3010567696482999E-6</v>
      </c>
      <c r="F43713" s="2">
        <v>2.9604524992435999E-6</v>
      </c>
    </row>
    <row r="43714" spans="1:6" x14ac:dyDescent="0.25">
      <c r="A43714" s="1" t="str">
        <f t="shared" si="1486"/>
        <v>99999</v>
      </c>
      <c r="B43714" s="1" t="str">
        <f>"65436"</f>
        <v>65436</v>
      </c>
      <c r="C43714" s="2">
        <v>1.1908697961425701E-6</v>
      </c>
      <c r="D43714" s="2">
        <v>0</v>
      </c>
      <c r="E43714" s="2">
        <v>0</v>
      </c>
      <c r="F43714" s="2">
        <v>1.0854992497226499E-6</v>
      </c>
    </row>
    <row r="43715" spans="1:6" x14ac:dyDescent="0.25">
      <c r="A43715" s="1" t="str">
        <f t="shared" si="1486"/>
        <v>99999</v>
      </c>
      <c r="B43715" s="1" t="str">
        <f>"77875"</f>
        <v>77875</v>
      </c>
      <c r="C43715" s="2">
        <v>0</v>
      </c>
      <c r="D43715" s="2">
        <v>1.50570889527644E-6</v>
      </c>
      <c r="E43715" s="2">
        <v>0</v>
      </c>
      <c r="F43715" s="2">
        <v>9.8681749974786797E-8</v>
      </c>
    </row>
    <row r="43716" spans="1:6" x14ac:dyDescent="0.25">
      <c r="A43716" s="1" t="str">
        <f t="shared" si="1486"/>
        <v>99999</v>
      </c>
      <c r="B43716" s="1" t="str">
        <f>"38875"</f>
        <v>38875</v>
      </c>
      <c r="C43716" s="2">
        <v>0</v>
      </c>
      <c r="D43716" s="2">
        <v>1.50570889527644E-6</v>
      </c>
      <c r="E43716" s="2">
        <v>0</v>
      </c>
      <c r="F43716" s="2">
        <v>9.8681749974786797E-8</v>
      </c>
    </row>
    <row r="43717" spans="1:6" x14ac:dyDescent="0.25">
      <c r="A43717" s="1" t="str">
        <f t="shared" si="1486"/>
        <v>99999</v>
      </c>
      <c r="B43717" s="1" t="str">
        <f>"45720"</f>
        <v>45720</v>
      </c>
      <c r="C43717" s="2">
        <v>0</v>
      </c>
      <c r="D43717" s="2">
        <v>1.50570889527644E-6</v>
      </c>
      <c r="E43717" s="2">
        <v>0</v>
      </c>
      <c r="F43717" s="2">
        <v>9.8681749974786797E-8</v>
      </c>
    </row>
    <row r="43718" spans="1:6" x14ac:dyDescent="0.25">
      <c r="A43718" s="1" t="str">
        <f t="shared" ref="A43718:A43781" si="1487">"99999"</f>
        <v>99999</v>
      </c>
      <c r="B43718" s="1" t="str">
        <f>"54641"</f>
        <v>54641</v>
      </c>
      <c r="C43718" s="2">
        <v>0</v>
      </c>
      <c r="D43718" s="2">
        <v>0</v>
      </c>
      <c r="E43718" s="2">
        <v>4.3010567696482999E-6</v>
      </c>
      <c r="F43718" s="2">
        <v>9.8681749974786797E-8</v>
      </c>
    </row>
    <row r="43719" spans="1:6" x14ac:dyDescent="0.25">
      <c r="A43719" s="1" t="str">
        <f t="shared" si="1487"/>
        <v>99999</v>
      </c>
      <c r="B43719" s="1" t="str">
        <f>"04751"</f>
        <v>04751</v>
      </c>
      <c r="C43719" s="2">
        <v>0</v>
      </c>
      <c r="D43719" s="2">
        <v>1.50570889527644E-6</v>
      </c>
      <c r="E43719" s="2">
        <v>0</v>
      </c>
      <c r="F43719" s="2">
        <v>9.8681749974786797E-8</v>
      </c>
    </row>
    <row r="43720" spans="1:6" x14ac:dyDescent="0.25">
      <c r="A43720" s="1" t="str">
        <f t="shared" si="1487"/>
        <v>99999</v>
      </c>
      <c r="B43720" s="1" t="str">
        <f>"89314"</f>
        <v>89314</v>
      </c>
      <c r="C43720" s="2">
        <v>3.2478267167524802E-7</v>
      </c>
      <c r="D43720" s="2">
        <v>1.50570889527644E-6</v>
      </c>
      <c r="E43720" s="2">
        <v>0</v>
      </c>
      <c r="F43720" s="2">
        <v>3.9472699989914697E-7</v>
      </c>
    </row>
    <row r="43721" spans="1:6" x14ac:dyDescent="0.25">
      <c r="A43721" s="1" t="str">
        <f t="shared" si="1487"/>
        <v>99999</v>
      </c>
      <c r="B43721" s="1" t="str">
        <f>"44660"</f>
        <v>44660</v>
      </c>
      <c r="C43721" s="2">
        <v>0</v>
      </c>
      <c r="D43721" s="2">
        <v>0</v>
      </c>
      <c r="E43721" s="2">
        <v>4.3010567696482999E-6</v>
      </c>
      <c r="F43721" s="2">
        <v>9.8681749974786797E-8</v>
      </c>
    </row>
    <row r="43722" spans="1:6" x14ac:dyDescent="0.25">
      <c r="A43722" s="1" t="str">
        <f t="shared" si="1487"/>
        <v>99999</v>
      </c>
      <c r="B43722" s="1" t="str">
        <f>"62346"</f>
        <v>62346</v>
      </c>
      <c r="C43722" s="2">
        <v>3.2478267167524802E-7</v>
      </c>
      <c r="D43722" s="2">
        <v>0</v>
      </c>
      <c r="E43722" s="2">
        <v>0</v>
      </c>
      <c r="F43722" s="2">
        <v>2.9604524992435999E-7</v>
      </c>
    </row>
    <row r="43723" spans="1:6" x14ac:dyDescent="0.25">
      <c r="A43723" s="1" t="str">
        <f t="shared" si="1487"/>
        <v>99999</v>
      </c>
      <c r="B43723" s="1" t="str">
        <f>"42221"</f>
        <v>42221</v>
      </c>
      <c r="C43723" s="2">
        <v>0</v>
      </c>
      <c r="D43723" s="2">
        <v>0</v>
      </c>
      <c r="E43723" s="2">
        <v>4.3010567696482999E-6</v>
      </c>
      <c r="F43723" s="2">
        <v>9.8681749974786797E-8</v>
      </c>
    </row>
    <row r="43724" spans="1:6" x14ac:dyDescent="0.25">
      <c r="A43724" s="1" t="str">
        <f t="shared" si="1487"/>
        <v>99999</v>
      </c>
      <c r="B43724" s="1" t="str">
        <f>"81420"</f>
        <v>81420</v>
      </c>
      <c r="C43724" s="2">
        <v>0</v>
      </c>
      <c r="D43724" s="2">
        <v>0</v>
      </c>
      <c r="E43724" s="2">
        <v>4.3010567696482999E-6</v>
      </c>
      <c r="F43724" s="2">
        <v>9.8681749974786797E-8</v>
      </c>
    </row>
    <row r="43725" spans="1:6" x14ac:dyDescent="0.25">
      <c r="A43725" s="1" t="str">
        <f t="shared" si="1487"/>
        <v>99999</v>
      </c>
      <c r="B43725" s="1" t="str">
        <f>"47838"</f>
        <v>47838</v>
      </c>
      <c r="C43725" s="2">
        <v>1.08260890558416E-7</v>
      </c>
      <c r="D43725" s="2">
        <v>0</v>
      </c>
      <c r="E43725" s="2">
        <v>0</v>
      </c>
      <c r="F43725" s="2">
        <v>9.8681749974786797E-8</v>
      </c>
    </row>
    <row r="43726" spans="1:6" x14ac:dyDescent="0.25">
      <c r="A43726" s="1" t="str">
        <f t="shared" si="1487"/>
        <v>99999</v>
      </c>
      <c r="B43726" s="1" t="str">
        <f>"59724"</f>
        <v>59724</v>
      </c>
      <c r="C43726" s="2">
        <v>0</v>
      </c>
      <c r="D43726" s="2">
        <v>0</v>
      </c>
      <c r="E43726" s="2">
        <v>4.3010567696482999E-6</v>
      </c>
      <c r="F43726" s="2">
        <v>9.8681749974786797E-8</v>
      </c>
    </row>
    <row r="43727" spans="1:6" x14ac:dyDescent="0.25">
      <c r="A43727" s="1" t="str">
        <f t="shared" si="1487"/>
        <v>99999</v>
      </c>
      <c r="B43727" s="1" t="str">
        <f>"22472"</f>
        <v>22472</v>
      </c>
      <c r="C43727" s="2">
        <v>0</v>
      </c>
      <c r="D43727" s="2">
        <v>0</v>
      </c>
      <c r="E43727" s="2">
        <v>4.3010567696482999E-6</v>
      </c>
      <c r="F43727" s="2">
        <v>9.8681749974786797E-8</v>
      </c>
    </row>
    <row r="43728" spans="1:6" x14ac:dyDescent="0.25">
      <c r="A43728" s="1" t="str">
        <f t="shared" si="1487"/>
        <v>99999</v>
      </c>
      <c r="B43728" s="1" t="str">
        <f>"50544"</f>
        <v>50544</v>
      </c>
      <c r="C43728" s="2">
        <v>2.1652178111683201E-7</v>
      </c>
      <c r="D43728" s="2">
        <v>0</v>
      </c>
      <c r="E43728" s="2">
        <v>0</v>
      </c>
      <c r="F43728" s="2">
        <v>1.9736349994957301E-7</v>
      </c>
    </row>
    <row r="43729" spans="1:6" x14ac:dyDescent="0.25">
      <c r="A43729" s="1" t="str">
        <f t="shared" si="1487"/>
        <v>99999</v>
      </c>
      <c r="B43729" s="1" t="str">
        <f>"77614"</f>
        <v>77614</v>
      </c>
      <c r="C43729" s="2">
        <v>0</v>
      </c>
      <c r="D43729" s="2">
        <v>1.50570889527644E-6</v>
      </c>
      <c r="E43729" s="2">
        <v>0</v>
      </c>
      <c r="F43729" s="2">
        <v>9.8681749974786797E-8</v>
      </c>
    </row>
    <row r="43730" spans="1:6" x14ac:dyDescent="0.25">
      <c r="A43730" s="1" t="str">
        <f t="shared" si="1487"/>
        <v>99999</v>
      </c>
      <c r="B43730" s="1" t="str">
        <f>"86511"</f>
        <v>86511</v>
      </c>
      <c r="C43730" s="2">
        <v>0</v>
      </c>
      <c r="D43730" s="2">
        <v>1.50570889527644E-6</v>
      </c>
      <c r="E43730" s="2">
        <v>4.3010567696482999E-6</v>
      </c>
      <c r="F43730" s="2">
        <v>1.9736349994957301E-7</v>
      </c>
    </row>
    <row r="43731" spans="1:6" x14ac:dyDescent="0.25">
      <c r="A43731" s="1" t="str">
        <f t="shared" si="1487"/>
        <v>99999</v>
      </c>
      <c r="B43731" s="1" t="str">
        <f>"99555"</f>
        <v>99555</v>
      </c>
      <c r="C43731" s="2">
        <v>0</v>
      </c>
      <c r="D43731" s="2">
        <v>0</v>
      </c>
      <c r="E43731" s="2">
        <v>4.3010567696482999E-6</v>
      </c>
      <c r="F43731" s="2">
        <v>9.8681749974786797E-8</v>
      </c>
    </row>
    <row r="43732" spans="1:6" x14ac:dyDescent="0.25">
      <c r="A43732" s="1" t="str">
        <f t="shared" si="1487"/>
        <v>99999</v>
      </c>
      <c r="B43732" s="1" t="str">
        <f>"45614"</f>
        <v>45614</v>
      </c>
      <c r="C43732" s="2">
        <v>2.1652178111683201E-7</v>
      </c>
      <c r="D43732" s="2">
        <v>0</v>
      </c>
      <c r="E43732" s="2">
        <v>0</v>
      </c>
      <c r="F43732" s="2">
        <v>1.9736349994957301E-7</v>
      </c>
    </row>
    <row r="43733" spans="1:6" x14ac:dyDescent="0.25">
      <c r="A43733" s="1" t="str">
        <f t="shared" si="1487"/>
        <v>99999</v>
      </c>
      <c r="B43733" s="1" t="str">
        <f>"54976"</f>
        <v>54976</v>
      </c>
      <c r="C43733" s="2">
        <v>0</v>
      </c>
      <c r="D43733" s="2">
        <v>0</v>
      </c>
      <c r="E43733" s="2">
        <v>4.3010567696482999E-6</v>
      </c>
      <c r="F43733" s="2">
        <v>9.8681749974786797E-8</v>
      </c>
    </row>
    <row r="43734" spans="1:6" x14ac:dyDescent="0.25">
      <c r="A43734" s="1" t="str">
        <f t="shared" si="1487"/>
        <v>99999</v>
      </c>
      <c r="B43734" s="1" t="str">
        <f>"12452"</f>
        <v>12452</v>
      </c>
      <c r="C43734" s="2">
        <v>0</v>
      </c>
      <c r="D43734" s="2">
        <v>0</v>
      </c>
      <c r="E43734" s="2">
        <v>4.3010567696482999E-6</v>
      </c>
      <c r="F43734" s="2">
        <v>9.8681749974786797E-8</v>
      </c>
    </row>
    <row r="43735" spans="1:6" x14ac:dyDescent="0.25">
      <c r="A43735" s="1" t="str">
        <f t="shared" si="1487"/>
        <v>99999</v>
      </c>
      <c r="B43735" s="1" t="str">
        <f>"71339"</f>
        <v>71339</v>
      </c>
      <c r="C43735" s="2">
        <v>0</v>
      </c>
      <c r="D43735" s="2">
        <v>0</v>
      </c>
      <c r="E43735" s="2">
        <v>4.3010567696482999E-6</v>
      </c>
      <c r="F43735" s="2">
        <v>9.8681749974786797E-8</v>
      </c>
    </row>
    <row r="43736" spans="1:6" x14ac:dyDescent="0.25">
      <c r="A43736" s="1" t="str">
        <f t="shared" si="1487"/>
        <v>99999</v>
      </c>
      <c r="B43736" s="1" t="str">
        <f>"76468"</f>
        <v>76468</v>
      </c>
      <c r="C43736" s="2">
        <v>1.08260890558416E-7</v>
      </c>
      <c r="D43736" s="2">
        <v>0</v>
      </c>
      <c r="E43736" s="2">
        <v>0</v>
      </c>
      <c r="F43736" s="2">
        <v>9.8681749974786797E-8</v>
      </c>
    </row>
    <row r="43737" spans="1:6" x14ac:dyDescent="0.25">
      <c r="A43737" s="1" t="str">
        <f t="shared" si="1487"/>
        <v>99999</v>
      </c>
      <c r="B43737" s="1" t="str">
        <f>"83347"</f>
        <v>83347</v>
      </c>
      <c r="C43737" s="2">
        <v>3.3560876073109E-6</v>
      </c>
      <c r="D43737" s="2">
        <v>3.01141779055288E-6</v>
      </c>
      <c r="E43737" s="2">
        <v>0</v>
      </c>
      <c r="F43737" s="2">
        <v>3.2564977491679601E-6</v>
      </c>
    </row>
    <row r="43738" spans="1:6" x14ac:dyDescent="0.25">
      <c r="A43738" s="1" t="str">
        <f t="shared" si="1487"/>
        <v>99999</v>
      </c>
      <c r="B43738" s="1" t="str">
        <f>"12724"</f>
        <v>12724</v>
      </c>
      <c r="C43738" s="2">
        <v>3.2478267167524802E-7</v>
      </c>
      <c r="D43738" s="2">
        <v>0</v>
      </c>
      <c r="E43738" s="2">
        <v>4.3010567696482999E-6</v>
      </c>
      <c r="F43738" s="2">
        <v>3.9472699989914697E-7</v>
      </c>
    </row>
    <row r="43739" spans="1:6" x14ac:dyDescent="0.25">
      <c r="A43739" s="1" t="str">
        <f t="shared" si="1487"/>
        <v>99999</v>
      </c>
      <c r="B43739" s="1" t="str">
        <f>"24843"</f>
        <v>24843</v>
      </c>
      <c r="C43739" s="2">
        <v>2.1652178111683201E-7</v>
      </c>
      <c r="D43739" s="2">
        <v>1.50570889527644E-6</v>
      </c>
      <c r="E43739" s="2">
        <v>0</v>
      </c>
      <c r="F43739" s="2">
        <v>2.9604524992435999E-7</v>
      </c>
    </row>
    <row r="43740" spans="1:6" x14ac:dyDescent="0.25">
      <c r="A43740" s="1" t="str">
        <f t="shared" si="1487"/>
        <v>99999</v>
      </c>
      <c r="B43740" s="1" t="str">
        <f>"28629"</f>
        <v>28629</v>
      </c>
      <c r="C43740" s="2">
        <v>2.49000048284357E-6</v>
      </c>
      <c r="D43740" s="2">
        <v>1.50570889527644E-6</v>
      </c>
      <c r="E43740" s="2">
        <v>4.3010567696482999E-6</v>
      </c>
      <c r="F43740" s="2">
        <v>2.4670437493696702E-6</v>
      </c>
    </row>
    <row r="43741" spans="1:6" x14ac:dyDescent="0.25">
      <c r="A43741" s="1" t="str">
        <f t="shared" si="1487"/>
        <v>99999</v>
      </c>
      <c r="B43741" s="1" t="str">
        <f>"45864"</f>
        <v>45864</v>
      </c>
      <c r="C43741" s="2">
        <v>3.0313049356356498E-6</v>
      </c>
      <c r="D43741" s="2">
        <v>1.50570889527644E-6</v>
      </c>
      <c r="E43741" s="2">
        <v>0</v>
      </c>
      <c r="F43741" s="2">
        <v>2.8617707492688101E-6</v>
      </c>
    </row>
    <row r="43742" spans="1:6" x14ac:dyDescent="0.25">
      <c r="A43742" s="1" t="str">
        <f t="shared" si="1487"/>
        <v>99999</v>
      </c>
      <c r="B43742" s="1" t="str">
        <f>"49668"</f>
        <v>49668</v>
      </c>
      <c r="C43742" s="2">
        <v>3.46434849786931E-6</v>
      </c>
      <c r="D43742" s="2">
        <v>3.01141779055288E-6</v>
      </c>
      <c r="E43742" s="2">
        <v>0</v>
      </c>
      <c r="F43742" s="2">
        <v>3.35517949914275E-6</v>
      </c>
    </row>
    <row r="43743" spans="1:6" x14ac:dyDescent="0.25">
      <c r="A43743" s="1" t="str">
        <f t="shared" si="1487"/>
        <v>99999</v>
      </c>
      <c r="B43743" s="1" t="str">
        <f>"58795"</f>
        <v>58795</v>
      </c>
      <c r="C43743" s="2">
        <v>3.8973920601029803E-6</v>
      </c>
      <c r="D43743" s="2">
        <v>0</v>
      </c>
      <c r="E43743" s="2">
        <v>0</v>
      </c>
      <c r="F43743" s="2">
        <v>3.5525429990923199E-6</v>
      </c>
    </row>
    <row r="43744" spans="1:6" x14ac:dyDescent="0.25">
      <c r="A43744" s="1" t="str">
        <f t="shared" si="1487"/>
        <v>99999</v>
      </c>
      <c r="B43744" s="1" t="str">
        <f>"62414"</f>
        <v>62414</v>
      </c>
      <c r="C43744" s="2">
        <v>3.46434849786931E-6</v>
      </c>
      <c r="D43744" s="2">
        <v>3.01141779055288E-6</v>
      </c>
      <c r="E43744" s="2">
        <v>0</v>
      </c>
      <c r="F43744" s="2">
        <v>3.35517949914275E-6</v>
      </c>
    </row>
    <row r="43745" spans="1:6" x14ac:dyDescent="0.25">
      <c r="A43745" s="1" t="str">
        <f t="shared" si="1487"/>
        <v>99999</v>
      </c>
      <c r="B43745" s="1" t="str">
        <f>"71233"</f>
        <v>71233</v>
      </c>
      <c r="C43745" s="2">
        <v>1.08260890558416E-7</v>
      </c>
      <c r="D43745" s="2">
        <v>0</v>
      </c>
      <c r="E43745" s="2">
        <v>4.3010567696482999E-6</v>
      </c>
      <c r="F43745" s="2">
        <v>1.9736349994957301E-7</v>
      </c>
    </row>
    <row r="43746" spans="1:6" x14ac:dyDescent="0.25">
      <c r="A43746" s="1" t="str">
        <f t="shared" si="1487"/>
        <v>99999</v>
      </c>
      <c r="B43746" s="1" t="str">
        <f>"74871"</f>
        <v>74871</v>
      </c>
      <c r="C43746" s="2">
        <v>4.5469574034534697E-6</v>
      </c>
      <c r="D43746" s="2">
        <v>0</v>
      </c>
      <c r="E43746" s="2">
        <v>0</v>
      </c>
      <c r="F43746" s="2">
        <v>4.1446334989410403E-6</v>
      </c>
    </row>
    <row r="43747" spans="1:6" x14ac:dyDescent="0.25">
      <c r="A43747" s="1" t="str">
        <f t="shared" si="1487"/>
        <v>99999</v>
      </c>
      <c r="B43747" s="1" t="str">
        <f>"83342"</f>
        <v>83342</v>
      </c>
      <c r="C43747" s="2">
        <v>8.6608712446732898E-7</v>
      </c>
      <c r="D43747" s="2">
        <v>0</v>
      </c>
      <c r="E43747" s="2">
        <v>0</v>
      </c>
      <c r="F43747" s="2">
        <v>7.8945399979829395E-7</v>
      </c>
    </row>
    <row r="43748" spans="1:6" x14ac:dyDescent="0.25">
      <c r="A43748" s="1" t="str">
        <f t="shared" si="1487"/>
        <v>99999</v>
      </c>
      <c r="B43748" s="1" t="str">
        <f>"59761"</f>
        <v>59761</v>
      </c>
      <c r="C43748" s="2">
        <v>2.49000048284357E-6</v>
      </c>
      <c r="D43748" s="2">
        <v>0</v>
      </c>
      <c r="E43748" s="2">
        <v>8.6021135392965999E-6</v>
      </c>
      <c r="F43748" s="2">
        <v>2.4670437493696702E-6</v>
      </c>
    </row>
    <row r="43749" spans="1:6" x14ac:dyDescent="0.25">
      <c r="A43749" s="1" t="str">
        <f t="shared" si="1487"/>
        <v>99999</v>
      </c>
      <c r="B43749" s="1" t="str">
        <f>"98834"</f>
        <v>98834</v>
      </c>
      <c r="C43749" s="2">
        <v>2.0569569206099001E-6</v>
      </c>
      <c r="D43749" s="2">
        <v>3.01141779055288E-6</v>
      </c>
      <c r="E43749" s="2">
        <v>8.6021135392965999E-6</v>
      </c>
      <c r="F43749" s="2">
        <v>2.2696802494200901E-6</v>
      </c>
    </row>
    <row r="43750" spans="1:6" x14ac:dyDescent="0.25">
      <c r="A43750" s="1" t="str">
        <f t="shared" si="1487"/>
        <v>99999</v>
      </c>
      <c r="B43750" s="1" t="str">
        <f>"99631"</f>
        <v>99631</v>
      </c>
      <c r="C43750" s="2">
        <v>1.62391335837624E-6</v>
      </c>
      <c r="D43750" s="2">
        <v>1.50570889527644E-6</v>
      </c>
      <c r="E43750" s="2">
        <v>4.3010567696482999E-6</v>
      </c>
      <c r="F43750" s="2">
        <v>1.6775897495713699E-6</v>
      </c>
    </row>
    <row r="43751" spans="1:6" x14ac:dyDescent="0.25">
      <c r="A43751" s="1" t="str">
        <f t="shared" si="1487"/>
        <v>99999</v>
      </c>
      <c r="B43751" s="1" t="str">
        <f>"24894"</f>
        <v>24894</v>
      </c>
      <c r="C43751" s="2">
        <v>2.1652178111683201E-7</v>
      </c>
      <c r="D43751" s="2">
        <v>0</v>
      </c>
      <c r="E43751" s="2">
        <v>4.3010567696482999E-6</v>
      </c>
      <c r="F43751" s="2">
        <v>2.9604524992435999E-7</v>
      </c>
    </row>
    <row r="43752" spans="1:6" x14ac:dyDescent="0.25">
      <c r="A43752" s="1" t="str">
        <f t="shared" si="1487"/>
        <v>99999</v>
      </c>
      <c r="B43752" s="1" t="str">
        <f>"32356"</f>
        <v>32356</v>
      </c>
      <c r="C43752" s="2">
        <v>0</v>
      </c>
      <c r="D43752" s="2">
        <v>0</v>
      </c>
      <c r="E43752" s="2">
        <v>4.3010567696482999E-6</v>
      </c>
      <c r="F43752" s="2">
        <v>9.8681749974786797E-8</v>
      </c>
    </row>
    <row r="43753" spans="1:6" x14ac:dyDescent="0.25">
      <c r="A43753" s="1" t="str">
        <f t="shared" si="1487"/>
        <v>99999</v>
      </c>
      <c r="B43753" s="1" t="str">
        <f>"45101"</f>
        <v>45101</v>
      </c>
      <c r="C43753" s="2">
        <v>2.1652178111683201E-7</v>
      </c>
      <c r="D43753" s="2">
        <v>0</v>
      </c>
      <c r="E43753" s="2">
        <v>0</v>
      </c>
      <c r="F43753" s="2">
        <v>1.9736349994957301E-7</v>
      </c>
    </row>
    <row r="43754" spans="1:6" x14ac:dyDescent="0.25">
      <c r="A43754" s="1" t="str">
        <f t="shared" si="1487"/>
        <v>99999</v>
      </c>
      <c r="B43754" s="1" t="str">
        <f>"56326"</f>
        <v>56326</v>
      </c>
      <c r="C43754" s="2">
        <v>4.3304356223366401E-7</v>
      </c>
      <c r="D43754" s="2">
        <v>0</v>
      </c>
      <c r="E43754" s="2">
        <v>0</v>
      </c>
      <c r="F43754" s="2">
        <v>3.9472699989914697E-7</v>
      </c>
    </row>
    <row r="43755" spans="1:6" x14ac:dyDescent="0.25">
      <c r="A43755" s="1" t="str">
        <f t="shared" si="1487"/>
        <v>99999</v>
      </c>
      <c r="B43755" s="1" t="str">
        <f>"14039"</f>
        <v>14039</v>
      </c>
      <c r="C43755" s="2">
        <v>5.8460880901544696E-6</v>
      </c>
      <c r="D43755" s="2">
        <v>4.5171266858293203E-6</v>
      </c>
      <c r="E43755" s="2">
        <v>4.3010567696482999E-6</v>
      </c>
      <c r="F43755" s="2">
        <v>5.7235414985376303E-6</v>
      </c>
    </row>
    <row r="43756" spans="1:6" x14ac:dyDescent="0.25">
      <c r="A43756" s="1" t="str">
        <f t="shared" si="1487"/>
        <v>99999</v>
      </c>
      <c r="B43756" s="1" t="str">
        <f>"28501"</f>
        <v>28501</v>
      </c>
      <c r="C43756" s="2">
        <v>2.7065222639604001E-6</v>
      </c>
      <c r="D43756" s="2">
        <v>1.50570889527644E-6</v>
      </c>
      <c r="E43756" s="2">
        <v>0</v>
      </c>
      <c r="F43756" s="2">
        <v>2.5657254993444499E-6</v>
      </c>
    </row>
    <row r="43757" spans="1:6" x14ac:dyDescent="0.25">
      <c r="A43757" s="1" t="str">
        <f t="shared" si="1487"/>
        <v>99999</v>
      </c>
      <c r="B43757" s="1" t="str">
        <f>"42069"</f>
        <v>42069</v>
      </c>
      <c r="C43757" s="2">
        <v>1.4073915772594101E-6</v>
      </c>
      <c r="D43757" s="2">
        <v>1.50570889527644E-6</v>
      </c>
      <c r="E43757" s="2">
        <v>0</v>
      </c>
      <c r="F43757" s="2">
        <v>1.3815444996470099E-6</v>
      </c>
    </row>
    <row r="43758" spans="1:6" x14ac:dyDescent="0.25">
      <c r="A43758" s="1" t="str">
        <f t="shared" si="1487"/>
        <v>99999</v>
      </c>
      <c r="B43758" s="1" t="str">
        <f>"57346"</f>
        <v>57346</v>
      </c>
      <c r="C43758" s="2">
        <v>3.3560876073109E-6</v>
      </c>
      <c r="D43758" s="2">
        <v>3.01141779055288E-6</v>
      </c>
      <c r="E43758" s="2">
        <v>4.3010567696482999E-6</v>
      </c>
      <c r="F43758" s="2">
        <v>3.35517949914275E-6</v>
      </c>
    </row>
    <row r="43759" spans="1:6" x14ac:dyDescent="0.25">
      <c r="A43759" s="1" t="str">
        <f t="shared" si="1487"/>
        <v>99999</v>
      </c>
      <c r="B43759" s="1" t="str">
        <f>"04611"</f>
        <v>04611</v>
      </c>
      <c r="C43759" s="2">
        <v>8.6608712446732898E-7</v>
      </c>
      <c r="D43759" s="2">
        <v>0</v>
      </c>
      <c r="E43759" s="2">
        <v>4.3010567696482999E-6</v>
      </c>
      <c r="F43759" s="2">
        <v>8.8813574977308104E-7</v>
      </c>
    </row>
    <row r="43760" spans="1:6" x14ac:dyDescent="0.25">
      <c r="A43760" s="1" t="str">
        <f t="shared" si="1487"/>
        <v>99999</v>
      </c>
      <c r="B43760" s="1" t="str">
        <f>"40142"</f>
        <v>40142</v>
      </c>
      <c r="C43760" s="2">
        <v>3.5726093884277301E-6</v>
      </c>
      <c r="D43760" s="2">
        <v>0</v>
      </c>
      <c r="E43760" s="2">
        <v>0</v>
      </c>
      <c r="F43760" s="2">
        <v>3.2564977491679601E-6</v>
      </c>
    </row>
    <row r="43761" spans="1:6" x14ac:dyDescent="0.25">
      <c r="A43761" s="1" t="str">
        <f t="shared" si="1487"/>
        <v>99999</v>
      </c>
      <c r="B43761" s="1" t="str">
        <f>"99607"</f>
        <v>99607</v>
      </c>
      <c r="C43761" s="2">
        <v>0</v>
      </c>
      <c r="D43761" s="2">
        <v>0</v>
      </c>
      <c r="E43761" s="2">
        <v>4.3010567696482999E-6</v>
      </c>
      <c r="F43761" s="2">
        <v>9.8681749974786797E-8</v>
      </c>
    </row>
    <row r="43762" spans="1:6" x14ac:dyDescent="0.25">
      <c r="A43762" s="1" t="str">
        <f t="shared" si="1487"/>
        <v>99999</v>
      </c>
      <c r="B43762" s="1" t="str">
        <f>"50165"</f>
        <v>50165</v>
      </c>
      <c r="C43762" s="2">
        <v>2.59826137340198E-6</v>
      </c>
      <c r="D43762" s="2">
        <v>6.0228355811057601E-6</v>
      </c>
      <c r="E43762" s="2">
        <v>8.6021135392965999E-6</v>
      </c>
      <c r="F43762" s="2">
        <v>2.9604524992435999E-6</v>
      </c>
    </row>
    <row r="43763" spans="1:6" x14ac:dyDescent="0.25">
      <c r="A43763" s="1" t="str">
        <f t="shared" si="1487"/>
        <v>99999</v>
      </c>
      <c r="B43763" s="1" t="str">
        <f>"56592"</f>
        <v>56592</v>
      </c>
      <c r="C43763" s="2">
        <v>8.6608712446732898E-7</v>
      </c>
      <c r="D43763" s="2">
        <v>0</v>
      </c>
      <c r="E43763" s="2">
        <v>0</v>
      </c>
      <c r="F43763" s="2">
        <v>7.8945399979829395E-7</v>
      </c>
    </row>
    <row r="43764" spans="1:6" x14ac:dyDescent="0.25">
      <c r="A43764" s="1" t="str">
        <f t="shared" si="1487"/>
        <v>99999</v>
      </c>
      <c r="B43764" s="1" t="str">
        <f>"61810"</f>
        <v>61810</v>
      </c>
      <c r="C43764" s="2">
        <v>4.3304356223366401E-7</v>
      </c>
      <c r="D43764" s="2">
        <v>0</v>
      </c>
      <c r="E43764" s="2">
        <v>0</v>
      </c>
      <c r="F43764" s="2">
        <v>3.9472699989914697E-7</v>
      </c>
    </row>
    <row r="43765" spans="1:6" x14ac:dyDescent="0.25">
      <c r="A43765" s="1" t="str">
        <f t="shared" si="1487"/>
        <v>99999</v>
      </c>
      <c r="B43765" s="1" t="str">
        <f>"74450"</f>
        <v>74450</v>
      </c>
      <c r="C43765" s="2">
        <v>1.08260890558416E-7</v>
      </c>
      <c r="D43765" s="2">
        <v>0</v>
      </c>
      <c r="E43765" s="2">
        <v>0</v>
      </c>
      <c r="F43765" s="2">
        <v>9.8681749974786797E-8</v>
      </c>
    </row>
    <row r="43766" spans="1:6" x14ac:dyDescent="0.25">
      <c r="A43766" s="1" t="str">
        <f t="shared" si="1487"/>
        <v>99999</v>
      </c>
      <c r="B43766" s="1" t="str">
        <f>"99659"</f>
        <v>99659</v>
      </c>
      <c r="C43766" s="2">
        <v>0</v>
      </c>
      <c r="D43766" s="2">
        <v>1.50570889527644E-6</v>
      </c>
      <c r="E43766" s="2">
        <v>4.3010567696482999E-6</v>
      </c>
      <c r="F43766" s="2">
        <v>1.9736349994957301E-7</v>
      </c>
    </row>
    <row r="43767" spans="1:6" x14ac:dyDescent="0.25">
      <c r="A43767" s="1" t="str">
        <f t="shared" si="1487"/>
        <v>99999</v>
      </c>
      <c r="B43767" s="1" t="str">
        <f>"03832"</f>
        <v>03832</v>
      </c>
      <c r="C43767" s="2">
        <v>3.2478267167524802E-7</v>
      </c>
      <c r="D43767" s="2">
        <v>0</v>
      </c>
      <c r="E43767" s="2">
        <v>4.3010567696482999E-6</v>
      </c>
      <c r="F43767" s="2">
        <v>3.9472699989914697E-7</v>
      </c>
    </row>
    <row r="43768" spans="1:6" x14ac:dyDescent="0.25">
      <c r="A43768" s="1" t="str">
        <f t="shared" si="1487"/>
        <v>99999</v>
      </c>
      <c r="B43768" s="1" t="str">
        <f>"05647"</f>
        <v>05647</v>
      </c>
      <c r="C43768" s="2">
        <v>3.2478267167524802E-7</v>
      </c>
      <c r="D43768" s="2">
        <v>0</v>
      </c>
      <c r="E43768" s="2">
        <v>0</v>
      </c>
      <c r="F43768" s="2">
        <v>2.9604524992435999E-7</v>
      </c>
    </row>
    <row r="43769" spans="1:6" x14ac:dyDescent="0.25">
      <c r="A43769" s="1" t="str">
        <f t="shared" si="1487"/>
        <v>99999</v>
      </c>
      <c r="B43769" s="1" t="str">
        <f>"46783"</f>
        <v>46783</v>
      </c>
      <c r="C43769" s="2">
        <v>4.2221747317782301E-6</v>
      </c>
      <c r="D43769" s="2">
        <v>0</v>
      </c>
      <c r="E43769" s="2">
        <v>8.6021135392965999E-6</v>
      </c>
      <c r="F43769" s="2">
        <v>4.0459517489662501E-6</v>
      </c>
    </row>
    <row r="43770" spans="1:6" x14ac:dyDescent="0.25">
      <c r="A43770" s="1" t="str">
        <f t="shared" si="1487"/>
        <v>99999</v>
      </c>
      <c r="B43770" s="1" t="str">
        <f>"81223"</f>
        <v>81223</v>
      </c>
      <c r="C43770" s="2">
        <v>8.6608712446732898E-7</v>
      </c>
      <c r="D43770" s="2">
        <v>0</v>
      </c>
      <c r="E43770" s="2">
        <v>0</v>
      </c>
      <c r="F43770" s="2">
        <v>7.8945399979829395E-7</v>
      </c>
    </row>
    <row r="43771" spans="1:6" x14ac:dyDescent="0.25">
      <c r="A43771" s="1" t="str">
        <f t="shared" si="1487"/>
        <v>99999</v>
      </c>
      <c r="B43771" s="1" t="str">
        <f>"55052"</f>
        <v>55052</v>
      </c>
      <c r="C43771" s="2">
        <v>1.84043513949307E-6</v>
      </c>
      <c r="D43771" s="2">
        <v>0</v>
      </c>
      <c r="E43771" s="2">
        <v>0</v>
      </c>
      <c r="F43771" s="2">
        <v>1.6775897495713699E-6</v>
      </c>
    </row>
    <row r="43772" spans="1:6" x14ac:dyDescent="0.25">
      <c r="A43772" s="1" t="str">
        <f t="shared" si="1487"/>
        <v>99999</v>
      </c>
      <c r="B43772" s="1" t="str">
        <f>"71831"</f>
        <v>71831</v>
      </c>
      <c r="C43772" s="2">
        <v>1.62391335837624E-6</v>
      </c>
      <c r="D43772" s="2">
        <v>0</v>
      </c>
      <c r="E43772" s="2">
        <v>0</v>
      </c>
      <c r="F43772" s="2">
        <v>1.4802262496218E-6</v>
      </c>
    </row>
    <row r="43773" spans="1:6" x14ac:dyDescent="0.25">
      <c r="A43773" s="1" t="str">
        <f t="shared" si="1487"/>
        <v>99999</v>
      </c>
      <c r="B43773" s="1" t="str">
        <f>"79730"</f>
        <v>79730</v>
      </c>
      <c r="C43773" s="2">
        <v>0</v>
      </c>
      <c r="D43773" s="2">
        <v>1.50570889527644E-6</v>
      </c>
      <c r="E43773" s="2">
        <v>0</v>
      </c>
      <c r="F43773" s="2">
        <v>9.8681749974786797E-8</v>
      </c>
    </row>
    <row r="43774" spans="1:6" x14ac:dyDescent="0.25">
      <c r="A43774" s="1" t="str">
        <f t="shared" si="1487"/>
        <v>99999</v>
      </c>
      <c r="B43774" s="1" t="str">
        <f>"89420"</f>
        <v>89420</v>
      </c>
      <c r="C43774" s="2">
        <v>2.1652178111683201E-7</v>
      </c>
      <c r="D43774" s="2">
        <v>3.01141779055288E-6</v>
      </c>
      <c r="E43774" s="2">
        <v>4.3010567696482999E-6</v>
      </c>
      <c r="F43774" s="2">
        <v>4.9340874987393396E-7</v>
      </c>
    </row>
    <row r="43775" spans="1:6" x14ac:dyDescent="0.25">
      <c r="A43775" s="1" t="str">
        <f t="shared" si="1487"/>
        <v>99999</v>
      </c>
      <c r="B43775" s="1" t="str">
        <f>"14083"</f>
        <v>14083</v>
      </c>
      <c r="C43775" s="2">
        <v>3.3560876073109E-6</v>
      </c>
      <c r="D43775" s="2">
        <v>0</v>
      </c>
      <c r="E43775" s="2">
        <v>4.3010567696482999E-6</v>
      </c>
      <c r="F43775" s="2">
        <v>3.1578159991931699E-6</v>
      </c>
    </row>
    <row r="43776" spans="1:6" x14ac:dyDescent="0.25">
      <c r="A43776" s="1" t="str">
        <f t="shared" si="1487"/>
        <v>99999</v>
      </c>
      <c r="B43776" s="1" t="str">
        <f>"38929"</f>
        <v>38929</v>
      </c>
      <c r="C43776" s="2">
        <v>3.2478267167524802E-7</v>
      </c>
      <c r="D43776" s="2">
        <v>0</v>
      </c>
      <c r="E43776" s="2">
        <v>0</v>
      </c>
      <c r="F43776" s="2">
        <v>2.9604524992435999E-7</v>
      </c>
    </row>
    <row r="43777" spans="1:6" x14ac:dyDescent="0.25">
      <c r="A43777" s="1" t="str">
        <f t="shared" si="1487"/>
        <v>99999</v>
      </c>
      <c r="B43777" s="1" t="str">
        <f>"54614"</f>
        <v>54614</v>
      </c>
      <c r="C43777" s="2">
        <v>6.49565343350497E-7</v>
      </c>
      <c r="D43777" s="2">
        <v>0</v>
      </c>
      <c r="E43777" s="2">
        <v>0</v>
      </c>
      <c r="F43777" s="2">
        <v>5.9209049984871999E-7</v>
      </c>
    </row>
    <row r="43778" spans="1:6" x14ac:dyDescent="0.25">
      <c r="A43778" s="1" t="str">
        <f t="shared" si="1487"/>
        <v>99999</v>
      </c>
      <c r="B43778" s="1" t="str">
        <f>"60949"</f>
        <v>60949</v>
      </c>
      <c r="C43778" s="2">
        <v>1.1908697961425701E-6</v>
      </c>
      <c r="D43778" s="2">
        <v>0</v>
      </c>
      <c r="E43778" s="2">
        <v>4.3010567696482999E-6</v>
      </c>
      <c r="F43778" s="2">
        <v>1.18418099969744E-6</v>
      </c>
    </row>
    <row r="43779" spans="1:6" x14ac:dyDescent="0.25">
      <c r="A43779" s="1" t="str">
        <f t="shared" si="1487"/>
        <v>99999</v>
      </c>
      <c r="B43779" s="1" t="str">
        <f>"88433"</f>
        <v>88433</v>
      </c>
      <c r="C43779" s="2">
        <v>0</v>
      </c>
      <c r="D43779" s="2">
        <v>0</v>
      </c>
      <c r="E43779" s="2">
        <v>4.3010567696482999E-6</v>
      </c>
      <c r="F43779" s="2">
        <v>9.8681749974786797E-8</v>
      </c>
    </row>
    <row r="43780" spans="1:6" x14ac:dyDescent="0.25">
      <c r="A43780" s="1" t="str">
        <f t="shared" si="1487"/>
        <v>99999</v>
      </c>
      <c r="B43780" s="1" t="str">
        <f>"59745"</f>
        <v>59745</v>
      </c>
      <c r="C43780" s="2">
        <v>1.08260890558416E-7</v>
      </c>
      <c r="D43780" s="2">
        <v>0</v>
      </c>
      <c r="E43780" s="2">
        <v>4.3010567696482999E-6</v>
      </c>
      <c r="F43780" s="2">
        <v>1.9736349994957301E-7</v>
      </c>
    </row>
    <row r="43781" spans="1:6" x14ac:dyDescent="0.25">
      <c r="A43781" s="1" t="str">
        <f t="shared" si="1487"/>
        <v>99999</v>
      </c>
      <c r="B43781" s="1" t="str">
        <f>"72479"</f>
        <v>72479</v>
      </c>
      <c r="C43781" s="2">
        <v>8.6608712446732898E-7</v>
      </c>
      <c r="D43781" s="2">
        <v>0</v>
      </c>
      <c r="E43781" s="2">
        <v>0</v>
      </c>
      <c r="F43781" s="2">
        <v>7.8945399979829395E-7</v>
      </c>
    </row>
    <row r="43782" spans="1:6" x14ac:dyDescent="0.25">
      <c r="A43782" s="1" t="str">
        <f t="shared" ref="A43782:A43845" si="1488">"99999"</f>
        <v>99999</v>
      </c>
      <c r="B43782" s="1" t="str">
        <f>"86514"</f>
        <v>86514</v>
      </c>
      <c r="C43782" s="2">
        <v>1.25582633047762E-5</v>
      </c>
      <c r="D43782" s="2">
        <v>6.0228355811057601E-6</v>
      </c>
      <c r="E43782" s="2">
        <v>4.3010567696482999E-6</v>
      </c>
      <c r="F43782" s="2">
        <v>1.19404917469492E-5</v>
      </c>
    </row>
    <row r="43783" spans="1:6" x14ac:dyDescent="0.25">
      <c r="A43783" s="1" t="str">
        <f t="shared" si="1488"/>
        <v>99999</v>
      </c>
      <c r="B43783" s="1" t="str">
        <f>"56010"</f>
        <v>56010</v>
      </c>
      <c r="C43783" s="2">
        <v>1.08260890558416E-7</v>
      </c>
      <c r="D43783" s="2">
        <v>0</v>
      </c>
      <c r="E43783" s="2">
        <v>0</v>
      </c>
      <c r="F43783" s="2">
        <v>9.8681749974786797E-8</v>
      </c>
    </row>
    <row r="43784" spans="1:6" x14ac:dyDescent="0.25">
      <c r="A43784" s="1" t="str">
        <f t="shared" si="1488"/>
        <v>99999</v>
      </c>
      <c r="B43784" s="1" t="str">
        <f>"60941"</f>
        <v>60941</v>
      </c>
      <c r="C43784" s="2">
        <v>2.1652178111683198E-6</v>
      </c>
      <c r="D43784" s="2">
        <v>0</v>
      </c>
      <c r="E43784" s="2">
        <v>6.0214794775076199E-5</v>
      </c>
      <c r="F43784" s="2">
        <v>3.35517949914275E-6</v>
      </c>
    </row>
    <row r="43785" spans="1:6" x14ac:dyDescent="0.25">
      <c r="A43785" s="1" t="str">
        <f t="shared" si="1488"/>
        <v>99999</v>
      </c>
      <c r="B43785" s="1" t="str">
        <f>"99648"</f>
        <v>99648</v>
      </c>
      <c r="C43785" s="2">
        <v>0</v>
      </c>
      <c r="D43785" s="2">
        <v>0</v>
      </c>
      <c r="E43785" s="2">
        <v>4.3010567696482999E-6</v>
      </c>
      <c r="F43785" s="2">
        <v>9.8681749974786797E-8</v>
      </c>
    </row>
    <row r="43786" spans="1:6" x14ac:dyDescent="0.25">
      <c r="A43786" s="1" t="str">
        <f t="shared" si="1488"/>
        <v>99999</v>
      </c>
      <c r="B43786" s="1" t="str">
        <f>"53962"</f>
        <v>53962</v>
      </c>
      <c r="C43786" s="2">
        <v>2.49000048284357E-6</v>
      </c>
      <c r="D43786" s="2">
        <v>0</v>
      </c>
      <c r="E43786" s="2">
        <v>1.29031703089449E-5</v>
      </c>
      <c r="F43786" s="2">
        <v>2.5657254993444499E-6</v>
      </c>
    </row>
    <row r="43787" spans="1:6" x14ac:dyDescent="0.25">
      <c r="A43787" s="1" t="str">
        <f t="shared" si="1488"/>
        <v>99999</v>
      </c>
      <c r="B43787" s="1" t="str">
        <f>"59716"</f>
        <v>59716</v>
      </c>
      <c r="C43787" s="2">
        <v>1.29913068670099E-6</v>
      </c>
      <c r="D43787" s="2">
        <v>0</v>
      </c>
      <c r="E43787" s="2">
        <v>1.29031703089449E-5</v>
      </c>
      <c r="F43787" s="2">
        <v>1.4802262496218E-6</v>
      </c>
    </row>
    <row r="43788" spans="1:6" x14ac:dyDescent="0.25">
      <c r="A43788" s="1" t="str">
        <f t="shared" si="1488"/>
        <v>99999</v>
      </c>
      <c r="B43788" s="1" t="str">
        <f>"81426"</f>
        <v>81426</v>
      </c>
      <c r="C43788" s="2">
        <v>0</v>
      </c>
      <c r="D43788" s="2">
        <v>0</v>
      </c>
      <c r="E43788" s="2">
        <v>4.3010567696482999E-6</v>
      </c>
      <c r="F43788" s="2">
        <v>9.8681749974786797E-8</v>
      </c>
    </row>
    <row r="43789" spans="1:6" x14ac:dyDescent="0.25">
      <c r="A43789" s="1" t="str">
        <f t="shared" si="1488"/>
        <v>99999</v>
      </c>
      <c r="B43789" s="1" t="str">
        <f>"79029"</f>
        <v>79029</v>
      </c>
      <c r="C43789" s="2">
        <v>1.08260890558416E-7</v>
      </c>
      <c r="D43789" s="2">
        <v>0</v>
      </c>
      <c r="E43789" s="2">
        <v>0</v>
      </c>
      <c r="F43789" s="2">
        <v>9.8681749974786797E-8</v>
      </c>
    </row>
    <row r="43790" spans="1:6" x14ac:dyDescent="0.25">
      <c r="A43790" s="1" t="str">
        <f t="shared" si="1488"/>
        <v>99999</v>
      </c>
      <c r="B43790" s="1" t="str">
        <f>"75849"</f>
        <v>75849</v>
      </c>
      <c r="C43790" s="2">
        <v>0</v>
      </c>
      <c r="D43790" s="2">
        <v>1.50570889527644E-6</v>
      </c>
      <c r="E43790" s="2">
        <v>0</v>
      </c>
      <c r="F43790" s="2">
        <v>9.8681749974786797E-8</v>
      </c>
    </row>
    <row r="43791" spans="1:6" x14ac:dyDescent="0.25">
      <c r="A43791" s="1" t="str">
        <f t="shared" si="1488"/>
        <v>99999</v>
      </c>
      <c r="B43791" s="1" t="str">
        <f>"81226"</f>
        <v>81226</v>
      </c>
      <c r="C43791" s="2">
        <v>2.49000048284357E-6</v>
      </c>
      <c r="D43791" s="2">
        <v>0</v>
      </c>
      <c r="E43791" s="2">
        <v>0</v>
      </c>
      <c r="F43791" s="2">
        <v>2.2696802494200901E-6</v>
      </c>
    </row>
    <row r="43792" spans="1:6" x14ac:dyDescent="0.25">
      <c r="A43792" s="1" t="str">
        <f t="shared" si="1488"/>
        <v>99999</v>
      </c>
      <c r="B43792" s="1" t="str">
        <f>"25875"</f>
        <v>25875</v>
      </c>
      <c r="C43792" s="2">
        <v>1.08260890558416E-7</v>
      </c>
      <c r="D43792" s="2">
        <v>1.50570889527644E-6</v>
      </c>
      <c r="E43792" s="2">
        <v>0</v>
      </c>
      <c r="F43792" s="2">
        <v>1.9736349994957301E-7</v>
      </c>
    </row>
    <row r="43793" spans="1:6" x14ac:dyDescent="0.25">
      <c r="A43793" s="1" t="str">
        <f t="shared" si="1488"/>
        <v>99999</v>
      </c>
      <c r="B43793" s="1" t="str">
        <f>"57532"</f>
        <v>57532</v>
      </c>
      <c r="C43793" s="2">
        <v>5.4130445279207995E-7</v>
      </c>
      <c r="D43793" s="2">
        <v>0</v>
      </c>
      <c r="E43793" s="2">
        <v>0</v>
      </c>
      <c r="F43793" s="2">
        <v>4.9340874987393396E-7</v>
      </c>
    </row>
    <row r="43794" spans="1:6" x14ac:dyDescent="0.25">
      <c r="A43794" s="1" t="str">
        <f t="shared" si="1488"/>
        <v>99999</v>
      </c>
      <c r="B43794" s="1" t="str">
        <f>"66869"</f>
        <v>66869</v>
      </c>
      <c r="C43794" s="2">
        <v>2.1652178111683201E-7</v>
      </c>
      <c r="D43794" s="2">
        <v>0</v>
      </c>
      <c r="E43794" s="2">
        <v>0</v>
      </c>
      <c r="F43794" s="2">
        <v>1.9736349994957301E-7</v>
      </c>
    </row>
    <row r="43795" spans="1:6" x14ac:dyDescent="0.25">
      <c r="A43795" s="1" t="str">
        <f t="shared" si="1488"/>
        <v>99999</v>
      </c>
      <c r="B43795" s="1" t="str">
        <f>"82412"</f>
        <v>82412</v>
      </c>
      <c r="C43795" s="2">
        <v>0</v>
      </c>
      <c r="D43795" s="2">
        <v>0</v>
      </c>
      <c r="E43795" s="2">
        <v>4.3010567696482999E-6</v>
      </c>
      <c r="F43795" s="2">
        <v>9.8681749974786797E-8</v>
      </c>
    </row>
    <row r="43796" spans="1:6" x14ac:dyDescent="0.25">
      <c r="A43796" s="1" t="str">
        <f t="shared" si="1488"/>
        <v>99999</v>
      </c>
      <c r="B43796" s="1" t="str">
        <f>"15946"</f>
        <v>15946</v>
      </c>
      <c r="C43796" s="2">
        <v>4.5469574034534697E-6</v>
      </c>
      <c r="D43796" s="2">
        <v>1.50570889527644E-6</v>
      </c>
      <c r="E43796" s="2">
        <v>0</v>
      </c>
      <c r="F43796" s="2">
        <v>4.2433152489158297E-6</v>
      </c>
    </row>
    <row r="43797" spans="1:6" x14ac:dyDescent="0.25">
      <c r="A43797" s="1" t="str">
        <f t="shared" si="1488"/>
        <v>99999</v>
      </c>
      <c r="B43797" s="1" t="str">
        <f>"71324"</f>
        <v>71324</v>
      </c>
      <c r="C43797" s="2">
        <v>0</v>
      </c>
      <c r="D43797" s="2">
        <v>0</v>
      </c>
      <c r="E43797" s="2">
        <v>4.3010567696482999E-6</v>
      </c>
      <c r="F43797" s="2">
        <v>9.8681749974786797E-8</v>
      </c>
    </row>
    <row r="43798" spans="1:6" x14ac:dyDescent="0.25">
      <c r="A43798" s="1" t="str">
        <f t="shared" si="1488"/>
        <v>99999</v>
      </c>
      <c r="B43798" s="1" t="str">
        <f>"47617"</f>
        <v>47617</v>
      </c>
      <c r="C43798" s="2">
        <v>0</v>
      </c>
      <c r="D43798" s="2">
        <v>0</v>
      </c>
      <c r="E43798" s="2">
        <v>8.6021135392965999E-6</v>
      </c>
      <c r="F43798" s="2">
        <v>1.9736349994957301E-7</v>
      </c>
    </row>
    <row r="43799" spans="1:6" x14ac:dyDescent="0.25">
      <c r="A43799" s="1" t="str">
        <f t="shared" si="1488"/>
        <v>99999</v>
      </c>
      <c r="B43799" s="1" t="str">
        <f>"56435"</f>
        <v>56435</v>
      </c>
      <c r="C43799" s="2">
        <v>4.3304356223366401E-7</v>
      </c>
      <c r="D43799" s="2">
        <v>0</v>
      </c>
      <c r="E43799" s="2">
        <v>0</v>
      </c>
      <c r="F43799" s="2">
        <v>3.9472699989914697E-7</v>
      </c>
    </row>
    <row r="43800" spans="1:6" x14ac:dyDescent="0.25">
      <c r="A43800" s="1" t="str">
        <f t="shared" si="1488"/>
        <v>99999</v>
      </c>
      <c r="B43800" s="1" t="str">
        <f>"66855"</f>
        <v>66855</v>
      </c>
      <c r="C43800" s="2">
        <v>1.1908697961425701E-6</v>
      </c>
      <c r="D43800" s="2">
        <v>0</v>
      </c>
      <c r="E43800" s="2">
        <v>4.3010567696482999E-6</v>
      </c>
      <c r="F43800" s="2">
        <v>1.18418099969744E-6</v>
      </c>
    </row>
    <row r="43801" spans="1:6" x14ac:dyDescent="0.25">
      <c r="A43801" s="1" t="str">
        <f t="shared" si="1488"/>
        <v>99999</v>
      </c>
      <c r="B43801" s="1" t="str">
        <f>"54536"</f>
        <v>54536</v>
      </c>
      <c r="C43801" s="2">
        <v>8.6608712446732894E-6</v>
      </c>
      <c r="D43801" s="2">
        <v>0</v>
      </c>
      <c r="E43801" s="2">
        <v>4.3010567696482999E-6</v>
      </c>
      <c r="F43801" s="2">
        <v>7.9932217479577302E-6</v>
      </c>
    </row>
    <row r="43802" spans="1:6" x14ac:dyDescent="0.25">
      <c r="A43802" s="1" t="str">
        <f t="shared" si="1488"/>
        <v>99999</v>
      </c>
      <c r="B43802" s="1" t="str">
        <f>"57350"</f>
        <v>57350</v>
      </c>
      <c r="C43802" s="2">
        <v>6.49565343350497E-7</v>
      </c>
      <c r="D43802" s="2">
        <v>0</v>
      </c>
      <c r="E43802" s="2">
        <v>0</v>
      </c>
      <c r="F43802" s="2">
        <v>5.9209049984871999E-7</v>
      </c>
    </row>
    <row r="43803" spans="1:6" x14ac:dyDescent="0.25">
      <c r="A43803" s="1" t="str">
        <f t="shared" si="1488"/>
        <v>99999</v>
      </c>
      <c r="B43803" s="1" t="str">
        <f>"56585"</f>
        <v>56585</v>
      </c>
      <c r="C43803" s="2">
        <v>5.8460880901544696E-6</v>
      </c>
      <c r="D43803" s="2">
        <v>1.50570889527644E-6</v>
      </c>
      <c r="E43803" s="2">
        <v>0</v>
      </c>
      <c r="F43803" s="2">
        <v>5.4274962486132697E-6</v>
      </c>
    </row>
    <row r="43804" spans="1:6" x14ac:dyDescent="0.25">
      <c r="A43804" s="1" t="str">
        <f t="shared" si="1488"/>
        <v>99999</v>
      </c>
      <c r="B43804" s="1" t="str">
        <f>"51656"</f>
        <v>51656</v>
      </c>
      <c r="C43804" s="2">
        <v>3.46434849786931E-6</v>
      </c>
      <c r="D43804" s="2">
        <v>0</v>
      </c>
      <c r="E43804" s="2">
        <v>4.3010567696482999E-6</v>
      </c>
      <c r="F43804" s="2">
        <v>3.2564977491679601E-6</v>
      </c>
    </row>
    <row r="43805" spans="1:6" x14ac:dyDescent="0.25">
      <c r="A43805" s="1" t="str">
        <f t="shared" si="1488"/>
        <v>99999</v>
      </c>
      <c r="B43805" s="1" t="str">
        <f>"67836"</f>
        <v>67836</v>
      </c>
      <c r="C43805" s="2">
        <v>5.95434898071288E-6</v>
      </c>
      <c r="D43805" s="2">
        <v>0</v>
      </c>
      <c r="E43805" s="2">
        <v>4.3010567696482999E-6</v>
      </c>
      <c r="F43805" s="2">
        <v>5.52617799858806E-6</v>
      </c>
    </row>
    <row r="43806" spans="1:6" x14ac:dyDescent="0.25">
      <c r="A43806" s="1" t="str">
        <f t="shared" si="1488"/>
        <v>99999</v>
      </c>
      <c r="B43806" s="1" t="str">
        <f>"68972"</f>
        <v>68972</v>
      </c>
      <c r="C43806" s="2">
        <v>1.2233480633101E-5</v>
      </c>
      <c r="D43806" s="2">
        <v>1.50570889527644E-6</v>
      </c>
      <c r="E43806" s="2">
        <v>4.3010567696482999E-6</v>
      </c>
      <c r="F43806" s="2">
        <v>1.1348401247100399E-5</v>
      </c>
    </row>
    <row r="43807" spans="1:6" x14ac:dyDescent="0.25">
      <c r="A43807" s="1" t="str">
        <f t="shared" si="1488"/>
        <v>99999</v>
      </c>
      <c r="B43807" s="1" t="str">
        <f>"72425"</f>
        <v>72425</v>
      </c>
      <c r="C43807" s="2">
        <v>4.5469574034534697E-6</v>
      </c>
      <c r="D43807" s="2">
        <v>0</v>
      </c>
      <c r="E43807" s="2">
        <v>0</v>
      </c>
      <c r="F43807" s="2">
        <v>4.1446334989410403E-6</v>
      </c>
    </row>
    <row r="43808" spans="1:6" x14ac:dyDescent="0.25">
      <c r="A43808" s="1" t="str">
        <f t="shared" si="1488"/>
        <v>99999</v>
      </c>
      <c r="B43808" s="1" t="str">
        <f>"97905"</f>
        <v>97905</v>
      </c>
      <c r="C43808" s="2">
        <v>1.29913068670099E-6</v>
      </c>
      <c r="D43808" s="2">
        <v>0</v>
      </c>
      <c r="E43808" s="2">
        <v>4.3010567696482999E-6</v>
      </c>
      <c r="F43808" s="2">
        <v>1.2828627496722201E-6</v>
      </c>
    </row>
    <row r="43809" spans="1:6" x14ac:dyDescent="0.25">
      <c r="A43809" s="1" t="str">
        <f t="shared" si="1488"/>
        <v>99999</v>
      </c>
      <c r="B43809" s="1" t="str">
        <f>"98935"</f>
        <v>98935</v>
      </c>
      <c r="C43809" s="2">
        <v>3.0313049356356498E-6</v>
      </c>
      <c r="D43809" s="2">
        <v>4.5171266858293203E-6</v>
      </c>
      <c r="E43809" s="2">
        <v>0</v>
      </c>
      <c r="F43809" s="2">
        <v>3.0591342492183902E-6</v>
      </c>
    </row>
    <row r="43810" spans="1:6" x14ac:dyDescent="0.25">
      <c r="A43810" s="1" t="str">
        <f t="shared" si="1488"/>
        <v>99999</v>
      </c>
      <c r="B43810" s="1" t="str">
        <f>"12742"</f>
        <v>12742</v>
      </c>
      <c r="C43810" s="2">
        <v>1.2016958851984099E-5</v>
      </c>
      <c r="D43810" s="2">
        <v>9.0342533716586405E-6</v>
      </c>
      <c r="E43810" s="2">
        <v>4.3010567696482999E-6</v>
      </c>
      <c r="F43810" s="2">
        <v>1.1644446497024801E-5</v>
      </c>
    </row>
    <row r="43811" spans="1:6" x14ac:dyDescent="0.25">
      <c r="A43811" s="1" t="str">
        <f t="shared" si="1488"/>
        <v>99999</v>
      </c>
      <c r="B43811" s="1" t="str">
        <f>"31635"</f>
        <v>31635</v>
      </c>
      <c r="C43811" s="2">
        <v>2.59826137340198E-6</v>
      </c>
      <c r="D43811" s="2">
        <v>1.50570889527644E-6</v>
      </c>
      <c r="E43811" s="2">
        <v>0</v>
      </c>
      <c r="F43811" s="2">
        <v>2.4670437493696702E-6</v>
      </c>
    </row>
    <row r="43812" spans="1:6" x14ac:dyDescent="0.25">
      <c r="A43812" s="1" t="str">
        <f t="shared" si="1488"/>
        <v>99999</v>
      </c>
      <c r="B43812" s="1" t="str">
        <f>"46968"</f>
        <v>46968</v>
      </c>
      <c r="C43812" s="2">
        <v>8.2278276824396208E-6</v>
      </c>
      <c r="D43812" s="2">
        <v>3.01141779055288E-6</v>
      </c>
      <c r="E43812" s="2">
        <v>1.29031703089449E-5</v>
      </c>
      <c r="F43812" s="2">
        <v>7.9932217479577302E-6</v>
      </c>
    </row>
    <row r="43813" spans="1:6" x14ac:dyDescent="0.25">
      <c r="A43813" s="1" t="str">
        <f t="shared" si="1488"/>
        <v>99999</v>
      </c>
      <c r="B43813" s="1" t="str">
        <f>"59545"</f>
        <v>59545</v>
      </c>
      <c r="C43813" s="2">
        <v>1.62391335837624E-6</v>
      </c>
      <c r="D43813" s="2">
        <v>0</v>
      </c>
      <c r="E43813" s="2">
        <v>4.3010567696482999E-6</v>
      </c>
      <c r="F43813" s="2">
        <v>1.5789079995965801E-6</v>
      </c>
    </row>
    <row r="43814" spans="1:6" x14ac:dyDescent="0.25">
      <c r="A43814" s="1" t="str">
        <f t="shared" si="1488"/>
        <v>99999</v>
      </c>
      <c r="B43814" s="1" t="str">
        <f>"58323"</f>
        <v>58323</v>
      </c>
      <c r="C43814" s="2">
        <v>3.3560876073109E-6</v>
      </c>
      <c r="D43814" s="2">
        <v>4.5171266858293203E-6</v>
      </c>
      <c r="E43814" s="2">
        <v>4.3010567696482999E-6</v>
      </c>
      <c r="F43814" s="2">
        <v>3.4538612491175301E-6</v>
      </c>
    </row>
    <row r="43815" spans="1:6" x14ac:dyDescent="0.25">
      <c r="A43815" s="1" t="str">
        <f t="shared" si="1488"/>
        <v>99999</v>
      </c>
      <c r="B43815" s="1" t="str">
        <f>"63533"</f>
        <v>63533</v>
      </c>
      <c r="C43815" s="2">
        <v>8.6608712446732898E-7</v>
      </c>
      <c r="D43815" s="2">
        <v>0</v>
      </c>
      <c r="E43815" s="2">
        <v>0</v>
      </c>
      <c r="F43815" s="2">
        <v>7.8945399979829395E-7</v>
      </c>
    </row>
    <row r="43816" spans="1:6" x14ac:dyDescent="0.25">
      <c r="A43816" s="1" t="str">
        <f t="shared" si="1488"/>
        <v>99999</v>
      </c>
      <c r="B43816" s="1" t="str">
        <f>"67004"</f>
        <v>67004</v>
      </c>
      <c r="C43816" s="2">
        <v>2.9230440450772301E-6</v>
      </c>
      <c r="D43816" s="2">
        <v>0</v>
      </c>
      <c r="E43816" s="2">
        <v>0</v>
      </c>
      <c r="F43816" s="2">
        <v>2.6644072493192401E-6</v>
      </c>
    </row>
    <row r="43817" spans="1:6" x14ac:dyDescent="0.25">
      <c r="A43817" s="1" t="str">
        <f t="shared" si="1488"/>
        <v>99999</v>
      </c>
      <c r="B43817" s="1" t="str">
        <f>"66010"</f>
        <v>66010</v>
      </c>
      <c r="C43817" s="2">
        <v>2.1652178111683198E-6</v>
      </c>
      <c r="D43817" s="2">
        <v>0</v>
      </c>
      <c r="E43817" s="2">
        <v>0</v>
      </c>
      <c r="F43817" s="2">
        <v>1.9736349994957299E-6</v>
      </c>
    </row>
    <row r="43818" spans="1:6" x14ac:dyDescent="0.25">
      <c r="A43818" s="1" t="str">
        <f t="shared" si="1488"/>
        <v>99999</v>
      </c>
      <c r="B43818" s="1" t="str">
        <f>"71660"</f>
        <v>71660</v>
      </c>
      <c r="C43818" s="2">
        <v>2.0569569206099001E-6</v>
      </c>
      <c r="D43818" s="2">
        <v>0</v>
      </c>
      <c r="E43818" s="2">
        <v>0</v>
      </c>
      <c r="F43818" s="2">
        <v>1.8749532495209401E-6</v>
      </c>
    </row>
    <row r="43819" spans="1:6" x14ac:dyDescent="0.25">
      <c r="A43819" s="1" t="str">
        <f t="shared" si="1488"/>
        <v>99999</v>
      </c>
      <c r="B43819" s="1" t="str">
        <f>"74441"</f>
        <v>74441</v>
      </c>
      <c r="C43819" s="2">
        <v>3.2478267167524802E-7</v>
      </c>
      <c r="D43819" s="2">
        <v>0</v>
      </c>
      <c r="E43819" s="2">
        <v>0</v>
      </c>
      <c r="F43819" s="2">
        <v>2.9604524992435999E-7</v>
      </c>
    </row>
    <row r="43820" spans="1:6" x14ac:dyDescent="0.25">
      <c r="A43820" s="1" t="str">
        <f t="shared" si="1488"/>
        <v>99999</v>
      </c>
      <c r="B43820" s="1" t="str">
        <f>"77979"</f>
        <v>77979</v>
      </c>
      <c r="C43820" s="2">
        <v>1.4073915772594101E-6</v>
      </c>
      <c r="D43820" s="2">
        <v>0</v>
      </c>
      <c r="E43820" s="2">
        <v>0</v>
      </c>
      <c r="F43820" s="2">
        <v>1.2828627496722201E-6</v>
      </c>
    </row>
    <row r="43821" spans="1:6" x14ac:dyDescent="0.25">
      <c r="A43821" s="1" t="str">
        <f t="shared" si="1488"/>
        <v>99999</v>
      </c>
      <c r="B43821" s="1" t="str">
        <f>"78648"</f>
        <v>78648</v>
      </c>
      <c r="C43821" s="2">
        <v>3.7891311695445602E-6</v>
      </c>
      <c r="D43821" s="2">
        <v>0</v>
      </c>
      <c r="E43821" s="2">
        <v>0</v>
      </c>
      <c r="F43821" s="2">
        <v>3.4538612491175301E-6</v>
      </c>
    </row>
    <row r="43822" spans="1:6" x14ac:dyDescent="0.25">
      <c r="A43822" s="1" t="str">
        <f t="shared" si="1488"/>
        <v>99999</v>
      </c>
      <c r="B43822" s="1" t="str">
        <f>"81155"</f>
        <v>81155</v>
      </c>
      <c r="C43822" s="2">
        <v>1.2991306867009899E-5</v>
      </c>
      <c r="D43822" s="2">
        <v>1.50570889527644E-6</v>
      </c>
      <c r="E43822" s="2">
        <v>4.3010567696482999E-6</v>
      </c>
      <c r="F43822" s="2">
        <v>1.2039173496923901E-5</v>
      </c>
    </row>
    <row r="43823" spans="1:6" x14ac:dyDescent="0.25">
      <c r="A43823" s="1" t="str">
        <f t="shared" si="1488"/>
        <v>99999</v>
      </c>
      <c r="B43823" s="1" t="str">
        <f>"85359"</f>
        <v>85359</v>
      </c>
      <c r="C43823" s="2">
        <v>1.8869873224331899E-4</v>
      </c>
      <c r="D43823" s="2">
        <v>5.5711229125228301E-5</v>
      </c>
      <c r="E43823" s="2">
        <v>8.6021135392965999E-6</v>
      </c>
      <c r="F43823" s="2">
        <v>1.7585087845506999E-4</v>
      </c>
    </row>
    <row r="43824" spans="1:6" x14ac:dyDescent="0.25">
      <c r="A43824" s="1" t="str">
        <f t="shared" si="1488"/>
        <v>99999</v>
      </c>
      <c r="B43824" s="1" t="str">
        <f>"99571"</f>
        <v>99571</v>
      </c>
      <c r="C43824" s="2">
        <v>0</v>
      </c>
      <c r="D43824" s="2">
        <v>0</v>
      </c>
      <c r="E43824" s="2">
        <v>8.6021135392965999E-6</v>
      </c>
      <c r="F43824" s="2">
        <v>1.9736349994957301E-7</v>
      </c>
    </row>
    <row r="43825" spans="1:6" x14ac:dyDescent="0.25">
      <c r="A43825" s="1" t="str">
        <f t="shared" si="1488"/>
        <v>99999</v>
      </c>
      <c r="B43825" s="1" t="str">
        <f>"99773"</f>
        <v>99773</v>
      </c>
      <c r="C43825" s="2">
        <v>0</v>
      </c>
      <c r="D43825" s="2">
        <v>0</v>
      </c>
      <c r="E43825" s="2">
        <v>4.3010567696482999E-6</v>
      </c>
      <c r="F43825" s="2">
        <v>9.8681749974786797E-8</v>
      </c>
    </row>
    <row r="43826" spans="1:6" x14ac:dyDescent="0.25">
      <c r="A43826" s="1" t="str">
        <f t="shared" si="1488"/>
        <v>99999</v>
      </c>
      <c r="B43826" s="1" t="str">
        <f>"99925"</f>
        <v>99925</v>
      </c>
      <c r="C43826" s="2">
        <v>0</v>
      </c>
      <c r="D43826" s="2">
        <v>0</v>
      </c>
      <c r="E43826" s="2">
        <v>4.3010567696482999E-6</v>
      </c>
      <c r="F43826" s="2">
        <v>9.8681749974786797E-8</v>
      </c>
    </row>
    <row r="43827" spans="1:6" x14ac:dyDescent="0.25">
      <c r="A43827" s="1" t="str">
        <f t="shared" si="1488"/>
        <v>99999</v>
      </c>
      <c r="B43827" s="1" t="str">
        <f>"15780"</f>
        <v>15780</v>
      </c>
      <c r="C43827" s="2">
        <v>9.2021756974653701E-6</v>
      </c>
      <c r="D43827" s="2">
        <v>7.5285444763821999E-6</v>
      </c>
      <c r="E43827" s="2">
        <v>0</v>
      </c>
      <c r="F43827" s="2">
        <v>8.8813574977308104E-6</v>
      </c>
    </row>
    <row r="43828" spans="1:6" x14ac:dyDescent="0.25">
      <c r="A43828" s="1" t="str">
        <f t="shared" si="1488"/>
        <v>99999</v>
      </c>
      <c r="B43828" s="1" t="str">
        <f>"24855"</f>
        <v>24855</v>
      </c>
      <c r="C43828" s="2">
        <v>2.8147831545188202E-6</v>
      </c>
      <c r="D43828" s="2">
        <v>1.50570889527644E-6</v>
      </c>
      <c r="E43828" s="2">
        <v>0</v>
      </c>
      <c r="F43828" s="2">
        <v>2.6644072493192401E-6</v>
      </c>
    </row>
    <row r="43829" spans="1:6" x14ac:dyDescent="0.25">
      <c r="A43829" s="1" t="str">
        <f t="shared" si="1488"/>
        <v>99999</v>
      </c>
      <c r="B43829" s="1" t="str">
        <f>"38753"</f>
        <v>38753</v>
      </c>
      <c r="C43829" s="2">
        <v>4.4386965128950601E-6</v>
      </c>
      <c r="D43829" s="2">
        <v>3.01141779055288E-6</v>
      </c>
      <c r="E43829" s="2">
        <v>0</v>
      </c>
      <c r="F43829" s="2">
        <v>4.2433152489158297E-6</v>
      </c>
    </row>
    <row r="43830" spans="1:6" x14ac:dyDescent="0.25">
      <c r="A43830" s="1" t="str">
        <f t="shared" si="1488"/>
        <v>99999</v>
      </c>
      <c r="B43830" s="1" t="str">
        <f>"45132"</f>
        <v>45132</v>
      </c>
      <c r="C43830" s="2">
        <v>0</v>
      </c>
      <c r="D43830" s="2">
        <v>0</v>
      </c>
      <c r="E43830" s="2">
        <v>8.6021135392965999E-6</v>
      </c>
      <c r="F43830" s="2">
        <v>1.9736349994957301E-7</v>
      </c>
    </row>
    <row r="43831" spans="1:6" x14ac:dyDescent="0.25">
      <c r="A43831" s="1" t="str">
        <f t="shared" si="1488"/>
        <v>99999</v>
      </c>
      <c r="B43831" s="1" t="str">
        <f>"55613"</f>
        <v>55613</v>
      </c>
      <c r="C43831" s="2">
        <v>9.0939148069069495E-6</v>
      </c>
      <c r="D43831" s="2">
        <v>3.01141779055288E-6</v>
      </c>
      <c r="E43831" s="2">
        <v>4.3010567696482999E-6</v>
      </c>
      <c r="F43831" s="2">
        <v>8.5853122478064497E-6</v>
      </c>
    </row>
    <row r="43832" spans="1:6" x14ac:dyDescent="0.25">
      <c r="A43832" s="1" t="str">
        <f t="shared" si="1488"/>
        <v>99999</v>
      </c>
      <c r="B43832" s="1" t="str">
        <f>"73947"</f>
        <v>73947</v>
      </c>
      <c r="C43832" s="2">
        <v>1.67804380365545E-5</v>
      </c>
      <c r="D43832" s="2">
        <v>0</v>
      </c>
      <c r="E43832" s="2">
        <v>0</v>
      </c>
      <c r="F43832" s="2">
        <v>1.5295671246091901E-5</v>
      </c>
    </row>
    <row r="43833" spans="1:6" x14ac:dyDescent="0.25">
      <c r="A43833" s="1" t="str">
        <f t="shared" si="1488"/>
        <v>99999</v>
      </c>
      <c r="B43833" s="1" t="str">
        <f>"84712"</f>
        <v>84712</v>
      </c>
      <c r="C43833" s="2">
        <v>1.84043513949307E-6</v>
      </c>
      <c r="D43833" s="2">
        <v>0</v>
      </c>
      <c r="E43833" s="2">
        <v>4.3010567696482999E-6</v>
      </c>
      <c r="F43833" s="2">
        <v>1.77627149954616E-6</v>
      </c>
    </row>
    <row r="43834" spans="1:6" x14ac:dyDescent="0.25">
      <c r="A43834" s="1" t="str">
        <f t="shared" si="1488"/>
        <v>99999</v>
      </c>
      <c r="B43834" s="1" t="str">
        <f>"84723"</f>
        <v>84723</v>
      </c>
      <c r="C43834" s="2">
        <v>1.08260890558416E-7</v>
      </c>
      <c r="D43834" s="2">
        <v>0</v>
      </c>
      <c r="E43834" s="2">
        <v>4.3010567696482999E-6</v>
      </c>
      <c r="F43834" s="2">
        <v>1.9736349994957301E-7</v>
      </c>
    </row>
    <row r="43835" spans="1:6" x14ac:dyDescent="0.25">
      <c r="A43835" s="1" t="str">
        <f t="shared" si="1488"/>
        <v>99999</v>
      </c>
      <c r="B43835" s="1" t="str">
        <f>"14113"</f>
        <v>14113</v>
      </c>
      <c r="C43835" s="2">
        <v>3.4102180525900997E-5</v>
      </c>
      <c r="D43835" s="2">
        <v>1.0539962266935E-5</v>
      </c>
      <c r="E43835" s="2">
        <v>4.3010567696482999E-6</v>
      </c>
      <c r="F43835" s="2">
        <v>3.1874205241856103E-5</v>
      </c>
    </row>
    <row r="43836" spans="1:6" x14ac:dyDescent="0.25">
      <c r="A43836" s="1" t="str">
        <f t="shared" si="1488"/>
        <v>99999</v>
      </c>
      <c r="B43836" s="1" t="str">
        <f>"26615"</f>
        <v>26615</v>
      </c>
      <c r="C43836" s="2">
        <v>8.9856539163485408E-6</v>
      </c>
      <c r="D43836" s="2">
        <v>1.50570889527644E-6</v>
      </c>
      <c r="E43836" s="2">
        <v>4.3010567696482999E-6</v>
      </c>
      <c r="F43836" s="2">
        <v>8.3879487478568692E-6</v>
      </c>
    </row>
    <row r="43837" spans="1:6" x14ac:dyDescent="0.25">
      <c r="A43837" s="1" t="str">
        <f t="shared" si="1488"/>
        <v>99999</v>
      </c>
      <c r="B43837" s="1" t="str">
        <f>"53588"</f>
        <v>53588</v>
      </c>
      <c r="C43837" s="2">
        <v>8.6608712446732898E-7</v>
      </c>
      <c r="D43837" s="2">
        <v>0</v>
      </c>
      <c r="E43837" s="2">
        <v>0</v>
      </c>
      <c r="F43837" s="2">
        <v>7.8945399979829395E-7</v>
      </c>
    </row>
    <row r="43838" spans="1:6" x14ac:dyDescent="0.25">
      <c r="A43838" s="1" t="str">
        <f t="shared" si="1488"/>
        <v>99999</v>
      </c>
      <c r="B43838" s="1" t="str">
        <f>"61872"</f>
        <v>61872</v>
      </c>
      <c r="C43838" s="2">
        <v>1.1908697961425701E-6</v>
      </c>
      <c r="D43838" s="2">
        <v>0</v>
      </c>
      <c r="E43838" s="2">
        <v>0</v>
      </c>
      <c r="F43838" s="2">
        <v>1.0854992497226499E-6</v>
      </c>
    </row>
    <row r="43839" spans="1:6" x14ac:dyDescent="0.25">
      <c r="A43839" s="1" t="str">
        <f t="shared" si="1488"/>
        <v>99999</v>
      </c>
      <c r="B43839" s="1" t="str">
        <f>"72352"</f>
        <v>72352</v>
      </c>
      <c r="C43839" s="2">
        <v>0</v>
      </c>
      <c r="D43839" s="2">
        <v>0</v>
      </c>
      <c r="E43839" s="2">
        <v>4.3010567696482999E-6</v>
      </c>
      <c r="F43839" s="2">
        <v>9.8681749974786797E-8</v>
      </c>
    </row>
    <row r="43840" spans="1:6" x14ac:dyDescent="0.25">
      <c r="A43840" s="1" t="str">
        <f t="shared" si="1488"/>
        <v>99999</v>
      </c>
      <c r="B43840" s="1" t="str">
        <f>"74469"</f>
        <v>74469</v>
      </c>
      <c r="C43840" s="2">
        <v>7.5782623390891299E-7</v>
      </c>
      <c r="D43840" s="2">
        <v>1.50570889527644E-6</v>
      </c>
      <c r="E43840" s="2">
        <v>0</v>
      </c>
      <c r="F43840" s="2">
        <v>7.8945399979829395E-7</v>
      </c>
    </row>
    <row r="43841" spans="1:6" x14ac:dyDescent="0.25">
      <c r="A43841" s="1" t="str">
        <f t="shared" si="1488"/>
        <v>99999</v>
      </c>
      <c r="B43841" s="1" t="str">
        <f>"76831"</f>
        <v>76831</v>
      </c>
      <c r="C43841" s="2">
        <v>1.29913068670099E-6</v>
      </c>
      <c r="D43841" s="2">
        <v>0</v>
      </c>
      <c r="E43841" s="2">
        <v>0</v>
      </c>
      <c r="F43841" s="2">
        <v>1.18418099969744E-6</v>
      </c>
    </row>
    <row r="43842" spans="1:6" x14ac:dyDescent="0.25">
      <c r="A43842" s="1" t="str">
        <f t="shared" si="1488"/>
        <v>99999</v>
      </c>
      <c r="B43842" s="1" t="str">
        <f>"81141"</f>
        <v>81141</v>
      </c>
      <c r="C43842" s="2">
        <v>8.0113059013227898E-6</v>
      </c>
      <c r="D43842" s="2">
        <v>0</v>
      </c>
      <c r="E43842" s="2">
        <v>4.3010567696482999E-6</v>
      </c>
      <c r="F43842" s="2">
        <v>7.4011312481090098E-6</v>
      </c>
    </row>
    <row r="43843" spans="1:6" x14ac:dyDescent="0.25">
      <c r="A43843" s="1" t="str">
        <f t="shared" si="1488"/>
        <v>99999</v>
      </c>
      <c r="B43843" s="1" t="str">
        <f>"99586"</f>
        <v>99586</v>
      </c>
      <c r="C43843" s="2">
        <v>2.46834830473188E-5</v>
      </c>
      <c r="D43843" s="2">
        <v>1.20456711622115E-5</v>
      </c>
      <c r="E43843" s="2">
        <v>8.6021135392965999E-6</v>
      </c>
      <c r="F43843" s="2">
        <v>2.3486256493999199E-5</v>
      </c>
    </row>
    <row r="43844" spans="1:6" x14ac:dyDescent="0.25">
      <c r="A43844" s="1" t="str">
        <f t="shared" si="1488"/>
        <v>99999</v>
      </c>
      <c r="B43844" s="1" t="str">
        <f>"22547"</f>
        <v>22547</v>
      </c>
      <c r="C43844" s="2">
        <v>0</v>
      </c>
      <c r="D43844" s="2">
        <v>0</v>
      </c>
      <c r="E43844" s="2">
        <v>4.3010567696482999E-6</v>
      </c>
      <c r="F43844" s="2">
        <v>9.8681749974786797E-8</v>
      </c>
    </row>
    <row r="43845" spans="1:6" x14ac:dyDescent="0.25">
      <c r="A43845" s="1" t="str">
        <f t="shared" si="1488"/>
        <v>99999</v>
      </c>
      <c r="B43845" s="1" t="str">
        <f>"37337"</f>
        <v>37337</v>
      </c>
      <c r="C43845" s="2">
        <v>1.9486960300514902E-6</v>
      </c>
      <c r="D43845" s="2">
        <v>0</v>
      </c>
      <c r="E43845" s="2">
        <v>0</v>
      </c>
      <c r="F43845" s="2">
        <v>1.77627149954616E-6</v>
      </c>
    </row>
    <row r="43846" spans="1:6" x14ac:dyDescent="0.25">
      <c r="A43846" s="1" t="str">
        <f t="shared" ref="A43846:A43909" si="1489">"99999"</f>
        <v>99999</v>
      </c>
      <c r="B43846" s="1" t="str">
        <f>"38617"</f>
        <v>38617</v>
      </c>
      <c r="C43846" s="2">
        <v>5.4130445279207995E-7</v>
      </c>
      <c r="D43846" s="2">
        <v>0</v>
      </c>
      <c r="E43846" s="2">
        <v>0</v>
      </c>
      <c r="F43846" s="2">
        <v>4.9340874987393396E-7</v>
      </c>
    </row>
    <row r="43847" spans="1:6" x14ac:dyDescent="0.25">
      <c r="A43847" s="1" t="str">
        <f t="shared" si="1489"/>
        <v>99999</v>
      </c>
      <c r="B43847" s="1" t="str">
        <f>"40472"</f>
        <v>40472</v>
      </c>
      <c r="C43847" s="2">
        <v>2.8147831545188202E-6</v>
      </c>
      <c r="D43847" s="2">
        <v>0</v>
      </c>
      <c r="E43847" s="2">
        <v>0</v>
      </c>
      <c r="F43847" s="2">
        <v>2.5657254993444499E-6</v>
      </c>
    </row>
    <row r="43848" spans="1:6" x14ac:dyDescent="0.25">
      <c r="A43848" s="1" t="str">
        <f t="shared" si="1489"/>
        <v>99999</v>
      </c>
      <c r="B43848" s="1" t="str">
        <f>"62558"</f>
        <v>62558</v>
      </c>
      <c r="C43848" s="2">
        <v>1.51565246781782E-6</v>
      </c>
      <c r="D43848" s="2">
        <v>0</v>
      </c>
      <c r="E43848" s="2">
        <v>0</v>
      </c>
      <c r="F43848" s="2">
        <v>1.3815444996470099E-6</v>
      </c>
    </row>
    <row r="43849" spans="1:6" x14ac:dyDescent="0.25">
      <c r="A43849" s="1" t="str">
        <f t="shared" si="1489"/>
        <v>99999</v>
      </c>
      <c r="B43849" s="1" t="str">
        <f>"72001"</f>
        <v>72001</v>
      </c>
      <c r="C43849" s="2">
        <v>8.4443494635564601E-6</v>
      </c>
      <c r="D43849" s="2">
        <v>3.01141779055288E-6</v>
      </c>
      <c r="E43849" s="2">
        <v>0</v>
      </c>
      <c r="F43849" s="2">
        <v>7.8945399979829399E-6</v>
      </c>
    </row>
    <row r="43850" spans="1:6" x14ac:dyDescent="0.25">
      <c r="A43850" s="1" t="str">
        <f t="shared" si="1489"/>
        <v>99999</v>
      </c>
      <c r="B43850" s="1" t="str">
        <f>"72379"</f>
        <v>72379</v>
      </c>
      <c r="C43850" s="2">
        <v>5.4130445279207995E-7</v>
      </c>
      <c r="D43850" s="2">
        <v>1.50570889527644E-6</v>
      </c>
      <c r="E43850" s="2">
        <v>8.6021135392965999E-6</v>
      </c>
      <c r="F43850" s="2">
        <v>7.8945399979829395E-7</v>
      </c>
    </row>
    <row r="43851" spans="1:6" x14ac:dyDescent="0.25">
      <c r="A43851" s="1" t="str">
        <f t="shared" si="1489"/>
        <v>99999</v>
      </c>
      <c r="B43851" s="1" t="str">
        <f>"82242"</f>
        <v>82242</v>
      </c>
      <c r="C43851" s="2">
        <v>2.2734787017267302E-6</v>
      </c>
      <c r="D43851" s="2">
        <v>0</v>
      </c>
      <c r="E43851" s="2">
        <v>3.01073973875381E-5</v>
      </c>
      <c r="F43851" s="2">
        <v>2.76308899929403E-6</v>
      </c>
    </row>
    <row r="43852" spans="1:6" x14ac:dyDescent="0.25">
      <c r="A43852" s="1" t="str">
        <f t="shared" si="1489"/>
        <v>99999</v>
      </c>
      <c r="B43852" s="1" t="str">
        <f>"28652"</f>
        <v>28652</v>
      </c>
      <c r="C43852" s="2">
        <v>0</v>
      </c>
      <c r="D43852" s="2">
        <v>0</v>
      </c>
      <c r="E43852" s="2">
        <v>8.6021135392965999E-6</v>
      </c>
      <c r="F43852" s="2">
        <v>1.9736349994957301E-7</v>
      </c>
    </row>
    <row r="43853" spans="1:6" x14ac:dyDescent="0.25">
      <c r="A43853" s="1" t="str">
        <f t="shared" si="1489"/>
        <v>99999</v>
      </c>
      <c r="B43853" s="1" t="str">
        <f>"42104"</f>
        <v>42104</v>
      </c>
      <c r="C43853" s="2">
        <v>1.08260890558416E-5</v>
      </c>
      <c r="D43853" s="2">
        <v>0</v>
      </c>
      <c r="E43853" s="2">
        <v>0</v>
      </c>
      <c r="F43853" s="2">
        <v>9.8681749974786808E-6</v>
      </c>
    </row>
    <row r="43854" spans="1:6" x14ac:dyDescent="0.25">
      <c r="A43854" s="1" t="str">
        <f t="shared" si="1489"/>
        <v>99999</v>
      </c>
      <c r="B43854" s="1" t="str">
        <f>"59316"</f>
        <v>59316</v>
      </c>
      <c r="C43854" s="2">
        <v>1.4073915772594101E-6</v>
      </c>
      <c r="D43854" s="2">
        <v>0</v>
      </c>
      <c r="E43854" s="2">
        <v>4.3010567696482999E-6</v>
      </c>
      <c r="F43854" s="2">
        <v>1.3815444996470099E-6</v>
      </c>
    </row>
    <row r="43855" spans="1:6" x14ac:dyDescent="0.25">
      <c r="A43855" s="1" t="str">
        <f t="shared" si="1489"/>
        <v>99999</v>
      </c>
      <c r="B43855" s="1" t="str">
        <f>"59466"</f>
        <v>59466</v>
      </c>
      <c r="C43855" s="2">
        <v>5.7378271995960499E-6</v>
      </c>
      <c r="D43855" s="2">
        <v>4.5171266858293203E-6</v>
      </c>
      <c r="E43855" s="2">
        <v>4.3010567696482999E-6</v>
      </c>
      <c r="F43855" s="2">
        <v>5.6248597485628401E-6</v>
      </c>
    </row>
    <row r="43856" spans="1:6" x14ac:dyDescent="0.25">
      <c r="A43856" s="1" t="str">
        <f t="shared" si="1489"/>
        <v>99999</v>
      </c>
      <c r="B43856" s="1" t="str">
        <f>"58255"</f>
        <v>58255</v>
      </c>
      <c r="C43856" s="2">
        <v>4.3304356223366401E-7</v>
      </c>
      <c r="D43856" s="2">
        <v>1.50570889527644E-6</v>
      </c>
      <c r="E43856" s="2">
        <v>4.3010567696482999E-6</v>
      </c>
      <c r="F43856" s="2">
        <v>5.9209049984871999E-7</v>
      </c>
    </row>
    <row r="43857" spans="1:6" x14ac:dyDescent="0.25">
      <c r="A43857" s="1" t="str">
        <f t="shared" si="1489"/>
        <v>99999</v>
      </c>
      <c r="B43857" s="1" t="str">
        <f>"61870"</f>
        <v>61870</v>
      </c>
      <c r="C43857" s="2">
        <v>1.62391335837624E-6</v>
      </c>
      <c r="D43857" s="2">
        <v>0</v>
      </c>
      <c r="E43857" s="2">
        <v>0</v>
      </c>
      <c r="F43857" s="2">
        <v>1.4802262496218E-6</v>
      </c>
    </row>
    <row r="43858" spans="1:6" x14ac:dyDescent="0.25">
      <c r="A43858" s="1" t="str">
        <f t="shared" si="1489"/>
        <v>99999</v>
      </c>
      <c r="B43858" s="1" t="str">
        <f>"63737"</f>
        <v>63737</v>
      </c>
      <c r="C43858" s="2">
        <v>1.29913068670099E-6</v>
      </c>
      <c r="D43858" s="2">
        <v>4.5171266858293203E-6</v>
      </c>
      <c r="E43858" s="2">
        <v>0</v>
      </c>
      <c r="F43858" s="2">
        <v>1.4802262496218E-6</v>
      </c>
    </row>
    <row r="43859" spans="1:6" x14ac:dyDescent="0.25">
      <c r="A43859" s="1" t="str">
        <f t="shared" si="1489"/>
        <v>99999</v>
      </c>
      <c r="B43859" s="1" t="str">
        <f>"63567"</f>
        <v>63567</v>
      </c>
      <c r="C43859" s="2">
        <v>1.09343499464E-5</v>
      </c>
      <c r="D43859" s="2">
        <v>4.5171266858293203E-6</v>
      </c>
      <c r="E43859" s="2">
        <v>1.29031703089449E-5</v>
      </c>
      <c r="F43859" s="2">
        <v>1.0558947247302099E-5</v>
      </c>
    </row>
    <row r="43860" spans="1:6" x14ac:dyDescent="0.25">
      <c r="A43860" s="1" t="str">
        <f t="shared" si="1489"/>
        <v>99999</v>
      </c>
      <c r="B43860" s="1" t="str">
        <f>"70589"</f>
        <v>70589</v>
      </c>
      <c r="C43860" s="2">
        <v>7.6865232296475401E-6</v>
      </c>
      <c r="D43860" s="2">
        <v>1.35513800574879E-5</v>
      </c>
      <c r="E43860" s="2">
        <v>0</v>
      </c>
      <c r="F43860" s="2">
        <v>7.8945399979829399E-6</v>
      </c>
    </row>
    <row r="43861" spans="1:6" x14ac:dyDescent="0.25">
      <c r="A43861" s="1" t="str">
        <f t="shared" si="1489"/>
        <v>99999</v>
      </c>
      <c r="B43861" s="1" t="str">
        <f>"84637"</f>
        <v>84637</v>
      </c>
      <c r="C43861" s="2">
        <v>1.14756543991921E-5</v>
      </c>
      <c r="D43861" s="2">
        <v>0</v>
      </c>
      <c r="E43861" s="2">
        <v>4.3010567696482999E-6</v>
      </c>
      <c r="F43861" s="2">
        <v>1.0558947247302099E-5</v>
      </c>
    </row>
    <row r="43862" spans="1:6" x14ac:dyDescent="0.25">
      <c r="A43862" s="1" t="str">
        <f t="shared" si="1489"/>
        <v>99999</v>
      </c>
      <c r="B43862" s="1" t="str">
        <f>"24880"</f>
        <v>24880</v>
      </c>
      <c r="C43862" s="2">
        <v>1.7321742489346499E-6</v>
      </c>
      <c r="D43862" s="2">
        <v>1.50570889527644E-6</v>
      </c>
      <c r="E43862" s="2">
        <v>0</v>
      </c>
      <c r="F43862" s="2">
        <v>1.6775897495713699E-6</v>
      </c>
    </row>
    <row r="43863" spans="1:6" x14ac:dyDescent="0.25">
      <c r="A43863" s="1" t="str">
        <f t="shared" si="1489"/>
        <v>99999</v>
      </c>
      <c r="B43863" s="1" t="str">
        <f>"61476"</f>
        <v>61476</v>
      </c>
      <c r="C43863" s="2">
        <v>4.3304356223366401E-7</v>
      </c>
      <c r="D43863" s="2">
        <v>0</v>
      </c>
      <c r="E43863" s="2">
        <v>0</v>
      </c>
      <c r="F43863" s="2">
        <v>3.9472699989914697E-7</v>
      </c>
    </row>
    <row r="43864" spans="1:6" x14ac:dyDescent="0.25">
      <c r="A43864" s="1" t="str">
        <f t="shared" si="1489"/>
        <v>99999</v>
      </c>
      <c r="B43864" s="1" t="str">
        <f>"76823"</f>
        <v>76823</v>
      </c>
      <c r="C43864" s="2">
        <v>1.7321742489346499E-6</v>
      </c>
      <c r="D43864" s="2">
        <v>0</v>
      </c>
      <c r="E43864" s="2">
        <v>0</v>
      </c>
      <c r="F43864" s="2">
        <v>1.5789079995965801E-6</v>
      </c>
    </row>
    <row r="43865" spans="1:6" x14ac:dyDescent="0.25">
      <c r="A43865" s="1" t="str">
        <f t="shared" si="1489"/>
        <v>99999</v>
      </c>
      <c r="B43865" s="1" t="str">
        <f>"15377"</f>
        <v>15377</v>
      </c>
      <c r="C43865" s="2">
        <v>9.0939148069069495E-6</v>
      </c>
      <c r="D43865" s="2">
        <v>3.01141779055288E-6</v>
      </c>
      <c r="E43865" s="2">
        <v>0</v>
      </c>
      <c r="F43865" s="2">
        <v>8.4866304978316595E-6</v>
      </c>
    </row>
    <row r="43866" spans="1:6" x14ac:dyDescent="0.25">
      <c r="A43866" s="1" t="str">
        <f t="shared" si="1489"/>
        <v>99999</v>
      </c>
      <c r="B43866" s="1" t="str">
        <f>"24866"</f>
        <v>24866</v>
      </c>
      <c r="C43866" s="2">
        <v>3.2478267167524802E-7</v>
      </c>
      <c r="D43866" s="2">
        <v>0</v>
      </c>
      <c r="E43866" s="2">
        <v>4.3010567696482999E-6</v>
      </c>
      <c r="F43866" s="2">
        <v>3.9472699989914697E-7</v>
      </c>
    </row>
    <row r="43867" spans="1:6" x14ac:dyDescent="0.25">
      <c r="A43867" s="1" t="str">
        <f t="shared" si="1489"/>
        <v>99999</v>
      </c>
      <c r="B43867" s="1" t="str">
        <f>"26228"</f>
        <v>26228</v>
      </c>
      <c r="C43867" s="2">
        <v>4.0056529506613898E-6</v>
      </c>
      <c r="D43867" s="2">
        <v>6.0228355811057601E-6</v>
      </c>
      <c r="E43867" s="2">
        <v>0</v>
      </c>
      <c r="F43867" s="2">
        <v>4.0459517489662501E-6</v>
      </c>
    </row>
    <row r="43868" spans="1:6" x14ac:dyDescent="0.25">
      <c r="A43868" s="1" t="str">
        <f t="shared" si="1489"/>
        <v>99999</v>
      </c>
      <c r="B43868" s="1" t="str">
        <f>"28424"</f>
        <v>28424</v>
      </c>
      <c r="C43868" s="2">
        <v>0</v>
      </c>
      <c r="D43868" s="2">
        <v>1.50570889527644E-6</v>
      </c>
      <c r="E43868" s="2">
        <v>0</v>
      </c>
      <c r="F43868" s="2">
        <v>9.8681749974786797E-8</v>
      </c>
    </row>
    <row r="43869" spans="1:6" x14ac:dyDescent="0.25">
      <c r="A43869" s="1" t="str">
        <f t="shared" si="1489"/>
        <v>99999</v>
      </c>
      <c r="B43869" s="1" t="str">
        <f>"28713"</f>
        <v>28713</v>
      </c>
      <c r="C43869" s="2">
        <v>3.2478267167524799E-6</v>
      </c>
      <c r="D43869" s="2">
        <v>0</v>
      </c>
      <c r="E43869" s="2">
        <v>0</v>
      </c>
      <c r="F43869" s="2">
        <v>2.9604524992435999E-6</v>
      </c>
    </row>
    <row r="43870" spans="1:6" x14ac:dyDescent="0.25">
      <c r="A43870" s="1" t="str">
        <f t="shared" si="1489"/>
        <v>99999</v>
      </c>
      <c r="B43870" s="1" t="str">
        <f>"37047"</f>
        <v>37047</v>
      </c>
      <c r="C43870" s="2">
        <v>1.69969598176713E-5</v>
      </c>
      <c r="D43870" s="2">
        <v>1.50570889527644E-5</v>
      </c>
      <c r="E43870" s="2">
        <v>0</v>
      </c>
      <c r="F43870" s="2">
        <v>1.64798522457893E-5</v>
      </c>
    </row>
    <row r="43871" spans="1:6" x14ac:dyDescent="0.25">
      <c r="A43871" s="1" t="str">
        <f t="shared" si="1489"/>
        <v>99999</v>
      </c>
      <c r="B43871" s="1" t="str">
        <f>"38964"</f>
        <v>38964</v>
      </c>
      <c r="C43871" s="2">
        <v>1.7213481598788101E-5</v>
      </c>
      <c r="D43871" s="2">
        <v>1.80685067433172E-5</v>
      </c>
      <c r="E43871" s="2">
        <v>0</v>
      </c>
      <c r="F43871" s="2">
        <v>1.6874579245688502E-5</v>
      </c>
    </row>
    <row r="43872" spans="1:6" x14ac:dyDescent="0.25">
      <c r="A43872" s="1" t="str">
        <f t="shared" si="1489"/>
        <v>99999</v>
      </c>
      <c r="B43872" s="1" t="str">
        <f>"41044"</f>
        <v>41044</v>
      </c>
      <c r="C43872" s="2">
        <v>9.7434801502574508E-6</v>
      </c>
      <c r="D43872" s="2">
        <v>0</v>
      </c>
      <c r="E43872" s="2">
        <v>0</v>
      </c>
      <c r="F43872" s="2">
        <v>8.8813574977308104E-6</v>
      </c>
    </row>
    <row r="43873" spans="1:6" x14ac:dyDescent="0.25">
      <c r="A43873" s="1" t="str">
        <f t="shared" si="1489"/>
        <v>99999</v>
      </c>
      <c r="B43873" s="1" t="str">
        <f>"46991"</f>
        <v>46991</v>
      </c>
      <c r="C43873" s="2">
        <v>4.3304356223366401E-7</v>
      </c>
      <c r="D43873" s="2">
        <v>0</v>
      </c>
      <c r="E43873" s="2">
        <v>0</v>
      </c>
      <c r="F43873" s="2">
        <v>3.9472699989914697E-7</v>
      </c>
    </row>
    <row r="43874" spans="1:6" x14ac:dyDescent="0.25">
      <c r="A43874" s="1" t="str">
        <f t="shared" si="1489"/>
        <v>99999</v>
      </c>
      <c r="B43874" s="1" t="str">
        <f>"46989"</f>
        <v>46989</v>
      </c>
      <c r="C43874" s="2">
        <v>1.51565246781782E-6</v>
      </c>
      <c r="D43874" s="2">
        <v>0</v>
      </c>
      <c r="E43874" s="2">
        <v>0</v>
      </c>
      <c r="F43874" s="2">
        <v>1.3815444996470099E-6</v>
      </c>
    </row>
    <row r="43875" spans="1:6" x14ac:dyDescent="0.25">
      <c r="A43875" s="1" t="str">
        <f t="shared" si="1489"/>
        <v>99999</v>
      </c>
      <c r="B43875" s="1" t="str">
        <f>"50259"</f>
        <v>50259</v>
      </c>
      <c r="C43875" s="2">
        <v>2.3817395922851499E-6</v>
      </c>
      <c r="D43875" s="2">
        <v>1.50570889527644E-6</v>
      </c>
      <c r="E43875" s="2">
        <v>8.6021135392965999E-6</v>
      </c>
      <c r="F43875" s="2">
        <v>2.4670437493696702E-6</v>
      </c>
    </row>
    <row r="43876" spans="1:6" x14ac:dyDescent="0.25">
      <c r="A43876" s="1" t="str">
        <f t="shared" si="1489"/>
        <v>99999</v>
      </c>
      <c r="B43876" s="1" t="str">
        <f>"50460"</f>
        <v>50460</v>
      </c>
      <c r="C43876" s="2">
        <v>1.71052207082297E-5</v>
      </c>
      <c r="D43876" s="2">
        <v>1.0539962266935E-5</v>
      </c>
      <c r="E43876" s="2">
        <v>4.3010567696482999E-6</v>
      </c>
      <c r="F43876" s="2">
        <v>1.6381170495814601E-5</v>
      </c>
    </row>
    <row r="43877" spans="1:6" x14ac:dyDescent="0.25">
      <c r="A43877" s="1" t="str">
        <f t="shared" si="1489"/>
        <v>99999</v>
      </c>
      <c r="B43877" s="1" t="str">
        <f>"50613"</f>
        <v>50613</v>
      </c>
      <c r="C43877" s="2">
        <v>2.8147831545188202E-6</v>
      </c>
      <c r="D43877" s="2">
        <v>0</v>
      </c>
      <c r="E43877" s="2">
        <v>0</v>
      </c>
      <c r="F43877" s="2">
        <v>2.5657254993444499E-6</v>
      </c>
    </row>
    <row r="43878" spans="1:6" x14ac:dyDescent="0.25">
      <c r="A43878" s="1" t="str">
        <f t="shared" si="1489"/>
        <v>99999</v>
      </c>
      <c r="B43878" s="1" t="str">
        <f>"49883"</f>
        <v>49883</v>
      </c>
      <c r="C43878" s="2">
        <v>6.2791316523881298E-6</v>
      </c>
      <c r="D43878" s="2">
        <v>1.50570889527644E-6</v>
      </c>
      <c r="E43878" s="2">
        <v>4.3010567696482999E-6</v>
      </c>
      <c r="F43878" s="2">
        <v>5.9209049984871999E-6</v>
      </c>
    </row>
    <row r="43879" spans="1:6" x14ac:dyDescent="0.25">
      <c r="A43879" s="1" t="str">
        <f t="shared" si="1489"/>
        <v>99999</v>
      </c>
      <c r="B43879" s="1" t="str">
        <f>"52170"</f>
        <v>52170</v>
      </c>
      <c r="C43879" s="2">
        <v>3.1612180043057497E-5</v>
      </c>
      <c r="D43879" s="2">
        <v>3.31255956960816E-5</v>
      </c>
      <c r="E43879" s="2">
        <v>8.6021135392965999E-6</v>
      </c>
      <c r="F43879" s="2">
        <v>3.1183432992032599E-5</v>
      </c>
    </row>
    <row r="43880" spans="1:6" x14ac:dyDescent="0.25">
      <c r="A43880" s="1" t="str">
        <f t="shared" si="1489"/>
        <v>99999</v>
      </c>
      <c r="B43880" s="1" t="str">
        <f>"52327"</f>
        <v>52327</v>
      </c>
      <c r="C43880" s="2">
        <v>6.49565343350497E-7</v>
      </c>
      <c r="D43880" s="2">
        <v>0</v>
      </c>
      <c r="E43880" s="2">
        <v>0</v>
      </c>
      <c r="F43880" s="2">
        <v>5.9209049984871999E-7</v>
      </c>
    </row>
    <row r="43881" spans="1:6" x14ac:dyDescent="0.25">
      <c r="A43881" s="1" t="str">
        <f t="shared" si="1489"/>
        <v>99999</v>
      </c>
      <c r="B43881" s="1" t="str">
        <f>"58765"</f>
        <v>58765</v>
      </c>
      <c r="C43881" s="2">
        <v>1.2883045976451501E-5</v>
      </c>
      <c r="D43881" s="2">
        <v>7.5285444763821999E-6</v>
      </c>
      <c r="E43881" s="2">
        <v>1.29031703089449E-5</v>
      </c>
      <c r="F43881" s="2">
        <v>1.2532582246797899E-5</v>
      </c>
    </row>
    <row r="43882" spans="1:6" x14ac:dyDescent="0.25">
      <c r="A43882" s="1" t="str">
        <f t="shared" si="1489"/>
        <v>99999</v>
      </c>
      <c r="B43882" s="1" t="str">
        <f>"59033"</f>
        <v>59033</v>
      </c>
      <c r="C43882" s="2">
        <v>3.7891311695445602E-6</v>
      </c>
      <c r="D43882" s="2">
        <v>0</v>
      </c>
      <c r="E43882" s="2">
        <v>4.3010567696482999E-6</v>
      </c>
      <c r="F43882" s="2">
        <v>3.5525429990923199E-6</v>
      </c>
    </row>
    <row r="43883" spans="1:6" x14ac:dyDescent="0.25">
      <c r="A43883" s="1" t="str">
        <f t="shared" si="1489"/>
        <v>99999</v>
      </c>
      <c r="B43883" s="1" t="str">
        <f>"58439"</f>
        <v>58439</v>
      </c>
      <c r="C43883" s="2">
        <v>1.14756543991921E-5</v>
      </c>
      <c r="D43883" s="2">
        <v>6.0228355811057601E-6</v>
      </c>
      <c r="E43883" s="2">
        <v>4.3010567696482999E-6</v>
      </c>
      <c r="F43883" s="2">
        <v>1.0953674247201299E-5</v>
      </c>
    </row>
    <row r="43884" spans="1:6" x14ac:dyDescent="0.25">
      <c r="A43884" s="1" t="str">
        <f t="shared" si="1489"/>
        <v>99999</v>
      </c>
      <c r="B43884" s="1" t="str">
        <f>"62682"</f>
        <v>62682</v>
      </c>
      <c r="C43884" s="2">
        <v>2.3600874141734699E-5</v>
      </c>
      <c r="D43884" s="2">
        <v>6.0228355811057601E-6</v>
      </c>
      <c r="E43884" s="2">
        <v>8.6021135392965999E-6</v>
      </c>
      <c r="F43884" s="2">
        <v>2.2104711994352199E-5</v>
      </c>
    </row>
    <row r="43885" spans="1:6" x14ac:dyDescent="0.25">
      <c r="A43885" s="1" t="str">
        <f t="shared" si="1489"/>
        <v>99999</v>
      </c>
      <c r="B43885" s="1" t="str">
        <f>"62957"</f>
        <v>62957</v>
      </c>
      <c r="C43885" s="2">
        <v>2.2734787017267302E-6</v>
      </c>
      <c r="D43885" s="2">
        <v>3.01141779055288E-6</v>
      </c>
      <c r="E43885" s="2">
        <v>0</v>
      </c>
      <c r="F43885" s="2">
        <v>2.2696802494200901E-6</v>
      </c>
    </row>
    <row r="43886" spans="1:6" x14ac:dyDescent="0.25">
      <c r="A43886" s="1" t="str">
        <f t="shared" si="1489"/>
        <v>99999</v>
      </c>
      <c r="B43886" s="1" t="str">
        <f>"66428"</f>
        <v>66428</v>
      </c>
      <c r="C43886" s="2">
        <v>2.0244786534423801E-5</v>
      </c>
      <c r="D43886" s="2">
        <v>6.0228355811057601E-6</v>
      </c>
      <c r="E43886" s="2">
        <v>4.3010567696482999E-6</v>
      </c>
      <c r="F43886" s="2">
        <v>1.8946895995158999E-5</v>
      </c>
    </row>
    <row r="43887" spans="1:6" x14ac:dyDescent="0.25">
      <c r="A43887" s="1" t="str">
        <f t="shared" si="1489"/>
        <v>99999</v>
      </c>
      <c r="B43887" s="1" t="str">
        <f>"51637"</f>
        <v>51637</v>
      </c>
      <c r="C43887" s="2">
        <v>9.96000193137428E-6</v>
      </c>
      <c r="D43887" s="2">
        <v>6.0228355811057601E-6</v>
      </c>
      <c r="E43887" s="2">
        <v>4.3010567696482999E-6</v>
      </c>
      <c r="F43887" s="2">
        <v>9.5721297475543202E-6</v>
      </c>
    </row>
    <row r="43888" spans="1:6" x14ac:dyDescent="0.25">
      <c r="A43888" s="1" t="str">
        <f t="shared" si="1489"/>
        <v>99999</v>
      </c>
      <c r="B43888" s="1" t="str">
        <f>"67478"</f>
        <v>67478</v>
      </c>
      <c r="C43888" s="2">
        <v>3.5726093884277301E-6</v>
      </c>
      <c r="D43888" s="2">
        <v>0</v>
      </c>
      <c r="E43888" s="2">
        <v>4.3010567696482999E-6</v>
      </c>
      <c r="F43888" s="2">
        <v>3.35517949914275E-6</v>
      </c>
    </row>
    <row r="43889" spans="1:6" x14ac:dyDescent="0.25">
      <c r="A43889" s="1" t="str">
        <f t="shared" si="1489"/>
        <v>99999</v>
      </c>
      <c r="B43889" s="1" t="str">
        <f>"66840"</f>
        <v>66840</v>
      </c>
      <c r="C43889" s="2">
        <v>1.9270438519397999E-5</v>
      </c>
      <c r="D43889" s="2">
        <v>4.5171266858293203E-6</v>
      </c>
      <c r="E43889" s="2">
        <v>8.6021135392965999E-6</v>
      </c>
      <c r="F43889" s="2">
        <v>1.80587602453859E-5</v>
      </c>
    </row>
    <row r="43890" spans="1:6" x14ac:dyDescent="0.25">
      <c r="A43890" s="1" t="str">
        <f t="shared" si="1489"/>
        <v>99999</v>
      </c>
      <c r="B43890" s="1" t="str">
        <f>"68924"</f>
        <v>68924</v>
      </c>
      <c r="C43890" s="2">
        <v>2.0569569206099001E-6</v>
      </c>
      <c r="D43890" s="2">
        <v>0</v>
      </c>
      <c r="E43890" s="2">
        <v>0</v>
      </c>
      <c r="F43890" s="2">
        <v>1.8749532495209401E-6</v>
      </c>
    </row>
    <row r="43891" spans="1:6" x14ac:dyDescent="0.25">
      <c r="A43891" s="1" t="str">
        <f t="shared" si="1489"/>
        <v>99999</v>
      </c>
      <c r="B43891" s="1" t="str">
        <f>"68768"</f>
        <v>68768</v>
      </c>
      <c r="C43891" s="2">
        <v>1.51565246781782E-6</v>
      </c>
      <c r="D43891" s="2">
        <v>1.50570889527644E-6</v>
      </c>
      <c r="E43891" s="2">
        <v>0</v>
      </c>
      <c r="F43891" s="2">
        <v>1.4802262496218E-6</v>
      </c>
    </row>
    <row r="43892" spans="1:6" x14ac:dyDescent="0.25">
      <c r="A43892" s="1" t="str">
        <f t="shared" si="1489"/>
        <v>99999</v>
      </c>
      <c r="B43892" s="1" t="str">
        <f>"68317"</f>
        <v>68317</v>
      </c>
      <c r="C43892" s="2">
        <v>2.7065222639604001E-6</v>
      </c>
      <c r="D43892" s="2">
        <v>0</v>
      </c>
      <c r="E43892" s="2">
        <v>0</v>
      </c>
      <c r="F43892" s="2">
        <v>2.4670437493696702E-6</v>
      </c>
    </row>
    <row r="43893" spans="1:6" x14ac:dyDescent="0.25">
      <c r="A43893" s="1" t="str">
        <f t="shared" si="1489"/>
        <v>99999</v>
      </c>
      <c r="B43893" s="1" t="str">
        <f>"68379"</f>
        <v>68379</v>
      </c>
      <c r="C43893" s="2">
        <v>4.7634791845703099E-6</v>
      </c>
      <c r="D43893" s="2">
        <v>4.5171266858293203E-6</v>
      </c>
      <c r="E43893" s="2">
        <v>4.3010567696482999E-6</v>
      </c>
      <c r="F43893" s="2">
        <v>4.7367239987897599E-6</v>
      </c>
    </row>
    <row r="43894" spans="1:6" x14ac:dyDescent="0.25">
      <c r="A43894" s="1" t="str">
        <f t="shared" si="1489"/>
        <v>99999</v>
      </c>
      <c r="B43894" s="1" t="str">
        <f>"72823"</f>
        <v>72823</v>
      </c>
      <c r="C43894" s="2">
        <v>1.51565246781782E-5</v>
      </c>
      <c r="D43894" s="2">
        <v>2.1079924533870101E-5</v>
      </c>
      <c r="E43894" s="2">
        <v>0</v>
      </c>
      <c r="F43894" s="2">
        <v>1.5196989496117099E-5</v>
      </c>
    </row>
    <row r="43895" spans="1:6" x14ac:dyDescent="0.25">
      <c r="A43895" s="1" t="str">
        <f t="shared" si="1489"/>
        <v>99999</v>
      </c>
      <c r="B43895" s="1" t="str">
        <f>"71403"</f>
        <v>71403</v>
      </c>
      <c r="C43895" s="2">
        <v>4.5469574034534697E-6</v>
      </c>
      <c r="D43895" s="2">
        <v>7.5285444763821999E-6</v>
      </c>
      <c r="E43895" s="2">
        <v>8.6021135392965999E-6</v>
      </c>
      <c r="F43895" s="2">
        <v>4.8354057487645501E-6</v>
      </c>
    </row>
    <row r="43896" spans="1:6" x14ac:dyDescent="0.25">
      <c r="A43896" s="1" t="str">
        <f t="shared" si="1489"/>
        <v>99999</v>
      </c>
      <c r="B43896" s="1" t="str">
        <f>"71276"</f>
        <v>71276</v>
      </c>
      <c r="C43896" s="2">
        <v>1.15839152897505E-5</v>
      </c>
      <c r="D43896" s="2">
        <v>1.20456711622115E-5</v>
      </c>
      <c r="E43896" s="2">
        <v>4.3010567696482999E-6</v>
      </c>
      <c r="F43896" s="2">
        <v>1.14470829970752E-5</v>
      </c>
    </row>
    <row r="43897" spans="1:6" x14ac:dyDescent="0.25">
      <c r="A43897" s="1" t="str">
        <f t="shared" si="1489"/>
        <v>99999</v>
      </c>
      <c r="B43897" s="1" t="str">
        <f>"79520"</f>
        <v>79520</v>
      </c>
      <c r="C43897" s="2">
        <v>4.2221747317782301E-6</v>
      </c>
      <c r="D43897" s="2">
        <v>7.5285444763821999E-6</v>
      </c>
      <c r="E43897" s="2">
        <v>0</v>
      </c>
      <c r="F43897" s="2">
        <v>4.3419969988906098E-6</v>
      </c>
    </row>
    <row r="43898" spans="1:6" x14ac:dyDescent="0.25">
      <c r="A43898" s="1" t="str">
        <f t="shared" si="1489"/>
        <v>99999</v>
      </c>
      <c r="B43898" s="1" t="str">
        <f>"77967"</f>
        <v>77967</v>
      </c>
      <c r="C43898" s="2">
        <v>2.1652178111683198E-6</v>
      </c>
      <c r="D43898" s="2">
        <v>1.50570889527644E-6</v>
      </c>
      <c r="E43898" s="2">
        <v>0</v>
      </c>
      <c r="F43898" s="2">
        <v>2.0723167494705202E-6</v>
      </c>
    </row>
    <row r="43899" spans="1:6" x14ac:dyDescent="0.25">
      <c r="A43899" s="1" t="str">
        <f t="shared" si="1489"/>
        <v>99999</v>
      </c>
      <c r="B43899" s="1" t="str">
        <f>"29046"</f>
        <v>29046</v>
      </c>
      <c r="C43899" s="2">
        <v>0</v>
      </c>
      <c r="D43899" s="2">
        <v>0</v>
      </c>
      <c r="E43899" s="2">
        <v>8.6021135392965999E-6</v>
      </c>
      <c r="F43899" s="2">
        <v>1.9736349994957301E-7</v>
      </c>
    </row>
    <row r="43900" spans="1:6" x14ac:dyDescent="0.25">
      <c r="A43900" s="1" t="str">
        <f t="shared" si="1489"/>
        <v>99999</v>
      </c>
      <c r="B43900" s="1" t="str">
        <f>"31030"</f>
        <v>31030</v>
      </c>
      <c r="C43900" s="2">
        <v>8.3360885729980396E-6</v>
      </c>
      <c r="D43900" s="2">
        <v>6.0228355811057601E-6</v>
      </c>
      <c r="E43900" s="2">
        <v>0</v>
      </c>
      <c r="F43900" s="2">
        <v>7.9932217479577302E-6</v>
      </c>
    </row>
    <row r="43901" spans="1:6" x14ac:dyDescent="0.25">
      <c r="A43901" s="1" t="str">
        <f t="shared" si="1489"/>
        <v>99999</v>
      </c>
      <c r="B43901" s="1" t="str">
        <f>"35098"</f>
        <v>35098</v>
      </c>
      <c r="C43901" s="2">
        <v>1.33160895386851E-5</v>
      </c>
      <c r="D43901" s="2">
        <v>0</v>
      </c>
      <c r="E43901" s="2">
        <v>0</v>
      </c>
      <c r="F43901" s="2">
        <v>1.2137855246898699E-5</v>
      </c>
    </row>
    <row r="43902" spans="1:6" x14ac:dyDescent="0.25">
      <c r="A43902" s="1" t="str">
        <f t="shared" si="1489"/>
        <v>99999</v>
      </c>
      <c r="B43902" s="1" t="str">
        <f>"38846"</f>
        <v>38846</v>
      </c>
      <c r="C43902" s="2">
        <v>1.5481307349853501E-5</v>
      </c>
      <c r="D43902" s="2">
        <v>3.4631304591358098E-5</v>
      </c>
      <c r="E43902" s="2">
        <v>0</v>
      </c>
      <c r="F43902" s="2">
        <v>1.6381170495814601E-5</v>
      </c>
    </row>
    <row r="43903" spans="1:6" x14ac:dyDescent="0.25">
      <c r="A43903" s="1" t="str">
        <f t="shared" si="1489"/>
        <v>99999</v>
      </c>
      <c r="B43903" s="1" t="str">
        <f>"41386"</f>
        <v>41386</v>
      </c>
      <c r="C43903" s="2">
        <v>5.95434898071288E-6</v>
      </c>
      <c r="D43903" s="2">
        <v>1.50570889527644E-6</v>
      </c>
      <c r="E43903" s="2">
        <v>0</v>
      </c>
      <c r="F43903" s="2">
        <v>5.52617799858806E-6</v>
      </c>
    </row>
    <row r="43904" spans="1:6" x14ac:dyDescent="0.25">
      <c r="A43904" s="1" t="str">
        <f t="shared" si="1489"/>
        <v>99999</v>
      </c>
      <c r="B43904" s="1" t="str">
        <f>"40317"</f>
        <v>40317</v>
      </c>
      <c r="C43904" s="2">
        <v>0</v>
      </c>
      <c r="D43904" s="2">
        <v>0</v>
      </c>
      <c r="E43904" s="2">
        <v>4.3010567696482999E-6</v>
      </c>
      <c r="F43904" s="2">
        <v>9.8681749974786797E-8</v>
      </c>
    </row>
    <row r="43905" spans="1:6" x14ac:dyDescent="0.25">
      <c r="A43905" s="1" t="str">
        <f t="shared" si="1489"/>
        <v>99999</v>
      </c>
      <c r="B43905" s="1" t="str">
        <f>"57312"</f>
        <v>57312</v>
      </c>
      <c r="C43905" s="2">
        <v>4.3304356223366401E-7</v>
      </c>
      <c r="D43905" s="2">
        <v>0</v>
      </c>
      <c r="E43905" s="2">
        <v>0</v>
      </c>
      <c r="F43905" s="2">
        <v>3.9472699989914697E-7</v>
      </c>
    </row>
    <row r="43906" spans="1:6" x14ac:dyDescent="0.25">
      <c r="A43906" s="1" t="str">
        <f t="shared" si="1489"/>
        <v>99999</v>
      </c>
      <c r="B43906" s="1" t="str">
        <f>"57651"</f>
        <v>57651</v>
      </c>
      <c r="C43906" s="2">
        <v>6.7121752146218001E-6</v>
      </c>
      <c r="D43906" s="2">
        <v>0</v>
      </c>
      <c r="E43906" s="2">
        <v>4.3010567696482999E-6</v>
      </c>
      <c r="F43906" s="2">
        <v>6.2169502484115596E-6</v>
      </c>
    </row>
    <row r="43907" spans="1:6" x14ac:dyDescent="0.25">
      <c r="A43907" s="1" t="str">
        <f t="shared" si="1489"/>
        <v>99999</v>
      </c>
      <c r="B43907" s="1" t="str">
        <f>"58372"</f>
        <v>58372</v>
      </c>
      <c r="C43907" s="2">
        <v>4.8717400751287203E-6</v>
      </c>
      <c r="D43907" s="2">
        <v>1.50570889527644E-6</v>
      </c>
      <c r="E43907" s="2">
        <v>4.3010567696482999E-6</v>
      </c>
      <c r="F43907" s="2">
        <v>4.6380422488149798E-6</v>
      </c>
    </row>
    <row r="43908" spans="1:6" x14ac:dyDescent="0.25">
      <c r="A43908" s="1" t="str">
        <f t="shared" si="1489"/>
        <v>99999</v>
      </c>
      <c r="B43908" s="1" t="str">
        <f>"62464"</f>
        <v>62464</v>
      </c>
      <c r="C43908" s="2">
        <v>4.6552182940118902E-6</v>
      </c>
      <c r="D43908" s="2">
        <v>0</v>
      </c>
      <c r="E43908" s="2">
        <v>4.3010567696482999E-6</v>
      </c>
      <c r="F43908" s="2">
        <v>4.3419969988906098E-6</v>
      </c>
    </row>
    <row r="43909" spans="1:6" x14ac:dyDescent="0.25">
      <c r="A43909" s="1" t="str">
        <f t="shared" si="1489"/>
        <v>99999</v>
      </c>
      <c r="B43909" s="1" t="str">
        <f>"64438"</f>
        <v>64438</v>
      </c>
      <c r="C43909" s="2">
        <v>1.43986984442693E-5</v>
      </c>
      <c r="D43909" s="2">
        <v>0</v>
      </c>
      <c r="E43909" s="2">
        <v>4.3010567696482999E-6</v>
      </c>
      <c r="F43909" s="2">
        <v>1.3223354496621401E-5</v>
      </c>
    </row>
    <row r="43910" spans="1:6" x14ac:dyDescent="0.25">
      <c r="A43910" s="1" t="str">
        <f t="shared" ref="A43910:A43973" si="1490">"99999"</f>
        <v>99999</v>
      </c>
      <c r="B43910" s="1" t="str">
        <f>"67628"</f>
        <v>67628</v>
      </c>
      <c r="C43910" s="2">
        <v>7.5782623390891297E-6</v>
      </c>
      <c r="D43910" s="2">
        <v>0</v>
      </c>
      <c r="E43910" s="2">
        <v>8.6021135392965999E-6</v>
      </c>
      <c r="F43910" s="2">
        <v>7.10508599818465E-6</v>
      </c>
    </row>
    <row r="43911" spans="1:6" x14ac:dyDescent="0.25">
      <c r="A43911" s="1" t="str">
        <f t="shared" si="1490"/>
        <v>99999</v>
      </c>
      <c r="B43911" s="1" t="str">
        <f>"67356"</f>
        <v>67356</v>
      </c>
      <c r="C43911" s="2">
        <v>3.3560876073109E-6</v>
      </c>
      <c r="D43911" s="2">
        <v>0</v>
      </c>
      <c r="E43911" s="2">
        <v>0</v>
      </c>
      <c r="F43911" s="2">
        <v>3.0591342492183902E-6</v>
      </c>
    </row>
    <row r="43912" spans="1:6" x14ac:dyDescent="0.25">
      <c r="A43912" s="1" t="str">
        <f t="shared" si="1490"/>
        <v>99999</v>
      </c>
      <c r="B43912" s="1" t="str">
        <f>"68946"</f>
        <v>68946</v>
      </c>
      <c r="C43912" s="2">
        <v>2.7065222639604001E-6</v>
      </c>
      <c r="D43912" s="2">
        <v>3.01141779055288E-6</v>
      </c>
      <c r="E43912" s="2">
        <v>4.3010567696482999E-6</v>
      </c>
      <c r="F43912" s="2">
        <v>2.76308899929403E-6</v>
      </c>
    </row>
    <row r="43913" spans="1:6" x14ac:dyDescent="0.25">
      <c r="A43913" s="1" t="str">
        <f t="shared" si="1490"/>
        <v>99999</v>
      </c>
      <c r="B43913" s="1" t="str">
        <f>"68855"</f>
        <v>68855</v>
      </c>
      <c r="C43913" s="2">
        <v>2.1652178111683201E-5</v>
      </c>
      <c r="D43913" s="2">
        <v>6.0228355811057601E-6</v>
      </c>
      <c r="E43913" s="2">
        <v>4.3010567696482999E-6</v>
      </c>
      <c r="F43913" s="2">
        <v>2.0229758744831201E-5</v>
      </c>
    </row>
    <row r="43914" spans="1:6" x14ac:dyDescent="0.25">
      <c r="A43914" s="1" t="str">
        <f t="shared" si="1490"/>
        <v>99999</v>
      </c>
      <c r="B43914" s="1" t="str">
        <f>"69161"</f>
        <v>69161</v>
      </c>
      <c r="C43914" s="2">
        <v>6.1708707618297202E-6</v>
      </c>
      <c r="D43914" s="2">
        <v>0</v>
      </c>
      <c r="E43914" s="2">
        <v>4.3010567696482999E-6</v>
      </c>
      <c r="F43914" s="2">
        <v>5.7235414985376303E-6</v>
      </c>
    </row>
    <row r="43915" spans="1:6" x14ac:dyDescent="0.25">
      <c r="A43915" s="1" t="str">
        <f t="shared" si="1490"/>
        <v>99999</v>
      </c>
      <c r="B43915" s="1" t="str">
        <f>"73455"</f>
        <v>73455</v>
      </c>
      <c r="C43915" s="2">
        <v>2.1652178111683201E-7</v>
      </c>
      <c r="D43915" s="2">
        <v>0</v>
      </c>
      <c r="E43915" s="2">
        <v>4.3010567696482999E-6</v>
      </c>
      <c r="F43915" s="2">
        <v>2.9604524992435999E-7</v>
      </c>
    </row>
    <row r="43916" spans="1:6" x14ac:dyDescent="0.25">
      <c r="A43916" s="1" t="str">
        <f t="shared" si="1490"/>
        <v>99999</v>
      </c>
      <c r="B43916" s="1" t="str">
        <f>"79854"</f>
        <v>79854</v>
      </c>
      <c r="C43916" s="2">
        <v>1.08260890558416E-7</v>
      </c>
      <c r="D43916" s="2">
        <v>1.50570889527644E-6</v>
      </c>
      <c r="E43916" s="2">
        <v>0</v>
      </c>
      <c r="F43916" s="2">
        <v>1.9736349994957301E-7</v>
      </c>
    </row>
    <row r="43917" spans="1:6" x14ac:dyDescent="0.25">
      <c r="A43917" s="1" t="str">
        <f t="shared" si="1490"/>
        <v>99999</v>
      </c>
      <c r="B43917" s="1" t="str">
        <f>"82243"</f>
        <v>82243</v>
      </c>
      <c r="C43917" s="2">
        <v>1.0068262821932701E-5</v>
      </c>
      <c r="D43917" s="2">
        <v>3.01141779055288E-6</v>
      </c>
      <c r="E43917" s="2">
        <v>7.3117965084021106E-5</v>
      </c>
      <c r="F43917" s="2">
        <v>1.10523559971761E-5</v>
      </c>
    </row>
    <row r="43918" spans="1:6" x14ac:dyDescent="0.25">
      <c r="A43918" s="1" t="str">
        <f t="shared" si="1490"/>
        <v>99999</v>
      </c>
      <c r="B43918" s="1" t="str">
        <f>"99581"</f>
        <v>99581</v>
      </c>
      <c r="C43918" s="2">
        <v>0</v>
      </c>
      <c r="D43918" s="2">
        <v>3.01141779055288E-6</v>
      </c>
      <c r="E43918" s="2">
        <v>4.3010567696482999E-6</v>
      </c>
      <c r="F43918" s="2">
        <v>2.9604524992435999E-7</v>
      </c>
    </row>
    <row r="43919" spans="1:6" x14ac:dyDescent="0.25">
      <c r="A43919" s="1" t="str">
        <f t="shared" si="1490"/>
        <v>99999</v>
      </c>
      <c r="B43919" s="1" t="str">
        <f>"99760"</f>
        <v>99760</v>
      </c>
      <c r="C43919" s="2">
        <v>1.2774785085893101E-5</v>
      </c>
      <c r="D43919" s="2">
        <v>1.50570889527644E-6</v>
      </c>
      <c r="E43919" s="2">
        <v>4.3010567696482999E-6</v>
      </c>
      <c r="F43919" s="2">
        <v>1.18418099969744E-5</v>
      </c>
    </row>
    <row r="43920" spans="1:6" x14ac:dyDescent="0.25">
      <c r="A43920" s="1" t="str">
        <f t="shared" si="1490"/>
        <v>99999</v>
      </c>
      <c r="B43920" s="1" t="str">
        <f>"04768"</f>
        <v>04768</v>
      </c>
      <c r="C43920" s="2">
        <v>5.5646097747025903E-5</v>
      </c>
      <c r="D43920" s="2">
        <v>1.50570889527644E-6</v>
      </c>
      <c r="E43920" s="2">
        <v>4.3010567696482999E-6</v>
      </c>
      <c r="F43920" s="2">
        <v>5.0919782986989899E-5</v>
      </c>
    </row>
    <row r="43921" spans="1:6" x14ac:dyDescent="0.25">
      <c r="A43921" s="1" t="str">
        <f t="shared" si="1490"/>
        <v>99999</v>
      </c>
      <c r="B43921" s="1" t="str">
        <f>"05833"</f>
        <v>05833</v>
      </c>
      <c r="C43921" s="2">
        <v>2.3817395922851499E-6</v>
      </c>
      <c r="D43921" s="2">
        <v>1.50570889527644E-6</v>
      </c>
      <c r="E43921" s="2">
        <v>0</v>
      </c>
      <c r="F43921" s="2">
        <v>2.2696802494200901E-6</v>
      </c>
    </row>
    <row r="43922" spans="1:6" x14ac:dyDescent="0.25">
      <c r="A43922" s="1" t="str">
        <f t="shared" si="1490"/>
        <v>99999</v>
      </c>
      <c r="B43922" s="1" t="str">
        <f>"26348"</f>
        <v>26348</v>
      </c>
      <c r="C43922" s="2">
        <v>1.23417415236594E-5</v>
      </c>
      <c r="D43922" s="2">
        <v>3.01141779055288E-6</v>
      </c>
      <c r="E43922" s="2">
        <v>0</v>
      </c>
      <c r="F43922" s="2">
        <v>1.14470829970752E-5</v>
      </c>
    </row>
    <row r="43923" spans="1:6" x14ac:dyDescent="0.25">
      <c r="A43923" s="1" t="str">
        <f t="shared" si="1490"/>
        <v>99999</v>
      </c>
      <c r="B43923" s="1" t="str">
        <f>"26152"</f>
        <v>26152</v>
      </c>
      <c r="C43923" s="2">
        <v>3.8973920601029803E-6</v>
      </c>
      <c r="D43923" s="2">
        <v>0</v>
      </c>
      <c r="E43923" s="2">
        <v>0</v>
      </c>
      <c r="F43923" s="2">
        <v>3.5525429990923199E-6</v>
      </c>
    </row>
    <row r="43924" spans="1:6" x14ac:dyDescent="0.25">
      <c r="A43924" s="1" t="str">
        <f t="shared" si="1490"/>
        <v>99999</v>
      </c>
      <c r="B43924" s="1" t="str">
        <f>"32437"</f>
        <v>32437</v>
      </c>
      <c r="C43924" s="2">
        <v>3.4102180525900997E-5</v>
      </c>
      <c r="D43924" s="2">
        <v>1.35513800574879E-5</v>
      </c>
      <c r="E43924" s="2">
        <v>4.3010567696482999E-6</v>
      </c>
      <c r="F43924" s="2">
        <v>3.2071568741805697E-5</v>
      </c>
    </row>
    <row r="43925" spans="1:6" x14ac:dyDescent="0.25">
      <c r="A43925" s="1" t="str">
        <f t="shared" si="1490"/>
        <v>99999</v>
      </c>
      <c r="B43925" s="1" t="str">
        <f>"40808"</f>
        <v>40808</v>
      </c>
      <c r="C43925" s="2">
        <v>7.2534796674138799E-6</v>
      </c>
      <c r="D43925" s="2">
        <v>9.0342533716586405E-6</v>
      </c>
      <c r="E43925" s="2">
        <v>1.29031703089449E-5</v>
      </c>
      <c r="F43925" s="2">
        <v>7.4998129980837899E-6</v>
      </c>
    </row>
    <row r="43926" spans="1:6" x14ac:dyDescent="0.25">
      <c r="A43926" s="1" t="str">
        <f t="shared" si="1490"/>
        <v>99999</v>
      </c>
      <c r="B43926" s="1" t="str">
        <f>"40374"</f>
        <v>40374</v>
      </c>
      <c r="C43926" s="2">
        <v>9.3104365880237906E-6</v>
      </c>
      <c r="D43926" s="2">
        <v>0</v>
      </c>
      <c r="E43926" s="2">
        <v>0</v>
      </c>
      <c r="F43926" s="2">
        <v>8.4866304978316595E-6</v>
      </c>
    </row>
    <row r="43927" spans="1:6" x14ac:dyDescent="0.25">
      <c r="A43927" s="1" t="str">
        <f t="shared" si="1490"/>
        <v>99999</v>
      </c>
      <c r="B43927" s="1" t="str">
        <f>"45118"</f>
        <v>45118</v>
      </c>
      <c r="C43927" s="2">
        <v>2.9230440450772301E-6</v>
      </c>
      <c r="D43927" s="2">
        <v>0</v>
      </c>
      <c r="E43927" s="2">
        <v>0</v>
      </c>
      <c r="F43927" s="2">
        <v>2.6644072493192401E-6</v>
      </c>
    </row>
    <row r="43928" spans="1:6" x14ac:dyDescent="0.25">
      <c r="A43928" s="1" t="str">
        <f t="shared" si="1490"/>
        <v>99999</v>
      </c>
      <c r="B43928" s="1" t="str">
        <f>"48426"</f>
        <v>48426</v>
      </c>
      <c r="C43928" s="2">
        <v>4.7526530955144602E-5</v>
      </c>
      <c r="D43928" s="2">
        <v>9.0342533716586405E-6</v>
      </c>
      <c r="E43928" s="2">
        <v>1.29031703089449E-5</v>
      </c>
      <c r="F43928" s="2">
        <v>4.4209423988704398E-5</v>
      </c>
    </row>
    <row r="43929" spans="1:6" x14ac:dyDescent="0.25">
      <c r="A43929" s="1" t="str">
        <f t="shared" si="1490"/>
        <v>99999</v>
      </c>
      <c r="B43929" s="1" t="str">
        <f>"72413"</f>
        <v>72413</v>
      </c>
      <c r="C43929" s="2">
        <v>3.1503919152499101E-5</v>
      </c>
      <c r="D43929" s="2">
        <v>6.0228355811057601E-6</v>
      </c>
      <c r="E43929" s="2">
        <v>8.6021135392965999E-6</v>
      </c>
      <c r="F43929" s="2">
        <v>2.9308479742511601E-5</v>
      </c>
    </row>
    <row r="43930" spans="1:6" x14ac:dyDescent="0.25">
      <c r="A43930" s="1" t="str">
        <f t="shared" si="1490"/>
        <v>99999</v>
      </c>
      <c r="B43930" s="1" t="str">
        <f>"73559"</f>
        <v>73559</v>
      </c>
      <c r="C43930" s="2">
        <v>3.3236093401433701E-5</v>
      </c>
      <c r="D43930" s="2">
        <v>1.0539962266935E-5</v>
      </c>
      <c r="E43930" s="2">
        <v>1.29031703089449E-5</v>
      </c>
      <c r="F43930" s="2">
        <v>3.1282114742007402E-5</v>
      </c>
    </row>
    <row r="43931" spans="1:6" x14ac:dyDescent="0.25">
      <c r="A43931" s="1" t="str">
        <f t="shared" si="1490"/>
        <v>99999</v>
      </c>
      <c r="B43931" s="1" t="str">
        <f>"73762"</f>
        <v>73762</v>
      </c>
      <c r="C43931" s="2">
        <v>4.4170443347833698E-5</v>
      </c>
      <c r="D43931" s="2">
        <v>1.35513800574879E-5</v>
      </c>
      <c r="E43931" s="2">
        <v>0</v>
      </c>
      <c r="F43931" s="2">
        <v>4.1150289739486097E-5</v>
      </c>
    </row>
    <row r="43932" spans="1:6" x14ac:dyDescent="0.25">
      <c r="A43932" s="1" t="str">
        <f t="shared" si="1490"/>
        <v>99999</v>
      </c>
      <c r="B43932" s="1" t="str">
        <f>"79359"</f>
        <v>79359</v>
      </c>
      <c r="C43932" s="2">
        <v>3.2261745386408E-5</v>
      </c>
      <c r="D43932" s="2">
        <v>1.80685067433172E-5</v>
      </c>
      <c r="E43932" s="2">
        <v>3.01073973875381E-5</v>
      </c>
      <c r="F43932" s="2">
        <v>3.1282114742007402E-5</v>
      </c>
    </row>
    <row r="43933" spans="1:6" x14ac:dyDescent="0.25">
      <c r="A43933" s="1" t="str">
        <f t="shared" si="1490"/>
        <v>99999</v>
      </c>
      <c r="B43933" s="1" t="str">
        <f>"79234"</f>
        <v>79234</v>
      </c>
      <c r="C43933" s="2">
        <v>1.2991306867009899E-5</v>
      </c>
      <c r="D43933" s="2">
        <v>1.0539962266935E-5</v>
      </c>
      <c r="E43933" s="2">
        <v>0</v>
      </c>
      <c r="F43933" s="2">
        <v>1.2532582246797899E-5</v>
      </c>
    </row>
    <row r="43934" spans="1:6" x14ac:dyDescent="0.25">
      <c r="A43934" s="1" t="str">
        <f t="shared" si="1490"/>
        <v>99999</v>
      </c>
      <c r="B43934" s="1" t="str">
        <f>"78393"</f>
        <v>78393</v>
      </c>
      <c r="C43934" s="2">
        <v>2.5657831062344601E-5</v>
      </c>
      <c r="D43934" s="2">
        <v>2.8608469010252301E-5</v>
      </c>
      <c r="E43934" s="2">
        <v>1.29031703089449E-5</v>
      </c>
      <c r="F43934" s="2">
        <v>2.5558573243469699E-5</v>
      </c>
    </row>
    <row r="43935" spans="1:6" x14ac:dyDescent="0.25">
      <c r="A43935" s="1" t="str">
        <f t="shared" si="1490"/>
        <v>99999</v>
      </c>
      <c r="B43935" s="1" t="str">
        <f>"78833"</f>
        <v>78833</v>
      </c>
      <c r="C43935" s="2">
        <v>1.23417415236594E-5</v>
      </c>
      <c r="D43935" s="2">
        <v>1.65627978480408E-5</v>
      </c>
      <c r="E43935" s="2">
        <v>4.3010567696482999E-6</v>
      </c>
      <c r="F43935" s="2">
        <v>1.2433900496823101E-5</v>
      </c>
    </row>
    <row r="43936" spans="1:6" x14ac:dyDescent="0.25">
      <c r="A43936" s="1" t="str">
        <f t="shared" si="1490"/>
        <v>99999</v>
      </c>
      <c r="B43936" s="1" t="str">
        <f>"83243"</f>
        <v>83243</v>
      </c>
      <c r="C43936" s="2">
        <v>6.2791316523881298E-6</v>
      </c>
      <c r="D43936" s="2">
        <v>3.01141779055288E-6</v>
      </c>
      <c r="E43936" s="2">
        <v>4.3010567696482999E-6</v>
      </c>
      <c r="F43936" s="2">
        <v>6.0195867484619901E-6</v>
      </c>
    </row>
    <row r="43937" spans="1:6" x14ac:dyDescent="0.25">
      <c r="A43937" s="1" t="str">
        <f t="shared" si="1490"/>
        <v>99999</v>
      </c>
      <c r="B43937" s="1" t="str">
        <f>"84512"</f>
        <v>84512</v>
      </c>
      <c r="C43937" s="2">
        <v>1.6455655364879201E-5</v>
      </c>
      <c r="D43937" s="2">
        <v>2.4091342324423E-5</v>
      </c>
      <c r="E43937" s="2">
        <v>2.15052838482415E-5</v>
      </c>
      <c r="F43937" s="2">
        <v>1.7071942745638099E-5</v>
      </c>
    </row>
    <row r="43938" spans="1:6" x14ac:dyDescent="0.25">
      <c r="A43938" s="1" t="str">
        <f t="shared" si="1490"/>
        <v>99999</v>
      </c>
      <c r="B43938" s="1" t="str">
        <f>"85927"</f>
        <v>85927</v>
      </c>
      <c r="C43938" s="2">
        <v>6.9286969957386301E-6</v>
      </c>
      <c r="D43938" s="2">
        <v>7.5285444763821999E-6</v>
      </c>
      <c r="E43938" s="2">
        <v>8.6021135392965999E-6</v>
      </c>
      <c r="F43938" s="2">
        <v>7.0064042482098597E-6</v>
      </c>
    </row>
    <row r="43939" spans="1:6" x14ac:dyDescent="0.25">
      <c r="A43939" s="1" t="str">
        <f t="shared" si="1490"/>
        <v>99999</v>
      </c>
      <c r="B43939" s="1" t="str">
        <f>"88124"</f>
        <v>88124</v>
      </c>
      <c r="C43939" s="2">
        <v>3.46434849786931E-6</v>
      </c>
      <c r="D43939" s="2">
        <v>0</v>
      </c>
      <c r="E43939" s="2">
        <v>0</v>
      </c>
      <c r="F43939" s="2">
        <v>3.1578159991931699E-6</v>
      </c>
    </row>
    <row r="43940" spans="1:6" x14ac:dyDescent="0.25">
      <c r="A43940" s="1" t="str">
        <f t="shared" si="1490"/>
        <v>99999</v>
      </c>
      <c r="B43940" s="1" t="str">
        <f>"87939"</f>
        <v>87939</v>
      </c>
      <c r="C43940" s="2">
        <v>3.1395658261940598E-6</v>
      </c>
      <c r="D43940" s="2">
        <v>1.50570889527644E-6</v>
      </c>
      <c r="E43940" s="2">
        <v>0</v>
      </c>
      <c r="F43940" s="2">
        <v>2.9604524992435999E-6</v>
      </c>
    </row>
    <row r="43941" spans="1:6" x14ac:dyDescent="0.25">
      <c r="A43941" s="1" t="str">
        <f t="shared" si="1490"/>
        <v>99999</v>
      </c>
      <c r="B43941" s="1" t="str">
        <f>"95527"</f>
        <v>95527</v>
      </c>
      <c r="C43941" s="2">
        <v>1.6347394474320801E-5</v>
      </c>
      <c r="D43941" s="2">
        <v>1.50570889527644E-6</v>
      </c>
      <c r="E43941" s="2">
        <v>8.6021135392965999E-6</v>
      </c>
      <c r="F43941" s="2">
        <v>1.5196989496117099E-5</v>
      </c>
    </row>
    <row r="43942" spans="1:6" x14ac:dyDescent="0.25">
      <c r="A43942" s="1" t="str">
        <f t="shared" si="1490"/>
        <v>99999</v>
      </c>
      <c r="B43942" s="1" t="str">
        <f>"96086"</f>
        <v>96086</v>
      </c>
      <c r="C43942" s="2">
        <v>2.8147831545188202E-6</v>
      </c>
      <c r="D43942" s="2">
        <v>0</v>
      </c>
      <c r="E43942" s="2">
        <v>4.3010567696482999E-6</v>
      </c>
      <c r="F43942" s="2">
        <v>2.6644072493192401E-6</v>
      </c>
    </row>
    <row r="43943" spans="1:6" x14ac:dyDescent="0.25">
      <c r="A43943" s="1" t="str">
        <f t="shared" si="1490"/>
        <v>99999</v>
      </c>
      <c r="B43943" s="1" t="str">
        <f>"98617"</f>
        <v>98617</v>
      </c>
      <c r="C43943" s="2">
        <v>5.7703054667635801E-5</v>
      </c>
      <c r="D43943" s="2">
        <v>3.01141779055288E-6</v>
      </c>
      <c r="E43943" s="2">
        <v>2.15052838482415E-5</v>
      </c>
      <c r="F43943" s="2">
        <v>5.3288144986384798E-5</v>
      </c>
    </row>
    <row r="43944" spans="1:6" x14ac:dyDescent="0.25">
      <c r="A43944" s="1" t="str">
        <f t="shared" si="1490"/>
        <v>99999</v>
      </c>
      <c r="B43944" s="1" t="str">
        <f>"97817"</f>
        <v>97817</v>
      </c>
      <c r="C43944" s="2">
        <v>7.3617405579722903E-6</v>
      </c>
      <c r="D43944" s="2">
        <v>3.01141779055288E-6</v>
      </c>
      <c r="E43944" s="2">
        <v>1.29031703089449E-5</v>
      </c>
      <c r="F43944" s="2">
        <v>7.2037677481594301E-6</v>
      </c>
    </row>
    <row r="43945" spans="1:6" x14ac:dyDescent="0.25">
      <c r="A43945" s="1" t="str">
        <f t="shared" si="1490"/>
        <v>99999</v>
      </c>
      <c r="B43945" s="1" t="str">
        <f>"99154"</f>
        <v>99154</v>
      </c>
      <c r="C43945" s="2">
        <v>1.51565246781782E-6</v>
      </c>
      <c r="D43945" s="2">
        <v>1.50570889527644E-6</v>
      </c>
      <c r="E43945" s="2">
        <v>3.44084541571864E-5</v>
      </c>
      <c r="F43945" s="2">
        <v>2.2696802494200901E-6</v>
      </c>
    </row>
    <row r="43946" spans="1:6" x14ac:dyDescent="0.25">
      <c r="A43946" s="1" t="str">
        <f t="shared" si="1490"/>
        <v>99999</v>
      </c>
      <c r="B43946" s="1" t="str">
        <f>"99155"</f>
        <v>99155</v>
      </c>
      <c r="C43946" s="2">
        <v>0</v>
      </c>
      <c r="D43946" s="2">
        <v>0</v>
      </c>
      <c r="E43946" s="2">
        <v>5.5053526651498196E-4</v>
      </c>
      <c r="F43946" s="2">
        <v>1.26312639967727E-5</v>
      </c>
    </row>
    <row r="43947" spans="1:6" x14ac:dyDescent="0.25">
      <c r="A43947" s="1" t="str">
        <f t="shared" si="1490"/>
        <v>99999</v>
      </c>
      <c r="B43947" s="1" t="str">
        <f>"99116"</f>
        <v>99116</v>
      </c>
      <c r="C43947" s="2">
        <v>6.2358272961647698E-5</v>
      </c>
      <c r="D43947" s="2">
        <v>4.6676975753569603E-5</v>
      </c>
      <c r="E43947" s="2">
        <v>5.5913738005427899E-5</v>
      </c>
      <c r="F43947" s="2">
        <v>6.1182684984367795E-5</v>
      </c>
    </row>
    <row r="43948" spans="1:6" x14ac:dyDescent="0.25">
      <c r="A43948" s="1" t="str">
        <f t="shared" si="1490"/>
        <v>99999</v>
      </c>
      <c r="B43948" s="1" t="str">
        <f>"99141"</f>
        <v>99141</v>
      </c>
      <c r="C43948" s="2">
        <v>6.05178378221546E-5</v>
      </c>
      <c r="D43948" s="2">
        <v>2.55970512196994E-5</v>
      </c>
      <c r="E43948" s="2">
        <v>8.1720078623317706E-5</v>
      </c>
      <c r="F43948" s="2">
        <v>5.87156412349981E-5</v>
      </c>
    </row>
    <row r="43949" spans="1:6" x14ac:dyDescent="0.25">
      <c r="A43949" s="1" t="str">
        <f t="shared" si="1490"/>
        <v>99999</v>
      </c>
      <c r="B43949" s="1" t="str">
        <f>"99609"</f>
        <v>99609</v>
      </c>
      <c r="C43949" s="2">
        <v>0</v>
      </c>
      <c r="D43949" s="2">
        <v>0</v>
      </c>
      <c r="E43949" s="2">
        <v>4.3010567696482999E-6</v>
      </c>
      <c r="F43949" s="2">
        <v>9.8681749974786797E-8</v>
      </c>
    </row>
    <row r="43950" spans="1:6" x14ac:dyDescent="0.25">
      <c r="A43950" s="1" t="str">
        <f t="shared" si="1490"/>
        <v>99999</v>
      </c>
      <c r="B43950" s="1" t="str">
        <f>"04491"</f>
        <v>04491</v>
      </c>
      <c r="C43950" s="2">
        <v>0</v>
      </c>
      <c r="D43950" s="2">
        <v>0</v>
      </c>
      <c r="E43950" s="2">
        <v>8.6021135392965999E-6</v>
      </c>
      <c r="F43950" s="2">
        <v>1.9736349994957301E-7</v>
      </c>
    </row>
    <row r="43951" spans="1:6" x14ac:dyDescent="0.25">
      <c r="A43951" s="1" t="str">
        <f t="shared" si="1490"/>
        <v>99999</v>
      </c>
      <c r="B43951" s="1" t="str">
        <f>"04686"</f>
        <v>04686</v>
      </c>
      <c r="C43951" s="2">
        <v>1.08260890558416E-5</v>
      </c>
      <c r="D43951" s="2">
        <v>3.01141779055288E-6</v>
      </c>
      <c r="E43951" s="2">
        <v>8.6021135392965999E-6</v>
      </c>
      <c r="F43951" s="2">
        <v>1.02629019973778E-5</v>
      </c>
    </row>
    <row r="43952" spans="1:6" x14ac:dyDescent="0.25">
      <c r="A43952" s="1" t="str">
        <f t="shared" si="1490"/>
        <v>99999</v>
      </c>
      <c r="B43952" s="1" t="str">
        <f>"26138"</f>
        <v>26138</v>
      </c>
      <c r="C43952" s="2">
        <v>4.2221747317782301E-6</v>
      </c>
      <c r="D43952" s="2">
        <v>0</v>
      </c>
      <c r="E43952" s="2">
        <v>0</v>
      </c>
      <c r="F43952" s="2">
        <v>3.8485882490166797E-6</v>
      </c>
    </row>
    <row r="43953" spans="1:6" x14ac:dyDescent="0.25">
      <c r="A43953" s="1" t="str">
        <f t="shared" si="1490"/>
        <v>99999</v>
      </c>
      <c r="B43953" s="1" t="str">
        <f>"29819"</f>
        <v>29819</v>
      </c>
      <c r="C43953" s="2">
        <v>8.5526103541148705E-6</v>
      </c>
      <c r="D43953" s="2">
        <v>1.50570889527644E-6</v>
      </c>
      <c r="E43953" s="2">
        <v>8.6021135392965999E-6</v>
      </c>
      <c r="F43953" s="2">
        <v>8.0919034979325103E-6</v>
      </c>
    </row>
    <row r="43954" spans="1:6" x14ac:dyDescent="0.25">
      <c r="A43954" s="1" t="str">
        <f t="shared" si="1490"/>
        <v>99999</v>
      </c>
      <c r="B43954" s="1" t="str">
        <f>"42204"</f>
        <v>42204</v>
      </c>
      <c r="C43954" s="2">
        <v>2.8905657779097099E-5</v>
      </c>
      <c r="D43954" s="2">
        <v>1.50570889527644E-6</v>
      </c>
      <c r="E43954" s="2">
        <v>1.72042270785932E-5</v>
      </c>
      <c r="F43954" s="2">
        <v>2.6841435993142E-5</v>
      </c>
    </row>
    <row r="43955" spans="1:6" x14ac:dyDescent="0.25">
      <c r="A43955" s="1" t="str">
        <f t="shared" si="1490"/>
        <v>99999</v>
      </c>
      <c r="B43955" s="1" t="str">
        <f>"41837"</f>
        <v>41837</v>
      </c>
      <c r="C43955" s="2">
        <v>3.00965275752396E-5</v>
      </c>
      <c r="D43955" s="2">
        <v>4.5171266858293203E-6</v>
      </c>
      <c r="E43955" s="2">
        <v>8.1720078623317706E-5</v>
      </c>
      <c r="F43955" s="2">
        <v>2.9604524992435998E-5</v>
      </c>
    </row>
    <row r="43956" spans="1:6" x14ac:dyDescent="0.25">
      <c r="A43956" s="1" t="str">
        <f t="shared" si="1490"/>
        <v>99999</v>
      </c>
      <c r="B43956" s="1" t="str">
        <f>"40807"</f>
        <v>40807</v>
      </c>
      <c r="C43956" s="2">
        <v>5.4130445279207995E-7</v>
      </c>
      <c r="D43956" s="2">
        <v>0</v>
      </c>
      <c r="E43956" s="2">
        <v>4.3010567696482999E-6</v>
      </c>
      <c r="F43956" s="2">
        <v>5.9209049984871999E-7</v>
      </c>
    </row>
    <row r="43957" spans="1:6" x14ac:dyDescent="0.25">
      <c r="A43957" s="1" t="str">
        <f t="shared" si="1490"/>
        <v>99999</v>
      </c>
      <c r="B43957" s="1" t="str">
        <f>"40468"</f>
        <v>40468</v>
      </c>
      <c r="C43957" s="2">
        <v>6.8204361051802096E-6</v>
      </c>
      <c r="D43957" s="2">
        <v>1.50570889527644E-6</v>
      </c>
      <c r="E43957" s="2">
        <v>0</v>
      </c>
      <c r="F43957" s="2">
        <v>6.3156319983863499E-6</v>
      </c>
    </row>
    <row r="43958" spans="1:6" x14ac:dyDescent="0.25">
      <c r="A43958" s="1" t="str">
        <f t="shared" si="1490"/>
        <v>99999</v>
      </c>
      <c r="B43958" s="1" t="str">
        <f>"47994"</f>
        <v>47994</v>
      </c>
      <c r="C43958" s="2">
        <v>7.1452187768554602E-6</v>
      </c>
      <c r="D43958" s="2">
        <v>1.50570889527644E-6</v>
      </c>
      <c r="E43958" s="2">
        <v>4.3010567696482999E-6</v>
      </c>
      <c r="F43958" s="2">
        <v>6.7103589982854999E-6</v>
      </c>
    </row>
    <row r="43959" spans="1:6" x14ac:dyDescent="0.25">
      <c r="A43959" s="1" t="str">
        <f t="shared" si="1490"/>
        <v>99999</v>
      </c>
      <c r="B43959" s="1" t="str">
        <f>"50262"</f>
        <v>50262</v>
      </c>
      <c r="C43959" s="2">
        <v>2.5116526609552499E-5</v>
      </c>
      <c r="D43959" s="2">
        <v>6.0228355811057601E-6</v>
      </c>
      <c r="E43959" s="2">
        <v>8.6021135392965999E-6</v>
      </c>
      <c r="F43959" s="2">
        <v>2.3486256493999199E-5</v>
      </c>
    </row>
    <row r="43960" spans="1:6" x14ac:dyDescent="0.25">
      <c r="A43960" s="1" t="str">
        <f t="shared" si="1490"/>
        <v>99999</v>
      </c>
      <c r="B43960" s="1" t="str">
        <f>"50026"</f>
        <v>50026</v>
      </c>
      <c r="C43960" s="2">
        <v>4.7634791845703099E-6</v>
      </c>
      <c r="D43960" s="2">
        <v>1.50570889527644E-6</v>
      </c>
      <c r="E43960" s="2">
        <v>0</v>
      </c>
      <c r="F43960" s="2">
        <v>4.4406787488654001E-6</v>
      </c>
    </row>
    <row r="43961" spans="1:6" x14ac:dyDescent="0.25">
      <c r="A43961" s="1" t="str">
        <f t="shared" si="1490"/>
        <v>99999</v>
      </c>
      <c r="B43961" s="1" t="str">
        <f>"54909"</f>
        <v>54909</v>
      </c>
      <c r="C43961" s="2">
        <v>1.14756543991921E-5</v>
      </c>
      <c r="D43961" s="2">
        <v>6.0228355811057601E-6</v>
      </c>
      <c r="E43961" s="2">
        <v>0</v>
      </c>
      <c r="F43961" s="2">
        <v>1.08549924972265E-5</v>
      </c>
    </row>
    <row r="43962" spans="1:6" x14ac:dyDescent="0.25">
      <c r="A43962" s="1" t="str">
        <f t="shared" si="1490"/>
        <v>99999</v>
      </c>
      <c r="B43962" s="1" t="str">
        <f>"57332"</f>
        <v>57332</v>
      </c>
      <c r="C43962" s="2">
        <v>4.1139138412198104E-6</v>
      </c>
      <c r="D43962" s="2">
        <v>1.50570889527644E-6</v>
      </c>
      <c r="E43962" s="2">
        <v>4.3010567696482999E-6</v>
      </c>
      <c r="F43962" s="2">
        <v>3.94726999899147E-6</v>
      </c>
    </row>
    <row r="43963" spans="1:6" x14ac:dyDescent="0.25">
      <c r="A43963" s="1" t="str">
        <f t="shared" si="1490"/>
        <v>99999</v>
      </c>
      <c r="B43963" s="1" t="str">
        <f>"56591"</f>
        <v>56591</v>
      </c>
      <c r="C43963" s="2">
        <v>1.18004370708673E-5</v>
      </c>
      <c r="D43963" s="2">
        <v>1.50570889527644E-6</v>
      </c>
      <c r="E43963" s="2">
        <v>8.6021135392965999E-6</v>
      </c>
      <c r="F43963" s="2">
        <v>1.10523559971761E-5</v>
      </c>
    </row>
    <row r="43964" spans="1:6" x14ac:dyDescent="0.25">
      <c r="A43964" s="1" t="str">
        <f t="shared" si="1490"/>
        <v>99999</v>
      </c>
      <c r="B43964" s="1" t="str">
        <f>"58043"</f>
        <v>58043</v>
      </c>
      <c r="C43964" s="2">
        <v>1.1150871727516799E-5</v>
      </c>
      <c r="D43964" s="2">
        <v>6.0228355811057601E-6</v>
      </c>
      <c r="E43964" s="2">
        <v>1.29031703089449E-5</v>
      </c>
      <c r="F43964" s="2">
        <v>1.08549924972265E-5</v>
      </c>
    </row>
    <row r="43965" spans="1:6" x14ac:dyDescent="0.25">
      <c r="A43965" s="1" t="str">
        <f t="shared" si="1490"/>
        <v>99999</v>
      </c>
      <c r="B43965" s="1" t="str">
        <f>"57652"</f>
        <v>57652</v>
      </c>
      <c r="C43965" s="2">
        <v>7.2534796674138799E-6</v>
      </c>
      <c r="D43965" s="2">
        <v>4.5171266858293203E-6</v>
      </c>
      <c r="E43965" s="2">
        <v>4.3010567696482999E-6</v>
      </c>
      <c r="F43965" s="2">
        <v>7.0064042482098597E-6</v>
      </c>
    </row>
    <row r="43966" spans="1:6" x14ac:dyDescent="0.25">
      <c r="A43966" s="1" t="str">
        <f t="shared" si="1490"/>
        <v>99999</v>
      </c>
      <c r="B43966" s="1" t="str">
        <f>"57766"</f>
        <v>57766</v>
      </c>
      <c r="C43966" s="2">
        <v>2.15439172211248E-5</v>
      </c>
      <c r="D43966" s="2">
        <v>4.5171266858293203E-6</v>
      </c>
      <c r="E43966" s="2">
        <v>4.3010567696482999E-6</v>
      </c>
      <c r="F43966" s="2">
        <v>2.0032395244881699E-5</v>
      </c>
    </row>
    <row r="43967" spans="1:6" x14ac:dyDescent="0.25">
      <c r="A43967" s="1" t="str">
        <f t="shared" si="1490"/>
        <v>99999</v>
      </c>
      <c r="B43967" s="1" t="str">
        <f>"58031"</f>
        <v>58031</v>
      </c>
      <c r="C43967" s="2">
        <v>1.62391335837624E-5</v>
      </c>
      <c r="D43967" s="2">
        <v>1.50570889527644E-6</v>
      </c>
      <c r="E43967" s="2">
        <v>3.01073973875381E-5</v>
      </c>
      <c r="F43967" s="2">
        <v>1.5591716496016299E-5</v>
      </c>
    </row>
    <row r="43968" spans="1:6" x14ac:dyDescent="0.25">
      <c r="A43968" s="1" t="str">
        <f t="shared" si="1490"/>
        <v>99999</v>
      </c>
      <c r="B43968" s="1" t="str">
        <f>"59052"</f>
        <v>59052</v>
      </c>
      <c r="C43968" s="2">
        <v>1.7321742489346501E-5</v>
      </c>
      <c r="D43968" s="2">
        <v>6.0228355811057601E-6</v>
      </c>
      <c r="E43968" s="2">
        <v>8.6021135392965999E-6</v>
      </c>
      <c r="F43968" s="2">
        <v>1.6381170495814601E-5</v>
      </c>
    </row>
    <row r="43969" spans="1:6" x14ac:dyDescent="0.25">
      <c r="A43969" s="1" t="str">
        <f t="shared" si="1490"/>
        <v>99999</v>
      </c>
      <c r="B43969" s="1" t="str">
        <f>"58331"</f>
        <v>58331</v>
      </c>
      <c r="C43969" s="2">
        <v>5.5213054184792198E-6</v>
      </c>
      <c r="D43969" s="2">
        <v>1.50570889527644E-6</v>
      </c>
      <c r="E43969" s="2">
        <v>4.3010567696482999E-6</v>
      </c>
      <c r="F43969" s="2">
        <v>5.2301327486637002E-6</v>
      </c>
    </row>
    <row r="43970" spans="1:6" x14ac:dyDescent="0.25">
      <c r="A43970" s="1" t="str">
        <f t="shared" si="1490"/>
        <v>99999</v>
      </c>
      <c r="B43970" s="1" t="str">
        <f>"58317"</f>
        <v>58317</v>
      </c>
      <c r="C43970" s="2">
        <v>1.05013063841663E-5</v>
      </c>
      <c r="D43970" s="2">
        <v>1.50570889527644E-6</v>
      </c>
      <c r="E43970" s="2">
        <v>3.01073973875381E-5</v>
      </c>
      <c r="F43970" s="2">
        <v>1.03615837473526E-5</v>
      </c>
    </row>
    <row r="43971" spans="1:6" x14ac:dyDescent="0.25">
      <c r="A43971" s="1" t="str">
        <f t="shared" si="1490"/>
        <v>99999</v>
      </c>
      <c r="B43971" s="1" t="str">
        <f>"61876"</f>
        <v>61876</v>
      </c>
      <c r="C43971" s="2">
        <v>2.3817395922851499E-6</v>
      </c>
      <c r="D43971" s="2">
        <v>3.01141779055288E-6</v>
      </c>
      <c r="E43971" s="2">
        <v>0</v>
      </c>
      <c r="F43971" s="2">
        <v>2.3683619993948799E-6</v>
      </c>
    </row>
    <row r="43972" spans="1:6" x14ac:dyDescent="0.25">
      <c r="A43972" s="1" t="str">
        <f t="shared" si="1490"/>
        <v>99999</v>
      </c>
      <c r="B43972" s="1" t="str">
        <f>"62054"</f>
        <v>62054</v>
      </c>
      <c r="C43972" s="2">
        <v>1.8079568723255499E-5</v>
      </c>
      <c r="D43972" s="2">
        <v>0</v>
      </c>
      <c r="E43972" s="2">
        <v>2.15052838482415E-5</v>
      </c>
      <c r="F43972" s="2">
        <v>1.6973260995663299E-5</v>
      </c>
    </row>
    <row r="43973" spans="1:6" x14ac:dyDescent="0.25">
      <c r="A43973" s="1" t="str">
        <f t="shared" si="1490"/>
        <v>99999</v>
      </c>
      <c r="B43973" s="1" t="str">
        <f>"62883"</f>
        <v>62883</v>
      </c>
      <c r="C43973" s="2">
        <v>9.8517410408158696E-6</v>
      </c>
      <c r="D43973" s="2">
        <v>3.01141779055288E-6</v>
      </c>
      <c r="E43973" s="2">
        <v>0</v>
      </c>
      <c r="F43973" s="2">
        <v>9.1774027476551693E-6</v>
      </c>
    </row>
    <row r="43974" spans="1:6" x14ac:dyDescent="0.25">
      <c r="A43974" s="1" t="str">
        <f t="shared" ref="A43974:A44037" si="1491">"99999"</f>
        <v>99999</v>
      </c>
      <c r="B43974" s="1" t="str">
        <f>"67553"</f>
        <v>67553</v>
      </c>
      <c r="C43974" s="2">
        <v>6.7121752146218001E-6</v>
      </c>
      <c r="D43974" s="2">
        <v>1.20456711622115E-5</v>
      </c>
      <c r="E43974" s="2">
        <v>4.3010567696482999E-6</v>
      </c>
      <c r="F43974" s="2">
        <v>7.0064042482098597E-6</v>
      </c>
    </row>
    <row r="43975" spans="1:6" x14ac:dyDescent="0.25">
      <c r="A43975" s="1" t="str">
        <f t="shared" si="1491"/>
        <v>99999</v>
      </c>
      <c r="B43975" s="1" t="str">
        <f>"66854"</f>
        <v>66854</v>
      </c>
      <c r="C43975" s="2">
        <v>1.09343499464E-5</v>
      </c>
      <c r="D43975" s="2">
        <v>4.5171266858293203E-6</v>
      </c>
      <c r="E43975" s="2">
        <v>0</v>
      </c>
      <c r="F43975" s="2">
        <v>1.02629019973778E-5</v>
      </c>
    </row>
    <row r="43976" spans="1:6" x14ac:dyDescent="0.25">
      <c r="A43976" s="1" t="str">
        <f t="shared" si="1491"/>
        <v>99999</v>
      </c>
      <c r="B43976" s="1" t="str">
        <f>"68667"</f>
        <v>68667</v>
      </c>
      <c r="C43976" s="2">
        <v>4.98000096568714E-6</v>
      </c>
      <c r="D43976" s="2">
        <v>6.0228355811057601E-6</v>
      </c>
      <c r="E43976" s="2">
        <v>1.29031703089449E-5</v>
      </c>
      <c r="F43976" s="2">
        <v>5.2301327486637002E-6</v>
      </c>
    </row>
    <row r="43977" spans="1:6" x14ac:dyDescent="0.25">
      <c r="A43977" s="1" t="str">
        <f t="shared" si="1491"/>
        <v>99999</v>
      </c>
      <c r="B43977" s="1" t="str">
        <f>"68711"</f>
        <v>68711</v>
      </c>
      <c r="C43977" s="2">
        <v>1.41821766631525E-5</v>
      </c>
      <c r="D43977" s="2">
        <v>1.50570889527644E-6</v>
      </c>
      <c r="E43977" s="2">
        <v>0</v>
      </c>
      <c r="F43977" s="2">
        <v>1.30259909966718E-5</v>
      </c>
    </row>
    <row r="43978" spans="1:6" x14ac:dyDescent="0.25">
      <c r="A43978" s="1" t="str">
        <f t="shared" si="1491"/>
        <v>99999</v>
      </c>
      <c r="B43978" s="1" t="str">
        <f>"68344"</f>
        <v>68344</v>
      </c>
      <c r="C43978" s="2">
        <v>2.4142178594526799E-5</v>
      </c>
      <c r="D43978" s="2">
        <v>3.01141779055288E-6</v>
      </c>
      <c r="E43978" s="2">
        <v>8.6021135392965999E-6</v>
      </c>
      <c r="F43978" s="2">
        <v>2.2400757244276601E-5</v>
      </c>
    </row>
    <row r="43979" spans="1:6" x14ac:dyDescent="0.25">
      <c r="A43979" s="1" t="str">
        <f t="shared" si="1491"/>
        <v>99999</v>
      </c>
      <c r="B43979" s="1" t="str">
        <f>"72578"</f>
        <v>72578</v>
      </c>
      <c r="C43979" s="2">
        <v>8.2278276824396208E-6</v>
      </c>
      <c r="D43979" s="2">
        <v>0</v>
      </c>
      <c r="E43979" s="2">
        <v>4.3010567696482999E-6</v>
      </c>
      <c r="F43979" s="2">
        <v>7.5984947480585801E-6</v>
      </c>
    </row>
    <row r="43980" spans="1:6" x14ac:dyDescent="0.25">
      <c r="A43980" s="1" t="str">
        <f t="shared" si="1491"/>
        <v>99999</v>
      </c>
      <c r="B43980" s="1" t="str">
        <f>"72685"</f>
        <v>72685</v>
      </c>
      <c r="C43980" s="2">
        <v>6.3873925429465503E-6</v>
      </c>
      <c r="D43980" s="2">
        <v>4.5171266858293203E-6</v>
      </c>
      <c r="E43980" s="2">
        <v>0</v>
      </c>
      <c r="F43980" s="2">
        <v>6.1182684984367804E-6</v>
      </c>
    </row>
    <row r="43981" spans="1:6" x14ac:dyDescent="0.25">
      <c r="A43981" s="1" t="str">
        <f t="shared" si="1491"/>
        <v>99999</v>
      </c>
      <c r="B43981" s="1" t="str">
        <f>"72752"</f>
        <v>72752</v>
      </c>
      <c r="C43981" s="2">
        <v>3.7891311695445602E-6</v>
      </c>
      <c r="D43981" s="2">
        <v>0</v>
      </c>
      <c r="E43981" s="2">
        <v>0</v>
      </c>
      <c r="F43981" s="2">
        <v>3.4538612491175301E-6</v>
      </c>
    </row>
    <row r="43982" spans="1:6" x14ac:dyDescent="0.25">
      <c r="A43982" s="1" t="str">
        <f t="shared" si="1491"/>
        <v>99999</v>
      </c>
      <c r="B43982" s="1" t="str">
        <f>"71328"</f>
        <v>71328</v>
      </c>
      <c r="C43982" s="2">
        <v>2.14356563305664E-5</v>
      </c>
      <c r="D43982" s="2">
        <v>1.50570889527644E-6</v>
      </c>
      <c r="E43982" s="2">
        <v>8.6021135392965999E-6</v>
      </c>
      <c r="F43982" s="2">
        <v>1.9835031744932101E-5</v>
      </c>
    </row>
    <row r="43983" spans="1:6" x14ac:dyDescent="0.25">
      <c r="A43983" s="1" t="str">
        <f t="shared" si="1491"/>
        <v>99999</v>
      </c>
      <c r="B43983" s="1" t="str">
        <f>"73622"</f>
        <v>73622</v>
      </c>
      <c r="C43983" s="2">
        <v>9.8517410408158696E-6</v>
      </c>
      <c r="D43983" s="2">
        <v>1.50570889527644E-6</v>
      </c>
      <c r="E43983" s="2">
        <v>1.29031703089449E-5</v>
      </c>
      <c r="F43983" s="2">
        <v>9.3747662476047397E-6</v>
      </c>
    </row>
    <row r="43984" spans="1:6" x14ac:dyDescent="0.25">
      <c r="A43984" s="1" t="str">
        <f t="shared" si="1491"/>
        <v>99999</v>
      </c>
      <c r="B43984" s="1" t="str">
        <f>"74724"</f>
        <v>74724</v>
      </c>
      <c r="C43984" s="2">
        <v>7.5782623390891299E-7</v>
      </c>
      <c r="D43984" s="2">
        <v>1.50570889527644E-6</v>
      </c>
      <c r="E43984" s="2">
        <v>4.3010567696482999E-6</v>
      </c>
      <c r="F43984" s="2">
        <v>8.8813574977308104E-7</v>
      </c>
    </row>
    <row r="43985" spans="1:6" x14ac:dyDescent="0.25">
      <c r="A43985" s="1" t="str">
        <f t="shared" si="1491"/>
        <v>99999</v>
      </c>
      <c r="B43985" s="1" t="str">
        <f>"75640"</f>
        <v>75640</v>
      </c>
      <c r="C43985" s="2">
        <v>3.6808702789861401E-6</v>
      </c>
      <c r="D43985" s="2">
        <v>0</v>
      </c>
      <c r="E43985" s="2">
        <v>0</v>
      </c>
      <c r="F43985" s="2">
        <v>3.35517949914275E-6</v>
      </c>
    </row>
    <row r="43986" spans="1:6" x14ac:dyDescent="0.25">
      <c r="A43986" s="1" t="str">
        <f t="shared" si="1491"/>
        <v>99999</v>
      </c>
      <c r="B43986" s="1" t="str">
        <f>"76865"</f>
        <v>76865</v>
      </c>
      <c r="C43986" s="2">
        <v>1.0284784603049499E-5</v>
      </c>
      <c r="D43986" s="2">
        <v>3.01141779055288E-6</v>
      </c>
      <c r="E43986" s="2">
        <v>8.6021135392965999E-6</v>
      </c>
      <c r="F43986" s="2">
        <v>9.7694932475038906E-6</v>
      </c>
    </row>
    <row r="43987" spans="1:6" x14ac:dyDescent="0.25">
      <c r="A43987" s="1" t="str">
        <f t="shared" si="1491"/>
        <v>99999</v>
      </c>
      <c r="B43987" s="1" t="str">
        <f>"84027"</f>
        <v>84027</v>
      </c>
      <c r="C43987" s="2">
        <v>2.5982613734019799E-5</v>
      </c>
      <c r="D43987" s="2">
        <v>0</v>
      </c>
      <c r="E43987" s="2">
        <v>1.72042270785932E-5</v>
      </c>
      <c r="F43987" s="2">
        <v>2.4078346993847899E-5</v>
      </c>
    </row>
    <row r="43988" spans="1:6" x14ac:dyDescent="0.25">
      <c r="A43988" s="1" t="str">
        <f t="shared" si="1491"/>
        <v>99999</v>
      </c>
      <c r="B43988" s="1" t="str">
        <f>"88419"</f>
        <v>88419</v>
      </c>
      <c r="C43988" s="2">
        <v>5.0882618562455504E-6</v>
      </c>
      <c r="D43988" s="2">
        <v>0</v>
      </c>
      <c r="E43988" s="2">
        <v>4.3010567696482999E-6</v>
      </c>
      <c r="F43988" s="2">
        <v>4.7367239987897599E-6</v>
      </c>
    </row>
    <row r="43989" spans="1:6" x14ac:dyDescent="0.25">
      <c r="A43989" s="1" t="str">
        <f t="shared" si="1491"/>
        <v>99999</v>
      </c>
      <c r="B43989" s="1" t="str">
        <f>"93541"</f>
        <v>93541</v>
      </c>
      <c r="C43989" s="2">
        <v>1.0393045493607899E-5</v>
      </c>
      <c r="D43989" s="2">
        <v>1.50570889527644E-6</v>
      </c>
      <c r="E43989" s="2">
        <v>8.6021135392965999E-6</v>
      </c>
      <c r="F43989" s="2">
        <v>9.7694932475038906E-6</v>
      </c>
    </row>
    <row r="43990" spans="1:6" x14ac:dyDescent="0.25">
      <c r="A43990" s="1" t="str">
        <f t="shared" si="1491"/>
        <v>99999</v>
      </c>
      <c r="B43990" s="1" t="str">
        <f>"04226"</f>
        <v>04226</v>
      </c>
      <c r="C43990" s="2">
        <v>3.7891311695445602E-6</v>
      </c>
      <c r="D43990" s="2">
        <v>0</v>
      </c>
      <c r="E43990" s="2">
        <v>4.3010567696482999E-6</v>
      </c>
      <c r="F43990" s="2">
        <v>3.5525429990923199E-6</v>
      </c>
    </row>
    <row r="43991" spans="1:6" x14ac:dyDescent="0.25">
      <c r="A43991" s="1" t="str">
        <f t="shared" si="1491"/>
        <v>99999</v>
      </c>
      <c r="B43991" s="1" t="str">
        <f>"04677"</f>
        <v>04677</v>
      </c>
      <c r="C43991" s="2">
        <v>2.1219134549449501E-5</v>
      </c>
      <c r="D43991" s="2">
        <v>9.0342533716586405E-6</v>
      </c>
      <c r="E43991" s="2">
        <v>3.44084541571864E-5</v>
      </c>
      <c r="F43991" s="2">
        <v>2.07231674947052E-5</v>
      </c>
    </row>
    <row r="43992" spans="1:6" x14ac:dyDescent="0.25">
      <c r="A43992" s="1" t="str">
        <f t="shared" si="1491"/>
        <v>99999</v>
      </c>
      <c r="B43992" s="1" t="str">
        <f>"12852"</f>
        <v>12852</v>
      </c>
      <c r="C43992" s="2">
        <v>1.93786994099564E-5</v>
      </c>
      <c r="D43992" s="2">
        <v>7.5285444763821999E-6</v>
      </c>
      <c r="E43992" s="2">
        <v>4.3010567696482999E-6</v>
      </c>
      <c r="F43992" s="2">
        <v>1.8256123745335501E-5</v>
      </c>
    </row>
    <row r="43993" spans="1:6" x14ac:dyDescent="0.25">
      <c r="A43993" s="1" t="str">
        <f t="shared" si="1491"/>
        <v>99999</v>
      </c>
      <c r="B43993" s="1" t="str">
        <f>"03847"</f>
        <v>03847</v>
      </c>
      <c r="C43993" s="2">
        <v>1.1908697961425701E-5</v>
      </c>
      <c r="D43993" s="2">
        <v>9.0342533716586405E-6</v>
      </c>
      <c r="E43993" s="2">
        <v>8.6021135392965999E-6</v>
      </c>
      <c r="F43993" s="2">
        <v>1.1644446497024801E-5</v>
      </c>
    </row>
    <row r="43994" spans="1:6" x14ac:dyDescent="0.25">
      <c r="A43994" s="1" t="str">
        <f t="shared" si="1491"/>
        <v>99999</v>
      </c>
      <c r="B43994" s="1" t="str">
        <f>"04733"</f>
        <v>04733</v>
      </c>
      <c r="C43994" s="2">
        <v>7.2534796674138799E-6</v>
      </c>
      <c r="D43994" s="2">
        <v>1.50570889527644E-6</v>
      </c>
      <c r="E43994" s="2">
        <v>4.3010567696482999E-6</v>
      </c>
      <c r="F43994" s="2">
        <v>6.8090407482602902E-6</v>
      </c>
    </row>
    <row r="43995" spans="1:6" x14ac:dyDescent="0.25">
      <c r="A43995" s="1" t="str">
        <f t="shared" si="1491"/>
        <v>99999</v>
      </c>
      <c r="B43995" s="1" t="str">
        <f>"04776"</f>
        <v>04776</v>
      </c>
      <c r="C43995" s="2">
        <v>4.9800009656871403E-5</v>
      </c>
      <c r="D43995" s="2">
        <v>2.25856334291466E-5</v>
      </c>
      <c r="E43995" s="2">
        <v>2.58063406178898E-5</v>
      </c>
      <c r="F43995" s="2">
        <v>4.7465921737872403E-5</v>
      </c>
    </row>
    <row r="43996" spans="1:6" x14ac:dyDescent="0.25">
      <c r="A43996" s="1" t="str">
        <f t="shared" si="1491"/>
        <v>99999</v>
      </c>
      <c r="B43996" s="1" t="str">
        <f>"04764"</f>
        <v>04764</v>
      </c>
      <c r="C43996" s="2">
        <v>4.8717400751287203E-6</v>
      </c>
      <c r="D43996" s="2">
        <v>6.0228355811057601E-6</v>
      </c>
      <c r="E43996" s="2">
        <v>0</v>
      </c>
      <c r="F43996" s="2">
        <v>4.8354057487645501E-6</v>
      </c>
    </row>
    <row r="43997" spans="1:6" x14ac:dyDescent="0.25">
      <c r="A43997" s="1" t="str">
        <f t="shared" si="1491"/>
        <v>99999</v>
      </c>
      <c r="B43997" s="1" t="str">
        <f>"12407"</f>
        <v>12407</v>
      </c>
      <c r="C43997" s="2">
        <v>6.2791316523881298E-6</v>
      </c>
      <c r="D43997" s="2">
        <v>1.50570889527644E-5</v>
      </c>
      <c r="E43997" s="2">
        <v>2.15052838482415E-5</v>
      </c>
      <c r="F43997" s="2">
        <v>7.2037677481594301E-6</v>
      </c>
    </row>
    <row r="43998" spans="1:6" x14ac:dyDescent="0.25">
      <c r="A43998" s="1" t="str">
        <f t="shared" si="1491"/>
        <v>99999</v>
      </c>
      <c r="B43998" s="1" t="str">
        <f>"13052"</f>
        <v>13052</v>
      </c>
      <c r="C43998" s="2">
        <v>1.5914350912087102E-5</v>
      </c>
      <c r="D43998" s="2">
        <v>1.50570889527644E-6</v>
      </c>
      <c r="E43998" s="2">
        <v>3.8709510926834699E-5</v>
      </c>
      <c r="F43998" s="2">
        <v>1.5493034746041499E-5</v>
      </c>
    </row>
    <row r="43999" spans="1:6" x14ac:dyDescent="0.25">
      <c r="A43999" s="1" t="str">
        <f t="shared" si="1491"/>
        <v>99999</v>
      </c>
      <c r="B43999" s="1" t="str">
        <f>"14754"</f>
        <v>14754</v>
      </c>
      <c r="C43999" s="2">
        <v>3.7025224570978301E-5</v>
      </c>
      <c r="D43999" s="2">
        <v>3.01141779055288E-6</v>
      </c>
      <c r="E43999" s="2">
        <v>3.8709510926834699E-5</v>
      </c>
      <c r="F43999" s="2">
        <v>3.4834657741099703E-5</v>
      </c>
    </row>
    <row r="44000" spans="1:6" x14ac:dyDescent="0.25">
      <c r="A44000" s="1" t="str">
        <f t="shared" si="1491"/>
        <v>99999</v>
      </c>
      <c r="B44000" s="1" t="str">
        <f>"15346"</f>
        <v>15346</v>
      </c>
      <c r="C44000" s="2">
        <v>0</v>
      </c>
      <c r="D44000" s="2">
        <v>0</v>
      </c>
      <c r="E44000" s="2">
        <v>1.72042270785932E-5</v>
      </c>
      <c r="F44000" s="2">
        <v>3.9472699989914697E-7</v>
      </c>
    </row>
    <row r="44001" spans="1:6" x14ac:dyDescent="0.25">
      <c r="A44001" s="1" t="str">
        <f t="shared" si="1491"/>
        <v>99999</v>
      </c>
      <c r="B44001" s="1" t="str">
        <f>"15322"</f>
        <v>15322</v>
      </c>
      <c r="C44001" s="2">
        <v>4.5469574034534697E-5</v>
      </c>
      <c r="D44001" s="2">
        <v>1.35513800574879E-5</v>
      </c>
      <c r="E44001" s="2">
        <v>1.72042270785932E-5</v>
      </c>
      <c r="F44001" s="2">
        <v>4.2729197739082599E-5</v>
      </c>
    </row>
    <row r="44002" spans="1:6" x14ac:dyDescent="0.25">
      <c r="A44002" s="1" t="str">
        <f t="shared" si="1491"/>
        <v>99999</v>
      </c>
      <c r="B44002" s="1" t="str">
        <f>"15770"</f>
        <v>15770</v>
      </c>
      <c r="C44002" s="2">
        <v>1.07178281652832E-5</v>
      </c>
      <c r="D44002" s="2">
        <v>6.0228355811057601E-6</v>
      </c>
      <c r="E44002" s="2">
        <v>4.3010567696482999E-6</v>
      </c>
      <c r="F44002" s="2">
        <v>1.02629019973778E-5</v>
      </c>
    </row>
    <row r="44003" spans="1:6" x14ac:dyDescent="0.25">
      <c r="A44003" s="1" t="str">
        <f t="shared" si="1491"/>
        <v>99999</v>
      </c>
      <c r="B44003" s="1" t="str">
        <f>"16674"</f>
        <v>16674</v>
      </c>
      <c r="C44003" s="2">
        <v>1.1908697961425701E-6</v>
      </c>
      <c r="D44003" s="2">
        <v>0</v>
      </c>
      <c r="E44003" s="2">
        <v>0</v>
      </c>
      <c r="F44003" s="2">
        <v>1.0854992497226499E-6</v>
      </c>
    </row>
    <row r="44004" spans="1:6" x14ac:dyDescent="0.25">
      <c r="A44004" s="1" t="str">
        <f t="shared" si="1491"/>
        <v>99999</v>
      </c>
      <c r="B44004" s="1" t="str">
        <f>"16943"</f>
        <v>16943</v>
      </c>
      <c r="C44004" s="2">
        <v>2.85808751074218E-5</v>
      </c>
      <c r="D44004" s="2">
        <v>4.5171266858293203E-6</v>
      </c>
      <c r="E44004" s="2">
        <v>0</v>
      </c>
      <c r="F44004" s="2">
        <v>2.6348027243268001E-5</v>
      </c>
    </row>
    <row r="44005" spans="1:6" x14ac:dyDescent="0.25">
      <c r="A44005" s="1" t="str">
        <f t="shared" si="1491"/>
        <v>99999</v>
      </c>
      <c r="B44005" s="1" t="str">
        <f>"26325"</f>
        <v>26325</v>
      </c>
      <c r="C44005" s="2">
        <v>1.4723481115944499E-5</v>
      </c>
      <c r="D44005" s="2">
        <v>1.35513800574879E-5</v>
      </c>
      <c r="E44005" s="2">
        <v>0</v>
      </c>
      <c r="F44005" s="2">
        <v>1.4308853746344E-5</v>
      </c>
    </row>
    <row r="44006" spans="1:6" x14ac:dyDescent="0.25">
      <c r="A44006" s="1" t="str">
        <f t="shared" si="1491"/>
        <v>99999</v>
      </c>
      <c r="B44006" s="1" t="str">
        <f>"26266"</f>
        <v>26266</v>
      </c>
      <c r="C44006" s="2">
        <v>5.5213054184792198E-6</v>
      </c>
      <c r="D44006" s="2">
        <v>3.01141779055288E-6</v>
      </c>
      <c r="E44006" s="2">
        <v>4.3010567696482999E-6</v>
      </c>
      <c r="F44006" s="2">
        <v>5.3288144986384803E-6</v>
      </c>
    </row>
    <row r="44007" spans="1:6" x14ac:dyDescent="0.25">
      <c r="A44007" s="1" t="str">
        <f t="shared" si="1491"/>
        <v>99999</v>
      </c>
      <c r="B44007" s="1" t="str">
        <f>"35179"</f>
        <v>35179</v>
      </c>
      <c r="C44007" s="2">
        <v>2.2734787017267302E-6</v>
      </c>
      <c r="D44007" s="2">
        <v>0</v>
      </c>
      <c r="E44007" s="2">
        <v>0</v>
      </c>
      <c r="F44007" s="2">
        <v>2.0723167494705202E-6</v>
      </c>
    </row>
    <row r="44008" spans="1:6" x14ac:dyDescent="0.25">
      <c r="A44008" s="1" t="str">
        <f t="shared" si="1491"/>
        <v>99999</v>
      </c>
      <c r="B44008" s="1" t="str">
        <f>"38453"</f>
        <v>38453</v>
      </c>
      <c r="C44008" s="2">
        <v>2.6199135515136701E-5</v>
      </c>
      <c r="D44008" s="2">
        <v>1.20456711622115E-5</v>
      </c>
      <c r="E44008" s="2">
        <v>1.29031703089449E-5</v>
      </c>
      <c r="F44008" s="2">
        <v>2.4966482743620998E-5</v>
      </c>
    </row>
    <row r="44009" spans="1:6" x14ac:dyDescent="0.25">
      <c r="A44009" s="1" t="str">
        <f t="shared" si="1491"/>
        <v>99999</v>
      </c>
      <c r="B44009" s="1" t="str">
        <f>"42274"</f>
        <v>42274</v>
      </c>
      <c r="C44009" s="2">
        <v>1.1042610836958401E-5</v>
      </c>
      <c r="D44009" s="2">
        <v>3.01141779055288E-6</v>
      </c>
      <c r="E44009" s="2">
        <v>0</v>
      </c>
      <c r="F44009" s="2">
        <v>1.02629019973778E-5</v>
      </c>
    </row>
    <row r="44010" spans="1:6" x14ac:dyDescent="0.25">
      <c r="A44010" s="1" t="str">
        <f t="shared" si="1491"/>
        <v>99999</v>
      </c>
      <c r="B44010" s="1" t="str">
        <f>"41571"</f>
        <v>41571</v>
      </c>
      <c r="C44010" s="2">
        <v>3.2261745386408E-5</v>
      </c>
      <c r="D44010" s="2">
        <v>6.0228355811057601E-6</v>
      </c>
      <c r="E44010" s="2">
        <v>2.15052838482415E-5</v>
      </c>
      <c r="F44010" s="2">
        <v>3.02952972422595E-5</v>
      </c>
    </row>
    <row r="44011" spans="1:6" x14ac:dyDescent="0.25">
      <c r="A44011" s="1" t="str">
        <f t="shared" si="1491"/>
        <v>99999</v>
      </c>
      <c r="B44011" s="1" t="str">
        <f>"43510"</f>
        <v>43510</v>
      </c>
      <c r="C44011" s="2">
        <v>1.7321742489346499E-6</v>
      </c>
      <c r="D44011" s="2">
        <v>0</v>
      </c>
      <c r="E44011" s="2">
        <v>4.3010567696482999E-6</v>
      </c>
      <c r="F44011" s="2">
        <v>1.6775897495713699E-6</v>
      </c>
    </row>
    <row r="44012" spans="1:6" x14ac:dyDescent="0.25">
      <c r="A44012" s="1" t="str">
        <f t="shared" si="1491"/>
        <v>99999</v>
      </c>
      <c r="B44012" s="1" t="str">
        <f>"40481"</f>
        <v>40481</v>
      </c>
      <c r="C44012" s="2">
        <v>1.1150871727516799E-5</v>
      </c>
      <c r="D44012" s="2">
        <v>0</v>
      </c>
      <c r="E44012" s="2">
        <v>4.3010567696482999E-6</v>
      </c>
      <c r="F44012" s="2">
        <v>1.02629019973778E-5</v>
      </c>
    </row>
    <row r="44013" spans="1:6" x14ac:dyDescent="0.25">
      <c r="A44013" s="1" t="str">
        <f t="shared" si="1491"/>
        <v>99999</v>
      </c>
      <c r="B44013" s="1" t="str">
        <f>"44628"</f>
        <v>44628</v>
      </c>
      <c r="C44013" s="2">
        <v>4.1139138412198099E-5</v>
      </c>
      <c r="D44013" s="2">
        <v>4.5171266858293203E-6</v>
      </c>
      <c r="E44013" s="2">
        <v>4.3010567696482999E-6</v>
      </c>
      <c r="F44013" s="2">
        <v>3.7893791990318099E-5</v>
      </c>
    </row>
    <row r="44014" spans="1:6" x14ac:dyDescent="0.25">
      <c r="A44014" s="1" t="str">
        <f t="shared" si="1491"/>
        <v>99999</v>
      </c>
      <c r="B44014" s="1" t="str">
        <f>"41055"</f>
        <v>41055</v>
      </c>
      <c r="C44014" s="2">
        <v>1.3857393991477199E-5</v>
      </c>
      <c r="D44014" s="2">
        <v>1.50570889527644E-6</v>
      </c>
      <c r="E44014" s="2">
        <v>0</v>
      </c>
      <c r="F44014" s="2">
        <v>1.27299457467474E-5</v>
      </c>
    </row>
    <row r="44015" spans="1:6" x14ac:dyDescent="0.25">
      <c r="A44015" s="1" t="str">
        <f t="shared" si="1491"/>
        <v>99999</v>
      </c>
      <c r="B44015" s="1" t="str">
        <f>"45692"</f>
        <v>45692</v>
      </c>
      <c r="C44015" s="2">
        <v>2.49000048284357E-6</v>
      </c>
      <c r="D44015" s="2">
        <v>0</v>
      </c>
      <c r="E44015" s="2">
        <v>0</v>
      </c>
      <c r="F44015" s="2">
        <v>2.2696802494200901E-6</v>
      </c>
    </row>
    <row r="44016" spans="1:6" x14ac:dyDescent="0.25">
      <c r="A44016" s="1" t="str">
        <f t="shared" si="1491"/>
        <v>99999</v>
      </c>
      <c r="B44016" s="1" t="str">
        <f>"43732"</f>
        <v>43732</v>
      </c>
      <c r="C44016" s="2">
        <v>2.0569569206098999E-5</v>
      </c>
      <c r="D44016" s="2">
        <v>3.01141779055288E-6</v>
      </c>
      <c r="E44016" s="2">
        <v>0</v>
      </c>
      <c r="F44016" s="2">
        <v>1.8946895995158999E-5</v>
      </c>
    </row>
    <row r="44017" spans="1:6" x14ac:dyDescent="0.25">
      <c r="A44017" s="1" t="str">
        <f t="shared" si="1491"/>
        <v>99999</v>
      </c>
      <c r="B44017" s="1" t="str">
        <f>"46791"</f>
        <v>46791</v>
      </c>
      <c r="C44017" s="2">
        <v>3.0637832028031702E-5</v>
      </c>
      <c r="D44017" s="2">
        <v>1.35513800574879E-5</v>
      </c>
      <c r="E44017" s="2">
        <v>4.3010567696482999E-6</v>
      </c>
      <c r="F44017" s="2">
        <v>2.89137527426125E-5</v>
      </c>
    </row>
    <row r="44018" spans="1:6" x14ac:dyDescent="0.25">
      <c r="A44018" s="1" t="str">
        <f t="shared" si="1491"/>
        <v>99999</v>
      </c>
      <c r="B44018" s="1" t="str">
        <f>"47240"</f>
        <v>47240</v>
      </c>
      <c r="C44018" s="2">
        <v>4.5469574034534697E-6</v>
      </c>
      <c r="D44018" s="2">
        <v>0</v>
      </c>
      <c r="E44018" s="2">
        <v>0</v>
      </c>
      <c r="F44018" s="2">
        <v>4.1446334989410403E-6</v>
      </c>
    </row>
    <row r="44019" spans="1:6" x14ac:dyDescent="0.25">
      <c r="A44019" s="1" t="str">
        <f t="shared" si="1491"/>
        <v>99999</v>
      </c>
      <c r="B44019" s="1" t="str">
        <f>"48619"</f>
        <v>48619</v>
      </c>
      <c r="C44019" s="2">
        <v>3.6916963680419897E-5</v>
      </c>
      <c r="D44019" s="2">
        <v>2.1079924533870101E-5</v>
      </c>
      <c r="E44019" s="2">
        <v>0</v>
      </c>
      <c r="F44019" s="2">
        <v>3.5032021241049297E-5</v>
      </c>
    </row>
    <row r="44020" spans="1:6" x14ac:dyDescent="0.25">
      <c r="A44020" s="1" t="str">
        <f t="shared" si="1491"/>
        <v>99999</v>
      </c>
      <c r="B44020" s="1" t="str">
        <f>"49683"</f>
        <v>49683</v>
      </c>
      <c r="C44020" s="2">
        <v>5.2073488358598103E-5</v>
      </c>
      <c r="D44020" s="2">
        <v>1.50570889527644E-5</v>
      </c>
      <c r="E44020" s="2">
        <v>0</v>
      </c>
      <c r="F44020" s="2">
        <v>4.8452739237620299E-5</v>
      </c>
    </row>
    <row r="44021" spans="1:6" x14ac:dyDescent="0.25">
      <c r="A44021" s="1" t="str">
        <f t="shared" si="1491"/>
        <v>99999</v>
      </c>
      <c r="B44021" s="1" t="str">
        <f>"51002"</f>
        <v>51002</v>
      </c>
      <c r="C44021" s="2">
        <v>4.3304356223366401E-7</v>
      </c>
      <c r="D44021" s="2">
        <v>0</v>
      </c>
      <c r="E44021" s="2">
        <v>0</v>
      </c>
      <c r="F44021" s="2">
        <v>3.9472699989914697E-7</v>
      </c>
    </row>
    <row r="44022" spans="1:6" x14ac:dyDescent="0.25">
      <c r="A44022" s="1" t="str">
        <f t="shared" si="1491"/>
        <v>99999</v>
      </c>
      <c r="B44022" s="1" t="str">
        <f>"51433"</f>
        <v>51433</v>
      </c>
      <c r="C44022" s="2">
        <v>3.8757398819912901E-5</v>
      </c>
      <c r="D44022" s="2">
        <v>4.5171266858293203E-6</v>
      </c>
      <c r="E44022" s="2">
        <v>7.3117965084021106E-5</v>
      </c>
      <c r="F44022" s="2">
        <v>3.7301701490469398E-5</v>
      </c>
    </row>
    <row r="44023" spans="1:6" x14ac:dyDescent="0.25">
      <c r="A44023" s="1" t="str">
        <f t="shared" si="1491"/>
        <v>99999</v>
      </c>
      <c r="B44023" s="1" t="str">
        <f>"50273"</f>
        <v>50273</v>
      </c>
      <c r="C44023" s="2">
        <v>6.49565343350497E-7</v>
      </c>
      <c r="D44023" s="2">
        <v>0</v>
      </c>
      <c r="E44023" s="2">
        <v>0</v>
      </c>
      <c r="F44023" s="2">
        <v>5.9209049984871999E-7</v>
      </c>
    </row>
    <row r="44024" spans="1:6" x14ac:dyDescent="0.25">
      <c r="A44024" s="1" t="str">
        <f t="shared" si="1491"/>
        <v>99999</v>
      </c>
      <c r="B44024" s="1" t="str">
        <f>"50149"</f>
        <v>50149</v>
      </c>
      <c r="C44024" s="2">
        <v>4.0489573068847603E-5</v>
      </c>
      <c r="D44024" s="2">
        <v>9.0342533716586405E-6</v>
      </c>
      <c r="E44024" s="2">
        <v>1.72042270785932E-5</v>
      </c>
      <c r="F44024" s="2">
        <v>3.7893791990318099E-5</v>
      </c>
    </row>
    <row r="44025" spans="1:6" x14ac:dyDescent="0.25">
      <c r="A44025" s="1" t="str">
        <f t="shared" si="1491"/>
        <v>99999</v>
      </c>
      <c r="B44025" s="1" t="str">
        <f>"50588"</f>
        <v>50588</v>
      </c>
      <c r="C44025" s="2">
        <v>1.51565246781782E-6</v>
      </c>
      <c r="D44025" s="2">
        <v>1.50570889527644E-6</v>
      </c>
      <c r="E44025" s="2">
        <v>0</v>
      </c>
      <c r="F44025" s="2">
        <v>1.4802262496218E-6</v>
      </c>
    </row>
    <row r="44026" spans="1:6" x14ac:dyDescent="0.25">
      <c r="A44026" s="1" t="str">
        <f t="shared" si="1491"/>
        <v>99999</v>
      </c>
      <c r="B44026" s="1" t="str">
        <f>"50608"</f>
        <v>50608</v>
      </c>
      <c r="C44026" s="2">
        <v>2.3817395922851499E-6</v>
      </c>
      <c r="D44026" s="2">
        <v>9.0342533716586405E-6</v>
      </c>
      <c r="E44026" s="2">
        <v>0</v>
      </c>
      <c r="F44026" s="2">
        <v>2.76308899929403E-6</v>
      </c>
    </row>
    <row r="44027" spans="1:6" x14ac:dyDescent="0.25">
      <c r="A44027" s="1" t="str">
        <f t="shared" si="1491"/>
        <v>99999</v>
      </c>
      <c r="B44027" s="1" t="str">
        <f>"50064"</f>
        <v>50064</v>
      </c>
      <c r="C44027" s="2">
        <v>5.95434898071288E-6</v>
      </c>
      <c r="D44027" s="2">
        <v>4.5171266858293203E-6</v>
      </c>
      <c r="E44027" s="2">
        <v>4.3010567696482999E-6</v>
      </c>
      <c r="F44027" s="2">
        <v>5.8222232485124198E-6</v>
      </c>
    </row>
    <row r="44028" spans="1:6" x14ac:dyDescent="0.25">
      <c r="A44028" s="1" t="str">
        <f t="shared" si="1491"/>
        <v>99999</v>
      </c>
      <c r="B44028" s="1" t="str">
        <f>"52721"</f>
        <v>52721</v>
      </c>
      <c r="C44028" s="2">
        <v>3.7674789914328797E-5</v>
      </c>
      <c r="D44028" s="2">
        <v>9.0342533716586405E-6</v>
      </c>
      <c r="E44028" s="2">
        <v>2.15052838482415E-5</v>
      </c>
      <c r="F44028" s="2">
        <v>3.5426748240948397E-5</v>
      </c>
    </row>
    <row r="44029" spans="1:6" x14ac:dyDescent="0.25">
      <c r="A44029" s="1" t="str">
        <f t="shared" si="1491"/>
        <v>99999</v>
      </c>
      <c r="B44029" s="1" t="str">
        <f>"52584"</f>
        <v>52584</v>
      </c>
      <c r="C44029" s="2">
        <v>1.8404351394930699E-5</v>
      </c>
      <c r="D44029" s="2">
        <v>1.35513800574879E-5</v>
      </c>
      <c r="E44029" s="2">
        <v>2.15052838482415E-5</v>
      </c>
      <c r="F44029" s="2">
        <v>1.81574419953607E-5</v>
      </c>
    </row>
    <row r="44030" spans="1:6" x14ac:dyDescent="0.25">
      <c r="A44030" s="1" t="str">
        <f t="shared" si="1491"/>
        <v>99999</v>
      </c>
      <c r="B44030" s="1" t="str">
        <f>"54745"</f>
        <v>54745</v>
      </c>
      <c r="C44030" s="2">
        <v>3.3236093401433701E-5</v>
      </c>
      <c r="D44030" s="2">
        <v>1.0539962266935E-5</v>
      </c>
      <c r="E44030" s="2">
        <v>8.6021135392965999E-6</v>
      </c>
      <c r="F44030" s="2">
        <v>3.1183432992032599E-5</v>
      </c>
    </row>
    <row r="44031" spans="1:6" x14ac:dyDescent="0.25">
      <c r="A44031" s="1" t="str">
        <f t="shared" si="1491"/>
        <v>99999</v>
      </c>
      <c r="B44031" s="1" t="str">
        <f>"56264"</f>
        <v>56264</v>
      </c>
      <c r="C44031" s="2">
        <v>1.3640872210360401E-5</v>
      </c>
      <c r="D44031" s="2">
        <v>6.0228355811057601E-6</v>
      </c>
      <c r="E44031" s="2">
        <v>8.6021135392965999E-6</v>
      </c>
      <c r="F44031" s="2">
        <v>1.30259909966718E-5</v>
      </c>
    </row>
    <row r="44032" spans="1:6" x14ac:dyDescent="0.25">
      <c r="A44032" s="1" t="str">
        <f t="shared" si="1491"/>
        <v>99999</v>
      </c>
      <c r="B44032" s="1" t="str">
        <f>"57555"</f>
        <v>57555</v>
      </c>
      <c r="C44032" s="2">
        <v>1.9811742972190099E-5</v>
      </c>
      <c r="D44032" s="2">
        <v>9.0342533716586405E-6</v>
      </c>
      <c r="E44032" s="2">
        <v>4.3010567696482999E-6</v>
      </c>
      <c r="F44032" s="2">
        <v>1.8749532495209401E-5</v>
      </c>
    </row>
    <row r="44033" spans="1:6" x14ac:dyDescent="0.25">
      <c r="A44033" s="1" t="str">
        <f t="shared" si="1491"/>
        <v>99999</v>
      </c>
      <c r="B44033" s="1" t="str">
        <f>"59855"</f>
        <v>59855</v>
      </c>
      <c r="C44033" s="2">
        <v>2.3817395922851499E-6</v>
      </c>
      <c r="D44033" s="2">
        <v>0</v>
      </c>
      <c r="E44033" s="2">
        <v>4.3010567696482999E-6</v>
      </c>
      <c r="F44033" s="2">
        <v>2.2696802494200901E-6</v>
      </c>
    </row>
    <row r="44034" spans="1:6" x14ac:dyDescent="0.25">
      <c r="A44034" s="1" t="str">
        <f t="shared" si="1491"/>
        <v>99999</v>
      </c>
      <c r="B44034" s="1" t="str">
        <f>"59482"</f>
        <v>59482</v>
      </c>
      <c r="C44034" s="2">
        <v>3.2478267167524799E-6</v>
      </c>
      <c r="D44034" s="2">
        <v>3.01141779055288E-6</v>
      </c>
      <c r="E44034" s="2">
        <v>4.3010567696482999E-6</v>
      </c>
      <c r="F44034" s="2">
        <v>3.2564977491679601E-6</v>
      </c>
    </row>
    <row r="44035" spans="1:6" x14ac:dyDescent="0.25">
      <c r="A44035" s="1" t="str">
        <f t="shared" si="1491"/>
        <v>99999</v>
      </c>
      <c r="B44035" s="1" t="str">
        <f>"59544"</f>
        <v>59544</v>
      </c>
      <c r="C44035" s="2">
        <v>7.6865232296475401E-6</v>
      </c>
      <c r="D44035" s="2">
        <v>3.01141779055288E-6</v>
      </c>
      <c r="E44035" s="2">
        <v>4.3010567696482999E-6</v>
      </c>
      <c r="F44035" s="2">
        <v>7.3024494981342204E-6</v>
      </c>
    </row>
    <row r="44036" spans="1:6" x14ac:dyDescent="0.25">
      <c r="A44036" s="1" t="str">
        <f t="shared" si="1491"/>
        <v>99999</v>
      </c>
      <c r="B44036" s="1" t="str">
        <f>"58455"</f>
        <v>58455</v>
      </c>
      <c r="C44036" s="2">
        <v>3.6808702789861401E-6</v>
      </c>
      <c r="D44036" s="2">
        <v>1.50570889527644E-6</v>
      </c>
      <c r="E44036" s="2">
        <v>0</v>
      </c>
      <c r="F44036" s="2">
        <v>3.4538612491175301E-6</v>
      </c>
    </row>
    <row r="44037" spans="1:6" x14ac:dyDescent="0.25">
      <c r="A44037" s="1" t="str">
        <f t="shared" si="1491"/>
        <v>99999</v>
      </c>
      <c r="B44037" s="1" t="str">
        <f>"58269"</f>
        <v>58269</v>
      </c>
      <c r="C44037" s="2">
        <v>9.3104365880237906E-6</v>
      </c>
      <c r="D44037" s="2">
        <v>4.5171266858293203E-6</v>
      </c>
      <c r="E44037" s="2">
        <v>1.29031703089449E-5</v>
      </c>
      <c r="F44037" s="2">
        <v>9.0787209976803807E-6</v>
      </c>
    </row>
    <row r="44038" spans="1:6" x14ac:dyDescent="0.25">
      <c r="A44038" s="1" t="str">
        <f t="shared" ref="A44038:A44101" si="1492">"99999"</f>
        <v>99999</v>
      </c>
      <c r="B44038" s="1" t="str">
        <f>"58250"</f>
        <v>58250</v>
      </c>
      <c r="C44038" s="2">
        <v>1.3640872210360401E-5</v>
      </c>
      <c r="D44038" s="2">
        <v>1.50570889527644E-6</v>
      </c>
      <c r="E44038" s="2">
        <v>4.3010567696482999E-6</v>
      </c>
      <c r="F44038" s="2">
        <v>1.26312639967727E-5</v>
      </c>
    </row>
    <row r="44039" spans="1:6" x14ac:dyDescent="0.25">
      <c r="A44039" s="1" t="str">
        <f t="shared" si="1492"/>
        <v>99999</v>
      </c>
      <c r="B44039" s="1" t="str">
        <f>"58479"</f>
        <v>58479</v>
      </c>
      <c r="C44039" s="2">
        <v>1.6672177145996001E-5</v>
      </c>
      <c r="D44039" s="2">
        <v>9.0342533716586405E-6</v>
      </c>
      <c r="E44039" s="2">
        <v>4.3010567696482999E-6</v>
      </c>
      <c r="F44039" s="2">
        <v>1.5887761745940599E-5</v>
      </c>
    </row>
    <row r="44040" spans="1:6" x14ac:dyDescent="0.25">
      <c r="A44040" s="1" t="str">
        <f t="shared" si="1492"/>
        <v>99999</v>
      </c>
      <c r="B44040" s="1" t="str">
        <f>"62355"</f>
        <v>62355</v>
      </c>
      <c r="C44040" s="2">
        <v>4.9258705204079297E-5</v>
      </c>
      <c r="D44040" s="2">
        <v>2.55970512196994E-5</v>
      </c>
      <c r="E44040" s="2">
        <v>4.3010567696482999E-6</v>
      </c>
      <c r="F44040" s="2">
        <v>4.6676467738074101E-5</v>
      </c>
    </row>
    <row r="44041" spans="1:6" x14ac:dyDescent="0.25">
      <c r="A44041" s="1" t="str">
        <f t="shared" si="1492"/>
        <v>99999</v>
      </c>
      <c r="B44041" s="1" t="str">
        <f>"62344"</f>
        <v>62344</v>
      </c>
      <c r="C44041" s="2">
        <v>1.0068262821932701E-5</v>
      </c>
      <c r="D44041" s="2">
        <v>4.5171266858293203E-6</v>
      </c>
      <c r="E44041" s="2">
        <v>4.3010567696482999E-6</v>
      </c>
      <c r="F44041" s="2">
        <v>9.5721297475543202E-6</v>
      </c>
    </row>
    <row r="44042" spans="1:6" x14ac:dyDescent="0.25">
      <c r="A44042" s="1" t="str">
        <f t="shared" si="1492"/>
        <v>99999</v>
      </c>
      <c r="B44042" s="1" t="str">
        <f>"62238"</f>
        <v>62238</v>
      </c>
      <c r="C44042" s="2">
        <v>2.69569617490456E-5</v>
      </c>
      <c r="D44042" s="2">
        <v>7.5285444763821999E-6</v>
      </c>
      <c r="E44042" s="2">
        <v>1.72042270785932E-5</v>
      </c>
      <c r="F44042" s="2">
        <v>2.5459891493494899E-5</v>
      </c>
    </row>
    <row r="44043" spans="1:6" x14ac:dyDescent="0.25">
      <c r="A44043" s="1" t="str">
        <f t="shared" si="1492"/>
        <v>99999</v>
      </c>
      <c r="B44043" s="1" t="str">
        <f>"62077"</f>
        <v>62077</v>
      </c>
      <c r="C44043" s="2">
        <v>1.71052207082297E-5</v>
      </c>
      <c r="D44043" s="2">
        <v>0</v>
      </c>
      <c r="E44043" s="2">
        <v>4.3010567696482999E-6</v>
      </c>
      <c r="F44043" s="2">
        <v>1.56903982459911E-5</v>
      </c>
    </row>
    <row r="44044" spans="1:6" x14ac:dyDescent="0.25">
      <c r="A44044" s="1" t="str">
        <f t="shared" si="1492"/>
        <v>99999</v>
      </c>
      <c r="B44044" s="1" t="str">
        <f>"62833"</f>
        <v>62833</v>
      </c>
      <c r="C44044" s="2">
        <v>2.0461308315540598E-5</v>
      </c>
      <c r="D44044" s="2">
        <v>0</v>
      </c>
      <c r="E44044" s="2">
        <v>4.3010567696482999E-6</v>
      </c>
      <c r="F44044" s="2">
        <v>1.8749532495209401E-5</v>
      </c>
    </row>
    <row r="44045" spans="1:6" x14ac:dyDescent="0.25">
      <c r="A44045" s="1" t="str">
        <f t="shared" si="1492"/>
        <v>99999</v>
      </c>
      <c r="B44045" s="1" t="str">
        <f>"65254"</f>
        <v>65254</v>
      </c>
      <c r="C44045" s="2">
        <v>1.14756543991921E-5</v>
      </c>
      <c r="D44045" s="2">
        <v>1.35513800574879E-5</v>
      </c>
      <c r="E44045" s="2">
        <v>0</v>
      </c>
      <c r="F44045" s="2">
        <v>1.1348401247100399E-5</v>
      </c>
    </row>
    <row r="44046" spans="1:6" x14ac:dyDescent="0.25">
      <c r="A44046" s="1" t="str">
        <f t="shared" si="1492"/>
        <v>99999</v>
      </c>
      <c r="B44046" s="1" t="str">
        <f>"64451"</f>
        <v>64451</v>
      </c>
      <c r="C44046" s="2">
        <v>2.4250439485085199E-5</v>
      </c>
      <c r="D44046" s="2">
        <v>6.0228355811057601E-6</v>
      </c>
      <c r="E44046" s="2">
        <v>8.6021135392965999E-6</v>
      </c>
      <c r="F44046" s="2">
        <v>2.26968024942009E-5</v>
      </c>
    </row>
    <row r="44047" spans="1:6" x14ac:dyDescent="0.25">
      <c r="A44047" s="1" t="str">
        <f t="shared" si="1492"/>
        <v>99999</v>
      </c>
      <c r="B44047" s="1" t="str">
        <f>"66769"</f>
        <v>66769</v>
      </c>
      <c r="C44047" s="2">
        <v>2.4575222156760399E-5</v>
      </c>
      <c r="D44047" s="2">
        <v>1.35513800574879E-5</v>
      </c>
      <c r="E44047" s="2">
        <v>8.6021135392965999E-6</v>
      </c>
      <c r="F44047" s="2">
        <v>2.3486256493999199E-5</v>
      </c>
    </row>
    <row r="44048" spans="1:6" x14ac:dyDescent="0.25">
      <c r="A44048" s="1" t="str">
        <f t="shared" si="1492"/>
        <v>99999</v>
      </c>
      <c r="B44048" s="1" t="str">
        <f>"67518"</f>
        <v>67518</v>
      </c>
      <c r="C44048" s="2">
        <v>5.1965227468039701E-6</v>
      </c>
      <c r="D44048" s="2">
        <v>1.50570889527644E-6</v>
      </c>
      <c r="E44048" s="2">
        <v>4.3010567696482999E-6</v>
      </c>
      <c r="F44048" s="2">
        <v>4.9340874987393404E-6</v>
      </c>
    </row>
    <row r="44049" spans="1:6" x14ac:dyDescent="0.25">
      <c r="A44049" s="1" t="str">
        <f t="shared" si="1492"/>
        <v>99999</v>
      </c>
      <c r="B44049" s="1" t="str">
        <f>"67428"</f>
        <v>67428</v>
      </c>
      <c r="C44049" s="2">
        <v>3.46434849786931E-6</v>
      </c>
      <c r="D44049" s="2">
        <v>0</v>
      </c>
      <c r="E44049" s="2">
        <v>0</v>
      </c>
      <c r="F44049" s="2">
        <v>3.1578159991931699E-6</v>
      </c>
    </row>
    <row r="44050" spans="1:6" x14ac:dyDescent="0.25">
      <c r="A44050" s="1" t="str">
        <f t="shared" si="1492"/>
        <v>99999</v>
      </c>
      <c r="B44050" s="1" t="str">
        <f>"67639"</f>
        <v>67639</v>
      </c>
      <c r="C44050" s="2">
        <v>1.2125219742542599E-5</v>
      </c>
      <c r="D44050" s="2">
        <v>1.0539962266935E-5</v>
      </c>
      <c r="E44050" s="2">
        <v>4.3010567696482999E-6</v>
      </c>
      <c r="F44050" s="2">
        <v>1.18418099969744E-5</v>
      </c>
    </row>
    <row r="44051" spans="1:6" x14ac:dyDescent="0.25">
      <c r="A44051" s="1" t="str">
        <f t="shared" si="1492"/>
        <v>99999</v>
      </c>
      <c r="B44051" s="1" t="str">
        <f>"66838"</f>
        <v>66838</v>
      </c>
      <c r="C44051" s="2">
        <v>1.2233480633101E-5</v>
      </c>
      <c r="D44051" s="2">
        <v>3.01141779055288E-6</v>
      </c>
      <c r="E44051" s="2">
        <v>8.6021135392965999E-6</v>
      </c>
      <c r="F44051" s="2">
        <v>1.154576474705E-5</v>
      </c>
    </row>
    <row r="44052" spans="1:6" x14ac:dyDescent="0.25">
      <c r="A44052" s="1" t="str">
        <f t="shared" si="1492"/>
        <v>99999</v>
      </c>
      <c r="B44052" s="1" t="str">
        <f>"65790"</f>
        <v>65790</v>
      </c>
      <c r="C44052" s="2">
        <v>6.9286969957386301E-6</v>
      </c>
      <c r="D44052" s="2">
        <v>1.50570889527644E-6</v>
      </c>
      <c r="E44052" s="2">
        <v>0</v>
      </c>
      <c r="F44052" s="2">
        <v>6.4143137483611402E-6</v>
      </c>
    </row>
    <row r="44053" spans="1:6" x14ac:dyDescent="0.25">
      <c r="A44053" s="1" t="str">
        <f t="shared" si="1492"/>
        <v>99999</v>
      </c>
      <c r="B44053" s="1" t="str">
        <f>"65735"</f>
        <v>65735</v>
      </c>
      <c r="C44053" s="2">
        <v>1.9053916738281199E-5</v>
      </c>
      <c r="D44053" s="2">
        <v>1.50570889527644E-6</v>
      </c>
      <c r="E44053" s="2">
        <v>4.3010567696482999E-6</v>
      </c>
      <c r="F44053" s="2">
        <v>1.7565351495512E-5</v>
      </c>
    </row>
    <row r="44054" spans="1:6" x14ac:dyDescent="0.25">
      <c r="A44054" s="1" t="str">
        <f t="shared" si="1492"/>
        <v>99999</v>
      </c>
      <c r="B44054" s="1" t="str">
        <f>"68871"</f>
        <v>68871</v>
      </c>
      <c r="C44054" s="2">
        <v>1.2233480633101E-5</v>
      </c>
      <c r="D44054" s="2">
        <v>1.50570889527644E-6</v>
      </c>
      <c r="E44054" s="2">
        <v>0</v>
      </c>
      <c r="F44054" s="2">
        <v>1.1249719497125601E-5</v>
      </c>
    </row>
    <row r="44055" spans="1:6" x14ac:dyDescent="0.25">
      <c r="A44055" s="1" t="str">
        <f t="shared" si="1492"/>
        <v>99999</v>
      </c>
      <c r="B44055" s="1" t="str">
        <f>"68665"</f>
        <v>68665</v>
      </c>
      <c r="C44055" s="2">
        <v>4.8392618079612001E-5</v>
      </c>
      <c r="D44055" s="2">
        <v>6.0228355811057601E-6</v>
      </c>
      <c r="E44055" s="2">
        <v>8.6021135392965999E-6</v>
      </c>
      <c r="F44055" s="2">
        <v>4.4702832738578397E-5</v>
      </c>
    </row>
    <row r="44056" spans="1:6" x14ac:dyDescent="0.25">
      <c r="A44056" s="1" t="str">
        <f t="shared" si="1492"/>
        <v>99999</v>
      </c>
      <c r="B44056" s="1" t="str">
        <f>"68321"</f>
        <v>68321</v>
      </c>
      <c r="C44056" s="2">
        <v>2.1760439002241601E-5</v>
      </c>
      <c r="D44056" s="2">
        <v>4.5171266858293203E-6</v>
      </c>
      <c r="E44056" s="2">
        <v>0</v>
      </c>
      <c r="F44056" s="2">
        <v>2.0131076994856499E-5</v>
      </c>
    </row>
    <row r="44057" spans="1:6" x14ac:dyDescent="0.25">
      <c r="A44057" s="1" t="str">
        <f t="shared" si="1492"/>
        <v>99999</v>
      </c>
      <c r="B44057" s="1" t="str">
        <f>"56146"</f>
        <v>56146</v>
      </c>
      <c r="C44057" s="2">
        <v>2.2734787017267302E-6</v>
      </c>
      <c r="D44057" s="2">
        <v>1.50570889527644E-6</v>
      </c>
      <c r="E44057" s="2">
        <v>4.3010567696482999E-6</v>
      </c>
      <c r="F44057" s="2">
        <v>2.2696802494200901E-6</v>
      </c>
    </row>
    <row r="44058" spans="1:6" x14ac:dyDescent="0.25">
      <c r="A44058" s="1" t="str">
        <f t="shared" si="1492"/>
        <v>99999</v>
      </c>
      <c r="B44058" s="1" t="str">
        <f>"56019"</f>
        <v>56019</v>
      </c>
      <c r="C44058" s="2">
        <v>1.1150871727516799E-5</v>
      </c>
      <c r="D44058" s="2">
        <v>1.65627978480408E-5</v>
      </c>
      <c r="E44058" s="2">
        <v>0</v>
      </c>
      <c r="F44058" s="2">
        <v>1.1249719497125601E-5</v>
      </c>
    </row>
    <row r="44059" spans="1:6" x14ac:dyDescent="0.25">
      <c r="A44059" s="1" t="str">
        <f t="shared" si="1492"/>
        <v>99999</v>
      </c>
      <c r="B44059" s="1" t="str">
        <f>"57548"</f>
        <v>57548</v>
      </c>
      <c r="C44059" s="2">
        <v>1.1042610836958401E-5</v>
      </c>
      <c r="D44059" s="2">
        <v>6.0228355811057601E-6</v>
      </c>
      <c r="E44059" s="2">
        <v>8.6021135392965999E-6</v>
      </c>
      <c r="F44059" s="2">
        <v>1.06576289972769E-5</v>
      </c>
    </row>
    <row r="44060" spans="1:6" x14ac:dyDescent="0.25">
      <c r="A44060" s="1" t="str">
        <f t="shared" si="1492"/>
        <v>99999</v>
      </c>
      <c r="B44060" s="1" t="str">
        <f>"57476"</f>
        <v>57476</v>
      </c>
      <c r="C44060" s="2">
        <v>2.5008265718994098E-5</v>
      </c>
      <c r="D44060" s="2">
        <v>1.80685067433172E-5</v>
      </c>
      <c r="E44060" s="2">
        <v>2.15052838482415E-5</v>
      </c>
      <c r="F44060" s="2">
        <v>2.4473073993747101E-5</v>
      </c>
    </row>
    <row r="44061" spans="1:6" x14ac:dyDescent="0.25">
      <c r="A44061" s="1" t="str">
        <f t="shared" si="1492"/>
        <v>99999</v>
      </c>
      <c r="B44061" s="1" t="str">
        <f>"59931"</f>
        <v>59931</v>
      </c>
      <c r="C44061" s="2">
        <v>1.6672177145996001E-5</v>
      </c>
      <c r="D44061" s="2">
        <v>9.0342533716586405E-6</v>
      </c>
      <c r="E44061" s="2">
        <v>4.3010567696482999E-6</v>
      </c>
      <c r="F44061" s="2">
        <v>1.5887761745940599E-5</v>
      </c>
    </row>
    <row r="44062" spans="1:6" x14ac:dyDescent="0.25">
      <c r="A44062" s="1" t="str">
        <f t="shared" si="1492"/>
        <v>99999</v>
      </c>
      <c r="B44062" s="1" t="str">
        <f>"58762"</f>
        <v>58762</v>
      </c>
      <c r="C44062" s="2">
        <v>1.0068262821932701E-5</v>
      </c>
      <c r="D44062" s="2">
        <v>1.20456711622115E-5</v>
      </c>
      <c r="E44062" s="2">
        <v>4.3010567696482999E-6</v>
      </c>
      <c r="F44062" s="2">
        <v>1.00655384974282E-5</v>
      </c>
    </row>
    <row r="44063" spans="1:6" x14ac:dyDescent="0.25">
      <c r="A44063" s="1" t="str">
        <f t="shared" si="1492"/>
        <v>99999</v>
      </c>
      <c r="B44063" s="1" t="str">
        <f>"58580"</f>
        <v>58580</v>
      </c>
      <c r="C44063" s="2">
        <v>1.9811742972190099E-5</v>
      </c>
      <c r="D44063" s="2">
        <v>7.5285444763821999E-6</v>
      </c>
      <c r="E44063" s="2">
        <v>3.01073973875381E-5</v>
      </c>
      <c r="F44063" s="2">
        <v>1.92429412450834E-5</v>
      </c>
    </row>
    <row r="44064" spans="1:6" x14ac:dyDescent="0.25">
      <c r="A44064" s="1" t="str">
        <f t="shared" si="1492"/>
        <v>99999</v>
      </c>
      <c r="B44064" s="1" t="str">
        <f>"59025"</f>
        <v>59025</v>
      </c>
      <c r="C44064" s="2">
        <v>5.8460880901544696E-6</v>
      </c>
      <c r="D44064" s="2">
        <v>6.0228355811057601E-6</v>
      </c>
      <c r="E44064" s="2">
        <v>4.3010567696482999E-6</v>
      </c>
      <c r="F44064" s="2">
        <v>5.8222232485124198E-6</v>
      </c>
    </row>
    <row r="44065" spans="1:6" x14ac:dyDescent="0.25">
      <c r="A44065" s="1" t="str">
        <f t="shared" si="1492"/>
        <v>99999</v>
      </c>
      <c r="B44065" s="1" t="str">
        <f>"58653"</f>
        <v>58653</v>
      </c>
      <c r="C44065" s="2">
        <v>4.2438269098899098E-5</v>
      </c>
      <c r="D44065" s="2">
        <v>1.20456711622115E-5</v>
      </c>
      <c r="E44065" s="2">
        <v>3.01073973875381E-5</v>
      </c>
      <c r="F44065" s="2">
        <v>4.0163472239738201E-5</v>
      </c>
    </row>
    <row r="44066" spans="1:6" x14ac:dyDescent="0.25">
      <c r="A44066" s="1" t="str">
        <f t="shared" si="1492"/>
        <v>99999</v>
      </c>
      <c r="B44066" s="1" t="str">
        <f>"59074"</f>
        <v>59074</v>
      </c>
      <c r="C44066" s="2">
        <v>2.3600874141734699E-5</v>
      </c>
      <c r="D44066" s="2">
        <v>6.0228355811057601E-6</v>
      </c>
      <c r="E44066" s="2">
        <v>4.3010567696482999E-6</v>
      </c>
      <c r="F44066" s="2">
        <v>2.2006030244377399E-5</v>
      </c>
    </row>
    <row r="44067" spans="1:6" x14ac:dyDescent="0.25">
      <c r="A44067" s="1" t="str">
        <f t="shared" si="1492"/>
        <v>99999</v>
      </c>
      <c r="B44067" s="1" t="str">
        <f>"59222"</f>
        <v>59222</v>
      </c>
      <c r="C44067" s="2">
        <v>1.1042610836958401E-5</v>
      </c>
      <c r="D44067" s="2">
        <v>1.20456711622115E-5</v>
      </c>
      <c r="E44067" s="2">
        <v>4.3010567696482999E-6</v>
      </c>
      <c r="F44067" s="2">
        <v>1.0953674247201299E-5</v>
      </c>
    </row>
    <row r="44068" spans="1:6" x14ac:dyDescent="0.25">
      <c r="A44068" s="1" t="str">
        <f t="shared" si="1492"/>
        <v>99999</v>
      </c>
      <c r="B44068" s="1" t="str">
        <f>"59226"</f>
        <v>59226</v>
      </c>
      <c r="C44068" s="2">
        <v>1.5914350912087102E-5</v>
      </c>
      <c r="D44068" s="2">
        <v>1.50570889527644E-6</v>
      </c>
      <c r="E44068" s="2">
        <v>4.3010567696482999E-6</v>
      </c>
      <c r="F44068" s="2">
        <v>1.47035807462432E-5</v>
      </c>
    </row>
    <row r="44069" spans="1:6" x14ac:dyDescent="0.25">
      <c r="A44069" s="1" t="str">
        <f t="shared" si="1492"/>
        <v>99999</v>
      </c>
      <c r="B44069" s="1" t="str">
        <f>"58345"</f>
        <v>58345</v>
      </c>
      <c r="C44069" s="2">
        <v>8.7691321352316998E-6</v>
      </c>
      <c r="D44069" s="2">
        <v>9.0342533716586405E-6</v>
      </c>
      <c r="E44069" s="2">
        <v>4.3010567696482999E-6</v>
      </c>
      <c r="F44069" s="2">
        <v>8.6839939977812298E-6</v>
      </c>
    </row>
    <row r="44070" spans="1:6" x14ac:dyDescent="0.25">
      <c r="A44070" s="1" t="str">
        <f t="shared" si="1492"/>
        <v>99999</v>
      </c>
      <c r="B44070" s="1" t="str">
        <f>"58365"</f>
        <v>58365</v>
      </c>
      <c r="C44070" s="2">
        <v>9.6352192596990302E-6</v>
      </c>
      <c r="D44070" s="2">
        <v>4.5171266858293203E-6</v>
      </c>
      <c r="E44070" s="2">
        <v>1.29031703089449E-5</v>
      </c>
      <c r="F44070" s="2">
        <v>9.3747662476047397E-6</v>
      </c>
    </row>
    <row r="44071" spans="1:6" x14ac:dyDescent="0.25">
      <c r="A44071" s="1" t="str">
        <f t="shared" si="1492"/>
        <v>99999</v>
      </c>
      <c r="B44071" s="1" t="str">
        <f>"58276"</f>
        <v>58276</v>
      </c>
      <c r="C44071" s="2">
        <v>2.30595696889426E-5</v>
      </c>
      <c r="D44071" s="2">
        <v>7.5285444763821999E-6</v>
      </c>
      <c r="E44071" s="2">
        <v>1.29031703089449E-5</v>
      </c>
      <c r="F44071" s="2">
        <v>2.1808666744427801E-5</v>
      </c>
    </row>
    <row r="44072" spans="1:6" x14ac:dyDescent="0.25">
      <c r="A44072" s="1" t="str">
        <f t="shared" si="1492"/>
        <v>99999</v>
      </c>
      <c r="B44072" s="1" t="str">
        <f>"58311"</f>
        <v>58311</v>
      </c>
      <c r="C44072" s="2">
        <v>4.98000096568714E-6</v>
      </c>
      <c r="D44072" s="2">
        <v>1.50570889527644E-6</v>
      </c>
      <c r="E44072" s="2">
        <v>4.3010567696482999E-6</v>
      </c>
      <c r="F44072" s="2">
        <v>4.7367239987897599E-6</v>
      </c>
    </row>
    <row r="44073" spans="1:6" x14ac:dyDescent="0.25">
      <c r="A44073" s="1" t="str">
        <f t="shared" si="1492"/>
        <v>99999</v>
      </c>
      <c r="B44073" s="1" t="str">
        <f>"58270"</f>
        <v>58270</v>
      </c>
      <c r="C44073" s="2">
        <v>1.10101325697909E-4</v>
      </c>
      <c r="D44073" s="2">
        <v>5.2699811334675399E-5</v>
      </c>
      <c r="E44073" s="2">
        <v>1.8924649786452501E-4</v>
      </c>
      <c r="F44073" s="2">
        <v>1.08155197972366E-4</v>
      </c>
    </row>
    <row r="44074" spans="1:6" x14ac:dyDescent="0.25">
      <c r="A44074" s="1" t="str">
        <f t="shared" si="1492"/>
        <v>99999</v>
      </c>
      <c r="B44074" s="1" t="str">
        <f>"58316"</f>
        <v>58316</v>
      </c>
      <c r="C44074" s="2">
        <v>6.5606099678400105E-5</v>
      </c>
      <c r="D44074" s="2">
        <v>1.35513800574879E-5</v>
      </c>
      <c r="E44074" s="2">
        <v>2.58063406178898E-5</v>
      </c>
      <c r="F44074" s="2">
        <v>6.1281366734342599E-5</v>
      </c>
    </row>
    <row r="44075" spans="1:6" x14ac:dyDescent="0.25">
      <c r="A44075" s="1" t="str">
        <f t="shared" si="1492"/>
        <v>99999</v>
      </c>
      <c r="B44075" s="1" t="str">
        <f>"58222"</f>
        <v>58222</v>
      </c>
      <c r="C44075" s="2">
        <v>1.23417415236594E-5</v>
      </c>
      <c r="D44075" s="2">
        <v>7.5285444763821999E-6</v>
      </c>
      <c r="E44075" s="2">
        <v>4.3010567696482999E-6</v>
      </c>
      <c r="F44075" s="2">
        <v>1.18418099969744E-5</v>
      </c>
    </row>
    <row r="44076" spans="1:6" x14ac:dyDescent="0.25">
      <c r="A44076" s="1" t="str">
        <f t="shared" si="1492"/>
        <v>99999</v>
      </c>
      <c r="B44076" s="1" t="str">
        <f>"62272"</f>
        <v>62272</v>
      </c>
      <c r="C44076" s="2">
        <v>7.6865232296475394E-5</v>
      </c>
      <c r="D44076" s="2">
        <v>7.5285444763821999E-6</v>
      </c>
      <c r="E44076" s="2">
        <v>5.5913738005427899E-5</v>
      </c>
      <c r="F44076" s="2">
        <v>7.1840313981644697E-5</v>
      </c>
    </row>
    <row r="44077" spans="1:6" x14ac:dyDescent="0.25">
      <c r="A44077" s="1" t="str">
        <f t="shared" si="1492"/>
        <v>99999</v>
      </c>
      <c r="B44077" s="1" t="str">
        <f>"61913"</f>
        <v>61913</v>
      </c>
      <c r="C44077" s="2">
        <v>4.7743052736261498E-5</v>
      </c>
      <c r="D44077" s="2">
        <v>6.0228355811057601E-6</v>
      </c>
      <c r="E44077" s="2">
        <v>5.1612681235779599E-5</v>
      </c>
      <c r="F44077" s="2">
        <v>4.5097559738477497E-5</v>
      </c>
    </row>
    <row r="44078" spans="1:6" x14ac:dyDescent="0.25">
      <c r="A44078" s="1" t="str">
        <f t="shared" si="1492"/>
        <v>99999</v>
      </c>
      <c r="B44078" s="1" t="str">
        <f>"65348"</f>
        <v>65348</v>
      </c>
      <c r="C44078" s="2">
        <v>1.26665241953346E-5</v>
      </c>
      <c r="D44078" s="2">
        <v>0</v>
      </c>
      <c r="E44078" s="2">
        <v>0</v>
      </c>
      <c r="F44078" s="2">
        <v>1.154576474705E-5</v>
      </c>
    </row>
    <row r="44079" spans="1:6" x14ac:dyDescent="0.25">
      <c r="A44079" s="1" t="str">
        <f t="shared" si="1492"/>
        <v>99999</v>
      </c>
      <c r="B44079" s="1" t="str">
        <f>"63675"</f>
        <v>63675</v>
      </c>
      <c r="C44079" s="2">
        <v>1.6455655364879201E-5</v>
      </c>
      <c r="D44079" s="2">
        <v>1.50570889527644E-6</v>
      </c>
      <c r="E44079" s="2">
        <v>4.3010567696482999E-6</v>
      </c>
      <c r="F44079" s="2">
        <v>1.5196989496117099E-5</v>
      </c>
    </row>
    <row r="44080" spans="1:6" x14ac:dyDescent="0.25">
      <c r="A44080" s="1" t="str">
        <f t="shared" si="1492"/>
        <v>99999</v>
      </c>
      <c r="B44080" s="1" t="str">
        <f>"63763"</f>
        <v>63763</v>
      </c>
      <c r="C44080" s="2">
        <v>1.9053916738281199E-5</v>
      </c>
      <c r="D44080" s="2">
        <v>0</v>
      </c>
      <c r="E44080" s="2">
        <v>4.3010567696482999E-6</v>
      </c>
      <c r="F44080" s="2">
        <v>1.7466669745537199E-5</v>
      </c>
    </row>
    <row r="44081" spans="1:6" x14ac:dyDescent="0.25">
      <c r="A44081" s="1" t="str">
        <f t="shared" si="1492"/>
        <v>99999</v>
      </c>
      <c r="B44081" s="1" t="str">
        <f>"65260"</f>
        <v>65260</v>
      </c>
      <c r="C44081" s="2">
        <v>6.3873925429465503E-6</v>
      </c>
      <c r="D44081" s="2">
        <v>0</v>
      </c>
      <c r="E44081" s="2">
        <v>0</v>
      </c>
      <c r="F44081" s="2">
        <v>5.8222232485124198E-6</v>
      </c>
    </row>
    <row r="44082" spans="1:6" x14ac:dyDescent="0.25">
      <c r="A44082" s="1" t="str">
        <f t="shared" si="1492"/>
        <v>99999</v>
      </c>
      <c r="B44082" s="1" t="str">
        <f>"65464"</f>
        <v>65464</v>
      </c>
      <c r="C44082" s="2">
        <v>3.2911310729758503E-5</v>
      </c>
      <c r="D44082" s="2">
        <v>4.5171266858293203E-6</v>
      </c>
      <c r="E44082" s="2">
        <v>4.3010567696482999E-6</v>
      </c>
      <c r="F44082" s="2">
        <v>3.03939789922343E-5</v>
      </c>
    </row>
    <row r="44083" spans="1:6" x14ac:dyDescent="0.25">
      <c r="A44083" s="1" t="str">
        <f t="shared" si="1492"/>
        <v>99999</v>
      </c>
      <c r="B44083" s="1" t="str">
        <f>"64686"</f>
        <v>64686</v>
      </c>
      <c r="C44083" s="2">
        <v>1.1042610836958401E-5</v>
      </c>
      <c r="D44083" s="2">
        <v>0</v>
      </c>
      <c r="E44083" s="2">
        <v>4.3010567696482999E-6</v>
      </c>
      <c r="F44083" s="2">
        <v>1.0164220247403001E-5</v>
      </c>
    </row>
    <row r="44084" spans="1:6" x14ac:dyDescent="0.25">
      <c r="A44084" s="1" t="str">
        <f t="shared" si="1492"/>
        <v>99999</v>
      </c>
      <c r="B44084" s="1" t="str">
        <f>"51520"</f>
        <v>51520</v>
      </c>
      <c r="C44084" s="2">
        <v>1.2016958851984099E-5</v>
      </c>
      <c r="D44084" s="2">
        <v>9.0342533716586405E-6</v>
      </c>
      <c r="E44084" s="2">
        <v>2.15052838482415E-5</v>
      </c>
      <c r="F44084" s="2">
        <v>1.2039173496923901E-5</v>
      </c>
    </row>
    <row r="44085" spans="1:6" x14ac:dyDescent="0.25">
      <c r="A44085" s="1" t="str">
        <f t="shared" si="1492"/>
        <v>99999</v>
      </c>
      <c r="B44085" s="1" t="str">
        <f>"66779"</f>
        <v>66779</v>
      </c>
      <c r="C44085" s="2">
        <v>3.6808702789861399E-5</v>
      </c>
      <c r="D44085" s="2">
        <v>5.4205520229951803E-5</v>
      </c>
      <c r="E44085" s="2">
        <v>1.29031703089449E-5</v>
      </c>
      <c r="F44085" s="2">
        <v>3.7400383240444202E-5</v>
      </c>
    </row>
    <row r="44086" spans="1:6" x14ac:dyDescent="0.25">
      <c r="A44086" s="1" t="str">
        <f t="shared" si="1492"/>
        <v>99999</v>
      </c>
      <c r="B44086" s="1" t="str">
        <f>"67954"</f>
        <v>67954</v>
      </c>
      <c r="C44086" s="2">
        <v>2.85808751074218E-5</v>
      </c>
      <c r="D44086" s="2">
        <v>3.01141779055288E-6</v>
      </c>
      <c r="E44086" s="2">
        <v>1.29031703089449E-5</v>
      </c>
      <c r="F44086" s="2">
        <v>2.6545390743217599E-5</v>
      </c>
    </row>
    <row r="44087" spans="1:6" x14ac:dyDescent="0.25">
      <c r="A44087" s="1" t="str">
        <f t="shared" si="1492"/>
        <v>99999</v>
      </c>
      <c r="B44087" s="1" t="str">
        <f>"68067"</f>
        <v>68067</v>
      </c>
      <c r="C44087" s="2">
        <v>3.0204788465798102E-5</v>
      </c>
      <c r="D44087" s="2">
        <v>1.35513800574879E-5</v>
      </c>
      <c r="E44087" s="2">
        <v>4.3010567696482999E-6</v>
      </c>
      <c r="F44087" s="2">
        <v>2.8519025742713299E-5</v>
      </c>
    </row>
    <row r="44088" spans="1:6" x14ac:dyDescent="0.25">
      <c r="A44088" s="1" t="str">
        <f t="shared" si="1492"/>
        <v>99999</v>
      </c>
      <c r="B44088" s="1" t="str">
        <f>"67059"</f>
        <v>67059</v>
      </c>
      <c r="C44088" s="2">
        <v>4.7310009174027802E-5</v>
      </c>
      <c r="D44088" s="2">
        <v>2.1079924533870101E-5</v>
      </c>
      <c r="E44088" s="2">
        <v>4.3010567696482999E-5</v>
      </c>
      <c r="F44088" s="2">
        <v>4.5492286738376699E-5</v>
      </c>
    </row>
    <row r="44089" spans="1:6" x14ac:dyDescent="0.25">
      <c r="A44089" s="1" t="str">
        <f t="shared" si="1492"/>
        <v>99999</v>
      </c>
      <c r="B44089" s="1" t="str">
        <f>"66951"</f>
        <v>66951</v>
      </c>
      <c r="C44089" s="2">
        <v>4.2546529989457501E-5</v>
      </c>
      <c r="D44089" s="2">
        <v>5.1194102439398901E-5</v>
      </c>
      <c r="E44089" s="2">
        <v>1.29031703089449E-5</v>
      </c>
      <c r="F44089" s="2">
        <v>4.2433152489158302E-5</v>
      </c>
    </row>
    <row r="44090" spans="1:6" x14ac:dyDescent="0.25">
      <c r="A44090" s="1" t="str">
        <f t="shared" si="1492"/>
        <v>99999</v>
      </c>
      <c r="B44090" s="1" t="str">
        <f>"66014"</f>
        <v>66014</v>
      </c>
      <c r="C44090" s="2">
        <v>1.62391335837624E-6</v>
      </c>
      <c r="D44090" s="2">
        <v>0</v>
      </c>
      <c r="E44090" s="2">
        <v>0</v>
      </c>
      <c r="F44090" s="2">
        <v>1.4802262496218E-6</v>
      </c>
    </row>
    <row r="44091" spans="1:6" x14ac:dyDescent="0.25">
      <c r="A44091" s="1" t="str">
        <f t="shared" si="1492"/>
        <v>99999</v>
      </c>
      <c r="B44091" s="1" t="str">
        <f>"65784"</f>
        <v>65784</v>
      </c>
      <c r="C44091" s="2">
        <v>1.14756543991921E-5</v>
      </c>
      <c r="D44091" s="2">
        <v>0</v>
      </c>
      <c r="E44091" s="2">
        <v>4.3010567696482999E-6</v>
      </c>
      <c r="F44091" s="2">
        <v>1.0558947247302099E-5</v>
      </c>
    </row>
    <row r="44092" spans="1:6" x14ac:dyDescent="0.25">
      <c r="A44092" s="1" t="str">
        <f t="shared" si="1492"/>
        <v>99999</v>
      </c>
      <c r="B44092" s="1" t="str">
        <f>"69044"</f>
        <v>69044</v>
      </c>
      <c r="C44092" s="2">
        <v>5.6620445762051603E-5</v>
      </c>
      <c r="D44092" s="2">
        <v>8.88368248213099E-5</v>
      </c>
      <c r="E44092" s="2">
        <v>2.15052838482415E-5</v>
      </c>
      <c r="F44092" s="2">
        <v>5.7926187235199798E-5</v>
      </c>
    </row>
    <row r="44093" spans="1:6" x14ac:dyDescent="0.25">
      <c r="A44093" s="1" t="str">
        <f t="shared" si="1492"/>
        <v>99999</v>
      </c>
      <c r="B44093" s="1" t="str">
        <f>"69148"</f>
        <v>69148</v>
      </c>
      <c r="C44093" s="2">
        <v>1.3749133100918801E-5</v>
      </c>
      <c r="D44093" s="2">
        <v>3.01141779055288E-6</v>
      </c>
      <c r="E44093" s="2">
        <v>0</v>
      </c>
      <c r="F44093" s="2">
        <v>1.27299457467474E-5</v>
      </c>
    </row>
    <row r="44094" spans="1:6" x14ac:dyDescent="0.25">
      <c r="A44094" s="1" t="str">
        <f t="shared" si="1492"/>
        <v>99999</v>
      </c>
      <c r="B44094" s="1" t="str">
        <f>"69034"</f>
        <v>69034</v>
      </c>
      <c r="C44094" s="2">
        <v>4.99082705474298E-5</v>
      </c>
      <c r="D44094" s="2">
        <v>2.7102760114975901E-5</v>
      </c>
      <c r="E44094" s="2">
        <v>3.44084541571864E-5</v>
      </c>
      <c r="F44094" s="2">
        <v>4.8058012237721097E-5</v>
      </c>
    </row>
    <row r="44095" spans="1:6" x14ac:dyDescent="0.25">
      <c r="A44095" s="1" t="str">
        <f t="shared" si="1492"/>
        <v>99999</v>
      </c>
      <c r="B44095" s="1" t="str">
        <f>"68846"</f>
        <v>68846</v>
      </c>
      <c r="C44095" s="2">
        <v>1.5589568240411901E-5</v>
      </c>
      <c r="D44095" s="2">
        <v>1.50570889527644E-6</v>
      </c>
      <c r="E44095" s="2">
        <v>8.6021135392965999E-6</v>
      </c>
      <c r="F44095" s="2">
        <v>1.45062172462936E-5</v>
      </c>
    </row>
    <row r="44096" spans="1:6" x14ac:dyDescent="0.25">
      <c r="A44096" s="1" t="str">
        <f t="shared" si="1492"/>
        <v>99999</v>
      </c>
      <c r="B44096" s="1" t="str">
        <f>"68940"</f>
        <v>68940</v>
      </c>
      <c r="C44096" s="2">
        <v>2.23017434550337E-5</v>
      </c>
      <c r="D44096" s="2">
        <v>3.01141779055288E-6</v>
      </c>
      <c r="E44096" s="2">
        <v>1.29031703089449E-5</v>
      </c>
      <c r="F44096" s="2">
        <v>2.082184924468E-5</v>
      </c>
    </row>
    <row r="44097" spans="1:6" x14ac:dyDescent="0.25">
      <c r="A44097" s="1" t="str">
        <f t="shared" si="1492"/>
        <v>99999</v>
      </c>
      <c r="B44097" s="1" t="str">
        <f>"68856"</f>
        <v>68856</v>
      </c>
      <c r="C44097" s="2">
        <v>3.30195716203169E-5</v>
      </c>
      <c r="D44097" s="2">
        <v>3.1619886800805203E-5</v>
      </c>
      <c r="E44097" s="2">
        <v>1.29031703089449E-5</v>
      </c>
      <c r="F44097" s="2">
        <v>3.2466295741704798E-5</v>
      </c>
    </row>
    <row r="44098" spans="1:6" x14ac:dyDescent="0.25">
      <c r="A44098" s="1" t="str">
        <f t="shared" si="1492"/>
        <v>99999</v>
      </c>
      <c r="B44098" s="1" t="str">
        <f>"71079"</f>
        <v>71079</v>
      </c>
      <c r="C44098" s="2">
        <v>1.2991306867009899E-5</v>
      </c>
      <c r="D44098" s="2">
        <v>3.01141779055288E-6</v>
      </c>
      <c r="E44098" s="2">
        <v>4.3010567696482999E-6</v>
      </c>
      <c r="F44098" s="2">
        <v>1.2137855246898699E-5</v>
      </c>
    </row>
    <row r="44099" spans="1:6" x14ac:dyDescent="0.25">
      <c r="A44099" s="1" t="str">
        <f t="shared" si="1492"/>
        <v>99999</v>
      </c>
      <c r="B44099" s="1" t="str">
        <f>"70655"</f>
        <v>70655</v>
      </c>
      <c r="C44099" s="2">
        <v>4.6985226502352598E-5</v>
      </c>
      <c r="D44099" s="2">
        <v>1.9574215638593701E-5</v>
      </c>
      <c r="E44099" s="2">
        <v>2.58063406178898E-5</v>
      </c>
      <c r="F44099" s="2">
        <v>4.4702832738578397E-5</v>
      </c>
    </row>
    <row r="44100" spans="1:6" x14ac:dyDescent="0.25">
      <c r="A44100" s="1" t="str">
        <f t="shared" si="1492"/>
        <v>99999</v>
      </c>
      <c r="B44100" s="1" t="str">
        <f>"68720"</f>
        <v>68720</v>
      </c>
      <c r="C44100" s="2">
        <v>1.9703482081631699E-5</v>
      </c>
      <c r="D44100" s="2">
        <v>6.0228355811057601E-6</v>
      </c>
      <c r="E44100" s="2">
        <v>4.3010567696482999E-6</v>
      </c>
      <c r="F44100" s="2">
        <v>1.8453487245285098E-5</v>
      </c>
    </row>
    <row r="44101" spans="1:6" x14ac:dyDescent="0.25">
      <c r="A44101" s="1" t="str">
        <f t="shared" si="1492"/>
        <v>99999</v>
      </c>
      <c r="B44101" s="1" t="str">
        <f>"68629"</f>
        <v>68629</v>
      </c>
      <c r="C44101" s="2">
        <v>7.3184362017489305E-5</v>
      </c>
      <c r="D44101" s="2">
        <v>1.80685067433172E-5</v>
      </c>
      <c r="E44101" s="2">
        <v>2.58063406178898E-5</v>
      </c>
      <c r="F44101" s="2">
        <v>6.8485134482502004E-5</v>
      </c>
    </row>
    <row r="44102" spans="1:6" x14ac:dyDescent="0.25">
      <c r="A44102" s="1" t="str">
        <f t="shared" ref="A44102:A44165" si="1493">"99999"</f>
        <v>99999</v>
      </c>
      <c r="B44102" s="1" t="str">
        <f>"68736"</f>
        <v>68736</v>
      </c>
      <c r="C44102" s="2">
        <v>2.7065222639604001E-5</v>
      </c>
      <c r="D44102" s="2">
        <v>1.0539962266935E-5</v>
      </c>
      <c r="E44102" s="2">
        <v>1.72042270785932E-5</v>
      </c>
      <c r="F44102" s="2">
        <v>2.57559367434193E-5</v>
      </c>
    </row>
    <row r="44103" spans="1:6" x14ac:dyDescent="0.25">
      <c r="A44103" s="1" t="str">
        <f t="shared" si="1493"/>
        <v>99999</v>
      </c>
      <c r="B44103" s="1" t="str">
        <f>"68844"</f>
        <v>68844</v>
      </c>
      <c r="C44103" s="2">
        <v>8.8773930257901203E-6</v>
      </c>
      <c r="D44103" s="2">
        <v>6.0228355811057601E-6</v>
      </c>
      <c r="E44103" s="2">
        <v>0</v>
      </c>
      <c r="F44103" s="2">
        <v>8.4866304978316595E-6</v>
      </c>
    </row>
    <row r="44104" spans="1:6" x14ac:dyDescent="0.25">
      <c r="A44104" s="1" t="str">
        <f t="shared" si="1493"/>
        <v>99999</v>
      </c>
      <c r="B44104" s="1" t="str">
        <f>"68322"</f>
        <v>68322</v>
      </c>
      <c r="C44104" s="2">
        <v>2.40339177039683E-5</v>
      </c>
      <c r="D44104" s="2">
        <v>7.5285444763821999E-6</v>
      </c>
      <c r="E44104" s="2">
        <v>0</v>
      </c>
      <c r="F44104" s="2">
        <v>2.2400757244276601E-5</v>
      </c>
    </row>
    <row r="44105" spans="1:6" x14ac:dyDescent="0.25">
      <c r="A44105" s="1" t="str">
        <f t="shared" si="1493"/>
        <v>99999</v>
      </c>
      <c r="B44105" s="1" t="str">
        <f>"68347"</f>
        <v>68347</v>
      </c>
      <c r="C44105" s="2">
        <v>2.0244786534423801E-5</v>
      </c>
      <c r="D44105" s="2">
        <v>1.50570889527644E-6</v>
      </c>
      <c r="E44105" s="2">
        <v>0</v>
      </c>
      <c r="F44105" s="2">
        <v>1.8552168995259899E-5</v>
      </c>
    </row>
    <row r="44106" spans="1:6" x14ac:dyDescent="0.25">
      <c r="A44106" s="1" t="str">
        <f t="shared" si="1493"/>
        <v>99999</v>
      </c>
      <c r="B44106" s="1" t="str">
        <f>"74354"</f>
        <v>74354</v>
      </c>
      <c r="C44106" s="2">
        <v>4.98000096568714E-6</v>
      </c>
      <c r="D44106" s="2">
        <v>0</v>
      </c>
      <c r="E44106" s="2">
        <v>0</v>
      </c>
      <c r="F44106" s="2">
        <v>4.5393604988401904E-6</v>
      </c>
    </row>
    <row r="44107" spans="1:6" x14ac:dyDescent="0.25">
      <c r="A44107" s="1" t="str">
        <f t="shared" si="1493"/>
        <v>99999</v>
      </c>
      <c r="B44107" s="1" t="str">
        <f>"75448"</f>
        <v>75448</v>
      </c>
      <c r="C44107" s="2">
        <v>3.7241746352095101E-5</v>
      </c>
      <c r="D44107" s="2">
        <v>1.65627978480408E-5</v>
      </c>
      <c r="E44107" s="2">
        <v>4.3010567696482999E-6</v>
      </c>
      <c r="F44107" s="2">
        <v>3.5130702991024101E-5</v>
      </c>
    </row>
    <row r="44108" spans="1:6" x14ac:dyDescent="0.25">
      <c r="A44108" s="1" t="str">
        <f t="shared" si="1493"/>
        <v>99999</v>
      </c>
      <c r="B44108" s="1" t="str">
        <f>"79506"</f>
        <v>79506</v>
      </c>
      <c r="C44108" s="2">
        <v>2.5766091952903002E-5</v>
      </c>
      <c r="D44108" s="2">
        <v>3.01141779055288E-6</v>
      </c>
      <c r="E44108" s="2">
        <v>2.58063406178898E-5</v>
      </c>
      <c r="F44108" s="2">
        <v>2.42757104937975E-5</v>
      </c>
    </row>
    <row r="44109" spans="1:6" x14ac:dyDescent="0.25">
      <c r="A44109" s="1" t="str">
        <f t="shared" si="1493"/>
        <v>99999</v>
      </c>
      <c r="B44109" s="1" t="str">
        <f>"79009"</f>
        <v>79009</v>
      </c>
      <c r="C44109" s="2">
        <v>2.0028264753306899E-5</v>
      </c>
      <c r="D44109" s="2">
        <v>1.65627978480408E-5</v>
      </c>
      <c r="E44109" s="2">
        <v>0</v>
      </c>
      <c r="F44109" s="2">
        <v>1.9341622995058201E-5</v>
      </c>
    </row>
    <row r="44110" spans="1:6" x14ac:dyDescent="0.25">
      <c r="A44110" s="1" t="str">
        <f t="shared" si="1493"/>
        <v>99999</v>
      </c>
      <c r="B44110" s="1" t="str">
        <f>"79031"</f>
        <v>79031</v>
      </c>
      <c r="C44110" s="2">
        <v>2.3492613251176299E-5</v>
      </c>
      <c r="D44110" s="2">
        <v>1.0539962266935E-5</v>
      </c>
      <c r="E44110" s="2">
        <v>0</v>
      </c>
      <c r="F44110" s="2">
        <v>2.2104711994352199E-5</v>
      </c>
    </row>
    <row r="44111" spans="1:6" x14ac:dyDescent="0.25">
      <c r="A44111" s="1" t="str">
        <f t="shared" si="1493"/>
        <v>99999</v>
      </c>
      <c r="B44111" s="1" t="str">
        <f>"79738"</f>
        <v>79738</v>
      </c>
      <c r="C44111" s="2">
        <v>5.4130445279207995E-7</v>
      </c>
      <c r="D44111" s="2">
        <v>1.0539962266935E-5</v>
      </c>
      <c r="E44111" s="2">
        <v>0</v>
      </c>
      <c r="F44111" s="2">
        <v>1.18418099969744E-6</v>
      </c>
    </row>
    <row r="44112" spans="1:6" x14ac:dyDescent="0.25">
      <c r="A44112" s="1" t="str">
        <f t="shared" si="1493"/>
        <v>99999</v>
      </c>
      <c r="B44112" s="1" t="str">
        <f>"78614"</f>
        <v>78614</v>
      </c>
      <c r="C44112" s="2">
        <v>2.7065222639604001E-5</v>
      </c>
      <c r="D44112" s="2">
        <v>1.0539962266935E-5</v>
      </c>
      <c r="E44112" s="2">
        <v>4.3010567696482999E-6</v>
      </c>
      <c r="F44112" s="2">
        <v>2.5459891493494899E-5</v>
      </c>
    </row>
    <row r="44113" spans="1:6" x14ac:dyDescent="0.25">
      <c r="A44113" s="1" t="str">
        <f t="shared" si="1493"/>
        <v>99999</v>
      </c>
      <c r="B44113" s="1" t="str">
        <f>"81242"</f>
        <v>81242</v>
      </c>
      <c r="C44113" s="2">
        <v>4.53613131439763E-5</v>
      </c>
      <c r="D44113" s="2">
        <v>0</v>
      </c>
      <c r="E44113" s="2">
        <v>1.4623593016804199E-4</v>
      </c>
      <c r="F44113" s="2">
        <v>4.4702832738578397E-5</v>
      </c>
    </row>
    <row r="44114" spans="1:6" x14ac:dyDescent="0.25">
      <c r="A44114" s="1" t="str">
        <f t="shared" si="1493"/>
        <v>99999</v>
      </c>
      <c r="B44114" s="1" t="str">
        <f>"82217"</f>
        <v>82217</v>
      </c>
      <c r="C44114" s="2">
        <v>9.5269583691406198E-6</v>
      </c>
      <c r="D44114" s="2">
        <v>1.50570889527644E-6</v>
      </c>
      <c r="E44114" s="2">
        <v>1.8064438432522799E-4</v>
      </c>
      <c r="F44114" s="2">
        <v>1.2927309246696999E-5</v>
      </c>
    </row>
    <row r="44115" spans="1:6" x14ac:dyDescent="0.25">
      <c r="A44115" s="1" t="str">
        <f t="shared" si="1493"/>
        <v>99999</v>
      </c>
      <c r="B44115" s="1" t="str">
        <f>"80757"</f>
        <v>80757</v>
      </c>
      <c r="C44115" s="2">
        <v>1.1042610836958401E-5</v>
      </c>
      <c r="D44115" s="2">
        <v>6.0228355811057601E-6</v>
      </c>
      <c r="E44115" s="2">
        <v>5.5913738005427899E-5</v>
      </c>
      <c r="F44115" s="2">
        <v>1.1743128246999599E-5</v>
      </c>
    </row>
    <row r="44116" spans="1:6" x14ac:dyDescent="0.25">
      <c r="A44116" s="1" t="str">
        <f t="shared" si="1493"/>
        <v>99999</v>
      </c>
      <c r="B44116" s="1" t="str">
        <f>"80801"</f>
        <v>80801</v>
      </c>
      <c r="C44116" s="2">
        <v>8.5526103541148705E-6</v>
      </c>
      <c r="D44116" s="2">
        <v>1.9574215638593701E-5</v>
      </c>
      <c r="E44116" s="2">
        <v>2.15052838482415E-5</v>
      </c>
      <c r="F44116" s="2">
        <v>9.5721297475543202E-6</v>
      </c>
    </row>
    <row r="44117" spans="1:6" x14ac:dyDescent="0.25">
      <c r="A44117" s="1" t="str">
        <f t="shared" si="1493"/>
        <v>99999</v>
      </c>
      <c r="B44117" s="1" t="str">
        <f>"97738"</f>
        <v>97738</v>
      </c>
      <c r="C44117" s="2">
        <v>1.11725239056285E-4</v>
      </c>
      <c r="D44117" s="2">
        <v>5.4205520229951803E-5</v>
      </c>
      <c r="E44117" s="2">
        <v>3.8709510926834699E-5</v>
      </c>
      <c r="F44117" s="2">
        <v>1.0628024472284499E-4</v>
      </c>
    </row>
    <row r="44118" spans="1:6" x14ac:dyDescent="0.25">
      <c r="A44118" s="1" t="str">
        <f t="shared" si="1493"/>
        <v>99999</v>
      </c>
      <c r="B44118" s="1" t="str">
        <f>"97641"</f>
        <v>97641</v>
      </c>
      <c r="C44118" s="2">
        <v>9.8517410408158703E-5</v>
      </c>
      <c r="D44118" s="2">
        <v>1.50570889527644E-6</v>
      </c>
      <c r="E44118" s="2">
        <v>8.6021135392965999E-6</v>
      </c>
      <c r="F44118" s="2">
        <v>9.0096437726980299E-5</v>
      </c>
    </row>
    <row r="44119" spans="1:6" x14ac:dyDescent="0.25">
      <c r="A44119" s="1" t="str">
        <f t="shared" si="1493"/>
        <v>99999</v>
      </c>
      <c r="B44119" s="1" t="str">
        <f>"97865"</f>
        <v>97865</v>
      </c>
      <c r="C44119" s="2">
        <v>7.3400883798606099E-5</v>
      </c>
      <c r="D44119" s="2">
        <v>4.5171266858293203E-6</v>
      </c>
      <c r="E44119" s="2">
        <v>1.29031703089449E-5</v>
      </c>
      <c r="F44119" s="2">
        <v>6.7498316982754101E-5</v>
      </c>
    </row>
    <row r="44120" spans="1:6" x14ac:dyDescent="0.25">
      <c r="A44120" s="1" t="str">
        <f t="shared" si="1493"/>
        <v>99999</v>
      </c>
      <c r="B44120" s="1" t="str">
        <f>"99029"</f>
        <v>99029</v>
      </c>
      <c r="C44120" s="2">
        <v>1.6672177145996001E-5</v>
      </c>
      <c r="D44120" s="2">
        <v>4.5171266858293203E-6</v>
      </c>
      <c r="E44120" s="2">
        <v>4.6021307435236802E-4</v>
      </c>
      <c r="F44120" s="2">
        <v>2.6051981993343701E-5</v>
      </c>
    </row>
    <row r="44121" spans="1:6" x14ac:dyDescent="0.25">
      <c r="A44121" s="1" t="str">
        <f t="shared" si="1493"/>
        <v>99999</v>
      </c>
      <c r="B44121" s="1" t="str">
        <f>"23967"</f>
        <v>23967</v>
      </c>
      <c r="C44121" s="2">
        <v>5.6620445762051603E-5</v>
      </c>
      <c r="D44121" s="2">
        <v>1.50570889527644E-5</v>
      </c>
      <c r="E44121" s="2">
        <v>8.6021135392965999E-6</v>
      </c>
      <c r="F44121" s="2">
        <v>5.2794736236510901E-5</v>
      </c>
    </row>
    <row r="44122" spans="1:6" x14ac:dyDescent="0.25">
      <c r="A44122" s="1" t="str">
        <f t="shared" si="1493"/>
        <v>99999</v>
      </c>
      <c r="B44122" s="1" t="str">
        <f>"24634"</f>
        <v>24634</v>
      </c>
      <c r="C44122" s="2">
        <v>1.68886989271129E-5</v>
      </c>
      <c r="D44122" s="2">
        <v>3.01141779055288E-6</v>
      </c>
      <c r="E44122" s="2">
        <v>0</v>
      </c>
      <c r="F44122" s="2">
        <v>1.5591716496016299E-5</v>
      </c>
    </row>
    <row r="44123" spans="1:6" x14ac:dyDescent="0.25">
      <c r="A44123" s="1" t="str">
        <f t="shared" si="1493"/>
        <v>99999</v>
      </c>
      <c r="B44123" s="1" t="str">
        <f>"24657"</f>
        <v>24657</v>
      </c>
      <c r="C44123" s="2">
        <v>1.0176523712491101E-5</v>
      </c>
      <c r="D44123" s="2">
        <v>1.50570889527644E-5</v>
      </c>
      <c r="E44123" s="2">
        <v>0</v>
      </c>
      <c r="F44123" s="2">
        <v>1.02629019973778E-5</v>
      </c>
    </row>
    <row r="44124" spans="1:6" x14ac:dyDescent="0.25">
      <c r="A44124" s="1" t="str">
        <f t="shared" si="1493"/>
        <v>99999</v>
      </c>
      <c r="B44124" s="1" t="str">
        <f>"24957"</f>
        <v>24957</v>
      </c>
      <c r="C44124" s="2">
        <v>1.67804380365545E-5</v>
      </c>
      <c r="D44124" s="2">
        <v>1.9574215638593701E-5</v>
      </c>
      <c r="E44124" s="2">
        <v>8.6021135392965999E-6</v>
      </c>
      <c r="F44124" s="2">
        <v>1.6775897495713701E-5</v>
      </c>
    </row>
    <row r="44125" spans="1:6" x14ac:dyDescent="0.25">
      <c r="A44125" s="1" t="str">
        <f t="shared" si="1493"/>
        <v>99999</v>
      </c>
      <c r="B44125" s="1" t="str">
        <f>"25071"</f>
        <v>25071</v>
      </c>
      <c r="C44125" s="2">
        <v>1.06095672747247E-5</v>
      </c>
      <c r="D44125" s="2">
        <v>0</v>
      </c>
      <c r="E44125" s="2">
        <v>0</v>
      </c>
      <c r="F44125" s="2">
        <v>9.6708114975291003E-6</v>
      </c>
    </row>
    <row r="44126" spans="1:6" x14ac:dyDescent="0.25">
      <c r="A44126" s="1" t="str">
        <f t="shared" si="1493"/>
        <v>99999</v>
      </c>
      <c r="B44126" s="1" t="str">
        <f>"24844"</f>
        <v>24844</v>
      </c>
      <c r="C44126" s="2">
        <v>6.7121752146217999E-5</v>
      </c>
      <c r="D44126" s="2">
        <v>2.7102760114975901E-5</v>
      </c>
      <c r="E44126" s="2">
        <v>0</v>
      </c>
      <c r="F44126" s="2">
        <v>6.2958956483913898E-5</v>
      </c>
    </row>
    <row r="44127" spans="1:6" x14ac:dyDescent="0.25">
      <c r="A44127" s="1" t="str">
        <f t="shared" si="1493"/>
        <v>99999</v>
      </c>
      <c r="B44127" s="1" t="str">
        <f>"24726"</f>
        <v>24726</v>
      </c>
      <c r="C44127" s="2">
        <v>4.0273051287730802E-5</v>
      </c>
      <c r="D44127" s="2">
        <v>6.0228355811057601E-6</v>
      </c>
      <c r="E44127" s="2">
        <v>4.3010567696482999E-6</v>
      </c>
      <c r="F44127" s="2">
        <v>3.7203019740494601E-5</v>
      </c>
    </row>
    <row r="44128" spans="1:6" x14ac:dyDescent="0.25">
      <c r="A44128" s="1" t="str">
        <f t="shared" si="1493"/>
        <v>99999</v>
      </c>
      <c r="B44128" s="1" t="str">
        <f>"26202"</f>
        <v>26202</v>
      </c>
      <c r="C44128" s="2">
        <v>2.1760439002241601E-5</v>
      </c>
      <c r="D44128" s="2">
        <v>4.5171266858293203E-6</v>
      </c>
      <c r="E44128" s="2">
        <v>0</v>
      </c>
      <c r="F44128" s="2">
        <v>2.0131076994856499E-5</v>
      </c>
    </row>
    <row r="44129" spans="1:6" x14ac:dyDescent="0.25">
      <c r="A44129" s="1" t="str">
        <f t="shared" si="1493"/>
        <v>99999</v>
      </c>
      <c r="B44129" s="1" t="str">
        <f>"26224"</f>
        <v>26224</v>
      </c>
      <c r="C44129" s="2">
        <v>1.84043513949307E-6</v>
      </c>
      <c r="D44129" s="2">
        <v>0</v>
      </c>
      <c r="E44129" s="2">
        <v>0</v>
      </c>
      <c r="F44129" s="2">
        <v>1.6775897495713699E-6</v>
      </c>
    </row>
    <row r="44130" spans="1:6" x14ac:dyDescent="0.25">
      <c r="A44130" s="1" t="str">
        <f t="shared" si="1493"/>
        <v>99999</v>
      </c>
      <c r="B44130" s="1" t="str">
        <f>"26264"</f>
        <v>26264</v>
      </c>
      <c r="C44130" s="2">
        <v>2.4142178594526799E-5</v>
      </c>
      <c r="D44130" s="2">
        <v>3.01141779055288E-6</v>
      </c>
      <c r="E44130" s="2">
        <v>0</v>
      </c>
      <c r="F44130" s="2">
        <v>2.2203393744327E-5</v>
      </c>
    </row>
    <row r="44131" spans="1:6" x14ac:dyDescent="0.25">
      <c r="A44131" s="1" t="str">
        <f t="shared" si="1493"/>
        <v>99999</v>
      </c>
      <c r="B44131" s="1" t="str">
        <f>"25969"</f>
        <v>25969</v>
      </c>
      <c r="C44131" s="2">
        <v>7.8813928326526903E-5</v>
      </c>
      <c r="D44131" s="2">
        <v>4.5171266858293203E-6</v>
      </c>
      <c r="E44131" s="2">
        <v>8.6021135392965999E-6</v>
      </c>
      <c r="F44131" s="2">
        <v>7.2333722731518702E-5</v>
      </c>
    </row>
    <row r="44132" spans="1:6" x14ac:dyDescent="0.25">
      <c r="A44132" s="1" t="str">
        <f t="shared" si="1493"/>
        <v>99999</v>
      </c>
      <c r="B44132" s="1" t="str">
        <f>"26691"</f>
        <v>26691</v>
      </c>
      <c r="C44132" s="2">
        <v>2.0136525643865401E-5</v>
      </c>
      <c r="D44132" s="2">
        <v>1.50570889527644E-6</v>
      </c>
      <c r="E44132" s="2">
        <v>8.6021135392965999E-6</v>
      </c>
      <c r="F44132" s="2">
        <v>1.8650850745234699E-5</v>
      </c>
    </row>
    <row r="44133" spans="1:6" x14ac:dyDescent="0.25">
      <c r="A44133" s="1" t="str">
        <f t="shared" si="1493"/>
        <v>99999</v>
      </c>
      <c r="B44133" s="1" t="str">
        <f>"27980"</f>
        <v>27980</v>
      </c>
      <c r="C44133" s="2">
        <v>9.9816541094859695E-5</v>
      </c>
      <c r="D44133" s="2">
        <v>3.31255956960816E-5</v>
      </c>
      <c r="E44133" s="2">
        <v>0</v>
      </c>
      <c r="F44133" s="2">
        <v>9.3155571976198703E-5</v>
      </c>
    </row>
    <row r="44134" spans="1:6" x14ac:dyDescent="0.25">
      <c r="A44134" s="1" t="str">
        <f t="shared" si="1493"/>
        <v>99999</v>
      </c>
      <c r="B44134" s="1" t="str">
        <f>"28513"</f>
        <v>28513</v>
      </c>
      <c r="C44134" s="2">
        <v>3.1503919152499101E-5</v>
      </c>
      <c r="D44134" s="2">
        <v>2.55970512196994E-5</v>
      </c>
      <c r="E44134" s="2">
        <v>0</v>
      </c>
      <c r="F44134" s="2">
        <v>3.03939789922343E-5</v>
      </c>
    </row>
    <row r="44135" spans="1:6" x14ac:dyDescent="0.25">
      <c r="A44135" s="1" t="str">
        <f t="shared" si="1493"/>
        <v>99999</v>
      </c>
      <c r="B44135" s="1" t="str">
        <f>"29838"</f>
        <v>29838</v>
      </c>
      <c r="C44135" s="2">
        <v>2.93387013413307E-5</v>
      </c>
      <c r="D44135" s="2">
        <v>1.20456711622115E-5</v>
      </c>
      <c r="E44135" s="2">
        <v>0</v>
      </c>
      <c r="F44135" s="2">
        <v>2.7532208242965501E-5</v>
      </c>
    </row>
    <row r="44136" spans="1:6" x14ac:dyDescent="0.25">
      <c r="A44136" s="1" t="str">
        <f t="shared" si="1493"/>
        <v>99999</v>
      </c>
      <c r="B44136" s="1" t="str">
        <f>"30426"</f>
        <v>30426</v>
      </c>
      <c r="C44136" s="2">
        <v>4.98000096568714E-6</v>
      </c>
      <c r="D44136" s="2">
        <v>4.5171266858293203E-6</v>
      </c>
      <c r="E44136" s="2">
        <v>0</v>
      </c>
      <c r="F44136" s="2">
        <v>4.8354057487645501E-6</v>
      </c>
    </row>
    <row r="44137" spans="1:6" x14ac:dyDescent="0.25">
      <c r="A44137" s="1" t="str">
        <f t="shared" si="1493"/>
        <v>99999</v>
      </c>
      <c r="B44137" s="1" t="str">
        <f>"31721"</f>
        <v>31721</v>
      </c>
      <c r="C44137" s="2">
        <v>5.4130445279208001E-6</v>
      </c>
      <c r="D44137" s="2">
        <v>0</v>
      </c>
      <c r="E44137" s="2">
        <v>0</v>
      </c>
      <c r="F44137" s="2">
        <v>4.9340874987393404E-6</v>
      </c>
    </row>
    <row r="44138" spans="1:6" x14ac:dyDescent="0.25">
      <c r="A44138" s="1" t="str">
        <f t="shared" si="1493"/>
        <v>99999</v>
      </c>
      <c r="B44138" s="1" t="str">
        <f>"32026"</f>
        <v>32026</v>
      </c>
      <c r="C44138" s="2">
        <v>7.6865232296475401E-6</v>
      </c>
      <c r="D44138" s="2">
        <v>6.0228355811057601E-6</v>
      </c>
      <c r="E44138" s="2">
        <v>8.6021135392965999E-6</v>
      </c>
      <c r="F44138" s="2">
        <v>7.5984947480585801E-6</v>
      </c>
    </row>
    <row r="44139" spans="1:6" x14ac:dyDescent="0.25">
      <c r="A44139" s="1" t="str">
        <f t="shared" si="1493"/>
        <v>99999</v>
      </c>
      <c r="B44139" s="1" t="str">
        <f>"35542"</f>
        <v>35542</v>
      </c>
      <c r="C44139" s="2">
        <v>8.0979146137695205E-5</v>
      </c>
      <c r="D44139" s="2">
        <v>1.9574215638593701E-5</v>
      </c>
      <c r="E44139" s="2">
        <v>0</v>
      </c>
      <c r="F44139" s="2">
        <v>7.5096811730812694E-5</v>
      </c>
    </row>
    <row r="44140" spans="1:6" x14ac:dyDescent="0.25">
      <c r="A44140" s="1" t="str">
        <f t="shared" si="1493"/>
        <v>99999</v>
      </c>
      <c r="B44140" s="1" t="str">
        <f>"36268"</f>
        <v>36268</v>
      </c>
      <c r="C44140" s="2">
        <v>3.1395658261940598E-6</v>
      </c>
      <c r="D44140" s="2">
        <v>0</v>
      </c>
      <c r="E44140" s="2">
        <v>0</v>
      </c>
      <c r="F44140" s="2">
        <v>2.8617707492688101E-6</v>
      </c>
    </row>
    <row r="44141" spans="1:6" x14ac:dyDescent="0.25">
      <c r="A44141" s="1" t="str">
        <f t="shared" si="1493"/>
        <v>99999</v>
      </c>
      <c r="B44141" s="1" t="str">
        <f>"38376"</f>
        <v>38376</v>
      </c>
      <c r="C44141" s="2">
        <v>2.0677830096657399E-5</v>
      </c>
      <c r="D44141" s="2">
        <v>1.65627978480408E-5</v>
      </c>
      <c r="E44141" s="2">
        <v>0</v>
      </c>
      <c r="F44141" s="2">
        <v>1.9933713494906902E-5</v>
      </c>
    </row>
    <row r="44142" spans="1:6" x14ac:dyDescent="0.25">
      <c r="A44142" s="1" t="str">
        <f t="shared" si="1493"/>
        <v>99999</v>
      </c>
      <c r="B44142" s="1" t="str">
        <f>"37366"</f>
        <v>37366</v>
      </c>
      <c r="C44142" s="2">
        <v>5.3156097264182301E-5</v>
      </c>
      <c r="D44142" s="2">
        <v>4.0654140172463799E-5</v>
      </c>
      <c r="E44142" s="2">
        <v>0</v>
      </c>
      <c r="F44142" s="2">
        <v>5.11171464869395E-5</v>
      </c>
    </row>
    <row r="44143" spans="1:6" x14ac:dyDescent="0.25">
      <c r="A44143" s="1" t="str">
        <f t="shared" si="1493"/>
        <v>99999</v>
      </c>
      <c r="B44143" s="1" t="str">
        <f>"39338"</f>
        <v>39338</v>
      </c>
      <c r="C44143" s="2">
        <v>4.1139138412198099E-5</v>
      </c>
      <c r="D44143" s="2">
        <v>1.50570889527644E-5</v>
      </c>
      <c r="E44143" s="2">
        <v>0</v>
      </c>
      <c r="F44143" s="2">
        <v>3.84858824901668E-5</v>
      </c>
    </row>
    <row r="44144" spans="1:6" x14ac:dyDescent="0.25">
      <c r="A44144" s="1" t="str">
        <f t="shared" si="1493"/>
        <v>99999</v>
      </c>
      <c r="B44144" s="1" t="str">
        <f>"39657"</f>
        <v>39657</v>
      </c>
      <c r="C44144" s="2">
        <v>4.9475226985196098E-5</v>
      </c>
      <c r="D44144" s="2">
        <v>1.35513800574879E-5</v>
      </c>
      <c r="E44144" s="2">
        <v>0</v>
      </c>
      <c r="F44144" s="2">
        <v>4.5985695488250603E-5</v>
      </c>
    </row>
    <row r="44145" spans="1:6" x14ac:dyDescent="0.25">
      <c r="A44145" s="1" t="str">
        <f t="shared" si="1493"/>
        <v>99999</v>
      </c>
      <c r="B44145" s="1" t="str">
        <f>"39443"</f>
        <v>39443</v>
      </c>
      <c r="C44145" s="2">
        <v>5.2181749249156499E-5</v>
      </c>
      <c r="D44145" s="2">
        <v>2.1079924533870101E-5</v>
      </c>
      <c r="E44145" s="2">
        <v>0</v>
      </c>
      <c r="F44145" s="2">
        <v>4.8946147987494202E-5</v>
      </c>
    </row>
    <row r="44146" spans="1:6" x14ac:dyDescent="0.25">
      <c r="A44146" s="1" t="str">
        <f t="shared" si="1493"/>
        <v>99999</v>
      </c>
      <c r="B44146" s="1" t="str">
        <f>"42462"</f>
        <v>42462</v>
      </c>
      <c r="C44146" s="2">
        <v>4.51447913628595E-5</v>
      </c>
      <c r="D44146" s="2">
        <v>2.4091342324423E-5</v>
      </c>
      <c r="E44146" s="2">
        <v>3.44084541571864E-5</v>
      </c>
      <c r="F44146" s="2">
        <v>4.3518651738880901E-5</v>
      </c>
    </row>
    <row r="44147" spans="1:6" x14ac:dyDescent="0.25">
      <c r="A44147" s="1" t="str">
        <f t="shared" si="1493"/>
        <v>99999</v>
      </c>
      <c r="B44147" s="1" t="str">
        <f>"41815"</f>
        <v>41815</v>
      </c>
      <c r="C44147" s="2">
        <v>2.84726142168634E-5</v>
      </c>
      <c r="D44147" s="2">
        <v>1.50570889527644E-6</v>
      </c>
      <c r="E44147" s="2">
        <v>1.72042270785932E-5</v>
      </c>
      <c r="F44147" s="2">
        <v>2.6446708993242801E-5</v>
      </c>
    </row>
    <row r="44148" spans="1:6" x14ac:dyDescent="0.25">
      <c r="A44148" s="1" t="str">
        <f t="shared" si="1493"/>
        <v>99999</v>
      </c>
      <c r="B44148" s="1" t="str">
        <f>"41844"</f>
        <v>41844</v>
      </c>
      <c r="C44148" s="2">
        <v>2.84726142168634E-5</v>
      </c>
      <c r="D44148" s="2">
        <v>1.65627978480408E-5</v>
      </c>
      <c r="E44148" s="2">
        <v>4.3010567696482999E-5</v>
      </c>
      <c r="F44148" s="2">
        <v>2.8025616992839402E-5</v>
      </c>
    </row>
    <row r="44149" spans="1:6" x14ac:dyDescent="0.25">
      <c r="A44149" s="1" t="str">
        <f t="shared" si="1493"/>
        <v>99999</v>
      </c>
      <c r="B44149" s="1" t="str">
        <f>"41612"</f>
        <v>41612</v>
      </c>
      <c r="C44149" s="2">
        <v>7.5782623390891297E-6</v>
      </c>
      <c r="D44149" s="2">
        <v>6.0228355811057601E-6</v>
      </c>
      <c r="E44149" s="2">
        <v>3.44084541571864E-5</v>
      </c>
      <c r="F44149" s="2">
        <v>8.0919034979325103E-6</v>
      </c>
    </row>
    <row r="44150" spans="1:6" x14ac:dyDescent="0.25">
      <c r="A44150" s="1" t="str">
        <f t="shared" si="1493"/>
        <v>99999</v>
      </c>
      <c r="B44150" s="1" t="str">
        <f>"43501"</f>
        <v>43501</v>
      </c>
      <c r="C44150" s="2">
        <v>3.6050876555952499E-5</v>
      </c>
      <c r="D44150" s="2">
        <v>1.0539962266935E-5</v>
      </c>
      <c r="E44150" s="2">
        <v>8.6021135392965999E-6</v>
      </c>
      <c r="F44150" s="2">
        <v>3.3749158491377003E-5</v>
      </c>
    </row>
    <row r="44151" spans="1:6" x14ac:dyDescent="0.25">
      <c r="A44151" s="1" t="str">
        <f t="shared" si="1493"/>
        <v>99999</v>
      </c>
      <c r="B44151" s="1" t="str">
        <f>"43901"</f>
        <v>43901</v>
      </c>
      <c r="C44151" s="2">
        <v>1.85126122854891E-5</v>
      </c>
      <c r="D44151" s="2">
        <v>1.50570889527644E-6</v>
      </c>
      <c r="E44151" s="2">
        <v>0</v>
      </c>
      <c r="F44151" s="2">
        <v>1.6973260995663299E-5</v>
      </c>
    </row>
    <row r="44152" spans="1:6" x14ac:dyDescent="0.25">
      <c r="A44152" s="1" t="str">
        <f t="shared" si="1493"/>
        <v>99999</v>
      </c>
      <c r="B44152" s="1" t="str">
        <f>"40858"</f>
        <v>40858</v>
      </c>
      <c r="C44152" s="2">
        <v>1.26665241953346E-5</v>
      </c>
      <c r="D44152" s="2">
        <v>4.5171266858293203E-6</v>
      </c>
      <c r="E44152" s="2">
        <v>4.3010567696482999E-6</v>
      </c>
      <c r="F44152" s="2">
        <v>1.19404917469492E-5</v>
      </c>
    </row>
    <row r="44153" spans="1:6" x14ac:dyDescent="0.25">
      <c r="A44153" s="1" t="str">
        <f t="shared" si="1493"/>
        <v>99999</v>
      </c>
      <c r="B44153" s="1" t="str">
        <f>"41464"</f>
        <v>41464</v>
      </c>
      <c r="C44153" s="2">
        <v>4.36291388950417E-5</v>
      </c>
      <c r="D44153" s="2">
        <v>4.5171266858293203E-6</v>
      </c>
      <c r="E44153" s="2">
        <v>8.6021135392965999E-6</v>
      </c>
      <c r="F44153" s="2">
        <v>4.0262153989712998E-5</v>
      </c>
    </row>
    <row r="44154" spans="1:6" x14ac:dyDescent="0.25">
      <c r="A44154" s="1" t="str">
        <f t="shared" si="1493"/>
        <v>99999</v>
      </c>
      <c r="B44154" s="1" t="str">
        <f>"41390"</f>
        <v>41390</v>
      </c>
      <c r="C44154" s="2">
        <v>8.0113059013227898E-6</v>
      </c>
      <c r="D44154" s="2">
        <v>0</v>
      </c>
      <c r="E44154" s="2">
        <v>8.6021135392965999E-6</v>
      </c>
      <c r="F44154" s="2">
        <v>7.4998129980837899E-6</v>
      </c>
    </row>
    <row r="44155" spans="1:6" x14ac:dyDescent="0.25">
      <c r="A44155" s="1" t="str">
        <f t="shared" si="1493"/>
        <v>99999</v>
      </c>
      <c r="B44155" s="1" t="str">
        <f>"41129"</f>
        <v>41129</v>
      </c>
      <c r="C44155" s="2">
        <v>2.6415657296253501E-5</v>
      </c>
      <c r="D44155" s="2">
        <v>9.0342533716586405E-6</v>
      </c>
      <c r="E44155" s="2">
        <v>0</v>
      </c>
      <c r="F44155" s="2">
        <v>2.4670437493696699E-5</v>
      </c>
    </row>
    <row r="44156" spans="1:6" x14ac:dyDescent="0.25">
      <c r="A44156" s="1" t="str">
        <f t="shared" si="1493"/>
        <v>99999</v>
      </c>
      <c r="B44156" s="1" t="str">
        <f>"40442"</f>
        <v>40442</v>
      </c>
      <c r="C44156" s="2">
        <v>2.94469622318891E-5</v>
      </c>
      <c r="D44156" s="2">
        <v>6.0228355811057601E-6</v>
      </c>
      <c r="E44156" s="2">
        <v>0</v>
      </c>
      <c r="F44156" s="2">
        <v>2.72361629930411E-5</v>
      </c>
    </row>
    <row r="44157" spans="1:6" x14ac:dyDescent="0.25">
      <c r="A44157" s="1" t="str">
        <f t="shared" si="1493"/>
        <v>99999</v>
      </c>
      <c r="B44157" s="1" t="str">
        <f>"45612"</f>
        <v>45612</v>
      </c>
      <c r="C44157" s="2">
        <v>7.6973493187033797E-5</v>
      </c>
      <c r="D44157" s="2">
        <v>3.31255956960816E-5</v>
      </c>
      <c r="E44157" s="2">
        <v>1.29031703089449E-5</v>
      </c>
      <c r="F44157" s="2">
        <v>7.2629767981443005E-5</v>
      </c>
    </row>
    <row r="44158" spans="1:6" x14ac:dyDescent="0.25">
      <c r="A44158" s="1" t="str">
        <f t="shared" si="1493"/>
        <v>99999</v>
      </c>
      <c r="B44158" s="1" t="str">
        <f>"45601"</f>
        <v>45601</v>
      </c>
      <c r="C44158" s="2">
        <v>1.6672177145996001E-5</v>
      </c>
      <c r="D44158" s="2">
        <v>1.50570889527644E-6</v>
      </c>
      <c r="E44158" s="2">
        <v>0</v>
      </c>
      <c r="F44158" s="2">
        <v>1.5295671246091901E-5</v>
      </c>
    </row>
    <row r="44159" spans="1:6" x14ac:dyDescent="0.25">
      <c r="A44159" s="1" t="str">
        <f t="shared" si="1493"/>
        <v>99999</v>
      </c>
      <c r="B44159" s="1" t="str">
        <f>"43773"</f>
        <v>43773</v>
      </c>
      <c r="C44159" s="2">
        <v>6.3332620976673399E-5</v>
      </c>
      <c r="D44159" s="2">
        <v>9.0342533716586405E-6</v>
      </c>
      <c r="E44159" s="2">
        <v>4.3010567696482999E-6</v>
      </c>
      <c r="F44159" s="2">
        <v>5.8419595985073702E-5</v>
      </c>
    </row>
    <row r="44160" spans="1:6" x14ac:dyDescent="0.25">
      <c r="A44160" s="1" t="str">
        <f t="shared" si="1493"/>
        <v>99999</v>
      </c>
      <c r="B44160" s="1" t="str">
        <f>"48456"</f>
        <v>48456</v>
      </c>
      <c r="C44160" s="2">
        <v>5.1315662124689203E-5</v>
      </c>
      <c r="D44160" s="2">
        <v>9.0342533716586405E-6</v>
      </c>
      <c r="E44160" s="2">
        <v>4.3010567696482999E-6</v>
      </c>
      <c r="F44160" s="2">
        <v>4.7465921737872403E-5</v>
      </c>
    </row>
    <row r="44161" spans="1:6" x14ac:dyDescent="0.25">
      <c r="A44161" s="1" t="str">
        <f t="shared" si="1493"/>
        <v>99999</v>
      </c>
      <c r="B44161" s="1" t="str">
        <f>"48621"</f>
        <v>48621</v>
      </c>
      <c r="C44161" s="2">
        <v>8.5417842650590295E-5</v>
      </c>
      <c r="D44161" s="2">
        <v>4.8182684648845999E-5</v>
      </c>
      <c r="E44161" s="2">
        <v>2.58063406178898E-5</v>
      </c>
      <c r="F44161" s="2">
        <v>8.1609807229148594E-5</v>
      </c>
    </row>
    <row r="44162" spans="1:6" x14ac:dyDescent="0.25">
      <c r="A44162" s="1" t="str">
        <f t="shared" si="1493"/>
        <v>99999</v>
      </c>
      <c r="B44162" s="1" t="str">
        <f>"50836"</f>
        <v>50836</v>
      </c>
      <c r="C44162" s="2">
        <v>2.5657831062344601E-5</v>
      </c>
      <c r="D44162" s="2">
        <v>6.0228355811057601E-6</v>
      </c>
      <c r="E44162" s="2">
        <v>4.3010567696482999E-6</v>
      </c>
      <c r="F44162" s="2">
        <v>2.38809834938984E-5</v>
      </c>
    </row>
    <row r="44163" spans="1:6" x14ac:dyDescent="0.25">
      <c r="A44163" s="1" t="str">
        <f t="shared" si="1493"/>
        <v>99999</v>
      </c>
      <c r="B44163" s="1" t="str">
        <f>"51061"</f>
        <v>51061</v>
      </c>
      <c r="C44163" s="2">
        <v>2.7173483530162401E-5</v>
      </c>
      <c r="D44163" s="2">
        <v>1.9574215638593701E-5</v>
      </c>
      <c r="E44163" s="2">
        <v>1.29031703089449E-5</v>
      </c>
      <c r="F44163" s="2">
        <v>2.6348027243268001E-5</v>
      </c>
    </row>
    <row r="44164" spans="1:6" x14ac:dyDescent="0.25">
      <c r="A44164" s="1" t="str">
        <f t="shared" si="1493"/>
        <v>99999</v>
      </c>
      <c r="B44164" s="1" t="str">
        <f>"51431"</f>
        <v>51431</v>
      </c>
      <c r="C44164" s="2">
        <v>2.2734787017267301E-5</v>
      </c>
      <c r="D44164" s="2">
        <v>6.0228355811057601E-6</v>
      </c>
      <c r="E44164" s="2">
        <v>1.29031703089449E-5</v>
      </c>
      <c r="F44164" s="2">
        <v>2.1413939744528701E-5</v>
      </c>
    </row>
    <row r="44165" spans="1:6" x14ac:dyDescent="0.25">
      <c r="A44165" s="1" t="str">
        <f t="shared" si="1493"/>
        <v>99999</v>
      </c>
      <c r="B44165" s="1" t="str">
        <f>"50235"</f>
        <v>50235</v>
      </c>
      <c r="C44165" s="2">
        <v>2.40339177039683E-5</v>
      </c>
      <c r="D44165" s="2">
        <v>4.5171266858293203E-6</v>
      </c>
      <c r="E44165" s="2">
        <v>2.15052838482415E-5</v>
      </c>
      <c r="F44165" s="2">
        <v>2.26968024942009E-5</v>
      </c>
    </row>
    <row r="44166" spans="1:6" x14ac:dyDescent="0.25">
      <c r="A44166" s="1" t="str">
        <f t="shared" ref="A44166:A44229" si="1494">"99999"</f>
        <v>99999</v>
      </c>
      <c r="B44166" s="1" t="str">
        <f>"50515"</f>
        <v>50515</v>
      </c>
      <c r="C44166" s="2">
        <v>1.4723481115944499E-5</v>
      </c>
      <c r="D44166" s="2">
        <v>9.0342533716586405E-6</v>
      </c>
      <c r="E44166" s="2">
        <v>2.15052838482415E-5</v>
      </c>
      <c r="F44166" s="2">
        <v>1.45062172462936E-5</v>
      </c>
    </row>
    <row r="44167" spans="1:6" x14ac:dyDescent="0.25">
      <c r="A44167" s="1" t="str">
        <f t="shared" si="1494"/>
        <v>99999</v>
      </c>
      <c r="B44167" s="1" t="str">
        <f>"50522"</f>
        <v>50522</v>
      </c>
      <c r="C44167" s="2">
        <v>4.43869651289506E-5</v>
      </c>
      <c r="D44167" s="2">
        <v>1.20456711622115E-5</v>
      </c>
      <c r="E44167" s="2">
        <v>8.6021135392965999E-6</v>
      </c>
      <c r="F44167" s="2">
        <v>4.14463349894104E-5</v>
      </c>
    </row>
    <row r="44168" spans="1:6" x14ac:dyDescent="0.25">
      <c r="A44168" s="1" t="str">
        <f t="shared" si="1494"/>
        <v>99999</v>
      </c>
      <c r="B44168" s="1" t="str">
        <f>"49884"</f>
        <v>49884</v>
      </c>
      <c r="C44168" s="2">
        <v>2.69569617490456E-5</v>
      </c>
      <c r="D44168" s="2">
        <v>1.50570889527644E-6</v>
      </c>
      <c r="E44168" s="2">
        <v>4.3010567696482999E-6</v>
      </c>
      <c r="F44168" s="2">
        <v>2.4769119243671401E-5</v>
      </c>
    </row>
    <row r="44169" spans="1:6" x14ac:dyDescent="0.25">
      <c r="A44169" s="1" t="str">
        <f t="shared" si="1494"/>
        <v>99999</v>
      </c>
      <c r="B44169" s="1" t="str">
        <f>"49050"</f>
        <v>49050</v>
      </c>
      <c r="C44169" s="2">
        <v>7.8705667435968499E-5</v>
      </c>
      <c r="D44169" s="2">
        <v>2.1079924533870101E-5</v>
      </c>
      <c r="E44169" s="2">
        <v>0</v>
      </c>
      <c r="F44169" s="2">
        <v>7.3123176731316997E-5</v>
      </c>
    </row>
    <row r="44170" spans="1:6" x14ac:dyDescent="0.25">
      <c r="A44170" s="1" t="str">
        <f t="shared" si="1494"/>
        <v>99999</v>
      </c>
      <c r="B44170" s="1" t="str">
        <f>"54103"</f>
        <v>54103</v>
      </c>
      <c r="C44170" s="2">
        <v>3.2153484495849597E-5</v>
      </c>
      <c r="D44170" s="2">
        <v>1.0539962266935E-5</v>
      </c>
      <c r="E44170" s="2">
        <v>4.3010567696482999E-6</v>
      </c>
      <c r="F44170" s="2">
        <v>3.0097933742309899E-5</v>
      </c>
    </row>
    <row r="44171" spans="1:6" x14ac:dyDescent="0.25">
      <c r="A44171" s="1" t="str">
        <f t="shared" si="1494"/>
        <v>99999</v>
      </c>
      <c r="B44171" s="1" t="str">
        <f>"52078"</f>
        <v>52078</v>
      </c>
      <c r="C44171" s="2">
        <v>8.6608712446732894E-6</v>
      </c>
      <c r="D44171" s="2">
        <v>0</v>
      </c>
      <c r="E44171" s="2">
        <v>0</v>
      </c>
      <c r="F44171" s="2">
        <v>7.8945399979829399E-6</v>
      </c>
    </row>
    <row r="44172" spans="1:6" x14ac:dyDescent="0.25">
      <c r="A44172" s="1" t="str">
        <f t="shared" si="1494"/>
        <v>99999</v>
      </c>
      <c r="B44172" s="1" t="str">
        <f>"54766"</f>
        <v>54766</v>
      </c>
      <c r="C44172" s="2">
        <v>7.5999145172008097E-5</v>
      </c>
      <c r="D44172" s="2">
        <v>3.6137013486634501E-5</v>
      </c>
      <c r="E44172" s="2">
        <v>2.58063406178898E-5</v>
      </c>
      <c r="F44172" s="2">
        <v>7.2235040981543898E-5</v>
      </c>
    </row>
    <row r="44173" spans="1:6" x14ac:dyDescent="0.25">
      <c r="A44173" s="1" t="str">
        <f t="shared" si="1494"/>
        <v>99999</v>
      </c>
      <c r="B44173" s="1" t="str">
        <f>"54769"</f>
        <v>54769</v>
      </c>
      <c r="C44173" s="2">
        <v>3.3452615182550501E-5</v>
      </c>
      <c r="D44173" s="2">
        <v>2.55970512196994E-5</v>
      </c>
      <c r="E44173" s="2">
        <v>3.01073973875381E-5</v>
      </c>
      <c r="F44173" s="2">
        <v>3.2861022741603999E-5</v>
      </c>
    </row>
    <row r="44174" spans="1:6" x14ac:dyDescent="0.25">
      <c r="A44174" s="1" t="str">
        <f t="shared" si="1494"/>
        <v>99999</v>
      </c>
      <c r="B44174" s="1" t="str">
        <f>"54621"</f>
        <v>54621</v>
      </c>
      <c r="C44174" s="2">
        <v>4.8500878970170397E-5</v>
      </c>
      <c r="D44174" s="2">
        <v>1.65627978480408E-5</v>
      </c>
      <c r="E44174" s="2">
        <v>5.1612681235779599E-5</v>
      </c>
      <c r="F44174" s="2">
        <v>4.64791042381245E-5</v>
      </c>
    </row>
    <row r="44175" spans="1:6" x14ac:dyDescent="0.25">
      <c r="A44175" s="1" t="str">
        <f t="shared" si="1494"/>
        <v>99999</v>
      </c>
      <c r="B44175" s="1" t="str">
        <f>"54007"</f>
        <v>54007</v>
      </c>
      <c r="C44175" s="2">
        <v>1.8837394957164399E-5</v>
      </c>
      <c r="D44175" s="2">
        <v>1.50570889527644E-6</v>
      </c>
      <c r="E44175" s="2">
        <v>0</v>
      </c>
      <c r="F44175" s="2">
        <v>1.7269306245587602E-5</v>
      </c>
    </row>
    <row r="44176" spans="1:6" x14ac:dyDescent="0.25">
      <c r="A44176" s="1" t="str">
        <f t="shared" si="1494"/>
        <v>99999</v>
      </c>
      <c r="B44176" s="1" t="str">
        <f>"54922"</f>
        <v>54922</v>
      </c>
      <c r="C44176" s="2">
        <v>2.6090874624578199E-5</v>
      </c>
      <c r="D44176" s="2">
        <v>1.65627978480408E-5</v>
      </c>
      <c r="E44176" s="2">
        <v>2.58063406178898E-5</v>
      </c>
      <c r="F44176" s="2">
        <v>2.5459891493494899E-5</v>
      </c>
    </row>
    <row r="44177" spans="1:6" x14ac:dyDescent="0.25">
      <c r="A44177" s="1" t="str">
        <f t="shared" si="1494"/>
        <v>99999</v>
      </c>
      <c r="B44177" s="1" t="str">
        <f>"54514"</f>
        <v>54514</v>
      </c>
      <c r="C44177" s="2">
        <v>1.24066980579944E-4</v>
      </c>
      <c r="D44177" s="2">
        <v>3.31255956960816E-5</v>
      </c>
      <c r="E44177" s="2">
        <v>5.5913738005427899E-5</v>
      </c>
      <c r="F44177" s="2">
        <v>1.1654314672022301E-4</v>
      </c>
    </row>
    <row r="44178" spans="1:6" x14ac:dyDescent="0.25">
      <c r="A44178" s="1" t="str">
        <f t="shared" si="1494"/>
        <v>99999</v>
      </c>
      <c r="B44178" s="1" t="str">
        <f>"57247"</f>
        <v>57247</v>
      </c>
      <c r="C44178" s="2">
        <v>2.5874352843461398E-5</v>
      </c>
      <c r="D44178" s="2">
        <v>6.0228355811057601E-6</v>
      </c>
      <c r="E44178" s="2">
        <v>1.72042270785932E-5</v>
      </c>
      <c r="F44178" s="2">
        <v>2.4374392243772301E-5</v>
      </c>
    </row>
    <row r="44179" spans="1:6" x14ac:dyDescent="0.25">
      <c r="A44179" s="1" t="str">
        <f t="shared" si="1494"/>
        <v>99999</v>
      </c>
      <c r="B44179" s="1" t="str">
        <f>"57328"</f>
        <v>57328</v>
      </c>
      <c r="C44179" s="2">
        <v>5.4563488841441697E-5</v>
      </c>
      <c r="D44179" s="2">
        <v>4.8182684648845999E-5</v>
      </c>
      <c r="E44179" s="2">
        <v>3.8709510926834699E-5</v>
      </c>
      <c r="F44179" s="2">
        <v>5.3781553736258797E-5</v>
      </c>
    </row>
    <row r="44180" spans="1:6" x14ac:dyDescent="0.25">
      <c r="A44180" s="1" t="str">
        <f t="shared" si="1494"/>
        <v>99999</v>
      </c>
      <c r="B44180" s="1" t="str">
        <f>"57268"</f>
        <v>57268</v>
      </c>
      <c r="C44180" s="2">
        <v>1.6563916255437601E-5</v>
      </c>
      <c r="D44180" s="2">
        <v>6.0228355811057601E-6</v>
      </c>
      <c r="E44180" s="2">
        <v>1.29031703089449E-5</v>
      </c>
      <c r="F44180" s="2">
        <v>1.5789079995965799E-5</v>
      </c>
    </row>
    <row r="44181" spans="1:6" x14ac:dyDescent="0.25">
      <c r="A44181" s="1" t="str">
        <f t="shared" si="1494"/>
        <v>99999</v>
      </c>
      <c r="B44181" s="1" t="str">
        <f>"57051"</f>
        <v>57051</v>
      </c>
      <c r="C44181" s="2">
        <v>1.50482637876198E-5</v>
      </c>
      <c r="D44181" s="2">
        <v>9.0342533716586405E-6</v>
      </c>
      <c r="E44181" s="2">
        <v>4.3010567696482999E-6</v>
      </c>
      <c r="F44181" s="2">
        <v>1.4407535496318799E-5</v>
      </c>
    </row>
    <row r="44182" spans="1:6" x14ac:dyDescent="0.25">
      <c r="A44182" s="1" t="str">
        <f t="shared" si="1494"/>
        <v>99999</v>
      </c>
      <c r="B44182" s="1" t="str">
        <f>"57329"</f>
        <v>57329</v>
      </c>
      <c r="C44182" s="2">
        <v>1.2991306867009899E-5</v>
      </c>
      <c r="D44182" s="2">
        <v>3.01141779055288E-6</v>
      </c>
      <c r="E44182" s="2">
        <v>8.6021135392965999E-6</v>
      </c>
      <c r="F44182" s="2">
        <v>1.22365369968735E-5</v>
      </c>
    </row>
    <row r="44183" spans="1:6" x14ac:dyDescent="0.25">
      <c r="A44183" s="1" t="str">
        <f t="shared" si="1494"/>
        <v>99999</v>
      </c>
      <c r="B44183" s="1" t="str">
        <f>"56653"</f>
        <v>56653</v>
      </c>
      <c r="C44183" s="2">
        <v>5.9326968026011998E-5</v>
      </c>
      <c r="D44183" s="2">
        <v>2.25856334291466E-5</v>
      </c>
      <c r="E44183" s="2">
        <v>3.01073973875381E-5</v>
      </c>
      <c r="F44183" s="2">
        <v>5.6248597485628397E-5</v>
      </c>
    </row>
    <row r="44184" spans="1:6" x14ac:dyDescent="0.25">
      <c r="A44184" s="1" t="str">
        <f t="shared" si="1494"/>
        <v>99999</v>
      </c>
      <c r="B44184" s="1" t="str">
        <f>"57016"</f>
        <v>57016</v>
      </c>
      <c r="C44184" s="2">
        <v>2.8905657779097099E-5</v>
      </c>
      <c r="D44184" s="2">
        <v>6.0228355811057601E-6</v>
      </c>
      <c r="E44184" s="2">
        <v>8.6021135392965999E-6</v>
      </c>
      <c r="F44184" s="2">
        <v>2.6940117743116699E-5</v>
      </c>
    </row>
    <row r="44185" spans="1:6" x14ac:dyDescent="0.25">
      <c r="A44185" s="1" t="str">
        <f t="shared" si="1494"/>
        <v>99999</v>
      </c>
      <c r="B44185" s="1" t="str">
        <f>"76667"</f>
        <v>76667</v>
      </c>
      <c r="C44185" s="2">
        <v>5.7410750263128005E-4</v>
      </c>
      <c r="D44185" s="2">
        <v>9.3052809728083998E-4</v>
      </c>
      <c r="E44185" s="2">
        <v>3.9569722280764303E-4</v>
      </c>
      <c r="F44185" s="2">
        <v>5.9337336259839295E-4</v>
      </c>
    </row>
    <row r="44186" spans="1:6" x14ac:dyDescent="0.25">
      <c r="A44186" s="1" t="str">
        <f t="shared" si="1494"/>
        <v>99999</v>
      </c>
      <c r="B44186" s="1" t="str">
        <f>"76693"</f>
        <v>76693</v>
      </c>
      <c r="C44186" s="2">
        <v>6.7771317489568502E-5</v>
      </c>
      <c r="D44186" s="2">
        <v>2.1079924533870101E-5</v>
      </c>
      <c r="E44186" s="2">
        <v>1.37633816628745E-4</v>
      </c>
      <c r="F44186" s="2">
        <v>6.6314135983056699E-5</v>
      </c>
    </row>
    <row r="44187" spans="1:6" x14ac:dyDescent="0.25">
      <c r="A44187" s="1" t="str">
        <f t="shared" si="1494"/>
        <v>99999</v>
      </c>
      <c r="B44187" s="1" t="str">
        <f>"77957"</f>
        <v>77957</v>
      </c>
      <c r="C44187" s="2">
        <v>4.3282704045254701E-4</v>
      </c>
      <c r="D44187" s="2">
        <v>5.3452665782313604E-4</v>
      </c>
      <c r="E44187" s="2">
        <v>2.6666551971819401E-4</v>
      </c>
      <c r="F44187" s="2">
        <v>4.3567992613868301E-4</v>
      </c>
    </row>
    <row r="44188" spans="1:6" x14ac:dyDescent="0.25">
      <c r="A44188" s="1" t="str">
        <f t="shared" si="1494"/>
        <v>99999</v>
      </c>
      <c r="B44188" s="1" t="str">
        <f>"77990"</f>
        <v>77990</v>
      </c>
      <c r="C44188" s="2">
        <v>2.40339177039683E-5</v>
      </c>
      <c r="D44188" s="2">
        <v>4.0654140172463799E-5</v>
      </c>
      <c r="E44188" s="2">
        <v>1.29031703089449E-5</v>
      </c>
      <c r="F44188" s="2">
        <v>2.4867800993646201E-5</v>
      </c>
    </row>
    <row r="44189" spans="1:6" x14ac:dyDescent="0.25">
      <c r="A44189" s="1" t="str">
        <f t="shared" si="1494"/>
        <v>99999</v>
      </c>
      <c r="B44189" s="1" t="str">
        <f>"76565"</f>
        <v>76565</v>
      </c>
      <c r="C44189" s="2">
        <v>9.0939148069069495E-6</v>
      </c>
      <c r="D44189" s="2">
        <v>4.5171266858293203E-6</v>
      </c>
      <c r="E44189" s="2">
        <v>1.72042270785932E-5</v>
      </c>
      <c r="F44189" s="2">
        <v>8.9800392477055905E-6</v>
      </c>
    </row>
    <row r="44190" spans="1:6" x14ac:dyDescent="0.25">
      <c r="A44190" s="1" t="str">
        <f t="shared" si="1494"/>
        <v>99999</v>
      </c>
      <c r="B44190" s="1" t="str">
        <f>"77831"</f>
        <v>77831</v>
      </c>
      <c r="C44190" s="2">
        <v>1.6780438036554499E-4</v>
      </c>
      <c r="D44190" s="2">
        <v>5.8722646915781101E-5</v>
      </c>
      <c r="E44190" s="2">
        <v>0</v>
      </c>
      <c r="F44190" s="2">
        <v>1.56805300709936E-4</v>
      </c>
    </row>
    <row r="44191" spans="1:6" x14ac:dyDescent="0.25">
      <c r="A44191" s="1" t="str">
        <f t="shared" si="1494"/>
        <v>99999</v>
      </c>
      <c r="B44191" s="1" t="str">
        <f>"78962"</f>
        <v>78962</v>
      </c>
      <c r="C44191" s="2">
        <v>2.6145005069857499E-4</v>
      </c>
      <c r="D44191" s="2">
        <v>3.19210285798605E-4</v>
      </c>
      <c r="E44191" s="2">
        <v>1.07526419241207E-4</v>
      </c>
      <c r="F44191" s="2">
        <v>2.6170400093313402E-4</v>
      </c>
    </row>
    <row r="44192" spans="1:6" x14ac:dyDescent="0.25">
      <c r="A44192" s="1" t="str">
        <f t="shared" si="1494"/>
        <v>99999</v>
      </c>
      <c r="B44192" s="1" t="str">
        <f>"78951"</f>
        <v>78951</v>
      </c>
      <c r="C44192" s="2">
        <v>3.2478267167524799E-6</v>
      </c>
      <c r="D44192" s="2">
        <v>4.5171266858293203E-6</v>
      </c>
      <c r="E44192" s="2">
        <v>0</v>
      </c>
      <c r="F44192" s="2">
        <v>3.2564977491679601E-6</v>
      </c>
    </row>
    <row r="44193" spans="1:6" x14ac:dyDescent="0.25">
      <c r="A44193" s="1" t="str">
        <f t="shared" si="1494"/>
        <v>99999</v>
      </c>
      <c r="B44193" s="1" t="str">
        <f>"78836"</f>
        <v>78836</v>
      </c>
      <c r="C44193" s="2">
        <v>7.47000144853071E-6</v>
      </c>
      <c r="D44193" s="2">
        <v>1.35513800574879E-5</v>
      </c>
      <c r="E44193" s="2">
        <v>1.29031703089449E-5</v>
      </c>
      <c r="F44193" s="2">
        <v>7.9932217479577302E-6</v>
      </c>
    </row>
    <row r="44194" spans="1:6" x14ac:dyDescent="0.25">
      <c r="A44194" s="1" t="str">
        <f t="shared" si="1494"/>
        <v>99999</v>
      </c>
      <c r="B44194" s="1" t="str">
        <f>"78663"</f>
        <v>78663</v>
      </c>
      <c r="C44194" s="2">
        <v>4.3737399785600097E-5</v>
      </c>
      <c r="D44194" s="2">
        <v>2.7102760114975901E-5</v>
      </c>
      <c r="E44194" s="2">
        <v>6.4515851544724506E-5</v>
      </c>
      <c r="F44194" s="2">
        <v>4.31239247389818E-5</v>
      </c>
    </row>
    <row r="44195" spans="1:6" x14ac:dyDescent="0.25">
      <c r="A44195" s="1" t="str">
        <f t="shared" si="1494"/>
        <v>99999</v>
      </c>
      <c r="B44195" s="1" t="str">
        <f>"78650"</f>
        <v>78650</v>
      </c>
      <c r="C44195" s="2">
        <v>1.0068262821932701E-5</v>
      </c>
      <c r="D44195" s="2">
        <v>1.50570889527644E-6</v>
      </c>
      <c r="E44195" s="2">
        <v>0</v>
      </c>
      <c r="F44195" s="2">
        <v>9.2760844976299596E-6</v>
      </c>
    </row>
    <row r="44196" spans="1:6" x14ac:dyDescent="0.25">
      <c r="A44196" s="1" t="str">
        <f t="shared" si="1494"/>
        <v>99999</v>
      </c>
      <c r="B44196" s="1" t="str">
        <f>"78632"</f>
        <v>78632</v>
      </c>
      <c r="C44196" s="2">
        <v>2.4142178594526799E-5</v>
      </c>
      <c r="D44196" s="2">
        <v>2.1079924533870101E-5</v>
      </c>
      <c r="E44196" s="2">
        <v>0</v>
      </c>
      <c r="F44196" s="2">
        <v>2.3387574744024402E-5</v>
      </c>
    </row>
    <row r="44197" spans="1:6" x14ac:dyDescent="0.25">
      <c r="A44197" s="1" t="str">
        <f t="shared" si="1494"/>
        <v>99999</v>
      </c>
      <c r="B44197" s="1" t="str">
        <f>"81237"</f>
        <v>81237</v>
      </c>
      <c r="C44197" s="2">
        <v>9.96000193137428E-6</v>
      </c>
      <c r="D44197" s="2">
        <v>0</v>
      </c>
      <c r="E44197" s="2">
        <v>0</v>
      </c>
      <c r="F44197" s="2">
        <v>9.0787209976803807E-6</v>
      </c>
    </row>
    <row r="44198" spans="1:6" x14ac:dyDescent="0.25">
      <c r="A44198" s="1" t="str">
        <f t="shared" si="1494"/>
        <v>99999</v>
      </c>
      <c r="B44198" s="1" t="str">
        <f>"81020"</f>
        <v>81020</v>
      </c>
      <c r="C44198" s="2">
        <v>4.8176096298495099E-5</v>
      </c>
      <c r="D44198" s="2">
        <v>7.5285444763821999E-6</v>
      </c>
      <c r="E44198" s="2">
        <v>1.29031703089449E-5</v>
      </c>
      <c r="F44198" s="2">
        <v>4.4702832738578397E-5</v>
      </c>
    </row>
    <row r="44199" spans="1:6" x14ac:dyDescent="0.25">
      <c r="A44199" s="1" t="str">
        <f t="shared" si="1494"/>
        <v>99999</v>
      </c>
      <c r="B44199" s="1" t="str">
        <f>"81123"</f>
        <v>81123</v>
      </c>
      <c r="C44199" s="2">
        <v>3.6808702789861399E-5</v>
      </c>
      <c r="D44199" s="2">
        <v>7.5285444763821999E-6</v>
      </c>
      <c r="E44199" s="2">
        <v>3.01073973875381E-5</v>
      </c>
      <c r="F44199" s="2">
        <v>3.4735975991124899E-5</v>
      </c>
    </row>
    <row r="44200" spans="1:6" x14ac:dyDescent="0.25">
      <c r="A44200" s="1" t="str">
        <f t="shared" si="1494"/>
        <v>99999</v>
      </c>
      <c r="B44200" s="1" t="str">
        <f>"81058"</f>
        <v>81058</v>
      </c>
      <c r="C44200" s="2">
        <v>5.2181749249156499E-5</v>
      </c>
      <c r="D44200" s="2">
        <v>9.0342533716586405E-6</v>
      </c>
      <c r="E44200" s="2">
        <v>1.72042270785932E-5</v>
      </c>
      <c r="F44200" s="2">
        <v>4.8551420987595102E-5</v>
      </c>
    </row>
    <row r="44201" spans="1:6" x14ac:dyDescent="0.25">
      <c r="A44201" s="1" t="str">
        <f t="shared" si="1494"/>
        <v>99999</v>
      </c>
      <c r="B44201" s="1" t="str">
        <f>"81054"</f>
        <v>81054</v>
      </c>
      <c r="C44201" s="2">
        <v>2.0710308363825001E-4</v>
      </c>
      <c r="D44201" s="2">
        <v>2.6048763888282398E-4</v>
      </c>
      <c r="E44201" s="2">
        <v>3.6558982542010497E-4</v>
      </c>
      <c r="F44201" s="2">
        <v>2.1423807919526201E-4</v>
      </c>
    </row>
    <row r="44202" spans="1:6" x14ac:dyDescent="0.25">
      <c r="A44202" s="1" t="str">
        <f t="shared" si="1494"/>
        <v>99999</v>
      </c>
      <c r="B44202" s="1" t="str">
        <f>"84028"</f>
        <v>84028</v>
      </c>
      <c r="C44202" s="2">
        <v>8.3360885729980396E-6</v>
      </c>
      <c r="D44202" s="2">
        <v>2.25856334291466E-5</v>
      </c>
      <c r="E44202" s="2">
        <v>4.3010567696482999E-6</v>
      </c>
      <c r="F44202" s="2">
        <v>9.1774027476551693E-6</v>
      </c>
    </row>
    <row r="44203" spans="1:6" x14ac:dyDescent="0.25">
      <c r="A44203" s="1" t="str">
        <f t="shared" si="1494"/>
        <v>99999</v>
      </c>
      <c r="B44203" s="1" t="str">
        <f>"83632"</f>
        <v>83632</v>
      </c>
      <c r="C44203" s="2">
        <v>1.41821766631525E-5</v>
      </c>
      <c r="D44203" s="2">
        <v>0</v>
      </c>
      <c r="E44203" s="2">
        <v>4.3010567696482999E-6</v>
      </c>
      <c r="F44203" s="2">
        <v>1.30259909966718E-5</v>
      </c>
    </row>
    <row r="44204" spans="1:6" x14ac:dyDescent="0.25">
      <c r="A44204" s="1" t="str">
        <f t="shared" si="1494"/>
        <v>99999</v>
      </c>
      <c r="B44204" s="1" t="str">
        <f>"83287"</f>
        <v>83287</v>
      </c>
      <c r="C44204" s="2">
        <v>3.7458268133211902E-5</v>
      </c>
      <c r="D44204" s="2">
        <v>1.0539962266935E-5</v>
      </c>
      <c r="E44204" s="2">
        <v>1.29031703089449E-5</v>
      </c>
      <c r="F44204" s="2">
        <v>3.5130702991024101E-5</v>
      </c>
    </row>
    <row r="44205" spans="1:6" x14ac:dyDescent="0.25">
      <c r="A44205" s="1" t="str">
        <f t="shared" si="1494"/>
        <v>99999</v>
      </c>
      <c r="B44205" s="1" t="str">
        <f>"83654"</f>
        <v>83654</v>
      </c>
      <c r="C44205" s="2">
        <v>3.7999572586004001E-5</v>
      </c>
      <c r="D44205" s="2">
        <v>3.01141779055288E-6</v>
      </c>
      <c r="E44205" s="2">
        <v>2.15052838482415E-5</v>
      </c>
      <c r="F44205" s="2">
        <v>3.53280664909736E-5</v>
      </c>
    </row>
    <row r="44206" spans="1:6" x14ac:dyDescent="0.25">
      <c r="A44206" s="1" t="str">
        <f t="shared" si="1494"/>
        <v>99999</v>
      </c>
      <c r="B44206" s="1" t="str">
        <f>"82329"</f>
        <v>82329</v>
      </c>
      <c r="C44206" s="2">
        <v>1.4831742006502999E-5</v>
      </c>
      <c r="D44206" s="2">
        <v>0</v>
      </c>
      <c r="E44206" s="2">
        <v>2.15052838482415E-5</v>
      </c>
      <c r="F44206" s="2">
        <v>1.4012808496419701E-5</v>
      </c>
    </row>
    <row r="44207" spans="1:6" x14ac:dyDescent="0.25">
      <c r="A44207" s="1" t="str">
        <f t="shared" si="1494"/>
        <v>99999</v>
      </c>
      <c r="B44207" s="1" t="str">
        <f>"80744"</f>
        <v>80744</v>
      </c>
      <c r="C44207" s="2">
        <v>2.99882666846812E-5</v>
      </c>
      <c r="D44207" s="2">
        <v>3.01141779055288E-6</v>
      </c>
      <c r="E44207" s="2">
        <v>2.15052838482415E-5</v>
      </c>
      <c r="F44207" s="2">
        <v>2.8025616992839402E-5</v>
      </c>
    </row>
    <row r="44208" spans="1:6" x14ac:dyDescent="0.25">
      <c r="A44208" s="1" t="str">
        <f t="shared" si="1494"/>
        <v>99999</v>
      </c>
      <c r="B44208" s="1" t="str">
        <f>"80836"</f>
        <v>80836</v>
      </c>
      <c r="C44208" s="2">
        <v>5.5754358637584299E-5</v>
      </c>
      <c r="D44208" s="2">
        <v>8.4319698135480595E-5</v>
      </c>
      <c r="E44208" s="2">
        <v>2.58063406178898E-5</v>
      </c>
      <c r="F44208" s="2">
        <v>5.6939369735451902E-5</v>
      </c>
    </row>
    <row r="44209" spans="1:6" x14ac:dyDescent="0.25">
      <c r="A44209" s="1" t="str">
        <f t="shared" si="1494"/>
        <v>99999</v>
      </c>
      <c r="B44209" s="1" t="str">
        <f>"80430"</f>
        <v>80430</v>
      </c>
      <c r="C44209" s="2">
        <v>1.39656548820356E-5</v>
      </c>
      <c r="D44209" s="2">
        <v>1.50570889527644E-6</v>
      </c>
      <c r="E44209" s="2">
        <v>1.03225362471559E-4</v>
      </c>
      <c r="F44209" s="2">
        <v>1.5196989496117099E-5</v>
      </c>
    </row>
    <row r="44210" spans="1:6" x14ac:dyDescent="0.25">
      <c r="A44210" s="1" t="str">
        <f t="shared" si="1494"/>
        <v>99999</v>
      </c>
      <c r="B44210" s="1" t="str">
        <f>"84532"</f>
        <v>84532</v>
      </c>
      <c r="C44210" s="2">
        <v>7.4515970971357796E-4</v>
      </c>
      <c r="D44210" s="2">
        <v>1.4244006149315099E-3</v>
      </c>
      <c r="E44210" s="2">
        <v>7.9139444561528703E-4</v>
      </c>
      <c r="F44210" s="2">
        <v>7.9073686254796599E-4</v>
      </c>
    </row>
    <row r="44211" spans="1:6" x14ac:dyDescent="0.25">
      <c r="A44211" s="1" t="str">
        <f t="shared" si="1494"/>
        <v>99999</v>
      </c>
      <c r="B44211" s="1" t="str">
        <f>"87062"</f>
        <v>87062</v>
      </c>
      <c r="C44211" s="2">
        <v>5.0449575000221899E-5</v>
      </c>
      <c r="D44211" s="2">
        <v>1.50570889527644E-6</v>
      </c>
      <c r="E44211" s="2">
        <v>8.6021135392965999E-6</v>
      </c>
      <c r="F44211" s="2">
        <v>4.6281740738175001E-5</v>
      </c>
    </row>
    <row r="44212" spans="1:6" x14ac:dyDescent="0.25">
      <c r="A44212" s="1" t="str">
        <f t="shared" si="1494"/>
        <v>99999</v>
      </c>
      <c r="B44212" s="1" t="str">
        <f>"85924"</f>
        <v>85924</v>
      </c>
      <c r="C44212" s="2">
        <v>9.7110018830899293E-5</v>
      </c>
      <c r="D44212" s="2">
        <v>4.5171266858293203E-6</v>
      </c>
      <c r="E44212" s="2">
        <v>1.11827476010855E-4</v>
      </c>
      <c r="F44212" s="2">
        <v>9.1379300476652505E-5</v>
      </c>
    </row>
    <row r="44213" spans="1:6" x14ac:dyDescent="0.25">
      <c r="A44213" s="1" t="str">
        <f t="shared" si="1494"/>
        <v>99999</v>
      </c>
      <c r="B44213" s="1" t="str">
        <f>"85936"</f>
        <v>85936</v>
      </c>
      <c r="C44213" s="2">
        <v>4.3304356223366396E-6</v>
      </c>
      <c r="D44213" s="2">
        <v>1.50570889527644E-6</v>
      </c>
      <c r="E44213" s="2">
        <v>4.3010567696482999E-6</v>
      </c>
      <c r="F44213" s="2">
        <v>4.1446334989410403E-6</v>
      </c>
    </row>
    <row r="44214" spans="1:6" x14ac:dyDescent="0.25">
      <c r="A44214" s="1" t="str">
        <f t="shared" si="1494"/>
        <v>99999</v>
      </c>
      <c r="B44214" s="1" t="str">
        <f>"88401"</f>
        <v>88401</v>
      </c>
      <c r="C44214" s="2">
        <v>5.44227496837158E-4</v>
      </c>
      <c r="D44214" s="2">
        <v>6.4444340717831599E-4</v>
      </c>
      <c r="E44214" s="2">
        <v>2.7096657648784301E-4</v>
      </c>
      <c r="F44214" s="2">
        <v>5.4452589636087303E-4</v>
      </c>
    </row>
    <row r="44215" spans="1:6" x14ac:dyDescent="0.25">
      <c r="A44215" s="1" t="str">
        <f t="shared" si="1494"/>
        <v>99999</v>
      </c>
      <c r="B44215" s="1" t="str">
        <f>"89042"</f>
        <v>89042</v>
      </c>
      <c r="C44215" s="2">
        <v>0</v>
      </c>
      <c r="D44215" s="2">
        <v>1.50570889527644E-6</v>
      </c>
      <c r="E44215" s="2">
        <v>9.6773777317086802E-4</v>
      </c>
      <c r="F44215" s="2">
        <v>2.23020754943018E-5</v>
      </c>
    </row>
    <row r="44216" spans="1:6" x14ac:dyDescent="0.25">
      <c r="A44216" s="1" t="str">
        <f t="shared" si="1494"/>
        <v>99999</v>
      </c>
      <c r="B44216" s="1" t="str">
        <f>"87747"</f>
        <v>87747</v>
      </c>
      <c r="C44216" s="2">
        <v>1.3640872210360401E-5</v>
      </c>
      <c r="D44216" s="2">
        <v>4.5171266858293203E-6</v>
      </c>
      <c r="E44216" s="2">
        <v>8.6021135392965999E-6</v>
      </c>
      <c r="F44216" s="2">
        <v>1.2927309246696999E-5</v>
      </c>
    </row>
    <row r="44217" spans="1:6" x14ac:dyDescent="0.25">
      <c r="A44217" s="1" t="str">
        <f t="shared" si="1494"/>
        <v>99999</v>
      </c>
      <c r="B44217" s="1" t="str">
        <f>"96107"</f>
        <v>96107</v>
      </c>
      <c r="C44217" s="2">
        <v>6.6363925912309106E-5</v>
      </c>
      <c r="D44217" s="2">
        <v>7.3779735868545501E-5</v>
      </c>
      <c r="E44217" s="2">
        <v>3.9569722280764303E-4</v>
      </c>
      <c r="F44217" s="2">
        <v>7.4406039480989203E-5</v>
      </c>
    </row>
    <row r="44218" spans="1:6" x14ac:dyDescent="0.25">
      <c r="A44218" s="1" t="str">
        <f t="shared" si="1494"/>
        <v>99999</v>
      </c>
      <c r="B44218" s="1" t="str">
        <f>"93546"</f>
        <v>93546</v>
      </c>
      <c r="C44218" s="2">
        <v>2.1836221625632499E-4</v>
      </c>
      <c r="D44218" s="2">
        <v>1.3852521836543201E-4</v>
      </c>
      <c r="E44218" s="2">
        <v>1.3032202012034299E-3</v>
      </c>
      <c r="F44218" s="2">
        <v>2.3802038093918501E-4</v>
      </c>
    </row>
    <row r="44219" spans="1:6" x14ac:dyDescent="0.25">
      <c r="A44219" s="1" t="str">
        <f t="shared" si="1494"/>
        <v>99999</v>
      </c>
      <c r="B44219" s="1" t="str">
        <f>"96067"</f>
        <v>96067</v>
      </c>
      <c r="C44219" s="2">
        <v>5.6014184774924505E-4</v>
      </c>
      <c r="D44219" s="2">
        <v>1.1322930892478801E-3</v>
      </c>
      <c r="E44219" s="2">
        <v>1.0494578517941801E-3</v>
      </c>
      <c r="F44219" s="2">
        <v>6.0886639734443395E-4</v>
      </c>
    </row>
    <row r="44220" spans="1:6" x14ac:dyDescent="0.25">
      <c r="A44220" s="1" t="str">
        <f t="shared" si="1494"/>
        <v>99999</v>
      </c>
      <c r="B44220" s="1" t="str">
        <f>"97149"</f>
        <v>97149</v>
      </c>
      <c r="C44220" s="2">
        <v>6.2683055633322896E-5</v>
      </c>
      <c r="D44220" s="2">
        <v>6.0228355811057601E-6</v>
      </c>
      <c r="E44220" s="2">
        <v>2.58063406178898E-5</v>
      </c>
      <c r="F44220" s="2">
        <v>5.8123550735149399E-5</v>
      </c>
    </row>
    <row r="44221" spans="1:6" x14ac:dyDescent="0.25">
      <c r="A44221" s="1" t="str">
        <f t="shared" si="1494"/>
        <v>99999</v>
      </c>
      <c r="B44221" s="1" t="str">
        <f>"97711"</f>
        <v>97711</v>
      </c>
      <c r="C44221" s="2">
        <v>4.1139138412198104E-6</v>
      </c>
      <c r="D44221" s="2">
        <v>4.5171266858293203E-6</v>
      </c>
      <c r="E44221" s="2">
        <v>0</v>
      </c>
      <c r="F44221" s="2">
        <v>4.0459517489662501E-6</v>
      </c>
    </row>
    <row r="44222" spans="1:6" x14ac:dyDescent="0.25">
      <c r="A44222" s="1" t="str">
        <f t="shared" si="1494"/>
        <v>99999</v>
      </c>
      <c r="B44222" s="1" t="str">
        <f>"97869"</f>
        <v>97869</v>
      </c>
      <c r="C44222" s="2">
        <v>1.04904802951105E-4</v>
      </c>
      <c r="D44222" s="2">
        <v>0</v>
      </c>
      <c r="E44222" s="2">
        <v>8.6021135392965999E-6</v>
      </c>
      <c r="F44222" s="2">
        <v>9.5819979225517904E-5</v>
      </c>
    </row>
    <row r="44223" spans="1:6" x14ac:dyDescent="0.25">
      <c r="A44223" s="1" t="str">
        <f t="shared" si="1494"/>
        <v>99999</v>
      </c>
      <c r="B44223" s="1" t="str">
        <f>"98221"</f>
        <v>98221</v>
      </c>
      <c r="C44223" s="2">
        <v>4.7959574517378298E-5</v>
      </c>
      <c r="D44223" s="2">
        <v>1.50570889527644E-6</v>
      </c>
      <c r="E44223" s="2">
        <v>8.6021135392965999E-6</v>
      </c>
      <c r="F44223" s="2">
        <v>4.4012060488754899E-5</v>
      </c>
    </row>
    <row r="44224" spans="1:6" x14ac:dyDescent="0.25">
      <c r="A44224" s="1" t="str">
        <f t="shared" si="1494"/>
        <v>99999</v>
      </c>
      <c r="B44224" s="1" t="str">
        <f>"83861"</f>
        <v>83861</v>
      </c>
      <c r="C44224" s="2">
        <v>3.1200788658935499E-4</v>
      </c>
      <c r="D44224" s="2">
        <v>3.7793293271438602E-4</v>
      </c>
      <c r="E44224" s="2">
        <v>2.79568690027139E-4</v>
      </c>
      <c r="F44224" s="2">
        <v>3.1558423641936802E-4</v>
      </c>
    </row>
    <row r="44225" spans="1:6" x14ac:dyDescent="0.25">
      <c r="A44225" s="1" t="str">
        <f t="shared" si="1494"/>
        <v>99999</v>
      </c>
      <c r="B44225" s="1" t="str">
        <f>"83544"</f>
        <v>83544</v>
      </c>
      <c r="C44225" s="2">
        <v>2.5289744034445998E-4</v>
      </c>
      <c r="D44225" s="2">
        <v>1.7014510516623701E-4</v>
      </c>
      <c r="E44225" s="2">
        <v>4.1290144988623701E-4</v>
      </c>
      <c r="F44225" s="2">
        <v>2.5114505368583202E-4</v>
      </c>
    </row>
    <row r="44226" spans="1:6" x14ac:dyDescent="0.25">
      <c r="A44226" s="1" t="str">
        <f t="shared" si="1494"/>
        <v>99999</v>
      </c>
      <c r="B44226" s="1" t="str">
        <f>"99138"</f>
        <v>99138</v>
      </c>
      <c r="C44226" s="2">
        <v>3.6267398337069401E-5</v>
      </c>
      <c r="D44226" s="2">
        <v>1.50570889527644E-6</v>
      </c>
      <c r="E44226" s="2">
        <v>2.1505283848241501E-4</v>
      </c>
      <c r="F44226" s="2">
        <v>3.80911554902677E-5</v>
      </c>
    </row>
    <row r="44227" spans="1:6" x14ac:dyDescent="0.25">
      <c r="A44227" s="1" t="str">
        <f t="shared" si="1494"/>
        <v>99999</v>
      </c>
      <c r="B44227" s="1" t="str">
        <f>"99156"</f>
        <v>99156</v>
      </c>
      <c r="C44227" s="2">
        <v>4.1258225391812398E-4</v>
      </c>
      <c r="D44227" s="2">
        <v>2.7855614562614098E-4</v>
      </c>
      <c r="E44227" s="2">
        <v>4.3440673373447799E-4</v>
      </c>
      <c r="F44227" s="2">
        <v>4.0429912964670098E-4</v>
      </c>
    </row>
    <row r="44228" spans="1:6" x14ac:dyDescent="0.25">
      <c r="A44228" s="1" t="str">
        <f t="shared" si="1494"/>
        <v>99999</v>
      </c>
      <c r="B44228" s="1" t="str">
        <f>"99152"</f>
        <v>99152</v>
      </c>
      <c r="C44228" s="2">
        <v>0</v>
      </c>
      <c r="D44228" s="2">
        <v>0</v>
      </c>
      <c r="E44228" s="2">
        <v>3.09676087414677E-4</v>
      </c>
      <c r="F44228" s="2">
        <v>7.10508599818465E-6</v>
      </c>
    </row>
    <row r="44229" spans="1:6" x14ac:dyDescent="0.25">
      <c r="A44229" s="1" t="str">
        <f t="shared" si="1494"/>
        <v>99999</v>
      </c>
      <c r="B44229" s="1" t="str">
        <f>"99121"</f>
        <v>99121</v>
      </c>
      <c r="C44229" s="2">
        <v>3.46434849786931E-6</v>
      </c>
      <c r="D44229" s="2">
        <v>4.5171266858293203E-6</v>
      </c>
      <c r="E44229" s="2">
        <v>1.93547554634173E-4</v>
      </c>
      <c r="F44229" s="2">
        <v>7.8945399979829399E-6</v>
      </c>
    </row>
    <row r="44230" spans="1:6" x14ac:dyDescent="0.25">
      <c r="A44230" s="1" t="str">
        <f t="shared" ref="A44230:A44293" si="1495">"99999"</f>
        <v>99999</v>
      </c>
      <c r="B44230" s="1" t="str">
        <f>"99139"</f>
        <v>99139</v>
      </c>
      <c r="C44230" s="2">
        <v>9.7543062393132894E-5</v>
      </c>
      <c r="D44230" s="2">
        <v>6.3239773601610501E-5</v>
      </c>
      <c r="E44230" s="2">
        <v>5.3763209620603697E-4</v>
      </c>
      <c r="F44230" s="2">
        <v>1.05392108973072E-4</v>
      </c>
    </row>
    <row r="44231" spans="1:6" x14ac:dyDescent="0.25">
      <c r="A44231" s="1" t="str">
        <f t="shared" si="1495"/>
        <v>99999</v>
      </c>
      <c r="B44231" s="1" t="str">
        <f>"99153"</f>
        <v>99153</v>
      </c>
      <c r="C44231" s="2">
        <v>1.39656548820356E-5</v>
      </c>
      <c r="D44231" s="2">
        <v>1.0539962266935E-5</v>
      </c>
      <c r="E44231" s="2">
        <v>9.1182403516543999E-4</v>
      </c>
      <c r="F44231" s="2">
        <v>3.4341248991225799E-5</v>
      </c>
    </row>
    <row r="44232" spans="1:6" x14ac:dyDescent="0.25">
      <c r="A44232" s="1" t="str">
        <f t="shared" si="1495"/>
        <v>99999</v>
      </c>
      <c r="B44232" s="1" t="str">
        <f>"04051"</f>
        <v>04051</v>
      </c>
      <c r="C44232" s="2">
        <v>6.5930882350075397E-5</v>
      </c>
      <c r="D44232" s="2">
        <v>3.01141779055288E-5</v>
      </c>
      <c r="E44232" s="2">
        <v>8.6021135392965999E-6</v>
      </c>
      <c r="F44232" s="2">
        <v>6.2268184234090393E-5</v>
      </c>
    </row>
    <row r="44233" spans="1:6" x14ac:dyDescent="0.25">
      <c r="A44233" s="1" t="str">
        <f t="shared" si="1495"/>
        <v>99999</v>
      </c>
      <c r="B44233" s="1" t="str">
        <f>"04985"</f>
        <v>04985</v>
      </c>
      <c r="C44233" s="2">
        <v>9.5269583691406198E-6</v>
      </c>
      <c r="D44233" s="2">
        <v>1.80685067433172E-5</v>
      </c>
      <c r="E44233" s="2">
        <v>1.72042270785932E-5</v>
      </c>
      <c r="F44233" s="2">
        <v>1.02629019973778E-5</v>
      </c>
    </row>
    <row r="44234" spans="1:6" x14ac:dyDescent="0.25">
      <c r="A44234" s="1" t="str">
        <f t="shared" si="1495"/>
        <v>99999</v>
      </c>
      <c r="B44234" s="1" t="str">
        <f>"04943"</f>
        <v>04943</v>
      </c>
      <c r="C44234" s="2">
        <v>9.0830887178511098E-5</v>
      </c>
      <c r="D44234" s="2">
        <v>1.9574215638593701E-5</v>
      </c>
      <c r="E44234" s="2">
        <v>4.7311624466131299E-5</v>
      </c>
      <c r="F44234" s="2">
        <v>8.5162350228241003E-5</v>
      </c>
    </row>
    <row r="44235" spans="1:6" x14ac:dyDescent="0.25">
      <c r="A44235" s="1" t="str">
        <f t="shared" si="1495"/>
        <v>99999</v>
      </c>
      <c r="B44235" s="1" t="str">
        <f>"05652"</f>
        <v>05652</v>
      </c>
      <c r="C44235" s="2">
        <v>3.4860006759809999E-5</v>
      </c>
      <c r="D44235" s="2">
        <v>1.50570889527644E-6</v>
      </c>
      <c r="E44235" s="2">
        <v>4.3010567696482999E-6</v>
      </c>
      <c r="F44235" s="2">
        <v>3.19728869918309E-5</v>
      </c>
    </row>
    <row r="44236" spans="1:6" x14ac:dyDescent="0.25">
      <c r="A44236" s="1" t="str">
        <f t="shared" si="1495"/>
        <v>99999</v>
      </c>
      <c r="B44236" s="1" t="str">
        <f>"05362"</f>
        <v>05362</v>
      </c>
      <c r="C44236" s="2">
        <v>1.25582633047762E-5</v>
      </c>
      <c r="D44236" s="2">
        <v>1.50570889527644E-6</v>
      </c>
      <c r="E44236" s="2">
        <v>4.3010567696482999E-6</v>
      </c>
      <c r="F44236" s="2">
        <v>1.1644446497024801E-5</v>
      </c>
    </row>
    <row r="44237" spans="1:6" x14ac:dyDescent="0.25">
      <c r="A44237" s="1" t="str">
        <f t="shared" si="1495"/>
        <v>99999</v>
      </c>
      <c r="B44237" s="1" t="str">
        <f>"05766"</f>
        <v>05766</v>
      </c>
      <c r="C44237" s="2">
        <v>2.1110873658891101E-5</v>
      </c>
      <c r="D44237" s="2">
        <v>3.01141779055288E-6</v>
      </c>
      <c r="E44237" s="2">
        <v>4.3010567696482999E-6</v>
      </c>
      <c r="F44237" s="2">
        <v>1.95389864950077E-5</v>
      </c>
    </row>
    <row r="44238" spans="1:6" x14ac:dyDescent="0.25">
      <c r="A44238" s="1" t="str">
        <f t="shared" si="1495"/>
        <v>99999</v>
      </c>
      <c r="B44238" s="1" t="str">
        <f>"05767"</f>
        <v>05767</v>
      </c>
      <c r="C44238" s="2">
        <v>3.2478267167524802E-7</v>
      </c>
      <c r="D44238" s="2">
        <v>1.50570889527644E-6</v>
      </c>
      <c r="E44238" s="2">
        <v>0</v>
      </c>
      <c r="F44238" s="2">
        <v>3.9472699989914697E-7</v>
      </c>
    </row>
    <row r="44239" spans="1:6" x14ac:dyDescent="0.25">
      <c r="A44239" s="1" t="str">
        <f t="shared" si="1495"/>
        <v>99999</v>
      </c>
      <c r="B44239" s="1" t="str">
        <f>"05748"</f>
        <v>05748</v>
      </c>
      <c r="C44239" s="2">
        <v>2.4791743937877301E-5</v>
      </c>
      <c r="D44239" s="2">
        <v>1.65627978480408E-5</v>
      </c>
      <c r="E44239" s="2">
        <v>1.29031703089449E-5</v>
      </c>
      <c r="F44239" s="2">
        <v>2.3979665243873099E-5</v>
      </c>
    </row>
    <row r="44240" spans="1:6" x14ac:dyDescent="0.25">
      <c r="A44240" s="1" t="str">
        <f t="shared" si="1495"/>
        <v>99999</v>
      </c>
      <c r="B44240" s="1" t="str">
        <f>"12741"</f>
        <v>12741</v>
      </c>
      <c r="C44240" s="2">
        <v>1.77547860515802E-5</v>
      </c>
      <c r="D44240" s="2">
        <v>4.5171266858293203E-6</v>
      </c>
      <c r="E44240" s="2">
        <v>2.58063406178898E-5</v>
      </c>
      <c r="F44240" s="2">
        <v>1.7071942745638099E-5</v>
      </c>
    </row>
    <row r="44241" spans="1:6" x14ac:dyDescent="0.25">
      <c r="A44241" s="1" t="str">
        <f t="shared" si="1495"/>
        <v>99999</v>
      </c>
      <c r="B44241" s="1" t="str">
        <f>"12858"</f>
        <v>12858</v>
      </c>
      <c r="C44241" s="2">
        <v>3.7891311695445602E-6</v>
      </c>
      <c r="D44241" s="2">
        <v>4.5171266858293203E-6</v>
      </c>
      <c r="E44241" s="2">
        <v>4.3010567696482999E-6</v>
      </c>
      <c r="F44241" s="2">
        <v>3.8485882490166797E-6</v>
      </c>
    </row>
    <row r="44242" spans="1:6" x14ac:dyDescent="0.25">
      <c r="A44242" s="1" t="str">
        <f t="shared" si="1495"/>
        <v>99999</v>
      </c>
      <c r="B44242" s="1" t="str">
        <f>"14744"</f>
        <v>14744</v>
      </c>
      <c r="C44242" s="2">
        <v>4.91504443135209E-5</v>
      </c>
      <c r="D44242" s="2">
        <v>3.4631304591358098E-5</v>
      </c>
      <c r="E44242" s="2">
        <v>9.8924305701910905E-5</v>
      </c>
      <c r="F44242" s="2">
        <v>4.9340874987393397E-5</v>
      </c>
    </row>
    <row r="44243" spans="1:6" x14ac:dyDescent="0.25">
      <c r="A44243" s="1" t="str">
        <f t="shared" si="1495"/>
        <v>99999</v>
      </c>
      <c r="B44243" s="1" t="str">
        <f>"15380"</f>
        <v>15380</v>
      </c>
      <c r="C44243" s="2">
        <v>4.4711747800625797E-5</v>
      </c>
      <c r="D44243" s="2">
        <v>5.4205520229951803E-5</v>
      </c>
      <c r="E44243" s="2">
        <v>8.6021135392965999E-6</v>
      </c>
      <c r="F44243" s="2">
        <v>4.4505469238628803E-5</v>
      </c>
    </row>
    <row r="44244" spans="1:6" x14ac:dyDescent="0.25">
      <c r="A44244" s="1" t="str">
        <f t="shared" si="1495"/>
        <v>99999</v>
      </c>
      <c r="B44244" s="1" t="str">
        <f>"16326"</f>
        <v>16326</v>
      </c>
      <c r="C44244" s="2">
        <v>8.6608712446732894E-6</v>
      </c>
      <c r="D44244" s="2">
        <v>3.01141779055288E-6</v>
      </c>
      <c r="E44244" s="2">
        <v>8.6021135392965999E-6</v>
      </c>
      <c r="F44244" s="2">
        <v>8.2892669978820908E-6</v>
      </c>
    </row>
    <row r="44245" spans="1:6" x14ac:dyDescent="0.25">
      <c r="A44245" s="1" t="str">
        <f t="shared" si="1495"/>
        <v>99999</v>
      </c>
      <c r="B44245" s="1" t="str">
        <f>"16625"</f>
        <v>16625</v>
      </c>
      <c r="C44245" s="2">
        <v>3.3885658744784197E-5</v>
      </c>
      <c r="D44245" s="2">
        <v>4.5171266858293203E-6</v>
      </c>
      <c r="E44245" s="2">
        <v>8.6021135392965999E-6</v>
      </c>
      <c r="F44245" s="2">
        <v>3.1380796491982199E-5</v>
      </c>
    </row>
    <row r="44246" spans="1:6" x14ac:dyDescent="0.25">
      <c r="A44246" s="1" t="str">
        <f t="shared" si="1495"/>
        <v>99999</v>
      </c>
      <c r="B44246" s="1" t="str">
        <f>"16930"</f>
        <v>16930</v>
      </c>
      <c r="C44246" s="2">
        <v>5.1640444796364502E-5</v>
      </c>
      <c r="D44246" s="2">
        <v>3.1619886800805203E-5</v>
      </c>
      <c r="E44246" s="2">
        <v>2.58063406178898E-5</v>
      </c>
      <c r="F44246" s="2">
        <v>4.9735601987292497E-5</v>
      </c>
    </row>
    <row r="44247" spans="1:6" x14ac:dyDescent="0.25">
      <c r="A44247" s="1" t="str">
        <f t="shared" si="1495"/>
        <v>99999</v>
      </c>
      <c r="B44247" s="1" t="str">
        <f>"16914"</f>
        <v>16914</v>
      </c>
      <c r="C44247" s="2">
        <v>6.1708707618297202E-6</v>
      </c>
      <c r="D44247" s="2">
        <v>0</v>
      </c>
      <c r="E44247" s="2">
        <v>0</v>
      </c>
      <c r="F44247" s="2">
        <v>5.6248597485628401E-6</v>
      </c>
    </row>
    <row r="44248" spans="1:6" x14ac:dyDescent="0.25">
      <c r="A44248" s="1" t="str">
        <f t="shared" si="1495"/>
        <v>99999</v>
      </c>
      <c r="B44248" s="1" t="str">
        <f>"22535"</f>
        <v>22535</v>
      </c>
      <c r="C44248" s="2">
        <v>2.4142178594526799E-5</v>
      </c>
      <c r="D44248" s="2">
        <v>4.5171266858293203E-6</v>
      </c>
      <c r="E44248" s="2">
        <v>1.29031703089449E-5</v>
      </c>
      <c r="F44248" s="2">
        <v>2.25981207442261E-5</v>
      </c>
    </row>
    <row r="44249" spans="1:6" x14ac:dyDescent="0.25">
      <c r="A44249" s="1" t="str">
        <f t="shared" si="1495"/>
        <v>99999</v>
      </c>
      <c r="B44249" s="1" t="str">
        <f>"71355"</f>
        <v>71355</v>
      </c>
      <c r="C44249" s="2">
        <v>1.20169588519841E-4</v>
      </c>
      <c r="D44249" s="2">
        <v>5.8722646915781101E-5</v>
      </c>
      <c r="E44249" s="2">
        <v>1.07526419241207E-4</v>
      </c>
      <c r="F44249" s="2">
        <v>1.15852374470399E-4</v>
      </c>
    </row>
    <row r="44250" spans="1:6" x14ac:dyDescent="0.25">
      <c r="A44250" s="1" t="str">
        <f t="shared" si="1495"/>
        <v>99999</v>
      </c>
      <c r="B44250" s="1" t="str">
        <f>"71340"</f>
        <v>71340</v>
      </c>
      <c r="C44250" s="2">
        <v>3.3560876073108999E-5</v>
      </c>
      <c r="D44250" s="2">
        <v>2.55970512196994E-5</v>
      </c>
      <c r="E44250" s="2">
        <v>2.15052838482415E-5</v>
      </c>
      <c r="F44250" s="2">
        <v>3.2762340991629202E-5</v>
      </c>
    </row>
    <row r="44251" spans="1:6" x14ac:dyDescent="0.25">
      <c r="A44251" s="1" t="str">
        <f t="shared" si="1495"/>
        <v>99999</v>
      </c>
      <c r="B44251" s="1" t="str">
        <f>"73717"</f>
        <v>73717</v>
      </c>
      <c r="C44251" s="2">
        <v>4.22975299411731E-4</v>
      </c>
      <c r="D44251" s="2">
        <v>9.6064227518636897E-4</v>
      </c>
      <c r="E44251" s="2">
        <v>3.8709510926834698E-4</v>
      </c>
      <c r="F44251" s="2">
        <v>4.57389911133136E-4</v>
      </c>
    </row>
    <row r="44252" spans="1:6" x14ac:dyDescent="0.25">
      <c r="A44252" s="1" t="str">
        <f t="shared" si="1495"/>
        <v>99999</v>
      </c>
      <c r="B44252" s="1" t="str">
        <f>"73771"</f>
        <v>73771</v>
      </c>
      <c r="C44252" s="2">
        <v>3.7783050804887201E-5</v>
      </c>
      <c r="D44252" s="2">
        <v>1.50570889527644E-5</v>
      </c>
      <c r="E44252" s="2">
        <v>3.8709510926834699E-5</v>
      </c>
      <c r="F44252" s="2">
        <v>3.6314883990721503E-5</v>
      </c>
    </row>
    <row r="44253" spans="1:6" x14ac:dyDescent="0.25">
      <c r="A44253" s="1" t="str">
        <f t="shared" si="1495"/>
        <v>99999</v>
      </c>
      <c r="B44253" s="1" t="str">
        <f>"73859"</f>
        <v>73859</v>
      </c>
      <c r="C44253" s="2">
        <v>1.09451760354558E-4</v>
      </c>
      <c r="D44253" s="2">
        <v>3.31255956960816E-5</v>
      </c>
      <c r="E44253" s="2">
        <v>1.29031703089449E-5</v>
      </c>
      <c r="F44253" s="2">
        <v>1.02234292973879E-4</v>
      </c>
    </row>
    <row r="44254" spans="1:6" x14ac:dyDescent="0.25">
      <c r="A44254" s="1" t="str">
        <f t="shared" si="1495"/>
        <v>99999</v>
      </c>
      <c r="B44254" s="1" t="str">
        <f>"73655"</f>
        <v>73655</v>
      </c>
      <c r="C44254" s="2">
        <v>7.8597406545410095E-5</v>
      </c>
      <c r="D44254" s="2">
        <v>5.8722646915781101E-5</v>
      </c>
      <c r="E44254" s="2">
        <v>1.72042270785932E-5</v>
      </c>
      <c r="F44254" s="2">
        <v>7.5886265730611003E-5</v>
      </c>
    </row>
    <row r="44255" spans="1:6" x14ac:dyDescent="0.25">
      <c r="A44255" s="1" t="str">
        <f t="shared" si="1495"/>
        <v>99999</v>
      </c>
      <c r="B44255" s="1" t="str">
        <f>"73855"</f>
        <v>73855</v>
      </c>
      <c r="C44255" s="2">
        <v>1.8187829613813899E-5</v>
      </c>
      <c r="D44255" s="2">
        <v>1.50570889527644E-6</v>
      </c>
      <c r="E44255" s="2">
        <v>4.3010567696482999E-6</v>
      </c>
      <c r="F44255" s="2">
        <v>1.6775897495713701E-5</v>
      </c>
    </row>
    <row r="44256" spans="1:6" x14ac:dyDescent="0.25">
      <c r="A44256" s="1" t="str">
        <f t="shared" si="1495"/>
        <v>99999</v>
      </c>
      <c r="B44256" s="1" t="str">
        <f>"74963"</f>
        <v>74963</v>
      </c>
      <c r="C44256" s="2">
        <v>2.5549570171786201E-5</v>
      </c>
      <c r="D44256" s="2">
        <v>6.0228355811057601E-6</v>
      </c>
      <c r="E44256" s="2">
        <v>4.3010567696482999E-6</v>
      </c>
      <c r="F44256" s="2">
        <v>2.37823017439236E-5</v>
      </c>
    </row>
    <row r="44257" spans="1:6" x14ac:dyDescent="0.25">
      <c r="A44257" s="1" t="str">
        <f t="shared" si="1495"/>
        <v>99999</v>
      </c>
      <c r="B44257" s="1" t="str">
        <f>"74966"</f>
        <v>74966</v>
      </c>
      <c r="C44257" s="2">
        <v>1.5990133535478E-4</v>
      </c>
      <c r="D44257" s="2">
        <v>8.4319698135480595E-5</v>
      </c>
      <c r="E44257" s="2">
        <v>2.58063406178898E-5</v>
      </c>
      <c r="F44257" s="2">
        <v>1.51871213211196E-4</v>
      </c>
    </row>
    <row r="44258" spans="1:6" x14ac:dyDescent="0.25">
      <c r="A44258" s="1" t="str">
        <f t="shared" si="1495"/>
        <v>99999</v>
      </c>
      <c r="B44258" s="1" t="str">
        <f>"74346"</f>
        <v>74346</v>
      </c>
      <c r="C44258" s="2">
        <v>3.7674789914328801E-4</v>
      </c>
      <c r="D44258" s="2">
        <v>1.3099667388905001E-4</v>
      </c>
      <c r="E44258" s="2">
        <v>1.41934873398393E-4</v>
      </c>
      <c r="F44258" s="2">
        <v>3.5525429990923199E-4</v>
      </c>
    </row>
    <row r="44259" spans="1:6" x14ac:dyDescent="0.25">
      <c r="A44259" s="1" t="str">
        <f t="shared" si="1495"/>
        <v>99999</v>
      </c>
      <c r="B44259" s="1" t="str">
        <f>"74365"</f>
        <v>74365</v>
      </c>
      <c r="C44259" s="2">
        <v>2.36117002307905E-4</v>
      </c>
      <c r="D44259" s="2">
        <v>6.0228355811057599E-5</v>
      </c>
      <c r="E44259" s="2">
        <v>4.7311624466131299E-5</v>
      </c>
      <c r="F44259" s="2">
        <v>2.2025766594372401E-4</v>
      </c>
    </row>
    <row r="44260" spans="1:6" x14ac:dyDescent="0.25">
      <c r="A44260" s="1" t="str">
        <f t="shared" si="1495"/>
        <v>99999</v>
      </c>
      <c r="B44260" s="1" t="str">
        <f>"74426"</f>
        <v>74426</v>
      </c>
      <c r="C44260" s="2">
        <v>7.98857111430552E-4</v>
      </c>
      <c r="D44260" s="2">
        <v>6.5648907834052798E-4</v>
      </c>
      <c r="E44260" s="2">
        <v>1.5053698693768999E-4</v>
      </c>
      <c r="F44260" s="2">
        <v>7.7465173730207595E-4</v>
      </c>
    </row>
    <row r="44261" spans="1:6" x14ac:dyDescent="0.25">
      <c r="A44261" s="1" t="str">
        <f t="shared" si="1495"/>
        <v>99999</v>
      </c>
      <c r="B44261" s="1" t="str">
        <f>"74364"</f>
        <v>74364</v>
      </c>
      <c r="C44261" s="2">
        <v>1.14973065773037E-4</v>
      </c>
      <c r="D44261" s="2">
        <v>2.7102760114975901E-5</v>
      </c>
      <c r="E44261" s="2">
        <v>4.3010567696482999E-6</v>
      </c>
      <c r="F44261" s="2">
        <v>1.0667497172274401E-4</v>
      </c>
    </row>
    <row r="44262" spans="1:6" x14ac:dyDescent="0.25">
      <c r="A44262" s="1" t="str">
        <f t="shared" si="1495"/>
        <v>99999</v>
      </c>
      <c r="B44262" s="1" t="str">
        <f>"74538"</f>
        <v>74538</v>
      </c>
      <c r="C44262" s="2">
        <v>3.0323875445412298E-4</v>
      </c>
      <c r="D44262" s="2">
        <v>3.8546147719076799E-4</v>
      </c>
      <c r="E44262" s="2">
        <v>1.8924649786452501E-4</v>
      </c>
      <c r="F44262" s="2">
        <v>3.0601210667181302E-4</v>
      </c>
    </row>
    <row r="44263" spans="1:6" x14ac:dyDescent="0.25">
      <c r="A44263" s="1" t="str">
        <f t="shared" si="1495"/>
        <v>99999</v>
      </c>
      <c r="B44263" s="1" t="str">
        <f>"74533"</f>
        <v>74533</v>
      </c>
      <c r="C44263" s="2">
        <v>6.65804476934259E-5</v>
      </c>
      <c r="D44263" s="2">
        <v>2.55970512196994E-5</v>
      </c>
      <c r="E44263" s="2">
        <v>4.3010567696482999E-6</v>
      </c>
      <c r="F44263" s="2">
        <v>6.2465547734040001E-5</v>
      </c>
    </row>
    <row r="44264" spans="1:6" x14ac:dyDescent="0.25">
      <c r="A44264" s="1" t="str">
        <f t="shared" si="1495"/>
        <v>99999</v>
      </c>
      <c r="B44264" s="1" t="str">
        <f>"74872"</f>
        <v>74872</v>
      </c>
      <c r="C44264" s="2">
        <v>1.1205002172795999E-4</v>
      </c>
      <c r="D44264" s="2">
        <v>4.3665557963016701E-5</v>
      </c>
      <c r="E44264" s="2">
        <v>3.8709510926834699E-5</v>
      </c>
      <c r="F44264" s="2">
        <v>1.05885517722946E-4</v>
      </c>
    </row>
    <row r="44265" spans="1:6" x14ac:dyDescent="0.25">
      <c r="A44265" s="1" t="str">
        <f t="shared" si="1495"/>
        <v>99999</v>
      </c>
      <c r="B44265" s="1" t="str">
        <f>"74880"</f>
        <v>74880</v>
      </c>
      <c r="C44265" s="2">
        <v>5.672870665261E-5</v>
      </c>
      <c r="D44265" s="2">
        <v>3.1619886800805203E-5</v>
      </c>
      <c r="E44265" s="2">
        <v>1.16128532780504E-4</v>
      </c>
      <c r="F44265" s="2">
        <v>5.6445960985577998E-5</v>
      </c>
    </row>
    <row r="44266" spans="1:6" x14ac:dyDescent="0.25">
      <c r="A44266" s="1" t="str">
        <f t="shared" si="1495"/>
        <v>99999</v>
      </c>
      <c r="B44266" s="1" t="str">
        <f>"74636"</f>
        <v>74636</v>
      </c>
      <c r="C44266" s="2">
        <v>1.7971307832697E-5</v>
      </c>
      <c r="D44266" s="2">
        <v>1.20456711622115E-5</v>
      </c>
      <c r="E44266" s="2">
        <v>4.3010567696482999E-6</v>
      </c>
      <c r="F44266" s="2">
        <v>1.7269306245587602E-5</v>
      </c>
    </row>
    <row r="44267" spans="1:6" x14ac:dyDescent="0.25">
      <c r="A44267" s="1" t="str">
        <f t="shared" si="1495"/>
        <v>99999</v>
      </c>
      <c r="B44267" s="1" t="str">
        <f>"74345"</f>
        <v>74345</v>
      </c>
      <c r="C44267" s="2">
        <v>1.91513515397838E-4</v>
      </c>
      <c r="D44267" s="2">
        <v>4.3665557963016698E-4</v>
      </c>
      <c r="E44267" s="2">
        <v>0</v>
      </c>
      <c r="F44267" s="2">
        <v>2.0318572319808601E-4</v>
      </c>
    </row>
    <row r="44268" spans="1:6" x14ac:dyDescent="0.25">
      <c r="A44268" s="1" t="str">
        <f t="shared" si="1495"/>
        <v>99999</v>
      </c>
      <c r="B44268" s="1" t="str">
        <f>"74337"</f>
        <v>74337</v>
      </c>
      <c r="C44268" s="2">
        <v>1.8924003669611099E-4</v>
      </c>
      <c r="D44268" s="2">
        <v>1.3852521836543201E-4</v>
      </c>
      <c r="E44268" s="2">
        <v>6.8816908314372799E-5</v>
      </c>
      <c r="F44268" s="2">
        <v>1.8315332795320401E-4</v>
      </c>
    </row>
    <row r="44269" spans="1:6" x14ac:dyDescent="0.25">
      <c r="A44269" s="1" t="str">
        <f t="shared" si="1495"/>
        <v>99999</v>
      </c>
      <c r="B44269" s="1" t="str">
        <f>"74342"</f>
        <v>74342</v>
      </c>
      <c r="C44269" s="2">
        <v>1.8166177435702201E-4</v>
      </c>
      <c r="D44269" s="2">
        <v>8.2813989240204205E-5</v>
      </c>
      <c r="E44269" s="2">
        <v>4.3010567696482999E-5</v>
      </c>
      <c r="F44269" s="2">
        <v>1.7200229020605299E-4</v>
      </c>
    </row>
    <row r="44270" spans="1:6" x14ac:dyDescent="0.25">
      <c r="A44270" s="1" t="str">
        <f t="shared" si="1495"/>
        <v>99999</v>
      </c>
      <c r="B44270" s="1" t="str">
        <f>"73043"</f>
        <v>73043</v>
      </c>
      <c r="C44270" s="2">
        <v>7.6865232296475401E-6</v>
      </c>
      <c r="D44270" s="2">
        <v>1.50570889527644E-6</v>
      </c>
      <c r="E44270" s="2">
        <v>4.3010567696482999E-6</v>
      </c>
      <c r="F44270" s="2">
        <v>7.2037677481594301E-6</v>
      </c>
    </row>
    <row r="44271" spans="1:6" x14ac:dyDescent="0.25">
      <c r="A44271" s="1" t="str">
        <f t="shared" si="1495"/>
        <v>99999</v>
      </c>
      <c r="B44271" s="1" t="str">
        <f>"73098"</f>
        <v>73098</v>
      </c>
      <c r="C44271" s="2">
        <v>2.1857873803744201E-4</v>
      </c>
      <c r="D44271" s="2">
        <v>2.7855614562614098E-4</v>
      </c>
      <c r="E44271" s="2">
        <v>8.1720078623317706E-5</v>
      </c>
      <c r="F44271" s="2">
        <v>2.1936953019395099E-4</v>
      </c>
    </row>
    <row r="44272" spans="1:6" x14ac:dyDescent="0.25">
      <c r="A44272" s="1" t="str">
        <f t="shared" si="1495"/>
        <v>99999</v>
      </c>
      <c r="B44272" s="1" t="str">
        <f>"75147"</f>
        <v>75147</v>
      </c>
      <c r="C44272" s="2">
        <v>1.19736544957608E-4</v>
      </c>
      <c r="D44272" s="2">
        <v>7.5285444763821999E-6</v>
      </c>
      <c r="E44272" s="2">
        <v>6.4515851544724506E-5</v>
      </c>
      <c r="F44272" s="2">
        <v>1.11115650471609E-4</v>
      </c>
    </row>
    <row r="44273" spans="1:6" x14ac:dyDescent="0.25">
      <c r="A44273" s="1" t="str">
        <f t="shared" si="1495"/>
        <v>99999</v>
      </c>
      <c r="B44273" s="1" t="str">
        <f>"75790"</f>
        <v>75790</v>
      </c>
      <c r="C44273" s="2">
        <v>1.7657351250077599E-4</v>
      </c>
      <c r="D44273" s="2">
        <v>1.86707903014278E-4</v>
      </c>
      <c r="E44273" s="2">
        <v>1.63440157246635E-4</v>
      </c>
      <c r="F44273" s="2">
        <v>1.7693637770479199E-4</v>
      </c>
    </row>
    <row r="44274" spans="1:6" x14ac:dyDescent="0.25">
      <c r="A44274" s="1" t="str">
        <f t="shared" si="1495"/>
        <v>99999</v>
      </c>
      <c r="B44274" s="1" t="str">
        <f>"75457"</f>
        <v>75457</v>
      </c>
      <c r="C44274" s="2">
        <v>4.1777877666492698E-4</v>
      </c>
      <c r="D44274" s="2">
        <v>2.03270700862319E-4</v>
      </c>
      <c r="E44274" s="2">
        <v>2.0645072494311799E-4</v>
      </c>
      <c r="F44274" s="2">
        <v>3.9887163339808802E-4</v>
      </c>
    </row>
    <row r="44275" spans="1:6" x14ac:dyDescent="0.25">
      <c r="A44275" s="1" t="str">
        <f t="shared" si="1495"/>
        <v>99999</v>
      </c>
      <c r="B44275" s="1" t="str">
        <f>"75435"</f>
        <v>75435</v>
      </c>
      <c r="C44275" s="2">
        <v>8.6608712446732894E-6</v>
      </c>
      <c r="D44275" s="2">
        <v>1.50570889527644E-6</v>
      </c>
      <c r="E44275" s="2">
        <v>0</v>
      </c>
      <c r="F44275" s="2">
        <v>7.9932217479577302E-6</v>
      </c>
    </row>
    <row r="44276" spans="1:6" x14ac:dyDescent="0.25">
      <c r="A44276" s="1" t="str">
        <f t="shared" si="1495"/>
        <v>99999</v>
      </c>
      <c r="B44276" s="1" t="str">
        <f>"75453"</f>
        <v>75453</v>
      </c>
      <c r="C44276" s="2">
        <v>2.39256568134099E-5</v>
      </c>
      <c r="D44276" s="2">
        <v>3.01141779055288E-6</v>
      </c>
      <c r="E44276" s="2">
        <v>0</v>
      </c>
      <c r="F44276" s="2">
        <v>2.2006030244377399E-5</v>
      </c>
    </row>
    <row r="44277" spans="1:6" x14ac:dyDescent="0.25">
      <c r="A44277" s="1" t="str">
        <f t="shared" si="1495"/>
        <v>99999</v>
      </c>
      <c r="B44277" s="1" t="str">
        <f>"75556"</f>
        <v>75556</v>
      </c>
      <c r="C44277" s="2">
        <v>7.5999145172008097E-5</v>
      </c>
      <c r="D44277" s="2">
        <v>5.5711229125228301E-5</v>
      </c>
      <c r="E44277" s="2">
        <v>1.29031703089449E-5</v>
      </c>
      <c r="F44277" s="2">
        <v>7.3221858481291801E-5</v>
      </c>
    </row>
    <row r="44278" spans="1:6" x14ac:dyDescent="0.25">
      <c r="A44278" s="1" t="str">
        <f t="shared" si="1495"/>
        <v>99999</v>
      </c>
      <c r="B44278" s="1" t="str">
        <f>"75668"</f>
        <v>75668</v>
      </c>
      <c r="C44278" s="2">
        <v>1.202778494104E-4</v>
      </c>
      <c r="D44278" s="2">
        <v>4.9688393544122498E-5</v>
      </c>
      <c r="E44278" s="2">
        <v>3.8709510926834699E-5</v>
      </c>
      <c r="F44278" s="2">
        <v>1.13780057720929E-4</v>
      </c>
    </row>
    <row r="44279" spans="1:6" x14ac:dyDescent="0.25">
      <c r="A44279" s="1" t="str">
        <f t="shared" si="1495"/>
        <v>99999</v>
      </c>
      <c r="B44279" s="1" t="str">
        <f>"76043"</f>
        <v>76043</v>
      </c>
      <c r="C44279" s="2">
        <v>2.56794832404563E-4</v>
      </c>
      <c r="D44279" s="2">
        <v>2.6801618335920601E-4</v>
      </c>
      <c r="E44279" s="2">
        <v>1.1440811007264399E-3</v>
      </c>
      <c r="F44279" s="2">
        <v>2.7788780792899898E-4</v>
      </c>
    </row>
    <row r="44280" spans="1:6" x14ac:dyDescent="0.25">
      <c r="A44280" s="1" t="str">
        <f t="shared" si="1495"/>
        <v>99999</v>
      </c>
      <c r="B44280" s="1" t="str">
        <f>"76055"</f>
        <v>76055</v>
      </c>
      <c r="C44280" s="2">
        <v>1.36733504775279E-4</v>
      </c>
      <c r="D44280" s="2">
        <v>1.44548053946538E-4</v>
      </c>
      <c r="E44280" s="2">
        <v>1.7634332755557999E-4</v>
      </c>
      <c r="F44280" s="2">
        <v>1.38154449964701E-4</v>
      </c>
    </row>
    <row r="44281" spans="1:6" x14ac:dyDescent="0.25">
      <c r="A44281" s="1" t="str">
        <f t="shared" si="1495"/>
        <v>99999</v>
      </c>
      <c r="B44281" s="1" t="str">
        <f>"79360"</f>
        <v>79360</v>
      </c>
      <c r="C44281" s="2">
        <v>6.1881925043190595E-4</v>
      </c>
      <c r="D44281" s="2">
        <v>6.8810896514133295E-4</v>
      </c>
      <c r="E44281" s="2">
        <v>9.8064094347981193E-4</v>
      </c>
      <c r="F44281" s="2">
        <v>6.3166188158861E-4</v>
      </c>
    </row>
    <row r="44282" spans="1:6" x14ac:dyDescent="0.25">
      <c r="A44282" s="1" t="str">
        <f t="shared" si="1495"/>
        <v>99999</v>
      </c>
      <c r="B44282" s="1" t="str">
        <f>"79316"</f>
        <v>79316</v>
      </c>
      <c r="C44282" s="2">
        <v>5.4704227999167597E-4</v>
      </c>
      <c r="D44282" s="2">
        <v>8.4169127245952997E-4</v>
      </c>
      <c r="E44282" s="2">
        <v>1.07526419241207E-3</v>
      </c>
      <c r="F44282" s="2">
        <v>5.7847241835220001E-4</v>
      </c>
    </row>
    <row r="44283" spans="1:6" x14ac:dyDescent="0.25">
      <c r="A44283" s="1" t="str">
        <f t="shared" si="1495"/>
        <v>99999</v>
      </c>
      <c r="B44283" s="1" t="str">
        <f>"79345"</f>
        <v>79345</v>
      </c>
      <c r="C44283" s="2">
        <v>4.6335661159002102E-5</v>
      </c>
      <c r="D44283" s="2">
        <v>3.01141779055288E-5</v>
      </c>
      <c r="E44283" s="2">
        <v>1.16128532780504E-4</v>
      </c>
      <c r="F44283" s="2">
        <v>4.6873831238023702E-5</v>
      </c>
    </row>
    <row r="44284" spans="1:6" x14ac:dyDescent="0.25">
      <c r="A44284" s="1" t="str">
        <f t="shared" si="1495"/>
        <v>99999</v>
      </c>
      <c r="B44284" s="1" t="str">
        <f>"79567"</f>
        <v>79567</v>
      </c>
      <c r="C44284" s="2">
        <v>1.9476134211458999E-4</v>
      </c>
      <c r="D44284" s="2">
        <v>3.0264748795056398E-4</v>
      </c>
      <c r="E44284" s="2">
        <v>1.16128532780504E-4</v>
      </c>
      <c r="F44284" s="2">
        <v>2.0002790719889199E-4</v>
      </c>
    </row>
    <row r="44285" spans="1:6" x14ac:dyDescent="0.25">
      <c r="A44285" s="1" t="str">
        <f t="shared" si="1495"/>
        <v>99999</v>
      </c>
      <c r="B44285" s="1" t="str">
        <f>"79553"</f>
        <v>79553</v>
      </c>
      <c r="C44285" s="2">
        <v>5.6295663090376404E-6</v>
      </c>
      <c r="D44285" s="2">
        <v>3.4631304591358098E-5</v>
      </c>
      <c r="E44285" s="2">
        <v>0</v>
      </c>
      <c r="F44285" s="2">
        <v>7.4011312481090098E-6</v>
      </c>
    </row>
    <row r="44286" spans="1:6" x14ac:dyDescent="0.25">
      <c r="A44286" s="1" t="str">
        <f t="shared" si="1495"/>
        <v>99999</v>
      </c>
      <c r="B44286" s="1" t="str">
        <f>"79528"</f>
        <v>79528</v>
      </c>
      <c r="C44286" s="2">
        <v>1.2991306867009899E-5</v>
      </c>
      <c r="D44286" s="2">
        <v>3.01141779055288E-6</v>
      </c>
      <c r="E44286" s="2">
        <v>3.8709510926834699E-5</v>
      </c>
      <c r="F44286" s="2">
        <v>1.2927309246696999E-5</v>
      </c>
    </row>
    <row r="44287" spans="1:6" x14ac:dyDescent="0.25">
      <c r="A44287" s="1" t="str">
        <f t="shared" si="1495"/>
        <v>99999</v>
      </c>
      <c r="B44287" s="1" t="str">
        <f>"79543"</f>
        <v>79543</v>
      </c>
      <c r="C44287" s="2">
        <v>4.8500878970170397E-5</v>
      </c>
      <c r="D44287" s="2">
        <v>1.65627978480408E-5</v>
      </c>
      <c r="E44287" s="2">
        <v>5.5913738005427899E-5</v>
      </c>
      <c r="F44287" s="2">
        <v>4.6577785988099297E-5</v>
      </c>
    </row>
    <row r="44288" spans="1:6" x14ac:dyDescent="0.25">
      <c r="A44288" s="1" t="str">
        <f t="shared" si="1495"/>
        <v>99999</v>
      </c>
      <c r="B44288" s="1" t="str">
        <f>"76437"</f>
        <v>76437</v>
      </c>
      <c r="C44288" s="2">
        <v>3.8042876942227398E-4</v>
      </c>
      <c r="D44288" s="2">
        <v>5.6313512683338796E-4</v>
      </c>
      <c r="E44288" s="2">
        <v>3.6989088218975403E-4</v>
      </c>
      <c r="F44288" s="2">
        <v>3.9216127439980201E-4</v>
      </c>
    </row>
    <row r="44289" spans="1:6" x14ac:dyDescent="0.25">
      <c r="A44289" s="1" t="str">
        <f t="shared" si="1495"/>
        <v>99999</v>
      </c>
      <c r="B44289" s="1" t="str">
        <f>"76464"</f>
        <v>76464</v>
      </c>
      <c r="C44289" s="2">
        <v>2.8039570654629701E-5</v>
      </c>
      <c r="D44289" s="2">
        <v>9.0342533716586405E-6</v>
      </c>
      <c r="E44289" s="2">
        <v>5.5913738005427899E-5</v>
      </c>
      <c r="F44289" s="2">
        <v>2.7433526492990701E-5</v>
      </c>
    </row>
    <row r="44290" spans="1:6" x14ac:dyDescent="0.25">
      <c r="A44290" s="1" t="str">
        <f t="shared" si="1495"/>
        <v>99999</v>
      </c>
      <c r="B44290" s="1" t="str">
        <f>"76486"</f>
        <v>76486</v>
      </c>
      <c r="C44290" s="2">
        <v>2.8147831545188199E-5</v>
      </c>
      <c r="D44290" s="2">
        <v>1.20456711622115E-5</v>
      </c>
      <c r="E44290" s="2">
        <v>4.3010567696482999E-6</v>
      </c>
      <c r="F44290" s="2">
        <v>2.6545390743217599E-5</v>
      </c>
    </row>
    <row r="44291" spans="1:6" x14ac:dyDescent="0.25">
      <c r="A44291" s="1" t="str">
        <f t="shared" si="1495"/>
        <v>99999</v>
      </c>
      <c r="B44291" s="1" t="str">
        <f>"76430"</f>
        <v>76430</v>
      </c>
      <c r="C44291" s="2">
        <v>7.7514797639825897E-5</v>
      </c>
      <c r="D44291" s="2">
        <v>7.5285444763821999E-5</v>
      </c>
      <c r="E44291" s="2">
        <v>1.07526419241207E-4</v>
      </c>
      <c r="F44291" s="2">
        <v>7.8057264230056294E-5</v>
      </c>
    </row>
    <row r="44292" spans="1:6" x14ac:dyDescent="0.25">
      <c r="A44292" s="1" t="str">
        <f t="shared" si="1495"/>
        <v>99999</v>
      </c>
      <c r="B44292" s="1" t="str">
        <f>"76825"</f>
        <v>76825</v>
      </c>
      <c r="C44292" s="2">
        <v>4.3152790976584601E-4</v>
      </c>
      <c r="D44292" s="2">
        <v>7.2274026973269097E-4</v>
      </c>
      <c r="E44292" s="2">
        <v>8.6021135392966004E-4</v>
      </c>
      <c r="F44292" s="2">
        <v>4.6044904538235497E-4</v>
      </c>
    </row>
    <row r="44293" spans="1:6" x14ac:dyDescent="0.25">
      <c r="A44293" s="1" t="str">
        <f t="shared" si="1495"/>
        <v>99999</v>
      </c>
      <c r="B44293" s="1" t="str">
        <f>"76471"</f>
        <v>76471</v>
      </c>
      <c r="C44293" s="2">
        <v>1.09451760354558E-4</v>
      </c>
      <c r="D44293" s="2">
        <v>7.5285444763821999E-5</v>
      </c>
      <c r="E44293" s="2">
        <v>2.1935389525206301E-4</v>
      </c>
      <c r="F44293" s="2">
        <v>1.09734105971962E-4</v>
      </c>
    </row>
    <row r="44294" spans="1:6" x14ac:dyDescent="0.25">
      <c r="A44294" s="1" t="str">
        <f t="shared" ref="A44294:A44357" si="1496">"99999"</f>
        <v>99999</v>
      </c>
      <c r="B44294" s="1" t="str">
        <f>"76828"</f>
        <v>76828</v>
      </c>
      <c r="C44294" s="2">
        <v>1.06095672747247E-5</v>
      </c>
      <c r="D44294" s="2">
        <v>0</v>
      </c>
      <c r="E44294" s="2">
        <v>1.72042270785932E-5</v>
      </c>
      <c r="F44294" s="2">
        <v>1.00655384974282E-5</v>
      </c>
    </row>
    <row r="44295" spans="1:6" x14ac:dyDescent="0.25">
      <c r="A44295" s="1" t="str">
        <f t="shared" si="1496"/>
        <v>99999</v>
      </c>
      <c r="B44295" s="1" t="str">
        <f>"76852"</f>
        <v>76852</v>
      </c>
      <c r="C44295" s="2">
        <v>1.75382642704634E-5</v>
      </c>
      <c r="D44295" s="2">
        <v>0</v>
      </c>
      <c r="E44295" s="2">
        <v>4.3010567696482999E-6</v>
      </c>
      <c r="F44295" s="2">
        <v>1.60851252458902E-5</v>
      </c>
    </row>
    <row r="44296" spans="1:6" x14ac:dyDescent="0.25">
      <c r="A44296" s="1" t="str">
        <f t="shared" si="1496"/>
        <v>99999</v>
      </c>
      <c r="B44296" s="1" t="str">
        <f>"76427"</f>
        <v>76427</v>
      </c>
      <c r="C44296" s="2">
        <v>1.51565246781782E-5</v>
      </c>
      <c r="D44296" s="2">
        <v>1.50570889527644E-5</v>
      </c>
      <c r="E44296" s="2">
        <v>2.58063406178898E-5</v>
      </c>
      <c r="F44296" s="2">
        <v>1.5394352996066698E-5</v>
      </c>
    </row>
    <row r="44297" spans="1:6" x14ac:dyDescent="0.25">
      <c r="A44297" s="1" t="str">
        <f t="shared" si="1496"/>
        <v>99999</v>
      </c>
      <c r="B44297" s="1" t="str">
        <f>"76861"</f>
        <v>76861</v>
      </c>
      <c r="C44297" s="2">
        <v>3.1070875590265398E-5</v>
      </c>
      <c r="D44297" s="2">
        <v>6.0228355811057601E-6</v>
      </c>
      <c r="E44297" s="2">
        <v>5.5913738005427899E-5</v>
      </c>
      <c r="F44297" s="2">
        <v>2.9999251992335099E-5</v>
      </c>
    </row>
    <row r="44298" spans="1:6" x14ac:dyDescent="0.25">
      <c r="A44298" s="1" t="str">
        <f t="shared" si="1496"/>
        <v>99999</v>
      </c>
      <c r="B44298" s="1" t="str">
        <f>"79085"</f>
        <v>79085</v>
      </c>
      <c r="C44298" s="2">
        <v>6.1708707618297202E-6</v>
      </c>
      <c r="D44298" s="2">
        <v>3.01141779055288E-6</v>
      </c>
      <c r="E44298" s="2">
        <v>0</v>
      </c>
      <c r="F44298" s="2">
        <v>5.8222232485124198E-6</v>
      </c>
    </row>
    <row r="44299" spans="1:6" x14ac:dyDescent="0.25">
      <c r="A44299" s="1" t="str">
        <f t="shared" si="1496"/>
        <v>99999</v>
      </c>
      <c r="B44299" s="1" t="str">
        <f>"76932"</f>
        <v>76932</v>
      </c>
      <c r="C44299" s="2">
        <v>1.61200466041481E-4</v>
      </c>
      <c r="D44299" s="2">
        <v>2.9060181678835302E-4</v>
      </c>
      <c r="E44299" s="2">
        <v>1.3333275985909701E-4</v>
      </c>
      <c r="F44299" s="2">
        <v>1.6904183770680899E-4</v>
      </c>
    </row>
    <row r="44300" spans="1:6" x14ac:dyDescent="0.25">
      <c r="A44300" s="1" t="str">
        <f t="shared" si="1496"/>
        <v>99999</v>
      </c>
      <c r="B44300" s="1" t="str">
        <f>"79022"</f>
        <v>79022</v>
      </c>
      <c r="C44300" s="2">
        <v>5.25065319208318E-4</v>
      </c>
      <c r="D44300" s="2">
        <v>8.4771410804063596E-4</v>
      </c>
      <c r="E44300" s="2">
        <v>6.1935217482935497E-4</v>
      </c>
      <c r="F44300" s="2">
        <v>5.4837448460989E-4</v>
      </c>
    </row>
    <row r="44301" spans="1:6" x14ac:dyDescent="0.25">
      <c r="A44301" s="1" t="str">
        <f t="shared" si="1496"/>
        <v>99999</v>
      </c>
      <c r="B44301" s="1" t="str">
        <f>"79063"</f>
        <v>79063</v>
      </c>
      <c r="C44301" s="2">
        <v>1.8404351394930699E-5</v>
      </c>
      <c r="D44301" s="2">
        <v>1.50570889527644E-6</v>
      </c>
      <c r="E44301" s="2">
        <v>4.3010567696482999E-6</v>
      </c>
      <c r="F44301" s="2">
        <v>1.6973260995663299E-5</v>
      </c>
    </row>
    <row r="44302" spans="1:6" x14ac:dyDescent="0.25">
      <c r="A44302" s="1" t="str">
        <f t="shared" si="1496"/>
        <v>99999</v>
      </c>
      <c r="B44302" s="1" t="str">
        <f>"79095"</f>
        <v>79095</v>
      </c>
      <c r="C44302" s="2">
        <v>1.74083512017933E-4</v>
      </c>
      <c r="D44302" s="2">
        <v>3.6588726155217501E-4</v>
      </c>
      <c r="E44302" s="2">
        <v>2.5376234940924903E-4</v>
      </c>
      <c r="F44302" s="2">
        <v>1.88482142451842E-4</v>
      </c>
    </row>
    <row r="44303" spans="1:6" x14ac:dyDescent="0.25">
      <c r="A44303" s="1" t="str">
        <f t="shared" si="1496"/>
        <v>99999</v>
      </c>
      <c r="B44303" s="1" t="str">
        <f>"79201"</f>
        <v>79201</v>
      </c>
      <c r="C44303" s="2">
        <v>3.7101007194369201E-4</v>
      </c>
      <c r="D44303" s="2">
        <v>7.09188889675203E-4</v>
      </c>
      <c r="E44303" s="2">
        <v>3.9569722280764303E-4</v>
      </c>
      <c r="F44303" s="2">
        <v>3.9374018239939898E-4</v>
      </c>
    </row>
    <row r="44304" spans="1:6" x14ac:dyDescent="0.25">
      <c r="A44304" s="1" t="str">
        <f t="shared" si="1496"/>
        <v>99999</v>
      </c>
      <c r="B44304" s="1" t="str">
        <f>"79227"</f>
        <v>79227</v>
      </c>
      <c r="C44304" s="2">
        <v>5.44552279508833E-5</v>
      </c>
      <c r="D44304" s="2">
        <v>1.80685067433172E-5</v>
      </c>
      <c r="E44304" s="2">
        <v>5.5913738005427899E-5</v>
      </c>
      <c r="F44304" s="2">
        <v>5.2103963986687403E-5</v>
      </c>
    </row>
    <row r="44305" spans="1:6" x14ac:dyDescent="0.25">
      <c r="A44305" s="1" t="str">
        <f t="shared" si="1496"/>
        <v>99999</v>
      </c>
      <c r="B44305" s="1" t="str">
        <f>"79252"</f>
        <v>79252</v>
      </c>
      <c r="C44305" s="2">
        <v>2.2583221770485599E-4</v>
      </c>
      <c r="D44305" s="2">
        <v>3.5685300818051602E-4</v>
      </c>
      <c r="E44305" s="2">
        <v>2.6236446294854599E-4</v>
      </c>
      <c r="F44305" s="2">
        <v>2.3525729193989099E-4</v>
      </c>
    </row>
    <row r="44306" spans="1:6" x14ac:dyDescent="0.25">
      <c r="A44306" s="1" t="str">
        <f t="shared" si="1496"/>
        <v>99999</v>
      </c>
      <c r="B44306" s="1" t="str">
        <f>"79261"</f>
        <v>79261</v>
      </c>
      <c r="C44306" s="2">
        <v>2.0894351877774301E-5</v>
      </c>
      <c r="D44306" s="2">
        <v>1.0539962266935E-5</v>
      </c>
      <c r="E44306" s="2">
        <v>1.29031703089449E-5</v>
      </c>
      <c r="F44306" s="2">
        <v>2.0032395244881699E-5</v>
      </c>
    </row>
    <row r="44307" spans="1:6" x14ac:dyDescent="0.25">
      <c r="A44307" s="1" t="str">
        <f t="shared" si="1496"/>
        <v>99999</v>
      </c>
      <c r="B44307" s="1" t="str">
        <f>"79057"</f>
        <v>79057</v>
      </c>
      <c r="C44307" s="2">
        <v>8.2278276824396208E-6</v>
      </c>
      <c r="D44307" s="2">
        <v>1.50570889527644E-6</v>
      </c>
      <c r="E44307" s="2">
        <v>0</v>
      </c>
      <c r="F44307" s="2">
        <v>7.5984947480585801E-6</v>
      </c>
    </row>
    <row r="44308" spans="1:6" x14ac:dyDescent="0.25">
      <c r="A44308" s="1" t="str">
        <f t="shared" si="1496"/>
        <v>99999</v>
      </c>
      <c r="B44308" s="1" t="str">
        <f>"75977"</f>
        <v>75977</v>
      </c>
      <c r="C44308" s="2">
        <v>5.44552279508833E-5</v>
      </c>
      <c r="D44308" s="2">
        <v>3.4631304591358098E-5</v>
      </c>
      <c r="E44308" s="2">
        <v>4.3010567696482999E-6</v>
      </c>
      <c r="F44308" s="2">
        <v>5.2005282236712599E-5</v>
      </c>
    </row>
    <row r="44309" spans="1:6" x14ac:dyDescent="0.25">
      <c r="A44309" s="1" t="str">
        <f t="shared" si="1496"/>
        <v>99999</v>
      </c>
      <c r="B44309" s="1" t="str">
        <f>"75845"</f>
        <v>75845</v>
      </c>
      <c r="C44309" s="2">
        <v>1.26340459281671E-4</v>
      </c>
      <c r="D44309" s="2">
        <v>2.25856334291466E-5</v>
      </c>
      <c r="E44309" s="2">
        <v>4.3010567696482999E-5</v>
      </c>
      <c r="F44309" s="2">
        <v>1.1762864596994499E-4</v>
      </c>
    </row>
    <row r="44310" spans="1:6" x14ac:dyDescent="0.25">
      <c r="A44310" s="1" t="str">
        <f t="shared" si="1496"/>
        <v>99999</v>
      </c>
      <c r="B44310" s="1" t="str">
        <f>"75966"</f>
        <v>75966</v>
      </c>
      <c r="C44310" s="2">
        <v>2.9912484061290302E-4</v>
      </c>
      <c r="D44310" s="2">
        <v>2.0628211865287199E-4</v>
      </c>
      <c r="E44310" s="2">
        <v>7.7419021853669399E-5</v>
      </c>
      <c r="F44310" s="2">
        <v>2.8795334642642701E-4</v>
      </c>
    </row>
    <row r="44311" spans="1:6" x14ac:dyDescent="0.25">
      <c r="A44311" s="1" t="str">
        <f t="shared" si="1496"/>
        <v>99999</v>
      </c>
      <c r="B44311" s="1" t="str">
        <f>"75960"</f>
        <v>75960</v>
      </c>
      <c r="C44311" s="2">
        <v>3.9298703272705E-5</v>
      </c>
      <c r="D44311" s="2">
        <v>1.50570889527644E-6</v>
      </c>
      <c r="E44311" s="2">
        <v>8.6021135392965999E-6</v>
      </c>
      <c r="F44311" s="2">
        <v>3.6117520490771902E-5</v>
      </c>
    </row>
    <row r="44312" spans="1:6" x14ac:dyDescent="0.25">
      <c r="A44312" s="1" t="str">
        <f t="shared" si="1496"/>
        <v>99999</v>
      </c>
      <c r="B44312" s="1" t="str">
        <f>"78119"</f>
        <v>78119</v>
      </c>
      <c r="C44312" s="2">
        <v>2.8862353422873699E-4</v>
      </c>
      <c r="D44312" s="2">
        <v>5.8270934247198203E-4</v>
      </c>
      <c r="E44312" s="2">
        <v>3.5698771188080898E-4</v>
      </c>
      <c r="F44312" s="2">
        <v>3.0946596792093099E-4</v>
      </c>
    </row>
    <row r="44313" spans="1:6" x14ac:dyDescent="0.25">
      <c r="A44313" s="1" t="str">
        <f t="shared" si="1496"/>
        <v>99999</v>
      </c>
      <c r="B44313" s="1" t="str">
        <f>"68875"</f>
        <v>68875</v>
      </c>
      <c r="C44313" s="2">
        <v>2.7281744420720801E-5</v>
      </c>
      <c r="D44313" s="2">
        <v>1.35513800574879E-5</v>
      </c>
      <c r="E44313" s="2">
        <v>1.29031703089449E-5</v>
      </c>
      <c r="F44313" s="2">
        <v>2.6051981993343701E-5</v>
      </c>
    </row>
    <row r="44314" spans="1:6" x14ac:dyDescent="0.25">
      <c r="A44314" s="1" t="str">
        <f t="shared" si="1496"/>
        <v>99999</v>
      </c>
      <c r="B44314" s="1" t="str">
        <f>"68957"</f>
        <v>68957</v>
      </c>
      <c r="C44314" s="2">
        <v>2.1219134549449501E-5</v>
      </c>
      <c r="D44314" s="2">
        <v>1.65627978480408E-5</v>
      </c>
      <c r="E44314" s="2">
        <v>4.3010567696482999E-6</v>
      </c>
      <c r="F44314" s="2">
        <v>2.0525803994755599E-5</v>
      </c>
    </row>
    <row r="44315" spans="1:6" x14ac:dyDescent="0.25">
      <c r="A44315" s="1" t="str">
        <f t="shared" si="1496"/>
        <v>99999</v>
      </c>
      <c r="B44315" s="1" t="str">
        <f>"70554"</f>
        <v>70554</v>
      </c>
      <c r="C44315" s="2">
        <v>2.9501092677168398E-4</v>
      </c>
      <c r="D44315" s="2">
        <v>3.89978603876598E-4</v>
      </c>
      <c r="E44315" s="2">
        <v>1.37633816628745E-4</v>
      </c>
      <c r="F44315" s="2">
        <v>2.9762415792395697E-4</v>
      </c>
    </row>
    <row r="44316" spans="1:6" x14ac:dyDescent="0.25">
      <c r="A44316" s="1" t="str">
        <f t="shared" si="1496"/>
        <v>99999</v>
      </c>
      <c r="B44316" s="1" t="str">
        <f>"70535"</f>
        <v>70535</v>
      </c>
      <c r="C44316" s="2">
        <v>5.3589140826415997E-5</v>
      </c>
      <c r="D44316" s="2">
        <v>9.0342533716586405E-6</v>
      </c>
      <c r="E44316" s="2">
        <v>1.72042270785932E-5</v>
      </c>
      <c r="F44316" s="2">
        <v>4.9834283737267301E-5</v>
      </c>
    </row>
    <row r="44317" spans="1:6" x14ac:dyDescent="0.25">
      <c r="A44317" s="1" t="str">
        <f t="shared" si="1496"/>
        <v>99999</v>
      </c>
      <c r="B44317" s="1" t="str">
        <f>"68756"</f>
        <v>68756</v>
      </c>
      <c r="C44317" s="2">
        <v>1.17246544474764E-4</v>
      </c>
      <c r="D44317" s="2">
        <v>3.1469315911277602E-4</v>
      </c>
      <c r="E44317" s="2">
        <v>1.41934873398393E-4</v>
      </c>
      <c r="F44317" s="2">
        <v>1.3075331871659199E-4</v>
      </c>
    </row>
    <row r="44318" spans="1:6" x14ac:dyDescent="0.25">
      <c r="A44318" s="1" t="str">
        <f t="shared" si="1496"/>
        <v>99999</v>
      </c>
      <c r="B44318" s="1" t="str">
        <f>"68627"</f>
        <v>68627</v>
      </c>
      <c r="C44318" s="2">
        <v>3.3560876073108999E-5</v>
      </c>
      <c r="D44318" s="2">
        <v>2.4091342324423E-5</v>
      </c>
      <c r="E44318" s="2">
        <v>1.29031703089449E-5</v>
      </c>
      <c r="F44318" s="2">
        <v>3.2466295741704798E-5</v>
      </c>
    </row>
    <row r="44319" spans="1:6" x14ac:dyDescent="0.25">
      <c r="A44319" s="1" t="str">
        <f t="shared" si="1496"/>
        <v>99999</v>
      </c>
      <c r="B44319" s="1" t="str">
        <f>"68636"</f>
        <v>68636</v>
      </c>
      <c r="C44319" s="2">
        <v>7.3400883798606099E-5</v>
      </c>
      <c r="D44319" s="2">
        <v>7.2274026973269097E-5</v>
      </c>
      <c r="E44319" s="2">
        <v>3.44084541571864E-5</v>
      </c>
      <c r="F44319" s="2">
        <v>7.2432404481493506E-5</v>
      </c>
    </row>
    <row r="44320" spans="1:6" x14ac:dyDescent="0.25">
      <c r="A44320" s="1" t="str">
        <f t="shared" si="1496"/>
        <v>99999</v>
      </c>
      <c r="B44320" s="1" t="str">
        <f>"68735"</f>
        <v>68735</v>
      </c>
      <c r="C44320" s="2">
        <v>5.9435228916570401E-5</v>
      </c>
      <c r="D44320" s="2">
        <v>1.20456711622115E-5</v>
      </c>
      <c r="E44320" s="2">
        <v>1.29031703089449E-5</v>
      </c>
      <c r="F44320" s="2">
        <v>5.5261779985880603E-5</v>
      </c>
    </row>
    <row r="44321" spans="1:6" x14ac:dyDescent="0.25">
      <c r="A44321" s="1" t="str">
        <f t="shared" si="1496"/>
        <v>99999</v>
      </c>
      <c r="B44321" s="1" t="str">
        <f>"68626"</f>
        <v>68626</v>
      </c>
      <c r="C44321" s="2">
        <v>3.7999572586004001E-5</v>
      </c>
      <c r="D44321" s="2">
        <v>1.35513800574879E-5</v>
      </c>
      <c r="E44321" s="2">
        <v>2.15052838482415E-5</v>
      </c>
      <c r="F44321" s="2">
        <v>3.6018838740797098E-5</v>
      </c>
    </row>
    <row r="44322" spans="1:6" x14ac:dyDescent="0.25">
      <c r="A44322" s="1" t="str">
        <f t="shared" si="1496"/>
        <v>99999</v>
      </c>
      <c r="B44322" s="1" t="str">
        <f>"68822"</f>
        <v>68822</v>
      </c>
      <c r="C44322" s="2">
        <v>2.6881179125654698E-4</v>
      </c>
      <c r="D44322" s="2">
        <v>5.1194102439398902E-4</v>
      </c>
      <c r="E44322" s="2">
        <v>3.1827820095397402E-4</v>
      </c>
      <c r="F44322" s="2">
        <v>2.85881029676957E-4</v>
      </c>
    </row>
    <row r="44323" spans="1:6" x14ac:dyDescent="0.25">
      <c r="A44323" s="1" t="str">
        <f t="shared" si="1496"/>
        <v>99999</v>
      </c>
      <c r="B44323" s="1" t="str">
        <f>"68783"</f>
        <v>68783</v>
      </c>
      <c r="C44323" s="2">
        <v>6.8420882832919005E-5</v>
      </c>
      <c r="D44323" s="2">
        <v>4.6676975753569603E-5</v>
      </c>
      <c r="E44323" s="2">
        <v>4.3010567696482999E-5</v>
      </c>
      <c r="F44323" s="2">
        <v>6.6412817733031503E-5</v>
      </c>
    </row>
    <row r="44324" spans="1:6" x14ac:dyDescent="0.25">
      <c r="A44324" s="1" t="str">
        <f t="shared" si="1496"/>
        <v>99999</v>
      </c>
      <c r="B44324" s="1" t="str">
        <f>"68833"</f>
        <v>68833</v>
      </c>
      <c r="C44324" s="2">
        <v>1.6455655364879201E-5</v>
      </c>
      <c r="D44324" s="2">
        <v>4.5171266858293203E-6</v>
      </c>
      <c r="E44324" s="2">
        <v>0</v>
      </c>
      <c r="F44324" s="2">
        <v>1.5295671246091901E-5</v>
      </c>
    </row>
    <row r="44325" spans="1:6" x14ac:dyDescent="0.25">
      <c r="A44325" s="1" t="str">
        <f t="shared" si="1496"/>
        <v>99999</v>
      </c>
      <c r="B44325" s="1" t="str">
        <f>"68786"</f>
        <v>68786</v>
      </c>
      <c r="C44325" s="2">
        <v>5.9543489807128798E-5</v>
      </c>
      <c r="D44325" s="2">
        <v>7.5285444763821999E-6</v>
      </c>
      <c r="E44325" s="2">
        <v>2.15052838482415E-5</v>
      </c>
      <c r="F44325" s="2">
        <v>5.5261779985880603E-5</v>
      </c>
    </row>
    <row r="44326" spans="1:6" x14ac:dyDescent="0.25">
      <c r="A44326" s="1" t="str">
        <f t="shared" si="1496"/>
        <v>99999</v>
      </c>
      <c r="B44326" s="1" t="str">
        <f>"68370"</f>
        <v>68370</v>
      </c>
      <c r="C44326" s="2">
        <v>1.11941760837402E-4</v>
      </c>
      <c r="D44326" s="2">
        <v>2.8759039899780003E-4</v>
      </c>
      <c r="E44326" s="2">
        <v>7.3117965084021106E-5</v>
      </c>
      <c r="F44326" s="2">
        <v>1.2256273346868501E-4</v>
      </c>
    </row>
    <row r="44327" spans="1:6" x14ac:dyDescent="0.25">
      <c r="A44327" s="1" t="str">
        <f t="shared" si="1496"/>
        <v>99999</v>
      </c>
      <c r="B44327" s="1" t="str">
        <f>"68345"</f>
        <v>68345</v>
      </c>
      <c r="C44327" s="2">
        <v>1.25582633047762E-5</v>
      </c>
      <c r="D44327" s="2">
        <v>6.0228355811057601E-6</v>
      </c>
      <c r="E44327" s="2">
        <v>0</v>
      </c>
      <c r="F44327" s="2">
        <v>1.18418099969744E-5</v>
      </c>
    </row>
    <row r="44328" spans="1:6" x14ac:dyDescent="0.25">
      <c r="A44328" s="1" t="str">
        <f t="shared" si="1496"/>
        <v>99999</v>
      </c>
      <c r="B44328" s="1" t="str">
        <f>"68340"</f>
        <v>68340</v>
      </c>
      <c r="C44328" s="2">
        <v>4.0597833959405999E-5</v>
      </c>
      <c r="D44328" s="2">
        <v>2.4091342324423E-5</v>
      </c>
      <c r="E44328" s="2">
        <v>1.72042270785932E-5</v>
      </c>
      <c r="F44328" s="2">
        <v>3.8979291240040697E-5</v>
      </c>
    </row>
    <row r="44329" spans="1:6" x14ac:dyDescent="0.25">
      <c r="A44329" s="1" t="str">
        <f t="shared" si="1496"/>
        <v>99999</v>
      </c>
      <c r="B44329" s="1" t="str">
        <f>"68420"</f>
        <v>68420</v>
      </c>
      <c r="C44329" s="2">
        <v>7.9896537232111101E-5</v>
      </c>
      <c r="D44329" s="2">
        <v>1.65627978480408E-5</v>
      </c>
      <c r="E44329" s="2">
        <v>2.58063406178898E-5</v>
      </c>
      <c r="F44329" s="2">
        <v>7.4504721230964007E-5</v>
      </c>
    </row>
    <row r="44330" spans="1:6" x14ac:dyDescent="0.25">
      <c r="A44330" s="1" t="str">
        <f t="shared" si="1496"/>
        <v>99999</v>
      </c>
      <c r="B44330" s="1" t="str">
        <f>"68464"</f>
        <v>68464</v>
      </c>
      <c r="C44330" s="2">
        <v>3.0529571137473299E-5</v>
      </c>
      <c r="D44330" s="2">
        <v>3.01141779055288E-6</v>
      </c>
      <c r="E44330" s="2">
        <v>8.6021135392965999E-6</v>
      </c>
      <c r="F44330" s="2">
        <v>2.8222980492788999E-5</v>
      </c>
    </row>
    <row r="44331" spans="1:6" x14ac:dyDescent="0.25">
      <c r="A44331" s="1" t="str">
        <f t="shared" si="1496"/>
        <v>99999</v>
      </c>
      <c r="B44331" s="1" t="str">
        <f>"68436"</f>
        <v>68436</v>
      </c>
      <c r="C44331" s="2">
        <v>3.1287397371382199E-5</v>
      </c>
      <c r="D44331" s="2">
        <v>3.31255956960816E-5</v>
      </c>
      <c r="E44331" s="2">
        <v>1.29031703089449E-5</v>
      </c>
      <c r="F44331" s="2">
        <v>3.0986069492082998E-5</v>
      </c>
    </row>
    <row r="44332" spans="1:6" x14ac:dyDescent="0.25">
      <c r="A44332" s="1" t="str">
        <f t="shared" si="1496"/>
        <v>99999</v>
      </c>
      <c r="B44332" s="1" t="str">
        <f>"68377"</f>
        <v>68377</v>
      </c>
      <c r="C44332" s="2">
        <v>1.69969598176713E-5</v>
      </c>
      <c r="D44332" s="2">
        <v>6.0228355811057601E-6</v>
      </c>
      <c r="E44332" s="2">
        <v>8.6021135392965999E-6</v>
      </c>
      <c r="F44332" s="2">
        <v>1.60851252458902E-5</v>
      </c>
    </row>
    <row r="44333" spans="1:6" x14ac:dyDescent="0.25">
      <c r="A44333" s="1" t="str">
        <f t="shared" si="1496"/>
        <v>99999</v>
      </c>
      <c r="B44333" s="1" t="str">
        <f>"72064"</f>
        <v>72064</v>
      </c>
      <c r="C44333" s="2">
        <v>1.7170177242564801E-4</v>
      </c>
      <c r="D44333" s="2">
        <v>1.06905331564627E-4</v>
      </c>
      <c r="E44333" s="2">
        <v>5.5913738005427899E-5</v>
      </c>
      <c r="F44333" s="2">
        <v>1.6479852245789299E-4</v>
      </c>
    </row>
    <row r="44334" spans="1:6" x14ac:dyDescent="0.25">
      <c r="A44334" s="1" t="str">
        <f t="shared" si="1496"/>
        <v>99999</v>
      </c>
      <c r="B44334" s="1" t="str">
        <f>"72086"</f>
        <v>72086</v>
      </c>
      <c r="C44334" s="2">
        <v>2.8147831545188202E-6</v>
      </c>
      <c r="D44334" s="2">
        <v>0</v>
      </c>
      <c r="E44334" s="2">
        <v>0</v>
      </c>
      <c r="F44334" s="2">
        <v>2.5657254993444499E-6</v>
      </c>
    </row>
    <row r="44335" spans="1:6" x14ac:dyDescent="0.25">
      <c r="A44335" s="1" t="str">
        <f t="shared" si="1496"/>
        <v>99999</v>
      </c>
      <c r="B44335" s="1" t="str">
        <f>"72121"</f>
        <v>72121</v>
      </c>
      <c r="C44335" s="2">
        <v>3.75665290237704E-5</v>
      </c>
      <c r="D44335" s="2">
        <v>3.01141779055288E-6</v>
      </c>
      <c r="E44335" s="2">
        <v>0</v>
      </c>
      <c r="F44335" s="2">
        <v>3.4439930741200501E-5</v>
      </c>
    </row>
    <row r="44336" spans="1:6" x14ac:dyDescent="0.25">
      <c r="A44336" s="1" t="str">
        <f t="shared" si="1496"/>
        <v>99999</v>
      </c>
      <c r="B44336" s="1" t="str">
        <f>"72127"</f>
        <v>72127</v>
      </c>
      <c r="C44336" s="2">
        <v>1.12699587071311E-4</v>
      </c>
      <c r="D44336" s="2">
        <v>6.3239773601610501E-5</v>
      </c>
      <c r="E44336" s="2">
        <v>3.44084541571864E-5</v>
      </c>
      <c r="F44336" s="2">
        <v>1.07661789222492E-4</v>
      </c>
    </row>
    <row r="44337" spans="1:6" x14ac:dyDescent="0.25">
      <c r="A44337" s="1" t="str">
        <f t="shared" si="1496"/>
        <v>99999</v>
      </c>
      <c r="B44337" s="1" t="str">
        <f>"72153"</f>
        <v>72153</v>
      </c>
      <c r="C44337" s="2">
        <v>1.7722307784412701E-4</v>
      </c>
      <c r="D44337" s="2">
        <v>1.14433876041009E-4</v>
      </c>
      <c r="E44337" s="2">
        <v>1.72042270785932E-5</v>
      </c>
      <c r="F44337" s="2">
        <v>1.6943656470670801E-4</v>
      </c>
    </row>
    <row r="44338" spans="1:6" x14ac:dyDescent="0.25">
      <c r="A44338" s="1" t="str">
        <f t="shared" si="1496"/>
        <v>99999</v>
      </c>
      <c r="B44338" s="1" t="str">
        <f>"71851"</f>
        <v>71851</v>
      </c>
      <c r="C44338" s="2">
        <v>9.0289582725718999E-5</v>
      </c>
      <c r="D44338" s="2">
        <v>1.50570889527644E-5</v>
      </c>
      <c r="E44338" s="2">
        <v>8.6021135392965999E-6</v>
      </c>
      <c r="F44338" s="2">
        <v>8.3484760478669595E-5</v>
      </c>
    </row>
    <row r="44339" spans="1:6" x14ac:dyDescent="0.25">
      <c r="A44339" s="1" t="str">
        <f t="shared" si="1496"/>
        <v>99999</v>
      </c>
      <c r="B44339" s="1" t="str">
        <f>"71950"</f>
        <v>71950</v>
      </c>
      <c r="C44339" s="2">
        <v>4.6876965611794201E-5</v>
      </c>
      <c r="D44339" s="2">
        <v>2.4091342324423E-5</v>
      </c>
      <c r="E44339" s="2">
        <v>1.72042270785932E-5</v>
      </c>
      <c r="F44339" s="2">
        <v>4.4702832738578397E-5</v>
      </c>
    </row>
    <row r="44340" spans="1:6" x14ac:dyDescent="0.25">
      <c r="A44340" s="1" t="str">
        <f t="shared" si="1496"/>
        <v>99999</v>
      </c>
      <c r="B44340" s="1" t="str">
        <f>"71961"</f>
        <v>71961</v>
      </c>
      <c r="C44340" s="2">
        <v>4.8500878970170397E-5</v>
      </c>
      <c r="D44340" s="2">
        <v>4.5171266858293203E-6</v>
      </c>
      <c r="E44340" s="2">
        <v>4.3010567696482999E-6</v>
      </c>
      <c r="F44340" s="2">
        <v>4.46041509886036E-5</v>
      </c>
    </row>
    <row r="44341" spans="1:6" x14ac:dyDescent="0.25">
      <c r="A44341" s="1" t="str">
        <f t="shared" si="1496"/>
        <v>99999</v>
      </c>
      <c r="B44341" s="1" t="str">
        <f>"71971"</f>
        <v>71971</v>
      </c>
      <c r="C44341" s="2">
        <v>2.6632179077370302E-5</v>
      </c>
      <c r="D44341" s="2">
        <v>9.0342533716586405E-6</v>
      </c>
      <c r="E44341" s="2">
        <v>0</v>
      </c>
      <c r="F44341" s="2">
        <v>2.4867800993646201E-5</v>
      </c>
    </row>
    <row r="44342" spans="1:6" x14ac:dyDescent="0.25">
      <c r="A44342" s="1" t="str">
        <f t="shared" si="1496"/>
        <v>99999</v>
      </c>
      <c r="B44342" s="1" t="str">
        <f>"71826"</f>
        <v>71826</v>
      </c>
      <c r="C44342" s="2">
        <v>5.97600115882457E-5</v>
      </c>
      <c r="D44342" s="2">
        <v>3.4631304591358098E-5</v>
      </c>
      <c r="E44342" s="2">
        <v>2.58063406178898E-5</v>
      </c>
      <c r="F44342" s="2">
        <v>5.7334096735351097E-5</v>
      </c>
    </row>
    <row r="44343" spans="1:6" x14ac:dyDescent="0.25">
      <c r="A44343" s="1" t="str">
        <f t="shared" si="1496"/>
        <v>99999</v>
      </c>
      <c r="B44343" s="1" t="str">
        <f>"71957"</f>
        <v>71957</v>
      </c>
      <c r="C44343" s="2">
        <v>1.7657351250077599E-4</v>
      </c>
      <c r="D44343" s="2">
        <v>1.37019509470156E-4</v>
      </c>
      <c r="E44343" s="2">
        <v>4.7311624466131299E-5</v>
      </c>
      <c r="F44343" s="2">
        <v>1.7101547270630501E-4</v>
      </c>
    </row>
    <row r="44344" spans="1:6" x14ac:dyDescent="0.25">
      <c r="A44344" s="1" t="str">
        <f t="shared" si="1496"/>
        <v>99999</v>
      </c>
      <c r="B44344" s="1" t="str">
        <f>"71846"</f>
        <v>71846</v>
      </c>
      <c r="C44344" s="2">
        <v>1.4636872403497799E-4</v>
      </c>
      <c r="D44344" s="2">
        <v>4.3665557963016701E-5</v>
      </c>
      <c r="E44344" s="2">
        <v>2.58063406178898E-5</v>
      </c>
      <c r="F44344" s="2">
        <v>1.3687158721502899E-4</v>
      </c>
    </row>
    <row r="44345" spans="1:6" x14ac:dyDescent="0.25">
      <c r="A44345" s="1" t="str">
        <f t="shared" si="1496"/>
        <v>99999</v>
      </c>
      <c r="B44345" s="1" t="str">
        <f>"72020"</f>
        <v>72020</v>
      </c>
      <c r="C44345" s="2">
        <v>9.1805235193536893E-5</v>
      </c>
      <c r="D44345" s="2">
        <v>2.55970512196994E-5</v>
      </c>
      <c r="E44345" s="2">
        <v>0</v>
      </c>
      <c r="F44345" s="2">
        <v>8.5359713728190502E-5</v>
      </c>
    </row>
    <row r="44346" spans="1:6" x14ac:dyDescent="0.25">
      <c r="A44346" s="1" t="str">
        <f t="shared" si="1496"/>
        <v>99999</v>
      </c>
      <c r="B44346" s="1" t="str">
        <f>"71940"</f>
        <v>71940</v>
      </c>
      <c r="C44346" s="2">
        <v>9.9166975751509206E-5</v>
      </c>
      <c r="D44346" s="2">
        <v>3.9148431277187403E-5</v>
      </c>
      <c r="E44346" s="2">
        <v>1.72042270785932E-5</v>
      </c>
      <c r="F44346" s="2">
        <v>9.3352935476148297E-5</v>
      </c>
    </row>
    <row r="44347" spans="1:6" x14ac:dyDescent="0.25">
      <c r="A44347" s="1" t="str">
        <f t="shared" si="1496"/>
        <v>99999</v>
      </c>
      <c r="B44347" s="1" t="str">
        <f>"71969"</f>
        <v>71969</v>
      </c>
      <c r="C44347" s="2">
        <v>1.8296090504372299E-5</v>
      </c>
      <c r="D44347" s="2">
        <v>0</v>
      </c>
      <c r="E44347" s="2">
        <v>4.3010567696482999E-6</v>
      </c>
      <c r="F44347" s="2">
        <v>1.6775897495713701E-5</v>
      </c>
    </row>
    <row r="44348" spans="1:6" x14ac:dyDescent="0.25">
      <c r="A44348" s="1" t="str">
        <f t="shared" si="1496"/>
        <v>99999</v>
      </c>
      <c r="B44348" s="1" t="str">
        <f>"72926"</f>
        <v>72926</v>
      </c>
      <c r="C44348" s="2">
        <v>5.6620445762051603E-5</v>
      </c>
      <c r="D44348" s="2">
        <v>1.35513800574879E-5</v>
      </c>
      <c r="E44348" s="2">
        <v>8.6021135392965999E-6</v>
      </c>
      <c r="F44348" s="2">
        <v>5.2696054486536097E-5</v>
      </c>
    </row>
    <row r="44349" spans="1:6" x14ac:dyDescent="0.25">
      <c r="A44349" s="1" t="str">
        <f t="shared" si="1496"/>
        <v>99999</v>
      </c>
      <c r="B44349" s="1" t="str">
        <f>"73029"</f>
        <v>73029</v>
      </c>
      <c r="C44349" s="2">
        <v>4.91504443135209E-5</v>
      </c>
      <c r="D44349" s="2">
        <v>1.65627978480408E-5</v>
      </c>
      <c r="E44349" s="2">
        <v>1.29031703089449E-5</v>
      </c>
      <c r="F44349" s="2">
        <v>4.6183058988200197E-5</v>
      </c>
    </row>
    <row r="44350" spans="1:6" x14ac:dyDescent="0.25">
      <c r="A44350" s="1" t="str">
        <f t="shared" si="1496"/>
        <v>99999</v>
      </c>
      <c r="B44350" s="1" t="str">
        <f>"73009"</f>
        <v>73009</v>
      </c>
      <c r="C44350" s="2">
        <v>4.3520878004483202E-5</v>
      </c>
      <c r="D44350" s="2">
        <v>2.1079924533870101E-5</v>
      </c>
      <c r="E44350" s="2">
        <v>4.3010567696482999E-6</v>
      </c>
      <c r="F44350" s="2">
        <v>4.1150289739486097E-5</v>
      </c>
    </row>
    <row r="44351" spans="1:6" x14ac:dyDescent="0.25">
      <c r="A44351" s="1" t="str">
        <f t="shared" si="1496"/>
        <v>99999</v>
      </c>
      <c r="B44351" s="1" t="str">
        <f>"72950"</f>
        <v>72950</v>
      </c>
      <c r="C44351" s="2">
        <v>4.0164790397172297E-5</v>
      </c>
      <c r="D44351" s="2">
        <v>0</v>
      </c>
      <c r="E44351" s="2">
        <v>4.3010567696482999E-6</v>
      </c>
      <c r="F44351" s="2">
        <v>3.6709610990620603E-5</v>
      </c>
    </row>
    <row r="44352" spans="1:6" x14ac:dyDescent="0.25">
      <c r="A44352" s="1" t="str">
        <f t="shared" si="1496"/>
        <v>99999</v>
      </c>
      <c r="B44352" s="1" t="str">
        <f>"72611"</f>
        <v>72611</v>
      </c>
      <c r="C44352" s="2">
        <v>5.2506531920831798E-5</v>
      </c>
      <c r="D44352" s="2">
        <v>1.20456711622115E-5</v>
      </c>
      <c r="E44352" s="2">
        <v>8.6451241069930801E-4</v>
      </c>
      <c r="F44352" s="2">
        <v>6.8485134482502004E-5</v>
      </c>
    </row>
    <row r="44353" spans="1:6" x14ac:dyDescent="0.25">
      <c r="A44353" s="1" t="str">
        <f t="shared" si="1496"/>
        <v>99999</v>
      </c>
      <c r="B44353" s="1" t="str">
        <f>"72632"</f>
        <v>72632</v>
      </c>
      <c r="C44353" s="2">
        <v>3.59426156653941E-4</v>
      </c>
      <c r="D44353" s="2">
        <v>1.14584446930537E-3</v>
      </c>
      <c r="E44353" s="2">
        <v>2.8386974679678702E-4</v>
      </c>
      <c r="F44353" s="2">
        <v>4.0923321714543998E-4</v>
      </c>
    </row>
    <row r="44354" spans="1:6" x14ac:dyDescent="0.25">
      <c r="A44354" s="1" t="str">
        <f t="shared" si="1496"/>
        <v>99999</v>
      </c>
      <c r="B44354" s="1" t="str">
        <f>"72512"</f>
        <v>72512</v>
      </c>
      <c r="C44354" s="2">
        <v>1.5990133535478E-4</v>
      </c>
      <c r="D44354" s="2">
        <v>1.18951002726838E-4</v>
      </c>
      <c r="E44354" s="2">
        <v>4.7311624466131299E-5</v>
      </c>
      <c r="F44354" s="2">
        <v>1.5463430221048999E-4</v>
      </c>
    </row>
    <row r="44355" spans="1:6" x14ac:dyDescent="0.25">
      <c r="A44355" s="1" t="str">
        <f t="shared" si="1496"/>
        <v>99999</v>
      </c>
      <c r="B44355" s="1" t="str">
        <f>"72576"</f>
        <v>72576</v>
      </c>
      <c r="C44355" s="2">
        <v>1.91838298069513E-4</v>
      </c>
      <c r="D44355" s="2">
        <v>1.14433876041009E-4</v>
      </c>
      <c r="E44355" s="2">
        <v>5.1612681235779599E-5</v>
      </c>
      <c r="F44355" s="2">
        <v>1.8354805495310301E-4</v>
      </c>
    </row>
    <row r="44356" spans="1:6" x14ac:dyDescent="0.25">
      <c r="A44356" s="1" t="str">
        <f t="shared" si="1496"/>
        <v>99999</v>
      </c>
      <c r="B44356" s="1" t="str">
        <f>"72619"</f>
        <v>72619</v>
      </c>
      <c r="C44356" s="2">
        <v>1.21901762768776E-4</v>
      </c>
      <c r="D44356" s="2">
        <v>8.5825407030757094E-5</v>
      </c>
      <c r="E44356" s="2">
        <v>8.1720078623317706E-5</v>
      </c>
      <c r="F44356" s="2">
        <v>1.1861546346969301E-4</v>
      </c>
    </row>
    <row r="44357" spans="1:6" x14ac:dyDescent="0.25">
      <c r="A44357" s="1" t="str">
        <f t="shared" si="1496"/>
        <v>99999</v>
      </c>
      <c r="B44357" s="1" t="str">
        <f>"72461"</f>
        <v>72461</v>
      </c>
      <c r="C44357" s="2">
        <v>1.9844221239357599E-4</v>
      </c>
      <c r="D44357" s="2">
        <v>2.9210752568362901E-4</v>
      </c>
      <c r="E44357" s="2">
        <v>4.3010567696482999E-5</v>
      </c>
      <c r="F44357" s="2">
        <v>2.0101472469864E-4</v>
      </c>
    </row>
    <row r="44358" spans="1:6" x14ac:dyDescent="0.25">
      <c r="A44358" s="1" t="str">
        <f t="shared" ref="A44358:A44421" si="1497">"99999"</f>
        <v>99999</v>
      </c>
      <c r="B44358" s="1" t="str">
        <f>"72661"</f>
        <v>72661</v>
      </c>
      <c r="C44358" s="2">
        <v>4.53613131439763E-5</v>
      </c>
      <c r="D44358" s="2">
        <v>9.0342533716586405E-6</v>
      </c>
      <c r="E44358" s="2">
        <v>1.29031703089449E-5</v>
      </c>
      <c r="F44358" s="2">
        <v>4.2235788989208702E-5</v>
      </c>
    </row>
    <row r="44359" spans="1:6" x14ac:dyDescent="0.25">
      <c r="A44359" s="1" t="str">
        <f t="shared" si="1497"/>
        <v>99999</v>
      </c>
      <c r="B44359" s="1" t="str">
        <f>"72520"</f>
        <v>72520</v>
      </c>
      <c r="C44359" s="2">
        <v>1.78630469421386E-5</v>
      </c>
      <c r="D44359" s="2">
        <v>7.5285444763821999E-6</v>
      </c>
      <c r="E44359" s="2">
        <v>4.3010567696482999E-6</v>
      </c>
      <c r="F44359" s="2">
        <v>1.6874579245688502E-5</v>
      </c>
    </row>
    <row r="44360" spans="1:6" x14ac:dyDescent="0.25">
      <c r="A44360" s="1" t="str">
        <f t="shared" si="1497"/>
        <v>99999</v>
      </c>
      <c r="B44360" s="1" t="str">
        <f>"72668"</f>
        <v>72668</v>
      </c>
      <c r="C44360" s="2">
        <v>3.1503919152499101E-5</v>
      </c>
      <c r="D44360" s="2">
        <v>6.0228355811057601E-6</v>
      </c>
      <c r="E44360" s="2">
        <v>4.3010567696482999E-6</v>
      </c>
      <c r="F44360" s="2">
        <v>2.92097979925368E-5</v>
      </c>
    </row>
    <row r="44361" spans="1:6" x14ac:dyDescent="0.25">
      <c r="A44361" s="1" t="str">
        <f t="shared" si="1497"/>
        <v>99999</v>
      </c>
      <c r="B44361" s="1" t="str">
        <f>"72536"</f>
        <v>72536</v>
      </c>
      <c r="C44361" s="2">
        <v>4.3087834442249601E-5</v>
      </c>
      <c r="D44361" s="2">
        <v>1.9574215638593701E-5</v>
      </c>
      <c r="E44361" s="2">
        <v>4.3010567696482999E-6</v>
      </c>
      <c r="F44361" s="2">
        <v>4.0656880989612098E-5</v>
      </c>
    </row>
    <row r="44362" spans="1:6" x14ac:dyDescent="0.25">
      <c r="A44362" s="1" t="str">
        <f t="shared" si="1497"/>
        <v>99999</v>
      </c>
      <c r="B44362" s="1" t="str">
        <f>"72740"</f>
        <v>72740</v>
      </c>
      <c r="C44362" s="2">
        <v>1.6130872693204E-5</v>
      </c>
      <c r="D44362" s="2">
        <v>1.50570889527644E-6</v>
      </c>
      <c r="E44362" s="2">
        <v>0</v>
      </c>
      <c r="F44362" s="2">
        <v>1.4802262496217999E-5</v>
      </c>
    </row>
    <row r="44363" spans="1:6" x14ac:dyDescent="0.25">
      <c r="A44363" s="1" t="str">
        <f t="shared" si="1497"/>
        <v>99999</v>
      </c>
      <c r="B44363" s="1" t="str">
        <f>"72855"</f>
        <v>72855</v>
      </c>
      <c r="C44363" s="2">
        <v>3.5412137301657899E-4</v>
      </c>
      <c r="D44363" s="2">
        <v>5.1344673328926598E-4</v>
      </c>
      <c r="E44363" s="2">
        <v>1.07526419241207E-4</v>
      </c>
      <c r="F44363" s="2">
        <v>3.5890552465829898E-4</v>
      </c>
    </row>
    <row r="44364" spans="1:6" x14ac:dyDescent="0.25">
      <c r="A44364" s="1" t="str">
        <f t="shared" si="1497"/>
        <v>99999</v>
      </c>
      <c r="B44364" s="1" t="str">
        <f>"72360"</f>
        <v>72360</v>
      </c>
      <c r="C44364" s="2">
        <v>3.72200941739834E-4</v>
      </c>
      <c r="D44364" s="2">
        <v>5.9174359584364096E-4</v>
      </c>
      <c r="E44364" s="2">
        <v>1.8494544109487701E-4</v>
      </c>
      <c r="F44364" s="2">
        <v>3.8229309940232401E-4</v>
      </c>
    </row>
    <row r="44365" spans="1:6" x14ac:dyDescent="0.25">
      <c r="A44365" s="1" t="str">
        <f t="shared" si="1497"/>
        <v>99999</v>
      </c>
      <c r="B44365" s="1" t="str">
        <f>"72449"</f>
        <v>72449</v>
      </c>
      <c r="C44365" s="2">
        <v>0</v>
      </c>
      <c r="D44365" s="2">
        <v>0</v>
      </c>
      <c r="E44365" s="2">
        <v>4.3010567696482999E-6</v>
      </c>
      <c r="F44365" s="2">
        <v>9.8681749974786797E-8</v>
      </c>
    </row>
    <row r="44366" spans="1:6" x14ac:dyDescent="0.25">
      <c r="A44366" s="1" t="str">
        <f t="shared" si="1497"/>
        <v>99999</v>
      </c>
      <c r="B44366" s="1" t="str">
        <f>"72324"</f>
        <v>72324</v>
      </c>
      <c r="C44366" s="2">
        <v>1.1713828358420601E-4</v>
      </c>
      <c r="D44366" s="2">
        <v>7.82968625543749E-5</v>
      </c>
      <c r="E44366" s="2">
        <v>1.72042270785932E-5</v>
      </c>
      <c r="F44366" s="2">
        <v>1.12299831471307E-4</v>
      </c>
    </row>
    <row r="44367" spans="1:6" x14ac:dyDescent="0.25">
      <c r="A44367" s="1" t="str">
        <f t="shared" si="1497"/>
        <v>99999</v>
      </c>
      <c r="B44367" s="1" t="str">
        <f>"72453"</f>
        <v>72453</v>
      </c>
      <c r="C44367" s="2">
        <v>7.6865232296475401E-6</v>
      </c>
      <c r="D44367" s="2">
        <v>7.5285444763821999E-6</v>
      </c>
      <c r="E44367" s="2">
        <v>8.6021135392965999E-6</v>
      </c>
      <c r="F44367" s="2">
        <v>7.6971764980333696E-6</v>
      </c>
    </row>
    <row r="44368" spans="1:6" x14ac:dyDescent="0.25">
      <c r="A44368" s="1" t="str">
        <f t="shared" si="1497"/>
        <v>99999</v>
      </c>
      <c r="B44368" s="1" t="str">
        <f>"71429"</f>
        <v>71429</v>
      </c>
      <c r="C44368" s="2">
        <v>1.97792647050226E-4</v>
      </c>
      <c r="D44368" s="2">
        <v>7.0768318077992694E-5</v>
      </c>
      <c r="E44368" s="2">
        <v>1.11827476010855E-4</v>
      </c>
      <c r="F44368" s="2">
        <v>1.8749532495209399E-4</v>
      </c>
    </row>
    <row r="44369" spans="1:6" x14ac:dyDescent="0.25">
      <c r="A44369" s="1" t="str">
        <f t="shared" si="1497"/>
        <v>99999</v>
      </c>
      <c r="B44369" s="1" t="str">
        <f>"71640"</f>
        <v>71640</v>
      </c>
      <c r="C44369" s="2">
        <v>1.92596124303422E-4</v>
      </c>
      <c r="D44369" s="2">
        <v>3.5384159038996302E-4</v>
      </c>
      <c r="E44369" s="2">
        <v>9.0322192162614306E-5</v>
      </c>
      <c r="F44369" s="2">
        <v>2.0081736119869099E-4</v>
      </c>
    </row>
    <row r="44370" spans="1:6" x14ac:dyDescent="0.25">
      <c r="A44370" s="1" t="str">
        <f t="shared" si="1497"/>
        <v>99999</v>
      </c>
      <c r="B44370" s="1" t="str">
        <f>"71646"</f>
        <v>71646</v>
      </c>
      <c r="C44370" s="2">
        <v>3.7642311647161298E-4</v>
      </c>
      <c r="D44370" s="2">
        <v>4.6074692195458998E-4</v>
      </c>
      <c r="E44370" s="2">
        <v>1.2473064631979999E-4</v>
      </c>
      <c r="F44370" s="2">
        <v>3.7617483090388699E-4</v>
      </c>
    </row>
    <row r="44371" spans="1:6" x14ac:dyDescent="0.25">
      <c r="A44371" s="1" t="str">
        <f t="shared" si="1497"/>
        <v>99999</v>
      </c>
      <c r="B44371" s="1" t="str">
        <f>"71419"</f>
        <v>71419</v>
      </c>
      <c r="C44371" s="2">
        <v>1.09776543026233E-4</v>
      </c>
      <c r="D44371" s="2">
        <v>2.7102760114975901E-5</v>
      </c>
      <c r="E44371" s="2">
        <v>2.15052838482415E-5</v>
      </c>
      <c r="F44371" s="2">
        <v>1.02332974723853E-4</v>
      </c>
    </row>
    <row r="44372" spans="1:6" x14ac:dyDescent="0.25">
      <c r="A44372" s="1" t="str">
        <f t="shared" si="1497"/>
        <v>99999</v>
      </c>
      <c r="B44372" s="1" t="str">
        <f>"71483"</f>
        <v>71483</v>
      </c>
      <c r="C44372" s="2">
        <v>5.1802836132202104E-4</v>
      </c>
      <c r="D44372" s="2">
        <v>6.6853474950273899E-4</v>
      </c>
      <c r="E44372" s="2">
        <v>3.6558982542010497E-4</v>
      </c>
      <c r="F44372" s="2">
        <v>5.2439481936601695E-4</v>
      </c>
    </row>
    <row r="44373" spans="1:6" x14ac:dyDescent="0.25">
      <c r="A44373" s="1" t="str">
        <f t="shared" si="1497"/>
        <v>99999</v>
      </c>
      <c r="B44373" s="1" t="str">
        <f>"71404"</f>
        <v>71404</v>
      </c>
      <c r="C44373" s="2">
        <v>3.0313049356356498E-5</v>
      </c>
      <c r="D44373" s="2">
        <v>6.0228355811057601E-6</v>
      </c>
      <c r="E44373" s="2">
        <v>1.29031703089449E-5</v>
      </c>
      <c r="F44373" s="2">
        <v>2.83216622427638E-5</v>
      </c>
    </row>
    <row r="44374" spans="1:6" x14ac:dyDescent="0.25">
      <c r="A44374" s="1" t="str">
        <f t="shared" si="1497"/>
        <v>99999</v>
      </c>
      <c r="B44374" s="1" t="str">
        <f>"71469"</f>
        <v>71469</v>
      </c>
      <c r="C44374" s="2">
        <v>3.0204788465798102E-5</v>
      </c>
      <c r="D44374" s="2">
        <v>7.5285444763821999E-6</v>
      </c>
      <c r="E44374" s="2">
        <v>8.6021135392965999E-6</v>
      </c>
      <c r="F44374" s="2">
        <v>2.8222980492788999E-5</v>
      </c>
    </row>
    <row r="44375" spans="1:6" x14ac:dyDescent="0.25">
      <c r="A44375" s="1" t="str">
        <f t="shared" si="1497"/>
        <v>99999</v>
      </c>
      <c r="B44375" s="1" t="str">
        <f>"71269"</f>
        <v>71269</v>
      </c>
      <c r="C44375" s="2">
        <v>6.0799316137606499E-4</v>
      </c>
      <c r="D44375" s="2">
        <v>8.10071385658725E-4</v>
      </c>
      <c r="E44375" s="2">
        <v>4.81718358200609E-4</v>
      </c>
      <c r="F44375" s="2">
        <v>6.1833984534201403E-4</v>
      </c>
    </row>
    <row r="44376" spans="1:6" x14ac:dyDescent="0.25">
      <c r="A44376" s="1" t="str">
        <f t="shared" si="1497"/>
        <v>99999</v>
      </c>
      <c r="B44376" s="1" t="str">
        <f>"71268"</f>
        <v>71268</v>
      </c>
      <c r="C44376" s="2">
        <v>1.2763958996837201E-4</v>
      </c>
      <c r="D44376" s="2">
        <v>4.2159849067740298E-5</v>
      </c>
      <c r="E44376" s="2">
        <v>2.15052838482415E-5</v>
      </c>
      <c r="F44376" s="2">
        <v>1.19602280969441E-4</v>
      </c>
    </row>
    <row r="44377" spans="1:6" x14ac:dyDescent="0.25">
      <c r="A44377" s="1" t="str">
        <f t="shared" si="1497"/>
        <v>99999</v>
      </c>
      <c r="B44377" s="1" t="str">
        <f>"63382"</f>
        <v>63382</v>
      </c>
      <c r="C44377" s="2">
        <v>5.3047836373623898E-6</v>
      </c>
      <c r="D44377" s="2">
        <v>0</v>
      </c>
      <c r="E44377" s="2">
        <v>0</v>
      </c>
      <c r="F44377" s="2">
        <v>4.8354057487645501E-6</v>
      </c>
    </row>
    <row r="44378" spans="1:6" x14ac:dyDescent="0.25">
      <c r="A44378" s="1" t="str">
        <f t="shared" si="1497"/>
        <v>99999</v>
      </c>
      <c r="B44378" s="1" t="str">
        <f>"63359"</f>
        <v>63359</v>
      </c>
      <c r="C44378" s="2">
        <v>7.5457840719215998E-5</v>
      </c>
      <c r="D44378" s="2">
        <v>3.9148431277187403E-5</v>
      </c>
      <c r="E44378" s="2">
        <v>8.6021135392965999E-6</v>
      </c>
      <c r="F44378" s="2">
        <v>7.1544268731720394E-5</v>
      </c>
    </row>
    <row r="44379" spans="1:6" x14ac:dyDescent="0.25">
      <c r="A44379" s="1" t="str">
        <f t="shared" si="1497"/>
        <v>99999</v>
      </c>
      <c r="B44379" s="1" t="str">
        <f>"63363"</f>
        <v>63363</v>
      </c>
      <c r="C44379" s="2">
        <v>8.2603059496071503E-5</v>
      </c>
      <c r="D44379" s="2">
        <v>6.4745482496886904E-5</v>
      </c>
      <c r="E44379" s="2">
        <v>3.8709510926834699E-5</v>
      </c>
      <c r="F44379" s="2">
        <v>8.0425626229451206E-5</v>
      </c>
    </row>
    <row r="44380" spans="1:6" x14ac:dyDescent="0.25">
      <c r="A44380" s="1" t="str">
        <f t="shared" si="1497"/>
        <v>99999</v>
      </c>
      <c r="B44380" s="1" t="str">
        <f>"66749"</f>
        <v>66749</v>
      </c>
      <c r="C44380" s="2">
        <v>3.9699268567771202E-4</v>
      </c>
      <c r="D44380" s="2">
        <v>6.9864892740826798E-4</v>
      </c>
      <c r="E44380" s="2">
        <v>2.23654952021711E-4</v>
      </c>
      <c r="F44380" s="2">
        <v>4.1278576014453302E-4</v>
      </c>
    </row>
    <row r="44381" spans="1:6" x14ac:dyDescent="0.25">
      <c r="A44381" s="1" t="str">
        <f t="shared" si="1497"/>
        <v>99999</v>
      </c>
      <c r="B44381" s="1" t="str">
        <f>"51532"</f>
        <v>51532</v>
      </c>
      <c r="C44381" s="2">
        <v>3.1936962714732702E-5</v>
      </c>
      <c r="D44381" s="2">
        <v>3.01141779055288E-6</v>
      </c>
      <c r="E44381" s="2">
        <v>1.29031703089449E-5</v>
      </c>
      <c r="F44381" s="2">
        <v>2.9604524992435998E-5</v>
      </c>
    </row>
    <row r="44382" spans="1:6" x14ac:dyDescent="0.25">
      <c r="A44382" s="1" t="str">
        <f t="shared" si="1497"/>
        <v>99999</v>
      </c>
      <c r="B44382" s="1" t="str">
        <f>"66751"</f>
        <v>66751</v>
      </c>
      <c r="C44382" s="2">
        <v>4.5686095815651599E-5</v>
      </c>
      <c r="D44382" s="2">
        <v>2.25856334291466E-5</v>
      </c>
      <c r="E44382" s="2">
        <v>8.6021135392965999E-6</v>
      </c>
      <c r="F44382" s="2">
        <v>4.3321288238931401E-5</v>
      </c>
    </row>
    <row r="44383" spans="1:6" x14ac:dyDescent="0.25">
      <c r="A44383" s="1" t="str">
        <f t="shared" si="1497"/>
        <v>99999</v>
      </c>
      <c r="B44383" s="1" t="str">
        <f>"66736"</f>
        <v>66736</v>
      </c>
      <c r="C44383" s="2">
        <v>3.1168310391768001E-4</v>
      </c>
      <c r="D44383" s="2">
        <v>4.6827546643097299E-4</v>
      </c>
      <c r="E44383" s="2">
        <v>1.63440157246635E-4</v>
      </c>
      <c r="F44383" s="2">
        <v>3.1854468891861099E-4</v>
      </c>
    </row>
    <row r="44384" spans="1:6" x14ac:dyDescent="0.25">
      <c r="A44384" s="1" t="str">
        <f t="shared" si="1497"/>
        <v>99999</v>
      </c>
      <c r="B44384" s="1" t="str">
        <f>"51543"</f>
        <v>51543</v>
      </c>
      <c r="C44384" s="2">
        <v>2.7281744420720801E-5</v>
      </c>
      <c r="D44384" s="2">
        <v>1.80685067433172E-5</v>
      </c>
      <c r="E44384" s="2">
        <v>4.3010567696482999E-5</v>
      </c>
      <c r="F44384" s="2">
        <v>2.7038799493091499E-5</v>
      </c>
    </row>
    <row r="44385" spans="1:6" x14ac:dyDescent="0.25">
      <c r="A44385" s="1" t="str">
        <f t="shared" si="1497"/>
        <v>99999</v>
      </c>
      <c r="B44385" s="1" t="str">
        <f>"66427"</f>
        <v>66427</v>
      </c>
      <c r="C44385" s="2">
        <v>7.0477839753528904E-5</v>
      </c>
      <c r="D44385" s="2">
        <v>1.6713368737568399E-4</v>
      </c>
      <c r="E44385" s="2">
        <v>7.3117965084021106E-5</v>
      </c>
      <c r="F44385" s="2">
        <v>7.6873083230358905E-5</v>
      </c>
    </row>
    <row r="44386" spans="1:6" x14ac:dyDescent="0.25">
      <c r="A44386" s="1" t="str">
        <f t="shared" si="1497"/>
        <v>99999</v>
      </c>
      <c r="B44386" s="1" t="str">
        <f>"51552"</f>
        <v>51552</v>
      </c>
      <c r="C44386" s="2">
        <v>1.42904375537109E-5</v>
      </c>
      <c r="D44386" s="2">
        <v>1.50570889527644E-5</v>
      </c>
      <c r="E44386" s="2">
        <v>2.58063406178898E-5</v>
      </c>
      <c r="F44386" s="2">
        <v>1.46048989962684E-5</v>
      </c>
    </row>
    <row r="44387" spans="1:6" x14ac:dyDescent="0.25">
      <c r="A44387" s="1" t="str">
        <f t="shared" si="1497"/>
        <v>99999</v>
      </c>
      <c r="B44387" s="1" t="str">
        <f>"51527"</f>
        <v>51527</v>
      </c>
      <c r="C44387" s="2">
        <v>2.7065222639604001E-5</v>
      </c>
      <c r="D44387" s="2">
        <v>3.7642722381910999E-5</v>
      </c>
      <c r="E44387" s="2">
        <v>1.29031703089449E-5</v>
      </c>
      <c r="F44387" s="2">
        <v>2.7433526492990701E-5</v>
      </c>
    </row>
    <row r="44388" spans="1:6" x14ac:dyDescent="0.25">
      <c r="A44388" s="1" t="str">
        <f t="shared" si="1497"/>
        <v>99999</v>
      </c>
      <c r="B44388" s="1" t="str">
        <f>"51573"</f>
        <v>51573</v>
      </c>
      <c r="C44388" s="2">
        <v>5.8027837339310999E-5</v>
      </c>
      <c r="D44388" s="2">
        <v>1.35513800574879E-5</v>
      </c>
      <c r="E44388" s="2">
        <v>3.44084541571864E-5</v>
      </c>
      <c r="F44388" s="2">
        <v>5.4571007736057098E-5</v>
      </c>
    </row>
    <row r="44389" spans="1:6" x14ac:dyDescent="0.25">
      <c r="A44389" s="1" t="str">
        <f t="shared" si="1497"/>
        <v>99999</v>
      </c>
      <c r="B44389" s="1" t="str">
        <f>"66408"</f>
        <v>66408</v>
      </c>
      <c r="C44389" s="2">
        <v>2.4466961266201999E-5</v>
      </c>
      <c r="D44389" s="2">
        <v>1.0539962266935E-5</v>
      </c>
      <c r="E44389" s="2">
        <v>1.29031703089449E-5</v>
      </c>
      <c r="F44389" s="2">
        <v>2.3288892994049601E-5</v>
      </c>
    </row>
    <row r="44390" spans="1:6" x14ac:dyDescent="0.25">
      <c r="A44390" s="1" t="str">
        <f t="shared" si="1497"/>
        <v>99999</v>
      </c>
      <c r="B44390" s="1" t="str">
        <f>"66093"</f>
        <v>66093</v>
      </c>
      <c r="C44390" s="2">
        <v>3.2045223605291098E-5</v>
      </c>
      <c r="D44390" s="2">
        <v>1.35513800574879E-5</v>
      </c>
      <c r="E44390" s="2">
        <v>4.3010567696482999E-6</v>
      </c>
      <c r="F44390" s="2">
        <v>3.0196615492284699E-5</v>
      </c>
    </row>
    <row r="44391" spans="1:6" x14ac:dyDescent="0.25">
      <c r="A44391" s="1" t="str">
        <f t="shared" si="1497"/>
        <v>99999</v>
      </c>
      <c r="B44391" s="1" t="str">
        <f>"67879"</f>
        <v>67879</v>
      </c>
      <c r="C44391" s="2">
        <v>7.1019144206321003E-5</v>
      </c>
      <c r="D44391" s="2">
        <v>1.37019509470156E-4</v>
      </c>
      <c r="E44391" s="2">
        <v>1.72042270785932E-5</v>
      </c>
      <c r="F44391" s="2">
        <v>7.4109994231064805E-5</v>
      </c>
    </row>
    <row r="44392" spans="1:6" x14ac:dyDescent="0.25">
      <c r="A44392" s="1" t="str">
        <f t="shared" si="1497"/>
        <v>99999</v>
      </c>
      <c r="B44392" s="1" t="str">
        <f>"67880"</f>
        <v>67880</v>
      </c>
      <c r="C44392" s="2">
        <v>3.4935789383200798E-4</v>
      </c>
      <c r="D44392" s="2">
        <v>4.9989535323177801E-4</v>
      </c>
      <c r="E44392" s="2">
        <v>1.97848611403821E-4</v>
      </c>
      <c r="F44392" s="2">
        <v>3.5574770865910601E-4</v>
      </c>
    </row>
    <row r="44393" spans="1:6" x14ac:dyDescent="0.25">
      <c r="A44393" s="1" t="str">
        <f t="shared" si="1497"/>
        <v>99999</v>
      </c>
      <c r="B44393" s="1" t="str">
        <f>"68019"</f>
        <v>68019</v>
      </c>
      <c r="C44393" s="2">
        <v>2.91221795602139E-5</v>
      </c>
      <c r="D44393" s="2">
        <v>9.0342533716586405E-6</v>
      </c>
      <c r="E44393" s="2">
        <v>0</v>
      </c>
      <c r="F44393" s="2">
        <v>2.7137481243066299E-5</v>
      </c>
    </row>
    <row r="44394" spans="1:6" x14ac:dyDescent="0.25">
      <c r="A44394" s="1" t="str">
        <f t="shared" si="1497"/>
        <v>99999</v>
      </c>
      <c r="B44394" s="1" t="str">
        <f>"67049"</f>
        <v>67049</v>
      </c>
      <c r="C44394" s="2">
        <v>3.7891311695445602E-6</v>
      </c>
      <c r="D44394" s="2">
        <v>0</v>
      </c>
      <c r="E44394" s="2">
        <v>4.3010567696482999E-6</v>
      </c>
      <c r="F44394" s="2">
        <v>3.5525429990923199E-6</v>
      </c>
    </row>
    <row r="44395" spans="1:6" x14ac:dyDescent="0.25">
      <c r="A44395" s="1" t="str">
        <f t="shared" si="1497"/>
        <v>99999</v>
      </c>
      <c r="B44395" s="1" t="str">
        <f>"67425"</f>
        <v>67425</v>
      </c>
      <c r="C44395" s="2">
        <v>9.7434801502574508E-6</v>
      </c>
      <c r="D44395" s="2">
        <v>1.50570889527644E-6</v>
      </c>
      <c r="E44395" s="2">
        <v>0</v>
      </c>
      <c r="F44395" s="2">
        <v>8.9800392477055905E-6</v>
      </c>
    </row>
    <row r="44396" spans="1:6" x14ac:dyDescent="0.25">
      <c r="A44396" s="1" t="str">
        <f t="shared" si="1497"/>
        <v>99999</v>
      </c>
      <c r="B44396" s="1" t="str">
        <f>"67437"</f>
        <v>67437</v>
      </c>
      <c r="C44396" s="2">
        <v>7.0586100644087294E-5</v>
      </c>
      <c r="D44396" s="2">
        <v>1.14433876041009E-4</v>
      </c>
      <c r="E44396" s="2">
        <v>3.8709510926834699E-5</v>
      </c>
      <c r="F44396" s="2">
        <v>7.2728449731417795E-5</v>
      </c>
    </row>
    <row r="44397" spans="1:6" x14ac:dyDescent="0.25">
      <c r="A44397" s="1" t="str">
        <f t="shared" si="1497"/>
        <v>99999</v>
      </c>
      <c r="B44397" s="1" t="str">
        <f>"67455"</f>
        <v>67455</v>
      </c>
      <c r="C44397" s="2">
        <v>1.1443176132024499E-4</v>
      </c>
      <c r="D44397" s="2">
        <v>2.34890587663124E-4</v>
      </c>
      <c r="E44397" s="2">
        <v>5.5913738005427899E-5</v>
      </c>
      <c r="F44397" s="2">
        <v>1.20983825469088E-4</v>
      </c>
    </row>
    <row r="44398" spans="1:6" x14ac:dyDescent="0.25">
      <c r="A44398" s="1" t="str">
        <f t="shared" si="1497"/>
        <v>99999</v>
      </c>
      <c r="B44398" s="1" t="str">
        <f>"67565"</f>
        <v>67565</v>
      </c>
      <c r="C44398" s="2">
        <v>1.6130872693204E-5</v>
      </c>
      <c r="D44398" s="2">
        <v>1.65627978480408E-5</v>
      </c>
      <c r="E44398" s="2">
        <v>4.3010567696482999E-6</v>
      </c>
      <c r="F44398" s="2">
        <v>1.5887761745940599E-5</v>
      </c>
    </row>
    <row r="44399" spans="1:6" x14ac:dyDescent="0.25">
      <c r="A44399" s="1" t="str">
        <f t="shared" si="1497"/>
        <v>99999</v>
      </c>
      <c r="B44399" s="1" t="str">
        <f>"67345"</f>
        <v>67345</v>
      </c>
      <c r="C44399" s="2">
        <v>1.06095672747247E-5</v>
      </c>
      <c r="D44399" s="2">
        <v>0</v>
      </c>
      <c r="E44399" s="2">
        <v>4.3010567696482999E-6</v>
      </c>
      <c r="F44399" s="2">
        <v>9.7694932475038906E-6</v>
      </c>
    </row>
    <row r="44400" spans="1:6" x14ac:dyDescent="0.25">
      <c r="A44400" s="1" t="str">
        <f t="shared" si="1497"/>
        <v>99999</v>
      </c>
      <c r="B44400" s="1" t="str">
        <f>"67512"</f>
        <v>67512</v>
      </c>
      <c r="C44400" s="2">
        <v>1.0393045493607899E-5</v>
      </c>
      <c r="D44400" s="2">
        <v>3.01141779055288E-6</v>
      </c>
      <c r="E44400" s="2">
        <v>4.3010567696482999E-6</v>
      </c>
      <c r="F44400" s="2">
        <v>9.7694932475038906E-6</v>
      </c>
    </row>
    <row r="44401" spans="1:6" x14ac:dyDescent="0.25">
      <c r="A44401" s="1" t="str">
        <f t="shared" si="1497"/>
        <v>99999</v>
      </c>
      <c r="B44401" s="1" t="str">
        <f>"67646"</f>
        <v>67646</v>
      </c>
      <c r="C44401" s="2">
        <v>3.7891311695445598E-5</v>
      </c>
      <c r="D44401" s="2">
        <v>9.0342533716586405E-6</v>
      </c>
      <c r="E44401" s="2">
        <v>4.3010567696482999E-6</v>
      </c>
      <c r="F44401" s="2">
        <v>3.5229384740998803E-5</v>
      </c>
    </row>
    <row r="44402" spans="1:6" x14ac:dyDescent="0.25">
      <c r="A44402" s="1" t="str">
        <f t="shared" si="1497"/>
        <v>99999</v>
      </c>
      <c r="B44402" s="1" t="str">
        <f>"67701"</f>
        <v>67701</v>
      </c>
      <c r="C44402" s="2">
        <v>3.3993919635342602E-4</v>
      </c>
      <c r="D44402" s="2">
        <v>8.9288537489892901E-4</v>
      </c>
      <c r="E44402" s="2">
        <v>7.2257753730091401E-4</v>
      </c>
      <c r="F44402" s="2">
        <v>3.8495750665164301E-4</v>
      </c>
    </row>
    <row r="44403" spans="1:6" x14ac:dyDescent="0.25">
      <c r="A44403" s="1" t="str">
        <f t="shared" si="1497"/>
        <v>99999</v>
      </c>
      <c r="B44403" s="1" t="str">
        <f>"67735"</f>
        <v>67735</v>
      </c>
      <c r="C44403" s="2">
        <v>3.3744919587058302E-4</v>
      </c>
      <c r="D44403" s="2">
        <v>6.7154616729329204E-4</v>
      </c>
      <c r="E44403" s="2">
        <v>5.5913738005427898E-4</v>
      </c>
      <c r="F44403" s="2">
        <v>3.6443170265688701E-4</v>
      </c>
    </row>
    <row r="44404" spans="1:6" x14ac:dyDescent="0.25">
      <c r="A44404" s="1" t="str">
        <f t="shared" si="1497"/>
        <v>99999</v>
      </c>
      <c r="B44404" s="1" t="str">
        <f>"67737"</f>
        <v>67737</v>
      </c>
      <c r="C44404" s="2">
        <v>2.8039570654629701E-5</v>
      </c>
      <c r="D44404" s="2">
        <v>6.4745482496886904E-5</v>
      </c>
      <c r="E44404" s="2">
        <v>1.72042270785932E-5</v>
      </c>
      <c r="F44404" s="2">
        <v>3.0196615492284699E-5</v>
      </c>
    </row>
    <row r="44405" spans="1:6" x14ac:dyDescent="0.25">
      <c r="A44405" s="1" t="str">
        <f t="shared" si="1497"/>
        <v>99999</v>
      </c>
      <c r="B44405" s="1" t="str">
        <f>"67521"</f>
        <v>67521</v>
      </c>
      <c r="C44405" s="2">
        <v>9.8517410408158696E-6</v>
      </c>
      <c r="D44405" s="2">
        <v>1.50570889527644E-6</v>
      </c>
      <c r="E44405" s="2">
        <v>4.3010567696482999E-6</v>
      </c>
      <c r="F44405" s="2">
        <v>9.1774027476551693E-6</v>
      </c>
    </row>
    <row r="44406" spans="1:6" x14ac:dyDescent="0.25">
      <c r="A44406" s="1" t="str">
        <f t="shared" si="1497"/>
        <v>99999</v>
      </c>
      <c r="B44406" s="1" t="str">
        <f>"67360"</f>
        <v>67360</v>
      </c>
      <c r="C44406" s="2">
        <v>2.2518265236150501E-5</v>
      </c>
      <c r="D44406" s="2">
        <v>3.01141779055288E-6</v>
      </c>
      <c r="E44406" s="2">
        <v>2.58063406178898E-5</v>
      </c>
      <c r="F44406" s="2">
        <v>2.1315257994553901E-5</v>
      </c>
    </row>
    <row r="44407" spans="1:6" x14ac:dyDescent="0.25">
      <c r="A44407" s="1" t="str">
        <f t="shared" si="1497"/>
        <v>99999</v>
      </c>
      <c r="B44407" s="1" t="str">
        <f>"67430"</f>
        <v>67430</v>
      </c>
      <c r="C44407" s="2">
        <v>3.7674789914328797E-5</v>
      </c>
      <c r="D44407" s="2">
        <v>1.65627978480408E-5</v>
      </c>
      <c r="E44407" s="2">
        <v>8.6021135392965999E-6</v>
      </c>
      <c r="F44407" s="2">
        <v>3.5624111740897998E-5</v>
      </c>
    </row>
    <row r="44408" spans="1:6" x14ac:dyDescent="0.25">
      <c r="A44408" s="1" t="str">
        <f t="shared" si="1497"/>
        <v>99999</v>
      </c>
      <c r="B44408" s="1" t="str">
        <f>"67629"</f>
        <v>67629</v>
      </c>
      <c r="C44408" s="2">
        <v>9.5269583691406198E-6</v>
      </c>
      <c r="D44408" s="2">
        <v>7.5285444763821999E-6</v>
      </c>
      <c r="E44408" s="2">
        <v>4.3010567696482999E-6</v>
      </c>
      <c r="F44408" s="2">
        <v>9.2760844976299596E-6</v>
      </c>
    </row>
    <row r="44409" spans="1:6" x14ac:dyDescent="0.25">
      <c r="A44409" s="1" t="str">
        <f t="shared" si="1497"/>
        <v>99999</v>
      </c>
      <c r="B44409" s="1" t="str">
        <f>"67659"</f>
        <v>67659</v>
      </c>
      <c r="C44409" s="2">
        <v>1.33160895386851E-5</v>
      </c>
      <c r="D44409" s="2">
        <v>1.50570889527644E-6</v>
      </c>
      <c r="E44409" s="2">
        <v>0</v>
      </c>
      <c r="F44409" s="2">
        <v>1.22365369968735E-5</v>
      </c>
    </row>
    <row r="44410" spans="1:6" x14ac:dyDescent="0.25">
      <c r="A44410" s="1" t="str">
        <f t="shared" si="1497"/>
        <v>99999</v>
      </c>
      <c r="B44410" s="1" t="str">
        <f>"67573"</f>
        <v>67573</v>
      </c>
      <c r="C44410" s="2">
        <v>7.9030450107643795E-6</v>
      </c>
      <c r="D44410" s="2">
        <v>1.35513800574879E-5</v>
      </c>
      <c r="E44410" s="2">
        <v>4.3010567696482999E-6</v>
      </c>
      <c r="F44410" s="2">
        <v>8.1905852479073005E-6</v>
      </c>
    </row>
    <row r="44411" spans="1:6" x14ac:dyDescent="0.25">
      <c r="A44411" s="1" t="str">
        <f t="shared" si="1497"/>
        <v>99999</v>
      </c>
      <c r="B44411" s="1" t="str">
        <f>"66532"</f>
        <v>66532</v>
      </c>
      <c r="C44411" s="2">
        <v>2.7065222639604001E-5</v>
      </c>
      <c r="D44411" s="2">
        <v>1.50570889527644E-6</v>
      </c>
      <c r="E44411" s="2">
        <v>7.7419021853669399E-5</v>
      </c>
      <c r="F44411" s="2">
        <v>2.6545390743217599E-5</v>
      </c>
    </row>
    <row r="44412" spans="1:6" x14ac:dyDescent="0.25">
      <c r="A44412" s="1" t="str">
        <f t="shared" si="1497"/>
        <v>99999</v>
      </c>
      <c r="B44412" s="1" t="str">
        <f>"66941"</f>
        <v>66941</v>
      </c>
      <c r="C44412" s="2">
        <v>1.69969598176713E-5</v>
      </c>
      <c r="D44412" s="2">
        <v>3.01141779055288E-6</v>
      </c>
      <c r="E44412" s="2">
        <v>4.3010567696482999E-6</v>
      </c>
      <c r="F44412" s="2">
        <v>1.5789079995965799E-5</v>
      </c>
    </row>
    <row r="44413" spans="1:6" x14ac:dyDescent="0.25">
      <c r="A44413" s="1" t="str">
        <f t="shared" si="1497"/>
        <v>99999</v>
      </c>
      <c r="B44413" s="1" t="str">
        <f>"66964"</f>
        <v>66964</v>
      </c>
      <c r="C44413" s="2">
        <v>1.3749133100918801E-5</v>
      </c>
      <c r="D44413" s="2">
        <v>1.50570889527644E-6</v>
      </c>
      <c r="E44413" s="2">
        <v>4.3010567696482999E-6</v>
      </c>
      <c r="F44413" s="2">
        <v>1.27299457467474E-5</v>
      </c>
    </row>
    <row r="44414" spans="1:6" x14ac:dyDescent="0.25">
      <c r="A44414" s="1" t="str">
        <f t="shared" si="1497"/>
        <v>99999</v>
      </c>
      <c r="B44414" s="1" t="str">
        <f>"66873"</f>
        <v>66873</v>
      </c>
      <c r="C44414" s="2">
        <v>1.9053916738281199E-5</v>
      </c>
      <c r="D44414" s="2">
        <v>9.0342533716586405E-6</v>
      </c>
      <c r="E44414" s="2">
        <v>4.3010567696482999E-6</v>
      </c>
      <c r="F44414" s="2">
        <v>1.80587602453859E-5</v>
      </c>
    </row>
    <row r="44415" spans="1:6" x14ac:dyDescent="0.25">
      <c r="A44415" s="1" t="str">
        <f t="shared" si="1497"/>
        <v>99999</v>
      </c>
      <c r="B44415" s="1" t="str">
        <f>"66936"</f>
        <v>66936</v>
      </c>
      <c r="C44415" s="2">
        <v>2.3492613251176299E-5</v>
      </c>
      <c r="D44415" s="2">
        <v>1.80685067433172E-5</v>
      </c>
      <c r="E44415" s="2">
        <v>1.72042270785932E-5</v>
      </c>
      <c r="F44415" s="2">
        <v>2.2992847744125301E-5</v>
      </c>
    </row>
    <row r="44416" spans="1:6" x14ac:dyDescent="0.25">
      <c r="A44416" s="1" t="str">
        <f t="shared" si="1497"/>
        <v>99999</v>
      </c>
      <c r="B44416" s="1" t="str">
        <f>"66948"</f>
        <v>66948</v>
      </c>
      <c r="C44416" s="2">
        <v>3.0313049356356498E-5</v>
      </c>
      <c r="D44416" s="2">
        <v>1.80685067433172E-5</v>
      </c>
      <c r="E44416" s="2">
        <v>1.29031703089449E-5</v>
      </c>
      <c r="F44416" s="2">
        <v>2.9111116242562101E-5</v>
      </c>
    </row>
    <row r="44417" spans="1:6" x14ac:dyDescent="0.25">
      <c r="A44417" s="1" t="str">
        <f t="shared" si="1497"/>
        <v>99999</v>
      </c>
      <c r="B44417" s="1" t="str">
        <f>"67018"</f>
        <v>67018</v>
      </c>
      <c r="C44417" s="2">
        <v>9.5269583691406198E-6</v>
      </c>
      <c r="D44417" s="2">
        <v>1.50570889527644E-6</v>
      </c>
      <c r="E44417" s="2">
        <v>4.3010567696482999E-6</v>
      </c>
      <c r="F44417" s="2">
        <v>8.8813574977308104E-6</v>
      </c>
    </row>
    <row r="44418" spans="1:6" x14ac:dyDescent="0.25">
      <c r="A44418" s="1" t="str">
        <f t="shared" si="1497"/>
        <v>99999</v>
      </c>
      <c r="B44418" s="1" t="str">
        <f>"65791"</f>
        <v>65791</v>
      </c>
      <c r="C44418" s="2">
        <v>3.9331181539872502E-4</v>
      </c>
      <c r="D44418" s="2">
        <v>4.11058528410468E-4</v>
      </c>
      <c r="E44418" s="2">
        <v>6.8816908314372799E-5</v>
      </c>
      <c r="F44418" s="2">
        <v>3.8702982340111302E-4</v>
      </c>
    </row>
    <row r="44419" spans="1:6" x14ac:dyDescent="0.25">
      <c r="A44419" s="1" t="str">
        <f t="shared" si="1497"/>
        <v>99999</v>
      </c>
      <c r="B44419" s="1" t="str">
        <f>"65747"</f>
        <v>65747</v>
      </c>
      <c r="C44419" s="2">
        <v>4.88473138199573E-4</v>
      </c>
      <c r="D44419" s="2">
        <v>2.9361323457890499E-4</v>
      </c>
      <c r="E44419" s="2">
        <v>8.6021135392965999E-5</v>
      </c>
      <c r="F44419" s="2">
        <v>4.6646863213081698E-4</v>
      </c>
    </row>
    <row r="44420" spans="1:6" x14ac:dyDescent="0.25">
      <c r="A44420" s="1" t="str">
        <f t="shared" si="1497"/>
        <v>99999</v>
      </c>
      <c r="B44420" s="1" t="str">
        <f>"65762"</f>
        <v>65762</v>
      </c>
      <c r="C44420" s="2">
        <v>2.5008265718994098E-5</v>
      </c>
      <c r="D44420" s="2">
        <v>6.0228355811057601E-6</v>
      </c>
      <c r="E44420" s="2">
        <v>4.3010567696482999E-6</v>
      </c>
      <c r="F44420" s="2">
        <v>2.3288892994049601E-5</v>
      </c>
    </row>
    <row r="44421" spans="1:6" x14ac:dyDescent="0.25">
      <c r="A44421" s="1" t="str">
        <f t="shared" si="1497"/>
        <v>99999</v>
      </c>
      <c r="B44421" s="1" t="str">
        <f>"65702"</f>
        <v>65702</v>
      </c>
      <c r="C44421" s="2">
        <v>2.91221795602139E-5</v>
      </c>
      <c r="D44421" s="2">
        <v>1.50570889527644E-5</v>
      </c>
      <c r="E44421" s="2">
        <v>4.3010567696482999E-6</v>
      </c>
      <c r="F44421" s="2">
        <v>2.7630889992940302E-5</v>
      </c>
    </row>
    <row r="44422" spans="1:6" x14ac:dyDescent="0.25">
      <c r="A44422" s="1" t="str">
        <f t="shared" ref="A44422:A44485" si="1498">"99999"</f>
        <v>99999</v>
      </c>
      <c r="B44422" s="1" t="str">
        <f>"65708"</f>
        <v>65708</v>
      </c>
      <c r="C44422" s="2">
        <v>7.00231440131835E-4</v>
      </c>
      <c r="D44422" s="2">
        <v>1.09615607576124E-3</v>
      </c>
      <c r="E44422" s="2">
        <v>1.0838663059513701E-3</v>
      </c>
      <c r="F44422" s="2">
        <v>7.3498167381221198E-4</v>
      </c>
    </row>
    <row r="44423" spans="1:6" x14ac:dyDescent="0.25">
      <c r="A44423" s="1" t="str">
        <f t="shared" si="1498"/>
        <v>99999</v>
      </c>
      <c r="B44423" s="1" t="str">
        <f>"65605"</f>
        <v>65605</v>
      </c>
      <c r="C44423" s="2">
        <v>7.06185789112548E-4</v>
      </c>
      <c r="D44423" s="2">
        <v>7.2575168752324402E-4</v>
      </c>
      <c r="E44423" s="2">
        <v>4.4300884727377501E-4</v>
      </c>
      <c r="F44423" s="2">
        <v>7.0142987882078399E-4</v>
      </c>
    </row>
    <row r="44424" spans="1:6" x14ac:dyDescent="0.25">
      <c r="A44424" s="1" t="str">
        <f t="shared" si="1498"/>
        <v>99999</v>
      </c>
      <c r="B44424" s="1" t="str">
        <f>"65712"</f>
        <v>65712</v>
      </c>
      <c r="C44424" s="2">
        <v>3.9829181636441303E-4</v>
      </c>
      <c r="D44424" s="2">
        <v>5.4205520229951801E-4</v>
      </c>
      <c r="E44424" s="2">
        <v>3.2688031449327001E-4</v>
      </c>
      <c r="F44424" s="2">
        <v>4.0607540114624702E-4</v>
      </c>
    </row>
    <row r="44425" spans="1:6" x14ac:dyDescent="0.25">
      <c r="A44425" s="1" t="str">
        <f t="shared" si="1498"/>
        <v>99999</v>
      </c>
      <c r="B44425" s="1" t="str">
        <f>"65724"</f>
        <v>65724</v>
      </c>
      <c r="C44425" s="2">
        <v>1.8166177435702201E-4</v>
      </c>
      <c r="D44425" s="2">
        <v>5.1194102439398901E-5</v>
      </c>
      <c r="E44425" s="2">
        <v>4.3010567696482999E-6</v>
      </c>
      <c r="F44425" s="2">
        <v>1.6904183770680899E-4</v>
      </c>
    </row>
    <row r="44426" spans="1:6" x14ac:dyDescent="0.25">
      <c r="A44426" s="1" t="str">
        <f t="shared" si="1498"/>
        <v>99999</v>
      </c>
      <c r="B44426" s="1" t="str">
        <f>"65729"</f>
        <v>65729</v>
      </c>
      <c r="C44426" s="2">
        <v>4.43869651289506E-5</v>
      </c>
      <c r="D44426" s="2">
        <v>9.0342533716586405E-6</v>
      </c>
      <c r="E44426" s="2">
        <v>1.29031703089449E-5</v>
      </c>
      <c r="F44426" s="2">
        <v>4.1347653239435603E-5</v>
      </c>
    </row>
    <row r="44427" spans="1:6" x14ac:dyDescent="0.25">
      <c r="A44427" s="1" t="str">
        <f t="shared" si="1498"/>
        <v>99999</v>
      </c>
      <c r="B44427" s="1" t="str">
        <f>"69043"</f>
        <v>69043</v>
      </c>
      <c r="C44427" s="2">
        <v>3.39939196353426E-5</v>
      </c>
      <c r="D44427" s="2">
        <v>4.3665557963016701E-5</v>
      </c>
      <c r="E44427" s="2">
        <v>3.01073973875381E-5</v>
      </c>
      <c r="F44427" s="2">
        <v>3.4538612491175298E-5</v>
      </c>
    </row>
    <row r="44428" spans="1:6" x14ac:dyDescent="0.25">
      <c r="A44428" s="1" t="str">
        <f t="shared" si="1498"/>
        <v>99999</v>
      </c>
      <c r="B44428" s="1" t="str">
        <f>"68961"</f>
        <v>68961</v>
      </c>
      <c r="C44428" s="2">
        <v>4.1896964646106998E-5</v>
      </c>
      <c r="D44428" s="2">
        <v>1.65627978480408E-5</v>
      </c>
      <c r="E44428" s="2">
        <v>3.01073973875381E-5</v>
      </c>
      <c r="F44428" s="2">
        <v>3.99661087397886E-5</v>
      </c>
    </row>
    <row r="44429" spans="1:6" x14ac:dyDescent="0.25">
      <c r="A44429" s="1" t="str">
        <f t="shared" si="1498"/>
        <v>99999</v>
      </c>
      <c r="B44429" s="1" t="str">
        <f>"69214"</f>
        <v>69214</v>
      </c>
      <c r="C44429" s="2">
        <v>1.43986984442693E-5</v>
      </c>
      <c r="D44429" s="2">
        <v>4.5171266858293203E-6</v>
      </c>
      <c r="E44429" s="2">
        <v>4.3010567696482999E-6</v>
      </c>
      <c r="F44429" s="2">
        <v>1.35193997465457E-5</v>
      </c>
    </row>
    <row r="44430" spans="1:6" x14ac:dyDescent="0.25">
      <c r="A44430" s="1" t="str">
        <f t="shared" si="1498"/>
        <v>99999</v>
      </c>
      <c r="B44430" s="1" t="str">
        <f>"69218"</f>
        <v>69218</v>
      </c>
      <c r="C44430" s="2">
        <v>1.2233480633101E-5</v>
      </c>
      <c r="D44430" s="2">
        <v>1.50570889527644E-6</v>
      </c>
      <c r="E44430" s="2">
        <v>4.3010567696482999E-6</v>
      </c>
      <c r="F44430" s="2">
        <v>1.1348401247100399E-5</v>
      </c>
    </row>
    <row r="44431" spans="1:6" x14ac:dyDescent="0.25">
      <c r="A44431" s="1" t="str">
        <f t="shared" si="1498"/>
        <v>99999</v>
      </c>
      <c r="B44431" s="1" t="str">
        <f>"68862"</f>
        <v>68862</v>
      </c>
      <c r="C44431" s="2">
        <v>1.8317742682484001E-4</v>
      </c>
      <c r="D44431" s="2">
        <v>3.7793293271438602E-4</v>
      </c>
      <c r="E44431" s="2">
        <v>2.7526763325749098E-4</v>
      </c>
      <c r="F44431" s="2">
        <v>1.98054272199397E-4</v>
      </c>
    </row>
    <row r="44432" spans="1:6" x14ac:dyDescent="0.25">
      <c r="A44432" s="1" t="str">
        <f t="shared" si="1498"/>
        <v>99999</v>
      </c>
      <c r="B44432" s="1" t="str">
        <f>"69127"</f>
        <v>69127</v>
      </c>
      <c r="C44432" s="2">
        <v>5.9110446244895197E-5</v>
      </c>
      <c r="D44432" s="2">
        <v>4.9688393544122498E-5</v>
      </c>
      <c r="E44432" s="2">
        <v>4.7311624466131299E-5</v>
      </c>
      <c r="F44432" s="2">
        <v>5.8222232485124203E-5</v>
      </c>
    </row>
    <row r="44433" spans="1:6" x14ac:dyDescent="0.25">
      <c r="A44433" s="1" t="str">
        <f t="shared" si="1498"/>
        <v>99999</v>
      </c>
      <c r="B44433" s="1" t="str">
        <f>"69041"</f>
        <v>69041</v>
      </c>
      <c r="C44433" s="2">
        <v>9.6352192596990302E-6</v>
      </c>
      <c r="D44433" s="2">
        <v>6.0228355811057601E-6</v>
      </c>
      <c r="E44433" s="2">
        <v>4.3010567696482999E-6</v>
      </c>
      <c r="F44433" s="2">
        <v>9.2760844976299596E-6</v>
      </c>
    </row>
    <row r="44434" spans="1:6" x14ac:dyDescent="0.25">
      <c r="A44434" s="1" t="str">
        <f t="shared" si="1498"/>
        <v>99999</v>
      </c>
      <c r="B44434" s="1" t="str">
        <f>"69128"</f>
        <v>69128</v>
      </c>
      <c r="C44434" s="2">
        <v>1.9053916738281199E-5</v>
      </c>
      <c r="D44434" s="2">
        <v>1.50570889527644E-6</v>
      </c>
      <c r="E44434" s="2">
        <v>8.6021135392965999E-6</v>
      </c>
      <c r="F44434" s="2">
        <v>1.76640332454868E-5</v>
      </c>
    </row>
    <row r="44435" spans="1:6" x14ac:dyDescent="0.25">
      <c r="A44435" s="1" t="str">
        <f t="shared" si="1498"/>
        <v>99999</v>
      </c>
      <c r="B44435" s="1" t="str">
        <f>"68933"</f>
        <v>68933</v>
      </c>
      <c r="C44435" s="2">
        <v>4.8500878970170397E-5</v>
      </c>
      <c r="D44435" s="2">
        <v>1.3551380057487899E-4</v>
      </c>
      <c r="E44435" s="2">
        <v>6.0214794775076199E-5</v>
      </c>
      <c r="F44435" s="2">
        <v>5.4472325986082301E-5</v>
      </c>
    </row>
    <row r="44436" spans="1:6" x14ac:dyDescent="0.25">
      <c r="A44436" s="1" t="str">
        <f t="shared" si="1498"/>
        <v>99999</v>
      </c>
      <c r="B44436" s="1" t="str">
        <f>"68941"</f>
        <v>68941</v>
      </c>
      <c r="C44436" s="2">
        <v>2.1219134549449501E-5</v>
      </c>
      <c r="D44436" s="2">
        <v>4.5171266858293203E-6</v>
      </c>
      <c r="E44436" s="2">
        <v>4.3010567696482999E-6</v>
      </c>
      <c r="F44436" s="2">
        <v>1.9736349994957301E-5</v>
      </c>
    </row>
    <row r="44437" spans="1:6" x14ac:dyDescent="0.25">
      <c r="A44437" s="1" t="str">
        <f t="shared" si="1498"/>
        <v>99999</v>
      </c>
      <c r="B44437" s="1" t="str">
        <f>"69334"</f>
        <v>69334</v>
      </c>
      <c r="C44437" s="2">
        <v>1.09126977682883E-4</v>
      </c>
      <c r="D44437" s="2">
        <v>3.01141779055288E-6</v>
      </c>
      <c r="E44437" s="2">
        <v>3.44084541571864E-5</v>
      </c>
      <c r="F44437" s="2">
        <v>1.00458021474332E-4</v>
      </c>
    </row>
    <row r="44438" spans="1:6" x14ac:dyDescent="0.25">
      <c r="A44438" s="1" t="str">
        <f t="shared" si="1498"/>
        <v>99999</v>
      </c>
      <c r="B44438" s="1" t="str">
        <f>"69121"</f>
        <v>69121</v>
      </c>
      <c r="C44438" s="2">
        <v>2.0677830096657399E-5</v>
      </c>
      <c r="D44438" s="2">
        <v>3.01141779055288E-6</v>
      </c>
      <c r="E44438" s="2">
        <v>4.3010567696482999E-6</v>
      </c>
      <c r="F44438" s="2">
        <v>1.91442594951086E-5</v>
      </c>
    </row>
    <row r="44439" spans="1:6" x14ac:dyDescent="0.25">
      <c r="A44439" s="1" t="str">
        <f t="shared" si="1498"/>
        <v>99999</v>
      </c>
      <c r="B44439" s="1" t="str">
        <f>"68942"</f>
        <v>68942</v>
      </c>
      <c r="C44439" s="2">
        <v>2.69569617490456E-5</v>
      </c>
      <c r="D44439" s="2">
        <v>3.01141779055288E-6</v>
      </c>
      <c r="E44439" s="2">
        <v>4.3010567696482999E-6</v>
      </c>
      <c r="F44439" s="2">
        <v>2.4867800993646201E-5</v>
      </c>
    </row>
    <row r="44440" spans="1:6" x14ac:dyDescent="0.25">
      <c r="A44440" s="1" t="str">
        <f t="shared" si="1498"/>
        <v>99999</v>
      </c>
      <c r="B44440" s="1" t="str">
        <f>"68869"</f>
        <v>68869</v>
      </c>
      <c r="C44440" s="2">
        <v>8.9856539163485408E-6</v>
      </c>
      <c r="D44440" s="2">
        <v>0</v>
      </c>
      <c r="E44440" s="2">
        <v>0</v>
      </c>
      <c r="F44440" s="2">
        <v>8.1905852479073005E-6</v>
      </c>
    </row>
    <row r="44441" spans="1:6" x14ac:dyDescent="0.25">
      <c r="A44441" s="1" t="str">
        <f t="shared" si="1498"/>
        <v>99999</v>
      </c>
      <c r="B44441" s="1" t="str">
        <f>"62268"</f>
        <v>62268</v>
      </c>
      <c r="C44441" s="2">
        <v>3.8432616148237697E-5</v>
      </c>
      <c r="D44441" s="2">
        <v>2.1079924533870101E-5</v>
      </c>
      <c r="E44441" s="2">
        <v>4.3010567696482999E-6</v>
      </c>
      <c r="F44441" s="2">
        <v>3.6512247490671097E-5</v>
      </c>
    </row>
    <row r="44442" spans="1:6" x14ac:dyDescent="0.25">
      <c r="A44442" s="1" t="str">
        <f t="shared" si="1498"/>
        <v>99999</v>
      </c>
      <c r="B44442" s="1" t="str">
        <f>"62271"</f>
        <v>62271</v>
      </c>
      <c r="C44442" s="2">
        <v>1.11616978165727E-4</v>
      </c>
      <c r="D44442" s="2">
        <v>8.2813989240204205E-5</v>
      </c>
      <c r="E44442" s="2">
        <v>6.8816908314372799E-5</v>
      </c>
      <c r="F44442" s="2">
        <v>1.08747288472215E-4</v>
      </c>
    </row>
    <row r="44443" spans="1:6" x14ac:dyDescent="0.25">
      <c r="A44443" s="1" t="str">
        <f t="shared" si="1498"/>
        <v>99999</v>
      </c>
      <c r="B44443" s="1" t="str">
        <f>"62353"</f>
        <v>62353</v>
      </c>
      <c r="C44443" s="2">
        <v>2.4715961314486398E-4</v>
      </c>
      <c r="D44443" s="2">
        <v>3.61370134866345E-4</v>
      </c>
      <c r="E44443" s="2">
        <v>2.49461292639601E-4</v>
      </c>
      <c r="F44443" s="2">
        <v>2.5469759668492398E-4</v>
      </c>
    </row>
    <row r="44444" spans="1:6" x14ac:dyDescent="0.25">
      <c r="A44444" s="1" t="str">
        <f t="shared" si="1498"/>
        <v>99999</v>
      </c>
      <c r="B44444" s="1" t="str">
        <f>"62361"</f>
        <v>62361</v>
      </c>
      <c r="C44444" s="2">
        <v>2.7281744420720801E-5</v>
      </c>
      <c r="D44444" s="2">
        <v>1.35513800574879E-5</v>
      </c>
      <c r="E44444" s="2">
        <v>4.3010567696482999E-6</v>
      </c>
      <c r="F44444" s="2">
        <v>2.5854618493394101E-5</v>
      </c>
    </row>
    <row r="44445" spans="1:6" x14ac:dyDescent="0.25">
      <c r="A44445" s="1" t="str">
        <f t="shared" si="1498"/>
        <v>99999</v>
      </c>
      <c r="B44445" s="1" t="str">
        <f>"62363"</f>
        <v>62363</v>
      </c>
      <c r="C44445" s="2">
        <v>3.1666310488336698E-4</v>
      </c>
      <c r="D44445" s="2">
        <v>5.7969792468142898E-4</v>
      </c>
      <c r="E44445" s="2">
        <v>2.9247186033608399E-4</v>
      </c>
      <c r="F44445" s="2">
        <v>3.3334695141482902E-4</v>
      </c>
    </row>
    <row r="44446" spans="1:6" x14ac:dyDescent="0.25">
      <c r="A44446" s="1" t="str">
        <f t="shared" si="1498"/>
        <v>99999</v>
      </c>
      <c r="B44446" s="1" t="str">
        <f>"62080"</f>
        <v>62080</v>
      </c>
      <c r="C44446" s="2">
        <v>1.3164524291903401E-4</v>
      </c>
      <c r="D44446" s="2">
        <v>5.7216938020504697E-5</v>
      </c>
      <c r="E44446" s="2">
        <v>5.1612681235779599E-5</v>
      </c>
      <c r="F44446" s="2">
        <v>1.2493109546808E-4</v>
      </c>
    </row>
    <row r="44447" spans="1:6" x14ac:dyDescent="0.25">
      <c r="A44447" s="1" t="str">
        <f t="shared" si="1498"/>
        <v>99999</v>
      </c>
      <c r="B44447" s="1" t="str">
        <f>"62091"</f>
        <v>62091</v>
      </c>
      <c r="C44447" s="2">
        <v>1.9811742972190099E-5</v>
      </c>
      <c r="D44447" s="2">
        <v>7.5285444763821999E-6</v>
      </c>
      <c r="E44447" s="2">
        <v>0</v>
      </c>
      <c r="F44447" s="2">
        <v>1.8552168995259899E-5</v>
      </c>
    </row>
    <row r="44448" spans="1:6" x14ac:dyDescent="0.25">
      <c r="A44448" s="1" t="str">
        <f t="shared" si="1498"/>
        <v>99999</v>
      </c>
      <c r="B44448" s="1" t="str">
        <f>"62812"</f>
        <v>62812</v>
      </c>
      <c r="C44448" s="2">
        <v>6.2466533852206102E-4</v>
      </c>
      <c r="D44448" s="2">
        <v>8.3265701908787103E-4</v>
      </c>
      <c r="E44448" s="2">
        <v>5.6773949359357502E-4</v>
      </c>
      <c r="F44448" s="2">
        <v>6.3699069608724799E-4</v>
      </c>
    </row>
    <row r="44449" spans="1:6" x14ac:dyDescent="0.25">
      <c r="A44449" s="1" t="str">
        <f t="shared" si="1498"/>
        <v>99999</v>
      </c>
      <c r="B44449" s="1" t="str">
        <f>"62806"</f>
        <v>62806</v>
      </c>
      <c r="C44449" s="2">
        <v>1.87074818884943E-4</v>
      </c>
      <c r="D44449" s="2">
        <v>3.0565890574111697E-4</v>
      </c>
      <c r="E44449" s="2">
        <v>1.3333275985909701E-4</v>
      </c>
      <c r="F44449" s="2">
        <v>1.9361359345053099E-4</v>
      </c>
    </row>
    <row r="44450" spans="1:6" x14ac:dyDescent="0.25">
      <c r="A44450" s="1" t="str">
        <f t="shared" si="1498"/>
        <v>99999</v>
      </c>
      <c r="B44450" s="1" t="str">
        <f>"62817"</f>
        <v>62817</v>
      </c>
      <c r="C44450" s="2">
        <v>3.0637832028031702E-5</v>
      </c>
      <c r="D44450" s="2">
        <v>9.0342533716586405E-6</v>
      </c>
      <c r="E44450" s="2">
        <v>8.6021135392965999E-6</v>
      </c>
      <c r="F44450" s="2">
        <v>2.87163892426629E-5</v>
      </c>
    </row>
    <row r="44451" spans="1:6" x14ac:dyDescent="0.25">
      <c r="A44451" s="1" t="str">
        <f t="shared" si="1498"/>
        <v>99999</v>
      </c>
      <c r="B44451" s="1" t="str">
        <f>"62820"</f>
        <v>62820</v>
      </c>
      <c r="C44451" s="2">
        <v>1.13673935086336E-5</v>
      </c>
      <c r="D44451" s="2">
        <v>1.35513800574879E-5</v>
      </c>
      <c r="E44451" s="2">
        <v>4.3010567696482999E-6</v>
      </c>
      <c r="F44451" s="2">
        <v>1.1348401247100399E-5</v>
      </c>
    </row>
    <row r="44452" spans="1:6" x14ac:dyDescent="0.25">
      <c r="A44452" s="1" t="str">
        <f t="shared" si="1498"/>
        <v>99999</v>
      </c>
      <c r="B44452" s="1" t="str">
        <f>"62930"</f>
        <v>62930</v>
      </c>
      <c r="C44452" s="2">
        <v>3.75665290237704E-4</v>
      </c>
      <c r="D44452" s="2">
        <v>4.2159849067740298E-4</v>
      </c>
      <c r="E44452" s="2">
        <v>1.97848611403821E-4</v>
      </c>
      <c r="F44452" s="2">
        <v>3.7459592290429002E-4</v>
      </c>
    </row>
    <row r="44453" spans="1:6" x14ac:dyDescent="0.25">
      <c r="A44453" s="1" t="str">
        <f t="shared" si="1498"/>
        <v>99999</v>
      </c>
      <c r="B44453" s="1" t="str">
        <f>"62996"</f>
        <v>62996</v>
      </c>
      <c r="C44453" s="2">
        <v>3.83243552576793E-5</v>
      </c>
      <c r="D44453" s="2">
        <v>1.0539962266935E-5</v>
      </c>
      <c r="E44453" s="2">
        <v>4.3010567696482999E-6</v>
      </c>
      <c r="F44453" s="2">
        <v>3.5722793490872802E-5</v>
      </c>
    </row>
    <row r="44454" spans="1:6" x14ac:dyDescent="0.25">
      <c r="A44454" s="1" t="str">
        <f t="shared" si="1498"/>
        <v>99999</v>
      </c>
      <c r="B44454" s="1" t="str">
        <f>"62931"</f>
        <v>62931</v>
      </c>
      <c r="C44454" s="2">
        <v>1.3435176518299401E-4</v>
      </c>
      <c r="D44454" s="2">
        <v>3.7642722381910999E-5</v>
      </c>
      <c r="E44454" s="2">
        <v>4.7311624466131299E-5</v>
      </c>
      <c r="F44454" s="2">
        <v>1.26016594717802E-4</v>
      </c>
    </row>
    <row r="44455" spans="1:6" x14ac:dyDescent="0.25">
      <c r="A44455" s="1" t="str">
        <f t="shared" si="1498"/>
        <v>99999</v>
      </c>
      <c r="B44455" s="1" t="str">
        <f>"62935"</f>
        <v>62935</v>
      </c>
      <c r="C44455" s="2">
        <v>1.16705240021972E-4</v>
      </c>
      <c r="D44455" s="2">
        <v>5.4205520229951803E-5</v>
      </c>
      <c r="E44455" s="2">
        <v>7.3117965084021106E-5</v>
      </c>
      <c r="F44455" s="2">
        <v>1.11609059221483E-4</v>
      </c>
    </row>
    <row r="44456" spans="1:6" x14ac:dyDescent="0.25">
      <c r="A44456" s="1" t="str">
        <f t="shared" si="1498"/>
        <v>99999</v>
      </c>
      <c r="B44456" s="1" t="str">
        <f>"62987"</f>
        <v>62987</v>
      </c>
      <c r="C44456" s="2">
        <v>4.1247399302756502E-5</v>
      </c>
      <c r="D44456" s="2">
        <v>4.5171266858293203E-6</v>
      </c>
      <c r="E44456" s="2">
        <v>1.29031703089449E-5</v>
      </c>
      <c r="F44456" s="2">
        <v>3.8189837240242402E-5</v>
      </c>
    </row>
    <row r="44457" spans="1:6" x14ac:dyDescent="0.25">
      <c r="A44457" s="1" t="str">
        <f t="shared" si="1498"/>
        <v>99999</v>
      </c>
      <c r="B44457" s="1" t="str">
        <f>"62923"</f>
        <v>62923</v>
      </c>
      <c r="C44457" s="2">
        <v>3.6808702789861401E-6</v>
      </c>
      <c r="D44457" s="2">
        <v>1.50570889527644E-6</v>
      </c>
      <c r="E44457" s="2">
        <v>0</v>
      </c>
      <c r="F44457" s="2">
        <v>3.4538612491175301E-6</v>
      </c>
    </row>
    <row r="44458" spans="1:6" x14ac:dyDescent="0.25">
      <c r="A44458" s="1" t="str">
        <f t="shared" si="1498"/>
        <v>99999</v>
      </c>
      <c r="B44458" s="1" t="str">
        <f>"62421"</f>
        <v>62421</v>
      </c>
      <c r="C44458" s="2">
        <v>4.28713126611328E-5</v>
      </c>
      <c r="D44458" s="2">
        <v>1.9574215638593701E-5</v>
      </c>
      <c r="E44458" s="2">
        <v>4.3010567696482999E-6</v>
      </c>
      <c r="F44458" s="2">
        <v>4.0459517489662497E-5</v>
      </c>
    </row>
    <row r="44459" spans="1:6" x14ac:dyDescent="0.25">
      <c r="A44459" s="1" t="str">
        <f t="shared" si="1498"/>
        <v>99999</v>
      </c>
      <c r="B44459" s="1" t="str">
        <f>"62644"</f>
        <v>62644</v>
      </c>
      <c r="C44459" s="2">
        <v>2.7725614072010303E-4</v>
      </c>
      <c r="D44459" s="2">
        <v>4.1557565509629698E-4</v>
      </c>
      <c r="E44459" s="2">
        <v>3.5698771188080898E-4</v>
      </c>
      <c r="F44459" s="2">
        <v>2.88150709926377E-4</v>
      </c>
    </row>
    <row r="44460" spans="1:6" x14ac:dyDescent="0.25">
      <c r="A44460" s="1" t="str">
        <f t="shared" si="1498"/>
        <v>99999</v>
      </c>
      <c r="B44460" s="1" t="str">
        <f>"62571"</f>
        <v>62571</v>
      </c>
      <c r="C44460" s="2">
        <v>6.3007838304998201E-5</v>
      </c>
      <c r="D44460" s="2">
        <v>1.35513800574879E-5</v>
      </c>
      <c r="E44460" s="2">
        <v>0</v>
      </c>
      <c r="F44460" s="2">
        <v>5.8320914235099E-5</v>
      </c>
    </row>
    <row r="44461" spans="1:6" x14ac:dyDescent="0.25">
      <c r="A44461" s="1" t="str">
        <f t="shared" si="1498"/>
        <v>99999</v>
      </c>
      <c r="B44461" s="1" t="str">
        <f>"62480"</f>
        <v>62480</v>
      </c>
      <c r="C44461" s="2">
        <v>4.0597833959405999E-5</v>
      </c>
      <c r="D44461" s="2">
        <v>1.50570889527644E-5</v>
      </c>
      <c r="E44461" s="2">
        <v>1.29031703089449E-5</v>
      </c>
      <c r="F44461" s="2">
        <v>3.8288518990217199E-5</v>
      </c>
    </row>
    <row r="44462" spans="1:6" x14ac:dyDescent="0.25">
      <c r="A44462" s="1" t="str">
        <f t="shared" si="1498"/>
        <v>99999</v>
      </c>
      <c r="B44462" s="1" t="str">
        <f>"62431"</f>
        <v>62431</v>
      </c>
      <c r="C44462" s="2">
        <v>5.4888271513116901E-5</v>
      </c>
      <c r="D44462" s="2">
        <v>1.0539962266935E-5</v>
      </c>
      <c r="E44462" s="2">
        <v>4.3010567696482999E-6</v>
      </c>
      <c r="F44462" s="2">
        <v>5.0821101237015197E-5</v>
      </c>
    </row>
    <row r="44463" spans="1:6" x14ac:dyDescent="0.25">
      <c r="A44463" s="1" t="str">
        <f t="shared" si="1498"/>
        <v>99999</v>
      </c>
      <c r="B44463" s="1" t="str">
        <f>"62627"</f>
        <v>62627</v>
      </c>
      <c r="C44463" s="2">
        <v>5.5537836856467397E-5</v>
      </c>
      <c r="D44463" s="2">
        <v>1.20456711622115E-5</v>
      </c>
      <c r="E44463" s="2">
        <v>0</v>
      </c>
      <c r="F44463" s="2">
        <v>5.1413191736863898E-5</v>
      </c>
    </row>
    <row r="44464" spans="1:6" x14ac:dyDescent="0.25">
      <c r="A44464" s="1" t="str">
        <f t="shared" si="1498"/>
        <v>99999</v>
      </c>
      <c r="B44464" s="1" t="str">
        <f>"62418"</f>
        <v>62418</v>
      </c>
      <c r="C44464" s="2">
        <v>1.0522958562278E-4</v>
      </c>
      <c r="D44464" s="2">
        <v>5.7216938020504697E-5</v>
      </c>
      <c r="E44464" s="2">
        <v>1.29031703089449E-5</v>
      </c>
      <c r="F44464" s="2">
        <v>9.9964612724459E-5</v>
      </c>
    </row>
    <row r="44465" spans="1:6" x14ac:dyDescent="0.25">
      <c r="A44465" s="1" t="str">
        <f t="shared" si="1498"/>
        <v>99999</v>
      </c>
      <c r="B44465" s="1" t="str">
        <f>"61852"</f>
        <v>61852</v>
      </c>
      <c r="C44465" s="2">
        <v>7.5782623390891299E-7</v>
      </c>
      <c r="D44465" s="2">
        <v>0</v>
      </c>
      <c r="E44465" s="2">
        <v>0</v>
      </c>
      <c r="F44465" s="2">
        <v>6.9077224982350697E-7</v>
      </c>
    </row>
    <row r="44466" spans="1:6" x14ac:dyDescent="0.25">
      <c r="A44466" s="1" t="str">
        <f t="shared" si="1498"/>
        <v>99999</v>
      </c>
      <c r="B44466" s="1" t="str">
        <f>"63630"</f>
        <v>63630</v>
      </c>
      <c r="C44466" s="2">
        <v>2.4802570026933099E-4</v>
      </c>
      <c r="D44466" s="2">
        <v>9.4859660402415704E-5</v>
      </c>
      <c r="E44466" s="2">
        <v>8.6021135392965999E-6</v>
      </c>
      <c r="F44466" s="2">
        <v>2.32494202940597E-4</v>
      </c>
    </row>
    <row r="44467" spans="1:6" x14ac:dyDescent="0.25">
      <c r="A44467" s="1" t="str">
        <f t="shared" si="1498"/>
        <v>99999</v>
      </c>
      <c r="B44467" s="1" t="str">
        <f>"63638"</f>
        <v>63638</v>
      </c>
      <c r="C44467" s="2">
        <v>1.5632872596635201E-4</v>
      </c>
      <c r="D44467" s="2">
        <v>9.9376787088244995E-5</v>
      </c>
      <c r="E44467" s="2">
        <v>3.8709510926834699E-5</v>
      </c>
      <c r="F44467" s="2">
        <v>1.49897578211701E-4</v>
      </c>
    </row>
    <row r="44468" spans="1:6" x14ac:dyDescent="0.25">
      <c r="A44468" s="1" t="str">
        <f t="shared" si="1498"/>
        <v>99999</v>
      </c>
      <c r="B44468" s="1" t="str">
        <f>"63746"</f>
        <v>63746</v>
      </c>
      <c r="C44468" s="2">
        <v>1.62391335837624E-6</v>
      </c>
      <c r="D44468" s="2">
        <v>7.5285444763821999E-6</v>
      </c>
      <c r="E44468" s="2">
        <v>4.3010567696482999E-6</v>
      </c>
      <c r="F44468" s="2">
        <v>2.0723167494705202E-6</v>
      </c>
    </row>
    <row r="44469" spans="1:6" x14ac:dyDescent="0.25">
      <c r="A44469" s="1" t="str">
        <f t="shared" si="1498"/>
        <v>99999</v>
      </c>
      <c r="B44469" s="1" t="str">
        <f>"63822"</f>
        <v>63822</v>
      </c>
      <c r="C44469" s="2">
        <v>1.36300461213045E-4</v>
      </c>
      <c r="D44469" s="2">
        <v>7.3779735868545501E-5</v>
      </c>
      <c r="E44469" s="2">
        <v>4.3010567696482999E-6</v>
      </c>
      <c r="F44469" s="2">
        <v>1.2917441071699499E-4</v>
      </c>
    </row>
    <row r="44470" spans="1:6" x14ac:dyDescent="0.25">
      <c r="A44470" s="1" t="str">
        <f t="shared" si="1498"/>
        <v>99999</v>
      </c>
      <c r="B44470" s="1" t="str">
        <f>"63631"</f>
        <v>63631</v>
      </c>
      <c r="C44470" s="2">
        <v>4.3304356223366401E-5</v>
      </c>
      <c r="D44470" s="2">
        <v>4.9688393544122498E-5</v>
      </c>
      <c r="E44470" s="2">
        <v>1.72042270785932E-5</v>
      </c>
      <c r="F44470" s="2">
        <v>4.31239247389818E-5</v>
      </c>
    </row>
    <row r="44471" spans="1:6" x14ac:dyDescent="0.25">
      <c r="A44471" s="1" t="str">
        <f t="shared" si="1498"/>
        <v>99999</v>
      </c>
      <c r="B44471" s="1" t="str">
        <f>"63851"</f>
        <v>63851</v>
      </c>
      <c r="C44471" s="2">
        <v>2.2280091276922001E-4</v>
      </c>
      <c r="D44471" s="2">
        <v>3.5083017259941003E-4</v>
      </c>
      <c r="E44471" s="2">
        <v>8.1720078623317706E-5</v>
      </c>
      <c r="F44471" s="2">
        <v>2.27954842441757E-4</v>
      </c>
    </row>
    <row r="44472" spans="1:6" x14ac:dyDescent="0.25">
      <c r="A44472" s="1" t="str">
        <f t="shared" si="1498"/>
        <v>99999</v>
      </c>
      <c r="B44472" s="1" t="str">
        <f>"65335"</f>
        <v>65335</v>
      </c>
      <c r="C44472" s="2">
        <v>1.1150871727516799E-5</v>
      </c>
      <c r="D44472" s="2">
        <v>6.0228355811057601E-6</v>
      </c>
      <c r="E44472" s="2">
        <v>4.3010567696482999E-6</v>
      </c>
      <c r="F44472" s="2">
        <v>1.06576289972769E-5</v>
      </c>
    </row>
    <row r="44473" spans="1:6" x14ac:dyDescent="0.25">
      <c r="A44473" s="1" t="str">
        <f t="shared" si="1498"/>
        <v>99999</v>
      </c>
      <c r="B44473" s="1" t="str">
        <f>"63870"</f>
        <v>63870</v>
      </c>
      <c r="C44473" s="2">
        <v>1.8404351394930699E-5</v>
      </c>
      <c r="D44473" s="2">
        <v>1.65627978480408E-5</v>
      </c>
      <c r="E44473" s="2">
        <v>1.29031703089449E-5</v>
      </c>
      <c r="F44473" s="2">
        <v>1.81574419953607E-5</v>
      </c>
    </row>
    <row r="44474" spans="1:6" x14ac:dyDescent="0.25">
      <c r="A44474" s="1" t="str">
        <f t="shared" si="1498"/>
        <v>99999</v>
      </c>
      <c r="B44474" s="1" t="str">
        <f>"65283"</f>
        <v>65283</v>
      </c>
      <c r="C44474" s="2">
        <v>3.75665290237704E-5</v>
      </c>
      <c r="D44474" s="2">
        <v>2.25856334291466E-5</v>
      </c>
      <c r="E44474" s="2">
        <v>4.3010567696482999E-6</v>
      </c>
      <c r="F44474" s="2">
        <v>3.5821475240847599E-5</v>
      </c>
    </row>
    <row r="44475" spans="1:6" x14ac:dyDescent="0.25">
      <c r="A44475" s="1" t="str">
        <f t="shared" si="1498"/>
        <v>99999</v>
      </c>
      <c r="B44475" s="1" t="str">
        <f>"65083"</f>
        <v>65083</v>
      </c>
      <c r="C44475" s="2">
        <v>2.30595696889426E-5</v>
      </c>
      <c r="D44475" s="2">
        <v>6.0228355811057601E-6</v>
      </c>
      <c r="E44475" s="2">
        <v>4.3010567696482999E-6</v>
      </c>
      <c r="F44475" s="2">
        <v>2.1512621494503498E-5</v>
      </c>
    </row>
    <row r="44476" spans="1:6" x14ac:dyDescent="0.25">
      <c r="A44476" s="1" t="str">
        <f t="shared" si="1498"/>
        <v>99999</v>
      </c>
      <c r="B44476" s="1" t="str">
        <f>"65074"</f>
        <v>65074</v>
      </c>
      <c r="C44476" s="2">
        <v>2.3817395922851499E-6</v>
      </c>
      <c r="D44476" s="2">
        <v>0</v>
      </c>
      <c r="E44476" s="2">
        <v>0</v>
      </c>
      <c r="F44476" s="2">
        <v>2.1709984994452998E-6</v>
      </c>
    </row>
    <row r="44477" spans="1:6" x14ac:dyDescent="0.25">
      <c r="A44477" s="1" t="str">
        <f t="shared" si="1498"/>
        <v>99999</v>
      </c>
      <c r="B44477" s="1" t="str">
        <f>"65282"</f>
        <v>65282</v>
      </c>
      <c r="C44477" s="2">
        <v>1.08260890558416E-5</v>
      </c>
      <c r="D44477" s="2">
        <v>1.50570889527644E-6</v>
      </c>
      <c r="E44477" s="2">
        <v>1.5483804370733801E-4</v>
      </c>
      <c r="F44477" s="2">
        <v>1.35193997465457E-5</v>
      </c>
    </row>
    <row r="44478" spans="1:6" x14ac:dyDescent="0.25">
      <c r="A44478" s="1" t="str">
        <f t="shared" si="1498"/>
        <v>99999</v>
      </c>
      <c r="B44478" s="1" t="str">
        <f>"64854"</f>
        <v>64854</v>
      </c>
      <c r="C44478" s="2">
        <v>2.6588874721146998E-4</v>
      </c>
      <c r="D44478" s="2">
        <v>1.1142245825045601E-4</v>
      </c>
      <c r="E44478" s="2">
        <v>8.6021135392965999E-5</v>
      </c>
      <c r="F44478" s="2">
        <v>2.5163846243570598E-4</v>
      </c>
    </row>
    <row r="44479" spans="1:6" x14ac:dyDescent="0.25">
      <c r="A44479" s="1" t="str">
        <f t="shared" si="1498"/>
        <v>99999</v>
      </c>
      <c r="B44479" s="1" t="str">
        <f>"65440"</f>
        <v>65440</v>
      </c>
      <c r="C44479" s="2">
        <v>4.7526530955144602E-5</v>
      </c>
      <c r="D44479" s="2">
        <v>4.3665557963016701E-5</v>
      </c>
      <c r="E44479" s="2">
        <v>4.3010567696482999E-6</v>
      </c>
      <c r="F44479" s="2">
        <v>4.6281740738175001E-5</v>
      </c>
    </row>
    <row r="44480" spans="1:6" x14ac:dyDescent="0.25">
      <c r="A44480" s="1" t="str">
        <f t="shared" si="1498"/>
        <v>99999</v>
      </c>
      <c r="B44480" s="1" t="str">
        <f>"65571"</f>
        <v>65571</v>
      </c>
      <c r="C44480" s="2">
        <v>1.4604394136330301E-4</v>
      </c>
      <c r="D44480" s="2">
        <v>6.9262609182716196E-5</v>
      </c>
      <c r="E44480" s="2">
        <v>4.7311624466131299E-5</v>
      </c>
      <c r="F44480" s="2">
        <v>1.3874654046454999E-4</v>
      </c>
    </row>
    <row r="44481" spans="1:6" x14ac:dyDescent="0.25">
      <c r="A44481" s="1" t="str">
        <f t="shared" si="1498"/>
        <v>99999</v>
      </c>
      <c r="B44481" s="1" t="str">
        <f>"65486"</f>
        <v>65486</v>
      </c>
      <c r="C44481" s="2">
        <v>1.73866990236816E-4</v>
      </c>
      <c r="D44481" s="2">
        <v>1.06905331564627E-4</v>
      </c>
      <c r="E44481" s="2">
        <v>2.58063406178898E-5</v>
      </c>
      <c r="F44481" s="2">
        <v>1.6608138520756601E-4</v>
      </c>
    </row>
    <row r="44482" spans="1:6" x14ac:dyDescent="0.25">
      <c r="A44482" s="1" t="str">
        <f t="shared" si="1498"/>
        <v>99999</v>
      </c>
      <c r="B44482" s="1" t="str">
        <f>"64863"</f>
        <v>64863</v>
      </c>
      <c r="C44482" s="2">
        <v>7.7081754077592296E-5</v>
      </c>
      <c r="D44482" s="2">
        <v>5.5711229125228301E-5</v>
      </c>
      <c r="E44482" s="2">
        <v>3.01073973875381E-5</v>
      </c>
      <c r="F44482" s="2">
        <v>7.4603402980938797E-5</v>
      </c>
    </row>
    <row r="44483" spans="1:6" x14ac:dyDescent="0.25">
      <c r="A44483" s="1" t="str">
        <f t="shared" si="1498"/>
        <v>99999</v>
      </c>
      <c r="B44483" s="1" t="str">
        <f>"64847"</f>
        <v>64847</v>
      </c>
      <c r="C44483" s="2">
        <v>2.0894351877774301E-5</v>
      </c>
      <c r="D44483" s="2">
        <v>1.35513800574879E-5</v>
      </c>
      <c r="E44483" s="2">
        <v>4.3010567696482999E-6</v>
      </c>
      <c r="F44483" s="2">
        <v>2.0032395244881699E-5</v>
      </c>
    </row>
    <row r="44484" spans="1:6" x14ac:dyDescent="0.25">
      <c r="A44484" s="1" t="str">
        <f t="shared" si="1498"/>
        <v>99999</v>
      </c>
      <c r="B44484" s="1" t="str">
        <f>"64640"</f>
        <v>64640</v>
      </c>
      <c r="C44484" s="2">
        <v>1.9746786437855099E-4</v>
      </c>
      <c r="D44484" s="2">
        <v>2.6952189225448199E-4</v>
      </c>
      <c r="E44484" s="2">
        <v>1.3333275985909701E-4</v>
      </c>
      <c r="F44484" s="2">
        <v>2.00718679448716E-4</v>
      </c>
    </row>
    <row r="44485" spans="1:6" x14ac:dyDescent="0.25">
      <c r="A44485" s="1" t="str">
        <f t="shared" si="1498"/>
        <v>99999</v>
      </c>
      <c r="B44485" s="1" t="str">
        <f>"64767"</f>
        <v>64767</v>
      </c>
      <c r="C44485" s="2">
        <v>6.7771317489568502E-5</v>
      </c>
      <c r="D44485" s="2">
        <v>6.0228355811057601E-6</v>
      </c>
      <c r="E44485" s="2">
        <v>4.3010567696482999E-6</v>
      </c>
      <c r="F44485" s="2">
        <v>6.2268184234090393E-5</v>
      </c>
    </row>
    <row r="44486" spans="1:6" x14ac:dyDescent="0.25">
      <c r="A44486" s="1" t="str">
        <f t="shared" ref="A44486:A44549" si="1499">"99999"</f>
        <v>99999</v>
      </c>
      <c r="B44486" s="1" t="str">
        <f>"64498"</f>
        <v>64498</v>
      </c>
      <c r="C44486" s="2">
        <v>2.7931309764071301E-5</v>
      </c>
      <c r="D44486" s="2">
        <v>1.65627978480408E-5</v>
      </c>
      <c r="E44486" s="2">
        <v>1.4623593016804199E-4</v>
      </c>
      <c r="F44486" s="2">
        <v>2.99005702423604E-5</v>
      </c>
    </row>
    <row r="44487" spans="1:6" x14ac:dyDescent="0.25">
      <c r="A44487" s="1" t="str">
        <f t="shared" si="1499"/>
        <v>99999</v>
      </c>
      <c r="B44487" s="1" t="str">
        <f>"64647"</f>
        <v>64647</v>
      </c>
      <c r="C44487" s="2">
        <v>2.0244786534423801E-5</v>
      </c>
      <c r="D44487" s="2">
        <v>3.01141779055288E-6</v>
      </c>
      <c r="E44487" s="2">
        <v>1.72042270785932E-5</v>
      </c>
      <c r="F44487" s="2">
        <v>1.9045577745133799E-5</v>
      </c>
    </row>
    <row r="44488" spans="1:6" x14ac:dyDescent="0.25">
      <c r="A44488" s="1" t="str">
        <f t="shared" si="1499"/>
        <v>99999</v>
      </c>
      <c r="B44488" s="1" t="str">
        <f>"64639"</f>
        <v>64639</v>
      </c>
      <c r="C44488" s="2">
        <v>1.0284784603049499E-5</v>
      </c>
      <c r="D44488" s="2">
        <v>1.50570889527644E-6</v>
      </c>
      <c r="E44488" s="2">
        <v>4.3010567696482999E-6</v>
      </c>
      <c r="F44488" s="2">
        <v>9.5721297475543202E-6</v>
      </c>
    </row>
    <row r="44489" spans="1:6" x14ac:dyDescent="0.25">
      <c r="A44489" s="1" t="str">
        <f t="shared" si="1499"/>
        <v>99999</v>
      </c>
      <c r="B44489" s="1" t="str">
        <f>"64689"</f>
        <v>64689</v>
      </c>
      <c r="C44489" s="2">
        <v>3.2153484495849597E-5</v>
      </c>
      <c r="D44489" s="2">
        <v>2.7102760114975901E-5</v>
      </c>
      <c r="E44489" s="2">
        <v>8.6021135392965999E-6</v>
      </c>
      <c r="F44489" s="2">
        <v>3.1282114742007402E-5</v>
      </c>
    </row>
    <row r="44490" spans="1:6" x14ac:dyDescent="0.25">
      <c r="A44490" s="1" t="str">
        <f t="shared" si="1499"/>
        <v>99999</v>
      </c>
      <c r="B44490" s="1" t="str">
        <f>"64762"</f>
        <v>64762</v>
      </c>
      <c r="C44490" s="2">
        <v>9.0722626287952695E-5</v>
      </c>
      <c r="D44490" s="2">
        <v>3.7642722381910999E-5</v>
      </c>
      <c r="E44490" s="2">
        <v>3.44084541571864E-5</v>
      </c>
      <c r="F44490" s="2">
        <v>8.5951804228039298E-5</v>
      </c>
    </row>
    <row r="44491" spans="1:6" x14ac:dyDescent="0.25">
      <c r="A44491" s="1" t="str">
        <f t="shared" si="1499"/>
        <v>99999</v>
      </c>
      <c r="B44491" s="1" t="str">
        <f>"64456"</f>
        <v>64456</v>
      </c>
      <c r="C44491" s="2">
        <v>1.2937176421730701E-4</v>
      </c>
      <c r="D44491" s="2">
        <v>5.4205520229951803E-5</v>
      </c>
      <c r="E44491" s="2">
        <v>2.58063406178898E-5</v>
      </c>
      <c r="F44491" s="2">
        <v>1.22069324718811E-4</v>
      </c>
    </row>
    <row r="44492" spans="1:6" x14ac:dyDescent="0.25">
      <c r="A44492" s="1" t="str">
        <f t="shared" si="1499"/>
        <v>99999</v>
      </c>
      <c r="B44492" s="1" t="str">
        <f>"64463"</f>
        <v>64463</v>
      </c>
      <c r="C44492" s="2">
        <v>6.50647952256081E-5</v>
      </c>
      <c r="D44492" s="2">
        <v>6.0228355811057599E-5</v>
      </c>
      <c r="E44492" s="2">
        <v>2.79568690027139E-4</v>
      </c>
      <c r="F44492" s="2">
        <v>6.9669315482199406E-5</v>
      </c>
    </row>
    <row r="44493" spans="1:6" x14ac:dyDescent="0.25">
      <c r="A44493" s="1" t="str">
        <f t="shared" si="1499"/>
        <v>99999</v>
      </c>
      <c r="B44493" s="1" t="str">
        <f>"64653"</f>
        <v>64653</v>
      </c>
      <c r="C44493" s="2">
        <v>3.47517458692515E-5</v>
      </c>
      <c r="D44493" s="2">
        <v>1.35513800574879E-5</v>
      </c>
      <c r="E44493" s="2">
        <v>2.58063406178898E-5</v>
      </c>
      <c r="F44493" s="2">
        <v>3.3157067991528302E-5</v>
      </c>
    </row>
    <row r="44494" spans="1:6" x14ac:dyDescent="0.25">
      <c r="A44494" s="1" t="str">
        <f t="shared" si="1499"/>
        <v>99999</v>
      </c>
      <c r="B44494" s="1" t="str">
        <f>"64467"</f>
        <v>64467</v>
      </c>
      <c r="C44494" s="2">
        <v>9.6352192596990302E-6</v>
      </c>
      <c r="D44494" s="2">
        <v>1.50570889527644E-6</v>
      </c>
      <c r="E44494" s="2">
        <v>4.3010567696482999E-6</v>
      </c>
      <c r="F44494" s="2">
        <v>8.9800392477055905E-6</v>
      </c>
    </row>
    <row r="44495" spans="1:6" x14ac:dyDescent="0.25">
      <c r="A44495" s="1" t="str">
        <f t="shared" si="1499"/>
        <v>99999</v>
      </c>
      <c r="B44495" s="1" t="str">
        <f>"64674"</f>
        <v>64674</v>
      </c>
      <c r="C44495" s="2">
        <v>2.6415657296253501E-5</v>
      </c>
      <c r="D44495" s="2">
        <v>1.20456711622115E-5</v>
      </c>
      <c r="E44495" s="2">
        <v>3.01073973875381E-5</v>
      </c>
      <c r="F44495" s="2">
        <v>2.5558573243469699E-5</v>
      </c>
    </row>
    <row r="44496" spans="1:6" x14ac:dyDescent="0.25">
      <c r="A44496" s="1" t="str">
        <f t="shared" si="1499"/>
        <v>99999</v>
      </c>
      <c r="B44496" s="1" t="str">
        <f>"64682"</f>
        <v>64682</v>
      </c>
      <c r="C44496" s="2">
        <v>2.3167830579501E-5</v>
      </c>
      <c r="D44496" s="2">
        <v>1.50570889527644E-5</v>
      </c>
      <c r="E44496" s="2">
        <v>1.29031703089449E-5</v>
      </c>
      <c r="F44496" s="2">
        <v>2.2400757244276601E-5</v>
      </c>
    </row>
    <row r="44497" spans="1:6" x14ac:dyDescent="0.25">
      <c r="A44497" s="1" t="str">
        <f t="shared" si="1499"/>
        <v>99999</v>
      </c>
      <c r="B44497" s="1" t="str">
        <f>"63950"</f>
        <v>63950</v>
      </c>
      <c r="C44497" s="2">
        <v>7.3617405579722903E-6</v>
      </c>
      <c r="D44497" s="2">
        <v>6.0228355811057601E-6</v>
      </c>
      <c r="E44497" s="2">
        <v>4.3010567696482999E-6</v>
      </c>
      <c r="F44497" s="2">
        <v>7.2037677481594301E-6</v>
      </c>
    </row>
    <row r="44498" spans="1:6" x14ac:dyDescent="0.25">
      <c r="A44498" s="1" t="str">
        <f t="shared" si="1499"/>
        <v>99999</v>
      </c>
      <c r="B44498" s="1" t="str">
        <f>"63537"</f>
        <v>63537</v>
      </c>
      <c r="C44498" s="2">
        <v>1.10101325697909E-4</v>
      </c>
      <c r="D44498" s="2">
        <v>2.98130361264735E-4</v>
      </c>
      <c r="E44498" s="2">
        <v>2.1935389525206301E-4</v>
      </c>
      <c r="F44498" s="2">
        <v>1.2493109546808E-4</v>
      </c>
    </row>
    <row r="44499" spans="1:6" x14ac:dyDescent="0.25">
      <c r="A44499" s="1" t="str">
        <f t="shared" si="1499"/>
        <v>99999</v>
      </c>
      <c r="B44499" s="1" t="str">
        <f>"63547"</f>
        <v>63547</v>
      </c>
      <c r="C44499" s="2">
        <v>2.39256568134099E-5</v>
      </c>
      <c r="D44499" s="2">
        <v>2.1079924533870101E-5</v>
      </c>
      <c r="E44499" s="2">
        <v>4.3010567696482999E-6</v>
      </c>
      <c r="F44499" s="2">
        <v>2.3288892994049601E-5</v>
      </c>
    </row>
    <row r="44500" spans="1:6" x14ac:dyDescent="0.25">
      <c r="A44500" s="1" t="str">
        <f t="shared" si="1499"/>
        <v>99999</v>
      </c>
      <c r="B44500" s="1" t="str">
        <f>"63469"</f>
        <v>63469</v>
      </c>
      <c r="C44500" s="2">
        <v>6.8420882832919005E-5</v>
      </c>
      <c r="D44500" s="2">
        <v>7.2274026973269097E-5</v>
      </c>
      <c r="E44500" s="2">
        <v>3.01073973875381E-5</v>
      </c>
      <c r="F44500" s="2">
        <v>6.7794362232678499E-5</v>
      </c>
    </row>
    <row r="44501" spans="1:6" x14ac:dyDescent="0.25">
      <c r="A44501" s="1" t="str">
        <f t="shared" si="1499"/>
        <v>99999</v>
      </c>
      <c r="B44501" s="1" t="str">
        <f>"63460"</f>
        <v>63460</v>
      </c>
      <c r="C44501" s="2">
        <v>1.9162177628839599E-5</v>
      </c>
      <c r="D44501" s="2">
        <v>2.4091342324423E-5</v>
      </c>
      <c r="E44501" s="2">
        <v>4.3010567696482999E-6</v>
      </c>
      <c r="F44501" s="2">
        <v>1.91442594951086E-5</v>
      </c>
    </row>
    <row r="44502" spans="1:6" x14ac:dyDescent="0.25">
      <c r="A44502" s="1" t="str">
        <f t="shared" si="1499"/>
        <v>99999</v>
      </c>
      <c r="B44502" s="1" t="str">
        <f>"63549"</f>
        <v>63549</v>
      </c>
      <c r="C44502" s="2">
        <v>1.3164524291903401E-4</v>
      </c>
      <c r="D44502" s="2">
        <v>1.9875357417648999E-4</v>
      </c>
      <c r="E44502" s="2">
        <v>8.6021135392965999E-5</v>
      </c>
      <c r="F44502" s="2">
        <v>1.3499663396550801E-4</v>
      </c>
    </row>
    <row r="44503" spans="1:6" x14ac:dyDescent="0.25">
      <c r="A44503" s="1" t="str">
        <f t="shared" si="1499"/>
        <v>99999</v>
      </c>
      <c r="B44503" s="1" t="str">
        <f>"65014"</f>
        <v>65014</v>
      </c>
      <c r="C44503" s="2">
        <v>9.5702627253639803E-5</v>
      </c>
      <c r="D44503" s="2">
        <v>3.01141779055288E-5</v>
      </c>
      <c r="E44503" s="2">
        <v>3.01073973875381E-5</v>
      </c>
      <c r="F44503" s="2">
        <v>8.9899074227030705E-5</v>
      </c>
    </row>
    <row r="44504" spans="1:6" x14ac:dyDescent="0.25">
      <c r="A44504" s="1" t="str">
        <f t="shared" si="1499"/>
        <v>99999</v>
      </c>
      <c r="B44504" s="1" t="str">
        <f>"63437"</f>
        <v>63437</v>
      </c>
      <c r="C44504" s="2">
        <v>8.82326258051091E-5</v>
      </c>
      <c r="D44504" s="2">
        <v>5.8722646915781101E-5</v>
      </c>
      <c r="E44504" s="2">
        <v>1.29031703089449E-5</v>
      </c>
      <c r="F44504" s="2">
        <v>8.4570259728392194E-5</v>
      </c>
    </row>
    <row r="44505" spans="1:6" x14ac:dyDescent="0.25">
      <c r="A44505" s="1" t="str">
        <f t="shared" si="1499"/>
        <v>99999</v>
      </c>
      <c r="B44505" s="1" t="str">
        <f>"56221"</f>
        <v>56221</v>
      </c>
      <c r="C44505" s="2">
        <v>2.24100043455921E-5</v>
      </c>
      <c r="D44505" s="2">
        <v>9.0342533716586405E-6</v>
      </c>
      <c r="E44505" s="2">
        <v>1.72042270785932E-5</v>
      </c>
      <c r="F44505" s="2">
        <v>2.1413939744528701E-5</v>
      </c>
    </row>
    <row r="44506" spans="1:6" x14ac:dyDescent="0.25">
      <c r="A44506" s="1" t="str">
        <f t="shared" si="1499"/>
        <v>99999</v>
      </c>
      <c r="B44506" s="1" t="str">
        <f>"55385"</f>
        <v>55385</v>
      </c>
      <c r="C44506" s="2">
        <v>1.50482637876198E-5</v>
      </c>
      <c r="D44506" s="2">
        <v>0</v>
      </c>
      <c r="E44506" s="2">
        <v>8.6021135392965999E-6</v>
      </c>
      <c r="F44506" s="2">
        <v>1.39141267464449E-5</v>
      </c>
    </row>
    <row r="44507" spans="1:6" x14ac:dyDescent="0.25">
      <c r="A44507" s="1" t="str">
        <f t="shared" si="1499"/>
        <v>99999</v>
      </c>
      <c r="B44507" s="1" t="str">
        <f>"55324"</f>
        <v>55324</v>
      </c>
      <c r="C44507" s="2">
        <v>6.7879578380126906E-5</v>
      </c>
      <c r="D44507" s="2">
        <v>1.50570889527644E-6</v>
      </c>
      <c r="E44507" s="2">
        <v>3.44084541571864E-5</v>
      </c>
      <c r="F44507" s="2">
        <v>6.2761592983964399E-5</v>
      </c>
    </row>
    <row r="44508" spans="1:6" x14ac:dyDescent="0.25">
      <c r="A44508" s="1" t="str">
        <f t="shared" si="1499"/>
        <v>99999</v>
      </c>
      <c r="B44508" s="1" t="str">
        <f>"58013"</f>
        <v>58013</v>
      </c>
      <c r="C44508" s="2">
        <v>7.6865232296475401E-6</v>
      </c>
      <c r="D44508" s="2">
        <v>7.5285444763821999E-6</v>
      </c>
      <c r="E44508" s="2">
        <v>4.3010567696482999E-6</v>
      </c>
      <c r="F44508" s="2">
        <v>7.5984947480585801E-6</v>
      </c>
    </row>
    <row r="44509" spans="1:6" x14ac:dyDescent="0.25">
      <c r="A44509" s="1" t="str">
        <f t="shared" si="1499"/>
        <v>99999</v>
      </c>
      <c r="B44509" s="1" t="str">
        <f>"57469"</f>
        <v>57469</v>
      </c>
      <c r="C44509" s="2">
        <v>1.78846991202503E-4</v>
      </c>
      <c r="D44509" s="2">
        <v>3.1469315911277602E-4</v>
      </c>
      <c r="E44509" s="2">
        <v>4.51610960813071E-4</v>
      </c>
      <c r="F44509" s="2">
        <v>1.9400832045042999E-4</v>
      </c>
    </row>
    <row r="44510" spans="1:6" x14ac:dyDescent="0.25">
      <c r="A44510" s="1" t="str">
        <f t="shared" si="1499"/>
        <v>99999</v>
      </c>
      <c r="B44510" s="1" t="str">
        <f>"57625"</f>
        <v>57625</v>
      </c>
      <c r="C44510" s="2">
        <v>7.2101753111905093E-5</v>
      </c>
      <c r="D44510" s="2">
        <v>7.82968625543749E-5</v>
      </c>
      <c r="E44510" s="2">
        <v>2.58063406178898E-5</v>
      </c>
      <c r="F44510" s="2">
        <v>7.1445586981745603E-5</v>
      </c>
    </row>
    <row r="44511" spans="1:6" x14ac:dyDescent="0.25">
      <c r="A44511" s="1" t="str">
        <f t="shared" si="1499"/>
        <v>99999</v>
      </c>
      <c r="B44511" s="1" t="str">
        <f>"57730"</f>
        <v>57730</v>
      </c>
      <c r="C44511" s="2">
        <v>3.2218441030184598E-4</v>
      </c>
      <c r="D44511" s="2">
        <v>5.4657232898534705E-4</v>
      </c>
      <c r="E44511" s="2">
        <v>6.4945957221689303E-4</v>
      </c>
      <c r="F44511" s="2">
        <v>3.4439930741200498E-4</v>
      </c>
    </row>
    <row r="44512" spans="1:6" x14ac:dyDescent="0.25">
      <c r="A44512" s="1" t="str">
        <f t="shared" si="1499"/>
        <v>99999</v>
      </c>
      <c r="B44512" s="1" t="str">
        <f>"58033"</f>
        <v>58033</v>
      </c>
      <c r="C44512" s="2">
        <v>2.1868699892800001E-5</v>
      </c>
      <c r="D44512" s="2">
        <v>1.20456711622115E-5</v>
      </c>
      <c r="E44512" s="2">
        <v>1.29031703089449E-5</v>
      </c>
      <c r="F44512" s="2">
        <v>2.10192127446295E-5</v>
      </c>
    </row>
    <row r="44513" spans="1:6" x14ac:dyDescent="0.25">
      <c r="A44513" s="1" t="str">
        <f t="shared" si="1499"/>
        <v>99999</v>
      </c>
      <c r="B44513" s="1" t="str">
        <f>"57523"</f>
        <v>57523</v>
      </c>
      <c r="C44513" s="2">
        <v>7.4916536266423899E-5</v>
      </c>
      <c r="D44513" s="2">
        <v>4.3665557963016701E-5</v>
      </c>
      <c r="E44513" s="2">
        <v>3.8709510926834699E-5</v>
      </c>
      <c r="F44513" s="2">
        <v>7.2037677481594304E-5</v>
      </c>
    </row>
    <row r="44514" spans="1:6" x14ac:dyDescent="0.25">
      <c r="A44514" s="1" t="str">
        <f t="shared" si="1499"/>
        <v>99999</v>
      </c>
      <c r="B44514" s="1" t="str">
        <f>"57755"</f>
        <v>57755</v>
      </c>
      <c r="C44514" s="2">
        <v>1.2016958851984099E-5</v>
      </c>
      <c r="D44514" s="2">
        <v>3.01141779055288E-6</v>
      </c>
      <c r="E44514" s="2">
        <v>4.3010567696482999E-6</v>
      </c>
      <c r="F44514" s="2">
        <v>1.1249719497125601E-5</v>
      </c>
    </row>
    <row r="44515" spans="1:6" x14ac:dyDescent="0.25">
      <c r="A44515" s="1" t="str">
        <f t="shared" si="1499"/>
        <v>99999</v>
      </c>
      <c r="B44515" s="1" t="str">
        <f>"57454"</f>
        <v>57454</v>
      </c>
      <c r="C44515" s="2">
        <v>2.9555223122447599E-5</v>
      </c>
      <c r="D44515" s="2">
        <v>3.01141779055288E-6</v>
      </c>
      <c r="E44515" s="2">
        <v>1.29031703089449E-5</v>
      </c>
      <c r="F44515" s="2">
        <v>2.7433526492990701E-5</v>
      </c>
    </row>
    <row r="44516" spans="1:6" x14ac:dyDescent="0.25">
      <c r="A44516" s="1" t="str">
        <f t="shared" si="1499"/>
        <v>99999</v>
      </c>
      <c r="B44516" s="1" t="str">
        <f>"58032"</f>
        <v>58032</v>
      </c>
      <c r="C44516" s="2">
        <v>3.5509572103160502E-5</v>
      </c>
      <c r="D44516" s="2">
        <v>4.9688393544122498E-5</v>
      </c>
      <c r="E44516" s="2">
        <v>1.5913910047698701E-4</v>
      </c>
      <c r="F44516" s="2">
        <v>3.9275336489965102E-5</v>
      </c>
    </row>
    <row r="44517" spans="1:6" x14ac:dyDescent="0.25">
      <c r="A44517" s="1" t="str">
        <f t="shared" si="1499"/>
        <v>99999</v>
      </c>
      <c r="B44517" s="1" t="str">
        <f>"59821"</f>
        <v>59821</v>
      </c>
      <c r="C44517" s="2">
        <v>7.0910883315762505E-5</v>
      </c>
      <c r="D44517" s="2">
        <v>2.25856334291466E-5</v>
      </c>
      <c r="E44517" s="2">
        <v>7.3117965084021106E-5</v>
      </c>
      <c r="F44517" s="2">
        <v>6.7794362232678499E-5</v>
      </c>
    </row>
    <row r="44518" spans="1:6" x14ac:dyDescent="0.25">
      <c r="A44518" s="1" t="str">
        <f t="shared" si="1499"/>
        <v>99999</v>
      </c>
      <c r="B44518" s="1" t="str">
        <f>"59864"</f>
        <v>59864</v>
      </c>
      <c r="C44518" s="2">
        <v>3.3041223798428601E-4</v>
      </c>
      <c r="D44518" s="2">
        <v>3.8847289498132099E-4</v>
      </c>
      <c r="E44518" s="2">
        <v>4.4730990404342298E-4</v>
      </c>
      <c r="F44518" s="2">
        <v>3.3689949441392201E-4</v>
      </c>
    </row>
    <row r="44519" spans="1:6" x14ac:dyDescent="0.25">
      <c r="A44519" s="1" t="str">
        <f t="shared" si="1499"/>
        <v>99999</v>
      </c>
      <c r="B44519" s="1" t="str">
        <f>"59845"</f>
        <v>59845</v>
      </c>
      <c r="C44519" s="2">
        <v>2.6307396405695101E-5</v>
      </c>
      <c r="D44519" s="2">
        <v>2.25856334291466E-5</v>
      </c>
      <c r="E44519" s="2">
        <v>4.7311624466131299E-5</v>
      </c>
      <c r="F44519" s="2">
        <v>2.6545390743217599E-5</v>
      </c>
    </row>
    <row r="44520" spans="1:6" x14ac:dyDescent="0.25">
      <c r="A44520" s="1" t="str">
        <f t="shared" si="1499"/>
        <v>99999</v>
      </c>
      <c r="B44520" s="1" t="str">
        <f>"59911"</f>
        <v>59911</v>
      </c>
      <c r="C44520" s="2">
        <v>2.0818569254383399E-4</v>
      </c>
      <c r="D44520" s="2">
        <v>9.0342533716586399E-5</v>
      </c>
      <c r="E44520" s="2">
        <v>1.2042958955015201E-4</v>
      </c>
      <c r="F44520" s="2">
        <v>1.98448999199296E-4</v>
      </c>
    </row>
    <row r="44521" spans="1:6" x14ac:dyDescent="0.25">
      <c r="A44521" s="1" t="str">
        <f t="shared" si="1499"/>
        <v>99999</v>
      </c>
      <c r="B44521" s="1" t="str">
        <f>"59875"</f>
        <v>59875</v>
      </c>
      <c r="C44521" s="2">
        <v>1.8047090456087901E-4</v>
      </c>
      <c r="D44521" s="2">
        <v>2.1983349871035999E-4</v>
      </c>
      <c r="E44521" s="2">
        <v>2.5806340617889802E-4</v>
      </c>
      <c r="F44521" s="2">
        <v>1.84830917702775E-4</v>
      </c>
    </row>
    <row r="44522" spans="1:6" x14ac:dyDescent="0.25">
      <c r="A44522" s="1" t="str">
        <f t="shared" si="1499"/>
        <v>99999</v>
      </c>
      <c r="B44522" s="1" t="str">
        <f>"58770"</f>
        <v>58770</v>
      </c>
      <c r="C44522" s="2">
        <v>4.7093487392911002E-5</v>
      </c>
      <c r="D44522" s="2">
        <v>2.1079924533870101E-5</v>
      </c>
      <c r="E44522" s="2">
        <v>8.6021135392965999E-5</v>
      </c>
      <c r="F44522" s="2">
        <v>4.6281740738175001E-5</v>
      </c>
    </row>
    <row r="44523" spans="1:6" x14ac:dyDescent="0.25">
      <c r="A44523" s="1" t="str">
        <f t="shared" si="1499"/>
        <v>99999</v>
      </c>
      <c r="B44523" s="1" t="str">
        <f>"59022"</f>
        <v>59022</v>
      </c>
      <c r="C44523" s="2">
        <v>4.4386965128950601E-6</v>
      </c>
      <c r="D44523" s="2">
        <v>1.9574215638593701E-5</v>
      </c>
      <c r="E44523" s="2">
        <v>4.3010567696482999E-6</v>
      </c>
      <c r="F44523" s="2">
        <v>5.4274962486132697E-6</v>
      </c>
    </row>
    <row r="44524" spans="1:6" x14ac:dyDescent="0.25">
      <c r="A44524" s="1" t="str">
        <f t="shared" si="1499"/>
        <v>99999</v>
      </c>
      <c r="B44524" s="1" t="str">
        <f>"59036"</f>
        <v>59036</v>
      </c>
      <c r="C44524" s="2">
        <v>8.82326258051091E-5</v>
      </c>
      <c r="D44524" s="2">
        <v>7.5285444763821999E-6</v>
      </c>
      <c r="E44524" s="2">
        <v>1.37633816628745E-4</v>
      </c>
      <c r="F44524" s="2">
        <v>8.4076850978518296E-5</v>
      </c>
    </row>
    <row r="44525" spans="1:6" x14ac:dyDescent="0.25">
      <c r="A44525" s="1" t="str">
        <f t="shared" si="1499"/>
        <v>99999</v>
      </c>
      <c r="B44525" s="1" t="str">
        <f>"58561"</f>
        <v>58561</v>
      </c>
      <c r="C44525" s="2">
        <v>5.5646097747025903E-5</v>
      </c>
      <c r="D44525" s="2">
        <v>6.6251191392163294E-5</v>
      </c>
      <c r="E44525" s="2">
        <v>7.7419021853669399E-5</v>
      </c>
      <c r="F44525" s="2">
        <v>5.68406879854772E-5</v>
      </c>
    </row>
    <row r="44526" spans="1:6" x14ac:dyDescent="0.25">
      <c r="A44526" s="1" t="str">
        <f t="shared" si="1499"/>
        <v>99999</v>
      </c>
      <c r="B44526" s="1" t="str">
        <f>"58634"</f>
        <v>58634</v>
      </c>
      <c r="C44526" s="2">
        <v>1.33160895386851E-5</v>
      </c>
      <c r="D44526" s="2">
        <v>1.50570889527644E-6</v>
      </c>
      <c r="E44526" s="2">
        <v>1.72042270785932E-5</v>
      </c>
      <c r="F44526" s="2">
        <v>1.26312639967727E-5</v>
      </c>
    </row>
    <row r="44527" spans="1:6" x14ac:dyDescent="0.25">
      <c r="A44527" s="1" t="str">
        <f t="shared" si="1499"/>
        <v>99999</v>
      </c>
      <c r="B44527" s="1" t="str">
        <f>"58636"</f>
        <v>58636</v>
      </c>
      <c r="C44527" s="2">
        <v>3.4102180525900997E-5</v>
      </c>
      <c r="D44527" s="2">
        <v>3.01141779055288E-5</v>
      </c>
      <c r="E44527" s="2">
        <v>8.6021135392965999E-5</v>
      </c>
      <c r="F44527" s="2">
        <v>3.5032021241049297E-5</v>
      </c>
    </row>
    <row r="44528" spans="1:6" x14ac:dyDescent="0.25">
      <c r="A44528" s="1" t="str">
        <f t="shared" si="1499"/>
        <v>99999</v>
      </c>
      <c r="B44528" s="1" t="str">
        <f>"58562"</f>
        <v>58562</v>
      </c>
      <c r="C44528" s="2">
        <v>2.5657831062344601E-5</v>
      </c>
      <c r="D44528" s="2">
        <v>4.5171266858293203E-6</v>
      </c>
      <c r="E44528" s="2">
        <v>4.3010567696482999E-5</v>
      </c>
      <c r="F44528" s="2">
        <v>2.4670437493696699E-5</v>
      </c>
    </row>
    <row r="44529" spans="1:6" x14ac:dyDescent="0.25">
      <c r="A44529" s="1" t="str">
        <f t="shared" si="1499"/>
        <v>99999</v>
      </c>
      <c r="B44529" s="1" t="str">
        <f>"59031"</f>
        <v>59031</v>
      </c>
      <c r="C44529" s="2">
        <v>1.51565246781782E-6</v>
      </c>
      <c r="D44529" s="2">
        <v>0</v>
      </c>
      <c r="E44529" s="2">
        <v>4.3010567696482999E-6</v>
      </c>
      <c r="F44529" s="2">
        <v>1.4802262496218E-6</v>
      </c>
    </row>
    <row r="44530" spans="1:6" x14ac:dyDescent="0.25">
      <c r="A44530" s="1" t="str">
        <f t="shared" si="1499"/>
        <v>99999</v>
      </c>
      <c r="B44530" s="1" t="str">
        <f>"58549"</f>
        <v>58549</v>
      </c>
      <c r="C44530" s="2">
        <v>1.2233480633101E-5</v>
      </c>
      <c r="D44530" s="2">
        <v>7.5285444763821999E-6</v>
      </c>
      <c r="E44530" s="2">
        <v>4.3010567696482999E-6</v>
      </c>
      <c r="F44530" s="2">
        <v>1.1743128246999599E-5</v>
      </c>
    </row>
    <row r="44531" spans="1:6" x14ac:dyDescent="0.25">
      <c r="A44531" s="1" t="str">
        <f t="shared" si="1499"/>
        <v>99999</v>
      </c>
      <c r="B44531" s="1" t="str">
        <f>"58552"</f>
        <v>58552</v>
      </c>
      <c r="C44531" s="2">
        <v>1.1454002221080399E-4</v>
      </c>
      <c r="D44531" s="2">
        <v>5.7216938020504697E-5</v>
      </c>
      <c r="E44531" s="2">
        <v>1.8924649786452501E-4</v>
      </c>
      <c r="F44531" s="2">
        <v>1.12497194971256E-4</v>
      </c>
    </row>
    <row r="44532" spans="1:6" x14ac:dyDescent="0.25">
      <c r="A44532" s="1" t="str">
        <f t="shared" si="1499"/>
        <v>99999</v>
      </c>
      <c r="B44532" s="1" t="str">
        <f>"59027"</f>
        <v>59027</v>
      </c>
      <c r="C44532" s="2">
        <v>4.3520878004483202E-5</v>
      </c>
      <c r="D44532" s="2">
        <v>7.5285444763821999E-6</v>
      </c>
      <c r="E44532" s="2">
        <v>3.8709510926834699E-5</v>
      </c>
      <c r="F44532" s="2">
        <v>4.10516079895113E-5</v>
      </c>
    </row>
    <row r="44533" spans="1:6" x14ac:dyDescent="0.25">
      <c r="A44533" s="1" t="str">
        <f t="shared" si="1499"/>
        <v>99999</v>
      </c>
      <c r="B44533" s="1" t="str">
        <f>"58564"</f>
        <v>58564</v>
      </c>
      <c r="C44533" s="2">
        <v>6.7121752146218001E-6</v>
      </c>
      <c r="D44533" s="2">
        <v>4.5171266858293203E-6</v>
      </c>
      <c r="E44533" s="2">
        <v>4.3010567696482999E-6</v>
      </c>
      <c r="F44533" s="2">
        <v>6.5129954983359203E-6</v>
      </c>
    </row>
    <row r="44534" spans="1:6" x14ac:dyDescent="0.25">
      <c r="A44534" s="1" t="str">
        <f t="shared" si="1499"/>
        <v>99999</v>
      </c>
      <c r="B44534" s="1" t="str">
        <f>"58833"</f>
        <v>58833</v>
      </c>
      <c r="C44534" s="2">
        <v>3.7891311695445602E-6</v>
      </c>
      <c r="D44534" s="2">
        <v>7.5285444763821999E-6</v>
      </c>
      <c r="E44534" s="2">
        <v>4.3010567696482999E-6</v>
      </c>
      <c r="F44534" s="2">
        <v>4.0459517489662501E-6</v>
      </c>
    </row>
    <row r="44535" spans="1:6" x14ac:dyDescent="0.25">
      <c r="A44535" s="1" t="str">
        <f t="shared" si="1499"/>
        <v>99999</v>
      </c>
      <c r="B44535" s="1" t="str">
        <f>"59065"</f>
        <v>59065</v>
      </c>
      <c r="C44535" s="2">
        <v>1.06095672747247E-5</v>
      </c>
      <c r="D44535" s="2">
        <v>3.01141779055288E-6</v>
      </c>
      <c r="E44535" s="2">
        <v>4.3010567696482999E-6</v>
      </c>
      <c r="F44535" s="2">
        <v>9.9668567474534592E-6</v>
      </c>
    </row>
    <row r="44536" spans="1:6" x14ac:dyDescent="0.25">
      <c r="A44536" s="1" t="str">
        <f t="shared" si="1499"/>
        <v>99999</v>
      </c>
      <c r="B44536" s="1" t="str">
        <f>"59087"</f>
        <v>59087</v>
      </c>
      <c r="C44536" s="2">
        <v>1.2883045976451501E-5</v>
      </c>
      <c r="D44536" s="2">
        <v>0</v>
      </c>
      <c r="E44536" s="2">
        <v>4.3010567696482999E-6</v>
      </c>
      <c r="F44536" s="2">
        <v>1.18418099969744E-5</v>
      </c>
    </row>
    <row r="44537" spans="1:6" x14ac:dyDescent="0.25">
      <c r="A44537" s="1" t="str">
        <f t="shared" si="1499"/>
        <v>99999</v>
      </c>
      <c r="B44537" s="1" t="str">
        <f>"59501"</f>
        <v>59501</v>
      </c>
      <c r="C44537" s="2">
        <v>6.65371433372025E-4</v>
      </c>
      <c r="D44537" s="2">
        <v>9.8623932640606806E-4</v>
      </c>
      <c r="E44537" s="2">
        <v>1.46666035845007E-3</v>
      </c>
      <c r="F44537" s="2">
        <v>7.0478505831992699E-4</v>
      </c>
    </row>
    <row r="44538" spans="1:6" x14ac:dyDescent="0.25">
      <c r="A44538" s="1" t="str">
        <f t="shared" si="1499"/>
        <v>99999</v>
      </c>
      <c r="B44538" s="1" t="str">
        <f>"59521"</f>
        <v>59521</v>
      </c>
      <c r="C44538" s="2">
        <v>1.1464828310136201E-4</v>
      </c>
      <c r="D44538" s="2">
        <v>8.2813989240204205E-5</v>
      </c>
      <c r="E44538" s="2">
        <v>5.1612681235779599E-5</v>
      </c>
      <c r="F44538" s="2">
        <v>1.11115650471609E-4</v>
      </c>
    </row>
    <row r="44539" spans="1:6" x14ac:dyDescent="0.25">
      <c r="A44539" s="1" t="str">
        <f t="shared" si="1499"/>
        <v>99999</v>
      </c>
      <c r="B44539" s="1" t="str">
        <f>"59243"</f>
        <v>59243</v>
      </c>
      <c r="C44539" s="2">
        <v>8.8773930257901203E-6</v>
      </c>
      <c r="D44539" s="2">
        <v>3.01141779055288E-6</v>
      </c>
      <c r="E44539" s="2">
        <v>4.3010567696482999E-6</v>
      </c>
      <c r="F44539" s="2">
        <v>8.3879487478568692E-6</v>
      </c>
    </row>
    <row r="44540" spans="1:6" x14ac:dyDescent="0.25">
      <c r="A44540" s="1" t="str">
        <f t="shared" si="1499"/>
        <v>99999</v>
      </c>
      <c r="B44540" s="1" t="str">
        <f>"59441"</f>
        <v>59441</v>
      </c>
      <c r="C44540" s="2">
        <v>6.9286969957386301E-6</v>
      </c>
      <c r="D44540" s="2">
        <v>7.5285444763821999E-6</v>
      </c>
      <c r="E44540" s="2">
        <v>0</v>
      </c>
      <c r="F44540" s="2">
        <v>6.8090407482602902E-6</v>
      </c>
    </row>
    <row r="44541" spans="1:6" x14ac:dyDescent="0.25">
      <c r="A44541" s="1" t="str">
        <f t="shared" si="1499"/>
        <v>99999</v>
      </c>
      <c r="B44541" s="1" t="str">
        <f>"59720"</f>
        <v>59720</v>
      </c>
      <c r="C44541" s="2">
        <v>4.2979573551691197E-5</v>
      </c>
      <c r="D44541" s="2">
        <v>1.50570889527644E-5</v>
      </c>
      <c r="E44541" s="2">
        <v>3.44084541571864E-5</v>
      </c>
      <c r="F44541" s="2">
        <v>4.0952926239536503E-5</v>
      </c>
    </row>
    <row r="44542" spans="1:6" x14ac:dyDescent="0.25">
      <c r="A44542" s="1" t="str">
        <f t="shared" si="1499"/>
        <v>99999</v>
      </c>
      <c r="B44542" s="1" t="str">
        <f>"59442"</f>
        <v>59442</v>
      </c>
      <c r="C44542" s="2">
        <v>5.4130445279208001E-5</v>
      </c>
      <c r="D44542" s="2">
        <v>7.5285444763821999E-6</v>
      </c>
      <c r="E44542" s="2">
        <v>1.29031703089449E-5</v>
      </c>
      <c r="F44542" s="2">
        <v>5.0130328987191699E-5</v>
      </c>
    </row>
    <row r="44543" spans="1:6" x14ac:dyDescent="0.25">
      <c r="A44543" s="1" t="str">
        <f t="shared" si="1499"/>
        <v>99999</v>
      </c>
      <c r="B44543" s="1" t="str">
        <f>"59469"</f>
        <v>59469</v>
      </c>
      <c r="C44543" s="2">
        <v>7.5782623390891297E-6</v>
      </c>
      <c r="D44543" s="2">
        <v>6.0228355811057601E-6</v>
      </c>
      <c r="E44543" s="2">
        <v>4.3010567696482999E-6</v>
      </c>
      <c r="F44543" s="2">
        <v>7.4011312481090098E-6</v>
      </c>
    </row>
    <row r="44544" spans="1:6" x14ac:dyDescent="0.25">
      <c r="A44544" s="1" t="str">
        <f t="shared" si="1499"/>
        <v>99999</v>
      </c>
      <c r="B44544" s="1" t="str">
        <f>"59263"</f>
        <v>59263</v>
      </c>
      <c r="C44544" s="2">
        <v>1.0068262821932701E-5</v>
      </c>
      <c r="D44544" s="2">
        <v>3.01141779055288E-6</v>
      </c>
      <c r="E44544" s="2">
        <v>1.72042270785932E-5</v>
      </c>
      <c r="F44544" s="2">
        <v>9.7694932475038906E-6</v>
      </c>
    </row>
    <row r="44545" spans="1:6" x14ac:dyDescent="0.25">
      <c r="A44545" s="1" t="str">
        <f t="shared" si="1499"/>
        <v>99999</v>
      </c>
      <c r="B44545" s="1" t="str">
        <f>"59311"</f>
        <v>59311</v>
      </c>
      <c r="C44545" s="2">
        <v>7.5782623390891297E-6</v>
      </c>
      <c r="D44545" s="2">
        <v>7.5285444763821999E-6</v>
      </c>
      <c r="E44545" s="2">
        <v>6.0214794775076199E-5</v>
      </c>
      <c r="F44545" s="2">
        <v>8.7826757477560201E-6</v>
      </c>
    </row>
    <row r="44546" spans="1:6" x14ac:dyDescent="0.25">
      <c r="A44546" s="1" t="str">
        <f t="shared" si="1499"/>
        <v>99999</v>
      </c>
      <c r="B44546" s="1" t="str">
        <f>"59221"</f>
        <v>59221</v>
      </c>
      <c r="C44546" s="2">
        <v>7.03695788629705E-5</v>
      </c>
      <c r="D44546" s="2">
        <v>7.2274026973269097E-5</v>
      </c>
      <c r="E44546" s="2">
        <v>3.44084541571864E-5</v>
      </c>
      <c r="F44546" s="2">
        <v>6.9669315482199406E-5</v>
      </c>
    </row>
    <row r="44547" spans="1:6" x14ac:dyDescent="0.25">
      <c r="A44547" s="1" t="str">
        <f t="shared" si="1499"/>
        <v>99999</v>
      </c>
      <c r="B44547" s="1" t="str">
        <f>"58425"</f>
        <v>58425</v>
      </c>
      <c r="C44547" s="2">
        <v>7.1560448659112994E-5</v>
      </c>
      <c r="D44547" s="2">
        <v>5.1194102439398901E-5</v>
      </c>
      <c r="E44547" s="2">
        <v>2.5376234940924903E-4</v>
      </c>
      <c r="F44547" s="2">
        <v>7.4406039480989203E-5</v>
      </c>
    </row>
    <row r="44548" spans="1:6" x14ac:dyDescent="0.25">
      <c r="A44548" s="1" t="str">
        <f t="shared" si="1499"/>
        <v>99999</v>
      </c>
      <c r="B44548" s="1" t="str">
        <f>"58237"</f>
        <v>58237</v>
      </c>
      <c r="C44548" s="2">
        <v>2.8212788079523202E-4</v>
      </c>
      <c r="D44548" s="2">
        <v>4.2009278178212602E-4</v>
      </c>
      <c r="E44548" s="2">
        <v>5.93545834211465E-4</v>
      </c>
      <c r="F44548" s="2">
        <v>2.9831493017378E-4</v>
      </c>
    </row>
    <row r="44549" spans="1:6" x14ac:dyDescent="0.25">
      <c r="A44549" s="1" t="str">
        <f t="shared" si="1499"/>
        <v>99999</v>
      </c>
      <c r="B44549" s="1" t="str">
        <f>"58381"</f>
        <v>58381</v>
      </c>
      <c r="C44549" s="2">
        <v>1.9703482081631699E-5</v>
      </c>
      <c r="D44549" s="2">
        <v>1.35513800574879E-5</v>
      </c>
      <c r="E44549" s="2">
        <v>4.3010567696482999E-6</v>
      </c>
      <c r="F44549" s="2">
        <v>1.8946895995158999E-5</v>
      </c>
    </row>
    <row r="44550" spans="1:6" x14ac:dyDescent="0.25">
      <c r="A44550" s="1" t="str">
        <f t="shared" ref="A44550:A44613" si="1500">"99999"</f>
        <v>99999</v>
      </c>
      <c r="B44550" s="1" t="str">
        <f>"58357"</f>
        <v>58357</v>
      </c>
      <c r="C44550" s="2">
        <v>1.23417415236594E-5</v>
      </c>
      <c r="D44550" s="2">
        <v>1.50570889527644E-6</v>
      </c>
      <c r="E44550" s="2">
        <v>2.15052838482415E-5</v>
      </c>
      <c r="F44550" s="2">
        <v>1.18418099969744E-5</v>
      </c>
    </row>
    <row r="44551" spans="1:6" x14ac:dyDescent="0.25">
      <c r="A44551" s="1" t="str">
        <f t="shared" si="1500"/>
        <v>99999</v>
      </c>
      <c r="B44551" s="1" t="str">
        <f>"58431"</f>
        <v>58431</v>
      </c>
      <c r="C44551" s="2">
        <v>8.2278276824396208E-6</v>
      </c>
      <c r="D44551" s="2">
        <v>4.5171266858293203E-6</v>
      </c>
      <c r="E44551" s="2">
        <v>4.3010567696482999E-6</v>
      </c>
      <c r="F44551" s="2">
        <v>7.8945399979829399E-6</v>
      </c>
    </row>
    <row r="44552" spans="1:6" x14ac:dyDescent="0.25">
      <c r="A44552" s="1" t="str">
        <f t="shared" si="1500"/>
        <v>99999</v>
      </c>
      <c r="B44552" s="1" t="str">
        <f>"58218"</f>
        <v>58218</v>
      </c>
      <c r="C44552" s="2">
        <v>4.7851313626819901E-5</v>
      </c>
      <c r="D44552" s="2">
        <v>1.20456711622115E-5</v>
      </c>
      <c r="E44552" s="2">
        <v>5.1612681235779599E-5</v>
      </c>
      <c r="F44552" s="2">
        <v>4.5590968488351503E-5</v>
      </c>
    </row>
    <row r="44553" spans="1:6" x14ac:dyDescent="0.25">
      <c r="A44553" s="1" t="str">
        <f t="shared" si="1500"/>
        <v>99999</v>
      </c>
      <c r="B44553" s="1" t="str">
        <f>"58275"</f>
        <v>58275</v>
      </c>
      <c r="C44553" s="2">
        <v>1.34243504292436E-5</v>
      </c>
      <c r="D44553" s="2">
        <v>0</v>
      </c>
      <c r="E44553" s="2">
        <v>8.6021135392965999E-6</v>
      </c>
      <c r="F44553" s="2">
        <v>1.2433900496823101E-5</v>
      </c>
    </row>
    <row r="44554" spans="1:6" x14ac:dyDescent="0.25">
      <c r="A44554" s="1" t="str">
        <f t="shared" si="1500"/>
        <v>99999</v>
      </c>
      <c r="B44554" s="1" t="str">
        <f>"58418"</f>
        <v>58418</v>
      </c>
      <c r="C44554" s="2">
        <v>1.7971307832697E-5</v>
      </c>
      <c r="D44554" s="2">
        <v>4.5171266858293203E-6</v>
      </c>
      <c r="E44554" s="2">
        <v>8.6021135392965999E-6</v>
      </c>
      <c r="F44554" s="2">
        <v>1.6874579245688502E-5</v>
      </c>
    </row>
    <row r="44555" spans="1:6" x14ac:dyDescent="0.25">
      <c r="A44555" s="1" t="str">
        <f t="shared" si="1500"/>
        <v>99999</v>
      </c>
      <c r="B44555" s="1" t="str">
        <f>"58230"</f>
        <v>58230</v>
      </c>
      <c r="C44555" s="2">
        <v>4.8717400751287198E-5</v>
      </c>
      <c r="D44555" s="2">
        <v>4.6676975753569603E-5</v>
      </c>
      <c r="E44555" s="2">
        <v>2.58063406178898E-5</v>
      </c>
      <c r="F44555" s="2">
        <v>4.8058012237721097E-5</v>
      </c>
    </row>
    <row r="44556" spans="1:6" x14ac:dyDescent="0.25">
      <c r="A44556" s="1" t="str">
        <f t="shared" si="1500"/>
        <v>99999</v>
      </c>
      <c r="B44556" s="1" t="str">
        <f>"58351"</f>
        <v>58351</v>
      </c>
      <c r="C44556" s="2">
        <v>2.3167830579501E-5</v>
      </c>
      <c r="D44556" s="2">
        <v>1.20456711622115E-5</v>
      </c>
      <c r="E44556" s="2">
        <v>1.29031703089449E-5</v>
      </c>
      <c r="F44556" s="2">
        <v>2.2203393744327E-5</v>
      </c>
    </row>
    <row r="44557" spans="1:6" x14ac:dyDescent="0.25">
      <c r="A44557" s="1" t="str">
        <f t="shared" si="1500"/>
        <v>99999</v>
      </c>
      <c r="B44557" s="1" t="str">
        <f>"58463"</f>
        <v>58463</v>
      </c>
      <c r="C44557" s="2">
        <v>3.2803049839199998E-5</v>
      </c>
      <c r="D44557" s="2">
        <v>1.9574215638593701E-5</v>
      </c>
      <c r="E44557" s="2">
        <v>4.7311624466131299E-5</v>
      </c>
      <c r="F44557" s="2">
        <v>3.2268932241755197E-5</v>
      </c>
    </row>
    <row r="44558" spans="1:6" x14ac:dyDescent="0.25">
      <c r="A44558" s="1" t="str">
        <f t="shared" si="1500"/>
        <v>99999</v>
      </c>
      <c r="B44558" s="1" t="str">
        <f>"58220"</f>
        <v>58220</v>
      </c>
      <c r="C44558" s="2">
        <v>1.2818089442116399E-4</v>
      </c>
      <c r="D44558" s="2">
        <v>1.0088249598352101E-4</v>
      </c>
      <c r="E44558" s="2">
        <v>2.23654952021711E-4</v>
      </c>
      <c r="F44558" s="2">
        <v>1.2858232021714701E-4</v>
      </c>
    </row>
    <row r="44559" spans="1:6" x14ac:dyDescent="0.25">
      <c r="A44559" s="1" t="str">
        <f t="shared" si="1500"/>
        <v>99999</v>
      </c>
      <c r="B44559" s="1" t="str">
        <f>"58231"</f>
        <v>58231</v>
      </c>
      <c r="C44559" s="2">
        <v>1.8837394957164399E-5</v>
      </c>
      <c r="D44559" s="2">
        <v>3.01141779055288E-6</v>
      </c>
      <c r="E44559" s="2">
        <v>4.3010567696482999E-6</v>
      </c>
      <c r="F44559" s="2">
        <v>1.7466669745537199E-5</v>
      </c>
    </row>
    <row r="44560" spans="1:6" x14ac:dyDescent="0.25">
      <c r="A44560" s="1" t="str">
        <f t="shared" si="1500"/>
        <v>99999</v>
      </c>
      <c r="B44560" s="1" t="str">
        <f>"61532"</f>
        <v>61532</v>
      </c>
      <c r="C44560" s="2">
        <v>3.3236093401433701E-5</v>
      </c>
      <c r="D44560" s="2">
        <v>1.20456711622115E-5</v>
      </c>
      <c r="E44560" s="2">
        <v>4.3010567696482999E-6</v>
      </c>
      <c r="F44560" s="2">
        <v>3.1183432992032599E-5</v>
      </c>
    </row>
    <row r="44561" spans="1:6" x14ac:dyDescent="0.25">
      <c r="A44561" s="1" t="str">
        <f t="shared" si="1500"/>
        <v>99999</v>
      </c>
      <c r="B44561" s="1" t="str">
        <f>"61453"</f>
        <v>61453</v>
      </c>
      <c r="C44561" s="2">
        <v>3.3127832510875297E-5</v>
      </c>
      <c r="D44561" s="2">
        <v>7.5285444763821999E-6</v>
      </c>
      <c r="E44561" s="2">
        <v>2.58063406178898E-5</v>
      </c>
      <c r="F44561" s="2">
        <v>3.1282114742007402E-5</v>
      </c>
    </row>
    <row r="44562" spans="1:6" x14ac:dyDescent="0.25">
      <c r="A44562" s="1" t="str">
        <f t="shared" si="1500"/>
        <v>99999</v>
      </c>
      <c r="B44562" s="1" t="str">
        <f>"60936"</f>
        <v>60936</v>
      </c>
      <c r="C44562" s="2">
        <v>2.35683958745672E-4</v>
      </c>
      <c r="D44562" s="2">
        <v>4.4568983300182603E-4</v>
      </c>
      <c r="E44562" s="2">
        <v>5.1612681235779605E-4</v>
      </c>
      <c r="F44562" s="2">
        <v>2.5588177768462201E-4</v>
      </c>
    </row>
    <row r="44563" spans="1:6" x14ac:dyDescent="0.25">
      <c r="A44563" s="1" t="str">
        <f t="shared" si="1500"/>
        <v>99999</v>
      </c>
      <c r="B44563" s="1" t="str">
        <f>"60911"</f>
        <v>60911</v>
      </c>
      <c r="C44563" s="2">
        <v>6.7446534817893196E-5</v>
      </c>
      <c r="D44563" s="2">
        <v>3.01141779055288E-5</v>
      </c>
      <c r="E44563" s="2">
        <v>1.2215001225801101E-3</v>
      </c>
      <c r="F44563" s="2">
        <v>9.1477982226627295E-5</v>
      </c>
    </row>
    <row r="44564" spans="1:6" x14ac:dyDescent="0.25">
      <c r="A44564" s="1" t="str">
        <f t="shared" si="1500"/>
        <v>99999</v>
      </c>
      <c r="B44564" s="1" t="str">
        <f>"60973"</f>
        <v>60973</v>
      </c>
      <c r="C44564" s="2">
        <v>8.7691321352316998E-6</v>
      </c>
      <c r="D44564" s="2">
        <v>7.5285444763821999E-6</v>
      </c>
      <c r="E44564" s="2">
        <v>3.1827820095397402E-4</v>
      </c>
      <c r="F44564" s="2">
        <v>1.5789079995965799E-5</v>
      </c>
    </row>
    <row r="44565" spans="1:6" x14ac:dyDescent="0.25">
      <c r="A44565" s="1" t="str">
        <f t="shared" si="1500"/>
        <v>99999</v>
      </c>
      <c r="B44565" s="1" t="str">
        <f>"60966"</f>
        <v>60966</v>
      </c>
      <c r="C44565" s="2">
        <v>7.71900149681507E-5</v>
      </c>
      <c r="D44565" s="2">
        <v>3.01141779055288E-5</v>
      </c>
      <c r="E44565" s="2">
        <v>8.4730818362071495E-4</v>
      </c>
      <c r="F44565" s="2">
        <v>9.1774027476551707E-5</v>
      </c>
    </row>
    <row r="44566" spans="1:6" x14ac:dyDescent="0.25">
      <c r="A44566" s="1" t="str">
        <f t="shared" si="1500"/>
        <v>99999</v>
      </c>
      <c r="B44566" s="1" t="str">
        <f>"60952"</f>
        <v>60952</v>
      </c>
      <c r="C44566" s="2">
        <v>3.3885658744784197E-5</v>
      </c>
      <c r="D44566" s="2">
        <v>1.80685067433172E-5</v>
      </c>
      <c r="E44566" s="2">
        <v>2.15052838482415E-5</v>
      </c>
      <c r="F44566" s="2">
        <v>3.2564977491679601E-5</v>
      </c>
    </row>
    <row r="44567" spans="1:6" x14ac:dyDescent="0.25">
      <c r="A44567" s="1" t="str">
        <f t="shared" si="1500"/>
        <v>99999</v>
      </c>
      <c r="B44567" s="1" t="str">
        <f>"62233"</f>
        <v>62233</v>
      </c>
      <c r="C44567" s="2">
        <v>3.2283397564519697E-4</v>
      </c>
      <c r="D44567" s="2">
        <v>4.0503569282936201E-4</v>
      </c>
      <c r="E44567" s="2">
        <v>5.93545834211465E-4</v>
      </c>
      <c r="F44567" s="2">
        <v>3.3443245066455202E-4</v>
      </c>
    </row>
    <row r="44568" spans="1:6" x14ac:dyDescent="0.25">
      <c r="A44568" s="1" t="str">
        <f t="shared" si="1500"/>
        <v>99999</v>
      </c>
      <c r="B44568" s="1" t="str">
        <f>"62241"</f>
        <v>62241</v>
      </c>
      <c r="C44568" s="2">
        <v>4.9583487875754603E-5</v>
      </c>
      <c r="D44568" s="2">
        <v>1.65627978480408E-5</v>
      </c>
      <c r="E44568" s="2">
        <v>3.8709510926834699E-5</v>
      </c>
      <c r="F44568" s="2">
        <v>4.7169876487947998E-5</v>
      </c>
    </row>
    <row r="44569" spans="1:6" x14ac:dyDescent="0.25">
      <c r="A44569" s="1" t="str">
        <f t="shared" si="1500"/>
        <v>99999</v>
      </c>
      <c r="B44569" s="1" t="str">
        <f>"52231"</f>
        <v>52231</v>
      </c>
      <c r="C44569" s="2">
        <v>1.77547860515802E-5</v>
      </c>
      <c r="D44569" s="2">
        <v>2.25856334291466E-5</v>
      </c>
      <c r="E44569" s="2">
        <v>0</v>
      </c>
      <c r="F44569" s="2">
        <v>1.76640332454868E-5</v>
      </c>
    </row>
    <row r="44570" spans="1:6" x14ac:dyDescent="0.25">
      <c r="A44570" s="1" t="str">
        <f t="shared" si="1500"/>
        <v>99999</v>
      </c>
      <c r="B44570" s="1" t="str">
        <f>"61051"</f>
        <v>61051</v>
      </c>
      <c r="C44570" s="2">
        <v>8.9098712929576505E-5</v>
      </c>
      <c r="D44570" s="2">
        <v>4.2159849067740298E-5</v>
      </c>
      <c r="E44570" s="2">
        <v>9.0322192162614306E-5</v>
      </c>
      <c r="F44570" s="2">
        <v>8.6050485978014102E-5</v>
      </c>
    </row>
    <row r="44571" spans="1:6" x14ac:dyDescent="0.25">
      <c r="A44571" s="1" t="str">
        <f t="shared" si="1500"/>
        <v>99999</v>
      </c>
      <c r="B44571" s="1" t="str">
        <f>"54665"</f>
        <v>54665</v>
      </c>
      <c r="C44571" s="2">
        <v>4.6346487248057901E-4</v>
      </c>
      <c r="D44571" s="2">
        <v>6.8208612956022696E-4</v>
      </c>
      <c r="E44571" s="2">
        <v>7.9569550238493499E-4</v>
      </c>
      <c r="F44571" s="2">
        <v>4.85415528125976E-4</v>
      </c>
    </row>
    <row r="44572" spans="1:6" x14ac:dyDescent="0.25">
      <c r="A44572" s="1" t="str">
        <f t="shared" si="1500"/>
        <v>99999</v>
      </c>
      <c r="B44572" s="1" t="str">
        <f>"54736"</f>
        <v>54736</v>
      </c>
      <c r="C44572" s="2">
        <v>2.1013438857388499E-4</v>
      </c>
      <c r="D44572" s="2">
        <v>2.95118943474182E-4</v>
      </c>
      <c r="E44572" s="2">
        <v>2.7096657648784301E-4</v>
      </c>
      <c r="F44572" s="2">
        <v>2.1709984994452999E-4</v>
      </c>
    </row>
    <row r="44573" spans="1:6" x14ac:dyDescent="0.25">
      <c r="A44573" s="1" t="str">
        <f t="shared" si="1500"/>
        <v>99999</v>
      </c>
      <c r="B44573" s="1" t="str">
        <f>"54741"</f>
        <v>54741</v>
      </c>
      <c r="C44573" s="2">
        <v>3.3344354291992097E-5</v>
      </c>
      <c r="D44573" s="2">
        <v>6.0228355811057601E-6</v>
      </c>
      <c r="E44573" s="2">
        <v>4.3010567696482999E-6</v>
      </c>
      <c r="F44573" s="2">
        <v>3.0887387742108201E-5</v>
      </c>
    </row>
    <row r="44574" spans="1:6" x14ac:dyDescent="0.25">
      <c r="A44574" s="1" t="str">
        <f t="shared" si="1500"/>
        <v>99999</v>
      </c>
      <c r="B44574" s="1" t="str">
        <f>"54667"</f>
        <v>54667</v>
      </c>
      <c r="C44574" s="2">
        <v>2.2897178353105001E-4</v>
      </c>
      <c r="D44574" s="2">
        <v>2.07787827548148E-4</v>
      </c>
      <c r="E44574" s="2">
        <v>2.1505283848241501E-4</v>
      </c>
      <c r="F44574" s="2">
        <v>2.27264070191934E-4</v>
      </c>
    </row>
    <row r="44575" spans="1:6" x14ac:dyDescent="0.25">
      <c r="A44575" s="1" t="str">
        <f t="shared" si="1500"/>
        <v>99999</v>
      </c>
      <c r="B44575" s="1" t="str">
        <f>"54758"</f>
        <v>54758</v>
      </c>
      <c r="C44575" s="2">
        <v>2.08293953434392E-4</v>
      </c>
      <c r="D44575" s="2">
        <v>1.6412226958513199E-4</v>
      </c>
      <c r="E44575" s="2">
        <v>2.49461292639601E-4</v>
      </c>
      <c r="F44575" s="2">
        <v>2.06343539197279E-4</v>
      </c>
    </row>
    <row r="44576" spans="1:6" x14ac:dyDescent="0.25">
      <c r="A44576" s="1" t="str">
        <f t="shared" si="1500"/>
        <v>99999</v>
      </c>
      <c r="B44576" s="1" t="str">
        <f>"54829"</f>
        <v>54829</v>
      </c>
      <c r="C44576" s="2">
        <v>3.4989919828480099E-4</v>
      </c>
      <c r="D44576" s="2">
        <v>1.79179358537896E-4</v>
      </c>
      <c r="E44576" s="2">
        <v>3.8279405249869798E-4</v>
      </c>
      <c r="F44576" s="2">
        <v>3.3946521991326599E-4</v>
      </c>
    </row>
    <row r="44577" spans="1:6" x14ac:dyDescent="0.25">
      <c r="A44577" s="1" t="str">
        <f t="shared" si="1500"/>
        <v>99999</v>
      </c>
      <c r="B44577" s="1" t="str">
        <f>"54830"</f>
        <v>54830</v>
      </c>
      <c r="C44577" s="2">
        <v>3.4870832848865802E-4</v>
      </c>
      <c r="D44577" s="2">
        <v>3.6137013486634501E-5</v>
      </c>
      <c r="E44577" s="2">
        <v>5.5913738005427899E-5</v>
      </c>
      <c r="F44577" s="2">
        <v>3.21505141417855E-4</v>
      </c>
    </row>
    <row r="44578" spans="1:6" x14ac:dyDescent="0.25">
      <c r="A44578" s="1" t="str">
        <f t="shared" si="1500"/>
        <v>99999</v>
      </c>
      <c r="B44578" s="1" t="str">
        <f>"54658"</f>
        <v>54658</v>
      </c>
      <c r="C44578" s="2">
        <v>1.09126977682883E-4</v>
      </c>
      <c r="D44578" s="2">
        <v>2.7102760114975901E-5</v>
      </c>
      <c r="E44578" s="2">
        <v>8.1720078623317706E-5</v>
      </c>
      <c r="F44578" s="2">
        <v>1.03122428723652E-4</v>
      </c>
    </row>
    <row r="44579" spans="1:6" x14ac:dyDescent="0.25">
      <c r="A44579" s="1" t="str">
        <f t="shared" si="1500"/>
        <v>99999</v>
      </c>
      <c r="B44579" s="1" t="str">
        <f>"54666"</f>
        <v>54666</v>
      </c>
      <c r="C44579" s="2">
        <v>1.5502959527965101E-4</v>
      </c>
      <c r="D44579" s="2">
        <v>4.8182684648845999E-5</v>
      </c>
      <c r="E44579" s="2">
        <v>9.4623248932262599E-5</v>
      </c>
      <c r="F44579" s="2">
        <v>1.4664108046253299E-4</v>
      </c>
    </row>
    <row r="44580" spans="1:6" x14ac:dyDescent="0.25">
      <c r="A44580" s="1" t="str">
        <f t="shared" si="1500"/>
        <v>99999</v>
      </c>
      <c r="B44580" s="1" t="str">
        <f>"54773"</f>
        <v>54773</v>
      </c>
      <c r="C44580" s="2">
        <v>1.6953655461447899E-4</v>
      </c>
      <c r="D44580" s="2">
        <v>1.7014510516623701E-4</v>
      </c>
      <c r="E44580" s="2">
        <v>2.3225706556100799E-4</v>
      </c>
      <c r="F44580" s="2">
        <v>1.7101547270630501E-4</v>
      </c>
    </row>
    <row r="44581" spans="1:6" x14ac:dyDescent="0.25">
      <c r="A44581" s="1" t="str">
        <f t="shared" si="1500"/>
        <v>99999</v>
      </c>
      <c r="B44581" s="1" t="str">
        <f>"54820"</f>
        <v>54820</v>
      </c>
      <c r="C44581" s="2">
        <v>1.2125219742542599E-5</v>
      </c>
      <c r="D44581" s="2">
        <v>1.50570889527644E-6</v>
      </c>
      <c r="E44581" s="2">
        <v>0</v>
      </c>
      <c r="F44581" s="2">
        <v>1.11510377471509E-5</v>
      </c>
    </row>
    <row r="44582" spans="1:6" x14ac:dyDescent="0.25">
      <c r="A44582" s="1" t="str">
        <f t="shared" si="1500"/>
        <v>99999</v>
      </c>
      <c r="B44582" s="1" t="str">
        <f>"54813"</f>
        <v>54813</v>
      </c>
      <c r="C44582" s="2">
        <v>4.0922616631081298E-5</v>
      </c>
      <c r="D44582" s="2">
        <v>6.0228355811057601E-6</v>
      </c>
      <c r="E44582" s="2">
        <v>8.6021135392965999E-6</v>
      </c>
      <c r="F44582" s="2">
        <v>3.7893791990318099E-5</v>
      </c>
    </row>
    <row r="44583" spans="1:6" x14ac:dyDescent="0.25">
      <c r="A44583" s="1" t="str">
        <f t="shared" si="1500"/>
        <v>99999</v>
      </c>
      <c r="B44583" s="1" t="str">
        <f>"54845"</f>
        <v>54845</v>
      </c>
      <c r="C44583" s="2">
        <v>6.49565343350497E-6</v>
      </c>
      <c r="D44583" s="2">
        <v>7.5285444763821999E-6</v>
      </c>
      <c r="E44583" s="2">
        <v>8.6021135392965999E-6</v>
      </c>
      <c r="F44583" s="2">
        <v>6.6116772483107097E-6</v>
      </c>
    </row>
    <row r="44584" spans="1:6" x14ac:dyDescent="0.25">
      <c r="A44584" s="1" t="str">
        <f t="shared" si="1500"/>
        <v>99999</v>
      </c>
      <c r="B44584" s="1" t="str">
        <f>"54873"</f>
        <v>54873</v>
      </c>
      <c r="C44584" s="2">
        <v>9.4403496566938797E-5</v>
      </c>
      <c r="D44584" s="2">
        <v>1.65627978480408E-5</v>
      </c>
      <c r="E44584" s="2">
        <v>3.44084541571864E-5</v>
      </c>
      <c r="F44584" s="2">
        <v>8.7925439227534995E-5</v>
      </c>
    </row>
    <row r="44585" spans="1:6" x14ac:dyDescent="0.25">
      <c r="A44585" s="1" t="str">
        <f t="shared" si="1500"/>
        <v>99999</v>
      </c>
      <c r="B44585" s="1" t="str">
        <f>"54853"</f>
        <v>54853</v>
      </c>
      <c r="C44585" s="2">
        <v>2.4499439533369499E-4</v>
      </c>
      <c r="D44585" s="2">
        <v>9.1848242611862802E-5</v>
      </c>
      <c r="E44585" s="2">
        <v>1.5483804370733801E-4</v>
      </c>
      <c r="F44585" s="2">
        <v>2.32888929940496E-4</v>
      </c>
    </row>
    <row r="44586" spans="1:6" x14ac:dyDescent="0.25">
      <c r="A44586" s="1" t="str">
        <f t="shared" si="1500"/>
        <v>99999</v>
      </c>
      <c r="B44586" s="1" t="str">
        <f>"54867"</f>
        <v>54867</v>
      </c>
      <c r="C44586" s="2">
        <v>2.7390005311279201E-5</v>
      </c>
      <c r="D44586" s="2">
        <v>6.0228355811057601E-6</v>
      </c>
      <c r="E44586" s="2">
        <v>4.7311624466131299E-5</v>
      </c>
      <c r="F44586" s="2">
        <v>2.6446708993242801E-5</v>
      </c>
    </row>
    <row r="44587" spans="1:6" x14ac:dyDescent="0.25">
      <c r="A44587" s="1" t="str">
        <f t="shared" si="1500"/>
        <v>99999</v>
      </c>
      <c r="B44587" s="1" t="str">
        <f>"61085"</f>
        <v>61085</v>
      </c>
      <c r="C44587" s="2">
        <v>1.9984960397083601E-4</v>
      </c>
      <c r="D44587" s="2">
        <v>2.9662465236945799E-4</v>
      </c>
      <c r="E44587" s="2">
        <v>2.0645072494311799E-4</v>
      </c>
      <c r="F44587" s="2">
        <v>2.06343539197279E-4</v>
      </c>
    </row>
    <row r="44588" spans="1:6" x14ac:dyDescent="0.25">
      <c r="A44588" s="1" t="str">
        <f t="shared" si="1500"/>
        <v>99999</v>
      </c>
      <c r="B44588" s="1" t="str">
        <f>"54005"</f>
        <v>54005</v>
      </c>
      <c r="C44588" s="2">
        <v>1.3521785230746099E-4</v>
      </c>
      <c r="D44588" s="2">
        <v>6.3239773601610501E-5</v>
      </c>
      <c r="E44588" s="2">
        <v>8.6021135392965999E-5</v>
      </c>
      <c r="F44588" s="2">
        <v>1.2937177421694501E-4</v>
      </c>
    </row>
    <row r="44589" spans="1:6" x14ac:dyDescent="0.25">
      <c r="A44589" s="1" t="str">
        <f t="shared" si="1500"/>
        <v>99999</v>
      </c>
      <c r="B44589" s="1" t="str">
        <f>"54619"</f>
        <v>54619</v>
      </c>
      <c r="C44589" s="2">
        <v>1.7451655558016599E-4</v>
      </c>
      <c r="D44589" s="2">
        <v>5.2699811334675399E-5</v>
      </c>
      <c r="E44589" s="2">
        <v>8.1720078623317706E-5</v>
      </c>
      <c r="F44589" s="2">
        <v>1.6440379545799399E-4</v>
      </c>
    </row>
    <row r="44590" spans="1:6" x14ac:dyDescent="0.25">
      <c r="A44590" s="1" t="str">
        <f t="shared" si="1500"/>
        <v>99999</v>
      </c>
      <c r="B44590" s="1" t="str">
        <f>"54631"</f>
        <v>54631</v>
      </c>
      <c r="C44590" s="2">
        <v>1.06961759871715E-4</v>
      </c>
      <c r="D44590" s="2">
        <v>5.8722646915781101E-5</v>
      </c>
      <c r="E44590" s="2">
        <v>6.0214794775076199E-5</v>
      </c>
      <c r="F44590" s="2">
        <v>1.0272770172375301E-4</v>
      </c>
    </row>
    <row r="44591" spans="1:6" x14ac:dyDescent="0.25">
      <c r="A44591" s="1" t="str">
        <f t="shared" si="1500"/>
        <v>99999</v>
      </c>
      <c r="B44591" s="1" t="str">
        <f>"54006"</f>
        <v>54006</v>
      </c>
      <c r="C44591" s="2">
        <v>4.61191393778852E-5</v>
      </c>
      <c r="D44591" s="2">
        <v>9.0342533716586405E-6</v>
      </c>
      <c r="E44591" s="2">
        <v>8.6021135392965999E-6</v>
      </c>
      <c r="F44591" s="2">
        <v>4.2827879489057403E-5</v>
      </c>
    </row>
    <row r="44592" spans="1:6" x14ac:dyDescent="0.25">
      <c r="A44592" s="1" t="str">
        <f t="shared" si="1500"/>
        <v>99999</v>
      </c>
      <c r="B44592" s="1" t="str">
        <f>"54613"</f>
        <v>54613</v>
      </c>
      <c r="C44592" s="2">
        <v>2.0114873465753699E-4</v>
      </c>
      <c r="D44592" s="2">
        <v>3.31255956960816E-5</v>
      </c>
      <c r="E44592" s="2">
        <v>3.91396166037995E-4</v>
      </c>
      <c r="F44592" s="2">
        <v>1.9450172920030401E-4</v>
      </c>
    </row>
    <row r="44593" spans="1:6" x14ac:dyDescent="0.25">
      <c r="A44593" s="1" t="str">
        <f t="shared" si="1500"/>
        <v>99999</v>
      </c>
      <c r="B44593" s="1" t="str">
        <f>"54026"</f>
        <v>54026</v>
      </c>
      <c r="C44593" s="2">
        <v>5.9218707135453601E-5</v>
      </c>
      <c r="D44593" s="2">
        <v>3.01141779055288E-6</v>
      </c>
      <c r="E44593" s="2">
        <v>0</v>
      </c>
      <c r="F44593" s="2">
        <v>5.4176280736157897E-5</v>
      </c>
    </row>
    <row r="44594" spans="1:6" x14ac:dyDescent="0.25">
      <c r="A44594" s="1" t="str">
        <f t="shared" si="1500"/>
        <v>99999</v>
      </c>
      <c r="B44594" s="1" t="str">
        <f>"54966"</f>
        <v>54966</v>
      </c>
      <c r="C44594" s="2">
        <v>9.25630614274458E-5</v>
      </c>
      <c r="D44594" s="2">
        <v>1.08411040459903E-4</v>
      </c>
      <c r="E44594" s="2">
        <v>3.01073973875381E-5</v>
      </c>
      <c r="F44594" s="2">
        <v>9.21687544764508E-5</v>
      </c>
    </row>
    <row r="44595" spans="1:6" x14ac:dyDescent="0.25">
      <c r="A44595" s="1" t="str">
        <f t="shared" si="1500"/>
        <v>99999</v>
      </c>
      <c r="B44595" s="1" t="str">
        <f>"54971"</f>
        <v>54971</v>
      </c>
      <c r="C44595" s="2">
        <v>4.7418270064586199E-5</v>
      </c>
      <c r="D44595" s="2">
        <v>1.20456711622115E-5</v>
      </c>
      <c r="E44595" s="2">
        <v>1.72042270785932E-5</v>
      </c>
      <c r="F44595" s="2">
        <v>4.4406787488653999E-5</v>
      </c>
    </row>
    <row r="44596" spans="1:6" x14ac:dyDescent="0.25">
      <c r="A44596" s="1" t="str">
        <f t="shared" si="1500"/>
        <v>99999</v>
      </c>
      <c r="B44596" s="1" t="str">
        <f>"54940"</f>
        <v>54940</v>
      </c>
      <c r="C44596" s="2">
        <v>1.4853394184614601E-4</v>
      </c>
      <c r="D44596" s="2">
        <v>5.7216938020504697E-5</v>
      </c>
      <c r="E44596" s="2">
        <v>9.4623248932262599E-5</v>
      </c>
      <c r="F44596" s="2">
        <v>1.4131226596389399E-4</v>
      </c>
    </row>
    <row r="44597" spans="1:6" x14ac:dyDescent="0.25">
      <c r="A44597" s="1" t="str">
        <f t="shared" si="1500"/>
        <v>99999</v>
      </c>
      <c r="B44597" s="1" t="str">
        <f>"54513"</f>
        <v>54513</v>
      </c>
      <c r="C44597" s="2">
        <v>3.1503919152499101E-5</v>
      </c>
      <c r="D44597" s="2">
        <v>3.01141779055288E-6</v>
      </c>
      <c r="E44597" s="2">
        <v>4.3010567696482999E-6</v>
      </c>
      <c r="F44597" s="2">
        <v>2.9012434492587301E-5</v>
      </c>
    </row>
    <row r="44598" spans="1:6" x14ac:dyDescent="0.25">
      <c r="A44598" s="1" t="str">
        <f t="shared" si="1500"/>
        <v>99999</v>
      </c>
      <c r="B44598" s="1" t="str">
        <f>"54546"</f>
        <v>54546</v>
      </c>
      <c r="C44598" s="2">
        <v>7.1993492221346703E-5</v>
      </c>
      <c r="D44598" s="2">
        <v>4.6676975753569603E-5</v>
      </c>
      <c r="E44598" s="2">
        <v>8.1720078623317706E-5</v>
      </c>
      <c r="F44598" s="2">
        <v>7.0557451231972505E-5</v>
      </c>
    </row>
    <row r="44599" spans="1:6" x14ac:dyDescent="0.25">
      <c r="A44599" s="1" t="str">
        <f t="shared" si="1500"/>
        <v>99999</v>
      </c>
      <c r="B44599" s="1" t="str">
        <f>"54486"</f>
        <v>54486</v>
      </c>
      <c r="C44599" s="2">
        <v>1.1042610836958401E-5</v>
      </c>
      <c r="D44599" s="2">
        <v>0</v>
      </c>
      <c r="E44599" s="2">
        <v>0</v>
      </c>
      <c r="F44599" s="2">
        <v>1.00655384974282E-5</v>
      </c>
    </row>
    <row r="44600" spans="1:6" x14ac:dyDescent="0.25">
      <c r="A44600" s="1" t="str">
        <f t="shared" si="1500"/>
        <v>99999</v>
      </c>
      <c r="B44600" s="1" t="str">
        <f>"54527"</f>
        <v>54527</v>
      </c>
      <c r="C44600" s="2">
        <v>7.4158710032515006E-5</v>
      </c>
      <c r="D44600" s="2">
        <v>1.35513800574879E-5</v>
      </c>
      <c r="E44600" s="2">
        <v>4.7311624466131299E-5</v>
      </c>
      <c r="F44600" s="2">
        <v>6.9570633732224697E-5</v>
      </c>
    </row>
    <row r="44601" spans="1:6" x14ac:dyDescent="0.25">
      <c r="A44601" s="1" t="str">
        <f t="shared" si="1500"/>
        <v>99999</v>
      </c>
      <c r="B44601" s="1" t="str">
        <f>"54534"</f>
        <v>54534</v>
      </c>
      <c r="C44601" s="2">
        <v>2.26157000376531E-4</v>
      </c>
      <c r="D44601" s="2">
        <v>3.61370134866345E-4</v>
      </c>
      <c r="E44601" s="2">
        <v>3.91396166037995E-4</v>
      </c>
      <c r="F44601" s="2">
        <v>2.3880983493898401E-4</v>
      </c>
    </row>
    <row r="44602" spans="1:6" x14ac:dyDescent="0.25">
      <c r="A44602" s="1" t="str">
        <f t="shared" si="1500"/>
        <v>99999</v>
      </c>
      <c r="B44602" s="1" t="str">
        <f>"55795"</f>
        <v>55795</v>
      </c>
      <c r="C44602" s="2">
        <v>8.4876538197798196E-5</v>
      </c>
      <c r="D44602" s="2">
        <v>3.01141779055288E-5</v>
      </c>
      <c r="E44602" s="2">
        <v>3.8709510926834699E-5</v>
      </c>
      <c r="F44602" s="2">
        <v>8.0228262729501598E-5</v>
      </c>
    </row>
    <row r="44603" spans="1:6" x14ac:dyDescent="0.25">
      <c r="A44603" s="1" t="str">
        <f t="shared" si="1500"/>
        <v>99999</v>
      </c>
      <c r="B44603" s="1" t="str">
        <f>"55735"</f>
        <v>55735</v>
      </c>
      <c r="C44603" s="2">
        <v>1.17679588036998E-4</v>
      </c>
      <c r="D44603" s="2">
        <v>2.7102760114975901E-5</v>
      </c>
      <c r="E44603" s="2">
        <v>3.8709510926834699E-5</v>
      </c>
      <c r="F44603" s="2">
        <v>1.09931469471912E-4</v>
      </c>
    </row>
    <row r="44604" spans="1:6" x14ac:dyDescent="0.25">
      <c r="A44604" s="1" t="str">
        <f t="shared" si="1500"/>
        <v>99999</v>
      </c>
      <c r="B44604" s="1" t="str">
        <f>"57216"</f>
        <v>57216</v>
      </c>
      <c r="C44604" s="2">
        <v>7.3184362017489305E-5</v>
      </c>
      <c r="D44604" s="2">
        <v>1.65627978480408E-5</v>
      </c>
      <c r="E44604" s="2">
        <v>4.3010567696482999E-5</v>
      </c>
      <c r="F44604" s="2">
        <v>6.8781179732426402E-5</v>
      </c>
    </row>
    <row r="44605" spans="1:6" x14ac:dyDescent="0.25">
      <c r="A44605" s="1" t="str">
        <f t="shared" si="1500"/>
        <v>99999</v>
      </c>
      <c r="B44605" s="1" t="str">
        <f>"57314"</f>
        <v>57314</v>
      </c>
      <c r="C44605" s="2">
        <v>3.7133485461536698E-5</v>
      </c>
      <c r="D44605" s="2">
        <v>1.20456711622115E-5</v>
      </c>
      <c r="E44605" s="2">
        <v>3.44084541571864E-5</v>
      </c>
      <c r="F44605" s="2">
        <v>3.5426748240948397E-5</v>
      </c>
    </row>
    <row r="44606" spans="1:6" x14ac:dyDescent="0.25">
      <c r="A44606" s="1" t="str">
        <f t="shared" si="1500"/>
        <v>99999</v>
      </c>
      <c r="B44606" s="1" t="str">
        <f>"57225"</f>
        <v>57225</v>
      </c>
      <c r="C44606" s="2">
        <v>9.8192627736483397E-5</v>
      </c>
      <c r="D44606" s="2">
        <v>1.71650814061514E-4</v>
      </c>
      <c r="E44606" s="2">
        <v>1.41934873398393E-4</v>
      </c>
      <c r="F44606" s="2">
        <v>1.0401056447342499E-4</v>
      </c>
    </row>
    <row r="44607" spans="1:6" x14ac:dyDescent="0.25">
      <c r="A44607" s="1" t="str">
        <f t="shared" si="1500"/>
        <v>99999</v>
      </c>
      <c r="B44607" s="1" t="str">
        <f>"57370"</f>
        <v>57370</v>
      </c>
      <c r="C44607" s="2">
        <v>4.0597833959405999E-5</v>
      </c>
      <c r="D44607" s="2">
        <v>7.5285444763821999E-6</v>
      </c>
      <c r="E44607" s="2">
        <v>4.3010567696482999E-6</v>
      </c>
      <c r="F44607" s="2">
        <v>3.7597746740393702E-5</v>
      </c>
    </row>
    <row r="44608" spans="1:6" x14ac:dyDescent="0.25">
      <c r="A44608" s="1" t="str">
        <f t="shared" si="1500"/>
        <v>99999</v>
      </c>
      <c r="B44608" s="1" t="str">
        <f>"57028"</f>
        <v>57028</v>
      </c>
      <c r="C44608" s="2">
        <v>1.67371336803311E-4</v>
      </c>
      <c r="D44608" s="2">
        <v>2.77050436730865E-4</v>
      </c>
      <c r="E44608" s="2">
        <v>4.4730990404342298E-4</v>
      </c>
      <c r="F44608" s="2">
        <v>1.80982329453759E-4</v>
      </c>
    </row>
    <row r="44609" spans="1:6" x14ac:dyDescent="0.25">
      <c r="A44609" s="1" t="str">
        <f t="shared" si="1500"/>
        <v>99999</v>
      </c>
      <c r="B44609" s="1" t="str">
        <f>"57262"</f>
        <v>57262</v>
      </c>
      <c r="C44609" s="2">
        <v>2.2604873948597201E-4</v>
      </c>
      <c r="D44609" s="2">
        <v>3.4179591922775201E-4</v>
      </c>
      <c r="E44609" s="2">
        <v>3.5268665511115999E-4</v>
      </c>
      <c r="F44609" s="2">
        <v>2.3654015468956301E-4</v>
      </c>
    </row>
    <row r="44610" spans="1:6" x14ac:dyDescent="0.25">
      <c r="A44610" s="1" t="str">
        <f t="shared" si="1500"/>
        <v>99999</v>
      </c>
      <c r="B44610" s="1" t="str">
        <f>"57342"</f>
        <v>57342</v>
      </c>
      <c r="C44610" s="2">
        <v>3.3236093401433701E-5</v>
      </c>
      <c r="D44610" s="2">
        <v>4.5171266858293203E-6</v>
      </c>
      <c r="E44610" s="2">
        <v>2.15052838482415E-5</v>
      </c>
      <c r="F44610" s="2">
        <v>3.1084751242057802E-5</v>
      </c>
    </row>
    <row r="44611" spans="1:6" x14ac:dyDescent="0.25">
      <c r="A44611" s="1" t="str">
        <f t="shared" si="1500"/>
        <v>99999</v>
      </c>
      <c r="B44611" s="1" t="str">
        <f>"57348"</f>
        <v>57348</v>
      </c>
      <c r="C44611" s="2">
        <v>8.8773930257901203E-6</v>
      </c>
      <c r="D44611" s="2">
        <v>1.50570889527644E-6</v>
      </c>
      <c r="E44611" s="2">
        <v>0</v>
      </c>
      <c r="F44611" s="2">
        <v>8.1905852479073005E-6</v>
      </c>
    </row>
    <row r="44612" spans="1:6" x14ac:dyDescent="0.25">
      <c r="A44612" s="1" t="str">
        <f t="shared" si="1500"/>
        <v>99999</v>
      </c>
      <c r="B44612" s="1" t="str">
        <f>"57260"</f>
        <v>57260</v>
      </c>
      <c r="C44612" s="2">
        <v>5.3697401716974401E-5</v>
      </c>
      <c r="D44612" s="2">
        <v>6.0228355811057601E-6</v>
      </c>
      <c r="E44612" s="2">
        <v>6.8816908314372799E-5</v>
      </c>
      <c r="F44612" s="2">
        <v>5.0919782986989899E-5</v>
      </c>
    </row>
    <row r="44613" spans="1:6" x14ac:dyDescent="0.25">
      <c r="A44613" s="1" t="str">
        <f t="shared" si="1500"/>
        <v>99999</v>
      </c>
      <c r="B44613" s="1" t="str">
        <f>"56364"</f>
        <v>56364</v>
      </c>
      <c r="C44613" s="2">
        <v>2.44128308209228E-4</v>
      </c>
      <c r="D44613" s="2">
        <v>9.9376787088244995E-5</v>
      </c>
      <c r="E44613" s="2">
        <v>1.72042270785932E-4</v>
      </c>
      <c r="F44613" s="2">
        <v>2.3298761169047099E-4</v>
      </c>
    </row>
    <row r="44614" spans="1:6" x14ac:dyDescent="0.25">
      <c r="A44614" s="1" t="str">
        <f t="shared" ref="A44614:A44677" si="1501">"99999"</f>
        <v>99999</v>
      </c>
      <c r="B44614" s="1" t="str">
        <f>"56378"</f>
        <v>56378</v>
      </c>
      <c r="C44614" s="2">
        <v>8.2061755043279404E-5</v>
      </c>
      <c r="D44614" s="2">
        <v>3.01141779055288E-5</v>
      </c>
      <c r="E44614" s="2">
        <v>4.3010567696482999E-6</v>
      </c>
      <c r="F44614" s="2">
        <v>7.6873083230358905E-5</v>
      </c>
    </row>
    <row r="44615" spans="1:6" x14ac:dyDescent="0.25">
      <c r="A44615" s="1" t="str">
        <f t="shared" si="1501"/>
        <v>99999</v>
      </c>
      <c r="B44615" s="1" t="str">
        <f>"56385"</f>
        <v>56385</v>
      </c>
      <c r="C44615" s="2">
        <v>4.0164790397172297E-5</v>
      </c>
      <c r="D44615" s="2">
        <v>9.0342533716586405E-6</v>
      </c>
      <c r="E44615" s="2">
        <v>4.3010567696482999E-6</v>
      </c>
      <c r="F44615" s="2">
        <v>3.7301701490469398E-5</v>
      </c>
    </row>
    <row r="44616" spans="1:6" x14ac:dyDescent="0.25">
      <c r="A44616" s="1" t="str">
        <f t="shared" si="1501"/>
        <v>99999</v>
      </c>
      <c r="B44616" s="1" t="str">
        <f>"56438"</f>
        <v>56438</v>
      </c>
      <c r="C44616" s="2">
        <v>1.5026611609508101E-4</v>
      </c>
      <c r="D44616" s="2">
        <v>6.4745482496886904E-5</v>
      </c>
      <c r="E44616" s="2">
        <v>7.3117965084021106E-5</v>
      </c>
      <c r="F44616" s="2">
        <v>1.4289117396349099E-4</v>
      </c>
    </row>
    <row r="44617" spans="1:6" x14ac:dyDescent="0.25">
      <c r="A44617" s="1" t="str">
        <f t="shared" si="1501"/>
        <v>99999</v>
      </c>
      <c r="B44617" s="1" t="str">
        <f>"56292"</f>
        <v>56292</v>
      </c>
      <c r="C44617" s="2">
        <v>2.21934825644753E-5</v>
      </c>
      <c r="D44617" s="2">
        <v>2.7102760114975901E-5</v>
      </c>
      <c r="E44617" s="2">
        <v>0</v>
      </c>
      <c r="F44617" s="2">
        <v>2.2006030244377399E-5</v>
      </c>
    </row>
    <row r="44618" spans="1:6" x14ac:dyDescent="0.25">
      <c r="A44618" s="1" t="str">
        <f t="shared" si="1501"/>
        <v>99999</v>
      </c>
      <c r="B44618" s="1" t="str">
        <f>"56544"</f>
        <v>56544</v>
      </c>
      <c r="C44618" s="2">
        <v>2.13273954400079E-4</v>
      </c>
      <c r="D44618" s="2">
        <v>3.7642722381910999E-5</v>
      </c>
      <c r="E44618" s="2">
        <v>2.1075178171276601E-4</v>
      </c>
      <c r="F44618" s="2">
        <v>2.0170549694846401E-4</v>
      </c>
    </row>
    <row r="44619" spans="1:6" x14ac:dyDescent="0.25">
      <c r="A44619" s="1" t="str">
        <f t="shared" si="1501"/>
        <v>99999</v>
      </c>
      <c r="B44619" s="1" t="str">
        <f>"56557"</f>
        <v>56557</v>
      </c>
      <c r="C44619" s="2">
        <v>1.3803263546198E-4</v>
      </c>
      <c r="D44619" s="2">
        <v>8.1308280344927694E-5</v>
      </c>
      <c r="E44619" s="2">
        <v>1.4623593016804199E-4</v>
      </c>
      <c r="F44619" s="2">
        <v>1.3450322521563399E-4</v>
      </c>
    </row>
    <row r="44620" spans="1:6" x14ac:dyDescent="0.25">
      <c r="A44620" s="1" t="str">
        <f t="shared" si="1501"/>
        <v>99999</v>
      </c>
      <c r="B44620" s="1" t="str">
        <f>"56569"</f>
        <v>56569</v>
      </c>
      <c r="C44620" s="2">
        <v>6.9611752629061499E-5</v>
      </c>
      <c r="D44620" s="2">
        <v>1.50570889527644E-5</v>
      </c>
      <c r="E44620" s="2">
        <v>5.1612681235779599E-5</v>
      </c>
      <c r="F44620" s="2">
        <v>6.5623363733233195E-5</v>
      </c>
    </row>
    <row r="44621" spans="1:6" x14ac:dyDescent="0.25">
      <c r="A44621" s="1" t="str">
        <f t="shared" si="1501"/>
        <v>99999</v>
      </c>
      <c r="B44621" s="1" t="str">
        <f>"56481"</f>
        <v>56481</v>
      </c>
      <c r="C44621" s="2">
        <v>1.05770890075572E-4</v>
      </c>
      <c r="D44621" s="2">
        <v>3.9148431277187403E-5</v>
      </c>
      <c r="E44621" s="2">
        <v>5.5913738005427899E-5</v>
      </c>
      <c r="F44621" s="2">
        <v>1.0026065797438301E-4</v>
      </c>
    </row>
    <row r="44622" spans="1:6" x14ac:dyDescent="0.25">
      <c r="A44622" s="1" t="str">
        <f t="shared" si="1501"/>
        <v>99999</v>
      </c>
      <c r="B44622" s="1" t="str">
        <f>"56661"</f>
        <v>56661</v>
      </c>
      <c r="C44622" s="2">
        <v>2.4250439485085199E-5</v>
      </c>
      <c r="D44622" s="2">
        <v>9.0342533716586405E-6</v>
      </c>
      <c r="E44622" s="2">
        <v>8.6021135392965999E-6</v>
      </c>
      <c r="F44622" s="2">
        <v>2.2894165994150501E-5</v>
      </c>
    </row>
    <row r="44623" spans="1:6" x14ac:dyDescent="0.25">
      <c r="A44623" s="1" t="str">
        <f t="shared" si="1501"/>
        <v>99999</v>
      </c>
      <c r="B44623" s="1" t="str">
        <f>"56763"</f>
        <v>56763</v>
      </c>
      <c r="C44623" s="2">
        <v>2.5917657199684801E-4</v>
      </c>
      <c r="D44623" s="2">
        <v>6.6251191392163294E-5</v>
      </c>
      <c r="E44623" s="2">
        <v>2.79568690027139E-4</v>
      </c>
      <c r="F44623" s="2">
        <v>2.4700042018689102E-4</v>
      </c>
    </row>
    <row r="44624" spans="1:6" x14ac:dyDescent="0.25">
      <c r="A44624" s="1" t="str">
        <f t="shared" si="1501"/>
        <v>99999</v>
      </c>
      <c r="B44624" s="1" t="str">
        <f>"56581"</f>
        <v>56581</v>
      </c>
      <c r="C44624" s="2">
        <v>1.5373046459294999E-5</v>
      </c>
      <c r="D44624" s="2">
        <v>0</v>
      </c>
      <c r="E44624" s="2">
        <v>3.01073973875381E-5</v>
      </c>
      <c r="F44624" s="2">
        <v>1.47035807462432E-5</v>
      </c>
    </row>
    <row r="44625" spans="1:6" x14ac:dyDescent="0.25">
      <c r="A44625" s="1" t="str">
        <f t="shared" si="1501"/>
        <v>99999</v>
      </c>
      <c r="B44625" s="1" t="str">
        <f>"56167"</f>
        <v>56167</v>
      </c>
      <c r="C44625" s="2">
        <v>1.09343499464E-5</v>
      </c>
      <c r="D44625" s="2">
        <v>1.50570889527644E-6</v>
      </c>
      <c r="E44625" s="2">
        <v>0</v>
      </c>
      <c r="F44625" s="2">
        <v>1.00655384974282E-5</v>
      </c>
    </row>
    <row r="44626" spans="1:6" x14ac:dyDescent="0.25">
      <c r="A44626" s="1" t="str">
        <f t="shared" si="1501"/>
        <v>99999</v>
      </c>
      <c r="B44626" s="1" t="str">
        <f>"56051"</f>
        <v>56051</v>
      </c>
      <c r="C44626" s="2">
        <v>4.3953921566716897E-5</v>
      </c>
      <c r="D44626" s="2">
        <v>2.55970512196994E-5</v>
      </c>
      <c r="E44626" s="2">
        <v>3.44084541571864E-5</v>
      </c>
      <c r="F44626" s="2">
        <v>4.25318342391331E-5</v>
      </c>
    </row>
    <row r="44627" spans="1:6" x14ac:dyDescent="0.25">
      <c r="A44627" s="1" t="str">
        <f t="shared" si="1501"/>
        <v>99999</v>
      </c>
      <c r="B44627" s="1" t="str">
        <f>"56014"</f>
        <v>56014</v>
      </c>
      <c r="C44627" s="2">
        <v>3.83243552576793E-5</v>
      </c>
      <c r="D44627" s="2">
        <v>1.80685067433172E-5</v>
      </c>
      <c r="E44627" s="2">
        <v>2.15052838482415E-5</v>
      </c>
      <c r="F44627" s="2">
        <v>3.6610929240645901E-5</v>
      </c>
    </row>
    <row r="44628" spans="1:6" x14ac:dyDescent="0.25">
      <c r="A44628" s="1" t="str">
        <f t="shared" si="1501"/>
        <v>99999</v>
      </c>
      <c r="B44628" s="1" t="str">
        <f>"56072"</f>
        <v>56072</v>
      </c>
      <c r="C44628" s="2">
        <v>9.9383497532625999E-5</v>
      </c>
      <c r="D44628" s="2">
        <v>2.8608469010252301E-5</v>
      </c>
      <c r="E44628" s="2">
        <v>3.8709510926834699E-5</v>
      </c>
      <c r="F44628" s="2">
        <v>9.3352935476148297E-5</v>
      </c>
    </row>
    <row r="44629" spans="1:6" x14ac:dyDescent="0.25">
      <c r="A44629" s="1" t="str">
        <f t="shared" si="1501"/>
        <v>99999</v>
      </c>
      <c r="B44629" s="1" t="str">
        <f>"56219"</f>
        <v>56219</v>
      </c>
      <c r="C44629" s="2">
        <v>3.9298703272705E-5</v>
      </c>
      <c r="D44629" s="2">
        <v>7.5285444763821999E-6</v>
      </c>
      <c r="E44629" s="2">
        <v>8.6021135392965999E-6</v>
      </c>
      <c r="F44629" s="2">
        <v>3.6512247490671097E-5</v>
      </c>
    </row>
    <row r="44630" spans="1:6" x14ac:dyDescent="0.25">
      <c r="A44630" s="1" t="str">
        <f t="shared" si="1501"/>
        <v>99999</v>
      </c>
      <c r="B44630" s="1" t="str">
        <f>"56180"</f>
        <v>56180</v>
      </c>
      <c r="C44630" s="2">
        <v>6.9286969957386301E-5</v>
      </c>
      <c r="D44630" s="2">
        <v>3.31255956960816E-5</v>
      </c>
      <c r="E44630" s="2">
        <v>3.01073973875381E-5</v>
      </c>
      <c r="F44630" s="2">
        <v>6.6018090733132301E-5</v>
      </c>
    </row>
    <row r="44631" spans="1:6" x14ac:dyDescent="0.25">
      <c r="A44631" s="1" t="str">
        <f t="shared" si="1501"/>
        <v>99999</v>
      </c>
      <c r="B44631" s="1" t="str">
        <f>"56262"</f>
        <v>56262</v>
      </c>
      <c r="C44631" s="2">
        <v>2.2843047907825799E-5</v>
      </c>
      <c r="D44631" s="2">
        <v>3.01141779055288E-6</v>
      </c>
      <c r="E44631" s="2">
        <v>4.3010567696482999E-6</v>
      </c>
      <c r="F44631" s="2">
        <v>2.11178944946043E-5</v>
      </c>
    </row>
    <row r="44632" spans="1:6" x14ac:dyDescent="0.25">
      <c r="A44632" s="1" t="str">
        <f t="shared" si="1501"/>
        <v>99999</v>
      </c>
      <c r="B44632" s="1" t="str">
        <f>"56249"</f>
        <v>56249</v>
      </c>
      <c r="C44632" s="2">
        <v>1.6672177145996001E-5</v>
      </c>
      <c r="D44632" s="2">
        <v>6.0228355811057601E-6</v>
      </c>
      <c r="E44632" s="2">
        <v>8.6021135392965999E-6</v>
      </c>
      <c r="F44632" s="2">
        <v>1.5789079995965799E-5</v>
      </c>
    </row>
    <row r="44633" spans="1:6" x14ac:dyDescent="0.25">
      <c r="A44633" s="1" t="str">
        <f t="shared" si="1501"/>
        <v>99999</v>
      </c>
      <c r="B44633" s="1" t="str">
        <f>"48420"</f>
        <v>48420</v>
      </c>
      <c r="C44633" s="2">
        <v>2.4900004828435702E-5</v>
      </c>
      <c r="D44633" s="2">
        <v>4.5171266858293203E-6</v>
      </c>
      <c r="E44633" s="2">
        <v>0</v>
      </c>
      <c r="F44633" s="2">
        <v>2.2992847744125301E-5</v>
      </c>
    </row>
    <row r="44634" spans="1:6" x14ac:dyDescent="0.25">
      <c r="A44634" s="1" t="str">
        <f t="shared" si="1501"/>
        <v>99999</v>
      </c>
      <c r="B44634" s="1" t="str">
        <f>"48401"</f>
        <v>48401</v>
      </c>
      <c r="C44634" s="2">
        <v>8.2278276824396197E-5</v>
      </c>
      <c r="D44634" s="2">
        <v>1.65627978480408E-5</v>
      </c>
      <c r="E44634" s="2">
        <v>4.7311624466131299E-5</v>
      </c>
      <c r="F44634" s="2">
        <v>7.7169128480283195E-5</v>
      </c>
    </row>
    <row r="44635" spans="1:6" x14ac:dyDescent="0.25">
      <c r="A44635" s="1" t="str">
        <f t="shared" si="1501"/>
        <v>99999</v>
      </c>
      <c r="B44635" s="1" t="str">
        <f>"48445"</f>
        <v>48445</v>
      </c>
      <c r="C44635" s="2">
        <v>8.0221319903786299E-5</v>
      </c>
      <c r="D44635" s="2">
        <v>5.1194102439398901E-5</v>
      </c>
      <c r="E44635" s="2">
        <v>2.15052838482415E-5</v>
      </c>
      <c r="F44635" s="2">
        <v>7.6971764980333696E-5</v>
      </c>
    </row>
    <row r="44636" spans="1:6" x14ac:dyDescent="0.25">
      <c r="A44636" s="1" t="str">
        <f t="shared" si="1501"/>
        <v>99999</v>
      </c>
      <c r="B44636" s="1" t="str">
        <f>"49677"</f>
        <v>49677</v>
      </c>
      <c r="C44636" s="2">
        <v>3.6289050515181002E-4</v>
      </c>
      <c r="D44636" s="2">
        <v>4.5472408637348502E-4</v>
      </c>
      <c r="E44636" s="2">
        <v>3.13977144184326E-4</v>
      </c>
      <c r="F44636" s="2">
        <v>3.6778688215603002E-4</v>
      </c>
    </row>
    <row r="44637" spans="1:6" x14ac:dyDescent="0.25">
      <c r="A44637" s="1" t="str">
        <f t="shared" si="1501"/>
        <v>99999</v>
      </c>
      <c r="B44637" s="1" t="str">
        <f>"49689"</f>
        <v>49689</v>
      </c>
      <c r="C44637" s="2">
        <v>1.0999306480735E-4</v>
      </c>
      <c r="D44637" s="2">
        <v>9.6365369297692093E-5</v>
      </c>
      <c r="E44637" s="2">
        <v>0</v>
      </c>
      <c r="F44637" s="2">
        <v>1.06576289972769E-4</v>
      </c>
    </row>
    <row r="44638" spans="1:6" x14ac:dyDescent="0.25">
      <c r="A44638" s="1" t="str">
        <f t="shared" si="1501"/>
        <v>99999</v>
      </c>
      <c r="B44638" s="1" t="str">
        <f>"49709"</f>
        <v>49709</v>
      </c>
      <c r="C44638" s="2">
        <v>3.2088527961514498E-4</v>
      </c>
      <c r="D44638" s="2">
        <v>1.2798525609849701E-4</v>
      </c>
      <c r="E44638" s="2">
        <v>9.4623248932262599E-5</v>
      </c>
      <c r="F44638" s="2">
        <v>3.0305165417256999E-4</v>
      </c>
    </row>
    <row r="44639" spans="1:6" x14ac:dyDescent="0.25">
      <c r="A44639" s="1" t="str">
        <f t="shared" si="1501"/>
        <v>99999</v>
      </c>
      <c r="B44639" s="1" t="str">
        <f>"49688"</f>
        <v>49688</v>
      </c>
      <c r="C44639" s="2">
        <v>1.4084741861649901E-4</v>
      </c>
      <c r="D44639" s="2">
        <v>6.7756900287439806E-5</v>
      </c>
      <c r="E44639" s="2">
        <v>8.6021135392965999E-6</v>
      </c>
      <c r="F44639" s="2">
        <v>1.3302299896601199E-4</v>
      </c>
    </row>
    <row r="44640" spans="1:6" x14ac:dyDescent="0.25">
      <c r="A44640" s="1" t="str">
        <f t="shared" si="1501"/>
        <v>99999</v>
      </c>
      <c r="B44640" s="1" t="str">
        <f>"49774"</f>
        <v>49774</v>
      </c>
      <c r="C44640" s="2">
        <v>1.8945655847722799E-5</v>
      </c>
      <c r="D44640" s="2">
        <v>1.20456711622115E-5</v>
      </c>
      <c r="E44640" s="2">
        <v>0</v>
      </c>
      <c r="F44640" s="2">
        <v>1.80587602453859E-5</v>
      </c>
    </row>
    <row r="44641" spans="1:6" x14ac:dyDescent="0.25">
      <c r="A44641" s="1" t="str">
        <f t="shared" si="1501"/>
        <v>99999</v>
      </c>
      <c r="B44641" s="1" t="str">
        <f>"49806"</f>
        <v>49806</v>
      </c>
      <c r="C44641" s="2">
        <v>3.6159137446510998E-5</v>
      </c>
      <c r="D44641" s="2">
        <v>4.5171266858293203E-6</v>
      </c>
      <c r="E44641" s="2">
        <v>4.3010567696482999E-6</v>
      </c>
      <c r="F44641" s="2">
        <v>3.3354431491477903E-5</v>
      </c>
    </row>
    <row r="44642" spans="1:6" x14ac:dyDescent="0.25">
      <c r="A44642" s="1" t="str">
        <f t="shared" si="1501"/>
        <v>99999</v>
      </c>
      <c r="B44642" s="1" t="str">
        <f>"49838"</f>
        <v>49838</v>
      </c>
      <c r="C44642" s="2">
        <v>3.4643484978693103E-5</v>
      </c>
      <c r="D44642" s="2">
        <v>1.9574215638593701E-5</v>
      </c>
      <c r="E44642" s="2">
        <v>4.3010567696482999E-6</v>
      </c>
      <c r="F44642" s="2">
        <v>3.2959704491578701E-5</v>
      </c>
    </row>
    <row r="44643" spans="1:6" x14ac:dyDescent="0.25">
      <c r="A44643" s="1" t="str">
        <f t="shared" si="1501"/>
        <v>99999</v>
      </c>
      <c r="B44643" s="1" t="str">
        <f>"49777"</f>
        <v>49777</v>
      </c>
      <c r="C44643" s="2">
        <v>1.52214812125133E-4</v>
      </c>
      <c r="D44643" s="2">
        <v>3.9148431277187403E-5</v>
      </c>
      <c r="E44643" s="2">
        <v>1.29031703089449E-5</v>
      </c>
      <c r="F44643" s="2">
        <v>1.41608311213819E-4</v>
      </c>
    </row>
    <row r="44644" spans="1:6" x14ac:dyDescent="0.25">
      <c r="A44644" s="1" t="str">
        <f t="shared" si="1501"/>
        <v>99999</v>
      </c>
      <c r="B44644" s="1" t="str">
        <f>"49817"</f>
        <v>49817</v>
      </c>
      <c r="C44644" s="2">
        <v>2.6632179077370302E-5</v>
      </c>
      <c r="D44644" s="2">
        <v>6.0228355811057601E-6</v>
      </c>
      <c r="E44644" s="2">
        <v>4.3010567696482999E-6</v>
      </c>
      <c r="F44644" s="2">
        <v>2.4769119243671401E-5</v>
      </c>
    </row>
    <row r="44645" spans="1:6" x14ac:dyDescent="0.25">
      <c r="A44645" s="1" t="str">
        <f t="shared" si="1501"/>
        <v>99999</v>
      </c>
      <c r="B44645" s="1" t="str">
        <f>"49648"</f>
        <v>49648</v>
      </c>
      <c r="C44645" s="2">
        <v>1.7256785955011499E-4</v>
      </c>
      <c r="D44645" s="2">
        <v>2.8608469010252301E-5</v>
      </c>
      <c r="E44645" s="2">
        <v>5.5913738005427899E-5</v>
      </c>
      <c r="F44645" s="2">
        <v>1.6045652545900301E-4</v>
      </c>
    </row>
    <row r="44646" spans="1:6" x14ac:dyDescent="0.25">
      <c r="A44646" s="1" t="str">
        <f t="shared" si="1501"/>
        <v>99999</v>
      </c>
      <c r="B44646" s="1" t="str">
        <f>"49446"</f>
        <v>49446</v>
      </c>
      <c r="C44646" s="2">
        <v>1.21901762768776E-4</v>
      </c>
      <c r="D44646" s="2">
        <v>7.3779735868545501E-5</v>
      </c>
      <c r="E44646" s="2">
        <v>3.44084541571864E-5</v>
      </c>
      <c r="F44646" s="2">
        <v>1.16740510220172E-4</v>
      </c>
    </row>
    <row r="44647" spans="1:6" x14ac:dyDescent="0.25">
      <c r="A44647" s="1" t="str">
        <f t="shared" si="1501"/>
        <v>99999</v>
      </c>
      <c r="B44647" s="1" t="str">
        <f>"49612"</f>
        <v>49612</v>
      </c>
      <c r="C44647" s="2">
        <v>5.1532183905806003E-5</v>
      </c>
      <c r="D44647" s="2">
        <v>1.0539962266935E-5</v>
      </c>
      <c r="E44647" s="2">
        <v>0</v>
      </c>
      <c r="F44647" s="2">
        <v>4.7663285237821997E-5</v>
      </c>
    </row>
    <row r="44648" spans="1:6" x14ac:dyDescent="0.25">
      <c r="A44648" s="1" t="str">
        <f t="shared" si="1501"/>
        <v>99999</v>
      </c>
      <c r="B44648" s="1" t="str">
        <f>"50842"</f>
        <v>50842</v>
      </c>
      <c r="C44648" s="2">
        <v>5.0882618562455504E-6</v>
      </c>
      <c r="D44648" s="2">
        <v>7.5285444763821999E-6</v>
      </c>
      <c r="E44648" s="2">
        <v>4.3010567696482999E-6</v>
      </c>
      <c r="F44648" s="2">
        <v>5.2301327486637002E-6</v>
      </c>
    </row>
    <row r="44649" spans="1:6" x14ac:dyDescent="0.25">
      <c r="A44649" s="1" t="str">
        <f t="shared" si="1501"/>
        <v>99999</v>
      </c>
      <c r="B44649" s="1" t="str">
        <f>"51003"</f>
        <v>51003</v>
      </c>
      <c r="C44649" s="2">
        <v>8.5093059978915098E-5</v>
      </c>
      <c r="D44649" s="2">
        <v>7.5285444763821999E-5</v>
      </c>
      <c r="E44649" s="2">
        <v>9.4623248932262599E-5</v>
      </c>
      <c r="F44649" s="2">
        <v>8.4668941478366997E-5</v>
      </c>
    </row>
    <row r="44650" spans="1:6" x14ac:dyDescent="0.25">
      <c r="A44650" s="1" t="str">
        <f t="shared" si="1501"/>
        <v>99999</v>
      </c>
      <c r="B44650" s="1" t="str">
        <f>"51035"</f>
        <v>51035</v>
      </c>
      <c r="C44650" s="2">
        <v>8.4010451073330899E-5</v>
      </c>
      <c r="D44650" s="2">
        <v>3.6137013486634501E-5</v>
      </c>
      <c r="E44650" s="2">
        <v>2.15052838482415E-5</v>
      </c>
      <c r="F44650" s="2">
        <v>7.9438808729703303E-5</v>
      </c>
    </row>
    <row r="44651" spans="1:6" x14ac:dyDescent="0.25">
      <c r="A44651" s="1" t="str">
        <f t="shared" si="1501"/>
        <v>99999</v>
      </c>
      <c r="B44651" s="1" t="str">
        <f>"51237"</f>
        <v>51237</v>
      </c>
      <c r="C44651" s="2">
        <v>8.6933495118408094E-5</v>
      </c>
      <c r="D44651" s="2">
        <v>2.25856334291466E-5</v>
      </c>
      <c r="E44651" s="2">
        <v>3.8709510926834699E-5</v>
      </c>
      <c r="F44651" s="2">
        <v>8.1609807229148594E-5</v>
      </c>
    </row>
    <row r="44652" spans="1:6" x14ac:dyDescent="0.25">
      <c r="A44652" s="1" t="str">
        <f t="shared" si="1501"/>
        <v>99999</v>
      </c>
      <c r="B44652" s="1" t="str">
        <f>"51040"</f>
        <v>51040</v>
      </c>
      <c r="C44652" s="2">
        <v>2.1663004200738999E-4</v>
      </c>
      <c r="D44652" s="2">
        <v>3.5685300818051602E-4</v>
      </c>
      <c r="E44652" s="2">
        <v>3.09676087414677E-4</v>
      </c>
      <c r="F44652" s="2">
        <v>2.27954842441757E-4</v>
      </c>
    </row>
    <row r="44653" spans="1:6" x14ac:dyDescent="0.25">
      <c r="A44653" s="1" t="str">
        <f t="shared" si="1501"/>
        <v>99999</v>
      </c>
      <c r="B44653" s="1" t="str">
        <f>"51238"</f>
        <v>51238</v>
      </c>
      <c r="C44653" s="2">
        <v>6.03013160410378E-5</v>
      </c>
      <c r="D44653" s="2">
        <v>2.7102760114975901E-5</v>
      </c>
      <c r="E44653" s="2">
        <v>3.01073973875381E-5</v>
      </c>
      <c r="F44653" s="2">
        <v>5.7432778485325901E-5</v>
      </c>
    </row>
    <row r="44654" spans="1:6" x14ac:dyDescent="0.25">
      <c r="A44654" s="1" t="str">
        <f t="shared" si="1501"/>
        <v>99999</v>
      </c>
      <c r="B44654" s="1" t="str">
        <f>"51449"</f>
        <v>51449</v>
      </c>
      <c r="C44654" s="2">
        <v>1.1367393508633601E-4</v>
      </c>
      <c r="D44654" s="2">
        <v>1.6261656068985501E-4</v>
      </c>
      <c r="E44654" s="2">
        <v>1.4623593016804199E-4</v>
      </c>
      <c r="F44654" s="2">
        <v>1.1762864596994499E-4</v>
      </c>
    </row>
    <row r="44655" spans="1:6" x14ac:dyDescent="0.25">
      <c r="A44655" s="1" t="str">
        <f t="shared" si="1501"/>
        <v>99999</v>
      </c>
      <c r="B44655" s="1" t="str">
        <f>"50853"</f>
        <v>50853</v>
      </c>
      <c r="C44655" s="2">
        <v>4.0706094849964403E-5</v>
      </c>
      <c r="D44655" s="2">
        <v>4.5171266858293199E-5</v>
      </c>
      <c r="E44655" s="2">
        <v>2.58063406178898E-5</v>
      </c>
      <c r="F44655" s="2">
        <v>4.0656880989612098E-5</v>
      </c>
    </row>
    <row r="44656" spans="1:6" x14ac:dyDescent="0.25">
      <c r="A44656" s="1" t="str">
        <f t="shared" si="1501"/>
        <v>99999</v>
      </c>
      <c r="B44656" s="1" t="str">
        <f>"51249"</f>
        <v>51249</v>
      </c>
      <c r="C44656" s="2">
        <v>1.7679003428189299E-4</v>
      </c>
      <c r="D44656" s="2">
        <v>2.8608469010252301E-4</v>
      </c>
      <c r="E44656" s="2">
        <v>1.4623593016804199E-4</v>
      </c>
      <c r="F44656" s="2">
        <v>1.83252009703179E-4</v>
      </c>
    </row>
    <row r="44657" spans="1:6" x14ac:dyDescent="0.25">
      <c r="A44657" s="1" t="str">
        <f t="shared" si="1501"/>
        <v>99999</v>
      </c>
      <c r="B44657" s="1" t="str">
        <f>"51345"</f>
        <v>51345</v>
      </c>
      <c r="C44657" s="2">
        <v>2.5441309281227699E-5</v>
      </c>
      <c r="D44657" s="2">
        <v>1.20456711622115E-5</v>
      </c>
      <c r="E44657" s="2">
        <v>1.29031703089449E-5</v>
      </c>
      <c r="F44657" s="2">
        <v>2.42757104937975E-5</v>
      </c>
    </row>
    <row r="44658" spans="1:6" x14ac:dyDescent="0.25">
      <c r="A44658" s="1" t="str">
        <f t="shared" si="1501"/>
        <v>99999</v>
      </c>
      <c r="B44658" s="1" t="str">
        <f>"52031"</f>
        <v>52031</v>
      </c>
      <c r="C44658" s="2">
        <v>2.40122655258567E-4</v>
      </c>
      <c r="D44658" s="2">
        <v>2.6048763888282398E-4</v>
      </c>
      <c r="E44658" s="2">
        <v>1.5913910047698701E-4</v>
      </c>
      <c r="F44658" s="2">
        <v>2.3959928893878201E-4</v>
      </c>
    </row>
    <row r="44659" spans="1:6" x14ac:dyDescent="0.25">
      <c r="A44659" s="1" t="str">
        <f t="shared" si="1501"/>
        <v>99999</v>
      </c>
      <c r="B44659" s="1" t="str">
        <f>"51454"</f>
        <v>51454</v>
      </c>
      <c r="C44659" s="2">
        <v>7.1668709549671506E-5</v>
      </c>
      <c r="D44659" s="2">
        <v>6.3239773601610501E-5</v>
      </c>
      <c r="E44659" s="2">
        <v>4.3010567696482999E-5</v>
      </c>
      <c r="F44659" s="2">
        <v>7.0458769481997701E-5</v>
      </c>
    </row>
    <row r="44660" spans="1:6" x14ac:dyDescent="0.25">
      <c r="A44660" s="1" t="str">
        <f t="shared" si="1501"/>
        <v>99999</v>
      </c>
      <c r="B44660" s="1" t="str">
        <f>"50833"</f>
        <v>50833</v>
      </c>
      <c r="C44660" s="2">
        <v>1.2850567709283899E-4</v>
      </c>
      <c r="D44660" s="2">
        <v>2.6952189225448199E-4</v>
      </c>
      <c r="E44660" s="2">
        <v>1.72042270785932E-4</v>
      </c>
      <c r="F44660" s="2">
        <v>1.3874654046454999E-4</v>
      </c>
    </row>
    <row r="44661" spans="1:6" x14ac:dyDescent="0.25">
      <c r="A44661" s="1" t="str">
        <f t="shared" si="1501"/>
        <v>99999</v>
      </c>
      <c r="B44661" s="1" t="str">
        <f>"50173"</f>
        <v>50173</v>
      </c>
      <c r="C44661" s="2">
        <v>3.3236093401433701E-5</v>
      </c>
      <c r="D44661" s="2">
        <v>4.5171266858293203E-6</v>
      </c>
      <c r="E44661" s="2">
        <v>4.3010567696482999E-6</v>
      </c>
      <c r="F44661" s="2">
        <v>3.06900242421586E-5</v>
      </c>
    </row>
    <row r="44662" spans="1:6" x14ac:dyDescent="0.25">
      <c r="A44662" s="1" t="str">
        <f t="shared" si="1501"/>
        <v>99999</v>
      </c>
      <c r="B44662" s="1" t="str">
        <f>"50150"</f>
        <v>50150</v>
      </c>
      <c r="C44662" s="2">
        <v>4.6660443830677299E-5</v>
      </c>
      <c r="D44662" s="2">
        <v>1.50570889527644E-5</v>
      </c>
      <c r="E44662" s="2">
        <v>4.3010567696482999E-6</v>
      </c>
      <c r="F44662" s="2">
        <v>4.3617333488855698E-5</v>
      </c>
    </row>
    <row r="44663" spans="1:6" x14ac:dyDescent="0.25">
      <c r="A44663" s="1" t="str">
        <f t="shared" si="1501"/>
        <v>99999</v>
      </c>
      <c r="B44663" s="1" t="str">
        <f>"50157"</f>
        <v>50157</v>
      </c>
      <c r="C44663" s="2">
        <v>4.1139138412198099E-5</v>
      </c>
      <c r="D44663" s="2">
        <v>3.31255956960816E-5</v>
      </c>
      <c r="E44663" s="2">
        <v>1.29031703089449E-5</v>
      </c>
      <c r="F44663" s="2">
        <v>3.99661087397886E-5</v>
      </c>
    </row>
    <row r="44664" spans="1:6" x14ac:dyDescent="0.25">
      <c r="A44664" s="1" t="str">
        <f t="shared" si="1501"/>
        <v>99999</v>
      </c>
      <c r="B44664" s="1" t="str">
        <f>"50603"</f>
        <v>50603</v>
      </c>
      <c r="C44664" s="2">
        <v>2.9771744903564399E-5</v>
      </c>
      <c r="D44664" s="2">
        <v>9.0342533716586405E-6</v>
      </c>
      <c r="E44664" s="2">
        <v>3.8709510926834699E-5</v>
      </c>
      <c r="F44664" s="2">
        <v>2.8617707492688099E-5</v>
      </c>
    </row>
    <row r="44665" spans="1:6" x14ac:dyDescent="0.25">
      <c r="A44665" s="1" t="str">
        <f t="shared" si="1501"/>
        <v>99999</v>
      </c>
      <c r="B44665" s="1" t="str">
        <f>"50536"</f>
        <v>50536</v>
      </c>
      <c r="C44665" s="2">
        <v>2.4423656909978601E-4</v>
      </c>
      <c r="D44665" s="2">
        <v>3.82450059400215E-4</v>
      </c>
      <c r="E44665" s="2">
        <v>5.1182575558814797E-4</v>
      </c>
      <c r="F44665" s="2">
        <v>2.5943432068371402E-4</v>
      </c>
    </row>
    <row r="44666" spans="1:6" x14ac:dyDescent="0.25">
      <c r="A44666" s="1" t="str">
        <f t="shared" si="1501"/>
        <v>99999</v>
      </c>
      <c r="B44666" s="1" t="str">
        <f>"50421"</f>
        <v>50421</v>
      </c>
      <c r="C44666" s="2">
        <v>1.66396988788285E-4</v>
      </c>
      <c r="D44666" s="2">
        <v>2.7554472783558799E-4</v>
      </c>
      <c r="E44666" s="2">
        <v>1.8064438432522799E-4</v>
      </c>
      <c r="F44666" s="2">
        <v>1.7387724345557399E-4</v>
      </c>
    </row>
    <row r="44667" spans="1:6" x14ac:dyDescent="0.25">
      <c r="A44667" s="1" t="str">
        <f t="shared" si="1501"/>
        <v>99999</v>
      </c>
      <c r="B44667" s="1" t="str">
        <f>"50604"</f>
        <v>50604</v>
      </c>
      <c r="C44667" s="2">
        <v>8.2494798605513099E-5</v>
      </c>
      <c r="D44667" s="2">
        <v>8.88368248213099E-5</v>
      </c>
      <c r="E44667" s="2">
        <v>5.5913738005427899E-5</v>
      </c>
      <c r="F44667" s="2">
        <v>8.2300579478972194E-5</v>
      </c>
    </row>
    <row r="44668" spans="1:6" x14ac:dyDescent="0.25">
      <c r="A44668" s="1" t="str">
        <f t="shared" si="1501"/>
        <v>99999</v>
      </c>
      <c r="B44668" s="1" t="str">
        <f>"50541"</f>
        <v>50541</v>
      </c>
      <c r="C44668" s="2">
        <v>5.2073488358598103E-5</v>
      </c>
      <c r="D44668" s="2">
        <v>3.9148431277187403E-5</v>
      </c>
      <c r="E44668" s="2">
        <v>3.44084541571864E-5</v>
      </c>
      <c r="F44668" s="2">
        <v>5.0821101237015197E-5</v>
      </c>
    </row>
    <row r="44669" spans="1:6" x14ac:dyDescent="0.25">
      <c r="A44669" s="1" t="str">
        <f t="shared" si="1501"/>
        <v>99999</v>
      </c>
      <c r="B44669" s="1" t="str">
        <f>"50554"</f>
        <v>50554</v>
      </c>
      <c r="C44669" s="2">
        <v>9.7434801502574504E-5</v>
      </c>
      <c r="D44669" s="2">
        <v>1.76167940747343E-4</v>
      </c>
      <c r="E44669" s="2">
        <v>1.63440157246635E-4</v>
      </c>
      <c r="F44669" s="2">
        <v>1.041092462234E-4</v>
      </c>
    </row>
    <row r="44670" spans="1:6" x14ac:dyDescent="0.25">
      <c r="A44670" s="1" t="str">
        <f t="shared" si="1501"/>
        <v>99999</v>
      </c>
      <c r="B44670" s="1" t="str">
        <f>"50633"</f>
        <v>50633</v>
      </c>
      <c r="C44670" s="2">
        <v>1.9920003862748499E-5</v>
      </c>
      <c r="D44670" s="2">
        <v>6.0228355811057601E-6</v>
      </c>
      <c r="E44670" s="2">
        <v>4.3010567696482999E-6</v>
      </c>
      <c r="F44670" s="2">
        <v>1.8650850745234699E-5</v>
      </c>
    </row>
    <row r="44671" spans="1:6" x14ac:dyDescent="0.25">
      <c r="A44671" s="1" t="str">
        <f t="shared" si="1501"/>
        <v>99999</v>
      </c>
      <c r="B44671" s="1" t="str">
        <f>"50636"</f>
        <v>50636</v>
      </c>
      <c r="C44671" s="2">
        <v>1.1551437022583001E-4</v>
      </c>
      <c r="D44671" s="2">
        <v>3.9148431277187403E-5</v>
      </c>
      <c r="E44671" s="2">
        <v>2.58063406178898E-5</v>
      </c>
      <c r="F44671" s="2">
        <v>1.0845124322229E-4</v>
      </c>
    </row>
    <row r="44672" spans="1:6" x14ac:dyDescent="0.25">
      <c r="A44672" s="1" t="str">
        <f t="shared" si="1501"/>
        <v>99999</v>
      </c>
      <c r="B44672" s="1" t="str">
        <f>"49946"</f>
        <v>49946</v>
      </c>
      <c r="C44672" s="2">
        <v>2.4001439436800801E-4</v>
      </c>
      <c r="D44672" s="2">
        <v>3.2523312137971099E-4</v>
      </c>
      <c r="E44672" s="2">
        <v>3.3548242803256698E-4</v>
      </c>
      <c r="F44672" s="2">
        <v>2.4778987418668902E-4</v>
      </c>
    </row>
    <row r="44673" spans="1:6" x14ac:dyDescent="0.25">
      <c r="A44673" s="1" t="str">
        <f t="shared" si="1501"/>
        <v>99999</v>
      </c>
      <c r="B44673" s="1" t="str">
        <f>"50123"</f>
        <v>50123</v>
      </c>
      <c r="C44673" s="2">
        <v>5.42387061697665E-5</v>
      </c>
      <c r="D44673" s="2">
        <v>6.0228355811057599E-5</v>
      </c>
      <c r="E44673" s="2">
        <v>6.0214794775076199E-5</v>
      </c>
      <c r="F44673" s="2">
        <v>5.4768371236006598E-5</v>
      </c>
    </row>
    <row r="44674" spans="1:6" x14ac:dyDescent="0.25">
      <c r="A44674" s="1" t="str">
        <f t="shared" si="1501"/>
        <v>99999</v>
      </c>
      <c r="B44674" s="1" t="str">
        <f>"50129"</f>
        <v>50129</v>
      </c>
      <c r="C44674" s="2">
        <v>2.85917011964777E-4</v>
      </c>
      <c r="D44674" s="2">
        <v>4.6526404864041999E-4</v>
      </c>
      <c r="E44674" s="2">
        <v>4.3440673373447799E-4</v>
      </c>
      <c r="F44674" s="2">
        <v>3.0107801917307402E-4</v>
      </c>
    </row>
    <row r="44675" spans="1:6" x14ac:dyDescent="0.25">
      <c r="A44675" s="1" t="str">
        <f t="shared" si="1501"/>
        <v>99999</v>
      </c>
      <c r="B44675" s="1" t="str">
        <f>"49969"</f>
        <v>49969</v>
      </c>
      <c r="C44675" s="2">
        <v>5.6620445762051603E-5</v>
      </c>
      <c r="D44675" s="2">
        <v>3.4631304591358098E-5</v>
      </c>
      <c r="E44675" s="2">
        <v>4.3010567696482999E-6</v>
      </c>
      <c r="F44675" s="2">
        <v>5.3978917236208303E-5</v>
      </c>
    </row>
    <row r="44676" spans="1:6" x14ac:dyDescent="0.25">
      <c r="A44676" s="1" t="str">
        <f t="shared" si="1501"/>
        <v>99999</v>
      </c>
      <c r="B44676" s="1" t="str">
        <f>"49919"</f>
        <v>49919</v>
      </c>
      <c r="C44676" s="2">
        <v>1.9270438519397999E-5</v>
      </c>
      <c r="D44676" s="2">
        <v>0</v>
      </c>
      <c r="E44676" s="2">
        <v>8.6021135392965999E-6</v>
      </c>
      <c r="F44676" s="2">
        <v>1.77627149954616E-5</v>
      </c>
    </row>
    <row r="44677" spans="1:6" x14ac:dyDescent="0.25">
      <c r="A44677" s="1" t="str">
        <f t="shared" si="1501"/>
        <v>99999</v>
      </c>
      <c r="B44677" s="1" t="str">
        <f>"49962"</f>
        <v>49962</v>
      </c>
      <c r="C44677" s="2">
        <v>4.0597833959405999E-5</v>
      </c>
      <c r="D44677" s="2">
        <v>1.20456711622115E-5</v>
      </c>
      <c r="E44677" s="2">
        <v>4.3010567696482999E-6</v>
      </c>
      <c r="F44677" s="2">
        <v>3.7893791990318099E-5</v>
      </c>
    </row>
    <row r="44678" spans="1:6" x14ac:dyDescent="0.25">
      <c r="A44678" s="1" t="str">
        <f t="shared" ref="A44678:A44741" si="1502">"99999"</f>
        <v>99999</v>
      </c>
      <c r="B44678" s="1" t="str">
        <f>"50104"</f>
        <v>50104</v>
      </c>
      <c r="C44678" s="2">
        <v>8.2278276824396208E-6</v>
      </c>
      <c r="D44678" s="2">
        <v>6.0228355811057601E-6</v>
      </c>
      <c r="E44678" s="2">
        <v>0</v>
      </c>
      <c r="F44678" s="2">
        <v>7.8945399979829399E-6</v>
      </c>
    </row>
    <row r="44679" spans="1:6" x14ac:dyDescent="0.25">
      <c r="A44679" s="1" t="str">
        <f t="shared" si="1502"/>
        <v>99999</v>
      </c>
      <c r="B44679" s="1" t="str">
        <f>"49437"</f>
        <v>49437</v>
      </c>
      <c r="C44679" s="2">
        <v>6.9720013519619997E-5</v>
      </c>
      <c r="D44679" s="2">
        <v>1.0539962266935E-5</v>
      </c>
      <c r="E44679" s="2">
        <v>1.72042270785932E-5</v>
      </c>
      <c r="F44679" s="2">
        <v>6.4636546233485306E-5</v>
      </c>
    </row>
    <row r="44680" spans="1:6" x14ac:dyDescent="0.25">
      <c r="A44680" s="1" t="str">
        <f t="shared" si="1502"/>
        <v>99999</v>
      </c>
      <c r="B44680" s="1" t="str">
        <f>"49065"</f>
        <v>49065</v>
      </c>
      <c r="C44680" s="2">
        <v>4.1669616775934302E-4</v>
      </c>
      <c r="D44680" s="2">
        <v>2.6952189225448199E-4</v>
      </c>
      <c r="E44680" s="2">
        <v>2.4516023586995298E-4</v>
      </c>
      <c r="F44680" s="2">
        <v>4.0311494864700399E-4</v>
      </c>
    </row>
    <row r="44681" spans="1:6" x14ac:dyDescent="0.25">
      <c r="A44681" s="1" t="str">
        <f t="shared" si="1502"/>
        <v>99999</v>
      </c>
      <c r="B44681" s="1" t="str">
        <f>"49047"</f>
        <v>49047</v>
      </c>
      <c r="C44681" s="2">
        <v>8.3252624839422006E-5</v>
      </c>
      <c r="D44681" s="2">
        <v>5.1194102439398901E-5</v>
      </c>
      <c r="E44681" s="2">
        <v>3.8709510926834699E-5</v>
      </c>
      <c r="F44681" s="2">
        <v>8.0129580979526794E-5</v>
      </c>
    </row>
    <row r="44682" spans="1:6" x14ac:dyDescent="0.25">
      <c r="A44682" s="1" t="str">
        <f t="shared" si="1502"/>
        <v>99999</v>
      </c>
      <c r="B44682" s="1" t="str">
        <f>"54405"</f>
        <v>54405</v>
      </c>
      <c r="C44682" s="2">
        <v>1.14323500429687E-4</v>
      </c>
      <c r="D44682" s="2">
        <v>3.7642722381910999E-5</v>
      </c>
      <c r="E44682" s="2">
        <v>1.5053698693768999E-4</v>
      </c>
      <c r="F44682" s="2">
        <v>1.10128832971862E-4</v>
      </c>
    </row>
    <row r="44683" spans="1:6" x14ac:dyDescent="0.25">
      <c r="A44683" s="1" t="str">
        <f t="shared" si="1502"/>
        <v>99999</v>
      </c>
      <c r="B44683" s="1" t="str">
        <f>"54201"</f>
        <v>54201</v>
      </c>
      <c r="C44683" s="2">
        <v>1.2125219742542599E-5</v>
      </c>
      <c r="D44683" s="2">
        <v>3.01141779055288E-6</v>
      </c>
      <c r="E44683" s="2">
        <v>0</v>
      </c>
      <c r="F44683" s="2">
        <v>1.1249719497125601E-5</v>
      </c>
    </row>
    <row r="44684" spans="1:6" x14ac:dyDescent="0.25">
      <c r="A44684" s="1" t="str">
        <f t="shared" si="1502"/>
        <v>99999</v>
      </c>
      <c r="B44684" s="1" t="str">
        <f>"53929"</f>
        <v>53929</v>
      </c>
      <c r="C44684" s="2">
        <v>1.50915681438432E-4</v>
      </c>
      <c r="D44684" s="2">
        <v>1.7767364964261899E-4</v>
      </c>
      <c r="E44684" s="2">
        <v>1.8064438432522799E-4</v>
      </c>
      <c r="F44684" s="2">
        <v>1.53351439460818E-4</v>
      </c>
    </row>
    <row r="44685" spans="1:6" x14ac:dyDescent="0.25">
      <c r="A44685" s="1" t="str">
        <f t="shared" si="1502"/>
        <v>99999</v>
      </c>
      <c r="B44685" s="1" t="str">
        <f>"53910"</f>
        <v>53910</v>
      </c>
      <c r="C44685" s="2">
        <v>2.11000475698353E-4</v>
      </c>
      <c r="D44685" s="2">
        <v>2.0929353644342499E-4</v>
      </c>
      <c r="E44685" s="2">
        <v>2.8817080356643602E-4</v>
      </c>
      <c r="F44685" s="2">
        <v>2.1265917119566501E-4</v>
      </c>
    </row>
    <row r="44686" spans="1:6" x14ac:dyDescent="0.25">
      <c r="A44686" s="1" t="str">
        <f t="shared" si="1502"/>
        <v>99999</v>
      </c>
      <c r="B44686" s="1" t="str">
        <f>"52552"</f>
        <v>52552</v>
      </c>
      <c r="C44686" s="2">
        <v>3.8865659710471399E-5</v>
      </c>
      <c r="D44686" s="2">
        <v>3.01141779055288E-5</v>
      </c>
      <c r="E44686" s="2">
        <v>1.29031703089449E-5</v>
      </c>
      <c r="F44686" s="2">
        <v>3.7696428490368499E-5</v>
      </c>
    </row>
    <row r="44687" spans="1:6" x14ac:dyDescent="0.25">
      <c r="A44687" s="1" t="str">
        <f t="shared" si="1502"/>
        <v>99999</v>
      </c>
      <c r="B44687" s="1" t="str">
        <f>"52151"</f>
        <v>52151</v>
      </c>
      <c r="C44687" s="2">
        <v>1.3738307011862999E-4</v>
      </c>
      <c r="D44687" s="2">
        <v>8.4319698135480595E-5</v>
      </c>
      <c r="E44687" s="2">
        <v>1.2042958955015201E-4</v>
      </c>
      <c r="F44687" s="2">
        <v>1.3351640771588601E-4</v>
      </c>
    </row>
    <row r="44688" spans="1:6" x14ac:dyDescent="0.25">
      <c r="A44688" s="1" t="str">
        <f t="shared" si="1502"/>
        <v>99999</v>
      </c>
      <c r="B44688" s="1" t="str">
        <f>"52070"</f>
        <v>52070</v>
      </c>
      <c r="C44688" s="2">
        <v>6.4523490772816001E-5</v>
      </c>
      <c r="D44688" s="2">
        <v>4.5171266858293203E-6</v>
      </c>
      <c r="E44688" s="2">
        <v>1.29031703089449E-5</v>
      </c>
      <c r="F44688" s="2">
        <v>5.9406413484821598E-5</v>
      </c>
    </row>
    <row r="44689" spans="1:6" x14ac:dyDescent="0.25">
      <c r="A44689" s="1" t="str">
        <f t="shared" si="1502"/>
        <v>99999</v>
      </c>
      <c r="B44689" s="1" t="str">
        <f>"52361"</f>
        <v>52361</v>
      </c>
      <c r="C44689" s="2">
        <v>2.2236786920698599E-4</v>
      </c>
      <c r="D44689" s="2">
        <v>3.3878450143719901E-4</v>
      </c>
      <c r="E44689" s="2">
        <v>2.5376234940924903E-4</v>
      </c>
      <c r="F44689" s="2">
        <v>2.3071793144105099E-4</v>
      </c>
    </row>
    <row r="44690" spans="1:6" x14ac:dyDescent="0.25">
      <c r="A44690" s="1" t="str">
        <f t="shared" si="1502"/>
        <v>99999</v>
      </c>
      <c r="B44690" s="1" t="str">
        <f>"52101"</f>
        <v>52101</v>
      </c>
      <c r="C44690" s="2">
        <v>9.5865018589477496E-4</v>
      </c>
      <c r="D44690" s="2">
        <v>9.0041391937531099E-4</v>
      </c>
      <c r="E44690" s="2">
        <v>1.18709166842293E-3</v>
      </c>
      <c r="F44690" s="2">
        <v>9.6007474550469996E-4</v>
      </c>
    </row>
    <row r="44691" spans="1:6" x14ac:dyDescent="0.25">
      <c r="A44691" s="1" t="str">
        <f t="shared" si="1502"/>
        <v>99999</v>
      </c>
      <c r="B44691" s="1" t="str">
        <f>"52135"</f>
        <v>52135</v>
      </c>
      <c r="C44691" s="2">
        <v>4.91504443135209E-5</v>
      </c>
      <c r="D44691" s="2">
        <v>1.35513800574879E-5</v>
      </c>
      <c r="E44691" s="2">
        <v>3.01073973875381E-5</v>
      </c>
      <c r="F44691" s="2">
        <v>4.6380422488149798E-5</v>
      </c>
    </row>
    <row r="44692" spans="1:6" x14ac:dyDescent="0.25">
      <c r="A44692" s="1" t="str">
        <f t="shared" si="1502"/>
        <v>99999</v>
      </c>
      <c r="B44692" s="1" t="str">
        <f>"52309"</f>
        <v>52309</v>
      </c>
      <c r="C44692" s="2">
        <v>2.0028264753306899E-5</v>
      </c>
      <c r="D44692" s="2">
        <v>1.0539962266935E-5</v>
      </c>
      <c r="E44692" s="2">
        <v>8.6021135392965999E-6</v>
      </c>
      <c r="F44692" s="2">
        <v>1.91442594951086E-5</v>
      </c>
    </row>
    <row r="44693" spans="1:6" x14ac:dyDescent="0.25">
      <c r="A44693" s="1" t="str">
        <f t="shared" si="1502"/>
        <v>99999</v>
      </c>
      <c r="B44693" s="1" t="str">
        <f>"52347"</f>
        <v>52347</v>
      </c>
      <c r="C44693" s="2">
        <v>7.5782623390891304E-5</v>
      </c>
      <c r="D44693" s="2">
        <v>2.1079924533870101E-5</v>
      </c>
      <c r="E44693" s="2">
        <v>1.16128532780504E-4</v>
      </c>
      <c r="F44693" s="2">
        <v>7.3123176731316997E-5</v>
      </c>
    </row>
    <row r="44694" spans="1:6" x14ac:dyDescent="0.25">
      <c r="A44694" s="1" t="str">
        <f t="shared" si="1502"/>
        <v>99999</v>
      </c>
      <c r="B44694" s="1" t="str">
        <f>"52147"</f>
        <v>52147</v>
      </c>
      <c r="C44694" s="2">
        <v>4.5902617596768399E-5</v>
      </c>
      <c r="D44694" s="2">
        <v>1.0539962266935E-5</v>
      </c>
      <c r="E44694" s="2">
        <v>3.8709510926834699E-5</v>
      </c>
      <c r="F44694" s="2">
        <v>4.3419969988906097E-5</v>
      </c>
    </row>
    <row r="44695" spans="1:6" x14ac:dyDescent="0.25">
      <c r="A44695" s="1" t="str">
        <f t="shared" si="1502"/>
        <v>99999</v>
      </c>
      <c r="B44695" s="1" t="str">
        <f>"52207"</f>
        <v>52207</v>
      </c>
      <c r="C44695" s="2">
        <v>2.24100043455921E-5</v>
      </c>
      <c r="D44695" s="2">
        <v>1.9574215638593701E-5</v>
      </c>
      <c r="E44695" s="2">
        <v>4.3010567696482999E-6</v>
      </c>
      <c r="F44695" s="2">
        <v>2.1808666744427801E-5</v>
      </c>
    </row>
    <row r="44696" spans="1:6" x14ac:dyDescent="0.25">
      <c r="A44696" s="1" t="str">
        <f t="shared" si="1502"/>
        <v>99999</v>
      </c>
      <c r="B44696" s="1" t="str">
        <f>"52215"</f>
        <v>52215</v>
      </c>
      <c r="C44696" s="2">
        <v>4.2546529989457501E-5</v>
      </c>
      <c r="D44696" s="2">
        <v>9.0342533716586405E-6</v>
      </c>
      <c r="E44696" s="2">
        <v>0</v>
      </c>
      <c r="F44696" s="2">
        <v>3.9374018239939899E-5</v>
      </c>
    </row>
    <row r="44697" spans="1:6" x14ac:dyDescent="0.25">
      <c r="A44697" s="1" t="str">
        <f t="shared" si="1502"/>
        <v>99999</v>
      </c>
      <c r="B44697" s="1" t="str">
        <f>"42041"</f>
        <v>42041</v>
      </c>
      <c r="C44697" s="2">
        <v>2.3081221867054299E-4</v>
      </c>
      <c r="D44697" s="2">
        <v>3.7943864160966298E-4</v>
      </c>
      <c r="E44697" s="2">
        <v>3.91396166037995E-4</v>
      </c>
      <c r="F44697" s="2">
        <v>2.44237331187597E-4</v>
      </c>
    </row>
    <row r="44698" spans="1:6" x14ac:dyDescent="0.25">
      <c r="A44698" s="1" t="str">
        <f t="shared" si="1502"/>
        <v>99999</v>
      </c>
      <c r="B44698" s="1" t="str">
        <f>"41539"</f>
        <v>41539</v>
      </c>
      <c r="C44698" s="2">
        <v>8.1195667918812094E-5</v>
      </c>
      <c r="D44698" s="2">
        <v>6.0228355811057601E-6</v>
      </c>
      <c r="E44698" s="2">
        <v>2.79568690027139E-4</v>
      </c>
      <c r="F44698" s="2">
        <v>8.0820353229350299E-5</v>
      </c>
    </row>
    <row r="44699" spans="1:6" x14ac:dyDescent="0.25">
      <c r="A44699" s="1" t="str">
        <f t="shared" si="1502"/>
        <v>99999</v>
      </c>
      <c r="B44699" s="1" t="str">
        <f>"41845"</f>
        <v>41845</v>
      </c>
      <c r="C44699" s="2">
        <v>1.5373046459294999E-5</v>
      </c>
      <c r="D44699" s="2">
        <v>1.50570889527644E-6</v>
      </c>
      <c r="E44699" s="2">
        <v>1.29031703089449E-5</v>
      </c>
      <c r="F44699" s="2">
        <v>1.4407535496318799E-5</v>
      </c>
    </row>
    <row r="44700" spans="1:6" x14ac:dyDescent="0.25">
      <c r="A44700" s="1" t="str">
        <f t="shared" si="1502"/>
        <v>99999</v>
      </c>
      <c r="B44700" s="1" t="str">
        <f>"41659"</f>
        <v>41659</v>
      </c>
      <c r="C44700" s="2">
        <v>2.5008265718994098E-5</v>
      </c>
      <c r="D44700" s="2">
        <v>1.80685067433172E-5</v>
      </c>
      <c r="E44700" s="2">
        <v>8.6021135392965999E-6</v>
      </c>
      <c r="F44700" s="2">
        <v>2.41770287438227E-5</v>
      </c>
    </row>
    <row r="44701" spans="1:6" x14ac:dyDescent="0.25">
      <c r="A44701" s="1" t="str">
        <f t="shared" si="1502"/>
        <v>99999</v>
      </c>
      <c r="B44701" s="1" t="str">
        <f>"41723"</f>
        <v>41723</v>
      </c>
      <c r="C44701" s="2">
        <v>6.4631751663374404E-5</v>
      </c>
      <c r="D44701" s="2">
        <v>1.0539962266935E-5</v>
      </c>
      <c r="E44701" s="2">
        <v>1.72042270785932E-5</v>
      </c>
      <c r="F44701" s="2">
        <v>5.9998503984670299E-5</v>
      </c>
    </row>
    <row r="44702" spans="1:6" x14ac:dyDescent="0.25">
      <c r="A44702" s="1" t="str">
        <f t="shared" si="1502"/>
        <v>99999</v>
      </c>
      <c r="B44702" s="1" t="str">
        <f>"41751"</f>
        <v>41751</v>
      </c>
      <c r="C44702" s="2">
        <v>8.7691321352316998E-6</v>
      </c>
      <c r="D44702" s="2">
        <v>1.50570889527644E-6</v>
      </c>
      <c r="E44702" s="2">
        <v>4.3010567696482999E-6</v>
      </c>
      <c r="F44702" s="2">
        <v>8.1905852479073005E-6</v>
      </c>
    </row>
    <row r="44703" spans="1:6" x14ac:dyDescent="0.25">
      <c r="A44703" s="1" t="str">
        <f t="shared" si="1502"/>
        <v>99999</v>
      </c>
      <c r="B44703" s="1" t="str">
        <f>"41560"</f>
        <v>41560</v>
      </c>
      <c r="C44703" s="2">
        <v>1.7430003379904999E-5</v>
      </c>
      <c r="D44703" s="2">
        <v>0</v>
      </c>
      <c r="E44703" s="2">
        <v>1.29031703089449E-5</v>
      </c>
      <c r="F44703" s="2">
        <v>1.6183806995865E-5</v>
      </c>
    </row>
    <row r="44704" spans="1:6" x14ac:dyDescent="0.25">
      <c r="A44704" s="1" t="str">
        <f t="shared" si="1502"/>
        <v>99999</v>
      </c>
      <c r="B44704" s="1" t="str">
        <f>"41553"</f>
        <v>41553</v>
      </c>
      <c r="C44704" s="2">
        <v>1.04904802951105E-4</v>
      </c>
      <c r="D44704" s="2">
        <v>1.65627978480408E-5</v>
      </c>
      <c r="E44704" s="2">
        <v>1.16128532780504E-4</v>
      </c>
      <c r="F44704" s="2">
        <v>9.9372522224610299E-5</v>
      </c>
    </row>
    <row r="44705" spans="1:6" x14ac:dyDescent="0.25">
      <c r="A44705" s="1" t="str">
        <f t="shared" si="1502"/>
        <v>99999</v>
      </c>
      <c r="B44705" s="1" t="str">
        <f>"41766"</f>
        <v>41766</v>
      </c>
      <c r="C44705" s="2">
        <v>1.6563916255437601E-5</v>
      </c>
      <c r="D44705" s="2">
        <v>1.50570889527644E-6</v>
      </c>
      <c r="E44705" s="2">
        <v>8.6021135392965999E-6</v>
      </c>
      <c r="F44705" s="2">
        <v>1.5394352996066698E-5</v>
      </c>
    </row>
    <row r="44706" spans="1:6" x14ac:dyDescent="0.25">
      <c r="A44706" s="1" t="str">
        <f t="shared" si="1502"/>
        <v>99999</v>
      </c>
      <c r="B44706" s="1" t="str">
        <f>"41840"</f>
        <v>41840</v>
      </c>
      <c r="C44706" s="2">
        <v>4.4170443347833698E-5</v>
      </c>
      <c r="D44706" s="2">
        <v>1.50570889527644E-5</v>
      </c>
      <c r="E44706" s="2">
        <v>4.7311624466131299E-5</v>
      </c>
      <c r="F44706" s="2">
        <v>4.2334470739183499E-5</v>
      </c>
    </row>
    <row r="44707" spans="1:6" x14ac:dyDescent="0.25">
      <c r="A44707" s="1" t="str">
        <f t="shared" si="1502"/>
        <v>99999</v>
      </c>
      <c r="B44707" s="1" t="str">
        <f>"47615"</f>
        <v>47615</v>
      </c>
      <c r="C44707" s="2">
        <v>7.2318274893021995E-5</v>
      </c>
      <c r="D44707" s="2">
        <v>9.0342533716586405E-6</v>
      </c>
      <c r="E44707" s="2">
        <v>2.15052838482415E-5</v>
      </c>
      <c r="F44707" s="2">
        <v>6.7004908232880204E-5</v>
      </c>
    </row>
    <row r="44708" spans="1:6" x14ac:dyDescent="0.25">
      <c r="A44708" s="1" t="str">
        <f t="shared" si="1502"/>
        <v>99999</v>
      </c>
      <c r="B44708" s="1" t="str">
        <f>"47613"</f>
        <v>47613</v>
      </c>
      <c r="C44708" s="2">
        <v>1.50482637876198E-5</v>
      </c>
      <c r="D44708" s="2">
        <v>9.0342533716586405E-6</v>
      </c>
      <c r="E44708" s="2">
        <v>0</v>
      </c>
      <c r="F44708" s="2">
        <v>1.4308853746344E-5</v>
      </c>
    </row>
    <row r="44709" spans="1:6" x14ac:dyDescent="0.25">
      <c r="A44709" s="1" t="str">
        <f t="shared" si="1502"/>
        <v>99999</v>
      </c>
      <c r="B44709" s="1" t="str">
        <f>"47649"</f>
        <v>47649</v>
      </c>
      <c r="C44709" s="2">
        <v>6.5497838787841701E-5</v>
      </c>
      <c r="D44709" s="2">
        <v>2.4091342324423E-5</v>
      </c>
      <c r="E44709" s="2">
        <v>1.29031703089449E-5</v>
      </c>
      <c r="F44709" s="2">
        <v>6.1577411984266902E-5</v>
      </c>
    </row>
    <row r="44710" spans="1:6" x14ac:dyDescent="0.25">
      <c r="A44710" s="1" t="str">
        <f t="shared" si="1502"/>
        <v>99999</v>
      </c>
      <c r="B44710" s="1" t="str">
        <f>"43915"</f>
        <v>43915</v>
      </c>
      <c r="C44710" s="2">
        <v>7.9680015450994294E-5</v>
      </c>
      <c r="D44710" s="2">
        <v>4.9688393544122498E-5</v>
      </c>
      <c r="E44710" s="2">
        <v>1.29031703089449E-5</v>
      </c>
      <c r="F44710" s="2">
        <v>7.6182310980535401E-5</v>
      </c>
    </row>
    <row r="44711" spans="1:6" x14ac:dyDescent="0.25">
      <c r="A44711" s="1" t="str">
        <f t="shared" si="1502"/>
        <v>99999</v>
      </c>
      <c r="B44711" s="1" t="str">
        <f>"43534"</f>
        <v>43534</v>
      </c>
      <c r="C44711" s="2">
        <v>8.4443494635564595E-5</v>
      </c>
      <c r="D44711" s="2">
        <v>2.4091342324423E-5</v>
      </c>
      <c r="E44711" s="2">
        <v>4.7311624466131299E-5</v>
      </c>
      <c r="F44711" s="2">
        <v>7.9636172229652897E-5</v>
      </c>
    </row>
    <row r="44712" spans="1:6" x14ac:dyDescent="0.25">
      <c r="A44712" s="1" t="str">
        <f t="shared" si="1502"/>
        <v>99999</v>
      </c>
      <c r="B44712" s="1" t="str">
        <f>"43986"</f>
        <v>43986</v>
      </c>
      <c r="C44712" s="2">
        <v>1.01981758906028E-4</v>
      </c>
      <c r="D44712" s="2">
        <v>1.20456711622115E-5</v>
      </c>
      <c r="E44712" s="2">
        <v>1.29031703089449E-5</v>
      </c>
      <c r="F44712" s="2">
        <v>9.4043707725971801E-5</v>
      </c>
    </row>
    <row r="44713" spans="1:6" x14ac:dyDescent="0.25">
      <c r="A44713" s="1" t="str">
        <f t="shared" si="1502"/>
        <v>99999</v>
      </c>
      <c r="B44713" s="1" t="str">
        <f>"43910"</f>
        <v>43910</v>
      </c>
      <c r="C44713" s="2">
        <v>8.5526103541148705E-6</v>
      </c>
      <c r="D44713" s="2">
        <v>1.50570889527644E-6</v>
      </c>
      <c r="E44713" s="2">
        <v>0</v>
      </c>
      <c r="F44713" s="2">
        <v>7.8945399979829399E-6</v>
      </c>
    </row>
    <row r="44714" spans="1:6" x14ac:dyDescent="0.25">
      <c r="A44714" s="1" t="str">
        <f t="shared" si="1502"/>
        <v>99999</v>
      </c>
      <c r="B44714" s="1" t="str">
        <f>"47140"</f>
        <v>47140</v>
      </c>
      <c r="C44714" s="2">
        <v>1.50482637876198E-4</v>
      </c>
      <c r="D44714" s="2">
        <v>6.3239773601610501E-5</v>
      </c>
      <c r="E44714" s="2">
        <v>2.9247186033608399E-4</v>
      </c>
      <c r="F44714" s="2">
        <v>1.4802262496218E-4</v>
      </c>
    </row>
    <row r="44715" spans="1:6" x14ac:dyDescent="0.25">
      <c r="A44715" s="1" t="str">
        <f t="shared" si="1502"/>
        <v>99999</v>
      </c>
      <c r="B44715" s="1" t="str">
        <f>"42741"</f>
        <v>42741</v>
      </c>
      <c r="C44715" s="2">
        <v>1.93786994099564E-5</v>
      </c>
      <c r="D44715" s="2">
        <v>1.50570889527644E-6</v>
      </c>
      <c r="E44715" s="2">
        <v>5.5913738005427899E-5</v>
      </c>
      <c r="F44715" s="2">
        <v>1.9045577745133799E-5</v>
      </c>
    </row>
    <row r="44716" spans="1:6" x14ac:dyDescent="0.25">
      <c r="A44716" s="1" t="str">
        <f t="shared" si="1502"/>
        <v>99999</v>
      </c>
      <c r="B44716" s="1" t="str">
        <f>"42733"</f>
        <v>42733</v>
      </c>
      <c r="C44716" s="2">
        <v>1.2991306867009899E-5</v>
      </c>
      <c r="D44716" s="2">
        <v>3.01141779055288E-6</v>
      </c>
      <c r="E44716" s="2">
        <v>5.5913738005427899E-5</v>
      </c>
      <c r="F44716" s="2">
        <v>1.3322036246596199E-5</v>
      </c>
    </row>
    <row r="44717" spans="1:6" x14ac:dyDescent="0.25">
      <c r="A44717" s="1" t="str">
        <f t="shared" si="1502"/>
        <v>99999</v>
      </c>
      <c r="B44717" s="1" t="str">
        <f>"40823"</f>
        <v>40823</v>
      </c>
      <c r="C44717" s="2">
        <v>2.0233960445367901E-4</v>
      </c>
      <c r="D44717" s="2">
        <v>3.1017603242694601E-4</v>
      </c>
      <c r="E44717" s="2">
        <v>3.4838559834151202E-4</v>
      </c>
      <c r="F44717" s="2">
        <v>2.1275785294564E-4</v>
      </c>
    </row>
    <row r="44718" spans="1:6" x14ac:dyDescent="0.25">
      <c r="A44718" s="1" t="str">
        <f t="shared" si="1502"/>
        <v>99999</v>
      </c>
      <c r="B44718" s="1" t="str">
        <f>"41364"</f>
        <v>41364</v>
      </c>
      <c r="C44718" s="2">
        <v>1.39656548820356E-5</v>
      </c>
      <c r="D44718" s="2">
        <v>1.50570889527644E-6</v>
      </c>
      <c r="E44718" s="2">
        <v>4.3010567696482999E-6</v>
      </c>
      <c r="F44718" s="2">
        <v>1.2927309246696999E-5</v>
      </c>
    </row>
    <row r="44719" spans="1:6" x14ac:dyDescent="0.25">
      <c r="A44719" s="1" t="str">
        <f t="shared" si="1502"/>
        <v>99999</v>
      </c>
      <c r="B44719" s="1" t="str">
        <f>"41216"</f>
        <v>41216</v>
      </c>
      <c r="C44719" s="2">
        <v>6.65804476934259E-5</v>
      </c>
      <c r="D44719" s="2">
        <v>4.5171266858293203E-6</v>
      </c>
      <c r="E44719" s="2">
        <v>2.58063406178898E-5</v>
      </c>
      <c r="F44719" s="2">
        <v>6.1577411984266902E-5</v>
      </c>
    </row>
    <row r="44720" spans="1:6" x14ac:dyDescent="0.25">
      <c r="A44720" s="1" t="str">
        <f t="shared" si="1502"/>
        <v>99999</v>
      </c>
      <c r="B44720" s="1" t="str">
        <f>"40828"</f>
        <v>40828</v>
      </c>
      <c r="C44720" s="2">
        <v>1.5102394232899001E-4</v>
      </c>
      <c r="D44720" s="2">
        <v>3.7642722381910999E-5</v>
      </c>
      <c r="E44720" s="2">
        <v>3.44084541571864E-5</v>
      </c>
      <c r="F44720" s="2">
        <v>1.4091753896399499E-4</v>
      </c>
    </row>
    <row r="44721" spans="1:6" x14ac:dyDescent="0.25">
      <c r="A44721" s="1" t="str">
        <f t="shared" si="1502"/>
        <v>99999</v>
      </c>
      <c r="B44721" s="1" t="str">
        <f>"40351"</f>
        <v>40351</v>
      </c>
      <c r="C44721" s="2">
        <v>1.0863980367537E-3</v>
      </c>
      <c r="D44721" s="2">
        <v>1.11723600029511E-3</v>
      </c>
      <c r="E44721" s="2">
        <v>2.3827854503851499E-3</v>
      </c>
      <c r="F44721" s="2">
        <v>1.1181629089642999E-3</v>
      </c>
    </row>
    <row r="44722" spans="1:6" x14ac:dyDescent="0.25">
      <c r="A44722" s="1" t="str">
        <f t="shared" si="1502"/>
        <v>99999</v>
      </c>
      <c r="B44722" s="1" t="str">
        <f>"40313"</f>
        <v>40313</v>
      </c>
      <c r="C44722" s="2">
        <v>1.6477307542990901E-4</v>
      </c>
      <c r="D44722" s="2">
        <v>1.80685067433172E-5</v>
      </c>
      <c r="E44722" s="2">
        <v>3.2257925772362199E-4</v>
      </c>
      <c r="F44722" s="2">
        <v>1.5877893570943099E-4</v>
      </c>
    </row>
    <row r="44723" spans="1:6" x14ac:dyDescent="0.25">
      <c r="A44723" s="1" t="str">
        <f t="shared" si="1502"/>
        <v>99999</v>
      </c>
      <c r="B44723" s="1" t="str">
        <f>"40489"</f>
        <v>40489</v>
      </c>
      <c r="C44723" s="2">
        <v>1.7321742489346501E-5</v>
      </c>
      <c r="D44723" s="2">
        <v>0</v>
      </c>
      <c r="E44723" s="2">
        <v>2.15052838482415E-5</v>
      </c>
      <c r="F44723" s="2">
        <v>1.6282488745839801E-5</v>
      </c>
    </row>
    <row r="44724" spans="1:6" x14ac:dyDescent="0.25">
      <c r="A44724" s="1" t="str">
        <f t="shared" si="1502"/>
        <v>99999</v>
      </c>
      <c r="B44724" s="1" t="str">
        <f>"44693"</f>
        <v>44693</v>
      </c>
      <c r="C44724" s="2">
        <v>0</v>
      </c>
      <c r="D44724" s="2">
        <v>0</v>
      </c>
      <c r="E44724" s="2">
        <v>4.3010567696482999E-6</v>
      </c>
      <c r="F44724" s="2">
        <v>9.8681749974786797E-8</v>
      </c>
    </row>
    <row r="44725" spans="1:6" x14ac:dyDescent="0.25">
      <c r="A44725" s="1" t="str">
        <f t="shared" si="1502"/>
        <v>99999</v>
      </c>
      <c r="B44725" s="1" t="str">
        <f>"44637"</f>
        <v>44637</v>
      </c>
      <c r="C44725" s="2">
        <v>1.09560021245117E-4</v>
      </c>
      <c r="D44725" s="2">
        <v>5.8722646915781101E-5</v>
      </c>
      <c r="E44725" s="2">
        <v>6.4515851544724506E-5</v>
      </c>
      <c r="F44725" s="2">
        <v>1.05194745473122E-4</v>
      </c>
    </row>
    <row r="44726" spans="1:6" x14ac:dyDescent="0.25">
      <c r="A44726" s="1" t="str">
        <f t="shared" si="1502"/>
        <v>99999</v>
      </c>
      <c r="B44726" s="1" t="str">
        <f>"45879"</f>
        <v>45879</v>
      </c>
      <c r="C44726" s="2">
        <v>3.02697450001331E-4</v>
      </c>
      <c r="D44726" s="2">
        <v>4.0352998393408597E-4</v>
      </c>
      <c r="E44726" s="2">
        <v>6.1935217482935497E-4</v>
      </c>
      <c r="F44726" s="2">
        <v>3.16571053919116E-4</v>
      </c>
    </row>
    <row r="44727" spans="1:6" x14ac:dyDescent="0.25">
      <c r="A44727" s="1" t="str">
        <f t="shared" si="1502"/>
        <v>99999</v>
      </c>
      <c r="B44727" s="1" t="str">
        <f>"41064"</f>
        <v>41064</v>
      </c>
      <c r="C44727" s="2">
        <v>8.4335233745006096E-5</v>
      </c>
      <c r="D44727" s="2">
        <v>4.6676975753569603E-5</v>
      </c>
      <c r="E44727" s="2">
        <v>0</v>
      </c>
      <c r="F44727" s="2">
        <v>7.9932217479577295E-5</v>
      </c>
    </row>
    <row r="44728" spans="1:6" x14ac:dyDescent="0.25">
      <c r="A44728" s="1" t="str">
        <f t="shared" si="1502"/>
        <v>99999</v>
      </c>
      <c r="B44728" s="1" t="str">
        <f>"45835"</f>
        <v>45835</v>
      </c>
      <c r="C44728" s="2">
        <v>1.9595221191073298E-5</v>
      </c>
      <c r="D44728" s="2">
        <v>7.5285444763821999E-6</v>
      </c>
      <c r="E44728" s="2">
        <v>4.3010567696482999E-6</v>
      </c>
      <c r="F44728" s="2">
        <v>1.8453487245285098E-5</v>
      </c>
    </row>
    <row r="44729" spans="1:6" x14ac:dyDescent="0.25">
      <c r="A44729" s="1" t="str">
        <f t="shared" si="1502"/>
        <v>99999</v>
      </c>
      <c r="B44729" s="1" t="str">
        <f>"45880"</f>
        <v>45880</v>
      </c>
      <c r="C44729" s="2">
        <v>1.0631219452836401E-4</v>
      </c>
      <c r="D44729" s="2">
        <v>3.1619886800805203E-5</v>
      </c>
      <c r="E44729" s="2">
        <v>5.5913738005427899E-5</v>
      </c>
      <c r="F44729" s="2">
        <v>1.0026065797438301E-4</v>
      </c>
    </row>
    <row r="44730" spans="1:6" x14ac:dyDescent="0.25">
      <c r="A44730" s="1" t="str">
        <f t="shared" si="1502"/>
        <v>99999</v>
      </c>
      <c r="B44730" s="1" t="str">
        <f>"41098"</f>
        <v>41098</v>
      </c>
      <c r="C44730" s="2">
        <v>6.5822621459517007E-5</v>
      </c>
      <c r="D44730" s="2">
        <v>1.50570889527644E-6</v>
      </c>
      <c r="E44730" s="2">
        <v>2.15052838482415E-5</v>
      </c>
      <c r="F44730" s="2">
        <v>6.0590594484519101E-5</v>
      </c>
    </row>
    <row r="44731" spans="1:6" x14ac:dyDescent="0.25">
      <c r="A44731" s="1" t="str">
        <f t="shared" si="1502"/>
        <v>99999</v>
      </c>
      <c r="B44731" s="1" t="str">
        <f>"45831"</f>
        <v>45831</v>
      </c>
      <c r="C44731" s="2">
        <v>1.2742306818725501E-4</v>
      </c>
      <c r="D44731" s="2">
        <v>5.1194102439398901E-5</v>
      </c>
      <c r="E44731" s="2">
        <v>3.44084541571864E-5</v>
      </c>
      <c r="F44731" s="2">
        <v>1.20293053219265E-4</v>
      </c>
    </row>
    <row r="44732" spans="1:6" x14ac:dyDescent="0.25">
      <c r="A44732" s="1" t="str">
        <f t="shared" si="1502"/>
        <v>99999</v>
      </c>
      <c r="B44732" s="1" t="str">
        <f>"44849"</f>
        <v>44849</v>
      </c>
      <c r="C44732" s="2">
        <v>8.4551755526122998E-5</v>
      </c>
      <c r="D44732" s="2">
        <v>1.0539962266935E-5</v>
      </c>
      <c r="E44732" s="2">
        <v>2.15052838482415E-5</v>
      </c>
      <c r="F44732" s="2">
        <v>7.8254627730005901E-5</v>
      </c>
    </row>
    <row r="44733" spans="1:6" x14ac:dyDescent="0.25">
      <c r="A44733" s="1" t="str">
        <f t="shared" si="1502"/>
        <v>99999</v>
      </c>
      <c r="B44733" s="1" t="str">
        <f>"45338"</f>
        <v>45338</v>
      </c>
      <c r="C44733" s="2">
        <v>2.3600874141734701E-4</v>
      </c>
      <c r="D44733" s="2">
        <v>1.3852521836543201E-4</v>
      </c>
      <c r="E44733" s="2">
        <v>1.2042958955015201E-4</v>
      </c>
      <c r="F44733" s="2">
        <v>2.2696802494200899E-4</v>
      </c>
    </row>
    <row r="44734" spans="1:6" x14ac:dyDescent="0.25">
      <c r="A44734" s="1" t="str">
        <f t="shared" si="1502"/>
        <v>99999</v>
      </c>
      <c r="B44734" s="1" t="str">
        <f>"45320"</f>
        <v>45320</v>
      </c>
      <c r="C44734" s="2">
        <v>7.6518797446688497E-4</v>
      </c>
      <c r="D44734" s="2">
        <v>8.7481686815561201E-4</v>
      </c>
      <c r="E44734" s="2">
        <v>8.17200786233177E-4</v>
      </c>
      <c r="F44734" s="2">
        <v>7.7356623805235295E-4</v>
      </c>
    </row>
    <row r="44735" spans="1:6" x14ac:dyDescent="0.25">
      <c r="A44735" s="1" t="str">
        <f t="shared" si="1502"/>
        <v>99999</v>
      </c>
      <c r="B44735" s="1" t="str">
        <f>"45771"</f>
        <v>45771</v>
      </c>
      <c r="C44735" s="2">
        <v>1.69428293723921E-4</v>
      </c>
      <c r="D44735" s="2">
        <v>8.88368248213099E-5</v>
      </c>
      <c r="E44735" s="2">
        <v>5.5913738005427899E-5</v>
      </c>
      <c r="F44735" s="2">
        <v>1.6154202470872601E-4</v>
      </c>
    </row>
    <row r="44736" spans="1:6" x14ac:dyDescent="0.25">
      <c r="A44736" s="1" t="str">
        <f t="shared" si="1502"/>
        <v>99999</v>
      </c>
      <c r="B44736" s="1" t="str">
        <f>"45760"</f>
        <v>45760</v>
      </c>
      <c r="C44736" s="2">
        <v>2.0039090842362801E-4</v>
      </c>
      <c r="D44736" s="2">
        <v>2.1230495423397799E-4</v>
      </c>
      <c r="E44736" s="2">
        <v>2.5806340617889802E-4</v>
      </c>
      <c r="F44736" s="2">
        <v>2.0249495094826201E-4</v>
      </c>
    </row>
    <row r="44737" spans="1:6" x14ac:dyDescent="0.25">
      <c r="A44737" s="1" t="str">
        <f t="shared" si="1502"/>
        <v>99999</v>
      </c>
      <c r="B44737" s="1" t="str">
        <f>"47041"</f>
        <v>47041</v>
      </c>
      <c r="C44737" s="2">
        <v>1.5329742103071701E-4</v>
      </c>
      <c r="D44737" s="2">
        <v>1.02388204878797E-4</v>
      </c>
      <c r="E44737" s="2">
        <v>1.41934873398393E-4</v>
      </c>
      <c r="F44737" s="2">
        <v>1.4970021471175099E-4</v>
      </c>
    </row>
    <row r="44738" spans="1:6" x14ac:dyDescent="0.25">
      <c r="A44738" s="1" t="str">
        <f t="shared" si="1502"/>
        <v>99999</v>
      </c>
      <c r="B44738" s="1" t="str">
        <f>"45133"</f>
        <v>45133</v>
      </c>
      <c r="C44738" s="2">
        <v>1.2356898048337601E-3</v>
      </c>
      <c r="D44738" s="2">
        <v>1.31147244778577E-3</v>
      </c>
      <c r="E44738" s="2">
        <v>1.8193470135612301E-3</v>
      </c>
      <c r="F44738" s="2">
        <v>1.2540476786795901E-3</v>
      </c>
    </row>
    <row r="44739" spans="1:6" x14ac:dyDescent="0.25">
      <c r="A44739" s="1" t="str">
        <f t="shared" si="1502"/>
        <v>99999</v>
      </c>
      <c r="B44739" s="1" t="str">
        <f>"43310"</f>
        <v>43310</v>
      </c>
      <c r="C44739" s="2">
        <v>4.0597833959405999E-5</v>
      </c>
      <c r="D44739" s="2">
        <v>4.5171266858293203E-6</v>
      </c>
      <c r="E44739" s="2">
        <v>2.15052838482415E-5</v>
      </c>
      <c r="F44739" s="2">
        <v>3.7795110240343302E-5</v>
      </c>
    </row>
    <row r="44740" spans="1:6" x14ac:dyDescent="0.25">
      <c r="A44740" s="1" t="str">
        <f t="shared" si="1502"/>
        <v>99999</v>
      </c>
      <c r="B44740" s="1" t="str">
        <f>"43788"</f>
        <v>43788</v>
      </c>
      <c r="C44740" s="2">
        <v>5.0990879453013999E-5</v>
      </c>
      <c r="D44740" s="2">
        <v>1.0539962266935E-5</v>
      </c>
      <c r="E44740" s="2">
        <v>8.6021135392965999E-6</v>
      </c>
      <c r="F44740" s="2">
        <v>4.7367239987897599E-5</v>
      </c>
    </row>
    <row r="44741" spans="1:6" x14ac:dyDescent="0.25">
      <c r="A44741" s="1" t="str">
        <f t="shared" si="1502"/>
        <v>99999</v>
      </c>
      <c r="B44741" s="1" t="str">
        <f>"43731"</f>
        <v>43731</v>
      </c>
      <c r="C44741" s="2">
        <v>4.2546529989457501E-5</v>
      </c>
      <c r="D44741" s="2">
        <v>1.35513800574879E-5</v>
      </c>
      <c r="E44741" s="2">
        <v>4.3010567696482999E-6</v>
      </c>
      <c r="F44741" s="2">
        <v>3.9768745239838999E-5</v>
      </c>
    </row>
    <row r="44742" spans="1:6" x14ac:dyDescent="0.25">
      <c r="A44742" s="1" t="str">
        <f t="shared" ref="A44742:A44805" si="1503">"99999"</f>
        <v>99999</v>
      </c>
      <c r="B44742" s="1" t="str">
        <f>"46571"</f>
        <v>46571</v>
      </c>
      <c r="C44742" s="2">
        <v>1.5827742199640401E-4</v>
      </c>
      <c r="D44742" s="2">
        <v>1.44548053946538E-4</v>
      </c>
      <c r="E44742" s="2">
        <v>9.4623248932262599E-5</v>
      </c>
      <c r="F44742" s="2">
        <v>1.5591716496016301E-4</v>
      </c>
    </row>
    <row r="44743" spans="1:6" x14ac:dyDescent="0.25">
      <c r="A44743" s="1" t="str">
        <f t="shared" si="1503"/>
        <v>99999</v>
      </c>
      <c r="B44743" s="1" t="str">
        <f>"47371"</f>
        <v>47371</v>
      </c>
      <c r="C44743" s="2">
        <v>6.0853446582885703E-4</v>
      </c>
      <c r="D44743" s="2">
        <v>9.1547100832807505E-4</v>
      </c>
      <c r="E44743" s="2">
        <v>5.0752469881849903E-4</v>
      </c>
      <c r="F44743" s="2">
        <v>6.2633306708997102E-4</v>
      </c>
    </row>
    <row r="44744" spans="1:6" x14ac:dyDescent="0.25">
      <c r="A44744" s="1" t="str">
        <f t="shared" si="1503"/>
        <v>99999</v>
      </c>
      <c r="B44744" s="1" t="str">
        <f>"47424"</f>
        <v>47424</v>
      </c>
      <c r="C44744" s="2">
        <v>5.2798836325339499E-4</v>
      </c>
      <c r="D44744" s="2">
        <v>5.3603236671841202E-4</v>
      </c>
      <c r="E44744" s="2">
        <v>2.79568690027139E-4</v>
      </c>
      <c r="F44744" s="2">
        <v>5.2281591136641998E-4</v>
      </c>
    </row>
    <row r="44745" spans="1:6" x14ac:dyDescent="0.25">
      <c r="A44745" s="1" t="str">
        <f t="shared" si="1503"/>
        <v>99999</v>
      </c>
      <c r="B44745" s="1" t="str">
        <f>"47438"</f>
        <v>47438</v>
      </c>
      <c r="C44745" s="2">
        <v>2.7628179270507798E-4</v>
      </c>
      <c r="D44745" s="2">
        <v>2.1682208091980699E-4</v>
      </c>
      <c r="E44745" s="2">
        <v>1.5913910047698701E-4</v>
      </c>
      <c r="F44745" s="2">
        <v>2.6969722268109199E-4</v>
      </c>
    </row>
    <row r="44746" spans="1:6" x14ac:dyDescent="0.25">
      <c r="A44746" s="1" t="str">
        <f t="shared" si="1503"/>
        <v>99999</v>
      </c>
      <c r="B44746" s="1" t="str">
        <f>"47459"</f>
        <v>47459</v>
      </c>
      <c r="C44746" s="2">
        <v>1.8588394908880001E-4</v>
      </c>
      <c r="D44746" s="2">
        <v>3.4631304591358098E-5</v>
      </c>
      <c r="E44746" s="2">
        <v>1.72042270785932E-5</v>
      </c>
      <c r="F44746" s="2">
        <v>1.7210097195602799E-4</v>
      </c>
    </row>
    <row r="44747" spans="1:6" x14ac:dyDescent="0.25">
      <c r="A44747" s="1" t="str">
        <f t="shared" si="1503"/>
        <v>99999</v>
      </c>
      <c r="B44747" s="1" t="str">
        <f>"47340"</f>
        <v>47340</v>
      </c>
      <c r="C44747" s="2">
        <v>1.3933176614868101E-4</v>
      </c>
      <c r="D44747" s="2">
        <v>5.5711229125228301E-5</v>
      </c>
      <c r="E44747" s="2">
        <v>7.7419021853669399E-5</v>
      </c>
      <c r="F44747" s="2">
        <v>1.3243090846616301E-4</v>
      </c>
    </row>
    <row r="44748" spans="1:6" x14ac:dyDescent="0.25">
      <c r="A44748" s="1" t="str">
        <f t="shared" si="1503"/>
        <v>99999</v>
      </c>
      <c r="B44748" s="1" t="str">
        <f>"47369"</f>
        <v>47369</v>
      </c>
      <c r="C44748" s="2">
        <v>4.3196095332807998E-5</v>
      </c>
      <c r="D44748" s="2">
        <v>1.35513800574879E-5</v>
      </c>
      <c r="E44748" s="2">
        <v>4.7311624466131299E-5</v>
      </c>
      <c r="F44748" s="2">
        <v>4.1347653239435603E-5</v>
      </c>
    </row>
    <row r="44749" spans="1:6" x14ac:dyDescent="0.25">
      <c r="A44749" s="1" t="str">
        <f t="shared" si="1503"/>
        <v>99999</v>
      </c>
      <c r="B44749" s="1" t="str">
        <f>"47457"</f>
        <v>47457</v>
      </c>
      <c r="C44749" s="2">
        <v>3.3560876073109E-6</v>
      </c>
      <c r="D44749" s="2">
        <v>1.0539962266935E-5</v>
      </c>
      <c r="E44749" s="2">
        <v>0</v>
      </c>
      <c r="F44749" s="2">
        <v>3.7499064990418899E-6</v>
      </c>
    </row>
    <row r="44750" spans="1:6" x14ac:dyDescent="0.25">
      <c r="A44750" s="1" t="str">
        <f t="shared" si="1503"/>
        <v>99999</v>
      </c>
      <c r="B44750" s="1" t="str">
        <f>"47578"</f>
        <v>47578</v>
      </c>
      <c r="C44750" s="2">
        <v>1.0176523712491101E-5</v>
      </c>
      <c r="D44750" s="2">
        <v>1.50570889527644E-6</v>
      </c>
      <c r="E44750" s="2">
        <v>0</v>
      </c>
      <c r="F44750" s="2">
        <v>9.3747662476047397E-6</v>
      </c>
    </row>
    <row r="44751" spans="1:6" x14ac:dyDescent="0.25">
      <c r="A44751" s="1" t="str">
        <f t="shared" si="1503"/>
        <v>99999</v>
      </c>
      <c r="B44751" s="1" t="str">
        <f>"46996"</f>
        <v>46996</v>
      </c>
      <c r="C44751" s="2">
        <v>3.6873659324196498E-4</v>
      </c>
      <c r="D44751" s="2">
        <v>5.3302094892785897E-4</v>
      </c>
      <c r="E44751" s="2">
        <v>3.3118137126291901E-4</v>
      </c>
      <c r="F44751" s="2">
        <v>3.7864187465325698E-4</v>
      </c>
    </row>
    <row r="44752" spans="1:6" x14ac:dyDescent="0.25">
      <c r="A44752" s="1" t="str">
        <f t="shared" si="1503"/>
        <v>99999</v>
      </c>
      <c r="B44752" s="1" t="str">
        <f>"46975"</f>
        <v>46975</v>
      </c>
      <c r="C44752" s="2">
        <v>7.6291449576515805E-4</v>
      </c>
      <c r="D44752" s="2">
        <v>8.88368248213099E-4</v>
      </c>
      <c r="E44752" s="2">
        <v>4.7741730143096097E-4</v>
      </c>
      <c r="F44752" s="2">
        <v>7.6458619880464802E-4</v>
      </c>
    </row>
    <row r="44753" spans="1:6" x14ac:dyDescent="0.25">
      <c r="A44753" s="1" t="str">
        <f t="shared" si="1503"/>
        <v>99999</v>
      </c>
      <c r="B44753" s="1" t="str">
        <f>"46985"</f>
        <v>46985</v>
      </c>
      <c r="C44753" s="2">
        <v>7.4050449141956602E-5</v>
      </c>
      <c r="D44753" s="2">
        <v>3.31255956960816E-5</v>
      </c>
      <c r="E44753" s="2">
        <v>8.6021135392965999E-6</v>
      </c>
      <c r="F44753" s="2">
        <v>6.9866678982149E-5</v>
      </c>
    </row>
    <row r="44754" spans="1:6" x14ac:dyDescent="0.25">
      <c r="A44754" s="1" t="str">
        <f t="shared" si="1503"/>
        <v>99999</v>
      </c>
      <c r="B44754" s="1" t="str">
        <f>"48726"</f>
        <v>48726</v>
      </c>
      <c r="C44754" s="2">
        <v>3.0995092966874501E-4</v>
      </c>
      <c r="D44754" s="2">
        <v>3.5685300818051602E-4</v>
      </c>
      <c r="E44754" s="2">
        <v>3.39783484802215E-4</v>
      </c>
      <c r="F44754" s="2">
        <v>3.1370928316984701E-4</v>
      </c>
    </row>
    <row r="44755" spans="1:6" x14ac:dyDescent="0.25">
      <c r="A44755" s="1" t="str">
        <f t="shared" si="1503"/>
        <v>99999</v>
      </c>
      <c r="B44755" s="1" t="str">
        <f>"48656"</f>
        <v>48656</v>
      </c>
      <c r="C44755" s="2">
        <v>3.5975093932561598E-4</v>
      </c>
      <c r="D44755" s="2">
        <v>1.2949096499377299E-4</v>
      </c>
      <c r="E44755" s="2">
        <v>8.6021135392965999E-5</v>
      </c>
      <c r="F44755" s="2">
        <v>3.3837972066354298E-4</v>
      </c>
    </row>
    <row r="44756" spans="1:6" x14ac:dyDescent="0.25">
      <c r="A44756" s="1" t="str">
        <f t="shared" si="1503"/>
        <v>99999</v>
      </c>
      <c r="B44756" s="1" t="str">
        <f>"48731"</f>
        <v>48731</v>
      </c>
      <c r="C44756" s="2">
        <v>9.2996104989679401E-5</v>
      </c>
      <c r="D44756" s="2">
        <v>4.3665557963016701E-5</v>
      </c>
      <c r="E44756" s="2">
        <v>7.3117965084021106E-5</v>
      </c>
      <c r="F44756" s="2">
        <v>8.9306983727182004E-5</v>
      </c>
    </row>
    <row r="44757" spans="1:6" x14ac:dyDescent="0.25">
      <c r="A44757" s="1" t="str">
        <f t="shared" si="1503"/>
        <v>99999</v>
      </c>
      <c r="B44757" s="1" t="str">
        <f>"48625"</f>
        <v>48625</v>
      </c>
      <c r="C44757" s="2">
        <v>1.0079088910988499E-3</v>
      </c>
      <c r="D44757" s="2">
        <v>3.4330162812302799E-4</v>
      </c>
      <c r="E44757" s="2">
        <v>3.9999827957729202E-4</v>
      </c>
      <c r="F44757" s="2">
        <v>9.5040393400717103E-4</v>
      </c>
    </row>
    <row r="44758" spans="1:6" x14ac:dyDescent="0.25">
      <c r="A44758" s="1" t="str">
        <f t="shared" si="1503"/>
        <v>99999</v>
      </c>
      <c r="B44758" s="1" t="str">
        <f>"48733"</f>
        <v>48733</v>
      </c>
      <c r="C44758" s="2">
        <v>9.2130017865212104E-5</v>
      </c>
      <c r="D44758" s="2">
        <v>4.9688393544122498E-5</v>
      </c>
      <c r="E44758" s="2">
        <v>0</v>
      </c>
      <c r="F44758" s="2">
        <v>8.7234666977711504E-5</v>
      </c>
    </row>
    <row r="44759" spans="1:6" x14ac:dyDescent="0.25">
      <c r="A44759" s="1" t="str">
        <f t="shared" si="1503"/>
        <v>99999</v>
      </c>
      <c r="B44759" s="1" t="str">
        <f>"48755"</f>
        <v>48755</v>
      </c>
      <c r="C44759" s="2">
        <v>2.3059569688942599E-4</v>
      </c>
      <c r="D44759" s="2">
        <v>1.65627978480408E-4</v>
      </c>
      <c r="E44759" s="2">
        <v>8.1720078623317706E-5</v>
      </c>
      <c r="F44759" s="2">
        <v>2.2292207319304301E-4</v>
      </c>
    </row>
    <row r="44760" spans="1:6" x14ac:dyDescent="0.25">
      <c r="A44760" s="1" t="str">
        <f t="shared" si="1503"/>
        <v>99999</v>
      </c>
      <c r="B44760" s="1" t="str">
        <f>"48770"</f>
        <v>48770</v>
      </c>
      <c r="C44760" s="2">
        <v>1.16921761803089E-4</v>
      </c>
      <c r="D44760" s="2">
        <v>7.0768318077992694E-5</v>
      </c>
      <c r="E44760" s="2">
        <v>1.72042270785932E-5</v>
      </c>
      <c r="F44760" s="2">
        <v>1.11609059221483E-4</v>
      </c>
    </row>
    <row r="44761" spans="1:6" x14ac:dyDescent="0.25">
      <c r="A44761" s="1" t="str">
        <f t="shared" si="1503"/>
        <v>99999</v>
      </c>
      <c r="B44761" s="1" t="str">
        <f>"32346"</f>
        <v>32346</v>
      </c>
      <c r="C44761" s="2">
        <v>6.2033490289972406E-5</v>
      </c>
      <c r="D44761" s="2">
        <v>1.35513800574879E-5</v>
      </c>
      <c r="E44761" s="2">
        <v>2.15052838482415E-5</v>
      </c>
      <c r="F44761" s="2">
        <v>5.7926187235199798E-5</v>
      </c>
    </row>
    <row r="44762" spans="1:6" x14ac:dyDescent="0.25">
      <c r="A44762" s="1" t="str">
        <f t="shared" si="1503"/>
        <v>99999</v>
      </c>
      <c r="B44762" s="1" t="str">
        <f>"34974"</f>
        <v>34974</v>
      </c>
      <c r="C44762" s="2">
        <v>3.4210441416459501E-4</v>
      </c>
      <c r="D44762" s="2">
        <v>1.3852521836543201E-4</v>
      </c>
      <c r="E44762" s="2">
        <v>2.0645072494311799E-4</v>
      </c>
      <c r="F44762" s="2">
        <v>3.25649774916796E-4</v>
      </c>
    </row>
    <row r="44763" spans="1:6" x14ac:dyDescent="0.25">
      <c r="A44763" s="1" t="str">
        <f t="shared" si="1503"/>
        <v>99999</v>
      </c>
      <c r="B44763" s="1" t="str">
        <f>"35544"</f>
        <v>35544</v>
      </c>
      <c r="C44763" s="2">
        <v>5.08826185624555E-5</v>
      </c>
      <c r="D44763" s="2">
        <v>2.4091342324423E-5</v>
      </c>
      <c r="E44763" s="2">
        <v>4.3010567696482999E-6</v>
      </c>
      <c r="F44763" s="2">
        <v>4.8058012237721097E-5</v>
      </c>
    </row>
    <row r="44764" spans="1:6" x14ac:dyDescent="0.25">
      <c r="A44764" s="1" t="str">
        <f t="shared" si="1503"/>
        <v>99999</v>
      </c>
      <c r="B44764" s="1" t="str">
        <f>"35578"</f>
        <v>35578</v>
      </c>
      <c r="C44764" s="2">
        <v>4.7201748283469398E-5</v>
      </c>
      <c r="D44764" s="2">
        <v>1.65627978480408E-5</v>
      </c>
      <c r="E44764" s="2">
        <v>2.58063406178898E-5</v>
      </c>
      <c r="F44764" s="2">
        <v>4.4702832738578397E-5</v>
      </c>
    </row>
    <row r="44765" spans="1:6" x14ac:dyDescent="0.25">
      <c r="A44765" s="1" t="str">
        <f t="shared" si="1503"/>
        <v>99999</v>
      </c>
      <c r="B44765" s="1" t="str">
        <f>"35581"</f>
        <v>35581</v>
      </c>
      <c r="C44765" s="2">
        <v>3.2370006276966399E-4</v>
      </c>
      <c r="D44765" s="2">
        <v>1.6713368737568399E-4</v>
      </c>
      <c r="E44765" s="2">
        <v>3.2257925772362199E-4</v>
      </c>
      <c r="F44765" s="2">
        <v>3.1341323791992201E-4</v>
      </c>
    </row>
    <row r="44766" spans="1:6" x14ac:dyDescent="0.25">
      <c r="A44766" s="1" t="str">
        <f t="shared" si="1503"/>
        <v>99999</v>
      </c>
      <c r="B44766" s="1" t="str">
        <f>"35565"</f>
        <v>35565</v>
      </c>
      <c r="C44766" s="2">
        <v>7.9355232779319005E-4</v>
      </c>
      <c r="D44766" s="2">
        <v>9.3805664175722195E-4</v>
      </c>
      <c r="E44766" s="2">
        <v>1.4408540178321801E-3</v>
      </c>
      <c r="F44766" s="2">
        <v>8.1787434379103298E-4</v>
      </c>
    </row>
    <row r="44767" spans="1:6" x14ac:dyDescent="0.25">
      <c r="A44767" s="1" t="str">
        <f t="shared" si="1503"/>
        <v>99999</v>
      </c>
      <c r="B44767" s="1" t="str">
        <f>"35586"</f>
        <v>35586</v>
      </c>
      <c r="C44767" s="2">
        <v>2.59284832887406E-4</v>
      </c>
      <c r="D44767" s="2">
        <v>6.9262609182716196E-5</v>
      </c>
      <c r="E44767" s="2">
        <v>3.1827820095397402E-4</v>
      </c>
      <c r="F44767" s="2">
        <v>2.4818460118658801E-4</v>
      </c>
    </row>
    <row r="44768" spans="1:6" x14ac:dyDescent="0.25">
      <c r="A44768" s="1" t="str">
        <f t="shared" si="1503"/>
        <v>99999</v>
      </c>
      <c r="B44768" s="1" t="str">
        <f>"35571"</f>
        <v>35571</v>
      </c>
      <c r="C44768" s="2">
        <v>6.6688708583984303E-5</v>
      </c>
      <c r="D44768" s="2">
        <v>3.7642722381910999E-5</v>
      </c>
      <c r="E44768" s="2">
        <v>8.6021135392965999E-6</v>
      </c>
      <c r="F44768" s="2">
        <v>6.3452365233787904E-5</v>
      </c>
    </row>
    <row r="44769" spans="1:6" x14ac:dyDescent="0.25">
      <c r="A44769" s="1" t="str">
        <f t="shared" si="1503"/>
        <v>99999</v>
      </c>
      <c r="B44769" s="1" t="str">
        <f>"36442"</f>
        <v>36442</v>
      </c>
      <c r="C44769" s="2">
        <v>3.1601353954001599E-4</v>
      </c>
      <c r="D44769" s="2">
        <v>5.1495244218454196E-4</v>
      </c>
      <c r="E44769" s="2">
        <v>3.44084541571864E-4</v>
      </c>
      <c r="F44769" s="2">
        <v>3.2969572666576198E-4</v>
      </c>
    </row>
    <row r="44770" spans="1:6" x14ac:dyDescent="0.25">
      <c r="A44770" s="1" t="str">
        <f t="shared" si="1503"/>
        <v>99999</v>
      </c>
      <c r="B44770" s="1" t="str">
        <f>"36480"</f>
        <v>36480</v>
      </c>
      <c r="C44770" s="2">
        <v>1.0317262870217E-4</v>
      </c>
      <c r="D44770" s="2">
        <v>3.01141779055288E-5</v>
      </c>
      <c r="E44770" s="2">
        <v>1.72042270785932E-5</v>
      </c>
      <c r="F44770" s="2">
        <v>9.64120697253667E-5</v>
      </c>
    </row>
    <row r="44771" spans="1:6" x14ac:dyDescent="0.25">
      <c r="A44771" s="1" t="str">
        <f t="shared" si="1503"/>
        <v>99999</v>
      </c>
      <c r="B44771" s="1" t="str">
        <f>"36483"</f>
        <v>36483</v>
      </c>
      <c r="C44771" s="2">
        <v>2.1976960783358401E-5</v>
      </c>
      <c r="D44771" s="2">
        <v>1.0539962266935E-5</v>
      </c>
      <c r="E44771" s="2">
        <v>0</v>
      </c>
      <c r="F44771" s="2">
        <v>2.07231674947052E-5</v>
      </c>
    </row>
    <row r="44772" spans="1:6" x14ac:dyDescent="0.25">
      <c r="A44772" s="1" t="str">
        <f t="shared" si="1503"/>
        <v>99999</v>
      </c>
      <c r="B44772" s="1" t="str">
        <f>"36782"</f>
        <v>36782</v>
      </c>
      <c r="C44772" s="2">
        <v>1.39223505258123E-4</v>
      </c>
      <c r="D44772" s="2">
        <v>2.8608469010252301E-5</v>
      </c>
      <c r="E44772" s="2">
        <v>8.1720078623317706E-5</v>
      </c>
      <c r="F44772" s="2">
        <v>1.30654636966617E-4</v>
      </c>
    </row>
    <row r="44773" spans="1:6" x14ac:dyDescent="0.25">
      <c r="A44773" s="1" t="str">
        <f t="shared" si="1503"/>
        <v>99999</v>
      </c>
      <c r="B44773" s="1" t="str">
        <f>"36786"</f>
        <v>36786</v>
      </c>
      <c r="C44773" s="2">
        <v>1.4420350622381E-4</v>
      </c>
      <c r="D44773" s="2">
        <v>4.5171266858293199E-5</v>
      </c>
      <c r="E44773" s="2">
        <v>2.3225706556100799E-4</v>
      </c>
      <c r="F44773" s="2">
        <v>1.39733357964298E-4</v>
      </c>
    </row>
    <row r="44774" spans="1:6" x14ac:dyDescent="0.25">
      <c r="A44774" s="1" t="str">
        <f t="shared" si="1503"/>
        <v>99999</v>
      </c>
      <c r="B44774" s="1" t="str">
        <f>"37025"</f>
        <v>37025</v>
      </c>
      <c r="C44774" s="2">
        <v>2.5647004973288699E-4</v>
      </c>
      <c r="D44774" s="2">
        <v>1.2196242051739101E-4</v>
      </c>
      <c r="E44774" s="2">
        <v>0</v>
      </c>
      <c r="F44774" s="2">
        <v>2.4177028743822701E-4</v>
      </c>
    </row>
    <row r="44775" spans="1:6" x14ac:dyDescent="0.25">
      <c r="A44775" s="1" t="str">
        <f t="shared" si="1503"/>
        <v>99999</v>
      </c>
      <c r="B44775" s="1" t="str">
        <f>"37012"</f>
        <v>37012</v>
      </c>
      <c r="C44775" s="2">
        <v>1.11508717275168E-4</v>
      </c>
      <c r="D44775" s="2">
        <v>6.0228355811057599E-5</v>
      </c>
      <c r="E44775" s="2">
        <v>2.58063406178898E-5</v>
      </c>
      <c r="F44775" s="2">
        <v>1.0618156297287E-4</v>
      </c>
    </row>
    <row r="44776" spans="1:6" x14ac:dyDescent="0.25">
      <c r="A44776" s="1" t="str">
        <f t="shared" si="1503"/>
        <v>99999</v>
      </c>
      <c r="B44776" s="1" t="str">
        <f>"36089"</f>
        <v>36089</v>
      </c>
      <c r="C44776" s="2">
        <v>4.5480400123590602E-4</v>
      </c>
      <c r="D44776" s="2">
        <v>6.2938631822555204E-4</v>
      </c>
      <c r="E44776" s="2">
        <v>1.8924649786452501E-4</v>
      </c>
      <c r="F44776" s="2">
        <v>4.6015300013243002E-4</v>
      </c>
    </row>
    <row r="44777" spans="1:6" x14ac:dyDescent="0.25">
      <c r="A44777" s="1" t="str">
        <f t="shared" si="1503"/>
        <v>99999</v>
      </c>
      <c r="B44777" s="1" t="str">
        <f>"36037"</f>
        <v>36037</v>
      </c>
      <c r="C44777" s="2">
        <v>8.3436668353371304E-4</v>
      </c>
      <c r="D44777" s="2">
        <v>1.46656046399925E-3</v>
      </c>
      <c r="E44777" s="2">
        <v>6.5806168575619005E-4</v>
      </c>
      <c r="F44777" s="2">
        <v>8.71754579277266E-4</v>
      </c>
    </row>
    <row r="44778" spans="1:6" x14ac:dyDescent="0.25">
      <c r="A44778" s="1" t="str">
        <f t="shared" si="1503"/>
        <v>99999</v>
      </c>
      <c r="B44778" s="1" t="str">
        <f>"36036"</f>
        <v>36036</v>
      </c>
      <c r="C44778" s="2">
        <v>4.8717400751287198E-5</v>
      </c>
      <c r="D44778" s="2">
        <v>2.55970512196994E-5</v>
      </c>
      <c r="E44778" s="2">
        <v>0</v>
      </c>
      <c r="F44778" s="2">
        <v>4.60843772382254E-5</v>
      </c>
    </row>
    <row r="44779" spans="1:6" x14ac:dyDescent="0.25">
      <c r="A44779" s="1" t="str">
        <f t="shared" si="1503"/>
        <v>99999</v>
      </c>
      <c r="B44779" s="1" t="str">
        <f>"37765"</f>
        <v>37765</v>
      </c>
      <c r="C44779" s="2">
        <v>3.6159137446510998E-5</v>
      </c>
      <c r="D44779" s="2">
        <v>1.65627978480408E-5</v>
      </c>
      <c r="E44779" s="2">
        <v>4.3010567696482999E-6</v>
      </c>
      <c r="F44779" s="2">
        <v>3.4143885491276198E-5</v>
      </c>
    </row>
    <row r="44780" spans="1:6" x14ac:dyDescent="0.25">
      <c r="A44780" s="1" t="str">
        <f t="shared" si="1503"/>
        <v>99999</v>
      </c>
      <c r="B44780" s="1" t="str">
        <f>"38356"</f>
        <v>38356</v>
      </c>
      <c r="C44780" s="2">
        <v>3.3127832510875297E-5</v>
      </c>
      <c r="D44780" s="2">
        <v>7.5285444763821999E-6</v>
      </c>
      <c r="E44780" s="2">
        <v>0</v>
      </c>
      <c r="F44780" s="2">
        <v>3.06900242421586E-5</v>
      </c>
    </row>
    <row r="44781" spans="1:6" x14ac:dyDescent="0.25">
      <c r="A44781" s="1" t="str">
        <f t="shared" si="1503"/>
        <v>99999</v>
      </c>
      <c r="B44781" s="1" t="str">
        <f>"38357"</f>
        <v>38357</v>
      </c>
      <c r="C44781" s="2">
        <v>1.66613510569402E-4</v>
      </c>
      <c r="D44781" s="2">
        <v>5.4205520229951803E-5</v>
      </c>
      <c r="E44781" s="2">
        <v>8.6021135392965999E-6</v>
      </c>
      <c r="F44781" s="2">
        <v>1.55621119710238E-4</v>
      </c>
    </row>
    <row r="44782" spans="1:6" x14ac:dyDescent="0.25">
      <c r="A44782" s="1" t="str">
        <f t="shared" si="1503"/>
        <v>99999</v>
      </c>
      <c r="B44782" s="1" t="str">
        <f>"38371"</f>
        <v>38371</v>
      </c>
      <c r="C44782" s="2">
        <v>8.2711320386629907E-5</v>
      </c>
      <c r="D44782" s="2">
        <v>1.35513800574879E-5</v>
      </c>
      <c r="E44782" s="2">
        <v>0</v>
      </c>
      <c r="F44782" s="2">
        <v>7.6280992730510204E-5</v>
      </c>
    </row>
    <row r="44783" spans="1:6" x14ac:dyDescent="0.25">
      <c r="A44783" s="1" t="str">
        <f t="shared" si="1503"/>
        <v>99999</v>
      </c>
      <c r="B44783" s="1" t="str">
        <f>"38329"</f>
        <v>38329</v>
      </c>
      <c r="C44783" s="2">
        <v>2.4943309184658998E-4</v>
      </c>
      <c r="D44783" s="2">
        <v>2.4844196772061199E-4</v>
      </c>
      <c r="E44783" s="2">
        <v>5.5913738005427899E-5</v>
      </c>
      <c r="F44783" s="2">
        <v>2.4492810343741998E-4</v>
      </c>
    </row>
    <row r="44784" spans="1:6" x14ac:dyDescent="0.25">
      <c r="A44784" s="1" t="str">
        <f t="shared" si="1503"/>
        <v>99999</v>
      </c>
      <c r="B44784" s="1" t="str">
        <f>"38318"</f>
        <v>38318</v>
      </c>
      <c r="C44784" s="2">
        <v>3.5509572103160502E-5</v>
      </c>
      <c r="D44784" s="2">
        <v>7.5285444763821999E-6</v>
      </c>
      <c r="E44784" s="2">
        <v>0</v>
      </c>
      <c r="F44784" s="2">
        <v>3.2861022741603999E-5</v>
      </c>
    </row>
    <row r="44785" spans="1:6" x14ac:dyDescent="0.25">
      <c r="A44785" s="1" t="str">
        <f t="shared" si="1503"/>
        <v>99999</v>
      </c>
      <c r="B44785" s="1" t="str">
        <f>"38475"</f>
        <v>38475</v>
      </c>
      <c r="C44785" s="2">
        <v>4.43869651289506E-5</v>
      </c>
      <c r="D44785" s="2">
        <v>6.0228355811057601E-6</v>
      </c>
      <c r="E44785" s="2">
        <v>4.3010567696482999E-6</v>
      </c>
      <c r="F44785" s="2">
        <v>4.0952926239536503E-5</v>
      </c>
    </row>
    <row r="44786" spans="1:6" x14ac:dyDescent="0.25">
      <c r="A44786" s="1" t="str">
        <f t="shared" si="1503"/>
        <v>99999</v>
      </c>
      <c r="B44786" s="1" t="str">
        <f>"38039"</f>
        <v>38039</v>
      </c>
      <c r="C44786" s="2">
        <v>8.0870885247136801E-5</v>
      </c>
      <c r="D44786" s="2">
        <v>1.02388204878797E-4</v>
      </c>
      <c r="E44786" s="2">
        <v>0</v>
      </c>
      <c r="F44786" s="2">
        <v>8.0425626229451206E-5</v>
      </c>
    </row>
    <row r="44787" spans="1:6" x14ac:dyDescent="0.25">
      <c r="A44787" s="1" t="str">
        <f t="shared" si="1503"/>
        <v>99999</v>
      </c>
      <c r="B44787" s="1" t="str">
        <f>"38044"</f>
        <v>38044</v>
      </c>
      <c r="C44787" s="2">
        <v>4.91504443135209E-5</v>
      </c>
      <c r="D44787" s="2">
        <v>3.4631304591358098E-5</v>
      </c>
      <c r="E44787" s="2">
        <v>1.72042270785932E-5</v>
      </c>
      <c r="F44787" s="2">
        <v>4.7465921737872403E-5</v>
      </c>
    </row>
    <row r="44788" spans="1:6" x14ac:dyDescent="0.25">
      <c r="A44788" s="1" t="str">
        <f t="shared" si="1503"/>
        <v>99999</v>
      </c>
      <c r="B44788" s="1" t="str">
        <f>"37870"</f>
        <v>37870</v>
      </c>
      <c r="C44788" s="2">
        <v>1.95302646567382E-4</v>
      </c>
      <c r="D44788" s="2">
        <v>7.0768318077992694E-5</v>
      </c>
      <c r="E44788" s="2">
        <v>0</v>
      </c>
      <c r="F44788" s="2">
        <v>1.8265991920332999E-4</v>
      </c>
    </row>
    <row r="44789" spans="1:6" x14ac:dyDescent="0.25">
      <c r="A44789" s="1" t="str">
        <f t="shared" si="1503"/>
        <v>99999</v>
      </c>
      <c r="B44789" s="1" t="str">
        <f>"37885"</f>
        <v>37885</v>
      </c>
      <c r="C44789" s="2">
        <v>3.7718094270552098E-4</v>
      </c>
      <c r="D44789" s="2">
        <v>4.14069946201021E-4</v>
      </c>
      <c r="E44789" s="2">
        <v>1.63440157246635E-4</v>
      </c>
      <c r="F44789" s="2">
        <v>3.7469460465426499E-4</v>
      </c>
    </row>
    <row r="44790" spans="1:6" x14ac:dyDescent="0.25">
      <c r="A44790" s="1" t="str">
        <f t="shared" si="1503"/>
        <v>99999</v>
      </c>
      <c r="B44790" s="1" t="str">
        <f>"37354"</f>
        <v>37354</v>
      </c>
      <c r="C44790" s="2">
        <v>9.7597192838412095E-4</v>
      </c>
      <c r="D44790" s="2">
        <v>1.0314105932643599E-3</v>
      </c>
      <c r="E44790" s="2">
        <v>1.10107053302996E-3</v>
      </c>
      <c r="F44790" s="2">
        <v>9.8247550274897701E-4</v>
      </c>
    </row>
    <row r="44791" spans="1:6" x14ac:dyDescent="0.25">
      <c r="A44791" s="1" t="str">
        <f t="shared" si="1503"/>
        <v>99999</v>
      </c>
      <c r="B44791" s="1" t="str">
        <f>"37321"</f>
        <v>37321</v>
      </c>
      <c r="C44791" s="2">
        <v>1.3532611319802E-5</v>
      </c>
      <c r="D44791" s="2">
        <v>1.50570889527644E-6</v>
      </c>
      <c r="E44791" s="2">
        <v>3.44084541571864E-5</v>
      </c>
      <c r="F44791" s="2">
        <v>1.3223354496621401E-5</v>
      </c>
    </row>
    <row r="44792" spans="1:6" x14ac:dyDescent="0.25">
      <c r="A44792" s="1" t="str">
        <f t="shared" si="1503"/>
        <v>99999</v>
      </c>
      <c r="B44792" s="1" t="str">
        <f>"37381"</f>
        <v>37381</v>
      </c>
      <c r="C44792" s="2">
        <v>6.8420882832919005E-5</v>
      </c>
      <c r="D44792" s="2">
        <v>1.65627978480408E-5</v>
      </c>
      <c r="E44792" s="2">
        <v>0</v>
      </c>
      <c r="F44792" s="2">
        <v>6.3452365233787904E-5</v>
      </c>
    </row>
    <row r="44793" spans="1:6" x14ac:dyDescent="0.25">
      <c r="A44793" s="1" t="str">
        <f t="shared" si="1503"/>
        <v>99999</v>
      </c>
      <c r="B44793" s="1" t="str">
        <f>"37181"</f>
        <v>37181</v>
      </c>
      <c r="C44793" s="2">
        <v>2.24100043455921E-5</v>
      </c>
      <c r="D44793" s="2">
        <v>6.0228355811057601E-6</v>
      </c>
      <c r="E44793" s="2">
        <v>8.6021135392965999E-6</v>
      </c>
      <c r="F44793" s="2">
        <v>2.10192127446295E-5</v>
      </c>
    </row>
    <row r="44794" spans="1:6" x14ac:dyDescent="0.25">
      <c r="A44794" s="1" t="str">
        <f t="shared" si="1503"/>
        <v>99999</v>
      </c>
      <c r="B44794" s="1" t="str">
        <f>"39176"</f>
        <v>39176</v>
      </c>
      <c r="C44794" s="2">
        <v>2.0353047424982201E-5</v>
      </c>
      <c r="D44794" s="2">
        <v>3.01141779055288E-6</v>
      </c>
      <c r="E44794" s="2">
        <v>0</v>
      </c>
      <c r="F44794" s="2">
        <v>1.8749532495209401E-5</v>
      </c>
    </row>
    <row r="44795" spans="1:6" x14ac:dyDescent="0.25">
      <c r="A44795" s="1" t="str">
        <f t="shared" si="1503"/>
        <v>99999</v>
      </c>
      <c r="B44795" s="1" t="str">
        <f>"39339"</f>
        <v>39339</v>
      </c>
      <c r="C44795" s="2">
        <v>8.0427015595847297E-4</v>
      </c>
      <c r="D44795" s="2">
        <v>1.0886275312848601E-3</v>
      </c>
      <c r="E44795" s="2">
        <v>4.7311624466131301E-4</v>
      </c>
      <c r="F44795" s="2">
        <v>8.1530861829168797E-4</v>
      </c>
    </row>
    <row r="44796" spans="1:6" x14ac:dyDescent="0.25">
      <c r="A44796" s="1" t="str">
        <f t="shared" si="1503"/>
        <v>99999</v>
      </c>
      <c r="B44796" s="1" t="str">
        <f>"39323"</f>
        <v>39323</v>
      </c>
      <c r="C44796" s="2">
        <v>5.9326968026011998E-5</v>
      </c>
      <c r="D44796" s="2">
        <v>9.0342533716586405E-6</v>
      </c>
      <c r="E44796" s="2">
        <v>8.6021135392965999E-6</v>
      </c>
      <c r="F44796" s="2">
        <v>5.4867052985981401E-5</v>
      </c>
    </row>
    <row r="44797" spans="1:6" x14ac:dyDescent="0.25">
      <c r="A44797" s="1" t="str">
        <f t="shared" si="1503"/>
        <v>99999</v>
      </c>
      <c r="B44797" s="1" t="str">
        <f>"39144"</f>
        <v>39144</v>
      </c>
      <c r="C44797" s="2">
        <v>6.3982186320023902E-5</v>
      </c>
      <c r="D44797" s="2">
        <v>1.65627978480408E-5</v>
      </c>
      <c r="E44797" s="2">
        <v>0</v>
      </c>
      <c r="F44797" s="2">
        <v>5.9406413484821598E-5</v>
      </c>
    </row>
    <row r="44798" spans="1:6" x14ac:dyDescent="0.25">
      <c r="A44798" s="1" t="str">
        <f t="shared" si="1503"/>
        <v>99999</v>
      </c>
      <c r="B44798" s="1" t="str">
        <f>"39069"</f>
        <v>39069</v>
      </c>
      <c r="C44798" s="2">
        <v>1.91513515397838E-4</v>
      </c>
      <c r="D44798" s="2">
        <v>6.9262609182716196E-5</v>
      </c>
      <c r="E44798" s="2">
        <v>3.0537503064502898E-4</v>
      </c>
      <c r="F44798" s="2">
        <v>1.8611378045244701E-4</v>
      </c>
    </row>
    <row r="44799" spans="1:6" x14ac:dyDescent="0.25">
      <c r="A44799" s="1" t="str">
        <f t="shared" si="1503"/>
        <v>99999</v>
      </c>
      <c r="B44799" s="1" t="str">
        <f>"38920"</f>
        <v>38920</v>
      </c>
      <c r="C44799" s="2">
        <v>7.9896537232111101E-5</v>
      </c>
      <c r="D44799" s="2">
        <v>1.9574215638593701E-5</v>
      </c>
      <c r="E44799" s="2">
        <v>4.3010567696482999E-6</v>
      </c>
      <c r="F44799" s="2">
        <v>7.4208675981039595E-5</v>
      </c>
    </row>
    <row r="44800" spans="1:6" x14ac:dyDescent="0.25">
      <c r="A44800" s="1" t="str">
        <f t="shared" si="1503"/>
        <v>99999</v>
      </c>
      <c r="B44800" s="1" t="str">
        <f>"39096"</f>
        <v>39096</v>
      </c>
      <c r="C44800" s="2">
        <v>9.1263930740744794E-5</v>
      </c>
      <c r="D44800" s="2">
        <v>3.4631304591358098E-5</v>
      </c>
      <c r="E44800" s="2">
        <v>2.15052838482415E-5</v>
      </c>
      <c r="F44800" s="2">
        <v>8.5951804228039298E-5</v>
      </c>
    </row>
    <row r="44801" spans="1:6" x14ac:dyDescent="0.25">
      <c r="A44801" s="1" t="str">
        <f t="shared" si="1503"/>
        <v>99999</v>
      </c>
      <c r="B44801" s="1" t="str">
        <f>"39108"</f>
        <v>39108</v>
      </c>
      <c r="C44801" s="2">
        <v>1.3933176614868101E-4</v>
      </c>
      <c r="D44801" s="2">
        <v>2.25856334291466E-5</v>
      </c>
      <c r="E44801" s="2">
        <v>0</v>
      </c>
      <c r="F44801" s="2">
        <v>1.2848363846717199E-4</v>
      </c>
    </row>
    <row r="44802" spans="1:6" x14ac:dyDescent="0.25">
      <c r="A44802" s="1" t="str">
        <f t="shared" si="1503"/>
        <v>99999</v>
      </c>
      <c r="B44802" s="1" t="str">
        <f>"39111"</f>
        <v>39111</v>
      </c>
      <c r="C44802" s="2">
        <v>3.2045223605291098E-5</v>
      </c>
      <c r="D44802" s="2">
        <v>7.5285444763821999E-6</v>
      </c>
      <c r="E44802" s="2">
        <v>1.29031703089449E-5</v>
      </c>
      <c r="F44802" s="2">
        <v>2.9999251992335099E-5</v>
      </c>
    </row>
    <row r="44803" spans="1:6" x14ac:dyDescent="0.25">
      <c r="A44803" s="1" t="str">
        <f t="shared" si="1503"/>
        <v>99999</v>
      </c>
      <c r="B44803" s="1" t="str">
        <f>"38927"</f>
        <v>38927</v>
      </c>
      <c r="C44803" s="2">
        <v>1.16380457350297E-4</v>
      </c>
      <c r="D44803" s="2">
        <v>3.4631304591358098E-5</v>
      </c>
      <c r="E44803" s="2">
        <v>0</v>
      </c>
      <c r="F44803" s="2">
        <v>1.0835256147231499E-4</v>
      </c>
    </row>
    <row r="44804" spans="1:6" x14ac:dyDescent="0.25">
      <c r="A44804" s="1" t="str">
        <f t="shared" si="1503"/>
        <v>99999</v>
      </c>
      <c r="B44804" s="1" t="str">
        <f>"40175"</f>
        <v>40175</v>
      </c>
      <c r="C44804" s="2">
        <v>2.76065270923961E-5</v>
      </c>
      <c r="D44804" s="2">
        <v>1.50570889527644E-6</v>
      </c>
      <c r="E44804" s="2">
        <v>8.6021135392965999E-6</v>
      </c>
      <c r="F44804" s="2">
        <v>2.5459891493494899E-5</v>
      </c>
    </row>
    <row r="44805" spans="1:6" x14ac:dyDescent="0.25">
      <c r="A44805" s="1" t="str">
        <f t="shared" si="1503"/>
        <v>99999</v>
      </c>
      <c r="B44805" s="1" t="str">
        <f>"39665"</f>
        <v>39665</v>
      </c>
      <c r="C44805" s="2">
        <v>7.71900149681507E-5</v>
      </c>
      <c r="D44805" s="2">
        <v>1.0539962266935E-5</v>
      </c>
      <c r="E44805" s="2">
        <v>4.3010567696482999E-6</v>
      </c>
      <c r="F44805" s="2">
        <v>7.1149541731821205E-5</v>
      </c>
    </row>
    <row r="44806" spans="1:6" x14ac:dyDescent="0.25">
      <c r="A44806" s="1" t="str">
        <f t="shared" ref="A44806:A44869" si="1504">"99999"</f>
        <v>99999</v>
      </c>
      <c r="B44806" s="1" t="str">
        <f>"40045"</f>
        <v>40045</v>
      </c>
      <c r="C44806" s="2">
        <v>1.8263612237204801E-4</v>
      </c>
      <c r="D44806" s="2">
        <v>6.4745482496886904E-5</v>
      </c>
      <c r="E44806" s="2">
        <v>1.8924649786452501E-4</v>
      </c>
      <c r="F44806" s="2">
        <v>1.7506142445527099E-4</v>
      </c>
    </row>
    <row r="44807" spans="1:6" x14ac:dyDescent="0.25">
      <c r="A44807" s="1" t="str">
        <f t="shared" si="1504"/>
        <v>99999</v>
      </c>
      <c r="B44807" s="1" t="str">
        <f>"39476"</f>
        <v>39476</v>
      </c>
      <c r="C44807" s="2">
        <v>1.4615220225386099E-4</v>
      </c>
      <c r="D44807" s="2">
        <v>6.1734064706334002E-5</v>
      </c>
      <c r="E44807" s="2">
        <v>0</v>
      </c>
      <c r="F44807" s="2">
        <v>1.3726631421492801E-4</v>
      </c>
    </row>
    <row r="44808" spans="1:6" x14ac:dyDescent="0.25">
      <c r="A44808" s="1" t="str">
        <f t="shared" si="1504"/>
        <v>99999</v>
      </c>
      <c r="B44808" s="1" t="str">
        <f>"39478"</f>
        <v>39478</v>
      </c>
      <c r="C44808" s="2">
        <v>1.2514958948552901E-4</v>
      </c>
      <c r="D44808" s="2">
        <v>6.6251191392163294E-5</v>
      </c>
      <c r="E44808" s="2">
        <v>8.6021135392965999E-6</v>
      </c>
      <c r="F44808" s="2">
        <v>1.1861546346969301E-4</v>
      </c>
    </row>
    <row r="44809" spans="1:6" x14ac:dyDescent="0.25">
      <c r="A44809" s="1" t="str">
        <f t="shared" si="1504"/>
        <v>99999</v>
      </c>
      <c r="B44809" s="1" t="str">
        <f>"39354"</f>
        <v>39354</v>
      </c>
      <c r="C44809" s="2">
        <v>3.8540877038796101E-5</v>
      </c>
      <c r="D44809" s="2">
        <v>1.35513800574879E-5</v>
      </c>
      <c r="E44809" s="2">
        <v>0</v>
      </c>
      <c r="F44809" s="2">
        <v>3.6018838740797098E-5</v>
      </c>
    </row>
    <row r="44810" spans="1:6" x14ac:dyDescent="0.25">
      <c r="A44810" s="1" t="str">
        <f t="shared" si="1504"/>
        <v>99999</v>
      </c>
      <c r="B44810" s="1" t="str">
        <f>"38847"</f>
        <v>38847</v>
      </c>
      <c r="C44810" s="2">
        <v>4.1788703755548602E-5</v>
      </c>
      <c r="D44810" s="2">
        <v>6.1734064706334002E-5</v>
      </c>
      <c r="E44810" s="2">
        <v>4.3010567696482999E-6</v>
      </c>
      <c r="F44810" s="2">
        <v>4.2235788989208702E-5</v>
      </c>
    </row>
    <row r="44811" spans="1:6" x14ac:dyDescent="0.25">
      <c r="A44811" s="1" t="str">
        <f t="shared" si="1504"/>
        <v>99999</v>
      </c>
      <c r="B44811" s="1" t="str">
        <f>"36919"</f>
        <v>36919</v>
      </c>
      <c r="C44811" s="2">
        <v>1.16488718240855E-4</v>
      </c>
      <c r="D44811" s="2">
        <v>5.8722646915781101E-5</v>
      </c>
      <c r="E44811" s="2">
        <v>0</v>
      </c>
      <c r="F44811" s="2">
        <v>1.10030151221887E-4</v>
      </c>
    </row>
    <row r="44812" spans="1:6" x14ac:dyDescent="0.25">
      <c r="A44812" s="1" t="str">
        <f t="shared" si="1504"/>
        <v>99999</v>
      </c>
      <c r="B44812" s="1" t="str">
        <f>"38551"</f>
        <v>38551</v>
      </c>
      <c r="C44812" s="2">
        <v>3.6884485413252302E-4</v>
      </c>
      <c r="D44812" s="2">
        <v>2.4844196772061199E-4</v>
      </c>
      <c r="E44812" s="2">
        <v>2.15052838482415E-5</v>
      </c>
      <c r="F44812" s="2">
        <v>3.5298461965981199E-4</v>
      </c>
    </row>
    <row r="44813" spans="1:6" x14ac:dyDescent="0.25">
      <c r="A44813" s="1" t="str">
        <f t="shared" si="1504"/>
        <v>99999</v>
      </c>
      <c r="B44813" s="1" t="str">
        <f>"38572"</f>
        <v>38572</v>
      </c>
      <c r="C44813" s="2">
        <v>3.2478267167524801E-5</v>
      </c>
      <c r="D44813" s="2">
        <v>4.5171266858293203E-6</v>
      </c>
      <c r="E44813" s="2">
        <v>0</v>
      </c>
      <c r="F44813" s="2">
        <v>2.99005702423604E-5</v>
      </c>
    </row>
    <row r="44814" spans="1:6" x14ac:dyDescent="0.25">
      <c r="A44814" s="1" t="str">
        <f t="shared" si="1504"/>
        <v>99999</v>
      </c>
      <c r="B44814" s="1" t="str">
        <f>"38544"</f>
        <v>38544</v>
      </c>
      <c r="C44814" s="2">
        <v>2.4142178594526799E-5</v>
      </c>
      <c r="D44814" s="2">
        <v>4.5171266858293203E-6</v>
      </c>
      <c r="E44814" s="2">
        <v>8.6021135392965999E-6</v>
      </c>
      <c r="F44814" s="2">
        <v>2.2499438994251299E-5</v>
      </c>
    </row>
    <row r="44815" spans="1:6" x14ac:dyDescent="0.25">
      <c r="A44815" s="1" t="str">
        <f t="shared" si="1504"/>
        <v>99999</v>
      </c>
      <c r="B44815" s="1" t="str">
        <f>"38635"</f>
        <v>38635</v>
      </c>
      <c r="C44815" s="2">
        <v>2.6090874624578199E-5</v>
      </c>
      <c r="D44815" s="2">
        <v>3.01141779055288E-6</v>
      </c>
      <c r="E44815" s="2">
        <v>0</v>
      </c>
      <c r="F44815" s="2">
        <v>2.3979665243873099E-5</v>
      </c>
    </row>
    <row r="44816" spans="1:6" x14ac:dyDescent="0.25">
      <c r="A44816" s="1" t="str">
        <f t="shared" si="1504"/>
        <v>99999</v>
      </c>
      <c r="B44816" s="1" t="str">
        <f>"38643"</f>
        <v>38643</v>
      </c>
      <c r="C44816" s="2">
        <v>9.1155669850186404E-5</v>
      </c>
      <c r="D44816" s="2">
        <v>3.1619886800805203E-5</v>
      </c>
      <c r="E44816" s="2">
        <v>6.0214794775076199E-5</v>
      </c>
      <c r="F44816" s="2">
        <v>8.6543894727887999E-5</v>
      </c>
    </row>
    <row r="44817" spans="1:6" x14ac:dyDescent="0.25">
      <c r="A44817" s="1" t="str">
        <f t="shared" si="1504"/>
        <v>99999</v>
      </c>
      <c r="B44817" s="1" t="str">
        <f>"38625"</f>
        <v>38625</v>
      </c>
      <c r="C44817" s="2">
        <v>6.0084794259920897E-5</v>
      </c>
      <c r="D44817" s="2">
        <v>2.55970512196994E-5</v>
      </c>
      <c r="E44817" s="2">
        <v>2.15052838482415E-5</v>
      </c>
      <c r="F44817" s="2">
        <v>5.6939369735451902E-5</v>
      </c>
    </row>
    <row r="44818" spans="1:6" x14ac:dyDescent="0.25">
      <c r="A44818" s="1" t="str">
        <f t="shared" si="1504"/>
        <v>99999</v>
      </c>
      <c r="B44818" s="1" t="str">
        <f>"38621"</f>
        <v>38621</v>
      </c>
      <c r="C44818" s="2">
        <v>6.6147404131192204E-5</v>
      </c>
      <c r="D44818" s="2">
        <v>6.1734064706334002E-5</v>
      </c>
      <c r="E44818" s="2">
        <v>3.01073973875381E-5</v>
      </c>
      <c r="F44818" s="2">
        <v>6.5031273233384494E-5</v>
      </c>
    </row>
    <row r="44819" spans="1:6" x14ac:dyDescent="0.25">
      <c r="A44819" s="1" t="str">
        <f t="shared" si="1504"/>
        <v>99999</v>
      </c>
      <c r="B44819" s="1" t="str">
        <f>"42333"</f>
        <v>42333</v>
      </c>
      <c r="C44819" s="2">
        <v>5.3589140826415997E-5</v>
      </c>
      <c r="D44819" s="2">
        <v>1.35513800574879E-5</v>
      </c>
      <c r="E44819" s="2">
        <v>1.72042270785932E-5</v>
      </c>
      <c r="F44819" s="2">
        <v>5.0130328987191699E-5</v>
      </c>
    </row>
    <row r="44820" spans="1:6" x14ac:dyDescent="0.25">
      <c r="A44820" s="1" t="str">
        <f t="shared" si="1504"/>
        <v>99999</v>
      </c>
      <c r="B44820" s="1" t="str">
        <f>"42151"</f>
        <v>42151</v>
      </c>
      <c r="C44820" s="2">
        <v>1.8296090504372299E-5</v>
      </c>
      <c r="D44820" s="2">
        <v>3.01141779055288E-6</v>
      </c>
      <c r="E44820" s="2">
        <v>8.6021135392965999E-6</v>
      </c>
      <c r="F44820" s="2">
        <v>1.7071942745638099E-5</v>
      </c>
    </row>
    <row r="44821" spans="1:6" x14ac:dyDescent="0.25">
      <c r="A44821" s="1" t="str">
        <f t="shared" si="1504"/>
        <v>99999</v>
      </c>
      <c r="B44821" s="1" t="str">
        <f>"42455"</f>
        <v>42455</v>
      </c>
      <c r="C44821" s="2">
        <v>1.21793501878218E-4</v>
      </c>
      <c r="D44821" s="2">
        <v>1.0088249598352101E-4</v>
      </c>
      <c r="E44821" s="2">
        <v>2.15052838482415E-5</v>
      </c>
      <c r="F44821" s="2">
        <v>1.18122054719819E-4</v>
      </c>
    </row>
    <row r="44822" spans="1:6" x14ac:dyDescent="0.25">
      <c r="A44822" s="1" t="str">
        <f t="shared" si="1504"/>
        <v>99999</v>
      </c>
      <c r="B44822" s="1" t="str">
        <f>"42456"</f>
        <v>42456</v>
      </c>
      <c r="C44822" s="2">
        <v>5.2073488358598103E-5</v>
      </c>
      <c r="D44822" s="2">
        <v>6.0228355811057601E-6</v>
      </c>
      <c r="E44822" s="2">
        <v>4.3010567696482999E-6</v>
      </c>
      <c r="F44822" s="2">
        <v>4.79593304877463E-5</v>
      </c>
    </row>
    <row r="44823" spans="1:6" x14ac:dyDescent="0.25">
      <c r="A44823" s="1" t="str">
        <f t="shared" si="1504"/>
        <v>99999</v>
      </c>
      <c r="B44823" s="1" t="str">
        <f>"42064"</f>
        <v>42064</v>
      </c>
      <c r="C44823" s="2">
        <v>4.4798356513072601E-4</v>
      </c>
      <c r="D44823" s="2">
        <v>4.9086109986011897E-4</v>
      </c>
      <c r="E44823" s="2">
        <v>4.3010567696483002E-4</v>
      </c>
      <c r="F44823" s="2">
        <v>4.5038350688492699E-4</v>
      </c>
    </row>
    <row r="44824" spans="1:6" x14ac:dyDescent="0.25">
      <c r="A44824" s="1" t="str">
        <f t="shared" si="1504"/>
        <v>99999</v>
      </c>
      <c r="B44824" s="1" t="str">
        <f>"41743"</f>
        <v>41743</v>
      </c>
      <c r="C44824" s="2">
        <v>8.2278276824396208E-6</v>
      </c>
      <c r="D44824" s="2">
        <v>0</v>
      </c>
      <c r="E44824" s="2">
        <v>4.3010567696482999E-6</v>
      </c>
      <c r="F44824" s="2">
        <v>7.5984947480585801E-6</v>
      </c>
    </row>
    <row r="44825" spans="1:6" x14ac:dyDescent="0.25">
      <c r="A44825" s="1" t="str">
        <f t="shared" si="1504"/>
        <v>99999</v>
      </c>
      <c r="B44825" s="1" t="str">
        <f>"25928"</f>
        <v>25928</v>
      </c>
      <c r="C44825" s="2">
        <v>1.8296090504372299E-5</v>
      </c>
      <c r="D44825" s="2">
        <v>1.50570889527644E-6</v>
      </c>
      <c r="E44825" s="2">
        <v>0</v>
      </c>
      <c r="F44825" s="2">
        <v>1.6775897495713701E-5</v>
      </c>
    </row>
    <row r="44826" spans="1:6" x14ac:dyDescent="0.25">
      <c r="A44826" s="1" t="str">
        <f t="shared" si="1504"/>
        <v>99999</v>
      </c>
      <c r="B44826" s="1" t="str">
        <f>"25984"</f>
        <v>25984</v>
      </c>
      <c r="C44826" s="2">
        <v>3.3560876073108999E-5</v>
      </c>
      <c r="D44826" s="2">
        <v>9.0342533716586405E-6</v>
      </c>
      <c r="E44826" s="2">
        <v>2.15052838482415E-5</v>
      </c>
      <c r="F44826" s="2">
        <v>3.1676841741906503E-5</v>
      </c>
    </row>
    <row r="44827" spans="1:6" x14ac:dyDescent="0.25">
      <c r="A44827" s="1" t="str">
        <f t="shared" si="1504"/>
        <v>99999</v>
      </c>
      <c r="B44827" s="1" t="str">
        <f>"26601"</f>
        <v>26601</v>
      </c>
      <c r="C44827" s="2">
        <v>2.7173483530162402E-4</v>
      </c>
      <c r="D44827" s="2">
        <v>4.17081363991574E-4</v>
      </c>
      <c r="E44827" s="2">
        <v>1.3333275985909701E-4</v>
      </c>
      <c r="F44827" s="2">
        <v>2.7808517142894902E-4</v>
      </c>
    </row>
    <row r="44828" spans="1:6" x14ac:dyDescent="0.25">
      <c r="A44828" s="1" t="str">
        <f t="shared" si="1504"/>
        <v>99999</v>
      </c>
      <c r="B44828" s="1" t="str">
        <f>"26575"</f>
        <v>26575</v>
      </c>
      <c r="C44828" s="2">
        <v>2.93387013413307E-5</v>
      </c>
      <c r="D44828" s="2">
        <v>1.20456711622115E-5</v>
      </c>
      <c r="E44828" s="2">
        <v>8.6021135392965999E-6</v>
      </c>
      <c r="F44828" s="2">
        <v>2.7729571742915E-5</v>
      </c>
    </row>
    <row r="44829" spans="1:6" x14ac:dyDescent="0.25">
      <c r="A44829" s="1" t="str">
        <f t="shared" si="1504"/>
        <v>99999</v>
      </c>
      <c r="B44829" s="1" t="str">
        <f>"26807"</f>
        <v>26807</v>
      </c>
      <c r="C44829" s="2">
        <v>9.7326540612016101E-5</v>
      </c>
      <c r="D44829" s="2">
        <v>3.6137013486634501E-5</v>
      </c>
      <c r="E44829" s="2">
        <v>1.29031703089449E-5</v>
      </c>
      <c r="F44829" s="2">
        <v>9.1379300476652505E-5</v>
      </c>
    </row>
    <row r="44830" spans="1:6" x14ac:dyDescent="0.25">
      <c r="A44830" s="1" t="str">
        <f t="shared" si="1504"/>
        <v>99999</v>
      </c>
      <c r="B44830" s="1" t="str">
        <f>"27379"</f>
        <v>27379</v>
      </c>
      <c r="C44830" s="2">
        <v>2.34384828058971E-4</v>
      </c>
      <c r="D44830" s="2">
        <v>7.3779735868545501E-5</v>
      </c>
      <c r="E44830" s="2">
        <v>7.7419021853669399E-5</v>
      </c>
      <c r="F44830" s="2">
        <v>2.2025766594372401E-4</v>
      </c>
    </row>
    <row r="44831" spans="1:6" x14ac:dyDescent="0.25">
      <c r="A44831" s="1" t="str">
        <f t="shared" si="1504"/>
        <v>99999</v>
      </c>
      <c r="B44831" s="1" t="str">
        <f>"27551"</f>
        <v>27551</v>
      </c>
      <c r="C44831" s="2">
        <v>1.58710465558638E-4</v>
      </c>
      <c r="D44831" s="2">
        <v>4.9688393544122498E-5</v>
      </c>
      <c r="E44831" s="2">
        <v>0</v>
      </c>
      <c r="F44831" s="2">
        <v>1.4792394321220501E-4</v>
      </c>
    </row>
    <row r="44832" spans="1:6" x14ac:dyDescent="0.25">
      <c r="A44832" s="1" t="str">
        <f t="shared" si="1504"/>
        <v>99999</v>
      </c>
      <c r="B44832" s="1" t="str">
        <f>"27563"</f>
        <v>27563</v>
      </c>
      <c r="C44832" s="2">
        <v>3.08435277200927E-4</v>
      </c>
      <c r="D44832" s="2">
        <v>1.4304234505126099E-4</v>
      </c>
      <c r="E44832" s="2">
        <v>2.04300196558294E-3</v>
      </c>
      <c r="F44832" s="2">
        <v>3.3739290316379597E-4</v>
      </c>
    </row>
    <row r="44833" spans="1:6" x14ac:dyDescent="0.25">
      <c r="A44833" s="1" t="str">
        <f t="shared" si="1504"/>
        <v>99999</v>
      </c>
      <c r="B44833" s="1" t="str">
        <f>"27589"</f>
        <v>27589</v>
      </c>
      <c r="C44833" s="2">
        <v>5.6035836953036199E-4</v>
      </c>
      <c r="D44833" s="2">
        <v>5.72169380205047E-4</v>
      </c>
      <c r="E44833" s="2">
        <v>1.7634332755557999E-4</v>
      </c>
      <c r="F44833" s="2">
        <v>5.5232175460888096E-4</v>
      </c>
    </row>
    <row r="44834" spans="1:6" x14ac:dyDescent="0.25">
      <c r="A44834" s="1" t="str">
        <f t="shared" si="1504"/>
        <v>99999</v>
      </c>
      <c r="B44834" s="1" t="str">
        <f>"27892"</f>
        <v>27892</v>
      </c>
      <c r="C44834" s="2">
        <v>7.9950667677390304E-4</v>
      </c>
      <c r="D44834" s="2">
        <v>1.3159895744715999E-3</v>
      </c>
      <c r="E44834" s="2">
        <v>7.1397542376161797E-4</v>
      </c>
      <c r="F44834" s="2">
        <v>8.3139374353757801E-4</v>
      </c>
    </row>
    <row r="44835" spans="1:6" x14ac:dyDescent="0.25">
      <c r="A44835" s="1" t="str">
        <f t="shared" si="1504"/>
        <v>99999</v>
      </c>
      <c r="B44835" s="1" t="str">
        <f>"27850"</f>
        <v>27850</v>
      </c>
      <c r="C44835" s="2">
        <v>2.28430479078258E-4</v>
      </c>
      <c r="D44835" s="2">
        <v>1.26479547203221E-4</v>
      </c>
      <c r="E44835" s="2">
        <v>7.7419021853669399E-5</v>
      </c>
      <c r="F44835" s="2">
        <v>2.1828403094422799E-4</v>
      </c>
    </row>
    <row r="44836" spans="1:6" x14ac:dyDescent="0.25">
      <c r="A44836" s="1" t="str">
        <f t="shared" si="1504"/>
        <v>99999</v>
      </c>
      <c r="B44836" s="1" t="str">
        <f>"28646"</f>
        <v>28646</v>
      </c>
      <c r="C44836" s="2">
        <v>0</v>
      </c>
      <c r="D44836" s="2">
        <v>0</v>
      </c>
      <c r="E44836" s="2">
        <v>4.1763261233285004E-3</v>
      </c>
      <c r="F44836" s="2">
        <v>9.5819979225517904E-5</v>
      </c>
    </row>
    <row r="44837" spans="1:6" x14ac:dyDescent="0.25">
      <c r="A44837" s="1" t="str">
        <f t="shared" si="1504"/>
        <v>99999</v>
      </c>
      <c r="B44837" s="1" t="str">
        <f>"28626"</f>
        <v>28626</v>
      </c>
      <c r="C44837" s="2">
        <v>1.6585568433549299E-4</v>
      </c>
      <c r="D44837" s="2">
        <v>9.1848242611862802E-5</v>
      </c>
      <c r="E44837" s="2">
        <v>0</v>
      </c>
      <c r="F44837" s="2">
        <v>1.57200027709835E-4</v>
      </c>
    </row>
    <row r="44838" spans="1:6" x14ac:dyDescent="0.25">
      <c r="A44838" s="1" t="str">
        <f t="shared" si="1504"/>
        <v>99999</v>
      </c>
      <c r="B44838" s="1" t="str">
        <f>"27962"</f>
        <v>27962</v>
      </c>
      <c r="C44838" s="2">
        <v>3.8454268326349399E-4</v>
      </c>
      <c r="D44838" s="2">
        <v>6.7606329397912096E-4</v>
      </c>
      <c r="E44838" s="2">
        <v>4.51610960813071E-4</v>
      </c>
      <c r="F44838" s="2">
        <v>4.05187265396474E-4</v>
      </c>
    </row>
    <row r="44839" spans="1:6" x14ac:dyDescent="0.25">
      <c r="A44839" s="1" t="str">
        <f t="shared" si="1504"/>
        <v>99999</v>
      </c>
      <c r="B44839" s="1" t="str">
        <f>"27960"</f>
        <v>27960</v>
      </c>
      <c r="C44839" s="2">
        <v>0</v>
      </c>
      <c r="D44839" s="2">
        <v>1.50570889527644E-6</v>
      </c>
      <c r="E44839" s="2">
        <v>2.03009879527399E-3</v>
      </c>
      <c r="F44839" s="2">
        <v>4.6676467738074101E-5</v>
      </c>
    </row>
    <row r="44840" spans="1:6" x14ac:dyDescent="0.25">
      <c r="A44840" s="1" t="str">
        <f t="shared" si="1504"/>
        <v>99999</v>
      </c>
      <c r="B44840" s="1" t="str">
        <f>"27970"</f>
        <v>27970</v>
      </c>
      <c r="C44840" s="2">
        <v>1.8902351491499399E-4</v>
      </c>
      <c r="D44840" s="2">
        <v>4.0654140172463799E-5</v>
      </c>
      <c r="E44840" s="2">
        <v>4.3010567696482999E-5</v>
      </c>
      <c r="F44840" s="2">
        <v>1.7594956020504401E-4</v>
      </c>
    </row>
    <row r="44841" spans="1:6" x14ac:dyDescent="0.25">
      <c r="A44841" s="1" t="str">
        <f t="shared" si="1504"/>
        <v>99999</v>
      </c>
      <c r="B44841" s="1" t="str">
        <f>"28398"</f>
        <v>28398</v>
      </c>
      <c r="C44841" s="2">
        <v>4.46359651772349E-4</v>
      </c>
      <c r="D44841" s="2">
        <v>7.1822314304686205E-4</v>
      </c>
      <c r="E44841" s="2">
        <v>1.2473064631979999E-4</v>
      </c>
      <c r="F44841" s="2">
        <v>4.5679782063328799E-4</v>
      </c>
    </row>
    <row r="44842" spans="1:6" x14ac:dyDescent="0.25">
      <c r="A44842" s="1" t="str">
        <f t="shared" si="1504"/>
        <v>99999</v>
      </c>
      <c r="B44842" s="1" t="str">
        <f>"28393"</f>
        <v>28393</v>
      </c>
      <c r="C44842" s="2">
        <v>9.0722626287952695E-5</v>
      </c>
      <c r="D44842" s="2">
        <v>6.1734064706334002E-5</v>
      </c>
      <c r="E44842" s="2">
        <v>0</v>
      </c>
      <c r="F44842" s="2">
        <v>8.6741258227837606E-5</v>
      </c>
    </row>
    <row r="44843" spans="1:6" x14ac:dyDescent="0.25">
      <c r="A44843" s="1" t="str">
        <f t="shared" si="1504"/>
        <v>99999</v>
      </c>
      <c r="B44843" s="1" t="str">
        <f>"28365"</f>
        <v>28365</v>
      </c>
      <c r="C44843" s="2">
        <v>2.7130179173938997E-4</v>
      </c>
      <c r="D44843" s="2">
        <v>1.06905331564627E-4</v>
      </c>
      <c r="E44843" s="2">
        <v>0</v>
      </c>
      <c r="F44843" s="2">
        <v>2.5430286968502498E-4</v>
      </c>
    </row>
    <row r="44844" spans="1:6" x14ac:dyDescent="0.25">
      <c r="A44844" s="1" t="str">
        <f t="shared" si="1504"/>
        <v>99999</v>
      </c>
      <c r="B44844" s="1" t="str">
        <f>"28521"</f>
        <v>28521</v>
      </c>
      <c r="C44844" s="2">
        <v>1.09776543026233E-4</v>
      </c>
      <c r="D44844" s="2">
        <v>4.5171266858293199E-5</v>
      </c>
      <c r="E44844" s="2">
        <v>0</v>
      </c>
      <c r="F44844" s="2">
        <v>1.03023746973677E-4</v>
      </c>
    </row>
    <row r="44845" spans="1:6" x14ac:dyDescent="0.25">
      <c r="A44845" s="1" t="str">
        <f t="shared" si="1504"/>
        <v>99999</v>
      </c>
      <c r="B44845" s="1" t="str">
        <f>"28455"</f>
        <v>28455</v>
      </c>
      <c r="C44845" s="2">
        <v>1.0458002027943E-4</v>
      </c>
      <c r="D44845" s="2">
        <v>5.1194102439398901E-5</v>
      </c>
      <c r="E44845" s="2">
        <v>8.6021135392965999E-6</v>
      </c>
      <c r="F44845" s="2">
        <v>9.8879113474736294E-5</v>
      </c>
    </row>
    <row r="44846" spans="1:6" x14ac:dyDescent="0.25">
      <c r="A44846" s="1" t="str">
        <f t="shared" si="1504"/>
        <v>99999</v>
      </c>
      <c r="B44846" s="1" t="str">
        <f>"28463"</f>
        <v>28463</v>
      </c>
      <c r="C44846" s="2">
        <v>4.2232573406838098E-4</v>
      </c>
      <c r="D44846" s="2">
        <v>4.4568983300182603E-4</v>
      </c>
      <c r="E44846" s="2">
        <v>4.6451413112201599E-4</v>
      </c>
      <c r="F44846" s="2">
        <v>4.2482493364145698E-4</v>
      </c>
    </row>
    <row r="44847" spans="1:6" x14ac:dyDescent="0.25">
      <c r="A44847" s="1" t="str">
        <f t="shared" si="1504"/>
        <v>99999</v>
      </c>
      <c r="B44847" s="1" t="str">
        <f>"28756"</f>
        <v>28756</v>
      </c>
      <c r="C44847" s="2">
        <v>2.2258439098810299E-4</v>
      </c>
      <c r="D44847" s="2">
        <v>9.33539515071393E-5</v>
      </c>
      <c r="E44847" s="2">
        <v>5.1612681235779599E-5</v>
      </c>
      <c r="F44847" s="2">
        <v>2.10192127446295E-4</v>
      </c>
    </row>
    <row r="44848" spans="1:6" x14ac:dyDescent="0.25">
      <c r="A44848" s="1" t="str">
        <f t="shared" si="1504"/>
        <v>99999</v>
      </c>
      <c r="B44848" s="1" t="str">
        <f>"29020"</f>
        <v>29020</v>
      </c>
      <c r="C44848" s="2">
        <v>4.4170443347833698E-5</v>
      </c>
      <c r="D44848" s="2">
        <v>1.9574215638593701E-5</v>
      </c>
      <c r="E44848" s="2">
        <v>0</v>
      </c>
      <c r="F44848" s="2">
        <v>4.1545016739385197E-5</v>
      </c>
    </row>
    <row r="44849" spans="1:6" x14ac:dyDescent="0.25">
      <c r="A44849" s="1" t="str">
        <f t="shared" si="1504"/>
        <v>99999</v>
      </c>
      <c r="B44849" s="1" t="str">
        <f>"29042"</f>
        <v>29042</v>
      </c>
      <c r="C44849" s="2">
        <v>2.6069222446466602E-4</v>
      </c>
      <c r="D44849" s="2">
        <v>3.3878450143719901E-4</v>
      </c>
      <c r="E44849" s="2">
        <v>2.58063406178898E-5</v>
      </c>
      <c r="F44849" s="2">
        <v>2.6042113818346201E-4</v>
      </c>
    </row>
    <row r="44850" spans="1:6" x14ac:dyDescent="0.25">
      <c r="A44850" s="1" t="str">
        <f t="shared" si="1504"/>
        <v>99999</v>
      </c>
      <c r="B44850" s="1" t="str">
        <f>"29741"</f>
        <v>29741</v>
      </c>
      <c r="C44850" s="2">
        <v>9.8300888627041801E-5</v>
      </c>
      <c r="D44850" s="2">
        <v>2.4091342324423E-5</v>
      </c>
      <c r="E44850" s="2">
        <v>4.3010567696482999E-6</v>
      </c>
      <c r="F44850" s="2">
        <v>9.1280618726677796E-5</v>
      </c>
    </row>
    <row r="44851" spans="1:6" x14ac:dyDescent="0.25">
      <c r="A44851" s="1" t="str">
        <f t="shared" si="1504"/>
        <v>99999</v>
      </c>
      <c r="B44851" s="1" t="str">
        <f>"29128"</f>
        <v>29128</v>
      </c>
      <c r="C44851" s="2">
        <v>3.4318702307017899E-5</v>
      </c>
      <c r="D44851" s="2">
        <v>9.0342533716586405E-6</v>
      </c>
      <c r="E44851" s="2">
        <v>0</v>
      </c>
      <c r="F44851" s="2">
        <v>3.1874205241856103E-5</v>
      </c>
    </row>
    <row r="44852" spans="1:6" x14ac:dyDescent="0.25">
      <c r="A44852" s="1" t="str">
        <f t="shared" si="1504"/>
        <v>99999</v>
      </c>
      <c r="B44852" s="1" t="str">
        <f>"29510"</f>
        <v>29510</v>
      </c>
      <c r="C44852" s="2">
        <v>2.37199611213489E-4</v>
      </c>
      <c r="D44852" s="2">
        <v>1.0539962266935E-4</v>
      </c>
      <c r="E44852" s="2">
        <v>1.29031703089449E-5</v>
      </c>
      <c r="F44852" s="2">
        <v>2.23415481942917E-4</v>
      </c>
    </row>
    <row r="44853" spans="1:6" x14ac:dyDescent="0.25">
      <c r="A44853" s="1" t="str">
        <f t="shared" si="1504"/>
        <v>99999</v>
      </c>
      <c r="B44853" s="1" t="str">
        <f>"29435"</f>
        <v>29435</v>
      </c>
      <c r="C44853" s="2">
        <v>2.4651004780151299E-4</v>
      </c>
      <c r="D44853" s="2">
        <v>1.0539962266935E-4</v>
      </c>
      <c r="E44853" s="2">
        <v>0</v>
      </c>
      <c r="F44853" s="2">
        <v>2.3160606719082401E-4</v>
      </c>
    </row>
    <row r="44854" spans="1:6" x14ac:dyDescent="0.25">
      <c r="A44854" s="1" t="str">
        <f t="shared" si="1504"/>
        <v>99999</v>
      </c>
      <c r="B44854" s="1" t="str">
        <f>"29639"</f>
        <v>29639</v>
      </c>
      <c r="C44854" s="2">
        <v>4.6876965611794201E-5</v>
      </c>
      <c r="D44854" s="2">
        <v>2.4091342324423E-5</v>
      </c>
      <c r="E44854" s="2">
        <v>3.8709510926834699E-5</v>
      </c>
      <c r="F44854" s="2">
        <v>4.5196241488452301E-5</v>
      </c>
    </row>
    <row r="44855" spans="1:6" x14ac:dyDescent="0.25">
      <c r="A44855" s="1" t="str">
        <f t="shared" si="1504"/>
        <v>99999</v>
      </c>
      <c r="B44855" s="1" t="str">
        <f>"29620"</f>
        <v>29620</v>
      </c>
      <c r="C44855" s="2">
        <v>7.0499491931640601E-4</v>
      </c>
      <c r="D44855" s="2">
        <v>8.70299741469782E-4</v>
      </c>
      <c r="E44855" s="2">
        <v>6.3225534513829996E-4</v>
      </c>
      <c r="F44855" s="2">
        <v>7.14159824567532E-4</v>
      </c>
    </row>
    <row r="44856" spans="1:6" x14ac:dyDescent="0.25">
      <c r="A44856" s="1" t="str">
        <f t="shared" si="1504"/>
        <v>99999</v>
      </c>
      <c r="B44856" s="1" t="str">
        <f>"29944"</f>
        <v>29944</v>
      </c>
      <c r="C44856" s="2">
        <v>1.7072742441062201E-4</v>
      </c>
      <c r="D44856" s="2">
        <v>9.33539515071393E-5</v>
      </c>
      <c r="E44856" s="2">
        <v>1.29031703089449E-5</v>
      </c>
      <c r="F44856" s="2">
        <v>1.62035433458599E-4</v>
      </c>
    </row>
    <row r="44857" spans="1:6" x14ac:dyDescent="0.25">
      <c r="A44857" s="1" t="str">
        <f t="shared" si="1504"/>
        <v>99999</v>
      </c>
      <c r="B44857" s="1" t="str">
        <f>"30528"</f>
        <v>30528</v>
      </c>
      <c r="C44857" s="2">
        <v>1.4722398507039001E-3</v>
      </c>
      <c r="D44857" s="2">
        <v>1.8279305988655899E-3</v>
      </c>
      <c r="E44857" s="2">
        <v>9.2042614870473604E-4</v>
      </c>
      <c r="F44857" s="2">
        <v>1.4828906568711199E-3</v>
      </c>
    </row>
    <row r="44858" spans="1:6" x14ac:dyDescent="0.25">
      <c r="A44858" s="1" t="str">
        <f t="shared" si="1504"/>
        <v>99999</v>
      </c>
      <c r="B44858" s="1" t="str">
        <f>"30516"</f>
        <v>30516</v>
      </c>
      <c r="C44858" s="2">
        <v>1.00899150000443E-4</v>
      </c>
      <c r="D44858" s="2">
        <v>7.5285444763821999E-5</v>
      </c>
      <c r="E44858" s="2">
        <v>0</v>
      </c>
      <c r="F44858" s="2">
        <v>9.6905478475240597E-5</v>
      </c>
    </row>
    <row r="44859" spans="1:6" x14ac:dyDescent="0.25">
      <c r="A44859" s="1" t="str">
        <f t="shared" si="1504"/>
        <v>99999</v>
      </c>
      <c r="B44859" s="1" t="str">
        <f>"30510"</f>
        <v>30510</v>
      </c>
      <c r="C44859" s="2">
        <v>1.03930454936079E-4</v>
      </c>
      <c r="D44859" s="2">
        <v>3.01141779055288E-5</v>
      </c>
      <c r="E44859" s="2">
        <v>1.72042270785932E-5</v>
      </c>
      <c r="F44859" s="2">
        <v>9.7102841975190205E-5</v>
      </c>
    </row>
    <row r="44860" spans="1:6" x14ac:dyDescent="0.25">
      <c r="A44860" s="1" t="str">
        <f t="shared" si="1504"/>
        <v>99999</v>
      </c>
      <c r="B44860" s="1" t="str">
        <f>"30568"</f>
        <v>30568</v>
      </c>
      <c r="C44860" s="2">
        <v>1.73650468455699E-4</v>
      </c>
      <c r="D44860" s="2">
        <v>1.9122502970010701E-4</v>
      </c>
      <c r="E44860" s="2">
        <v>1.07526419241207E-4</v>
      </c>
      <c r="F44860" s="2">
        <v>1.7328515295572501E-4</v>
      </c>
    </row>
    <row r="44861" spans="1:6" x14ac:dyDescent="0.25">
      <c r="A44861" s="1" t="str">
        <f t="shared" si="1504"/>
        <v>99999</v>
      </c>
      <c r="B44861" s="1" t="str">
        <f>"30401"</f>
        <v>30401</v>
      </c>
      <c r="C44861" s="2">
        <v>6.8096100161243696E-4</v>
      </c>
      <c r="D44861" s="2">
        <v>1.13379879814315E-3</v>
      </c>
      <c r="E44861" s="2">
        <v>5.4623420974533399E-4</v>
      </c>
      <c r="F44861" s="2">
        <v>7.0754814731922096E-4</v>
      </c>
    </row>
    <row r="44862" spans="1:6" x14ac:dyDescent="0.25">
      <c r="A44862" s="1" t="str">
        <f t="shared" si="1504"/>
        <v>99999</v>
      </c>
      <c r="B44862" s="1" t="str">
        <f>"29812"</f>
        <v>29812</v>
      </c>
      <c r="C44862" s="2">
        <v>6.5692708390846901E-4</v>
      </c>
      <c r="D44862" s="2">
        <v>8.5674836141229403E-4</v>
      </c>
      <c r="E44862" s="2">
        <v>4.9462152850955404E-4</v>
      </c>
      <c r="F44862" s="2">
        <v>6.6629917582976001E-4</v>
      </c>
    </row>
    <row r="44863" spans="1:6" x14ac:dyDescent="0.25">
      <c r="A44863" s="1" t="str">
        <f t="shared" si="1504"/>
        <v>99999</v>
      </c>
      <c r="B44863" s="1" t="str">
        <f>"30833"</f>
        <v>30833</v>
      </c>
      <c r="C44863" s="2">
        <v>2.29188305312167E-4</v>
      </c>
      <c r="D44863" s="2">
        <v>3.3426737475136901E-4</v>
      </c>
      <c r="E44863" s="2">
        <v>1.2473064631979999E-4</v>
      </c>
      <c r="F44863" s="2">
        <v>2.33678383940295E-4</v>
      </c>
    </row>
    <row r="44864" spans="1:6" x14ac:dyDescent="0.25">
      <c r="A44864" s="1" t="str">
        <f t="shared" si="1504"/>
        <v>99999</v>
      </c>
      <c r="B44864" s="1" t="str">
        <f>"30823"</f>
        <v>30823</v>
      </c>
      <c r="C44864" s="2">
        <v>8.5959147103382394E-5</v>
      </c>
      <c r="D44864" s="2">
        <v>4.2159849067740298E-5</v>
      </c>
      <c r="E44864" s="2">
        <v>0</v>
      </c>
      <c r="F44864" s="2">
        <v>8.1116398479274697E-5</v>
      </c>
    </row>
    <row r="44865" spans="1:6" x14ac:dyDescent="0.25">
      <c r="A44865" s="1" t="str">
        <f t="shared" si="1504"/>
        <v>99999</v>
      </c>
      <c r="B44865" s="1" t="str">
        <f>"30820"</f>
        <v>30820</v>
      </c>
      <c r="C44865" s="2">
        <v>7.0694361534645697E-5</v>
      </c>
      <c r="D44865" s="2">
        <v>4.8182684648845999E-5</v>
      </c>
      <c r="E44865" s="2">
        <v>0</v>
      </c>
      <c r="F44865" s="2">
        <v>6.7596998732728905E-5</v>
      </c>
    </row>
    <row r="44866" spans="1:6" x14ac:dyDescent="0.25">
      <c r="A44866" s="1" t="str">
        <f t="shared" si="1504"/>
        <v>99999</v>
      </c>
      <c r="B44866" s="1" t="str">
        <f>"30434"</f>
        <v>30434</v>
      </c>
      <c r="C44866" s="2">
        <v>2.8115353278020599E-4</v>
      </c>
      <c r="D44866" s="2">
        <v>3.40290210332475E-4</v>
      </c>
      <c r="E44866" s="2">
        <v>1.03225362471559E-4</v>
      </c>
      <c r="F44866" s="2">
        <v>2.80946942178218E-4</v>
      </c>
    </row>
    <row r="44867" spans="1:6" x14ac:dyDescent="0.25">
      <c r="A44867" s="1" t="str">
        <f t="shared" si="1504"/>
        <v>99999</v>
      </c>
      <c r="B44867" s="1" t="str">
        <f>"31076"</f>
        <v>31076</v>
      </c>
      <c r="C44867" s="2">
        <v>1.7505786003295799E-4</v>
      </c>
      <c r="D44867" s="2">
        <v>1.58099434004026E-4</v>
      </c>
      <c r="E44867" s="2">
        <v>8.6021135392965999E-5</v>
      </c>
      <c r="F44867" s="2">
        <v>1.71903608456078E-4</v>
      </c>
    </row>
    <row r="44868" spans="1:6" x14ac:dyDescent="0.25">
      <c r="A44868" s="1" t="str">
        <f t="shared" si="1504"/>
        <v>99999</v>
      </c>
      <c r="B44868" s="1" t="str">
        <f>"31077"</f>
        <v>31077</v>
      </c>
      <c r="C44868" s="2">
        <v>7.0477839753528904E-5</v>
      </c>
      <c r="D44868" s="2">
        <v>5.5711229125228301E-5</v>
      </c>
      <c r="E44868" s="2">
        <v>8.6021135392965999E-6</v>
      </c>
      <c r="F44868" s="2">
        <v>6.8090407482602897E-5</v>
      </c>
    </row>
    <row r="44869" spans="1:6" x14ac:dyDescent="0.25">
      <c r="A44869" s="1" t="str">
        <f t="shared" si="1504"/>
        <v>99999</v>
      </c>
      <c r="B44869" s="1" t="str">
        <f>"31024"</f>
        <v>31024</v>
      </c>
      <c r="C44869" s="2">
        <v>1.3809759199631499E-3</v>
      </c>
      <c r="D44869" s="2">
        <v>1.4530090839417599E-3</v>
      </c>
      <c r="E44869" s="2">
        <v>1.5956920615395199E-3</v>
      </c>
      <c r="F44869" s="2">
        <v>1.3906232206446899E-3</v>
      </c>
    </row>
    <row r="44870" spans="1:6" x14ac:dyDescent="0.25">
      <c r="A44870" s="1" t="str">
        <f t="shared" ref="A44870:A44933" si="1505">"99999"</f>
        <v>99999</v>
      </c>
      <c r="B44870" s="1" t="str">
        <f>"31058"</f>
        <v>31058</v>
      </c>
      <c r="C44870" s="2">
        <v>3.7350007242653498E-5</v>
      </c>
      <c r="D44870" s="2">
        <v>2.1079924533870101E-5</v>
      </c>
      <c r="E44870" s="2">
        <v>0</v>
      </c>
      <c r="F44870" s="2">
        <v>3.5426748240948397E-5</v>
      </c>
    </row>
    <row r="44871" spans="1:6" x14ac:dyDescent="0.25">
      <c r="A44871" s="1" t="str">
        <f t="shared" si="1505"/>
        <v>99999</v>
      </c>
      <c r="B44871" s="1" t="str">
        <f>"31061"</f>
        <v>31061</v>
      </c>
      <c r="C44871" s="2">
        <v>7.5024797156982397E-5</v>
      </c>
      <c r="D44871" s="2">
        <v>5.8722646915781101E-5</v>
      </c>
      <c r="E44871" s="2">
        <v>9.4623248932262599E-5</v>
      </c>
      <c r="F44871" s="2">
        <v>7.4406039480989203E-5</v>
      </c>
    </row>
    <row r="44872" spans="1:6" x14ac:dyDescent="0.25">
      <c r="A44872" s="1" t="str">
        <f t="shared" si="1505"/>
        <v>99999</v>
      </c>
      <c r="B44872" s="1" t="str">
        <f>"31537"</f>
        <v>31537</v>
      </c>
      <c r="C44872" s="2">
        <v>4.1041703610695499E-4</v>
      </c>
      <c r="D44872" s="2">
        <v>5.8120363357670604E-4</v>
      </c>
      <c r="E44872" s="2">
        <v>2.2795600879136E-4</v>
      </c>
      <c r="F44872" s="2">
        <v>4.1742380239334799E-4</v>
      </c>
    </row>
    <row r="44873" spans="1:6" x14ac:dyDescent="0.25">
      <c r="A44873" s="1" t="str">
        <f t="shared" si="1505"/>
        <v>99999</v>
      </c>
      <c r="B44873" s="1" t="str">
        <f>"31784"</f>
        <v>31784</v>
      </c>
      <c r="C44873" s="2">
        <v>4.2330008208340701E-5</v>
      </c>
      <c r="D44873" s="2">
        <v>1.80685067433172E-5</v>
      </c>
      <c r="E44873" s="2">
        <v>4.3010567696482999E-6</v>
      </c>
      <c r="F44873" s="2">
        <v>3.9867426989813803E-5</v>
      </c>
    </row>
    <row r="44874" spans="1:6" x14ac:dyDescent="0.25">
      <c r="A44874" s="1" t="str">
        <f t="shared" si="1505"/>
        <v>99999</v>
      </c>
      <c r="B44874" s="1" t="str">
        <f>"31637"</f>
        <v>31637</v>
      </c>
      <c r="C44874" s="2">
        <v>1.16380457350297E-4</v>
      </c>
      <c r="D44874" s="2">
        <v>6.4745482496886904E-5</v>
      </c>
      <c r="E44874" s="2">
        <v>2.15052838482415E-5</v>
      </c>
      <c r="F44874" s="2">
        <v>1.1081960522168499E-4</v>
      </c>
    </row>
    <row r="44875" spans="1:6" x14ac:dyDescent="0.25">
      <c r="A44875" s="1" t="str">
        <f t="shared" si="1505"/>
        <v>99999</v>
      </c>
      <c r="B44875" s="1" t="str">
        <f>"31649"</f>
        <v>31649</v>
      </c>
      <c r="C44875" s="2">
        <v>1.49400028970614E-5</v>
      </c>
      <c r="D44875" s="2">
        <v>3.01141779055288E-6</v>
      </c>
      <c r="E44875" s="2">
        <v>0</v>
      </c>
      <c r="F44875" s="2">
        <v>1.38154449964701E-5</v>
      </c>
    </row>
    <row r="44876" spans="1:6" x14ac:dyDescent="0.25">
      <c r="A44876" s="1" t="str">
        <f t="shared" si="1505"/>
        <v>99999</v>
      </c>
      <c r="B44876" s="1" t="str">
        <f>"31714"</f>
        <v>31714</v>
      </c>
      <c r="C44876" s="2">
        <v>3.6418963583851103E-4</v>
      </c>
      <c r="D44876" s="2">
        <v>5.9324930473891695E-4</v>
      </c>
      <c r="E44876" s="2">
        <v>4.4730990404342298E-4</v>
      </c>
      <c r="F44876" s="2">
        <v>3.8110891840262599E-4</v>
      </c>
    </row>
    <row r="44877" spans="1:6" x14ac:dyDescent="0.25">
      <c r="A44877" s="1" t="str">
        <f t="shared" si="1505"/>
        <v>99999</v>
      </c>
      <c r="B44877" s="1" t="str">
        <f>"31712"</f>
        <v>31712</v>
      </c>
      <c r="C44877" s="2">
        <v>5.8460880901544696E-6</v>
      </c>
      <c r="D44877" s="2">
        <v>0</v>
      </c>
      <c r="E44877" s="2">
        <v>0</v>
      </c>
      <c r="F44877" s="2">
        <v>5.3288144986384803E-6</v>
      </c>
    </row>
    <row r="44878" spans="1:6" x14ac:dyDescent="0.25">
      <c r="A44878" s="1" t="str">
        <f t="shared" si="1505"/>
        <v>99999</v>
      </c>
      <c r="B44878" s="1" t="str">
        <f>"32008"</f>
        <v>32008</v>
      </c>
      <c r="C44878" s="2">
        <v>2.59284832887406E-4</v>
      </c>
      <c r="D44878" s="2">
        <v>2.4392484103478301E-4</v>
      </c>
      <c r="E44878" s="2">
        <v>5.1612681235779599E-5</v>
      </c>
      <c r="F44878" s="2">
        <v>2.5351341568522699E-4</v>
      </c>
    </row>
    <row r="44879" spans="1:6" x14ac:dyDescent="0.25">
      <c r="A44879" s="1" t="str">
        <f t="shared" si="1505"/>
        <v>99999</v>
      </c>
      <c r="B44879" s="1" t="str">
        <f>"32064"</f>
        <v>32064</v>
      </c>
      <c r="C44879" s="2">
        <v>5.0731053315673802E-4</v>
      </c>
      <c r="D44879" s="2">
        <v>1.2949096499377301E-3</v>
      </c>
      <c r="E44879" s="2">
        <v>2.5806340617889802E-4</v>
      </c>
      <c r="F44879" s="2">
        <v>5.5320989035865403E-4</v>
      </c>
    </row>
    <row r="44880" spans="1:6" x14ac:dyDescent="0.25">
      <c r="A44880" s="1" t="str">
        <f t="shared" si="1505"/>
        <v>99999</v>
      </c>
      <c r="B44880" s="1" t="str">
        <f>"32053"</f>
        <v>32053</v>
      </c>
      <c r="C44880" s="2">
        <v>2.1132525837002801E-4</v>
      </c>
      <c r="D44880" s="2">
        <v>9.0342533716586399E-5</v>
      </c>
      <c r="E44880" s="2">
        <v>6.0214794775076199E-5</v>
      </c>
      <c r="F44880" s="2">
        <v>1.99929225448918E-4</v>
      </c>
    </row>
    <row r="44881" spans="1:6" x14ac:dyDescent="0.25">
      <c r="A44881" s="1" t="str">
        <f t="shared" si="1505"/>
        <v>99999</v>
      </c>
      <c r="B44881" s="1" t="str">
        <f>"32442"</f>
        <v>32442</v>
      </c>
      <c r="C44881" s="2">
        <v>2.1717134646018199E-4</v>
      </c>
      <c r="D44881" s="2">
        <v>7.2274026973269097E-5</v>
      </c>
      <c r="E44881" s="2">
        <v>1.29031703089449E-5</v>
      </c>
      <c r="F44881" s="2">
        <v>2.02988359698136E-4</v>
      </c>
    </row>
    <row r="44882" spans="1:6" x14ac:dyDescent="0.25">
      <c r="A44882" s="1" t="str">
        <f t="shared" si="1505"/>
        <v>99999</v>
      </c>
      <c r="B44882" s="1" t="str">
        <f>"32424"</f>
        <v>32424</v>
      </c>
      <c r="C44882" s="2">
        <v>3.2142658406793701E-4</v>
      </c>
      <c r="D44882" s="2">
        <v>6.4745482496886904E-4</v>
      </c>
      <c r="E44882" s="2">
        <v>3.6989088218975403E-4</v>
      </c>
      <c r="F44882" s="2">
        <v>3.43905898662132E-4</v>
      </c>
    </row>
    <row r="44883" spans="1:6" x14ac:dyDescent="0.25">
      <c r="A44883" s="1" t="str">
        <f t="shared" si="1505"/>
        <v>99999</v>
      </c>
      <c r="B44883" s="1" t="str">
        <f>"32420"</f>
        <v>32420</v>
      </c>
      <c r="C44883" s="2">
        <v>1.5156524678178201E-4</v>
      </c>
      <c r="D44883" s="2">
        <v>3.4631304591358098E-5</v>
      </c>
      <c r="E44883" s="2">
        <v>8.6021135392965999E-6</v>
      </c>
      <c r="F44883" s="2">
        <v>1.4062149371407099E-4</v>
      </c>
    </row>
    <row r="44884" spans="1:6" x14ac:dyDescent="0.25">
      <c r="A44884" s="1" t="str">
        <f t="shared" si="1505"/>
        <v>99999</v>
      </c>
      <c r="B44884" s="1" t="str">
        <f>"39870"</f>
        <v>39870</v>
      </c>
      <c r="C44884" s="2">
        <v>1.18545675161465E-4</v>
      </c>
      <c r="D44884" s="2">
        <v>6.6251191392163294E-5</v>
      </c>
      <c r="E44884" s="2">
        <v>2.58063406178898E-5</v>
      </c>
      <c r="F44884" s="2">
        <v>1.1299060372113E-4</v>
      </c>
    </row>
    <row r="44885" spans="1:6" x14ac:dyDescent="0.25">
      <c r="A44885" s="1" t="str">
        <f t="shared" si="1505"/>
        <v>99999</v>
      </c>
      <c r="B44885" s="1" t="str">
        <f>"39846"</f>
        <v>39846</v>
      </c>
      <c r="C44885" s="2">
        <v>9.25630614274458E-5</v>
      </c>
      <c r="D44885" s="2">
        <v>4.2159849067740298E-5</v>
      </c>
      <c r="E44885" s="2">
        <v>4.7311624466131299E-5</v>
      </c>
      <c r="F44885" s="2">
        <v>8.8221484477459406E-5</v>
      </c>
    </row>
    <row r="44886" spans="1:6" x14ac:dyDescent="0.25">
      <c r="A44886" s="1" t="str">
        <f t="shared" si="1505"/>
        <v>99999</v>
      </c>
      <c r="B44886" s="1" t="str">
        <f>"39897"</f>
        <v>39897</v>
      </c>
      <c r="C44886" s="2">
        <v>2.50623961642733E-4</v>
      </c>
      <c r="D44886" s="2">
        <v>1.7014510516623701E-4</v>
      </c>
      <c r="E44886" s="2">
        <v>2.1075178171276601E-4</v>
      </c>
      <c r="F44886" s="2">
        <v>2.4443469468754601E-4</v>
      </c>
    </row>
    <row r="44887" spans="1:6" x14ac:dyDescent="0.25">
      <c r="A44887" s="1" t="str">
        <f t="shared" si="1505"/>
        <v>99999</v>
      </c>
      <c r="B44887" s="1" t="str">
        <f>"32648"</f>
        <v>32648</v>
      </c>
      <c r="C44887" s="2">
        <v>1.7321742489346501E-5</v>
      </c>
      <c r="D44887" s="2">
        <v>3.01141779055288E-6</v>
      </c>
      <c r="E44887" s="2">
        <v>4.3010567696482999E-6</v>
      </c>
      <c r="F44887" s="2">
        <v>1.60851252458902E-5</v>
      </c>
    </row>
    <row r="44888" spans="1:6" x14ac:dyDescent="0.25">
      <c r="A44888" s="1" t="str">
        <f t="shared" si="1505"/>
        <v>99999</v>
      </c>
      <c r="B44888" s="1" t="str">
        <f>"32331"</f>
        <v>32331</v>
      </c>
      <c r="C44888" s="2">
        <v>1.9216308074118801E-4</v>
      </c>
      <c r="D44888" s="2">
        <v>1.1142245825045601E-4</v>
      </c>
      <c r="E44888" s="2">
        <v>8.6021135392965999E-5</v>
      </c>
      <c r="F44888" s="2">
        <v>1.84436190702876E-4</v>
      </c>
    </row>
    <row r="44889" spans="1:6" x14ac:dyDescent="0.25">
      <c r="A44889" s="1" t="str">
        <f t="shared" si="1505"/>
        <v>99999</v>
      </c>
      <c r="B44889" s="1" t="str">
        <f>"15337"</f>
        <v>15337</v>
      </c>
      <c r="C44889" s="2">
        <v>3.9515225053821902E-5</v>
      </c>
      <c r="D44889" s="2">
        <v>1.65627978480408E-5</v>
      </c>
      <c r="E44889" s="2">
        <v>8.6021135392965999E-6</v>
      </c>
      <c r="F44889" s="2">
        <v>3.7301701490469398E-5</v>
      </c>
    </row>
    <row r="44890" spans="1:6" x14ac:dyDescent="0.25">
      <c r="A44890" s="1" t="str">
        <f t="shared" si="1505"/>
        <v>99999</v>
      </c>
      <c r="B44890" s="1" t="str">
        <f>"16049"</f>
        <v>16049</v>
      </c>
      <c r="C44890" s="2">
        <v>7.18852313307883E-5</v>
      </c>
      <c r="D44890" s="2">
        <v>2.4091342324423E-5</v>
      </c>
      <c r="E44890" s="2">
        <v>1.29031703089449E-5</v>
      </c>
      <c r="F44890" s="2">
        <v>6.7399635232779297E-5</v>
      </c>
    </row>
    <row r="44891" spans="1:6" x14ac:dyDescent="0.25">
      <c r="A44891" s="1" t="str">
        <f t="shared" si="1505"/>
        <v>99999</v>
      </c>
      <c r="B44891" s="1" t="str">
        <f>"15829"</f>
        <v>15829</v>
      </c>
      <c r="C44891" s="2">
        <v>6.07343596032714E-5</v>
      </c>
      <c r="D44891" s="2">
        <v>2.8608469010252301E-5</v>
      </c>
      <c r="E44891" s="2">
        <v>2.58063406178898E-5</v>
      </c>
      <c r="F44891" s="2">
        <v>5.7827505485225001E-5</v>
      </c>
    </row>
    <row r="44892" spans="1:6" x14ac:dyDescent="0.25">
      <c r="A44892" s="1" t="str">
        <f t="shared" si="1505"/>
        <v>99999</v>
      </c>
      <c r="B44892" s="1" t="str">
        <f>"15711"</f>
        <v>15711</v>
      </c>
      <c r="C44892" s="2">
        <v>8.8773930257901203E-6</v>
      </c>
      <c r="D44892" s="2">
        <v>6.0228355811057601E-6</v>
      </c>
      <c r="E44892" s="2">
        <v>4.3010567696482999E-6</v>
      </c>
      <c r="F44892" s="2">
        <v>8.5853122478064497E-6</v>
      </c>
    </row>
    <row r="44893" spans="1:6" x14ac:dyDescent="0.25">
      <c r="A44893" s="1" t="str">
        <f t="shared" si="1505"/>
        <v>99999</v>
      </c>
      <c r="B44893" s="1" t="str">
        <f>"16353"</f>
        <v>16353</v>
      </c>
      <c r="C44893" s="2">
        <v>1.68886989271129E-4</v>
      </c>
      <c r="D44893" s="2">
        <v>8.1308280344927694E-5</v>
      </c>
      <c r="E44893" s="2">
        <v>9.0322192162614306E-5</v>
      </c>
      <c r="F44893" s="2">
        <v>1.61344661208776E-4</v>
      </c>
    </row>
    <row r="44894" spans="1:6" x14ac:dyDescent="0.25">
      <c r="A44894" s="1" t="str">
        <f t="shared" si="1505"/>
        <v>99999</v>
      </c>
      <c r="B44894" s="1" t="str">
        <f>"16248"</f>
        <v>16248</v>
      </c>
      <c r="C44894" s="2">
        <v>1.49941333423406E-4</v>
      </c>
      <c r="D44894" s="2">
        <v>5.8722646915781101E-5</v>
      </c>
      <c r="E44894" s="2">
        <v>5.5913738005427899E-5</v>
      </c>
      <c r="F44894" s="2">
        <v>1.4180567471376801E-4</v>
      </c>
    </row>
    <row r="44895" spans="1:6" x14ac:dyDescent="0.25">
      <c r="A44895" s="1" t="str">
        <f t="shared" si="1505"/>
        <v>99999</v>
      </c>
      <c r="B44895" s="1" t="str">
        <f>"16691"</f>
        <v>16691</v>
      </c>
      <c r="C44895" s="2">
        <v>1.86208731760475E-5</v>
      </c>
      <c r="D44895" s="2">
        <v>3.01141779055288E-6</v>
      </c>
      <c r="E44895" s="2">
        <v>0</v>
      </c>
      <c r="F44895" s="2">
        <v>1.7170624495612899E-5</v>
      </c>
    </row>
    <row r="44896" spans="1:6" x14ac:dyDescent="0.25">
      <c r="A44896" s="1" t="str">
        <f t="shared" si="1505"/>
        <v>99999</v>
      </c>
      <c r="B44896" s="1" t="str">
        <f>"16928"</f>
        <v>16928</v>
      </c>
      <c r="C44896" s="2">
        <v>6.5714360568958603E-5</v>
      </c>
      <c r="D44896" s="2">
        <v>4.3665557963016701E-5</v>
      </c>
      <c r="E44896" s="2">
        <v>5.5913738005427899E-5</v>
      </c>
      <c r="F44896" s="2">
        <v>6.4044455733636605E-5</v>
      </c>
    </row>
    <row r="44897" spans="1:6" x14ac:dyDescent="0.25">
      <c r="A44897" s="1" t="str">
        <f t="shared" si="1505"/>
        <v>99999</v>
      </c>
      <c r="B44897" s="1" t="str">
        <f>"16929"</f>
        <v>16929</v>
      </c>
      <c r="C44897" s="2">
        <v>1.2417524147050301E-4</v>
      </c>
      <c r="D44897" s="2">
        <v>4.5171266858293199E-5</v>
      </c>
      <c r="E44897" s="2">
        <v>1.63440157246635E-4</v>
      </c>
      <c r="F44897" s="2">
        <v>1.1989832621936499E-4</v>
      </c>
    </row>
    <row r="44898" spans="1:6" x14ac:dyDescent="0.25">
      <c r="A44898" s="1" t="str">
        <f t="shared" si="1505"/>
        <v>99999</v>
      </c>
      <c r="B44898" s="1" t="str">
        <f>"16950"</f>
        <v>16950</v>
      </c>
      <c r="C44898" s="2">
        <v>1.9519438567682399E-4</v>
      </c>
      <c r="D44898" s="2">
        <v>2.07787827548148E-4</v>
      </c>
      <c r="E44898" s="2">
        <v>1.37633816628745E-4</v>
      </c>
      <c r="F44898" s="2">
        <v>1.9469909270025399E-4</v>
      </c>
    </row>
    <row r="44899" spans="1:6" x14ac:dyDescent="0.25">
      <c r="A44899" s="1" t="str">
        <f t="shared" si="1505"/>
        <v>99999</v>
      </c>
      <c r="B44899" s="1" t="str">
        <f>"16936"</f>
        <v>16936</v>
      </c>
      <c r="C44899" s="2">
        <v>9.3645670333029904E-5</v>
      </c>
      <c r="D44899" s="2">
        <v>3.6137013486634501E-5</v>
      </c>
      <c r="E44899" s="2">
        <v>3.44084541571864E-5</v>
      </c>
      <c r="F44899" s="2">
        <v>8.8517529727383696E-5</v>
      </c>
    </row>
    <row r="44900" spans="1:6" x14ac:dyDescent="0.25">
      <c r="A44900" s="1" t="str">
        <f t="shared" si="1505"/>
        <v>99999</v>
      </c>
      <c r="B44900" s="1" t="str">
        <f>"16942"</f>
        <v>16942</v>
      </c>
      <c r="C44900" s="2">
        <v>3.2370006276966397E-5</v>
      </c>
      <c r="D44900" s="2">
        <v>1.65627978480408E-5</v>
      </c>
      <c r="E44900" s="2">
        <v>8.6021135392965999E-6</v>
      </c>
      <c r="F44900" s="2">
        <v>3.0788705992133397E-5</v>
      </c>
    </row>
    <row r="44901" spans="1:6" x14ac:dyDescent="0.25">
      <c r="A44901" s="1" t="str">
        <f t="shared" si="1505"/>
        <v>99999</v>
      </c>
      <c r="B44901" s="1" t="str">
        <f>"17229"</f>
        <v>17229</v>
      </c>
      <c r="C44901" s="2">
        <v>5.7161750214843702E-5</v>
      </c>
      <c r="D44901" s="2">
        <v>3.31255956960816E-5</v>
      </c>
      <c r="E44901" s="2">
        <v>8.6021135392965999E-6</v>
      </c>
      <c r="F44901" s="2">
        <v>5.4472325986082301E-5</v>
      </c>
    </row>
    <row r="44902" spans="1:6" x14ac:dyDescent="0.25">
      <c r="A44902" s="1" t="str">
        <f t="shared" si="1505"/>
        <v>99999</v>
      </c>
      <c r="B44902" s="1" t="str">
        <f>"17058"</f>
        <v>17058</v>
      </c>
      <c r="C44902" s="2">
        <v>8.3793929292214105E-5</v>
      </c>
      <c r="D44902" s="2">
        <v>2.8608469010252301E-5</v>
      </c>
      <c r="E44902" s="2">
        <v>1.2473064631979999E-4</v>
      </c>
      <c r="F44902" s="2">
        <v>8.1116398479274697E-5</v>
      </c>
    </row>
    <row r="44903" spans="1:6" x14ac:dyDescent="0.25">
      <c r="A44903" s="1" t="str">
        <f t="shared" si="1505"/>
        <v>99999</v>
      </c>
      <c r="B44903" s="1" t="str">
        <f>"17765"</f>
        <v>17765</v>
      </c>
      <c r="C44903" s="2">
        <v>4.43869651289506E-5</v>
      </c>
      <c r="D44903" s="2">
        <v>9.0342533716586405E-6</v>
      </c>
      <c r="E44903" s="2">
        <v>0</v>
      </c>
      <c r="F44903" s="2">
        <v>4.10516079895113E-5</v>
      </c>
    </row>
    <row r="44904" spans="1:6" x14ac:dyDescent="0.25">
      <c r="A44904" s="1" t="str">
        <f t="shared" si="1505"/>
        <v>99999</v>
      </c>
      <c r="B44904" s="1" t="str">
        <f>"18431"</f>
        <v>18431</v>
      </c>
      <c r="C44904" s="2">
        <v>7.8846406593694395E-4</v>
      </c>
      <c r="D44904" s="2">
        <v>1.4936632241142199E-3</v>
      </c>
      <c r="E44904" s="2">
        <v>1.7204227078593201E-3</v>
      </c>
      <c r="F44904" s="2">
        <v>8.5606418103127495E-4</v>
      </c>
    </row>
    <row r="44905" spans="1:6" x14ac:dyDescent="0.25">
      <c r="A44905" s="1" t="str">
        <f t="shared" si="1505"/>
        <v>99999</v>
      </c>
      <c r="B44905" s="1" t="str">
        <f>"18460"</f>
        <v>18460</v>
      </c>
      <c r="C44905" s="2">
        <v>8.9856539163485408E-6</v>
      </c>
      <c r="D44905" s="2">
        <v>1.0539962266935E-5</v>
      </c>
      <c r="E44905" s="2">
        <v>8.6021135392965999E-6</v>
      </c>
      <c r="F44905" s="2">
        <v>9.0787209976803807E-6</v>
      </c>
    </row>
    <row r="44906" spans="1:6" x14ac:dyDescent="0.25">
      <c r="A44906" s="1" t="str">
        <f t="shared" si="1505"/>
        <v>99999</v>
      </c>
      <c r="B44906" s="1" t="str">
        <f>"18417"</f>
        <v>18417</v>
      </c>
      <c r="C44906" s="2">
        <v>8.2170015933837794E-5</v>
      </c>
      <c r="D44906" s="2">
        <v>4.3665557963016701E-5</v>
      </c>
      <c r="E44906" s="2">
        <v>7.3117965084021106E-5</v>
      </c>
      <c r="F44906" s="2">
        <v>7.9438808729703303E-5</v>
      </c>
    </row>
    <row r="44907" spans="1:6" x14ac:dyDescent="0.25">
      <c r="A44907" s="1" t="str">
        <f t="shared" si="1505"/>
        <v>99999</v>
      </c>
      <c r="B44907" s="1" t="str">
        <f>"18801"</f>
        <v>18801</v>
      </c>
      <c r="C44907" s="2">
        <v>4.5826834973377499E-4</v>
      </c>
      <c r="D44907" s="2">
        <v>5.1796385997509502E-4</v>
      </c>
      <c r="E44907" s="2">
        <v>6.0214794775076202E-4</v>
      </c>
      <c r="F44907" s="2">
        <v>4.6548181463106899E-4</v>
      </c>
    </row>
    <row r="44908" spans="1:6" x14ac:dyDescent="0.25">
      <c r="A44908" s="1" t="str">
        <f t="shared" si="1505"/>
        <v>99999</v>
      </c>
      <c r="B44908" s="1" t="str">
        <f>"18834"</f>
        <v>18834</v>
      </c>
      <c r="C44908" s="2">
        <v>1.7624872982910099E-4</v>
      </c>
      <c r="D44908" s="2">
        <v>1.4003092726070799E-4</v>
      </c>
      <c r="E44908" s="2">
        <v>1.3333275985909701E-4</v>
      </c>
      <c r="F44908" s="2">
        <v>1.7289042595582601E-4</v>
      </c>
    </row>
    <row r="44909" spans="1:6" x14ac:dyDescent="0.25">
      <c r="A44909" s="1" t="str">
        <f t="shared" si="1505"/>
        <v>99999</v>
      </c>
      <c r="B44909" s="1" t="str">
        <f>"18826"</f>
        <v>18826</v>
      </c>
      <c r="C44909" s="2">
        <v>1.0295610692105301E-4</v>
      </c>
      <c r="D44909" s="2">
        <v>6.3239773601610501E-5</v>
      </c>
      <c r="E44909" s="2">
        <v>2.58063406178898E-5</v>
      </c>
      <c r="F44909" s="2">
        <v>9.8583068224812004E-5</v>
      </c>
    </row>
    <row r="44910" spans="1:6" x14ac:dyDescent="0.25">
      <c r="A44910" s="1" t="str">
        <f t="shared" si="1505"/>
        <v>99999</v>
      </c>
      <c r="B44910" s="1" t="str">
        <f>"21561"</f>
        <v>21561</v>
      </c>
      <c r="C44910" s="2">
        <v>2.00066125751953E-4</v>
      </c>
      <c r="D44910" s="2">
        <v>4.2159849067740298E-5</v>
      </c>
      <c r="E44910" s="2">
        <v>4.3010567696482999E-6</v>
      </c>
      <c r="F44910" s="2">
        <v>1.8522564470267399E-4</v>
      </c>
    </row>
    <row r="44911" spans="1:6" x14ac:dyDescent="0.25">
      <c r="A44911" s="1" t="str">
        <f t="shared" si="1505"/>
        <v>99999</v>
      </c>
      <c r="B44911" s="1" t="str">
        <f>"22511"</f>
        <v>22511</v>
      </c>
      <c r="C44911" s="2">
        <v>8.2819581277188297E-5</v>
      </c>
      <c r="D44911" s="2">
        <v>2.55970512196994E-5</v>
      </c>
      <c r="E44911" s="2">
        <v>4.3010567696482999E-6</v>
      </c>
      <c r="F44911" s="2">
        <v>7.7267810230257999E-5</v>
      </c>
    </row>
    <row r="44912" spans="1:6" x14ac:dyDescent="0.25">
      <c r="A44912" s="1" t="str">
        <f t="shared" si="1505"/>
        <v>99999</v>
      </c>
      <c r="B44912" s="1" t="str">
        <f>"22546"</f>
        <v>22546</v>
      </c>
      <c r="C44912" s="2">
        <v>7.3898883895174802E-4</v>
      </c>
      <c r="D44912" s="2">
        <v>3.6287584376162201E-4</v>
      </c>
      <c r="E44912" s="2">
        <v>2.1075178171276601E-4</v>
      </c>
      <c r="F44912" s="2">
        <v>7.0221933282058199E-4</v>
      </c>
    </row>
    <row r="44913" spans="1:6" x14ac:dyDescent="0.25">
      <c r="A44913" s="1" t="str">
        <f t="shared" si="1505"/>
        <v>99999</v>
      </c>
      <c r="B44913" s="1" t="str">
        <f>"22469"</f>
        <v>22469</v>
      </c>
      <c r="C44913" s="2">
        <v>1.12699587071311E-4</v>
      </c>
      <c r="D44913" s="2">
        <v>3.6137013486634501E-5</v>
      </c>
      <c r="E44913" s="2">
        <v>4.7311624466131299E-5</v>
      </c>
      <c r="F44913" s="2">
        <v>1.0618156297287E-4</v>
      </c>
    </row>
    <row r="44914" spans="1:6" x14ac:dyDescent="0.25">
      <c r="A44914" s="1" t="str">
        <f t="shared" si="1505"/>
        <v>99999</v>
      </c>
      <c r="B44914" s="1" t="str">
        <f>"22650"</f>
        <v>22650</v>
      </c>
      <c r="C44914" s="2">
        <v>5.8677402682661502E-5</v>
      </c>
      <c r="D44914" s="2">
        <v>9.0342533716586405E-6</v>
      </c>
      <c r="E44914" s="2">
        <v>8.6021135392965999E-6</v>
      </c>
      <c r="F44914" s="2">
        <v>5.4274962486132701E-5</v>
      </c>
    </row>
    <row r="44915" spans="1:6" x14ac:dyDescent="0.25">
      <c r="A44915" s="1" t="str">
        <f t="shared" si="1505"/>
        <v>99999</v>
      </c>
      <c r="B44915" s="1" t="str">
        <f>"22408"</f>
        <v>22408</v>
      </c>
      <c r="C44915" s="2">
        <v>1.8404351394930699E-5</v>
      </c>
      <c r="D44915" s="2">
        <v>9.0342533716586405E-6</v>
      </c>
      <c r="E44915" s="2">
        <v>0</v>
      </c>
      <c r="F44915" s="2">
        <v>1.7367987995562399E-5</v>
      </c>
    </row>
    <row r="44916" spans="1:6" x14ac:dyDescent="0.25">
      <c r="A44916" s="1" t="str">
        <f t="shared" si="1505"/>
        <v>99999</v>
      </c>
      <c r="B44916" s="1" t="str">
        <f>"22851"</f>
        <v>22851</v>
      </c>
      <c r="C44916" s="2">
        <v>3.24566149894131E-4</v>
      </c>
      <c r="D44916" s="2">
        <v>1.34008091679603E-4</v>
      </c>
      <c r="E44916" s="2">
        <v>2.0645072494311799E-4</v>
      </c>
      <c r="F44916" s="2">
        <v>3.0936728617095603E-4</v>
      </c>
    </row>
    <row r="44917" spans="1:6" x14ac:dyDescent="0.25">
      <c r="A44917" s="1" t="str">
        <f t="shared" si="1505"/>
        <v>99999</v>
      </c>
      <c r="B44917" s="1" t="str">
        <f>"22842"</f>
        <v>22842</v>
      </c>
      <c r="C44917" s="2">
        <v>2.4835048294100603E-4</v>
      </c>
      <c r="D44917" s="2">
        <v>1.2798525609849701E-4</v>
      </c>
      <c r="E44917" s="2">
        <v>1.03225362471559E-4</v>
      </c>
      <c r="F44917" s="2">
        <v>2.3713224518941199E-4</v>
      </c>
    </row>
    <row r="44918" spans="1:6" x14ac:dyDescent="0.25">
      <c r="A44918" s="1" t="str">
        <f t="shared" si="1505"/>
        <v>99999</v>
      </c>
      <c r="B44918" s="1" t="str">
        <f>"22827"</f>
        <v>22827</v>
      </c>
      <c r="C44918" s="2">
        <v>3.7350007242653498E-5</v>
      </c>
      <c r="D44918" s="2">
        <v>3.01141779055288E-6</v>
      </c>
      <c r="E44918" s="2">
        <v>0</v>
      </c>
      <c r="F44918" s="2">
        <v>3.4242567241251002E-5</v>
      </c>
    </row>
    <row r="44919" spans="1:6" x14ac:dyDescent="0.25">
      <c r="A44919" s="1" t="str">
        <f t="shared" si="1505"/>
        <v>99999</v>
      </c>
      <c r="B44919" s="1" t="str">
        <f>"23180"</f>
        <v>23180</v>
      </c>
      <c r="C44919" s="2">
        <v>2.4575222156760399E-5</v>
      </c>
      <c r="D44919" s="2">
        <v>6.0228355811057601E-6</v>
      </c>
      <c r="E44919" s="2">
        <v>0</v>
      </c>
      <c r="F44919" s="2">
        <v>2.2795484244175701E-5</v>
      </c>
    </row>
    <row r="44920" spans="1:6" x14ac:dyDescent="0.25">
      <c r="A44920" s="1" t="str">
        <f t="shared" si="1505"/>
        <v>99999</v>
      </c>
      <c r="B44920" s="1" t="str">
        <f>"23488"</f>
        <v>23488</v>
      </c>
      <c r="C44920" s="2">
        <v>8.6608712446732894E-6</v>
      </c>
      <c r="D44920" s="2">
        <v>1.50570889527644E-6</v>
      </c>
      <c r="E44920" s="2">
        <v>0</v>
      </c>
      <c r="F44920" s="2">
        <v>7.9932217479577302E-6</v>
      </c>
    </row>
    <row r="44921" spans="1:6" x14ac:dyDescent="0.25">
      <c r="A44921" s="1" t="str">
        <f t="shared" si="1505"/>
        <v>99999</v>
      </c>
      <c r="B44921" s="1" t="str">
        <f>"24460"</f>
        <v>24460</v>
      </c>
      <c r="C44921" s="2">
        <v>1.3294437360573499E-4</v>
      </c>
      <c r="D44921" s="2">
        <v>7.6791153659098402E-5</v>
      </c>
      <c r="E44921" s="2">
        <v>0</v>
      </c>
      <c r="F44921" s="2">
        <v>1.2621395821775199E-4</v>
      </c>
    </row>
    <row r="44922" spans="1:6" x14ac:dyDescent="0.25">
      <c r="A44922" s="1" t="str">
        <f t="shared" si="1505"/>
        <v>99999</v>
      </c>
      <c r="B44922" s="1" t="str">
        <f>"24484"</f>
        <v>24484</v>
      </c>
      <c r="C44922" s="2">
        <v>4.2438269098899098E-5</v>
      </c>
      <c r="D44922" s="2">
        <v>3.9148431277187403E-5</v>
      </c>
      <c r="E44922" s="2">
        <v>1.72042270785932E-5</v>
      </c>
      <c r="F44922" s="2">
        <v>4.1643698489360001E-5</v>
      </c>
    </row>
    <row r="44923" spans="1:6" x14ac:dyDescent="0.25">
      <c r="A44923" s="1" t="str">
        <f t="shared" si="1505"/>
        <v>99999</v>
      </c>
      <c r="B44923" s="1" t="str">
        <f>"23942"</f>
        <v>23942</v>
      </c>
      <c r="C44923" s="2">
        <v>5.8569141792103098E-5</v>
      </c>
      <c r="D44923" s="2">
        <v>1.20456711622115E-5</v>
      </c>
      <c r="E44923" s="2">
        <v>4.3010567696482999E-6</v>
      </c>
      <c r="F44923" s="2">
        <v>5.4274962486132701E-5</v>
      </c>
    </row>
    <row r="44924" spans="1:6" x14ac:dyDescent="0.25">
      <c r="A44924" s="1" t="str">
        <f t="shared" si="1505"/>
        <v>99999</v>
      </c>
      <c r="B44924" s="1" t="str">
        <f>"23958"</f>
        <v>23958</v>
      </c>
      <c r="C44924" s="2">
        <v>9.1696974302978395E-5</v>
      </c>
      <c r="D44924" s="2">
        <v>3.01141779055288E-6</v>
      </c>
      <c r="E44924" s="2">
        <v>0</v>
      </c>
      <c r="F44924" s="2">
        <v>8.3780805728593993E-5</v>
      </c>
    </row>
    <row r="44925" spans="1:6" x14ac:dyDescent="0.25">
      <c r="A44925" s="1" t="str">
        <f t="shared" si="1505"/>
        <v>99999</v>
      </c>
      <c r="B44925" s="1" t="str">
        <f>"23917"</f>
        <v>23917</v>
      </c>
      <c r="C44925" s="2">
        <v>1.7581568626686699E-4</v>
      </c>
      <c r="D44925" s="2">
        <v>7.2274026973269097E-5</v>
      </c>
      <c r="E44925" s="2">
        <v>3.44084541571864E-5</v>
      </c>
      <c r="F44925" s="2">
        <v>1.65785339957641E-4</v>
      </c>
    </row>
    <row r="44926" spans="1:6" x14ac:dyDescent="0.25">
      <c r="A44926" s="1" t="str">
        <f t="shared" si="1505"/>
        <v>99999</v>
      </c>
      <c r="B44926" s="1" t="str">
        <f>"23938"</f>
        <v>23938</v>
      </c>
      <c r="C44926" s="2">
        <v>2.3600874141734699E-5</v>
      </c>
      <c r="D44926" s="2">
        <v>4.5171266858293203E-6</v>
      </c>
      <c r="E44926" s="2">
        <v>0</v>
      </c>
      <c r="F44926" s="2">
        <v>2.1808666744427801E-5</v>
      </c>
    </row>
    <row r="44927" spans="1:6" x14ac:dyDescent="0.25">
      <c r="A44927" s="1" t="str">
        <f t="shared" si="1505"/>
        <v>99999</v>
      </c>
      <c r="B44927" s="1" t="str">
        <f>"23963"</f>
        <v>23963</v>
      </c>
      <c r="C44927" s="2">
        <v>2.0353047424982201E-5</v>
      </c>
      <c r="D44927" s="2">
        <v>4.5171266858293203E-6</v>
      </c>
      <c r="E44927" s="2">
        <v>4.3010567696482999E-6</v>
      </c>
      <c r="F44927" s="2">
        <v>1.8946895995158999E-5</v>
      </c>
    </row>
    <row r="44928" spans="1:6" x14ac:dyDescent="0.25">
      <c r="A44928" s="1" t="str">
        <f t="shared" si="1505"/>
        <v>99999</v>
      </c>
      <c r="B44928" s="1" t="str">
        <f>"23867"</f>
        <v>23867</v>
      </c>
      <c r="C44928" s="2">
        <v>6.1925229399414003E-5</v>
      </c>
      <c r="D44928" s="2">
        <v>1.9574215638593701E-5</v>
      </c>
      <c r="E44928" s="2">
        <v>1.72042270785932E-5</v>
      </c>
      <c r="F44928" s="2">
        <v>5.8123550735149399E-5</v>
      </c>
    </row>
    <row r="44929" spans="1:6" x14ac:dyDescent="0.25">
      <c r="A44929" s="1" t="str">
        <f t="shared" si="1505"/>
        <v>99999</v>
      </c>
      <c r="B44929" s="1" t="str">
        <f>"24133"</f>
        <v>24133</v>
      </c>
      <c r="C44929" s="2">
        <v>1.19844805848166E-4</v>
      </c>
      <c r="D44929" s="2">
        <v>4.6676975753569603E-5</v>
      </c>
      <c r="E44929" s="2">
        <v>4.3010567696482999E-6</v>
      </c>
      <c r="F44929" s="2">
        <v>1.12398513221282E-4</v>
      </c>
    </row>
    <row r="44930" spans="1:6" x14ac:dyDescent="0.25">
      <c r="A44930" s="1" t="str">
        <f t="shared" si="1505"/>
        <v>99999</v>
      </c>
      <c r="B44930" s="1" t="str">
        <f>"24370"</f>
        <v>24370</v>
      </c>
      <c r="C44930" s="2">
        <v>3.7198441995871701E-4</v>
      </c>
      <c r="D44930" s="2">
        <v>2.3338487876784801E-4</v>
      </c>
      <c r="E44930" s="2">
        <v>3.44084541571864E-5</v>
      </c>
      <c r="F44930" s="2">
        <v>3.5515561815925697E-4</v>
      </c>
    </row>
    <row r="44931" spans="1:6" x14ac:dyDescent="0.25">
      <c r="A44931" s="1" t="str">
        <f t="shared" si="1505"/>
        <v>99999</v>
      </c>
      <c r="B44931" s="1" t="str">
        <f>"24374"</f>
        <v>24374</v>
      </c>
      <c r="C44931" s="2">
        <v>3.6050876555952499E-5</v>
      </c>
      <c r="D44931" s="2">
        <v>4.5171266858293203E-6</v>
      </c>
      <c r="E44931" s="2">
        <v>1.29031703089449E-5</v>
      </c>
      <c r="F44931" s="2">
        <v>3.34531132414527E-5</v>
      </c>
    </row>
    <row r="44932" spans="1:6" x14ac:dyDescent="0.25">
      <c r="A44932" s="1" t="str">
        <f t="shared" si="1505"/>
        <v>99999</v>
      </c>
      <c r="B44932" s="1" t="str">
        <f>"24260"</f>
        <v>24260</v>
      </c>
      <c r="C44932" s="2">
        <v>2.19986129614701E-4</v>
      </c>
      <c r="D44932" s="2">
        <v>4.0654140172463799E-5</v>
      </c>
      <c r="E44932" s="2">
        <v>1.29031703089449E-5</v>
      </c>
      <c r="F44932" s="2">
        <v>2.0348176844800999E-4</v>
      </c>
    </row>
    <row r="44933" spans="1:6" x14ac:dyDescent="0.25">
      <c r="A44933" s="1" t="str">
        <f t="shared" si="1505"/>
        <v>99999</v>
      </c>
      <c r="B44933" s="1" t="str">
        <f>"24272"</f>
        <v>24272</v>
      </c>
      <c r="C44933" s="2">
        <v>2.5766091952903002E-5</v>
      </c>
      <c r="D44933" s="2">
        <v>9.0342533716586405E-6</v>
      </c>
      <c r="E44933" s="2">
        <v>0</v>
      </c>
      <c r="F44933" s="2">
        <v>2.4078346993847899E-5</v>
      </c>
    </row>
    <row r="44934" spans="1:6" x14ac:dyDescent="0.25">
      <c r="A44934" s="1" t="str">
        <f t="shared" ref="A44934:A44997" si="1506">"99999"</f>
        <v>99999</v>
      </c>
      <c r="B44934" s="1" t="str">
        <f>"24228"</f>
        <v>24228</v>
      </c>
      <c r="C44934" s="2">
        <v>3.3528397805941403E-4</v>
      </c>
      <c r="D44934" s="2">
        <v>1.4153663615598501E-4</v>
      </c>
      <c r="E44934" s="2">
        <v>6.0214794775076199E-5</v>
      </c>
      <c r="F44934" s="2">
        <v>3.1627500866919099E-4</v>
      </c>
    </row>
    <row r="44935" spans="1:6" x14ac:dyDescent="0.25">
      <c r="A44935" s="1" t="str">
        <f t="shared" si="1506"/>
        <v>99999</v>
      </c>
      <c r="B44935" s="1" t="str">
        <f>"24220"</f>
        <v>24220</v>
      </c>
      <c r="C44935" s="2">
        <v>2.91221795602139E-5</v>
      </c>
      <c r="D44935" s="2">
        <v>4.5171266858293203E-6</v>
      </c>
      <c r="E44935" s="2">
        <v>0</v>
      </c>
      <c r="F44935" s="2">
        <v>2.6841435993142E-5</v>
      </c>
    </row>
    <row r="44936" spans="1:6" x14ac:dyDescent="0.25">
      <c r="A44936" s="1" t="str">
        <f t="shared" si="1506"/>
        <v>99999</v>
      </c>
      <c r="B44936" s="1" t="str">
        <f>"24579"</f>
        <v>24579</v>
      </c>
      <c r="C44936" s="2">
        <v>6.8637404614035799E-5</v>
      </c>
      <c r="D44936" s="2">
        <v>3.31255956960816E-5</v>
      </c>
      <c r="E44936" s="2">
        <v>1.29031703089449E-5</v>
      </c>
      <c r="F44936" s="2">
        <v>6.5031273233384494E-5</v>
      </c>
    </row>
    <row r="44937" spans="1:6" x14ac:dyDescent="0.25">
      <c r="A44937" s="1" t="str">
        <f t="shared" si="1506"/>
        <v>99999</v>
      </c>
      <c r="B44937" s="1" t="str">
        <f>"24954"</f>
        <v>24954</v>
      </c>
      <c r="C44937" s="2">
        <v>2.30703957779984E-4</v>
      </c>
      <c r="D44937" s="2">
        <v>2.7554472783558799E-4</v>
      </c>
      <c r="E44937" s="2">
        <v>2.6236446294854599E-4</v>
      </c>
      <c r="F44937" s="2">
        <v>2.34369156190118E-4</v>
      </c>
    </row>
    <row r="44938" spans="1:6" x14ac:dyDescent="0.25">
      <c r="A44938" s="1" t="str">
        <f t="shared" si="1506"/>
        <v>99999</v>
      </c>
      <c r="B44938" s="1" t="str">
        <f>"25045"</f>
        <v>25045</v>
      </c>
      <c r="C44938" s="2">
        <v>3.0204788465798102E-5</v>
      </c>
      <c r="D44938" s="2">
        <v>1.9574215638593701E-5</v>
      </c>
      <c r="E44938" s="2">
        <v>0</v>
      </c>
      <c r="F44938" s="2">
        <v>2.88150709926377E-5</v>
      </c>
    </row>
    <row r="44939" spans="1:6" x14ac:dyDescent="0.25">
      <c r="A44939" s="1" t="str">
        <f t="shared" si="1506"/>
        <v>99999</v>
      </c>
      <c r="B44939" s="1" t="str">
        <f>"25268"</f>
        <v>25268</v>
      </c>
      <c r="C44939" s="2">
        <v>3.6808702789861399E-5</v>
      </c>
      <c r="D44939" s="2">
        <v>4.5171266858293203E-6</v>
      </c>
      <c r="E44939" s="2">
        <v>0</v>
      </c>
      <c r="F44939" s="2">
        <v>3.38478402413518E-5</v>
      </c>
    </row>
    <row r="44940" spans="1:6" x14ac:dyDescent="0.25">
      <c r="A44940" s="1" t="str">
        <f t="shared" si="1506"/>
        <v>99999</v>
      </c>
      <c r="B44940" s="1" t="str">
        <f>"25125"</f>
        <v>25125</v>
      </c>
      <c r="C44940" s="2">
        <v>5.3047836373623898E-6</v>
      </c>
      <c r="D44940" s="2">
        <v>0</v>
      </c>
      <c r="E44940" s="2">
        <v>0</v>
      </c>
      <c r="F44940" s="2">
        <v>4.8354057487645501E-6</v>
      </c>
    </row>
    <row r="44941" spans="1:6" x14ac:dyDescent="0.25">
      <c r="A44941" s="1" t="str">
        <f t="shared" si="1506"/>
        <v>99999</v>
      </c>
      <c r="B44941" s="1" t="str">
        <f>"25261"</f>
        <v>25261</v>
      </c>
      <c r="C44941" s="2">
        <v>1.93786994099564E-5</v>
      </c>
      <c r="D44941" s="2">
        <v>4.5171266858293203E-6</v>
      </c>
      <c r="E44941" s="2">
        <v>0</v>
      </c>
      <c r="F44941" s="2">
        <v>1.79600784954111E-5</v>
      </c>
    </row>
    <row r="44942" spans="1:6" x14ac:dyDescent="0.25">
      <c r="A44942" s="1" t="str">
        <f t="shared" si="1506"/>
        <v>99999</v>
      </c>
      <c r="B44942" s="1" t="str">
        <f>"24873"</f>
        <v>24873</v>
      </c>
      <c r="C44942" s="2">
        <v>2.8039570654629701E-5</v>
      </c>
      <c r="D44942" s="2">
        <v>4.5171266858293203E-6</v>
      </c>
      <c r="E44942" s="2">
        <v>0</v>
      </c>
      <c r="F44942" s="2">
        <v>2.5854618493394101E-5</v>
      </c>
    </row>
    <row r="44943" spans="1:6" x14ac:dyDescent="0.25">
      <c r="A44943" s="1" t="str">
        <f t="shared" si="1506"/>
        <v>99999</v>
      </c>
      <c r="B44943" s="1" t="str">
        <f>"24808"</f>
        <v>24808</v>
      </c>
      <c r="C44943" s="2">
        <v>7.5782623390891297E-6</v>
      </c>
      <c r="D44943" s="2">
        <v>0</v>
      </c>
      <c r="E44943" s="2">
        <v>4.3010567696482999E-6</v>
      </c>
      <c r="F44943" s="2">
        <v>7.0064042482098597E-6</v>
      </c>
    </row>
    <row r="44944" spans="1:6" x14ac:dyDescent="0.25">
      <c r="A44944" s="1" t="str">
        <f t="shared" si="1506"/>
        <v>99999</v>
      </c>
      <c r="B44944" s="1" t="str">
        <f>"24918"</f>
        <v>24918</v>
      </c>
      <c r="C44944" s="2">
        <v>6.7987839270685296E-5</v>
      </c>
      <c r="D44944" s="2">
        <v>6.0228355811057601E-6</v>
      </c>
      <c r="E44944" s="2">
        <v>0</v>
      </c>
      <c r="F44944" s="2">
        <v>6.2366865984065197E-5</v>
      </c>
    </row>
    <row r="44945" spans="1:6" x14ac:dyDescent="0.25">
      <c r="A44945" s="1" t="str">
        <f t="shared" si="1506"/>
        <v>99999</v>
      </c>
      <c r="B44945" s="1" t="str">
        <f>"24869"</f>
        <v>24869</v>
      </c>
      <c r="C44945" s="2">
        <v>1.41821766631525E-5</v>
      </c>
      <c r="D44945" s="2">
        <v>1.50570889527644E-6</v>
      </c>
      <c r="E44945" s="2">
        <v>0</v>
      </c>
      <c r="F44945" s="2">
        <v>1.30259909966718E-5</v>
      </c>
    </row>
    <row r="44946" spans="1:6" x14ac:dyDescent="0.25">
      <c r="A44946" s="1" t="str">
        <f t="shared" si="1506"/>
        <v>99999</v>
      </c>
      <c r="B44946" s="1" t="str">
        <f>"25811"</f>
        <v>25811</v>
      </c>
      <c r="C44946" s="2">
        <v>4.6552182940118902E-6</v>
      </c>
      <c r="D44946" s="2">
        <v>0</v>
      </c>
      <c r="E44946" s="2">
        <v>0</v>
      </c>
      <c r="F44946" s="2">
        <v>4.2433152489158297E-6</v>
      </c>
    </row>
    <row r="44947" spans="1:6" x14ac:dyDescent="0.25">
      <c r="A44947" s="1" t="str">
        <f t="shared" si="1506"/>
        <v>99999</v>
      </c>
      <c r="B44947" s="1" t="str">
        <f>"26372"</f>
        <v>26372</v>
      </c>
      <c r="C44947" s="2">
        <v>3.8432616148237697E-5</v>
      </c>
      <c r="D44947" s="2">
        <v>7.5285444763821999E-6</v>
      </c>
      <c r="E44947" s="2">
        <v>4.3010567696482999E-6</v>
      </c>
      <c r="F44947" s="2">
        <v>3.5624111740897998E-5</v>
      </c>
    </row>
    <row r="44948" spans="1:6" x14ac:dyDescent="0.25">
      <c r="A44948" s="1" t="str">
        <f t="shared" si="1506"/>
        <v>99999</v>
      </c>
      <c r="B44948" s="1" t="str">
        <f>"26205"</f>
        <v>26205</v>
      </c>
      <c r="C44948" s="2">
        <v>1.3142872113791699E-4</v>
      </c>
      <c r="D44948" s="2">
        <v>4.0654140172463799E-5</v>
      </c>
      <c r="E44948" s="2">
        <v>1.11827476010855E-4</v>
      </c>
      <c r="F44948" s="2">
        <v>1.2502977721805399E-4</v>
      </c>
    </row>
    <row r="44949" spans="1:6" x14ac:dyDescent="0.25">
      <c r="A44949" s="1" t="str">
        <f t="shared" si="1506"/>
        <v>99999</v>
      </c>
      <c r="B44949" s="1" t="str">
        <f>"26149"</f>
        <v>26149</v>
      </c>
      <c r="C44949" s="2">
        <v>1.1876219694258201E-4</v>
      </c>
      <c r="D44949" s="2">
        <v>4.9688393544122498E-5</v>
      </c>
      <c r="E44949" s="2">
        <v>3.8709510926834699E-5</v>
      </c>
      <c r="F44949" s="2">
        <v>1.12398513221282E-4</v>
      </c>
    </row>
    <row r="44950" spans="1:6" x14ac:dyDescent="0.25">
      <c r="A44950" s="1" t="str">
        <f t="shared" si="1506"/>
        <v>99999</v>
      </c>
      <c r="B44950" s="1" t="str">
        <f>"26170"</f>
        <v>26170</v>
      </c>
      <c r="C44950" s="2">
        <v>3.2683962859585798E-4</v>
      </c>
      <c r="D44950" s="2">
        <v>3.40290210332475E-4</v>
      </c>
      <c r="E44950" s="2">
        <v>2.49461292639601E-4</v>
      </c>
      <c r="F44950" s="2">
        <v>3.2594582016671998E-4</v>
      </c>
    </row>
    <row r="44951" spans="1:6" x14ac:dyDescent="0.25">
      <c r="A44951" s="1" t="str">
        <f t="shared" si="1506"/>
        <v>99999</v>
      </c>
      <c r="B44951" s="1" t="str">
        <f>"26250"</f>
        <v>26250</v>
      </c>
      <c r="C44951" s="2">
        <v>2.6112526802689898E-4</v>
      </c>
      <c r="D44951" s="2">
        <v>1.61110851794579E-4</v>
      </c>
      <c r="E44951" s="2">
        <v>5.5913738005427899E-5</v>
      </c>
      <c r="F44951" s="2">
        <v>2.4986219093616E-4</v>
      </c>
    </row>
    <row r="44952" spans="1:6" x14ac:dyDescent="0.25">
      <c r="A44952" s="1" t="str">
        <f t="shared" si="1506"/>
        <v>99999</v>
      </c>
      <c r="B44952" s="1" t="str">
        <f>"26261"</f>
        <v>26261</v>
      </c>
      <c r="C44952" s="2">
        <v>1.66938293241077E-4</v>
      </c>
      <c r="D44952" s="2">
        <v>1.89719320804831E-4</v>
      </c>
      <c r="E44952" s="2">
        <v>1.5483804370733801E-4</v>
      </c>
      <c r="F44952" s="2">
        <v>1.68153701957036E-4</v>
      </c>
    </row>
    <row r="44953" spans="1:6" x14ac:dyDescent="0.25">
      <c r="A44953" s="1" t="str">
        <f t="shared" si="1506"/>
        <v>99999</v>
      </c>
      <c r="B44953" s="1" t="str">
        <f>"59083"</f>
        <v>59083</v>
      </c>
      <c r="C44953" s="2">
        <v>0</v>
      </c>
      <c r="D44953" s="2">
        <v>0</v>
      </c>
      <c r="E44953" s="2">
        <v>4.3010567696482999E-6</v>
      </c>
      <c r="F44953" s="2">
        <v>9.8681749974786797E-8</v>
      </c>
    </row>
    <row r="44954" spans="1:6" x14ac:dyDescent="0.25">
      <c r="A44954" s="1" t="str">
        <f t="shared" si="1506"/>
        <v>99999</v>
      </c>
      <c r="B44954" s="1" t="str">
        <f>"99580"</f>
        <v>99580</v>
      </c>
      <c r="C44954" s="2">
        <v>0</v>
      </c>
      <c r="D44954" s="2">
        <v>0</v>
      </c>
      <c r="E44954" s="2">
        <v>4.3010567696482999E-6</v>
      </c>
      <c r="F44954" s="2">
        <v>9.8681749974786797E-8</v>
      </c>
    </row>
    <row r="44955" spans="1:6" x14ac:dyDescent="0.25">
      <c r="A44955" s="1" t="str">
        <f t="shared" si="1506"/>
        <v>99999</v>
      </c>
      <c r="B44955" s="1" t="str">
        <f>"16230"</f>
        <v>16230</v>
      </c>
      <c r="C44955" s="2">
        <v>0</v>
      </c>
      <c r="D44955" s="2">
        <v>0</v>
      </c>
      <c r="E44955" s="2">
        <v>4.3010567696482999E-6</v>
      </c>
      <c r="F44955" s="2">
        <v>9.8681749974786797E-8</v>
      </c>
    </row>
    <row r="44956" spans="1:6" x14ac:dyDescent="0.25">
      <c r="A44956" s="1" t="str">
        <f t="shared" si="1506"/>
        <v>99999</v>
      </c>
      <c r="B44956" s="1" t="str">
        <f>"51440"</f>
        <v>51440</v>
      </c>
      <c r="C44956" s="2">
        <v>2.1652178111683201E-7</v>
      </c>
      <c r="D44956" s="2">
        <v>0</v>
      </c>
      <c r="E44956" s="2">
        <v>0</v>
      </c>
      <c r="F44956" s="2">
        <v>1.9736349994957301E-7</v>
      </c>
    </row>
    <row r="44957" spans="1:6" x14ac:dyDescent="0.25">
      <c r="A44957" s="1" t="str">
        <f t="shared" si="1506"/>
        <v>99999</v>
      </c>
      <c r="B44957" s="1" t="str">
        <f>"43531"</f>
        <v>43531</v>
      </c>
      <c r="C44957" s="2">
        <v>0</v>
      </c>
      <c r="D44957" s="2">
        <v>1.50570889527644E-6</v>
      </c>
      <c r="E44957" s="2">
        <v>0</v>
      </c>
      <c r="F44957" s="2">
        <v>9.8681749974786797E-8</v>
      </c>
    </row>
    <row r="44958" spans="1:6" x14ac:dyDescent="0.25">
      <c r="A44958" s="1" t="str">
        <f t="shared" si="1506"/>
        <v>99999</v>
      </c>
      <c r="B44958" s="1" t="str">
        <f>"42339"</f>
        <v>42339</v>
      </c>
      <c r="C44958" s="2">
        <v>2.1652178111683201E-7</v>
      </c>
      <c r="D44958" s="2">
        <v>0</v>
      </c>
      <c r="E44958" s="2">
        <v>0</v>
      </c>
      <c r="F44958" s="2">
        <v>1.9736349994957301E-7</v>
      </c>
    </row>
    <row r="44959" spans="1:6" x14ac:dyDescent="0.25">
      <c r="A44959" s="1" t="str">
        <f t="shared" si="1506"/>
        <v>99999</v>
      </c>
      <c r="B44959" s="1" t="str">
        <f>"83435"</f>
        <v>83435</v>
      </c>
      <c r="C44959" s="2">
        <v>1.08260890558416E-7</v>
      </c>
      <c r="D44959" s="2">
        <v>0</v>
      </c>
      <c r="E44959" s="2">
        <v>0</v>
      </c>
      <c r="F44959" s="2">
        <v>9.8681749974786797E-8</v>
      </c>
    </row>
    <row r="44960" spans="1:6" x14ac:dyDescent="0.25">
      <c r="A44960" s="1" t="str">
        <f t="shared" si="1506"/>
        <v>99999</v>
      </c>
      <c r="B44960" s="1" t="str">
        <f>"66041"</f>
        <v>66041</v>
      </c>
      <c r="C44960" s="2">
        <v>1.08260890558416E-7</v>
      </c>
      <c r="D44960" s="2">
        <v>0</v>
      </c>
      <c r="E44960" s="2">
        <v>0</v>
      </c>
      <c r="F44960" s="2">
        <v>9.8681749974786797E-8</v>
      </c>
    </row>
    <row r="44961" spans="1:6" x14ac:dyDescent="0.25">
      <c r="A44961" s="1" t="str">
        <f t="shared" si="1506"/>
        <v>99999</v>
      </c>
      <c r="B44961" s="1" t="str">
        <f>"12879"</f>
        <v>12879</v>
      </c>
      <c r="C44961" s="2">
        <v>0</v>
      </c>
      <c r="D44961" s="2">
        <v>0</v>
      </c>
      <c r="E44961" s="2">
        <v>4.3010567696482999E-6</v>
      </c>
      <c r="F44961" s="2">
        <v>9.8681749974786797E-8</v>
      </c>
    </row>
    <row r="44962" spans="1:6" x14ac:dyDescent="0.25">
      <c r="A44962" s="1" t="str">
        <f t="shared" si="1506"/>
        <v>99999</v>
      </c>
      <c r="B44962" s="1" t="str">
        <f>"27586"</f>
        <v>27586</v>
      </c>
      <c r="C44962" s="2">
        <v>0</v>
      </c>
      <c r="D44962" s="2">
        <v>1.50570889527644E-6</v>
      </c>
      <c r="E44962" s="2">
        <v>0</v>
      </c>
      <c r="F44962" s="2">
        <v>9.8681749974786797E-8</v>
      </c>
    </row>
    <row r="44963" spans="1:6" x14ac:dyDescent="0.25">
      <c r="A44963" s="1" t="str">
        <f t="shared" si="1506"/>
        <v>99999</v>
      </c>
      <c r="B44963" s="1" t="str">
        <f>"00830"</f>
        <v>00830</v>
      </c>
      <c r="C44963" s="2">
        <v>1.01007410891002E-4</v>
      </c>
      <c r="D44963" s="2">
        <v>1.1142245825045601E-4</v>
      </c>
      <c r="E44963" s="2">
        <v>4.3010567696482999E-6</v>
      </c>
      <c r="F44963" s="2">
        <v>9.9471203974585103E-5</v>
      </c>
    </row>
    <row r="44964" spans="1:6" x14ac:dyDescent="0.25">
      <c r="A44964" s="1" t="str">
        <f t="shared" si="1506"/>
        <v>99999</v>
      </c>
      <c r="B44964" s="1" t="str">
        <f>"00820"</f>
        <v>00820</v>
      </c>
      <c r="C44964" s="2">
        <v>5.7995359072143501E-4</v>
      </c>
      <c r="D44964" s="2">
        <v>2.6545647823723599E-3</v>
      </c>
      <c r="E44964" s="2">
        <v>2.8214932408892799E-3</v>
      </c>
      <c r="F44964" s="2">
        <v>7.6734928780394199E-4</v>
      </c>
    </row>
    <row r="44965" spans="1:6" x14ac:dyDescent="0.25">
      <c r="A44965" s="1" t="str">
        <f t="shared" si="1506"/>
        <v>99999</v>
      </c>
      <c r="B44965" s="1" t="str">
        <f>"03816"</f>
        <v>03816</v>
      </c>
      <c r="C44965" s="2">
        <v>5.672870665261E-5</v>
      </c>
      <c r="D44965" s="2">
        <v>7.5285444763821999E-6</v>
      </c>
      <c r="E44965" s="2">
        <v>8.6021135392965999E-6</v>
      </c>
      <c r="F44965" s="2">
        <v>5.2400009236611699E-5</v>
      </c>
    </row>
    <row r="44966" spans="1:6" x14ac:dyDescent="0.25">
      <c r="A44966" s="1" t="str">
        <f t="shared" si="1506"/>
        <v>99999</v>
      </c>
      <c r="B44966" s="1" t="str">
        <f>"04416"</f>
        <v>04416</v>
      </c>
      <c r="C44966" s="2">
        <v>2.3947308991521601E-4</v>
      </c>
      <c r="D44966" s="2">
        <v>8.88368248213099E-5</v>
      </c>
      <c r="E44966" s="2">
        <v>3.0107397387538101E-4</v>
      </c>
      <c r="F44966" s="2">
        <v>2.31013976690975E-4</v>
      </c>
    </row>
    <row r="44967" spans="1:6" x14ac:dyDescent="0.25">
      <c r="A44967" s="1" t="str">
        <f t="shared" si="1506"/>
        <v>99999</v>
      </c>
      <c r="B44967" s="1" t="str">
        <f>"04543"</f>
        <v>04543</v>
      </c>
      <c r="C44967" s="2">
        <v>1.1140045638461001E-4</v>
      </c>
      <c r="D44967" s="2">
        <v>1.8369648522372501E-4</v>
      </c>
      <c r="E44967" s="2">
        <v>2.4085917910030401E-4</v>
      </c>
      <c r="F44967" s="2">
        <v>1.19108872219567E-4</v>
      </c>
    </row>
    <row r="44968" spans="1:6" x14ac:dyDescent="0.25">
      <c r="A44968" s="1" t="str">
        <f t="shared" si="1506"/>
        <v>99999</v>
      </c>
      <c r="B44968" s="1" t="str">
        <f>"04481"</f>
        <v>04481</v>
      </c>
      <c r="C44968" s="2">
        <v>4.0273051287730802E-5</v>
      </c>
      <c r="D44968" s="2">
        <v>1.35513800574879E-5</v>
      </c>
      <c r="E44968" s="2">
        <v>4.3010567696482999E-6</v>
      </c>
      <c r="F44968" s="2">
        <v>3.7696428490368499E-5</v>
      </c>
    </row>
    <row r="44969" spans="1:6" x14ac:dyDescent="0.25">
      <c r="A44969" s="1" t="str">
        <f t="shared" si="1506"/>
        <v>99999</v>
      </c>
      <c r="B44969" s="1" t="str">
        <f>"04294"</f>
        <v>04294</v>
      </c>
      <c r="C44969" s="2">
        <v>1.6574742344493501E-4</v>
      </c>
      <c r="D44969" s="2">
        <v>1.2949096499377299E-4</v>
      </c>
      <c r="E44969" s="2">
        <v>1.3333275985909701E-4</v>
      </c>
      <c r="F44969" s="2">
        <v>1.6262752395844801E-4</v>
      </c>
    </row>
    <row r="44970" spans="1:6" x14ac:dyDescent="0.25">
      <c r="A44970" s="1" t="str">
        <f t="shared" si="1506"/>
        <v>99999</v>
      </c>
      <c r="B44970" s="1" t="str">
        <f>"04275"</f>
        <v>04275</v>
      </c>
      <c r="C44970" s="2">
        <v>3.0637832028031702E-5</v>
      </c>
      <c r="D44970" s="2">
        <v>1.0539962266935E-5</v>
      </c>
      <c r="E44970" s="2">
        <v>4.3010567696482999E-6</v>
      </c>
      <c r="F44970" s="2">
        <v>2.87163892426629E-5</v>
      </c>
    </row>
    <row r="44971" spans="1:6" x14ac:dyDescent="0.25">
      <c r="A44971" s="1" t="str">
        <f t="shared" si="1506"/>
        <v>99999</v>
      </c>
      <c r="B44971" s="1" t="str">
        <f>"04257"</f>
        <v>04257</v>
      </c>
      <c r="C44971" s="2">
        <v>1.6195829227539E-4</v>
      </c>
      <c r="D44971" s="2">
        <v>1.8821361190955499E-4</v>
      </c>
      <c r="E44971" s="2">
        <v>6.1075006129005795E-4</v>
      </c>
      <c r="F44971" s="2">
        <v>1.7397592520554899E-4</v>
      </c>
    </row>
    <row r="44972" spans="1:6" x14ac:dyDescent="0.25">
      <c r="A44972" s="1" t="str">
        <f t="shared" si="1506"/>
        <v>99999</v>
      </c>
      <c r="B44972" s="1" t="str">
        <f>"04348"</f>
        <v>04348</v>
      </c>
      <c r="C44972" s="2">
        <v>1.73109164002907E-4</v>
      </c>
      <c r="D44972" s="2">
        <v>2.4091342324423E-5</v>
      </c>
      <c r="E44972" s="2">
        <v>2.58063406178898E-5</v>
      </c>
      <c r="F44972" s="2">
        <v>1.5996311670912899E-4</v>
      </c>
    </row>
    <row r="44973" spans="1:6" x14ac:dyDescent="0.25">
      <c r="A44973" s="1" t="str">
        <f t="shared" si="1506"/>
        <v>99999</v>
      </c>
      <c r="B44973" s="1" t="str">
        <f>"04750"</f>
        <v>04750</v>
      </c>
      <c r="C44973" s="2">
        <v>1.13998717758012E-4</v>
      </c>
      <c r="D44973" s="2">
        <v>1.34008091679603E-4</v>
      </c>
      <c r="E44973" s="2">
        <v>4.2580462019518102E-4</v>
      </c>
      <c r="F44973" s="2">
        <v>1.2246405171870999E-4</v>
      </c>
    </row>
    <row r="44974" spans="1:6" x14ac:dyDescent="0.25">
      <c r="A44974" s="1" t="str">
        <f t="shared" si="1506"/>
        <v>99999</v>
      </c>
      <c r="B44974" s="1" t="str">
        <f>"04864"</f>
        <v>04864</v>
      </c>
      <c r="C44974" s="2">
        <v>1.9476134211458999E-4</v>
      </c>
      <c r="D44974" s="2">
        <v>1.14433876041009E-4</v>
      </c>
      <c r="E44974" s="2">
        <v>1.5053698693768999E-4</v>
      </c>
      <c r="F44974" s="2">
        <v>1.88482142451842E-4</v>
      </c>
    </row>
    <row r="44975" spans="1:6" x14ac:dyDescent="0.25">
      <c r="A44975" s="1" t="str">
        <f t="shared" si="1506"/>
        <v>99999</v>
      </c>
      <c r="B44975" s="1" t="str">
        <f>"04780"</f>
        <v>04780</v>
      </c>
      <c r="C44975" s="2">
        <v>3.4102180525900997E-5</v>
      </c>
      <c r="D44975" s="2">
        <v>1.35513800574879E-5</v>
      </c>
      <c r="E44975" s="2">
        <v>4.3010567696482999E-6</v>
      </c>
      <c r="F44975" s="2">
        <v>3.2071568741805697E-5</v>
      </c>
    </row>
    <row r="44976" spans="1:6" x14ac:dyDescent="0.25">
      <c r="A44976" s="1" t="str">
        <f t="shared" si="1506"/>
        <v>99999</v>
      </c>
      <c r="B44976" s="1" t="str">
        <f>"04785"</f>
        <v>04785</v>
      </c>
      <c r="C44976" s="2">
        <v>1.4095567950705699E-4</v>
      </c>
      <c r="D44976" s="2">
        <v>1.82190776328449E-4</v>
      </c>
      <c r="E44976" s="2">
        <v>3.39783484802215E-4</v>
      </c>
      <c r="F44976" s="2">
        <v>1.4821998846212899E-4</v>
      </c>
    </row>
    <row r="44977" spans="1:6" x14ac:dyDescent="0.25">
      <c r="A44977" s="1" t="str">
        <f t="shared" si="1506"/>
        <v>99999</v>
      </c>
      <c r="B44977" s="1" t="str">
        <f>"04747"</f>
        <v>04747</v>
      </c>
      <c r="C44977" s="2">
        <v>5.7919576448752602E-5</v>
      </c>
      <c r="D44977" s="2">
        <v>2.8608469010252301E-5</v>
      </c>
      <c r="E44977" s="2">
        <v>5.5913738005427899E-5</v>
      </c>
      <c r="F44977" s="2">
        <v>5.5952552235704101E-5</v>
      </c>
    </row>
    <row r="44978" spans="1:6" x14ac:dyDescent="0.25">
      <c r="A44978" s="1" t="str">
        <f t="shared" si="1506"/>
        <v>99999</v>
      </c>
      <c r="B44978" s="1" t="str">
        <f>"04967"</f>
        <v>04967</v>
      </c>
      <c r="C44978" s="2">
        <v>2.02014821782004E-4</v>
      </c>
      <c r="D44978" s="2">
        <v>2.4994767661588901E-4</v>
      </c>
      <c r="E44978" s="2">
        <v>4.0860039311658801E-4</v>
      </c>
      <c r="F44978" s="2">
        <v>2.0989608219637099E-4</v>
      </c>
    </row>
    <row r="44979" spans="1:6" x14ac:dyDescent="0.25">
      <c r="A44979" s="1" t="str">
        <f t="shared" si="1506"/>
        <v>99999</v>
      </c>
      <c r="B44979" s="1" t="str">
        <f>"04921"</f>
        <v>04921</v>
      </c>
      <c r="C44979" s="2">
        <v>8.5417842650590295E-5</v>
      </c>
      <c r="D44979" s="2">
        <v>1.9574215638593701E-5</v>
      </c>
      <c r="E44979" s="2">
        <v>5.5913738005427899E-5</v>
      </c>
      <c r="F44979" s="2">
        <v>8.0425626229451206E-5</v>
      </c>
    </row>
    <row r="44980" spans="1:6" x14ac:dyDescent="0.25">
      <c r="A44980" s="1" t="str">
        <f t="shared" si="1506"/>
        <v>99999</v>
      </c>
      <c r="B44980" s="1" t="str">
        <f>"04956"</f>
        <v>04956</v>
      </c>
      <c r="C44980" s="2">
        <v>3.4643484978693103E-5</v>
      </c>
      <c r="D44980" s="2">
        <v>6.0228355811057601E-6</v>
      </c>
      <c r="E44980" s="2">
        <v>2.15052838482415E-5</v>
      </c>
      <c r="F44980" s="2">
        <v>3.2466295741704798E-5</v>
      </c>
    </row>
    <row r="44981" spans="1:6" x14ac:dyDescent="0.25">
      <c r="A44981" s="1" t="str">
        <f t="shared" si="1506"/>
        <v>99999</v>
      </c>
      <c r="B44981" s="1" t="str">
        <f>"04974"</f>
        <v>04974</v>
      </c>
      <c r="C44981" s="2">
        <v>2.2258439098810299E-4</v>
      </c>
      <c r="D44981" s="2">
        <v>1.5207659842292001E-4</v>
      </c>
      <c r="E44981" s="2">
        <v>2.9247186033608399E-4</v>
      </c>
      <c r="F44981" s="2">
        <v>2.195668936939E-4</v>
      </c>
    </row>
    <row r="44982" spans="1:6" x14ac:dyDescent="0.25">
      <c r="A44982" s="1" t="str">
        <f t="shared" si="1506"/>
        <v>99999</v>
      </c>
      <c r="B44982" s="1" t="str">
        <f>"04664"</f>
        <v>04664</v>
      </c>
      <c r="C44982" s="2">
        <v>6.7446534817893196E-5</v>
      </c>
      <c r="D44982" s="2">
        <v>3.01141779055288E-5</v>
      </c>
      <c r="E44982" s="2">
        <v>4.7311624466131299E-5</v>
      </c>
      <c r="F44982" s="2">
        <v>6.4537864483510502E-5</v>
      </c>
    </row>
    <row r="44983" spans="1:6" x14ac:dyDescent="0.25">
      <c r="A44983" s="1" t="str">
        <f t="shared" si="1506"/>
        <v>99999</v>
      </c>
      <c r="B44983" s="1" t="str">
        <f>"04578"</f>
        <v>04578</v>
      </c>
      <c r="C44983" s="2">
        <v>2.4802570026933099E-4</v>
      </c>
      <c r="D44983" s="2">
        <v>1.6713368737568399E-4</v>
      </c>
      <c r="E44983" s="2">
        <v>3.39783484802215E-4</v>
      </c>
      <c r="F44983" s="2">
        <v>2.4482942168744599E-4</v>
      </c>
    </row>
    <row r="44984" spans="1:6" x14ac:dyDescent="0.25">
      <c r="A44984" s="1" t="str">
        <f t="shared" si="1506"/>
        <v>99999</v>
      </c>
      <c r="B44984" s="1" t="str">
        <f>"04630"</f>
        <v>04630</v>
      </c>
      <c r="C44984" s="2">
        <v>6.2141751180530796E-5</v>
      </c>
      <c r="D44984" s="2">
        <v>4.2159849067740298E-5</v>
      </c>
      <c r="E44984" s="2">
        <v>2.58063406178898E-5</v>
      </c>
      <c r="F44984" s="2">
        <v>5.9998503984670299E-5</v>
      </c>
    </row>
    <row r="44985" spans="1:6" x14ac:dyDescent="0.25">
      <c r="A44985" s="1" t="str">
        <f t="shared" si="1506"/>
        <v>99999</v>
      </c>
      <c r="B44985" s="1" t="str">
        <f>"05476"</f>
        <v>05476</v>
      </c>
      <c r="C44985" s="2">
        <v>9.7434801502574508E-7</v>
      </c>
      <c r="D44985" s="2">
        <v>0</v>
      </c>
      <c r="E44985" s="2">
        <v>0</v>
      </c>
      <c r="F44985" s="2">
        <v>8.8813574977308104E-7</v>
      </c>
    </row>
    <row r="44986" spans="1:6" x14ac:dyDescent="0.25">
      <c r="A44986" s="1" t="str">
        <f t="shared" si="1506"/>
        <v>99999</v>
      </c>
      <c r="B44986" s="1" t="str">
        <f>"05346"</f>
        <v>05346</v>
      </c>
      <c r="C44986" s="2">
        <v>2.6220787693248299E-4</v>
      </c>
      <c r="D44986" s="2">
        <v>1.02388204878797E-4</v>
      </c>
      <c r="E44986" s="2">
        <v>2.4516023586995298E-4</v>
      </c>
      <c r="F44986" s="2">
        <v>2.5134241718578201E-4</v>
      </c>
    </row>
    <row r="44987" spans="1:6" x14ac:dyDescent="0.25">
      <c r="A44987" s="1" t="str">
        <f t="shared" si="1506"/>
        <v>99999</v>
      </c>
      <c r="B44987" s="1" t="str">
        <f>"05341"</f>
        <v>05341</v>
      </c>
      <c r="C44987" s="2">
        <v>1.62391335837624E-5</v>
      </c>
      <c r="D44987" s="2">
        <v>7.5285444763821999E-6</v>
      </c>
      <c r="E44987" s="2">
        <v>1.29031703089449E-5</v>
      </c>
      <c r="F44987" s="2">
        <v>1.5591716496016299E-5</v>
      </c>
    </row>
    <row r="44988" spans="1:6" x14ac:dyDescent="0.25">
      <c r="A44988" s="1" t="str">
        <f t="shared" si="1506"/>
        <v>99999</v>
      </c>
      <c r="B44988" s="1" t="str">
        <f>"05158"</f>
        <v>05158</v>
      </c>
      <c r="C44988" s="2">
        <v>4.1247399302756502E-5</v>
      </c>
      <c r="D44988" s="2">
        <v>7.9802571449651304E-5</v>
      </c>
      <c r="E44988" s="2">
        <v>4.3010567696482999E-5</v>
      </c>
      <c r="F44988" s="2">
        <v>4.3814696988805298E-5</v>
      </c>
    </row>
    <row r="44989" spans="1:6" x14ac:dyDescent="0.25">
      <c r="A44989" s="1" t="str">
        <f t="shared" si="1506"/>
        <v>99999</v>
      </c>
      <c r="B44989" s="1" t="str">
        <f>"05827"</f>
        <v>05827</v>
      </c>
      <c r="C44989" s="2">
        <v>2.4900004828435702E-5</v>
      </c>
      <c r="D44989" s="2">
        <v>9.0342533716586405E-6</v>
      </c>
      <c r="E44989" s="2">
        <v>8.6021135392965999E-6</v>
      </c>
      <c r="F44989" s="2">
        <v>2.3486256493999199E-5</v>
      </c>
    </row>
    <row r="44990" spans="1:6" x14ac:dyDescent="0.25">
      <c r="A44990" s="1" t="str">
        <f t="shared" si="1506"/>
        <v>99999</v>
      </c>
      <c r="B44990" s="1" t="str">
        <f>"05822"</f>
        <v>05822</v>
      </c>
      <c r="C44990" s="2">
        <v>1.0966828213567501E-4</v>
      </c>
      <c r="D44990" s="2">
        <v>4.6676975753569603E-5</v>
      </c>
      <c r="E44990" s="2">
        <v>1.41934873398393E-4</v>
      </c>
      <c r="F44990" s="2">
        <v>1.0628024472284499E-4</v>
      </c>
    </row>
    <row r="44991" spans="1:6" x14ac:dyDescent="0.25">
      <c r="A44991" s="1" t="str">
        <f t="shared" si="1506"/>
        <v>99999</v>
      </c>
      <c r="B44991" s="1" t="str">
        <f>"05839"</f>
        <v>05839</v>
      </c>
      <c r="C44991" s="2">
        <v>4.4278704238392203E-5</v>
      </c>
      <c r="D44991" s="2">
        <v>1.20456711622115E-5</v>
      </c>
      <c r="E44991" s="2">
        <v>1.72042270785932E-5</v>
      </c>
      <c r="F44991" s="2">
        <v>4.1545016739385197E-5</v>
      </c>
    </row>
    <row r="44992" spans="1:6" x14ac:dyDescent="0.25">
      <c r="A44992" s="1" t="str">
        <f t="shared" si="1506"/>
        <v>99999</v>
      </c>
      <c r="B44992" s="1" t="str">
        <f>"05903"</f>
        <v>05903</v>
      </c>
      <c r="C44992" s="2">
        <v>3.6483920118186202E-5</v>
      </c>
      <c r="D44992" s="2">
        <v>1.80685067433172E-5</v>
      </c>
      <c r="E44992" s="2">
        <v>3.44084541571864E-5</v>
      </c>
      <c r="F44992" s="2">
        <v>3.5229384740998803E-5</v>
      </c>
    </row>
    <row r="44993" spans="1:6" x14ac:dyDescent="0.25">
      <c r="A44993" s="1" t="str">
        <f t="shared" si="1506"/>
        <v>99999</v>
      </c>
      <c r="B44993" s="1" t="str">
        <f>"05770"</f>
        <v>05770</v>
      </c>
      <c r="C44993" s="2">
        <v>6.3224360086114995E-5</v>
      </c>
      <c r="D44993" s="2">
        <v>1.0539962266935E-5</v>
      </c>
      <c r="E44993" s="2">
        <v>4.7311624466131299E-5</v>
      </c>
      <c r="F44993" s="2">
        <v>5.9406413484821598E-5</v>
      </c>
    </row>
    <row r="44994" spans="1:6" x14ac:dyDescent="0.25">
      <c r="A44994" s="1" t="str">
        <f t="shared" si="1506"/>
        <v>99999</v>
      </c>
      <c r="B44994" s="1" t="str">
        <f>"05778"</f>
        <v>05778</v>
      </c>
      <c r="C44994" s="2">
        <v>3.7133485461536698E-5</v>
      </c>
      <c r="D44994" s="2">
        <v>1.50570889527644E-5</v>
      </c>
      <c r="E44994" s="2">
        <v>1.29031703089449E-5</v>
      </c>
      <c r="F44994" s="2">
        <v>3.5130702991024101E-5</v>
      </c>
    </row>
    <row r="44995" spans="1:6" x14ac:dyDescent="0.25">
      <c r="A44995" s="1" t="str">
        <f t="shared" si="1506"/>
        <v>99999</v>
      </c>
      <c r="B44995" s="1" t="str">
        <f>"05760"</f>
        <v>05760</v>
      </c>
      <c r="C44995" s="2">
        <v>5.5862619528142703E-5</v>
      </c>
      <c r="D44995" s="2">
        <v>1.9574215638593701E-5</v>
      </c>
      <c r="E44995" s="2">
        <v>1.29031703089449E-5</v>
      </c>
      <c r="F44995" s="2">
        <v>5.2498690986586503E-5</v>
      </c>
    </row>
    <row r="44996" spans="1:6" x14ac:dyDescent="0.25">
      <c r="A44996" s="1" t="str">
        <f t="shared" si="1506"/>
        <v>99999</v>
      </c>
      <c r="B44996" s="1" t="str">
        <f>"05769"</f>
        <v>05769</v>
      </c>
      <c r="C44996" s="2">
        <v>6.03013160410378E-5</v>
      </c>
      <c r="D44996" s="2">
        <v>1.80685067433172E-5</v>
      </c>
      <c r="E44996" s="2">
        <v>4.3010567696482999E-6</v>
      </c>
      <c r="F44996" s="2">
        <v>5.6248597485628397E-5</v>
      </c>
    </row>
    <row r="44997" spans="1:6" x14ac:dyDescent="0.25">
      <c r="A44997" s="1" t="str">
        <f t="shared" si="1506"/>
        <v>99999</v>
      </c>
      <c r="B44997" s="1" t="str">
        <f>"12431"</f>
        <v>12431</v>
      </c>
      <c r="C44997" s="2">
        <v>7.3184362017489305E-5</v>
      </c>
      <c r="D44997" s="2">
        <v>3.6137013486634501E-5</v>
      </c>
      <c r="E44997" s="2">
        <v>3.01073973875381E-5</v>
      </c>
      <c r="F44997" s="2">
        <v>6.9767997232174196E-5</v>
      </c>
    </row>
    <row r="44998" spans="1:6" x14ac:dyDescent="0.25">
      <c r="A44998" s="1" t="str">
        <f t="shared" ref="A44998:A45061" si="1507">"99999"</f>
        <v>99999</v>
      </c>
      <c r="B44998" s="1" t="str">
        <f>"12789"</f>
        <v>12789</v>
      </c>
      <c r="C44998" s="2">
        <v>1.4117220128817399E-4</v>
      </c>
      <c r="D44998" s="2">
        <v>4.2159849067740298E-5</v>
      </c>
      <c r="E44998" s="2">
        <v>1.5483804370733801E-4</v>
      </c>
      <c r="F44998" s="2">
        <v>1.3499663396550801E-4</v>
      </c>
    </row>
    <row r="44999" spans="1:6" x14ac:dyDescent="0.25">
      <c r="A44999" s="1" t="str">
        <f t="shared" si="1507"/>
        <v>99999</v>
      </c>
      <c r="B44999" s="1" t="str">
        <f>"12740"</f>
        <v>12740</v>
      </c>
      <c r="C44999" s="2">
        <v>7.2643057564697206E-5</v>
      </c>
      <c r="D44999" s="2">
        <v>1.0539962266935E-5</v>
      </c>
      <c r="E44999" s="2">
        <v>2.58063406178898E-5</v>
      </c>
      <c r="F44999" s="2">
        <v>6.7498316982754101E-5</v>
      </c>
    </row>
    <row r="45000" spans="1:6" x14ac:dyDescent="0.25">
      <c r="A45000" s="1" t="str">
        <f t="shared" si="1507"/>
        <v>99999</v>
      </c>
      <c r="B45000" s="1" t="str">
        <f>"12726"</f>
        <v>12726</v>
      </c>
      <c r="C45000" s="2">
        <v>7.1668709549671506E-5</v>
      </c>
      <c r="D45000" s="2">
        <v>3.9148431277187403E-5</v>
      </c>
      <c r="E45000" s="2">
        <v>2.58063406178898E-5</v>
      </c>
      <c r="F45000" s="2">
        <v>6.8485134482502004E-5</v>
      </c>
    </row>
    <row r="45001" spans="1:6" x14ac:dyDescent="0.25">
      <c r="A45001" s="1" t="str">
        <f t="shared" si="1507"/>
        <v>99999</v>
      </c>
      <c r="B45001" s="1" t="str">
        <f>"12997"</f>
        <v>12997</v>
      </c>
      <c r="C45001" s="2">
        <v>5.9435228916570401E-5</v>
      </c>
      <c r="D45001" s="2">
        <v>2.4091342324423E-5</v>
      </c>
      <c r="E45001" s="2">
        <v>7.7419021853669399E-5</v>
      </c>
      <c r="F45001" s="2">
        <v>5.7531460235300698E-5</v>
      </c>
    </row>
    <row r="45002" spans="1:6" x14ac:dyDescent="0.25">
      <c r="A45002" s="1" t="str">
        <f t="shared" si="1507"/>
        <v>99999</v>
      </c>
      <c r="B45002" s="1" t="str">
        <f>"12998"</f>
        <v>12998</v>
      </c>
      <c r="C45002" s="2">
        <v>2.0461308315540598E-5</v>
      </c>
      <c r="D45002" s="2">
        <v>1.50570889527644E-6</v>
      </c>
      <c r="E45002" s="2">
        <v>3.01073973875381E-5</v>
      </c>
      <c r="F45002" s="2">
        <v>1.9440304745033001E-5</v>
      </c>
    </row>
    <row r="45003" spans="1:6" x14ac:dyDescent="0.25">
      <c r="A45003" s="1" t="str">
        <f t="shared" si="1507"/>
        <v>99999</v>
      </c>
      <c r="B45003" s="1" t="str">
        <f>"12983"</f>
        <v>12983</v>
      </c>
      <c r="C45003" s="2">
        <v>1.2363393701771101E-4</v>
      </c>
      <c r="D45003" s="2">
        <v>2.5898192998754702E-4</v>
      </c>
      <c r="E45003" s="2">
        <v>5.8494372067216895E-4</v>
      </c>
      <c r="F45003" s="2">
        <v>1.4308853746344E-4</v>
      </c>
    </row>
    <row r="45004" spans="1:6" x14ac:dyDescent="0.25">
      <c r="A45004" s="1" t="str">
        <f t="shared" si="1507"/>
        <v>99999</v>
      </c>
      <c r="B45004" s="1" t="str">
        <f>"12993"</f>
        <v>12993</v>
      </c>
      <c r="C45004" s="2">
        <v>7.5457840719215998E-5</v>
      </c>
      <c r="D45004" s="2">
        <v>3.9148431277187403E-5</v>
      </c>
      <c r="E45004" s="2">
        <v>4.7311624466131299E-5</v>
      </c>
      <c r="F45004" s="2">
        <v>7.2432404481493506E-5</v>
      </c>
    </row>
    <row r="45005" spans="1:6" x14ac:dyDescent="0.25">
      <c r="A45005" s="1" t="str">
        <f t="shared" si="1507"/>
        <v>99999</v>
      </c>
      <c r="B45005" s="1" t="str">
        <f>"12936"</f>
        <v>12936</v>
      </c>
      <c r="C45005" s="2">
        <v>3.0746092918590099E-5</v>
      </c>
      <c r="D45005" s="2">
        <v>1.20456711622115E-5</v>
      </c>
      <c r="E45005" s="2">
        <v>4.3010567696482999E-6</v>
      </c>
      <c r="F45005" s="2">
        <v>2.89137527426125E-5</v>
      </c>
    </row>
    <row r="45006" spans="1:6" x14ac:dyDescent="0.25">
      <c r="A45006" s="1" t="str">
        <f t="shared" si="1507"/>
        <v>99999</v>
      </c>
      <c r="B45006" s="1" t="str">
        <f>"12812"</f>
        <v>12812</v>
      </c>
      <c r="C45006" s="2">
        <v>1.5806090021528701E-5</v>
      </c>
      <c r="D45006" s="2">
        <v>9.0342533716586405E-6</v>
      </c>
      <c r="E45006" s="2">
        <v>4.3010567696482999E-6</v>
      </c>
      <c r="F45006" s="2">
        <v>1.5098307746142301E-5</v>
      </c>
    </row>
    <row r="45007" spans="1:6" x14ac:dyDescent="0.25">
      <c r="A45007" s="1" t="str">
        <f t="shared" si="1507"/>
        <v>99999</v>
      </c>
      <c r="B45007" s="1" t="str">
        <f>"13316"</f>
        <v>13316</v>
      </c>
      <c r="C45007" s="2">
        <v>2.1327395440007902E-5</v>
      </c>
      <c r="D45007" s="2">
        <v>4.5171266858293203E-6</v>
      </c>
      <c r="E45007" s="2">
        <v>0</v>
      </c>
      <c r="F45007" s="2">
        <v>1.9736349994957301E-5</v>
      </c>
    </row>
    <row r="45008" spans="1:6" x14ac:dyDescent="0.25">
      <c r="A45008" s="1" t="str">
        <f t="shared" si="1507"/>
        <v>99999</v>
      </c>
      <c r="B45008" s="1" t="str">
        <f>"13820"</f>
        <v>13820</v>
      </c>
      <c r="C45008" s="2">
        <v>1.12591326180752E-4</v>
      </c>
      <c r="D45008" s="2">
        <v>1.76167940747343E-4</v>
      </c>
      <c r="E45008" s="2">
        <v>1.03225362471559E-4</v>
      </c>
      <c r="F45008" s="2">
        <v>1.1654314672022301E-4</v>
      </c>
    </row>
    <row r="45009" spans="1:6" x14ac:dyDescent="0.25">
      <c r="A45009" s="1" t="str">
        <f t="shared" si="1507"/>
        <v>99999</v>
      </c>
      <c r="B45009" s="1" t="str">
        <f>"13775"</f>
        <v>13775</v>
      </c>
      <c r="C45009" s="2">
        <v>8.8882191148459603E-5</v>
      </c>
      <c r="D45009" s="2">
        <v>1.50570889527644E-5</v>
      </c>
      <c r="E45009" s="2">
        <v>4.3010567696482999E-6</v>
      </c>
      <c r="F45009" s="2">
        <v>8.21032159790226E-5</v>
      </c>
    </row>
    <row r="45010" spans="1:6" x14ac:dyDescent="0.25">
      <c r="A45010" s="1" t="str">
        <f t="shared" si="1507"/>
        <v>99999</v>
      </c>
      <c r="B45010" s="1" t="str">
        <f>"14536"</f>
        <v>14536</v>
      </c>
      <c r="C45010" s="2">
        <v>3.37773978542258E-5</v>
      </c>
      <c r="D45010" s="2">
        <v>3.1619886800805203E-5</v>
      </c>
      <c r="E45010" s="2">
        <v>2.15052838482415E-5</v>
      </c>
      <c r="F45010" s="2">
        <v>3.3354431491477903E-5</v>
      </c>
    </row>
    <row r="45011" spans="1:6" x14ac:dyDescent="0.25">
      <c r="A45011" s="1" t="str">
        <f t="shared" si="1507"/>
        <v>99999</v>
      </c>
      <c r="B45011" s="1" t="str">
        <f>"13849"</f>
        <v>13849</v>
      </c>
      <c r="C45011" s="2">
        <v>5.3697401716974401E-5</v>
      </c>
      <c r="D45011" s="2">
        <v>6.0228355811057601E-6</v>
      </c>
      <c r="E45011" s="2">
        <v>4.3010567696482999E-6</v>
      </c>
      <c r="F45011" s="2">
        <v>4.94395567373681E-5</v>
      </c>
    </row>
    <row r="45012" spans="1:6" x14ac:dyDescent="0.25">
      <c r="A45012" s="1" t="str">
        <f t="shared" si="1507"/>
        <v>99999</v>
      </c>
      <c r="B45012" s="1" t="str">
        <f>"14009"</f>
        <v>14009</v>
      </c>
      <c r="C45012" s="2">
        <v>2.5376352746892699E-4</v>
      </c>
      <c r="D45012" s="2">
        <v>2.6199334777810002E-4</v>
      </c>
      <c r="E45012" s="2">
        <v>4.7741730143096097E-4</v>
      </c>
      <c r="F45012" s="2">
        <v>2.5943432068371402E-4</v>
      </c>
    </row>
    <row r="45013" spans="1:6" x14ac:dyDescent="0.25">
      <c r="A45013" s="1" t="str">
        <f t="shared" si="1507"/>
        <v>99999</v>
      </c>
      <c r="B45013" s="1" t="str">
        <f>"14880"</f>
        <v>14880</v>
      </c>
      <c r="C45013" s="2">
        <v>7.7081754077592296E-5</v>
      </c>
      <c r="D45013" s="2">
        <v>2.25856334291466E-5</v>
      </c>
      <c r="E45013" s="2">
        <v>2.58063406178898E-5</v>
      </c>
      <c r="F45013" s="2">
        <v>7.2333722731518702E-5</v>
      </c>
    </row>
    <row r="45014" spans="1:6" x14ac:dyDescent="0.25">
      <c r="A45014" s="1" t="str">
        <f t="shared" si="1507"/>
        <v>99999</v>
      </c>
      <c r="B45014" s="1" t="str">
        <f>"14807"</f>
        <v>14807</v>
      </c>
      <c r="C45014" s="2">
        <v>2.5766091952903002E-5</v>
      </c>
      <c r="D45014" s="2">
        <v>4.5171266858293203E-6</v>
      </c>
      <c r="E45014" s="2">
        <v>1.72042270785932E-5</v>
      </c>
      <c r="F45014" s="2">
        <v>2.41770287438227E-5</v>
      </c>
    </row>
    <row r="45015" spans="1:6" x14ac:dyDescent="0.25">
      <c r="A45015" s="1" t="str">
        <f t="shared" si="1507"/>
        <v>99999</v>
      </c>
      <c r="B45015" s="1" t="str">
        <f>"14891"</f>
        <v>14891</v>
      </c>
      <c r="C45015" s="2">
        <v>2.4196309039806001E-4</v>
      </c>
      <c r="D45015" s="2">
        <v>4.2912703515378501E-4</v>
      </c>
      <c r="E45015" s="2">
        <v>5.4193315297568602E-4</v>
      </c>
      <c r="F45015" s="2">
        <v>2.6111191043328498E-4</v>
      </c>
    </row>
    <row r="45016" spans="1:6" x14ac:dyDescent="0.25">
      <c r="A45016" s="1" t="str">
        <f t="shared" si="1507"/>
        <v>99999</v>
      </c>
      <c r="B45016" s="1" t="str">
        <f>"15550"</f>
        <v>15550</v>
      </c>
      <c r="C45016" s="2">
        <v>8.82326258051091E-5</v>
      </c>
      <c r="D45016" s="2">
        <v>2.7102760114975901E-5</v>
      </c>
      <c r="E45016" s="2">
        <v>1.29031703089449E-5</v>
      </c>
      <c r="F45016" s="2">
        <v>8.2497942978921706E-5</v>
      </c>
    </row>
    <row r="45017" spans="1:6" x14ac:dyDescent="0.25">
      <c r="A45017" s="1" t="str">
        <f t="shared" si="1507"/>
        <v>99999</v>
      </c>
      <c r="B45017" s="1" t="str">
        <f>"38324"</f>
        <v>38324</v>
      </c>
      <c r="C45017" s="2">
        <v>0</v>
      </c>
      <c r="D45017" s="2">
        <v>1.50570889527644E-6</v>
      </c>
      <c r="E45017" s="2">
        <v>0</v>
      </c>
      <c r="F45017" s="2">
        <v>9.8681749974786797E-8</v>
      </c>
    </row>
    <row r="45018" spans="1:6" x14ac:dyDescent="0.25">
      <c r="A45018" s="1" t="str">
        <f t="shared" si="1507"/>
        <v>99999</v>
      </c>
      <c r="B45018" s="1" t="str">
        <f>"16221"</f>
        <v>16221</v>
      </c>
      <c r="C45018" s="2">
        <v>0</v>
      </c>
      <c r="D45018" s="2">
        <v>0</v>
      </c>
      <c r="E45018" s="2">
        <v>4.3010567696482999E-6</v>
      </c>
      <c r="F45018" s="2">
        <v>9.8681749974786797E-8</v>
      </c>
    </row>
    <row r="45019" spans="1:6" x14ac:dyDescent="0.25">
      <c r="A45019" s="1" t="str">
        <f t="shared" si="1507"/>
        <v>99999</v>
      </c>
      <c r="B45019" s="1" t="str">
        <f>"99614"</f>
        <v>99614</v>
      </c>
      <c r="C45019" s="2">
        <v>0</v>
      </c>
      <c r="D45019" s="2">
        <v>0</v>
      </c>
      <c r="E45019" s="2">
        <v>4.3010567696482999E-6</v>
      </c>
      <c r="F45019" s="2">
        <v>9.8681749974786797E-8</v>
      </c>
    </row>
    <row r="45020" spans="1:6" x14ac:dyDescent="0.25">
      <c r="A45020" s="1" t="str">
        <f t="shared" si="1507"/>
        <v>99999</v>
      </c>
      <c r="B45020" s="1" t="str">
        <f>"99767"</f>
        <v>99767</v>
      </c>
      <c r="C45020" s="2">
        <v>0</v>
      </c>
      <c r="D45020" s="2">
        <v>0</v>
      </c>
      <c r="E45020" s="2">
        <v>4.3010567696482999E-6</v>
      </c>
      <c r="F45020" s="2">
        <v>9.8681749974786797E-8</v>
      </c>
    </row>
    <row r="45021" spans="1:6" x14ac:dyDescent="0.25">
      <c r="A45021" s="1" t="str">
        <f t="shared" si="1507"/>
        <v>99999</v>
      </c>
      <c r="B45021" s="1" t="str">
        <f>"28662"</f>
        <v>28662</v>
      </c>
      <c r="C45021" s="2">
        <v>0</v>
      </c>
      <c r="D45021" s="2">
        <v>0</v>
      </c>
      <c r="E45021" s="2">
        <v>4.3010567696482999E-6</v>
      </c>
      <c r="F45021" s="2">
        <v>9.8681749974786797E-8</v>
      </c>
    </row>
    <row r="45022" spans="1:6" x14ac:dyDescent="0.25">
      <c r="A45022" s="1" t="str">
        <f t="shared" si="1507"/>
        <v>99999</v>
      </c>
      <c r="B45022" s="1" t="str">
        <f>"04954"</f>
        <v>04954</v>
      </c>
      <c r="C45022" s="2">
        <v>0</v>
      </c>
      <c r="D45022" s="2">
        <v>0</v>
      </c>
      <c r="E45022" s="2">
        <v>4.3010567696482999E-6</v>
      </c>
      <c r="F45022" s="2">
        <v>9.8681749974786797E-8</v>
      </c>
    </row>
    <row r="45023" spans="1:6" x14ac:dyDescent="0.25">
      <c r="A45023" s="1" t="str">
        <f t="shared" si="1507"/>
        <v>99999</v>
      </c>
      <c r="B45023" s="1" t="str">
        <f>"22524"</f>
        <v>22524</v>
      </c>
      <c r="C45023" s="2">
        <v>0</v>
      </c>
      <c r="D45023" s="2">
        <v>0</v>
      </c>
      <c r="E45023" s="2">
        <v>8.6021135392965999E-6</v>
      </c>
      <c r="F45023" s="2">
        <v>1.9736349994957301E-7</v>
      </c>
    </row>
    <row r="45024" spans="1:6" x14ac:dyDescent="0.25">
      <c r="A45024" s="1" t="str">
        <f t="shared" si="1507"/>
        <v>99999</v>
      </c>
      <c r="B45024" s="1" t="str">
        <f>"62891"</f>
        <v>62891</v>
      </c>
      <c r="C45024" s="2">
        <v>3.2478267167524802E-7</v>
      </c>
      <c r="D45024" s="2">
        <v>0</v>
      </c>
      <c r="E45024" s="2">
        <v>4.3010567696482999E-6</v>
      </c>
      <c r="F45024" s="2">
        <v>3.9472699989914697E-7</v>
      </c>
    </row>
    <row r="45025" spans="1:6" x14ac:dyDescent="0.25">
      <c r="A45025" s="1" t="str">
        <f t="shared" si="1507"/>
        <v>99999</v>
      </c>
      <c r="B45025" s="1" t="str">
        <f>"86538"</f>
        <v>86538</v>
      </c>
      <c r="C45025" s="2">
        <v>0</v>
      </c>
      <c r="D45025" s="2">
        <v>0</v>
      </c>
      <c r="E45025" s="2">
        <v>4.3010567696482999E-6</v>
      </c>
      <c r="F45025" s="2">
        <v>9.8681749974786797E-8</v>
      </c>
    </row>
    <row r="45026" spans="1:6" x14ac:dyDescent="0.25">
      <c r="A45026" s="1" t="str">
        <f t="shared" si="1507"/>
        <v>99999</v>
      </c>
      <c r="B45026" s="1" t="str">
        <f>"49964"</f>
        <v>49964</v>
      </c>
      <c r="C45026" s="2">
        <v>0</v>
      </c>
      <c r="D45026" s="2">
        <v>0</v>
      </c>
      <c r="E45026" s="2">
        <v>4.3010567696482999E-6</v>
      </c>
      <c r="F45026" s="2">
        <v>9.8681749974786797E-8</v>
      </c>
    </row>
    <row r="45027" spans="1:6" x14ac:dyDescent="0.25">
      <c r="A45027" s="1" t="str">
        <f t="shared" si="1507"/>
        <v>99999</v>
      </c>
      <c r="B45027" s="1" t="str">
        <f>"50434"</f>
        <v>50434</v>
      </c>
      <c r="C45027" s="2">
        <v>1.08260890558416E-7</v>
      </c>
      <c r="D45027" s="2">
        <v>0</v>
      </c>
      <c r="E45027" s="2">
        <v>0</v>
      </c>
      <c r="F45027" s="2">
        <v>9.8681749974786797E-8</v>
      </c>
    </row>
    <row r="45028" spans="1:6" x14ac:dyDescent="0.25">
      <c r="A45028" s="1" t="str">
        <f t="shared" si="1507"/>
        <v>99999</v>
      </c>
      <c r="B45028" s="1" t="str">
        <f>"99829"</f>
        <v>99829</v>
      </c>
      <c r="C45028" s="2">
        <v>0</v>
      </c>
      <c r="D45028" s="2">
        <v>0</v>
      </c>
      <c r="E45028" s="2">
        <v>4.3010567696482999E-6</v>
      </c>
      <c r="F45028" s="2">
        <v>9.8681749974786797E-8</v>
      </c>
    </row>
    <row r="45029" spans="1:6" x14ac:dyDescent="0.25">
      <c r="A45029" s="1" t="str">
        <f t="shared" si="1507"/>
        <v>99999</v>
      </c>
      <c r="B45029" s="1" t="str">
        <f>"46789"</f>
        <v>46789</v>
      </c>
      <c r="C45029" s="2">
        <v>0</v>
      </c>
      <c r="D45029" s="2">
        <v>0</v>
      </c>
      <c r="E45029" s="2">
        <v>4.3010567696482999E-6</v>
      </c>
      <c r="F45029" s="2">
        <v>9.8681749974786797E-8</v>
      </c>
    </row>
    <row r="45030" spans="1:6" x14ac:dyDescent="0.25">
      <c r="A45030" s="1" t="str">
        <f t="shared" si="1507"/>
        <v>99999</v>
      </c>
      <c r="B45030" s="1" t="str">
        <f>"26180"</f>
        <v>26180</v>
      </c>
      <c r="C45030" s="2">
        <v>2.1652178111683201E-7</v>
      </c>
      <c r="D45030" s="2">
        <v>0</v>
      </c>
      <c r="E45030" s="2">
        <v>0</v>
      </c>
      <c r="F45030" s="2">
        <v>1.9736349994957301E-7</v>
      </c>
    </row>
    <row r="45031" spans="1:6" x14ac:dyDescent="0.25">
      <c r="A45031" s="1" t="str">
        <f t="shared" si="1507"/>
        <v>99999</v>
      </c>
      <c r="B45031" s="1" t="str">
        <f>"87749"</f>
        <v>87749</v>
      </c>
      <c r="C45031" s="2">
        <v>0</v>
      </c>
      <c r="D45031" s="2">
        <v>0</v>
      </c>
      <c r="E45031" s="2">
        <v>4.3010567696482999E-6</v>
      </c>
      <c r="F45031" s="2">
        <v>9.8681749974786797E-8</v>
      </c>
    </row>
    <row r="45032" spans="1:6" x14ac:dyDescent="0.25">
      <c r="A45032" s="1" t="str">
        <f t="shared" si="1507"/>
        <v>99999</v>
      </c>
      <c r="B45032" s="1" t="str">
        <f>"86506"</f>
        <v>86506</v>
      </c>
      <c r="C45032" s="2">
        <v>0</v>
      </c>
      <c r="D45032" s="2">
        <v>1.50570889527644E-6</v>
      </c>
      <c r="E45032" s="2">
        <v>0</v>
      </c>
      <c r="F45032" s="2">
        <v>9.8681749974786797E-8</v>
      </c>
    </row>
    <row r="45033" spans="1:6" x14ac:dyDescent="0.25">
      <c r="A45033" s="1" t="str">
        <f t="shared" si="1507"/>
        <v>99999</v>
      </c>
      <c r="B45033" s="1" t="str">
        <f>"41561"</f>
        <v>41561</v>
      </c>
      <c r="C45033" s="2">
        <v>0</v>
      </c>
      <c r="D45033" s="2">
        <v>0</v>
      </c>
      <c r="E45033" s="2">
        <v>4.3010567696482999E-6</v>
      </c>
      <c r="F45033" s="2">
        <v>9.8681749974786797E-8</v>
      </c>
    </row>
    <row r="45034" spans="1:6" x14ac:dyDescent="0.25">
      <c r="A45034" s="1" t="str">
        <f t="shared" si="1507"/>
        <v>99999</v>
      </c>
      <c r="B45034" s="1" t="str">
        <f>"68031"</f>
        <v>68031</v>
      </c>
      <c r="C45034" s="2">
        <v>2.1652178111683201E-7</v>
      </c>
      <c r="D45034" s="2">
        <v>0</v>
      </c>
      <c r="E45034" s="2">
        <v>0</v>
      </c>
      <c r="F45034" s="2">
        <v>1.9736349994957301E-7</v>
      </c>
    </row>
    <row r="45035" spans="1:6" x14ac:dyDescent="0.25">
      <c r="A45035" s="1" t="str">
        <f t="shared" si="1507"/>
        <v>99999</v>
      </c>
      <c r="B45035" s="1" t="str">
        <f>"79369"</f>
        <v>79369</v>
      </c>
      <c r="C45035" s="2">
        <v>0</v>
      </c>
      <c r="D45035" s="2">
        <v>0</v>
      </c>
      <c r="E45035" s="2">
        <v>4.3010567696482999E-6</v>
      </c>
      <c r="F45035" s="2">
        <v>9.8681749974786797E-8</v>
      </c>
    </row>
    <row r="45036" spans="1:6" x14ac:dyDescent="0.25">
      <c r="A45036" s="1" t="str">
        <f t="shared" si="1507"/>
        <v>99999</v>
      </c>
      <c r="B45036" s="1" t="str">
        <f>"95930"</f>
        <v>95930</v>
      </c>
      <c r="C45036" s="2">
        <v>1.08260890558416E-7</v>
      </c>
      <c r="D45036" s="2">
        <v>0</v>
      </c>
      <c r="E45036" s="2">
        <v>4.3010567696482999E-6</v>
      </c>
      <c r="F45036" s="2">
        <v>1.9736349994957301E-7</v>
      </c>
    </row>
    <row r="45037" spans="1:6" x14ac:dyDescent="0.25">
      <c r="A45037" s="1" t="str">
        <f t="shared" si="1507"/>
        <v>99999</v>
      </c>
      <c r="B45037" s="1" t="str">
        <f>"24340"</f>
        <v>24340</v>
      </c>
      <c r="C45037" s="2">
        <v>5.4130445279207995E-7</v>
      </c>
      <c r="D45037" s="2">
        <v>0</v>
      </c>
      <c r="E45037" s="2">
        <v>0</v>
      </c>
      <c r="F45037" s="2">
        <v>4.9340874987393396E-7</v>
      </c>
    </row>
    <row r="45038" spans="1:6" x14ac:dyDescent="0.25">
      <c r="A45038" s="1" t="str">
        <f t="shared" si="1507"/>
        <v>99999</v>
      </c>
      <c r="B45038" s="1" t="str">
        <f>"62961"</f>
        <v>62961</v>
      </c>
      <c r="C45038" s="2">
        <v>0</v>
      </c>
      <c r="D45038" s="2">
        <v>0</v>
      </c>
      <c r="E45038" s="2">
        <v>4.3010567696482999E-6</v>
      </c>
      <c r="F45038" s="2">
        <v>9.8681749974786797E-8</v>
      </c>
    </row>
    <row r="45039" spans="1:6" x14ac:dyDescent="0.25">
      <c r="A45039" s="1" t="str">
        <f t="shared" si="1507"/>
        <v>99999</v>
      </c>
      <c r="B45039" s="1" t="str">
        <f>"16940"</f>
        <v>16940</v>
      </c>
      <c r="C45039" s="2">
        <v>0</v>
      </c>
      <c r="D45039" s="2">
        <v>1.50570889527644E-6</v>
      </c>
      <c r="E45039" s="2">
        <v>0</v>
      </c>
      <c r="F45039" s="2">
        <v>9.8681749974786797E-8</v>
      </c>
    </row>
    <row r="45040" spans="1:6" x14ac:dyDescent="0.25">
      <c r="A45040" s="1" t="str">
        <f t="shared" si="1507"/>
        <v>99999</v>
      </c>
      <c r="B45040" s="1" t="str">
        <f>"61840"</f>
        <v>61840</v>
      </c>
      <c r="C45040" s="2">
        <v>1.08260890558416E-7</v>
      </c>
      <c r="D45040" s="2">
        <v>0</v>
      </c>
      <c r="E45040" s="2">
        <v>0</v>
      </c>
      <c r="F45040" s="2">
        <v>9.8681749974786797E-8</v>
      </c>
    </row>
    <row r="45041" spans="1:6" x14ac:dyDescent="0.25">
      <c r="A45041" s="1" t="str">
        <f t="shared" si="1507"/>
        <v>99999</v>
      </c>
      <c r="B45041" s="1" t="str">
        <f>"77855"</f>
        <v>77855</v>
      </c>
      <c r="C45041" s="2">
        <v>0</v>
      </c>
      <c r="D45041" s="2">
        <v>1.50570889527644E-6</v>
      </c>
      <c r="E45041" s="2">
        <v>0</v>
      </c>
      <c r="F45041" s="2">
        <v>9.8681749974786797E-8</v>
      </c>
    </row>
    <row r="45042" spans="1:6" x14ac:dyDescent="0.25">
      <c r="A45042" s="1" t="str">
        <f t="shared" si="1507"/>
        <v>99999</v>
      </c>
      <c r="B45042" s="1" t="str">
        <f>"05201"</f>
        <v>05201</v>
      </c>
      <c r="C45042" s="2">
        <v>1.08260890558416E-7</v>
      </c>
      <c r="D45042" s="2">
        <v>0</v>
      </c>
      <c r="E45042" s="2">
        <v>0</v>
      </c>
      <c r="F45042" s="2">
        <v>9.8681749974786797E-8</v>
      </c>
    </row>
    <row r="45043" spans="1:6" x14ac:dyDescent="0.25">
      <c r="A45043" s="1" t="str">
        <f t="shared" si="1507"/>
        <v>99999</v>
      </c>
      <c r="B45043" s="1" t="str">
        <f>"59064"</f>
        <v>59064</v>
      </c>
      <c r="C45043" s="2">
        <v>1.08260890558416E-7</v>
      </c>
      <c r="D45043" s="2">
        <v>0</v>
      </c>
      <c r="E45043" s="2">
        <v>0</v>
      </c>
      <c r="F45043" s="2">
        <v>9.8681749974786797E-8</v>
      </c>
    </row>
    <row r="45044" spans="1:6" x14ac:dyDescent="0.25">
      <c r="A45044" s="1" t="str">
        <f t="shared" si="1507"/>
        <v>99999</v>
      </c>
      <c r="B45044" s="1" t="str">
        <f>"99579"</f>
        <v>99579</v>
      </c>
      <c r="C45044" s="2">
        <v>0</v>
      </c>
      <c r="D45044" s="2">
        <v>0</v>
      </c>
      <c r="E45044" s="2">
        <v>4.3010567696482999E-6</v>
      </c>
      <c r="F45044" s="2">
        <v>9.8681749974786797E-8</v>
      </c>
    </row>
    <row r="45045" spans="1:6" x14ac:dyDescent="0.25">
      <c r="A45045" s="1" t="str">
        <f t="shared" si="1507"/>
        <v>99999</v>
      </c>
      <c r="B45045" s="1" t="str">
        <f>"45624"</f>
        <v>45624</v>
      </c>
      <c r="C45045" s="2">
        <v>0</v>
      </c>
      <c r="D45045" s="2">
        <v>1.50570889527644E-6</v>
      </c>
      <c r="E45045" s="2">
        <v>0</v>
      </c>
      <c r="F45045" s="2">
        <v>9.8681749974786797E-8</v>
      </c>
    </row>
    <row r="45046" spans="1:6" x14ac:dyDescent="0.25">
      <c r="A45046" s="1" t="str">
        <f t="shared" si="1507"/>
        <v>99999</v>
      </c>
      <c r="B45046" s="1" t="str">
        <f>"12911"</f>
        <v>12911</v>
      </c>
      <c r="C45046" s="2">
        <v>1.08260890558416E-7</v>
      </c>
      <c r="D45046" s="2">
        <v>3.01141779055288E-6</v>
      </c>
      <c r="E45046" s="2">
        <v>0</v>
      </c>
      <c r="F45046" s="2">
        <v>2.9604524992435999E-7</v>
      </c>
    </row>
    <row r="45047" spans="1:6" x14ac:dyDescent="0.25">
      <c r="A45047" s="1" t="str">
        <f t="shared" si="1507"/>
        <v>99999</v>
      </c>
      <c r="B45047" s="1" t="str">
        <f>"29589"</f>
        <v>29589</v>
      </c>
      <c r="C45047" s="2">
        <v>0</v>
      </c>
      <c r="D45047" s="2">
        <v>1.50570889527644E-6</v>
      </c>
      <c r="E45047" s="2">
        <v>0</v>
      </c>
      <c r="F45047" s="2">
        <v>9.8681749974786797E-8</v>
      </c>
    </row>
    <row r="45048" spans="1:6" x14ac:dyDescent="0.25">
      <c r="A45048" s="1" t="str">
        <f t="shared" si="1507"/>
        <v>99999</v>
      </c>
      <c r="B45048" s="1" t="str">
        <f>"39183"</f>
        <v>39183</v>
      </c>
      <c r="C45048" s="2">
        <v>1.08260890558416E-7</v>
      </c>
      <c r="D45048" s="2">
        <v>1.50570889527644E-6</v>
      </c>
      <c r="E45048" s="2">
        <v>0</v>
      </c>
      <c r="F45048" s="2">
        <v>1.9736349994957301E-7</v>
      </c>
    </row>
    <row r="45049" spans="1:6" x14ac:dyDescent="0.25">
      <c r="A45049" s="1" t="str">
        <f t="shared" si="1507"/>
        <v>99999</v>
      </c>
      <c r="B45049" s="1" t="str">
        <f>"43346"</f>
        <v>43346</v>
      </c>
      <c r="C45049" s="2">
        <v>0</v>
      </c>
      <c r="D45049" s="2">
        <v>1.50570889527644E-6</v>
      </c>
      <c r="E45049" s="2">
        <v>0</v>
      </c>
      <c r="F45049" s="2">
        <v>9.8681749974786797E-8</v>
      </c>
    </row>
    <row r="45050" spans="1:6" x14ac:dyDescent="0.25">
      <c r="A45050" s="1" t="str">
        <f t="shared" si="1507"/>
        <v>99999</v>
      </c>
      <c r="B45050" s="1" t="str">
        <f>"36458"</f>
        <v>36458</v>
      </c>
      <c r="C45050" s="2">
        <v>0</v>
      </c>
      <c r="D45050" s="2">
        <v>1.50570889527644E-6</v>
      </c>
      <c r="E45050" s="2">
        <v>0</v>
      </c>
      <c r="F45050" s="2">
        <v>9.8681749974786797E-8</v>
      </c>
    </row>
    <row r="45051" spans="1:6" x14ac:dyDescent="0.25">
      <c r="A45051" s="1" t="str">
        <f t="shared" si="1507"/>
        <v>99999</v>
      </c>
      <c r="B45051" s="1" t="str">
        <f>"39177"</f>
        <v>39177</v>
      </c>
      <c r="C45051" s="2">
        <v>0</v>
      </c>
      <c r="D45051" s="2">
        <v>1.50570889527644E-6</v>
      </c>
      <c r="E45051" s="2">
        <v>0</v>
      </c>
      <c r="F45051" s="2">
        <v>9.8681749974786797E-8</v>
      </c>
    </row>
    <row r="45052" spans="1:6" x14ac:dyDescent="0.25">
      <c r="A45052" s="1" t="str">
        <f t="shared" si="1507"/>
        <v>99999</v>
      </c>
      <c r="B45052" s="1" t="str">
        <f>"62622"</f>
        <v>62622</v>
      </c>
      <c r="C45052" s="2">
        <v>0</v>
      </c>
      <c r="D45052" s="2">
        <v>1.50570889527644E-6</v>
      </c>
      <c r="E45052" s="2">
        <v>0</v>
      </c>
      <c r="F45052" s="2">
        <v>9.8681749974786797E-8</v>
      </c>
    </row>
    <row r="45053" spans="1:6" x14ac:dyDescent="0.25">
      <c r="A45053" s="1" t="str">
        <f t="shared" si="1507"/>
        <v>99999</v>
      </c>
      <c r="B45053" s="1" t="str">
        <f>"99750"</f>
        <v>99750</v>
      </c>
      <c r="C45053" s="2">
        <v>0</v>
      </c>
      <c r="D45053" s="2">
        <v>0</v>
      </c>
      <c r="E45053" s="2">
        <v>4.3010567696482999E-6</v>
      </c>
      <c r="F45053" s="2">
        <v>9.8681749974786797E-8</v>
      </c>
    </row>
    <row r="45054" spans="1:6" x14ac:dyDescent="0.25">
      <c r="A45054" s="1" t="str">
        <f t="shared" si="1507"/>
        <v>99999</v>
      </c>
      <c r="B45054" s="1" t="str">
        <f>"43752"</f>
        <v>43752</v>
      </c>
      <c r="C45054" s="2">
        <v>0</v>
      </c>
      <c r="D45054" s="2">
        <v>1.50570889527644E-6</v>
      </c>
      <c r="E45054" s="2">
        <v>0</v>
      </c>
      <c r="F45054" s="2">
        <v>9.8681749974786797E-8</v>
      </c>
    </row>
    <row r="45055" spans="1:6" x14ac:dyDescent="0.25">
      <c r="A45055" s="1" t="str">
        <f t="shared" si="1507"/>
        <v>99999</v>
      </c>
      <c r="B45055" s="1" t="str">
        <f>"71279"</f>
        <v>71279</v>
      </c>
      <c r="C45055" s="2">
        <v>0</v>
      </c>
      <c r="D45055" s="2">
        <v>0</v>
      </c>
      <c r="E45055" s="2">
        <v>4.3010567696482999E-6</v>
      </c>
      <c r="F45055" s="2">
        <v>9.8681749974786797E-8</v>
      </c>
    </row>
    <row r="45056" spans="1:6" x14ac:dyDescent="0.25">
      <c r="A45056" s="1" t="str">
        <f t="shared" si="1507"/>
        <v>99999</v>
      </c>
      <c r="B45056" s="1" t="str">
        <f>"99671"</f>
        <v>99671</v>
      </c>
      <c r="C45056" s="2">
        <v>0</v>
      </c>
      <c r="D45056" s="2">
        <v>0</v>
      </c>
      <c r="E45056" s="2">
        <v>4.3010567696482999E-6</v>
      </c>
      <c r="F45056" s="2">
        <v>9.8681749974786797E-8</v>
      </c>
    </row>
    <row r="45057" spans="1:6" x14ac:dyDescent="0.25">
      <c r="A45057" s="1" t="str">
        <f t="shared" si="1507"/>
        <v>99999</v>
      </c>
      <c r="B45057" s="1" t="str">
        <f>"30449"</f>
        <v>30449</v>
      </c>
      <c r="C45057" s="2">
        <v>0</v>
      </c>
      <c r="D45057" s="2">
        <v>1.50570889527644E-6</v>
      </c>
      <c r="E45057" s="2">
        <v>0</v>
      </c>
      <c r="F45057" s="2">
        <v>9.8681749974786797E-8</v>
      </c>
    </row>
    <row r="45058" spans="1:6" x14ac:dyDescent="0.25">
      <c r="A45058" s="1" t="str">
        <f t="shared" si="1507"/>
        <v>99999</v>
      </c>
      <c r="B45058" s="1" t="str">
        <f>"35545"</f>
        <v>35545</v>
      </c>
      <c r="C45058" s="2">
        <v>0</v>
      </c>
      <c r="D45058" s="2">
        <v>1.50570889527644E-6</v>
      </c>
      <c r="E45058" s="2">
        <v>0</v>
      </c>
      <c r="F45058" s="2">
        <v>9.8681749974786797E-8</v>
      </c>
    </row>
    <row r="45059" spans="1:6" x14ac:dyDescent="0.25">
      <c r="A45059" s="1" t="str">
        <f t="shared" si="1507"/>
        <v>99999</v>
      </c>
      <c r="B45059" s="1" t="str">
        <f>"23899"</f>
        <v>23899</v>
      </c>
      <c r="C45059" s="2">
        <v>0</v>
      </c>
      <c r="D45059" s="2">
        <v>0</v>
      </c>
      <c r="E45059" s="2">
        <v>4.3010567696482999E-6</v>
      </c>
      <c r="F45059" s="2">
        <v>9.8681749974786797E-8</v>
      </c>
    </row>
    <row r="45060" spans="1:6" x14ac:dyDescent="0.25">
      <c r="A45060" s="1" t="str">
        <f t="shared" si="1507"/>
        <v>99999</v>
      </c>
      <c r="B45060" s="1" t="str">
        <f>"46069"</f>
        <v>46069</v>
      </c>
      <c r="C45060" s="2">
        <v>3.2478267167524802E-7</v>
      </c>
      <c r="D45060" s="2">
        <v>0</v>
      </c>
      <c r="E45060" s="2">
        <v>0</v>
      </c>
      <c r="F45060" s="2">
        <v>2.9604524992435999E-7</v>
      </c>
    </row>
    <row r="45061" spans="1:6" x14ac:dyDescent="0.25">
      <c r="A45061" s="1" t="str">
        <f t="shared" si="1507"/>
        <v>99999</v>
      </c>
      <c r="B45061" s="1" t="str">
        <f>"83635"</f>
        <v>83635</v>
      </c>
      <c r="C45061" s="2">
        <v>0</v>
      </c>
      <c r="D45061" s="2">
        <v>0</v>
      </c>
      <c r="E45061" s="2">
        <v>4.3010567696482999E-6</v>
      </c>
      <c r="F45061" s="2">
        <v>9.8681749974786797E-8</v>
      </c>
    </row>
    <row r="45062" spans="1:6" x14ac:dyDescent="0.25">
      <c r="A45062" s="1" t="str">
        <f t="shared" ref="A45062:A45125" si="1508">"99999"</f>
        <v>99999</v>
      </c>
      <c r="B45062" s="1" t="str">
        <f>"28332"</f>
        <v>28332</v>
      </c>
      <c r="C45062" s="2">
        <v>0</v>
      </c>
      <c r="D45062" s="2">
        <v>0</v>
      </c>
      <c r="E45062" s="2">
        <v>4.3010567696482999E-6</v>
      </c>
      <c r="F45062" s="2">
        <v>9.8681749974786797E-8</v>
      </c>
    </row>
    <row r="45063" spans="1:6" x14ac:dyDescent="0.25">
      <c r="A45063" s="1" t="str">
        <f t="shared" si="1508"/>
        <v>99999</v>
      </c>
      <c r="B45063" s="1" t="str">
        <f>"55772"</f>
        <v>55772</v>
      </c>
      <c r="C45063" s="2">
        <v>0</v>
      </c>
      <c r="D45063" s="2">
        <v>1.50570889527644E-6</v>
      </c>
      <c r="E45063" s="2">
        <v>0</v>
      </c>
      <c r="F45063" s="2">
        <v>9.8681749974786797E-8</v>
      </c>
    </row>
    <row r="45064" spans="1:6" x14ac:dyDescent="0.25">
      <c r="A45064" s="1" t="str">
        <f t="shared" si="1508"/>
        <v>99999</v>
      </c>
      <c r="B45064" s="1" t="str">
        <f>"83327"</f>
        <v>83327</v>
      </c>
      <c r="C45064" s="2">
        <v>1.08260890558416E-7</v>
      </c>
      <c r="D45064" s="2">
        <v>0</v>
      </c>
      <c r="E45064" s="2">
        <v>0</v>
      </c>
      <c r="F45064" s="2">
        <v>9.8681749974786797E-8</v>
      </c>
    </row>
    <row r="45065" spans="1:6" x14ac:dyDescent="0.25">
      <c r="A45065" s="1" t="str">
        <f t="shared" si="1508"/>
        <v>99999</v>
      </c>
      <c r="B45065" s="1" t="str">
        <f>"99689"</f>
        <v>99689</v>
      </c>
      <c r="C45065" s="2">
        <v>0</v>
      </c>
      <c r="D45065" s="2">
        <v>0</v>
      </c>
      <c r="E45065" s="2">
        <v>4.3010567696482999E-6</v>
      </c>
      <c r="F45065" s="2">
        <v>9.8681749974786797E-8</v>
      </c>
    </row>
    <row r="45066" spans="1:6" x14ac:dyDescent="0.25">
      <c r="A45066" s="1" t="str">
        <f t="shared" si="1508"/>
        <v>99999</v>
      </c>
      <c r="B45066" s="1" t="str">
        <f>"40962"</f>
        <v>40962</v>
      </c>
      <c r="C45066" s="2">
        <v>3.2478267167524802E-7</v>
      </c>
      <c r="D45066" s="2">
        <v>0</v>
      </c>
      <c r="E45066" s="2">
        <v>0</v>
      </c>
      <c r="F45066" s="2">
        <v>2.9604524992435999E-7</v>
      </c>
    </row>
    <row r="45067" spans="1:6" x14ac:dyDescent="0.25">
      <c r="A45067" s="1" t="str">
        <f t="shared" si="1508"/>
        <v>99999</v>
      </c>
      <c r="B45067" s="1" t="str">
        <f>"05357"</f>
        <v>05357</v>
      </c>
      <c r="C45067" s="2">
        <v>0</v>
      </c>
      <c r="D45067" s="2">
        <v>0</v>
      </c>
      <c r="E45067" s="2">
        <v>4.3010567696482999E-6</v>
      </c>
      <c r="F45067" s="2">
        <v>9.8681749974786797E-8</v>
      </c>
    </row>
    <row r="45068" spans="1:6" x14ac:dyDescent="0.25">
      <c r="A45068" s="1" t="str">
        <f t="shared" si="1508"/>
        <v>99999</v>
      </c>
      <c r="B45068" s="1" t="str">
        <f>"27242"</f>
        <v>27242</v>
      </c>
      <c r="C45068" s="2">
        <v>0</v>
      </c>
      <c r="D45068" s="2">
        <v>1.50570889527644E-6</v>
      </c>
      <c r="E45068" s="2">
        <v>0</v>
      </c>
      <c r="F45068" s="2">
        <v>9.8681749974786797E-8</v>
      </c>
    </row>
    <row r="45069" spans="1:6" x14ac:dyDescent="0.25">
      <c r="A45069" s="1" t="str">
        <f t="shared" si="1508"/>
        <v>99999</v>
      </c>
      <c r="B45069" s="1" t="str">
        <f>"32692"</f>
        <v>32692</v>
      </c>
      <c r="C45069" s="2">
        <v>0</v>
      </c>
      <c r="D45069" s="2">
        <v>1.50570889527644E-6</v>
      </c>
      <c r="E45069" s="2">
        <v>0</v>
      </c>
      <c r="F45069" s="2">
        <v>9.8681749974786797E-8</v>
      </c>
    </row>
    <row r="45070" spans="1:6" x14ac:dyDescent="0.25">
      <c r="A45070" s="1" t="str">
        <f t="shared" si="1508"/>
        <v>99999</v>
      </c>
      <c r="B45070" s="1" t="str">
        <f>"99820"</f>
        <v>99820</v>
      </c>
      <c r="C45070" s="2">
        <v>0</v>
      </c>
      <c r="D45070" s="2">
        <v>0</v>
      </c>
      <c r="E45070" s="2">
        <v>4.3010567696482999E-6</v>
      </c>
      <c r="F45070" s="2">
        <v>9.8681749974786797E-8</v>
      </c>
    </row>
    <row r="45071" spans="1:6" x14ac:dyDescent="0.25">
      <c r="A45071" s="1" t="str">
        <f t="shared" si="1508"/>
        <v>99999</v>
      </c>
      <c r="B45071" s="1" t="str">
        <f>"46936"</f>
        <v>46936</v>
      </c>
      <c r="C45071" s="2">
        <v>3.2478267167524802E-7</v>
      </c>
      <c r="D45071" s="2">
        <v>0</v>
      </c>
      <c r="E45071" s="2">
        <v>0</v>
      </c>
      <c r="F45071" s="2">
        <v>2.9604524992435999E-7</v>
      </c>
    </row>
    <row r="45072" spans="1:6" x14ac:dyDescent="0.25">
      <c r="A45072" s="1" t="str">
        <f t="shared" si="1508"/>
        <v>99999</v>
      </c>
      <c r="B45072" s="1" t="str">
        <f>"95248"</f>
        <v>95248</v>
      </c>
      <c r="C45072" s="2">
        <v>0</v>
      </c>
      <c r="D45072" s="2">
        <v>0</v>
      </c>
      <c r="E45072" s="2">
        <v>4.3010567696482999E-6</v>
      </c>
      <c r="F45072" s="2">
        <v>9.8681749974786797E-8</v>
      </c>
    </row>
    <row r="45073" spans="1:6" x14ac:dyDescent="0.25">
      <c r="A45073" s="1" t="str">
        <f t="shared" si="1508"/>
        <v>99999</v>
      </c>
      <c r="B45073" s="1" t="str">
        <f>"99836"</f>
        <v>99836</v>
      </c>
      <c r="C45073" s="2">
        <v>0</v>
      </c>
      <c r="D45073" s="2">
        <v>0</v>
      </c>
      <c r="E45073" s="2">
        <v>4.3010567696482999E-6</v>
      </c>
      <c r="F45073" s="2">
        <v>9.8681749974786797E-8</v>
      </c>
    </row>
    <row r="45074" spans="1:6" x14ac:dyDescent="0.25">
      <c r="A45074" s="1" t="str">
        <f t="shared" si="1508"/>
        <v>99999</v>
      </c>
      <c r="B45074" s="1" t="str">
        <f>"59066"</f>
        <v>59066</v>
      </c>
      <c r="C45074" s="2">
        <v>1.08260890558416E-7</v>
      </c>
      <c r="D45074" s="2">
        <v>0</v>
      </c>
      <c r="E45074" s="2">
        <v>4.3010567696482999E-6</v>
      </c>
      <c r="F45074" s="2">
        <v>1.9736349994957301E-7</v>
      </c>
    </row>
    <row r="45075" spans="1:6" x14ac:dyDescent="0.25">
      <c r="A45075" s="1" t="str">
        <f t="shared" si="1508"/>
        <v>99999</v>
      </c>
      <c r="B45075" s="1" t="str">
        <f>"99789"</f>
        <v>99789</v>
      </c>
      <c r="C45075" s="2">
        <v>0</v>
      </c>
      <c r="D45075" s="2">
        <v>0</v>
      </c>
      <c r="E45075" s="2">
        <v>4.3010567696482999E-6</v>
      </c>
      <c r="F45075" s="2">
        <v>9.8681749974786797E-8</v>
      </c>
    </row>
    <row r="45076" spans="1:6" x14ac:dyDescent="0.25">
      <c r="A45076" s="1" t="str">
        <f t="shared" si="1508"/>
        <v>99999</v>
      </c>
      <c r="B45076" s="1" t="str">
        <f>"62665"</f>
        <v>62665</v>
      </c>
      <c r="C45076" s="2">
        <v>1.08260890558416E-7</v>
      </c>
      <c r="D45076" s="2">
        <v>0</v>
      </c>
      <c r="E45076" s="2">
        <v>0</v>
      </c>
      <c r="F45076" s="2">
        <v>9.8681749974786797E-8</v>
      </c>
    </row>
    <row r="45077" spans="1:6" x14ac:dyDescent="0.25">
      <c r="A45077" s="1" t="str">
        <f t="shared" si="1508"/>
        <v>99999</v>
      </c>
      <c r="B45077" s="1" t="str">
        <f>"64868"</f>
        <v>64868</v>
      </c>
      <c r="C45077" s="2">
        <v>0</v>
      </c>
      <c r="D45077" s="2">
        <v>0</v>
      </c>
      <c r="E45077" s="2">
        <v>4.3010567696482999E-6</v>
      </c>
      <c r="F45077" s="2">
        <v>9.8681749974786797E-8</v>
      </c>
    </row>
    <row r="45078" spans="1:6" x14ac:dyDescent="0.25">
      <c r="A45078" s="1" t="str">
        <f t="shared" si="1508"/>
        <v>99999</v>
      </c>
      <c r="B45078" s="1" t="str">
        <f>"68835"</f>
        <v>68835</v>
      </c>
      <c r="C45078" s="2">
        <v>1.08260890558416E-7</v>
      </c>
      <c r="D45078" s="2">
        <v>0</v>
      </c>
      <c r="E45078" s="2">
        <v>0</v>
      </c>
      <c r="F45078" s="2">
        <v>9.8681749974786797E-8</v>
      </c>
    </row>
    <row r="45079" spans="1:6" x14ac:dyDescent="0.25">
      <c r="A45079" s="1" t="str">
        <f t="shared" si="1508"/>
        <v>99999</v>
      </c>
      <c r="B45079" s="1" t="str">
        <f>"41040"</f>
        <v>41040</v>
      </c>
      <c r="C45079" s="2">
        <v>1.08260890558416E-7</v>
      </c>
      <c r="D45079" s="2">
        <v>0</v>
      </c>
      <c r="E45079" s="2">
        <v>0</v>
      </c>
      <c r="F45079" s="2">
        <v>9.8681749974786797E-8</v>
      </c>
    </row>
    <row r="45080" spans="1:6" x14ac:dyDescent="0.25">
      <c r="A45080" s="1" t="str">
        <f t="shared" si="1508"/>
        <v>99999</v>
      </c>
      <c r="B45080" s="1" t="str">
        <f>"39098"</f>
        <v>39098</v>
      </c>
      <c r="C45080" s="2">
        <v>0</v>
      </c>
      <c r="D45080" s="2">
        <v>1.50570889527644E-6</v>
      </c>
      <c r="E45080" s="2">
        <v>0</v>
      </c>
      <c r="F45080" s="2">
        <v>9.8681749974786797E-8</v>
      </c>
    </row>
    <row r="45081" spans="1:6" x14ac:dyDescent="0.25">
      <c r="A45081" s="1" t="str">
        <f t="shared" si="1508"/>
        <v>99999</v>
      </c>
      <c r="B45081" s="1" t="str">
        <f>"40914"</f>
        <v>40914</v>
      </c>
      <c r="C45081" s="2">
        <v>2.3817395922851499E-6</v>
      </c>
      <c r="D45081" s="2">
        <v>0</v>
      </c>
      <c r="E45081" s="2">
        <v>0</v>
      </c>
      <c r="F45081" s="2">
        <v>2.1709984994452998E-6</v>
      </c>
    </row>
    <row r="45082" spans="1:6" x14ac:dyDescent="0.25">
      <c r="A45082" s="1" t="str">
        <f t="shared" si="1508"/>
        <v>99999</v>
      </c>
      <c r="B45082" s="1" t="str">
        <f>"46931"</f>
        <v>46931</v>
      </c>
      <c r="C45082" s="2">
        <v>1.08260890558416E-7</v>
      </c>
      <c r="D45082" s="2">
        <v>0</v>
      </c>
      <c r="E45082" s="2">
        <v>1.29031703089449E-5</v>
      </c>
      <c r="F45082" s="2">
        <v>3.9472699989914697E-7</v>
      </c>
    </row>
    <row r="45083" spans="1:6" x14ac:dyDescent="0.25">
      <c r="A45083" s="1" t="str">
        <f t="shared" si="1508"/>
        <v>99999</v>
      </c>
      <c r="B45083" s="1" t="str">
        <f>"40847"</f>
        <v>40847</v>
      </c>
      <c r="C45083" s="2">
        <v>0</v>
      </c>
      <c r="D45083" s="2">
        <v>0</v>
      </c>
      <c r="E45083" s="2">
        <v>4.3010567696482999E-6</v>
      </c>
      <c r="F45083" s="2">
        <v>9.8681749974786797E-8</v>
      </c>
    </row>
    <row r="45084" spans="1:6" x14ac:dyDescent="0.25">
      <c r="A45084" s="1" t="str">
        <f t="shared" si="1508"/>
        <v>99999</v>
      </c>
      <c r="B45084" s="1" t="str">
        <f>"65767"</f>
        <v>65767</v>
      </c>
      <c r="C45084" s="2">
        <v>1.08260890558416E-7</v>
      </c>
      <c r="D45084" s="2">
        <v>0</v>
      </c>
      <c r="E45084" s="2">
        <v>0</v>
      </c>
      <c r="F45084" s="2">
        <v>9.8681749974786797E-8</v>
      </c>
    </row>
    <row r="45085" spans="1:6" x14ac:dyDescent="0.25">
      <c r="A45085" s="1" t="str">
        <f t="shared" si="1508"/>
        <v>99999</v>
      </c>
      <c r="B45085" s="1" t="str">
        <f>"67842"</f>
        <v>67842</v>
      </c>
      <c r="C45085" s="2">
        <v>6.49565343350497E-7</v>
      </c>
      <c r="D45085" s="2">
        <v>0</v>
      </c>
      <c r="E45085" s="2">
        <v>0</v>
      </c>
      <c r="F45085" s="2">
        <v>5.9209049984871999E-7</v>
      </c>
    </row>
    <row r="45086" spans="1:6" x14ac:dyDescent="0.25">
      <c r="A45086" s="1" t="str">
        <f t="shared" si="1508"/>
        <v>99999</v>
      </c>
      <c r="B45086" s="1" t="str">
        <f>"79526"</f>
        <v>79526</v>
      </c>
      <c r="C45086" s="2">
        <v>1.1908697961425701E-6</v>
      </c>
      <c r="D45086" s="2">
        <v>0</v>
      </c>
      <c r="E45086" s="2">
        <v>0</v>
      </c>
      <c r="F45086" s="2">
        <v>1.0854992497226499E-6</v>
      </c>
    </row>
    <row r="45087" spans="1:6" x14ac:dyDescent="0.25">
      <c r="A45087" s="1" t="str">
        <f t="shared" si="1508"/>
        <v>99999</v>
      </c>
      <c r="B45087" s="1" t="str">
        <f>"99740"</f>
        <v>99740</v>
      </c>
      <c r="C45087" s="2">
        <v>0</v>
      </c>
      <c r="D45087" s="2">
        <v>0</v>
      </c>
      <c r="E45087" s="2">
        <v>4.3010567696482999E-6</v>
      </c>
      <c r="F45087" s="2">
        <v>9.8681749974786797E-8</v>
      </c>
    </row>
    <row r="45088" spans="1:6" x14ac:dyDescent="0.25">
      <c r="A45088" s="1" t="str">
        <f t="shared" si="1508"/>
        <v>99999</v>
      </c>
      <c r="B45088" s="1" t="str">
        <f>"65623"</f>
        <v>65623</v>
      </c>
      <c r="C45088" s="2">
        <v>0</v>
      </c>
      <c r="D45088" s="2">
        <v>0</v>
      </c>
      <c r="E45088" s="2">
        <v>8.6021135392965999E-6</v>
      </c>
      <c r="F45088" s="2">
        <v>1.9736349994957301E-7</v>
      </c>
    </row>
    <row r="45089" spans="1:6" x14ac:dyDescent="0.25">
      <c r="A45089" s="1" t="str">
        <f t="shared" si="1508"/>
        <v>99999</v>
      </c>
      <c r="B45089" s="1" t="str">
        <f>"71440"</f>
        <v>71440</v>
      </c>
      <c r="C45089" s="2">
        <v>0</v>
      </c>
      <c r="D45089" s="2">
        <v>0</v>
      </c>
      <c r="E45089" s="2">
        <v>4.3010567696482999E-6</v>
      </c>
      <c r="F45089" s="2">
        <v>9.8681749974786797E-8</v>
      </c>
    </row>
    <row r="45090" spans="1:6" x14ac:dyDescent="0.25">
      <c r="A45090" s="1" t="str">
        <f t="shared" si="1508"/>
        <v>99999</v>
      </c>
      <c r="B45090" s="1" t="str">
        <f>"47683"</f>
        <v>47683</v>
      </c>
      <c r="C45090" s="2">
        <v>0</v>
      </c>
      <c r="D45090" s="2">
        <v>0</v>
      </c>
      <c r="E45090" s="2">
        <v>4.3010567696482999E-6</v>
      </c>
      <c r="F45090" s="2">
        <v>9.8681749974786797E-8</v>
      </c>
    </row>
    <row r="45091" spans="1:6" x14ac:dyDescent="0.25">
      <c r="A45091" s="1" t="str">
        <f t="shared" si="1508"/>
        <v>99999</v>
      </c>
      <c r="B45091" s="1" t="str">
        <f>"47019"</f>
        <v>47019</v>
      </c>
      <c r="C45091" s="2">
        <v>0</v>
      </c>
      <c r="D45091" s="2">
        <v>0</v>
      </c>
      <c r="E45091" s="2">
        <v>4.3010567696482999E-6</v>
      </c>
      <c r="F45091" s="2">
        <v>9.8681749974786797E-8</v>
      </c>
    </row>
    <row r="45092" spans="1:6" x14ac:dyDescent="0.25">
      <c r="A45092" s="1" t="str">
        <f t="shared" si="1508"/>
        <v>99999</v>
      </c>
      <c r="B45092" s="1" t="str">
        <f>"05445"</f>
        <v>05445</v>
      </c>
      <c r="C45092" s="2">
        <v>5.4130445279207995E-7</v>
      </c>
      <c r="D45092" s="2">
        <v>1.50570889527644E-6</v>
      </c>
      <c r="E45092" s="2">
        <v>0</v>
      </c>
      <c r="F45092" s="2">
        <v>5.9209049984871999E-7</v>
      </c>
    </row>
    <row r="45093" spans="1:6" x14ac:dyDescent="0.25">
      <c r="A45093" s="1" t="str">
        <f t="shared" si="1508"/>
        <v>99999</v>
      </c>
      <c r="B45093" s="1" t="str">
        <f>"71353"</f>
        <v>71353</v>
      </c>
      <c r="C45093" s="2">
        <v>3.2478267167524802E-7</v>
      </c>
      <c r="D45093" s="2">
        <v>0</v>
      </c>
      <c r="E45093" s="2">
        <v>0</v>
      </c>
      <c r="F45093" s="2">
        <v>2.9604524992435999E-7</v>
      </c>
    </row>
    <row r="45094" spans="1:6" x14ac:dyDescent="0.25">
      <c r="A45094" s="1" t="str">
        <f t="shared" si="1508"/>
        <v>99999</v>
      </c>
      <c r="B45094" s="1" t="str">
        <f>"16220"</f>
        <v>16220</v>
      </c>
      <c r="C45094" s="2">
        <v>0</v>
      </c>
      <c r="D45094" s="2">
        <v>0</v>
      </c>
      <c r="E45094" s="2">
        <v>1.72042270785932E-5</v>
      </c>
      <c r="F45094" s="2">
        <v>3.9472699989914697E-7</v>
      </c>
    </row>
    <row r="45095" spans="1:6" x14ac:dyDescent="0.25">
      <c r="A45095" s="1" t="str">
        <f t="shared" si="1508"/>
        <v>99999</v>
      </c>
      <c r="B45095" s="1" t="str">
        <f>"82450"</f>
        <v>82450</v>
      </c>
      <c r="C45095" s="2">
        <v>0</v>
      </c>
      <c r="D45095" s="2">
        <v>0</v>
      </c>
      <c r="E45095" s="2">
        <v>8.6021135392965999E-6</v>
      </c>
      <c r="F45095" s="2">
        <v>1.9736349994957301E-7</v>
      </c>
    </row>
    <row r="45096" spans="1:6" x14ac:dyDescent="0.25">
      <c r="A45096" s="1" t="str">
        <f t="shared" si="1508"/>
        <v>99999</v>
      </c>
      <c r="B45096" s="1" t="str">
        <f>"47034"</f>
        <v>47034</v>
      </c>
      <c r="C45096" s="2">
        <v>0</v>
      </c>
      <c r="D45096" s="2">
        <v>1.50570889527644E-6</v>
      </c>
      <c r="E45096" s="2">
        <v>0</v>
      </c>
      <c r="F45096" s="2">
        <v>9.8681749974786797E-8</v>
      </c>
    </row>
    <row r="45097" spans="1:6" x14ac:dyDescent="0.25">
      <c r="A45097" s="1" t="str">
        <f t="shared" si="1508"/>
        <v>99999</v>
      </c>
      <c r="B45097" s="1" t="str">
        <f>"26675"</f>
        <v>26675</v>
      </c>
      <c r="C45097" s="2">
        <v>0</v>
      </c>
      <c r="D45097" s="2">
        <v>1.50570889527644E-6</v>
      </c>
      <c r="E45097" s="2">
        <v>0</v>
      </c>
      <c r="F45097" s="2">
        <v>9.8681749974786797E-8</v>
      </c>
    </row>
    <row r="45098" spans="1:6" x14ac:dyDescent="0.25">
      <c r="A45098" s="1" t="str">
        <f t="shared" si="1508"/>
        <v>99999</v>
      </c>
      <c r="B45098" s="1" t="str">
        <f>"29933"</f>
        <v>29933</v>
      </c>
      <c r="C45098" s="2">
        <v>0</v>
      </c>
      <c r="D45098" s="2">
        <v>1.50570889527644E-6</v>
      </c>
      <c r="E45098" s="2">
        <v>0</v>
      </c>
      <c r="F45098" s="2">
        <v>9.8681749974786797E-8</v>
      </c>
    </row>
    <row r="45099" spans="1:6" x14ac:dyDescent="0.25">
      <c r="A45099" s="1" t="str">
        <f t="shared" si="1508"/>
        <v>99999</v>
      </c>
      <c r="B45099" s="1" t="str">
        <f>"56026"</f>
        <v>56026</v>
      </c>
      <c r="C45099" s="2">
        <v>6.49565343350497E-7</v>
      </c>
      <c r="D45099" s="2">
        <v>0</v>
      </c>
      <c r="E45099" s="2">
        <v>0</v>
      </c>
      <c r="F45099" s="2">
        <v>5.9209049984871999E-7</v>
      </c>
    </row>
    <row r="45100" spans="1:6" x14ac:dyDescent="0.25">
      <c r="A45100" s="1" t="str">
        <f t="shared" si="1508"/>
        <v>99999</v>
      </c>
      <c r="B45100" s="1" t="str">
        <f>"63967"</f>
        <v>63967</v>
      </c>
      <c r="C45100" s="2">
        <v>8.6608712446732898E-7</v>
      </c>
      <c r="D45100" s="2">
        <v>0</v>
      </c>
      <c r="E45100" s="2">
        <v>0</v>
      </c>
      <c r="F45100" s="2">
        <v>7.8945399979829395E-7</v>
      </c>
    </row>
    <row r="45101" spans="1:6" x14ac:dyDescent="0.25">
      <c r="A45101" s="1" t="str">
        <f t="shared" si="1508"/>
        <v>99999</v>
      </c>
      <c r="B45101" s="1" t="str">
        <f>"86502"</f>
        <v>86502</v>
      </c>
      <c r="C45101" s="2">
        <v>1.08260890558416E-7</v>
      </c>
      <c r="D45101" s="2">
        <v>0</v>
      </c>
      <c r="E45101" s="2">
        <v>4.3010567696482999E-6</v>
      </c>
      <c r="F45101" s="2">
        <v>1.9736349994957301E-7</v>
      </c>
    </row>
    <row r="45102" spans="1:6" x14ac:dyDescent="0.25">
      <c r="A45102" s="1" t="str">
        <f t="shared" si="1508"/>
        <v>99999</v>
      </c>
      <c r="B45102" s="1" t="str">
        <f>"99704"</f>
        <v>99704</v>
      </c>
      <c r="C45102" s="2">
        <v>0</v>
      </c>
      <c r="D45102" s="2">
        <v>1.50570889527644E-6</v>
      </c>
      <c r="E45102" s="2">
        <v>4.3010567696482999E-6</v>
      </c>
      <c r="F45102" s="2">
        <v>1.9736349994957301E-7</v>
      </c>
    </row>
    <row r="45103" spans="1:6" x14ac:dyDescent="0.25">
      <c r="A45103" s="1" t="str">
        <f t="shared" si="1508"/>
        <v>99999</v>
      </c>
      <c r="B45103" s="1" t="str">
        <f>"05350"</f>
        <v>05350</v>
      </c>
      <c r="C45103" s="2">
        <v>1.08260890558416E-7</v>
      </c>
      <c r="D45103" s="2">
        <v>0</v>
      </c>
      <c r="E45103" s="2">
        <v>0</v>
      </c>
      <c r="F45103" s="2">
        <v>9.8681749974786797E-8</v>
      </c>
    </row>
    <row r="45104" spans="1:6" x14ac:dyDescent="0.25">
      <c r="A45104" s="1" t="str">
        <f t="shared" si="1508"/>
        <v>99999</v>
      </c>
      <c r="B45104" s="1" t="str">
        <f>"46176"</f>
        <v>46176</v>
      </c>
      <c r="C45104" s="2">
        <v>2.1652178111683201E-7</v>
      </c>
      <c r="D45104" s="2">
        <v>0</v>
      </c>
      <c r="E45104" s="2">
        <v>0</v>
      </c>
      <c r="F45104" s="2">
        <v>1.9736349994957301E-7</v>
      </c>
    </row>
    <row r="45105" spans="1:6" x14ac:dyDescent="0.25">
      <c r="A45105" s="1" t="str">
        <f t="shared" si="1508"/>
        <v>99999</v>
      </c>
      <c r="B45105" s="1" t="str">
        <f>"55321"</f>
        <v>55321</v>
      </c>
      <c r="C45105" s="2">
        <v>6.49565343350497E-7</v>
      </c>
      <c r="D45105" s="2">
        <v>0</v>
      </c>
      <c r="E45105" s="2">
        <v>0</v>
      </c>
      <c r="F45105" s="2">
        <v>5.9209049984871999E-7</v>
      </c>
    </row>
    <row r="45106" spans="1:6" x14ac:dyDescent="0.25">
      <c r="A45106" s="1" t="str">
        <f t="shared" si="1508"/>
        <v>99999</v>
      </c>
      <c r="B45106" s="1" t="str">
        <f>"22501"</f>
        <v>22501</v>
      </c>
      <c r="C45106" s="2">
        <v>0</v>
      </c>
      <c r="D45106" s="2">
        <v>0</v>
      </c>
      <c r="E45106" s="2">
        <v>4.3010567696482999E-6</v>
      </c>
      <c r="F45106" s="2">
        <v>9.8681749974786797E-8</v>
      </c>
    </row>
    <row r="45107" spans="1:6" x14ac:dyDescent="0.25">
      <c r="A45107" s="1" t="str">
        <f t="shared" si="1508"/>
        <v>99999</v>
      </c>
      <c r="B45107" s="1" t="str">
        <f>"66742"</f>
        <v>66742</v>
      </c>
      <c r="C45107" s="2">
        <v>0</v>
      </c>
      <c r="D45107" s="2">
        <v>0</v>
      </c>
      <c r="E45107" s="2">
        <v>4.3010567696482999E-6</v>
      </c>
      <c r="F45107" s="2">
        <v>9.8681749974786797E-8</v>
      </c>
    </row>
    <row r="45108" spans="1:6" x14ac:dyDescent="0.25">
      <c r="A45108" s="1" t="str">
        <f t="shared" si="1508"/>
        <v>99999</v>
      </c>
      <c r="B45108" s="1" t="str">
        <f>"43711"</f>
        <v>43711</v>
      </c>
      <c r="C45108" s="2">
        <v>1.08260890558416E-7</v>
      </c>
      <c r="D45108" s="2">
        <v>1.50570889527644E-6</v>
      </c>
      <c r="E45108" s="2">
        <v>0</v>
      </c>
      <c r="F45108" s="2">
        <v>1.9736349994957301E-7</v>
      </c>
    </row>
    <row r="45109" spans="1:6" x14ac:dyDescent="0.25">
      <c r="A45109" s="1" t="str">
        <f t="shared" si="1508"/>
        <v>99999</v>
      </c>
      <c r="B45109" s="1" t="str">
        <f>"12781"</f>
        <v>12781</v>
      </c>
      <c r="C45109" s="2">
        <v>0</v>
      </c>
      <c r="D45109" s="2">
        <v>0</v>
      </c>
      <c r="E45109" s="2">
        <v>4.3010567696482999E-6</v>
      </c>
      <c r="F45109" s="2">
        <v>9.8681749974786797E-8</v>
      </c>
    </row>
    <row r="45110" spans="1:6" x14ac:dyDescent="0.25">
      <c r="A45110" s="1" t="str">
        <f t="shared" si="1508"/>
        <v>99999</v>
      </c>
      <c r="B45110" s="1" t="str">
        <f>"38745"</f>
        <v>38745</v>
      </c>
      <c r="C45110" s="2">
        <v>0</v>
      </c>
      <c r="D45110" s="2">
        <v>1.50570889527644E-6</v>
      </c>
      <c r="E45110" s="2">
        <v>0</v>
      </c>
      <c r="F45110" s="2">
        <v>9.8681749974786797E-8</v>
      </c>
    </row>
    <row r="45111" spans="1:6" x14ac:dyDescent="0.25">
      <c r="A45111" s="1" t="str">
        <f t="shared" si="1508"/>
        <v>99999</v>
      </c>
      <c r="B45111" s="1" t="str">
        <f>"79024"</f>
        <v>79024</v>
      </c>
      <c r="C45111" s="2">
        <v>1.08260890558416E-7</v>
      </c>
      <c r="D45111" s="2">
        <v>0</v>
      </c>
      <c r="E45111" s="2">
        <v>0</v>
      </c>
      <c r="F45111" s="2">
        <v>9.8681749974786797E-8</v>
      </c>
    </row>
    <row r="45112" spans="1:6" x14ac:dyDescent="0.25">
      <c r="A45112" s="1" t="str">
        <f t="shared" si="1508"/>
        <v>99999</v>
      </c>
      <c r="B45112" s="1" t="str">
        <f>"96126"</f>
        <v>96126</v>
      </c>
      <c r="C45112" s="2">
        <v>0</v>
      </c>
      <c r="D45112" s="2">
        <v>0</v>
      </c>
      <c r="E45112" s="2">
        <v>8.6021135392965999E-6</v>
      </c>
      <c r="F45112" s="2">
        <v>1.9736349994957301E-7</v>
      </c>
    </row>
    <row r="45113" spans="1:6" x14ac:dyDescent="0.25">
      <c r="A45113" s="1" t="str">
        <f t="shared" si="1508"/>
        <v>99999</v>
      </c>
      <c r="B45113" s="1" t="str">
        <f>"79053"</f>
        <v>79053</v>
      </c>
      <c r="C45113" s="2">
        <v>0</v>
      </c>
      <c r="D45113" s="2">
        <v>1.50570889527644E-6</v>
      </c>
      <c r="E45113" s="2">
        <v>4.3010567696482999E-6</v>
      </c>
      <c r="F45113" s="2">
        <v>1.9736349994957301E-7</v>
      </c>
    </row>
    <row r="45114" spans="1:6" x14ac:dyDescent="0.25">
      <c r="A45114" s="1" t="str">
        <f t="shared" si="1508"/>
        <v>99999</v>
      </c>
      <c r="B45114" s="1" t="str">
        <f>"22558"</f>
        <v>22558</v>
      </c>
      <c r="C45114" s="2">
        <v>0</v>
      </c>
      <c r="D45114" s="2">
        <v>1.50570889527644E-6</v>
      </c>
      <c r="E45114" s="2">
        <v>4.3010567696482999E-6</v>
      </c>
      <c r="F45114" s="2">
        <v>1.9736349994957301E-7</v>
      </c>
    </row>
    <row r="45115" spans="1:6" x14ac:dyDescent="0.25">
      <c r="A45115" s="1" t="str">
        <f t="shared" si="1508"/>
        <v>99999</v>
      </c>
      <c r="B45115" s="1" t="str">
        <f>"14029"</f>
        <v>14029</v>
      </c>
      <c r="C45115" s="2">
        <v>0</v>
      </c>
      <c r="D45115" s="2">
        <v>0</v>
      </c>
      <c r="E45115" s="2">
        <v>4.3010567696482999E-6</v>
      </c>
      <c r="F45115" s="2">
        <v>9.8681749974786797E-8</v>
      </c>
    </row>
    <row r="45116" spans="1:6" x14ac:dyDescent="0.25">
      <c r="A45116" s="1" t="str">
        <f t="shared" si="1508"/>
        <v>99999</v>
      </c>
      <c r="B45116" s="1" t="str">
        <f>"72657"</f>
        <v>72657</v>
      </c>
      <c r="C45116" s="2">
        <v>0</v>
      </c>
      <c r="D45116" s="2">
        <v>0</v>
      </c>
      <c r="E45116" s="2">
        <v>4.3010567696482999E-6</v>
      </c>
      <c r="F45116" s="2">
        <v>9.8681749974786797E-8</v>
      </c>
    </row>
    <row r="45117" spans="1:6" x14ac:dyDescent="0.25">
      <c r="A45117" s="1" t="str">
        <f t="shared" si="1508"/>
        <v>99999</v>
      </c>
      <c r="B45117" s="1" t="str">
        <f>"71460"</f>
        <v>71460</v>
      </c>
      <c r="C45117" s="2">
        <v>0</v>
      </c>
      <c r="D45117" s="2">
        <v>0</v>
      </c>
      <c r="E45117" s="2">
        <v>4.3010567696482999E-6</v>
      </c>
      <c r="F45117" s="2">
        <v>9.8681749974786797E-8</v>
      </c>
    </row>
    <row r="45118" spans="1:6" x14ac:dyDescent="0.25">
      <c r="A45118" s="1" t="str">
        <f t="shared" si="1508"/>
        <v>99999</v>
      </c>
      <c r="B45118" s="1" t="str">
        <f>"72028"</f>
        <v>72028</v>
      </c>
      <c r="C45118" s="2">
        <v>0</v>
      </c>
      <c r="D45118" s="2">
        <v>0</v>
      </c>
      <c r="E45118" s="2">
        <v>4.3010567696482999E-6</v>
      </c>
      <c r="F45118" s="2">
        <v>9.8681749974786797E-8</v>
      </c>
    </row>
    <row r="45119" spans="1:6" x14ac:dyDescent="0.25">
      <c r="A45119" s="1" t="str">
        <f t="shared" si="1508"/>
        <v>99999</v>
      </c>
      <c r="B45119" s="1" t="str">
        <f>"29519"</f>
        <v>29519</v>
      </c>
      <c r="C45119" s="2">
        <v>0</v>
      </c>
      <c r="D45119" s="2">
        <v>1.50570889527644E-6</v>
      </c>
      <c r="E45119" s="2">
        <v>0</v>
      </c>
      <c r="F45119" s="2">
        <v>9.8681749974786797E-8</v>
      </c>
    </row>
    <row r="45120" spans="1:6" x14ac:dyDescent="0.25">
      <c r="A45120" s="1" t="str">
        <f t="shared" si="1508"/>
        <v>99999</v>
      </c>
      <c r="B45120" s="1" t="str">
        <f>"46950"</f>
        <v>46950</v>
      </c>
      <c r="C45120" s="2">
        <v>1.0826089055841599E-6</v>
      </c>
      <c r="D45120" s="2">
        <v>1.50570889527644E-6</v>
      </c>
      <c r="E45120" s="2">
        <v>0</v>
      </c>
      <c r="F45120" s="2">
        <v>1.0854992497226499E-6</v>
      </c>
    </row>
    <row r="45121" spans="1:6" x14ac:dyDescent="0.25">
      <c r="A45121" s="1" t="str">
        <f t="shared" si="1508"/>
        <v>99999</v>
      </c>
      <c r="B45121" s="1" t="str">
        <f>"59933"</f>
        <v>59933</v>
      </c>
      <c r="C45121" s="2">
        <v>1.08260890558416E-7</v>
      </c>
      <c r="D45121" s="2">
        <v>0</v>
      </c>
      <c r="E45121" s="2">
        <v>4.3010567696482999E-6</v>
      </c>
      <c r="F45121" s="2">
        <v>1.9736349994957301E-7</v>
      </c>
    </row>
    <row r="45122" spans="1:6" x14ac:dyDescent="0.25">
      <c r="A45122" s="1" t="str">
        <f t="shared" si="1508"/>
        <v>99999</v>
      </c>
      <c r="B45122" s="1" t="str">
        <f>"96093"</f>
        <v>96093</v>
      </c>
      <c r="C45122" s="2">
        <v>0</v>
      </c>
      <c r="D45122" s="2">
        <v>0</v>
      </c>
      <c r="E45122" s="2">
        <v>8.6021135392965999E-6</v>
      </c>
      <c r="F45122" s="2">
        <v>1.9736349994957301E-7</v>
      </c>
    </row>
    <row r="45123" spans="1:6" x14ac:dyDescent="0.25">
      <c r="A45123" s="1" t="str">
        <f t="shared" si="1508"/>
        <v>99999</v>
      </c>
      <c r="B45123" s="1" t="str">
        <f>"29659"</f>
        <v>29659</v>
      </c>
      <c r="C45123" s="2">
        <v>1.08260890558416E-7</v>
      </c>
      <c r="D45123" s="2">
        <v>1.50570889527644E-6</v>
      </c>
      <c r="E45123" s="2">
        <v>8.6021135392965999E-6</v>
      </c>
      <c r="F45123" s="2">
        <v>3.9472699989914697E-7</v>
      </c>
    </row>
    <row r="45124" spans="1:6" x14ac:dyDescent="0.25">
      <c r="A45124" s="1" t="str">
        <f t="shared" si="1508"/>
        <v>99999</v>
      </c>
      <c r="B45124" s="1" t="str">
        <f>"99769"</f>
        <v>99769</v>
      </c>
      <c r="C45124" s="2">
        <v>0</v>
      </c>
      <c r="D45124" s="2">
        <v>0</v>
      </c>
      <c r="E45124" s="2">
        <v>4.3010567696482999E-6</v>
      </c>
      <c r="F45124" s="2">
        <v>9.8681749974786797E-8</v>
      </c>
    </row>
    <row r="45125" spans="1:6" x14ac:dyDescent="0.25">
      <c r="A45125" s="1" t="str">
        <f t="shared" si="1508"/>
        <v>99999</v>
      </c>
      <c r="B45125" s="1" t="str">
        <f>"70651"</f>
        <v>70651</v>
      </c>
      <c r="C45125" s="2">
        <v>1.08260890558416E-7</v>
      </c>
      <c r="D45125" s="2">
        <v>0</v>
      </c>
      <c r="E45125" s="2">
        <v>4.3010567696482999E-6</v>
      </c>
      <c r="F45125" s="2">
        <v>1.9736349994957301E-7</v>
      </c>
    </row>
    <row r="45126" spans="1:6" x14ac:dyDescent="0.25">
      <c r="A45126" s="1" t="str">
        <f t="shared" ref="A45126:A45189" si="1509">"99999"</f>
        <v>99999</v>
      </c>
      <c r="B45126" s="1" t="str">
        <f>"41368"</f>
        <v>41368</v>
      </c>
      <c r="C45126" s="2">
        <v>0</v>
      </c>
      <c r="D45126" s="2">
        <v>0</v>
      </c>
      <c r="E45126" s="2">
        <v>4.3010567696482999E-6</v>
      </c>
      <c r="F45126" s="2">
        <v>9.8681749974786797E-8</v>
      </c>
    </row>
    <row r="45127" spans="1:6" x14ac:dyDescent="0.25">
      <c r="A45127" s="1" t="str">
        <f t="shared" si="1509"/>
        <v>99999</v>
      </c>
      <c r="B45127" s="1" t="str">
        <f>"65720"</f>
        <v>65720</v>
      </c>
      <c r="C45127" s="2">
        <v>3.2478267167524802E-7</v>
      </c>
      <c r="D45127" s="2">
        <v>0</v>
      </c>
      <c r="E45127" s="2">
        <v>0</v>
      </c>
      <c r="F45127" s="2">
        <v>2.9604524992435999E-7</v>
      </c>
    </row>
    <row r="45128" spans="1:6" x14ac:dyDescent="0.25">
      <c r="A45128" s="1" t="str">
        <f t="shared" si="1509"/>
        <v>99999</v>
      </c>
      <c r="B45128" s="1" t="str">
        <f>"45330"</f>
        <v>45330</v>
      </c>
      <c r="C45128" s="2">
        <v>0</v>
      </c>
      <c r="D45128" s="2">
        <v>1.50570889527644E-6</v>
      </c>
      <c r="E45128" s="2">
        <v>4.3010567696482999E-6</v>
      </c>
      <c r="F45128" s="2">
        <v>1.9736349994957301E-7</v>
      </c>
    </row>
    <row r="45129" spans="1:6" x14ac:dyDescent="0.25">
      <c r="A45129" s="1" t="str">
        <f t="shared" si="1509"/>
        <v>99999</v>
      </c>
      <c r="B45129" s="1" t="str">
        <f>"49761"</f>
        <v>49761</v>
      </c>
      <c r="C45129" s="2">
        <v>1.08260890558416E-7</v>
      </c>
      <c r="D45129" s="2">
        <v>3.01141779055288E-6</v>
      </c>
      <c r="E45129" s="2">
        <v>0</v>
      </c>
      <c r="F45129" s="2">
        <v>2.9604524992435999E-7</v>
      </c>
    </row>
    <row r="45130" spans="1:6" x14ac:dyDescent="0.25">
      <c r="A45130" s="1" t="str">
        <f t="shared" si="1509"/>
        <v>99999</v>
      </c>
      <c r="B45130" s="1" t="str">
        <f>"49063"</f>
        <v>49063</v>
      </c>
      <c r="C45130" s="2">
        <v>0</v>
      </c>
      <c r="D45130" s="2">
        <v>1.50570889527644E-6</v>
      </c>
      <c r="E45130" s="2">
        <v>0</v>
      </c>
      <c r="F45130" s="2">
        <v>9.8681749974786797E-8</v>
      </c>
    </row>
    <row r="45131" spans="1:6" x14ac:dyDescent="0.25">
      <c r="A45131" s="1" t="str">
        <f t="shared" si="1509"/>
        <v>99999</v>
      </c>
      <c r="B45131" s="1" t="str">
        <f>"12975"</f>
        <v>12975</v>
      </c>
      <c r="C45131" s="2">
        <v>1.08260890558416E-7</v>
      </c>
      <c r="D45131" s="2">
        <v>0</v>
      </c>
      <c r="E45131" s="2">
        <v>4.3010567696482999E-6</v>
      </c>
      <c r="F45131" s="2">
        <v>1.9736349994957301E-7</v>
      </c>
    </row>
    <row r="45132" spans="1:6" x14ac:dyDescent="0.25">
      <c r="A45132" s="1" t="str">
        <f t="shared" si="1509"/>
        <v>99999</v>
      </c>
      <c r="B45132" s="1" t="str">
        <f>"31560"</f>
        <v>31560</v>
      </c>
      <c r="C45132" s="2">
        <v>2.1652178111683201E-7</v>
      </c>
      <c r="D45132" s="2">
        <v>0</v>
      </c>
      <c r="E45132" s="2">
        <v>0</v>
      </c>
      <c r="F45132" s="2">
        <v>1.9736349994957301E-7</v>
      </c>
    </row>
    <row r="45133" spans="1:6" x14ac:dyDescent="0.25">
      <c r="A45133" s="1" t="str">
        <f t="shared" si="1509"/>
        <v>99999</v>
      </c>
      <c r="B45133" s="1" t="str">
        <f>"21609"</f>
        <v>21609</v>
      </c>
      <c r="C45133" s="2">
        <v>0</v>
      </c>
      <c r="D45133" s="2">
        <v>1.50570889527644E-6</v>
      </c>
      <c r="E45133" s="2">
        <v>0</v>
      </c>
      <c r="F45133" s="2">
        <v>9.8681749974786797E-8</v>
      </c>
    </row>
    <row r="45134" spans="1:6" x14ac:dyDescent="0.25">
      <c r="A45134" s="1" t="str">
        <f t="shared" si="1509"/>
        <v>99999</v>
      </c>
      <c r="B45134" s="1" t="str">
        <f>"28607"</f>
        <v>28607</v>
      </c>
      <c r="C45134" s="2">
        <v>5.4130445279207995E-7</v>
      </c>
      <c r="D45134" s="2">
        <v>0</v>
      </c>
      <c r="E45134" s="2">
        <v>0</v>
      </c>
      <c r="F45134" s="2">
        <v>4.9340874987393396E-7</v>
      </c>
    </row>
    <row r="45135" spans="1:6" x14ac:dyDescent="0.25">
      <c r="A45135" s="1" t="str">
        <f t="shared" si="1509"/>
        <v>99999</v>
      </c>
      <c r="B45135" s="1" t="str">
        <f>"74804"</f>
        <v>74804</v>
      </c>
      <c r="C45135" s="2">
        <v>1.08260890558416E-7</v>
      </c>
      <c r="D45135" s="2">
        <v>0</v>
      </c>
      <c r="E45135" s="2">
        <v>0</v>
      </c>
      <c r="F45135" s="2">
        <v>9.8681749974786797E-8</v>
      </c>
    </row>
    <row r="45136" spans="1:6" x14ac:dyDescent="0.25">
      <c r="A45136" s="1" t="str">
        <f t="shared" si="1509"/>
        <v>99999</v>
      </c>
      <c r="B45136" s="1" t="str">
        <f>"83468"</f>
        <v>83468</v>
      </c>
      <c r="C45136" s="2">
        <v>1.08260890558416E-7</v>
      </c>
      <c r="D45136" s="2">
        <v>0</v>
      </c>
      <c r="E45136" s="2">
        <v>4.3010567696482999E-6</v>
      </c>
      <c r="F45136" s="2">
        <v>1.9736349994957301E-7</v>
      </c>
    </row>
    <row r="45137" spans="1:6" x14ac:dyDescent="0.25">
      <c r="A45137" s="1" t="str">
        <f t="shared" si="1509"/>
        <v>99999</v>
      </c>
      <c r="B45137" s="1" t="str">
        <f>"40473"</f>
        <v>40473</v>
      </c>
      <c r="C45137" s="2">
        <v>0</v>
      </c>
      <c r="D45137" s="2">
        <v>1.50570889527644E-6</v>
      </c>
      <c r="E45137" s="2">
        <v>4.3010567696482999E-6</v>
      </c>
      <c r="F45137" s="2">
        <v>1.9736349994957301E-7</v>
      </c>
    </row>
    <row r="45138" spans="1:6" x14ac:dyDescent="0.25">
      <c r="A45138" s="1" t="str">
        <f t="shared" si="1509"/>
        <v>99999</v>
      </c>
      <c r="B45138" s="1" t="str">
        <f>"43330"</f>
        <v>43330</v>
      </c>
      <c r="C45138" s="2">
        <v>0</v>
      </c>
      <c r="D45138" s="2">
        <v>1.50570889527644E-6</v>
      </c>
      <c r="E45138" s="2">
        <v>0</v>
      </c>
      <c r="F45138" s="2">
        <v>9.8681749974786797E-8</v>
      </c>
    </row>
    <row r="45139" spans="1:6" x14ac:dyDescent="0.25">
      <c r="A45139" s="1" t="str">
        <f t="shared" si="1509"/>
        <v>99999</v>
      </c>
      <c r="B45139" s="1" t="str">
        <f>"72465"</f>
        <v>72465</v>
      </c>
      <c r="C45139" s="2">
        <v>1.08260890558416E-7</v>
      </c>
      <c r="D45139" s="2">
        <v>0</v>
      </c>
      <c r="E45139" s="2">
        <v>4.3010567696482999E-6</v>
      </c>
      <c r="F45139" s="2">
        <v>1.9736349994957301E-7</v>
      </c>
    </row>
    <row r="45140" spans="1:6" x14ac:dyDescent="0.25">
      <c r="A45140" s="1" t="str">
        <f t="shared" si="1509"/>
        <v>99999</v>
      </c>
      <c r="B45140" s="1" t="str">
        <f>"12784"</f>
        <v>12784</v>
      </c>
      <c r="C45140" s="2">
        <v>0</v>
      </c>
      <c r="D45140" s="2">
        <v>0</v>
      </c>
      <c r="E45140" s="2">
        <v>4.3010567696482999E-6</v>
      </c>
      <c r="F45140" s="2">
        <v>9.8681749974786797E-8</v>
      </c>
    </row>
    <row r="45141" spans="1:6" x14ac:dyDescent="0.25">
      <c r="A45141" s="1" t="str">
        <f t="shared" si="1509"/>
        <v>99999</v>
      </c>
      <c r="B45141" s="1" t="str">
        <f>"36330"</f>
        <v>36330</v>
      </c>
      <c r="C45141" s="2">
        <v>6.49565343350497E-7</v>
      </c>
      <c r="D45141" s="2">
        <v>0</v>
      </c>
      <c r="E45141" s="2">
        <v>0</v>
      </c>
      <c r="F45141" s="2">
        <v>5.9209049984871999E-7</v>
      </c>
    </row>
    <row r="45142" spans="1:6" x14ac:dyDescent="0.25">
      <c r="A45142" s="1" t="str">
        <f t="shared" si="1509"/>
        <v>99999</v>
      </c>
      <c r="B45142" s="1" t="str">
        <f>"36015"</f>
        <v>36015</v>
      </c>
      <c r="C45142" s="2">
        <v>0</v>
      </c>
      <c r="D45142" s="2">
        <v>1.50570889527644E-6</v>
      </c>
      <c r="E45142" s="2">
        <v>0</v>
      </c>
      <c r="F45142" s="2">
        <v>9.8681749974786797E-8</v>
      </c>
    </row>
    <row r="45143" spans="1:6" x14ac:dyDescent="0.25">
      <c r="A45143" s="1" t="str">
        <f t="shared" si="1509"/>
        <v>99999</v>
      </c>
      <c r="B45143" s="1" t="str">
        <f>"99670"</f>
        <v>99670</v>
      </c>
      <c r="C45143" s="2">
        <v>0</v>
      </c>
      <c r="D45143" s="2">
        <v>0</v>
      </c>
      <c r="E45143" s="2">
        <v>4.3010567696482999E-6</v>
      </c>
      <c r="F45143" s="2">
        <v>9.8681749974786797E-8</v>
      </c>
    </row>
    <row r="45144" spans="1:6" x14ac:dyDescent="0.25">
      <c r="A45144" s="1" t="str">
        <f t="shared" si="1509"/>
        <v>99999</v>
      </c>
      <c r="B45144" s="1" t="str">
        <f>"05665"</f>
        <v>05665</v>
      </c>
      <c r="C45144" s="2">
        <v>0</v>
      </c>
      <c r="D45144" s="2">
        <v>1.50570889527644E-6</v>
      </c>
      <c r="E45144" s="2">
        <v>0</v>
      </c>
      <c r="F45144" s="2">
        <v>9.8681749974786797E-8</v>
      </c>
    </row>
    <row r="45145" spans="1:6" x14ac:dyDescent="0.25">
      <c r="A45145" s="1" t="str">
        <f t="shared" si="1509"/>
        <v>99999</v>
      </c>
      <c r="B45145" s="1" t="str">
        <f>"56741"</f>
        <v>56741</v>
      </c>
      <c r="C45145" s="2">
        <v>0</v>
      </c>
      <c r="D45145" s="2">
        <v>0</v>
      </c>
      <c r="E45145" s="2">
        <v>4.3010567696482999E-6</v>
      </c>
      <c r="F45145" s="2">
        <v>9.8681749974786797E-8</v>
      </c>
    </row>
    <row r="45146" spans="1:6" x14ac:dyDescent="0.25">
      <c r="A45146" s="1" t="str">
        <f t="shared" si="1509"/>
        <v>99999</v>
      </c>
      <c r="B45146" s="1" t="str">
        <f>"58530"</f>
        <v>58530</v>
      </c>
      <c r="C45146" s="2">
        <v>5.4130445279207995E-7</v>
      </c>
      <c r="D45146" s="2">
        <v>0</v>
      </c>
      <c r="E45146" s="2">
        <v>0</v>
      </c>
      <c r="F45146" s="2">
        <v>4.9340874987393396E-7</v>
      </c>
    </row>
    <row r="45147" spans="1:6" x14ac:dyDescent="0.25">
      <c r="A45147" s="1" t="str">
        <f t="shared" si="1509"/>
        <v>99999</v>
      </c>
      <c r="B45147" s="1" t="str">
        <f>"72540"</f>
        <v>72540</v>
      </c>
      <c r="C45147" s="2">
        <v>6.9286969957386301E-6</v>
      </c>
      <c r="D45147" s="2">
        <v>3.01141779055288E-6</v>
      </c>
      <c r="E45147" s="2">
        <v>8.6021135392965999E-6</v>
      </c>
      <c r="F45147" s="2">
        <v>6.7103589982854999E-6</v>
      </c>
    </row>
    <row r="45148" spans="1:6" x14ac:dyDescent="0.25">
      <c r="A45148" s="1" t="str">
        <f t="shared" si="1509"/>
        <v>99999</v>
      </c>
      <c r="B45148" s="1" t="str">
        <f>"42406"</f>
        <v>42406</v>
      </c>
      <c r="C45148" s="2">
        <v>1.7321742489346499E-6</v>
      </c>
      <c r="D45148" s="2">
        <v>0</v>
      </c>
      <c r="E45148" s="2">
        <v>0</v>
      </c>
      <c r="F45148" s="2">
        <v>1.5789079995965801E-6</v>
      </c>
    </row>
    <row r="45149" spans="1:6" x14ac:dyDescent="0.25">
      <c r="A45149" s="1" t="str">
        <f t="shared" si="1509"/>
        <v>99999</v>
      </c>
      <c r="B45149" s="1" t="str">
        <f>"40336"</f>
        <v>40336</v>
      </c>
      <c r="C45149" s="2">
        <v>4.98000096568714E-6</v>
      </c>
      <c r="D45149" s="2">
        <v>0</v>
      </c>
      <c r="E45149" s="2">
        <v>0</v>
      </c>
      <c r="F45149" s="2">
        <v>4.5393604988401904E-6</v>
      </c>
    </row>
    <row r="45150" spans="1:6" x14ac:dyDescent="0.25">
      <c r="A45150" s="1" t="str">
        <f t="shared" si="1509"/>
        <v>99999</v>
      </c>
      <c r="B45150" s="1" t="str">
        <f>"56522"</f>
        <v>56522</v>
      </c>
      <c r="C45150" s="2">
        <v>1.4073915772594101E-6</v>
      </c>
      <c r="D45150" s="2">
        <v>0</v>
      </c>
      <c r="E45150" s="2">
        <v>0</v>
      </c>
      <c r="F45150" s="2">
        <v>1.2828627496722201E-6</v>
      </c>
    </row>
    <row r="45151" spans="1:6" x14ac:dyDescent="0.25">
      <c r="A45151" s="1" t="str">
        <f t="shared" si="1509"/>
        <v>99999</v>
      </c>
      <c r="B45151" s="1" t="str">
        <f>"59728"</f>
        <v>59728</v>
      </c>
      <c r="C45151" s="2">
        <v>2.1652178111683201E-7</v>
      </c>
      <c r="D45151" s="2">
        <v>0</v>
      </c>
      <c r="E45151" s="2">
        <v>4.3010567696482999E-6</v>
      </c>
      <c r="F45151" s="2">
        <v>2.9604524992435999E-7</v>
      </c>
    </row>
    <row r="45152" spans="1:6" x14ac:dyDescent="0.25">
      <c r="A45152" s="1" t="str">
        <f t="shared" si="1509"/>
        <v>99999</v>
      </c>
      <c r="B45152" s="1" t="str">
        <f>"63776"</f>
        <v>63776</v>
      </c>
      <c r="C45152" s="2">
        <v>0</v>
      </c>
      <c r="D45152" s="2">
        <v>0</v>
      </c>
      <c r="E45152" s="2">
        <v>4.3010567696482999E-6</v>
      </c>
      <c r="F45152" s="2">
        <v>9.8681749974786797E-8</v>
      </c>
    </row>
    <row r="45153" spans="1:6" x14ac:dyDescent="0.25">
      <c r="A45153" s="1" t="str">
        <f t="shared" si="1509"/>
        <v>99999</v>
      </c>
      <c r="B45153" s="1" t="str">
        <f>"76449"</f>
        <v>76449</v>
      </c>
      <c r="C45153" s="2">
        <v>5.4130445279207995E-7</v>
      </c>
      <c r="D45153" s="2">
        <v>0</v>
      </c>
      <c r="E45153" s="2">
        <v>0</v>
      </c>
      <c r="F45153" s="2">
        <v>4.9340874987393396E-7</v>
      </c>
    </row>
    <row r="45154" spans="1:6" x14ac:dyDescent="0.25">
      <c r="A45154" s="1" t="str">
        <f t="shared" si="1509"/>
        <v>99999</v>
      </c>
      <c r="B45154" s="1" t="str">
        <f>"99552"</f>
        <v>99552</v>
      </c>
      <c r="C45154" s="2">
        <v>0</v>
      </c>
      <c r="D45154" s="2">
        <v>0</v>
      </c>
      <c r="E45154" s="2">
        <v>4.3010567696482999E-6</v>
      </c>
      <c r="F45154" s="2">
        <v>9.8681749974786797E-8</v>
      </c>
    </row>
    <row r="45155" spans="1:6" x14ac:dyDescent="0.25">
      <c r="A45155" s="1" t="str">
        <f t="shared" si="1509"/>
        <v>99999</v>
      </c>
      <c r="B45155" s="1" t="str">
        <f>"18427"</f>
        <v>18427</v>
      </c>
      <c r="C45155" s="2">
        <v>1.08260890558416E-7</v>
      </c>
      <c r="D45155" s="2">
        <v>1.50570889527644E-6</v>
      </c>
      <c r="E45155" s="2">
        <v>0</v>
      </c>
      <c r="F45155" s="2">
        <v>1.9736349994957301E-7</v>
      </c>
    </row>
    <row r="45156" spans="1:6" x14ac:dyDescent="0.25">
      <c r="A45156" s="1" t="str">
        <f t="shared" si="1509"/>
        <v>99999</v>
      </c>
      <c r="B45156" s="1" t="str">
        <f>"24887"</f>
        <v>24887</v>
      </c>
      <c r="C45156" s="2">
        <v>2.1652178111683201E-7</v>
      </c>
      <c r="D45156" s="2">
        <v>1.50570889527644E-6</v>
      </c>
      <c r="E45156" s="2">
        <v>0</v>
      </c>
      <c r="F45156" s="2">
        <v>2.9604524992435999E-7</v>
      </c>
    </row>
    <row r="45157" spans="1:6" x14ac:dyDescent="0.25">
      <c r="A45157" s="1" t="str">
        <f t="shared" si="1509"/>
        <v>99999</v>
      </c>
      <c r="B45157" s="1" t="str">
        <f>"29111"</f>
        <v>29111</v>
      </c>
      <c r="C45157" s="2">
        <v>4.1139138412198104E-6</v>
      </c>
      <c r="D45157" s="2">
        <v>1.50570889527644E-6</v>
      </c>
      <c r="E45157" s="2">
        <v>0</v>
      </c>
      <c r="F45157" s="2">
        <v>3.8485882490166797E-6</v>
      </c>
    </row>
    <row r="45158" spans="1:6" x14ac:dyDescent="0.25">
      <c r="A45158" s="1" t="str">
        <f t="shared" si="1509"/>
        <v>99999</v>
      </c>
      <c r="B45158" s="1" t="str">
        <f>"43942"</f>
        <v>43942</v>
      </c>
      <c r="C45158" s="2">
        <v>6.1708707618297202E-6</v>
      </c>
      <c r="D45158" s="2">
        <v>1.65627978480408E-5</v>
      </c>
      <c r="E45158" s="2">
        <v>0</v>
      </c>
      <c r="F45158" s="2">
        <v>6.7103589982854999E-6</v>
      </c>
    </row>
    <row r="45159" spans="1:6" x14ac:dyDescent="0.25">
      <c r="A45159" s="1" t="str">
        <f t="shared" si="1509"/>
        <v>99999</v>
      </c>
      <c r="B45159" s="1" t="str">
        <f>"49339"</f>
        <v>49339</v>
      </c>
      <c r="C45159" s="2">
        <v>1.0826089055841599E-6</v>
      </c>
      <c r="D45159" s="2">
        <v>1.50570889527644E-6</v>
      </c>
      <c r="E45159" s="2">
        <v>0</v>
      </c>
      <c r="F45159" s="2">
        <v>1.0854992497226499E-6</v>
      </c>
    </row>
    <row r="45160" spans="1:6" x14ac:dyDescent="0.25">
      <c r="A45160" s="1" t="str">
        <f t="shared" si="1509"/>
        <v>99999</v>
      </c>
      <c r="B45160" s="1" t="str">
        <f>"99921"</f>
        <v>99921</v>
      </c>
      <c r="C45160" s="2">
        <v>0</v>
      </c>
      <c r="D45160" s="2">
        <v>0</v>
      </c>
      <c r="E45160" s="2">
        <v>4.3010567696482999E-6</v>
      </c>
      <c r="F45160" s="2">
        <v>9.8681749974786797E-8</v>
      </c>
    </row>
    <row r="45161" spans="1:6" x14ac:dyDescent="0.25">
      <c r="A45161" s="1" t="str">
        <f t="shared" si="1509"/>
        <v>99999</v>
      </c>
      <c r="B45161" s="1" t="str">
        <f>"24851"</f>
        <v>24851</v>
      </c>
      <c r="C45161" s="2">
        <v>1.08260890558416E-7</v>
      </c>
      <c r="D45161" s="2">
        <v>1.50570889527644E-6</v>
      </c>
      <c r="E45161" s="2">
        <v>0</v>
      </c>
      <c r="F45161" s="2">
        <v>1.9736349994957301E-7</v>
      </c>
    </row>
    <row r="45162" spans="1:6" x14ac:dyDescent="0.25">
      <c r="A45162" s="1" t="str">
        <f t="shared" si="1509"/>
        <v>99999</v>
      </c>
      <c r="B45162" s="1" t="str">
        <f>"42036"</f>
        <v>42036</v>
      </c>
      <c r="C45162" s="2">
        <v>5.4130445279207995E-7</v>
      </c>
      <c r="D45162" s="2">
        <v>0</v>
      </c>
      <c r="E45162" s="2">
        <v>4.3010567696482999E-6</v>
      </c>
      <c r="F45162" s="2">
        <v>5.9209049984871999E-7</v>
      </c>
    </row>
    <row r="45163" spans="1:6" x14ac:dyDescent="0.25">
      <c r="A45163" s="1" t="str">
        <f t="shared" si="1509"/>
        <v>99999</v>
      </c>
      <c r="B45163" s="1" t="str">
        <f>"48415"</f>
        <v>48415</v>
      </c>
      <c r="C45163" s="2">
        <v>6.0626098712712997E-6</v>
      </c>
      <c r="D45163" s="2">
        <v>0</v>
      </c>
      <c r="E45163" s="2">
        <v>0</v>
      </c>
      <c r="F45163" s="2">
        <v>5.52617799858806E-6</v>
      </c>
    </row>
    <row r="45164" spans="1:6" x14ac:dyDescent="0.25">
      <c r="A45164" s="1" t="str">
        <f t="shared" si="1509"/>
        <v>99999</v>
      </c>
      <c r="B45164" s="1" t="str">
        <f>"58052"</f>
        <v>58052</v>
      </c>
      <c r="C45164" s="2">
        <v>1.0826089055841599E-6</v>
      </c>
      <c r="D45164" s="2">
        <v>0</v>
      </c>
      <c r="E45164" s="2">
        <v>0</v>
      </c>
      <c r="F45164" s="2">
        <v>9.8681749974786791E-7</v>
      </c>
    </row>
    <row r="45165" spans="1:6" x14ac:dyDescent="0.25">
      <c r="A45165" s="1" t="str">
        <f t="shared" si="1509"/>
        <v>99999</v>
      </c>
      <c r="B45165" s="1" t="str">
        <f>"65728"</f>
        <v>65728</v>
      </c>
      <c r="C45165" s="2">
        <v>1.0826089055841599E-6</v>
      </c>
      <c r="D45165" s="2">
        <v>0</v>
      </c>
      <c r="E45165" s="2">
        <v>4.3010567696482999E-6</v>
      </c>
      <c r="F45165" s="2">
        <v>1.0854992497226499E-6</v>
      </c>
    </row>
    <row r="45166" spans="1:6" x14ac:dyDescent="0.25">
      <c r="A45166" s="1" t="str">
        <f t="shared" si="1509"/>
        <v>99999</v>
      </c>
      <c r="B45166" s="1" t="str">
        <f>"05658"</f>
        <v>05658</v>
      </c>
      <c r="C45166" s="2">
        <v>6.49565343350497E-7</v>
      </c>
      <c r="D45166" s="2">
        <v>0</v>
      </c>
      <c r="E45166" s="2">
        <v>0</v>
      </c>
      <c r="F45166" s="2">
        <v>5.9209049984871999E-7</v>
      </c>
    </row>
    <row r="45167" spans="1:6" x14ac:dyDescent="0.25">
      <c r="A45167" s="1" t="str">
        <f t="shared" si="1509"/>
        <v>99999</v>
      </c>
      <c r="B45167" s="1" t="str">
        <f>"23341"</f>
        <v>23341</v>
      </c>
      <c r="C45167" s="2">
        <v>0</v>
      </c>
      <c r="D45167" s="2">
        <v>1.50570889527644E-6</v>
      </c>
      <c r="E45167" s="2">
        <v>0</v>
      </c>
      <c r="F45167" s="2">
        <v>9.8681749974786797E-8</v>
      </c>
    </row>
    <row r="45168" spans="1:6" x14ac:dyDescent="0.25">
      <c r="A45168" s="1" t="str">
        <f t="shared" si="1509"/>
        <v>99999</v>
      </c>
      <c r="B45168" s="1" t="str">
        <f>"24476"</f>
        <v>24476</v>
      </c>
      <c r="C45168" s="2">
        <v>2.1652178111683201E-7</v>
      </c>
      <c r="D45168" s="2">
        <v>1.50570889527644E-6</v>
      </c>
      <c r="E45168" s="2">
        <v>0</v>
      </c>
      <c r="F45168" s="2">
        <v>2.9604524992435999E-7</v>
      </c>
    </row>
    <row r="45169" spans="1:6" x14ac:dyDescent="0.25">
      <c r="A45169" s="1" t="str">
        <f t="shared" si="1509"/>
        <v>99999</v>
      </c>
      <c r="B45169" s="1" t="str">
        <f>"41538"</f>
        <v>41538</v>
      </c>
      <c r="C45169" s="2">
        <v>1.4073915772594101E-6</v>
      </c>
      <c r="D45169" s="2">
        <v>1.50570889527644E-6</v>
      </c>
      <c r="E45169" s="2">
        <v>4.3010567696482999E-6</v>
      </c>
      <c r="F45169" s="2">
        <v>1.4802262496218E-6</v>
      </c>
    </row>
    <row r="45170" spans="1:6" x14ac:dyDescent="0.25">
      <c r="A45170" s="1" t="str">
        <f t="shared" si="1509"/>
        <v>99999</v>
      </c>
      <c r="B45170" s="1" t="str">
        <f>"43347"</f>
        <v>43347</v>
      </c>
      <c r="C45170" s="2">
        <v>3.3560876073109E-6</v>
      </c>
      <c r="D45170" s="2">
        <v>0</v>
      </c>
      <c r="E45170" s="2">
        <v>0</v>
      </c>
      <c r="F45170" s="2">
        <v>3.0591342492183902E-6</v>
      </c>
    </row>
    <row r="45171" spans="1:6" x14ac:dyDescent="0.25">
      <c r="A45171" s="1" t="str">
        <f t="shared" si="1509"/>
        <v>99999</v>
      </c>
      <c r="B45171" s="1" t="str">
        <f>"46570"</f>
        <v>46570</v>
      </c>
      <c r="C45171" s="2">
        <v>3.5726093884277301E-6</v>
      </c>
      <c r="D45171" s="2">
        <v>3.01141779055288E-6</v>
      </c>
      <c r="E45171" s="2">
        <v>0</v>
      </c>
      <c r="F45171" s="2">
        <v>3.4538612491175301E-6</v>
      </c>
    </row>
    <row r="45172" spans="1:6" x14ac:dyDescent="0.25">
      <c r="A45172" s="1" t="str">
        <f t="shared" si="1509"/>
        <v>99999</v>
      </c>
      <c r="B45172" s="1" t="str">
        <f>"50155"</f>
        <v>50155</v>
      </c>
      <c r="C45172" s="2">
        <v>4.3304356223366401E-7</v>
      </c>
      <c r="D45172" s="2">
        <v>0</v>
      </c>
      <c r="E45172" s="2">
        <v>0</v>
      </c>
      <c r="F45172" s="2">
        <v>3.9472699989914697E-7</v>
      </c>
    </row>
    <row r="45173" spans="1:6" x14ac:dyDescent="0.25">
      <c r="A45173" s="1" t="str">
        <f t="shared" si="1509"/>
        <v>99999</v>
      </c>
      <c r="B45173" s="1" t="str">
        <f>"50465"</f>
        <v>50465</v>
      </c>
      <c r="C45173" s="2">
        <v>0</v>
      </c>
      <c r="D45173" s="2">
        <v>0</v>
      </c>
      <c r="E45173" s="2">
        <v>4.3010567696482999E-6</v>
      </c>
      <c r="F45173" s="2">
        <v>9.8681749974786797E-8</v>
      </c>
    </row>
    <row r="45174" spans="1:6" x14ac:dyDescent="0.25">
      <c r="A45174" s="1" t="str">
        <f t="shared" si="1509"/>
        <v>99999</v>
      </c>
      <c r="B45174" s="1" t="str">
        <f>"82218"</f>
        <v>82218</v>
      </c>
      <c r="C45174" s="2">
        <v>0</v>
      </c>
      <c r="D45174" s="2">
        <v>0</v>
      </c>
      <c r="E45174" s="2">
        <v>8.6021135392965999E-6</v>
      </c>
      <c r="F45174" s="2">
        <v>1.9736349994957301E-7</v>
      </c>
    </row>
    <row r="45175" spans="1:6" x14ac:dyDescent="0.25">
      <c r="A45175" s="1" t="str">
        <f t="shared" si="1509"/>
        <v>99999</v>
      </c>
      <c r="B45175" s="1" t="str">
        <f>"38554"</f>
        <v>38554</v>
      </c>
      <c r="C45175" s="2">
        <v>1.0826089055841599E-6</v>
      </c>
      <c r="D45175" s="2">
        <v>0</v>
      </c>
      <c r="E45175" s="2">
        <v>0</v>
      </c>
      <c r="F45175" s="2">
        <v>9.8681749974786791E-7</v>
      </c>
    </row>
    <row r="45176" spans="1:6" x14ac:dyDescent="0.25">
      <c r="A45176" s="1" t="str">
        <f t="shared" si="1509"/>
        <v>99999</v>
      </c>
      <c r="B45176" s="1" t="str">
        <f>"41413"</f>
        <v>41413</v>
      </c>
      <c r="C45176" s="2">
        <v>0</v>
      </c>
      <c r="D45176" s="2">
        <v>0</v>
      </c>
      <c r="E45176" s="2">
        <v>4.3010567696482999E-6</v>
      </c>
      <c r="F45176" s="2">
        <v>9.8681749974786797E-8</v>
      </c>
    </row>
    <row r="45177" spans="1:6" x14ac:dyDescent="0.25">
      <c r="A45177" s="1" t="str">
        <f t="shared" si="1509"/>
        <v>99999</v>
      </c>
      <c r="B45177" s="1" t="str">
        <f>"45858"</f>
        <v>45858</v>
      </c>
      <c r="C45177" s="2">
        <v>1.4073915772594101E-6</v>
      </c>
      <c r="D45177" s="2">
        <v>0</v>
      </c>
      <c r="E45177" s="2">
        <v>0</v>
      </c>
      <c r="F45177" s="2">
        <v>1.2828627496722201E-6</v>
      </c>
    </row>
    <row r="45178" spans="1:6" x14ac:dyDescent="0.25">
      <c r="A45178" s="1" t="str">
        <f t="shared" si="1509"/>
        <v>99999</v>
      </c>
      <c r="B45178" s="1" t="str">
        <f>"72928"</f>
        <v>72928</v>
      </c>
      <c r="C45178" s="2">
        <v>5.4130445279207995E-7</v>
      </c>
      <c r="D45178" s="2">
        <v>1.50570889527644E-6</v>
      </c>
      <c r="E45178" s="2">
        <v>0</v>
      </c>
      <c r="F45178" s="2">
        <v>5.9209049984871999E-7</v>
      </c>
    </row>
    <row r="45179" spans="1:6" x14ac:dyDescent="0.25">
      <c r="A45179" s="1" t="str">
        <f t="shared" si="1509"/>
        <v>99999</v>
      </c>
      <c r="B45179" s="1" t="str">
        <f>"05861"</f>
        <v>05861</v>
      </c>
      <c r="C45179" s="2">
        <v>7.5782623390891299E-7</v>
      </c>
      <c r="D45179" s="2">
        <v>0</v>
      </c>
      <c r="E45179" s="2">
        <v>0</v>
      </c>
      <c r="F45179" s="2">
        <v>6.9077224982350697E-7</v>
      </c>
    </row>
    <row r="45180" spans="1:6" x14ac:dyDescent="0.25">
      <c r="A45180" s="1" t="str">
        <f t="shared" si="1509"/>
        <v>99999</v>
      </c>
      <c r="B45180" s="1" t="str">
        <f>"24826"</f>
        <v>24826</v>
      </c>
      <c r="C45180" s="2">
        <v>0</v>
      </c>
      <c r="D45180" s="2">
        <v>1.50570889527644E-6</v>
      </c>
      <c r="E45180" s="2">
        <v>0</v>
      </c>
      <c r="F45180" s="2">
        <v>9.8681749974786797E-8</v>
      </c>
    </row>
    <row r="45181" spans="1:6" x14ac:dyDescent="0.25">
      <c r="A45181" s="1" t="str">
        <f t="shared" si="1509"/>
        <v>99999</v>
      </c>
      <c r="B45181" s="1" t="str">
        <f>"45172"</f>
        <v>45172</v>
      </c>
      <c r="C45181" s="2">
        <v>1.08260890558416E-7</v>
      </c>
      <c r="D45181" s="2">
        <v>1.50570889527644E-6</v>
      </c>
      <c r="E45181" s="2">
        <v>0</v>
      </c>
      <c r="F45181" s="2">
        <v>1.9736349994957301E-7</v>
      </c>
    </row>
    <row r="45182" spans="1:6" x14ac:dyDescent="0.25">
      <c r="A45182" s="1" t="str">
        <f t="shared" si="1509"/>
        <v>99999</v>
      </c>
      <c r="B45182" s="1" t="str">
        <f>"54543"</f>
        <v>54543</v>
      </c>
      <c r="C45182" s="2">
        <v>5.4130445279207995E-7</v>
      </c>
      <c r="D45182" s="2">
        <v>0</v>
      </c>
      <c r="E45182" s="2">
        <v>8.6021135392965999E-6</v>
      </c>
      <c r="F45182" s="2">
        <v>6.9077224982350697E-7</v>
      </c>
    </row>
    <row r="45183" spans="1:6" x14ac:dyDescent="0.25">
      <c r="A45183" s="1" t="str">
        <f t="shared" si="1509"/>
        <v>99999</v>
      </c>
      <c r="B45183" s="1" t="str">
        <f>"73011"</f>
        <v>73011</v>
      </c>
      <c r="C45183" s="2">
        <v>1.08260890558416E-7</v>
      </c>
      <c r="D45183" s="2">
        <v>0</v>
      </c>
      <c r="E45183" s="2">
        <v>0</v>
      </c>
      <c r="F45183" s="2">
        <v>9.8681749974786797E-8</v>
      </c>
    </row>
    <row r="45184" spans="1:6" x14ac:dyDescent="0.25">
      <c r="A45184" s="1" t="str">
        <f t="shared" si="1509"/>
        <v>99999</v>
      </c>
      <c r="B45184" s="1" t="str">
        <f>"99553"</f>
        <v>99553</v>
      </c>
      <c r="C45184" s="2">
        <v>0</v>
      </c>
      <c r="D45184" s="2">
        <v>3.01141779055288E-6</v>
      </c>
      <c r="E45184" s="2">
        <v>4.3010567696482999E-6</v>
      </c>
      <c r="F45184" s="2">
        <v>2.9604524992435999E-7</v>
      </c>
    </row>
    <row r="45185" spans="1:6" x14ac:dyDescent="0.25">
      <c r="A45185" s="1" t="str">
        <f t="shared" si="1509"/>
        <v>99999</v>
      </c>
      <c r="B45185" s="1" t="str">
        <f>"99686"</f>
        <v>99686</v>
      </c>
      <c r="C45185" s="2">
        <v>3.0313049356356498E-6</v>
      </c>
      <c r="D45185" s="2">
        <v>7.5285444763821999E-6</v>
      </c>
      <c r="E45185" s="2">
        <v>4.3010567696482999E-6</v>
      </c>
      <c r="F45185" s="2">
        <v>3.35517949914275E-6</v>
      </c>
    </row>
    <row r="45186" spans="1:6" x14ac:dyDescent="0.25">
      <c r="A45186" s="1" t="str">
        <f t="shared" si="1509"/>
        <v>99999</v>
      </c>
      <c r="B45186" s="1" t="str">
        <f>"27840"</f>
        <v>27840</v>
      </c>
      <c r="C45186" s="2">
        <v>4.3304356223366396E-6</v>
      </c>
      <c r="D45186" s="2">
        <v>1.50570889527644E-6</v>
      </c>
      <c r="E45186" s="2">
        <v>4.3010567696482999E-6</v>
      </c>
      <c r="F45186" s="2">
        <v>4.1446334989410403E-6</v>
      </c>
    </row>
    <row r="45187" spans="1:6" x14ac:dyDescent="0.25">
      <c r="A45187" s="1" t="str">
        <f t="shared" si="1509"/>
        <v>99999</v>
      </c>
      <c r="B45187" s="1" t="str">
        <f>"72545"</f>
        <v>72545</v>
      </c>
      <c r="C45187" s="2">
        <v>0</v>
      </c>
      <c r="D45187" s="2">
        <v>1.50570889527644E-6</v>
      </c>
      <c r="E45187" s="2">
        <v>0</v>
      </c>
      <c r="F45187" s="2">
        <v>9.8681749974786797E-8</v>
      </c>
    </row>
    <row r="45188" spans="1:6" x14ac:dyDescent="0.25">
      <c r="A45188" s="1" t="str">
        <f t="shared" si="1509"/>
        <v>99999</v>
      </c>
      <c r="B45188" s="1" t="str">
        <f>"75565"</f>
        <v>75565</v>
      </c>
      <c r="C45188" s="2">
        <v>0</v>
      </c>
      <c r="D45188" s="2">
        <v>0</v>
      </c>
      <c r="E45188" s="2">
        <v>4.3010567696482999E-6</v>
      </c>
      <c r="F45188" s="2">
        <v>9.8681749974786797E-8</v>
      </c>
    </row>
    <row r="45189" spans="1:6" x14ac:dyDescent="0.25">
      <c r="A45189" s="1" t="str">
        <f t="shared" si="1509"/>
        <v>99999</v>
      </c>
      <c r="B45189" s="1" t="str">
        <f>"95984"</f>
        <v>95984</v>
      </c>
      <c r="C45189" s="2">
        <v>0</v>
      </c>
      <c r="D45189" s="2">
        <v>0</v>
      </c>
      <c r="E45189" s="2">
        <v>4.3010567696482999E-6</v>
      </c>
      <c r="F45189" s="2">
        <v>9.8681749974786797E-8</v>
      </c>
    </row>
    <row r="45190" spans="1:6" x14ac:dyDescent="0.25">
      <c r="A45190" s="1" t="str">
        <f t="shared" ref="A45190:A45253" si="1510">"99999"</f>
        <v>99999</v>
      </c>
      <c r="B45190" s="1" t="str">
        <f>"05471"</f>
        <v>05471</v>
      </c>
      <c r="C45190" s="2">
        <v>2.0569569206099001E-6</v>
      </c>
      <c r="D45190" s="2">
        <v>1.50570889527644E-6</v>
      </c>
      <c r="E45190" s="2">
        <v>0</v>
      </c>
      <c r="F45190" s="2">
        <v>1.9736349994957299E-6</v>
      </c>
    </row>
    <row r="45191" spans="1:6" x14ac:dyDescent="0.25">
      <c r="A45191" s="1" t="str">
        <f t="shared" si="1510"/>
        <v>99999</v>
      </c>
      <c r="B45191" s="1" t="str">
        <f>"31067"</f>
        <v>31067</v>
      </c>
      <c r="C45191" s="2">
        <v>0</v>
      </c>
      <c r="D45191" s="2">
        <v>1.50570889527644E-6</v>
      </c>
      <c r="E45191" s="2">
        <v>0</v>
      </c>
      <c r="F45191" s="2">
        <v>9.8681749974786797E-8</v>
      </c>
    </row>
    <row r="45192" spans="1:6" x14ac:dyDescent="0.25">
      <c r="A45192" s="1" t="str">
        <f t="shared" si="1510"/>
        <v>99999</v>
      </c>
      <c r="B45192" s="1" t="str">
        <f>"54816"</f>
        <v>54816</v>
      </c>
      <c r="C45192" s="2">
        <v>0</v>
      </c>
      <c r="D45192" s="2">
        <v>0</v>
      </c>
      <c r="E45192" s="2">
        <v>4.3010567696482999E-6</v>
      </c>
      <c r="F45192" s="2">
        <v>9.8681749974786797E-8</v>
      </c>
    </row>
    <row r="45193" spans="1:6" x14ac:dyDescent="0.25">
      <c r="A45193" s="1" t="str">
        <f t="shared" si="1510"/>
        <v>99999</v>
      </c>
      <c r="B45193" s="1" t="str">
        <f>"54494"</f>
        <v>54494</v>
      </c>
      <c r="C45193" s="2">
        <v>2.1652178111683201E-7</v>
      </c>
      <c r="D45193" s="2">
        <v>0</v>
      </c>
      <c r="E45193" s="2">
        <v>0</v>
      </c>
      <c r="F45193" s="2">
        <v>1.9736349994957301E-7</v>
      </c>
    </row>
    <row r="45194" spans="1:6" x14ac:dyDescent="0.25">
      <c r="A45194" s="1" t="str">
        <f t="shared" si="1510"/>
        <v>99999</v>
      </c>
      <c r="B45194" s="1" t="str">
        <f>"88056"</f>
        <v>88056</v>
      </c>
      <c r="C45194" s="2">
        <v>0</v>
      </c>
      <c r="D45194" s="2">
        <v>1.50570889527644E-6</v>
      </c>
      <c r="E45194" s="2">
        <v>5.1612681235779599E-5</v>
      </c>
      <c r="F45194" s="2">
        <v>1.2828627496722201E-6</v>
      </c>
    </row>
    <row r="45195" spans="1:6" x14ac:dyDescent="0.25">
      <c r="A45195" s="1" t="str">
        <f t="shared" si="1510"/>
        <v>99999</v>
      </c>
      <c r="B45195" s="1" t="str">
        <f>"43337"</f>
        <v>43337</v>
      </c>
      <c r="C45195" s="2">
        <v>4.8717400751287203E-6</v>
      </c>
      <c r="D45195" s="2">
        <v>1.50570889527644E-6</v>
      </c>
      <c r="E45195" s="2">
        <v>0</v>
      </c>
      <c r="F45195" s="2">
        <v>4.5393604988401904E-6</v>
      </c>
    </row>
    <row r="45196" spans="1:6" x14ac:dyDescent="0.25">
      <c r="A45196" s="1" t="str">
        <f t="shared" si="1510"/>
        <v>99999</v>
      </c>
      <c r="B45196" s="1" t="str">
        <f>"51045"</f>
        <v>51045</v>
      </c>
      <c r="C45196" s="2">
        <v>4.4386965128950601E-6</v>
      </c>
      <c r="D45196" s="2">
        <v>7.5285444763821999E-6</v>
      </c>
      <c r="E45196" s="2">
        <v>4.3010567696482999E-6</v>
      </c>
      <c r="F45196" s="2">
        <v>4.6380422488149798E-6</v>
      </c>
    </row>
    <row r="45197" spans="1:6" x14ac:dyDescent="0.25">
      <c r="A45197" s="1" t="str">
        <f t="shared" si="1510"/>
        <v>99999</v>
      </c>
      <c r="B45197" s="1" t="str">
        <f>"59934"</f>
        <v>59934</v>
      </c>
      <c r="C45197" s="2">
        <v>2.1652178111683201E-7</v>
      </c>
      <c r="D45197" s="2">
        <v>0</v>
      </c>
      <c r="E45197" s="2">
        <v>4.3010567696482999E-6</v>
      </c>
      <c r="F45197" s="2">
        <v>2.9604524992435999E-7</v>
      </c>
    </row>
    <row r="45198" spans="1:6" x14ac:dyDescent="0.25">
      <c r="A45198" s="1" t="str">
        <f t="shared" si="1510"/>
        <v>99999</v>
      </c>
      <c r="B45198" s="1" t="str">
        <f>"99545"</f>
        <v>99545</v>
      </c>
      <c r="C45198" s="2">
        <v>0</v>
      </c>
      <c r="D45198" s="2">
        <v>0</v>
      </c>
      <c r="E45198" s="2">
        <v>4.3010567696482999E-6</v>
      </c>
      <c r="F45198" s="2">
        <v>9.8681749974786797E-8</v>
      </c>
    </row>
    <row r="45199" spans="1:6" x14ac:dyDescent="0.25">
      <c r="A45199" s="1" t="str">
        <f t="shared" si="1510"/>
        <v>99999</v>
      </c>
      <c r="B45199" s="1" t="str">
        <f>"47990"</f>
        <v>47990</v>
      </c>
      <c r="C45199" s="2">
        <v>2.0569569206099001E-6</v>
      </c>
      <c r="D45199" s="2">
        <v>0</v>
      </c>
      <c r="E45199" s="2">
        <v>0</v>
      </c>
      <c r="F45199" s="2">
        <v>1.8749532495209401E-6</v>
      </c>
    </row>
    <row r="45200" spans="1:6" x14ac:dyDescent="0.25">
      <c r="A45200" s="1" t="str">
        <f t="shared" si="1510"/>
        <v>99999</v>
      </c>
      <c r="B45200" s="1" t="str">
        <f>"47272"</f>
        <v>47272</v>
      </c>
      <c r="C45200" s="2">
        <v>1.0826089055841599E-6</v>
      </c>
      <c r="D45200" s="2">
        <v>0</v>
      </c>
      <c r="E45200" s="2">
        <v>0</v>
      </c>
      <c r="F45200" s="2">
        <v>9.8681749974786791E-7</v>
      </c>
    </row>
    <row r="45201" spans="1:6" x14ac:dyDescent="0.25">
      <c r="A45201" s="1" t="str">
        <f t="shared" si="1510"/>
        <v>99999</v>
      </c>
      <c r="B45201" s="1" t="str">
        <f>"77950"</f>
        <v>77950</v>
      </c>
      <c r="C45201" s="2">
        <v>2.1652178111683201E-7</v>
      </c>
      <c r="D45201" s="2">
        <v>1.50570889527644E-6</v>
      </c>
      <c r="E45201" s="2">
        <v>0</v>
      </c>
      <c r="F45201" s="2">
        <v>2.9604524992435999E-7</v>
      </c>
    </row>
    <row r="45202" spans="1:6" x14ac:dyDescent="0.25">
      <c r="A45202" s="1" t="str">
        <f t="shared" si="1510"/>
        <v>99999</v>
      </c>
      <c r="B45202" s="1" t="str">
        <f>"98816"</f>
        <v>98816</v>
      </c>
      <c r="C45202" s="2">
        <v>2.8147831545188202E-6</v>
      </c>
      <c r="D45202" s="2">
        <v>0</v>
      </c>
      <c r="E45202" s="2">
        <v>0</v>
      </c>
      <c r="F45202" s="2">
        <v>2.5657254993444499E-6</v>
      </c>
    </row>
    <row r="45203" spans="1:6" x14ac:dyDescent="0.25">
      <c r="A45203" s="1" t="str">
        <f t="shared" si="1510"/>
        <v>99999</v>
      </c>
      <c r="B45203" s="1" t="str">
        <f>"14786"</f>
        <v>14786</v>
      </c>
      <c r="C45203" s="2">
        <v>0</v>
      </c>
      <c r="D45203" s="2">
        <v>0</v>
      </c>
      <c r="E45203" s="2">
        <v>4.3010567696482999E-6</v>
      </c>
      <c r="F45203" s="2">
        <v>9.8681749974786797E-8</v>
      </c>
    </row>
    <row r="45204" spans="1:6" x14ac:dyDescent="0.25">
      <c r="A45204" s="1" t="str">
        <f t="shared" si="1510"/>
        <v>99999</v>
      </c>
      <c r="B45204" s="1" t="str">
        <f>"99637"</f>
        <v>99637</v>
      </c>
      <c r="C45204" s="2">
        <v>0</v>
      </c>
      <c r="D45204" s="2">
        <v>0</v>
      </c>
      <c r="E45204" s="2">
        <v>4.3010567696482999E-6</v>
      </c>
      <c r="F45204" s="2">
        <v>9.8681749974786797E-8</v>
      </c>
    </row>
    <row r="45205" spans="1:6" x14ac:dyDescent="0.25">
      <c r="A45205" s="1" t="str">
        <f t="shared" si="1510"/>
        <v>99999</v>
      </c>
      <c r="B45205" s="1" t="str">
        <f>"36723"</f>
        <v>36723</v>
      </c>
      <c r="C45205" s="2">
        <v>0</v>
      </c>
      <c r="D45205" s="2">
        <v>0</v>
      </c>
      <c r="E45205" s="2">
        <v>4.3010567696482999E-6</v>
      </c>
      <c r="F45205" s="2">
        <v>9.8681749974786797E-8</v>
      </c>
    </row>
    <row r="45206" spans="1:6" x14ac:dyDescent="0.25">
      <c r="A45206" s="1" t="str">
        <f t="shared" si="1510"/>
        <v>99999</v>
      </c>
      <c r="B45206" s="1" t="str">
        <f>"45304"</f>
        <v>45304</v>
      </c>
      <c r="C45206" s="2">
        <v>2.49000048284357E-6</v>
      </c>
      <c r="D45206" s="2">
        <v>0</v>
      </c>
      <c r="E45206" s="2">
        <v>0</v>
      </c>
      <c r="F45206" s="2">
        <v>2.2696802494200901E-6</v>
      </c>
    </row>
    <row r="45207" spans="1:6" x14ac:dyDescent="0.25">
      <c r="A45207" s="1" t="str">
        <f t="shared" si="1510"/>
        <v>99999</v>
      </c>
      <c r="B45207" s="1" t="str">
        <f>"73096"</f>
        <v>73096</v>
      </c>
      <c r="C45207" s="2">
        <v>6.49565343350497E-7</v>
      </c>
      <c r="D45207" s="2">
        <v>0</v>
      </c>
      <c r="E45207" s="2">
        <v>0</v>
      </c>
      <c r="F45207" s="2">
        <v>5.9209049984871999E-7</v>
      </c>
    </row>
    <row r="45208" spans="1:6" x14ac:dyDescent="0.25">
      <c r="A45208" s="1" t="str">
        <f t="shared" si="1510"/>
        <v>99999</v>
      </c>
      <c r="B45208" s="1" t="str">
        <f>"99782"</f>
        <v>99782</v>
      </c>
      <c r="C45208" s="2">
        <v>0</v>
      </c>
      <c r="D45208" s="2">
        <v>0</v>
      </c>
      <c r="E45208" s="2">
        <v>4.3010567696482999E-6</v>
      </c>
      <c r="F45208" s="2">
        <v>9.8681749974786797E-8</v>
      </c>
    </row>
    <row r="45209" spans="1:6" x14ac:dyDescent="0.25">
      <c r="A45209" s="1" t="str">
        <f t="shared" si="1510"/>
        <v>99999</v>
      </c>
      <c r="B45209" s="1" t="str">
        <f>"38962"</f>
        <v>38962</v>
      </c>
      <c r="C45209" s="2">
        <v>0</v>
      </c>
      <c r="D45209" s="2">
        <v>1.50570889527644E-6</v>
      </c>
      <c r="E45209" s="2">
        <v>0</v>
      </c>
      <c r="F45209" s="2">
        <v>9.8681749974786797E-8</v>
      </c>
    </row>
    <row r="45210" spans="1:6" x14ac:dyDescent="0.25">
      <c r="A45210" s="1" t="str">
        <f t="shared" si="1510"/>
        <v>99999</v>
      </c>
      <c r="B45210" s="1" t="str">
        <f>"38864"</f>
        <v>38864</v>
      </c>
      <c r="C45210" s="2">
        <v>9.96000193137428E-6</v>
      </c>
      <c r="D45210" s="2">
        <v>1.50570889527644E-6</v>
      </c>
      <c r="E45210" s="2">
        <v>8.6021135392965999E-6</v>
      </c>
      <c r="F45210" s="2">
        <v>9.3747662476047397E-6</v>
      </c>
    </row>
    <row r="45211" spans="1:6" x14ac:dyDescent="0.25">
      <c r="A45211" s="1" t="str">
        <f t="shared" si="1510"/>
        <v>99999</v>
      </c>
      <c r="B45211" s="1" t="str">
        <f>"57265"</f>
        <v>57265</v>
      </c>
      <c r="C45211" s="2">
        <v>8.6608712446732894E-6</v>
      </c>
      <c r="D45211" s="2">
        <v>0</v>
      </c>
      <c r="E45211" s="2">
        <v>4.3010567696482999E-6</v>
      </c>
      <c r="F45211" s="2">
        <v>7.9932217479577302E-6</v>
      </c>
    </row>
    <row r="45212" spans="1:6" x14ac:dyDescent="0.25">
      <c r="A45212" s="1" t="str">
        <f t="shared" si="1510"/>
        <v>99999</v>
      </c>
      <c r="B45212" s="1" t="str">
        <f>"56353"</f>
        <v>56353</v>
      </c>
      <c r="C45212" s="2">
        <v>3.46434849786931E-6</v>
      </c>
      <c r="D45212" s="2">
        <v>0</v>
      </c>
      <c r="E45212" s="2">
        <v>0</v>
      </c>
      <c r="F45212" s="2">
        <v>3.1578159991931699E-6</v>
      </c>
    </row>
    <row r="45213" spans="1:6" x14ac:dyDescent="0.25">
      <c r="A45213" s="1" t="str">
        <f t="shared" si="1510"/>
        <v>99999</v>
      </c>
      <c r="B45213" s="1" t="str">
        <f>"56552"</f>
        <v>56552</v>
      </c>
      <c r="C45213" s="2">
        <v>2.49000048284357E-6</v>
      </c>
      <c r="D45213" s="2">
        <v>1.50570889527644E-6</v>
      </c>
      <c r="E45213" s="2">
        <v>0</v>
      </c>
      <c r="F45213" s="2">
        <v>2.3683619993948799E-6</v>
      </c>
    </row>
    <row r="45214" spans="1:6" x14ac:dyDescent="0.25">
      <c r="A45214" s="1" t="str">
        <f t="shared" si="1510"/>
        <v>99999</v>
      </c>
      <c r="B45214" s="1" t="str">
        <f>"57563"</f>
        <v>57563</v>
      </c>
      <c r="C45214" s="2">
        <v>6.6039143240633804E-6</v>
      </c>
      <c r="D45214" s="2">
        <v>0</v>
      </c>
      <c r="E45214" s="2">
        <v>4.3010567696482999E-6</v>
      </c>
      <c r="F45214" s="2">
        <v>6.1182684984367804E-6</v>
      </c>
    </row>
    <row r="45215" spans="1:6" x14ac:dyDescent="0.25">
      <c r="A45215" s="1" t="str">
        <f t="shared" si="1510"/>
        <v>99999</v>
      </c>
      <c r="B45215" s="1" t="str">
        <f>"69042"</f>
        <v>69042</v>
      </c>
      <c r="C45215" s="2">
        <v>3.5726093884277301E-6</v>
      </c>
      <c r="D45215" s="2">
        <v>7.5285444763821999E-6</v>
      </c>
      <c r="E45215" s="2">
        <v>8.6021135392965999E-6</v>
      </c>
      <c r="F45215" s="2">
        <v>3.94726999899147E-6</v>
      </c>
    </row>
    <row r="45216" spans="1:6" x14ac:dyDescent="0.25">
      <c r="A45216" s="1" t="str">
        <f t="shared" si="1510"/>
        <v>99999</v>
      </c>
      <c r="B45216" s="1" t="str">
        <f>"72440"</f>
        <v>72440</v>
      </c>
      <c r="C45216" s="2">
        <v>4.0056529506613898E-6</v>
      </c>
      <c r="D45216" s="2">
        <v>1.50570889527644E-6</v>
      </c>
      <c r="E45216" s="2">
        <v>4.3010567696482999E-6</v>
      </c>
      <c r="F45216" s="2">
        <v>3.8485882490166797E-6</v>
      </c>
    </row>
    <row r="45217" spans="1:6" x14ac:dyDescent="0.25">
      <c r="A45217" s="1" t="str">
        <f t="shared" si="1510"/>
        <v>99999</v>
      </c>
      <c r="B45217" s="1" t="str">
        <f>"82832"</f>
        <v>82832</v>
      </c>
      <c r="C45217" s="2">
        <v>6.1708707618297202E-6</v>
      </c>
      <c r="D45217" s="2">
        <v>4.5171266858293203E-6</v>
      </c>
      <c r="E45217" s="2">
        <v>0</v>
      </c>
      <c r="F45217" s="2">
        <v>5.9209049984871999E-6</v>
      </c>
    </row>
    <row r="45218" spans="1:6" x14ac:dyDescent="0.25">
      <c r="A45218" s="1" t="str">
        <f t="shared" si="1510"/>
        <v>99999</v>
      </c>
      <c r="B45218" s="1" t="str">
        <f>"04944"</f>
        <v>04944</v>
      </c>
      <c r="C45218" s="2">
        <v>6.49565343350497E-7</v>
      </c>
      <c r="D45218" s="2">
        <v>1.50570889527644E-6</v>
      </c>
      <c r="E45218" s="2">
        <v>4.3010567696482999E-6</v>
      </c>
      <c r="F45218" s="2">
        <v>7.8945399979829395E-7</v>
      </c>
    </row>
    <row r="45219" spans="1:6" x14ac:dyDescent="0.25">
      <c r="A45219" s="1" t="str">
        <f t="shared" si="1510"/>
        <v>99999</v>
      </c>
      <c r="B45219" s="1" t="str">
        <f>"23170"</f>
        <v>23170</v>
      </c>
      <c r="C45219" s="2">
        <v>3.1395658261940598E-6</v>
      </c>
      <c r="D45219" s="2">
        <v>7.5285444763821999E-6</v>
      </c>
      <c r="E45219" s="2">
        <v>4.3010567696482999E-6</v>
      </c>
      <c r="F45219" s="2">
        <v>3.4538612491175301E-6</v>
      </c>
    </row>
    <row r="45220" spans="1:6" x14ac:dyDescent="0.25">
      <c r="A45220" s="1" t="str">
        <f t="shared" si="1510"/>
        <v>99999</v>
      </c>
      <c r="B45220" s="1" t="str">
        <f>"26273"</f>
        <v>26273</v>
      </c>
      <c r="C45220" s="2">
        <v>4.7634791845703099E-6</v>
      </c>
      <c r="D45220" s="2">
        <v>0</v>
      </c>
      <c r="E45220" s="2">
        <v>0</v>
      </c>
      <c r="F45220" s="2">
        <v>4.3419969988906098E-6</v>
      </c>
    </row>
    <row r="45221" spans="1:6" x14ac:dyDescent="0.25">
      <c r="A45221" s="1" t="str">
        <f t="shared" si="1510"/>
        <v>99999</v>
      </c>
      <c r="B45221" s="1" t="str">
        <f>"56210"</f>
        <v>56210</v>
      </c>
      <c r="C45221" s="2">
        <v>1.9486960300514902E-6</v>
      </c>
      <c r="D45221" s="2">
        <v>0</v>
      </c>
      <c r="E45221" s="2">
        <v>0</v>
      </c>
      <c r="F45221" s="2">
        <v>1.77627149954616E-6</v>
      </c>
    </row>
    <row r="45222" spans="1:6" x14ac:dyDescent="0.25">
      <c r="A45222" s="1" t="str">
        <f t="shared" si="1510"/>
        <v>99999</v>
      </c>
      <c r="B45222" s="1" t="str">
        <f>"68866"</f>
        <v>68866</v>
      </c>
      <c r="C45222" s="2">
        <v>8.6608712446732898E-7</v>
      </c>
      <c r="D45222" s="2">
        <v>0</v>
      </c>
      <c r="E45222" s="2">
        <v>0</v>
      </c>
      <c r="F45222" s="2">
        <v>7.8945399979829395E-7</v>
      </c>
    </row>
    <row r="45223" spans="1:6" x14ac:dyDescent="0.25">
      <c r="A45223" s="1" t="str">
        <f t="shared" si="1510"/>
        <v>99999</v>
      </c>
      <c r="B45223" s="1" t="str">
        <f>"68458"</f>
        <v>68458</v>
      </c>
      <c r="C45223" s="2">
        <v>1.08260890558416E-7</v>
      </c>
      <c r="D45223" s="2">
        <v>0</v>
      </c>
      <c r="E45223" s="2">
        <v>0</v>
      </c>
      <c r="F45223" s="2">
        <v>9.8681749974786797E-8</v>
      </c>
    </row>
    <row r="45224" spans="1:6" x14ac:dyDescent="0.25">
      <c r="A45224" s="1" t="str">
        <f t="shared" si="1510"/>
        <v>99999</v>
      </c>
      <c r="B45224" s="1" t="str">
        <f>"99641"</f>
        <v>99641</v>
      </c>
      <c r="C45224" s="2">
        <v>0</v>
      </c>
      <c r="D45224" s="2">
        <v>0</v>
      </c>
      <c r="E45224" s="2">
        <v>4.3010567696482999E-6</v>
      </c>
      <c r="F45224" s="2">
        <v>9.8681749974786797E-8</v>
      </c>
    </row>
    <row r="45225" spans="1:6" x14ac:dyDescent="0.25">
      <c r="A45225" s="1" t="str">
        <f t="shared" si="1510"/>
        <v>99999</v>
      </c>
      <c r="B45225" s="1" t="str">
        <f>"05462"</f>
        <v>05462</v>
      </c>
      <c r="C45225" s="2">
        <v>2.1652178111683198E-6</v>
      </c>
      <c r="D45225" s="2">
        <v>0</v>
      </c>
      <c r="E45225" s="2">
        <v>0</v>
      </c>
      <c r="F45225" s="2">
        <v>1.9736349994957299E-6</v>
      </c>
    </row>
    <row r="45226" spans="1:6" x14ac:dyDescent="0.25">
      <c r="A45226" s="1" t="str">
        <f t="shared" si="1510"/>
        <v>99999</v>
      </c>
      <c r="B45226" s="1" t="str">
        <f>"36323"</f>
        <v>36323</v>
      </c>
      <c r="C45226" s="2">
        <v>1.62391335837624E-6</v>
      </c>
      <c r="D45226" s="2">
        <v>4.5171266858293203E-6</v>
      </c>
      <c r="E45226" s="2">
        <v>4.3010567696482999E-6</v>
      </c>
      <c r="F45226" s="2">
        <v>1.8749532495209401E-6</v>
      </c>
    </row>
    <row r="45227" spans="1:6" x14ac:dyDescent="0.25">
      <c r="A45227" s="1" t="str">
        <f t="shared" si="1510"/>
        <v>99999</v>
      </c>
      <c r="B45227" s="1" t="str">
        <f>"40337"</f>
        <v>40337</v>
      </c>
      <c r="C45227" s="2">
        <v>6.49565343350497E-7</v>
      </c>
      <c r="D45227" s="2">
        <v>0</v>
      </c>
      <c r="E45227" s="2">
        <v>0</v>
      </c>
      <c r="F45227" s="2">
        <v>5.9209049984871999E-7</v>
      </c>
    </row>
    <row r="45228" spans="1:6" x14ac:dyDescent="0.25">
      <c r="A45228" s="1" t="str">
        <f t="shared" si="1510"/>
        <v>99999</v>
      </c>
      <c r="B45228" s="1" t="str">
        <f>"49965"</f>
        <v>49965</v>
      </c>
      <c r="C45228" s="2">
        <v>4.8717400751287203E-6</v>
      </c>
      <c r="D45228" s="2">
        <v>0</v>
      </c>
      <c r="E45228" s="2">
        <v>0</v>
      </c>
      <c r="F45228" s="2">
        <v>4.4406787488654001E-6</v>
      </c>
    </row>
    <row r="45229" spans="1:6" x14ac:dyDescent="0.25">
      <c r="A45229" s="1" t="str">
        <f t="shared" si="1510"/>
        <v>99999</v>
      </c>
      <c r="B45229" s="1" t="str">
        <f>"54205"</f>
        <v>54205</v>
      </c>
      <c r="C45229" s="2">
        <v>2.1652178111683198E-6</v>
      </c>
      <c r="D45229" s="2">
        <v>1.50570889527644E-6</v>
      </c>
      <c r="E45229" s="2">
        <v>0</v>
      </c>
      <c r="F45229" s="2">
        <v>2.0723167494705202E-6</v>
      </c>
    </row>
    <row r="45230" spans="1:6" x14ac:dyDescent="0.25">
      <c r="A45230" s="1" t="str">
        <f t="shared" si="1510"/>
        <v>99999</v>
      </c>
      <c r="B45230" s="1" t="str">
        <f>"58645"</f>
        <v>58645</v>
      </c>
      <c r="C45230" s="2">
        <v>3.2478267167524802E-7</v>
      </c>
      <c r="D45230" s="2">
        <v>0</v>
      </c>
      <c r="E45230" s="2">
        <v>0</v>
      </c>
      <c r="F45230" s="2">
        <v>2.9604524992435999E-7</v>
      </c>
    </row>
    <row r="45231" spans="1:6" x14ac:dyDescent="0.25">
      <c r="A45231" s="1" t="str">
        <f t="shared" si="1510"/>
        <v>99999</v>
      </c>
      <c r="B45231" s="1" t="str">
        <f>"61845"</f>
        <v>61845</v>
      </c>
      <c r="C45231" s="2">
        <v>1.84043513949307E-6</v>
      </c>
      <c r="D45231" s="2">
        <v>0</v>
      </c>
      <c r="E45231" s="2">
        <v>0</v>
      </c>
      <c r="F45231" s="2">
        <v>1.6775897495713699E-6</v>
      </c>
    </row>
    <row r="45232" spans="1:6" x14ac:dyDescent="0.25">
      <c r="A45232" s="1" t="str">
        <f t="shared" si="1510"/>
        <v>99999</v>
      </c>
      <c r="B45232" s="1" t="str">
        <f>"76624"</f>
        <v>76624</v>
      </c>
      <c r="C45232" s="2">
        <v>4.0056529506613898E-6</v>
      </c>
      <c r="D45232" s="2">
        <v>0</v>
      </c>
      <c r="E45232" s="2">
        <v>0</v>
      </c>
      <c r="F45232" s="2">
        <v>3.6512247490671102E-6</v>
      </c>
    </row>
    <row r="45233" spans="1:6" x14ac:dyDescent="0.25">
      <c r="A45233" s="1" t="str">
        <f t="shared" si="1510"/>
        <v>99999</v>
      </c>
      <c r="B45233" s="1" t="str">
        <f>"87933"</f>
        <v>87933</v>
      </c>
      <c r="C45233" s="2">
        <v>4.3304356223366396E-6</v>
      </c>
      <c r="D45233" s="2">
        <v>1.50570889527644E-6</v>
      </c>
      <c r="E45233" s="2">
        <v>0</v>
      </c>
      <c r="F45233" s="2">
        <v>4.0459517489662501E-6</v>
      </c>
    </row>
    <row r="45234" spans="1:6" x14ac:dyDescent="0.25">
      <c r="A45234" s="1" t="str">
        <f t="shared" si="1510"/>
        <v>99999</v>
      </c>
      <c r="B45234" s="1" t="str">
        <f>"95601"</f>
        <v>95601</v>
      </c>
      <c r="C45234" s="2">
        <v>1.08260890558416E-7</v>
      </c>
      <c r="D45234" s="2">
        <v>0</v>
      </c>
      <c r="E45234" s="2">
        <v>4.3010567696482999E-6</v>
      </c>
      <c r="F45234" s="2">
        <v>1.9736349994957301E-7</v>
      </c>
    </row>
    <row r="45235" spans="1:6" x14ac:dyDescent="0.25">
      <c r="A45235" s="1" t="str">
        <f t="shared" si="1510"/>
        <v>99999</v>
      </c>
      <c r="B45235" s="1" t="str">
        <f>"83545"</f>
        <v>83545</v>
      </c>
      <c r="C45235" s="2">
        <v>3.5726093884277301E-6</v>
      </c>
      <c r="D45235" s="2">
        <v>3.01141779055288E-6</v>
      </c>
      <c r="E45235" s="2">
        <v>0</v>
      </c>
      <c r="F45235" s="2">
        <v>3.4538612491175301E-6</v>
      </c>
    </row>
    <row r="45236" spans="1:6" x14ac:dyDescent="0.25">
      <c r="A45236" s="1" t="str">
        <f t="shared" si="1510"/>
        <v>99999</v>
      </c>
      <c r="B45236" s="1" t="str">
        <f>"04925"</f>
        <v>04925</v>
      </c>
      <c r="C45236" s="2">
        <v>4.5469574034534697E-6</v>
      </c>
      <c r="D45236" s="2">
        <v>4.5171266858293203E-6</v>
      </c>
      <c r="E45236" s="2">
        <v>4.3010567696482999E-6</v>
      </c>
      <c r="F45236" s="2">
        <v>4.5393604988401904E-6</v>
      </c>
    </row>
    <row r="45237" spans="1:6" x14ac:dyDescent="0.25">
      <c r="A45237" s="1" t="str">
        <f t="shared" si="1510"/>
        <v>99999</v>
      </c>
      <c r="B45237" s="1" t="str">
        <f>"40769"</f>
        <v>40769</v>
      </c>
      <c r="C45237" s="2">
        <v>1.08260890558416E-5</v>
      </c>
      <c r="D45237" s="2">
        <v>1.50570889527644E-6</v>
      </c>
      <c r="E45237" s="2">
        <v>0</v>
      </c>
      <c r="F45237" s="2">
        <v>9.9668567474534592E-6</v>
      </c>
    </row>
    <row r="45238" spans="1:6" x14ac:dyDescent="0.25">
      <c r="A45238" s="1" t="str">
        <f t="shared" si="1510"/>
        <v>99999</v>
      </c>
      <c r="B45238" s="1" t="str">
        <f>"45861"</f>
        <v>45861</v>
      </c>
      <c r="C45238" s="2">
        <v>2.7065222639604001E-6</v>
      </c>
      <c r="D45238" s="2">
        <v>0</v>
      </c>
      <c r="E45238" s="2">
        <v>4.3010567696482999E-6</v>
      </c>
      <c r="F45238" s="2">
        <v>2.5657254993444499E-6</v>
      </c>
    </row>
    <row r="45239" spans="1:6" x14ac:dyDescent="0.25">
      <c r="A45239" s="1" t="str">
        <f t="shared" si="1510"/>
        <v>99999</v>
      </c>
      <c r="B45239" s="1" t="str">
        <f>"52037"</f>
        <v>52037</v>
      </c>
      <c r="C45239" s="2">
        <v>1.51565246781782E-6</v>
      </c>
      <c r="D45239" s="2">
        <v>0</v>
      </c>
      <c r="E45239" s="2">
        <v>0</v>
      </c>
      <c r="F45239" s="2">
        <v>1.3815444996470099E-6</v>
      </c>
    </row>
    <row r="45240" spans="1:6" x14ac:dyDescent="0.25">
      <c r="A45240" s="1" t="str">
        <f t="shared" si="1510"/>
        <v>99999</v>
      </c>
      <c r="B45240" s="1" t="str">
        <f>"57002"</f>
        <v>57002</v>
      </c>
      <c r="C45240" s="2">
        <v>8.6608712446732898E-7</v>
      </c>
      <c r="D45240" s="2">
        <v>0</v>
      </c>
      <c r="E45240" s="2">
        <v>0</v>
      </c>
      <c r="F45240" s="2">
        <v>7.8945399979829395E-7</v>
      </c>
    </row>
    <row r="45241" spans="1:6" x14ac:dyDescent="0.25">
      <c r="A45241" s="1" t="str">
        <f t="shared" si="1510"/>
        <v>99999</v>
      </c>
      <c r="B45241" s="1" t="str">
        <f>"57577"</f>
        <v>57577</v>
      </c>
      <c r="C45241" s="2">
        <v>6.6039143240633804E-6</v>
      </c>
      <c r="D45241" s="2">
        <v>0</v>
      </c>
      <c r="E45241" s="2">
        <v>4.3010567696482999E-6</v>
      </c>
      <c r="F45241" s="2">
        <v>6.1182684984367804E-6</v>
      </c>
    </row>
    <row r="45242" spans="1:6" x14ac:dyDescent="0.25">
      <c r="A45242" s="1" t="str">
        <f t="shared" si="1510"/>
        <v>99999</v>
      </c>
      <c r="B45242" s="1" t="str">
        <f>"62081"</f>
        <v>62081</v>
      </c>
      <c r="C45242" s="2">
        <v>1.62391335837624E-6</v>
      </c>
      <c r="D45242" s="2">
        <v>1.50570889527644E-6</v>
      </c>
      <c r="E45242" s="2">
        <v>4.3010567696482999E-6</v>
      </c>
      <c r="F45242" s="2">
        <v>1.6775897495713699E-6</v>
      </c>
    </row>
    <row r="45243" spans="1:6" x14ac:dyDescent="0.25">
      <c r="A45243" s="1" t="str">
        <f t="shared" si="1510"/>
        <v>99999</v>
      </c>
      <c r="B45243" s="1" t="str">
        <f>"71433"</f>
        <v>71433</v>
      </c>
      <c r="C45243" s="2">
        <v>6.49565343350497E-7</v>
      </c>
      <c r="D45243" s="2">
        <v>0</v>
      </c>
      <c r="E45243" s="2">
        <v>0</v>
      </c>
      <c r="F45243" s="2">
        <v>5.9209049984871999E-7</v>
      </c>
    </row>
    <row r="45244" spans="1:6" x14ac:dyDescent="0.25">
      <c r="A45244" s="1" t="str">
        <f t="shared" si="1510"/>
        <v>99999</v>
      </c>
      <c r="B45244" s="1" t="str">
        <f>"82215"</f>
        <v>82215</v>
      </c>
      <c r="C45244" s="2">
        <v>7.5782623390891297E-6</v>
      </c>
      <c r="D45244" s="2">
        <v>1.50570889527644E-6</v>
      </c>
      <c r="E45244" s="2">
        <v>4.3010567696482999E-6</v>
      </c>
      <c r="F45244" s="2">
        <v>7.10508599818465E-6</v>
      </c>
    </row>
    <row r="45245" spans="1:6" x14ac:dyDescent="0.25">
      <c r="A45245" s="1" t="str">
        <f t="shared" si="1510"/>
        <v>99999</v>
      </c>
      <c r="B45245" s="1" t="str">
        <f>"22551"</f>
        <v>22551</v>
      </c>
      <c r="C45245" s="2">
        <v>2.7065222639604001E-6</v>
      </c>
      <c r="D45245" s="2">
        <v>0</v>
      </c>
      <c r="E45245" s="2">
        <v>0</v>
      </c>
      <c r="F45245" s="2">
        <v>2.4670437493696702E-6</v>
      </c>
    </row>
    <row r="45246" spans="1:6" x14ac:dyDescent="0.25">
      <c r="A45246" s="1" t="str">
        <f t="shared" si="1510"/>
        <v>99999</v>
      </c>
      <c r="B45246" s="1" t="str">
        <f>"25667"</f>
        <v>25667</v>
      </c>
      <c r="C45246" s="2">
        <v>0</v>
      </c>
      <c r="D45246" s="2">
        <v>1.50570889527644E-6</v>
      </c>
      <c r="E45246" s="2">
        <v>0</v>
      </c>
      <c r="F45246" s="2">
        <v>9.8681749974786797E-8</v>
      </c>
    </row>
    <row r="45247" spans="1:6" x14ac:dyDescent="0.25">
      <c r="A45247" s="1" t="str">
        <f t="shared" si="1510"/>
        <v>99999</v>
      </c>
      <c r="B45247" s="1" t="str">
        <f>"25913"</f>
        <v>25913</v>
      </c>
      <c r="C45247" s="2">
        <v>1.9486960300514902E-6</v>
      </c>
      <c r="D45247" s="2">
        <v>1.50570889527644E-6</v>
      </c>
      <c r="E45247" s="2">
        <v>0</v>
      </c>
      <c r="F45247" s="2">
        <v>1.8749532495209401E-6</v>
      </c>
    </row>
    <row r="45248" spans="1:6" x14ac:dyDescent="0.25">
      <c r="A45248" s="1" t="str">
        <f t="shared" si="1510"/>
        <v>99999</v>
      </c>
      <c r="B45248" s="1" t="str">
        <f>"31039"</f>
        <v>31039</v>
      </c>
      <c r="C45248" s="2">
        <v>0</v>
      </c>
      <c r="D45248" s="2">
        <v>0</v>
      </c>
      <c r="E45248" s="2">
        <v>4.3010567696482999E-6</v>
      </c>
      <c r="F45248" s="2">
        <v>9.8681749974786797E-8</v>
      </c>
    </row>
    <row r="45249" spans="1:6" x14ac:dyDescent="0.25">
      <c r="A45249" s="1" t="str">
        <f t="shared" si="1510"/>
        <v>99999</v>
      </c>
      <c r="B45249" s="1" t="str">
        <f>"39842"</f>
        <v>39842</v>
      </c>
      <c r="C45249" s="2">
        <v>8.6608712446732898E-7</v>
      </c>
      <c r="D45249" s="2">
        <v>0</v>
      </c>
      <c r="E45249" s="2">
        <v>0</v>
      </c>
      <c r="F45249" s="2">
        <v>7.8945399979829395E-7</v>
      </c>
    </row>
    <row r="45250" spans="1:6" x14ac:dyDescent="0.25">
      <c r="A45250" s="1" t="str">
        <f t="shared" si="1510"/>
        <v>99999</v>
      </c>
      <c r="B45250" s="1" t="str">
        <f>"47978"</f>
        <v>47978</v>
      </c>
      <c r="C45250" s="2">
        <v>2.3817395922851499E-6</v>
      </c>
      <c r="D45250" s="2">
        <v>0</v>
      </c>
      <c r="E45250" s="2">
        <v>0</v>
      </c>
      <c r="F45250" s="2">
        <v>2.1709984994452998E-6</v>
      </c>
    </row>
    <row r="45251" spans="1:6" x14ac:dyDescent="0.25">
      <c r="A45251" s="1" t="str">
        <f t="shared" si="1510"/>
        <v>99999</v>
      </c>
      <c r="B45251" s="1" t="str">
        <f>"56162"</f>
        <v>56162</v>
      </c>
      <c r="C45251" s="2">
        <v>6.7121752146218001E-6</v>
      </c>
      <c r="D45251" s="2">
        <v>1.20456711622115E-5</v>
      </c>
      <c r="E45251" s="2">
        <v>4.3010567696482999E-6</v>
      </c>
      <c r="F45251" s="2">
        <v>7.0064042482098597E-6</v>
      </c>
    </row>
    <row r="45252" spans="1:6" x14ac:dyDescent="0.25">
      <c r="A45252" s="1" t="str">
        <f t="shared" si="1510"/>
        <v>99999</v>
      </c>
      <c r="B45252" s="1" t="str">
        <f>"60967"</f>
        <v>60967</v>
      </c>
      <c r="C45252" s="2">
        <v>2.49000048284357E-6</v>
      </c>
      <c r="D45252" s="2">
        <v>1.20456711622115E-5</v>
      </c>
      <c r="E45252" s="2">
        <v>0</v>
      </c>
      <c r="F45252" s="2">
        <v>3.0591342492183902E-6</v>
      </c>
    </row>
    <row r="45253" spans="1:6" x14ac:dyDescent="0.25">
      <c r="A45253" s="1" t="str">
        <f t="shared" si="1510"/>
        <v>99999</v>
      </c>
      <c r="B45253" s="1" t="str">
        <f>"66863"</f>
        <v>66863</v>
      </c>
      <c r="C45253" s="2">
        <v>3.7891311695445602E-6</v>
      </c>
      <c r="D45253" s="2">
        <v>0</v>
      </c>
      <c r="E45253" s="2">
        <v>4.3010567696482999E-6</v>
      </c>
      <c r="F45253" s="2">
        <v>3.5525429990923199E-6</v>
      </c>
    </row>
    <row r="45254" spans="1:6" x14ac:dyDescent="0.25">
      <c r="A45254" s="1" t="str">
        <f t="shared" ref="A45254:A45317" si="1511">"99999"</f>
        <v>99999</v>
      </c>
      <c r="B45254" s="1" t="str">
        <f>"65654"</f>
        <v>65654</v>
      </c>
      <c r="C45254" s="2">
        <v>9.4186974785821993E-6</v>
      </c>
      <c r="D45254" s="2">
        <v>1.0539962266935E-5</v>
      </c>
      <c r="E45254" s="2">
        <v>8.6021135392965999E-6</v>
      </c>
      <c r="F45254" s="2">
        <v>9.4734479975795299E-6</v>
      </c>
    </row>
    <row r="45255" spans="1:6" x14ac:dyDescent="0.25">
      <c r="A45255" s="1" t="str">
        <f t="shared" si="1511"/>
        <v>99999</v>
      </c>
      <c r="B45255" s="1" t="str">
        <f>"69135"</f>
        <v>69135</v>
      </c>
      <c r="C45255" s="2">
        <v>2.1652178111683198E-6</v>
      </c>
      <c r="D45255" s="2">
        <v>1.50570889527644E-6</v>
      </c>
      <c r="E45255" s="2">
        <v>4.3010567696482999E-6</v>
      </c>
      <c r="F45255" s="2">
        <v>2.1709984994452998E-6</v>
      </c>
    </row>
    <row r="45256" spans="1:6" x14ac:dyDescent="0.25">
      <c r="A45256" s="1" t="str">
        <f t="shared" si="1511"/>
        <v>99999</v>
      </c>
      <c r="B45256" s="1" t="str">
        <f>"74560"</f>
        <v>74560</v>
      </c>
      <c r="C45256" s="2">
        <v>2.2734787017267302E-6</v>
      </c>
      <c r="D45256" s="2">
        <v>1.50570889527644E-6</v>
      </c>
      <c r="E45256" s="2">
        <v>0</v>
      </c>
      <c r="F45256" s="2">
        <v>2.1709984994452998E-6</v>
      </c>
    </row>
    <row r="45257" spans="1:6" x14ac:dyDescent="0.25">
      <c r="A45257" s="1" t="str">
        <f t="shared" si="1511"/>
        <v>99999</v>
      </c>
      <c r="B45257" s="1" t="str">
        <f>"76883"</f>
        <v>76883</v>
      </c>
      <c r="C45257" s="2">
        <v>8.6608712446732898E-7</v>
      </c>
      <c r="D45257" s="2">
        <v>0</v>
      </c>
      <c r="E45257" s="2">
        <v>4.3010567696482999E-6</v>
      </c>
      <c r="F45257" s="2">
        <v>8.8813574977308104E-7</v>
      </c>
    </row>
    <row r="45258" spans="1:6" x14ac:dyDescent="0.25">
      <c r="A45258" s="1" t="str">
        <f t="shared" si="1511"/>
        <v>99999</v>
      </c>
      <c r="B45258" s="1" t="str">
        <f>"82925"</f>
        <v>82925</v>
      </c>
      <c r="C45258" s="2">
        <v>1.1042610836958401E-5</v>
      </c>
      <c r="D45258" s="2">
        <v>1.50570889527644E-6</v>
      </c>
      <c r="E45258" s="2">
        <v>0</v>
      </c>
      <c r="F45258" s="2">
        <v>1.0164220247403001E-5</v>
      </c>
    </row>
    <row r="45259" spans="1:6" x14ac:dyDescent="0.25">
      <c r="A45259" s="1" t="str">
        <f t="shared" si="1511"/>
        <v>99999</v>
      </c>
      <c r="B45259" s="1" t="str">
        <f>"95913"</f>
        <v>95913</v>
      </c>
      <c r="C45259" s="2">
        <v>8.9856539163485408E-6</v>
      </c>
      <c r="D45259" s="2">
        <v>0</v>
      </c>
      <c r="E45259" s="2">
        <v>8.6021135392965999E-6</v>
      </c>
      <c r="F45259" s="2">
        <v>8.3879487478568692E-6</v>
      </c>
    </row>
    <row r="45260" spans="1:6" x14ac:dyDescent="0.25">
      <c r="A45260" s="1" t="str">
        <f t="shared" si="1511"/>
        <v>99999</v>
      </c>
      <c r="B45260" s="1" t="str">
        <f>"98832"</f>
        <v>98832</v>
      </c>
      <c r="C45260" s="2">
        <v>1.7321742489346499E-6</v>
      </c>
      <c r="D45260" s="2">
        <v>0</v>
      </c>
      <c r="E45260" s="2">
        <v>0</v>
      </c>
      <c r="F45260" s="2">
        <v>1.5789079995965801E-6</v>
      </c>
    </row>
    <row r="45261" spans="1:6" x14ac:dyDescent="0.25">
      <c r="A45261" s="1" t="str">
        <f t="shared" si="1511"/>
        <v>99999</v>
      </c>
      <c r="B45261" s="1" t="str">
        <f>"83849"</f>
        <v>83849</v>
      </c>
      <c r="C45261" s="2">
        <v>0</v>
      </c>
      <c r="D45261" s="2">
        <v>0</v>
      </c>
      <c r="E45261" s="2">
        <v>1.29031703089449E-5</v>
      </c>
      <c r="F45261" s="2">
        <v>2.9604524992435999E-7</v>
      </c>
    </row>
    <row r="45262" spans="1:6" x14ac:dyDescent="0.25">
      <c r="A45262" s="1" t="str">
        <f t="shared" si="1511"/>
        <v>99999</v>
      </c>
      <c r="B45262" s="1" t="str">
        <f>"22743"</f>
        <v>22743</v>
      </c>
      <c r="C45262" s="2">
        <v>1.08260890558416E-7</v>
      </c>
      <c r="D45262" s="2">
        <v>0</v>
      </c>
      <c r="E45262" s="2">
        <v>0</v>
      </c>
      <c r="F45262" s="2">
        <v>9.8681749974786797E-8</v>
      </c>
    </row>
    <row r="45263" spans="1:6" x14ac:dyDescent="0.25">
      <c r="A45263" s="1" t="str">
        <f t="shared" si="1511"/>
        <v>99999</v>
      </c>
      <c r="B45263" s="1" t="str">
        <f>"57751"</f>
        <v>57751</v>
      </c>
      <c r="C45263" s="2">
        <v>3.46434849786931E-6</v>
      </c>
      <c r="D45263" s="2">
        <v>6.0228355811057601E-6</v>
      </c>
      <c r="E45263" s="2">
        <v>0</v>
      </c>
      <c r="F45263" s="2">
        <v>3.5525429990923199E-6</v>
      </c>
    </row>
    <row r="45264" spans="1:6" x14ac:dyDescent="0.25">
      <c r="A45264" s="1" t="str">
        <f t="shared" si="1511"/>
        <v>99999</v>
      </c>
      <c r="B45264" s="1" t="str">
        <f>"63663"</f>
        <v>63663</v>
      </c>
      <c r="C45264" s="2">
        <v>3.2478267167524802E-7</v>
      </c>
      <c r="D45264" s="2">
        <v>0</v>
      </c>
      <c r="E45264" s="2">
        <v>4.3010567696482999E-6</v>
      </c>
      <c r="F45264" s="2">
        <v>3.9472699989914697E-7</v>
      </c>
    </row>
    <row r="45265" spans="1:6" x14ac:dyDescent="0.25">
      <c r="A45265" s="1" t="str">
        <f t="shared" si="1511"/>
        <v>99999</v>
      </c>
      <c r="B45265" s="1" t="str">
        <f>"30573"</f>
        <v>30573</v>
      </c>
      <c r="C45265" s="2">
        <v>1.08260890558416E-7</v>
      </c>
      <c r="D45265" s="2">
        <v>0</v>
      </c>
      <c r="E45265" s="2">
        <v>4.3010567696482999E-6</v>
      </c>
      <c r="F45265" s="2">
        <v>1.9736349994957301E-7</v>
      </c>
    </row>
    <row r="45266" spans="1:6" x14ac:dyDescent="0.25">
      <c r="A45266" s="1" t="str">
        <f t="shared" si="1511"/>
        <v>99999</v>
      </c>
      <c r="B45266" s="1" t="str">
        <f>"63852"</f>
        <v>63852</v>
      </c>
      <c r="C45266" s="2">
        <v>1.1908697961425701E-6</v>
      </c>
      <c r="D45266" s="2">
        <v>0</v>
      </c>
      <c r="E45266" s="2">
        <v>0</v>
      </c>
      <c r="F45266" s="2">
        <v>1.0854992497226499E-6</v>
      </c>
    </row>
    <row r="45267" spans="1:6" x14ac:dyDescent="0.25">
      <c r="A45267" s="1" t="str">
        <f t="shared" si="1511"/>
        <v>99999</v>
      </c>
      <c r="B45267" s="1" t="str">
        <f>"78350"</f>
        <v>78350</v>
      </c>
      <c r="C45267" s="2">
        <v>1.08260890558416E-7</v>
      </c>
      <c r="D45267" s="2">
        <v>1.50570889527644E-6</v>
      </c>
      <c r="E45267" s="2">
        <v>0</v>
      </c>
      <c r="F45267" s="2">
        <v>1.9736349994957301E-7</v>
      </c>
    </row>
    <row r="45268" spans="1:6" x14ac:dyDescent="0.25">
      <c r="A45268" s="1" t="str">
        <f t="shared" si="1511"/>
        <v>99999</v>
      </c>
      <c r="B45268" s="1" t="str">
        <f>"99743"</f>
        <v>99743</v>
      </c>
      <c r="C45268" s="2">
        <v>9.3104365880237906E-6</v>
      </c>
      <c r="D45268" s="2">
        <v>0</v>
      </c>
      <c r="E45268" s="2">
        <v>4.3010567696482999E-6</v>
      </c>
      <c r="F45268" s="2">
        <v>8.5853122478064497E-6</v>
      </c>
    </row>
    <row r="45269" spans="1:6" x14ac:dyDescent="0.25">
      <c r="A45269" s="1" t="str">
        <f t="shared" si="1511"/>
        <v>99999</v>
      </c>
      <c r="B45269" s="1" t="str">
        <f>"04675"</f>
        <v>04675</v>
      </c>
      <c r="C45269" s="2">
        <v>9.7434801502574508E-7</v>
      </c>
      <c r="D45269" s="2">
        <v>0</v>
      </c>
      <c r="E45269" s="2">
        <v>4.3010567696482999E-6</v>
      </c>
      <c r="F45269" s="2">
        <v>9.8681749974786791E-7</v>
      </c>
    </row>
    <row r="45270" spans="1:6" x14ac:dyDescent="0.25">
      <c r="A45270" s="1" t="str">
        <f t="shared" si="1511"/>
        <v>99999</v>
      </c>
      <c r="B45270" s="1" t="str">
        <f>"49722"</f>
        <v>49722</v>
      </c>
      <c r="C45270" s="2">
        <v>4.3304356223366401E-7</v>
      </c>
      <c r="D45270" s="2">
        <v>3.01141779055288E-6</v>
      </c>
      <c r="E45270" s="2">
        <v>0</v>
      </c>
      <c r="F45270" s="2">
        <v>5.9209049984871999E-7</v>
      </c>
    </row>
    <row r="45271" spans="1:6" x14ac:dyDescent="0.25">
      <c r="A45271" s="1" t="str">
        <f t="shared" si="1511"/>
        <v>99999</v>
      </c>
      <c r="B45271" s="1" t="str">
        <f>"50257"</f>
        <v>50257</v>
      </c>
      <c r="C45271" s="2">
        <v>3.5726093884277301E-6</v>
      </c>
      <c r="D45271" s="2">
        <v>0</v>
      </c>
      <c r="E45271" s="2">
        <v>0</v>
      </c>
      <c r="F45271" s="2">
        <v>3.2564977491679601E-6</v>
      </c>
    </row>
    <row r="45272" spans="1:6" x14ac:dyDescent="0.25">
      <c r="A45272" s="1" t="str">
        <f t="shared" si="1511"/>
        <v>99999</v>
      </c>
      <c r="B45272" s="1" t="str">
        <f>"53584"</f>
        <v>53584</v>
      </c>
      <c r="C45272" s="2">
        <v>1.4073915772594101E-6</v>
      </c>
      <c r="D45272" s="2">
        <v>0</v>
      </c>
      <c r="E45272" s="2">
        <v>4.3010567696482999E-6</v>
      </c>
      <c r="F45272" s="2">
        <v>1.3815444996470099E-6</v>
      </c>
    </row>
    <row r="45273" spans="1:6" x14ac:dyDescent="0.25">
      <c r="A45273" s="1" t="str">
        <f t="shared" si="1511"/>
        <v>99999</v>
      </c>
      <c r="B45273" s="1" t="str">
        <f>"68001"</f>
        <v>68001</v>
      </c>
      <c r="C45273" s="2">
        <v>4.0056529506613898E-6</v>
      </c>
      <c r="D45273" s="2">
        <v>1.50570889527644E-6</v>
      </c>
      <c r="E45273" s="2">
        <v>1.29031703089449E-5</v>
      </c>
      <c r="F45273" s="2">
        <v>4.0459517489662501E-6</v>
      </c>
    </row>
    <row r="45274" spans="1:6" x14ac:dyDescent="0.25">
      <c r="A45274" s="1" t="str">
        <f t="shared" si="1511"/>
        <v>99999</v>
      </c>
      <c r="B45274" s="1" t="str">
        <f>"72143"</f>
        <v>72143</v>
      </c>
      <c r="C45274" s="2">
        <v>7.5782623390891299E-7</v>
      </c>
      <c r="D45274" s="2">
        <v>0</v>
      </c>
      <c r="E45274" s="2">
        <v>0</v>
      </c>
      <c r="F45274" s="2">
        <v>6.9077224982350697E-7</v>
      </c>
    </row>
    <row r="45275" spans="1:6" x14ac:dyDescent="0.25">
      <c r="A45275" s="1" t="str">
        <f t="shared" si="1511"/>
        <v>99999</v>
      </c>
      <c r="B45275" s="1" t="str">
        <f>"72366"</f>
        <v>72366</v>
      </c>
      <c r="C45275" s="2">
        <v>2.7065222639604001E-6</v>
      </c>
      <c r="D45275" s="2">
        <v>6.0228355811057601E-6</v>
      </c>
      <c r="E45275" s="2">
        <v>0</v>
      </c>
      <c r="F45275" s="2">
        <v>2.8617707492688101E-6</v>
      </c>
    </row>
    <row r="45276" spans="1:6" x14ac:dyDescent="0.25">
      <c r="A45276" s="1" t="str">
        <f t="shared" si="1511"/>
        <v>99999</v>
      </c>
      <c r="B45276" s="1" t="str">
        <f>"81335"</f>
        <v>81335</v>
      </c>
      <c r="C45276" s="2">
        <v>2.1652178111683198E-6</v>
      </c>
      <c r="D45276" s="2">
        <v>0</v>
      </c>
      <c r="E45276" s="2">
        <v>4.3010567696482999E-6</v>
      </c>
      <c r="F45276" s="2">
        <v>2.0723167494705202E-6</v>
      </c>
    </row>
    <row r="45277" spans="1:6" x14ac:dyDescent="0.25">
      <c r="A45277" s="1" t="str">
        <f t="shared" si="1511"/>
        <v>99999</v>
      </c>
      <c r="B45277" s="1" t="str">
        <f>"97635"</f>
        <v>97635</v>
      </c>
      <c r="C45277" s="2">
        <v>1.4831742006502999E-5</v>
      </c>
      <c r="D45277" s="2">
        <v>0</v>
      </c>
      <c r="E45277" s="2">
        <v>4.3010567696482999E-5</v>
      </c>
      <c r="F45277" s="2">
        <v>1.45062172462936E-5</v>
      </c>
    </row>
    <row r="45278" spans="1:6" x14ac:dyDescent="0.25">
      <c r="A45278" s="1" t="str">
        <f t="shared" si="1511"/>
        <v>99999</v>
      </c>
      <c r="B45278" s="1" t="str">
        <f>"97819"</f>
        <v>97819</v>
      </c>
      <c r="C45278" s="2">
        <v>2.2734787017267302E-6</v>
      </c>
      <c r="D45278" s="2">
        <v>0</v>
      </c>
      <c r="E45278" s="2">
        <v>4.3010567696482999E-6</v>
      </c>
      <c r="F45278" s="2">
        <v>2.1709984994452998E-6</v>
      </c>
    </row>
    <row r="45279" spans="1:6" x14ac:dyDescent="0.25">
      <c r="A45279" s="1" t="str">
        <f t="shared" si="1511"/>
        <v>99999</v>
      </c>
      <c r="B45279" s="1" t="str">
        <f>"12124"</f>
        <v>12124</v>
      </c>
      <c r="C45279" s="2">
        <v>1.42904375537109E-5</v>
      </c>
      <c r="D45279" s="2">
        <v>0</v>
      </c>
      <c r="E45279" s="2">
        <v>4.3010567696482999E-6</v>
      </c>
      <c r="F45279" s="2">
        <v>1.31246727466466E-5</v>
      </c>
    </row>
    <row r="45280" spans="1:6" x14ac:dyDescent="0.25">
      <c r="A45280" s="1" t="str">
        <f t="shared" si="1511"/>
        <v>99999</v>
      </c>
      <c r="B45280" s="1" t="str">
        <f>"30625"</f>
        <v>30625</v>
      </c>
      <c r="C45280" s="2">
        <v>3.2045223605291098E-5</v>
      </c>
      <c r="D45280" s="2">
        <v>6.0228355811057601E-6</v>
      </c>
      <c r="E45280" s="2">
        <v>0</v>
      </c>
      <c r="F45280" s="2">
        <v>2.9604524992435998E-5</v>
      </c>
    </row>
    <row r="45281" spans="1:6" x14ac:dyDescent="0.25">
      <c r="A45281" s="1" t="str">
        <f t="shared" si="1511"/>
        <v>99999</v>
      </c>
      <c r="B45281" s="1" t="str">
        <f>"31045"</f>
        <v>31045</v>
      </c>
      <c r="C45281" s="2">
        <v>9.4186974785821993E-6</v>
      </c>
      <c r="D45281" s="2">
        <v>0</v>
      </c>
      <c r="E45281" s="2">
        <v>4.3010567696482999E-6</v>
      </c>
      <c r="F45281" s="2">
        <v>8.6839939977812298E-6</v>
      </c>
    </row>
    <row r="45282" spans="1:6" x14ac:dyDescent="0.25">
      <c r="A45282" s="1" t="str">
        <f t="shared" si="1511"/>
        <v>99999</v>
      </c>
      <c r="B45282" s="1" t="str">
        <f>"30705"</f>
        <v>30705</v>
      </c>
      <c r="C45282" s="2">
        <v>7.5782623390891299E-7</v>
      </c>
      <c r="D45282" s="2">
        <v>1.50570889527644E-6</v>
      </c>
      <c r="E45282" s="2">
        <v>0</v>
      </c>
      <c r="F45282" s="2">
        <v>7.8945399979829395E-7</v>
      </c>
    </row>
    <row r="45283" spans="1:6" x14ac:dyDescent="0.25">
      <c r="A45283" s="1" t="str">
        <f t="shared" si="1511"/>
        <v>99999</v>
      </c>
      <c r="B45283" s="1" t="str">
        <f>"42366"</f>
        <v>42366</v>
      </c>
      <c r="C45283" s="2">
        <v>2.59826137340198E-6</v>
      </c>
      <c r="D45283" s="2">
        <v>0</v>
      </c>
      <c r="E45283" s="2">
        <v>1.29031703089449E-5</v>
      </c>
      <c r="F45283" s="2">
        <v>2.6644072493192401E-6</v>
      </c>
    </row>
    <row r="45284" spans="1:6" x14ac:dyDescent="0.25">
      <c r="A45284" s="1" t="str">
        <f t="shared" si="1511"/>
        <v>99999</v>
      </c>
      <c r="B45284" s="1" t="str">
        <f>"43914"</f>
        <v>43914</v>
      </c>
      <c r="C45284" s="2">
        <v>1.0826089055841599E-6</v>
      </c>
      <c r="D45284" s="2">
        <v>0</v>
      </c>
      <c r="E45284" s="2">
        <v>4.3010567696482999E-6</v>
      </c>
      <c r="F45284" s="2">
        <v>1.0854992497226499E-6</v>
      </c>
    </row>
    <row r="45285" spans="1:6" x14ac:dyDescent="0.25">
      <c r="A45285" s="1" t="str">
        <f t="shared" si="1511"/>
        <v>99999</v>
      </c>
      <c r="B45285" s="1" t="str">
        <f>"41397"</f>
        <v>41397</v>
      </c>
      <c r="C45285" s="2">
        <v>1.4506959334827701E-5</v>
      </c>
      <c r="D45285" s="2">
        <v>0</v>
      </c>
      <c r="E45285" s="2">
        <v>4.3010567696482999E-6</v>
      </c>
      <c r="F45285" s="2">
        <v>1.3322036246596199E-5</v>
      </c>
    </row>
    <row r="45286" spans="1:6" x14ac:dyDescent="0.25">
      <c r="A45286" s="1" t="str">
        <f t="shared" si="1511"/>
        <v>99999</v>
      </c>
      <c r="B45286" s="1" t="str">
        <f>"43152"</f>
        <v>43152</v>
      </c>
      <c r="C45286" s="2">
        <v>8.9856539163485408E-6</v>
      </c>
      <c r="D45286" s="2">
        <v>4.5171266858293203E-6</v>
      </c>
      <c r="E45286" s="2">
        <v>0</v>
      </c>
      <c r="F45286" s="2">
        <v>8.4866304978316595E-6</v>
      </c>
    </row>
    <row r="45287" spans="1:6" x14ac:dyDescent="0.25">
      <c r="A45287" s="1" t="str">
        <f t="shared" si="1511"/>
        <v>99999</v>
      </c>
      <c r="B45287" s="1" t="str">
        <f>"50677"</f>
        <v>50677</v>
      </c>
      <c r="C45287" s="2">
        <v>1.1908697961425701E-6</v>
      </c>
      <c r="D45287" s="2">
        <v>0</v>
      </c>
      <c r="E45287" s="2">
        <v>0</v>
      </c>
      <c r="F45287" s="2">
        <v>1.0854992497226499E-6</v>
      </c>
    </row>
    <row r="45288" spans="1:6" x14ac:dyDescent="0.25">
      <c r="A45288" s="1" t="str">
        <f t="shared" si="1511"/>
        <v>99999</v>
      </c>
      <c r="B45288" s="1" t="str">
        <f>"49307"</f>
        <v>49307</v>
      </c>
      <c r="C45288" s="2">
        <v>2.5441309281227699E-5</v>
      </c>
      <c r="D45288" s="2">
        <v>3.01141779055288E-6</v>
      </c>
      <c r="E45288" s="2">
        <v>0</v>
      </c>
      <c r="F45288" s="2">
        <v>2.3387574744024402E-5</v>
      </c>
    </row>
    <row r="45289" spans="1:6" x14ac:dyDescent="0.25">
      <c r="A45289" s="1" t="str">
        <f t="shared" si="1511"/>
        <v>99999</v>
      </c>
      <c r="B45289" s="1" t="str">
        <f>"49035"</f>
        <v>49035</v>
      </c>
      <c r="C45289" s="2">
        <v>2.49000048284357E-6</v>
      </c>
      <c r="D45289" s="2">
        <v>4.5171266858293203E-6</v>
      </c>
      <c r="E45289" s="2">
        <v>0</v>
      </c>
      <c r="F45289" s="2">
        <v>2.5657254993444499E-6</v>
      </c>
    </row>
    <row r="45290" spans="1:6" x14ac:dyDescent="0.25">
      <c r="A45290" s="1" t="str">
        <f t="shared" si="1511"/>
        <v>99999</v>
      </c>
      <c r="B45290" s="1" t="str">
        <f>"53923"</f>
        <v>53923</v>
      </c>
      <c r="C45290" s="2">
        <v>8.1195667918812104E-6</v>
      </c>
      <c r="D45290" s="2">
        <v>7.5285444763821999E-6</v>
      </c>
      <c r="E45290" s="2">
        <v>0</v>
      </c>
      <c r="F45290" s="2">
        <v>7.8945399979829399E-6</v>
      </c>
    </row>
    <row r="45291" spans="1:6" x14ac:dyDescent="0.25">
      <c r="A45291" s="1" t="str">
        <f t="shared" si="1511"/>
        <v>99999</v>
      </c>
      <c r="B45291" s="1" t="str">
        <f>"57572"</f>
        <v>57572</v>
      </c>
      <c r="C45291" s="2">
        <v>7.0369578862970498E-6</v>
      </c>
      <c r="D45291" s="2">
        <v>0</v>
      </c>
      <c r="E45291" s="2">
        <v>8.6021135392965999E-6</v>
      </c>
      <c r="F45291" s="2">
        <v>6.6116772483107097E-6</v>
      </c>
    </row>
    <row r="45292" spans="1:6" x14ac:dyDescent="0.25">
      <c r="A45292" s="1" t="str">
        <f t="shared" si="1511"/>
        <v>99999</v>
      </c>
      <c r="B45292" s="1" t="str">
        <f>"58788"</f>
        <v>58788</v>
      </c>
      <c r="C45292" s="2">
        <v>1.7321742489346499E-6</v>
      </c>
      <c r="D45292" s="2">
        <v>0</v>
      </c>
      <c r="E45292" s="2">
        <v>0</v>
      </c>
      <c r="F45292" s="2">
        <v>1.5789079995965801E-6</v>
      </c>
    </row>
    <row r="45293" spans="1:6" x14ac:dyDescent="0.25">
      <c r="A45293" s="1" t="str">
        <f t="shared" si="1511"/>
        <v>99999</v>
      </c>
      <c r="B45293" s="1" t="str">
        <f>"59070"</f>
        <v>59070</v>
      </c>
      <c r="C45293" s="2">
        <v>5.4130445279207995E-7</v>
      </c>
      <c r="D45293" s="2">
        <v>0</v>
      </c>
      <c r="E45293" s="2">
        <v>0</v>
      </c>
      <c r="F45293" s="2">
        <v>4.9340874987393396E-7</v>
      </c>
    </row>
    <row r="45294" spans="1:6" x14ac:dyDescent="0.25">
      <c r="A45294" s="1" t="str">
        <f t="shared" si="1511"/>
        <v>99999</v>
      </c>
      <c r="B45294" s="1" t="str">
        <f>"66094"</f>
        <v>66094</v>
      </c>
      <c r="C45294" s="2">
        <v>1.0176523712491101E-5</v>
      </c>
      <c r="D45294" s="2">
        <v>2.1079924533870101E-5</v>
      </c>
      <c r="E45294" s="2">
        <v>3.44084541571864E-5</v>
      </c>
      <c r="F45294" s="2">
        <v>1.14470829970752E-5</v>
      </c>
    </row>
    <row r="45295" spans="1:6" x14ac:dyDescent="0.25">
      <c r="A45295" s="1" t="str">
        <f t="shared" si="1511"/>
        <v>99999</v>
      </c>
      <c r="B45295" s="1" t="str">
        <f>"68974"</f>
        <v>68974</v>
      </c>
      <c r="C45295" s="2">
        <v>1.0284784603049499E-5</v>
      </c>
      <c r="D45295" s="2">
        <v>6.0228355811057601E-6</v>
      </c>
      <c r="E45295" s="2">
        <v>4.3010567696482999E-6</v>
      </c>
      <c r="F45295" s="2">
        <v>9.8681749974786808E-6</v>
      </c>
    </row>
    <row r="45296" spans="1:6" x14ac:dyDescent="0.25">
      <c r="A45296" s="1" t="str">
        <f t="shared" si="1511"/>
        <v>99999</v>
      </c>
      <c r="B45296" s="1" t="str">
        <f>"84773"</f>
        <v>84773</v>
      </c>
      <c r="C45296" s="2">
        <v>2.8147831545188202E-6</v>
      </c>
      <c r="D45296" s="2">
        <v>1.50570889527644E-6</v>
      </c>
      <c r="E45296" s="2">
        <v>4.3010567696482999E-6</v>
      </c>
      <c r="F45296" s="2">
        <v>2.76308899929403E-6</v>
      </c>
    </row>
    <row r="45297" spans="1:6" x14ac:dyDescent="0.25">
      <c r="A45297" s="1" t="str">
        <f t="shared" si="1511"/>
        <v>99999</v>
      </c>
      <c r="B45297" s="1" t="str">
        <f>"99013"</f>
        <v>99013</v>
      </c>
      <c r="C45297" s="2">
        <v>8.2278276824396208E-6</v>
      </c>
      <c r="D45297" s="2">
        <v>3.01141779055288E-6</v>
      </c>
      <c r="E45297" s="2">
        <v>1.72042270785932E-5</v>
      </c>
      <c r="F45297" s="2">
        <v>8.0919034979325103E-6</v>
      </c>
    </row>
    <row r="45298" spans="1:6" x14ac:dyDescent="0.25">
      <c r="A45298" s="1" t="str">
        <f t="shared" si="1511"/>
        <v>99999</v>
      </c>
      <c r="B45298" s="1" t="str">
        <f>"05862"</f>
        <v>05862</v>
      </c>
      <c r="C45298" s="2">
        <v>4.4386965128950601E-6</v>
      </c>
      <c r="D45298" s="2">
        <v>3.01141779055288E-6</v>
      </c>
      <c r="E45298" s="2">
        <v>0</v>
      </c>
      <c r="F45298" s="2">
        <v>4.2433152489158297E-6</v>
      </c>
    </row>
    <row r="45299" spans="1:6" x14ac:dyDescent="0.25">
      <c r="A45299" s="1" t="str">
        <f t="shared" si="1511"/>
        <v>99999</v>
      </c>
      <c r="B45299" s="1" t="str">
        <f>"35034"</f>
        <v>35034</v>
      </c>
      <c r="C45299" s="2">
        <v>4.6552182940118902E-6</v>
      </c>
      <c r="D45299" s="2">
        <v>3.01141779055288E-6</v>
      </c>
      <c r="E45299" s="2">
        <v>0</v>
      </c>
      <c r="F45299" s="2">
        <v>4.4406787488654001E-6</v>
      </c>
    </row>
    <row r="45300" spans="1:6" x14ac:dyDescent="0.25">
      <c r="A45300" s="1" t="str">
        <f t="shared" si="1511"/>
        <v>99999</v>
      </c>
      <c r="B45300" s="1" t="str">
        <f>"44661"</f>
        <v>44661</v>
      </c>
      <c r="C45300" s="2">
        <v>5.4130445279207995E-7</v>
      </c>
      <c r="D45300" s="2">
        <v>1.50570889527644E-6</v>
      </c>
      <c r="E45300" s="2">
        <v>4.3010567696482999E-6</v>
      </c>
      <c r="F45300" s="2">
        <v>6.9077224982350697E-7</v>
      </c>
    </row>
    <row r="45301" spans="1:6" x14ac:dyDescent="0.25">
      <c r="A45301" s="1" t="str">
        <f t="shared" si="1511"/>
        <v>99999</v>
      </c>
      <c r="B45301" s="1" t="str">
        <f>"54017"</f>
        <v>54017</v>
      </c>
      <c r="C45301" s="2">
        <v>1.14756543991921E-5</v>
      </c>
      <c r="D45301" s="2">
        <v>0</v>
      </c>
      <c r="E45301" s="2">
        <v>0</v>
      </c>
      <c r="F45301" s="2">
        <v>1.04602654973274E-5</v>
      </c>
    </row>
    <row r="45302" spans="1:6" x14ac:dyDescent="0.25">
      <c r="A45302" s="1" t="str">
        <f t="shared" si="1511"/>
        <v>99999</v>
      </c>
      <c r="B45302" s="1" t="str">
        <f>"57040"</f>
        <v>57040</v>
      </c>
      <c r="C45302" s="2">
        <v>4.3304356223366401E-7</v>
      </c>
      <c r="D45302" s="2">
        <v>0</v>
      </c>
      <c r="E45302" s="2">
        <v>0</v>
      </c>
      <c r="F45302" s="2">
        <v>3.9472699989914697E-7</v>
      </c>
    </row>
    <row r="45303" spans="1:6" x14ac:dyDescent="0.25">
      <c r="A45303" s="1" t="str">
        <f t="shared" si="1511"/>
        <v>99999</v>
      </c>
      <c r="B45303" s="1" t="str">
        <f>"58067"</f>
        <v>58067</v>
      </c>
      <c r="C45303" s="2">
        <v>1.15839152897505E-5</v>
      </c>
      <c r="D45303" s="2">
        <v>1.35513800574879E-5</v>
      </c>
      <c r="E45303" s="2">
        <v>3.44084541571864E-5</v>
      </c>
      <c r="F45303" s="2">
        <v>1.22365369968735E-5</v>
      </c>
    </row>
    <row r="45304" spans="1:6" x14ac:dyDescent="0.25">
      <c r="A45304" s="1" t="str">
        <f t="shared" si="1511"/>
        <v>99999</v>
      </c>
      <c r="B45304" s="1" t="str">
        <f>"58775"</f>
        <v>58775</v>
      </c>
      <c r="C45304" s="2">
        <v>1.05013063841663E-5</v>
      </c>
      <c r="D45304" s="2">
        <v>1.9574215638593701E-5</v>
      </c>
      <c r="E45304" s="2">
        <v>4.3010567696482999E-6</v>
      </c>
      <c r="F45304" s="2">
        <v>1.0953674247201299E-5</v>
      </c>
    </row>
    <row r="45305" spans="1:6" x14ac:dyDescent="0.25">
      <c r="A45305" s="1" t="str">
        <f t="shared" si="1511"/>
        <v>99999</v>
      </c>
      <c r="B45305" s="1" t="str">
        <f>"62910"</f>
        <v>62910</v>
      </c>
      <c r="C45305" s="2">
        <v>6.2791316523881298E-6</v>
      </c>
      <c r="D45305" s="2">
        <v>1.50570889527644E-6</v>
      </c>
      <c r="E45305" s="2">
        <v>4.3010567696482999E-6</v>
      </c>
      <c r="F45305" s="2">
        <v>5.9209049984871999E-6</v>
      </c>
    </row>
    <row r="45306" spans="1:6" x14ac:dyDescent="0.25">
      <c r="A45306" s="1" t="str">
        <f t="shared" si="1511"/>
        <v>99999</v>
      </c>
      <c r="B45306" s="1" t="str">
        <f>"68381"</f>
        <v>68381</v>
      </c>
      <c r="C45306" s="2">
        <v>2.8147831545188202E-6</v>
      </c>
      <c r="D45306" s="2">
        <v>1.50570889527644E-6</v>
      </c>
      <c r="E45306" s="2">
        <v>0</v>
      </c>
      <c r="F45306" s="2">
        <v>2.6644072493192401E-6</v>
      </c>
    </row>
    <row r="45307" spans="1:6" x14ac:dyDescent="0.25">
      <c r="A45307" s="1" t="str">
        <f t="shared" si="1511"/>
        <v>99999</v>
      </c>
      <c r="B45307" s="1" t="str">
        <f>"72004"</f>
        <v>72004</v>
      </c>
      <c r="C45307" s="2">
        <v>4.3304356223366401E-7</v>
      </c>
      <c r="D45307" s="2">
        <v>0</v>
      </c>
      <c r="E45307" s="2">
        <v>0</v>
      </c>
      <c r="F45307" s="2">
        <v>3.9472699989914697E-7</v>
      </c>
    </row>
    <row r="45308" spans="1:6" x14ac:dyDescent="0.25">
      <c r="A45308" s="1" t="str">
        <f t="shared" si="1511"/>
        <v>99999</v>
      </c>
      <c r="B45308" s="1" t="str">
        <f>"81650"</f>
        <v>81650</v>
      </c>
      <c r="C45308" s="2">
        <v>8.2278276824396208E-6</v>
      </c>
      <c r="D45308" s="2">
        <v>3.1619886800805203E-5</v>
      </c>
      <c r="E45308" s="2">
        <v>4.7311624466131299E-5</v>
      </c>
      <c r="F45308" s="2">
        <v>1.06576289972769E-5</v>
      </c>
    </row>
    <row r="45309" spans="1:6" x14ac:dyDescent="0.25">
      <c r="A45309" s="1" t="str">
        <f t="shared" si="1511"/>
        <v>99999</v>
      </c>
      <c r="B45309" s="1" t="str">
        <f>"96116"</f>
        <v>96116</v>
      </c>
      <c r="C45309" s="2">
        <v>0</v>
      </c>
      <c r="D45309" s="2">
        <v>0</v>
      </c>
      <c r="E45309" s="2">
        <v>8.6021135392965999E-6</v>
      </c>
      <c r="F45309" s="2">
        <v>1.9736349994957301E-7</v>
      </c>
    </row>
    <row r="45310" spans="1:6" x14ac:dyDescent="0.25">
      <c r="A45310" s="1" t="str">
        <f t="shared" si="1511"/>
        <v>99999</v>
      </c>
      <c r="B45310" s="1" t="str">
        <f>"95943"</f>
        <v>95943</v>
      </c>
      <c r="C45310" s="2">
        <v>4.0164790397172297E-5</v>
      </c>
      <c r="D45310" s="2">
        <v>3.1619886800805203E-5</v>
      </c>
      <c r="E45310" s="2">
        <v>1.29031703089449E-5</v>
      </c>
      <c r="F45310" s="2">
        <v>3.8979291240040697E-5</v>
      </c>
    </row>
    <row r="45311" spans="1:6" x14ac:dyDescent="0.25">
      <c r="A45311" s="1" t="str">
        <f t="shared" si="1511"/>
        <v>99999</v>
      </c>
      <c r="B45311" s="1" t="str">
        <f>"97102"</f>
        <v>97102</v>
      </c>
      <c r="C45311" s="2">
        <v>2.3817395922851499E-6</v>
      </c>
      <c r="D45311" s="2">
        <v>1.50570889527644E-6</v>
      </c>
      <c r="E45311" s="2">
        <v>0</v>
      </c>
      <c r="F45311" s="2">
        <v>2.2696802494200901E-6</v>
      </c>
    </row>
    <row r="45312" spans="1:6" x14ac:dyDescent="0.25">
      <c r="A45312" s="1" t="str">
        <f t="shared" si="1511"/>
        <v>99999</v>
      </c>
      <c r="B45312" s="1" t="str">
        <f>"99576"</f>
        <v>99576</v>
      </c>
      <c r="C45312" s="2">
        <v>3.2478267167524802E-7</v>
      </c>
      <c r="D45312" s="2">
        <v>0</v>
      </c>
      <c r="E45312" s="2">
        <v>1.29031703089449E-5</v>
      </c>
      <c r="F45312" s="2">
        <v>5.9209049984871999E-7</v>
      </c>
    </row>
    <row r="45313" spans="1:6" x14ac:dyDescent="0.25">
      <c r="A45313" s="1" t="str">
        <f t="shared" si="1511"/>
        <v>99999</v>
      </c>
      <c r="B45313" s="1" t="str">
        <f>"99604"</f>
        <v>99604</v>
      </c>
      <c r="C45313" s="2">
        <v>0</v>
      </c>
      <c r="D45313" s="2">
        <v>0</v>
      </c>
      <c r="E45313" s="2">
        <v>4.3010567696482999E-6</v>
      </c>
      <c r="F45313" s="2">
        <v>9.8681749974786797E-8</v>
      </c>
    </row>
    <row r="45314" spans="1:6" x14ac:dyDescent="0.25">
      <c r="A45314" s="1" t="str">
        <f t="shared" si="1511"/>
        <v>99999</v>
      </c>
      <c r="B45314" s="1" t="str">
        <f>"16331"</f>
        <v>16331</v>
      </c>
      <c r="C45314" s="2">
        <v>2.49000048284357E-6</v>
      </c>
      <c r="D45314" s="2">
        <v>1.50570889527644E-6</v>
      </c>
      <c r="E45314" s="2">
        <v>1.29031703089449E-5</v>
      </c>
      <c r="F45314" s="2">
        <v>2.6644072493192401E-6</v>
      </c>
    </row>
    <row r="45315" spans="1:6" x14ac:dyDescent="0.25">
      <c r="A45315" s="1" t="str">
        <f t="shared" si="1511"/>
        <v>99999</v>
      </c>
      <c r="B45315" s="1" t="str">
        <f>"56065"</f>
        <v>56065</v>
      </c>
      <c r="C45315" s="2">
        <v>6.49565343350497E-7</v>
      </c>
      <c r="D45315" s="2">
        <v>0</v>
      </c>
      <c r="E45315" s="2">
        <v>0</v>
      </c>
      <c r="F45315" s="2">
        <v>5.9209049984871999E-7</v>
      </c>
    </row>
    <row r="45316" spans="1:6" x14ac:dyDescent="0.25">
      <c r="A45316" s="1" t="str">
        <f t="shared" si="1511"/>
        <v>99999</v>
      </c>
      <c r="B45316" s="1" t="str">
        <f>"62640"</f>
        <v>62640</v>
      </c>
      <c r="C45316" s="2">
        <v>9.7434801502574508E-7</v>
      </c>
      <c r="D45316" s="2">
        <v>0</v>
      </c>
      <c r="E45316" s="2">
        <v>0</v>
      </c>
      <c r="F45316" s="2">
        <v>8.8813574977308104E-7</v>
      </c>
    </row>
    <row r="45317" spans="1:6" x14ac:dyDescent="0.25">
      <c r="A45317" s="1" t="str">
        <f t="shared" si="1511"/>
        <v>99999</v>
      </c>
      <c r="B45317" s="1" t="str">
        <f>"72026"</f>
        <v>72026</v>
      </c>
      <c r="C45317" s="2">
        <v>1.76465251610218E-5</v>
      </c>
      <c r="D45317" s="2">
        <v>1.50570889527644E-6</v>
      </c>
      <c r="E45317" s="2">
        <v>4.3010567696482999E-6</v>
      </c>
      <c r="F45317" s="2">
        <v>1.6282488745839801E-5</v>
      </c>
    </row>
    <row r="45318" spans="1:6" x14ac:dyDescent="0.25">
      <c r="A45318" s="1" t="str">
        <f t="shared" ref="A45318:A45381" si="1512">"99999"</f>
        <v>99999</v>
      </c>
      <c r="B45318" s="1" t="str">
        <f>"74943"</f>
        <v>74943</v>
      </c>
      <c r="C45318" s="2">
        <v>0</v>
      </c>
      <c r="D45318" s="2">
        <v>0</v>
      </c>
      <c r="E45318" s="2">
        <v>4.3010567696482999E-6</v>
      </c>
      <c r="F45318" s="2">
        <v>9.8681749974786797E-8</v>
      </c>
    </row>
    <row r="45319" spans="1:6" x14ac:dyDescent="0.25">
      <c r="A45319" s="1" t="str">
        <f t="shared" si="1512"/>
        <v>99999</v>
      </c>
      <c r="B45319" s="1" t="str">
        <f>"75652"</f>
        <v>75652</v>
      </c>
      <c r="C45319" s="2">
        <v>1.51565246781782E-6</v>
      </c>
      <c r="D45319" s="2">
        <v>0</v>
      </c>
      <c r="E45319" s="2">
        <v>0</v>
      </c>
      <c r="F45319" s="2">
        <v>1.3815444996470099E-6</v>
      </c>
    </row>
    <row r="45320" spans="1:6" x14ac:dyDescent="0.25">
      <c r="A45320" s="1" t="str">
        <f t="shared" si="1512"/>
        <v>99999</v>
      </c>
      <c r="B45320" s="1" t="str">
        <f>"76389"</f>
        <v>76389</v>
      </c>
      <c r="C45320" s="2">
        <v>3.7891311695445602E-6</v>
      </c>
      <c r="D45320" s="2">
        <v>1.80685067433172E-5</v>
      </c>
      <c r="E45320" s="2">
        <v>0</v>
      </c>
      <c r="F45320" s="2">
        <v>4.6380422488149798E-6</v>
      </c>
    </row>
    <row r="45321" spans="1:6" x14ac:dyDescent="0.25">
      <c r="A45321" s="1" t="str">
        <f t="shared" si="1512"/>
        <v>99999</v>
      </c>
      <c r="B45321" s="1" t="str">
        <f>"83126"</f>
        <v>83126</v>
      </c>
      <c r="C45321" s="2">
        <v>6.8204361051802096E-6</v>
      </c>
      <c r="D45321" s="2">
        <v>1.50570889527644E-6</v>
      </c>
      <c r="E45321" s="2">
        <v>1.72042270785932E-5</v>
      </c>
      <c r="F45321" s="2">
        <v>6.7103589982854999E-6</v>
      </c>
    </row>
    <row r="45322" spans="1:6" x14ac:dyDescent="0.25">
      <c r="A45322" s="1" t="str">
        <f t="shared" si="1512"/>
        <v>99999</v>
      </c>
      <c r="B45322" s="1" t="str">
        <f>"84630"</f>
        <v>84630</v>
      </c>
      <c r="C45322" s="2">
        <v>1.2991306867009899E-5</v>
      </c>
      <c r="D45322" s="2">
        <v>0</v>
      </c>
      <c r="E45322" s="2">
        <v>4.3010567696482999E-6</v>
      </c>
      <c r="F45322" s="2">
        <v>1.19404917469492E-5</v>
      </c>
    </row>
    <row r="45323" spans="1:6" x14ac:dyDescent="0.25">
      <c r="A45323" s="1" t="str">
        <f t="shared" si="1512"/>
        <v>99999</v>
      </c>
      <c r="B45323" s="1" t="str">
        <f>"18626"</f>
        <v>18626</v>
      </c>
      <c r="C45323" s="2">
        <v>2.8147831545188202E-6</v>
      </c>
      <c r="D45323" s="2">
        <v>1.50570889527644E-6</v>
      </c>
      <c r="E45323" s="2">
        <v>0</v>
      </c>
      <c r="F45323" s="2">
        <v>2.6644072493192401E-6</v>
      </c>
    </row>
    <row r="45324" spans="1:6" x14ac:dyDescent="0.25">
      <c r="A45324" s="1" t="str">
        <f t="shared" si="1512"/>
        <v>99999</v>
      </c>
      <c r="B45324" s="1" t="str">
        <f>"23023"</f>
        <v>23023</v>
      </c>
      <c r="C45324" s="2">
        <v>6.49565343350497E-7</v>
      </c>
      <c r="D45324" s="2">
        <v>0</v>
      </c>
      <c r="E45324" s="2">
        <v>0</v>
      </c>
      <c r="F45324" s="2">
        <v>5.9209049984871999E-7</v>
      </c>
    </row>
    <row r="45325" spans="1:6" x14ac:dyDescent="0.25">
      <c r="A45325" s="1" t="str">
        <f t="shared" si="1512"/>
        <v>99999</v>
      </c>
      <c r="B45325" s="1" t="str">
        <f>"29627"</f>
        <v>29627</v>
      </c>
      <c r="C45325" s="2">
        <v>1.4073915772594101E-6</v>
      </c>
      <c r="D45325" s="2">
        <v>0</v>
      </c>
      <c r="E45325" s="2">
        <v>0</v>
      </c>
      <c r="F45325" s="2">
        <v>1.2828627496722201E-6</v>
      </c>
    </row>
    <row r="45326" spans="1:6" x14ac:dyDescent="0.25">
      <c r="A45326" s="1" t="str">
        <f t="shared" si="1512"/>
        <v>99999</v>
      </c>
      <c r="B45326" s="1" t="str">
        <f>"30527"</f>
        <v>30527</v>
      </c>
      <c r="C45326" s="2">
        <v>2.49000048284357E-6</v>
      </c>
      <c r="D45326" s="2">
        <v>0</v>
      </c>
      <c r="E45326" s="2">
        <v>0</v>
      </c>
      <c r="F45326" s="2">
        <v>2.2696802494200901E-6</v>
      </c>
    </row>
    <row r="45327" spans="1:6" x14ac:dyDescent="0.25">
      <c r="A45327" s="1" t="str">
        <f t="shared" si="1512"/>
        <v>99999</v>
      </c>
      <c r="B45327" s="1" t="str">
        <f>"36439"</f>
        <v>36439</v>
      </c>
      <c r="C45327" s="2">
        <v>0</v>
      </c>
      <c r="D45327" s="2">
        <v>1.50570889527644E-6</v>
      </c>
      <c r="E45327" s="2">
        <v>0</v>
      </c>
      <c r="F45327" s="2">
        <v>9.8681749974786797E-8</v>
      </c>
    </row>
    <row r="45328" spans="1:6" x14ac:dyDescent="0.25">
      <c r="A45328" s="1" t="str">
        <f t="shared" si="1512"/>
        <v>99999</v>
      </c>
      <c r="B45328" s="1" t="str">
        <f>"47933"</f>
        <v>47933</v>
      </c>
      <c r="C45328" s="2">
        <v>1.1908697961425701E-6</v>
      </c>
      <c r="D45328" s="2">
        <v>0</v>
      </c>
      <c r="E45328" s="2">
        <v>0</v>
      </c>
      <c r="F45328" s="2">
        <v>1.0854992497226499E-6</v>
      </c>
    </row>
    <row r="45329" spans="1:6" x14ac:dyDescent="0.25">
      <c r="A45329" s="1" t="str">
        <f t="shared" si="1512"/>
        <v>99999</v>
      </c>
      <c r="B45329" s="1" t="str">
        <f>"57432"</f>
        <v>57432</v>
      </c>
      <c r="C45329" s="2">
        <v>3.46434849786931E-6</v>
      </c>
      <c r="D45329" s="2">
        <v>0</v>
      </c>
      <c r="E45329" s="2">
        <v>0</v>
      </c>
      <c r="F45329" s="2">
        <v>3.1578159991931699E-6</v>
      </c>
    </row>
    <row r="45330" spans="1:6" x14ac:dyDescent="0.25">
      <c r="A45330" s="1" t="str">
        <f t="shared" si="1512"/>
        <v>99999</v>
      </c>
      <c r="B45330" s="1" t="str">
        <f>"71325"</f>
        <v>71325</v>
      </c>
      <c r="C45330" s="2">
        <v>7.7947841202059606E-6</v>
      </c>
      <c r="D45330" s="2">
        <v>3.01141779055288E-6</v>
      </c>
      <c r="E45330" s="2">
        <v>0</v>
      </c>
      <c r="F45330" s="2">
        <v>7.3024494981342204E-6</v>
      </c>
    </row>
    <row r="45331" spans="1:6" x14ac:dyDescent="0.25">
      <c r="A45331" s="1" t="str">
        <f t="shared" si="1512"/>
        <v>99999</v>
      </c>
      <c r="B45331" s="1" t="str">
        <f>"77435"</f>
        <v>77435</v>
      </c>
      <c r="C45331" s="2">
        <v>7.5782623390891299E-7</v>
      </c>
      <c r="D45331" s="2">
        <v>0</v>
      </c>
      <c r="E45331" s="2">
        <v>0</v>
      </c>
      <c r="F45331" s="2">
        <v>6.9077224982350697E-7</v>
      </c>
    </row>
    <row r="45332" spans="1:6" x14ac:dyDescent="0.25">
      <c r="A45332" s="1" t="str">
        <f t="shared" si="1512"/>
        <v>99999</v>
      </c>
      <c r="B45332" s="1" t="str">
        <f>"78677"</f>
        <v>78677</v>
      </c>
      <c r="C45332" s="2">
        <v>3.46434849786931E-6</v>
      </c>
      <c r="D45332" s="2">
        <v>3.01141779055288E-6</v>
      </c>
      <c r="E45332" s="2">
        <v>4.3010567696482999E-6</v>
      </c>
      <c r="F45332" s="2">
        <v>3.4538612491175301E-6</v>
      </c>
    </row>
    <row r="45333" spans="1:6" x14ac:dyDescent="0.25">
      <c r="A45333" s="1" t="str">
        <f t="shared" si="1512"/>
        <v>99999</v>
      </c>
      <c r="B45333" s="1" t="str">
        <f>"84734"</f>
        <v>84734</v>
      </c>
      <c r="C45333" s="2">
        <v>9.7434801502574508E-7</v>
      </c>
      <c r="D45333" s="2">
        <v>1.50570889527644E-6</v>
      </c>
      <c r="E45333" s="2">
        <v>2.58063406178898E-5</v>
      </c>
      <c r="F45333" s="2">
        <v>1.5789079995965801E-6</v>
      </c>
    </row>
    <row r="45334" spans="1:6" x14ac:dyDescent="0.25">
      <c r="A45334" s="1" t="str">
        <f t="shared" si="1512"/>
        <v>99999</v>
      </c>
      <c r="B45334" s="1" t="str">
        <f>"83810"</f>
        <v>83810</v>
      </c>
      <c r="C45334" s="2">
        <v>3.1395658261940598E-6</v>
      </c>
      <c r="D45334" s="2">
        <v>3.01141779055288E-6</v>
      </c>
      <c r="E45334" s="2">
        <v>8.6021135392965999E-6</v>
      </c>
      <c r="F45334" s="2">
        <v>3.2564977491679601E-6</v>
      </c>
    </row>
    <row r="45335" spans="1:6" x14ac:dyDescent="0.25">
      <c r="A45335" s="1" t="str">
        <f t="shared" si="1512"/>
        <v>99999</v>
      </c>
      <c r="B45335" s="1" t="str">
        <f>"99730"</f>
        <v>99730</v>
      </c>
      <c r="C45335" s="2">
        <v>0</v>
      </c>
      <c r="D45335" s="2">
        <v>0</v>
      </c>
      <c r="E45335" s="2">
        <v>4.3010567696482999E-6</v>
      </c>
      <c r="F45335" s="2">
        <v>9.8681749974786797E-8</v>
      </c>
    </row>
    <row r="45336" spans="1:6" x14ac:dyDescent="0.25">
      <c r="A45336" s="1" t="str">
        <f t="shared" si="1512"/>
        <v>99999</v>
      </c>
      <c r="B45336" s="1" t="str">
        <f>"22523"</f>
        <v>22523</v>
      </c>
      <c r="C45336" s="2">
        <v>0</v>
      </c>
      <c r="D45336" s="2">
        <v>0</v>
      </c>
      <c r="E45336" s="2">
        <v>4.3010567696482999E-6</v>
      </c>
      <c r="F45336" s="2">
        <v>9.8681749974786797E-8</v>
      </c>
    </row>
    <row r="45337" spans="1:6" x14ac:dyDescent="0.25">
      <c r="A45337" s="1" t="str">
        <f t="shared" si="1512"/>
        <v>99999</v>
      </c>
      <c r="B45337" s="1" t="str">
        <f>"04662"</f>
        <v>04662</v>
      </c>
      <c r="C45337" s="2">
        <v>4.3304356223366401E-7</v>
      </c>
      <c r="D45337" s="2">
        <v>1.50570889527644E-6</v>
      </c>
      <c r="E45337" s="2">
        <v>4.3010567696482999E-6</v>
      </c>
      <c r="F45337" s="2">
        <v>5.9209049984871999E-7</v>
      </c>
    </row>
    <row r="45338" spans="1:6" x14ac:dyDescent="0.25">
      <c r="A45338" s="1" t="str">
        <f t="shared" si="1512"/>
        <v>99999</v>
      </c>
      <c r="B45338" s="1" t="str">
        <f>"05901"</f>
        <v>05901</v>
      </c>
      <c r="C45338" s="2">
        <v>8.6608712446732898E-7</v>
      </c>
      <c r="D45338" s="2">
        <v>0</v>
      </c>
      <c r="E45338" s="2">
        <v>0</v>
      </c>
      <c r="F45338" s="2">
        <v>7.8945399979829395E-7</v>
      </c>
    </row>
    <row r="45339" spans="1:6" x14ac:dyDescent="0.25">
      <c r="A45339" s="1" t="str">
        <f t="shared" si="1512"/>
        <v>99999</v>
      </c>
      <c r="B45339" s="1" t="str">
        <f>"12454"</f>
        <v>12454</v>
      </c>
      <c r="C45339" s="2">
        <v>1.24500024142178E-5</v>
      </c>
      <c r="D45339" s="2">
        <v>0</v>
      </c>
      <c r="E45339" s="2">
        <v>4.3010567696482999E-6</v>
      </c>
      <c r="F45339" s="2">
        <v>1.14470829970752E-5</v>
      </c>
    </row>
    <row r="45340" spans="1:6" x14ac:dyDescent="0.25">
      <c r="A45340" s="1" t="str">
        <f t="shared" si="1512"/>
        <v>99999</v>
      </c>
      <c r="B45340" s="1" t="str">
        <f>"12787"</f>
        <v>12787</v>
      </c>
      <c r="C45340" s="2">
        <v>4.98000096568714E-6</v>
      </c>
      <c r="D45340" s="2">
        <v>7.5285444763821999E-6</v>
      </c>
      <c r="E45340" s="2">
        <v>1.29031703089449E-5</v>
      </c>
      <c r="F45340" s="2">
        <v>5.3288144986384803E-6</v>
      </c>
    </row>
    <row r="45341" spans="1:6" x14ac:dyDescent="0.25">
      <c r="A45341" s="1" t="str">
        <f t="shared" si="1512"/>
        <v>99999</v>
      </c>
      <c r="B45341" s="1" t="str">
        <f>"12932"</f>
        <v>12932</v>
      </c>
      <c r="C45341" s="2">
        <v>3.8865659710471399E-5</v>
      </c>
      <c r="D45341" s="2">
        <v>1.35513800574879E-5</v>
      </c>
      <c r="E45341" s="2">
        <v>2.15052838482415E-5</v>
      </c>
      <c r="F45341" s="2">
        <v>3.68082927405954E-5</v>
      </c>
    </row>
    <row r="45342" spans="1:6" x14ac:dyDescent="0.25">
      <c r="A45342" s="1" t="str">
        <f t="shared" si="1512"/>
        <v>99999</v>
      </c>
      <c r="B45342" s="1" t="str">
        <f>"13774"</f>
        <v>13774</v>
      </c>
      <c r="C45342" s="2">
        <v>1.2016958851984099E-5</v>
      </c>
      <c r="D45342" s="2">
        <v>0</v>
      </c>
      <c r="E45342" s="2">
        <v>8.6021135392965999E-6</v>
      </c>
      <c r="F45342" s="2">
        <v>1.11510377471509E-5</v>
      </c>
    </row>
    <row r="45343" spans="1:6" x14ac:dyDescent="0.25">
      <c r="A45343" s="1" t="str">
        <f t="shared" si="1512"/>
        <v>99999</v>
      </c>
      <c r="B45343" s="1" t="str">
        <f>"14004"</f>
        <v>14004</v>
      </c>
      <c r="C45343" s="2">
        <v>2.8147831545188199E-5</v>
      </c>
      <c r="D45343" s="2">
        <v>0</v>
      </c>
      <c r="E45343" s="2">
        <v>0</v>
      </c>
      <c r="F45343" s="2">
        <v>2.56572549934445E-5</v>
      </c>
    </row>
    <row r="45344" spans="1:6" x14ac:dyDescent="0.25">
      <c r="A45344" s="1" t="str">
        <f t="shared" si="1512"/>
        <v>99999</v>
      </c>
      <c r="B45344" s="1" t="str">
        <f>"16347"</f>
        <v>16347</v>
      </c>
      <c r="C45344" s="2">
        <v>9.0939148069069495E-6</v>
      </c>
      <c r="D45344" s="2">
        <v>7.5285444763821999E-6</v>
      </c>
      <c r="E45344" s="2">
        <v>0</v>
      </c>
      <c r="F45344" s="2">
        <v>8.7826757477560201E-6</v>
      </c>
    </row>
    <row r="45345" spans="1:6" x14ac:dyDescent="0.25">
      <c r="A45345" s="1" t="str">
        <f t="shared" si="1512"/>
        <v>99999</v>
      </c>
      <c r="B45345" s="1" t="str">
        <f>"16657"</f>
        <v>16657</v>
      </c>
      <c r="C45345" s="2">
        <v>2.49000048284357E-6</v>
      </c>
      <c r="D45345" s="2">
        <v>1.50570889527644E-6</v>
      </c>
      <c r="E45345" s="2">
        <v>0</v>
      </c>
      <c r="F45345" s="2">
        <v>2.3683619993948799E-6</v>
      </c>
    </row>
    <row r="45346" spans="1:6" x14ac:dyDescent="0.25">
      <c r="A45346" s="1" t="str">
        <f t="shared" si="1512"/>
        <v>99999</v>
      </c>
      <c r="B45346" s="1" t="str">
        <f>"17768"</f>
        <v>17768</v>
      </c>
      <c r="C45346" s="2">
        <v>2.0786090987215901E-5</v>
      </c>
      <c r="D45346" s="2">
        <v>6.0228355811057601E-6</v>
      </c>
      <c r="E45346" s="2">
        <v>0</v>
      </c>
      <c r="F45346" s="2">
        <v>1.9341622995058201E-5</v>
      </c>
    </row>
    <row r="45347" spans="1:6" x14ac:dyDescent="0.25">
      <c r="A45347" s="1" t="str">
        <f t="shared" si="1512"/>
        <v>99999</v>
      </c>
      <c r="B45347" s="1" t="str">
        <f>"22509"</f>
        <v>22509</v>
      </c>
      <c r="C45347" s="2">
        <v>4.1139138412198104E-6</v>
      </c>
      <c r="D45347" s="2">
        <v>3.01141779055288E-6</v>
      </c>
      <c r="E45347" s="2">
        <v>0</v>
      </c>
      <c r="F45347" s="2">
        <v>3.94726999899147E-6</v>
      </c>
    </row>
    <row r="45348" spans="1:6" x14ac:dyDescent="0.25">
      <c r="A45348" s="1" t="str">
        <f t="shared" si="1512"/>
        <v>99999</v>
      </c>
      <c r="B45348" s="1" t="str">
        <f>"22654"</f>
        <v>22654</v>
      </c>
      <c r="C45348" s="2">
        <v>1.43986984442693E-5</v>
      </c>
      <c r="D45348" s="2">
        <v>3.01141779055288E-6</v>
      </c>
      <c r="E45348" s="2">
        <v>0</v>
      </c>
      <c r="F45348" s="2">
        <v>1.3322036246596199E-5</v>
      </c>
    </row>
    <row r="45349" spans="1:6" x14ac:dyDescent="0.25">
      <c r="A45349" s="1" t="str">
        <f t="shared" si="1512"/>
        <v>99999</v>
      </c>
      <c r="B45349" s="1" t="str">
        <f>"29840"</f>
        <v>29840</v>
      </c>
      <c r="C45349" s="2">
        <v>1.23417415236594E-5</v>
      </c>
      <c r="D45349" s="2">
        <v>1.20456711622115E-5</v>
      </c>
      <c r="E45349" s="2">
        <v>4.3010567696482999E-6</v>
      </c>
      <c r="F45349" s="2">
        <v>1.2137855246898699E-5</v>
      </c>
    </row>
    <row r="45350" spans="1:6" x14ac:dyDescent="0.25">
      <c r="A45350" s="1" t="str">
        <f t="shared" si="1512"/>
        <v>99999</v>
      </c>
      <c r="B45350" s="1" t="str">
        <f>"32351"</f>
        <v>32351</v>
      </c>
      <c r="C45350" s="2">
        <v>4.3304356223366401E-7</v>
      </c>
      <c r="D45350" s="2">
        <v>0</v>
      </c>
      <c r="E45350" s="2">
        <v>0</v>
      </c>
      <c r="F45350" s="2">
        <v>3.9472699989914697E-7</v>
      </c>
    </row>
    <row r="45351" spans="1:6" x14ac:dyDescent="0.25">
      <c r="A45351" s="1" t="str">
        <f t="shared" si="1512"/>
        <v>99999</v>
      </c>
      <c r="B45351" s="1" t="str">
        <f>"36763"</f>
        <v>36763</v>
      </c>
      <c r="C45351" s="2">
        <v>0</v>
      </c>
      <c r="D45351" s="2">
        <v>0</v>
      </c>
      <c r="E45351" s="2">
        <v>4.3010567696482999E-6</v>
      </c>
      <c r="F45351" s="2">
        <v>9.8681749974786797E-8</v>
      </c>
    </row>
    <row r="45352" spans="1:6" x14ac:dyDescent="0.25">
      <c r="A45352" s="1" t="str">
        <f t="shared" si="1512"/>
        <v>99999</v>
      </c>
      <c r="B45352" s="1" t="str">
        <f>"36078"</f>
        <v>36078</v>
      </c>
      <c r="C45352" s="2">
        <v>2.9230440450772301E-6</v>
      </c>
      <c r="D45352" s="2">
        <v>0</v>
      </c>
      <c r="E45352" s="2">
        <v>0</v>
      </c>
      <c r="F45352" s="2">
        <v>2.6644072493192401E-6</v>
      </c>
    </row>
    <row r="45353" spans="1:6" x14ac:dyDescent="0.25">
      <c r="A45353" s="1" t="str">
        <f t="shared" si="1512"/>
        <v>99999</v>
      </c>
      <c r="B45353" s="1" t="str">
        <f>"38565"</f>
        <v>38565</v>
      </c>
      <c r="C45353" s="2">
        <v>5.59708804187011E-5</v>
      </c>
      <c r="D45353" s="2">
        <v>1.9574215638593701E-5</v>
      </c>
      <c r="E45353" s="2">
        <v>2.58063406178898E-5</v>
      </c>
      <c r="F45353" s="2">
        <v>5.2893417986485698E-5</v>
      </c>
    </row>
    <row r="45354" spans="1:6" x14ac:dyDescent="0.25">
      <c r="A45354" s="1" t="str">
        <f t="shared" si="1512"/>
        <v>99999</v>
      </c>
      <c r="B45354" s="1" t="str">
        <f>"40328"</f>
        <v>40328</v>
      </c>
      <c r="C45354" s="2">
        <v>5.4563488841441697E-5</v>
      </c>
      <c r="D45354" s="2">
        <v>1.9574215638593701E-5</v>
      </c>
      <c r="E45354" s="2">
        <v>5.5913738005427899E-5</v>
      </c>
      <c r="F45354" s="2">
        <v>5.2301327486636997E-5</v>
      </c>
    </row>
    <row r="45355" spans="1:6" x14ac:dyDescent="0.25">
      <c r="A45355" s="1" t="str">
        <f t="shared" si="1512"/>
        <v>99999</v>
      </c>
      <c r="B45355" s="1" t="str">
        <f>"46155"</f>
        <v>46155</v>
      </c>
      <c r="C45355" s="2">
        <v>6.6039143240633804E-6</v>
      </c>
      <c r="D45355" s="2">
        <v>6.0228355811057601E-6</v>
      </c>
      <c r="E45355" s="2">
        <v>4.3010567696482999E-6</v>
      </c>
      <c r="F45355" s="2">
        <v>6.5129954983359203E-6</v>
      </c>
    </row>
    <row r="45356" spans="1:6" x14ac:dyDescent="0.25">
      <c r="A45356" s="1" t="str">
        <f t="shared" si="1512"/>
        <v>99999</v>
      </c>
      <c r="B45356" s="1" t="str">
        <f>"45646"</f>
        <v>45646</v>
      </c>
      <c r="C45356" s="2">
        <v>2.1652178111683201E-5</v>
      </c>
      <c r="D45356" s="2">
        <v>1.35513800574879E-5</v>
      </c>
      <c r="E45356" s="2">
        <v>0</v>
      </c>
      <c r="F45356" s="2">
        <v>2.0624485744730399E-5</v>
      </c>
    </row>
    <row r="45357" spans="1:6" x14ac:dyDescent="0.25">
      <c r="A45357" s="1" t="str">
        <f t="shared" si="1512"/>
        <v>99999</v>
      </c>
      <c r="B45357" s="1" t="str">
        <f>"43323"</f>
        <v>43323</v>
      </c>
      <c r="C45357" s="2">
        <v>2.8147831545188199E-5</v>
      </c>
      <c r="D45357" s="2">
        <v>1.65627978480408E-5</v>
      </c>
      <c r="E45357" s="2">
        <v>0</v>
      </c>
      <c r="F45357" s="2">
        <v>2.6742754243167199E-5</v>
      </c>
    </row>
    <row r="45358" spans="1:6" x14ac:dyDescent="0.25">
      <c r="A45358" s="1" t="str">
        <f t="shared" si="1512"/>
        <v>99999</v>
      </c>
      <c r="B45358" s="1" t="str">
        <f>"48628"</f>
        <v>48628</v>
      </c>
      <c r="C45358" s="2">
        <v>2.38173959228515E-5</v>
      </c>
      <c r="D45358" s="2">
        <v>4.5171266858293203E-6</v>
      </c>
      <c r="E45358" s="2">
        <v>0</v>
      </c>
      <c r="F45358" s="2">
        <v>2.2006030244377399E-5</v>
      </c>
    </row>
    <row r="45359" spans="1:6" x14ac:dyDescent="0.25">
      <c r="A45359" s="1" t="str">
        <f t="shared" si="1512"/>
        <v>99999</v>
      </c>
      <c r="B45359" s="1" t="str">
        <f>"49879"</f>
        <v>49879</v>
      </c>
      <c r="C45359" s="2">
        <v>2.1652178111683201E-7</v>
      </c>
      <c r="D45359" s="2">
        <v>1.50570889527644E-6</v>
      </c>
      <c r="E45359" s="2">
        <v>0</v>
      </c>
      <c r="F45359" s="2">
        <v>2.9604524992435999E-7</v>
      </c>
    </row>
    <row r="45360" spans="1:6" x14ac:dyDescent="0.25">
      <c r="A45360" s="1" t="str">
        <f t="shared" si="1512"/>
        <v>99999</v>
      </c>
      <c r="B45360" s="1" t="str">
        <f>"53953"</f>
        <v>53953</v>
      </c>
      <c r="C45360" s="2">
        <v>3.3560876073109E-6</v>
      </c>
      <c r="D45360" s="2">
        <v>0</v>
      </c>
      <c r="E45360" s="2">
        <v>4.3010567696482999E-6</v>
      </c>
      <c r="F45360" s="2">
        <v>3.1578159991931699E-6</v>
      </c>
    </row>
    <row r="45361" spans="1:6" x14ac:dyDescent="0.25">
      <c r="A45361" s="1" t="str">
        <f t="shared" si="1512"/>
        <v>99999</v>
      </c>
      <c r="B45361" s="1" t="str">
        <f>"56473"</f>
        <v>56473</v>
      </c>
      <c r="C45361" s="2">
        <v>1.1908697961425701E-5</v>
      </c>
      <c r="D45361" s="2">
        <v>1.50570889527644E-6</v>
      </c>
      <c r="E45361" s="2">
        <v>0</v>
      </c>
      <c r="F45361" s="2">
        <v>1.0953674247201299E-5</v>
      </c>
    </row>
    <row r="45362" spans="1:6" x14ac:dyDescent="0.25">
      <c r="A45362" s="1" t="str">
        <f t="shared" si="1512"/>
        <v>99999</v>
      </c>
      <c r="B45362" s="1" t="str">
        <f>"55350"</f>
        <v>55350</v>
      </c>
      <c r="C45362" s="2">
        <v>2.0894351877774301E-5</v>
      </c>
      <c r="D45362" s="2">
        <v>7.5285444763821999E-6</v>
      </c>
      <c r="E45362" s="2">
        <v>0</v>
      </c>
      <c r="F45362" s="2">
        <v>1.95389864950077E-5</v>
      </c>
    </row>
    <row r="45363" spans="1:6" x14ac:dyDescent="0.25">
      <c r="A45363" s="1" t="str">
        <f t="shared" si="1512"/>
        <v>99999</v>
      </c>
      <c r="B45363" s="1" t="str">
        <f>"59844"</f>
        <v>59844</v>
      </c>
      <c r="C45363" s="2">
        <v>3.0746092918590099E-5</v>
      </c>
      <c r="D45363" s="2">
        <v>2.25856334291466E-5</v>
      </c>
      <c r="E45363" s="2">
        <v>2.15052838482415E-5</v>
      </c>
      <c r="F45363" s="2">
        <v>2.9999251992335099E-5</v>
      </c>
    </row>
    <row r="45364" spans="1:6" x14ac:dyDescent="0.25">
      <c r="A45364" s="1" t="str">
        <f t="shared" si="1512"/>
        <v>99999</v>
      </c>
      <c r="B45364" s="1" t="str">
        <f>"58443"</f>
        <v>58443</v>
      </c>
      <c r="C45364" s="2">
        <v>9.4186974785821993E-6</v>
      </c>
      <c r="D45364" s="2">
        <v>0</v>
      </c>
      <c r="E45364" s="2">
        <v>2.58063406178898E-5</v>
      </c>
      <c r="F45364" s="2">
        <v>9.1774027476551693E-6</v>
      </c>
    </row>
    <row r="45365" spans="1:6" x14ac:dyDescent="0.25">
      <c r="A45365" s="1" t="str">
        <f t="shared" si="1512"/>
        <v>99999</v>
      </c>
      <c r="B45365" s="1" t="str">
        <f>"65350"</f>
        <v>65350</v>
      </c>
      <c r="C45365" s="2">
        <v>5.4130445279208001E-6</v>
      </c>
      <c r="D45365" s="2">
        <v>0</v>
      </c>
      <c r="E45365" s="2">
        <v>0</v>
      </c>
      <c r="F45365" s="2">
        <v>4.9340874987393404E-6</v>
      </c>
    </row>
    <row r="45366" spans="1:6" x14ac:dyDescent="0.25">
      <c r="A45366" s="1" t="str">
        <f t="shared" si="1512"/>
        <v>99999</v>
      </c>
      <c r="B45366" s="1" t="str">
        <f>"64850"</f>
        <v>64850</v>
      </c>
      <c r="C45366" s="2">
        <v>2.49000048284357E-6</v>
      </c>
      <c r="D45366" s="2">
        <v>0</v>
      </c>
      <c r="E45366" s="2">
        <v>0</v>
      </c>
      <c r="F45366" s="2">
        <v>2.2696802494200901E-6</v>
      </c>
    </row>
    <row r="45367" spans="1:6" x14ac:dyDescent="0.25">
      <c r="A45367" s="1" t="str">
        <f t="shared" si="1512"/>
        <v>99999</v>
      </c>
      <c r="B45367" s="1" t="str">
        <f>"64842"</f>
        <v>64842</v>
      </c>
      <c r="C45367" s="2">
        <v>1.7321742489346499E-6</v>
      </c>
      <c r="D45367" s="2">
        <v>0</v>
      </c>
      <c r="E45367" s="2">
        <v>0</v>
      </c>
      <c r="F45367" s="2">
        <v>1.5789079995965801E-6</v>
      </c>
    </row>
    <row r="45368" spans="1:6" x14ac:dyDescent="0.25">
      <c r="A45368" s="1" t="str">
        <f t="shared" si="1512"/>
        <v>99999</v>
      </c>
      <c r="B45368" s="1" t="str">
        <f>"67335"</f>
        <v>67335</v>
      </c>
      <c r="C45368" s="2">
        <v>2.9230440450772301E-6</v>
      </c>
      <c r="D45368" s="2">
        <v>4.5171266858293203E-6</v>
      </c>
      <c r="E45368" s="2">
        <v>0</v>
      </c>
      <c r="F45368" s="2">
        <v>2.9604524992435999E-6</v>
      </c>
    </row>
    <row r="45369" spans="1:6" x14ac:dyDescent="0.25">
      <c r="A45369" s="1" t="str">
        <f t="shared" si="1512"/>
        <v>99999</v>
      </c>
      <c r="B45369" s="1" t="str">
        <f>"67631"</f>
        <v>67631</v>
      </c>
      <c r="C45369" s="2">
        <v>8.2278276824396208E-6</v>
      </c>
      <c r="D45369" s="2">
        <v>1.50570889527644E-6</v>
      </c>
      <c r="E45369" s="2">
        <v>4.3010567696482999E-6</v>
      </c>
      <c r="F45369" s="2">
        <v>7.6971764980333696E-6</v>
      </c>
    </row>
    <row r="45370" spans="1:6" x14ac:dyDescent="0.25">
      <c r="A45370" s="1" t="str">
        <f t="shared" si="1512"/>
        <v>99999</v>
      </c>
      <c r="B45370" s="1" t="str">
        <f>"69350"</f>
        <v>69350</v>
      </c>
      <c r="C45370" s="2">
        <v>1.23417415236594E-5</v>
      </c>
      <c r="D45370" s="2">
        <v>1.0539962266935E-5</v>
      </c>
      <c r="E45370" s="2">
        <v>4.3010567696482999E-6</v>
      </c>
      <c r="F45370" s="2">
        <v>1.2039173496923901E-5</v>
      </c>
    </row>
    <row r="45371" spans="1:6" x14ac:dyDescent="0.25">
      <c r="A45371" s="1" t="str">
        <f t="shared" si="1512"/>
        <v>99999</v>
      </c>
      <c r="B45371" s="1" t="str">
        <f>"69020"</f>
        <v>69020</v>
      </c>
      <c r="C45371" s="2">
        <v>1.8079568723255499E-5</v>
      </c>
      <c r="D45371" s="2">
        <v>9.0342533716586405E-6</v>
      </c>
      <c r="E45371" s="2">
        <v>4.3010567696482999E-6</v>
      </c>
      <c r="F45371" s="2">
        <v>1.7170624495612899E-5</v>
      </c>
    </row>
    <row r="45372" spans="1:6" x14ac:dyDescent="0.25">
      <c r="A45372" s="1" t="str">
        <f t="shared" si="1512"/>
        <v>99999</v>
      </c>
      <c r="B45372" s="1" t="str">
        <f>"71944"</f>
        <v>71944</v>
      </c>
      <c r="C45372" s="2">
        <v>3.47517458692515E-5</v>
      </c>
      <c r="D45372" s="2">
        <v>1.20456711622115E-5</v>
      </c>
      <c r="E45372" s="2">
        <v>1.72042270785932E-5</v>
      </c>
      <c r="F45372" s="2">
        <v>3.2861022741603999E-5</v>
      </c>
    </row>
    <row r="45373" spans="1:6" x14ac:dyDescent="0.25">
      <c r="A45373" s="1" t="str">
        <f t="shared" si="1512"/>
        <v>99999</v>
      </c>
      <c r="B45373" s="1" t="str">
        <f>"71256"</f>
        <v>71256</v>
      </c>
      <c r="C45373" s="2">
        <v>1.25582633047762E-5</v>
      </c>
      <c r="D45373" s="2">
        <v>1.50570889527644E-6</v>
      </c>
      <c r="E45373" s="2">
        <v>0</v>
      </c>
      <c r="F45373" s="2">
        <v>1.154576474705E-5</v>
      </c>
    </row>
    <row r="45374" spans="1:6" x14ac:dyDescent="0.25">
      <c r="A45374" s="1" t="str">
        <f t="shared" si="1512"/>
        <v>99999</v>
      </c>
      <c r="B45374" s="1" t="str">
        <f>"73544"</f>
        <v>73544</v>
      </c>
      <c r="C45374" s="2">
        <v>1.5914350912087102E-5</v>
      </c>
      <c r="D45374" s="2">
        <v>1.35513800574879E-5</v>
      </c>
      <c r="E45374" s="2">
        <v>4.3010567696482999E-6</v>
      </c>
      <c r="F45374" s="2">
        <v>1.5493034746041499E-5</v>
      </c>
    </row>
    <row r="45375" spans="1:6" x14ac:dyDescent="0.25">
      <c r="A45375" s="1" t="str">
        <f t="shared" si="1512"/>
        <v>99999</v>
      </c>
      <c r="B45375" s="1" t="str">
        <f>"74939"</f>
        <v>74939</v>
      </c>
      <c r="C45375" s="2">
        <v>3.2370006276966397E-5</v>
      </c>
      <c r="D45375" s="2">
        <v>1.20456711622115E-5</v>
      </c>
      <c r="E45375" s="2">
        <v>4.3010567696482999E-6</v>
      </c>
      <c r="F45375" s="2">
        <v>3.03939789922343E-5</v>
      </c>
    </row>
    <row r="45376" spans="1:6" x14ac:dyDescent="0.25">
      <c r="A45376" s="1" t="str">
        <f t="shared" si="1512"/>
        <v>99999</v>
      </c>
      <c r="B45376" s="1" t="str">
        <f>"75471"</f>
        <v>75471</v>
      </c>
      <c r="C45376" s="2">
        <v>3.5726093884277301E-6</v>
      </c>
      <c r="D45376" s="2">
        <v>0</v>
      </c>
      <c r="E45376" s="2">
        <v>0</v>
      </c>
      <c r="F45376" s="2">
        <v>3.2564977491679601E-6</v>
      </c>
    </row>
    <row r="45377" spans="1:6" x14ac:dyDescent="0.25">
      <c r="A45377" s="1" t="str">
        <f t="shared" si="1512"/>
        <v>99999</v>
      </c>
      <c r="B45377" s="1" t="str">
        <f>"79344"</f>
        <v>79344</v>
      </c>
      <c r="C45377" s="2">
        <v>2.1652178111683201E-7</v>
      </c>
      <c r="D45377" s="2">
        <v>0</v>
      </c>
      <c r="E45377" s="2">
        <v>8.6021135392965999E-6</v>
      </c>
      <c r="F45377" s="2">
        <v>3.9472699989914697E-7</v>
      </c>
    </row>
    <row r="45378" spans="1:6" x14ac:dyDescent="0.25">
      <c r="A45378" s="1" t="str">
        <f t="shared" si="1512"/>
        <v>99999</v>
      </c>
      <c r="B45378" s="1" t="str">
        <f>"79538"</f>
        <v>79538</v>
      </c>
      <c r="C45378" s="2">
        <v>6.49565343350497E-6</v>
      </c>
      <c r="D45378" s="2">
        <v>0</v>
      </c>
      <c r="E45378" s="2">
        <v>1.29031703089449E-5</v>
      </c>
      <c r="F45378" s="2">
        <v>6.2169502484115596E-6</v>
      </c>
    </row>
    <row r="45379" spans="1:6" x14ac:dyDescent="0.25">
      <c r="A45379" s="1" t="str">
        <f t="shared" si="1512"/>
        <v>99999</v>
      </c>
      <c r="B45379" s="1" t="str">
        <f>"76474"</f>
        <v>76474</v>
      </c>
      <c r="C45379" s="2">
        <v>1.62391335837624E-5</v>
      </c>
      <c r="D45379" s="2">
        <v>4.5171266858293203E-6</v>
      </c>
      <c r="E45379" s="2">
        <v>1.72042270785932E-5</v>
      </c>
      <c r="F45379" s="2">
        <v>1.5493034746041499E-5</v>
      </c>
    </row>
    <row r="45380" spans="1:6" x14ac:dyDescent="0.25">
      <c r="A45380" s="1" t="str">
        <f t="shared" si="1512"/>
        <v>99999</v>
      </c>
      <c r="B45380" s="1" t="str">
        <f>"76801"</f>
        <v>76801</v>
      </c>
      <c r="C45380" s="2">
        <v>3.46434849786931E-6</v>
      </c>
      <c r="D45380" s="2">
        <v>0</v>
      </c>
      <c r="E45380" s="2">
        <v>3.44084541571864E-5</v>
      </c>
      <c r="F45380" s="2">
        <v>3.94726999899147E-6</v>
      </c>
    </row>
    <row r="45381" spans="1:6" x14ac:dyDescent="0.25">
      <c r="A45381" s="1" t="str">
        <f t="shared" si="1512"/>
        <v>99999</v>
      </c>
      <c r="B45381" s="1" t="str">
        <f>"81239"</f>
        <v>81239</v>
      </c>
      <c r="C45381" s="2">
        <v>5.8460880901544696E-6</v>
      </c>
      <c r="D45381" s="2">
        <v>0</v>
      </c>
      <c r="E45381" s="2">
        <v>8.6021135392965999E-6</v>
      </c>
      <c r="F45381" s="2">
        <v>5.52617799858806E-6</v>
      </c>
    </row>
    <row r="45382" spans="1:6" x14ac:dyDescent="0.25">
      <c r="A45382" s="1" t="str">
        <f t="shared" ref="A45382:A45445" si="1513">"99999"</f>
        <v>99999</v>
      </c>
      <c r="B45382" s="1" t="str">
        <f>"82224"</f>
        <v>82224</v>
      </c>
      <c r="C45382" s="2">
        <v>1.4073915772594101E-6</v>
      </c>
      <c r="D45382" s="2">
        <v>0</v>
      </c>
      <c r="E45382" s="2">
        <v>4.3010567696482999E-6</v>
      </c>
      <c r="F45382" s="2">
        <v>1.3815444996470099E-6</v>
      </c>
    </row>
    <row r="45383" spans="1:6" x14ac:dyDescent="0.25">
      <c r="A45383" s="1" t="str">
        <f t="shared" si="1513"/>
        <v>99999</v>
      </c>
      <c r="B45383" s="1" t="str">
        <f>"82331"</f>
        <v>82331</v>
      </c>
      <c r="C45383" s="2">
        <v>8.6608712446732894E-6</v>
      </c>
      <c r="D45383" s="2">
        <v>1.35513800574879E-5</v>
      </c>
      <c r="E45383" s="2">
        <v>4.3010567696482999E-6</v>
      </c>
      <c r="F45383" s="2">
        <v>8.8813574977308104E-6</v>
      </c>
    </row>
    <row r="45384" spans="1:6" x14ac:dyDescent="0.25">
      <c r="A45384" s="1" t="str">
        <f t="shared" si="1513"/>
        <v>99999</v>
      </c>
      <c r="B45384" s="1" t="str">
        <f>"83112"</f>
        <v>83112</v>
      </c>
      <c r="C45384" s="2">
        <v>1.1150871727516799E-5</v>
      </c>
      <c r="D45384" s="2">
        <v>0</v>
      </c>
      <c r="E45384" s="2">
        <v>8.6021135392965999E-6</v>
      </c>
      <c r="F45384" s="2">
        <v>1.03615837473526E-5</v>
      </c>
    </row>
    <row r="45385" spans="1:6" x14ac:dyDescent="0.25">
      <c r="A45385" s="1" t="str">
        <f t="shared" si="1513"/>
        <v>99999</v>
      </c>
      <c r="B45385" s="1" t="str">
        <f>"84766"</f>
        <v>84766</v>
      </c>
      <c r="C45385" s="2">
        <v>6.1708707618297202E-6</v>
      </c>
      <c r="D45385" s="2">
        <v>3.01141779055288E-6</v>
      </c>
      <c r="E45385" s="2">
        <v>1.29031703089449E-5</v>
      </c>
      <c r="F45385" s="2">
        <v>6.1182684984367804E-6</v>
      </c>
    </row>
    <row r="45386" spans="1:6" x14ac:dyDescent="0.25">
      <c r="A45386" s="1" t="str">
        <f t="shared" si="1513"/>
        <v>99999</v>
      </c>
      <c r="B45386" s="1" t="str">
        <f>"87943"</f>
        <v>87943</v>
      </c>
      <c r="C45386" s="2">
        <v>9.96000193137428E-6</v>
      </c>
      <c r="D45386" s="2">
        <v>1.50570889527644E-6</v>
      </c>
      <c r="E45386" s="2">
        <v>0</v>
      </c>
      <c r="F45386" s="2">
        <v>9.1774027476551693E-6</v>
      </c>
    </row>
    <row r="45387" spans="1:6" x14ac:dyDescent="0.25">
      <c r="A45387" s="1" t="str">
        <f t="shared" si="1513"/>
        <v>99999</v>
      </c>
      <c r="B45387" s="1" t="str">
        <f>"96041"</f>
        <v>96041</v>
      </c>
      <c r="C45387" s="2">
        <v>7.3617405579722903E-6</v>
      </c>
      <c r="D45387" s="2">
        <v>1.50570889527644E-6</v>
      </c>
      <c r="E45387" s="2">
        <v>0</v>
      </c>
      <c r="F45387" s="2">
        <v>6.8090407482602902E-6</v>
      </c>
    </row>
    <row r="45388" spans="1:6" x14ac:dyDescent="0.25">
      <c r="A45388" s="1" t="str">
        <f t="shared" si="1513"/>
        <v>99999</v>
      </c>
      <c r="B45388" s="1" t="str">
        <f>"12872"</f>
        <v>12872</v>
      </c>
      <c r="C45388" s="2">
        <v>1.84043513949307E-6</v>
      </c>
      <c r="D45388" s="2">
        <v>0</v>
      </c>
      <c r="E45388" s="2">
        <v>4.3010567696482999E-6</v>
      </c>
      <c r="F45388" s="2">
        <v>1.77627149954616E-6</v>
      </c>
    </row>
    <row r="45389" spans="1:6" x14ac:dyDescent="0.25">
      <c r="A45389" s="1" t="str">
        <f t="shared" si="1513"/>
        <v>99999</v>
      </c>
      <c r="B45389" s="1" t="str">
        <f>"29440"</f>
        <v>29440</v>
      </c>
      <c r="C45389" s="2">
        <v>9.7434801502574508E-7</v>
      </c>
      <c r="D45389" s="2">
        <v>1.0539962266935E-5</v>
      </c>
      <c r="E45389" s="2">
        <v>0</v>
      </c>
      <c r="F45389" s="2">
        <v>1.5789079995965801E-6</v>
      </c>
    </row>
    <row r="45390" spans="1:6" x14ac:dyDescent="0.25">
      <c r="A45390" s="1" t="str">
        <f t="shared" si="1513"/>
        <v>99999</v>
      </c>
      <c r="B45390" s="1" t="str">
        <f>"32466"</f>
        <v>32466</v>
      </c>
      <c r="C45390" s="2">
        <v>1.9270438519397999E-5</v>
      </c>
      <c r="D45390" s="2">
        <v>3.01141779055288E-6</v>
      </c>
      <c r="E45390" s="2">
        <v>0</v>
      </c>
      <c r="F45390" s="2">
        <v>1.77627149954616E-5</v>
      </c>
    </row>
    <row r="45391" spans="1:6" x14ac:dyDescent="0.25">
      <c r="A45391" s="1" t="str">
        <f t="shared" si="1513"/>
        <v>99999</v>
      </c>
      <c r="B45391" s="1" t="str">
        <f>"37872"</f>
        <v>37872</v>
      </c>
      <c r="C45391" s="2">
        <v>1.2883045976451501E-5</v>
      </c>
      <c r="D45391" s="2">
        <v>3.01141779055288E-6</v>
      </c>
      <c r="E45391" s="2">
        <v>0</v>
      </c>
      <c r="F45391" s="2">
        <v>1.19404917469492E-5</v>
      </c>
    </row>
    <row r="45392" spans="1:6" x14ac:dyDescent="0.25">
      <c r="A45392" s="1" t="str">
        <f t="shared" si="1513"/>
        <v>99999</v>
      </c>
      <c r="B45392" s="1" t="str">
        <f>"45657"</f>
        <v>45657</v>
      </c>
      <c r="C45392" s="2">
        <v>2.5441309281227699E-5</v>
      </c>
      <c r="D45392" s="2">
        <v>0</v>
      </c>
      <c r="E45392" s="2">
        <v>0</v>
      </c>
      <c r="F45392" s="2">
        <v>2.3190211244074899E-5</v>
      </c>
    </row>
    <row r="45393" spans="1:6" x14ac:dyDescent="0.25">
      <c r="A45393" s="1" t="str">
        <f t="shared" si="1513"/>
        <v>99999</v>
      </c>
      <c r="B45393" s="1" t="str">
        <f>"51051"</f>
        <v>51051</v>
      </c>
      <c r="C45393" s="2">
        <v>5.6295663090376404E-6</v>
      </c>
      <c r="D45393" s="2">
        <v>3.01141779055288E-6</v>
      </c>
      <c r="E45393" s="2">
        <v>4.3010567696482999E-6</v>
      </c>
      <c r="F45393" s="2">
        <v>5.4274962486132697E-6</v>
      </c>
    </row>
    <row r="45394" spans="1:6" x14ac:dyDescent="0.25">
      <c r="A45394" s="1" t="str">
        <f t="shared" si="1513"/>
        <v>99999</v>
      </c>
      <c r="B45394" s="1" t="str">
        <f>"52755"</f>
        <v>52755</v>
      </c>
      <c r="C45394" s="2">
        <v>6.1708707618297202E-6</v>
      </c>
      <c r="D45394" s="2">
        <v>0</v>
      </c>
      <c r="E45394" s="2">
        <v>0</v>
      </c>
      <c r="F45394" s="2">
        <v>5.6248597485628401E-6</v>
      </c>
    </row>
    <row r="45395" spans="1:6" x14ac:dyDescent="0.25">
      <c r="A45395" s="1" t="str">
        <f t="shared" si="1513"/>
        <v>99999</v>
      </c>
      <c r="B45395" s="1" t="str">
        <f>"57236"</f>
        <v>57236</v>
      </c>
      <c r="C45395" s="2">
        <v>6.3873925429465503E-6</v>
      </c>
      <c r="D45395" s="2">
        <v>3.01141779055288E-6</v>
      </c>
      <c r="E45395" s="2">
        <v>4.3010567696482999E-6</v>
      </c>
      <c r="F45395" s="2">
        <v>6.1182684984367804E-6</v>
      </c>
    </row>
    <row r="45396" spans="1:6" x14ac:dyDescent="0.25">
      <c r="A45396" s="1" t="str">
        <f t="shared" si="1513"/>
        <v>99999</v>
      </c>
      <c r="B45396" s="1" t="str">
        <f>"56389"</f>
        <v>56389</v>
      </c>
      <c r="C45396" s="2">
        <v>4.3304356223366396E-6</v>
      </c>
      <c r="D45396" s="2">
        <v>6.0228355811057601E-6</v>
      </c>
      <c r="E45396" s="2">
        <v>4.3010567696482999E-6</v>
      </c>
      <c r="F45396" s="2">
        <v>4.4406787488654001E-6</v>
      </c>
    </row>
    <row r="45397" spans="1:6" x14ac:dyDescent="0.25">
      <c r="A45397" s="1" t="str">
        <f t="shared" si="1513"/>
        <v>99999</v>
      </c>
      <c r="B45397" s="1" t="str">
        <f>"57540"</f>
        <v>57540</v>
      </c>
      <c r="C45397" s="2">
        <v>5.95434898071288E-6</v>
      </c>
      <c r="D45397" s="2">
        <v>0</v>
      </c>
      <c r="E45397" s="2">
        <v>4.3010567696482999E-6</v>
      </c>
      <c r="F45397" s="2">
        <v>5.52617799858806E-6</v>
      </c>
    </row>
    <row r="45398" spans="1:6" x14ac:dyDescent="0.25">
      <c r="A45398" s="1" t="str">
        <f t="shared" si="1513"/>
        <v>99999</v>
      </c>
      <c r="B45398" s="1" t="str">
        <f>"58794"</f>
        <v>58794</v>
      </c>
      <c r="C45398" s="2">
        <v>1.2125219742542599E-5</v>
      </c>
      <c r="D45398" s="2">
        <v>4.5171266858293203E-6</v>
      </c>
      <c r="E45398" s="2">
        <v>4.3010567696482999E-6</v>
      </c>
      <c r="F45398" s="2">
        <v>1.14470829970752E-5</v>
      </c>
    </row>
    <row r="45399" spans="1:6" x14ac:dyDescent="0.25">
      <c r="A45399" s="1" t="str">
        <f t="shared" si="1513"/>
        <v>99999</v>
      </c>
      <c r="B45399" s="1" t="str">
        <f>"58835"</f>
        <v>58835</v>
      </c>
      <c r="C45399" s="2">
        <v>3.7891311695445598E-5</v>
      </c>
      <c r="D45399" s="2">
        <v>2.4091342324423E-5</v>
      </c>
      <c r="E45399" s="2">
        <v>5.1612681235779599E-5</v>
      </c>
      <c r="F45399" s="2">
        <v>3.7301701490469398E-5</v>
      </c>
    </row>
    <row r="45400" spans="1:6" x14ac:dyDescent="0.25">
      <c r="A45400" s="1" t="str">
        <f t="shared" si="1513"/>
        <v>99999</v>
      </c>
      <c r="B45400" s="1" t="str">
        <f>"62292"</f>
        <v>62292</v>
      </c>
      <c r="C45400" s="2">
        <v>1.51565246781782E-6</v>
      </c>
      <c r="D45400" s="2">
        <v>0</v>
      </c>
      <c r="E45400" s="2">
        <v>4.3010567696482999E-6</v>
      </c>
      <c r="F45400" s="2">
        <v>1.4802262496218E-6</v>
      </c>
    </row>
    <row r="45401" spans="1:6" x14ac:dyDescent="0.25">
      <c r="A45401" s="1" t="str">
        <f t="shared" si="1513"/>
        <v>99999</v>
      </c>
      <c r="B45401" s="1" t="str">
        <f>"25252"</f>
        <v>25252</v>
      </c>
      <c r="C45401" s="2">
        <v>1.34243504292436E-5</v>
      </c>
      <c r="D45401" s="2">
        <v>0</v>
      </c>
      <c r="E45401" s="2">
        <v>0</v>
      </c>
      <c r="F45401" s="2">
        <v>1.22365369968735E-5</v>
      </c>
    </row>
    <row r="45402" spans="1:6" x14ac:dyDescent="0.25">
      <c r="A45402" s="1" t="str">
        <f t="shared" si="1513"/>
        <v>99999</v>
      </c>
      <c r="B45402" s="1" t="str">
        <f>"26151"</f>
        <v>26151</v>
      </c>
      <c r="C45402" s="2">
        <v>3.1287397371382199E-5</v>
      </c>
      <c r="D45402" s="2">
        <v>1.65627978480408E-5</v>
      </c>
      <c r="E45402" s="2">
        <v>0</v>
      </c>
      <c r="F45402" s="2">
        <v>2.9604524992435998E-5</v>
      </c>
    </row>
    <row r="45403" spans="1:6" x14ac:dyDescent="0.25">
      <c r="A45403" s="1" t="str">
        <f t="shared" si="1513"/>
        <v>99999</v>
      </c>
      <c r="B45403" s="1" t="str">
        <f>"26283"</f>
        <v>26283</v>
      </c>
      <c r="C45403" s="2">
        <v>2.8364353326305E-5</v>
      </c>
      <c r="D45403" s="2">
        <v>6.0228355811057601E-6</v>
      </c>
      <c r="E45403" s="2">
        <v>0</v>
      </c>
      <c r="F45403" s="2">
        <v>2.6249345493293201E-5</v>
      </c>
    </row>
    <row r="45404" spans="1:6" x14ac:dyDescent="0.25">
      <c r="A45404" s="1" t="str">
        <f t="shared" si="1513"/>
        <v>99999</v>
      </c>
      <c r="B45404" s="1" t="str">
        <f>"29939"</f>
        <v>29939</v>
      </c>
      <c r="C45404" s="2">
        <v>0</v>
      </c>
      <c r="D45404" s="2">
        <v>1.50570889527644E-6</v>
      </c>
      <c r="E45404" s="2">
        <v>0</v>
      </c>
      <c r="F45404" s="2">
        <v>9.8681749974786797E-8</v>
      </c>
    </row>
    <row r="45405" spans="1:6" x14ac:dyDescent="0.25">
      <c r="A45405" s="1" t="str">
        <f t="shared" si="1513"/>
        <v>99999</v>
      </c>
      <c r="B45405" s="1" t="str">
        <f>"36540"</f>
        <v>36540</v>
      </c>
      <c r="C45405" s="2">
        <v>5.4780010622558498E-5</v>
      </c>
      <c r="D45405" s="2">
        <v>9.0342533716586405E-6</v>
      </c>
      <c r="E45405" s="2">
        <v>0</v>
      </c>
      <c r="F45405" s="2">
        <v>5.0525055987090799E-5</v>
      </c>
    </row>
    <row r="45406" spans="1:6" x14ac:dyDescent="0.25">
      <c r="A45406" s="1" t="str">
        <f t="shared" si="1513"/>
        <v>99999</v>
      </c>
      <c r="B45406" s="1" t="str">
        <f>"37051"</f>
        <v>37051</v>
      </c>
      <c r="C45406" s="2">
        <v>2.8147831545188202E-6</v>
      </c>
      <c r="D45406" s="2">
        <v>0</v>
      </c>
      <c r="E45406" s="2">
        <v>0</v>
      </c>
      <c r="F45406" s="2">
        <v>2.5657254993444499E-6</v>
      </c>
    </row>
    <row r="45407" spans="1:6" x14ac:dyDescent="0.25">
      <c r="A45407" s="1" t="str">
        <f t="shared" si="1513"/>
        <v>99999</v>
      </c>
      <c r="B45407" s="1" t="str">
        <f>"37731"</f>
        <v>37731</v>
      </c>
      <c r="C45407" s="2">
        <v>2.0677830096657399E-5</v>
      </c>
      <c r="D45407" s="2">
        <v>1.20456711622115E-5</v>
      </c>
      <c r="E45407" s="2">
        <v>0</v>
      </c>
      <c r="F45407" s="2">
        <v>1.96376682449825E-5</v>
      </c>
    </row>
    <row r="45408" spans="1:6" x14ac:dyDescent="0.25">
      <c r="A45408" s="1" t="str">
        <f t="shared" si="1513"/>
        <v>99999</v>
      </c>
      <c r="B45408" s="1" t="str">
        <f>"39776"</f>
        <v>39776</v>
      </c>
      <c r="C45408" s="2">
        <v>7.6865232296475394E-5</v>
      </c>
      <c r="D45408" s="2">
        <v>7.0768318077992694E-5</v>
      </c>
      <c r="E45408" s="2">
        <v>4.3010567696482999E-6</v>
      </c>
      <c r="F45408" s="2">
        <v>7.4800766480888405E-5</v>
      </c>
    </row>
    <row r="45409" spans="1:6" x14ac:dyDescent="0.25">
      <c r="A45409" s="1" t="str">
        <f t="shared" si="1513"/>
        <v>99999</v>
      </c>
      <c r="B45409" s="1" t="str">
        <f>"38587"</f>
        <v>38587</v>
      </c>
      <c r="C45409" s="2">
        <v>7.9355232779319002E-5</v>
      </c>
      <c r="D45409" s="2">
        <v>3.4631304591358098E-5</v>
      </c>
      <c r="E45409" s="2">
        <v>0</v>
      </c>
      <c r="F45409" s="2">
        <v>7.4603402980938797E-5</v>
      </c>
    </row>
    <row r="45410" spans="1:6" x14ac:dyDescent="0.25">
      <c r="A45410" s="1" t="str">
        <f t="shared" si="1513"/>
        <v>99999</v>
      </c>
      <c r="B45410" s="1" t="str">
        <f>"38574"</f>
        <v>38574</v>
      </c>
      <c r="C45410" s="2">
        <v>2.38173959228515E-5</v>
      </c>
      <c r="D45410" s="2">
        <v>7.5285444763821999E-6</v>
      </c>
      <c r="E45410" s="2">
        <v>1.29031703089449E-5</v>
      </c>
      <c r="F45410" s="2">
        <v>2.2499438994251299E-5</v>
      </c>
    </row>
    <row r="45411" spans="1:6" x14ac:dyDescent="0.25">
      <c r="A45411" s="1" t="str">
        <f t="shared" si="1513"/>
        <v>99999</v>
      </c>
      <c r="B45411" s="1" t="str">
        <f>"41606"</f>
        <v>41606</v>
      </c>
      <c r="C45411" s="2">
        <v>2.8039570654629701E-5</v>
      </c>
      <c r="D45411" s="2">
        <v>6.0228355811057601E-6</v>
      </c>
      <c r="E45411" s="2">
        <v>4.3010567696482999E-5</v>
      </c>
      <c r="F45411" s="2">
        <v>2.6940117743116699E-5</v>
      </c>
    </row>
    <row r="45412" spans="1:6" x14ac:dyDescent="0.25">
      <c r="A45412" s="1" t="str">
        <f t="shared" si="1513"/>
        <v>99999</v>
      </c>
      <c r="B45412" s="1" t="str">
        <f>"42066"</f>
        <v>42066</v>
      </c>
      <c r="C45412" s="2">
        <v>4.3304356223366396E-6</v>
      </c>
      <c r="D45412" s="2">
        <v>0</v>
      </c>
      <c r="E45412" s="2">
        <v>0</v>
      </c>
      <c r="F45412" s="2">
        <v>3.94726999899147E-6</v>
      </c>
    </row>
    <row r="45413" spans="1:6" x14ac:dyDescent="0.25">
      <c r="A45413" s="1" t="str">
        <f t="shared" si="1513"/>
        <v>99999</v>
      </c>
      <c r="B45413" s="1" t="str">
        <f>"42743"</f>
        <v>42743</v>
      </c>
      <c r="C45413" s="2">
        <v>8.6608712446732894E-6</v>
      </c>
      <c r="D45413" s="2">
        <v>6.0228355811057601E-6</v>
      </c>
      <c r="E45413" s="2">
        <v>3.44084541571864E-5</v>
      </c>
      <c r="F45413" s="2">
        <v>9.0787209976803807E-6</v>
      </c>
    </row>
    <row r="45414" spans="1:6" x14ac:dyDescent="0.25">
      <c r="A45414" s="1" t="str">
        <f t="shared" si="1513"/>
        <v>99999</v>
      </c>
      <c r="B45414" s="1" t="str">
        <f>"40818"</f>
        <v>40818</v>
      </c>
      <c r="C45414" s="2">
        <v>7.3617405579722903E-6</v>
      </c>
      <c r="D45414" s="2">
        <v>3.01141779055288E-6</v>
      </c>
      <c r="E45414" s="2">
        <v>3.01073973875381E-5</v>
      </c>
      <c r="F45414" s="2">
        <v>7.5984947480585801E-6</v>
      </c>
    </row>
    <row r="45415" spans="1:6" x14ac:dyDescent="0.25">
      <c r="A45415" s="1" t="str">
        <f t="shared" si="1513"/>
        <v>99999</v>
      </c>
      <c r="B45415" s="1" t="str">
        <f>"45378"</f>
        <v>45378</v>
      </c>
      <c r="C45415" s="2">
        <v>1.6672177145996001E-5</v>
      </c>
      <c r="D45415" s="2">
        <v>1.50570889527644E-6</v>
      </c>
      <c r="E45415" s="2">
        <v>0</v>
      </c>
      <c r="F45415" s="2">
        <v>1.5295671246091901E-5</v>
      </c>
    </row>
    <row r="45416" spans="1:6" x14ac:dyDescent="0.25">
      <c r="A45416" s="1" t="str">
        <f t="shared" si="1513"/>
        <v>99999</v>
      </c>
      <c r="B45416" s="1" t="str">
        <f>"47513"</f>
        <v>47513</v>
      </c>
      <c r="C45416" s="2">
        <v>3.8432616148237697E-5</v>
      </c>
      <c r="D45416" s="2">
        <v>2.4091342324423E-5</v>
      </c>
      <c r="E45416" s="2">
        <v>4.3010567696482999E-6</v>
      </c>
      <c r="F45416" s="2">
        <v>3.6709610990620603E-5</v>
      </c>
    </row>
    <row r="45417" spans="1:6" x14ac:dyDescent="0.25">
      <c r="A45417" s="1" t="str">
        <f t="shared" si="1513"/>
        <v>99999</v>
      </c>
      <c r="B45417" s="1" t="str">
        <f>"49775"</f>
        <v>49775</v>
      </c>
      <c r="C45417" s="2">
        <v>6.9286969957386301E-5</v>
      </c>
      <c r="D45417" s="2">
        <v>1.50570889527644E-6</v>
      </c>
      <c r="E45417" s="2">
        <v>0</v>
      </c>
      <c r="F45417" s="2">
        <v>6.3255001733838296E-5</v>
      </c>
    </row>
    <row r="45418" spans="1:6" x14ac:dyDescent="0.25">
      <c r="A45418" s="1" t="str">
        <f t="shared" si="1513"/>
        <v>99999</v>
      </c>
      <c r="B45418" s="1" t="str">
        <f>"50272"</f>
        <v>50272</v>
      </c>
      <c r="C45418" s="2">
        <v>1.06095672747247E-5</v>
      </c>
      <c r="D45418" s="2">
        <v>0</v>
      </c>
      <c r="E45418" s="2">
        <v>4.3010567696482999E-6</v>
      </c>
      <c r="F45418" s="2">
        <v>9.7694932475038906E-6</v>
      </c>
    </row>
    <row r="45419" spans="1:6" x14ac:dyDescent="0.25">
      <c r="A45419" s="1" t="str">
        <f t="shared" si="1513"/>
        <v>99999</v>
      </c>
      <c r="B45419" s="1" t="str">
        <f>"53805"</f>
        <v>53805</v>
      </c>
      <c r="C45419" s="2">
        <v>3.1936962714732702E-5</v>
      </c>
      <c r="D45419" s="2">
        <v>9.0342533716586405E-6</v>
      </c>
      <c r="E45419" s="2">
        <v>0</v>
      </c>
      <c r="F45419" s="2">
        <v>2.9703206742410799E-5</v>
      </c>
    </row>
    <row r="45420" spans="1:6" x14ac:dyDescent="0.25">
      <c r="A45420" s="1" t="str">
        <f t="shared" si="1513"/>
        <v>99999</v>
      </c>
      <c r="B45420" s="1" t="str">
        <f>"52580"</f>
        <v>52580</v>
      </c>
      <c r="C45420" s="2">
        <v>6.49565343350497E-7</v>
      </c>
      <c r="D45420" s="2">
        <v>0</v>
      </c>
      <c r="E45420" s="2">
        <v>0</v>
      </c>
      <c r="F45420" s="2">
        <v>5.9209049984871999E-7</v>
      </c>
    </row>
    <row r="45421" spans="1:6" x14ac:dyDescent="0.25">
      <c r="A45421" s="1" t="str">
        <f t="shared" si="1513"/>
        <v>99999</v>
      </c>
      <c r="B45421" s="1" t="str">
        <f>"52593"</f>
        <v>52593</v>
      </c>
      <c r="C45421" s="2">
        <v>7.2534796674138799E-6</v>
      </c>
      <c r="D45421" s="2">
        <v>0</v>
      </c>
      <c r="E45421" s="2">
        <v>4.3010567696482999E-6</v>
      </c>
      <c r="F45421" s="2">
        <v>6.7103589982854999E-6</v>
      </c>
    </row>
    <row r="45422" spans="1:6" x14ac:dyDescent="0.25">
      <c r="A45422" s="1" t="str">
        <f t="shared" si="1513"/>
        <v>99999</v>
      </c>
      <c r="B45422" s="1" t="str">
        <f>"56367"</f>
        <v>56367</v>
      </c>
      <c r="C45422" s="2">
        <v>5.4130445279207995E-7</v>
      </c>
      <c r="D45422" s="2">
        <v>0</v>
      </c>
      <c r="E45422" s="2">
        <v>0</v>
      </c>
      <c r="F45422" s="2">
        <v>4.9340874987393396E-7</v>
      </c>
    </row>
    <row r="45423" spans="1:6" x14ac:dyDescent="0.25">
      <c r="A45423" s="1" t="str">
        <f t="shared" si="1513"/>
        <v>99999</v>
      </c>
      <c r="B45423" s="1" t="str">
        <f>"56535"</f>
        <v>56535</v>
      </c>
      <c r="C45423" s="2">
        <v>5.4130445279207995E-7</v>
      </c>
      <c r="D45423" s="2">
        <v>0</v>
      </c>
      <c r="E45423" s="2">
        <v>0</v>
      </c>
      <c r="F45423" s="2">
        <v>4.9340874987393396E-7</v>
      </c>
    </row>
    <row r="45424" spans="1:6" x14ac:dyDescent="0.25">
      <c r="A45424" s="1" t="str">
        <f t="shared" si="1513"/>
        <v>99999</v>
      </c>
      <c r="B45424" s="1" t="str">
        <f>"56627"</f>
        <v>56627</v>
      </c>
      <c r="C45424" s="2">
        <v>1.06095672747247E-5</v>
      </c>
      <c r="D45424" s="2">
        <v>4.5171266858293203E-6</v>
      </c>
      <c r="E45424" s="2">
        <v>1.29031703089449E-5</v>
      </c>
      <c r="F45424" s="2">
        <v>1.02629019973778E-5</v>
      </c>
    </row>
    <row r="45425" spans="1:6" x14ac:dyDescent="0.25">
      <c r="A45425" s="1" t="str">
        <f t="shared" si="1513"/>
        <v>99999</v>
      </c>
      <c r="B45425" s="1" t="str">
        <f>"56676"</f>
        <v>56676</v>
      </c>
      <c r="C45425" s="2">
        <v>5.2398271030273401E-5</v>
      </c>
      <c r="D45425" s="2">
        <v>7.5285444763821999E-6</v>
      </c>
      <c r="E45425" s="2">
        <v>1.72042270785932E-5</v>
      </c>
      <c r="F45425" s="2">
        <v>4.8650102737569798E-5</v>
      </c>
    </row>
    <row r="45426" spans="1:6" x14ac:dyDescent="0.25">
      <c r="A45426" s="1" t="str">
        <f t="shared" si="1513"/>
        <v>99999</v>
      </c>
      <c r="B45426" s="1" t="str">
        <f>"56149"</f>
        <v>56149</v>
      </c>
      <c r="C45426" s="2">
        <v>7.5457840719215998E-5</v>
      </c>
      <c r="D45426" s="2">
        <v>6.0228355811057599E-5</v>
      </c>
      <c r="E45426" s="2">
        <v>9.8924305701910905E-5</v>
      </c>
      <c r="F45426" s="2">
        <v>7.4998129980837904E-5</v>
      </c>
    </row>
    <row r="45427" spans="1:6" x14ac:dyDescent="0.25">
      <c r="A45427" s="1" t="str">
        <f t="shared" si="1513"/>
        <v>99999</v>
      </c>
      <c r="B45427" s="1" t="str">
        <f>"56160"</f>
        <v>56160</v>
      </c>
      <c r="C45427" s="2">
        <v>9.5269583691406198E-6</v>
      </c>
      <c r="D45427" s="2">
        <v>6.0228355811057601E-6</v>
      </c>
      <c r="E45427" s="2">
        <v>4.3010567696482999E-6</v>
      </c>
      <c r="F45427" s="2">
        <v>9.1774027476551693E-6</v>
      </c>
    </row>
    <row r="45428" spans="1:6" x14ac:dyDescent="0.25">
      <c r="A45428" s="1" t="str">
        <f t="shared" si="1513"/>
        <v>99999</v>
      </c>
      <c r="B45428" s="1" t="str">
        <f>"56231"</f>
        <v>56231</v>
      </c>
      <c r="C45428" s="2">
        <v>1.86208731760475E-5</v>
      </c>
      <c r="D45428" s="2">
        <v>1.20456711622115E-5</v>
      </c>
      <c r="E45428" s="2">
        <v>0</v>
      </c>
      <c r="F45428" s="2">
        <v>1.77627149954616E-5</v>
      </c>
    </row>
    <row r="45429" spans="1:6" x14ac:dyDescent="0.25">
      <c r="A45429" s="1" t="str">
        <f t="shared" si="1513"/>
        <v>99999</v>
      </c>
      <c r="B45429" s="1" t="str">
        <f>"57531"</f>
        <v>57531</v>
      </c>
      <c r="C45429" s="2">
        <v>1.77547860515802E-5</v>
      </c>
      <c r="D45429" s="2">
        <v>3.01141779055288E-6</v>
      </c>
      <c r="E45429" s="2">
        <v>4.3010567696482999E-6</v>
      </c>
      <c r="F45429" s="2">
        <v>1.64798522457893E-5</v>
      </c>
    </row>
    <row r="45430" spans="1:6" x14ac:dyDescent="0.25">
      <c r="A45430" s="1" t="str">
        <f t="shared" si="1513"/>
        <v>99999</v>
      </c>
      <c r="B45430" s="1" t="str">
        <f>"57763"</f>
        <v>57763</v>
      </c>
      <c r="C45430" s="2">
        <v>1.5481307349853501E-5</v>
      </c>
      <c r="D45430" s="2">
        <v>6.0228355811057601E-6</v>
      </c>
      <c r="E45430" s="2">
        <v>4.3010567696482999E-6</v>
      </c>
      <c r="F45430" s="2">
        <v>1.46048989962684E-5</v>
      </c>
    </row>
    <row r="45431" spans="1:6" x14ac:dyDescent="0.25">
      <c r="A45431" s="1" t="str">
        <f t="shared" si="1513"/>
        <v>99999</v>
      </c>
      <c r="B45431" s="1" t="str">
        <f>"59910"</f>
        <v>59910</v>
      </c>
      <c r="C45431" s="2">
        <v>1.9486960300514902E-5</v>
      </c>
      <c r="D45431" s="2">
        <v>6.0228355811057601E-6</v>
      </c>
      <c r="E45431" s="2">
        <v>4.3010567696482999E-6</v>
      </c>
      <c r="F45431" s="2">
        <v>1.8256123745335501E-5</v>
      </c>
    </row>
    <row r="45432" spans="1:6" x14ac:dyDescent="0.25">
      <c r="A45432" s="1" t="str">
        <f t="shared" si="1513"/>
        <v>99999</v>
      </c>
      <c r="B45432" s="1" t="str">
        <f>"58746"</f>
        <v>58746</v>
      </c>
      <c r="C45432" s="2">
        <v>4.8717400751287203E-6</v>
      </c>
      <c r="D45432" s="2">
        <v>1.50570889527644E-6</v>
      </c>
      <c r="E45432" s="2">
        <v>0</v>
      </c>
      <c r="F45432" s="2">
        <v>4.5393604988401904E-6</v>
      </c>
    </row>
    <row r="45433" spans="1:6" x14ac:dyDescent="0.25">
      <c r="A45433" s="1" t="str">
        <f t="shared" si="1513"/>
        <v>99999</v>
      </c>
      <c r="B45433" s="1" t="str">
        <f>"59055"</f>
        <v>59055</v>
      </c>
      <c r="C45433" s="2">
        <v>1.1908697961425701E-6</v>
      </c>
      <c r="D45433" s="2">
        <v>1.50570889527644E-6</v>
      </c>
      <c r="E45433" s="2">
        <v>4.3010567696482999E-6</v>
      </c>
      <c r="F45433" s="2">
        <v>1.2828627496722201E-6</v>
      </c>
    </row>
    <row r="45434" spans="1:6" x14ac:dyDescent="0.25">
      <c r="A45434" s="1" t="str">
        <f t="shared" si="1513"/>
        <v>99999</v>
      </c>
      <c r="B45434" s="1" t="str">
        <f>"59213"</f>
        <v>59213</v>
      </c>
      <c r="C45434" s="2">
        <v>8.5526103541148705E-6</v>
      </c>
      <c r="D45434" s="2">
        <v>1.50570889527644E-6</v>
      </c>
      <c r="E45434" s="2">
        <v>4.3010567696482999E-6</v>
      </c>
      <c r="F45434" s="2">
        <v>7.9932217479577302E-6</v>
      </c>
    </row>
    <row r="45435" spans="1:6" x14ac:dyDescent="0.25">
      <c r="A45435" s="1" t="str">
        <f t="shared" si="1513"/>
        <v>99999</v>
      </c>
      <c r="B45435" s="1" t="str">
        <f>"58456"</f>
        <v>58456</v>
      </c>
      <c r="C45435" s="2">
        <v>3.4102180525900997E-5</v>
      </c>
      <c r="D45435" s="2">
        <v>2.4091342324423E-5</v>
      </c>
      <c r="E45435" s="2">
        <v>3.8709510926834699E-5</v>
      </c>
      <c r="F45435" s="2">
        <v>3.3551794991427497E-5</v>
      </c>
    </row>
    <row r="45436" spans="1:6" x14ac:dyDescent="0.25">
      <c r="A45436" s="1" t="str">
        <f t="shared" si="1513"/>
        <v>99999</v>
      </c>
      <c r="B45436" s="1" t="str">
        <f>"61410"</f>
        <v>61410</v>
      </c>
      <c r="C45436" s="2">
        <v>7.2534796674138799E-6</v>
      </c>
      <c r="D45436" s="2">
        <v>0</v>
      </c>
      <c r="E45436" s="2">
        <v>0</v>
      </c>
      <c r="F45436" s="2">
        <v>6.6116772483107097E-6</v>
      </c>
    </row>
    <row r="45437" spans="1:6" x14ac:dyDescent="0.25">
      <c r="A45437" s="1" t="str">
        <f t="shared" si="1513"/>
        <v>99999</v>
      </c>
      <c r="B45437" s="1" t="str">
        <f>"61475"</f>
        <v>61475</v>
      </c>
      <c r="C45437" s="2">
        <v>1.0826089055841599E-6</v>
      </c>
      <c r="D45437" s="2">
        <v>0</v>
      </c>
      <c r="E45437" s="2">
        <v>0</v>
      </c>
      <c r="F45437" s="2">
        <v>9.8681749974786791E-7</v>
      </c>
    </row>
    <row r="45438" spans="1:6" x14ac:dyDescent="0.25">
      <c r="A45438" s="1" t="str">
        <f t="shared" si="1513"/>
        <v>99999</v>
      </c>
      <c r="B45438" s="1" t="str">
        <f>"62809"</f>
        <v>62809</v>
      </c>
      <c r="C45438" s="2">
        <v>1.41821766631525E-5</v>
      </c>
      <c r="D45438" s="2">
        <v>4.5171266858293203E-6</v>
      </c>
      <c r="E45438" s="2">
        <v>4.3010567696482999E-6</v>
      </c>
      <c r="F45438" s="2">
        <v>1.3322036246596199E-5</v>
      </c>
    </row>
    <row r="45439" spans="1:6" x14ac:dyDescent="0.25">
      <c r="A45439" s="1" t="str">
        <f t="shared" si="1513"/>
        <v>99999</v>
      </c>
      <c r="B45439" s="1" t="str">
        <f>"62928"</f>
        <v>62928</v>
      </c>
      <c r="C45439" s="2">
        <v>7.3617405579722903E-6</v>
      </c>
      <c r="D45439" s="2">
        <v>1.50570889527644E-6</v>
      </c>
      <c r="E45439" s="2">
        <v>4.3010567696482999E-6</v>
      </c>
      <c r="F45439" s="2">
        <v>6.9077224982350703E-6</v>
      </c>
    </row>
    <row r="45440" spans="1:6" x14ac:dyDescent="0.25">
      <c r="A45440" s="1" t="str">
        <f t="shared" si="1513"/>
        <v>99999</v>
      </c>
      <c r="B45440" s="1" t="str">
        <f>"62443"</f>
        <v>62443</v>
      </c>
      <c r="C45440" s="2">
        <v>7.2534796674138799E-6</v>
      </c>
      <c r="D45440" s="2">
        <v>1.50570889527644E-6</v>
      </c>
      <c r="E45440" s="2">
        <v>0</v>
      </c>
      <c r="F45440" s="2">
        <v>6.7103589982854999E-6</v>
      </c>
    </row>
    <row r="45441" spans="1:6" x14ac:dyDescent="0.25">
      <c r="A45441" s="1" t="str">
        <f t="shared" si="1513"/>
        <v>99999</v>
      </c>
      <c r="B45441" s="1" t="str">
        <f>"63732"</f>
        <v>63732</v>
      </c>
      <c r="C45441" s="2">
        <v>2.1760439002241601E-5</v>
      </c>
      <c r="D45441" s="2">
        <v>1.20456711622115E-5</v>
      </c>
      <c r="E45441" s="2">
        <v>8.6021135392965999E-6</v>
      </c>
      <c r="F45441" s="2">
        <v>2.082184924468E-5</v>
      </c>
    </row>
    <row r="45442" spans="1:6" x14ac:dyDescent="0.25">
      <c r="A45442" s="1" t="str">
        <f t="shared" si="1513"/>
        <v>99999</v>
      </c>
      <c r="B45442" s="1" t="str">
        <f>"64832"</f>
        <v>64832</v>
      </c>
      <c r="C45442" s="2">
        <v>5.3047836373623898E-6</v>
      </c>
      <c r="D45442" s="2">
        <v>0</v>
      </c>
      <c r="E45442" s="2">
        <v>0</v>
      </c>
      <c r="F45442" s="2">
        <v>4.8354057487645501E-6</v>
      </c>
    </row>
    <row r="45443" spans="1:6" x14ac:dyDescent="0.25">
      <c r="A45443" s="1" t="str">
        <f t="shared" si="1513"/>
        <v>99999</v>
      </c>
      <c r="B45443" s="1" t="str">
        <f>"63951"</f>
        <v>63951</v>
      </c>
      <c r="C45443" s="2">
        <v>3.2153484495849597E-5</v>
      </c>
      <c r="D45443" s="2">
        <v>6.0228355811057601E-6</v>
      </c>
      <c r="E45443" s="2">
        <v>4.3010567696482999E-6</v>
      </c>
      <c r="F45443" s="2">
        <v>2.9801888492385599E-5</v>
      </c>
    </row>
    <row r="45444" spans="1:6" x14ac:dyDescent="0.25">
      <c r="A45444" s="1" t="str">
        <f t="shared" si="1513"/>
        <v>99999</v>
      </c>
      <c r="B45444" s="1" t="str">
        <f>"51533"</f>
        <v>51533</v>
      </c>
      <c r="C45444" s="2">
        <v>1.2125219742542599E-5</v>
      </c>
      <c r="D45444" s="2">
        <v>0</v>
      </c>
      <c r="E45444" s="2">
        <v>0</v>
      </c>
      <c r="F45444" s="2">
        <v>1.10523559971761E-5</v>
      </c>
    </row>
    <row r="45445" spans="1:6" x14ac:dyDescent="0.25">
      <c r="A45445" s="1" t="str">
        <f t="shared" si="1513"/>
        <v>99999</v>
      </c>
      <c r="B45445" s="1" t="str">
        <f>"65714"</f>
        <v>65714</v>
      </c>
      <c r="C45445" s="2">
        <v>2.7173483530162401E-5</v>
      </c>
      <c r="D45445" s="2">
        <v>0</v>
      </c>
      <c r="E45445" s="2">
        <v>0</v>
      </c>
      <c r="F45445" s="2">
        <v>2.4769119243671401E-5</v>
      </c>
    </row>
    <row r="45446" spans="1:6" x14ac:dyDescent="0.25">
      <c r="A45446" s="1" t="str">
        <f t="shared" ref="A45446:A45509" si="1514">"99999"</f>
        <v>99999</v>
      </c>
      <c r="B45446" s="1" t="str">
        <f>"65601"</f>
        <v>65601</v>
      </c>
      <c r="C45446" s="2">
        <v>1.5481307349853501E-5</v>
      </c>
      <c r="D45446" s="2">
        <v>1.50570889527644E-6</v>
      </c>
      <c r="E45446" s="2">
        <v>0</v>
      </c>
      <c r="F45446" s="2">
        <v>1.42101719963693E-5</v>
      </c>
    </row>
    <row r="45447" spans="1:6" x14ac:dyDescent="0.25">
      <c r="A45447" s="1" t="str">
        <f t="shared" si="1514"/>
        <v>99999</v>
      </c>
      <c r="B45447" s="1" t="str">
        <f>"69026"</f>
        <v>69026</v>
      </c>
      <c r="C45447" s="2">
        <v>1.24500024142178E-5</v>
      </c>
      <c r="D45447" s="2">
        <v>6.0228355811057601E-6</v>
      </c>
      <c r="E45447" s="2">
        <v>4.3010567696482999E-6</v>
      </c>
      <c r="F45447" s="2">
        <v>1.18418099969744E-5</v>
      </c>
    </row>
    <row r="45448" spans="1:6" x14ac:dyDescent="0.25">
      <c r="A45448" s="1" t="str">
        <f t="shared" si="1514"/>
        <v>99999</v>
      </c>
      <c r="B45448" s="1" t="str">
        <f>"69165"</f>
        <v>69165</v>
      </c>
      <c r="C45448" s="2">
        <v>1.62391335837624E-6</v>
      </c>
      <c r="D45448" s="2">
        <v>0</v>
      </c>
      <c r="E45448" s="2">
        <v>0</v>
      </c>
      <c r="F45448" s="2">
        <v>1.4802262496218E-6</v>
      </c>
    </row>
    <row r="45449" spans="1:6" x14ac:dyDescent="0.25">
      <c r="A45449" s="1" t="str">
        <f t="shared" si="1514"/>
        <v>99999</v>
      </c>
      <c r="B45449" s="1" t="str">
        <f>"68326"</f>
        <v>68326</v>
      </c>
      <c r="C45449" s="2">
        <v>1.43986984442693E-5</v>
      </c>
      <c r="D45449" s="2">
        <v>2.25856334291466E-5</v>
      </c>
      <c r="E45449" s="2">
        <v>4.3010567696482999E-6</v>
      </c>
      <c r="F45449" s="2">
        <v>1.47035807462432E-5</v>
      </c>
    </row>
    <row r="45450" spans="1:6" x14ac:dyDescent="0.25">
      <c r="A45450" s="1" t="str">
        <f t="shared" si="1514"/>
        <v>99999</v>
      </c>
      <c r="B45450" s="1" t="str">
        <f>"71859"</f>
        <v>71859</v>
      </c>
      <c r="C45450" s="2">
        <v>6.6039143240633804E-6</v>
      </c>
      <c r="D45450" s="2">
        <v>0</v>
      </c>
      <c r="E45450" s="2">
        <v>4.3010567696482999E-6</v>
      </c>
      <c r="F45450" s="2">
        <v>6.1182684984367804E-6</v>
      </c>
    </row>
    <row r="45451" spans="1:6" x14ac:dyDescent="0.25">
      <c r="A45451" s="1" t="str">
        <f t="shared" si="1514"/>
        <v>99999</v>
      </c>
      <c r="B45451" s="1" t="str">
        <f>"72629"</f>
        <v>72629</v>
      </c>
      <c r="C45451" s="2">
        <v>5.1532183905806003E-5</v>
      </c>
      <c r="D45451" s="2">
        <v>7.5285444763821999E-6</v>
      </c>
      <c r="E45451" s="2">
        <v>4.3010567696482999E-6</v>
      </c>
      <c r="F45451" s="2">
        <v>4.75646034878472E-5</v>
      </c>
    </row>
    <row r="45452" spans="1:6" x14ac:dyDescent="0.25">
      <c r="A45452" s="1" t="str">
        <f t="shared" si="1514"/>
        <v>99999</v>
      </c>
      <c r="B45452" s="1" t="str">
        <f>"72841"</f>
        <v>72841</v>
      </c>
      <c r="C45452" s="2">
        <v>1.1908697961425701E-5</v>
      </c>
      <c r="D45452" s="2">
        <v>4.5171266858293203E-6</v>
      </c>
      <c r="E45452" s="2">
        <v>4.3010567696482999E-6</v>
      </c>
      <c r="F45452" s="2">
        <v>1.1249719497125601E-5</v>
      </c>
    </row>
    <row r="45453" spans="1:6" x14ac:dyDescent="0.25">
      <c r="A45453" s="1" t="str">
        <f t="shared" si="1514"/>
        <v>99999</v>
      </c>
      <c r="B45453" s="1" t="str">
        <f>"71275"</f>
        <v>71275</v>
      </c>
      <c r="C45453" s="2">
        <v>9.0939148069069495E-6</v>
      </c>
      <c r="D45453" s="2">
        <v>1.50570889527644E-6</v>
      </c>
      <c r="E45453" s="2">
        <v>0</v>
      </c>
      <c r="F45453" s="2">
        <v>8.3879487478568692E-6</v>
      </c>
    </row>
    <row r="45454" spans="1:6" x14ac:dyDescent="0.25">
      <c r="A45454" s="1" t="str">
        <f t="shared" si="1514"/>
        <v>99999</v>
      </c>
      <c r="B45454" s="1" t="str">
        <f>"71360"</f>
        <v>71360</v>
      </c>
      <c r="C45454" s="2">
        <v>1.69969598176713E-5</v>
      </c>
      <c r="D45454" s="2">
        <v>1.50570889527644E-6</v>
      </c>
      <c r="E45454" s="2">
        <v>0</v>
      </c>
      <c r="F45454" s="2">
        <v>1.5591716496016299E-5</v>
      </c>
    </row>
    <row r="45455" spans="1:6" x14ac:dyDescent="0.25">
      <c r="A45455" s="1" t="str">
        <f t="shared" si="1514"/>
        <v>99999</v>
      </c>
      <c r="B45455" s="1" t="str">
        <f>"79324"</f>
        <v>79324</v>
      </c>
      <c r="C45455" s="2">
        <v>3.8973920601029803E-6</v>
      </c>
      <c r="D45455" s="2">
        <v>0</v>
      </c>
      <c r="E45455" s="2">
        <v>0</v>
      </c>
      <c r="F45455" s="2">
        <v>3.5525429990923199E-6</v>
      </c>
    </row>
    <row r="45456" spans="1:6" x14ac:dyDescent="0.25">
      <c r="A45456" s="1" t="str">
        <f t="shared" si="1514"/>
        <v>99999</v>
      </c>
      <c r="B45456" s="1" t="str">
        <f>"76884"</f>
        <v>76884</v>
      </c>
      <c r="C45456" s="2">
        <v>3.2478267167524799E-6</v>
      </c>
      <c r="D45456" s="2">
        <v>1.50570889527644E-6</v>
      </c>
      <c r="E45456" s="2">
        <v>4.3010567696482999E-6</v>
      </c>
      <c r="F45456" s="2">
        <v>3.1578159991931699E-6</v>
      </c>
    </row>
    <row r="45457" spans="1:6" x14ac:dyDescent="0.25">
      <c r="A45457" s="1" t="str">
        <f t="shared" si="1514"/>
        <v>99999</v>
      </c>
      <c r="B45457" s="1" t="str">
        <f>"79064"</f>
        <v>79064</v>
      </c>
      <c r="C45457" s="2">
        <v>1.6455655364879201E-5</v>
      </c>
      <c r="D45457" s="2">
        <v>1.50570889527644E-6</v>
      </c>
      <c r="E45457" s="2">
        <v>1.72042270785932E-5</v>
      </c>
      <c r="F45457" s="2">
        <v>1.5493034746041499E-5</v>
      </c>
    </row>
    <row r="45458" spans="1:6" x14ac:dyDescent="0.25">
      <c r="A45458" s="1" t="str">
        <f t="shared" si="1514"/>
        <v>99999</v>
      </c>
      <c r="B45458" s="1" t="str">
        <f>"79255"</f>
        <v>79255</v>
      </c>
      <c r="C45458" s="2">
        <v>1.2774785085893101E-5</v>
      </c>
      <c r="D45458" s="2">
        <v>4.5171266858293203E-6</v>
      </c>
      <c r="E45458" s="2">
        <v>0</v>
      </c>
      <c r="F45458" s="2">
        <v>1.19404917469492E-5</v>
      </c>
    </row>
    <row r="45459" spans="1:6" x14ac:dyDescent="0.25">
      <c r="A45459" s="1" t="str">
        <f t="shared" si="1514"/>
        <v>99999</v>
      </c>
      <c r="B45459" s="1" t="str">
        <f>"82210"</f>
        <v>82210</v>
      </c>
      <c r="C45459" s="2">
        <v>1.0393045493607899E-5</v>
      </c>
      <c r="D45459" s="2">
        <v>6.0228355811057601E-6</v>
      </c>
      <c r="E45459" s="2">
        <v>6.0214794775076199E-5</v>
      </c>
      <c r="F45459" s="2">
        <v>1.1249719497125601E-5</v>
      </c>
    </row>
    <row r="45460" spans="1:6" x14ac:dyDescent="0.25">
      <c r="A45460" s="1" t="str">
        <f t="shared" si="1514"/>
        <v>99999</v>
      </c>
      <c r="B45460" s="1" t="str">
        <f>"83235"</f>
        <v>83235</v>
      </c>
      <c r="C45460" s="2">
        <v>3.7891311695445602E-6</v>
      </c>
      <c r="D45460" s="2">
        <v>1.50570889527644E-6</v>
      </c>
      <c r="E45460" s="2">
        <v>4.3010567696482999E-6</v>
      </c>
      <c r="F45460" s="2">
        <v>3.6512247490671102E-6</v>
      </c>
    </row>
    <row r="45461" spans="1:6" x14ac:dyDescent="0.25">
      <c r="A45461" s="1" t="str">
        <f t="shared" si="1514"/>
        <v>99999</v>
      </c>
      <c r="B45461" s="1" t="str">
        <f>"96108"</f>
        <v>96108</v>
      </c>
      <c r="C45461" s="2">
        <v>3.5726093884277301E-6</v>
      </c>
      <c r="D45461" s="2">
        <v>1.50570889527644E-6</v>
      </c>
      <c r="E45461" s="2">
        <v>6.0214794775076199E-5</v>
      </c>
      <c r="F45461" s="2">
        <v>4.7367239987897599E-6</v>
      </c>
    </row>
    <row r="45462" spans="1:6" x14ac:dyDescent="0.25">
      <c r="A45462" s="1" t="str">
        <f t="shared" si="1514"/>
        <v>99999</v>
      </c>
      <c r="B45462" s="1" t="str">
        <f>"97620"</f>
        <v>97620</v>
      </c>
      <c r="C45462" s="2">
        <v>8.9856539163485408E-6</v>
      </c>
      <c r="D45462" s="2">
        <v>0</v>
      </c>
      <c r="E45462" s="2">
        <v>4.3010567696482999E-6</v>
      </c>
      <c r="F45462" s="2">
        <v>8.2892669978820908E-6</v>
      </c>
    </row>
    <row r="45463" spans="1:6" x14ac:dyDescent="0.25">
      <c r="A45463" s="1" t="str">
        <f t="shared" si="1514"/>
        <v>99999</v>
      </c>
      <c r="B45463" s="1" t="str">
        <f>"83533"</f>
        <v>83533</v>
      </c>
      <c r="C45463" s="2">
        <v>7.7947841202059606E-6</v>
      </c>
      <c r="D45463" s="2">
        <v>6.0228355811057601E-6</v>
      </c>
      <c r="E45463" s="2">
        <v>0</v>
      </c>
      <c r="F45463" s="2">
        <v>7.4998129980837899E-6</v>
      </c>
    </row>
    <row r="45464" spans="1:6" x14ac:dyDescent="0.25">
      <c r="A45464" s="1" t="str">
        <f t="shared" si="1514"/>
        <v>99999</v>
      </c>
      <c r="B45464" s="1" t="str">
        <f>"99008"</f>
        <v>99008</v>
      </c>
      <c r="C45464" s="2">
        <v>1.7971307832697E-5</v>
      </c>
      <c r="D45464" s="2">
        <v>7.5285444763821999E-6</v>
      </c>
      <c r="E45464" s="2">
        <v>1.29031703089449E-5</v>
      </c>
      <c r="F45464" s="2">
        <v>1.7170624495612899E-5</v>
      </c>
    </row>
    <row r="45465" spans="1:6" x14ac:dyDescent="0.25">
      <c r="A45465" s="1" t="str">
        <f t="shared" si="1514"/>
        <v>99999</v>
      </c>
      <c r="B45465" s="1" t="str">
        <f>"68778"</f>
        <v>68778</v>
      </c>
      <c r="C45465" s="2">
        <v>3.5834354774835699E-5</v>
      </c>
      <c r="D45465" s="2">
        <v>3.7642722381910999E-5</v>
      </c>
      <c r="E45465" s="2">
        <v>4.3010567696482999E-6</v>
      </c>
      <c r="F45465" s="2">
        <v>3.5229384740998803E-5</v>
      </c>
    </row>
    <row r="45466" spans="1:6" x14ac:dyDescent="0.25">
      <c r="A45466" s="1" t="str">
        <f t="shared" si="1514"/>
        <v>99999</v>
      </c>
      <c r="B45466" s="1" t="str">
        <f>"68836"</f>
        <v>68836</v>
      </c>
      <c r="C45466" s="2">
        <v>1.07178281652832E-5</v>
      </c>
      <c r="D45466" s="2">
        <v>6.0228355811057601E-6</v>
      </c>
      <c r="E45466" s="2">
        <v>0</v>
      </c>
      <c r="F45466" s="2">
        <v>1.0164220247403001E-5</v>
      </c>
    </row>
    <row r="45467" spans="1:6" x14ac:dyDescent="0.25">
      <c r="A45467" s="1" t="str">
        <f t="shared" si="1514"/>
        <v>99999</v>
      </c>
      <c r="B45467" s="1" t="str">
        <f>"68841"</f>
        <v>68841</v>
      </c>
      <c r="C45467" s="2">
        <v>2.9880005794122799E-5</v>
      </c>
      <c r="D45467" s="2">
        <v>6.0228355811057601E-6</v>
      </c>
      <c r="E45467" s="2">
        <v>4.3010567696482999E-6</v>
      </c>
      <c r="F45467" s="2">
        <v>2.7729571742915E-5</v>
      </c>
    </row>
    <row r="45468" spans="1:6" x14ac:dyDescent="0.25">
      <c r="A45468" s="1" t="str">
        <f t="shared" si="1514"/>
        <v>99999</v>
      </c>
      <c r="B45468" s="1" t="str">
        <f>"68764"</f>
        <v>68764</v>
      </c>
      <c r="C45468" s="2">
        <v>4.7310009174027802E-5</v>
      </c>
      <c r="D45468" s="2">
        <v>1.50570889527644E-6</v>
      </c>
      <c r="E45468" s="2">
        <v>1.72042270785932E-5</v>
      </c>
      <c r="F45468" s="2">
        <v>4.3617333488855698E-5</v>
      </c>
    </row>
    <row r="45469" spans="1:6" x14ac:dyDescent="0.25">
      <c r="A45469" s="1" t="str">
        <f t="shared" si="1514"/>
        <v>99999</v>
      </c>
      <c r="B45469" s="1" t="str">
        <f>"68303"</f>
        <v>68303</v>
      </c>
      <c r="C45469" s="2">
        <v>2.0244786534423801E-5</v>
      </c>
      <c r="D45469" s="2">
        <v>0</v>
      </c>
      <c r="E45469" s="2">
        <v>4.3010567696482999E-6</v>
      </c>
      <c r="F45469" s="2">
        <v>1.8552168995259899E-5</v>
      </c>
    </row>
    <row r="45470" spans="1:6" x14ac:dyDescent="0.25">
      <c r="A45470" s="1" t="str">
        <f t="shared" si="1514"/>
        <v>99999</v>
      </c>
      <c r="B45470" s="1" t="str">
        <f>"72130"</f>
        <v>72130</v>
      </c>
      <c r="C45470" s="2">
        <v>2.23017434550337E-5</v>
      </c>
      <c r="D45470" s="2">
        <v>4.5171266858293203E-6</v>
      </c>
      <c r="E45470" s="2">
        <v>4.3010567696482999E-6</v>
      </c>
      <c r="F45470" s="2">
        <v>2.07231674947052E-5</v>
      </c>
    </row>
    <row r="45471" spans="1:6" x14ac:dyDescent="0.25">
      <c r="A45471" s="1" t="str">
        <f t="shared" si="1514"/>
        <v>99999</v>
      </c>
      <c r="B45471" s="1" t="str">
        <f>"72156"</f>
        <v>72156</v>
      </c>
      <c r="C45471" s="2">
        <v>3.2370006276966397E-5</v>
      </c>
      <c r="D45471" s="2">
        <v>7.5285444763821999E-6</v>
      </c>
      <c r="E45471" s="2">
        <v>4.3010567696482999E-6</v>
      </c>
      <c r="F45471" s="2">
        <v>3.0097933742309899E-5</v>
      </c>
    </row>
    <row r="45472" spans="1:6" x14ac:dyDescent="0.25">
      <c r="A45472" s="1" t="str">
        <f t="shared" si="1514"/>
        <v>99999</v>
      </c>
      <c r="B45472" s="1" t="str">
        <f>"72584"</f>
        <v>72584</v>
      </c>
      <c r="C45472" s="2">
        <v>5.1856966577481302E-5</v>
      </c>
      <c r="D45472" s="2">
        <v>0</v>
      </c>
      <c r="E45472" s="2">
        <v>4.3010567696482999E-6</v>
      </c>
      <c r="F45472" s="2">
        <v>4.7367239987897599E-5</v>
      </c>
    </row>
    <row r="45473" spans="1:6" x14ac:dyDescent="0.25">
      <c r="A45473" s="1" t="str">
        <f t="shared" si="1514"/>
        <v>99999</v>
      </c>
      <c r="B45473" s="1" t="str">
        <f>"72617"</f>
        <v>72617</v>
      </c>
      <c r="C45473" s="2">
        <v>4.0056529506613898E-6</v>
      </c>
      <c r="D45473" s="2">
        <v>1.50570889527644E-6</v>
      </c>
      <c r="E45473" s="2">
        <v>0</v>
      </c>
      <c r="F45473" s="2">
        <v>3.7499064990418899E-6</v>
      </c>
    </row>
    <row r="45474" spans="1:6" x14ac:dyDescent="0.25">
      <c r="A45474" s="1" t="str">
        <f t="shared" si="1514"/>
        <v>99999</v>
      </c>
      <c r="B45474" s="1" t="str">
        <f>"72471"</f>
        <v>72471</v>
      </c>
      <c r="C45474" s="2">
        <v>3.9190442382146597E-5</v>
      </c>
      <c r="D45474" s="2">
        <v>1.20456711622115E-5</v>
      </c>
      <c r="E45474" s="2">
        <v>1.72042270785932E-5</v>
      </c>
      <c r="F45474" s="2">
        <v>3.6906974490570197E-5</v>
      </c>
    </row>
    <row r="45475" spans="1:6" x14ac:dyDescent="0.25">
      <c r="A45475" s="1" t="str">
        <f t="shared" si="1514"/>
        <v>99999</v>
      </c>
      <c r="B45475" s="1" t="str">
        <f>"72550"</f>
        <v>72550</v>
      </c>
      <c r="C45475" s="2">
        <v>1.2991306867009899E-5</v>
      </c>
      <c r="D45475" s="2">
        <v>0</v>
      </c>
      <c r="E45475" s="2">
        <v>0</v>
      </c>
      <c r="F45475" s="2">
        <v>1.18418099969744E-5</v>
      </c>
    </row>
    <row r="45476" spans="1:6" x14ac:dyDescent="0.25">
      <c r="A45476" s="1" t="str">
        <f t="shared" si="1514"/>
        <v>99999</v>
      </c>
      <c r="B45476" s="1" t="str">
        <f>"72577"</f>
        <v>72577</v>
      </c>
      <c r="C45476" s="2">
        <v>2.0569569206098999E-5</v>
      </c>
      <c r="D45476" s="2">
        <v>3.01141779055288E-6</v>
      </c>
      <c r="E45476" s="2">
        <v>0</v>
      </c>
      <c r="F45476" s="2">
        <v>1.8946895995158999E-5</v>
      </c>
    </row>
    <row r="45477" spans="1:6" x14ac:dyDescent="0.25">
      <c r="A45477" s="1" t="str">
        <f t="shared" si="1514"/>
        <v>99999</v>
      </c>
      <c r="B45477" s="1" t="str">
        <f>"72466"</f>
        <v>72466</v>
      </c>
      <c r="C45477" s="2">
        <v>5.3480879935857498E-5</v>
      </c>
      <c r="D45477" s="2">
        <v>4.5171266858293203E-6</v>
      </c>
      <c r="E45477" s="2">
        <v>4.3010567696482999E-6</v>
      </c>
      <c r="F45477" s="2">
        <v>4.9143511487443803E-5</v>
      </c>
    </row>
    <row r="45478" spans="1:6" x14ac:dyDescent="0.25">
      <c r="A45478" s="1" t="str">
        <f t="shared" si="1514"/>
        <v>99999</v>
      </c>
      <c r="B45478" s="1" t="str">
        <f>"72573"</f>
        <v>72573</v>
      </c>
      <c r="C45478" s="2">
        <v>3.0204788465798102E-5</v>
      </c>
      <c r="D45478" s="2">
        <v>7.5285444763821999E-6</v>
      </c>
      <c r="E45478" s="2">
        <v>8.6021135392965999E-6</v>
      </c>
      <c r="F45478" s="2">
        <v>2.8222980492788999E-5</v>
      </c>
    </row>
    <row r="45479" spans="1:6" x14ac:dyDescent="0.25">
      <c r="A45479" s="1" t="str">
        <f t="shared" si="1514"/>
        <v>99999</v>
      </c>
      <c r="B45479" s="1" t="str">
        <f>"72326"</f>
        <v>72326</v>
      </c>
      <c r="C45479" s="2">
        <v>2.30595696889426E-5</v>
      </c>
      <c r="D45479" s="2">
        <v>6.0228355811057601E-6</v>
      </c>
      <c r="E45479" s="2">
        <v>0</v>
      </c>
      <c r="F45479" s="2">
        <v>2.1413939744528701E-5</v>
      </c>
    </row>
    <row r="45480" spans="1:6" x14ac:dyDescent="0.25">
      <c r="A45480" s="1" t="str">
        <f t="shared" si="1514"/>
        <v>99999</v>
      </c>
      <c r="B45480" s="1" t="str">
        <f>"71473"</f>
        <v>71473</v>
      </c>
      <c r="C45480" s="2">
        <v>2.6740439967928698E-5</v>
      </c>
      <c r="D45480" s="2">
        <v>7.5285444763821999E-6</v>
      </c>
      <c r="E45480" s="2">
        <v>4.3010567696482999E-6</v>
      </c>
      <c r="F45480" s="2">
        <v>2.4966482743620998E-5</v>
      </c>
    </row>
    <row r="45481" spans="1:6" x14ac:dyDescent="0.25">
      <c r="A45481" s="1" t="str">
        <f t="shared" si="1514"/>
        <v>99999</v>
      </c>
      <c r="B45481" s="1" t="str">
        <f>"71401"</f>
        <v>71401</v>
      </c>
      <c r="C45481" s="2">
        <v>6.0626098712712997E-6</v>
      </c>
      <c r="D45481" s="2">
        <v>3.01141779055288E-6</v>
      </c>
      <c r="E45481" s="2">
        <v>4.3010567696482999E-6</v>
      </c>
      <c r="F45481" s="2">
        <v>5.8222232485124198E-6</v>
      </c>
    </row>
    <row r="45482" spans="1:6" x14ac:dyDescent="0.25">
      <c r="A45482" s="1" t="str">
        <f t="shared" si="1514"/>
        <v>99999</v>
      </c>
      <c r="B45482" s="1" t="str">
        <f>"71450"</f>
        <v>71450</v>
      </c>
      <c r="C45482" s="2">
        <v>1.8837394957164399E-5</v>
      </c>
      <c r="D45482" s="2">
        <v>7.5285444763821999E-6</v>
      </c>
      <c r="E45482" s="2">
        <v>4.3010567696482999E-6</v>
      </c>
      <c r="F45482" s="2">
        <v>1.77627149954616E-5</v>
      </c>
    </row>
    <row r="45483" spans="1:6" x14ac:dyDescent="0.25">
      <c r="A45483" s="1" t="str">
        <f t="shared" si="1514"/>
        <v>99999</v>
      </c>
      <c r="B45483" s="1" t="str">
        <f>"71670"</f>
        <v>71670</v>
      </c>
      <c r="C45483" s="2">
        <v>6.8204361051802103E-5</v>
      </c>
      <c r="D45483" s="2">
        <v>3.1619886800805203E-5</v>
      </c>
      <c r="E45483" s="2">
        <v>1.29031703089449E-5</v>
      </c>
      <c r="F45483" s="2">
        <v>6.4537864483510502E-5</v>
      </c>
    </row>
    <row r="45484" spans="1:6" x14ac:dyDescent="0.25">
      <c r="A45484" s="1" t="str">
        <f t="shared" si="1514"/>
        <v>99999</v>
      </c>
      <c r="B45484" s="1" t="str">
        <f>"71286"</f>
        <v>71286</v>
      </c>
      <c r="C45484" s="2">
        <v>3.1612180043057497E-5</v>
      </c>
      <c r="D45484" s="2">
        <v>2.25856334291466E-5</v>
      </c>
      <c r="E45484" s="2">
        <v>4.3010567696482999E-6</v>
      </c>
      <c r="F45484" s="2">
        <v>3.03939789922343E-5</v>
      </c>
    </row>
    <row r="45485" spans="1:6" x14ac:dyDescent="0.25">
      <c r="A45485" s="1" t="str">
        <f t="shared" si="1514"/>
        <v>99999</v>
      </c>
      <c r="B45485" s="1" t="str">
        <f>"71270"</f>
        <v>71270</v>
      </c>
      <c r="C45485" s="2">
        <v>5.2506531920831798E-5</v>
      </c>
      <c r="D45485" s="2">
        <v>2.1079924533870101E-5</v>
      </c>
      <c r="E45485" s="2">
        <v>0</v>
      </c>
      <c r="F45485" s="2">
        <v>4.92421932374186E-5</v>
      </c>
    </row>
    <row r="45486" spans="1:6" x14ac:dyDescent="0.25">
      <c r="A45486" s="1" t="str">
        <f t="shared" si="1514"/>
        <v>99999</v>
      </c>
      <c r="B45486" s="1" t="str">
        <f>"74036"</f>
        <v>74036</v>
      </c>
      <c r="C45486" s="2">
        <v>1.69969598176713E-5</v>
      </c>
      <c r="D45486" s="2">
        <v>3.01141779055288E-6</v>
      </c>
      <c r="E45486" s="2">
        <v>0</v>
      </c>
      <c r="F45486" s="2">
        <v>1.56903982459911E-5</v>
      </c>
    </row>
    <row r="45487" spans="1:6" x14ac:dyDescent="0.25">
      <c r="A45487" s="1" t="str">
        <f t="shared" si="1514"/>
        <v>99999</v>
      </c>
      <c r="B45487" s="1" t="str">
        <f>"74072"</f>
        <v>74072</v>
      </c>
      <c r="C45487" s="2">
        <v>5.8027837339310999E-5</v>
      </c>
      <c r="D45487" s="2">
        <v>1.0539962266935E-5</v>
      </c>
      <c r="E45487" s="2">
        <v>1.29031703089449E-5</v>
      </c>
      <c r="F45487" s="2">
        <v>5.3880235486233499E-5</v>
      </c>
    </row>
    <row r="45488" spans="1:6" x14ac:dyDescent="0.25">
      <c r="A45488" s="1" t="str">
        <f t="shared" si="1514"/>
        <v>99999</v>
      </c>
      <c r="B45488" s="1" t="str">
        <f>"73548"</f>
        <v>73548</v>
      </c>
      <c r="C45488" s="2">
        <v>4.6768704721235703E-5</v>
      </c>
      <c r="D45488" s="2">
        <v>6.0228355811057601E-6</v>
      </c>
      <c r="E45488" s="2">
        <v>4.3010567696482999E-6</v>
      </c>
      <c r="F45488" s="2">
        <v>4.31239247389818E-5</v>
      </c>
    </row>
    <row r="45489" spans="1:6" x14ac:dyDescent="0.25">
      <c r="A45489" s="1" t="str">
        <f t="shared" si="1514"/>
        <v>99999</v>
      </c>
      <c r="B45489" s="1" t="str">
        <f>"74547"</f>
        <v>74547</v>
      </c>
      <c r="C45489" s="2">
        <v>5.8460880901544696E-6</v>
      </c>
      <c r="D45489" s="2">
        <v>0</v>
      </c>
      <c r="E45489" s="2">
        <v>0</v>
      </c>
      <c r="F45489" s="2">
        <v>5.3288144986384803E-6</v>
      </c>
    </row>
    <row r="45490" spans="1:6" x14ac:dyDescent="0.25">
      <c r="A45490" s="1" t="str">
        <f t="shared" si="1514"/>
        <v>99999</v>
      </c>
      <c r="B45490" s="1" t="str">
        <f>"74567"</f>
        <v>74567</v>
      </c>
      <c r="C45490" s="2">
        <v>1.24500024142178E-5</v>
      </c>
      <c r="D45490" s="2">
        <v>1.0539962266935E-5</v>
      </c>
      <c r="E45490" s="2">
        <v>4.3010567696482999E-6</v>
      </c>
      <c r="F45490" s="2">
        <v>1.2137855246898699E-5</v>
      </c>
    </row>
    <row r="45491" spans="1:6" x14ac:dyDescent="0.25">
      <c r="A45491" s="1" t="str">
        <f t="shared" si="1514"/>
        <v>99999</v>
      </c>
      <c r="B45491" s="1" t="str">
        <f>"74553"</f>
        <v>74553</v>
      </c>
      <c r="C45491" s="2">
        <v>1.15839152897505E-5</v>
      </c>
      <c r="D45491" s="2">
        <v>0</v>
      </c>
      <c r="E45491" s="2">
        <v>0</v>
      </c>
      <c r="F45491" s="2">
        <v>1.0558947247302099E-5</v>
      </c>
    </row>
    <row r="45492" spans="1:6" x14ac:dyDescent="0.25">
      <c r="A45492" s="1" t="str">
        <f t="shared" si="1514"/>
        <v>99999</v>
      </c>
      <c r="B45492" s="1" t="str">
        <f>"74833"</f>
        <v>74833</v>
      </c>
      <c r="C45492" s="2">
        <v>5.1207401234130799E-5</v>
      </c>
      <c r="D45492" s="2">
        <v>3.9148431277187403E-5</v>
      </c>
      <c r="E45492" s="2">
        <v>4.3010567696482999E-6</v>
      </c>
      <c r="F45492" s="2">
        <v>4.9340874987393397E-5</v>
      </c>
    </row>
    <row r="45493" spans="1:6" x14ac:dyDescent="0.25">
      <c r="A45493" s="1" t="str">
        <f t="shared" si="1514"/>
        <v>99999</v>
      </c>
      <c r="B45493" s="1" t="str">
        <f>"74577"</f>
        <v>74577</v>
      </c>
      <c r="C45493" s="2">
        <v>6.7121752146218001E-6</v>
      </c>
      <c r="D45493" s="2">
        <v>0</v>
      </c>
      <c r="E45493" s="2">
        <v>4.3010567696482999E-6</v>
      </c>
      <c r="F45493" s="2">
        <v>6.2169502484115596E-6</v>
      </c>
    </row>
    <row r="45494" spans="1:6" x14ac:dyDescent="0.25">
      <c r="A45494" s="1" t="str">
        <f t="shared" si="1514"/>
        <v>99999</v>
      </c>
      <c r="B45494" s="1" t="str">
        <f>"74867"</f>
        <v>74867</v>
      </c>
      <c r="C45494" s="2">
        <v>4.2546529989457501E-5</v>
      </c>
      <c r="D45494" s="2">
        <v>6.0228355811057601E-6</v>
      </c>
      <c r="E45494" s="2">
        <v>4.3010567696482999E-6</v>
      </c>
      <c r="F45494" s="2">
        <v>3.9275336489965102E-5</v>
      </c>
    </row>
    <row r="45495" spans="1:6" x14ac:dyDescent="0.25">
      <c r="A45495" s="1" t="str">
        <f t="shared" si="1514"/>
        <v>99999</v>
      </c>
      <c r="B45495" s="1" t="str">
        <f>"79534"</f>
        <v>79534</v>
      </c>
      <c r="C45495" s="2">
        <v>9.8517410408158696E-6</v>
      </c>
      <c r="D45495" s="2">
        <v>1.50570889527644E-6</v>
      </c>
      <c r="E45495" s="2">
        <v>4.3010567696482999E-6</v>
      </c>
      <c r="F45495" s="2">
        <v>9.1774027476551693E-6</v>
      </c>
    </row>
    <row r="45496" spans="1:6" x14ac:dyDescent="0.25">
      <c r="A45496" s="1" t="str">
        <f t="shared" si="1514"/>
        <v>99999</v>
      </c>
      <c r="B45496" s="1" t="str">
        <f>"76429"</f>
        <v>76429</v>
      </c>
      <c r="C45496" s="2">
        <v>1.2233480633101E-5</v>
      </c>
      <c r="D45496" s="2">
        <v>1.50570889527644E-6</v>
      </c>
      <c r="E45496" s="2">
        <v>8.6021135392965999E-6</v>
      </c>
      <c r="F45496" s="2">
        <v>1.14470829970752E-5</v>
      </c>
    </row>
    <row r="45497" spans="1:6" x14ac:dyDescent="0.25">
      <c r="A45497" s="1" t="str">
        <f t="shared" si="1514"/>
        <v>99999</v>
      </c>
      <c r="B45497" s="1" t="str">
        <f>"77616"</f>
        <v>77616</v>
      </c>
      <c r="C45497" s="2">
        <v>2.5008265718994098E-5</v>
      </c>
      <c r="D45497" s="2">
        <v>1.20456711622115E-5</v>
      </c>
      <c r="E45497" s="2">
        <v>0</v>
      </c>
      <c r="F45497" s="2">
        <v>2.3584938243973999E-5</v>
      </c>
    </row>
    <row r="45498" spans="1:6" x14ac:dyDescent="0.25">
      <c r="A45498" s="1" t="str">
        <f t="shared" si="1514"/>
        <v>99999</v>
      </c>
      <c r="B45498" s="1" t="str">
        <f>"77442"</f>
        <v>77442</v>
      </c>
      <c r="C45498" s="2">
        <v>4.9366966094637701E-5</v>
      </c>
      <c r="D45498" s="2">
        <v>2.25856334291466E-5</v>
      </c>
      <c r="E45498" s="2">
        <v>0</v>
      </c>
      <c r="F45498" s="2">
        <v>4.64791042381245E-5</v>
      </c>
    </row>
    <row r="45499" spans="1:6" x14ac:dyDescent="0.25">
      <c r="A45499" s="1" t="str">
        <f t="shared" si="1514"/>
        <v>99999</v>
      </c>
      <c r="B45499" s="1" t="str">
        <f>"76690"</f>
        <v>76690</v>
      </c>
      <c r="C45499" s="2">
        <v>7.0044796191295194E-5</v>
      </c>
      <c r="D45499" s="2">
        <v>1.35513800574879E-5</v>
      </c>
      <c r="E45499" s="2">
        <v>8.6021135392965999E-5</v>
      </c>
      <c r="F45499" s="2">
        <v>6.6708862982955806E-5</v>
      </c>
    </row>
    <row r="45500" spans="1:6" x14ac:dyDescent="0.25">
      <c r="A45500" s="1" t="str">
        <f t="shared" si="1514"/>
        <v>99999</v>
      </c>
      <c r="B45500" s="1" t="str">
        <f>"77662"</f>
        <v>77662</v>
      </c>
      <c r="C45500" s="2">
        <v>2.39256568134099E-5</v>
      </c>
      <c r="D45500" s="2">
        <v>6.0228355811057601E-6</v>
      </c>
      <c r="E45500" s="2">
        <v>8.6021135392965999E-6</v>
      </c>
      <c r="F45500" s="2">
        <v>2.2400757244276601E-5</v>
      </c>
    </row>
    <row r="45501" spans="1:6" x14ac:dyDescent="0.25">
      <c r="A45501" s="1" t="str">
        <f t="shared" si="1514"/>
        <v>99999</v>
      </c>
      <c r="B45501" s="1" t="str">
        <f>"77853"</f>
        <v>77853</v>
      </c>
      <c r="C45501" s="2">
        <v>7.4808275375865495E-5</v>
      </c>
      <c r="D45501" s="2">
        <v>1.80685067433172E-5</v>
      </c>
      <c r="E45501" s="2">
        <v>8.6021135392965999E-6</v>
      </c>
      <c r="F45501" s="2">
        <v>6.9570633732224697E-5</v>
      </c>
    </row>
    <row r="45502" spans="1:6" x14ac:dyDescent="0.25">
      <c r="A45502" s="1" t="str">
        <f t="shared" si="1514"/>
        <v>99999</v>
      </c>
      <c r="B45502" s="1" t="str">
        <f>"78938"</f>
        <v>78938</v>
      </c>
      <c r="C45502" s="2">
        <v>1.86208731760475E-5</v>
      </c>
      <c r="D45502" s="2">
        <v>6.0228355811057601E-6</v>
      </c>
      <c r="E45502" s="2">
        <v>8.6021135392965999E-6</v>
      </c>
      <c r="F45502" s="2">
        <v>1.7565351495512E-5</v>
      </c>
    </row>
    <row r="45503" spans="1:6" x14ac:dyDescent="0.25">
      <c r="A45503" s="1" t="str">
        <f t="shared" si="1514"/>
        <v>99999</v>
      </c>
      <c r="B45503" s="1" t="str">
        <f>"78943"</f>
        <v>78943</v>
      </c>
      <c r="C45503" s="2">
        <v>2.0569569206098999E-5</v>
      </c>
      <c r="D45503" s="2">
        <v>1.50570889527644E-6</v>
      </c>
      <c r="E45503" s="2">
        <v>3.01073973875381E-5</v>
      </c>
      <c r="F45503" s="2">
        <v>1.95389864950077E-5</v>
      </c>
    </row>
    <row r="45504" spans="1:6" x14ac:dyDescent="0.25">
      <c r="A45504" s="1" t="str">
        <f t="shared" si="1514"/>
        <v>99999</v>
      </c>
      <c r="B45504" s="1" t="str">
        <f>"78621"</f>
        <v>78621</v>
      </c>
      <c r="C45504" s="2">
        <v>2.5549570171786201E-5</v>
      </c>
      <c r="D45504" s="2">
        <v>1.50570889527644E-6</v>
      </c>
      <c r="E45504" s="2">
        <v>3.01073973875381E-5</v>
      </c>
      <c r="F45504" s="2">
        <v>2.4078346993847899E-5</v>
      </c>
    </row>
    <row r="45505" spans="1:6" x14ac:dyDescent="0.25">
      <c r="A45505" s="1" t="str">
        <f t="shared" si="1514"/>
        <v>99999</v>
      </c>
      <c r="B45505" s="1" t="str">
        <f>"81071"</f>
        <v>81071</v>
      </c>
      <c r="C45505" s="2">
        <v>2.0677830096657399E-5</v>
      </c>
      <c r="D45505" s="2">
        <v>2.1079924533870101E-5</v>
      </c>
      <c r="E45505" s="2">
        <v>0</v>
      </c>
      <c r="F45505" s="2">
        <v>2.0229758744831201E-5</v>
      </c>
    </row>
    <row r="45506" spans="1:6" x14ac:dyDescent="0.25">
      <c r="A45506" s="1" t="str">
        <f t="shared" si="1514"/>
        <v>99999</v>
      </c>
      <c r="B45506" s="1" t="str">
        <f>"81084"</f>
        <v>81084</v>
      </c>
      <c r="C45506" s="2">
        <v>8.5526103541148705E-6</v>
      </c>
      <c r="D45506" s="2">
        <v>0</v>
      </c>
      <c r="E45506" s="2">
        <v>4.3010567696482999E-6</v>
      </c>
      <c r="F45506" s="2">
        <v>7.8945399979829399E-6</v>
      </c>
    </row>
    <row r="45507" spans="1:6" x14ac:dyDescent="0.25">
      <c r="A45507" s="1" t="str">
        <f t="shared" si="1514"/>
        <v>99999</v>
      </c>
      <c r="B45507" s="1" t="str">
        <f>"81126"</f>
        <v>81126</v>
      </c>
      <c r="C45507" s="2">
        <v>8.1195667918812104E-6</v>
      </c>
      <c r="D45507" s="2">
        <v>0</v>
      </c>
      <c r="E45507" s="2">
        <v>4.3010567696482999E-6</v>
      </c>
      <c r="F45507" s="2">
        <v>7.4998129980837899E-6</v>
      </c>
    </row>
    <row r="45508" spans="1:6" x14ac:dyDescent="0.25">
      <c r="A45508" s="1" t="str">
        <f t="shared" si="1514"/>
        <v>99999</v>
      </c>
      <c r="B45508" s="1" t="str">
        <f>"81033"</f>
        <v>81033</v>
      </c>
      <c r="C45508" s="2">
        <v>8.8773930257901203E-6</v>
      </c>
      <c r="D45508" s="2">
        <v>1.50570889527644E-6</v>
      </c>
      <c r="E45508" s="2">
        <v>1.29031703089449E-5</v>
      </c>
      <c r="F45508" s="2">
        <v>8.4866304978316595E-6</v>
      </c>
    </row>
    <row r="45509" spans="1:6" x14ac:dyDescent="0.25">
      <c r="A45509" s="1" t="str">
        <f t="shared" si="1514"/>
        <v>99999</v>
      </c>
      <c r="B45509" s="1" t="str">
        <f>"81124"</f>
        <v>81124</v>
      </c>
      <c r="C45509" s="2">
        <v>1.06095672747247E-5</v>
      </c>
      <c r="D45509" s="2">
        <v>0</v>
      </c>
      <c r="E45509" s="2">
        <v>4.3010567696482999E-6</v>
      </c>
      <c r="F45509" s="2">
        <v>9.7694932475038906E-6</v>
      </c>
    </row>
    <row r="45510" spans="1:6" x14ac:dyDescent="0.25">
      <c r="A45510" s="1" t="str">
        <f t="shared" ref="A45510:A45573" si="1515">"99999"</f>
        <v>99999</v>
      </c>
      <c r="B45510" s="1" t="str">
        <f>"82637"</f>
        <v>82637</v>
      </c>
      <c r="C45510" s="2">
        <v>8.5417842650590295E-5</v>
      </c>
      <c r="D45510" s="2">
        <v>2.4091342324423E-5</v>
      </c>
      <c r="E45510" s="2">
        <v>5.5913738005427899E-5</v>
      </c>
      <c r="F45510" s="2">
        <v>8.0721671479375604E-5</v>
      </c>
    </row>
    <row r="45511" spans="1:6" x14ac:dyDescent="0.25">
      <c r="A45511" s="1" t="str">
        <f t="shared" si="1515"/>
        <v>99999</v>
      </c>
      <c r="B45511" s="1" t="str">
        <f>"83118"</f>
        <v>83118</v>
      </c>
      <c r="C45511" s="2">
        <v>5.95434898071288E-6</v>
      </c>
      <c r="D45511" s="2">
        <v>1.50570889527644E-6</v>
      </c>
      <c r="E45511" s="2">
        <v>8.6021135392965999E-6</v>
      </c>
      <c r="F45511" s="2">
        <v>5.7235414985376303E-6</v>
      </c>
    </row>
    <row r="45512" spans="1:6" x14ac:dyDescent="0.25">
      <c r="A45512" s="1" t="str">
        <f t="shared" si="1515"/>
        <v>99999</v>
      </c>
      <c r="B45512" s="1" t="str">
        <f>"80423"</f>
        <v>80423</v>
      </c>
      <c r="C45512" s="2">
        <v>5.4130445279207995E-7</v>
      </c>
      <c r="D45512" s="2">
        <v>1.50570889527644E-6</v>
      </c>
      <c r="E45512" s="2">
        <v>0</v>
      </c>
      <c r="F45512" s="2">
        <v>5.9209049984871999E-7</v>
      </c>
    </row>
    <row r="45513" spans="1:6" x14ac:dyDescent="0.25">
      <c r="A45513" s="1" t="str">
        <f t="shared" si="1515"/>
        <v>99999</v>
      </c>
      <c r="B45513" s="1" t="str">
        <f>"84718"</f>
        <v>84718</v>
      </c>
      <c r="C45513" s="2">
        <v>9.2021756974653701E-6</v>
      </c>
      <c r="D45513" s="2">
        <v>0</v>
      </c>
      <c r="E45513" s="2">
        <v>4.3010567696482999E-6</v>
      </c>
      <c r="F45513" s="2">
        <v>8.4866304978316595E-6</v>
      </c>
    </row>
    <row r="45514" spans="1:6" x14ac:dyDescent="0.25">
      <c r="A45514" s="1" t="str">
        <f t="shared" si="1515"/>
        <v>99999</v>
      </c>
      <c r="B45514" s="1" t="str">
        <f>"84622"</f>
        <v>84622</v>
      </c>
      <c r="C45514" s="2">
        <v>4.7634791845703099E-6</v>
      </c>
      <c r="D45514" s="2">
        <v>1.50570889527644E-6</v>
      </c>
      <c r="E45514" s="2">
        <v>4.3010567696482999E-6</v>
      </c>
      <c r="F45514" s="2">
        <v>4.5393604988401904E-6</v>
      </c>
    </row>
    <row r="45515" spans="1:6" x14ac:dyDescent="0.25">
      <c r="A45515" s="1" t="str">
        <f t="shared" si="1515"/>
        <v>99999</v>
      </c>
      <c r="B45515" s="1" t="str">
        <f>"87006"</f>
        <v>87006</v>
      </c>
      <c r="C45515" s="2">
        <v>1.9595221191073298E-5</v>
      </c>
      <c r="D45515" s="2">
        <v>0</v>
      </c>
      <c r="E45515" s="2">
        <v>0</v>
      </c>
      <c r="F45515" s="2">
        <v>1.7861396745436401E-5</v>
      </c>
    </row>
    <row r="45516" spans="1:6" x14ac:dyDescent="0.25">
      <c r="A45516" s="1" t="str">
        <f t="shared" si="1515"/>
        <v>99999</v>
      </c>
      <c r="B45516" s="1" t="str">
        <f>"88422"</f>
        <v>88422</v>
      </c>
      <c r="C45516" s="2">
        <v>4.5469574034534697E-6</v>
      </c>
      <c r="D45516" s="2">
        <v>1.50570889527644E-6</v>
      </c>
      <c r="E45516" s="2">
        <v>0</v>
      </c>
      <c r="F45516" s="2">
        <v>4.2433152489158297E-6</v>
      </c>
    </row>
    <row r="45517" spans="1:6" x14ac:dyDescent="0.25">
      <c r="A45517" s="1" t="str">
        <f t="shared" si="1515"/>
        <v>99999</v>
      </c>
      <c r="B45517" s="1" t="str">
        <f>"88417"</f>
        <v>88417</v>
      </c>
      <c r="C45517" s="2">
        <v>4.3304356223366396E-6</v>
      </c>
      <c r="D45517" s="2">
        <v>0</v>
      </c>
      <c r="E45517" s="2">
        <v>1.72042270785932E-5</v>
      </c>
      <c r="F45517" s="2">
        <v>4.3419969988906098E-6</v>
      </c>
    </row>
    <row r="45518" spans="1:6" x14ac:dyDescent="0.25">
      <c r="A45518" s="1" t="str">
        <f t="shared" si="1515"/>
        <v>99999</v>
      </c>
      <c r="B45518" s="1" t="str">
        <f>"96118"</f>
        <v>96118</v>
      </c>
      <c r="C45518" s="2">
        <v>1.62391335837624E-6</v>
      </c>
      <c r="D45518" s="2">
        <v>1.50570889527644E-6</v>
      </c>
      <c r="E45518" s="2">
        <v>0</v>
      </c>
      <c r="F45518" s="2">
        <v>1.5789079995965801E-6</v>
      </c>
    </row>
    <row r="45519" spans="1:6" x14ac:dyDescent="0.25">
      <c r="A45519" s="1" t="str">
        <f t="shared" si="1515"/>
        <v>99999</v>
      </c>
      <c r="B45519" s="1" t="str">
        <f>"97134"</f>
        <v>97134</v>
      </c>
      <c r="C45519" s="2">
        <v>2.4142178594526799E-5</v>
      </c>
      <c r="D45519" s="2">
        <v>0</v>
      </c>
      <c r="E45519" s="2">
        <v>4.3010567696482999E-6</v>
      </c>
      <c r="F45519" s="2">
        <v>2.2104711994352199E-5</v>
      </c>
    </row>
    <row r="45520" spans="1:6" x14ac:dyDescent="0.25">
      <c r="A45520" s="1" t="str">
        <f t="shared" si="1515"/>
        <v>99999</v>
      </c>
      <c r="B45520" s="1" t="str">
        <f>"98644"</f>
        <v>98644</v>
      </c>
      <c r="C45520" s="2">
        <v>6.4631751663374404E-5</v>
      </c>
      <c r="D45520" s="2">
        <v>1.50570889527644E-6</v>
      </c>
      <c r="E45520" s="2">
        <v>0</v>
      </c>
      <c r="F45520" s="2">
        <v>5.9011686484922498E-5</v>
      </c>
    </row>
    <row r="45521" spans="1:6" x14ac:dyDescent="0.25">
      <c r="A45521" s="1" t="str">
        <f t="shared" si="1515"/>
        <v>99999</v>
      </c>
      <c r="B45521" s="1" t="str">
        <f>"98812"</f>
        <v>98812</v>
      </c>
      <c r="C45521" s="2">
        <v>4.7201748283469398E-5</v>
      </c>
      <c r="D45521" s="2">
        <v>3.31255956960816E-5</v>
      </c>
      <c r="E45521" s="2">
        <v>2.6236446294854599E-4</v>
      </c>
      <c r="F45521" s="2">
        <v>5.1215828236914297E-5</v>
      </c>
    </row>
    <row r="45522" spans="1:6" x14ac:dyDescent="0.25">
      <c r="A45522" s="1" t="str">
        <f t="shared" si="1515"/>
        <v>99999</v>
      </c>
      <c r="B45522" s="1" t="str">
        <f>"98547"</f>
        <v>98547</v>
      </c>
      <c r="C45522" s="2">
        <v>2.3492613251176299E-5</v>
      </c>
      <c r="D45522" s="2">
        <v>7.5285444763821999E-6</v>
      </c>
      <c r="E45522" s="2">
        <v>1.11827476010855E-4</v>
      </c>
      <c r="F45522" s="2">
        <v>2.4473073993747101E-5</v>
      </c>
    </row>
    <row r="45523" spans="1:6" x14ac:dyDescent="0.25">
      <c r="A45523" s="1" t="str">
        <f t="shared" si="1515"/>
        <v>99999</v>
      </c>
      <c r="B45523" s="1" t="str">
        <f>"99140"</f>
        <v>99140</v>
      </c>
      <c r="C45523" s="2">
        <v>1.0393045493607899E-5</v>
      </c>
      <c r="D45523" s="2">
        <v>0</v>
      </c>
      <c r="E45523" s="2">
        <v>1.8924649786452501E-4</v>
      </c>
      <c r="F45523" s="2">
        <v>1.38154449964701E-5</v>
      </c>
    </row>
    <row r="45524" spans="1:6" x14ac:dyDescent="0.25">
      <c r="A45524" s="1" t="str">
        <f t="shared" si="1515"/>
        <v>99999</v>
      </c>
      <c r="B45524" s="1" t="str">
        <f>"99117"</f>
        <v>99117</v>
      </c>
      <c r="C45524" s="2">
        <v>2.30595696889426E-5</v>
      </c>
      <c r="D45524" s="2">
        <v>1.20456711622115E-5</v>
      </c>
      <c r="E45524" s="2">
        <v>1.37633816628745E-4</v>
      </c>
      <c r="F45524" s="2">
        <v>2.4966482743620998E-5</v>
      </c>
    </row>
    <row r="45525" spans="1:6" x14ac:dyDescent="0.25">
      <c r="A45525" s="1" t="str">
        <f t="shared" si="1515"/>
        <v>99999</v>
      </c>
      <c r="B45525" s="1" t="str">
        <f>"99147"</f>
        <v>99147</v>
      </c>
      <c r="C45525" s="2">
        <v>1.5481307349853501E-5</v>
      </c>
      <c r="D45525" s="2">
        <v>1.50570889527644E-6</v>
      </c>
      <c r="E45525" s="2">
        <v>1.29031703089449E-5</v>
      </c>
      <c r="F45525" s="2">
        <v>1.45062172462936E-5</v>
      </c>
    </row>
    <row r="45526" spans="1:6" x14ac:dyDescent="0.25">
      <c r="A45526" s="1" t="str">
        <f t="shared" si="1515"/>
        <v>99999</v>
      </c>
      <c r="B45526" s="1" t="str">
        <f>"99903"</f>
        <v>99903</v>
      </c>
      <c r="C45526" s="2">
        <v>0</v>
      </c>
      <c r="D45526" s="2">
        <v>0</v>
      </c>
      <c r="E45526" s="2">
        <v>4.3010567696482999E-6</v>
      </c>
      <c r="F45526" s="2">
        <v>9.8681749974786797E-8</v>
      </c>
    </row>
    <row r="45527" spans="1:6" x14ac:dyDescent="0.25">
      <c r="A45527" s="1" t="str">
        <f t="shared" si="1515"/>
        <v>99999</v>
      </c>
      <c r="B45527" s="1" t="str">
        <f>"12566"</f>
        <v>12566</v>
      </c>
      <c r="C45527" s="2">
        <v>3.2803049839199998E-5</v>
      </c>
      <c r="D45527" s="2">
        <v>3.01141779055288E-6</v>
      </c>
      <c r="E45527" s="2">
        <v>1.29031703089449E-5</v>
      </c>
      <c r="F45527" s="2">
        <v>3.03939789922343E-5</v>
      </c>
    </row>
    <row r="45528" spans="1:6" x14ac:dyDescent="0.25">
      <c r="A45528" s="1" t="str">
        <f t="shared" si="1515"/>
        <v>99999</v>
      </c>
      <c r="B45528" s="1" t="str">
        <f>"13751"</f>
        <v>13751</v>
      </c>
      <c r="C45528" s="2">
        <v>7.2534796674138799E-6</v>
      </c>
      <c r="D45528" s="2">
        <v>1.50570889527644E-6</v>
      </c>
      <c r="E45528" s="2">
        <v>4.3010567696482999E-6</v>
      </c>
      <c r="F45528" s="2">
        <v>6.8090407482602902E-6</v>
      </c>
    </row>
    <row r="45529" spans="1:6" x14ac:dyDescent="0.25">
      <c r="A45529" s="1" t="str">
        <f t="shared" si="1515"/>
        <v>99999</v>
      </c>
      <c r="B45529" s="1" t="str">
        <f>"47116"</f>
        <v>47116</v>
      </c>
      <c r="C45529" s="2">
        <v>5.672870665261E-5</v>
      </c>
      <c r="D45529" s="2">
        <v>3.6137013486634501E-5</v>
      </c>
      <c r="E45529" s="2">
        <v>2.0214966817347E-4</v>
      </c>
      <c r="F45529" s="2">
        <v>5.87156412349981E-5</v>
      </c>
    </row>
    <row r="45530" spans="1:6" x14ac:dyDescent="0.25">
      <c r="A45530" s="1" t="str">
        <f t="shared" si="1515"/>
        <v>99999</v>
      </c>
      <c r="B45530" s="1" t="str">
        <f>"41149"</f>
        <v>41149</v>
      </c>
      <c r="C45530" s="2">
        <v>4.5469574034534697E-5</v>
      </c>
      <c r="D45530" s="2">
        <v>1.0539962266935E-5</v>
      </c>
      <c r="E45530" s="2">
        <v>2.15052838482415E-5</v>
      </c>
      <c r="F45530" s="2">
        <v>4.2630515989107903E-5</v>
      </c>
    </row>
    <row r="45531" spans="1:6" x14ac:dyDescent="0.25">
      <c r="A45531" s="1" t="str">
        <f t="shared" si="1515"/>
        <v>99999</v>
      </c>
      <c r="B45531" s="1" t="str">
        <f>"41421"</f>
        <v>41421</v>
      </c>
      <c r="C45531" s="2">
        <v>1.5264785568736599E-5</v>
      </c>
      <c r="D45531" s="2">
        <v>0</v>
      </c>
      <c r="E45531" s="2">
        <v>4.7311624466131299E-5</v>
      </c>
      <c r="F45531" s="2">
        <v>1.49996259961675E-5</v>
      </c>
    </row>
    <row r="45532" spans="1:6" x14ac:dyDescent="0.25">
      <c r="A45532" s="1" t="str">
        <f t="shared" si="1515"/>
        <v>99999</v>
      </c>
      <c r="B45532" s="1" t="str">
        <f>"44624"</f>
        <v>44624</v>
      </c>
      <c r="C45532" s="2">
        <v>9.2779583208562594E-5</v>
      </c>
      <c r="D45532" s="2">
        <v>5.2699811334675399E-5</v>
      </c>
      <c r="E45532" s="2">
        <v>0</v>
      </c>
      <c r="F45532" s="2">
        <v>8.8024120977509799E-5</v>
      </c>
    </row>
    <row r="45533" spans="1:6" x14ac:dyDescent="0.25">
      <c r="A45533" s="1" t="str">
        <f t="shared" si="1515"/>
        <v>99999</v>
      </c>
      <c r="B45533" s="1" t="str">
        <f>"44683"</f>
        <v>44683</v>
      </c>
      <c r="C45533" s="2">
        <v>2.46834830473188E-5</v>
      </c>
      <c r="D45533" s="2">
        <v>7.5285444763821999E-6</v>
      </c>
      <c r="E45533" s="2">
        <v>0</v>
      </c>
      <c r="F45533" s="2">
        <v>2.2992847744125301E-5</v>
      </c>
    </row>
    <row r="45534" spans="1:6" x14ac:dyDescent="0.25">
      <c r="A45534" s="1" t="str">
        <f t="shared" si="1515"/>
        <v>99999</v>
      </c>
      <c r="B45534" s="1" t="str">
        <f>"45684"</f>
        <v>45684</v>
      </c>
      <c r="C45534" s="2">
        <v>4.46034869100674E-5</v>
      </c>
      <c r="D45534" s="2">
        <v>1.0539962266935E-5</v>
      </c>
      <c r="E45534" s="2">
        <v>0</v>
      </c>
      <c r="F45534" s="2">
        <v>4.1347653239435603E-5</v>
      </c>
    </row>
    <row r="45535" spans="1:6" x14ac:dyDescent="0.25">
      <c r="A45535" s="1" t="str">
        <f t="shared" si="1515"/>
        <v>99999</v>
      </c>
      <c r="B45535" s="1" t="str">
        <f>"47959"</f>
        <v>47959</v>
      </c>
      <c r="C45535" s="2">
        <v>1.11616978165727E-4</v>
      </c>
      <c r="D45535" s="2">
        <v>5.1194102439398901E-5</v>
      </c>
      <c r="E45535" s="2">
        <v>1.5913910047698701E-4</v>
      </c>
      <c r="F45535" s="2">
        <v>1.08747288472215E-4</v>
      </c>
    </row>
    <row r="45536" spans="1:6" x14ac:dyDescent="0.25">
      <c r="A45536" s="1" t="str">
        <f t="shared" si="1515"/>
        <v>99999</v>
      </c>
      <c r="B45536" s="1" t="str">
        <f>"49840"</f>
        <v>49840</v>
      </c>
      <c r="C45536" s="2">
        <v>5.61874021998179E-5</v>
      </c>
      <c r="D45536" s="2">
        <v>1.35513800574879E-5</v>
      </c>
      <c r="E45536" s="2">
        <v>4.3010567696482999E-6</v>
      </c>
      <c r="F45536" s="2">
        <v>5.22026457366622E-5</v>
      </c>
    </row>
    <row r="45537" spans="1:6" x14ac:dyDescent="0.25">
      <c r="A45537" s="1" t="str">
        <f t="shared" si="1515"/>
        <v>99999</v>
      </c>
      <c r="B45537" s="1" t="str">
        <f>"50848"</f>
        <v>50848</v>
      </c>
      <c r="C45537" s="2">
        <v>2.0677830096657399E-5</v>
      </c>
      <c r="D45537" s="2">
        <v>4.5171266858293203E-6</v>
      </c>
      <c r="E45537" s="2">
        <v>4.3010567696482999E-6</v>
      </c>
      <c r="F45537" s="2">
        <v>1.92429412450834E-5</v>
      </c>
    </row>
    <row r="45538" spans="1:6" x14ac:dyDescent="0.25">
      <c r="A45538" s="1" t="str">
        <f t="shared" si="1515"/>
        <v>99999</v>
      </c>
      <c r="B45538" s="1" t="str">
        <f>"50206"</f>
        <v>50206</v>
      </c>
      <c r="C45538" s="2">
        <v>3.3452615182550501E-5</v>
      </c>
      <c r="D45538" s="2">
        <v>4.5171266858293203E-6</v>
      </c>
      <c r="E45538" s="2">
        <v>2.58063406178898E-5</v>
      </c>
      <c r="F45538" s="2">
        <v>3.1380796491982199E-5</v>
      </c>
    </row>
    <row r="45539" spans="1:6" x14ac:dyDescent="0.25">
      <c r="A45539" s="1" t="str">
        <f t="shared" si="1515"/>
        <v>99999</v>
      </c>
      <c r="B45539" s="1" t="str">
        <f>"50590"</f>
        <v>50590</v>
      </c>
      <c r="C45539" s="2">
        <v>5.8677402682661502E-5</v>
      </c>
      <c r="D45539" s="2">
        <v>1.50570889527644E-5</v>
      </c>
      <c r="E45539" s="2">
        <v>2.15052838482415E-5</v>
      </c>
      <c r="F45539" s="2">
        <v>5.4965734735956198E-5</v>
      </c>
    </row>
    <row r="45540" spans="1:6" x14ac:dyDescent="0.25">
      <c r="A45540" s="1" t="str">
        <f t="shared" si="1515"/>
        <v>99999</v>
      </c>
      <c r="B45540" s="1" t="str">
        <f>"50449"</f>
        <v>50449</v>
      </c>
      <c r="C45540" s="2">
        <v>4.0164790397172297E-5</v>
      </c>
      <c r="D45540" s="2">
        <v>7.5285444763821999E-6</v>
      </c>
      <c r="E45540" s="2">
        <v>2.15052838482415E-5</v>
      </c>
      <c r="F45540" s="2">
        <v>3.7597746740393702E-5</v>
      </c>
    </row>
    <row r="45541" spans="1:6" x14ac:dyDescent="0.25">
      <c r="A45541" s="1" t="str">
        <f t="shared" si="1515"/>
        <v>99999</v>
      </c>
      <c r="B45541" s="1" t="str">
        <f>"49947"</f>
        <v>49947</v>
      </c>
      <c r="C45541" s="2">
        <v>4.5469574034534697E-5</v>
      </c>
      <c r="D45541" s="2">
        <v>1.0539962266935E-5</v>
      </c>
      <c r="E45541" s="2">
        <v>1.29031703089449E-5</v>
      </c>
      <c r="F45541" s="2">
        <v>4.2433152489158302E-5</v>
      </c>
    </row>
    <row r="45542" spans="1:6" x14ac:dyDescent="0.25">
      <c r="A45542" s="1" t="str">
        <f t="shared" si="1515"/>
        <v>99999</v>
      </c>
      <c r="B45542" s="1" t="str">
        <f>"53947"</f>
        <v>53947</v>
      </c>
      <c r="C45542" s="2">
        <v>7.5782623390891297E-6</v>
      </c>
      <c r="D45542" s="2">
        <v>0</v>
      </c>
      <c r="E45542" s="2">
        <v>2.15052838482415E-5</v>
      </c>
      <c r="F45542" s="2">
        <v>7.4011312481090098E-6</v>
      </c>
    </row>
    <row r="45543" spans="1:6" x14ac:dyDescent="0.25">
      <c r="A45543" s="1" t="str">
        <f t="shared" si="1515"/>
        <v>99999</v>
      </c>
      <c r="B45543" s="1" t="str">
        <f>"52640"</f>
        <v>52640</v>
      </c>
      <c r="C45543" s="2">
        <v>6.5606099678400105E-5</v>
      </c>
      <c r="D45543" s="2">
        <v>1.20456711622115E-5</v>
      </c>
      <c r="E45543" s="2">
        <v>2.58063406178898E-5</v>
      </c>
      <c r="F45543" s="2">
        <v>6.1182684984367795E-5</v>
      </c>
    </row>
    <row r="45544" spans="1:6" x14ac:dyDescent="0.25">
      <c r="A45544" s="1" t="str">
        <f t="shared" si="1515"/>
        <v>99999</v>
      </c>
      <c r="B45544" s="1" t="str">
        <f>"52739"</f>
        <v>52739</v>
      </c>
      <c r="C45544" s="2">
        <v>1.26665241953346E-5</v>
      </c>
      <c r="D45544" s="2">
        <v>1.50570889527644E-6</v>
      </c>
      <c r="E45544" s="2">
        <v>0</v>
      </c>
      <c r="F45544" s="2">
        <v>1.1644446497024801E-5</v>
      </c>
    </row>
    <row r="45545" spans="1:6" x14ac:dyDescent="0.25">
      <c r="A45545" s="1" t="str">
        <f t="shared" si="1515"/>
        <v>99999</v>
      </c>
      <c r="B45545" s="1" t="str">
        <f>"52594"</f>
        <v>52594</v>
      </c>
      <c r="C45545" s="2">
        <v>2.4466961266201999E-5</v>
      </c>
      <c r="D45545" s="2">
        <v>3.01141779055288E-6</v>
      </c>
      <c r="E45545" s="2">
        <v>4.3010567696482999E-6</v>
      </c>
      <c r="F45545" s="2">
        <v>2.25981207442261E-5</v>
      </c>
    </row>
    <row r="45546" spans="1:6" x14ac:dyDescent="0.25">
      <c r="A45546" s="1" t="str">
        <f t="shared" si="1515"/>
        <v>99999</v>
      </c>
      <c r="B45546" s="1" t="str">
        <f>"52222"</f>
        <v>52222</v>
      </c>
      <c r="C45546" s="2">
        <v>3.7025224570978301E-5</v>
      </c>
      <c r="D45546" s="2">
        <v>9.0342533716586405E-6</v>
      </c>
      <c r="E45546" s="2">
        <v>3.01073973875381E-5</v>
      </c>
      <c r="F45546" s="2">
        <v>3.5032021241049297E-5</v>
      </c>
    </row>
    <row r="45547" spans="1:6" x14ac:dyDescent="0.25">
      <c r="A45547" s="1" t="str">
        <f t="shared" si="1515"/>
        <v>99999</v>
      </c>
      <c r="B45547" s="1" t="str">
        <f>"52352"</f>
        <v>52352</v>
      </c>
      <c r="C45547" s="2">
        <v>1.4615220225386101E-5</v>
      </c>
      <c r="D45547" s="2">
        <v>4.5171266858293203E-6</v>
      </c>
      <c r="E45547" s="2">
        <v>8.6021135392965999E-6</v>
      </c>
      <c r="F45547" s="2">
        <v>1.38154449964701E-5</v>
      </c>
    </row>
    <row r="45548" spans="1:6" x14ac:dyDescent="0.25">
      <c r="A45548" s="1" t="str">
        <f t="shared" si="1515"/>
        <v>99999</v>
      </c>
      <c r="B45548" s="1" t="str">
        <f>"54862"</f>
        <v>54862</v>
      </c>
      <c r="C45548" s="2">
        <v>2.0677830096657399E-5</v>
      </c>
      <c r="D45548" s="2">
        <v>1.50570889527644E-6</v>
      </c>
      <c r="E45548" s="2">
        <v>1.7634332755557999E-4</v>
      </c>
      <c r="F45548" s="2">
        <v>2.2992847744125301E-5</v>
      </c>
    </row>
    <row r="45549" spans="1:6" x14ac:dyDescent="0.25">
      <c r="A45549" s="1" t="str">
        <f t="shared" si="1515"/>
        <v>99999</v>
      </c>
      <c r="B45549" s="1" t="str">
        <f>"54625"</f>
        <v>54625</v>
      </c>
      <c r="C45549" s="2">
        <v>1.07178281652832E-5</v>
      </c>
      <c r="D45549" s="2">
        <v>7.5285444763821999E-6</v>
      </c>
      <c r="E45549" s="2">
        <v>1.72042270785932E-5</v>
      </c>
      <c r="F45549" s="2">
        <v>1.06576289972769E-5</v>
      </c>
    </row>
    <row r="45550" spans="1:6" x14ac:dyDescent="0.25">
      <c r="A45550" s="1" t="str">
        <f t="shared" si="1515"/>
        <v>99999</v>
      </c>
      <c r="B45550" s="1" t="str">
        <f>"55606"</f>
        <v>55606</v>
      </c>
      <c r="C45550" s="2">
        <v>8.5526103541148705E-6</v>
      </c>
      <c r="D45550" s="2">
        <v>1.50570889527644E-6</v>
      </c>
      <c r="E45550" s="2">
        <v>8.6021135392965999E-6</v>
      </c>
      <c r="F45550" s="2">
        <v>8.0919034979325103E-6</v>
      </c>
    </row>
    <row r="45551" spans="1:6" x14ac:dyDescent="0.25">
      <c r="A45551" s="1" t="str">
        <f t="shared" si="1515"/>
        <v>99999</v>
      </c>
      <c r="B45551" s="1" t="str">
        <f>"57233"</f>
        <v>57233</v>
      </c>
      <c r="C45551" s="2">
        <v>8.4443494635564601E-6</v>
      </c>
      <c r="D45551" s="2">
        <v>4.5171266858293203E-6</v>
      </c>
      <c r="E45551" s="2">
        <v>0</v>
      </c>
      <c r="F45551" s="2">
        <v>7.9932217479577302E-6</v>
      </c>
    </row>
    <row r="45552" spans="1:6" x14ac:dyDescent="0.25">
      <c r="A45552" s="1" t="str">
        <f t="shared" si="1515"/>
        <v>99999</v>
      </c>
      <c r="B45552" s="1" t="str">
        <f>"57371"</f>
        <v>57371</v>
      </c>
      <c r="C45552" s="2">
        <v>1.40739157725941E-5</v>
      </c>
      <c r="D45552" s="2">
        <v>1.50570889527644E-6</v>
      </c>
      <c r="E45552" s="2">
        <v>4.3010567696482999E-6</v>
      </c>
      <c r="F45552" s="2">
        <v>1.30259909966718E-5</v>
      </c>
    </row>
    <row r="45553" spans="1:6" x14ac:dyDescent="0.25">
      <c r="A45553" s="1" t="str">
        <f t="shared" si="1515"/>
        <v>99999</v>
      </c>
      <c r="B45553" s="1" t="str">
        <f>"57376"</f>
        <v>57376</v>
      </c>
      <c r="C45553" s="2">
        <v>4.9800009656871403E-5</v>
      </c>
      <c r="D45553" s="2">
        <v>1.80685067433172E-5</v>
      </c>
      <c r="E45553" s="2">
        <v>3.8709510926834699E-5</v>
      </c>
      <c r="F45553" s="2">
        <v>4.7465921737872403E-5</v>
      </c>
    </row>
    <row r="45554" spans="1:6" x14ac:dyDescent="0.25">
      <c r="A45554" s="1" t="str">
        <f t="shared" si="1515"/>
        <v>99999</v>
      </c>
      <c r="B45554" s="1" t="str">
        <f>"57331"</f>
        <v>57331</v>
      </c>
      <c r="C45554" s="2">
        <v>1.75382642704634E-5</v>
      </c>
      <c r="D45554" s="2">
        <v>9.0342533716586405E-6</v>
      </c>
      <c r="E45554" s="2">
        <v>1.29031703089449E-5</v>
      </c>
      <c r="F45554" s="2">
        <v>1.6874579245688502E-5</v>
      </c>
    </row>
    <row r="45555" spans="1:6" x14ac:dyDescent="0.25">
      <c r="A45555" s="1" t="str">
        <f t="shared" si="1515"/>
        <v>99999</v>
      </c>
      <c r="B45555" s="1" t="str">
        <f>"57322"</f>
        <v>57322</v>
      </c>
      <c r="C45555" s="2">
        <v>6.3873925429465503E-6</v>
      </c>
      <c r="D45555" s="2">
        <v>3.01141779055288E-6</v>
      </c>
      <c r="E45555" s="2">
        <v>0</v>
      </c>
      <c r="F45555" s="2">
        <v>6.0195867484619901E-6</v>
      </c>
    </row>
    <row r="45556" spans="1:6" x14ac:dyDescent="0.25">
      <c r="A45556" s="1" t="str">
        <f t="shared" si="1515"/>
        <v>99999</v>
      </c>
      <c r="B45556" s="1" t="str">
        <f>"56285"</f>
        <v>56285</v>
      </c>
      <c r="C45556" s="2">
        <v>3.6483920118186202E-5</v>
      </c>
      <c r="D45556" s="2">
        <v>9.0342533716586405E-6</v>
      </c>
      <c r="E45556" s="2">
        <v>5.5913738005427899E-5</v>
      </c>
      <c r="F45556" s="2">
        <v>3.5130702991024101E-5</v>
      </c>
    </row>
    <row r="45557" spans="1:6" x14ac:dyDescent="0.25">
      <c r="A45557" s="1" t="str">
        <f t="shared" si="1515"/>
        <v>99999</v>
      </c>
      <c r="B45557" s="1" t="str">
        <f>"56651"</f>
        <v>56651</v>
      </c>
      <c r="C45557" s="2">
        <v>3.2478267167524801E-5</v>
      </c>
      <c r="D45557" s="2">
        <v>1.50570889527644E-6</v>
      </c>
      <c r="E45557" s="2">
        <v>0</v>
      </c>
      <c r="F45557" s="2">
        <v>2.9703206742410799E-5</v>
      </c>
    </row>
    <row r="45558" spans="1:6" x14ac:dyDescent="0.25">
      <c r="A45558" s="1" t="str">
        <f t="shared" si="1515"/>
        <v>99999</v>
      </c>
      <c r="B45558" s="1" t="str">
        <f>"56218"</f>
        <v>56218</v>
      </c>
      <c r="C45558" s="2">
        <v>2.6740439967928698E-5</v>
      </c>
      <c r="D45558" s="2">
        <v>1.0539962266935E-5</v>
      </c>
      <c r="E45558" s="2">
        <v>1.29031703089449E-5</v>
      </c>
      <c r="F45558" s="2">
        <v>2.53612097435202E-5</v>
      </c>
    </row>
    <row r="45559" spans="1:6" x14ac:dyDescent="0.25">
      <c r="A45559" s="1" t="str">
        <f t="shared" si="1515"/>
        <v>99999</v>
      </c>
      <c r="B45559" s="1" t="str">
        <f>"57648"</f>
        <v>57648</v>
      </c>
      <c r="C45559" s="2">
        <v>2.6415657296253501E-5</v>
      </c>
      <c r="D45559" s="2">
        <v>3.01141779055288E-6</v>
      </c>
      <c r="E45559" s="2">
        <v>2.58063406178898E-5</v>
      </c>
      <c r="F45559" s="2">
        <v>2.4867800993646201E-5</v>
      </c>
    </row>
    <row r="45560" spans="1:6" x14ac:dyDescent="0.25">
      <c r="A45560" s="1" t="str">
        <f t="shared" si="1515"/>
        <v>99999</v>
      </c>
      <c r="B45560" s="1" t="str">
        <f>"57649"</f>
        <v>57649</v>
      </c>
      <c r="C45560" s="2">
        <v>1.5373046459294999E-5</v>
      </c>
      <c r="D45560" s="2">
        <v>0</v>
      </c>
      <c r="E45560" s="2">
        <v>1.72042270785932E-5</v>
      </c>
      <c r="F45560" s="2">
        <v>1.4407535496318799E-5</v>
      </c>
    </row>
    <row r="45561" spans="1:6" x14ac:dyDescent="0.25">
      <c r="A45561" s="1" t="str">
        <f t="shared" si="1515"/>
        <v>99999</v>
      </c>
      <c r="B45561" s="1" t="str">
        <f>"58017"</f>
        <v>58017</v>
      </c>
      <c r="C45561" s="2">
        <v>1.9595221191073298E-5</v>
      </c>
      <c r="D45561" s="2">
        <v>9.0342533716586405E-6</v>
      </c>
      <c r="E45561" s="2">
        <v>1.29031703089449E-5</v>
      </c>
      <c r="F45561" s="2">
        <v>1.8749532495209401E-5</v>
      </c>
    </row>
    <row r="45562" spans="1:6" x14ac:dyDescent="0.25">
      <c r="A45562" s="1" t="str">
        <f t="shared" si="1515"/>
        <v>99999</v>
      </c>
      <c r="B45562" s="1" t="str">
        <f>"57569"</f>
        <v>57569</v>
      </c>
      <c r="C45562" s="2">
        <v>2.2843047907825799E-5</v>
      </c>
      <c r="D45562" s="2">
        <v>3.01141779055288E-6</v>
      </c>
      <c r="E45562" s="2">
        <v>1.72042270785932E-5</v>
      </c>
      <c r="F45562" s="2">
        <v>2.1413939744528701E-5</v>
      </c>
    </row>
    <row r="45563" spans="1:6" x14ac:dyDescent="0.25">
      <c r="A45563" s="1" t="str">
        <f t="shared" si="1515"/>
        <v>99999</v>
      </c>
      <c r="B45563" s="1" t="str">
        <f>"57645"</f>
        <v>57645</v>
      </c>
      <c r="C45563" s="2">
        <v>1.23417415236594E-5</v>
      </c>
      <c r="D45563" s="2">
        <v>3.01141779055288E-6</v>
      </c>
      <c r="E45563" s="2">
        <v>1.29031703089449E-5</v>
      </c>
      <c r="F45563" s="2">
        <v>1.1743128246999599E-5</v>
      </c>
    </row>
    <row r="45564" spans="1:6" x14ac:dyDescent="0.25">
      <c r="A45564" s="1" t="str">
        <f t="shared" si="1515"/>
        <v>99999</v>
      </c>
      <c r="B45564" s="1" t="str">
        <f>"58778"</f>
        <v>58778</v>
      </c>
      <c r="C45564" s="2">
        <v>1.09343499464E-5</v>
      </c>
      <c r="D45564" s="2">
        <v>0</v>
      </c>
      <c r="E45564" s="2">
        <v>1.29031703089449E-5</v>
      </c>
      <c r="F45564" s="2">
        <v>1.02629019973778E-5</v>
      </c>
    </row>
    <row r="45565" spans="1:6" x14ac:dyDescent="0.25">
      <c r="A45565" s="1" t="str">
        <f t="shared" si="1515"/>
        <v>99999</v>
      </c>
      <c r="B45565" s="1" t="str">
        <f>"59416"</f>
        <v>59416</v>
      </c>
      <c r="C45565" s="2">
        <v>1.06095672747247E-5</v>
      </c>
      <c r="D45565" s="2">
        <v>4.5171266858293203E-6</v>
      </c>
      <c r="E45565" s="2">
        <v>1.29031703089449E-5</v>
      </c>
      <c r="F45565" s="2">
        <v>1.02629019973778E-5</v>
      </c>
    </row>
    <row r="45566" spans="1:6" x14ac:dyDescent="0.25">
      <c r="A45566" s="1" t="str">
        <f t="shared" si="1515"/>
        <v>99999</v>
      </c>
      <c r="B45566" s="1" t="str">
        <f>"59218"</f>
        <v>59218</v>
      </c>
      <c r="C45566" s="2">
        <v>5.7378271995960502E-5</v>
      </c>
      <c r="D45566" s="2">
        <v>3.1619886800805203E-5</v>
      </c>
      <c r="E45566" s="2">
        <v>9.8924305701910905E-5</v>
      </c>
      <c r="F45566" s="2">
        <v>5.6643324485527599E-5</v>
      </c>
    </row>
    <row r="45567" spans="1:6" x14ac:dyDescent="0.25">
      <c r="A45567" s="1" t="str">
        <f t="shared" si="1515"/>
        <v>99999</v>
      </c>
      <c r="B45567" s="1" t="str">
        <f>"59759"</f>
        <v>59759</v>
      </c>
      <c r="C45567" s="2">
        <v>1.7213481598788101E-5</v>
      </c>
      <c r="D45567" s="2">
        <v>3.01141779055288E-6</v>
      </c>
      <c r="E45567" s="2">
        <v>0</v>
      </c>
      <c r="F45567" s="2">
        <v>1.5887761745940599E-5</v>
      </c>
    </row>
    <row r="45568" spans="1:6" x14ac:dyDescent="0.25">
      <c r="A45568" s="1" t="str">
        <f t="shared" si="1515"/>
        <v>99999</v>
      </c>
      <c r="B45568" s="1" t="str">
        <f>"59354"</f>
        <v>59354</v>
      </c>
      <c r="C45568" s="2">
        <v>0</v>
      </c>
      <c r="D45568" s="2">
        <v>0</v>
      </c>
      <c r="E45568" s="2">
        <v>4.3010567696482999E-6</v>
      </c>
      <c r="F45568" s="2">
        <v>9.8681749974786797E-8</v>
      </c>
    </row>
    <row r="45569" spans="1:6" x14ac:dyDescent="0.25">
      <c r="A45569" s="1" t="str">
        <f t="shared" si="1515"/>
        <v>99999</v>
      </c>
      <c r="B45569" s="1" t="str">
        <f>"58210"</f>
        <v>58210</v>
      </c>
      <c r="C45569" s="2">
        <v>1.9920003862748499E-5</v>
      </c>
      <c r="D45569" s="2">
        <v>1.50570889527644E-6</v>
      </c>
      <c r="E45569" s="2">
        <v>4.3010567696482999E-6</v>
      </c>
      <c r="F45569" s="2">
        <v>1.8354805495310301E-5</v>
      </c>
    </row>
    <row r="45570" spans="1:6" x14ac:dyDescent="0.25">
      <c r="A45570" s="1" t="str">
        <f t="shared" si="1515"/>
        <v>99999</v>
      </c>
      <c r="B45570" s="1" t="str">
        <f>"58475"</f>
        <v>58475</v>
      </c>
      <c r="C45570" s="2">
        <v>9.4186974785821993E-6</v>
      </c>
      <c r="D45570" s="2">
        <v>3.01141779055288E-6</v>
      </c>
      <c r="E45570" s="2">
        <v>0</v>
      </c>
      <c r="F45570" s="2">
        <v>8.7826757477560201E-6</v>
      </c>
    </row>
    <row r="45571" spans="1:6" x14ac:dyDescent="0.25">
      <c r="A45571" s="1" t="str">
        <f t="shared" si="1515"/>
        <v>99999</v>
      </c>
      <c r="B45571" s="1" t="str">
        <f>"62314"</f>
        <v>62314</v>
      </c>
      <c r="C45571" s="2">
        <v>2.6415657296253501E-5</v>
      </c>
      <c r="D45571" s="2">
        <v>1.50570889527644E-5</v>
      </c>
      <c r="E45571" s="2">
        <v>4.3010567696482999E-6</v>
      </c>
      <c r="F45571" s="2">
        <v>2.5163846243570599E-5</v>
      </c>
    </row>
    <row r="45572" spans="1:6" x14ac:dyDescent="0.25">
      <c r="A45572" s="1" t="str">
        <f t="shared" si="1515"/>
        <v>99999</v>
      </c>
      <c r="B45572" s="1" t="str">
        <f>"62343"</f>
        <v>62343</v>
      </c>
      <c r="C45572" s="2">
        <v>2.85808751074218E-5</v>
      </c>
      <c r="D45572" s="2">
        <v>1.80685067433172E-5</v>
      </c>
      <c r="E45572" s="2">
        <v>1.29031703089449E-5</v>
      </c>
      <c r="F45572" s="2">
        <v>2.7532208242965501E-5</v>
      </c>
    </row>
    <row r="45573" spans="1:6" x14ac:dyDescent="0.25">
      <c r="A45573" s="1" t="str">
        <f t="shared" si="1515"/>
        <v>99999</v>
      </c>
      <c r="B45573" s="1" t="str">
        <f>"62810"</f>
        <v>62810</v>
      </c>
      <c r="C45573" s="2">
        <v>3.0313049356356498E-6</v>
      </c>
      <c r="D45573" s="2">
        <v>0</v>
      </c>
      <c r="E45573" s="2">
        <v>0</v>
      </c>
      <c r="F45573" s="2">
        <v>2.76308899929403E-6</v>
      </c>
    </row>
    <row r="45574" spans="1:6" x14ac:dyDescent="0.25">
      <c r="A45574" s="1" t="str">
        <f t="shared" ref="A45574:A45637" si="1516">"99999"</f>
        <v>99999</v>
      </c>
      <c r="B45574" s="1" t="str">
        <f>"62965"</f>
        <v>62965</v>
      </c>
      <c r="C45574" s="2">
        <v>1.4073915772594101E-6</v>
      </c>
      <c r="D45574" s="2">
        <v>0</v>
      </c>
      <c r="E45574" s="2">
        <v>4.3010567696482999E-6</v>
      </c>
      <c r="F45574" s="2">
        <v>1.3815444996470099E-6</v>
      </c>
    </row>
    <row r="45575" spans="1:6" x14ac:dyDescent="0.25">
      <c r="A45575" s="1" t="str">
        <f t="shared" si="1516"/>
        <v>99999</v>
      </c>
      <c r="B45575" s="1" t="str">
        <f>"62546"</f>
        <v>62546</v>
      </c>
      <c r="C45575" s="2">
        <v>2.8147831545188202E-6</v>
      </c>
      <c r="D45575" s="2">
        <v>0</v>
      </c>
      <c r="E45575" s="2">
        <v>0</v>
      </c>
      <c r="F45575" s="2">
        <v>2.5657254993444499E-6</v>
      </c>
    </row>
    <row r="45576" spans="1:6" x14ac:dyDescent="0.25">
      <c r="A45576" s="1" t="str">
        <f t="shared" si="1516"/>
        <v>99999</v>
      </c>
      <c r="B45576" s="1" t="str">
        <f>"63823"</f>
        <v>63823</v>
      </c>
      <c r="C45576" s="2">
        <v>5.7053489324285298E-5</v>
      </c>
      <c r="D45576" s="2">
        <v>2.8608469010252301E-5</v>
      </c>
      <c r="E45576" s="2">
        <v>1.29031703089449E-5</v>
      </c>
      <c r="F45576" s="2">
        <v>5.4176280736157897E-5</v>
      </c>
    </row>
    <row r="45577" spans="1:6" x14ac:dyDescent="0.25">
      <c r="A45577" s="1" t="str">
        <f t="shared" si="1516"/>
        <v>99999</v>
      </c>
      <c r="B45577" s="1" t="str">
        <f>"65082"</f>
        <v>65082</v>
      </c>
      <c r="C45577" s="2">
        <v>5.90021853543368E-5</v>
      </c>
      <c r="D45577" s="2">
        <v>4.3665557963016701E-5</v>
      </c>
      <c r="E45577" s="2">
        <v>4.3010567696482999E-6</v>
      </c>
      <c r="F45577" s="2">
        <v>5.6742006235502403E-5</v>
      </c>
    </row>
    <row r="45578" spans="1:6" x14ac:dyDescent="0.25">
      <c r="A45578" s="1" t="str">
        <f t="shared" si="1516"/>
        <v>99999</v>
      </c>
      <c r="B45578" s="1" t="str">
        <f>"65069"</f>
        <v>65069</v>
      </c>
      <c r="C45578" s="2">
        <v>3.45352240881347E-5</v>
      </c>
      <c r="D45578" s="2">
        <v>1.20456711622115E-5</v>
      </c>
      <c r="E45578" s="2">
        <v>4.3010567696482999E-6</v>
      </c>
      <c r="F45578" s="2">
        <v>3.236761399173E-5</v>
      </c>
    </row>
    <row r="45579" spans="1:6" x14ac:dyDescent="0.25">
      <c r="A45579" s="1" t="str">
        <f t="shared" si="1516"/>
        <v>99999</v>
      </c>
      <c r="B45579" s="1" t="str">
        <f>"63937"</f>
        <v>63937</v>
      </c>
      <c r="C45579" s="2">
        <v>2.6632179077370302E-5</v>
      </c>
      <c r="D45579" s="2">
        <v>2.1079924533870101E-5</v>
      </c>
      <c r="E45579" s="2">
        <v>4.3010567696482999E-6</v>
      </c>
      <c r="F45579" s="2">
        <v>2.57559367434193E-5</v>
      </c>
    </row>
    <row r="45580" spans="1:6" x14ac:dyDescent="0.25">
      <c r="A45580" s="1" t="str">
        <f t="shared" si="1516"/>
        <v>99999</v>
      </c>
      <c r="B45580" s="1" t="str">
        <f>"63433"</f>
        <v>63433</v>
      </c>
      <c r="C45580" s="2">
        <v>4.4386965128950601E-6</v>
      </c>
      <c r="D45580" s="2">
        <v>6.0228355811057601E-6</v>
      </c>
      <c r="E45580" s="2">
        <v>4.3010567696482999E-6</v>
      </c>
      <c r="F45580" s="2">
        <v>4.5393604988401904E-6</v>
      </c>
    </row>
    <row r="45581" spans="1:6" x14ac:dyDescent="0.25">
      <c r="A45581" s="1" t="str">
        <f t="shared" si="1516"/>
        <v>99999</v>
      </c>
      <c r="B45581" s="1" t="str">
        <f>"65034"</f>
        <v>65034</v>
      </c>
      <c r="C45581" s="2">
        <v>1.5914350912087102E-5</v>
      </c>
      <c r="D45581" s="2">
        <v>9.0342533716586405E-6</v>
      </c>
      <c r="E45581" s="2">
        <v>4.3010567696482999E-6</v>
      </c>
      <c r="F45581" s="2">
        <v>1.5196989496117099E-5</v>
      </c>
    </row>
    <row r="45582" spans="1:6" x14ac:dyDescent="0.25">
      <c r="A45582" s="1" t="str">
        <f t="shared" si="1516"/>
        <v>99999</v>
      </c>
      <c r="B45582" s="1" t="str">
        <f>"65040"</f>
        <v>65040</v>
      </c>
      <c r="C45582" s="2">
        <v>1.0068262821932701E-5</v>
      </c>
      <c r="D45582" s="2">
        <v>4.5171266858293203E-6</v>
      </c>
      <c r="E45582" s="2">
        <v>0</v>
      </c>
      <c r="F45582" s="2">
        <v>9.4734479975795299E-6</v>
      </c>
    </row>
    <row r="45583" spans="1:6" x14ac:dyDescent="0.25">
      <c r="A45583" s="1" t="str">
        <f t="shared" si="1516"/>
        <v>99999</v>
      </c>
      <c r="B45583" s="1" t="str">
        <f>"51646"</f>
        <v>51646</v>
      </c>
      <c r="C45583" s="2">
        <v>4.3953921566716897E-5</v>
      </c>
      <c r="D45583" s="2">
        <v>1.20456711622115E-5</v>
      </c>
      <c r="E45583" s="2">
        <v>1.72042270785932E-5</v>
      </c>
      <c r="F45583" s="2">
        <v>4.1248971489460799E-5</v>
      </c>
    </row>
    <row r="45584" spans="1:6" x14ac:dyDescent="0.25">
      <c r="A45584" s="1" t="str">
        <f t="shared" si="1516"/>
        <v>99999</v>
      </c>
      <c r="B45584" s="1" t="str">
        <f>"51645"</f>
        <v>51645</v>
      </c>
      <c r="C45584" s="2">
        <v>1.05013063841663E-5</v>
      </c>
      <c r="D45584" s="2">
        <v>6.0228355811057601E-6</v>
      </c>
      <c r="E45584" s="2">
        <v>8.6021135392965999E-6</v>
      </c>
      <c r="F45584" s="2">
        <v>1.0164220247403001E-5</v>
      </c>
    </row>
    <row r="45585" spans="1:6" x14ac:dyDescent="0.25">
      <c r="A45585" s="1" t="str">
        <f t="shared" si="1516"/>
        <v>99999</v>
      </c>
      <c r="B45585" s="1" t="str">
        <f>"67143"</f>
        <v>67143</v>
      </c>
      <c r="C45585" s="2">
        <v>6.2791316523881298E-6</v>
      </c>
      <c r="D45585" s="2">
        <v>1.80685067433172E-5</v>
      </c>
      <c r="E45585" s="2">
        <v>0</v>
      </c>
      <c r="F45585" s="2">
        <v>6.9077224982350703E-6</v>
      </c>
    </row>
    <row r="45586" spans="1:6" x14ac:dyDescent="0.25">
      <c r="A45586" s="1" t="str">
        <f t="shared" si="1516"/>
        <v>99999</v>
      </c>
      <c r="B45586" s="1" t="str">
        <f>"67644"</f>
        <v>67644</v>
      </c>
      <c r="C45586" s="2">
        <v>1.4506959334827701E-5</v>
      </c>
      <c r="D45586" s="2">
        <v>1.20456711622115E-5</v>
      </c>
      <c r="E45586" s="2">
        <v>1.29031703089449E-5</v>
      </c>
      <c r="F45586" s="2">
        <v>1.4308853746344E-5</v>
      </c>
    </row>
    <row r="45587" spans="1:6" x14ac:dyDescent="0.25">
      <c r="A45587" s="1" t="str">
        <f t="shared" si="1516"/>
        <v>99999</v>
      </c>
      <c r="B45587" s="1" t="str">
        <f>"66966"</f>
        <v>66966</v>
      </c>
      <c r="C45587" s="2">
        <v>3.2803049839199998E-5</v>
      </c>
      <c r="D45587" s="2">
        <v>2.8608469010252301E-5</v>
      </c>
      <c r="E45587" s="2">
        <v>1.72042270785932E-5</v>
      </c>
      <c r="F45587" s="2">
        <v>3.2170250491780501E-5</v>
      </c>
    </row>
    <row r="45588" spans="1:6" x14ac:dyDescent="0.25">
      <c r="A45588" s="1" t="str">
        <f t="shared" si="1516"/>
        <v>99999</v>
      </c>
      <c r="B45588" s="1" t="str">
        <f>"65730"</f>
        <v>65730</v>
      </c>
      <c r="C45588" s="2">
        <v>1.4506959334827701E-5</v>
      </c>
      <c r="D45588" s="2">
        <v>3.01141779055288E-6</v>
      </c>
      <c r="E45588" s="2">
        <v>4.3010567696482999E-6</v>
      </c>
      <c r="F45588" s="2">
        <v>1.35193997465457E-5</v>
      </c>
    </row>
    <row r="45589" spans="1:6" x14ac:dyDescent="0.25">
      <c r="A45589" s="1" t="str">
        <f t="shared" si="1516"/>
        <v>99999</v>
      </c>
      <c r="B45589" s="1" t="str">
        <f>"65666"</f>
        <v>65666</v>
      </c>
      <c r="C45589" s="2">
        <v>7.0369578862970498E-6</v>
      </c>
      <c r="D45589" s="2">
        <v>0</v>
      </c>
      <c r="E45589" s="2">
        <v>4.3010567696482999E-6</v>
      </c>
      <c r="F45589" s="2">
        <v>6.5129954983359203E-6</v>
      </c>
    </row>
    <row r="45590" spans="1:6" x14ac:dyDescent="0.25">
      <c r="A45590" s="1" t="str">
        <f t="shared" si="1516"/>
        <v>99999</v>
      </c>
      <c r="B45590" s="1" t="str">
        <f>"69366"</f>
        <v>69366</v>
      </c>
      <c r="C45590" s="2">
        <v>1.39656548820356E-5</v>
      </c>
      <c r="D45590" s="2">
        <v>0</v>
      </c>
      <c r="E45590" s="2">
        <v>4.3010567696482999E-6</v>
      </c>
      <c r="F45590" s="2">
        <v>1.2828627496722201E-5</v>
      </c>
    </row>
    <row r="45591" spans="1:6" x14ac:dyDescent="0.25">
      <c r="A45591" s="1" t="str">
        <f t="shared" si="1516"/>
        <v>99999</v>
      </c>
      <c r="B45591" s="1" t="str">
        <f>"68859"</f>
        <v>68859</v>
      </c>
      <c r="C45591" s="2">
        <v>2.93387013413307E-5</v>
      </c>
      <c r="D45591" s="2">
        <v>4.5171266858293203E-6</v>
      </c>
      <c r="E45591" s="2">
        <v>1.29031703089449E-5</v>
      </c>
      <c r="F45591" s="2">
        <v>2.73348447430159E-5</v>
      </c>
    </row>
    <row r="45592" spans="1:6" x14ac:dyDescent="0.25">
      <c r="A45592" s="1" t="str">
        <f t="shared" si="1516"/>
        <v>99999</v>
      </c>
      <c r="B45592" s="1" t="str">
        <f>"68655"</f>
        <v>68655</v>
      </c>
      <c r="C45592" s="2">
        <v>9.2021756974653701E-6</v>
      </c>
      <c r="D45592" s="2">
        <v>6.0228355811057601E-6</v>
      </c>
      <c r="E45592" s="2">
        <v>0</v>
      </c>
      <c r="F45592" s="2">
        <v>8.7826757477560201E-6</v>
      </c>
    </row>
    <row r="45593" spans="1:6" x14ac:dyDescent="0.25">
      <c r="A45593" s="1" t="str">
        <f t="shared" si="1516"/>
        <v>99999</v>
      </c>
      <c r="B45593" s="1" t="str">
        <f>"98638"</f>
        <v>98638</v>
      </c>
      <c r="C45593" s="2">
        <v>6.7771317489568502E-5</v>
      </c>
      <c r="D45593" s="2">
        <v>3.6137013486634501E-5</v>
      </c>
      <c r="E45593" s="2">
        <v>4.3010567696482999E-5</v>
      </c>
      <c r="F45593" s="2">
        <v>6.5129954983359203E-5</v>
      </c>
    </row>
    <row r="45594" spans="1:6" x14ac:dyDescent="0.25">
      <c r="A45594" s="1" t="str">
        <f t="shared" si="1516"/>
        <v>99999</v>
      </c>
      <c r="B45594" s="1" t="str">
        <f>"97720"</f>
        <v>97720</v>
      </c>
      <c r="C45594" s="2">
        <v>2.8678309908924401E-4</v>
      </c>
      <c r="D45594" s="2">
        <v>4.80321137593184E-4</v>
      </c>
      <c r="E45594" s="2">
        <v>2.4085917910030401E-4</v>
      </c>
      <c r="F45594" s="2">
        <v>2.9841361192375503E-4</v>
      </c>
    </row>
    <row r="45595" spans="1:6" x14ac:dyDescent="0.25">
      <c r="A45595" s="1" t="str">
        <f t="shared" si="1516"/>
        <v>99999</v>
      </c>
      <c r="B45595" s="1" t="str">
        <f>"97828"</f>
        <v>97828</v>
      </c>
      <c r="C45595" s="2">
        <v>1.90539167382812E-4</v>
      </c>
      <c r="D45595" s="2">
        <v>3.9449573056242698E-4</v>
      </c>
      <c r="E45595" s="2">
        <v>2.79568690027139E-4</v>
      </c>
      <c r="F45595" s="2">
        <v>2.0594881219738E-4</v>
      </c>
    </row>
    <row r="45596" spans="1:6" x14ac:dyDescent="0.25">
      <c r="A45596" s="1" t="str">
        <f t="shared" si="1516"/>
        <v>99999</v>
      </c>
      <c r="B45596" s="1" t="str">
        <f>"97630"</f>
        <v>97630</v>
      </c>
      <c r="C45596" s="2">
        <v>3.0789397274813497E-4</v>
      </c>
      <c r="D45596" s="2">
        <v>4.9236680875539604E-4</v>
      </c>
      <c r="E45596" s="2">
        <v>2.7096657648784301E-4</v>
      </c>
      <c r="F45596" s="2">
        <v>3.1913677941845998E-4</v>
      </c>
    </row>
    <row r="45597" spans="1:6" x14ac:dyDescent="0.25">
      <c r="A45597" s="1" t="str">
        <f t="shared" si="1516"/>
        <v>99999</v>
      </c>
      <c r="B45597" s="1" t="str">
        <f>"97640"</f>
        <v>97640</v>
      </c>
      <c r="C45597" s="2">
        <v>1.2233480633101E-5</v>
      </c>
      <c r="D45597" s="2">
        <v>3.6137013486634501E-5</v>
      </c>
      <c r="E45597" s="2">
        <v>4.3010567696482999E-6</v>
      </c>
      <c r="F45597" s="2">
        <v>1.3618081496520501E-5</v>
      </c>
    </row>
    <row r="45598" spans="1:6" x14ac:dyDescent="0.25">
      <c r="A45598" s="1" t="str">
        <f t="shared" si="1516"/>
        <v>99999</v>
      </c>
      <c r="B45598" s="1" t="str">
        <f>"97856"</f>
        <v>97856</v>
      </c>
      <c r="C45598" s="2">
        <v>4.1030877521639702E-5</v>
      </c>
      <c r="D45598" s="2">
        <v>3.01141779055288E-6</v>
      </c>
      <c r="E45598" s="2">
        <v>4.3010567696482999E-6</v>
      </c>
      <c r="F45598" s="2">
        <v>3.7696428490368499E-5</v>
      </c>
    </row>
    <row r="45599" spans="1:6" x14ac:dyDescent="0.25">
      <c r="A45599" s="1" t="str">
        <f t="shared" si="1516"/>
        <v>99999</v>
      </c>
      <c r="B45599" s="1" t="str">
        <f>"98846"</f>
        <v>98846</v>
      </c>
      <c r="C45599" s="2">
        <v>1.75382642704634E-5</v>
      </c>
      <c r="D45599" s="2">
        <v>2.1079924533870101E-5</v>
      </c>
      <c r="E45599" s="2">
        <v>1.63440157246635E-4</v>
      </c>
      <c r="F45599" s="2">
        <v>2.11178944946043E-5</v>
      </c>
    </row>
    <row r="45600" spans="1:6" x14ac:dyDescent="0.25">
      <c r="A45600" s="1" t="str">
        <f t="shared" si="1516"/>
        <v>99999</v>
      </c>
      <c r="B45600" s="1" t="str">
        <f>"98814"</f>
        <v>98814</v>
      </c>
      <c r="C45600" s="2">
        <v>1.2883045976451501E-5</v>
      </c>
      <c r="D45600" s="2">
        <v>3.01141779055288E-6</v>
      </c>
      <c r="E45600" s="2">
        <v>5.1612681235779599E-5</v>
      </c>
      <c r="F45600" s="2">
        <v>1.31246727466466E-5</v>
      </c>
    </row>
    <row r="45601" spans="1:6" x14ac:dyDescent="0.25">
      <c r="A45601" s="1" t="str">
        <f t="shared" si="1516"/>
        <v>99999</v>
      </c>
      <c r="B45601" s="1" t="str">
        <f>"98325"</f>
        <v>98325</v>
      </c>
      <c r="C45601" s="2">
        <v>1.4831742006503001E-4</v>
      </c>
      <c r="D45601" s="2">
        <v>1.2196242051739101E-4</v>
      </c>
      <c r="E45601" s="2">
        <v>1.72042270785932E-5</v>
      </c>
      <c r="F45601" s="2">
        <v>1.4358194621331399E-4</v>
      </c>
    </row>
    <row r="45602" spans="1:6" x14ac:dyDescent="0.25">
      <c r="A45602" s="1" t="str">
        <f t="shared" si="1516"/>
        <v>99999</v>
      </c>
      <c r="B45602" s="1" t="str">
        <f>"98261"</f>
        <v>98261</v>
      </c>
      <c r="C45602" s="2">
        <v>2.3925656813409901E-4</v>
      </c>
      <c r="D45602" s="2">
        <v>1.06905331564627E-4</v>
      </c>
      <c r="E45602" s="2">
        <v>3.29030842878095E-3</v>
      </c>
      <c r="F45602" s="2">
        <v>3.005846104232E-4</v>
      </c>
    </row>
    <row r="45603" spans="1:6" x14ac:dyDescent="0.25">
      <c r="A45603" s="1" t="str">
        <f t="shared" si="1516"/>
        <v>99999</v>
      </c>
      <c r="B45603" s="1" t="str">
        <f>"83548"</f>
        <v>83548</v>
      </c>
      <c r="C45603" s="2">
        <v>4.1139138412198104E-6</v>
      </c>
      <c r="D45603" s="2">
        <v>3.01141779055288E-6</v>
      </c>
      <c r="E45603" s="2">
        <v>0</v>
      </c>
      <c r="F45603" s="2">
        <v>3.94726999899147E-6</v>
      </c>
    </row>
    <row r="45604" spans="1:6" x14ac:dyDescent="0.25">
      <c r="A45604" s="1" t="str">
        <f t="shared" si="1516"/>
        <v>99999</v>
      </c>
      <c r="B45604" s="1" t="str">
        <f>"99185"</f>
        <v>99185</v>
      </c>
      <c r="C45604" s="2">
        <v>6.1492185837180293E-5</v>
      </c>
      <c r="D45604" s="2">
        <v>3.1619886800805203E-5</v>
      </c>
      <c r="E45604" s="2">
        <v>1.2042958955015201E-4</v>
      </c>
      <c r="F45604" s="2">
        <v>6.0886639734443397E-5</v>
      </c>
    </row>
    <row r="45605" spans="1:6" x14ac:dyDescent="0.25">
      <c r="A45605" s="1" t="str">
        <f t="shared" si="1516"/>
        <v>99999</v>
      </c>
      <c r="B45605" s="1" t="str">
        <f>"99180"</f>
        <v>99180</v>
      </c>
      <c r="C45605" s="2">
        <v>7.1127405096879407E-5</v>
      </c>
      <c r="D45605" s="2">
        <v>1.20456711622115E-5</v>
      </c>
      <c r="E45605" s="2">
        <v>8.6021135392965999E-6</v>
      </c>
      <c r="F45605" s="2">
        <v>6.5820727233182802E-5</v>
      </c>
    </row>
    <row r="45606" spans="1:6" x14ac:dyDescent="0.25">
      <c r="A45606" s="1" t="str">
        <f t="shared" si="1516"/>
        <v>99999</v>
      </c>
      <c r="B45606" s="1" t="str">
        <f>"99347"</f>
        <v>99347</v>
      </c>
      <c r="C45606" s="2">
        <v>7.0802622425204101E-5</v>
      </c>
      <c r="D45606" s="2">
        <v>4.9688393544122498E-5</v>
      </c>
      <c r="E45606" s="2">
        <v>2.49461292639601E-4</v>
      </c>
      <c r="F45606" s="2">
        <v>7.3517903731216104E-5</v>
      </c>
    </row>
    <row r="45607" spans="1:6" x14ac:dyDescent="0.25">
      <c r="A45607" s="1" t="str">
        <f t="shared" si="1516"/>
        <v>99999</v>
      </c>
      <c r="B45607" s="1" t="str">
        <f>"99610"</f>
        <v>99610</v>
      </c>
      <c r="C45607" s="2">
        <v>2.15439172211248E-5</v>
      </c>
      <c r="D45607" s="2">
        <v>1.50570889527644E-6</v>
      </c>
      <c r="E45607" s="2">
        <v>4.3010567696482999E-6</v>
      </c>
      <c r="F45607" s="2">
        <v>1.9835031744932101E-5</v>
      </c>
    </row>
    <row r="45608" spans="1:6" x14ac:dyDescent="0.25">
      <c r="A45608" s="1" t="str">
        <f t="shared" si="1516"/>
        <v>99999</v>
      </c>
      <c r="B45608" s="1" t="str">
        <f>"99356"</f>
        <v>99356</v>
      </c>
      <c r="C45608" s="2">
        <v>1.05013063841663E-5</v>
      </c>
      <c r="D45608" s="2">
        <v>6.0228355811057601E-6</v>
      </c>
      <c r="E45608" s="2">
        <v>3.0107397387538101E-4</v>
      </c>
      <c r="F45608" s="2">
        <v>1.6874579245688502E-5</v>
      </c>
    </row>
    <row r="45609" spans="1:6" x14ac:dyDescent="0.25">
      <c r="A45609" s="1" t="str">
        <f t="shared" si="1516"/>
        <v>99999</v>
      </c>
      <c r="B45609" s="1" t="str">
        <f>"99559"</f>
        <v>99559</v>
      </c>
      <c r="C45609" s="2">
        <v>2.1652178111683201E-7</v>
      </c>
      <c r="D45609" s="2">
        <v>0</v>
      </c>
      <c r="E45609" s="2">
        <v>1.72042270785932E-5</v>
      </c>
      <c r="F45609" s="2">
        <v>5.9209049984871999E-7</v>
      </c>
    </row>
    <row r="45610" spans="1:6" x14ac:dyDescent="0.25">
      <c r="A45610" s="1" t="str">
        <f t="shared" si="1516"/>
        <v>99999</v>
      </c>
      <c r="B45610" s="1" t="str">
        <f>"03838"</f>
        <v>03838</v>
      </c>
      <c r="C45610" s="2">
        <v>1.1778784892755599E-4</v>
      </c>
      <c r="D45610" s="2">
        <v>2.2585633429146601E-4</v>
      </c>
      <c r="E45610" s="2">
        <v>1.29031703089449E-5</v>
      </c>
      <c r="F45610" s="2">
        <v>1.2246405171870999E-4</v>
      </c>
    </row>
    <row r="45611" spans="1:6" x14ac:dyDescent="0.25">
      <c r="A45611" s="1" t="str">
        <f t="shared" si="1516"/>
        <v>99999</v>
      </c>
      <c r="B45611" s="1" t="str">
        <f>"04912"</f>
        <v>04912</v>
      </c>
      <c r="C45611" s="2">
        <v>4.5794356706210002E-5</v>
      </c>
      <c r="D45611" s="2">
        <v>7.5285444763821999E-6</v>
      </c>
      <c r="E45611" s="2">
        <v>1.16128532780504E-4</v>
      </c>
      <c r="F45611" s="2">
        <v>4.4900196238527903E-5</v>
      </c>
    </row>
    <row r="45612" spans="1:6" x14ac:dyDescent="0.25">
      <c r="A45612" s="1" t="str">
        <f t="shared" si="1516"/>
        <v>99999</v>
      </c>
      <c r="B45612" s="1" t="str">
        <f>"04945"</f>
        <v>04945</v>
      </c>
      <c r="C45612" s="2">
        <v>4.8717400751287198E-5</v>
      </c>
      <c r="D45612" s="2">
        <v>5.2699811334675399E-5</v>
      </c>
      <c r="E45612" s="2">
        <v>4.7311624466131299E-5</v>
      </c>
      <c r="F45612" s="2">
        <v>4.8946147987494202E-5</v>
      </c>
    </row>
    <row r="45613" spans="1:6" x14ac:dyDescent="0.25">
      <c r="A45613" s="1" t="str">
        <f t="shared" si="1516"/>
        <v>99999</v>
      </c>
      <c r="B45613" s="1" t="str">
        <f>"04955"</f>
        <v>04955</v>
      </c>
      <c r="C45613" s="2">
        <v>7.2859579345814E-5</v>
      </c>
      <c r="D45613" s="2">
        <v>4.5171266858293199E-5</v>
      </c>
      <c r="E45613" s="2">
        <v>2.58063406178898E-5</v>
      </c>
      <c r="F45613" s="2">
        <v>6.9965360732123804E-5</v>
      </c>
    </row>
    <row r="45614" spans="1:6" x14ac:dyDescent="0.25">
      <c r="A45614" s="1" t="str">
        <f t="shared" si="1516"/>
        <v>99999</v>
      </c>
      <c r="B45614" s="1" t="str">
        <f>"05342"</f>
        <v>05342</v>
      </c>
      <c r="C45614" s="2">
        <v>3.5076528540926799E-5</v>
      </c>
      <c r="D45614" s="2">
        <v>1.50570889527644E-5</v>
      </c>
      <c r="E45614" s="2">
        <v>4.3010567696482999E-6</v>
      </c>
      <c r="F45614" s="2">
        <v>3.3058386241553498E-5</v>
      </c>
    </row>
    <row r="45615" spans="1:6" x14ac:dyDescent="0.25">
      <c r="A45615" s="1" t="str">
        <f t="shared" si="1516"/>
        <v>99999</v>
      </c>
      <c r="B45615" s="1" t="str">
        <f>"05832"</f>
        <v>05832</v>
      </c>
      <c r="C45615" s="2">
        <v>3.2694788948641601E-5</v>
      </c>
      <c r="D45615" s="2">
        <v>1.35513800574879E-5</v>
      </c>
      <c r="E45615" s="2">
        <v>1.29031703089449E-5</v>
      </c>
      <c r="F45615" s="2">
        <v>3.0986069492082998E-5</v>
      </c>
    </row>
    <row r="45616" spans="1:6" x14ac:dyDescent="0.25">
      <c r="A45616" s="1" t="str">
        <f t="shared" si="1516"/>
        <v>99999</v>
      </c>
      <c r="B45616" s="1" t="str">
        <f>"14815"</f>
        <v>14815</v>
      </c>
      <c r="C45616" s="2">
        <v>4.7310009174027802E-5</v>
      </c>
      <c r="D45616" s="2">
        <v>4.5171266858293203E-6</v>
      </c>
      <c r="E45616" s="2">
        <v>8.6021135392965999E-6</v>
      </c>
      <c r="F45616" s="2">
        <v>4.3617333488855698E-5</v>
      </c>
    </row>
    <row r="45617" spans="1:6" x14ac:dyDescent="0.25">
      <c r="A45617" s="1" t="str">
        <f t="shared" si="1516"/>
        <v>99999</v>
      </c>
      <c r="B45617" s="1" t="str">
        <f>"15536"</f>
        <v>15536</v>
      </c>
      <c r="C45617" s="2">
        <v>2.6199135515136701E-5</v>
      </c>
      <c r="D45617" s="2">
        <v>1.20456711622115E-5</v>
      </c>
      <c r="E45617" s="2">
        <v>8.6021135392965999E-6</v>
      </c>
      <c r="F45617" s="2">
        <v>2.4867800993646201E-5</v>
      </c>
    </row>
    <row r="45618" spans="1:6" x14ac:dyDescent="0.25">
      <c r="A45618" s="1" t="str">
        <f t="shared" si="1516"/>
        <v>99999</v>
      </c>
      <c r="B45618" s="1" t="str">
        <f>"15329"</f>
        <v>15329</v>
      </c>
      <c r="C45618" s="2">
        <v>1.4506959334827701E-5</v>
      </c>
      <c r="D45618" s="2">
        <v>7.5285444763821999E-6</v>
      </c>
      <c r="E45618" s="2">
        <v>0</v>
      </c>
      <c r="F45618" s="2">
        <v>1.37167632464953E-5</v>
      </c>
    </row>
    <row r="45619" spans="1:6" x14ac:dyDescent="0.25">
      <c r="A45619" s="1" t="str">
        <f t="shared" si="1516"/>
        <v>99999</v>
      </c>
      <c r="B45619" s="1" t="str">
        <f>"15359"</f>
        <v>15359</v>
      </c>
      <c r="C45619" s="2">
        <v>1.62391335837624E-6</v>
      </c>
      <c r="D45619" s="2">
        <v>3.01141779055288E-6</v>
      </c>
      <c r="E45619" s="2">
        <v>4.3010567696482999E-6</v>
      </c>
      <c r="F45619" s="2">
        <v>1.77627149954616E-6</v>
      </c>
    </row>
    <row r="45620" spans="1:6" x14ac:dyDescent="0.25">
      <c r="A45620" s="1" t="str">
        <f t="shared" si="1516"/>
        <v>99999</v>
      </c>
      <c r="B45620" s="1" t="str">
        <f>"16673"</f>
        <v>16673</v>
      </c>
      <c r="C45620" s="2">
        <v>3.7458268133211902E-5</v>
      </c>
      <c r="D45620" s="2">
        <v>7.5285444763821999E-6</v>
      </c>
      <c r="E45620" s="2">
        <v>4.3010567696482999E-6</v>
      </c>
      <c r="F45620" s="2">
        <v>3.4735975991124899E-5</v>
      </c>
    </row>
    <row r="45621" spans="1:6" x14ac:dyDescent="0.25">
      <c r="A45621" s="1" t="str">
        <f t="shared" si="1516"/>
        <v>99999</v>
      </c>
      <c r="B45621" s="1" t="str">
        <f>"17215"</f>
        <v>17215</v>
      </c>
      <c r="C45621" s="2">
        <v>6.9286969957386301E-6</v>
      </c>
      <c r="D45621" s="2">
        <v>0</v>
      </c>
      <c r="E45621" s="2">
        <v>4.3010567696482999E-6</v>
      </c>
      <c r="F45621" s="2">
        <v>6.4143137483611402E-6</v>
      </c>
    </row>
    <row r="45622" spans="1:6" x14ac:dyDescent="0.25">
      <c r="A45622" s="1" t="str">
        <f t="shared" si="1516"/>
        <v>99999</v>
      </c>
      <c r="B45622" s="1" t="str">
        <f>"17853"</f>
        <v>17853</v>
      </c>
      <c r="C45622" s="2">
        <v>1.8945655847722799E-5</v>
      </c>
      <c r="D45622" s="2">
        <v>3.01141779055288E-6</v>
      </c>
      <c r="E45622" s="2">
        <v>0</v>
      </c>
      <c r="F45622" s="2">
        <v>1.7466669745537199E-5</v>
      </c>
    </row>
    <row r="45623" spans="1:6" x14ac:dyDescent="0.25">
      <c r="A45623" s="1" t="str">
        <f t="shared" si="1516"/>
        <v>99999</v>
      </c>
      <c r="B45623" s="1" t="str">
        <f>"18461"</f>
        <v>18461</v>
      </c>
      <c r="C45623" s="2">
        <v>2.32760914700594E-5</v>
      </c>
      <c r="D45623" s="2">
        <v>1.35513800574879E-5</v>
      </c>
      <c r="E45623" s="2">
        <v>8.6021135392965999E-6</v>
      </c>
      <c r="F45623" s="2">
        <v>2.23020754943018E-5</v>
      </c>
    </row>
    <row r="45624" spans="1:6" x14ac:dyDescent="0.25">
      <c r="A45624" s="1" t="str">
        <f t="shared" si="1516"/>
        <v>99999</v>
      </c>
      <c r="B45624" s="1" t="str">
        <f>"18833"</f>
        <v>18833</v>
      </c>
      <c r="C45624" s="2">
        <v>7.7947841202059606E-6</v>
      </c>
      <c r="D45624" s="2">
        <v>0</v>
      </c>
      <c r="E45624" s="2">
        <v>4.3010567696482999E-6</v>
      </c>
      <c r="F45624" s="2">
        <v>7.2037677481594301E-6</v>
      </c>
    </row>
    <row r="45625" spans="1:6" x14ac:dyDescent="0.25">
      <c r="A45625" s="1" t="str">
        <f t="shared" si="1516"/>
        <v>99999</v>
      </c>
      <c r="B45625" s="1" t="str">
        <f>"21610"</f>
        <v>21610</v>
      </c>
      <c r="C45625" s="2">
        <v>1.9270438519397999E-5</v>
      </c>
      <c r="D45625" s="2">
        <v>4.5171266858293203E-6</v>
      </c>
      <c r="E45625" s="2">
        <v>3.44084541571864E-5</v>
      </c>
      <c r="F45625" s="2">
        <v>1.8650850745234699E-5</v>
      </c>
    </row>
    <row r="45626" spans="1:6" x14ac:dyDescent="0.25">
      <c r="A45626" s="1" t="str">
        <f t="shared" si="1516"/>
        <v>99999</v>
      </c>
      <c r="B45626" s="1" t="str">
        <f>"22641"</f>
        <v>22641</v>
      </c>
      <c r="C45626" s="2">
        <v>1.3749133100918801E-5</v>
      </c>
      <c r="D45626" s="2">
        <v>4.5171266858293203E-6</v>
      </c>
      <c r="E45626" s="2">
        <v>4.3010567696482999E-6</v>
      </c>
      <c r="F45626" s="2">
        <v>1.2927309246696999E-5</v>
      </c>
    </row>
    <row r="45627" spans="1:6" x14ac:dyDescent="0.25">
      <c r="A45627" s="1" t="str">
        <f t="shared" si="1516"/>
        <v>99999</v>
      </c>
      <c r="B45627" s="1" t="str">
        <f>"22947"</f>
        <v>22947</v>
      </c>
      <c r="C45627" s="2">
        <v>1.2774785085893101E-5</v>
      </c>
      <c r="D45627" s="2">
        <v>0</v>
      </c>
      <c r="E45627" s="2">
        <v>0</v>
      </c>
      <c r="F45627" s="2">
        <v>1.1644446497024801E-5</v>
      </c>
    </row>
    <row r="45628" spans="1:6" x14ac:dyDescent="0.25">
      <c r="A45628" s="1" t="str">
        <f t="shared" si="1516"/>
        <v>99999</v>
      </c>
      <c r="B45628" s="1" t="str">
        <f>"23358"</f>
        <v>23358</v>
      </c>
      <c r="C45628" s="2">
        <v>5.5213054184792198E-6</v>
      </c>
      <c r="D45628" s="2">
        <v>1.50570889527644E-6</v>
      </c>
      <c r="E45628" s="2">
        <v>0</v>
      </c>
      <c r="F45628" s="2">
        <v>5.1314509986889099E-6</v>
      </c>
    </row>
    <row r="45629" spans="1:6" x14ac:dyDescent="0.25">
      <c r="A45629" s="1" t="str">
        <f t="shared" si="1516"/>
        <v>99999</v>
      </c>
      <c r="B45629" s="1" t="str">
        <f>"23876"</f>
        <v>23876</v>
      </c>
      <c r="C45629" s="2">
        <v>2.6307396405695101E-5</v>
      </c>
      <c r="D45629" s="2">
        <v>7.5285444763821999E-6</v>
      </c>
      <c r="E45629" s="2">
        <v>4.3010567696482999E-6</v>
      </c>
      <c r="F45629" s="2">
        <v>2.4571755743721902E-5</v>
      </c>
    </row>
    <row r="45630" spans="1:6" x14ac:dyDescent="0.25">
      <c r="A45630" s="1" t="str">
        <f t="shared" si="1516"/>
        <v>99999</v>
      </c>
      <c r="B45630" s="1" t="str">
        <f>"24609"</f>
        <v>24609</v>
      </c>
      <c r="C45630" s="2">
        <v>7.9138710998202195E-5</v>
      </c>
      <c r="D45630" s="2">
        <v>3.01141779055288E-5</v>
      </c>
      <c r="E45630" s="2">
        <v>1.72042270785932E-5</v>
      </c>
      <c r="F45630" s="2">
        <v>7.4504721230964007E-5</v>
      </c>
    </row>
    <row r="45631" spans="1:6" x14ac:dyDescent="0.25">
      <c r="A45631" s="1" t="str">
        <f t="shared" si="1516"/>
        <v>99999</v>
      </c>
      <c r="B45631" s="1" t="str">
        <f>"24962"</f>
        <v>24962</v>
      </c>
      <c r="C45631" s="2">
        <v>1.07178281652832E-5</v>
      </c>
      <c r="D45631" s="2">
        <v>3.01141779055288E-6</v>
      </c>
      <c r="E45631" s="2">
        <v>0</v>
      </c>
      <c r="F45631" s="2">
        <v>9.9668567474534592E-6</v>
      </c>
    </row>
    <row r="45632" spans="1:6" x14ac:dyDescent="0.25">
      <c r="A45632" s="1" t="str">
        <f t="shared" si="1516"/>
        <v>99999</v>
      </c>
      <c r="B45632" s="1" t="str">
        <f>"24943"</f>
        <v>24943</v>
      </c>
      <c r="C45632" s="2">
        <v>5.95434898071288E-6</v>
      </c>
      <c r="D45632" s="2">
        <v>0</v>
      </c>
      <c r="E45632" s="2">
        <v>0</v>
      </c>
      <c r="F45632" s="2">
        <v>5.4274962486132697E-6</v>
      </c>
    </row>
    <row r="45633" spans="1:6" x14ac:dyDescent="0.25">
      <c r="A45633" s="1" t="str">
        <f t="shared" si="1516"/>
        <v>99999</v>
      </c>
      <c r="B45633" s="1" t="str">
        <f>"24916"</f>
        <v>24916</v>
      </c>
      <c r="C45633" s="2">
        <v>2.4358700375643599E-5</v>
      </c>
      <c r="D45633" s="2">
        <v>1.80685067433172E-5</v>
      </c>
      <c r="E45633" s="2">
        <v>1.72042270785932E-5</v>
      </c>
      <c r="F45633" s="2">
        <v>2.37823017439236E-5</v>
      </c>
    </row>
    <row r="45634" spans="1:6" x14ac:dyDescent="0.25">
      <c r="A45634" s="1" t="str">
        <f t="shared" si="1516"/>
        <v>99999</v>
      </c>
      <c r="B45634" s="1" t="str">
        <f>"25848"</f>
        <v>25848</v>
      </c>
      <c r="C45634" s="2">
        <v>2.3817395922851499E-6</v>
      </c>
      <c r="D45634" s="2">
        <v>1.50570889527644E-6</v>
      </c>
      <c r="E45634" s="2">
        <v>0</v>
      </c>
      <c r="F45634" s="2">
        <v>2.2696802494200901E-6</v>
      </c>
    </row>
    <row r="45635" spans="1:6" x14ac:dyDescent="0.25">
      <c r="A45635" s="1" t="str">
        <f t="shared" si="1516"/>
        <v>99999</v>
      </c>
      <c r="B45635" s="1" t="str">
        <f>"26269"</f>
        <v>26269</v>
      </c>
      <c r="C45635" s="2">
        <v>3.7891311695445598E-5</v>
      </c>
      <c r="D45635" s="2">
        <v>1.0539962266935E-5</v>
      </c>
      <c r="E45635" s="2">
        <v>0</v>
      </c>
      <c r="F45635" s="2">
        <v>3.5229384740998803E-5</v>
      </c>
    </row>
    <row r="45636" spans="1:6" x14ac:dyDescent="0.25">
      <c r="A45636" s="1" t="str">
        <f t="shared" si="1516"/>
        <v>99999</v>
      </c>
      <c r="B45636" s="1" t="str">
        <f>"26291"</f>
        <v>26291</v>
      </c>
      <c r="C45636" s="2">
        <v>2.30595696889426E-5</v>
      </c>
      <c r="D45636" s="2">
        <v>7.2274026973269097E-5</v>
      </c>
      <c r="E45636" s="2">
        <v>1.72042270785932E-5</v>
      </c>
      <c r="F45636" s="2">
        <v>2.6150663743318498E-5</v>
      </c>
    </row>
    <row r="45637" spans="1:6" x14ac:dyDescent="0.25">
      <c r="A45637" s="1" t="str">
        <f t="shared" si="1516"/>
        <v>99999</v>
      </c>
      <c r="B45637" s="1" t="str">
        <f>"26726"</f>
        <v>26726</v>
      </c>
      <c r="C45637" s="2">
        <v>1.16921761803089E-5</v>
      </c>
      <c r="D45637" s="2">
        <v>3.01141779055288E-6</v>
      </c>
      <c r="E45637" s="2">
        <v>0</v>
      </c>
      <c r="F45637" s="2">
        <v>1.08549924972265E-5</v>
      </c>
    </row>
    <row r="45638" spans="1:6" x14ac:dyDescent="0.25">
      <c r="A45638" s="1" t="str">
        <f t="shared" ref="A45638:A45701" si="1517">"99999"</f>
        <v>99999</v>
      </c>
      <c r="B45638" s="1" t="str">
        <f>"27320"</f>
        <v>27320</v>
      </c>
      <c r="C45638" s="2">
        <v>9.6676975268665598E-5</v>
      </c>
      <c r="D45638" s="2">
        <v>3.6137013486634501E-5</v>
      </c>
      <c r="E45638" s="2">
        <v>1.72042270785932E-5</v>
      </c>
      <c r="F45638" s="2">
        <v>9.0885891726778594E-5</v>
      </c>
    </row>
    <row r="45639" spans="1:6" x14ac:dyDescent="0.25">
      <c r="A45639" s="1" t="str">
        <f t="shared" si="1517"/>
        <v>99999</v>
      </c>
      <c r="B45639" s="1" t="str">
        <f>"28312"</f>
        <v>28312</v>
      </c>
      <c r="C45639" s="2">
        <v>1.1259132618075199E-5</v>
      </c>
      <c r="D45639" s="2">
        <v>3.01141779055288E-6</v>
      </c>
      <c r="E45639" s="2">
        <v>0</v>
      </c>
      <c r="F45639" s="2">
        <v>1.04602654973274E-5</v>
      </c>
    </row>
    <row r="45640" spans="1:6" x14ac:dyDescent="0.25">
      <c r="A45640" s="1" t="str">
        <f t="shared" si="1517"/>
        <v>99999</v>
      </c>
      <c r="B45640" s="1" t="str">
        <f>"29452"</f>
        <v>29452</v>
      </c>
      <c r="C45640" s="2">
        <v>1.5806090021528701E-5</v>
      </c>
      <c r="D45640" s="2">
        <v>3.01141779055288E-6</v>
      </c>
      <c r="E45640" s="2">
        <v>0</v>
      </c>
      <c r="F45640" s="2">
        <v>1.46048989962684E-5</v>
      </c>
    </row>
    <row r="45641" spans="1:6" x14ac:dyDescent="0.25">
      <c r="A45641" s="1" t="str">
        <f t="shared" si="1517"/>
        <v>99999</v>
      </c>
      <c r="B45641" s="1" t="str">
        <f>"31518"</f>
        <v>31518</v>
      </c>
      <c r="C45641" s="2">
        <v>2.4900004828435702E-5</v>
      </c>
      <c r="D45641" s="2">
        <v>1.35513800574879E-5</v>
      </c>
      <c r="E45641" s="2">
        <v>0</v>
      </c>
      <c r="F45641" s="2">
        <v>2.3584938243973999E-5</v>
      </c>
    </row>
    <row r="45642" spans="1:6" x14ac:dyDescent="0.25">
      <c r="A45642" s="1" t="str">
        <f t="shared" si="1517"/>
        <v>99999</v>
      </c>
      <c r="B45642" s="1" t="str">
        <f>"31769"</f>
        <v>31769</v>
      </c>
      <c r="C45642" s="2">
        <v>0</v>
      </c>
      <c r="D45642" s="2">
        <v>0</v>
      </c>
      <c r="E45642" s="2">
        <v>4.3010567696482999E-6</v>
      </c>
      <c r="F45642" s="2">
        <v>9.8681749974786797E-8</v>
      </c>
    </row>
    <row r="45643" spans="1:6" x14ac:dyDescent="0.25">
      <c r="A45643" s="1" t="str">
        <f t="shared" si="1517"/>
        <v>99999</v>
      </c>
      <c r="B45643" s="1" t="str">
        <f>"32622"</f>
        <v>32622</v>
      </c>
      <c r="C45643" s="2">
        <v>5.4022184388649598E-5</v>
      </c>
      <c r="D45643" s="2">
        <v>1.35513800574879E-5</v>
      </c>
      <c r="E45643" s="2">
        <v>4.3010567696482999E-6</v>
      </c>
      <c r="F45643" s="2">
        <v>5.0229010737166401E-5</v>
      </c>
    </row>
    <row r="45644" spans="1:6" x14ac:dyDescent="0.25">
      <c r="A45644" s="1" t="str">
        <f t="shared" si="1517"/>
        <v>99999</v>
      </c>
      <c r="B45644" s="1" t="str">
        <f>"32336"</f>
        <v>32336</v>
      </c>
      <c r="C45644" s="2">
        <v>2.9555223122447599E-5</v>
      </c>
      <c r="D45644" s="2">
        <v>1.9574215638593701E-5</v>
      </c>
      <c r="E45644" s="2">
        <v>8.6021135392965999E-6</v>
      </c>
      <c r="F45644" s="2">
        <v>2.84203439927386E-5</v>
      </c>
    </row>
    <row r="45645" spans="1:6" x14ac:dyDescent="0.25">
      <c r="A45645" s="1" t="str">
        <f t="shared" si="1517"/>
        <v>99999</v>
      </c>
      <c r="B45645" s="1" t="str">
        <f>"38392"</f>
        <v>38392</v>
      </c>
      <c r="C45645" s="2">
        <v>5.1965227468039701E-6</v>
      </c>
      <c r="D45645" s="2">
        <v>1.50570889527644E-6</v>
      </c>
      <c r="E45645" s="2">
        <v>0</v>
      </c>
      <c r="F45645" s="2">
        <v>4.8354057487645501E-6</v>
      </c>
    </row>
    <row r="45646" spans="1:6" x14ac:dyDescent="0.25">
      <c r="A45646" s="1" t="str">
        <f t="shared" si="1517"/>
        <v>99999</v>
      </c>
      <c r="B45646" s="1" t="str">
        <f>"38370"</f>
        <v>38370</v>
      </c>
      <c r="C45646" s="2">
        <v>7.18852313307883E-5</v>
      </c>
      <c r="D45646" s="2">
        <v>5.7216938020504697E-5</v>
      </c>
      <c r="E45646" s="2">
        <v>8.6021135392965999E-6</v>
      </c>
      <c r="F45646" s="2">
        <v>6.9471951982249907E-5</v>
      </c>
    </row>
    <row r="45647" spans="1:6" x14ac:dyDescent="0.25">
      <c r="A45647" s="1" t="str">
        <f t="shared" si="1517"/>
        <v>99999</v>
      </c>
      <c r="B45647" s="1" t="str">
        <f>"39194"</f>
        <v>39194</v>
      </c>
      <c r="C45647" s="2">
        <v>9.0939148069069495E-6</v>
      </c>
      <c r="D45647" s="2">
        <v>4.5171266858293203E-6</v>
      </c>
      <c r="E45647" s="2">
        <v>0</v>
      </c>
      <c r="F45647" s="2">
        <v>8.5853122478064497E-6</v>
      </c>
    </row>
    <row r="45648" spans="1:6" x14ac:dyDescent="0.25">
      <c r="A45648" s="1" t="str">
        <f t="shared" si="1517"/>
        <v>99999</v>
      </c>
      <c r="B45648" s="1" t="str">
        <f>"39079"</f>
        <v>39079</v>
      </c>
      <c r="C45648" s="2">
        <v>7.5782623390891297E-6</v>
      </c>
      <c r="D45648" s="2">
        <v>1.50570889527644E-6</v>
      </c>
      <c r="E45648" s="2">
        <v>8.6021135392965999E-6</v>
      </c>
      <c r="F45648" s="2">
        <v>7.2037677481594301E-6</v>
      </c>
    </row>
    <row r="45649" spans="1:6" x14ac:dyDescent="0.25">
      <c r="A45649" s="1" t="str">
        <f t="shared" si="1517"/>
        <v>99999</v>
      </c>
      <c r="B45649" s="1" t="str">
        <f>"39482"</f>
        <v>39482</v>
      </c>
      <c r="C45649" s="2">
        <v>5.4888271513116901E-5</v>
      </c>
      <c r="D45649" s="2">
        <v>1.0539962266935E-5</v>
      </c>
      <c r="E45649" s="2">
        <v>0</v>
      </c>
      <c r="F45649" s="2">
        <v>5.07224194870404E-5</v>
      </c>
    </row>
    <row r="45650" spans="1:6" x14ac:dyDescent="0.25">
      <c r="A45650" s="1" t="str">
        <f t="shared" si="1517"/>
        <v>99999</v>
      </c>
      <c r="B45650" s="1" t="str">
        <f>"38844"</f>
        <v>38844</v>
      </c>
      <c r="C45650" s="2">
        <v>7.6865232296475401E-6</v>
      </c>
      <c r="D45650" s="2">
        <v>1.50570889527644E-6</v>
      </c>
      <c r="E45650" s="2">
        <v>0</v>
      </c>
      <c r="F45650" s="2">
        <v>7.10508599818465E-6</v>
      </c>
    </row>
    <row r="45651" spans="1:6" x14ac:dyDescent="0.25">
      <c r="A45651" s="1" t="str">
        <f t="shared" si="1517"/>
        <v>99999</v>
      </c>
      <c r="B45651" s="1" t="str">
        <f>"38541"</f>
        <v>38541</v>
      </c>
      <c r="C45651" s="2">
        <v>6.07343596032714E-5</v>
      </c>
      <c r="D45651" s="2">
        <v>2.25856334291466E-5</v>
      </c>
      <c r="E45651" s="2">
        <v>0</v>
      </c>
      <c r="F45651" s="2">
        <v>5.68406879854772E-5</v>
      </c>
    </row>
    <row r="45652" spans="1:6" x14ac:dyDescent="0.25">
      <c r="A45652" s="1" t="str">
        <f t="shared" si="1517"/>
        <v>99999</v>
      </c>
      <c r="B45652" s="1" t="str">
        <f>"41804"</f>
        <v>41804</v>
      </c>
      <c r="C45652" s="2">
        <v>3.5509572103160502E-5</v>
      </c>
      <c r="D45652" s="2">
        <v>6.0228355811057601E-6</v>
      </c>
      <c r="E45652" s="2">
        <v>2.58063406178898E-5</v>
      </c>
      <c r="F45652" s="2">
        <v>3.3354431491477903E-5</v>
      </c>
    </row>
    <row r="45653" spans="1:6" x14ac:dyDescent="0.25">
      <c r="A45653" s="1" t="str">
        <f t="shared" si="1517"/>
        <v>99999</v>
      </c>
      <c r="B45653" s="1" t="str">
        <f>"41555"</f>
        <v>41555</v>
      </c>
      <c r="C45653" s="2">
        <v>4.51447913628595E-5</v>
      </c>
      <c r="D45653" s="2">
        <v>9.0342533716586405E-6</v>
      </c>
      <c r="E45653" s="2">
        <v>4.3010567696482999E-6</v>
      </c>
      <c r="F45653" s="2">
        <v>4.1841061989309602E-5</v>
      </c>
    </row>
    <row r="45654" spans="1:6" x14ac:dyDescent="0.25">
      <c r="A45654" s="1" t="str">
        <f t="shared" si="1517"/>
        <v>99999</v>
      </c>
      <c r="B45654" s="1" t="str">
        <f>"41667"</f>
        <v>41667</v>
      </c>
      <c r="C45654" s="2">
        <v>1.9162177628839599E-5</v>
      </c>
      <c r="D45654" s="2">
        <v>0</v>
      </c>
      <c r="E45654" s="2">
        <v>4.7311624466131299E-5</v>
      </c>
      <c r="F45654" s="2">
        <v>1.8552168995259899E-5</v>
      </c>
    </row>
    <row r="45655" spans="1:6" x14ac:dyDescent="0.25">
      <c r="A45655" s="1" t="str">
        <f t="shared" si="1517"/>
        <v>99999</v>
      </c>
      <c r="B45655" s="1" t="str">
        <f>"41760"</f>
        <v>41760</v>
      </c>
      <c r="C45655" s="2">
        <v>2.0569569206099001E-6</v>
      </c>
      <c r="D45655" s="2">
        <v>0</v>
      </c>
      <c r="E45655" s="2">
        <v>4.3010567696482999E-6</v>
      </c>
      <c r="F45655" s="2">
        <v>1.9736349994957299E-6</v>
      </c>
    </row>
    <row r="45656" spans="1:6" x14ac:dyDescent="0.25">
      <c r="A45656" s="1" t="str">
        <f t="shared" si="1517"/>
        <v>99999</v>
      </c>
      <c r="B45656" s="1" t="str">
        <f>"43976"</f>
        <v>43976</v>
      </c>
      <c r="C45656" s="2">
        <v>7.9355232779319002E-5</v>
      </c>
      <c r="D45656" s="2">
        <v>1.9574215638593701E-5</v>
      </c>
      <c r="E45656" s="2">
        <v>1.29031703089449E-5</v>
      </c>
      <c r="F45656" s="2">
        <v>7.3912630731115306E-5</v>
      </c>
    </row>
    <row r="45657" spans="1:6" x14ac:dyDescent="0.25">
      <c r="A45657" s="1" t="str">
        <f t="shared" si="1517"/>
        <v>99999</v>
      </c>
      <c r="B45657" s="1" t="str">
        <f>"77316"</f>
        <v>77316</v>
      </c>
      <c r="C45657" s="2">
        <v>4.7634791845703099E-6</v>
      </c>
      <c r="D45657" s="2">
        <v>0</v>
      </c>
      <c r="E45657" s="2">
        <v>0</v>
      </c>
      <c r="F45657" s="2">
        <v>4.3419969988906098E-6</v>
      </c>
    </row>
    <row r="45658" spans="1:6" x14ac:dyDescent="0.25">
      <c r="A45658" s="1" t="str">
        <f t="shared" si="1517"/>
        <v>99999</v>
      </c>
      <c r="B45658" s="1" t="str">
        <f>"77962"</f>
        <v>77962</v>
      </c>
      <c r="C45658" s="2">
        <v>7.3292622908047696E-5</v>
      </c>
      <c r="D45658" s="2">
        <v>6.7756900287439806E-5</v>
      </c>
      <c r="E45658" s="2">
        <v>8.6021135392965999E-6</v>
      </c>
      <c r="F45658" s="2">
        <v>7.1445586981745603E-5</v>
      </c>
    </row>
    <row r="45659" spans="1:6" x14ac:dyDescent="0.25">
      <c r="A45659" s="1" t="str">
        <f t="shared" si="1517"/>
        <v>99999</v>
      </c>
      <c r="B45659" s="1" t="str">
        <f>"76666"</f>
        <v>76666</v>
      </c>
      <c r="C45659" s="2">
        <v>1.16921761803089E-5</v>
      </c>
      <c r="D45659" s="2">
        <v>1.50570889527644E-6</v>
      </c>
      <c r="E45659" s="2">
        <v>8.6021135392965999E-6</v>
      </c>
      <c r="F45659" s="2">
        <v>1.0953674247201299E-5</v>
      </c>
    </row>
    <row r="45660" spans="1:6" x14ac:dyDescent="0.25">
      <c r="A45660" s="1" t="str">
        <f t="shared" si="1517"/>
        <v>99999</v>
      </c>
      <c r="B45660" s="1" t="str">
        <f>"77984"</f>
        <v>77984</v>
      </c>
      <c r="C45660" s="2">
        <v>2.0634525740434101E-4</v>
      </c>
      <c r="D45660" s="2">
        <v>1.2045671162211499E-4</v>
      </c>
      <c r="E45660" s="2">
        <v>4.3010567696482999E-5</v>
      </c>
      <c r="F45660" s="2">
        <v>1.9696877294967399E-4</v>
      </c>
    </row>
    <row r="45661" spans="1:6" x14ac:dyDescent="0.25">
      <c r="A45661" s="1" t="str">
        <f t="shared" si="1517"/>
        <v>99999</v>
      </c>
      <c r="B45661" s="1" t="str">
        <f>"78355"</f>
        <v>78355</v>
      </c>
      <c r="C45661" s="2">
        <v>3.1146658213656301E-4</v>
      </c>
      <c r="D45661" s="2">
        <v>4.4117270631599699E-4</v>
      </c>
      <c r="E45661" s="2">
        <v>1.8924649786452501E-4</v>
      </c>
      <c r="F45661" s="2">
        <v>3.1716314441896401E-4</v>
      </c>
    </row>
    <row r="45662" spans="1:6" x14ac:dyDescent="0.25">
      <c r="A45662" s="1" t="str">
        <f t="shared" si="1517"/>
        <v>99999</v>
      </c>
      <c r="B45662" s="1" t="str">
        <f>"78377"</f>
        <v>78377</v>
      </c>
      <c r="C45662" s="2">
        <v>1.9465308122403201E-4</v>
      </c>
      <c r="D45662" s="2">
        <v>3.7793293271438602E-4</v>
      </c>
      <c r="E45662" s="2">
        <v>1.8924649786452501E-4</v>
      </c>
      <c r="F45662" s="2">
        <v>2.0654090269722801E-4</v>
      </c>
    </row>
    <row r="45663" spans="1:6" x14ac:dyDescent="0.25">
      <c r="A45663" s="1" t="str">
        <f t="shared" si="1517"/>
        <v>99999</v>
      </c>
      <c r="B45663" s="1" t="str">
        <f>"78353"</f>
        <v>78353</v>
      </c>
      <c r="C45663" s="2">
        <v>2.24100043455921E-5</v>
      </c>
      <c r="D45663" s="2">
        <v>6.0228355811057601E-6</v>
      </c>
      <c r="E45663" s="2">
        <v>0</v>
      </c>
      <c r="F45663" s="2">
        <v>2.082184924468E-5</v>
      </c>
    </row>
    <row r="45664" spans="1:6" x14ac:dyDescent="0.25">
      <c r="A45664" s="1" t="str">
        <f t="shared" si="1517"/>
        <v>99999</v>
      </c>
      <c r="B45664" s="1" t="str">
        <f>"76627"</f>
        <v>76627</v>
      </c>
      <c r="C45664" s="2">
        <v>8.0546102575461604E-5</v>
      </c>
      <c r="D45664" s="2">
        <v>4.5171266858293199E-5</v>
      </c>
      <c r="E45664" s="2">
        <v>4.3010567696482999E-6</v>
      </c>
      <c r="F45664" s="2">
        <v>7.6478356230459704E-5</v>
      </c>
    </row>
    <row r="45665" spans="1:6" x14ac:dyDescent="0.25">
      <c r="A45665" s="1" t="str">
        <f t="shared" si="1517"/>
        <v>99999</v>
      </c>
      <c r="B45665" s="1" t="str">
        <f>"76634"</f>
        <v>76634</v>
      </c>
      <c r="C45665" s="2">
        <v>3.9363659807040098E-4</v>
      </c>
      <c r="D45665" s="2">
        <v>4.0051856614353298E-4</v>
      </c>
      <c r="E45665" s="2">
        <v>3.1827820095397402E-4</v>
      </c>
      <c r="F45665" s="2">
        <v>3.92358637899752E-4</v>
      </c>
    </row>
    <row r="45666" spans="1:6" x14ac:dyDescent="0.25">
      <c r="A45666" s="1" t="str">
        <f t="shared" si="1517"/>
        <v>99999</v>
      </c>
      <c r="B45666" s="1" t="str">
        <f>"76637"</f>
        <v>76637</v>
      </c>
      <c r="C45666" s="2">
        <v>2.7281744420720801E-5</v>
      </c>
      <c r="D45666" s="2">
        <v>6.0228355811057601E-6</v>
      </c>
      <c r="E45666" s="2">
        <v>8.6021135392965999E-6</v>
      </c>
      <c r="F45666" s="2">
        <v>2.5459891493494899E-5</v>
      </c>
    </row>
    <row r="45667" spans="1:6" x14ac:dyDescent="0.25">
      <c r="A45667" s="1" t="str">
        <f t="shared" si="1517"/>
        <v>99999</v>
      </c>
      <c r="B45667" s="1" t="str">
        <f>"76577"</f>
        <v>76577</v>
      </c>
      <c r="C45667" s="2">
        <v>1.3792437457142199E-4</v>
      </c>
      <c r="D45667" s="2">
        <v>6.7756900287439806E-5</v>
      </c>
      <c r="E45667" s="2">
        <v>1.07526419241207E-4</v>
      </c>
      <c r="F45667" s="2">
        <v>1.3262827196611299E-4</v>
      </c>
    </row>
    <row r="45668" spans="1:6" x14ac:dyDescent="0.25">
      <c r="A45668" s="1" t="str">
        <f t="shared" si="1517"/>
        <v>99999</v>
      </c>
      <c r="B45668" s="1" t="str">
        <f>"76622"</f>
        <v>76622</v>
      </c>
      <c r="C45668" s="2">
        <v>5.6512184871493199E-5</v>
      </c>
      <c r="D45668" s="2">
        <v>2.1079924533870101E-5</v>
      </c>
      <c r="E45668" s="2">
        <v>3.44084541571864E-5</v>
      </c>
      <c r="F45668" s="2">
        <v>5.3682871986284E-5</v>
      </c>
    </row>
    <row r="45669" spans="1:6" x14ac:dyDescent="0.25">
      <c r="A45669" s="1" t="str">
        <f t="shared" si="1517"/>
        <v>99999</v>
      </c>
      <c r="B45669" s="1" t="str">
        <f>"77871"</f>
        <v>77871</v>
      </c>
      <c r="C45669" s="2">
        <v>1.21576980097101E-4</v>
      </c>
      <c r="D45669" s="2">
        <v>3.4631304591358098E-5</v>
      </c>
      <c r="E45669" s="2">
        <v>4.3010567696482999E-6</v>
      </c>
      <c r="F45669" s="2">
        <v>1.1318796722108E-4</v>
      </c>
    </row>
    <row r="45670" spans="1:6" x14ac:dyDescent="0.25">
      <c r="A45670" s="1" t="str">
        <f t="shared" si="1517"/>
        <v>99999</v>
      </c>
      <c r="B45670" s="1" t="str">
        <f>"78956"</f>
        <v>78956</v>
      </c>
      <c r="C45670" s="2">
        <v>3.1060049501209502E-4</v>
      </c>
      <c r="D45670" s="2">
        <v>5.5861800014755903E-4</v>
      </c>
      <c r="E45670" s="2">
        <v>1.2903170308944901E-4</v>
      </c>
      <c r="F45670" s="2">
        <v>3.2268932241755199E-4</v>
      </c>
    </row>
    <row r="45671" spans="1:6" x14ac:dyDescent="0.25">
      <c r="A45671" s="1" t="str">
        <f t="shared" si="1517"/>
        <v>99999</v>
      </c>
      <c r="B45671" s="1" t="str">
        <f>"78830"</f>
        <v>78830</v>
      </c>
      <c r="C45671" s="2">
        <v>8.8773930257901203E-6</v>
      </c>
      <c r="D45671" s="2">
        <v>7.5285444763821999E-6</v>
      </c>
      <c r="E45671" s="2">
        <v>4.3010567696482999E-6</v>
      </c>
      <c r="F45671" s="2">
        <v>8.6839939977812298E-6</v>
      </c>
    </row>
    <row r="45672" spans="1:6" x14ac:dyDescent="0.25">
      <c r="A45672" s="1" t="str">
        <f t="shared" si="1517"/>
        <v>99999</v>
      </c>
      <c r="B45672" s="1" t="str">
        <f>"79847"</f>
        <v>79847</v>
      </c>
      <c r="C45672" s="2">
        <v>2.2518265236150501E-5</v>
      </c>
      <c r="D45672" s="2">
        <v>9.0342533716586405E-6</v>
      </c>
      <c r="E45672" s="2">
        <v>5.5913738005427899E-5</v>
      </c>
      <c r="F45672" s="2">
        <v>2.2400757244276601E-5</v>
      </c>
    </row>
    <row r="45673" spans="1:6" x14ac:dyDescent="0.25">
      <c r="A45673" s="1" t="str">
        <f t="shared" si="1517"/>
        <v>99999</v>
      </c>
      <c r="B45673" s="1" t="str">
        <f>"78654"</f>
        <v>78654</v>
      </c>
      <c r="C45673" s="2">
        <v>1.1436680478591E-3</v>
      </c>
      <c r="D45673" s="2">
        <v>2.5341080707502401E-3</v>
      </c>
      <c r="E45673" s="2">
        <v>1.5268751532251401E-3</v>
      </c>
      <c r="F45673" s="2">
        <v>1.2435874131822601E-3</v>
      </c>
    </row>
    <row r="45674" spans="1:6" x14ac:dyDescent="0.25">
      <c r="A45674" s="1" t="str">
        <f t="shared" si="1517"/>
        <v>99999</v>
      </c>
      <c r="B45674" s="1" t="str">
        <f>"78611"</f>
        <v>78611</v>
      </c>
      <c r="C45674" s="2">
        <v>9.5421148938188002E-4</v>
      </c>
      <c r="D45674" s="2">
        <v>1.3355637901102E-3</v>
      </c>
      <c r="E45674" s="2">
        <v>8.0429761592423201E-4</v>
      </c>
      <c r="F45674" s="2">
        <v>9.7576514375069198E-4</v>
      </c>
    </row>
    <row r="45675" spans="1:6" x14ac:dyDescent="0.25">
      <c r="A45675" s="1" t="str">
        <f t="shared" si="1517"/>
        <v>99999</v>
      </c>
      <c r="B45675" s="1" t="str">
        <f>"78639"</f>
        <v>78639</v>
      </c>
      <c r="C45675" s="2">
        <v>4.9366966094637702E-4</v>
      </c>
      <c r="D45675" s="2">
        <v>3.92990021667151E-4</v>
      </c>
      <c r="E45675" s="2">
        <v>1.67741214016283E-4</v>
      </c>
      <c r="F45675" s="2">
        <v>4.7959330487746301E-4</v>
      </c>
    </row>
    <row r="45676" spans="1:6" x14ac:dyDescent="0.25">
      <c r="A45676" s="1" t="str">
        <f t="shared" si="1517"/>
        <v>99999</v>
      </c>
      <c r="B45676" s="1" t="str">
        <f>"78607"</f>
        <v>78607</v>
      </c>
      <c r="C45676" s="2">
        <v>1.51565246781782E-5</v>
      </c>
      <c r="D45676" s="2">
        <v>7.5285444763821999E-6</v>
      </c>
      <c r="E45676" s="2">
        <v>0</v>
      </c>
      <c r="F45676" s="2">
        <v>1.4308853746344E-5</v>
      </c>
    </row>
    <row r="45677" spans="1:6" x14ac:dyDescent="0.25">
      <c r="A45677" s="1" t="str">
        <f t="shared" si="1517"/>
        <v>99999</v>
      </c>
      <c r="B45677" s="1" t="str">
        <f>"81321"</f>
        <v>81321</v>
      </c>
      <c r="C45677" s="2">
        <v>8.9044582484297204E-4</v>
      </c>
      <c r="D45677" s="2">
        <v>1.5809943400402599E-3</v>
      </c>
      <c r="E45677" s="2">
        <v>1.2688117470462401E-3</v>
      </c>
      <c r="F45677" s="2">
        <v>9.4438434725870903E-4</v>
      </c>
    </row>
    <row r="45678" spans="1:6" x14ac:dyDescent="0.25">
      <c r="A45678" s="1" t="str">
        <f t="shared" si="1517"/>
        <v>99999</v>
      </c>
      <c r="B45678" s="1" t="str">
        <f>"81410"</f>
        <v>81410</v>
      </c>
      <c r="C45678" s="2">
        <v>9.1696974302978395E-5</v>
      </c>
      <c r="D45678" s="2">
        <v>3.9148431277187403E-5</v>
      </c>
      <c r="E45678" s="2">
        <v>4.3010567696482999E-6</v>
      </c>
      <c r="F45678" s="2">
        <v>8.6247849477963601E-5</v>
      </c>
    </row>
    <row r="45679" spans="1:6" x14ac:dyDescent="0.25">
      <c r="A45679" s="1" t="str">
        <f t="shared" si="1517"/>
        <v>99999</v>
      </c>
      <c r="B45679" s="1" t="str">
        <f>"81120"</f>
        <v>81120</v>
      </c>
      <c r="C45679" s="2">
        <v>9.4836540129172506E-5</v>
      </c>
      <c r="D45679" s="2">
        <v>2.25856334291466E-5</v>
      </c>
      <c r="E45679" s="2">
        <v>1.37633816628745E-4</v>
      </c>
      <c r="F45679" s="2">
        <v>9.1083255226728202E-5</v>
      </c>
    </row>
    <row r="45680" spans="1:6" x14ac:dyDescent="0.25">
      <c r="A45680" s="1" t="str">
        <f t="shared" si="1517"/>
        <v>99999</v>
      </c>
      <c r="B45680" s="1" t="str">
        <f>"81147"</f>
        <v>81147</v>
      </c>
      <c r="C45680" s="2">
        <v>1.1490810923870201E-3</v>
      </c>
      <c r="D45680" s="2">
        <v>1.3220124100527099E-3</v>
      </c>
      <c r="E45680" s="2">
        <v>1.45805824491077E-3</v>
      </c>
      <c r="F45680" s="2">
        <v>1.1675037839517001E-3</v>
      </c>
    </row>
    <row r="45681" spans="1:6" x14ac:dyDescent="0.25">
      <c r="A45681" s="1" t="str">
        <f t="shared" si="1517"/>
        <v>99999</v>
      </c>
      <c r="B45681" s="1" t="str">
        <f>"81151"</f>
        <v>81151</v>
      </c>
      <c r="C45681" s="2">
        <v>6.1600446727738805E-5</v>
      </c>
      <c r="D45681" s="2">
        <v>7.5285444763821999E-6</v>
      </c>
      <c r="E45681" s="2">
        <v>2.15052838482415E-5</v>
      </c>
      <c r="F45681" s="2">
        <v>5.7136733235401503E-5</v>
      </c>
    </row>
    <row r="45682" spans="1:6" x14ac:dyDescent="0.25">
      <c r="A45682" s="1" t="str">
        <f t="shared" si="1517"/>
        <v>99999</v>
      </c>
      <c r="B45682" s="1" t="str">
        <f>"81044"</f>
        <v>81044</v>
      </c>
      <c r="C45682" s="2">
        <v>1.4506959334827701E-5</v>
      </c>
      <c r="D45682" s="2">
        <v>1.50570889527644E-6</v>
      </c>
      <c r="E45682" s="2">
        <v>8.6021135392965999E-6</v>
      </c>
      <c r="F45682" s="2">
        <v>1.35193997465457E-5</v>
      </c>
    </row>
    <row r="45683" spans="1:6" x14ac:dyDescent="0.25">
      <c r="A45683" s="1" t="str">
        <f t="shared" si="1517"/>
        <v>99999</v>
      </c>
      <c r="B45683" s="1" t="str">
        <f>"81055"</f>
        <v>81055</v>
      </c>
      <c r="C45683" s="2">
        <v>1.19844805848166E-4</v>
      </c>
      <c r="D45683" s="2">
        <v>2.1079924533870101E-5</v>
      </c>
      <c r="E45683" s="2">
        <v>1.16128532780504E-4</v>
      </c>
      <c r="F45683" s="2">
        <v>1.1328664897105499E-4</v>
      </c>
    </row>
    <row r="45684" spans="1:6" x14ac:dyDescent="0.25">
      <c r="A45684" s="1" t="str">
        <f t="shared" si="1517"/>
        <v>99999</v>
      </c>
      <c r="B45684" s="1" t="str">
        <f>"81059"</f>
        <v>81059</v>
      </c>
      <c r="C45684" s="2">
        <v>1.15839152897505E-5</v>
      </c>
      <c r="D45684" s="2">
        <v>4.5171266858293203E-6</v>
      </c>
      <c r="E45684" s="2">
        <v>0</v>
      </c>
      <c r="F45684" s="2">
        <v>1.08549924972265E-5</v>
      </c>
    </row>
    <row r="45685" spans="1:6" x14ac:dyDescent="0.25">
      <c r="A45685" s="1" t="str">
        <f t="shared" si="1517"/>
        <v>99999</v>
      </c>
      <c r="B45685" s="1" t="str">
        <f>"84023"</f>
        <v>84023</v>
      </c>
      <c r="C45685" s="2">
        <v>2.3492613251176299E-5</v>
      </c>
      <c r="D45685" s="2">
        <v>1.20456711622115E-5</v>
      </c>
      <c r="E45685" s="2">
        <v>8.6021135392965999E-6</v>
      </c>
      <c r="F45685" s="2">
        <v>2.2400757244276601E-5</v>
      </c>
    </row>
    <row r="45686" spans="1:6" x14ac:dyDescent="0.25">
      <c r="A45686" s="1" t="str">
        <f t="shared" si="1517"/>
        <v>99999</v>
      </c>
      <c r="B45686" s="1" t="str">
        <f>"84066"</f>
        <v>84066</v>
      </c>
      <c r="C45686" s="2">
        <v>6.2271664249200897E-4</v>
      </c>
      <c r="D45686" s="2">
        <v>9.4257376844305099E-4</v>
      </c>
      <c r="E45686" s="2">
        <v>1.32472548505167E-3</v>
      </c>
      <c r="F45686" s="2">
        <v>6.5978618033142404E-4</v>
      </c>
    </row>
    <row r="45687" spans="1:6" x14ac:dyDescent="0.25">
      <c r="A45687" s="1" t="str">
        <f t="shared" si="1517"/>
        <v>99999</v>
      </c>
      <c r="B45687" s="1" t="str">
        <f>"83645"</f>
        <v>83645</v>
      </c>
      <c r="C45687" s="2">
        <v>2.6740439967928698E-5</v>
      </c>
      <c r="D45687" s="2">
        <v>7.5285444763821999E-6</v>
      </c>
      <c r="E45687" s="2">
        <v>4.3010567696482999E-6</v>
      </c>
      <c r="F45687" s="2">
        <v>2.4966482743620998E-5</v>
      </c>
    </row>
    <row r="45688" spans="1:6" x14ac:dyDescent="0.25">
      <c r="A45688" s="1" t="str">
        <f t="shared" si="1517"/>
        <v>99999</v>
      </c>
      <c r="B45688" s="1" t="str">
        <f>"83672"</f>
        <v>83672</v>
      </c>
      <c r="C45688" s="2">
        <v>4.1258225391812398E-4</v>
      </c>
      <c r="D45688" s="2">
        <v>5.5108945567117695E-4</v>
      </c>
      <c r="E45688" s="2">
        <v>4.1290144988623701E-4</v>
      </c>
      <c r="F45688" s="2">
        <v>4.2166711764226401E-4</v>
      </c>
    </row>
    <row r="45689" spans="1:6" x14ac:dyDescent="0.25">
      <c r="A45689" s="1" t="str">
        <f t="shared" si="1517"/>
        <v>99999</v>
      </c>
      <c r="B45689" s="1" t="str">
        <f>"82834"</f>
        <v>82834</v>
      </c>
      <c r="C45689" s="2">
        <v>4.0446268712624199E-4</v>
      </c>
      <c r="D45689" s="2">
        <v>6.2788060933027497E-4</v>
      </c>
      <c r="E45689" s="2">
        <v>8.6451241069930801E-4</v>
      </c>
      <c r="F45689" s="2">
        <v>4.2966033939022101E-4</v>
      </c>
    </row>
    <row r="45690" spans="1:6" x14ac:dyDescent="0.25">
      <c r="A45690" s="1" t="str">
        <f t="shared" si="1517"/>
        <v>99999</v>
      </c>
      <c r="B45690" s="1" t="str">
        <f>"82435"</f>
        <v>82435</v>
      </c>
      <c r="C45690" s="2">
        <v>7.5100579780373205E-4</v>
      </c>
      <c r="D45690" s="2">
        <v>1.1413273426195401E-3</v>
      </c>
      <c r="E45690" s="2">
        <v>9.2902826224403295E-4</v>
      </c>
      <c r="F45690" s="2">
        <v>7.8067132405053796E-4</v>
      </c>
    </row>
    <row r="45691" spans="1:6" x14ac:dyDescent="0.25">
      <c r="A45691" s="1" t="str">
        <f t="shared" si="1517"/>
        <v>99999</v>
      </c>
      <c r="B45691" s="1" t="str">
        <f>"82401"</f>
        <v>82401</v>
      </c>
      <c r="C45691" s="2">
        <v>3.8876485799527199E-4</v>
      </c>
      <c r="D45691" s="2">
        <v>7.1972885194213803E-4</v>
      </c>
      <c r="E45691" s="2">
        <v>5.0752469881849903E-4</v>
      </c>
      <c r="F45691" s="2">
        <v>4.1318048714443202E-4</v>
      </c>
    </row>
    <row r="45692" spans="1:6" x14ac:dyDescent="0.25">
      <c r="A45692" s="1" t="str">
        <f t="shared" si="1517"/>
        <v>99999</v>
      </c>
      <c r="B45692" s="1" t="str">
        <f>"82410"</f>
        <v>82410</v>
      </c>
      <c r="C45692" s="2">
        <v>2.8364353326305E-5</v>
      </c>
      <c r="D45692" s="2">
        <v>7.5285444763821999E-6</v>
      </c>
      <c r="E45692" s="2">
        <v>2.58063406178898E-5</v>
      </c>
      <c r="F45692" s="2">
        <v>2.6940117743116699E-5</v>
      </c>
    </row>
    <row r="45693" spans="1:6" x14ac:dyDescent="0.25">
      <c r="A45693" s="1" t="str">
        <f t="shared" si="1517"/>
        <v>99999</v>
      </c>
      <c r="B45693" s="1" t="str">
        <f>"82214"</f>
        <v>82214</v>
      </c>
      <c r="C45693" s="2">
        <v>5.90021853543368E-5</v>
      </c>
      <c r="D45693" s="2">
        <v>0</v>
      </c>
      <c r="E45693" s="2">
        <v>2.58063406178898E-5</v>
      </c>
      <c r="F45693" s="2">
        <v>5.4373644236107498E-5</v>
      </c>
    </row>
    <row r="45694" spans="1:6" x14ac:dyDescent="0.25">
      <c r="A45694" s="1" t="str">
        <f t="shared" si="1517"/>
        <v>99999</v>
      </c>
      <c r="B45694" s="1" t="str">
        <f>"80721"</f>
        <v>80721</v>
      </c>
      <c r="C45694" s="2">
        <v>9.0939148069069495E-6</v>
      </c>
      <c r="D45694" s="2">
        <v>3.01141779055288E-6</v>
      </c>
      <c r="E45694" s="2">
        <v>8.6021135392965999E-6</v>
      </c>
      <c r="F45694" s="2">
        <v>8.6839939977812298E-6</v>
      </c>
    </row>
    <row r="45695" spans="1:6" x14ac:dyDescent="0.25">
      <c r="A45695" s="1" t="str">
        <f t="shared" si="1517"/>
        <v>99999</v>
      </c>
      <c r="B45695" s="1" t="str">
        <f>"80824"</f>
        <v>80824</v>
      </c>
      <c r="C45695" s="2">
        <v>1.4831742006502999E-5</v>
      </c>
      <c r="D45695" s="2">
        <v>2.55970512196994E-5</v>
      </c>
      <c r="E45695" s="2">
        <v>7.3117965084021106E-5</v>
      </c>
      <c r="F45695" s="2">
        <v>1.6874579245688502E-5</v>
      </c>
    </row>
    <row r="45696" spans="1:6" x14ac:dyDescent="0.25">
      <c r="A45696" s="1" t="str">
        <f t="shared" si="1517"/>
        <v>99999</v>
      </c>
      <c r="B45696" s="1" t="str">
        <f>"80758"</f>
        <v>80758</v>
      </c>
      <c r="C45696" s="2">
        <v>1.9292090697509701E-4</v>
      </c>
      <c r="D45696" s="2">
        <v>3.89978603876598E-4</v>
      </c>
      <c r="E45696" s="2">
        <v>3.7419193895940199E-4</v>
      </c>
      <c r="F45696" s="2">
        <v>2.0999476394634601E-4</v>
      </c>
    </row>
    <row r="45697" spans="1:6" x14ac:dyDescent="0.25">
      <c r="A45697" s="1" t="str">
        <f t="shared" si="1517"/>
        <v>99999</v>
      </c>
      <c r="B45697" s="1" t="str">
        <f>"80804"</f>
        <v>80804</v>
      </c>
      <c r="C45697" s="2">
        <v>2.0136525643865401E-5</v>
      </c>
      <c r="D45697" s="2">
        <v>1.80685067433172E-5</v>
      </c>
      <c r="E45697" s="2">
        <v>3.01073973875381E-5</v>
      </c>
      <c r="F45697" s="2">
        <v>2.0229758744831201E-5</v>
      </c>
    </row>
    <row r="45698" spans="1:6" x14ac:dyDescent="0.25">
      <c r="A45698" s="1" t="str">
        <f t="shared" si="1517"/>
        <v>99999</v>
      </c>
      <c r="B45698" s="1" t="str">
        <f>"84775"</f>
        <v>84775</v>
      </c>
      <c r="C45698" s="2">
        <v>3.45352240881347E-5</v>
      </c>
      <c r="D45698" s="2">
        <v>2.25856334291466E-5</v>
      </c>
      <c r="E45698" s="2">
        <v>1.29031703089449E-5</v>
      </c>
      <c r="F45698" s="2">
        <v>3.3255749741503099E-5</v>
      </c>
    </row>
    <row r="45699" spans="1:6" x14ac:dyDescent="0.25">
      <c r="A45699" s="1" t="str">
        <f t="shared" si="1517"/>
        <v>99999</v>
      </c>
      <c r="B45699" s="1" t="str">
        <f>"84747"</f>
        <v>84747</v>
      </c>
      <c r="C45699" s="2">
        <v>4.8609139860728801E-5</v>
      </c>
      <c r="D45699" s="2">
        <v>1.35513800574879E-5</v>
      </c>
      <c r="E45699" s="2">
        <v>4.3010567696482999E-5</v>
      </c>
      <c r="F45699" s="2">
        <v>4.6183058988200197E-5</v>
      </c>
    </row>
    <row r="45700" spans="1:6" x14ac:dyDescent="0.25">
      <c r="A45700" s="1" t="str">
        <f t="shared" si="1517"/>
        <v>99999</v>
      </c>
      <c r="B45700" s="1" t="str">
        <f>"84743"</f>
        <v>84743</v>
      </c>
      <c r="C45700" s="2">
        <v>1.75382642704634E-5</v>
      </c>
      <c r="D45700" s="2">
        <v>1.50570889527644E-6</v>
      </c>
      <c r="E45700" s="2">
        <v>0</v>
      </c>
      <c r="F45700" s="2">
        <v>1.60851252458902E-5</v>
      </c>
    </row>
    <row r="45701" spans="1:6" x14ac:dyDescent="0.25">
      <c r="A45701" s="1" t="str">
        <f t="shared" si="1517"/>
        <v>99999</v>
      </c>
      <c r="B45701" s="1" t="str">
        <f>"85348"</f>
        <v>85348</v>
      </c>
      <c r="C45701" s="2">
        <v>1.86533514432151E-4</v>
      </c>
      <c r="D45701" s="2">
        <v>4.0654140172463799E-5</v>
      </c>
      <c r="E45701" s="2">
        <v>6.0214794775076199E-5</v>
      </c>
      <c r="F45701" s="2">
        <v>1.7407460695552301E-4</v>
      </c>
    </row>
    <row r="45702" spans="1:6" x14ac:dyDescent="0.25">
      <c r="A45702" s="1" t="str">
        <f t="shared" ref="A45702:A45765" si="1518">"99999"</f>
        <v>99999</v>
      </c>
      <c r="B45702" s="1" t="str">
        <f>"85328"</f>
        <v>85328</v>
      </c>
      <c r="C45702" s="2">
        <v>2.0677830096657399E-5</v>
      </c>
      <c r="D45702" s="2">
        <v>0</v>
      </c>
      <c r="E45702" s="2">
        <v>1.29031703089449E-5</v>
      </c>
      <c r="F45702" s="2">
        <v>1.91442594951086E-5</v>
      </c>
    </row>
    <row r="45703" spans="1:6" x14ac:dyDescent="0.25">
      <c r="A45703" s="1" t="str">
        <f t="shared" si="1518"/>
        <v>99999</v>
      </c>
      <c r="B45703" s="1" t="str">
        <f>"84528"</f>
        <v>84528</v>
      </c>
      <c r="C45703" s="2">
        <v>9.50530619102893E-5</v>
      </c>
      <c r="D45703" s="2">
        <v>1.9875357417648999E-4</v>
      </c>
      <c r="E45703" s="2">
        <v>1.5053698693768999E-4</v>
      </c>
      <c r="F45703" s="2">
        <v>1.03122428723652E-4</v>
      </c>
    </row>
    <row r="45704" spans="1:6" x14ac:dyDescent="0.25">
      <c r="A45704" s="1" t="str">
        <f t="shared" si="1518"/>
        <v>99999</v>
      </c>
      <c r="B45704" s="1" t="str">
        <f>"84530"</f>
        <v>84530</v>
      </c>
      <c r="C45704" s="2">
        <v>1.86208731760475E-5</v>
      </c>
      <c r="D45704" s="2">
        <v>0</v>
      </c>
      <c r="E45704" s="2">
        <v>1.29031703089449E-5</v>
      </c>
      <c r="F45704" s="2">
        <v>1.7269306245587602E-5</v>
      </c>
    </row>
    <row r="45705" spans="1:6" x14ac:dyDescent="0.25">
      <c r="A45705" s="1" t="str">
        <f t="shared" si="1518"/>
        <v>99999</v>
      </c>
      <c r="B45705" s="1" t="str">
        <f>"84654"</f>
        <v>84654</v>
      </c>
      <c r="C45705" s="2">
        <v>1.16813500912531E-4</v>
      </c>
      <c r="D45705" s="2">
        <v>2.3940771434895401E-4</v>
      </c>
      <c r="E45705" s="2">
        <v>2.5376234940924903E-4</v>
      </c>
      <c r="F45705" s="2">
        <v>1.27990229717298E-4</v>
      </c>
    </row>
    <row r="45706" spans="1:6" x14ac:dyDescent="0.25">
      <c r="A45706" s="1" t="str">
        <f t="shared" si="1518"/>
        <v>99999</v>
      </c>
      <c r="B45706" s="1" t="str">
        <f>"85925"</f>
        <v>85925</v>
      </c>
      <c r="C45706" s="2">
        <v>9.3645670333029904E-5</v>
      </c>
      <c r="D45706" s="2">
        <v>5.7216938020504697E-5</v>
      </c>
      <c r="E45706" s="2">
        <v>1.2473064631979999E-4</v>
      </c>
      <c r="F45706" s="2">
        <v>9.1971390976501301E-5</v>
      </c>
    </row>
    <row r="45707" spans="1:6" x14ac:dyDescent="0.25">
      <c r="A45707" s="1" t="str">
        <f t="shared" si="1518"/>
        <v>99999</v>
      </c>
      <c r="B45707" s="1" t="str">
        <f>"89301"</f>
        <v>89301</v>
      </c>
      <c r="C45707" s="2">
        <v>3.7371659420765201E-4</v>
      </c>
      <c r="D45707" s="2">
        <v>7.6188870100987803E-4</v>
      </c>
      <c r="E45707" s="2">
        <v>5.9784689098111405E-4</v>
      </c>
      <c r="F45707" s="2">
        <v>4.0429912964670098E-4</v>
      </c>
    </row>
    <row r="45708" spans="1:6" x14ac:dyDescent="0.25">
      <c r="A45708" s="1" t="str">
        <f t="shared" si="1518"/>
        <v>99999</v>
      </c>
      <c r="B45708" s="1" t="str">
        <f>"89001"</f>
        <v>89001</v>
      </c>
      <c r="C45708" s="2">
        <v>1.15839152897505E-5</v>
      </c>
      <c r="D45708" s="2">
        <v>1.50570889527644E-6</v>
      </c>
      <c r="E45708" s="2">
        <v>1.07956524918172E-3</v>
      </c>
      <c r="F45708" s="2">
        <v>3.5426748240948397E-5</v>
      </c>
    </row>
    <row r="45709" spans="1:6" x14ac:dyDescent="0.25">
      <c r="A45709" s="1" t="str">
        <f t="shared" si="1518"/>
        <v>99999</v>
      </c>
      <c r="B45709" s="1" t="str">
        <f>"87730"</f>
        <v>87730</v>
      </c>
      <c r="C45709" s="2">
        <v>5.3047836373623898E-6</v>
      </c>
      <c r="D45709" s="2">
        <v>1.50570889527644E-6</v>
      </c>
      <c r="E45709" s="2">
        <v>4.3010567696482999E-6</v>
      </c>
      <c r="F45709" s="2">
        <v>5.0327692487141197E-6</v>
      </c>
    </row>
    <row r="45710" spans="1:6" x14ac:dyDescent="0.25">
      <c r="A45710" s="1" t="str">
        <f t="shared" si="1518"/>
        <v>99999</v>
      </c>
      <c r="B45710" s="1" t="str">
        <f>"96137"</f>
        <v>96137</v>
      </c>
      <c r="C45710" s="2">
        <v>2.2063569495805199E-4</v>
      </c>
      <c r="D45710" s="2">
        <v>1.4304234505126099E-4</v>
      </c>
      <c r="E45710" s="2">
        <v>1.72042270785932E-4</v>
      </c>
      <c r="F45710" s="2">
        <v>2.1443544269521099E-4</v>
      </c>
    </row>
    <row r="45711" spans="1:6" x14ac:dyDescent="0.25">
      <c r="A45711" s="1" t="str">
        <f t="shared" si="1518"/>
        <v>99999</v>
      </c>
      <c r="B45711" s="1" t="str">
        <f>"96101"</f>
        <v>96101</v>
      </c>
      <c r="C45711" s="2">
        <v>3.2619006325250698E-4</v>
      </c>
      <c r="D45711" s="2">
        <v>4.8634397317428999E-4</v>
      </c>
      <c r="E45711" s="2">
        <v>3.13977144184326E-4</v>
      </c>
      <c r="F45711" s="2">
        <v>3.3640608566404799E-4</v>
      </c>
    </row>
    <row r="45712" spans="1:6" x14ac:dyDescent="0.25">
      <c r="A45712" s="1" t="str">
        <f t="shared" si="1518"/>
        <v>99999</v>
      </c>
      <c r="B45712" s="1" t="str">
        <f>"89445"</f>
        <v>89445</v>
      </c>
      <c r="C45712" s="2">
        <v>6.5606099678400105E-5</v>
      </c>
      <c r="D45712" s="2">
        <v>6.0228355811057601E-6</v>
      </c>
      <c r="E45712" s="2">
        <v>2.15052838482415E-5</v>
      </c>
      <c r="F45712" s="2">
        <v>6.0689276234493797E-5</v>
      </c>
    </row>
    <row r="45713" spans="1:6" x14ac:dyDescent="0.25">
      <c r="A45713" s="1" t="str">
        <f t="shared" si="1518"/>
        <v>99999</v>
      </c>
      <c r="B45713" s="1" t="str">
        <f>"95306"</f>
        <v>95306</v>
      </c>
      <c r="C45713" s="2">
        <v>4.4062182457275301E-5</v>
      </c>
      <c r="D45713" s="2">
        <v>7.5285444763821999E-6</v>
      </c>
      <c r="E45713" s="2">
        <v>4.3010567696482999E-6</v>
      </c>
      <c r="F45713" s="2">
        <v>4.0755562739586902E-5</v>
      </c>
    </row>
    <row r="45714" spans="1:6" x14ac:dyDescent="0.25">
      <c r="A45714" s="1" t="str">
        <f t="shared" si="1518"/>
        <v>99999</v>
      </c>
      <c r="B45714" s="1" t="str">
        <f>"95222"</f>
        <v>95222</v>
      </c>
      <c r="C45714" s="2">
        <v>1.97034820816317E-4</v>
      </c>
      <c r="D45714" s="2">
        <v>1.4003092726070799E-4</v>
      </c>
      <c r="E45714" s="2">
        <v>1.7634332755557999E-4</v>
      </c>
      <c r="F45714" s="2">
        <v>1.9282413945073299E-4</v>
      </c>
    </row>
    <row r="45715" spans="1:6" x14ac:dyDescent="0.25">
      <c r="A45715" s="1" t="str">
        <f t="shared" si="1518"/>
        <v>99999</v>
      </c>
      <c r="B45715" s="1" t="str">
        <f>"96032"</f>
        <v>96032</v>
      </c>
      <c r="C45715" s="2">
        <v>8.0979146137695205E-5</v>
      </c>
      <c r="D45715" s="2">
        <v>4.8182684648845999E-5</v>
      </c>
      <c r="E45715" s="2">
        <v>3.8709510926834699E-5</v>
      </c>
      <c r="F45715" s="2">
        <v>7.7859900730106699E-5</v>
      </c>
    </row>
    <row r="45716" spans="1:6" x14ac:dyDescent="0.25">
      <c r="A45716" s="1" t="str">
        <f t="shared" si="1518"/>
        <v>99999</v>
      </c>
      <c r="B45716" s="1" t="str">
        <f>"95685"</f>
        <v>95685</v>
      </c>
      <c r="C45716" s="2">
        <v>3.4675963245860603E-4</v>
      </c>
      <c r="D45716" s="2">
        <v>5.72169380205047E-4</v>
      </c>
      <c r="E45716" s="2">
        <v>2.8386974679678702E-4</v>
      </c>
      <c r="F45716" s="2">
        <v>3.60089705657997E-4</v>
      </c>
    </row>
    <row r="45717" spans="1:6" x14ac:dyDescent="0.25">
      <c r="A45717" s="1" t="str">
        <f t="shared" si="1518"/>
        <v>99999</v>
      </c>
      <c r="B45717" s="1" t="str">
        <f>"95642"</f>
        <v>95642</v>
      </c>
      <c r="C45717" s="2">
        <v>5.1856966577481297E-4</v>
      </c>
      <c r="D45717" s="2">
        <v>1.43343486830317E-3</v>
      </c>
      <c r="E45717" s="2">
        <v>8.6021135392966004E-4</v>
      </c>
      <c r="F45717" s="2">
        <v>5.8636695835018301E-4</v>
      </c>
    </row>
    <row r="45718" spans="1:6" x14ac:dyDescent="0.25">
      <c r="A45718" s="1" t="str">
        <f t="shared" si="1518"/>
        <v>99999</v>
      </c>
      <c r="B45718" s="1" t="str">
        <f>"95669"</f>
        <v>95669</v>
      </c>
      <c r="C45718" s="2">
        <v>8.1845233262162597E-5</v>
      </c>
      <c r="D45718" s="2">
        <v>7.9802571449651304E-5</v>
      </c>
      <c r="E45718" s="2">
        <v>4.7311624466131299E-5</v>
      </c>
      <c r="F45718" s="2">
        <v>8.0919034979325103E-5</v>
      </c>
    </row>
    <row r="45719" spans="1:6" x14ac:dyDescent="0.25">
      <c r="A45719" s="1" t="str">
        <f t="shared" si="1518"/>
        <v>99999</v>
      </c>
      <c r="B45719" s="1" t="str">
        <f>"95629"</f>
        <v>95629</v>
      </c>
      <c r="C45719" s="2">
        <v>3.3669136963667403E-5</v>
      </c>
      <c r="D45719" s="2">
        <v>1.50570889527644E-6</v>
      </c>
      <c r="E45719" s="2">
        <v>1.29031703089449E-5</v>
      </c>
      <c r="F45719" s="2">
        <v>3.1084751242057802E-5</v>
      </c>
    </row>
    <row r="45720" spans="1:6" x14ac:dyDescent="0.25">
      <c r="A45720" s="1" t="str">
        <f t="shared" si="1518"/>
        <v>99999</v>
      </c>
      <c r="B45720" s="1" t="str">
        <f>"97118"</f>
        <v>97118</v>
      </c>
      <c r="C45720" s="2">
        <v>6.2683055633322896E-5</v>
      </c>
      <c r="D45720" s="2">
        <v>7.5285444763821999E-5</v>
      </c>
      <c r="E45720" s="2">
        <v>3.8709510926834699E-5</v>
      </c>
      <c r="F45720" s="2">
        <v>6.2958956483913898E-5</v>
      </c>
    </row>
    <row r="45721" spans="1:6" x14ac:dyDescent="0.25">
      <c r="A45721" s="1" t="str">
        <f t="shared" si="1518"/>
        <v>99999</v>
      </c>
      <c r="B45721" s="1" t="str">
        <f>"71651"</f>
        <v>71651</v>
      </c>
      <c r="C45721" s="2">
        <v>1.2233480633101E-5</v>
      </c>
      <c r="D45721" s="2">
        <v>3.01141779055288E-6</v>
      </c>
      <c r="E45721" s="2">
        <v>4.3010567696482999E-6</v>
      </c>
      <c r="F45721" s="2">
        <v>1.14470829970752E-5</v>
      </c>
    </row>
    <row r="45722" spans="1:6" x14ac:dyDescent="0.25">
      <c r="A45722" s="1" t="str">
        <f t="shared" si="1518"/>
        <v>99999</v>
      </c>
      <c r="B45722" s="1" t="str">
        <f>"71226"</f>
        <v>71226</v>
      </c>
      <c r="C45722" s="2">
        <v>1.05121324732222E-4</v>
      </c>
      <c r="D45722" s="2">
        <v>6.4745482496886904E-5</v>
      </c>
      <c r="E45722" s="2">
        <v>2.15052838482415E-5</v>
      </c>
      <c r="F45722" s="2">
        <v>1.00556703224307E-4</v>
      </c>
    </row>
    <row r="45723" spans="1:6" x14ac:dyDescent="0.25">
      <c r="A45723" s="1" t="str">
        <f t="shared" si="1518"/>
        <v>99999</v>
      </c>
      <c r="B45723" s="1" t="str">
        <f>"71219"</f>
        <v>71219</v>
      </c>
      <c r="C45723" s="2">
        <v>6.4415229882257597E-5</v>
      </c>
      <c r="D45723" s="2">
        <v>2.1079924533870101E-5</v>
      </c>
      <c r="E45723" s="2">
        <v>1.29031703089449E-5</v>
      </c>
      <c r="F45723" s="2">
        <v>6.03932309845695E-5</v>
      </c>
    </row>
    <row r="45724" spans="1:6" x14ac:dyDescent="0.25">
      <c r="A45724" s="1" t="str">
        <f t="shared" si="1518"/>
        <v>99999</v>
      </c>
      <c r="B45724" s="1" t="str">
        <f>"71322"</f>
        <v>71322</v>
      </c>
      <c r="C45724" s="2">
        <v>2.8613353374589302E-4</v>
      </c>
      <c r="D45724" s="2">
        <v>4.2460990846795597E-4</v>
      </c>
      <c r="E45724" s="2">
        <v>3.09676087414677E-4</v>
      </c>
      <c r="F45724" s="2">
        <v>2.9574920467443603E-4</v>
      </c>
    </row>
    <row r="45725" spans="1:6" x14ac:dyDescent="0.25">
      <c r="A45725" s="1" t="str">
        <f t="shared" si="1518"/>
        <v>99999</v>
      </c>
      <c r="B45725" s="1" t="str">
        <f>"71336"</f>
        <v>71336</v>
      </c>
      <c r="C45725" s="2">
        <v>7.2426535783580399E-5</v>
      </c>
      <c r="D45725" s="2">
        <v>2.55970512196994E-5</v>
      </c>
      <c r="E45725" s="2">
        <v>1.29031703089449E-5</v>
      </c>
      <c r="F45725" s="2">
        <v>6.7991725732628107E-5</v>
      </c>
    </row>
    <row r="45726" spans="1:6" x14ac:dyDescent="0.25">
      <c r="A45726" s="1" t="str">
        <f t="shared" si="1518"/>
        <v>99999</v>
      </c>
      <c r="B45726" s="1" t="str">
        <f>"71341"</f>
        <v>71341</v>
      </c>
      <c r="C45726" s="2">
        <v>1.26556981062788E-4</v>
      </c>
      <c r="D45726" s="2">
        <v>1.50570889527644E-5</v>
      </c>
      <c r="E45726" s="2">
        <v>8.1720078623317706E-5</v>
      </c>
      <c r="F45726" s="2">
        <v>1.1822073646979401E-4</v>
      </c>
    </row>
    <row r="45727" spans="1:6" x14ac:dyDescent="0.25">
      <c r="A45727" s="1" t="str">
        <f t="shared" si="1518"/>
        <v>99999</v>
      </c>
      <c r="B45727" s="1" t="str">
        <f>"71323"</f>
        <v>71323</v>
      </c>
      <c r="C45727" s="2">
        <v>5.3805662607532797E-5</v>
      </c>
      <c r="D45727" s="2">
        <v>9.0342533716586405E-6</v>
      </c>
      <c r="E45727" s="2">
        <v>4.3010567696482999E-6</v>
      </c>
      <c r="F45727" s="2">
        <v>4.9735601987292497E-5</v>
      </c>
    </row>
    <row r="45728" spans="1:6" x14ac:dyDescent="0.25">
      <c r="A45728" s="1" t="str">
        <f t="shared" si="1518"/>
        <v>99999</v>
      </c>
      <c r="B45728" s="1" t="str">
        <f>"71326"</f>
        <v>71326</v>
      </c>
      <c r="C45728" s="2">
        <v>1.7213481598788101E-5</v>
      </c>
      <c r="D45728" s="2">
        <v>1.35513800574879E-5</v>
      </c>
      <c r="E45728" s="2">
        <v>0</v>
      </c>
      <c r="F45728" s="2">
        <v>1.65785339957641E-5</v>
      </c>
    </row>
    <row r="45729" spans="1:6" x14ac:dyDescent="0.25">
      <c r="A45729" s="1" t="str">
        <f t="shared" si="1518"/>
        <v>99999</v>
      </c>
      <c r="B45729" s="1" t="str">
        <f>"73565"</f>
        <v>73565</v>
      </c>
      <c r="C45729" s="2">
        <v>5.7161750214843702E-5</v>
      </c>
      <c r="D45729" s="2">
        <v>4.0654140172463799E-5</v>
      </c>
      <c r="E45729" s="2">
        <v>2.15052838482415E-5</v>
      </c>
      <c r="F45729" s="2">
        <v>5.5261779985880603E-5</v>
      </c>
    </row>
    <row r="45730" spans="1:6" x14ac:dyDescent="0.25">
      <c r="A45730" s="1" t="str">
        <f t="shared" si="1518"/>
        <v>99999</v>
      </c>
      <c r="B45730" s="1" t="str">
        <f>"73566"</f>
        <v>73566</v>
      </c>
      <c r="C45730" s="2">
        <v>1.1713828358420601E-4</v>
      </c>
      <c r="D45730" s="2">
        <v>1.9122502970010701E-4</v>
      </c>
      <c r="E45730" s="2">
        <v>4.7311624466131299E-5</v>
      </c>
      <c r="F45730" s="2">
        <v>1.20391734969239E-4</v>
      </c>
    </row>
    <row r="45731" spans="1:6" x14ac:dyDescent="0.25">
      <c r="A45731" s="1" t="str">
        <f t="shared" si="1518"/>
        <v>99999</v>
      </c>
      <c r="B45731" s="1" t="str">
        <f>"73626"</f>
        <v>73626</v>
      </c>
      <c r="C45731" s="2">
        <v>4.0922616631081298E-5</v>
      </c>
      <c r="D45731" s="2">
        <v>2.7102760114975901E-5</v>
      </c>
      <c r="E45731" s="2">
        <v>4.3010567696482999E-6</v>
      </c>
      <c r="F45731" s="2">
        <v>3.9176654739990298E-5</v>
      </c>
    </row>
    <row r="45732" spans="1:6" x14ac:dyDescent="0.25">
      <c r="A45732" s="1" t="str">
        <f t="shared" si="1518"/>
        <v>99999</v>
      </c>
      <c r="B45732" s="1" t="str">
        <f>"73663"</f>
        <v>73663</v>
      </c>
      <c r="C45732" s="2">
        <v>5.0449575000221899E-5</v>
      </c>
      <c r="D45732" s="2">
        <v>3.4631304591358098E-5</v>
      </c>
      <c r="E45732" s="2">
        <v>4.3010567696482999E-6</v>
      </c>
      <c r="F45732" s="2">
        <v>4.8354057487645501E-5</v>
      </c>
    </row>
    <row r="45733" spans="1:6" x14ac:dyDescent="0.25">
      <c r="A45733" s="1" t="str">
        <f t="shared" si="1518"/>
        <v>99999</v>
      </c>
      <c r="B45733" s="1" t="str">
        <f>"73763"</f>
        <v>73763</v>
      </c>
      <c r="C45733" s="2">
        <v>7.6432188734241807E-5</v>
      </c>
      <c r="D45733" s="2">
        <v>3.31255956960816E-5</v>
      </c>
      <c r="E45733" s="2">
        <v>3.01073973875381E-5</v>
      </c>
      <c r="F45733" s="2">
        <v>7.2531086231468296E-5</v>
      </c>
    </row>
    <row r="45734" spans="1:6" x14ac:dyDescent="0.25">
      <c r="A45734" s="1" t="str">
        <f t="shared" si="1518"/>
        <v>99999</v>
      </c>
      <c r="B45734" s="1" t="str">
        <f>"73724"</f>
        <v>73724</v>
      </c>
      <c r="C45734" s="2">
        <v>4.53613131439763E-5</v>
      </c>
      <c r="D45734" s="2">
        <v>2.4091342324423E-5</v>
      </c>
      <c r="E45734" s="2">
        <v>4.3010567696482999E-6</v>
      </c>
      <c r="F45734" s="2">
        <v>4.3025242989006997E-5</v>
      </c>
    </row>
    <row r="45735" spans="1:6" x14ac:dyDescent="0.25">
      <c r="A45735" s="1" t="str">
        <f t="shared" si="1518"/>
        <v>99999</v>
      </c>
      <c r="B45735" s="1" t="str">
        <f>"73654"</f>
        <v>73654</v>
      </c>
      <c r="C45735" s="2">
        <v>5.5646097747025903E-5</v>
      </c>
      <c r="D45735" s="2">
        <v>1.65627978480408E-5</v>
      </c>
      <c r="E45735" s="2">
        <v>4.3010567696482999E-6</v>
      </c>
      <c r="F45735" s="2">
        <v>5.1906600486737802E-5</v>
      </c>
    </row>
    <row r="45736" spans="1:6" x14ac:dyDescent="0.25">
      <c r="A45736" s="1" t="str">
        <f t="shared" si="1518"/>
        <v>99999</v>
      </c>
      <c r="B45736" s="1" t="str">
        <f>"73728"</f>
        <v>73728</v>
      </c>
      <c r="C45736" s="2">
        <v>1.43770462661576E-4</v>
      </c>
      <c r="D45736" s="2">
        <v>2.95118943474182E-4</v>
      </c>
      <c r="E45736" s="2">
        <v>9.0322192162614306E-5</v>
      </c>
      <c r="F45736" s="2">
        <v>1.5246330371104501E-4</v>
      </c>
    </row>
    <row r="45737" spans="1:6" x14ac:dyDescent="0.25">
      <c r="A45737" s="1" t="str">
        <f t="shared" si="1518"/>
        <v>99999</v>
      </c>
      <c r="B45737" s="1" t="str">
        <f>"73835"</f>
        <v>73835</v>
      </c>
      <c r="C45737" s="2">
        <v>1.9270438519397999E-5</v>
      </c>
      <c r="D45737" s="2">
        <v>4.5171266858293203E-6</v>
      </c>
      <c r="E45737" s="2">
        <v>4.3010567696482999E-6</v>
      </c>
      <c r="F45737" s="2">
        <v>1.79600784954111E-5</v>
      </c>
    </row>
    <row r="45738" spans="1:6" x14ac:dyDescent="0.25">
      <c r="A45738" s="1" t="str">
        <f t="shared" si="1518"/>
        <v>99999</v>
      </c>
      <c r="B45738" s="1" t="str">
        <f>"74368"</f>
        <v>74368</v>
      </c>
      <c r="C45738" s="2">
        <v>3.2478267167524799E-6</v>
      </c>
      <c r="D45738" s="2">
        <v>4.5171266858293203E-6</v>
      </c>
      <c r="E45738" s="2">
        <v>4.3010567696482999E-6</v>
      </c>
      <c r="F45738" s="2">
        <v>3.35517949914275E-6</v>
      </c>
    </row>
    <row r="45739" spans="1:6" x14ac:dyDescent="0.25">
      <c r="A45739" s="1" t="str">
        <f t="shared" si="1518"/>
        <v>99999</v>
      </c>
      <c r="B45739" s="1" t="str">
        <f>"74555"</f>
        <v>74555</v>
      </c>
      <c r="C45739" s="2">
        <v>6.9178709066827898E-5</v>
      </c>
      <c r="D45739" s="2">
        <v>1.80685067433172E-5</v>
      </c>
      <c r="E45739" s="2">
        <v>4.3010567696482999E-6</v>
      </c>
      <c r="F45739" s="2">
        <v>6.4340500983561003E-5</v>
      </c>
    </row>
    <row r="45740" spans="1:6" x14ac:dyDescent="0.25">
      <c r="A45740" s="1" t="str">
        <f t="shared" si="1518"/>
        <v>99999</v>
      </c>
      <c r="B45740" s="1" t="str">
        <f>"74735"</f>
        <v>74735</v>
      </c>
      <c r="C45740" s="2">
        <v>9.9816541094859695E-5</v>
      </c>
      <c r="D45740" s="2">
        <v>3.01141779055288E-5</v>
      </c>
      <c r="E45740" s="2">
        <v>2.15052838482415E-5</v>
      </c>
      <c r="F45740" s="2">
        <v>9.34516172261231E-5</v>
      </c>
    </row>
    <row r="45741" spans="1:6" x14ac:dyDescent="0.25">
      <c r="A45741" s="1" t="str">
        <f t="shared" si="1518"/>
        <v>99999</v>
      </c>
      <c r="B45741" s="1" t="str">
        <f>"74578"</f>
        <v>74578</v>
      </c>
      <c r="C45741" s="2">
        <v>3.2348354098854699E-4</v>
      </c>
      <c r="D45741" s="2">
        <v>4.7881542869790801E-4</v>
      </c>
      <c r="E45741" s="2">
        <v>2.4516023586995298E-4</v>
      </c>
      <c r="F45741" s="2">
        <v>3.3186672516520799E-4</v>
      </c>
    </row>
    <row r="45742" spans="1:6" x14ac:dyDescent="0.25">
      <c r="A45742" s="1" t="str">
        <f t="shared" si="1518"/>
        <v>99999</v>
      </c>
      <c r="B45742" s="1" t="str">
        <f>"74754"</f>
        <v>74754</v>
      </c>
      <c r="C45742" s="2">
        <v>3.9623485944380299E-5</v>
      </c>
      <c r="D45742" s="2">
        <v>3.01141779055288E-5</v>
      </c>
      <c r="E45742" s="2">
        <v>4.3010567696482999E-6</v>
      </c>
      <c r="F45742" s="2">
        <v>3.8189837240242402E-5</v>
      </c>
    </row>
    <row r="45743" spans="1:6" x14ac:dyDescent="0.25">
      <c r="A45743" s="1" t="str">
        <f t="shared" si="1518"/>
        <v>99999</v>
      </c>
      <c r="B45743" s="1" t="str">
        <f>"74884"</f>
        <v>74884</v>
      </c>
      <c r="C45743" s="2">
        <v>3.2240093208296298E-4</v>
      </c>
      <c r="D45743" s="2">
        <v>6.1282352037751102E-4</v>
      </c>
      <c r="E45743" s="2">
        <v>2.8386974679678702E-4</v>
      </c>
      <c r="F45743" s="2">
        <v>3.4055071916298899E-4</v>
      </c>
    </row>
    <row r="45744" spans="1:6" x14ac:dyDescent="0.25">
      <c r="A45744" s="1" t="str">
        <f t="shared" si="1518"/>
        <v>99999</v>
      </c>
      <c r="B45744" s="1" t="str">
        <f>"74902"</f>
        <v>74902</v>
      </c>
      <c r="C45744" s="2">
        <v>2.1132525837002801E-4</v>
      </c>
      <c r="D45744" s="2">
        <v>2.0477640975759501E-4</v>
      </c>
      <c r="E45744" s="2">
        <v>2.23654952021711E-4</v>
      </c>
      <c r="F45744" s="2">
        <v>2.1117894494604301E-4</v>
      </c>
    </row>
    <row r="45745" spans="1:6" x14ac:dyDescent="0.25">
      <c r="A45745" s="1" t="str">
        <f t="shared" si="1518"/>
        <v>99999</v>
      </c>
      <c r="B45745" s="1" t="str">
        <f>"74829"</f>
        <v>74829</v>
      </c>
      <c r="C45745" s="2">
        <v>3.9623485944380299E-5</v>
      </c>
      <c r="D45745" s="2">
        <v>1.9574215638593701E-5</v>
      </c>
      <c r="E45745" s="2">
        <v>4.3010567696482999E-6</v>
      </c>
      <c r="F45745" s="2">
        <v>3.7499064990418898E-5</v>
      </c>
    </row>
    <row r="45746" spans="1:6" x14ac:dyDescent="0.25">
      <c r="A45746" s="1" t="str">
        <f t="shared" si="1518"/>
        <v>99999</v>
      </c>
      <c r="B45746" s="1" t="str">
        <f>"74856"</f>
        <v>74856</v>
      </c>
      <c r="C45746" s="2">
        <v>2.8364353326305E-5</v>
      </c>
      <c r="D45746" s="2">
        <v>4.5171266858293203E-6</v>
      </c>
      <c r="E45746" s="2">
        <v>4.3010567696482999E-6</v>
      </c>
      <c r="F45746" s="2">
        <v>2.6249345493293201E-5</v>
      </c>
    </row>
    <row r="45747" spans="1:6" x14ac:dyDescent="0.25">
      <c r="A45747" s="1" t="str">
        <f t="shared" si="1518"/>
        <v>99999</v>
      </c>
      <c r="B45747" s="1" t="str">
        <f>"74331"</f>
        <v>74331</v>
      </c>
      <c r="C45747" s="2">
        <v>4.99948792598765E-4</v>
      </c>
      <c r="D45747" s="2">
        <v>3.0264748795056398E-4</v>
      </c>
      <c r="E45747" s="2">
        <v>3.7849299572905002E-4</v>
      </c>
      <c r="F45747" s="2">
        <v>4.8423134712627798E-4</v>
      </c>
    </row>
    <row r="45748" spans="1:6" x14ac:dyDescent="0.25">
      <c r="A45748" s="1" t="str">
        <f t="shared" si="1518"/>
        <v>99999</v>
      </c>
      <c r="B45748" s="1" t="str">
        <f>"74332"</f>
        <v>74332</v>
      </c>
      <c r="C45748" s="2">
        <v>9.4511757457497295E-5</v>
      </c>
      <c r="D45748" s="2">
        <v>3.31255956960816E-5</v>
      </c>
      <c r="E45748" s="2">
        <v>8.6021135392965999E-6</v>
      </c>
      <c r="F45748" s="2">
        <v>8.8517529727383696E-5</v>
      </c>
    </row>
    <row r="45749" spans="1:6" x14ac:dyDescent="0.25">
      <c r="A45749" s="1" t="str">
        <f t="shared" si="1518"/>
        <v>99999</v>
      </c>
      <c r="B45749" s="1" t="str">
        <f>"73456"</f>
        <v>73456</v>
      </c>
      <c r="C45749" s="2">
        <v>3.0421310246914899E-5</v>
      </c>
      <c r="D45749" s="2">
        <v>1.35513800574879E-5</v>
      </c>
      <c r="E45749" s="2">
        <v>4.3010567696482999E-6</v>
      </c>
      <c r="F45749" s="2">
        <v>2.87163892426629E-5</v>
      </c>
    </row>
    <row r="45750" spans="1:6" x14ac:dyDescent="0.25">
      <c r="A45750" s="1" t="str">
        <f t="shared" si="1518"/>
        <v>99999</v>
      </c>
      <c r="B45750" s="1" t="str">
        <f>"73075"</f>
        <v>73075</v>
      </c>
      <c r="C45750" s="2">
        <v>4.90205312448508E-4</v>
      </c>
      <c r="D45750" s="2">
        <v>9.3353951507139303E-4</v>
      </c>
      <c r="E45750" s="2">
        <v>2.4085917910030401E-4</v>
      </c>
      <c r="F45750" s="2">
        <v>5.1353982686879005E-4</v>
      </c>
    </row>
    <row r="45751" spans="1:6" x14ac:dyDescent="0.25">
      <c r="A45751" s="1" t="str">
        <f t="shared" si="1518"/>
        <v>99999</v>
      </c>
      <c r="B45751" s="1" t="str">
        <f>"73040"</f>
        <v>73040</v>
      </c>
      <c r="C45751" s="2">
        <v>6.9395230847944705E-5</v>
      </c>
      <c r="D45751" s="2">
        <v>1.5207659842292001E-4</v>
      </c>
      <c r="E45751" s="2">
        <v>4.3010567696482999E-6</v>
      </c>
      <c r="F45751" s="2">
        <v>7.3320540231266605E-5</v>
      </c>
    </row>
    <row r="45752" spans="1:6" x14ac:dyDescent="0.25">
      <c r="A45752" s="1" t="str">
        <f t="shared" si="1518"/>
        <v>99999</v>
      </c>
      <c r="B45752" s="1" t="str">
        <f>"75103"</f>
        <v>75103</v>
      </c>
      <c r="C45752" s="2">
        <v>7.3216840284656801E-4</v>
      </c>
      <c r="D45752" s="2">
        <v>1.1187417091903899E-3</v>
      </c>
      <c r="E45752" s="2">
        <v>5.2472892589709198E-4</v>
      </c>
      <c r="F45752" s="2">
        <v>7.5274438880767298E-4</v>
      </c>
    </row>
    <row r="45753" spans="1:6" x14ac:dyDescent="0.25">
      <c r="A45753" s="1" t="str">
        <f t="shared" si="1518"/>
        <v>99999</v>
      </c>
      <c r="B45753" s="1" t="str">
        <f>"75117"</f>
        <v>75117</v>
      </c>
      <c r="C45753" s="2">
        <v>1.93786994099564E-4</v>
      </c>
      <c r="D45753" s="2">
        <v>7.6791153659098402E-5</v>
      </c>
      <c r="E45753" s="2">
        <v>4.3010567696482999E-5</v>
      </c>
      <c r="F45753" s="2">
        <v>1.8265991920332999E-4</v>
      </c>
    </row>
    <row r="45754" spans="1:6" x14ac:dyDescent="0.25">
      <c r="A45754" s="1" t="str">
        <f t="shared" si="1518"/>
        <v>99999</v>
      </c>
      <c r="B45754" s="1" t="str">
        <f>"75472"</f>
        <v>75472</v>
      </c>
      <c r="C45754" s="2">
        <v>2.8450962038751698E-4</v>
      </c>
      <c r="D45754" s="2">
        <v>1.2196242051739101E-4</v>
      </c>
      <c r="E45754" s="2">
        <v>8.6021135392965999E-5</v>
      </c>
      <c r="F45754" s="2">
        <v>2.69302495681193E-4</v>
      </c>
    </row>
    <row r="45755" spans="1:6" x14ac:dyDescent="0.25">
      <c r="A45755" s="1" t="str">
        <f t="shared" si="1518"/>
        <v>99999</v>
      </c>
      <c r="B45755" s="1" t="str">
        <f>"75630"</f>
        <v>75630</v>
      </c>
      <c r="C45755" s="2">
        <v>1.7798090407803601E-4</v>
      </c>
      <c r="D45755" s="2">
        <v>5.7216938020504697E-5</v>
      </c>
      <c r="E45755" s="2">
        <v>3.3118137126291899E-3</v>
      </c>
      <c r="F45755" s="2">
        <v>2.41967650938177E-4</v>
      </c>
    </row>
    <row r="45756" spans="1:6" x14ac:dyDescent="0.25">
      <c r="A45756" s="1" t="str">
        <f t="shared" si="1518"/>
        <v>99999</v>
      </c>
      <c r="B45756" s="1" t="str">
        <f>"75631"</f>
        <v>75631</v>
      </c>
      <c r="C45756" s="2">
        <v>1.0458002027943E-4</v>
      </c>
      <c r="D45756" s="2">
        <v>3.01141779055288E-5</v>
      </c>
      <c r="E45756" s="2">
        <v>4.7311624466131299E-5</v>
      </c>
      <c r="F45756" s="2">
        <v>9.8385704724862397E-5</v>
      </c>
    </row>
    <row r="45757" spans="1:6" x14ac:dyDescent="0.25">
      <c r="A45757" s="1" t="str">
        <f t="shared" si="1518"/>
        <v>99999</v>
      </c>
      <c r="B45757" s="1" t="str">
        <f>"75633"</f>
        <v>75633</v>
      </c>
      <c r="C45757" s="2">
        <v>8.7139190810469095E-4</v>
      </c>
      <c r="D45757" s="2">
        <v>1.1624072671534099E-3</v>
      </c>
      <c r="E45757" s="2">
        <v>4.15051978271061E-3</v>
      </c>
      <c r="F45757" s="2">
        <v>9.6569960525326297E-4</v>
      </c>
    </row>
    <row r="45758" spans="1:6" x14ac:dyDescent="0.25">
      <c r="A45758" s="1" t="str">
        <f t="shared" si="1518"/>
        <v>99999</v>
      </c>
      <c r="B45758" s="1" t="str">
        <f>"75657"</f>
        <v>75657</v>
      </c>
      <c r="C45758" s="2">
        <v>7.1257318165549499E-4</v>
      </c>
      <c r="D45758" s="2">
        <v>7.3930306758073199E-4</v>
      </c>
      <c r="E45758" s="2">
        <v>2.6236446294854599E-4</v>
      </c>
      <c r="F45758" s="2">
        <v>7.03995604320129E-4</v>
      </c>
    </row>
    <row r="45759" spans="1:6" x14ac:dyDescent="0.25">
      <c r="A45759" s="1" t="str">
        <f t="shared" si="1518"/>
        <v>99999</v>
      </c>
      <c r="B45759" s="1" t="str">
        <f>"79356"</f>
        <v>79356</v>
      </c>
      <c r="C45759" s="2">
        <v>2.4098874238303401E-4</v>
      </c>
      <c r="D45759" s="2">
        <v>3.8094435050493901E-4</v>
      </c>
      <c r="E45759" s="2">
        <v>3.3548242803256698E-4</v>
      </c>
      <c r="F45759" s="2">
        <v>2.5232923468552902E-4</v>
      </c>
    </row>
    <row r="45760" spans="1:6" x14ac:dyDescent="0.25">
      <c r="A45760" s="1" t="str">
        <f t="shared" si="1518"/>
        <v>99999</v>
      </c>
      <c r="B45760" s="1" t="str">
        <f>"79339"</f>
        <v>79339</v>
      </c>
      <c r="C45760" s="2">
        <v>3.7111833283425E-4</v>
      </c>
      <c r="D45760" s="2">
        <v>5.8873217805308802E-4</v>
      </c>
      <c r="E45760" s="2">
        <v>6.7956696960443097E-4</v>
      </c>
      <c r="F45760" s="2">
        <v>3.9245731964972702E-4</v>
      </c>
    </row>
    <row r="45761" spans="1:6" x14ac:dyDescent="0.25">
      <c r="A45761" s="1" t="str">
        <f t="shared" si="1518"/>
        <v>99999</v>
      </c>
      <c r="B45761" s="1" t="str">
        <f>"76458"</f>
        <v>76458</v>
      </c>
      <c r="C45761" s="2">
        <v>2.9641831834894303E-4</v>
      </c>
      <c r="D45761" s="2">
        <v>5.01401062127054E-4</v>
      </c>
      <c r="E45761" s="2">
        <v>2.2795600879136E-4</v>
      </c>
      <c r="F45761" s="2">
        <v>3.08281786921234E-4</v>
      </c>
    </row>
    <row r="45762" spans="1:6" x14ac:dyDescent="0.25">
      <c r="A45762" s="1" t="str">
        <f t="shared" si="1518"/>
        <v>99999</v>
      </c>
      <c r="B45762" s="1" t="str">
        <f>"76448"</f>
        <v>76448</v>
      </c>
      <c r="C45762" s="2">
        <v>3.2997919442205202E-4</v>
      </c>
      <c r="D45762" s="2">
        <v>7.4382019426656103E-4</v>
      </c>
      <c r="E45762" s="2">
        <v>3.5268665511115999E-4</v>
      </c>
      <c r="F45762" s="2">
        <v>3.5762266190862702E-4</v>
      </c>
    </row>
    <row r="45763" spans="1:6" x14ac:dyDescent="0.25">
      <c r="A45763" s="1" t="str">
        <f t="shared" si="1518"/>
        <v>99999</v>
      </c>
      <c r="B45763" s="1" t="str">
        <f>"76856"</f>
        <v>76856</v>
      </c>
      <c r="C45763" s="2">
        <v>7.7731319420942799E-5</v>
      </c>
      <c r="D45763" s="2">
        <v>4.2159849067740298E-5</v>
      </c>
      <c r="E45763" s="2">
        <v>7.7419021853669399E-5</v>
      </c>
      <c r="F45763" s="2">
        <v>7.5392856980737106E-5</v>
      </c>
    </row>
    <row r="45764" spans="1:6" x14ac:dyDescent="0.25">
      <c r="A45764" s="1" t="str">
        <f t="shared" si="1518"/>
        <v>99999</v>
      </c>
      <c r="B45764" s="1" t="str">
        <f>"76870"</f>
        <v>76870</v>
      </c>
      <c r="C45764" s="2">
        <v>4.3304356223366396E-6</v>
      </c>
      <c r="D45764" s="2">
        <v>1.50570889527644E-6</v>
      </c>
      <c r="E45764" s="2">
        <v>0</v>
      </c>
      <c r="F45764" s="2">
        <v>4.0459517489662501E-6</v>
      </c>
    </row>
    <row r="45765" spans="1:6" x14ac:dyDescent="0.25">
      <c r="A45765" s="1" t="str">
        <f t="shared" si="1518"/>
        <v>99999</v>
      </c>
      <c r="B45765" s="1" t="str">
        <f>"76433"</f>
        <v>76433</v>
      </c>
      <c r="C45765" s="2">
        <v>6.6039143240633804E-6</v>
      </c>
      <c r="D45765" s="2">
        <v>0</v>
      </c>
      <c r="E45765" s="2">
        <v>3.8709510926834699E-5</v>
      </c>
      <c r="F45765" s="2">
        <v>6.9077224982350703E-6</v>
      </c>
    </row>
    <row r="45766" spans="1:6" x14ac:dyDescent="0.25">
      <c r="A45766" s="1" t="str">
        <f t="shared" ref="A45766:A45829" si="1519">"99999"</f>
        <v>99999</v>
      </c>
      <c r="B45766" s="1" t="str">
        <f>"76435"</f>
        <v>76435</v>
      </c>
      <c r="C45766" s="2">
        <v>3.8540877038796101E-5</v>
      </c>
      <c r="D45766" s="2">
        <v>1.20456711622115E-5</v>
      </c>
      <c r="E45766" s="2">
        <v>3.01073973875381E-5</v>
      </c>
      <c r="F45766" s="2">
        <v>3.6610929240645901E-5</v>
      </c>
    </row>
    <row r="45767" spans="1:6" x14ac:dyDescent="0.25">
      <c r="A45767" s="1" t="str">
        <f t="shared" si="1519"/>
        <v>99999</v>
      </c>
      <c r="B45767" s="1" t="str">
        <f>"76832"</f>
        <v>76832</v>
      </c>
      <c r="C45767" s="2">
        <v>1.7321742489346501E-5</v>
      </c>
      <c r="D45767" s="2">
        <v>1.0539962266935E-5</v>
      </c>
      <c r="E45767" s="2">
        <v>1.29031703089449E-5</v>
      </c>
      <c r="F45767" s="2">
        <v>1.6775897495713701E-5</v>
      </c>
    </row>
    <row r="45768" spans="1:6" x14ac:dyDescent="0.25">
      <c r="A45768" s="1" t="str">
        <f t="shared" si="1519"/>
        <v>99999</v>
      </c>
      <c r="B45768" s="1" t="str">
        <f>"76854"</f>
        <v>76854</v>
      </c>
      <c r="C45768" s="2">
        <v>1.62391335837624E-5</v>
      </c>
      <c r="D45768" s="2">
        <v>0</v>
      </c>
      <c r="E45768" s="2">
        <v>4.3010567696482999E-6</v>
      </c>
      <c r="F45768" s="2">
        <v>1.49009442461928E-5</v>
      </c>
    </row>
    <row r="45769" spans="1:6" x14ac:dyDescent="0.25">
      <c r="A45769" s="1" t="str">
        <f t="shared" si="1519"/>
        <v>99999</v>
      </c>
      <c r="B45769" s="1" t="str">
        <f>"79040"</f>
        <v>79040</v>
      </c>
      <c r="C45769" s="2">
        <v>1.02414802468261E-4</v>
      </c>
      <c r="D45769" s="2">
        <v>4.8182684648845999E-5</v>
      </c>
      <c r="E45769" s="2">
        <v>8.6021135392965999E-6</v>
      </c>
      <c r="F45769" s="2">
        <v>9.6708114975291003E-5</v>
      </c>
    </row>
    <row r="45770" spans="1:6" x14ac:dyDescent="0.25">
      <c r="A45770" s="1" t="str">
        <f t="shared" si="1519"/>
        <v>99999</v>
      </c>
      <c r="B45770" s="1" t="str">
        <f>"79070"</f>
        <v>79070</v>
      </c>
      <c r="C45770" s="2">
        <v>4.8522531148282103E-4</v>
      </c>
      <c r="D45770" s="2">
        <v>7.7845149885791905E-4</v>
      </c>
      <c r="E45770" s="2">
        <v>4.7311624466131301E-4</v>
      </c>
      <c r="F45770" s="2">
        <v>5.0416506062118504E-4</v>
      </c>
    </row>
    <row r="45771" spans="1:6" x14ac:dyDescent="0.25">
      <c r="A45771" s="1" t="str">
        <f t="shared" si="1519"/>
        <v>99999</v>
      </c>
      <c r="B45771" s="1" t="str">
        <f>"79233"</f>
        <v>79233</v>
      </c>
      <c r="C45771" s="2">
        <v>0</v>
      </c>
      <c r="D45771" s="2">
        <v>1.50570889527644E-6</v>
      </c>
      <c r="E45771" s="2">
        <v>4.3010567696482999E-6</v>
      </c>
      <c r="F45771" s="2">
        <v>1.9736349994957301E-7</v>
      </c>
    </row>
    <row r="45772" spans="1:6" x14ac:dyDescent="0.25">
      <c r="A45772" s="1" t="str">
        <f t="shared" si="1519"/>
        <v>99999</v>
      </c>
      <c r="B45772" s="1" t="str">
        <f>"79237"</f>
        <v>79237</v>
      </c>
      <c r="C45772" s="2">
        <v>2.6307396405695101E-5</v>
      </c>
      <c r="D45772" s="2">
        <v>1.20456711622115E-5</v>
      </c>
      <c r="E45772" s="2">
        <v>8.6021135392965999E-6</v>
      </c>
      <c r="F45772" s="2">
        <v>2.4966482743620998E-5</v>
      </c>
    </row>
    <row r="45773" spans="1:6" x14ac:dyDescent="0.25">
      <c r="A45773" s="1" t="str">
        <f t="shared" si="1519"/>
        <v>99999</v>
      </c>
      <c r="B45773" s="1" t="str">
        <f>"76255"</f>
        <v>76255</v>
      </c>
      <c r="C45773" s="2">
        <v>4.01756164862282E-4</v>
      </c>
      <c r="D45773" s="2">
        <v>4.7881542869790801E-4</v>
      </c>
      <c r="E45773" s="2">
        <v>2.4516023586995298E-4</v>
      </c>
      <c r="F45773" s="2">
        <v>4.0321363039697798E-4</v>
      </c>
    </row>
    <row r="45774" spans="1:6" x14ac:dyDescent="0.25">
      <c r="A45774" s="1" t="str">
        <f t="shared" si="1519"/>
        <v>99999</v>
      </c>
      <c r="B45774" s="1" t="str">
        <f>"75862"</f>
        <v>75862</v>
      </c>
      <c r="C45774" s="2">
        <v>7.0239665794300399E-4</v>
      </c>
      <c r="D45774" s="2">
        <v>1.37019509470156E-4</v>
      </c>
      <c r="E45774" s="2">
        <v>1.37633816628745E-4</v>
      </c>
      <c r="F45774" s="2">
        <v>6.52385049083315E-4</v>
      </c>
    </row>
    <row r="45775" spans="1:6" x14ac:dyDescent="0.25">
      <c r="A45775" s="1" t="str">
        <f t="shared" si="1519"/>
        <v>99999</v>
      </c>
      <c r="B45775" s="1" t="str">
        <f>"75931"</f>
        <v>75931</v>
      </c>
      <c r="C45775" s="2">
        <v>2.2236786920698599E-4</v>
      </c>
      <c r="D45775" s="2">
        <v>1.37019509470156E-4</v>
      </c>
      <c r="E45775" s="2">
        <v>1.5483804370733801E-4</v>
      </c>
      <c r="F45775" s="2">
        <v>2.1522489669500999E-4</v>
      </c>
    </row>
    <row r="45776" spans="1:6" x14ac:dyDescent="0.25">
      <c r="A45776" s="1" t="str">
        <f t="shared" si="1519"/>
        <v>99999</v>
      </c>
      <c r="B45776" s="1" t="str">
        <f>"75935"</f>
        <v>75935</v>
      </c>
      <c r="C45776" s="2">
        <v>8.7680495263261203E-4</v>
      </c>
      <c r="D45776" s="2">
        <v>1.2346812941266801E-3</v>
      </c>
      <c r="E45776" s="2">
        <v>3.91396166037995E-4</v>
      </c>
      <c r="F45776" s="2">
        <v>8.8912256727282897E-4</v>
      </c>
    </row>
    <row r="45777" spans="1:6" x14ac:dyDescent="0.25">
      <c r="A45777" s="1" t="str">
        <f t="shared" si="1519"/>
        <v>99999</v>
      </c>
      <c r="B45777" s="1" t="str">
        <f>"75859"</f>
        <v>75859</v>
      </c>
      <c r="C45777" s="2">
        <v>1.14756543991921E-4</v>
      </c>
      <c r="D45777" s="2">
        <v>8.5825407030757094E-5</v>
      </c>
      <c r="E45777" s="2">
        <v>4.7311624466131299E-5</v>
      </c>
      <c r="F45777" s="2">
        <v>1.11313013971559E-4</v>
      </c>
    </row>
    <row r="45778" spans="1:6" x14ac:dyDescent="0.25">
      <c r="A45778" s="1" t="str">
        <f t="shared" si="1519"/>
        <v>99999</v>
      </c>
      <c r="B45778" s="1" t="str">
        <f>"75951"</f>
        <v>75951</v>
      </c>
      <c r="C45778" s="2">
        <v>8.7323234324418399E-4</v>
      </c>
      <c r="D45778" s="2">
        <v>1.3250238278432599E-3</v>
      </c>
      <c r="E45778" s="2">
        <v>1.05590943694865E-2</v>
      </c>
      <c r="F45778" s="2">
        <v>1.12507063146254E-3</v>
      </c>
    </row>
    <row r="45779" spans="1:6" x14ac:dyDescent="0.25">
      <c r="A45779" s="1" t="str">
        <f t="shared" si="1519"/>
        <v>99999</v>
      </c>
      <c r="B45779" s="1" t="str">
        <f>"75840"</f>
        <v>75840</v>
      </c>
      <c r="C45779" s="2">
        <v>3.7999572586003998E-4</v>
      </c>
      <c r="D45779" s="2">
        <v>6.2486919153972203E-4</v>
      </c>
      <c r="E45779" s="2">
        <v>1.8494544109487701E-4</v>
      </c>
      <c r="F45779" s="2">
        <v>3.91569183899954E-4</v>
      </c>
    </row>
    <row r="45780" spans="1:6" x14ac:dyDescent="0.25">
      <c r="A45780" s="1" t="str">
        <f t="shared" si="1519"/>
        <v>99999</v>
      </c>
      <c r="B45780" s="1" t="str">
        <f>"75926"</f>
        <v>75926</v>
      </c>
      <c r="C45780" s="2">
        <v>9.1480452521861601E-5</v>
      </c>
      <c r="D45780" s="2">
        <v>1.50570889527644E-5</v>
      </c>
      <c r="E45780" s="2">
        <v>1.72042270785932E-5</v>
      </c>
      <c r="F45780" s="2">
        <v>8.4767623228341801E-5</v>
      </c>
    </row>
    <row r="45781" spans="1:6" x14ac:dyDescent="0.25">
      <c r="A45781" s="1" t="str">
        <f t="shared" si="1519"/>
        <v>99999</v>
      </c>
      <c r="B45781" s="1" t="str">
        <f>"75936"</f>
        <v>75936</v>
      </c>
      <c r="C45781" s="2">
        <v>6.0950881384388302E-5</v>
      </c>
      <c r="D45781" s="2">
        <v>1.20456711622115E-5</v>
      </c>
      <c r="E45781" s="2">
        <v>8.6021135392965999E-6</v>
      </c>
      <c r="F45781" s="2">
        <v>5.6544642735552802E-5</v>
      </c>
    </row>
    <row r="45782" spans="1:6" x14ac:dyDescent="0.25">
      <c r="A45782" s="1" t="str">
        <f t="shared" si="1519"/>
        <v>99999</v>
      </c>
      <c r="B45782" s="1" t="str">
        <f>"75855"</f>
        <v>75855</v>
      </c>
      <c r="C45782" s="2">
        <v>1.9541090745794101E-4</v>
      </c>
      <c r="D45782" s="2">
        <v>6.3239773601610501E-5</v>
      </c>
      <c r="E45782" s="2">
        <v>2.49461292639601E-4</v>
      </c>
      <c r="F45782" s="2">
        <v>1.8798873370196801E-4</v>
      </c>
    </row>
    <row r="45783" spans="1:6" x14ac:dyDescent="0.25">
      <c r="A45783" s="1" t="str">
        <f t="shared" si="1519"/>
        <v>99999</v>
      </c>
      <c r="B45783" s="1" t="str">
        <f>"75838"</f>
        <v>75838</v>
      </c>
      <c r="C45783" s="2">
        <v>5.1099140343572402E-5</v>
      </c>
      <c r="D45783" s="2">
        <v>3.01141779055288E-5</v>
      </c>
      <c r="E45783" s="2">
        <v>8.6021135392965999E-6</v>
      </c>
      <c r="F45783" s="2">
        <v>4.8748784487544602E-5</v>
      </c>
    </row>
    <row r="45784" spans="1:6" x14ac:dyDescent="0.25">
      <c r="A45784" s="1" t="str">
        <f t="shared" si="1519"/>
        <v>99999</v>
      </c>
      <c r="B45784" s="1" t="str">
        <f>"77328"</f>
        <v>77328</v>
      </c>
      <c r="C45784" s="2">
        <v>3.1438962618164E-4</v>
      </c>
      <c r="D45784" s="2">
        <v>7.0768318077992694E-5</v>
      </c>
      <c r="E45784" s="2">
        <v>8.6021135392965999E-6</v>
      </c>
      <c r="F45784" s="2">
        <v>2.9140720767554498E-4</v>
      </c>
    </row>
    <row r="45785" spans="1:6" x14ac:dyDescent="0.25">
      <c r="A45785" s="1" t="str">
        <f t="shared" si="1519"/>
        <v>99999</v>
      </c>
      <c r="B45785" s="1" t="str">
        <f>"66853"</f>
        <v>66853</v>
      </c>
      <c r="C45785" s="2">
        <v>2.9555223122447599E-5</v>
      </c>
      <c r="D45785" s="2">
        <v>9.0342533716586405E-6</v>
      </c>
      <c r="E45785" s="2">
        <v>4.3010567696482999E-6</v>
      </c>
      <c r="F45785" s="2">
        <v>2.7630889992940302E-5</v>
      </c>
    </row>
    <row r="45786" spans="1:6" x14ac:dyDescent="0.25">
      <c r="A45786" s="1" t="str">
        <f t="shared" si="1519"/>
        <v>99999</v>
      </c>
      <c r="B45786" s="1" t="str">
        <f>"66945"</f>
        <v>66945</v>
      </c>
      <c r="C45786" s="2">
        <v>6.3116099195556605E-5</v>
      </c>
      <c r="D45786" s="2">
        <v>2.25856334291466E-5</v>
      </c>
      <c r="E45786" s="2">
        <v>1.72042270785932E-5</v>
      </c>
      <c r="F45786" s="2">
        <v>5.9406413484821598E-5</v>
      </c>
    </row>
    <row r="45787" spans="1:6" x14ac:dyDescent="0.25">
      <c r="A45787" s="1" t="str">
        <f t="shared" si="1519"/>
        <v>99999</v>
      </c>
      <c r="B45787" s="1" t="str">
        <f>"66956"</f>
        <v>66956</v>
      </c>
      <c r="C45787" s="2">
        <v>7.2859579345814E-5</v>
      </c>
      <c r="D45787" s="2">
        <v>1.6261656068985501E-4</v>
      </c>
      <c r="E45787" s="2">
        <v>1.07526419241207E-4</v>
      </c>
      <c r="F45787" s="2">
        <v>7.9537490479678093E-5</v>
      </c>
    </row>
    <row r="45788" spans="1:6" x14ac:dyDescent="0.25">
      <c r="A45788" s="1" t="str">
        <f t="shared" si="1519"/>
        <v>99999</v>
      </c>
      <c r="B45788" s="1" t="str">
        <f>"65785"</f>
        <v>65785</v>
      </c>
      <c r="C45788" s="2">
        <v>3.0356353712579802E-4</v>
      </c>
      <c r="D45788" s="2">
        <v>2.7554472783558799E-4</v>
      </c>
      <c r="E45788" s="2">
        <v>2.7096657648784301E-4</v>
      </c>
      <c r="F45788" s="2">
        <v>3.00979337423099E-4</v>
      </c>
    </row>
    <row r="45789" spans="1:6" x14ac:dyDescent="0.25">
      <c r="A45789" s="1" t="str">
        <f t="shared" si="1519"/>
        <v>99999</v>
      </c>
      <c r="B45789" s="1" t="str">
        <f>"66032"</f>
        <v>66032</v>
      </c>
      <c r="C45789" s="2">
        <v>2.5982613734019797E-4</v>
      </c>
      <c r="D45789" s="2">
        <v>4.2009278178212602E-4</v>
      </c>
      <c r="E45789" s="2">
        <v>1.7634332755557999E-4</v>
      </c>
      <c r="F45789" s="2">
        <v>2.6841435993141998E-4</v>
      </c>
    </row>
    <row r="45790" spans="1:6" x14ac:dyDescent="0.25">
      <c r="A45790" s="1" t="str">
        <f t="shared" si="1519"/>
        <v>99999</v>
      </c>
      <c r="B45790" s="1" t="str">
        <f>"65752"</f>
        <v>65752</v>
      </c>
      <c r="C45790" s="2">
        <v>2.4358700375643599E-5</v>
      </c>
      <c r="D45790" s="2">
        <v>1.50570889527644E-6</v>
      </c>
      <c r="E45790" s="2">
        <v>4.3010567696482999E-6</v>
      </c>
      <c r="F45790" s="2">
        <v>2.2400757244276601E-5</v>
      </c>
    </row>
    <row r="45791" spans="1:6" x14ac:dyDescent="0.25">
      <c r="A45791" s="1" t="str">
        <f t="shared" si="1519"/>
        <v>99999</v>
      </c>
      <c r="B45791" s="1" t="str">
        <f>"65667"</f>
        <v>65667</v>
      </c>
      <c r="C45791" s="2">
        <v>1.6802090214666101E-4</v>
      </c>
      <c r="D45791" s="2">
        <v>5.2699811334675399E-5</v>
      </c>
      <c r="E45791" s="2">
        <v>4.7311624466131299E-5</v>
      </c>
      <c r="F45791" s="2">
        <v>1.5769343645970899E-4</v>
      </c>
    </row>
    <row r="45792" spans="1:6" x14ac:dyDescent="0.25">
      <c r="A45792" s="1" t="str">
        <f t="shared" si="1519"/>
        <v>99999</v>
      </c>
      <c r="B45792" s="1" t="str">
        <f>"65711"</f>
        <v>65711</v>
      </c>
      <c r="C45792" s="2">
        <v>5.1986879646151397E-4</v>
      </c>
      <c r="D45792" s="2">
        <v>7.1671743415158498E-4</v>
      </c>
      <c r="E45792" s="2">
        <v>3.13977144184326E-4</v>
      </c>
      <c r="F45792" s="2">
        <v>5.2804604411508399E-4</v>
      </c>
    </row>
    <row r="45793" spans="1:6" x14ac:dyDescent="0.25">
      <c r="A45793" s="1" t="str">
        <f t="shared" si="1519"/>
        <v>99999</v>
      </c>
      <c r="B45793" s="1" t="str">
        <f>"65689"</f>
        <v>65689</v>
      </c>
      <c r="C45793" s="2">
        <v>2.5311396212557698E-4</v>
      </c>
      <c r="D45793" s="2">
        <v>2.1531637202453101E-4</v>
      </c>
      <c r="E45793" s="2">
        <v>5.5913738005427899E-5</v>
      </c>
      <c r="F45793" s="2">
        <v>2.46112284437118E-4</v>
      </c>
    </row>
    <row r="45794" spans="1:6" x14ac:dyDescent="0.25">
      <c r="A45794" s="1" t="str">
        <f t="shared" si="1519"/>
        <v>99999</v>
      </c>
      <c r="B45794" s="1" t="str">
        <f>"65604"</f>
        <v>65604</v>
      </c>
      <c r="C45794" s="2">
        <v>6.3332620976673399E-5</v>
      </c>
      <c r="D45794" s="2">
        <v>1.35513800574879E-5</v>
      </c>
      <c r="E45794" s="2">
        <v>4.3010567696482999E-6</v>
      </c>
      <c r="F45794" s="2">
        <v>5.87156412349981E-5</v>
      </c>
    </row>
    <row r="45795" spans="1:6" x14ac:dyDescent="0.25">
      <c r="A45795" s="1" t="str">
        <f t="shared" si="1519"/>
        <v>99999</v>
      </c>
      <c r="B45795" s="1" t="str">
        <f>"68958"</f>
        <v>68958</v>
      </c>
      <c r="C45795" s="2">
        <v>3.6375659227627798E-5</v>
      </c>
      <c r="D45795" s="2">
        <v>4.5171266858293203E-6</v>
      </c>
      <c r="E45795" s="2">
        <v>3.01073973875381E-5</v>
      </c>
      <c r="F45795" s="2">
        <v>3.4143885491276198E-5</v>
      </c>
    </row>
    <row r="45796" spans="1:6" x14ac:dyDescent="0.25">
      <c r="A45796" s="1" t="str">
        <f t="shared" si="1519"/>
        <v>99999</v>
      </c>
      <c r="B45796" s="1" t="str">
        <f>"69147"</f>
        <v>69147</v>
      </c>
      <c r="C45796" s="2">
        <v>6.4848273444491198E-5</v>
      </c>
      <c r="D45796" s="2">
        <v>1.20456711622115E-5</v>
      </c>
      <c r="E45796" s="2">
        <v>4.3010567696482999E-6</v>
      </c>
      <c r="F45796" s="2">
        <v>5.9998503984670299E-5</v>
      </c>
    </row>
    <row r="45797" spans="1:6" x14ac:dyDescent="0.25">
      <c r="A45797" s="1" t="str">
        <f t="shared" si="1519"/>
        <v>99999</v>
      </c>
      <c r="B45797" s="1" t="str">
        <f>"69301"</f>
        <v>69301</v>
      </c>
      <c r="C45797" s="2">
        <v>5.4087140922984701E-4</v>
      </c>
      <c r="D45797" s="2">
        <v>7.3026881420907295E-4</v>
      </c>
      <c r="E45797" s="2">
        <v>1.1440811007264399E-3</v>
      </c>
      <c r="F45797" s="2">
        <v>5.6712401710509903E-4</v>
      </c>
    </row>
    <row r="45798" spans="1:6" x14ac:dyDescent="0.25">
      <c r="A45798" s="1" t="str">
        <f t="shared" si="1519"/>
        <v>99999</v>
      </c>
      <c r="B45798" s="1" t="str">
        <f>"69023"</f>
        <v>69023</v>
      </c>
      <c r="C45798" s="2">
        <v>2.5008265718994098E-5</v>
      </c>
      <c r="D45798" s="2">
        <v>1.35513800574879E-5</v>
      </c>
      <c r="E45798" s="2">
        <v>4.3010567696482999E-6</v>
      </c>
      <c r="F45798" s="2">
        <v>2.37823017439236E-5</v>
      </c>
    </row>
    <row r="45799" spans="1:6" x14ac:dyDescent="0.25">
      <c r="A45799" s="1" t="str">
        <f t="shared" si="1519"/>
        <v>99999</v>
      </c>
      <c r="B45799" s="1" t="str">
        <f>"69141"</f>
        <v>69141</v>
      </c>
      <c r="C45799" s="2">
        <v>1.9053916738281199E-5</v>
      </c>
      <c r="D45799" s="2">
        <v>1.50570889527644E-6</v>
      </c>
      <c r="E45799" s="2">
        <v>4.3010567696482999E-6</v>
      </c>
      <c r="F45799" s="2">
        <v>1.7565351495512E-5</v>
      </c>
    </row>
    <row r="45800" spans="1:6" x14ac:dyDescent="0.25">
      <c r="A45800" s="1" t="str">
        <f t="shared" si="1519"/>
        <v>99999</v>
      </c>
      <c r="B45800" s="1" t="str">
        <f>"69212"</f>
        <v>69212</v>
      </c>
      <c r="C45800" s="2">
        <v>9.96000193137428E-6</v>
      </c>
      <c r="D45800" s="2">
        <v>1.50570889527644E-6</v>
      </c>
      <c r="E45800" s="2">
        <v>4.3010567696482999E-6</v>
      </c>
      <c r="F45800" s="2">
        <v>9.2760844976299596E-6</v>
      </c>
    </row>
    <row r="45801" spans="1:6" x14ac:dyDescent="0.25">
      <c r="A45801" s="1" t="str">
        <f t="shared" si="1519"/>
        <v>99999</v>
      </c>
      <c r="B45801" s="1" t="str">
        <f>"69133"</f>
        <v>69133</v>
      </c>
      <c r="C45801" s="2">
        <v>2.2626526126708901E-5</v>
      </c>
      <c r="D45801" s="2">
        <v>4.5171266858293203E-6</v>
      </c>
      <c r="E45801" s="2">
        <v>1.29031703089449E-5</v>
      </c>
      <c r="F45801" s="2">
        <v>2.12165762445791E-5</v>
      </c>
    </row>
    <row r="45802" spans="1:6" x14ac:dyDescent="0.25">
      <c r="A45802" s="1" t="str">
        <f t="shared" si="1519"/>
        <v>99999</v>
      </c>
      <c r="B45802" s="1" t="str">
        <f>"69217"</f>
        <v>69217</v>
      </c>
      <c r="C45802" s="2">
        <v>2.9880005794122799E-5</v>
      </c>
      <c r="D45802" s="2">
        <v>3.01141779055288E-6</v>
      </c>
      <c r="E45802" s="2">
        <v>4.3010567696482999E-6</v>
      </c>
      <c r="F45802" s="2">
        <v>2.7532208242965501E-5</v>
      </c>
    </row>
    <row r="45803" spans="1:6" x14ac:dyDescent="0.25">
      <c r="A45803" s="1" t="str">
        <f t="shared" si="1519"/>
        <v>99999</v>
      </c>
      <c r="B45803" s="1" t="str">
        <f>"68879"</f>
        <v>68879</v>
      </c>
      <c r="C45803" s="2">
        <v>2.1327395440007902E-5</v>
      </c>
      <c r="D45803" s="2">
        <v>1.50570889527644E-5</v>
      </c>
      <c r="E45803" s="2">
        <v>4.3010567696482999E-6</v>
      </c>
      <c r="F45803" s="2">
        <v>2.0525803994755599E-5</v>
      </c>
    </row>
    <row r="45804" spans="1:6" x14ac:dyDescent="0.25">
      <c r="A45804" s="1" t="str">
        <f t="shared" si="1519"/>
        <v>99999</v>
      </c>
      <c r="B45804" s="1" t="str">
        <f>"68948"</f>
        <v>68948</v>
      </c>
      <c r="C45804" s="2">
        <v>7.1452187768554602E-6</v>
      </c>
      <c r="D45804" s="2">
        <v>1.50570889527644E-6</v>
      </c>
      <c r="E45804" s="2">
        <v>4.3010567696482999E-6</v>
      </c>
      <c r="F45804" s="2">
        <v>6.7103589982854999E-6</v>
      </c>
    </row>
    <row r="45805" spans="1:6" x14ac:dyDescent="0.25">
      <c r="A45805" s="1" t="str">
        <f t="shared" si="1519"/>
        <v>99999</v>
      </c>
      <c r="B45805" s="1" t="str">
        <f>"69028"</f>
        <v>69028</v>
      </c>
      <c r="C45805" s="2">
        <v>3.8107833476562398E-5</v>
      </c>
      <c r="D45805" s="2">
        <v>1.20456711622115E-5</v>
      </c>
      <c r="E45805" s="2">
        <v>3.01073973875381E-5</v>
      </c>
      <c r="F45805" s="2">
        <v>3.6216202240746699E-5</v>
      </c>
    </row>
    <row r="45806" spans="1:6" x14ac:dyDescent="0.25">
      <c r="A45806" s="1" t="str">
        <f t="shared" si="1519"/>
        <v>99999</v>
      </c>
      <c r="B45806" s="1" t="str">
        <f>"69152"</f>
        <v>69152</v>
      </c>
      <c r="C45806" s="2">
        <v>4.6768704721235703E-5</v>
      </c>
      <c r="D45806" s="2">
        <v>9.0342533716586405E-6</v>
      </c>
      <c r="E45806" s="2">
        <v>2.15052838482415E-5</v>
      </c>
      <c r="F45806" s="2">
        <v>4.3716015238830501E-5</v>
      </c>
    </row>
    <row r="45807" spans="1:6" x14ac:dyDescent="0.25">
      <c r="A45807" s="1" t="str">
        <f t="shared" si="1519"/>
        <v>99999</v>
      </c>
      <c r="B45807" s="1" t="str">
        <f>"69340"</f>
        <v>69340</v>
      </c>
      <c r="C45807" s="2">
        <v>9.4186974785821993E-6</v>
      </c>
      <c r="D45807" s="2">
        <v>6.0228355811057601E-6</v>
      </c>
      <c r="E45807" s="2">
        <v>4.3010567696482999E-6</v>
      </c>
      <c r="F45807" s="2">
        <v>9.0787209976803807E-6</v>
      </c>
    </row>
    <row r="45808" spans="1:6" x14ac:dyDescent="0.25">
      <c r="A45808" s="1" t="str">
        <f t="shared" si="1519"/>
        <v>99999</v>
      </c>
      <c r="B45808" s="1" t="str">
        <f>"69343"</f>
        <v>69343</v>
      </c>
      <c r="C45808" s="2">
        <v>1.43445679989901E-4</v>
      </c>
      <c r="D45808" s="2">
        <v>2.3338487876784801E-4</v>
      </c>
      <c r="E45808" s="2">
        <v>1.11827476010855E-4</v>
      </c>
      <c r="F45808" s="2">
        <v>1.4861471546202801E-4</v>
      </c>
    </row>
    <row r="45809" spans="1:6" x14ac:dyDescent="0.25">
      <c r="A45809" s="1" t="str">
        <f t="shared" si="1519"/>
        <v>99999</v>
      </c>
      <c r="B45809" s="1" t="str">
        <f>"69122"</f>
        <v>69122</v>
      </c>
      <c r="C45809" s="2">
        <v>4.0489573068847603E-5</v>
      </c>
      <c r="D45809" s="2">
        <v>4.6676975753569603E-5</v>
      </c>
      <c r="E45809" s="2">
        <v>1.29031703089449E-5</v>
      </c>
      <c r="F45809" s="2">
        <v>4.0262153989712998E-5</v>
      </c>
    </row>
    <row r="45810" spans="1:6" x14ac:dyDescent="0.25">
      <c r="A45810" s="1" t="str">
        <f t="shared" si="1519"/>
        <v>99999</v>
      </c>
      <c r="B45810" s="1" t="str">
        <f>"68935"</f>
        <v>68935</v>
      </c>
      <c r="C45810" s="2">
        <v>3.2370006276966397E-5</v>
      </c>
      <c r="D45810" s="2">
        <v>1.35513800574879E-5</v>
      </c>
      <c r="E45810" s="2">
        <v>2.15052838482415E-5</v>
      </c>
      <c r="F45810" s="2">
        <v>3.0887387742108201E-5</v>
      </c>
    </row>
    <row r="45811" spans="1:6" x14ac:dyDescent="0.25">
      <c r="A45811" s="1" t="str">
        <f t="shared" si="1519"/>
        <v>99999</v>
      </c>
      <c r="B45811" s="1" t="str">
        <f>"69168"</f>
        <v>69168</v>
      </c>
      <c r="C45811" s="2">
        <v>1.3749133100918801E-5</v>
      </c>
      <c r="D45811" s="2">
        <v>1.50570889527644E-5</v>
      </c>
      <c r="E45811" s="2">
        <v>4.3010567696482999E-6</v>
      </c>
      <c r="F45811" s="2">
        <v>1.3618081496520501E-5</v>
      </c>
    </row>
    <row r="45812" spans="1:6" x14ac:dyDescent="0.25">
      <c r="A45812" s="1" t="str">
        <f t="shared" si="1519"/>
        <v>99999</v>
      </c>
      <c r="B45812" s="1" t="str">
        <f>"69348"</f>
        <v>69348</v>
      </c>
      <c r="C45812" s="2">
        <v>7.13439268779962E-5</v>
      </c>
      <c r="D45812" s="2">
        <v>7.6791153659098402E-5</v>
      </c>
      <c r="E45812" s="2">
        <v>6.8816908314372799E-5</v>
      </c>
      <c r="F45812" s="2">
        <v>7.1642950481695197E-5</v>
      </c>
    </row>
    <row r="45813" spans="1:6" x14ac:dyDescent="0.25">
      <c r="A45813" s="1" t="str">
        <f t="shared" si="1519"/>
        <v>99999</v>
      </c>
      <c r="B45813" s="1" t="str">
        <f>"71001"</f>
        <v>71001</v>
      </c>
      <c r="C45813" s="2">
        <v>2.2258439098810299E-4</v>
      </c>
      <c r="D45813" s="2">
        <v>4.4418412410654901E-4</v>
      </c>
      <c r="E45813" s="2">
        <v>2.9247186033608399E-4</v>
      </c>
      <c r="F45813" s="2">
        <v>2.3871115318900899E-4</v>
      </c>
    </row>
    <row r="45814" spans="1:6" x14ac:dyDescent="0.25">
      <c r="A45814" s="1" t="str">
        <f t="shared" si="1519"/>
        <v>99999</v>
      </c>
      <c r="B45814" s="1" t="str">
        <f>"71048"</f>
        <v>71048</v>
      </c>
      <c r="C45814" s="2">
        <v>6.2791316523881298E-6</v>
      </c>
      <c r="D45814" s="2">
        <v>3.01141779055288E-6</v>
      </c>
      <c r="E45814" s="2">
        <v>4.3010567696482999E-6</v>
      </c>
      <c r="F45814" s="2">
        <v>6.0195867484619901E-6</v>
      </c>
    </row>
    <row r="45815" spans="1:6" x14ac:dyDescent="0.25">
      <c r="A45815" s="1" t="str">
        <f t="shared" si="1519"/>
        <v>99999</v>
      </c>
      <c r="B45815" s="1" t="str">
        <f>"70515"</f>
        <v>70515</v>
      </c>
      <c r="C45815" s="2">
        <v>7.2534796674138803E-5</v>
      </c>
      <c r="D45815" s="2">
        <v>2.7102760114975901E-5</v>
      </c>
      <c r="E45815" s="2">
        <v>3.01073973875381E-5</v>
      </c>
      <c r="F45815" s="2">
        <v>6.8583816232476794E-5</v>
      </c>
    </row>
    <row r="45816" spans="1:6" x14ac:dyDescent="0.25">
      <c r="A45816" s="1" t="str">
        <f t="shared" si="1519"/>
        <v>99999</v>
      </c>
      <c r="B45816" s="1" t="str">
        <f>"70586"</f>
        <v>70586</v>
      </c>
      <c r="C45816" s="2">
        <v>9.8398323428544403E-4</v>
      </c>
      <c r="D45816" s="2">
        <v>1.11723600029511E-3</v>
      </c>
      <c r="E45816" s="2">
        <v>5.1182575558814797E-4</v>
      </c>
      <c r="F45816" s="2">
        <v>9.8188341224912808E-4</v>
      </c>
    </row>
    <row r="45817" spans="1:6" x14ac:dyDescent="0.25">
      <c r="A45817" s="1" t="str">
        <f t="shared" si="1519"/>
        <v>99999</v>
      </c>
      <c r="B45817" s="1" t="str">
        <f>"68635"</f>
        <v>68635</v>
      </c>
      <c r="C45817" s="2">
        <v>3.1395658261940602E-5</v>
      </c>
      <c r="D45817" s="2">
        <v>1.50570889527644E-6</v>
      </c>
      <c r="E45817" s="2">
        <v>2.58063406178898E-5</v>
      </c>
      <c r="F45817" s="2">
        <v>2.9308479742511601E-5</v>
      </c>
    </row>
    <row r="45818" spans="1:6" x14ac:dyDescent="0.25">
      <c r="A45818" s="1" t="str">
        <f t="shared" si="1519"/>
        <v>99999</v>
      </c>
      <c r="B45818" s="1" t="str">
        <f>"68784"</f>
        <v>68784</v>
      </c>
      <c r="C45818" s="2">
        <v>2.74982662018377E-5</v>
      </c>
      <c r="D45818" s="2">
        <v>1.9574215638593701E-5</v>
      </c>
      <c r="E45818" s="2">
        <v>4.3010567696482999E-6</v>
      </c>
      <c r="F45818" s="2">
        <v>2.6446708993242801E-5</v>
      </c>
    </row>
    <row r="45819" spans="1:6" x14ac:dyDescent="0.25">
      <c r="A45819" s="1" t="str">
        <f t="shared" si="1519"/>
        <v>99999</v>
      </c>
      <c r="B45819" s="1" t="str">
        <f>"68633"</f>
        <v>68633</v>
      </c>
      <c r="C45819" s="2">
        <v>1.24500024142178E-5</v>
      </c>
      <c r="D45819" s="2">
        <v>6.0228355811057601E-6</v>
      </c>
      <c r="E45819" s="2">
        <v>4.3010567696482999E-6</v>
      </c>
      <c r="F45819" s="2">
        <v>1.18418099969744E-5</v>
      </c>
    </row>
    <row r="45820" spans="1:6" x14ac:dyDescent="0.25">
      <c r="A45820" s="1" t="str">
        <f t="shared" si="1519"/>
        <v>99999</v>
      </c>
      <c r="B45820" s="1" t="str">
        <f>"68638"</f>
        <v>68638</v>
      </c>
      <c r="C45820" s="2">
        <v>1.04038715826637E-4</v>
      </c>
      <c r="D45820" s="2">
        <v>4.2159849067740298E-5</v>
      </c>
      <c r="E45820" s="2">
        <v>3.44084541571864E-5</v>
      </c>
      <c r="F45820" s="2">
        <v>9.8385704724862397E-5</v>
      </c>
    </row>
    <row r="45821" spans="1:6" x14ac:dyDescent="0.25">
      <c r="A45821" s="1" t="str">
        <f t="shared" si="1519"/>
        <v>99999</v>
      </c>
      <c r="B45821" s="1" t="str">
        <f>"68780"</f>
        <v>68780</v>
      </c>
      <c r="C45821" s="2">
        <v>5.1099140343572402E-5</v>
      </c>
      <c r="D45821" s="2">
        <v>3.1619886800805203E-5</v>
      </c>
      <c r="E45821" s="2">
        <v>6.4515851544724506E-5</v>
      </c>
      <c r="F45821" s="2">
        <v>5.0130328987191699E-5</v>
      </c>
    </row>
    <row r="45822" spans="1:6" x14ac:dyDescent="0.25">
      <c r="A45822" s="1" t="str">
        <f t="shared" si="1519"/>
        <v>99999</v>
      </c>
      <c r="B45822" s="1" t="str">
        <f>"68761"</f>
        <v>68761</v>
      </c>
      <c r="C45822" s="2">
        <v>2.5224787500110899E-5</v>
      </c>
      <c r="D45822" s="2">
        <v>1.20456711622115E-5</v>
      </c>
      <c r="E45822" s="2">
        <v>0</v>
      </c>
      <c r="F45822" s="2">
        <v>2.37823017439236E-5</v>
      </c>
    </row>
    <row r="45823" spans="1:6" x14ac:dyDescent="0.25">
      <c r="A45823" s="1" t="str">
        <f t="shared" si="1519"/>
        <v>99999</v>
      </c>
      <c r="B45823" s="1" t="str">
        <f>"68773"</f>
        <v>68773</v>
      </c>
      <c r="C45823" s="2">
        <v>1.2233480633101E-5</v>
      </c>
      <c r="D45823" s="2">
        <v>7.5285444763821999E-6</v>
      </c>
      <c r="E45823" s="2">
        <v>0</v>
      </c>
      <c r="F45823" s="2">
        <v>1.1644446497024801E-5</v>
      </c>
    </row>
    <row r="45824" spans="1:6" x14ac:dyDescent="0.25">
      <c r="A45824" s="1" t="str">
        <f t="shared" si="1519"/>
        <v>99999</v>
      </c>
      <c r="B45824" s="1" t="str">
        <f>"68301"</f>
        <v>68301</v>
      </c>
      <c r="C45824" s="2">
        <v>9.0939148069069495E-6</v>
      </c>
      <c r="D45824" s="2">
        <v>0</v>
      </c>
      <c r="E45824" s="2">
        <v>0</v>
      </c>
      <c r="F45824" s="2">
        <v>8.2892669978820908E-6</v>
      </c>
    </row>
    <row r="45825" spans="1:6" x14ac:dyDescent="0.25">
      <c r="A45825" s="1" t="str">
        <f t="shared" si="1519"/>
        <v>99999</v>
      </c>
      <c r="B45825" s="1" t="str">
        <f>"68335"</f>
        <v>68335</v>
      </c>
      <c r="C45825" s="2">
        <v>2.7931309764071301E-5</v>
      </c>
      <c r="D45825" s="2">
        <v>1.50570889527644E-5</v>
      </c>
      <c r="E45825" s="2">
        <v>4.3010567696482999E-6</v>
      </c>
      <c r="F45825" s="2">
        <v>2.6545390743217599E-5</v>
      </c>
    </row>
    <row r="45826" spans="1:6" x14ac:dyDescent="0.25">
      <c r="A45826" s="1" t="str">
        <f t="shared" si="1519"/>
        <v>99999</v>
      </c>
      <c r="B45826" s="1" t="str">
        <f>"68448"</f>
        <v>68448</v>
      </c>
      <c r="C45826" s="2">
        <v>2.29513087983842E-5</v>
      </c>
      <c r="D45826" s="2">
        <v>0</v>
      </c>
      <c r="E45826" s="2">
        <v>4.3010567696482999E-6</v>
      </c>
      <c r="F45826" s="2">
        <v>2.10192127446295E-5</v>
      </c>
    </row>
    <row r="45827" spans="1:6" x14ac:dyDescent="0.25">
      <c r="A45827" s="1" t="str">
        <f t="shared" si="1519"/>
        <v>99999</v>
      </c>
      <c r="B45827" s="1" t="str">
        <f>"68348"</f>
        <v>68348</v>
      </c>
      <c r="C45827" s="2">
        <v>1.7971307832697E-5</v>
      </c>
      <c r="D45827" s="2">
        <v>3.01141779055288E-6</v>
      </c>
      <c r="E45827" s="2">
        <v>4.3010567696482999E-6</v>
      </c>
      <c r="F45827" s="2">
        <v>1.6677215745738901E-5</v>
      </c>
    </row>
    <row r="45828" spans="1:6" x14ac:dyDescent="0.25">
      <c r="A45828" s="1" t="str">
        <f t="shared" si="1519"/>
        <v>99999</v>
      </c>
      <c r="B45828" s="1" t="str">
        <f>"68406"</f>
        <v>68406</v>
      </c>
      <c r="C45828" s="2">
        <v>2.82560924357466E-5</v>
      </c>
      <c r="D45828" s="2">
        <v>3.31255956960816E-5</v>
      </c>
      <c r="E45828" s="2">
        <v>1.72042270785932E-5</v>
      </c>
      <c r="F45828" s="2">
        <v>2.83216622427638E-5</v>
      </c>
    </row>
    <row r="45829" spans="1:6" x14ac:dyDescent="0.25">
      <c r="A45829" s="1" t="str">
        <f t="shared" si="1519"/>
        <v>99999</v>
      </c>
      <c r="B45829" s="1" t="str">
        <f>"68457"</f>
        <v>68457</v>
      </c>
      <c r="C45829" s="2">
        <v>1.86208731760475E-5</v>
      </c>
      <c r="D45829" s="2">
        <v>6.0228355811057601E-6</v>
      </c>
      <c r="E45829" s="2">
        <v>4.3010567696482999E-6</v>
      </c>
      <c r="F45829" s="2">
        <v>1.7466669745537199E-5</v>
      </c>
    </row>
    <row r="45830" spans="1:6" x14ac:dyDescent="0.25">
      <c r="A45830" s="1" t="str">
        <f t="shared" ref="A45830:A45893" si="1520">"99999"</f>
        <v>99999</v>
      </c>
      <c r="B45830" s="1" t="str">
        <f>"72160"</f>
        <v>72160</v>
      </c>
      <c r="C45830" s="2">
        <v>7.0596926733143095E-4</v>
      </c>
      <c r="D45830" s="2">
        <v>1.367183676911E-3</v>
      </c>
      <c r="E45830" s="2">
        <v>5.4623420974533399E-4</v>
      </c>
      <c r="F45830" s="2">
        <v>7.4563930280948905E-4</v>
      </c>
    </row>
    <row r="45831" spans="1:6" x14ac:dyDescent="0.25">
      <c r="A45831" s="1" t="str">
        <f t="shared" si="1520"/>
        <v>99999</v>
      </c>
      <c r="B45831" s="1" t="str">
        <f>"72084"</f>
        <v>72084</v>
      </c>
      <c r="C45831" s="2">
        <v>1.5373046459294999E-5</v>
      </c>
      <c r="D45831" s="2">
        <v>6.0228355811057601E-6</v>
      </c>
      <c r="E45831" s="2">
        <v>0</v>
      </c>
      <c r="F45831" s="2">
        <v>1.4407535496318799E-5</v>
      </c>
    </row>
    <row r="45832" spans="1:6" x14ac:dyDescent="0.25">
      <c r="A45832" s="1" t="str">
        <f t="shared" si="1520"/>
        <v>99999</v>
      </c>
      <c r="B45832" s="1" t="str">
        <f>"71842"</f>
        <v>71842</v>
      </c>
      <c r="C45832" s="2">
        <v>8.7583060461758597E-5</v>
      </c>
      <c r="D45832" s="2">
        <v>1.20456711622115E-5</v>
      </c>
      <c r="E45832" s="2">
        <v>1.29031703089449E-5</v>
      </c>
      <c r="F45832" s="2">
        <v>8.0919034979325103E-5</v>
      </c>
    </row>
    <row r="45833" spans="1:6" x14ac:dyDescent="0.25">
      <c r="A45833" s="1" t="str">
        <f t="shared" si="1520"/>
        <v>99999</v>
      </c>
      <c r="B45833" s="1" t="str">
        <f>"72021"</f>
        <v>72021</v>
      </c>
      <c r="C45833" s="2">
        <v>2.5257265767278402E-4</v>
      </c>
      <c r="D45833" s="2">
        <v>4.9086109986011897E-4</v>
      </c>
      <c r="E45833" s="2">
        <v>4.7311624466131301E-4</v>
      </c>
      <c r="F45833" s="2">
        <v>2.7324976568018401E-4</v>
      </c>
    </row>
    <row r="45834" spans="1:6" x14ac:dyDescent="0.25">
      <c r="A45834" s="1" t="str">
        <f t="shared" si="1520"/>
        <v>99999</v>
      </c>
      <c r="B45834" s="1" t="str">
        <f>"71943"</f>
        <v>71943</v>
      </c>
      <c r="C45834" s="2">
        <v>2.2388352167480399E-4</v>
      </c>
      <c r="D45834" s="2">
        <v>3.16198868008052E-4</v>
      </c>
      <c r="E45834" s="2">
        <v>1.2903170308944901E-4</v>
      </c>
      <c r="F45834" s="2">
        <v>2.2775747894180701E-4</v>
      </c>
    </row>
    <row r="45835" spans="1:6" x14ac:dyDescent="0.25">
      <c r="A45835" s="1" t="str">
        <f t="shared" si="1520"/>
        <v>99999</v>
      </c>
      <c r="B45835" s="1" t="str">
        <f>"72031"</f>
        <v>72031</v>
      </c>
      <c r="C45835" s="2">
        <v>4.88473138199573E-4</v>
      </c>
      <c r="D45835" s="2">
        <v>6.2486919153972203E-4</v>
      </c>
      <c r="E45835" s="2">
        <v>2.2795600879136E-4</v>
      </c>
      <c r="F45835" s="2">
        <v>4.9143511487443801E-4</v>
      </c>
    </row>
    <row r="45836" spans="1:6" x14ac:dyDescent="0.25">
      <c r="A45836" s="1" t="str">
        <f t="shared" si="1520"/>
        <v>99999</v>
      </c>
      <c r="B45836" s="1" t="str">
        <f>"72958"</f>
        <v>72958</v>
      </c>
      <c r="C45836" s="2">
        <v>5.1261531679409997E-4</v>
      </c>
      <c r="D45836" s="2">
        <v>3.19210285798605E-4</v>
      </c>
      <c r="E45836" s="2">
        <v>1.5483804370733801E-4</v>
      </c>
      <c r="F45836" s="2">
        <v>4.9173116012436204E-4</v>
      </c>
    </row>
    <row r="45837" spans="1:6" x14ac:dyDescent="0.25">
      <c r="A45837" s="1" t="str">
        <f t="shared" si="1520"/>
        <v>99999</v>
      </c>
      <c r="B45837" s="1" t="str">
        <f>"72944"</f>
        <v>72944</v>
      </c>
      <c r="C45837" s="2">
        <v>5.4780010622558498E-5</v>
      </c>
      <c r="D45837" s="2">
        <v>2.8608469010252301E-5</v>
      </c>
      <c r="E45837" s="2">
        <v>2.58063406178898E-5</v>
      </c>
      <c r="F45837" s="2">
        <v>5.2400009236611699E-5</v>
      </c>
    </row>
    <row r="45838" spans="1:6" x14ac:dyDescent="0.25">
      <c r="A45838" s="1" t="str">
        <f t="shared" si="1520"/>
        <v>99999</v>
      </c>
      <c r="B45838" s="1" t="str">
        <f>"73006"</f>
        <v>73006</v>
      </c>
      <c r="C45838" s="2">
        <v>8.2819581277188297E-5</v>
      </c>
      <c r="D45838" s="2">
        <v>1.65627978480408E-5</v>
      </c>
      <c r="E45838" s="2">
        <v>4.3010567696482999E-6</v>
      </c>
      <c r="F45838" s="2">
        <v>7.6675719730409298E-5</v>
      </c>
    </row>
    <row r="45839" spans="1:6" x14ac:dyDescent="0.25">
      <c r="A45839" s="1" t="str">
        <f t="shared" si="1520"/>
        <v>99999</v>
      </c>
      <c r="B45839" s="1" t="str">
        <f>"73030"</f>
        <v>73030</v>
      </c>
      <c r="C45839" s="2">
        <v>2.3600874141734701E-4</v>
      </c>
      <c r="D45839" s="2">
        <v>3.7943864160966298E-4</v>
      </c>
      <c r="E45839" s="2">
        <v>2.3655812233065599E-4</v>
      </c>
      <c r="F45839" s="2">
        <v>2.45421512187294E-4</v>
      </c>
    </row>
    <row r="45840" spans="1:6" x14ac:dyDescent="0.25">
      <c r="A45840" s="1" t="str">
        <f t="shared" si="1520"/>
        <v>99999</v>
      </c>
      <c r="B45840" s="1" t="str">
        <f>"72543"</f>
        <v>72543</v>
      </c>
      <c r="C45840" s="2">
        <v>7.9799102430608499E-4</v>
      </c>
      <c r="D45840" s="2">
        <v>1.1036846202376301E-3</v>
      </c>
      <c r="E45840" s="2">
        <v>3.39783484802215E-4</v>
      </c>
      <c r="F45840" s="2">
        <v>8.0751276004368004E-4</v>
      </c>
    </row>
    <row r="45841" spans="1:6" x14ac:dyDescent="0.25">
      <c r="A45841" s="1" t="str">
        <f t="shared" si="1520"/>
        <v>99999</v>
      </c>
      <c r="B45841" s="1" t="str">
        <f>"72633"</f>
        <v>72633</v>
      </c>
      <c r="C45841" s="2">
        <v>4.1139138412198099E-5</v>
      </c>
      <c r="D45841" s="2">
        <v>4.5171266858293203E-6</v>
      </c>
      <c r="E45841" s="2">
        <v>0</v>
      </c>
      <c r="F45841" s="2">
        <v>3.7795110240343302E-5</v>
      </c>
    </row>
    <row r="45842" spans="1:6" x14ac:dyDescent="0.25">
      <c r="A45842" s="1" t="str">
        <f t="shared" si="1520"/>
        <v>99999</v>
      </c>
      <c r="B45842" s="1" t="str">
        <f>"72645"</f>
        <v>72645</v>
      </c>
      <c r="C45842" s="2">
        <v>1.6000959624533901E-4</v>
      </c>
      <c r="D45842" s="2">
        <v>2.8608469010252301E-5</v>
      </c>
      <c r="E45842" s="2">
        <v>1.72042270785932E-5</v>
      </c>
      <c r="F45842" s="2">
        <v>1.48121306712155E-4</v>
      </c>
    </row>
    <row r="45843" spans="1:6" x14ac:dyDescent="0.25">
      <c r="A45843" s="1" t="str">
        <f t="shared" si="1520"/>
        <v>99999</v>
      </c>
      <c r="B45843" s="1" t="str">
        <f>"72835"</f>
        <v>72835</v>
      </c>
      <c r="C45843" s="2">
        <v>4.5253052253417903E-5</v>
      </c>
      <c r="D45843" s="2">
        <v>1.20456711622115E-5</v>
      </c>
      <c r="E45843" s="2">
        <v>4.3010567696482999E-6</v>
      </c>
      <c r="F45843" s="2">
        <v>4.2137107239233898E-5</v>
      </c>
    </row>
    <row r="45844" spans="1:6" x14ac:dyDescent="0.25">
      <c r="A45844" s="1" t="str">
        <f t="shared" si="1520"/>
        <v>99999</v>
      </c>
      <c r="B45844" s="1" t="str">
        <f>"72368"</f>
        <v>72368</v>
      </c>
      <c r="C45844" s="2">
        <v>7.1127405096879407E-5</v>
      </c>
      <c r="D45844" s="2">
        <v>1.65627978480408E-5</v>
      </c>
      <c r="E45844" s="2">
        <v>4.3010567696482999E-6</v>
      </c>
      <c r="F45844" s="2">
        <v>6.6018090733132301E-5</v>
      </c>
    </row>
    <row r="45845" spans="1:6" x14ac:dyDescent="0.25">
      <c r="A45845" s="1" t="str">
        <f t="shared" si="1520"/>
        <v>99999</v>
      </c>
      <c r="B45845" s="1" t="str">
        <f>"71638"</f>
        <v>71638</v>
      </c>
      <c r="C45845" s="2">
        <v>2.1414004152454699E-4</v>
      </c>
      <c r="D45845" s="2">
        <v>2.7554472783558799E-4</v>
      </c>
      <c r="E45845" s="2">
        <v>6.8816908314372799E-5</v>
      </c>
      <c r="F45845" s="2">
        <v>2.1483016969510999E-4</v>
      </c>
    </row>
    <row r="45846" spans="1:6" x14ac:dyDescent="0.25">
      <c r="A45846" s="1" t="str">
        <f t="shared" si="1520"/>
        <v>99999</v>
      </c>
      <c r="B45846" s="1" t="str">
        <f>"71675"</f>
        <v>71675</v>
      </c>
      <c r="C45846" s="2">
        <v>9.5377844581964605E-5</v>
      </c>
      <c r="D45846" s="2">
        <v>2.4091342324423E-5</v>
      </c>
      <c r="E45846" s="2">
        <v>4.3010567696482999E-6</v>
      </c>
      <c r="F45846" s="2">
        <v>8.8616211477358499E-5</v>
      </c>
    </row>
    <row r="45847" spans="1:6" x14ac:dyDescent="0.25">
      <c r="A45847" s="1" t="str">
        <f t="shared" si="1520"/>
        <v>99999</v>
      </c>
      <c r="B45847" s="1" t="str">
        <f>"71631"</f>
        <v>71631</v>
      </c>
      <c r="C45847" s="2">
        <v>3.5184789431485203E-5</v>
      </c>
      <c r="D45847" s="2">
        <v>4.5171266858293203E-6</v>
      </c>
      <c r="E45847" s="2">
        <v>4.3010567696482999E-6</v>
      </c>
      <c r="F45847" s="2">
        <v>3.2466295741704798E-5</v>
      </c>
    </row>
    <row r="45848" spans="1:6" x14ac:dyDescent="0.25">
      <c r="A45848" s="1" t="str">
        <f t="shared" si="1520"/>
        <v>99999</v>
      </c>
      <c r="B45848" s="1" t="str">
        <f>"71362"</f>
        <v>71362</v>
      </c>
      <c r="C45848" s="2">
        <v>8.82326258051091E-5</v>
      </c>
      <c r="D45848" s="2">
        <v>1.20456711622115E-5</v>
      </c>
      <c r="E45848" s="2">
        <v>1.29031703089449E-5</v>
      </c>
      <c r="F45848" s="2">
        <v>8.1511125479173899E-5</v>
      </c>
    </row>
    <row r="45849" spans="1:6" x14ac:dyDescent="0.25">
      <c r="A45849" s="1" t="str">
        <f t="shared" si="1520"/>
        <v>99999</v>
      </c>
      <c r="B45849" s="1" t="str">
        <f>"64861"</f>
        <v>64861</v>
      </c>
      <c r="C45849" s="2">
        <v>6.4848273444491198E-5</v>
      </c>
      <c r="D45849" s="2">
        <v>2.55970512196994E-5</v>
      </c>
      <c r="E45849" s="2">
        <v>4.3010567696482999E-6</v>
      </c>
      <c r="F45849" s="2">
        <v>6.0886639734443397E-5</v>
      </c>
    </row>
    <row r="45850" spans="1:6" x14ac:dyDescent="0.25">
      <c r="A45850" s="1" t="str">
        <f t="shared" si="1520"/>
        <v>99999</v>
      </c>
      <c r="B45850" s="1" t="str">
        <f>"64424"</f>
        <v>64424</v>
      </c>
      <c r="C45850" s="2">
        <v>2.36117002307905E-4</v>
      </c>
      <c r="D45850" s="2">
        <v>4.6676975753569603E-4</v>
      </c>
      <c r="E45850" s="2">
        <v>1.2042958955015201E-4</v>
      </c>
      <c r="F45850" s="2">
        <v>2.4857932818648701E-4</v>
      </c>
    </row>
    <row r="45851" spans="1:6" x14ac:dyDescent="0.25">
      <c r="A45851" s="1" t="str">
        <f t="shared" si="1520"/>
        <v>99999</v>
      </c>
      <c r="B45851" s="1" t="str">
        <f>"64470"</f>
        <v>64470</v>
      </c>
      <c r="C45851" s="2">
        <v>9.25630614274458E-5</v>
      </c>
      <c r="D45851" s="2">
        <v>1.97247865281213E-4</v>
      </c>
      <c r="E45851" s="2">
        <v>5.1612681235779599E-5</v>
      </c>
      <c r="F45851" s="2">
        <v>9.8484386474837201E-5</v>
      </c>
    </row>
    <row r="45852" spans="1:6" x14ac:dyDescent="0.25">
      <c r="A45852" s="1" t="str">
        <f t="shared" si="1520"/>
        <v>99999</v>
      </c>
      <c r="B45852" s="1" t="str">
        <f>"64641"</f>
        <v>64641</v>
      </c>
      <c r="C45852" s="2">
        <v>3.5617832993718898E-5</v>
      </c>
      <c r="D45852" s="2">
        <v>9.0342533716586405E-6</v>
      </c>
      <c r="E45852" s="2">
        <v>1.29031703089449E-5</v>
      </c>
      <c r="F45852" s="2">
        <v>3.3354431491477903E-5</v>
      </c>
    </row>
    <row r="45853" spans="1:6" x14ac:dyDescent="0.25">
      <c r="A45853" s="1" t="str">
        <f t="shared" si="1520"/>
        <v>99999</v>
      </c>
      <c r="B45853" s="1" t="str">
        <f>"64499"</f>
        <v>64499</v>
      </c>
      <c r="C45853" s="2">
        <v>1.39656548820356E-5</v>
      </c>
      <c r="D45853" s="2">
        <v>3.01141779055288E-6</v>
      </c>
      <c r="E45853" s="2">
        <v>4.3010567696482999E-5</v>
      </c>
      <c r="F45853" s="2">
        <v>1.39141267464449E-5</v>
      </c>
    </row>
    <row r="45854" spans="1:6" x14ac:dyDescent="0.25">
      <c r="A45854" s="1" t="str">
        <f t="shared" si="1520"/>
        <v>99999</v>
      </c>
      <c r="B45854" s="1" t="str">
        <f>"64769"</f>
        <v>64769</v>
      </c>
      <c r="C45854" s="2">
        <v>2.69569617490456E-5</v>
      </c>
      <c r="D45854" s="2">
        <v>9.0342533716586405E-6</v>
      </c>
      <c r="E45854" s="2">
        <v>2.58063406178898E-5</v>
      </c>
      <c r="F45854" s="2">
        <v>2.57559367434193E-5</v>
      </c>
    </row>
    <row r="45855" spans="1:6" x14ac:dyDescent="0.25">
      <c r="A45855" s="1" t="str">
        <f t="shared" si="1520"/>
        <v>99999</v>
      </c>
      <c r="B45855" s="1" t="str">
        <f>"64466"</f>
        <v>64466</v>
      </c>
      <c r="C45855" s="2">
        <v>2.6199135515136701E-5</v>
      </c>
      <c r="D45855" s="2">
        <v>1.20456711622115E-5</v>
      </c>
      <c r="E45855" s="2">
        <v>2.15052838482415E-5</v>
      </c>
      <c r="F45855" s="2">
        <v>2.5163846243570599E-5</v>
      </c>
    </row>
    <row r="45856" spans="1:6" x14ac:dyDescent="0.25">
      <c r="A45856" s="1" t="str">
        <f t="shared" si="1520"/>
        <v>99999</v>
      </c>
      <c r="B45856" s="1" t="str">
        <f>"64642"</f>
        <v>64642</v>
      </c>
      <c r="C45856" s="2">
        <v>5.3697401716974401E-5</v>
      </c>
      <c r="D45856" s="2">
        <v>6.3239773601610501E-5</v>
      </c>
      <c r="E45856" s="2">
        <v>1.29031703089449E-5</v>
      </c>
      <c r="F45856" s="2">
        <v>5.3386826736359602E-5</v>
      </c>
    </row>
    <row r="45857" spans="1:6" x14ac:dyDescent="0.25">
      <c r="A45857" s="1" t="str">
        <f t="shared" si="1520"/>
        <v>99999</v>
      </c>
      <c r="B45857" s="1" t="str">
        <f>"64670"</f>
        <v>64670</v>
      </c>
      <c r="C45857" s="2">
        <v>5.7919576448752602E-5</v>
      </c>
      <c r="D45857" s="2">
        <v>4.0654140172463799E-5</v>
      </c>
      <c r="E45857" s="2">
        <v>1.72042270785932E-5</v>
      </c>
      <c r="F45857" s="2">
        <v>5.5853870485729297E-5</v>
      </c>
    </row>
    <row r="45858" spans="1:6" x14ac:dyDescent="0.25">
      <c r="A45858" s="1" t="str">
        <f t="shared" si="1520"/>
        <v>99999</v>
      </c>
      <c r="B45858" s="1" t="str">
        <f>"64673"</f>
        <v>64673</v>
      </c>
      <c r="C45858" s="2">
        <v>1.5189002945345699E-4</v>
      </c>
      <c r="D45858" s="2">
        <v>2.3940771434895401E-4</v>
      </c>
      <c r="E45858" s="2">
        <v>1.2903170308944901E-4</v>
      </c>
      <c r="F45858" s="2">
        <v>1.5710134595986E-4</v>
      </c>
    </row>
    <row r="45859" spans="1:6" x14ac:dyDescent="0.25">
      <c r="A45859" s="1" t="str">
        <f t="shared" si="1520"/>
        <v>99999</v>
      </c>
      <c r="B45859" s="1" t="str">
        <f>"64473"</f>
        <v>64473</v>
      </c>
      <c r="C45859" s="2">
        <v>7.0802622425204101E-5</v>
      </c>
      <c r="D45859" s="2">
        <v>1.9574215638593701E-5</v>
      </c>
      <c r="E45859" s="2">
        <v>2.58063406178898E-5</v>
      </c>
      <c r="F45859" s="2">
        <v>6.6412817733031503E-5</v>
      </c>
    </row>
    <row r="45860" spans="1:6" x14ac:dyDescent="0.25">
      <c r="A45860" s="1" t="str">
        <f t="shared" si="1520"/>
        <v>99999</v>
      </c>
      <c r="B45860" s="1" t="str">
        <f>"64771"</f>
        <v>64771</v>
      </c>
      <c r="C45860" s="2">
        <v>2.74982662018377E-5</v>
      </c>
      <c r="D45860" s="2">
        <v>1.50570889527644E-6</v>
      </c>
      <c r="E45860" s="2">
        <v>8.6021135392965999E-6</v>
      </c>
      <c r="F45860" s="2">
        <v>2.53612097435202E-5</v>
      </c>
    </row>
    <row r="45861" spans="1:6" x14ac:dyDescent="0.25">
      <c r="A45861" s="1" t="str">
        <f t="shared" si="1520"/>
        <v>99999</v>
      </c>
      <c r="B45861" s="1" t="str">
        <f>"63964"</f>
        <v>63964</v>
      </c>
      <c r="C45861" s="2">
        <v>8.0979146137695205E-5</v>
      </c>
      <c r="D45861" s="2">
        <v>3.7642722381910999E-5</v>
      </c>
      <c r="E45861" s="2">
        <v>4.3010567696482999E-6</v>
      </c>
      <c r="F45861" s="2">
        <v>7.63796744804849E-5</v>
      </c>
    </row>
    <row r="45862" spans="1:6" x14ac:dyDescent="0.25">
      <c r="A45862" s="1" t="str">
        <f t="shared" si="1520"/>
        <v>99999</v>
      </c>
      <c r="B45862" s="1" t="str">
        <f>"63450"</f>
        <v>63450</v>
      </c>
      <c r="C45862" s="2">
        <v>8.0113059013227898E-6</v>
      </c>
      <c r="D45862" s="2">
        <v>6.0228355811057601E-6</v>
      </c>
      <c r="E45862" s="2">
        <v>4.3010567696482999E-6</v>
      </c>
      <c r="F45862" s="2">
        <v>7.7958582480081497E-6</v>
      </c>
    </row>
    <row r="45863" spans="1:6" x14ac:dyDescent="0.25">
      <c r="A45863" s="1" t="str">
        <f t="shared" si="1520"/>
        <v>99999</v>
      </c>
      <c r="B45863" s="1" t="str">
        <f>"63545"</f>
        <v>63545</v>
      </c>
      <c r="C45863" s="2">
        <v>6.7879578380126906E-5</v>
      </c>
      <c r="D45863" s="2">
        <v>6.4745482496886904E-5</v>
      </c>
      <c r="E45863" s="2">
        <v>4.7311624466131299E-5</v>
      </c>
      <c r="F45863" s="2">
        <v>6.7202271732829798E-5</v>
      </c>
    </row>
    <row r="45864" spans="1:6" x14ac:dyDescent="0.25">
      <c r="A45864" s="1" t="str">
        <f t="shared" si="1520"/>
        <v>99999</v>
      </c>
      <c r="B45864" s="1" t="str">
        <f>"63565"</f>
        <v>63565</v>
      </c>
      <c r="C45864" s="2">
        <v>2.6047570268354902E-4</v>
      </c>
      <c r="D45864" s="2">
        <v>3.7040438823800399E-4</v>
      </c>
      <c r="E45864" s="2">
        <v>1.8924649786452501E-4</v>
      </c>
      <c r="F45864" s="2">
        <v>2.6604599793202501E-4</v>
      </c>
    </row>
    <row r="45865" spans="1:6" x14ac:dyDescent="0.25">
      <c r="A45865" s="1" t="str">
        <f t="shared" si="1520"/>
        <v>99999</v>
      </c>
      <c r="B45865" s="1" t="str">
        <f>"63544"</f>
        <v>63544</v>
      </c>
      <c r="C45865" s="2">
        <v>3.1936962714732702E-5</v>
      </c>
      <c r="D45865" s="2">
        <v>1.20456711622115E-5</v>
      </c>
      <c r="E45865" s="2">
        <v>4.3010567696482999E-5</v>
      </c>
      <c r="F45865" s="2">
        <v>3.0887387742108201E-5</v>
      </c>
    </row>
    <row r="45866" spans="1:6" x14ac:dyDescent="0.25">
      <c r="A45866" s="1" t="str">
        <f t="shared" si="1520"/>
        <v>99999</v>
      </c>
      <c r="B45866" s="1" t="str">
        <f>"65052"</f>
        <v>65052</v>
      </c>
      <c r="C45866" s="2">
        <v>3.0616179849919997E-4</v>
      </c>
      <c r="D45866" s="2">
        <v>2.9361323457890499E-4</v>
      </c>
      <c r="E45866" s="2">
        <v>6.4515851544724506E-5</v>
      </c>
      <c r="F45866" s="2">
        <v>2.9979515642340201E-4</v>
      </c>
    </row>
    <row r="45867" spans="1:6" x14ac:dyDescent="0.25">
      <c r="A45867" s="1" t="str">
        <f t="shared" si="1520"/>
        <v>99999</v>
      </c>
      <c r="B45867" s="1" t="str">
        <f>"63530"</f>
        <v>63530</v>
      </c>
      <c r="C45867" s="2">
        <v>5.2831314592507002E-5</v>
      </c>
      <c r="D45867" s="2">
        <v>2.4091342324423E-5</v>
      </c>
      <c r="E45867" s="2">
        <v>3.01073973875381E-5</v>
      </c>
      <c r="F45867" s="2">
        <v>5.0426374237116002E-5</v>
      </c>
    </row>
    <row r="45868" spans="1:6" x14ac:dyDescent="0.25">
      <c r="A45868" s="1" t="str">
        <f t="shared" si="1520"/>
        <v>99999</v>
      </c>
      <c r="B45868" s="1" t="str">
        <f>"66739"</f>
        <v>66739</v>
      </c>
      <c r="C45868" s="2">
        <v>2.9804223170731901E-4</v>
      </c>
      <c r="D45868" s="2">
        <v>2.8608469010252301E-4</v>
      </c>
      <c r="E45868" s="2">
        <v>8.6021135392965999E-5</v>
      </c>
      <c r="F45868" s="2">
        <v>2.9239402517529302E-4</v>
      </c>
    </row>
    <row r="45869" spans="1:6" x14ac:dyDescent="0.25">
      <c r="A45869" s="1" t="str">
        <f t="shared" si="1520"/>
        <v>99999</v>
      </c>
      <c r="B45869" s="1" t="str">
        <f>"66716"</f>
        <v>66716</v>
      </c>
      <c r="C45869" s="2">
        <v>2.9555223122447599E-5</v>
      </c>
      <c r="D45869" s="2">
        <v>6.0228355811057601E-6</v>
      </c>
      <c r="E45869" s="2">
        <v>4.3010567696482999E-6</v>
      </c>
      <c r="F45869" s="2">
        <v>2.7433526492990701E-5</v>
      </c>
    </row>
    <row r="45870" spans="1:6" x14ac:dyDescent="0.25">
      <c r="A45870" s="1" t="str">
        <f t="shared" si="1520"/>
        <v>99999</v>
      </c>
      <c r="B45870" s="1" t="str">
        <f>"51640"</f>
        <v>51640</v>
      </c>
      <c r="C45870" s="2">
        <v>9.9600019313742807E-5</v>
      </c>
      <c r="D45870" s="2">
        <v>1.44548053946538E-4</v>
      </c>
      <c r="E45870" s="2">
        <v>1.7634332755557999E-4</v>
      </c>
      <c r="F45870" s="2">
        <v>1.04306609723349E-4</v>
      </c>
    </row>
    <row r="45871" spans="1:6" x14ac:dyDescent="0.25">
      <c r="A45871" s="1" t="str">
        <f t="shared" si="1520"/>
        <v>99999</v>
      </c>
      <c r="B45871" s="1" t="str">
        <f>"51535"</f>
        <v>51535</v>
      </c>
      <c r="C45871" s="2">
        <v>8.6825234227849704E-5</v>
      </c>
      <c r="D45871" s="2">
        <v>3.4631304591358098E-5</v>
      </c>
      <c r="E45871" s="2">
        <v>6.4515851544724506E-5</v>
      </c>
      <c r="F45871" s="2">
        <v>8.2892669978820895E-5</v>
      </c>
    </row>
    <row r="45872" spans="1:6" x14ac:dyDescent="0.25">
      <c r="A45872" s="1" t="str">
        <f t="shared" si="1520"/>
        <v>99999</v>
      </c>
      <c r="B45872" s="1" t="str">
        <f>"66782"</f>
        <v>66782</v>
      </c>
      <c r="C45872" s="2">
        <v>1.1908697961425701E-6</v>
      </c>
      <c r="D45872" s="2">
        <v>0</v>
      </c>
      <c r="E45872" s="2">
        <v>4.3010567696482999E-6</v>
      </c>
      <c r="F45872" s="2">
        <v>1.18418099969744E-6</v>
      </c>
    </row>
    <row r="45873" spans="1:6" x14ac:dyDescent="0.25">
      <c r="A45873" s="1" t="str">
        <f t="shared" si="1520"/>
        <v>99999</v>
      </c>
      <c r="B45873" s="1" t="str">
        <f>"66439"</f>
        <v>66439</v>
      </c>
      <c r="C45873" s="2">
        <v>1.27531329077814E-4</v>
      </c>
      <c r="D45873" s="2">
        <v>2.2284491650091301E-4</v>
      </c>
      <c r="E45873" s="2">
        <v>1.2042958955015201E-4</v>
      </c>
      <c r="F45873" s="2">
        <v>1.33615089465861E-4</v>
      </c>
    </row>
    <row r="45874" spans="1:6" x14ac:dyDescent="0.25">
      <c r="A45874" s="1" t="str">
        <f t="shared" si="1520"/>
        <v>99999</v>
      </c>
      <c r="B45874" s="1" t="str">
        <f>"51652"</f>
        <v>51652</v>
      </c>
      <c r="C45874" s="2">
        <v>9.7326540612016101E-5</v>
      </c>
      <c r="D45874" s="2">
        <v>4.0654140172463799E-5</v>
      </c>
      <c r="E45874" s="2">
        <v>6.8816908314372799E-5</v>
      </c>
      <c r="F45874" s="2">
        <v>9.2958208476249095E-5</v>
      </c>
    </row>
    <row r="45875" spans="1:6" x14ac:dyDescent="0.25">
      <c r="A45875" s="1" t="str">
        <f t="shared" si="1520"/>
        <v>99999</v>
      </c>
      <c r="B45875" s="1" t="str">
        <f>"51528"</f>
        <v>51528</v>
      </c>
      <c r="C45875" s="2">
        <v>5.3589140826415997E-5</v>
      </c>
      <c r="D45875" s="2">
        <v>1.0539962266935E-5</v>
      </c>
      <c r="E45875" s="2">
        <v>4.7311624466131299E-5</v>
      </c>
      <c r="F45875" s="2">
        <v>5.0623737737065603E-5</v>
      </c>
    </row>
    <row r="45876" spans="1:6" x14ac:dyDescent="0.25">
      <c r="A45876" s="1" t="str">
        <f t="shared" si="1520"/>
        <v>99999</v>
      </c>
      <c r="B45876" s="1" t="str">
        <f>"51649"</f>
        <v>51649</v>
      </c>
      <c r="C45876" s="2">
        <v>1.8296090504372299E-5</v>
      </c>
      <c r="D45876" s="2">
        <v>0</v>
      </c>
      <c r="E45876" s="2">
        <v>1.72042270785932E-5</v>
      </c>
      <c r="F45876" s="2">
        <v>1.7071942745638099E-5</v>
      </c>
    </row>
    <row r="45877" spans="1:6" x14ac:dyDescent="0.25">
      <c r="A45877" s="1" t="str">
        <f t="shared" si="1520"/>
        <v>99999</v>
      </c>
      <c r="B45877" s="1" t="str">
        <f>"67844"</f>
        <v>67844</v>
      </c>
      <c r="C45877" s="2">
        <v>4.2005225536665402E-5</v>
      </c>
      <c r="D45877" s="2">
        <v>9.0342533716586405E-6</v>
      </c>
      <c r="E45877" s="2">
        <v>1.29031703089449E-5</v>
      </c>
      <c r="F45877" s="2">
        <v>3.9176654739990298E-5</v>
      </c>
    </row>
    <row r="45878" spans="1:6" x14ac:dyDescent="0.25">
      <c r="A45878" s="1" t="str">
        <f t="shared" si="1520"/>
        <v>99999</v>
      </c>
      <c r="B45878" s="1" t="str">
        <f>"67864"</f>
        <v>67864</v>
      </c>
      <c r="C45878" s="2">
        <v>1.1703002269364701E-4</v>
      </c>
      <c r="D45878" s="2">
        <v>5.8722646915781101E-5</v>
      </c>
      <c r="E45878" s="2">
        <v>1.72042270785932E-5</v>
      </c>
      <c r="F45878" s="2">
        <v>1.1091828697166E-4</v>
      </c>
    </row>
    <row r="45879" spans="1:6" x14ac:dyDescent="0.25">
      <c r="A45879" s="1" t="str">
        <f t="shared" si="1520"/>
        <v>99999</v>
      </c>
      <c r="B45879" s="1" t="str">
        <f>"67870"</f>
        <v>67870</v>
      </c>
      <c r="C45879" s="2">
        <v>6.3549142757790206E-5</v>
      </c>
      <c r="D45879" s="2">
        <v>3.1619886800805203E-5</v>
      </c>
      <c r="E45879" s="2">
        <v>4.3010567696482999E-5</v>
      </c>
      <c r="F45879" s="2">
        <v>6.0985321484418201E-5</v>
      </c>
    </row>
    <row r="45880" spans="1:6" x14ac:dyDescent="0.25">
      <c r="A45880" s="1" t="str">
        <f t="shared" si="1520"/>
        <v>99999</v>
      </c>
      <c r="B45880" s="1" t="str">
        <f>"67877"</f>
        <v>67877</v>
      </c>
      <c r="C45880" s="2">
        <v>9.6893497049782405E-5</v>
      </c>
      <c r="D45880" s="2">
        <v>7.6791153659098402E-5</v>
      </c>
      <c r="E45880" s="2">
        <v>5.5913738005427899E-5</v>
      </c>
      <c r="F45880" s="2">
        <v>9.4635798225820502E-5</v>
      </c>
    </row>
    <row r="45881" spans="1:6" x14ac:dyDescent="0.25">
      <c r="A45881" s="1" t="str">
        <f t="shared" si="1520"/>
        <v>99999</v>
      </c>
      <c r="B45881" s="1" t="str">
        <f>"67951"</f>
        <v>67951</v>
      </c>
      <c r="C45881" s="2">
        <v>2.24208304346479E-4</v>
      </c>
      <c r="D45881" s="2">
        <v>3.40290210332475E-4</v>
      </c>
      <c r="E45881" s="2">
        <v>2.49461292639601E-4</v>
      </c>
      <c r="F45881" s="2">
        <v>2.3239552119062201E-4</v>
      </c>
    </row>
    <row r="45882" spans="1:6" x14ac:dyDescent="0.25">
      <c r="A45882" s="1" t="str">
        <f t="shared" si="1520"/>
        <v>99999</v>
      </c>
      <c r="B45882" s="1" t="str">
        <f>"68020"</f>
        <v>68020</v>
      </c>
      <c r="C45882" s="2">
        <v>5.2723053701948599E-5</v>
      </c>
      <c r="D45882" s="2">
        <v>4.5171266858293203E-6</v>
      </c>
      <c r="E45882" s="2">
        <v>2.58063406178898E-5</v>
      </c>
      <c r="F45882" s="2">
        <v>4.8946147987494202E-5</v>
      </c>
    </row>
    <row r="45883" spans="1:6" x14ac:dyDescent="0.25">
      <c r="A45883" s="1" t="str">
        <f t="shared" si="1520"/>
        <v>99999</v>
      </c>
      <c r="B45883" s="1" t="str">
        <f>"68004"</f>
        <v>68004</v>
      </c>
      <c r="C45883" s="2">
        <v>4.7851313626819901E-5</v>
      </c>
      <c r="D45883" s="2">
        <v>6.1734064706334002E-5</v>
      </c>
      <c r="E45883" s="2">
        <v>2.58063406178898E-5</v>
      </c>
      <c r="F45883" s="2">
        <v>4.8255375737670698E-5</v>
      </c>
    </row>
    <row r="45884" spans="1:6" x14ac:dyDescent="0.25">
      <c r="A45884" s="1" t="str">
        <f t="shared" si="1520"/>
        <v>99999</v>
      </c>
      <c r="B45884" s="1" t="str">
        <f>"67867"</f>
        <v>67867</v>
      </c>
      <c r="C45884" s="2">
        <v>6.65804476934259E-5</v>
      </c>
      <c r="D45884" s="2">
        <v>6.9262609182716196E-5</v>
      </c>
      <c r="E45884" s="2">
        <v>1.29031703089449E-5</v>
      </c>
      <c r="F45884" s="2">
        <v>6.5524681983258404E-5</v>
      </c>
    </row>
    <row r="45885" spans="1:6" x14ac:dyDescent="0.25">
      <c r="A45885" s="1" t="str">
        <f t="shared" si="1520"/>
        <v>99999</v>
      </c>
      <c r="B45885" s="1" t="str">
        <f>"67063"</f>
        <v>67063</v>
      </c>
      <c r="C45885" s="2">
        <v>1.85342644636008E-4</v>
      </c>
      <c r="D45885" s="2">
        <v>2.9963607016001098E-4</v>
      </c>
      <c r="E45885" s="2">
        <v>2.5376234940924903E-4</v>
      </c>
      <c r="F45885" s="2">
        <v>1.9440304745032999E-4</v>
      </c>
    </row>
    <row r="45886" spans="1:6" x14ac:dyDescent="0.25">
      <c r="A45886" s="1" t="str">
        <f t="shared" si="1520"/>
        <v>99999</v>
      </c>
      <c r="B45886" s="1" t="str">
        <f>"67104"</f>
        <v>67104</v>
      </c>
      <c r="C45886" s="2">
        <v>1.5362220370239199E-4</v>
      </c>
      <c r="D45886" s="2">
        <v>3.2824453917026399E-4</v>
      </c>
      <c r="E45886" s="2">
        <v>1.2473064631979999E-4</v>
      </c>
      <c r="F45886" s="2">
        <v>1.6440379545799399E-4</v>
      </c>
    </row>
    <row r="45887" spans="1:6" x14ac:dyDescent="0.25">
      <c r="A45887" s="1" t="str">
        <f t="shared" si="1520"/>
        <v>99999</v>
      </c>
      <c r="B45887" s="1" t="str">
        <f>"67118"</f>
        <v>67118</v>
      </c>
      <c r="C45887" s="2">
        <v>3.8865659710471399E-5</v>
      </c>
      <c r="D45887" s="2">
        <v>3.4631304591358098E-5</v>
      </c>
      <c r="E45887" s="2">
        <v>1.72042270785932E-5</v>
      </c>
      <c r="F45887" s="2">
        <v>3.80911554902677E-5</v>
      </c>
    </row>
    <row r="45888" spans="1:6" x14ac:dyDescent="0.25">
      <c r="A45888" s="1" t="str">
        <f t="shared" si="1520"/>
        <v>99999</v>
      </c>
      <c r="B45888" s="1" t="str">
        <f>"67420"</f>
        <v>67420</v>
      </c>
      <c r="C45888" s="2">
        <v>2.6264092049471698E-4</v>
      </c>
      <c r="D45888" s="2">
        <v>4.4870125079237902E-4</v>
      </c>
      <c r="E45888" s="2">
        <v>2.7526763325749098E-4</v>
      </c>
      <c r="F45888" s="2">
        <v>2.7512471892970501E-4</v>
      </c>
    </row>
    <row r="45889" spans="1:6" x14ac:dyDescent="0.25">
      <c r="A45889" s="1" t="str">
        <f t="shared" si="1520"/>
        <v>99999</v>
      </c>
      <c r="B45889" s="1" t="str">
        <f>"67457"</f>
        <v>67457</v>
      </c>
      <c r="C45889" s="2">
        <v>4.4928269581742699E-5</v>
      </c>
      <c r="D45889" s="2">
        <v>5.7216938020504697E-5</v>
      </c>
      <c r="E45889" s="2">
        <v>2.58063406178898E-5</v>
      </c>
      <c r="F45889" s="2">
        <v>4.5294923238427098E-5</v>
      </c>
    </row>
    <row r="45890" spans="1:6" x14ac:dyDescent="0.25">
      <c r="A45890" s="1" t="str">
        <f t="shared" si="1520"/>
        <v>99999</v>
      </c>
      <c r="B45890" s="1" t="str">
        <f>"67480"</f>
        <v>67480</v>
      </c>
      <c r="C45890" s="2">
        <v>6.4198708101140695E-5</v>
      </c>
      <c r="D45890" s="2">
        <v>2.1079924533870101E-5</v>
      </c>
      <c r="E45890" s="2">
        <v>5.5913738005427899E-5</v>
      </c>
      <c r="F45890" s="2">
        <v>6.1182684984367795E-5</v>
      </c>
    </row>
    <row r="45891" spans="1:6" x14ac:dyDescent="0.25">
      <c r="A45891" s="1" t="str">
        <f t="shared" si="1520"/>
        <v>99999</v>
      </c>
      <c r="B45891" s="1" t="str">
        <f>"67481"</f>
        <v>67481</v>
      </c>
      <c r="C45891" s="2">
        <v>4.3520878004483202E-5</v>
      </c>
      <c r="D45891" s="2">
        <v>6.7756900287439806E-5</v>
      </c>
      <c r="E45891" s="2">
        <v>8.6021135392965999E-6</v>
      </c>
      <c r="F45891" s="2">
        <v>4.4308105738679202E-5</v>
      </c>
    </row>
    <row r="45892" spans="1:6" x14ac:dyDescent="0.25">
      <c r="A45892" s="1" t="str">
        <f t="shared" si="1520"/>
        <v>99999</v>
      </c>
      <c r="B45892" s="1" t="str">
        <f>"67439"</f>
        <v>67439</v>
      </c>
      <c r="C45892" s="2">
        <v>1.62391335837624E-4</v>
      </c>
      <c r="D45892" s="2">
        <v>3.1318745021749901E-4</v>
      </c>
      <c r="E45892" s="2">
        <v>2.3225706556100799E-4</v>
      </c>
      <c r="F45892" s="2">
        <v>1.7387724345557399E-4</v>
      </c>
    </row>
    <row r="45893" spans="1:6" x14ac:dyDescent="0.25">
      <c r="A45893" s="1" t="str">
        <f t="shared" si="1520"/>
        <v>99999</v>
      </c>
      <c r="B45893" s="1" t="str">
        <f>"67516"</f>
        <v>67516</v>
      </c>
      <c r="C45893" s="2">
        <v>2.0244786534423801E-5</v>
      </c>
      <c r="D45893" s="2">
        <v>6.0228355811057601E-6</v>
      </c>
      <c r="E45893" s="2">
        <v>1.29031703089449E-5</v>
      </c>
      <c r="F45893" s="2">
        <v>1.91442594951086E-5</v>
      </c>
    </row>
    <row r="45894" spans="1:6" x14ac:dyDescent="0.25">
      <c r="A45894" s="1" t="str">
        <f t="shared" ref="A45894:A45957" si="1521">"99999"</f>
        <v>99999</v>
      </c>
      <c r="B45894" s="1" t="str">
        <f>"67556"</f>
        <v>67556</v>
      </c>
      <c r="C45894" s="2">
        <v>2.0786090987215901E-5</v>
      </c>
      <c r="D45894" s="2">
        <v>9.0342533716586405E-6</v>
      </c>
      <c r="E45894" s="2">
        <v>4.3010567696482999E-6</v>
      </c>
      <c r="F45894" s="2">
        <v>1.96376682449825E-5</v>
      </c>
    </row>
    <row r="45895" spans="1:6" x14ac:dyDescent="0.25">
      <c r="A45895" s="1" t="str">
        <f t="shared" si="1521"/>
        <v>99999</v>
      </c>
      <c r="B45895" s="1" t="str">
        <f>"67445"</f>
        <v>67445</v>
      </c>
      <c r="C45895" s="2">
        <v>3.9948268616055503E-5</v>
      </c>
      <c r="D45895" s="2">
        <v>1.35513800574879E-5</v>
      </c>
      <c r="E45895" s="2">
        <v>1.72042270785932E-5</v>
      </c>
      <c r="F45895" s="2">
        <v>3.7696428490368499E-5</v>
      </c>
    </row>
    <row r="45896" spans="1:6" x14ac:dyDescent="0.25">
      <c r="A45896" s="1" t="str">
        <f t="shared" si="1521"/>
        <v>99999</v>
      </c>
      <c r="B45896" s="1" t="str">
        <f>"67520"</f>
        <v>67520</v>
      </c>
      <c r="C45896" s="2">
        <v>2.1976960783358401E-5</v>
      </c>
      <c r="D45896" s="2">
        <v>2.7102760114975901E-5</v>
      </c>
      <c r="E45896" s="2">
        <v>1.29031703089449E-5</v>
      </c>
      <c r="F45896" s="2">
        <v>2.2104711994352199E-5</v>
      </c>
    </row>
    <row r="45897" spans="1:6" x14ac:dyDescent="0.25">
      <c r="A45897" s="1" t="str">
        <f t="shared" si="1521"/>
        <v>99999</v>
      </c>
      <c r="B45897" s="1" t="str">
        <f>"67738"</f>
        <v>67738</v>
      </c>
      <c r="C45897" s="2">
        <v>3.8432616148237697E-5</v>
      </c>
      <c r="D45897" s="2">
        <v>4.8182684648845999E-5</v>
      </c>
      <c r="E45897" s="2">
        <v>4.3010567696482999E-6</v>
      </c>
      <c r="F45897" s="2">
        <v>3.8288518990217199E-5</v>
      </c>
    </row>
    <row r="45898" spans="1:6" x14ac:dyDescent="0.25">
      <c r="A45898" s="1" t="str">
        <f t="shared" si="1521"/>
        <v>99999</v>
      </c>
      <c r="B45898" s="1" t="str">
        <f>"67757"</f>
        <v>67757</v>
      </c>
      <c r="C45898" s="2">
        <v>3.2370006276966397E-5</v>
      </c>
      <c r="D45898" s="2">
        <v>2.55970512196994E-5</v>
      </c>
      <c r="E45898" s="2">
        <v>4.3010567696482999E-6</v>
      </c>
      <c r="F45898" s="2">
        <v>3.1282114742007402E-5</v>
      </c>
    </row>
    <row r="45899" spans="1:6" x14ac:dyDescent="0.25">
      <c r="A45899" s="1" t="str">
        <f t="shared" si="1521"/>
        <v>99999</v>
      </c>
      <c r="B45899" s="1" t="str">
        <f>"67490"</f>
        <v>67490</v>
      </c>
      <c r="C45899" s="2">
        <v>5.44552279508833E-5</v>
      </c>
      <c r="D45899" s="2">
        <v>3.4631304591358098E-5</v>
      </c>
      <c r="E45899" s="2">
        <v>2.58063406178898E-5</v>
      </c>
      <c r="F45899" s="2">
        <v>5.2498690986586503E-5</v>
      </c>
    </row>
    <row r="45900" spans="1:6" x14ac:dyDescent="0.25">
      <c r="A45900" s="1" t="str">
        <f t="shared" si="1521"/>
        <v>99999</v>
      </c>
      <c r="B45900" s="1" t="str">
        <f>"67638"</f>
        <v>67638</v>
      </c>
      <c r="C45900" s="2">
        <v>1.50482637876198E-5</v>
      </c>
      <c r="D45900" s="2">
        <v>4.5171266858293203E-6</v>
      </c>
      <c r="E45900" s="2">
        <v>4.3010567696482999E-6</v>
      </c>
      <c r="F45900" s="2">
        <v>1.41114902463945E-5</v>
      </c>
    </row>
    <row r="45901" spans="1:6" x14ac:dyDescent="0.25">
      <c r="A45901" s="1" t="str">
        <f t="shared" si="1521"/>
        <v>99999</v>
      </c>
      <c r="B45901" s="1" t="str">
        <f>"67622"</f>
        <v>67622</v>
      </c>
      <c r="C45901" s="2">
        <v>3.4102180525900997E-5</v>
      </c>
      <c r="D45901" s="2">
        <v>9.0342533716586405E-6</v>
      </c>
      <c r="E45901" s="2">
        <v>2.15052838482415E-5</v>
      </c>
      <c r="F45901" s="2">
        <v>3.2170250491780501E-5</v>
      </c>
    </row>
    <row r="45902" spans="1:6" x14ac:dyDescent="0.25">
      <c r="A45902" s="1" t="str">
        <f t="shared" si="1521"/>
        <v>99999</v>
      </c>
      <c r="B45902" s="1" t="str">
        <f>"67654"</f>
        <v>67654</v>
      </c>
      <c r="C45902" s="2">
        <v>2.1143351926058599E-4</v>
      </c>
      <c r="D45902" s="2">
        <v>4.7279259311680202E-4</v>
      </c>
      <c r="E45902" s="2">
        <v>5.4623420974533399E-4</v>
      </c>
      <c r="F45902" s="2">
        <v>2.36244109439639E-4</v>
      </c>
    </row>
    <row r="45903" spans="1:6" x14ac:dyDescent="0.25">
      <c r="A45903" s="1" t="str">
        <f t="shared" si="1521"/>
        <v>99999</v>
      </c>
      <c r="B45903" s="1" t="str">
        <f>"67663"</f>
        <v>67663</v>
      </c>
      <c r="C45903" s="2">
        <v>1.3911524436756401E-4</v>
      </c>
      <c r="D45903" s="2">
        <v>2.4693625882533601E-4</v>
      </c>
      <c r="E45903" s="2">
        <v>7.7419021853669399E-5</v>
      </c>
      <c r="F45903" s="2">
        <v>1.4476612721301199E-4</v>
      </c>
    </row>
    <row r="45904" spans="1:6" x14ac:dyDescent="0.25">
      <c r="A45904" s="1" t="str">
        <f t="shared" si="1521"/>
        <v>99999</v>
      </c>
      <c r="B45904" s="1" t="str">
        <f>"67572"</f>
        <v>67572</v>
      </c>
      <c r="C45904" s="2">
        <v>2.23017434550337E-5</v>
      </c>
      <c r="D45904" s="2">
        <v>1.50570889527644E-5</v>
      </c>
      <c r="E45904" s="2">
        <v>8.6021135392965999E-6</v>
      </c>
      <c r="F45904" s="2">
        <v>2.1512621494503498E-5</v>
      </c>
    </row>
    <row r="45905" spans="1:6" x14ac:dyDescent="0.25">
      <c r="A45905" s="1" t="str">
        <f t="shared" si="1521"/>
        <v>99999</v>
      </c>
      <c r="B45905" s="1" t="str">
        <f>"67441"</f>
        <v>67441</v>
      </c>
      <c r="C45905" s="2">
        <v>4.9691748766313E-5</v>
      </c>
      <c r="D45905" s="2">
        <v>3.9148431277187403E-5</v>
      </c>
      <c r="E45905" s="2">
        <v>1.72042270785932E-5</v>
      </c>
      <c r="F45905" s="2">
        <v>4.8255375737670698E-5</v>
      </c>
    </row>
    <row r="45906" spans="1:6" x14ac:dyDescent="0.25">
      <c r="A45906" s="1" t="str">
        <f t="shared" si="1521"/>
        <v>99999</v>
      </c>
      <c r="B45906" s="1" t="str">
        <f>"67648"</f>
        <v>67648</v>
      </c>
      <c r="C45906" s="2">
        <v>3.6592181008744599E-5</v>
      </c>
      <c r="D45906" s="2">
        <v>2.4091342324423E-5</v>
      </c>
      <c r="E45906" s="2">
        <v>8.6021135392965999E-6</v>
      </c>
      <c r="F45906" s="2">
        <v>3.5130702991024101E-5</v>
      </c>
    </row>
    <row r="45907" spans="1:6" x14ac:dyDescent="0.25">
      <c r="A45907" s="1" t="str">
        <f t="shared" si="1521"/>
        <v>99999</v>
      </c>
      <c r="B45907" s="1" t="str">
        <f>"67353"</f>
        <v>67353</v>
      </c>
      <c r="C45907" s="2">
        <v>3.2153484495849597E-5</v>
      </c>
      <c r="D45907" s="2">
        <v>2.1079924533870101E-5</v>
      </c>
      <c r="E45907" s="2">
        <v>3.8709510926834699E-5</v>
      </c>
      <c r="F45907" s="2">
        <v>3.1578159991931699E-5</v>
      </c>
    </row>
    <row r="45908" spans="1:6" x14ac:dyDescent="0.25">
      <c r="A45908" s="1" t="str">
        <f t="shared" si="1521"/>
        <v>99999</v>
      </c>
      <c r="B45908" s="1" t="str">
        <f>"67632"</f>
        <v>67632</v>
      </c>
      <c r="C45908" s="2">
        <v>8.6608712446732894E-6</v>
      </c>
      <c r="D45908" s="2">
        <v>0</v>
      </c>
      <c r="E45908" s="2">
        <v>4.3010567696482999E-6</v>
      </c>
      <c r="F45908" s="2">
        <v>7.9932217479577302E-6</v>
      </c>
    </row>
    <row r="45909" spans="1:6" x14ac:dyDescent="0.25">
      <c r="A45909" s="1" t="str">
        <f t="shared" si="1521"/>
        <v>99999</v>
      </c>
      <c r="B45909" s="1" t="str">
        <f>"66534"</f>
        <v>66534</v>
      </c>
      <c r="C45909" s="2">
        <v>1.7700655606300999E-4</v>
      </c>
      <c r="D45909" s="2">
        <v>2.8457898120724698E-4</v>
      </c>
      <c r="E45909" s="2">
        <v>2.9247186033608399E-4</v>
      </c>
      <c r="F45909" s="2">
        <v>1.86705870952296E-4</v>
      </c>
    </row>
    <row r="45910" spans="1:6" x14ac:dyDescent="0.25">
      <c r="A45910" s="1" t="str">
        <f t="shared" si="1521"/>
        <v>99999</v>
      </c>
      <c r="B45910" s="1" t="str">
        <f>"66901"</f>
        <v>66901</v>
      </c>
      <c r="C45910" s="2">
        <v>3.3939789190063399E-4</v>
      </c>
      <c r="D45910" s="2">
        <v>6.2486919153972203E-4</v>
      </c>
      <c r="E45910" s="2">
        <v>5.6773949359357502E-4</v>
      </c>
      <c r="F45910" s="2">
        <v>3.6334620340716499E-4</v>
      </c>
    </row>
    <row r="45911" spans="1:6" x14ac:dyDescent="0.25">
      <c r="A45911" s="1" t="str">
        <f t="shared" si="1521"/>
        <v>99999</v>
      </c>
      <c r="B45911" s="1" t="str">
        <f>"66846"</f>
        <v>66846</v>
      </c>
      <c r="C45911" s="2">
        <v>2.13706997962313E-4</v>
      </c>
      <c r="D45911" s="2">
        <v>3.5986442597106901E-4</v>
      </c>
      <c r="E45911" s="2">
        <v>2.1505283848241501E-4</v>
      </c>
      <c r="F45911" s="2">
        <v>2.2331680019294201E-4</v>
      </c>
    </row>
    <row r="45912" spans="1:6" x14ac:dyDescent="0.25">
      <c r="A45912" s="1" t="str">
        <f t="shared" si="1521"/>
        <v>99999</v>
      </c>
      <c r="B45912" s="1" t="str">
        <f>"66515"</f>
        <v>66515</v>
      </c>
      <c r="C45912" s="2">
        <v>1.9920003862748499E-5</v>
      </c>
      <c r="D45912" s="2">
        <v>6.0228355811057601E-6</v>
      </c>
      <c r="E45912" s="2">
        <v>4.3010567696482999E-6</v>
      </c>
      <c r="F45912" s="2">
        <v>1.8650850745234699E-5</v>
      </c>
    </row>
    <row r="45913" spans="1:6" x14ac:dyDescent="0.25">
      <c r="A45913" s="1" t="str">
        <f t="shared" si="1521"/>
        <v>99999</v>
      </c>
      <c r="B45913" s="1" t="str">
        <f>"59749"</f>
        <v>59749</v>
      </c>
      <c r="C45913" s="2">
        <v>1.02631324249378E-4</v>
      </c>
      <c r="D45913" s="2">
        <v>3.4631304591358098E-5</v>
      </c>
      <c r="E45913" s="2">
        <v>9.4623248932262599E-5</v>
      </c>
      <c r="F45913" s="2">
        <v>9.7990977724963304E-5</v>
      </c>
    </row>
    <row r="45914" spans="1:6" x14ac:dyDescent="0.25">
      <c r="A45914" s="1" t="str">
        <f t="shared" si="1521"/>
        <v>99999</v>
      </c>
      <c r="B45914" s="1" t="str">
        <f>"59762"</f>
        <v>59762</v>
      </c>
      <c r="C45914" s="2">
        <v>1.86208731760475E-5</v>
      </c>
      <c r="D45914" s="2">
        <v>1.50570889527644E-6</v>
      </c>
      <c r="E45914" s="2">
        <v>1.29031703089449E-5</v>
      </c>
      <c r="F45914" s="2">
        <v>1.7367987995562399E-5</v>
      </c>
    </row>
    <row r="45915" spans="1:6" x14ac:dyDescent="0.25">
      <c r="A45915" s="1" t="str">
        <f t="shared" si="1521"/>
        <v>99999</v>
      </c>
      <c r="B45915" s="1" t="str">
        <f>"59215"</f>
        <v>59215</v>
      </c>
      <c r="C45915" s="2">
        <v>4.6768704721235703E-5</v>
      </c>
      <c r="D45915" s="2">
        <v>1.80685067433172E-5</v>
      </c>
      <c r="E45915" s="2">
        <v>3.8709510926834699E-5</v>
      </c>
      <c r="F45915" s="2">
        <v>4.4702832738578397E-5</v>
      </c>
    </row>
    <row r="45916" spans="1:6" x14ac:dyDescent="0.25">
      <c r="A45916" s="1" t="str">
        <f t="shared" si="1521"/>
        <v>99999</v>
      </c>
      <c r="B45916" s="1" t="str">
        <f>"59327"</f>
        <v>59327</v>
      </c>
      <c r="C45916" s="2">
        <v>1.4084741861649901E-4</v>
      </c>
      <c r="D45916" s="2">
        <v>1.65627978480408E-5</v>
      </c>
      <c r="E45916" s="2">
        <v>1.16128532780504E-4</v>
      </c>
      <c r="F45916" s="2">
        <v>1.32134863216239E-4</v>
      </c>
    </row>
    <row r="45917" spans="1:6" x14ac:dyDescent="0.25">
      <c r="A45917" s="1" t="str">
        <f t="shared" si="1521"/>
        <v>99999</v>
      </c>
      <c r="B45917" s="1" t="str">
        <f>"59254"</f>
        <v>59254</v>
      </c>
      <c r="C45917" s="2">
        <v>1.29263503326748E-4</v>
      </c>
      <c r="D45917" s="2">
        <v>2.1531637202453101E-4</v>
      </c>
      <c r="E45917" s="2">
        <v>3.09676087414677E-4</v>
      </c>
      <c r="F45917" s="2">
        <v>1.3904258571447399E-4</v>
      </c>
    </row>
    <row r="45918" spans="1:6" x14ac:dyDescent="0.25">
      <c r="A45918" s="1" t="str">
        <f t="shared" si="1521"/>
        <v>99999</v>
      </c>
      <c r="B45918" s="1" t="str">
        <f>"58436"</f>
        <v>58436</v>
      </c>
      <c r="C45918" s="2">
        <v>9.2346539646328898E-5</v>
      </c>
      <c r="D45918" s="2">
        <v>3.4631304591358098E-5</v>
      </c>
      <c r="E45918" s="2">
        <v>1.7634332755557999E-4</v>
      </c>
      <c r="F45918" s="2">
        <v>9.0491164726879501E-5</v>
      </c>
    </row>
    <row r="45919" spans="1:6" x14ac:dyDescent="0.25">
      <c r="A45919" s="1" t="str">
        <f t="shared" si="1521"/>
        <v>99999</v>
      </c>
      <c r="B45919" s="1" t="str">
        <f>"58225"</f>
        <v>58225</v>
      </c>
      <c r="C45919" s="2">
        <v>6.03013160410378E-5</v>
      </c>
      <c r="D45919" s="2">
        <v>4.2159849067740298E-5</v>
      </c>
      <c r="E45919" s="2">
        <v>6.0214794775076199E-5</v>
      </c>
      <c r="F45919" s="2">
        <v>5.9110368234897301E-5</v>
      </c>
    </row>
    <row r="45920" spans="1:6" x14ac:dyDescent="0.25">
      <c r="A45920" s="1" t="str">
        <f t="shared" si="1521"/>
        <v>99999</v>
      </c>
      <c r="B45920" s="1" t="str">
        <f>"58382"</f>
        <v>58382</v>
      </c>
      <c r="C45920" s="2">
        <v>9.4186974785821993E-6</v>
      </c>
      <c r="D45920" s="2">
        <v>7.5285444763821999E-6</v>
      </c>
      <c r="E45920" s="2">
        <v>4.3010567696482999E-6</v>
      </c>
      <c r="F45920" s="2">
        <v>9.1774027476551693E-6</v>
      </c>
    </row>
    <row r="45921" spans="1:6" x14ac:dyDescent="0.25">
      <c r="A45921" s="1" t="str">
        <f t="shared" si="1521"/>
        <v>99999</v>
      </c>
      <c r="B45921" s="1" t="str">
        <f>"58490"</f>
        <v>58490</v>
      </c>
      <c r="C45921" s="2">
        <v>1.4723481115944499E-5</v>
      </c>
      <c r="D45921" s="2">
        <v>3.01141779055288E-6</v>
      </c>
      <c r="E45921" s="2">
        <v>4.3010567696482999E-6</v>
      </c>
      <c r="F45921" s="2">
        <v>1.37167632464953E-5</v>
      </c>
    </row>
    <row r="45922" spans="1:6" x14ac:dyDescent="0.25">
      <c r="A45922" s="1" t="str">
        <f t="shared" si="1521"/>
        <v>99999</v>
      </c>
      <c r="B45922" s="1" t="str">
        <f>"58259"</f>
        <v>58259</v>
      </c>
      <c r="C45922" s="2">
        <v>2.0136525643865401E-5</v>
      </c>
      <c r="D45922" s="2">
        <v>1.0539962266935E-5</v>
      </c>
      <c r="E45922" s="2">
        <v>3.44084541571864E-5</v>
      </c>
      <c r="F45922" s="2">
        <v>1.9835031744932101E-5</v>
      </c>
    </row>
    <row r="45923" spans="1:6" x14ac:dyDescent="0.25">
      <c r="A45923" s="1" t="str">
        <f t="shared" si="1521"/>
        <v>99999</v>
      </c>
      <c r="B45923" s="1" t="str">
        <f>"58374"</f>
        <v>58374</v>
      </c>
      <c r="C45923" s="2">
        <v>2.86891359979802E-5</v>
      </c>
      <c r="D45923" s="2">
        <v>1.50570889527644E-5</v>
      </c>
      <c r="E45923" s="2">
        <v>2.15052838482415E-5</v>
      </c>
      <c r="F45923" s="2">
        <v>2.7630889992940302E-5</v>
      </c>
    </row>
    <row r="45924" spans="1:6" x14ac:dyDescent="0.25">
      <c r="A45924" s="1" t="str">
        <f t="shared" si="1521"/>
        <v>99999</v>
      </c>
      <c r="B45924" s="1" t="str">
        <f>"61452"</f>
        <v>61452</v>
      </c>
      <c r="C45924" s="2">
        <v>2.2085221673916801E-5</v>
      </c>
      <c r="D45924" s="2">
        <v>3.01141779055288E-6</v>
      </c>
      <c r="E45924" s="2">
        <v>0</v>
      </c>
      <c r="F45924" s="2">
        <v>2.0328440494806002E-5</v>
      </c>
    </row>
    <row r="45925" spans="1:6" x14ac:dyDescent="0.25">
      <c r="A45925" s="1" t="str">
        <f t="shared" si="1521"/>
        <v>99999</v>
      </c>
      <c r="B45925" s="1" t="str">
        <f>"61412"</f>
        <v>61412</v>
      </c>
      <c r="C45925" s="2">
        <v>4.8067835407936702E-5</v>
      </c>
      <c r="D45925" s="2">
        <v>3.31255956960816E-5</v>
      </c>
      <c r="E45925" s="2">
        <v>2.15052838482415E-5</v>
      </c>
      <c r="F45925" s="2">
        <v>4.64791042381245E-5</v>
      </c>
    </row>
    <row r="45926" spans="1:6" x14ac:dyDescent="0.25">
      <c r="A45926" s="1" t="str">
        <f t="shared" si="1521"/>
        <v>99999</v>
      </c>
      <c r="B45926" s="1" t="str">
        <f>"61415"</f>
        <v>61415</v>
      </c>
      <c r="C45926" s="2">
        <v>3.39939196353426E-5</v>
      </c>
      <c r="D45926" s="2">
        <v>7.5285444763821999E-6</v>
      </c>
      <c r="E45926" s="2">
        <v>0</v>
      </c>
      <c r="F45926" s="2">
        <v>3.1479478241956902E-5</v>
      </c>
    </row>
    <row r="45927" spans="1:6" x14ac:dyDescent="0.25">
      <c r="A45927" s="1" t="str">
        <f t="shared" si="1521"/>
        <v>99999</v>
      </c>
      <c r="B45927" s="1" t="str">
        <f>"61777"</f>
        <v>61777</v>
      </c>
      <c r="C45927" s="2">
        <v>5.2398271030273401E-5</v>
      </c>
      <c r="D45927" s="2">
        <v>1.50570889527644E-5</v>
      </c>
      <c r="E45927" s="2">
        <v>4.3010567696482999E-6</v>
      </c>
      <c r="F45927" s="2">
        <v>4.8847466237519399E-5</v>
      </c>
    </row>
    <row r="45928" spans="1:6" x14ac:dyDescent="0.25">
      <c r="A45928" s="1" t="str">
        <f t="shared" si="1521"/>
        <v>99999</v>
      </c>
      <c r="B45928" s="1" t="str">
        <f>"60970"</f>
        <v>60970</v>
      </c>
      <c r="C45928" s="2">
        <v>3.8551703127851899E-4</v>
      </c>
      <c r="D45928" s="2">
        <v>6.67029040607463E-4</v>
      </c>
      <c r="E45928" s="2">
        <v>2.4171939045423401E-3</v>
      </c>
      <c r="F45928" s="2">
        <v>4.50580870384876E-4</v>
      </c>
    </row>
    <row r="45929" spans="1:6" x14ac:dyDescent="0.25">
      <c r="A45929" s="1" t="str">
        <f t="shared" si="1521"/>
        <v>99999</v>
      </c>
      <c r="B45929" s="1" t="str">
        <f>"60918"</f>
        <v>60918</v>
      </c>
      <c r="C45929" s="2">
        <v>3.8865659710471399E-5</v>
      </c>
      <c r="D45929" s="2">
        <v>3.01141779055288E-5</v>
      </c>
      <c r="E45929" s="2">
        <v>3.8709510926834699E-5</v>
      </c>
      <c r="F45929" s="2">
        <v>3.8288518990217199E-5</v>
      </c>
    </row>
    <row r="45930" spans="1:6" x14ac:dyDescent="0.25">
      <c r="A45930" s="1" t="str">
        <f t="shared" si="1521"/>
        <v>99999</v>
      </c>
      <c r="B45930" s="1" t="str">
        <f>"60938"</f>
        <v>60938</v>
      </c>
      <c r="C45930" s="2">
        <v>1.1302436974298601E-4</v>
      </c>
      <c r="D45930" s="2">
        <v>2.4392484103478301E-4</v>
      </c>
      <c r="E45930" s="2">
        <v>2.0214966817347E-4</v>
      </c>
      <c r="F45930" s="2">
        <v>1.2364823271840701E-4</v>
      </c>
    </row>
    <row r="45931" spans="1:6" x14ac:dyDescent="0.25">
      <c r="A45931" s="1" t="str">
        <f t="shared" si="1521"/>
        <v>99999</v>
      </c>
      <c r="B45931" s="1" t="str">
        <f>"60927"</f>
        <v>60927</v>
      </c>
      <c r="C45931" s="2">
        <v>1.09451760354558E-4</v>
      </c>
      <c r="D45931" s="2">
        <v>9.1848242611862802E-5</v>
      </c>
      <c r="E45931" s="2">
        <v>1.3419297121302701E-3</v>
      </c>
      <c r="F45931" s="2">
        <v>1.3657554196510401E-4</v>
      </c>
    </row>
    <row r="45932" spans="1:6" x14ac:dyDescent="0.25">
      <c r="A45932" s="1" t="str">
        <f t="shared" si="1521"/>
        <v>99999</v>
      </c>
      <c r="B45932" s="1" t="str">
        <f>"60946"</f>
        <v>60946</v>
      </c>
      <c r="C45932" s="2">
        <v>1.9162177628839599E-5</v>
      </c>
      <c r="D45932" s="2">
        <v>2.4091342324423E-5</v>
      </c>
      <c r="E45932" s="2">
        <v>0</v>
      </c>
      <c r="F45932" s="2">
        <v>1.9045577745133799E-5</v>
      </c>
    </row>
    <row r="45933" spans="1:6" x14ac:dyDescent="0.25">
      <c r="A45933" s="1" t="str">
        <f t="shared" si="1521"/>
        <v>99999</v>
      </c>
      <c r="B45933" s="1" t="str">
        <f>"62242"</f>
        <v>62242</v>
      </c>
      <c r="C45933" s="2">
        <v>7.56743625003329E-5</v>
      </c>
      <c r="D45933" s="2">
        <v>4.8182684648845999E-5</v>
      </c>
      <c r="E45933" s="2">
        <v>3.8709510926834699E-5</v>
      </c>
      <c r="F45933" s="2">
        <v>7.3024494981342193E-5</v>
      </c>
    </row>
    <row r="45934" spans="1:6" x14ac:dyDescent="0.25">
      <c r="A45934" s="1" t="str">
        <f t="shared" si="1521"/>
        <v>99999</v>
      </c>
      <c r="B45934" s="1" t="str">
        <f>"62263"</f>
        <v>62263</v>
      </c>
      <c r="C45934" s="2">
        <v>2.72492661535533E-4</v>
      </c>
      <c r="D45934" s="2">
        <v>6.0228355811057599E-4</v>
      </c>
      <c r="E45934" s="2">
        <v>1.2042958955015201E-4</v>
      </c>
      <c r="F45934" s="2">
        <v>2.9061775367574699E-4</v>
      </c>
    </row>
    <row r="45935" spans="1:6" x14ac:dyDescent="0.25">
      <c r="A45935" s="1" t="str">
        <f t="shared" si="1521"/>
        <v>99999</v>
      </c>
      <c r="B45935" s="1" t="str">
        <f>"62280"</f>
        <v>62280</v>
      </c>
      <c r="C45935" s="2">
        <v>1.15839152897505E-5</v>
      </c>
      <c r="D45935" s="2">
        <v>4.5171266858293203E-6</v>
      </c>
      <c r="E45935" s="2">
        <v>4.3010567696482999E-6</v>
      </c>
      <c r="F45935" s="2">
        <v>1.0953674247201299E-5</v>
      </c>
    </row>
    <row r="45936" spans="1:6" x14ac:dyDescent="0.25">
      <c r="A45936" s="1" t="str">
        <f t="shared" si="1521"/>
        <v>99999</v>
      </c>
      <c r="B45936" s="1" t="str">
        <f>"62345"</f>
        <v>62345</v>
      </c>
      <c r="C45936" s="2">
        <v>1.86208731760475E-5</v>
      </c>
      <c r="D45936" s="2">
        <v>1.35513800574879E-5</v>
      </c>
      <c r="E45936" s="2">
        <v>4.3010567696482999E-6</v>
      </c>
      <c r="F45936" s="2">
        <v>1.79600784954111E-5</v>
      </c>
    </row>
    <row r="45937" spans="1:6" x14ac:dyDescent="0.25">
      <c r="A45937" s="1" t="str">
        <f t="shared" si="1521"/>
        <v>99999</v>
      </c>
      <c r="B45937" s="1" t="str">
        <f>"62257"</f>
        <v>62257</v>
      </c>
      <c r="C45937" s="2">
        <v>2.3492613251176299E-5</v>
      </c>
      <c r="D45937" s="2">
        <v>4.2159849067740298E-5</v>
      </c>
      <c r="E45937" s="2">
        <v>0</v>
      </c>
      <c r="F45937" s="2">
        <v>2.41770287438227E-5</v>
      </c>
    </row>
    <row r="45938" spans="1:6" x14ac:dyDescent="0.25">
      <c r="A45938" s="1" t="str">
        <f t="shared" si="1521"/>
        <v>99999</v>
      </c>
      <c r="B45938" s="1" t="str">
        <f>"62017"</f>
        <v>62017</v>
      </c>
      <c r="C45938" s="2">
        <v>5.2181749249156499E-5</v>
      </c>
      <c r="D45938" s="2">
        <v>2.4091342324423E-5</v>
      </c>
      <c r="E45938" s="2">
        <v>1.29031703089449E-5</v>
      </c>
      <c r="F45938" s="2">
        <v>4.94395567373681E-5</v>
      </c>
    </row>
    <row r="45939" spans="1:6" x14ac:dyDescent="0.25">
      <c r="A45939" s="1" t="str">
        <f t="shared" si="1521"/>
        <v>99999</v>
      </c>
      <c r="B45939" s="1" t="str">
        <f>"61940"</f>
        <v>61940</v>
      </c>
      <c r="C45939" s="2">
        <v>1.2233480633101E-5</v>
      </c>
      <c r="D45939" s="2">
        <v>3.01141779055288E-6</v>
      </c>
      <c r="E45939" s="2">
        <v>0</v>
      </c>
      <c r="F45939" s="2">
        <v>1.1348401247100399E-5</v>
      </c>
    </row>
    <row r="45940" spans="1:6" x14ac:dyDescent="0.25">
      <c r="A45940" s="1" t="str">
        <f t="shared" si="1521"/>
        <v>99999</v>
      </c>
      <c r="B45940" s="1" t="str">
        <f>"62815"</f>
        <v>62815</v>
      </c>
      <c r="C45940" s="2">
        <v>1.6022611802645498E-5</v>
      </c>
      <c r="D45940" s="2">
        <v>3.01141779055288E-6</v>
      </c>
      <c r="E45940" s="2">
        <v>8.6021135392965999E-6</v>
      </c>
      <c r="F45940" s="2">
        <v>1.49996259961675E-5</v>
      </c>
    </row>
    <row r="45941" spans="1:6" x14ac:dyDescent="0.25">
      <c r="A45941" s="1" t="str">
        <f t="shared" si="1521"/>
        <v>99999</v>
      </c>
      <c r="B45941" s="1" t="str">
        <f>"62827"</f>
        <v>62827</v>
      </c>
      <c r="C45941" s="2">
        <v>6.8637404614035799E-5</v>
      </c>
      <c r="D45941" s="2">
        <v>4.8182684648845999E-5</v>
      </c>
      <c r="E45941" s="2">
        <v>4.7311624466131299E-5</v>
      </c>
      <c r="F45941" s="2">
        <v>6.6807544732930596E-5</v>
      </c>
    </row>
    <row r="45942" spans="1:6" x14ac:dyDescent="0.25">
      <c r="A45942" s="1" t="str">
        <f t="shared" si="1521"/>
        <v>99999</v>
      </c>
      <c r="B45942" s="1" t="str">
        <f>"62839"</f>
        <v>62839</v>
      </c>
      <c r="C45942" s="2">
        <v>3.5184789431485201E-4</v>
      </c>
      <c r="D45942" s="2">
        <v>6.14329229272787E-4</v>
      </c>
      <c r="E45942" s="2">
        <v>3.6989088218975403E-4</v>
      </c>
      <c r="F45942" s="2">
        <v>3.6946447190560098E-4</v>
      </c>
    </row>
    <row r="45943" spans="1:6" x14ac:dyDescent="0.25">
      <c r="A45943" s="1" t="str">
        <f t="shared" si="1521"/>
        <v>99999</v>
      </c>
      <c r="B45943" s="1" t="str">
        <f>"62858"</f>
        <v>62858</v>
      </c>
      <c r="C45943" s="2">
        <v>1.5751959576249501E-4</v>
      </c>
      <c r="D45943" s="2">
        <v>1.2497383830794399E-4</v>
      </c>
      <c r="E45943" s="2">
        <v>4.3010567696482999E-5</v>
      </c>
      <c r="F45943" s="2">
        <v>1.5275934896096901E-4</v>
      </c>
    </row>
    <row r="45944" spans="1:6" x14ac:dyDescent="0.25">
      <c r="A45944" s="1" t="str">
        <f t="shared" si="1521"/>
        <v>99999</v>
      </c>
      <c r="B45944" s="1" t="str">
        <f>"62888"</f>
        <v>62888</v>
      </c>
      <c r="C45944" s="2">
        <v>1.1140045638461001E-4</v>
      </c>
      <c r="D45944" s="2">
        <v>5.2699811334675399E-5</v>
      </c>
      <c r="E45944" s="2">
        <v>2.15052838482415E-5</v>
      </c>
      <c r="F45944" s="2">
        <v>1.05490790723047E-4</v>
      </c>
    </row>
    <row r="45945" spans="1:6" x14ac:dyDescent="0.25">
      <c r="A45945" s="1" t="str">
        <f t="shared" si="1521"/>
        <v>99999</v>
      </c>
      <c r="B45945" s="1" t="str">
        <f>"62877"</f>
        <v>62877</v>
      </c>
      <c r="C45945" s="2">
        <v>2.82560924357466E-5</v>
      </c>
      <c r="D45945" s="2">
        <v>1.20456711622115E-5</v>
      </c>
      <c r="E45945" s="2">
        <v>4.3010567696482999E-6</v>
      </c>
      <c r="F45945" s="2">
        <v>2.6644072493192399E-5</v>
      </c>
    </row>
    <row r="45946" spans="1:6" x14ac:dyDescent="0.25">
      <c r="A45946" s="1" t="str">
        <f t="shared" si="1521"/>
        <v>99999</v>
      </c>
      <c r="B45946" s="1" t="str">
        <f>"62819"</f>
        <v>62819</v>
      </c>
      <c r="C45946" s="2">
        <v>2.8039570654629701E-5</v>
      </c>
      <c r="D45946" s="2">
        <v>0</v>
      </c>
      <c r="E45946" s="2">
        <v>4.3010567696482999E-6</v>
      </c>
      <c r="F45946" s="2">
        <v>2.56572549934445E-5</v>
      </c>
    </row>
    <row r="45947" spans="1:6" x14ac:dyDescent="0.25">
      <c r="A45947" s="1" t="str">
        <f t="shared" si="1521"/>
        <v>99999</v>
      </c>
      <c r="B45947" s="1" t="str">
        <f>"62844"</f>
        <v>62844</v>
      </c>
      <c r="C45947" s="2">
        <v>1.21576980097101E-4</v>
      </c>
      <c r="D45947" s="2">
        <v>2.0929353644342499E-4</v>
      </c>
      <c r="E45947" s="2">
        <v>5.1612681235779599E-5</v>
      </c>
      <c r="F45947" s="2">
        <v>1.25720549467878E-4</v>
      </c>
    </row>
    <row r="45948" spans="1:6" x14ac:dyDescent="0.25">
      <c r="A45948" s="1" t="str">
        <f t="shared" si="1521"/>
        <v>99999</v>
      </c>
      <c r="B45948" s="1" t="str">
        <f>"62954"</f>
        <v>62954</v>
      </c>
      <c r="C45948" s="2">
        <v>2.91221795602139E-5</v>
      </c>
      <c r="D45948" s="2">
        <v>2.55970512196994E-5</v>
      </c>
      <c r="E45948" s="2">
        <v>8.6021135392965999E-6</v>
      </c>
      <c r="F45948" s="2">
        <v>2.84203439927386E-5</v>
      </c>
    </row>
    <row r="45949" spans="1:6" x14ac:dyDescent="0.25">
      <c r="A45949" s="1" t="str">
        <f t="shared" si="1521"/>
        <v>99999</v>
      </c>
      <c r="B45949" s="1" t="str">
        <f>"62926"</f>
        <v>62926</v>
      </c>
      <c r="C45949" s="2">
        <v>1.09884803916792E-4</v>
      </c>
      <c r="D45949" s="2">
        <v>2.25856334291466E-5</v>
      </c>
      <c r="E45949" s="2">
        <v>1.29031703089449E-5</v>
      </c>
      <c r="F45949" s="2">
        <v>1.0193824772395401E-4</v>
      </c>
    </row>
    <row r="45950" spans="1:6" x14ac:dyDescent="0.25">
      <c r="A45950" s="1" t="str">
        <f t="shared" si="1521"/>
        <v>99999</v>
      </c>
      <c r="B45950" s="1" t="str">
        <f>"62902"</f>
        <v>62902</v>
      </c>
      <c r="C45950" s="2">
        <v>9.7434801502574508E-7</v>
      </c>
      <c r="D45950" s="2">
        <v>1.50570889527644E-6</v>
      </c>
      <c r="E45950" s="2">
        <v>0</v>
      </c>
      <c r="F45950" s="2">
        <v>9.8681749974786791E-7</v>
      </c>
    </row>
    <row r="45951" spans="1:6" x14ac:dyDescent="0.25">
      <c r="A45951" s="1" t="str">
        <f t="shared" si="1521"/>
        <v>99999</v>
      </c>
      <c r="B45951" s="1" t="str">
        <f>"62439"</f>
        <v>62439</v>
      </c>
      <c r="C45951" s="2">
        <v>4.26223126128484E-4</v>
      </c>
      <c r="D45951" s="2">
        <v>5.3151524003258298E-4</v>
      </c>
      <c r="E45951" s="2">
        <v>3.8279405249869798E-4</v>
      </c>
      <c r="F45951" s="2">
        <v>4.3212738313959099E-4</v>
      </c>
    </row>
    <row r="45952" spans="1:6" x14ac:dyDescent="0.25">
      <c r="A45952" s="1" t="str">
        <f t="shared" si="1521"/>
        <v>99999</v>
      </c>
      <c r="B45952" s="1" t="str">
        <f>"62436"</f>
        <v>62436</v>
      </c>
      <c r="C45952" s="2">
        <v>1.07178281652832E-5</v>
      </c>
      <c r="D45952" s="2">
        <v>1.50570889527644E-6</v>
      </c>
      <c r="E45952" s="2">
        <v>0</v>
      </c>
      <c r="F45952" s="2">
        <v>9.8681749974786808E-6</v>
      </c>
    </row>
    <row r="45953" spans="1:6" x14ac:dyDescent="0.25">
      <c r="A45953" s="1" t="str">
        <f t="shared" si="1521"/>
        <v>99999</v>
      </c>
      <c r="B45953" s="1" t="str">
        <f>"62458"</f>
        <v>62458</v>
      </c>
      <c r="C45953" s="2">
        <v>1.14215239539129E-4</v>
      </c>
      <c r="D45953" s="2">
        <v>1.5659372510874899E-4</v>
      </c>
      <c r="E45953" s="2">
        <v>6.8816908314372799E-5</v>
      </c>
      <c r="F45953" s="2">
        <v>1.1595105622037401E-4</v>
      </c>
    </row>
    <row r="45954" spans="1:6" x14ac:dyDescent="0.25">
      <c r="A45954" s="1" t="str">
        <f t="shared" si="1521"/>
        <v>99999</v>
      </c>
      <c r="B45954" s="1" t="str">
        <f>"62612"</f>
        <v>62612</v>
      </c>
      <c r="C45954" s="2">
        <v>8.1953494152721E-5</v>
      </c>
      <c r="D45954" s="2">
        <v>2.1079924533870101E-5</v>
      </c>
      <c r="E45954" s="2">
        <v>3.8709510926834699E-5</v>
      </c>
      <c r="F45954" s="2">
        <v>7.6971764980333696E-5</v>
      </c>
    </row>
    <row r="45955" spans="1:6" x14ac:dyDescent="0.25">
      <c r="A45955" s="1" t="str">
        <f t="shared" si="1521"/>
        <v>99999</v>
      </c>
      <c r="B45955" s="1" t="str">
        <f>"62664"</f>
        <v>62664</v>
      </c>
      <c r="C45955" s="2">
        <v>1.52431333906249E-4</v>
      </c>
      <c r="D45955" s="2">
        <v>1.7014510516623701E-4</v>
      </c>
      <c r="E45955" s="2">
        <v>1.3333275985909701E-4</v>
      </c>
      <c r="F45955" s="2">
        <v>1.5315407596086899E-4</v>
      </c>
    </row>
    <row r="45956" spans="1:6" x14ac:dyDescent="0.25">
      <c r="A45956" s="1" t="str">
        <f t="shared" si="1521"/>
        <v>99999</v>
      </c>
      <c r="B45956" s="1" t="str">
        <f>"65360"</f>
        <v>65360</v>
      </c>
      <c r="C45956" s="2">
        <v>2.1814569447520799E-4</v>
      </c>
      <c r="D45956" s="2">
        <v>2.6500476556865301E-4</v>
      </c>
      <c r="E45956" s="2">
        <v>1.4623593016804199E-4</v>
      </c>
      <c r="F45956" s="2">
        <v>2.195668936939E-4</v>
      </c>
    </row>
    <row r="45957" spans="1:6" x14ac:dyDescent="0.25">
      <c r="A45957" s="1" t="str">
        <f t="shared" si="1521"/>
        <v>99999</v>
      </c>
      <c r="B45957" s="1" t="str">
        <f>"63730"</f>
        <v>63730</v>
      </c>
      <c r="C45957" s="2">
        <v>1.76356990719659E-4</v>
      </c>
      <c r="D45957" s="2">
        <v>1.1142245825045601E-4</v>
      </c>
      <c r="E45957" s="2">
        <v>2.1505283848241501E-4</v>
      </c>
      <c r="F45957" s="2">
        <v>1.72989107705801E-4</v>
      </c>
    </row>
    <row r="45958" spans="1:6" x14ac:dyDescent="0.25">
      <c r="A45958" s="1" t="str">
        <f t="shared" ref="A45958:A46021" si="1522">"99999"</f>
        <v>99999</v>
      </c>
      <c r="B45958" s="1" t="str">
        <f>"63629"</f>
        <v>63629</v>
      </c>
      <c r="C45958" s="2">
        <v>9.3753931223588402E-5</v>
      </c>
      <c r="D45958" s="2">
        <v>6.0228355811057601E-6</v>
      </c>
      <c r="E45958" s="2">
        <v>8.6021135392965999E-6</v>
      </c>
      <c r="F45958" s="2">
        <v>8.6050485978014102E-5</v>
      </c>
    </row>
    <row r="45959" spans="1:6" x14ac:dyDescent="0.25">
      <c r="A45959" s="1" t="str">
        <f t="shared" si="1522"/>
        <v>99999</v>
      </c>
      <c r="B45959" s="1" t="str">
        <f>"63633"</f>
        <v>63633</v>
      </c>
      <c r="C45959" s="2">
        <v>3.9190442382146597E-5</v>
      </c>
      <c r="D45959" s="2">
        <v>2.1079924533870101E-5</v>
      </c>
      <c r="E45959" s="2">
        <v>1.72042270785932E-5</v>
      </c>
      <c r="F45959" s="2">
        <v>3.7499064990418898E-5</v>
      </c>
    </row>
    <row r="45960" spans="1:6" x14ac:dyDescent="0.25">
      <c r="A45960" s="1" t="str">
        <f t="shared" si="1522"/>
        <v>99999</v>
      </c>
      <c r="B45960" s="1" t="str">
        <f>"63775"</f>
        <v>63775</v>
      </c>
      <c r="C45960" s="2">
        <v>8.2754624742853303E-4</v>
      </c>
      <c r="D45960" s="2">
        <v>1.04947910000767E-3</v>
      </c>
      <c r="E45960" s="2">
        <v>7.0107225345267298E-4</v>
      </c>
      <c r="F45960" s="2">
        <v>8.3918960178558702E-4</v>
      </c>
    </row>
    <row r="45961" spans="1:6" x14ac:dyDescent="0.25">
      <c r="A45961" s="1" t="str">
        <f t="shared" si="1522"/>
        <v>99999</v>
      </c>
      <c r="B45961" s="1" t="str">
        <f>"63623"</f>
        <v>63623</v>
      </c>
      <c r="C45961" s="2">
        <v>4.6660443830677299E-5</v>
      </c>
      <c r="D45961" s="2">
        <v>2.8608469010252301E-5</v>
      </c>
      <c r="E45961" s="2">
        <v>4.3010567696482999E-6</v>
      </c>
      <c r="F45961" s="2">
        <v>4.4505469238628803E-5</v>
      </c>
    </row>
    <row r="45962" spans="1:6" x14ac:dyDescent="0.25">
      <c r="A45962" s="1" t="str">
        <f t="shared" si="1522"/>
        <v>99999</v>
      </c>
      <c r="B45962" s="1" t="str">
        <f>"63845"</f>
        <v>63845</v>
      </c>
      <c r="C45962" s="2">
        <v>2.9815049259787803E-4</v>
      </c>
      <c r="D45962" s="2">
        <v>3.0264748795056398E-4</v>
      </c>
      <c r="E45962" s="2">
        <v>6.8816908314372799E-5</v>
      </c>
      <c r="F45962" s="2">
        <v>2.9318347917509102E-4</v>
      </c>
    </row>
    <row r="45963" spans="1:6" x14ac:dyDescent="0.25">
      <c r="A45963" s="1" t="str">
        <f t="shared" si="1522"/>
        <v>99999</v>
      </c>
      <c r="B45963" s="1" t="str">
        <f>"63862"</f>
        <v>63862</v>
      </c>
      <c r="C45963" s="2">
        <v>4.4170443347833698E-5</v>
      </c>
      <c r="D45963" s="2">
        <v>2.4091342324423E-5</v>
      </c>
      <c r="E45963" s="2">
        <v>1.29031703089449E-5</v>
      </c>
      <c r="F45963" s="2">
        <v>4.2137107239233898E-5</v>
      </c>
    </row>
    <row r="45964" spans="1:6" x14ac:dyDescent="0.25">
      <c r="A45964" s="1" t="str">
        <f t="shared" si="1522"/>
        <v>99999</v>
      </c>
      <c r="B45964" s="1" t="str">
        <f>"63624"</f>
        <v>63624</v>
      </c>
      <c r="C45964" s="2">
        <v>4.4495226019509003E-5</v>
      </c>
      <c r="D45964" s="2">
        <v>3.01141779055288E-6</v>
      </c>
      <c r="E45964" s="2">
        <v>8.6021135392965999E-6</v>
      </c>
      <c r="F45964" s="2">
        <v>4.0952926239536503E-5</v>
      </c>
    </row>
    <row r="45965" spans="1:6" x14ac:dyDescent="0.25">
      <c r="A45965" s="1" t="str">
        <f t="shared" si="1522"/>
        <v>99999</v>
      </c>
      <c r="B45965" s="1" t="str">
        <f>"63877"</f>
        <v>63877</v>
      </c>
      <c r="C45965" s="2">
        <v>1.8869873224331899E-4</v>
      </c>
      <c r="D45965" s="2">
        <v>2.3037346097729499E-4</v>
      </c>
      <c r="E45965" s="2">
        <v>1.93547554634173E-4</v>
      </c>
      <c r="F45965" s="2">
        <v>1.91541276701061E-4</v>
      </c>
    </row>
    <row r="45966" spans="1:6" x14ac:dyDescent="0.25">
      <c r="A45966" s="1" t="str">
        <f t="shared" si="1522"/>
        <v>99999</v>
      </c>
      <c r="B45966" s="1" t="str">
        <f>"63621"</f>
        <v>63621</v>
      </c>
      <c r="C45966" s="2">
        <v>7.0694361534645697E-5</v>
      </c>
      <c r="D45966" s="2">
        <v>1.80685067433172E-5</v>
      </c>
      <c r="E45966" s="2">
        <v>2.58063406178898E-5</v>
      </c>
      <c r="F45966" s="2">
        <v>6.6215454233081896E-5</v>
      </c>
    </row>
    <row r="45967" spans="1:6" x14ac:dyDescent="0.25">
      <c r="A45967" s="1" t="str">
        <f t="shared" si="1522"/>
        <v>99999</v>
      </c>
      <c r="B45967" s="1" t="str">
        <f>"63848"</f>
        <v>63848</v>
      </c>
      <c r="C45967" s="2">
        <v>7.3400883798606099E-5</v>
      </c>
      <c r="D45967" s="2">
        <v>3.4631304591358098E-5</v>
      </c>
      <c r="E45967" s="2">
        <v>8.6021135392965999E-6</v>
      </c>
      <c r="F45967" s="2">
        <v>6.9373270232275103E-5</v>
      </c>
    </row>
    <row r="45968" spans="1:6" x14ac:dyDescent="0.25">
      <c r="A45968" s="1" t="str">
        <f t="shared" si="1522"/>
        <v>99999</v>
      </c>
      <c r="B45968" s="1" t="str">
        <f>"65258"</f>
        <v>65258</v>
      </c>
      <c r="C45968" s="2">
        <v>2.84726142168634E-5</v>
      </c>
      <c r="D45968" s="2">
        <v>6.0228355811057601E-6</v>
      </c>
      <c r="E45968" s="2">
        <v>4.3010567696482999E-6</v>
      </c>
      <c r="F45968" s="2">
        <v>2.6446708993242801E-5</v>
      </c>
    </row>
    <row r="45969" spans="1:6" x14ac:dyDescent="0.25">
      <c r="A45969" s="1" t="str">
        <f t="shared" si="1522"/>
        <v>99999</v>
      </c>
      <c r="B45969" s="1" t="str">
        <f>"64856"</f>
        <v>64856</v>
      </c>
      <c r="C45969" s="2">
        <v>2.13273954400079E-4</v>
      </c>
      <c r="D45969" s="2">
        <v>1.76167940747343E-4</v>
      </c>
      <c r="E45969" s="2">
        <v>3.44084541571864E-5</v>
      </c>
      <c r="F45969" s="2">
        <v>2.06738266197178E-4</v>
      </c>
    </row>
    <row r="45970" spans="1:6" x14ac:dyDescent="0.25">
      <c r="A45970" s="1" t="str">
        <f t="shared" si="1522"/>
        <v>99999</v>
      </c>
      <c r="B45970" s="1" t="str">
        <f>"64831"</f>
        <v>64831</v>
      </c>
      <c r="C45970" s="2">
        <v>4.0099833862837302E-4</v>
      </c>
      <c r="D45970" s="2">
        <v>1.8369648522372501E-4</v>
      </c>
      <c r="E45970" s="2">
        <v>8.6021135392965999E-5</v>
      </c>
      <c r="F45970" s="2">
        <v>3.7953001040302999E-4</v>
      </c>
    </row>
    <row r="45971" spans="1:6" x14ac:dyDescent="0.25">
      <c r="A45971" s="1" t="str">
        <f t="shared" si="1522"/>
        <v>99999</v>
      </c>
      <c r="B45971" s="1" t="str">
        <f>"65438"</f>
        <v>65438</v>
      </c>
      <c r="C45971" s="2">
        <v>2.7411657489390898E-4</v>
      </c>
      <c r="D45971" s="2">
        <v>1.02388204878797E-4</v>
      </c>
      <c r="E45971" s="2">
        <v>3.01073973875381E-5</v>
      </c>
      <c r="F45971" s="2">
        <v>2.5726332218426899E-4</v>
      </c>
    </row>
    <row r="45972" spans="1:6" x14ac:dyDescent="0.25">
      <c r="A45972" s="1" t="str">
        <f t="shared" si="1522"/>
        <v>99999</v>
      </c>
      <c r="B45972" s="1" t="str">
        <f>"65441"</f>
        <v>65441</v>
      </c>
      <c r="C45972" s="2">
        <v>2.49324830956032E-4</v>
      </c>
      <c r="D45972" s="2">
        <v>1.3099667388905001E-4</v>
      </c>
      <c r="E45972" s="2">
        <v>3.8279405249869798E-4</v>
      </c>
      <c r="F45972" s="2">
        <v>2.44632058187496E-4</v>
      </c>
    </row>
    <row r="45973" spans="1:6" x14ac:dyDescent="0.25">
      <c r="A45973" s="1" t="str">
        <f t="shared" si="1522"/>
        <v>99999</v>
      </c>
      <c r="B45973" s="1" t="str">
        <f>"64780"</f>
        <v>64780</v>
      </c>
      <c r="C45973" s="2">
        <v>1.49400028970614E-5</v>
      </c>
      <c r="D45973" s="2">
        <v>4.5171266858293203E-6</v>
      </c>
      <c r="E45973" s="2">
        <v>0</v>
      </c>
      <c r="F45973" s="2">
        <v>1.39141267464449E-5</v>
      </c>
    </row>
    <row r="45974" spans="1:6" x14ac:dyDescent="0.25">
      <c r="A45974" s="1" t="str">
        <f t="shared" si="1522"/>
        <v>99999</v>
      </c>
      <c r="B45974" s="1" t="str">
        <f>"65483"</f>
        <v>65483</v>
      </c>
      <c r="C45974" s="2">
        <v>2.6458961652476898E-4</v>
      </c>
      <c r="D45974" s="2">
        <v>4.9086109986011897E-4</v>
      </c>
      <c r="E45974" s="2">
        <v>1.8494544109487701E-4</v>
      </c>
      <c r="F45974" s="2">
        <v>2.77591762679075E-4</v>
      </c>
    </row>
    <row r="45975" spans="1:6" x14ac:dyDescent="0.25">
      <c r="A45975" s="1" t="str">
        <f t="shared" si="1522"/>
        <v>99999</v>
      </c>
      <c r="B45975" s="1" t="str">
        <f>"65552"</f>
        <v>65552</v>
      </c>
      <c r="C45975" s="2">
        <v>9.50530619102893E-5</v>
      </c>
      <c r="D45975" s="2">
        <v>1.65627978480408E-5</v>
      </c>
      <c r="E45975" s="2">
        <v>8.6021135392965999E-5</v>
      </c>
      <c r="F45975" s="2">
        <v>8.9701710727081206E-5</v>
      </c>
    </row>
    <row r="45976" spans="1:6" x14ac:dyDescent="0.25">
      <c r="A45976" s="1" t="str">
        <f t="shared" si="1522"/>
        <v>99999</v>
      </c>
      <c r="B45976" s="1" t="str">
        <f>"65556"</f>
        <v>65556</v>
      </c>
      <c r="C45976" s="2">
        <v>6.0950881384388302E-5</v>
      </c>
      <c r="D45976" s="2">
        <v>2.7102760114975901E-5</v>
      </c>
      <c r="E45976" s="2">
        <v>4.3010567696482999E-6</v>
      </c>
      <c r="F45976" s="2">
        <v>5.7432778485325901E-5</v>
      </c>
    </row>
    <row r="45977" spans="1:6" x14ac:dyDescent="0.25">
      <c r="A45977" s="1" t="str">
        <f t="shared" si="1522"/>
        <v>99999</v>
      </c>
      <c r="B45977" s="1" t="str">
        <f>"57274"</f>
        <v>57274</v>
      </c>
      <c r="C45977" s="2">
        <v>1.6412351008655799E-4</v>
      </c>
      <c r="D45977" s="2">
        <v>3.16198868008052E-4</v>
      </c>
      <c r="E45977" s="2">
        <v>3.0107397387538101E-4</v>
      </c>
      <c r="F45977" s="2">
        <v>1.77232422954717E-4</v>
      </c>
    </row>
    <row r="45978" spans="1:6" x14ac:dyDescent="0.25">
      <c r="A45978" s="1" t="str">
        <f t="shared" si="1522"/>
        <v>99999</v>
      </c>
      <c r="B45978" s="1" t="str">
        <f>"57368"</f>
        <v>57368</v>
      </c>
      <c r="C45978" s="2">
        <v>5.0557835890780303E-5</v>
      </c>
      <c r="D45978" s="2">
        <v>2.4091342324423E-5</v>
      </c>
      <c r="E45978" s="2">
        <v>3.44084541571864E-5</v>
      </c>
      <c r="F45978" s="2">
        <v>4.8452739237620299E-5</v>
      </c>
    </row>
    <row r="45979" spans="1:6" x14ac:dyDescent="0.25">
      <c r="A45979" s="1" t="str">
        <f t="shared" si="1522"/>
        <v>99999</v>
      </c>
      <c r="B45979" s="1" t="str">
        <f>"57022"</f>
        <v>57022</v>
      </c>
      <c r="C45979" s="2">
        <v>2.39256568134099E-5</v>
      </c>
      <c r="D45979" s="2">
        <v>1.50570889527644E-6</v>
      </c>
      <c r="E45979" s="2">
        <v>1.29031703089449E-5</v>
      </c>
      <c r="F45979" s="2">
        <v>2.2203393744327E-5</v>
      </c>
    </row>
    <row r="45980" spans="1:6" x14ac:dyDescent="0.25">
      <c r="A45980" s="1" t="str">
        <f t="shared" si="1522"/>
        <v>99999</v>
      </c>
      <c r="B45980" s="1" t="str">
        <f>"57355"</f>
        <v>57355</v>
      </c>
      <c r="C45980" s="2">
        <v>5.1099140343572402E-5</v>
      </c>
      <c r="D45980" s="2">
        <v>4.6676975753569603E-5</v>
      </c>
      <c r="E45980" s="2">
        <v>6.0214794775076199E-5</v>
      </c>
      <c r="F45980" s="2">
        <v>5.1018464736964703E-5</v>
      </c>
    </row>
    <row r="45981" spans="1:6" x14ac:dyDescent="0.25">
      <c r="A45981" s="1" t="str">
        <f t="shared" si="1522"/>
        <v>99999</v>
      </c>
      <c r="B45981" s="1" t="str">
        <f>"57256"</f>
        <v>57256</v>
      </c>
      <c r="C45981" s="2">
        <v>8.0113059013227898E-6</v>
      </c>
      <c r="D45981" s="2">
        <v>9.0342533716586405E-6</v>
      </c>
      <c r="E45981" s="2">
        <v>4.3010567696482999E-6</v>
      </c>
      <c r="F45981" s="2">
        <v>7.9932217479577302E-6</v>
      </c>
    </row>
    <row r="45982" spans="1:6" x14ac:dyDescent="0.25">
      <c r="A45982" s="1" t="str">
        <f t="shared" si="1522"/>
        <v>99999</v>
      </c>
      <c r="B45982" s="1" t="str">
        <f>"57381"</f>
        <v>57381</v>
      </c>
      <c r="C45982" s="2">
        <v>1.51565246781782E-5</v>
      </c>
      <c r="D45982" s="2">
        <v>1.50570889527644E-6</v>
      </c>
      <c r="E45982" s="2">
        <v>0</v>
      </c>
      <c r="F45982" s="2">
        <v>1.39141267464449E-5</v>
      </c>
    </row>
    <row r="45983" spans="1:6" x14ac:dyDescent="0.25">
      <c r="A45983" s="1" t="str">
        <f t="shared" si="1522"/>
        <v>99999</v>
      </c>
      <c r="B45983" s="1" t="str">
        <f>"57272"</f>
        <v>57272</v>
      </c>
      <c r="C45983" s="2">
        <v>4.3304356223366401E-7</v>
      </c>
      <c r="D45983" s="2">
        <v>0</v>
      </c>
      <c r="E45983" s="2">
        <v>0</v>
      </c>
      <c r="F45983" s="2">
        <v>3.9472699989914697E-7</v>
      </c>
    </row>
    <row r="45984" spans="1:6" x14ac:dyDescent="0.25">
      <c r="A45984" s="1" t="str">
        <f t="shared" si="1522"/>
        <v>99999</v>
      </c>
      <c r="B45984" s="1" t="str">
        <f>"56433"</f>
        <v>56433</v>
      </c>
      <c r="C45984" s="2">
        <v>9.3645670333029904E-5</v>
      </c>
      <c r="D45984" s="2">
        <v>2.8608469010252301E-5</v>
      </c>
      <c r="E45984" s="2">
        <v>3.8709510926834699E-5</v>
      </c>
      <c r="F45984" s="2">
        <v>8.8122802727484602E-5</v>
      </c>
    </row>
    <row r="45985" spans="1:6" x14ac:dyDescent="0.25">
      <c r="A45985" s="1" t="str">
        <f t="shared" si="1522"/>
        <v>99999</v>
      </c>
      <c r="B45985" s="1" t="str">
        <f>"56296"</f>
        <v>56296</v>
      </c>
      <c r="C45985" s="2">
        <v>1.2991306867009899E-4</v>
      </c>
      <c r="D45985" s="2">
        <v>2.4693625882533601E-4</v>
      </c>
      <c r="E45985" s="2">
        <v>1.8924649786452501E-4</v>
      </c>
      <c r="F45985" s="2">
        <v>1.38943903964499E-4</v>
      </c>
    </row>
    <row r="45986" spans="1:6" x14ac:dyDescent="0.25">
      <c r="A45986" s="1" t="str">
        <f t="shared" si="1522"/>
        <v>99999</v>
      </c>
      <c r="B45986" s="1" t="str">
        <f>"56329"</f>
        <v>56329</v>
      </c>
      <c r="C45986" s="2">
        <v>1.5914350912087102E-5</v>
      </c>
      <c r="D45986" s="2">
        <v>4.5171266858293203E-6</v>
      </c>
      <c r="E45986" s="2">
        <v>0</v>
      </c>
      <c r="F45986" s="2">
        <v>1.4802262496217999E-5</v>
      </c>
    </row>
    <row r="45987" spans="1:6" x14ac:dyDescent="0.25">
      <c r="A45987" s="1" t="str">
        <f t="shared" si="1522"/>
        <v>99999</v>
      </c>
      <c r="B45987" s="1" t="str">
        <f>"56343"</f>
        <v>56343</v>
      </c>
      <c r="C45987" s="2">
        <v>7.47000144853071E-6</v>
      </c>
      <c r="D45987" s="2">
        <v>0</v>
      </c>
      <c r="E45987" s="2">
        <v>0</v>
      </c>
      <c r="F45987" s="2">
        <v>6.8090407482602902E-6</v>
      </c>
    </row>
    <row r="45988" spans="1:6" x14ac:dyDescent="0.25">
      <c r="A45988" s="1" t="str">
        <f t="shared" si="1522"/>
        <v>99999</v>
      </c>
      <c r="B45988" s="1" t="str">
        <f>"56501"</f>
        <v>56501</v>
      </c>
      <c r="C45988" s="2">
        <v>1.0472075943715499E-3</v>
      </c>
      <c r="D45988" s="2">
        <v>1.2286584585455701E-3</v>
      </c>
      <c r="E45988" s="2">
        <v>1.4365529610625299E-3</v>
      </c>
      <c r="F45988" s="2">
        <v>1.06803257997711E-3</v>
      </c>
    </row>
    <row r="45989" spans="1:6" x14ac:dyDescent="0.25">
      <c r="A45989" s="1" t="str">
        <f t="shared" si="1522"/>
        <v>99999</v>
      </c>
      <c r="B45989" s="1" t="str">
        <f>"56502"</f>
        <v>56502</v>
      </c>
      <c r="C45989" s="2">
        <v>9.6243931706431902E-5</v>
      </c>
      <c r="D45989" s="2">
        <v>4.1557565509629698E-4</v>
      </c>
      <c r="E45989" s="2">
        <v>8.6021135392965999E-6</v>
      </c>
      <c r="F45989" s="2">
        <v>1.15161602220576E-4</v>
      </c>
    </row>
    <row r="45990" spans="1:6" x14ac:dyDescent="0.25">
      <c r="A45990" s="1" t="str">
        <f t="shared" si="1522"/>
        <v>99999</v>
      </c>
      <c r="B45990" s="1" t="str">
        <f>"56751"</f>
        <v>56751</v>
      </c>
      <c r="C45990" s="2">
        <v>3.0702788562366802E-4</v>
      </c>
      <c r="D45990" s="2">
        <v>4.11058528410468E-4</v>
      </c>
      <c r="E45990" s="2">
        <v>4.3440673373447799E-4</v>
      </c>
      <c r="F45990" s="2">
        <v>3.1676841741906501E-4</v>
      </c>
    </row>
    <row r="45991" spans="1:6" x14ac:dyDescent="0.25">
      <c r="A45991" s="1" t="str">
        <f t="shared" si="1522"/>
        <v>99999</v>
      </c>
      <c r="B45991" s="1" t="str">
        <f>"56713"</f>
        <v>56713</v>
      </c>
      <c r="C45991" s="2">
        <v>4.3087834442249601E-5</v>
      </c>
      <c r="D45991" s="2">
        <v>2.1079924533870101E-5</v>
      </c>
      <c r="E45991" s="2">
        <v>4.3010567696482999E-5</v>
      </c>
      <c r="F45991" s="2">
        <v>4.1643698489360001E-5</v>
      </c>
    </row>
    <row r="45992" spans="1:6" x14ac:dyDescent="0.25">
      <c r="A45992" s="1" t="str">
        <f t="shared" si="1522"/>
        <v>99999</v>
      </c>
      <c r="B45992" s="1" t="str">
        <f>"56715"</f>
        <v>56715</v>
      </c>
      <c r="C45992" s="2">
        <v>1.85126122854891E-5</v>
      </c>
      <c r="D45992" s="2">
        <v>4.5171266858293203E-6</v>
      </c>
      <c r="E45992" s="2">
        <v>4.3010567696482999E-6</v>
      </c>
      <c r="F45992" s="2">
        <v>1.7269306245587602E-5</v>
      </c>
    </row>
    <row r="45993" spans="1:6" x14ac:dyDescent="0.25">
      <c r="A45993" s="1" t="str">
        <f t="shared" si="1522"/>
        <v>99999</v>
      </c>
      <c r="B45993" s="1" t="str">
        <f>"56083"</f>
        <v>56083</v>
      </c>
      <c r="C45993" s="2">
        <v>2.6199135515136701E-5</v>
      </c>
      <c r="D45993" s="2">
        <v>1.35513800574879E-5</v>
      </c>
      <c r="E45993" s="2">
        <v>4.3010567696482999E-6</v>
      </c>
      <c r="F45993" s="2">
        <v>2.4867800993646201E-5</v>
      </c>
    </row>
    <row r="45994" spans="1:6" x14ac:dyDescent="0.25">
      <c r="A45994" s="1" t="str">
        <f t="shared" si="1522"/>
        <v>99999</v>
      </c>
      <c r="B45994" s="1" t="str">
        <f>"56113"</f>
        <v>56113</v>
      </c>
      <c r="C45994" s="2">
        <v>1.23417415236594E-5</v>
      </c>
      <c r="D45994" s="2">
        <v>3.01141779055288E-6</v>
      </c>
      <c r="E45994" s="2">
        <v>0</v>
      </c>
      <c r="F45994" s="2">
        <v>1.14470829970752E-5</v>
      </c>
    </row>
    <row r="45995" spans="1:6" x14ac:dyDescent="0.25">
      <c r="A45995" s="1" t="str">
        <f t="shared" si="1522"/>
        <v>99999</v>
      </c>
      <c r="B45995" s="1" t="str">
        <f>"56116"</f>
        <v>56116</v>
      </c>
      <c r="C45995" s="2">
        <v>3.1720440933615901E-5</v>
      </c>
      <c r="D45995" s="2">
        <v>6.0228355811057601E-6</v>
      </c>
      <c r="E45995" s="2">
        <v>4.3010567696482999E-6</v>
      </c>
      <c r="F45995" s="2">
        <v>2.9407161492486401E-5</v>
      </c>
    </row>
    <row r="45996" spans="1:6" x14ac:dyDescent="0.25">
      <c r="A45996" s="1" t="str">
        <f t="shared" si="1522"/>
        <v>99999</v>
      </c>
      <c r="B45996" s="1" t="str">
        <f>"56123"</f>
        <v>56123</v>
      </c>
      <c r="C45996" s="2">
        <v>3.1503919152499101E-5</v>
      </c>
      <c r="D45996" s="2">
        <v>3.01141779055288E-5</v>
      </c>
      <c r="E45996" s="2">
        <v>8.6021135392965999E-6</v>
      </c>
      <c r="F45996" s="2">
        <v>3.0887387742108201E-5</v>
      </c>
    </row>
    <row r="45997" spans="1:6" x14ac:dyDescent="0.25">
      <c r="A45997" s="1" t="str">
        <f t="shared" si="1522"/>
        <v>99999</v>
      </c>
      <c r="B45997" s="1" t="str">
        <f>"56215"</f>
        <v>56215</v>
      </c>
      <c r="C45997" s="2">
        <v>2.5993439823075699E-4</v>
      </c>
      <c r="D45997" s="2">
        <v>3.4932446370413399E-4</v>
      </c>
      <c r="E45997" s="2">
        <v>3.39783484802215E-4</v>
      </c>
      <c r="F45997" s="2">
        <v>2.67624905931621E-4</v>
      </c>
    </row>
    <row r="45998" spans="1:6" x14ac:dyDescent="0.25">
      <c r="A45998" s="1" t="str">
        <f t="shared" si="1522"/>
        <v>99999</v>
      </c>
      <c r="B45998" s="1" t="str">
        <f>"56134"</f>
        <v>56134</v>
      </c>
      <c r="C45998" s="2">
        <v>2.15439172211248E-5</v>
      </c>
      <c r="D45998" s="2">
        <v>1.50570889527644E-6</v>
      </c>
      <c r="E45998" s="2">
        <v>1.29031703089449E-5</v>
      </c>
      <c r="F45998" s="2">
        <v>2.0032395244881699E-5</v>
      </c>
    </row>
    <row r="45999" spans="1:6" x14ac:dyDescent="0.25">
      <c r="A45999" s="1" t="str">
        <f t="shared" si="1522"/>
        <v>99999</v>
      </c>
      <c r="B45999" s="1" t="str">
        <f>"56267"</f>
        <v>56267</v>
      </c>
      <c r="C45999" s="2">
        <v>3.4470267553799702E-4</v>
      </c>
      <c r="D45999" s="2">
        <v>6.2336348264444604E-4</v>
      </c>
      <c r="E45999" s="2">
        <v>7.0107225345267298E-4</v>
      </c>
      <c r="F45999" s="2">
        <v>3.7114206165517302E-4</v>
      </c>
    </row>
    <row r="46000" spans="1:6" x14ac:dyDescent="0.25">
      <c r="A46000" s="1" t="str">
        <f t="shared" si="1522"/>
        <v>99999</v>
      </c>
      <c r="B46000" s="1" t="str">
        <f>"56013"</f>
        <v>56013</v>
      </c>
      <c r="C46000" s="2">
        <v>2.3774091566628101E-4</v>
      </c>
      <c r="D46000" s="2">
        <v>4.4117270631599699E-4</v>
      </c>
      <c r="E46000" s="2">
        <v>2.7526763325749098E-4</v>
      </c>
      <c r="F46000" s="2">
        <v>2.5193450768563002E-4</v>
      </c>
    </row>
    <row r="46001" spans="1:6" x14ac:dyDescent="0.25">
      <c r="A46001" s="1" t="str">
        <f t="shared" si="1522"/>
        <v>99999</v>
      </c>
      <c r="B46001" s="1" t="str">
        <f>"56138"</f>
        <v>56138</v>
      </c>
      <c r="C46001" s="2">
        <v>4.3304356223366401E-5</v>
      </c>
      <c r="D46001" s="2">
        <v>2.1079924533870101E-5</v>
      </c>
      <c r="E46001" s="2">
        <v>5.1612681235779599E-5</v>
      </c>
      <c r="F46001" s="2">
        <v>4.2038425489259101E-5</v>
      </c>
    </row>
    <row r="46002" spans="1:6" x14ac:dyDescent="0.25">
      <c r="A46002" s="1" t="str">
        <f t="shared" si="1522"/>
        <v>99999</v>
      </c>
      <c r="B46002" s="1" t="str">
        <f>"56150"</f>
        <v>56150</v>
      </c>
      <c r="C46002" s="2">
        <v>1.57411334871937E-4</v>
      </c>
      <c r="D46002" s="2">
        <v>9.6365369297692093E-5</v>
      </c>
      <c r="E46002" s="2">
        <v>9.4623248932262599E-5</v>
      </c>
      <c r="F46002" s="2">
        <v>1.5196989496117099E-4</v>
      </c>
    </row>
    <row r="46003" spans="1:6" x14ac:dyDescent="0.25">
      <c r="A46003" s="1" t="str">
        <f t="shared" si="1522"/>
        <v>99999</v>
      </c>
      <c r="B46003" s="1" t="str">
        <f>"56175"</f>
        <v>56175</v>
      </c>
      <c r="C46003" s="2">
        <v>2.4900004828435702E-5</v>
      </c>
      <c r="D46003" s="2">
        <v>0</v>
      </c>
      <c r="E46003" s="2">
        <v>0</v>
      </c>
      <c r="F46003" s="2">
        <v>2.26968024942009E-5</v>
      </c>
    </row>
    <row r="46004" spans="1:6" x14ac:dyDescent="0.25">
      <c r="A46004" s="1" t="str">
        <f t="shared" si="1522"/>
        <v>99999</v>
      </c>
      <c r="B46004" s="1" t="str">
        <f>"56266"</f>
        <v>56266</v>
      </c>
      <c r="C46004" s="2">
        <v>6.8312621942360601E-5</v>
      </c>
      <c r="D46004" s="2">
        <v>3.6137013486634501E-5</v>
      </c>
      <c r="E46004" s="2">
        <v>4.3010567696482999E-5</v>
      </c>
      <c r="F46004" s="2">
        <v>6.5623363733233195E-5</v>
      </c>
    </row>
    <row r="46005" spans="1:6" x14ac:dyDescent="0.25">
      <c r="A46005" s="1" t="str">
        <f t="shared" si="1522"/>
        <v>99999</v>
      </c>
      <c r="B46005" s="1" t="str">
        <f>"56178"</f>
        <v>56178</v>
      </c>
      <c r="C46005" s="2">
        <v>9.1805235193536893E-5</v>
      </c>
      <c r="D46005" s="2">
        <v>4.0654140172463799E-5</v>
      </c>
      <c r="E46005" s="2">
        <v>1.37633816628745E-4</v>
      </c>
      <c r="F46005" s="2">
        <v>8.9504347227131598E-5</v>
      </c>
    </row>
    <row r="46006" spans="1:6" x14ac:dyDescent="0.25">
      <c r="A46006" s="1" t="str">
        <f t="shared" si="1522"/>
        <v>99999</v>
      </c>
      <c r="B46006" s="1" t="str">
        <f>"56025"</f>
        <v>56025</v>
      </c>
      <c r="C46006" s="2">
        <v>2.7065222639604001E-5</v>
      </c>
      <c r="D46006" s="2">
        <v>1.9574215638593701E-5</v>
      </c>
      <c r="E46006" s="2">
        <v>4.3010567696482999E-6</v>
      </c>
      <c r="F46006" s="2">
        <v>2.6051981993343701E-5</v>
      </c>
    </row>
    <row r="46007" spans="1:6" x14ac:dyDescent="0.25">
      <c r="A46007" s="1" t="str">
        <f t="shared" si="1522"/>
        <v>99999</v>
      </c>
      <c r="B46007" s="1" t="str">
        <f>"56263"</f>
        <v>56263</v>
      </c>
      <c r="C46007" s="2">
        <v>1.1150871727516799E-5</v>
      </c>
      <c r="D46007" s="2">
        <v>1.50570889527644E-6</v>
      </c>
      <c r="E46007" s="2">
        <v>4.3010567696482999E-6</v>
      </c>
      <c r="F46007" s="2">
        <v>1.03615837473526E-5</v>
      </c>
    </row>
    <row r="46008" spans="1:6" x14ac:dyDescent="0.25">
      <c r="A46008" s="1" t="str">
        <f t="shared" si="1522"/>
        <v>99999</v>
      </c>
      <c r="B46008" s="1" t="str">
        <f>"55310"</f>
        <v>55310</v>
      </c>
      <c r="C46008" s="2">
        <v>6.7121752146217999E-5</v>
      </c>
      <c r="D46008" s="2">
        <v>1.50570889527644E-5</v>
      </c>
      <c r="E46008" s="2">
        <v>3.8709510926834699E-5</v>
      </c>
      <c r="F46008" s="2">
        <v>6.3057638233888702E-5</v>
      </c>
    </row>
    <row r="46009" spans="1:6" x14ac:dyDescent="0.25">
      <c r="A46009" s="1" t="str">
        <f t="shared" si="1522"/>
        <v>99999</v>
      </c>
      <c r="B46009" s="1" t="str">
        <f>"55329"</f>
        <v>55329</v>
      </c>
      <c r="C46009" s="2">
        <v>5.8244359120427799E-5</v>
      </c>
      <c r="D46009" s="2">
        <v>2.1079924533870101E-5</v>
      </c>
      <c r="E46009" s="2">
        <v>6.8816908314372799E-5</v>
      </c>
      <c r="F46009" s="2">
        <v>5.6051233985678898E-5</v>
      </c>
    </row>
    <row r="46010" spans="1:6" x14ac:dyDescent="0.25">
      <c r="A46010" s="1" t="str">
        <f t="shared" si="1522"/>
        <v>99999</v>
      </c>
      <c r="B46010" s="1" t="str">
        <f>"55332"</f>
        <v>55332</v>
      </c>
      <c r="C46010" s="2">
        <v>8.0870885247136801E-5</v>
      </c>
      <c r="D46010" s="2">
        <v>6.9262609182716196E-5</v>
      </c>
      <c r="E46010" s="2">
        <v>4.7311624466131299E-5</v>
      </c>
      <c r="F46010" s="2">
        <v>7.9340126979728499E-5</v>
      </c>
    </row>
    <row r="46011" spans="1:6" x14ac:dyDescent="0.25">
      <c r="A46011" s="1" t="str">
        <f t="shared" si="1522"/>
        <v>99999</v>
      </c>
      <c r="B46011" s="1" t="str">
        <f>"55342"</f>
        <v>55342</v>
      </c>
      <c r="C46011" s="2">
        <v>9.5486105472522995E-5</v>
      </c>
      <c r="D46011" s="2">
        <v>2.8608469010252301E-5</v>
      </c>
      <c r="E46011" s="2">
        <v>6.4515851544724506E-5</v>
      </c>
      <c r="F46011" s="2">
        <v>9.0392482976904697E-5</v>
      </c>
    </row>
    <row r="46012" spans="1:6" x14ac:dyDescent="0.25">
      <c r="A46012" s="1" t="str">
        <f t="shared" si="1522"/>
        <v>99999</v>
      </c>
      <c r="B46012" s="1" t="str">
        <f>"57717"</f>
        <v>57717</v>
      </c>
      <c r="C46012" s="2">
        <v>4.4224573793113001E-4</v>
      </c>
      <c r="D46012" s="2">
        <v>6.2486919153972203E-4</v>
      </c>
      <c r="E46012" s="2">
        <v>8.7311452423860503E-4</v>
      </c>
      <c r="F46012" s="2">
        <v>4.6410027013142201E-4</v>
      </c>
    </row>
    <row r="46013" spans="1:6" x14ac:dyDescent="0.25">
      <c r="A46013" s="1" t="str">
        <f t="shared" si="1522"/>
        <v>99999</v>
      </c>
      <c r="B46013" s="1" t="str">
        <f>"57762"</f>
        <v>57762</v>
      </c>
      <c r="C46013" s="2">
        <v>2.4358700375643599E-5</v>
      </c>
      <c r="D46013" s="2">
        <v>7.5285444763821999E-6</v>
      </c>
      <c r="E46013" s="2">
        <v>1.29031703089449E-5</v>
      </c>
      <c r="F46013" s="2">
        <v>2.2992847744125301E-5</v>
      </c>
    </row>
    <row r="46014" spans="1:6" x14ac:dyDescent="0.25">
      <c r="A46014" s="1" t="str">
        <f t="shared" si="1522"/>
        <v>99999</v>
      </c>
      <c r="B46014" s="1" t="str">
        <f>"57538"</f>
        <v>57538</v>
      </c>
      <c r="C46014" s="2">
        <v>1.8079568723255499E-5</v>
      </c>
      <c r="D46014" s="2">
        <v>1.80685067433172E-5</v>
      </c>
      <c r="E46014" s="2">
        <v>8.6021135392965999E-6</v>
      </c>
      <c r="F46014" s="2">
        <v>1.7861396745436401E-5</v>
      </c>
    </row>
    <row r="46015" spans="1:6" x14ac:dyDescent="0.25">
      <c r="A46015" s="1" t="str">
        <f t="shared" si="1522"/>
        <v>99999</v>
      </c>
      <c r="B46015" s="1" t="str">
        <f>"58046"</f>
        <v>58046</v>
      </c>
      <c r="C46015" s="2">
        <v>2.86891359979802E-5</v>
      </c>
      <c r="D46015" s="2">
        <v>1.20456711622115E-5</v>
      </c>
      <c r="E46015" s="2">
        <v>8.6021135392965999E-5</v>
      </c>
      <c r="F46015" s="2">
        <v>2.89137527426125E-5</v>
      </c>
    </row>
    <row r="46016" spans="1:6" x14ac:dyDescent="0.25">
      <c r="A46016" s="1" t="str">
        <f t="shared" si="1522"/>
        <v>99999</v>
      </c>
      <c r="B46016" s="1" t="str">
        <f>"57738"</f>
        <v>57738</v>
      </c>
      <c r="C46016" s="2">
        <v>1.42904375537109E-5</v>
      </c>
      <c r="D46016" s="2">
        <v>0</v>
      </c>
      <c r="E46016" s="2">
        <v>4.3010567696482999E-6</v>
      </c>
      <c r="F46016" s="2">
        <v>1.31246727466466E-5</v>
      </c>
    </row>
    <row r="46017" spans="1:6" x14ac:dyDescent="0.25">
      <c r="A46017" s="1" t="str">
        <f t="shared" si="1522"/>
        <v>99999</v>
      </c>
      <c r="B46017" s="1" t="str">
        <f>"57764"</f>
        <v>57764</v>
      </c>
      <c r="C46017" s="2">
        <v>6.2141751180530796E-5</v>
      </c>
      <c r="D46017" s="2">
        <v>1.50570889527644E-6</v>
      </c>
      <c r="E46017" s="2">
        <v>8.6021135392965999E-6</v>
      </c>
      <c r="F46017" s="2">
        <v>5.6939369735451902E-5</v>
      </c>
    </row>
    <row r="46018" spans="1:6" x14ac:dyDescent="0.25">
      <c r="A46018" s="1" t="str">
        <f t="shared" si="1522"/>
        <v>99999</v>
      </c>
      <c r="B46018" s="1" t="str">
        <f>"57544"</f>
        <v>57544</v>
      </c>
      <c r="C46018" s="2">
        <v>1.49400028970614E-5</v>
      </c>
      <c r="D46018" s="2">
        <v>9.0342533716586405E-6</v>
      </c>
      <c r="E46018" s="2">
        <v>4.3010567696482999E-6</v>
      </c>
      <c r="F46018" s="2">
        <v>1.4308853746344E-5</v>
      </c>
    </row>
    <row r="46019" spans="1:6" x14ac:dyDescent="0.25">
      <c r="A46019" s="1" t="str">
        <f t="shared" si="1522"/>
        <v>99999</v>
      </c>
      <c r="B46019" s="1" t="str">
        <f>"58049"</f>
        <v>58049</v>
      </c>
      <c r="C46019" s="2">
        <v>2.5766091952903002E-5</v>
      </c>
      <c r="D46019" s="2">
        <v>1.50570889527644E-5</v>
      </c>
      <c r="E46019" s="2">
        <v>1.29031703089449E-5</v>
      </c>
      <c r="F46019" s="2">
        <v>2.4769119243671401E-5</v>
      </c>
    </row>
    <row r="46020" spans="1:6" x14ac:dyDescent="0.25">
      <c r="A46020" s="1" t="str">
        <f t="shared" si="1522"/>
        <v>99999</v>
      </c>
      <c r="B46020" s="1" t="str">
        <f>"57440"</f>
        <v>57440</v>
      </c>
      <c r="C46020" s="2">
        <v>2.0244786534423801E-5</v>
      </c>
      <c r="D46020" s="2">
        <v>9.0342533716586405E-6</v>
      </c>
      <c r="E46020" s="2">
        <v>1.72042270785932E-5</v>
      </c>
      <c r="F46020" s="2">
        <v>1.9440304745033001E-5</v>
      </c>
    </row>
    <row r="46021" spans="1:6" x14ac:dyDescent="0.25">
      <c r="A46021" s="1" t="str">
        <f t="shared" si="1522"/>
        <v>99999</v>
      </c>
      <c r="B46021" s="1" t="str">
        <f>"58063"</f>
        <v>58063</v>
      </c>
      <c r="C46021" s="2">
        <v>2.32760914700594E-5</v>
      </c>
      <c r="D46021" s="2">
        <v>7.5285444763821999E-6</v>
      </c>
      <c r="E46021" s="2">
        <v>1.72042270785932E-5</v>
      </c>
      <c r="F46021" s="2">
        <v>2.2104711994352199E-5</v>
      </c>
    </row>
    <row r="46022" spans="1:6" x14ac:dyDescent="0.25">
      <c r="A46022" s="1" t="str">
        <f t="shared" ref="A46022:A46085" si="1523">"99999"</f>
        <v>99999</v>
      </c>
      <c r="B46022" s="1" t="str">
        <f>"57422"</f>
        <v>57422</v>
      </c>
      <c r="C46022" s="2">
        <v>1.41821766631525E-5</v>
      </c>
      <c r="D46022" s="2">
        <v>7.5285444763821999E-6</v>
      </c>
      <c r="E46022" s="2">
        <v>1.29031703089449E-5</v>
      </c>
      <c r="F46022" s="2">
        <v>1.37167632464953E-5</v>
      </c>
    </row>
    <row r="46023" spans="1:6" x14ac:dyDescent="0.25">
      <c r="A46023" s="1" t="str">
        <f t="shared" si="1523"/>
        <v>99999</v>
      </c>
      <c r="B46023" s="1" t="str">
        <f>"59860"</f>
        <v>59860</v>
      </c>
      <c r="C46023" s="2">
        <v>7.8954667484252899E-4</v>
      </c>
      <c r="D46023" s="2">
        <v>1.2286584585455701E-3</v>
      </c>
      <c r="E46023" s="2">
        <v>1.2645106902765999E-3</v>
      </c>
      <c r="F46023" s="2">
        <v>8.2922274503813298E-4</v>
      </c>
    </row>
    <row r="46024" spans="1:6" x14ac:dyDescent="0.25">
      <c r="A46024" s="1" t="str">
        <f t="shared" si="1523"/>
        <v>99999</v>
      </c>
      <c r="B46024" s="1" t="str">
        <f>"59935"</f>
        <v>59935</v>
      </c>
      <c r="C46024" s="2">
        <v>1.9367873320900601E-4</v>
      </c>
      <c r="D46024" s="2">
        <v>5.5711229125228301E-5</v>
      </c>
      <c r="E46024" s="2">
        <v>9.0322192162614306E-5</v>
      </c>
      <c r="F46024" s="2">
        <v>1.8226519220343099E-4</v>
      </c>
    </row>
    <row r="46025" spans="1:6" x14ac:dyDescent="0.25">
      <c r="A46025" s="1" t="str">
        <f t="shared" si="1523"/>
        <v>99999</v>
      </c>
      <c r="B46025" s="1" t="str">
        <f>"59930"</f>
        <v>59930</v>
      </c>
      <c r="C46025" s="2">
        <v>5.1965227468039699E-5</v>
      </c>
      <c r="D46025" s="2">
        <v>1.65627978480408E-5</v>
      </c>
      <c r="E46025" s="2">
        <v>4.3010567696482999E-6</v>
      </c>
      <c r="F46025" s="2">
        <v>4.8551420987595102E-5</v>
      </c>
    </row>
    <row r="46026" spans="1:6" x14ac:dyDescent="0.25">
      <c r="A46026" s="1" t="str">
        <f t="shared" si="1523"/>
        <v>99999</v>
      </c>
      <c r="B46026" s="1" t="str">
        <f>"58854"</f>
        <v>58854</v>
      </c>
      <c r="C46026" s="2">
        <v>7.4386057902687695E-4</v>
      </c>
      <c r="D46026" s="2">
        <v>8.28139892402042E-4</v>
      </c>
      <c r="E46026" s="2">
        <v>1.01504939763699E-3</v>
      </c>
      <c r="F46026" s="2">
        <v>7.5560615955694202E-4</v>
      </c>
    </row>
    <row r="46027" spans="1:6" x14ac:dyDescent="0.25">
      <c r="A46027" s="1" t="str">
        <f t="shared" si="1523"/>
        <v>99999</v>
      </c>
      <c r="B46027" s="1" t="str">
        <f>"59018"</f>
        <v>59018</v>
      </c>
      <c r="C46027" s="2">
        <v>1.5806090021528701E-5</v>
      </c>
      <c r="D46027" s="2">
        <v>9.0342533716586405E-6</v>
      </c>
      <c r="E46027" s="2">
        <v>1.29031703089449E-5</v>
      </c>
      <c r="F46027" s="2">
        <v>1.5295671246091901E-5</v>
      </c>
    </row>
    <row r="46028" spans="1:6" x14ac:dyDescent="0.25">
      <c r="A46028" s="1" t="str">
        <f t="shared" si="1523"/>
        <v>99999</v>
      </c>
      <c r="B46028" s="1" t="str">
        <f>"58545"</f>
        <v>58545</v>
      </c>
      <c r="C46028" s="2">
        <v>1.9237960252230501E-4</v>
      </c>
      <c r="D46028" s="2">
        <v>9.1848242611862802E-5</v>
      </c>
      <c r="E46028" s="2">
        <v>2.4085917910030401E-4</v>
      </c>
      <c r="F46028" s="2">
        <v>1.8690323445224601E-4</v>
      </c>
    </row>
    <row r="46029" spans="1:6" x14ac:dyDescent="0.25">
      <c r="A46029" s="1" t="str">
        <f t="shared" si="1523"/>
        <v>99999</v>
      </c>
      <c r="B46029" s="1" t="str">
        <f>"58601"</f>
        <v>58601</v>
      </c>
      <c r="C46029" s="2">
        <v>1.9920003862748499E-5</v>
      </c>
      <c r="D46029" s="2">
        <v>3.4631304591358098E-5</v>
      </c>
      <c r="E46029" s="2">
        <v>2.15052838482415E-5</v>
      </c>
      <c r="F46029" s="2">
        <v>2.0920530994654801E-5</v>
      </c>
    </row>
    <row r="46030" spans="1:6" x14ac:dyDescent="0.25">
      <c r="A46030" s="1" t="str">
        <f t="shared" si="1523"/>
        <v>99999</v>
      </c>
      <c r="B46030" s="1" t="str">
        <f>"58639"</f>
        <v>58639</v>
      </c>
      <c r="C46030" s="2">
        <v>1.1215828261851899E-4</v>
      </c>
      <c r="D46030" s="2">
        <v>1.68639396270961E-4</v>
      </c>
      <c r="E46030" s="2">
        <v>1.93547554634173E-4</v>
      </c>
      <c r="F46030" s="2">
        <v>1.1772732771992E-4</v>
      </c>
    </row>
    <row r="46031" spans="1:6" x14ac:dyDescent="0.25">
      <c r="A46031" s="1" t="str">
        <f t="shared" si="1523"/>
        <v>99999</v>
      </c>
      <c r="B46031" s="1" t="str">
        <f>"58640"</f>
        <v>58640</v>
      </c>
      <c r="C46031" s="2">
        <v>7.4266970923073396E-5</v>
      </c>
      <c r="D46031" s="2">
        <v>4.9688393544122498E-5</v>
      </c>
      <c r="E46031" s="2">
        <v>2.5376234940924903E-4</v>
      </c>
      <c r="F46031" s="2">
        <v>7.6774401480384101E-5</v>
      </c>
    </row>
    <row r="46032" spans="1:6" x14ac:dyDescent="0.25">
      <c r="A46032" s="1" t="str">
        <f t="shared" si="1523"/>
        <v>99999</v>
      </c>
      <c r="B46032" s="1" t="str">
        <f>"59047"</f>
        <v>59047</v>
      </c>
      <c r="C46032" s="2">
        <v>8.8438321497170101E-4</v>
      </c>
      <c r="D46032" s="2">
        <v>1.7059681783481999E-3</v>
      </c>
      <c r="E46032" s="2">
        <v>1.3763381662874499E-3</v>
      </c>
      <c r="F46032" s="2">
        <v>9.4951579825739796E-4</v>
      </c>
    </row>
    <row r="46033" spans="1:6" x14ac:dyDescent="0.25">
      <c r="A46033" s="1" t="str">
        <f t="shared" si="1523"/>
        <v>99999</v>
      </c>
      <c r="B46033" s="1" t="str">
        <f>"58632"</f>
        <v>58632</v>
      </c>
      <c r="C46033" s="2">
        <v>8.2278276824396208E-6</v>
      </c>
      <c r="D46033" s="2">
        <v>0</v>
      </c>
      <c r="E46033" s="2">
        <v>4.3010567696482999E-6</v>
      </c>
      <c r="F46033" s="2">
        <v>7.5984947480585801E-6</v>
      </c>
    </row>
    <row r="46034" spans="1:6" x14ac:dyDescent="0.25">
      <c r="A46034" s="1" t="str">
        <f t="shared" si="1523"/>
        <v>99999</v>
      </c>
      <c r="B46034" s="1" t="str">
        <f>"59072"</f>
        <v>59072</v>
      </c>
      <c r="C46034" s="2">
        <v>2.5939309377796501E-4</v>
      </c>
      <c r="D46034" s="2">
        <v>2.9361323457890499E-4</v>
      </c>
      <c r="E46034" s="2">
        <v>2.5806340617889802E-4</v>
      </c>
      <c r="F46034" s="2">
        <v>2.61605319183159E-4</v>
      </c>
    </row>
    <row r="46035" spans="1:6" x14ac:dyDescent="0.25">
      <c r="A46035" s="1" t="str">
        <f t="shared" si="1523"/>
        <v>99999</v>
      </c>
      <c r="B46035" s="1" t="str">
        <f>"58651"</f>
        <v>58651</v>
      </c>
      <c r="C46035" s="2">
        <v>2.0461308315540598E-5</v>
      </c>
      <c r="D46035" s="2">
        <v>4.5171266858293203E-6</v>
      </c>
      <c r="E46035" s="2">
        <v>4.3010567696482999E-6</v>
      </c>
      <c r="F46035" s="2">
        <v>1.9045577745133799E-5</v>
      </c>
    </row>
    <row r="46036" spans="1:6" x14ac:dyDescent="0.25">
      <c r="A46036" s="1" t="str">
        <f t="shared" si="1523"/>
        <v>99999</v>
      </c>
      <c r="B46036" s="1" t="str">
        <f>"58736"</f>
        <v>58736</v>
      </c>
      <c r="C46036" s="2">
        <v>2.49000048284357E-6</v>
      </c>
      <c r="D46036" s="2">
        <v>1.50570889527644E-6</v>
      </c>
      <c r="E46036" s="2">
        <v>0</v>
      </c>
      <c r="F46036" s="2">
        <v>2.3683619993948799E-6</v>
      </c>
    </row>
    <row r="46037" spans="1:6" x14ac:dyDescent="0.25">
      <c r="A46037" s="1" t="str">
        <f t="shared" si="1523"/>
        <v>99999</v>
      </c>
      <c r="B46037" s="1" t="str">
        <f>"58646"</f>
        <v>58646</v>
      </c>
      <c r="C46037" s="2">
        <v>9.1155669850186404E-5</v>
      </c>
      <c r="D46037" s="2">
        <v>4.9688393544122498E-5</v>
      </c>
      <c r="E46037" s="2">
        <v>1.07526419241207E-4</v>
      </c>
      <c r="F46037" s="2">
        <v>8.8813574977308094E-5</v>
      </c>
    </row>
    <row r="46038" spans="1:6" x14ac:dyDescent="0.25">
      <c r="A46038" s="1" t="str">
        <f t="shared" si="1523"/>
        <v>99999</v>
      </c>
      <c r="B46038" s="1" t="str">
        <f>"58730"</f>
        <v>58730</v>
      </c>
      <c r="C46038" s="2">
        <v>4.4170443347833698E-5</v>
      </c>
      <c r="D46038" s="2">
        <v>4.5171266858293203E-6</v>
      </c>
      <c r="E46038" s="2">
        <v>1.5913910047698701E-4</v>
      </c>
      <c r="F46038" s="2">
        <v>4.4209423988704398E-5</v>
      </c>
    </row>
    <row r="46039" spans="1:6" x14ac:dyDescent="0.25">
      <c r="A46039" s="1" t="str">
        <f t="shared" si="1523"/>
        <v>99999</v>
      </c>
      <c r="B46039" s="1" t="str">
        <f>"59427"</f>
        <v>59427</v>
      </c>
      <c r="C46039" s="2">
        <v>2.2312569544089499E-4</v>
      </c>
      <c r="D46039" s="2">
        <v>3.9901285724825602E-4</v>
      </c>
      <c r="E46039" s="2">
        <v>4.0860039311658801E-4</v>
      </c>
      <c r="F46039" s="2">
        <v>2.38908516688958E-4</v>
      </c>
    </row>
    <row r="46040" spans="1:6" x14ac:dyDescent="0.25">
      <c r="A46040" s="1" t="str">
        <f t="shared" si="1523"/>
        <v>99999</v>
      </c>
      <c r="B46040" s="1" t="str">
        <f>"59471"</f>
        <v>59471</v>
      </c>
      <c r="C46040" s="2">
        <v>1.1908697961425701E-5</v>
      </c>
      <c r="D46040" s="2">
        <v>7.5285444763821999E-6</v>
      </c>
      <c r="E46040" s="2">
        <v>4.3010567696482999E-6</v>
      </c>
      <c r="F46040" s="2">
        <v>1.14470829970752E-5</v>
      </c>
    </row>
    <row r="46041" spans="1:6" x14ac:dyDescent="0.25">
      <c r="A46041" s="1" t="str">
        <f t="shared" si="1523"/>
        <v>99999</v>
      </c>
      <c r="B46041" s="1" t="str">
        <f>"50052"</f>
        <v>50052</v>
      </c>
      <c r="C46041" s="2">
        <v>8.0113059013227898E-6</v>
      </c>
      <c r="D46041" s="2">
        <v>1.20456711622115E-5</v>
      </c>
      <c r="E46041" s="2">
        <v>4.3010567696482999E-6</v>
      </c>
      <c r="F46041" s="2">
        <v>8.1905852479073005E-6</v>
      </c>
    </row>
    <row r="46042" spans="1:6" x14ac:dyDescent="0.25">
      <c r="A46042" s="1" t="str">
        <f t="shared" si="1523"/>
        <v>99999</v>
      </c>
      <c r="B46042" s="1" t="str">
        <f>"50067"</f>
        <v>50067</v>
      </c>
      <c r="C46042" s="2">
        <v>2.15439172211248E-5</v>
      </c>
      <c r="D46042" s="2">
        <v>1.65627978480408E-5</v>
      </c>
      <c r="E46042" s="2">
        <v>8.6021135392965999E-6</v>
      </c>
      <c r="F46042" s="2">
        <v>2.0920530994654801E-5</v>
      </c>
    </row>
    <row r="46043" spans="1:6" x14ac:dyDescent="0.25">
      <c r="A46043" s="1" t="str">
        <f t="shared" si="1523"/>
        <v>99999</v>
      </c>
      <c r="B46043" s="1" t="str">
        <f>"50008"</f>
        <v>50008</v>
      </c>
      <c r="C46043" s="2">
        <v>5.2831314592507002E-5</v>
      </c>
      <c r="D46043" s="2">
        <v>3.01141779055288E-6</v>
      </c>
      <c r="E46043" s="2">
        <v>2.58063406178898E-5</v>
      </c>
      <c r="F46043" s="2">
        <v>4.8946147987494202E-5</v>
      </c>
    </row>
    <row r="46044" spans="1:6" x14ac:dyDescent="0.25">
      <c r="A46044" s="1" t="str">
        <f t="shared" si="1523"/>
        <v>99999</v>
      </c>
      <c r="B46044" s="1" t="str">
        <f>"49333"</f>
        <v>49333</v>
      </c>
      <c r="C46044" s="2">
        <v>5.5981706507756996E-4</v>
      </c>
      <c r="D46044" s="2">
        <v>3.0565890574111697E-4</v>
      </c>
      <c r="E46044" s="2">
        <v>2.79568690027139E-4</v>
      </c>
      <c r="F46044" s="2">
        <v>5.3673003811286499E-4</v>
      </c>
    </row>
    <row r="46045" spans="1:6" x14ac:dyDescent="0.25">
      <c r="A46045" s="1" t="str">
        <f t="shared" si="1523"/>
        <v>99999</v>
      </c>
      <c r="B46045" s="1" t="str">
        <f>"49425"</f>
        <v>49425</v>
      </c>
      <c r="C46045" s="2">
        <v>4.0922616631081298E-5</v>
      </c>
      <c r="D46045" s="2">
        <v>9.0342533716586405E-6</v>
      </c>
      <c r="E46045" s="2">
        <v>0</v>
      </c>
      <c r="F46045" s="2">
        <v>3.7893791990318099E-5</v>
      </c>
    </row>
    <row r="46046" spans="1:6" x14ac:dyDescent="0.25">
      <c r="A46046" s="1" t="str">
        <f t="shared" si="1523"/>
        <v>99999</v>
      </c>
      <c r="B46046" s="1" t="str">
        <f>"49421"</f>
        <v>49421</v>
      </c>
      <c r="C46046" s="2">
        <v>3.1731267022671699E-4</v>
      </c>
      <c r="D46046" s="2">
        <v>1.14433876041009E-4</v>
      </c>
      <c r="E46046" s="2">
        <v>8.6021135392965999E-5</v>
      </c>
      <c r="F46046" s="2">
        <v>2.98709657173679E-4</v>
      </c>
    </row>
    <row r="46047" spans="1:6" x14ac:dyDescent="0.25">
      <c r="A46047" s="1" t="str">
        <f t="shared" si="1523"/>
        <v>99999</v>
      </c>
      <c r="B46047" s="1" t="str">
        <f>"49056"</f>
        <v>49056</v>
      </c>
      <c r="C46047" s="2">
        <v>1.60226118026455E-4</v>
      </c>
      <c r="D46047" s="2">
        <v>3.7642722381910999E-5</v>
      </c>
      <c r="E46047" s="2">
        <v>1.72042270785932E-5</v>
      </c>
      <c r="F46047" s="2">
        <v>1.4891076071195299E-4</v>
      </c>
    </row>
    <row r="46048" spans="1:6" x14ac:dyDescent="0.25">
      <c r="A46048" s="1" t="str">
        <f t="shared" si="1523"/>
        <v>99999</v>
      </c>
      <c r="B46048" s="1" t="str">
        <f>"49073"</f>
        <v>49073</v>
      </c>
      <c r="C46048" s="2">
        <v>2.2225960831642801E-4</v>
      </c>
      <c r="D46048" s="2">
        <v>3.01141779055288E-5</v>
      </c>
      <c r="E46048" s="2">
        <v>1.03225362471559E-4</v>
      </c>
      <c r="F46048" s="2">
        <v>2.0693562969712701E-4</v>
      </c>
    </row>
    <row r="46049" spans="1:6" x14ac:dyDescent="0.25">
      <c r="A46049" s="1" t="str">
        <f t="shared" si="1523"/>
        <v>99999</v>
      </c>
      <c r="B46049" s="1" t="str">
        <f>"49064"</f>
        <v>49064</v>
      </c>
      <c r="C46049" s="2">
        <v>2.0504612671764E-4</v>
      </c>
      <c r="D46049" s="2">
        <v>8.1308280344927694E-5</v>
      </c>
      <c r="E46049" s="2">
        <v>1.2903170308944901E-4</v>
      </c>
      <c r="F46049" s="2">
        <v>1.9519250145012799E-4</v>
      </c>
    </row>
    <row r="46050" spans="1:6" x14ac:dyDescent="0.25">
      <c r="A46050" s="1" t="str">
        <f t="shared" si="1523"/>
        <v>99999</v>
      </c>
      <c r="B46050" s="1" t="str">
        <f>"49067"</f>
        <v>49067</v>
      </c>
      <c r="C46050" s="2">
        <v>2.4142178594526799E-5</v>
      </c>
      <c r="D46050" s="2">
        <v>3.01141779055288E-6</v>
      </c>
      <c r="E46050" s="2">
        <v>8.6021135392965999E-6</v>
      </c>
      <c r="F46050" s="2">
        <v>2.2400757244276601E-5</v>
      </c>
    </row>
    <row r="46051" spans="1:6" x14ac:dyDescent="0.25">
      <c r="A46051" s="1" t="str">
        <f t="shared" si="1523"/>
        <v>99999</v>
      </c>
      <c r="B46051" s="1" t="str">
        <f>"49026"</f>
        <v>49026</v>
      </c>
      <c r="C46051" s="2">
        <v>1.2233480633101E-4</v>
      </c>
      <c r="D46051" s="2">
        <v>8.88368248213099E-5</v>
      </c>
      <c r="E46051" s="2">
        <v>8.1720078623317706E-5</v>
      </c>
      <c r="F46051" s="2">
        <v>1.19207553969542E-4</v>
      </c>
    </row>
    <row r="46052" spans="1:6" x14ac:dyDescent="0.25">
      <c r="A46052" s="1" t="str">
        <f t="shared" si="1523"/>
        <v>99999</v>
      </c>
      <c r="B46052" s="1" t="str">
        <f>"54217"</f>
        <v>54217</v>
      </c>
      <c r="C46052" s="2">
        <v>2.3492613251176299E-5</v>
      </c>
      <c r="D46052" s="2">
        <v>4.5171266858293203E-6</v>
      </c>
      <c r="E46052" s="2">
        <v>8.6021135392965999E-6</v>
      </c>
      <c r="F46052" s="2">
        <v>2.1907348494402598E-5</v>
      </c>
    </row>
    <row r="46053" spans="1:6" x14ac:dyDescent="0.25">
      <c r="A46053" s="1" t="str">
        <f t="shared" si="1523"/>
        <v>99999</v>
      </c>
      <c r="B46053" s="1" t="str">
        <f>"53504"</f>
        <v>53504</v>
      </c>
      <c r="C46053" s="2">
        <v>7.2101753111905093E-5</v>
      </c>
      <c r="D46053" s="2">
        <v>2.4091342324423E-5</v>
      </c>
      <c r="E46053" s="2">
        <v>8.1720078623317706E-5</v>
      </c>
      <c r="F46053" s="2">
        <v>6.9175906732325495E-5</v>
      </c>
    </row>
    <row r="46054" spans="1:6" x14ac:dyDescent="0.25">
      <c r="A46054" s="1" t="str">
        <f t="shared" si="1523"/>
        <v>99999</v>
      </c>
      <c r="B46054" s="1" t="str">
        <f>"53565"</f>
        <v>53565</v>
      </c>
      <c r="C46054" s="2">
        <v>2.6740439967928698E-5</v>
      </c>
      <c r="D46054" s="2">
        <v>1.50570889527644E-6</v>
      </c>
      <c r="E46054" s="2">
        <v>4.3010567696482999E-6</v>
      </c>
      <c r="F46054" s="2">
        <v>2.4571755743721902E-5</v>
      </c>
    </row>
    <row r="46055" spans="1:6" x14ac:dyDescent="0.25">
      <c r="A46055" s="1" t="str">
        <f t="shared" si="1523"/>
        <v>99999</v>
      </c>
      <c r="B46055" s="1" t="str">
        <f>"53826"</f>
        <v>53826</v>
      </c>
      <c r="C46055" s="2">
        <v>6.7338273927334806E-5</v>
      </c>
      <c r="D46055" s="2">
        <v>1.0539962266935E-5</v>
      </c>
      <c r="E46055" s="2">
        <v>5.5913738005427899E-5</v>
      </c>
      <c r="F46055" s="2">
        <v>6.33536834838131E-5</v>
      </c>
    </row>
    <row r="46056" spans="1:6" x14ac:dyDescent="0.25">
      <c r="A46056" s="1" t="str">
        <f t="shared" si="1523"/>
        <v>99999</v>
      </c>
      <c r="B46056" s="1" t="str">
        <f>"53950"</f>
        <v>53950</v>
      </c>
      <c r="C46056" s="2">
        <v>3.4416137108520499E-4</v>
      </c>
      <c r="D46056" s="2">
        <v>2.24350625396189E-4</v>
      </c>
      <c r="E46056" s="2">
        <v>3.0107397387538101E-4</v>
      </c>
      <c r="F46056" s="2">
        <v>3.3532058641432498E-4</v>
      </c>
    </row>
    <row r="46057" spans="1:6" x14ac:dyDescent="0.25">
      <c r="A46057" s="1" t="str">
        <f t="shared" si="1523"/>
        <v>99999</v>
      </c>
      <c r="B46057" s="1" t="str">
        <f>"53964"</f>
        <v>53964</v>
      </c>
      <c r="C46057" s="2">
        <v>2.1089221480779399E-4</v>
      </c>
      <c r="D46057" s="2">
        <v>1.68639396270961E-4</v>
      </c>
      <c r="E46057" s="2">
        <v>2.9247186033608399E-4</v>
      </c>
      <c r="F46057" s="2">
        <v>2.0999476394634601E-4</v>
      </c>
    </row>
    <row r="46058" spans="1:6" x14ac:dyDescent="0.25">
      <c r="A46058" s="1" t="str">
        <f t="shared" si="1523"/>
        <v>99999</v>
      </c>
      <c r="B46058" s="1" t="str">
        <f>"53968"</f>
        <v>53968</v>
      </c>
      <c r="C46058" s="2">
        <v>9.1480452521861601E-5</v>
      </c>
      <c r="D46058" s="2">
        <v>4.3665557963016701E-5</v>
      </c>
      <c r="E46058" s="2">
        <v>7.3117965084021106E-5</v>
      </c>
      <c r="F46058" s="2">
        <v>8.7925439227534995E-5</v>
      </c>
    </row>
    <row r="46059" spans="1:6" x14ac:dyDescent="0.25">
      <c r="A46059" s="1" t="str">
        <f t="shared" si="1523"/>
        <v>99999</v>
      </c>
      <c r="B46059" s="1" t="str">
        <f>"53920"</f>
        <v>53920</v>
      </c>
      <c r="C46059" s="2">
        <v>3.6808702789861399E-5</v>
      </c>
      <c r="D46059" s="2">
        <v>1.20456711622115E-5</v>
      </c>
      <c r="E46059" s="2">
        <v>2.58063406178898E-5</v>
      </c>
      <c r="F46059" s="2">
        <v>3.49333394910745E-5</v>
      </c>
    </row>
    <row r="46060" spans="1:6" x14ac:dyDescent="0.25">
      <c r="A46060" s="1" t="str">
        <f t="shared" si="1523"/>
        <v>99999</v>
      </c>
      <c r="B46060" s="1" t="str">
        <f>"52590"</f>
        <v>52590</v>
      </c>
      <c r="C46060" s="2">
        <v>6.4415229882257597E-5</v>
      </c>
      <c r="D46060" s="2">
        <v>8.88368248213099E-5</v>
      </c>
      <c r="E46060" s="2">
        <v>5.5913738005427899E-5</v>
      </c>
      <c r="F46060" s="2">
        <v>6.5820727233182802E-5</v>
      </c>
    </row>
    <row r="46061" spans="1:6" x14ac:dyDescent="0.25">
      <c r="A46061" s="1" t="str">
        <f t="shared" si="1523"/>
        <v>99999</v>
      </c>
      <c r="B46061" s="1" t="str">
        <f>"52659"</f>
        <v>52659</v>
      </c>
      <c r="C46061" s="2">
        <v>7.5890884281449694E-5</v>
      </c>
      <c r="D46061" s="2">
        <v>6.3239773601610501E-5</v>
      </c>
      <c r="E46061" s="2">
        <v>6.0214794775076199E-5</v>
      </c>
      <c r="F46061" s="2">
        <v>7.4702084730913601E-5</v>
      </c>
    </row>
    <row r="46062" spans="1:6" x14ac:dyDescent="0.25">
      <c r="A46062" s="1" t="str">
        <f t="shared" si="1523"/>
        <v>99999</v>
      </c>
      <c r="B46062" s="1" t="str">
        <f>"52571"</f>
        <v>52571</v>
      </c>
      <c r="C46062" s="2">
        <v>1.0133219356267701E-4</v>
      </c>
      <c r="D46062" s="2">
        <v>6.3239773601610501E-5</v>
      </c>
      <c r="E46062" s="2">
        <v>1.29031703089449E-5</v>
      </c>
      <c r="F46062" s="2">
        <v>9.6806796725265793E-5</v>
      </c>
    </row>
    <row r="46063" spans="1:6" x14ac:dyDescent="0.25">
      <c r="A46063" s="1" t="str">
        <f t="shared" si="1523"/>
        <v>99999</v>
      </c>
      <c r="B46063" s="1" t="str">
        <f>"52654"</f>
        <v>52654</v>
      </c>
      <c r="C46063" s="2">
        <v>7.3725666470281405E-5</v>
      </c>
      <c r="D46063" s="2">
        <v>3.6137013486634501E-5</v>
      </c>
      <c r="E46063" s="2">
        <v>5.5913738005427899E-5</v>
      </c>
      <c r="F46063" s="2">
        <v>7.0853496481896902E-5</v>
      </c>
    </row>
    <row r="46064" spans="1:6" x14ac:dyDescent="0.25">
      <c r="A46064" s="1" t="str">
        <f t="shared" si="1523"/>
        <v>99999</v>
      </c>
      <c r="B46064" s="1" t="str">
        <f>"52630"</f>
        <v>52630</v>
      </c>
      <c r="C46064" s="2">
        <v>1.93786994099564E-5</v>
      </c>
      <c r="D46064" s="2">
        <v>1.50570889527644E-6</v>
      </c>
      <c r="E46064" s="2">
        <v>0</v>
      </c>
      <c r="F46064" s="2">
        <v>1.77627149954616E-5</v>
      </c>
    </row>
    <row r="46065" spans="1:6" x14ac:dyDescent="0.25">
      <c r="A46065" s="1" t="str">
        <f t="shared" si="1523"/>
        <v>99999</v>
      </c>
      <c r="B46065" s="1" t="str">
        <f>"52052"</f>
        <v>52052</v>
      </c>
      <c r="C46065" s="2">
        <v>1.92812646084539E-4</v>
      </c>
      <c r="D46065" s="2">
        <v>1.5207659842292001E-4</v>
      </c>
      <c r="E46065" s="2">
        <v>2.6666551971819401E-4</v>
      </c>
      <c r="F46065" s="2">
        <v>1.9183732195098501E-4</v>
      </c>
    </row>
    <row r="46066" spans="1:6" x14ac:dyDescent="0.25">
      <c r="A46066" s="1" t="str">
        <f t="shared" si="1523"/>
        <v>99999</v>
      </c>
      <c r="B46066" s="1" t="str">
        <f>"52306"</f>
        <v>52306</v>
      </c>
      <c r="C46066" s="2">
        <v>8.1087407028253704E-5</v>
      </c>
      <c r="D46066" s="2">
        <v>1.20456711622115E-5</v>
      </c>
      <c r="E46066" s="2">
        <v>8.6021135392965999E-5</v>
      </c>
      <c r="F46066" s="2">
        <v>7.6675719730409298E-5</v>
      </c>
    </row>
    <row r="46067" spans="1:6" x14ac:dyDescent="0.25">
      <c r="A46067" s="1" t="str">
        <f t="shared" si="1523"/>
        <v>99999</v>
      </c>
      <c r="B46067" s="1" t="str">
        <f>"52069"</f>
        <v>52069</v>
      </c>
      <c r="C46067" s="2">
        <v>8.6825234227849704E-5</v>
      </c>
      <c r="D46067" s="2">
        <v>5.1194102439398901E-5</v>
      </c>
      <c r="E46067" s="2">
        <v>5.5913738005427899E-5</v>
      </c>
      <c r="F46067" s="2">
        <v>8.3780805728593993E-5</v>
      </c>
    </row>
    <row r="46068" spans="1:6" x14ac:dyDescent="0.25">
      <c r="A46068" s="1" t="str">
        <f t="shared" si="1523"/>
        <v>99999</v>
      </c>
      <c r="B46068" s="1" t="str">
        <f>"52077"</f>
        <v>52077</v>
      </c>
      <c r="C46068" s="2">
        <v>2.2843047907825799E-5</v>
      </c>
      <c r="D46068" s="2">
        <v>1.9574215638593701E-5</v>
      </c>
      <c r="E46068" s="2">
        <v>0</v>
      </c>
      <c r="F46068" s="2">
        <v>2.2104711994352199E-5</v>
      </c>
    </row>
    <row r="46069" spans="1:6" x14ac:dyDescent="0.25">
      <c r="A46069" s="1" t="str">
        <f t="shared" si="1523"/>
        <v>99999</v>
      </c>
      <c r="B46069" s="1" t="str">
        <f>"52132"</f>
        <v>52132</v>
      </c>
      <c r="C46069" s="2">
        <v>1.0317262870217E-4</v>
      </c>
      <c r="D46069" s="2">
        <v>3.31255956960816E-5</v>
      </c>
      <c r="E46069" s="2">
        <v>1.3333275985909701E-4</v>
      </c>
      <c r="F46069" s="2">
        <v>9.9273840474635496E-5</v>
      </c>
    </row>
    <row r="46070" spans="1:6" x14ac:dyDescent="0.25">
      <c r="A46070" s="1" t="str">
        <f t="shared" si="1523"/>
        <v>99999</v>
      </c>
      <c r="B46070" s="1" t="str">
        <f>"52160"</f>
        <v>52160</v>
      </c>
      <c r="C46070" s="2">
        <v>4.4820008691184201E-5</v>
      </c>
      <c r="D46070" s="2">
        <v>1.80685067433172E-5</v>
      </c>
      <c r="E46070" s="2">
        <v>3.01073973875381E-5</v>
      </c>
      <c r="F46070" s="2">
        <v>4.2729197739082599E-5</v>
      </c>
    </row>
    <row r="46071" spans="1:6" x14ac:dyDescent="0.25">
      <c r="A46071" s="1" t="str">
        <f t="shared" si="1523"/>
        <v>99999</v>
      </c>
      <c r="B46071" s="1" t="str">
        <f>"52248"</f>
        <v>52248</v>
      </c>
      <c r="C46071" s="2">
        <v>6.3765664538907094E-5</v>
      </c>
      <c r="D46071" s="2">
        <v>5.5711229125228301E-5</v>
      </c>
      <c r="E46071" s="2">
        <v>5.5913738005427899E-5</v>
      </c>
      <c r="F46071" s="2">
        <v>6.3057638233888702E-5</v>
      </c>
    </row>
    <row r="46072" spans="1:6" x14ac:dyDescent="0.25">
      <c r="A46072" s="1" t="str">
        <f t="shared" si="1523"/>
        <v>99999</v>
      </c>
      <c r="B46072" s="1" t="str">
        <f>"52156"</f>
        <v>52156</v>
      </c>
      <c r="C46072" s="2">
        <v>3.6808702789861399E-5</v>
      </c>
      <c r="D46072" s="2">
        <v>1.50570889527644E-5</v>
      </c>
      <c r="E46072" s="2">
        <v>3.8709510926834699E-5</v>
      </c>
      <c r="F46072" s="2">
        <v>3.5426748240948397E-5</v>
      </c>
    </row>
    <row r="46073" spans="1:6" x14ac:dyDescent="0.25">
      <c r="A46073" s="1" t="str">
        <f t="shared" si="1523"/>
        <v>99999</v>
      </c>
      <c r="B46073" s="1" t="str">
        <f>"52211"</f>
        <v>52211</v>
      </c>
      <c r="C46073" s="2">
        <v>1.58926987339754E-4</v>
      </c>
      <c r="D46073" s="2">
        <v>4.9688393544122498E-5</v>
      </c>
      <c r="E46073" s="2">
        <v>1.67741214016283E-4</v>
      </c>
      <c r="F46073" s="2">
        <v>1.5196989496117099E-4</v>
      </c>
    </row>
    <row r="46074" spans="1:6" x14ac:dyDescent="0.25">
      <c r="A46074" s="1" t="str">
        <f t="shared" si="1523"/>
        <v>99999</v>
      </c>
      <c r="B46074" s="1" t="str">
        <f>"52316"</f>
        <v>52316</v>
      </c>
      <c r="C46074" s="2">
        <v>8.4768277307239805E-5</v>
      </c>
      <c r="D46074" s="2">
        <v>4.5171266858293199E-5</v>
      </c>
      <c r="E46074" s="2">
        <v>7.7419021853669399E-5</v>
      </c>
      <c r="F46074" s="2">
        <v>8.2004534229047796E-5</v>
      </c>
    </row>
    <row r="46075" spans="1:6" x14ac:dyDescent="0.25">
      <c r="A46075" s="1" t="str">
        <f t="shared" si="1523"/>
        <v>99999</v>
      </c>
      <c r="B46075" s="1" t="str">
        <f>"55072"</f>
        <v>55072</v>
      </c>
      <c r="C46075" s="2">
        <v>1.98009168831343E-4</v>
      </c>
      <c r="D46075" s="2">
        <v>1.3250238278432599E-4</v>
      </c>
      <c r="E46075" s="2">
        <v>1.41934873398393E-4</v>
      </c>
      <c r="F46075" s="2">
        <v>1.9242941245083399E-4</v>
      </c>
    </row>
    <row r="46076" spans="1:6" x14ac:dyDescent="0.25">
      <c r="A46076" s="1" t="str">
        <f t="shared" si="1523"/>
        <v>99999</v>
      </c>
      <c r="B46076" s="1" t="str">
        <f>"54754"</f>
        <v>54754</v>
      </c>
      <c r="C46076" s="2">
        <v>1.18653936052024E-4</v>
      </c>
      <c r="D46076" s="2">
        <v>4.2159849067740298E-5</v>
      </c>
      <c r="E46076" s="2">
        <v>6.8816908314372799E-5</v>
      </c>
      <c r="F46076" s="2">
        <v>1.12497194971256E-4</v>
      </c>
    </row>
    <row r="46077" spans="1:6" x14ac:dyDescent="0.25">
      <c r="A46077" s="1" t="str">
        <f t="shared" si="1523"/>
        <v>99999</v>
      </c>
      <c r="B46077" s="1" t="str">
        <f>"54652"</f>
        <v>54652</v>
      </c>
      <c r="C46077" s="2">
        <v>5.3047836373623898E-5</v>
      </c>
      <c r="D46077" s="2">
        <v>2.1079924533870101E-5</v>
      </c>
      <c r="E46077" s="2">
        <v>2.58063406178898E-5</v>
      </c>
      <c r="F46077" s="2">
        <v>5.0327692487141198E-5</v>
      </c>
    </row>
    <row r="46078" spans="1:6" x14ac:dyDescent="0.25">
      <c r="A46078" s="1" t="str">
        <f t="shared" si="1523"/>
        <v>99999</v>
      </c>
      <c r="B46078" s="1" t="str">
        <f>"54801"</f>
        <v>54801</v>
      </c>
      <c r="C46078" s="2">
        <v>4.5631965370372402E-4</v>
      </c>
      <c r="D46078" s="2">
        <v>5.3452665782313604E-4</v>
      </c>
      <c r="E46078" s="2">
        <v>4.7311624466131301E-4</v>
      </c>
      <c r="F46078" s="2">
        <v>4.6183058988200201E-4</v>
      </c>
    </row>
    <row r="46079" spans="1:6" x14ac:dyDescent="0.25">
      <c r="A46079" s="1" t="str">
        <f t="shared" si="1523"/>
        <v>99999</v>
      </c>
      <c r="B46079" s="1" t="str">
        <f>"54770"</f>
        <v>54770</v>
      </c>
      <c r="C46079" s="2">
        <v>9.4295235676380407E-5</v>
      </c>
      <c r="D46079" s="2">
        <v>7.3779735868545501E-5</v>
      </c>
      <c r="E46079" s="2">
        <v>9.8924305701910905E-5</v>
      </c>
      <c r="F46079" s="2">
        <v>9.3056890226223899E-5</v>
      </c>
    </row>
    <row r="46080" spans="1:6" x14ac:dyDescent="0.25">
      <c r="A46080" s="1" t="str">
        <f t="shared" si="1523"/>
        <v>99999</v>
      </c>
      <c r="B46080" s="1" t="str">
        <f>"54771"</f>
        <v>54771</v>
      </c>
      <c r="C46080" s="2">
        <v>1.9671003814464199E-4</v>
      </c>
      <c r="D46080" s="2">
        <v>1.15939584936285E-4</v>
      </c>
      <c r="E46080" s="2">
        <v>6.8816908314372799E-5</v>
      </c>
      <c r="F46080" s="2">
        <v>1.88482142451842E-4</v>
      </c>
    </row>
    <row r="46081" spans="1:6" x14ac:dyDescent="0.25">
      <c r="A46081" s="1" t="str">
        <f t="shared" si="1523"/>
        <v>99999</v>
      </c>
      <c r="B46081" s="1" t="str">
        <f>"54835"</f>
        <v>54835</v>
      </c>
      <c r="C46081" s="2">
        <v>6.75547957084516E-5</v>
      </c>
      <c r="D46081" s="2">
        <v>1.80685067433172E-5</v>
      </c>
      <c r="E46081" s="2">
        <v>3.01073973875381E-5</v>
      </c>
      <c r="F46081" s="2">
        <v>6.3452365233787904E-5</v>
      </c>
    </row>
    <row r="46082" spans="1:6" x14ac:dyDescent="0.25">
      <c r="A46082" s="1" t="str">
        <f t="shared" si="1523"/>
        <v>99999</v>
      </c>
      <c r="B46082" s="1" t="str">
        <f>"54859"</f>
        <v>54859</v>
      </c>
      <c r="C46082" s="2">
        <v>1.6358220563376599E-4</v>
      </c>
      <c r="D46082" s="2">
        <v>4.5171266858293199E-5</v>
      </c>
      <c r="E46082" s="2">
        <v>8.6021135392965999E-5</v>
      </c>
      <c r="F46082" s="2">
        <v>1.5404221171064201E-4</v>
      </c>
    </row>
    <row r="46083" spans="1:6" x14ac:dyDescent="0.25">
      <c r="A46083" s="1" t="str">
        <f t="shared" si="1523"/>
        <v>99999</v>
      </c>
      <c r="B46083" s="1" t="str">
        <f>"54888"</f>
        <v>54888</v>
      </c>
      <c r="C46083" s="2">
        <v>1.16596979131414E-4</v>
      </c>
      <c r="D46083" s="2">
        <v>4.3665557963016701E-5</v>
      </c>
      <c r="E46083" s="2">
        <v>4.3010567696482999E-6</v>
      </c>
      <c r="F46083" s="2">
        <v>1.09240697222089E-4</v>
      </c>
    </row>
    <row r="46084" spans="1:6" x14ac:dyDescent="0.25">
      <c r="A46084" s="1" t="str">
        <f t="shared" si="1523"/>
        <v>99999</v>
      </c>
      <c r="B46084" s="1" t="str">
        <f>"54865"</f>
        <v>54865</v>
      </c>
      <c r="C46084" s="2">
        <v>3.6916963680419897E-5</v>
      </c>
      <c r="D46084" s="2">
        <v>1.50570889527644E-6</v>
      </c>
      <c r="E46084" s="2">
        <v>1.29031703089449E-5</v>
      </c>
      <c r="F46084" s="2">
        <v>3.4045203741301401E-5</v>
      </c>
    </row>
    <row r="46085" spans="1:6" x14ac:dyDescent="0.25">
      <c r="A46085" s="1" t="str">
        <f t="shared" si="1523"/>
        <v>99999</v>
      </c>
      <c r="B46085" s="1" t="str">
        <f>"54626"</f>
        <v>54626</v>
      </c>
      <c r="C46085" s="2">
        <v>7.7081754077592296E-5</v>
      </c>
      <c r="D46085" s="2">
        <v>2.25856334291466E-5</v>
      </c>
      <c r="E46085" s="2">
        <v>6.8816908314372799E-5</v>
      </c>
      <c r="F46085" s="2">
        <v>7.3320540231266605E-5</v>
      </c>
    </row>
    <row r="46086" spans="1:6" x14ac:dyDescent="0.25">
      <c r="A46086" s="1" t="str">
        <f t="shared" ref="A46086:A46149" si="1524">"99999"</f>
        <v>99999</v>
      </c>
      <c r="B46086" s="1" t="str">
        <f>"54629"</f>
        <v>54629</v>
      </c>
      <c r="C46086" s="2">
        <v>1.4409524533325101E-4</v>
      </c>
      <c r="D46086" s="2">
        <v>4.5171266858293199E-5</v>
      </c>
      <c r="E46086" s="2">
        <v>9.8924305701910905E-5</v>
      </c>
      <c r="F46086" s="2">
        <v>1.3657554196510401E-4</v>
      </c>
    </row>
    <row r="46087" spans="1:6" x14ac:dyDescent="0.25">
      <c r="A46087" s="1" t="str">
        <f t="shared" si="1524"/>
        <v>99999</v>
      </c>
      <c r="B46087" s="1" t="str">
        <f>"54627"</f>
        <v>54627</v>
      </c>
      <c r="C46087" s="2">
        <v>1.0642045541892301E-4</v>
      </c>
      <c r="D46087" s="2">
        <v>4.0654140172463799E-5</v>
      </c>
      <c r="E46087" s="2">
        <v>1.2473064631979999E-4</v>
      </c>
      <c r="F46087" s="2">
        <v>1.0253033822380301E-4</v>
      </c>
    </row>
    <row r="46088" spans="1:6" x14ac:dyDescent="0.25">
      <c r="A46088" s="1" t="str">
        <f t="shared" si="1524"/>
        <v>99999</v>
      </c>
      <c r="B46088" s="1" t="str">
        <f>"54949"</f>
        <v>54949</v>
      </c>
      <c r="C46088" s="2">
        <v>1.7581568626686699E-4</v>
      </c>
      <c r="D46088" s="2">
        <v>9.1848242611862802E-5</v>
      </c>
      <c r="E46088" s="2">
        <v>1.11827476010855E-4</v>
      </c>
      <c r="F46088" s="2">
        <v>1.6884447420686E-4</v>
      </c>
    </row>
    <row r="46089" spans="1:6" x14ac:dyDescent="0.25">
      <c r="A46089" s="1" t="str">
        <f t="shared" si="1524"/>
        <v>99999</v>
      </c>
      <c r="B46089" s="1" t="str">
        <f>"54960"</f>
        <v>54960</v>
      </c>
      <c r="C46089" s="2">
        <v>2.2139352119196099E-4</v>
      </c>
      <c r="D46089" s="2">
        <v>6.9262609182716196E-5</v>
      </c>
      <c r="E46089" s="2">
        <v>4.7311624466131299E-5</v>
      </c>
      <c r="F46089" s="2">
        <v>2.07429038447001E-4</v>
      </c>
    </row>
    <row r="46090" spans="1:6" x14ac:dyDescent="0.25">
      <c r="A46090" s="1" t="str">
        <f t="shared" si="1524"/>
        <v>99999</v>
      </c>
      <c r="B46090" s="1" t="str">
        <f>"54977"</f>
        <v>54977</v>
      </c>
      <c r="C46090" s="2">
        <v>6.6796969474542693E-5</v>
      </c>
      <c r="D46090" s="2">
        <v>2.1079924533870101E-5</v>
      </c>
      <c r="E46090" s="2">
        <v>3.01073973875381E-5</v>
      </c>
      <c r="F46090" s="2">
        <v>6.2958956483913898E-5</v>
      </c>
    </row>
    <row r="46091" spans="1:6" x14ac:dyDescent="0.25">
      <c r="A46091" s="1" t="str">
        <f t="shared" si="1524"/>
        <v>99999</v>
      </c>
      <c r="B46091" s="1" t="str">
        <f>"54921"</f>
        <v>54921</v>
      </c>
      <c r="C46091" s="2">
        <v>5.8460880901544696E-6</v>
      </c>
      <c r="D46091" s="2">
        <v>6.0228355811057601E-6</v>
      </c>
      <c r="E46091" s="2">
        <v>0</v>
      </c>
      <c r="F46091" s="2">
        <v>5.7235414985376303E-6</v>
      </c>
    </row>
    <row r="46092" spans="1:6" x14ac:dyDescent="0.25">
      <c r="A46092" s="1" t="str">
        <f t="shared" si="1524"/>
        <v>99999</v>
      </c>
      <c r="B46092" s="1" t="str">
        <f>"54498"</f>
        <v>54498</v>
      </c>
      <c r="C46092" s="2">
        <v>1.0458002027943E-4</v>
      </c>
      <c r="D46092" s="2">
        <v>4.3665557963016701E-5</v>
      </c>
      <c r="E46092" s="2">
        <v>3.8709510926834699E-5</v>
      </c>
      <c r="F46092" s="2">
        <v>9.9076476974685902E-5</v>
      </c>
    </row>
    <row r="46093" spans="1:6" x14ac:dyDescent="0.25">
      <c r="A46093" s="1" t="str">
        <f t="shared" si="1524"/>
        <v>99999</v>
      </c>
      <c r="B46093" s="1" t="str">
        <f>"54470"</f>
        <v>54470</v>
      </c>
      <c r="C46093" s="2">
        <v>1.05662629185014E-4</v>
      </c>
      <c r="D46093" s="2">
        <v>6.4745482496886904E-5</v>
      </c>
      <c r="E46093" s="2">
        <v>1.2473064631979999E-4</v>
      </c>
      <c r="F46093" s="2">
        <v>1.03418473973576E-4</v>
      </c>
    </row>
    <row r="46094" spans="1:6" x14ac:dyDescent="0.25">
      <c r="A46094" s="1" t="str">
        <f t="shared" si="1524"/>
        <v>99999</v>
      </c>
      <c r="B46094" s="1" t="str">
        <f>"54540"</f>
        <v>54540</v>
      </c>
      <c r="C46094" s="2">
        <v>9.7976105955366604E-5</v>
      </c>
      <c r="D46094" s="2">
        <v>7.3779735868545501E-5</v>
      </c>
      <c r="E46094" s="2">
        <v>2.15052838482415E-5</v>
      </c>
      <c r="F46094" s="2">
        <v>9.4635798225820502E-5</v>
      </c>
    </row>
    <row r="46095" spans="1:6" x14ac:dyDescent="0.25">
      <c r="A46095" s="1" t="str">
        <f t="shared" si="1524"/>
        <v>99999</v>
      </c>
      <c r="B46095" s="1" t="str">
        <f>"54552"</f>
        <v>54552</v>
      </c>
      <c r="C46095" s="2">
        <v>3.0453788514082399E-4</v>
      </c>
      <c r="D46095" s="2">
        <v>3.1318745021749901E-4</v>
      </c>
      <c r="E46095" s="2">
        <v>3.2688031449327001E-4</v>
      </c>
      <c r="F46095" s="2">
        <v>3.0561737967191402E-4</v>
      </c>
    </row>
    <row r="46096" spans="1:6" x14ac:dyDescent="0.25">
      <c r="A46096" s="1" t="str">
        <f t="shared" si="1524"/>
        <v>99999</v>
      </c>
      <c r="B46096" s="1" t="str">
        <f>"54422"</f>
        <v>54422</v>
      </c>
      <c r="C46096" s="2">
        <v>4.36291388950417E-5</v>
      </c>
      <c r="D46096" s="2">
        <v>1.50570889527644E-5</v>
      </c>
      <c r="E46096" s="2">
        <v>8.6021135392965999E-6</v>
      </c>
      <c r="F46096" s="2">
        <v>4.0952926239536503E-5</v>
      </c>
    </row>
    <row r="46097" spans="1:6" x14ac:dyDescent="0.25">
      <c r="A46097" s="1" t="str">
        <f t="shared" si="1524"/>
        <v>99999</v>
      </c>
      <c r="B46097" s="1" t="str">
        <f>"54566"</f>
        <v>54566</v>
      </c>
      <c r="C46097" s="2">
        <v>9.5702627253639803E-5</v>
      </c>
      <c r="D46097" s="2">
        <v>3.6137013486634501E-5</v>
      </c>
      <c r="E46097" s="2">
        <v>5.5913738005427899E-5</v>
      </c>
      <c r="F46097" s="2">
        <v>9.0885891726778594E-5</v>
      </c>
    </row>
    <row r="46098" spans="1:6" x14ac:dyDescent="0.25">
      <c r="A46098" s="1" t="str">
        <f t="shared" si="1524"/>
        <v>99999</v>
      </c>
      <c r="B46098" s="1" t="str">
        <f>"54565"</f>
        <v>54565</v>
      </c>
      <c r="C46098" s="2">
        <v>8.4443494635564601E-6</v>
      </c>
      <c r="D46098" s="2">
        <v>3.01141779055288E-6</v>
      </c>
      <c r="E46098" s="2">
        <v>4.3010567696482999E-6</v>
      </c>
      <c r="F46098" s="2">
        <v>7.9932217479577302E-6</v>
      </c>
    </row>
    <row r="46099" spans="1:6" x14ac:dyDescent="0.25">
      <c r="A46099" s="1" t="str">
        <f t="shared" si="1524"/>
        <v>99999</v>
      </c>
      <c r="B46099" s="1" t="str">
        <f>"54515"</f>
        <v>54515</v>
      </c>
      <c r="C46099" s="2">
        <v>3.39939196353426E-5</v>
      </c>
      <c r="D46099" s="2">
        <v>6.0228355811057601E-6</v>
      </c>
      <c r="E46099" s="2">
        <v>4.3010567696482999E-6</v>
      </c>
      <c r="F46099" s="2">
        <v>3.1479478241956902E-5</v>
      </c>
    </row>
    <row r="46100" spans="1:6" x14ac:dyDescent="0.25">
      <c r="A46100" s="1" t="str">
        <f t="shared" si="1524"/>
        <v>99999</v>
      </c>
      <c r="B46100" s="1" t="str">
        <f>"54520"</f>
        <v>54520</v>
      </c>
      <c r="C46100" s="2">
        <v>2.4033917703968299E-4</v>
      </c>
      <c r="D46100" s="2">
        <v>2.8608469010252301E-4</v>
      </c>
      <c r="E46100" s="2">
        <v>2.79568690027139E-4</v>
      </c>
      <c r="F46100" s="2">
        <v>2.44237331187597E-4</v>
      </c>
    </row>
    <row r="46101" spans="1:6" x14ac:dyDescent="0.25">
      <c r="A46101" s="1" t="str">
        <f t="shared" si="1524"/>
        <v>99999</v>
      </c>
      <c r="B46101" s="1" t="str">
        <f>"54526"</f>
        <v>54526</v>
      </c>
      <c r="C46101" s="2">
        <v>4.8284357189053597E-5</v>
      </c>
      <c r="D46101" s="2">
        <v>2.1079924533870101E-5</v>
      </c>
      <c r="E46101" s="2">
        <v>3.01073973875381E-5</v>
      </c>
      <c r="F46101" s="2">
        <v>4.60843772382254E-5</v>
      </c>
    </row>
    <row r="46102" spans="1:6" x14ac:dyDescent="0.25">
      <c r="A46102" s="1" t="str">
        <f t="shared" si="1524"/>
        <v>99999</v>
      </c>
      <c r="B46102" s="1" t="str">
        <f>"54563"</f>
        <v>54563</v>
      </c>
      <c r="C46102" s="2">
        <v>3.8865659710471399E-5</v>
      </c>
      <c r="D46102" s="2">
        <v>9.0342533716586405E-6</v>
      </c>
      <c r="E46102" s="2">
        <v>4.3010567696482999E-6</v>
      </c>
      <c r="F46102" s="2">
        <v>3.6117520490771902E-5</v>
      </c>
    </row>
    <row r="46103" spans="1:6" x14ac:dyDescent="0.25">
      <c r="A46103" s="1" t="str">
        <f t="shared" si="1524"/>
        <v>99999</v>
      </c>
      <c r="B46103" s="1" t="str">
        <f>"55748"</f>
        <v>55748</v>
      </c>
      <c r="C46103" s="2">
        <v>6.2683055633322896E-5</v>
      </c>
      <c r="D46103" s="2">
        <v>1.65627978480408E-5</v>
      </c>
      <c r="E46103" s="2">
        <v>2.58063406178898E-5</v>
      </c>
      <c r="F46103" s="2">
        <v>5.8814322984972897E-5</v>
      </c>
    </row>
    <row r="46104" spans="1:6" x14ac:dyDescent="0.25">
      <c r="A46104" s="1" t="str">
        <f t="shared" si="1524"/>
        <v>99999</v>
      </c>
      <c r="B46104" s="1" t="str">
        <f>"57264"</f>
        <v>57264</v>
      </c>
      <c r="C46104" s="2">
        <v>1.1259132618075199E-5</v>
      </c>
      <c r="D46104" s="2">
        <v>1.50570889527644E-6</v>
      </c>
      <c r="E46104" s="2">
        <v>2.15052838482415E-5</v>
      </c>
      <c r="F46104" s="2">
        <v>1.08549924972265E-5</v>
      </c>
    </row>
    <row r="46105" spans="1:6" x14ac:dyDescent="0.25">
      <c r="A46105" s="1" t="str">
        <f t="shared" si="1524"/>
        <v>99999</v>
      </c>
      <c r="B46105" s="1" t="str">
        <f>"45616"</f>
        <v>45616</v>
      </c>
      <c r="C46105" s="2">
        <v>5.7594793777077398E-5</v>
      </c>
      <c r="D46105" s="2">
        <v>1.50570889527644E-5</v>
      </c>
      <c r="E46105" s="2">
        <v>8.6021135392965999E-6</v>
      </c>
      <c r="F46105" s="2">
        <v>5.3682871986284E-5</v>
      </c>
    </row>
    <row r="46106" spans="1:6" x14ac:dyDescent="0.25">
      <c r="A46106" s="1" t="str">
        <f t="shared" si="1524"/>
        <v>99999</v>
      </c>
      <c r="B46106" s="1" t="str">
        <f>"43724"</f>
        <v>43724</v>
      </c>
      <c r="C46106" s="2">
        <v>3.5293050322043602E-4</v>
      </c>
      <c r="D46106" s="2">
        <v>3.8094435050493901E-4</v>
      </c>
      <c r="E46106" s="2">
        <v>4.4300884727377501E-4</v>
      </c>
      <c r="F46106" s="2">
        <v>3.5683320790882902E-4</v>
      </c>
    </row>
    <row r="46107" spans="1:6" x14ac:dyDescent="0.25">
      <c r="A46107" s="1" t="str">
        <f t="shared" si="1524"/>
        <v>99999</v>
      </c>
      <c r="B46107" s="1" t="str">
        <f>"43793"</f>
        <v>43793</v>
      </c>
      <c r="C46107" s="2">
        <v>2.9208788272660601E-4</v>
      </c>
      <c r="D46107" s="2">
        <v>3.92990021667151E-4</v>
      </c>
      <c r="E46107" s="2">
        <v>1.93547554634173E-4</v>
      </c>
      <c r="F46107" s="2">
        <v>2.96439976924259E-4</v>
      </c>
    </row>
    <row r="46108" spans="1:6" x14ac:dyDescent="0.25">
      <c r="A46108" s="1" t="str">
        <f t="shared" si="1524"/>
        <v>99999</v>
      </c>
      <c r="B46108" s="1" t="str">
        <f>"46770"</f>
        <v>46770</v>
      </c>
      <c r="C46108" s="2">
        <v>8.2711320386629907E-5</v>
      </c>
      <c r="D46108" s="2">
        <v>3.31255956960816E-5</v>
      </c>
      <c r="E46108" s="2">
        <v>3.01073973875381E-5</v>
      </c>
      <c r="F46108" s="2">
        <v>7.8254627730005901E-5</v>
      </c>
    </row>
    <row r="46109" spans="1:6" x14ac:dyDescent="0.25">
      <c r="A46109" s="1" t="str">
        <f t="shared" si="1524"/>
        <v>99999</v>
      </c>
      <c r="B46109" s="1" t="str">
        <f>"46777"</f>
        <v>46777</v>
      </c>
      <c r="C46109" s="2">
        <v>2.9955788417513701E-4</v>
      </c>
      <c r="D46109" s="2">
        <v>1.4304234505126099E-4</v>
      </c>
      <c r="E46109" s="2">
        <v>1.37633816628745E-4</v>
      </c>
      <c r="F46109" s="2">
        <v>2.8558498442703302E-4</v>
      </c>
    </row>
    <row r="46110" spans="1:6" x14ac:dyDescent="0.25">
      <c r="A46110" s="1" t="str">
        <f t="shared" si="1524"/>
        <v>99999</v>
      </c>
      <c r="B46110" s="1" t="str">
        <f>"46781"</f>
        <v>46781</v>
      </c>
      <c r="C46110" s="2">
        <v>4.2979573551691197E-5</v>
      </c>
      <c r="D46110" s="2">
        <v>1.0539962266935E-5</v>
      </c>
      <c r="E46110" s="2">
        <v>4.3010567696482999E-6</v>
      </c>
      <c r="F46110" s="2">
        <v>3.99661087397886E-5</v>
      </c>
    </row>
    <row r="46111" spans="1:6" x14ac:dyDescent="0.25">
      <c r="A46111" s="1" t="str">
        <f t="shared" si="1524"/>
        <v>99999</v>
      </c>
      <c r="B46111" s="1" t="str">
        <f>"46574"</f>
        <v>46574</v>
      </c>
      <c r="C46111" s="2">
        <v>1.23092632564919E-4</v>
      </c>
      <c r="D46111" s="2">
        <v>4.3665557963016701E-5</v>
      </c>
      <c r="E46111" s="2">
        <v>2.58063406178898E-5</v>
      </c>
      <c r="F46111" s="2">
        <v>1.1565501097045E-4</v>
      </c>
    </row>
    <row r="46112" spans="1:6" x14ac:dyDescent="0.25">
      <c r="A46112" s="1" t="str">
        <f t="shared" si="1524"/>
        <v>99999</v>
      </c>
      <c r="B46112" s="1" t="str">
        <f>"47995"</f>
        <v>47995</v>
      </c>
      <c r="C46112" s="2">
        <v>7.6973493187033797E-5</v>
      </c>
      <c r="D46112" s="2">
        <v>8.1308280344927694E-5</v>
      </c>
      <c r="E46112" s="2">
        <v>1.07526419241207E-4</v>
      </c>
      <c r="F46112" s="2">
        <v>7.7958582480081503E-5</v>
      </c>
    </row>
    <row r="46113" spans="1:6" x14ac:dyDescent="0.25">
      <c r="A46113" s="1" t="str">
        <f t="shared" si="1524"/>
        <v>99999</v>
      </c>
      <c r="B46113" s="1" t="str">
        <f>"47394"</f>
        <v>47394</v>
      </c>
      <c r="C46113" s="2">
        <v>4.3520878004483197E-4</v>
      </c>
      <c r="D46113" s="2">
        <v>7.2123456083741499E-4</v>
      </c>
      <c r="E46113" s="2">
        <v>6.0214794775076202E-4</v>
      </c>
      <c r="F46113" s="2">
        <v>4.5778463813303598E-4</v>
      </c>
    </row>
    <row r="46114" spans="1:6" x14ac:dyDescent="0.25">
      <c r="A46114" s="1" t="str">
        <f t="shared" si="1524"/>
        <v>99999</v>
      </c>
      <c r="B46114" s="1" t="str">
        <f>"47326"</f>
        <v>47326</v>
      </c>
      <c r="C46114" s="2">
        <v>7.2101753111905093E-5</v>
      </c>
      <c r="D46114" s="2">
        <v>7.0768318077992694E-5</v>
      </c>
      <c r="E46114" s="2">
        <v>2.15052838482415E-5</v>
      </c>
      <c r="F46114" s="2">
        <v>7.0853496481896902E-5</v>
      </c>
    </row>
    <row r="46115" spans="1:6" x14ac:dyDescent="0.25">
      <c r="A46115" s="1" t="str">
        <f t="shared" si="1524"/>
        <v>99999</v>
      </c>
      <c r="B46115" s="1" t="str">
        <f>"47471"</f>
        <v>47471</v>
      </c>
      <c r="C46115" s="2">
        <v>1.3435176518299401E-4</v>
      </c>
      <c r="D46115" s="2">
        <v>1.7767364964261899E-4</v>
      </c>
      <c r="E46115" s="2">
        <v>6.4515851544724506E-5</v>
      </c>
      <c r="F46115" s="2">
        <v>1.35588724465357E-4</v>
      </c>
    </row>
    <row r="46116" spans="1:6" x14ac:dyDescent="0.25">
      <c r="A46116" s="1" t="str">
        <f t="shared" si="1524"/>
        <v>99999</v>
      </c>
      <c r="B46116" s="1" t="str">
        <f>"47520"</f>
        <v>47520</v>
      </c>
      <c r="C46116" s="2">
        <v>2.7768918428233702E-4</v>
      </c>
      <c r="D46116" s="2">
        <v>2.24350625396189E-4</v>
      </c>
      <c r="E46116" s="2">
        <v>1.11827476010855E-4</v>
      </c>
      <c r="F46116" s="2">
        <v>2.7038799493091502E-4</v>
      </c>
    </row>
    <row r="46117" spans="1:6" x14ac:dyDescent="0.25">
      <c r="A46117" s="1" t="str">
        <f t="shared" si="1524"/>
        <v>99999</v>
      </c>
      <c r="B46117" s="1" t="str">
        <f>"47443"</f>
        <v>47443</v>
      </c>
      <c r="C46117" s="2">
        <v>6.5822621459517007E-5</v>
      </c>
      <c r="D46117" s="2">
        <v>3.4631304591358098E-5</v>
      </c>
      <c r="E46117" s="2">
        <v>3.01073973875381E-5</v>
      </c>
      <c r="F46117" s="2">
        <v>6.2958956483913898E-5</v>
      </c>
    </row>
    <row r="46118" spans="1:6" x14ac:dyDescent="0.25">
      <c r="A46118" s="1" t="str">
        <f t="shared" si="1524"/>
        <v>99999</v>
      </c>
      <c r="B46118" s="1" t="str">
        <f>"47368"</f>
        <v>47368</v>
      </c>
      <c r="C46118" s="2">
        <v>8.9531756491810106E-5</v>
      </c>
      <c r="D46118" s="2">
        <v>3.01141779055288E-5</v>
      </c>
      <c r="E46118" s="2">
        <v>2.0214966817347E-4</v>
      </c>
      <c r="F46118" s="2">
        <v>8.8221484477459406E-5</v>
      </c>
    </row>
    <row r="46119" spans="1:6" x14ac:dyDescent="0.25">
      <c r="A46119" s="1" t="str">
        <f t="shared" si="1524"/>
        <v>99999</v>
      </c>
      <c r="B46119" s="1" t="str">
        <f>"47588"</f>
        <v>47588</v>
      </c>
      <c r="C46119" s="2">
        <v>4.1139138412198099E-5</v>
      </c>
      <c r="D46119" s="2">
        <v>3.1619886800805203E-5</v>
      </c>
      <c r="E46119" s="2">
        <v>1.67741214016283E-4</v>
      </c>
      <c r="F46119" s="2">
        <v>4.3419969988906097E-5</v>
      </c>
    </row>
    <row r="46120" spans="1:6" x14ac:dyDescent="0.25">
      <c r="A46120" s="1" t="str">
        <f t="shared" si="1524"/>
        <v>99999</v>
      </c>
      <c r="B46120" s="1" t="str">
        <f>"47551"</f>
        <v>47551</v>
      </c>
      <c r="C46120" s="2">
        <v>3.7133485461536698E-5</v>
      </c>
      <c r="D46120" s="2">
        <v>1.0539962266935E-5</v>
      </c>
      <c r="E46120" s="2">
        <v>8.6021135392965999E-6</v>
      </c>
      <c r="F46120" s="2">
        <v>3.4735975991124899E-5</v>
      </c>
    </row>
    <row r="46121" spans="1:6" x14ac:dyDescent="0.25">
      <c r="A46121" s="1" t="str">
        <f t="shared" si="1524"/>
        <v>99999</v>
      </c>
      <c r="B46121" s="1" t="str">
        <f>"47525"</f>
        <v>47525</v>
      </c>
      <c r="C46121" s="2">
        <v>3.2803049839199998E-5</v>
      </c>
      <c r="D46121" s="2">
        <v>7.5285444763821999E-6</v>
      </c>
      <c r="E46121" s="2">
        <v>8.6021135392965999E-6</v>
      </c>
      <c r="F46121" s="2">
        <v>3.0591342492183898E-5</v>
      </c>
    </row>
    <row r="46122" spans="1:6" x14ac:dyDescent="0.25">
      <c r="A46122" s="1" t="str">
        <f t="shared" si="1524"/>
        <v>99999</v>
      </c>
      <c r="B46122" s="1" t="str">
        <f>"48727"</f>
        <v>48727</v>
      </c>
      <c r="C46122" s="2">
        <v>1.8945655847722799E-5</v>
      </c>
      <c r="D46122" s="2">
        <v>1.50570889527644E-6</v>
      </c>
      <c r="E46122" s="2">
        <v>0</v>
      </c>
      <c r="F46122" s="2">
        <v>1.7367987995562399E-5</v>
      </c>
    </row>
    <row r="46123" spans="1:6" x14ac:dyDescent="0.25">
      <c r="A46123" s="1" t="str">
        <f t="shared" si="1524"/>
        <v>99999</v>
      </c>
      <c r="B46123" s="1" t="str">
        <f>"48749"</f>
        <v>48749</v>
      </c>
      <c r="C46123" s="2">
        <v>6.7013491255659595E-5</v>
      </c>
      <c r="D46123" s="2">
        <v>4.0654140172463799E-5</v>
      </c>
      <c r="E46123" s="2">
        <v>0</v>
      </c>
      <c r="F46123" s="2">
        <v>6.3748410483712207E-5</v>
      </c>
    </row>
    <row r="46124" spans="1:6" x14ac:dyDescent="0.25">
      <c r="A46124" s="1" t="str">
        <f t="shared" si="1524"/>
        <v>99999</v>
      </c>
      <c r="B46124" s="1" t="str">
        <f>"48750"</f>
        <v>48750</v>
      </c>
      <c r="C46124" s="2">
        <v>6.94277091151122E-4</v>
      </c>
      <c r="D46124" s="2">
        <v>7.4683161205711397E-4</v>
      </c>
      <c r="E46124" s="2">
        <v>1.5053698693769E-3</v>
      </c>
      <c r="F46124" s="2">
        <v>7.1633082306697704E-4</v>
      </c>
    </row>
    <row r="46125" spans="1:6" x14ac:dyDescent="0.25">
      <c r="A46125" s="1" t="str">
        <f t="shared" si="1524"/>
        <v>99999</v>
      </c>
      <c r="B46125" s="1" t="str">
        <f>"48738"</f>
        <v>48738</v>
      </c>
      <c r="C46125" s="2">
        <v>1.55895682404119E-4</v>
      </c>
      <c r="D46125" s="2">
        <v>3.6137013486634501E-5</v>
      </c>
      <c r="E46125" s="2">
        <v>5.5913738005427899E-5</v>
      </c>
      <c r="F46125" s="2">
        <v>1.4575294471276E-4</v>
      </c>
    </row>
    <row r="46126" spans="1:6" x14ac:dyDescent="0.25">
      <c r="A46126" s="1" t="str">
        <f t="shared" si="1524"/>
        <v>99999</v>
      </c>
      <c r="B46126" s="1" t="str">
        <f>"48760"</f>
        <v>48760</v>
      </c>
      <c r="C46126" s="2">
        <v>4.3087834442249601E-5</v>
      </c>
      <c r="D46126" s="2">
        <v>3.01141779055288E-6</v>
      </c>
      <c r="E46126" s="2">
        <v>2.15052838482415E-5</v>
      </c>
      <c r="F46126" s="2">
        <v>3.99661087397886E-5</v>
      </c>
    </row>
    <row r="46127" spans="1:6" x14ac:dyDescent="0.25">
      <c r="A46127" s="1" t="str">
        <f t="shared" si="1524"/>
        <v>99999</v>
      </c>
      <c r="B46127" s="1" t="str">
        <f>"48650"</f>
        <v>48650</v>
      </c>
      <c r="C46127" s="2">
        <v>2.21934825644753E-5</v>
      </c>
      <c r="D46127" s="2">
        <v>9.0342533716586405E-6</v>
      </c>
      <c r="E46127" s="2">
        <v>8.6021135392965999E-6</v>
      </c>
      <c r="F46127" s="2">
        <v>2.10192127446295E-5</v>
      </c>
    </row>
    <row r="46128" spans="1:6" x14ac:dyDescent="0.25">
      <c r="A46128" s="1" t="str">
        <f t="shared" si="1524"/>
        <v>99999</v>
      </c>
      <c r="B46128" s="1" t="str">
        <f>"49799"</f>
        <v>49799</v>
      </c>
      <c r="C46128" s="2">
        <v>1.7375872934625701E-4</v>
      </c>
      <c r="D46128" s="2">
        <v>5.4205520229951803E-5</v>
      </c>
      <c r="E46128" s="2">
        <v>6.0214794775076199E-5</v>
      </c>
      <c r="F46128" s="2">
        <v>1.6331829620827199E-4</v>
      </c>
    </row>
    <row r="46129" spans="1:6" x14ac:dyDescent="0.25">
      <c r="A46129" s="1" t="str">
        <f t="shared" si="1524"/>
        <v>99999</v>
      </c>
      <c r="B46129" s="1" t="str">
        <f>"51012"</f>
        <v>51012</v>
      </c>
      <c r="C46129" s="2">
        <v>3.6040050466896702E-4</v>
      </c>
      <c r="D46129" s="2">
        <v>6.4896053386414502E-4</v>
      </c>
      <c r="E46129" s="2">
        <v>5.7634160713287204E-4</v>
      </c>
      <c r="F46129" s="2">
        <v>3.84266734401819E-4</v>
      </c>
    </row>
    <row r="46130" spans="1:6" x14ac:dyDescent="0.25">
      <c r="A46130" s="1" t="str">
        <f t="shared" si="1524"/>
        <v>99999</v>
      </c>
      <c r="B46130" s="1" t="str">
        <f>"51055"</f>
        <v>51055</v>
      </c>
      <c r="C46130" s="2">
        <v>1.0393045493607899E-5</v>
      </c>
      <c r="D46130" s="2">
        <v>1.50570889527644E-6</v>
      </c>
      <c r="E46130" s="2">
        <v>1.72042270785932E-5</v>
      </c>
      <c r="F46130" s="2">
        <v>9.9668567474534592E-6</v>
      </c>
    </row>
    <row r="46131" spans="1:6" x14ac:dyDescent="0.25">
      <c r="A46131" s="1" t="str">
        <f t="shared" si="1524"/>
        <v>99999</v>
      </c>
      <c r="B46131" s="1" t="str">
        <f>"51048"</f>
        <v>51048</v>
      </c>
      <c r="C46131" s="2">
        <v>5.7378271995960499E-6</v>
      </c>
      <c r="D46131" s="2">
        <v>0</v>
      </c>
      <c r="E46131" s="2">
        <v>0</v>
      </c>
      <c r="F46131" s="2">
        <v>5.2301327486637002E-6</v>
      </c>
    </row>
    <row r="46132" spans="1:6" x14ac:dyDescent="0.25">
      <c r="A46132" s="1" t="str">
        <f t="shared" si="1524"/>
        <v>99999</v>
      </c>
      <c r="B46132" s="1" t="str">
        <f>"51247"</f>
        <v>51247</v>
      </c>
      <c r="C46132" s="2">
        <v>2.3904004635298199E-4</v>
      </c>
      <c r="D46132" s="2">
        <v>3.61370134866345E-4</v>
      </c>
      <c r="E46132" s="2">
        <v>4.4300884727377501E-4</v>
      </c>
      <c r="F46132" s="2">
        <v>2.5173714418568101E-4</v>
      </c>
    </row>
    <row r="46133" spans="1:6" x14ac:dyDescent="0.25">
      <c r="A46133" s="1" t="str">
        <f t="shared" si="1524"/>
        <v>99999</v>
      </c>
      <c r="B46133" s="1" t="str">
        <f>"50858"</f>
        <v>50858</v>
      </c>
      <c r="C46133" s="2">
        <v>4.2005225536665402E-5</v>
      </c>
      <c r="D46133" s="2">
        <v>7.5285444763821999E-6</v>
      </c>
      <c r="E46133" s="2">
        <v>3.01073973875381E-5</v>
      </c>
      <c r="F46133" s="2">
        <v>3.9472699989914703E-5</v>
      </c>
    </row>
    <row r="46134" spans="1:6" x14ac:dyDescent="0.25">
      <c r="A46134" s="1" t="str">
        <f t="shared" si="1524"/>
        <v>99999</v>
      </c>
      <c r="B46134" s="1" t="str">
        <f>"51235"</f>
        <v>51235</v>
      </c>
      <c r="C46134" s="2">
        <v>4.8284357189053597E-5</v>
      </c>
      <c r="D46134" s="2">
        <v>1.50570889527644E-5</v>
      </c>
      <c r="E46134" s="2">
        <v>3.01073973875381E-5</v>
      </c>
      <c r="F46134" s="2">
        <v>4.5689650238326198E-5</v>
      </c>
    </row>
    <row r="46135" spans="1:6" x14ac:dyDescent="0.25">
      <c r="A46135" s="1" t="str">
        <f t="shared" si="1524"/>
        <v>99999</v>
      </c>
      <c r="B46135" s="1" t="str">
        <f>"50846"</f>
        <v>50846</v>
      </c>
      <c r="C46135" s="2">
        <v>5.2939575483065501E-5</v>
      </c>
      <c r="D46135" s="2">
        <v>1.20456711622115E-5</v>
      </c>
      <c r="E46135" s="2">
        <v>5.5913738005427899E-5</v>
      </c>
      <c r="F46135" s="2">
        <v>5.0327692487141198E-5</v>
      </c>
    </row>
    <row r="46136" spans="1:6" x14ac:dyDescent="0.25">
      <c r="A46136" s="1" t="str">
        <f t="shared" si="1524"/>
        <v>99999</v>
      </c>
      <c r="B46136" s="1" t="str">
        <f>"51230"</f>
        <v>51230</v>
      </c>
      <c r="C46136" s="2">
        <v>2.0786090987215901E-5</v>
      </c>
      <c r="D46136" s="2">
        <v>1.50570889527644E-6</v>
      </c>
      <c r="E46136" s="2">
        <v>4.3010567696482999E-6</v>
      </c>
      <c r="F46136" s="2">
        <v>1.91442594951086E-5</v>
      </c>
    </row>
    <row r="46137" spans="1:6" x14ac:dyDescent="0.25">
      <c r="A46137" s="1" t="str">
        <f t="shared" si="1524"/>
        <v>99999</v>
      </c>
      <c r="B46137" s="1" t="str">
        <f>"51239"</f>
        <v>51239</v>
      </c>
      <c r="C46137" s="2">
        <v>1.3316089538685101E-4</v>
      </c>
      <c r="D46137" s="2">
        <v>1.03893913774074E-4</v>
      </c>
      <c r="E46137" s="2">
        <v>5.5913738005427899E-5</v>
      </c>
      <c r="F46137" s="2">
        <v>1.2947045596692E-4</v>
      </c>
    </row>
    <row r="46138" spans="1:6" x14ac:dyDescent="0.25">
      <c r="A46138" s="1" t="str">
        <f t="shared" si="1524"/>
        <v>99999</v>
      </c>
      <c r="B46138" s="1" t="str">
        <f>"51050"</f>
        <v>51050</v>
      </c>
      <c r="C46138" s="2">
        <v>1.30021329560657E-4</v>
      </c>
      <c r="D46138" s="2">
        <v>7.0768318077992694E-5</v>
      </c>
      <c r="E46138" s="2">
        <v>1.41934873398393E-4</v>
      </c>
      <c r="F46138" s="2">
        <v>1.26411321717701E-4</v>
      </c>
    </row>
    <row r="46139" spans="1:6" x14ac:dyDescent="0.25">
      <c r="A46139" s="1" t="str">
        <f t="shared" si="1524"/>
        <v>99999</v>
      </c>
      <c r="B46139" s="1" t="str">
        <f>"50861"</f>
        <v>50861</v>
      </c>
      <c r="C46139" s="2">
        <v>1.39656548820356E-5</v>
      </c>
      <c r="D46139" s="2">
        <v>0</v>
      </c>
      <c r="E46139" s="2">
        <v>4.3010567696482999E-6</v>
      </c>
      <c r="F46139" s="2">
        <v>1.2828627496722201E-5</v>
      </c>
    </row>
    <row r="46140" spans="1:6" x14ac:dyDescent="0.25">
      <c r="A46140" s="1" t="str">
        <f t="shared" si="1524"/>
        <v>99999</v>
      </c>
      <c r="B46140" s="1" t="str">
        <f>"51445"</f>
        <v>51445</v>
      </c>
      <c r="C46140" s="2">
        <v>1.64881336320467E-4</v>
      </c>
      <c r="D46140" s="2">
        <v>3.19210285798605E-4</v>
      </c>
      <c r="E46140" s="2">
        <v>3.3548242803256698E-4</v>
      </c>
      <c r="F46140" s="2">
        <v>1.7891001270428801E-4</v>
      </c>
    </row>
    <row r="46141" spans="1:6" x14ac:dyDescent="0.25">
      <c r="A46141" s="1" t="str">
        <f t="shared" si="1524"/>
        <v>99999</v>
      </c>
      <c r="B46141" s="1" t="str">
        <f>"50849"</f>
        <v>50849</v>
      </c>
      <c r="C46141" s="2">
        <v>1.4929176808005501E-4</v>
      </c>
      <c r="D46141" s="2">
        <v>2.7554472783558799E-4</v>
      </c>
      <c r="E46141" s="2">
        <v>1.2903170308944901E-4</v>
      </c>
      <c r="F46141" s="2">
        <v>1.5710134595986E-4</v>
      </c>
    </row>
    <row r="46142" spans="1:6" x14ac:dyDescent="0.25">
      <c r="A46142" s="1" t="str">
        <f t="shared" si="1524"/>
        <v>99999</v>
      </c>
      <c r="B46142" s="1" t="str">
        <f>"51006"</f>
        <v>51006</v>
      </c>
      <c r="C46142" s="2">
        <v>5.7594793777077398E-5</v>
      </c>
      <c r="D46142" s="2">
        <v>2.55970512196994E-5</v>
      </c>
      <c r="E46142" s="2">
        <v>4.3010567696482999E-5</v>
      </c>
      <c r="F46142" s="2">
        <v>5.5163098235905799E-5</v>
      </c>
    </row>
    <row r="46143" spans="1:6" x14ac:dyDescent="0.25">
      <c r="A46143" s="1" t="str">
        <f t="shared" si="1524"/>
        <v>99999</v>
      </c>
      <c r="B46143" s="1" t="str">
        <f>"51354"</f>
        <v>51354</v>
      </c>
      <c r="C46143" s="2">
        <v>5.9218707135453601E-5</v>
      </c>
      <c r="D46143" s="2">
        <v>2.7102760114975901E-5</v>
      </c>
      <c r="E46143" s="2">
        <v>3.01073973875381E-5</v>
      </c>
      <c r="F46143" s="2">
        <v>5.6445960985577998E-5</v>
      </c>
    </row>
    <row r="46144" spans="1:6" x14ac:dyDescent="0.25">
      <c r="A46144" s="1" t="str">
        <f t="shared" si="1524"/>
        <v>99999</v>
      </c>
      <c r="B46144" s="1" t="str">
        <f>"51046"</f>
        <v>51046</v>
      </c>
      <c r="C46144" s="2">
        <v>1.07394803433948E-4</v>
      </c>
      <c r="D46144" s="2">
        <v>3.7642722381910999E-5</v>
      </c>
      <c r="E46144" s="2">
        <v>9.8924305701910905E-5</v>
      </c>
      <c r="F46144" s="2">
        <v>1.02629019973778E-4</v>
      </c>
    </row>
    <row r="46145" spans="1:6" x14ac:dyDescent="0.25">
      <c r="A46145" s="1" t="str">
        <f t="shared" si="1524"/>
        <v>99999</v>
      </c>
      <c r="B46145" s="1" t="str">
        <f>"51447"</f>
        <v>51447</v>
      </c>
      <c r="C46145" s="2">
        <v>1.13673935086336E-5</v>
      </c>
      <c r="D46145" s="2">
        <v>1.50570889527644E-6</v>
      </c>
      <c r="E46145" s="2">
        <v>8.6021135392965999E-6</v>
      </c>
      <c r="F46145" s="2">
        <v>1.06576289972769E-5</v>
      </c>
    </row>
    <row r="46146" spans="1:6" x14ac:dyDescent="0.25">
      <c r="A46146" s="1" t="str">
        <f t="shared" si="1524"/>
        <v>99999</v>
      </c>
      <c r="B46146" s="1" t="str">
        <f>"51453"</f>
        <v>51453</v>
      </c>
      <c r="C46146" s="2">
        <v>3.45352240881347E-5</v>
      </c>
      <c r="D46146" s="2">
        <v>1.20456711622115E-5</v>
      </c>
      <c r="E46146" s="2">
        <v>2.15052838482415E-5</v>
      </c>
      <c r="F46146" s="2">
        <v>3.2762340991629202E-5</v>
      </c>
    </row>
    <row r="46147" spans="1:6" x14ac:dyDescent="0.25">
      <c r="A46147" s="1" t="str">
        <f t="shared" si="1524"/>
        <v>99999</v>
      </c>
      <c r="B46147" s="1" t="str">
        <f>"50246"</f>
        <v>50246</v>
      </c>
      <c r="C46147" s="2">
        <v>3.8216094367120903E-5</v>
      </c>
      <c r="D46147" s="2">
        <v>1.0539962266935E-5</v>
      </c>
      <c r="E46147" s="2">
        <v>2.15052838482415E-5</v>
      </c>
      <c r="F46147" s="2">
        <v>3.6018838740797098E-5</v>
      </c>
    </row>
    <row r="46148" spans="1:6" x14ac:dyDescent="0.25">
      <c r="A46148" s="1" t="str">
        <f t="shared" si="1524"/>
        <v>99999</v>
      </c>
      <c r="B46148" s="1" t="str">
        <f>"50268"</f>
        <v>50268</v>
      </c>
      <c r="C46148" s="2">
        <v>5.14239230152476E-5</v>
      </c>
      <c r="D46148" s="2">
        <v>7.5285444763821999E-6</v>
      </c>
      <c r="E46148" s="2">
        <v>3.01073973875381E-5</v>
      </c>
      <c r="F46148" s="2">
        <v>4.8058012237721097E-5</v>
      </c>
    </row>
    <row r="46149" spans="1:6" x14ac:dyDescent="0.25">
      <c r="A46149" s="1" t="str">
        <f t="shared" si="1524"/>
        <v>99999</v>
      </c>
      <c r="B46149" s="1" t="str">
        <f>"50258"</f>
        <v>50258</v>
      </c>
      <c r="C46149" s="2">
        <v>3.9298703272705E-5</v>
      </c>
      <c r="D46149" s="2">
        <v>4.5171266858293203E-6</v>
      </c>
      <c r="E46149" s="2">
        <v>1.72042270785932E-5</v>
      </c>
      <c r="F46149" s="2">
        <v>3.6512247490671097E-5</v>
      </c>
    </row>
    <row r="46150" spans="1:6" x14ac:dyDescent="0.25">
      <c r="A46150" s="1" t="str">
        <f t="shared" ref="A46150:A46213" si="1525">"99999"</f>
        <v>99999</v>
      </c>
      <c r="B46150" s="1" t="str">
        <f>"50264"</f>
        <v>50264</v>
      </c>
      <c r="C46150" s="2">
        <v>2.6090874624578199E-5</v>
      </c>
      <c r="D46150" s="2">
        <v>1.50570889527644E-5</v>
      </c>
      <c r="E46150" s="2">
        <v>1.29031703089449E-5</v>
      </c>
      <c r="F46150" s="2">
        <v>2.5065164493595799E-5</v>
      </c>
    </row>
    <row r="46151" spans="1:6" x14ac:dyDescent="0.25">
      <c r="A46151" s="1" t="str">
        <f t="shared" si="1525"/>
        <v>99999</v>
      </c>
      <c r="B46151" s="1" t="str">
        <f>"50563"</f>
        <v>50563</v>
      </c>
      <c r="C46151" s="2">
        <v>1.4712655026888699E-4</v>
      </c>
      <c r="D46151" s="2">
        <v>5.2699811334675399E-5</v>
      </c>
      <c r="E46151" s="2">
        <v>6.8816908314372799E-5</v>
      </c>
      <c r="F46151" s="2">
        <v>1.3914126746444899E-4</v>
      </c>
    </row>
    <row r="46152" spans="1:6" x14ac:dyDescent="0.25">
      <c r="A46152" s="1" t="str">
        <f t="shared" si="1525"/>
        <v>99999</v>
      </c>
      <c r="B46152" s="1" t="str">
        <f>"50577"</f>
        <v>50577</v>
      </c>
      <c r="C46152" s="2">
        <v>2.4142178594526799E-5</v>
      </c>
      <c r="D46152" s="2">
        <v>3.01141779055288E-6</v>
      </c>
      <c r="E46152" s="2">
        <v>4.3010567696482999E-6</v>
      </c>
      <c r="F46152" s="2">
        <v>2.23020754943018E-5</v>
      </c>
    </row>
    <row r="46153" spans="1:6" x14ac:dyDescent="0.25">
      <c r="A46153" s="1" t="str">
        <f t="shared" si="1525"/>
        <v>99999</v>
      </c>
      <c r="B46153" s="1" t="str">
        <f>"50514"</f>
        <v>50514</v>
      </c>
      <c r="C46153" s="2">
        <v>8.4551755526122998E-5</v>
      </c>
      <c r="D46153" s="2">
        <v>2.4091342324423E-5</v>
      </c>
      <c r="E46153" s="2">
        <v>6.4515851544724506E-5</v>
      </c>
      <c r="F46153" s="2">
        <v>8.0129580979526794E-5</v>
      </c>
    </row>
    <row r="46154" spans="1:6" x14ac:dyDescent="0.25">
      <c r="A46154" s="1" t="str">
        <f t="shared" si="1525"/>
        <v>99999</v>
      </c>
      <c r="B46154" s="1" t="str">
        <f>"50601"</f>
        <v>50601</v>
      </c>
      <c r="C46154" s="2">
        <v>1.2937176421730701E-4</v>
      </c>
      <c r="D46154" s="2">
        <v>2.34890587663124E-4</v>
      </c>
      <c r="E46154" s="2">
        <v>1.2903170308944901E-4</v>
      </c>
      <c r="F46154" s="2">
        <v>1.3627949671518E-4</v>
      </c>
    </row>
    <row r="46155" spans="1:6" x14ac:dyDescent="0.25">
      <c r="A46155" s="1" t="str">
        <f t="shared" si="1525"/>
        <v>99999</v>
      </c>
      <c r="B46155" s="1" t="str">
        <f>"50578"</f>
        <v>50578</v>
      </c>
      <c r="C46155" s="2">
        <v>3.8757398819912901E-5</v>
      </c>
      <c r="D46155" s="2">
        <v>9.0342533716586405E-6</v>
      </c>
      <c r="E46155" s="2">
        <v>3.8709510926834699E-5</v>
      </c>
      <c r="F46155" s="2">
        <v>3.68082927405954E-5</v>
      </c>
    </row>
    <row r="46156" spans="1:6" x14ac:dyDescent="0.25">
      <c r="A46156" s="1" t="str">
        <f t="shared" si="1525"/>
        <v>99999</v>
      </c>
      <c r="B46156" s="1" t="str">
        <f>"50616"</f>
        <v>50616</v>
      </c>
      <c r="C46156" s="2">
        <v>5.2290010139714998E-4</v>
      </c>
      <c r="D46156" s="2">
        <v>7.1220030746575605E-4</v>
      </c>
      <c r="E46156" s="2">
        <v>6.9677119668302501E-4</v>
      </c>
      <c r="F46156" s="2">
        <v>5.3929576361220902E-4</v>
      </c>
    </row>
    <row r="46157" spans="1:6" x14ac:dyDescent="0.25">
      <c r="A46157" s="1" t="str">
        <f t="shared" si="1525"/>
        <v>99999</v>
      </c>
      <c r="B46157" s="1" t="str">
        <f>"50455"</f>
        <v>50455</v>
      </c>
      <c r="C46157" s="2">
        <v>2.30595696889426E-5</v>
      </c>
      <c r="D46157" s="2">
        <v>1.9574215638593701E-5</v>
      </c>
      <c r="E46157" s="2">
        <v>2.15052838482415E-5</v>
      </c>
      <c r="F46157" s="2">
        <v>2.2795484244175701E-5</v>
      </c>
    </row>
    <row r="46158" spans="1:6" x14ac:dyDescent="0.25">
      <c r="A46158" s="1" t="str">
        <f t="shared" si="1525"/>
        <v>99999</v>
      </c>
      <c r="B46158" s="1" t="str">
        <f>"50476"</f>
        <v>50476</v>
      </c>
      <c r="C46158" s="2">
        <v>4.2113486427223799E-5</v>
      </c>
      <c r="D46158" s="2">
        <v>4.8182684648845999E-5</v>
      </c>
      <c r="E46158" s="2">
        <v>8.6021135392965999E-6</v>
      </c>
      <c r="F46158" s="2">
        <v>4.1742380239334798E-5</v>
      </c>
    </row>
    <row r="46159" spans="1:6" x14ac:dyDescent="0.25">
      <c r="A46159" s="1" t="str">
        <f t="shared" si="1525"/>
        <v>99999</v>
      </c>
      <c r="B46159" s="1" t="str">
        <f>"50672"</f>
        <v>50672</v>
      </c>
      <c r="C46159" s="2">
        <v>3.3885658744784197E-5</v>
      </c>
      <c r="D46159" s="2">
        <v>1.0539962266935E-5</v>
      </c>
      <c r="E46159" s="2">
        <v>2.58063406178898E-5</v>
      </c>
      <c r="F46159" s="2">
        <v>3.2170250491780501E-5</v>
      </c>
    </row>
    <row r="46160" spans="1:6" x14ac:dyDescent="0.25">
      <c r="A46160" s="1" t="str">
        <f t="shared" si="1525"/>
        <v>99999</v>
      </c>
      <c r="B46160" s="1" t="str">
        <f>"50527"</f>
        <v>50527</v>
      </c>
      <c r="C46160" s="2">
        <v>1.09343499464E-5</v>
      </c>
      <c r="D46160" s="2">
        <v>0</v>
      </c>
      <c r="E46160" s="2">
        <v>4.3010567696482999E-6</v>
      </c>
      <c r="F46160" s="2">
        <v>1.00655384974282E-5</v>
      </c>
    </row>
    <row r="46161" spans="1:6" x14ac:dyDescent="0.25">
      <c r="A46161" s="1" t="str">
        <f t="shared" si="1525"/>
        <v>99999</v>
      </c>
      <c r="B46161" s="1" t="str">
        <f>"50630"</f>
        <v>50630</v>
      </c>
      <c r="C46161" s="2">
        <v>8.7474799571200194E-5</v>
      </c>
      <c r="D46161" s="2">
        <v>9.4859660402415704E-5</v>
      </c>
      <c r="E46161" s="2">
        <v>8.6021135392965999E-5</v>
      </c>
      <c r="F46161" s="2">
        <v>8.7925439227534995E-5</v>
      </c>
    </row>
    <row r="46162" spans="1:6" x14ac:dyDescent="0.25">
      <c r="A46162" s="1" t="str">
        <f t="shared" si="1525"/>
        <v>99999</v>
      </c>
      <c r="B46162" s="1" t="str">
        <f>"50423"</f>
        <v>50423</v>
      </c>
      <c r="C46162" s="2">
        <v>1.4680176759721201E-4</v>
      </c>
      <c r="D46162" s="2">
        <v>2.3940771434895401E-4</v>
      </c>
      <c r="E46162" s="2">
        <v>1.16128532780504E-4</v>
      </c>
      <c r="F46162" s="2">
        <v>1.52167258461121E-4</v>
      </c>
    </row>
    <row r="46163" spans="1:6" x14ac:dyDescent="0.25">
      <c r="A46163" s="1" t="str">
        <f t="shared" si="1525"/>
        <v>99999</v>
      </c>
      <c r="B46163" s="1" t="str">
        <f>"50560"</f>
        <v>50560</v>
      </c>
      <c r="C46163" s="2">
        <v>3.3669136963667403E-5</v>
      </c>
      <c r="D46163" s="2">
        <v>2.25856334291466E-5</v>
      </c>
      <c r="E46163" s="2">
        <v>1.72042270785932E-5</v>
      </c>
      <c r="F46163" s="2">
        <v>3.2564977491679601E-5</v>
      </c>
    </row>
    <row r="46164" spans="1:6" x14ac:dyDescent="0.25">
      <c r="A46164" s="1" t="str">
        <f t="shared" si="1525"/>
        <v>99999</v>
      </c>
      <c r="B46164" s="1" t="str">
        <f>"49920"</f>
        <v>49920</v>
      </c>
      <c r="C46164" s="2">
        <v>2.9793397081676097E-4</v>
      </c>
      <c r="D46164" s="2">
        <v>3.0415319684584099E-4</v>
      </c>
      <c r="E46164" s="2">
        <v>1.67741214016283E-4</v>
      </c>
      <c r="F46164" s="2">
        <v>2.95354477674536E-4</v>
      </c>
    </row>
    <row r="46165" spans="1:6" x14ac:dyDescent="0.25">
      <c r="A46165" s="1" t="str">
        <f t="shared" si="1525"/>
        <v>99999</v>
      </c>
      <c r="B46165" s="1" t="str">
        <f>"49938"</f>
        <v>49938</v>
      </c>
      <c r="C46165" s="2">
        <v>5.2701401523836896E-4</v>
      </c>
      <c r="D46165" s="2">
        <v>7.2123456083741499E-4</v>
      </c>
      <c r="E46165" s="2">
        <v>6.4945957221689303E-4</v>
      </c>
      <c r="F46165" s="2">
        <v>5.4255226136137695E-4</v>
      </c>
    </row>
    <row r="46166" spans="1:6" x14ac:dyDescent="0.25">
      <c r="A46166" s="1" t="str">
        <f t="shared" si="1525"/>
        <v>99999</v>
      </c>
      <c r="B46166" s="1" t="str">
        <f>"49968"</f>
        <v>49968</v>
      </c>
      <c r="C46166" s="2">
        <v>1.40739157725941E-4</v>
      </c>
      <c r="D46166" s="2">
        <v>1.18951002726838E-4</v>
      </c>
      <c r="E46166" s="2">
        <v>1.2903170308944901E-4</v>
      </c>
      <c r="F46166" s="2">
        <v>1.3904258571447399E-4</v>
      </c>
    </row>
    <row r="46167" spans="1:6" x14ac:dyDescent="0.25">
      <c r="A46167" s="1" t="str">
        <f t="shared" si="1525"/>
        <v>99999</v>
      </c>
      <c r="B46167" s="1" t="str">
        <f>"50076"</f>
        <v>50076</v>
      </c>
      <c r="C46167" s="2">
        <v>8.8016104023992307E-5</v>
      </c>
      <c r="D46167" s="2">
        <v>3.1619886800805203E-5</v>
      </c>
      <c r="E46167" s="2">
        <v>4.7311624466131299E-5</v>
      </c>
      <c r="F46167" s="2">
        <v>8.3386078728694805E-5</v>
      </c>
    </row>
    <row r="46168" spans="1:6" x14ac:dyDescent="0.25">
      <c r="A46168" s="1" t="str">
        <f t="shared" si="1525"/>
        <v>99999</v>
      </c>
      <c r="B46168" s="1" t="str">
        <f>"49953"</f>
        <v>49953</v>
      </c>
      <c r="C46168" s="2">
        <v>1.9909177773692701E-4</v>
      </c>
      <c r="D46168" s="2">
        <v>3.1017603242694601E-4</v>
      </c>
      <c r="E46168" s="2">
        <v>1.5053698693768999E-4</v>
      </c>
      <c r="F46168" s="2">
        <v>2.05258039947556E-4</v>
      </c>
    </row>
    <row r="46169" spans="1:6" x14ac:dyDescent="0.25">
      <c r="A46169" s="1" t="str">
        <f t="shared" si="1525"/>
        <v>99999</v>
      </c>
      <c r="B46169" s="1" t="str">
        <f>"39451"</f>
        <v>39451</v>
      </c>
      <c r="C46169" s="2">
        <v>2.5419657103116099E-4</v>
      </c>
      <c r="D46169" s="2">
        <v>2.07787827548148E-4</v>
      </c>
      <c r="E46169" s="2">
        <v>4.3010567696482999E-5</v>
      </c>
      <c r="F46169" s="2">
        <v>2.4630964793706701E-4</v>
      </c>
    </row>
    <row r="46170" spans="1:6" x14ac:dyDescent="0.25">
      <c r="A46170" s="1" t="str">
        <f t="shared" si="1525"/>
        <v>99999</v>
      </c>
      <c r="B46170" s="1" t="str">
        <f>"39350"</f>
        <v>39350</v>
      </c>
      <c r="C46170" s="2">
        <v>1.2521454601986399E-3</v>
      </c>
      <c r="D46170" s="2">
        <v>1.67585400044267E-3</v>
      </c>
      <c r="E46170" s="2">
        <v>6.3225534513829996E-4</v>
      </c>
      <c r="F46170" s="2">
        <v>1.2656921251766101E-3</v>
      </c>
    </row>
    <row r="46171" spans="1:6" x14ac:dyDescent="0.25">
      <c r="A46171" s="1" t="str">
        <f t="shared" si="1525"/>
        <v>99999</v>
      </c>
      <c r="B46171" s="1" t="str">
        <f>"39421"</f>
        <v>39421</v>
      </c>
      <c r="C46171" s="2">
        <v>1.4333741909934301E-4</v>
      </c>
      <c r="D46171" s="2">
        <v>6.9262609182716196E-5</v>
      </c>
      <c r="E46171" s="2">
        <v>2.58063406178898E-5</v>
      </c>
      <c r="F46171" s="2">
        <v>1.3578608796530601E-4</v>
      </c>
    </row>
    <row r="46172" spans="1:6" x14ac:dyDescent="0.25">
      <c r="A46172" s="1" t="str">
        <f t="shared" si="1525"/>
        <v>99999</v>
      </c>
      <c r="B46172" s="1" t="str">
        <f>"39422"</f>
        <v>39422</v>
      </c>
      <c r="C46172" s="2">
        <v>3.9190442382146597E-5</v>
      </c>
      <c r="D46172" s="2">
        <v>6.0228355811057601E-6</v>
      </c>
      <c r="E46172" s="2">
        <v>0</v>
      </c>
      <c r="F46172" s="2">
        <v>3.6117520490771902E-5</v>
      </c>
    </row>
    <row r="46173" spans="1:6" x14ac:dyDescent="0.25">
      <c r="A46173" s="1" t="str">
        <f t="shared" si="1525"/>
        <v>99999</v>
      </c>
      <c r="B46173" s="1" t="str">
        <f>"39361"</f>
        <v>39361</v>
      </c>
      <c r="C46173" s="2">
        <v>8.3577407511097203E-5</v>
      </c>
      <c r="D46173" s="2">
        <v>5.4205520229951803E-5</v>
      </c>
      <c r="E46173" s="2">
        <v>1.72042270785932E-5</v>
      </c>
      <c r="F46173" s="2">
        <v>8.0129580979526794E-5</v>
      </c>
    </row>
    <row r="46174" spans="1:6" x14ac:dyDescent="0.25">
      <c r="A46174" s="1" t="str">
        <f t="shared" si="1525"/>
        <v>99999</v>
      </c>
      <c r="B46174" s="1" t="str">
        <f>"38828"</f>
        <v>38828</v>
      </c>
      <c r="C46174" s="2">
        <v>2.1132525837002801E-4</v>
      </c>
      <c r="D46174" s="2">
        <v>9.6365369297692093E-5</v>
      </c>
      <c r="E46174" s="2">
        <v>1.2042958955015201E-4</v>
      </c>
      <c r="F46174" s="2">
        <v>2.0170549694846401E-4</v>
      </c>
    </row>
    <row r="46175" spans="1:6" x14ac:dyDescent="0.25">
      <c r="A46175" s="1" t="str">
        <f t="shared" si="1525"/>
        <v>99999</v>
      </c>
      <c r="B46175" s="1" t="str">
        <f>"38663"</f>
        <v>38663</v>
      </c>
      <c r="C46175" s="2">
        <v>6.5075621314663896E-4</v>
      </c>
      <c r="D46175" s="2">
        <v>8.3566843687842398E-4</v>
      </c>
      <c r="E46175" s="2">
        <v>2.8386974679678702E-4</v>
      </c>
      <c r="F46175" s="2">
        <v>6.5445736583278605E-4</v>
      </c>
    </row>
    <row r="46176" spans="1:6" x14ac:dyDescent="0.25">
      <c r="A46176" s="1" t="str">
        <f t="shared" si="1525"/>
        <v>99999</v>
      </c>
      <c r="B46176" s="1" t="str">
        <f>"38850"</f>
        <v>38850</v>
      </c>
      <c r="C46176" s="2">
        <v>1.3716654833751299E-4</v>
      </c>
      <c r="D46176" s="2">
        <v>7.9802571449651304E-5</v>
      </c>
      <c r="E46176" s="2">
        <v>3.8709510926834699E-5</v>
      </c>
      <c r="F46176" s="2">
        <v>1.3114804571649099E-4</v>
      </c>
    </row>
    <row r="46177" spans="1:6" x14ac:dyDescent="0.25">
      <c r="A46177" s="1" t="str">
        <f t="shared" si="1525"/>
        <v>99999</v>
      </c>
      <c r="B46177" s="1" t="str">
        <f>"38824"</f>
        <v>38824</v>
      </c>
      <c r="C46177" s="2">
        <v>3.7783050804887201E-5</v>
      </c>
      <c r="D46177" s="2">
        <v>7.5285444763821999E-6</v>
      </c>
      <c r="E46177" s="2">
        <v>0</v>
      </c>
      <c r="F46177" s="2">
        <v>3.49333394910745E-5</v>
      </c>
    </row>
    <row r="46178" spans="1:6" x14ac:dyDescent="0.25">
      <c r="A46178" s="1" t="str">
        <f t="shared" si="1525"/>
        <v>99999</v>
      </c>
      <c r="B46178" s="1" t="str">
        <f>"38838"</f>
        <v>38838</v>
      </c>
      <c r="C46178" s="2">
        <v>8.7799582242875499E-5</v>
      </c>
      <c r="D46178" s="2">
        <v>4.2159849067740298E-5</v>
      </c>
      <c r="E46178" s="2">
        <v>0</v>
      </c>
      <c r="F46178" s="2">
        <v>8.2793988228846104E-5</v>
      </c>
    </row>
    <row r="46179" spans="1:6" x14ac:dyDescent="0.25">
      <c r="A46179" s="1" t="str">
        <f t="shared" si="1525"/>
        <v>99999</v>
      </c>
      <c r="B46179" s="1" t="str">
        <f>"38868"</f>
        <v>38868</v>
      </c>
      <c r="C46179" s="2">
        <v>1.49400028970614E-5</v>
      </c>
      <c r="D46179" s="2">
        <v>1.50570889527644E-6</v>
      </c>
      <c r="E46179" s="2">
        <v>0</v>
      </c>
      <c r="F46179" s="2">
        <v>1.37167632464953E-5</v>
      </c>
    </row>
    <row r="46180" spans="1:6" x14ac:dyDescent="0.25">
      <c r="A46180" s="1" t="str">
        <f t="shared" si="1525"/>
        <v>99999</v>
      </c>
      <c r="B46180" s="1" t="str">
        <f>"36908"</f>
        <v>36908</v>
      </c>
      <c r="C46180" s="2">
        <v>1.2276784989324299E-4</v>
      </c>
      <c r="D46180" s="2">
        <v>9.0342533716586399E-5</v>
      </c>
      <c r="E46180" s="2">
        <v>8.6021135392965999E-6</v>
      </c>
      <c r="F46180" s="2">
        <v>1.18023372969845E-4</v>
      </c>
    </row>
    <row r="46181" spans="1:6" x14ac:dyDescent="0.25">
      <c r="A46181" s="1" t="str">
        <f t="shared" si="1525"/>
        <v>99999</v>
      </c>
      <c r="B46181" s="1" t="str">
        <f>"38606"</f>
        <v>38606</v>
      </c>
      <c r="C46181" s="2">
        <v>9.6016583836259302E-4</v>
      </c>
      <c r="D46181" s="2">
        <v>1.9754900706026898E-3</v>
      </c>
      <c r="E46181" s="2">
        <v>4.2580462019518102E-4</v>
      </c>
      <c r="F46181" s="2">
        <v>1.0144483897408E-3</v>
      </c>
    </row>
    <row r="46182" spans="1:6" x14ac:dyDescent="0.25">
      <c r="A46182" s="1" t="str">
        <f t="shared" si="1525"/>
        <v>99999</v>
      </c>
      <c r="B46182" s="1" t="str">
        <f>"38629"</f>
        <v>38629</v>
      </c>
      <c r="C46182" s="2">
        <v>9.6027409925315095E-5</v>
      </c>
      <c r="D46182" s="2">
        <v>2.8608469010252301E-5</v>
      </c>
      <c r="E46182" s="2">
        <v>0</v>
      </c>
      <c r="F46182" s="2">
        <v>8.9405665477156794E-5</v>
      </c>
    </row>
    <row r="46183" spans="1:6" x14ac:dyDescent="0.25">
      <c r="A46183" s="1" t="str">
        <f t="shared" si="1525"/>
        <v>99999</v>
      </c>
      <c r="B46183" s="1" t="str">
        <f>"36921"</f>
        <v>36921</v>
      </c>
      <c r="C46183" s="2">
        <v>6.9395230847944705E-5</v>
      </c>
      <c r="D46183" s="2">
        <v>2.25856334291466E-5</v>
      </c>
      <c r="E46183" s="2">
        <v>0</v>
      </c>
      <c r="F46183" s="2">
        <v>6.4735227983460096E-5</v>
      </c>
    </row>
    <row r="46184" spans="1:6" x14ac:dyDescent="0.25">
      <c r="A46184" s="1" t="str">
        <f t="shared" si="1525"/>
        <v>99999</v>
      </c>
      <c r="B46184" s="1" t="str">
        <f>"38646"</f>
        <v>38646</v>
      </c>
      <c r="C46184" s="2">
        <v>1.8252786148148899E-4</v>
      </c>
      <c r="D46184" s="2">
        <v>4.7128688422152501E-4</v>
      </c>
      <c r="E46184" s="2">
        <v>4.3010567696482999E-5</v>
      </c>
      <c r="F46184" s="2">
        <v>1.9825163569934601E-4</v>
      </c>
    </row>
    <row r="46185" spans="1:6" x14ac:dyDescent="0.25">
      <c r="A46185" s="1" t="str">
        <f t="shared" si="1525"/>
        <v>99999</v>
      </c>
      <c r="B46185" s="1" t="str">
        <f>"38603"</f>
        <v>38603</v>
      </c>
      <c r="C46185" s="2">
        <v>1.8545090552656601E-4</v>
      </c>
      <c r="D46185" s="2">
        <v>1.1142245825045601E-4</v>
      </c>
      <c r="E46185" s="2">
        <v>0</v>
      </c>
      <c r="F46185" s="2">
        <v>1.7634428720494401E-4</v>
      </c>
    </row>
    <row r="46186" spans="1:6" x14ac:dyDescent="0.25">
      <c r="A46186" s="1" t="str">
        <f t="shared" si="1525"/>
        <v>99999</v>
      </c>
      <c r="B46186" s="1" t="str">
        <f>"38652"</f>
        <v>38652</v>
      </c>
      <c r="C46186" s="2">
        <v>9.1805235193536902E-4</v>
      </c>
      <c r="D46186" s="2">
        <v>1.3867578925495999E-3</v>
      </c>
      <c r="E46186" s="2">
        <v>6.2795428836865199E-4</v>
      </c>
      <c r="F46186" s="2">
        <v>9.4211466700928903E-4</v>
      </c>
    </row>
    <row r="46187" spans="1:6" x14ac:dyDescent="0.25">
      <c r="A46187" s="1" t="str">
        <f t="shared" si="1525"/>
        <v>99999</v>
      </c>
      <c r="B46187" s="1" t="str">
        <f>"38627"</f>
        <v>38627</v>
      </c>
      <c r="C46187" s="2">
        <v>5.1965227468039699E-5</v>
      </c>
      <c r="D46187" s="2">
        <v>1.35513800574879E-5</v>
      </c>
      <c r="E46187" s="2">
        <v>2.58063406178898E-5</v>
      </c>
      <c r="F46187" s="2">
        <v>4.8847466237519399E-5</v>
      </c>
    </row>
    <row r="46188" spans="1:6" x14ac:dyDescent="0.25">
      <c r="A46188" s="1" t="str">
        <f t="shared" si="1525"/>
        <v>99999</v>
      </c>
      <c r="B46188" s="1" t="str">
        <f>"42220"</f>
        <v>42220</v>
      </c>
      <c r="C46188" s="2">
        <v>2.9252092628884001E-4</v>
      </c>
      <c r="D46188" s="2">
        <v>1.76167940747343E-4</v>
      </c>
      <c r="E46188" s="2">
        <v>2.0214966817347E-4</v>
      </c>
      <c r="F46188" s="2">
        <v>2.82821895427739E-4</v>
      </c>
    </row>
    <row r="46189" spans="1:6" x14ac:dyDescent="0.25">
      <c r="A46189" s="1" t="str">
        <f t="shared" si="1525"/>
        <v>99999</v>
      </c>
      <c r="B46189" s="1" t="str">
        <f>"42286"</f>
        <v>42286</v>
      </c>
      <c r="C46189" s="2">
        <v>5.9326968026011998E-5</v>
      </c>
      <c r="D46189" s="2">
        <v>3.1619886800805203E-5</v>
      </c>
      <c r="E46189" s="2">
        <v>4.7311624466131299E-5</v>
      </c>
      <c r="F46189" s="2">
        <v>5.72354149853763E-5</v>
      </c>
    </row>
    <row r="46190" spans="1:6" x14ac:dyDescent="0.25">
      <c r="A46190" s="1" t="str">
        <f t="shared" si="1525"/>
        <v>99999</v>
      </c>
      <c r="B46190" s="1" t="str">
        <f>"42450"</f>
        <v>42450</v>
      </c>
      <c r="C46190" s="2">
        <v>2.16196998445157E-4</v>
      </c>
      <c r="D46190" s="2">
        <v>2.6500476556865301E-4</v>
      </c>
      <c r="E46190" s="2">
        <v>3.6989088218975403E-4</v>
      </c>
      <c r="F46190" s="2">
        <v>2.2292207319304301E-4</v>
      </c>
    </row>
    <row r="46191" spans="1:6" x14ac:dyDescent="0.25">
      <c r="A46191" s="1" t="str">
        <f t="shared" si="1525"/>
        <v>99999</v>
      </c>
      <c r="B46191" s="1" t="str">
        <f>"42265"</f>
        <v>42265</v>
      </c>
      <c r="C46191" s="2">
        <v>4.8500878970170397E-5</v>
      </c>
      <c r="D46191" s="2">
        <v>2.4091342324423E-5</v>
      </c>
      <c r="E46191" s="2">
        <v>8.6021135392965999E-6</v>
      </c>
      <c r="F46191" s="2">
        <v>4.5985695488250603E-5</v>
      </c>
    </row>
    <row r="46192" spans="1:6" x14ac:dyDescent="0.25">
      <c r="A46192" s="1" t="str">
        <f t="shared" si="1525"/>
        <v>99999</v>
      </c>
      <c r="B46192" s="1" t="str">
        <f>"42157"</f>
        <v>42157</v>
      </c>
      <c r="C46192" s="2">
        <v>2.5549570171786201E-5</v>
      </c>
      <c r="D46192" s="2">
        <v>7.5285444763821999E-6</v>
      </c>
      <c r="E46192" s="2">
        <v>0</v>
      </c>
      <c r="F46192" s="2">
        <v>2.37823017439236E-5</v>
      </c>
    </row>
    <row r="46193" spans="1:6" x14ac:dyDescent="0.25">
      <c r="A46193" s="1" t="str">
        <f t="shared" si="1525"/>
        <v>99999</v>
      </c>
      <c r="B46193" s="1" t="str">
        <f>"42234"</f>
        <v>42234</v>
      </c>
      <c r="C46193" s="2">
        <v>1.5979307446422201E-4</v>
      </c>
      <c r="D46193" s="2">
        <v>1.61110851794579E-4</v>
      </c>
      <c r="E46193" s="2">
        <v>4.7311624466131299E-5</v>
      </c>
      <c r="F46193" s="2">
        <v>1.5729870945980999E-4</v>
      </c>
    </row>
    <row r="46194" spans="1:6" x14ac:dyDescent="0.25">
      <c r="A46194" s="1" t="str">
        <f t="shared" si="1525"/>
        <v>99999</v>
      </c>
      <c r="B46194" s="1" t="str">
        <f>"41604"</f>
        <v>41604</v>
      </c>
      <c r="C46194" s="2">
        <v>3.2261745386408E-5</v>
      </c>
      <c r="D46194" s="2">
        <v>9.0342533716586405E-6</v>
      </c>
      <c r="E46194" s="2">
        <v>4.3010567696482999E-6</v>
      </c>
      <c r="F46194" s="2">
        <v>3.0097933742309899E-5</v>
      </c>
    </row>
    <row r="46195" spans="1:6" x14ac:dyDescent="0.25">
      <c r="A46195" s="1" t="str">
        <f t="shared" si="1525"/>
        <v>99999</v>
      </c>
      <c r="B46195" s="1" t="str">
        <f>"41701"</f>
        <v>41701</v>
      </c>
      <c r="C46195" s="2">
        <v>7.4602579683804497E-4</v>
      </c>
      <c r="D46195" s="2">
        <v>1.43644628609372E-3</v>
      </c>
      <c r="E46195" s="2">
        <v>1.9483787166506799E-3</v>
      </c>
      <c r="F46195" s="2">
        <v>8.1886116129078004E-4</v>
      </c>
    </row>
    <row r="46196" spans="1:6" x14ac:dyDescent="0.25">
      <c r="A46196" s="1" t="str">
        <f t="shared" si="1525"/>
        <v>99999</v>
      </c>
      <c r="B46196" s="1" t="str">
        <f>"41812"</f>
        <v>41812</v>
      </c>
      <c r="C46196" s="2">
        <v>1.2991306867009899E-5</v>
      </c>
      <c r="D46196" s="2">
        <v>4.5171266858293203E-6</v>
      </c>
      <c r="E46196" s="2">
        <v>2.58063406178898E-5</v>
      </c>
      <c r="F46196" s="2">
        <v>1.27299457467474E-5</v>
      </c>
    </row>
    <row r="46197" spans="1:6" x14ac:dyDescent="0.25">
      <c r="A46197" s="1" t="str">
        <f t="shared" si="1525"/>
        <v>99999</v>
      </c>
      <c r="B46197" s="1" t="str">
        <f>"41828"</f>
        <v>41828</v>
      </c>
      <c r="C46197" s="2">
        <v>3.0529571137473299E-5</v>
      </c>
      <c r="D46197" s="2">
        <v>9.0342533716586405E-6</v>
      </c>
      <c r="E46197" s="2">
        <v>1.11827476010855E-4</v>
      </c>
      <c r="F46197" s="2">
        <v>3.0986069492082998E-5</v>
      </c>
    </row>
    <row r="46198" spans="1:6" x14ac:dyDescent="0.25">
      <c r="A46198" s="1" t="str">
        <f t="shared" si="1525"/>
        <v>99999</v>
      </c>
      <c r="B46198" s="1" t="str">
        <f>"42048"</f>
        <v>42048</v>
      </c>
      <c r="C46198" s="2">
        <v>1.2948002510786499E-4</v>
      </c>
      <c r="D46198" s="2">
        <v>8.1308280344927694E-5</v>
      </c>
      <c r="E46198" s="2">
        <v>1.16128532780504E-4</v>
      </c>
      <c r="F46198" s="2">
        <v>1.26016594717802E-4</v>
      </c>
    </row>
    <row r="46199" spans="1:6" x14ac:dyDescent="0.25">
      <c r="A46199" s="1" t="str">
        <f t="shared" si="1525"/>
        <v>99999</v>
      </c>
      <c r="B46199" s="1" t="str">
        <f>"41528"</f>
        <v>41528</v>
      </c>
      <c r="C46199" s="2">
        <v>2.4575222156760399E-5</v>
      </c>
      <c r="D46199" s="2">
        <v>1.0539962266935E-5</v>
      </c>
      <c r="E46199" s="2">
        <v>1.29031703089449E-5</v>
      </c>
      <c r="F46199" s="2">
        <v>2.3387574744024402E-5</v>
      </c>
    </row>
    <row r="46200" spans="1:6" x14ac:dyDescent="0.25">
      <c r="A46200" s="1" t="str">
        <f t="shared" si="1525"/>
        <v>99999</v>
      </c>
      <c r="B46200" s="1" t="str">
        <f>"41642"</f>
        <v>41642</v>
      </c>
      <c r="C46200" s="2">
        <v>3.2803049839199998E-5</v>
      </c>
      <c r="D46200" s="2">
        <v>3.31255956960816E-5</v>
      </c>
      <c r="E46200" s="2">
        <v>9.0322192162614306E-5</v>
      </c>
      <c r="F46200" s="2">
        <v>3.4143885491276198E-5</v>
      </c>
    </row>
    <row r="46201" spans="1:6" x14ac:dyDescent="0.25">
      <c r="A46201" s="1" t="str">
        <f t="shared" si="1525"/>
        <v>99999</v>
      </c>
      <c r="B46201" s="1" t="str">
        <f>"41621"</f>
        <v>41621</v>
      </c>
      <c r="C46201" s="2">
        <v>1.6022611802645498E-5</v>
      </c>
      <c r="D46201" s="2">
        <v>0</v>
      </c>
      <c r="E46201" s="2">
        <v>4.3010567696482999E-6</v>
      </c>
      <c r="F46201" s="2">
        <v>1.47035807462432E-5</v>
      </c>
    </row>
    <row r="46202" spans="1:6" x14ac:dyDescent="0.25">
      <c r="A46202" s="1" t="str">
        <f t="shared" si="1525"/>
        <v>99999</v>
      </c>
      <c r="B46202" s="1" t="str">
        <f>"41762"</f>
        <v>41762</v>
      </c>
      <c r="C46202" s="2">
        <v>6.8204361051802096E-6</v>
      </c>
      <c r="D46202" s="2">
        <v>1.50570889527644E-6</v>
      </c>
      <c r="E46202" s="2">
        <v>4.3010567696482999E-6</v>
      </c>
      <c r="F46202" s="2">
        <v>6.4143137483611402E-6</v>
      </c>
    </row>
    <row r="46203" spans="1:6" x14ac:dyDescent="0.25">
      <c r="A46203" s="1" t="str">
        <f t="shared" si="1525"/>
        <v>99999</v>
      </c>
      <c r="B46203" s="1" t="str">
        <f>"42127"</f>
        <v>42127</v>
      </c>
      <c r="C46203" s="2">
        <v>2.24100043455921E-5</v>
      </c>
      <c r="D46203" s="2">
        <v>3.01141779055288E-6</v>
      </c>
      <c r="E46203" s="2">
        <v>8.6021135392965999E-6</v>
      </c>
      <c r="F46203" s="2">
        <v>2.082184924468E-5</v>
      </c>
    </row>
    <row r="46204" spans="1:6" x14ac:dyDescent="0.25">
      <c r="A46204" s="1" t="str">
        <f t="shared" si="1525"/>
        <v>99999</v>
      </c>
      <c r="B46204" s="1" t="str">
        <f>"41735"</f>
        <v>41735</v>
      </c>
      <c r="C46204" s="2">
        <v>1.16921761803089E-5</v>
      </c>
      <c r="D46204" s="2">
        <v>1.50570889527644E-6</v>
      </c>
      <c r="E46204" s="2">
        <v>4.3010567696482999E-6</v>
      </c>
      <c r="F46204" s="2">
        <v>1.08549924972265E-5</v>
      </c>
    </row>
    <row r="46205" spans="1:6" x14ac:dyDescent="0.25">
      <c r="A46205" s="1" t="str">
        <f t="shared" si="1525"/>
        <v>99999</v>
      </c>
      <c r="B46205" s="1" t="str">
        <f>"47670"</f>
        <v>47670</v>
      </c>
      <c r="C46205" s="2">
        <v>6.3581621024957804E-4</v>
      </c>
      <c r="D46205" s="2">
        <v>9.3956235065249805E-4</v>
      </c>
      <c r="E46205" s="2">
        <v>9.7633988671016396E-4</v>
      </c>
      <c r="F46205" s="2">
        <v>6.6353608683046605E-4</v>
      </c>
    </row>
    <row r="46206" spans="1:6" x14ac:dyDescent="0.25">
      <c r="A46206" s="1" t="str">
        <f t="shared" si="1525"/>
        <v>99999</v>
      </c>
      <c r="B46206" s="1" t="str">
        <f>"43907"</f>
        <v>43907</v>
      </c>
      <c r="C46206" s="2">
        <v>3.2250919297352102E-4</v>
      </c>
      <c r="D46206" s="2">
        <v>4.5020695968765501E-4</v>
      </c>
      <c r="E46206" s="2">
        <v>3.2688031449327001E-4</v>
      </c>
      <c r="F46206" s="2">
        <v>3.30978589415434E-4</v>
      </c>
    </row>
    <row r="46207" spans="1:6" x14ac:dyDescent="0.25">
      <c r="A46207" s="1" t="str">
        <f t="shared" si="1525"/>
        <v>99999</v>
      </c>
      <c r="B46207" s="1" t="str">
        <f>"43973"</f>
        <v>43973</v>
      </c>
      <c r="C46207" s="2">
        <v>7.3400883798606099E-5</v>
      </c>
      <c r="D46207" s="2">
        <v>4.0654140172463799E-5</v>
      </c>
      <c r="E46207" s="2">
        <v>1.29031703089449E-5</v>
      </c>
      <c r="F46207" s="2">
        <v>6.9866678982149E-5</v>
      </c>
    </row>
    <row r="46208" spans="1:6" x14ac:dyDescent="0.25">
      <c r="A46208" s="1" t="str">
        <f t="shared" si="1525"/>
        <v>99999</v>
      </c>
      <c r="B46208" s="1" t="str">
        <f>"42633"</f>
        <v>42633</v>
      </c>
      <c r="C46208" s="2">
        <v>1.0649623804231301E-3</v>
      </c>
      <c r="D46208" s="2">
        <v>8.9890821048003501E-4</v>
      </c>
      <c r="E46208" s="2">
        <v>1.07956524918172E-3</v>
      </c>
      <c r="F46208" s="2">
        <v>1.05441449848059E-3</v>
      </c>
    </row>
    <row r="46209" spans="1:6" x14ac:dyDescent="0.25">
      <c r="A46209" s="1" t="str">
        <f t="shared" si="1525"/>
        <v>99999</v>
      </c>
      <c r="B46209" s="1" t="str">
        <f>"42642"</f>
        <v>42642</v>
      </c>
      <c r="C46209" s="2">
        <v>7.1636231282503899E-4</v>
      </c>
      <c r="D46209" s="2">
        <v>7.1822314304686205E-4</v>
      </c>
      <c r="E46209" s="2">
        <v>6.5376062898654099E-4</v>
      </c>
      <c r="F46209" s="2">
        <v>7.1504796031730497E-4</v>
      </c>
    </row>
    <row r="46210" spans="1:6" x14ac:dyDescent="0.25">
      <c r="A46210" s="1" t="str">
        <f t="shared" si="1525"/>
        <v>99999</v>
      </c>
      <c r="B46210" s="1" t="str">
        <f>"42539"</f>
        <v>42539</v>
      </c>
      <c r="C46210" s="2">
        <v>5.1781183954090399E-4</v>
      </c>
      <c r="D46210" s="2">
        <v>3.61370134866345E-4</v>
      </c>
      <c r="E46210" s="2">
        <v>5.5913738005427898E-4</v>
      </c>
      <c r="F46210" s="2">
        <v>5.0850705762007598E-4</v>
      </c>
    </row>
    <row r="46211" spans="1:6" x14ac:dyDescent="0.25">
      <c r="A46211" s="1" t="str">
        <f t="shared" si="1525"/>
        <v>99999</v>
      </c>
      <c r="B46211" s="1" t="str">
        <f>"42602"</f>
        <v>42602</v>
      </c>
      <c r="C46211" s="2">
        <v>5.3903097409035397E-4</v>
      </c>
      <c r="D46211" s="2">
        <v>7.4080877647600797E-4</v>
      </c>
      <c r="E46211" s="2">
        <v>8.0859867269387998E-4</v>
      </c>
      <c r="F46211" s="2">
        <v>5.5844002310731803E-4</v>
      </c>
    </row>
    <row r="46212" spans="1:6" x14ac:dyDescent="0.25">
      <c r="A46212" s="1" t="str">
        <f t="shared" si="1525"/>
        <v>99999</v>
      </c>
      <c r="B46212" s="1" t="str">
        <f>"41135"</f>
        <v>41135</v>
      </c>
      <c r="C46212" s="2">
        <v>1.1259132618075199E-5</v>
      </c>
      <c r="D46212" s="2">
        <v>1.50570889527644E-6</v>
      </c>
      <c r="E46212" s="2">
        <v>0</v>
      </c>
      <c r="F46212" s="2">
        <v>1.03615837473526E-5</v>
      </c>
    </row>
    <row r="46213" spans="1:6" x14ac:dyDescent="0.25">
      <c r="A46213" s="1" t="str">
        <f t="shared" si="1525"/>
        <v>99999</v>
      </c>
      <c r="B46213" s="1" t="str">
        <f>"41224"</f>
        <v>41224</v>
      </c>
      <c r="C46213" s="2">
        <v>1.6152524871315601E-4</v>
      </c>
      <c r="D46213" s="2">
        <v>9.0342533716586399E-5</v>
      </c>
      <c r="E46213" s="2">
        <v>3.4838559834151202E-4</v>
      </c>
      <c r="F46213" s="2">
        <v>1.6114729770882601E-4</v>
      </c>
    </row>
    <row r="46214" spans="1:6" x14ac:dyDescent="0.25">
      <c r="A46214" s="1" t="str">
        <f t="shared" ref="A46214:A46277" si="1526">"99999"</f>
        <v>99999</v>
      </c>
      <c r="B46214" s="1" t="str">
        <f>"41240"</f>
        <v>41240</v>
      </c>
      <c r="C46214" s="2">
        <v>3.7479920311323602E-4</v>
      </c>
      <c r="D46214" s="2">
        <v>8.8535683042254704E-4</v>
      </c>
      <c r="E46214" s="2">
        <v>9.59135659631571E-4</v>
      </c>
      <c r="F46214" s="2">
        <v>4.2166711764226401E-4</v>
      </c>
    </row>
    <row r="46215" spans="1:6" x14ac:dyDescent="0.25">
      <c r="A46215" s="1" t="str">
        <f t="shared" si="1526"/>
        <v>99999</v>
      </c>
      <c r="B46215" s="1" t="str">
        <f>"41189"</f>
        <v>41189</v>
      </c>
      <c r="C46215" s="2">
        <v>1.27531329077814E-4</v>
      </c>
      <c r="D46215" s="2">
        <v>4.8182684648845999E-5</v>
      </c>
      <c r="E46215" s="2">
        <v>1.29031703089449E-5</v>
      </c>
      <c r="F46215" s="2">
        <v>1.19700962719416E-4</v>
      </c>
    </row>
    <row r="46216" spans="1:6" x14ac:dyDescent="0.25">
      <c r="A46216" s="1" t="str">
        <f t="shared" si="1526"/>
        <v>99999</v>
      </c>
      <c r="B46216" s="1" t="str">
        <f>"41263"</f>
        <v>41263</v>
      </c>
      <c r="C46216" s="2">
        <v>2.3709135032293099E-5</v>
      </c>
      <c r="D46216" s="2">
        <v>0</v>
      </c>
      <c r="E46216" s="2">
        <v>1.72042270785932E-5</v>
      </c>
      <c r="F46216" s="2">
        <v>2.2006030244377399E-5</v>
      </c>
    </row>
    <row r="46217" spans="1:6" x14ac:dyDescent="0.25">
      <c r="A46217" s="1" t="str">
        <f t="shared" si="1526"/>
        <v>99999</v>
      </c>
      <c r="B46217" s="1" t="str">
        <f>"41385"</f>
        <v>41385</v>
      </c>
      <c r="C46217" s="2">
        <v>2.6523918186811901E-5</v>
      </c>
      <c r="D46217" s="2">
        <v>0</v>
      </c>
      <c r="E46217" s="2">
        <v>3.44084541571864E-5</v>
      </c>
      <c r="F46217" s="2">
        <v>2.4966482743620998E-5</v>
      </c>
    </row>
    <row r="46218" spans="1:6" x14ac:dyDescent="0.25">
      <c r="A46218" s="1" t="str">
        <f t="shared" si="1526"/>
        <v>99999</v>
      </c>
      <c r="B46218" s="1" t="str">
        <f>"41425"</f>
        <v>41425</v>
      </c>
      <c r="C46218" s="2">
        <v>6.12756640560635E-5</v>
      </c>
      <c r="D46218" s="2">
        <v>1.20456711622115E-5</v>
      </c>
      <c r="E46218" s="2">
        <v>2.15052838482415E-5</v>
      </c>
      <c r="F46218" s="2">
        <v>5.7136733235401503E-5</v>
      </c>
    </row>
    <row r="46219" spans="1:6" x14ac:dyDescent="0.25">
      <c r="A46219" s="1" t="str">
        <f t="shared" si="1526"/>
        <v>99999</v>
      </c>
      <c r="B46219" s="1" t="str">
        <f>"41231"</f>
        <v>41231</v>
      </c>
      <c r="C46219" s="2">
        <v>3.7133485461536698E-5</v>
      </c>
      <c r="D46219" s="2">
        <v>1.0539962266935E-5</v>
      </c>
      <c r="E46219" s="2">
        <v>1.29031703089449E-5</v>
      </c>
      <c r="F46219" s="2">
        <v>3.4834657741099703E-5</v>
      </c>
    </row>
    <row r="46220" spans="1:6" x14ac:dyDescent="0.25">
      <c r="A46220" s="1" t="str">
        <f t="shared" si="1526"/>
        <v>99999</v>
      </c>
      <c r="B46220" s="1" t="str">
        <f>"41408"</f>
        <v>41408</v>
      </c>
      <c r="C46220" s="2">
        <v>1.9595221191073298E-5</v>
      </c>
      <c r="D46220" s="2">
        <v>1.50570889527644E-6</v>
      </c>
      <c r="E46220" s="2">
        <v>8.6021135392965999E-6</v>
      </c>
      <c r="F46220" s="2">
        <v>1.81574419953607E-5</v>
      </c>
    </row>
    <row r="46221" spans="1:6" x14ac:dyDescent="0.25">
      <c r="A46221" s="1" t="str">
        <f t="shared" si="1526"/>
        <v>99999</v>
      </c>
      <c r="B46221" s="1" t="str">
        <f>"40370"</f>
        <v>40370</v>
      </c>
      <c r="C46221" s="2">
        <v>3.7891311695445598E-5</v>
      </c>
      <c r="D46221" s="2">
        <v>0</v>
      </c>
      <c r="E46221" s="2">
        <v>0</v>
      </c>
      <c r="F46221" s="2">
        <v>3.4538612491175298E-5</v>
      </c>
    </row>
    <row r="46222" spans="1:6" x14ac:dyDescent="0.25">
      <c r="A46222" s="1" t="str">
        <f t="shared" si="1526"/>
        <v>99999</v>
      </c>
      <c r="B46222" s="1" t="str">
        <f>"41046"</f>
        <v>41046</v>
      </c>
      <c r="C46222" s="2">
        <v>2.1327395440007902E-5</v>
      </c>
      <c r="D46222" s="2">
        <v>3.01141779055288E-6</v>
      </c>
      <c r="E46222" s="2">
        <v>0</v>
      </c>
      <c r="F46222" s="2">
        <v>1.96376682449825E-5</v>
      </c>
    </row>
    <row r="46223" spans="1:6" x14ac:dyDescent="0.25">
      <c r="A46223" s="1" t="str">
        <f t="shared" si="1526"/>
        <v>99999</v>
      </c>
      <c r="B46223" s="1" t="str">
        <f>"45821"</f>
        <v>45821</v>
      </c>
      <c r="C46223" s="2">
        <v>6.2574794742764506E-5</v>
      </c>
      <c r="D46223" s="2">
        <v>2.25856334291466E-5</v>
      </c>
      <c r="E46223" s="2">
        <v>1.29031703089449E-5</v>
      </c>
      <c r="F46223" s="2">
        <v>5.8814322984972897E-5</v>
      </c>
    </row>
    <row r="46224" spans="1:6" x14ac:dyDescent="0.25">
      <c r="A46224" s="1" t="str">
        <f t="shared" si="1526"/>
        <v>99999</v>
      </c>
      <c r="B46224" s="1" t="str">
        <f>"45171"</f>
        <v>45171</v>
      </c>
      <c r="C46224" s="2">
        <v>6.3332620976673399E-5</v>
      </c>
      <c r="D46224" s="2">
        <v>9.0342533716586405E-6</v>
      </c>
      <c r="E46224" s="2">
        <v>1.72042270785932E-5</v>
      </c>
      <c r="F46224" s="2">
        <v>5.87156412349981E-5</v>
      </c>
    </row>
    <row r="46225" spans="1:6" x14ac:dyDescent="0.25">
      <c r="A46225" s="1" t="str">
        <f t="shared" si="1526"/>
        <v>99999</v>
      </c>
      <c r="B46225" s="1" t="str">
        <f>"46150"</f>
        <v>46150</v>
      </c>
      <c r="C46225" s="2">
        <v>2.4142178594526799E-5</v>
      </c>
      <c r="D46225" s="2">
        <v>4.5171266858293203E-6</v>
      </c>
      <c r="E46225" s="2">
        <v>4.3010567696482999E-6</v>
      </c>
      <c r="F46225" s="2">
        <v>2.2400757244276601E-5</v>
      </c>
    </row>
    <row r="46226" spans="1:6" x14ac:dyDescent="0.25">
      <c r="A46226" s="1" t="str">
        <f t="shared" si="1526"/>
        <v>99999</v>
      </c>
      <c r="B46226" s="1" t="str">
        <f>"47031"</f>
        <v>47031</v>
      </c>
      <c r="C46226" s="2">
        <v>1.9649351636352499E-4</v>
      </c>
      <c r="D46226" s="2">
        <v>8.7331115926033497E-5</v>
      </c>
      <c r="E46226" s="2">
        <v>2.0645072494311799E-4</v>
      </c>
      <c r="F46226" s="2">
        <v>1.8956764170156501E-4</v>
      </c>
    </row>
    <row r="46227" spans="1:6" x14ac:dyDescent="0.25">
      <c r="A46227" s="1" t="str">
        <f t="shared" si="1526"/>
        <v>99999</v>
      </c>
      <c r="B46227" s="1" t="str">
        <f>"45686"</f>
        <v>45686</v>
      </c>
      <c r="C46227" s="2">
        <v>4.7418270064586199E-5</v>
      </c>
      <c r="D46227" s="2">
        <v>1.65627978480408E-5</v>
      </c>
      <c r="E46227" s="2">
        <v>0</v>
      </c>
      <c r="F46227" s="2">
        <v>4.4308105738679202E-5</v>
      </c>
    </row>
    <row r="46228" spans="1:6" x14ac:dyDescent="0.25">
      <c r="A46228" s="1" t="str">
        <f t="shared" si="1526"/>
        <v>99999</v>
      </c>
      <c r="B46228" s="1" t="str">
        <f>"45734"</f>
        <v>45734</v>
      </c>
      <c r="C46228" s="2">
        <v>3.1612180043057497E-5</v>
      </c>
      <c r="D46228" s="2">
        <v>1.50570889527644E-5</v>
      </c>
      <c r="E46228" s="2">
        <v>8.6021135392965999E-6</v>
      </c>
      <c r="F46228" s="2">
        <v>2.9999251992335099E-5</v>
      </c>
    </row>
    <row r="46229" spans="1:6" x14ac:dyDescent="0.25">
      <c r="A46229" s="1" t="str">
        <f t="shared" si="1526"/>
        <v>99999</v>
      </c>
      <c r="B46229" s="1" t="str">
        <f>"45661"</f>
        <v>45661</v>
      </c>
      <c r="C46229" s="2">
        <v>3.6494746207242E-4</v>
      </c>
      <c r="D46229" s="2">
        <v>2.3790200545367699E-4</v>
      </c>
      <c r="E46229" s="2">
        <v>2.7096657648784301E-4</v>
      </c>
      <c r="F46229" s="2">
        <v>3.54464845909434E-4</v>
      </c>
    </row>
    <row r="46230" spans="1:6" x14ac:dyDescent="0.25">
      <c r="A46230" s="1" t="str">
        <f t="shared" si="1526"/>
        <v>99999</v>
      </c>
      <c r="B46230" s="1" t="str">
        <f>"45772"</f>
        <v>45772</v>
      </c>
      <c r="C46230" s="2">
        <v>1.04038715826637E-4</v>
      </c>
      <c r="D46230" s="2">
        <v>3.7642722381910999E-5</v>
      </c>
      <c r="E46230" s="2">
        <v>8.6021135392965999E-6</v>
      </c>
      <c r="F46230" s="2">
        <v>9.7497568975089298E-5</v>
      </c>
    </row>
    <row r="46231" spans="1:6" x14ac:dyDescent="0.25">
      <c r="A46231" s="1" t="str">
        <f t="shared" si="1526"/>
        <v>99999</v>
      </c>
      <c r="B46231" s="1" t="str">
        <f>"45622"</f>
        <v>45622</v>
      </c>
      <c r="C46231" s="2">
        <v>2.69569617490456E-5</v>
      </c>
      <c r="D46231" s="2">
        <v>7.5285444763821999E-6</v>
      </c>
      <c r="E46231" s="2">
        <v>4.3010567696482999E-6</v>
      </c>
      <c r="F46231" s="2">
        <v>2.5163846243570599E-5</v>
      </c>
    </row>
    <row r="46232" spans="1:6" x14ac:dyDescent="0.25">
      <c r="A46232" s="1" t="str">
        <f t="shared" si="1526"/>
        <v>99999</v>
      </c>
      <c r="B46232" s="1" t="str">
        <f>"45648"</f>
        <v>45648</v>
      </c>
      <c r="C46232" s="2">
        <v>9.0289582725718999E-5</v>
      </c>
      <c r="D46232" s="2">
        <v>1.35513800574879E-5</v>
      </c>
      <c r="E46232" s="2">
        <v>2.58063406178898E-5</v>
      </c>
      <c r="F46232" s="2">
        <v>8.3780805728593993E-5</v>
      </c>
    </row>
    <row r="46233" spans="1:6" x14ac:dyDescent="0.25">
      <c r="A46233" s="1" t="str">
        <f t="shared" si="1526"/>
        <v>99999</v>
      </c>
      <c r="B46233" s="1" t="str">
        <f>"30529"</f>
        <v>30529</v>
      </c>
      <c r="C46233" s="2">
        <v>5.5646097747025903E-5</v>
      </c>
      <c r="D46233" s="2">
        <v>3.8546147719076799E-4</v>
      </c>
      <c r="E46233" s="2">
        <v>9.4623248932262599E-5</v>
      </c>
      <c r="F46233" s="2">
        <v>7.8155945980031097E-5</v>
      </c>
    </row>
    <row r="46234" spans="1:6" x14ac:dyDescent="0.25">
      <c r="A46234" s="1" t="str">
        <f t="shared" si="1526"/>
        <v>99999</v>
      </c>
      <c r="B46234" s="1" t="str">
        <f>"30512"</f>
        <v>30512</v>
      </c>
      <c r="C46234" s="2">
        <v>1.43608071325739E-3</v>
      </c>
      <c r="D46234" s="2">
        <v>1.62014277131745E-3</v>
      </c>
      <c r="E46234" s="2">
        <v>1.1397800439568E-3</v>
      </c>
      <c r="F46234" s="2">
        <v>1.4413456401317301E-3</v>
      </c>
    </row>
    <row r="46235" spans="1:6" x14ac:dyDescent="0.25">
      <c r="A46235" s="1" t="str">
        <f t="shared" si="1526"/>
        <v>99999</v>
      </c>
      <c r="B46235" s="1" t="str">
        <f>"30552"</f>
        <v>30552</v>
      </c>
      <c r="C46235" s="2">
        <v>1.8371873127763199E-4</v>
      </c>
      <c r="D46235" s="2">
        <v>1.2497383830794399E-4</v>
      </c>
      <c r="E46235" s="2">
        <v>2.58063406178898E-5</v>
      </c>
      <c r="F46235" s="2">
        <v>1.7624560545496899E-4</v>
      </c>
    </row>
    <row r="46236" spans="1:6" x14ac:dyDescent="0.25">
      <c r="A46236" s="1" t="str">
        <f t="shared" si="1526"/>
        <v>99999</v>
      </c>
      <c r="B46236" s="1" t="str">
        <f>"30572"</f>
        <v>30572</v>
      </c>
      <c r="C46236" s="2">
        <v>1.6423177097711701E-4</v>
      </c>
      <c r="D46236" s="2">
        <v>8.1308280344927694E-5</v>
      </c>
      <c r="E46236" s="2">
        <v>3.01073973875381E-5</v>
      </c>
      <c r="F46236" s="2">
        <v>1.5571980146021299E-4</v>
      </c>
    </row>
    <row r="46237" spans="1:6" x14ac:dyDescent="0.25">
      <c r="A46237" s="1" t="str">
        <f t="shared" si="1526"/>
        <v>99999</v>
      </c>
      <c r="B46237" s="1" t="str">
        <f>"30536"</f>
        <v>30536</v>
      </c>
      <c r="C46237" s="2">
        <v>5.1954401378983899E-4</v>
      </c>
      <c r="D46237" s="2">
        <v>1.97247865281213E-4</v>
      </c>
      <c r="E46237" s="2">
        <v>2.7096657648784301E-4</v>
      </c>
      <c r="F46237" s="2">
        <v>4.9271797762410997E-4</v>
      </c>
    </row>
    <row r="46238" spans="1:6" x14ac:dyDescent="0.25">
      <c r="A46238" s="1" t="str">
        <f t="shared" si="1526"/>
        <v>99999</v>
      </c>
      <c r="B46238" s="1" t="str">
        <f>"29853"</f>
        <v>29853</v>
      </c>
      <c r="C46238" s="2">
        <v>2.9197962183604798E-4</v>
      </c>
      <c r="D46238" s="2">
        <v>3.1770457690332799E-4</v>
      </c>
      <c r="E46238" s="2">
        <v>4.3010567696482999E-5</v>
      </c>
      <c r="F46238" s="2">
        <v>2.8795334642642701E-4</v>
      </c>
    </row>
    <row r="46239" spans="1:6" x14ac:dyDescent="0.25">
      <c r="A46239" s="1" t="str">
        <f t="shared" si="1526"/>
        <v>99999</v>
      </c>
      <c r="B46239" s="1" t="str">
        <f>"30673"</f>
        <v>30673</v>
      </c>
      <c r="C46239" s="2">
        <v>4.5036530472301103E-4</v>
      </c>
      <c r="D46239" s="2">
        <v>6.9262609182716198E-4</v>
      </c>
      <c r="E46239" s="2">
        <v>1.97848611403821E-4</v>
      </c>
      <c r="F46239" s="2">
        <v>4.6044904538235497E-4</v>
      </c>
    </row>
    <row r="46240" spans="1:6" x14ac:dyDescent="0.25">
      <c r="A46240" s="1" t="str">
        <f t="shared" si="1526"/>
        <v>99999</v>
      </c>
      <c r="B46240" s="1" t="str">
        <f>"30668"</f>
        <v>30668</v>
      </c>
      <c r="C46240" s="2">
        <v>1.16813500912531E-4</v>
      </c>
      <c r="D46240" s="2">
        <v>2.8608469010252301E-5</v>
      </c>
      <c r="E46240" s="2">
        <v>1.72042270785932E-5</v>
      </c>
      <c r="F46240" s="2">
        <v>1.08747288472215E-4</v>
      </c>
    </row>
    <row r="46241" spans="1:6" x14ac:dyDescent="0.25">
      <c r="A46241" s="1" t="str">
        <f t="shared" si="1526"/>
        <v>99999</v>
      </c>
      <c r="B46241" s="1" t="str">
        <f>"30677"</f>
        <v>30677</v>
      </c>
      <c r="C46241" s="2">
        <v>9.2021756974653701E-6</v>
      </c>
      <c r="D46241" s="2">
        <v>4.5171266858293203E-6</v>
      </c>
      <c r="E46241" s="2">
        <v>0</v>
      </c>
      <c r="F46241" s="2">
        <v>8.6839939977812298E-6</v>
      </c>
    </row>
    <row r="46242" spans="1:6" x14ac:dyDescent="0.25">
      <c r="A46242" s="1" t="str">
        <f t="shared" si="1526"/>
        <v>99999</v>
      </c>
      <c r="B46242" s="1" t="str">
        <f>"30643"</f>
        <v>30643</v>
      </c>
      <c r="C46242" s="2">
        <v>1.02111671974698E-3</v>
      </c>
      <c r="D46242" s="2">
        <v>1.1097074558187299E-3</v>
      </c>
      <c r="E46242" s="2">
        <v>4.8601941497025799E-4</v>
      </c>
      <c r="F46242" s="2">
        <v>1.0146457532407499E-3</v>
      </c>
    </row>
    <row r="46243" spans="1:6" x14ac:dyDescent="0.25">
      <c r="A46243" s="1" t="str">
        <f t="shared" si="1526"/>
        <v>99999</v>
      </c>
      <c r="B46243" s="1" t="str">
        <f>"30441"</f>
        <v>30441</v>
      </c>
      <c r="C46243" s="2">
        <v>6.6363925912309106E-5</v>
      </c>
      <c r="D46243" s="2">
        <v>1.20456711622115E-5</v>
      </c>
      <c r="E46243" s="2">
        <v>0</v>
      </c>
      <c r="F46243" s="2">
        <v>6.1281366734342599E-5</v>
      </c>
    </row>
    <row r="46244" spans="1:6" x14ac:dyDescent="0.25">
      <c r="A46244" s="1" t="str">
        <f t="shared" si="1526"/>
        <v>99999</v>
      </c>
      <c r="B46244" s="1" t="str">
        <f>"31063"</f>
        <v>31063</v>
      </c>
      <c r="C46244" s="2">
        <v>2.7303396598832497E-4</v>
      </c>
      <c r="D46244" s="2">
        <v>4.32138452944338E-4</v>
      </c>
      <c r="E46244" s="2">
        <v>3.3118137126291901E-4</v>
      </c>
      <c r="F46244" s="2">
        <v>2.84795530427234E-4</v>
      </c>
    </row>
    <row r="46245" spans="1:6" x14ac:dyDescent="0.25">
      <c r="A46245" s="1" t="str">
        <f t="shared" si="1526"/>
        <v>99999</v>
      </c>
      <c r="B46245" s="1" t="str">
        <f>"31017"</f>
        <v>31017</v>
      </c>
      <c r="C46245" s="2">
        <v>5.4563488841441697E-5</v>
      </c>
      <c r="D46245" s="2">
        <v>3.01141779055288E-5</v>
      </c>
      <c r="E46245" s="2">
        <v>0</v>
      </c>
      <c r="F46245" s="2">
        <v>5.1709236986788201E-5</v>
      </c>
    </row>
    <row r="46246" spans="1:6" x14ac:dyDescent="0.25">
      <c r="A46246" s="1" t="str">
        <f t="shared" si="1526"/>
        <v>99999</v>
      </c>
      <c r="B46246" s="1" t="str">
        <f>"31055"</f>
        <v>31055</v>
      </c>
      <c r="C46246" s="2">
        <v>2.6285744227583398E-4</v>
      </c>
      <c r="D46246" s="2">
        <v>4.2611561736323201E-4</v>
      </c>
      <c r="E46246" s="2">
        <v>1.93547554634173E-4</v>
      </c>
      <c r="F46246" s="2">
        <v>2.7196690293051199E-4</v>
      </c>
    </row>
    <row r="46247" spans="1:6" x14ac:dyDescent="0.25">
      <c r="A46247" s="1" t="str">
        <f t="shared" si="1526"/>
        <v>99999</v>
      </c>
      <c r="B46247" s="1" t="str">
        <f>"31007"</f>
        <v>31007</v>
      </c>
      <c r="C46247" s="2">
        <v>2.6307396405695101E-5</v>
      </c>
      <c r="D46247" s="2">
        <v>7.5285444763821999E-6</v>
      </c>
      <c r="E46247" s="2">
        <v>1.72042270785932E-5</v>
      </c>
      <c r="F46247" s="2">
        <v>2.4867800993646201E-5</v>
      </c>
    </row>
    <row r="46248" spans="1:6" x14ac:dyDescent="0.25">
      <c r="A46248" s="1" t="str">
        <f t="shared" si="1526"/>
        <v>99999</v>
      </c>
      <c r="B46248" s="1" t="str">
        <f>"31549"</f>
        <v>31549</v>
      </c>
      <c r="C46248" s="2">
        <v>5.6945228433726902E-5</v>
      </c>
      <c r="D46248" s="2">
        <v>1.9574215638593701E-5</v>
      </c>
      <c r="E46248" s="2">
        <v>2.58063406178898E-5</v>
      </c>
      <c r="F46248" s="2">
        <v>5.3781553736258797E-5</v>
      </c>
    </row>
    <row r="46249" spans="1:6" x14ac:dyDescent="0.25">
      <c r="A46249" s="1" t="str">
        <f t="shared" si="1526"/>
        <v>99999</v>
      </c>
      <c r="B46249" s="1" t="str">
        <f>"31733"</f>
        <v>31733</v>
      </c>
      <c r="C46249" s="2">
        <v>3.1720440933615901E-5</v>
      </c>
      <c r="D46249" s="2">
        <v>2.7102760114975901E-5</v>
      </c>
      <c r="E46249" s="2">
        <v>0</v>
      </c>
      <c r="F46249" s="2">
        <v>3.06900242421586E-5</v>
      </c>
    </row>
    <row r="46250" spans="1:6" x14ac:dyDescent="0.25">
      <c r="A46250" s="1" t="str">
        <f t="shared" si="1526"/>
        <v>99999</v>
      </c>
      <c r="B46250" s="1" t="str">
        <f>"31705"</f>
        <v>31705</v>
      </c>
      <c r="C46250" s="2">
        <v>4.8609139860728801E-5</v>
      </c>
      <c r="D46250" s="2">
        <v>1.65627978480408E-5</v>
      </c>
      <c r="E46250" s="2">
        <v>0</v>
      </c>
      <c r="F46250" s="2">
        <v>4.5393604988401902E-5</v>
      </c>
    </row>
    <row r="46251" spans="1:6" x14ac:dyDescent="0.25">
      <c r="A46251" s="1" t="str">
        <f t="shared" si="1526"/>
        <v>99999</v>
      </c>
      <c r="B46251" s="1" t="str">
        <f>"31622"</f>
        <v>31622</v>
      </c>
      <c r="C46251" s="2">
        <v>9.5486105472522995E-5</v>
      </c>
      <c r="D46251" s="2">
        <v>3.9148431277187403E-5</v>
      </c>
      <c r="E46251" s="2">
        <v>4.3010567696482999E-6</v>
      </c>
      <c r="F46251" s="2">
        <v>8.9701710727081206E-5</v>
      </c>
    </row>
    <row r="46252" spans="1:6" x14ac:dyDescent="0.25">
      <c r="A46252" s="1" t="str">
        <f t="shared" si="1526"/>
        <v>99999</v>
      </c>
      <c r="B46252" s="1" t="str">
        <f>"32024"</f>
        <v>32024</v>
      </c>
      <c r="C46252" s="2">
        <v>1.11941760837402E-4</v>
      </c>
      <c r="D46252" s="2">
        <v>2.8608469010252301E-5</v>
      </c>
      <c r="E46252" s="2">
        <v>4.3010567696482999E-6</v>
      </c>
      <c r="F46252" s="2">
        <v>1.0401056447342499E-4</v>
      </c>
    </row>
    <row r="46253" spans="1:6" x14ac:dyDescent="0.25">
      <c r="A46253" s="1" t="str">
        <f t="shared" si="1526"/>
        <v>99999</v>
      </c>
      <c r="B46253" s="1" t="str">
        <f>"31792"</f>
        <v>31792</v>
      </c>
      <c r="C46253" s="2">
        <v>3.7350007242653498E-5</v>
      </c>
      <c r="D46253" s="2">
        <v>4.8182684648845999E-5</v>
      </c>
      <c r="E46253" s="2">
        <v>7.3117965084021106E-5</v>
      </c>
      <c r="F46253" s="2">
        <v>3.8880609490066002E-5</v>
      </c>
    </row>
    <row r="46254" spans="1:6" x14ac:dyDescent="0.25">
      <c r="A46254" s="1" t="str">
        <f t="shared" si="1526"/>
        <v>99999</v>
      </c>
      <c r="B46254" s="1" t="str">
        <f>"32066"</f>
        <v>32066</v>
      </c>
      <c r="C46254" s="2">
        <v>2.5278917945390102E-4</v>
      </c>
      <c r="D46254" s="2">
        <v>1.92730738595384E-4</v>
      </c>
      <c r="E46254" s="2">
        <v>1.11827476010855E-4</v>
      </c>
      <c r="F46254" s="2">
        <v>2.4561887568724398E-4</v>
      </c>
    </row>
    <row r="46255" spans="1:6" x14ac:dyDescent="0.25">
      <c r="A46255" s="1" t="str">
        <f t="shared" si="1526"/>
        <v>99999</v>
      </c>
      <c r="B46255" s="1" t="str">
        <f>"39824"</f>
        <v>39824</v>
      </c>
      <c r="C46255" s="2">
        <v>2.1110873658891101E-5</v>
      </c>
      <c r="D46255" s="2">
        <v>9.0342533716586405E-6</v>
      </c>
      <c r="E46255" s="2">
        <v>0</v>
      </c>
      <c r="F46255" s="2">
        <v>1.9835031744932101E-5</v>
      </c>
    </row>
    <row r="46256" spans="1:6" x14ac:dyDescent="0.25">
      <c r="A46256" s="1" t="str">
        <f t="shared" si="1526"/>
        <v>99999</v>
      </c>
      <c r="B46256" s="1" t="str">
        <f>"32680"</f>
        <v>32680</v>
      </c>
      <c r="C46256" s="2">
        <v>5.6219880466985503E-4</v>
      </c>
      <c r="D46256" s="2">
        <v>1.89719320804831E-4</v>
      </c>
      <c r="E46256" s="2">
        <v>4.3010567696482999E-6</v>
      </c>
      <c r="F46256" s="2">
        <v>5.2498690986586501E-4</v>
      </c>
    </row>
    <row r="46257" spans="1:6" x14ac:dyDescent="0.25">
      <c r="A46257" s="1" t="str">
        <f t="shared" si="1526"/>
        <v>99999</v>
      </c>
      <c r="B46257" s="1" t="str">
        <f>"32666"</f>
        <v>32666</v>
      </c>
      <c r="C46257" s="2">
        <v>7.1993492221346703E-5</v>
      </c>
      <c r="D46257" s="2">
        <v>2.55970512196994E-5</v>
      </c>
      <c r="E46257" s="2">
        <v>6.0214794775076199E-5</v>
      </c>
      <c r="F46257" s="2">
        <v>6.8682497982451598E-5</v>
      </c>
    </row>
    <row r="46258" spans="1:6" x14ac:dyDescent="0.25">
      <c r="A46258" s="1" t="str">
        <f t="shared" si="1526"/>
        <v>99999</v>
      </c>
      <c r="B46258" s="1" t="str">
        <f>"32322"</f>
        <v>32322</v>
      </c>
      <c r="C46258" s="2">
        <v>3.05620494046408E-4</v>
      </c>
      <c r="D46258" s="2">
        <v>1.4605376284181399E-4</v>
      </c>
      <c r="E46258" s="2">
        <v>9.8924305701910905E-5</v>
      </c>
      <c r="F46258" s="2">
        <v>2.90420390175797E-4</v>
      </c>
    </row>
    <row r="46259" spans="1:6" x14ac:dyDescent="0.25">
      <c r="A46259" s="1" t="str">
        <f t="shared" si="1526"/>
        <v>99999</v>
      </c>
      <c r="B46259" s="1" t="str">
        <f>"35072"</f>
        <v>35072</v>
      </c>
      <c r="C46259" s="2">
        <v>1.0209001979658599E-4</v>
      </c>
      <c r="D46259" s="2">
        <v>1.80685067433172E-5</v>
      </c>
      <c r="E46259" s="2">
        <v>0</v>
      </c>
      <c r="F46259" s="2">
        <v>9.4241071225921395E-5</v>
      </c>
    </row>
    <row r="46260" spans="1:6" x14ac:dyDescent="0.25">
      <c r="A46260" s="1" t="str">
        <f t="shared" si="1526"/>
        <v>99999</v>
      </c>
      <c r="B46260" s="1" t="str">
        <f>"35470"</f>
        <v>35470</v>
      </c>
      <c r="C46260" s="2">
        <v>1.98333951503018E-4</v>
      </c>
      <c r="D46260" s="2">
        <v>6.1734064706334002E-5</v>
      </c>
      <c r="E46260" s="2">
        <v>3.01073973875381E-5</v>
      </c>
      <c r="F46260" s="2">
        <v>1.85521689952599E-4</v>
      </c>
    </row>
    <row r="46261" spans="1:6" x14ac:dyDescent="0.25">
      <c r="A46261" s="1" t="str">
        <f t="shared" si="1526"/>
        <v>99999</v>
      </c>
      <c r="B46261" s="1" t="str">
        <f>"37098"</f>
        <v>37098</v>
      </c>
      <c r="C46261" s="2">
        <v>2.7758092339177898E-4</v>
      </c>
      <c r="D46261" s="2">
        <v>1.71650814061514E-4</v>
      </c>
      <c r="E46261" s="2">
        <v>3.01073973875381E-5</v>
      </c>
      <c r="F46261" s="2">
        <v>2.6496049868230201E-4</v>
      </c>
    </row>
    <row r="46262" spans="1:6" x14ac:dyDescent="0.25">
      <c r="A46262" s="1" t="str">
        <f t="shared" si="1526"/>
        <v>99999</v>
      </c>
      <c r="B46262" s="1" t="str">
        <f>"37110"</f>
        <v>37110</v>
      </c>
      <c r="C46262" s="2">
        <v>2.40339177039683E-5</v>
      </c>
      <c r="D46262" s="2">
        <v>3.4631304591358098E-5</v>
      </c>
      <c r="E46262" s="2">
        <v>8.6021135392965999E-6</v>
      </c>
      <c r="F46262" s="2">
        <v>2.4374392243772301E-5</v>
      </c>
    </row>
    <row r="46263" spans="1:6" x14ac:dyDescent="0.25">
      <c r="A46263" s="1" t="str">
        <f t="shared" si="1526"/>
        <v>99999</v>
      </c>
      <c r="B46263" s="1" t="str">
        <f>"36784"</f>
        <v>36784</v>
      </c>
      <c r="C46263" s="2">
        <v>4.8111139764160101E-4</v>
      </c>
      <c r="D46263" s="2">
        <v>7.7092295438153696E-4</v>
      </c>
      <c r="E46263" s="2">
        <v>4.3440673373447799E-4</v>
      </c>
      <c r="F46263" s="2">
        <v>4.99033609622496E-4</v>
      </c>
    </row>
    <row r="46264" spans="1:6" x14ac:dyDescent="0.25">
      <c r="A46264" s="1" t="str">
        <f t="shared" si="1526"/>
        <v>99999</v>
      </c>
      <c r="B46264" s="1" t="str">
        <f>"36765"</f>
        <v>36765</v>
      </c>
      <c r="C46264" s="2">
        <v>1.7321742489346501E-5</v>
      </c>
      <c r="D46264" s="2">
        <v>4.5171266858293203E-6</v>
      </c>
      <c r="E46264" s="2">
        <v>0</v>
      </c>
      <c r="F46264" s="2">
        <v>1.60851252458902E-5</v>
      </c>
    </row>
    <row r="46265" spans="1:6" x14ac:dyDescent="0.25">
      <c r="A46265" s="1" t="str">
        <f t="shared" si="1526"/>
        <v>99999</v>
      </c>
      <c r="B46265" s="1" t="str">
        <f>"36726"</f>
        <v>36726</v>
      </c>
      <c r="C46265" s="2">
        <v>3.2997919442205202E-4</v>
      </c>
      <c r="D46265" s="2">
        <v>3.9600143945770302E-4</v>
      </c>
      <c r="E46265" s="2">
        <v>3.39783484802215E-4</v>
      </c>
      <c r="F46265" s="2">
        <v>3.3453113241452699E-4</v>
      </c>
    </row>
    <row r="46266" spans="1:6" x14ac:dyDescent="0.25">
      <c r="A46266" s="1" t="str">
        <f t="shared" si="1526"/>
        <v>99999</v>
      </c>
      <c r="B46266" s="1" t="str">
        <f>"36701"</f>
        <v>36701</v>
      </c>
      <c r="C46266" s="2">
        <v>2.8905657779097099E-5</v>
      </c>
      <c r="D46266" s="2">
        <v>7.5285444763821999E-6</v>
      </c>
      <c r="E46266" s="2">
        <v>8.6021135392965999E-6</v>
      </c>
      <c r="F46266" s="2">
        <v>2.7038799493091499E-5</v>
      </c>
    </row>
    <row r="46267" spans="1:6" x14ac:dyDescent="0.25">
      <c r="A46267" s="1" t="str">
        <f t="shared" si="1526"/>
        <v>99999</v>
      </c>
      <c r="B46267" s="1" t="str">
        <f>"36046"</f>
        <v>36046</v>
      </c>
      <c r="C46267" s="2">
        <v>6.1816968508855599E-5</v>
      </c>
      <c r="D46267" s="2">
        <v>2.1079924533870101E-5</v>
      </c>
      <c r="E46267" s="2">
        <v>0</v>
      </c>
      <c r="F46267" s="2">
        <v>5.7728823735250197E-5</v>
      </c>
    </row>
    <row r="46268" spans="1:6" x14ac:dyDescent="0.25">
      <c r="A46268" s="1" t="str">
        <f t="shared" si="1526"/>
        <v>99999</v>
      </c>
      <c r="B46268" s="1" t="str">
        <f>"35959"</f>
        <v>35959</v>
      </c>
      <c r="C46268" s="2">
        <v>3.1817875735118498E-4</v>
      </c>
      <c r="D46268" s="2">
        <v>1.06905331564627E-4</v>
      </c>
      <c r="E46268" s="2">
        <v>1.67741214016283E-4</v>
      </c>
      <c r="F46268" s="2">
        <v>3.0088065567312398E-4</v>
      </c>
    </row>
    <row r="46269" spans="1:6" x14ac:dyDescent="0.25">
      <c r="A46269" s="1" t="str">
        <f t="shared" si="1526"/>
        <v>99999</v>
      </c>
      <c r="B46269" s="1" t="str">
        <f>"36009"</f>
        <v>36009</v>
      </c>
      <c r="C46269" s="2">
        <v>1.4680176759721201E-4</v>
      </c>
      <c r="D46269" s="2">
        <v>5.8722646915781101E-5</v>
      </c>
      <c r="E46269" s="2">
        <v>1.07526419241207E-4</v>
      </c>
      <c r="F46269" s="2">
        <v>1.40128084964197E-4</v>
      </c>
    </row>
    <row r="46270" spans="1:6" x14ac:dyDescent="0.25">
      <c r="A46270" s="1" t="str">
        <f t="shared" si="1526"/>
        <v>99999</v>
      </c>
      <c r="B46270" s="1" t="str">
        <f>"38321"</f>
        <v>38321</v>
      </c>
      <c r="C46270" s="2">
        <v>1.5849394377752101E-4</v>
      </c>
      <c r="D46270" s="2">
        <v>7.0768318077992694E-5</v>
      </c>
      <c r="E46270" s="2">
        <v>8.6021135392965999E-6</v>
      </c>
      <c r="F46270" s="2">
        <v>1.4930548771185199E-4</v>
      </c>
    </row>
    <row r="46271" spans="1:6" x14ac:dyDescent="0.25">
      <c r="A46271" s="1" t="str">
        <f t="shared" si="1526"/>
        <v>99999</v>
      </c>
      <c r="B46271" s="1" t="str">
        <f>"38361"</f>
        <v>38361</v>
      </c>
      <c r="C46271" s="2">
        <v>7.76230585303843E-5</v>
      </c>
      <c r="D46271" s="2">
        <v>2.8608469010252301E-5</v>
      </c>
      <c r="E46271" s="2">
        <v>0</v>
      </c>
      <c r="F46271" s="2">
        <v>7.2629767981443005E-5</v>
      </c>
    </row>
    <row r="46272" spans="1:6" x14ac:dyDescent="0.25">
      <c r="A46272" s="1" t="str">
        <f t="shared" si="1526"/>
        <v>99999</v>
      </c>
      <c r="B46272" s="1" t="str">
        <f>"38477"</f>
        <v>38477</v>
      </c>
      <c r="C46272" s="2">
        <v>1.5827742199640401E-4</v>
      </c>
      <c r="D46272" s="2">
        <v>5.5711229125228301E-5</v>
      </c>
      <c r="E46272" s="2">
        <v>0</v>
      </c>
      <c r="F46272" s="2">
        <v>1.4792394321220501E-4</v>
      </c>
    </row>
    <row r="46273" spans="1:6" x14ac:dyDescent="0.25">
      <c r="A46273" s="1" t="str">
        <f t="shared" si="1526"/>
        <v>99999</v>
      </c>
      <c r="B46273" s="1" t="str">
        <f>"38041"</f>
        <v>38041</v>
      </c>
      <c r="C46273" s="2">
        <v>1.61416987822598E-4</v>
      </c>
      <c r="D46273" s="2">
        <v>1.2798525609849701E-4</v>
      </c>
      <c r="E46273" s="2">
        <v>5.5913738005427899E-5</v>
      </c>
      <c r="F46273" s="2">
        <v>1.56805300709936E-4</v>
      </c>
    </row>
    <row r="46274" spans="1:6" x14ac:dyDescent="0.25">
      <c r="A46274" s="1" t="str">
        <f t="shared" si="1526"/>
        <v>99999</v>
      </c>
      <c r="B46274" s="1" t="str">
        <f>"38037"</f>
        <v>38037</v>
      </c>
      <c r="C46274" s="2">
        <v>6.1925229399414003E-5</v>
      </c>
      <c r="D46274" s="2">
        <v>5.5711229125228301E-5</v>
      </c>
      <c r="E46274" s="2">
        <v>8.6021135392965999E-6</v>
      </c>
      <c r="F46274" s="2">
        <v>6.0294549234594703E-5</v>
      </c>
    </row>
    <row r="46275" spans="1:6" x14ac:dyDescent="0.25">
      <c r="A46275" s="1" t="str">
        <f t="shared" si="1526"/>
        <v>99999</v>
      </c>
      <c r="B46275" s="1" t="str">
        <f>"37879"</f>
        <v>37879</v>
      </c>
      <c r="C46275" s="2">
        <v>6.1665403262073804E-4</v>
      </c>
      <c r="D46275" s="2">
        <v>6.8208612956022696E-4</v>
      </c>
      <c r="E46275" s="2">
        <v>6.4945957221689303E-4</v>
      </c>
      <c r="F46275" s="2">
        <v>6.2169502484115595E-4</v>
      </c>
    </row>
    <row r="46276" spans="1:6" x14ac:dyDescent="0.25">
      <c r="A46276" s="1" t="str">
        <f t="shared" si="1526"/>
        <v>99999</v>
      </c>
      <c r="B46276" s="1" t="str">
        <f>"37874"</f>
        <v>37874</v>
      </c>
      <c r="C46276" s="2">
        <v>7.3065275037874995E-4</v>
      </c>
      <c r="D46276" s="2">
        <v>9.2149384390918104E-4</v>
      </c>
      <c r="E46276" s="2">
        <v>5.7634160713287204E-4</v>
      </c>
      <c r="F46276" s="2">
        <v>7.3961971606102705E-4</v>
      </c>
    </row>
    <row r="46277" spans="1:6" x14ac:dyDescent="0.25">
      <c r="A46277" s="1" t="str">
        <f t="shared" si="1526"/>
        <v>99999</v>
      </c>
      <c r="B46277" s="1" t="str">
        <f>"37880"</f>
        <v>37880</v>
      </c>
      <c r="C46277" s="2">
        <v>1.3835741813365501E-4</v>
      </c>
      <c r="D46277" s="2">
        <v>4.3665557963016701E-5</v>
      </c>
      <c r="E46277" s="2">
        <v>3.01073973875381E-5</v>
      </c>
      <c r="F46277" s="2">
        <v>1.2966781946686901E-4</v>
      </c>
    </row>
    <row r="46278" spans="1:6" x14ac:dyDescent="0.25">
      <c r="A46278" s="1" t="str">
        <f t="shared" ref="A46278:A46341" si="1527">"99999"</f>
        <v>99999</v>
      </c>
      <c r="B46278" s="1" t="str">
        <f>"37178"</f>
        <v>37178</v>
      </c>
      <c r="C46278" s="2">
        <v>1.2612393750055401E-4</v>
      </c>
      <c r="D46278" s="2">
        <v>6.6251191392163294E-5</v>
      </c>
      <c r="E46278" s="2">
        <v>0</v>
      </c>
      <c r="F46278" s="2">
        <v>1.19306235719517E-4</v>
      </c>
    </row>
    <row r="46279" spans="1:6" x14ac:dyDescent="0.25">
      <c r="A46279" s="1" t="str">
        <f t="shared" si="1527"/>
        <v>99999</v>
      </c>
      <c r="B46279" s="1" t="str">
        <f>"39175"</f>
        <v>39175</v>
      </c>
      <c r="C46279" s="2">
        <v>9.6352192596990302E-6</v>
      </c>
      <c r="D46279" s="2">
        <v>3.01141779055288E-6</v>
      </c>
      <c r="E46279" s="2">
        <v>0</v>
      </c>
      <c r="F46279" s="2">
        <v>8.9800392477055905E-6</v>
      </c>
    </row>
    <row r="46280" spans="1:6" x14ac:dyDescent="0.25">
      <c r="A46280" s="1" t="str">
        <f t="shared" si="1527"/>
        <v>99999</v>
      </c>
      <c r="B46280" s="1" t="str">
        <f>"39152"</f>
        <v>39152</v>
      </c>
      <c r="C46280" s="2">
        <v>7.4158710032515006E-5</v>
      </c>
      <c r="D46280" s="2">
        <v>9.0342533716586405E-6</v>
      </c>
      <c r="E46280" s="2">
        <v>0</v>
      </c>
      <c r="F46280" s="2">
        <v>6.8189089232577606E-5</v>
      </c>
    </row>
    <row r="46281" spans="1:6" x14ac:dyDescent="0.25">
      <c r="A46281" s="1" t="str">
        <f t="shared" si="1527"/>
        <v>99999</v>
      </c>
      <c r="B46281" s="1" t="str">
        <f>"39336"</f>
        <v>39336</v>
      </c>
      <c r="C46281" s="2">
        <v>7.71900149681507E-5</v>
      </c>
      <c r="D46281" s="2">
        <v>1.50570889527644E-5</v>
      </c>
      <c r="E46281" s="2">
        <v>0</v>
      </c>
      <c r="F46281" s="2">
        <v>7.13469052317708E-5</v>
      </c>
    </row>
    <row r="46282" spans="1:6" x14ac:dyDescent="0.25">
      <c r="A46282" s="1" t="str">
        <f t="shared" si="1527"/>
        <v>99999</v>
      </c>
      <c r="B46282" s="1" t="str">
        <f>"39074"</f>
        <v>39074</v>
      </c>
      <c r="C46282" s="2">
        <v>7.9712493718161798E-4</v>
      </c>
      <c r="D46282" s="2">
        <v>9.9075645309189709E-4</v>
      </c>
      <c r="E46282" s="2">
        <v>3.6989088218975403E-4</v>
      </c>
      <c r="F46282" s="2">
        <v>8.0001294704559604E-4</v>
      </c>
    </row>
    <row r="46283" spans="1:6" x14ac:dyDescent="0.25">
      <c r="A46283" s="1" t="str">
        <f t="shared" si="1527"/>
        <v>99999</v>
      </c>
      <c r="B46283" s="1" t="str">
        <f>"38878"</f>
        <v>38878</v>
      </c>
      <c r="C46283" s="2">
        <v>1.4528611512939401E-4</v>
      </c>
      <c r="D46283" s="2">
        <v>6.6251191392163294E-5</v>
      </c>
      <c r="E46283" s="2">
        <v>2.58063406178898E-5</v>
      </c>
      <c r="F46283" s="2">
        <v>1.3736499596490301E-4</v>
      </c>
    </row>
    <row r="46284" spans="1:6" x14ac:dyDescent="0.25">
      <c r="A46284" s="1" t="str">
        <f t="shared" si="1527"/>
        <v>99999</v>
      </c>
      <c r="B46284" s="1" t="str">
        <f>"39038"</f>
        <v>39038</v>
      </c>
      <c r="C46284" s="2">
        <v>3.1785397467950903E-4</v>
      </c>
      <c r="D46284" s="2">
        <v>5.3904378450896496E-4</v>
      </c>
      <c r="E46284" s="2">
        <v>2.5376234940924903E-4</v>
      </c>
      <c r="F46284" s="2">
        <v>3.3087990766546001E-4</v>
      </c>
    </row>
    <row r="46285" spans="1:6" x14ac:dyDescent="0.25">
      <c r="A46285" s="1" t="str">
        <f t="shared" si="1527"/>
        <v>99999</v>
      </c>
      <c r="B46285" s="1" t="str">
        <f>"39067"</f>
        <v>39067</v>
      </c>
      <c r="C46285" s="2">
        <v>7.1560448659112994E-5</v>
      </c>
      <c r="D46285" s="2">
        <v>3.01141779055288E-6</v>
      </c>
      <c r="E46285" s="2">
        <v>0</v>
      </c>
      <c r="F46285" s="2">
        <v>6.5426000233283601E-5</v>
      </c>
    </row>
    <row r="46286" spans="1:6" x14ac:dyDescent="0.25">
      <c r="A46286" s="1" t="str">
        <f t="shared" si="1527"/>
        <v>99999</v>
      </c>
      <c r="B46286" s="1" t="str">
        <f>"39092"</f>
        <v>39092</v>
      </c>
      <c r="C46286" s="2">
        <v>1.5751959576249501E-4</v>
      </c>
      <c r="D46286" s="2">
        <v>5.5711229125228301E-5</v>
      </c>
      <c r="E46286" s="2">
        <v>8.6021135392965999E-6</v>
      </c>
      <c r="F46286" s="2">
        <v>1.4743053446233099E-4</v>
      </c>
    </row>
    <row r="46287" spans="1:6" x14ac:dyDescent="0.25">
      <c r="A46287" s="1" t="str">
        <f t="shared" si="1527"/>
        <v>99999</v>
      </c>
      <c r="B46287" s="1" t="str">
        <f>"38967"</f>
        <v>38967</v>
      </c>
      <c r="C46287" s="2">
        <v>3.4989919828480099E-4</v>
      </c>
      <c r="D46287" s="2">
        <v>6.0077784921529903E-4</v>
      </c>
      <c r="E46287" s="2">
        <v>1.5483804370733801E-4</v>
      </c>
      <c r="F46287" s="2">
        <v>3.6186597715754298E-4</v>
      </c>
    </row>
    <row r="46288" spans="1:6" x14ac:dyDescent="0.25">
      <c r="A46288" s="1" t="str">
        <f t="shared" si="1527"/>
        <v>99999</v>
      </c>
      <c r="B46288" s="1" t="str">
        <f>"38915"</f>
        <v>38915</v>
      </c>
      <c r="C46288" s="2">
        <v>1.75166120923517E-4</v>
      </c>
      <c r="D46288" s="2">
        <v>1.08411040459903E-4</v>
      </c>
      <c r="E46288" s="2">
        <v>8.6021135392965999E-5</v>
      </c>
      <c r="F46288" s="2">
        <v>1.6874579245688501E-4</v>
      </c>
    </row>
    <row r="46289" spans="1:6" x14ac:dyDescent="0.25">
      <c r="A46289" s="1" t="str">
        <f t="shared" si="1527"/>
        <v>99999</v>
      </c>
      <c r="B46289" s="1" t="str">
        <f>"38961"</f>
        <v>38961</v>
      </c>
      <c r="C46289" s="2">
        <v>8.9315234710693299E-5</v>
      </c>
      <c r="D46289" s="2">
        <v>2.4091342324423E-5</v>
      </c>
      <c r="E46289" s="2">
        <v>0</v>
      </c>
      <c r="F46289" s="2">
        <v>8.2991351728795698E-5</v>
      </c>
    </row>
    <row r="46290" spans="1:6" x14ac:dyDescent="0.25">
      <c r="A46290" s="1" t="str">
        <f t="shared" si="1527"/>
        <v>99999</v>
      </c>
      <c r="B46290" s="1" t="str">
        <f>"39666"</f>
        <v>39666</v>
      </c>
      <c r="C46290" s="2">
        <v>6.7663056599010098E-5</v>
      </c>
      <c r="D46290" s="2">
        <v>1.35513800574879E-5</v>
      </c>
      <c r="E46290" s="2">
        <v>0</v>
      </c>
      <c r="F46290" s="2">
        <v>6.2564229484014805E-5</v>
      </c>
    </row>
    <row r="46291" spans="1:6" x14ac:dyDescent="0.25">
      <c r="A46291" s="1" t="str">
        <f t="shared" si="1527"/>
        <v>99999</v>
      </c>
      <c r="B46291" s="1" t="str">
        <f>"40037"</f>
        <v>40037</v>
      </c>
      <c r="C46291" s="2">
        <v>1.4236307108431699E-4</v>
      </c>
      <c r="D46291" s="2">
        <v>3.9148431277187403E-5</v>
      </c>
      <c r="E46291" s="2">
        <v>1.8064438432522799E-4</v>
      </c>
      <c r="F46291" s="2">
        <v>1.3647686021512999E-4</v>
      </c>
    </row>
    <row r="46292" spans="1:6" x14ac:dyDescent="0.25">
      <c r="A46292" s="1" t="str">
        <f t="shared" si="1527"/>
        <v>99999</v>
      </c>
      <c r="B46292" s="1" t="str">
        <f>"40069"</f>
        <v>40069</v>
      </c>
      <c r="C46292" s="2">
        <v>4.2416616920787402E-4</v>
      </c>
      <c r="D46292" s="2">
        <v>4.9838964433650105E-4</v>
      </c>
      <c r="E46292" s="2">
        <v>1.53977832353409E-3</v>
      </c>
      <c r="F46292" s="2">
        <v>4.5462682213384198E-4</v>
      </c>
    </row>
    <row r="46293" spans="1:6" x14ac:dyDescent="0.25">
      <c r="A46293" s="1" t="str">
        <f t="shared" si="1527"/>
        <v>99999</v>
      </c>
      <c r="B46293" s="1" t="str">
        <f>"40119"</f>
        <v>40119</v>
      </c>
      <c r="C46293" s="2">
        <v>1.6802090214666101E-4</v>
      </c>
      <c r="D46293" s="2">
        <v>5.2699811334675399E-5</v>
      </c>
      <c r="E46293" s="2">
        <v>3.1827820095397402E-4</v>
      </c>
      <c r="F46293" s="2">
        <v>1.6391038670812E-4</v>
      </c>
    </row>
    <row r="46294" spans="1:6" x14ac:dyDescent="0.25">
      <c r="A46294" s="1" t="str">
        <f t="shared" si="1527"/>
        <v>99999</v>
      </c>
      <c r="B46294" s="1" t="str">
        <f>"40060"</f>
        <v>40060</v>
      </c>
      <c r="C46294" s="2">
        <v>6.3873925429465498E-5</v>
      </c>
      <c r="D46294" s="2">
        <v>3.31255956960816E-5</v>
      </c>
      <c r="E46294" s="2">
        <v>1.11827476010855E-4</v>
      </c>
      <c r="F46294" s="2">
        <v>6.2958956483913898E-5</v>
      </c>
    </row>
    <row r="46295" spans="1:6" x14ac:dyDescent="0.25">
      <c r="A46295" s="1" t="str">
        <f t="shared" si="1527"/>
        <v>99999</v>
      </c>
      <c r="B46295" s="1" t="str">
        <f>"39744"</f>
        <v>39744</v>
      </c>
      <c r="C46295" s="2">
        <v>2.3600874141734699E-5</v>
      </c>
      <c r="D46295" s="2">
        <v>4.5171266858293203E-6</v>
      </c>
      <c r="E46295" s="2">
        <v>0</v>
      </c>
      <c r="F46295" s="2">
        <v>2.1808666744427801E-5</v>
      </c>
    </row>
    <row r="46296" spans="1:6" x14ac:dyDescent="0.25">
      <c r="A46296" s="1" t="str">
        <f t="shared" si="1527"/>
        <v>99999</v>
      </c>
      <c r="B46296" s="1" t="str">
        <f>"40145"</f>
        <v>40145</v>
      </c>
      <c r="C46296" s="2">
        <v>5.90021853543368E-5</v>
      </c>
      <c r="D46296" s="2">
        <v>1.20456711622115E-5</v>
      </c>
      <c r="E46296" s="2">
        <v>4.3010567696482999E-5</v>
      </c>
      <c r="F46296" s="2">
        <v>5.5557825235804899E-5</v>
      </c>
    </row>
    <row r="46297" spans="1:6" x14ac:dyDescent="0.25">
      <c r="A46297" s="1" t="str">
        <f t="shared" si="1527"/>
        <v>99999</v>
      </c>
      <c r="B46297" s="1" t="str">
        <f>"23416"</f>
        <v>23416</v>
      </c>
      <c r="C46297" s="2">
        <v>1.78630469421386E-5</v>
      </c>
      <c r="D46297" s="2">
        <v>5.7216938020504697E-5</v>
      </c>
      <c r="E46297" s="2">
        <v>0</v>
      </c>
      <c r="F46297" s="2">
        <v>2.0032395244881699E-5</v>
      </c>
    </row>
    <row r="46298" spans="1:6" x14ac:dyDescent="0.25">
      <c r="A46298" s="1" t="str">
        <f t="shared" si="1527"/>
        <v>99999</v>
      </c>
      <c r="B46298" s="1" t="str">
        <f>"23337"</f>
        <v>23337</v>
      </c>
      <c r="C46298" s="2">
        <v>3.3344354291992097E-5</v>
      </c>
      <c r="D46298" s="2">
        <v>4.0654140172463799E-5</v>
      </c>
      <c r="E46298" s="2">
        <v>2.58063406178898E-5</v>
      </c>
      <c r="F46298" s="2">
        <v>3.3650476741402301E-5</v>
      </c>
    </row>
    <row r="46299" spans="1:6" x14ac:dyDescent="0.25">
      <c r="A46299" s="1" t="str">
        <f t="shared" si="1527"/>
        <v>99999</v>
      </c>
      <c r="B46299" s="1" t="str">
        <f>"23927"</f>
        <v>23927</v>
      </c>
      <c r="C46299" s="2">
        <v>2.9641831834894303E-4</v>
      </c>
      <c r="D46299" s="2">
        <v>2.6801618335920601E-4</v>
      </c>
      <c r="E46299" s="2">
        <v>5.5913738005427899E-5</v>
      </c>
      <c r="F46299" s="2">
        <v>2.8903884567615002E-4</v>
      </c>
    </row>
    <row r="46300" spans="1:6" x14ac:dyDescent="0.25">
      <c r="A46300" s="1" t="str">
        <f t="shared" si="1527"/>
        <v>99999</v>
      </c>
      <c r="B46300" s="1" t="str">
        <f>"23922"</f>
        <v>23922</v>
      </c>
      <c r="C46300" s="2">
        <v>1.09884803916792E-4</v>
      </c>
      <c r="D46300" s="2">
        <v>5.4205520229951803E-5</v>
      </c>
      <c r="E46300" s="2">
        <v>2.15052838482415E-5</v>
      </c>
      <c r="F46300" s="2">
        <v>1.0420792797337401E-4</v>
      </c>
    </row>
    <row r="46301" spans="1:6" x14ac:dyDescent="0.25">
      <c r="A46301" s="1" t="str">
        <f t="shared" si="1527"/>
        <v>99999</v>
      </c>
      <c r="B46301" s="1" t="str">
        <f>"23937"</f>
        <v>23937</v>
      </c>
      <c r="C46301" s="2">
        <v>9.5377844581964605E-5</v>
      </c>
      <c r="D46301" s="2">
        <v>6.1734064706334002E-5</v>
      </c>
      <c r="E46301" s="2">
        <v>1.72042270785932E-5</v>
      </c>
      <c r="F46301" s="2">
        <v>9.1379300476652505E-5</v>
      </c>
    </row>
    <row r="46302" spans="1:6" x14ac:dyDescent="0.25">
      <c r="A46302" s="1" t="str">
        <f t="shared" si="1527"/>
        <v>99999</v>
      </c>
      <c r="B46302" s="1" t="str">
        <f>"23887"</f>
        <v>23887</v>
      </c>
      <c r="C46302" s="2">
        <v>3.7025224570978301E-5</v>
      </c>
      <c r="D46302" s="2">
        <v>7.5285444763821999E-6</v>
      </c>
      <c r="E46302" s="2">
        <v>4.3010567696482999E-6</v>
      </c>
      <c r="F46302" s="2">
        <v>3.4341248991225799E-5</v>
      </c>
    </row>
    <row r="46303" spans="1:6" x14ac:dyDescent="0.25">
      <c r="A46303" s="1" t="str">
        <f t="shared" si="1527"/>
        <v>99999</v>
      </c>
      <c r="B46303" s="1" t="str">
        <f>"24416"</f>
        <v>24416</v>
      </c>
      <c r="C46303" s="2">
        <v>4.8392618079612002E-4</v>
      </c>
      <c r="D46303" s="2">
        <v>6.4745482496886904E-4</v>
      </c>
      <c r="E46303" s="2">
        <v>3.1827820095397402E-4</v>
      </c>
      <c r="F46303" s="2">
        <v>4.9084302437458897E-4</v>
      </c>
    </row>
    <row r="46304" spans="1:6" x14ac:dyDescent="0.25">
      <c r="A46304" s="1" t="str">
        <f t="shared" si="1527"/>
        <v>99999</v>
      </c>
      <c r="B46304" s="1" t="str">
        <f>"24422"</f>
        <v>24422</v>
      </c>
      <c r="C46304" s="2">
        <v>3.5780224329556501E-4</v>
      </c>
      <c r="D46304" s="2">
        <v>2.6349905667337698E-4</v>
      </c>
      <c r="E46304" s="2">
        <v>2.4085917910030401E-4</v>
      </c>
      <c r="F46304" s="2">
        <v>3.4893866791084601E-4</v>
      </c>
    </row>
    <row r="46305" spans="1:6" x14ac:dyDescent="0.25">
      <c r="A46305" s="1" t="str">
        <f t="shared" si="1527"/>
        <v>99999</v>
      </c>
      <c r="B46305" s="1" t="str">
        <f>"23966"</f>
        <v>23966</v>
      </c>
      <c r="C46305" s="2">
        <v>1.1540610933527101E-4</v>
      </c>
      <c r="D46305" s="2">
        <v>3.6137013486634501E-5</v>
      </c>
      <c r="E46305" s="2">
        <v>1.29031703089449E-5</v>
      </c>
      <c r="F46305" s="2">
        <v>1.07859152722441E-4</v>
      </c>
    </row>
    <row r="46306" spans="1:6" x14ac:dyDescent="0.25">
      <c r="A46306" s="1" t="str">
        <f t="shared" si="1527"/>
        <v>99999</v>
      </c>
      <c r="B46306" s="1" t="str">
        <f>"24165"</f>
        <v>24165</v>
      </c>
      <c r="C46306" s="2">
        <v>3.6700441899303002E-5</v>
      </c>
      <c r="D46306" s="2">
        <v>1.80685067433172E-5</v>
      </c>
      <c r="E46306" s="2">
        <v>1.72042270785932E-5</v>
      </c>
      <c r="F46306" s="2">
        <v>3.5032021241049297E-5</v>
      </c>
    </row>
    <row r="46307" spans="1:6" x14ac:dyDescent="0.25">
      <c r="A46307" s="1" t="str">
        <f t="shared" si="1527"/>
        <v>99999</v>
      </c>
      <c r="B46307" s="1" t="str">
        <f>"24351"</f>
        <v>24351</v>
      </c>
      <c r="C46307" s="2">
        <v>2.9880005794122799E-5</v>
      </c>
      <c r="D46307" s="2">
        <v>6.0228355811057601E-6</v>
      </c>
      <c r="E46307" s="2">
        <v>4.3010567696482999E-6</v>
      </c>
      <c r="F46307" s="2">
        <v>2.7729571742915E-5</v>
      </c>
    </row>
    <row r="46308" spans="1:6" x14ac:dyDescent="0.25">
      <c r="A46308" s="1" t="str">
        <f t="shared" si="1527"/>
        <v>99999</v>
      </c>
      <c r="B46308" s="1" t="str">
        <f>"24375"</f>
        <v>24375</v>
      </c>
      <c r="C46308" s="2">
        <v>9.3970453004705196E-5</v>
      </c>
      <c r="D46308" s="2">
        <v>1.65627978480408E-5</v>
      </c>
      <c r="E46308" s="2">
        <v>4.3010567696482999E-6</v>
      </c>
      <c r="F46308" s="2">
        <v>8.6839939977812302E-5</v>
      </c>
    </row>
    <row r="46309" spans="1:6" x14ac:dyDescent="0.25">
      <c r="A46309" s="1" t="str">
        <f t="shared" si="1527"/>
        <v>99999</v>
      </c>
      <c r="B46309" s="1" t="str">
        <f>"24237"</f>
        <v>24237</v>
      </c>
      <c r="C46309" s="2">
        <v>4.9691748766313E-5</v>
      </c>
      <c r="D46309" s="2">
        <v>1.20456711622115E-5</v>
      </c>
      <c r="E46309" s="2">
        <v>0</v>
      </c>
      <c r="F46309" s="2">
        <v>4.60843772382254E-5</v>
      </c>
    </row>
    <row r="46310" spans="1:6" x14ac:dyDescent="0.25">
      <c r="A46310" s="1" t="str">
        <f t="shared" si="1527"/>
        <v>99999</v>
      </c>
      <c r="B46310" s="1" t="str">
        <f>"24243"</f>
        <v>24243</v>
      </c>
      <c r="C46310" s="2">
        <v>8.6175668884499201E-5</v>
      </c>
      <c r="D46310" s="2">
        <v>1.50570889527644E-5</v>
      </c>
      <c r="E46310" s="2">
        <v>3.44084541571864E-5</v>
      </c>
      <c r="F46310" s="2">
        <v>8.0326944479476402E-5</v>
      </c>
    </row>
    <row r="46311" spans="1:6" x14ac:dyDescent="0.25">
      <c r="A46311" s="1" t="str">
        <f t="shared" si="1527"/>
        <v>99999</v>
      </c>
      <c r="B46311" s="1" t="str">
        <f>"24265"</f>
        <v>24265</v>
      </c>
      <c r="C46311" s="2">
        <v>3.8540877038796101E-5</v>
      </c>
      <c r="D46311" s="2">
        <v>6.0228355811057601E-6</v>
      </c>
      <c r="E46311" s="2">
        <v>0</v>
      </c>
      <c r="F46311" s="2">
        <v>3.5525429990923201E-5</v>
      </c>
    </row>
    <row r="46312" spans="1:6" x14ac:dyDescent="0.25">
      <c r="A46312" s="1" t="str">
        <f t="shared" si="1527"/>
        <v>99999</v>
      </c>
      <c r="B46312" s="1" t="str">
        <f>"24333"</f>
        <v>24333</v>
      </c>
      <c r="C46312" s="2">
        <v>1.0915945595005099E-3</v>
      </c>
      <c r="D46312" s="2">
        <v>1.45752621062759E-3</v>
      </c>
      <c r="E46312" s="2">
        <v>8.1289972946352903E-4</v>
      </c>
      <c r="F46312" s="2">
        <v>1.1091828697166E-3</v>
      </c>
    </row>
    <row r="46313" spans="1:6" x14ac:dyDescent="0.25">
      <c r="A46313" s="1" t="str">
        <f t="shared" si="1527"/>
        <v>99999</v>
      </c>
      <c r="B46313" s="1" t="str">
        <f>"24323"</f>
        <v>24323</v>
      </c>
      <c r="C46313" s="2">
        <v>3.5942615665394102E-5</v>
      </c>
      <c r="D46313" s="2">
        <v>1.0539962266935E-5</v>
      </c>
      <c r="E46313" s="2">
        <v>4.3010567696482999E-6</v>
      </c>
      <c r="F46313" s="2">
        <v>3.3551794991427497E-5</v>
      </c>
    </row>
    <row r="46314" spans="1:6" x14ac:dyDescent="0.25">
      <c r="A46314" s="1" t="str">
        <f t="shared" si="1527"/>
        <v>99999</v>
      </c>
      <c r="B46314" s="1" t="str">
        <f>"24312"</f>
        <v>24312</v>
      </c>
      <c r="C46314" s="2">
        <v>1.18978718723699E-4</v>
      </c>
      <c r="D46314" s="2">
        <v>5.2699811334675399E-5</v>
      </c>
      <c r="E46314" s="2">
        <v>4.3010567696482999E-6</v>
      </c>
      <c r="F46314" s="2">
        <v>1.1200378622138301E-4</v>
      </c>
    </row>
    <row r="46315" spans="1:6" x14ac:dyDescent="0.25">
      <c r="A46315" s="1" t="str">
        <f t="shared" si="1527"/>
        <v>99999</v>
      </c>
      <c r="B46315" s="1" t="str">
        <f>"24325"</f>
        <v>24325</v>
      </c>
      <c r="C46315" s="2">
        <v>6.9070448176269494E-5</v>
      </c>
      <c r="D46315" s="2">
        <v>7.5285444763821999E-6</v>
      </c>
      <c r="E46315" s="2">
        <v>1.29031703089449E-5</v>
      </c>
      <c r="F46315" s="2">
        <v>6.3748410483712207E-5</v>
      </c>
    </row>
    <row r="46316" spans="1:6" x14ac:dyDescent="0.25">
      <c r="A46316" s="1" t="str">
        <f t="shared" si="1527"/>
        <v>99999</v>
      </c>
      <c r="B46316" s="1" t="str">
        <f>"24221"</f>
        <v>24221</v>
      </c>
      <c r="C46316" s="2">
        <v>2.6523918186811901E-5</v>
      </c>
      <c r="D46316" s="2">
        <v>4.5171266858293203E-6</v>
      </c>
      <c r="E46316" s="2">
        <v>8.6021135392965999E-6</v>
      </c>
      <c r="F46316" s="2">
        <v>2.4670437493696699E-5</v>
      </c>
    </row>
    <row r="46317" spans="1:6" x14ac:dyDescent="0.25">
      <c r="A46317" s="1" t="str">
        <f t="shared" si="1527"/>
        <v>99999</v>
      </c>
      <c r="B46317" s="1" t="str">
        <f>"25286"</f>
        <v>25286</v>
      </c>
      <c r="C46317" s="2">
        <v>8.6175668884499201E-5</v>
      </c>
      <c r="D46317" s="2">
        <v>1.80685067433172E-5</v>
      </c>
      <c r="E46317" s="2">
        <v>4.3010567696482999E-6</v>
      </c>
      <c r="F46317" s="2">
        <v>7.9833535729602505E-5</v>
      </c>
    </row>
    <row r="46318" spans="1:6" x14ac:dyDescent="0.25">
      <c r="A46318" s="1" t="str">
        <f t="shared" si="1527"/>
        <v>99999</v>
      </c>
      <c r="B46318" s="1" t="str">
        <f>"24984"</f>
        <v>24984</v>
      </c>
      <c r="C46318" s="2">
        <v>2.2734787017267301E-5</v>
      </c>
      <c r="D46318" s="2">
        <v>1.50570889527644E-6</v>
      </c>
      <c r="E46318" s="2">
        <v>4.3010567696482999E-6</v>
      </c>
      <c r="F46318" s="2">
        <v>2.0920530994654801E-5</v>
      </c>
    </row>
    <row r="46319" spans="1:6" x14ac:dyDescent="0.25">
      <c r="A46319" s="1" t="str">
        <f t="shared" si="1527"/>
        <v>99999</v>
      </c>
      <c r="B46319" s="1" t="str">
        <f>"25267"</f>
        <v>25267</v>
      </c>
      <c r="C46319" s="2">
        <v>4.6660443830677299E-5</v>
      </c>
      <c r="D46319" s="2">
        <v>2.25856334291466E-5</v>
      </c>
      <c r="E46319" s="2">
        <v>0</v>
      </c>
      <c r="F46319" s="2">
        <v>4.4012060488754899E-5</v>
      </c>
    </row>
    <row r="46320" spans="1:6" x14ac:dyDescent="0.25">
      <c r="A46320" s="1" t="str">
        <f t="shared" si="1527"/>
        <v>99999</v>
      </c>
      <c r="B46320" s="1" t="str">
        <f>"25270"</f>
        <v>25270</v>
      </c>
      <c r="C46320" s="2">
        <v>5.4022184388649598E-5</v>
      </c>
      <c r="D46320" s="2">
        <v>1.35513800574879E-5</v>
      </c>
      <c r="E46320" s="2">
        <v>4.3010567696482999E-6</v>
      </c>
      <c r="F46320" s="2">
        <v>5.0229010737166401E-5</v>
      </c>
    </row>
    <row r="46321" spans="1:6" x14ac:dyDescent="0.25">
      <c r="A46321" s="1" t="str">
        <f t="shared" si="1527"/>
        <v>99999</v>
      </c>
      <c r="B46321" s="1" t="str">
        <f>"25234"</f>
        <v>25234</v>
      </c>
      <c r="C46321" s="2">
        <v>4.51447913628595E-5</v>
      </c>
      <c r="D46321" s="2">
        <v>9.0342533716586405E-6</v>
      </c>
      <c r="E46321" s="2">
        <v>0</v>
      </c>
      <c r="F46321" s="2">
        <v>4.1742380239334798E-5</v>
      </c>
    </row>
    <row r="46322" spans="1:6" x14ac:dyDescent="0.25">
      <c r="A46322" s="1" t="str">
        <f t="shared" si="1527"/>
        <v>99999</v>
      </c>
      <c r="B46322" s="1" t="str">
        <f>"25235"</f>
        <v>25235</v>
      </c>
      <c r="C46322" s="2">
        <v>4.08143557405228E-5</v>
      </c>
      <c r="D46322" s="2">
        <v>9.0342533716586405E-6</v>
      </c>
      <c r="E46322" s="2">
        <v>0</v>
      </c>
      <c r="F46322" s="2">
        <v>3.7795110240343302E-5</v>
      </c>
    </row>
    <row r="46323" spans="1:6" x14ac:dyDescent="0.25">
      <c r="A46323" s="1" t="str">
        <f t="shared" si="1527"/>
        <v>99999</v>
      </c>
      <c r="B46323" s="1" t="str">
        <f>"25266"</f>
        <v>25266</v>
      </c>
      <c r="C46323" s="2">
        <v>4.5253052253417903E-5</v>
      </c>
      <c r="D46323" s="2">
        <v>2.55970512196994E-5</v>
      </c>
      <c r="E46323" s="2">
        <v>0</v>
      </c>
      <c r="F46323" s="2">
        <v>4.29265612390322E-5</v>
      </c>
    </row>
    <row r="46324" spans="1:6" x14ac:dyDescent="0.25">
      <c r="A46324" s="1" t="str">
        <f t="shared" si="1527"/>
        <v>99999</v>
      </c>
      <c r="B46324" s="1" t="str">
        <f>"24884"</f>
        <v>24884</v>
      </c>
      <c r="C46324" s="2">
        <v>8.9856539163485408E-6</v>
      </c>
      <c r="D46324" s="2">
        <v>1.50570889527644E-6</v>
      </c>
      <c r="E46324" s="2">
        <v>4.3010567696482999E-6</v>
      </c>
      <c r="F46324" s="2">
        <v>8.3879487478568692E-6</v>
      </c>
    </row>
    <row r="46325" spans="1:6" x14ac:dyDescent="0.25">
      <c r="A46325" s="1" t="str">
        <f t="shared" si="1527"/>
        <v>99999</v>
      </c>
      <c r="B46325" s="1" t="str">
        <f>"24927"</f>
        <v>24927</v>
      </c>
      <c r="C46325" s="2">
        <v>4.1247399302756502E-5</v>
      </c>
      <c r="D46325" s="2">
        <v>4.5171266858293203E-6</v>
      </c>
      <c r="E46325" s="2">
        <v>0</v>
      </c>
      <c r="F46325" s="2">
        <v>3.7893791990318099E-5</v>
      </c>
    </row>
    <row r="46326" spans="1:6" x14ac:dyDescent="0.25">
      <c r="A46326" s="1" t="str">
        <f t="shared" si="1527"/>
        <v>99999</v>
      </c>
      <c r="B46326" s="1" t="str">
        <f>"25661"</f>
        <v>25661</v>
      </c>
      <c r="C46326" s="2">
        <v>3.8335181346735103E-4</v>
      </c>
      <c r="D46326" s="2">
        <v>6.0981210258695797E-4</v>
      </c>
      <c r="E46326" s="2">
        <v>4.9462152850955404E-4</v>
      </c>
      <c r="F46326" s="2">
        <v>4.0074658664760902E-4</v>
      </c>
    </row>
    <row r="46327" spans="1:6" x14ac:dyDescent="0.25">
      <c r="A46327" s="1" t="str">
        <f t="shared" si="1527"/>
        <v>99999</v>
      </c>
      <c r="B46327" s="1" t="str">
        <f>"25670"</f>
        <v>25670</v>
      </c>
      <c r="C46327" s="2">
        <v>2.1414004152454699E-4</v>
      </c>
      <c r="D46327" s="2">
        <v>6.1734064706334002E-5</v>
      </c>
      <c r="E46327" s="2">
        <v>2.58063406178898E-5</v>
      </c>
      <c r="F46327" s="2">
        <v>1.9983054369894301E-4</v>
      </c>
    </row>
    <row r="46328" spans="1:6" x14ac:dyDescent="0.25">
      <c r="A46328" s="1" t="str">
        <f t="shared" si="1527"/>
        <v>99999</v>
      </c>
      <c r="B46328" s="1" t="str">
        <f>"26412"</f>
        <v>26412</v>
      </c>
      <c r="C46328" s="2">
        <v>3.2911310729758503E-5</v>
      </c>
      <c r="D46328" s="2">
        <v>1.50570889527644E-6</v>
      </c>
      <c r="E46328" s="2">
        <v>1.29031703089449E-5</v>
      </c>
      <c r="F46328" s="2">
        <v>3.03939789922343E-5</v>
      </c>
    </row>
    <row r="46329" spans="1:6" x14ac:dyDescent="0.25">
      <c r="A46329" s="1" t="str">
        <f t="shared" si="1527"/>
        <v>99999</v>
      </c>
      <c r="B46329" s="1" t="str">
        <f>"26184"</f>
        <v>26184</v>
      </c>
      <c r="C46329" s="2">
        <v>1.5373046459294999E-5</v>
      </c>
      <c r="D46329" s="2">
        <v>0</v>
      </c>
      <c r="E46329" s="2">
        <v>0</v>
      </c>
      <c r="F46329" s="2">
        <v>1.4012808496419701E-5</v>
      </c>
    </row>
    <row r="46330" spans="1:6" x14ac:dyDescent="0.25">
      <c r="A46330" s="1" t="str">
        <f t="shared" si="1527"/>
        <v>99999</v>
      </c>
      <c r="B46330" s="1" t="str">
        <f>"26178"</f>
        <v>26178</v>
      </c>
      <c r="C46330" s="2">
        <v>3.7350007242653498E-5</v>
      </c>
      <c r="D46330" s="2">
        <v>9.0342533716586405E-6</v>
      </c>
      <c r="E46330" s="2">
        <v>0</v>
      </c>
      <c r="F46330" s="2">
        <v>3.4637294241150102E-5</v>
      </c>
    </row>
    <row r="46331" spans="1:6" x14ac:dyDescent="0.25">
      <c r="A46331" s="1" t="str">
        <f t="shared" si="1527"/>
        <v>99999</v>
      </c>
      <c r="B46331" s="1" t="str">
        <f>"26238"</f>
        <v>26238</v>
      </c>
      <c r="C46331" s="2">
        <v>4.2330008208340701E-5</v>
      </c>
      <c r="D46331" s="2">
        <v>1.20456711622115E-5</v>
      </c>
      <c r="E46331" s="2">
        <v>0</v>
      </c>
      <c r="F46331" s="2">
        <v>3.9374018239939899E-5</v>
      </c>
    </row>
    <row r="46332" spans="1:6" x14ac:dyDescent="0.25">
      <c r="A46332" s="1" t="str">
        <f t="shared" si="1527"/>
        <v>99999</v>
      </c>
      <c r="B46332" s="1" t="str">
        <f>"26866"</f>
        <v>26866</v>
      </c>
      <c r="C46332" s="2">
        <v>4.5794356706210002E-5</v>
      </c>
      <c r="D46332" s="2">
        <v>7.5285444763821999E-6</v>
      </c>
      <c r="E46332" s="2">
        <v>0</v>
      </c>
      <c r="F46332" s="2">
        <v>4.2235788989208702E-5</v>
      </c>
    </row>
    <row r="46333" spans="1:6" x14ac:dyDescent="0.25">
      <c r="A46333" s="1" t="str">
        <f t="shared" si="1527"/>
        <v>99999</v>
      </c>
      <c r="B46333" s="1" t="str">
        <f>"26845"</f>
        <v>26845</v>
      </c>
      <c r="C46333" s="2">
        <v>2.68487008584872E-5</v>
      </c>
      <c r="D46333" s="2">
        <v>1.50570889527644E-6</v>
      </c>
      <c r="E46333" s="2">
        <v>4.3010567696482999E-6</v>
      </c>
      <c r="F46333" s="2">
        <v>2.4670437493696699E-5</v>
      </c>
    </row>
    <row r="46334" spans="1:6" x14ac:dyDescent="0.25">
      <c r="A46334" s="1" t="str">
        <f t="shared" si="1527"/>
        <v>99999</v>
      </c>
      <c r="B46334" s="1" t="str">
        <f>"26651"</f>
        <v>26651</v>
      </c>
      <c r="C46334" s="2">
        <v>5.2701401523836896E-4</v>
      </c>
      <c r="D46334" s="2">
        <v>9.3805664175722195E-4</v>
      </c>
      <c r="E46334" s="2">
        <v>5.5053526651498196E-4</v>
      </c>
      <c r="F46334" s="2">
        <v>5.5449275310832697E-4</v>
      </c>
    </row>
    <row r="46335" spans="1:6" x14ac:dyDescent="0.25">
      <c r="A46335" s="1" t="str">
        <f t="shared" si="1527"/>
        <v>99999</v>
      </c>
      <c r="B46335" s="1" t="str">
        <f>"26562"</f>
        <v>26562</v>
      </c>
      <c r="C46335" s="2">
        <v>2.6307396405695101E-5</v>
      </c>
      <c r="D46335" s="2">
        <v>6.0228355811057601E-6</v>
      </c>
      <c r="E46335" s="2">
        <v>0</v>
      </c>
      <c r="F46335" s="2">
        <v>2.4374392243772301E-5</v>
      </c>
    </row>
    <row r="46336" spans="1:6" x14ac:dyDescent="0.25">
      <c r="A46336" s="1" t="str">
        <f t="shared" si="1527"/>
        <v>99999</v>
      </c>
      <c r="B46336" s="1" t="str">
        <f>"26810"</f>
        <v>26810</v>
      </c>
      <c r="C46336" s="2">
        <v>3.0313049356356498E-5</v>
      </c>
      <c r="D46336" s="2">
        <v>1.80685067433172E-5</v>
      </c>
      <c r="E46336" s="2">
        <v>0</v>
      </c>
      <c r="F46336" s="2">
        <v>2.88150709926377E-5</v>
      </c>
    </row>
    <row r="46337" spans="1:6" x14ac:dyDescent="0.25">
      <c r="A46337" s="1" t="str">
        <f t="shared" si="1527"/>
        <v>99999</v>
      </c>
      <c r="B46337" s="1" t="str">
        <f>"26447"</f>
        <v>26447</v>
      </c>
      <c r="C46337" s="2">
        <v>6.8529143723477395E-5</v>
      </c>
      <c r="D46337" s="2">
        <v>2.7102760114975901E-5</v>
      </c>
      <c r="E46337" s="2">
        <v>1.29031703089449E-5</v>
      </c>
      <c r="F46337" s="2">
        <v>6.4537864483510502E-5</v>
      </c>
    </row>
    <row r="46338" spans="1:6" x14ac:dyDescent="0.25">
      <c r="A46338" s="1" t="str">
        <f t="shared" si="1527"/>
        <v>99999</v>
      </c>
      <c r="B46338" s="1" t="str">
        <f>"27291"</f>
        <v>27291</v>
      </c>
      <c r="C46338" s="2">
        <v>5.6945228433726902E-5</v>
      </c>
      <c r="D46338" s="2">
        <v>1.0539962266935E-5</v>
      </c>
      <c r="E46338" s="2">
        <v>1.29031703089449E-5</v>
      </c>
      <c r="F46338" s="2">
        <v>5.2893417986485698E-5</v>
      </c>
    </row>
    <row r="46339" spans="1:6" x14ac:dyDescent="0.25">
      <c r="A46339" s="1" t="str">
        <f t="shared" si="1527"/>
        <v>99999</v>
      </c>
      <c r="B46339" s="1" t="str">
        <f>"27302"</f>
        <v>27302</v>
      </c>
      <c r="C46339" s="2">
        <v>4.6552182940118902E-5</v>
      </c>
      <c r="D46339" s="2">
        <v>2.55970512196994E-5</v>
      </c>
      <c r="E46339" s="2">
        <v>8.6021135392965999E-6</v>
      </c>
      <c r="F46339" s="2">
        <v>4.4308105738679202E-5</v>
      </c>
    </row>
    <row r="46340" spans="1:6" x14ac:dyDescent="0.25">
      <c r="A46340" s="1" t="str">
        <f t="shared" si="1527"/>
        <v>99999</v>
      </c>
      <c r="B46340" s="1" t="str">
        <f>"27888"</f>
        <v>27888</v>
      </c>
      <c r="C46340" s="2">
        <v>1.0728654254339E-4</v>
      </c>
      <c r="D46340" s="2">
        <v>5.1194102439398901E-5</v>
      </c>
      <c r="E46340" s="2">
        <v>3.8709510926834699E-5</v>
      </c>
      <c r="F46340" s="2">
        <v>1.02036929473929E-4</v>
      </c>
    </row>
    <row r="46341" spans="1:6" x14ac:dyDescent="0.25">
      <c r="A46341" s="1" t="str">
        <f t="shared" si="1527"/>
        <v>99999</v>
      </c>
      <c r="B46341" s="1" t="str">
        <f>"27875"</f>
        <v>27875</v>
      </c>
      <c r="C46341" s="2">
        <v>3.30195716203169E-5</v>
      </c>
      <c r="D46341" s="2">
        <v>6.0228355811057601E-6</v>
      </c>
      <c r="E46341" s="2">
        <v>0</v>
      </c>
      <c r="F46341" s="2">
        <v>3.0492660742209101E-5</v>
      </c>
    </row>
    <row r="46342" spans="1:6" x14ac:dyDescent="0.25">
      <c r="A46342" s="1" t="str">
        <f t="shared" ref="A46342:A46405" si="1528">"99999"</f>
        <v>99999</v>
      </c>
      <c r="B46342" s="1" t="str">
        <f>"27824"</f>
        <v>27824</v>
      </c>
      <c r="C46342" s="2">
        <v>7.0153057081853598E-5</v>
      </c>
      <c r="D46342" s="2">
        <v>2.7102760114975901E-5</v>
      </c>
      <c r="E46342" s="2">
        <v>3.9999827957729202E-4</v>
      </c>
      <c r="F46342" s="2">
        <v>7.48994482308631E-5</v>
      </c>
    </row>
    <row r="46343" spans="1:6" x14ac:dyDescent="0.25">
      <c r="A46343" s="1" t="str">
        <f t="shared" si="1528"/>
        <v>99999</v>
      </c>
      <c r="B46343" s="1" t="str">
        <f>"27849"</f>
        <v>27849</v>
      </c>
      <c r="C46343" s="2">
        <v>4.1680442864990198E-5</v>
      </c>
      <c r="D46343" s="2">
        <v>2.8608469010252301E-5</v>
      </c>
      <c r="E46343" s="2">
        <v>0</v>
      </c>
      <c r="F46343" s="2">
        <v>3.9867426989813803E-5</v>
      </c>
    </row>
    <row r="46344" spans="1:6" x14ac:dyDescent="0.25">
      <c r="A46344" s="1" t="str">
        <f t="shared" si="1528"/>
        <v>99999</v>
      </c>
      <c r="B46344" s="1" t="str">
        <f>"27842"</f>
        <v>27842</v>
      </c>
      <c r="C46344" s="2">
        <v>1.5264785568736599E-5</v>
      </c>
      <c r="D46344" s="2">
        <v>6.0228355811057601E-6</v>
      </c>
      <c r="E46344" s="2">
        <v>0</v>
      </c>
      <c r="F46344" s="2">
        <v>1.4308853746344E-5</v>
      </c>
    </row>
    <row r="46345" spans="1:6" x14ac:dyDescent="0.25">
      <c r="A46345" s="1" t="str">
        <f t="shared" si="1528"/>
        <v>99999</v>
      </c>
      <c r="B46345" s="1" t="str">
        <f>"27925"</f>
        <v>27925</v>
      </c>
      <c r="C46345" s="2">
        <v>1.7473307736128301E-4</v>
      </c>
      <c r="D46345" s="2">
        <v>7.6791153659098402E-5</v>
      </c>
      <c r="E46345" s="2">
        <v>5.5913738005427899E-5</v>
      </c>
      <c r="F46345" s="2">
        <v>1.6558797645769199E-4</v>
      </c>
    </row>
    <row r="46346" spans="1:6" x14ac:dyDescent="0.25">
      <c r="A46346" s="1" t="str">
        <f t="shared" si="1528"/>
        <v>99999</v>
      </c>
      <c r="B46346" s="1" t="str">
        <f>"28698"</f>
        <v>28698</v>
      </c>
      <c r="C46346" s="2">
        <v>1.2233480633101E-5</v>
      </c>
      <c r="D46346" s="2">
        <v>1.50570889527644E-6</v>
      </c>
      <c r="E46346" s="2">
        <v>0</v>
      </c>
      <c r="F46346" s="2">
        <v>1.1249719497125601E-5</v>
      </c>
    </row>
    <row r="46347" spans="1:6" x14ac:dyDescent="0.25">
      <c r="A46347" s="1" t="str">
        <f t="shared" si="1528"/>
        <v>99999</v>
      </c>
      <c r="B46347" s="1" t="str">
        <f>"28675"</f>
        <v>28675</v>
      </c>
      <c r="C46347" s="2">
        <v>3.5704441706165598E-4</v>
      </c>
      <c r="D46347" s="2">
        <v>4.4870125079237902E-4</v>
      </c>
      <c r="E46347" s="2">
        <v>2.5806340617889802E-4</v>
      </c>
      <c r="F46347" s="2">
        <v>3.6078047790781998E-4</v>
      </c>
    </row>
    <row r="46348" spans="1:6" x14ac:dyDescent="0.25">
      <c r="A46348" s="1" t="str">
        <f t="shared" si="1528"/>
        <v>99999</v>
      </c>
      <c r="B46348" s="1" t="str">
        <f>"28320"</f>
        <v>28320</v>
      </c>
      <c r="C46348" s="2">
        <v>4.4224573793113001E-4</v>
      </c>
      <c r="D46348" s="2">
        <v>1.8520219411900199E-4</v>
      </c>
      <c r="E46348" s="2">
        <v>1.37633816628745E-4</v>
      </c>
      <c r="F46348" s="2">
        <v>4.1841061989309597E-4</v>
      </c>
    </row>
    <row r="46349" spans="1:6" x14ac:dyDescent="0.25">
      <c r="A46349" s="1" t="str">
        <f t="shared" si="1528"/>
        <v>99999</v>
      </c>
      <c r="B46349" s="1" t="str">
        <f>"28478"</f>
        <v>28478</v>
      </c>
      <c r="C46349" s="2">
        <v>1.6455655364879201E-5</v>
      </c>
      <c r="D46349" s="2">
        <v>6.0228355811057601E-6</v>
      </c>
      <c r="E46349" s="2">
        <v>0</v>
      </c>
      <c r="F46349" s="2">
        <v>1.5394352996066698E-5</v>
      </c>
    </row>
    <row r="46350" spans="1:6" x14ac:dyDescent="0.25">
      <c r="A46350" s="1" t="str">
        <f t="shared" si="1528"/>
        <v>99999</v>
      </c>
      <c r="B46350" s="1" t="str">
        <f>"28525"</f>
        <v>28525</v>
      </c>
      <c r="C46350" s="2">
        <v>1.34243504292436E-5</v>
      </c>
      <c r="D46350" s="2">
        <v>1.50570889527644E-6</v>
      </c>
      <c r="E46350" s="2">
        <v>0</v>
      </c>
      <c r="F46350" s="2">
        <v>1.23352187468483E-5</v>
      </c>
    </row>
    <row r="46351" spans="1:6" x14ac:dyDescent="0.25">
      <c r="A46351" s="1" t="str">
        <f t="shared" si="1528"/>
        <v>99999</v>
      </c>
      <c r="B46351" s="1" t="str">
        <f>"28458"</f>
        <v>28458</v>
      </c>
      <c r="C46351" s="2">
        <v>3.8540877038796101E-4</v>
      </c>
      <c r="D46351" s="2">
        <v>2.4693625882533601E-4</v>
      </c>
      <c r="E46351" s="2">
        <v>1.07526419241207E-4</v>
      </c>
      <c r="F46351" s="2">
        <v>3.69957880655475E-4</v>
      </c>
    </row>
    <row r="46352" spans="1:6" x14ac:dyDescent="0.25">
      <c r="A46352" s="1" t="str">
        <f t="shared" si="1528"/>
        <v>99999</v>
      </c>
      <c r="B46352" s="1" t="str">
        <f>"28448"</f>
        <v>28448</v>
      </c>
      <c r="C46352" s="2">
        <v>6.0193055150479301E-5</v>
      </c>
      <c r="D46352" s="2">
        <v>2.1079924533870101E-5</v>
      </c>
      <c r="E46352" s="2">
        <v>0</v>
      </c>
      <c r="F46352" s="2">
        <v>5.6248597485628397E-5</v>
      </c>
    </row>
    <row r="46353" spans="1:6" x14ac:dyDescent="0.25">
      <c r="A46353" s="1" t="str">
        <f t="shared" si="1528"/>
        <v>99999</v>
      </c>
      <c r="B46353" s="1" t="str">
        <f>"28580"</f>
        <v>28580</v>
      </c>
      <c r="C46353" s="2">
        <v>5.19110970227605E-4</v>
      </c>
      <c r="D46353" s="2">
        <v>5.72169380205047E-4</v>
      </c>
      <c r="E46353" s="2">
        <v>1.2903170308944901E-4</v>
      </c>
      <c r="F46353" s="2">
        <v>5.1363850861876502E-4</v>
      </c>
    </row>
    <row r="46354" spans="1:6" x14ac:dyDescent="0.25">
      <c r="A46354" s="1" t="str">
        <f t="shared" si="1528"/>
        <v>99999</v>
      </c>
      <c r="B46354" s="1" t="str">
        <f>"29474"</f>
        <v>29474</v>
      </c>
      <c r="C46354" s="2">
        <v>1.4734307205000401E-4</v>
      </c>
      <c r="D46354" s="2">
        <v>4.3665557963016701E-5</v>
      </c>
      <c r="E46354" s="2">
        <v>8.6021135392965999E-6</v>
      </c>
      <c r="F46354" s="2">
        <v>1.3736499596490301E-4</v>
      </c>
    </row>
    <row r="46355" spans="1:6" x14ac:dyDescent="0.25">
      <c r="A46355" s="1" t="str">
        <f t="shared" si="1528"/>
        <v>99999</v>
      </c>
      <c r="B46355" s="1" t="str">
        <f>"29560"</f>
        <v>29560</v>
      </c>
      <c r="C46355" s="2">
        <v>9.1805235193536893E-5</v>
      </c>
      <c r="D46355" s="2">
        <v>5.2699811334675399E-5</v>
      </c>
      <c r="E46355" s="2">
        <v>1.72042270785932E-5</v>
      </c>
      <c r="F46355" s="2">
        <v>8.7530712227635901E-5</v>
      </c>
    </row>
    <row r="46356" spans="1:6" x14ac:dyDescent="0.25">
      <c r="A46356" s="1" t="str">
        <f t="shared" si="1528"/>
        <v>99999</v>
      </c>
      <c r="B46356" s="1" t="str">
        <f>"29567"</f>
        <v>29567</v>
      </c>
      <c r="C46356" s="2">
        <v>1.8945655847722799E-5</v>
      </c>
      <c r="D46356" s="2">
        <v>3.01141779055288E-6</v>
      </c>
      <c r="E46356" s="2">
        <v>0</v>
      </c>
      <c r="F46356" s="2">
        <v>1.7466669745537199E-5</v>
      </c>
    </row>
    <row r="46357" spans="1:6" x14ac:dyDescent="0.25">
      <c r="A46357" s="1" t="str">
        <f t="shared" si="1528"/>
        <v>99999</v>
      </c>
      <c r="B46357" s="1" t="str">
        <f>"29580"</f>
        <v>29580</v>
      </c>
      <c r="C46357" s="2">
        <v>8.0113059013227895E-5</v>
      </c>
      <c r="D46357" s="2">
        <v>3.31255956960816E-5</v>
      </c>
      <c r="E46357" s="2">
        <v>0</v>
      </c>
      <c r="F46357" s="2">
        <v>7.5195493480787498E-5</v>
      </c>
    </row>
    <row r="46358" spans="1:6" x14ac:dyDescent="0.25">
      <c r="A46358" s="1" t="str">
        <f t="shared" si="1528"/>
        <v>99999</v>
      </c>
      <c r="B46358" s="1" t="str">
        <f>"29638"</f>
        <v>29638</v>
      </c>
      <c r="C46358" s="2">
        <v>1.2395871968938599E-4</v>
      </c>
      <c r="D46358" s="2">
        <v>3.6137013486634501E-5</v>
      </c>
      <c r="E46358" s="2">
        <v>1.72042270785932E-5</v>
      </c>
      <c r="F46358" s="2">
        <v>1.1575369272042401E-4</v>
      </c>
    </row>
    <row r="46359" spans="1:6" x14ac:dyDescent="0.25">
      <c r="A46359" s="1" t="str">
        <f t="shared" si="1528"/>
        <v>99999</v>
      </c>
      <c r="B46359" s="1" t="str">
        <f>"29922"</f>
        <v>29922</v>
      </c>
      <c r="C46359" s="2">
        <v>2.91221795602139E-5</v>
      </c>
      <c r="D46359" s="2">
        <v>1.35513800574879E-5</v>
      </c>
      <c r="E46359" s="2">
        <v>4.3010567696482999E-5</v>
      </c>
      <c r="F46359" s="2">
        <v>2.84203439927386E-5</v>
      </c>
    </row>
    <row r="46360" spans="1:6" x14ac:dyDescent="0.25">
      <c r="A46360" s="1" t="str">
        <f t="shared" si="1528"/>
        <v>99999</v>
      </c>
      <c r="B46360" s="1" t="str">
        <f>"30525"</f>
        <v>30525</v>
      </c>
      <c r="C46360" s="2">
        <v>7.0586100644087302E-4</v>
      </c>
      <c r="D46360" s="2">
        <v>1.1277759625620499E-3</v>
      </c>
      <c r="E46360" s="2">
        <v>9.0752297839579105E-4</v>
      </c>
      <c r="F46360" s="2">
        <v>7.3813948981140505E-4</v>
      </c>
    </row>
    <row r="46361" spans="1:6" x14ac:dyDescent="0.25">
      <c r="A46361" s="1" t="str">
        <f t="shared" si="1528"/>
        <v>99999</v>
      </c>
      <c r="B46361" s="1" t="str">
        <f>"05143"</f>
        <v>05143</v>
      </c>
      <c r="C46361" s="2">
        <v>4.9691748766313E-5</v>
      </c>
      <c r="D46361" s="2">
        <v>1.65627978480408E-5</v>
      </c>
      <c r="E46361" s="2">
        <v>1.29031703089449E-5</v>
      </c>
      <c r="F46361" s="2">
        <v>4.6676467738074101E-5</v>
      </c>
    </row>
    <row r="46362" spans="1:6" x14ac:dyDescent="0.25">
      <c r="A46362" s="1" t="str">
        <f t="shared" si="1528"/>
        <v>99999</v>
      </c>
      <c r="B46362" s="1" t="str">
        <f>"04988"</f>
        <v>04988</v>
      </c>
      <c r="C46362" s="2">
        <v>8.6608712446732897E-5</v>
      </c>
      <c r="D46362" s="2">
        <v>6.1734064706334002E-5</v>
      </c>
      <c r="E46362" s="2">
        <v>1.8064438432522799E-4</v>
      </c>
      <c r="F46362" s="2">
        <v>8.71359852277367E-5</v>
      </c>
    </row>
    <row r="46363" spans="1:6" x14ac:dyDescent="0.25">
      <c r="A46363" s="1" t="str">
        <f t="shared" si="1528"/>
        <v>99999</v>
      </c>
      <c r="B46363" s="1" t="str">
        <f>"04732"</f>
        <v>04732</v>
      </c>
      <c r="C46363" s="2">
        <v>5.6295663090376399E-5</v>
      </c>
      <c r="D46363" s="2">
        <v>3.01141779055288E-5</v>
      </c>
      <c r="E46363" s="2">
        <v>6.4515851544724506E-5</v>
      </c>
      <c r="F46363" s="2">
        <v>5.4768371236006598E-5</v>
      </c>
    </row>
    <row r="46364" spans="1:6" x14ac:dyDescent="0.25">
      <c r="A46364" s="1" t="str">
        <f t="shared" si="1528"/>
        <v>99999</v>
      </c>
      <c r="B46364" s="1" t="str">
        <f>"04769"</f>
        <v>04769</v>
      </c>
      <c r="C46364" s="2">
        <v>6.64072302685324E-4</v>
      </c>
      <c r="D46364" s="2">
        <v>1.3129781566810501E-3</v>
      </c>
      <c r="E46364" s="2">
        <v>1.80214278648263E-3</v>
      </c>
      <c r="F46364" s="2">
        <v>7.3271199356279198E-4</v>
      </c>
    </row>
    <row r="46365" spans="1:6" x14ac:dyDescent="0.25">
      <c r="A46365" s="1" t="str">
        <f t="shared" si="1528"/>
        <v>99999</v>
      </c>
      <c r="B46365" s="1" t="str">
        <f>"04730"</f>
        <v>04730</v>
      </c>
      <c r="C46365" s="2">
        <v>6.4339447258866703E-4</v>
      </c>
      <c r="D46365" s="2">
        <v>9.8473361751079207E-4</v>
      </c>
      <c r="E46365" s="2">
        <v>1.4408540178321801E-3</v>
      </c>
      <c r="F46365" s="2">
        <v>6.8406189082522199E-4</v>
      </c>
    </row>
    <row r="46366" spans="1:6" x14ac:dyDescent="0.25">
      <c r="A46366" s="1" t="str">
        <f t="shared" si="1528"/>
        <v>99999</v>
      </c>
      <c r="B46366" s="1" t="str">
        <f>"04961"</f>
        <v>04961</v>
      </c>
      <c r="C46366" s="2">
        <v>5.6512184871493199E-5</v>
      </c>
      <c r="D46366" s="2">
        <v>1.35513800574879E-5</v>
      </c>
      <c r="E46366" s="2">
        <v>2.58063406178898E-5</v>
      </c>
      <c r="F46366" s="2">
        <v>5.2992099736460502E-5</v>
      </c>
    </row>
    <row r="46367" spans="1:6" x14ac:dyDescent="0.25">
      <c r="A46367" s="1" t="str">
        <f t="shared" si="1528"/>
        <v>99999</v>
      </c>
      <c r="B46367" s="1" t="str">
        <f>"04952"</f>
        <v>04952</v>
      </c>
      <c r="C46367" s="2">
        <v>9.5594366363081399E-5</v>
      </c>
      <c r="D46367" s="2">
        <v>3.01141779055288E-5</v>
      </c>
      <c r="E46367" s="2">
        <v>1.29031703089449E-5</v>
      </c>
      <c r="F46367" s="2">
        <v>8.9405665477156794E-5</v>
      </c>
    </row>
    <row r="46368" spans="1:6" x14ac:dyDescent="0.25">
      <c r="A46368" s="1" t="str">
        <f t="shared" si="1528"/>
        <v>99999</v>
      </c>
      <c r="B46368" s="1" t="str">
        <f>"04966"</f>
        <v>04966</v>
      </c>
      <c r="C46368" s="2">
        <v>8.6825234227849704E-5</v>
      </c>
      <c r="D46368" s="2">
        <v>2.55970512196994E-5</v>
      </c>
      <c r="E46368" s="2">
        <v>3.8709510926834699E-5</v>
      </c>
      <c r="F46368" s="2">
        <v>8.1708488979123398E-5</v>
      </c>
    </row>
    <row r="46369" spans="1:6" x14ac:dyDescent="0.25">
      <c r="A46369" s="1" t="str">
        <f t="shared" si="1528"/>
        <v>99999</v>
      </c>
      <c r="B46369" s="1" t="str">
        <f>"04624"</f>
        <v>04624</v>
      </c>
      <c r="C46369" s="2">
        <v>1.05013063841663E-5</v>
      </c>
      <c r="D46369" s="2">
        <v>1.50570889527644E-6</v>
      </c>
      <c r="E46369" s="2">
        <v>8.6021135392965999E-6</v>
      </c>
      <c r="F46369" s="2">
        <v>9.8681749974786808E-6</v>
      </c>
    </row>
    <row r="46370" spans="1:6" x14ac:dyDescent="0.25">
      <c r="A46370" s="1" t="str">
        <f t="shared" si="1528"/>
        <v>99999</v>
      </c>
      <c r="B46370" s="1" t="str">
        <f>"04568"</f>
        <v>04568</v>
      </c>
      <c r="C46370" s="2">
        <v>4.1572181974431801E-5</v>
      </c>
      <c r="D46370" s="2">
        <v>1.0539962266935E-5</v>
      </c>
      <c r="E46370" s="2">
        <v>8.6021135392965999E-6</v>
      </c>
      <c r="F46370" s="2">
        <v>3.8781927740091198E-5</v>
      </c>
    </row>
    <row r="46371" spans="1:6" x14ac:dyDescent="0.25">
      <c r="A46371" s="1" t="str">
        <f t="shared" si="1528"/>
        <v>99999</v>
      </c>
      <c r="B46371" s="1" t="str">
        <f>"04619"</f>
        <v>04619</v>
      </c>
      <c r="C46371" s="2">
        <v>1.9476134211458999E-4</v>
      </c>
      <c r="D46371" s="2">
        <v>4.0955281951519099E-4</v>
      </c>
      <c r="E46371" s="2">
        <v>7.6558810499739705E-4</v>
      </c>
      <c r="F46371" s="2">
        <v>2.21935255693295E-4</v>
      </c>
    </row>
    <row r="46372" spans="1:6" x14ac:dyDescent="0.25">
      <c r="A46372" s="1" t="str">
        <f t="shared" si="1528"/>
        <v>99999</v>
      </c>
      <c r="B46372" s="1" t="str">
        <f>"04572"</f>
        <v>04572</v>
      </c>
      <c r="C46372" s="2">
        <v>2.7335874866000001E-4</v>
      </c>
      <c r="D46372" s="2">
        <v>1.17445293831562E-4</v>
      </c>
      <c r="E46372" s="2">
        <v>1.7634332755557999E-4</v>
      </c>
      <c r="F46372" s="2">
        <v>2.6091454693333603E-4</v>
      </c>
    </row>
    <row r="46373" spans="1:6" x14ac:dyDescent="0.25">
      <c r="A46373" s="1" t="str">
        <f t="shared" si="1528"/>
        <v>99999</v>
      </c>
      <c r="B46373" s="1" t="str">
        <f>"04660"</f>
        <v>04660</v>
      </c>
      <c r="C46373" s="2">
        <v>8.29278421677467E-5</v>
      </c>
      <c r="D46373" s="2">
        <v>1.0539962266935E-5</v>
      </c>
      <c r="E46373" s="2">
        <v>2.15052838482415E-5</v>
      </c>
      <c r="F46373" s="2">
        <v>7.6774401480384101E-5</v>
      </c>
    </row>
    <row r="46374" spans="1:6" x14ac:dyDescent="0.25">
      <c r="A46374" s="1" t="str">
        <f t="shared" si="1528"/>
        <v>99999</v>
      </c>
      <c r="B46374" s="1" t="str">
        <f>"04575"</f>
        <v>04575</v>
      </c>
      <c r="C46374" s="2">
        <v>1.5697829130970301E-5</v>
      </c>
      <c r="D46374" s="2">
        <v>0</v>
      </c>
      <c r="E46374" s="2">
        <v>4.3010567696482999E-6</v>
      </c>
      <c r="F46374" s="2">
        <v>1.4407535496318799E-5</v>
      </c>
    </row>
    <row r="46375" spans="1:6" x14ac:dyDescent="0.25">
      <c r="A46375" s="1" t="str">
        <f t="shared" si="1528"/>
        <v>99999</v>
      </c>
      <c r="B46375" s="1" t="str">
        <f>"05655"</f>
        <v>05655</v>
      </c>
      <c r="C46375" s="2">
        <v>1.4193002752208299E-4</v>
      </c>
      <c r="D46375" s="2">
        <v>4.3665557963016701E-5</v>
      </c>
      <c r="E46375" s="2">
        <v>3.8709510926834699E-5</v>
      </c>
      <c r="F46375" s="2">
        <v>1.3312168071598701E-4</v>
      </c>
    </row>
    <row r="46376" spans="1:6" x14ac:dyDescent="0.25">
      <c r="A46376" s="1" t="str">
        <f t="shared" si="1528"/>
        <v>99999</v>
      </c>
      <c r="B46376" s="1" t="str">
        <f>"05464"</f>
        <v>05464</v>
      </c>
      <c r="C46376" s="2">
        <v>1.2114393653486699E-4</v>
      </c>
      <c r="D46376" s="2">
        <v>5.5711229125228301E-5</v>
      </c>
      <c r="E46376" s="2">
        <v>3.3548242803256698E-4</v>
      </c>
      <c r="F46376" s="2">
        <v>1.21773279468886E-4</v>
      </c>
    </row>
    <row r="46377" spans="1:6" x14ac:dyDescent="0.25">
      <c r="A46377" s="1" t="str">
        <f t="shared" si="1528"/>
        <v>99999</v>
      </c>
      <c r="B46377" s="1" t="str">
        <f>"05472"</f>
        <v>05472</v>
      </c>
      <c r="C46377" s="2">
        <v>8.4768277307239805E-5</v>
      </c>
      <c r="D46377" s="2">
        <v>4.8182684648845999E-5</v>
      </c>
      <c r="E46377" s="2">
        <v>4.7311624466131299E-5</v>
      </c>
      <c r="F46377" s="2">
        <v>8.1511125479173899E-5</v>
      </c>
    </row>
    <row r="46378" spans="1:6" x14ac:dyDescent="0.25">
      <c r="A46378" s="1" t="str">
        <f t="shared" si="1528"/>
        <v>99999</v>
      </c>
      <c r="B46378" s="1" t="str">
        <f>"05155"</f>
        <v>05155</v>
      </c>
      <c r="C46378" s="2">
        <v>3.7999572586004001E-5</v>
      </c>
      <c r="D46378" s="2">
        <v>5.7216938020504697E-5</v>
      </c>
      <c r="E46378" s="2">
        <v>4.3010567696482999E-5</v>
      </c>
      <c r="F46378" s="2">
        <v>3.9374018239939899E-5</v>
      </c>
    </row>
    <row r="46379" spans="1:6" x14ac:dyDescent="0.25">
      <c r="A46379" s="1" t="str">
        <f t="shared" si="1528"/>
        <v>99999</v>
      </c>
      <c r="B46379" s="1" t="str">
        <f>"05828"</f>
        <v>05828</v>
      </c>
      <c r="C46379" s="2">
        <v>9.3645670333029904E-5</v>
      </c>
      <c r="D46379" s="2">
        <v>2.4091342324423E-5</v>
      </c>
      <c r="E46379" s="2">
        <v>6.4515851544724506E-5</v>
      </c>
      <c r="F46379" s="2">
        <v>8.8418847977408905E-5</v>
      </c>
    </row>
    <row r="46380" spans="1:6" x14ac:dyDescent="0.25">
      <c r="A46380" s="1" t="str">
        <f t="shared" si="1528"/>
        <v>99999</v>
      </c>
      <c r="B46380" s="1" t="str">
        <f>"05821"</f>
        <v>05821</v>
      </c>
      <c r="C46380" s="2">
        <v>5.59708804187011E-5</v>
      </c>
      <c r="D46380" s="2">
        <v>1.9574215638593701E-5</v>
      </c>
      <c r="E46380" s="2">
        <v>8.6021135392965999E-6</v>
      </c>
      <c r="F46380" s="2">
        <v>5.2498690986586503E-5</v>
      </c>
    </row>
    <row r="46381" spans="1:6" x14ac:dyDescent="0.25">
      <c r="A46381" s="1" t="str">
        <f t="shared" si="1528"/>
        <v>99999</v>
      </c>
      <c r="B46381" s="1" t="str">
        <f>"05845"</f>
        <v>05845</v>
      </c>
      <c r="C46381" s="2">
        <v>6.2141751180530796E-5</v>
      </c>
      <c r="D46381" s="2">
        <v>1.80685067433172E-5</v>
      </c>
      <c r="E46381" s="2">
        <v>3.01073973875381E-5</v>
      </c>
      <c r="F46381" s="2">
        <v>5.8518277735048499E-5</v>
      </c>
    </row>
    <row r="46382" spans="1:6" x14ac:dyDescent="0.25">
      <c r="A46382" s="1" t="str">
        <f t="shared" si="1528"/>
        <v>99999</v>
      </c>
      <c r="B46382" s="1" t="str">
        <f>"05853"</f>
        <v>05853</v>
      </c>
      <c r="C46382" s="2">
        <v>2.0894351877774301E-5</v>
      </c>
      <c r="D46382" s="2">
        <v>4.5171266858293203E-6</v>
      </c>
      <c r="E46382" s="2">
        <v>4.3010567696482999E-6</v>
      </c>
      <c r="F46382" s="2">
        <v>1.9440304745033001E-5</v>
      </c>
    </row>
    <row r="46383" spans="1:6" x14ac:dyDescent="0.25">
      <c r="A46383" s="1" t="str">
        <f t="shared" si="1528"/>
        <v>99999</v>
      </c>
      <c r="B46383" s="1" t="str">
        <f>"12423"</f>
        <v>12423</v>
      </c>
      <c r="C46383" s="2">
        <v>5.8785663573219898E-5</v>
      </c>
      <c r="D46383" s="2">
        <v>5.1194102439398901E-5</v>
      </c>
      <c r="E46383" s="2">
        <v>6.4515851544724506E-5</v>
      </c>
      <c r="F46383" s="2">
        <v>5.8419595985073702E-5</v>
      </c>
    </row>
    <row r="46384" spans="1:6" x14ac:dyDescent="0.25">
      <c r="A46384" s="1" t="str">
        <f t="shared" si="1528"/>
        <v>99999</v>
      </c>
      <c r="B46384" s="1" t="str">
        <f>"12430"</f>
        <v>12430</v>
      </c>
      <c r="C46384" s="2">
        <v>5.61874021998179E-5</v>
      </c>
      <c r="D46384" s="2">
        <v>1.80685067433172E-5</v>
      </c>
      <c r="E46384" s="2">
        <v>1.72042270785932E-5</v>
      </c>
      <c r="F46384" s="2">
        <v>5.2794736236510901E-5</v>
      </c>
    </row>
    <row r="46385" spans="1:6" x14ac:dyDescent="0.25">
      <c r="A46385" s="1" t="str">
        <f t="shared" si="1528"/>
        <v>99999</v>
      </c>
      <c r="B46385" s="1" t="str">
        <f>"12438"</f>
        <v>12438</v>
      </c>
      <c r="C46385" s="2">
        <v>1.62391335837624E-6</v>
      </c>
      <c r="D46385" s="2">
        <v>0</v>
      </c>
      <c r="E46385" s="2">
        <v>4.3010567696482999E-6</v>
      </c>
      <c r="F46385" s="2">
        <v>1.5789079995965801E-6</v>
      </c>
    </row>
    <row r="46386" spans="1:6" x14ac:dyDescent="0.25">
      <c r="A46386" s="1" t="str">
        <f t="shared" si="1528"/>
        <v>99999</v>
      </c>
      <c r="B46386" s="1" t="str">
        <f>"12463"</f>
        <v>12463</v>
      </c>
      <c r="C46386" s="2">
        <v>7.4483492704190298E-5</v>
      </c>
      <c r="D46386" s="2">
        <v>1.50570889527644E-5</v>
      </c>
      <c r="E46386" s="2">
        <v>9.4623248932262599E-5</v>
      </c>
      <c r="F46386" s="2">
        <v>7.1050859981846497E-5</v>
      </c>
    </row>
    <row r="46387" spans="1:6" x14ac:dyDescent="0.25">
      <c r="A46387" s="1" t="str">
        <f t="shared" si="1528"/>
        <v>99999</v>
      </c>
      <c r="B46387" s="1" t="str">
        <f>"12485"</f>
        <v>12485</v>
      </c>
      <c r="C46387" s="2">
        <v>1.2883045976451501E-5</v>
      </c>
      <c r="D46387" s="2">
        <v>5.7216938020504697E-5</v>
      </c>
      <c r="E46387" s="2">
        <v>1.72042270785932E-5</v>
      </c>
      <c r="F46387" s="2">
        <v>1.5887761745940599E-5</v>
      </c>
    </row>
    <row r="46388" spans="1:6" x14ac:dyDescent="0.25">
      <c r="A46388" s="1" t="str">
        <f t="shared" si="1528"/>
        <v>99999</v>
      </c>
      <c r="B46388" s="1" t="str">
        <f>"12134"</f>
        <v>12134</v>
      </c>
      <c r="C46388" s="2">
        <v>3.5076528540926799E-5</v>
      </c>
      <c r="D46388" s="2">
        <v>1.35513800574879E-5</v>
      </c>
      <c r="E46388" s="2">
        <v>0</v>
      </c>
      <c r="F46388" s="2">
        <v>3.2861022741603999E-5</v>
      </c>
    </row>
    <row r="46389" spans="1:6" x14ac:dyDescent="0.25">
      <c r="A46389" s="1" t="str">
        <f t="shared" si="1528"/>
        <v>99999</v>
      </c>
      <c r="B46389" s="1" t="str">
        <f>"12087"</f>
        <v>12087</v>
      </c>
      <c r="C46389" s="2">
        <v>4.6985226502352598E-5</v>
      </c>
      <c r="D46389" s="2">
        <v>9.0342533716586405E-6</v>
      </c>
      <c r="E46389" s="2">
        <v>3.01073973875381E-5</v>
      </c>
      <c r="F46389" s="2">
        <v>4.4110742238729703E-5</v>
      </c>
    </row>
    <row r="46390" spans="1:6" x14ac:dyDescent="0.25">
      <c r="A46390" s="1" t="str">
        <f t="shared" si="1528"/>
        <v>99999</v>
      </c>
      <c r="B46390" s="1" t="str">
        <f>"12842"</f>
        <v>12842</v>
      </c>
      <c r="C46390" s="2">
        <v>7.9138710998202195E-5</v>
      </c>
      <c r="D46390" s="2">
        <v>3.01141779055288E-5</v>
      </c>
      <c r="E46390" s="2">
        <v>4.7311624466131299E-5</v>
      </c>
      <c r="F46390" s="2">
        <v>7.5195493480787498E-5</v>
      </c>
    </row>
    <row r="46391" spans="1:6" x14ac:dyDescent="0.25">
      <c r="A46391" s="1" t="str">
        <f t="shared" si="1528"/>
        <v>99999</v>
      </c>
      <c r="B46391" s="1" t="str">
        <f>"13332"</f>
        <v>13332</v>
      </c>
      <c r="C46391" s="2">
        <v>2.46834830473188E-5</v>
      </c>
      <c r="D46391" s="2">
        <v>1.0539962266935E-5</v>
      </c>
      <c r="E46391" s="2">
        <v>4.3010567696482999E-6</v>
      </c>
      <c r="F46391" s="2">
        <v>2.3288892994049601E-5</v>
      </c>
    </row>
    <row r="46392" spans="1:6" x14ac:dyDescent="0.25">
      <c r="A46392" s="1" t="str">
        <f t="shared" si="1528"/>
        <v>99999</v>
      </c>
      <c r="B46392" s="1" t="str">
        <f>"13368"</f>
        <v>13368</v>
      </c>
      <c r="C46392" s="2">
        <v>4.6768704721235703E-5</v>
      </c>
      <c r="D46392" s="2">
        <v>3.31255956960816E-5</v>
      </c>
      <c r="E46392" s="2">
        <v>1.29031703089449E-5</v>
      </c>
      <c r="F46392" s="2">
        <v>4.5097559738477497E-5</v>
      </c>
    </row>
    <row r="46393" spans="1:6" x14ac:dyDescent="0.25">
      <c r="A46393" s="1" t="str">
        <f t="shared" si="1528"/>
        <v>99999</v>
      </c>
      <c r="B46393" s="1" t="str">
        <f>"13155"</f>
        <v>13155</v>
      </c>
      <c r="C46393" s="2">
        <v>2.38173959228515E-5</v>
      </c>
      <c r="D46393" s="2">
        <v>7.5285444763821999E-6</v>
      </c>
      <c r="E46393" s="2">
        <v>3.44084541571864E-5</v>
      </c>
      <c r="F46393" s="2">
        <v>2.2992847744125301E-5</v>
      </c>
    </row>
    <row r="46394" spans="1:6" x14ac:dyDescent="0.25">
      <c r="A46394" s="1" t="str">
        <f t="shared" si="1528"/>
        <v>99999</v>
      </c>
      <c r="B46394" s="1" t="str">
        <f>"13809"</f>
        <v>13809</v>
      </c>
      <c r="C46394" s="2">
        <v>4.8609139860728801E-5</v>
      </c>
      <c r="D46394" s="2">
        <v>1.20456711622115E-5</v>
      </c>
      <c r="E46394" s="2">
        <v>2.15052838482415E-5</v>
      </c>
      <c r="F46394" s="2">
        <v>4.5590968488351503E-5</v>
      </c>
    </row>
    <row r="46395" spans="1:6" x14ac:dyDescent="0.25">
      <c r="A46395" s="1" t="str">
        <f t="shared" si="1528"/>
        <v>99999</v>
      </c>
      <c r="B46395" s="1" t="str">
        <f>"13731"</f>
        <v>13731</v>
      </c>
      <c r="C46395" s="2">
        <v>7.7081754077592296E-5</v>
      </c>
      <c r="D46395" s="2">
        <v>1.80685067433172E-5</v>
      </c>
      <c r="E46395" s="2">
        <v>1.29031703089449E-5</v>
      </c>
      <c r="F46395" s="2">
        <v>7.1741632231670001E-5</v>
      </c>
    </row>
    <row r="46396" spans="1:6" x14ac:dyDescent="0.25">
      <c r="A46396" s="1" t="str">
        <f t="shared" si="1528"/>
        <v>99999</v>
      </c>
      <c r="B46396" s="1" t="str">
        <f>"13756"</f>
        <v>13756</v>
      </c>
      <c r="C46396" s="2">
        <v>3.7133485461536698E-5</v>
      </c>
      <c r="D46396" s="2">
        <v>1.20456711622115E-5</v>
      </c>
      <c r="E46396" s="2">
        <v>8.6021135392965999E-6</v>
      </c>
      <c r="F46396" s="2">
        <v>3.4834657741099703E-5</v>
      </c>
    </row>
    <row r="46397" spans="1:6" x14ac:dyDescent="0.25">
      <c r="A46397" s="1" t="str">
        <f t="shared" si="1528"/>
        <v>99999</v>
      </c>
      <c r="B46397" s="1" t="str">
        <f>"13752"</f>
        <v>13752</v>
      </c>
      <c r="C46397" s="2">
        <v>5.6079141309259497E-5</v>
      </c>
      <c r="D46397" s="2">
        <v>1.0539962266935E-5</v>
      </c>
      <c r="E46397" s="2">
        <v>2.15052838482415E-5</v>
      </c>
      <c r="F46397" s="2">
        <v>5.2301327486636997E-5</v>
      </c>
    </row>
    <row r="46398" spans="1:6" x14ac:dyDescent="0.25">
      <c r="A46398" s="1" t="str">
        <f t="shared" si="1528"/>
        <v>99999</v>
      </c>
      <c r="B46398" s="1" t="str">
        <f>"14011"</f>
        <v>14011</v>
      </c>
      <c r="C46398" s="2">
        <v>2.5170657054831701E-4</v>
      </c>
      <c r="D46398" s="2">
        <v>1.79179358537896E-4</v>
      </c>
      <c r="E46398" s="2">
        <v>4.81718358200609E-4</v>
      </c>
      <c r="F46398" s="2">
        <v>2.5223055293555502E-4</v>
      </c>
    </row>
    <row r="46399" spans="1:6" x14ac:dyDescent="0.25">
      <c r="A46399" s="1" t="str">
        <f t="shared" si="1528"/>
        <v>99999</v>
      </c>
      <c r="B46399" s="1" t="str">
        <f>"13844"</f>
        <v>13844</v>
      </c>
      <c r="C46399" s="2">
        <v>2.8797396888538699E-5</v>
      </c>
      <c r="D46399" s="2">
        <v>6.0228355811057601E-6</v>
      </c>
      <c r="E46399" s="2">
        <v>4.3010567696482999E-6</v>
      </c>
      <c r="F46399" s="2">
        <v>2.6742754243167199E-5</v>
      </c>
    </row>
    <row r="46400" spans="1:6" x14ac:dyDescent="0.25">
      <c r="A46400" s="1" t="str">
        <f t="shared" si="1528"/>
        <v>99999</v>
      </c>
      <c r="B46400" s="1" t="str">
        <f>"14707"</f>
        <v>14707</v>
      </c>
      <c r="C46400" s="2">
        <v>1.08260890558416E-7</v>
      </c>
      <c r="D46400" s="2">
        <v>0</v>
      </c>
      <c r="E46400" s="2">
        <v>2.4516023586995298E-4</v>
      </c>
      <c r="F46400" s="2">
        <v>5.7235414985376303E-6</v>
      </c>
    </row>
    <row r="46401" spans="1:6" x14ac:dyDescent="0.25">
      <c r="A46401" s="1" t="str">
        <f t="shared" si="1528"/>
        <v>99999</v>
      </c>
      <c r="B46401" s="1" t="str">
        <f>"14886"</f>
        <v>14886</v>
      </c>
      <c r="C46401" s="2">
        <v>7.0802622425204101E-5</v>
      </c>
      <c r="D46401" s="2">
        <v>1.20456711622115E-5</v>
      </c>
      <c r="E46401" s="2">
        <v>3.44084541571864E-5</v>
      </c>
      <c r="F46401" s="2">
        <v>6.6116772483107105E-5</v>
      </c>
    </row>
    <row r="46402" spans="1:6" x14ac:dyDescent="0.25">
      <c r="A46402" s="1" t="str">
        <f t="shared" si="1528"/>
        <v>99999</v>
      </c>
      <c r="B46402" s="1" t="str">
        <f>"15370"</f>
        <v>15370</v>
      </c>
      <c r="C46402" s="2">
        <v>6.5725186658014399E-4</v>
      </c>
      <c r="D46402" s="2">
        <v>1.0886275312848601E-3</v>
      </c>
      <c r="E46402" s="2">
        <v>8.1289972946352903E-4</v>
      </c>
      <c r="F46402" s="2">
        <v>6.8909466007393595E-4</v>
      </c>
    </row>
    <row r="46403" spans="1:6" x14ac:dyDescent="0.25">
      <c r="A46403" s="1" t="str">
        <f t="shared" si="1528"/>
        <v>99999</v>
      </c>
      <c r="B46403" s="1" t="str">
        <f>"15864"</f>
        <v>15864</v>
      </c>
      <c r="C46403" s="2">
        <v>9.0614365397394305E-5</v>
      </c>
      <c r="D46403" s="2">
        <v>3.4631304591358098E-5</v>
      </c>
      <c r="E46403" s="2">
        <v>8.6021135392965999E-6</v>
      </c>
      <c r="F46403" s="2">
        <v>8.5063668478266199E-5</v>
      </c>
    </row>
    <row r="46404" spans="1:6" x14ac:dyDescent="0.25">
      <c r="A46404" s="1" t="str">
        <f t="shared" si="1528"/>
        <v>99999</v>
      </c>
      <c r="B46404" s="1" t="str">
        <f>"15851"</f>
        <v>15851</v>
      </c>
      <c r="C46404" s="2">
        <v>3.4113006614956899E-4</v>
      </c>
      <c r="D46404" s="2">
        <v>3.2222170358915799E-4</v>
      </c>
      <c r="E46404" s="2">
        <v>5.5913738005427898E-4</v>
      </c>
      <c r="F46404" s="2">
        <v>3.44892716161879E-4</v>
      </c>
    </row>
    <row r="46405" spans="1:6" x14ac:dyDescent="0.25">
      <c r="A46405" s="1" t="str">
        <f t="shared" si="1528"/>
        <v>99999</v>
      </c>
      <c r="B46405" s="1" t="str">
        <f>"15767"</f>
        <v>15767</v>
      </c>
      <c r="C46405" s="2">
        <v>7.2090927022849295E-4</v>
      </c>
      <c r="D46405" s="2">
        <v>1.0404448466360199E-3</v>
      </c>
      <c r="E46405" s="2">
        <v>7.8709338884563895E-4</v>
      </c>
      <c r="F46405" s="2">
        <v>7.4336962256006905E-4</v>
      </c>
    </row>
    <row r="46406" spans="1:6" x14ac:dyDescent="0.25">
      <c r="A46406" s="1" t="str">
        <f t="shared" ref="A46406:A46469" si="1529">"99999"</f>
        <v>99999</v>
      </c>
      <c r="B46406" s="1" t="str">
        <f>"16240"</f>
        <v>16240</v>
      </c>
      <c r="C46406" s="2">
        <v>5.2398271030273401E-5</v>
      </c>
      <c r="D46406" s="2">
        <v>2.25856334291466E-5</v>
      </c>
      <c r="E46406" s="2">
        <v>4.3010567696482999E-6</v>
      </c>
      <c r="F46406" s="2">
        <v>4.9340874987393397E-5</v>
      </c>
    </row>
    <row r="46407" spans="1:6" x14ac:dyDescent="0.25">
      <c r="A46407" s="1" t="str">
        <f t="shared" si="1529"/>
        <v>99999</v>
      </c>
      <c r="B46407" s="1" t="str">
        <f>"16319"</f>
        <v>16319</v>
      </c>
      <c r="C46407" s="2">
        <v>1.7213481598788101E-5</v>
      </c>
      <c r="D46407" s="2">
        <v>1.0539962266935E-5</v>
      </c>
      <c r="E46407" s="2">
        <v>4.3010567696482999E-6</v>
      </c>
      <c r="F46407" s="2">
        <v>1.64798522457893E-5</v>
      </c>
    </row>
    <row r="46408" spans="1:6" x14ac:dyDescent="0.25">
      <c r="A46408" s="1" t="str">
        <f t="shared" si="1529"/>
        <v>99999</v>
      </c>
      <c r="B46408" s="1" t="str">
        <f>"16341"</f>
        <v>16341</v>
      </c>
      <c r="C46408" s="2">
        <v>1.5697829130970301E-5</v>
      </c>
      <c r="D46408" s="2">
        <v>4.5171266858293203E-6</v>
      </c>
      <c r="E46408" s="2">
        <v>4.3010567696482999E-6</v>
      </c>
      <c r="F46408" s="2">
        <v>1.47035807462432E-5</v>
      </c>
    </row>
    <row r="46409" spans="1:6" x14ac:dyDescent="0.25">
      <c r="A46409" s="1" t="str">
        <f t="shared" si="1529"/>
        <v>99999</v>
      </c>
      <c r="B46409" s="1" t="str">
        <f>"16689"</f>
        <v>16689</v>
      </c>
      <c r="C46409" s="2">
        <v>1.75382642704634E-5</v>
      </c>
      <c r="D46409" s="2">
        <v>1.9574215638593701E-5</v>
      </c>
      <c r="E46409" s="2">
        <v>0</v>
      </c>
      <c r="F46409" s="2">
        <v>1.7269306245587602E-5</v>
      </c>
    </row>
    <row r="46410" spans="1:6" x14ac:dyDescent="0.25">
      <c r="A46410" s="1" t="str">
        <f t="shared" si="1529"/>
        <v>99999</v>
      </c>
      <c r="B46410" s="1" t="str">
        <f>"16662"</f>
        <v>16662</v>
      </c>
      <c r="C46410" s="2">
        <v>1.50482637876198E-5</v>
      </c>
      <c r="D46410" s="2">
        <v>3.01141779055288E-6</v>
      </c>
      <c r="E46410" s="2">
        <v>0</v>
      </c>
      <c r="F46410" s="2">
        <v>1.39141267464449E-5</v>
      </c>
    </row>
    <row r="46411" spans="1:6" x14ac:dyDescent="0.25">
      <c r="A46411" s="1" t="str">
        <f t="shared" si="1529"/>
        <v>99999</v>
      </c>
      <c r="B46411" s="1" t="str">
        <f>"16921"</f>
        <v>16921</v>
      </c>
      <c r="C46411" s="2">
        <v>3.6375659227627798E-5</v>
      </c>
      <c r="D46411" s="2">
        <v>1.80685067433172E-5</v>
      </c>
      <c r="E46411" s="2">
        <v>4.3010567696482999E-6</v>
      </c>
      <c r="F46411" s="2">
        <v>3.4439930741200501E-5</v>
      </c>
    </row>
    <row r="46412" spans="1:6" x14ac:dyDescent="0.25">
      <c r="A46412" s="1" t="str">
        <f t="shared" si="1529"/>
        <v>99999</v>
      </c>
      <c r="B46412" s="1" t="str">
        <f>"16922"</f>
        <v>16922</v>
      </c>
      <c r="C46412" s="2">
        <v>1.4063089683538199E-4</v>
      </c>
      <c r="D46412" s="2">
        <v>1.7466223185206699E-4</v>
      </c>
      <c r="E46412" s="2">
        <v>2.0645072494311799E-4</v>
      </c>
      <c r="F46412" s="2">
        <v>1.4437140021311299E-4</v>
      </c>
    </row>
    <row r="46413" spans="1:6" x14ac:dyDescent="0.25">
      <c r="A46413" s="1" t="str">
        <f t="shared" si="1529"/>
        <v>99999</v>
      </c>
      <c r="B46413" s="1" t="str">
        <f>"16935"</f>
        <v>16935</v>
      </c>
      <c r="C46413" s="2">
        <v>6.5714360568958603E-5</v>
      </c>
      <c r="D46413" s="2">
        <v>3.31255956960816E-5</v>
      </c>
      <c r="E46413" s="2">
        <v>0</v>
      </c>
      <c r="F46413" s="2">
        <v>6.2070820734140894E-5</v>
      </c>
    </row>
    <row r="46414" spans="1:6" x14ac:dyDescent="0.25">
      <c r="A46414" s="1" t="str">
        <f t="shared" si="1529"/>
        <v>99999</v>
      </c>
      <c r="B46414" s="1" t="str">
        <f>"18445"</f>
        <v>18445</v>
      </c>
      <c r="C46414" s="2">
        <v>9.8409149517600204E-5</v>
      </c>
      <c r="D46414" s="2">
        <v>6.6251191392163294E-5</v>
      </c>
      <c r="E46414" s="2">
        <v>9.8924305701910905E-5</v>
      </c>
      <c r="F46414" s="2">
        <v>9.6313387975391896E-5</v>
      </c>
    </row>
    <row r="46415" spans="1:6" x14ac:dyDescent="0.25">
      <c r="A46415" s="1" t="str">
        <f t="shared" si="1529"/>
        <v>99999</v>
      </c>
      <c r="B46415" s="1" t="str">
        <f>"18438"</f>
        <v>18438</v>
      </c>
      <c r="C46415" s="2">
        <v>1.0869393412064899E-4</v>
      </c>
      <c r="D46415" s="2">
        <v>6.1734064706334002E-5</v>
      </c>
      <c r="E46415" s="2">
        <v>5.1612681235779599E-5</v>
      </c>
      <c r="F46415" s="2">
        <v>1.04306609723349E-4</v>
      </c>
    </row>
    <row r="46416" spans="1:6" x14ac:dyDescent="0.25">
      <c r="A46416" s="1" t="str">
        <f t="shared" si="1529"/>
        <v>99999</v>
      </c>
      <c r="B46416" s="1" t="str">
        <f>"18847"</f>
        <v>18847</v>
      </c>
      <c r="C46416" s="2">
        <v>2.9760918814508599E-4</v>
      </c>
      <c r="D46416" s="2">
        <v>2.13810663129254E-4</v>
      </c>
      <c r="E46416" s="2">
        <v>3.6558982542010497E-4</v>
      </c>
      <c r="F46416" s="2">
        <v>2.9367688792496498E-4</v>
      </c>
    </row>
    <row r="46417" spans="1:6" x14ac:dyDescent="0.25">
      <c r="A46417" s="1" t="str">
        <f t="shared" si="1529"/>
        <v>99999</v>
      </c>
      <c r="B46417" s="1" t="str">
        <f>"22443"</f>
        <v>22443</v>
      </c>
      <c r="C46417" s="2">
        <v>5.6804489276000901E-4</v>
      </c>
      <c r="D46417" s="2">
        <v>3.82450059400215E-4</v>
      </c>
      <c r="E46417" s="2">
        <v>1.93547554634173E-4</v>
      </c>
      <c r="F46417" s="2">
        <v>5.4728898536016699E-4</v>
      </c>
    </row>
    <row r="46418" spans="1:6" x14ac:dyDescent="0.25">
      <c r="A46418" s="1" t="str">
        <f t="shared" si="1529"/>
        <v>99999</v>
      </c>
      <c r="B46418" s="1" t="str">
        <f>"22485"</f>
        <v>22485</v>
      </c>
      <c r="C46418" s="2">
        <v>1.1095658673331999E-3</v>
      </c>
      <c r="D46418" s="2">
        <v>9.4257376844305099E-4</v>
      </c>
      <c r="E46418" s="2">
        <v>8.5591029716001197E-4</v>
      </c>
      <c r="F46418" s="2">
        <v>1.09280169922078E-3</v>
      </c>
    </row>
    <row r="46419" spans="1:6" x14ac:dyDescent="0.25">
      <c r="A46419" s="1" t="str">
        <f t="shared" si="1529"/>
        <v>99999</v>
      </c>
      <c r="B46419" s="1" t="str">
        <f>"22664"</f>
        <v>22664</v>
      </c>
      <c r="C46419" s="2">
        <v>4.5144791362859498E-4</v>
      </c>
      <c r="D46419" s="2">
        <v>7.5887728321932595E-4</v>
      </c>
      <c r="E46419" s="2">
        <v>8.1289972946352903E-4</v>
      </c>
      <c r="F46419" s="2">
        <v>4.7988935012738802E-4</v>
      </c>
    </row>
    <row r="46420" spans="1:6" x14ac:dyDescent="0.25">
      <c r="A46420" s="1" t="str">
        <f t="shared" si="1529"/>
        <v>99999</v>
      </c>
      <c r="B46420" s="1" t="str">
        <f>"23004"</f>
        <v>23004</v>
      </c>
      <c r="C46420" s="2">
        <v>4.8609139860728801E-5</v>
      </c>
      <c r="D46420" s="2">
        <v>1.50570889527644E-5</v>
      </c>
      <c r="E46420" s="2">
        <v>4.3010567696482999E-6</v>
      </c>
      <c r="F46420" s="2">
        <v>4.5393604988401902E-5</v>
      </c>
    </row>
    <row r="46421" spans="1:6" x14ac:dyDescent="0.25">
      <c r="A46421" s="1" t="str">
        <f t="shared" si="1529"/>
        <v>99999</v>
      </c>
      <c r="B46421" s="1" t="str">
        <f>"23040"</f>
        <v>23040</v>
      </c>
      <c r="C46421" s="2">
        <v>2.34384828058971E-4</v>
      </c>
      <c r="D46421" s="2">
        <v>1.2949096499377299E-4</v>
      </c>
      <c r="E46421" s="2">
        <v>1.29031703089449E-5</v>
      </c>
      <c r="F46421" s="2">
        <v>2.2242866444316899E-4</v>
      </c>
    </row>
    <row r="46422" spans="1:6" x14ac:dyDescent="0.25">
      <c r="A46422" s="1" t="str">
        <f t="shared" si="1529"/>
        <v>99999</v>
      </c>
      <c r="B46422" s="1" t="str">
        <f>"22810"</f>
        <v>22810</v>
      </c>
      <c r="C46422" s="2">
        <v>1.2991306867009899E-5</v>
      </c>
      <c r="D46422" s="2">
        <v>2.1079924533870101E-5</v>
      </c>
      <c r="E46422" s="2">
        <v>1.29031703089449E-5</v>
      </c>
      <c r="F46422" s="2">
        <v>1.35193997465457E-5</v>
      </c>
    </row>
    <row r="46423" spans="1:6" x14ac:dyDescent="0.25">
      <c r="A46423" s="1" t="str">
        <f t="shared" si="1529"/>
        <v>99999</v>
      </c>
      <c r="B46423" s="1" t="str">
        <f>"23175"</f>
        <v>23175</v>
      </c>
      <c r="C46423" s="2">
        <v>1.0057436732876801E-4</v>
      </c>
      <c r="D46423" s="2">
        <v>1.9574215638593701E-5</v>
      </c>
      <c r="E46423" s="2">
        <v>9.4623248932262599E-5</v>
      </c>
      <c r="F46423" s="2">
        <v>9.5129206975694399E-5</v>
      </c>
    </row>
    <row r="46424" spans="1:6" x14ac:dyDescent="0.25">
      <c r="A46424" s="1" t="str">
        <f t="shared" si="1529"/>
        <v>99999</v>
      </c>
      <c r="B46424" s="1" t="str">
        <f>"23065"</f>
        <v>23065</v>
      </c>
      <c r="C46424" s="2">
        <v>3.6700441899303002E-5</v>
      </c>
      <c r="D46424" s="2">
        <v>1.20456711622115E-5</v>
      </c>
      <c r="E46424" s="2">
        <v>4.3010567696482999E-6</v>
      </c>
      <c r="F46424" s="2">
        <v>3.4341248991225799E-5</v>
      </c>
    </row>
    <row r="46425" spans="1:6" x14ac:dyDescent="0.25">
      <c r="A46425" s="1" t="str">
        <f t="shared" si="1529"/>
        <v>99999</v>
      </c>
      <c r="B46425" s="1" t="str">
        <f>"24316"</f>
        <v>24316</v>
      </c>
      <c r="C46425" s="2">
        <v>5.4130445279207995E-7</v>
      </c>
      <c r="D46425" s="2">
        <v>1.50570889527644E-6</v>
      </c>
      <c r="E46425" s="2">
        <v>4.3010567696482999E-6</v>
      </c>
      <c r="F46425" s="2">
        <v>6.9077224982350697E-7</v>
      </c>
    </row>
    <row r="46426" spans="1:6" x14ac:dyDescent="0.25">
      <c r="A46426" s="1" t="str">
        <f t="shared" si="1529"/>
        <v>99999</v>
      </c>
      <c r="B46426" s="1" t="str">
        <f>"49952"</f>
        <v>49952</v>
      </c>
      <c r="C46426" s="2">
        <v>1.08260890558416E-7</v>
      </c>
      <c r="D46426" s="2">
        <v>0</v>
      </c>
      <c r="E46426" s="2">
        <v>0</v>
      </c>
      <c r="F46426" s="2">
        <v>9.8681749974786797E-8</v>
      </c>
    </row>
    <row r="46427" spans="1:6" x14ac:dyDescent="0.25">
      <c r="A46427" s="1" t="str">
        <f t="shared" si="1529"/>
        <v>99999</v>
      </c>
      <c r="B46427" s="1" t="str">
        <f>"62649"</f>
        <v>62649</v>
      </c>
      <c r="C46427" s="2">
        <v>1.08260890558416E-7</v>
      </c>
      <c r="D46427" s="2">
        <v>0</v>
      </c>
      <c r="E46427" s="2">
        <v>0</v>
      </c>
      <c r="F46427" s="2">
        <v>9.8681749974786797E-8</v>
      </c>
    </row>
    <row r="46428" spans="1:6" x14ac:dyDescent="0.25">
      <c r="A46428" s="1" t="str">
        <f t="shared" si="1529"/>
        <v>99999</v>
      </c>
      <c r="B46428" s="1" t="str">
        <f>"86028"</f>
        <v>86028</v>
      </c>
      <c r="C46428" s="2">
        <v>0</v>
      </c>
      <c r="D46428" s="2">
        <v>0</v>
      </c>
      <c r="E46428" s="2">
        <v>4.3010567696482999E-6</v>
      </c>
      <c r="F46428" s="2">
        <v>9.8681749974786797E-8</v>
      </c>
    </row>
    <row r="46429" spans="1:6" x14ac:dyDescent="0.25">
      <c r="A46429" s="1" t="str">
        <f t="shared" si="1529"/>
        <v>99999</v>
      </c>
      <c r="B46429" s="1" t="str">
        <f>"79834"</f>
        <v>79834</v>
      </c>
      <c r="C46429" s="2">
        <v>0</v>
      </c>
      <c r="D46429" s="2">
        <v>3.01141779055288E-6</v>
      </c>
      <c r="E46429" s="2">
        <v>0</v>
      </c>
      <c r="F46429" s="2">
        <v>1.9736349994957301E-7</v>
      </c>
    </row>
    <row r="46430" spans="1:6" x14ac:dyDescent="0.25">
      <c r="A46430" s="1" t="str">
        <f t="shared" si="1529"/>
        <v>99999</v>
      </c>
      <c r="B46430" s="1" t="str">
        <f>"99675"</f>
        <v>99675</v>
      </c>
      <c r="C46430" s="2">
        <v>0</v>
      </c>
      <c r="D46430" s="2">
        <v>0</v>
      </c>
      <c r="E46430" s="2">
        <v>4.3010567696482999E-6</v>
      </c>
      <c r="F46430" s="2">
        <v>9.8681749974786797E-8</v>
      </c>
    </row>
    <row r="46431" spans="1:6" x14ac:dyDescent="0.25">
      <c r="A46431" s="1" t="str">
        <f t="shared" si="1529"/>
        <v>99999</v>
      </c>
      <c r="B46431" s="1" t="str">
        <f>"40803"</f>
        <v>40803</v>
      </c>
      <c r="C46431" s="2">
        <v>0</v>
      </c>
      <c r="D46431" s="2">
        <v>0</v>
      </c>
      <c r="E46431" s="2">
        <v>4.3010567696482999E-6</v>
      </c>
      <c r="F46431" s="2">
        <v>9.8681749974786797E-8</v>
      </c>
    </row>
    <row r="46432" spans="1:6" x14ac:dyDescent="0.25">
      <c r="A46432" s="1" t="str">
        <f t="shared" si="1529"/>
        <v>99999</v>
      </c>
      <c r="B46432" s="1" t="str">
        <f>"50831"</f>
        <v>50831</v>
      </c>
      <c r="C46432" s="2">
        <v>1.08260890558416E-7</v>
      </c>
      <c r="D46432" s="2">
        <v>0</v>
      </c>
      <c r="E46432" s="2">
        <v>4.3010567696482999E-6</v>
      </c>
      <c r="F46432" s="2">
        <v>1.9736349994957301E-7</v>
      </c>
    </row>
    <row r="46433" spans="1:6" x14ac:dyDescent="0.25">
      <c r="A46433" s="1" t="str">
        <f t="shared" si="1529"/>
        <v>99999</v>
      </c>
      <c r="B46433" s="1" t="str">
        <f>"61501"</f>
        <v>61501</v>
      </c>
      <c r="C46433" s="2">
        <v>2.1652178111683201E-7</v>
      </c>
      <c r="D46433" s="2">
        <v>0</v>
      </c>
      <c r="E46433" s="2">
        <v>0</v>
      </c>
      <c r="F46433" s="2">
        <v>1.9736349994957301E-7</v>
      </c>
    </row>
    <row r="46434" spans="1:6" x14ac:dyDescent="0.25">
      <c r="A46434" s="1" t="str">
        <f t="shared" si="1529"/>
        <v>99999</v>
      </c>
      <c r="B46434" s="1" t="str">
        <f>"99655"</f>
        <v>99655</v>
      </c>
      <c r="C46434" s="2">
        <v>0</v>
      </c>
      <c r="D46434" s="2">
        <v>0</v>
      </c>
      <c r="E46434" s="2">
        <v>4.3010567696482999E-6</v>
      </c>
      <c r="F46434" s="2">
        <v>9.8681749974786797E-8</v>
      </c>
    </row>
    <row r="46435" spans="1:6" x14ac:dyDescent="0.25">
      <c r="A46435" s="1" t="str">
        <f t="shared" si="1529"/>
        <v>99999</v>
      </c>
      <c r="B46435" s="1" t="str">
        <f>"13758"</f>
        <v>13758</v>
      </c>
      <c r="C46435" s="2">
        <v>0</v>
      </c>
      <c r="D46435" s="2">
        <v>0</v>
      </c>
      <c r="E46435" s="2">
        <v>4.3010567696482999E-6</v>
      </c>
      <c r="F46435" s="2">
        <v>9.8681749974786797E-8</v>
      </c>
    </row>
    <row r="46436" spans="1:6" x14ac:dyDescent="0.25">
      <c r="A46436" s="1" t="str">
        <f t="shared" si="1529"/>
        <v>99999</v>
      </c>
      <c r="B46436" s="1" t="str">
        <f>"25686"</f>
        <v>25686</v>
      </c>
      <c r="C46436" s="2">
        <v>0</v>
      </c>
      <c r="D46436" s="2">
        <v>1.50570889527644E-6</v>
      </c>
      <c r="E46436" s="2">
        <v>0</v>
      </c>
      <c r="F46436" s="2">
        <v>9.8681749974786797E-8</v>
      </c>
    </row>
    <row r="46437" spans="1:6" x14ac:dyDescent="0.25">
      <c r="A46437" s="1" t="str">
        <f t="shared" si="1529"/>
        <v>99999</v>
      </c>
      <c r="B46437" s="1" t="str">
        <f>"25692"</f>
        <v>25692</v>
      </c>
      <c r="C46437" s="2">
        <v>0</v>
      </c>
      <c r="D46437" s="2">
        <v>0</v>
      </c>
      <c r="E46437" s="2">
        <v>4.3010567696482999E-6</v>
      </c>
      <c r="F46437" s="2">
        <v>9.8681749974786797E-8</v>
      </c>
    </row>
    <row r="46438" spans="1:6" x14ac:dyDescent="0.25">
      <c r="A46438" s="1" t="str">
        <f t="shared" si="1529"/>
        <v>99999</v>
      </c>
      <c r="B46438" s="1" t="str">
        <f>"04009"</f>
        <v>04009</v>
      </c>
      <c r="C46438" s="2">
        <v>3.2478267167524802E-7</v>
      </c>
      <c r="D46438" s="2">
        <v>0</v>
      </c>
      <c r="E46438" s="2">
        <v>0</v>
      </c>
      <c r="F46438" s="2">
        <v>2.9604524992435999E-7</v>
      </c>
    </row>
    <row r="46439" spans="1:6" x14ac:dyDescent="0.25">
      <c r="A46439" s="1" t="str">
        <f t="shared" si="1529"/>
        <v>99999</v>
      </c>
      <c r="B46439" s="1" t="str">
        <f>"63874"</f>
        <v>63874</v>
      </c>
      <c r="C46439" s="2">
        <v>2.1652178111683201E-7</v>
      </c>
      <c r="D46439" s="2">
        <v>0</v>
      </c>
      <c r="E46439" s="2">
        <v>4.3010567696482999E-6</v>
      </c>
      <c r="F46439" s="2">
        <v>2.9604524992435999E-7</v>
      </c>
    </row>
    <row r="46440" spans="1:6" x14ac:dyDescent="0.25">
      <c r="A46440" s="1" t="str">
        <f t="shared" si="1529"/>
        <v>99999</v>
      </c>
      <c r="B46440" s="1" t="str">
        <f>"82831"</f>
        <v>82831</v>
      </c>
      <c r="C46440" s="2">
        <v>5.4130445279207995E-7</v>
      </c>
      <c r="D46440" s="2">
        <v>0</v>
      </c>
      <c r="E46440" s="2">
        <v>8.6021135392965999E-6</v>
      </c>
      <c r="F46440" s="2">
        <v>6.9077224982350697E-7</v>
      </c>
    </row>
    <row r="46441" spans="1:6" x14ac:dyDescent="0.25">
      <c r="A46441" s="1" t="str">
        <f t="shared" si="1529"/>
        <v>99999</v>
      </c>
      <c r="B46441" s="1" t="str">
        <f>"30424"</f>
        <v>30424</v>
      </c>
      <c r="C46441" s="2">
        <v>0</v>
      </c>
      <c r="D46441" s="2">
        <v>1.50570889527644E-6</v>
      </c>
      <c r="E46441" s="2">
        <v>0</v>
      </c>
      <c r="F46441" s="2">
        <v>9.8681749974786797E-8</v>
      </c>
    </row>
    <row r="46442" spans="1:6" x14ac:dyDescent="0.25">
      <c r="A46442" s="1" t="str">
        <f t="shared" si="1529"/>
        <v>99999</v>
      </c>
      <c r="B46442" s="1" t="str">
        <f>"18813"</f>
        <v>18813</v>
      </c>
      <c r="C46442" s="2">
        <v>0</v>
      </c>
      <c r="D46442" s="2">
        <v>1.50570889527644E-6</v>
      </c>
      <c r="E46442" s="2">
        <v>0</v>
      </c>
      <c r="F46442" s="2">
        <v>9.8681749974786797E-8</v>
      </c>
    </row>
    <row r="46443" spans="1:6" x14ac:dyDescent="0.25">
      <c r="A46443" s="1" t="str">
        <f t="shared" si="1529"/>
        <v>99999</v>
      </c>
      <c r="B46443" s="1" t="str">
        <f>"62259"</f>
        <v>62259</v>
      </c>
      <c r="C46443" s="2">
        <v>0</v>
      </c>
      <c r="D46443" s="2">
        <v>0</v>
      </c>
      <c r="E46443" s="2">
        <v>4.3010567696482999E-6</v>
      </c>
      <c r="F46443" s="2">
        <v>9.8681749974786797E-8</v>
      </c>
    </row>
    <row r="46444" spans="1:6" x14ac:dyDescent="0.25">
      <c r="A46444" s="1" t="str">
        <f t="shared" si="1529"/>
        <v>99999</v>
      </c>
      <c r="B46444" s="1" t="str">
        <f>"44690"</f>
        <v>44690</v>
      </c>
      <c r="C46444" s="2">
        <v>0</v>
      </c>
      <c r="D46444" s="2">
        <v>0</v>
      </c>
      <c r="E46444" s="2">
        <v>4.3010567696482999E-6</v>
      </c>
      <c r="F46444" s="2">
        <v>9.8681749974786797E-8</v>
      </c>
    </row>
    <row r="46445" spans="1:6" x14ac:dyDescent="0.25">
      <c r="A46445" s="1" t="str">
        <f t="shared" si="1529"/>
        <v>99999</v>
      </c>
      <c r="B46445" s="1" t="str">
        <f>"30664"</f>
        <v>30664</v>
      </c>
      <c r="C46445" s="2">
        <v>0</v>
      </c>
      <c r="D46445" s="2">
        <v>0</v>
      </c>
      <c r="E46445" s="2">
        <v>4.3010567696482999E-6</v>
      </c>
      <c r="F46445" s="2">
        <v>9.8681749974786797E-8</v>
      </c>
    </row>
    <row r="46446" spans="1:6" x14ac:dyDescent="0.25">
      <c r="A46446" s="1" t="str">
        <f t="shared" si="1529"/>
        <v>99999</v>
      </c>
      <c r="B46446" s="1" t="str">
        <f>"36087"</f>
        <v>36087</v>
      </c>
      <c r="C46446" s="2">
        <v>0</v>
      </c>
      <c r="D46446" s="2">
        <v>0</v>
      </c>
      <c r="E46446" s="2">
        <v>4.3010567696482999E-6</v>
      </c>
      <c r="F46446" s="2">
        <v>9.8681749974786797E-8</v>
      </c>
    </row>
    <row r="46447" spans="1:6" x14ac:dyDescent="0.25">
      <c r="A46447" s="1" t="str">
        <f t="shared" si="1529"/>
        <v>99999</v>
      </c>
      <c r="B46447" s="1" t="str">
        <f>"72431"</f>
        <v>72431</v>
      </c>
      <c r="C46447" s="2">
        <v>0</v>
      </c>
      <c r="D46447" s="2">
        <v>0</v>
      </c>
      <c r="E46447" s="2">
        <v>4.3010567696482999E-6</v>
      </c>
      <c r="F46447" s="2">
        <v>9.8681749974786797E-8</v>
      </c>
    </row>
    <row r="46448" spans="1:6" x14ac:dyDescent="0.25">
      <c r="A46448" s="1" t="str">
        <f t="shared" si="1529"/>
        <v>99999</v>
      </c>
      <c r="B46448" s="1" t="str">
        <f>"77615"</f>
        <v>77615</v>
      </c>
      <c r="C46448" s="2">
        <v>0</v>
      </c>
      <c r="D46448" s="2">
        <v>1.50570889527644E-6</v>
      </c>
      <c r="E46448" s="2">
        <v>0</v>
      </c>
      <c r="F46448" s="2">
        <v>9.8681749974786797E-8</v>
      </c>
    </row>
    <row r="46449" spans="1:6" x14ac:dyDescent="0.25">
      <c r="A46449" s="1" t="str">
        <f t="shared" si="1529"/>
        <v>99999</v>
      </c>
      <c r="B46449" s="1" t="str">
        <f>"45105"</f>
        <v>45105</v>
      </c>
      <c r="C46449" s="2">
        <v>0</v>
      </c>
      <c r="D46449" s="2">
        <v>0</v>
      </c>
      <c r="E46449" s="2">
        <v>4.3010567696482999E-6</v>
      </c>
      <c r="F46449" s="2">
        <v>9.8681749974786797E-8</v>
      </c>
    </row>
    <row r="46450" spans="1:6" x14ac:dyDescent="0.25">
      <c r="A46450" s="1" t="str">
        <f t="shared" si="1529"/>
        <v>99999</v>
      </c>
      <c r="B46450" s="1" t="str">
        <f>"95675"</f>
        <v>95675</v>
      </c>
      <c r="C46450" s="2">
        <v>0</v>
      </c>
      <c r="D46450" s="2">
        <v>0</v>
      </c>
      <c r="E46450" s="2">
        <v>4.3010567696482999E-6</v>
      </c>
      <c r="F46450" s="2">
        <v>9.8681749974786797E-8</v>
      </c>
    </row>
    <row r="46451" spans="1:6" x14ac:dyDescent="0.25">
      <c r="A46451" s="1" t="str">
        <f t="shared" si="1529"/>
        <v>99999</v>
      </c>
      <c r="B46451" s="1" t="str">
        <f>"99759"</f>
        <v>99759</v>
      </c>
      <c r="C46451" s="2">
        <v>0</v>
      </c>
      <c r="D46451" s="2">
        <v>0</v>
      </c>
      <c r="E46451" s="2">
        <v>4.3010567696482999E-6</v>
      </c>
      <c r="F46451" s="2">
        <v>9.8681749974786797E-8</v>
      </c>
    </row>
    <row r="46452" spans="1:6" x14ac:dyDescent="0.25">
      <c r="A46452" s="1" t="str">
        <f t="shared" si="1529"/>
        <v>99999</v>
      </c>
      <c r="B46452" s="1" t="str">
        <f>"27239"</f>
        <v>27239</v>
      </c>
      <c r="C46452" s="2">
        <v>2.1652178111683201E-7</v>
      </c>
      <c r="D46452" s="2">
        <v>0</v>
      </c>
      <c r="E46452" s="2">
        <v>0</v>
      </c>
      <c r="F46452" s="2">
        <v>1.9736349994957301E-7</v>
      </c>
    </row>
    <row r="46453" spans="1:6" x14ac:dyDescent="0.25">
      <c r="A46453" s="1" t="str">
        <f t="shared" si="1529"/>
        <v>99999</v>
      </c>
      <c r="B46453" s="1" t="str">
        <f>"22451"</f>
        <v>22451</v>
      </c>
      <c r="C46453" s="2">
        <v>0</v>
      </c>
      <c r="D46453" s="2">
        <v>0</v>
      </c>
      <c r="E46453" s="2">
        <v>4.3010567696482999E-6</v>
      </c>
      <c r="F46453" s="2">
        <v>9.8681749974786797E-8</v>
      </c>
    </row>
    <row r="46454" spans="1:6" x14ac:dyDescent="0.25">
      <c r="A46454" s="1" t="str">
        <f t="shared" si="1529"/>
        <v>99999</v>
      </c>
      <c r="B46454" s="1" t="str">
        <f>"30639"</f>
        <v>30639</v>
      </c>
      <c r="C46454" s="2">
        <v>0</v>
      </c>
      <c r="D46454" s="2">
        <v>0</v>
      </c>
      <c r="E46454" s="2">
        <v>4.3010567696482999E-6</v>
      </c>
      <c r="F46454" s="2">
        <v>9.8681749974786797E-8</v>
      </c>
    </row>
    <row r="46455" spans="1:6" x14ac:dyDescent="0.25">
      <c r="A46455" s="1" t="str">
        <f t="shared" si="1529"/>
        <v>99999</v>
      </c>
      <c r="B46455" s="1" t="str">
        <f>"39701"</f>
        <v>39701</v>
      </c>
      <c r="C46455" s="2">
        <v>2.1652178111683201E-7</v>
      </c>
      <c r="D46455" s="2">
        <v>0</v>
      </c>
      <c r="E46455" s="2">
        <v>0</v>
      </c>
      <c r="F46455" s="2">
        <v>1.9736349994957301E-7</v>
      </c>
    </row>
    <row r="46456" spans="1:6" x14ac:dyDescent="0.25">
      <c r="A46456" s="1" t="str">
        <f t="shared" si="1529"/>
        <v>99999</v>
      </c>
      <c r="B46456" s="1" t="str">
        <f>"40363"</f>
        <v>40363</v>
      </c>
      <c r="C46456" s="2">
        <v>0</v>
      </c>
      <c r="D46456" s="2">
        <v>0</v>
      </c>
      <c r="E46456" s="2">
        <v>4.3010567696482999E-6</v>
      </c>
      <c r="F46456" s="2">
        <v>9.8681749974786797E-8</v>
      </c>
    </row>
    <row r="46457" spans="1:6" x14ac:dyDescent="0.25">
      <c r="A46457" s="1" t="str">
        <f t="shared" si="1529"/>
        <v>99999</v>
      </c>
      <c r="B46457" s="1" t="str">
        <f>"22528"</f>
        <v>22528</v>
      </c>
      <c r="C46457" s="2">
        <v>0</v>
      </c>
      <c r="D46457" s="2">
        <v>0</v>
      </c>
      <c r="E46457" s="2">
        <v>4.3010567696482999E-6</v>
      </c>
      <c r="F46457" s="2">
        <v>9.8681749974786797E-8</v>
      </c>
    </row>
    <row r="46458" spans="1:6" x14ac:dyDescent="0.25">
      <c r="A46458" s="1" t="str">
        <f t="shared" si="1529"/>
        <v>99999</v>
      </c>
      <c r="B46458" s="1" t="str">
        <f>"95956"</f>
        <v>95956</v>
      </c>
      <c r="C46458" s="2">
        <v>0</v>
      </c>
      <c r="D46458" s="2">
        <v>0</v>
      </c>
      <c r="E46458" s="2">
        <v>4.3010567696482999E-6</v>
      </c>
      <c r="F46458" s="2">
        <v>9.8681749974786797E-8</v>
      </c>
    </row>
    <row r="46459" spans="1:6" x14ac:dyDescent="0.25">
      <c r="A46459" s="1" t="str">
        <f t="shared" si="1529"/>
        <v>99999</v>
      </c>
      <c r="B46459" s="1" t="str">
        <f>"23398"</f>
        <v>23398</v>
      </c>
      <c r="C46459" s="2">
        <v>0</v>
      </c>
      <c r="D46459" s="2">
        <v>1.50570889527644E-6</v>
      </c>
      <c r="E46459" s="2">
        <v>0</v>
      </c>
      <c r="F46459" s="2">
        <v>9.8681749974786797E-8</v>
      </c>
    </row>
    <row r="46460" spans="1:6" x14ac:dyDescent="0.25">
      <c r="A46460" s="1" t="str">
        <f t="shared" si="1529"/>
        <v>99999</v>
      </c>
      <c r="B46460" s="1" t="str">
        <f>"35616"</f>
        <v>35616</v>
      </c>
      <c r="C46460" s="2">
        <v>1.08260890558416E-7</v>
      </c>
      <c r="D46460" s="2">
        <v>0</v>
      </c>
      <c r="E46460" s="2">
        <v>0</v>
      </c>
      <c r="F46460" s="2">
        <v>9.8681749974786797E-8</v>
      </c>
    </row>
    <row r="46461" spans="1:6" x14ac:dyDescent="0.25">
      <c r="A46461" s="1" t="str">
        <f t="shared" si="1529"/>
        <v>99999</v>
      </c>
      <c r="B46461" s="1" t="str">
        <f>"45735"</f>
        <v>45735</v>
      </c>
      <c r="C46461" s="2">
        <v>1.08260890558416E-7</v>
      </c>
      <c r="D46461" s="2">
        <v>0</v>
      </c>
      <c r="E46461" s="2">
        <v>0</v>
      </c>
      <c r="F46461" s="2">
        <v>9.8681749974786797E-8</v>
      </c>
    </row>
    <row r="46462" spans="1:6" x14ac:dyDescent="0.25">
      <c r="A46462" s="1" t="str">
        <f t="shared" si="1529"/>
        <v>99999</v>
      </c>
      <c r="B46462" s="1" t="str">
        <f>"41175"</f>
        <v>41175</v>
      </c>
      <c r="C46462" s="2">
        <v>1.08260890558416E-7</v>
      </c>
      <c r="D46462" s="2">
        <v>0</v>
      </c>
      <c r="E46462" s="2">
        <v>0</v>
      </c>
      <c r="F46462" s="2">
        <v>9.8681749974786797E-8</v>
      </c>
    </row>
    <row r="46463" spans="1:6" x14ac:dyDescent="0.25">
      <c r="A46463" s="1" t="str">
        <f t="shared" si="1529"/>
        <v>99999</v>
      </c>
      <c r="B46463" s="1" t="str">
        <f>"26582"</f>
        <v>26582</v>
      </c>
      <c r="C46463" s="2">
        <v>2.1652178111683201E-7</v>
      </c>
      <c r="D46463" s="2">
        <v>0</v>
      </c>
      <c r="E46463" s="2">
        <v>0</v>
      </c>
      <c r="F46463" s="2">
        <v>1.9736349994957301E-7</v>
      </c>
    </row>
    <row r="46464" spans="1:6" x14ac:dyDescent="0.25">
      <c r="A46464" s="1" t="str">
        <f t="shared" si="1529"/>
        <v>99999</v>
      </c>
      <c r="B46464" s="1" t="str">
        <f>"72445"</f>
        <v>72445</v>
      </c>
      <c r="C46464" s="2">
        <v>0</v>
      </c>
      <c r="D46464" s="2">
        <v>0</v>
      </c>
      <c r="E46464" s="2">
        <v>4.3010567696482999E-6</v>
      </c>
      <c r="F46464" s="2">
        <v>9.8681749974786797E-8</v>
      </c>
    </row>
    <row r="46465" spans="1:6" x14ac:dyDescent="0.25">
      <c r="A46465" s="1" t="str">
        <f t="shared" si="1529"/>
        <v>99999</v>
      </c>
      <c r="B46465" s="1" t="str">
        <f>"71468"</f>
        <v>71468</v>
      </c>
      <c r="C46465" s="2">
        <v>2.1652178111683201E-7</v>
      </c>
      <c r="D46465" s="2">
        <v>0</v>
      </c>
      <c r="E46465" s="2">
        <v>0</v>
      </c>
      <c r="F46465" s="2">
        <v>1.9736349994957301E-7</v>
      </c>
    </row>
    <row r="46466" spans="1:6" x14ac:dyDescent="0.25">
      <c r="A46466" s="1" t="str">
        <f t="shared" si="1529"/>
        <v>99999</v>
      </c>
      <c r="B46466" s="1" t="str">
        <f>"15461"</f>
        <v>15461</v>
      </c>
      <c r="C46466" s="2">
        <v>0</v>
      </c>
      <c r="D46466" s="2">
        <v>1.50570889527644E-6</v>
      </c>
      <c r="E46466" s="2">
        <v>0</v>
      </c>
      <c r="F46466" s="2">
        <v>9.8681749974786797E-8</v>
      </c>
    </row>
    <row r="46467" spans="1:6" x14ac:dyDescent="0.25">
      <c r="A46467" s="1" t="str">
        <f t="shared" si="1529"/>
        <v>99999</v>
      </c>
      <c r="B46467" s="1" t="str">
        <f>"35577"</f>
        <v>35577</v>
      </c>
      <c r="C46467" s="2">
        <v>0</v>
      </c>
      <c r="D46467" s="2">
        <v>1.50570889527644E-6</v>
      </c>
      <c r="E46467" s="2">
        <v>0</v>
      </c>
      <c r="F46467" s="2">
        <v>9.8681749974786797E-8</v>
      </c>
    </row>
    <row r="46468" spans="1:6" x14ac:dyDescent="0.25">
      <c r="A46468" s="1" t="str">
        <f t="shared" si="1529"/>
        <v>99999</v>
      </c>
      <c r="B46468" s="1" t="str">
        <f>"38825"</f>
        <v>38825</v>
      </c>
      <c r="C46468" s="2">
        <v>0</v>
      </c>
      <c r="D46468" s="2">
        <v>1.50570889527644E-6</v>
      </c>
      <c r="E46468" s="2">
        <v>0</v>
      </c>
      <c r="F46468" s="2">
        <v>9.8681749974786797E-8</v>
      </c>
    </row>
    <row r="46469" spans="1:6" x14ac:dyDescent="0.25">
      <c r="A46469" s="1" t="str">
        <f t="shared" si="1529"/>
        <v>99999</v>
      </c>
      <c r="B46469" s="1" t="str">
        <f>"72613"</f>
        <v>72613</v>
      </c>
      <c r="C46469" s="2">
        <v>0</v>
      </c>
      <c r="D46469" s="2">
        <v>0</v>
      </c>
      <c r="E46469" s="2">
        <v>4.3010567696482999E-6</v>
      </c>
      <c r="F46469" s="2">
        <v>9.8681749974786797E-8</v>
      </c>
    </row>
    <row r="46470" spans="1:6" x14ac:dyDescent="0.25">
      <c r="A46470" s="1" t="str">
        <f t="shared" ref="A46470:A46533" si="1530">"99999"</f>
        <v>99999</v>
      </c>
      <c r="B46470" s="1" t="str">
        <f>"38365"</f>
        <v>38365</v>
      </c>
      <c r="C46470" s="2">
        <v>0</v>
      </c>
      <c r="D46470" s="2">
        <v>1.50570889527644E-6</v>
      </c>
      <c r="E46470" s="2">
        <v>0</v>
      </c>
      <c r="F46470" s="2">
        <v>9.8681749974786797E-8</v>
      </c>
    </row>
    <row r="46471" spans="1:6" x14ac:dyDescent="0.25">
      <c r="A46471" s="1" t="str">
        <f t="shared" si="1530"/>
        <v>99999</v>
      </c>
      <c r="B46471" s="1" t="str">
        <f>"98297"</f>
        <v>98297</v>
      </c>
      <c r="C46471" s="2">
        <v>1.08260890558416E-7</v>
      </c>
      <c r="D46471" s="2">
        <v>0</v>
      </c>
      <c r="E46471" s="2">
        <v>0</v>
      </c>
      <c r="F46471" s="2">
        <v>9.8681749974786797E-8</v>
      </c>
    </row>
    <row r="46472" spans="1:6" x14ac:dyDescent="0.25">
      <c r="A46472" s="1" t="str">
        <f t="shared" si="1530"/>
        <v>99999</v>
      </c>
      <c r="B46472" s="1" t="str">
        <f>"47112"</f>
        <v>47112</v>
      </c>
      <c r="C46472" s="2">
        <v>1.08260890558416E-7</v>
      </c>
      <c r="D46472" s="2">
        <v>0</v>
      </c>
      <c r="E46472" s="2">
        <v>0</v>
      </c>
      <c r="F46472" s="2">
        <v>9.8681749974786797E-8</v>
      </c>
    </row>
    <row r="46473" spans="1:6" x14ac:dyDescent="0.25">
      <c r="A46473" s="1" t="str">
        <f t="shared" si="1530"/>
        <v>99999</v>
      </c>
      <c r="B46473" s="1" t="str">
        <f>"99693"</f>
        <v>99693</v>
      </c>
      <c r="C46473" s="2">
        <v>0</v>
      </c>
      <c r="D46473" s="2">
        <v>0</v>
      </c>
      <c r="E46473" s="2">
        <v>4.3010567696482999E-6</v>
      </c>
      <c r="F46473" s="2">
        <v>9.8681749974786797E-8</v>
      </c>
    </row>
    <row r="46474" spans="1:6" x14ac:dyDescent="0.25">
      <c r="A46474" s="1" t="str">
        <f t="shared" si="1530"/>
        <v>99999</v>
      </c>
      <c r="B46474" s="1" t="str">
        <f>"72826"</f>
        <v>72826</v>
      </c>
      <c r="C46474" s="2">
        <v>0</v>
      </c>
      <c r="D46474" s="2">
        <v>0</v>
      </c>
      <c r="E46474" s="2">
        <v>4.3010567696482999E-6</v>
      </c>
      <c r="F46474" s="2">
        <v>9.8681749974786797E-8</v>
      </c>
    </row>
    <row r="46475" spans="1:6" x14ac:dyDescent="0.25">
      <c r="A46475" s="1" t="str">
        <f t="shared" si="1530"/>
        <v>99999</v>
      </c>
      <c r="B46475" s="1" t="str">
        <f>"76252"</f>
        <v>76252</v>
      </c>
      <c r="C46475" s="2">
        <v>2.1652178111683201E-7</v>
      </c>
      <c r="D46475" s="2">
        <v>0</v>
      </c>
      <c r="E46475" s="2">
        <v>0</v>
      </c>
      <c r="F46475" s="2">
        <v>1.9736349994957301E-7</v>
      </c>
    </row>
    <row r="46476" spans="1:6" x14ac:dyDescent="0.25">
      <c r="A46476" s="1" t="str">
        <f t="shared" si="1530"/>
        <v>99999</v>
      </c>
      <c r="B46476" s="1" t="str">
        <f>"77991"</f>
        <v>77991</v>
      </c>
      <c r="C46476" s="2">
        <v>1.08260890558416E-7</v>
      </c>
      <c r="D46476" s="2">
        <v>1.50570889527644E-6</v>
      </c>
      <c r="E46476" s="2">
        <v>0</v>
      </c>
      <c r="F46476" s="2">
        <v>1.9736349994957301E-7</v>
      </c>
    </row>
    <row r="46477" spans="1:6" x14ac:dyDescent="0.25">
      <c r="A46477" s="1" t="str">
        <f t="shared" si="1530"/>
        <v>99999</v>
      </c>
      <c r="B46477" s="1" t="str">
        <f>"99832"</f>
        <v>99832</v>
      </c>
      <c r="C46477" s="2">
        <v>0</v>
      </c>
      <c r="D46477" s="2">
        <v>0</v>
      </c>
      <c r="E46477" s="2">
        <v>4.3010567696482999E-6</v>
      </c>
      <c r="F46477" s="2">
        <v>9.8681749974786797E-8</v>
      </c>
    </row>
    <row r="46478" spans="1:6" x14ac:dyDescent="0.25">
      <c r="A46478" s="1" t="str">
        <f t="shared" si="1530"/>
        <v>99999</v>
      </c>
      <c r="B46478" s="1" t="str">
        <f>"04341"</f>
        <v>04341</v>
      </c>
      <c r="C46478" s="2">
        <v>0</v>
      </c>
      <c r="D46478" s="2">
        <v>0</v>
      </c>
      <c r="E46478" s="2">
        <v>4.3010567696482999E-6</v>
      </c>
      <c r="F46478" s="2">
        <v>9.8681749974786797E-8</v>
      </c>
    </row>
    <row r="46479" spans="1:6" x14ac:dyDescent="0.25">
      <c r="A46479" s="1" t="str">
        <f t="shared" si="1530"/>
        <v>99999</v>
      </c>
      <c r="B46479" s="1" t="str">
        <f>"99923"</f>
        <v>99923</v>
      </c>
      <c r="C46479" s="2">
        <v>0</v>
      </c>
      <c r="D46479" s="2">
        <v>0</v>
      </c>
      <c r="E46479" s="2">
        <v>4.3010567696482999E-6</v>
      </c>
      <c r="F46479" s="2">
        <v>9.8681749974786797E-8</v>
      </c>
    </row>
    <row r="46480" spans="1:6" x14ac:dyDescent="0.25">
      <c r="A46480" s="1" t="str">
        <f t="shared" si="1530"/>
        <v>99999</v>
      </c>
      <c r="B46480" s="1" t="str">
        <f>"03227"</f>
        <v>03227</v>
      </c>
      <c r="C46480" s="2">
        <v>5.2506531920831798E-5</v>
      </c>
      <c r="D46480" s="2">
        <v>7.5285444763821999E-6</v>
      </c>
      <c r="E46480" s="2">
        <v>2.15052838482415E-5</v>
      </c>
      <c r="F46480" s="2">
        <v>4.8847466237519399E-5</v>
      </c>
    </row>
    <row r="46481" spans="1:6" x14ac:dyDescent="0.25">
      <c r="A46481" s="1" t="str">
        <f t="shared" si="1530"/>
        <v>99999</v>
      </c>
      <c r="B46481" s="1" t="str">
        <f>"04068"</f>
        <v>04068</v>
      </c>
      <c r="C46481" s="2">
        <v>6.9503491738503095E-5</v>
      </c>
      <c r="D46481" s="2">
        <v>1.50570889527644E-5</v>
      </c>
      <c r="E46481" s="2">
        <v>3.8709510926834699E-5</v>
      </c>
      <c r="F46481" s="2">
        <v>6.5228636733334006E-5</v>
      </c>
    </row>
    <row r="46482" spans="1:6" x14ac:dyDescent="0.25">
      <c r="A46482" s="1" t="str">
        <f t="shared" si="1530"/>
        <v>99999</v>
      </c>
      <c r="B46482" s="1" t="str">
        <f>"04088"</f>
        <v>04088</v>
      </c>
      <c r="C46482" s="2">
        <v>8.1195667918812094E-5</v>
      </c>
      <c r="D46482" s="2">
        <v>3.01141779055288E-5</v>
      </c>
      <c r="E46482" s="2">
        <v>7.7419021853669399E-5</v>
      </c>
      <c r="F46482" s="2">
        <v>7.7761218980132004E-5</v>
      </c>
    </row>
    <row r="46483" spans="1:6" x14ac:dyDescent="0.25">
      <c r="A46483" s="1" t="str">
        <f t="shared" si="1530"/>
        <v>99999</v>
      </c>
      <c r="B46483" s="1" t="str">
        <f>"03872"</f>
        <v>03872</v>
      </c>
      <c r="C46483" s="2">
        <v>2.7660657537675301E-4</v>
      </c>
      <c r="D46483" s="2">
        <v>1.76167940747343E-4</v>
      </c>
      <c r="E46483" s="2">
        <v>1.5483804370733801E-4</v>
      </c>
      <c r="F46483" s="2">
        <v>2.6723017893172201E-4</v>
      </c>
    </row>
    <row r="46484" spans="1:6" x14ac:dyDescent="0.25">
      <c r="A46484" s="1" t="str">
        <f t="shared" si="1530"/>
        <v>99999</v>
      </c>
      <c r="B46484" s="1" t="str">
        <f>"03846"</f>
        <v>03846</v>
      </c>
      <c r="C46484" s="2">
        <v>2.0136525643865401E-5</v>
      </c>
      <c r="D46484" s="2">
        <v>4.5171266858293203E-6</v>
      </c>
      <c r="E46484" s="2">
        <v>1.29031703089449E-5</v>
      </c>
      <c r="F46484" s="2">
        <v>1.8946895995158999E-5</v>
      </c>
    </row>
    <row r="46485" spans="1:6" x14ac:dyDescent="0.25">
      <c r="A46485" s="1" t="str">
        <f t="shared" si="1530"/>
        <v>99999</v>
      </c>
      <c r="B46485" s="1" t="str">
        <f>"03849"</f>
        <v>03849</v>
      </c>
      <c r="C46485" s="2">
        <v>6.0409576931596203E-5</v>
      </c>
      <c r="D46485" s="2">
        <v>1.0539962266935E-5</v>
      </c>
      <c r="E46485" s="2">
        <v>4.3010567696482999E-6</v>
      </c>
      <c r="F46485" s="2">
        <v>5.5853870485729297E-5</v>
      </c>
    </row>
    <row r="46486" spans="1:6" x14ac:dyDescent="0.25">
      <c r="A46486" s="1" t="str">
        <f t="shared" si="1530"/>
        <v>99999</v>
      </c>
      <c r="B46486" s="1" t="str">
        <f>"04441"</f>
        <v>04441</v>
      </c>
      <c r="C46486" s="2">
        <v>1.0793610788674001E-4</v>
      </c>
      <c r="D46486" s="2">
        <v>4.5171266858293203E-6</v>
      </c>
      <c r="E46486" s="2">
        <v>6.4515851544724506E-5</v>
      </c>
      <c r="F46486" s="2">
        <v>1.00161976224408E-4</v>
      </c>
    </row>
    <row r="46487" spans="1:6" x14ac:dyDescent="0.25">
      <c r="A46487" s="1" t="str">
        <f t="shared" si="1530"/>
        <v>99999</v>
      </c>
      <c r="B46487" s="1" t="str">
        <f>"04426"</f>
        <v>04426</v>
      </c>
      <c r="C46487" s="2">
        <v>2.7985440209350498E-4</v>
      </c>
      <c r="D46487" s="2">
        <v>4.0955281951519099E-4</v>
      </c>
      <c r="E46487" s="2">
        <v>7.9139444561528703E-4</v>
      </c>
      <c r="F46487" s="2">
        <v>3.0009120167332599E-4</v>
      </c>
    </row>
    <row r="46488" spans="1:6" x14ac:dyDescent="0.25">
      <c r="A46488" s="1" t="str">
        <f t="shared" si="1530"/>
        <v>99999</v>
      </c>
      <c r="B46488" s="1" t="str">
        <f>"04220"</f>
        <v>04220</v>
      </c>
      <c r="C46488" s="2">
        <v>1.50699159657315E-4</v>
      </c>
      <c r="D46488" s="2">
        <v>3.4631304591358098E-5</v>
      </c>
      <c r="E46488" s="2">
        <v>3.8709510926834699E-5</v>
      </c>
      <c r="F46488" s="2">
        <v>1.40522811964096E-4</v>
      </c>
    </row>
    <row r="46489" spans="1:6" x14ac:dyDescent="0.25">
      <c r="A46489" s="1" t="str">
        <f t="shared" si="1530"/>
        <v>99999</v>
      </c>
      <c r="B46489" s="1" t="str">
        <f>"75558"</f>
        <v>75558</v>
      </c>
      <c r="C46489" s="2">
        <v>1.29913068670099E-6</v>
      </c>
      <c r="D46489" s="2">
        <v>0</v>
      </c>
      <c r="E46489" s="2">
        <v>0</v>
      </c>
      <c r="F46489" s="2">
        <v>1.18418099969744E-6</v>
      </c>
    </row>
    <row r="46490" spans="1:6" x14ac:dyDescent="0.25">
      <c r="A46490" s="1" t="str">
        <f t="shared" si="1530"/>
        <v>99999</v>
      </c>
      <c r="B46490" s="1" t="str">
        <f>"79740"</f>
        <v>79740</v>
      </c>
      <c r="C46490" s="2">
        <v>1.9486960300514902E-6</v>
      </c>
      <c r="D46490" s="2">
        <v>1.50570889527644E-6</v>
      </c>
      <c r="E46490" s="2">
        <v>4.3010567696482999E-6</v>
      </c>
      <c r="F46490" s="2">
        <v>1.9736349994957299E-6</v>
      </c>
    </row>
    <row r="46491" spans="1:6" x14ac:dyDescent="0.25">
      <c r="A46491" s="1" t="str">
        <f t="shared" si="1530"/>
        <v>99999</v>
      </c>
      <c r="B46491" s="1" t="str">
        <f>"49626"</f>
        <v>49626</v>
      </c>
      <c r="C46491" s="2">
        <v>1.62391335837624E-6</v>
      </c>
      <c r="D46491" s="2">
        <v>1.50570889527644E-6</v>
      </c>
      <c r="E46491" s="2">
        <v>0</v>
      </c>
      <c r="F46491" s="2">
        <v>1.5789079995965801E-6</v>
      </c>
    </row>
    <row r="46492" spans="1:6" x14ac:dyDescent="0.25">
      <c r="A46492" s="1" t="str">
        <f t="shared" si="1530"/>
        <v>99999</v>
      </c>
      <c r="B46492" s="1" t="str">
        <f>"56294"</f>
        <v>56294</v>
      </c>
      <c r="C46492" s="2">
        <v>1.08260890558416E-7</v>
      </c>
      <c r="D46492" s="2">
        <v>1.50570889527644E-6</v>
      </c>
      <c r="E46492" s="2">
        <v>0</v>
      </c>
      <c r="F46492" s="2">
        <v>1.9736349994957301E-7</v>
      </c>
    </row>
    <row r="46493" spans="1:6" x14ac:dyDescent="0.25">
      <c r="A46493" s="1" t="str">
        <f t="shared" si="1530"/>
        <v>99999</v>
      </c>
      <c r="B46493" s="1" t="str">
        <f>"87824"</f>
        <v>87824</v>
      </c>
      <c r="C46493" s="2">
        <v>0</v>
      </c>
      <c r="D46493" s="2">
        <v>0</v>
      </c>
      <c r="E46493" s="2">
        <v>4.3010567696482999E-6</v>
      </c>
      <c r="F46493" s="2">
        <v>9.8681749974786797E-8</v>
      </c>
    </row>
    <row r="46494" spans="1:6" x14ac:dyDescent="0.25">
      <c r="A46494" s="1" t="str">
        <f t="shared" si="1530"/>
        <v>99999</v>
      </c>
      <c r="B46494" s="1" t="str">
        <f>"47654"</f>
        <v>47654</v>
      </c>
      <c r="C46494" s="2">
        <v>0</v>
      </c>
      <c r="D46494" s="2">
        <v>0</v>
      </c>
      <c r="E46494" s="2">
        <v>4.3010567696482999E-6</v>
      </c>
      <c r="F46494" s="2">
        <v>9.8681749974786797E-8</v>
      </c>
    </row>
    <row r="46495" spans="1:6" x14ac:dyDescent="0.25">
      <c r="A46495" s="1" t="str">
        <f t="shared" si="1530"/>
        <v>99999</v>
      </c>
      <c r="B46495" s="1" t="str">
        <f>"50524"</f>
        <v>50524</v>
      </c>
      <c r="C46495" s="2">
        <v>7.5782623390891299E-7</v>
      </c>
      <c r="D46495" s="2">
        <v>0</v>
      </c>
      <c r="E46495" s="2">
        <v>0</v>
      </c>
      <c r="F46495" s="2">
        <v>6.9077224982350697E-7</v>
      </c>
    </row>
    <row r="46496" spans="1:6" x14ac:dyDescent="0.25">
      <c r="A46496" s="1" t="str">
        <f t="shared" si="1530"/>
        <v>99999</v>
      </c>
      <c r="B46496" s="1" t="str">
        <f>"87827"</f>
        <v>87827</v>
      </c>
      <c r="C46496" s="2">
        <v>2.1110873658891101E-5</v>
      </c>
      <c r="D46496" s="2">
        <v>7.5285444763821999E-6</v>
      </c>
      <c r="E46496" s="2">
        <v>4.3010567696482999E-6</v>
      </c>
      <c r="F46496" s="2">
        <v>1.9835031744932101E-5</v>
      </c>
    </row>
    <row r="46497" spans="1:6" x14ac:dyDescent="0.25">
      <c r="A46497" s="1" t="str">
        <f t="shared" si="1530"/>
        <v>99999</v>
      </c>
      <c r="B46497" s="1" t="str">
        <f>"77470"</f>
        <v>77470</v>
      </c>
      <c r="C46497" s="2">
        <v>0</v>
      </c>
      <c r="D46497" s="2">
        <v>1.50570889527644E-6</v>
      </c>
      <c r="E46497" s="2">
        <v>0</v>
      </c>
      <c r="F46497" s="2">
        <v>9.8681749974786797E-8</v>
      </c>
    </row>
    <row r="46498" spans="1:6" x14ac:dyDescent="0.25">
      <c r="A46498" s="1" t="str">
        <f t="shared" si="1530"/>
        <v>99999</v>
      </c>
      <c r="B46498" s="1" t="str">
        <f>"24627"</f>
        <v>24627</v>
      </c>
      <c r="C46498" s="2">
        <v>0</v>
      </c>
      <c r="D46498" s="2">
        <v>1.50570889527644E-6</v>
      </c>
      <c r="E46498" s="2">
        <v>0</v>
      </c>
      <c r="F46498" s="2">
        <v>9.8681749974786797E-8</v>
      </c>
    </row>
    <row r="46499" spans="1:6" x14ac:dyDescent="0.25">
      <c r="A46499" s="1" t="str">
        <f t="shared" si="1530"/>
        <v>99999</v>
      </c>
      <c r="B46499" s="1" t="str">
        <f>"86545"</f>
        <v>86545</v>
      </c>
      <c r="C46499" s="2">
        <v>0</v>
      </c>
      <c r="D46499" s="2">
        <v>0</v>
      </c>
      <c r="E46499" s="2">
        <v>4.3010567696482999E-6</v>
      </c>
      <c r="F46499" s="2">
        <v>9.8681749974786797E-8</v>
      </c>
    </row>
    <row r="46500" spans="1:6" x14ac:dyDescent="0.25">
      <c r="A46500" s="1" t="str">
        <f t="shared" si="1530"/>
        <v>99999</v>
      </c>
      <c r="B46500" s="1" t="str">
        <f>"95950"</f>
        <v>95950</v>
      </c>
      <c r="C46500" s="2">
        <v>0</v>
      </c>
      <c r="D46500" s="2">
        <v>0</v>
      </c>
      <c r="E46500" s="2">
        <v>4.3010567696482999E-6</v>
      </c>
      <c r="F46500" s="2">
        <v>9.8681749974786797E-8</v>
      </c>
    </row>
    <row r="46501" spans="1:6" x14ac:dyDescent="0.25">
      <c r="A46501" s="1" t="str">
        <f t="shared" si="1530"/>
        <v>99999</v>
      </c>
      <c r="B46501" s="1" t="str">
        <f>"50431"</f>
        <v>50431</v>
      </c>
      <c r="C46501" s="2">
        <v>0</v>
      </c>
      <c r="D46501" s="2">
        <v>0</v>
      </c>
      <c r="E46501" s="2">
        <v>4.3010567696482999E-6</v>
      </c>
      <c r="F46501" s="2">
        <v>9.8681749974786797E-8</v>
      </c>
    </row>
    <row r="46502" spans="1:6" x14ac:dyDescent="0.25">
      <c r="A46502" s="1" t="str">
        <f t="shared" si="1530"/>
        <v>99999</v>
      </c>
      <c r="B46502" s="1" t="str">
        <f>"52310"</f>
        <v>52310</v>
      </c>
      <c r="C46502" s="2">
        <v>1.1908697961425701E-6</v>
      </c>
      <c r="D46502" s="2">
        <v>0</v>
      </c>
      <c r="E46502" s="2">
        <v>0</v>
      </c>
      <c r="F46502" s="2">
        <v>1.0854992497226499E-6</v>
      </c>
    </row>
    <row r="46503" spans="1:6" x14ac:dyDescent="0.25">
      <c r="A46503" s="1" t="str">
        <f t="shared" si="1530"/>
        <v>99999</v>
      </c>
      <c r="B46503" s="1" t="str">
        <f>"66868"</f>
        <v>66868</v>
      </c>
      <c r="C46503" s="2">
        <v>2.1652178111683201E-7</v>
      </c>
      <c r="D46503" s="2">
        <v>0</v>
      </c>
      <c r="E46503" s="2">
        <v>0</v>
      </c>
      <c r="F46503" s="2">
        <v>1.9736349994957301E-7</v>
      </c>
    </row>
    <row r="46504" spans="1:6" x14ac:dyDescent="0.25">
      <c r="A46504" s="1" t="str">
        <f t="shared" si="1530"/>
        <v>99999</v>
      </c>
      <c r="B46504" s="1" t="str">
        <f>"99585"</f>
        <v>99585</v>
      </c>
      <c r="C46504" s="2">
        <v>0</v>
      </c>
      <c r="D46504" s="2">
        <v>0</v>
      </c>
      <c r="E46504" s="2">
        <v>4.3010567696482999E-6</v>
      </c>
      <c r="F46504" s="2">
        <v>9.8681749974786797E-8</v>
      </c>
    </row>
    <row r="46505" spans="1:6" x14ac:dyDescent="0.25">
      <c r="A46505" s="1" t="str">
        <f t="shared" si="1530"/>
        <v>99999</v>
      </c>
      <c r="B46505" s="1" t="str">
        <f>"42444"</f>
        <v>42444</v>
      </c>
      <c r="C46505" s="2">
        <v>0</v>
      </c>
      <c r="D46505" s="2">
        <v>0</v>
      </c>
      <c r="E46505" s="2">
        <v>4.3010567696482999E-6</v>
      </c>
      <c r="F46505" s="2">
        <v>9.8681749974786797E-8</v>
      </c>
    </row>
    <row r="46506" spans="1:6" x14ac:dyDescent="0.25">
      <c r="A46506" s="1" t="str">
        <f t="shared" si="1530"/>
        <v>99999</v>
      </c>
      <c r="B46506" s="1" t="str">
        <f>"86508"</f>
        <v>86508</v>
      </c>
      <c r="C46506" s="2">
        <v>0</v>
      </c>
      <c r="D46506" s="2">
        <v>3.01141779055288E-6</v>
      </c>
      <c r="E46506" s="2">
        <v>0</v>
      </c>
      <c r="F46506" s="2">
        <v>1.9736349994957301E-7</v>
      </c>
    </row>
    <row r="46507" spans="1:6" x14ac:dyDescent="0.25">
      <c r="A46507" s="1" t="str">
        <f t="shared" si="1530"/>
        <v>99999</v>
      </c>
      <c r="B46507" s="1" t="str">
        <f>"99840"</f>
        <v>99840</v>
      </c>
      <c r="C46507" s="2">
        <v>0</v>
      </c>
      <c r="D46507" s="2">
        <v>0</v>
      </c>
      <c r="E46507" s="2">
        <v>4.3010567696482999E-6</v>
      </c>
      <c r="F46507" s="2">
        <v>9.8681749974786797E-8</v>
      </c>
    </row>
    <row r="46508" spans="1:6" x14ac:dyDescent="0.25">
      <c r="A46508" s="1" t="str">
        <f t="shared" si="1530"/>
        <v>99999</v>
      </c>
      <c r="B46508" s="1" t="str">
        <f>"30423"</f>
        <v>30423</v>
      </c>
      <c r="C46508" s="2">
        <v>0</v>
      </c>
      <c r="D46508" s="2">
        <v>1.50570889527644E-6</v>
      </c>
      <c r="E46508" s="2">
        <v>0</v>
      </c>
      <c r="F46508" s="2">
        <v>9.8681749974786797E-8</v>
      </c>
    </row>
    <row r="46509" spans="1:6" x14ac:dyDescent="0.25">
      <c r="A46509" s="1" t="str">
        <f t="shared" si="1530"/>
        <v>99999</v>
      </c>
      <c r="B46509" s="1" t="str">
        <f>"86535"</f>
        <v>86535</v>
      </c>
      <c r="C46509" s="2">
        <v>0</v>
      </c>
      <c r="D46509" s="2">
        <v>1.50570889527644E-6</v>
      </c>
      <c r="E46509" s="2">
        <v>0</v>
      </c>
      <c r="F46509" s="2">
        <v>9.8681749974786797E-8</v>
      </c>
    </row>
    <row r="46510" spans="1:6" x14ac:dyDescent="0.25">
      <c r="A46510" s="1" t="str">
        <f t="shared" si="1530"/>
        <v>99999</v>
      </c>
      <c r="B46510" s="1" t="str">
        <f>"13814"</f>
        <v>13814</v>
      </c>
      <c r="C46510" s="2">
        <v>2.1652178111683198E-6</v>
      </c>
      <c r="D46510" s="2">
        <v>0</v>
      </c>
      <c r="E46510" s="2">
        <v>4.3010567696482999E-6</v>
      </c>
      <c r="F46510" s="2">
        <v>2.0723167494705202E-6</v>
      </c>
    </row>
    <row r="46511" spans="1:6" x14ac:dyDescent="0.25">
      <c r="A46511" s="1" t="str">
        <f t="shared" si="1530"/>
        <v>99999</v>
      </c>
      <c r="B46511" s="1" t="str">
        <f>"41426"</f>
        <v>41426</v>
      </c>
      <c r="C46511" s="2">
        <v>0</v>
      </c>
      <c r="D46511" s="2">
        <v>0</v>
      </c>
      <c r="E46511" s="2">
        <v>4.3010567696482999E-6</v>
      </c>
      <c r="F46511" s="2">
        <v>9.8681749974786797E-8</v>
      </c>
    </row>
    <row r="46512" spans="1:6" x14ac:dyDescent="0.25">
      <c r="A46512" s="1" t="str">
        <f t="shared" si="1530"/>
        <v>99999</v>
      </c>
      <c r="B46512" s="1" t="str">
        <f>"54861"</f>
        <v>54861</v>
      </c>
      <c r="C46512" s="2">
        <v>0</v>
      </c>
      <c r="D46512" s="2">
        <v>0</v>
      </c>
      <c r="E46512" s="2">
        <v>4.3010567696482999E-6</v>
      </c>
      <c r="F46512" s="2">
        <v>9.8681749974786797E-8</v>
      </c>
    </row>
    <row r="46513" spans="1:6" x14ac:dyDescent="0.25">
      <c r="A46513" s="1" t="str">
        <f t="shared" si="1530"/>
        <v>99999</v>
      </c>
      <c r="B46513" s="1" t="str">
        <f>"39115"</f>
        <v>39115</v>
      </c>
      <c r="C46513" s="2">
        <v>0</v>
      </c>
      <c r="D46513" s="2">
        <v>1.50570889527644E-6</v>
      </c>
      <c r="E46513" s="2">
        <v>0</v>
      </c>
      <c r="F46513" s="2">
        <v>9.8681749974786797E-8</v>
      </c>
    </row>
    <row r="46514" spans="1:6" x14ac:dyDescent="0.25">
      <c r="A46514" s="1" t="str">
        <f t="shared" si="1530"/>
        <v>99999</v>
      </c>
      <c r="B46514" s="1" t="str">
        <f>"79314"</f>
        <v>79314</v>
      </c>
      <c r="C46514" s="2">
        <v>1.08260890558416E-7</v>
      </c>
      <c r="D46514" s="2">
        <v>0</v>
      </c>
      <c r="E46514" s="2">
        <v>0</v>
      </c>
      <c r="F46514" s="2">
        <v>9.8681749974786797E-8</v>
      </c>
    </row>
    <row r="46515" spans="1:6" x14ac:dyDescent="0.25">
      <c r="A46515" s="1" t="str">
        <f t="shared" si="1530"/>
        <v>99999</v>
      </c>
      <c r="B46515" s="1" t="str">
        <f>"70585"</f>
        <v>70585</v>
      </c>
      <c r="C46515" s="2">
        <v>1.08260890558416E-7</v>
      </c>
      <c r="D46515" s="2">
        <v>1.50570889527644E-6</v>
      </c>
      <c r="E46515" s="2">
        <v>4.3010567696482999E-6</v>
      </c>
      <c r="F46515" s="2">
        <v>2.9604524992435999E-7</v>
      </c>
    </row>
    <row r="46516" spans="1:6" x14ac:dyDescent="0.25">
      <c r="A46516" s="1" t="str">
        <f t="shared" si="1530"/>
        <v>99999</v>
      </c>
      <c r="B46516" s="1" t="str">
        <f>"05657"</f>
        <v>05657</v>
      </c>
      <c r="C46516" s="2">
        <v>0</v>
      </c>
      <c r="D46516" s="2">
        <v>1.50570889527644E-6</v>
      </c>
      <c r="E46516" s="2">
        <v>0</v>
      </c>
      <c r="F46516" s="2">
        <v>9.8681749974786797E-8</v>
      </c>
    </row>
    <row r="46517" spans="1:6" x14ac:dyDescent="0.25">
      <c r="A46517" s="1" t="str">
        <f t="shared" si="1530"/>
        <v>99999</v>
      </c>
      <c r="B46517" s="1" t="str">
        <f>"62988"</f>
        <v>62988</v>
      </c>
      <c r="C46517" s="2">
        <v>1.08260890558416E-7</v>
      </c>
      <c r="D46517" s="2">
        <v>0</v>
      </c>
      <c r="E46517" s="2">
        <v>0</v>
      </c>
      <c r="F46517" s="2">
        <v>9.8681749974786797E-8</v>
      </c>
    </row>
    <row r="46518" spans="1:6" x14ac:dyDescent="0.25">
      <c r="A46518" s="1" t="str">
        <f t="shared" si="1530"/>
        <v>99999</v>
      </c>
      <c r="B46518" s="1" t="str">
        <f>"47021"</f>
        <v>47021</v>
      </c>
      <c r="C46518" s="2">
        <v>1.08260890558416E-7</v>
      </c>
      <c r="D46518" s="2">
        <v>0</v>
      </c>
      <c r="E46518" s="2">
        <v>4.3010567696482999E-6</v>
      </c>
      <c r="F46518" s="2">
        <v>1.9736349994957301E-7</v>
      </c>
    </row>
    <row r="46519" spans="1:6" x14ac:dyDescent="0.25">
      <c r="A46519" s="1" t="str">
        <f t="shared" si="1530"/>
        <v>99999</v>
      </c>
      <c r="B46519" s="1" t="str">
        <f>"56537"</f>
        <v>56537</v>
      </c>
      <c r="C46519" s="2">
        <v>2.1652178111683201E-7</v>
      </c>
      <c r="D46519" s="2">
        <v>0</v>
      </c>
      <c r="E46519" s="2">
        <v>0</v>
      </c>
      <c r="F46519" s="2">
        <v>1.9736349994957301E-7</v>
      </c>
    </row>
    <row r="46520" spans="1:6" x14ac:dyDescent="0.25">
      <c r="A46520" s="1" t="str">
        <f t="shared" si="1530"/>
        <v>99999</v>
      </c>
      <c r="B46520" s="1" t="str">
        <f>"50543"</f>
        <v>50543</v>
      </c>
      <c r="C46520" s="2">
        <v>1.08260890558416E-7</v>
      </c>
      <c r="D46520" s="2">
        <v>0</v>
      </c>
      <c r="E46520" s="2">
        <v>0</v>
      </c>
      <c r="F46520" s="2">
        <v>9.8681749974786797E-8</v>
      </c>
    </row>
    <row r="46521" spans="1:6" x14ac:dyDescent="0.25">
      <c r="A46521" s="1" t="str">
        <f t="shared" si="1530"/>
        <v>99999</v>
      </c>
      <c r="B46521" s="1" t="str">
        <f>"59004"</f>
        <v>59004</v>
      </c>
      <c r="C46521" s="2">
        <v>0</v>
      </c>
      <c r="D46521" s="2">
        <v>3.01141779055288E-6</v>
      </c>
      <c r="E46521" s="2">
        <v>0</v>
      </c>
      <c r="F46521" s="2">
        <v>1.9736349994957301E-7</v>
      </c>
    </row>
    <row r="46522" spans="1:6" x14ac:dyDescent="0.25">
      <c r="A46522" s="1" t="str">
        <f t="shared" si="1530"/>
        <v>99999</v>
      </c>
      <c r="B46522" s="1" t="str">
        <f>"73555"</f>
        <v>73555</v>
      </c>
      <c r="C46522" s="2">
        <v>0</v>
      </c>
      <c r="D46522" s="2">
        <v>0</v>
      </c>
      <c r="E46522" s="2">
        <v>4.3010567696482999E-6</v>
      </c>
      <c r="F46522" s="2">
        <v>9.8681749974786797E-8</v>
      </c>
    </row>
    <row r="46523" spans="1:6" x14ac:dyDescent="0.25">
      <c r="A46523" s="1" t="str">
        <f t="shared" si="1530"/>
        <v>99999</v>
      </c>
      <c r="B46523" s="1" t="str">
        <f>"99755"</f>
        <v>99755</v>
      </c>
      <c r="C46523" s="2">
        <v>0</v>
      </c>
      <c r="D46523" s="2">
        <v>0</v>
      </c>
      <c r="E46523" s="2">
        <v>4.3010567696482999E-6</v>
      </c>
      <c r="F46523" s="2">
        <v>9.8681749974786797E-8</v>
      </c>
    </row>
    <row r="46524" spans="1:6" x14ac:dyDescent="0.25">
      <c r="A46524" s="1" t="str">
        <f t="shared" si="1530"/>
        <v>99999</v>
      </c>
      <c r="B46524" s="1" t="str">
        <f>"15963"</f>
        <v>15963</v>
      </c>
      <c r="C46524" s="2">
        <v>2.1652178111683201E-7</v>
      </c>
      <c r="D46524" s="2">
        <v>0</v>
      </c>
      <c r="E46524" s="2">
        <v>0</v>
      </c>
      <c r="F46524" s="2">
        <v>1.9736349994957301E-7</v>
      </c>
    </row>
    <row r="46525" spans="1:6" x14ac:dyDescent="0.25">
      <c r="A46525" s="1" t="str">
        <f t="shared" si="1530"/>
        <v>99999</v>
      </c>
      <c r="B46525" s="1" t="str">
        <f>"75416"</f>
        <v>75416</v>
      </c>
      <c r="C46525" s="2">
        <v>2.1652178111683201E-7</v>
      </c>
      <c r="D46525" s="2">
        <v>0</v>
      </c>
      <c r="E46525" s="2">
        <v>0</v>
      </c>
      <c r="F46525" s="2">
        <v>1.9736349994957301E-7</v>
      </c>
    </row>
    <row r="46526" spans="1:6" x14ac:dyDescent="0.25">
      <c r="A46526" s="1" t="str">
        <f t="shared" si="1530"/>
        <v>99999</v>
      </c>
      <c r="B46526" s="1" t="str">
        <f>"27861"</f>
        <v>27861</v>
      </c>
      <c r="C46526" s="2">
        <v>0</v>
      </c>
      <c r="D46526" s="2">
        <v>0</v>
      </c>
      <c r="E46526" s="2">
        <v>4.3010567696482999E-6</v>
      </c>
      <c r="F46526" s="2">
        <v>9.8681749974786797E-8</v>
      </c>
    </row>
    <row r="46527" spans="1:6" x14ac:dyDescent="0.25">
      <c r="A46527" s="1" t="str">
        <f t="shared" si="1530"/>
        <v>99999</v>
      </c>
      <c r="B46527" s="1" t="str">
        <f>"61484"</f>
        <v>61484</v>
      </c>
      <c r="C46527" s="2">
        <v>7.5782623390891299E-7</v>
      </c>
      <c r="D46527" s="2">
        <v>0</v>
      </c>
      <c r="E46527" s="2">
        <v>0</v>
      </c>
      <c r="F46527" s="2">
        <v>6.9077224982350697E-7</v>
      </c>
    </row>
    <row r="46528" spans="1:6" x14ac:dyDescent="0.25">
      <c r="A46528" s="1" t="str">
        <f t="shared" si="1530"/>
        <v>99999</v>
      </c>
      <c r="B46528" s="1" t="str">
        <f>"95325"</f>
        <v>95325</v>
      </c>
      <c r="C46528" s="2">
        <v>2.1652178111683201E-7</v>
      </c>
      <c r="D46528" s="2">
        <v>0</v>
      </c>
      <c r="E46528" s="2">
        <v>4.3010567696482999E-6</v>
      </c>
      <c r="F46528" s="2">
        <v>2.9604524992435999E-7</v>
      </c>
    </row>
    <row r="46529" spans="1:6" x14ac:dyDescent="0.25">
      <c r="A46529" s="1" t="str">
        <f t="shared" si="1530"/>
        <v>99999</v>
      </c>
      <c r="B46529" s="1" t="str">
        <f>"23443"</f>
        <v>23443</v>
      </c>
      <c r="C46529" s="2">
        <v>0</v>
      </c>
      <c r="D46529" s="2">
        <v>1.50570889527644E-6</v>
      </c>
      <c r="E46529" s="2">
        <v>0</v>
      </c>
      <c r="F46529" s="2">
        <v>9.8681749974786797E-8</v>
      </c>
    </row>
    <row r="46530" spans="1:6" x14ac:dyDescent="0.25">
      <c r="A46530" s="1" t="str">
        <f t="shared" si="1530"/>
        <v>99999</v>
      </c>
      <c r="B46530" s="1" t="str">
        <f>"25685"</f>
        <v>25685</v>
      </c>
      <c r="C46530" s="2">
        <v>0</v>
      </c>
      <c r="D46530" s="2">
        <v>1.50570889527644E-6</v>
      </c>
      <c r="E46530" s="2">
        <v>0</v>
      </c>
      <c r="F46530" s="2">
        <v>9.8681749974786797E-8</v>
      </c>
    </row>
    <row r="46531" spans="1:6" x14ac:dyDescent="0.25">
      <c r="A46531" s="1" t="str">
        <f t="shared" si="1530"/>
        <v>99999</v>
      </c>
      <c r="B46531" s="1" t="str">
        <f>"61863"</f>
        <v>61863</v>
      </c>
      <c r="C46531" s="2">
        <v>4.3304356223366401E-7</v>
      </c>
      <c r="D46531" s="2">
        <v>0</v>
      </c>
      <c r="E46531" s="2">
        <v>0</v>
      </c>
      <c r="F46531" s="2">
        <v>3.9472699989914697E-7</v>
      </c>
    </row>
    <row r="46532" spans="1:6" x14ac:dyDescent="0.25">
      <c r="A46532" s="1" t="str">
        <f t="shared" si="1530"/>
        <v>99999</v>
      </c>
      <c r="B46532" s="1" t="str">
        <f>"71922"</f>
        <v>71922</v>
      </c>
      <c r="C46532" s="2">
        <v>1.08260890558416E-7</v>
      </c>
      <c r="D46532" s="2">
        <v>0</v>
      </c>
      <c r="E46532" s="2">
        <v>8.6021135392965999E-6</v>
      </c>
      <c r="F46532" s="2">
        <v>2.9604524992435999E-7</v>
      </c>
    </row>
    <row r="46533" spans="1:6" x14ac:dyDescent="0.25">
      <c r="A46533" s="1" t="str">
        <f t="shared" si="1530"/>
        <v>99999</v>
      </c>
      <c r="B46533" s="1" t="str">
        <f>"99624"</f>
        <v>99624</v>
      </c>
      <c r="C46533" s="2">
        <v>0</v>
      </c>
      <c r="D46533" s="2">
        <v>0</v>
      </c>
      <c r="E46533" s="2">
        <v>4.3010567696482999E-6</v>
      </c>
      <c r="F46533" s="2">
        <v>9.8681749974786797E-8</v>
      </c>
    </row>
    <row r="46534" spans="1:6" x14ac:dyDescent="0.25">
      <c r="A46534" s="1" t="str">
        <f t="shared" ref="A46534:A46597" si="1531">"99999"</f>
        <v>99999</v>
      </c>
      <c r="B46534" s="1" t="str">
        <f>"56436"</f>
        <v>56436</v>
      </c>
      <c r="C46534" s="2">
        <v>0</v>
      </c>
      <c r="D46534" s="2">
        <v>0</v>
      </c>
      <c r="E46534" s="2">
        <v>4.3010567696482999E-6</v>
      </c>
      <c r="F46534" s="2">
        <v>9.8681749974786797E-8</v>
      </c>
    </row>
    <row r="46535" spans="1:6" x14ac:dyDescent="0.25">
      <c r="A46535" s="1" t="str">
        <f t="shared" si="1531"/>
        <v>99999</v>
      </c>
      <c r="B46535" s="1" t="str">
        <f>"61270"</f>
        <v>61270</v>
      </c>
      <c r="C46535" s="2">
        <v>2.1652178111683201E-7</v>
      </c>
      <c r="D46535" s="2">
        <v>0</v>
      </c>
      <c r="E46535" s="2">
        <v>0</v>
      </c>
      <c r="F46535" s="2">
        <v>1.9736349994957301E-7</v>
      </c>
    </row>
    <row r="46536" spans="1:6" x14ac:dyDescent="0.25">
      <c r="A46536" s="1" t="str">
        <f t="shared" si="1531"/>
        <v>99999</v>
      </c>
      <c r="B46536" s="1" t="str">
        <f>"52075"</f>
        <v>52075</v>
      </c>
      <c r="C46536" s="2">
        <v>0</v>
      </c>
      <c r="D46536" s="2">
        <v>0</v>
      </c>
      <c r="E46536" s="2">
        <v>4.3010567696482999E-6</v>
      </c>
      <c r="F46536" s="2">
        <v>9.8681749974786797E-8</v>
      </c>
    </row>
    <row r="46537" spans="1:6" x14ac:dyDescent="0.25">
      <c r="A46537" s="1" t="str">
        <f t="shared" si="1531"/>
        <v>99999</v>
      </c>
      <c r="B46537" s="1" t="str">
        <f>"99772"</f>
        <v>99772</v>
      </c>
      <c r="C46537" s="2">
        <v>0</v>
      </c>
      <c r="D46537" s="2">
        <v>0</v>
      </c>
      <c r="E46537" s="2">
        <v>4.3010567696482999E-6</v>
      </c>
      <c r="F46537" s="2">
        <v>9.8681749974786797E-8</v>
      </c>
    </row>
    <row r="46538" spans="1:6" x14ac:dyDescent="0.25">
      <c r="A46538" s="1" t="str">
        <f t="shared" si="1531"/>
        <v>99999</v>
      </c>
      <c r="B46538" s="1" t="str">
        <f>"04777"</f>
        <v>04777</v>
      </c>
      <c r="C46538" s="2">
        <v>1.08260890558416E-7</v>
      </c>
      <c r="D46538" s="2">
        <v>0</v>
      </c>
      <c r="E46538" s="2">
        <v>0</v>
      </c>
      <c r="F46538" s="2">
        <v>9.8681749974786797E-8</v>
      </c>
    </row>
    <row r="46539" spans="1:6" x14ac:dyDescent="0.25">
      <c r="A46539" s="1" t="str">
        <f t="shared" si="1531"/>
        <v>99999</v>
      </c>
      <c r="B46539" s="1" t="str">
        <f>"72838"</f>
        <v>72838</v>
      </c>
      <c r="C46539" s="2">
        <v>2.1652178111683201E-7</v>
      </c>
      <c r="D46539" s="2">
        <v>0</v>
      </c>
      <c r="E46539" s="2">
        <v>0</v>
      </c>
      <c r="F46539" s="2">
        <v>1.9736349994957301E-7</v>
      </c>
    </row>
    <row r="46540" spans="1:6" x14ac:dyDescent="0.25">
      <c r="A46540" s="1" t="str">
        <f t="shared" si="1531"/>
        <v>99999</v>
      </c>
      <c r="B46540" s="1" t="str">
        <f>"61252"</f>
        <v>61252</v>
      </c>
      <c r="C46540" s="2">
        <v>3.2478267167524802E-7</v>
      </c>
      <c r="D46540" s="2">
        <v>0</v>
      </c>
      <c r="E46540" s="2">
        <v>0</v>
      </c>
      <c r="F46540" s="2">
        <v>2.9604524992435999E-7</v>
      </c>
    </row>
    <row r="46541" spans="1:6" x14ac:dyDescent="0.25">
      <c r="A46541" s="1" t="str">
        <f t="shared" si="1531"/>
        <v>99999</v>
      </c>
      <c r="B46541" s="1" t="str">
        <f>"84752"</f>
        <v>84752</v>
      </c>
      <c r="C46541" s="2">
        <v>0</v>
      </c>
      <c r="D46541" s="2">
        <v>0</v>
      </c>
      <c r="E46541" s="2">
        <v>4.3010567696482999E-6</v>
      </c>
      <c r="F46541" s="2">
        <v>9.8681749974786797E-8</v>
      </c>
    </row>
    <row r="46542" spans="1:6" x14ac:dyDescent="0.25">
      <c r="A46542" s="1" t="str">
        <f t="shared" si="1531"/>
        <v>99999</v>
      </c>
      <c r="B46542" s="1" t="str">
        <f>"32055"</f>
        <v>32055</v>
      </c>
      <c r="C46542" s="2">
        <v>1.08260890558416E-7</v>
      </c>
      <c r="D46542" s="2">
        <v>0</v>
      </c>
      <c r="E46542" s="2">
        <v>0</v>
      </c>
      <c r="F46542" s="2">
        <v>9.8681749974786797E-8</v>
      </c>
    </row>
    <row r="46543" spans="1:6" x14ac:dyDescent="0.25">
      <c r="A46543" s="1" t="str">
        <f t="shared" si="1531"/>
        <v>99999</v>
      </c>
      <c r="B46543" s="1" t="str">
        <f>"29826"</f>
        <v>29826</v>
      </c>
      <c r="C46543" s="2">
        <v>0</v>
      </c>
      <c r="D46543" s="2">
        <v>1.50570889527644E-6</v>
      </c>
      <c r="E46543" s="2">
        <v>0</v>
      </c>
      <c r="F46543" s="2">
        <v>9.8681749974786797E-8</v>
      </c>
    </row>
    <row r="46544" spans="1:6" x14ac:dyDescent="0.25">
      <c r="A46544" s="1" t="str">
        <f t="shared" si="1531"/>
        <v>99999</v>
      </c>
      <c r="B46544" s="1" t="str">
        <f>"54025"</f>
        <v>54025</v>
      </c>
      <c r="C46544" s="2">
        <v>5.4130445279207995E-7</v>
      </c>
      <c r="D46544" s="2">
        <v>0</v>
      </c>
      <c r="E46544" s="2">
        <v>0</v>
      </c>
      <c r="F46544" s="2">
        <v>4.9340874987393396E-7</v>
      </c>
    </row>
    <row r="46545" spans="1:6" x14ac:dyDescent="0.25">
      <c r="A46545" s="1" t="str">
        <f t="shared" si="1531"/>
        <v>99999</v>
      </c>
      <c r="B46545" s="1" t="str">
        <f>"63878"</f>
        <v>63878</v>
      </c>
      <c r="C46545" s="2">
        <v>1.08260890558416E-7</v>
      </c>
      <c r="D46545" s="2">
        <v>0</v>
      </c>
      <c r="E46545" s="2">
        <v>4.3010567696482999E-6</v>
      </c>
      <c r="F46545" s="2">
        <v>1.9736349994957301E-7</v>
      </c>
    </row>
    <row r="46546" spans="1:6" x14ac:dyDescent="0.25">
      <c r="A46546" s="1" t="str">
        <f t="shared" si="1531"/>
        <v>99999</v>
      </c>
      <c r="B46546" s="1" t="str">
        <f>"38765"</f>
        <v>38765</v>
      </c>
      <c r="C46546" s="2">
        <v>2.1652178111683201E-7</v>
      </c>
      <c r="D46546" s="2">
        <v>1.50570889527644E-6</v>
      </c>
      <c r="E46546" s="2">
        <v>0</v>
      </c>
      <c r="F46546" s="2">
        <v>2.9604524992435999E-7</v>
      </c>
    </row>
    <row r="46547" spans="1:6" x14ac:dyDescent="0.25">
      <c r="A46547" s="1" t="str">
        <f t="shared" si="1531"/>
        <v>99999</v>
      </c>
      <c r="B46547" s="1" t="str">
        <f>"37314"</f>
        <v>37314</v>
      </c>
      <c r="C46547" s="2">
        <v>0</v>
      </c>
      <c r="D46547" s="2">
        <v>1.50570889527644E-6</v>
      </c>
      <c r="E46547" s="2">
        <v>0</v>
      </c>
      <c r="F46547" s="2">
        <v>9.8681749974786797E-8</v>
      </c>
    </row>
    <row r="46548" spans="1:6" x14ac:dyDescent="0.25">
      <c r="A46548" s="1" t="str">
        <f t="shared" si="1531"/>
        <v>99999</v>
      </c>
      <c r="B46548" s="1" t="str">
        <f>"58335"</f>
        <v>58335</v>
      </c>
      <c r="C46548" s="2">
        <v>1.08260890558416E-7</v>
      </c>
      <c r="D46548" s="2">
        <v>0</v>
      </c>
      <c r="E46548" s="2">
        <v>4.3010567696482999E-6</v>
      </c>
      <c r="F46548" s="2">
        <v>1.9736349994957301E-7</v>
      </c>
    </row>
    <row r="46549" spans="1:6" x14ac:dyDescent="0.25">
      <c r="A46549" s="1" t="str">
        <f t="shared" si="1531"/>
        <v>99999</v>
      </c>
      <c r="B46549" s="1" t="str">
        <f>"79236"</f>
        <v>79236</v>
      </c>
      <c r="C46549" s="2">
        <v>0</v>
      </c>
      <c r="D46549" s="2">
        <v>0</v>
      </c>
      <c r="E46549" s="2">
        <v>4.3010567696482999E-6</v>
      </c>
      <c r="F46549" s="2">
        <v>9.8681749974786797E-8</v>
      </c>
    </row>
    <row r="46550" spans="1:6" x14ac:dyDescent="0.25">
      <c r="A46550" s="1" t="str">
        <f t="shared" si="1531"/>
        <v>99999</v>
      </c>
      <c r="B46550" s="1" t="str">
        <f>"99736"</f>
        <v>99736</v>
      </c>
      <c r="C46550" s="2">
        <v>0</v>
      </c>
      <c r="D46550" s="2">
        <v>0</v>
      </c>
      <c r="E46550" s="2">
        <v>4.3010567696482999E-6</v>
      </c>
      <c r="F46550" s="2">
        <v>9.8681749974786797E-8</v>
      </c>
    </row>
    <row r="46551" spans="1:6" x14ac:dyDescent="0.25">
      <c r="A46551" s="1" t="str">
        <f t="shared" si="1531"/>
        <v>99999</v>
      </c>
      <c r="B46551" s="1" t="str">
        <f>"56359"</f>
        <v>56359</v>
      </c>
      <c r="C46551" s="2">
        <v>2.1652178111683201E-7</v>
      </c>
      <c r="D46551" s="2">
        <v>0</v>
      </c>
      <c r="E46551" s="2">
        <v>0</v>
      </c>
      <c r="F46551" s="2">
        <v>1.9736349994957301E-7</v>
      </c>
    </row>
    <row r="46552" spans="1:6" x14ac:dyDescent="0.25">
      <c r="A46552" s="1" t="str">
        <f t="shared" si="1531"/>
        <v>99999</v>
      </c>
      <c r="B46552" s="1" t="str">
        <f>"57471"</f>
        <v>57471</v>
      </c>
      <c r="C46552" s="2">
        <v>1.08260890558416E-7</v>
      </c>
      <c r="D46552" s="2">
        <v>0</v>
      </c>
      <c r="E46552" s="2">
        <v>0</v>
      </c>
      <c r="F46552" s="2">
        <v>9.8681749974786797E-8</v>
      </c>
    </row>
    <row r="46553" spans="1:6" x14ac:dyDescent="0.25">
      <c r="A46553" s="1" t="str">
        <f t="shared" si="1531"/>
        <v>99999</v>
      </c>
      <c r="B46553" s="1" t="str">
        <f>"56039"</f>
        <v>56039</v>
      </c>
      <c r="C46553" s="2">
        <v>3.7891311695445602E-6</v>
      </c>
      <c r="D46553" s="2">
        <v>1.50570889527644E-6</v>
      </c>
      <c r="E46553" s="2">
        <v>0</v>
      </c>
      <c r="F46553" s="2">
        <v>3.5525429990923199E-6</v>
      </c>
    </row>
    <row r="46554" spans="1:6" x14ac:dyDescent="0.25">
      <c r="A46554" s="1" t="str">
        <f t="shared" si="1531"/>
        <v>99999</v>
      </c>
      <c r="B46554" s="1" t="str">
        <f>"97883"</f>
        <v>97883</v>
      </c>
      <c r="C46554" s="2">
        <v>1.51565246781782E-6</v>
      </c>
      <c r="D46554" s="2">
        <v>0</v>
      </c>
      <c r="E46554" s="2">
        <v>0</v>
      </c>
      <c r="F46554" s="2">
        <v>1.3815444996470099E-6</v>
      </c>
    </row>
    <row r="46555" spans="1:6" x14ac:dyDescent="0.25">
      <c r="A46555" s="1" t="str">
        <f t="shared" si="1531"/>
        <v>99999</v>
      </c>
      <c r="B46555" s="1" t="str">
        <f>"99626"</f>
        <v>99626</v>
      </c>
      <c r="C46555" s="2">
        <v>0</v>
      </c>
      <c r="D46555" s="2">
        <v>0</v>
      </c>
      <c r="E46555" s="2">
        <v>4.3010567696482999E-6</v>
      </c>
      <c r="F46555" s="2">
        <v>9.8681749974786797E-8</v>
      </c>
    </row>
    <row r="46556" spans="1:6" x14ac:dyDescent="0.25">
      <c r="A46556" s="1" t="str">
        <f t="shared" si="1531"/>
        <v>99999</v>
      </c>
      <c r="B46556" s="1" t="str">
        <f>"99632"</f>
        <v>99632</v>
      </c>
      <c r="C46556" s="2">
        <v>0</v>
      </c>
      <c r="D46556" s="2">
        <v>0</v>
      </c>
      <c r="E46556" s="2">
        <v>4.3010567696482999E-6</v>
      </c>
      <c r="F46556" s="2">
        <v>9.8681749974786797E-8</v>
      </c>
    </row>
    <row r="46557" spans="1:6" x14ac:dyDescent="0.25">
      <c r="A46557" s="1" t="str">
        <f t="shared" si="1531"/>
        <v>99999</v>
      </c>
      <c r="B46557" s="1" t="str">
        <f>"23441"</f>
        <v>23441</v>
      </c>
      <c r="C46557" s="2">
        <v>0</v>
      </c>
      <c r="D46557" s="2">
        <v>1.50570889527644E-6</v>
      </c>
      <c r="E46557" s="2">
        <v>0</v>
      </c>
      <c r="F46557" s="2">
        <v>9.8681749974786797E-8</v>
      </c>
    </row>
    <row r="46558" spans="1:6" x14ac:dyDescent="0.25">
      <c r="A46558" s="1" t="str">
        <f t="shared" si="1531"/>
        <v>99999</v>
      </c>
      <c r="B46558" s="1" t="str">
        <f>"42207"</f>
        <v>42207</v>
      </c>
      <c r="C46558" s="2">
        <v>4.3304356223366401E-7</v>
      </c>
      <c r="D46558" s="2">
        <v>0</v>
      </c>
      <c r="E46558" s="2">
        <v>0</v>
      </c>
      <c r="F46558" s="2">
        <v>3.9472699989914697E-7</v>
      </c>
    </row>
    <row r="46559" spans="1:6" x14ac:dyDescent="0.25">
      <c r="A46559" s="1" t="str">
        <f t="shared" si="1531"/>
        <v>99999</v>
      </c>
      <c r="B46559" s="1" t="str">
        <f>"59341"</f>
        <v>59341</v>
      </c>
      <c r="C46559" s="2">
        <v>6.49565343350497E-7</v>
      </c>
      <c r="D46559" s="2">
        <v>0</v>
      </c>
      <c r="E46559" s="2">
        <v>4.3010567696482999E-6</v>
      </c>
      <c r="F46559" s="2">
        <v>6.9077224982350697E-7</v>
      </c>
    </row>
    <row r="46560" spans="1:6" x14ac:dyDescent="0.25">
      <c r="A46560" s="1" t="str">
        <f t="shared" si="1531"/>
        <v>99999</v>
      </c>
      <c r="B46560" s="1" t="str">
        <f>"75685"</f>
        <v>75685</v>
      </c>
      <c r="C46560" s="2">
        <v>0</v>
      </c>
      <c r="D46560" s="2">
        <v>0</v>
      </c>
      <c r="E46560" s="2">
        <v>4.3010567696482999E-6</v>
      </c>
      <c r="F46560" s="2">
        <v>9.8681749974786797E-8</v>
      </c>
    </row>
    <row r="46561" spans="1:6" x14ac:dyDescent="0.25">
      <c r="A46561" s="1" t="str">
        <f t="shared" si="1531"/>
        <v>99999</v>
      </c>
      <c r="B46561" s="1" t="str">
        <f>"75637"</f>
        <v>75637</v>
      </c>
      <c r="C46561" s="2">
        <v>0</v>
      </c>
      <c r="D46561" s="2">
        <v>0</v>
      </c>
      <c r="E46561" s="2">
        <v>4.3010567696482999E-6</v>
      </c>
      <c r="F46561" s="2">
        <v>9.8681749974786797E-8</v>
      </c>
    </row>
    <row r="46562" spans="1:6" x14ac:dyDescent="0.25">
      <c r="A46562" s="1" t="str">
        <f t="shared" si="1531"/>
        <v>99999</v>
      </c>
      <c r="B46562" s="1" t="str">
        <f>"82604"</f>
        <v>82604</v>
      </c>
      <c r="C46562" s="2">
        <v>8.6608712446732898E-7</v>
      </c>
      <c r="D46562" s="2">
        <v>0</v>
      </c>
      <c r="E46562" s="2">
        <v>8.6021135392965999E-6</v>
      </c>
      <c r="F46562" s="2">
        <v>9.8681749974786791E-7</v>
      </c>
    </row>
    <row r="46563" spans="1:6" x14ac:dyDescent="0.25">
      <c r="A46563" s="1" t="str">
        <f t="shared" si="1531"/>
        <v>99999</v>
      </c>
      <c r="B46563" s="1" t="str">
        <f>"87710"</f>
        <v>87710</v>
      </c>
      <c r="C46563" s="2">
        <v>1.08260890558416E-7</v>
      </c>
      <c r="D46563" s="2">
        <v>0</v>
      </c>
      <c r="E46563" s="2">
        <v>5.5913738005427899E-5</v>
      </c>
      <c r="F46563" s="2">
        <v>1.3815444996470099E-6</v>
      </c>
    </row>
    <row r="46564" spans="1:6" x14ac:dyDescent="0.25">
      <c r="A46564" s="1" t="str">
        <f t="shared" si="1531"/>
        <v>99999</v>
      </c>
      <c r="B46564" s="1" t="str">
        <f>"05823"</f>
        <v>05823</v>
      </c>
      <c r="C46564" s="2">
        <v>0</v>
      </c>
      <c r="D46564" s="2">
        <v>0</v>
      </c>
      <c r="E46564" s="2">
        <v>4.3010567696482999E-6</v>
      </c>
      <c r="F46564" s="2">
        <v>9.8681749974786797E-8</v>
      </c>
    </row>
    <row r="46565" spans="1:6" x14ac:dyDescent="0.25">
      <c r="A46565" s="1" t="str">
        <f t="shared" si="1531"/>
        <v>99999</v>
      </c>
      <c r="B46565" s="1" t="str">
        <f>"43331"</f>
        <v>43331</v>
      </c>
      <c r="C46565" s="2">
        <v>1.84043513949307E-6</v>
      </c>
      <c r="D46565" s="2">
        <v>0</v>
      </c>
      <c r="E46565" s="2">
        <v>0</v>
      </c>
      <c r="F46565" s="2">
        <v>1.6775897495713699E-6</v>
      </c>
    </row>
    <row r="46566" spans="1:6" x14ac:dyDescent="0.25">
      <c r="A46566" s="1" t="str">
        <f t="shared" si="1531"/>
        <v>99999</v>
      </c>
      <c r="B46566" s="1" t="str">
        <f>"52656"</f>
        <v>52656</v>
      </c>
      <c r="C46566" s="2">
        <v>1.29913068670099E-6</v>
      </c>
      <c r="D46566" s="2">
        <v>0</v>
      </c>
      <c r="E46566" s="2">
        <v>0</v>
      </c>
      <c r="F46566" s="2">
        <v>1.18418099969744E-6</v>
      </c>
    </row>
    <row r="46567" spans="1:6" x14ac:dyDescent="0.25">
      <c r="A46567" s="1" t="str">
        <f t="shared" si="1531"/>
        <v>99999</v>
      </c>
      <c r="B46567" s="1" t="str">
        <f>"72335"</f>
        <v>72335</v>
      </c>
      <c r="C46567" s="2">
        <v>2.1652178111683201E-7</v>
      </c>
      <c r="D46567" s="2">
        <v>0</v>
      </c>
      <c r="E46567" s="2">
        <v>0</v>
      </c>
      <c r="F46567" s="2">
        <v>1.9736349994957301E-7</v>
      </c>
    </row>
    <row r="46568" spans="1:6" x14ac:dyDescent="0.25">
      <c r="A46568" s="1" t="str">
        <f t="shared" si="1531"/>
        <v>99999</v>
      </c>
      <c r="B46568" s="1" t="str">
        <f>"74559"</f>
        <v>74559</v>
      </c>
      <c r="C46568" s="2">
        <v>0</v>
      </c>
      <c r="D46568" s="2">
        <v>0</v>
      </c>
      <c r="E46568" s="2">
        <v>4.3010567696482999E-6</v>
      </c>
      <c r="F46568" s="2">
        <v>9.8681749974786797E-8</v>
      </c>
    </row>
    <row r="46569" spans="1:6" x14ac:dyDescent="0.25">
      <c r="A46569" s="1" t="str">
        <f t="shared" si="1531"/>
        <v>99999</v>
      </c>
      <c r="B46569" s="1" t="str">
        <f>"84073"</f>
        <v>84073</v>
      </c>
      <c r="C46569" s="2">
        <v>9.2021756974653701E-6</v>
      </c>
      <c r="D46569" s="2">
        <v>0</v>
      </c>
      <c r="E46569" s="2">
        <v>8.6021135392965999E-6</v>
      </c>
      <c r="F46569" s="2">
        <v>8.5853122478064497E-6</v>
      </c>
    </row>
    <row r="46570" spans="1:6" x14ac:dyDescent="0.25">
      <c r="A46570" s="1" t="str">
        <f t="shared" si="1531"/>
        <v>99999</v>
      </c>
      <c r="B46570" s="1" t="str">
        <f>"83853"</f>
        <v>83853</v>
      </c>
      <c r="C46570" s="2">
        <v>0</v>
      </c>
      <c r="D46570" s="2">
        <v>0</v>
      </c>
      <c r="E46570" s="2">
        <v>4.3010567696482999E-6</v>
      </c>
      <c r="F46570" s="2">
        <v>9.8681749974786797E-8</v>
      </c>
    </row>
    <row r="46571" spans="1:6" x14ac:dyDescent="0.25">
      <c r="A46571" s="1" t="str">
        <f t="shared" si="1531"/>
        <v>99999</v>
      </c>
      <c r="B46571" s="1" t="str">
        <f>"24836"</f>
        <v>24836</v>
      </c>
      <c r="C46571" s="2">
        <v>0</v>
      </c>
      <c r="D46571" s="2">
        <v>1.50570889527644E-6</v>
      </c>
      <c r="E46571" s="2">
        <v>0</v>
      </c>
      <c r="F46571" s="2">
        <v>9.8681749974786797E-8</v>
      </c>
    </row>
    <row r="46572" spans="1:6" x14ac:dyDescent="0.25">
      <c r="A46572" s="1" t="str">
        <f t="shared" si="1531"/>
        <v>99999</v>
      </c>
      <c r="B46572" s="1" t="str">
        <f>"49723"</f>
        <v>49723</v>
      </c>
      <c r="C46572" s="2">
        <v>0</v>
      </c>
      <c r="D46572" s="2">
        <v>1.50570889527644E-6</v>
      </c>
      <c r="E46572" s="2">
        <v>0</v>
      </c>
      <c r="F46572" s="2">
        <v>9.8681749974786797E-8</v>
      </c>
    </row>
    <row r="46573" spans="1:6" x14ac:dyDescent="0.25">
      <c r="A46573" s="1" t="str">
        <f t="shared" si="1531"/>
        <v>99999</v>
      </c>
      <c r="B46573" s="1" t="str">
        <f>"99634"</f>
        <v>99634</v>
      </c>
      <c r="C46573" s="2">
        <v>0</v>
      </c>
      <c r="D46573" s="2">
        <v>0</v>
      </c>
      <c r="E46573" s="2">
        <v>4.3010567696482999E-6</v>
      </c>
      <c r="F46573" s="2">
        <v>9.8681749974786797E-8</v>
      </c>
    </row>
    <row r="46574" spans="1:6" x14ac:dyDescent="0.25">
      <c r="A46574" s="1" t="str">
        <f t="shared" si="1531"/>
        <v>99999</v>
      </c>
      <c r="B46574" s="1" t="str">
        <f>"24457"</f>
        <v>24457</v>
      </c>
      <c r="C46574" s="2">
        <v>2.1652178111683201E-7</v>
      </c>
      <c r="D46574" s="2">
        <v>0</v>
      </c>
      <c r="E46574" s="2">
        <v>4.3010567696482999E-6</v>
      </c>
      <c r="F46574" s="2">
        <v>2.9604524992435999E-7</v>
      </c>
    </row>
    <row r="46575" spans="1:6" x14ac:dyDescent="0.25">
      <c r="A46575" s="1" t="str">
        <f t="shared" si="1531"/>
        <v>99999</v>
      </c>
      <c r="B46575" s="1" t="str">
        <f>"26354"</f>
        <v>26354</v>
      </c>
      <c r="C46575" s="2">
        <v>4.3304356223366401E-7</v>
      </c>
      <c r="D46575" s="2">
        <v>0</v>
      </c>
      <c r="E46575" s="2">
        <v>0</v>
      </c>
      <c r="F46575" s="2">
        <v>3.9472699989914697E-7</v>
      </c>
    </row>
    <row r="46576" spans="1:6" x14ac:dyDescent="0.25">
      <c r="A46576" s="1" t="str">
        <f t="shared" si="1531"/>
        <v>99999</v>
      </c>
      <c r="B46576" s="1" t="str">
        <f>"43757"</f>
        <v>43757</v>
      </c>
      <c r="C46576" s="2">
        <v>2.49000048284357E-6</v>
      </c>
      <c r="D46576" s="2">
        <v>3.01141779055288E-6</v>
      </c>
      <c r="E46576" s="2">
        <v>0</v>
      </c>
      <c r="F46576" s="2">
        <v>2.4670437493696702E-6</v>
      </c>
    </row>
    <row r="46577" spans="1:6" x14ac:dyDescent="0.25">
      <c r="A46577" s="1" t="str">
        <f t="shared" si="1531"/>
        <v>99999</v>
      </c>
      <c r="B46577" s="1" t="str">
        <f>"57048"</f>
        <v>57048</v>
      </c>
      <c r="C46577" s="2">
        <v>2.1652178111683201E-7</v>
      </c>
      <c r="D46577" s="2">
        <v>0</v>
      </c>
      <c r="E46577" s="2">
        <v>0</v>
      </c>
      <c r="F46577" s="2">
        <v>1.9736349994957301E-7</v>
      </c>
    </row>
    <row r="46578" spans="1:6" x14ac:dyDescent="0.25">
      <c r="A46578" s="1" t="str">
        <f t="shared" si="1531"/>
        <v>99999</v>
      </c>
      <c r="B46578" s="1" t="str">
        <f>"62814"</f>
        <v>62814</v>
      </c>
      <c r="C46578" s="2">
        <v>2.8147831545188202E-6</v>
      </c>
      <c r="D46578" s="2">
        <v>1.50570889527644E-6</v>
      </c>
      <c r="E46578" s="2">
        <v>0</v>
      </c>
      <c r="F46578" s="2">
        <v>2.6644072493192401E-6</v>
      </c>
    </row>
    <row r="46579" spans="1:6" x14ac:dyDescent="0.25">
      <c r="A46579" s="1" t="str">
        <f t="shared" si="1531"/>
        <v>99999</v>
      </c>
      <c r="B46579" s="1" t="str">
        <f>"24813"</f>
        <v>24813</v>
      </c>
      <c r="C46579" s="2">
        <v>0</v>
      </c>
      <c r="D46579" s="2">
        <v>1.50570889527644E-6</v>
      </c>
      <c r="E46579" s="2">
        <v>0</v>
      </c>
      <c r="F46579" s="2">
        <v>9.8681749974786797E-8</v>
      </c>
    </row>
    <row r="46580" spans="1:6" x14ac:dyDescent="0.25">
      <c r="A46580" s="1" t="str">
        <f t="shared" si="1531"/>
        <v>99999</v>
      </c>
      <c r="B46580" s="1" t="str">
        <f>"47382"</f>
        <v>47382</v>
      </c>
      <c r="C46580" s="2">
        <v>1.08260890558416E-7</v>
      </c>
      <c r="D46580" s="2">
        <v>3.01141779055288E-6</v>
      </c>
      <c r="E46580" s="2">
        <v>0</v>
      </c>
      <c r="F46580" s="2">
        <v>2.9604524992435999E-7</v>
      </c>
    </row>
    <row r="46581" spans="1:6" x14ac:dyDescent="0.25">
      <c r="A46581" s="1" t="str">
        <f t="shared" si="1531"/>
        <v>99999</v>
      </c>
      <c r="B46581" s="1" t="str">
        <f>"38567"</f>
        <v>38567</v>
      </c>
      <c r="C46581" s="2">
        <v>3.0313049356356498E-6</v>
      </c>
      <c r="D46581" s="2">
        <v>0</v>
      </c>
      <c r="E46581" s="2">
        <v>0</v>
      </c>
      <c r="F46581" s="2">
        <v>2.76308899929403E-6</v>
      </c>
    </row>
    <row r="46582" spans="1:6" x14ac:dyDescent="0.25">
      <c r="A46582" s="1" t="str">
        <f t="shared" si="1531"/>
        <v>99999</v>
      </c>
      <c r="B46582" s="1" t="str">
        <f>"47341"</f>
        <v>47341</v>
      </c>
      <c r="C46582" s="2">
        <v>1.7321742489346499E-6</v>
      </c>
      <c r="D46582" s="2">
        <v>0</v>
      </c>
      <c r="E46582" s="2">
        <v>0</v>
      </c>
      <c r="F46582" s="2">
        <v>1.5789079995965801E-6</v>
      </c>
    </row>
    <row r="46583" spans="1:6" x14ac:dyDescent="0.25">
      <c r="A46583" s="1" t="str">
        <f t="shared" si="1531"/>
        <v>99999</v>
      </c>
      <c r="B46583" s="1" t="str">
        <f>"69163"</f>
        <v>69163</v>
      </c>
      <c r="C46583" s="2">
        <v>1.9486960300514902E-6</v>
      </c>
      <c r="D46583" s="2">
        <v>0</v>
      </c>
      <c r="E46583" s="2">
        <v>0</v>
      </c>
      <c r="F46583" s="2">
        <v>1.77627149954616E-6</v>
      </c>
    </row>
    <row r="46584" spans="1:6" x14ac:dyDescent="0.25">
      <c r="A46584" s="1" t="str">
        <f t="shared" si="1531"/>
        <v>99999</v>
      </c>
      <c r="B46584" s="1" t="str">
        <f>"18459"</f>
        <v>18459</v>
      </c>
      <c r="C46584" s="2">
        <v>0</v>
      </c>
      <c r="D46584" s="2">
        <v>1.50570889527644E-6</v>
      </c>
      <c r="E46584" s="2">
        <v>0</v>
      </c>
      <c r="F46584" s="2">
        <v>9.8681749974786797E-8</v>
      </c>
    </row>
    <row r="46585" spans="1:6" x14ac:dyDescent="0.25">
      <c r="A46585" s="1" t="str">
        <f t="shared" si="1531"/>
        <v>99999</v>
      </c>
      <c r="B46585" s="1" t="str">
        <f>"66416"</f>
        <v>66416</v>
      </c>
      <c r="C46585" s="2">
        <v>2.1652178111683201E-7</v>
      </c>
      <c r="D46585" s="2">
        <v>0</v>
      </c>
      <c r="E46585" s="2">
        <v>0</v>
      </c>
      <c r="F46585" s="2">
        <v>1.9736349994957301E-7</v>
      </c>
    </row>
    <row r="46586" spans="1:6" x14ac:dyDescent="0.25">
      <c r="A46586" s="1" t="str">
        <f t="shared" si="1531"/>
        <v>99999</v>
      </c>
      <c r="B46586" s="1" t="str">
        <f>"24834"</f>
        <v>24834</v>
      </c>
      <c r="C46586" s="2">
        <v>0</v>
      </c>
      <c r="D46586" s="2">
        <v>1.50570889527644E-6</v>
      </c>
      <c r="E46586" s="2">
        <v>0</v>
      </c>
      <c r="F46586" s="2">
        <v>9.8681749974786797E-8</v>
      </c>
    </row>
    <row r="46587" spans="1:6" x14ac:dyDescent="0.25">
      <c r="A46587" s="1" t="str">
        <f t="shared" si="1531"/>
        <v>99999</v>
      </c>
      <c r="B46587" s="1" t="str">
        <f>"71932"</f>
        <v>71932</v>
      </c>
      <c r="C46587" s="2">
        <v>0</v>
      </c>
      <c r="D46587" s="2">
        <v>0</v>
      </c>
      <c r="E46587" s="2">
        <v>4.3010567696482999E-6</v>
      </c>
      <c r="F46587" s="2">
        <v>9.8681749974786797E-8</v>
      </c>
    </row>
    <row r="46588" spans="1:6" x14ac:dyDescent="0.25">
      <c r="A46588" s="1" t="str">
        <f t="shared" si="1531"/>
        <v>99999</v>
      </c>
      <c r="B46588" s="1" t="str">
        <f>"73488"</f>
        <v>73488</v>
      </c>
      <c r="C46588" s="2">
        <v>1.08260890558416E-7</v>
      </c>
      <c r="D46588" s="2">
        <v>0</v>
      </c>
      <c r="E46588" s="2">
        <v>0</v>
      </c>
      <c r="F46588" s="2">
        <v>9.8681749974786797E-8</v>
      </c>
    </row>
    <row r="46589" spans="1:6" x14ac:dyDescent="0.25">
      <c r="A46589" s="1" t="str">
        <f t="shared" si="1531"/>
        <v>99999</v>
      </c>
      <c r="B46589" s="1" t="str">
        <f>"79093"</f>
        <v>79093</v>
      </c>
      <c r="C46589" s="2">
        <v>3.2478267167524802E-7</v>
      </c>
      <c r="D46589" s="2">
        <v>0</v>
      </c>
      <c r="E46589" s="2">
        <v>0</v>
      </c>
      <c r="F46589" s="2">
        <v>2.9604524992435999E-7</v>
      </c>
    </row>
    <row r="46590" spans="1:6" x14ac:dyDescent="0.25">
      <c r="A46590" s="1" t="str">
        <f t="shared" si="1531"/>
        <v>99999</v>
      </c>
      <c r="B46590" s="1" t="str">
        <f>"12736"</f>
        <v>12736</v>
      </c>
      <c r="C46590" s="2">
        <v>2.59826137340198E-6</v>
      </c>
      <c r="D46590" s="2">
        <v>6.0228355811057601E-6</v>
      </c>
      <c r="E46590" s="2">
        <v>4.3010567696482999E-6</v>
      </c>
      <c r="F46590" s="2">
        <v>2.8617707492688101E-6</v>
      </c>
    </row>
    <row r="46591" spans="1:6" x14ac:dyDescent="0.25">
      <c r="A46591" s="1" t="str">
        <f t="shared" si="1531"/>
        <v>99999</v>
      </c>
      <c r="B46591" s="1" t="str">
        <f>"26671"</f>
        <v>26671</v>
      </c>
      <c r="C46591" s="2">
        <v>0</v>
      </c>
      <c r="D46591" s="2">
        <v>0</v>
      </c>
      <c r="E46591" s="2">
        <v>4.3010567696482999E-6</v>
      </c>
      <c r="F46591" s="2">
        <v>9.8681749974786797E-8</v>
      </c>
    </row>
    <row r="46592" spans="1:6" x14ac:dyDescent="0.25">
      <c r="A46592" s="1" t="str">
        <f t="shared" si="1531"/>
        <v>99999</v>
      </c>
      <c r="B46592" s="1" t="str">
        <f>"17255"</f>
        <v>17255</v>
      </c>
      <c r="C46592" s="2">
        <v>3.2478267167524802E-7</v>
      </c>
      <c r="D46592" s="2">
        <v>0</v>
      </c>
      <c r="E46592" s="2">
        <v>0</v>
      </c>
      <c r="F46592" s="2">
        <v>2.9604524992435999E-7</v>
      </c>
    </row>
    <row r="46593" spans="1:6" x14ac:dyDescent="0.25">
      <c r="A46593" s="1" t="str">
        <f t="shared" si="1531"/>
        <v>99999</v>
      </c>
      <c r="B46593" s="1" t="str">
        <f>"22507"</f>
        <v>22507</v>
      </c>
      <c r="C46593" s="2">
        <v>0</v>
      </c>
      <c r="D46593" s="2">
        <v>0</v>
      </c>
      <c r="E46593" s="2">
        <v>4.3010567696482999E-6</v>
      </c>
      <c r="F46593" s="2">
        <v>9.8681749974786797E-8</v>
      </c>
    </row>
    <row r="46594" spans="1:6" x14ac:dyDescent="0.25">
      <c r="A46594" s="1" t="str">
        <f t="shared" si="1531"/>
        <v>99999</v>
      </c>
      <c r="B46594" s="1" t="str">
        <f>"36741"</f>
        <v>36741</v>
      </c>
      <c r="C46594" s="2">
        <v>0</v>
      </c>
      <c r="D46594" s="2">
        <v>0</v>
      </c>
      <c r="E46594" s="2">
        <v>4.3010567696482999E-6</v>
      </c>
      <c r="F46594" s="2">
        <v>9.8681749974786797E-8</v>
      </c>
    </row>
    <row r="46595" spans="1:6" x14ac:dyDescent="0.25">
      <c r="A46595" s="1" t="str">
        <f t="shared" si="1531"/>
        <v>99999</v>
      </c>
      <c r="B46595" s="1" t="str">
        <f>"82335"</f>
        <v>82335</v>
      </c>
      <c r="C46595" s="2">
        <v>0</v>
      </c>
      <c r="D46595" s="2">
        <v>1.50570889527644E-6</v>
      </c>
      <c r="E46595" s="2">
        <v>8.6021135392965999E-6</v>
      </c>
      <c r="F46595" s="2">
        <v>2.9604524992435999E-7</v>
      </c>
    </row>
    <row r="46596" spans="1:6" x14ac:dyDescent="0.25">
      <c r="A46596" s="1" t="str">
        <f t="shared" si="1531"/>
        <v>99999</v>
      </c>
      <c r="B46596" s="1" t="str">
        <f>"99754"</f>
        <v>99754</v>
      </c>
      <c r="C46596" s="2">
        <v>0</v>
      </c>
      <c r="D46596" s="2">
        <v>0</v>
      </c>
      <c r="E46596" s="2">
        <v>4.3010567696482999E-6</v>
      </c>
      <c r="F46596" s="2">
        <v>9.8681749974786797E-8</v>
      </c>
    </row>
    <row r="46597" spans="1:6" x14ac:dyDescent="0.25">
      <c r="A46597" s="1" t="str">
        <f t="shared" si="1531"/>
        <v>99999</v>
      </c>
      <c r="B46597" s="1" t="str">
        <f>"35551"</f>
        <v>35551</v>
      </c>
      <c r="C46597" s="2">
        <v>0</v>
      </c>
      <c r="D46597" s="2">
        <v>1.50570889527644E-6</v>
      </c>
      <c r="E46597" s="2">
        <v>0</v>
      </c>
      <c r="F46597" s="2">
        <v>9.8681749974786797E-8</v>
      </c>
    </row>
    <row r="46598" spans="1:6" x14ac:dyDescent="0.25">
      <c r="A46598" s="1" t="str">
        <f t="shared" ref="A46598:A46661" si="1532">"99999"</f>
        <v>99999</v>
      </c>
      <c r="B46598" s="1" t="str">
        <f>"72341"</f>
        <v>72341</v>
      </c>
      <c r="C46598" s="2">
        <v>6.49565343350497E-7</v>
      </c>
      <c r="D46598" s="2">
        <v>0</v>
      </c>
      <c r="E46598" s="2">
        <v>4.3010567696482999E-6</v>
      </c>
      <c r="F46598" s="2">
        <v>6.9077224982350697E-7</v>
      </c>
    </row>
    <row r="46599" spans="1:6" x14ac:dyDescent="0.25">
      <c r="A46599" s="1" t="str">
        <f t="shared" si="1532"/>
        <v>99999</v>
      </c>
      <c r="B46599" s="1" t="str">
        <f>"77969"</f>
        <v>77969</v>
      </c>
      <c r="C46599" s="2">
        <v>2.8147831545188202E-6</v>
      </c>
      <c r="D46599" s="2">
        <v>1.50570889527644E-6</v>
      </c>
      <c r="E46599" s="2">
        <v>1.29031703089449E-5</v>
      </c>
      <c r="F46599" s="2">
        <v>2.9604524992435999E-6</v>
      </c>
    </row>
    <row r="46600" spans="1:6" x14ac:dyDescent="0.25">
      <c r="A46600" s="1" t="str">
        <f t="shared" si="1532"/>
        <v>99999</v>
      </c>
      <c r="B46600" s="1" t="str">
        <f>"15772"</f>
        <v>15772</v>
      </c>
      <c r="C46600" s="2">
        <v>5.4130445279207995E-7</v>
      </c>
      <c r="D46600" s="2">
        <v>0</v>
      </c>
      <c r="E46600" s="2">
        <v>0</v>
      </c>
      <c r="F46600" s="2">
        <v>4.9340874987393396E-7</v>
      </c>
    </row>
    <row r="46601" spans="1:6" x14ac:dyDescent="0.25">
      <c r="A46601" s="1" t="str">
        <f t="shared" si="1532"/>
        <v>99999</v>
      </c>
      <c r="B46601" s="1" t="str">
        <f>"99563"</f>
        <v>99563</v>
      </c>
      <c r="C46601" s="2">
        <v>0</v>
      </c>
      <c r="D46601" s="2">
        <v>1.50570889527644E-6</v>
      </c>
      <c r="E46601" s="2">
        <v>4.3010567696482999E-6</v>
      </c>
      <c r="F46601" s="2">
        <v>1.9736349994957301E-7</v>
      </c>
    </row>
    <row r="46602" spans="1:6" x14ac:dyDescent="0.25">
      <c r="A46602" s="1" t="str">
        <f t="shared" si="1532"/>
        <v>99999</v>
      </c>
      <c r="B46602" s="1" t="str">
        <f>"71652"</f>
        <v>71652</v>
      </c>
      <c r="C46602" s="2">
        <v>5.4130445279207995E-7</v>
      </c>
      <c r="D46602" s="2">
        <v>0</v>
      </c>
      <c r="E46602" s="2">
        <v>0</v>
      </c>
      <c r="F46602" s="2">
        <v>4.9340874987393396E-7</v>
      </c>
    </row>
    <row r="46603" spans="1:6" x14ac:dyDescent="0.25">
      <c r="A46603" s="1" t="str">
        <f t="shared" si="1532"/>
        <v>99999</v>
      </c>
      <c r="B46603" s="1" t="str">
        <f>"99733"</f>
        <v>99733</v>
      </c>
      <c r="C46603" s="2">
        <v>0</v>
      </c>
      <c r="D46603" s="2">
        <v>0</v>
      </c>
      <c r="E46603" s="2">
        <v>4.3010567696482999E-6</v>
      </c>
      <c r="F46603" s="2">
        <v>9.8681749974786797E-8</v>
      </c>
    </row>
    <row r="46604" spans="1:6" x14ac:dyDescent="0.25">
      <c r="A46604" s="1" t="str">
        <f t="shared" si="1532"/>
        <v>99999</v>
      </c>
      <c r="B46604" s="1" t="str">
        <f>"62848"</f>
        <v>62848</v>
      </c>
      <c r="C46604" s="2">
        <v>6.49565343350497E-7</v>
      </c>
      <c r="D46604" s="2">
        <v>0</v>
      </c>
      <c r="E46604" s="2">
        <v>4.3010567696482999E-6</v>
      </c>
      <c r="F46604" s="2">
        <v>6.9077224982350697E-7</v>
      </c>
    </row>
    <row r="46605" spans="1:6" x14ac:dyDescent="0.25">
      <c r="A46605" s="1" t="str">
        <f t="shared" si="1532"/>
        <v>99999</v>
      </c>
      <c r="B46605" s="1" t="str">
        <f>"67482"</f>
        <v>67482</v>
      </c>
      <c r="C46605" s="2">
        <v>4.7634791845703099E-6</v>
      </c>
      <c r="D46605" s="2">
        <v>0</v>
      </c>
      <c r="E46605" s="2">
        <v>4.3010567696482999E-6</v>
      </c>
      <c r="F46605" s="2">
        <v>4.4406787488654001E-6</v>
      </c>
    </row>
    <row r="46606" spans="1:6" x14ac:dyDescent="0.25">
      <c r="A46606" s="1" t="str">
        <f t="shared" si="1532"/>
        <v>99999</v>
      </c>
      <c r="B46606" s="1" t="str">
        <f>"72123"</f>
        <v>72123</v>
      </c>
      <c r="C46606" s="2">
        <v>0</v>
      </c>
      <c r="D46606" s="2">
        <v>0</v>
      </c>
      <c r="E46606" s="2">
        <v>4.3010567696482999E-6</v>
      </c>
      <c r="F46606" s="2">
        <v>9.8681749974786797E-8</v>
      </c>
    </row>
    <row r="46607" spans="1:6" x14ac:dyDescent="0.25">
      <c r="A46607" s="1" t="str">
        <f t="shared" si="1532"/>
        <v>99999</v>
      </c>
      <c r="B46607" s="1" t="str">
        <f>"81414"</f>
        <v>81414</v>
      </c>
      <c r="C46607" s="2">
        <v>0</v>
      </c>
      <c r="D46607" s="2">
        <v>0</v>
      </c>
      <c r="E46607" s="2">
        <v>4.3010567696482999E-6</v>
      </c>
      <c r="F46607" s="2">
        <v>9.8681749974786797E-8</v>
      </c>
    </row>
    <row r="46608" spans="1:6" x14ac:dyDescent="0.25">
      <c r="A46608" s="1" t="str">
        <f t="shared" si="1532"/>
        <v>99999</v>
      </c>
      <c r="B46608" s="1" t="str">
        <f>"99680"</f>
        <v>99680</v>
      </c>
      <c r="C46608" s="2">
        <v>0</v>
      </c>
      <c r="D46608" s="2">
        <v>0</v>
      </c>
      <c r="E46608" s="2">
        <v>4.3010567696482999E-6</v>
      </c>
      <c r="F46608" s="2">
        <v>9.8681749974786797E-8</v>
      </c>
    </row>
    <row r="46609" spans="1:6" x14ac:dyDescent="0.25">
      <c r="A46609" s="1" t="str">
        <f t="shared" si="1532"/>
        <v>99999</v>
      </c>
      <c r="B46609" s="1" t="str">
        <f>"05838"</f>
        <v>05838</v>
      </c>
      <c r="C46609" s="2">
        <v>0</v>
      </c>
      <c r="D46609" s="2">
        <v>1.50570889527644E-6</v>
      </c>
      <c r="E46609" s="2">
        <v>0</v>
      </c>
      <c r="F46609" s="2">
        <v>9.8681749974786797E-8</v>
      </c>
    </row>
    <row r="46610" spans="1:6" x14ac:dyDescent="0.25">
      <c r="A46610" s="1" t="str">
        <f t="shared" si="1532"/>
        <v>99999</v>
      </c>
      <c r="B46610" s="1" t="str">
        <f>"39648"</f>
        <v>39648</v>
      </c>
      <c r="C46610" s="2">
        <v>2.1652178111683201E-7</v>
      </c>
      <c r="D46610" s="2">
        <v>0</v>
      </c>
      <c r="E46610" s="2">
        <v>0</v>
      </c>
      <c r="F46610" s="2">
        <v>1.9736349994957301E-7</v>
      </c>
    </row>
    <row r="46611" spans="1:6" x14ac:dyDescent="0.25">
      <c r="A46611" s="1" t="str">
        <f t="shared" si="1532"/>
        <v>99999</v>
      </c>
      <c r="B46611" s="1" t="str">
        <f>"46922"</f>
        <v>46922</v>
      </c>
      <c r="C46611" s="2">
        <v>0</v>
      </c>
      <c r="D46611" s="2">
        <v>0</v>
      </c>
      <c r="E46611" s="2">
        <v>8.6021135392965999E-6</v>
      </c>
      <c r="F46611" s="2">
        <v>1.9736349994957301E-7</v>
      </c>
    </row>
    <row r="46612" spans="1:6" x14ac:dyDescent="0.25">
      <c r="A46612" s="1" t="str">
        <f t="shared" si="1532"/>
        <v>99999</v>
      </c>
      <c r="B46612" s="1" t="str">
        <f>"43778"</f>
        <v>43778</v>
      </c>
      <c r="C46612" s="2">
        <v>1.51565246781782E-6</v>
      </c>
      <c r="D46612" s="2">
        <v>0</v>
      </c>
      <c r="E46612" s="2">
        <v>0</v>
      </c>
      <c r="F46612" s="2">
        <v>1.3815444996470099E-6</v>
      </c>
    </row>
    <row r="46613" spans="1:6" x14ac:dyDescent="0.25">
      <c r="A46613" s="1" t="str">
        <f t="shared" si="1532"/>
        <v>99999</v>
      </c>
      <c r="B46613" s="1" t="str">
        <f>"61089"</f>
        <v>61089</v>
      </c>
      <c r="C46613" s="2">
        <v>3.2478267167524802E-7</v>
      </c>
      <c r="D46613" s="2">
        <v>0</v>
      </c>
      <c r="E46613" s="2">
        <v>0</v>
      </c>
      <c r="F46613" s="2">
        <v>2.9604524992435999E-7</v>
      </c>
    </row>
    <row r="46614" spans="1:6" x14ac:dyDescent="0.25">
      <c r="A46614" s="1" t="str">
        <f t="shared" si="1532"/>
        <v>99999</v>
      </c>
      <c r="B46614" s="1" t="str">
        <f>"65546"</f>
        <v>65546</v>
      </c>
      <c r="C46614" s="2">
        <v>0</v>
      </c>
      <c r="D46614" s="2">
        <v>0</v>
      </c>
      <c r="E46614" s="2">
        <v>4.3010567696482999E-6</v>
      </c>
      <c r="F46614" s="2">
        <v>9.8681749974786797E-8</v>
      </c>
    </row>
    <row r="46615" spans="1:6" x14ac:dyDescent="0.25">
      <c r="A46615" s="1" t="str">
        <f t="shared" si="1532"/>
        <v>99999</v>
      </c>
      <c r="B46615" s="1" t="str">
        <f>"24624"</f>
        <v>24624</v>
      </c>
      <c r="C46615" s="2">
        <v>0</v>
      </c>
      <c r="D46615" s="2">
        <v>1.50570889527644E-6</v>
      </c>
      <c r="E46615" s="2">
        <v>0</v>
      </c>
      <c r="F46615" s="2">
        <v>9.8681749974786797E-8</v>
      </c>
    </row>
    <row r="46616" spans="1:6" x14ac:dyDescent="0.25">
      <c r="A46616" s="1" t="str">
        <f t="shared" si="1532"/>
        <v>99999</v>
      </c>
      <c r="B46616" s="1" t="str">
        <f>"68314"</f>
        <v>68314</v>
      </c>
      <c r="C46616" s="2">
        <v>7.5782623390891299E-7</v>
      </c>
      <c r="D46616" s="2">
        <v>0</v>
      </c>
      <c r="E46616" s="2">
        <v>0</v>
      </c>
      <c r="F46616" s="2">
        <v>6.9077224982350697E-7</v>
      </c>
    </row>
    <row r="46617" spans="1:6" x14ac:dyDescent="0.25">
      <c r="A46617" s="1" t="str">
        <f t="shared" si="1532"/>
        <v>99999</v>
      </c>
      <c r="B46617" s="1" t="str">
        <f>"24898"</f>
        <v>24898</v>
      </c>
      <c r="C46617" s="2">
        <v>1.84043513949307E-6</v>
      </c>
      <c r="D46617" s="2">
        <v>1.50570889527644E-6</v>
      </c>
      <c r="E46617" s="2">
        <v>0</v>
      </c>
      <c r="F46617" s="2">
        <v>1.77627149954616E-6</v>
      </c>
    </row>
    <row r="46618" spans="1:6" x14ac:dyDescent="0.25">
      <c r="A46618" s="1" t="str">
        <f t="shared" si="1532"/>
        <v>99999</v>
      </c>
      <c r="B46618" s="1" t="str">
        <f>"36901"</f>
        <v>36901</v>
      </c>
      <c r="C46618" s="2">
        <v>9.8517410408158696E-6</v>
      </c>
      <c r="D46618" s="2">
        <v>3.01141779055288E-6</v>
      </c>
      <c r="E46618" s="2">
        <v>0</v>
      </c>
      <c r="F46618" s="2">
        <v>9.1774027476551693E-6</v>
      </c>
    </row>
    <row r="46619" spans="1:6" x14ac:dyDescent="0.25">
      <c r="A46619" s="1" t="str">
        <f t="shared" si="1532"/>
        <v>99999</v>
      </c>
      <c r="B46619" s="1" t="str">
        <f>"47725"</f>
        <v>47725</v>
      </c>
      <c r="C46619" s="2">
        <v>2.2734787017267302E-6</v>
      </c>
      <c r="D46619" s="2">
        <v>0</v>
      </c>
      <c r="E46619" s="2">
        <v>4.3010567696482999E-6</v>
      </c>
      <c r="F46619" s="2">
        <v>2.1709984994452998E-6</v>
      </c>
    </row>
    <row r="46620" spans="1:6" x14ac:dyDescent="0.25">
      <c r="A46620" s="1" t="str">
        <f t="shared" si="1532"/>
        <v>99999</v>
      </c>
      <c r="B46620" s="1" t="str">
        <f>"41366"</f>
        <v>41366</v>
      </c>
      <c r="C46620" s="2">
        <v>6.49565343350497E-6</v>
      </c>
      <c r="D46620" s="2">
        <v>0</v>
      </c>
      <c r="E46620" s="2">
        <v>4.3010567696482999E-6</v>
      </c>
      <c r="F46620" s="2">
        <v>6.0195867484619901E-6</v>
      </c>
    </row>
    <row r="46621" spans="1:6" x14ac:dyDescent="0.25">
      <c r="A46621" s="1" t="str">
        <f t="shared" si="1532"/>
        <v>99999</v>
      </c>
      <c r="B46621" s="1" t="str">
        <f>"51103"</f>
        <v>51103</v>
      </c>
      <c r="C46621" s="2">
        <v>4.3304356223366401E-7</v>
      </c>
      <c r="D46621" s="2">
        <v>0</v>
      </c>
      <c r="E46621" s="2">
        <v>0</v>
      </c>
      <c r="F46621" s="2">
        <v>3.9472699989914697E-7</v>
      </c>
    </row>
    <row r="46622" spans="1:6" x14ac:dyDescent="0.25">
      <c r="A46622" s="1" t="str">
        <f t="shared" si="1532"/>
        <v>99999</v>
      </c>
      <c r="B46622" s="1" t="str">
        <f>"51016"</f>
        <v>51016</v>
      </c>
      <c r="C46622" s="2">
        <v>1.9486960300514902E-6</v>
      </c>
      <c r="D46622" s="2">
        <v>1.50570889527644E-6</v>
      </c>
      <c r="E46622" s="2">
        <v>0</v>
      </c>
      <c r="F46622" s="2">
        <v>1.8749532495209401E-6</v>
      </c>
    </row>
    <row r="46623" spans="1:6" x14ac:dyDescent="0.25">
      <c r="A46623" s="1" t="str">
        <f t="shared" si="1532"/>
        <v>99999</v>
      </c>
      <c r="B46623" s="1" t="str">
        <f>"56639"</f>
        <v>56639</v>
      </c>
      <c r="C46623" s="2">
        <v>2.0569569206099001E-6</v>
      </c>
      <c r="D46623" s="2">
        <v>1.50570889527644E-6</v>
      </c>
      <c r="E46623" s="2">
        <v>0</v>
      </c>
      <c r="F46623" s="2">
        <v>1.9736349994957299E-6</v>
      </c>
    </row>
    <row r="46624" spans="1:6" x14ac:dyDescent="0.25">
      <c r="A46624" s="1" t="str">
        <f t="shared" si="1532"/>
        <v>99999</v>
      </c>
      <c r="B46624" s="1" t="str">
        <f>"58281"</f>
        <v>58281</v>
      </c>
      <c r="C46624" s="2">
        <v>8.5526103541148705E-6</v>
      </c>
      <c r="D46624" s="2">
        <v>3.01141779055288E-6</v>
      </c>
      <c r="E46624" s="2">
        <v>4.3010567696482999E-6</v>
      </c>
      <c r="F46624" s="2">
        <v>8.0919034979325103E-6</v>
      </c>
    </row>
    <row r="46625" spans="1:6" x14ac:dyDescent="0.25">
      <c r="A46625" s="1" t="str">
        <f t="shared" si="1532"/>
        <v>99999</v>
      </c>
      <c r="B46625" s="1" t="str">
        <f>"69331"</f>
        <v>69331</v>
      </c>
      <c r="C46625" s="2">
        <v>4.0056529506613898E-6</v>
      </c>
      <c r="D46625" s="2">
        <v>0</v>
      </c>
      <c r="E46625" s="2">
        <v>4.3010567696482999E-6</v>
      </c>
      <c r="F46625" s="2">
        <v>3.7499064990418899E-6</v>
      </c>
    </row>
    <row r="46626" spans="1:6" x14ac:dyDescent="0.25">
      <c r="A46626" s="1" t="str">
        <f t="shared" si="1532"/>
        <v>99999</v>
      </c>
      <c r="B46626" s="1" t="str">
        <f>"71471"</f>
        <v>71471</v>
      </c>
      <c r="C46626" s="2">
        <v>0</v>
      </c>
      <c r="D46626" s="2">
        <v>0</v>
      </c>
      <c r="E46626" s="2">
        <v>4.3010567696482999E-6</v>
      </c>
      <c r="F46626" s="2">
        <v>9.8681749974786797E-8</v>
      </c>
    </row>
    <row r="46627" spans="1:6" x14ac:dyDescent="0.25">
      <c r="A46627" s="1" t="str">
        <f t="shared" si="1532"/>
        <v>99999</v>
      </c>
      <c r="B46627" s="1" t="str">
        <f>"79086"</f>
        <v>79086</v>
      </c>
      <c r="C46627" s="2">
        <v>4.3304356223366396E-6</v>
      </c>
      <c r="D46627" s="2">
        <v>3.01141779055288E-6</v>
      </c>
      <c r="E46627" s="2">
        <v>0</v>
      </c>
      <c r="F46627" s="2">
        <v>4.1446334989410403E-6</v>
      </c>
    </row>
    <row r="46628" spans="1:6" x14ac:dyDescent="0.25">
      <c r="A46628" s="1" t="str">
        <f t="shared" si="1532"/>
        <v>99999</v>
      </c>
      <c r="B46628" s="1" t="str">
        <f>"81301"</f>
        <v>81301</v>
      </c>
      <c r="C46628" s="2">
        <v>5.4130445279207995E-7</v>
      </c>
      <c r="D46628" s="2">
        <v>4.5171266858293203E-6</v>
      </c>
      <c r="E46628" s="2">
        <v>0</v>
      </c>
      <c r="F46628" s="2">
        <v>7.8945399979829395E-7</v>
      </c>
    </row>
    <row r="46629" spans="1:6" x14ac:dyDescent="0.25">
      <c r="A46629" s="1" t="str">
        <f t="shared" si="1532"/>
        <v>99999</v>
      </c>
      <c r="B46629" s="1" t="str">
        <f>"95960"</f>
        <v>95960</v>
      </c>
      <c r="C46629" s="2">
        <v>9.6352192596990302E-6</v>
      </c>
      <c r="D46629" s="2">
        <v>3.01141779055288E-6</v>
      </c>
      <c r="E46629" s="2">
        <v>0</v>
      </c>
      <c r="F46629" s="2">
        <v>8.9800392477055905E-6</v>
      </c>
    </row>
    <row r="46630" spans="1:6" x14ac:dyDescent="0.25">
      <c r="A46630" s="1" t="str">
        <f t="shared" si="1532"/>
        <v>99999</v>
      </c>
      <c r="B46630" s="1" t="str">
        <f>"97759"</f>
        <v>97759</v>
      </c>
      <c r="C46630" s="2">
        <v>5.4130445279207995E-7</v>
      </c>
      <c r="D46630" s="2">
        <v>3.01141779055288E-6</v>
      </c>
      <c r="E46630" s="2">
        <v>0</v>
      </c>
      <c r="F46630" s="2">
        <v>6.9077224982350697E-7</v>
      </c>
    </row>
    <row r="46631" spans="1:6" x14ac:dyDescent="0.25">
      <c r="A46631" s="1" t="str">
        <f t="shared" si="1532"/>
        <v>99999</v>
      </c>
      <c r="B46631" s="1" t="str">
        <f>"15776"</f>
        <v>15776</v>
      </c>
      <c r="C46631" s="2">
        <v>3.7891311695445602E-6</v>
      </c>
      <c r="D46631" s="2">
        <v>0</v>
      </c>
      <c r="E46631" s="2">
        <v>4.3010567696482999E-6</v>
      </c>
      <c r="F46631" s="2">
        <v>3.5525429990923199E-6</v>
      </c>
    </row>
    <row r="46632" spans="1:6" x14ac:dyDescent="0.25">
      <c r="A46632" s="1" t="str">
        <f t="shared" si="1532"/>
        <v>99999</v>
      </c>
      <c r="B46632" s="1" t="str">
        <f>"43138"</f>
        <v>43138</v>
      </c>
      <c r="C46632" s="2">
        <v>1.51565246781782E-6</v>
      </c>
      <c r="D46632" s="2">
        <v>0</v>
      </c>
      <c r="E46632" s="2">
        <v>0</v>
      </c>
      <c r="F46632" s="2">
        <v>1.3815444996470099E-6</v>
      </c>
    </row>
    <row r="46633" spans="1:6" x14ac:dyDescent="0.25">
      <c r="A46633" s="1" t="str">
        <f t="shared" si="1532"/>
        <v>99999</v>
      </c>
      <c r="B46633" s="1" t="str">
        <f>"50269"</f>
        <v>50269</v>
      </c>
      <c r="C46633" s="2">
        <v>6.9286969957386301E-6</v>
      </c>
      <c r="D46633" s="2">
        <v>1.50570889527644E-6</v>
      </c>
      <c r="E46633" s="2">
        <v>0</v>
      </c>
      <c r="F46633" s="2">
        <v>6.4143137483611402E-6</v>
      </c>
    </row>
    <row r="46634" spans="1:6" x14ac:dyDescent="0.25">
      <c r="A46634" s="1" t="str">
        <f t="shared" si="1532"/>
        <v>99999</v>
      </c>
      <c r="B46634" s="1" t="str">
        <f>"53540"</f>
        <v>53540</v>
      </c>
      <c r="C46634" s="2">
        <v>6.7121752146218001E-6</v>
      </c>
      <c r="D46634" s="2">
        <v>0</v>
      </c>
      <c r="E46634" s="2">
        <v>4.3010567696482999E-6</v>
      </c>
      <c r="F46634" s="2">
        <v>6.2169502484115596E-6</v>
      </c>
    </row>
    <row r="46635" spans="1:6" x14ac:dyDescent="0.25">
      <c r="A46635" s="1" t="str">
        <f t="shared" si="1532"/>
        <v>99999</v>
      </c>
      <c r="B46635" s="1" t="str">
        <f>"56577"</f>
        <v>56577</v>
      </c>
      <c r="C46635" s="2">
        <v>0</v>
      </c>
      <c r="D46635" s="2">
        <v>0</v>
      </c>
      <c r="E46635" s="2">
        <v>4.3010567696482999E-6</v>
      </c>
      <c r="F46635" s="2">
        <v>9.8681749974786797E-8</v>
      </c>
    </row>
    <row r="46636" spans="1:6" x14ac:dyDescent="0.25">
      <c r="A46636" s="1" t="str">
        <f t="shared" si="1532"/>
        <v>99999</v>
      </c>
      <c r="B46636" s="1" t="str">
        <f>"58038"</f>
        <v>58038</v>
      </c>
      <c r="C46636" s="2">
        <v>3.8973920601029803E-6</v>
      </c>
      <c r="D46636" s="2">
        <v>3.01141779055288E-6</v>
      </c>
      <c r="E46636" s="2">
        <v>0</v>
      </c>
      <c r="F46636" s="2">
        <v>3.7499064990418899E-6</v>
      </c>
    </row>
    <row r="46637" spans="1:6" x14ac:dyDescent="0.25">
      <c r="A46637" s="1" t="str">
        <f t="shared" si="1532"/>
        <v>99999</v>
      </c>
      <c r="B46637" s="1" t="str">
        <f>"27946"</f>
        <v>27946</v>
      </c>
      <c r="C46637" s="2">
        <v>7.7947841202059606E-6</v>
      </c>
      <c r="D46637" s="2">
        <v>4.5171266858293203E-6</v>
      </c>
      <c r="E46637" s="2">
        <v>0</v>
      </c>
      <c r="F46637" s="2">
        <v>7.4011312481090098E-6</v>
      </c>
    </row>
    <row r="46638" spans="1:6" x14ac:dyDescent="0.25">
      <c r="A46638" s="1" t="str">
        <f t="shared" si="1532"/>
        <v>99999</v>
      </c>
      <c r="B46638" s="1" t="str">
        <f>"50210"</f>
        <v>50210</v>
      </c>
      <c r="C46638" s="2">
        <v>1.3749133100918801E-5</v>
      </c>
      <c r="D46638" s="2">
        <v>1.50570889527644E-6</v>
      </c>
      <c r="E46638" s="2">
        <v>0</v>
      </c>
      <c r="F46638" s="2">
        <v>1.26312639967727E-5</v>
      </c>
    </row>
    <row r="46639" spans="1:6" x14ac:dyDescent="0.25">
      <c r="A46639" s="1" t="str">
        <f t="shared" si="1532"/>
        <v>99999</v>
      </c>
      <c r="B46639" s="1" t="str">
        <f>"52760"</f>
        <v>52760</v>
      </c>
      <c r="C46639" s="2">
        <v>9.2021756974653701E-6</v>
      </c>
      <c r="D46639" s="2">
        <v>6.0228355811057601E-6</v>
      </c>
      <c r="E46639" s="2">
        <v>0</v>
      </c>
      <c r="F46639" s="2">
        <v>8.7826757477560201E-6</v>
      </c>
    </row>
    <row r="46640" spans="1:6" x14ac:dyDescent="0.25">
      <c r="A46640" s="1" t="str">
        <f t="shared" si="1532"/>
        <v>99999</v>
      </c>
      <c r="B46640" s="1" t="str">
        <f>"67574"</f>
        <v>67574</v>
      </c>
      <c r="C46640" s="2">
        <v>6.0626098712712997E-6</v>
      </c>
      <c r="D46640" s="2">
        <v>3.01141779055288E-6</v>
      </c>
      <c r="E46640" s="2">
        <v>4.3010567696482999E-6</v>
      </c>
      <c r="F46640" s="2">
        <v>5.8222232485124198E-6</v>
      </c>
    </row>
    <row r="46641" spans="1:6" x14ac:dyDescent="0.25">
      <c r="A46641" s="1" t="str">
        <f t="shared" si="1532"/>
        <v>99999</v>
      </c>
      <c r="B46641" s="1" t="str">
        <f>"68339"</f>
        <v>68339</v>
      </c>
      <c r="C46641" s="2">
        <v>2.1652178111683201E-7</v>
      </c>
      <c r="D46641" s="2">
        <v>0</v>
      </c>
      <c r="E46641" s="2">
        <v>0</v>
      </c>
      <c r="F46641" s="2">
        <v>1.9736349994957301E-7</v>
      </c>
    </row>
    <row r="46642" spans="1:6" x14ac:dyDescent="0.25">
      <c r="A46642" s="1" t="str">
        <f t="shared" si="1532"/>
        <v>99999</v>
      </c>
      <c r="B46642" s="1" t="str">
        <f>"76874"</f>
        <v>76874</v>
      </c>
      <c r="C46642" s="2">
        <v>3.5726093884277301E-6</v>
      </c>
      <c r="D46642" s="2">
        <v>0</v>
      </c>
      <c r="E46642" s="2">
        <v>4.3010567696482999E-6</v>
      </c>
      <c r="F46642" s="2">
        <v>3.35517949914275E-6</v>
      </c>
    </row>
    <row r="46643" spans="1:6" x14ac:dyDescent="0.25">
      <c r="A46643" s="1" t="str">
        <f t="shared" si="1532"/>
        <v>99999</v>
      </c>
      <c r="B46643" s="1" t="str">
        <f>"84001"</f>
        <v>84001</v>
      </c>
      <c r="C46643" s="2">
        <v>8.9856539163485408E-6</v>
      </c>
      <c r="D46643" s="2">
        <v>1.50570889527644E-6</v>
      </c>
      <c r="E46643" s="2">
        <v>0</v>
      </c>
      <c r="F46643" s="2">
        <v>8.2892669978820908E-6</v>
      </c>
    </row>
    <row r="46644" spans="1:6" x14ac:dyDescent="0.25">
      <c r="A46644" s="1" t="str">
        <f t="shared" si="1532"/>
        <v>99999</v>
      </c>
      <c r="B46644" s="1" t="str">
        <f>"80825"</f>
        <v>80825</v>
      </c>
      <c r="C46644" s="2">
        <v>7.47000144853071E-6</v>
      </c>
      <c r="D46644" s="2">
        <v>0</v>
      </c>
      <c r="E46644" s="2">
        <v>4.3010567696482999E-6</v>
      </c>
      <c r="F46644" s="2">
        <v>6.9077224982350703E-6</v>
      </c>
    </row>
    <row r="46645" spans="1:6" x14ac:dyDescent="0.25">
      <c r="A46645" s="1" t="str">
        <f t="shared" si="1532"/>
        <v>99999</v>
      </c>
      <c r="B46645" s="1" t="str">
        <f>"89013"</f>
        <v>89013</v>
      </c>
      <c r="C46645" s="2">
        <v>5.4130445279208001E-6</v>
      </c>
      <c r="D46645" s="2">
        <v>7.5285444763821999E-6</v>
      </c>
      <c r="E46645" s="2">
        <v>0</v>
      </c>
      <c r="F46645" s="2">
        <v>5.4274962486132697E-6</v>
      </c>
    </row>
    <row r="46646" spans="1:6" x14ac:dyDescent="0.25">
      <c r="A46646" s="1" t="str">
        <f t="shared" si="1532"/>
        <v>99999</v>
      </c>
      <c r="B46646" s="1" t="str">
        <f>"13860"</f>
        <v>13860</v>
      </c>
      <c r="C46646" s="2">
        <v>3.5726093884277301E-6</v>
      </c>
      <c r="D46646" s="2">
        <v>0</v>
      </c>
      <c r="E46646" s="2">
        <v>4.3010567696482999E-6</v>
      </c>
      <c r="F46646" s="2">
        <v>3.35517949914275E-6</v>
      </c>
    </row>
    <row r="46647" spans="1:6" x14ac:dyDescent="0.25">
      <c r="A46647" s="1" t="str">
        <f t="shared" si="1532"/>
        <v>99999</v>
      </c>
      <c r="B46647" s="1" t="str">
        <f>"14893"</f>
        <v>14893</v>
      </c>
      <c r="C46647" s="2">
        <v>1.4073915772594101E-6</v>
      </c>
      <c r="D46647" s="2">
        <v>0</v>
      </c>
      <c r="E46647" s="2">
        <v>4.3010567696482999E-6</v>
      </c>
      <c r="F46647" s="2">
        <v>1.3815444996470099E-6</v>
      </c>
    </row>
    <row r="46648" spans="1:6" x14ac:dyDescent="0.25">
      <c r="A46648" s="1" t="str">
        <f t="shared" si="1532"/>
        <v>99999</v>
      </c>
      <c r="B46648" s="1" t="str">
        <f>"50612"</f>
        <v>50612</v>
      </c>
      <c r="C46648" s="2">
        <v>1.5589568240411901E-5</v>
      </c>
      <c r="D46648" s="2">
        <v>1.50570889527644E-6</v>
      </c>
      <c r="E46648" s="2">
        <v>4.3010567696482999E-6</v>
      </c>
      <c r="F46648" s="2">
        <v>1.4407535496318799E-5</v>
      </c>
    </row>
    <row r="46649" spans="1:6" x14ac:dyDescent="0.25">
      <c r="A46649" s="1" t="str">
        <f t="shared" si="1532"/>
        <v>99999</v>
      </c>
      <c r="B46649" s="1" t="str">
        <f>"54737"</f>
        <v>54737</v>
      </c>
      <c r="C46649" s="2">
        <v>1.62391335837624E-6</v>
      </c>
      <c r="D46649" s="2">
        <v>0</v>
      </c>
      <c r="E46649" s="2">
        <v>0</v>
      </c>
      <c r="F46649" s="2">
        <v>1.4802262496218E-6</v>
      </c>
    </row>
    <row r="46650" spans="1:6" x14ac:dyDescent="0.25">
      <c r="A46650" s="1" t="str">
        <f t="shared" si="1532"/>
        <v>99999</v>
      </c>
      <c r="B46650" s="1" t="str">
        <f>"57775"</f>
        <v>57775</v>
      </c>
      <c r="C46650" s="2">
        <v>4.2221747317782301E-6</v>
      </c>
      <c r="D46650" s="2">
        <v>0</v>
      </c>
      <c r="E46650" s="2">
        <v>0</v>
      </c>
      <c r="F46650" s="2">
        <v>3.8485882490166797E-6</v>
      </c>
    </row>
    <row r="46651" spans="1:6" x14ac:dyDescent="0.25">
      <c r="A46651" s="1" t="str">
        <f t="shared" si="1532"/>
        <v>99999</v>
      </c>
      <c r="B46651" s="1" t="str">
        <f>"59231"</f>
        <v>59231</v>
      </c>
      <c r="C46651" s="2">
        <v>0</v>
      </c>
      <c r="D46651" s="2">
        <v>0</v>
      </c>
      <c r="E46651" s="2">
        <v>4.3010567696482999E-6</v>
      </c>
      <c r="F46651" s="2">
        <v>9.8681749974786797E-8</v>
      </c>
    </row>
    <row r="46652" spans="1:6" x14ac:dyDescent="0.25">
      <c r="A46652" s="1" t="str">
        <f t="shared" si="1532"/>
        <v>99999</v>
      </c>
      <c r="B46652" s="1" t="str">
        <f>"62255"</f>
        <v>62255</v>
      </c>
      <c r="C46652" s="2">
        <v>1.29913068670099E-6</v>
      </c>
      <c r="D46652" s="2">
        <v>0</v>
      </c>
      <c r="E46652" s="2">
        <v>0</v>
      </c>
      <c r="F46652" s="2">
        <v>1.18418099969744E-6</v>
      </c>
    </row>
    <row r="46653" spans="1:6" x14ac:dyDescent="0.25">
      <c r="A46653" s="1" t="str">
        <f t="shared" si="1532"/>
        <v>99999</v>
      </c>
      <c r="B46653" s="1" t="str">
        <f>"73553"</f>
        <v>73553</v>
      </c>
      <c r="C46653" s="2">
        <v>3.2478267167524799E-6</v>
      </c>
      <c r="D46653" s="2">
        <v>1.50570889527644E-6</v>
      </c>
      <c r="E46653" s="2">
        <v>4.3010567696482999E-6</v>
      </c>
      <c r="F46653" s="2">
        <v>3.1578159991931699E-6</v>
      </c>
    </row>
    <row r="46654" spans="1:6" x14ac:dyDescent="0.25">
      <c r="A46654" s="1" t="str">
        <f t="shared" si="1532"/>
        <v>99999</v>
      </c>
      <c r="B46654" s="1" t="str">
        <f>"15334"</f>
        <v>15334</v>
      </c>
      <c r="C46654" s="2">
        <v>7.1452187768554602E-6</v>
      </c>
      <c r="D46654" s="2">
        <v>0</v>
      </c>
      <c r="E46654" s="2">
        <v>8.6021135392965999E-6</v>
      </c>
      <c r="F46654" s="2">
        <v>6.7103589982854999E-6</v>
      </c>
    </row>
    <row r="46655" spans="1:6" x14ac:dyDescent="0.25">
      <c r="A46655" s="1" t="str">
        <f t="shared" si="1532"/>
        <v>99999</v>
      </c>
      <c r="B46655" s="1" t="str">
        <f>"46778"</f>
        <v>46778</v>
      </c>
      <c r="C46655" s="2">
        <v>6.49565343350497E-6</v>
      </c>
      <c r="D46655" s="2">
        <v>0</v>
      </c>
      <c r="E46655" s="2">
        <v>4.3010567696482999E-6</v>
      </c>
      <c r="F46655" s="2">
        <v>6.0195867484619901E-6</v>
      </c>
    </row>
    <row r="46656" spans="1:6" x14ac:dyDescent="0.25">
      <c r="A46656" s="1" t="str">
        <f t="shared" si="1532"/>
        <v>99999</v>
      </c>
      <c r="B46656" s="1" t="str">
        <f>"47552"</f>
        <v>47552</v>
      </c>
      <c r="C46656" s="2">
        <v>7.3617405579722903E-6</v>
      </c>
      <c r="D46656" s="2">
        <v>9.0342533716586405E-6</v>
      </c>
      <c r="E46656" s="2">
        <v>4.3010567696482999E-6</v>
      </c>
      <c r="F46656" s="2">
        <v>7.4011312481090098E-6</v>
      </c>
    </row>
    <row r="46657" spans="1:6" x14ac:dyDescent="0.25">
      <c r="A46657" s="1" t="str">
        <f t="shared" si="1532"/>
        <v>99999</v>
      </c>
      <c r="B46657" s="1" t="str">
        <f>"47223"</f>
        <v>47223</v>
      </c>
      <c r="C46657" s="2">
        <v>6.49565343350497E-7</v>
      </c>
      <c r="D46657" s="2">
        <v>0</v>
      </c>
      <c r="E46657" s="2">
        <v>0</v>
      </c>
      <c r="F46657" s="2">
        <v>5.9209049984871999E-7</v>
      </c>
    </row>
    <row r="46658" spans="1:6" x14ac:dyDescent="0.25">
      <c r="A46658" s="1" t="str">
        <f t="shared" si="1532"/>
        <v>99999</v>
      </c>
      <c r="B46658" s="1" t="str">
        <f>"54464"</f>
        <v>54464</v>
      </c>
      <c r="C46658" s="2">
        <v>4.5469574034534697E-6</v>
      </c>
      <c r="D46658" s="2">
        <v>0</v>
      </c>
      <c r="E46658" s="2">
        <v>8.6021135392965999E-6</v>
      </c>
      <c r="F46658" s="2">
        <v>4.3419969988906098E-6</v>
      </c>
    </row>
    <row r="46659" spans="1:6" x14ac:dyDescent="0.25">
      <c r="A46659" s="1" t="str">
        <f t="shared" si="1532"/>
        <v>99999</v>
      </c>
      <c r="B46659" s="1" t="str">
        <f>"68863"</f>
        <v>68863</v>
      </c>
      <c r="C46659" s="2">
        <v>3.46434849786931E-6</v>
      </c>
      <c r="D46659" s="2">
        <v>1.50570889527644E-6</v>
      </c>
      <c r="E46659" s="2">
        <v>0</v>
      </c>
      <c r="F46659" s="2">
        <v>3.2564977491679601E-6</v>
      </c>
    </row>
    <row r="46660" spans="1:6" x14ac:dyDescent="0.25">
      <c r="A46660" s="1" t="str">
        <f t="shared" si="1532"/>
        <v>99999</v>
      </c>
      <c r="B46660" s="1" t="str">
        <f>"74601"</f>
        <v>74601</v>
      </c>
      <c r="C46660" s="2">
        <v>4.8717400751287203E-6</v>
      </c>
      <c r="D46660" s="2">
        <v>1.50570889527644E-6</v>
      </c>
      <c r="E46660" s="2">
        <v>0</v>
      </c>
      <c r="F46660" s="2">
        <v>4.5393604988401904E-6</v>
      </c>
    </row>
    <row r="46661" spans="1:6" x14ac:dyDescent="0.25">
      <c r="A46661" s="1" t="str">
        <f t="shared" si="1532"/>
        <v>99999</v>
      </c>
      <c r="B46661" s="1" t="str">
        <f>"84072"</f>
        <v>84072</v>
      </c>
      <c r="C46661" s="2">
        <v>6.0626098712712997E-6</v>
      </c>
      <c r="D46661" s="2">
        <v>3.01141779055288E-6</v>
      </c>
      <c r="E46661" s="2">
        <v>4.3010567696482999E-6</v>
      </c>
      <c r="F46661" s="2">
        <v>5.8222232485124198E-6</v>
      </c>
    </row>
    <row r="46662" spans="1:6" x14ac:dyDescent="0.25">
      <c r="A46662" s="1" t="str">
        <f t="shared" ref="A46662:A46725" si="1533">"99999"</f>
        <v>99999</v>
      </c>
      <c r="B46662" s="1" t="str">
        <f>"95563"</f>
        <v>95563</v>
      </c>
      <c r="C46662" s="2">
        <v>0</v>
      </c>
      <c r="D46662" s="2">
        <v>1.50570889527644E-6</v>
      </c>
      <c r="E46662" s="2">
        <v>4.3010567696482999E-6</v>
      </c>
      <c r="F46662" s="2">
        <v>1.9736349994957301E-7</v>
      </c>
    </row>
    <row r="46663" spans="1:6" x14ac:dyDescent="0.25">
      <c r="A46663" s="1" t="str">
        <f t="shared" si="1533"/>
        <v>99999</v>
      </c>
      <c r="B46663" s="1" t="str">
        <f>"12032"</f>
        <v>12032</v>
      </c>
      <c r="C46663" s="2">
        <v>2.0569569206099001E-6</v>
      </c>
      <c r="D46663" s="2">
        <v>0</v>
      </c>
      <c r="E46663" s="2">
        <v>0</v>
      </c>
      <c r="F46663" s="2">
        <v>1.8749532495209401E-6</v>
      </c>
    </row>
    <row r="46664" spans="1:6" x14ac:dyDescent="0.25">
      <c r="A46664" s="1" t="str">
        <f t="shared" si="1533"/>
        <v>99999</v>
      </c>
      <c r="B46664" s="1" t="str">
        <f>"14864"</f>
        <v>14864</v>
      </c>
      <c r="C46664" s="2">
        <v>8.5526103541148705E-6</v>
      </c>
      <c r="D46664" s="2">
        <v>6.0228355811057601E-6</v>
      </c>
      <c r="E46664" s="2">
        <v>8.6021135392965999E-6</v>
      </c>
      <c r="F46664" s="2">
        <v>8.3879487478568692E-6</v>
      </c>
    </row>
    <row r="46665" spans="1:6" x14ac:dyDescent="0.25">
      <c r="A46665" s="1" t="str">
        <f t="shared" si="1533"/>
        <v>99999</v>
      </c>
      <c r="B46665" s="1" t="str">
        <f>"23909"</f>
        <v>23909</v>
      </c>
      <c r="C46665" s="2">
        <v>1.08260890558416E-7</v>
      </c>
      <c r="D46665" s="2">
        <v>0</v>
      </c>
      <c r="E46665" s="2">
        <v>0</v>
      </c>
      <c r="F46665" s="2">
        <v>9.8681749974786797E-8</v>
      </c>
    </row>
    <row r="46666" spans="1:6" x14ac:dyDescent="0.25">
      <c r="A46666" s="1" t="str">
        <f t="shared" si="1533"/>
        <v>99999</v>
      </c>
      <c r="B46666" s="1" t="str">
        <f>"36052"</f>
        <v>36052</v>
      </c>
      <c r="C46666" s="2">
        <v>2.9230440450772301E-6</v>
      </c>
      <c r="D46666" s="2">
        <v>3.01141779055288E-6</v>
      </c>
      <c r="E46666" s="2">
        <v>0</v>
      </c>
      <c r="F46666" s="2">
        <v>2.8617707492688101E-6</v>
      </c>
    </row>
    <row r="46667" spans="1:6" x14ac:dyDescent="0.25">
      <c r="A46667" s="1" t="str">
        <f t="shared" si="1533"/>
        <v>99999</v>
      </c>
      <c r="B46667" s="1" t="str">
        <f>"43772"</f>
        <v>43772</v>
      </c>
      <c r="C46667" s="2">
        <v>3.1179136480823802E-5</v>
      </c>
      <c r="D46667" s="2">
        <v>9.0342533716586405E-6</v>
      </c>
      <c r="E46667" s="2">
        <v>0</v>
      </c>
      <c r="F46667" s="2">
        <v>2.9012434492587301E-5</v>
      </c>
    </row>
    <row r="46668" spans="1:6" x14ac:dyDescent="0.25">
      <c r="A46668" s="1" t="str">
        <f t="shared" si="1533"/>
        <v>99999</v>
      </c>
      <c r="B46668" s="1" t="str">
        <f>"50044"</f>
        <v>50044</v>
      </c>
      <c r="C46668" s="2">
        <v>9.7434801502574508E-7</v>
      </c>
      <c r="D46668" s="2">
        <v>0</v>
      </c>
      <c r="E46668" s="2">
        <v>0</v>
      </c>
      <c r="F46668" s="2">
        <v>8.8813574977308104E-7</v>
      </c>
    </row>
    <row r="46669" spans="1:6" x14ac:dyDescent="0.25">
      <c r="A46669" s="1" t="str">
        <f t="shared" si="1533"/>
        <v>99999</v>
      </c>
      <c r="B46669" s="1" t="str">
        <f>"57224"</f>
        <v>57224</v>
      </c>
      <c r="C46669" s="2">
        <v>9.3104365880237906E-6</v>
      </c>
      <c r="D46669" s="2">
        <v>0</v>
      </c>
      <c r="E46669" s="2">
        <v>4.3010567696482999E-6</v>
      </c>
      <c r="F46669" s="2">
        <v>8.5853122478064497E-6</v>
      </c>
    </row>
    <row r="46670" spans="1:6" x14ac:dyDescent="0.25">
      <c r="A46670" s="1" t="str">
        <f t="shared" si="1533"/>
        <v>99999</v>
      </c>
      <c r="B46670" s="1" t="str">
        <f>"57354"</f>
        <v>57354</v>
      </c>
      <c r="C46670" s="2">
        <v>3.7891311695445602E-6</v>
      </c>
      <c r="D46670" s="2">
        <v>0</v>
      </c>
      <c r="E46670" s="2">
        <v>4.3010567696482999E-6</v>
      </c>
      <c r="F46670" s="2">
        <v>3.5525429990923199E-6</v>
      </c>
    </row>
    <row r="46671" spans="1:6" x14ac:dyDescent="0.25">
      <c r="A46671" s="1" t="str">
        <f t="shared" si="1533"/>
        <v>99999</v>
      </c>
      <c r="B46671" s="1" t="str">
        <f>"76682"</f>
        <v>76682</v>
      </c>
      <c r="C46671" s="2">
        <v>5.4130445279207995E-7</v>
      </c>
      <c r="D46671" s="2">
        <v>0</v>
      </c>
      <c r="E46671" s="2">
        <v>0</v>
      </c>
      <c r="F46671" s="2">
        <v>4.9340874987393396E-7</v>
      </c>
    </row>
    <row r="46672" spans="1:6" x14ac:dyDescent="0.25">
      <c r="A46672" s="1" t="str">
        <f t="shared" si="1533"/>
        <v>99999</v>
      </c>
      <c r="B46672" s="1" t="str">
        <f>"04227"</f>
        <v>04227</v>
      </c>
      <c r="C46672" s="2">
        <v>0</v>
      </c>
      <c r="D46672" s="2">
        <v>0</v>
      </c>
      <c r="E46672" s="2">
        <v>4.3010567696482999E-6</v>
      </c>
      <c r="F46672" s="2">
        <v>9.8681749974786797E-8</v>
      </c>
    </row>
    <row r="46673" spans="1:6" x14ac:dyDescent="0.25">
      <c r="A46673" s="1" t="str">
        <f t="shared" si="1533"/>
        <v>99999</v>
      </c>
      <c r="B46673" s="1" t="str">
        <f>"59547"</f>
        <v>59547</v>
      </c>
      <c r="C46673" s="2">
        <v>2.3817395922851499E-6</v>
      </c>
      <c r="D46673" s="2">
        <v>0</v>
      </c>
      <c r="E46673" s="2">
        <v>4.3010567696482999E-6</v>
      </c>
      <c r="F46673" s="2">
        <v>2.2696802494200901E-6</v>
      </c>
    </row>
    <row r="46674" spans="1:6" x14ac:dyDescent="0.25">
      <c r="A46674" s="1" t="str">
        <f t="shared" si="1533"/>
        <v>99999</v>
      </c>
      <c r="B46674" s="1" t="str">
        <f>"73644"</f>
        <v>73644</v>
      </c>
      <c r="C46674" s="2">
        <v>3.3560876073109E-6</v>
      </c>
      <c r="D46674" s="2">
        <v>0</v>
      </c>
      <c r="E46674" s="2">
        <v>0</v>
      </c>
      <c r="F46674" s="2">
        <v>3.0591342492183902E-6</v>
      </c>
    </row>
    <row r="46675" spans="1:6" x14ac:dyDescent="0.25">
      <c r="A46675" s="1" t="str">
        <f t="shared" si="1533"/>
        <v>99999</v>
      </c>
      <c r="B46675" s="1" t="str">
        <f>"89047"</f>
        <v>89047</v>
      </c>
      <c r="C46675" s="2">
        <v>0</v>
      </c>
      <c r="D46675" s="2">
        <v>0</v>
      </c>
      <c r="E46675" s="2">
        <v>8.6021135392965999E-6</v>
      </c>
      <c r="F46675" s="2">
        <v>1.9736349994957301E-7</v>
      </c>
    </row>
    <row r="46676" spans="1:6" x14ac:dyDescent="0.25">
      <c r="A46676" s="1" t="str">
        <f t="shared" si="1533"/>
        <v>99999</v>
      </c>
      <c r="B46676" s="1" t="str">
        <f>"99744"</f>
        <v>99744</v>
      </c>
      <c r="C46676" s="2">
        <v>0</v>
      </c>
      <c r="D46676" s="2">
        <v>0</v>
      </c>
      <c r="E46676" s="2">
        <v>4.3010567696482999E-6</v>
      </c>
      <c r="F46676" s="2">
        <v>9.8681749974786797E-8</v>
      </c>
    </row>
    <row r="46677" spans="1:6" x14ac:dyDescent="0.25">
      <c r="A46677" s="1" t="str">
        <f t="shared" si="1533"/>
        <v>99999</v>
      </c>
      <c r="B46677" s="1" t="str">
        <f>"24569"</f>
        <v>24569</v>
      </c>
      <c r="C46677" s="2">
        <v>9.2021756974653701E-6</v>
      </c>
      <c r="D46677" s="2">
        <v>1.50570889527644E-6</v>
      </c>
      <c r="E46677" s="2">
        <v>0</v>
      </c>
      <c r="F46677" s="2">
        <v>8.4866304978316595E-6</v>
      </c>
    </row>
    <row r="46678" spans="1:6" x14ac:dyDescent="0.25">
      <c r="A46678" s="1" t="str">
        <f t="shared" si="1533"/>
        <v>99999</v>
      </c>
      <c r="B46678" s="1" t="str">
        <f>"59015"</f>
        <v>59015</v>
      </c>
      <c r="C46678" s="2">
        <v>1.84043513949307E-6</v>
      </c>
      <c r="D46678" s="2">
        <v>0</v>
      </c>
      <c r="E46678" s="2">
        <v>0</v>
      </c>
      <c r="F46678" s="2">
        <v>1.6775897495713699E-6</v>
      </c>
    </row>
    <row r="46679" spans="1:6" x14ac:dyDescent="0.25">
      <c r="A46679" s="1" t="str">
        <f t="shared" si="1533"/>
        <v>99999</v>
      </c>
      <c r="B46679" s="1" t="str">
        <f>"63820"</f>
        <v>63820</v>
      </c>
      <c r="C46679" s="2">
        <v>4.7634791845703099E-6</v>
      </c>
      <c r="D46679" s="2">
        <v>0</v>
      </c>
      <c r="E46679" s="2">
        <v>4.3010567696482999E-6</v>
      </c>
      <c r="F46679" s="2">
        <v>4.4406787488654001E-6</v>
      </c>
    </row>
    <row r="46680" spans="1:6" x14ac:dyDescent="0.25">
      <c r="A46680" s="1" t="str">
        <f t="shared" si="1533"/>
        <v>99999</v>
      </c>
      <c r="B46680" s="1" t="str">
        <f>"68758"</f>
        <v>68758</v>
      </c>
      <c r="C46680" s="2">
        <v>3.0313049356356498E-6</v>
      </c>
      <c r="D46680" s="2">
        <v>0</v>
      </c>
      <c r="E46680" s="2">
        <v>0</v>
      </c>
      <c r="F46680" s="2">
        <v>2.76308899929403E-6</v>
      </c>
    </row>
    <row r="46681" spans="1:6" x14ac:dyDescent="0.25">
      <c r="A46681" s="1" t="str">
        <f t="shared" si="1533"/>
        <v>99999</v>
      </c>
      <c r="B46681" s="1" t="str">
        <f>"57779"</f>
        <v>57779</v>
      </c>
      <c r="C46681" s="2">
        <v>8.6608712446732898E-7</v>
      </c>
      <c r="D46681" s="2">
        <v>1.50570889527644E-6</v>
      </c>
      <c r="E46681" s="2">
        <v>0</v>
      </c>
      <c r="F46681" s="2">
        <v>8.8813574977308104E-7</v>
      </c>
    </row>
    <row r="46682" spans="1:6" x14ac:dyDescent="0.25">
      <c r="A46682" s="1" t="str">
        <f t="shared" si="1533"/>
        <v>99999</v>
      </c>
      <c r="B46682" s="1" t="str">
        <f>"57657"</f>
        <v>57657</v>
      </c>
      <c r="C46682" s="2">
        <v>8.1195667918812104E-6</v>
      </c>
      <c r="D46682" s="2">
        <v>4.5171266858293203E-6</v>
      </c>
      <c r="E46682" s="2">
        <v>4.3010567696482999E-6</v>
      </c>
      <c r="F46682" s="2">
        <v>7.7958582480081497E-6</v>
      </c>
    </row>
    <row r="46683" spans="1:6" x14ac:dyDescent="0.25">
      <c r="A46683" s="1" t="str">
        <f t="shared" si="1533"/>
        <v>99999</v>
      </c>
      <c r="B46683" s="1" t="str">
        <f>"59081"</f>
        <v>59081</v>
      </c>
      <c r="C46683" s="2">
        <v>6.2791316523881298E-6</v>
      </c>
      <c r="D46683" s="2">
        <v>6.0228355811057601E-6</v>
      </c>
      <c r="E46683" s="2">
        <v>1.29031703089449E-5</v>
      </c>
      <c r="F46683" s="2">
        <v>6.4143137483611402E-6</v>
      </c>
    </row>
    <row r="46684" spans="1:6" x14ac:dyDescent="0.25">
      <c r="A46684" s="1" t="str">
        <f t="shared" si="1533"/>
        <v>99999</v>
      </c>
      <c r="B46684" s="1" t="str">
        <f>"58735"</f>
        <v>58735</v>
      </c>
      <c r="C46684" s="2">
        <v>6.1708707618297202E-6</v>
      </c>
      <c r="D46684" s="2">
        <v>1.50570889527644E-6</v>
      </c>
      <c r="E46684" s="2">
        <v>0</v>
      </c>
      <c r="F46684" s="2">
        <v>5.7235414985376303E-6</v>
      </c>
    </row>
    <row r="46685" spans="1:6" x14ac:dyDescent="0.25">
      <c r="A46685" s="1" t="str">
        <f t="shared" si="1533"/>
        <v>99999</v>
      </c>
      <c r="B46685" s="1" t="str">
        <f>"59024"</f>
        <v>59024</v>
      </c>
      <c r="C46685" s="2">
        <v>5.4130445279207995E-7</v>
      </c>
      <c r="D46685" s="2">
        <v>1.50570889527644E-6</v>
      </c>
      <c r="E46685" s="2">
        <v>0</v>
      </c>
      <c r="F46685" s="2">
        <v>5.9209049984871999E-7</v>
      </c>
    </row>
    <row r="46686" spans="1:6" x14ac:dyDescent="0.25">
      <c r="A46686" s="1" t="str">
        <f t="shared" si="1533"/>
        <v>99999</v>
      </c>
      <c r="B46686" s="1" t="str">
        <f>"58830"</f>
        <v>58830</v>
      </c>
      <c r="C46686" s="2">
        <v>5.7378271995960499E-6</v>
      </c>
      <c r="D46686" s="2">
        <v>0</v>
      </c>
      <c r="E46686" s="2">
        <v>0</v>
      </c>
      <c r="F46686" s="2">
        <v>5.2301327486637002E-6</v>
      </c>
    </row>
    <row r="46687" spans="1:6" x14ac:dyDescent="0.25">
      <c r="A46687" s="1" t="str">
        <f t="shared" si="1533"/>
        <v>99999</v>
      </c>
      <c r="B46687" s="1" t="str">
        <f>"58430"</f>
        <v>58430</v>
      </c>
      <c r="C46687" s="2">
        <v>6.2791316523881298E-6</v>
      </c>
      <c r="D46687" s="2">
        <v>0</v>
      </c>
      <c r="E46687" s="2">
        <v>4.3010567696482999E-6</v>
      </c>
      <c r="F46687" s="2">
        <v>5.8222232485124198E-6</v>
      </c>
    </row>
    <row r="46688" spans="1:6" x14ac:dyDescent="0.25">
      <c r="A46688" s="1" t="str">
        <f t="shared" si="1533"/>
        <v>99999</v>
      </c>
      <c r="B46688" s="1" t="str">
        <f>"68029"</f>
        <v>68029</v>
      </c>
      <c r="C46688" s="2">
        <v>2.7065222639604001E-6</v>
      </c>
      <c r="D46688" s="2">
        <v>1.50570889527644E-6</v>
      </c>
      <c r="E46688" s="2">
        <v>0</v>
      </c>
      <c r="F46688" s="2">
        <v>2.5657254993444499E-6</v>
      </c>
    </row>
    <row r="46689" spans="1:6" x14ac:dyDescent="0.25">
      <c r="A46689" s="1" t="str">
        <f t="shared" si="1533"/>
        <v>99999</v>
      </c>
      <c r="B46689" s="1" t="str">
        <f>"67061"</f>
        <v>67061</v>
      </c>
      <c r="C46689" s="2">
        <v>1.14756543991921E-5</v>
      </c>
      <c r="D46689" s="2">
        <v>9.0342533716586405E-6</v>
      </c>
      <c r="E46689" s="2">
        <v>1.29031703089449E-5</v>
      </c>
      <c r="F46689" s="2">
        <v>1.1348401247100399E-5</v>
      </c>
    </row>
    <row r="46690" spans="1:6" x14ac:dyDescent="0.25">
      <c r="A46690" s="1" t="str">
        <f t="shared" si="1533"/>
        <v>99999</v>
      </c>
      <c r="B46690" s="1" t="str">
        <f>"73764"</f>
        <v>73764</v>
      </c>
      <c r="C46690" s="2">
        <v>1.39656548820356E-5</v>
      </c>
      <c r="D46690" s="2">
        <v>1.65627978480408E-5</v>
      </c>
      <c r="E46690" s="2">
        <v>0</v>
      </c>
      <c r="F46690" s="2">
        <v>1.38154449964701E-5</v>
      </c>
    </row>
    <row r="46691" spans="1:6" x14ac:dyDescent="0.25">
      <c r="A46691" s="1" t="str">
        <f t="shared" si="1533"/>
        <v>99999</v>
      </c>
      <c r="B46691" s="1" t="str">
        <f>"79342"</f>
        <v>79342</v>
      </c>
      <c r="C46691" s="2">
        <v>4.5469574034534697E-6</v>
      </c>
      <c r="D46691" s="2">
        <v>4.5171266858293203E-6</v>
      </c>
      <c r="E46691" s="2">
        <v>8.6021135392965999E-6</v>
      </c>
      <c r="F46691" s="2">
        <v>4.6380422488149798E-6</v>
      </c>
    </row>
    <row r="46692" spans="1:6" x14ac:dyDescent="0.25">
      <c r="A46692" s="1" t="str">
        <f t="shared" si="1533"/>
        <v>99999</v>
      </c>
      <c r="B46692" s="1" t="str">
        <f>"79244"</f>
        <v>79244</v>
      </c>
      <c r="C46692" s="2">
        <v>7.5782623390891297E-6</v>
      </c>
      <c r="D46692" s="2">
        <v>3.01141779055288E-6</v>
      </c>
      <c r="E46692" s="2">
        <v>0</v>
      </c>
      <c r="F46692" s="2">
        <v>7.10508599818465E-6</v>
      </c>
    </row>
    <row r="46693" spans="1:6" x14ac:dyDescent="0.25">
      <c r="A46693" s="1" t="str">
        <f t="shared" si="1533"/>
        <v>99999</v>
      </c>
      <c r="B46693" s="1" t="str">
        <f>"78102"</f>
        <v>78102</v>
      </c>
      <c r="C46693" s="2">
        <v>3.46434849786931E-6</v>
      </c>
      <c r="D46693" s="2">
        <v>1.50570889527644E-6</v>
      </c>
      <c r="E46693" s="2">
        <v>0</v>
      </c>
      <c r="F46693" s="2">
        <v>3.2564977491679601E-6</v>
      </c>
    </row>
    <row r="46694" spans="1:6" x14ac:dyDescent="0.25">
      <c r="A46694" s="1" t="str">
        <f t="shared" si="1533"/>
        <v>99999</v>
      </c>
      <c r="B46694" s="1" t="str">
        <f>"78620"</f>
        <v>78620</v>
      </c>
      <c r="C46694" s="2">
        <v>8.1195667918812104E-6</v>
      </c>
      <c r="D46694" s="2">
        <v>0</v>
      </c>
      <c r="E46694" s="2">
        <v>0</v>
      </c>
      <c r="F46694" s="2">
        <v>7.4011312481090098E-6</v>
      </c>
    </row>
    <row r="46695" spans="1:6" x14ac:dyDescent="0.25">
      <c r="A46695" s="1" t="str">
        <f t="shared" si="1533"/>
        <v>99999</v>
      </c>
      <c r="B46695" s="1" t="str">
        <f>"81434"</f>
        <v>81434</v>
      </c>
      <c r="C46695" s="2">
        <v>7.3617405579722903E-6</v>
      </c>
      <c r="D46695" s="2">
        <v>4.5171266858293203E-6</v>
      </c>
      <c r="E46695" s="2">
        <v>2.15052838482415E-5</v>
      </c>
      <c r="F46695" s="2">
        <v>7.4998129980837899E-6</v>
      </c>
    </row>
    <row r="46696" spans="1:6" x14ac:dyDescent="0.25">
      <c r="A46696" s="1" t="str">
        <f t="shared" si="1533"/>
        <v>99999</v>
      </c>
      <c r="B46696" s="1" t="str">
        <f>"82432"</f>
        <v>82432</v>
      </c>
      <c r="C46696" s="2">
        <v>8.9856539163485408E-6</v>
      </c>
      <c r="D46696" s="2">
        <v>4.5171266858293203E-6</v>
      </c>
      <c r="E46696" s="2">
        <v>8.6021135392965999E-6</v>
      </c>
      <c r="F46696" s="2">
        <v>8.6839939977812298E-6</v>
      </c>
    </row>
    <row r="46697" spans="1:6" x14ac:dyDescent="0.25">
      <c r="A46697" s="1" t="str">
        <f t="shared" si="1533"/>
        <v>99999</v>
      </c>
      <c r="B46697" s="1" t="str">
        <f>"80434"</f>
        <v>80434</v>
      </c>
      <c r="C46697" s="2">
        <v>3.2478267167524799E-6</v>
      </c>
      <c r="D46697" s="2">
        <v>0</v>
      </c>
      <c r="E46697" s="2">
        <v>4.3010567696482999E-6</v>
      </c>
      <c r="F46697" s="2">
        <v>3.0591342492183902E-6</v>
      </c>
    </row>
    <row r="46698" spans="1:6" x14ac:dyDescent="0.25">
      <c r="A46698" s="1" t="str">
        <f t="shared" si="1533"/>
        <v>99999</v>
      </c>
      <c r="B46698" s="1" t="str">
        <f>"96057"</f>
        <v>96057</v>
      </c>
      <c r="C46698" s="2">
        <v>7.5782623390891299E-7</v>
      </c>
      <c r="D46698" s="2">
        <v>1.50570889527644E-6</v>
      </c>
      <c r="E46698" s="2">
        <v>4.3010567696482999E-6</v>
      </c>
      <c r="F46698" s="2">
        <v>8.8813574977308104E-7</v>
      </c>
    </row>
    <row r="46699" spans="1:6" x14ac:dyDescent="0.25">
      <c r="A46699" s="1" t="str">
        <f t="shared" si="1533"/>
        <v>99999</v>
      </c>
      <c r="B46699" s="1" t="str">
        <f>"12750"</f>
        <v>12750</v>
      </c>
      <c r="C46699" s="2">
        <v>3.0313049356356498E-6</v>
      </c>
      <c r="D46699" s="2">
        <v>3.01141779055288E-6</v>
      </c>
      <c r="E46699" s="2">
        <v>4.3010567696482999E-6</v>
      </c>
      <c r="F46699" s="2">
        <v>3.0591342492183902E-6</v>
      </c>
    </row>
    <row r="46700" spans="1:6" x14ac:dyDescent="0.25">
      <c r="A46700" s="1" t="str">
        <f t="shared" si="1533"/>
        <v>99999</v>
      </c>
      <c r="B46700" s="1" t="str">
        <f>"14082"</f>
        <v>14082</v>
      </c>
      <c r="C46700" s="2">
        <v>1.8187829613813899E-5</v>
      </c>
      <c r="D46700" s="2">
        <v>9.0342533716586405E-6</v>
      </c>
      <c r="E46700" s="2">
        <v>1.29031703089449E-5</v>
      </c>
      <c r="F46700" s="2">
        <v>1.7466669745537199E-5</v>
      </c>
    </row>
    <row r="46701" spans="1:6" x14ac:dyDescent="0.25">
      <c r="A46701" s="1" t="str">
        <f t="shared" si="1533"/>
        <v>99999</v>
      </c>
      <c r="B46701" s="1" t="str">
        <f>"14065"</f>
        <v>14065</v>
      </c>
      <c r="C46701" s="2">
        <v>1.8187829613813899E-5</v>
      </c>
      <c r="D46701" s="2">
        <v>3.01141779055288E-6</v>
      </c>
      <c r="E46701" s="2">
        <v>0</v>
      </c>
      <c r="F46701" s="2">
        <v>1.6775897495713701E-5</v>
      </c>
    </row>
    <row r="46702" spans="1:6" x14ac:dyDescent="0.25">
      <c r="A46702" s="1" t="str">
        <f t="shared" si="1533"/>
        <v>99999</v>
      </c>
      <c r="B46702" s="1" t="str">
        <f>"18430"</f>
        <v>18430</v>
      </c>
      <c r="C46702" s="2">
        <v>3.7891311695445602E-6</v>
      </c>
      <c r="D46702" s="2">
        <v>3.01141779055288E-6</v>
      </c>
      <c r="E46702" s="2">
        <v>0</v>
      </c>
      <c r="F46702" s="2">
        <v>3.6512247490671102E-6</v>
      </c>
    </row>
    <row r="46703" spans="1:6" x14ac:dyDescent="0.25">
      <c r="A46703" s="1" t="str">
        <f t="shared" si="1533"/>
        <v>99999</v>
      </c>
      <c r="B46703" s="1" t="str">
        <f>"32358"</f>
        <v>32358</v>
      </c>
      <c r="C46703" s="2">
        <v>3.9623485944380299E-5</v>
      </c>
      <c r="D46703" s="2">
        <v>1.50570889527644E-5</v>
      </c>
      <c r="E46703" s="2">
        <v>1.29031703089449E-5</v>
      </c>
      <c r="F46703" s="2">
        <v>3.7400383240444202E-5</v>
      </c>
    </row>
    <row r="46704" spans="1:6" x14ac:dyDescent="0.25">
      <c r="A46704" s="1" t="str">
        <f t="shared" si="1533"/>
        <v>99999</v>
      </c>
      <c r="B46704" s="1" t="str">
        <f>"42452"</f>
        <v>42452</v>
      </c>
      <c r="C46704" s="2">
        <v>4.5469574034534697E-6</v>
      </c>
      <c r="D46704" s="2">
        <v>1.50570889527644E-6</v>
      </c>
      <c r="E46704" s="2">
        <v>0</v>
      </c>
      <c r="F46704" s="2">
        <v>4.2433152489158297E-6</v>
      </c>
    </row>
    <row r="46705" spans="1:6" x14ac:dyDescent="0.25">
      <c r="A46705" s="1" t="str">
        <f t="shared" si="1533"/>
        <v>99999</v>
      </c>
      <c r="B46705" s="1" t="str">
        <f>"44621"</f>
        <v>44621</v>
      </c>
      <c r="C46705" s="2">
        <v>1.07178281652832E-5</v>
      </c>
      <c r="D46705" s="2">
        <v>6.0228355811057601E-6</v>
      </c>
      <c r="E46705" s="2">
        <v>0</v>
      </c>
      <c r="F46705" s="2">
        <v>1.0164220247403001E-5</v>
      </c>
    </row>
    <row r="46706" spans="1:6" x14ac:dyDescent="0.25">
      <c r="A46706" s="1" t="str">
        <f t="shared" si="1533"/>
        <v>99999</v>
      </c>
      <c r="B46706" s="1" t="str">
        <f>"44610"</f>
        <v>44610</v>
      </c>
      <c r="C46706" s="2">
        <v>0</v>
      </c>
      <c r="D46706" s="2">
        <v>3.01141779055288E-6</v>
      </c>
      <c r="E46706" s="2">
        <v>4.3010567696482999E-6</v>
      </c>
      <c r="F46706" s="2">
        <v>2.9604524992435999E-7</v>
      </c>
    </row>
    <row r="46707" spans="1:6" x14ac:dyDescent="0.25">
      <c r="A46707" s="1" t="str">
        <f t="shared" si="1533"/>
        <v>99999</v>
      </c>
      <c r="B46707" s="1" t="str">
        <f>"47977"</f>
        <v>47977</v>
      </c>
      <c r="C46707" s="2">
        <v>9.7434801502574508E-7</v>
      </c>
      <c r="D46707" s="2">
        <v>1.50570889527644E-6</v>
      </c>
      <c r="E46707" s="2">
        <v>0</v>
      </c>
      <c r="F46707" s="2">
        <v>9.8681749974786791E-7</v>
      </c>
    </row>
    <row r="46708" spans="1:6" x14ac:dyDescent="0.25">
      <c r="A46708" s="1" t="str">
        <f t="shared" si="1533"/>
        <v>99999</v>
      </c>
      <c r="B46708" s="1" t="str">
        <f>"52737"</f>
        <v>52737</v>
      </c>
      <c r="C46708" s="2">
        <v>1.6347394474320801E-5</v>
      </c>
      <c r="D46708" s="2">
        <v>7.5285444763821999E-6</v>
      </c>
      <c r="E46708" s="2">
        <v>0</v>
      </c>
      <c r="F46708" s="2">
        <v>1.5394352996066698E-5</v>
      </c>
    </row>
    <row r="46709" spans="1:6" x14ac:dyDescent="0.25">
      <c r="A46709" s="1" t="str">
        <f t="shared" si="1533"/>
        <v>99999</v>
      </c>
      <c r="B46709" s="1" t="str">
        <f>"52053"</f>
        <v>52053</v>
      </c>
      <c r="C46709" s="2">
        <v>9.3104365880237906E-6</v>
      </c>
      <c r="D46709" s="2">
        <v>1.50570889527644E-6</v>
      </c>
      <c r="E46709" s="2">
        <v>0</v>
      </c>
      <c r="F46709" s="2">
        <v>8.5853122478064497E-6</v>
      </c>
    </row>
    <row r="46710" spans="1:6" x14ac:dyDescent="0.25">
      <c r="A46710" s="1" t="str">
        <f t="shared" si="1533"/>
        <v>99999</v>
      </c>
      <c r="B46710" s="1" t="str">
        <f>"59647"</f>
        <v>59647</v>
      </c>
      <c r="C46710" s="2">
        <v>1.18004370708673E-5</v>
      </c>
      <c r="D46710" s="2">
        <v>3.01141779055288E-6</v>
      </c>
      <c r="E46710" s="2">
        <v>4.3010567696482999E-6</v>
      </c>
      <c r="F46710" s="2">
        <v>1.10523559971761E-5</v>
      </c>
    </row>
    <row r="46711" spans="1:6" x14ac:dyDescent="0.25">
      <c r="A46711" s="1" t="str">
        <f t="shared" si="1533"/>
        <v>99999</v>
      </c>
      <c r="B46711" s="1" t="str">
        <f>"62939"</f>
        <v>62939</v>
      </c>
      <c r="C46711" s="2">
        <v>2.59826137340198E-6</v>
      </c>
      <c r="D46711" s="2">
        <v>0</v>
      </c>
      <c r="E46711" s="2">
        <v>0</v>
      </c>
      <c r="F46711" s="2">
        <v>2.3683619993948799E-6</v>
      </c>
    </row>
    <row r="46712" spans="1:6" x14ac:dyDescent="0.25">
      <c r="A46712" s="1" t="str">
        <f t="shared" si="1533"/>
        <v>99999</v>
      </c>
      <c r="B46712" s="1" t="str">
        <f>"67021"</f>
        <v>67021</v>
      </c>
      <c r="C46712" s="2">
        <v>4.6552182940118902E-6</v>
      </c>
      <c r="D46712" s="2">
        <v>1.35513800574879E-5</v>
      </c>
      <c r="E46712" s="2">
        <v>4.3010567696482999E-6</v>
      </c>
      <c r="F46712" s="2">
        <v>5.2301327486637002E-6</v>
      </c>
    </row>
    <row r="46713" spans="1:6" x14ac:dyDescent="0.25">
      <c r="A46713" s="1" t="str">
        <f t="shared" si="1533"/>
        <v>99999</v>
      </c>
      <c r="B46713" s="1" t="str">
        <f>"68952"</f>
        <v>68952</v>
      </c>
      <c r="C46713" s="2">
        <v>9.0939148069069495E-6</v>
      </c>
      <c r="D46713" s="2">
        <v>3.01141779055288E-6</v>
      </c>
      <c r="E46713" s="2">
        <v>0</v>
      </c>
      <c r="F46713" s="2">
        <v>8.4866304978316595E-6</v>
      </c>
    </row>
    <row r="46714" spans="1:6" x14ac:dyDescent="0.25">
      <c r="A46714" s="1" t="str">
        <f t="shared" si="1533"/>
        <v>99999</v>
      </c>
      <c r="B46714" s="1" t="str">
        <f>"75481"</f>
        <v>75481</v>
      </c>
      <c r="C46714" s="2">
        <v>4.6552182940118902E-6</v>
      </c>
      <c r="D46714" s="2">
        <v>0</v>
      </c>
      <c r="E46714" s="2">
        <v>0</v>
      </c>
      <c r="F46714" s="2">
        <v>4.2433152489158297E-6</v>
      </c>
    </row>
    <row r="46715" spans="1:6" x14ac:dyDescent="0.25">
      <c r="A46715" s="1" t="str">
        <f t="shared" si="1533"/>
        <v>99999</v>
      </c>
      <c r="B46715" s="1" t="str">
        <f>"79379"</f>
        <v>79379</v>
      </c>
      <c r="C46715" s="2">
        <v>1.08260890558416E-7</v>
      </c>
      <c r="D46715" s="2">
        <v>0</v>
      </c>
      <c r="E46715" s="2">
        <v>0</v>
      </c>
      <c r="F46715" s="2">
        <v>9.8681749974786797E-8</v>
      </c>
    </row>
    <row r="46716" spans="1:6" x14ac:dyDescent="0.25">
      <c r="A46716" s="1" t="str">
        <f t="shared" si="1533"/>
        <v>99999</v>
      </c>
      <c r="B46716" s="1" t="str">
        <f>"76466"</f>
        <v>76466</v>
      </c>
      <c r="C46716" s="2">
        <v>0</v>
      </c>
      <c r="D46716" s="2">
        <v>0</v>
      </c>
      <c r="E46716" s="2">
        <v>8.6021135392965999E-6</v>
      </c>
      <c r="F46716" s="2">
        <v>1.9736349994957301E-7</v>
      </c>
    </row>
    <row r="46717" spans="1:6" x14ac:dyDescent="0.25">
      <c r="A46717" s="1" t="str">
        <f t="shared" si="1533"/>
        <v>99999</v>
      </c>
      <c r="B46717" s="1" t="str">
        <f>"79044"</f>
        <v>79044</v>
      </c>
      <c r="C46717" s="2">
        <v>3.3560876073109E-6</v>
      </c>
      <c r="D46717" s="2">
        <v>7.5285444763821999E-6</v>
      </c>
      <c r="E46717" s="2">
        <v>8.6021135392965999E-6</v>
      </c>
      <c r="F46717" s="2">
        <v>3.7499064990418899E-6</v>
      </c>
    </row>
    <row r="46718" spans="1:6" x14ac:dyDescent="0.25">
      <c r="A46718" s="1" t="str">
        <f t="shared" si="1533"/>
        <v>99999</v>
      </c>
      <c r="B46718" s="1" t="str">
        <f>"81137"</f>
        <v>81137</v>
      </c>
      <c r="C46718" s="2">
        <v>1.05013063841663E-5</v>
      </c>
      <c r="D46718" s="2">
        <v>1.50570889527644E-6</v>
      </c>
      <c r="E46718" s="2">
        <v>3.01073973875381E-5</v>
      </c>
      <c r="F46718" s="2">
        <v>1.03615837473526E-5</v>
      </c>
    </row>
    <row r="46719" spans="1:6" x14ac:dyDescent="0.25">
      <c r="A46719" s="1" t="str">
        <f t="shared" si="1533"/>
        <v>99999</v>
      </c>
      <c r="B46719" s="1" t="str">
        <f>"81138"</f>
        <v>81138</v>
      </c>
      <c r="C46719" s="2">
        <v>2.9230440450772301E-6</v>
      </c>
      <c r="D46719" s="2">
        <v>0</v>
      </c>
      <c r="E46719" s="2">
        <v>8.6021135392965999E-6</v>
      </c>
      <c r="F46719" s="2">
        <v>2.8617707492688101E-6</v>
      </c>
    </row>
    <row r="46720" spans="1:6" x14ac:dyDescent="0.25">
      <c r="A46720" s="1" t="str">
        <f t="shared" si="1533"/>
        <v>99999</v>
      </c>
      <c r="B46720" s="1" t="str">
        <f>"95699"</f>
        <v>95699</v>
      </c>
      <c r="C46720" s="2">
        <v>9.0939148069069495E-6</v>
      </c>
      <c r="D46720" s="2">
        <v>1.20456711622115E-5</v>
      </c>
      <c r="E46720" s="2">
        <v>1.29031703089449E-5</v>
      </c>
      <c r="F46720" s="2">
        <v>9.3747662476047397E-6</v>
      </c>
    </row>
    <row r="46721" spans="1:6" x14ac:dyDescent="0.25">
      <c r="A46721" s="1" t="str">
        <f t="shared" si="1533"/>
        <v>99999</v>
      </c>
      <c r="B46721" s="1" t="str">
        <f>"98613"</f>
        <v>98613</v>
      </c>
      <c r="C46721" s="2">
        <v>2.6740439967928698E-5</v>
      </c>
      <c r="D46721" s="2">
        <v>6.0228355811057601E-6</v>
      </c>
      <c r="E46721" s="2">
        <v>8.6021135392965999E-6</v>
      </c>
      <c r="F46721" s="2">
        <v>2.4966482743620998E-5</v>
      </c>
    </row>
    <row r="46722" spans="1:6" x14ac:dyDescent="0.25">
      <c r="A46722" s="1" t="str">
        <f t="shared" si="1533"/>
        <v>99999</v>
      </c>
      <c r="B46722" s="1" t="str">
        <f>"05902"</f>
        <v>05902</v>
      </c>
      <c r="C46722" s="2">
        <v>6.49565343350497E-6</v>
      </c>
      <c r="D46722" s="2">
        <v>0</v>
      </c>
      <c r="E46722" s="2">
        <v>2.15052838482415E-5</v>
      </c>
      <c r="F46722" s="2">
        <v>6.4143137483611402E-6</v>
      </c>
    </row>
    <row r="46723" spans="1:6" x14ac:dyDescent="0.25">
      <c r="A46723" s="1" t="str">
        <f t="shared" si="1533"/>
        <v>99999</v>
      </c>
      <c r="B46723" s="1" t="str">
        <f>"17264"</f>
        <v>17264</v>
      </c>
      <c r="C46723" s="2">
        <v>5.6295663090376404E-6</v>
      </c>
      <c r="D46723" s="2">
        <v>0</v>
      </c>
      <c r="E46723" s="2">
        <v>0</v>
      </c>
      <c r="F46723" s="2">
        <v>5.1314509986889099E-6</v>
      </c>
    </row>
    <row r="46724" spans="1:6" x14ac:dyDescent="0.25">
      <c r="A46724" s="1" t="str">
        <f t="shared" si="1533"/>
        <v>99999</v>
      </c>
      <c r="B46724" s="1" t="str">
        <f>"26755"</f>
        <v>26755</v>
      </c>
      <c r="C46724" s="2">
        <v>1.62391335837624E-5</v>
      </c>
      <c r="D46724" s="2">
        <v>6.0228355811057601E-6</v>
      </c>
      <c r="E46724" s="2">
        <v>0</v>
      </c>
      <c r="F46724" s="2">
        <v>1.5196989496117099E-5</v>
      </c>
    </row>
    <row r="46725" spans="1:6" x14ac:dyDescent="0.25">
      <c r="A46725" s="1" t="str">
        <f t="shared" si="1533"/>
        <v>99999</v>
      </c>
      <c r="B46725" s="1" t="str">
        <f>"35901"</f>
        <v>35901</v>
      </c>
      <c r="C46725" s="2">
        <v>4.4386965128950601E-6</v>
      </c>
      <c r="D46725" s="2">
        <v>6.0228355811057601E-6</v>
      </c>
      <c r="E46725" s="2">
        <v>0</v>
      </c>
      <c r="F46725" s="2">
        <v>4.4406787488654001E-6</v>
      </c>
    </row>
    <row r="46726" spans="1:6" x14ac:dyDescent="0.25">
      <c r="A46726" s="1" t="str">
        <f t="shared" ref="A46726:A46789" si="1534">"99999"</f>
        <v>99999</v>
      </c>
      <c r="B46726" s="1" t="str">
        <f>"36013"</f>
        <v>36013</v>
      </c>
      <c r="C46726" s="2">
        <v>6.49565343350497E-7</v>
      </c>
      <c r="D46726" s="2">
        <v>3.01141779055288E-6</v>
      </c>
      <c r="E46726" s="2">
        <v>0</v>
      </c>
      <c r="F46726" s="2">
        <v>7.8945399979829395E-7</v>
      </c>
    </row>
    <row r="46727" spans="1:6" x14ac:dyDescent="0.25">
      <c r="A46727" s="1" t="str">
        <f t="shared" si="1534"/>
        <v>99999</v>
      </c>
      <c r="B46727" s="1" t="str">
        <f>"42370"</f>
        <v>42370</v>
      </c>
      <c r="C46727" s="2">
        <v>2.7065222639604001E-6</v>
      </c>
      <c r="D46727" s="2">
        <v>0</v>
      </c>
      <c r="E46727" s="2">
        <v>4.3010567696482999E-6</v>
      </c>
      <c r="F46727" s="2">
        <v>2.5657254993444499E-6</v>
      </c>
    </row>
    <row r="46728" spans="1:6" x14ac:dyDescent="0.25">
      <c r="A46728" s="1" t="str">
        <f t="shared" si="1534"/>
        <v>99999</v>
      </c>
      <c r="B46728" s="1" t="str">
        <f>"41834"</f>
        <v>41834</v>
      </c>
      <c r="C46728" s="2">
        <v>1.50482637876198E-5</v>
      </c>
      <c r="D46728" s="2">
        <v>6.0228355811057601E-6</v>
      </c>
      <c r="E46728" s="2">
        <v>1.29031703089449E-5</v>
      </c>
      <c r="F46728" s="2">
        <v>1.4407535496318799E-5</v>
      </c>
    </row>
    <row r="46729" spans="1:6" x14ac:dyDescent="0.25">
      <c r="A46729" s="1" t="str">
        <f t="shared" si="1534"/>
        <v>99999</v>
      </c>
      <c r="B46729" s="1" t="str">
        <f>"42782"</f>
        <v>42782</v>
      </c>
      <c r="C46729" s="2">
        <v>4.6552182940118902E-6</v>
      </c>
      <c r="D46729" s="2">
        <v>0</v>
      </c>
      <c r="E46729" s="2">
        <v>0</v>
      </c>
      <c r="F46729" s="2">
        <v>4.2433152489158297E-6</v>
      </c>
    </row>
    <row r="46730" spans="1:6" x14ac:dyDescent="0.25">
      <c r="A46730" s="1" t="str">
        <f t="shared" si="1534"/>
        <v>99999</v>
      </c>
      <c r="B46730" s="1" t="str">
        <f>"49839"</f>
        <v>49839</v>
      </c>
      <c r="C46730" s="2">
        <v>1.07178281652832E-5</v>
      </c>
      <c r="D46730" s="2">
        <v>1.50570889527644E-6</v>
      </c>
      <c r="E46730" s="2">
        <v>4.3010567696482999E-6</v>
      </c>
      <c r="F46730" s="2">
        <v>9.9668567474534592E-6</v>
      </c>
    </row>
    <row r="46731" spans="1:6" x14ac:dyDescent="0.25">
      <c r="A46731" s="1" t="str">
        <f t="shared" si="1534"/>
        <v>99999</v>
      </c>
      <c r="B46731" s="1" t="str">
        <f>"51011"</f>
        <v>51011</v>
      </c>
      <c r="C46731" s="2">
        <v>5.3047836373623898E-6</v>
      </c>
      <c r="D46731" s="2">
        <v>7.5285444763821999E-6</v>
      </c>
      <c r="E46731" s="2">
        <v>4.3010567696482999E-6</v>
      </c>
      <c r="F46731" s="2">
        <v>5.4274962486132697E-6</v>
      </c>
    </row>
    <row r="46732" spans="1:6" x14ac:dyDescent="0.25">
      <c r="A46732" s="1" t="str">
        <f t="shared" si="1534"/>
        <v>99999</v>
      </c>
      <c r="B46732" s="1" t="str">
        <f>"50275"</f>
        <v>50275</v>
      </c>
      <c r="C46732" s="2">
        <v>3.2478267167524801E-5</v>
      </c>
      <c r="D46732" s="2">
        <v>0</v>
      </c>
      <c r="E46732" s="2">
        <v>1.29031703089449E-5</v>
      </c>
      <c r="F46732" s="2">
        <v>2.99005702423604E-5</v>
      </c>
    </row>
    <row r="46733" spans="1:6" x14ac:dyDescent="0.25">
      <c r="A46733" s="1" t="str">
        <f t="shared" si="1534"/>
        <v>99999</v>
      </c>
      <c r="B46733" s="1" t="str">
        <f>"50599"</f>
        <v>50599</v>
      </c>
      <c r="C46733" s="2">
        <v>2.1976960783358401E-5</v>
      </c>
      <c r="D46733" s="2">
        <v>3.01141779055288E-6</v>
      </c>
      <c r="E46733" s="2">
        <v>1.29031703089449E-5</v>
      </c>
      <c r="F46733" s="2">
        <v>2.0525803994755599E-5</v>
      </c>
    </row>
    <row r="46734" spans="1:6" x14ac:dyDescent="0.25">
      <c r="A46734" s="1" t="str">
        <f t="shared" si="1534"/>
        <v>99999</v>
      </c>
      <c r="B46734" s="1" t="str">
        <f>"49902"</f>
        <v>49902</v>
      </c>
      <c r="C46734" s="2">
        <v>1.06095672747247E-5</v>
      </c>
      <c r="D46734" s="2">
        <v>1.50570889527644E-6</v>
      </c>
      <c r="E46734" s="2">
        <v>1.29031703089449E-5</v>
      </c>
      <c r="F46734" s="2">
        <v>1.00655384974282E-5</v>
      </c>
    </row>
    <row r="46735" spans="1:6" x14ac:dyDescent="0.25">
      <c r="A46735" s="1" t="str">
        <f t="shared" si="1534"/>
        <v>99999</v>
      </c>
      <c r="B46735" s="1" t="str">
        <f>"52220"</f>
        <v>52220</v>
      </c>
      <c r="C46735" s="2">
        <v>1.1908697961425701E-5</v>
      </c>
      <c r="D46735" s="2">
        <v>0</v>
      </c>
      <c r="E46735" s="2">
        <v>4.3010567696482999E-6</v>
      </c>
      <c r="F46735" s="2">
        <v>1.0953674247201299E-5</v>
      </c>
    </row>
    <row r="46736" spans="1:6" x14ac:dyDescent="0.25">
      <c r="A46736" s="1" t="str">
        <f t="shared" si="1534"/>
        <v>99999</v>
      </c>
      <c r="B46736" s="1" t="str">
        <f>"56209"</f>
        <v>56209</v>
      </c>
      <c r="C46736" s="2">
        <v>8.1195667918812104E-6</v>
      </c>
      <c r="D46736" s="2">
        <v>1.50570889527644E-6</v>
      </c>
      <c r="E46736" s="2">
        <v>0</v>
      </c>
      <c r="F46736" s="2">
        <v>7.4998129980837899E-6</v>
      </c>
    </row>
    <row r="46737" spans="1:6" x14ac:dyDescent="0.25">
      <c r="A46737" s="1" t="str">
        <f t="shared" si="1534"/>
        <v>99999</v>
      </c>
      <c r="B46737" s="1" t="str">
        <f>"57714"</f>
        <v>57714</v>
      </c>
      <c r="C46737" s="2">
        <v>4.4386965128950601E-6</v>
      </c>
      <c r="D46737" s="2">
        <v>0</v>
      </c>
      <c r="E46737" s="2">
        <v>4.3010567696482999E-6</v>
      </c>
      <c r="F46737" s="2">
        <v>4.1446334989410403E-6</v>
      </c>
    </row>
    <row r="46738" spans="1:6" x14ac:dyDescent="0.25">
      <c r="A46738" s="1" t="str">
        <f t="shared" si="1534"/>
        <v>99999</v>
      </c>
      <c r="B46738" s="1" t="str">
        <f>"59059"</f>
        <v>59059</v>
      </c>
      <c r="C46738" s="2">
        <v>4.0056529506613898E-6</v>
      </c>
      <c r="D46738" s="2">
        <v>0</v>
      </c>
      <c r="E46738" s="2">
        <v>4.3010567696482999E-6</v>
      </c>
      <c r="F46738" s="2">
        <v>3.7499064990418899E-6</v>
      </c>
    </row>
    <row r="46739" spans="1:6" x14ac:dyDescent="0.25">
      <c r="A46739" s="1" t="str">
        <f t="shared" si="1534"/>
        <v>99999</v>
      </c>
      <c r="B46739" s="1" t="str">
        <f>"58310"</f>
        <v>58310</v>
      </c>
      <c r="C46739" s="2">
        <v>1.1908697961425701E-6</v>
      </c>
      <c r="D46739" s="2">
        <v>4.5171266858293203E-6</v>
      </c>
      <c r="E46739" s="2">
        <v>4.3010567696482999E-6</v>
      </c>
      <c r="F46739" s="2">
        <v>1.4802262496218E-6</v>
      </c>
    </row>
    <row r="46740" spans="1:6" x14ac:dyDescent="0.25">
      <c r="A46740" s="1" t="str">
        <f t="shared" si="1534"/>
        <v>99999</v>
      </c>
      <c r="B46740" s="1" t="str">
        <f>"51521"</f>
        <v>51521</v>
      </c>
      <c r="C46740" s="2">
        <v>8.6608712446732894E-6</v>
      </c>
      <c r="D46740" s="2">
        <v>1.50570889527644E-6</v>
      </c>
      <c r="E46740" s="2">
        <v>8.6021135392965999E-6</v>
      </c>
      <c r="F46740" s="2">
        <v>8.1905852479073005E-6</v>
      </c>
    </row>
    <row r="46741" spans="1:6" x14ac:dyDescent="0.25">
      <c r="A46741" s="1" t="str">
        <f t="shared" si="1534"/>
        <v>99999</v>
      </c>
      <c r="B46741" s="1" t="str">
        <f>"69027"</f>
        <v>69027</v>
      </c>
      <c r="C46741" s="2">
        <v>8.6608712446732894E-6</v>
      </c>
      <c r="D46741" s="2">
        <v>7.5285444763821999E-6</v>
      </c>
      <c r="E46741" s="2">
        <v>4.3010567696482999E-6</v>
      </c>
      <c r="F46741" s="2">
        <v>8.4866304978316595E-6</v>
      </c>
    </row>
    <row r="46742" spans="1:6" x14ac:dyDescent="0.25">
      <c r="A46742" s="1" t="str">
        <f t="shared" si="1534"/>
        <v>99999</v>
      </c>
      <c r="B46742" s="1" t="str">
        <f>"69157"</f>
        <v>69157</v>
      </c>
      <c r="C46742" s="2">
        <v>6.0626098712712997E-6</v>
      </c>
      <c r="D46742" s="2">
        <v>4.5171266858293203E-6</v>
      </c>
      <c r="E46742" s="2">
        <v>0</v>
      </c>
      <c r="F46742" s="2">
        <v>5.8222232485124198E-6</v>
      </c>
    </row>
    <row r="46743" spans="1:6" x14ac:dyDescent="0.25">
      <c r="A46743" s="1" t="str">
        <f t="shared" si="1534"/>
        <v>99999</v>
      </c>
      <c r="B46743" s="1" t="str">
        <f>"80723"</f>
        <v>80723</v>
      </c>
      <c r="C46743" s="2">
        <v>1.29913068670099E-6</v>
      </c>
      <c r="D46743" s="2">
        <v>0</v>
      </c>
      <c r="E46743" s="2">
        <v>0</v>
      </c>
      <c r="F46743" s="2">
        <v>1.18418099969744E-6</v>
      </c>
    </row>
    <row r="46744" spans="1:6" x14ac:dyDescent="0.25">
      <c r="A46744" s="1" t="str">
        <f t="shared" si="1534"/>
        <v>99999</v>
      </c>
      <c r="B46744" s="1" t="str">
        <f>"98602"</f>
        <v>98602</v>
      </c>
      <c r="C46744" s="2">
        <v>1.71052207082297E-5</v>
      </c>
      <c r="D46744" s="2">
        <v>0</v>
      </c>
      <c r="E46744" s="2">
        <v>4.3010567696482999E-6</v>
      </c>
      <c r="F46744" s="2">
        <v>1.56903982459911E-5</v>
      </c>
    </row>
    <row r="46745" spans="1:6" x14ac:dyDescent="0.25">
      <c r="A46745" s="1" t="str">
        <f t="shared" si="1534"/>
        <v>99999</v>
      </c>
      <c r="B46745" s="1" t="str">
        <f>"83524"</f>
        <v>83524</v>
      </c>
      <c r="C46745" s="2">
        <v>3.5726093884277301E-6</v>
      </c>
      <c r="D46745" s="2">
        <v>0</v>
      </c>
      <c r="E46745" s="2">
        <v>0</v>
      </c>
      <c r="F46745" s="2">
        <v>3.2564977491679601E-6</v>
      </c>
    </row>
    <row r="46746" spans="1:6" x14ac:dyDescent="0.25">
      <c r="A46746" s="1" t="str">
        <f t="shared" si="1534"/>
        <v>99999</v>
      </c>
      <c r="B46746" s="1" t="str">
        <f>"99169"</f>
        <v>99169</v>
      </c>
      <c r="C46746" s="2">
        <v>2.0569569206099001E-6</v>
      </c>
      <c r="D46746" s="2">
        <v>0</v>
      </c>
      <c r="E46746" s="2">
        <v>0</v>
      </c>
      <c r="F46746" s="2">
        <v>1.8749532495209401E-6</v>
      </c>
    </row>
    <row r="46747" spans="1:6" x14ac:dyDescent="0.25">
      <c r="A46747" s="1" t="str">
        <f t="shared" si="1534"/>
        <v>99999</v>
      </c>
      <c r="B46747" s="1" t="str">
        <f>"99118"</f>
        <v>99118</v>
      </c>
      <c r="C46747" s="2">
        <v>3.9948268616055503E-5</v>
      </c>
      <c r="D46747" s="2">
        <v>2.55970512196994E-5</v>
      </c>
      <c r="E46747" s="2">
        <v>2.1075178171276601E-4</v>
      </c>
      <c r="F46747" s="2">
        <v>4.29265612390322E-5</v>
      </c>
    </row>
    <row r="46748" spans="1:6" x14ac:dyDescent="0.25">
      <c r="A46748" s="1" t="str">
        <f t="shared" si="1534"/>
        <v>99999</v>
      </c>
      <c r="B46748" s="1" t="str">
        <f>"04255"</f>
        <v>04255</v>
      </c>
      <c r="C46748" s="2">
        <v>3.6592181008744599E-5</v>
      </c>
      <c r="D46748" s="2">
        <v>1.20456711622115E-5</v>
      </c>
      <c r="E46748" s="2">
        <v>1.29031703089449E-5</v>
      </c>
      <c r="F46748" s="2">
        <v>3.4439930741200501E-5</v>
      </c>
    </row>
    <row r="46749" spans="1:6" x14ac:dyDescent="0.25">
      <c r="A46749" s="1" t="str">
        <f t="shared" si="1534"/>
        <v>99999</v>
      </c>
      <c r="B46749" s="1" t="str">
        <f>"04847"</f>
        <v>04847</v>
      </c>
      <c r="C46749" s="2">
        <v>8.6716973337291301E-5</v>
      </c>
      <c r="D46749" s="2">
        <v>3.31255956960816E-5</v>
      </c>
      <c r="E46749" s="2">
        <v>4.3010567696482999E-6</v>
      </c>
      <c r="F46749" s="2">
        <v>8.1313761979224305E-5</v>
      </c>
    </row>
    <row r="46750" spans="1:6" x14ac:dyDescent="0.25">
      <c r="A46750" s="1" t="str">
        <f t="shared" si="1534"/>
        <v>99999</v>
      </c>
      <c r="B46750" s="1" t="str">
        <f>"12720"</f>
        <v>12720</v>
      </c>
      <c r="C46750" s="2">
        <v>9.3104365880237906E-6</v>
      </c>
      <c r="D46750" s="2">
        <v>1.50570889527644E-6</v>
      </c>
      <c r="E46750" s="2">
        <v>2.15052838482415E-5</v>
      </c>
      <c r="F46750" s="2">
        <v>9.0787209976803807E-6</v>
      </c>
    </row>
    <row r="46751" spans="1:6" x14ac:dyDescent="0.25">
      <c r="A46751" s="1" t="str">
        <f t="shared" si="1534"/>
        <v>99999</v>
      </c>
      <c r="B46751" s="1" t="str">
        <f>"13847"</f>
        <v>13847</v>
      </c>
      <c r="C46751" s="2">
        <v>0</v>
      </c>
      <c r="D46751" s="2">
        <v>0</v>
      </c>
      <c r="E46751" s="2">
        <v>4.3010567696482999E-6</v>
      </c>
      <c r="F46751" s="2">
        <v>9.8681749974786797E-8</v>
      </c>
    </row>
    <row r="46752" spans="1:6" x14ac:dyDescent="0.25">
      <c r="A46752" s="1" t="str">
        <f t="shared" si="1534"/>
        <v>99999</v>
      </c>
      <c r="B46752" s="1" t="str">
        <f>"17076"</f>
        <v>17076</v>
      </c>
      <c r="C46752" s="2">
        <v>3.46434849786931E-6</v>
      </c>
      <c r="D46752" s="2">
        <v>1.20456711622115E-5</v>
      </c>
      <c r="E46752" s="2">
        <v>1.72042270785932E-5</v>
      </c>
      <c r="F46752" s="2">
        <v>4.3419969988906098E-6</v>
      </c>
    </row>
    <row r="46753" spans="1:6" x14ac:dyDescent="0.25">
      <c r="A46753" s="1" t="str">
        <f t="shared" si="1534"/>
        <v>99999</v>
      </c>
      <c r="B46753" s="1" t="str">
        <f>"22433"</f>
        <v>22433</v>
      </c>
      <c r="C46753" s="2">
        <v>9.7434801502574508E-6</v>
      </c>
      <c r="D46753" s="2">
        <v>6.0228355811057601E-6</v>
      </c>
      <c r="E46753" s="2">
        <v>0</v>
      </c>
      <c r="F46753" s="2">
        <v>9.2760844976299596E-6</v>
      </c>
    </row>
    <row r="46754" spans="1:6" x14ac:dyDescent="0.25">
      <c r="A46754" s="1" t="str">
        <f t="shared" si="1534"/>
        <v>99999</v>
      </c>
      <c r="B46754" s="1" t="str">
        <f>"24236"</f>
        <v>24236</v>
      </c>
      <c r="C46754" s="2">
        <v>4.7634791845703099E-6</v>
      </c>
      <c r="D46754" s="2">
        <v>1.50570889527644E-6</v>
      </c>
      <c r="E46754" s="2">
        <v>0</v>
      </c>
      <c r="F46754" s="2">
        <v>4.4406787488654001E-6</v>
      </c>
    </row>
    <row r="46755" spans="1:6" x14ac:dyDescent="0.25">
      <c r="A46755" s="1" t="str">
        <f t="shared" si="1534"/>
        <v>99999</v>
      </c>
      <c r="B46755" s="1" t="str">
        <f>"24849"</f>
        <v>24849</v>
      </c>
      <c r="C46755" s="2">
        <v>7.5782623390891299E-7</v>
      </c>
      <c r="D46755" s="2">
        <v>0</v>
      </c>
      <c r="E46755" s="2">
        <v>4.3010567696482999E-6</v>
      </c>
      <c r="F46755" s="2">
        <v>7.8945399979829395E-7</v>
      </c>
    </row>
    <row r="46756" spans="1:6" x14ac:dyDescent="0.25">
      <c r="A46756" s="1" t="str">
        <f t="shared" si="1534"/>
        <v>99999</v>
      </c>
      <c r="B46756" s="1" t="str">
        <f>"26236"</f>
        <v>26236</v>
      </c>
      <c r="C46756" s="2">
        <v>3.8973920601029803E-6</v>
      </c>
      <c r="D46756" s="2">
        <v>0</v>
      </c>
      <c r="E46756" s="2">
        <v>4.3010567696482999E-6</v>
      </c>
      <c r="F46756" s="2">
        <v>3.6512247490671102E-6</v>
      </c>
    </row>
    <row r="46757" spans="1:6" x14ac:dyDescent="0.25">
      <c r="A46757" s="1" t="str">
        <f t="shared" si="1534"/>
        <v>99999</v>
      </c>
      <c r="B46757" s="1" t="str">
        <f>"28391"</f>
        <v>28391</v>
      </c>
      <c r="C46757" s="2">
        <v>3.7891311695445602E-6</v>
      </c>
      <c r="D46757" s="2">
        <v>0</v>
      </c>
      <c r="E46757" s="2">
        <v>0</v>
      </c>
      <c r="F46757" s="2">
        <v>3.4538612491175301E-6</v>
      </c>
    </row>
    <row r="46758" spans="1:6" x14ac:dyDescent="0.25">
      <c r="A46758" s="1" t="str">
        <f t="shared" si="1534"/>
        <v>99999</v>
      </c>
      <c r="B46758" s="1" t="str">
        <f>"38569"</f>
        <v>38569</v>
      </c>
      <c r="C46758" s="2">
        <v>3.4426963197576303E-5</v>
      </c>
      <c r="D46758" s="2">
        <v>2.25856334291466E-5</v>
      </c>
      <c r="E46758" s="2">
        <v>4.3010567696482999E-6</v>
      </c>
      <c r="F46758" s="2">
        <v>3.2959704491578701E-5</v>
      </c>
    </row>
    <row r="46759" spans="1:6" x14ac:dyDescent="0.25">
      <c r="A46759" s="1" t="str">
        <f t="shared" si="1534"/>
        <v>99999</v>
      </c>
      <c r="B46759" s="1" t="str">
        <f>"41636"</f>
        <v>41636</v>
      </c>
      <c r="C46759" s="2">
        <v>3.8865659710471399E-5</v>
      </c>
      <c r="D46759" s="2">
        <v>7.5285444763821999E-6</v>
      </c>
      <c r="E46759" s="2">
        <v>1.7634332755557999E-4</v>
      </c>
      <c r="F46759" s="2">
        <v>3.99661087397886E-5</v>
      </c>
    </row>
    <row r="46760" spans="1:6" x14ac:dyDescent="0.25">
      <c r="A46760" s="1" t="str">
        <f t="shared" si="1534"/>
        <v>99999</v>
      </c>
      <c r="B46760" s="1" t="str">
        <f>"40379"</f>
        <v>40379</v>
      </c>
      <c r="C46760" s="2">
        <v>3.2478267167524799E-6</v>
      </c>
      <c r="D46760" s="2">
        <v>1.50570889527644E-6</v>
      </c>
      <c r="E46760" s="2">
        <v>0</v>
      </c>
      <c r="F46760" s="2">
        <v>3.0591342492183902E-6</v>
      </c>
    </row>
    <row r="46761" spans="1:6" x14ac:dyDescent="0.25">
      <c r="A46761" s="1" t="str">
        <f t="shared" si="1534"/>
        <v>99999</v>
      </c>
      <c r="B46761" s="1" t="str">
        <f>"45042"</f>
        <v>45042</v>
      </c>
      <c r="C46761" s="2">
        <v>1.3857393991477199E-5</v>
      </c>
      <c r="D46761" s="2">
        <v>0</v>
      </c>
      <c r="E46761" s="2">
        <v>0</v>
      </c>
      <c r="F46761" s="2">
        <v>1.26312639967727E-5</v>
      </c>
    </row>
    <row r="46762" spans="1:6" x14ac:dyDescent="0.25">
      <c r="A46762" s="1" t="str">
        <f t="shared" si="1534"/>
        <v>99999</v>
      </c>
      <c r="B46762" s="1" t="str">
        <f>"46766"</f>
        <v>46766</v>
      </c>
      <c r="C46762" s="2">
        <v>2.5874352843461398E-5</v>
      </c>
      <c r="D46762" s="2">
        <v>1.50570889527644E-6</v>
      </c>
      <c r="E46762" s="2">
        <v>4.3010567696482999E-6</v>
      </c>
      <c r="F46762" s="2">
        <v>2.37823017439236E-5</v>
      </c>
    </row>
    <row r="46763" spans="1:6" x14ac:dyDescent="0.25">
      <c r="A46763" s="1" t="str">
        <f t="shared" si="1534"/>
        <v>99999</v>
      </c>
      <c r="B46763" s="1" t="str">
        <f>"46563"</f>
        <v>46563</v>
      </c>
      <c r="C46763" s="2">
        <v>7.6865232296475401E-6</v>
      </c>
      <c r="D46763" s="2">
        <v>1.50570889527644E-6</v>
      </c>
      <c r="E46763" s="2">
        <v>0</v>
      </c>
      <c r="F46763" s="2">
        <v>7.10508599818465E-6</v>
      </c>
    </row>
    <row r="46764" spans="1:6" x14ac:dyDescent="0.25">
      <c r="A46764" s="1" t="str">
        <f t="shared" si="1534"/>
        <v>99999</v>
      </c>
      <c r="B46764" s="1" t="str">
        <f>"47920"</f>
        <v>47920</v>
      </c>
      <c r="C46764" s="2">
        <v>1.5697829130970301E-5</v>
      </c>
      <c r="D46764" s="2">
        <v>6.0228355811057601E-6</v>
      </c>
      <c r="E46764" s="2">
        <v>0</v>
      </c>
      <c r="F46764" s="2">
        <v>1.47035807462432E-5</v>
      </c>
    </row>
    <row r="46765" spans="1:6" x14ac:dyDescent="0.25">
      <c r="A46765" s="1" t="str">
        <f t="shared" si="1534"/>
        <v>99999</v>
      </c>
      <c r="B46765" s="1" t="str">
        <f>"49762"</f>
        <v>49762</v>
      </c>
      <c r="C46765" s="2">
        <v>4.6660443830677299E-5</v>
      </c>
      <c r="D46765" s="2">
        <v>6.0228355811057601E-6</v>
      </c>
      <c r="E46765" s="2">
        <v>0</v>
      </c>
      <c r="F46765" s="2">
        <v>4.29265612390322E-5</v>
      </c>
    </row>
    <row r="46766" spans="1:6" x14ac:dyDescent="0.25">
      <c r="A46766" s="1" t="str">
        <f t="shared" si="1534"/>
        <v>99999</v>
      </c>
      <c r="B46766" s="1" t="str">
        <f>"51047"</f>
        <v>51047</v>
      </c>
      <c r="C46766" s="2">
        <v>2.9230440450772301E-6</v>
      </c>
      <c r="D46766" s="2">
        <v>1.50570889527644E-6</v>
      </c>
      <c r="E46766" s="2">
        <v>0</v>
      </c>
      <c r="F46766" s="2">
        <v>2.76308899929403E-6</v>
      </c>
    </row>
    <row r="46767" spans="1:6" x14ac:dyDescent="0.25">
      <c r="A46767" s="1" t="str">
        <f t="shared" si="1534"/>
        <v>99999</v>
      </c>
      <c r="B46767" s="1" t="str">
        <f>"50586"</f>
        <v>50586</v>
      </c>
      <c r="C46767" s="2">
        <v>1.43986984442693E-5</v>
      </c>
      <c r="D46767" s="2">
        <v>0</v>
      </c>
      <c r="E46767" s="2">
        <v>4.3010567696482999E-6</v>
      </c>
      <c r="F46767" s="2">
        <v>1.3223354496621401E-5</v>
      </c>
    </row>
    <row r="46768" spans="1:6" x14ac:dyDescent="0.25">
      <c r="A46768" s="1" t="str">
        <f t="shared" si="1534"/>
        <v>99999</v>
      </c>
      <c r="B46768" s="1" t="str">
        <f>"50482"</f>
        <v>50482</v>
      </c>
      <c r="C46768" s="2">
        <v>2.9230440450772301E-6</v>
      </c>
      <c r="D46768" s="2">
        <v>0</v>
      </c>
      <c r="E46768" s="2">
        <v>0</v>
      </c>
      <c r="F46768" s="2">
        <v>2.6644072493192401E-6</v>
      </c>
    </row>
    <row r="46769" spans="1:6" x14ac:dyDescent="0.25">
      <c r="A46769" s="1" t="str">
        <f t="shared" si="1534"/>
        <v>99999</v>
      </c>
      <c r="B46769" s="1" t="str">
        <f>"54411"</f>
        <v>54411</v>
      </c>
      <c r="C46769" s="2">
        <v>6.6039143240633804E-6</v>
      </c>
      <c r="D46769" s="2">
        <v>3.01141779055288E-6</v>
      </c>
      <c r="E46769" s="2">
        <v>0</v>
      </c>
      <c r="F46769" s="2">
        <v>6.2169502484115596E-6</v>
      </c>
    </row>
    <row r="46770" spans="1:6" x14ac:dyDescent="0.25">
      <c r="A46770" s="1" t="str">
        <f t="shared" si="1534"/>
        <v>99999</v>
      </c>
      <c r="B46770" s="1" t="str">
        <f>"57716"</f>
        <v>57716</v>
      </c>
      <c r="C46770" s="2">
        <v>2.3709135032293099E-5</v>
      </c>
      <c r="D46770" s="2">
        <v>1.50570889527644E-6</v>
      </c>
      <c r="E46770" s="2">
        <v>4.3010567696482999E-6</v>
      </c>
      <c r="F46770" s="2">
        <v>2.1808666744427801E-5</v>
      </c>
    </row>
    <row r="46771" spans="1:6" x14ac:dyDescent="0.25">
      <c r="A46771" s="1" t="str">
        <f t="shared" si="1534"/>
        <v>99999</v>
      </c>
      <c r="B46771" s="1" t="str">
        <f>"59635"</f>
        <v>59635</v>
      </c>
      <c r="C46771" s="2">
        <v>1.75382642704634E-5</v>
      </c>
      <c r="D46771" s="2">
        <v>7.5285444763821999E-6</v>
      </c>
      <c r="E46771" s="2">
        <v>8.6021135392965999E-6</v>
      </c>
      <c r="F46771" s="2">
        <v>1.6677215745738901E-5</v>
      </c>
    </row>
    <row r="46772" spans="1:6" x14ac:dyDescent="0.25">
      <c r="A46772" s="1" t="str">
        <f t="shared" si="1534"/>
        <v>99999</v>
      </c>
      <c r="B46772" s="1" t="str">
        <f>"58266"</f>
        <v>58266</v>
      </c>
      <c r="C46772" s="2">
        <v>1.9486960300514902E-6</v>
      </c>
      <c r="D46772" s="2">
        <v>0</v>
      </c>
      <c r="E46772" s="2">
        <v>0</v>
      </c>
      <c r="F46772" s="2">
        <v>1.77627149954616E-6</v>
      </c>
    </row>
    <row r="46773" spans="1:6" x14ac:dyDescent="0.25">
      <c r="A46773" s="1" t="str">
        <f t="shared" si="1534"/>
        <v>99999</v>
      </c>
      <c r="B46773" s="1" t="str">
        <f>"58267"</f>
        <v>58267</v>
      </c>
      <c r="C46773" s="2">
        <v>5.4130445279207995E-7</v>
      </c>
      <c r="D46773" s="2">
        <v>0</v>
      </c>
      <c r="E46773" s="2">
        <v>0</v>
      </c>
      <c r="F46773" s="2">
        <v>4.9340874987393396E-7</v>
      </c>
    </row>
    <row r="46774" spans="1:6" x14ac:dyDescent="0.25">
      <c r="A46774" s="1" t="str">
        <f t="shared" si="1534"/>
        <v>99999</v>
      </c>
      <c r="B46774" s="1" t="str">
        <f>"61750"</f>
        <v>61750</v>
      </c>
      <c r="C46774" s="2">
        <v>5.4130445279208001E-6</v>
      </c>
      <c r="D46774" s="2">
        <v>1.50570889527644E-6</v>
      </c>
      <c r="E46774" s="2">
        <v>0</v>
      </c>
      <c r="F46774" s="2">
        <v>5.0327692487141197E-6</v>
      </c>
    </row>
    <row r="46775" spans="1:6" x14ac:dyDescent="0.25">
      <c r="A46775" s="1" t="str">
        <f t="shared" si="1534"/>
        <v>99999</v>
      </c>
      <c r="B46775" s="1" t="str">
        <f>"60964"</f>
        <v>60964</v>
      </c>
      <c r="C46775" s="2">
        <v>1.62391335837624E-5</v>
      </c>
      <c r="D46775" s="2">
        <v>3.01141779055288E-6</v>
      </c>
      <c r="E46775" s="2">
        <v>0</v>
      </c>
      <c r="F46775" s="2">
        <v>1.49996259961675E-5</v>
      </c>
    </row>
    <row r="46776" spans="1:6" x14ac:dyDescent="0.25">
      <c r="A46776" s="1" t="str">
        <f t="shared" si="1534"/>
        <v>99999</v>
      </c>
      <c r="B46776" s="1" t="str">
        <f>"62352"</f>
        <v>62352</v>
      </c>
      <c r="C46776" s="2">
        <v>6.1708707618297202E-6</v>
      </c>
      <c r="D46776" s="2">
        <v>0</v>
      </c>
      <c r="E46776" s="2">
        <v>4.3010567696482999E-6</v>
      </c>
      <c r="F46776" s="2">
        <v>5.7235414985376303E-6</v>
      </c>
    </row>
    <row r="46777" spans="1:6" x14ac:dyDescent="0.25">
      <c r="A46777" s="1" t="str">
        <f t="shared" si="1534"/>
        <v>99999</v>
      </c>
      <c r="B46777" s="1" t="str">
        <f>"63770"</f>
        <v>63770</v>
      </c>
      <c r="C46777" s="2">
        <v>3.7891311695445602E-6</v>
      </c>
      <c r="D46777" s="2">
        <v>0</v>
      </c>
      <c r="E46777" s="2">
        <v>0</v>
      </c>
      <c r="F46777" s="2">
        <v>3.4538612491175301E-6</v>
      </c>
    </row>
    <row r="46778" spans="1:6" x14ac:dyDescent="0.25">
      <c r="A46778" s="1" t="str">
        <f t="shared" si="1534"/>
        <v>99999</v>
      </c>
      <c r="B46778" s="1" t="str">
        <f>"65564"</f>
        <v>65564</v>
      </c>
      <c r="C46778" s="2">
        <v>1.0393045493607899E-5</v>
      </c>
      <c r="D46778" s="2">
        <v>1.50570889527644E-6</v>
      </c>
      <c r="E46778" s="2">
        <v>4.3010567696482999E-6</v>
      </c>
      <c r="F46778" s="2">
        <v>9.6708114975291003E-6</v>
      </c>
    </row>
    <row r="46779" spans="1:6" x14ac:dyDescent="0.25">
      <c r="A46779" s="1" t="str">
        <f t="shared" si="1534"/>
        <v>99999</v>
      </c>
      <c r="B46779" s="1" t="str">
        <f>"65543"</f>
        <v>65543</v>
      </c>
      <c r="C46779" s="2">
        <v>1.4073915772594101E-6</v>
      </c>
      <c r="D46779" s="2">
        <v>0</v>
      </c>
      <c r="E46779" s="2">
        <v>0</v>
      </c>
      <c r="F46779" s="2">
        <v>1.2828627496722201E-6</v>
      </c>
    </row>
    <row r="46780" spans="1:6" x14ac:dyDescent="0.25">
      <c r="A46780" s="1" t="str">
        <f t="shared" si="1534"/>
        <v>99999</v>
      </c>
      <c r="B46780" s="1" t="str">
        <f>"64479"</f>
        <v>64479</v>
      </c>
      <c r="C46780" s="2">
        <v>1.29913068670099E-6</v>
      </c>
      <c r="D46780" s="2">
        <v>0</v>
      </c>
      <c r="E46780" s="2">
        <v>0</v>
      </c>
      <c r="F46780" s="2">
        <v>1.18418099969744E-6</v>
      </c>
    </row>
    <row r="46781" spans="1:6" x14ac:dyDescent="0.25">
      <c r="A46781" s="1" t="str">
        <f t="shared" si="1534"/>
        <v>99999</v>
      </c>
      <c r="B46781" s="1" t="str">
        <f>"51563"</f>
        <v>51563</v>
      </c>
      <c r="C46781" s="2">
        <v>3.2478267167524802E-7</v>
      </c>
      <c r="D46781" s="2">
        <v>0</v>
      </c>
      <c r="E46781" s="2">
        <v>0</v>
      </c>
      <c r="F46781" s="2">
        <v>2.9604524992435999E-7</v>
      </c>
    </row>
    <row r="46782" spans="1:6" x14ac:dyDescent="0.25">
      <c r="A46782" s="1" t="str">
        <f t="shared" si="1534"/>
        <v>99999</v>
      </c>
      <c r="B46782" s="1" t="str">
        <f>"67762"</f>
        <v>67762</v>
      </c>
      <c r="C46782" s="2">
        <v>1.41821766631525E-5</v>
      </c>
      <c r="D46782" s="2">
        <v>4.5171266858293203E-6</v>
      </c>
      <c r="E46782" s="2">
        <v>4.3010567696482999E-6</v>
      </c>
      <c r="F46782" s="2">
        <v>1.3322036246596199E-5</v>
      </c>
    </row>
    <row r="46783" spans="1:6" x14ac:dyDescent="0.25">
      <c r="A46783" s="1" t="str">
        <f t="shared" si="1534"/>
        <v>99999</v>
      </c>
      <c r="B46783" s="1" t="str">
        <f>"67733"</f>
        <v>67733</v>
      </c>
      <c r="C46783" s="2">
        <v>7.47000144853071E-6</v>
      </c>
      <c r="D46783" s="2">
        <v>3.01141779055288E-6</v>
      </c>
      <c r="E46783" s="2">
        <v>0</v>
      </c>
      <c r="F46783" s="2">
        <v>7.0064042482098597E-6</v>
      </c>
    </row>
    <row r="46784" spans="1:6" x14ac:dyDescent="0.25">
      <c r="A46784" s="1" t="str">
        <f t="shared" si="1534"/>
        <v>99999</v>
      </c>
      <c r="B46784" s="1" t="str">
        <f>"67634"</f>
        <v>67634</v>
      </c>
      <c r="C46784" s="2">
        <v>8.8773930257901203E-6</v>
      </c>
      <c r="D46784" s="2">
        <v>0</v>
      </c>
      <c r="E46784" s="2">
        <v>4.3010567696482999E-6</v>
      </c>
      <c r="F46784" s="2">
        <v>8.1905852479073005E-6</v>
      </c>
    </row>
    <row r="46785" spans="1:6" x14ac:dyDescent="0.25">
      <c r="A46785" s="1" t="str">
        <f t="shared" si="1534"/>
        <v>99999</v>
      </c>
      <c r="B46785" s="1" t="str">
        <f>"66527"</f>
        <v>66527</v>
      </c>
      <c r="C46785" s="2">
        <v>1.51565246781782E-5</v>
      </c>
      <c r="D46785" s="2">
        <v>1.0539962266935E-5</v>
      </c>
      <c r="E46785" s="2">
        <v>4.3010567696482999E-6</v>
      </c>
      <c r="F46785" s="2">
        <v>1.46048989962684E-5</v>
      </c>
    </row>
    <row r="46786" spans="1:6" x14ac:dyDescent="0.25">
      <c r="A46786" s="1" t="str">
        <f t="shared" si="1534"/>
        <v>99999</v>
      </c>
      <c r="B46786" s="1" t="str">
        <f>"74576"</f>
        <v>74576</v>
      </c>
      <c r="C46786" s="2">
        <v>3.1395658261940598E-6</v>
      </c>
      <c r="D46786" s="2">
        <v>0</v>
      </c>
      <c r="E46786" s="2">
        <v>0</v>
      </c>
      <c r="F46786" s="2">
        <v>2.8617707492688101E-6</v>
      </c>
    </row>
    <row r="46787" spans="1:6" x14ac:dyDescent="0.25">
      <c r="A46787" s="1" t="str">
        <f t="shared" si="1534"/>
        <v>99999</v>
      </c>
      <c r="B46787" s="1" t="str">
        <f>"79243"</f>
        <v>79243</v>
      </c>
      <c r="C46787" s="2">
        <v>4.6552182940118902E-6</v>
      </c>
      <c r="D46787" s="2">
        <v>4.5171266858293203E-6</v>
      </c>
      <c r="E46787" s="2">
        <v>1.72042270785932E-5</v>
      </c>
      <c r="F46787" s="2">
        <v>4.9340874987393404E-6</v>
      </c>
    </row>
    <row r="46788" spans="1:6" x14ac:dyDescent="0.25">
      <c r="A46788" s="1" t="str">
        <f t="shared" si="1534"/>
        <v>99999</v>
      </c>
      <c r="B46788" s="1" t="str">
        <f>"73937"</f>
        <v>73937</v>
      </c>
      <c r="C46788" s="2">
        <v>5.6295663090376404E-6</v>
      </c>
      <c r="D46788" s="2">
        <v>4.5171266858293203E-6</v>
      </c>
      <c r="E46788" s="2">
        <v>4.3010567696482999E-6</v>
      </c>
      <c r="F46788" s="2">
        <v>5.52617799858806E-6</v>
      </c>
    </row>
    <row r="46789" spans="1:6" x14ac:dyDescent="0.25">
      <c r="A46789" s="1" t="str">
        <f t="shared" si="1534"/>
        <v>99999</v>
      </c>
      <c r="B46789" s="1" t="str">
        <f>"76660"</f>
        <v>76660</v>
      </c>
      <c r="C46789" s="2">
        <v>2.1868699892800001E-5</v>
      </c>
      <c r="D46789" s="2">
        <v>1.80685067433172E-5</v>
      </c>
      <c r="E46789" s="2">
        <v>1.29031703089449E-5</v>
      </c>
      <c r="F46789" s="2">
        <v>2.1413939744528701E-5</v>
      </c>
    </row>
    <row r="46790" spans="1:6" x14ac:dyDescent="0.25">
      <c r="A46790" s="1" t="str">
        <f t="shared" ref="A46790:A46853" si="1535">"99999"</f>
        <v>99999</v>
      </c>
      <c r="B46790" s="1" t="str">
        <f>"81122"</f>
        <v>81122</v>
      </c>
      <c r="C46790" s="2">
        <v>7.7947841202059606E-6</v>
      </c>
      <c r="D46790" s="2">
        <v>1.50570889527644E-6</v>
      </c>
      <c r="E46790" s="2">
        <v>3.01073973875381E-5</v>
      </c>
      <c r="F46790" s="2">
        <v>7.8945399979829399E-6</v>
      </c>
    </row>
    <row r="46791" spans="1:6" x14ac:dyDescent="0.25">
      <c r="A46791" s="1" t="str">
        <f t="shared" si="1535"/>
        <v>99999</v>
      </c>
      <c r="B46791" s="1" t="str">
        <f>"83463"</f>
        <v>83463</v>
      </c>
      <c r="C46791" s="2">
        <v>7.7947841202059606E-6</v>
      </c>
      <c r="D46791" s="2">
        <v>1.50570889527644E-6</v>
      </c>
      <c r="E46791" s="2">
        <v>4.3010567696482999E-6</v>
      </c>
      <c r="F46791" s="2">
        <v>7.3024494981342204E-6</v>
      </c>
    </row>
    <row r="46792" spans="1:6" x14ac:dyDescent="0.25">
      <c r="A46792" s="1" t="str">
        <f t="shared" si="1535"/>
        <v>99999</v>
      </c>
      <c r="B46792" s="1" t="str">
        <f>"84002"</f>
        <v>84002</v>
      </c>
      <c r="C46792" s="2">
        <v>7.2534796674138799E-6</v>
      </c>
      <c r="D46792" s="2">
        <v>0</v>
      </c>
      <c r="E46792" s="2">
        <v>8.6021135392965999E-6</v>
      </c>
      <c r="F46792" s="2">
        <v>6.8090407482602902E-6</v>
      </c>
    </row>
    <row r="46793" spans="1:6" x14ac:dyDescent="0.25">
      <c r="A46793" s="1" t="str">
        <f t="shared" si="1535"/>
        <v>99999</v>
      </c>
      <c r="B46793" s="1" t="str">
        <f>"80755"</f>
        <v>80755</v>
      </c>
      <c r="C46793" s="2">
        <v>9.3104365880237906E-6</v>
      </c>
      <c r="D46793" s="2">
        <v>1.50570889527644E-6</v>
      </c>
      <c r="E46793" s="2">
        <v>1.72042270785932E-5</v>
      </c>
      <c r="F46793" s="2">
        <v>8.9800392477055905E-6</v>
      </c>
    </row>
    <row r="46794" spans="1:6" x14ac:dyDescent="0.25">
      <c r="A46794" s="1" t="str">
        <f t="shared" si="1535"/>
        <v>99999</v>
      </c>
      <c r="B46794" s="1" t="str">
        <f>"95923"</f>
        <v>95923</v>
      </c>
      <c r="C46794" s="2">
        <v>9.0939148069069495E-6</v>
      </c>
      <c r="D46794" s="2">
        <v>3.01141779055288E-6</v>
      </c>
      <c r="E46794" s="2">
        <v>4.3010567696482999E-6</v>
      </c>
      <c r="F46794" s="2">
        <v>8.5853122478064497E-6</v>
      </c>
    </row>
    <row r="46795" spans="1:6" x14ac:dyDescent="0.25">
      <c r="A46795" s="1" t="str">
        <f t="shared" si="1535"/>
        <v>99999</v>
      </c>
      <c r="B46795" s="1" t="str">
        <f>"99720"</f>
        <v>99720</v>
      </c>
      <c r="C46795" s="2">
        <v>0</v>
      </c>
      <c r="D46795" s="2">
        <v>0</v>
      </c>
      <c r="E46795" s="2">
        <v>4.3010567696482999E-6</v>
      </c>
      <c r="F46795" s="2">
        <v>9.8681749974786797E-8</v>
      </c>
    </row>
    <row r="46796" spans="1:6" x14ac:dyDescent="0.25">
      <c r="A46796" s="1" t="str">
        <f t="shared" si="1535"/>
        <v>99999</v>
      </c>
      <c r="B46796" s="1" t="str">
        <f>"04451"</f>
        <v>04451</v>
      </c>
      <c r="C46796" s="2">
        <v>6.3873925429465503E-6</v>
      </c>
      <c r="D46796" s="2">
        <v>6.0228355811057601E-6</v>
      </c>
      <c r="E46796" s="2">
        <v>4.3010567696482999E-6</v>
      </c>
      <c r="F46796" s="2">
        <v>6.3156319983863499E-6</v>
      </c>
    </row>
    <row r="46797" spans="1:6" x14ac:dyDescent="0.25">
      <c r="A46797" s="1" t="str">
        <f t="shared" si="1535"/>
        <v>99999</v>
      </c>
      <c r="B46797" s="1" t="str">
        <f>"04674"</f>
        <v>04674</v>
      </c>
      <c r="C46797" s="2">
        <v>1.18004370708673E-5</v>
      </c>
      <c r="D46797" s="2">
        <v>0</v>
      </c>
      <c r="E46797" s="2">
        <v>8.6021135392965999E-6</v>
      </c>
      <c r="F46797" s="2">
        <v>1.0953674247201299E-5</v>
      </c>
    </row>
    <row r="46798" spans="1:6" x14ac:dyDescent="0.25">
      <c r="A46798" s="1" t="str">
        <f t="shared" si="1535"/>
        <v>99999</v>
      </c>
      <c r="B46798" s="1" t="str">
        <f>"05669"</f>
        <v>05669</v>
      </c>
      <c r="C46798" s="2">
        <v>2.0569569206099001E-6</v>
      </c>
      <c r="D46798" s="2">
        <v>0</v>
      </c>
      <c r="E46798" s="2">
        <v>0</v>
      </c>
      <c r="F46798" s="2">
        <v>1.8749532495209401E-6</v>
      </c>
    </row>
    <row r="46799" spans="1:6" x14ac:dyDescent="0.25">
      <c r="A46799" s="1" t="str">
        <f t="shared" si="1535"/>
        <v>99999</v>
      </c>
      <c r="B46799" s="1" t="str">
        <f>"13682"</f>
        <v>13682</v>
      </c>
      <c r="C46799" s="2">
        <v>6.49565343350497E-7</v>
      </c>
      <c r="D46799" s="2">
        <v>0</v>
      </c>
      <c r="E46799" s="2">
        <v>0</v>
      </c>
      <c r="F46799" s="2">
        <v>5.9209049984871999E-7</v>
      </c>
    </row>
    <row r="46800" spans="1:6" x14ac:dyDescent="0.25">
      <c r="A46800" s="1" t="str">
        <f t="shared" si="1535"/>
        <v>99999</v>
      </c>
      <c r="B46800" s="1" t="str">
        <f>"24553"</f>
        <v>24553</v>
      </c>
      <c r="C46800" s="2">
        <v>2.38173959228515E-5</v>
      </c>
      <c r="D46800" s="2">
        <v>1.9574215638593701E-5</v>
      </c>
      <c r="E46800" s="2">
        <v>0</v>
      </c>
      <c r="F46800" s="2">
        <v>2.2992847744125301E-5</v>
      </c>
    </row>
    <row r="46801" spans="1:6" x14ac:dyDescent="0.25">
      <c r="A46801" s="1" t="str">
        <f t="shared" si="1535"/>
        <v>99999</v>
      </c>
      <c r="B46801" s="1" t="str">
        <f>"41004"</f>
        <v>41004</v>
      </c>
      <c r="C46801" s="2">
        <v>7.1452187768554602E-6</v>
      </c>
      <c r="D46801" s="2">
        <v>1.50570889527644E-6</v>
      </c>
      <c r="E46801" s="2">
        <v>0</v>
      </c>
      <c r="F46801" s="2">
        <v>6.6116772483107097E-6</v>
      </c>
    </row>
    <row r="46802" spans="1:6" x14ac:dyDescent="0.25">
      <c r="A46802" s="1" t="str">
        <f t="shared" si="1535"/>
        <v>99999</v>
      </c>
      <c r="B46802" s="1" t="str">
        <f>"45727"</f>
        <v>45727</v>
      </c>
      <c r="C46802" s="2">
        <v>2.7931309764071301E-5</v>
      </c>
      <c r="D46802" s="2">
        <v>9.0342533716586405E-6</v>
      </c>
      <c r="E46802" s="2">
        <v>0</v>
      </c>
      <c r="F46802" s="2">
        <v>2.6051981993343701E-5</v>
      </c>
    </row>
    <row r="46803" spans="1:6" x14ac:dyDescent="0.25">
      <c r="A46803" s="1" t="str">
        <f t="shared" si="1535"/>
        <v>99999</v>
      </c>
      <c r="B46803" s="1" t="str">
        <f>"52036"</f>
        <v>52036</v>
      </c>
      <c r="C46803" s="2">
        <v>9.5269583691406198E-6</v>
      </c>
      <c r="D46803" s="2">
        <v>4.5171266858293203E-6</v>
      </c>
      <c r="E46803" s="2">
        <v>8.6021135392965999E-6</v>
      </c>
      <c r="F46803" s="2">
        <v>9.1774027476551693E-6</v>
      </c>
    </row>
    <row r="46804" spans="1:6" x14ac:dyDescent="0.25">
      <c r="A46804" s="1" t="str">
        <f t="shared" si="1535"/>
        <v>99999</v>
      </c>
      <c r="B46804" s="1" t="str">
        <f>"50432"</f>
        <v>50432</v>
      </c>
      <c r="C46804" s="2">
        <v>1.6563916255437601E-5</v>
      </c>
      <c r="D46804" s="2">
        <v>0</v>
      </c>
      <c r="E46804" s="2">
        <v>3.01073973875381E-5</v>
      </c>
      <c r="F46804" s="2">
        <v>1.5789079995965799E-5</v>
      </c>
    </row>
    <row r="46805" spans="1:6" x14ac:dyDescent="0.25">
      <c r="A46805" s="1" t="str">
        <f t="shared" si="1535"/>
        <v>99999</v>
      </c>
      <c r="B46805" s="1" t="str">
        <f>"52168"</f>
        <v>52168</v>
      </c>
      <c r="C46805" s="2">
        <v>2.1760439002241601E-5</v>
      </c>
      <c r="D46805" s="2">
        <v>1.50570889527644E-6</v>
      </c>
      <c r="E46805" s="2">
        <v>8.6021135392965999E-6</v>
      </c>
      <c r="F46805" s="2">
        <v>2.0131076994856499E-5</v>
      </c>
    </row>
    <row r="46806" spans="1:6" x14ac:dyDescent="0.25">
      <c r="A46806" s="1" t="str">
        <f t="shared" si="1535"/>
        <v>99999</v>
      </c>
      <c r="B46806" s="1" t="str">
        <f>"57251"</f>
        <v>57251</v>
      </c>
      <c r="C46806" s="2">
        <v>6.2791316523881298E-6</v>
      </c>
      <c r="D46806" s="2">
        <v>1.50570889527644E-6</v>
      </c>
      <c r="E46806" s="2">
        <v>4.3010567696482999E-6</v>
      </c>
      <c r="F46806" s="2">
        <v>5.9209049984871999E-6</v>
      </c>
    </row>
    <row r="46807" spans="1:6" x14ac:dyDescent="0.25">
      <c r="A46807" s="1" t="str">
        <f t="shared" si="1535"/>
        <v>99999</v>
      </c>
      <c r="B46807" s="1" t="str">
        <f>"56331"</f>
        <v>56331</v>
      </c>
      <c r="C46807" s="2">
        <v>7.5782623390891299E-7</v>
      </c>
      <c r="D46807" s="2">
        <v>0</v>
      </c>
      <c r="E46807" s="2">
        <v>0</v>
      </c>
      <c r="F46807" s="2">
        <v>6.9077224982350697E-7</v>
      </c>
    </row>
    <row r="46808" spans="1:6" x14ac:dyDescent="0.25">
      <c r="A46808" s="1" t="str">
        <f t="shared" si="1535"/>
        <v>99999</v>
      </c>
      <c r="B46808" s="1" t="str">
        <f>"56542"</f>
        <v>56542</v>
      </c>
      <c r="C46808" s="2">
        <v>8.4443494635564601E-6</v>
      </c>
      <c r="D46808" s="2">
        <v>0</v>
      </c>
      <c r="E46808" s="2">
        <v>0</v>
      </c>
      <c r="F46808" s="2">
        <v>7.6971764980333696E-6</v>
      </c>
    </row>
    <row r="46809" spans="1:6" x14ac:dyDescent="0.25">
      <c r="A46809" s="1" t="str">
        <f t="shared" si="1535"/>
        <v>99999</v>
      </c>
      <c r="B46809" s="1" t="str">
        <f>"12943"</f>
        <v>12943</v>
      </c>
      <c r="C46809" s="2">
        <v>2.1760439002241601E-5</v>
      </c>
      <c r="D46809" s="2">
        <v>9.0342533716586405E-6</v>
      </c>
      <c r="E46809" s="2">
        <v>8.6021135392965999E-6</v>
      </c>
      <c r="F46809" s="2">
        <v>2.0624485744730399E-5</v>
      </c>
    </row>
    <row r="46810" spans="1:6" x14ac:dyDescent="0.25">
      <c r="A46810" s="1" t="str">
        <f t="shared" si="1535"/>
        <v>99999</v>
      </c>
      <c r="B46810" s="1" t="str">
        <f>"12956"</f>
        <v>12956</v>
      </c>
      <c r="C46810" s="2">
        <v>4.7093487392911002E-5</v>
      </c>
      <c r="D46810" s="2">
        <v>3.01141779055288E-6</v>
      </c>
      <c r="E46810" s="2">
        <v>2.15052838482415E-5</v>
      </c>
      <c r="F46810" s="2">
        <v>4.3617333488855698E-5</v>
      </c>
    </row>
    <row r="46811" spans="1:6" x14ac:dyDescent="0.25">
      <c r="A46811" s="1" t="str">
        <f t="shared" si="1535"/>
        <v>99999</v>
      </c>
      <c r="B46811" s="1" t="str">
        <f>"13841"</f>
        <v>13841</v>
      </c>
      <c r="C46811" s="2">
        <v>1.68886989271129E-5</v>
      </c>
      <c r="D46811" s="2">
        <v>0</v>
      </c>
      <c r="E46811" s="2">
        <v>2.58063406178898E-5</v>
      </c>
      <c r="F46811" s="2">
        <v>1.5986443495915399E-5</v>
      </c>
    </row>
    <row r="46812" spans="1:6" x14ac:dyDescent="0.25">
      <c r="A46812" s="1" t="str">
        <f t="shared" si="1535"/>
        <v>99999</v>
      </c>
      <c r="B46812" s="1" t="str">
        <f>"14040"</f>
        <v>14040</v>
      </c>
      <c r="C46812" s="2">
        <v>1.5589568240411901E-5</v>
      </c>
      <c r="D46812" s="2">
        <v>1.50570889527644E-6</v>
      </c>
      <c r="E46812" s="2">
        <v>0</v>
      </c>
      <c r="F46812" s="2">
        <v>1.4308853746344E-5</v>
      </c>
    </row>
    <row r="46813" spans="1:6" x14ac:dyDescent="0.25">
      <c r="A46813" s="1" t="str">
        <f t="shared" si="1535"/>
        <v>99999</v>
      </c>
      <c r="B46813" s="1" t="str">
        <f>"15362"</f>
        <v>15362</v>
      </c>
      <c r="C46813" s="2">
        <v>3.9731746834938703E-5</v>
      </c>
      <c r="D46813" s="2">
        <v>7.5285444763821999E-6</v>
      </c>
      <c r="E46813" s="2">
        <v>4.3010567696482999E-6</v>
      </c>
      <c r="F46813" s="2">
        <v>3.68082927405954E-5</v>
      </c>
    </row>
    <row r="46814" spans="1:6" x14ac:dyDescent="0.25">
      <c r="A46814" s="1" t="str">
        <f t="shared" si="1535"/>
        <v>99999</v>
      </c>
      <c r="B46814" s="1" t="str">
        <f>"16028"</f>
        <v>16028</v>
      </c>
      <c r="C46814" s="2">
        <v>3.8649137929354497E-5</v>
      </c>
      <c r="D46814" s="2">
        <v>3.31255956960816E-5</v>
      </c>
      <c r="E46814" s="2">
        <v>1.29031703089449E-5</v>
      </c>
      <c r="F46814" s="2">
        <v>3.7696428490368499E-5</v>
      </c>
    </row>
    <row r="46815" spans="1:6" x14ac:dyDescent="0.25">
      <c r="A46815" s="1" t="str">
        <f t="shared" si="1535"/>
        <v>99999</v>
      </c>
      <c r="B46815" s="1" t="str">
        <f>"16351"</f>
        <v>16351</v>
      </c>
      <c r="C46815" s="2">
        <v>9.5269583691406198E-6</v>
      </c>
      <c r="D46815" s="2">
        <v>1.50570889527644E-6</v>
      </c>
      <c r="E46815" s="2">
        <v>0</v>
      </c>
      <c r="F46815" s="2">
        <v>8.7826757477560201E-6</v>
      </c>
    </row>
    <row r="46816" spans="1:6" x14ac:dyDescent="0.25">
      <c r="A46816" s="1" t="str">
        <f t="shared" si="1535"/>
        <v>99999</v>
      </c>
      <c r="B46816" s="1" t="str">
        <f>"21635"</f>
        <v>21635</v>
      </c>
      <c r="C46816" s="2">
        <v>1.0230654157770301E-4</v>
      </c>
      <c r="D46816" s="2">
        <v>7.9802571449651304E-5</v>
      </c>
      <c r="E46816" s="2">
        <v>2.15052838482415E-5</v>
      </c>
      <c r="F46816" s="2">
        <v>9.8977795224711098E-5</v>
      </c>
    </row>
    <row r="46817" spans="1:6" x14ac:dyDescent="0.25">
      <c r="A46817" s="1" t="str">
        <f t="shared" si="1535"/>
        <v>99999</v>
      </c>
      <c r="B46817" s="1" t="str">
        <f>"24862"</f>
        <v>24862</v>
      </c>
      <c r="C46817" s="2">
        <v>3.3344354291992097E-5</v>
      </c>
      <c r="D46817" s="2">
        <v>6.0228355811057601E-6</v>
      </c>
      <c r="E46817" s="2">
        <v>4.3010567696482999E-6</v>
      </c>
      <c r="F46817" s="2">
        <v>3.0887387742108201E-5</v>
      </c>
    </row>
    <row r="46818" spans="1:6" x14ac:dyDescent="0.25">
      <c r="A46818" s="1" t="str">
        <f t="shared" si="1535"/>
        <v>99999</v>
      </c>
      <c r="B46818" s="1" t="str">
        <f>"25870"</f>
        <v>25870</v>
      </c>
      <c r="C46818" s="2">
        <v>1.3532611319802E-5</v>
      </c>
      <c r="D46818" s="2">
        <v>4.5171266858293203E-6</v>
      </c>
      <c r="E46818" s="2">
        <v>4.3010567696482999E-6</v>
      </c>
      <c r="F46818" s="2">
        <v>1.27299457467474E-5</v>
      </c>
    </row>
    <row r="46819" spans="1:6" x14ac:dyDescent="0.25">
      <c r="A46819" s="1" t="str">
        <f t="shared" si="1535"/>
        <v>99999</v>
      </c>
      <c r="B46819" s="1" t="str">
        <f>"26298"</f>
        <v>26298</v>
      </c>
      <c r="C46819" s="2">
        <v>3.6808702789861401E-6</v>
      </c>
      <c r="D46819" s="2">
        <v>0</v>
      </c>
      <c r="E46819" s="2">
        <v>4.3010567696482999E-6</v>
      </c>
      <c r="F46819" s="2">
        <v>3.4538612491175301E-6</v>
      </c>
    </row>
    <row r="46820" spans="1:6" x14ac:dyDescent="0.25">
      <c r="A46820" s="1" t="str">
        <f t="shared" si="1535"/>
        <v>99999</v>
      </c>
      <c r="B46820" s="1" t="str">
        <f>"27897"</f>
        <v>27897</v>
      </c>
      <c r="C46820" s="2">
        <v>9.8517410408158696E-6</v>
      </c>
      <c r="D46820" s="2">
        <v>3.01141779055288E-6</v>
      </c>
      <c r="E46820" s="2">
        <v>0</v>
      </c>
      <c r="F46820" s="2">
        <v>9.1774027476551693E-6</v>
      </c>
    </row>
    <row r="46821" spans="1:6" x14ac:dyDescent="0.25">
      <c r="A46821" s="1" t="str">
        <f t="shared" si="1535"/>
        <v>99999</v>
      </c>
      <c r="B46821" s="1" t="str">
        <f>"29592"</f>
        <v>29592</v>
      </c>
      <c r="C46821" s="2">
        <v>4.7959574517378298E-5</v>
      </c>
      <c r="D46821" s="2">
        <v>7.5285444763821999E-6</v>
      </c>
      <c r="E46821" s="2">
        <v>0</v>
      </c>
      <c r="F46821" s="2">
        <v>4.4209423988704398E-5</v>
      </c>
    </row>
    <row r="46822" spans="1:6" x14ac:dyDescent="0.25">
      <c r="A46822" s="1" t="str">
        <f t="shared" si="1535"/>
        <v>99999</v>
      </c>
      <c r="B46822" s="1" t="str">
        <f>"31081"</f>
        <v>31081</v>
      </c>
      <c r="C46822" s="2">
        <v>1.3640872210360401E-5</v>
      </c>
      <c r="D46822" s="2">
        <v>1.20456711622115E-5</v>
      </c>
      <c r="E46822" s="2">
        <v>0</v>
      </c>
      <c r="F46822" s="2">
        <v>1.3223354496621401E-5</v>
      </c>
    </row>
    <row r="46823" spans="1:6" x14ac:dyDescent="0.25">
      <c r="A46823" s="1" t="str">
        <f t="shared" si="1535"/>
        <v>99999</v>
      </c>
      <c r="B46823" s="1" t="str">
        <f>"38901"</f>
        <v>38901</v>
      </c>
      <c r="C46823" s="2">
        <v>7.0369578862970498E-6</v>
      </c>
      <c r="D46823" s="2">
        <v>0</v>
      </c>
      <c r="E46823" s="2">
        <v>0</v>
      </c>
      <c r="F46823" s="2">
        <v>6.4143137483611402E-6</v>
      </c>
    </row>
    <row r="46824" spans="1:6" x14ac:dyDescent="0.25">
      <c r="A46824" s="1" t="str">
        <f t="shared" si="1535"/>
        <v>99999</v>
      </c>
      <c r="B46824" s="1" t="str">
        <f>"39423"</f>
        <v>39423</v>
      </c>
      <c r="C46824" s="2">
        <v>7.5782623390891299E-7</v>
      </c>
      <c r="D46824" s="2">
        <v>1.50570889527644E-6</v>
      </c>
      <c r="E46824" s="2">
        <v>0</v>
      </c>
      <c r="F46824" s="2">
        <v>7.8945399979829395E-7</v>
      </c>
    </row>
    <row r="46825" spans="1:6" x14ac:dyDescent="0.25">
      <c r="A46825" s="1" t="str">
        <f t="shared" si="1535"/>
        <v>99999</v>
      </c>
      <c r="B46825" s="1" t="str">
        <f>"39455"</f>
        <v>39455</v>
      </c>
      <c r="C46825" s="2">
        <v>2.49000048284357E-6</v>
      </c>
      <c r="D46825" s="2">
        <v>3.01141779055288E-6</v>
      </c>
      <c r="E46825" s="2">
        <v>0</v>
      </c>
      <c r="F46825" s="2">
        <v>2.4670437493696702E-6</v>
      </c>
    </row>
    <row r="46826" spans="1:6" x14ac:dyDescent="0.25">
      <c r="A46826" s="1" t="str">
        <f t="shared" si="1535"/>
        <v>99999</v>
      </c>
      <c r="B46826" s="1" t="str">
        <f>"41567"</f>
        <v>41567</v>
      </c>
      <c r="C46826" s="2">
        <v>1.7321742489346501E-5</v>
      </c>
      <c r="D46826" s="2">
        <v>1.50570889527644E-6</v>
      </c>
      <c r="E46826" s="2">
        <v>8.6021135392965999E-6</v>
      </c>
      <c r="F46826" s="2">
        <v>1.60851252458902E-5</v>
      </c>
    </row>
    <row r="46827" spans="1:6" x14ac:dyDescent="0.25">
      <c r="A46827" s="1" t="str">
        <f t="shared" si="1535"/>
        <v>99999</v>
      </c>
      <c r="B46827" s="1" t="str">
        <f>"41174"</f>
        <v>41174</v>
      </c>
      <c r="C46827" s="2">
        <v>1.50482637876198E-5</v>
      </c>
      <c r="D46827" s="2">
        <v>1.50570889527644E-6</v>
      </c>
      <c r="E46827" s="2">
        <v>0</v>
      </c>
      <c r="F46827" s="2">
        <v>1.38154449964701E-5</v>
      </c>
    </row>
    <row r="46828" spans="1:6" x14ac:dyDescent="0.25">
      <c r="A46828" s="1" t="str">
        <f t="shared" si="1535"/>
        <v>99999</v>
      </c>
      <c r="B46828" s="1" t="str">
        <f>"40376"</f>
        <v>40376</v>
      </c>
      <c r="C46828" s="2">
        <v>3.7891311695445602E-6</v>
      </c>
      <c r="D46828" s="2">
        <v>3.9148431277187403E-5</v>
      </c>
      <c r="E46828" s="2">
        <v>0</v>
      </c>
      <c r="F46828" s="2">
        <v>6.0195867484619901E-6</v>
      </c>
    </row>
    <row r="46829" spans="1:6" x14ac:dyDescent="0.25">
      <c r="A46829" s="1" t="str">
        <f t="shared" si="1535"/>
        <v>99999</v>
      </c>
      <c r="B46829" s="1" t="str">
        <f>"44695"</f>
        <v>44695</v>
      </c>
      <c r="C46829" s="2">
        <v>3.9190442382146597E-5</v>
      </c>
      <c r="D46829" s="2">
        <v>1.50570889527644E-5</v>
      </c>
      <c r="E46829" s="2">
        <v>4.3010567696482999E-6</v>
      </c>
      <c r="F46829" s="2">
        <v>3.68082927405954E-5</v>
      </c>
    </row>
    <row r="46830" spans="1:6" x14ac:dyDescent="0.25">
      <c r="A46830" s="1" t="str">
        <f t="shared" si="1535"/>
        <v>99999</v>
      </c>
      <c r="B46830" s="1" t="str">
        <f>"47338"</f>
        <v>47338</v>
      </c>
      <c r="C46830" s="2">
        <v>1.9486960300514902E-6</v>
      </c>
      <c r="D46830" s="2">
        <v>0</v>
      </c>
      <c r="E46830" s="2">
        <v>4.3010567696482999E-6</v>
      </c>
      <c r="F46830" s="2">
        <v>1.8749532495209401E-6</v>
      </c>
    </row>
    <row r="46831" spans="1:6" x14ac:dyDescent="0.25">
      <c r="A46831" s="1" t="str">
        <f t="shared" si="1535"/>
        <v>99999</v>
      </c>
      <c r="B46831" s="1" t="str">
        <f>"49796"</f>
        <v>49796</v>
      </c>
      <c r="C46831" s="2">
        <v>4.4386965128950601E-6</v>
      </c>
      <c r="D46831" s="2">
        <v>1.50570889527644E-6</v>
      </c>
      <c r="E46831" s="2">
        <v>0</v>
      </c>
      <c r="F46831" s="2">
        <v>4.1446334989410403E-6</v>
      </c>
    </row>
    <row r="46832" spans="1:6" x14ac:dyDescent="0.25">
      <c r="A46832" s="1" t="str">
        <f t="shared" si="1535"/>
        <v>99999</v>
      </c>
      <c r="B46832" s="1" t="str">
        <f>"49827"</f>
        <v>49827</v>
      </c>
      <c r="C46832" s="2">
        <v>6.2033490289972406E-5</v>
      </c>
      <c r="D46832" s="2">
        <v>1.0539962266935E-5</v>
      </c>
      <c r="E46832" s="2">
        <v>1.16128532780504E-4</v>
      </c>
      <c r="F46832" s="2">
        <v>5.9899822234695502E-5</v>
      </c>
    </row>
    <row r="46833" spans="1:6" x14ac:dyDescent="0.25">
      <c r="A46833" s="1" t="str">
        <f t="shared" si="1535"/>
        <v>99999</v>
      </c>
      <c r="B46833" s="1" t="str">
        <f>"51366"</f>
        <v>51366</v>
      </c>
      <c r="C46833" s="2">
        <v>1.08260890558416E-7</v>
      </c>
      <c r="D46833" s="2">
        <v>0</v>
      </c>
      <c r="E46833" s="2">
        <v>0</v>
      </c>
      <c r="F46833" s="2">
        <v>9.8681749974786797E-8</v>
      </c>
    </row>
    <row r="46834" spans="1:6" x14ac:dyDescent="0.25">
      <c r="A46834" s="1" t="str">
        <f t="shared" si="1535"/>
        <v>99999</v>
      </c>
      <c r="B46834" s="1" t="str">
        <f>"51467"</f>
        <v>51467</v>
      </c>
      <c r="C46834" s="2">
        <v>2.78230488735129E-5</v>
      </c>
      <c r="D46834" s="2">
        <v>2.25856334291466E-5</v>
      </c>
      <c r="E46834" s="2">
        <v>1.29031703089449E-5</v>
      </c>
      <c r="F46834" s="2">
        <v>2.7137481243066299E-5</v>
      </c>
    </row>
    <row r="46835" spans="1:6" x14ac:dyDescent="0.25">
      <c r="A46835" s="1" t="str">
        <f t="shared" si="1535"/>
        <v>99999</v>
      </c>
      <c r="B46835" s="1" t="str">
        <f>"50674"</f>
        <v>50674</v>
      </c>
      <c r="C46835" s="2">
        <v>2.5549570171786201E-5</v>
      </c>
      <c r="D46835" s="2">
        <v>1.35513800574879E-5</v>
      </c>
      <c r="E46835" s="2">
        <v>0</v>
      </c>
      <c r="F46835" s="2">
        <v>2.41770287438227E-5</v>
      </c>
    </row>
    <row r="46836" spans="1:6" x14ac:dyDescent="0.25">
      <c r="A46836" s="1" t="str">
        <f t="shared" si="1535"/>
        <v>99999</v>
      </c>
      <c r="B46836" s="1" t="str">
        <f>"54210"</f>
        <v>54210</v>
      </c>
      <c r="C46836" s="2">
        <v>7.9463493669877406E-5</v>
      </c>
      <c r="D46836" s="2">
        <v>3.9148431277187403E-5</v>
      </c>
      <c r="E46836" s="2">
        <v>4.7311624466131299E-5</v>
      </c>
      <c r="F46836" s="2">
        <v>7.6083629230560597E-5</v>
      </c>
    </row>
    <row r="46837" spans="1:6" x14ac:dyDescent="0.25">
      <c r="A46837" s="1" t="str">
        <f t="shared" si="1535"/>
        <v>99999</v>
      </c>
      <c r="B46837" s="1" t="str">
        <f>"56274"</f>
        <v>56274</v>
      </c>
      <c r="C46837" s="2">
        <v>6.8204361051802096E-6</v>
      </c>
      <c r="D46837" s="2">
        <v>3.01141779055288E-6</v>
      </c>
      <c r="E46837" s="2">
        <v>0</v>
      </c>
      <c r="F46837" s="2">
        <v>6.4143137483611402E-6</v>
      </c>
    </row>
    <row r="46838" spans="1:6" x14ac:dyDescent="0.25">
      <c r="A46838" s="1" t="str">
        <f t="shared" si="1535"/>
        <v>99999</v>
      </c>
      <c r="B46838" s="1" t="str">
        <f>"57553"</f>
        <v>57553</v>
      </c>
      <c r="C46838" s="2">
        <v>8.1195667918812104E-6</v>
      </c>
      <c r="D46838" s="2">
        <v>9.0342533716586405E-6</v>
      </c>
      <c r="E46838" s="2">
        <v>4.3010567696482999E-6</v>
      </c>
      <c r="F46838" s="2">
        <v>8.0919034979325103E-6</v>
      </c>
    </row>
    <row r="46839" spans="1:6" x14ac:dyDescent="0.25">
      <c r="A46839" s="1" t="str">
        <f t="shared" si="1535"/>
        <v>99999</v>
      </c>
      <c r="B46839" s="1" t="str">
        <f>"57560"</f>
        <v>57560</v>
      </c>
      <c r="C46839" s="2">
        <v>5.95434898071288E-6</v>
      </c>
      <c r="D46839" s="2">
        <v>1.50570889527644E-6</v>
      </c>
      <c r="E46839" s="2">
        <v>4.3010567696482999E-6</v>
      </c>
      <c r="F46839" s="2">
        <v>5.6248597485628401E-6</v>
      </c>
    </row>
    <row r="46840" spans="1:6" x14ac:dyDescent="0.25">
      <c r="A46840" s="1" t="str">
        <f t="shared" si="1535"/>
        <v>99999</v>
      </c>
      <c r="B46840" s="1" t="str">
        <f>"57522"</f>
        <v>57522</v>
      </c>
      <c r="C46840" s="2">
        <v>1.1908697961425701E-6</v>
      </c>
      <c r="D46840" s="2">
        <v>0</v>
      </c>
      <c r="E46840" s="2">
        <v>0</v>
      </c>
      <c r="F46840" s="2">
        <v>1.0854992497226499E-6</v>
      </c>
    </row>
    <row r="46841" spans="1:6" x14ac:dyDescent="0.25">
      <c r="A46841" s="1" t="str">
        <f t="shared" si="1535"/>
        <v>99999</v>
      </c>
      <c r="B46841" s="1" t="str">
        <f>"57468"</f>
        <v>57468</v>
      </c>
      <c r="C46841" s="2">
        <v>1.5373046459294999E-5</v>
      </c>
      <c r="D46841" s="2">
        <v>4.5171266858293203E-6</v>
      </c>
      <c r="E46841" s="2">
        <v>4.3010567696482999E-6</v>
      </c>
      <c r="F46841" s="2">
        <v>1.4407535496318799E-5</v>
      </c>
    </row>
    <row r="46842" spans="1:6" x14ac:dyDescent="0.25">
      <c r="A46842" s="1" t="str">
        <f t="shared" si="1535"/>
        <v>99999</v>
      </c>
      <c r="B46842" s="1" t="str">
        <f>"58656"</f>
        <v>58656</v>
      </c>
      <c r="C46842" s="2">
        <v>2.2734787017267302E-6</v>
      </c>
      <c r="D46842" s="2">
        <v>0</v>
      </c>
      <c r="E46842" s="2">
        <v>4.3010567696482999E-6</v>
      </c>
      <c r="F46842" s="2">
        <v>2.1709984994452998E-6</v>
      </c>
    </row>
    <row r="46843" spans="1:6" x14ac:dyDescent="0.25">
      <c r="A46843" s="1" t="str">
        <f t="shared" si="1535"/>
        <v>99999</v>
      </c>
      <c r="B46843" s="1" t="str">
        <f>"58852"</f>
        <v>58852</v>
      </c>
      <c r="C46843" s="2">
        <v>5.3047836373623898E-6</v>
      </c>
      <c r="D46843" s="2">
        <v>6.0228355811057601E-6</v>
      </c>
      <c r="E46843" s="2">
        <v>0</v>
      </c>
      <c r="F46843" s="2">
        <v>5.2301327486637002E-6</v>
      </c>
    </row>
    <row r="46844" spans="1:6" x14ac:dyDescent="0.25">
      <c r="A46844" s="1" t="str">
        <f t="shared" si="1535"/>
        <v>99999</v>
      </c>
      <c r="B46844" s="1" t="str">
        <f>"58710"</f>
        <v>58710</v>
      </c>
      <c r="C46844" s="2">
        <v>7.5782623390891297E-6</v>
      </c>
      <c r="D46844" s="2">
        <v>3.01141779055288E-6</v>
      </c>
      <c r="E46844" s="2">
        <v>4.3010567696482999E-6</v>
      </c>
      <c r="F46844" s="2">
        <v>7.2037677481594301E-6</v>
      </c>
    </row>
    <row r="46845" spans="1:6" x14ac:dyDescent="0.25">
      <c r="A46845" s="1" t="str">
        <f t="shared" si="1535"/>
        <v>99999</v>
      </c>
      <c r="B46845" s="1" t="str">
        <f>"58532"</f>
        <v>58532</v>
      </c>
      <c r="C46845" s="2">
        <v>3.5726093884277301E-6</v>
      </c>
      <c r="D46845" s="2">
        <v>0</v>
      </c>
      <c r="E46845" s="2">
        <v>0</v>
      </c>
      <c r="F46845" s="2">
        <v>3.2564977491679601E-6</v>
      </c>
    </row>
    <row r="46846" spans="1:6" x14ac:dyDescent="0.25">
      <c r="A46846" s="1" t="str">
        <f t="shared" si="1535"/>
        <v>99999</v>
      </c>
      <c r="B46846" s="1" t="str">
        <f>"59260"</f>
        <v>59260</v>
      </c>
      <c r="C46846" s="2">
        <v>1.0176523712491101E-5</v>
      </c>
      <c r="D46846" s="2">
        <v>4.5171266858293203E-6</v>
      </c>
      <c r="E46846" s="2">
        <v>1.29031703089449E-5</v>
      </c>
      <c r="F46846" s="2">
        <v>9.8681749974786808E-6</v>
      </c>
    </row>
    <row r="46847" spans="1:6" x14ac:dyDescent="0.25">
      <c r="A46847" s="1" t="str">
        <f t="shared" si="1535"/>
        <v>99999</v>
      </c>
      <c r="B46847" s="1" t="str">
        <f>"59531"</f>
        <v>59531</v>
      </c>
      <c r="C46847" s="2">
        <v>9.8517410408158696E-6</v>
      </c>
      <c r="D46847" s="2">
        <v>0</v>
      </c>
      <c r="E46847" s="2">
        <v>4.3010567696482999E-6</v>
      </c>
      <c r="F46847" s="2">
        <v>9.0787209976803807E-6</v>
      </c>
    </row>
    <row r="46848" spans="1:6" x14ac:dyDescent="0.25">
      <c r="A46848" s="1" t="str">
        <f t="shared" si="1535"/>
        <v>99999</v>
      </c>
      <c r="B46848" s="1" t="str">
        <f>"59532"</f>
        <v>59532</v>
      </c>
      <c r="C46848" s="2">
        <v>1.0176523712491101E-5</v>
      </c>
      <c r="D46848" s="2">
        <v>0</v>
      </c>
      <c r="E46848" s="2">
        <v>4.3010567696482999E-6</v>
      </c>
      <c r="F46848" s="2">
        <v>9.3747662476047397E-6</v>
      </c>
    </row>
    <row r="46849" spans="1:6" x14ac:dyDescent="0.25">
      <c r="A46849" s="1" t="str">
        <f t="shared" si="1535"/>
        <v>99999</v>
      </c>
      <c r="B46849" s="1" t="str">
        <f>"62963"</f>
        <v>62963</v>
      </c>
      <c r="C46849" s="2">
        <v>3.39939196353426E-5</v>
      </c>
      <c r="D46849" s="2">
        <v>7.6791153659098402E-5</v>
      </c>
      <c r="E46849" s="2">
        <v>3.01073973875381E-5</v>
      </c>
      <c r="F46849" s="2">
        <v>3.6709610990620603E-5</v>
      </c>
    </row>
    <row r="46850" spans="1:6" x14ac:dyDescent="0.25">
      <c r="A46850" s="1" t="str">
        <f t="shared" si="1535"/>
        <v>99999</v>
      </c>
      <c r="B46850" s="1" t="str">
        <f>"63458"</f>
        <v>63458</v>
      </c>
      <c r="C46850" s="2">
        <v>1.0284784603049499E-5</v>
      </c>
      <c r="D46850" s="2">
        <v>1.35513800574879E-5</v>
      </c>
      <c r="E46850" s="2">
        <v>1.72042270785932E-5</v>
      </c>
      <c r="F46850" s="2">
        <v>1.06576289972769E-5</v>
      </c>
    </row>
    <row r="46851" spans="1:6" x14ac:dyDescent="0.25">
      <c r="A46851" s="1" t="str">
        <f t="shared" si="1535"/>
        <v>99999</v>
      </c>
      <c r="B46851" s="1" t="str">
        <f>"67334"</f>
        <v>67334</v>
      </c>
      <c r="C46851" s="2">
        <v>3.8973920601029803E-6</v>
      </c>
      <c r="D46851" s="2">
        <v>0</v>
      </c>
      <c r="E46851" s="2">
        <v>4.3010567696482999E-6</v>
      </c>
      <c r="F46851" s="2">
        <v>3.6512247490671102E-6</v>
      </c>
    </row>
    <row r="46852" spans="1:6" x14ac:dyDescent="0.25">
      <c r="A46852" s="1" t="str">
        <f t="shared" si="1535"/>
        <v>99999</v>
      </c>
      <c r="B46852" s="1" t="str">
        <f>"66541"</f>
        <v>66541</v>
      </c>
      <c r="C46852" s="2">
        <v>1.7430003379904999E-5</v>
      </c>
      <c r="D46852" s="2">
        <v>6.0228355811057601E-6</v>
      </c>
      <c r="E46852" s="2">
        <v>4.3010567696482999E-6</v>
      </c>
      <c r="F46852" s="2">
        <v>1.6381170495814601E-5</v>
      </c>
    </row>
    <row r="46853" spans="1:6" x14ac:dyDescent="0.25">
      <c r="A46853" s="1" t="str">
        <f t="shared" si="1535"/>
        <v>99999</v>
      </c>
      <c r="B46853" s="1" t="str">
        <f>"65649"</f>
        <v>65649</v>
      </c>
      <c r="C46853" s="2">
        <v>3.1070875590265398E-5</v>
      </c>
      <c r="D46853" s="2">
        <v>3.01141779055288E-6</v>
      </c>
      <c r="E46853" s="2">
        <v>4.3010567696482999E-6</v>
      </c>
      <c r="F46853" s="2">
        <v>2.8617707492688099E-5</v>
      </c>
    </row>
    <row r="46854" spans="1:6" x14ac:dyDescent="0.25">
      <c r="A46854" s="1" t="str">
        <f t="shared" ref="A46854:A46917" si="1536">"99999"</f>
        <v>99999</v>
      </c>
      <c r="B46854" s="1" t="str">
        <f>"65660"</f>
        <v>65660</v>
      </c>
      <c r="C46854" s="2">
        <v>1.34243504292436E-5</v>
      </c>
      <c r="D46854" s="2">
        <v>0</v>
      </c>
      <c r="E46854" s="2">
        <v>8.6021135392965999E-6</v>
      </c>
      <c r="F46854" s="2">
        <v>1.2433900496823101E-5</v>
      </c>
    </row>
    <row r="46855" spans="1:6" x14ac:dyDescent="0.25">
      <c r="A46855" s="1" t="str">
        <f t="shared" si="1536"/>
        <v>99999</v>
      </c>
      <c r="B46855" s="1" t="str">
        <f>"65746"</f>
        <v>65746</v>
      </c>
      <c r="C46855" s="2">
        <v>1.14756543991921E-5</v>
      </c>
      <c r="D46855" s="2">
        <v>6.0228355811057601E-6</v>
      </c>
      <c r="E46855" s="2">
        <v>8.6021135392965999E-6</v>
      </c>
      <c r="F46855" s="2">
        <v>1.10523559971761E-5</v>
      </c>
    </row>
    <row r="46856" spans="1:6" x14ac:dyDescent="0.25">
      <c r="A46856" s="1" t="str">
        <f t="shared" si="1536"/>
        <v>99999</v>
      </c>
      <c r="B46856" s="1" t="str">
        <f>"69029"</f>
        <v>69029</v>
      </c>
      <c r="C46856" s="2">
        <v>4.98000096568714E-6</v>
      </c>
      <c r="D46856" s="2">
        <v>0</v>
      </c>
      <c r="E46856" s="2">
        <v>0</v>
      </c>
      <c r="F46856" s="2">
        <v>4.5393604988401904E-6</v>
      </c>
    </row>
    <row r="46857" spans="1:6" x14ac:dyDescent="0.25">
      <c r="A46857" s="1" t="str">
        <f t="shared" si="1536"/>
        <v>99999</v>
      </c>
      <c r="B46857" s="1" t="str">
        <f>"68792"</f>
        <v>68792</v>
      </c>
      <c r="C46857" s="2">
        <v>3.00965275752396E-5</v>
      </c>
      <c r="D46857" s="2">
        <v>6.0228355811057601E-6</v>
      </c>
      <c r="E46857" s="2">
        <v>3.01073973875381E-5</v>
      </c>
      <c r="F46857" s="2">
        <v>2.8519025742713299E-5</v>
      </c>
    </row>
    <row r="46858" spans="1:6" x14ac:dyDescent="0.25">
      <c r="A46858" s="1" t="str">
        <f t="shared" si="1536"/>
        <v>99999</v>
      </c>
      <c r="B46858" s="1" t="str">
        <f>"68315"</f>
        <v>68315</v>
      </c>
      <c r="C46858" s="2">
        <v>6.9286969957386301E-6</v>
      </c>
      <c r="D46858" s="2">
        <v>1.20456711622115E-5</v>
      </c>
      <c r="E46858" s="2">
        <v>0</v>
      </c>
      <c r="F46858" s="2">
        <v>7.10508599818465E-6</v>
      </c>
    </row>
    <row r="46859" spans="1:6" x14ac:dyDescent="0.25">
      <c r="A46859" s="1" t="str">
        <f t="shared" si="1536"/>
        <v>99999</v>
      </c>
      <c r="B46859" s="1" t="str">
        <f>"72561"</f>
        <v>72561</v>
      </c>
      <c r="C46859" s="2">
        <v>6.5714360568958603E-5</v>
      </c>
      <c r="D46859" s="2">
        <v>3.01141779055288E-6</v>
      </c>
      <c r="E46859" s="2">
        <v>1.29031703089449E-5</v>
      </c>
      <c r="F46859" s="2">
        <v>6.03932309845695E-5</v>
      </c>
    </row>
    <row r="46860" spans="1:6" x14ac:dyDescent="0.25">
      <c r="A46860" s="1" t="str">
        <f t="shared" si="1536"/>
        <v>99999</v>
      </c>
      <c r="B46860" s="1" t="str">
        <f>"72348"</f>
        <v>72348</v>
      </c>
      <c r="C46860" s="2">
        <v>3.7891311695445602E-6</v>
      </c>
      <c r="D46860" s="2">
        <v>0</v>
      </c>
      <c r="E46860" s="2">
        <v>0</v>
      </c>
      <c r="F46860" s="2">
        <v>3.4538612491175301E-6</v>
      </c>
    </row>
    <row r="46861" spans="1:6" x14ac:dyDescent="0.25">
      <c r="A46861" s="1" t="str">
        <f t="shared" si="1536"/>
        <v>99999</v>
      </c>
      <c r="B46861" s="1" t="str">
        <f>"79565"</f>
        <v>79565</v>
      </c>
      <c r="C46861" s="2">
        <v>2.49000048284357E-6</v>
      </c>
      <c r="D46861" s="2">
        <v>6.0228355811057601E-6</v>
      </c>
      <c r="E46861" s="2">
        <v>4.3010567696482999E-6</v>
      </c>
      <c r="F46861" s="2">
        <v>2.76308899929403E-6</v>
      </c>
    </row>
    <row r="46862" spans="1:6" x14ac:dyDescent="0.25">
      <c r="A46862" s="1" t="str">
        <f t="shared" si="1536"/>
        <v>99999</v>
      </c>
      <c r="B46862" s="1" t="str">
        <f>"76820"</f>
        <v>76820</v>
      </c>
      <c r="C46862" s="2">
        <v>2.8147831545188202E-6</v>
      </c>
      <c r="D46862" s="2">
        <v>0</v>
      </c>
      <c r="E46862" s="2">
        <v>4.3010567696482999E-6</v>
      </c>
      <c r="F46862" s="2">
        <v>2.6644072493192401E-6</v>
      </c>
    </row>
    <row r="46863" spans="1:6" x14ac:dyDescent="0.25">
      <c r="A46863" s="1" t="str">
        <f t="shared" si="1536"/>
        <v>99999</v>
      </c>
      <c r="B46863" s="1" t="str">
        <f>"81228"</f>
        <v>81228</v>
      </c>
      <c r="C46863" s="2">
        <v>2.59826137340198E-6</v>
      </c>
      <c r="D46863" s="2">
        <v>4.5171266858293203E-6</v>
      </c>
      <c r="E46863" s="2">
        <v>4.3010567696482999E-6</v>
      </c>
      <c r="F46863" s="2">
        <v>2.76308899929403E-6</v>
      </c>
    </row>
    <row r="46864" spans="1:6" x14ac:dyDescent="0.25">
      <c r="A46864" s="1" t="str">
        <f t="shared" si="1536"/>
        <v>99999</v>
      </c>
      <c r="B46864" s="1" t="str">
        <f>"83261"</f>
        <v>83261</v>
      </c>
      <c r="C46864" s="2">
        <v>2.2734787017267301E-5</v>
      </c>
      <c r="D46864" s="2">
        <v>7.5285444763821999E-6</v>
      </c>
      <c r="E46864" s="2">
        <v>3.01073973875381E-5</v>
      </c>
      <c r="F46864" s="2">
        <v>2.1907348494402598E-5</v>
      </c>
    </row>
    <row r="46865" spans="1:6" x14ac:dyDescent="0.25">
      <c r="A46865" s="1" t="str">
        <f t="shared" si="1536"/>
        <v>99999</v>
      </c>
      <c r="B46865" s="1" t="str">
        <f>"82323"</f>
        <v>82323</v>
      </c>
      <c r="C46865" s="2">
        <v>7.2534796674138799E-6</v>
      </c>
      <c r="D46865" s="2">
        <v>0</v>
      </c>
      <c r="E46865" s="2">
        <v>4.3010567696482999E-6</v>
      </c>
      <c r="F46865" s="2">
        <v>6.7103589982854999E-6</v>
      </c>
    </row>
    <row r="46866" spans="1:6" x14ac:dyDescent="0.25">
      <c r="A46866" s="1" t="str">
        <f t="shared" si="1536"/>
        <v>99999</v>
      </c>
      <c r="B46866" s="1" t="str">
        <f>"82327"</f>
        <v>82327</v>
      </c>
      <c r="C46866" s="2">
        <v>3.8757398819912901E-5</v>
      </c>
      <c r="D46866" s="2">
        <v>1.50570889527644E-6</v>
      </c>
      <c r="E46866" s="2">
        <v>4.3010567696482999E-6</v>
      </c>
      <c r="F46866" s="2">
        <v>3.5525429990923201E-5</v>
      </c>
    </row>
    <row r="46867" spans="1:6" x14ac:dyDescent="0.25">
      <c r="A46867" s="1" t="str">
        <f t="shared" si="1536"/>
        <v>99999</v>
      </c>
      <c r="B46867" s="1" t="str">
        <f>"80473"</f>
        <v>80473</v>
      </c>
      <c r="C46867" s="2">
        <v>5.1965227468039701E-6</v>
      </c>
      <c r="D46867" s="2">
        <v>0</v>
      </c>
      <c r="E46867" s="2">
        <v>4.3010567696482999E-6</v>
      </c>
      <c r="F46867" s="2">
        <v>4.8354057487645501E-6</v>
      </c>
    </row>
    <row r="46868" spans="1:6" x14ac:dyDescent="0.25">
      <c r="A46868" s="1" t="str">
        <f t="shared" si="1536"/>
        <v>99999</v>
      </c>
      <c r="B46868" s="1" t="str">
        <f>"84735"</f>
        <v>84735</v>
      </c>
      <c r="C46868" s="2">
        <v>1.5697829130970301E-5</v>
      </c>
      <c r="D46868" s="2">
        <v>2.4091342324423E-5</v>
      </c>
      <c r="E46868" s="2">
        <v>4.3010567696482999E-6</v>
      </c>
      <c r="F46868" s="2">
        <v>1.5986443495915399E-5</v>
      </c>
    </row>
    <row r="46869" spans="1:6" x14ac:dyDescent="0.25">
      <c r="A46869" s="1" t="str">
        <f t="shared" si="1536"/>
        <v>99999</v>
      </c>
      <c r="B46869" s="1" t="str">
        <f>"88436"</f>
        <v>88436</v>
      </c>
      <c r="C46869" s="2">
        <v>1.30995677575683E-5</v>
      </c>
      <c r="D46869" s="2">
        <v>6.0228355811057601E-6</v>
      </c>
      <c r="E46869" s="2">
        <v>4.3010567696482999E-6</v>
      </c>
      <c r="F46869" s="2">
        <v>1.2433900496823101E-5</v>
      </c>
    </row>
    <row r="46870" spans="1:6" x14ac:dyDescent="0.25">
      <c r="A46870" s="1" t="str">
        <f t="shared" si="1536"/>
        <v>99999</v>
      </c>
      <c r="B46870" s="1" t="str">
        <f>"87832"</f>
        <v>87832</v>
      </c>
      <c r="C46870" s="2">
        <v>8.9856539163485408E-6</v>
      </c>
      <c r="D46870" s="2">
        <v>0</v>
      </c>
      <c r="E46870" s="2">
        <v>8.6021135392965999E-6</v>
      </c>
      <c r="F46870" s="2">
        <v>8.3879487478568692E-6</v>
      </c>
    </row>
    <row r="46871" spans="1:6" x14ac:dyDescent="0.25">
      <c r="A46871" s="1" t="str">
        <f t="shared" si="1536"/>
        <v>99999</v>
      </c>
      <c r="B46871" s="1" t="str">
        <f>"96106"</f>
        <v>96106</v>
      </c>
      <c r="C46871" s="2">
        <v>0</v>
      </c>
      <c r="D46871" s="2">
        <v>0</v>
      </c>
      <c r="E46871" s="2">
        <v>4.7311624466131299E-5</v>
      </c>
      <c r="F46871" s="2">
        <v>1.0854992497226499E-6</v>
      </c>
    </row>
    <row r="46872" spans="1:6" x14ac:dyDescent="0.25">
      <c r="A46872" s="1" t="str">
        <f t="shared" si="1536"/>
        <v>99999</v>
      </c>
      <c r="B46872" s="1" t="str">
        <f>"96015"</f>
        <v>96015</v>
      </c>
      <c r="C46872" s="2">
        <v>7.47000144853071E-6</v>
      </c>
      <c r="D46872" s="2">
        <v>4.5171266858293203E-6</v>
      </c>
      <c r="E46872" s="2">
        <v>1.72042270785932E-5</v>
      </c>
      <c r="F46872" s="2">
        <v>7.4998129980837899E-6</v>
      </c>
    </row>
    <row r="46873" spans="1:6" x14ac:dyDescent="0.25">
      <c r="A46873" s="1" t="str">
        <f t="shared" si="1536"/>
        <v>99999</v>
      </c>
      <c r="B46873" s="1" t="str">
        <f>"58339"</f>
        <v>58339</v>
      </c>
      <c r="C46873" s="2">
        <v>3.2478267167524799E-6</v>
      </c>
      <c r="D46873" s="2">
        <v>4.5171266858293203E-6</v>
      </c>
      <c r="E46873" s="2">
        <v>4.3010567696482999E-6</v>
      </c>
      <c r="F46873" s="2">
        <v>3.35517949914275E-6</v>
      </c>
    </row>
    <row r="46874" spans="1:6" x14ac:dyDescent="0.25">
      <c r="A46874" s="1" t="str">
        <f t="shared" si="1536"/>
        <v>99999</v>
      </c>
      <c r="B46874" s="1" t="str">
        <f>"58451"</f>
        <v>58451</v>
      </c>
      <c r="C46874" s="2">
        <v>8.6608712446732894E-6</v>
      </c>
      <c r="D46874" s="2">
        <v>1.50570889527644E-6</v>
      </c>
      <c r="E46874" s="2">
        <v>4.3010567696482999E-6</v>
      </c>
      <c r="F46874" s="2">
        <v>8.0919034979325103E-6</v>
      </c>
    </row>
    <row r="46875" spans="1:6" x14ac:dyDescent="0.25">
      <c r="A46875" s="1" t="str">
        <f t="shared" si="1536"/>
        <v>99999</v>
      </c>
      <c r="B46875" s="1" t="str">
        <f>"58324"</f>
        <v>58324</v>
      </c>
      <c r="C46875" s="2">
        <v>5.7703054667635801E-5</v>
      </c>
      <c r="D46875" s="2">
        <v>3.6137013486634501E-5</v>
      </c>
      <c r="E46875" s="2">
        <v>1.4623593016804199E-4</v>
      </c>
      <c r="F46875" s="2">
        <v>5.8320914235099E-5</v>
      </c>
    </row>
    <row r="46876" spans="1:6" x14ac:dyDescent="0.25">
      <c r="A46876" s="1" t="str">
        <f t="shared" si="1536"/>
        <v>99999</v>
      </c>
      <c r="B46876" s="1" t="str">
        <f>"61438"</f>
        <v>61438</v>
      </c>
      <c r="C46876" s="2">
        <v>2.1652178111683201E-7</v>
      </c>
      <c r="D46876" s="2">
        <v>0</v>
      </c>
      <c r="E46876" s="2">
        <v>0</v>
      </c>
      <c r="F46876" s="2">
        <v>1.9736349994957301E-7</v>
      </c>
    </row>
    <row r="46877" spans="1:6" x14ac:dyDescent="0.25">
      <c r="A46877" s="1" t="str">
        <f t="shared" si="1536"/>
        <v>99999</v>
      </c>
      <c r="B46877" s="1" t="str">
        <f>"62262"</f>
        <v>62262</v>
      </c>
      <c r="C46877" s="2">
        <v>1.15839152897505E-5</v>
      </c>
      <c r="D46877" s="2">
        <v>4.5171266858293203E-6</v>
      </c>
      <c r="E46877" s="2">
        <v>0</v>
      </c>
      <c r="F46877" s="2">
        <v>1.08549924972265E-5</v>
      </c>
    </row>
    <row r="46878" spans="1:6" x14ac:dyDescent="0.25">
      <c r="A46878" s="1" t="str">
        <f t="shared" si="1536"/>
        <v>99999</v>
      </c>
      <c r="B46878" s="1" t="str">
        <f>"62419"</f>
        <v>62419</v>
      </c>
      <c r="C46878" s="2">
        <v>2.21934825644753E-5</v>
      </c>
      <c r="D46878" s="2">
        <v>6.0228355811057601E-6</v>
      </c>
      <c r="E46878" s="2">
        <v>4.3010567696482999E-6</v>
      </c>
      <c r="F46878" s="2">
        <v>2.07231674947052E-5</v>
      </c>
    </row>
    <row r="46879" spans="1:6" x14ac:dyDescent="0.25">
      <c r="A46879" s="1" t="str">
        <f t="shared" si="1536"/>
        <v>99999</v>
      </c>
      <c r="B46879" s="1" t="str">
        <f>"62611"</f>
        <v>62611</v>
      </c>
      <c r="C46879" s="2">
        <v>4.5577834925093202E-5</v>
      </c>
      <c r="D46879" s="2">
        <v>6.1734064706334002E-5</v>
      </c>
      <c r="E46879" s="2">
        <v>8.6021135392965999E-6</v>
      </c>
      <c r="F46879" s="2">
        <v>4.5788331988301002E-5</v>
      </c>
    </row>
    <row r="46880" spans="1:6" x14ac:dyDescent="0.25">
      <c r="A46880" s="1" t="str">
        <f t="shared" si="1536"/>
        <v>99999</v>
      </c>
      <c r="B46880" s="1" t="str">
        <f>"63665"</f>
        <v>63665</v>
      </c>
      <c r="C46880" s="2">
        <v>2.69569617490456E-5</v>
      </c>
      <c r="D46880" s="2">
        <v>2.1079924533870101E-5</v>
      </c>
      <c r="E46880" s="2">
        <v>4.3010567696482999E-6</v>
      </c>
      <c r="F46880" s="2">
        <v>2.6051981993343701E-5</v>
      </c>
    </row>
    <row r="46881" spans="1:6" x14ac:dyDescent="0.25">
      <c r="A46881" s="1" t="str">
        <f t="shared" si="1536"/>
        <v>99999</v>
      </c>
      <c r="B46881" s="1" t="str">
        <f>"65061"</f>
        <v>65061</v>
      </c>
      <c r="C46881" s="2">
        <v>3.7241746352095101E-5</v>
      </c>
      <c r="D46881" s="2">
        <v>1.9574215638593701E-5</v>
      </c>
      <c r="E46881" s="2">
        <v>1.29031703089449E-5</v>
      </c>
      <c r="F46881" s="2">
        <v>3.5525429990923201E-5</v>
      </c>
    </row>
    <row r="46882" spans="1:6" x14ac:dyDescent="0.25">
      <c r="A46882" s="1" t="str">
        <f t="shared" si="1536"/>
        <v>99999</v>
      </c>
      <c r="B46882" s="1" t="str">
        <f>"64646"</f>
        <v>64646</v>
      </c>
      <c r="C46882" s="2">
        <v>1.69969598176713E-5</v>
      </c>
      <c r="D46882" s="2">
        <v>7.5285444763821999E-6</v>
      </c>
      <c r="E46882" s="2">
        <v>8.6021135392965999E-6</v>
      </c>
      <c r="F46882" s="2">
        <v>1.6183806995865E-5</v>
      </c>
    </row>
    <row r="46883" spans="1:6" x14ac:dyDescent="0.25">
      <c r="A46883" s="1" t="str">
        <f t="shared" si="1536"/>
        <v>99999</v>
      </c>
      <c r="B46883" s="1" t="str">
        <f>"64752"</f>
        <v>64752</v>
      </c>
      <c r="C46883" s="2">
        <v>1.2991306867009899E-5</v>
      </c>
      <c r="D46883" s="2">
        <v>3.01141779055288E-6</v>
      </c>
      <c r="E46883" s="2">
        <v>4.3010567696482999E-6</v>
      </c>
      <c r="F46883" s="2">
        <v>1.2137855246898699E-5</v>
      </c>
    </row>
    <row r="46884" spans="1:6" x14ac:dyDescent="0.25">
      <c r="A46884" s="1" t="str">
        <f t="shared" si="1536"/>
        <v>99999</v>
      </c>
      <c r="B46884" s="1" t="str">
        <f>"51653"</f>
        <v>51653</v>
      </c>
      <c r="C46884" s="2">
        <v>5.8027837339310999E-5</v>
      </c>
      <c r="D46884" s="2">
        <v>2.25856334291466E-5</v>
      </c>
      <c r="E46884" s="2">
        <v>6.0214794775076199E-5</v>
      </c>
      <c r="F46884" s="2">
        <v>5.57551887357545E-5</v>
      </c>
    </row>
    <row r="46885" spans="1:6" x14ac:dyDescent="0.25">
      <c r="A46885" s="1" t="str">
        <f t="shared" si="1536"/>
        <v>99999</v>
      </c>
      <c r="B46885" s="1" t="str">
        <f>"67071"</f>
        <v>67071</v>
      </c>
      <c r="C46885" s="2">
        <v>6.9286969957386301E-6</v>
      </c>
      <c r="D46885" s="2">
        <v>4.5171266858293203E-6</v>
      </c>
      <c r="E46885" s="2">
        <v>4.3010567696482999E-6</v>
      </c>
      <c r="F46885" s="2">
        <v>6.7103589982854999E-6</v>
      </c>
    </row>
    <row r="46886" spans="1:6" x14ac:dyDescent="0.25">
      <c r="A46886" s="1" t="str">
        <f t="shared" si="1536"/>
        <v>99999</v>
      </c>
      <c r="B46886" s="1" t="str">
        <f>"67483"</f>
        <v>67483</v>
      </c>
      <c r="C46886" s="2">
        <v>1.6672177145996001E-5</v>
      </c>
      <c r="D46886" s="2">
        <v>1.20456711622115E-5</v>
      </c>
      <c r="E46886" s="2">
        <v>4.3010567696482999E-6</v>
      </c>
      <c r="F46886" s="2">
        <v>1.60851252458902E-5</v>
      </c>
    </row>
    <row r="46887" spans="1:6" x14ac:dyDescent="0.25">
      <c r="A46887" s="1" t="str">
        <f t="shared" si="1536"/>
        <v>99999</v>
      </c>
      <c r="B46887" s="1" t="str">
        <f>"67446"</f>
        <v>67446</v>
      </c>
      <c r="C46887" s="2">
        <v>3.5401311212602003E-5</v>
      </c>
      <c r="D46887" s="2">
        <v>2.4091342324423E-5</v>
      </c>
      <c r="E46887" s="2">
        <v>2.58063406178898E-5</v>
      </c>
      <c r="F46887" s="2">
        <v>3.4439930741200501E-5</v>
      </c>
    </row>
    <row r="46888" spans="1:6" x14ac:dyDescent="0.25">
      <c r="A46888" s="1" t="str">
        <f t="shared" si="1536"/>
        <v>99999</v>
      </c>
      <c r="B46888" s="1" t="str">
        <f>"67584"</f>
        <v>67584</v>
      </c>
      <c r="C46888" s="2">
        <v>1.8404351394930699E-5</v>
      </c>
      <c r="D46888" s="2">
        <v>4.5171266858293203E-6</v>
      </c>
      <c r="E46888" s="2">
        <v>4.3010567696482999E-6</v>
      </c>
      <c r="F46888" s="2">
        <v>1.7170624495612899E-5</v>
      </c>
    </row>
    <row r="46889" spans="1:6" x14ac:dyDescent="0.25">
      <c r="A46889" s="1" t="str">
        <f t="shared" si="1536"/>
        <v>99999</v>
      </c>
      <c r="B46889" s="1" t="str">
        <f>"67650"</f>
        <v>67650</v>
      </c>
      <c r="C46889" s="2">
        <v>1.26665241953346E-5</v>
      </c>
      <c r="D46889" s="2">
        <v>9.0342533716586405E-6</v>
      </c>
      <c r="E46889" s="2">
        <v>4.3010567696482999E-6</v>
      </c>
      <c r="F46889" s="2">
        <v>1.22365369968735E-5</v>
      </c>
    </row>
    <row r="46890" spans="1:6" x14ac:dyDescent="0.25">
      <c r="A46890" s="1" t="str">
        <f t="shared" si="1536"/>
        <v>99999</v>
      </c>
      <c r="B46890" s="1" t="str">
        <f>"67739"</f>
        <v>67739</v>
      </c>
      <c r="C46890" s="2">
        <v>1.24500024142178E-5</v>
      </c>
      <c r="D46890" s="2">
        <v>7.5285444763821999E-6</v>
      </c>
      <c r="E46890" s="2">
        <v>1.29031703089449E-5</v>
      </c>
      <c r="F46890" s="2">
        <v>1.2137855246898699E-5</v>
      </c>
    </row>
    <row r="46891" spans="1:6" x14ac:dyDescent="0.25">
      <c r="A46891" s="1" t="str">
        <f t="shared" si="1536"/>
        <v>99999</v>
      </c>
      <c r="B46891" s="1" t="str">
        <f>"66933"</f>
        <v>66933</v>
      </c>
      <c r="C46891" s="2">
        <v>2.0461308315540598E-5</v>
      </c>
      <c r="D46891" s="2">
        <v>2.55970512196994E-5</v>
      </c>
      <c r="E46891" s="2">
        <v>4.3010567696482999E-6</v>
      </c>
      <c r="F46891" s="2">
        <v>2.0427122244780799E-5</v>
      </c>
    </row>
    <row r="46892" spans="1:6" x14ac:dyDescent="0.25">
      <c r="A46892" s="1" t="str">
        <f t="shared" si="1536"/>
        <v>99999</v>
      </c>
      <c r="B46892" s="1" t="str">
        <f>"65662"</f>
        <v>65662</v>
      </c>
      <c r="C46892" s="2">
        <v>5.2073488358598103E-5</v>
      </c>
      <c r="D46892" s="2">
        <v>1.65627978480408E-5</v>
      </c>
      <c r="E46892" s="2">
        <v>2.15052838482415E-5</v>
      </c>
      <c r="F46892" s="2">
        <v>4.9044829737468999E-5</v>
      </c>
    </row>
    <row r="46893" spans="1:6" x14ac:dyDescent="0.25">
      <c r="A46893" s="1" t="str">
        <f t="shared" si="1536"/>
        <v>99999</v>
      </c>
      <c r="B46893" s="1" t="str">
        <f>"65713"</f>
        <v>65713</v>
      </c>
      <c r="C46893" s="2">
        <v>1.25582633047762E-5</v>
      </c>
      <c r="D46893" s="2">
        <v>0</v>
      </c>
      <c r="E46893" s="2">
        <v>0</v>
      </c>
      <c r="F46893" s="2">
        <v>1.14470829970752E-5</v>
      </c>
    </row>
    <row r="46894" spans="1:6" x14ac:dyDescent="0.25">
      <c r="A46894" s="1" t="str">
        <f t="shared" si="1536"/>
        <v>99999</v>
      </c>
      <c r="B46894" s="1" t="str">
        <f>"68920"</f>
        <v>68920</v>
      </c>
      <c r="C46894" s="2">
        <v>8.9423495601251702E-5</v>
      </c>
      <c r="D46894" s="2">
        <v>5.8722646915781101E-5</v>
      </c>
      <c r="E46894" s="2">
        <v>5.5913738005427899E-5</v>
      </c>
      <c r="F46894" s="2">
        <v>8.6642576477862803E-5</v>
      </c>
    </row>
    <row r="46895" spans="1:6" x14ac:dyDescent="0.25">
      <c r="A46895" s="1" t="str">
        <f t="shared" si="1536"/>
        <v>99999</v>
      </c>
      <c r="B46895" s="1" t="str">
        <f>"68717"</f>
        <v>68717</v>
      </c>
      <c r="C46895" s="2">
        <v>1.16921761803089E-5</v>
      </c>
      <c r="D46895" s="2">
        <v>4.5171266858293203E-6</v>
      </c>
      <c r="E46895" s="2">
        <v>4.3010567696482999E-6</v>
      </c>
      <c r="F46895" s="2">
        <v>1.10523559971761E-5</v>
      </c>
    </row>
    <row r="46896" spans="1:6" x14ac:dyDescent="0.25">
      <c r="A46896" s="1" t="str">
        <f t="shared" si="1536"/>
        <v>99999</v>
      </c>
      <c r="B46896" s="1" t="str">
        <f>"68365"</f>
        <v>68365</v>
      </c>
      <c r="C46896" s="2">
        <v>1.42904375537109E-5</v>
      </c>
      <c r="D46896" s="2">
        <v>1.50570889527644E-5</v>
      </c>
      <c r="E46896" s="2">
        <v>8.6021135392965999E-6</v>
      </c>
      <c r="F46896" s="2">
        <v>1.42101719963693E-5</v>
      </c>
    </row>
    <row r="46897" spans="1:6" x14ac:dyDescent="0.25">
      <c r="A46897" s="1" t="str">
        <f t="shared" si="1536"/>
        <v>99999</v>
      </c>
      <c r="B46897" s="1" t="str">
        <f>"72176"</f>
        <v>72176</v>
      </c>
      <c r="C46897" s="2">
        <v>1.9811742972190099E-5</v>
      </c>
      <c r="D46897" s="2">
        <v>0</v>
      </c>
      <c r="E46897" s="2">
        <v>0</v>
      </c>
      <c r="F46897" s="2">
        <v>1.80587602453859E-5</v>
      </c>
    </row>
    <row r="46898" spans="1:6" x14ac:dyDescent="0.25">
      <c r="A46898" s="1" t="str">
        <f t="shared" si="1536"/>
        <v>99999</v>
      </c>
      <c r="B46898" s="1" t="str">
        <f>"72680"</f>
        <v>72680</v>
      </c>
      <c r="C46898" s="2">
        <v>6.7338273927334806E-5</v>
      </c>
      <c r="D46898" s="2">
        <v>1.80685067433172E-5</v>
      </c>
      <c r="E46898" s="2">
        <v>4.3010567696482999E-6</v>
      </c>
      <c r="F46898" s="2">
        <v>6.2662911233989595E-5</v>
      </c>
    </row>
    <row r="46899" spans="1:6" x14ac:dyDescent="0.25">
      <c r="A46899" s="1" t="str">
        <f t="shared" si="1536"/>
        <v>99999</v>
      </c>
      <c r="B46899" s="1" t="str">
        <f>"71642"</f>
        <v>71642</v>
      </c>
      <c r="C46899" s="2">
        <v>3.5076528540926799E-5</v>
      </c>
      <c r="D46899" s="2">
        <v>6.0228355811057601E-6</v>
      </c>
      <c r="E46899" s="2">
        <v>4.3010567696482999E-6</v>
      </c>
      <c r="F46899" s="2">
        <v>3.2466295741704798E-5</v>
      </c>
    </row>
    <row r="46900" spans="1:6" x14ac:dyDescent="0.25">
      <c r="A46900" s="1" t="str">
        <f t="shared" si="1536"/>
        <v>99999</v>
      </c>
      <c r="B46900" s="1" t="str">
        <f>"71249"</f>
        <v>71249</v>
      </c>
      <c r="C46900" s="2">
        <v>0</v>
      </c>
      <c r="D46900" s="2">
        <v>0</v>
      </c>
      <c r="E46900" s="2">
        <v>4.3010567696482999E-6</v>
      </c>
      <c r="F46900" s="2">
        <v>9.8681749974786797E-8</v>
      </c>
    </row>
    <row r="46901" spans="1:6" x14ac:dyDescent="0.25">
      <c r="A46901" s="1" t="str">
        <f t="shared" si="1536"/>
        <v>99999</v>
      </c>
      <c r="B46901" s="1" t="str">
        <f>"71243"</f>
        <v>71243</v>
      </c>
      <c r="C46901" s="2">
        <v>1.23417415236594E-5</v>
      </c>
      <c r="D46901" s="2">
        <v>3.01141779055288E-6</v>
      </c>
      <c r="E46901" s="2">
        <v>4.3010567696482999E-6</v>
      </c>
      <c r="F46901" s="2">
        <v>1.154576474705E-5</v>
      </c>
    </row>
    <row r="46902" spans="1:6" x14ac:dyDescent="0.25">
      <c r="A46902" s="1" t="str">
        <f t="shared" si="1536"/>
        <v>99999</v>
      </c>
      <c r="B46902" s="1" t="str">
        <f>"73661"</f>
        <v>73661</v>
      </c>
      <c r="C46902" s="2">
        <v>2.8147831545188199E-5</v>
      </c>
      <c r="D46902" s="2">
        <v>9.0342533716586405E-6</v>
      </c>
      <c r="E46902" s="2">
        <v>4.3010567696482999E-6</v>
      </c>
      <c r="F46902" s="2">
        <v>2.6348027243268001E-5</v>
      </c>
    </row>
    <row r="46903" spans="1:6" x14ac:dyDescent="0.25">
      <c r="A46903" s="1" t="str">
        <f t="shared" si="1536"/>
        <v>99999</v>
      </c>
      <c r="B46903" s="1" t="str">
        <f>"73731"</f>
        <v>73731</v>
      </c>
      <c r="C46903" s="2">
        <v>1.8404351394930699E-5</v>
      </c>
      <c r="D46903" s="2">
        <v>4.5171266858293203E-6</v>
      </c>
      <c r="E46903" s="2">
        <v>2.15052838482415E-5</v>
      </c>
      <c r="F46903" s="2">
        <v>1.7565351495512E-5</v>
      </c>
    </row>
    <row r="46904" spans="1:6" x14ac:dyDescent="0.25">
      <c r="A46904" s="1" t="str">
        <f t="shared" si="1536"/>
        <v>99999</v>
      </c>
      <c r="B46904" s="1" t="str">
        <f>"74452"</f>
        <v>74452</v>
      </c>
      <c r="C46904" s="2">
        <v>9.5269583691406198E-6</v>
      </c>
      <c r="D46904" s="2">
        <v>0</v>
      </c>
      <c r="E46904" s="2">
        <v>0</v>
      </c>
      <c r="F46904" s="2">
        <v>8.6839939977812298E-6</v>
      </c>
    </row>
    <row r="46905" spans="1:6" x14ac:dyDescent="0.25">
      <c r="A46905" s="1" t="str">
        <f t="shared" si="1536"/>
        <v>99999</v>
      </c>
      <c r="B46905" s="1" t="str">
        <f>"74729"</f>
        <v>74729</v>
      </c>
      <c r="C46905" s="2">
        <v>4.91504443135209E-5</v>
      </c>
      <c r="D46905" s="2">
        <v>2.8608469010252301E-5</v>
      </c>
      <c r="E46905" s="2">
        <v>1.29031703089449E-5</v>
      </c>
      <c r="F46905" s="2">
        <v>4.6972512987998499E-5</v>
      </c>
    </row>
    <row r="46906" spans="1:6" x14ac:dyDescent="0.25">
      <c r="A46906" s="1" t="str">
        <f t="shared" si="1536"/>
        <v>99999</v>
      </c>
      <c r="B46906" s="1" t="str">
        <f>"74839"</f>
        <v>74839</v>
      </c>
      <c r="C46906" s="2">
        <v>3.2586528058083198E-5</v>
      </c>
      <c r="D46906" s="2">
        <v>1.20456711622115E-5</v>
      </c>
      <c r="E46906" s="2">
        <v>1.29031703089449E-5</v>
      </c>
      <c r="F46906" s="2">
        <v>3.0788705992133397E-5</v>
      </c>
    </row>
    <row r="46907" spans="1:6" x14ac:dyDescent="0.25">
      <c r="A46907" s="1" t="str">
        <f t="shared" si="1536"/>
        <v>99999</v>
      </c>
      <c r="B46907" s="1" t="str">
        <f>"74734"</f>
        <v>74734</v>
      </c>
      <c r="C46907" s="2">
        <v>4.6335661159002102E-5</v>
      </c>
      <c r="D46907" s="2">
        <v>1.65627978480408E-5</v>
      </c>
      <c r="E46907" s="2">
        <v>4.3010567696482999E-6</v>
      </c>
      <c r="F46907" s="2">
        <v>4.3419969988906097E-5</v>
      </c>
    </row>
    <row r="46908" spans="1:6" x14ac:dyDescent="0.25">
      <c r="A46908" s="1" t="str">
        <f t="shared" si="1536"/>
        <v>99999</v>
      </c>
      <c r="B46908" s="1" t="str">
        <f>"79533"</f>
        <v>79533</v>
      </c>
      <c r="C46908" s="2">
        <v>3.7891311695445602E-6</v>
      </c>
      <c r="D46908" s="2">
        <v>7.5285444763821999E-6</v>
      </c>
      <c r="E46908" s="2">
        <v>0</v>
      </c>
      <c r="F46908" s="2">
        <v>3.94726999899147E-6</v>
      </c>
    </row>
    <row r="46909" spans="1:6" x14ac:dyDescent="0.25">
      <c r="A46909" s="1" t="str">
        <f t="shared" si="1536"/>
        <v>99999</v>
      </c>
      <c r="B46909" s="1" t="str">
        <f>"79548"</f>
        <v>79548</v>
      </c>
      <c r="C46909" s="2">
        <v>1.0176523712491101E-5</v>
      </c>
      <c r="D46909" s="2">
        <v>6.0228355811057601E-6</v>
      </c>
      <c r="E46909" s="2">
        <v>4.3010567696482999E-6</v>
      </c>
      <c r="F46909" s="2">
        <v>9.7694932475038906E-6</v>
      </c>
    </row>
    <row r="46910" spans="1:6" x14ac:dyDescent="0.25">
      <c r="A46910" s="1" t="str">
        <f t="shared" si="1536"/>
        <v>99999</v>
      </c>
      <c r="B46910" s="1" t="str">
        <f>"76888"</f>
        <v>76888</v>
      </c>
      <c r="C46910" s="2">
        <v>1.5914350912087102E-5</v>
      </c>
      <c r="D46910" s="2">
        <v>6.0228355811057601E-6</v>
      </c>
      <c r="E46910" s="2">
        <v>4.3010567696482999E-6</v>
      </c>
      <c r="F46910" s="2">
        <v>1.49996259961675E-5</v>
      </c>
    </row>
    <row r="46911" spans="1:6" x14ac:dyDescent="0.25">
      <c r="A46911" s="1" t="str">
        <f t="shared" si="1536"/>
        <v>99999</v>
      </c>
      <c r="B46911" s="1" t="str">
        <f>"79240"</f>
        <v>79240</v>
      </c>
      <c r="C46911" s="2">
        <v>6.0626098712712997E-6</v>
      </c>
      <c r="D46911" s="2">
        <v>6.0228355811057601E-6</v>
      </c>
      <c r="E46911" s="2">
        <v>4.3010567696482999E-6</v>
      </c>
      <c r="F46911" s="2">
        <v>6.0195867484619901E-6</v>
      </c>
    </row>
    <row r="46912" spans="1:6" x14ac:dyDescent="0.25">
      <c r="A46912" s="1" t="str">
        <f t="shared" si="1536"/>
        <v>99999</v>
      </c>
      <c r="B46912" s="1" t="str">
        <f>"77660"</f>
        <v>77660</v>
      </c>
      <c r="C46912" s="2">
        <v>4.5577834925093202E-5</v>
      </c>
      <c r="D46912" s="2">
        <v>1.80685067433172E-5</v>
      </c>
      <c r="E46912" s="2">
        <v>8.6021135392965999E-6</v>
      </c>
      <c r="F46912" s="2">
        <v>4.29265612390322E-5</v>
      </c>
    </row>
    <row r="46913" spans="1:6" x14ac:dyDescent="0.25">
      <c r="A46913" s="1" t="str">
        <f t="shared" si="1536"/>
        <v>99999</v>
      </c>
      <c r="B46913" s="1" t="str">
        <f>"78113"</f>
        <v>78113</v>
      </c>
      <c r="C46913" s="2">
        <v>5.2723053701948599E-5</v>
      </c>
      <c r="D46913" s="2">
        <v>1.80685067433172E-5</v>
      </c>
      <c r="E46913" s="2">
        <v>6.8816908314372799E-5</v>
      </c>
      <c r="F46913" s="2">
        <v>5.0821101237015197E-5</v>
      </c>
    </row>
    <row r="46914" spans="1:6" x14ac:dyDescent="0.25">
      <c r="A46914" s="1" t="str">
        <f t="shared" si="1536"/>
        <v>99999</v>
      </c>
      <c r="B46914" s="1" t="str">
        <f>"78075"</f>
        <v>78075</v>
      </c>
      <c r="C46914" s="2">
        <v>8.2278276824396208E-6</v>
      </c>
      <c r="D46914" s="2">
        <v>7.5285444763821999E-6</v>
      </c>
      <c r="E46914" s="2">
        <v>1.29031703089449E-5</v>
      </c>
      <c r="F46914" s="2">
        <v>8.2892669978820908E-6</v>
      </c>
    </row>
    <row r="46915" spans="1:6" x14ac:dyDescent="0.25">
      <c r="A46915" s="1" t="str">
        <f t="shared" si="1536"/>
        <v>99999</v>
      </c>
      <c r="B46915" s="1" t="str">
        <f>"76664"</f>
        <v>76664</v>
      </c>
      <c r="C46915" s="2">
        <v>1.30995677575683E-5</v>
      </c>
      <c r="D46915" s="2">
        <v>1.50570889527644E-6</v>
      </c>
      <c r="E46915" s="2">
        <v>8.6021135392965999E-6</v>
      </c>
      <c r="F46915" s="2">
        <v>1.22365369968735E-5</v>
      </c>
    </row>
    <row r="46916" spans="1:6" x14ac:dyDescent="0.25">
      <c r="A46916" s="1" t="str">
        <f t="shared" si="1536"/>
        <v>99999</v>
      </c>
      <c r="B46916" s="1" t="str">
        <f>"78851"</f>
        <v>78851</v>
      </c>
      <c r="C46916" s="2">
        <v>3.1395658261940598E-6</v>
      </c>
      <c r="D46916" s="2">
        <v>3.01141779055288E-6</v>
      </c>
      <c r="E46916" s="2">
        <v>0</v>
      </c>
      <c r="F46916" s="2">
        <v>3.0591342492183902E-6</v>
      </c>
    </row>
    <row r="46917" spans="1:6" x14ac:dyDescent="0.25">
      <c r="A46917" s="1" t="str">
        <f t="shared" si="1536"/>
        <v>99999</v>
      </c>
      <c r="B46917" s="1" t="str">
        <f>"78877"</f>
        <v>78877</v>
      </c>
      <c r="C46917" s="2">
        <v>2.8147831545188202E-6</v>
      </c>
      <c r="D46917" s="2">
        <v>1.50570889527644E-6</v>
      </c>
      <c r="E46917" s="2">
        <v>4.3010567696482999E-6</v>
      </c>
      <c r="F46917" s="2">
        <v>2.76308899929403E-6</v>
      </c>
    </row>
    <row r="46918" spans="1:6" x14ac:dyDescent="0.25">
      <c r="A46918" s="1" t="str">
        <f t="shared" ref="A46918:A46981" si="1537">"99999"</f>
        <v>99999</v>
      </c>
      <c r="B46918" s="1" t="str">
        <f>"79778"</f>
        <v>79778</v>
      </c>
      <c r="C46918" s="2">
        <v>1.8404351394930699E-5</v>
      </c>
      <c r="D46918" s="2">
        <v>2.7102760114975901E-5</v>
      </c>
      <c r="E46918" s="2">
        <v>0</v>
      </c>
      <c r="F46918" s="2">
        <v>1.8552168995259899E-5</v>
      </c>
    </row>
    <row r="46919" spans="1:6" x14ac:dyDescent="0.25">
      <c r="A46919" s="1" t="str">
        <f t="shared" si="1537"/>
        <v>99999</v>
      </c>
      <c r="B46919" s="1" t="str">
        <f>"81623"</f>
        <v>81623</v>
      </c>
      <c r="C46919" s="2">
        <v>2.99882666846812E-5</v>
      </c>
      <c r="D46919" s="2">
        <v>1.0539962266935E-5</v>
      </c>
      <c r="E46919" s="2">
        <v>0</v>
      </c>
      <c r="F46919" s="2">
        <v>2.8025616992839402E-5</v>
      </c>
    </row>
    <row r="46920" spans="1:6" x14ac:dyDescent="0.25">
      <c r="A46920" s="1" t="str">
        <f t="shared" si="1537"/>
        <v>99999</v>
      </c>
      <c r="B46920" s="1" t="str">
        <f>"81057"</f>
        <v>81057</v>
      </c>
      <c r="C46920" s="2">
        <v>1.9811742972190099E-5</v>
      </c>
      <c r="D46920" s="2">
        <v>4.5171266858293203E-6</v>
      </c>
      <c r="E46920" s="2">
        <v>4.3010567696482999E-6</v>
      </c>
      <c r="F46920" s="2">
        <v>1.8453487245285098E-5</v>
      </c>
    </row>
    <row r="46921" spans="1:6" x14ac:dyDescent="0.25">
      <c r="A46921" s="1" t="str">
        <f t="shared" si="1537"/>
        <v>99999</v>
      </c>
      <c r="B46921" s="1" t="str">
        <f>"84052"</f>
        <v>84052</v>
      </c>
      <c r="C46921" s="2">
        <v>5.1532183905806003E-5</v>
      </c>
      <c r="D46921" s="2">
        <v>1.65627978480408E-5</v>
      </c>
      <c r="E46921" s="2">
        <v>8.6021135392965999E-6</v>
      </c>
      <c r="F46921" s="2">
        <v>4.8255375737670698E-5</v>
      </c>
    </row>
    <row r="46922" spans="1:6" x14ac:dyDescent="0.25">
      <c r="A46922" s="1" t="str">
        <f t="shared" si="1537"/>
        <v>99999</v>
      </c>
      <c r="B46922" s="1" t="str">
        <f>"83462"</f>
        <v>83462</v>
      </c>
      <c r="C46922" s="2">
        <v>1.14756543991921E-5</v>
      </c>
      <c r="D46922" s="2">
        <v>3.01141779055288E-6</v>
      </c>
      <c r="E46922" s="2">
        <v>1.29031703089449E-5</v>
      </c>
      <c r="F46922" s="2">
        <v>1.0953674247201299E-5</v>
      </c>
    </row>
    <row r="46923" spans="1:6" x14ac:dyDescent="0.25">
      <c r="A46923" s="1" t="str">
        <f t="shared" si="1537"/>
        <v>99999</v>
      </c>
      <c r="B46923" s="1" t="str">
        <f>"83285"</f>
        <v>83285</v>
      </c>
      <c r="C46923" s="2">
        <v>4.4386965128950601E-6</v>
      </c>
      <c r="D46923" s="2">
        <v>0</v>
      </c>
      <c r="E46923" s="2">
        <v>0</v>
      </c>
      <c r="F46923" s="2">
        <v>4.0459517489662501E-6</v>
      </c>
    </row>
    <row r="46924" spans="1:6" x14ac:dyDescent="0.25">
      <c r="A46924" s="1" t="str">
        <f t="shared" si="1537"/>
        <v>99999</v>
      </c>
      <c r="B46924" s="1" t="str">
        <f>"83661"</f>
        <v>83661</v>
      </c>
      <c r="C46924" s="2">
        <v>3.2478267167524802E-7</v>
      </c>
      <c r="D46924" s="2">
        <v>0</v>
      </c>
      <c r="E46924" s="2">
        <v>0</v>
      </c>
      <c r="F46924" s="2">
        <v>2.9604524992435999E-7</v>
      </c>
    </row>
    <row r="46925" spans="1:6" x14ac:dyDescent="0.25">
      <c r="A46925" s="1" t="str">
        <f t="shared" si="1537"/>
        <v>99999</v>
      </c>
      <c r="B46925" s="1" t="str">
        <f>"80834"</f>
        <v>80834</v>
      </c>
      <c r="C46925" s="2">
        <v>7.6865232296475401E-6</v>
      </c>
      <c r="D46925" s="2">
        <v>1.50570889527644E-6</v>
      </c>
      <c r="E46925" s="2">
        <v>4.3010567696482999E-6</v>
      </c>
      <c r="F46925" s="2">
        <v>7.2037677481594301E-6</v>
      </c>
    </row>
    <row r="46926" spans="1:6" x14ac:dyDescent="0.25">
      <c r="A46926" s="1" t="str">
        <f t="shared" si="1537"/>
        <v>99999</v>
      </c>
      <c r="B46926" s="1" t="str">
        <f>"84632"</f>
        <v>84632</v>
      </c>
      <c r="C46926" s="2">
        <v>4.4062182457275301E-5</v>
      </c>
      <c r="D46926" s="2">
        <v>0</v>
      </c>
      <c r="E46926" s="2">
        <v>4.3010567696482999E-6</v>
      </c>
      <c r="F46926" s="2">
        <v>4.0262153989712998E-5</v>
      </c>
    </row>
    <row r="46927" spans="1:6" x14ac:dyDescent="0.25">
      <c r="A46927" s="1" t="str">
        <f t="shared" si="1537"/>
        <v>99999</v>
      </c>
      <c r="B46927" s="1" t="str">
        <f>"88136"</f>
        <v>88136</v>
      </c>
      <c r="C46927" s="2">
        <v>3.5726093884277301E-6</v>
      </c>
      <c r="D46927" s="2">
        <v>1.50570889527644E-6</v>
      </c>
      <c r="E46927" s="2">
        <v>0</v>
      </c>
      <c r="F46927" s="2">
        <v>3.35517949914275E-6</v>
      </c>
    </row>
    <row r="46928" spans="1:6" x14ac:dyDescent="0.25">
      <c r="A46928" s="1" t="str">
        <f t="shared" si="1537"/>
        <v>99999</v>
      </c>
      <c r="B46928" s="1" t="str">
        <f>"88431"</f>
        <v>88431</v>
      </c>
      <c r="C46928" s="2">
        <v>5.3047836373623898E-6</v>
      </c>
      <c r="D46928" s="2">
        <v>0</v>
      </c>
      <c r="E46928" s="2">
        <v>1.29031703089449E-5</v>
      </c>
      <c r="F46928" s="2">
        <v>5.1314509986889099E-6</v>
      </c>
    </row>
    <row r="46929" spans="1:6" x14ac:dyDescent="0.25">
      <c r="A46929" s="1" t="str">
        <f t="shared" si="1537"/>
        <v>99999</v>
      </c>
      <c r="B46929" s="1" t="str">
        <f>"87733"</f>
        <v>87733</v>
      </c>
      <c r="C46929" s="2">
        <v>3.2478267167524799E-6</v>
      </c>
      <c r="D46929" s="2">
        <v>3.01141779055288E-6</v>
      </c>
      <c r="E46929" s="2">
        <v>3.8709510926834699E-5</v>
      </c>
      <c r="F46929" s="2">
        <v>4.0459517489662501E-6</v>
      </c>
    </row>
    <row r="46930" spans="1:6" x14ac:dyDescent="0.25">
      <c r="A46930" s="1" t="str">
        <f t="shared" si="1537"/>
        <v>99999</v>
      </c>
      <c r="B46930" s="1" t="str">
        <f>"93517"</f>
        <v>93517</v>
      </c>
      <c r="C46930" s="2">
        <v>1.06095672747247E-5</v>
      </c>
      <c r="D46930" s="2">
        <v>1.80685067433172E-5</v>
      </c>
      <c r="E46930" s="2">
        <v>4.3010567696482999E-6</v>
      </c>
      <c r="F46930" s="2">
        <v>1.0953674247201299E-5</v>
      </c>
    </row>
    <row r="46931" spans="1:6" x14ac:dyDescent="0.25">
      <c r="A46931" s="1" t="str">
        <f t="shared" si="1537"/>
        <v>99999</v>
      </c>
      <c r="B46931" s="1" t="str">
        <f>"95321"</f>
        <v>95321</v>
      </c>
      <c r="C46931" s="2">
        <v>4.2221747317782301E-6</v>
      </c>
      <c r="D46931" s="2">
        <v>7.5285444763821999E-6</v>
      </c>
      <c r="E46931" s="2">
        <v>8.6021135392965999E-6</v>
      </c>
      <c r="F46931" s="2">
        <v>4.5393604988401904E-6</v>
      </c>
    </row>
    <row r="46932" spans="1:6" x14ac:dyDescent="0.25">
      <c r="A46932" s="1" t="str">
        <f t="shared" si="1537"/>
        <v>99999</v>
      </c>
      <c r="B46932" s="1" t="str">
        <f>"98537"</f>
        <v>98537</v>
      </c>
      <c r="C46932" s="2">
        <v>5.1965227468039701E-6</v>
      </c>
      <c r="D46932" s="2">
        <v>3.01141779055288E-6</v>
      </c>
      <c r="E46932" s="2">
        <v>0</v>
      </c>
      <c r="F46932" s="2">
        <v>4.9340874987393404E-6</v>
      </c>
    </row>
    <row r="46933" spans="1:6" x14ac:dyDescent="0.25">
      <c r="A46933" s="1" t="str">
        <f t="shared" si="1537"/>
        <v>99999</v>
      </c>
      <c r="B46933" s="1" t="str">
        <f>"83543"</f>
        <v>83543</v>
      </c>
      <c r="C46933" s="2">
        <v>1.2125219742542599E-5</v>
      </c>
      <c r="D46933" s="2">
        <v>2.25856334291466E-5</v>
      </c>
      <c r="E46933" s="2">
        <v>1.72042270785932E-5</v>
      </c>
      <c r="F46933" s="2">
        <v>1.2927309246696999E-5</v>
      </c>
    </row>
    <row r="46934" spans="1:6" x14ac:dyDescent="0.25">
      <c r="A46934" s="1" t="str">
        <f t="shared" si="1537"/>
        <v>99999</v>
      </c>
      <c r="B46934" s="1" t="str">
        <f>"83549"</f>
        <v>83549</v>
      </c>
      <c r="C46934" s="2">
        <v>2.0894351877774301E-5</v>
      </c>
      <c r="D46934" s="2">
        <v>6.0228355811057601E-6</v>
      </c>
      <c r="E46934" s="2">
        <v>4.6451413112201599E-4</v>
      </c>
      <c r="F46934" s="2">
        <v>3.0097933742309899E-5</v>
      </c>
    </row>
    <row r="46935" spans="1:6" x14ac:dyDescent="0.25">
      <c r="A46935" s="1" t="str">
        <f t="shared" si="1537"/>
        <v>99999</v>
      </c>
      <c r="B46935" s="1" t="str">
        <f>"04691"</f>
        <v>04691</v>
      </c>
      <c r="C46935" s="2">
        <v>2.4142178594526799E-5</v>
      </c>
      <c r="D46935" s="2">
        <v>6.0228355811057601E-6</v>
      </c>
      <c r="E46935" s="2">
        <v>1.29031703089449E-5</v>
      </c>
      <c r="F46935" s="2">
        <v>2.26968024942009E-5</v>
      </c>
    </row>
    <row r="46936" spans="1:6" x14ac:dyDescent="0.25">
      <c r="A46936" s="1" t="str">
        <f t="shared" si="1537"/>
        <v>99999</v>
      </c>
      <c r="B46936" s="1" t="str">
        <f>"04669"</f>
        <v>04669</v>
      </c>
      <c r="C46936" s="2">
        <v>7.6865232296475401E-6</v>
      </c>
      <c r="D46936" s="2">
        <v>6.0228355811057601E-6</v>
      </c>
      <c r="E46936" s="2">
        <v>8.6021135392965999E-6</v>
      </c>
      <c r="F46936" s="2">
        <v>7.5984947480585801E-6</v>
      </c>
    </row>
    <row r="46937" spans="1:6" x14ac:dyDescent="0.25">
      <c r="A46937" s="1" t="str">
        <f t="shared" si="1537"/>
        <v>99999</v>
      </c>
      <c r="B46937" s="1" t="str">
        <f>"31832"</f>
        <v>31832</v>
      </c>
      <c r="C46937" s="2">
        <v>1.0284784603049499E-5</v>
      </c>
      <c r="D46937" s="2">
        <v>4.5171266858293203E-6</v>
      </c>
      <c r="E46937" s="2">
        <v>8.6021135392965999E-6</v>
      </c>
      <c r="F46937" s="2">
        <v>9.8681749974786808E-6</v>
      </c>
    </row>
    <row r="46938" spans="1:6" x14ac:dyDescent="0.25">
      <c r="A46938" s="1" t="str">
        <f t="shared" si="1537"/>
        <v>99999</v>
      </c>
      <c r="B46938" s="1" t="str">
        <f>"39867"</f>
        <v>39867</v>
      </c>
      <c r="C46938" s="2">
        <v>1.9162177628839599E-5</v>
      </c>
      <c r="D46938" s="2">
        <v>6.0228355811057601E-6</v>
      </c>
      <c r="E46938" s="2">
        <v>0</v>
      </c>
      <c r="F46938" s="2">
        <v>1.7861396745436401E-5</v>
      </c>
    </row>
    <row r="46939" spans="1:6" x14ac:dyDescent="0.25">
      <c r="A46939" s="1" t="str">
        <f t="shared" si="1537"/>
        <v>99999</v>
      </c>
      <c r="B46939" s="1" t="str">
        <f>"39854"</f>
        <v>39854</v>
      </c>
      <c r="C46939" s="2">
        <v>1.42904375537109E-5</v>
      </c>
      <c r="D46939" s="2">
        <v>3.01141779055288E-6</v>
      </c>
      <c r="E46939" s="2">
        <v>0</v>
      </c>
      <c r="F46939" s="2">
        <v>1.3223354496621401E-5</v>
      </c>
    </row>
    <row r="46940" spans="1:6" x14ac:dyDescent="0.25">
      <c r="A46940" s="1" t="str">
        <f t="shared" si="1537"/>
        <v>99999</v>
      </c>
      <c r="B46940" s="1" t="str">
        <f>"35903"</f>
        <v>35903</v>
      </c>
      <c r="C46940" s="2">
        <v>5.0882618562455504E-6</v>
      </c>
      <c r="D46940" s="2">
        <v>1.50570889527644E-6</v>
      </c>
      <c r="E46940" s="2">
        <v>0</v>
      </c>
      <c r="F46940" s="2">
        <v>4.7367239987897599E-6</v>
      </c>
    </row>
    <row r="46941" spans="1:6" x14ac:dyDescent="0.25">
      <c r="A46941" s="1" t="str">
        <f t="shared" si="1537"/>
        <v>99999</v>
      </c>
      <c r="B46941" s="1" t="str">
        <f>"39322"</f>
        <v>39322</v>
      </c>
      <c r="C46941" s="2">
        <v>1.01223932672119E-4</v>
      </c>
      <c r="D46941" s="2">
        <v>3.1619886800805203E-5</v>
      </c>
      <c r="E46941" s="2">
        <v>8.6021135392965999E-6</v>
      </c>
      <c r="F46941" s="2">
        <v>9.4537116475845698E-5</v>
      </c>
    </row>
    <row r="46942" spans="1:6" x14ac:dyDescent="0.25">
      <c r="A46942" s="1" t="str">
        <f t="shared" si="1537"/>
        <v>99999</v>
      </c>
      <c r="B46942" s="1" t="str">
        <f>"38848"</f>
        <v>38848</v>
      </c>
      <c r="C46942" s="2">
        <v>5.2290010139714998E-5</v>
      </c>
      <c r="D46942" s="2">
        <v>4.0654140172463799E-5</v>
      </c>
      <c r="E46942" s="2">
        <v>0</v>
      </c>
      <c r="F46942" s="2">
        <v>5.0327692487141198E-5</v>
      </c>
    </row>
    <row r="46943" spans="1:6" x14ac:dyDescent="0.25">
      <c r="A46943" s="1" t="str">
        <f t="shared" si="1537"/>
        <v>99999</v>
      </c>
      <c r="B46943" s="1" t="str">
        <f>"38582"</f>
        <v>38582</v>
      </c>
      <c r="C46943" s="2">
        <v>2.8905657779097099E-5</v>
      </c>
      <c r="D46943" s="2">
        <v>1.80685067433172E-5</v>
      </c>
      <c r="E46943" s="2">
        <v>4.3010567696482999E-6</v>
      </c>
      <c r="F46943" s="2">
        <v>2.7630889992940302E-5</v>
      </c>
    </row>
    <row r="46944" spans="1:6" x14ac:dyDescent="0.25">
      <c r="A46944" s="1" t="str">
        <f t="shared" si="1537"/>
        <v>99999</v>
      </c>
      <c r="B46944" s="1" t="str">
        <f>"41775"</f>
        <v>41775</v>
      </c>
      <c r="C46944" s="2">
        <v>4.3304356223366396E-6</v>
      </c>
      <c r="D46944" s="2">
        <v>1.50570889527644E-6</v>
      </c>
      <c r="E46944" s="2">
        <v>0</v>
      </c>
      <c r="F46944" s="2">
        <v>4.0459517489662501E-6</v>
      </c>
    </row>
    <row r="46945" spans="1:6" x14ac:dyDescent="0.25">
      <c r="A46945" s="1" t="str">
        <f t="shared" si="1537"/>
        <v>99999</v>
      </c>
      <c r="B46945" s="1" t="str">
        <f>"42032"</f>
        <v>42032</v>
      </c>
      <c r="C46945" s="2">
        <v>1.40739157725941E-5</v>
      </c>
      <c r="D46945" s="2">
        <v>3.01141779055288E-6</v>
      </c>
      <c r="E46945" s="2">
        <v>8.6021135392965999E-6</v>
      </c>
      <c r="F46945" s="2">
        <v>1.3223354496621401E-5</v>
      </c>
    </row>
    <row r="46946" spans="1:6" x14ac:dyDescent="0.25">
      <c r="A46946" s="1" t="str">
        <f t="shared" si="1537"/>
        <v>99999</v>
      </c>
      <c r="B46946" s="1" t="str">
        <f>"43511"</f>
        <v>43511</v>
      </c>
      <c r="C46946" s="2">
        <v>2.9230440450772301E-6</v>
      </c>
      <c r="D46946" s="2">
        <v>0</v>
      </c>
      <c r="E46946" s="2">
        <v>0</v>
      </c>
      <c r="F46946" s="2">
        <v>2.6644072493192401E-6</v>
      </c>
    </row>
    <row r="46947" spans="1:6" x14ac:dyDescent="0.25">
      <c r="A46947" s="1" t="str">
        <f t="shared" si="1537"/>
        <v>99999</v>
      </c>
      <c r="B46947" s="1" t="str">
        <f>"43515"</f>
        <v>43515</v>
      </c>
      <c r="C46947" s="2">
        <v>6.49565343350497E-7</v>
      </c>
      <c r="D46947" s="2">
        <v>0</v>
      </c>
      <c r="E46947" s="2">
        <v>0</v>
      </c>
      <c r="F46947" s="2">
        <v>5.9209049984871999E-7</v>
      </c>
    </row>
    <row r="46948" spans="1:6" x14ac:dyDescent="0.25">
      <c r="A46948" s="1" t="str">
        <f t="shared" si="1537"/>
        <v>99999</v>
      </c>
      <c r="B46948" s="1" t="str">
        <f>"43526"</f>
        <v>43526</v>
      </c>
      <c r="C46948" s="2">
        <v>5.95434898071288E-6</v>
      </c>
      <c r="D46948" s="2">
        <v>0</v>
      </c>
      <c r="E46948" s="2">
        <v>0</v>
      </c>
      <c r="F46948" s="2">
        <v>5.4274962486132697E-6</v>
      </c>
    </row>
    <row r="46949" spans="1:6" x14ac:dyDescent="0.25">
      <c r="A46949" s="1" t="str">
        <f t="shared" si="1537"/>
        <v>99999</v>
      </c>
      <c r="B46949" s="1" t="str">
        <f>"42713"</f>
        <v>42713</v>
      </c>
      <c r="C46949" s="2">
        <v>1.0707002076227299E-4</v>
      </c>
      <c r="D46949" s="2">
        <v>2.7102760114975901E-5</v>
      </c>
      <c r="E46949" s="2">
        <v>1.2473064631979999E-4</v>
      </c>
      <c r="F46949" s="2">
        <v>1.02234292973879E-4</v>
      </c>
    </row>
    <row r="46950" spans="1:6" x14ac:dyDescent="0.25">
      <c r="A46950" s="1" t="str">
        <f t="shared" si="1537"/>
        <v>99999</v>
      </c>
      <c r="B46950" s="1" t="str">
        <f>"42518"</f>
        <v>42518</v>
      </c>
      <c r="C46950" s="2">
        <v>2.4142178594526799E-5</v>
      </c>
      <c r="D46950" s="2">
        <v>7.5285444763821999E-6</v>
      </c>
      <c r="E46950" s="2">
        <v>4.3010567696482999E-6</v>
      </c>
      <c r="F46950" s="2">
        <v>2.25981207442261E-5</v>
      </c>
    </row>
    <row r="46951" spans="1:6" x14ac:dyDescent="0.25">
      <c r="A46951" s="1" t="str">
        <f t="shared" si="1537"/>
        <v>99999</v>
      </c>
      <c r="B46951" s="1" t="str">
        <f>"41203"</f>
        <v>41203</v>
      </c>
      <c r="C46951" s="2">
        <v>1.2774785085893101E-5</v>
      </c>
      <c r="D46951" s="2">
        <v>4.5171266858293203E-6</v>
      </c>
      <c r="E46951" s="2">
        <v>1.41934873398393E-4</v>
      </c>
      <c r="F46951" s="2">
        <v>1.5196989496117099E-5</v>
      </c>
    </row>
    <row r="46952" spans="1:6" x14ac:dyDescent="0.25">
      <c r="A46952" s="1" t="str">
        <f t="shared" si="1537"/>
        <v>99999</v>
      </c>
      <c r="B46952" s="1" t="str">
        <f>"44689"</f>
        <v>44689</v>
      </c>
      <c r="C46952" s="2">
        <v>9.7434801502574508E-6</v>
      </c>
      <c r="D46952" s="2">
        <v>9.0342533716586405E-6</v>
      </c>
      <c r="E46952" s="2">
        <v>8.6021135392965999E-6</v>
      </c>
      <c r="F46952" s="2">
        <v>9.6708114975291003E-6</v>
      </c>
    </row>
    <row r="46953" spans="1:6" x14ac:dyDescent="0.25">
      <c r="A46953" s="1" t="str">
        <f t="shared" si="1537"/>
        <v>99999</v>
      </c>
      <c r="B46953" s="1" t="str">
        <f>"45851"</f>
        <v>45851</v>
      </c>
      <c r="C46953" s="2">
        <v>2.15439172211248E-5</v>
      </c>
      <c r="D46953" s="2">
        <v>1.35513800574879E-5</v>
      </c>
      <c r="E46953" s="2">
        <v>4.3010567696482999E-6</v>
      </c>
      <c r="F46953" s="2">
        <v>2.0624485744730399E-5</v>
      </c>
    </row>
    <row r="46954" spans="1:6" x14ac:dyDescent="0.25">
      <c r="A46954" s="1" t="str">
        <f t="shared" si="1537"/>
        <v>99999</v>
      </c>
      <c r="B46954" s="1" t="str">
        <f>"44842"</f>
        <v>44842</v>
      </c>
      <c r="C46954" s="2">
        <v>3.8649137929354497E-5</v>
      </c>
      <c r="D46954" s="2">
        <v>3.4631304591358098E-5</v>
      </c>
      <c r="E46954" s="2">
        <v>3.01073973875381E-5</v>
      </c>
      <c r="F46954" s="2">
        <v>3.8189837240242402E-5</v>
      </c>
    </row>
    <row r="46955" spans="1:6" x14ac:dyDescent="0.25">
      <c r="A46955" s="1" t="str">
        <f t="shared" si="1537"/>
        <v>99999</v>
      </c>
      <c r="B46955" s="1" t="str">
        <f>"45159"</f>
        <v>45159</v>
      </c>
      <c r="C46955" s="2">
        <v>5.8244359120427799E-5</v>
      </c>
      <c r="D46955" s="2">
        <v>1.50570889527644E-5</v>
      </c>
      <c r="E46955" s="2">
        <v>8.6021135392965999E-6</v>
      </c>
      <c r="F46955" s="2">
        <v>5.4274962486132701E-5</v>
      </c>
    </row>
    <row r="46956" spans="1:6" x14ac:dyDescent="0.25">
      <c r="A46956" s="1" t="str">
        <f t="shared" si="1537"/>
        <v>99999</v>
      </c>
      <c r="B46956" s="1" t="str">
        <f>"47574"</f>
        <v>47574</v>
      </c>
      <c r="C46956" s="2">
        <v>1.93786994099564E-5</v>
      </c>
      <c r="D46956" s="2">
        <v>1.50570889527644E-6</v>
      </c>
      <c r="E46956" s="2">
        <v>1.2903170308944901E-4</v>
      </c>
      <c r="F46956" s="2">
        <v>2.07231674947052E-5</v>
      </c>
    </row>
    <row r="46957" spans="1:6" x14ac:dyDescent="0.25">
      <c r="A46957" s="1" t="str">
        <f t="shared" si="1537"/>
        <v>99999</v>
      </c>
      <c r="B46957" s="1" t="str">
        <f>"47958"</f>
        <v>47958</v>
      </c>
      <c r="C46957" s="2">
        <v>1.08260890558416E-5</v>
      </c>
      <c r="D46957" s="2">
        <v>7.5285444763821999E-6</v>
      </c>
      <c r="E46957" s="2">
        <v>4.3010567696482999E-6</v>
      </c>
      <c r="F46957" s="2">
        <v>1.04602654973274E-5</v>
      </c>
    </row>
    <row r="46958" spans="1:6" x14ac:dyDescent="0.25">
      <c r="A46958" s="1" t="str">
        <f t="shared" si="1537"/>
        <v>99999</v>
      </c>
      <c r="B46958" s="1" t="str">
        <f>"47250"</f>
        <v>47250</v>
      </c>
      <c r="C46958" s="2">
        <v>4.53613131439763E-5</v>
      </c>
      <c r="D46958" s="2">
        <v>7.5285444763821999E-6</v>
      </c>
      <c r="E46958" s="2">
        <v>0</v>
      </c>
      <c r="F46958" s="2">
        <v>4.1841061989309602E-5</v>
      </c>
    </row>
    <row r="46959" spans="1:6" x14ac:dyDescent="0.25">
      <c r="A46959" s="1" t="str">
        <f t="shared" si="1537"/>
        <v>99999</v>
      </c>
      <c r="B46959" s="1" t="str">
        <f>"46501"</f>
        <v>46501</v>
      </c>
      <c r="C46959" s="2">
        <v>1.9486960300514902E-6</v>
      </c>
      <c r="D46959" s="2">
        <v>1.50570889527644E-6</v>
      </c>
      <c r="E46959" s="2">
        <v>0</v>
      </c>
      <c r="F46959" s="2">
        <v>1.8749532495209401E-6</v>
      </c>
    </row>
    <row r="46960" spans="1:6" x14ac:dyDescent="0.25">
      <c r="A46960" s="1" t="str">
        <f t="shared" si="1537"/>
        <v>99999</v>
      </c>
      <c r="B46960" s="1" t="str">
        <f>"48475"</f>
        <v>48475</v>
      </c>
      <c r="C46960" s="2">
        <v>1.3391872162075999E-4</v>
      </c>
      <c r="D46960" s="2">
        <v>8.88368248213099E-5</v>
      </c>
      <c r="E46960" s="2">
        <v>7.3117965084021106E-5</v>
      </c>
      <c r="F46960" s="2">
        <v>1.29569137716895E-4</v>
      </c>
    </row>
    <row r="46961" spans="1:6" x14ac:dyDescent="0.25">
      <c r="A46961" s="1" t="str">
        <f t="shared" si="1537"/>
        <v>99999</v>
      </c>
      <c r="B46961" s="1" t="str">
        <f>"48465"</f>
        <v>48465</v>
      </c>
      <c r="C46961" s="2">
        <v>4.36291388950417E-5</v>
      </c>
      <c r="D46961" s="2">
        <v>3.01141779055288E-6</v>
      </c>
      <c r="E46961" s="2">
        <v>1.72042270785932E-5</v>
      </c>
      <c r="F46961" s="2">
        <v>4.0360835739687802E-5</v>
      </c>
    </row>
    <row r="46962" spans="1:6" x14ac:dyDescent="0.25">
      <c r="A46962" s="1" t="str">
        <f t="shared" si="1537"/>
        <v>99999</v>
      </c>
      <c r="B46962" s="1" t="str">
        <f>"48432"</f>
        <v>48432</v>
      </c>
      <c r="C46962" s="2">
        <v>3.4643484978693103E-5</v>
      </c>
      <c r="D46962" s="2">
        <v>2.25856334291466E-5</v>
      </c>
      <c r="E46962" s="2">
        <v>4.3010567696482999E-6</v>
      </c>
      <c r="F46962" s="2">
        <v>3.3157067991528302E-5</v>
      </c>
    </row>
    <row r="46963" spans="1:6" x14ac:dyDescent="0.25">
      <c r="A46963" s="1" t="str">
        <f t="shared" si="1537"/>
        <v>99999</v>
      </c>
      <c r="B46963" s="1" t="str">
        <f>"49825"</f>
        <v>49825</v>
      </c>
      <c r="C46963" s="2">
        <v>1.07178281652832E-5</v>
      </c>
      <c r="D46963" s="2">
        <v>0</v>
      </c>
      <c r="E46963" s="2">
        <v>4.3010567696482999E-6</v>
      </c>
      <c r="F46963" s="2">
        <v>9.8681749974786808E-6</v>
      </c>
    </row>
    <row r="46964" spans="1:6" x14ac:dyDescent="0.25">
      <c r="A46964" s="1" t="str">
        <f t="shared" si="1537"/>
        <v>99999</v>
      </c>
      <c r="B46964" s="1" t="str">
        <f>"51365"</f>
        <v>51365</v>
      </c>
      <c r="C46964" s="2">
        <v>2.1652178111683201E-5</v>
      </c>
      <c r="D46964" s="2">
        <v>9.0342533716586405E-6</v>
      </c>
      <c r="E46964" s="2">
        <v>2.15052838482415E-5</v>
      </c>
      <c r="F46964" s="2">
        <v>2.082184924468E-5</v>
      </c>
    </row>
    <row r="46965" spans="1:6" x14ac:dyDescent="0.25">
      <c r="A46965" s="1" t="str">
        <f t="shared" si="1537"/>
        <v>99999</v>
      </c>
      <c r="B46965" s="1" t="str">
        <f>"50591"</f>
        <v>50591</v>
      </c>
      <c r="C46965" s="2">
        <v>1.5806090021528701E-5</v>
      </c>
      <c r="D46965" s="2">
        <v>0</v>
      </c>
      <c r="E46965" s="2">
        <v>1.29031703089449E-5</v>
      </c>
      <c r="F46965" s="2">
        <v>1.47035807462432E-5</v>
      </c>
    </row>
    <row r="46966" spans="1:6" x14ac:dyDescent="0.25">
      <c r="A46966" s="1" t="str">
        <f t="shared" si="1537"/>
        <v>99999</v>
      </c>
      <c r="B46966" s="1" t="str">
        <f>"50582"</f>
        <v>50582</v>
      </c>
      <c r="C46966" s="2">
        <v>1.42904375537109E-5</v>
      </c>
      <c r="D46966" s="2">
        <v>1.50570889527644E-5</v>
      </c>
      <c r="E46966" s="2">
        <v>4.3010567696482999E-6</v>
      </c>
      <c r="F46966" s="2">
        <v>1.41114902463945E-5</v>
      </c>
    </row>
    <row r="46967" spans="1:6" x14ac:dyDescent="0.25">
      <c r="A46967" s="1" t="str">
        <f t="shared" si="1537"/>
        <v>99999</v>
      </c>
      <c r="B46967" s="1" t="str">
        <f>"50426"</f>
        <v>50426</v>
      </c>
      <c r="C46967" s="2">
        <v>6.6039143240633804E-6</v>
      </c>
      <c r="D46967" s="2">
        <v>4.5171266858293203E-6</v>
      </c>
      <c r="E46967" s="2">
        <v>0</v>
      </c>
      <c r="F46967" s="2">
        <v>6.3156319983863499E-6</v>
      </c>
    </row>
    <row r="46968" spans="1:6" x14ac:dyDescent="0.25">
      <c r="A46968" s="1" t="str">
        <f t="shared" si="1537"/>
        <v>99999</v>
      </c>
      <c r="B46968" s="1" t="str">
        <f>"50538"</f>
        <v>50538</v>
      </c>
      <c r="C46968" s="2">
        <v>3.2153484495849597E-5</v>
      </c>
      <c r="D46968" s="2">
        <v>7.5285444763821999E-6</v>
      </c>
      <c r="E46968" s="2">
        <v>4.3010567696482999E-6</v>
      </c>
      <c r="F46968" s="2">
        <v>2.99005702423604E-5</v>
      </c>
    </row>
    <row r="46969" spans="1:6" x14ac:dyDescent="0.25">
      <c r="A46969" s="1" t="str">
        <f t="shared" si="1537"/>
        <v>99999</v>
      </c>
      <c r="B46969" s="1" t="str">
        <f>"50128"</f>
        <v>50128</v>
      </c>
      <c r="C46969" s="2">
        <v>2.7065222639604001E-6</v>
      </c>
      <c r="D46969" s="2">
        <v>0</v>
      </c>
      <c r="E46969" s="2">
        <v>0</v>
      </c>
      <c r="F46969" s="2">
        <v>2.4670437493696702E-6</v>
      </c>
    </row>
    <row r="46970" spans="1:6" x14ac:dyDescent="0.25">
      <c r="A46970" s="1" t="str">
        <f t="shared" si="1537"/>
        <v>99999</v>
      </c>
      <c r="B46970" s="1" t="str">
        <f>"49329"</f>
        <v>49329</v>
      </c>
      <c r="C46970" s="2">
        <v>6.07343596032714E-5</v>
      </c>
      <c r="D46970" s="2">
        <v>9.0342533716586405E-6</v>
      </c>
      <c r="E46970" s="2">
        <v>0</v>
      </c>
      <c r="F46970" s="2">
        <v>5.5952552235704101E-5</v>
      </c>
    </row>
    <row r="46971" spans="1:6" x14ac:dyDescent="0.25">
      <c r="A46971" s="1" t="str">
        <f t="shared" si="1537"/>
        <v>99999</v>
      </c>
      <c r="B46971" s="1" t="str">
        <f>"49038"</f>
        <v>49038</v>
      </c>
      <c r="C46971" s="2">
        <v>2.2734787017267301E-5</v>
      </c>
      <c r="D46971" s="2">
        <v>3.01141779055288E-6</v>
      </c>
      <c r="E46971" s="2">
        <v>8.6021135392965999E-6</v>
      </c>
      <c r="F46971" s="2">
        <v>2.11178944946043E-5</v>
      </c>
    </row>
    <row r="46972" spans="1:6" x14ac:dyDescent="0.25">
      <c r="A46972" s="1" t="str">
        <f t="shared" si="1537"/>
        <v>99999</v>
      </c>
      <c r="B46972" s="1" t="str">
        <f>"53939"</f>
        <v>53939</v>
      </c>
      <c r="C46972" s="2">
        <v>5.8460880901544696E-6</v>
      </c>
      <c r="D46972" s="2">
        <v>0</v>
      </c>
      <c r="E46972" s="2">
        <v>4.3010567696482999E-6</v>
      </c>
      <c r="F46972" s="2">
        <v>5.4274962486132697E-6</v>
      </c>
    </row>
    <row r="46973" spans="1:6" x14ac:dyDescent="0.25">
      <c r="A46973" s="1" t="str">
        <f t="shared" si="1537"/>
        <v>99999</v>
      </c>
      <c r="B46973" s="1" t="str">
        <f>"52535"</f>
        <v>52535</v>
      </c>
      <c r="C46973" s="2">
        <v>3.7025224570978301E-5</v>
      </c>
      <c r="D46973" s="2">
        <v>1.20456711622115E-5</v>
      </c>
      <c r="E46973" s="2">
        <v>2.58063406178898E-5</v>
      </c>
      <c r="F46973" s="2">
        <v>3.5130702991024101E-5</v>
      </c>
    </row>
    <row r="46974" spans="1:6" x14ac:dyDescent="0.25">
      <c r="A46974" s="1" t="str">
        <f t="shared" si="1537"/>
        <v>99999</v>
      </c>
      <c r="B46974" s="1" t="str">
        <f>"52072"</f>
        <v>52072</v>
      </c>
      <c r="C46974" s="2">
        <v>2.0244786534423801E-5</v>
      </c>
      <c r="D46974" s="2">
        <v>6.0228355811057601E-6</v>
      </c>
      <c r="E46974" s="2">
        <v>0</v>
      </c>
      <c r="F46974" s="2">
        <v>1.8848214245184198E-5</v>
      </c>
    </row>
    <row r="46975" spans="1:6" x14ac:dyDescent="0.25">
      <c r="A46975" s="1" t="str">
        <f t="shared" si="1537"/>
        <v>99999</v>
      </c>
      <c r="B46975" s="1" t="str">
        <f>"52358"</f>
        <v>52358</v>
      </c>
      <c r="C46975" s="2">
        <v>1.7494959914240001E-4</v>
      </c>
      <c r="D46975" s="2">
        <v>1.34008091679603E-4</v>
      </c>
      <c r="E46975" s="2">
        <v>1.03225362471559E-4</v>
      </c>
      <c r="F46975" s="2">
        <v>1.7062074570640601E-4</v>
      </c>
    </row>
    <row r="46976" spans="1:6" x14ac:dyDescent="0.25">
      <c r="A46976" s="1" t="str">
        <f t="shared" si="1537"/>
        <v>99999</v>
      </c>
      <c r="B46976" s="1" t="str">
        <f>"52337"</f>
        <v>52337</v>
      </c>
      <c r="C46976" s="2">
        <v>3.4643484978693103E-5</v>
      </c>
      <c r="D46976" s="2">
        <v>7.5285444763821999E-6</v>
      </c>
      <c r="E46976" s="2">
        <v>1.29031703089449E-5</v>
      </c>
      <c r="F46976" s="2">
        <v>3.236761399173E-5</v>
      </c>
    </row>
    <row r="46977" spans="1:6" x14ac:dyDescent="0.25">
      <c r="A46977" s="1" t="str">
        <f t="shared" si="1537"/>
        <v>99999</v>
      </c>
      <c r="B46977" s="1" t="str">
        <f>"52216"</f>
        <v>52216</v>
      </c>
      <c r="C46977" s="2">
        <v>7.2210014002463497E-5</v>
      </c>
      <c r="D46977" s="2">
        <v>5.7216938020504697E-5</v>
      </c>
      <c r="E46977" s="2">
        <v>6.4515851544724506E-5</v>
      </c>
      <c r="F46977" s="2">
        <v>7.1050859981846497E-5</v>
      </c>
    </row>
    <row r="46978" spans="1:6" x14ac:dyDescent="0.25">
      <c r="A46978" s="1" t="str">
        <f t="shared" si="1537"/>
        <v>99999</v>
      </c>
      <c r="B46978" s="1" t="str">
        <f>"52164"</f>
        <v>52164</v>
      </c>
      <c r="C46978" s="2">
        <v>1.16921761803089E-5</v>
      </c>
      <c r="D46978" s="2">
        <v>9.0342533716586405E-6</v>
      </c>
      <c r="E46978" s="2">
        <v>4.3010567696482999E-6</v>
      </c>
      <c r="F46978" s="2">
        <v>1.1348401247100399E-5</v>
      </c>
    </row>
    <row r="46979" spans="1:6" x14ac:dyDescent="0.25">
      <c r="A46979" s="1" t="str">
        <f t="shared" si="1537"/>
        <v>99999</v>
      </c>
      <c r="B46979" s="1" t="str">
        <f>"54819"</f>
        <v>54819</v>
      </c>
      <c r="C46979" s="2">
        <v>1.5849394377752101E-4</v>
      </c>
      <c r="D46979" s="2">
        <v>5.2699811334675399E-5</v>
      </c>
      <c r="E46979" s="2">
        <v>9.8924305701910905E-5</v>
      </c>
      <c r="F46979" s="2">
        <v>1.5019362346162501E-4</v>
      </c>
    </row>
    <row r="46980" spans="1:6" x14ac:dyDescent="0.25">
      <c r="A46980" s="1" t="str">
        <f t="shared" si="1537"/>
        <v>99999</v>
      </c>
      <c r="B46980" s="1" t="str">
        <f>"57218"</f>
        <v>57218</v>
      </c>
      <c r="C46980" s="2">
        <v>1.5806090021528701E-5</v>
      </c>
      <c r="D46980" s="2">
        <v>9.0342533716586405E-6</v>
      </c>
      <c r="E46980" s="2">
        <v>1.29031703089449E-5</v>
      </c>
      <c r="F46980" s="2">
        <v>1.5295671246091901E-5</v>
      </c>
    </row>
    <row r="46981" spans="1:6" x14ac:dyDescent="0.25">
      <c r="A46981" s="1" t="str">
        <f t="shared" si="1537"/>
        <v>99999</v>
      </c>
      <c r="B46981" s="1" t="str">
        <f>"57054"</f>
        <v>57054</v>
      </c>
      <c r="C46981" s="2">
        <v>2.5549570171786201E-5</v>
      </c>
      <c r="D46981" s="2">
        <v>3.31255956960816E-5</v>
      </c>
      <c r="E46981" s="2">
        <v>2.58063406178898E-5</v>
      </c>
      <c r="F46981" s="2">
        <v>2.6051981993343701E-5</v>
      </c>
    </row>
    <row r="46982" spans="1:6" x14ac:dyDescent="0.25">
      <c r="A46982" s="1" t="str">
        <f t="shared" ref="A46982:A47045" si="1538">"99999"</f>
        <v>99999</v>
      </c>
      <c r="B46982" s="1" t="str">
        <f>"57266"</f>
        <v>57266</v>
      </c>
      <c r="C46982" s="2">
        <v>2.8905657779097099E-5</v>
      </c>
      <c r="D46982" s="2">
        <v>1.80685067433172E-5</v>
      </c>
      <c r="E46982" s="2">
        <v>3.01073973875381E-5</v>
      </c>
      <c r="F46982" s="2">
        <v>2.8222980492788999E-5</v>
      </c>
    </row>
    <row r="46983" spans="1:6" x14ac:dyDescent="0.25">
      <c r="A46983" s="1" t="str">
        <f t="shared" si="1538"/>
        <v>99999</v>
      </c>
      <c r="B46983" s="1" t="str">
        <f>"57259"</f>
        <v>57259</v>
      </c>
      <c r="C46983" s="2">
        <v>3.4102180525900997E-5</v>
      </c>
      <c r="D46983" s="2">
        <v>6.0228355811057601E-6</v>
      </c>
      <c r="E46983" s="2">
        <v>3.44084541571864E-5</v>
      </c>
      <c r="F46983" s="2">
        <v>3.2268932241755197E-5</v>
      </c>
    </row>
    <row r="46984" spans="1:6" x14ac:dyDescent="0.25">
      <c r="A46984" s="1" t="str">
        <f t="shared" si="1538"/>
        <v>99999</v>
      </c>
      <c r="B46984" s="1" t="str">
        <f>"57344"</f>
        <v>57344</v>
      </c>
      <c r="C46984" s="2">
        <v>8.4443494635564601E-6</v>
      </c>
      <c r="D46984" s="2">
        <v>1.50570889527644E-6</v>
      </c>
      <c r="E46984" s="2">
        <v>1.29031703089449E-5</v>
      </c>
      <c r="F46984" s="2">
        <v>8.0919034979325103E-6</v>
      </c>
    </row>
    <row r="46985" spans="1:6" x14ac:dyDescent="0.25">
      <c r="A46985" s="1" t="str">
        <f t="shared" si="1538"/>
        <v>99999</v>
      </c>
      <c r="B46985" s="1" t="str">
        <f>"56748"</f>
        <v>56748</v>
      </c>
      <c r="C46985" s="2">
        <v>2.9555223122447599E-5</v>
      </c>
      <c r="D46985" s="2">
        <v>1.50570889527644E-6</v>
      </c>
      <c r="E46985" s="2">
        <v>1.29031703089449E-5</v>
      </c>
      <c r="F46985" s="2">
        <v>2.73348447430159E-5</v>
      </c>
    </row>
    <row r="46986" spans="1:6" x14ac:dyDescent="0.25">
      <c r="A46986" s="1" t="str">
        <f t="shared" si="1538"/>
        <v>99999</v>
      </c>
      <c r="B46986" s="1" t="str">
        <f>"56161"</f>
        <v>56161</v>
      </c>
      <c r="C46986" s="2">
        <v>2.0677830096657399E-5</v>
      </c>
      <c r="D46986" s="2">
        <v>6.0228355811057601E-6</v>
      </c>
      <c r="E46986" s="2">
        <v>0</v>
      </c>
      <c r="F46986" s="2">
        <v>1.92429412450834E-5</v>
      </c>
    </row>
    <row r="46987" spans="1:6" x14ac:dyDescent="0.25">
      <c r="A46987" s="1" t="str">
        <f t="shared" si="1538"/>
        <v>99999</v>
      </c>
      <c r="B46987" s="1" t="str">
        <f>"56158"</f>
        <v>56158</v>
      </c>
      <c r="C46987" s="2">
        <v>1.7430003379904999E-5</v>
      </c>
      <c r="D46987" s="2">
        <v>9.0342533716586405E-6</v>
      </c>
      <c r="E46987" s="2">
        <v>0</v>
      </c>
      <c r="F46987" s="2">
        <v>1.64798522457893E-5</v>
      </c>
    </row>
    <row r="46988" spans="1:6" x14ac:dyDescent="0.25">
      <c r="A46988" s="1" t="str">
        <f t="shared" si="1538"/>
        <v>99999</v>
      </c>
      <c r="B46988" s="1" t="str">
        <f>"57620"</f>
        <v>57620</v>
      </c>
      <c r="C46988" s="2">
        <v>1.4723481115944499E-5</v>
      </c>
      <c r="D46988" s="2">
        <v>4.5171266858293203E-6</v>
      </c>
      <c r="E46988" s="2">
        <v>4.3010567696482999E-6</v>
      </c>
      <c r="F46988" s="2">
        <v>1.38154449964701E-5</v>
      </c>
    </row>
    <row r="46989" spans="1:6" x14ac:dyDescent="0.25">
      <c r="A46989" s="1" t="str">
        <f t="shared" si="1538"/>
        <v>99999</v>
      </c>
      <c r="B46989" s="1" t="str">
        <f>"57574"</f>
        <v>57574</v>
      </c>
      <c r="C46989" s="2">
        <v>4.98000096568714E-6</v>
      </c>
      <c r="D46989" s="2">
        <v>3.01141779055288E-6</v>
      </c>
      <c r="E46989" s="2">
        <v>4.3010567696482999E-6</v>
      </c>
      <c r="F46989" s="2">
        <v>4.8354057487645501E-6</v>
      </c>
    </row>
    <row r="46990" spans="1:6" x14ac:dyDescent="0.25">
      <c r="A46990" s="1" t="str">
        <f t="shared" si="1538"/>
        <v>99999</v>
      </c>
      <c r="B46990" s="1" t="str">
        <f>"57576"</f>
        <v>57576</v>
      </c>
      <c r="C46990" s="2">
        <v>9.3104365880237906E-6</v>
      </c>
      <c r="D46990" s="2">
        <v>1.50570889527644E-6</v>
      </c>
      <c r="E46990" s="2">
        <v>4.3010567696482999E-6</v>
      </c>
      <c r="F46990" s="2">
        <v>8.6839939977812298E-6</v>
      </c>
    </row>
    <row r="46991" spans="1:6" x14ac:dyDescent="0.25">
      <c r="A46991" s="1" t="str">
        <f t="shared" si="1538"/>
        <v>99999</v>
      </c>
      <c r="B46991" s="1" t="str">
        <f>"57559"</f>
        <v>57559</v>
      </c>
      <c r="C46991" s="2">
        <v>3.5509572103160502E-5</v>
      </c>
      <c r="D46991" s="2">
        <v>1.65627978480408E-5</v>
      </c>
      <c r="E46991" s="2">
        <v>6.4515851544724506E-5</v>
      </c>
      <c r="F46991" s="2">
        <v>3.49333394910745E-5</v>
      </c>
    </row>
    <row r="46992" spans="1:6" x14ac:dyDescent="0.25">
      <c r="A46992" s="1" t="str">
        <f t="shared" si="1538"/>
        <v>99999</v>
      </c>
      <c r="B46992" s="1" t="str">
        <f>"57473"</f>
        <v>57473</v>
      </c>
      <c r="C46992" s="2">
        <v>8.3360885729980396E-6</v>
      </c>
      <c r="D46992" s="2">
        <v>1.50570889527644E-6</v>
      </c>
      <c r="E46992" s="2">
        <v>4.3010567696482999E-6</v>
      </c>
      <c r="F46992" s="2">
        <v>7.7958582480081497E-6</v>
      </c>
    </row>
    <row r="46993" spans="1:6" x14ac:dyDescent="0.25">
      <c r="A46993" s="1" t="str">
        <f t="shared" si="1538"/>
        <v>99999</v>
      </c>
      <c r="B46993" s="1" t="str">
        <f>"59918"</f>
        <v>59918</v>
      </c>
      <c r="C46993" s="2">
        <v>8.6608712446732898E-7</v>
      </c>
      <c r="D46993" s="2">
        <v>0</v>
      </c>
      <c r="E46993" s="2">
        <v>4.3010567696482999E-6</v>
      </c>
      <c r="F46993" s="2">
        <v>8.8813574977308104E-7</v>
      </c>
    </row>
    <row r="46994" spans="1:6" x14ac:dyDescent="0.25">
      <c r="A46994" s="1" t="str">
        <f t="shared" si="1538"/>
        <v>99999</v>
      </c>
      <c r="B46994" s="1" t="str">
        <f>"58755"</f>
        <v>58755</v>
      </c>
      <c r="C46994" s="2">
        <v>3.0313049356356498E-6</v>
      </c>
      <c r="D46994" s="2">
        <v>0</v>
      </c>
      <c r="E46994" s="2">
        <v>0</v>
      </c>
      <c r="F46994" s="2">
        <v>2.76308899929403E-6</v>
      </c>
    </row>
    <row r="46995" spans="1:6" x14ac:dyDescent="0.25">
      <c r="A46995" s="1" t="str">
        <f t="shared" si="1538"/>
        <v>99999</v>
      </c>
      <c r="B46995" s="1" t="str">
        <f>"58750"</f>
        <v>58750</v>
      </c>
      <c r="C46995" s="2">
        <v>1.77547860515802E-5</v>
      </c>
      <c r="D46995" s="2">
        <v>4.5171266858293203E-6</v>
      </c>
      <c r="E46995" s="2">
        <v>2.15052838482415E-5</v>
      </c>
      <c r="F46995" s="2">
        <v>1.6973260995663299E-5</v>
      </c>
    </row>
    <row r="46996" spans="1:6" x14ac:dyDescent="0.25">
      <c r="A46996" s="1" t="str">
        <f t="shared" si="1538"/>
        <v>99999</v>
      </c>
      <c r="B46996" s="1" t="str">
        <f>"58631"</f>
        <v>58631</v>
      </c>
      <c r="C46996" s="2">
        <v>7.0369578862970498E-6</v>
      </c>
      <c r="D46996" s="2">
        <v>0</v>
      </c>
      <c r="E46996" s="2">
        <v>0</v>
      </c>
      <c r="F46996" s="2">
        <v>6.4143137483611402E-6</v>
      </c>
    </row>
    <row r="46997" spans="1:6" x14ac:dyDescent="0.25">
      <c r="A46997" s="1" t="str">
        <f t="shared" si="1538"/>
        <v>99999</v>
      </c>
      <c r="B46997" s="1" t="str">
        <f>"58642"</f>
        <v>58642</v>
      </c>
      <c r="C46997" s="2">
        <v>1.7213481598788101E-5</v>
      </c>
      <c r="D46997" s="2">
        <v>2.25856334291466E-5</v>
      </c>
      <c r="E46997" s="2">
        <v>8.6021135392965999E-6</v>
      </c>
      <c r="F46997" s="2">
        <v>1.7367987995562399E-5</v>
      </c>
    </row>
    <row r="46998" spans="1:6" x14ac:dyDescent="0.25">
      <c r="A46998" s="1" t="str">
        <f t="shared" si="1538"/>
        <v>99999</v>
      </c>
      <c r="B46998" s="1" t="str">
        <f>"59020"</f>
        <v>59020</v>
      </c>
      <c r="C46998" s="2">
        <v>9.8517410408158696E-6</v>
      </c>
      <c r="D46998" s="2">
        <v>1.50570889527644E-6</v>
      </c>
      <c r="E46998" s="2">
        <v>4.3010567696482999E-6</v>
      </c>
      <c r="F46998" s="2">
        <v>9.1774027476551693E-6</v>
      </c>
    </row>
    <row r="46999" spans="1:6" x14ac:dyDescent="0.25">
      <c r="A46999" s="1" t="str">
        <f t="shared" si="1538"/>
        <v>99999</v>
      </c>
      <c r="B46999" s="1" t="str">
        <f>"59525"</f>
        <v>59525</v>
      </c>
      <c r="C46999" s="2">
        <v>1.1259132618075199E-5</v>
      </c>
      <c r="D46999" s="2">
        <v>3.01141779055288E-6</v>
      </c>
      <c r="E46999" s="2">
        <v>4.3010567696482999E-6</v>
      </c>
      <c r="F46999" s="2">
        <v>1.0558947247302099E-5</v>
      </c>
    </row>
    <row r="47000" spans="1:6" x14ac:dyDescent="0.25">
      <c r="A47000" s="1" t="str">
        <f t="shared" si="1538"/>
        <v>99999</v>
      </c>
      <c r="B47000" s="1" t="str">
        <f>"58422"</f>
        <v>58422</v>
      </c>
      <c r="C47000" s="2">
        <v>1.13673935086336E-5</v>
      </c>
      <c r="D47000" s="2">
        <v>1.50570889527644E-6</v>
      </c>
      <c r="E47000" s="2">
        <v>4.3010567696482999E-6</v>
      </c>
      <c r="F47000" s="2">
        <v>1.0558947247302099E-5</v>
      </c>
    </row>
    <row r="47001" spans="1:6" x14ac:dyDescent="0.25">
      <c r="A47001" s="1" t="str">
        <f t="shared" si="1538"/>
        <v>99999</v>
      </c>
      <c r="B47001" s="1" t="str">
        <f>"97136"</f>
        <v>97136</v>
      </c>
      <c r="C47001" s="2">
        <v>3.2619006325250698E-4</v>
      </c>
      <c r="D47001" s="2">
        <v>3.7642722381910999E-5</v>
      </c>
      <c r="E47001" s="2">
        <v>8.1720078623317706E-5</v>
      </c>
      <c r="F47001" s="2">
        <v>3.0167010967292301E-4</v>
      </c>
    </row>
    <row r="47002" spans="1:6" x14ac:dyDescent="0.25">
      <c r="A47002" s="1" t="str">
        <f t="shared" si="1538"/>
        <v>99999</v>
      </c>
      <c r="B47002" s="1" t="str">
        <f>"97135"</f>
        <v>97135</v>
      </c>
      <c r="C47002" s="2">
        <v>7.6107406062566501E-5</v>
      </c>
      <c r="D47002" s="2">
        <v>1.50570889527644E-6</v>
      </c>
      <c r="E47002" s="2">
        <v>8.6021135392965999E-6</v>
      </c>
      <c r="F47002" s="2">
        <v>6.9669315482199406E-5</v>
      </c>
    </row>
    <row r="47003" spans="1:6" x14ac:dyDescent="0.25">
      <c r="A47003" s="1" t="str">
        <f t="shared" si="1538"/>
        <v>99999</v>
      </c>
      <c r="B47003" s="1" t="str">
        <f>"98640"</f>
        <v>98640</v>
      </c>
      <c r="C47003" s="2">
        <v>3.6440615761962802E-4</v>
      </c>
      <c r="D47003" s="2">
        <v>7.6791153659098402E-5</v>
      </c>
      <c r="E47003" s="2">
        <v>9.0322192162614306E-5</v>
      </c>
      <c r="F47003" s="2">
        <v>3.3926785641331697E-4</v>
      </c>
    </row>
    <row r="47004" spans="1:6" x14ac:dyDescent="0.25">
      <c r="A47004" s="1" t="str">
        <f t="shared" si="1538"/>
        <v>99999</v>
      </c>
      <c r="B47004" s="1" t="str">
        <f>"83522"</f>
        <v>83522</v>
      </c>
      <c r="C47004" s="2">
        <v>6.2899577414439703E-5</v>
      </c>
      <c r="D47004" s="2">
        <v>3.1619886800805203E-5</v>
      </c>
      <c r="E47004" s="2">
        <v>2.23654952021711E-4</v>
      </c>
      <c r="F47004" s="2">
        <v>6.4537864483510502E-5</v>
      </c>
    </row>
    <row r="47005" spans="1:6" x14ac:dyDescent="0.25">
      <c r="A47005" s="1" t="str">
        <f t="shared" si="1538"/>
        <v>99999</v>
      </c>
      <c r="B47005" s="1" t="str">
        <f>"98650"</f>
        <v>98650</v>
      </c>
      <c r="C47005" s="2">
        <v>6.4306968991699194E-5</v>
      </c>
      <c r="D47005" s="2">
        <v>3.01141779055288E-5</v>
      </c>
      <c r="E47005" s="2">
        <v>1.29031703089449E-5</v>
      </c>
      <c r="F47005" s="2">
        <v>6.0886639734443397E-5</v>
      </c>
    </row>
    <row r="47006" spans="1:6" x14ac:dyDescent="0.25">
      <c r="A47006" s="1" t="str">
        <f t="shared" si="1538"/>
        <v>99999</v>
      </c>
      <c r="B47006" s="1" t="str">
        <f>"97721"</f>
        <v>97721</v>
      </c>
      <c r="C47006" s="2">
        <v>1.8187829613813899E-5</v>
      </c>
      <c r="D47006" s="2">
        <v>6.0228355811057601E-6</v>
      </c>
      <c r="E47006" s="2">
        <v>1.16128532780504E-4</v>
      </c>
      <c r="F47006" s="2">
        <v>1.96376682449825E-5</v>
      </c>
    </row>
    <row r="47007" spans="1:6" x14ac:dyDescent="0.25">
      <c r="A47007" s="1" t="str">
        <f t="shared" si="1538"/>
        <v>99999</v>
      </c>
      <c r="B47007" s="1" t="str">
        <f>"97870"</f>
        <v>97870</v>
      </c>
      <c r="C47007" s="2">
        <v>4.3953921566716897E-5</v>
      </c>
      <c r="D47007" s="2">
        <v>4.5171266858293203E-6</v>
      </c>
      <c r="E47007" s="2">
        <v>2.58063406178898E-5</v>
      </c>
      <c r="F47007" s="2">
        <v>4.0952926239536503E-5</v>
      </c>
    </row>
    <row r="47008" spans="1:6" x14ac:dyDescent="0.25">
      <c r="A47008" s="1" t="str">
        <f t="shared" si="1538"/>
        <v>99999</v>
      </c>
      <c r="B47008" s="1" t="str">
        <f>"97846"</f>
        <v>97846</v>
      </c>
      <c r="C47008" s="2">
        <v>1.63906988305442E-4</v>
      </c>
      <c r="D47008" s="2">
        <v>3.7642722381910999E-5</v>
      </c>
      <c r="E47008" s="2">
        <v>2.58063406178898E-5</v>
      </c>
      <c r="F47008" s="2">
        <v>1.5246330371104501E-4</v>
      </c>
    </row>
    <row r="47009" spans="1:6" x14ac:dyDescent="0.25">
      <c r="A47009" s="1" t="str">
        <f t="shared" si="1538"/>
        <v>99999</v>
      </c>
      <c r="B47009" s="1" t="str">
        <f>"97848"</f>
        <v>97848</v>
      </c>
      <c r="C47009" s="2">
        <v>2.2734787017267301E-5</v>
      </c>
      <c r="D47009" s="2">
        <v>1.0539962266935E-5</v>
      </c>
      <c r="E47009" s="2">
        <v>4.3010567696482999E-6</v>
      </c>
      <c r="F47009" s="2">
        <v>2.1512621494503498E-5</v>
      </c>
    </row>
    <row r="47010" spans="1:6" x14ac:dyDescent="0.25">
      <c r="A47010" s="1" t="str">
        <f t="shared" si="1538"/>
        <v>99999</v>
      </c>
      <c r="B47010" s="1" t="str">
        <f>"97864"</f>
        <v>97864</v>
      </c>
      <c r="C47010" s="2">
        <v>2.94469622318891E-5</v>
      </c>
      <c r="D47010" s="2">
        <v>1.50570889527644E-6</v>
      </c>
      <c r="E47010" s="2">
        <v>0</v>
      </c>
      <c r="F47010" s="2">
        <v>2.6940117743116699E-5</v>
      </c>
    </row>
    <row r="47011" spans="1:6" x14ac:dyDescent="0.25">
      <c r="A47011" s="1" t="str">
        <f t="shared" si="1538"/>
        <v>99999</v>
      </c>
      <c r="B47011" s="1" t="str">
        <f>"97107"</f>
        <v>97107</v>
      </c>
      <c r="C47011" s="2">
        <v>1.2547437215720399E-4</v>
      </c>
      <c r="D47011" s="2">
        <v>1.0539962266935E-5</v>
      </c>
      <c r="E47011" s="2">
        <v>3.44084541571864E-5</v>
      </c>
      <c r="F47011" s="2">
        <v>1.15852374470399E-4</v>
      </c>
    </row>
    <row r="47012" spans="1:6" x14ac:dyDescent="0.25">
      <c r="A47012" s="1" t="str">
        <f t="shared" si="1538"/>
        <v>99999</v>
      </c>
      <c r="B47012" s="1" t="str">
        <f>"96910"</f>
        <v>96910</v>
      </c>
      <c r="C47012" s="2">
        <v>2.19228303380792E-4</v>
      </c>
      <c r="D47012" s="2">
        <v>1.56744295998277E-3</v>
      </c>
      <c r="E47012" s="2">
        <v>1.1784895548836299E-3</v>
      </c>
      <c r="F47012" s="2">
        <v>3.2959704491578701E-4</v>
      </c>
    </row>
    <row r="47013" spans="1:6" x14ac:dyDescent="0.25">
      <c r="A47013" s="1" t="str">
        <f t="shared" si="1538"/>
        <v>99999</v>
      </c>
      <c r="B47013" s="1" t="str">
        <f>"96929"</f>
        <v>96929</v>
      </c>
      <c r="C47013" s="2">
        <v>7.6854406207419595E-4</v>
      </c>
      <c r="D47013" s="2">
        <v>1.2286584585455701E-3</v>
      </c>
      <c r="E47013" s="2">
        <v>1.7935406729433401E-3</v>
      </c>
      <c r="F47013" s="2">
        <v>8.2221634078992304E-4</v>
      </c>
    </row>
    <row r="47014" spans="1:6" x14ac:dyDescent="0.25">
      <c r="A47014" s="1" t="str">
        <f t="shared" si="1538"/>
        <v>99999</v>
      </c>
      <c r="B47014" s="1" t="str">
        <f>"98840"</f>
        <v>98840</v>
      </c>
      <c r="C47014" s="2">
        <v>1.7473307736128301E-4</v>
      </c>
      <c r="D47014" s="2">
        <v>1.15939584936285E-4</v>
      </c>
      <c r="E47014" s="2">
        <v>1.93547554634173E-4</v>
      </c>
      <c r="F47014" s="2">
        <v>1.7131151795622899E-4</v>
      </c>
    </row>
    <row r="47015" spans="1:6" x14ac:dyDescent="0.25">
      <c r="A47015" s="1" t="str">
        <f t="shared" si="1538"/>
        <v>99999</v>
      </c>
      <c r="B47015" s="1" t="str">
        <f>"98862"</f>
        <v>98862</v>
      </c>
      <c r="C47015" s="2">
        <v>1.13565674195778E-4</v>
      </c>
      <c r="D47015" s="2">
        <v>4.2159849067740298E-5</v>
      </c>
      <c r="E47015" s="2">
        <v>9.4623248932262599E-5</v>
      </c>
      <c r="F47015" s="2">
        <v>1.0845124322229E-4</v>
      </c>
    </row>
    <row r="47016" spans="1:6" x14ac:dyDescent="0.25">
      <c r="A47016" s="1" t="str">
        <f t="shared" si="1538"/>
        <v>99999</v>
      </c>
      <c r="B47016" s="1" t="str">
        <f>"98586"</f>
        <v>98586</v>
      </c>
      <c r="C47016" s="2">
        <v>2.3492613251176299E-5</v>
      </c>
      <c r="D47016" s="2">
        <v>1.0539962266935E-5</v>
      </c>
      <c r="E47016" s="2">
        <v>8.6021135392965999E-6</v>
      </c>
      <c r="F47016" s="2">
        <v>2.23020754943018E-5</v>
      </c>
    </row>
    <row r="47017" spans="1:6" x14ac:dyDescent="0.25">
      <c r="A47017" s="1" t="str">
        <f t="shared" si="1538"/>
        <v>99999</v>
      </c>
      <c r="B47017" s="1" t="str">
        <f>"98365"</f>
        <v>98365</v>
      </c>
      <c r="C47017" s="2">
        <v>3.7165963728704203E-4</v>
      </c>
      <c r="D47017" s="2">
        <v>2.45430549930059E-4</v>
      </c>
      <c r="E47017" s="2">
        <v>2.8386974679678702E-4</v>
      </c>
      <c r="F47017" s="2">
        <v>3.6137256840766902E-4</v>
      </c>
    </row>
    <row r="47018" spans="1:6" x14ac:dyDescent="0.25">
      <c r="A47018" s="1" t="str">
        <f t="shared" si="1538"/>
        <v>99999</v>
      </c>
      <c r="B47018" s="1" t="str">
        <f>"98368"</f>
        <v>98368</v>
      </c>
      <c r="C47018" s="2">
        <v>1.1423689171724E-3</v>
      </c>
      <c r="D47018" s="2">
        <v>2.0628211865287198E-3</v>
      </c>
      <c r="E47018" s="2">
        <v>1.7462290484772101E-3</v>
      </c>
      <c r="F47018" s="2">
        <v>1.21654861368917E-3</v>
      </c>
    </row>
    <row r="47019" spans="1:6" x14ac:dyDescent="0.25">
      <c r="A47019" s="1" t="str">
        <f t="shared" si="1538"/>
        <v>99999</v>
      </c>
      <c r="B47019" s="1" t="str">
        <f>"98358"</f>
        <v>98358</v>
      </c>
      <c r="C47019" s="2">
        <v>5.7053489324285298E-5</v>
      </c>
      <c r="D47019" s="2">
        <v>1.20456711622115E-5</v>
      </c>
      <c r="E47019" s="2">
        <v>0</v>
      </c>
      <c r="F47019" s="2">
        <v>5.2794736236510901E-5</v>
      </c>
    </row>
    <row r="47020" spans="1:6" x14ac:dyDescent="0.25">
      <c r="A47020" s="1" t="str">
        <f t="shared" si="1538"/>
        <v>99999</v>
      </c>
      <c r="B47020" s="1" t="str">
        <f>"83553"</f>
        <v>83553</v>
      </c>
      <c r="C47020" s="2">
        <v>3.4210441416459502E-5</v>
      </c>
      <c r="D47020" s="2">
        <v>4.5171266858293203E-6</v>
      </c>
      <c r="E47020" s="2">
        <v>3.44084541571864E-5</v>
      </c>
      <c r="F47020" s="2">
        <v>3.2268932241755197E-5</v>
      </c>
    </row>
    <row r="47021" spans="1:6" x14ac:dyDescent="0.25">
      <c r="A47021" s="1" t="str">
        <f t="shared" si="1538"/>
        <v>99999</v>
      </c>
      <c r="B47021" s="1" t="str">
        <f>"83837"</f>
        <v>83837</v>
      </c>
      <c r="C47021" s="2">
        <v>2.6513092097756101E-4</v>
      </c>
      <c r="D47021" s="2">
        <v>4.7279259311680202E-4</v>
      </c>
      <c r="E47021" s="2">
        <v>5.6773949359357502E-4</v>
      </c>
      <c r="F47021" s="2">
        <v>2.8568366617700701E-4</v>
      </c>
    </row>
    <row r="47022" spans="1:6" x14ac:dyDescent="0.25">
      <c r="A47022" s="1" t="str">
        <f t="shared" si="1538"/>
        <v>99999</v>
      </c>
      <c r="B47022" s="1" t="str">
        <f>"83851"</f>
        <v>83851</v>
      </c>
      <c r="C47022" s="2">
        <v>5.5429575965909E-5</v>
      </c>
      <c r="D47022" s="2">
        <v>5.2699811334675399E-5</v>
      </c>
      <c r="E47022" s="2">
        <v>1.16128532780504E-4</v>
      </c>
      <c r="F47022" s="2">
        <v>5.6643324485527599E-5</v>
      </c>
    </row>
    <row r="47023" spans="1:6" x14ac:dyDescent="0.25">
      <c r="A47023" s="1" t="str">
        <f t="shared" si="1538"/>
        <v>99999</v>
      </c>
      <c r="B47023" s="1" t="str">
        <f>"83536"</f>
        <v>83536</v>
      </c>
      <c r="C47023" s="2">
        <v>1.6975307639559601E-4</v>
      </c>
      <c r="D47023" s="2">
        <v>7.3779735868545501E-5</v>
      </c>
      <c r="E47023" s="2">
        <v>9.8924305701910905E-5</v>
      </c>
      <c r="F47023" s="2">
        <v>1.6183806995864999E-4</v>
      </c>
    </row>
    <row r="47024" spans="1:6" x14ac:dyDescent="0.25">
      <c r="A47024" s="1" t="str">
        <f t="shared" si="1538"/>
        <v>99999</v>
      </c>
      <c r="B47024" s="1" t="str">
        <f>"83824"</f>
        <v>83824</v>
      </c>
      <c r="C47024" s="2">
        <v>9.2021756974653701E-6</v>
      </c>
      <c r="D47024" s="2">
        <v>0</v>
      </c>
      <c r="E47024" s="2">
        <v>4.3010567696482999E-5</v>
      </c>
      <c r="F47024" s="2">
        <v>9.3747662476047397E-6</v>
      </c>
    </row>
    <row r="47025" spans="1:6" x14ac:dyDescent="0.25">
      <c r="A47025" s="1" t="str">
        <f t="shared" si="1538"/>
        <v>99999</v>
      </c>
      <c r="B47025" s="1" t="str">
        <f>"99009"</f>
        <v>99009</v>
      </c>
      <c r="C47025" s="2">
        <v>3.9623485944380299E-5</v>
      </c>
      <c r="D47025" s="2">
        <v>2.1079924533870101E-5</v>
      </c>
      <c r="E47025" s="2">
        <v>1.72042270785932E-5</v>
      </c>
      <c r="F47025" s="2">
        <v>3.7893791990318099E-5</v>
      </c>
    </row>
    <row r="47026" spans="1:6" x14ac:dyDescent="0.25">
      <c r="A47026" s="1" t="str">
        <f t="shared" si="1538"/>
        <v>99999</v>
      </c>
      <c r="B47026" s="1" t="str">
        <f>"99119"</f>
        <v>99119</v>
      </c>
      <c r="C47026" s="2">
        <v>7.8705667435968499E-5</v>
      </c>
      <c r="D47026" s="2">
        <v>3.9148431277187403E-5</v>
      </c>
      <c r="E47026" s="2">
        <v>4.7311624466131299E-5</v>
      </c>
      <c r="F47026" s="2">
        <v>7.5392856980737106E-5</v>
      </c>
    </row>
    <row r="47027" spans="1:6" x14ac:dyDescent="0.25">
      <c r="A47027" s="1" t="str">
        <f t="shared" si="1538"/>
        <v>99999</v>
      </c>
      <c r="B47027" s="1" t="str">
        <f>"99835"</f>
        <v>99835</v>
      </c>
      <c r="C47027" s="2">
        <v>4.3293530134310597E-4</v>
      </c>
      <c r="D47027" s="2">
        <v>8.7331115926033505E-4</v>
      </c>
      <c r="E47027" s="2">
        <v>1.638702629236E-3</v>
      </c>
      <c r="F47027" s="2">
        <v>4.8946147987494204E-4</v>
      </c>
    </row>
    <row r="47028" spans="1:6" x14ac:dyDescent="0.25">
      <c r="A47028" s="1" t="str">
        <f t="shared" si="1538"/>
        <v>99999</v>
      </c>
      <c r="B47028" s="1" t="str">
        <f>"04773"</f>
        <v>04773</v>
      </c>
      <c r="C47028" s="2">
        <v>4.4170443347833698E-5</v>
      </c>
      <c r="D47028" s="2">
        <v>6.0228355811057601E-6</v>
      </c>
      <c r="E47028" s="2">
        <v>4.3010567696482999E-5</v>
      </c>
      <c r="F47028" s="2">
        <v>4.1643698489360001E-5</v>
      </c>
    </row>
    <row r="47029" spans="1:6" x14ac:dyDescent="0.25">
      <c r="A47029" s="1" t="str">
        <f t="shared" si="1538"/>
        <v>99999</v>
      </c>
      <c r="B47029" s="1" t="str">
        <f>"04650"</f>
        <v>04650</v>
      </c>
      <c r="C47029" s="2">
        <v>2.1219134549449501E-5</v>
      </c>
      <c r="D47029" s="2">
        <v>3.01141779055288E-6</v>
      </c>
      <c r="E47029" s="2">
        <v>8.6021135392965999E-6</v>
      </c>
      <c r="F47029" s="2">
        <v>1.9736349994957301E-5</v>
      </c>
    </row>
    <row r="47030" spans="1:6" x14ac:dyDescent="0.25">
      <c r="A47030" s="1" t="str">
        <f t="shared" si="1538"/>
        <v>99999</v>
      </c>
      <c r="B47030" s="1" t="str">
        <f>"04648"</f>
        <v>04648</v>
      </c>
      <c r="C47030" s="2">
        <v>3.0529571137473299E-5</v>
      </c>
      <c r="D47030" s="2">
        <v>7.5285444763821999E-6</v>
      </c>
      <c r="E47030" s="2">
        <v>3.01073973875381E-5</v>
      </c>
      <c r="F47030" s="2">
        <v>2.9012434492587301E-5</v>
      </c>
    </row>
    <row r="47031" spans="1:6" x14ac:dyDescent="0.25">
      <c r="A47031" s="1" t="str">
        <f t="shared" si="1538"/>
        <v>99999</v>
      </c>
      <c r="B47031" s="1" t="str">
        <f>"05351"</f>
        <v>05351</v>
      </c>
      <c r="C47031" s="2">
        <v>1.50482637876198E-5</v>
      </c>
      <c r="D47031" s="2">
        <v>4.5171266858293203E-6</v>
      </c>
      <c r="E47031" s="2">
        <v>4.3010567696482999E-6</v>
      </c>
      <c r="F47031" s="2">
        <v>1.41114902463945E-5</v>
      </c>
    </row>
    <row r="47032" spans="1:6" x14ac:dyDescent="0.25">
      <c r="A47032" s="1" t="str">
        <f t="shared" si="1538"/>
        <v>99999</v>
      </c>
      <c r="B47032" s="1" t="str">
        <f>"12405"</f>
        <v>12405</v>
      </c>
      <c r="C47032" s="2">
        <v>3.4643484978693103E-5</v>
      </c>
      <c r="D47032" s="2">
        <v>6.0228355811057601E-6</v>
      </c>
      <c r="E47032" s="2">
        <v>6.0214794775076199E-5</v>
      </c>
      <c r="F47032" s="2">
        <v>3.3354431491477903E-5</v>
      </c>
    </row>
    <row r="47033" spans="1:6" x14ac:dyDescent="0.25">
      <c r="A47033" s="1" t="str">
        <f t="shared" si="1538"/>
        <v>99999</v>
      </c>
      <c r="B47033" s="1" t="str">
        <f>"12763"</f>
        <v>12763</v>
      </c>
      <c r="C47033" s="2">
        <v>3.4860006759809999E-5</v>
      </c>
      <c r="D47033" s="2">
        <v>1.35513800574879E-5</v>
      </c>
      <c r="E47033" s="2">
        <v>3.44084541571864E-5</v>
      </c>
      <c r="F47033" s="2">
        <v>3.34531132414527E-5</v>
      </c>
    </row>
    <row r="47034" spans="1:6" x14ac:dyDescent="0.25">
      <c r="A47034" s="1" t="str">
        <f t="shared" si="1538"/>
        <v>99999</v>
      </c>
      <c r="B47034" s="1" t="str">
        <f>"12719"</f>
        <v>12719</v>
      </c>
      <c r="C47034" s="2">
        <v>6.1708707618297195E-5</v>
      </c>
      <c r="D47034" s="2">
        <v>4.5171266858293199E-5</v>
      </c>
      <c r="E47034" s="2">
        <v>4.3010567696482999E-6</v>
      </c>
      <c r="F47034" s="2">
        <v>5.9307731734846801E-5</v>
      </c>
    </row>
    <row r="47035" spans="1:6" x14ac:dyDescent="0.25">
      <c r="A47035" s="1" t="str">
        <f t="shared" si="1538"/>
        <v>99999</v>
      </c>
      <c r="B47035" s="1" t="str">
        <f>"15310"</f>
        <v>15310</v>
      </c>
      <c r="C47035" s="2">
        <v>1.7213481598788101E-5</v>
      </c>
      <c r="D47035" s="2">
        <v>9.0342533716586405E-6</v>
      </c>
      <c r="E47035" s="2">
        <v>0</v>
      </c>
      <c r="F47035" s="2">
        <v>1.6282488745839801E-5</v>
      </c>
    </row>
    <row r="47036" spans="1:6" x14ac:dyDescent="0.25">
      <c r="A47036" s="1" t="str">
        <f t="shared" si="1538"/>
        <v>99999</v>
      </c>
      <c r="B47036" s="1" t="str">
        <f>"16332"</f>
        <v>16332</v>
      </c>
      <c r="C47036" s="2">
        <v>8.2278276824396208E-6</v>
      </c>
      <c r="D47036" s="2">
        <v>0</v>
      </c>
      <c r="E47036" s="2">
        <v>3.01073973875381E-5</v>
      </c>
      <c r="F47036" s="2">
        <v>8.1905852479073005E-6</v>
      </c>
    </row>
    <row r="47037" spans="1:6" x14ac:dyDescent="0.25">
      <c r="A47037" s="1" t="str">
        <f t="shared" si="1538"/>
        <v>99999</v>
      </c>
      <c r="B47037" s="1" t="str">
        <f>"16679"</f>
        <v>16679</v>
      </c>
      <c r="C47037" s="2">
        <v>3.2153484495849597E-5</v>
      </c>
      <c r="D47037" s="2">
        <v>4.5171266858293203E-6</v>
      </c>
      <c r="E47037" s="2">
        <v>0</v>
      </c>
      <c r="F47037" s="2">
        <v>2.9604524992435998E-5</v>
      </c>
    </row>
    <row r="47038" spans="1:6" x14ac:dyDescent="0.25">
      <c r="A47038" s="1" t="str">
        <f t="shared" si="1538"/>
        <v>99999</v>
      </c>
      <c r="B47038" s="1" t="str">
        <f>"16659"</f>
        <v>16659</v>
      </c>
      <c r="C47038" s="2">
        <v>1.6022611802645498E-5</v>
      </c>
      <c r="D47038" s="2">
        <v>3.4631304591358098E-5</v>
      </c>
      <c r="E47038" s="2">
        <v>0</v>
      </c>
      <c r="F47038" s="2">
        <v>1.6874579245688502E-5</v>
      </c>
    </row>
    <row r="47039" spans="1:6" x14ac:dyDescent="0.25">
      <c r="A47039" s="1" t="str">
        <f t="shared" si="1538"/>
        <v>99999</v>
      </c>
      <c r="B47039" s="1" t="str">
        <f>"16941"</f>
        <v>16941</v>
      </c>
      <c r="C47039" s="2">
        <v>3.5726093884277301E-6</v>
      </c>
      <c r="D47039" s="2">
        <v>4.5171266858293203E-6</v>
      </c>
      <c r="E47039" s="2">
        <v>4.3010567696482999E-6</v>
      </c>
      <c r="F47039" s="2">
        <v>3.6512247490671102E-6</v>
      </c>
    </row>
    <row r="47040" spans="1:6" x14ac:dyDescent="0.25">
      <c r="A47040" s="1" t="str">
        <f t="shared" si="1538"/>
        <v>99999</v>
      </c>
      <c r="B47040" s="1" t="str">
        <f>"21678"</f>
        <v>21678</v>
      </c>
      <c r="C47040" s="2">
        <v>1.1822089248979E-4</v>
      </c>
      <c r="D47040" s="2">
        <v>3.31255956960816E-5</v>
      </c>
      <c r="E47040" s="2">
        <v>1.72042270785932E-5</v>
      </c>
      <c r="F47040" s="2">
        <v>1.10326196471811E-4</v>
      </c>
    </row>
    <row r="47041" spans="1:6" x14ac:dyDescent="0.25">
      <c r="A47041" s="1" t="str">
        <f t="shared" si="1538"/>
        <v>99999</v>
      </c>
      <c r="B47041" s="1" t="str">
        <f>"23148"</f>
        <v>23148</v>
      </c>
      <c r="C47041" s="2">
        <v>7.5782623390891297E-6</v>
      </c>
      <c r="D47041" s="2">
        <v>0</v>
      </c>
      <c r="E47041" s="2">
        <v>0</v>
      </c>
      <c r="F47041" s="2">
        <v>6.9077224982350703E-6</v>
      </c>
    </row>
    <row r="47042" spans="1:6" x14ac:dyDescent="0.25">
      <c r="A47042" s="1" t="str">
        <f t="shared" si="1538"/>
        <v>99999</v>
      </c>
      <c r="B47042" s="1" t="str">
        <f>"23395"</f>
        <v>23395</v>
      </c>
      <c r="C47042" s="2">
        <v>4.7634791845703099E-6</v>
      </c>
      <c r="D47042" s="2">
        <v>3.01141779055288E-6</v>
      </c>
      <c r="E47042" s="2">
        <v>0</v>
      </c>
      <c r="F47042" s="2">
        <v>4.5393604988401904E-6</v>
      </c>
    </row>
    <row r="47043" spans="1:6" x14ac:dyDescent="0.25">
      <c r="A47043" s="1" t="str">
        <f t="shared" si="1538"/>
        <v>99999</v>
      </c>
      <c r="B47043" s="1" t="str">
        <f>"24088"</f>
        <v>24088</v>
      </c>
      <c r="C47043" s="2">
        <v>1.3749133100918801E-5</v>
      </c>
      <c r="D47043" s="2">
        <v>4.5171266858293203E-6</v>
      </c>
      <c r="E47043" s="2">
        <v>0</v>
      </c>
      <c r="F47043" s="2">
        <v>1.2828627496722201E-5</v>
      </c>
    </row>
    <row r="47044" spans="1:6" x14ac:dyDescent="0.25">
      <c r="A47044" s="1" t="str">
        <f t="shared" si="1538"/>
        <v>99999</v>
      </c>
      <c r="B47044" s="1" t="str">
        <f>"24282"</f>
        <v>24282</v>
      </c>
      <c r="C47044" s="2">
        <v>2.4575222156760399E-5</v>
      </c>
      <c r="D47044" s="2">
        <v>4.5171266858293203E-6</v>
      </c>
      <c r="E47044" s="2">
        <v>0</v>
      </c>
      <c r="F47044" s="2">
        <v>2.26968024942009E-5</v>
      </c>
    </row>
    <row r="47045" spans="1:6" x14ac:dyDescent="0.25">
      <c r="A47045" s="1" t="str">
        <f t="shared" si="1538"/>
        <v>99999</v>
      </c>
      <c r="B47045" s="1" t="str">
        <f>"24985"</f>
        <v>24985</v>
      </c>
      <c r="C47045" s="2">
        <v>3.2261745386408E-5</v>
      </c>
      <c r="D47045" s="2">
        <v>1.50570889527644E-6</v>
      </c>
      <c r="E47045" s="2">
        <v>0</v>
      </c>
      <c r="F47045" s="2">
        <v>2.9505843242461201E-5</v>
      </c>
    </row>
    <row r="47046" spans="1:6" x14ac:dyDescent="0.25">
      <c r="A47046" s="1" t="str">
        <f t="shared" ref="A47046:A47109" si="1539">"99999"</f>
        <v>99999</v>
      </c>
      <c r="B47046" s="1" t="str">
        <f>"25164"</f>
        <v>25164</v>
      </c>
      <c r="C47046" s="2">
        <v>1.24500024142178E-5</v>
      </c>
      <c r="D47046" s="2">
        <v>0</v>
      </c>
      <c r="E47046" s="2">
        <v>0</v>
      </c>
      <c r="F47046" s="2">
        <v>1.1348401247100399E-5</v>
      </c>
    </row>
    <row r="47047" spans="1:6" x14ac:dyDescent="0.25">
      <c r="A47047" s="1" t="str">
        <f t="shared" si="1539"/>
        <v>99999</v>
      </c>
      <c r="B47047" s="1" t="str">
        <f>"24828"</f>
        <v>24828</v>
      </c>
      <c r="C47047" s="2">
        <v>3.2478267167524801E-5</v>
      </c>
      <c r="D47047" s="2">
        <v>3.01141779055288E-6</v>
      </c>
      <c r="E47047" s="2">
        <v>0</v>
      </c>
      <c r="F47047" s="2">
        <v>2.9801888492385599E-5</v>
      </c>
    </row>
    <row r="47048" spans="1:6" x14ac:dyDescent="0.25">
      <c r="A47048" s="1" t="str">
        <f t="shared" si="1539"/>
        <v>99999</v>
      </c>
      <c r="B47048" s="1" t="str">
        <f>"25674"</f>
        <v>25674</v>
      </c>
      <c r="C47048" s="2">
        <v>2.5333048390669299E-5</v>
      </c>
      <c r="D47048" s="2">
        <v>1.50570889527644E-6</v>
      </c>
      <c r="E47048" s="2">
        <v>4.3010567696482999E-6</v>
      </c>
      <c r="F47048" s="2">
        <v>2.3288892994049601E-5</v>
      </c>
    </row>
    <row r="47049" spans="1:6" x14ac:dyDescent="0.25">
      <c r="A47049" s="1" t="str">
        <f t="shared" si="1539"/>
        <v>99999</v>
      </c>
      <c r="B47049" s="1" t="str">
        <f>"25651"</f>
        <v>25651</v>
      </c>
      <c r="C47049" s="2">
        <v>4.08143557405228E-5</v>
      </c>
      <c r="D47049" s="2">
        <v>1.20456711622115E-5</v>
      </c>
      <c r="E47049" s="2">
        <v>0</v>
      </c>
      <c r="F47049" s="2">
        <v>3.7992473740292903E-5</v>
      </c>
    </row>
    <row r="47050" spans="1:6" x14ac:dyDescent="0.25">
      <c r="A47050" s="1" t="str">
        <f t="shared" si="1539"/>
        <v>99999</v>
      </c>
      <c r="B47050" s="1" t="str">
        <f>"26267"</f>
        <v>26267</v>
      </c>
      <c r="C47050" s="2">
        <v>2.3384352360617801E-5</v>
      </c>
      <c r="D47050" s="2">
        <v>1.0539962266935E-5</v>
      </c>
      <c r="E47050" s="2">
        <v>0</v>
      </c>
      <c r="F47050" s="2">
        <v>2.2006030244377399E-5</v>
      </c>
    </row>
    <row r="47051" spans="1:6" x14ac:dyDescent="0.25">
      <c r="A47051" s="1" t="str">
        <f t="shared" si="1539"/>
        <v>99999</v>
      </c>
      <c r="B47051" s="1" t="str">
        <f>"26282"</f>
        <v>26282</v>
      </c>
      <c r="C47051" s="2">
        <v>1.29913068670099E-6</v>
      </c>
      <c r="D47051" s="2">
        <v>0</v>
      </c>
      <c r="E47051" s="2">
        <v>0</v>
      </c>
      <c r="F47051" s="2">
        <v>1.18418099969744E-6</v>
      </c>
    </row>
    <row r="47052" spans="1:6" x14ac:dyDescent="0.25">
      <c r="A47052" s="1" t="str">
        <f t="shared" si="1539"/>
        <v>99999</v>
      </c>
      <c r="B47052" s="1" t="str">
        <f>"26292"</f>
        <v>26292</v>
      </c>
      <c r="C47052" s="2">
        <v>4.1247399302756502E-5</v>
      </c>
      <c r="D47052" s="2">
        <v>4.2159849067740298E-5</v>
      </c>
      <c r="E47052" s="2">
        <v>0</v>
      </c>
      <c r="F47052" s="2">
        <v>4.0360835739687802E-5</v>
      </c>
    </row>
    <row r="47053" spans="1:6" x14ac:dyDescent="0.25">
      <c r="A47053" s="1" t="str">
        <f t="shared" si="1539"/>
        <v>99999</v>
      </c>
      <c r="B47053" s="1" t="str">
        <f>"25985"</f>
        <v>25985</v>
      </c>
      <c r="C47053" s="2">
        <v>1.9703482081631699E-5</v>
      </c>
      <c r="D47053" s="2">
        <v>3.01141779055288E-6</v>
      </c>
      <c r="E47053" s="2">
        <v>0</v>
      </c>
      <c r="F47053" s="2">
        <v>1.81574419953607E-5</v>
      </c>
    </row>
    <row r="47054" spans="1:6" x14ac:dyDescent="0.25">
      <c r="A47054" s="1" t="str">
        <f t="shared" si="1539"/>
        <v>99999</v>
      </c>
      <c r="B47054" s="1" t="str">
        <f>"26676"</f>
        <v>26676</v>
      </c>
      <c r="C47054" s="2">
        <v>1.50482637876198E-5</v>
      </c>
      <c r="D47054" s="2">
        <v>0</v>
      </c>
      <c r="E47054" s="2">
        <v>4.3010567696482999E-6</v>
      </c>
      <c r="F47054" s="2">
        <v>1.38154449964701E-5</v>
      </c>
    </row>
    <row r="47055" spans="1:6" x14ac:dyDescent="0.25">
      <c r="A47055" s="1" t="str">
        <f t="shared" si="1539"/>
        <v>99999</v>
      </c>
      <c r="B47055" s="1" t="str">
        <f>"26660"</f>
        <v>26660</v>
      </c>
      <c r="C47055" s="2">
        <v>1.15839152897505E-5</v>
      </c>
      <c r="D47055" s="2">
        <v>4.5171266858293203E-6</v>
      </c>
      <c r="E47055" s="2">
        <v>4.3010567696482999E-6</v>
      </c>
      <c r="F47055" s="2">
        <v>1.0953674247201299E-5</v>
      </c>
    </row>
    <row r="47056" spans="1:6" x14ac:dyDescent="0.25">
      <c r="A47056" s="1" t="str">
        <f t="shared" si="1539"/>
        <v>99999</v>
      </c>
      <c r="B47056" s="1" t="str">
        <f>"26707"</f>
        <v>26707</v>
      </c>
      <c r="C47056" s="2">
        <v>1.08260890558416E-7</v>
      </c>
      <c r="D47056" s="2">
        <v>1.50570889527644E-6</v>
      </c>
      <c r="E47056" s="2">
        <v>0</v>
      </c>
      <c r="F47056" s="2">
        <v>1.9736349994957301E-7</v>
      </c>
    </row>
    <row r="47057" spans="1:6" x14ac:dyDescent="0.25">
      <c r="A47057" s="1" t="str">
        <f t="shared" si="1539"/>
        <v>99999</v>
      </c>
      <c r="B47057" s="1" t="str">
        <f>"28384"</f>
        <v>28384</v>
      </c>
      <c r="C47057" s="2">
        <v>4.3953921566716897E-5</v>
      </c>
      <c r="D47057" s="2">
        <v>1.0539962266935E-5</v>
      </c>
      <c r="E47057" s="2">
        <v>8.6021135392965999E-6</v>
      </c>
      <c r="F47057" s="2">
        <v>4.0952926239536503E-5</v>
      </c>
    </row>
    <row r="47058" spans="1:6" x14ac:dyDescent="0.25">
      <c r="A47058" s="1" t="str">
        <f t="shared" si="1539"/>
        <v>99999</v>
      </c>
      <c r="B47058" s="1" t="str">
        <f>"28530"</f>
        <v>28530</v>
      </c>
      <c r="C47058" s="2">
        <v>1.3640872210360401E-5</v>
      </c>
      <c r="D47058" s="2">
        <v>0</v>
      </c>
      <c r="E47058" s="2">
        <v>0</v>
      </c>
      <c r="F47058" s="2">
        <v>1.2433900496823101E-5</v>
      </c>
    </row>
    <row r="47059" spans="1:6" x14ac:dyDescent="0.25">
      <c r="A47059" s="1" t="str">
        <f t="shared" si="1539"/>
        <v>99999</v>
      </c>
      <c r="B47059" s="1" t="str">
        <f>"28551"</f>
        <v>28551</v>
      </c>
      <c r="C47059" s="2">
        <v>4.91504443135209E-5</v>
      </c>
      <c r="D47059" s="2">
        <v>1.9574215638593701E-5</v>
      </c>
      <c r="E47059" s="2">
        <v>0</v>
      </c>
      <c r="F47059" s="2">
        <v>4.60843772382254E-5</v>
      </c>
    </row>
    <row r="47060" spans="1:6" x14ac:dyDescent="0.25">
      <c r="A47060" s="1" t="str">
        <f t="shared" si="1539"/>
        <v>99999</v>
      </c>
      <c r="B47060" s="1" t="str">
        <f>"29543"</f>
        <v>29543</v>
      </c>
      <c r="C47060" s="2">
        <v>3.1070875590265398E-5</v>
      </c>
      <c r="D47060" s="2">
        <v>6.0228355811057601E-6</v>
      </c>
      <c r="E47060" s="2">
        <v>0</v>
      </c>
      <c r="F47060" s="2">
        <v>2.87163892426629E-5</v>
      </c>
    </row>
    <row r="47061" spans="1:6" x14ac:dyDescent="0.25">
      <c r="A47061" s="1" t="str">
        <f t="shared" si="1539"/>
        <v>99999</v>
      </c>
      <c r="B47061" s="1" t="str">
        <f>"30538"</f>
        <v>30538</v>
      </c>
      <c r="C47061" s="2">
        <v>7.47000144853071E-6</v>
      </c>
      <c r="D47061" s="2">
        <v>0</v>
      </c>
      <c r="E47061" s="2">
        <v>0</v>
      </c>
      <c r="F47061" s="2">
        <v>6.8090407482602902E-6</v>
      </c>
    </row>
    <row r="47062" spans="1:6" x14ac:dyDescent="0.25">
      <c r="A47062" s="1" t="str">
        <f t="shared" si="1539"/>
        <v>99999</v>
      </c>
      <c r="B47062" s="1" t="str">
        <f>"30425"</f>
        <v>30425</v>
      </c>
      <c r="C47062" s="2">
        <v>5.9543489807128798E-5</v>
      </c>
      <c r="D47062" s="2">
        <v>2.1079924533870101E-5</v>
      </c>
      <c r="E47062" s="2">
        <v>0</v>
      </c>
      <c r="F47062" s="2">
        <v>5.5656506985779703E-5</v>
      </c>
    </row>
    <row r="47063" spans="1:6" x14ac:dyDescent="0.25">
      <c r="A47063" s="1" t="str">
        <f t="shared" si="1539"/>
        <v>99999</v>
      </c>
      <c r="B47063" s="1" t="str">
        <f>"31623"</f>
        <v>31623</v>
      </c>
      <c r="C47063" s="2">
        <v>3.2478267167524802E-7</v>
      </c>
      <c r="D47063" s="2">
        <v>1.50570889527644E-6</v>
      </c>
      <c r="E47063" s="2">
        <v>0</v>
      </c>
      <c r="F47063" s="2">
        <v>3.9472699989914697E-7</v>
      </c>
    </row>
    <row r="47064" spans="1:6" x14ac:dyDescent="0.25">
      <c r="A47064" s="1" t="str">
        <f t="shared" si="1539"/>
        <v>99999</v>
      </c>
      <c r="B47064" s="1" t="str">
        <f>"31631"</f>
        <v>31631</v>
      </c>
      <c r="C47064" s="2">
        <v>2.0461308315540598E-5</v>
      </c>
      <c r="D47064" s="2">
        <v>1.65627978480408E-5</v>
      </c>
      <c r="E47064" s="2">
        <v>4.3010567696482999E-6</v>
      </c>
      <c r="F47064" s="2">
        <v>1.9835031744932101E-5</v>
      </c>
    </row>
    <row r="47065" spans="1:6" x14ac:dyDescent="0.25">
      <c r="A47065" s="1" t="str">
        <f t="shared" si="1539"/>
        <v>99999</v>
      </c>
      <c r="B47065" s="1" t="str">
        <f>"79241"</f>
        <v>79241</v>
      </c>
      <c r="C47065" s="2">
        <v>6.3765664538907094E-5</v>
      </c>
      <c r="D47065" s="2">
        <v>5.5711229125228301E-5</v>
      </c>
      <c r="E47065" s="2">
        <v>1.29031703089449E-5</v>
      </c>
      <c r="F47065" s="2">
        <v>6.2070820734140894E-5</v>
      </c>
    </row>
    <row r="47066" spans="1:6" x14ac:dyDescent="0.25">
      <c r="A47066" s="1" t="str">
        <f t="shared" si="1539"/>
        <v>99999</v>
      </c>
      <c r="B47066" s="1" t="str">
        <f>"76943"</f>
        <v>76943</v>
      </c>
      <c r="C47066" s="2">
        <v>1.5373046459294999E-5</v>
      </c>
      <c r="D47066" s="2">
        <v>1.0539962266935E-5</v>
      </c>
      <c r="E47066" s="2">
        <v>2.15052838482415E-5</v>
      </c>
      <c r="F47066" s="2">
        <v>1.5196989496117099E-5</v>
      </c>
    </row>
    <row r="47067" spans="1:6" x14ac:dyDescent="0.25">
      <c r="A47067" s="1" t="str">
        <f t="shared" si="1539"/>
        <v>99999</v>
      </c>
      <c r="B47067" s="1" t="str">
        <f>"79313"</f>
        <v>79313</v>
      </c>
      <c r="C47067" s="2">
        <v>5.5213054184792198E-6</v>
      </c>
      <c r="D47067" s="2">
        <v>0</v>
      </c>
      <c r="E47067" s="2">
        <v>2.15052838482415E-5</v>
      </c>
      <c r="F47067" s="2">
        <v>5.52617799858806E-6</v>
      </c>
    </row>
    <row r="47068" spans="1:6" x14ac:dyDescent="0.25">
      <c r="A47068" s="1" t="str">
        <f t="shared" si="1539"/>
        <v>99999</v>
      </c>
      <c r="B47068" s="1" t="str">
        <f>"76228"</f>
        <v>76228</v>
      </c>
      <c r="C47068" s="2">
        <v>1.0284784603049499E-5</v>
      </c>
      <c r="D47068" s="2">
        <v>0</v>
      </c>
      <c r="E47068" s="2">
        <v>0</v>
      </c>
      <c r="F47068" s="2">
        <v>9.3747662476047397E-6</v>
      </c>
    </row>
    <row r="47069" spans="1:6" x14ac:dyDescent="0.25">
      <c r="A47069" s="1" t="str">
        <f t="shared" si="1539"/>
        <v>99999</v>
      </c>
      <c r="B47069" s="1" t="str">
        <f>"75972"</f>
        <v>75972</v>
      </c>
      <c r="C47069" s="2">
        <v>5.2441575386496695E-4</v>
      </c>
      <c r="D47069" s="2">
        <v>5.3151524003258298E-4</v>
      </c>
      <c r="E47069" s="2">
        <v>2.5806340617889802E-4</v>
      </c>
      <c r="F47069" s="2">
        <v>5.1876995961745395E-4</v>
      </c>
    </row>
    <row r="47070" spans="1:6" x14ac:dyDescent="0.25">
      <c r="A47070" s="1" t="str">
        <f t="shared" si="1539"/>
        <v>99999</v>
      </c>
      <c r="B47070" s="1" t="str">
        <f>"75831"</f>
        <v>75831</v>
      </c>
      <c r="C47070" s="2">
        <v>2.18253955365766E-4</v>
      </c>
      <c r="D47070" s="2">
        <v>1.15939584936285E-4</v>
      </c>
      <c r="E47070" s="2">
        <v>4.7311624466131299E-5</v>
      </c>
      <c r="F47070" s="2">
        <v>2.0762640194695099E-4</v>
      </c>
    </row>
    <row r="47071" spans="1:6" x14ac:dyDescent="0.25">
      <c r="A47071" s="1" t="str">
        <f t="shared" si="1539"/>
        <v>99999</v>
      </c>
      <c r="B47071" s="1" t="str">
        <f>"75929"</f>
        <v>75929</v>
      </c>
      <c r="C47071" s="2">
        <v>1.7430003379904999E-4</v>
      </c>
      <c r="D47071" s="2">
        <v>4.5171266858293199E-5</v>
      </c>
      <c r="E47071" s="2">
        <v>3.8709510926834699E-5</v>
      </c>
      <c r="F47071" s="2">
        <v>1.6272620570842301E-4</v>
      </c>
    </row>
    <row r="47072" spans="1:6" x14ac:dyDescent="0.25">
      <c r="A47072" s="1" t="str">
        <f t="shared" si="1539"/>
        <v>99999</v>
      </c>
      <c r="B47072" s="1" t="str">
        <f>"75954"</f>
        <v>75954</v>
      </c>
      <c r="C47072" s="2">
        <v>1.7419177290849101E-4</v>
      </c>
      <c r="D47072" s="2">
        <v>7.2274026973269097E-5</v>
      </c>
      <c r="E47072" s="2">
        <v>2.0774104197401298E-3</v>
      </c>
      <c r="F47072" s="2">
        <v>2.1117894494604301E-4</v>
      </c>
    </row>
    <row r="47073" spans="1:6" x14ac:dyDescent="0.25">
      <c r="A47073" s="1" t="str">
        <f t="shared" si="1539"/>
        <v>99999</v>
      </c>
      <c r="B47073" s="1" t="str">
        <f>"75959"</f>
        <v>75959</v>
      </c>
      <c r="C47073" s="2">
        <v>1.10534369260142E-4</v>
      </c>
      <c r="D47073" s="2">
        <v>4.8182684648845999E-5</v>
      </c>
      <c r="E47073" s="2">
        <v>1.29031703089449E-5</v>
      </c>
      <c r="F47073" s="2">
        <v>1.0420792797337401E-4</v>
      </c>
    </row>
    <row r="47074" spans="1:6" x14ac:dyDescent="0.25">
      <c r="A47074" s="1" t="str">
        <f t="shared" si="1539"/>
        <v>99999</v>
      </c>
      <c r="B47074" s="1" t="str">
        <f>"77360"</f>
        <v>77360</v>
      </c>
      <c r="C47074" s="2">
        <v>2.8775744710426998E-4</v>
      </c>
      <c r="D47074" s="2">
        <v>9.0342533716586399E-5</v>
      </c>
      <c r="E47074" s="2">
        <v>5.1612681235779599E-5</v>
      </c>
      <c r="F47074" s="2">
        <v>2.6940117743116699E-4</v>
      </c>
    </row>
    <row r="47075" spans="1:6" x14ac:dyDescent="0.25">
      <c r="A47075" s="1" t="str">
        <f t="shared" si="1539"/>
        <v>99999</v>
      </c>
      <c r="B47075" s="1" t="str">
        <f>"77371"</f>
        <v>77371</v>
      </c>
      <c r="C47075" s="2">
        <v>3.66896158102472E-4</v>
      </c>
      <c r="D47075" s="2">
        <v>1.8068506743317201E-4</v>
      </c>
      <c r="E47075" s="2">
        <v>8.6021135392965999E-5</v>
      </c>
      <c r="F47075" s="2">
        <v>3.4824789566102201E-4</v>
      </c>
    </row>
    <row r="47076" spans="1:6" x14ac:dyDescent="0.25">
      <c r="A47076" s="1" t="str">
        <f t="shared" si="1539"/>
        <v>99999</v>
      </c>
      <c r="B47076" s="1" t="str">
        <f>"77974"</f>
        <v>77974</v>
      </c>
      <c r="C47076" s="2">
        <v>1.1150871727516799E-5</v>
      </c>
      <c r="D47076" s="2">
        <v>1.0539962266935E-5</v>
      </c>
      <c r="E47076" s="2">
        <v>0</v>
      </c>
      <c r="F47076" s="2">
        <v>1.08549924972265E-5</v>
      </c>
    </row>
    <row r="47077" spans="1:6" x14ac:dyDescent="0.25">
      <c r="A47077" s="1" t="str">
        <f t="shared" si="1539"/>
        <v>99999</v>
      </c>
      <c r="B47077" s="1" t="str">
        <f>"76671"</f>
        <v>76671</v>
      </c>
      <c r="C47077" s="2">
        <v>1.14323500429687E-4</v>
      </c>
      <c r="D47077" s="2">
        <v>2.55970512196994E-5</v>
      </c>
      <c r="E47077" s="2">
        <v>2.58063406178898E-5</v>
      </c>
      <c r="F47077" s="2">
        <v>1.0647760822279401E-4</v>
      </c>
    </row>
    <row r="47078" spans="1:6" x14ac:dyDescent="0.25">
      <c r="A47078" s="1" t="str">
        <f t="shared" si="1539"/>
        <v>99999</v>
      </c>
      <c r="B47078" s="1" t="str">
        <f>"76549"</f>
        <v>76549</v>
      </c>
      <c r="C47078" s="2">
        <v>4.0056529506613898E-6</v>
      </c>
      <c r="D47078" s="2">
        <v>0</v>
      </c>
      <c r="E47078" s="2">
        <v>0</v>
      </c>
      <c r="F47078" s="2">
        <v>3.6512247490671102E-6</v>
      </c>
    </row>
    <row r="47079" spans="1:6" x14ac:dyDescent="0.25">
      <c r="A47079" s="1" t="str">
        <f t="shared" si="1539"/>
        <v>99999</v>
      </c>
      <c r="B47079" s="1" t="str">
        <f>"76550"</f>
        <v>76550</v>
      </c>
      <c r="C47079" s="2">
        <v>5.672870665261E-5</v>
      </c>
      <c r="D47079" s="2">
        <v>2.55970512196994E-5</v>
      </c>
      <c r="E47079" s="2">
        <v>3.01073973875381E-5</v>
      </c>
      <c r="F47079" s="2">
        <v>5.40775989861831E-5</v>
      </c>
    </row>
    <row r="47080" spans="1:6" x14ac:dyDescent="0.25">
      <c r="A47080" s="1" t="str">
        <f t="shared" si="1539"/>
        <v>99999</v>
      </c>
      <c r="B47080" s="1" t="str">
        <f>"77830"</f>
        <v>77830</v>
      </c>
      <c r="C47080" s="2">
        <v>1.5481307349853501E-4</v>
      </c>
      <c r="D47080" s="2">
        <v>8.1308280344927694E-5</v>
      </c>
      <c r="E47080" s="2">
        <v>3.01073973875381E-5</v>
      </c>
      <c r="F47080" s="2">
        <v>1.4713448921240701E-4</v>
      </c>
    </row>
    <row r="47081" spans="1:6" x14ac:dyDescent="0.25">
      <c r="A47081" s="1" t="str">
        <f t="shared" si="1539"/>
        <v>99999</v>
      </c>
      <c r="B47081" s="1" t="str">
        <f>"77865"</f>
        <v>77865</v>
      </c>
      <c r="C47081" s="2">
        <v>1.0046610643820999E-4</v>
      </c>
      <c r="D47081" s="2">
        <v>3.01141779055288E-5</v>
      </c>
      <c r="E47081" s="2">
        <v>0</v>
      </c>
      <c r="F47081" s="2">
        <v>9.3550298976097796E-5</v>
      </c>
    </row>
    <row r="47082" spans="1:6" x14ac:dyDescent="0.25">
      <c r="A47082" s="1" t="str">
        <f t="shared" si="1539"/>
        <v>99999</v>
      </c>
      <c r="B47082" s="1" t="str">
        <f>"78947"</f>
        <v>78947</v>
      </c>
      <c r="C47082" s="2">
        <v>2.2410004345592099E-4</v>
      </c>
      <c r="D47082" s="2">
        <v>6.9262609182716196E-5</v>
      </c>
      <c r="E47082" s="2">
        <v>1.16128532780504E-4</v>
      </c>
      <c r="F47082" s="2">
        <v>2.1147499019596799E-4</v>
      </c>
    </row>
    <row r="47083" spans="1:6" x14ac:dyDescent="0.25">
      <c r="A47083" s="1" t="str">
        <f t="shared" si="1539"/>
        <v>99999</v>
      </c>
      <c r="B47083" s="1" t="str">
        <f>"78935"</f>
        <v>78935</v>
      </c>
      <c r="C47083" s="2">
        <v>5.1856966577481302E-5</v>
      </c>
      <c r="D47083" s="2">
        <v>2.1079924533870101E-5</v>
      </c>
      <c r="E47083" s="2">
        <v>1.72042270785932E-5</v>
      </c>
      <c r="F47083" s="2">
        <v>4.9044829737468999E-5</v>
      </c>
    </row>
    <row r="47084" spans="1:6" x14ac:dyDescent="0.25">
      <c r="A47084" s="1" t="str">
        <f t="shared" si="1539"/>
        <v>99999</v>
      </c>
      <c r="B47084" s="1" t="str">
        <f>"79745"</f>
        <v>79745</v>
      </c>
      <c r="C47084" s="2">
        <v>3.1244093015158898E-4</v>
      </c>
      <c r="D47084" s="2">
        <v>4.3665557963016698E-4</v>
      </c>
      <c r="E47084" s="2">
        <v>1.3333275985909701E-4</v>
      </c>
      <c r="F47084" s="2">
        <v>3.1647237216914098E-4</v>
      </c>
    </row>
    <row r="47085" spans="1:6" x14ac:dyDescent="0.25">
      <c r="A47085" s="1" t="str">
        <f t="shared" si="1539"/>
        <v>99999</v>
      </c>
      <c r="B47085" s="1" t="str">
        <f>"79752"</f>
        <v>79752</v>
      </c>
      <c r="C47085" s="2">
        <v>4.8717400751287203E-6</v>
      </c>
      <c r="D47085" s="2">
        <v>1.9574215638593701E-5</v>
      </c>
      <c r="E47085" s="2">
        <v>0</v>
      </c>
      <c r="F47085" s="2">
        <v>5.7235414985376303E-6</v>
      </c>
    </row>
    <row r="47086" spans="1:6" x14ac:dyDescent="0.25">
      <c r="A47086" s="1" t="str">
        <f t="shared" si="1539"/>
        <v>99999</v>
      </c>
      <c r="B47086" s="1" t="str">
        <f>"79734"</f>
        <v>79734</v>
      </c>
      <c r="C47086" s="2">
        <v>5.4022184388649598E-5</v>
      </c>
      <c r="D47086" s="2">
        <v>3.1619886800805203E-5</v>
      </c>
      <c r="E47086" s="2">
        <v>3.8709510926834699E-5</v>
      </c>
      <c r="F47086" s="2">
        <v>5.22026457366622E-5</v>
      </c>
    </row>
    <row r="47087" spans="1:6" x14ac:dyDescent="0.25">
      <c r="A47087" s="1" t="str">
        <f t="shared" si="1539"/>
        <v>99999</v>
      </c>
      <c r="B47087" s="1" t="str">
        <f>"79845"</f>
        <v>79845</v>
      </c>
      <c r="C47087" s="2">
        <v>1.04255237607754E-4</v>
      </c>
      <c r="D47087" s="2">
        <v>7.5285444763821999E-6</v>
      </c>
      <c r="E47087" s="2">
        <v>4.3010567696482999E-5</v>
      </c>
      <c r="F47087" s="2">
        <v>9.6510751475341504E-5</v>
      </c>
    </row>
    <row r="47088" spans="1:6" x14ac:dyDescent="0.25">
      <c r="A47088" s="1" t="str">
        <f t="shared" si="1539"/>
        <v>99999</v>
      </c>
      <c r="B47088" s="1" t="str">
        <f>"81324"</f>
        <v>81324</v>
      </c>
      <c r="C47088" s="2">
        <v>8.7691321352317001E-5</v>
      </c>
      <c r="D47088" s="2">
        <v>9.0342533716586405E-6</v>
      </c>
      <c r="E47088" s="2">
        <v>5.1612681235779599E-5</v>
      </c>
      <c r="F47088" s="2">
        <v>8.1708488979123398E-5</v>
      </c>
    </row>
    <row r="47089" spans="1:6" x14ac:dyDescent="0.25">
      <c r="A47089" s="1" t="str">
        <f t="shared" si="1539"/>
        <v>99999</v>
      </c>
      <c r="B47089" s="1" t="str">
        <f>"81220"</f>
        <v>81220</v>
      </c>
      <c r="C47089" s="2">
        <v>2.24100043455921E-5</v>
      </c>
      <c r="D47089" s="2">
        <v>7.5285444763821999E-6</v>
      </c>
      <c r="E47089" s="2">
        <v>0</v>
      </c>
      <c r="F47089" s="2">
        <v>2.0920530994654801E-5</v>
      </c>
    </row>
    <row r="47090" spans="1:6" x14ac:dyDescent="0.25">
      <c r="A47090" s="1" t="str">
        <f t="shared" si="1539"/>
        <v>99999</v>
      </c>
      <c r="B47090" s="1" t="str">
        <f>"81334"</f>
        <v>81334</v>
      </c>
      <c r="C47090" s="2">
        <v>3.7350007242653498E-5</v>
      </c>
      <c r="D47090" s="2">
        <v>0</v>
      </c>
      <c r="E47090" s="2">
        <v>0</v>
      </c>
      <c r="F47090" s="2">
        <v>3.4045203741301401E-5</v>
      </c>
    </row>
    <row r="47091" spans="1:6" x14ac:dyDescent="0.25">
      <c r="A47091" s="1" t="str">
        <f t="shared" si="1539"/>
        <v>99999</v>
      </c>
      <c r="B47091" s="1" t="str">
        <f>"81050"</f>
        <v>81050</v>
      </c>
      <c r="C47091" s="2">
        <v>5.1976053557095604E-4</v>
      </c>
      <c r="D47091" s="2">
        <v>8.4169127245952997E-4</v>
      </c>
      <c r="E47091" s="2">
        <v>8.6451241069930801E-4</v>
      </c>
      <c r="F47091" s="2">
        <v>5.4876921160978899E-4</v>
      </c>
    </row>
    <row r="47092" spans="1:6" x14ac:dyDescent="0.25">
      <c r="A47092" s="1" t="str">
        <f t="shared" si="1539"/>
        <v>99999</v>
      </c>
      <c r="B47092" s="1" t="str">
        <f>"81133"</f>
        <v>81133</v>
      </c>
      <c r="C47092" s="2">
        <v>9.3429148551913097E-5</v>
      </c>
      <c r="D47092" s="2">
        <v>9.0342533716586405E-6</v>
      </c>
      <c r="E47092" s="2">
        <v>1.8924649786452501E-4</v>
      </c>
      <c r="F47092" s="2">
        <v>9.0096437726980299E-5</v>
      </c>
    </row>
    <row r="47093" spans="1:6" x14ac:dyDescent="0.25">
      <c r="A47093" s="1" t="str">
        <f t="shared" si="1539"/>
        <v>99999</v>
      </c>
      <c r="B47093" s="1" t="str">
        <f>"81152"</f>
        <v>81152</v>
      </c>
      <c r="C47093" s="2">
        <v>6.3549142757790206E-5</v>
      </c>
      <c r="D47093" s="2">
        <v>3.01141779055288E-6</v>
      </c>
      <c r="E47093" s="2">
        <v>2.58063406178898E-5</v>
      </c>
      <c r="F47093" s="2">
        <v>5.87156412349981E-5</v>
      </c>
    </row>
    <row r="47094" spans="1:6" x14ac:dyDescent="0.25">
      <c r="A47094" s="1" t="str">
        <f t="shared" si="1539"/>
        <v>99999</v>
      </c>
      <c r="B47094" s="1" t="str">
        <f>"81154"</f>
        <v>81154</v>
      </c>
      <c r="C47094" s="2">
        <v>1.7603220804798399E-4</v>
      </c>
      <c r="D47094" s="2">
        <v>4.6676975753569603E-5</v>
      </c>
      <c r="E47094" s="2">
        <v>9.4623248932262599E-5</v>
      </c>
      <c r="F47094" s="2">
        <v>1.6568665820766701E-4</v>
      </c>
    </row>
    <row r="47095" spans="1:6" x14ac:dyDescent="0.25">
      <c r="A47095" s="1" t="str">
        <f t="shared" si="1539"/>
        <v>99999</v>
      </c>
      <c r="B47095" s="1" t="str">
        <f>"81210"</f>
        <v>81210</v>
      </c>
      <c r="C47095" s="2">
        <v>6.5714360568958603E-5</v>
      </c>
      <c r="D47095" s="2">
        <v>1.0539962266935E-5</v>
      </c>
      <c r="E47095" s="2">
        <v>1.72042270785932E-5</v>
      </c>
      <c r="F47095" s="2">
        <v>6.0985321484418201E-5</v>
      </c>
    </row>
    <row r="47096" spans="1:6" x14ac:dyDescent="0.25">
      <c r="A47096" s="1" t="str">
        <f t="shared" si="1539"/>
        <v>99999</v>
      </c>
      <c r="B47096" s="1" t="str">
        <f>"81090"</f>
        <v>81090</v>
      </c>
      <c r="C47096" s="2">
        <v>4.8825661641845601E-5</v>
      </c>
      <c r="D47096" s="2">
        <v>1.20456711622115E-5</v>
      </c>
      <c r="E47096" s="2">
        <v>2.58063406178898E-5</v>
      </c>
      <c r="F47096" s="2">
        <v>4.5887013738275799E-5</v>
      </c>
    </row>
    <row r="47097" spans="1:6" x14ac:dyDescent="0.25">
      <c r="A47097" s="1" t="str">
        <f t="shared" si="1539"/>
        <v>99999</v>
      </c>
      <c r="B47097" s="1" t="str">
        <f>"81047"</f>
        <v>81047</v>
      </c>
      <c r="C47097" s="2">
        <v>4.6010878487326803E-5</v>
      </c>
      <c r="D47097" s="2">
        <v>1.0539962266935E-5</v>
      </c>
      <c r="E47097" s="2">
        <v>4.3010567696482999E-6</v>
      </c>
      <c r="F47097" s="2">
        <v>4.2729197739082599E-5</v>
      </c>
    </row>
    <row r="47098" spans="1:6" x14ac:dyDescent="0.25">
      <c r="A47098" s="1" t="str">
        <f t="shared" si="1539"/>
        <v>99999</v>
      </c>
      <c r="B47098" s="1" t="str">
        <f>"81029"</f>
        <v>81029</v>
      </c>
      <c r="C47098" s="2">
        <v>2.0353047424982201E-5</v>
      </c>
      <c r="D47098" s="2">
        <v>0</v>
      </c>
      <c r="E47098" s="2">
        <v>4.3010567696482999E-6</v>
      </c>
      <c r="F47098" s="2">
        <v>1.8650850745234699E-5</v>
      </c>
    </row>
    <row r="47099" spans="1:6" x14ac:dyDescent="0.25">
      <c r="A47099" s="1" t="str">
        <f t="shared" si="1539"/>
        <v>99999</v>
      </c>
      <c r="B47099" s="1" t="str">
        <f>"83254"</f>
        <v>83254</v>
      </c>
      <c r="C47099" s="2">
        <v>1.9389525499012301E-4</v>
      </c>
      <c r="D47099" s="2">
        <v>3.4932446370413399E-4</v>
      </c>
      <c r="E47099" s="2">
        <v>2.1935389525206301E-4</v>
      </c>
      <c r="F47099" s="2">
        <v>2.0466594944770701E-4</v>
      </c>
    </row>
    <row r="47100" spans="1:6" x14ac:dyDescent="0.25">
      <c r="A47100" s="1" t="str">
        <f t="shared" si="1539"/>
        <v>99999</v>
      </c>
      <c r="B47100" s="1" t="str">
        <f>"83330"</f>
        <v>83330</v>
      </c>
      <c r="C47100" s="2">
        <v>2.8093701099908899E-4</v>
      </c>
      <c r="D47100" s="2">
        <v>2.8608469010252301E-4</v>
      </c>
      <c r="E47100" s="2">
        <v>2.1935389525206301E-4</v>
      </c>
      <c r="F47100" s="2">
        <v>2.79861442928495E-4</v>
      </c>
    </row>
    <row r="47101" spans="1:6" x14ac:dyDescent="0.25">
      <c r="A47101" s="1" t="str">
        <f t="shared" si="1539"/>
        <v>99999</v>
      </c>
      <c r="B47101" s="1" t="str">
        <f>"83251"</f>
        <v>83251</v>
      </c>
      <c r="C47101" s="2">
        <v>5.9110446244895197E-5</v>
      </c>
      <c r="D47101" s="2">
        <v>7.3779735868545501E-5</v>
      </c>
      <c r="E47101" s="2">
        <v>1.29031703089449E-5</v>
      </c>
      <c r="F47101" s="2">
        <v>5.9011686484922498E-5</v>
      </c>
    </row>
    <row r="47102" spans="1:6" x14ac:dyDescent="0.25">
      <c r="A47102" s="1" t="str">
        <f t="shared" si="1539"/>
        <v>99999</v>
      </c>
      <c r="B47102" s="1" t="str">
        <f>"83355"</f>
        <v>83355</v>
      </c>
      <c r="C47102" s="2">
        <v>2.7476614023725997E-4</v>
      </c>
      <c r="D47102" s="2">
        <v>2.1983349871035999E-4</v>
      </c>
      <c r="E47102" s="2">
        <v>1.2903170308944901E-4</v>
      </c>
      <c r="F47102" s="2">
        <v>2.6782226943157099E-4</v>
      </c>
    </row>
    <row r="47103" spans="1:6" x14ac:dyDescent="0.25">
      <c r="A47103" s="1" t="str">
        <f t="shared" si="1539"/>
        <v>99999</v>
      </c>
      <c r="B47103" s="1" t="str">
        <f>"83423"</f>
        <v>83423</v>
      </c>
      <c r="C47103" s="2">
        <v>1.7321742489346501E-5</v>
      </c>
      <c r="D47103" s="2">
        <v>4.5171266858293203E-6</v>
      </c>
      <c r="E47103" s="2">
        <v>4.3010567696482999E-6</v>
      </c>
      <c r="F47103" s="2">
        <v>1.6183806995865E-5</v>
      </c>
    </row>
    <row r="47104" spans="1:6" x14ac:dyDescent="0.25">
      <c r="A47104" s="1" t="str">
        <f t="shared" si="1539"/>
        <v>99999</v>
      </c>
      <c r="B47104" s="1" t="str">
        <f>"83612"</f>
        <v>83612</v>
      </c>
      <c r="C47104" s="2">
        <v>7.2426535783580399E-5</v>
      </c>
      <c r="D47104" s="2">
        <v>1.50570889527644E-5</v>
      </c>
      <c r="E47104" s="2">
        <v>3.44084541571864E-5</v>
      </c>
      <c r="F47104" s="2">
        <v>6.7794362232678499E-5</v>
      </c>
    </row>
    <row r="47105" spans="1:6" x14ac:dyDescent="0.25">
      <c r="A47105" s="1" t="str">
        <f t="shared" si="1539"/>
        <v>99999</v>
      </c>
      <c r="B47105" s="1" t="str">
        <f>"82240"</f>
        <v>82240</v>
      </c>
      <c r="C47105" s="2">
        <v>5.19110970227605E-4</v>
      </c>
      <c r="D47105" s="2">
        <v>6.67029040607463E-4</v>
      </c>
      <c r="E47105" s="2">
        <v>3.0881587606074799E-3</v>
      </c>
      <c r="F47105" s="2">
        <v>5.8774850284983005E-4</v>
      </c>
    </row>
    <row r="47106" spans="1:6" x14ac:dyDescent="0.25">
      <c r="A47106" s="1" t="str">
        <f t="shared" si="1539"/>
        <v>99999</v>
      </c>
      <c r="B47106" s="1" t="str">
        <f>"82201"</f>
        <v>82201</v>
      </c>
      <c r="C47106" s="2">
        <v>3.9266225005537501E-4</v>
      </c>
      <c r="D47106" s="2">
        <v>5.4356091119479497E-4</v>
      </c>
      <c r="E47106" s="2">
        <v>1.01504939763699E-3</v>
      </c>
      <c r="F47106" s="2">
        <v>4.1683171189349901E-4</v>
      </c>
    </row>
    <row r="47107" spans="1:6" x14ac:dyDescent="0.25">
      <c r="A47107" s="1" t="str">
        <f t="shared" si="1539"/>
        <v>99999</v>
      </c>
      <c r="B47107" s="1" t="str">
        <f>"82840"</f>
        <v>82840</v>
      </c>
      <c r="C47107" s="2">
        <v>0</v>
      </c>
      <c r="D47107" s="2">
        <v>0</v>
      </c>
      <c r="E47107" s="2">
        <v>8.6021135392965999E-6</v>
      </c>
      <c r="F47107" s="2">
        <v>1.9736349994957301E-7</v>
      </c>
    </row>
    <row r="47108" spans="1:6" x14ac:dyDescent="0.25">
      <c r="A47108" s="1" t="str">
        <f t="shared" si="1539"/>
        <v>99999</v>
      </c>
      <c r="B47108" s="1" t="str">
        <f>"82244"</f>
        <v>82244</v>
      </c>
      <c r="C47108" s="2">
        <v>2.7390005311279201E-5</v>
      </c>
      <c r="D47108" s="2">
        <v>1.50570889527644E-6</v>
      </c>
      <c r="E47108" s="2">
        <v>5.9784689098111405E-4</v>
      </c>
      <c r="F47108" s="2">
        <v>3.8781927740091198E-5</v>
      </c>
    </row>
    <row r="47109" spans="1:6" x14ac:dyDescent="0.25">
      <c r="A47109" s="1" t="str">
        <f t="shared" si="1539"/>
        <v>99999</v>
      </c>
      <c r="B47109" s="1" t="str">
        <f>"80720"</f>
        <v>80720</v>
      </c>
      <c r="C47109" s="2">
        <v>1.4409524533325101E-4</v>
      </c>
      <c r="D47109" s="2">
        <v>2.42419132139506E-4</v>
      </c>
      <c r="E47109" s="2">
        <v>1.93547554634173E-4</v>
      </c>
      <c r="F47109" s="2">
        <v>1.5167384971124701E-4</v>
      </c>
    </row>
    <row r="47110" spans="1:6" x14ac:dyDescent="0.25">
      <c r="A47110" s="1" t="str">
        <f t="shared" ref="A47110:A47173" si="1540">"99999"</f>
        <v>99999</v>
      </c>
      <c r="B47110" s="1" t="str">
        <f>"80734"</f>
        <v>80734</v>
      </c>
      <c r="C47110" s="2">
        <v>1.4658524581609501E-4</v>
      </c>
      <c r="D47110" s="2">
        <v>2.9210752568362901E-4</v>
      </c>
      <c r="E47110" s="2">
        <v>2.0645072494311799E-4</v>
      </c>
      <c r="F47110" s="2">
        <v>1.57496072959759E-4</v>
      </c>
    </row>
    <row r="47111" spans="1:6" x14ac:dyDescent="0.25">
      <c r="A47111" s="1" t="str">
        <f t="shared" si="1540"/>
        <v>99999</v>
      </c>
      <c r="B47111" s="1" t="str">
        <f>"80447"</f>
        <v>80447</v>
      </c>
      <c r="C47111" s="2">
        <v>4.1247399302756502E-5</v>
      </c>
      <c r="D47111" s="2">
        <v>1.0539962266935E-5</v>
      </c>
      <c r="E47111" s="2">
        <v>6.4515851544724506E-5</v>
      </c>
      <c r="F47111" s="2">
        <v>3.9768745239838999E-5</v>
      </c>
    </row>
    <row r="47112" spans="1:6" x14ac:dyDescent="0.25">
      <c r="A47112" s="1" t="str">
        <f t="shared" si="1540"/>
        <v>99999</v>
      </c>
      <c r="B47112" s="1" t="str">
        <f>"84713"</f>
        <v>84713</v>
      </c>
      <c r="C47112" s="2">
        <v>1.0880219501120799E-4</v>
      </c>
      <c r="D47112" s="2">
        <v>9.0342533716586405E-6</v>
      </c>
      <c r="E47112" s="2">
        <v>5.1612681235779599E-5</v>
      </c>
      <c r="F47112" s="2">
        <v>1.00951430224206E-4</v>
      </c>
    </row>
    <row r="47113" spans="1:6" x14ac:dyDescent="0.25">
      <c r="A47113" s="1" t="str">
        <f t="shared" si="1540"/>
        <v>99999</v>
      </c>
      <c r="B47113" s="1" t="str">
        <f>"84759"</f>
        <v>84759</v>
      </c>
      <c r="C47113" s="2">
        <v>5.6295663090376399E-5</v>
      </c>
      <c r="D47113" s="2">
        <v>7.9802571449651304E-5</v>
      </c>
      <c r="E47113" s="2">
        <v>1.29031703089449E-5</v>
      </c>
      <c r="F47113" s="2">
        <v>5.68406879854772E-5</v>
      </c>
    </row>
    <row r="47114" spans="1:6" x14ac:dyDescent="0.25">
      <c r="A47114" s="1" t="str">
        <f t="shared" si="1540"/>
        <v>99999</v>
      </c>
      <c r="B47114" s="1" t="str">
        <f>"85346"</f>
        <v>85346</v>
      </c>
      <c r="C47114" s="2">
        <v>3.2824702017311702E-4</v>
      </c>
      <c r="D47114" s="2">
        <v>1.2497383830794399E-4</v>
      </c>
      <c r="E47114" s="2">
        <v>1.72042270785932E-5</v>
      </c>
      <c r="F47114" s="2">
        <v>3.0778837817135998E-4</v>
      </c>
    </row>
    <row r="47115" spans="1:6" x14ac:dyDescent="0.25">
      <c r="A47115" s="1" t="str">
        <f t="shared" si="1540"/>
        <v>99999</v>
      </c>
      <c r="B47115" s="1" t="str">
        <f>"84620"</f>
        <v>84620</v>
      </c>
      <c r="C47115" s="2">
        <v>4.6552182940118902E-5</v>
      </c>
      <c r="D47115" s="2">
        <v>1.50570889527644E-6</v>
      </c>
      <c r="E47115" s="2">
        <v>8.6021135392965999E-6</v>
      </c>
      <c r="F47115" s="2">
        <v>4.2729197739082599E-5</v>
      </c>
    </row>
    <row r="47116" spans="1:6" x14ac:dyDescent="0.25">
      <c r="A47116" s="1" t="str">
        <f t="shared" si="1540"/>
        <v>99999</v>
      </c>
      <c r="B47116" s="1" t="str">
        <f>"84646"</f>
        <v>84646</v>
      </c>
      <c r="C47116" s="2">
        <v>6.22500120710892E-5</v>
      </c>
      <c r="D47116" s="2">
        <v>3.01141779055288E-6</v>
      </c>
      <c r="E47116" s="2">
        <v>1.72042270785932E-5</v>
      </c>
      <c r="F47116" s="2">
        <v>5.7334096735351097E-5</v>
      </c>
    </row>
    <row r="47117" spans="1:6" x14ac:dyDescent="0.25">
      <c r="A47117" s="1" t="str">
        <f t="shared" si="1540"/>
        <v>99999</v>
      </c>
      <c r="B47117" s="1" t="str">
        <f>"88434"</f>
        <v>88434</v>
      </c>
      <c r="C47117" s="2">
        <v>1.4615220225386101E-5</v>
      </c>
      <c r="D47117" s="2">
        <v>1.20456711622115E-5</v>
      </c>
      <c r="E47117" s="2">
        <v>4.3010567696482999E-6</v>
      </c>
      <c r="F47117" s="2">
        <v>1.42101719963693E-5</v>
      </c>
    </row>
    <row r="47118" spans="1:6" x14ac:dyDescent="0.25">
      <c r="A47118" s="1" t="str">
        <f t="shared" si="1540"/>
        <v>99999</v>
      </c>
      <c r="B47118" s="1" t="str">
        <f>"89043"</f>
        <v>89043</v>
      </c>
      <c r="C47118" s="2">
        <v>1.8837394957164399E-5</v>
      </c>
      <c r="D47118" s="2">
        <v>1.0539962266935E-5</v>
      </c>
      <c r="E47118" s="2">
        <v>1.3032202012034299E-3</v>
      </c>
      <c r="F47118" s="2">
        <v>4.7761966987796801E-5</v>
      </c>
    </row>
    <row r="47119" spans="1:6" x14ac:dyDescent="0.25">
      <c r="A47119" s="1" t="str">
        <f t="shared" si="1540"/>
        <v>99999</v>
      </c>
      <c r="B47119" s="1" t="str">
        <f>"87821"</f>
        <v>87821</v>
      </c>
      <c r="C47119" s="2">
        <v>3.5617832993718898E-5</v>
      </c>
      <c r="D47119" s="2">
        <v>0</v>
      </c>
      <c r="E47119" s="2">
        <v>4.3010567696482999E-6</v>
      </c>
      <c r="F47119" s="2">
        <v>3.2564977491679601E-5</v>
      </c>
    </row>
    <row r="47120" spans="1:6" x14ac:dyDescent="0.25">
      <c r="A47120" s="1" t="str">
        <f t="shared" si="1540"/>
        <v>99999</v>
      </c>
      <c r="B47120" s="1" t="str">
        <f>"96104"</f>
        <v>96104</v>
      </c>
      <c r="C47120" s="2">
        <v>1.0284784603049499E-5</v>
      </c>
      <c r="D47120" s="2">
        <v>3.01141779055288E-6</v>
      </c>
      <c r="E47120" s="2">
        <v>6.5376062898654099E-4</v>
      </c>
      <c r="F47120" s="2">
        <v>2.4571755743721902E-5</v>
      </c>
    </row>
    <row r="47121" spans="1:6" x14ac:dyDescent="0.25">
      <c r="A47121" s="1" t="str">
        <f t="shared" si="1540"/>
        <v>99999</v>
      </c>
      <c r="B47121" s="1" t="str">
        <f>"89415"</f>
        <v>89415</v>
      </c>
      <c r="C47121" s="2">
        <v>5.4130445279208001E-5</v>
      </c>
      <c r="D47121" s="2">
        <v>1.65627978480408E-5</v>
      </c>
      <c r="E47121" s="2">
        <v>7.2687859407056295E-4</v>
      </c>
      <c r="F47121" s="2">
        <v>6.7103589982854994E-5</v>
      </c>
    </row>
    <row r="47122" spans="1:6" x14ac:dyDescent="0.25">
      <c r="A47122" s="1" t="str">
        <f t="shared" si="1540"/>
        <v>99999</v>
      </c>
      <c r="B47122" s="1" t="str">
        <f>"95595"</f>
        <v>95595</v>
      </c>
      <c r="C47122" s="2">
        <v>1.6130872693204E-5</v>
      </c>
      <c r="D47122" s="2">
        <v>1.20456711622115E-5</v>
      </c>
      <c r="E47122" s="2">
        <v>4.3010567696482999E-6</v>
      </c>
      <c r="F47122" s="2">
        <v>1.5591716496016299E-5</v>
      </c>
    </row>
    <row r="47123" spans="1:6" x14ac:dyDescent="0.25">
      <c r="A47123" s="1" t="str">
        <f t="shared" si="1540"/>
        <v>99999</v>
      </c>
      <c r="B47123" s="1" t="str">
        <f>"95338"</f>
        <v>95338</v>
      </c>
      <c r="C47123" s="2">
        <v>7.1441361679498803E-4</v>
      </c>
      <c r="D47123" s="2">
        <v>6.3992628049248696E-4</v>
      </c>
      <c r="E47123" s="2">
        <v>1.41934873398393E-4</v>
      </c>
      <c r="F47123" s="2">
        <v>6.9639710957207003E-4</v>
      </c>
    </row>
    <row r="47124" spans="1:6" x14ac:dyDescent="0.25">
      <c r="A47124" s="1" t="str">
        <f t="shared" si="1540"/>
        <v>99999</v>
      </c>
      <c r="B47124" s="1" t="str">
        <f>"95255"</f>
        <v>95255</v>
      </c>
      <c r="C47124" s="2">
        <v>5.8027837339310999E-5</v>
      </c>
      <c r="D47124" s="2">
        <v>1.0539962266935E-5</v>
      </c>
      <c r="E47124" s="2">
        <v>1.72042270785932E-5</v>
      </c>
      <c r="F47124" s="2">
        <v>5.3978917236208303E-5</v>
      </c>
    </row>
    <row r="47125" spans="1:6" x14ac:dyDescent="0.25">
      <c r="A47125" s="1" t="str">
        <f t="shared" si="1540"/>
        <v>99999</v>
      </c>
      <c r="B47125" s="1" t="str">
        <f>"95311"</f>
        <v>95311</v>
      </c>
      <c r="C47125" s="2">
        <v>1.13132630633544E-4</v>
      </c>
      <c r="D47125" s="2">
        <v>4.3665557963016701E-5</v>
      </c>
      <c r="E47125" s="2">
        <v>3.01073973875381E-5</v>
      </c>
      <c r="F47125" s="2">
        <v>1.0667497172274401E-4</v>
      </c>
    </row>
    <row r="47126" spans="1:6" x14ac:dyDescent="0.25">
      <c r="A47126" s="1" t="str">
        <f t="shared" si="1540"/>
        <v>99999</v>
      </c>
      <c r="B47126" s="1" t="str">
        <f>"95971"</f>
        <v>95971</v>
      </c>
      <c r="C47126" s="2">
        <v>2.21934825644753E-4</v>
      </c>
      <c r="D47126" s="2">
        <v>4.7580401090735502E-4</v>
      </c>
      <c r="E47126" s="2">
        <v>2.49461292639601E-4</v>
      </c>
      <c r="F47126" s="2">
        <v>2.3920456193888301E-4</v>
      </c>
    </row>
    <row r="47127" spans="1:6" x14ac:dyDescent="0.25">
      <c r="A47127" s="1" t="str">
        <f t="shared" si="1540"/>
        <v>99999</v>
      </c>
      <c r="B47127" s="1" t="str">
        <f>"95934"</f>
        <v>95934</v>
      </c>
      <c r="C47127" s="2">
        <v>4.4386965128950601E-6</v>
      </c>
      <c r="D47127" s="2">
        <v>0</v>
      </c>
      <c r="E47127" s="2">
        <v>4.3010567696482999E-6</v>
      </c>
      <c r="F47127" s="2">
        <v>4.1446334989410403E-6</v>
      </c>
    </row>
    <row r="47128" spans="1:6" x14ac:dyDescent="0.25">
      <c r="A47128" s="1" t="str">
        <f t="shared" si="1540"/>
        <v>99999</v>
      </c>
      <c r="B47128" s="1" t="str">
        <f>"95983"</f>
        <v>95983</v>
      </c>
      <c r="C47128" s="2">
        <v>1.7430003379904999E-5</v>
      </c>
      <c r="D47128" s="2">
        <v>0</v>
      </c>
      <c r="E47128" s="2">
        <v>2.15052838482415E-5</v>
      </c>
      <c r="F47128" s="2">
        <v>1.6381170495814601E-5</v>
      </c>
    </row>
    <row r="47129" spans="1:6" x14ac:dyDescent="0.25">
      <c r="A47129" s="1" t="str">
        <f t="shared" si="1540"/>
        <v>99999</v>
      </c>
      <c r="B47129" s="1" t="str">
        <f>"72555"</f>
        <v>72555</v>
      </c>
      <c r="C47129" s="2">
        <v>7.2534796674138799E-6</v>
      </c>
      <c r="D47129" s="2">
        <v>3.01141779055288E-6</v>
      </c>
      <c r="E47129" s="2">
        <v>4.3010567696482999E-6</v>
      </c>
      <c r="F47129" s="2">
        <v>6.9077224982350703E-6</v>
      </c>
    </row>
    <row r="47130" spans="1:6" x14ac:dyDescent="0.25">
      <c r="A47130" s="1" t="str">
        <f t="shared" si="1540"/>
        <v>99999</v>
      </c>
      <c r="B47130" s="1" t="str">
        <f>"72865"</f>
        <v>72865</v>
      </c>
      <c r="C47130" s="2">
        <v>4.9366966094637701E-5</v>
      </c>
      <c r="D47130" s="2">
        <v>4.5171266858293203E-6</v>
      </c>
      <c r="E47130" s="2">
        <v>8.6021135392965999E-6</v>
      </c>
      <c r="F47130" s="2">
        <v>4.5492286738376699E-5</v>
      </c>
    </row>
    <row r="47131" spans="1:6" x14ac:dyDescent="0.25">
      <c r="A47131" s="1" t="str">
        <f t="shared" si="1540"/>
        <v>99999</v>
      </c>
      <c r="B47131" s="1" t="str">
        <f>"72444"</f>
        <v>72444</v>
      </c>
      <c r="C47131" s="2">
        <v>1.09343499464E-4</v>
      </c>
      <c r="D47131" s="2">
        <v>2.55970512196994E-5</v>
      </c>
      <c r="E47131" s="2">
        <v>8.6021135392965999E-6</v>
      </c>
      <c r="F47131" s="2">
        <v>1.0154352072405499E-4</v>
      </c>
    </row>
    <row r="47132" spans="1:6" x14ac:dyDescent="0.25">
      <c r="A47132" s="1" t="str">
        <f t="shared" si="1540"/>
        <v>99999</v>
      </c>
      <c r="B47132" s="1" t="str">
        <f>"72347"</f>
        <v>72347</v>
      </c>
      <c r="C47132" s="2">
        <v>3.45352240881347E-5</v>
      </c>
      <c r="D47132" s="2">
        <v>1.50570889527644E-5</v>
      </c>
      <c r="E47132" s="2">
        <v>3.44084541571864E-5</v>
      </c>
      <c r="F47132" s="2">
        <v>3.3255749741503099E-5</v>
      </c>
    </row>
    <row r="47133" spans="1:6" x14ac:dyDescent="0.25">
      <c r="A47133" s="1" t="str">
        <f t="shared" si="1540"/>
        <v>99999</v>
      </c>
      <c r="B47133" s="1" t="str">
        <f>"72459"</f>
        <v>72459</v>
      </c>
      <c r="C47133" s="2">
        <v>7.5999145172008097E-5</v>
      </c>
      <c r="D47133" s="2">
        <v>2.7102760114975901E-5</v>
      </c>
      <c r="E47133" s="2">
        <v>1.29031703089449E-5</v>
      </c>
      <c r="F47133" s="2">
        <v>7.13469052317708E-5</v>
      </c>
    </row>
    <row r="47134" spans="1:6" x14ac:dyDescent="0.25">
      <c r="A47134" s="1" t="str">
        <f t="shared" si="1540"/>
        <v>99999</v>
      </c>
      <c r="B47134" s="1" t="str">
        <f>"72460"</f>
        <v>72460</v>
      </c>
      <c r="C47134" s="2">
        <v>5.1207401234130799E-5</v>
      </c>
      <c r="D47134" s="2">
        <v>7.5285444763821999E-6</v>
      </c>
      <c r="E47134" s="2">
        <v>4.3010567696482999E-6</v>
      </c>
      <c r="F47134" s="2">
        <v>4.7268558237922802E-5</v>
      </c>
    </row>
    <row r="47135" spans="1:6" x14ac:dyDescent="0.25">
      <c r="A47135" s="1" t="str">
        <f t="shared" si="1540"/>
        <v>99999</v>
      </c>
      <c r="B47135" s="1" t="str">
        <f>"71635"</f>
        <v>71635</v>
      </c>
      <c r="C47135" s="2">
        <v>7.0142230992797797E-4</v>
      </c>
      <c r="D47135" s="2">
        <v>8.4169127245952997E-4</v>
      </c>
      <c r="E47135" s="2">
        <v>3.9569722280764303E-4</v>
      </c>
      <c r="F47135" s="2">
        <v>7.0360087732022902E-4</v>
      </c>
    </row>
    <row r="47136" spans="1:6" x14ac:dyDescent="0.25">
      <c r="A47136" s="1" t="str">
        <f t="shared" si="1540"/>
        <v>99999</v>
      </c>
      <c r="B47136" s="1" t="str">
        <f>"71653"</f>
        <v>71653</v>
      </c>
      <c r="C47136" s="2">
        <v>3.1579701775889899E-4</v>
      </c>
      <c r="D47136" s="2">
        <v>4.53218377478208E-4</v>
      </c>
      <c r="E47136" s="2">
        <v>1.8064438432522799E-4</v>
      </c>
      <c r="F47136" s="2">
        <v>3.2170250491780499E-4</v>
      </c>
    </row>
    <row r="47137" spans="1:6" x14ac:dyDescent="0.25">
      <c r="A47137" s="1" t="str">
        <f t="shared" si="1540"/>
        <v>99999</v>
      </c>
      <c r="B47137" s="1" t="str">
        <f>"71441"</f>
        <v>71441</v>
      </c>
      <c r="C47137" s="2">
        <v>3.1287397371382199E-5</v>
      </c>
      <c r="D47137" s="2">
        <v>3.01141779055288E-6</v>
      </c>
      <c r="E47137" s="2">
        <v>4.3010567696482999E-6</v>
      </c>
      <c r="F47137" s="2">
        <v>2.88150709926377E-5</v>
      </c>
    </row>
    <row r="47138" spans="1:6" x14ac:dyDescent="0.25">
      <c r="A47138" s="1" t="str">
        <f t="shared" si="1540"/>
        <v>99999</v>
      </c>
      <c r="B47138" s="1" t="str">
        <f>"71742"</f>
        <v>71742</v>
      </c>
      <c r="C47138" s="2">
        <v>2.8201961990467398E-4</v>
      </c>
      <c r="D47138" s="2">
        <v>5.90237886948364E-4</v>
      </c>
      <c r="E47138" s="2">
        <v>2.2795600879136E-4</v>
      </c>
      <c r="F47138" s="2">
        <v>3.00979337423099E-4</v>
      </c>
    </row>
    <row r="47139" spans="1:6" x14ac:dyDescent="0.25">
      <c r="A47139" s="1" t="str">
        <f t="shared" si="1540"/>
        <v>99999</v>
      </c>
      <c r="B47139" s="1" t="str">
        <f>"71454"</f>
        <v>71454</v>
      </c>
      <c r="C47139" s="2">
        <v>1.33160895386851E-5</v>
      </c>
      <c r="D47139" s="2">
        <v>1.50570889527644E-6</v>
      </c>
      <c r="E47139" s="2">
        <v>0</v>
      </c>
      <c r="F47139" s="2">
        <v>1.22365369968735E-5</v>
      </c>
    </row>
    <row r="47140" spans="1:6" x14ac:dyDescent="0.25">
      <c r="A47140" s="1" t="str">
        <f t="shared" si="1540"/>
        <v>99999</v>
      </c>
      <c r="B47140" s="1" t="str">
        <f>"71333"</f>
        <v>71333</v>
      </c>
      <c r="C47140" s="2">
        <v>3.0962614699707001E-5</v>
      </c>
      <c r="D47140" s="2">
        <v>3.01141779055288E-6</v>
      </c>
      <c r="E47140" s="2">
        <v>1.29031703089449E-5</v>
      </c>
      <c r="F47140" s="2">
        <v>2.87163892426629E-5</v>
      </c>
    </row>
    <row r="47141" spans="1:6" x14ac:dyDescent="0.25">
      <c r="A47141" s="1" t="str">
        <f t="shared" si="1540"/>
        <v>99999</v>
      </c>
      <c r="B47141" s="1" t="str">
        <f>"71350"</f>
        <v>71350</v>
      </c>
      <c r="C47141" s="2">
        <v>1.6747959769386901E-4</v>
      </c>
      <c r="D47141" s="2">
        <v>1.9875357417648999E-4</v>
      </c>
      <c r="E47141" s="2">
        <v>1.2473064631979999E-4</v>
      </c>
      <c r="F47141" s="2">
        <v>1.6854842895693499E-4</v>
      </c>
    </row>
    <row r="47142" spans="1:6" x14ac:dyDescent="0.25">
      <c r="A47142" s="1" t="str">
        <f t="shared" si="1540"/>
        <v>99999</v>
      </c>
      <c r="B47142" s="1" t="str">
        <f>"71357"</f>
        <v>71357</v>
      </c>
      <c r="C47142" s="2">
        <v>4.8392618079612001E-5</v>
      </c>
      <c r="D47142" s="2">
        <v>4.8182684648845999E-5</v>
      </c>
      <c r="E47142" s="2">
        <v>1.29031703089449E-5</v>
      </c>
      <c r="F47142" s="2">
        <v>4.75646034878472E-5</v>
      </c>
    </row>
    <row r="47143" spans="1:6" x14ac:dyDescent="0.25">
      <c r="A47143" s="1" t="str">
        <f t="shared" si="1540"/>
        <v>99999</v>
      </c>
      <c r="B47143" s="1" t="str">
        <f>"73737"</f>
        <v>73737</v>
      </c>
      <c r="C47143" s="2">
        <v>2.23233956331454E-4</v>
      </c>
      <c r="D47143" s="2">
        <v>4.5171266858293202E-4</v>
      </c>
      <c r="E47143" s="2">
        <v>1.3333275985909701E-4</v>
      </c>
      <c r="F47143" s="2">
        <v>2.3614542768966401E-4</v>
      </c>
    </row>
    <row r="47144" spans="1:6" x14ac:dyDescent="0.25">
      <c r="A47144" s="1" t="str">
        <f t="shared" si="1540"/>
        <v>99999</v>
      </c>
      <c r="B47144" s="1" t="str">
        <f>"73750"</f>
        <v>73750</v>
      </c>
      <c r="C47144" s="2">
        <v>4.0651964404685203E-4</v>
      </c>
      <c r="D47144" s="2">
        <v>4.9838964433650105E-4</v>
      </c>
      <c r="E47144" s="2">
        <v>2.3225706556100799E-4</v>
      </c>
      <c r="F47144" s="2">
        <v>4.08542444895617E-4</v>
      </c>
    </row>
    <row r="47145" spans="1:6" x14ac:dyDescent="0.25">
      <c r="A47145" s="1" t="str">
        <f t="shared" si="1540"/>
        <v>99999</v>
      </c>
      <c r="B47145" s="1" t="str">
        <f>"73628"</f>
        <v>73628</v>
      </c>
      <c r="C47145" s="2">
        <v>9.0722626287952695E-5</v>
      </c>
      <c r="D47145" s="2">
        <v>3.4631304591358098E-5</v>
      </c>
      <c r="E47145" s="2">
        <v>1.29031703089449E-5</v>
      </c>
      <c r="F47145" s="2">
        <v>8.5261031978215807E-5</v>
      </c>
    </row>
    <row r="47146" spans="1:6" x14ac:dyDescent="0.25">
      <c r="A47146" s="1" t="str">
        <f t="shared" si="1540"/>
        <v>99999</v>
      </c>
      <c r="B47146" s="1" t="str">
        <f>"73768"</f>
        <v>73768</v>
      </c>
      <c r="C47146" s="2">
        <v>1.10750891041259E-4</v>
      </c>
      <c r="D47146" s="2">
        <v>5.5711229125228301E-5</v>
      </c>
      <c r="E47146" s="2">
        <v>1.29031703089449E-5</v>
      </c>
      <c r="F47146" s="2">
        <v>1.04898700223198E-4</v>
      </c>
    </row>
    <row r="47147" spans="1:6" x14ac:dyDescent="0.25">
      <c r="A47147" s="1" t="str">
        <f t="shared" si="1540"/>
        <v>99999</v>
      </c>
      <c r="B47147" s="1" t="str">
        <f>"73834"</f>
        <v>73834</v>
      </c>
      <c r="C47147" s="2">
        <v>4.3520878004483202E-5</v>
      </c>
      <c r="D47147" s="2">
        <v>2.25856334291466E-5</v>
      </c>
      <c r="E47147" s="2">
        <v>4.3010567696482999E-6</v>
      </c>
      <c r="F47147" s="2">
        <v>4.1248971489460799E-5</v>
      </c>
    </row>
    <row r="47148" spans="1:6" x14ac:dyDescent="0.25">
      <c r="A47148" s="1" t="str">
        <f t="shared" si="1540"/>
        <v>99999</v>
      </c>
      <c r="B47148" s="1" t="str">
        <f>"73564"</f>
        <v>73564</v>
      </c>
      <c r="C47148" s="2">
        <v>4.1788703755548602E-5</v>
      </c>
      <c r="D47148" s="2">
        <v>2.25856334291466E-5</v>
      </c>
      <c r="E47148" s="2">
        <v>4.3010567696482999E-6</v>
      </c>
      <c r="F47148" s="2">
        <v>3.9670063489864202E-5</v>
      </c>
    </row>
    <row r="47149" spans="1:6" x14ac:dyDescent="0.25">
      <c r="A47149" s="1" t="str">
        <f t="shared" si="1540"/>
        <v>99999</v>
      </c>
      <c r="B47149" s="1" t="str">
        <f>"73842"</f>
        <v>73842</v>
      </c>
      <c r="C47149" s="2">
        <v>3.9948268616055503E-5</v>
      </c>
      <c r="D47149" s="2">
        <v>2.1079924533870101E-5</v>
      </c>
      <c r="E47149" s="2">
        <v>4.3010567696482999E-6</v>
      </c>
      <c r="F47149" s="2">
        <v>3.7893791990318099E-5</v>
      </c>
    </row>
    <row r="47150" spans="1:6" x14ac:dyDescent="0.25">
      <c r="A47150" s="1" t="str">
        <f t="shared" si="1540"/>
        <v>99999</v>
      </c>
      <c r="B47150" s="1" t="str">
        <f>"73571"</f>
        <v>73571</v>
      </c>
      <c r="C47150" s="2">
        <v>1.05013063841663E-5</v>
      </c>
      <c r="D47150" s="2">
        <v>1.50570889527644E-6</v>
      </c>
      <c r="E47150" s="2">
        <v>4.3010567696482999E-6</v>
      </c>
      <c r="F47150" s="2">
        <v>9.7694932475038906E-6</v>
      </c>
    </row>
    <row r="47151" spans="1:6" x14ac:dyDescent="0.25">
      <c r="A47151" s="1" t="str">
        <f t="shared" si="1540"/>
        <v>99999</v>
      </c>
      <c r="B47151" s="1" t="str">
        <f>"73658"</f>
        <v>73658</v>
      </c>
      <c r="C47151" s="2">
        <v>2.30595696889426E-5</v>
      </c>
      <c r="D47151" s="2">
        <v>7.5285444763821999E-6</v>
      </c>
      <c r="E47151" s="2">
        <v>4.3010567696482999E-6</v>
      </c>
      <c r="F47151" s="2">
        <v>2.1611303244478299E-5</v>
      </c>
    </row>
    <row r="47152" spans="1:6" x14ac:dyDescent="0.25">
      <c r="A47152" s="1" t="str">
        <f t="shared" si="1540"/>
        <v>99999</v>
      </c>
      <c r="B47152" s="1" t="str">
        <f>"73756"</f>
        <v>73756</v>
      </c>
      <c r="C47152" s="2">
        <v>2.69569617490456E-5</v>
      </c>
      <c r="D47152" s="2">
        <v>1.80685067433172E-5</v>
      </c>
      <c r="E47152" s="2">
        <v>1.29031703089449E-5</v>
      </c>
      <c r="F47152" s="2">
        <v>2.6051981993343701E-5</v>
      </c>
    </row>
    <row r="47153" spans="1:6" x14ac:dyDescent="0.25">
      <c r="A47153" s="1" t="str">
        <f t="shared" si="1540"/>
        <v>99999</v>
      </c>
      <c r="B47153" s="1" t="str">
        <f>"74965"</f>
        <v>74965</v>
      </c>
      <c r="C47153" s="2">
        <v>2.6740439967928701E-4</v>
      </c>
      <c r="D47153" s="2">
        <v>1.06905331564627E-4</v>
      </c>
      <c r="E47153" s="2">
        <v>9.8924305701910905E-5</v>
      </c>
      <c r="F47153" s="2">
        <v>2.5302000693535302E-4</v>
      </c>
    </row>
    <row r="47154" spans="1:6" x14ac:dyDescent="0.25">
      <c r="A47154" s="1" t="str">
        <f t="shared" si="1540"/>
        <v>99999</v>
      </c>
      <c r="B47154" s="1" t="str">
        <f>"74959"</f>
        <v>74959</v>
      </c>
      <c r="C47154" s="2">
        <v>3.4145484882124402E-4</v>
      </c>
      <c r="D47154" s="2">
        <v>3.1017603242694601E-4</v>
      </c>
      <c r="E47154" s="2">
        <v>1.2473064631979999E-4</v>
      </c>
      <c r="F47154" s="2">
        <v>3.3443245066455202E-4</v>
      </c>
    </row>
    <row r="47155" spans="1:6" x14ac:dyDescent="0.25">
      <c r="A47155" s="1" t="str">
        <f t="shared" si="1540"/>
        <v>99999</v>
      </c>
      <c r="B47155" s="1" t="str">
        <f>"74366"</f>
        <v>74366</v>
      </c>
      <c r="C47155" s="2">
        <v>9.8409149517600204E-5</v>
      </c>
      <c r="D47155" s="2">
        <v>9.0342533716586405E-6</v>
      </c>
      <c r="E47155" s="2">
        <v>4.3010567696482999E-6</v>
      </c>
      <c r="F47155" s="2">
        <v>9.0392482976904697E-5</v>
      </c>
    </row>
    <row r="47156" spans="1:6" x14ac:dyDescent="0.25">
      <c r="A47156" s="1" t="str">
        <f t="shared" si="1540"/>
        <v>99999</v>
      </c>
      <c r="B47156" s="1" t="str">
        <f>"74536"</f>
        <v>74536</v>
      </c>
      <c r="C47156" s="2">
        <v>5.14239230152476E-5</v>
      </c>
      <c r="D47156" s="2">
        <v>3.01141779055288E-5</v>
      </c>
      <c r="E47156" s="2">
        <v>1.29031703089449E-5</v>
      </c>
      <c r="F47156" s="2">
        <v>4.9143511487443803E-5</v>
      </c>
    </row>
    <row r="47157" spans="1:6" x14ac:dyDescent="0.25">
      <c r="A47157" s="1" t="str">
        <f t="shared" si="1540"/>
        <v>99999</v>
      </c>
      <c r="B47157" s="1" t="str">
        <f>"74740"</f>
        <v>74740</v>
      </c>
      <c r="C47157" s="2">
        <v>1.9335395053733101E-4</v>
      </c>
      <c r="D47157" s="2">
        <v>1.2798525609849701E-4</v>
      </c>
      <c r="E47157" s="2">
        <v>4.3010567696482999E-6</v>
      </c>
      <c r="F47157" s="2">
        <v>1.847322359528E-4</v>
      </c>
    </row>
    <row r="47158" spans="1:6" x14ac:dyDescent="0.25">
      <c r="A47158" s="1" t="str">
        <f t="shared" si="1540"/>
        <v>99999</v>
      </c>
      <c r="B47158" s="1" t="str">
        <f>"74766"</f>
        <v>74766</v>
      </c>
      <c r="C47158" s="2">
        <v>5.06660967813387E-5</v>
      </c>
      <c r="D47158" s="2">
        <v>5.5711229125228301E-5</v>
      </c>
      <c r="E47158" s="2">
        <v>4.3010567696482999E-6</v>
      </c>
      <c r="F47158" s="2">
        <v>4.9932965487242098E-5</v>
      </c>
    </row>
    <row r="47159" spans="1:6" x14ac:dyDescent="0.25">
      <c r="A47159" s="1" t="str">
        <f t="shared" si="1540"/>
        <v>99999</v>
      </c>
      <c r="B47159" s="1" t="str">
        <f>"74849"</f>
        <v>74849</v>
      </c>
      <c r="C47159" s="2">
        <v>1.38790461695889E-4</v>
      </c>
      <c r="D47159" s="2">
        <v>1.55088016213473E-4</v>
      </c>
      <c r="E47159" s="2">
        <v>2.58063406178898E-5</v>
      </c>
      <c r="F47159" s="2">
        <v>1.3726631421492801E-4</v>
      </c>
    </row>
    <row r="47160" spans="1:6" x14ac:dyDescent="0.25">
      <c r="A47160" s="1" t="str">
        <f t="shared" si="1540"/>
        <v>99999</v>
      </c>
      <c r="B47160" s="1" t="str">
        <f>"74883"</f>
        <v>74883</v>
      </c>
      <c r="C47160" s="2">
        <v>1.3359393894908501E-4</v>
      </c>
      <c r="D47160" s="2">
        <v>2.4392484103478301E-4</v>
      </c>
      <c r="E47160" s="2">
        <v>2.5806340617889802E-4</v>
      </c>
      <c r="F47160" s="2">
        <v>1.4368062796328899E-4</v>
      </c>
    </row>
    <row r="47161" spans="1:6" x14ac:dyDescent="0.25">
      <c r="A47161" s="1" t="str">
        <f t="shared" si="1540"/>
        <v>99999</v>
      </c>
      <c r="B47161" s="1" t="str">
        <f>"74930"</f>
        <v>74930</v>
      </c>
      <c r="C47161" s="2">
        <v>1.0804436877729901E-4</v>
      </c>
      <c r="D47161" s="2">
        <v>3.01141779055288E-6</v>
      </c>
      <c r="E47161" s="2">
        <v>4.3010567696482999E-6</v>
      </c>
      <c r="F47161" s="2">
        <v>9.8780431724761504E-5</v>
      </c>
    </row>
    <row r="47162" spans="1:6" x14ac:dyDescent="0.25">
      <c r="A47162" s="1" t="str">
        <f t="shared" si="1540"/>
        <v>99999</v>
      </c>
      <c r="B47162" s="1" t="str">
        <f>"74932"</f>
        <v>74932</v>
      </c>
      <c r="C47162" s="2">
        <v>1.1140045638461001E-4</v>
      </c>
      <c r="D47162" s="2">
        <v>4.6676975753569603E-5</v>
      </c>
      <c r="E47162" s="2">
        <v>1.29031703089449E-5</v>
      </c>
      <c r="F47162" s="2">
        <v>1.04898700223198E-4</v>
      </c>
    </row>
    <row r="47163" spans="1:6" x14ac:dyDescent="0.25">
      <c r="A47163" s="1" t="str">
        <f t="shared" si="1540"/>
        <v>99999</v>
      </c>
      <c r="B47163" s="1" t="str">
        <f>"74937"</f>
        <v>74937</v>
      </c>
      <c r="C47163" s="2">
        <v>2.52356135891668E-4</v>
      </c>
      <c r="D47163" s="2">
        <v>2.3639629655840101E-4</v>
      </c>
      <c r="E47163" s="2">
        <v>1.11827476010855E-4</v>
      </c>
      <c r="F47163" s="2">
        <v>2.4808591943661402E-4</v>
      </c>
    </row>
    <row r="47164" spans="1:6" x14ac:dyDescent="0.25">
      <c r="A47164" s="1" t="str">
        <f t="shared" si="1540"/>
        <v>99999</v>
      </c>
      <c r="B47164" s="1" t="str">
        <f>"74075"</f>
        <v>74075</v>
      </c>
      <c r="C47164" s="2">
        <v>2.3492613251176299E-5</v>
      </c>
      <c r="D47164" s="2">
        <v>3.01141779055288E-6</v>
      </c>
      <c r="E47164" s="2">
        <v>8.6021135392965999E-6</v>
      </c>
      <c r="F47164" s="2">
        <v>2.1808666744427801E-5</v>
      </c>
    </row>
    <row r="47165" spans="1:6" x14ac:dyDescent="0.25">
      <c r="A47165" s="1" t="str">
        <f t="shared" si="1540"/>
        <v>99999</v>
      </c>
      <c r="B47165" s="1" t="str">
        <f>"73439"</f>
        <v>73439</v>
      </c>
      <c r="C47165" s="2">
        <v>4.5491226212646401E-4</v>
      </c>
      <c r="D47165" s="2">
        <v>2.3338487876784801E-4</v>
      </c>
      <c r="E47165" s="2">
        <v>6.4515851544724506E-5</v>
      </c>
      <c r="F47165" s="2">
        <v>4.3143661088976699E-4</v>
      </c>
    </row>
    <row r="47166" spans="1:6" x14ac:dyDescent="0.25">
      <c r="A47166" s="1" t="str">
        <f t="shared" si="1540"/>
        <v>99999</v>
      </c>
      <c r="B47166" s="1" t="str">
        <f>"73461"</f>
        <v>73461</v>
      </c>
      <c r="C47166" s="2">
        <v>4.1139138412198099E-5</v>
      </c>
      <c r="D47166" s="2">
        <v>1.50570889527644E-6</v>
      </c>
      <c r="E47166" s="2">
        <v>4.3010567696482999E-6</v>
      </c>
      <c r="F47166" s="2">
        <v>3.7696428490368499E-5</v>
      </c>
    </row>
    <row r="47167" spans="1:6" x14ac:dyDescent="0.25">
      <c r="A47167" s="1" t="str">
        <f t="shared" si="1540"/>
        <v>99999</v>
      </c>
      <c r="B47167" s="1" t="str">
        <f>"73077"</f>
        <v>73077</v>
      </c>
      <c r="C47167" s="2">
        <v>3.76856160033846E-4</v>
      </c>
      <c r="D47167" s="2">
        <v>5.72169380205047E-4</v>
      </c>
      <c r="E47167" s="2">
        <v>2.4085917910030401E-4</v>
      </c>
      <c r="F47167" s="2">
        <v>3.86536414651239E-4</v>
      </c>
    </row>
    <row r="47168" spans="1:6" x14ac:dyDescent="0.25">
      <c r="A47168" s="1" t="str">
        <f t="shared" si="1540"/>
        <v>99999</v>
      </c>
      <c r="B47168" s="1" t="str">
        <f>"73086"</f>
        <v>73086</v>
      </c>
      <c r="C47168" s="2">
        <v>4.47875304240167E-4</v>
      </c>
      <c r="D47168" s="2">
        <v>6.1131781148223395E-4</v>
      </c>
      <c r="E47168" s="2">
        <v>3.0537503064502898E-4</v>
      </c>
      <c r="F47168" s="2">
        <v>4.5531759438366599E-4</v>
      </c>
    </row>
    <row r="47169" spans="1:6" x14ac:dyDescent="0.25">
      <c r="A47169" s="1" t="str">
        <f t="shared" si="1540"/>
        <v>99999</v>
      </c>
      <c r="B47169" s="1" t="str">
        <f>"73057"</f>
        <v>73057</v>
      </c>
      <c r="C47169" s="2">
        <v>5.7486532886518899E-5</v>
      </c>
      <c r="D47169" s="2">
        <v>2.8608469010252301E-5</v>
      </c>
      <c r="E47169" s="2">
        <v>1.29031703089449E-5</v>
      </c>
      <c r="F47169" s="2">
        <v>5.4571007736057098E-5</v>
      </c>
    </row>
    <row r="47170" spans="1:6" x14ac:dyDescent="0.25">
      <c r="A47170" s="1" t="str">
        <f t="shared" si="1540"/>
        <v>99999</v>
      </c>
      <c r="B47170" s="1" t="str">
        <f>"75127"</f>
        <v>75127</v>
      </c>
      <c r="C47170" s="2">
        <v>8.0762624356578398E-5</v>
      </c>
      <c r="D47170" s="2">
        <v>2.25856334291466E-5</v>
      </c>
      <c r="E47170" s="2">
        <v>0</v>
      </c>
      <c r="F47170" s="2">
        <v>7.5096811730812694E-5</v>
      </c>
    </row>
    <row r="47171" spans="1:6" x14ac:dyDescent="0.25">
      <c r="A47171" s="1" t="str">
        <f t="shared" si="1540"/>
        <v>99999</v>
      </c>
      <c r="B47171" s="1" t="str">
        <f>"75758"</f>
        <v>75758</v>
      </c>
      <c r="C47171" s="2">
        <v>3.3669136963667403E-5</v>
      </c>
      <c r="D47171" s="2">
        <v>6.0228355811057601E-6</v>
      </c>
      <c r="E47171" s="2">
        <v>0</v>
      </c>
      <c r="F47171" s="2">
        <v>3.1084751242057802E-5</v>
      </c>
    </row>
    <row r="47172" spans="1:6" x14ac:dyDescent="0.25">
      <c r="A47172" s="1" t="str">
        <f t="shared" si="1540"/>
        <v>99999</v>
      </c>
      <c r="B47172" s="1" t="str">
        <f>"75692"</f>
        <v>75692</v>
      </c>
      <c r="C47172" s="2">
        <v>7.5782623390891297E-6</v>
      </c>
      <c r="D47172" s="2">
        <v>9.0342533716586405E-6</v>
      </c>
      <c r="E47172" s="2">
        <v>0</v>
      </c>
      <c r="F47172" s="2">
        <v>7.4998129980837899E-6</v>
      </c>
    </row>
    <row r="47173" spans="1:6" x14ac:dyDescent="0.25">
      <c r="A47173" s="1" t="str">
        <f t="shared" si="1540"/>
        <v>99999</v>
      </c>
      <c r="B47173" s="1" t="str">
        <f>"75415"</f>
        <v>75415</v>
      </c>
      <c r="C47173" s="2">
        <v>1.32078286481267E-5</v>
      </c>
      <c r="D47173" s="2">
        <v>4.5171266858293203E-6</v>
      </c>
      <c r="E47173" s="2">
        <v>4.3010567696482999E-6</v>
      </c>
      <c r="F47173" s="2">
        <v>1.2433900496823101E-5</v>
      </c>
    </row>
    <row r="47174" spans="1:6" x14ac:dyDescent="0.25">
      <c r="A47174" s="1" t="str">
        <f t="shared" ref="A47174:A47237" si="1541">"99999"</f>
        <v>99999</v>
      </c>
      <c r="B47174" s="1" t="str">
        <f>"75487"</f>
        <v>75487</v>
      </c>
      <c r="C47174" s="2">
        <v>3.4318702307017899E-5</v>
      </c>
      <c r="D47174" s="2">
        <v>1.9574215638593701E-5</v>
      </c>
      <c r="E47174" s="2">
        <v>0</v>
      </c>
      <c r="F47174" s="2">
        <v>3.2564977491679601E-5</v>
      </c>
    </row>
    <row r="47175" spans="1:6" x14ac:dyDescent="0.25">
      <c r="A47175" s="1" t="str">
        <f t="shared" si="1541"/>
        <v>99999</v>
      </c>
      <c r="B47175" s="1" t="str">
        <f>"75469"</f>
        <v>75469</v>
      </c>
      <c r="C47175" s="2">
        <v>1.3749133100918801E-5</v>
      </c>
      <c r="D47175" s="2">
        <v>1.50570889527644E-6</v>
      </c>
      <c r="E47175" s="2">
        <v>1.97848611403821E-4</v>
      </c>
      <c r="F47175" s="2">
        <v>1.7170624495612899E-5</v>
      </c>
    </row>
    <row r="47176" spans="1:6" x14ac:dyDescent="0.25">
      <c r="A47176" s="1" t="str">
        <f t="shared" si="1541"/>
        <v>99999</v>
      </c>
      <c r="B47176" s="1" t="str">
        <f>"75497"</f>
        <v>75497</v>
      </c>
      <c r="C47176" s="2">
        <v>2.07969170762717E-4</v>
      </c>
      <c r="D47176" s="2">
        <v>4.8182684648845999E-5</v>
      </c>
      <c r="E47176" s="2">
        <v>1.0322536247155899E-3</v>
      </c>
      <c r="F47176" s="2">
        <v>2.1640907769470701E-4</v>
      </c>
    </row>
    <row r="47177" spans="1:6" x14ac:dyDescent="0.25">
      <c r="A47177" s="1" t="str">
        <f t="shared" si="1541"/>
        <v>99999</v>
      </c>
      <c r="B47177" s="1" t="str">
        <f>"75651"</f>
        <v>75651</v>
      </c>
      <c r="C47177" s="2">
        <v>4.5469574034534697E-6</v>
      </c>
      <c r="D47177" s="2">
        <v>0</v>
      </c>
      <c r="E47177" s="2">
        <v>0</v>
      </c>
      <c r="F47177" s="2">
        <v>4.1446334989410403E-6</v>
      </c>
    </row>
    <row r="47178" spans="1:6" x14ac:dyDescent="0.25">
      <c r="A47178" s="1" t="str">
        <f t="shared" si="1541"/>
        <v>99999</v>
      </c>
      <c r="B47178" s="1" t="str">
        <f>"75555"</f>
        <v>75555</v>
      </c>
      <c r="C47178" s="2">
        <v>1.26340459281671E-4</v>
      </c>
      <c r="D47178" s="2">
        <v>1.80685067433172E-5</v>
      </c>
      <c r="E47178" s="2">
        <v>0</v>
      </c>
      <c r="F47178" s="2">
        <v>1.1634578322027301E-4</v>
      </c>
    </row>
    <row r="47179" spans="1:6" x14ac:dyDescent="0.25">
      <c r="A47179" s="1" t="str">
        <f t="shared" si="1541"/>
        <v>99999</v>
      </c>
      <c r="B47179" s="1" t="str">
        <f>"79510"</f>
        <v>79510</v>
      </c>
      <c r="C47179" s="2">
        <v>4.98000096568714E-6</v>
      </c>
      <c r="D47179" s="2">
        <v>4.5171266858293203E-6</v>
      </c>
      <c r="E47179" s="2">
        <v>0</v>
      </c>
      <c r="F47179" s="2">
        <v>4.8354057487645501E-6</v>
      </c>
    </row>
    <row r="47180" spans="1:6" x14ac:dyDescent="0.25">
      <c r="A47180" s="1" t="str">
        <f t="shared" si="1541"/>
        <v>99999</v>
      </c>
      <c r="B47180" s="1" t="str">
        <f>"79518"</f>
        <v>79518</v>
      </c>
      <c r="C47180" s="2">
        <v>8.1195667918812104E-6</v>
      </c>
      <c r="D47180" s="2">
        <v>3.01141779055288E-6</v>
      </c>
      <c r="E47180" s="2">
        <v>8.6021135392965999E-6</v>
      </c>
      <c r="F47180" s="2">
        <v>7.7958582480081497E-6</v>
      </c>
    </row>
    <row r="47181" spans="1:6" x14ac:dyDescent="0.25">
      <c r="A47181" s="1" t="str">
        <f t="shared" si="1541"/>
        <v>99999</v>
      </c>
      <c r="B47181" s="1" t="str">
        <f>"79549"</f>
        <v>79549</v>
      </c>
      <c r="C47181" s="2">
        <v>2.8039570654629701E-5</v>
      </c>
      <c r="D47181" s="2">
        <v>1.50570889527644E-6</v>
      </c>
      <c r="E47181" s="2">
        <v>0</v>
      </c>
      <c r="F47181" s="2">
        <v>2.56572549934445E-5</v>
      </c>
    </row>
    <row r="47182" spans="1:6" x14ac:dyDescent="0.25">
      <c r="A47182" s="1" t="str">
        <f t="shared" si="1541"/>
        <v>99999</v>
      </c>
      <c r="B47182" s="1" t="str">
        <f>"79561"</f>
        <v>79561</v>
      </c>
      <c r="C47182" s="2">
        <v>2.49000048284357E-6</v>
      </c>
      <c r="D47182" s="2">
        <v>1.50570889527644E-6</v>
      </c>
      <c r="E47182" s="2">
        <v>0</v>
      </c>
      <c r="F47182" s="2">
        <v>2.3683619993948799E-6</v>
      </c>
    </row>
    <row r="47183" spans="1:6" x14ac:dyDescent="0.25">
      <c r="A47183" s="1" t="str">
        <f t="shared" si="1541"/>
        <v>99999</v>
      </c>
      <c r="B47183" s="1" t="str">
        <f>"76442"</f>
        <v>76442</v>
      </c>
      <c r="C47183" s="2">
        <v>5.0514531534556902E-4</v>
      </c>
      <c r="D47183" s="2">
        <v>5.4356091119479497E-4</v>
      </c>
      <c r="E47183" s="2">
        <v>3.8279405249869798E-4</v>
      </c>
      <c r="F47183" s="2">
        <v>5.0485583287100905E-4</v>
      </c>
    </row>
    <row r="47184" spans="1:6" x14ac:dyDescent="0.25">
      <c r="A47184" s="1" t="str">
        <f t="shared" si="1541"/>
        <v>99999</v>
      </c>
      <c r="B47184" s="1" t="str">
        <f>"76834"</f>
        <v>76834</v>
      </c>
      <c r="C47184" s="2">
        <v>3.84326161482377E-4</v>
      </c>
      <c r="D47184" s="2">
        <v>7.6640582769570804E-4</v>
      </c>
      <c r="E47184" s="2">
        <v>5.1612681235779605E-4</v>
      </c>
      <c r="F47184" s="2">
        <v>4.1239103314463403E-4</v>
      </c>
    </row>
    <row r="47185" spans="1:6" x14ac:dyDescent="0.25">
      <c r="A47185" s="1" t="str">
        <f t="shared" si="1541"/>
        <v>99999</v>
      </c>
      <c r="B47185" s="1" t="str">
        <f>"76372"</f>
        <v>76372</v>
      </c>
      <c r="C47185" s="2">
        <v>3.7999572586004001E-5</v>
      </c>
      <c r="D47185" s="2">
        <v>1.50570889527644E-5</v>
      </c>
      <c r="E47185" s="2">
        <v>1.29031703089449E-5</v>
      </c>
      <c r="F47185" s="2">
        <v>3.5920156990822301E-5</v>
      </c>
    </row>
    <row r="47186" spans="1:6" x14ac:dyDescent="0.25">
      <c r="A47186" s="1" t="str">
        <f t="shared" si="1541"/>
        <v>99999</v>
      </c>
      <c r="B47186" s="1" t="str">
        <f>"76882"</f>
        <v>76882</v>
      </c>
      <c r="C47186" s="2">
        <v>1.7430003379904999E-5</v>
      </c>
      <c r="D47186" s="2">
        <v>2.1079924533870101E-5</v>
      </c>
      <c r="E47186" s="2">
        <v>2.3225706556100799E-4</v>
      </c>
      <c r="F47186" s="2">
        <v>2.25981207442261E-5</v>
      </c>
    </row>
    <row r="47187" spans="1:6" x14ac:dyDescent="0.25">
      <c r="A47187" s="1" t="str">
        <f t="shared" si="1541"/>
        <v>99999</v>
      </c>
      <c r="B47187" s="1" t="str">
        <f>"76862"</f>
        <v>76862</v>
      </c>
      <c r="C47187" s="2">
        <v>1.42904375537109E-5</v>
      </c>
      <c r="D47187" s="2">
        <v>3.01141779055288E-6</v>
      </c>
      <c r="E47187" s="2">
        <v>8.1720078623317706E-5</v>
      </c>
      <c r="F47187" s="2">
        <v>1.5098307746142301E-5</v>
      </c>
    </row>
    <row r="47188" spans="1:6" x14ac:dyDescent="0.25">
      <c r="A47188" s="1" t="str">
        <f t="shared" si="1541"/>
        <v>99999</v>
      </c>
      <c r="B47188" s="1" t="str">
        <f>"79014"</f>
        <v>79014</v>
      </c>
      <c r="C47188" s="2">
        <v>2.2637352215764799E-4</v>
      </c>
      <c r="D47188" s="2">
        <v>3.7793293271438602E-4</v>
      </c>
      <c r="E47188" s="2">
        <v>3.1827820095397402E-4</v>
      </c>
      <c r="F47188" s="2">
        <v>2.3841510793908401E-4</v>
      </c>
    </row>
    <row r="47189" spans="1:6" x14ac:dyDescent="0.25">
      <c r="A47189" s="1" t="str">
        <f t="shared" si="1541"/>
        <v>99999</v>
      </c>
      <c r="B47189" s="1" t="str">
        <f>"79027"</f>
        <v>79027</v>
      </c>
      <c r="C47189" s="2">
        <v>2.1641352022627299E-4</v>
      </c>
      <c r="D47189" s="2">
        <v>4.4719554189710201E-4</v>
      </c>
      <c r="E47189" s="2">
        <v>2.49461292639601E-4</v>
      </c>
      <c r="F47189" s="2">
        <v>2.3229683944064799E-4</v>
      </c>
    </row>
    <row r="47190" spans="1:6" x14ac:dyDescent="0.25">
      <c r="A47190" s="1" t="str">
        <f t="shared" si="1541"/>
        <v>99999</v>
      </c>
      <c r="B47190" s="1" t="str">
        <f>"79226"</f>
        <v>79226</v>
      </c>
      <c r="C47190" s="2">
        <v>1.1464828310136201E-4</v>
      </c>
      <c r="D47190" s="2">
        <v>7.2274026973269097E-5</v>
      </c>
      <c r="E47190" s="2">
        <v>2.15052838482415E-5</v>
      </c>
      <c r="F47190" s="2">
        <v>1.09734105971962E-4</v>
      </c>
    </row>
    <row r="47191" spans="1:6" x14ac:dyDescent="0.25">
      <c r="A47191" s="1" t="str">
        <f t="shared" si="1541"/>
        <v>99999</v>
      </c>
      <c r="B47191" s="1" t="str">
        <f>"79230"</f>
        <v>79230</v>
      </c>
      <c r="C47191" s="2">
        <v>1.40739157725941E-5</v>
      </c>
      <c r="D47191" s="2">
        <v>7.5285444763821999E-6</v>
      </c>
      <c r="E47191" s="2">
        <v>8.6021135392965999E-6</v>
      </c>
      <c r="F47191" s="2">
        <v>1.35193997465457E-5</v>
      </c>
    </row>
    <row r="47192" spans="1:6" x14ac:dyDescent="0.25">
      <c r="A47192" s="1" t="str">
        <f t="shared" si="1541"/>
        <v>99999</v>
      </c>
      <c r="B47192" s="1" t="str">
        <f>"79245"</f>
        <v>79245</v>
      </c>
      <c r="C47192" s="2">
        <v>1.46476984925537E-4</v>
      </c>
      <c r="D47192" s="2">
        <v>3.4179591922775201E-4</v>
      </c>
      <c r="E47192" s="2">
        <v>2.5806340617889802E-4</v>
      </c>
      <c r="F47192" s="2">
        <v>1.6183806995864999E-4</v>
      </c>
    </row>
    <row r="47193" spans="1:6" x14ac:dyDescent="0.25">
      <c r="A47193" s="1" t="str">
        <f t="shared" si="1541"/>
        <v>99999</v>
      </c>
      <c r="B47193" s="1" t="str">
        <f>"67111"</f>
        <v>67111</v>
      </c>
      <c r="C47193" s="2">
        <v>2.0028264753306899E-5</v>
      </c>
      <c r="D47193" s="2">
        <v>4.5171266858293203E-6</v>
      </c>
      <c r="E47193" s="2">
        <v>4.3010567696482999E-6</v>
      </c>
      <c r="F47193" s="2">
        <v>1.8650850745234699E-5</v>
      </c>
    </row>
    <row r="47194" spans="1:6" x14ac:dyDescent="0.25">
      <c r="A47194" s="1" t="str">
        <f t="shared" si="1541"/>
        <v>99999</v>
      </c>
      <c r="B47194" s="1" t="str">
        <f>"67473"</f>
        <v>67473</v>
      </c>
      <c r="C47194" s="2">
        <v>9.8950453970392304E-5</v>
      </c>
      <c r="D47194" s="2">
        <v>2.2284491650091301E-4</v>
      </c>
      <c r="E47194" s="2">
        <v>6.4515851544724506E-5</v>
      </c>
      <c r="F47194" s="2">
        <v>1.0628024472284499E-4</v>
      </c>
    </row>
    <row r="47195" spans="1:6" x14ac:dyDescent="0.25">
      <c r="A47195" s="1" t="str">
        <f t="shared" si="1541"/>
        <v>99999</v>
      </c>
      <c r="B47195" s="1" t="str">
        <f>"67557"</f>
        <v>67557</v>
      </c>
      <c r="C47195" s="2">
        <v>3.5293050322043599E-5</v>
      </c>
      <c r="D47195" s="2">
        <v>5.1194102439398901E-5</v>
      </c>
      <c r="E47195" s="2">
        <v>3.01073973875381E-5</v>
      </c>
      <c r="F47195" s="2">
        <v>3.6216202240746699E-5</v>
      </c>
    </row>
    <row r="47196" spans="1:6" x14ac:dyDescent="0.25">
      <c r="A47196" s="1" t="str">
        <f t="shared" si="1541"/>
        <v>99999</v>
      </c>
      <c r="B47196" s="1" t="str">
        <f>"67529"</f>
        <v>67529</v>
      </c>
      <c r="C47196" s="2">
        <v>1.6455655364879201E-5</v>
      </c>
      <c r="D47196" s="2">
        <v>4.5171266858293203E-6</v>
      </c>
      <c r="E47196" s="2">
        <v>1.29031703089449E-5</v>
      </c>
      <c r="F47196" s="2">
        <v>1.5591716496016299E-5</v>
      </c>
    </row>
    <row r="47197" spans="1:6" x14ac:dyDescent="0.25">
      <c r="A47197" s="1" t="str">
        <f t="shared" si="1541"/>
        <v>99999</v>
      </c>
      <c r="B47197" s="1" t="str">
        <f>"67475"</f>
        <v>67475</v>
      </c>
      <c r="C47197" s="2">
        <v>1.1042610836958401E-5</v>
      </c>
      <c r="D47197" s="2">
        <v>7.5285444763821999E-6</v>
      </c>
      <c r="E47197" s="2">
        <v>4.3010567696482999E-6</v>
      </c>
      <c r="F47197" s="2">
        <v>1.06576289972769E-5</v>
      </c>
    </row>
    <row r="47198" spans="1:6" x14ac:dyDescent="0.25">
      <c r="A47198" s="1" t="str">
        <f t="shared" si="1541"/>
        <v>99999</v>
      </c>
      <c r="B47198" s="1" t="str">
        <f>"67346"</f>
        <v>67346</v>
      </c>
      <c r="C47198" s="2">
        <v>2.5224787500110899E-5</v>
      </c>
      <c r="D47198" s="2">
        <v>6.0228355811057601E-6</v>
      </c>
      <c r="E47198" s="2">
        <v>4.3010567696482999E-6</v>
      </c>
      <c r="F47198" s="2">
        <v>2.3486256493999199E-5</v>
      </c>
    </row>
    <row r="47199" spans="1:6" x14ac:dyDescent="0.25">
      <c r="A47199" s="1" t="str">
        <f t="shared" si="1541"/>
        <v>99999</v>
      </c>
      <c r="B47199" s="1" t="str">
        <f>"67661"</f>
        <v>67661</v>
      </c>
      <c r="C47199" s="2">
        <v>1.8772438422829299E-4</v>
      </c>
      <c r="D47199" s="2">
        <v>3.4330162812302799E-4</v>
      </c>
      <c r="E47199" s="2">
        <v>1.8064438432522799E-4</v>
      </c>
      <c r="F47199" s="2">
        <v>1.9775822694947199E-4</v>
      </c>
    </row>
    <row r="47200" spans="1:6" x14ac:dyDescent="0.25">
      <c r="A47200" s="1" t="str">
        <f t="shared" si="1541"/>
        <v>99999</v>
      </c>
      <c r="B47200" s="1" t="str">
        <f>"67349"</f>
        <v>67349</v>
      </c>
      <c r="C47200" s="2">
        <v>6.65804476934259E-5</v>
      </c>
      <c r="D47200" s="2">
        <v>2.1079924533870101E-5</v>
      </c>
      <c r="E47200" s="2">
        <v>1.5053698693768999E-4</v>
      </c>
      <c r="F47200" s="2">
        <v>6.5524681983258404E-5</v>
      </c>
    </row>
    <row r="47201" spans="1:6" x14ac:dyDescent="0.25">
      <c r="A47201" s="1" t="str">
        <f t="shared" si="1541"/>
        <v>99999</v>
      </c>
      <c r="B47201" s="1" t="str">
        <f>"67548"</f>
        <v>67548</v>
      </c>
      <c r="C47201" s="2">
        <v>7.5349579828657594E-5</v>
      </c>
      <c r="D47201" s="2">
        <v>8.2813989240204205E-5</v>
      </c>
      <c r="E47201" s="2">
        <v>5.1612681235779599E-5</v>
      </c>
      <c r="F47201" s="2">
        <v>7.5294175230762302E-5</v>
      </c>
    </row>
    <row r="47202" spans="1:6" x14ac:dyDescent="0.25">
      <c r="A47202" s="1" t="str">
        <f t="shared" si="1541"/>
        <v>99999</v>
      </c>
      <c r="B47202" s="1" t="str">
        <f>"67653"</f>
        <v>67653</v>
      </c>
      <c r="C47202" s="2">
        <v>1.93786994099564E-5</v>
      </c>
      <c r="D47202" s="2">
        <v>4.5171266858293203E-6</v>
      </c>
      <c r="E47202" s="2">
        <v>8.6021135392965999E-6</v>
      </c>
      <c r="F47202" s="2">
        <v>1.81574419953607E-5</v>
      </c>
    </row>
    <row r="47203" spans="1:6" x14ac:dyDescent="0.25">
      <c r="A47203" s="1" t="str">
        <f t="shared" si="1541"/>
        <v>99999</v>
      </c>
      <c r="B47203" s="1" t="str">
        <f>"67545"</f>
        <v>67545</v>
      </c>
      <c r="C47203" s="2">
        <v>1.39656548820356E-5</v>
      </c>
      <c r="D47203" s="2">
        <v>1.50570889527644E-5</v>
      </c>
      <c r="E47203" s="2">
        <v>1.41934873398393E-4</v>
      </c>
      <c r="F47203" s="2">
        <v>1.6973260995663299E-5</v>
      </c>
    </row>
    <row r="47204" spans="1:6" x14ac:dyDescent="0.25">
      <c r="A47204" s="1" t="str">
        <f t="shared" si="1541"/>
        <v>99999</v>
      </c>
      <c r="B47204" s="1" t="str">
        <f>"67464"</f>
        <v>67464</v>
      </c>
      <c r="C47204" s="2">
        <v>1.16921761803089E-5</v>
      </c>
      <c r="D47204" s="2">
        <v>9.0342533716586405E-6</v>
      </c>
      <c r="E47204" s="2">
        <v>0</v>
      </c>
      <c r="F47204" s="2">
        <v>1.1249719497125601E-5</v>
      </c>
    </row>
    <row r="47205" spans="1:6" x14ac:dyDescent="0.25">
      <c r="A47205" s="1" t="str">
        <f t="shared" si="1541"/>
        <v>99999</v>
      </c>
      <c r="B47205" s="1" t="str">
        <f>"67761"</f>
        <v>67761</v>
      </c>
      <c r="C47205" s="2">
        <v>1.41821766631525E-5</v>
      </c>
      <c r="D47205" s="2">
        <v>4.5171266858293203E-6</v>
      </c>
      <c r="E47205" s="2">
        <v>4.3010567696482999E-6</v>
      </c>
      <c r="F47205" s="2">
        <v>1.3322036246596199E-5</v>
      </c>
    </row>
    <row r="47206" spans="1:6" x14ac:dyDescent="0.25">
      <c r="A47206" s="1" t="str">
        <f t="shared" si="1541"/>
        <v>99999</v>
      </c>
      <c r="B47206" s="1" t="str">
        <f>"66857"</f>
        <v>66857</v>
      </c>
      <c r="C47206" s="2">
        <v>5.4022184388649598E-5</v>
      </c>
      <c r="D47206" s="2">
        <v>1.50570889527644E-6</v>
      </c>
      <c r="E47206" s="2">
        <v>3.44084541571864E-5</v>
      </c>
      <c r="F47206" s="2">
        <v>5.0130328987191699E-5</v>
      </c>
    </row>
    <row r="47207" spans="1:6" x14ac:dyDescent="0.25">
      <c r="A47207" s="1" t="str">
        <f t="shared" si="1541"/>
        <v>99999</v>
      </c>
      <c r="B47207" s="1" t="str">
        <f>"66860"</f>
        <v>66860</v>
      </c>
      <c r="C47207" s="2">
        <v>6.8420882832919005E-5</v>
      </c>
      <c r="D47207" s="2">
        <v>4.2159849067740298E-5</v>
      </c>
      <c r="E47207" s="2">
        <v>4.3010567696482999E-5</v>
      </c>
      <c r="F47207" s="2">
        <v>6.6116772483107105E-5</v>
      </c>
    </row>
    <row r="47208" spans="1:6" x14ac:dyDescent="0.25">
      <c r="A47208" s="1" t="str">
        <f t="shared" si="1541"/>
        <v>99999</v>
      </c>
      <c r="B47208" s="1" t="str">
        <f>"66935"</f>
        <v>66935</v>
      </c>
      <c r="C47208" s="2">
        <v>1.5827742199640401E-4</v>
      </c>
      <c r="D47208" s="2">
        <v>3.3577308364664602E-4</v>
      </c>
      <c r="E47208" s="2">
        <v>2.23654952021711E-4</v>
      </c>
      <c r="F47208" s="2">
        <v>1.7141019970620401E-4</v>
      </c>
    </row>
    <row r="47209" spans="1:6" x14ac:dyDescent="0.25">
      <c r="A47209" s="1" t="str">
        <f t="shared" si="1541"/>
        <v>99999</v>
      </c>
      <c r="B47209" s="1" t="str">
        <f>"67003"</f>
        <v>67003</v>
      </c>
      <c r="C47209" s="2">
        <v>1.69103511052246E-4</v>
      </c>
      <c r="D47209" s="2">
        <v>3.2824453917026399E-4</v>
      </c>
      <c r="E47209" s="2">
        <v>2.1075178171276601E-4</v>
      </c>
      <c r="F47209" s="2">
        <v>1.8048892070388501E-4</v>
      </c>
    </row>
    <row r="47210" spans="1:6" x14ac:dyDescent="0.25">
      <c r="A47210" s="1" t="str">
        <f t="shared" si="1541"/>
        <v>99999</v>
      </c>
      <c r="B47210" s="1" t="str">
        <f>"66967"</f>
        <v>66967</v>
      </c>
      <c r="C47210" s="2">
        <v>1.2536611126664501E-4</v>
      </c>
      <c r="D47210" s="2">
        <v>3.16198868008052E-4</v>
      </c>
      <c r="E47210" s="2">
        <v>1.5053698693768999E-4</v>
      </c>
      <c r="F47210" s="2">
        <v>1.3845049521462501E-4</v>
      </c>
    </row>
    <row r="47211" spans="1:6" x14ac:dyDescent="0.25">
      <c r="A47211" s="1" t="str">
        <f t="shared" si="1541"/>
        <v>99999</v>
      </c>
      <c r="B47211" s="1" t="str">
        <f>"66866"</f>
        <v>66866</v>
      </c>
      <c r="C47211" s="2">
        <v>8.7907843133433903E-5</v>
      </c>
      <c r="D47211" s="2">
        <v>1.23468129412668E-4</v>
      </c>
      <c r="E47211" s="2">
        <v>4.7311624466131299E-5</v>
      </c>
      <c r="F47211" s="2">
        <v>8.9306983727182004E-5</v>
      </c>
    </row>
    <row r="47212" spans="1:6" x14ac:dyDescent="0.25">
      <c r="A47212" s="1" t="str">
        <f t="shared" si="1541"/>
        <v>99999</v>
      </c>
      <c r="B47212" s="1" t="str">
        <f>"66938"</f>
        <v>66938</v>
      </c>
      <c r="C47212" s="2">
        <v>5.9218707135453601E-5</v>
      </c>
      <c r="D47212" s="2">
        <v>5.2699811334675399E-5</v>
      </c>
      <c r="E47212" s="2">
        <v>3.8709510926834699E-5</v>
      </c>
      <c r="F47212" s="2">
        <v>5.8320914235099E-5</v>
      </c>
    </row>
    <row r="47213" spans="1:6" x14ac:dyDescent="0.25">
      <c r="A47213" s="1" t="str">
        <f t="shared" si="1541"/>
        <v>99999</v>
      </c>
      <c r="B47213" s="1" t="str">
        <f>"65779"</f>
        <v>65779</v>
      </c>
      <c r="C47213" s="2">
        <v>2.5571222349897801E-4</v>
      </c>
      <c r="D47213" s="2">
        <v>7.9802571449651304E-5</v>
      </c>
      <c r="E47213" s="2">
        <v>4.3010567696482999E-5</v>
      </c>
      <c r="F47213" s="2">
        <v>2.39303243688858E-4</v>
      </c>
    </row>
    <row r="47214" spans="1:6" x14ac:dyDescent="0.25">
      <c r="A47214" s="1" t="str">
        <f t="shared" si="1541"/>
        <v>99999</v>
      </c>
      <c r="B47214" s="1" t="str">
        <f>"68949"</f>
        <v>68949</v>
      </c>
      <c r="C47214" s="2">
        <v>3.7014398481922402E-4</v>
      </c>
      <c r="D47214" s="2">
        <v>5.9927214032002305E-4</v>
      </c>
      <c r="E47214" s="2">
        <v>5.7634160713287204E-4</v>
      </c>
      <c r="F47214" s="2">
        <v>3.8989159415038201E-4</v>
      </c>
    </row>
    <row r="47215" spans="1:6" x14ac:dyDescent="0.25">
      <c r="A47215" s="1" t="str">
        <f t="shared" si="1541"/>
        <v>99999</v>
      </c>
      <c r="B47215" s="1" t="str">
        <f>"69024"</f>
        <v>69024</v>
      </c>
      <c r="C47215" s="2">
        <v>6.2683055633322896E-5</v>
      </c>
      <c r="D47215" s="2">
        <v>2.4091342324423E-5</v>
      </c>
      <c r="E47215" s="2">
        <v>2.15052838482415E-5</v>
      </c>
      <c r="F47215" s="2">
        <v>5.9209049984871997E-5</v>
      </c>
    </row>
    <row r="47216" spans="1:6" x14ac:dyDescent="0.25">
      <c r="A47216" s="1" t="str">
        <f t="shared" si="1541"/>
        <v>99999</v>
      </c>
      <c r="B47216" s="1" t="str">
        <f>"69025"</f>
        <v>69025</v>
      </c>
      <c r="C47216" s="2">
        <v>5.49965324036754E-5</v>
      </c>
      <c r="D47216" s="2">
        <v>9.4859660402415704E-5</v>
      </c>
      <c r="E47216" s="2">
        <v>6.8816908314372799E-5</v>
      </c>
      <c r="F47216" s="2">
        <v>5.7926187235199798E-5</v>
      </c>
    </row>
    <row r="47217" spans="1:6" x14ac:dyDescent="0.25">
      <c r="A47217" s="1" t="str">
        <f t="shared" si="1541"/>
        <v>99999</v>
      </c>
      <c r="B47217" s="1" t="str">
        <f>"68853"</f>
        <v>68853</v>
      </c>
      <c r="C47217" s="2">
        <v>9.3753931223588402E-5</v>
      </c>
      <c r="D47217" s="2">
        <v>4.3665557963016701E-5</v>
      </c>
      <c r="E47217" s="2">
        <v>3.44084541571864E-5</v>
      </c>
      <c r="F47217" s="2">
        <v>8.9109620227232397E-5</v>
      </c>
    </row>
    <row r="47218" spans="1:6" x14ac:dyDescent="0.25">
      <c r="A47218" s="1" t="str">
        <f t="shared" si="1541"/>
        <v>99999</v>
      </c>
      <c r="B47218" s="1" t="str">
        <f>"68865"</f>
        <v>68865</v>
      </c>
      <c r="C47218" s="2">
        <v>3.7999572586004001E-5</v>
      </c>
      <c r="D47218" s="2">
        <v>1.20456711622115E-5</v>
      </c>
      <c r="E47218" s="2">
        <v>8.6021135392965999E-6</v>
      </c>
      <c r="F47218" s="2">
        <v>3.5624111740897998E-5</v>
      </c>
    </row>
    <row r="47219" spans="1:6" x14ac:dyDescent="0.25">
      <c r="A47219" s="1" t="str">
        <f t="shared" si="1541"/>
        <v>99999</v>
      </c>
      <c r="B47219" s="1" t="str">
        <f>"68964"</f>
        <v>68964</v>
      </c>
      <c r="C47219" s="2">
        <v>7.7947841202059606E-6</v>
      </c>
      <c r="D47219" s="2">
        <v>6.0228355811057601E-6</v>
      </c>
      <c r="E47219" s="2">
        <v>4.3010567696482999E-6</v>
      </c>
      <c r="F47219" s="2">
        <v>7.5984947480585801E-6</v>
      </c>
    </row>
    <row r="47220" spans="1:6" x14ac:dyDescent="0.25">
      <c r="A47220" s="1" t="str">
        <f t="shared" si="1541"/>
        <v>99999</v>
      </c>
      <c r="B47220" s="1" t="str">
        <f>"69036"</f>
        <v>69036</v>
      </c>
      <c r="C47220" s="2">
        <v>6.0626098712712997E-6</v>
      </c>
      <c r="D47220" s="2">
        <v>9.0342533716586405E-6</v>
      </c>
      <c r="E47220" s="2">
        <v>4.3010567696482999E-6</v>
      </c>
      <c r="F47220" s="2">
        <v>6.2169502484115596E-6</v>
      </c>
    </row>
    <row r="47221" spans="1:6" x14ac:dyDescent="0.25">
      <c r="A47221" s="1" t="str">
        <f t="shared" si="1541"/>
        <v>99999</v>
      </c>
      <c r="B47221" s="1" t="str">
        <f>"69153"</f>
        <v>69153</v>
      </c>
      <c r="C47221" s="2">
        <v>3.4481093642855501E-4</v>
      </c>
      <c r="D47221" s="2">
        <v>6.7907471176967401E-4</v>
      </c>
      <c r="E47221" s="2">
        <v>4.6021307435236802E-4</v>
      </c>
      <c r="F47221" s="2">
        <v>3.6936579015562699E-4</v>
      </c>
    </row>
    <row r="47222" spans="1:6" x14ac:dyDescent="0.25">
      <c r="A47222" s="1" t="str">
        <f t="shared" si="1541"/>
        <v>99999</v>
      </c>
      <c r="B47222" s="1" t="str">
        <f>"69162"</f>
        <v>69162</v>
      </c>
      <c r="C47222" s="2">
        <v>4.4278704238392199E-4</v>
      </c>
      <c r="D47222" s="2">
        <v>6.7756900287439803E-4</v>
      </c>
      <c r="E47222" s="2">
        <v>7.7419021853669396E-4</v>
      </c>
      <c r="F47222" s="2">
        <v>4.6577785988099302E-4</v>
      </c>
    </row>
    <row r="47223" spans="1:6" x14ac:dyDescent="0.25">
      <c r="A47223" s="1" t="str">
        <f t="shared" si="1541"/>
        <v>99999</v>
      </c>
      <c r="B47223" s="1" t="str">
        <f>"69155"</f>
        <v>69155</v>
      </c>
      <c r="C47223" s="2">
        <v>5.2073488358598103E-5</v>
      </c>
      <c r="D47223" s="2">
        <v>1.9574215638593701E-5</v>
      </c>
      <c r="E47223" s="2">
        <v>1.72042270785932E-5</v>
      </c>
      <c r="F47223" s="2">
        <v>4.9143511487443803E-5</v>
      </c>
    </row>
    <row r="47224" spans="1:6" x14ac:dyDescent="0.25">
      <c r="A47224" s="1" t="str">
        <f t="shared" si="1541"/>
        <v>99999</v>
      </c>
      <c r="B47224" s="1" t="str">
        <f>"69149"</f>
        <v>69149</v>
      </c>
      <c r="C47224" s="2">
        <v>4.1355660193314899E-5</v>
      </c>
      <c r="D47224" s="2">
        <v>0</v>
      </c>
      <c r="E47224" s="2">
        <v>4.3010567696482999E-6</v>
      </c>
      <c r="F47224" s="2">
        <v>3.7795110240343302E-5</v>
      </c>
    </row>
    <row r="47225" spans="1:6" x14ac:dyDescent="0.25">
      <c r="A47225" s="1" t="str">
        <f t="shared" si="1541"/>
        <v>99999</v>
      </c>
      <c r="B47225" s="1" t="str">
        <f>"68970"</f>
        <v>68970</v>
      </c>
      <c r="C47225" s="2">
        <v>8.6933495118408094E-5</v>
      </c>
      <c r="D47225" s="2">
        <v>2.4091342324422999E-4</v>
      </c>
      <c r="E47225" s="2">
        <v>1.11827476010855E-4</v>
      </c>
      <c r="F47225" s="2">
        <v>9.7596250725064102E-5</v>
      </c>
    </row>
    <row r="47226" spans="1:6" x14ac:dyDescent="0.25">
      <c r="A47226" s="1" t="str">
        <f t="shared" si="1541"/>
        <v>99999</v>
      </c>
      <c r="B47226" s="1" t="str">
        <f>"68960"</f>
        <v>68960</v>
      </c>
      <c r="C47226" s="2">
        <v>1.26665241953346E-5</v>
      </c>
      <c r="D47226" s="2">
        <v>4.5171266858293203E-6</v>
      </c>
      <c r="E47226" s="2">
        <v>0</v>
      </c>
      <c r="F47226" s="2">
        <v>1.18418099969744E-5</v>
      </c>
    </row>
    <row r="47227" spans="1:6" x14ac:dyDescent="0.25">
      <c r="A47227" s="1" t="str">
        <f t="shared" si="1541"/>
        <v>99999</v>
      </c>
      <c r="B47227" s="1" t="str">
        <f>"71038"</f>
        <v>71038</v>
      </c>
      <c r="C47227" s="2">
        <v>2.37199611213489E-4</v>
      </c>
      <c r="D47227" s="2">
        <v>3.3426737475136901E-4</v>
      </c>
      <c r="E47227" s="2">
        <v>5.5913738005427899E-5</v>
      </c>
      <c r="F47227" s="2">
        <v>2.3940192543883199E-4</v>
      </c>
    </row>
    <row r="47228" spans="1:6" x14ac:dyDescent="0.25">
      <c r="A47228" s="1" t="str">
        <f t="shared" si="1541"/>
        <v>99999</v>
      </c>
      <c r="B47228" s="1" t="str">
        <f>"71045"</f>
        <v>71045</v>
      </c>
      <c r="C47228" s="2">
        <v>3.7458268133211902E-5</v>
      </c>
      <c r="D47228" s="2">
        <v>1.50570889527644E-6</v>
      </c>
      <c r="E47228" s="2">
        <v>4.3010567696482999E-6</v>
      </c>
      <c r="F47228" s="2">
        <v>3.4341248991225799E-5</v>
      </c>
    </row>
    <row r="47229" spans="1:6" x14ac:dyDescent="0.25">
      <c r="A47229" s="1" t="str">
        <f t="shared" si="1541"/>
        <v>99999</v>
      </c>
      <c r="B47229" s="1" t="str">
        <f>"71008"</f>
        <v>71008</v>
      </c>
      <c r="C47229" s="2">
        <v>4.2005225536665402E-5</v>
      </c>
      <c r="D47229" s="2">
        <v>3.6137013486634501E-5</v>
      </c>
      <c r="E47229" s="2">
        <v>1.29031703089449E-5</v>
      </c>
      <c r="F47229" s="2">
        <v>4.0952926239536503E-5</v>
      </c>
    </row>
    <row r="47230" spans="1:6" x14ac:dyDescent="0.25">
      <c r="A47230" s="1" t="str">
        <f t="shared" si="1541"/>
        <v>99999</v>
      </c>
      <c r="B47230" s="1" t="str">
        <f>"71031"</f>
        <v>71031</v>
      </c>
      <c r="C47230" s="2">
        <v>2.7065222639604001E-5</v>
      </c>
      <c r="D47230" s="2">
        <v>2.1079924533870101E-5</v>
      </c>
      <c r="E47230" s="2">
        <v>8.6021135392965999E-6</v>
      </c>
      <c r="F47230" s="2">
        <v>2.6249345493293201E-5</v>
      </c>
    </row>
    <row r="47231" spans="1:6" x14ac:dyDescent="0.25">
      <c r="A47231" s="1" t="str">
        <f t="shared" si="1541"/>
        <v>99999</v>
      </c>
      <c r="B47231" s="1" t="str">
        <f>"68729"</f>
        <v>68729</v>
      </c>
      <c r="C47231" s="2">
        <v>1.0035784554765099E-4</v>
      </c>
      <c r="D47231" s="2">
        <v>1.68639396270961E-4</v>
      </c>
      <c r="E47231" s="2">
        <v>3.44084541571864E-5</v>
      </c>
      <c r="F47231" s="2">
        <v>1.03319792223601E-4</v>
      </c>
    </row>
    <row r="47232" spans="1:6" x14ac:dyDescent="0.25">
      <c r="A47232" s="1" t="str">
        <f t="shared" si="1541"/>
        <v>99999</v>
      </c>
      <c r="B47232" s="1" t="str">
        <f>"68643"</f>
        <v>68643</v>
      </c>
      <c r="C47232" s="2">
        <v>4.2438269098899098E-5</v>
      </c>
      <c r="D47232" s="2">
        <v>1.50570889527644E-6</v>
      </c>
      <c r="E47232" s="2">
        <v>1.72042270785932E-5</v>
      </c>
      <c r="F47232" s="2">
        <v>3.9176654739990298E-5</v>
      </c>
    </row>
    <row r="47233" spans="1:6" x14ac:dyDescent="0.25">
      <c r="A47233" s="1" t="str">
        <f t="shared" si="1541"/>
        <v>99999</v>
      </c>
      <c r="B47233" s="1" t="str">
        <f>"68652"</f>
        <v>68652</v>
      </c>
      <c r="C47233" s="2">
        <v>3.9515225053821902E-5</v>
      </c>
      <c r="D47233" s="2">
        <v>1.9574215638593701E-5</v>
      </c>
      <c r="E47233" s="2">
        <v>2.58063406178898E-5</v>
      </c>
      <c r="F47233" s="2">
        <v>3.7893791990318099E-5</v>
      </c>
    </row>
    <row r="47234" spans="1:6" x14ac:dyDescent="0.25">
      <c r="A47234" s="1" t="str">
        <f t="shared" si="1541"/>
        <v>99999</v>
      </c>
      <c r="B47234" s="1" t="str">
        <f>"68662"</f>
        <v>68662</v>
      </c>
      <c r="C47234" s="2">
        <v>6.0950881384388302E-5</v>
      </c>
      <c r="D47234" s="2">
        <v>2.55970512196994E-5</v>
      </c>
      <c r="E47234" s="2">
        <v>5.1612681235779599E-5</v>
      </c>
      <c r="F47234" s="2">
        <v>5.8419595985073702E-5</v>
      </c>
    </row>
    <row r="47235" spans="1:6" x14ac:dyDescent="0.25">
      <c r="A47235" s="1" t="str">
        <f t="shared" si="1541"/>
        <v>99999</v>
      </c>
      <c r="B47235" s="1" t="str">
        <f>"68305"</f>
        <v>68305</v>
      </c>
      <c r="C47235" s="2">
        <v>2.3795743744739801E-4</v>
      </c>
      <c r="D47235" s="2">
        <v>4.3665557963016698E-4</v>
      </c>
      <c r="E47235" s="2">
        <v>3.6128876865045701E-4</v>
      </c>
      <c r="F47235" s="2">
        <v>2.5380946093515102E-4</v>
      </c>
    </row>
    <row r="47236" spans="1:6" x14ac:dyDescent="0.25">
      <c r="A47236" s="1" t="str">
        <f t="shared" si="1541"/>
        <v>99999</v>
      </c>
      <c r="B47236" s="1" t="str">
        <f>"68324"</f>
        <v>68324</v>
      </c>
      <c r="C47236" s="2">
        <v>8.7691321352316998E-6</v>
      </c>
      <c r="D47236" s="2">
        <v>1.35513800574879E-5</v>
      </c>
      <c r="E47236" s="2">
        <v>1.29031703089449E-5</v>
      </c>
      <c r="F47236" s="2">
        <v>9.1774027476551693E-6</v>
      </c>
    </row>
    <row r="47237" spans="1:6" x14ac:dyDescent="0.25">
      <c r="A47237" s="1" t="str">
        <f t="shared" si="1541"/>
        <v>99999</v>
      </c>
      <c r="B47237" s="1" t="str">
        <f>"68410"</f>
        <v>68410</v>
      </c>
      <c r="C47237" s="2">
        <v>4.2860486572076902E-4</v>
      </c>
      <c r="D47237" s="2">
        <v>7.75440081067366E-4</v>
      </c>
      <c r="E47237" s="2">
        <v>7.5698599145810101E-4</v>
      </c>
      <c r="F47237" s="2">
        <v>4.58870137382758E-4</v>
      </c>
    </row>
    <row r="47238" spans="1:6" x14ac:dyDescent="0.25">
      <c r="A47238" s="1" t="str">
        <f t="shared" ref="A47238:A47301" si="1542">"99999"</f>
        <v>99999</v>
      </c>
      <c r="B47238" s="1" t="str">
        <f>"68327"</f>
        <v>68327</v>
      </c>
      <c r="C47238" s="2">
        <v>1.5806090021528701E-5</v>
      </c>
      <c r="D47238" s="2">
        <v>2.1079924533870101E-5</v>
      </c>
      <c r="E47238" s="2">
        <v>4.3010567696482999E-6</v>
      </c>
      <c r="F47238" s="2">
        <v>1.5887761745940599E-5</v>
      </c>
    </row>
    <row r="47239" spans="1:6" x14ac:dyDescent="0.25">
      <c r="A47239" s="1" t="str">
        <f t="shared" si="1542"/>
        <v>99999</v>
      </c>
      <c r="B47239" s="1" t="str">
        <f>"68376"</f>
        <v>68376</v>
      </c>
      <c r="C47239" s="2">
        <v>7.8813928326526903E-5</v>
      </c>
      <c r="D47239" s="2">
        <v>7.3779735868545501E-5</v>
      </c>
      <c r="E47239" s="2">
        <v>6.4515851544724506E-5</v>
      </c>
      <c r="F47239" s="2">
        <v>7.8155945980031097E-5</v>
      </c>
    </row>
    <row r="47240" spans="1:6" x14ac:dyDescent="0.25">
      <c r="A47240" s="1" t="str">
        <f t="shared" si="1542"/>
        <v>99999</v>
      </c>
      <c r="B47240" s="1" t="str">
        <f>"68380"</f>
        <v>68380</v>
      </c>
      <c r="C47240" s="2">
        <v>4.4386965128950601E-6</v>
      </c>
      <c r="D47240" s="2">
        <v>3.01141779055288E-6</v>
      </c>
      <c r="E47240" s="2">
        <v>0</v>
      </c>
      <c r="F47240" s="2">
        <v>4.2433152489158297E-6</v>
      </c>
    </row>
    <row r="47241" spans="1:6" x14ac:dyDescent="0.25">
      <c r="A47241" s="1" t="str">
        <f t="shared" si="1542"/>
        <v>99999</v>
      </c>
      <c r="B47241" s="1" t="str">
        <f>"68367"</f>
        <v>68367</v>
      </c>
      <c r="C47241" s="2">
        <v>2.1868699892800001E-5</v>
      </c>
      <c r="D47241" s="2">
        <v>4.5171266858293203E-6</v>
      </c>
      <c r="E47241" s="2">
        <v>8.6021135392965999E-6</v>
      </c>
      <c r="F47241" s="2">
        <v>2.0427122244780799E-5</v>
      </c>
    </row>
    <row r="47242" spans="1:6" x14ac:dyDescent="0.25">
      <c r="A47242" s="1" t="str">
        <f t="shared" si="1542"/>
        <v>99999</v>
      </c>
      <c r="B47242" s="1" t="str">
        <f>"68450"</f>
        <v>68450</v>
      </c>
      <c r="C47242" s="2">
        <v>1.31320460247358E-4</v>
      </c>
      <c r="D47242" s="2">
        <v>8.5825407030757094E-5</v>
      </c>
      <c r="E47242" s="2">
        <v>1.63440157246635E-4</v>
      </c>
      <c r="F47242" s="2">
        <v>1.29075728967021E-4</v>
      </c>
    </row>
    <row r="47243" spans="1:6" x14ac:dyDescent="0.25">
      <c r="A47243" s="1" t="str">
        <f t="shared" si="1542"/>
        <v>99999</v>
      </c>
      <c r="B47243" s="1" t="str">
        <f>"68361"</f>
        <v>68361</v>
      </c>
      <c r="C47243" s="2">
        <v>1.3814089635253899E-4</v>
      </c>
      <c r="D47243" s="2">
        <v>2.8156756341669398E-4</v>
      </c>
      <c r="E47243" s="2">
        <v>1.03225362471559E-4</v>
      </c>
      <c r="F47243" s="2">
        <v>1.4673976221250701E-4</v>
      </c>
    </row>
    <row r="47244" spans="1:6" x14ac:dyDescent="0.25">
      <c r="A47244" s="1" t="str">
        <f t="shared" si="1542"/>
        <v>99999</v>
      </c>
      <c r="B47244" s="1" t="str">
        <f>"72040"</f>
        <v>72040</v>
      </c>
      <c r="C47244" s="2">
        <v>2.0363873514038001E-4</v>
      </c>
      <c r="D47244" s="2">
        <v>2.0929353644342499E-4</v>
      </c>
      <c r="E47244" s="2">
        <v>5.5913738005427899E-5</v>
      </c>
      <c r="F47244" s="2">
        <v>2.00619997698741E-4</v>
      </c>
    </row>
    <row r="47245" spans="1:6" x14ac:dyDescent="0.25">
      <c r="A47245" s="1" t="str">
        <f t="shared" si="1542"/>
        <v>99999</v>
      </c>
      <c r="B47245" s="1" t="str">
        <f>"72137"</f>
        <v>72137</v>
      </c>
      <c r="C47245" s="2">
        <v>4.0164790397172297E-5</v>
      </c>
      <c r="D47245" s="2">
        <v>3.1619886800805203E-5</v>
      </c>
      <c r="E47245" s="2">
        <v>0</v>
      </c>
      <c r="F47245" s="2">
        <v>3.8683245990116401E-5</v>
      </c>
    </row>
    <row r="47246" spans="1:6" x14ac:dyDescent="0.25">
      <c r="A47246" s="1" t="str">
        <f t="shared" si="1542"/>
        <v>99999</v>
      </c>
      <c r="B47246" s="1" t="str">
        <f>"72055"</f>
        <v>72055</v>
      </c>
      <c r="C47246" s="2">
        <v>1.43986984442693E-5</v>
      </c>
      <c r="D47246" s="2">
        <v>1.50570889527644E-5</v>
      </c>
      <c r="E47246" s="2">
        <v>4.3010567696482999E-6</v>
      </c>
      <c r="F47246" s="2">
        <v>1.42101719963693E-5</v>
      </c>
    </row>
    <row r="47247" spans="1:6" x14ac:dyDescent="0.25">
      <c r="A47247" s="1" t="str">
        <f t="shared" si="1542"/>
        <v>99999</v>
      </c>
      <c r="B47247" s="1" t="str">
        <f>"71970"</f>
        <v>71970</v>
      </c>
      <c r="C47247" s="2">
        <v>3.9948268616055503E-5</v>
      </c>
      <c r="D47247" s="2">
        <v>1.80685067433172E-5</v>
      </c>
      <c r="E47247" s="2">
        <v>4.3010567696482999E-6</v>
      </c>
      <c r="F47247" s="2">
        <v>3.7696428490368499E-5</v>
      </c>
    </row>
    <row r="47248" spans="1:6" x14ac:dyDescent="0.25">
      <c r="A47248" s="1" t="str">
        <f t="shared" si="1542"/>
        <v>99999</v>
      </c>
      <c r="B47248" s="1" t="str">
        <f>"71960"</f>
        <v>71960</v>
      </c>
      <c r="C47248" s="2">
        <v>7.0044796191295194E-5</v>
      </c>
      <c r="D47248" s="2">
        <v>1.65627978480408E-5</v>
      </c>
      <c r="E47248" s="2">
        <v>1.29031703089449E-5</v>
      </c>
      <c r="F47248" s="2">
        <v>6.5228636733334006E-5</v>
      </c>
    </row>
    <row r="47249" spans="1:6" x14ac:dyDescent="0.25">
      <c r="A47249" s="1" t="str">
        <f t="shared" si="1542"/>
        <v>99999</v>
      </c>
      <c r="B47249" s="1" t="str">
        <f>"71921"</f>
        <v>71921</v>
      </c>
      <c r="C47249" s="2">
        <v>6.5173056116166504E-5</v>
      </c>
      <c r="D47249" s="2">
        <v>1.20456711622115E-5</v>
      </c>
      <c r="E47249" s="2">
        <v>4.3010567696482999E-6</v>
      </c>
      <c r="F47249" s="2">
        <v>6.0294549234594703E-5</v>
      </c>
    </row>
    <row r="47250" spans="1:6" x14ac:dyDescent="0.25">
      <c r="A47250" s="1" t="str">
        <f t="shared" si="1542"/>
        <v>99999</v>
      </c>
      <c r="B47250" s="1" t="str">
        <f>"72025"</f>
        <v>72025</v>
      </c>
      <c r="C47250" s="2">
        <v>7.9030450107643795E-6</v>
      </c>
      <c r="D47250" s="2">
        <v>0</v>
      </c>
      <c r="E47250" s="2">
        <v>0</v>
      </c>
      <c r="F47250" s="2">
        <v>7.2037677481594301E-6</v>
      </c>
    </row>
    <row r="47251" spans="1:6" x14ac:dyDescent="0.25">
      <c r="A47251" s="1" t="str">
        <f t="shared" si="1542"/>
        <v>99999</v>
      </c>
      <c r="B47251" s="1" t="str">
        <f>"72030"</f>
        <v>72030</v>
      </c>
      <c r="C47251" s="2">
        <v>4.51447913628595E-5</v>
      </c>
      <c r="D47251" s="2">
        <v>6.0228355811057601E-6</v>
      </c>
      <c r="E47251" s="2">
        <v>4.3010567696482999E-6</v>
      </c>
      <c r="F47251" s="2">
        <v>4.1643698489360001E-5</v>
      </c>
    </row>
    <row r="47252" spans="1:6" x14ac:dyDescent="0.25">
      <c r="A47252" s="1" t="str">
        <f t="shared" si="1542"/>
        <v>99999</v>
      </c>
      <c r="B47252" s="1" t="str">
        <f>"72927"</f>
        <v>72927</v>
      </c>
      <c r="C47252" s="2">
        <v>4.5577834925093199E-4</v>
      </c>
      <c r="D47252" s="2">
        <v>5.5560658235700598E-4</v>
      </c>
      <c r="E47252" s="2">
        <v>2.23654952021711E-4</v>
      </c>
      <c r="F47252" s="2">
        <v>4.56995184133237E-4</v>
      </c>
    </row>
    <row r="47253" spans="1:6" x14ac:dyDescent="0.25">
      <c r="A47253" s="1" t="str">
        <f t="shared" si="1542"/>
        <v>99999</v>
      </c>
      <c r="B47253" s="1" t="str">
        <f>"72943"</f>
        <v>72943</v>
      </c>
      <c r="C47253" s="2">
        <v>1.3510959141690301E-4</v>
      </c>
      <c r="D47253" s="2">
        <v>4.6676975753569603E-5</v>
      </c>
      <c r="E47253" s="2">
        <v>2.15052838482415E-5</v>
      </c>
      <c r="F47253" s="2">
        <v>1.2670736696762601E-4</v>
      </c>
    </row>
    <row r="47254" spans="1:6" x14ac:dyDescent="0.25">
      <c r="A47254" s="1" t="str">
        <f t="shared" si="1542"/>
        <v>99999</v>
      </c>
      <c r="B47254" s="1" t="str">
        <f>"72519"</f>
        <v>72519</v>
      </c>
      <c r="C47254" s="2">
        <v>1.11075673712934E-4</v>
      </c>
      <c r="D47254" s="2">
        <v>4.8182684648845999E-5</v>
      </c>
      <c r="E47254" s="2">
        <v>3.44084541571864E-5</v>
      </c>
      <c r="F47254" s="2">
        <v>1.05194745473122E-4</v>
      </c>
    </row>
    <row r="47255" spans="1:6" x14ac:dyDescent="0.25">
      <c r="A47255" s="1" t="str">
        <f t="shared" si="1542"/>
        <v>99999</v>
      </c>
      <c r="B47255" s="1" t="str">
        <f>"72476"</f>
        <v>72476</v>
      </c>
      <c r="C47255" s="2">
        <v>3.5607006904663001E-4</v>
      </c>
      <c r="D47255" s="2">
        <v>6.67029040607463E-4</v>
      </c>
      <c r="E47255" s="2">
        <v>1.8064438432522799E-4</v>
      </c>
      <c r="F47255" s="2">
        <v>3.7242492440484499E-4</v>
      </c>
    </row>
    <row r="47256" spans="1:6" x14ac:dyDescent="0.25">
      <c r="A47256" s="1" t="str">
        <f t="shared" si="1542"/>
        <v>99999</v>
      </c>
      <c r="B47256" s="1" t="str">
        <f>"72530"</f>
        <v>72530</v>
      </c>
      <c r="C47256" s="2">
        <v>1.2720654640613799E-4</v>
      </c>
      <c r="D47256" s="2">
        <v>3.31255956960816E-5</v>
      </c>
      <c r="E47256" s="2">
        <v>4.3010567696482999E-6</v>
      </c>
      <c r="F47256" s="2">
        <v>1.1822073646979401E-4</v>
      </c>
    </row>
    <row r="47257" spans="1:6" x14ac:dyDescent="0.25">
      <c r="A47257" s="1" t="str">
        <f t="shared" si="1542"/>
        <v>99999</v>
      </c>
      <c r="B47257" s="1" t="str">
        <f>"62044"</f>
        <v>62044</v>
      </c>
      <c r="C47257" s="2">
        <v>1.1887045783314E-4</v>
      </c>
      <c r="D47257" s="2">
        <v>1.0991674935517999E-4</v>
      </c>
      <c r="E47257" s="2">
        <v>5.1612681235779599E-5</v>
      </c>
      <c r="F47257" s="2">
        <v>1.16740510220172E-4</v>
      </c>
    </row>
    <row r="47258" spans="1:6" x14ac:dyDescent="0.25">
      <c r="A47258" s="1" t="str">
        <f t="shared" si="1542"/>
        <v>99999</v>
      </c>
      <c r="B47258" s="1" t="str">
        <f>"61941"</f>
        <v>61941</v>
      </c>
      <c r="C47258" s="2">
        <v>9.8517410408158696E-6</v>
      </c>
      <c r="D47258" s="2">
        <v>1.50570889527644E-6</v>
      </c>
      <c r="E47258" s="2">
        <v>0</v>
      </c>
      <c r="F47258" s="2">
        <v>9.0787209976803807E-6</v>
      </c>
    </row>
    <row r="47259" spans="1:6" x14ac:dyDescent="0.25">
      <c r="A47259" s="1" t="str">
        <f t="shared" si="1542"/>
        <v>99999</v>
      </c>
      <c r="B47259" s="1" t="str">
        <f>"61911"</f>
        <v>61911</v>
      </c>
      <c r="C47259" s="2">
        <v>1.9671003814464199E-4</v>
      </c>
      <c r="D47259" s="2">
        <v>3.9901285724825602E-4</v>
      </c>
      <c r="E47259" s="2">
        <v>2.1505283848241501E-4</v>
      </c>
      <c r="F47259" s="2">
        <v>2.1038949094624501E-4</v>
      </c>
    </row>
    <row r="47260" spans="1:6" x14ac:dyDescent="0.25">
      <c r="A47260" s="1" t="str">
        <f t="shared" si="1542"/>
        <v>99999</v>
      </c>
      <c r="B47260" s="1" t="str">
        <f>"62019"</f>
        <v>62019</v>
      </c>
      <c r="C47260" s="2">
        <v>1.4615220225386101E-5</v>
      </c>
      <c r="D47260" s="2">
        <v>4.5171266858293203E-6</v>
      </c>
      <c r="E47260" s="2">
        <v>4.3010567696482999E-6</v>
      </c>
      <c r="F47260" s="2">
        <v>1.37167632464953E-5</v>
      </c>
    </row>
    <row r="47261" spans="1:6" x14ac:dyDescent="0.25">
      <c r="A47261" s="1" t="str">
        <f t="shared" si="1542"/>
        <v>99999</v>
      </c>
      <c r="B47261" s="1" t="str">
        <f>"61914"</f>
        <v>61914</v>
      </c>
      <c r="C47261" s="2">
        <v>9.0397843616277498E-5</v>
      </c>
      <c r="D47261" s="2">
        <v>4.9688393544122498E-5</v>
      </c>
      <c r="E47261" s="2">
        <v>4.3010567696482999E-5</v>
      </c>
      <c r="F47261" s="2">
        <v>8.6642576477862803E-5</v>
      </c>
    </row>
    <row r="47262" spans="1:6" x14ac:dyDescent="0.25">
      <c r="A47262" s="1" t="str">
        <f t="shared" si="1542"/>
        <v>99999</v>
      </c>
      <c r="B47262" s="1" t="str">
        <f>"62051"</f>
        <v>62051</v>
      </c>
      <c r="C47262" s="2">
        <v>4.5577834925093202E-5</v>
      </c>
      <c r="D47262" s="2">
        <v>1.35513800574879E-5</v>
      </c>
      <c r="E47262" s="2">
        <v>4.3010567696482999E-6</v>
      </c>
      <c r="F47262" s="2">
        <v>4.25318342391331E-5</v>
      </c>
    </row>
    <row r="47263" spans="1:6" x14ac:dyDescent="0.25">
      <c r="A47263" s="1" t="str">
        <f t="shared" si="1542"/>
        <v>99999</v>
      </c>
      <c r="B47263" s="1" t="str">
        <f>"62828"</f>
        <v>62828</v>
      </c>
      <c r="C47263" s="2">
        <v>6.6363925912309106E-5</v>
      </c>
      <c r="D47263" s="2">
        <v>2.55970512196994E-5</v>
      </c>
      <c r="E47263" s="2">
        <v>2.58063406178898E-5</v>
      </c>
      <c r="F47263" s="2">
        <v>6.2761592983964399E-5</v>
      </c>
    </row>
    <row r="47264" spans="1:6" x14ac:dyDescent="0.25">
      <c r="A47264" s="1" t="str">
        <f t="shared" si="1542"/>
        <v>99999</v>
      </c>
      <c r="B47264" s="1" t="str">
        <f>"62850"</f>
        <v>62850</v>
      </c>
      <c r="C47264" s="2">
        <v>1.67804380365545E-5</v>
      </c>
      <c r="D47264" s="2">
        <v>7.5285444763821999E-6</v>
      </c>
      <c r="E47264" s="2">
        <v>4.3010567696482999E-6</v>
      </c>
      <c r="F47264" s="2">
        <v>1.5887761745940599E-5</v>
      </c>
    </row>
    <row r="47265" spans="1:6" x14ac:dyDescent="0.25">
      <c r="A47265" s="1" t="str">
        <f t="shared" si="1542"/>
        <v>99999</v>
      </c>
      <c r="B47265" s="1" t="str">
        <f>"62867"</f>
        <v>62867</v>
      </c>
      <c r="C47265" s="2">
        <v>3.3344354291992097E-5</v>
      </c>
      <c r="D47265" s="2">
        <v>6.0228355811057601E-6</v>
      </c>
      <c r="E47265" s="2">
        <v>8.6021135392965999E-6</v>
      </c>
      <c r="F47265" s="2">
        <v>3.0986069492082998E-5</v>
      </c>
    </row>
    <row r="47266" spans="1:6" x14ac:dyDescent="0.25">
      <c r="A47266" s="1" t="str">
        <f t="shared" si="1542"/>
        <v>99999</v>
      </c>
      <c r="B47266" s="1" t="str">
        <f>"62938"</f>
        <v>62938</v>
      </c>
      <c r="C47266" s="2">
        <v>1.49183507189497E-4</v>
      </c>
      <c r="D47266" s="2">
        <v>7.3779735868545501E-5</v>
      </c>
      <c r="E47266" s="2">
        <v>2.7096657648784301E-4</v>
      </c>
      <c r="F47266" s="2">
        <v>1.4703580746243199E-4</v>
      </c>
    </row>
    <row r="47267" spans="1:6" x14ac:dyDescent="0.25">
      <c r="A47267" s="1" t="str">
        <f t="shared" si="1542"/>
        <v>99999</v>
      </c>
      <c r="B47267" s="1" t="str">
        <f>"62952"</f>
        <v>62952</v>
      </c>
      <c r="C47267" s="2">
        <v>1.5860220466807899E-4</v>
      </c>
      <c r="D47267" s="2">
        <v>1.0539962266935E-4</v>
      </c>
      <c r="E47267" s="2">
        <v>7.7419021853669399E-5</v>
      </c>
      <c r="F47267" s="2">
        <v>1.5325275771084301E-4</v>
      </c>
    </row>
    <row r="47268" spans="1:6" x14ac:dyDescent="0.25">
      <c r="A47268" s="1" t="str">
        <f t="shared" si="1542"/>
        <v>99999</v>
      </c>
      <c r="B47268" s="1" t="str">
        <f>"62958"</f>
        <v>62958</v>
      </c>
      <c r="C47268" s="2">
        <v>1.24500024142178E-5</v>
      </c>
      <c r="D47268" s="2">
        <v>4.5171266858293203E-6</v>
      </c>
      <c r="E47268" s="2">
        <v>0</v>
      </c>
      <c r="F47268" s="2">
        <v>1.1644446497024801E-5</v>
      </c>
    </row>
    <row r="47269" spans="1:6" x14ac:dyDescent="0.25">
      <c r="A47269" s="1" t="str">
        <f t="shared" si="1542"/>
        <v>99999</v>
      </c>
      <c r="B47269" s="1" t="str">
        <f>"62956"</f>
        <v>62956</v>
      </c>
      <c r="C47269" s="2">
        <v>2.5982613734019799E-5</v>
      </c>
      <c r="D47269" s="2">
        <v>1.35513800574879E-5</v>
      </c>
      <c r="E47269" s="2">
        <v>8.6021135392965999E-6</v>
      </c>
      <c r="F47269" s="2">
        <v>2.4769119243671401E-5</v>
      </c>
    </row>
    <row r="47270" spans="1:6" x14ac:dyDescent="0.25">
      <c r="A47270" s="1" t="str">
        <f t="shared" si="1542"/>
        <v>99999</v>
      </c>
      <c r="B47270" s="1" t="str">
        <f>"62919"</f>
        <v>62919</v>
      </c>
      <c r="C47270" s="2">
        <v>7.2643057564697206E-5</v>
      </c>
      <c r="D47270" s="2">
        <v>2.25856334291466E-5</v>
      </c>
      <c r="E47270" s="2">
        <v>2.15052838482415E-5</v>
      </c>
      <c r="F47270" s="2">
        <v>6.8189089232577606E-5</v>
      </c>
    </row>
    <row r="47271" spans="1:6" x14ac:dyDescent="0.25">
      <c r="A47271" s="1" t="str">
        <f t="shared" si="1542"/>
        <v>99999</v>
      </c>
      <c r="B47271" s="1" t="str">
        <f>"62450"</f>
        <v>62450</v>
      </c>
      <c r="C47271" s="2">
        <v>6.7489839174116604E-4</v>
      </c>
      <c r="D47271" s="2">
        <v>9.8021649082496195E-4</v>
      </c>
      <c r="E47271" s="2">
        <v>8.4300712685106698E-4</v>
      </c>
      <c r="F47271" s="2">
        <v>6.9876547157146499E-4</v>
      </c>
    </row>
    <row r="47272" spans="1:6" x14ac:dyDescent="0.25">
      <c r="A47272" s="1" t="str">
        <f t="shared" si="1542"/>
        <v>99999</v>
      </c>
      <c r="B47272" s="1" t="str">
        <f>"62454"</f>
        <v>62454</v>
      </c>
      <c r="C47272" s="2">
        <v>5.7334967639737205E-4</v>
      </c>
      <c r="D47272" s="2">
        <v>8.4771410804063596E-4</v>
      </c>
      <c r="E47272" s="2">
        <v>6.4515851544724495E-4</v>
      </c>
      <c r="F47272" s="2">
        <v>5.9297863559849297E-4</v>
      </c>
    </row>
    <row r="47273" spans="1:6" x14ac:dyDescent="0.25">
      <c r="A47273" s="1" t="str">
        <f t="shared" si="1542"/>
        <v>99999</v>
      </c>
      <c r="B47273" s="1" t="str">
        <f>"62477"</f>
        <v>62477</v>
      </c>
      <c r="C47273" s="2">
        <v>5.4346967060324897E-5</v>
      </c>
      <c r="D47273" s="2">
        <v>3.01141779055288E-5</v>
      </c>
      <c r="E47273" s="2">
        <v>4.3010567696482999E-6</v>
      </c>
      <c r="F47273" s="2">
        <v>5.1610555236813499E-5</v>
      </c>
    </row>
    <row r="47274" spans="1:6" x14ac:dyDescent="0.25">
      <c r="A47274" s="1" t="str">
        <f t="shared" si="1542"/>
        <v>99999</v>
      </c>
      <c r="B47274" s="1" t="str">
        <f>"62441"</f>
        <v>62441</v>
      </c>
      <c r="C47274" s="2">
        <v>3.9742572923994498E-4</v>
      </c>
      <c r="D47274" s="2">
        <v>4.74298302012078E-4</v>
      </c>
      <c r="E47274" s="2">
        <v>2.9677291710573201E-4</v>
      </c>
      <c r="F47274" s="2">
        <v>4.0015449614775998E-4</v>
      </c>
    </row>
    <row r="47275" spans="1:6" x14ac:dyDescent="0.25">
      <c r="A47275" s="1" t="str">
        <f t="shared" si="1542"/>
        <v>99999</v>
      </c>
      <c r="B47275" s="1" t="str">
        <f>"62425"</f>
        <v>62425</v>
      </c>
      <c r="C47275" s="2">
        <v>3.0854353809148598E-5</v>
      </c>
      <c r="D47275" s="2">
        <v>1.50570889527644E-5</v>
      </c>
      <c r="E47275" s="2">
        <v>4.3010567696482999E-6</v>
      </c>
      <c r="F47275" s="2">
        <v>2.92097979925368E-5</v>
      </c>
    </row>
    <row r="47276" spans="1:6" x14ac:dyDescent="0.25">
      <c r="A47276" s="1" t="str">
        <f t="shared" si="1542"/>
        <v>99999</v>
      </c>
      <c r="B47276" s="1" t="str">
        <f>"62423"</f>
        <v>62423</v>
      </c>
      <c r="C47276" s="2">
        <v>4.1463921083873303E-5</v>
      </c>
      <c r="D47276" s="2">
        <v>7.5285444763821999E-6</v>
      </c>
      <c r="E47276" s="2">
        <v>4.3010567696482999E-6</v>
      </c>
      <c r="F47276" s="2">
        <v>3.8387200740192003E-5</v>
      </c>
    </row>
    <row r="47277" spans="1:6" x14ac:dyDescent="0.25">
      <c r="A47277" s="1" t="str">
        <f t="shared" si="1542"/>
        <v>99999</v>
      </c>
      <c r="B47277" s="1" t="str">
        <f>"62476"</f>
        <v>62476</v>
      </c>
      <c r="C47277" s="2">
        <v>9.5269583691406202E-5</v>
      </c>
      <c r="D47277" s="2">
        <v>1.2497383830794399E-4</v>
      </c>
      <c r="E47277" s="2">
        <v>3.01073973875381E-5</v>
      </c>
      <c r="F47277" s="2">
        <v>9.5721297475543195E-5</v>
      </c>
    </row>
    <row r="47278" spans="1:6" x14ac:dyDescent="0.25">
      <c r="A47278" s="1" t="str">
        <f t="shared" si="1542"/>
        <v>99999</v>
      </c>
      <c r="B47278" s="1" t="str">
        <f>"63622"</f>
        <v>63622</v>
      </c>
      <c r="C47278" s="2">
        <v>5.3047836373623898E-5</v>
      </c>
      <c r="D47278" s="2">
        <v>1.9574215638593701E-5</v>
      </c>
      <c r="E47278" s="2">
        <v>8.6021135392965999E-6</v>
      </c>
      <c r="F47278" s="2">
        <v>4.9834283737267301E-5</v>
      </c>
    </row>
    <row r="47279" spans="1:6" x14ac:dyDescent="0.25">
      <c r="A47279" s="1" t="str">
        <f t="shared" si="1542"/>
        <v>99999</v>
      </c>
      <c r="B47279" s="1" t="str">
        <f>"63670"</f>
        <v>63670</v>
      </c>
      <c r="C47279" s="2">
        <v>5.9684228964854797E-4</v>
      </c>
      <c r="D47279" s="2">
        <v>7.6941724548626098E-4</v>
      </c>
      <c r="E47279" s="2">
        <v>3.39783484802215E-4</v>
      </c>
      <c r="F47279" s="2">
        <v>6.0225472009612301E-4</v>
      </c>
    </row>
    <row r="47280" spans="1:6" x14ac:dyDescent="0.25">
      <c r="A47280" s="1" t="str">
        <f t="shared" si="1542"/>
        <v>99999</v>
      </c>
      <c r="B47280" s="1" t="str">
        <f>"63645"</f>
        <v>63645</v>
      </c>
      <c r="C47280" s="2">
        <v>5.8699054860773196E-4</v>
      </c>
      <c r="D47280" s="2">
        <v>5.9475501363419401E-4</v>
      </c>
      <c r="E47280" s="2">
        <v>3.5698771188080898E-4</v>
      </c>
      <c r="F47280" s="2">
        <v>5.8222232485124201E-4</v>
      </c>
    </row>
    <row r="47281" spans="1:6" x14ac:dyDescent="0.25">
      <c r="A47281" s="1" t="str">
        <f t="shared" si="1542"/>
        <v>99999</v>
      </c>
      <c r="B47281" s="1" t="str">
        <f>"65058"</f>
        <v>65058</v>
      </c>
      <c r="C47281" s="2">
        <v>3.7674789914328797E-5</v>
      </c>
      <c r="D47281" s="2">
        <v>9.0342533716586405E-6</v>
      </c>
      <c r="E47281" s="2">
        <v>0</v>
      </c>
      <c r="F47281" s="2">
        <v>3.49333394910745E-5</v>
      </c>
    </row>
    <row r="47282" spans="1:6" x14ac:dyDescent="0.25">
      <c r="A47282" s="1" t="str">
        <f t="shared" si="1542"/>
        <v>99999</v>
      </c>
      <c r="B47282" s="1" t="str">
        <f>"63628"</f>
        <v>63628</v>
      </c>
      <c r="C47282" s="2">
        <v>2.6090874624578199E-5</v>
      </c>
      <c r="D47282" s="2">
        <v>1.50570889527644E-6</v>
      </c>
      <c r="E47282" s="2">
        <v>4.3010567696482999E-6</v>
      </c>
      <c r="F47282" s="2">
        <v>2.3979665243873099E-5</v>
      </c>
    </row>
    <row r="47283" spans="1:6" x14ac:dyDescent="0.25">
      <c r="A47283" s="1" t="str">
        <f t="shared" si="1542"/>
        <v>99999</v>
      </c>
      <c r="B47283" s="1" t="str">
        <f>"65084"</f>
        <v>65084</v>
      </c>
      <c r="C47283" s="2">
        <v>3.8551703127851899E-4</v>
      </c>
      <c r="D47283" s="2">
        <v>4.3966699742071998E-4</v>
      </c>
      <c r="E47283" s="2">
        <v>2.8817080356643602E-4</v>
      </c>
      <c r="F47283" s="2">
        <v>3.8683245990116401E-4</v>
      </c>
    </row>
    <row r="47284" spans="1:6" x14ac:dyDescent="0.25">
      <c r="A47284" s="1" t="str">
        <f t="shared" si="1542"/>
        <v>99999</v>
      </c>
      <c r="B47284" s="1" t="str">
        <f>"65270"</f>
        <v>65270</v>
      </c>
      <c r="C47284" s="2">
        <v>3.3560876073109E-6</v>
      </c>
      <c r="D47284" s="2">
        <v>0</v>
      </c>
      <c r="E47284" s="2">
        <v>0</v>
      </c>
      <c r="F47284" s="2">
        <v>3.0591342492183902E-6</v>
      </c>
    </row>
    <row r="47285" spans="1:6" x14ac:dyDescent="0.25">
      <c r="A47285" s="1" t="str">
        <f t="shared" si="1542"/>
        <v>99999</v>
      </c>
      <c r="B47285" s="1" t="str">
        <f>"65236"</f>
        <v>65236</v>
      </c>
      <c r="C47285" s="2">
        <v>8.7583060461758597E-5</v>
      </c>
      <c r="D47285" s="2">
        <v>1.68639396270961E-4</v>
      </c>
      <c r="E47285" s="2">
        <v>9.0322192162614306E-5</v>
      </c>
      <c r="F47285" s="2">
        <v>9.2958208476249095E-5</v>
      </c>
    </row>
    <row r="47286" spans="1:6" x14ac:dyDescent="0.25">
      <c r="A47286" s="1" t="str">
        <f t="shared" si="1542"/>
        <v>99999</v>
      </c>
      <c r="B47286" s="1" t="str">
        <f>"65324"</f>
        <v>65324</v>
      </c>
      <c r="C47286" s="2">
        <v>1.42254810193758E-4</v>
      </c>
      <c r="D47286" s="2">
        <v>4.2159849067740298E-5</v>
      </c>
      <c r="E47286" s="2">
        <v>4.3010567696482999E-6</v>
      </c>
      <c r="F47286" s="2">
        <v>1.32529590216138E-4</v>
      </c>
    </row>
    <row r="47287" spans="1:6" x14ac:dyDescent="0.25">
      <c r="A47287" s="1" t="str">
        <f t="shared" si="1542"/>
        <v>99999</v>
      </c>
      <c r="B47287" s="1" t="str">
        <f>"64776"</f>
        <v>64776</v>
      </c>
      <c r="C47287" s="2">
        <v>2.4456135177146202E-4</v>
      </c>
      <c r="D47287" s="2">
        <v>1.68639396270961E-4</v>
      </c>
      <c r="E47287" s="2">
        <v>9.0322192162614306E-5</v>
      </c>
      <c r="F47287" s="2">
        <v>2.3604674593968999E-4</v>
      </c>
    </row>
    <row r="47288" spans="1:6" x14ac:dyDescent="0.25">
      <c r="A47288" s="1" t="str">
        <f t="shared" si="1542"/>
        <v>99999</v>
      </c>
      <c r="B47288" s="1" t="str">
        <f>"65439"</f>
        <v>65439</v>
      </c>
      <c r="C47288" s="2">
        <v>2.0569569206098999E-5</v>
      </c>
      <c r="D47288" s="2">
        <v>1.50570889527644E-6</v>
      </c>
      <c r="E47288" s="2">
        <v>4.3010567696482999E-6</v>
      </c>
      <c r="F47288" s="2">
        <v>1.8946895995158999E-5</v>
      </c>
    </row>
    <row r="47289" spans="1:6" x14ac:dyDescent="0.25">
      <c r="A47289" s="1" t="str">
        <f t="shared" si="1542"/>
        <v>99999</v>
      </c>
      <c r="B47289" s="1" t="str">
        <f>"65560"</f>
        <v>65560</v>
      </c>
      <c r="C47289" s="2">
        <v>7.8781450059359399E-4</v>
      </c>
      <c r="D47289" s="2">
        <v>8.4319698135480595E-4</v>
      </c>
      <c r="E47289" s="2">
        <v>7.0537331022232095E-4</v>
      </c>
      <c r="F47289" s="2">
        <v>7.89552681548269E-4</v>
      </c>
    </row>
    <row r="47290" spans="1:6" x14ac:dyDescent="0.25">
      <c r="A47290" s="1" t="str">
        <f t="shared" si="1542"/>
        <v>99999</v>
      </c>
      <c r="B47290" s="1" t="str">
        <f>"65443"</f>
        <v>65443</v>
      </c>
      <c r="C47290" s="2">
        <v>9.0939148069069495E-6</v>
      </c>
      <c r="D47290" s="2">
        <v>4.5171266858293203E-6</v>
      </c>
      <c r="E47290" s="2">
        <v>8.6021135392965999E-6</v>
      </c>
      <c r="F47290" s="2">
        <v>8.7826757477560201E-6</v>
      </c>
    </row>
    <row r="47291" spans="1:6" x14ac:dyDescent="0.25">
      <c r="A47291" s="1" t="str">
        <f t="shared" si="1542"/>
        <v>99999</v>
      </c>
      <c r="B47291" s="1" t="str">
        <f>"65582"</f>
        <v>65582</v>
      </c>
      <c r="C47291" s="2">
        <v>1.03389150483287E-4</v>
      </c>
      <c r="D47291" s="2">
        <v>4.0654140172463799E-5</v>
      </c>
      <c r="E47291" s="2">
        <v>1.9913892843471601E-3</v>
      </c>
      <c r="F47291" s="2">
        <v>1.4259512871356601E-4</v>
      </c>
    </row>
    <row r="47292" spans="1:6" x14ac:dyDescent="0.25">
      <c r="A47292" s="1" t="str">
        <f t="shared" si="1542"/>
        <v>99999</v>
      </c>
      <c r="B47292" s="1" t="str">
        <f>"64867"</f>
        <v>64867</v>
      </c>
      <c r="C47292" s="2">
        <v>4.36291388950417E-5</v>
      </c>
      <c r="D47292" s="2">
        <v>3.01141779055288E-6</v>
      </c>
      <c r="E47292" s="2">
        <v>0</v>
      </c>
      <c r="F47292" s="2">
        <v>3.99661087397886E-5</v>
      </c>
    </row>
    <row r="47293" spans="1:6" x14ac:dyDescent="0.25">
      <c r="A47293" s="1" t="str">
        <f t="shared" si="1542"/>
        <v>99999</v>
      </c>
      <c r="B47293" s="1" t="str">
        <f>"65484"</f>
        <v>65484</v>
      </c>
      <c r="C47293" s="2">
        <v>1.1150871727516799E-5</v>
      </c>
      <c r="D47293" s="2">
        <v>4.5171266858293203E-6</v>
      </c>
      <c r="E47293" s="2">
        <v>4.3010567696482999E-6</v>
      </c>
      <c r="F47293" s="2">
        <v>1.0558947247302099E-5</v>
      </c>
    </row>
    <row r="47294" spans="1:6" x14ac:dyDescent="0.25">
      <c r="A47294" s="1" t="str">
        <f t="shared" si="1542"/>
        <v>99999</v>
      </c>
      <c r="B47294" s="1" t="str">
        <f>"64601"</f>
        <v>64601</v>
      </c>
      <c r="C47294" s="2">
        <v>6.0322968219149399E-4</v>
      </c>
      <c r="D47294" s="2">
        <v>1.0750761512273699E-3</v>
      </c>
      <c r="E47294" s="2">
        <v>4.0429933634693999E-4</v>
      </c>
      <c r="F47294" s="2">
        <v>6.2958956483913895E-4</v>
      </c>
    </row>
    <row r="47295" spans="1:6" x14ac:dyDescent="0.25">
      <c r="A47295" s="1" t="str">
        <f t="shared" si="1542"/>
        <v>99999</v>
      </c>
      <c r="B47295" s="1" t="str">
        <f>"64643"</f>
        <v>64643</v>
      </c>
      <c r="C47295" s="2">
        <v>5.3372619045299102E-5</v>
      </c>
      <c r="D47295" s="2">
        <v>2.1079924533870101E-5</v>
      </c>
      <c r="E47295" s="2">
        <v>1.29031703089449E-5</v>
      </c>
      <c r="F47295" s="2">
        <v>5.0327692487141198E-5</v>
      </c>
    </row>
    <row r="47296" spans="1:6" x14ac:dyDescent="0.25">
      <c r="A47296" s="1" t="str">
        <f t="shared" si="1542"/>
        <v>99999</v>
      </c>
      <c r="B47296" s="1" t="str">
        <f>"64735"</f>
        <v>64735</v>
      </c>
      <c r="C47296" s="2">
        <v>7.4472666615134396E-4</v>
      </c>
      <c r="D47296" s="2">
        <v>1.0434562644265699E-3</v>
      </c>
      <c r="E47296" s="2">
        <v>1.39784345013569E-3</v>
      </c>
      <c r="F47296" s="2">
        <v>7.7928977955089103E-4</v>
      </c>
    </row>
    <row r="47297" spans="1:6" x14ac:dyDescent="0.25">
      <c r="A47297" s="1" t="str">
        <f t="shared" si="1542"/>
        <v>99999</v>
      </c>
      <c r="B47297" s="1" t="str">
        <f>"64446"</f>
        <v>64446</v>
      </c>
      <c r="C47297" s="2">
        <v>5.3805662607532797E-5</v>
      </c>
      <c r="D47297" s="2">
        <v>1.35513800574879E-5</v>
      </c>
      <c r="E47297" s="2">
        <v>2.58063406178898E-5</v>
      </c>
      <c r="F47297" s="2">
        <v>5.0525055987090799E-5</v>
      </c>
    </row>
    <row r="47298" spans="1:6" x14ac:dyDescent="0.25">
      <c r="A47298" s="1" t="str">
        <f t="shared" si="1542"/>
        <v>99999</v>
      </c>
      <c r="B47298" s="1" t="str">
        <f>"64648"</f>
        <v>64648</v>
      </c>
      <c r="C47298" s="2">
        <v>9.7759584174249796E-5</v>
      </c>
      <c r="D47298" s="2">
        <v>7.82968625543749E-5</v>
      </c>
      <c r="E47298" s="2">
        <v>3.01073973875381E-5</v>
      </c>
      <c r="F47298" s="2">
        <v>9.49318434757449E-5</v>
      </c>
    </row>
    <row r="47299" spans="1:6" x14ac:dyDescent="0.25">
      <c r="A47299" s="1" t="str">
        <f t="shared" si="1542"/>
        <v>99999</v>
      </c>
      <c r="B47299" s="1" t="str">
        <f>"64672"</f>
        <v>64672</v>
      </c>
      <c r="C47299" s="2">
        <v>1.7430003379904999E-5</v>
      </c>
      <c r="D47299" s="2">
        <v>1.50570889527644E-6</v>
      </c>
      <c r="E47299" s="2">
        <v>4.3010567696482999E-6</v>
      </c>
      <c r="F47299" s="2">
        <v>1.60851252458902E-5</v>
      </c>
    </row>
    <row r="47300" spans="1:6" x14ac:dyDescent="0.25">
      <c r="A47300" s="1" t="str">
        <f t="shared" si="1542"/>
        <v>99999</v>
      </c>
      <c r="B47300" s="1" t="str">
        <f>"64688"</f>
        <v>64688</v>
      </c>
      <c r="C47300" s="2">
        <v>2.9663484013005999E-5</v>
      </c>
      <c r="D47300" s="2">
        <v>9.0342533716586405E-6</v>
      </c>
      <c r="E47300" s="2">
        <v>2.15052838482415E-5</v>
      </c>
      <c r="F47300" s="2">
        <v>2.8124298742814199E-5</v>
      </c>
    </row>
    <row r="47301" spans="1:6" x14ac:dyDescent="0.25">
      <c r="A47301" s="1" t="str">
        <f t="shared" si="1542"/>
        <v>99999</v>
      </c>
      <c r="B47301" s="1" t="str">
        <f>"64426"</f>
        <v>64426</v>
      </c>
      <c r="C47301" s="2">
        <v>2.1110873658891101E-5</v>
      </c>
      <c r="D47301" s="2">
        <v>1.50570889527644E-6</v>
      </c>
      <c r="E47301" s="2">
        <v>1.29031703089449E-5</v>
      </c>
      <c r="F47301" s="2">
        <v>1.96376682449825E-5</v>
      </c>
    </row>
    <row r="47302" spans="1:6" x14ac:dyDescent="0.25">
      <c r="A47302" s="1" t="str">
        <f t="shared" ref="A47302:A47365" si="1543">"99999"</f>
        <v>99999</v>
      </c>
      <c r="B47302" s="1" t="str">
        <f>"63965"</f>
        <v>63965</v>
      </c>
      <c r="C47302" s="2">
        <v>1.6109220515092299E-4</v>
      </c>
      <c r="D47302" s="2">
        <v>1.12928167145733E-4</v>
      </c>
      <c r="E47302" s="2">
        <v>2.15052838482415E-5</v>
      </c>
      <c r="F47302" s="2">
        <v>1.5473298396046501E-4</v>
      </c>
    </row>
    <row r="47303" spans="1:6" x14ac:dyDescent="0.25">
      <c r="A47303" s="1" t="str">
        <f t="shared" si="1543"/>
        <v>99999</v>
      </c>
      <c r="B47303" s="1" t="str">
        <f>"63941"</f>
        <v>63941</v>
      </c>
      <c r="C47303" s="2">
        <v>4.5686095815651599E-5</v>
      </c>
      <c r="D47303" s="2">
        <v>3.01141779055288E-6</v>
      </c>
      <c r="E47303" s="2">
        <v>4.3010567696482999E-6</v>
      </c>
      <c r="F47303" s="2">
        <v>4.1939743739284297E-5</v>
      </c>
    </row>
    <row r="47304" spans="1:6" x14ac:dyDescent="0.25">
      <c r="A47304" s="1" t="str">
        <f t="shared" si="1543"/>
        <v>99999</v>
      </c>
      <c r="B47304" s="1" t="str">
        <f>"65011"</f>
        <v>65011</v>
      </c>
      <c r="C47304" s="2">
        <v>1.31320460247358E-4</v>
      </c>
      <c r="D47304" s="2">
        <v>4.8182684648845999E-5</v>
      </c>
      <c r="E47304" s="2">
        <v>1.29031703089449E-5</v>
      </c>
      <c r="F47304" s="2">
        <v>1.2315482396853299E-4</v>
      </c>
    </row>
    <row r="47305" spans="1:6" x14ac:dyDescent="0.25">
      <c r="A47305" s="1" t="str">
        <f t="shared" si="1543"/>
        <v>99999</v>
      </c>
      <c r="B47305" s="1" t="str">
        <f>"65020"</f>
        <v>65020</v>
      </c>
      <c r="C47305" s="2">
        <v>9.7250757988625203E-4</v>
      </c>
      <c r="D47305" s="2">
        <v>9.8774503530134491E-4</v>
      </c>
      <c r="E47305" s="2">
        <v>1.8967660354149E-3</v>
      </c>
      <c r="F47305" s="2">
        <v>9.9471203974585095E-4</v>
      </c>
    </row>
    <row r="47306" spans="1:6" x14ac:dyDescent="0.25">
      <c r="A47306" s="1" t="str">
        <f t="shared" si="1543"/>
        <v>99999</v>
      </c>
      <c r="B47306" s="1" t="str">
        <f>"65037"</f>
        <v>65037</v>
      </c>
      <c r="C47306" s="2">
        <v>4.9334487827470204E-4</v>
      </c>
      <c r="D47306" s="2">
        <v>3.55347299285239E-4</v>
      </c>
      <c r="E47306" s="2">
        <v>3.8279405249869798E-4</v>
      </c>
      <c r="F47306" s="2">
        <v>4.8176430337690902E-4</v>
      </c>
    </row>
    <row r="47307" spans="1:6" x14ac:dyDescent="0.25">
      <c r="A47307" s="1" t="str">
        <f t="shared" si="1543"/>
        <v>99999</v>
      </c>
      <c r="B47307" s="1" t="str">
        <f>"63557"</f>
        <v>63557</v>
      </c>
      <c r="C47307" s="2">
        <v>1.9595221191073298E-5</v>
      </c>
      <c r="D47307" s="2">
        <v>1.35513800574879E-5</v>
      </c>
      <c r="E47307" s="2">
        <v>1.29031703089449E-5</v>
      </c>
      <c r="F47307" s="2">
        <v>1.9045577745133799E-5</v>
      </c>
    </row>
    <row r="47308" spans="1:6" x14ac:dyDescent="0.25">
      <c r="A47308" s="1" t="str">
        <f t="shared" si="1543"/>
        <v>99999</v>
      </c>
      <c r="B47308" s="1" t="str">
        <f>"63339"</f>
        <v>63339</v>
      </c>
      <c r="C47308" s="2">
        <v>5.0990879453013999E-5</v>
      </c>
      <c r="D47308" s="2">
        <v>2.7102760114975901E-5</v>
      </c>
      <c r="E47308" s="2">
        <v>1.29031703089449E-5</v>
      </c>
      <c r="F47308" s="2">
        <v>4.8551420987595102E-5</v>
      </c>
    </row>
    <row r="47309" spans="1:6" x14ac:dyDescent="0.25">
      <c r="A47309" s="1" t="str">
        <f t="shared" si="1543"/>
        <v>99999</v>
      </c>
      <c r="B47309" s="1" t="str">
        <f>"63351"</f>
        <v>63351</v>
      </c>
      <c r="C47309" s="2">
        <v>6.3440881867231802E-5</v>
      </c>
      <c r="D47309" s="2">
        <v>7.3779735868545501E-5</v>
      </c>
      <c r="E47309" s="2">
        <v>1.03225362471559E-4</v>
      </c>
      <c r="F47309" s="2">
        <v>6.5031273233384494E-5</v>
      </c>
    </row>
    <row r="47310" spans="1:6" x14ac:dyDescent="0.25">
      <c r="A47310" s="1" t="str">
        <f t="shared" si="1543"/>
        <v>99999</v>
      </c>
      <c r="B47310" s="1" t="str">
        <f>"66717"</f>
        <v>66717</v>
      </c>
      <c r="C47310" s="2">
        <v>4.0706094849964403E-5</v>
      </c>
      <c r="D47310" s="2">
        <v>3.6137013486634501E-5</v>
      </c>
      <c r="E47310" s="2">
        <v>3.01073973875381E-5</v>
      </c>
      <c r="F47310" s="2">
        <v>4.0163472239738201E-5</v>
      </c>
    </row>
    <row r="47311" spans="1:6" x14ac:dyDescent="0.25">
      <c r="A47311" s="1" t="str">
        <f t="shared" si="1543"/>
        <v>99999</v>
      </c>
      <c r="B47311" s="1" t="str">
        <f>"66710"</f>
        <v>66710</v>
      </c>
      <c r="C47311" s="2">
        <v>2.8147831545188199E-5</v>
      </c>
      <c r="D47311" s="2">
        <v>1.20456711622115E-5</v>
      </c>
      <c r="E47311" s="2">
        <v>4.3010567696482999E-6</v>
      </c>
      <c r="F47311" s="2">
        <v>2.6545390743217599E-5</v>
      </c>
    </row>
    <row r="47312" spans="1:6" x14ac:dyDescent="0.25">
      <c r="A47312" s="1" t="str">
        <f t="shared" si="1543"/>
        <v>99999</v>
      </c>
      <c r="B47312" s="1" t="str">
        <f>"66733"</f>
        <v>66733</v>
      </c>
      <c r="C47312" s="2">
        <v>1.0869393412064899E-4</v>
      </c>
      <c r="D47312" s="2">
        <v>2.1682208091980699E-4</v>
      </c>
      <c r="E47312" s="2">
        <v>3.01073973875381E-5</v>
      </c>
      <c r="F47312" s="2">
        <v>1.13977421220878E-4</v>
      </c>
    </row>
    <row r="47313" spans="1:6" x14ac:dyDescent="0.25">
      <c r="A47313" s="1" t="str">
        <f t="shared" si="1543"/>
        <v>99999</v>
      </c>
      <c r="B47313" s="1" t="str">
        <f>"66748"</f>
        <v>66748</v>
      </c>
      <c r="C47313" s="2">
        <v>1.3965654882035599E-4</v>
      </c>
      <c r="D47313" s="2">
        <v>2.1531637202453101E-4</v>
      </c>
      <c r="E47313" s="2">
        <v>3.44084541571864E-5</v>
      </c>
      <c r="F47313" s="2">
        <v>1.4220040171366701E-4</v>
      </c>
    </row>
    <row r="47314" spans="1:6" x14ac:dyDescent="0.25">
      <c r="A47314" s="1" t="str">
        <f t="shared" si="1543"/>
        <v>99999</v>
      </c>
      <c r="B47314" s="1" t="str">
        <f>"51565"</f>
        <v>51565</v>
      </c>
      <c r="C47314" s="2">
        <v>2.29513087983842E-5</v>
      </c>
      <c r="D47314" s="2">
        <v>7.5285444763821999E-6</v>
      </c>
      <c r="E47314" s="2">
        <v>8.6021135392965999E-6</v>
      </c>
      <c r="F47314" s="2">
        <v>2.1611303244478299E-5</v>
      </c>
    </row>
    <row r="47315" spans="1:6" x14ac:dyDescent="0.25">
      <c r="A47315" s="1" t="str">
        <f t="shared" si="1543"/>
        <v>99999</v>
      </c>
      <c r="B47315" s="1" t="str">
        <f>"68039"</f>
        <v>68039</v>
      </c>
      <c r="C47315" s="2">
        <v>2.0677830096657399E-5</v>
      </c>
      <c r="D47315" s="2">
        <v>9.0342533716586405E-6</v>
      </c>
      <c r="E47315" s="2">
        <v>1.29031703089449E-5</v>
      </c>
      <c r="F47315" s="2">
        <v>1.9736349994957301E-5</v>
      </c>
    </row>
    <row r="47316" spans="1:6" x14ac:dyDescent="0.25">
      <c r="A47316" s="1" t="str">
        <f t="shared" si="1543"/>
        <v>99999</v>
      </c>
      <c r="B47316" s="1" t="str">
        <f>"68036"</f>
        <v>68036</v>
      </c>
      <c r="C47316" s="2">
        <v>2.2843047907825799E-5</v>
      </c>
      <c r="D47316" s="2">
        <v>1.35513800574879E-5</v>
      </c>
      <c r="E47316" s="2">
        <v>6.4515851544724506E-5</v>
      </c>
      <c r="F47316" s="2">
        <v>2.3190211244074899E-5</v>
      </c>
    </row>
    <row r="47317" spans="1:6" x14ac:dyDescent="0.25">
      <c r="A47317" s="1" t="str">
        <f t="shared" si="1543"/>
        <v>99999</v>
      </c>
      <c r="B47317" s="1" t="str">
        <f>"67854"</f>
        <v>67854</v>
      </c>
      <c r="C47317" s="2">
        <v>6.4198708101140695E-5</v>
      </c>
      <c r="D47317" s="2">
        <v>5.8722646915781101E-5</v>
      </c>
      <c r="E47317" s="2">
        <v>3.44084541571864E-5</v>
      </c>
      <c r="F47317" s="2">
        <v>6.3156319983863506E-5</v>
      </c>
    </row>
    <row r="47318" spans="1:6" x14ac:dyDescent="0.25">
      <c r="A47318" s="1" t="str">
        <f t="shared" si="1543"/>
        <v>99999</v>
      </c>
      <c r="B47318" s="1" t="str">
        <f>"68061"</f>
        <v>68061</v>
      </c>
      <c r="C47318" s="2">
        <v>1.47234811159445E-4</v>
      </c>
      <c r="D47318" s="2">
        <v>1.9574215638593699E-4</v>
      </c>
      <c r="E47318" s="2">
        <v>1.41934873398393E-4</v>
      </c>
      <c r="F47318" s="2">
        <v>1.502923052116E-4</v>
      </c>
    </row>
    <row r="47319" spans="1:6" x14ac:dyDescent="0.25">
      <c r="A47319" s="1" t="str">
        <f t="shared" si="1543"/>
        <v>99999</v>
      </c>
      <c r="B47319" s="1" t="str">
        <f>"67047"</f>
        <v>67047</v>
      </c>
      <c r="C47319" s="2">
        <v>8.4876538197798196E-5</v>
      </c>
      <c r="D47319" s="2">
        <v>1.80685067433172E-5</v>
      </c>
      <c r="E47319" s="2">
        <v>8.6021135392965999E-6</v>
      </c>
      <c r="F47319" s="2">
        <v>7.8748036479879798E-5</v>
      </c>
    </row>
    <row r="47320" spans="1:6" x14ac:dyDescent="0.25">
      <c r="A47320" s="1" t="str">
        <f t="shared" si="1543"/>
        <v>99999</v>
      </c>
      <c r="B47320" s="1" t="str">
        <f>"67137"</f>
        <v>67137</v>
      </c>
      <c r="C47320" s="2">
        <v>3.8540877038796101E-5</v>
      </c>
      <c r="D47320" s="2">
        <v>4.3665557963016701E-5</v>
      </c>
      <c r="E47320" s="2">
        <v>4.3010567696482999E-6</v>
      </c>
      <c r="F47320" s="2">
        <v>3.80911554902677E-5</v>
      </c>
    </row>
    <row r="47321" spans="1:6" x14ac:dyDescent="0.25">
      <c r="A47321" s="1" t="str">
        <f t="shared" si="1543"/>
        <v>99999</v>
      </c>
      <c r="B47321" s="1" t="str">
        <f>"56114"</f>
        <v>56114</v>
      </c>
      <c r="C47321" s="2">
        <v>2.0677830096657399E-5</v>
      </c>
      <c r="D47321" s="2">
        <v>1.50570889527644E-5</v>
      </c>
      <c r="E47321" s="2">
        <v>0</v>
      </c>
      <c r="F47321" s="2">
        <v>1.9835031744932101E-5</v>
      </c>
    </row>
    <row r="47322" spans="1:6" x14ac:dyDescent="0.25">
      <c r="A47322" s="1" t="str">
        <f t="shared" si="1543"/>
        <v>99999</v>
      </c>
      <c r="B47322" s="1" t="str">
        <f>"56137"</f>
        <v>56137</v>
      </c>
      <c r="C47322" s="2">
        <v>6.2466533852206102E-5</v>
      </c>
      <c r="D47322" s="2">
        <v>2.1079924533870101E-5</v>
      </c>
      <c r="E47322" s="2">
        <v>3.8709510926834699E-5</v>
      </c>
      <c r="F47322" s="2">
        <v>5.9209049984871997E-5</v>
      </c>
    </row>
    <row r="47323" spans="1:6" x14ac:dyDescent="0.25">
      <c r="A47323" s="1" t="str">
        <f t="shared" si="1543"/>
        <v>99999</v>
      </c>
      <c r="B47323" s="1" t="str">
        <f>"56214"</f>
        <v>56214</v>
      </c>
      <c r="C47323" s="2">
        <v>3.7783050804887201E-5</v>
      </c>
      <c r="D47323" s="2">
        <v>1.0539962266935E-5</v>
      </c>
      <c r="E47323" s="2">
        <v>1.72042270785932E-5</v>
      </c>
      <c r="F47323" s="2">
        <v>3.5525429990923201E-5</v>
      </c>
    </row>
    <row r="47324" spans="1:6" x14ac:dyDescent="0.25">
      <c r="A47324" s="1" t="str">
        <f t="shared" si="1543"/>
        <v>99999</v>
      </c>
      <c r="B47324" s="1" t="str">
        <f>"56068"</f>
        <v>56068</v>
      </c>
      <c r="C47324" s="2">
        <v>3.7350007242653498E-5</v>
      </c>
      <c r="D47324" s="2">
        <v>7.5285444763821999E-6</v>
      </c>
      <c r="E47324" s="2">
        <v>1.29031703089449E-5</v>
      </c>
      <c r="F47324" s="2">
        <v>3.4834657741099703E-5</v>
      </c>
    </row>
    <row r="47325" spans="1:6" x14ac:dyDescent="0.25">
      <c r="A47325" s="1" t="str">
        <f t="shared" si="1543"/>
        <v>99999</v>
      </c>
      <c r="B47325" s="1" t="str">
        <f>"56033"</f>
        <v>56033</v>
      </c>
      <c r="C47325" s="2">
        <v>2.1110873658891101E-5</v>
      </c>
      <c r="D47325" s="2">
        <v>1.50570889527644E-6</v>
      </c>
      <c r="E47325" s="2">
        <v>2.15052838482415E-5</v>
      </c>
      <c r="F47325" s="2">
        <v>1.9835031744932101E-5</v>
      </c>
    </row>
    <row r="47326" spans="1:6" x14ac:dyDescent="0.25">
      <c r="A47326" s="1" t="str">
        <f t="shared" si="1543"/>
        <v>99999</v>
      </c>
      <c r="B47326" s="1" t="str">
        <f>"56260"</f>
        <v>56260</v>
      </c>
      <c r="C47326" s="2">
        <v>2.9555223122447599E-5</v>
      </c>
      <c r="D47326" s="2">
        <v>4.5171266858293203E-6</v>
      </c>
      <c r="E47326" s="2">
        <v>8.6021135392965999E-6</v>
      </c>
      <c r="F47326" s="2">
        <v>2.7433526492990701E-5</v>
      </c>
    </row>
    <row r="47327" spans="1:6" x14ac:dyDescent="0.25">
      <c r="A47327" s="1" t="str">
        <f t="shared" si="1543"/>
        <v>99999</v>
      </c>
      <c r="B47327" s="1" t="str">
        <f>"56144"</f>
        <v>56144</v>
      </c>
      <c r="C47327" s="2">
        <v>6.9503491738503095E-5</v>
      </c>
      <c r="D47327" s="2">
        <v>7.5285444763821999E-6</v>
      </c>
      <c r="E47327" s="2">
        <v>4.7311624466131299E-5</v>
      </c>
      <c r="F47327" s="2">
        <v>6.4932591483409703E-5</v>
      </c>
    </row>
    <row r="47328" spans="1:6" x14ac:dyDescent="0.25">
      <c r="A47328" s="1" t="str">
        <f t="shared" si="1543"/>
        <v>99999</v>
      </c>
      <c r="B47328" s="1" t="str">
        <f>"56208"</f>
        <v>56208</v>
      </c>
      <c r="C47328" s="2">
        <v>1.39548287929798E-4</v>
      </c>
      <c r="D47328" s="2">
        <v>2.3037346097729499E-4</v>
      </c>
      <c r="E47328" s="2">
        <v>1.97848611403821E-4</v>
      </c>
      <c r="F47328" s="2">
        <v>1.46838443962482E-4</v>
      </c>
    </row>
    <row r="47329" spans="1:6" x14ac:dyDescent="0.25">
      <c r="A47329" s="1" t="str">
        <f t="shared" si="1543"/>
        <v>99999</v>
      </c>
      <c r="B47329" s="1" t="str">
        <f>"56229"</f>
        <v>56229</v>
      </c>
      <c r="C47329" s="2">
        <v>5.6295663090376404E-6</v>
      </c>
      <c r="D47329" s="2">
        <v>1.50570889527644E-6</v>
      </c>
      <c r="E47329" s="2">
        <v>0</v>
      </c>
      <c r="F47329" s="2">
        <v>5.2301327486637002E-6</v>
      </c>
    </row>
    <row r="47330" spans="1:6" x14ac:dyDescent="0.25">
      <c r="A47330" s="1" t="str">
        <f t="shared" si="1543"/>
        <v>99999</v>
      </c>
      <c r="B47330" s="1" t="str">
        <f>"56183"</f>
        <v>56183</v>
      </c>
      <c r="C47330" s="2">
        <v>7.66487105153586E-5</v>
      </c>
      <c r="D47330" s="2">
        <v>6.0228355811057599E-5</v>
      </c>
      <c r="E47330" s="2">
        <v>6.0214794775076199E-5</v>
      </c>
      <c r="F47330" s="2">
        <v>7.5195493480787498E-5</v>
      </c>
    </row>
    <row r="47331" spans="1:6" x14ac:dyDescent="0.25">
      <c r="A47331" s="1" t="str">
        <f t="shared" si="1543"/>
        <v>99999</v>
      </c>
      <c r="B47331" s="1" t="str">
        <f>"55382"</f>
        <v>55382</v>
      </c>
      <c r="C47331" s="2">
        <v>2.14356563305664E-5</v>
      </c>
      <c r="D47331" s="2">
        <v>3.01141779055288E-6</v>
      </c>
      <c r="E47331" s="2">
        <v>0</v>
      </c>
      <c r="F47331" s="2">
        <v>1.9736349994957301E-5</v>
      </c>
    </row>
    <row r="47332" spans="1:6" x14ac:dyDescent="0.25">
      <c r="A47332" s="1" t="str">
        <f t="shared" si="1543"/>
        <v>99999</v>
      </c>
      <c r="B47332" s="1" t="str">
        <f>"55325"</f>
        <v>55325</v>
      </c>
      <c r="C47332" s="2">
        <v>2.1933656427135099E-4</v>
      </c>
      <c r="D47332" s="2">
        <v>8.88368248213099E-5</v>
      </c>
      <c r="E47332" s="2">
        <v>1.5483804370733801E-4</v>
      </c>
      <c r="F47332" s="2">
        <v>2.0930399169652201E-4</v>
      </c>
    </row>
    <row r="47333" spans="1:6" x14ac:dyDescent="0.25">
      <c r="A47333" s="1" t="str">
        <f t="shared" si="1543"/>
        <v>99999</v>
      </c>
      <c r="B47333" s="1" t="str">
        <f>"55314"</f>
        <v>55314</v>
      </c>
      <c r="C47333" s="2">
        <v>5.1640444796364502E-5</v>
      </c>
      <c r="D47333" s="2">
        <v>9.0342533716586405E-6</v>
      </c>
      <c r="E47333" s="2">
        <v>8.1720078623317706E-5</v>
      </c>
      <c r="F47333" s="2">
        <v>4.9538238487342903E-5</v>
      </c>
    </row>
    <row r="47334" spans="1:6" x14ac:dyDescent="0.25">
      <c r="A47334" s="1" t="str">
        <f t="shared" si="1543"/>
        <v>99999</v>
      </c>
      <c r="B47334" s="1" t="str">
        <f>"57570"</f>
        <v>57570</v>
      </c>
      <c r="C47334" s="2">
        <v>1.34243504292436E-5</v>
      </c>
      <c r="D47334" s="2">
        <v>0</v>
      </c>
      <c r="E47334" s="2">
        <v>1.29031703089449E-5</v>
      </c>
      <c r="F47334" s="2">
        <v>1.2532582246797899E-5</v>
      </c>
    </row>
    <row r="47335" spans="1:6" x14ac:dyDescent="0.25">
      <c r="A47335" s="1" t="str">
        <f t="shared" si="1543"/>
        <v>99999</v>
      </c>
      <c r="B47335" s="1" t="str">
        <f>"57571"</f>
        <v>57571</v>
      </c>
      <c r="C47335" s="2">
        <v>3.0313049356356498E-6</v>
      </c>
      <c r="D47335" s="2">
        <v>6.0228355811057601E-6</v>
      </c>
      <c r="E47335" s="2">
        <v>4.3010567696482999E-6</v>
      </c>
      <c r="F47335" s="2">
        <v>3.2564977491679601E-6</v>
      </c>
    </row>
    <row r="47336" spans="1:6" x14ac:dyDescent="0.25">
      <c r="A47336" s="1" t="str">
        <f t="shared" si="1543"/>
        <v>99999</v>
      </c>
      <c r="B47336" s="1" t="str">
        <f>"57646"</f>
        <v>57646</v>
      </c>
      <c r="C47336" s="2">
        <v>1.2883045976451501E-5</v>
      </c>
      <c r="D47336" s="2">
        <v>1.50570889527644E-6</v>
      </c>
      <c r="E47336" s="2">
        <v>4.3010567696482999E-6</v>
      </c>
      <c r="F47336" s="2">
        <v>1.19404917469492E-5</v>
      </c>
    </row>
    <row r="47337" spans="1:6" x14ac:dyDescent="0.25">
      <c r="A47337" s="1" t="str">
        <f t="shared" si="1543"/>
        <v>99999</v>
      </c>
      <c r="B47337" s="1" t="str">
        <f>"57623"</f>
        <v>57623</v>
      </c>
      <c r="C47337" s="2">
        <v>2.3492613251176299E-5</v>
      </c>
      <c r="D47337" s="2">
        <v>1.50570889527644E-6</v>
      </c>
      <c r="E47337" s="2">
        <v>3.01073973875381E-5</v>
      </c>
      <c r="F47337" s="2">
        <v>2.2203393744327E-5</v>
      </c>
    </row>
    <row r="47338" spans="1:6" x14ac:dyDescent="0.25">
      <c r="A47338" s="1" t="str">
        <f t="shared" si="1543"/>
        <v>99999</v>
      </c>
      <c r="B47338" s="1" t="str">
        <f>"57584"</f>
        <v>57584</v>
      </c>
      <c r="C47338" s="2">
        <v>7.9030450107643795E-6</v>
      </c>
      <c r="D47338" s="2">
        <v>1.50570889527644E-6</v>
      </c>
      <c r="E47338" s="2">
        <v>4.3010567696482999E-6</v>
      </c>
      <c r="F47338" s="2">
        <v>7.4011312481090098E-6</v>
      </c>
    </row>
    <row r="47339" spans="1:6" x14ac:dyDescent="0.25">
      <c r="A47339" s="1" t="str">
        <f t="shared" si="1543"/>
        <v>99999</v>
      </c>
      <c r="B47339" s="1" t="str">
        <f>"57735"</f>
        <v>57735</v>
      </c>
      <c r="C47339" s="2">
        <v>7.3509144689164503E-5</v>
      </c>
      <c r="D47339" s="2">
        <v>2.25856334291466E-5</v>
      </c>
      <c r="E47339" s="2">
        <v>3.01073973875381E-5</v>
      </c>
      <c r="F47339" s="2">
        <v>6.9175906732325495E-5</v>
      </c>
    </row>
    <row r="47340" spans="1:6" x14ac:dyDescent="0.25">
      <c r="A47340" s="1" t="str">
        <f t="shared" si="1543"/>
        <v>99999</v>
      </c>
      <c r="B47340" s="1" t="str">
        <f>"57437"</f>
        <v>57437</v>
      </c>
      <c r="C47340" s="2">
        <v>6.60391432406338E-5</v>
      </c>
      <c r="D47340" s="2">
        <v>2.1079924533870101E-5</v>
      </c>
      <c r="E47340" s="2">
        <v>8.1720078623317706E-5</v>
      </c>
      <c r="F47340" s="2">
        <v>6.3452365233787904E-5</v>
      </c>
    </row>
    <row r="47341" spans="1:6" x14ac:dyDescent="0.25">
      <c r="A47341" s="1" t="str">
        <f t="shared" si="1543"/>
        <v>99999</v>
      </c>
      <c r="B47341" s="1" t="str">
        <f>"57720"</f>
        <v>57720</v>
      </c>
      <c r="C47341" s="2">
        <v>3.37773978542258E-5</v>
      </c>
      <c r="D47341" s="2">
        <v>1.50570889527644E-5</v>
      </c>
      <c r="E47341" s="2">
        <v>1.29031703089449E-5</v>
      </c>
      <c r="F47341" s="2">
        <v>3.2071568741805697E-5</v>
      </c>
    </row>
    <row r="47342" spans="1:6" x14ac:dyDescent="0.25">
      <c r="A47342" s="1" t="str">
        <f t="shared" si="1543"/>
        <v>99999</v>
      </c>
      <c r="B47342" s="1" t="str">
        <f>"59872"</f>
        <v>59872</v>
      </c>
      <c r="C47342" s="2">
        <v>1.12483065290194E-4</v>
      </c>
      <c r="D47342" s="2">
        <v>3.01141779055288E-5</v>
      </c>
      <c r="E47342" s="2">
        <v>1.97848611403821E-4</v>
      </c>
      <c r="F47342" s="2">
        <v>1.09043333722139E-4</v>
      </c>
    </row>
    <row r="47343" spans="1:6" x14ac:dyDescent="0.25">
      <c r="A47343" s="1" t="str">
        <f t="shared" si="1543"/>
        <v>99999</v>
      </c>
      <c r="B47343" s="1" t="str">
        <f>"59917"</f>
        <v>59917</v>
      </c>
      <c r="C47343" s="2">
        <v>1.4701828937832901E-4</v>
      </c>
      <c r="D47343" s="2">
        <v>1.55088016213473E-4</v>
      </c>
      <c r="E47343" s="2">
        <v>9.4623248932262599E-5</v>
      </c>
      <c r="F47343" s="2">
        <v>1.4634503521260801E-4</v>
      </c>
    </row>
    <row r="47344" spans="1:6" x14ac:dyDescent="0.25">
      <c r="A47344" s="1" t="str">
        <f t="shared" si="1543"/>
        <v>99999</v>
      </c>
      <c r="B47344" s="1" t="str">
        <f>"59873"</f>
        <v>59873</v>
      </c>
      <c r="C47344" s="2">
        <v>9.9816541094859695E-5</v>
      </c>
      <c r="D47344" s="2">
        <v>5.1194102439398901E-5</v>
      </c>
      <c r="E47344" s="2">
        <v>1.07526419241207E-4</v>
      </c>
      <c r="F47344" s="2">
        <v>9.6806796725265793E-5</v>
      </c>
    </row>
    <row r="47345" spans="1:6" x14ac:dyDescent="0.25">
      <c r="A47345" s="1" t="str">
        <f t="shared" si="1543"/>
        <v>99999</v>
      </c>
      <c r="B47345" s="1" t="str">
        <f>"59929"</f>
        <v>59929</v>
      </c>
      <c r="C47345" s="2">
        <v>1.15839152897505E-5</v>
      </c>
      <c r="D47345" s="2">
        <v>7.5285444763821999E-6</v>
      </c>
      <c r="E47345" s="2">
        <v>4.3010567696482999E-6</v>
      </c>
      <c r="F47345" s="2">
        <v>1.11510377471509E-5</v>
      </c>
    </row>
    <row r="47346" spans="1:6" x14ac:dyDescent="0.25">
      <c r="A47346" s="1" t="str">
        <f t="shared" si="1543"/>
        <v>99999</v>
      </c>
      <c r="B47346" s="1" t="str">
        <f>"59871"</f>
        <v>59871</v>
      </c>
      <c r="C47346" s="2">
        <v>2.5982613734019799E-5</v>
      </c>
      <c r="D47346" s="2">
        <v>1.50570889527644E-5</v>
      </c>
      <c r="E47346" s="2">
        <v>4.3010567696482999E-6</v>
      </c>
      <c r="F47346" s="2">
        <v>2.4769119243671401E-5</v>
      </c>
    </row>
    <row r="47347" spans="1:6" x14ac:dyDescent="0.25">
      <c r="A47347" s="1" t="str">
        <f t="shared" si="1543"/>
        <v>99999</v>
      </c>
      <c r="B47347" s="1" t="str">
        <f>"59828"</f>
        <v>59828</v>
      </c>
      <c r="C47347" s="2">
        <v>2.9728440547340998E-4</v>
      </c>
      <c r="D47347" s="2">
        <v>4.6676975753569603E-5</v>
      </c>
      <c r="E47347" s="2">
        <v>2.79568690027139E-4</v>
      </c>
      <c r="F47347" s="2">
        <v>2.8045353342834398E-4</v>
      </c>
    </row>
    <row r="47348" spans="1:6" x14ac:dyDescent="0.25">
      <c r="A47348" s="1" t="str">
        <f t="shared" si="1543"/>
        <v>99999</v>
      </c>
      <c r="B47348" s="1" t="str">
        <f>"58654"</f>
        <v>58654</v>
      </c>
      <c r="C47348" s="2">
        <v>1.4506959334827701E-5</v>
      </c>
      <c r="D47348" s="2">
        <v>1.0539962266935E-5</v>
      </c>
      <c r="E47348" s="2">
        <v>1.29031703089449E-5</v>
      </c>
      <c r="F47348" s="2">
        <v>1.42101719963693E-5</v>
      </c>
    </row>
    <row r="47349" spans="1:6" x14ac:dyDescent="0.25">
      <c r="A47349" s="1" t="str">
        <f t="shared" si="1543"/>
        <v>99999</v>
      </c>
      <c r="B47349" s="1" t="str">
        <f>"58769"</f>
        <v>58769</v>
      </c>
      <c r="C47349" s="2">
        <v>2.0244786534423801E-5</v>
      </c>
      <c r="D47349" s="2">
        <v>7.5285444763821999E-6</v>
      </c>
      <c r="E47349" s="2">
        <v>4.3010567696482999E-6</v>
      </c>
      <c r="F47349" s="2">
        <v>1.9045577745133799E-5</v>
      </c>
    </row>
    <row r="47350" spans="1:6" x14ac:dyDescent="0.25">
      <c r="A47350" s="1" t="str">
        <f t="shared" si="1543"/>
        <v>99999</v>
      </c>
      <c r="B47350" s="1" t="str">
        <f>"58560"</f>
        <v>58560</v>
      </c>
      <c r="C47350" s="2">
        <v>2.1652178111683198E-6</v>
      </c>
      <c r="D47350" s="2">
        <v>0</v>
      </c>
      <c r="E47350" s="2">
        <v>0</v>
      </c>
      <c r="F47350" s="2">
        <v>1.9736349994957299E-6</v>
      </c>
    </row>
    <row r="47351" spans="1:6" x14ac:dyDescent="0.25">
      <c r="A47351" s="1" t="str">
        <f t="shared" si="1543"/>
        <v>99999</v>
      </c>
      <c r="B47351" s="1" t="str">
        <f>"58523"</f>
        <v>58523</v>
      </c>
      <c r="C47351" s="2">
        <v>1.94328298552357E-4</v>
      </c>
      <c r="D47351" s="2">
        <v>1.2798525609849701E-4</v>
      </c>
      <c r="E47351" s="2">
        <v>5.0322364204885095E-4</v>
      </c>
      <c r="F47351" s="2">
        <v>1.9706745469964899E-4</v>
      </c>
    </row>
    <row r="47352" spans="1:6" x14ac:dyDescent="0.25">
      <c r="A47352" s="1" t="str">
        <f t="shared" si="1543"/>
        <v>99999</v>
      </c>
      <c r="B47352" s="1" t="str">
        <f>"59030"</f>
        <v>59030</v>
      </c>
      <c r="C47352" s="2">
        <v>8.5417842650590295E-5</v>
      </c>
      <c r="D47352" s="2">
        <v>3.1619886800805203E-5</v>
      </c>
      <c r="E47352" s="2">
        <v>4.3010567696483002E-4</v>
      </c>
      <c r="F47352" s="2">
        <v>8.9800392477055901E-5</v>
      </c>
    </row>
    <row r="47353" spans="1:6" x14ac:dyDescent="0.25">
      <c r="A47353" s="1" t="str">
        <f t="shared" si="1543"/>
        <v>99999</v>
      </c>
      <c r="B47353" s="1" t="str">
        <f>"58649"</f>
        <v>58649</v>
      </c>
      <c r="C47353" s="2">
        <v>2.8905657779097099E-5</v>
      </c>
      <c r="D47353" s="2">
        <v>3.01141779055288E-5</v>
      </c>
      <c r="E47353" s="2">
        <v>3.8709510926834699E-5</v>
      </c>
      <c r="F47353" s="2">
        <v>2.92097979925368E-5</v>
      </c>
    </row>
    <row r="47354" spans="1:6" x14ac:dyDescent="0.25">
      <c r="A47354" s="1" t="str">
        <f t="shared" si="1543"/>
        <v>99999</v>
      </c>
      <c r="B47354" s="1" t="str">
        <f>"59032"</f>
        <v>59032</v>
      </c>
      <c r="C47354" s="2">
        <v>2.0569569206098999E-5</v>
      </c>
      <c r="D47354" s="2">
        <v>1.50570889527644E-5</v>
      </c>
      <c r="E47354" s="2">
        <v>8.6021135392965999E-6</v>
      </c>
      <c r="F47354" s="2">
        <v>1.9933713494906902E-5</v>
      </c>
    </row>
    <row r="47355" spans="1:6" x14ac:dyDescent="0.25">
      <c r="A47355" s="1" t="str">
        <f t="shared" si="1543"/>
        <v>99999</v>
      </c>
      <c r="B47355" s="1" t="str">
        <f>"59011"</f>
        <v>59011</v>
      </c>
      <c r="C47355" s="2">
        <v>1.58926987339754E-4</v>
      </c>
      <c r="D47355" s="2">
        <v>9.0342533716586405E-6</v>
      </c>
      <c r="E47355" s="2">
        <v>2.8817080356643602E-4</v>
      </c>
      <c r="F47355" s="2">
        <v>1.5206857671114601E-4</v>
      </c>
    </row>
    <row r="47356" spans="1:6" x14ac:dyDescent="0.25">
      <c r="A47356" s="1" t="str">
        <f t="shared" si="1543"/>
        <v>99999</v>
      </c>
      <c r="B47356" s="1" t="str">
        <f>"58541"</f>
        <v>58541</v>
      </c>
      <c r="C47356" s="2">
        <v>2.0136525643865401E-5</v>
      </c>
      <c r="D47356" s="2">
        <v>9.0342533716586405E-6</v>
      </c>
      <c r="E47356" s="2">
        <v>3.01073973875381E-5</v>
      </c>
      <c r="F47356" s="2">
        <v>1.96376682449825E-5</v>
      </c>
    </row>
    <row r="47357" spans="1:6" x14ac:dyDescent="0.25">
      <c r="A47357" s="1" t="str">
        <f t="shared" si="1543"/>
        <v>99999</v>
      </c>
      <c r="B47357" s="1" t="str">
        <f>"58542"</f>
        <v>58542</v>
      </c>
      <c r="C47357" s="2">
        <v>1.3749133100918801E-5</v>
      </c>
      <c r="D47357" s="2">
        <v>4.5171266858293203E-6</v>
      </c>
      <c r="E47357" s="2">
        <v>8.6021135392965999E-6</v>
      </c>
      <c r="F47357" s="2">
        <v>1.30259909966718E-5</v>
      </c>
    </row>
    <row r="47358" spans="1:6" x14ac:dyDescent="0.25">
      <c r="A47358" s="1" t="str">
        <f t="shared" si="1543"/>
        <v>99999</v>
      </c>
      <c r="B47358" s="1" t="str">
        <f>"59523"</f>
        <v>59523</v>
      </c>
      <c r="C47358" s="2">
        <v>5.0341314109663503E-5</v>
      </c>
      <c r="D47358" s="2">
        <v>4.8182684648845999E-5</v>
      </c>
      <c r="E47358" s="2">
        <v>2.58063406178898E-5</v>
      </c>
      <c r="F47358" s="2">
        <v>4.96369202373177E-5</v>
      </c>
    </row>
    <row r="47359" spans="1:6" x14ac:dyDescent="0.25">
      <c r="A47359" s="1" t="str">
        <f t="shared" si="1543"/>
        <v>99999</v>
      </c>
      <c r="B47359" s="1" t="str">
        <f>"59301"</f>
        <v>59301</v>
      </c>
      <c r="C47359" s="2">
        <v>6.4404403793201699E-4</v>
      </c>
      <c r="D47359" s="2">
        <v>9.9226216198717394E-4</v>
      </c>
      <c r="E47359" s="2">
        <v>1.2516075199676499E-3</v>
      </c>
      <c r="F47359" s="2">
        <v>6.8080539307605395E-4</v>
      </c>
    </row>
    <row r="47360" spans="1:6" x14ac:dyDescent="0.25">
      <c r="A47360" s="1" t="str">
        <f t="shared" si="1543"/>
        <v>99999</v>
      </c>
      <c r="B47360" s="1" t="str">
        <f>"59452"</f>
        <v>59452</v>
      </c>
      <c r="C47360" s="2">
        <v>2.7931309764071301E-5</v>
      </c>
      <c r="D47360" s="2">
        <v>6.0228355811057601E-6</v>
      </c>
      <c r="E47360" s="2">
        <v>4.3010567696482999E-6</v>
      </c>
      <c r="F47360" s="2">
        <v>2.5953300243368901E-5</v>
      </c>
    </row>
    <row r="47361" spans="1:6" x14ac:dyDescent="0.25">
      <c r="A47361" s="1" t="str">
        <f t="shared" si="1543"/>
        <v>99999</v>
      </c>
      <c r="B47361" s="1" t="str">
        <f>"59440"</f>
        <v>59440</v>
      </c>
      <c r="C47361" s="2">
        <v>7.2534796674138799E-6</v>
      </c>
      <c r="D47361" s="2">
        <v>0</v>
      </c>
      <c r="E47361" s="2">
        <v>0</v>
      </c>
      <c r="F47361" s="2">
        <v>6.6116772483107097E-6</v>
      </c>
    </row>
    <row r="47362" spans="1:6" x14ac:dyDescent="0.25">
      <c r="A47362" s="1" t="str">
        <f t="shared" si="1543"/>
        <v>99999</v>
      </c>
      <c r="B47362" s="1" t="str">
        <f>"59417"</f>
        <v>59417</v>
      </c>
      <c r="C47362" s="2">
        <v>1.32078286481267E-4</v>
      </c>
      <c r="D47362" s="2">
        <v>1.0088249598352101E-4</v>
      </c>
      <c r="E47362" s="2">
        <v>8.6021135392965999E-5</v>
      </c>
      <c r="F47362" s="2">
        <v>1.2897704721704601E-4</v>
      </c>
    </row>
    <row r="47363" spans="1:6" x14ac:dyDescent="0.25">
      <c r="A47363" s="1" t="str">
        <f t="shared" si="1543"/>
        <v>99999</v>
      </c>
      <c r="B47363" s="1" t="str">
        <f>"59326"</f>
        <v>59326</v>
      </c>
      <c r="C47363" s="2">
        <v>5.4130445279208001E-6</v>
      </c>
      <c r="D47363" s="2">
        <v>0</v>
      </c>
      <c r="E47363" s="2">
        <v>4.3010567696482999E-6</v>
      </c>
      <c r="F47363" s="2">
        <v>5.0327692487141197E-6</v>
      </c>
    </row>
    <row r="47364" spans="1:6" x14ac:dyDescent="0.25">
      <c r="A47364" s="1" t="str">
        <f t="shared" si="1543"/>
        <v>99999</v>
      </c>
      <c r="B47364" s="1" t="str">
        <f>"59353"</f>
        <v>59353</v>
      </c>
      <c r="C47364" s="2">
        <v>5.3156097264182301E-5</v>
      </c>
      <c r="D47364" s="2">
        <v>1.65627978480408E-5</v>
      </c>
      <c r="E47364" s="2">
        <v>8.1720078623317706E-5</v>
      </c>
      <c r="F47364" s="2">
        <v>5.1413191736863898E-5</v>
      </c>
    </row>
    <row r="47365" spans="1:6" x14ac:dyDescent="0.25">
      <c r="A47365" s="1" t="str">
        <f t="shared" si="1543"/>
        <v>99999</v>
      </c>
      <c r="B47365" s="1" t="str">
        <f>"59313"</f>
        <v>59313</v>
      </c>
      <c r="C47365" s="2">
        <v>1.07719586105624E-4</v>
      </c>
      <c r="D47365" s="2">
        <v>4.5171266858293203E-6</v>
      </c>
      <c r="E47365" s="2">
        <v>5.1612681235779599E-5</v>
      </c>
      <c r="F47365" s="2">
        <v>9.9668567474534602E-5</v>
      </c>
    </row>
    <row r="47366" spans="1:6" x14ac:dyDescent="0.25">
      <c r="A47366" s="1" t="str">
        <f t="shared" ref="A47366:A47429" si="1544">"99999"</f>
        <v>99999</v>
      </c>
      <c r="B47366" s="1" t="str">
        <f>"59751"</f>
        <v>59751</v>
      </c>
      <c r="C47366" s="2">
        <v>8.9856539163485408E-6</v>
      </c>
      <c r="D47366" s="2">
        <v>3.01141779055288E-6</v>
      </c>
      <c r="E47366" s="2">
        <v>4.3010567696482999E-6</v>
      </c>
      <c r="F47366" s="2">
        <v>8.4866304978316595E-6</v>
      </c>
    </row>
    <row r="47367" spans="1:6" x14ac:dyDescent="0.25">
      <c r="A47367" s="1" t="str">
        <f t="shared" si="1544"/>
        <v>99999</v>
      </c>
      <c r="B47367" s="1" t="str">
        <f>"58243"</f>
        <v>58243</v>
      </c>
      <c r="C47367" s="2">
        <v>2.21934825644753E-5</v>
      </c>
      <c r="D47367" s="2">
        <v>7.5285444763821999E-6</v>
      </c>
      <c r="E47367" s="2">
        <v>4.3010567696482999E-6</v>
      </c>
      <c r="F47367" s="2">
        <v>2.082184924468E-5</v>
      </c>
    </row>
    <row r="47368" spans="1:6" x14ac:dyDescent="0.25">
      <c r="A47368" s="1" t="str">
        <f t="shared" si="1544"/>
        <v>99999</v>
      </c>
      <c r="B47368" s="1" t="str">
        <f>"58274"</f>
        <v>58274</v>
      </c>
      <c r="C47368" s="2">
        <v>5.9868272478804097E-5</v>
      </c>
      <c r="D47368" s="2">
        <v>6.0228355811057601E-6</v>
      </c>
      <c r="E47368" s="2">
        <v>6.8816908314372799E-5</v>
      </c>
      <c r="F47368" s="2">
        <v>5.6544642735552802E-5</v>
      </c>
    </row>
    <row r="47369" spans="1:6" x14ac:dyDescent="0.25">
      <c r="A47369" s="1" t="str">
        <f t="shared" si="1544"/>
        <v>99999</v>
      </c>
      <c r="B47369" s="1" t="str">
        <f>"58438"</f>
        <v>58438</v>
      </c>
      <c r="C47369" s="2">
        <v>3.0962614699707001E-5</v>
      </c>
      <c r="D47369" s="2">
        <v>2.7102760114975901E-5</v>
      </c>
      <c r="E47369" s="2">
        <v>1.2042958955015201E-4</v>
      </c>
      <c r="F47369" s="2">
        <v>3.2762340991629202E-5</v>
      </c>
    </row>
    <row r="47370" spans="1:6" x14ac:dyDescent="0.25">
      <c r="A47370" s="1" t="str">
        <f t="shared" si="1544"/>
        <v>99999</v>
      </c>
      <c r="B47370" s="1" t="str">
        <f>"58332"</f>
        <v>58332</v>
      </c>
      <c r="C47370" s="2">
        <v>1.75382642704634E-5</v>
      </c>
      <c r="D47370" s="2">
        <v>0</v>
      </c>
      <c r="E47370" s="2">
        <v>1.29031703089449E-5</v>
      </c>
      <c r="F47370" s="2">
        <v>1.6282488745839801E-5</v>
      </c>
    </row>
    <row r="47371" spans="1:6" x14ac:dyDescent="0.25">
      <c r="A47371" s="1" t="str">
        <f t="shared" si="1544"/>
        <v>99999</v>
      </c>
      <c r="B47371" s="1" t="str">
        <f>"58348"</f>
        <v>58348</v>
      </c>
      <c r="C47371" s="2">
        <v>3.8432616148237697E-5</v>
      </c>
      <c r="D47371" s="2">
        <v>1.9574215638593701E-5</v>
      </c>
      <c r="E47371" s="2">
        <v>6.4515851544724506E-5</v>
      </c>
      <c r="F47371" s="2">
        <v>3.7795110240343302E-5</v>
      </c>
    </row>
    <row r="47372" spans="1:6" x14ac:dyDescent="0.25">
      <c r="A47372" s="1" t="str">
        <f t="shared" si="1544"/>
        <v>99999</v>
      </c>
      <c r="B47372" s="1" t="str">
        <f>"58495"</f>
        <v>58495</v>
      </c>
      <c r="C47372" s="2">
        <v>8.2494798605513099E-5</v>
      </c>
      <c r="D47372" s="2">
        <v>3.31255956960816E-5</v>
      </c>
      <c r="E47372" s="2">
        <v>1.07526419241207E-4</v>
      </c>
      <c r="F47372" s="2">
        <v>7.9833535729602505E-5</v>
      </c>
    </row>
    <row r="47373" spans="1:6" x14ac:dyDescent="0.25">
      <c r="A47373" s="1" t="str">
        <f t="shared" si="1544"/>
        <v>99999</v>
      </c>
      <c r="B47373" s="1" t="str">
        <f>"58440"</f>
        <v>58440</v>
      </c>
      <c r="C47373" s="2">
        <v>1.43986984442693E-5</v>
      </c>
      <c r="D47373" s="2">
        <v>4.5171266858293203E-6</v>
      </c>
      <c r="E47373" s="2">
        <v>4.3010567696482999E-6</v>
      </c>
      <c r="F47373" s="2">
        <v>1.35193997465457E-5</v>
      </c>
    </row>
    <row r="47374" spans="1:6" x14ac:dyDescent="0.25">
      <c r="A47374" s="1" t="str">
        <f t="shared" si="1544"/>
        <v>99999</v>
      </c>
      <c r="B47374" s="1" t="str">
        <f>"58240"</f>
        <v>58240</v>
      </c>
      <c r="C47374" s="2">
        <v>8.7041756008966498E-5</v>
      </c>
      <c r="D47374" s="2">
        <v>1.35513800574879E-5</v>
      </c>
      <c r="E47374" s="2">
        <v>7.7419021853669399E-5</v>
      </c>
      <c r="F47374" s="2">
        <v>8.2004534229047796E-5</v>
      </c>
    </row>
    <row r="47375" spans="1:6" x14ac:dyDescent="0.25">
      <c r="A47375" s="1" t="str">
        <f t="shared" si="1544"/>
        <v>99999</v>
      </c>
      <c r="B47375" s="1" t="str">
        <f>"58458"</f>
        <v>58458</v>
      </c>
      <c r="C47375" s="2">
        <v>6.8096100161243699E-5</v>
      </c>
      <c r="D47375" s="2">
        <v>3.6137013486634501E-5</v>
      </c>
      <c r="E47375" s="2">
        <v>1.16128532780504E-4</v>
      </c>
      <c r="F47375" s="2">
        <v>6.7103589982854994E-5</v>
      </c>
    </row>
    <row r="47376" spans="1:6" x14ac:dyDescent="0.25">
      <c r="A47376" s="1" t="str">
        <f t="shared" si="1544"/>
        <v>99999</v>
      </c>
      <c r="B47376" s="1" t="str">
        <f>"58344"</f>
        <v>58344</v>
      </c>
      <c r="C47376" s="2">
        <v>4.3737399785600097E-5</v>
      </c>
      <c r="D47376" s="2">
        <v>5.4205520229951803E-5</v>
      </c>
      <c r="E47376" s="2">
        <v>1.37633816628745E-4</v>
      </c>
      <c r="F47376" s="2">
        <v>4.6577785988099297E-5</v>
      </c>
    </row>
    <row r="47377" spans="1:6" x14ac:dyDescent="0.25">
      <c r="A47377" s="1" t="str">
        <f t="shared" si="1544"/>
        <v>99999</v>
      </c>
      <c r="B47377" s="1" t="str">
        <f>"58492"</f>
        <v>58492</v>
      </c>
      <c r="C47377" s="2">
        <v>2.40339177039683E-5</v>
      </c>
      <c r="D47377" s="2">
        <v>1.0539962266935E-5</v>
      </c>
      <c r="E47377" s="2">
        <v>5.1612681235779599E-5</v>
      </c>
      <c r="F47377" s="2">
        <v>2.37823017439236E-5</v>
      </c>
    </row>
    <row r="47378" spans="1:6" x14ac:dyDescent="0.25">
      <c r="A47378" s="1" t="str">
        <f t="shared" si="1544"/>
        <v>99999</v>
      </c>
      <c r="B47378" s="1" t="str">
        <f>"61447"</f>
        <v>61447</v>
      </c>
      <c r="C47378" s="2">
        <v>5.2831314592507002E-5</v>
      </c>
      <c r="D47378" s="2">
        <v>1.65627978480408E-5</v>
      </c>
      <c r="E47378" s="2">
        <v>8.6021135392965999E-6</v>
      </c>
      <c r="F47378" s="2">
        <v>4.94395567373681E-5</v>
      </c>
    </row>
    <row r="47379" spans="1:6" x14ac:dyDescent="0.25">
      <c r="A47379" s="1" t="str">
        <f t="shared" si="1544"/>
        <v>99999</v>
      </c>
      <c r="B47379" s="1" t="str">
        <f>"61473"</f>
        <v>61473</v>
      </c>
      <c r="C47379" s="2">
        <v>8.4226972854447706E-5</v>
      </c>
      <c r="D47379" s="2">
        <v>9.9376787088244995E-5</v>
      </c>
      <c r="E47379" s="2">
        <v>6.8816908314372799E-5</v>
      </c>
      <c r="F47379" s="2">
        <v>8.4866304978316605E-5</v>
      </c>
    </row>
    <row r="47380" spans="1:6" x14ac:dyDescent="0.25">
      <c r="A47380" s="1" t="str">
        <f t="shared" si="1544"/>
        <v>99999</v>
      </c>
      <c r="B47380" s="1" t="str">
        <f>"61749"</f>
        <v>61749</v>
      </c>
      <c r="C47380" s="2">
        <v>2.9880005794122799E-5</v>
      </c>
      <c r="D47380" s="2">
        <v>1.9574215638593701E-5</v>
      </c>
      <c r="E47380" s="2">
        <v>1.29031703089449E-5</v>
      </c>
      <c r="F47380" s="2">
        <v>2.88150709926377E-5</v>
      </c>
    </row>
    <row r="47381" spans="1:6" x14ac:dyDescent="0.25">
      <c r="A47381" s="1" t="str">
        <f t="shared" si="1544"/>
        <v>99999</v>
      </c>
      <c r="B47381" s="1" t="str">
        <f>"61778"</f>
        <v>61778</v>
      </c>
      <c r="C47381" s="2">
        <v>5.0557835890780303E-5</v>
      </c>
      <c r="D47381" s="2">
        <v>2.4091342324423E-5</v>
      </c>
      <c r="E47381" s="2">
        <v>4.3010567696482999E-6</v>
      </c>
      <c r="F47381" s="2">
        <v>4.7761966987796801E-5</v>
      </c>
    </row>
    <row r="47382" spans="1:6" x14ac:dyDescent="0.25">
      <c r="A47382" s="1" t="str">
        <f t="shared" si="1544"/>
        <v>99999</v>
      </c>
      <c r="B47382" s="1" t="str">
        <f>"60957"</f>
        <v>60957</v>
      </c>
      <c r="C47382" s="2">
        <v>2.69569617490456E-4</v>
      </c>
      <c r="D47382" s="2">
        <v>4.32138452944338E-4</v>
      </c>
      <c r="E47382" s="2">
        <v>5.8064266390252001E-4</v>
      </c>
      <c r="F47382" s="2">
        <v>2.87361255926579E-4</v>
      </c>
    </row>
    <row r="47383" spans="1:6" x14ac:dyDescent="0.25">
      <c r="A47383" s="1" t="str">
        <f t="shared" si="1544"/>
        <v>99999</v>
      </c>
      <c r="B47383" s="1" t="str">
        <f>"60959"</f>
        <v>60959</v>
      </c>
      <c r="C47383" s="2">
        <v>5.3480879935857498E-5</v>
      </c>
      <c r="D47383" s="2">
        <v>6.0228355811057601E-6</v>
      </c>
      <c r="E47383" s="2">
        <v>3.44084541571864E-5</v>
      </c>
      <c r="F47383" s="2">
        <v>4.9932965487242098E-5</v>
      </c>
    </row>
    <row r="47384" spans="1:6" x14ac:dyDescent="0.25">
      <c r="A47384" s="1" t="str">
        <f t="shared" si="1544"/>
        <v>99999</v>
      </c>
      <c r="B47384" s="1" t="str">
        <f>"62286"</f>
        <v>62286</v>
      </c>
      <c r="C47384" s="2">
        <v>3.3658310874611498E-4</v>
      </c>
      <c r="D47384" s="2">
        <v>6.2486919153972203E-4</v>
      </c>
      <c r="E47384" s="2">
        <v>4.5591201758272E-4</v>
      </c>
      <c r="F47384" s="2">
        <v>3.58214752408476E-4</v>
      </c>
    </row>
    <row r="47385" spans="1:6" x14ac:dyDescent="0.25">
      <c r="A47385" s="1" t="str">
        <f t="shared" si="1544"/>
        <v>99999</v>
      </c>
      <c r="B47385" s="1" t="str">
        <f>"52047"</f>
        <v>52047</v>
      </c>
      <c r="C47385" s="2">
        <v>2.77147879829545E-5</v>
      </c>
      <c r="D47385" s="2">
        <v>4.5171266858293203E-6</v>
      </c>
      <c r="E47385" s="2">
        <v>1.72042270785932E-5</v>
      </c>
      <c r="F47385" s="2">
        <v>2.5953300243368901E-5</v>
      </c>
    </row>
    <row r="47386" spans="1:6" x14ac:dyDescent="0.25">
      <c r="A47386" s="1" t="str">
        <f t="shared" si="1544"/>
        <v>99999</v>
      </c>
      <c r="B47386" s="1" t="str">
        <f>"52307"</f>
        <v>52307</v>
      </c>
      <c r="C47386" s="2">
        <v>1.40739157725941E-5</v>
      </c>
      <c r="D47386" s="2">
        <v>0</v>
      </c>
      <c r="E47386" s="2">
        <v>1.2903170308944901E-4</v>
      </c>
      <c r="F47386" s="2">
        <v>1.5789079995965799E-5</v>
      </c>
    </row>
    <row r="47387" spans="1:6" x14ac:dyDescent="0.25">
      <c r="A47387" s="1" t="str">
        <f t="shared" si="1544"/>
        <v>99999</v>
      </c>
      <c r="B47387" s="1" t="str">
        <f>"52079"</f>
        <v>52079</v>
      </c>
      <c r="C47387" s="2">
        <v>2.3600874141734699E-5</v>
      </c>
      <c r="D47387" s="2">
        <v>3.01141779055288E-6</v>
      </c>
      <c r="E47387" s="2">
        <v>0</v>
      </c>
      <c r="F47387" s="2">
        <v>2.1709984994453001E-5</v>
      </c>
    </row>
    <row r="47388" spans="1:6" x14ac:dyDescent="0.25">
      <c r="A47388" s="1" t="str">
        <f t="shared" si="1544"/>
        <v>99999</v>
      </c>
      <c r="B47388" s="1" t="str">
        <f>"52141"</f>
        <v>52141</v>
      </c>
      <c r="C47388" s="2">
        <v>7.8597406545410095E-5</v>
      </c>
      <c r="D47388" s="2">
        <v>5.4205520229951803E-5</v>
      </c>
      <c r="E47388" s="2">
        <v>7.3117965084021106E-5</v>
      </c>
      <c r="F47388" s="2">
        <v>7.6873083230358905E-5</v>
      </c>
    </row>
    <row r="47389" spans="1:6" x14ac:dyDescent="0.25">
      <c r="A47389" s="1" t="str">
        <f t="shared" si="1544"/>
        <v>99999</v>
      </c>
      <c r="B47389" s="1" t="str">
        <f>"61028"</f>
        <v>61028</v>
      </c>
      <c r="C47389" s="2">
        <v>1.3088741668512501E-4</v>
      </c>
      <c r="D47389" s="2">
        <v>6.6251191392163294E-5</v>
      </c>
      <c r="E47389" s="2">
        <v>6.0214794775076199E-5</v>
      </c>
      <c r="F47389" s="2">
        <v>1.2502977721805399E-4</v>
      </c>
    </row>
    <row r="47390" spans="1:6" x14ac:dyDescent="0.25">
      <c r="A47390" s="1" t="str">
        <f t="shared" si="1544"/>
        <v>99999</v>
      </c>
      <c r="B47390" s="1" t="str">
        <f>"54763"</f>
        <v>54763</v>
      </c>
      <c r="C47390" s="2">
        <v>6.9286969957386301E-6</v>
      </c>
      <c r="D47390" s="2">
        <v>0</v>
      </c>
      <c r="E47390" s="2">
        <v>1.29031703089449E-5</v>
      </c>
      <c r="F47390" s="2">
        <v>6.6116772483107097E-6</v>
      </c>
    </row>
    <row r="47391" spans="1:6" x14ac:dyDescent="0.25">
      <c r="A47391" s="1" t="str">
        <f t="shared" si="1544"/>
        <v>99999</v>
      </c>
      <c r="B47391" s="1" t="str">
        <f>"54839"</f>
        <v>54839</v>
      </c>
      <c r="C47391" s="2">
        <v>1.9595221191073298E-5</v>
      </c>
      <c r="D47391" s="2">
        <v>9.0342533716586405E-6</v>
      </c>
      <c r="E47391" s="2">
        <v>4.3010567696482999E-6</v>
      </c>
      <c r="F47391" s="2">
        <v>1.8552168995259899E-5</v>
      </c>
    </row>
    <row r="47392" spans="1:6" x14ac:dyDescent="0.25">
      <c r="A47392" s="1" t="str">
        <f t="shared" si="1544"/>
        <v>99999</v>
      </c>
      <c r="B47392" s="1" t="str">
        <f>"54762"</f>
        <v>54762</v>
      </c>
      <c r="C47392" s="2">
        <v>6.22500120710892E-5</v>
      </c>
      <c r="D47392" s="2">
        <v>2.8608469010252301E-5</v>
      </c>
      <c r="E47392" s="2">
        <v>6.8816908314372799E-5</v>
      </c>
      <c r="F47392" s="2">
        <v>6.01958674846199E-5</v>
      </c>
    </row>
    <row r="47393" spans="1:6" x14ac:dyDescent="0.25">
      <c r="A47393" s="1" t="str">
        <f t="shared" si="1544"/>
        <v>99999</v>
      </c>
      <c r="B47393" s="1" t="str">
        <f>"54659"</f>
        <v>54659</v>
      </c>
      <c r="C47393" s="2">
        <v>5.3913923498091201E-5</v>
      </c>
      <c r="D47393" s="2">
        <v>4.5171266858293203E-6</v>
      </c>
      <c r="E47393" s="2">
        <v>6.0214794775076199E-5</v>
      </c>
      <c r="F47393" s="2">
        <v>5.0821101237015197E-5</v>
      </c>
    </row>
    <row r="47394" spans="1:6" x14ac:dyDescent="0.25">
      <c r="A47394" s="1" t="str">
        <f t="shared" si="1544"/>
        <v>99999</v>
      </c>
      <c r="B47394" s="1" t="str">
        <f>"54810"</f>
        <v>54810</v>
      </c>
      <c r="C47394" s="2">
        <v>1.8155351346646299E-4</v>
      </c>
      <c r="D47394" s="2">
        <v>1.17445293831562E-4</v>
      </c>
      <c r="E47394" s="2">
        <v>2.1505283848241501E-4</v>
      </c>
      <c r="F47394" s="2">
        <v>1.7812055870448999E-4</v>
      </c>
    </row>
    <row r="47395" spans="1:6" x14ac:dyDescent="0.25">
      <c r="A47395" s="1" t="str">
        <f t="shared" si="1544"/>
        <v>99999</v>
      </c>
      <c r="B47395" s="1" t="str">
        <f>"54872"</f>
        <v>54872</v>
      </c>
      <c r="C47395" s="2">
        <v>1.81878296138139E-4</v>
      </c>
      <c r="D47395" s="2">
        <v>2.7855614562614098E-4</v>
      </c>
      <c r="E47395" s="2">
        <v>1.2903170308944901E-4</v>
      </c>
      <c r="F47395" s="2">
        <v>1.87001916202221E-4</v>
      </c>
    </row>
    <row r="47396" spans="1:6" x14ac:dyDescent="0.25">
      <c r="A47396" s="1" t="str">
        <f t="shared" si="1544"/>
        <v>99999</v>
      </c>
      <c r="B47396" s="1" t="str">
        <f>"55006"</f>
        <v>55006</v>
      </c>
      <c r="C47396" s="2">
        <v>6.3440881867231802E-5</v>
      </c>
      <c r="D47396" s="2">
        <v>1.0539962266935E-5</v>
      </c>
      <c r="E47396" s="2">
        <v>0</v>
      </c>
      <c r="F47396" s="2">
        <v>5.8518277735048499E-5</v>
      </c>
    </row>
    <row r="47397" spans="1:6" x14ac:dyDescent="0.25">
      <c r="A47397" s="1" t="str">
        <f t="shared" si="1544"/>
        <v>99999</v>
      </c>
      <c r="B47397" s="1" t="str">
        <f>"54891"</f>
        <v>54891</v>
      </c>
      <c r="C47397" s="2">
        <v>2.02231343563121E-4</v>
      </c>
      <c r="D47397" s="2">
        <v>6.9262609182716196E-5</v>
      </c>
      <c r="E47397" s="2">
        <v>6.8816908314372799E-5</v>
      </c>
      <c r="F47397" s="2">
        <v>1.90455777451338E-4</v>
      </c>
    </row>
    <row r="47398" spans="1:6" x14ac:dyDescent="0.25">
      <c r="A47398" s="1" t="str">
        <f t="shared" si="1544"/>
        <v>99999</v>
      </c>
      <c r="B47398" s="1" t="str">
        <f>"55051"</f>
        <v>55051</v>
      </c>
      <c r="C47398" s="2">
        <v>5.7042663235229397E-4</v>
      </c>
      <c r="D47398" s="2">
        <v>5.30009531137307E-4</v>
      </c>
      <c r="E47398" s="2">
        <v>6.1505111805970701E-4</v>
      </c>
      <c r="F47398" s="2">
        <v>5.6880160685467097E-4</v>
      </c>
    </row>
    <row r="47399" spans="1:6" x14ac:dyDescent="0.25">
      <c r="A47399" s="1" t="str">
        <f t="shared" si="1544"/>
        <v>99999</v>
      </c>
      <c r="B47399" s="1" t="str">
        <f>"55007"</f>
        <v>55007</v>
      </c>
      <c r="C47399" s="2">
        <v>1.36300461213045E-4</v>
      </c>
      <c r="D47399" s="2">
        <v>7.5285444763821999E-6</v>
      </c>
      <c r="E47399" s="2">
        <v>1.29031703089449E-5</v>
      </c>
      <c r="F47399" s="2">
        <v>1.2502977721805399E-4</v>
      </c>
    </row>
    <row r="47400" spans="1:6" x14ac:dyDescent="0.25">
      <c r="A47400" s="1" t="str">
        <f t="shared" si="1544"/>
        <v>99999</v>
      </c>
      <c r="B47400" s="1" t="str">
        <f>"61078"</f>
        <v>61078</v>
      </c>
      <c r="C47400" s="2">
        <v>6.3549142757790206E-5</v>
      </c>
      <c r="D47400" s="2">
        <v>4.9688393544122498E-5</v>
      </c>
      <c r="E47400" s="2">
        <v>5.1612681235779599E-5</v>
      </c>
      <c r="F47400" s="2">
        <v>6.2366865984065197E-5</v>
      </c>
    </row>
    <row r="47401" spans="1:6" x14ac:dyDescent="0.25">
      <c r="A47401" s="1" t="str">
        <f t="shared" si="1544"/>
        <v>99999</v>
      </c>
      <c r="B47401" s="1" t="str">
        <f>"54020"</f>
        <v>54020</v>
      </c>
      <c r="C47401" s="2">
        <v>3.65163983853537E-4</v>
      </c>
      <c r="D47401" s="2">
        <v>1.7014510516623701E-4</v>
      </c>
      <c r="E47401" s="2">
        <v>5.2042786912744401E-4</v>
      </c>
      <c r="F47401" s="2">
        <v>3.55945072159056E-4</v>
      </c>
    </row>
    <row r="47402" spans="1:6" x14ac:dyDescent="0.25">
      <c r="A47402" s="1" t="str">
        <f t="shared" si="1544"/>
        <v>99999</v>
      </c>
      <c r="B47402" s="1" t="str">
        <f>"54024"</f>
        <v>54024</v>
      </c>
      <c r="C47402" s="2">
        <v>2.6318222494750901E-4</v>
      </c>
      <c r="D47402" s="2">
        <v>2.8759039899780003E-4</v>
      </c>
      <c r="E47402" s="2">
        <v>3.8279405249869798E-4</v>
      </c>
      <c r="F47402" s="2">
        <v>2.6752622418164701E-4</v>
      </c>
    </row>
    <row r="47403" spans="1:6" x14ac:dyDescent="0.25">
      <c r="A47403" s="1" t="str">
        <f t="shared" si="1544"/>
        <v>99999</v>
      </c>
      <c r="B47403" s="1" t="str">
        <f>"54610"</f>
        <v>54610</v>
      </c>
      <c r="C47403" s="2">
        <v>1.0999306480735E-4</v>
      </c>
      <c r="D47403" s="2">
        <v>1.80685067433172E-5</v>
      </c>
      <c r="E47403" s="2">
        <v>7.7419021853669399E-5</v>
      </c>
      <c r="F47403" s="2">
        <v>1.03221110473627E-4</v>
      </c>
    </row>
    <row r="47404" spans="1:6" x14ac:dyDescent="0.25">
      <c r="A47404" s="1" t="str">
        <f t="shared" si="1544"/>
        <v>99999</v>
      </c>
      <c r="B47404" s="1" t="str">
        <f>"54635"</f>
        <v>54635</v>
      </c>
      <c r="C47404" s="2">
        <v>9.7976105955366604E-5</v>
      </c>
      <c r="D47404" s="2">
        <v>5.5711229125228301E-5</v>
      </c>
      <c r="E47404" s="2">
        <v>1.07526419241207E-4</v>
      </c>
      <c r="F47404" s="2">
        <v>9.5425252225618797E-5</v>
      </c>
    </row>
    <row r="47405" spans="1:6" x14ac:dyDescent="0.25">
      <c r="A47405" s="1" t="str">
        <f t="shared" si="1544"/>
        <v>99999</v>
      </c>
      <c r="B47405" s="1" t="str">
        <f>"61075"</f>
        <v>61075</v>
      </c>
      <c r="C47405" s="2">
        <v>6.2899577414439703E-5</v>
      </c>
      <c r="D47405" s="2">
        <v>4.3665557963016701E-5</v>
      </c>
      <c r="E47405" s="2">
        <v>8.1720078623317706E-5</v>
      </c>
      <c r="F47405" s="2">
        <v>6.2070820734140894E-5</v>
      </c>
    </row>
    <row r="47406" spans="1:6" x14ac:dyDescent="0.25">
      <c r="A47406" s="1" t="str">
        <f t="shared" si="1544"/>
        <v>99999</v>
      </c>
      <c r="B47406" s="1" t="str">
        <f>"54968"</f>
        <v>54968</v>
      </c>
      <c r="C47406" s="2">
        <v>1.8913177580555301E-4</v>
      </c>
      <c r="D47406" s="2">
        <v>2.2284491650091301E-4</v>
      </c>
      <c r="E47406" s="2">
        <v>6.4515851544724506E-5</v>
      </c>
      <c r="F47406" s="2">
        <v>1.88482142451842E-4</v>
      </c>
    </row>
    <row r="47407" spans="1:6" x14ac:dyDescent="0.25">
      <c r="A47407" s="1" t="str">
        <f t="shared" si="1544"/>
        <v>99999</v>
      </c>
      <c r="B47407" s="1" t="str">
        <f>"54945"</f>
        <v>54945</v>
      </c>
      <c r="C47407" s="2">
        <v>2.0212308267256201E-4</v>
      </c>
      <c r="D47407" s="2">
        <v>1.0539962266935E-4</v>
      </c>
      <c r="E47407" s="2">
        <v>1.8494544109487701E-4</v>
      </c>
      <c r="F47407" s="2">
        <v>1.95389864950077E-4</v>
      </c>
    </row>
    <row r="47408" spans="1:6" x14ac:dyDescent="0.25">
      <c r="A47408" s="1" t="str">
        <f t="shared" si="1544"/>
        <v>99999</v>
      </c>
      <c r="B47408" s="1" t="str">
        <f>"54923"</f>
        <v>54923</v>
      </c>
      <c r="C47408" s="2">
        <v>4.4008052011996102E-4</v>
      </c>
      <c r="D47408" s="2">
        <v>4.9989535323177801E-4</v>
      </c>
      <c r="E47408" s="2">
        <v>6.1935217482935497E-4</v>
      </c>
      <c r="F47408" s="2">
        <v>4.4811382663550601E-4</v>
      </c>
    </row>
    <row r="47409" spans="1:6" x14ac:dyDescent="0.25">
      <c r="A47409" s="1" t="str">
        <f t="shared" si="1544"/>
        <v>99999</v>
      </c>
      <c r="B47409" s="1" t="str">
        <f>"54930"</f>
        <v>54930</v>
      </c>
      <c r="C47409" s="2">
        <v>1.00899150000443E-4</v>
      </c>
      <c r="D47409" s="2">
        <v>6.9262609182716196E-5</v>
      </c>
      <c r="E47409" s="2">
        <v>3.01073973875381E-5</v>
      </c>
      <c r="F47409" s="2">
        <v>9.7201523725164995E-5</v>
      </c>
    </row>
    <row r="47410" spans="1:6" x14ac:dyDescent="0.25">
      <c r="A47410" s="1" t="str">
        <f t="shared" si="1544"/>
        <v>99999</v>
      </c>
      <c r="B47410" s="1" t="str">
        <f>"54943"</f>
        <v>54943</v>
      </c>
      <c r="C47410" s="2">
        <v>1.34026982511319E-4</v>
      </c>
      <c r="D47410" s="2">
        <v>3.9148431277187403E-5</v>
      </c>
      <c r="E47410" s="2">
        <v>2.15052838482415E-5</v>
      </c>
      <c r="F47410" s="2">
        <v>1.2522714071800401E-4</v>
      </c>
    </row>
    <row r="47411" spans="1:6" x14ac:dyDescent="0.25">
      <c r="A47411" s="1" t="str">
        <f t="shared" si="1544"/>
        <v>99999</v>
      </c>
      <c r="B47411" s="1" t="str">
        <f>"54451"</f>
        <v>54451</v>
      </c>
      <c r="C47411" s="2">
        <v>5.7962880804976003E-4</v>
      </c>
      <c r="D47411" s="2">
        <v>7.1370601636103204E-4</v>
      </c>
      <c r="E47411" s="2">
        <v>6.0214794775076202E-4</v>
      </c>
      <c r="F47411" s="2">
        <v>5.8893268384952705E-4</v>
      </c>
    </row>
    <row r="47412" spans="1:6" x14ac:dyDescent="0.25">
      <c r="A47412" s="1" t="str">
        <f t="shared" si="1544"/>
        <v>99999</v>
      </c>
      <c r="B47412" s="1" t="str">
        <f>"54435"</f>
        <v>54435</v>
      </c>
      <c r="C47412" s="2">
        <v>2.7281744420720801E-5</v>
      </c>
      <c r="D47412" s="2">
        <v>4.5171266858293203E-6</v>
      </c>
      <c r="E47412" s="2">
        <v>0</v>
      </c>
      <c r="F47412" s="2">
        <v>2.5163846243570599E-5</v>
      </c>
    </row>
    <row r="47413" spans="1:6" x14ac:dyDescent="0.25">
      <c r="A47413" s="1" t="str">
        <f t="shared" si="1544"/>
        <v>99999</v>
      </c>
      <c r="B47413" s="1" t="str">
        <f>"54519"</f>
        <v>54519</v>
      </c>
      <c r="C47413" s="2">
        <v>1.1789610981811499E-4</v>
      </c>
      <c r="D47413" s="2">
        <v>4.9688393544122498E-5</v>
      </c>
      <c r="E47413" s="2">
        <v>1.72042270785932E-5</v>
      </c>
      <c r="F47413" s="2">
        <v>1.11115650471609E-4</v>
      </c>
    </row>
    <row r="47414" spans="1:6" x14ac:dyDescent="0.25">
      <c r="A47414" s="1" t="str">
        <f t="shared" si="1544"/>
        <v>99999</v>
      </c>
      <c r="B47414" s="1" t="str">
        <f>"54421"</f>
        <v>54421</v>
      </c>
      <c r="C47414" s="2">
        <v>1.20819153863192E-4</v>
      </c>
      <c r="D47414" s="2">
        <v>7.2274026973269097E-5</v>
      </c>
      <c r="E47414" s="2">
        <v>6.8816908314372799E-5</v>
      </c>
      <c r="F47414" s="2">
        <v>1.16444464970248E-4</v>
      </c>
    </row>
    <row r="47415" spans="1:6" x14ac:dyDescent="0.25">
      <c r="A47415" s="1" t="str">
        <f t="shared" si="1544"/>
        <v>99999</v>
      </c>
      <c r="B47415" s="1" t="str">
        <f>"54425"</f>
        <v>54425</v>
      </c>
      <c r="C47415" s="2">
        <v>8.9856539163485398E-5</v>
      </c>
      <c r="D47415" s="2">
        <v>6.1734064706334002E-5</v>
      </c>
      <c r="E47415" s="2">
        <v>8.6021135392965999E-5</v>
      </c>
      <c r="F47415" s="2">
        <v>8.7925439227534995E-5</v>
      </c>
    </row>
    <row r="47416" spans="1:6" x14ac:dyDescent="0.25">
      <c r="A47416" s="1" t="str">
        <f t="shared" si="1544"/>
        <v>99999</v>
      </c>
      <c r="B47416" s="1" t="str">
        <f>"54556"</f>
        <v>54556</v>
      </c>
      <c r="C47416" s="2">
        <v>7.8489145654851705E-5</v>
      </c>
      <c r="D47416" s="2">
        <v>6.9262609182716196E-5</v>
      </c>
      <c r="E47416" s="2">
        <v>7.3117965084021106E-5</v>
      </c>
      <c r="F47416" s="2">
        <v>7.7761218980132004E-5</v>
      </c>
    </row>
    <row r="47417" spans="1:6" x14ac:dyDescent="0.25">
      <c r="A47417" s="1" t="str">
        <f t="shared" si="1544"/>
        <v>99999</v>
      </c>
      <c r="B47417" s="1" t="str">
        <f>"54558"</f>
        <v>54558</v>
      </c>
      <c r="C47417" s="2">
        <v>1.8490960107377401E-4</v>
      </c>
      <c r="D47417" s="2">
        <v>9.1848242611862802E-5</v>
      </c>
      <c r="E47417" s="2">
        <v>6.4515851544724506E-5</v>
      </c>
      <c r="F47417" s="2">
        <v>1.76048241955019E-4</v>
      </c>
    </row>
    <row r="47418" spans="1:6" x14ac:dyDescent="0.25">
      <c r="A47418" s="1" t="str">
        <f t="shared" si="1544"/>
        <v>99999</v>
      </c>
      <c r="B47418" s="1" t="str">
        <f>"54418"</f>
        <v>54418</v>
      </c>
      <c r="C47418" s="2">
        <v>5.7053489324285298E-5</v>
      </c>
      <c r="D47418" s="2">
        <v>1.65627978480408E-5</v>
      </c>
      <c r="E47418" s="2">
        <v>4.3010567696482999E-6</v>
      </c>
      <c r="F47418" s="2">
        <v>5.3189463236410001E-5</v>
      </c>
    </row>
    <row r="47419" spans="1:6" x14ac:dyDescent="0.25">
      <c r="A47419" s="1" t="str">
        <f t="shared" si="1544"/>
        <v>99999</v>
      </c>
      <c r="B47419" s="1" t="str">
        <f>"54525"</f>
        <v>54525</v>
      </c>
      <c r="C47419" s="2">
        <v>1.3532611319802E-5</v>
      </c>
      <c r="D47419" s="2">
        <v>1.50570889527644E-6</v>
      </c>
      <c r="E47419" s="2">
        <v>1.29031703089449E-5</v>
      </c>
      <c r="F47419" s="2">
        <v>1.27299457467474E-5</v>
      </c>
    </row>
    <row r="47420" spans="1:6" x14ac:dyDescent="0.25">
      <c r="A47420" s="1" t="str">
        <f t="shared" si="1544"/>
        <v>99999</v>
      </c>
      <c r="B47420" s="1" t="str">
        <f>"54430"</f>
        <v>54430</v>
      </c>
      <c r="C47420" s="2">
        <v>1.07178281652832E-5</v>
      </c>
      <c r="D47420" s="2">
        <v>1.50570889527644E-6</v>
      </c>
      <c r="E47420" s="2">
        <v>4.3010567696482999E-6</v>
      </c>
      <c r="F47420" s="2">
        <v>9.9668567474534592E-6</v>
      </c>
    </row>
    <row r="47421" spans="1:6" x14ac:dyDescent="0.25">
      <c r="A47421" s="1" t="str">
        <f t="shared" si="1544"/>
        <v>99999</v>
      </c>
      <c r="B47421" s="1" t="str">
        <f>"54424"</f>
        <v>54424</v>
      </c>
      <c r="C47421" s="2">
        <v>1.10967412822376E-4</v>
      </c>
      <c r="D47421" s="2">
        <v>2.55970512196994E-5</v>
      </c>
      <c r="E47421" s="2">
        <v>4.3010567696482999E-6</v>
      </c>
      <c r="F47421" s="2">
        <v>1.02925065223702E-4</v>
      </c>
    </row>
    <row r="47422" spans="1:6" x14ac:dyDescent="0.25">
      <c r="A47422" s="1" t="str">
        <f t="shared" si="1544"/>
        <v>99999</v>
      </c>
      <c r="B47422" s="1" t="str">
        <f>"55756"</f>
        <v>55756</v>
      </c>
      <c r="C47422" s="2">
        <v>2.1219134549449501E-5</v>
      </c>
      <c r="D47422" s="2">
        <v>4.5171266858293203E-6</v>
      </c>
      <c r="E47422" s="2">
        <v>1.29031703089449E-5</v>
      </c>
      <c r="F47422" s="2">
        <v>1.9933713494906902E-5</v>
      </c>
    </row>
    <row r="47423" spans="1:6" x14ac:dyDescent="0.25">
      <c r="A47423" s="1" t="str">
        <f t="shared" si="1544"/>
        <v>99999</v>
      </c>
      <c r="B47423" s="1" t="str">
        <f>"56277"</f>
        <v>56277</v>
      </c>
      <c r="C47423" s="2">
        <v>1.6379872741488299E-4</v>
      </c>
      <c r="D47423" s="2">
        <v>4.0202427503880901E-4</v>
      </c>
      <c r="E47423" s="2">
        <v>4.3010567696483002E-4</v>
      </c>
      <c r="F47423" s="2">
        <v>1.85521689952599E-4</v>
      </c>
    </row>
    <row r="47424" spans="1:6" x14ac:dyDescent="0.25">
      <c r="A47424" s="1" t="str">
        <f t="shared" si="1544"/>
        <v>99999</v>
      </c>
      <c r="B47424" s="1" t="str">
        <f>"57323"</f>
        <v>57323</v>
      </c>
      <c r="C47424" s="2">
        <v>1.6672177145996001E-5</v>
      </c>
      <c r="D47424" s="2">
        <v>1.50570889527644E-6</v>
      </c>
      <c r="E47424" s="2">
        <v>1.72042270785932E-5</v>
      </c>
      <c r="F47424" s="2">
        <v>1.56903982459911E-5</v>
      </c>
    </row>
    <row r="47425" spans="1:6" x14ac:dyDescent="0.25">
      <c r="A47425" s="1" t="str">
        <f t="shared" si="1544"/>
        <v>99999</v>
      </c>
      <c r="B47425" s="1" t="str">
        <f>"57029"</f>
        <v>57029</v>
      </c>
      <c r="C47425" s="2">
        <v>8.6716973337291301E-5</v>
      </c>
      <c r="D47425" s="2">
        <v>6.0228355811057599E-5</v>
      </c>
      <c r="E47425" s="2">
        <v>1.07526419241207E-4</v>
      </c>
      <c r="F47425" s="2">
        <v>8.5458395478165306E-5</v>
      </c>
    </row>
    <row r="47426" spans="1:6" x14ac:dyDescent="0.25">
      <c r="A47426" s="1" t="str">
        <f t="shared" si="1544"/>
        <v>99999</v>
      </c>
      <c r="B47426" s="1" t="str">
        <f>"57385"</f>
        <v>57385</v>
      </c>
      <c r="C47426" s="2">
        <v>4.6660443830677299E-5</v>
      </c>
      <c r="D47426" s="2">
        <v>2.4091342324423E-5</v>
      </c>
      <c r="E47426" s="2">
        <v>9.4623248932262599E-5</v>
      </c>
      <c r="F47426" s="2">
        <v>4.6281740738175001E-5</v>
      </c>
    </row>
    <row r="47427" spans="1:6" x14ac:dyDescent="0.25">
      <c r="A47427" s="1" t="str">
        <f t="shared" si="1544"/>
        <v>99999</v>
      </c>
      <c r="B47427" s="1" t="str">
        <f>"57066"</f>
        <v>57066</v>
      </c>
      <c r="C47427" s="2">
        <v>8.0329580794344702E-5</v>
      </c>
      <c r="D47427" s="2">
        <v>4.8182684648845999E-5</v>
      </c>
      <c r="E47427" s="2">
        <v>8.1720078623317706E-5</v>
      </c>
      <c r="F47427" s="2">
        <v>7.8254627730005901E-5</v>
      </c>
    </row>
    <row r="47428" spans="1:6" x14ac:dyDescent="0.25">
      <c r="A47428" s="1" t="str">
        <f t="shared" si="1544"/>
        <v>99999</v>
      </c>
      <c r="B47428" s="1" t="str">
        <f>"57313"</f>
        <v>57313</v>
      </c>
      <c r="C47428" s="2">
        <v>4.6768704721235703E-5</v>
      </c>
      <c r="D47428" s="2">
        <v>3.01141779055288E-5</v>
      </c>
      <c r="E47428" s="2">
        <v>3.8709510926834699E-5</v>
      </c>
      <c r="F47428" s="2">
        <v>4.5492286738376699E-5</v>
      </c>
    </row>
    <row r="47429" spans="1:6" x14ac:dyDescent="0.25">
      <c r="A47429" s="1" t="str">
        <f t="shared" si="1544"/>
        <v>99999</v>
      </c>
      <c r="B47429" s="1" t="str">
        <f>"57353"</f>
        <v>57353</v>
      </c>
      <c r="C47429" s="2">
        <v>2.6523918186811901E-5</v>
      </c>
      <c r="D47429" s="2">
        <v>3.6137013486634501E-5</v>
      </c>
      <c r="E47429" s="2">
        <v>4.3010567696482999E-5</v>
      </c>
      <c r="F47429" s="2">
        <v>2.7532208242965501E-5</v>
      </c>
    </row>
    <row r="47430" spans="1:6" x14ac:dyDescent="0.25">
      <c r="A47430" s="1" t="str">
        <f t="shared" ref="A47430:A47493" si="1545">"99999"</f>
        <v>99999</v>
      </c>
      <c r="B47430" s="1" t="str">
        <f>"57231"</f>
        <v>57231</v>
      </c>
      <c r="C47430" s="2">
        <v>9.4728279238614102E-5</v>
      </c>
      <c r="D47430" s="2">
        <v>5.2699811334675399E-5</v>
      </c>
      <c r="E47430" s="2">
        <v>1.2473064631979999E-4</v>
      </c>
      <c r="F47430" s="2">
        <v>9.2662163226324805E-5</v>
      </c>
    </row>
    <row r="47431" spans="1:6" x14ac:dyDescent="0.25">
      <c r="A47431" s="1" t="str">
        <f t="shared" si="1545"/>
        <v>99999</v>
      </c>
      <c r="B47431" s="1" t="str">
        <f>"57045"</f>
        <v>57045</v>
      </c>
      <c r="C47431" s="2">
        <v>5.4130445279208001E-5</v>
      </c>
      <c r="D47431" s="2">
        <v>4.0654140172463799E-5</v>
      </c>
      <c r="E47431" s="2">
        <v>7.3117965084021106E-5</v>
      </c>
      <c r="F47431" s="2">
        <v>5.3682871986284E-5</v>
      </c>
    </row>
    <row r="47432" spans="1:6" x14ac:dyDescent="0.25">
      <c r="A47432" s="1" t="str">
        <f t="shared" si="1545"/>
        <v>99999</v>
      </c>
      <c r="B47432" s="1" t="str">
        <f>"56280"</f>
        <v>56280</v>
      </c>
      <c r="C47432" s="2">
        <v>2.4791743937877301E-5</v>
      </c>
      <c r="D47432" s="2">
        <v>1.9574215638593701E-5</v>
      </c>
      <c r="E47432" s="2">
        <v>4.3010567696482999E-5</v>
      </c>
      <c r="F47432" s="2">
        <v>2.4867800993646201E-5</v>
      </c>
    </row>
    <row r="47433" spans="1:6" x14ac:dyDescent="0.25">
      <c r="A47433" s="1" t="str">
        <f t="shared" si="1545"/>
        <v>99999</v>
      </c>
      <c r="B47433" s="1" t="str">
        <f>"56295"</f>
        <v>56295</v>
      </c>
      <c r="C47433" s="2">
        <v>1.68886989271129E-5</v>
      </c>
      <c r="D47433" s="2">
        <v>1.50570889527644E-5</v>
      </c>
      <c r="E47433" s="2">
        <v>3.44084541571864E-5</v>
      </c>
      <c r="F47433" s="2">
        <v>1.7170624495612899E-5</v>
      </c>
    </row>
    <row r="47434" spans="1:6" x14ac:dyDescent="0.25">
      <c r="A47434" s="1" t="str">
        <f t="shared" si="1545"/>
        <v>99999</v>
      </c>
      <c r="B47434" s="1" t="str">
        <f>"56316"</f>
        <v>56316</v>
      </c>
      <c r="C47434" s="2">
        <v>2.1976960783358401E-5</v>
      </c>
      <c r="D47434" s="2">
        <v>4.5171266858293203E-6</v>
      </c>
      <c r="E47434" s="2">
        <v>0</v>
      </c>
      <c r="F47434" s="2">
        <v>2.0328440494806002E-5</v>
      </c>
    </row>
    <row r="47435" spans="1:6" x14ac:dyDescent="0.25">
      <c r="A47435" s="1" t="str">
        <f t="shared" si="1545"/>
        <v>99999</v>
      </c>
      <c r="B47435" s="1" t="str">
        <f>"56362"</f>
        <v>56362</v>
      </c>
      <c r="C47435" s="2">
        <v>2.1760439002241601E-5</v>
      </c>
      <c r="D47435" s="2">
        <v>0</v>
      </c>
      <c r="E47435" s="2">
        <v>4.3010567696482999E-6</v>
      </c>
      <c r="F47435" s="2">
        <v>1.9933713494906902E-5</v>
      </c>
    </row>
    <row r="47436" spans="1:6" x14ac:dyDescent="0.25">
      <c r="A47436" s="1" t="str">
        <f t="shared" si="1545"/>
        <v>99999</v>
      </c>
      <c r="B47436" s="1" t="str">
        <f>"56470"</f>
        <v>56470</v>
      </c>
      <c r="C47436" s="2">
        <v>7.3671536025002196E-4</v>
      </c>
      <c r="D47436" s="2">
        <v>7.8748575222957798E-4</v>
      </c>
      <c r="E47436" s="2">
        <v>9.0752297839579105E-4</v>
      </c>
      <c r="F47436" s="2">
        <v>7.4396171305991701E-4</v>
      </c>
    </row>
    <row r="47437" spans="1:6" x14ac:dyDescent="0.25">
      <c r="A47437" s="1" t="str">
        <f t="shared" si="1545"/>
        <v>99999</v>
      </c>
      <c r="B47437" s="1" t="str">
        <f>"56336"</f>
        <v>56336</v>
      </c>
      <c r="C47437" s="2">
        <v>8.6067407993940798E-5</v>
      </c>
      <c r="D47437" s="2">
        <v>4.5171266858293203E-6</v>
      </c>
      <c r="E47437" s="2">
        <v>3.44084541571864E-5</v>
      </c>
      <c r="F47437" s="2">
        <v>7.9537490479678093E-5</v>
      </c>
    </row>
    <row r="47438" spans="1:6" x14ac:dyDescent="0.25">
      <c r="A47438" s="1" t="str">
        <f t="shared" si="1545"/>
        <v>99999</v>
      </c>
      <c r="B47438" s="1" t="str">
        <f>"56461"</f>
        <v>56461</v>
      </c>
      <c r="C47438" s="2">
        <v>1.96060472801291E-4</v>
      </c>
      <c r="D47438" s="2">
        <v>1.65627978480408E-5</v>
      </c>
      <c r="E47438" s="2">
        <v>3.8709510926834699E-5</v>
      </c>
      <c r="F47438" s="2">
        <v>1.8068628420383399E-4</v>
      </c>
    </row>
    <row r="47439" spans="1:6" x14ac:dyDescent="0.25">
      <c r="A47439" s="1" t="str">
        <f t="shared" si="1545"/>
        <v>99999</v>
      </c>
      <c r="B47439" s="1" t="str">
        <f>"56458"</f>
        <v>56458</v>
      </c>
      <c r="C47439" s="2">
        <v>2.4466961266201999E-5</v>
      </c>
      <c r="D47439" s="2">
        <v>9.0342533716586405E-6</v>
      </c>
      <c r="E47439" s="2">
        <v>2.58063406178898E-5</v>
      </c>
      <c r="F47439" s="2">
        <v>2.3486256493999199E-5</v>
      </c>
    </row>
    <row r="47440" spans="1:6" x14ac:dyDescent="0.25">
      <c r="A47440" s="1" t="str">
        <f t="shared" si="1545"/>
        <v>99999</v>
      </c>
      <c r="B47440" s="1" t="str">
        <f>"56464"</f>
        <v>56464</v>
      </c>
      <c r="C47440" s="2">
        <v>2.4228787306973499E-4</v>
      </c>
      <c r="D47440" s="2">
        <v>6.3239773601610501E-5</v>
      </c>
      <c r="E47440" s="2">
        <v>1.37633816628745E-4</v>
      </c>
      <c r="F47440" s="2">
        <v>2.2815220594170701E-4</v>
      </c>
    </row>
    <row r="47441" spans="1:6" x14ac:dyDescent="0.25">
      <c r="A47441" s="1" t="str">
        <f t="shared" si="1545"/>
        <v>99999</v>
      </c>
      <c r="B47441" s="1" t="str">
        <f>"56309"</f>
        <v>56309</v>
      </c>
      <c r="C47441" s="2">
        <v>4.8176096298495099E-5</v>
      </c>
      <c r="D47441" s="2">
        <v>1.9574215638593701E-5</v>
      </c>
      <c r="E47441" s="2">
        <v>2.58063406178898E-5</v>
      </c>
      <c r="F47441" s="2">
        <v>4.5788331988301002E-5</v>
      </c>
    </row>
    <row r="47442" spans="1:6" x14ac:dyDescent="0.25">
      <c r="A47442" s="1" t="str">
        <f t="shared" si="1545"/>
        <v>99999</v>
      </c>
      <c r="B47442" s="1" t="str">
        <f>"56349"</f>
        <v>56349</v>
      </c>
      <c r="C47442" s="2">
        <v>3.4968267650368402E-5</v>
      </c>
      <c r="D47442" s="2">
        <v>1.0539962266935E-5</v>
      </c>
      <c r="E47442" s="2">
        <v>1.29031703089449E-5</v>
      </c>
      <c r="F47442" s="2">
        <v>3.2861022741603999E-5</v>
      </c>
    </row>
    <row r="47443" spans="1:6" x14ac:dyDescent="0.25">
      <c r="A47443" s="1" t="str">
        <f t="shared" si="1545"/>
        <v>99999</v>
      </c>
      <c r="B47443" s="1" t="str">
        <f>"56649"</f>
        <v>56649</v>
      </c>
      <c r="C47443" s="2">
        <v>6.6818621652654396E-4</v>
      </c>
      <c r="D47443" s="2">
        <v>7.7694578996264296E-4</v>
      </c>
      <c r="E47443" s="2">
        <v>7.9569550238493499E-4</v>
      </c>
      <c r="F47443" s="2">
        <v>6.7823966757670905E-4</v>
      </c>
    </row>
    <row r="47444" spans="1:6" x14ac:dyDescent="0.25">
      <c r="A47444" s="1" t="str">
        <f t="shared" si="1545"/>
        <v>99999</v>
      </c>
      <c r="B47444" s="1" t="str">
        <f>"56701"</f>
        <v>56701</v>
      </c>
      <c r="C47444" s="2">
        <v>7.0521144109752197E-4</v>
      </c>
      <c r="D47444" s="2">
        <v>8.1308280344927696E-4</v>
      </c>
      <c r="E47444" s="2">
        <v>1.1182747601085499E-3</v>
      </c>
      <c r="F47444" s="2">
        <v>7.2175831931559E-4</v>
      </c>
    </row>
    <row r="47445" spans="1:6" x14ac:dyDescent="0.25">
      <c r="A47445" s="1" t="str">
        <f t="shared" si="1545"/>
        <v>99999</v>
      </c>
      <c r="B47445" s="1" t="str">
        <f>"56762"</f>
        <v>56762</v>
      </c>
      <c r="C47445" s="2">
        <v>1.19303501395374E-4</v>
      </c>
      <c r="D47445" s="2">
        <v>2.4693625882533601E-4</v>
      </c>
      <c r="E47445" s="2">
        <v>2.49461292639601E-4</v>
      </c>
      <c r="F47445" s="2">
        <v>1.30654636966617E-4</v>
      </c>
    </row>
    <row r="47446" spans="1:6" x14ac:dyDescent="0.25">
      <c r="A47446" s="1" t="str">
        <f t="shared" si="1545"/>
        <v>99999</v>
      </c>
      <c r="B47446" s="1" t="str">
        <f>"56048"</f>
        <v>56048</v>
      </c>
      <c r="C47446" s="2">
        <v>1.85342644636008E-4</v>
      </c>
      <c r="D47446" s="2">
        <v>6.9262609182716196E-5</v>
      </c>
      <c r="E47446" s="2">
        <v>1.5483804370733801E-4</v>
      </c>
      <c r="F47446" s="2">
        <v>1.7703505945476701E-4</v>
      </c>
    </row>
    <row r="47447" spans="1:6" x14ac:dyDescent="0.25">
      <c r="A47447" s="1" t="str">
        <f t="shared" si="1545"/>
        <v>99999</v>
      </c>
      <c r="B47447" s="1" t="str">
        <f>"56156"</f>
        <v>56156</v>
      </c>
      <c r="C47447" s="2">
        <v>3.1189962569879597E-4</v>
      </c>
      <c r="D47447" s="2">
        <v>4.4870125079237902E-4</v>
      </c>
      <c r="E47447" s="2">
        <v>4.7741730143096097E-4</v>
      </c>
      <c r="F47447" s="2">
        <v>3.2466295741704802E-4</v>
      </c>
    </row>
    <row r="47448" spans="1:6" x14ac:dyDescent="0.25">
      <c r="A47448" s="1" t="str">
        <f t="shared" si="1545"/>
        <v>99999</v>
      </c>
      <c r="B47448" s="1" t="str">
        <f>"56164"</f>
        <v>56164</v>
      </c>
      <c r="C47448" s="2">
        <v>3.0507918959361602E-4</v>
      </c>
      <c r="D47448" s="2">
        <v>4.95378226545948E-4</v>
      </c>
      <c r="E47448" s="2">
        <v>4.81718358200609E-4</v>
      </c>
      <c r="F47448" s="2">
        <v>3.2160382316783002E-4</v>
      </c>
    </row>
    <row r="47449" spans="1:6" x14ac:dyDescent="0.25">
      <c r="A47449" s="1" t="str">
        <f t="shared" si="1545"/>
        <v>99999</v>
      </c>
      <c r="B47449" s="1" t="str">
        <f>"49613"</f>
        <v>49613</v>
      </c>
      <c r="C47449" s="2">
        <v>5.8244359120427799E-5</v>
      </c>
      <c r="D47449" s="2">
        <v>1.35513800574879E-5</v>
      </c>
      <c r="E47449" s="2">
        <v>0</v>
      </c>
      <c r="F47449" s="2">
        <v>5.3978917236208303E-5</v>
      </c>
    </row>
    <row r="47450" spans="1:6" x14ac:dyDescent="0.25">
      <c r="A47450" s="1" t="str">
        <f t="shared" si="1545"/>
        <v>99999</v>
      </c>
      <c r="B47450" s="1" t="str">
        <f>"50854"</f>
        <v>50854</v>
      </c>
      <c r="C47450" s="2">
        <v>1.32078286481267E-4</v>
      </c>
      <c r="D47450" s="2">
        <v>3.16198868008052E-4</v>
      </c>
      <c r="E47450" s="2">
        <v>1.5913910047698701E-4</v>
      </c>
      <c r="F47450" s="2">
        <v>1.4476612721301199E-4</v>
      </c>
    </row>
    <row r="47451" spans="1:6" x14ac:dyDescent="0.25">
      <c r="A47451" s="1" t="str">
        <f t="shared" si="1545"/>
        <v>99999</v>
      </c>
      <c r="B47451" s="1" t="str">
        <f>"51060"</f>
        <v>51060</v>
      </c>
      <c r="C47451" s="2">
        <v>3.4860006759809999E-5</v>
      </c>
      <c r="D47451" s="2">
        <v>3.01141779055288E-6</v>
      </c>
      <c r="E47451" s="2">
        <v>1.29031703089449E-5</v>
      </c>
      <c r="F47451" s="2">
        <v>3.2268932241755197E-5</v>
      </c>
    </row>
    <row r="47452" spans="1:6" x14ac:dyDescent="0.25">
      <c r="A47452" s="1" t="str">
        <f t="shared" si="1545"/>
        <v>99999</v>
      </c>
      <c r="B47452" s="1" t="str">
        <f>"51063"</f>
        <v>51063</v>
      </c>
      <c r="C47452" s="2">
        <v>5.7703054667635801E-5</v>
      </c>
      <c r="D47452" s="2">
        <v>2.55970512196994E-5</v>
      </c>
      <c r="E47452" s="2">
        <v>8.6021135392965999E-5</v>
      </c>
      <c r="F47452" s="2">
        <v>5.6248597485628397E-5</v>
      </c>
    </row>
    <row r="47453" spans="1:6" x14ac:dyDescent="0.25">
      <c r="A47453" s="1" t="str">
        <f t="shared" si="1545"/>
        <v>99999</v>
      </c>
      <c r="B47453" s="1" t="str">
        <f>"51334"</f>
        <v>51334</v>
      </c>
      <c r="C47453" s="2">
        <v>3.9222920649314101E-4</v>
      </c>
      <c r="D47453" s="2">
        <v>5.5259516456645304E-4</v>
      </c>
      <c r="E47453" s="2">
        <v>6.7096485606513503E-4</v>
      </c>
      <c r="F47453" s="2">
        <v>4.0913453539546599E-4</v>
      </c>
    </row>
    <row r="47454" spans="1:6" x14ac:dyDescent="0.25">
      <c r="A47454" s="1" t="str">
        <f t="shared" si="1545"/>
        <v>99999</v>
      </c>
      <c r="B47454" s="1" t="str">
        <f>"50843"</f>
        <v>50843</v>
      </c>
      <c r="C47454" s="2">
        <v>3.3127832510875297E-5</v>
      </c>
      <c r="D47454" s="2">
        <v>2.1079924533870101E-5</v>
      </c>
      <c r="E47454" s="2">
        <v>3.01073973875381E-5</v>
      </c>
      <c r="F47454" s="2">
        <v>3.2268932241755197E-5</v>
      </c>
    </row>
    <row r="47455" spans="1:6" x14ac:dyDescent="0.25">
      <c r="A47455" s="1" t="str">
        <f t="shared" si="1545"/>
        <v>99999</v>
      </c>
      <c r="B47455" s="1" t="str">
        <f>"50857"</f>
        <v>50857</v>
      </c>
      <c r="C47455" s="2">
        <v>1.6455655364879201E-5</v>
      </c>
      <c r="D47455" s="2">
        <v>7.5285444763821999E-6</v>
      </c>
      <c r="E47455" s="2">
        <v>4.3010567696482999E-6</v>
      </c>
      <c r="F47455" s="2">
        <v>1.5591716496016299E-5</v>
      </c>
    </row>
    <row r="47456" spans="1:6" x14ac:dyDescent="0.25">
      <c r="A47456" s="1" t="str">
        <f t="shared" si="1545"/>
        <v>99999</v>
      </c>
      <c r="B47456" s="1" t="str">
        <f>"51108"</f>
        <v>51108</v>
      </c>
      <c r="C47456" s="2">
        <v>5.4780010622558498E-5</v>
      </c>
      <c r="D47456" s="2">
        <v>1.65627978480408E-5</v>
      </c>
      <c r="E47456" s="2">
        <v>8.6021135392965999E-6</v>
      </c>
      <c r="F47456" s="2">
        <v>5.1215828236914297E-5</v>
      </c>
    </row>
    <row r="47457" spans="1:6" x14ac:dyDescent="0.25">
      <c r="A47457" s="1" t="str">
        <f t="shared" si="1545"/>
        <v>99999</v>
      </c>
      <c r="B47457" s="1" t="str">
        <f>"51109"</f>
        <v>51109</v>
      </c>
      <c r="C47457" s="2">
        <v>1.4506959334827701E-5</v>
      </c>
      <c r="D47457" s="2">
        <v>0</v>
      </c>
      <c r="E47457" s="2">
        <v>8.6021135392965999E-6</v>
      </c>
      <c r="F47457" s="2">
        <v>1.3420717996571E-5</v>
      </c>
    </row>
    <row r="47458" spans="1:6" x14ac:dyDescent="0.25">
      <c r="A47458" s="1" t="str">
        <f t="shared" si="1545"/>
        <v>99999</v>
      </c>
      <c r="B47458" s="1" t="str">
        <f>"51240"</f>
        <v>51240</v>
      </c>
      <c r="C47458" s="2">
        <v>7.9463493669877406E-5</v>
      </c>
      <c r="D47458" s="2">
        <v>4.8182684648845999E-5</v>
      </c>
      <c r="E47458" s="2">
        <v>6.0214794775076199E-5</v>
      </c>
      <c r="F47458" s="2">
        <v>7.6971764980333696E-5</v>
      </c>
    </row>
    <row r="47459" spans="1:6" x14ac:dyDescent="0.25">
      <c r="A47459" s="1" t="str">
        <f t="shared" si="1545"/>
        <v>99999</v>
      </c>
      <c r="B47459" s="1" t="str">
        <f>"51342"</f>
        <v>51342</v>
      </c>
      <c r="C47459" s="2">
        <v>6.7230013036776403E-5</v>
      </c>
      <c r="D47459" s="2">
        <v>1.80685067433172E-5</v>
      </c>
      <c r="E47459" s="2">
        <v>9.0322192162614306E-5</v>
      </c>
      <c r="F47459" s="2">
        <v>6.4537864483510502E-5</v>
      </c>
    </row>
    <row r="47460" spans="1:6" x14ac:dyDescent="0.25">
      <c r="A47460" s="1" t="str">
        <f t="shared" si="1545"/>
        <v>99999</v>
      </c>
      <c r="B47460" s="1" t="str">
        <f>"51058"</f>
        <v>51058</v>
      </c>
      <c r="C47460" s="2">
        <v>5.9218707135453601E-5</v>
      </c>
      <c r="D47460" s="2">
        <v>6.0228355811057599E-5</v>
      </c>
      <c r="E47460" s="2">
        <v>3.01073973875381E-5</v>
      </c>
      <c r="F47460" s="2">
        <v>5.8616959485023303E-5</v>
      </c>
    </row>
    <row r="47461" spans="1:6" x14ac:dyDescent="0.25">
      <c r="A47461" s="1" t="str">
        <f t="shared" si="1545"/>
        <v>99999</v>
      </c>
      <c r="B47461" s="1" t="str">
        <f>"50837"</f>
        <v>50837</v>
      </c>
      <c r="C47461" s="2">
        <v>2.0569569206098999E-5</v>
      </c>
      <c r="D47461" s="2">
        <v>3.01141779055288E-6</v>
      </c>
      <c r="E47461" s="2">
        <v>2.58063406178898E-5</v>
      </c>
      <c r="F47461" s="2">
        <v>1.95389864950077E-5</v>
      </c>
    </row>
    <row r="47462" spans="1:6" x14ac:dyDescent="0.25">
      <c r="A47462" s="1" t="str">
        <f t="shared" si="1545"/>
        <v>99999</v>
      </c>
      <c r="B47462" s="1" t="str">
        <f>"50840"</f>
        <v>50840</v>
      </c>
      <c r="C47462" s="2">
        <v>2.82560924357466E-5</v>
      </c>
      <c r="D47462" s="2">
        <v>1.65627978480408E-5</v>
      </c>
      <c r="E47462" s="2">
        <v>2.15052838482415E-5</v>
      </c>
      <c r="F47462" s="2">
        <v>2.73348447430159E-5</v>
      </c>
    </row>
    <row r="47463" spans="1:6" x14ac:dyDescent="0.25">
      <c r="A47463" s="1" t="str">
        <f t="shared" si="1545"/>
        <v>99999</v>
      </c>
      <c r="B47463" s="1" t="str">
        <f>"51038"</f>
        <v>51038</v>
      </c>
      <c r="C47463" s="2">
        <v>7.8380884764293302E-5</v>
      </c>
      <c r="D47463" s="2">
        <v>4.0654140172463799E-5</v>
      </c>
      <c r="E47463" s="2">
        <v>1.29031703089449E-5</v>
      </c>
      <c r="F47463" s="2">
        <v>7.4406039480989203E-5</v>
      </c>
    </row>
    <row r="47464" spans="1:6" x14ac:dyDescent="0.25">
      <c r="A47464" s="1" t="str">
        <f t="shared" si="1545"/>
        <v>99999</v>
      </c>
      <c r="B47464" s="1" t="str">
        <f>"51461"</f>
        <v>51461</v>
      </c>
      <c r="C47464" s="2">
        <v>7.2534796674138803E-5</v>
      </c>
      <c r="D47464" s="2">
        <v>2.4091342324423E-5</v>
      </c>
      <c r="E47464" s="2">
        <v>3.01073973875381E-5</v>
      </c>
      <c r="F47464" s="2">
        <v>6.83864527325272E-5</v>
      </c>
    </row>
    <row r="47465" spans="1:6" x14ac:dyDescent="0.25">
      <c r="A47465" s="1" t="str">
        <f t="shared" si="1545"/>
        <v>99999</v>
      </c>
      <c r="B47465" s="1" t="str">
        <f>"51023"</f>
        <v>51023</v>
      </c>
      <c r="C47465" s="2">
        <v>1.61633509603715E-4</v>
      </c>
      <c r="D47465" s="2">
        <v>2.3940771434895401E-4</v>
      </c>
      <c r="E47465" s="2">
        <v>3.6989088218975403E-4</v>
      </c>
      <c r="F47465" s="2">
        <v>1.71508881456179E-4</v>
      </c>
    </row>
    <row r="47466" spans="1:6" x14ac:dyDescent="0.25">
      <c r="A47466" s="1" t="str">
        <f t="shared" si="1545"/>
        <v>99999</v>
      </c>
      <c r="B47466" s="1" t="str">
        <f>"51025"</f>
        <v>51025</v>
      </c>
      <c r="C47466" s="2">
        <v>1.1551437022583001E-4</v>
      </c>
      <c r="D47466" s="2">
        <v>1.58099434004026E-4</v>
      </c>
      <c r="E47466" s="2">
        <v>8.6021135392965999E-5</v>
      </c>
      <c r="F47466" s="2">
        <v>1.1762864596994499E-4</v>
      </c>
    </row>
    <row r="47467" spans="1:6" x14ac:dyDescent="0.25">
      <c r="A47467" s="1" t="str">
        <f t="shared" si="1545"/>
        <v>99999</v>
      </c>
      <c r="B47467" s="1" t="str">
        <f>"50238"</f>
        <v>50238</v>
      </c>
      <c r="C47467" s="2">
        <v>6.3332620976673399E-5</v>
      </c>
      <c r="D47467" s="2">
        <v>1.50570889527644E-5</v>
      </c>
      <c r="E47467" s="2">
        <v>3.01073973875381E-5</v>
      </c>
      <c r="F47467" s="2">
        <v>5.9406413484821598E-5</v>
      </c>
    </row>
    <row r="47468" spans="1:6" x14ac:dyDescent="0.25">
      <c r="A47468" s="1" t="str">
        <f t="shared" si="1545"/>
        <v>99999</v>
      </c>
      <c r="B47468" s="1" t="str">
        <f>"50174"</f>
        <v>50174</v>
      </c>
      <c r="C47468" s="2">
        <v>7.9138710998202195E-5</v>
      </c>
      <c r="D47468" s="2">
        <v>3.01141779055288E-5</v>
      </c>
      <c r="E47468" s="2">
        <v>3.44084541571864E-5</v>
      </c>
      <c r="F47468" s="2">
        <v>7.48994482308631E-5</v>
      </c>
    </row>
    <row r="47469" spans="1:6" x14ac:dyDescent="0.25">
      <c r="A47469" s="1" t="str">
        <f t="shared" si="1545"/>
        <v>99999</v>
      </c>
      <c r="B47469" s="1" t="str">
        <f>"50441"</f>
        <v>50441</v>
      </c>
      <c r="C47469" s="2">
        <v>2.8905657779097098E-4</v>
      </c>
      <c r="D47469" s="2">
        <v>4.5472408637348502E-4</v>
      </c>
      <c r="E47469" s="2">
        <v>5.0322364204885095E-4</v>
      </c>
      <c r="F47469" s="2">
        <v>3.0482792567211603E-4</v>
      </c>
    </row>
    <row r="47470" spans="1:6" x14ac:dyDescent="0.25">
      <c r="A47470" s="1" t="str">
        <f t="shared" si="1545"/>
        <v>99999</v>
      </c>
      <c r="B47470" s="1" t="str">
        <f>"50510"</f>
        <v>50510</v>
      </c>
      <c r="C47470" s="2">
        <v>4.3304356223366396E-6</v>
      </c>
      <c r="D47470" s="2">
        <v>1.50570889527644E-6</v>
      </c>
      <c r="E47470" s="2">
        <v>0</v>
      </c>
      <c r="F47470" s="2">
        <v>4.0459517489662501E-6</v>
      </c>
    </row>
    <row r="47471" spans="1:6" x14ac:dyDescent="0.25">
      <c r="A47471" s="1" t="str">
        <f t="shared" si="1545"/>
        <v>99999</v>
      </c>
      <c r="B47471" s="1" t="str">
        <f>"50424"</f>
        <v>50424</v>
      </c>
      <c r="C47471" s="2">
        <v>9.0073060944602205E-5</v>
      </c>
      <c r="D47471" s="2">
        <v>8.4319698135480595E-5</v>
      </c>
      <c r="E47471" s="2">
        <v>4.7311624466131299E-5</v>
      </c>
      <c r="F47471" s="2">
        <v>8.8714893227333303E-5</v>
      </c>
    </row>
    <row r="47472" spans="1:6" x14ac:dyDescent="0.25">
      <c r="A47472" s="1" t="str">
        <f t="shared" si="1545"/>
        <v>99999</v>
      </c>
      <c r="B47472" s="1" t="str">
        <f>"50517"</f>
        <v>50517</v>
      </c>
      <c r="C47472" s="2">
        <v>5.672870665261E-5</v>
      </c>
      <c r="D47472" s="2">
        <v>7.6791153659098402E-5</v>
      </c>
      <c r="E47472" s="2">
        <v>4.3010567696482999E-6</v>
      </c>
      <c r="F47472" s="2">
        <v>5.68406879854772E-5</v>
      </c>
    </row>
    <row r="47473" spans="1:6" x14ac:dyDescent="0.25">
      <c r="A47473" s="1" t="str">
        <f t="shared" si="1545"/>
        <v>99999</v>
      </c>
      <c r="B47473" s="1" t="str">
        <f>"50478"</f>
        <v>50478</v>
      </c>
      <c r="C47473" s="2">
        <v>4.7093487392911002E-5</v>
      </c>
      <c r="D47473" s="2">
        <v>3.1619886800805203E-5</v>
      </c>
      <c r="E47473" s="2">
        <v>3.01073973875381E-5</v>
      </c>
      <c r="F47473" s="2">
        <v>4.5689650238326198E-5</v>
      </c>
    </row>
    <row r="47474" spans="1:6" x14ac:dyDescent="0.25">
      <c r="A47474" s="1" t="str">
        <f t="shared" si="1545"/>
        <v>99999</v>
      </c>
      <c r="B47474" s="1" t="str">
        <f>"50619"</f>
        <v>50619</v>
      </c>
      <c r="C47474" s="2">
        <v>1.21468719206542E-4</v>
      </c>
      <c r="D47474" s="2">
        <v>2.8608469010252301E-5</v>
      </c>
      <c r="E47474" s="2">
        <v>9.4623248932262599E-5</v>
      </c>
      <c r="F47474" s="2">
        <v>1.14766875220677E-4</v>
      </c>
    </row>
    <row r="47475" spans="1:6" x14ac:dyDescent="0.25">
      <c r="A47475" s="1" t="str">
        <f t="shared" si="1545"/>
        <v>99999</v>
      </c>
      <c r="B47475" s="1" t="str">
        <f>"50629"</f>
        <v>50629</v>
      </c>
      <c r="C47475" s="2">
        <v>9.5269583691406202E-5</v>
      </c>
      <c r="D47475" s="2">
        <v>6.6251191392163294E-5</v>
      </c>
      <c r="E47475" s="2">
        <v>4.3010567696482999E-5</v>
      </c>
      <c r="F47475" s="2">
        <v>9.21687544764508E-5</v>
      </c>
    </row>
    <row r="47476" spans="1:6" x14ac:dyDescent="0.25">
      <c r="A47476" s="1" t="str">
        <f t="shared" si="1545"/>
        <v>99999</v>
      </c>
      <c r="B47476" s="1" t="str">
        <f>"50635"</f>
        <v>50635</v>
      </c>
      <c r="C47476" s="2">
        <v>8.2711320386629907E-5</v>
      </c>
      <c r="D47476" s="2">
        <v>1.0539962266935E-5</v>
      </c>
      <c r="E47476" s="2">
        <v>2.58063406178898E-5</v>
      </c>
      <c r="F47476" s="2">
        <v>7.6675719730409298E-5</v>
      </c>
    </row>
    <row r="47477" spans="1:6" x14ac:dyDescent="0.25">
      <c r="A47477" s="1" t="str">
        <f t="shared" si="1545"/>
        <v>99999</v>
      </c>
      <c r="B47477" s="1" t="str">
        <f>"50645"</f>
        <v>50645</v>
      </c>
      <c r="C47477" s="2">
        <v>5.44552279508833E-5</v>
      </c>
      <c r="D47477" s="2">
        <v>7.5285444763821999E-6</v>
      </c>
      <c r="E47477" s="2">
        <v>3.8709510926834699E-5</v>
      </c>
      <c r="F47477" s="2">
        <v>5.1018464736964703E-5</v>
      </c>
    </row>
    <row r="47478" spans="1:6" x14ac:dyDescent="0.25">
      <c r="A47478" s="1" t="str">
        <f t="shared" si="1545"/>
        <v>99999</v>
      </c>
      <c r="B47478" s="1" t="str">
        <f>"50458"</f>
        <v>50458</v>
      </c>
      <c r="C47478" s="2">
        <v>9.2130017865212104E-5</v>
      </c>
      <c r="D47478" s="2">
        <v>2.55970512196994E-5</v>
      </c>
      <c r="E47478" s="2">
        <v>6.0214794775076199E-5</v>
      </c>
      <c r="F47478" s="2">
        <v>8.7037303477761896E-5</v>
      </c>
    </row>
    <row r="47479" spans="1:6" x14ac:dyDescent="0.25">
      <c r="A47479" s="1" t="str">
        <f t="shared" si="1545"/>
        <v>99999</v>
      </c>
      <c r="B47479" s="1" t="str">
        <f>"50682"</f>
        <v>50682</v>
      </c>
      <c r="C47479" s="2">
        <v>7.5782623390891304E-5</v>
      </c>
      <c r="D47479" s="2">
        <v>5.5711229125228301E-5</v>
      </c>
      <c r="E47479" s="2">
        <v>4.3010567696482999E-5</v>
      </c>
      <c r="F47479" s="2">
        <v>7.3715267231165698E-5</v>
      </c>
    </row>
    <row r="47480" spans="1:6" x14ac:dyDescent="0.25">
      <c r="A47480" s="1" t="str">
        <f t="shared" si="1545"/>
        <v>99999</v>
      </c>
      <c r="B47480" s="1" t="str">
        <f>"50472"</f>
        <v>50472</v>
      </c>
      <c r="C47480" s="2">
        <v>1.15622631116388E-4</v>
      </c>
      <c r="D47480" s="2">
        <v>1.2949096499377299E-4</v>
      </c>
      <c r="E47480" s="2">
        <v>3.01073973875381E-5</v>
      </c>
      <c r="F47480" s="2">
        <v>1.14569511720727E-4</v>
      </c>
    </row>
    <row r="47481" spans="1:6" x14ac:dyDescent="0.25">
      <c r="A47481" s="1" t="str">
        <f t="shared" si="1545"/>
        <v>99999</v>
      </c>
      <c r="B47481" s="1" t="str">
        <f>"50611"</f>
        <v>50611</v>
      </c>
      <c r="C47481" s="2">
        <v>1.87291340666059E-5</v>
      </c>
      <c r="D47481" s="2">
        <v>1.35513800574879E-5</v>
      </c>
      <c r="E47481" s="2">
        <v>1.29031703089449E-5</v>
      </c>
      <c r="F47481" s="2">
        <v>1.8256123745335501E-5</v>
      </c>
    </row>
    <row r="47482" spans="1:6" x14ac:dyDescent="0.25">
      <c r="A47482" s="1" t="str">
        <f t="shared" si="1545"/>
        <v>99999</v>
      </c>
      <c r="B47482" s="1" t="str">
        <f>"49862"</f>
        <v>49862</v>
      </c>
      <c r="C47482" s="2">
        <v>2.38931785462424E-4</v>
      </c>
      <c r="D47482" s="2">
        <v>3.5685300818051602E-4</v>
      </c>
      <c r="E47482" s="2">
        <v>3.7419193895940199E-4</v>
      </c>
      <c r="F47482" s="2">
        <v>2.4976350918618498E-4</v>
      </c>
    </row>
    <row r="47483" spans="1:6" x14ac:dyDescent="0.25">
      <c r="A47483" s="1" t="str">
        <f t="shared" si="1545"/>
        <v>99999</v>
      </c>
      <c r="B47483" s="1" t="str">
        <f>"49868"</f>
        <v>49868</v>
      </c>
      <c r="C47483" s="2">
        <v>2.7617353181451902E-4</v>
      </c>
      <c r="D47483" s="2">
        <v>4.4719554189710201E-4</v>
      </c>
      <c r="E47483" s="2">
        <v>1.93547554634173E-4</v>
      </c>
      <c r="F47483" s="2">
        <v>2.85486302677058E-4</v>
      </c>
    </row>
    <row r="47484" spans="1:6" x14ac:dyDescent="0.25">
      <c r="A47484" s="1" t="str">
        <f t="shared" si="1545"/>
        <v>99999</v>
      </c>
      <c r="B47484" s="1" t="str">
        <f>"50108"</f>
        <v>50108</v>
      </c>
      <c r="C47484" s="2">
        <v>3.2694788948641601E-5</v>
      </c>
      <c r="D47484" s="2">
        <v>6.0228355811057601E-6</v>
      </c>
      <c r="E47484" s="2">
        <v>2.15052838482415E-5</v>
      </c>
      <c r="F47484" s="2">
        <v>3.06900242421586E-5</v>
      </c>
    </row>
    <row r="47485" spans="1:6" x14ac:dyDescent="0.25">
      <c r="A47485" s="1" t="str">
        <f t="shared" si="1545"/>
        <v>99999</v>
      </c>
      <c r="B47485" s="1" t="str">
        <f>"50112"</f>
        <v>50112</v>
      </c>
      <c r="C47485" s="2">
        <v>5.6772011008833403E-4</v>
      </c>
      <c r="D47485" s="2">
        <v>9.1547100832807505E-4</v>
      </c>
      <c r="E47485" s="2">
        <v>1.5268751532251401E-3</v>
      </c>
      <c r="F47485" s="2">
        <v>6.1251762209350098E-4</v>
      </c>
    </row>
    <row r="47486" spans="1:6" x14ac:dyDescent="0.25">
      <c r="A47486" s="1" t="str">
        <f t="shared" si="1545"/>
        <v>99999</v>
      </c>
      <c r="B47486" s="1" t="str">
        <f>"49958"</f>
        <v>49958</v>
      </c>
      <c r="C47486" s="2">
        <v>3.2261745386408E-5</v>
      </c>
      <c r="D47486" s="2">
        <v>1.20456711622115E-5</v>
      </c>
      <c r="E47486" s="2">
        <v>4.3010567696482999E-6</v>
      </c>
      <c r="F47486" s="2">
        <v>3.02952972422595E-5</v>
      </c>
    </row>
    <row r="47487" spans="1:6" x14ac:dyDescent="0.25">
      <c r="A47487" s="1" t="str">
        <f t="shared" si="1545"/>
        <v>99999</v>
      </c>
      <c r="B47487" s="1" t="str">
        <f>"50025"</f>
        <v>50025</v>
      </c>
      <c r="C47487" s="2">
        <v>1.7592394715742601E-4</v>
      </c>
      <c r="D47487" s="2">
        <v>3.2975024806554003E-4</v>
      </c>
      <c r="E47487" s="2">
        <v>1.4623593016804199E-4</v>
      </c>
      <c r="F47487" s="2">
        <v>1.8532432645264899E-4</v>
      </c>
    </row>
    <row r="47488" spans="1:6" x14ac:dyDescent="0.25">
      <c r="A47488" s="1" t="str">
        <f t="shared" si="1545"/>
        <v>99999</v>
      </c>
      <c r="B47488" s="1" t="str">
        <f>"49925"</f>
        <v>49925</v>
      </c>
      <c r="C47488" s="2">
        <v>6.9070448176269494E-5</v>
      </c>
      <c r="D47488" s="2">
        <v>2.1079924533870101E-5</v>
      </c>
      <c r="E47488" s="2">
        <v>3.01073973875381E-5</v>
      </c>
      <c r="F47488" s="2">
        <v>6.5031273233384494E-5</v>
      </c>
    </row>
    <row r="47489" spans="1:6" x14ac:dyDescent="0.25">
      <c r="A47489" s="1" t="str">
        <f t="shared" si="1545"/>
        <v>99999</v>
      </c>
      <c r="B47489" s="1" t="str">
        <f>"50117"</f>
        <v>50117</v>
      </c>
      <c r="C47489" s="2">
        <v>1.1150871727516799E-5</v>
      </c>
      <c r="D47489" s="2">
        <v>1.35513800574879E-5</v>
      </c>
      <c r="E47489" s="2">
        <v>4.3010567696482999E-6</v>
      </c>
      <c r="F47489" s="2">
        <v>1.11510377471509E-5</v>
      </c>
    </row>
    <row r="47490" spans="1:6" x14ac:dyDescent="0.25">
      <c r="A47490" s="1" t="str">
        <f t="shared" si="1545"/>
        <v>99999</v>
      </c>
      <c r="B47490" s="1" t="str">
        <f>"50130"</f>
        <v>50130</v>
      </c>
      <c r="C47490" s="2">
        <v>8.5309581760031905E-5</v>
      </c>
      <c r="D47490" s="2">
        <v>1.50570889527644E-5</v>
      </c>
      <c r="E47490" s="2">
        <v>6.0214794775076199E-5</v>
      </c>
      <c r="F47490" s="2">
        <v>8.0129580979526794E-5</v>
      </c>
    </row>
    <row r="47491" spans="1:6" x14ac:dyDescent="0.25">
      <c r="A47491" s="1" t="str">
        <f t="shared" si="1545"/>
        <v>99999</v>
      </c>
      <c r="B47491" s="1" t="str">
        <f>"49349"</f>
        <v>49349</v>
      </c>
      <c r="C47491" s="2">
        <v>4.6314008980890398E-4</v>
      </c>
      <c r="D47491" s="2">
        <v>1.68639396270961E-4</v>
      </c>
      <c r="E47491" s="2">
        <v>1.07526419241207E-4</v>
      </c>
      <c r="F47491" s="2">
        <v>4.3567992613868301E-4</v>
      </c>
    </row>
    <row r="47492" spans="1:6" x14ac:dyDescent="0.25">
      <c r="A47492" s="1" t="str">
        <f t="shared" si="1545"/>
        <v>99999</v>
      </c>
      <c r="B47492" s="1" t="str">
        <f>"49412"</f>
        <v>49412</v>
      </c>
      <c r="C47492" s="2">
        <v>5.7259185016346296E-4</v>
      </c>
      <c r="D47492" s="2">
        <v>8.1157709455400098E-4</v>
      </c>
      <c r="E47492" s="2">
        <v>6.0214794775076202E-4</v>
      </c>
      <c r="F47492" s="2">
        <v>5.8893268384952705E-4</v>
      </c>
    </row>
    <row r="47493" spans="1:6" x14ac:dyDescent="0.25">
      <c r="A47493" s="1" t="str">
        <f t="shared" si="1545"/>
        <v>99999</v>
      </c>
      <c r="B47493" s="1" t="str">
        <f>"49402"</f>
        <v>49402</v>
      </c>
      <c r="C47493" s="2">
        <v>4.1139138412198099E-5</v>
      </c>
      <c r="D47493" s="2">
        <v>1.50570889527644E-5</v>
      </c>
      <c r="E47493" s="2">
        <v>4.3010567696482999E-6</v>
      </c>
      <c r="F47493" s="2">
        <v>3.8584564240141597E-5</v>
      </c>
    </row>
    <row r="47494" spans="1:6" x14ac:dyDescent="0.25">
      <c r="A47494" s="1" t="str">
        <f t="shared" ref="A47494:A47557" si="1546">"99999"</f>
        <v>99999</v>
      </c>
      <c r="B47494" s="1" t="str">
        <f>"49343"</f>
        <v>49343</v>
      </c>
      <c r="C47494" s="2">
        <v>8.3360885729980396E-5</v>
      </c>
      <c r="D47494" s="2">
        <v>9.0342533716586405E-6</v>
      </c>
      <c r="E47494" s="2">
        <v>0</v>
      </c>
      <c r="F47494" s="2">
        <v>7.6577037980434494E-5</v>
      </c>
    </row>
    <row r="47495" spans="1:6" x14ac:dyDescent="0.25">
      <c r="A47495" s="1" t="str">
        <f t="shared" si="1546"/>
        <v>99999</v>
      </c>
      <c r="B47495" s="1" t="str">
        <f>"49344"</f>
        <v>49344</v>
      </c>
      <c r="C47495" s="2">
        <v>9.9383497532625999E-5</v>
      </c>
      <c r="D47495" s="2">
        <v>4.0654140172463799E-5</v>
      </c>
      <c r="E47495" s="2">
        <v>5.1612681235779599E-5</v>
      </c>
      <c r="F47495" s="2">
        <v>9.4438434725870895E-5</v>
      </c>
    </row>
    <row r="47496" spans="1:6" x14ac:dyDescent="0.25">
      <c r="A47496" s="1" t="str">
        <f t="shared" si="1546"/>
        <v>99999</v>
      </c>
      <c r="B47496" s="1" t="str">
        <f>"49013"</f>
        <v>49013</v>
      </c>
      <c r="C47496" s="2">
        <v>2.8645831641756903E-4</v>
      </c>
      <c r="D47496" s="2">
        <v>2.4844196772061199E-4</v>
      </c>
      <c r="E47496" s="2">
        <v>1.97848611403821E-4</v>
      </c>
      <c r="F47496" s="2">
        <v>2.8193375967796501E-4</v>
      </c>
    </row>
    <row r="47497" spans="1:6" x14ac:dyDescent="0.25">
      <c r="A47497" s="1" t="str">
        <f t="shared" si="1546"/>
        <v>99999</v>
      </c>
      <c r="B47497" s="1" t="str">
        <f>"49080"</f>
        <v>49080</v>
      </c>
      <c r="C47497" s="2">
        <v>1.4442002800492699E-4</v>
      </c>
      <c r="D47497" s="2">
        <v>3.01141779055288E-5</v>
      </c>
      <c r="E47497" s="2">
        <v>3.44084541571864E-5</v>
      </c>
      <c r="F47497" s="2">
        <v>1.34404543465659E-4</v>
      </c>
    </row>
    <row r="47498" spans="1:6" x14ac:dyDescent="0.25">
      <c r="A47498" s="1" t="str">
        <f t="shared" si="1546"/>
        <v>99999</v>
      </c>
      <c r="B47498" s="1" t="str">
        <f>"49021"</f>
        <v>49021</v>
      </c>
      <c r="C47498" s="2">
        <v>9.5161322800847798E-5</v>
      </c>
      <c r="D47498" s="2">
        <v>6.0228355811057601E-6</v>
      </c>
      <c r="E47498" s="2">
        <v>1.72042270785932E-5</v>
      </c>
      <c r="F47498" s="2">
        <v>8.7530712227635901E-5</v>
      </c>
    </row>
    <row r="47499" spans="1:6" x14ac:dyDescent="0.25">
      <c r="A47499" s="1" t="str">
        <f t="shared" si="1546"/>
        <v>99999</v>
      </c>
      <c r="B47499" s="1" t="str">
        <f>"61285"</f>
        <v>61285</v>
      </c>
      <c r="C47499" s="2">
        <v>1.02847846030495E-4</v>
      </c>
      <c r="D47499" s="2">
        <v>4.5171266858293199E-5</v>
      </c>
      <c r="E47499" s="2">
        <v>8.6021135392965999E-5</v>
      </c>
      <c r="F47499" s="2">
        <v>9.8681749974786795E-5</v>
      </c>
    </row>
    <row r="47500" spans="1:6" x14ac:dyDescent="0.25">
      <c r="A47500" s="1" t="str">
        <f t="shared" si="1546"/>
        <v>99999</v>
      </c>
      <c r="B47500" s="1" t="str">
        <f>"54234"</f>
        <v>54234</v>
      </c>
      <c r="C47500" s="2">
        <v>1.67371336803311E-4</v>
      </c>
      <c r="D47500" s="2">
        <v>1.8520219411900199E-4</v>
      </c>
      <c r="E47500" s="2">
        <v>5.5053526651498196E-4</v>
      </c>
      <c r="F47500" s="2">
        <v>1.7733110470469099E-4</v>
      </c>
    </row>
    <row r="47501" spans="1:6" x14ac:dyDescent="0.25">
      <c r="A47501" s="1" t="str">
        <f t="shared" si="1546"/>
        <v>99999</v>
      </c>
      <c r="B47501" s="1" t="str">
        <f>"53944"</f>
        <v>53944</v>
      </c>
      <c r="C47501" s="2">
        <v>1.2276784989324299E-4</v>
      </c>
      <c r="D47501" s="2">
        <v>2.1079924533870101E-5</v>
      </c>
      <c r="E47501" s="2">
        <v>5.5913738005427899E-5</v>
      </c>
      <c r="F47501" s="2">
        <v>1.14569511720727E-4</v>
      </c>
    </row>
    <row r="47502" spans="1:6" x14ac:dyDescent="0.25">
      <c r="A47502" s="1" t="str">
        <f t="shared" si="1546"/>
        <v>99999</v>
      </c>
      <c r="B47502" s="1" t="str">
        <f>"53946"</f>
        <v>53946</v>
      </c>
      <c r="C47502" s="2">
        <v>2.5841874576293898E-4</v>
      </c>
      <c r="D47502" s="2">
        <v>1.03893913774074E-4</v>
      </c>
      <c r="E47502" s="2">
        <v>1.67741214016283E-4</v>
      </c>
      <c r="F47502" s="2">
        <v>2.4621096618709302E-4</v>
      </c>
    </row>
    <row r="47503" spans="1:6" x14ac:dyDescent="0.25">
      <c r="A47503" s="1" t="str">
        <f t="shared" si="1546"/>
        <v>99999</v>
      </c>
      <c r="B47503" s="1" t="str">
        <f>"53926"</f>
        <v>53926</v>
      </c>
      <c r="C47503" s="2">
        <v>5.3156097264182301E-5</v>
      </c>
      <c r="D47503" s="2">
        <v>2.1079924533870101E-5</v>
      </c>
      <c r="E47503" s="2">
        <v>4.3010567696482999E-6</v>
      </c>
      <c r="F47503" s="2">
        <v>4.9932965487242098E-5</v>
      </c>
    </row>
    <row r="47504" spans="1:6" x14ac:dyDescent="0.25">
      <c r="A47504" s="1" t="str">
        <f t="shared" si="1546"/>
        <v>99999</v>
      </c>
      <c r="B47504" s="1" t="str">
        <f>"52641"</f>
        <v>52641</v>
      </c>
      <c r="C47504" s="2">
        <v>5.7800489469138296E-4</v>
      </c>
      <c r="D47504" s="2">
        <v>8.28139892402042E-4</v>
      </c>
      <c r="E47504" s="2">
        <v>1.13547898718715E-3</v>
      </c>
      <c r="F47504" s="2">
        <v>6.0718880759486299E-4</v>
      </c>
    </row>
    <row r="47505" spans="1:6" x14ac:dyDescent="0.25">
      <c r="A47505" s="1" t="str">
        <f t="shared" si="1546"/>
        <v>99999</v>
      </c>
      <c r="B47505" s="1" t="str">
        <f>"52544"</f>
        <v>52544</v>
      </c>
      <c r="C47505" s="2">
        <v>4.4224573793113001E-4</v>
      </c>
      <c r="D47505" s="2">
        <v>7.09188889675203E-4</v>
      </c>
      <c r="E47505" s="2">
        <v>5.93545834211465E-4</v>
      </c>
      <c r="F47505" s="2">
        <v>4.6321213438164899E-4</v>
      </c>
    </row>
    <row r="47506" spans="1:6" x14ac:dyDescent="0.25">
      <c r="A47506" s="1" t="str">
        <f t="shared" si="1546"/>
        <v>99999</v>
      </c>
      <c r="B47506" s="1" t="str">
        <f>"52591"</f>
        <v>52591</v>
      </c>
      <c r="C47506" s="2">
        <v>1.5004959431396401E-4</v>
      </c>
      <c r="D47506" s="2">
        <v>2.8457898120724698E-4</v>
      </c>
      <c r="E47506" s="2">
        <v>2.2795600879136E-4</v>
      </c>
      <c r="F47506" s="2">
        <v>1.6065388895895199E-4</v>
      </c>
    </row>
    <row r="47507" spans="1:6" x14ac:dyDescent="0.25">
      <c r="A47507" s="1" t="str">
        <f t="shared" si="1546"/>
        <v>99999</v>
      </c>
      <c r="B47507" s="1" t="str">
        <f>"52720"</f>
        <v>52720</v>
      </c>
      <c r="C47507" s="2">
        <v>1.5589568240411901E-5</v>
      </c>
      <c r="D47507" s="2">
        <v>3.01141779055288E-6</v>
      </c>
      <c r="E47507" s="2">
        <v>0</v>
      </c>
      <c r="F47507" s="2">
        <v>1.4407535496318799E-5</v>
      </c>
    </row>
    <row r="47508" spans="1:6" x14ac:dyDescent="0.25">
      <c r="A47508" s="1" t="str">
        <f t="shared" si="1546"/>
        <v>99999</v>
      </c>
      <c r="B47508" s="1" t="str">
        <f>"52588"</f>
        <v>52588</v>
      </c>
      <c r="C47508" s="2">
        <v>9.8517410408158696E-6</v>
      </c>
      <c r="D47508" s="2">
        <v>6.0228355811057601E-6</v>
      </c>
      <c r="E47508" s="2">
        <v>1.29031703089449E-5</v>
      </c>
      <c r="F47508" s="2">
        <v>9.6708114975291003E-6</v>
      </c>
    </row>
    <row r="47509" spans="1:6" x14ac:dyDescent="0.25">
      <c r="A47509" s="1" t="str">
        <f t="shared" si="1546"/>
        <v>99999</v>
      </c>
      <c r="B47509" s="1" t="str">
        <f>"52536"</f>
        <v>52536</v>
      </c>
      <c r="C47509" s="2">
        <v>7.5782623390891297E-6</v>
      </c>
      <c r="D47509" s="2">
        <v>1.50570889527644E-6</v>
      </c>
      <c r="E47509" s="2">
        <v>0</v>
      </c>
      <c r="F47509" s="2">
        <v>7.0064042482098597E-6</v>
      </c>
    </row>
    <row r="47510" spans="1:6" x14ac:dyDescent="0.25">
      <c r="A47510" s="1" t="str">
        <f t="shared" si="1546"/>
        <v>99999</v>
      </c>
      <c r="B47510" s="1" t="str">
        <f>"52159"</f>
        <v>52159</v>
      </c>
      <c r="C47510" s="2">
        <v>1.2850567709283899E-4</v>
      </c>
      <c r="D47510" s="2">
        <v>5.1194102439398901E-5</v>
      </c>
      <c r="E47510" s="2">
        <v>1.03225362471559E-4</v>
      </c>
      <c r="F47510" s="2">
        <v>1.2285877871860901E-4</v>
      </c>
    </row>
    <row r="47511" spans="1:6" x14ac:dyDescent="0.25">
      <c r="A47511" s="1" t="str">
        <f t="shared" si="1546"/>
        <v>99999</v>
      </c>
      <c r="B47511" s="1" t="str">
        <f>"52060"</f>
        <v>52060</v>
      </c>
      <c r="C47511" s="2">
        <v>4.4884965225519302E-4</v>
      </c>
      <c r="D47511" s="2">
        <v>6.3540915380665695E-4</v>
      </c>
      <c r="E47511" s="2">
        <v>9.8064094347981193E-4</v>
      </c>
      <c r="F47511" s="2">
        <v>4.7327767287907698E-4</v>
      </c>
    </row>
    <row r="47512" spans="1:6" x14ac:dyDescent="0.25">
      <c r="A47512" s="1" t="str">
        <f t="shared" si="1546"/>
        <v>99999</v>
      </c>
      <c r="B47512" s="1" t="str">
        <f>"52057"</f>
        <v>52057</v>
      </c>
      <c r="C47512" s="2">
        <v>4.1204094946533097E-4</v>
      </c>
      <c r="D47512" s="2">
        <v>5.7668650689087604E-4</v>
      </c>
      <c r="E47512" s="2">
        <v>4.5591201758272E-4</v>
      </c>
      <c r="F47512" s="2">
        <v>4.2383811614170899E-4</v>
      </c>
    </row>
    <row r="47513" spans="1:6" x14ac:dyDescent="0.25">
      <c r="A47513" s="1" t="str">
        <f t="shared" si="1546"/>
        <v>99999</v>
      </c>
      <c r="B47513" s="1" t="str">
        <f>"43557"</f>
        <v>43557</v>
      </c>
      <c r="C47513" s="2">
        <v>1.2450002414217799E-4</v>
      </c>
      <c r="D47513" s="2">
        <v>7.2274026973269097E-5</v>
      </c>
      <c r="E47513" s="2">
        <v>2.7526763325749098E-4</v>
      </c>
      <c r="F47513" s="2">
        <v>1.2453636846818E-4</v>
      </c>
    </row>
    <row r="47514" spans="1:6" x14ac:dyDescent="0.25">
      <c r="A47514" s="1" t="str">
        <f t="shared" si="1546"/>
        <v>99999</v>
      </c>
      <c r="B47514" s="1" t="str">
        <f>"42717"</f>
        <v>42717</v>
      </c>
      <c r="C47514" s="2">
        <v>4.5718574082819098E-4</v>
      </c>
      <c r="D47514" s="2">
        <v>2.0929353644342499E-4</v>
      </c>
      <c r="E47514" s="2">
        <v>1.11397370333891E-3</v>
      </c>
      <c r="F47514" s="2">
        <v>4.5600836663348902E-4</v>
      </c>
    </row>
    <row r="47515" spans="1:6" x14ac:dyDescent="0.25">
      <c r="A47515" s="1" t="str">
        <f t="shared" si="1546"/>
        <v>99999</v>
      </c>
      <c r="B47515" s="1" t="str">
        <f>"42754"</f>
        <v>42754</v>
      </c>
      <c r="C47515" s="2">
        <v>8.6749451604458804E-4</v>
      </c>
      <c r="D47515" s="2">
        <v>1.0344220110549099E-3</v>
      </c>
      <c r="E47515" s="2">
        <v>2.33547382591902E-3</v>
      </c>
      <c r="F47515" s="2">
        <v>9.1211541501695398E-4</v>
      </c>
    </row>
    <row r="47516" spans="1:6" x14ac:dyDescent="0.25">
      <c r="A47516" s="1" t="str">
        <f t="shared" si="1546"/>
        <v>99999</v>
      </c>
      <c r="B47516" s="1" t="str">
        <f>"42765"</f>
        <v>42765</v>
      </c>
      <c r="C47516" s="2">
        <v>2.9912484061290302E-4</v>
      </c>
      <c r="D47516" s="2">
        <v>2.2736204318674199E-4</v>
      </c>
      <c r="E47516" s="2">
        <v>6.4085745867759698E-4</v>
      </c>
      <c r="F47516" s="2">
        <v>3.0226220017277199E-4</v>
      </c>
    </row>
    <row r="47517" spans="1:6" x14ac:dyDescent="0.25">
      <c r="A47517" s="1" t="str">
        <f t="shared" si="1546"/>
        <v>99999</v>
      </c>
      <c r="B47517" s="1" t="str">
        <f>"42516"</f>
        <v>42516</v>
      </c>
      <c r="C47517" s="2">
        <v>2.5008265718994098E-5</v>
      </c>
      <c r="D47517" s="2">
        <v>7.5285444763821999E-6</v>
      </c>
      <c r="E47517" s="2">
        <v>1.72042270785932E-5</v>
      </c>
      <c r="F47517" s="2">
        <v>2.3683619993948799E-5</v>
      </c>
    </row>
    <row r="47518" spans="1:6" x14ac:dyDescent="0.25">
      <c r="A47518" s="1" t="str">
        <f t="shared" si="1546"/>
        <v>99999</v>
      </c>
      <c r="B47518" s="1" t="str">
        <f>"42528"</f>
        <v>42528</v>
      </c>
      <c r="C47518" s="2">
        <v>7.5024797156982397E-5</v>
      </c>
      <c r="D47518" s="2">
        <v>6.0228355811057601E-6</v>
      </c>
      <c r="E47518" s="2">
        <v>3.8709510926834699E-5</v>
      </c>
      <c r="F47518" s="2">
        <v>6.9669315482199406E-5</v>
      </c>
    </row>
    <row r="47519" spans="1:6" x14ac:dyDescent="0.25">
      <c r="A47519" s="1" t="str">
        <f t="shared" si="1546"/>
        <v>99999</v>
      </c>
      <c r="B47519" s="1" t="str">
        <f>"47123"</f>
        <v>47123</v>
      </c>
      <c r="C47519" s="2">
        <v>8.3360885729980396E-6</v>
      </c>
      <c r="D47519" s="2">
        <v>0</v>
      </c>
      <c r="E47519" s="2">
        <v>3.8709510926834699E-5</v>
      </c>
      <c r="F47519" s="2">
        <v>8.4866304978316595E-6</v>
      </c>
    </row>
    <row r="47520" spans="1:6" x14ac:dyDescent="0.25">
      <c r="A47520" s="1" t="str">
        <f t="shared" si="1546"/>
        <v>99999</v>
      </c>
      <c r="B47520" s="1" t="str">
        <f>"41141"</f>
        <v>41141</v>
      </c>
      <c r="C47520" s="2">
        <v>7.2318274893021995E-5</v>
      </c>
      <c r="D47520" s="2">
        <v>1.80685067433172E-5</v>
      </c>
      <c r="E47520" s="2">
        <v>4.3010567696482999E-6</v>
      </c>
      <c r="F47520" s="2">
        <v>6.7202271732829798E-5</v>
      </c>
    </row>
    <row r="47521" spans="1:6" x14ac:dyDescent="0.25">
      <c r="A47521" s="1" t="str">
        <f t="shared" si="1546"/>
        <v>99999</v>
      </c>
      <c r="B47521" s="1" t="str">
        <f>"41230"</f>
        <v>41230</v>
      </c>
      <c r="C47521" s="2">
        <v>6.8388404565751396E-4</v>
      </c>
      <c r="D47521" s="2">
        <v>5.72169380205047E-4</v>
      </c>
      <c r="E47521" s="2">
        <v>5.6773949359357502E-4</v>
      </c>
      <c r="F47521" s="2">
        <v>6.7389767057781898E-4</v>
      </c>
    </row>
    <row r="47522" spans="1:6" x14ac:dyDescent="0.25">
      <c r="A47522" s="1" t="str">
        <f t="shared" si="1546"/>
        <v>99999</v>
      </c>
      <c r="B47522" s="1" t="str">
        <f>"41262"</f>
        <v>41262</v>
      </c>
      <c r="C47522" s="2">
        <v>5.06660967813387E-5</v>
      </c>
      <c r="D47522" s="2">
        <v>3.01141779055288E-6</v>
      </c>
      <c r="E47522" s="2">
        <v>8.1720078623317706E-5</v>
      </c>
      <c r="F47522" s="2">
        <v>4.8255375737670698E-5</v>
      </c>
    </row>
    <row r="47523" spans="1:6" x14ac:dyDescent="0.25">
      <c r="A47523" s="1" t="str">
        <f t="shared" si="1546"/>
        <v>99999</v>
      </c>
      <c r="B47523" s="1" t="str">
        <f>"41268"</f>
        <v>41268</v>
      </c>
      <c r="C47523" s="2">
        <v>2.9771744903564399E-5</v>
      </c>
      <c r="D47523" s="2">
        <v>0</v>
      </c>
      <c r="E47523" s="2">
        <v>8.6021135392965999E-6</v>
      </c>
      <c r="F47523" s="2">
        <v>2.73348447430159E-5</v>
      </c>
    </row>
    <row r="47524" spans="1:6" x14ac:dyDescent="0.25">
      <c r="A47524" s="1" t="str">
        <f t="shared" si="1546"/>
        <v>99999</v>
      </c>
      <c r="B47524" s="1" t="str">
        <f>"41180"</f>
        <v>41180</v>
      </c>
      <c r="C47524" s="2">
        <v>5.8352620010986298E-5</v>
      </c>
      <c r="D47524" s="2">
        <v>7.5285444763821999E-6</v>
      </c>
      <c r="E47524" s="2">
        <v>1.72042270785932E-5</v>
      </c>
      <c r="F47524" s="2">
        <v>5.40775989861831E-5</v>
      </c>
    </row>
    <row r="47525" spans="1:6" x14ac:dyDescent="0.25">
      <c r="A47525" s="1" t="str">
        <f t="shared" si="1546"/>
        <v>99999</v>
      </c>
      <c r="B47525" s="1" t="str">
        <f>"41250"</f>
        <v>41250</v>
      </c>
      <c r="C47525" s="2">
        <v>4.0597833959405999E-5</v>
      </c>
      <c r="D47525" s="2">
        <v>6.0228355811057601E-6</v>
      </c>
      <c r="E47525" s="2">
        <v>1.72042270785932E-5</v>
      </c>
      <c r="F47525" s="2">
        <v>3.7795110240343302E-5</v>
      </c>
    </row>
    <row r="47526" spans="1:6" x14ac:dyDescent="0.25">
      <c r="A47526" s="1" t="str">
        <f t="shared" si="1546"/>
        <v>99999</v>
      </c>
      <c r="B47526" s="1" t="str">
        <f>"40387"</f>
        <v>40387</v>
      </c>
      <c r="C47526" s="2">
        <v>7.1452187768554602E-6</v>
      </c>
      <c r="D47526" s="2">
        <v>1.50570889527644E-6</v>
      </c>
      <c r="E47526" s="2">
        <v>0</v>
      </c>
      <c r="F47526" s="2">
        <v>6.6116772483107097E-6</v>
      </c>
    </row>
    <row r="47527" spans="1:6" x14ac:dyDescent="0.25">
      <c r="A47527" s="1" t="str">
        <f t="shared" si="1546"/>
        <v>99999</v>
      </c>
      <c r="B47527" s="1" t="str">
        <f>"40447"</f>
        <v>40447</v>
      </c>
      <c r="C47527" s="2">
        <v>4.9637618321033805E-4</v>
      </c>
      <c r="D47527" s="2">
        <v>2.0628211865287199E-4</v>
      </c>
      <c r="E47527" s="2">
        <v>2.0214966817347E-4</v>
      </c>
      <c r="F47527" s="2">
        <v>4.7061326562975798E-4</v>
      </c>
    </row>
    <row r="47528" spans="1:6" x14ac:dyDescent="0.25">
      <c r="A47528" s="1" t="str">
        <f t="shared" si="1546"/>
        <v>99999</v>
      </c>
      <c r="B47528" s="1" t="str">
        <f>"44638"</f>
        <v>44638</v>
      </c>
      <c r="C47528" s="2">
        <v>6.2899577414439703E-5</v>
      </c>
      <c r="D47528" s="2">
        <v>1.50570889527644E-5</v>
      </c>
      <c r="E47528" s="2">
        <v>2.58063406178898E-5</v>
      </c>
      <c r="F47528" s="2">
        <v>5.8913004734947701E-5</v>
      </c>
    </row>
    <row r="47529" spans="1:6" x14ac:dyDescent="0.25">
      <c r="A47529" s="1" t="str">
        <f t="shared" si="1546"/>
        <v>99999</v>
      </c>
      <c r="B47529" s="1" t="str">
        <f>"44699"</f>
        <v>44699</v>
      </c>
      <c r="C47529" s="2">
        <v>5.3156097264182301E-5</v>
      </c>
      <c r="D47529" s="2">
        <v>1.50570889527644E-5</v>
      </c>
      <c r="E47529" s="2">
        <v>0</v>
      </c>
      <c r="F47529" s="2">
        <v>4.94395567373681E-5</v>
      </c>
    </row>
    <row r="47530" spans="1:6" x14ac:dyDescent="0.25">
      <c r="A47530" s="1" t="str">
        <f t="shared" si="1546"/>
        <v>99999</v>
      </c>
      <c r="B47530" s="1" t="str">
        <f>"45875"</f>
        <v>45875</v>
      </c>
      <c r="C47530" s="2">
        <v>4.8739052929398899E-4</v>
      </c>
      <c r="D47530" s="2">
        <v>6.4143198938776305E-4</v>
      </c>
      <c r="E47530" s="2">
        <v>6.0214794775076202E-4</v>
      </c>
      <c r="F47530" s="2">
        <v>5.0011910887221901E-4</v>
      </c>
    </row>
    <row r="47531" spans="1:6" x14ac:dyDescent="0.25">
      <c r="A47531" s="1" t="str">
        <f t="shared" si="1546"/>
        <v>99999</v>
      </c>
      <c r="B47531" s="1" t="str">
        <f>"41031"</f>
        <v>41031</v>
      </c>
      <c r="C47531" s="2">
        <v>8.065436346602E-4</v>
      </c>
      <c r="D47531" s="2">
        <v>9.2450526169973399E-4</v>
      </c>
      <c r="E47531" s="2">
        <v>1.06236102210313E-3</v>
      </c>
      <c r="F47531" s="2">
        <v>8.2014402404045298E-4</v>
      </c>
    </row>
    <row r="47532" spans="1:6" x14ac:dyDescent="0.25">
      <c r="A47532" s="1" t="str">
        <f t="shared" si="1546"/>
        <v>99999</v>
      </c>
      <c r="B47532" s="1" t="str">
        <f>"45843"</f>
        <v>45843</v>
      </c>
      <c r="C47532" s="2">
        <v>1.5004959431396401E-4</v>
      </c>
      <c r="D47532" s="2">
        <v>1.2949096499377299E-4</v>
      </c>
      <c r="E47532" s="2">
        <v>6.4515851544724506E-5</v>
      </c>
      <c r="F47532" s="2">
        <v>1.4673976221250701E-4</v>
      </c>
    </row>
    <row r="47533" spans="1:6" x14ac:dyDescent="0.25">
      <c r="A47533" s="1" t="str">
        <f t="shared" si="1546"/>
        <v>99999</v>
      </c>
      <c r="B47533" s="1" t="str">
        <f>"45853"</f>
        <v>45853</v>
      </c>
      <c r="C47533" s="2">
        <v>4.4495226019509003E-5</v>
      </c>
      <c r="D47533" s="2">
        <v>1.50570889527644E-6</v>
      </c>
      <c r="E47533" s="2">
        <v>3.44084541571864E-5</v>
      </c>
      <c r="F47533" s="2">
        <v>4.14463349894104E-5</v>
      </c>
    </row>
    <row r="47534" spans="1:6" x14ac:dyDescent="0.25">
      <c r="A47534" s="1" t="str">
        <f t="shared" si="1546"/>
        <v>99999</v>
      </c>
      <c r="B47534" s="1" t="str">
        <f>"45856"</f>
        <v>45856</v>
      </c>
      <c r="C47534" s="2">
        <v>2.1652178111683201E-4</v>
      </c>
      <c r="D47534" s="2">
        <v>1.71650814061514E-4</v>
      </c>
      <c r="E47534" s="2">
        <v>1.41934873398393E-4</v>
      </c>
      <c r="F47534" s="2">
        <v>2.1186971719586701E-4</v>
      </c>
    </row>
    <row r="47535" spans="1:6" x14ac:dyDescent="0.25">
      <c r="A47535" s="1" t="str">
        <f t="shared" si="1546"/>
        <v>99999</v>
      </c>
      <c r="B47535" s="1" t="str">
        <f>"46156"</f>
        <v>46156</v>
      </c>
      <c r="C47535" s="2">
        <v>6.5389577897283297E-5</v>
      </c>
      <c r="D47535" s="2">
        <v>8.88368248213099E-5</v>
      </c>
      <c r="E47535" s="2">
        <v>8.6021135392965999E-6</v>
      </c>
      <c r="F47535" s="2">
        <v>6.5623363733233195E-5</v>
      </c>
    </row>
    <row r="47536" spans="1:6" x14ac:dyDescent="0.25">
      <c r="A47536" s="1" t="str">
        <f t="shared" si="1546"/>
        <v>99999</v>
      </c>
      <c r="B47536" s="1" t="str">
        <f>"45710"</f>
        <v>45710</v>
      </c>
      <c r="C47536" s="2">
        <v>1.1876219694258201E-4</v>
      </c>
      <c r="D47536" s="2">
        <v>1.9574215638593701E-5</v>
      </c>
      <c r="E47536" s="2">
        <v>1.72042270785932E-5</v>
      </c>
      <c r="F47536" s="2">
        <v>1.09931469471912E-4</v>
      </c>
    </row>
    <row r="47537" spans="1:6" x14ac:dyDescent="0.25">
      <c r="A47537" s="1" t="str">
        <f t="shared" si="1546"/>
        <v>99999</v>
      </c>
      <c r="B47537" s="1" t="str">
        <f>"45690"</f>
        <v>45690</v>
      </c>
      <c r="C47537" s="2">
        <v>6.9795796143010895E-4</v>
      </c>
      <c r="D47537" s="2">
        <v>7.7845149885791905E-4</v>
      </c>
      <c r="E47537" s="2">
        <v>5.6343843682392695E-4</v>
      </c>
      <c r="F47537" s="2">
        <v>7.0014701607111203E-4</v>
      </c>
    </row>
    <row r="47538" spans="1:6" x14ac:dyDescent="0.25">
      <c r="A47538" s="1" t="str">
        <f t="shared" si="1546"/>
        <v>99999</v>
      </c>
      <c r="B47538" s="1" t="str">
        <f>"45786"</f>
        <v>45786</v>
      </c>
      <c r="C47538" s="2">
        <v>3.46434849786931E-6</v>
      </c>
      <c r="D47538" s="2">
        <v>0</v>
      </c>
      <c r="E47538" s="2">
        <v>0</v>
      </c>
      <c r="F47538" s="2">
        <v>3.1578159991931699E-6</v>
      </c>
    </row>
    <row r="47539" spans="1:6" x14ac:dyDescent="0.25">
      <c r="A47539" s="1" t="str">
        <f t="shared" si="1546"/>
        <v>99999</v>
      </c>
      <c r="B47539" s="1" t="str">
        <f>"45743"</f>
        <v>45743</v>
      </c>
      <c r="C47539" s="2">
        <v>7.71900149681507E-5</v>
      </c>
      <c r="D47539" s="2">
        <v>2.25856334291466E-5</v>
      </c>
      <c r="E47539" s="2">
        <v>0</v>
      </c>
      <c r="F47539" s="2">
        <v>7.1840313981644697E-5</v>
      </c>
    </row>
    <row r="47540" spans="1:6" x14ac:dyDescent="0.25">
      <c r="A47540" s="1" t="str">
        <f t="shared" si="1546"/>
        <v>99999</v>
      </c>
      <c r="B47540" s="1" t="str">
        <f>"47020"</f>
        <v>47020</v>
      </c>
      <c r="C47540" s="2">
        <v>5.6295663090376399E-5</v>
      </c>
      <c r="D47540" s="2">
        <v>3.31255956960816E-5</v>
      </c>
      <c r="E47540" s="2">
        <v>1.72042270785932E-5</v>
      </c>
      <c r="F47540" s="2">
        <v>5.3880235486233499E-5</v>
      </c>
    </row>
    <row r="47541" spans="1:6" x14ac:dyDescent="0.25">
      <c r="A47541" s="1" t="str">
        <f t="shared" si="1546"/>
        <v>99999</v>
      </c>
      <c r="B47541" s="1" t="str">
        <f>"45741"</f>
        <v>45741</v>
      </c>
      <c r="C47541" s="2">
        <v>5.9651750697687297E-5</v>
      </c>
      <c r="D47541" s="2">
        <v>2.55970512196994E-5</v>
      </c>
      <c r="E47541" s="2">
        <v>0</v>
      </c>
      <c r="F47541" s="2">
        <v>5.6051233985678898E-5</v>
      </c>
    </row>
    <row r="47542" spans="1:6" x14ac:dyDescent="0.25">
      <c r="A47542" s="1" t="str">
        <f t="shared" si="1546"/>
        <v>99999</v>
      </c>
      <c r="B47542" s="1" t="str">
        <f>"46049"</f>
        <v>46049</v>
      </c>
      <c r="C47542" s="2">
        <v>3.8649137929354497E-5</v>
      </c>
      <c r="D47542" s="2">
        <v>0</v>
      </c>
      <c r="E47542" s="2">
        <v>2.15052838482415E-5</v>
      </c>
      <c r="F47542" s="2">
        <v>3.5722793490872802E-5</v>
      </c>
    </row>
    <row r="47543" spans="1:6" x14ac:dyDescent="0.25">
      <c r="A47543" s="1" t="str">
        <f t="shared" si="1546"/>
        <v>99999</v>
      </c>
      <c r="B47543" s="1" t="str">
        <f>"45135"</f>
        <v>45135</v>
      </c>
      <c r="C47543" s="2">
        <v>1.90539167382812E-4</v>
      </c>
      <c r="D47543" s="2">
        <v>4.3665557963016701E-5</v>
      </c>
      <c r="E47543" s="2">
        <v>1.37633816628745E-4</v>
      </c>
      <c r="F47543" s="2">
        <v>1.7969946670408601E-4</v>
      </c>
    </row>
    <row r="47544" spans="1:6" x14ac:dyDescent="0.25">
      <c r="A47544" s="1" t="str">
        <f t="shared" si="1546"/>
        <v>99999</v>
      </c>
      <c r="B47544" s="1" t="str">
        <f>"43326"</f>
        <v>43326</v>
      </c>
      <c r="C47544" s="2">
        <v>7.2924535880149102E-4</v>
      </c>
      <c r="D47544" s="2">
        <v>1.03893913774074E-3</v>
      </c>
      <c r="E47544" s="2">
        <v>6.6236274252583801E-4</v>
      </c>
      <c r="F47544" s="2">
        <v>7.4800766480888402E-4</v>
      </c>
    </row>
    <row r="47545" spans="1:6" x14ac:dyDescent="0.25">
      <c r="A47545" s="1" t="str">
        <f t="shared" si="1546"/>
        <v>99999</v>
      </c>
      <c r="B47545" s="1" t="str">
        <f>"43756"</f>
        <v>43756</v>
      </c>
      <c r="C47545" s="2">
        <v>2.9284570896051499E-4</v>
      </c>
      <c r="D47545" s="2">
        <v>3.3276166585609302E-4</v>
      </c>
      <c r="E47545" s="2">
        <v>2.1075178171276601E-4</v>
      </c>
      <c r="F47545" s="2">
        <v>2.9357820617499002E-4</v>
      </c>
    </row>
    <row r="47546" spans="1:6" x14ac:dyDescent="0.25">
      <c r="A47546" s="1" t="str">
        <f t="shared" si="1546"/>
        <v>99999</v>
      </c>
      <c r="B47546" s="1" t="str">
        <f>"43780"</f>
        <v>43780</v>
      </c>
      <c r="C47546" s="2">
        <v>3.2803049839199998E-5</v>
      </c>
      <c r="D47546" s="2">
        <v>6.0228355811057601E-6</v>
      </c>
      <c r="E47546" s="2">
        <v>4.3010567696482999E-6</v>
      </c>
      <c r="F47546" s="2">
        <v>3.03939789922343E-5</v>
      </c>
    </row>
    <row r="47547" spans="1:6" x14ac:dyDescent="0.25">
      <c r="A47547" s="1" t="str">
        <f t="shared" si="1546"/>
        <v>99999</v>
      </c>
      <c r="B47547" s="1" t="str">
        <f>"43754"</f>
        <v>43754</v>
      </c>
      <c r="C47547" s="2">
        <v>8.2819581277188297E-5</v>
      </c>
      <c r="D47547" s="2">
        <v>4.2159849067740298E-5</v>
      </c>
      <c r="E47547" s="2">
        <v>0</v>
      </c>
      <c r="F47547" s="2">
        <v>7.8254627730005901E-5</v>
      </c>
    </row>
    <row r="47548" spans="1:6" x14ac:dyDescent="0.25">
      <c r="A47548" s="1" t="str">
        <f t="shared" si="1546"/>
        <v>99999</v>
      </c>
      <c r="B47548" s="1" t="str">
        <f>"46767"</f>
        <v>46767</v>
      </c>
      <c r="C47548" s="2">
        <v>2.59826137340198E-6</v>
      </c>
      <c r="D47548" s="2">
        <v>1.50570889527644E-6</v>
      </c>
      <c r="E47548" s="2">
        <v>0</v>
      </c>
      <c r="F47548" s="2">
        <v>2.4670437493696702E-6</v>
      </c>
    </row>
    <row r="47549" spans="1:6" x14ac:dyDescent="0.25">
      <c r="A47549" s="1" t="str">
        <f t="shared" si="1546"/>
        <v>99999</v>
      </c>
      <c r="B47549" s="1" t="str">
        <f>"46795"</f>
        <v>46795</v>
      </c>
      <c r="C47549" s="2">
        <v>3.1471440885331498E-4</v>
      </c>
      <c r="D47549" s="2">
        <v>6.4745482496886904E-5</v>
      </c>
      <c r="E47549" s="2">
        <v>1.07526419241207E-4</v>
      </c>
      <c r="F47549" s="2">
        <v>2.9357820617499002E-4</v>
      </c>
    </row>
    <row r="47550" spans="1:6" x14ac:dyDescent="0.25">
      <c r="A47550" s="1" t="str">
        <f t="shared" si="1546"/>
        <v>99999</v>
      </c>
      <c r="B47550" s="1" t="str">
        <f>"46543"</f>
        <v>46543</v>
      </c>
      <c r="C47550" s="2">
        <v>3.00965275752396E-5</v>
      </c>
      <c r="D47550" s="2">
        <v>7.5285444763821999E-6</v>
      </c>
      <c r="E47550" s="2">
        <v>4.3010567696482999E-6</v>
      </c>
      <c r="F47550" s="2">
        <v>2.8025616992839402E-5</v>
      </c>
    </row>
    <row r="47551" spans="1:6" x14ac:dyDescent="0.25">
      <c r="A47551" s="1" t="str">
        <f t="shared" si="1546"/>
        <v>99999</v>
      </c>
      <c r="B47551" s="1" t="str">
        <f>"47373"</f>
        <v>47373</v>
      </c>
      <c r="C47551" s="2">
        <v>8.0979146137695205E-5</v>
      </c>
      <c r="D47551" s="2">
        <v>3.01141779055288E-5</v>
      </c>
      <c r="E47551" s="2">
        <v>3.09676087414677E-4</v>
      </c>
      <c r="F47551" s="2">
        <v>8.2892669978820895E-5</v>
      </c>
    </row>
    <row r="47552" spans="1:6" x14ac:dyDescent="0.25">
      <c r="A47552" s="1" t="str">
        <f t="shared" si="1546"/>
        <v>99999</v>
      </c>
      <c r="B47552" s="1" t="str">
        <f>"47390"</f>
        <v>47390</v>
      </c>
      <c r="C47552" s="2">
        <v>2.74008314003351E-4</v>
      </c>
      <c r="D47552" s="2">
        <v>3.2975024806554003E-4</v>
      </c>
      <c r="E47552" s="2">
        <v>3.1827820095397402E-4</v>
      </c>
      <c r="F47552" s="2">
        <v>2.7867726192879703E-4</v>
      </c>
    </row>
    <row r="47553" spans="1:6" x14ac:dyDescent="0.25">
      <c r="A47553" s="1" t="str">
        <f t="shared" si="1546"/>
        <v>99999</v>
      </c>
      <c r="B47553" s="1" t="str">
        <f>"47465"</f>
        <v>47465</v>
      </c>
      <c r="C47553" s="2">
        <v>5.1099140343572402E-5</v>
      </c>
      <c r="D47553" s="2">
        <v>7.9802571449651304E-5</v>
      </c>
      <c r="E47553" s="2">
        <v>2.58063406178898E-5</v>
      </c>
      <c r="F47553" s="2">
        <v>5.2400009236611699E-5</v>
      </c>
    </row>
    <row r="47554" spans="1:6" x14ac:dyDescent="0.25">
      <c r="A47554" s="1" t="str">
        <f t="shared" si="1546"/>
        <v>99999</v>
      </c>
      <c r="B47554" s="1" t="str">
        <f>"47923"</f>
        <v>47923</v>
      </c>
      <c r="C47554" s="2">
        <v>1.4907524629893901E-4</v>
      </c>
      <c r="D47554" s="2">
        <v>5.5711229125228301E-5</v>
      </c>
      <c r="E47554" s="2">
        <v>1.03225362471559E-4</v>
      </c>
      <c r="F47554" s="2">
        <v>1.4190435646374301E-4</v>
      </c>
    </row>
    <row r="47555" spans="1:6" x14ac:dyDescent="0.25">
      <c r="A47555" s="1" t="str">
        <f t="shared" si="1546"/>
        <v>99999</v>
      </c>
      <c r="B47555" s="1" t="str">
        <f>"47950"</f>
        <v>47950</v>
      </c>
      <c r="C47555" s="2">
        <v>3.8216094367120903E-5</v>
      </c>
      <c r="D47555" s="2">
        <v>1.0539962266935E-5</v>
      </c>
      <c r="E47555" s="2">
        <v>1.29031703089449E-5</v>
      </c>
      <c r="F47555" s="2">
        <v>3.5821475240847599E-5</v>
      </c>
    </row>
    <row r="47556" spans="1:6" x14ac:dyDescent="0.25">
      <c r="A47556" s="1" t="str">
        <f t="shared" si="1546"/>
        <v>99999</v>
      </c>
      <c r="B47556" s="1" t="str">
        <f>"47918"</f>
        <v>47918</v>
      </c>
      <c r="C47556" s="2">
        <v>2.5820222398182199E-4</v>
      </c>
      <c r="D47556" s="2">
        <v>3.2071599469388098E-4</v>
      </c>
      <c r="E47556" s="2">
        <v>3.8279405249869798E-4</v>
      </c>
      <c r="F47556" s="2">
        <v>2.6515786218225199E-4</v>
      </c>
    </row>
    <row r="47557" spans="1:6" x14ac:dyDescent="0.25">
      <c r="A47557" s="1" t="str">
        <f t="shared" si="1546"/>
        <v>99999</v>
      </c>
      <c r="B47557" s="1" t="str">
        <f>"47577"</f>
        <v>47577</v>
      </c>
      <c r="C47557" s="2">
        <v>7.7947841202059606E-5</v>
      </c>
      <c r="D47557" s="2">
        <v>3.9148431277187403E-5</v>
      </c>
      <c r="E47557" s="2">
        <v>6.4515851544724506E-5</v>
      </c>
      <c r="F47557" s="2">
        <v>7.5096811730812694E-5</v>
      </c>
    </row>
    <row r="47558" spans="1:6" x14ac:dyDescent="0.25">
      <c r="A47558" s="1" t="str">
        <f t="shared" ref="A47558:A47621" si="1547">"99999"</f>
        <v>99999</v>
      </c>
      <c r="B47558" s="1" t="str">
        <f>"46366"</f>
        <v>46366</v>
      </c>
      <c r="C47558" s="2">
        <v>2.9197962183604798E-4</v>
      </c>
      <c r="D47558" s="2">
        <v>2.4693625882533601E-4</v>
      </c>
      <c r="E47558" s="2">
        <v>1.5053698693768999E-4</v>
      </c>
      <c r="F47558" s="2">
        <v>2.8578234792698198E-4</v>
      </c>
    </row>
    <row r="47559" spans="1:6" x14ac:dyDescent="0.25">
      <c r="A47559" s="1" t="str">
        <f t="shared" si="1547"/>
        <v>99999</v>
      </c>
      <c r="B47559" s="1" t="str">
        <f>"48466"</f>
        <v>48466</v>
      </c>
      <c r="C47559" s="2">
        <v>7.4266970923073396E-5</v>
      </c>
      <c r="D47559" s="2">
        <v>4.5171266858293199E-5</v>
      </c>
      <c r="E47559" s="2">
        <v>6.8816908314372799E-5</v>
      </c>
      <c r="F47559" s="2">
        <v>7.2235040981543898E-5</v>
      </c>
    </row>
    <row r="47560" spans="1:6" x14ac:dyDescent="0.25">
      <c r="A47560" s="1" t="str">
        <f t="shared" si="1547"/>
        <v>99999</v>
      </c>
      <c r="B47560" s="1" t="str">
        <f>"48723"</f>
        <v>48723</v>
      </c>
      <c r="C47560" s="2">
        <v>6.2683055633322904E-4</v>
      </c>
      <c r="D47560" s="2">
        <v>8.3115131019259505E-4</v>
      </c>
      <c r="E47560" s="2">
        <v>7.2687859407056295E-4</v>
      </c>
      <c r="F47560" s="2">
        <v>6.4251687408583603E-4</v>
      </c>
    </row>
    <row r="47561" spans="1:6" x14ac:dyDescent="0.25">
      <c r="A47561" s="1" t="str">
        <f t="shared" si="1547"/>
        <v>99999</v>
      </c>
      <c r="B47561" s="1" t="str">
        <f>"48730"</f>
        <v>48730</v>
      </c>
      <c r="C47561" s="2">
        <v>3.6949441947587401E-4</v>
      </c>
      <c r="D47561" s="2">
        <v>4.4117270631599699E-4</v>
      </c>
      <c r="E47561" s="2">
        <v>3.6128876865045701E-4</v>
      </c>
      <c r="F47561" s="2">
        <v>3.7400383240444201E-4</v>
      </c>
    </row>
    <row r="47562" spans="1:6" x14ac:dyDescent="0.25">
      <c r="A47562" s="1" t="str">
        <f t="shared" si="1547"/>
        <v>99999</v>
      </c>
      <c r="B47562" s="1" t="str">
        <f>"48748"</f>
        <v>48748</v>
      </c>
      <c r="C47562" s="2">
        <v>1.6812916303722E-4</v>
      </c>
      <c r="D47562" s="2">
        <v>4.0654140172463799E-5</v>
      </c>
      <c r="E47562" s="2">
        <v>0</v>
      </c>
      <c r="F47562" s="2">
        <v>1.5591716496016301E-4</v>
      </c>
    </row>
    <row r="47563" spans="1:6" x14ac:dyDescent="0.25">
      <c r="A47563" s="1" t="str">
        <f t="shared" si="1547"/>
        <v>99999</v>
      </c>
      <c r="B47563" s="1" t="str">
        <f>"48658"</f>
        <v>48658</v>
      </c>
      <c r="C47563" s="2">
        <v>2.9068049114934702E-4</v>
      </c>
      <c r="D47563" s="2">
        <v>3.01141779055288E-4</v>
      </c>
      <c r="E47563" s="2">
        <v>2.49461292639601E-4</v>
      </c>
      <c r="F47563" s="2">
        <v>2.90420390175797E-4</v>
      </c>
    </row>
    <row r="47564" spans="1:6" x14ac:dyDescent="0.25">
      <c r="A47564" s="1" t="str">
        <f t="shared" si="1547"/>
        <v>99999</v>
      </c>
      <c r="B47564" s="1" t="str">
        <f>"48416"</f>
        <v>48416</v>
      </c>
      <c r="C47564" s="2">
        <v>1.47234811159445E-4</v>
      </c>
      <c r="D47564" s="2">
        <v>6.7756900287439806E-5</v>
      </c>
      <c r="E47564" s="2">
        <v>1.8924649786452501E-4</v>
      </c>
      <c r="F47564" s="2">
        <v>1.4298985571346601E-4</v>
      </c>
    </row>
    <row r="47565" spans="1:6" x14ac:dyDescent="0.25">
      <c r="A47565" s="1" t="str">
        <f t="shared" si="1547"/>
        <v>99999</v>
      </c>
      <c r="B47565" s="1" t="str">
        <f>"48422"</f>
        <v>48422</v>
      </c>
      <c r="C47565" s="2">
        <v>3.2543223701859899E-4</v>
      </c>
      <c r="D47565" s="2">
        <v>2.6952189225448199E-4</v>
      </c>
      <c r="E47565" s="2">
        <v>3.1827820095397402E-4</v>
      </c>
      <c r="F47565" s="2">
        <v>3.2160382316783002E-4</v>
      </c>
    </row>
    <row r="47566" spans="1:6" x14ac:dyDescent="0.25">
      <c r="A47566" s="1" t="str">
        <f t="shared" si="1547"/>
        <v>99999</v>
      </c>
      <c r="B47566" s="1" t="str">
        <f>"49716"</f>
        <v>49716</v>
      </c>
      <c r="C47566" s="2">
        <v>6.7987839270685296E-5</v>
      </c>
      <c r="D47566" s="2">
        <v>2.4091342324423E-5</v>
      </c>
      <c r="E47566" s="2">
        <v>1.29031703089449E-5</v>
      </c>
      <c r="F47566" s="2">
        <v>6.3847092233686997E-5</v>
      </c>
    </row>
    <row r="47567" spans="1:6" x14ac:dyDescent="0.25">
      <c r="A47567" s="1" t="str">
        <f t="shared" si="1547"/>
        <v>99999</v>
      </c>
      <c r="B47567" s="1" t="str">
        <f>"49740"</f>
        <v>49740</v>
      </c>
      <c r="C47567" s="2">
        <v>7.1798622618341596E-4</v>
      </c>
      <c r="D47567" s="2">
        <v>9.9527357977772699E-4</v>
      </c>
      <c r="E47567" s="2">
        <v>7.0537331022232095E-4</v>
      </c>
      <c r="F47567" s="2">
        <v>7.3586980956198505E-4</v>
      </c>
    </row>
    <row r="47568" spans="1:6" x14ac:dyDescent="0.25">
      <c r="A47568" s="1" t="str">
        <f t="shared" si="1547"/>
        <v>99999</v>
      </c>
      <c r="B47568" s="1" t="str">
        <f>"49727"</f>
        <v>49727</v>
      </c>
      <c r="C47568" s="2">
        <v>4.4051356368219501E-4</v>
      </c>
      <c r="D47568" s="2">
        <v>9.1848242611862802E-5</v>
      </c>
      <c r="E47568" s="2">
        <v>1.7634332755557999E-4</v>
      </c>
      <c r="F47568" s="2">
        <v>4.11601579144835E-4</v>
      </c>
    </row>
    <row r="47569" spans="1:6" x14ac:dyDescent="0.25">
      <c r="A47569" s="1" t="str">
        <f t="shared" si="1547"/>
        <v>99999</v>
      </c>
      <c r="B47569" s="1" t="str">
        <f>"49770"</f>
        <v>49770</v>
      </c>
      <c r="C47569" s="2">
        <v>1.17030022693647E-3</v>
      </c>
      <c r="D47569" s="2">
        <v>2.4934539305777798E-3</v>
      </c>
      <c r="E47569" s="2">
        <v>2.41289284777269E-3</v>
      </c>
      <c r="F47569" s="2">
        <v>1.2855271569215401E-3</v>
      </c>
    </row>
    <row r="47570" spans="1:6" x14ac:dyDescent="0.25">
      <c r="A47570" s="1" t="str">
        <f t="shared" si="1547"/>
        <v>99999</v>
      </c>
      <c r="B47570" s="1" t="str">
        <f>"49776"</f>
        <v>49776</v>
      </c>
      <c r="C47570" s="2">
        <v>9.1263930740744794E-5</v>
      </c>
      <c r="D47570" s="2">
        <v>7.3779735868545501E-5</v>
      </c>
      <c r="E47570" s="2">
        <v>6.0214794775076199E-5</v>
      </c>
      <c r="F47570" s="2">
        <v>8.9405665477156794E-5</v>
      </c>
    </row>
    <row r="47571" spans="1:6" x14ac:dyDescent="0.25">
      <c r="A47571" s="1" t="str">
        <f t="shared" si="1547"/>
        <v>99999</v>
      </c>
      <c r="B47571" s="1" t="str">
        <f>"49656"</f>
        <v>49656</v>
      </c>
      <c r="C47571" s="2">
        <v>1.09451760354558E-4</v>
      </c>
      <c r="D47571" s="2">
        <v>1.9574215638593701E-5</v>
      </c>
      <c r="E47571" s="2">
        <v>4.3010567696482999E-6</v>
      </c>
      <c r="F47571" s="2">
        <v>1.01148793724156E-4</v>
      </c>
    </row>
    <row r="47572" spans="1:6" x14ac:dyDescent="0.25">
      <c r="A47572" s="1" t="str">
        <f t="shared" si="1547"/>
        <v>99999</v>
      </c>
      <c r="B47572" s="1" t="str">
        <f>"49718"</f>
        <v>49718</v>
      </c>
      <c r="C47572" s="2">
        <v>5.672870665261E-5</v>
      </c>
      <c r="D47572" s="2">
        <v>4.0654140172463799E-5</v>
      </c>
      <c r="E47572" s="2">
        <v>0</v>
      </c>
      <c r="F47572" s="2">
        <v>5.4373644236107498E-5</v>
      </c>
    </row>
    <row r="47573" spans="1:6" x14ac:dyDescent="0.25">
      <c r="A47573" s="1" t="str">
        <f t="shared" si="1547"/>
        <v>99999</v>
      </c>
      <c r="B47573" s="1" t="str">
        <f>"49743"</f>
        <v>49743</v>
      </c>
      <c r="C47573" s="2">
        <v>6.3549142757790206E-5</v>
      </c>
      <c r="D47573" s="2">
        <v>1.50570889527644E-5</v>
      </c>
      <c r="E47573" s="2">
        <v>0</v>
      </c>
      <c r="F47573" s="2">
        <v>5.8913004734947701E-5</v>
      </c>
    </row>
    <row r="47574" spans="1:6" x14ac:dyDescent="0.25">
      <c r="A47574" s="1" t="str">
        <f t="shared" si="1547"/>
        <v>99999</v>
      </c>
      <c r="B47574" s="1" t="str">
        <f>"49733"</f>
        <v>49733</v>
      </c>
      <c r="C47574" s="2">
        <v>1.2504132859497E-4</v>
      </c>
      <c r="D47574" s="2">
        <v>5.8722646915781101E-5</v>
      </c>
      <c r="E47574" s="2">
        <v>2.58063406178898E-5</v>
      </c>
      <c r="F47574" s="2">
        <v>1.1841809996974399E-4</v>
      </c>
    </row>
    <row r="47575" spans="1:6" x14ac:dyDescent="0.25">
      <c r="A47575" s="1" t="str">
        <f t="shared" si="1547"/>
        <v>99999</v>
      </c>
      <c r="B47575" s="1" t="str">
        <f>"49665"</f>
        <v>49665</v>
      </c>
      <c r="C47575" s="2">
        <v>2.21934825644753E-4</v>
      </c>
      <c r="D47575" s="2">
        <v>7.0768318077992694E-5</v>
      </c>
      <c r="E47575" s="2">
        <v>2.58063406178898E-5</v>
      </c>
      <c r="F47575" s="2">
        <v>2.07527720196976E-4</v>
      </c>
    </row>
    <row r="47576" spans="1:6" x14ac:dyDescent="0.25">
      <c r="A47576" s="1" t="str">
        <f t="shared" si="1547"/>
        <v>99999</v>
      </c>
      <c r="B47576" s="1" t="str">
        <f>"49449"</f>
        <v>49449</v>
      </c>
      <c r="C47576" s="2">
        <v>1.7668177339133501E-4</v>
      </c>
      <c r="D47576" s="2">
        <v>5.1194102439398901E-5</v>
      </c>
      <c r="E47576" s="2">
        <v>5.1612681235779599E-5</v>
      </c>
      <c r="F47576" s="2">
        <v>1.6558797645769199E-4</v>
      </c>
    </row>
    <row r="47577" spans="1:6" x14ac:dyDescent="0.25">
      <c r="A47577" s="1" t="str">
        <f t="shared" si="1547"/>
        <v>99999</v>
      </c>
      <c r="B47577" s="1" t="str">
        <f>"36473"</f>
        <v>36473</v>
      </c>
      <c r="C47577" s="2">
        <v>1.2883045976451501E-5</v>
      </c>
      <c r="D47577" s="2">
        <v>1.50570889527644E-6</v>
      </c>
      <c r="E47577" s="2">
        <v>8.6021135392965999E-6</v>
      </c>
      <c r="F47577" s="2">
        <v>1.2039173496923901E-5</v>
      </c>
    </row>
    <row r="47578" spans="1:6" x14ac:dyDescent="0.25">
      <c r="A47578" s="1" t="str">
        <f t="shared" si="1547"/>
        <v>99999</v>
      </c>
      <c r="B47578" s="1" t="str">
        <f>"36273"</f>
        <v>36273</v>
      </c>
      <c r="C47578" s="2">
        <v>1.63149162071533E-4</v>
      </c>
      <c r="D47578" s="2">
        <v>1.58099434004026E-4</v>
      </c>
      <c r="E47578" s="2">
        <v>5.5913738005427899E-5</v>
      </c>
      <c r="F47578" s="2">
        <v>1.6035784370902801E-4</v>
      </c>
    </row>
    <row r="47579" spans="1:6" x14ac:dyDescent="0.25">
      <c r="A47579" s="1" t="str">
        <f t="shared" si="1547"/>
        <v>99999</v>
      </c>
      <c r="B47579" s="1" t="str">
        <f>"37101"</f>
        <v>37101</v>
      </c>
      <c r="C47579" s="2">
        <v>3.4037223991566001E-4</v>
      </c>
      <c r="D47579" s="2">
        <v>2.31879169872571E-4</v>
      </c>
      <c r="E47579" s="2">
        <v>1.2473064631979999E-4</v>
      </c>
      <c r="F47579" s="2">
        <v>3.28314182166115E-4</v>
      </c>
    </row>
    <row r="47580" spans="1:6" x14ac:dyDescent="0.25">
      <c r="A47580" s="1" t="str">
        <f t="shared" si="1547"/>
        <v>99999</v>
      </c>
      <c r="B47580" s="1" t="str">
        <f>"36866"</f>
        <v>36866</v>
      </c>
      <c r="C47580" s="2">
        <v>1.7603220804798399E-4</v>
      </c>
      <c r="D47580" s="2">
        <v>4.9688393544122498E-5</v>
      </c>
      <c r="E47580" s="2">
        <v>7.3117965084021106E-5</v>
      </c>
      <c r="F47580" s="2">
        <v>1.65390612957742E-4</v>
      </c>
    </row>
    <row r="47581" spans="1:6" x14ac:dyDescent="0.25">
      <c r="A47581" s="1" t="str">
        <f t="shared" si="1547"/>
        <v>99999</v>
      </c>
      <c r="B47581" s="1" t="str">
        <f>"36732"</f>
        <v>36732</v>
      </c>
      <c r="C47581" s="2">
        <v>4.6931096057073397E-4</v>
      </c>
      <c r="D47581" s="2">
        <v>1.23016416744085E-3</v>
      </c>
      <c r="E47581" s="2">
        <v>5.0752469881849903E-4</v>
      </c>
      <c r="F47581" s="2">
        <v>5.2005282236712602E-4</v>
      </c>
    </row>
    <row r="47582" spans="1:6" x14ac:dyDescent="0.25">
      <c r="A47582" s="1" t="str">
        <f t="shared" si="1547"/>
        <v>99999</v>
      </c>
      <c r="B47582" s="1" t="str">
        <f>"36748"</f>
        <v>36748</v>
      </c>
      <c r="C47582" s="2">
        <v>2.38173959228515E-4</v>
      </c>
      <c r="D47582" s="2">
        <v>3.3878450143719901E-4</v>
      </c>
      <c r="E47582" s="2">
        <v>2.5806340617889802E-4</v>
      </c>
      <c r="F47582" s="2">
        <v>2.4522414868734498E-4</v>
      </c>
    </row>
    <row r="47583" spans="1:6" x14ac:dyDescent="0.25">
      <c r="A47583" s="1" t="str">
        <f t="shared" si="1547"/>
        <v>99999</v>
      </c>
      <c r="B47583" s="1" t="str">
        <f>"36754"</f>
        <v>36754</v>
      </c>
      <c r="C47583" s="2">
        <v>1.9162177628839599E-5</v>
      </c>
      <c r="D47583" s="2">
        <v>3.01141779055288E-6</v>
      </c>
      <c r="E47583" s="2">
        <v>8.6021135392965999E-6</v>
      </c>
      <c r="F47583" s="2">
        <v>1.7861396745436401E-5</v>
      </c>
    </row>
    <row r="47584" spans="1:6" x14ac:dyDescent="0.25">
      <c r="A47584" s="1" t="str">
        <f t="shared" si="1547"/>
        <v>99999</v>
      </c>
      <c r="B47584" s="1" t="str">
        <f>"36756"</f>
        <v>36756</v>
      </c>
      <c r="C47584" s="2">
        <v>4.46359651772349E-4</v>
      </c>
      <c r="D47584" s="2">
        <v>4.9387251765067202E-4</v>
      </c>
      <c r="E47584" s="2">
        <v>2.5806340617889802E-4</v>
      </c>
      <c r="F47584" s="2">
        <v>4.4515337413626298E-4</v>
      </c>
    </row>
    <row r="47585" spans="1:6" x14ac:dyDescent="0.25">
      <c r="A47585" s="1" t="str">
        <f t="shared" si="1547"/>
        <v>99999</v>
      </c>
      <c r="B47585" s="1" t="str">
        <f>"36738"</f>
        <v>36738</v>
      </c>
      <c r="C47585" s="2">
        <v>3.2153484495849597E-5</v>
      </c>
      <c r="D47585" s="2">
        <v>9.0342533716586405E-6</v>
      </c>
      <c r="E47585" s="2">
        <v>4.3010567696482999E-6</v>
      </c>
      <c r="F47585" s="2">
        <v>2.9999251992335099E-5</v>
      </c>
    </row>
    <row r="47586" spans="1:6" x14ac:dyDescent="0.25">
      <c r="A47586" s="1" t="str">
        <f t="shared" si="1547"/>
        <v>99999</v>
      </c>
      <c r="B47586" s="1" t="str">
        <f>"36029"</f>
        <v>36029</v>
      </c>
      <c r="C47586" s="2">
        <v>6.2574794742764506E-5</v>
      </c>
      <c r="D47586" s="2">
        <v>1.20456711622115E-5</v>
      </c>
      <c r="E47586" s="2">
        <v>2.15052838482415E-5</v>
      </c>
      <c r="F47586" s="2">
        <v>5.8320914235099E-5</v>
      </c>
    </row>
    <row r="47587" spans="1:6" x14ac:dyDescent="0.25">
      <c r="A47587" s="1" t="str">
        <f t="shared" si="1547"/>
        <v>99999</v>
      </c>
      <c r="B47587" s="1" t="str">
        <f>"36033"</f>
        <v>36033</v>
      </c>
      <c r="C47587" s="2">
        <v>2.6567222543035299E-4</v>
      </c>
      <c r="D47587" s="2">
        <v>1.2798525609849701E-4</v>
      </c>
      <c r="E47587" s="2">
        <v>1.6602079130842401E-3</v>
      </c>
      <c r="F47587" s="2">
        <v>2.8864411867625102E-4</v>
      </c>
    </row>
    <row r="47588" spans="1:6" x14ac:dyDescent="0.25">
      <c r="A47588" s="1" t="str">
        <f t="shared" si="1547"/>
        <v>99999</v>
      </c>
      <c r="B47588" s="1" t="str">
        <f>"36041"</f>
        <v>36041</v>
      </c>
      <c r="C47588" s="2">
        <v>9.9058714860950694E-5</v>
      </c>
      <c r="D47588" s="2">
        <v>6.6251191392163294E-5</v>
      </c>
      <c r="E47588" s="2">
        <v>1.29031703089449E-5</v>
      </c>
      <c r="F47588" s="2">
        <v>9.49318434757449E-5</v>
      </c>
    </row>
    <row r="47589" spans="1:6" x14ac:dyDescent="0.25">
      <c r="A47589" s="1" t="str">
        <f t="shared" si="1547"/>
        <v>99999</v>
      </c>
      <c r="B47589" s="1" t="str">
        <f>"35960"</f>
        <v>35960</v>
      </c>
      <c r="C47589" s="2">
        <v>6.2661403455211199E-4</v>
      </c>
      <c r="D47589" s="2">
        <v>9.8473361751079207E-4</v>
      </c>
      <c r="E47589" s="2">
        <v>4.7741730143096097E-4</v>
      </c>
      <c r="F47589" s="2">
        <v>6.4666150758477703E-4</v>
      </c>
    </row>
    <row r="47590" spans="1:6" x14ac:dyDescent="0.25">
      <c r="A47590" s="1" t="str">
        <f t="shared" si="1547"/>
        <v>99999</v>
      </c>
      <c r="B47590" s="1" t="str">
        <f>"37756"</f>
        <v>37756</v>
      </c>
      <c r="C47590" s="2">
        <v>1.5156524678178201E-4</v>
      </c>
      <c r="D47590" s="2">
        <v>1.97247865281213E-4</v>
      </c>
      <c r="E47590" s="2">
        <v>7.7419021853669399E-5</v>
      </c>
      <c r="F47590" s="2">
        <v>1.5285803071094401E-4</v>
      </c>
    </row>
    <row r="47591" spans="1:6" x14ac:dyDescent="0.25">
      <c r="A47591" s="1" t="str">
        <f t="shared" si="1547"/>
        <v>99999</v>
      </c>
      <c r="B47591" s="1" t="str">
        <f>"37825"</f>
        <v>37825</v>
      </c>
      <c r="C47591" s="2">
        <v>5.3101966818903099E-4</v>
      </c>
      <c r="D47591" s="2">
        <v>4.8333255538373699E-4</v>
      </c>
      <c r="E47591" s="2">
        <v>4.51610960813071E-4</v>
      </c>
      <c r="F47591" s="2">
        <v>5.2607240911558802E-4</v>
      </c>
    </row>
    <row r="47592" spans="1:6" x14ac:dyDescent="0.25">
      <c r="A47592" s="1" t="str">
        <f t="shared" si="1547"/>
        <v>99999</v>
      </c>
      <c r="B47592" s="1" t="str">
        <f>"37826"</f>
        <v>37826</v>
      </c>
      <c r="C47592" s="2">
        <v>3.6808702789861401E-6</v>
      </c>
      <c r="D47592" s="2">
        <v>0</v>
      </c>
      <c r="E47592" s="2">
        <v>0</v>
      </c>
      <c r="F47592" s="2">
        <v>3.35517949914275E-6</v>
      </c>
    </row>
    <row r="47593" spans="1:6" x14ac:dyDescent="0.25">
      <c r="A47593" s="1" t="str">
        <f t="shared" si="1547"/>
        <v>99999</v>
      </c>
      <c r="B47593" s="1" t="str">
        <f>"38320"</f>
        <v>38320</v>
      </c>
      <c r="C47593" s="2">
        <v>6.5703534479902704E-4</v>
      </c>
      <c r="D47593" s="2">
        <v>8.9137966600365205E-4</v>
      </c>
      <c r="E47593" s="2">
        <v>3.1827820095397402E-4</v>
      </c>
      <c r="F47593" s="2">
        <v>6.6462158608018905E-4</v>
      </c>
    </row>
    <row r="47594" spans="1:6" x14ac:dyDescent="0.25">
      <c r="A47594" s="1" t="str">
        <f t="shared" si="1547"/>
        <v>99999</v>
      </c>
      <c r="B47594" s="1" t="str">
        <f>"38380"</f>
        <v>38380</v>
      </c>
      <c r="C47594" s="2">
        <v>6.0842620493829797E-5</v>
      </c>
      <c r="D47594" s="2">
        <v>2.55970512196994E-5</v>
      </c>
      <c r="E47594" s="2">
        <v>0</v>
      </c>
      <c r="F47594" s="2">
        <v>5.7136733235401503E-5</v>
      </c>
    </row>
    <row r="47595" spans="1:6" x14ac:dyDescent="0.25">
      <c r="A47595" s="1" t="str">
        <f t="shared" si="1547"/>
        <v>99999</v>
      </c>
      <c r="B47595" s="1" t="str">
        <f>"38367"</f>
        <v>38367</v>
      </c>
      <c r="C47595" s="2">
        <v>1.5004959431396401E-4</v>
      </c>
      <c r="D47595" s="2">
        <v>7.9802571449651304E-5</v>
      </c>
      <c r="E47595" s="2">
        <v>0</v>
      </c>
      <c r="F47595" s="2">
        <v>1.42003038213718E-4</v>
      </c>
    </row>
    <row r="47596" spans="1:6" x14ac:dyDescent="0.25">
      <c r="A47596" s="1" t="str">
        <f t="shared" si="1547"/>
        <v>99999</v>
      </c>
      <c r="B47596" s="1" t="str">
        <f>"38063"</f>
        <v>38063</v>
      </c>
      <c r="C47596" s="2">
        <v>8.2213320290061196E-4</v>
      </c>
      <c r="D47596" s="2">
        <v>1.0012964153588301E-3</v>
      </c>
      <c r="E47596" s="2">
        <v>1.3720371095178E-3</v>
      </c>
      <c r="F47596" s="2">
        <v>8.4649205128372099E-4</v>
      </c>
    </row>
    <row r="47597" spans="1:6" x14ac:dyDescent="0.25">
      <c r="A47597" s="1" t="str">
        <f t="shared" si="1547"/>
        <v>99999</v>
      </c>
      <c r="B47597" s="1" t="str">
        <f>"38221"</f>
        <v>38221</v>
      </c>
      <c r="C47597" s="2">
        <v>2.1435656330566399E-4</v>
      </c>
      <c r="D47597" s="2">
        <v>7.6791153659098402E-5</v>
      </c>
      <c r="E47597" s="2">
        <v>4.3010567696482999E-6</v>
      </c>
      <c r="F47597" s="2">
        <v>2.0052131594876601E-4</v>
      </c>
    </row>
    <row r="47598" spans="1:6" x14ac:dyDescent="0.25">
      <c r="A47598" s="1" t="str">
        <f t="shared" si="1547"/>
        <v>99999</v>
      </c>
      <c r="B47598" s="1" t="str">
        <f>"37892"</f>
        <v>37892</v>
      </c>
      <c r="C47598" s="2">
        <v>9.6027409925315095E-5</v>
      </c>
      <c r="D47598" s="2">
        <v>5.1194102439398901E-5</v>
      </c>
      <c r="E47598" s="2">
        <v>8.6021135392965999E-6</v>
      </c>
      <c r="F47598" s="2">
        <v>9.1083255226728202E-5</v>
      </c>
    </row>
    <row r="47599" spans="1:6" x14ac:dyDescent="0.25">
      <c r="A47599" s="1" t="str">
        <f t="shared" si="1547"/>
        <v>99999</v>
      </c>
      <c r="B47599" s="1" t="str">
        <f>"37322"</f>
        <v>37322</v>
      </c>
      <c r="C47599" s="2">
        <v>4.8609139860728798E-4</v>
      </c>
      <c r="D47599" s="2">
        <v>2.7855614562614098E-4</v>
      </c>
      <c r="E47599" s="2">
        <v>2.6666551971819401E-4</v>
      </c>
      <c r="F47599" s="2">
        <v>4.6745544963056502E-4</v>
      </c>
    </row>
    <row r="47600" spans="1:6" x14ac:dyDescent="0.25">
      <c r="A47600" s="1" t="str">
        <f t="shared" si="1547"/>
        <v>99999</v>
      </c>
      <c r="B47600" s="1" t="str">
        <f>"37336"</f>
        <v>37336</v>
      </c>
      <c r="C47600" s="2">
        <v>7.6107406062566501E-5</v>
      </c>
      <c r="D47600" s="2">
        <v>2.8608469010252301E-5</v>
      </c>
      <c r="E47600" s="2">
        <v>1.72042270785932E-5</v>
      </c>
      <c r="F47600" s="2">
        <v>7.1642950481695197E-5</v>
      </c>
    </row>
    <row r="47601" spans="1:6" x14ac:dyDescent="0.25">
      <c r="A47601" s="1" t="str">
        <f t="shared" si="1547"/>
        <v>99999</v>
      </c>
      <c r="B47601" s="1" t="str">
        <f>"37313"</f>
        <v>37313</v>
      </c>
      <c r="C47601" s="2">
        <v>5.1532183905806003E-5</v>
      </c>
      <c r="D47601" s="2">
        <v>4.2159849067740298E-5</v>
      </c>
      <c r="E47601" s="2">
        <v>2.58063406178898E-5</v>
      </c>
      <c r="F47601" s="2">
        <v>5.0327692487141198E-5</v>
      </c>
    </row>
    <row r="47602" spans="1:6" x14ac:dyDescent="0.25">
      <c r="A47602" s="1" t="str">
        <f t="shared" si="1547"/>
        <v>99999</v>
      </c>
      <c r="B47602" s="1" t="str">
        <f>"37385"</f>
        <v>37385</v>
      </c>
      <c r="C47602" s="2">
        <v>5.0925922918678898E-4</v>
      </c>
      <c r="D47602" s="2">
        <v>2.95118943474182E-4</v>
      </c>
      <c r="E47602" s="2">
        <v>1.37633816628745E-4</v>
      </c>
      <c r="F47602" s="2">
        <v>4.8669839087564802E-4</v>
      </c>
    </row>
    <row r="47603" spans="1:6" x14ac:dyDescent="0.25">
      <c r="A47603" s="1" t="str">
        <f t="shared" si="1547"/>
        <v>99999</v>
      </c>
      <c r="B47603" s="1" t="str">
        <f>"37338"</f>
        <v>37338</v>
      </c>
      <c r="C47603" s="2">
        <v>5.7161750214843702E-5</v>
      </c>
      <c r="D47603" s="2">
        <v>1.0539962266935E-5</v>
      </c>
      <c r="E47603" s="2">
        <v>0</v>
      </c>
      <c r="F47603" s="2">
        <v>5.2794736236510901E-5</v>
      </c>
    </row>
    <row r="47604" spans="1:6" x14ac:dyDescent="0.25">
      <c r="A47604" s="1" t="str">
        <f t="shared" si="1547"/>
        <v>99999</v>
      </c>
      <c r="B47604" s="1" t="str">
        <f>"37301"</f>
        <v>37301</v>
      </c>
      <c r="C47604" s="2">
        <v>7.2534796674138803E-5</v>
      </c>
      <c r="D47604" s="2">
        <v>2.4091342324423E-5</v>
      </c>
      <c r="E47604" s="2">
        <v>0</v>
      </c>
      <c r="F47604" s="2">
        <v>6.7695680482703695E-5</v>
      </c>
    </row>
    <row r="47605" spans="1:6" x14ac:dyDescent="0.25">
      <c r="A47605" s="1" t="str">
        <f t="shared" si="1547"/>
        <v>99999</v>
      </c>
      <c r="B47605" s="1" t="str">
        <f>"37175"</f>
        <v>37175</v>
      </c>
      <c r="C47605" s="2">
        <v>5.8677402682661502E-5</v>
      </c>
      <c r="D47605" s="2">
        <v>1.20456711622115E-5</v>
      </c>
      <c r="E47605" s="2">
        <v>4.3010567696482999E-6</v>
      </c>
      <c r="F47605" s="2">
        <v>5.4373644236107498E-5</v>
      </c>
    </row>
    <row r="47606" spans="1:6" x14ac:dyDescent="0.25">
      <c r="A47606" s="1" t="str">
        <f t="shared" si="1547"/>
        <v>99999</v>
      </c>
      <c r="B47606" s="1" t="str">
        <f>"39153"</f>
        <v>39153</v>
      </c>
      <c r="C47606" s="2">
        <v>1.7181003331620599E-4</v>
      </c>
      <c r="D47606" s="2">
        <v>6.9262609182716196E-5</v>
      </c>
      <c r="E47606" s="2">
        <v>1.72042270785932E-5</v>
      </c>
      <c r="F47606" s="2">
        <v>1.6154202470872601E-4</v>
      </c>
    </row>
    <row r="47607" spans="1:6" x14ac:dyDescent="0.25">
      <c r="A47607" s="1" t="str">
        <f t="shared" si="1547"/>
        <v>99999</v>
      </c>
      <c r="B47607" s="1" t="str">
        <f>"39150"</f>
        <v>39150</v>
      </c>
      <c r="C47607" s="2">
        <v>3.1991093160011901E-4</v>
      </c>
      <c r="D47607" s="2">
        <v>3.6287584376162201E-4</v>
      </c>
      <c r="E47607" s="2">
        <v>1.8494544109487701E-4</v>
      </c>
      <c r="F47607" s="2">
        <v>3.19630188168334E-4</v>
      </c>
    </row>
    <row r="47608" spans="1:6" x14ac:dyDescent="0.25">
      <c r="A47608" s="1" t="str">
        <f t="shared" si="1547"/>
        <v>99999</v>
      </c>
      <c r="B47608" s="1" t="str">
        <f>"38922"</f>
        <v>38922</v>
      </c>
      <c r="C47608" s="2">
        <v>1.8967308025834501E-4</v>
      </c>
      <c r="D47608" s="2">
        <v>1.6713368737568399E-4</v>
      </c>
      <c r="E47608" s="2">
        <v>1.72042270785932E-5</v>
      </c>
      <c r="F47608" s="2">
        <v>1.8423882720292601E-4</v>
      </c>
    </row>
    <row r="47609" spans="1:6" x14ac:dyDescent="0.25">
      <c r="A47609" s="1" t="str">
        <f t="shared" si="1547"/>
        <v>99999</v>
      </c>
      <c r="B47609" s="1" t="str">
        <f>"39090"</f>
        <v>39090</v>
      </c>
      <c r="C47609" s="2">
        <v>7.1625405193448096E-4</v>
      </c>
      <c r="D47609" s="2">
        <v>9.8172219972023902E-4</v>
      </c>
      <c r="E47609" s="2">
        <v>2.3655812233065599E-4</v>
      </c>
      <c r="F47609" s="2">
        <v>7.2264645506536296E-4</v>
      </c>
    </row>
    <row r="47610" spans="1:6" x14ac:dyDescent="0.25">
      <c r="A47610" s="1" t="str">
        <f t="shared" si="1547"/>
        <v>99999</v>
      </c>
      <c r="B47610" s="1" t="str">
        <f>"39645"</f>
        <v>39645</v>
      </c>
      <c r="C47610" s="2">
        <v>3.18828322694535E-4</v>
      </c>
      <c r="D47610" s="2">
        <v>1.1142245825045601E-4</v>
      </c>
      <c r="E47610" s="2">
        <v>1.72042270785932E-5</v>
      </c>
      <c r="F47610" s="2">
        <v>2.9831493017378E-4</v>
      </c>
    </row>
    <row r="47611" spans="1:6" x14ac:dyDescent="0.25">
      <c r="A47611" s="1" t="str">
        <f t="shared" si="1547"/>
        <v>99999</v>
      </c>
      <c r="B47611" s="1" t="str">
        <f>"39633"</f>
        <v>39633</v>
      </c>
      <c r="C47611" s="2">
        <v>6.8312621942360601E-5</v>
      </c>
      <c r="D47611" s="2">
        <v>2.1079924533870101E-5</v>
      </c>
      <c r="E47611" s="2">
        <v>8.6021135392965999E-6</v>
      </c>
      <c r="F47611" s="2">
        <v>6.3847092233686997E-5</v>
      </c>
    </row>
    <row r="47612" spans="1:6" x14ac:dyDescent="0.25">
      <c r="A47612" s="1" t="str">
        <f t="shared" si="1547"/>
        <v>99999</v>
      </c>
      <c r="B47612" s="1" t="str">
        <f>"39730"</f>
        <v>39730</v>
      </c>
      <c r="C47612" s="2">
        <v>6.2001012022804903E-4</v>
      </c>
      <c r="D47612" s="2">
        <v>8.9589679268948196E-4</v>
      </c>
      <c r="E47612" s="2">
        <v>2.5806340617889802E-4</v>
      </c>
      <c r="F47612" s="2">
        <v>6.29786928339089E-4</v>
      </c>
    </row>
    <row r="47613" spans="1:6" x14ac:dyDescent="0.25">
      <c r="A47613" s="1" t="str">
        <f t="shared" si="1547"/>
        <v>99999</v>
      </c>
      <c r="B47613" s="1" t="str">
        <f>"39752"</f>
        <v>39752</v>
      </c>
      <c r="C47613" s="2">
        <v>5.9110446244895197E-5</v>
      </c>
      <c r="D47613" s="2">
        <v>2.4091342324423E-5</v>
      </c>
      <c r="E47613" s="2">
        <v>0</v>
      </c>
      <c r="F47613" s="2">
        <v>5.5459143485830102E-5</v>
      </c>
    </row>
    <row r="47614" spans="1:6" x14ac:dyDescent="0.25">
      <c r="A47614" s="1" t="str">
        <f t="shared" si="1547"/>
        <v>99999</v>
      </c>
      <c r="B47614" s="1" t="str">
        <f>"40143"</f>
        <v>40143</v>
      </c>
      <c r="C47614" s="2">
        <v>2.7888005407847999E-4</v>
      </c>
      <c r="D47614" s="2">
        <v>3.55347299285239E-4</v>
      </c>
      <c r="E47614" s="2">
        <v>1.0451567950245299E-3</v>
      </c>
      <c r="F47614" s="2">
        <v>3.0147274617297302E-4</v>
      </c>
    </row>
    <row r="47615" spans="1:6" x14ac:dyDescent="0.25">
      <c r="A47615" s="1" t="str">
        <f t="shared" si="1547"/>
        <v>99999</v>
      </c>
      <c r="B47615" s="1" t="str">
        <f>"39745"</f>
        <v>39745</v>
      </c>
      <c r="C47615" s="2">
        <v>4.8500878970170397E-5</v>
      </c>
      <c r="D47615" s="2">
        <v>2.25856334291466E-5</v>
      </c>
      <c r="E47615" s="2">
        <v>8.6021135392965999E-6</v>
      </c>
      <c r="F47615" s="2">
        <v>4.5887013738275799E-5</v>
      </c>
    </row>
    <row r="47616" spans="1:6" x14ac:dyDescent="0.25">
      <c r="A47616" s="1" t="str">
        <f t="shared" si="1547"/>
        <v>99999</v>
      </c>
      <c r="B47616" s="1" t="str">
        <f>"40140"</f>
        <v>40140</v>
      </c>
      <c r="C47616" s="2">
        <v>3.7241746352095101E-5</v>
      </c>
      <c r="D47616" s="2">
        <v>1.50570889527644E-6</v>
      </c>
      <c r="E47616" s="2">
        <v>1.41934873398393E-4</v>
      </c>
      <c r="F47616" s="2">
        <v>3.7301701490469398E-5</v>
      </c>
    </row>
    <row r="47617" spans="1:6" x14ac:dyDescent="0.25">
      <c r="A47617" s="1" t="str">
        <f t="shared" si="1547"/>
        <v>99999</v>
      </c>
      <c r="B47617" s="1" t="str">
        <f>"39367"</f>
        <v>39367</v>
      </c>
      <c r="C47617" s="2">
        <v>8.6110712350164203E-4</v>
      </c>
      <c r="D47617" s="2">
        <v>1.09615607576124E-3</v>
      </c>
      <c r="E47617" s="2">
        <v>3.7419193895940199E-4</v>
      </c>
      <c r="F47617" s="2">
        <v>8.6534026552890499E-4</v>
      </c>
    </row>
    <row r="47618" spans="1:6" x14ac:dyDescent="0.25">
      <c r="A47618" s="1" t="str">
        <f t="shared" si="1547"/>
        <v>99999</v>
      </c>
      <c r="B47618" s="1" t="str">
        <f>"38658"</f>
        <v>38658</v>
      </c>
      <c r="C47618" s="2">
        <v>1.2644872017222999E-4</v>
      </c>
      <c r="D47618" s="2">
        <v>4.0654140172463799E-5</v>
      </c>
      <c r="E47618" s="2">
        <v>8.6021135392965999E-6</v>
      </c>
      <c r="F47618" s="2">
        <v>1.18122054719819E-4</v>
      </c>
    </row>
    <row r="47619" spans="1:6" x14ac:dyDescent="0.25">
      <c r="A47619" s="1" t="str">
        <f t="shared" si="1547"/>
        <v>99999</v>
      </c>
      <c r="B47619" s="1" t="str">
        <f>"38754"</f>
        <v>38754</v>
      </c>
      <c r="C47619" s="2">
        <v>7.5241318938099204E-5</v>
      </c>
      <c r="D47619" s="2">
        <v>4.0654140172463799E-5</v>
      </c>
      <c r="E47619" s="2">
        <v>6.0214794775076199E-5</v>
      </c>
      <c r="F47619" s="2">
        <v>7.2629767981443005E-5</v>
      </c>
    </row>
    <row r="47620" spans="1:6" x14ac:dyDescent="0.25">
      <c r="A47620" s="1" t="str">
        <f t="shared" si="1547"/>
        <v>99999</v>
      </c>
      <c r="B47620" s="1" t="str">
        <f>"36925"</f>
        <v>36925</v>
      </c>
      <c r="C47620" s="2">
        <v>2.0439656137428901E-4</v>
      </c>
      <c r="D47620" s="2">
        <v>2.4994767661588901E-4</v>
      </c>
      <c r="E47620" s="2">
        <v>1.8924649786452501E-4</v>
      </c>
      <c r="F47620" s="2">
        <v>2.0703431144710201E-4</v>
      </c>
    </row>
    <row r="47621" spans="1:6" x14ac:dyDescent="0.25">
      <c r="A47621" s="1" t="str">
        <f t="shared" si="1547"/>
        <v>99999</v>
      </c>
      <c r="B47621" s="1" t="str">
        <f>"36904"</f>
        <v>36904</v>
      </c>
      <c r="C47621" s="2">
        <v>2.5051570075217502E-4</v>
      </c>
      <c r="D47621" s="2">
        <v>4.8784968206956603E-4</v>
      </c>
      <c r="E47621" s="2">
        <v>1.2042958955015201E-4</v>
      </c>
      <c r="F47621" s="2">
        <v>2.6308554543278101E-4</v>
      </c>
    </row>
    <row r="47622" spans="1:6" x14ac:dyDescent="0.25">
      <c r="A47622" s="1" t="str">
        <f t="shared" ref="A47622:A47685" si="1548">"99999"</f>
        <v>99999</v>
      </c>
      <c r="B47622" s="1" t="str">
        <f>"38543"</f>
        <v>38543</v>
      </c>
      <c r="C47622" s="2">
        <v>1.4831742006502999E-5</v>
      </c>
      <c r="D47622" s="2">
        <v>4.5171266858293203E-6</v>
      </c>
      <c r="E47622" s="2">
        <v>0</v>
      </c>
      <c r="F47622" s="2">
        <v>1.38154449964701E-5</v>
      </c>
    </row>
    <row r="47623" spans="1:6" x14ac:dyDescent="0.25">
      <c r="A47623" s="1" t="str">
        <f t="shared" si="1548"/>
        <v>99999</v>
      </c>
      <c r="B47623" s="1" t="str">
        <f>"36922"</f>
        <v>36922</v>
      </c>
      <c r="C47623" s="2">
        <v>4.6660443830677299E-5</v>
      </c>
      <c r="D47623" s="2">
        <v>7.5285444763821999E-6</v>
      </c>
      <c r="E47623" s="2">
        <v>0</v>
      </c>
      <c r="F47623" s="2">
        <v>4.3025242989006997E-5</v>
      </c>
    </row>
    <row r="47624" spans="1:6" x14ac:dyDescent="0.25">
      <c r="A47624" s="1" t="str">
        <f t="shared" si="1548"/>
        <v>99999</v>
      </c>
      <c r="B47624" s="1" t="str">
        <f>"38579"</f>
        <v>38579</v>
      </c>
      <c r="C47624" s="2">
        <v>6.4956534335049697E-5</v>
      </c>
      <c r="D47624" s="2">
        <v>1.0539962266935E-5</v>
      </c>
      <c r="E47624" s="2">
        <v>0</v>
      </c>
      <c r="F47624" s="2">
        <v>5.9899822234695502E-5</v>
      </c>
    </row>
    <row r="47625" spans="1:6" x14ac:dyDescent="0.25">
      <c r="A47625" s="1" t="str">
        <f t="shared" si="1548"/>
        <v>99999</v>
      </c>
      <c r="B47625" s="1" t="str">
        <f>"42170"</f>
        <v>42170</v>
      </c>
      <c r="C47625" s="2">
        <v>2.7173483530162401E-5</v>
      </c>
      <c r="D47625" s="2">
        <v>1.50570889527644E-5</v>
      </c>
      <c r="E47625" s="2">
        <v>4.3010567696482999E-6</v>
      </c>
      <c r="F47625" s="2">
        <v>2.5854618493394101E-5</v>
      </c>
    </row>
    <row r="47626" spans="1:6" x14ac:dyDescent="0.25">
      <c r="A47626" s="1" t="str">
        <f t="shared" si="1548"/>
        <v>99999</v>
      </c>
      <c r="B47626" s="1" t="str">
        <f>"42044"</f>
        <v>42044</v>
      </c>
      <c r="C47626" s="2">
        <v>2.62532659604159E-4</v>
      </c>
      <c r="D47626" s="2">
        <v>7.2274026973269097E-5</v>
      </c>
      <c r="E47626" s="2">
        <v>7.7419021853669399E-5</v>
      </c>
      <c r="F47626" s="2">
        <v>2.4581623918719299E-4</v>
      </c>
    </row>
    <row r="47627" spans="1:6" x14ac:dyDescent="0.25">
      <c r="A47627" s="1" t="str">
        <f t="shared" si="1548"/>
        <v>99999</v>
      </c>
      <c r="B47627" s="1" t="str">
        <f>"41501"</f>
        <v>41501</v>
      </c>
      <c r="C47627" s="2">
        <v>1.2171771925482699E-3</v>
      </c>
      <c r="D47627" s="2">
        <v>1.9498930193829901E-3</v>
      </c>
      <c r="E47627" s="2">
        <v>3.3892327344828598E-3</v>
      </c>
      <c r="F47627" s="2">
        <v>1.3150330001640001E-3</v>
      </c>
    </row>
    <row r="47628" spans="1:6" x14ac:dyDescent="0.25">
      <c r="A47628" s="1" t="str">
        <f t="shared" si="1548"/>
        <v>99999</v>
      </c>
      <c r="B47628" s="1" t="str">
        <f>"41745"</f>
        <v>41745</v>
      </c>
      <c r="C47628" s="2">
        <v>1.3857393991477199E-5</v>
      </c>
      <c r="D47628" s="2">
        <v>3.01141779055288E-6</v>
      </c>
      <c r="E47628" s="2">
        <v>4.3010567696482999E-6</v>
      </c>
      <c r="F47628" s="2">
        <v>1.2927309246696999E-5</v>
      </c>
    </row>
    <row r="47629" spans="1:6" x14ac:dyDescent="0.25">
      <c r="A47629" s="1" t="str">
        <f t="shared" si="1548"/>
        <v>99999</v>
      </c>
      <c r="B47629" s="1" t="str">
        <f>"42029"</f>
        <v>42029</v>
      </c>
      <c r="C47629" s="2">
        <v>3.2997919442205202E-4</v>
      </c>
      <c r="D47629" s="2">
        <v>3.1017603242694601E-4</v>
      </c>
      <c r="E47629" s="2">
        <v>1.8064438432522799E-4</v>
      </c>
      <c r="F47629" s="2">
        <v>3.25255047916897E-4</v>
      </c>
    </row>
    <row r="47630" spans="1:6" x14ac:dyDescent="0.25">
      <c r="A47630" s="1" t="str">
        <f t="shared" si="1548"/>
        <v>99999</v>
      </c>
      <c r="B47630" s="1" t="str">
        <f>"42021"</f>
        <v>42021</v>
      </c>
      <c r="C47630" s="2">
        <v>8.4010451073330899E-5</v>
      </c>
      <c r="D47630" s="2">
        <v>4.2159849067740298E-5</v>
      </c>
      <c r="E47630" s="2">
        <v>6.8816908314372799E-5</v>
      </c>
      <c r="F47630" s="2">
        <v>8.0919034979325103E-5</v>
      </c>
    </row>
    <row r="47631" spans="1:6" x14ac:dyDescent="0.25">
      <c r="A47631" s="1" t="str">
        <f t="shared" si="1548"/>
        <v>99999</v>
      </c>
      <c r="B47631" s="1" t="str">
        <f>"41640"</f>
        <v>41640</v>
      </c>
      <c r="C47631" s="2">
        <v>6.1167403165505096E-5</v>
      </c>
      <c r="D47631" s="2">
        <v>9.0342533716586405E-6</v>
      </c>
      <c r="E47631" s="2">
        <v>5.1612681235779599E-5</v>
      </c>
      <c r="F47631" s="2">
        <v>5.7531460235300698E-5</v>
      </c>
    </row>
    <row r="47632" spans="1:6" x14ac:dyDescent="0.25">
      <c r="A47632" s="1" t="str">
        <f t="shared" si="1548"/>
        <v>99999</v>
      </c>
      <c r="B47632" s="1" t="str">
        <f>"42055"</f>
        <v>42055</v>
      </c>
      <c r="C47632" s="2">
        <v>1.7202655509732299E-4</v>
      </c>
      <c r="D47632" s="2">
        <v>9.1848242611862802E-5</v>
      </c>
      <c r="E47632" s="2">
        <v>1.7634332755557999E-4</v>
      </c>
      <c r="F47632" s="2">
        <v>1.6687083920736401E-4</v>
      </c>
    </row>
    <row r="47633" spans="1:6" x14ac:dyDescent="0.25">
      <c r="A47633" s="1" t="str">
        <f t="shared" si="1548"/>
        <v>99999</v>
      </c>
      <c r="B47633" s="1" t="str">
        <f>"42031"</f>
        <v>42031</v>
      </c>
      <c r="C47633" s="2">
        <v>1.7430003379904999E-4</v>
      </c>
      <c r="D47633" s="2">
        <v>3.0565890574111697E-4</v>
      </c>
      <c r="E47633" s="2">
        <v>2.0645072494311799E-4</v>
      </c>
      <c r="F47633" s="2">
        <v>1.83646736703078E-4</v>
      </c>
    </row>
    <row r="47634" spans="1:6" x14ac:dyDescent="0.25">
      <c r="A47634" s="1" t="str">
        <f t="shared" si="1548"/>
        <v>99999</v>
      </c>
      <c r="B47634" s="1" t="str">
        <f>"41562"</f>
        <v>41562</v>
      </c>
      <c r="C47634" s="2">
        <v>1.24283502361061E-4</v>
      </c>
      <c r="D47634" s="2">
        <v>2.25856334291466E-5</v>
      </c>
      <c r="E47634" s="2">
        <v>4.3010567696482999E-5</v>
      </c>
      <c r="F47634" s="2">
        <v>1.1575369272042401E-4</v>
      </c>
    </row>
    <row r="47635" spans="1:6" x14ac:dyDescent="0.25">
      <c r="A47635" s="1" t="str">
        <f t="shared" si="1548"/>
        <v>99999</v>
      </c>
      <c r="B47635" s="1" t="str">
        <f>"41764"</f>
        <v>41764</v>
      </c>
      <c r="C47635" s="2">
        <v>2.2518265236150501E-5</v>
      </c>
      <c r="D47635" s="2">
        <v>1.20456711622115E-5</v>
      </c>
      <c r="E47635" s="2">
        <v>4.3010567696482999E-6</v>
      </c>
      <c r="F47635" s="2">
        <v>2.1413939744528701E-5</v>
      </c>
    </row>
    <row r="47636" spans="1:6" x14ac:dyDescent="0.25">
      <c r="A47636" s="1" t="str">
        <f t="shared" si="1548"/>
        <v>99999</v>
      </c>
      <c r="B47636" s="1" t="str">
        <f>"41719"</f>
        <v>41719</v>
      </c>
      <c r="C47636" s="2">
        <v>4.46034869100674E-5</v>
      </c>
      <c r="D47636" s="2">
        <v>2.4091342324423E-5</v>
      </c>
      <c r="E47636" s="2">
        <v>2.58063406178898E-5</v>
      </c>
      <c r="F47636" s="2">
        <v>4.2827879489057403E-5</v>
      </c>
    </row>
    <row r="47637" spans="1:6" x14ac:dyDescent="0.25">
      <c r="A47637" s="1" t="str">
        <f t="shared" si="1548"/>
        <v>99999</v>
      </c>
      <c r="B47637" s="1" t="str">
        <f>"47635"</f>
        <v>47635</v>
      </c>
      <c r="C47637" s="2">
        <v>2.7747266250122002E-4</v>
      </c>
      <c r="D47637" s="2">
        <v>4.3364416183961399E-4</v>
      </c>
      <c r="E47637" s="2">
        <v>3.13977144184326E-4</v>
      </c>
      <c r="F47637" s="2">
        <v>2.88545436926276E-4</v>
      </c>
    </row>
    <row r="47638" spans="1:6" x14ac:dyDescent="0.25">
      <c r="A47638" s="1" t="str">
        <f t="shared" si="1548"/>
        <v>99999</v>
      </c>
      <c r="B47638" s="1" t="str">
        <f>"47665"</f>
        <v>47665</v>
      </c>
      <c r="C47638" s="2">
        <v>1.4604394136330301E-4</v>
      </c>
      <c r="D47638" s="2">
        <v>3.9148431277187403E-5</v>
      </c>
      <c r="E47638" s="2">
        <v>6.4515851544724506E-5</v>
      </c>
      <c r="F47638" s="2">
        <v>1.3716763246495299E-4</v>
      </c>
    </row>
    <row r="47639" spans="1:6" x14ac:dyDescent="0.25">
      <c r="A47639" s="1" t="str">
        <f t="shared" si="1548"/>
        <v>99999</v>
      </c>
      <c r="B47639" s="1" t="str">
        <f>"43543"</f>
        <v>43543</v>
      </c>
      <c r="C47639" s="2">
        <v>4.00023990613347E-4</v>
      </c>
      <c r="D47639" s="2">
        <v>4.0804711061991501E-4</v>
      </c>
      <c r="E47639" s="2">
        <v>5.2902998266674103E-4</v>
      </c>
      <c r="F47639" s="2">
        <v>4.0350967564690298E-4</v>
      </c>
    </row>
    <row r="47640" spans="1:6" x14ac:dyDescent="0.25">
      <c r="A47640" s="1" t="str">
        <f t="shared" si="1548"/>
        <v>99999</v>
      </c>
      <c r="B47640" s="1" t="str">
        <f>"43983"</f>
        <v>43983</v>
      </c>
      <c r="C47640" s="2">
        <v>1.0068262821932701E-5</v>
      </c>
      <c r="D47640" s="2">
        <v>9.0342533716586405E-6</v>
      </c>
      <c r="E47640" s="2">
        <v>4.3010567696482999E-6</v>
      </c>
      <c r="F47640" s="2">
        <v>9.8681749974786808E-6</v>
      </c>
    </row>
    <row r="47641" spans="1:6" x14ac:dyDescent="0.25">
      <c r="A47641" s="1" t="str">
        <f t="shared" si="1548"/>
        <v>99999</v>
      </c>
      <c r="B47641" s="1" t="str">
        <f>"28341"</f>
        <v>28341</v>
      </c>
      <c r="C47641" s="2">
        <v>1.91838298069513E-4</v>
      </c>
      <c r="D47641" s="2">
        <v>9.9376787088244995E-5</v>
      </c>
      <c r="E47641" s="2">
        <v>7.3117965084021106E-5</v>
      </c>
      <c r="F47641" s="2">
        <v>1.8305464620322899E-4</v>
      </c>
    </row>
    <row r="47642" spans="1:6" x14ac:dyDescent="0.25">
      <c r="A47642" s="1" t="str">
        <f t="shared" si="1548"/>
        <v>99999</v>
      </c>
      <c r="B47642" s="1" t="str">
        <f>"28433"</f>
        <v>28433</v>
      </c>
      <c r="C47642" s="2">
        <v>3.3701615230834902E-4</v>
      </c>
      <c r="D47642" s="2">
        <v>1.9574215638593699E-4</v>
      </c>
      <c r="E47642" s="2">
        <v>2.58063406178898E-5</v>
      </c>
      <c r="F47642" s="2">
        <v>3.2061700566808198E-4</v>
      </c>
    </row>
    <row r="47643" spans="1:6" x14ac:dyDescent="0.25">
      <c r="A47643" s="1" t="str">
        <f t="shared" si="1548"/>
        <v>99999</v>
      </c>
      <c r="B47643" s="1" t="str">
        <f>"28441"</f>
        <v>28441</v>
      </c>
      <c r="C47643" s="2">
        <v>2.3406004538729499E-4</v>
      </c>
      <c r="D47643" s="2">
        <v>1.3551380057487899E-4</v>
      </c>
      <c r="E47643" s="2">
        <v>2.15052838482415E-5</v>
      </c>
      <c r="F47643" s="2">
        <v>2.2272470969309299E-4</v>
      </c>
    </row>
    <row r="47644" spans="1:6" x14ac:dyDescent="0.25">
      <c r="A47644" s="1" t="str">
        <f t="shared" si="1548"/>
        <v>99999</v>
      </c>
      <c r="B47644" s="1" t="str">
        <f>"28453"</f>
        <v>28453</v>
      </c>
      <c r="C47644" s="2">
        <v>2.2355873900312901E-4</v>
      </c>
      <c r="D47644" s="2">
        <v>1.34008091679603E-4</v>
      </c>
      <c r="E47644" s="2">
        <v>7.7419021853669399E-5</v>
      </c>
      <c r="F47644" s="2">
        <v>2.14336760945236E-4</v>
      </c>
    </row>
    <row r="47645" spans="1:6" x14ac:dyDescent="0.25">
      <c r="A47645" s="1" t="str">
        <f t="shared" si="1548"/>
        <v>99999</v>
      </c>
      <c r="B47645" s="1" t="str">
        <f>"28447"</f>
        <v>28447</v>
      </c>
      <c r="C47645" s="2">
        <v>4.9691748766313E-5</v>
      </c>
      <c r="D47645" s="2">
        <v>4.2159849067740298E-5</v>
      </c>
      <c r="E47645" s="2">
        <v>0</v>
      </c>
      <c r="F47645" s="2">
        <v>4.8058012237721097E-5</v>
      </c>
    </row>
    <row r="47646" spans="1:6" x14ac:dyDescent="0.25">
      <c r="A47646" s="1" t="str">
        <f t="shared" si="1548"/>
        <v>99999</v>
      </c>
      <c r="B47646" s="1" t="str">
        <f>"28734"</f>
        <v>28734</v>
      </c>
      <c r="C47646" s="2">
        <v>1.92682733015869E-3</v>
      </c>
      <c r="D47646" s="2">
        <v>2.2073692404752602E-3</v>
      </c>
      <c r="E47646" s="2">
        <v>1.06666207887277E-3</v>
      </c>
      <c r="F47646" s="2">
        <v>1.9254783055080401E-3</v>
      </c>
    </row>
    <row r="47647" spans="1:6" x14ac:dyDescent="0.25">
      <c r="A47647" s="1" t="str">
        <f t="shared" si="1548"/>
        <v>99999</v>
      </c>
      <c r="B47647" s="1" t="str">
        <f>"28733"</f>
        <v>28733</v>
      </c>
      <c r="C47647" s="2">
        <v>5.0882618562455504E-6</v>
      </c>
      <c r="D47647" s="2">
        <v>1.0539962266935E-5</v>
      </c>
      <c r="E47647" s="2">
        <v>0</v>
      </c>
      <c r="F47647" s="2">
        <v>5.3288144986384803E-6</v>
      </c>
    </row>
    <row r="47648" spans="1:6" x14ac:dyDescent="0.25">
      <c r="A47648" s="1" t="str">
        <f t="shared" si="1548"/>
        <v>99999</v>
      </c>
      <c r="B47648" s="1" t="str">
        <f>"28754"</f>
        <v>28754</v>
      </c>
      <c r="C47648" s="2">
        <v>2.7173483530162401E-5</v>
      </c>
      <c r="D47648" s="2">
        <v>0</v>
      </c>
      <c r="E47648" s="2">
        <v>0</v>
      </c>
      <c r="F47648" s="2">
        <v>2.4769119243671401E-5</v>
      </c>
    </row>
    <row r="47649" spans="1:6" x14ac:dyDescent="0.25">
      <c r="A47649" s="1" t="str">
        <f t="shared" si="1548"/>
        <v>99999</v>
      </c>
      <c r="B47649" s="1" t="str">
        <f>"29032"</f>
        <v>29032</v>
      </c>
      <c r="C47649" s="2">
        <v>1.51565246781782E-5</v>
      </c>
      <c r="D47649" s="2">
        <v>4.5171266858293203E-6</v>
      </c>
      <c r="E47649" s="2">
        <v>0</v>
      </c>
      <c r="F47649" s="2">
        <v>1.41114902463945E-5</v>
      </c>
    </row>
    <row r="47650" spans="1:6" x14ac:dyDescent="0.25">
      <c r="A47650" s="1" t="str">
        <f t="shared" si="1548"/>
        <v>99999</v>
      </c>
      <c r="B47650" s="1" t="str">
        <f>"29709"</f>
        <v>29709</v>
      </c>
      <c r="C47650" s="2">
        <v>3.4762571958307401E-4</v>
      </c>
      <c r="D47650" s="2">
        <v>4.53218377478208E-4</v>
      </c>
      <c r="E47650" s="2">
        <v>1.03225362471559E-4</v>
      </c>
      <c r="F47650" s="2">
        <v>3.4893866791084601E-4</v>
      </c>
    </row>
    <row r="47651" spans="1:6" x14ac:dyDescent="0.25">
      <c r="A47651" s="1" t="str">
        <f t="shared" si="1548"/>
        <v>99999</v>
      </c>
      <c r="B47651" s="1" t="str">
        <f>"29009"</f>
        <v>29009</v>
      </c>
      <c r="C47651" s="2">
        <v>4.1139138412198104E-6</v>
      </c>
      <c r="D47651" s="2">
        <v>0</v>
      </c>
      <c r="E47651" s="2">
        <v>0</v>
      </c>
      <c r="F47651" s="2">
        <v>3.7499064990418899E-6</v>
      </c>
    </row>
    <row r="47652" spans="1:6" x14ac:dyDescent="0.25">
      <c r="A47652" s="1" t="str">
        <f t="shared" si="1548"/>
        <v>99999</v>
      </c>
      <c r="B47652" s="1" t="str">
        <f>"29153"</f>
        <v>29153</v>
      </c>
      <c r="C47652" s="2">
        <v>3.1503919152499101E-5</v>
      </c>
      <c r="D47652" s="2">
        <v>2.55970512196994E-5</v>
      </c>
      <c r="E47652" s="2">
        <v>1.72042270785932E-5</v>
      </c>
      <c r="F47652" s="2">
        <v>3.0788705992133397E-5</v>
      </c>
    </row>
    <row r="47653" spans="1:6" x14ac:dyDescent="0.25">
      <c r="A47653" s="1" t="str">
        <f t="shared" si="1548"/>
        <v>99999</v>
      </c>
      <c r="B47653" s="1" t="str">
        <f>"29080"</f>
        <v>29080</v>
      </c>
      <c r="C47653" s="2">
        <v>8.5634364431707102E-5</v>
      </c>
      <c r="D47653" s="2">
        <v>3.7642722381910999E-5</v>
      </c>
      <c r="E47653" s="2">
        <v>3.8709510926834699E-5</v>
      </c>
      <c r="F47653" s="2">
        <v>8.1412443729199095E-5</v>
      </c>
    </row>
    <row r="47654" spans="1:6" x14ac:dyDescent="0.25">
      <c r="A47654" s="1" t="str">
        <f t="shared" si="1548"/>
        <v>99999</v>
      </c>
      <c r="B47654" s="1" t="str">
        <f>"29593"</f>
        <v>29593</v>
      </c>
      <c r="C47654" s="2">
        <v>3.7783050804887201E-5</v>
      </c>
      <c r="D47654" s="2">
        <v>9.0342533716586405E-6</v>
      </c>
      <c r="E47654" s="2">
        <v>0</v>
      </c>
      <c r="F47654" s="2">
        <v>3.5032021241049297E-5</v>
      </c>
    </row>
    <row r="47655" spans="1:6" x14ac:dyDescent="0.25">
      <c r="A47655" s="1" t="str">
        <f t="shared" si="1548"/>
        <v>99999</v>
      </c>
      <c r="B47655" s="1" t="str">
        <f>"29563"</f>
        <v>29563</v>
      </c>
      <c r="C47655" s="2">
        <v>1.0533784651333799E-4</v>
      </c>
      <c r="D47655" s="2">
        <v>5.4205520229951803E-5</v>
      </c>
      <c r="E47655" s="2">
        <v>2.15052838482415E-5</v>
      </c>
      <c r="F47655" s="2">
        <v>1.00063294474433E-4</v>
      </c>
    </row>
    <row r="47656" spans="1:6" x14ac:dyDescent="0.25">
      <c r="A47656" s="1" t="str">
        <f t="shared" si="1548"/>
        <v>99999</v>
      </c>
      <c r="B47656" s="1" t="str">
        <f>"29565"</f>
        <v>29565</v>
      </c>
      <c r="C47656" s="2">
        <v>3.72417463520951E-4</v>
      </c>
      <c r="D47656" s="2">
        <v>3.4330162812302799E-4</v>
      </c>
      <c r="E47656" s="2">
        <v>4.7311624466131299E-5</v>
      </c>
      <c r="F47656" s="2">
        <v>3.6305015815723998E-4</v>
      </c>
    </row>
    <row r="47657" spans="1:6" x14ac:dyDescent="0.25">
      <c r="A47657" s="1" t="str">
        <f t="shared" si="1548"/>
        <v>99999</v>
      </c>
      <c r="B47657" s="1" t="str">
        <f>"29571"</f>
        <v>29571</v>
      </c>
      <c r="C47657" s="2">
        <v>8.7712973530428701E-4</v>
      </c>
      <c r="D47657" s="2">
        <v>1.01785921320687E-3</v>
      </c>
      <c r="E47657" s="2">
        <v>1.3161233715123801E-3</v>
      </c>
      <c r="F47657" s="2">
        <v>8.9642501677096305E-4</v>
      </c>
    </row>
    <row r="47658" spans="1:6" x14ac:dyDescent="0.25">
      <c r="A47658" s="1" t="str">
        <f t="shared" si="1548"/>
        <v>99999</v>
      </c>
      <c r="B47658" s="1" t="str">
        <f>"29574"</f>
        <v>29574</v>
      </c>
      <c r="C47658" s="2">
        <v>6.7565621797507501E-4</v>
      </c>
      <c r="D47658" s="2">
        <v>8.1458851234455403E-4</v>
      </c>
      <c r="E47658" s="2">
        <v>3.2688031449327001E-4</v>
      </c>
      <c r="F47658" s="2">
        <v>6.7675944132708705E-4</v>
      </c>
    </row>
    <row r="47659" spans="1:6" x14ac:dyDescent="0.25">
      <c r="A47659" s="1" t="str">
        <f t="shared" si="1548"/>
        <v>99999</v>
      </c>
      <c r="B47659" s="1" t="str">
        <f>"29654"</f>
        <v>29654</v>
      </c>
      <c r="C47659" s="2">
        <v>1.1410697864857E-4</v>
      </c>
      <c r="D47659" s="2">
        <v>3.1619886800805203E-5</v>
      </c>
      <c r="E47659" s="2">
        <v>3.8709510926834699E-5</v>
      </c>
      <c r="F47659" s="2">
        <v>1.06971016972668E-4</v>
      </c>
    </row>
    <row r="47660" spans="1:6" x14ac:dyDescent="0.25">
      <c r="A47660" s="1" t="str">
        <f t="shared" si="1548"/>
        <v>99999</v>
      </c>
      <c r="B47660" s="1" t="str">
        <f>"30511"</f>
        <v>30511</v>
      </c>
      <c r="C47660" s="2">
        <v>1.1215828261851899E-4</v>
      </c>
      <c r="D47660" s="2">
        <v>7.6791153659098402E-5</v>
      </c>
      <c r="E47660" s="2">
        <v>7.3117965084021106E-5</v>
      </c>
      <c r="F47660" s="2">
        <v>1.0894465197216401E-4</v>
      </c>
    </row>
    <row r="47661" spans="1:6" x14ac:dyDescent="0.25">
      <c r="A47661" s="1" t="str">
        <f t="shared" si="1548"/>
        <v>99999</v>
      </c>
      <c r="B47661" s="1" t="str">
        <f>"30547"</f>
        <v>30547</v>
      </c>
      <c r="C47661" s="2">
        <v>1.7743959962524401E-4</v>
      </c>
      <c r="D47661" s="2">
        <v>2.7855614562614098E-4</v>
      </c>
      <c r="E47661" s="2">
        <v>7.7419021853669399E-5</v>
      </c>
      <c r="F47661" s="2">
        <v>1.81771783453557E-4</v>
      </c>
    </row>
    <row r="47662" spans="1:6" x14ac:dyDescent="0.25">
      <c r="A47662" s="1" t="str">
        <f t="shared" si="1548"/>
        <v>99999</v>
      </c>
      <c r="B47662" s="1" t="str">
        <f>"30555"</f>
        <v>30555</v>
      </c>
      <c r="C47662" s="2">
        <v>1.16488718240855E-4</v>
      </c>
      <c r="D47662" s="2">
        <v>5.7216938020504697E-5</v>
      </c>
      <c r="E47662" s="2">
        <v>6.4515851544724506E-5</v>
      </c>
      <c r="F47662" s="2">
        <v>1.1141169572153399E-4</v>
      </c>
    </row>
    <row r="47663" spans="1:6" x14ac:dyDescent="0.25">
      <c r="A47663" s="1" t="str">
        <f t="shared" si="1548"/>
        <v>99999</v>
      </c>
      <c r="B47663" s="1" t="str">
        <f>"30577"</f>
        <v>30577</v>
      </c>
      <c r="C47663" s="2">
        <v>5.6403923980934802E-5</v>
      </c>
      <c r="D47663" s="2">
        <v>1.50570889527644E-5</v>
      </c>
      <c r="E47663" s="2">
        <v>4.3010567696482999E-6</v>
      </c>
      <c r="F47663" s="2">
        <v>5.2498690986586503E-5</v>
      </c>
    </row>
    <row r="47664" spans="1:6" x14ac:dyDescent="0.25">
      <c r="A47664" s="1" t="str">
        <f t="shared" si="1548"/>
        <v>99999</v>
      </c>
      <c r="B47664" s="1" t="str">
        <f>"29845"</f>
        <v>29845</v>
      </c>
      <c r="C47664" s="2">
        <v>7.7839580311501202E-5</v>
      </c>
      <c r="D47664" s="2">
        <v>3.7642722381910999E-5</v>
      </c>
      <c r="E47664" s="2">
        <v>3.01073973875381E-5</v>
      </c>
      <c r="F47664" s="2">
        <v>7.4109994231064805E-5</v>
      </c>
    </row>
    <row r="47665" spans="1:6" x14ac:dyDescent="0.25">
      <c r="A47665" s="1" t="str">
        <f t="shared" si="1548"/>
        <v>99999</v>
      </c>
      <c r="B47665" s="1" t="str">
        <f>"29848"</f>
        <v>29848</v>
      </c>
      <c r="C47665" s="2">
        <v>1.4506959334827701E-5</v>
      </c>
      <c r="D47665" s="2">
        <v>4.5171266858293203E-6</v>
      </c>
      <c r="E47665" s="2">
        <v>0</v>
      </c>
      <c r="F47665" s="2">
        <v>1.35193997465457E-5</v>
      </c>
    </row>
    <row r="47666" spans="1:6" x14ac:dyDescent="0.25">
      <c r="A47666" s="1" t="str">
        <f t="shared" si="1548"/>
        <v>99999</v>
      </c>
      <c r="B47666" s="1" t="str">
        <f>"30471"</f>
        <v>30471</v>
      </c>
      <c r="C47666" s="2">
        <v>2.08293953434392E-4</v>
      </c>
      <c r="D47666" s="2">
        <v>6.7756900287439806E-5</v>
      </c>
      <c r="E47666" s="2">
        <v>6.8816908314372799E-5</v>
      </c>
      <c r="F47666" s="2">
        <v>1.9588327369995099E-4</v>
      </c>
    </row>
    <row r="47667" spans="1:6" x14ac:dyDescent="0.25">
      <c r="A47667" s="1" t="str">
        <f t="shared" si="1548"/>
        <v>99999</v>
      </c>
      <c r="B47667" s="1" t="str">
        <f>"30803"</f>
        <v>30803</v>
      </c>
      <c r="C47667" s="2">
        <v>4.8392618079612001E-5</v>
      </c>
      <c r="D47667" s="2">
        <v>2.1079924533870101E-5</v>
      </c>
      <c r="E47667" s="2">
        <v>0</v>
      </c>
      <c r="F47667" s="2">
        <v>4.5492286738376699E-5</v>
      </c>
    </row>
    <row r="47668" spans="1:6" x14ac:dyDescent="0.25">
      <c r="A47668" s="1" t="str">
        <f t="shared" si="1548"/>
        <v>99999</v>
      </c>
      <c r="B47668" s="1" t="str">
        <f>"30421"</f>
        <v>30421</v>
      </c>
      <c r="C47668" s="2">
        <v>1.7570742537630901E-4</v>
      </c>
      <c r="D47668" s="2">
        <v>3.4631304591358098E-5</v>
      </c>
      <c r="E47668" s="2">
        <v>2.58063406178898E-5</v>
      </c>
      <c r="F47668" s="2">
        <v>1.6302225095834701E-4</v>
      </c>
    </row>
    <row r="47669" spans="1:6" x14ac:dyDescent="0.25">
      <c r="A47669" s="1" t="str">
        <f t="shared" si="1548"/>
        <v>99999</v>
      </c>
      <c r="B47669" s="1" t="str">
        <f>"31065"</f>
        <v>31065</v>
      </c>
      <c r="C47669" s="2">
        <v>1.30995677575683E-5</v>
      </c>
      <c r="D47669" s="2">
        <v>3.01141779055288E-6</v>
      </c>
      <c r="E47669" s="2">
        <v>0</v>
      </c>
      <c r="F47669" s="2">
        <v>1.2137855246898699E-5</v>
      </c>
    </row>
    <row r="47670" spans="1:6" x14ac:dyDescent="0.25">
      <c r="A47670" s="1" t="str">
        <f t="shared" si="1548"/>
        <v>99999</v>
      </c>
      <c r="B47670" s="1" t="str">
        <f>"31035"</f>
        <v>31035</v>
      </c>
      <c r="C47670" s="2">
        <v>6.3765664538907094E-5</v>
      </c>
      <c r="D47670" s="2">
        <v>2.1079924533870101E-5</v>
      </c>
      <c r="E47670" s="2">
        <v>0</v>
      </c>
      <c r="F47670" s="2">
        <v>5.9505095234796402E-5</v>
      </c>
    </row>
    <row r="47671" spans="1:6" x14ac:dyDescent="0.25">
      <c r="A47671" s="1" t="str">
        <f t="shared" si="1548"/>
        <v>99999</v>
      </c>
      <c r="B47671" s="1" t="str">
        <f>"31057"</f>
        <v>31057</v>
      </c>
      <c r="C47671" s="2">
        <v>5.08826185624555E-5</v>
      </c>
      <c r="D47671" s="2">
        <v>2.25856334291466E-5</v>
      </c>
      <c r="E47671" s="2">
        <v>2.58063406178898E-5</v>
      </c>
      <c r="F47671" s="2">
        <v>4.8452739237620299E-5</v>
      </c>
    </row>
    <row r="47672" spans="1:6" x14ac:dyDescent="0.25">
      <c r="A47672" s="1" t="str">
        <f t="shared" si="1548"/>
        <v>99999</v>
      </c>
      <c r="B47672" s="1" t="str">
        <f>"31014"</f>
        <v>31014</v>
      </c>
      <c r="C47672" s="2">
        <v>6.3083620928389096E-4</v>
      </c>
      <c r="D47672" s="2">
        <v>6.4896053386414502E-4</v>
      </c>
      <c r="E47672" s="2">
        <v>4.3870779050412601E-4</v>
      </c>
      <c r="F47672" s="2">
        <v>6.2761592983964396E-4</v>
      </c>
    </row>
    <row r="47673" spans="1:6" x14ac:dyDescent="0.25">
      <c r="A47673" s="1" t="str">
        <f t="shared" si="1548"/>
        <v>99999</v>
      </c>
      <c r="B47673" s="1" t="str">
        <f>"31002"</f>
        <v>31002</v>
      </c>
      <c r="C47673" s="2">
        <v>7.13439268779962E-5</v>
      </c>
      <c r="D47673" s="2">
        <v>1.65627978480408E-5</v>
      </c>
      <c r="E47673" s="2">
        <v>2.58063406178898E-5</v>
      </c>
      <c r="F47673" s="2">
        <v>6.6708862982955806E-5</v>
      </c>
    </row>
    <row r="47674" spans="1:6" x14ac:dyDescent="0.25">
      <c r="A47674" s="1" t="str">
        <f t="shared" si="1548"/>
        <v>99999</v>
      </c>
      <c r="B47674" s="1" t="str">
        <f>"31554"</f>
        <v>31554</v>
      </c>
      <c r="C47674" s="2">
        <v>6.6472186802867496E-5</v>
      </c>
      <c r="D47674" s="2">
        <v>1.65627978480408E-5</v>
      </c>
      <c r="E47674" s="2">
        <v>0</v>
      </c>
      <c r="F47674" s="2">
        <v>6.1676093734241706E-5</v>
      </c>
    </row>
    <row r="47675" spans="1:6" x14ac:dyDescent="0.25">
      <c r="A47675" s="1" t="str">
        <f t="shared" si="1548"/>
        <v>99999</v>
      </c>
      <c r="B47675" s="1" t="str">
        <f>"31555"</f>
        <v>31555</v>
      </c>
      <c r="C47675" s="2">
        <v>1.5914350912087102E-5</v>
      </c>
      <c r="D47675" s="2">
        <v>0</v>
      </c>
      <c r="E47675" s="2">
        <v>0</v>
      </c>
      <c r="F47675" s="2">
        <v>1.45062172462936E-5</v>
      </c>
    </row>
    <row r="47676" spans="1:6" x14ac:dyDescent="0.25">
      <c r="A47676" s="1" t="str">
        <f t="shared" si="1548"/>
        <v>99999</v>
      </c>
      <c r="B47676" s="1" t="str">
        <f>"31513"</f>
        <v>31513</v>
      </c>
      <c r="C47676" s="2">
        <v>9.5767583787974904E-4</v>
      </c>
      <c r="D47676" s="2">
        <v>1.27684114319442E-3</v>
      </c>
      <c r="E47676" s="2">
        <v>1.1655863845746899E-3</v>
      </c>
      <c r="F47676" s="2">
        <v>9.8336363849875008E-4</v>
      </c>
    </row>
    <row r="47677" spans="1:6" x14ac:dyDescent="0.25">
      <c r="A47677" s="1" t="str">
        <f t="shared" si="1548"/>
        <v>99999</v>
      </c>
      <c r="B47677" s="1" t="str">
        <f>"31539"</f>
        <v>31539</v>
      </c>
      <c r="C47677" s="2">
        <v>7.2805448900534805E-4</v>
      </c>
      <c r="D47677" s="2">
        <v>9.1697671722335201E-4</v>
      </c>
      <c r="E47677" s="2">
        <v>6.8386802637408002E-4</v>
      </c>
      <c r="F47677" s="2">
        <v>7.3942235256107701E-4</v>
      </c>
    </row>
    <row r="47678" spans="1:6" x14ac:dyDescent="0.25">
      <c r="A47678" s="1" t="str">
        <f t="shared" si="1548"/>
        <v>99999</v>
      </c>
      <c r="B47678" s="1" t="str">
        <f>"31532"</f>
        <v>31532</v>
      </c>
      <c r="C47678" s="2">
        <v>4.8176096298495099E-5</v>
      </c>
      <c r="D47678" s="2">
        <v>3.31255956960816E-5</v>
      </c>
      <c r="E47678" s="2">
        <v>0</v>
      </c>
      <c r="F47678" s="2">
        <v>4.60843772382254E-5</v>
      </c>
    </row>
    <row r="47679" spans="1:6" x14ac:dyDescent="0.25">
      <c r="A47679" s="1" t="str">
        <f t="shared" si="1548"/>
        <v>99999</v>
      </c>
      <c r="B47679" s="1" t="str">
        <f>"31510"</f>
        <v>31510</v>
      </c>
      <c r="C47679" s="2">
        <v>5.1694575241643698E-4</v>
      </c>
      <c r="D47679" s="2">
        <v>8.2964560129731798E-4</v>
      </c>
      <c r="E47679" s="2">
        <v>2.2795600879136E-4</v>
      </c>
      <c r="F47679" s="2">
        <v>5.3080913311437795E-4</v>
      </c>
    </row>
    <row r="47680" spans="1:6" x14ac:dyDescent="0.25">
      <c r="A47680" s="1" t="str">
        <f t="shared" si="1548"/>
        <v>99999</v>
      </c>
      <c r="B47680" s="1" t="str">
        <f>"31779"</f>
        <v>31779</v>
      </c>
      <c r="C47680" s="2">
        <v>4.3228573599975498E-4</v>
      </c>
      <c r="D47680" s="2">
        <v>5.6162941793811197E-4</v>
      </c>
      <c r="E47680" s="2">
        <v>3.39783484802215E-4</v>
      </c>
      <c r="F47680" s="2">
        <v>4.3864037863792702E-4</v>
      </c>
    </row>
    <row r="47681" spans="1:6" x14ac:dyDescent="0.25">
      <c r="A47681" s="1" t="str">
        <f t="shared" si="1548"/>
        <v>99999</v>
      </c>
      <c r="B47681" s="1" t="str">
        <f>"31783"</f>
        <v>31783</v>
      </c>
      <c r="C47681" s="2">
        <v>5.52130541847922E-5</v>
      </c>
      <c r="D47681" s="2">
        <v>3.31255956960816E-5</v>
      </c>
      <c r="E47681" s="2">
        <v>1.29031703089449E-5</v>
      </c>
      <c r="F47681" s="2">
        <v>5.2794736236510901E-5</v>
      </c>
    </row>
    <row r="47682" spans="1:6" x14ac:dyDescent="0.25">
      <c r="A47682" s="1" t="str">
        <f t="shared" si="1548"/>
        <v>99999</v>
      </c>
      <c r="B47682" s="1" t="str">
        <f>"31647"</f>
        <v>31647</v>
      </c>
      <c r="C47682" s="2">
        <v>1.74624816470725E-4</v>
      </c>
      <c r="D47682" s="2">
        <v>8.5825407030757094E-5</v>
      </c>
      <c r="E47682" s="2">
        <v>1.5053698693768999E-4</v>
      </c>
      <c r="F47682" s="2">
        <v>1.6825238370701099E-4</v>
      </c>
    </row>
    <row r="47683" spans="1:6" x14ac:dyDescent="0.25">
      <c r="A47683" s="1" t="str">
        <f t="shared" si="1548"/>
        <v>99999</v>
      </c>
      <c r="B47683" s="1" t="str">
        <f>"31716"</f>
        <v>31716</v>
      </c>
      <c r="C47683" s="2">
        <v>1.5751959576249501E-4</v>
      </c>
      <c r="D47683" s="2">
        <v>7.2274026973269097E-5</v>
      </c>
      <c r="E47683" s="2">
        <v>1.72042270785932E-4</v>
      </c>
      <c r="F47683" s="2">
        <v>1.52265940211096E-4</v>
      </c>
    </row>
    <row r="47684" spans="1:6" x14ac:dyDescent="0.25">
      <c r="A47684" s="1" t="str">
        <f t="shared" si="1548"/>
        <v>99999</v>
      </c>
      <c r="B47684" s="1" t="str">
        <f>"31632"</f>
        <v>31632</v>
      </c>
      <c r="C47684" s="2">
        <v>7.9788276341552698E-5</v>
      </c>
      <c r="D47684" s="2">
        <v>1.20456711622115E-5</v>
      </c>
      <c r="E47684" s="2">
        <v>8.6021135392965999E-6</v>
      </c>
      <c r="F47684" s="2">
        <v>7.3715267231165698E-5</v>
      </c>
    </row>
    <row r="47685" spans="1:6" x14ac:dyDescent="0.25">
      <c r="A47685" s="1" t="str">
        <f t="shared" si="1548"/>
        <v>99999</v>
      </c>
      <c r="B47685" s="1" t="str">
        <f>"31634"</f>
        <v>31634</v>
      </c>
      <c r="C47685" s="2">
        <v>3.00965275752396E-4</v>
      </c>
      <c r="D47685" s="2">
        <v>4.5171266858293202E-4</v>
      </c>
      <c r="E47685" s="2">
        <v>2.3655812233065599E-4</v>
      </c>
      <c r="F47685" s="2">
        <v>3.0936728617095603E-4</v>
      </c>
    </row>
    <row r="47686" spans="1:6" x14ac:dyDescent="0.25">
      <c r="A47686" s="1" t="str">
        <f t="shared" ref="A47686:A47749" si="1549">"99999"</f>
        <v>99999</v>
      </c>
      <c r="B47686" s="1" t="str">
        <f>"31620"</f>
        <v>31620</v>
      </c>
      <c r="C47686" s="2">
        <v>5.43794453274924E-4</v>
      </c>
      <c r="D47686" s="2">
        <v>9.0191962827058697E-4</v>
      </c>
      <c r="E47686" s="2">
        <v>7.3978176437950805E-4</v>
      </c>
      <c r="F47686" s="2">
        <v>5.71762059353914E-4</v>
      </c>
    </row>
    <row r="47687" spans="1:6" x14ac:dyDescent="0.25">
      <c r="A47687" s="1" t="str">
        <f t="shared" si="1549"/>
        <v>99999</v>
      </c>
      <c r="B47687" s="1" t="str">
        <f>"31630"</f>
        <v>31630</v>
      </c>
      <c r="C47687" s="2">
        <v>2.0461308315540598E-5</v>
      </c>
      <c r="D47687" s="2">
        <v>1.0539962266935E-5</v>
      </c>
      <c r="E47687" s="2">
        <v>0</v>
      </c>
      <c r="F47687" s="2">
        <v>1.9341622995058201E-5</v>
      </c>
    </row>
    <row r="47688" spans="1:6" x14ac:dyDescent="0.25">
      <c r="A47688" s="1" t="str">
        <f t="shared" si="1549"/>
        <v>99999</v>
      </c>
      <c r="B47688" s="1" t="str">
        <f>"32083"</f>
        <v>32083</v>
      </c>
      <c r="C47688" s="2">
        <v>7.3509144689164503E-5</v>
      </c>
      <c r="D47688" s="2">
        <v>3.7642722381910999E-5</v>
      </c>
      <c r="E47688" s="2">
        <v>1.72042270785932E-5</v>
      </c>
      <c r="F47688" s="2">
        <v>6.9866678982149E-5</v>
      </c>
    </row>
    <row r="47689" spans="1:6" x14ac:dyDescent="0.25">
      <c r="A47689" s="1" t="str">
        <f t="shared" si="1549"/>
        <v>99999</v>
      </c>
      <c r="B47689" s="1" t="str">
        <f>"32091"</f>
        <v>32091</v>
      </c>
      <c r="C47689" s="2">
        <v>7.7146710611927295E-4</v>
      </c>
      <c r="D47689" s="2">
        <v>1.11723600029511E-3</v>
      </c>
      <c r="E47689" s="2">
        <v>4.81718358200609E-4</v>
      </c>
      <c r="F47689" s="2">
        <v>7.8748036479879796E-4</v>
      </c>
    </row>
    <row r="47690" spans="1:6" x14ac:dyDescent="0.25">
      <c r="A47690" s="1" t="str">
        <f t="shared" si="1549"/>
        <v>99999</v>
      </c>
      <c r="B47690" s="1" t="str">
        <f>"32094"</f>
        <v>32094</v>
      </c>
      <c r="C47690" s="2">
        <v>1.39006983477006E-4</v>
      </c>
      <c r="D47690" s="2">
        <v>5.2699811334675399E-5</v>
      </c>
      <c r="E47690" s="2">
        <v>0</v>
      </c>
      <c r="F47690" s="2">
        <v>1.3016122821674301E-4</v>
      </c>
    </row>
    <row r="47691" spans="1:6" x14ac:dyDescent="0.25">
      <c r="A47691" s="1" t="str">
        <f t="shared" si="1549"/>
        <v>99999</v>
      </c>
      <c r="B47691" s="1" t="str">
        <f>"32462"</f>
        <v>32462</v>
      </c>
      <c r="C47691" s="2">
        <v>2.0580395295154901E-4</v>
      </c>
      <c r="D47691" s="2">
        <v>1.12928167145733E-4</v>
      </c>
      <c r="E47691" s="2">
        <v>3.01073973875381E-5</v>
      </c>
      <c r="F47691" s="2">
        <v>1.9568591020000201E-4</v>
      </c>
    </row>
    <row r="47692" spans="1:6" x14ac:dyDescent="0.25">
      <c r="A47692" s="1" t="str">
        <f t="shared" si="1549"/>
        <v>99999</v>
      </c>
      <c r="B47692" s="1" t="str">
        <f>"32464"</f>
        <v>32464</v>
      </c>
      <c r="C47692" s="2">
        <v>2.1392351974342999E-4</v>
      </c>
      <c r="D47692" s="2">
        <v>5.8722646915781101E-5</v>
      </c>
      <c r="E47692" s="2">
        <v>1.72042270785932E-5</v>
      </c>
      <c r="F47692" s="2">
        <v>1.9923845319909399E-4</v>
      </c>
    </row>
    <row r="47693" spans="1:6" x14ac:dyDescent="0.25">
      <c r="A47693" s="1" t="str">
        <f t="shared" si="1549"/>
        <v>99999</v>
      </c>
      <c r="B47693" s="1" t="str">
        <f>"32465"</f>
        <v>32465</v>
      </c>
      <c r="C47693" s="2">
        <v>4.03055295548983E-4</v>
      </c>
      <c r="D47693" s="2">
        <v>2.18327789815083E-4</v>
      </c>
      <c r="E47693" s="2">
        <v>3.01073973875381E-5</v>
      </c>
      <c r="F47693" s="2">
        <v>3.82391781152298E-4</v>
      </c>
    </row>
    <row r="47694" spans="1:6" x14ac:dyDescent="0.25">
      <c r="A47694" s="1" t="str">
        <f t="shared" si="1549"/>
        <v>99999</v>
      </c>
      <c r="B47694" s="1" t="str">
        <f>"39823"</f>
        <v>39823</v>
      </c>
      <c r="C47694" s="2">
        <v>4.97458792115922E-4</v>
      </c>
      <c r="D47694" s="2">
        <v>8.1308280344927696E-4</v>
      </c>
      <c r="E47694" s="2">
        <v>2.9677291710573201E-4</v>
      </c>
      <c r="F47694" s="2">
        <v>5.1353982686879005E-4</v>
      </c>
    </row>
    <row r="47695" spans="1:6" x14ac:dyDescent="0.25">
      <c r="A47695" s="1" t="str">
        <f t="shared" si="1549"/>
        <v>99999</v>
      </c>
      <c r="B47695" s="1" t="str">
        <f>"32328"</f>
        <v>32328</v>
      </c>
      <c r="C47695" s="2">
        <v>3.0616179849919997E-4</v>
      </c>
      <c r="D47695" s="2">
        <v>3.16198868008052E-4</v>
      </c>
      <c r="E47695" s="2">
        <v>2.6666551971819401E-4</v>
      </c>
      <c r="F47695" s="2">
        <v>3.0591342492183898E-4</v>
      </c>
    </row>
    <row r="47696" spans="1:6" x14ac:dyDescent="0.25">
      <c r="A47696" s="1" t="str">
        <f t="shared" si="1549"/>
        <v>99999</v>
      </c>
      <c r="B47696" s="1" t="str">
        <f>"32340"</f>
        <v>32340</v>
      </c>
      <c r="C47696" s="2">
        <v>5.4964054136507799E-4</v>
      </c>
      <c r="D47696" s="2">
        <v>9.2751667949028704E-4</v>
      </c>
      <c r="E47696" s="2">
        <v>1.1225758168782001E-3</v>
      </c>
      <c r="F47696" s="2">
        <v>5.8755113934988001E-4</v>
      </c>
    </row>
    <row r="47697" spans="1:6" x14ac:dyDescent="0.25">
      <c r="A47697" s="1" t="str">
        <f t="shared" si="1549"/>
        <v>99999</v>
      </c>
      <c r="B47697" s="1" t="str">
        <f>"35053"</f>
        <v>35053</v>
      </c>
      <c r="C47697" s="2">
        <v>4.8825661641845601E-5</v>
      </c>
      <c r="D47697" s="2">
        <v>4.5171266858293203E-6</v>
      </c>
      <c r="E47697" s="2">
        <v>0</v>
      </c>
      <c r="F47697" s="2">
        <v>4.4801514488553201E-5</v>
      </c>
    </row>
    <row r="47698" spans="1:6" x14ac:dyDescent="0.25">
      <c r="A47698" s="1" t="str">
        <f t="shared" si="1549"/>
        <v>99999</v>
      </c>
      <c r="B47698" s="1" t="str">
        <f>"35653"</f>
        <v>35653</v>
      </c>
      <c r="C47698" s="2">
        <v>5.3459227757745903E-4</v>
      </c>
      <c r="D47698" s="2">
        <v>9.7419365524385705E-4</v>
      </c>
      <c r="E47698" s="2">
        <v>5.5053526651498196E-4</v>
      </c>
      <c r="F47698" s="2">
        <v>5.6376883760595701E-4</v>
      </c>
    </row>
    <row r="47699" spans="1:6" x14ac:dyDescent="0.25">
      <c r="A47699" s="1" t="str">
        <f t="shared" si="1549"/>
        <v>99999</v>
      </c>
      <c r="B47699" s="1" t="str">
        <f>"35540"</f>
        <v>35540</v>
      </c>
      <c r="C47699" s="2">
        <v>1.3510959141690301E-4</v>
      </c>
      <c r="D47699" s="2">
        <v>6.6251191392163294E-5</v>
      </c>
      <c r="E47699" s="2">
        <v>2.15052838482415E-5</v>
      </c>
      <c r="F47699" s="2">
        <v>1.27990229717298E-4</v>
      </c>
    </row>
    <row r="47700" spans="1:6" x14ac:dyDescent="0.25">
      <c r="A47700" s="1" t="str">
        <f t="shared" si="1549"/>
        <v>99999</v>
      </c>
      <c r="B47700" s="1" t="str">
        <f>"35541"</f>
        <v>35541</v>
      </c>
      <c r="C47700" s="2">
        <v>2.6578048632091103E-4</v>
      </c>
      <c r="D47700" s="2">
        <v>2.7102760114975901E-5</v>
      </c>
      <c r="E47700" s="2">
        <v>1.72042270785932E-5</v>
      </c>
      <c r="F47700" s="2">
        <v>2.4443469468754601E-4</v>
      </c>
    </row>
    <row r="47701" spans="1:6" x14ac:dyDescent="0.25">
      <c r="A47701" s="1" t="str">
        <f t="shared" si="1549"/>
        <v>99999</v>
      </c>
      <c r="B47701" s="1" t="str">
        <f>"35570"</f>
        <v>35570</v>
      </c>
      <c r="C47701" s="2">
        <v>6.0604446534601305E-4</v>
      </c>
      <c r="D47701" s="2">
        <v>5.9776643142474598E-4</v>
      </c>
      <c r="E47701" s="2">
        <v>1.2559085767373001E-3</v>
      </c>
      <c r="F47701" s="2">
        <v>6.2041216209148399E-4</v>
      </c>
    </row>
    <row r="47702" spans="1:6" x14ac:dyDescent="0.25">
      <c r="A47702" s="1" t="str">
        <f t="shared" si="1549"/>
        <v>99999</v>
      </c>
      <c r="B47702" s="1" t="str">
        <f>"35563"</f>
        <v>35563</v>
      </c>
      <c r="C47702" s="2">
        <v>2.3027091421775101E-4</v>
      </c>
      <c r="D47702" s="2">
        <v>1.5358230731819599E-4</v>
      </c>
      <c r="E47702" s="2">
        <v>1.41934873398393E-4</v>
      </c>
      <c r="F47702" s="2">
        <v>2.2321811844296701E-4</v>
      </c>
    </row>
    <row r="47703" spans="1:6" x14ac:dyDescent="0.25">
      <c r="A47703" s="1" t="str">
        <f t="shared" si="1549"/>
        <v>99999</v>
      </c>
      <c r="B47703" s="1" t="str">
        <f>"35576"</f>
        <v>35576</v>
      </c>
      <c r="C47703" s="2">
        <v>1.6282437939985699E-4</v>
      </c>
      <c r="D47703" s="2">
        <v>7.2274026973269097E-5</v>
      </c>
      <c r="E47703" s="2">
        <v>1.03225362471559E-4</v>
      </c>
      <c r="F47703" s="2">
        <v>1.5552243796026401E-4</v>
      </c>
    </row>
    <row r="47704" spans="1:6" x14ac:dyDescent="0.25">
      <c r="A47704" s="1" t="str">
        <f t="shared" si="1549"/>
        <v>99999</v>
      </c>
      <c r="B47704" s="1" t="str">
        <f>"36467"</f>
        <v>36467</v>
      </c>
      <c r="C47704" s="2">
        <v>5.8634098326438102E-4</v>
      </c>
      <c r="D47704" s="2">
        <v>8.6427690588867601E-4</v>
      </c>
      <c r="E47704" s="2">
        <v>3.6558982542010497E-4</v>
      </c>
      <c r="F47704" s="2">
        <v>5.9949163109682905E-4</v>
      </c>
    </row>
    <row r="47705" spans="1:6" x14ac:dyDescent="0.25">
      <c r="A47705" s="1" t="str">
        <f t="shared" si="1549"/>
        <v>99999</v>
      </c>
      <c r="B47705" s="1" t="str">
        <f>"21661"</f>
        <v>21661</v>
      </c>
      <c r="C47705" s="2">
        <v>1.7451655558016599E-4</v>
      </c>
      <c r="D47705" s="2">
        <v>1.12928167145733E-4</v>
      </c>
      <c r="E47705" s="2">
        <v>1.03225362471559E-4</v>
      </c>
      <c r="F47705" s="2">
        <v>1.6884447420686E-4</v>
      </c>
    </row>
    <row r="47706" spans="1:6" x14ac:dyDescent="0.25">
      <c r="A47706" s="1" t="str">
        <f t="shared" si="1549"/>
        <v>99999</v>
      </c>
      <c r="B47706" s="1" t="str">
        <f>"21651"</f>
        <v>21651</v>
      </c>
      <c r="C47706" s="2">
        <v>7.13439268779962E-5</v>
      </c>
      <c r="D47706" s="2">
        <v>4.5171266858293199E-5</v>
      </c>
      <c r="E47706" s="2">
        <v>2.58063406178898E-5</v>
      </c>
      <c r="F47706" s="2">
        <v>6.8583816232476794E-5</v>
      </c>
    </row>
    <row r="47707" spans="1:6" x14ac:dyDescent="0.25">
      <c r="A47707" s="1" t="str">
        <f t="shared" si="1549"/>
        <v>99999</v>
      </c>
      <c r="B47707" s="1" t="str">
        <f>"21536"</f>
        <v>21536</v>
      </c>
      <c r="C47707" s="2">
        <v>1.968182990352E-4</v>
      </c>
      <c r="D47707" s="2">
        <v>1.82190776328449E-4</v>
      </c>
      <c r="E47707" s="2">
        <v>1.5483804370733801E-4</v>
      </c>
      <c r="F47707" s="2">
        <v>1.9489645620020301E-4</v>
      </c>
    </row>
    <row r="47708" spans="1:6" x14ac:dyDescent="0.25">
      <c r="A47708" s="1" t="str">
        <f t="shared" si="1549"/>
        <v>99999</v>
      </c>
      <c r="B47708" s="1" t="str">
        <f>"21531"</f>
        <v>21531</v>
      </c>
      <c r="C47708" s="2">
        <v>1.2958828599842401E-4</v>
      </c>
      <c r="D47708" s="2">
        <v>6.0228355811057599E-5</v>
      </c>
      <c r="E47708" s="2">
        <v>3.8709510926834699E-5</v>
      </c>
      <c r="F47708" s="2">
        <v>1.2295746046858401E-4</v>
      </c>
    </row>
    <row r="47709" spans="1:6" x14ac:dyDescent="0.25">
      <c r="A47709" s="1" t="str">
        <f t="shared" si="1549"/>
        <v>99999</v>
      </c>
      <c r="B47709" s="1" t="str">
        <f>"21639"</f>
        <v>21639</v>
      </c>
      <c r="C47709" s="2">
        <v>2.0894351877774299E-4</v>
      </c>
      <c r="D47709" s="2">
        <v>6.0228355811057599E-5</v>
      </c>
      <c r="E47709" s="2">
        <v>1.3333275985909701E-4</v>
      </c>
      <c r="F47709" s="2">
        <v>1.9746218169954799E-4</v>
      </c>
    </row>
    <row r="47710" spans="1:6" x14ac:dyDescent="0.25">
      <c r="A47710" s="1" t="str">
        <f t="shared" si="1549"/>
        <v>99999</v>
      </c>
      <c r="B47710" s="1" t="str">
        <f>"21629"</f>
        <v>21629</v>
      </c>
      <c r="C47710" s="2">
        <v>4.4700921711569999E-4</v>
      </c>
      <c r="D47710" s="2">
        <v>7.2123456083741499E-4</v>
      </c>
      <c r="E47710" s="2">
        <v>7.0107225345267298E-4</v>
      </c>
      <c r="F47710" s="2">
        <v>4.7081062912970699E-4</v>
      </c>
    </row>
    <row r="47711" spans="1:6" x14ac:dyDescent="0.25">
      <c r="A47711" s="1" t="str">
        <f t="shared" si="1549"/>
        <v>99999</v>
      </c>
      <c r="B47711" s="1" t="str">
        <f>"21640"</f>
        <v>21640</v>
      </c>
      <c r="C47711" s="2">
        <v>6.7663056599010098E-5</v>
      </c>
      <c r="D47711" s="2">
        <v>1.0539962266935E-5</v>
      </c>
      <c r="E47711" s="2">
        <v>3.44084541571864E-5</v>
      </c>
      <c r="F47711" s="2">
        <v>6.3156319983863506E-5</v>
      </c>
    </row>
    <row r="47712" spans="1:6" x14ac:dyDescent="0.25">
      <c r="A47712" s="1" t="str">
        <f t="shared" si="1549"/>
        <v>99999</v>
      </c>
      <c r="B47712" s="1" t="str">
        <f>"22473"</f>
        <v>22473</v>
      </c>
      <c r="C47712" s="2">
        <v>3.3236093401433698E-4</v>
      </c>
      <c r="D47712" s="2">
        <v>7.0768318077992694E-5</v>
      </c>
      <c r="E47712" s="2">
        <v>3.8709510926834699E-5</v>
      </c>
      <c r="F47712" s="2">
        <v>3.0847915042118301E-4</v>
      </c>
    </row>
    <row r="47713" spans="1:6" x14ac:dyDescent="0.25">
      <c r="A47713" s="1" t="str">
        <f t="shared" si="1549"/>
        <v>99999</v>
      </c>
      <c r="B47713" s="1" t="str">
        <f>"22539"</f>
        <v>22539</v>
      </c>
      <c r="C47713" s="2">
        <v>1.6520611899214301E-4</v>
      </c>
      <c r="D47713" s="2">
        <v>5.8722646915781101E-5</v>
      </c>
      <c r="E47713" s="2">
        <v>1.29031703089449E-5</v>
      </c>
      <c r="F47713" s="2">
        <v>1.5473298396046501E-4</v>
      </c>
    </row>
    <row r="47714" spans="1:6" x14ac:dyDescent="0.25">
      <c r="A47714" s="1" t="str">
        <f t="shared" si="1549"/>
        <v>99999</v>
      </c>
      <c r="B47714" s="1" t="str">
        <f>"22482"</f>
        <v>22482</v>
      </c>
      <c r="C47714" s="2">
        <v>1.5903524823031301E-4</v>
      </c>
      <c r="D47714" s="2">
        <v>2.5145338551116499E-4</v>
      </c>
      <c r="E47714" s="2">
        <v>1.63440157246635E-4</v>
      </c>
      <c r="F47714" s="2">
        <v>1.6519324945779299E-4</v>
      </c>
    </row>
    <row r="47715" spans="1:6" x14ac:dyDescent="0.25">
      <c r="A47715" s="1" t="str">
        <f t="shared" si="1549"/>
        <v>99999</v>
      </c>
      <c r="B47715" s="1" t="str">
        <f>"22652"</f>
        <v>22652</v>
      </c>
      <c r="C47715" s="2">
        <v>8.1736972371604206E-5</v>
      </c>
      <c r="D47715" s="2">
        <v>1.0539962266935E-5</v>
      </c>
      <c r="E47715" s="2">
        <v>1.29031703089449E-5</v>
      </c>
      <c r="F47715" s="2">
        <v>7.5491538730711896E-5</v>
      </c>
    </row>
    <row r="47716" spans="1:6" x14ac:dyDescent="0.25">
      <c r="A47716" s="1" t="str">
        <f t="shared" si="1549"/>
        <v>99999</v>
      </c>
      <c r="B47716" s="1" t="str">
        <f>"22824"</f>
        <v>22824</v>
      </c>
      <c r="C47716" s="2">
        <v>3.0540397226529197E-4</v>
      </c>
      <c r="D47716" s="2">
        <v>2.0176499196704299E-4</v>
      </c>
      <c r="E47716" s="2">
        <v>1.37633816628745E-4</v>
      </c>
      <c r="F47716" s="2">
        <v>2.9476238717468799E-4</v>
      </c>
    </row>
    <row r="47717" spans="1:6" x14ac:dyDescent="0.25">
      <c r="A47717" s="1" t="str">
        <f t="shared" si="1549"/>
        <v>99999</v>
      </c>
      <c r="B47717" s="1" t="str">
        <f>"22578"</f>
        <v>22578</v>
      </c>
      <c r="C47717" s="2">
        <v>1.6228307494706501E-4</v>
      </c>
      <c r="D47717" s="2">
        <v>8.7331115926033497E-5</v>
      </c>
      <c r="E47717" s="2">
        <v>4.7311624466131299E-5</v>
      </c>
      <c r="F47717" s="2">
        <v>1.5473298396046501E-4</v>
      </c>
    </row>
    <row r="47718" spans="1:6" x14ac:dyDescent="0.25">
      <c r="A47718" s="1" t="str">
        <f t="shared" si="1549"/>
        <v>99999</v>
      </c>
      <c r="B47718" s="1" t="str">
        <f>"23092"</f>
        <v>23092</v>
      </c>
      <c r="C47718" s="2">
        <v>2.0677830096657399E-5</v>
      </c>
      <c r="D47718" s="2">
        <v>2.1079924533870101E-5</v>
      </c>
      <c r="E47718" s="2">
        <v>4.3010567696482999E-6</v>
      </c>
      <c r="F47718" s="2">
        <v>2.0328440494806002E-5</v>
      </c>
    </row>
    <row r="47719" spans="1:6" x14ac:dyDescent="0.25">
      <c r="A47719" s="1" t="str">
        <f t="shared" si="1549"/>
        <v>99999</v>
      </c>
      <c r="B47719" s="1" t="str">
        <f>"23102"</f>
        <v>23102</v>
      </c>
      <c r="C47719" s="2">
        <v>1.1908697961425701E-5</v>
      </c>
      <c r="D47719" s="2">
        <v>0</v>
      </c>
      <c r="E47719" s="2">
        <v>0</v>
      </c>
      <c r="F47719" s="2">
        <v>1.08549924972265E-5</v>
      </c>
    </row>
    <row r="47720" spans="1:6" x14ac:dyDescent="0.25">
      <c r="A47720" s="1" t="str">
        <f t="shared" si="1549"/>
        <v>99999</v>
      </c>
      <c r="B47720" s="1" t="str">
        <f>"23415"</f>
        <v>23415</v>
      </c>
      <c r="C47720" s="2">
        <v>9.5594366363081399E-5</v>
      </c>
      <c r="D47720" s="2">
        <v>8.2813989240204205E-5</v>
      </c>
      <c r="E47720" s="2">
        <v>4.3010567696482999E-6</v>
      </c>
      <c r="F47720" s="2">
        <v>9.2662163226324805E-5</v>
      </c>
    </row>
    <row r="47721" spans="1:6" x14ac:dyDescent="0.25">
      <c r="A47721" s="1" t="str">
        <f t="shared" si="1549"/>
        <v>99999</v>
      </c>
      <c r="B47721" s="1" t="str">
        <f>"23357"</f>
        <v>23357</v>
      </c>
      <c r="C47721" s="2">
        <v>2.84726142168634E-5</v>
      </c>
      <c r="D47721" s="2">
        <v>6.0228355811057601E-6</v>
      </c>
      <c r="E47721" s="2">
        <v>0</v>
      </c>
      <c r="F47721" s="2">
        <v>2.6348027243268001E-5</v>
      </c>
    </row>
    <row r="47722" spans="1:6" x14ac:dyDescent="0.25">
      <c r="A47722" s="1" t="str">
        <f t="shared" si="1549"/>
        <v>99999</v>
      </c>
      <c r="B47722" s="1" t="str">
        <f>"23421"</f>
        <v>23421</v>
      </c>
      <c r="C47722" s="2">
        <v>1.2265958900268501E-4</v>
      </c>
      <c r="D47722" s="2">
        <v>4.9688393544122498E-5</v>
      </c>
      <c r="E47722" s="2">
        <v>8.6021135392965999E-6</v>
      </c>
      <c r="F47722" s="2">
        <v>1.1526028397055E-4</v>
      </c>
    </row>
    <row r="47723" spans="1:6" x14ac:dyDescent="0.25">
      <c r="A47723" s="1" t="str">
        <f t="shared" si="1549"/>
        <v>99999</v>
      </c>
      <c r="B47723" s="1" t="str">
        <f>"23405"</f>
        <v>23405</v>
      </c>
      <c r="C47723" s="2">
        <v>4.99082705474298E-5</v>
      </c>
      <c r="D47723" s="2">
        <v>1.50570889527644E-5</v>
      </c>
      <c r="E47723" s="2">
        <v>8.6021135392965999E-6</v>
      </c>
      <c r="F47723" s="2">
        <v>4.6676467738074101E-5</v>
      </c>
    </row>
    <row r="47724" spans="1:6" x14ac:dyDescent="0.25">
      <c r="A47724" s="1" t="str">
        <f t="shared" si="1549"/>
        <v>99999</v>
      </c>
      <c r="B47724" s="1" t="str">
        <f>"23410"</f>
        <v>23410</v>
      </c>
      <c r="C47724" s="2">
        <v>7.9355232779319002E-5</v>
      </c>
      <c r="D47724" s="2">
        <v>5.1194102439398901E-5</v>
      </c>
      <c r="E47724" s="2">
        <v>8.6021135392965999E-6</v>
      </c>
      <c r="F47724" s="2">
        <v>7.5886265730611003E-5</v>
      </c>
    </row>
    <row r="47725" spans="1:6" x14ac:dyDescent="0.25">
      <c r="A47725" s="1" t="str">
        <f t="shared" si="1549"/>
        <v>99999</v>
      </c>
      <c r="B47725" s="1" t="str">
        <f>"23442"</f>
        <v>23442</v>
      </c>
      <c r="C47725" s="2">
        <v>5.3372619045299102E-5</v>
      </c>
      <c r="D47725" s="2">
        <v>2.25856334291466E-5</v>
      </c>
      <c r="E47725" s="2">
        <v>0</v>
      </c>
      <c r="F47725" s="2">
        <v>5.0130328987191699E-5</v>
      </c>
    </row>
    <row r="47726" spans="1:6" x14ac:dyDescent="0.25">
      <c r="A47726" s="1" t="str">
        <f t="shared" si="1549"/>
        <v>99999</v>
      </c>
      <c r="B47726" s="1" t="str">
        <f>"23306"</f>
        <v>23306</v>
      </c>
      <c r="C47726" s="2">
        <v>2.92304404507723E-5</v>
      </c>
      <c r="D47726" s="2">
        <v>7.5285444763821999E-6</v>
      </c>
      <c r="E47726" s="2">
        <v>0</v>
      </c>
      <c r="F47726" s="2">
        <v>2.7137481243066299E-5</v>
      </c>
    </row>
    <row r="47727" spans="1:6" x14ac:dyDescent="0.25">
      <c r="A47727" s="1" t="str">
        <f t="shared" si="1549"/>
        <v>99999</v>
      </c>
      <c r="B47727" s="1" t="str">
        <f>"24487"</f>
        <v>24487</v>
      </c>
      <c r="C47727" s="2">
        <v>3.1287397371382199E-5</v>
      </c>
      <c r="D47727" s="2">
        <v>1.50570889527644E-5</v>
      </c>
      <c r="E47727" s="2">
        <v>0</v>
      </c>
      <c r="F47727" s="2">
        <v>2.9505843242461201E-5</v>
      </c>
    </row>
    <row r="47728" spans="1:6" x14ac:dyDescent="0.25">
      <c r="A47728" s="1" t="str">
        <f t="shared" si="1549"/>
        <v>99999</v>
      </c>
      <c r="B47728" s="1" t="str">
        <f>"23930"</f>
        <v>23930</v>
      </c>
      <c r="C47728" s="2">
        <v>2.9306223074163199E-4</v>
      </c>
      <c r="D47728" s="2">
        <v>2.8759039899780003E-4</v>
      </c>
      <c r="E47728" s="2">
        <v>9.4623248932262599E-5</v>
      </c>
      <c r="F47728" s="2">
        <v>2.88150709926377E-4</v>
      </c>
    </row>
    <row r="47729" spans="1:6" x14ac:dyDescent="0.25">
      <c r="A47729" s="1" t="str">
        <f t="shared" si="1549"/>
        <v>99999</v>
      </c>
      <c r="B47729" s="1" t="str">
        <f>"23888"</f>
        <v>23888</v>
      </c>
      <c r="C47729" s="2">
        <v>1.30995677575683E-5</v>
      </c>
      <c r="D47729" s="2">
        <v>1.50570889527644E-6</v>
      </c>
      <c r="E47729" s="2">
        <v>0</v>
      </c>
      <c r="F47729" s="2">
        <v>1.2039173496923901E-5</v>
      </c>
    </row>
    <row r="47730" spans="1:6" x14ac:dyDescent="0.25">
      <c r="A47730" s="1" t="str">
        <f t="shared" si="1549"/>
        <v>99999</v>
      </c>
      <c r="B47730" s="1" t="str">
        <f>"23883"</f>
        <v>23883</v>
      </c>
      <c r="C47730" s="2">
        <v>1.5676176952858601E-4</v>
      </c>
      <c r="D47730" s="2">
        <v>1.8068506743317201E-4</v>
      </c>
      <c r="E47730" s="2">
        <v>3.44084541571864E-5</v>
      </c>
      <c r="F47730" s="2">
        <v>1.5552243796026401E-4</v>
      </c>
    </row>
    <row r="47731" spans="1:6" x14ac:dyDescent="0.25">
      <c r="A47731" s="1" t="str">
        <f t="shared" si="1549"/>
        <v>99999</v>
      </c>
      <c r="B47731" s="1" t="str">
        <f>"24458"</f>
        <v>24458</v>
      </c>
      <c r="C47731" s="2">
        <v>2.5116526609552499E-5</v>
      </c>
      <c r="D47731" s="2">
        <v>2.1079924533870101E-5</v>
      </c>
      <c r="E47731" s="2">
        <v>0</v>
      </c>
      <c r="F47731" s="2">
        <v>2.42757104937975E-5</v>
      </c>
    </row>
    <row r="47732" spans="1:6" x14ac:dyDescent="0.25">
      <c r="A47732" s="1" t="str">
        <f t="shared" si="1549"/>
        <v>99999</v>
      </c>
      <c r="B47732" s="1" t="str">
        <f>"24445"</f>
        <v>24445</v>
      </c>
      <c r="C47732" s="2">
        <v>1.3835741813365501E-4</v>
      </c>
      <c r="D47732" s="2">
        <v>8.4319698135480595E-5</v>
      </c>
      <c r="E47732" s="2">
        <v>9.0322192162614306E-5</v>
      </c>
      <c r="F47732" s="2">
        <v>1.33713771215836E-4</v>
      </c>
    </row>
    <row r="47733" spans="1:6" x14ac:dyDescent="0.25">
      <c r="A47733" s="1" t="str">
        <f t="shared" si="1549"/>
        <v>99999</v>
      </c>
      <c r="B47733" s="1" t="str">
        <f>"24138"</f>
        <v>24138</v>
      </c>
      <c r="C47733" s="2">
        <v>3.4968267650368402E-5</v>
      </c>
      <c r="D47733" s="2">
        <v>7.5285444763821999E-6</v>
      </c>
      <c r="E47733" s="2">
        <v>0</v>
      </c>
      <c r="F47733" s="2">
        <v>3.236761399173E-5</v>
      </c>
    </row>
    <row r="47734" spans="1:6" x14ac:dyDescent="0.25">
      <c r="A47734" s="1" t="str">
        <f t="shared" si="1549"/>
        <v>99999</v>
      </c>
      <c r="B47734" s="1" t="str">
        <f>"24348"</f>
        <v>24348</v>
      </c>
      <c r="C47734" s="2">
        <v>2.25399174142622E-4</v>
      </c>
      <c r="D47734" s="2">
        <v>1.3551380057487899E-4</v>
      </c>
      <c r="E47734" s="2">
        <v>2.0214966817347E-4</v>
      </c>
      <c r="F47734" s="2">
        <v>2.1897480319405099E-4</v>
      </c>
    </row>
    <row r="47735" spans="1:6" x14ac:dyDescent="0.25">
      <c r="A47735" s="1" t="str">
        <f t="shared" si="1549"/>
        <v>99999</v>
      </c>
      <c r="B47735" s="1" t="str">
        <f>"24318"</f>
        <v>24318</v>
      </c>
      <c r="C47735" s="2">
        <v>1.5589568240411901E-5</v>
      </c>
      <c r="D47735" s="2">
        <v>3.01141779055288E-6</v>
      </c>
      <c r="E47735" s="2">
        <v>0</v>
      </c>
      <c r="F47735" s="2">
        <v>1.4407535496318799E-5</v>
      </c>
    </row>
    <row r="47736" spans="1:6" x14ac:dyDescent="0.25">
      <c r="A47736" s="1" t="str">
        <f t="shared" si="1549"/>
        <v>99999</v>
      </c>
      <c r="B47736" s="1" t="str">
        <f>"24319"</f>
        <v>24319</v>
      </c>
      <c r="C47736" s="2">
        <v>5.4011358299593804E-4</v>
      </c>
      <c r="D47736" s="2">
        <v>3.3577308364664602E-4</v>
      </c>
      <c r="E47736" s="2">
        <v>1.8494544109487701E-4</v>
      </c>
      <c r="F47736" s="2">
        <v>5.1857259611750401E-4</v>
      </c>
    </row>
    <row r="47737" spans="1:6" x14ac:dyDescent="0.25">
      <c r="A47737" s="1" t="str">
        <f t="shared" si="1549"/>
        <v>99999</v>
      </c>
      <c r="B47737" s="1" t="str">
        <f>"24317"</f>
        <v>24317</v>
      </c>
      <c r="C47737" s="2">
        <v>2.0937656233997601E-4</v>
      </c>
      <c r="D47737" s="2">
        <v>1.37019509470156E-4</v>
      </c>
      <c r="E47737" s="2">
        <v>2.15052838482415E-5</v>
      </c>
      <c r="F47737" s="2">
        <v>2.00323952448817E-4</v>
      </c>
    </row>
    <row r="47738" spans="1:6" x14ac:dyDescent="0.25">
      <c r="A47738" s="1" t="str">
        <f t="shared" si="1549"/>
        <v>99999</v>
      </c>
      <c r="B47738" s="1" t="str">
        <f>"24292"</f>
        <v>24292</v>
      </c>
      <c r="C47738" s="2">
        <v>3.5509572103160502E-5</v>
      </c>
      <c r="D47738" s="2">
        <v>2.4091342324423E-5</v>
      </c>
      <c r="E47738" s="2">
        <v>0</v>
      </c>
      <c r="F47738" s="2">
        <v>3.3946521991326597E-5</v>
      </c>
    </row>
    <row r="47739" spans="1:6" x14ac:dyDescent="0.25">
      <c r="A47739" s="1" t="str">
        <f t="shared" si="1549"/>
        <v>99999</v>
      </c>
      <c r="B47739" s="1" t="str">
        <f>"24324"</f>
        <v>24324</v>
      </c>
      <c r="C47739" s="2">
        <v>1.68886989271129E-5</v>
      </c>
      <c r="D47739" s="2">
        <v>6.0228355811057601E-6</v>
      </c>
      <c r="E47739" s="2">
        <v>0</v>
      </c>
      <c r="F47739" s="2">
        <v>1.5789079995965799E-5</v>
      </c>
    </row>
    <row r="47740" spans="1:6" x14ac:dyDescent="0.25">
      <c r="A47740" s="1" t="str">
        <f t="shared" si="1549"/>
        <v>99999</v>
      </c>
      <c r="B47740" s="1" t="str">
        <f>"24589"</f>
        <v>24589</v>
      </c>
      <c r="C47740" s="2">
        <v>1.21035675644309E-4</v>
      </c>
      <c r="D47740" s="2">
        <v>6.3239773601610501E-5</v>
      </c>
      <c r="E47740" s="2">
        <v>3.01073973875381E-5</v>
      </c>
      <c r="F47740" s="2">
        <v>1.15161602220576E-4</v>
      </c>
    </row>
    <row r="47741" spans="1:6" x14ac:dyDescent="0.25">
      <c r="A47741" s="1" t="str">
        <f t="shared" si="1549"/>
        <v>99999</v>
      </c>
      <c r="B47741" s="1" t="str">
        <f>"24974"</f>
        <v>24974</v>
      </c>
      <c r="C47741" s="2">
        <v>1.68886989271129E-5</v>
      </c>
      <c r="D47741" s="2">
        <v>3.01141779055288E-6</v>
      </c>
      <c r="E47741" s="2">
        <v>0</v>
      </c>
      <c r="F47741" s="2">
        <v>1.5591716496016299E-5</v>
      </c>
    </row>
    <row r="47742" spans="1:6" x14ac:dyDescent="0.25">
      <c r="A47742" s="1" t="str">
        <f t="shared" si="1549"/>
        <v>99999</v>
      </c>
      <c r="B47742" s="1" t="str">
        <f>"25243"</f>
        <v>25243</v>
      </c>
      <c r="C47742" s="2">
        <v>6.4848273444491198E-5</v>
      </c>
      <c r="D47742" s="2">
        <v>4.5171266858293203E-6</v>
      </c>
      <c r="E47742" s="2">
        <v>4.3010567696482999E-6</v>
      </c>
      <c r="F47742" s="2">
        <v>5.9505095234796402E-5</v>
      </c>
    </row>
    <row r="47743" spans="1:6" x14ac:dyDescent="0.25">
      <c r="A47743" s="1" t="str">
        <f t="shared" si="1549"/>
        <v>99999</v>
      </c>
      <c r="B47743" s="1" t="str">
        <f>"24901"</f>
        <v>24901</v>
      </c>
      <c r="C47743" s="2">
        <v>6.2087620735251604E-4</v>
      </c>
      <c r="D47743" s="2">
        <v>1.0539962266935001E-3</v>
      </c>
      <c r="E47743" s="2">
        <v>9.9784517055840597E-4</v>
      </c>
      <c r="F47743" s="2">
        <v>6.5791122708190304E-4</v>
      </c>
    </row>
    <row r="47744" spans="1:6" x14ac:dyDescent="0.25">
      <c r="A47744" s="1" t="str">
        <f t="shared" si="1549"/>
        <v>99999</v>
      </c>
      <c r="B47744" s="1" t="str">
        <f>"24801"</f>
        <v>24801</v>
      </c>
      <c r="C47744" s="2">
        <v>2.5625352795177102E-4</v>
      </c>
      <c r="D47744" s="2">
        <v>4.6978117532624902E-4</v>
      </c>
      <c r="E47744" s="2">
        <v>2.4516023586995298E-4</v>
      </c>
      <c r="F47744" s="2">
        <v>2.6999326793101603E-4</v>
      </c>
    </row>
    <row r="47745" spans="1:6" x14ac:dyDescent="0.25">
      <c r="A47745" s="1" t="str">
        <f t="shared" si="1549"/>
        <v>99999</v>
      </c>
      <c r="B47745" s="1" t="str">
        <f>"24872"</f>
        <v>24872</v>
      </c>
      <c r="C47745" s="2">
        <v>5.2073488358598103E-5</v>
      </c>
      <c r="D47745" s="2">
        <v>3.01141779055288E-6</v>
      </c>
      <c r="E47745" s="2">
        <v>0</v>
      </c>
      <c r="F47745" s="2">
        <v>4.7663285237821997E-5</v>
      </c>
    </row>
    <row r="47746" spans="1:6" x14ac:dyDescent="0.25">
      <c r="A47746" s="1" t="str">
        <f t="shared" si="1549"/>
        <v>99999</v>
      </c>
      <c r="B47746" s="1" t="str">
        <f>"24924"</f>
        <v>24924</v>
      </c>
      <c r="C47746" s="2">
        <v>2.8797396888538699E-5</v>
      </c>
      <c r="D47746" s="2">
        <v>3.7642722381910999E-5</v>
      </c>
      <c r="E47746" s="2">
        <v>0</v>
      </c>
      <c r="F47746" s="2">
        <v>2.87163892426629E-5</v>
      </c>
    </row>
    <row r="47747" spans="1:6" x14ac:dyDescent="0.25">
      <c r="A47747" s="1" t="str">
        <f t="shared" si="1549"/>
        <v>99999</v>
      </c>
      <c r="B47747" s="1" t="str">
        <f>"24831"</f>
        <v>24831</v>
      </c>
      <c r="C47747" s="2">
        <v>7.3617405579722903E-6</v>
      </c>
      <c r="D47747" s="2">
        <v>1.50570889527644E-6</v>
      </c>
      <c r="E47747" s="2">
        <v>0</v>
      </c>
      <c r="F47747" s="2">
        <v>6.8090407482602902E-6</v>
      </c>
    </row>
    <row r="47748" spans="1:6" x14ac:dyDescent="0.25">
      <c r="A47748" s="1" t="str">
        <f t="shared" si="1549"/>
        <v>99999</v>
      </c>
      <c r="B47748" s="1" t="str">
        <f>"25666"</f>
        <v>25666</v>
      </c>
      <c r="C47748" s="2">
        <v>2.1002612768332701E-5</v>
      </c>
      <c r="D47748" s="2">
        <v>0</v>
      </c>
      <c r="E47748" s="2">
        <v>4.3010567696482999E-6</v>
      </c>
      <c r="F47748" s="2">
        <v>1.92429412450834E-5</v>
      </c>
    </row>
    <row r="47749" spans="1:6" x14ac:dyDescent="0.25">
      <c r="A47749" s="1" t="str">
        <f t="shared" si="1549"/>
        <v>99999</v>
      </c>
      <c r="B47749" s="1" t="str">
        <f>"26351"</f>
        <v>26351</v>
      </c>
      <c r="C47749" s="2">
        <v>1.8588394908880001E-4</v>
      </c>
      <c r="D47749" s="2">
        <v>3.3878450143719901E-4</v>
      </c>
      <c r="E47749" s="2">
        <v>3.7849299572905002E-4</v>
      </c>
      <c r="F47749" s="2">
        <v>2.00323952448817E-4</v>
      </c>
    </row>
    <row r="47750" spans="1:6" x14ac:dyDescent="0.25">
      <c r="A47750" s="1" t="str">
        <f t="shared" ref="A47750:A47813" si="1550">"99999"</f>
        <v>99999</v>
      </c>
      <c r="B47750" s="1" t="str">
        <f>"26346"</f>
        <v>26346</v>
      </c>
      <c r="C47750" s="2">
        <v>3.0529571137473299E-5</v>
      </c>
      <c r="D47750" s="2">
        <v>3.1619886800805203E-5</v>
      </c>
      <c r="E47750" s="2">
        <v>4.3010567696482999E-6</v>
      </c>
      <c r="F47750" s="2">
        <v>2.9999251992335099E-5</v>
      </c>
    </row>
    <row r="47751" spans="1:6" x14ac:dyDescent="0.25">
      <c r="A47751" s="1" t="str">
        <f t="shared" si="1550"/>
        <v>99999</v>
      </c>
      <c r="B47751" s="1" t="str">
        <f>"26161"</f>
        <v>26161</v>
      </c>
      <c r="C47751" s="2">
        <v>2.4900004828435702E-5</v>
      </c>
      <c r="D47751" s="2">
        <v>3.01141779055288E-6</v>
      </c>
      <c r="E47751" s="2">
        <v>4.3010567696482999E-6</v>
      </c>
      <c r="F47751" s="2">
        <v>2.2992847744125301E-5</v>
      </c>
    </row>
    <row r="47752" spans="1:6" x14ac:dyDescent="0.25">
      <c r="A47752" s="1" t="str">
        <f t="shared" si="1550"/>
        <v>99999</v>
      </c>
      <c r="B47752" s="1" t="str">
        <f>"26320"</f>
        <v>26320</v>
      </c>
      <c r="C47752" s="2">
        <v>3.7241746352095101E-5</v>
      </c>
      <c r="D47752" s="2">
        <v>1.65627978480408E-5</v>
      </c>
      <c r="E47752" s="2">
        <v>0</v>
      </c>
      <c r="F47752" s="2">
        <v>3.5032021241049297E-5</v>
      </c>
    </row>
    <row r="47753" spans="1:6" x14ac:dyDescent="0.25">
      <c r="A47753" s="1" t="str">
        <f t="shared" si="1550"/>
        <v>99999</v>
      </c>
      <c r="B47753" s="1" t="str">
        <f>"26134"</f>
        <v>26134</v>
      </c>
      <c r="C47753" s="2">
        <v>2.6632179077370302E-5</v>
      </c>
      <c r="D47753" s="2">
        <v>3.4631304591358098E-5</v>
      </c>
      <c r="E47753" s="2">
        <v>4.7311624466131299E-5</v>
      </c>
      <c r="F47753" s="2">
        <v>2.7630889992940302E-5</v>
      </c>
    </row>
    <row r="47754" spans="1:6" x14ac:dyDescent="0.25">
      <c r="A47754" s="1" t="str">
        <f t="shared" si="1550"/>
        <v>99999</v>
      </c>
      <c r="B47754" s="1" t="str">
        <f>"26847"</f>
        <v>26847</v>
      </c>
      <c r="C47754" s="2">
        <v>3.1374006083828999E-4</v>
      </c>
      <c r="D47754" s="2">
        <v>4.4418412410654901E-4</v>
      </c>
      <c r="E47754" s="2">
        <v>4.7311624466131301E-4</v>
      </c>
      <c r="F47754" s="2">
        <v>3.2594582016671998E-4</v>
      </c>
    </row>
    <row r="47755" spans="1:6" x14ac:dyDescent="0.25">
      <c r="A47755" s="1" t="str">
        <f t="shared" si="1550"/>
        <v>99999</v>
      </c>
      <c r="B47755" s="1" t="str">
        <f>"26814"</f>
        <v>26814</v>
      </c>
      <c r="C47755" s="2">
        <v>2.23017434550337E-5</v>
      </c>
      <c r="D47755" s="2">
        <v>6.0228355811057601E-6</v>
      </c>
      <c r="E47755" s="2">
        <v>0</v>
      </c>
      <c r="F47755" s="2">
        <v>2.07231674947052E-5</v>
      </c>
    </row>
    <row r="47756" spans="1:6" x14ac:dyDescent="0.25">
      <c r="A47756" s="1" t="str">
        <f t="shared" si="1550"/>
        <v>99999</v>
      </c>
      <c r="B47756" s="1" t="str">
        <f>"27244"</f>
        <v>27244</v>
      </c>
      <c r="C47756" s="2">
        <v>7.2426535783580399E-5</v>
      </c>
      <c r="D47756" s="2">
        <v>1.0539962266935E-5</v>
      </c>
      <c r="E47756" s="2">
        <v>0</v>
      </c>
      <c r="F47756" s="2">
        <v>6.6708862982955806E-5</v>
      </c>
    </row>
    <row r="47757" spans="1:6" x14ac:dyDescent="0.25">
      <c r="A47757" s="1" t="str">
        <f t="shared" si="1550"/>
        <v>99999</v>
      </c>
      <c r="B47757" s="1" t="str">
        <f>"27305"</f>
        <v>27305</v>
      </c>
      <c r="C47757" s="2">
        <v>6.8420882832919005E-5</v>
      </c>
      <c r="D47757" s="2">
        <v>9.0342533716586405E-6</v>
      </c>
      <c r="E47757" s="2">
        <v>1.29031703089449E-5</v>
      </c>
      <c r="F47757" s="2">
        <v>6.3255001733838296E-5</v>
      </c>
    </row>
    <row r="47758" spans="1:6" x14ac:dyDescent="0.25">
      <c r="A47758" s="1" t="str">
        <f t="shared" si="1550"/>
        <v>99999</v>
      </c>
      <c r="B47758" s="1" t="str">
        <f>"27326"</f>
        <v>27326</v>
      </c>
      <c r="C47758" s="2">
        <v>6.4306968991699194E-5</v>
      </c>
      <c r="D47758" s="2">
        <v>1.65627978480408E-5</v>
      </c>
      <c r="E47758" s="2">
        <v>8.6021135392965999E-6</v>
      </c>
      <c r="F47758" s="2">
        <v>5.9899822234695502E-5</v>
      </c>
    </row>
    <row r="47759" spans="1:6" x14ac:dyDescent="0.25">
      <c r="A47759" s="1" t="str">
        <f t="shared" si="1550"/>
        <v>99999</v>
      </c>
      <c r="B47759" s="1" t="str">
        <f>"27315"</f>
        <v>27315</v>
      </c>
      <c r="C47759" s="2">
        <v>1.13998717758012E-4</v>
      </c>
      <c r="D47759" s="2">
        <v>4.3665557963016701E-5</v>
      </c>
      <c r="E47759" s="2">
        <v>1.72042270785932E-5</v>
      </c>
      <c r="F47759" s="2">
        <v>1.07168380472618E-4</v>
      </c>
    </row>
    <row r="47760" spans="1:6" x14ac:dyDescent="0.25">
      <c r="A47760" s="1" t="str">
        <f t="shared" si="1550"/>
        <v>99999</v>
      </c>
      <c r="B47760" s="1" t="str">
        <f>"27871"</f>
        <v>27871</v>
      </c>
      <c r="C47760" s="2">
        <v>1.5351394281183401E-4</v>
      </c>
      <c r="D47760" s="2">
        <v>6.6251191392163294E-5</v>
      </c>
      <c r="E47760" s="2">
        <v>4.3010567696482999E-6</v>
      </c>
      <c r="F47760" s="2">
        <v>1.4437140021311299E-4</v>
      </c>
    </row>
    <row r="47761" spans="1:6" x14ac:dyDescent="0.25">
      <c r="A47761" s="1" t="str">
        <f t="shared" si="1550"/>
        <v>99999</v>
      </c>
      <c r="B47761" s="1" t="str">
        <f>"27855"</f>
        <v>27855</v>
      </c>
      <c r="C47761" s="2">
        <v>2.7812222784457101E-4</v>
      </c>
      <c r="D47761" s="2">
        <v>2.9662465236945799E-4</v>
      </c>
      <c r="E47761" s="2">
        <v>1.63440157246635E-4</v>
      </c>
      <c r="F47761" s="2">
        <v>2.7670362692930198E-4</v>
      </c>
    </row>
    <row r="47762" spans="1:6" x14ac:dyDescent="0.25">
      <c r="A47762" s="1" t="str">
        <f t="shared" si="1550"/>
        <v>99999</v>
      </c>
      <c r="B47762" s="1" t="str">
        <f>"27860"</f>
        <v>27860</v>
      </c>
      <c r="C47762" s="2">
        <v>1.2233480633101E-5</v>
      </c>
      <c r="D47762" s="2">
        <v>2.4091342324423E-5</v>
      </c>
      <c r="E47762" s="2">
        <v>0</v>
      </c>
      <c r="F47762" s="2">
        <v>1.27299457467474E-5</v>
      </c>
    </row>
    <row r="47763" spans="1:6" x14ac:dyDescent="0.25">
      <c r="A47763" s="1" t="str">
        <f t="shared" si="1550"/>
        <v>99999</v>
      </c>
      <c r="B47763" s="1" t="str">
        <f>"27843"</f>
        <v>27843</v>
      </c>
      <c r="C47763" s="2">
        <v>1.0284784603049499E-5</v>
      </c>
      <c r="D47763" s="2">
        <v>4.5171266858293203E-6</v>
      </c>
      <c r="E47763" s="2">
        <v>0</v>
      </c>
      <c r="F47763" s="2">
        <v>9.6708114975291003E-6</v>
      </c>
    </row>
    <row r="47764" spans="1:6" x14ac:dyDescent="0.25">
      <c r="A47764" s="1" t="str">
        <f t="shared" si="1550"/>
        <v>99999</v>
      </c>
      <c r="B47764" s="1" t="str">
        <f>"28604"</f>
        <v>28604</v>
      </c>
      <c r="C47764" s="2">
        <v>4.1583008063487601E-4</v>
      </c>
      <c r="D47764" s="2">
        <v>4.32138452944338E-4</v>
      </c>
      <c r="E47764" s="2">
        <v>9.2902826224403295E-4</v>
      </c>
      <c r="F47764" s="2">
        <v>4.2867352189047302E-4</v>
      </c>
    </row>
    <row r="47765" spans="1:6" x14ac:dyDescent="0.25">
      <c r="A47765" s="1" t="str">
        <f t="shared" si="1550"/>
        <v>99999</v>
      </c>
      <c r="B47765" s="1" t="str">
        <f>"27932"</f>
        <v>27932</v>
      </c>
      <c r="C47765" s="2">
        <v>7.2935361969204905E-4</v>
      </c>
      <c r="D47765" s="2">
        <v>8.8535683042254704E-4</v>
      </c>
      <c r="E47765" s="2">
        <v>7.0107225345267298E-4</v>
      </c>
      <c r="F47765" s="2">
        <v>7.3892894381120304E-4</v>
      </c>
    </row>
    <row r="47766" spans="1:6" x14ac:dyDescent="0.25">
      <c r="A47766" s="1" t="str">
        <f t="shared" si="1550"/>
        <v>99999</v>
      </c>
      <c r="B47766" s="1" t="str">
        <f>"27922"</f>
        <v>27922</v>
      </c>
      <c r="C47766" s="2">
        <v>3.5184789431485203E-5</v>
      </c>
      <c r="D47766" s="2">
        <v>4.0654140172463799E-5</v>
      </c>
      <c r="E47766" s="2">
        <v>0</v>
      </c>
      <c r="F47766" s="2">
        <v>3.4735975991124899E-5</v>
      </c>
    </row>
    <row r="47767" spans="1:6" x14ac:dyDescent="0.25">
      <c r="A47767" s="1" t="str">
        <f t="shared" si="1550"/>
        <v>99999</v>
      </c>
      <c r="B47767" s="1" t="str">
        <f>"28334"</f>
        <v>28334</v>
      </c>
      <c r="C47767" s="2">
        <v>3.4578528444358098E-4</v>
      </c>
      <c r="D47767" s="2">
        <v>1.76167940747343E-4</v>
      </c>
      <c r="E47767" s="2">
        <v>0</v>
      </c>
      <c r="F47767" s="2">
        <v>3.26735274166519E-4</v>
      </c>
    </row>
    <row r="47768" spans="1:6" x14ac:dyDescent="0.25">
      <c r="A47768" s="1" t="str">
        <f t="shared" si="1550"/>
        <v>99999</v>
      </c>
      <c r="B47768" s="1" t="str">
        <f>"28385"</f>
        <v>28385</v>
      </c>
      <c r="C47768" s="2">
        <v>1.2948002510786499E-4</v>
      </c>
      <c r="D47768" s="2">
        <v>2.4091342324423E-5</v>
      </c>
      <c r="E47768" s="2">
        <v>1.72042270785932E-5</v>
      </c>
      <c r="F47768" s="2">
        <v>1.1999700796934E-4</v>
      </c>
    </row>
    <row r="47769" spans="1:6" x14ac:dyDescent="0.25">
      <c r="A47769" s="1" t="str">
        <f t="shared" si="1550"/>
        <v>99999</v>
      </c>
      <c r="B47769" s="1" t="str">
        <f>"04760"</f>
        <v>04760</v>
      </c>
      <c r="C47769" s="2">
        <v>3.1070875590265398E-5</v>
      </c>
      <c r="D47769" s="2">
        <v>2.1079924533870101E-5</v>
      </c>
      <c r="E47769" s="2">
        <v>2.15052838482415E-5</v>
      </c>
      <c r="F47769" s="2">
        <v>3.0196615492284699E-5</v>
      </c>
    </row>
    <row r="47770" spans="1:6" x14ac:dyDescent="0.25">
      <c r="A47770" s="1" t="str">
        <f t="shared" si="1550"/>
        <v>99999</v>
      </c>
      <c r="B47770" s="1" t="str">
        <f>"04763"</f>
        <v>04763</v>
      </c>
      <c r="C47770" s="2">
        <v>3.2370006276966397E-5</v>
      </c>
      <c r="D47770" s="2">
        <v>9.0342533716586405E-6</v>
      </c>
      <c r="E47770" s="2">
        <v>4.3010567696482999E-6</v>
      </c>
      <c r="F47770" s="2">
        <v>3.0196615492284699E-5</v>
      </c>
    </row>
    <row r="47771" spans="1:6" x14ac:dyDescent="0.25">
      <c r="A47771" s="1" t="str">
        <f t="shared" si="1550"/>
        <v>99999</v>
      </c>
      <c r="B47771" s="1" t="str">
        <f>"04941"</f>
        <v>04941</v>
      </c>
      <c r="C47771" s="2">
        <v>9.3970453004705196E-5</v>
      </c>
      <c r="D47771" s="2">
        <v>3.31255956960816E-5</v>
      </c>
      <c r="E47771" s="2">
        <v>3.8709510926834699E-5</v>
      </c>
      <c r="F47771" s="2">
        <v>8.8714893227333303E-5</v>
      </c>
    </row>
    <row r="47772" spans="1:6" x14ac:dyDescent="0.25">
      <c r="A47772" s="1" t="str">
        <f t="shared" si="1550"/>
        <v>99999</v>
      </c>
      <c r="B47772" s="1" t="str">
        <f>"04965"</f>
        <v>04965</v>
      </c>
      <c r="C47772" s="2">
        <v>1.00249584657093E-4</v>
      </c>
      <c r="D47772" s="2">
        <v>4.9688393544122498E-5</v>
      </c>
      <c r="E47772" s="2">
        <v>2.79568690027139E-4</v>
      </c>
      <c r="F47772" s="2">
        <v>1.01050111974181E-4</v>
      </c>
    </row>
    <row r="47773" spans="1:6" x14ac:dyDescent="0.25">
      <c r="A47773" s="1" t="str">
        <f t="shared" si="1550"/>
        <v>99999</v>
      </c>
      <c r="B47773" s="1" t="str">
        <f>"04556"</f>
        <v>04556</v>
      </c>
      <c r="C47773" s="2">
        <v>7.8922189217085306E-5</v>
      </c>
      <c r="D47773" s="2">
        <v>6.0228355811057599E-5</v>
      </c>
      <c r="E47773" s="2">
        <v>9.0322192162614306E-5</v>
      </c>
      <c r="F47773" s="2">
        <v>7.7958582480081503E-5</v>
      </c>
    </row>
    <row r="47774" spans="1:6" x14ac:dyDescent="0.25">
      <c r="A47774" s="1" t="str">
        <f t="shared" si="1550"/>
        <v>99999</v>
      </c>
      <c r="B47774" s="1" t="str">
        <f>"04652"</f>
        <v>04652</v>
      </c>
      <c r="C47774" s="2">
        <v>1.3456828696411101E-4</v>
      </c>
      <c r="D47774" s="2">
        <v>1.5358230731819599E-4</v>
      </c>
      <c r="E47774" s="2">
        <v>2.15052838482415E-5</v>
      </c>
      <c r="F47774" s="2">
        <v>1.33220362465962E-4</v>
      </c>
    </row>
    <row r="47775" spans="1:6" x14ac:dyDescent="0.25">
      <c r="A47775" s="1" t="str">
        <f t="shared" si="1550"/>
        <v>99999</v>
      </c>
      <c r="B47775" s="1" t="str">
        <f>"04627"</f>
        <v>04627</v>
      </c>
      <c r="C47775" s="2">
        <v>1.07827846996182E-4</v>
      </c>
      <c r="D47775" s="2">
        <v>4.2159849067740298E-5</v>
      </c>
      <c r="E47775" s="2">
        <v>7.7419021853669399E-5</v>
      </c>
      <c r="F47775" s="2">
        <v>1.02826383473727E-4</v>
      </c>
    </row>
    <row r="47776" spans="1:6" x14ac:dyDescent="0.25">
      <c r="A47776" s="1" t="str">
        <f t="shared" si="1550"/>
        <v>99999</v>
      </c>
      <c r="B47776" s="1" t="str">
        <f>"04667"</f>
        <v>04667</v>
      </c>
      <c r="C47776" s="2">
        <v>6.3116099195556605E-5</v>
      </c>
      <c r="D47776" s="2">
        <v>9.0342533716586405E-6</v>
      </c>
      <c r="E47776" s="2">
        <v>1.5053698693768999E-4</v>
      </c>
      <c r="F47776" s="2">
        <v>6.1577411984266902E-5</v>
      </c>
    </row>
    <row r="47777" spans="1:6" x14ac:dyDescent="0.25">
      <c r="A47777" s="1" t="str">
        <f t="shared" si="1550"/>
        <v>99999</v>
      </c>
      <c r="B47777" s="1" t="str">
        <f>"04694"</f>
        <v>04694</v>
      </c>
      <c r="C47777" s="2">
        <v>1.0869393412064899E-4</v>
      </c>
      <c r="D47777" s="2">
        <v>5.4205520229951803E-5</v>
      </c>
      <c r="E47777" s="2">
        <v>1.5913910047698701E-4</v>
      </c>
      <c r="F47777" s="2">
        <v>1.0628024472284499E-4</v>
      </c>
    </row>
    <row r="47778" spans="1:6" x14ac:dyDescent="0.25">
      <c r="A47778" s="1" t="str">
        <f t="shared" si="1550"/>
        <v>99999</v>
      </c>
      <c r="B47778" s="1" t="str">
        <f>"04668"</f>
        <v>04668</v>
      </c>
      <c r="C47778" s="2">
        <v>1.3543437408857799E-4</v>
      </c>
      <c r="D47778" s="2">
        <v>9.4859660402415704E-5</v>
      </c>
      <c r="E47778" s="2">
        <v>4.3010567696482999E-5</v>
      </c>
      <c r="F47778" s="2">
        <v>1.30654636966617E-4</v>
      </c>
    </row>
    <row r="47779" spans="1:6" x14ac:dyDescent="0.25">
      <c r="A47779" s="1" t="str">
        <f t="shared" si="1550"/>
        <v>99999</v>
      </c>
      <c r="B47779" s="1" t="str">
        <f>"04671"</f>
        <v>04671</v>
      </c>
      <c r="C47779" s="2">
        <v>2.8039570654629701E-5</v>
      </c>
      <c r="D47779" s="2">
        <v>6.0228355811057601E-6</v>
      </c>
      <c r="E47779" s="2">
        <v>4.3010567696482999E-6</v>
      </c>
      <c r="F47779" s="2">
        <v>2.6051981993343701E-5</v>
      </c>
    </row>
    <row r="47780" spans="1:6" x14ac:dyDescent="0.25">
      <c r="A47780" s="1" t="str">
        <f t="shared" si="1550"/>
        <v>99999</v>
      </c>
      <c r="B47780" s="1" t="str">
        <f>"05661"</f>
        <v>05661</v>
      </c>
      <c r="C47780" s="2">
        <v>3.1319875638549698E-4</v>
      </c>
      <c r="D47780" s="2">
        <v>3.7341580602855698E-4</v>
      </c>
      <c r="E47780" s="2">
        <v>8.7311452423860503E-4</v>
      </c>
      <c r="F47780" s="2">
        <v>3.2999177191568699E-4</v>
      </c>
    </row>
    <row r="47781" spans="1:6" x14ac:dyDescent="0.25">
      <c r="A47781" s="1" t="str">
        <f t="shared" si="1550"/>
        <v>99999</v>
      </c>
      <c r="B47781" s="1" t="str">
        <f>"05354"</f>
        <v>05354</v>
      </c>
      <c r="C47781" s="2">
        <v>9.5594366363081399E-5</v>
      </c>
      <c r="D47781" s="2">
        <v>3.31255956960816E-5</v>
      </c>
      <c r="E47781" s="2">
        <v>9.0322192162614306E-5</v>
      </c>
      <c r="F47781" s="2">
        <v>9.1379300476652505E-5</v>
      </c>
    </row>
    <row r="47782" spans="1:6" x14ac:dyDescent="0.25">
      <c r="A47782" s="1" t="str">
        <f t="shared" si="1550"/>
        <v>99999</v>
      </c>
      <c r="B47782" s="1" t="str">
        <f>"05363"</f>
        <v>05363</v>
      </c>
      <c r="C47782" s="2">
        <v>1.0544610740389699E-4</v>
      </c>
      <c r="D47782" s="2">
        <v>1.03893913774074E-4</v>
      </c>
      <c r="E47782" s="2">
        <v>7.7419021853669399E-5</v>
      </c>
      <c r="F47782" s="2">
        <v>1.04701336723248E-4</v>
      </c>
    </row>
    <row r="47783" spans="1:6" x14ac:dyDescent="0.25">
      <c r="A47783" s="1" t="str">
        <f t="shared" si="1550"/>
        <v>99999</v>
      </c>
      <c r="B47783" s="1" t="str">
        <f>"05872"</f>
        <v>05872</v>
      </c>
      <c r="C47783" s="2">
        <v>3.90821814915882E-5</v>
      </c>
      <c r="D47783" s="2">
        <v>3.01141779055288E-6</v>
      </c>
      <c r="E47783" s="2">
        <v>4.3010567696482999E-6</v>
      </c>
      <c r="F47783" s="2">
        <v>3.5920156990822301E-5</v>
      </c>
    </row>
    <row r="47784" spans="1:6" x14ac:dyDescent="0.25">
      <c r="A47784" s="1" t="str">
        <f t="shared" si="1550"/>
        <v>99999</v>
      </c>
      <c r="B47784" s="1" t="str">
        <f>"05824"</f>
        <v>05824</v>
      </c>
      <c r="C47784" s="2">
        <v>5.3156097264182301E-5</v>
      </c>
      <c r="D47784" s="2">
        <v>1.50570889527644E-5</v>
      </c>
      <c r="E47784" s="2">
        <v>1.72042270785932E-5</v>
      </c>
      <c r="F47784" s="2">
        <v>4.9834283737267301E-5</v>
      </c>
    </row>
    <row r="47785" spans="1:6" x14ac:dyDescent="0.25">
      <c r="A47785" s="1" t="str">
        <f t="shared" si="1550"/>
        <v>99999</v>
      </c>
      <c r="B47785" s="1" t="str">
        <f>"05836"</f>
        <v>05836</v>
      </c>
      <c r="C47785" s="2">
        <v>5.3697401716974401E-5</v>
      </c>
      <c r="D47785" s="2">
        <v>2.7102760114975901E-5</v>
      </c>
      <c r="E47785" s="2">
        <v>0</v>
      </c>
      <c r="F47785" s="2">
        <v>5.07224194870404E-5</v>
      </c>
    </row>
    <row r="47786" spans="1:6" x14ac:dyDescent="0.25">
      <c r="A47786" s="1" t="str">
        <f t="shared" si="1550"/>
        <v>99999</v>
      </c>
      <c r="B47786" s="1" t="str">
        <f>"05857"</f>
        <v>05857</v>
      </c>
      <c r="C47786" s="2">
        <v>7.7081754077592296E-5</v>
      </c>
      <c r="D47786" s="2">
        <v>1.65627978480408E-5</v>
      </c>
      <c r="E47786" s="2">
        <v>7.7419021853669399E-5</v>
      </c>
      <c r="F47786" s="2">
        <v>7.3123176731316997E-5</v>
      </c>
    </row>
    <row r="47787" spans="1:6" x14ac:dyDescent="0.25">
      <c r="A47787" s="1" t="str">
        <f t="shared" si="1550"/>
        <v>99999</v>
      </c>
      <c r="B47787" s="1" t="str">
        <f>"05871"</f>
        <v>05871</v>
      </c>
      <c r="C47787" s="2">
        <v>7.8922189217085306E-5</v>
      </c>
      <c r="D47787" s="2">
        <v>1.9574215638593701E-5</v>
      </c>
      <c r="E47787" s="2">
        <v>1.72042270785932E-5</v>
      </c>
      <c r="F47787" s="2">
        <v>7.3616585481190894E-5</v>
      </c>
    </row>
    <row r="47788" spans="1:6" x14ac:dyDescent="0.25">
      <c r="A47788" s="1" t="str">
        <f t="shared" si="1550"/>
        <v>99999</v>
      </c>
      <c r="B47788" s="1" t="str">
        <f>"05820"</f>
        <v>05820</v>
      </c>
      <c r="C47788" s="2">
        <v>1.18004370708673E-5</v>
      </c>
      <c r="D47788" s="2">
        <v>6.0228355811057601E-6</v>
      </c>
      <c r="E47788" s="2">
        <v>4.3010567696482999E-6</v>
      </c>
      <c r="F47788" s="2">
        <v>1.1249719497125601E-5</v>
      </c>
    </row>
    <row r="47789" spans="1:6" x14ac:dyDescent="0.25">
      <c r="A47789" s="1" t="str">
        <f t="shared" si="1550"/>
        <v>99999</v>
      </c>
      <c r="B47789" s="1" t="str">
        <f>"05734"</f>
        <v>05734</v>
      </c>
      <c r="C47789" s="2">
        <v>7.0153057081853598E-5</v>
      </c>
      <c r="D47789" s="2">
        <v>2.1079924533870101E-5</v>
      </c>
      <c r="E47789" s="2">
        <v>0</v>
      </c>
      <c r="F47789" s="2">
        <v>6.5327318483308797E-5</v>
      </c>
    </row>
    <row r="47790" spans="1:6" x14ac:dyDescent="0.25">
      <c r="A47790" s="1" t="str">
        <f t="shared" si="1550"/>
        <v>99999</v>
      </c>
      <c r="B47790" s="1" t="str">
        <f>"12459"</f>
        <v>12459</v>
      </c>
      <c r="C47790" s="2">
        <v>8.0113059013227898E-6</v>
      </c>
      <c r="D47790" s="2">
        <v>0</v>
      </c>
      <c r="E47790" s="2">
        <v>4.3010567696482999E-6</v>
      </c>
      <c r="F47790" s="2">
        <v>7.4011312481090098E-6</v>
      </c>
    </row>
    <row r="47791" spans="1:6" x14ac:dyDescent="0.25">
      <c r="A47791" s="1" t="str">
        <f t="shared" si="1550"/>
        <v>99999</v>
      </c>
      <c r="B47791" s="1" t="str">
        <f>"12451"</f>
        <v>12451</v>
      </c>
      <c r="C47791" s="2">
        <v>7.6540449624800197E-5</v>
      </c>
      <c r="D47791" s="2">
        <v>3.1619886800805203E-5</v>
      </c>
      <c r="E47791" s="2">
        <v>5.1612681235779599E-5</v>
      </c>
      <c r="F47791" s="2">
        <v>7.3024494981342193E-5</v>
      </c>
    </row>
    <row r="47792" spans="1:6" x14ac:dyDescent="0.25">
      <c r="A47792" s="1" t="str">
        <f t="shared" si="1550"/>
        <v>99999</v>
      </c>
      <c r="B47792" s="1" t="str">
        <f>"12760"</f>
        <v>12760</v>
      </c>
      <c r="C47792" s="2">
        <v>5.1315662124689203E-5</v>
      </c>
      <c r="D47792" s="2">
        <v>7.5285444763821999E-6</v>
      </c>
      <c r="E47792" s="2">
        <v>5.1612681235779599E-5</v>
      </c>
      <c r="F47792" s="2">
        <v>4.8452739237620299E-5</v>
      </c>
    </row>
    <row r="47793" spans="1:6" x14ac:dyDescent="0.25">
      <c r="A47793" s="1" t="str">
        <f t="shared" si="1550"/>
        <v>99999</v>
      </c>
      <c r="B47793" s="1" t="str">
        <f>"12701"</f>
        <v>12701</v>
      </c>
      <c r="C47793" s="2">
        <v>8.1065754850141996E-4</v>
      </c>
      <c r="D47793" s="2">
        <v>1.34610375237713E-3</v>
      </c>
      <c r="E47793" s="2">
        <v>2.9634281142876802E-3</v>
      </c>
      <c r="F47793" s="2">
        <v>8.9514215402129098E-4</v>
      </c>
    </row>
    <row r="47794" spans="1:6" x14ac:dyDescent="0.25">
      <c r="A47794" s="1" t="str">
        <f t="shared" si="1550"/>
        <v>99999</v>
      </c>
      <c r="B47794" s="1" t="str">
        <f>"12734"</f>
        <v>12734</v>
      </c>
      <c r="C47794" s="2">
        <v>5.3805662607532797E-5</v>
      </c>
      <c r="D47794" s="2">
        <v>1.4605376284181399E-4</v>
      </c>
      <c r="E47794" s="2">
        <v>1.16128532780504E-4</v>
      </c>
      <c r="F47794" s="2">
        <v>6.1281366734342599E-5</v>
      </c>
    </row>
    <row r="47795" spans="1:6" x14ac:dyDescent="0.25">
      <c r="A47795" s="1" t="str">
        <f t="shared" si="1550"/>
        <v>99999</v>
      </c>
      <c r="B47795" s="1" t="str">
        <f>"12732"</f>
        <v>12732</v>
      </c>
      <c r="C47795" s="2">
        <v>4.6552182940118902E-5</v>
      </c>
      <c r="D47795" s="2">
        <v>2.1079924533870101E-5</v>
      </c>
      <c r="E47795" s="2">
        <v>3.8709510926834699E-5</v>
      </c>
      <c r="F47795" s="2">
        <v>4.4702832738578397E-5</v>
      </c>
    </row>
    <row r="47796" spans="1:6" x14ac:dyDescent="0.25">
      <c r="A47796" s="1" t="str">
        <f t="shared" si="1550"/>
        <v>99999</v>
      </c>
      <c r="B47796" s="1" t="str">
        <f>"12015"</f>
        <v>12015</v>
      </c>
      <c r="C47796" s="2">
        <v>1.9118873272616201E-4</v>
      </c>
      <c r="D47796" s="2">
        <v>1.26479547203221E-4</v>
      </c>
      <c r="E47796" s="2">
        <v>1.93547554634173E-4</v>
      </c>
      <c r="F47796" s="2">
        <v>1.87001916202221E-4</v>
      </c>
    </row>
    <row r="47797" spans="1:6" x14ac:dyDescent="0.25">
      <c r="A47797" s="1" t="str">
        <f t="shared" si="1550"/>
        <v>99999</v>
      </c>
      <c r="B47797" s="1" t="str">
        <f>"12093"</f>
        <v>12093</v>
      </c>
      <c r="C47797" s="2">
        <v>2.14356563305664E-5</v>
      </c>
      <c r="D47797" s="2">
        <v>3.01141779055288E-6</v>
      </c>
      <c r="E47797" s="2">
        <v>8.6021135392965999E-6</v>
      </c>
      <c r="F47797" s="2">
        <v>1.9933713494906902E-5</v>
      </c>
    </row>
    <row r="47798" spans="1:6" x14ac:dyDescent="0.25">
      <c r="A47798" s="1" t="str">
        <f t="shared" si="1550"/>
        <v>99999</v>
      </c>
      <c r="B47798" s="1" t="str">
        <f>"12051"</f>
        <v>12051</v>
      </c>
      <c r="C47798" s="2">
        <v>1.8523438374544999E-4</v>
      </c>
      <c r="D47798" s="2">
        <v>1.58099434004026E-4</v>
      </c>
      <c r="E47798" s="2">
        <v>5.8064266390252001E-4</v>
      </c>
      <c r="F47798" s="2">
        <v>1.9252809420080899E-4</v>
      </c>
    </row>
    <row r="47799" spans="1:6" x14ac:dyDescent="0.25">
      <c r="A47799" s="1" t="str">
        <f t="shared" si="1550"/>
        <v>99999</v>
      </c>
      <c r="B47799" s="1" t="str">
        <f>"12855"</f>
        <v>12855</v>
      </c>
      <c r="C47799" s="2">
        <v>1.42904375537109E-5</v>
      </c>
      <c r="D47799" s="2">
        <v>1.0539962266935E-5</v>
      </c>
      <c r="E47799" s="2">
        <v>4.3010567696482999E-6</v>
      </c>
      <c r="F47799" s="2">
        <v>1.38154449964701E-5</v>
      </c>
    </row>
    <row r="47800" spans="1:6" x14ac:dyDescent="0.25">
      <c r="A47800" s="1" t="str">
        <f t="shared" si="1550"/>
        <v>99999</v>
      </c>
      <c r="B47800" s="1" t="str">
        <f>"12942"</f>
        <v>12942</v>
      </c>
      <c r="C47800" s="2">
        <v>3.0313049356356498E-5</v>
      </c>
      <c r="D47800" s="2">
        <v>1.65627978480408E-5</v>
      </c>
      <c r="E47800" s="2">
        <v>3.01073973875381E-5</v>
      </c>
      <c r="F47800" s="2">
        <v>2.9407161492486401E-5</v>
      </c>
    </row>
    <row r="47801" spans="1:6" x14ac:dyDescent="0.25">
      <c r="A47801" s="1" t="str">
        <f t="shared" si="1550"/>
        <v>99999</v>
      </c>
      <c r="B47801" s="1" t="str">
        <f>"12961"</f>
        <v>12961</v>
      </c>
      <c r="C47801" s="2">
        <v>4.4386965128950601E-6</v>
      </c>
      <c r="D47801" s="2">
        <v>0</v>
      </c>
      <c r="E47801" s="2">
        <v>4.3010567696482999E-6</v>
      </c>
      <c r="F47801" s="2">
        <v>4.1446334989410403E-6</v>
      </c>
    </row>
    <row r="47802" spans="1:6" x14ac:dyDescent="0.25">
      <c r="A47802" s="1" t="str">
        <f t="shared" si="1550"/>
        <v>99999</v>
      </c>
      <c r="B47802" s="1" t="str">
        <f>"13136"</f>
        <v>13136</v>
      </c>
      <c r="C47802" s="2">
        <v>2.1760439002241601E-5</v>
      </c>
      <c r="D47802" s="2">
        <v>4.5171266858293203E-6</v>
      </c>
      <c r="E47802" s="2">
        <v>4.3010567696482999E-6</v>
      </c>
      <c r="F47802" s="2">
        <v>2.0229758744831201E-5</v>
      </c>
    </row>
    <row r="47803" spans="1:6" x14ac:dyDescent="0.25">
      <c r="A47803" s="1" t="str">
        <f t="shared" si="1550"/>
        <v>99999</v>
      </c>
      <c r="B47803" s="1" t="str">
        <f>"13783"</f>
        <v>13783</v>
      </c>
      <c r="C47803" s="2">
        <v>1.7549090359519201E-4</v>
      </c>
      <c r="D47803" s="2">
        <v>2.13810663129254E-4</v>
      </c>
      <c r="E47803" s="2">
        <v>3.0107397387538101E-4</v>
      </c>
      <c r="F47803" s="2">
        <v>1.8088364770378401E-4</v>
      </c>
    </row>
    <row r="47804" spans="1:6" x14ac:dyDescent="0.25">
      <c r="A47804" s="1" t="str">
        <f t="shared" si="1550"/>
        <v>99999</v>
      </c>
      <c r="B47804" s="1" t="str">
        <f>"13788"</f>
        <v>13788</v>
      </c>
      <c r="C47804" s="2">
        <v>4.0922616631081298E-5</v>
      </c>
      <c r="D47804" s="2">
        <v>7.5285444763821999E-6</v>
      </c>
      <c r="E47804" s="2">
        <v>3.01073973875381E-5</v>
      </c>
      <c r="F47804" s="2">
        <v>3.84858824901668E-5</v>
      </c>
    </row>
    <row r="47805" spans="1:6" x14ac:dyDescent="0.25">
      <c r="A47805" s="1" t="str">
        <f t="shared" si="1550"/>
        <v>99999</v>
      </c>
      <c r="B47805" s="1" t="str">
        <f>"13856"</f>
        <v>13856</v>
      </c>
      <c r="C47805" s="2">
        <v>3.7804702982998902E-4</v>
      </c>
      <c r="D47805" s="2">
        <v>3.6287584376162201E-4</v>
      </c>
      <c r="E47805" s="2">
        <v>6.3225534513829996E-4</v>
      </c>
      <c r="F47805" s="2">
        <v>3.8288518990217202E-4</v>
      </c>
    </row>
    <row r="47806" spans="1:6" x14ac:dyDescent="0.25">
      <c r="A47806" s="1" t="str">
        <f t="shared" si="1550"/>
        <v>99999</v>
      </c>
      <c r="B47806" s="1" t="str">
        <f>"14024"</f>
        <v>14024</v>
      </c>
      <c r="C47806" s="2">
        <v>9.1696974302978395E-5</v>
      </c>
      <c r="D47806" s="2">
        <v>4.2159849067740298E-5</v>
      </c>
      <c r="E47806" s="2">
        <v>3.44084541571864E-5</v>
      </c>
      <c r="F47806" s="2">
        <v>8.71359852277367E-5</v>
      </c>
    </row>
    <row r="47807" spans="1:6" x14ac:dyDescent="0.25">
      <c r="A47807" s="1" t="str">
        <f t="shared" si="1550"/>
        <v>99999</v>
      </c>
      <c r="B47807" s="1" t="str">
        <f>"14806"</f>
        <v>14806</v>
      </c>
      <c r="C47807" s="2">
        <v>8.4660016416681402E-5</v>
      </c>
      <c r="D47807" s="2">
        <v>7.5285444763821999E-6</v>
      </c>
      <c r="E47807" s="2">
        <v>6.8816908314372799E-5</v>
      </c>
      <c r="F47807" s="2">
        <v>7.9241445229753804E-5</v>
      </c>
    </row>
    <row r="47808" spans="1:6" x14ac:dyDescent="0.25">
      <c r="A47808" s="1" t="str">
        <f t="shared" si="1550"/>
        <v>99999</v>
      </c>
      <c r="B47808" s="1" t="str">
        <f>"14715"</f>
        <v>14715</v>
      </c>
      <c r="C47808" s="2">
        <v>1.4333741909934301E-4</v>
      </c>
      <c r="D47808" s="2">
        <v>1.08411040459903E-4</v>
      </c>
      <c r="E47808" s="2">
        <v>1.5913910047698701E-4</v>
      </c>
      <c r="F47808" s="2">
        <v>1.4141094771386899E-4</v>
      </c>
    </row>
    <row r="47809" spans="1:6" x14ac:dyDescent="0.25">
      <c r="A47809" s="1" t="str">
        <f t="shared" si="1550"/>
        <v>99999</v>
      </c>
      <c r="B47809" s="1" t="str">
        <f>"14711"</f>
        <v>14711</v>
      </c>
      <c r="C47809" s="2">
        <v>9.2671322318004204E-5</v>
      </c>
      <c r="D47809" s="2">
        <v>4.6676975753569603E-5</v>
      </c>
      <c r="E47809" s="2">
        <v>1.41934873398393E-4</v>
      </c>
      <c r="F47809" s="2">
        <v>9.0787209976803804E-5</v>
      </c>
    </row>
    <row r="47810" spans="1:6" x14ac:dyDescent="0.25">
      <c r="A47810" s="1" t="str">
        <f t="shared" si="1550"/>
        <v>99999</v>
      </c>
      <c r="B47810" s="1" t="str">
        <f>"14818"</f>
        <v>14818</v>
      </c>
      <c r="C47810" s="2">
        <v>9.7759584174249796E-5</v>
      </c>
      <c r="D47810" s="2">
        <v>7.2274026973269097E-5</v>
      </c>
      <c r="E47810" s="2">
        <v>6.8816908314372799E-5</v>
      </c>
      <c r="F47810" s="2">
        <v>9.5425252225618797E-5</v>
      </c>
    </row>
    <row r="47811" spans="1:6" x14ac:dyDescent="0.25">
      <c r="A47811" s="1" t="str">
        <f t="shared" si="1550"/>
        <v>99999</v>
      </c>
      <c r="B47811" s="1" t="str">
        <f>"15533"</f>
        <v>15533</v>
      </c>
      <c r="C47811" s="2">
        <v>7.3509144689164503E-5</v>
      </c>
      <c r="D47811" s="2">
        <v>4.9688393544122498E-5</v>
      </c>
      <c r="E47811" s="2">
        <v>8.6021135392965999E-6</v>
      </c>
      <c r="F47811" s="2">
        <v>7.0458769481997701E-5</v>
      </c>
    </row>
    <row r="47812" spans="1:6" x14ac:dyDescent="0.25">
      <c r="A47812" s="1" t="str">
        <f t="shared" si="1550"/>
        <v>99999</v>
      </c>
      <c r="B47812" s="1" t="str">
        <f>"15537"</f>
        <v>15537</v>
      </c>
      <c r="C47812" s="2">
        <v>4.27955300377419E-4</v>
      </c>
      <c r="D47812" s="2">
        <v>5.1796385997509502E-4</v>
      </c>
      <c r="E47812" s="2">
        <v>3.7849299572905002E-4</v>
      </c>
      <c r="F47812" s="2">
        <v>4.3271947363943998E-4</v>
      </c>
    </row>
    <row r="47813" spans="1:6" x14ac:dyDescent="0.25">
      <c r="A47813" s="1" t="str">
        <f t="shared" si="1550"/>
        <v>99999</v>
      </c>
      <c r="B47813" s="1" t="str">
        <f>"15559"</f>
        <v>15559</v>
      </c>
      <c r="C47813" s="2">
        <v>9.4511757457497295E-5</v>
      </c>
      <c r="D47813" s="2">
        <v>2.7102760114975901E-5</v>
      </c>
      <c r="E47813" s="2">
        <v>1.72042270785932E-4</v>
      </c>
      <c r="F47813" s="2">
        <v>9.1872709226526497E-5</v>
      </c>
    </row>
    <row r="47814" spans="1:6" x14ac:dyDescent="0.25">
      <c r="A47814" s="1" t="str">
        <f t="shared" ref="A47814:A47877" si="1551">"99999"</f>
        <v>99999</v>
      </c>
      <c r="B47814" s="1" t="str">
        <f>"15344"</f>
        <v>15344</v>
      </c>
      <c r="C47814" s="2">
        <v>7.2210014002463497E-5</v>
      </c>
      <c r="D47814" s="2">
        <v>3.31255956960816E-5</v>
      </c>
      <c r="E47814" s="2">
        <v>1.29031703089449E-5</v>
      </c>
      <c r="F47814" s="2">
        <v>6.8287770982552396E-5</v>
      </c>
    </row>
    <row r="47815" spans="1:6" x14ac:dyDescent="0.25">
      <c r="A47815" s="1" t="str">
        <f t="shared" si="1551"/>
        <v>99999</v>
      </c>
      <c r="B47815" s="1" t="str">
        <f>"15832"</f>
        <v>15832</v>
      </c>
      <c r="C47815" s="2">
        <v>2.3600874141734699E-5</v>
      </c>
      <c r="D47815" s="2">
        <v>9.0342533716586405E-6</v>
      </c>
      <c r="E47815" s="2">
        <v>0</v>
      </c>
      <c r="F47815" s="2">
        <v>2.2104711994352199E-5</v>
      </c>
    </row>
    <row r="47816" spans="1:6" x14ac:dyDescent="0.25">
      <c r="A47816" s="1" t="str">
        <f t="shared" si="1551"/>
        <v>99999</v>
      </c>
      <c r="B47816" s="1" t="str">
        <f>"16214"</f>
        <v>16214</v>
      </c>
      <c r="C47816" s="2">
        <v>4.4592660821011598E-4</v>
      </c>
      <c r="D47816" s="2">
        <v>1.01183637762576E-3</v>
      </c>
      <c r="E47816" s="2">
        <v>1.9569808301899698E-3</v>
      </c>
      <c r="F47816" s="2">
        <v>5.1768446036773105E-4</v>
      </c>
    </row>
    <row r="47817" spans="1:6" x14ac:dyDescent="0.25">
      <c r="A47817" s="1" t="str">
        <f t="shared" si="1551"/>
        <v>99999</v>
      </c>
      <c r="B47817" s="1" t="str">
        <f>"16242"</f>
        <v>16242</v>
      </c>
      <c r="C47817" s="2">
        <v>1.3770785279030499E-4</v>
      </c>
      <c r="D47817" s="2">
        <v>3.0565890574111697E-4</v>
      </c>
      <c r="E47817" s="2">
        <v>1.72042270785932E-4</v>
      </c>
      <c r="F47817" s="2">
        <v>1.4950285121180201E-4</v>
      </c>
    </row>
    <row r="47818" spans="1:6" x14ac:dyDescent="0.25">
      <c r="A47818" s="1" t="str">
        <f t="shared" si="1551"/>
        <v>99999</v>
      </c>
      <c r="B47818" s="1" t="str">
        <f>"16224"</f>
        <v>16224</v>
      </c>
      <c r="C47818" s="2">
        <v>4.4062182457275301E-5</v>
      </c>
      <c r="D47818" s="2">
        <v>5.4205520229951803E-5</v>
      </c>
      <c r="E47818" s="2">
        <v>1.29031703089449E-5</v>
      </c>
      <c r="F47818" s="2">
        <v>4.4012060488754899E-5</v>
      </c>
    </row>
    <row r="47819" spans="1:6" x14ac:dyDescent="0.25">
      <c r="A47819" s="1" t="str">
        <f t="shared" si="1551"/>
        <v>99999</v>
      </c>
      <c r="B47819" s="1" t="str">
        <f>"16239"</f>
        <v>16239</v>
      </c>
      <c r="C47819" s="2">
        <v>4.7743052736261498E-5</v>
      </c>
      <c r="D47819" s="2">
        <v>2.25856334291466E-5</v>
      </c>
      <c r="E47819" s="2">
        <v>4.3010567696482999E-6</v>
      </c>
      <c r="F47819" s="2">
        <v>4.5097559738477497E-5</v>
      </c>
    </row>
    <row r="47820" spans="1:6" x14ac:dyDescent="0.25">
      <c r="A47820" s="1" t="str">
        <f t="shared" si="1551"/>
        <v>99999</v>
      </c>
      <c r="B47820" s="1" t="str">
        <f>"16334"</f>
        <v>16334</v>
      </c>
      <c r="C47820" s="2">
        <v>1.30995677575683E-5</v>
      </c>
      <c r="D47820" s="2">
        <v>4.5171266858293203E-6</v>
      </c>
      <c r="E47820" s="2">
        <v>4.3010567696482999E-6</v>
      </c>
      <c r="F47820" s="2">
        <v>1.23352187468483E-5</v>
      </c>
    </row>
    <row r="47821" spans="1:6" x14ac:dyDescent="0.25">
      <c r="A47821" s="1" t="str">
        <f t="shared" si="1551"/>
        <v>99999</v>
      </c>
      <c r="B47821" s="1" t="str">
        <f>"16258"</f>
        <v>16258</v>
      </c>
      <c r="C47821" s="2">
        <v>8.0437841684903201E-5</v>
      </c>
      <c r="D47821" s="2">
        <v>4.2159849067740298E-5</v>
      </c>
      <c r="E47821" s="2">
        <v>8.1720078623317706E-5</v>
      </c>
      <c r="F47821" s="2">
        <v>7.7958582480081503E-5</v>
      </c>
    </row>
    <row r="47822" spans="1:6" x14ac:dyDescent="0.25">
      <c r="A47822" s="1" t="str">
        <f t="shared" si="1551"/>
        <v>99999</v>
      </c>
      <c r="B47822" s="1" t="str">
        <f>"16748"</f>
        <v>16748</v>
      </c>
      <c r="C47822" s="2">
        <v>7.8489145654851705E-5</v>
      </c>
      <c r="D47822" s="2">
        <v>2.7102760114975901E-5</v>
      </c>
      <c r="E47822" s="2">
        <v>3.6558982542010497E-4</v>
      </c>
      <c r="F47822" s="2">
        <v>8.1708488979123398E-5</v>
      </c>
    </row>
    <row r="47823" spans="1:6" x14ac:dyDescent="0.25">
      <c r="A47823" s="1" t="str">
        <f t="shared" si="1551"/>
        <v>99999</v>
      </c>
      <c r="B47823" s="1" t="str">
        <f>"17035"</f>
        <v>17035</v>
      </c>
      <c r="C47823" s="2">
        <v>4.1247399302756502E-5</v>
      </c>
      <c r="D47823" s="2">
        <v>1.35513800574879E-5</v>
      </c>
      <c r="E47823" s="2">
        <v>0</v>
      </c>
      <c r="F47823" s="2">
        <v>3.84858824901668E-5</v>
      </c>
    </row>
    <row r="47824" spans="1:6" x14ac:dyDescent="0.25">
      <c r="A47824" s="1" t="str">
        <f t="shared" si="1551"/>
        <v>99999</v>
      </c>
      <c r="B47824" s="1" t="str">
        <f>"16923"</f>
        <v>16923</v>
      </c>
      <c r="C47824" s="2">
        <v>8.1845233262162597E-5</v>
      </c>
      <c r="D47824" s="2">
        <v>6.0228355811057599E-5</v>
      </c>
      <c r="E47824" s="2">
        <v>2.58063406178898E-5</v>
      </c>
      <c r="F47824" s="2">
        <v>7.9142763479779E-5</v>
      </c>
    </row>
    <row r="47825" spans="1:6" x14ac:dyDescent="0.25">
      <c r="A47825" s="1" t="str">
        <f t="shared" si="1551"/>
        <v>99999</v>
      </c>
      <c r="B47825" s="1" t="str">
        <f>"17086"</f>
        <v>17086</v>
      </c>
      <c r="C47825" s="2">
        <v>6.0193055150479301E-5</v>
      </c>
      <c r="D47825" s="2">
        <v>3.01141779055288E-5</v>
      </c>
      <c r="E47825" s="2">
        <v>8.6021135392965999E-6</v>
      </c>
      <c r="F47825" s="2">
        <v>5.7038051485426699E-5</v>
      </c>
    </row>
    <row r="47826" spans="1:6" x14ac:dyDescent="0.25">
      <c r="A47826" s="1" t="str">
        <f t="shared" si="1551"/>
        <v>99999</v>
      </c>
      <c r="B47826" s="1" t="str">
        <f>"17211"</f>
        <v>17211</v>
      </c>
      <c r="C47826" s="2">
        <v>3.2153484495849597E-5</v>
      </c>
      <c r="D47826" s="2">
        <v>7.5285444763821999E-6</v>
      </c>
      <c r="E47826" s="2">
        <v>4.3010567696482999E-6</v>
      </c>
      <c r="F47826" s="2">
        <v>2.99005702423604E-5</v>
      </c>
    </row>
    <row r="47827" spans="1:6" x14ac:dyDescent="0.25">
      <c r="A47827" s="1" t="str">
        <f t="shared" si="1551"/>
        <v>99999</v>
      </c>
      <c r="B47827" s="1" t="str">
        <f>"17758"</f>
        <v>17758</v>
      </c>
      <c r="C47827" s="2">
        <v>6.3657403648348704E-5</v>
      </c>
      <c r="D47827" s="2">
        <v>6.6251191392163294E-5</v>
      </c>
      <c r="E47827" s="2">
        <v>1.72042270785932E-5</v>
      </c>
      <c r="F47827" s="2">
        <v>6.2761592983964399E-5</v>
      </c>
    </row>
    <row r="47828" spans="1:6" x14ac:dyDescent="0.25">
      <c r="A47828" s="1" t="str">
        <f t="shared" si="1551"/>
        <v>99999</v>
      </c>
      <c r="B47828" s="1" t="str">
        <f>"17724"</f>
        <v>17724</v>
      </c>
      <c r="C47828" s="2">
        <v>1.7213481598788101E-5</v>
      </c>
      <c r="D47828" s="2">
        <v>7.5285444763821999E-6</v>
      </c>
      <c r="E47828" s="2">
        <v>0</v>
      </c>
      <c r="F47828" s="2">
        <v>1.6183806995865E-5</v>
      </c>
    </row>
    <row r="47829" spans="1:6" x14ac:dyDescent="0.25">
      <c r="A47829" s="1" t="str">
        <f t="shared" si="1551"/>
        <v>99999</v>
      </c>
      <c r="B47829" s="1" t="str">
        <f>"18443"</f>
        <v>18443</v>
      </c>
      <c r="C47829" s="2">
        <v>2.92304404507723E-5</v>
      </c>
      <c r="D47829" s="2">
        <v>4.5171266858293203E-6</v>
      </c>
      <c r="E47829" s="2">
        <v>0</v>
      </c>
      <c r="F47829" s="2">
        <v>2.6940117743116699E-5</v>
      </c>
    </row>
    <row r="47830" spans="1:6" x14ac:dyDescent="0.25">
      <c r="A47830" s="1" t="str">
        <f t="shared" si="1551"/>
        <v>99999</v>
      </c>
      <c r="B47830" s="1" t="str">
        <f>"18454"</f>
        <v>18454</v>
      </c>
      <c r="C47830" s="2">
        <v>1.08260890558416E-7</v>
      </c>
      <c r="D47830" s="2">
        <v>1.50570889527644E-6</v>
      </c>
      <c r="E47830" s="2">
        <v>0</v>
      </c>
      <c r="F47830" s="2">
        <v>1.9736349994957301E-7</v>
      </c>
    </row>
    <row r="47831" spans="1:6" x14ac:dyDescent="0.25">
      <c r="A47831" s="1" t="str">
        <f t="shared" si="1551"/>
        <v>99999</v>
      </c>
      <c r="B47831" s="1" t="str">
        <f>"18614"</f>
        <v>18614</v>
      </c>
      <c r="C47831" s="2">
        <v>1.37058287446954E-4</v>
      </c>
      <c r="D47831" s="2">
        <v>6.0228355811057599E-5</v>
      </c>
      <c r="E47831" s="2">
        <v>8.6021135392965999E-5</v>
      </c>
      <c r="F47831" s="2">
        <v>1.3085200046656701E-4</v>
      </c>
    </row>
    <row r="47832" spans="1:6" x14ac:dyDescent="0.25">
      <c r="A47832" s="1" t="str">
        <f t="shared" si="1551"/>
        <v>99999</v>
      </c>
      <c r="B47832" s="1" t="str">
        <f>"18407"</f>
        <v>18407</v>
      </c>
      <c r="C47832" s="2">
        <v>2.0894351877774301E-5</v>
      </c>
      <c r="D47832" s="2">
        <v>4.5171266858293203E-6</v>
      </c>
      <c r="E47832" s="2">
        <v>2.58063406178898E-5</v>
      </c>
      <c r="F47832" s="2">
        <v>1.9933713494906902E-5</v>
      </c>
    </row>
    <row r="47833" spans="1:6" x14ac:dyDescent="0.25">
      <c r="A47833" s="1" t="str">
        <f t="shared" si="1551"/>
        <v>99999</v>
      </c>
      <c r="B47833" s="1" t="str">
        <f>"22581"</f>
        <v>22581</v>
      </c>
      <c r="C47833" s="2">
        <v>0</v>
      </c>
      <c r="D47833" s="2">
        <v>0</v>
      </c>
      <c r="E47833" s="2">
        <v>4.3010567696482999E-6</v>
      </c>
      <c r="F47833" s="2">
        <v>9.8681749974786797E-8</v>
      </c>
    </row>
    <row r="47834" spans="1:6" x14ac:dyDescent="0.25">
      <c r="A47834" s="1" t="str">
        <f t="shared" si="1551"/>
        <v>99999</v>
      </c>
      <c r="B47834" s="1" t="str">
        <f>"31512"</f>
        <v>31512</v>
      </c>
      <c r="C47834" s="2">
        <v>1.08260890558416E-7</v>
      </c>
      <c r="D47834" s="2">
        <v>0</v>
      </c>
      <c r="E47834" s="2">
        <v>0</v>
      </c>
      <c r="F47834" s="2">
        <v>9.8681749974786797E-8</v>
      </c>
    </row>
    <row r="47835" spans="1:6" x14ac:dyDescent="0.25">
      <c r="A47835" s="1" t="str">
        <f t="shared" si="1551"/>
        <v>99999</v>
      </c>
      <c r="B47835" s="1" t="str">
        <f>"39834"</f>
        <v>39834</v>
      </c>
      <c r="C47835" s="2">
        <v>2.1652178111683201E-7</v>
      </c>
      <c r="D47835" s="2">
        <v>0</v>
      </c>
      <c r="E47835" s="2">
        <v>0</v>
      </c>
      <c r="F47835" s="2">
        <v>1.9736349994957301E-7</v>
      </c>
    </row>
    <row r="47836" spans="1:6" x14ac:dyDescent="0.25">
      <c r="A47836" s="1" t="str">
        <f t="shared" si="1551"/>
        <v>99999</v>
      </c>
      <c r="B47836" s="1" t="str">
        <f>"45783"</f>
        <v>45783</v>
      </c>
      <c r="C47836" s="2">
        <v>0</v>
      </c>
      <c r="D47836" s="2">
        <v>3.01141779055288E-6</v>
      </c>
      <c r="E47836" s="2">
        <v>0</v>
      </c>
      <c r="F47836" s="2">
        <v>1.9736349994957301E-7</v>
      </c>
    </row>
    <row r="47837" spans="1:6" x14ac:dyDescent="0.25">
      <c r="A47837" s="1" t="str">
        <f t="shared" si="1551"/>
        <v>99999</v>
      </c>
      <c r="B47837" s="1" t="str">
        <f>"43521"</f>
        <v>43521</v>
      </c>
      <c r="C47837" s="2">
        <v>7.5782623390891299E-7</v>
      </c>
      <c r="D47837" s="2">
        <v>1.50570889527644E-6</v>
      </c>
      <c r="E47837" s="2">
        <v>0</v>
      </c>
      <c r="F47837" s="2">
        <v>7.8945399979829395E-7</v>
      </c>
    </row>
    <row r="47838" spans="1:6" x14ac:dyDescent="0.25">
      <c r="A47838" s="1" t="str">
        <f t="shared" si="1551"/>
        <v>99999</v>
      </c>
      <c r="B47838" s="1" t="str">
        <f>"49413"</f>
        <v>49413</v>
      </c>
      <c r="C47838" s="2">
        <v>0</v>
      </c>
      <c r="D47838" s="2">
        <v>1.50570889527644E-6</v>
      </c>
      <c r="E47838" s="2">
        <v>0</v>
      </c>
      <c r="F47838" s="2">
        <v>9.8681749974786797E-8</v>
      </c>
    </row>
    <row r="47839" spans="1:6" x14ac:dyDescent="0.25">
      <c r="A47839" s="1" t="str">
        <f t="shared" si="1551"/>
        <v>99999</v>
      </c>
      <c r="B47839" s="1" t="str">
        <f>"32609"</f>
        <v>32609</v>
      </c>
      <c r="C47839" s="2">
        <v>1.08260890558416E-7</v>
      </c>
      <c r="D47839" s="2">
        <v>0</v>
      </c>
      <c r="E47839" s="2">
        <v>0</v>
      </c>
      <c r="F47839" s="2">
        <v>9.8681749974786797E-8</v>
      </c>
    </row>
    <row r="47840" spans="1:6" x14ac:dyDescent="0.25">
      <c r="A47840" s="1" t="str">
        <f t="shared" si="1551"/>
        <v>99999</v>
      </c>
      <c r="B47840" s="1" t="str">
        <f>"36470"</f>
        <v>36470</v>
      </c>
      <c r="C47840" s="2">
        <v>0</v>
      </c>
      <c r="D47840" s="2">
        <v>1.50570889527644E-6</v>
      </c>
      <c r="E47840" s="2">
        <v>0</v>
      </c>
      <c r="F47840" s="2">
        <v>9.8681749974786797E-8</v>
      </c>
    </row>
    <row r="47841" spans="1:6" x14ac:dyDescent="0.25">
      <c r="A47841" s="1" t="str">
        <f t="shared" si="1551"/>
        <v>99999</v>
      </c>
      <c r="B47841" s="1" t="str">
        <f>"99649"</f>
        <v>99649</v>
      </c>
      <c r="C47841" s="2">
        <v>0</v>
      </c>
      <c r="D47841" s="2">
        <v>0</v>
      </c>
      <c r="E47841" s="2">
        <v>4.3010567696482999E-6</v>
      </c>
      <c r="F47841" s="2">
        <v>9.8681749974786797E-8</v>
      </c>
    </row>
    <row r="47842" spans="1:6" x14ac:dyDescent="0.25">
      <c r="A47842" s="1" t="str">
        <f t="shared" si="1551"/>
        <v>99999</v>
      </c>
      <c r="B47842" s="1" t="str">
        <f>"15781"</f>
        <v>15781</v>
      </c>
      <c r="C47842" s="2">
        <v>0</v>
      </c>
      <c r="D47842" s="2">
        <v>1.50570889527644E-6</v>
      </c>
      <c r="E47842" s="2">
        <v>0</v>
      </c>
      <c r="F47842" s="2">
        <v>9.8681749974786797E-8</v>
      </c>
    </row>
    <row r="47843" spans="1:6" x14ac:dyDescent="0.25">
      <c r="A47843" s="1" t="str">
        <f t="shared" si="1551"/>
        <v>99999</v>
      </c>
      <c r="B47843" s="1" t="str">
        <f>"18827"</f>
        <v>18827</v>
      </c>
      <c r="C47843" s="2">
        <v>0</v>
      </c>
      <c r="D47843" s="2">
        <v>1.50570889527644E-6</v>
      </c>
      <c r="E47843" s="2">
        <v>0</v>
      </c>
      <c r="F47843" s="2">
        <v>9.8681749974786797E-8</v>
      </c>
    </row>
    <row r="47844" spans="1:6" x14ac:dyDescent="0.25">
      <c r="A47844" s="1" t="str">
        <f t="shared" si="1551"/>
        <v>99999</v>
      </c>
      <c r="B47844" s="1" t="str">
        <f>"23115"</f>
        <v>23115</v>
      </c>
      <c r="C47844" s="2">
        <v>0</v>
      </c>
      <c r="D47844" s="2">
        <v>0</v>
      </c>
      <c r="E47844" s="2">
        <v>4.3010567696482999E-6</v>
      </c>
      <c r="F47844" s="2">
        <v>9.8681749974786797E-8</v>
      </c>
    </row>
    <row r="47845" spans="1:6" x14ac:dyDescent="0.25">
      <c r="A47845" s="1" t="str">
        <f t="shared" si="1551"/>
        <v>99999</v>
      </c>
      <c r="B47845" s="1" t="str">
        <f>"99549"</f>
        <v>99549</v>
      </c>
      <c r="C47845" s="2">
        <v>0</v>
      </c>
      <c r="D47845" s="2">
        <v>0</v>
      </c>
      <c r="E47845" s="2">
        <v>4.3010567696482999E-6</v>
      </c>
      <c r="F47845" s="2">
        <v>9.8681749974786797E-8</v>
      </c>
    </row>
    <row r="47846" spans="1:6" x14ac:dyDescent="0.25">
      <c r="A47846" s="1" t="str">
        <f t="shared" si="1551"/>
        <v>99999</v>
      </c>
      <c r="B47846" s="1" t="str">
        <f>"45155"</f>
        <v>45155</v>
      </c>
      <c r="C47846" s="2">
        <v>0</v>
      </c>
      <c r="D47846" s="2">
        <v>0</v>
      </c>
      <c r="E47846" s="2">
        <v>4.3010567696482999E-6</v>
      </c>
      <c r="F47846" s="2">
        <v>9.8681749974786797E-8</v>
      </c>
    </row>
    <row r="47847" spans="1:6" x14ac:dyDescent="0.25">
      <c r="A47847" s="1" t="str">
        <f t="shared" si="1551"/>
        <v>99999</v>
      </c>
      <c r="B47847" s="1" t="str">
        <f>"41451"</f>
        <v>41451</v>
      </c>
      <c r="C47847" s="2">
        <v>0</v>
      </c>
      <c r="D47847" s="2">
        <v>0</v>
      </c>
      <c r="E47847" s="2">
        <v>4.3010567696482999E-6</v>
      </c>
      <c r="F47847" s="2">
        <v>9.8681749974786797E-8</v>
      </c>
    </row>
    <row r="47848" spans="1:6" x14ac:dyDescent="0.25">
      <c r="A47848" s="1" t="str">
        <f t="shared" si="1551"/>
        <v>99999</v>
      </c>
      <c r="B47848" s="1" t="str">
        <f>"12769"</f>
        <v>12769</v>
      </c>
      <c r="C47848" s="2">
        <v>0</v>
      </c>
      <c r="D47848" s="2">
        <v>0</v>
      </c>
      <c r="E47848" s="2">
        <v>4.3010567696482999E-6</v>
      </c>
      <c r="F47848" s="2">
        <v>9.8681749974786797E-8</v>
      </c>
    </row>
    <row r="47849" spans="1:6" x14ac:dyDescent="0.25">
      <c r="A47849" s="1" t="str">
        <f t="shared" si="1551"/>
        <v>99999</v>
      </c>
      <c r="B47849" s="1" t="str">
        <f>"99589"</f>
        <v>99589</v>
      </c>
      <c r="C47849" s="2">
        <v>0</v>
      </c>
      <c r="D47849" s="2">
        <v>0</v>
      </c>
      <c r="E47849" s="2">
        <v>4.3010567696482999E-6</v>
      </c>
      <c r="F47849" s="2">
        <v>9.8681749974786797E-8</v>
      </c>
    </row>
    <row r="47850" spans="1:6" x14ac:dyDescent="0.25">
      <c r="A47850" s="1" t="str">
        <f t="shared" si="1551"/>
        <v>99999</v>
      </c>
      <c r="B47850" s="1" t="str">
        <f>"41181"</f>
        <v>41181</v>
      </c>
      <c r="C47850" s="2">
        <v>0</v>
      </c>
      <c r="D47850" s="2">
        <v>0</v>
      </c>
      <c r="E47850" s="2">
        <v>4.3010567696482999E-6</v>
      </c>
      <c r="F47850" s="2">
        <v>9.8681749974786797E-8</v>
      </c>
    </row>
    <row r="47851" spans="1:6" x14ac:dyDescent="0.25">
      <c r="A47851" s="1" t="str">
        <f t="shared" si="1551"/>
        <v>99999</v>
      </c>
      <c r="B47851" s="1" t="str">
        <f>"56047"</f>
        <v>56047</v>
      </c>
      <c r="C47851" s="2">
        <v>0</v>
      </c>
      <c r="D47851" s="2">
        <v>0</v>
      </c>
      <c r="E47851" s="2">
        <v>4.3010567696482999E-6</v>
      </c>
      <c r="F47851" s="2">
        <v>9.8681749974786797E-8</v>
      </c>
    </row>
    <row r="47852" spans="1:6" x14ac:dyDescent="0.25">
      <c r="A47852" s="1" t="str">
        <f t="shared" si="1551"/>
        <v>99999</v>
      </c>
      <c r="B47852" s="1" t="str">
        <f>"24430"</f>
        <v>24430</v>
      </c>
      <c r="C47852" s="2">
        <v>1.08260890558416E-7</v>
      </c>
      <c r="D47852" s="2">
        <v>0</v>
      </c>
      <c r="E47852" s="2">
        <v>0</v>
      </c>
      <c r="F47852" s="2">
        <v>9.8681749974786797E-8</v>
      </c>
    </row>
    <row r="47853" spans="1:6" x14ac:dyDescent="0.25">
      <c r="A47853" s="1" t="str">
        <f t="shared" si="1551"/>
        <v>99999</v>
      </c>
      <c r="B47853" s="1" t="str">
        <f>"43717"</f>
        <v>43717</v>
      </c>
      <c r="C47853" s="2">
        <v>0</v>
      </c>
      <c r="D47853" s="2">
        <v>3.01141779055288E-6</v>
      </c>
      <c r="E47853" s="2">
        <v>0</v>
      </c>
      <c r="F47853" s="2">
        <v>1.9736349994957301E-7</v>
      </c>
    </row>
    <row r="47854" spans="1:6" x14ac:dyDescent="0.25">
      <c r="A47854" s="1" t="str">
        <f t="shared" si="1551"/>
        <v>99999</v>
      </c>
      <c r="B47854" s="1" t="str">
        <f>"79373"</f>
        <v>79373</v>
      </c>
      <c r="C47854" s="2">
        <v>2.1652178111683201E-7</v>
      </c>
      <c r="D47854" s="2">
        <v>0</v>
      </c>
      <c r="E47854" s="2">
        <v>4.3010567696482999E-6</v>
      </c>
      <c r="F47854" s="2">
        <v>2.9604524992435999E-7</v>
      </c>
    </row>
    <row r="47855" spans="1:6" x14ac:dyDescent="0.25">
      <c r="A47855" s="1" t="str">
        <f t="shared" si="1551"/>
        <v>99999</v>
      </c>
      <c r="B47855" s="1" t="str">
        <f>"84729"</f>
        <v>84729</v>
      </c>
      <c r="C47855" s="2">
        <v>0</v>
      </c>
      <c r="D47855" s="2">
        <v>0</v>
      </c>
      <c r="E47855" s="2">
        <v>4.3010567696482999E-6</v>
      </c>
      <c r="F47855" s="2">
        <v>9.8681749974786797E-8</v>
      </c>
    </row>
    <row r="47856" spans="1:6" x14ac:dyDescent="0.25">
      <c r="A47856" s="1" t="str">
        <f t="shared" si="1551"/>
        <v>99999</v>
      </c>
      <c r="B47856" s="1" t="str">
        <f>"99691"</f>
        <v>99691</v>
      </c>
      <c r="C47856" s="2">
        <v>0</v>
      </c>
      <c r="D47856" s="2">
        <v>0</v>
      </c>
      <c r="E47856" s="2">
        <v>4.3010567696482999E-6</v>
      </c>
      <c r="F47856" s="2">
        <v>9.8681749974786797E-8</v>
      </c>
    </row>
    <row r="47857" spans="1:6" x14ac:dyDescent="0.25">
      <c r="A47857" s="1" t="str">
        <f t="shared" si="1551"/>
        <v>99999</v>
      </c>
      <c r="B47857" s="1" t="str">
        <f>"24854"</f>
        <v>24854</v>
      </c>
      <c r="C47857" s="2">
        <v>0</v>
      </c>
      <c r="D47857" s="2">
        <v>1.50570889527644E-6</v>
      </c>
      <c r="E47857" s="2">
        <v>0</v>
      </c>
      <c r="F47857" s="2">
        <v>9.8681749974786797E-8</v>
      </c>
    </row>
    <row r="47858" spans="1:6" x14ac:dyDescent="0.25">
      <c r="A47858" s="1" t="str">
        <f t="shared" si="1551"/>
        <v>99999</v>
      </c>
      <c r="B47858" s="1" t="str">
        <f>"35477"</f>
        <v>35477</v>
      </c>
      <c r="C47858" s="2">
        <v>0</v>
      </c>
      <c r="D47858" s="2">
        <v>1.50570889527644E-6</v>
      </c>
      <c r="E47858" s="2">
        <v>0</v>
      </c>
      <c r="F47858" s="2">
        <v>9.8681749974786797E-8</v>
      </c>
    </row>
    <row r="47859" spans="1:6" x14ac:dyDescent="0.25">
      <c r="A47859" s="1" t="str">
        <f t="shared" si="1551"/>
        <v>99999</v>
      </c>
      <c r="B47859" s="1" t="str">
        <f>"42033"</f>
        <v>42033</v>
      </c>
      <c r="C47859" s="2">
        <v>0</v>
      </c>
      <c r="D47859" s="2">
        <v>0</v>
      </c>
      <c r="E47859" s="2">
        <v>4.3010567696482999E-6</v>
      </c>
      <c r="F47859" s="2">
        <v>9.8681749974786797E-8</v>
      </c>
    </row>
    <row r="47860" spans="1:6" x14ac:dyDescent="0.25">
      <c r="A47860" s="1" t="str">
        <f t="shared" si="1551"/>
        <v>99999</v>
      </c>
      <c r="B47860" s="1" t="str">
        <f>"99926"</f>
        <v>99926</v>
      </c>
      <c r="C47860" s="2">
        <v>0</v>
      </c>
      <c r="D47860" s="2">
        <v>0</v>
      </c>
      <c r="E47860" s="2">
        <v>4.3010567696482999E-6</v>
      </c>
      <c r="F47860" s="2">
        <v>9.8681749974786797E-8</v>
      </c>
    </row>
    <row r="47861" spans="1:6" x14ac:dyDescent="0.25">
      <c r="A47861" s="1" t="str">
        <f t="shared" si="1551"/>
        <v>99999</v>
      </c>
      <c r="B47861" s="1" t="str">
        <f>"99663"</f>
        <v>99663</v>
      </c>
      <c r="C47861" s="2">
        <v>0</v>
      </c>
      <c r="D47861" s="2">
        <v>0</v>
      </c>
      <c r="E47861" s="2">
        <v>4.3010567696482999E-6</v>
      </c>
      <c r="F47861" s="2">
        <v>9.8681749974786797E-8</v>
      </c>
    </row>
    <row r="47862" spans="1:6" x14ac:dyDescent="0.25">
      <c r="A47862" s="1" t="str">
        <f t="shared" si="1551"/>
        <v>99999</v>
      </c>
      <c r="B47862" s="1" t="str">
        <f>"81034"</f>
        <v>81034</v>
      </c>
      <c r="C47862" s="2">
        <v>0</v>
      </c>
      <c r="D47862" s="2">
        <v>0</v>
      </c>
      <c r="E47862" s="2">
        <v>4.3010567696482999E-6</v>
      </c>
      <c r="F47862" s="2">
        <v>9.8681749974786797E-8</v>
      </c>
    </row>
    <row r="47863" spans="1:6" x14ac:dyDescent="0.25">
      <c r="A47863" s="1" t="str">
        <f t="shared" si="1551"/>
        <v>99999</v>
      </c>
      <c r="B47863" s="1" t="str">
        <f>"99658"</f>
        <v>99658</v>
      </c>
      <c r="C47863" s="2">
        <v>0</v>
      </c>
      <c r="D47863" s="2">
        <v>0</v>
      </c>
      <c r="E47863" s="2">
        <v>4.3010567696482999E-6</v>
      </c>
      <c r="F47863" s="2">
        <v>9.8681749974786797E-8</v>
      </c>
    </row>
    <row r="47864" spans="1:6" x14ac:dyDescent="0.25">
      <c r="A47864" s="1" t="str">
        <f t="shared" si="1551"/>
        <v>99999</v>
      </c>
      <c r="B47864" s="1" t="str">
        <f>"50661"</f>
        <v>50661</v>
      </c>
      <c r="C47864" s="2">
        <v>0</v>
      </c>
      <c r="D47864" s="2">
        <v>0</v>
      </c>
      <c r="E47864" s="2">
        <v>4.3010567696482999E-6</v>
      </c>
      <c r="F47864" s="2">
        <v>9.8681749974786797E-8</v>
      </c>
    </row>
    <row r="47865" spans="1:6" x14ac:dyDescent="0.25">
      <c r="A47865" s="1" t="str">
        <f t="shared" si="1551"/>
        <v>99999</v>
      </c>
      <c r="B47865" s="1" t="str">
        <f>"24817"</f>
        <v>24817</v>
      </c>
      <c r="C47865" s="2">
        <v>0</v>
      </c>
      <c r="D47865" s="2">
        <v>4.5171266858293203E-6</v>
      </c>
      <c r="E47865" s="2">
        <v>0</v>
      </c>
      <c r="F47865" s="2">
        <v>2.9604524992435999E-7</v>
      </c>
    </row>
    <row r="47866" spans="1:6" x14ac:dyDescent="0.25">
      <c r="A47866" s="1" t="str">
        <f t="shared" si="1551"/>
        <v>99999</v>
      </c>
      <c r="B47866" s="1" t="str">
        <f>"74951"</f>
        <v>74951</v>
      </c>
      <c r="C47866" s="2">
        <v>0</v>
      </c>
      <c r="D47866" s="2">
        <v>1.50570889527644E-6</v>
      </c>
      <c r="E47866" s="2">
        <v>4.3010567696482999E-6</v>
      </c>
      <c r="F47866" s="2">
        <v>1.9736349994957301E-7</v>
      </c>
    </row>
    <row r="47867" spans="1:6" x14ac:dyDescent="0.25">
      <c r="A47867" s="1" t="str">
        <f t="shared" si="1551"/>
        <v>99999</v>
      </c>
      <c r="B47867" s="1" t="str">
        <f>"99786"</f>
        <v>99786</v>
      </c>
      <c r="C47867" s="2">
        <v>0</v>
      </c>
      <c r="D47867" s="2">
        <v>0</v>
      </c>
      <c r="E47867" s="2">
        <v>4.3010567696482999E-6</v>
      </c>
      <c r="F47867" s="2">
        <v>9.8681749974786797E-8</v>
      </c>
    </row>
    <row r="47868" spans="1:6" x14ac:dyDescent="0.25">
      <c r="A47868" s="1" t="str">
        <f t="shared" si="1551"/>
        <v>99999</v>
      </c>
      <c r="B47868" s="1" t="str">
        <f>"32463"</f>
        <v>32463</v>
      </c>
      <c r="C47868" s="2">
        <v>0</v>
      </c>
      <c r="D47868" s="2">
        <v>0</v>
      </c>
      <c r="E47868" s="2">
        <v>4.3010567696482999E-6</v>
      </c>
      <c r="F47868" s="2">
        <v>9.8681749974786797E-8</v>
      </c>
    </row>
    <row r="47869" spans="1:6" x14ac:dyDescent="0.25">
      <c r="A47869" s="1" t="str">
        <f t="shared" si="1551"/>
        <v>99999</v>
      </c>
      <c r="B47869" s="1" t="str">
        <f>"95646"</f>
        <v>95646</v>
      </c>
      <c r="C47869" s="2">
        <v>0</v>
      </c>
      <c r="D47869" s="2">
        <v>0</v>
      </c>
      <c r="E47869" s="2">
        <v>4.3010567696482999E-6</v>
      </c>
      <c r="F47869" s="2">
        <v>9.8681749974786797E-8</v>
      </c>
    </row>
    <row r="47870" spans="1:6" x14ac:dyDescent="0.25">
      <c r="A47870" s="1" t="str">
        <f t="shared" si="1551"/>
        <v>99999</v>
      </c>
      <c r="B47870" s="1" t="str">
        <f>"99748"</f>
        <v>99748</v>
      </c>
      <c r="C47870" s="2">
        <v>0</v>
      </c>
      <c r="D47870" s="2">
        <v>0</v>
      </c>
      <c r="E47870" s="2">
        <v>4.3010567696482999E-6</v>
      </c>
      <c r="F47870" s="2">
        <v>9.8681749974786797E-8</v>
      </c>
    </row>
    <row r="47871" spans="1:6" x14ac:dyDescent="0.25">
      <c r="A47871" s="1" t="str">
        <f t="shared" si="1551"/>
        <v>99999</v>
      </c>
      <c r="B47871" s="1" t="str">
        <f>"24848"</f>
        <v>24848</v>
      </c>
      <c r="C47871" s="2">
        <v>0</v>
      </c>
      <c r="D47871" s="2">
        <v>1.50570889527644E-6</v>
      </c>
      <c r="E47871" s="2">
        <v>0</v>
      </c>
      <c r="F47871" s="2">
        <v>9.8681749974786797E-8</v>
      </c>
    </row>
    <row r="47872" spans="1:6" x14ac:dyDescent="0.25">
      <c r="A47872" s="1" t="str">
        <f t="shared" si="1551"/>
        <v>99999</v>
      </c>
      <c r="B47872" s="1" t="str">
        <f>"71242"</f>
        <v>71242</v>
      </c>
      <c r="C47872" s="2">
        <v>0</v>
      </c>
      <c r="D47872" s="2">
        <v>0</v>
      </c>
      <c r="E47872" s="2">
        <v>4.3010567696482999E-6</v>
      </c>
      <c r="F47872" s="2">
        <v>9.8681749974786797E-8</v>
      </c>
    </row>
    <row r="47873" spans="1:6" x14ac:dyDescent="0.25">
      <c r="A47873" s="1" t="str">
        <f t="shared" si="1551"/>
        <v>99999</v>
      </c>
      <c r="B47873" s="1" t="str">
        <f>"55312"</f>
        <v>55312</v>
      </c>
      <c r="C47873" s="2">
        <v>1.08260890558416E-7</v>
      </c>
      <c r="D47873" s="2">
        <v>0</v>
      </c>
      <c r="E47873" s="2">
        <v>0</v>
      </c>
      <c r="F47873" s="2">
        <v>9.8681749974786797E-8</v>
      </c>
    </row>
    <row r="47874" spans="1:6" x14ac:dyDescent="0.25">
      <c r="A47874" s="1" t="str">
        <f t="shared" si="1551"/>
        <v>99999</v>
      </c>
      <c r="B47874" s="1" t="str">
        <f>"18426"</f>
        <v>18426</v>
      </c>
      <c r="C47874" s="2">
        <v>3.2478267167524802E-7</v>
      </c>
      <c r="D47874" s="2">
        <v>0</v>
      </c>
      <c r="E47874" s="2">
        <v>0</v>
      </c>
      <c r="F47874" s="2">
        <v>2.9604524992435999E-7</v>
      </c>
    </row>
    <row r="47875" spans="1:6" x14ac:dyDescent="0.25">
      <c r="A47875" s="1" t="str">
        <f t="shared" si="1551"/>
        <v>99999</v>
      </c>
      <c r="B47875" s="1" t="str">
        <f>"67544"</f>
        <v>67544</v>
      </c>
      <c r="C47875" s="2">
        <v>1.08260890558416E-7</v>
      </c>
      <c r="D47875" s="2">
        <v>0</v>
      </c>
      <c r="E47875" s="2">
        <v>0</v>
      </c>
      <c r="F47875" s="2">
        <v>9.8681749974786797E-8</v>
      </c>
    </row>
    <row r="47876" spans="1:6" x14ac:dyDescent="0.25">
      <c r="A47876" s="1" t="str">
        <f t="shared" si="1551"/>
        <v>99999</v>
      </c>
      <c r="B47876" s="1" t="str">
        <f>"99647"</f>
        <v>99647</v>
      </c>
      <c r="C47876" s="2">
        <v>0</v>
      </c>
      <c r="D47876" s="2">
        <v>0</v>
      </c>
      <c r="E47876" s="2">
        <v>4.3010567696482999E-6</v>
      </c>
      <c r="F47876" s="2">
        <v>9.8681749974786797E-8</v>
      </c>
    </row>
    <row r="47877" spans="1:6" x14ac:dyDescent="0.25">
      <c r="A47877" s="1" t="str">
        <f t="shared" si="1551"/>
        <v>99999</v>
      </c>
      <c r="B47877" s="1" t="str">
        <f>"99640"</f>
        <v>99640</v>
      </c>
      <c r="C47877" s="2">
        <v>0</v>
      </c>
      <c r="D47877" s="2">
        <v>0</v>
      </c>
      <c r="E47877" s="2">
        <v>4.3010567696482999E-6</v>
      </c>
      <c r="F47877" s="2">
        <v>9.8681749974786797E-8</v>
      </c>
    </row>
    <row r="47878" spans="1:6" x14ac:dyDescent="0.25">
      <c r="A47878" s="1" t="str">
        <f t="shared" ref="A47878:A47941" si="1552">"99999"</f>
        <v>99999</v>
      </c>
      <c r="B47878" s="1" t="str">
        <f>"61839"</f>
        <v>61839</v>
      </c>
      <c r="C47878" s="2">
        <v>2.1652178111683201E-7</v>
      </c>
      <c r="D47878" s="2">
        <v>0</v>
      </c>
      <c r="E47878" s="2">
        <v>0</v>
      </c>
      <c r="F47878" s="2">
        <v>1.9736349994957301E-7</v>
      </c>
    </row>
    <row r="47879" spans="1:6" x14ac:dyDescent="0.25">
      <c r="A47879" s="1" t="str">
        <f t="shared" si="1552"/>
        <v>99999</v>
      </c>
      <c r="B47879" s="1" t="str">
        <f>"99643"</f>
        <v>99643</v>
      </c>
      <c r="C47879" s="2">
        <v>0</v>
      </c>
      <c r="D47879" s="2">
        <v>0</v>
      </c>
      <c r="E47879" s="2">
        <v>4.3010567696482999E-6</v>
      </c>
      <c r="F47879" s="2">
        <v>9.8681749974786797E-8</v>
      </c>
    </row>
    <row r="47880" spans="1:6" x14ac:dyDescent="0.25">
      <c r="A47880" s="1" t="str">
        <f t="shared" si="1552"/>
        <v>99999</v>
      </c>
      <c r="B47880" s="1" t="str">
        <f>"54643"</f>
        <v>54643</v>
      </c>
      <c r="C47880" s="2">
        <v>0</v>
      </c>
      <c r="D47880" s="2">
        <v>0</v>
      </c>
      <c r="E47880" s="2">
        <v>4.3010567696482999E-6</v>
      </c>
      <c r="F47880" s="2">
        <v>9.8681749974786797E-8</v>
      </c>
    </row>
    <row r="47881" spans="1:6" x14ac:dyDescent="0.25">
      <c r="A47881" s="1" t="str">
        <f t="shared" si="1552"/>
        <v>99999</v>
      </c>
      <c r="B47881" s="1" t="str">
        <f>"61534"</f>
        <v>61534</v>
      </c>
      <c r="C47881" s="2">
        <v>1.08260890558416E-7</v>
      </c>
      <c r="D47881" s="2">
        <v>0</v>
      </c>
      <c r="E47881" s="2">
        <v>0</v>
      </c>
      <c r="F47881" s="2">
        <v>9.8681749974786797E-8</v>
      </c>
    </row>
    <row r="47882" spans="1:6" x14ac:dyDescent="0.25">
      <c r="A47882" s="1" t="str">
        <f t="shared" si="1552"/>
        <v>99999</v>
      </c>
      <c r="B47882" s="1" t="str">
        <f>"99791"</f>
        <v>99791</v>
      </c>
      <c r="C47882" s="2">
        <v>0</v>
      </c>
      <c r="D47882" s="2">
        <v>0</v>
      </c>
      <c r="E47882" s="2">
        <v>4.3010567696482999E-6</v>
      </c>
      <c r="F47882" s="2">
        <v>9.8681749974786797E-8</v>
      </c>
    </row>
    <row r="47883" spans="1:6" x14ac:dyDescent="0.25">
      <c r="A47883" s="1" t="str">
        <f t="shared" si="1552"/>
        <v>99999</v>
      </c>
      <c r="B47883" s="1" t="str">
        <f>"72075"</f>
        <v>72075</v>
      </c>
      <c r="C47883" s="2">
        <v>0</v>
      </c>
      <c r="D47883" s="2">
        <v>0</v>
      </c>
      <c r="E47883" s="2">
        <v>4.3010567696482999E-6</v>
      </c>
      <c r="F47883" s="2">
        <v>9.8681749974786797E-8</v>
      </c>
    </row>
    <row r="47884" spans="1:6" x14ac:dyDescent="0.25">
      <c r="A47884" s="1" t="str">
        <f t="shared" si="1552"/>
        <v>99999</v>
      </c>
      <c r="B47884" s="1" t="str">
        <f>"25690"</f>
        <v>25690</v>
      </c>
      <c r="C47884" s="2">
        <v>0</v>
      </c>
      <c r="D47884" s="2">
        <v>1.50570889527644E-6</v>
      </c>
      <c r="E47884" s="2">
        <v>0</v>
      </c>
      <c r="F47884" s="2">
        <v>9.8681749974786797E-8</v>
      </c>
    </row>
    <row r="47885" spans="1:6" x14ac:dyDescent="0.25">
      <c r="A47885" s="1" t="str">
        <f t="shared" si="1552"/>
        <v>99999</v>
      </c>
      <c r="B47885" s="1" t="str">
        <f>"24412"</f>
        <v>24412</v>
      </c>
      <c r="C47885" s="2">
        <v>0</v>
      </c>
      <c r="D47885" s="2">
        <v>1.50570889527644E-6</v>
      </c>
      <c r="E47885" s="2">
        <v>0</v>
      </c>
      <c r="F47885" s="2">
        <v>9.8681749974786797E-8</v>
      </c>
    </row>
    <row r="47886" spans="1:6" x14ac:dyDescent="0.25">
      <c r="A47886" s="1" t="str">
        <f t="shared" si="1552"/>
        <v>99999</v>
      </c>
      <c r="B47886" s="1" t="str">
        <f>"00765"</f>
        <v>00765</v>
      </c>
      <c r="C47886" s="2">
        <v>4.9778357478759698E-4</v>
      </c>
      <c r="D47886" s="2">
        <v>3.4179591922775201E-4</v>
      </c>
      <c r="E47886" s="2">
        <v>6.0214794775076199E-5</v>
      </c>
      <c r="F47886" s="2">
        <v>4.77520988127993E-4</v>
      </c>
    </row>
    <row r="47887" spans="1:6" x14ac:dyDescent="0.25">
      <c r="A47887" s="1" t="str">
        <f t="shared" si="1552"/>
        <v>99999</v>
      </c>
      <c r="B47887" s="1" t="str">
        <f>"00840"</f>
        <v>00840</v>
      </c>
      <c r="C47887" s="2">
        <v>4.1269051480868202E-4</v>
      </c>
      <c r="D47887" s="2">
        <v>8.2964560129731798E-4</v>
      </c>
      <c r="E47887" s="2">
        <v>1.28601597412484E-3</v>
      </c>
      <c r="F47887" s="2">
        <v>4.6005431838245598E-4</v>
      </c>
    </row>
    <row r="47888" spans="1:6" x14ac:dyDescent="0.25">
      <c r="A47888" s="1" t="str">
        <f t="shared" si="1552"/>
        <v>99999</v>
      </c>
      <c r="B47888" s="1" t="str">
        <f>"03894"</f>
        <v>03894</v>
      </c>
      <c r="C47888" s="2">
        <v>4.9897444458373995E-4</v>
      </c>
      <c r="D47888" s="2">
        <v>5.9927214032002305E-4</v>
      </c>
      <c r="E47888" s="2">
        <v>3.13977144184326E-4</v>
      </c>
      <c r="F47888" s="2">
        <v>5.0130328987191698E-4</v>
      </c>
    </row>
    <row r="47889" spans="1:6" x14ac:dyDescent="0.25">
      <c r="A47889" s="1" t="str">
        <f t="shared" si="1552"/>
        <v>99999</v>
      </c>
      <c r="B47889" s="1" t="str">
        <f>"03875"</f>
        <v>03875</v>
      </c>
      <c r="C47889" s="2">
        <v>3.8216094367120903E-5</v>
      </c>
      <c r="D47889" s="2">
        <v>1.0539962266935E-5</v>
      </c>
      <c r="E47889" s="2">
        <v>4.3010567696482999E-6</v>
      </c>
      <c r="F47889" s="2">
        <v>3.5624111740897998E-5</v>
      </c>
    </row>
    <row r="47890" spans="1:6" x14ac:dyDescent="0.25">
      <c r="A47890" s="1" t="str">
        <f t="shared" si="1552"/>
        <v>99999</v>
      </c>
      <c r="B47890" s="1" t="str">
        <f>"04040"</f>
        <v>04040</v>
      </c>
      <c r="C47890" s="2">
        <v>2.78230488735129E-5</v>
      </c>
      <c r="D47890" s="2">
        <v>3.01141779055288E-6</v>
      </c>
      <c r="E47890" s="2">
        <v>8.6021135392965999E-6</v>
      </c>
      <c r="F47890" s="2">
        <v>2.57559367434193E-5</v>
      </c>
    </row>
    <row r="47891" spans="1:6" x14ac:dyDescent="0.25">
      <c r="A47891" s="1" t="str">
        <f t="shared" si="1552"/>
        <v>99999</v>
      </c>
      <c r="B47891" s="1" t="str">
        <f>"04463"</f>
        <v>04463</v>
      </c>
      <c r="C47891" s="2">
        <v>1.8328568771539799E-4</v>
      </c>
      <c r="D47891" s="2">
        <v>1.15939584936285E-4</v>
      </c>
      <c r="E47891" s="2">
        <v>2.1935389525206301E-4</v>
      </c>
      <c r="F47891" s="2">
        <v>1.7969946670408601E-4</v>
      </c>
    </row>
    <row r="47892" spans="1:6" x14ac:dyDescent="0.25">
      <c r="A47892" s="1" t="str">
        <f t="shared" si="1552"/>
        <v>99999</v>
      </c>
      <c r="B47892" s="1" t="str">
        <f>"04289"</f>
        <v>04289</v>
      </c>
      <c r="C47892" s="2">
        <v>8.2386537714954696E-5</v>
      </c>
      <c r="D47892" s="2">
        <v>2.25856334291466E-5</v>
      </c>
      <c r="E47892" s="2">
        <v>4.7311624466131299E-5</v>
      </c>
      <c r="F47892" s="2">
        <v>7.76625372301572E-5</v>
      </c>
    </row>
    <row r="47893" spans="1:6" x14ac:dyDescent="0.25">
      <c r="A47893" s="1" t="str">
        <f t="shared" si="1552"/>
        <v>99999</v>
      </c>
      <c r="B47893" s="1" t="str">
        <f>"04354"</f>
        <v>04354</v>
      </c>
      <c r="C47893" s="2">
        <v>8.8449147586226002E-5</v>
      </c>
      <c r="D47893" s="2">
        <v>7.5285444763821999E-6</v>
      </c>
      <c r="E47893" s="2">
        <v>3.01073973875381E-5</v>
      </c>
      <c r="F47893" s="2">
        <v>8.1807170729098202E-5</v>
      </c>
    </row>
    <row r="47894" spans="1:6" x14ac:dyDescent="0.25">
      <c r="A47894" s="1" t="str">
        <f t="shared" si="1552"/>
        <v>99999</v>
      </c>
      <c r="B47894" s="1" t="str">
        <f>"04414"</f>
        <v>04414</v>
      </c>
      <c r="C47894" s="2">
        <v>7.5241318938099204E-5</v>
      </c>
      <c r="D47894" s="2">
        <v>2.55970512196994E-5</v>
      </c>
      <c r="E47894" s="2">
        <v>6.4515851544724506E-5</v>
      </c>
      <c r="F47894" s="2">
        <v>7.1741632231670001E-5</v>
      </c>
    </row>
    <row r="47895" spans="1:6" x14ac:dyDescent="0.25">
      <c r="A47895" s="1" t="str">
        <f t="shared" si="1552"/>
        <v>99999</v>
      </c>
      <c r="B47895" s="1" t="str">
        <f>"04981"</f>
        <v>04981</v>
      </c>
      <c r="C47895" s="2">
        <v>1.2211828454989301E-4</v>
      </c>
      <c r="D47895" s="2">
        <v>2.8608469010252301E-5</v>
      </c>
      <c r="E47895" s="2">
        <v>3.8709510926834699E-5</v>
      </c>
      <c r="F47895" s="2">
        <v>1.1407610297085301E-4</v>
      </c>
    </row>
    <row r="47896" spans="1:6" x14ac:dyDescent="0.25">
      <c r="A47896" s="1" t="str">
        <f t="shared" si="1552"/>
        <v>99999</v>
      </c>
      <c r="B47896" s="1" t="str">
        <f>"04758"</f>
        <v>04758</v>
      </c>
      <c r="C47896" s="2">
        <v>4.6985226502352598E-5</v>
      </c>
      <c r="D47896" s="2">
        <v>3.1619886800805203E-5</v>
      </c>
      <c r="E47896" s="2">
        <v>1.3333275985909701E-4</v>
      </c>
      <c r="F47896" s="2">
        <v>4.79593304877463E-5</v>
      </c>
    </row>
    <row r="47897" spans="1:6" x14ac:dyDescent="0.25">
      <c r="A47897" s="1" t="str">
        <f t="shared" si="1552"/>
        <v>99999</v>
      </c>
      <c r="B47897" s="1" t="str">
        <f>"46771"</f>
        <v>46771</v>
      </c>
      <c r="C47897" s="2">
        <v>0</v>
      </c>
      <c r="D47897" s="2">
        <v>0</v>
      </c>
      <c r="E47897" s="2">
        <v>8.6021135392965999E-6</v>
      </c>
      <c r="F47897" s="2">
        <v>1.9736349994957301E-7</v>
      </c>
    </row>
    <row r="47898" spans="1:6" x14ac:dyDescent="0.25">
      <c r="A47898" s="1" t="str">
        <f t="shared" si="1552"/>
        <v>99999</v>
      </c>
      <c r="B47898" s="1" t="str">
        <f>"84640"</f>
        <v>84640</v>
      </c>
      <c r="C47898" s="2">
        <v>2.1652178111683201E-7</v>
      </c>
      <c r="D47898" s="2">
        <v>0</v>
      </c>
      <c r="E47898" s="2">
        <v>4.3010567696482999E-6</v>
      </c>
      <c r="F47898" s="2">
        <v>2.9604524992435999E-7</v>
      </c>
    </row>
    <row r="47899" spans="1:6" x14ac:dyDescent="0.25">
      <c r="A47899" s="1" t="str">
        <f t="shared" si="1552"/>
        <v>99999</v>
      </c>
      <c r="B47899" s="1" t="str">
        <f>"83677"</f>
        <v>83677</v>
      </c>
      <c r="C47899" s="2">
        <v>2.2734787017267302E-6</v>
      </c>
      <c r="D47899" s="2">
        <v>9.0342533716586405E-6</v>
      </c>
      <c r="E47899" s="2">
        <v>8.6021135392965999E-6</v>
      </c>
      <c r="F47899" s="2">
        <v>2.8617707492688101E-6</v>
      </c>
    </row>
    <row r="47900" spans="1:6" x14ac:dyDescent="0.25">
      <c r="A47900" s="1" t="str">
        <f t="shared" si="1552"/>
        <v>99999</v>
      </c>
      <c r="B47900" s="1" t="str">
        <f>"23347"</f>
        <v>23347</v>
      </c>
      <c r="C47900" s="2">
        <v>0</v>
      </c>
      <c r="D47900" s="2">
        <v>1.50570889527644E-6</v>
      </c>
      <c r="E47900" s="2">
        <v>0</v>
      </c>
      <c r="F47900" s="2">
        <v>9.8681749974786797E-8</v>
      </c>
    </row>
    <row r="47901" spans="1:6" x14ac:dyDescent="0.25">
      <c r="A47901" s="1" t="str">
        <f t="shared" si="1552"/>
        <v>99999</v>
      </c>
      <c r="B47901" s="1" t="str">
        <f>"65244"</f>
        <v>65244</v>
      </c>
      <c r="C47901" s="2">
        <v>6.49565343350497E-7</v>
      </c>
      <c r="D47901" s="2">
        <v>1.50570889527644E-6</v>
      </c>
      <c r="E47901" s="2">
        <v>4.3010567696482999E-6</v>
      </c>
      <c r="F47901" s="2">
        <v>7.8945399979829395E-7</v>
      </c>
    </row>
    <row r="47902" spans="1:6" x14ac:dyDescent="0.25">
      <c r="A47902" s="1" t="str">
        <f t="shared" si="1552"/>
        <v>99999</v>
      </c>
      <c r="B47902" s="1" t="str">
        <f>"39759"</f>
        <v>39759</v>
      </c>
      <c r="C47902" s="2">
        <v>1.51565246781782E-6</v>
      </c>
      <c r="D47902" s="2">
        <v>0</v>
      </c>
      <c r="E47902" s="2">
        <v>8.6021135392965999E-6</v>
      </c>
      <c r="F47902" s="2">
        <v>1.5789079995965801E-6</v>
      </c>
    </row>
    <row r="47903" spans="1:6" x14ac:dyDescent="0.25">
      <c r="A47903" s="1" t="str">
        <f t="shared" si="1552"/>
        <v>99999</v>
      </c>
      <c r="B47903" s="1" t="str">
        <f>"65240"</f>
        <v>65240</v>
      </c>
      <c r="C47903" s="2">
        <v>2.1652178111683201E-7</v>
      </c>
      <c r="D47903" s="2">
        <v>0</v>
      </c>
      <c r="E47903" s="2">
        <v>0</v>
      </c>
      <c r="F47903" s="2">
        <v>1.9736349994957301E-7</v>
      </c>
    </row>
    <row r="47904" spans="1:6" x14ac:dyDescent="0.25">
      <c r="A47904" s="1" t="str">
        <f t="shared" si="1552"/>
        <v>99999</v>
      </c>
      <c r="B47904" s="1" t="str">
        <f>"24218"</f>
        <v>24218</v>
      </c>
      <c r="C47904" s="2">
        <v>0</v>
      </c>
      <c r="D47904" s="2">
        <v>1.50570889527644E-6</v>
      </c>
      <c r="E47904" s="2">
        <v>0</v>
      </c>
      <c r="F47904" s="2">
        <v>9.8681749974786797E-8</v>
      </c>
    </row>
    <row r="47905" spans="1:6" x14ac:dyDescent="0.25">
      <c r="A47905" s="1" t="str">
        <f t="shared" si="1552"/>
        <v>99999</v>
      </c>
      <c r="B47905" s="1" t="str">
        <f>"31069"</f>
        <v>31069</v>
      </c>
      <c r="C47905" s="2">
        <v>9.7434801502574508E-7</v>
      </c>
      <c r="D47905" s="2">
        <v>0</v>
      </c>
      <c r="E47905" s="2">
        <v>0</v>
      </c>
      <c r="F47905" s="2">
        <v>8.8813574977308104E-7</v>
      </c>
    </row>
    <row r="47906" spans="1:6" x14ac:dyDescent="0.25">
      <c r="A47906" s="1" t="str">
        <f t="shared" si="1552"/>
        <v>99999</v>
      </c>
      <c r="B47906" s="1" t="str">
        <f>"50481"</f>
        <v>50481</v>
      </c>
      <c r="C47906" s="2">
        <v>2.8147831545188202E-6</v>
      </c>
      <c r="D47906" s="2">
        <v>6.0228355811057601E-6</v>
      </c>
      <c r="E47906" s="2">
        <v>0</v>
      </c>
      <c r="F47906" s="2">
        <v>2.9604524992435999E-6</v>
      </c>
    </row>
    <row r="47907" spans="1:6" x14ac:dyDescent="0.25">
      <c r="A47907" s="1" t="str">
        <f t="shared" si="1552"/>
        <v>99999</v>
      </c>
      <c r="B47907" s="1" t="str">
        <f>"40601"</f>
        <v>40601</v>
      </c>
      <c r="C47907" s="2">
        <v>4.3304356223366401E-7</v>
      </c>
      <c r="D47907" s="2">
        <v>0</v>
      </c>
      <c r="E47907" s="2">
        <v>0</v>
      </c>
      <c r="F47907" s="2">
        <v>3.9472699989914697E-7</v>
      </c>
    </row>
    <row r="47908" spans="1:6" x14ac:dyDescent="0.25">
      <c r="A47908" s="1" t="str">
        <f t="shared" si="1552"/>
        <v>99999</v>
      </c>
      <c r="B47908" s="1" t="str">
        <f>"28750"</f>
        <v>28750</v>
      </c>
      <c r="C47908" s="2">
        <v>0</v>
      </c>
      <c r="D47908" s="2">
        <v>0</v>
      </c>
      <c r="E47908" s="2">
        <v>8.6021135392965999E-6</v>
      </c>
      <c r="F47908" s="2">
        <v>1.9736349994957301E-7</v>
      </c>
    </row>
    <row r="47909" spans="1:6" x14ac:dyDescent="0.25">
      <c r="A47909" s="1" t="str">
        <f t="shared" si="1552"/>
        <v>99999</v>
      </c>
      <c r="B47909" s="1" t="str">
        <f>"67467"</f>
        <v>67467</v>
      </c>
      <c r="C47909" s="2">
        <v>3.2478267167524802E-7</v>
      </c>
      <c r="D47909" s="2">
        <v>0</v>
      </c>
      <c r="E47909" s="2">
        <v>0</v>
      </c>
      <c r="F47909" s="2">
        <v>2.9604524992435999E-7</v>
      </c>
    </row>
    <row r="47910" spans="1:6" x14ac:dyDescent="0.25">
      <c r="A47910" s="1" t="str">
        <f t="shared" si="1552"/>
        <v>99999</v>
      </c>
      <c r="B47910" s="1" t="str">
        <f>"83316"</f>
        <v>83316</v>
      </c>
      <c r="C47910" s="2">
        <v>4.1139138412198104E-6</v>
      </c>
      <c r="D47910" s="2">
        <v>1.50570889527644E-6</v>
      </c>
      <c r="E47910" s="2">
        <v>0</v>
      </c>
      <c r="F47910" s="2">
        <v>3.8485882490166797E-6</v>
      </c>
    </row>
    <row r="47911" spans="1:6" x14ac:dyDescent="0.25">
      <c r="A47911" s="1" t="str">
        <f t="shared" si="1552"/>
        <v>99999</v>
      </c>
      <c r="B47911" s="1" t="str">
        <f>"99771"</f>
        <v>99771</v>
      </c>
      <c r="C47911" s="2">
        <v>0</v>
      </c>
      <c r="D47911" s="2">
        <v>0</v>
      </c>
      <c r="E47911" s="2">
        <v>4.3010567696482999E-6</v>
      </c>
      <c r="F47911" s="2">
        <v>9.8681749974786797E-8</v>
      </c>
    </row>
    <row r="47912" spans="1:6" x14ac:dyDescent="0.25">
      <c r="A47912" s="1" t="str">
        <f t="shared" si="1552"/>
        <v>99999</v>
      </c>
      <c r="B47912" s="1" t="str">
        <f>"49303"</f>
        <v>49303</v>
      </c>
      <c r="C47912" s="2">
        <v>3.5726093884277301E-6</v>
      </c>
      <c r="D47912" s="2">
        <v>0</v>
      </c>
      <c r="E47912" s="2">
        <v>0</v>
      </c>
      <c r="F47912" s="2">
        <v>3.2564977491679601E-6</v>
      </c>
    </row>
    <row r="47913" spans="1:6" x14ac:dyDescent="0.25">
      <c r="A47913" s="1" t="str">
        <f t="shared" si="1552"/>
        <v>99999</v>
      </c>
      <c r="B47913" s="1" t="str">
        <f>"24658"</f>
        <v>24658</v>
      </c>
      <c r="C47913" s="2">
        <v>0</v>
      </c>
      <c r="D47913" s="2">
        <v>1.50570889527644E-6</v>
      </c>
      <c r="E47913" s="2">
        <v>0</v>
      </c>
      <c r="F47913" s="2">
        <v>9.8681749974786797E-8</v>
      </c>
    </row>
    <row r="47914" spans="1:6" x14ac:dyDescent="0.25">
      <c r="A47914" s="1" t="str">
        <f t="shared" si="1552"/>
        <v>99999</v>
      </c>
      <c r="B47914" s="1" t="str">
        <f>"25972"</f>
        <v>25972</v>
      </c>
      <c r="C47914" s="2">
        <v>1.08260890558416E-7</v>
      </c>
      <c r="D47914" s="2">
        <v>0</v>
      </c>
      <c r="E47914" s="2">
        <v>4.3010567696482999E-6</v>
      </c>
      <c r="F47914" s="2">
        <v>1.9736349994957301E-7</v>
      </c>
    </row>
    <row r="47915" spans="1:6" x14ac:dyDescent="0.25">
      <c r="A47915" s="1" t="str">
        <f t="shared" si="1552"/>
        <v>99999</v>
      </c>
      <c r="B47915" s="1" t="str">
        <f>"72169"</f>
        <v>72169</v>
      </c>
      <c r="C47915" s="2">
        <v>0</v>
      </c>
      <c r="D47915" s="2">
        <v>0</v>
      </c>
      <c r="E47915" s="2">
        <v>4.3010567696482999E-6</v>
      </c>
      <c r="F47915" s="2">
        <v>9.8681749974786797E-8</v>
      </c>
    </row>
    <row r="47916" spans="1:6" x14ac:dyDescent="0.25">
      <c r="A47916" s="1" t="str">
        <f t="shared" si="1552"/>
        <v>99999</v>
      </c>
      <c r="B47916" s="1" t="str">
        <f>"45642"</f>
        <v>45642</v>
      </c>
      <c r="C47916" s="2">
        <v>0</v>
      </c>
      <c r="D47916" s="2">
        <v>1.50570889527644E-6</v>
      </c>
      <c r="E47916" s="2">
        <v>0</v>
      </c>
      <c r="F47916" s="2">
        <v>9.8681749974786797E-8</v>
      </c>
    </row>
    <row r="47917" spans="1:6" x14ac:dyDescent="0.25">
      <c r="A47917" s="1" t="str">
        <f t="shared" si="1552"/>
        <v>99999</v>
      </c>
      <c r="B47917" s="1" t="str">
        <f>"66843"</f>
        <v>66843</v>
      </c>
      <c r="C47917" s="2">
        <v>1.08260890558416E-7</v>
      </c>
      <c r="D47917" s="2">
        <v>0</v>
      </c>
      <c r="E47917" s="2">
        <v>0</v>
      </c>
      <c r="F47917" s="2">
        <v>9.8681749974786797E-8</v>
      </c>
    </row>
    <row r="47918" spans="1:6" x14ac:dyDescent="0.25">
      <c r="A47918" s="1" t="str">
        <f t="shared" si="1552"/>
        <v>99999</v>
      </c>
      <c r="B47918" s="1" t="str">
        <f>"18843"</f>
        <v>18843</v>
      </c>
      <c r="C47918" s="2">
        <v>1.08260890558416E-7</v>
      </c>
      <c r="D47918" s="2">
        <v>1.50570889527644E-6</v>
      </c>
      <c r="E47918" s="2">
        <v>0</v>
      </c>
      <c r="F47918" s="2">
        <v>1.9736349994957301E-7</v>
      </c>
    </row>
    <row r="47919" spans="1:6" x14ac:dyDescent="0.25">
      <c r="A47919" s="1" t="str">
        <f t="shared" si="1552"/>
        <v>99999</v>
      </c>
      <c r="B47919" s="1" t="str">
        <f>"27812"</f>
        <v>27812</v>
      </c>
      <c r="C47919" s="2">
        <v>2.3817395922851499E-6</v>
      </c>
      <c r="D47919" s="2">
        <v>0</v>
      </c>
      <c r="E47919" s="2">
        <v>0</v>
      </c>
      <c r="F47919" s="2">
        <v>2.1709984994452998E-6</v>
      </c>
    </row>
    <row r="47920" spans="1:6" x14ac:dyDescent="0.25">
      <c r="A47920" s="1" t="str">
        <f t="shared" si="1552"/>
        <v>99999</v>
      </c>
      <c r="B47920" s="1" t="str">
        <f>"84710"</f>
        <v>84710</v>
      </c>
      <c r="C47920" s="2">
        <v>0</v>
      </c>
      <c r="D47920" s="2">
        <v>1.50570889527644E-6</v>
      </c>
      <c r="E47920" s="2">
        <v>0</v>
      </c>
      <c r="F47920" s="2">
        <v>9.8681749974786797E-8</v>
      </c>
    </row>
    <row r="47921" spans="1:6" x14ac:dyDescent="0.25">
      <c r="A47921" s="1" t="str">
        <f t="shared" si="1552"/>
        <v>99999</v>
      </c>
      <c r="B47921" s="1" t="str">
        <f>"76905"</f>
        <v>76905</v>
      </c>
      <c r="C47921" s="2">
        <v>1.08260890558416E-7</v>
      </c>
      <c r="D47921" s="2">
        <v>0</v>
      </c>
      <c r="E47921" s="2">
        <v>0</v>
      </c>
      <c r="F47921" s="2">
        <v>9.8681749974786797E-8</v>
      </c>
    </row>
    <row r="47922" spans="1:6" x14ac:dyDescent="0.25">
      <c r="A47922" s="1" t="str">
        <f t="shared" si="1552"/>
        <v>99999</v>
      </c>
      <c r="B47922" s="1" t="str">
        <f>"99551"</f>
        <v>99551</v>
      </c>
      <c r="C47922" s="2">
        <v>0</v>
      </c>
      <c r="D47922" s="2">
        <v>0</v>
      </c>
      <c r="E47922" s="2">
        <v>4.3010567696482999E-6</v>
      </c>
      <c r="F47922" s="2">
        <v>9.8681749974786797E-8</v>
      </c>
    </row>
    <row r="47923" spans="1:6" x14ac:dyDescent="0.25">
      <c r="A47923" s="1" t="str">
        <f t="shared" si="1552"/>
        <v>99999</v>
      </c>
      <c r="B47923" s="1" t="str">
        <f>"39149"</f>
        <v>39149</v>
      </c>
      <c r="C47923" s="2">
        <v>4.3304356223366401E-7</v>
      </c>
      <c r="D47923" s="2">
        <v>0</v>
      </c>
      <c r="E47923" s="2">
        <v>0</v>
      </c>
      <c r="F47923" s="2">
        <v>3.9472699989914697E-7</v>
      </c>
    </row>
    <row r="47924" spans="1:6" x14ac:dyDescent="0.25">
      <c r="A47924" s="1" t="str">
        <f t="shared" si="1552"/>
        <v>99999</v>
      </c>
      <c r="B47924" s="1" t="str">
        <f>"59735"</f>
        <v>59735</v>
      </c>
      <c r="C47924" s="2">
        <v>0</v>
      </c>
      <c r="D47924" s="2">
        <v>0</v>
      </c>
      <c r="E47924" s="2">
        <v>4.3010567696482999E-6</v>
      </c>
      <c r="F47924" s="2">
        <v>9.8681749974786797E-8</v>
      </c>
    </row>
    <row r="47925" spans="1:6" x14ac:dyDescent="0.25">
      <c r="A47925" s="1" t="str">
        <f t="shared" si="1552"/>
        <v>99999</v>
      </c>
      <c r="B47925" s="1" t="str">
        <f>"63839"</f>
        <v>63839</v>
      </c>
      <c r="C47925" s="2">
        <v>1.08260890558416E-7</v>
      </c>
      <c r="D47925" s="2">
        <v>0</v>
      </c>
      <c r="E47925" s="2">
        <v>4.3010567696482999E-6</v>
      </c>
      <c r="F47925" s="2">
        <v>1.9736349994957301E-7</v>
      </c>
    </row>
    <row r="47926" spans="1:6" x14ac:dyDescent="0.25">
      <c r="A47926" s="1" t="str">
        <f t="shared" si="1552"/>
        <v>99999</v>
      </c>
      <c r="B47926" s="1" t="str">
        <f>"71823"</f>
        <v>71823</v>
      </c>
      <c r="C47926" s="2">
        <v>1.08260890558416E-7</v>
      </c>
      <c r="D47926" s="2">
        <v>0</v>
      </c>
      <c r="E47926" s="2">
        <v>4.3010567696482999E-6</v>
      </c>
      <c r="F47926" s="2">
        <v>1.9736349994957301E-7</v>
      </c>
    </row>
    <row r="47927" spans="1:6" x14ac:dyDescent="0.25">
      <c r="A47927" s="1" t="str">
        <f t="shared" si="1552"/>
        <v>99999</v>
      </c>
      <c r="B47927" s="1" t="str">
        <f>"99770"</f>
        <v>99770</v>
      </c>
      <c r="C47927" s="2">
        <v>0</v>
      </c>
      <c r="D47927" s="2">
        <v>0</v>
      </c>
      <c r="E47927" s="2">
        <v>4.3010567696482999E-6</v>
      </c>
      <c r="F47927" s="2">
        <v>9.8681749974786797E-8</v>
      </c>
    </row>
    <row r="47928" spans="1:6" x14ac:dyDescent="0.25">
      <c r="A47928" s="1" t="str">
        <f t="shared" si="1552"/>
        <v>99999</v>
      </c>
      <c r="B47928" s="1" t="str">
        <f>"59701"</f>
        <v>59701</v>
      </c>
      <c r="C47928" s="2">
        <v>2.1652178111683201E-7</v>
      </c>
      <c r="D47928" s="2">
        <v>0</v>
      </c>
      <c r="E47928" s="2">
        <v>0</v>
      </c>
      <c r="F47928" s="2">
        <v>1.9736349994957301E-7</v>
      </c>
    </row>
    <row r="47929" spans="1:6" x14ac:dyDescent="0.25">
      <c r="A47929" s="1" t="str">
        <f t="shared" si="1552"/>
        <v>99999</v>
      </c>
      <c r="B47929" s="1" t="str">
        <f>"85325"</f>
        <v>85325</v>
      </c>
      <c r="C47929" s="2">
        <v>3.2478267167524802E-7</v>
      </c>
      <c r="D47929" s="2">
        <v>0</v>
      </c>
      <c r="E47929" s="2">
        <v>4.3010567696482999E-6</v>
      </c>
      <c r="F47929" s="2">
        <v>3.9472699989914697E-7</v>
      </c>
    </row>
    <row r="47930" spans="1:6" x14ac:dyDescent="0.25">
      <c r="A47930" s="1" t="str">
        <f t="shared" si="1552"/>
        <v>99999</v>
      </c>
      <c r="B47930" s="1" t="str">
        <f>"00775"</f>
        <v>00775</v>
      </c>
      <c r="C47930" s="2">
        <v>0</v>
      </c>
      <c r="D47930" s="2">
        <v>0</v>
      </c>
      <c r="E47930" s="2">
        <v>4.3010567696482999E-6</v>
      </c>
      <c r="F47930" s="2">
        <v>9.8681749974786797E-8</v>
      </c>
    </row>
    <row r="47931" spans="1:6" x14ac:dyDescent="0.25">
      <c r="A47931" s="1" t="str">
        <f t="shared" si="1552"/>
        <v>99999</v>
      </c>
      <c r="B47931" s="1" t="str">
        <f>"99758"</f>
        <v>99758</v>
      </c>
      <c r="C47931" s="2">
        <v>0</v>
      </c>
      <c r="D47931" s="2">
        <v>0</v>
      </c>
      <c r="E47931" s="2">
        <v>4.3010567696482999E-6</v>
      </c>
      <c r="F47931" s="2">
        <v>9.8681749974786797E-8</v>
      </c>
    </row>
    <row r="47932" spans="1:6" x14ac:dyDescent="0.25">
      <c r="A47932" s="1" t="str">
        <f t="shared" si="1552"/>
        <v>99999</v>
      </c>
      <c r="B47932" s="1" t="str">
        <f>"72107"</f>
        <v>72107</v>
      </c>
      <c r="C47932" s="2">
        <v>1.08260890558416E-7</v>
      </c>
      <c r="D47932" s="2">
        <v>0</v>
      </c>
      <c r="E47932" s="2">
        <v>4.3010567696482999E-6</v>
      </c>
      <c r="F47932" s="2">
        <v>1.9736349994957301E-7</v>
      </c>
    </row>
    <row r="47933" spans="1:6" x14ac:dyDescent="0.25">
      <c r="A47933" s="1" t="str">
        <f t="shared" si="1552"/>
        <v>99999</v>
      </c>
      <c r="B47933" s="1" t="str">
        <f>"45325"</f>
        <v>45325</v>
      </c>
      <c r="C47933" s="2">
        <v>5.4130445279207995E-7</v>
      </c>
      <c r="D47933" s="2">
        <v>0</v>
      </c>
      <c r="E47933" s="2">
        <v>0</v>
      </c>
      <c r="F47933" s="2">
        <v>4.9340874987393396E-7</v>
      </c>
    </row>
    <row r="47934" spans="1:6" x14ac:dyDescent="0.25">
      <c r="A47934" s="1" t="str">
        <f t="shared" si="1552"/>
        <v>99999</v>
      </c>
      <c r="B47934" s="1" t="str">
        <f>"74837"</f>
        <v>74837</v>
      </c>
      <c r="C47934" s="2">
        <v>1.08260890558416E-7</v>
      </c>
      <c r="D47934" s="2">
        <v>0</v>
      </c>
      <c r="E47934" s="2">
        <v>4.3010567696482999E-6</v>
      </c>
      <c r="F47934" s="2">
        <v>1.9736349994957301E-7</v>
      </c>
    </row>
    <row r="47935" spans="1:6" x14ac:dyDescent="0.25">
      <c r="A47935" s="1" t="str">
        <f t="shared" si="1552"/>
        <v>99999</v>
      </c>
      <c r="B47935" s="1" t="str">
        <f>"72074"</f>
        <v>72074</v>
      </c>
      <c r="C47935" s="2">
        <v>0</v>
      </c>
      <c r="D47935" s="2">
        <v>0</v>
      </c>
      <c r="E47935" s="2">
        <v>4.3010567696482999E-6</v>
      </c>
      <c r="F47935" s="2">
        <v>9.8681749974786797E-8</v>
      </c>
    </row>
    <row r="47936" spans="1:6" x14ac:dyDescent="0.25">
      <c r="A47936" s="1" t="str">
        <f t="shared" si="1552"/>
        <v>99999</v>
      </c>
      <c r="B47936" s="1" t="str">
        <f>"92384"</f>
        <v>92384</v>
      </c>
      <c r="C47936" s="2">
        <v>0</v>
      </c>
      <c r="D47936" s="2">
        <v>1.50570889527644E-6</v>
      </c>
      <c r="E47936" s="2">
        <v>0</v>
      </c>
      <c r="F47936" s="2">
        <v>9.8681749974786797E-8</v>
      </c>
    </row>
    <row r="47937" spans="1:6" x14ac:dyDescent="0.25">
      <c r="A47937" s="1" t="str">
        <f t="shared" si="1552"/>
        <v>99999</v>
      </c>
      <c r="B47937" s="1" t="str">
        <f>"99784"</f>
        <v>99784</v>
      </c>
      <c r="C47937" s="2">
        <v>0</v>
      </c>
      <c r="D47937" s="2">
        <v>0</v>
      </c>
      <c r="E47937" s="2">
        <v>4.3010567696482999E-6</v>
      </c>
      <c r="F47937" s="2">
        <v>9.8681749974786797E-8</v>
      </c>
    </row>
    <row r="47938" spans="1:6" x14ac:dyDescent="0.25">
      <c r="A47938" s="1" t="str">
        <f t="shared" si="1552"/>
        <v>99999</v>
      </c>
      <c r="B47938" s="1" t="str">
        <f>"27594"</f>
        <v>27594</v>
      </c>
      <c r="C47938" s="2">
        <v>0</v>
      </c>
      <c r="D47938" s="2">
        <v>1.50570889527644E-6</v>
      </c>
      <c r="E47938" s="2">
        <v>0</v>
      </c>
      <c r="F47938" s="2">
        <v>9.8681749974786797E-8</v>
      </c>
    </row>
    <row r="47939" spans="1:6" x14ac:dyDescent="0.25">
      <c r="A47939" s="1" t="str">
        <f t="shared" si="1552"/>
        <v>99999</v>
      </c>
      <c r="B47939" s="1" t="str">
        <f>"22526"</f>
        <v>22526</v>
      </c>
      <c r="C47939" s="2">
        <v>0</v>
      </c>
      <c r="D47939" s="2">
        <v>0</v>
      </c>
      <c r="E47939" s="2">
        <v>4.3010567696482999E-6</v>
      </c>
      <c r="F47939" s="2">
        <v>9.8681749974786797E-8</v>
      </c>
    </row>
    <row r="47940" spans="1:6" x14ac:dyDescent="0.25">
      <c r="A47940" s="1" t="str">
        <f t="shared" si="1552"/>
        <v>99999</v>
      </c>
      <c r="B47940" s="1" t="str">
        <f>"24811"</f>
        <v>24811</v>
      </c>
      <c r="C47940" s="2">
        <v>1.08260890558416E-7</v>
      </c>
      <c r="D47940" s="2">
        <v>3.01141779055288E-6</v>
      </c>
      <c r="E47940" s="2">
        <v>0</v>
      </c>
      <c r="F47940" s="2">
        <v>2.9604524992435999E-7</v>
      </c>
    </row>
    <row r="47941" spans="1:6" x14ac:dyDescent="0.25">
      <c r="A47941" s="1" t="str">
        <f t="shared" si="1552"/>
        <v>99999</v>
      </c>
      <c r="B47941" s="1" t="str">
        <f>"37851"</f>
        <v>37851</v>
      </c>
      <c r="C47941" s="2">
        <v>0</v>
      </c>
      <c r="D47941" s="2">
        <v>1.50570889527644E-6</v>
      </c>
      <c r="E47941" s="2">
        <v>0</v>
      </c>
      <c r="F47941" s="2">
        <v>9.8681749974786797E-8</v>
      </c>
    </row>
    <row r="47942" spans="1:6" x14ac:dyDescent="0.25">
      <c r="A47942" s="1" t="str">
        <f t="shared" ref="A47942:A48005" si="1553">"99999"</f>
        <v>99999</v>
      </c>
      <c r="B47942" s="1" t="str">
        <f>"63855"</f>
        <v>63855</v>
      </c>
      <c r="C47942" s="2">
        <v>1.08260890558416E-7</v>
      </c>
      <c r="D47942" s="2">
        <v>0</v>
      </c>
      <c r="E47942" s="2">
        <v>0</v>
      </c>
      <c r="F47942" s="2">
        <v>9.8681749974786797E-8</v>
      </c>
    </row>
    <row r="47943" spans="1:6" x14ac:dyDescent="0.25">
      <c r="A47943" s="1" t="str">
        <f t="shared" si="1553"/>
        <v>99999</v>
      </c>
      <c r="B47943" s="1" t="str">
        <f>"54645"</f>
        <v>54645</v>
      </c>
      <c r="C47943" s="2">
        <v>0</v>
      </c>
      <c r="D47943" s="2">
        <v>0</v>
      </c>
      <c r="E47943" s="2">
        <v>4.3010567696482999E-6</v>
      </c>
      <c r="F47943" s="2">
        <v>9.8681749974786797E-8</v>
      </c>
    </row>
    <row r="47944" spans="1:6" x14ac:dyDescent="0.25">
      <c r="A47944" s="1" t="str">
        <f t="shared" si="1553"/>
        <v>99999</v>
      </c>
      <c r="B47944" s="1" t="str">
        <f>"63882"</f>
        <v>63882</v>
      </c>
      <c r="C47944" s="2">
        <v>3.2478267167524802E-7</v>
      </c>
      <c r="D47944" s="2">
        <v>1.50570889527644E-6</v>
      </c>
      <c r="E47944" s="2">
        <v>4.3010567696482999E-6</v>
      </c>
      <c r="F47944" s="2">
        <v>4.9340874987393396E-7</v>
      </c>
    </row>
    <row r="47945" spans="1:6" x14ac:dyDescent="0.25">
      <c r="A47945" s="1" t="str">
        <f t="shared" si="1553"/>
        <v>99999</v>
      </c>
      <c r="B47945" s="1" t="str">
        <f>"71363"</f>
        <v>71363</v>
      </c>
      <c r="C47945" s="2">
        <v>0</v>
      </c>
      <c r="D47945" s="2">
        <v>0</v>
      </c>
      <c r="E47945" s="2">
        <v>4.3010567696482999E-6</v>
      </c>
      <c r="F47945" s="2">
        <v>9.8681749974786797E-8</v>
      </c>
    </row>
    <row r="47946" spans="1:6" x14ac:dyDescent="0.25">
      <c r="A47946" s="1" t="str">
        <f t="shared" si="1553"/>
        <v>99999</v>
      </c>
      <c r="B47946" s="1" t="str">
        <f>"24535"</f>
        <v>24535</v>
      </c>
      <c r="C47946" s="2">
        <v>0</v>
      </c>
      <c r="D47946" s="2">
        <v>0</v>
      </c>
      <c r="E47946" s="2">
        <v>4.3010567696482999E-6</v>
      </c>
      <c r="F47946" s="2">
        <v>9.8681749974786797E-8</v>
      </c>
    </row>
    <row r="47947" spans="1:6" x14ac:dyDescent="0.25">
      <c r="A47947" s="1" t="str">
        <f t="shared" si="1553"/>
        <v>99999</v>
      </c>
      <c r="B47947" s="1" t="str">
        <f>"22442"</f>
        <v>22442</v>
      </c>
      <c r="C47947" s="2">
        <v>0</v>
      </c>
      <c r="D47947" s="2">
        <v>1.50570889527644E-6</v>
      </c>
      <c r="E47947" s="2">
        <v>4.3010567696482999E-6</v>
      </c>
      <c r="F47947" s="2">
        <v>1.9736349994957301E-7</v>
      </c>
    </row>
    <row r="47948" spans="1:6" x14ac:dyDescent="0.25">
      <c r="A47948" s="1" t="str">
        <f t="shared" si="1553"/>
        <v>99999</v>
      </c>
      <c r="B47948" s="1" t="str">
        <f>"79713"</f>
        <v>79713</v>
      </c>
      <c r="C47948" s="2">
        <v>2.1652178111683201E-7</v>
      </c>
      <c r="D47948" s="2">
        <v>0</v>
      </c>
      <c r="E47948" s="2">
        <v>0</v>
      </c>
      <c r="F47948" s="2">
        <v>1.9736349994957301E-7</v>
      </c>
    </row>
    <row r="47949" spans="1:6" x14ac:dyDescent="0.25">
      <c r="A47949" s="1" t="str">
        <f t="shared" si="1553"/>
        <v>99999</v>
      </c>
      <c r="B47949" s="1" t="str">
        <f>"15763"</f>
        <v>15763</v>
      </c>
      <c r="C47949" s="2">
        <v>1.08260890558416E-7</v>
      </c>
      <c r="D47949" s="2">
        <v>0</v>
      </c>
      <c r="E47949" s="2">
        <v>0</v>
      </c>
      <c r="F47949" s="2">
        <v>9.8681749974786797E-8</v>
      </c>
    </row>
    <row r="47950" spans="1:6" x14ac:dyDescent="0.25">
      <c r="A47950" s="1" t="str">
        <f t="shared" si="1553"/>
        <v>99999</v>
      </c>
      <c r="B47950" s="1" t="str">
        <f>"24059"</f>
        <v>24059</v>
      </c>
      <c r="C47950" s="2">
        <v>3.2478267167524802E-7</v>
      </c>
      <c r="D47950" s="2">
        <v>0</v>
      </c>
      <c r="E47950" s="2">
        <v>0</v>
      </c>
      <c r="F47950" s="2">
        <v>2.9604524992435999E-7</v>
      </c>
    </row>
    <row r="47951" spans="1:6" x14ac:dyDescent="0.25">
      <c r="A47951" s="1" t="str">
        <f t="shared" si="1553"/>
        <v>99999</v>
      </c>
      <c r="B47951" s="1" t="str">
        <f>"99638"</f>
        <v>99638</v>
      </c>
      <c r="C47951" s="2">
        <v>0</v>
      </c>
      <c r="D47951" s="2">
        <v>0</v>
      </c>
      <c r="E47951" s="2">
        <v>4.3010567696482999E-6</v>
      </c>
      <c r="F47951" s="2">
        <v>9.8681749974786797E-8</v>
      </c>
    </row>
    <row r="47952" spans="1:6" x14ac:dyDescent="0.25">
      <c r="A47952" s="1" t="str">
        <f t="shared" si="1553"/>
        <v>99999</v>
      </c>
      <c r="B47952" s="1" t="str">
        <f>"61059"</f>
        <v>61059</v>
      </c>
      <c r="C47952" s="2">
        <v>0</v>
      </c>
      <c r="D47952" s="2">
        <v>0</v>
      </c>
      <c r="E47952" s="2">
        <v>4.3010567696482999E-6</v>
      </c>
      <c r="F47952" s="2">
        <v>9.8681749974786797E-8</v>
      </c>
    </row>
    <row r="47953" spans="1:6" x14ac:dyDescent="0.25">
      <c r="A47953" s="1" t="str">
        <f t="shared" si="1553"/>
        <v>99999</v>
      </c>
      <c r="B47953" s="1" t="str">
        <f>"76940"</f>
        <v>76940</v>
      </c>
      <c r="C47953" s="2">
        <v>1.08260890558416E-7</v>
      </c>
      <c r="D47953" s="2">
        <v>0</v>
      </c>
      <c r="E47953" s="2">
        <v>0</v>
      </c>
      <c r="F47953" s="2">
        <v>9.8681749974786797E-8</v>
      </c>
    </row>
    <row r="47954" spans="1:6" x14ac:dyDescent="0.25">
      <c r="A47954" s="1" t="str">
        <f t="shared" si="1553"/>
        <v>99999</v>
      </c>
      <c r="B47954" s="1" t="str">
        <f>"42240"</f>
        <v>42240</v>
      </c>
      <c r="C47954" s="2">
        <v>6.49565343350497E-7</v>
      </c>
      <c r="D47954" s="2">
        <v>0</v>
      </c>
      <c r="E47954" s="2">
        <v>0</v>
      </c>
      <c r="F47954" s="2">
        <v>5.9209049984871999E-7</v>
      </c>
    </row>
    <row r="47955" spans="1:6" x14ac:dyDescent="0.25">
      <c r="A47955" s="1" t="str">
        <f t="shared" si="1553"/>
        <v>99999</v>
      </c>
      <c r="B47955" s="1" t="str">
        <f>"83826"</f>
        <v>83826</v>
      </c>
      <c r="C47955" s="2">
        <v>0</v>
      </c>
      <c r="D47955" s="2">
        <v>0</v>
      </c>
      <c r="E47955" s="2">
        <v>8.6021135392965999E-6</v>
      </c>
      <c r="F47955" s="2">
        <v>1.9736349994957301E-7</v>
      </c>
    </row>
    <row r="47956" spans="1:6" x14ac:dyDescent="0.25">
      <c r="A47956" s="1" t="str">
        <f t="shared" si="1553"/>
        <v>99999</v>
      </c>
      <c r="B47956" s="1" t="str">
        <f>"47445"</f>
        <v>47445</v>
      </c>
      <c r="C47956" s="2">
        <v>0</v>
      </c>
      <c r="D47956" s="2">
        <v>0</v>
      </c>
      <c r="E47956" s="2">
        <v>4.3010567696482999E-6</v>
      </c>
      <c r="F47956" s="2">
        <v>9.8681749974786797E-8</v>
      </c>
    </row>
    <row r="47957" spans="1:6" x14ac:dyDescent="0.25">
      <c r="A47957" s="1" t="str">
        <f t="shared" si="1553"/>
        <v>99999</v>
      </c>
      <c r="B47957" s="1" t="str">
        <f>"40849"</f>
        <v>40849</v>
      </c>
      <c r="C47957" s="2">
        <v>0</v>
      </c>
      <c r="D47957" s="2">
        <v>0</v>
      </c>
      <c r="E47957" s="2">
        <v>4.3010567696482999E-6</v>
      </c>
      <c r="F47957" s="2">
        <v>9.8681749974786797E-8</v>
      </c>
    </row>
    <row r="47958" spans="1:6" x14ac:dyDescent="0.25">
      <c r="A47958" s="1" t="str">
        <f t="shared" si="1553"/>
        <v>99999</v>
      </c>
      <c r="B47958" s="1" t="str">
        <f>"79846"</f>
        <v>79846</v>
      </c>
      <c r="C47958" s="2">
        <v>0</v>
      </c>
      <c r="D47958" s="2">
        <v>1.50570889527644E-6</v>
      </c>
      <c r="E47958" s="2">
        <v>0</v>
      </c>
      <c r="F47958" s="2">
        <v>9.8681749974786797E-8</v>
      </c>
    </row>
    <row r="47959" spans="1:6" x14ac:dyDescent="0.25">
      <c r="A47959" s="1" t="str">
        <f t="shared" si="1553"/>
        <v>99999</v>
      </c>
      <c r="B47959" s="1" t="str">
        <f>"99575"</f>
        <v>99575</v>
      </c>
      <c r="C47959" s="2">
        <v>0</v>
      </c>
      <c r="D47959" s="2">
        <v>0</v>
      </c>
      <c r="E47959" s="2">
        <v>4.3010567696482999E-6</v>
      </c>
      <c r="F47959" s="2">
        <v>9.8681749974786797E-8</v>
      </c>
    </row>
    <row r="47960" spans="1:6" x14ac:dyDescent="0.25">
      <c r="A47960" s="1" t="str">
        <f t="shared" si="1553"/>
        <v>99999</v>
      </c>
      <c r="B47960" s="1" t="str">
        <f>"79247"</f>
        <v>79247</v>
      </c>
      <c r="C47960" s="2">
        <v>1.08260890558416E-7</v>
      </c>
      <c r="D47960" s="2">
        <v>0</v>
      </c>
      <c r="E47960" s="2">
        <v>0</v>
      </c>
      <c r="F47960" s="2">
        <v>9.8681749974786797E-8</v>
      </c>
    </row>
    <row r="47961" spans="1:6" x14ac:dyDescent="0.25">
      <c r="A47961" s="1" t="str">
        <f t="shared" si="1553"/>
        <v>99999</v>
      </c>
      <c r="B47961" s="1" t="str">
        <f>"49336"</f>
        <v>49336</v>
      </c>
      <c r="C47961" s="2">
        <v>2.8147831545188202E-6</v>
      </c>
      <c r="D47961" s="2">
        <v>0</v>
      </c>
      <c r="E47961" s="2">
        <v>8.6021135392965999E-6</v>
      </c>
      <c r="F47961" s="2">
        <v>2.76308899929403E-6</v>
      </c>
    </row>
    <row r="47962" spans="1:6" x14ac:dyDescent="0.25">
      <c r="A47962" s="1" t="str">
        <f t="shared" si="1553"/>
        <v>99999</v>
      </c>
      <c r="B47962" s="1" t="str">
        <f>"59343"</f>
        <v>59343</v>
      </c>
      <c r="C47962" s="2">
        <v>3.8973920601029803E-6</v>
      </c>
      <c r="D47962" s="2">
        <v>0</v>
      </c>
      <c r="E47962" s="2">
        <v>4.3010567696482999E-6</v>
      </c>
      <c r="F47962" s="2">
        <v>3.6512247490671102E-6</v>
      </c>
    </row>
    <row r="47963" spans="1:6" x14ac:dyDescent="0.25">
      <c r="A47963" s="1" t="str">
        <f t="shared" si="1553"/>
        <v>99999</v>
      </c>
      <c r="B47963" s="1" t="str">
        <f>"59434"</f>
        <v>59434</v>
      </c>
      <c r="C47963" s="2">
        <v>2.1652178111683201E-7</v>
      </c>
      <c r="D47963" s="2">
        <v>1.50570889527644E-6</v>
      </c>
      <c r="E47963" s="2">
        <v>1.72042270785932E-5</v>
      </c>
      <c r="F47963" s="2">
        <v>6.9077224982350697E-7</v>
      </c>
    </row>
    <row r="47964" spans="1:6" x14ac:dyDescent="0.25">
      <c r="A47964" s="1" t="str">
        <f t="shared" si="1553"/>
        <v>99999</v>
      </c>
      <c r="B47964" s="1" t="str">
        <f>"62459"</f>
        <v>62459</v>
      </c>
      <c r="C47964" s="2">
        <v>3.0313049356356498E-6</v>
      </c>
      <c r="D47964" s="2">
        <v>0</v>
      </c>
      <c r="E47964" s="2">
        <v>4.3010567696482999E-6</v>
      </c>
      <c r="F47964" s="2">
        <v>2.8617707492688101E-6</v>
      </c>
    </row>
    <row r="47965" spans="1:6" x14ac:dyDescent="0.25">
      <c r="A47965" s="1" t="str">
        <f t="shared" si="1553"/>
        <v>99999</v>
      </c>
      <c r="B47965" s="1" t="str">
        <f>"04992"</f>
        <v>04992</v>
      </c>
      <c r="C47965" s="2">
        <v>7.5782623390891299E-7</v>
      </c>
      <c r="D47965" s="2">
        <v>0</v>
      </c>
      <c r="E47965" s="2">
        <v>4.3010567696482999E-6</v>
      </c>
      <c r="F47965" s="2">
        <v>7.8945399979829395E-7</v>
      </c>
    </row>
    <row r="47966" spans="1:6" x14ac:dyDescent="0.25">
      <c r="A47966" s="1" t="str">
        <f t="shared" si="1553"/>
        <v>99999</v>
      </c>
      <c r="B47966" s="1" t="str">
        <f>"05489"</f>
        <v>05489</v>
      </c>
      <c r="C47966" s="2">
        <v>7.5782623390891299E-7</v>
      </c>
      <c r="D47966" s="2">
        <v>0</v>
      </c>
      <c r="E47966" s="2">
        <v>0</v>
      </c>
      <c r="F47966" s="2">
        <v>6.9077224982350697E-7</v>
      </c>
    </row>
    <row r="47967" spans="1:6" x14ac:dyDescent="0.25">
      <c r="A47967" s="1" t="str">
        <f t="shared" si="1553"/>
        <v>99999</v>
      </c>
      <c r="B47967" s="1" t="str">
        <f>"52163"</f>
        <v>52163</v>
      </c>
      <c r="C47967" s="2">
        <v>2.1110873658891101E-5</v>
      </c>
      <c r="D47967" s="2">
        <v>1.50570889527644E-6</v>
      </c>
      <c r="E47967" s="2">
        <v>8.6021135392965999E-6</v>
      </c>
      <c r="F47967" s="2">
        <v>1.95389864950077E-5</v>
      </c>
    </row>
    <row r="47968" spans="1:6" x14ac:dyDescent="0.25">
      <c r="A47968" s="1" t="str">
        <f t="shared" si="1553"/>
        <v>99999</v>
      </c>
      <c r="B47968" s="1" t="str">
        <f>"57235"</f>
        <v>57235</v>
      </c>
      <c r="C47968" s="2">
        <v>6.49565343350497E-7</v>
      </c>
      <c r="D47968" s="2">
        <v>0</v>
      </c>
      <c r="E47968" s="2">
        <v>0</v>
      </c>
      <c r="F47968" s="2">
        <v>5.9209049984871999E-7</v>
      </c>
    </row>
    <row r="47969" spans="1:6" x14ac:dyDescent="0.25">
      <c r="A47969" s="1" t="str">
        <f t="shared" si="1553"/>
        <v>99999</v>
      </c>
      <c r="B47969" s="1" t="str">
        <f>"75980"</f>
        <v>75980</v>
      </c>
      <c r="C47969" s="2">
        <v>2.8147831545188202E-6</v>
      </c>
      <c r="D47969" s="2">
        <v>0</v>
      </c>
      <c r="E47969" s="2">
        <v>0</v>
      </c>
      <c r="F47969" s="2">
        <v>2.5657254993444499E-6</v>
      </c>
    </row>
    <row r="47970" spans="1:6" x14ac:dyDescent="0.25">
      <c r="A47970" s="1" t="str">
        <f t="shared" si="1553"/>
        <v>99999</v>
      </c>
      <c r="B47970" s="1" t="str">
        <f>"95224"</f>
        <v>95224</v>
      </c>
      <c r="C47970" s="2">
        <v>0</v>
      </c>
      <c r="D47970" s="2">
        <v>0</v>
      </c>
      <c r="E47970" s="2">
        <v>4.3010567696482999E-6</v>
      </c>
      <c r="F47970" s="2">
        <v>9.8681749974786797E-8</v>
      </c>
    </row>
    <row r="47971" spans="1:6" x14ac:dyDescent="0.25">
      <c r="A47971" s="1" t="str">
        <f t="shared" si="1553"/>
        <v>99999</v>
      </c>
      <c r="B47971" s="1" t="str">
        <f>"13601"</f>
        <v>13601</v>
      </c>
      <c r="C47971" s="2">
        <v>3.2478267167524799E-6</v>
      </c>
      <c r="D47971" s="2">
        <v>1.50570889527644E-6</v>
      </c>
      <c r="E47971" s="2">
        <v>0</v>
      </c>
      <c r="F47971" s="2">
        <v>3.0591342492183902E-6</v>
      </c>
    </row>
    <row r="47972" spans="1:6" x14ac:dyDescent="0.25">
      <c r="A47972" s="1" t="str">
        <f t="shared" si="1553"/>
        <v>99999</v>
      </c>
      <c r="B47972" s="1" t="str">
        <f>"25141"</f>
        <v>25141</v>
      </c>
      <c r="C47972" s="2">
        <v>1.9486960300514902E-6</v>
      </c>
      <c r="D47972" s="2">
        <v>0</v>
      </c>
      <c r="E47972" s="2">
        <v>0</v>
      </c>
      <c r="F47972" s="2">
        <v>1.77627149954616E-6</v>
      </c>
    </row>
    <row r="47973" spans="1:6" x14ac:dyDescent="0.25">
      <c r="A47973" s="1" t="str">
        <f t="shared" si="1553"/>
        <v>99999</v>
      </c>
      <c r="B47973" s="1" t="str">
        <f>"25696"</f>
        <v>25696</v>
      </c>
      <c r="C47973" s="2">
        <v>0</v>
      </c>
      <c r="D47973" s="2">
        <v>1.50570889527644E-6</v>
      </c>
      <c r="E47973" s="2">
        <v>0</v>
      </c>
      <c r="F47973" s="2">
        <v>9.8681749974786797E-8</v>
      </c>
    </row>
    <row r="47974" spans="1:6" x14ac:dyDescent="0.25">
      <c r="A47974" s="1" t="str">
        <f t="shared" si="1553"/>
        <v>99999</v>
      </c>
      <c r="B47974" s="1" t="str">
        <f>"50552"</f>
        <v>50552</v>
      </c>
      <c r="C47974" s="2">
        <v>3.3560876073109E-6</v>
      </c>
      <c r="D47974" s="2">
        <v>0</v>
      </c>
      <c r="E47974" s="2">
        <v>4.3010567696482999E-6</v>
      </c>
      <c r="F47974" s="2">
        <v>3.1578159991931699E-6</v>
      </c>
    </row>
    <row r="47975" spans="1:6" x14ac:dyDescent="0.25">
      <c r="A47975" s="1" t="str">
        <f t="shared" si="1553"/>
        <v>99999</v>
      </c>
      <c r="B47975" s="1" t="str">
        <f>"50516"</f>
        <v>50516</v>
      </c>
      <c r="C47975" s="2">
        <v>2.8147831545188202E-6</v>
      </c>
      <c r="D47975" s="2">
        <v>0</v>
      </c>
      <c r="E47975" s="2">
        <v>0</v>
      </c>
      <c r="F47975" s="2">
        <v>2.5657254993444499E-6</v>
      </c>
    </row>
    <row r="47976" spans="1:6" x14ac:dyDescent="0.25">
      <c r="A47976" s="1" t="str">
        <f t="shared" si="1553"/>
        <v>99999</v>
      </c>
      <c r="B47976" s="1" t="str">
        <f>"49027"</f>
        <v>49027</v>
      </c>
      <c r="C47976" s="2">
        <v>2.3817395922851499E-6</v>
      </c>
      <c r="D47976" s="2">
        <v>1.50570889527644E-6</v>
      </c>
      <c r="E47976" s="2">
        <v>0</v>
      </c>
      <c r="F47976" s="2">
        <v>2.2696802494200901E-6</v>
      </c>
    </row>
    <row r="47977" spans="1:6" x14ac:dyDescent="0.25">
      <c r="A47977" s="1" t="str">
        <f t="shared" si="1553"/>
        <v>99999</v>
      </c>
      <c r="B47977" s="1" t="str">
        <f>"59050"</f>
        <v>59050</v>
      </c>
      <c r="C47977" s="2">
        <v>1.0393045493607899E-5</v>
      </c>
      <c r="D47977" s="2">
        <v>0</v>
      </c>
      <c r="E47977" s="2">
        <v>4.3010567696482999E-6</v>
      </c>
      <c r="F47977" s="2">
        <v>9.5721297475543202E-6</v>
      </c>
    </row>
    <row r="47978" spans="1:6" x14ac:dyDescent="0.25">
      <c r="A47978" s="1" t="str">
        <f t="shared" si="1553"/>
        <v>99999</v>
      </c>
      <c r="B47978" s="1" t="str">
        <f>"66441"</f>
        <v>66441</v>
      </c>
      <c r="C47978" s="2">
        <v>6.1708707618297202E-6</v>
      </c>
      <c r="D47978" s="2">
        <v>3.01141779055288E-6</v>
      </c>
      <c r="E47978" s="2">
        <v>0</v>
      </c>
      <c r="F47978" s="2">
        <v>5.8222232485124198E-6</v>
      </c>
    </row>
    <row r="47979" spans="1:6" x14ac:dyDescent="0.25">
      <c r="A47979" s="1" t="str">
        <f t="shared" si="1553"/>
        <v>99999</v>
      </c>
      <c r="B47979" s="1" t="str">
        <f>"74083"</f>
        <v>74083</v>
      </c>
      <c r="C47979" s="2">
        <v>5.4130445279207995E-7</v>
      </c>
      <c r="D47979" s="2">
        <v>1.50570889527644E-6</v>
      </c>
      <c r="E47979" s="2">
        <v>4.3010567696482999E-6</v>
      </c>
      <c r="F47979" s="2">
        <v>6.9077224982350697E-7</v>
      </c>
    </row>
    <row r="47980" spans="1:6" x14ac:dyDescent="0.25">
      <c r="A47980" s="1" t="str">
        <f t="shared" si="1553"/>
        <v>99999</v>
      </c>
      <c r="B47980" s="1" t="str">
        <f>"41643"</f>
        <v>41643</v>
      </c>
      <c r="C47980" s="2">
        <v>5.95434898071288E-6</v>
      </c>
      <c r="D47980" s="2">
        <v>7.5285444763821999E-6</v>
      </c>
      <c r="E47980" s="2">
        <v>4.3010567696482999E-6</v>
      </c>
      <c r="F47980" s="2">
        <v>6.0195867484619901E-6</v>
      </c>
    </row>
    <row r="47981" spans="1:6" x14ac:dyDescent="0.25">
      <c r="A47981" s="1" t="str">
        <f t="shared" si="1553"/>
        <v>99999</v>
      </c>
      <c r="B47981" s="1" t="str">
        <f>"52066"</f>
        <v>52066</v>
      </c>
      <c r="C47981" s="2">
        <v>7.6865232296475401E-6</v>
      </c>
      <c r="D47981" s="2">
        <v>4.5171266858293203E-6</v>
      </c>
      <c r="E47981" s="2">
        <v>1.29031703089449E-5</v>
      </c>
      <c r="F47981" s="2">
        <v>7.5984947480585801E-6</v>
      </c>
    </row>
    <row r="47982" spans="1:6" x14ac:dyDescent="0.25">
      <c r="A47982" s="1" t="str">
        <f t="shared" si="1553"/>
        <v>99999</v>
      </c>
      <c r="B47982" s="1" t="str">
        <f>"68901"</f>
        <v>68901</v>
      </c>
      <c r="C47982" s="2">
        <v>9.7434801502574508E-7</v>
      </c>
      <c r="D47982" s="2">
        <v>2.55970512196994E-5</v>
      </c>
      <c r="E47982" s="2">
        <v>0</v>
      </c>
      <c r="F47982" s="2">
        <v>2.5657254993444499E-6</v>
      </c>
    </row>
    <row r="47983" spans="1:6" x14ac:dyDescent="0.25">
      <c r="A47983" s="1" t="str">
        <f t="shared" si="1553"/>
        <v>99999</v>
      </c>
      <c r="B47983" s="1" t="str">
        <f>"05849"</f>
        <v>05849</v>
      </c>
      <c r="C47983" s="2">
        <v>1.08260890558416E-7</v>
      </c>
      <c r="D47983" s="2">
        <v>0</v>
      </c>
      <c r="E47983" s="2">
        <v>0</v>
      </c>
      <c r="F47983" s="2">
        <v>9.8681749974786797E-8</v>
      </c>
    </row>
    <row r="47984" spans="1:6" x14ac:dyDescent="0.25">
      <c r="A47984" s="1" t="str">
        <f t="shared" si="1553"/>
        <v>99999</v>
      </c>
      <c r="B47984" s="1" t="str">
        <f>"18473"</f>
        <v>18473</v>
      </c>
      <c r="C47984" s="2">
        <v>9.7434801502574508E-7</v>
      </c>
      <c r="D47984" s="2">
        <v>3.01141779055288E-6</v>
      </c>
      <c r="E47984" s="2">
        <v>0</v>
      </c>
      <c r="F47984" s="2">
        <v>1.0854992497226499E-6</v>
      </c>
    </row>
    <row r="47985" spans="1:6" x14ac:dyDescent="0.25">
      <c r="A47985" s="1" t="str">
        <f t="shared" si="1553"/>
        <v>99999</v>
      </c>
      <c r="B47985" s="1" t="str">
        <f>"21643"</f>
        <v>21643</v>
      </c>
      <c r="C47985" s="2">
        <v>1.08260890558416E-7</v>
      </c>
      <c r="D47985" s="2">
        <v>0</v>
      </c>
      <c r="E47985" s="2">
        <v>0</v>
      </c>
      <c r="F47985" s="2">
        <v>9.8681749974786797E-8</v>
      </c>
    </row>
    <row r="47986" spans="1:6" x14ac:dyDescent="0.25">
      <c r="A47986" s="1" t="str">
        <f t="shared" si="1553"/>
        <v>99999</v>
      </c>
      <c r="B47986" s="1" t="str">
        <f>"24895"</f>
        <v>24895</v>
      </c>
      <c r="C47986" s="2">
        <v>3.2478267167524802E-7</v>
      </c>
      <c r="D47986" s="2">
        <v>1.50570889527644E-6</v>
      </c>
      <c r="E47986" s="2">
        <v>0</v>
      </c>
      <c r="F47986" s="2">
        <v>3.9472699989914697E-7</v>
      </c>
    </row>
    <row r="47987" spans="1:6" x14ac:dyDescent="0.25">
      <c r="A47987" s="1" t="str">
        <f t="shared" si="1553"/>
        <v>99999</v>
      </c>
      <c r="B47987" s="1" t="str">
        <f>"25825"</f>
        <v>25825</v>
      </c>
      <c r="C47987" s="2">
        <v>3.0313049356356498E-6</v>
      </c>
      <c r="D47987" s="2">
        <v>0</v>
      </c>
      <c r="E47987" s="2">
        <v>0</v>
      </c>
      <c r="F47987" s="2">
        <v>2.76308899929403E-6</v>
      </c>
    </row>
    <row r="47988" spans="1:6" x14ac:dyDescent="0.25">
      <c r="A47988" s="1" t="str">
        <f t="shared" si="1553"/>
        <v>99999</v>
      </c>
      <c r="B47988" s="1" t="str">
        <f>"72462"</f>
        <v>72462</v>
      </c>
      <c r="C47988" s="2">
        <v>2.1652178111683201E-7</v>
      </c>
      <c r="D47988" s="2">
        <v>0</v>
      </c>
      <c r="E47988" s="2">
        <v>4.3010567696482999E-6</v>
      </c>
      <c r="F47988" s="2">
        <v>2.9604524992435999E-7</v>
      </c>
    </row>
    <row r="47989" spans="1:6" x14ac:dyDescent="0.25">
      <c r="A47989" s="1" t="str">
        <f t="shared" si="1553"/>
        <v>99999</v>
      </c>
      <c r="B47989" s="1" t="str">
        <f>"99361"</f>
        <v>99361</v>
      </c>
      <c r="C47989" s="2">
        <v>4.1139138412198104E-6</v>
      </c>
      <c r="D47989" s="2">
        <v>0</v>
      </c>
      <c r="E47989" s="2">
        <v>4.3010567696482999E-6</v>
      </c>
      <c r="F47989" s="2">
        <v>3.8485882490166797E-6</v>
      </c>
    </row>
    <row r="47990" spans="1:6" x14ac:dyDescent="0.25">
      <c r="A47990" s="1" t="str">
        <f t="shared" si="1553"/>
        <v>99999</v>
      </c>
      <c r="B47990" s="1" t="str">
        <f>"04286"</f>
        <v>04286</v>
      </c>
      <c r="C47990" s="2">
        <v>0</v>
      </c>
      <c r="D47990" s="2">
        <v>0</v>
      </c>
      <c r="E47990" s="2">
        <v>4.3010567696482999E-6</v>
      </c>
      <c r="F47990" s="2">
        <v>9.8681749974786797E-8</v>
      </c>
    </row>
    <row r="47991" spans="1:6" x14ac:dyDescent="0.25">
      <c r="A47991" s="1" t="str">
        <f t="shared" si="1553"/>
        <v>99999</v>
      </c>
      <c r="B47991" s="1" t="str">
        <f>"48410"</f>
        <v>48410</v>
      </c>
      <c r="C47991" s="2">
        <v>1.9486960300514902E-6</v>
      </c>
      <c r="D47991" s="2">
        <v>4.5171266858293203E-6</v>
      </c>
      <c r="E47991" s="2">
        <v>1.29031703089449E-5</v>
      </c>
      <c r="F47991" s="2">
        <v>2.3683619993948799E-6</v>
      </c>
    </row>
    <row r="47992" spans="1:6" x14ac:dyDescent="0.25">
      <c r="A47992" s="1" t="str">
        <f t="shared" si="1553"/>
        <v>99999</v>
      </c>
      <c r="B47992" s="1" t="str">
        <f>"57634"</f>
        <v>57634</v>
      </c>
      <c r="C47992" s="2">
        <v>6.3873925429465503E-6</v>
      </c>
      <c r="D47992" s="2">
        <v>3.01141779055288E-6</v>
      </c>
      <c r="E47992" s="2">
        <v>4.3010567696482999E-6</v>
      </c>
      <c r="F47992" s="2">
        <v>6.1182684984367804E-6</v>
      </c>
    </row>
    <row r="47993" spans="1:6" x14ac:dyDescent="0.25">
      <c r="A47993" s="1" t="str">
        <f t="shared" si="1553"/>
        <v>99999</v>
      </c>
      <c r="B47993" s="1" t="str">
        <f>"96125"</f>
        <v>96125</v>
      </c>
      <c r="C47993" s="2">
        <v>2.0569569206099001E-6</v>
      </c>
      <c r="D47993" s="2">
        <v>3.01141779055288E-6</v>
      </c>
      <c r="E47993" s="2">
        <v>4.3010567696482999E-6</v>
      </c>
      <c r="F47993" s="2">
        <v>2.1709984994452998E-6</v>
      </c>
    </row>
    <row r="47994" spans="1:6" x14ac:dyDescent="0.25">
      <c r="A47994" s="1" t="str">
        <f t="shared" si="1553"/>
        <v>99999</v>
      </c>
      <c r="B47994" s="1" t="str">
        <f>"22481"</f>
        <v>22481</v>
      </c>
      <c r="C47994" s="2">
        <v>0</v>
      </c>
      <c r="D47994" s="2">
        <v>0</v>
      </c>
      <c r="E47994" s="2">
        <v>4.3010567696482999E-6</v>
      </c>
      <c r="F47994" s="2">
        <v>9.8681749974786797E-8</v>
      </c>
    </row>
    <row r="47995" spans="1:6" x14ac:dyDescent="0.25">
      <c r="A47995" s="1" t="str">
        <f t="shared" si="1553"/>
        <v>99999</v>
      </c>
      <c r="B47995" s="1" t="str">
        <f>"59867"</f>
        <v>59867</v>
      </c>
      <c r="C47995" s="2">
        <v>3.0313049356356498E-6</v>
      </c>
      <c r="D47995" s="2">
        <v>4.5171266858293203E-6</v>
      </c>
      <c r="E47995" s="2">
        <v>4.3010567696482999E-6</v>
      </c>
      <c r="F47995" s="2">
        <v>3.1578159991931699E-6</v>
      </c>
    </row>
    <row r="47996" spans="1:6" x14ac:dyDescent="0.25">
      <c r="A47996" s="1" t="str">
        <f t="shared" si="1553"/>
        <v>99999</v>
      </c>
      <c r="B47996" s="1" t="str">
        <f>"62512"</f>
        <v>62512</v>
      </c>
      <c r="C47996" s="2">
        <v>8.6608712446732898E-7</v>
      </c>
      <c r="D47996" s="2">
        <v>1.50570889527644E-6</v>
      </c>
      <c r="E47996" s="2">
        <v>0</v>
      </c>
      <c r="F47996" s="2">
        <v>8.8813574977308104E-7</v>
      </c>
    </row>
    <row r="47997" spans="1:6" x14ac:dyDescent="0.25">
      <c r="A47997" s="1" t="str">
        <f t="shared" si="1553"/>
        <v>99999</v>
      </c>
      <c r="B47997" s="1" t="str">
        <f>"66516"</f>
        <v>66516</v>
      </c>
      <c r="C47997" s="2">
        <v>3.5726093884277301E-6</v>
      </c>
      <c r="D47997" s="2">
        <v>1.50570889527644E-6</v>
      </c>
      <c r="E47997" s="2">
        <v>0</v>
      </c>
      <c r="F47997" s="2">
        <v>3.35517949914275E-6</v>
      </c>
    </row>
    <row r="47998" spans="1:6" x14ac:dyDescent="0.25">
      <c r="A47998" s="1" t="str">
        <f t="shared" si="1553"/>
        <v>99999</v>
      </c>
      <c r="B47998" s="1" t="str">
        <f>"79378"</f>
        <v>79378</v>
      </c>
      <c r="C47998" s="2">
        <v>0</v>
      </c>
      <c r="D47998" s="2">
        <v>0</v>
      </c>
      <c r="E47998" s="2">
        <v>1.29031703089449E-5</v>
      </c>
      <c r="F47998" s="2">
        <v>2.9604524992435999E-7</v>
      </c>
    </row>
    <row r="47999" spans="1:6" x14ac:dyDescent="0.25">
      <c r="A47999" s="1" t="str">
        <f t="shared" si="1553"/>
        <v>99999</v>
      </c>
      <c r="B47999" s="1" t="str">
        <f>"05469"</f>
        <v>05469</v>
      </c>
      <c r="C47999" s="2">
        <v>0</v>
      </c>
      <c r="D47999" s="2">
        <v>3.01141779055288E-6</v>
      </c>
      <c r="E47999" s="2">
        <v>1.29031703089449E-5</v>
      </c>
      <c r="F47999" s="2">
        <v>4.9340874987393396E-7</v>
      </c>
    </row>
    <row r="48000" spans="1:6" x14ac:dyDescent="0.25">
      <c r="A48000" s="1" t="str">
        <f t="shared" si="1553"/>
        <v>99999</v>
      </c>
      <c r="B48000" s="1" t="str">
        <f>"39042"</f>
        <v>39042</v>
      </c>
      <c r="C48000" s="2">
        <v>1.4073915772594101E-6</v>
      </c>
      <c r="D48000" s="2">
        <v>0</v>
      </c>
      <c r="E48000" s="2">
        <v>0</v>
      </c>
      <c r="F48000" s="2">
        <v>1.2828627496722201E-6</v>
      </c>
    </row>
    <row r="48001" spans="1:6" x14ac:dyDescent="0.25">
      <c r="A48001" s="1" t="str">
        <f t="shared" si="1553"/>
        <v>99999</v>
      </c>
      <c r="B48001" s="1" t="str">
        <f>"54414"</f>
        <v>54414</v>
      </c>
      <c r="C48001" s="2">
        <v>9.7434801502574508E-7</v>
      </c>
      <c r="D48001" s="2">
        <v>0</v>
      </c>
      <c r="E48001" s="2">
        <v>0</v>
      </c>
      <c r="F48001" s="2">
        <v>8.8813574977308104E-7</v>
      </c>
    </row>
    <row r="48002" spans="1:6" x14ac:dyDescent="0.25">
      <c r="A48002" s="1" t="str">
        <f t="shared" si="1553"/>
        <v>99999</v>
      </c>
      <c r="B48002" s="1" t="str">
        <f>"64428"</f>
        <v>64428</v>
      </c>
      <c r="C48002" s="2">
        <v>5.4130445279207995E-7</v>
      </c>
      <c r="D48002" s="2">
        <v>0</v>
      </c>
      <c r="E48002" s="2">
        <v>0</v>
      </c>
      <c r="F48002" s="2">
        <v>4.9340874987393396E-7</v>
      </c>
    </row>
    <row r="48003" spans="1:6" x14ac:dyDescent="0.25">
      <c r="A48003" s="1" t="str">
        <f t="shared" si="1553"/>
        <v>99999</v>
      </c>
      <c r="B48003" s="1" t="str">
        <f>"71225"</f>
        <v>71225</v>
      </c>
      <c r="C48003" s="2">
        <v>5.4130445279207995E-7</v>
      </c>
      <c r="D48003" s="2">
        <v>0</v>
      </c>
      <c r="E48003" s="2">
        <v>0</v>
      </c>
      <c r="F48003" s="2">
        <v>4.9340874987393396E-7</v>
      </c>
    </row>
    <row r="48004" spans="1:6" x14ac:dyDescent="0.25">
      <c r="A48004" s="1" t="str">
        <f t="shared" si="1553"/>
        <v>99999</v>
      </c>
      <c r="B48004" s="1" t="str">
        <f>"75474"</f>
        <v>75474</v>
      </c>
      <c r="C48004" s="2">
        <v>1.0826089055841599E-6</v>
      </c>
      <c r="D48004" s="2">
        <v>0</v>
      </c>
      <c r="E48004" s="2">
        <v>0</v>
      </c>
      <c r="F48004" s="2">
        <v>9.8681749974786791E-7</v>
      </c>
    </row>
    <row r="48005" spans="1:6" x14ac:dyDescent="0.25">
      <c r="A48005" s="1" t="str">
        <f t="shared" si="1553"/>
        <v>99999</v>
      </c>
      <c r="B48005" s="1" t="str">
        <f>"83866"</f>
        <v>83866</v>
      </c>
      <c r="C48005" s="2">
        <v>1.08260890558416E-7</v>
      </c>
      <c r="D48005" s="2">
        <v>0</v>
      </c>
      <c r="E48005" s="2">
        <v>8.6021135392965999E-6</v>
      </c>
      <c r="F48005" s="2">
        <v>2.9604524992435999E-7</v>
      </c>
    </row>
    <row r="48006" spans="1:6" x14ac:dyDescent="0.25">
      <c r="A48006" s="1" t="str">
        <f t="shared" ref="A48006:A48069" si="1554">"99999"</f>
        <v>99999</v>
      </c>
      <c r="B48006" s="1" t="str">
        <f>"29525"</f>
        <v>29525</v>
      </c>
      <c r="C48006" s="2">
        <v>1.4073915772594101E-6</v>
      </c>
      <c r="D48006" s="2">
        <v>0</v>
      </c>
      <c r="E48006" s="2">
        <v>0</v>
      </c>
      <c r="F48006" s="2">
        <v>1.2828627496722201E-6</v>
      </c>
    </row>
    <row r="48007" spans="1:6" x14ac:dyDescent="0.25">
      <c r="A48007" s="1" t="str">
        <f t="shared" si="1554"/>
        <v>99999</v>
      </c>
      <c r="B48007" s="1" t="str">
        <f>"49411"</f>
        <v>49411</v>
      </c>
      <c r="C48007" s="2">
        <v>1.4073915772594101E-6</v>
      </c>
      <c r="D48007" s="2">
        <v>0</v>
      </c>
      <c r="E48007" s="2">
        <v>0</v>
      </c>
      <c r="F48007" s="2">
        <v>1.2828627496722201E-6</v>
      </c>
    </row>
    <row r="48008" spans="1:6" x14ac:dyDescent="0.25">
      <c r="A48008" s="1" t="str">
        <f t="shared" si="1554"/>
        <v>99999</v>
      </c>
      <c r="B48008" s="1" t="str">
        <f>"58740"</f>
        <v>58740</v>
      </c>
      <c r="C48008" s="2">
        <v>2.1652178111683201E-7</v>
      </c>
      <c r="D48008" s="2">
        <v>0</v>
      </c>
      <c r="E48008" s="2">
        <v>0</v>
      </c>
      <c r="F48008" s="2">
        <v>1.9736349994957301E-7</v>
      </c>
    </row>
    <row r="48009" spans="1:6" x14ac:dyDescent="0.25">
      <c r="A48009" s="1" t="str">
        <f t="shared" si="1554"/>
        <v>99999</v>
      </c>
      <c r="B48009" s="1" t="str">
        <f>"93623"</f>
        <v>93623</v>
      </c>
      <c r="C48009" s="2">
        <v>6.49565343350497E-7</v>
      </c>
      <c r="D48009" s="2">
        <v>6.0228355811057601E-6</v>
      </c>
      <c r="E48009" s="2">
        <v>4.3010567696482999E-6</v>
      </c>
      <c r="F48009" s="2">
        <v>1.0854992497226499E-6</v>
      </c>
    </row>
    <row r="48010" spans="1:6" x14ac:dyDescent="0.25">
      <c r="A48010" s="1" t="str">
        <f t="shared" si="1554"/>
        <v>99999</v>
      </c>
      <c r="B48010" s="1" t="str">
        <f>"30499"</f>
        <v>30499</v>
      </c>
      <c r="C48010" s="2">
        <v>0</v>
      </c>
      <c r="D48010" s="2">
        <v>3.01141779055288E-6</v>
      </c>
      <c r="E48010" s="2">
        <v>4.3010567696482999E-6</v>
      </c>
      <c r="F48010" s="2">
        <v>2.9604524992435999E-7</v>
      </c>
    </row>
    <row r="48011" spans="1:6" x14ac:dyDescent="0.25">
      <c r="A48011" s="1" t="str">
        <f t="shared" si="1554"/>
        <v>99999</v>
      </c>
      <c r="B48011" s="1" t="str">
        <f>"45837"</f>
        <v>45837</v>
      </c>
      <c r="C48011" s="2">
        <v>0</v>
      </c>
      <c r="D48011" s="2">
        <v>1.50570889527644E-6</v>
      </c>
      <c r="E48011" s="2">
        <v>0</v>
      </c>
      <c r="F48011" s="2">
        <v>9.8681749974786797E-8</v>
      </c>
    </row>
    <row r="48012" spans="1:6" x14ac:dyDescent="0.25">
      <c r="A48012" s="1" t="str">
        <f t="shared" si="1554"/>
        <v>99999</v>
      </c>
      <c r="B48012" s="1" t="str">
        <f>"50444"</f>
        <v>50444</v>
      </c>
      <c r="C48012" s="2">
        <v>1.08260890558416E-7</v>
      </c>
      <c r="D48012" s="2">
        <v>0</v>
      </c>
      <c r="E48012" s="2">
        <v>0</v>
      </c>
      <c r="F48012" s="2">
        <v>9.8681749974786797E-8</v>
      </c>
    </row>
    <row r="48013" spans="1:6" x14ac:dyDescent="0.25">
      <c r="A48013" s="1" t="str">
        <f t="shared" si="1554"/>
        <v>99999</v>
      </c>
      <c r="B48013" s="1" t="str">
        <f>"49083"</f>
        <v>49083</v>
      </c>
      <c r="C48013" s="2">
        <v>2.2734787017267302E-6</v>
      </c>
      <c r="D48013" s="2">
        <v>0</v>
      </c>
      <c r="E48013" s="2">
        <v>4.3010567696482999E-6</v>
      </c>
      <c r="F48013" s="2">
        <v>2.1709984994452998E-6</v>
      </c>
    </row>
    <row r="48014" spans="1:6" x14ac:dyDescent="0.25">
      <c r="A48014" s="1" t="str">
        <f t="shared" si="1554"/>
        <v>99999</v>
      </c>
      <c r="B48014" s="1" t="str">
        <f>"28338"</f>
        <v>28338</v>
      </c>
      <c r="C48014" s="2">
        <v>5.4130445279207995E-7</v>
      </c>
      <c r="D48014" s="2">
        <v>0</v>
      </c>
      <c r="E48014" s="2">
        <v>0</v>
      </c>
      <c r="F48014" s="2">
        <v>4.9340874987393396E-7</v>
      </c>
    </row>
    <row r="48015" spans="1:6" x14ac:dyDescent="0.25">
      <c r="A48015" s="1" t="str">
        <f t="shared" si="1554"/>
        <v>99999</v>
      </c>
      <c r="B48015" s="1" t="str">
        <f>"58622"</f>
        <v>58622</v>
      </c>
      <c r="C48015" s="2">
        <v>4.3304356223366401E-7</v>
      </c>
      <c r="D48015" s="2">
        <v>0</v>
      </c>
      <c r="E48015" s="2">
        <v>0</v>
      </c>
      <c r="F48015" s="2">
        <v>3.9472699989914697E-7</v>
      </c>
    </row>
    <row r="48016" spans="1:6" x14ac:dyDescent="0.25">
      <c r="A48016" s="1" t="str">
        <f t="shared" si="1554"/>
        <v>99999</v>
      </c>
      <c r="B48016" s="1" t="str">
        <f>"84540"</f>
        <v>84540</v>
      </c>
      <c r="C48016" s="2">
        <v>5.0882618562455504E-6</v>
      </c>
      <c r="D48016" s="2">
        <v>1.35513800574879E-5</v>
      </c>
      <c r="E48016" s="2">
        <v>8.6021135392965999E-6</v>
      </c>
      <c r="F48016" s="2">
        <v>5.7235414985376303E-6</v>
      </c>
    </row>
    <row r="48017" spans="1:6" x14ac:dyDescent="0.25">
      <c r="A48017" s="1" t="str">
        <f t="shared" si="1554"/>
        <v>99999</v>
      </c>
      <c r="B48017" s="1" t="str">
        <f>"67484"</f>
        <v>67484</v>
      </c>
      <c r="C48017" s="2">
        <v>1.08260890558416E-7</v>
      </c>
      <c r="D48017" s="2">
        <v>0</v>
      </c>
      <c r="E48017" s="2">
        <v>0</v>
      </c>
      <c r="F48017" s="2">
        <v>9.8681749974786797E-8</v>
      </c>
    </row>
    <row r="48018" spans="1:6" x14ac:dyDescent="0.25">
      <c r="A48018" s="1" t="str">
        <f t="shared" si="1554"/>
        <v>99999</v>
      </c>
      <c r="B48018" s="1" t="str">
        <f>"76953"</f>
        <v>76953</v>
      </c>
      <c r="C48018" s="2">
        <v>0</v>
      </c>
      <c r="D48018" s="2">
        <v>0</v>
      </c>
      <c r="E48018" s="2">
        <v>4.3010567696482999E-6</v>
      </c>
      <c r="F48018" s="2">
        <v>9.8681749974786797E-8</v>
      </c>
    </row>
    <row r="48019" spans="1:6" x14ac:dyDescent="0.25">
      <c r="A48019" s="1" t="str">
        <f t="shared" si="1554"/>
        <v>99999</v>
      </c>
      <c r="B48019" s="1" t="str">
        <f>"81046"</f>
        <v>81046</v>
      </c>
      <c r="C48019" s="2">
        <v>0</v>
      </c>
      <c r="D48019" s="2">
        <v>0</v>
      </c>
      <c r="E48019" s="2">
        <v>4.3010567696482999E-6</v>
      </c>
      <c r="F48019" s="2">
        <v>9.8681749974786797E-8</v>
      </c>
    </row>
    <row r="48020" spans="1:6" x14ac:dyDescent="0.25">
      <c r="A48020" s="1" t="str">
        <f t="shared" si="1554"/>
        <v>99999</v>
      </c>
      <c r="B48020" s="1" t="str">
        <f>"82701"</f>
        <v>82701</v>
      </c>
      <c r="C48020" s="2">
        <v>2.1652178111683201E-7</v>
      </c>
      <c r="D48020" s="2">
        <v>0</v>
      </c>
      <c r="E48020" s="2">
        <v>0</v>
      </c>
      <c r="F48020" s="2">
        <v>1.9736349994957301E-7</v>
      </c>
    </row>
    <row r="48021" spans="1:6" x14ac:dyDescent="0.25">
      <c r="A48021" s="1" t="str">
        <f t="shared" si="1554"/>
        <v>99999</v>
      </c>
      <c r="B48021" s="1" t="str">
        <f>"84501"</f>
        <v>84501</v>
      </c>
      <c r="C48021" s="2">
        <v>6.49565343350497E-7</v>
      </c>
      <c r="D48021" s="2">
        <v>0</v>
      </c>
      <c r="E48021" s="2">
        <v>0</v>
      </c>
      <c r="F48021" s="2">
        <v>5.9209049984871999E-7</v>
      </c>
    </row>
    <row r="48022" spans="1:6" x14ac:dyDescent="0.25">
      <c r="A48022" s="1" t="str">
        <f t="shared" si="1554"/>
        <v>99999</v>
      </c>
      <c r="B48022" s="1" t="str">
        <f>"05904"</f>
        <v>05904</v>
      </c>
      <c r="C48022" s="2">
        <v>3.8973920601029803E-6</v>
      </c>
      <c r="D48022" s="2">
        <v>3.01141779055288E-6</v>
      </c>
      <c r="E48022" s="2">
        <v>2.15052838482415E-5</v>
      </c>
      <c r="F48022" s="2">
        <v>4.2433152489158297E-6</v>
      </c>
    </row>
    <row r="48023" spans="1:6" x14ac:dyDescent="0.25">
      <c r="A48023" s="1" t="str">
        <f t="shared" si="1554"/>
        <v>99999</v>
      </c>
      <c r="B48023" s="1" t="str">
        <f>"36031"</f>
        <v>36031</v>
      </c>
      <c r="C48023" s="2">
        <v>0</v>
      </c>
      <c r="D48023" s="2">
        <v>1.50570889527644E-6</v>
      </c>
      <c r="E48023" s="2">
        <v>0</v>
      </c>
      <c r="F48023" s="2">
        <v>9.8681749974786797E-8</v>
      </c>
    </row>
    <row r="48024" spans="1:6" x14ac:dyDescent="0.25">
      <c r="A48024" s="1" t="str">
        <f t="shared" si="1554"/>
        <v>99999</v>
      </c>
      <c r="B48024" s="1" t="str">
        <f>"81227"</f>
        <v>81227</v>
      </c>
      <c r="C48024" s="2">
        <v>0</v>
      </c>
      <c r="D48024" s="2">
        <v>1.50570889527644E-6</v>
      </c>
      <c r="E48024" s="2">
        <v>4.3010567696482999E-6</v>
      </c>
      <c r="F48024" s="2">
        <v>1.9736349994957301E-7</v>
      </c>
    </row>
    <row r="48025" spans="1:6" x14ac:dyDescent="0.25">
      <c r="A48025" s="1" t="str">
        <f t="shared" si="1554"/>
        <v>99999</v>
      </c>
      <c r="B48025" s="1" t="str">
        <f>"41226"</f>
        <v>41226</v>
      </c>
      <c r="C48025" s="2">
        <v>1.1042610836958401E-5</v>
      </c>
      <c r="D48025" s="2">
        <v>0</v>
      </c>
      <c r="E48025" s="2">
        <v>1.72042270785932E-5</v>
      </c>
      <c r="F48025" s="2">
        <v>1.04602654973274E-5</v>
      </c>
    </row>
    <row r="48026" spans="1:6" x14ac:dyDescent="0.25">
      <c r="A48026" s="1" t="str">
        <f t="shared" si="1554"/>
        <v>99999</v>
      </c>
      <c r="B48026" s="1" t="str">
        <f>"41257"</f>
        <v>41257</v>
      </c>
      <c r="C48026" s="2">
        <v>3.2261745386408E-5</v>
      </c>
      <c r="D48026" s="2">
        <v>1.50570889527644E-6</v>
      </c>
      <c r="E48026" s="2">
        <v>1.72042270785932E-5</v>
      </c>
      <c r="F48026" s="2">
        <v>2.99005702423604E-5</v>
      </c>
    </row>
    <row r="48027" spans="1:6" x14ac:dyDescent="0.25">
      <c r="A48027" s="1" t="str">
        <f t="shared" si="1554"/>
        <v>99999</v>
      </c>
      <c r="B48027" s="1" t="str">
        <f>"53811"</f>
        <v>53811</v>
      </c>
      <c r="C48027" s="2">
        <v>6.0626098712712997E-6</v>
      </c>
      <c r="D48027" s="2">
        <v>0</v>
      </c>
      <c r="E48027" s="2">
        <v>0</v>
      </c>
      <c r="F48027" s="2">
        <v>5.52617799858806E-6</v>
      </c>
    </row>
    <row r="48028" spans="1:6" x14ac:dyDescent="0.25">
      <c r="A48028" s="1" t="str">
        <f t="shared" si="1554"/>
        <v>99999</v>
      </c>
      <c r="B48028" s="1" t="str">
        <f>"57271"</f>
        <v>57271</v>
      </c>
      <c r="C48028" s="2">
        <v>8.9856539163485408E-6</v>
      </c>
      <c r="D48028" s="2">
        <v>6.0228355811057601E-6</v>
      </c>
      <c r="E48028" s="2">
        <v>0</v>
      </c>
      <c r="F48028" s="2">
        <v>8.5853122478064497E-6</v>
      </c>
    </row>
    <row r="48029" spans="1:6" x14ac:dyDescent="0.25">
      <c r="A48029" s="1" t="str">
        <f t="shared" si="1554"/>
        <v>99999</v>
      </c>
      <c r="B48029" s="1" t="str">
        <f>"56187"</f>
        <v>56187</v>
      </c>
      <c r="C48029" s="2">
        <v>4.4386965128950601E-6</v>
      </c>
      <c r="D48029" s="2">
        <v>1.50570889527644E-6</v>
      </c>
      <c r="E48029" s="2">
        <v>0</v>
      </c>
      <c r="F48029" s="2">
        <v>4.1446334989410403E-6</v>
      </c>
    </row>
    <row r="48030" spans="1:6" x14ac:dyDescent="0.25">
      <c r="A48030" s="1" t="str">
        <f t="shared" si="1554"/>
        <v>99999</v>
      </c>
      <c r="B48030" s="1" t="str">
        <f>"63020"</f>
        <v>63020</v>
      </c>
      <c r="C48030" s="2">
        <v>4.1139138412198104E-6</v>
      </c>
      <c r="D48030" s="2">
        <v>3.01141779055288E-6</v>
      </c>
      <c r="E48030" s="2">
        <v>0</v>
      </c>
      <c r="F48030" s="2">
        <v>3.94726999899147E-6</v>
      </c>
    </row>
    <row r="48031" spans="1:6" x14ac:dyDescent="0.25">
      <c r="A48031" s="1" t="str">
        <f t="shared" si="1554"/>
        <v>99999</v>
      </c>
      <c r="B48031" s="1" t="str">
        <f>"65264"</f>
        <v>65264</v>
      </c>
      <c r="C48031" s="2">
        <v>8.6608712446732898E-7</v>
      </c>
      <c r="D48031" s="2">
        <v>0</v>
      </c>
      <c r="E48031" s="2">
        <v>0</v>
      </c>
      <c r="F48031" s="2">
        <v>7.8945399979829395E-7</v>
      </c>
    </row>
    <row r="48032" spans="1:6" x14ac:dyDescent="0.25">
      <c r="A48032" s="1" t="str">
        <f t="shared" si="1554"/>
        <v>99999</v>
      </c>
      <c r="B48032" s="1" t="str">
        <f>"72644"</f>
        <v>72644</v>
      </c>
      <c r="C48032" s="2">
        <v>9.6352192596990302E-6</v>
      </c>
      <c r="D48032" s="2">
        <v>0</v>
      </c>
      <c r="E48032" s="2">
        <v>0</v>
      </c>
      <c r="F48032" s="2">
        <v>8.7826757477560201E-6</v>
      </c>
    </row>
    <row r="48033" spans="1:6" x14ac:dyDescent="0.25">
      <c r="A48033" s="1" t="str">
        <f t="shared" si="1554"/>
        <v>99999</v>
      </c>
      <c r="B48033" s="1" t="str">
        <f>"71432"</f>
        <v>71432</v>
      </c>
      <c r="C48033" s="2">
        <v>2.59826137340198E-6</v>
      </c>
      <c r="D48033" s="2">
        <v>0</v>
      </c>
      <c r="E48033" s="2">
        <v>0</v>
      </c>
      <c r="F48033" s="2">
        <v>2.3683619993948799E-6</v>
      </c>
    </row>
    <row r="48034" spans="1:6" x14ac:dyDescent="0.25">
      <c r="A48034" s="1" t="str">
        <f t="shared" si="1554"/>
        <v>99999</v>
      </c>
      <c r="B48034" s="1" t="str">
        <f>"73551"</f>
        <v>73551</v>
      </c>
      <c r="C48034" s="2">
        <v>6.0626098712712997E-6</v>
      </c>
      <c r="D48034" s="2">
        <v>4.5171266858293203E-6</v>
      </c>
      <c r="E48034" s="2">
        <v>8.6021135392965999E-6</v>
      </c>
      <c r="F48034" s="2">
        <v>6.0195867484619901E-6</v>
      </c>
    </row>
    <row r="48035" spans="1:6" x14ac:dyDescent="0.25">
      <c r="A48035" s="1" t="str">
        <f t="shared" si="1554"/>
        <v>99999</v>
      </c>
      <c r="B48035" s="1" t="str">
        <f>"76836"</f>
        <v>76836</v>
      </c>
      <c r="C48035" s="2">
        <v>4.4386965128950601E-6</v>
      </c>
      <c r="D48035" s="2">
        <v>0</v>
      </c>
      <c r="E48035" s="2">
        <v>0</v>
      </c>
      <c r="F48035" s="2">
        <v>4.0459517489662501E-6</v>
      </c>
    </row>
    <row r="48036" spans="1:6" x14ac:dyDescent="0.25">
      <c r="A48036" s="1" t="str">
        <f t="shared" si="1554"/>
        <v>99999</v>
      </c>
      <c r="B48036" s="1" t="str">
        <f>"81041"</f>
        <v>81041</v>
      </c>
      <c r="C48036" s="2">
        <v>8.7691321352316998E-6</v>
      </c>
      <c r="D48036" s="2">
        <v>0</v>
      </c>
      <c r="E48036" s="2">
        <v>4.3010567696482999E-6</v>
      </c>
      <c r="F48036" s="2">
        <v>8.0919034979325103E-6</v>
      </c>
    </row>
    <row r="48037" spans="1:6" x14ac:dyDescent="0.25">
      <c r="A48037" s="1" t="str">
        <f t="shared" si="1554"/>
        <v>99999</v>
      </c>
      <c r="B48037" s="1" t="str">
        <f>"87724"</f>
        <v>87724</v>
      </c>
      <c r="C48037" s="2">
        <v>1.26665241953346E-5</v>
      </c>
      <c r="D48037" s="2">
        <v>0</v>
      </c>
      <c r="E48037" s="2">
        <v>4.3010567696482999E-6</v>
      </c>
      <c r="F48037" s="2">
        <v>1.1644446497024801E-5</v>
      </c>
    </row>
    <row r="48038" spans="1:6" x14ac:dyDescent="0.25">
      <c r="A48038" s="1" t="str">
        <f t="shared" si="1554"/>
        <v>99999</v>
      </c>
      <c r="B48038" s="1" t="str">
        <f>"12458"</f>
        <v>12458</v>
      </c>
      <c r="C48038" s="2">
        <v>8.3360885729980396E-6</v>
      </c>
      <c r="D48038" s="2">
        <v>0</v>
      </c>
      <c r="E48038" s="2">
        <v>0</v>
      </c>
      <c r="F48038" s="2">
        <v>7.5984947480585801E-6</v>
      </c>
    </row>
    <row r="48039" spans="1:6" x14ac:dyDescent="0.25">
      <c r="A48039" s="1" t="str">
        <f t="shared" si="1554"/>
        <v>99999</v>
      </c>
      <c r="B48039" s="1" t="str">
        <f>"24857"</f>
        <v>24857</v>
      </c>
      <c r="C48039" s="2">
        <v>0</v>
      </c>
      <c r="D48039" s="2">
        <v>1.50570889527644E-6</v>
      </c>
      <c r="E48039" s="2">
        <v>0</v>
      </c>
      <c r="F48039" s="2">
        <v>9.8681749974786797E-8</v>
      </c>
    </row>
    <row r="48040" spans="1:6" x14ac:dyDescent="0.25">
      <c r="A48040" s="1" t="str">
        <f t="shared" si="1554"/>
        <v>99999</v>
      </c>
      <c r="B48040" s="1" t="str">
        <f>"24736"</f>
        <v>24736</v>
      </c>
      <c r="C48040" s="2">
        <v>3.7891311695445602E-6</v>
      </c>
      <c r="D48040" s="2">
        <v>0</v>
      </c>
      <c r="E48040" s="2">
        <v>0</v>
      </c>
      <c r="F48040" s="2">
        <v>3.4538612491175301E-6</v>
      </c>
    </row>
    <row r="48041" spans="1:6" x14ac:dyDescent="0.25">
      <c r="A48041" s="1" t="str">
        <f t="shared" si="1554"/>
        <v>99999</v>
      </c>
      <c r="B48041" s="1" t="str">
        <f>"31015"</f>
        <v>31015</v>
      </c>
      <c r="C48041" s="2">
        <v>4.3304356223366396E-6</v>
      </c>
      <c r="D48041" s="2">
        <v>1.50570889527644E-6</v>
      </c>
      <c r="E48041" s="2">
        <v>0</v>
      </c>
      <c r="F48041" s="2">
        <v>4.0459517489662501E-6</v>
      </c>
    </row>
    <row r="48042" spans="1:6" x14ac:dyDescent="0.25">
      <c r="A48042" s="1" t="str">
        <f t="shared" si="1554"/>
        <v>99999</v>
      </c>
      <c r="B48042" s="1" t="str">
        <f>"40052"</f>
        <v>40052</v>
      </c>
      <c r="C48042" s="2">
        <v>6.7121752146218001E-6</v>
      </c>
      <c r="D48042" s="2">
        <v>0</v>
      </c>
      <c r="E48042" s="2">
        <v>3.01073973875381E-5</v>
      </c>
      <c r="F48042" s="2">
        <v>6.8090407482602902E-6</v>
      </c>
    </row>
    <row r="48043" spans="1:6" x14ac:dyDescent="0.25">
      <c r="A48043" s="1" t="str">
        <f t="shared" si="1554"/>
        <v>99999</v>
      </c>
      <c r="B48043" s="1" t="str">
        <f>"42275"</f>
        <v>42275</v>
      </c>
      <c r="C48043" s="2">
        <v>1.08260890558416E-7</v>
      </c>
      <c r="D48043" s="2">
        <v>0</v>
      </c>
      <c r="E48043" s="2">
        <v>0</v>
      </c>
      <c r="F48043" s="2">
        <v>9.8681749974786797E-8</v>
      </c>
    </row>
    <row r="48044" spans="1:6" x14ac:dyDescent="0.25">
      <c r="A48044" s="1" t="str">
        <f t="shared" si="1554"/>
        <v>99999</v>
      </c>
      <c r="B48044" s="1" t="str">
        <f>"40801"</f>
        <v>40801</v>
      </c>
      <c r="C48044" s="2">
        <v>3.2478267167524802E-7</v>
      </c>
      <c r="D48044" s="2">
        <v>1.50570889527644E-6</v>
      </c>
      <c r="E48044" s="2">
        <v>4.3010567696482999E-6</v>
      </c>
      <c r="F48044" s="2">
        <v>4.9340874987393396E-7</v>
      </c>
    </row>
    <row r="48045" spans="1:6" x14ac:dyDescent="0.25">
      <c r="A48045" s="1" t="str">
        <f t="shared" si="1554"/>
        <v>99999</v>
      </c>
      <c r="B48045" s="1" t="str">
        <f>"47403"</f>
        <v>47403</v>
      </c>
      <c r="C48045" s="2">
        <v>1.5806090021528701E-5</v>
      </c>
      <c r="D48045" s="2">
        <v>1.50570889527644E-6</v>
      </c>
      <c r="E48045" s="2">
        <v>0</v>
      </c>
      <c r="F48045" s="2">
        <v>1.45062172462936E-5</v>
      </c>
    </row>
    <row r="48046" spans="1:6" x14ac:dyDescent="0.25">
      <c r="A48046" s="1" t="str">
        <f t="shared" si="1554"/>
        <v>99999</v>
      </c>
      <c r="B48046" s="1" t="str">
        <f>"47522"</f>
        <v>47522</v>
      </c>
      <c r="C48046" s="2">
        <v>1.2774785085893101E-5</v>
      </c>
      <c r="D48046" s="2">
        <v>1.0539962266935E-5</v>
      </c>
      <c r="E48046" s="2">
        <v>4.3010567696482999E-6</v>
      </c>
      <c r="F48046" s="2">
        <v>1.2433900496823101E-5</v>
      </c>
    </row>
    <row r="48047" spans="1:6" x14ac:dyDescent="0.25">
      <c r="A48047" s="1" t="str">
        <f t="shared" si="1554"/>
        <v>99999</v>
      </c>
      <c r="B48047" s="1" t="str">
        <f>"61048"</f>
        <v>61048</v>
      </c>
      <c r="C48047" s="2">
        <v>4.2221747317782301E-6</v>
      </c>
      <c r="D48047" s="2">
        <v>1.50570889527644E-6</v>
      </c>
      <c r="E48047" s="2">
        <v>0</v>
      </c>
      <c r="F48047" s="2">
        <v>3.94726999899147E-6</v>
      </c>
    </row>
    <row r="48048" spans="1:6" x14ac:dyDescent="0.25">
      <c r="A48048" s="1" t="str">
        <f t="shared" si="1554"/>
        <v>99999</v>
      </c>
      <c r="B48048" s="1" t="str">
        <f>"57636"</f>
        <v>57636</v>
      </c>
      <c r="C48048" s="2">
        <v>4.6552182940118902E-6</v>
      </c>
      <c r="D48048" s="2">
        <v>4.5171266858293203E-6</v>
      </c>
      <c r="E48048" s="2">
        <v>4.3010567696482999E-6</v>
      </c>
      <c r="F48048" s="2">
        <v>4.6380422488149798E-6</v>
      </c>
    </row>
    <row r="48049" spans="1:6" x14ac:dyDescent="0.25">
      <c r="A48049" s="1" t="str">
        <f t="shared" si="1554"/>
        <v>99999</v>
      </c>
      <c r="B48049" s="1" t="str">
        <f>"57421"</f>
        <v>57421</v>
      </c>
      <c r="C48049" s="2">
        <v>4.0056529506613898E-6</v>
      </c>
      <c r="D48049" s="2">
        <v>3.01141779055288E-6</v>
      </c>
      <c r="E48049" s="2">
        <v>4.3010567696482999E-6</v>
      </c>
      <c r="F48049" s="2">
        <v>3.94726999899147E-6</v>
      </c>
    </row>
    <row r="48050" spans="1:6" x14ac:dyDescent="0.25">
      <c r="A48050" s="1" t="str">
        <f t="shared" si="1554"/>
        <v>99999</v>
      </c>
      <c r="B48050" s="1" t="str">
        <f>"79503"</f>
        <v>79503</v>
      </c>
      <c r="C48050" s="2">
        <v>5.4130445279207995E-7</v>
      </c>
      <c r="D48050" s="2">
        <v>0</v>
      </c>
      <c r="E48050" s="2">
        <v>0</v>
      </c>
      <c r="F48050" s="2">
        <v>4.9340874987393396E-7</v>
      </c>
    </row>
    <row r="48051" spans="1:6" x14ac:dyDescent="0.25">
      <c r="A48051" s="1" t="str">
        <f t="shared" si="1554"/>
        <v>99999</v>
      </c>
      <c r="B48051" s="1" t="str">
        <f>"76511"</f>
        <v>76511</v>
      </c>
      <c r="C48051" s="2">
        <v>1.1908697961425701E-5</v>
      </c>
      <c r="D48051" s="2">
        <v>0</v>
      </c>
      <c r="E48051" s="2">
        <v>0</v>
      </c>
      <c r="F48051" s="2">
        <v>1.08549924972265E-5</v>
      </c>
    </row>
    <row r="48052" spans="1:6" x14ac:dyDescent="0.25">
      <c r="A48052" s="1" t="str">
        <f t="shared" si="1554"/>
        <v>99999</v>
      </c>
      <c r="B48052" s="1" t="str">
        <f>"78829"</f>
        <v>78829</v>
      </c>
      <c r="C48052" s="2">
        <v>6.3873925429465503E-6</v>
      </c>
      <c r="D48052" s="2">
        <v>7.5285444763821999E-6</v>
      </c>
      <c r="E48052" s="2">
        <v>1.29031703089449E-5</v>
      </c>
      <c r="F48052" s="2">
        <v>6.6116772483107097E-6</v>
      </c>
    </row>
    <row r="48053" spans="1:6" x14ac:dyDescent="0.25">
      <c r="A48053" s="1" t="str">
        <f t="shared" si="1554"/>
        <v>99999</v>
      </c>
      <c r="B48053" s="1" t="str">
        <f>"95369"</f>
        <v>95369</v>
      </c>
      <c r="C48053" s="2">
        <v>8.6608712446732894E-6</v>
      </c>
      <c r="D48053" s="2">
        <v>4.5171266858293203E-6</v>
      </c>
      <c r="E48053" s="2">
        <v>0</v>
      </c>
      <c r="F48053" s="2">
        <v>8.1905852479073005E-6</v>
      </c>
    </row>
    <row r="48054" spans="1:6" x14ac:dyDescent="0.25">
      <c r="A48054" s="1" t="str">
        <f t="shared" si="1554"/>
        <v>99999</v>
      </c>
      <c r="B48054" s="1" t="str">
        <f>"12836"</f>
        <v>12836</v>
      </c>
      <c r="C48054" s="2">
        <v>1.0826089055841599E-6</v>
      </c>
      <c r="D48054" s="2">
        <v>0</v>
      </c>
      <c r="E48054" s="2">
        <v>0</v>
      </c>
      <c r="F48054" s="2">
        <v>9.8681749974786791E-7</v>
      </c>
    </row>
    <row r="48055" spans="1:6" x14ac:dyDescent="0.25">
      <c r="A48055" s="1" t="str">
        <f t="shared" si="1554"/>
        <v>99999</v>
      </c>
      <c r="B48055" s="1" t="str">
        <f>"26270"</f>
        <v>26270</v>
      </c>
      <c r="C48055" s="2">
        <v>8.6608712446732898E-7</v>
      </c>
      <c r="D48055" s="2">
        <v>1.50570889527644E-6</v>
      </c>
      <c r="E48055" s="2">
        <v>0</v>
      </c>
      <c r="F48055" s="2">
        <v>8.8813574977308104E-7</v>
      </c>
    </row>
    <row r="48056" spans="1:6" x14ac:dyDescent="0.25">
      <c r="A48056" s="1" t="str">
        <f t="shared" si="1554"/>
        <v>99999</v>
      </c>
      <c r="B48056" s="1" t="str">
        <f>"27247"</f>
        <v>27247</v>
      </c>
      <c r="C48056" s="2">
        <v>0</v>
      </c>
      <c r="D48056" s="2">
        <v>0</v>
      </c>
      <c r="E48056" s="2">
        <v>4.3010567696482999E-6</v>
      </c>
      <c r="F48056" s="2">
        <v>9.8681749974786797E-8</v>
      </c>
    </row>
    <row r="48057" spans="1:6" x14ac:dyDescent="0.25">
      <c r="A48057" s="1" t="str">
        <f t="shared" si="1554"/>
        <v>99999</v>
      </c>
      <c r="B48057" s="1" t="str">
        <f>"38869"</f>
        <v>38869</v>
      </c>
      <c r="C48057" s="2">
        <v>1.08260890558416E-7</v>
      </c>
      <c r="D48057" s="2">
        <v>3.01141779055288E-6</v>
      </c>
      <c r="E48057" s="2">
        <v>0</v>
      </c>
      <c r="F48057" s="2">
        <v>2.9604524992435999E-7</v>
      </c>
    </row>
    <row r="48058" spans="1:6" x14ac:dyDescent="0.25">
      <c r="A48058" s="1" t="str">
        <f t="shared" si="1554"/>
        <v>99999</v>
      </c>
      <c r="B48058" s="1" t="str">
        <f>"41772"</f>
        <v>41772</v>
      </c>
      <c r="C48058" s="2">
        <v>1.0393045493607899E-5</v>
      </c>
      <c r="D48058" s="2">
        <v>0</v>
      </c>
      <c r="E48058" s="2">
        <v>4.3010567696482999E-6</v>
      </c>
      <c r="F48058" s="2">
        <v>9.5721297475543202E-6</v>
      </c>
    </row>
    <row r="48059" spans="1:6" x14ac:dyDescent="0.25">
      <c r="A48059" s="1" t="str">
        <f t="shared" si="1554"/>
        <v>99999</v>
      </c>
      <c r="B48059" s="1" t="str">
        <f>"46740"</f>
        <v>46740</v>
      </c>
      <c r="C48059" s="2">
        <v>4.5469574034534697E-6</v>
      </c>
      <c r="D48059" s="2">
        <v>3.01141779055288E-6</v>
      </c>
      <c r="E48059" s="2">
        <v>0</v>
      </c>
      <c r="F48059" s="2">
        <v>4.3419969988906098E-6</v>
      </c>
    </row>
    <row r="48060" spans="1:6" x14ac:dyDescent="0.25">
      <c r="A48060" s="1" t="str">
        <f t="shared" si="1554"/>
        <v>99999</v>
      </c>
      <c r="B48060" s="1" t="str">
        <f>"54226"</f>
        <v>54226</v>
      </c>
      <c r="C48060" s="2">
        <v>0</v>
      </c>
      <c r="D48060" s="2">
        <v>0</v>
      </c>
      <c r="E48060" s="2">
        <v>4.3010567696482999E-6</v>
      </c>
      <c r="F48060" s="2">
        <v>9.8681749974786797E-8</v>
      </c>
    </row>
    <row r="48061" spans="1:6" x14ac:dyDescent="0.25">
      <c r="A48061" s="1" t="str">
        <f t="shared" si="1554"/>
        <v>99999</v>
      </c>
      <c r="B48061" s="1" t="str">
        <f>"54104"</f>
        <v>54104</v>
      </c>
      <c r="C48061" s="2">
        <v>9.7434801502574508E-7</v>
      </c>
      <c r="D48061" s="2">
        <v>0</v>
      </c>
      <c r="E48061" s="2">
        <v>0</v>
      </c>
      <c r="F48061" s="2">
        <v>8.8813574977308104E-7</v>
      </c>
    </row>
    <row r="48062" spans="1:6" x14ac:dyDescent="0.25">
      <c r="A48062" s="1" t="str">
        <f t="shared" si="1554"/>
        <v>99999</v>
      </c>
      <c r="B48062" s="1" t="str">
        <f>"53956"</f>
        <v>53956</v>
      </c>
      <c r="C48062" s="2">
        <v>3.2478267167524799E-6</v>
      </c>
      <c r="D48062" s="2">
        <v>0</v>
      </c>
      <c r="E48062" s="2">
        <v>0</v>
      </c>
      <c r="F48062" s="2">
        <v>2.9604524992435999E-6</v>
      </c>
    </row>
    <row r="48063" spans="1:6" x14ac:dyDescent="0.25">
      <c r="A48063" s="1" t="str">
        <f t="shared" si="1554"/>
        <v>99999</v>
      </c>
      <c r="B48063" s="1" t="str">
        <f>"52065"</f>
        <v>52065</v>
      </c>
      <c r="C48063" s="2">
        <v>6.3873925429465503E-6</v>
      </c>
      <c r="D48063" s="2">
        <v>0</v>
      </c>
      <c r="E48063" s="2">
        <v>0</v>
      </c>
      <c r="F48063" s="2">
        <v>5.8222232485124198E-6</v>
      </c>
    </row>
    <row r="48064" spans="1:6" x14ac:dyDescent="0.25">
      <c r="A48064" s="1" t="str">
        <f t="shared" si="1554"/>
        <v>99999</v>
      </c>
      <c r="B48064" s="1" t="str">
        <f>"67530"</f>
        <v>67530</v>
      </c>
      <c r="C48064" s="2">
        <v>2.59826137340198E-6</v>
      </c>
      <c r="D48064" s="2">
        <v>0</v>
      </c>
      <c r="E48064" s="2">
        <v>0</v>
      </c>
      <c r="F48064" s="2">
        <v>2.3683619993948799E-6</v>
      </c>
    </row>
    <row r="48065" spans="1:6" x14ac:dyDescent="0.25">
      <c r="A48065" s="1" t="str">
        <f t="shared" si="1554"/>
        <v>99999</v>
      </c>
      <c r="B48065" s="1" t="str">
        <f>"71034"</f>
        <v>71034</v>
      </c>
      <c r="C48065" s="2">
        <v>1.13673935086336E-5</v>
      </c>
      <c r="D48065" s="2">
        <v>0</v>
      </c>
      <c r="E48065" s="2">
        <v>4.3010567696482999E-6</v>
      </c>
      <c r="F48065" s="2">
        <v>1.04602654973274E-5</v>
      </c>
    </row>
    <row r="48066" spans="1:6" x14ac:dyDescent="0.25">
      <c r="A48066" s="1" t="str">
        <f t="shared" si="1554"/>
        <v>99999</v>
      </c>
      <c r="B48066" s="1" t="str">
        <f>"83546"</f>
        <v>83546</v>
      </c>
      <c r="C48066" s="2">
        <v>1.86208731760475E-5</v>
      </c>
      <c r="D48066" s="2">
        <v>2.1079924533870101E-5</v>
      </c>
      <c r="E48066" s="2">
        <v>2.3655812233065599E-4</v>
      </c>
      <c r="F48066" s="2">
        <v>2.37823017439236E-5</v>
      </c>
    </row>
    <row r="48067" spans="1:6" x14ac:dyDescent="0.25">
      <c r="A48067" s="1" t="str">
        <f t="shared" si="1554"/>
        <v>99999</v>
      </c>
      <c r="B48067" s="1" t="str">
        <f>"04262"</f>
        <v>04262</v>
      </c>
      <c r="C48067" s="2">
        <v>1.08260890558416E-7</v>
      </c>
      <c r="D48067" s="2">
        <v>0</v>
      </c>
      <c r="E48067" s="2">
        <v>4.3010567696482999E-6</v>
      </c>
      <c r="F48067" s="2">
        <v>1.9736349994957301E-7</v>
      </c>
    </row>
    <row r="48068" spans="1:6" x14ac:dyDescent="0.25">
      <c r="A48068" s="1" t="str">
        <f t="shared" si="1554"/>
        <v>99999</v>
      </c>
      <c r="B48068" s="1" t="str">
        <f>"31744"</f>
        <v>31744</v>
      </c>
      <c r="C48068" s="2">
        <v>6.1708707618297202E-6</v>
      </c>
      <c r="D48068" s="2">
        <v>4.5171266858293203E-6</v>
      </c>
      <c r="E48068" s="2">
        <v>0</v>
      </c>
      <c r="F48068" s="2">
        <v>5.9209049984871999E-6</v>
      </c>
    </row>
    <row r="48069" spans="1:6" x14ac:dyDescent="0.25">
      <c r="A48069" s="1" t="str">
        <f t="shared" si="1554"/>
        <v>99999</v>
      </c>
      <c r="B48069" s="1" t="str">
        <f>"38358"</f>
        <v>38358</v>
      </c>
      <c r="C48069" s="2">
        <v>1.7321742489346499E-6</v>
      </c>
      <c r="D48069" s="2">
        <v>0</v>
      </c>
      <c r="E48069" s="2">
        <v>0</v>
      </c>
      <c r="F48069" s="2">
        <v>1.5789079995965801E-6</v>
      </c>
    </row>
    <row r="48070" spans="1:6" x14ac:dyDescent="0.25">
      <c r="A48070" s="1" t="str">
        <f t="shared" ref="A48070:A48133" si="1555">"99999"</f>
        <v>99999</v>
      </c>
      <c r="B48070" s="1" t="str">
        <f>"38235"</f>
        <v>38235</v>
      </c>
      <c r="C48070" s="2">
        <v>0</v>
      </c>
      <c r="D48070" s="2">
        <v>1.50570889527644E-6</v>
      </c>
      <c r="E48070" s="2">
        <v>0</v>
      </c>
      <c r="F48070" s="2">
        <v>9.8681749974786797E-8</v>
      </c>
    </row>
    <row r="48071" spans="1:6" x14ac:dyDescent="0.25">
      <c r="A48071" s="1" t="str">
        <f t="shared" si="1555"/>
        <v>99999</v>
      </c>
      <c r="B48071" s="1" t="str">
        <f>"40063"</f>
        <v>40063</v>
      </c>
      <c r="C48071" s="2">
        <v>0</v>
      </c>
      <c r="D48071" s="2">
        <v>1.50570889527644E-6</v>
      </c>
      <c r="E48071" s="2">
        <v>4.3010567696482999E-6</v>
      </c>
      <c r="F48071" s="2">
        <v>1.9736349994957301E-7</v>
      </c>
    </row>
    <row r="48072" spans="1:6" x14ac:dyDescent="0.25">
      <c r="A48072" s="1" t="str">
        <f t="shared" si="1555"/>
        <v>99999</v>
      </c>
      <c r="B48072" s="1" t="str">
        <f>"69365"</f>
        <v>69365</v>
      </c>
      <c r="C48072" s="2">
        <v>1.4073915772594101E-6</v>
      </c>
      <c r="D48072" s="2">
        <v>4.5171266858293203E-6</v>
      </c>
      <c r="E48072" s="2">
        <v>0</v>
      </c>
      <c r="F48072" s="2">
        <v>1.5789079995965801E-6</v>
      </c>
    </row>
    <row r="48073" spans="1:6" x14ac:dyDescent="0.25">
      <c r="A48073" s="1" t="str">
        <f t="shared" si="1555"/>
        <v>99999</v>
      </c>
      <c r="B48073" s="1" t="str">
        <f>"73624"</f>
        <v>73624</v>
      </c>
      <c r="C48073" s="2">
        <v>3.2478267167524802E-7</v>
      </c>
      <c r="D48073" s="2">
        <v>0</v>
      </c>
      <c r="E48073" s="2">
        <v>4.3010567696482999E-6</v>
      </c>
      <c r="F48073" s="2">
        <v>3.9472699989914697E-7</v>
      </c>
    </row>
    <row r="48074" spans="1:6" x14ac:dyDescent="0.25">
      <c r="A48074" s="1" t="str">
        <f t="shared" si="1555"/>
        <v>99999</v>
      </c>
      <c r="B48074" s="1" t="str">
        <f>"80862"</f>
        <v>80862</v>
      </c>
      <c r="C48074" s="2">
        <v>2.9230440450772301E-6</v>
      </c>
      <c r="D48074" s="2">
        <v>0</v>
      </c>
      <c r="E48074" s="2">
        <v>4.3010567696482999E-6</v>
      </c>
      <c r="F48074" s="2">
        <v>2.76308899929403E-6</v>
      </c>
    </row>
    <row r="48075" spans="1:6" x14ac:dyDescent="0.25">
      <c r="A48075" s="1" t="str">
        <f t="shared" si="1555"/>
        <v>99999</v>
      </c>
      <c r="B48075" s="1" t="str">
        <f>"26143"</f>
        <v>26143</v>
      </c>
      <c r="C48075" s="2">
        <v>1.0826089055841599E-6</v>
      </c>
      <c r="D48075" s="2">
        <v>0</v>
      </c>
      <c r="E48075" s="2">
        <v>0</v>
      </c>
      <c r="F48075" s="2">
        <v>9.8681749974786791E-7</v>
      </c>
    </row>
    <row r="48076" spans="1:6" x14ac:dyDescent="0.25">
      <c r="A48076" s="1" t="str">
        <f t="shared" si="1555"/>
        <v>99999</v>
      </c>
      <c r="B48076" s="1" t="str">
        <f>"29813"</f>
        <v>29813</v>
      </c>
      <c r="C48076" s="2">
        <v>0</v>
      </c>
      <c r="D48076" s="2">
        <v>1.50570889527644E-6</v>
      </c>
      <c r="E48076" s="2">
        <v>0</v>
      </c>
      <c r="F48076" s="2">
        <v>9.8681749974786797E-8</v>
      </c>
    </row>
    <row r="48077" spans="1:6" x14ac:dyDescent="0.25">
      <c r="A48077" s="1" t="str">
        <f t="shared" si="1555"/>
        <v>99999</v>
      </c>
      <c r="B48077" s="1" t="str">
        <f>"57243"</f>
        <v>57243</v>
      </c>
      <c r="C48077" s="2">
        <v>1.1908697961425701E-6</v>
      </c>
      <c r="D48077" s="2">
        <v>0</v>
      </c>
      <c r="E48077" s="2">
        <v>0</v>
      </c>
      <c r="F48077" s="2">
        <v>1.0854992497226499E-6</v>
      </c>
    </row>
    <row r="48078" spans="1:6" x14ac:dyDescent="0.25">
      <c r="A48078" s="1" t="str">
        <f t="shared" si="1555"/>
        <v>99999</v>
      </c>
      <c r="B48078" s="1" t="str">
        <f>"56129"</f>
        <v>56129</v>
      </c>
      <c r="C48078" s="2">
        <v>4.4386965128950601E-6</v>
      </c>
      <c r="D48078" s="2">
        <v>0</v>
      </c>
      <c r="E48078" s="2">
        <v>0</v>
      </c>
      <c r="F48078" s="2">
        <v>4.0459517489662501E-6</v>
      </c>
    </row>
    <row r="48079" spans="1:6" x14ac:dyDescent="0.25">
      <c r="A48079" s="1" t="str">
        <f t="shared" si="1555"/>
        <v>99999</v>
      </c>
      <c r="B48079" s="1" t="str">
        <f>"72374"</f>
        <v>72374</v>
      </c>
      <c r="C48079" s="2">
        <v>7.5782623390891299E-7</v>
      </c>
      <c r="D48079" s="2">
        <v>0</v>
      </c>
      <c r="E48079" s="2">
        <v>0</v>
      </c>
      <c r="F48079" s="2">
        <v>6.9077224982350697E-7</v>
      </c>
    </row>
    <row r="48080" spans="1:6" x14ac:dyDescent="0.25">
      <c r="A48080" s="1" t="str">
        <f t="shared" si="1555"/>
        <v>99999</v>
      </c>
      <c r="B48080" s="1" t="str">
        <f>"84007"</f>
        <v>84007</v>
      </c>
      <c r="C48080" s="2">
        <v>1.5589568240411901E-5</v>
      </c>
      <c r="D48080" s="2">
        <v>0</v>
      </c>
      <c r="E48080" s="2">
        <v>4.3010567696482999E-6</v>
      </c>
      <c r="F48080" s="2">
        <v>1.4308853746344E-5</v>
      </c>
    </row>
    <row r="48081" spans="1:6" x14ac:dyDescent="0.25">
      <c r="A48081" s="1" t="str">
        <f t="shared" si="1555"/>
        <v>99999</v>
      </c>
      <c r="B48081" s="1" t="str">
        <f>"93549"</f>
        <v>93549</v>
      </c>
      <c r="C48081" s="2">
        <v>3.1395658261940598E-6</v>
      </c>
      <c r="D48081" s="2">
        <v>1.50570889527644E-6</v>
      </c>
      <c r="E48081" s="2">
        <v>0</v>
      </c>
      <c r="F48081" s="2">
        <v>2.9604524992435999E-6</v>
      </c>
    </row>
    <row r="48082" spans="1:6" x14ac:dyDescent="0.25">
      <c r="A48082" s="1" t="str">
        <f t="shared" si="1555"/>
        <v>99999</v>
      </c>
      <c r="B48082" s="1" t="str">
        <f>"04448"</f>
        <v>04448</v>
      </c>
      <c r="C48082" s="2">
        <v>3.2478267167524802E-7</v>
      </c>
      <c r="D48082" s="2">
        <v>0</v>
      </c>
      <c r="E48082" s="2">
        <v>0</v>
      </c>
      <c r="F48082" s="2">
        <v>2.9604524992435999E-7</v>
      </c>
    </row>
    <row r="48083" spans="1:6" x14ac:dyDescent="0.25">
      <c r="A48083" s="1" t="str">
        <f t="shared" si="1555"/>
        <v>99999</v>
      </c>
      <c r="B48083" s="1" t="str">
        <f>"49797"</f>
        <v>49797</v>
      </c>
      <c r="C48083" s="2">
        <v>1.08260890558416E-7</v>
      </c>
      <c r="D48083" s="2">
        <v>3.01141779055288E-6</v>
      </c>
      <c r="E48083" s="2">
        <v>0</v>
      </c>
      <c r="F48083" s="2">
        <v>2.9604524992435999E-7</v>
      </c>
    </row>
    <row r="48084" spans="1:6" x14ac:dyDescent="0.25">
      <c r="A48084" s="1" t="str">
        <f t="shared" si="1555"/>
        <v>99999</v>
      </c>
      <c r="B48084" s="1" t="str">
        <f>"56042"</f>
        <v>56042</v>
      </c>
      <c r="C48084" s="2">
        <v>5.4130445279207995E-7</v>
      </c>
      <c r="D48084" s="2">
        <v>0</v>
      </c>
      <c r="E48084" s="2">
        <v>0</v>
      </c>
      <c r="F48084" s="2">
        <v>4.9340874987393396E-7</v>
      </c>
    </row>
    <row r="48085" spans="1:6" x14ac:dyDescent="0.25">
      <c r="A48085" s="1" t="str">
        <f t="shared" si="1555"/>
        <v>99999</v>
      </c>
      <c r="B48085" s="1" t="str">
        <f>"82190"</f>
        <v>82190</v>
      </c>
      <c r="C48085" s="2">
        <v>1.9486960300514902E-6</v>
      </c>
      <c r="D48085" s="2">
        <v>1.50570889527644E-6</v>
      </c>
      <c r="E48085" s="2">
        <v>8.6021135392965999E-6</v>
      </c>
      <c r="F48085" s="2">
        <v>2.0723167494705202E-6</v>
      </c>
    </row>
    <row r="48086" spans="1:6" x14ac:dyDescent="0.25">
      <c r="A48086" s="1" t="str">
        <f t="shared" si="1555"/>
        <v>99999</v>
      </c>
      <c r="B48086" s="1" t="str">
        <f>"18816"</f>
        <v>18816</v>
      </c>
      <c r="C48086" s="2">
        <v>1.08260890558416E-7</v>
      </c>
      <c r="D48086" s="2">
        <v>1.50570889527644E-6</v>
      </c>
      <c r="E48086" s="2">
        <v>0</v>
      </c>
      <c r="F48086" s="2">
        <v>1.9736349994957301E-7</v>
      </c>
    </row>
    <row r="48087" spans="1:6" x14ac:dyDescent="0.25">
      <c r="A48087" s="1" t="str">
        <f t="shared" si="1555"/>
        <v>99999</v>
      </c>
      <c r="B48087" s="1" t="str">
        <f>"21690"</f>
        <v>21690</v>
      </c>
      <c r="C48087" s="2">
        <v>0</v>
      </c>
      <c r="D48087" s="2">
        <v>1.50570889527644E-6</v>
      </c>
      <c r="E48087" s="2">
        <v>0</v>
      </c>
      <c r="F48087" s="2">
        <v>9.8681749974786797E-8</v>
      </c>
    </row>
    <row r="48088" spans="1:6" x14ac:dyDescent="0.25">
      <c r="A48088" s="1" t="str">
        <f t="shared" si="1555"/>
        <v>99999</v>
      </c>
      <c r="B48088" s="1" t="str">
        <f>"35674"</f>
        <v>35674</v>
      </c>
      <c r="C48088" s="2">
        <v>2.1652178111683198E-6</v>
      </c>
      <c r="D48088" s="2">
        <v>0</v>
      </c>
      <c r="E48088" s="2">
        <v>0</v>
      </c>
      <c r="F48088" s="2">
        <v>1.9736349994957299E-6</v>
      </c>
    </row>
    <row r="48089" spans="1:6" x14ac:dyDescent="0.25">
      <c r="A48089" s="1" t="str">
        <f t="shared" si="1555"/>
        <v>99999</v>
      </c>
      <c r="B48089" s="1" t="str">
        <f>"45766"</f>
        <v>45766</v>
      </c>
      <c r="C48089" s="2">
        <v>4.5469574034534697E-6</v>
      </c>
      <c r="D48089" s="2">
        <v>0</v>
      </c>
      <c r="E48089" s="2">
        <v>0</v>
      </c>
      <c r="F48089" s="2">
        <v>4.1446334989410403E-6</v>
      </c>
    </row>
    <row r="48090" spans="1:6" x14ac:dyDescent="0.25">
      <c r="A48090" s="1" t="str">
        <f t="shared" si="1555"/>
        <v>99999</v>
      </c>
      <c r="B48090" s="1" t="str">
        <f>"50545"</f>
        <v>50545</v>
      </c>
      <c r="C48090" s="2">
        <v>1.15839152897505E-5</v>
      </c>
      <c r="D48090" s="2">
        <v>1.50570889527644E-6</v>
      </c>
      <c r="E48090" s="2">
        <v>4.3010567696482999E-6</v>
      </c>
      <c r="F48090" s="2">
        <v>1.07563107472517E-5</v>
      </c>
    </row>
    <row r="48091" spans="1:6" x14ac:dyDescent="0.25">
      <c r="A48091" s="1" t="str">
        <f t="shared" si="1555"/>
        <v>99999</v>
      </c>
      <c r="B48091" s="1" t="str">
        <f>"50649"</f>
        <v>50649</v>
      </c>
      <c r="C48091" s="2">
        <v>1.62391335837624E-6</v>
      </c>
      <c r="D48091" s="2">
        <v>1.35513800574879E-5</v>
      </c>
      <c r="E48091" s="2">
        <v>4.3010567696482999E-6</v>
      </c>
      <c r="F48091" s="2">
        <v>2.4670437493696702E-6</v>
      </c>
    </row>
    <row r="48092" spans="1:6" x14ac:dyDescent="0.25">
      <c r="A48092" s="1" t="str">
        <f t="shared" si="1555"/>
        <v>99999</v>
      </c>
      <c r="B48092" s="1" t="str">
        <f>"50664"</f>
        <v>50664</v>
      </c>
      <c r="C48092" s="2">
        <v>5.95434898071288E-6</v>
      </c>
      <c r="D48092" s="2">
        <v>1.65627978480408E-5</v>
      </c>
      <c r="E48092" s="2">
        <v>1.72042270785932E-5</v>
      </c>
      <c r="F48092" s="2">
        <v>6.9077224982350703E-6</v>
      </c>
    </row>
    <row r="48093" spans="1:6" x14ac:dyDescent="0.25">
      <c r="A48093" s="1" t="str">
        <f t="shared" si="1555"/>
        <v>99999</v>
      </c>
      <c r="B48093" s="1" t="str">
        <f>"57534"</f>
        <v>57534</v>
      </c>
      <c r="C48093" s="2">
        <v>1.15839152897505E-5</v>
      </c>
      <c r="D48093" s="2">
        <v>1.50570889527644E-6</v>
      </c>
      <c r="E48093" s="2">
        <v>4.3010567696482999E-6</v>
      </c>
      <c r="F48093" s="2">
        <v>1.07563107472517E-5</v>
      </c>
    </row>
    <row r="48094" spans="1:6" x14ac:dyDescent="0.25">
      <c r="A48094" s="1" t="str">
        <f t="shared" si="1555"/>
        <v>99999</v>
      </c>
      <c r="B48094" s="1" t="str">
        <f>"57536"</f>
        <v>57536</v>
      </c>
      <c r="C48094" s="2">
        <v>5.1965227468039701E-6</v>
      </c>
      <c r="D48094" s="2">
        <v>0</v>
      </c>
      <c r="E48094" s="2">
        <v>0</v>
      </c>
      <c r="F48094" s="2">
        <v>4.7367239987897599E-6</v>
      </c>
    </row>
    <row r="48095" spans="1:6" x14ac:dyDescent="0.25">
      <c r="A48095" s="1" t="str">
        <f t="shared" si="1555"/>
        <v>99999</v>
      </c>
      <c r="B48095" s="1" t="str">
        <f>"59082"</f>
        <v>59082</v>
      </c>
      <c r="C48095" s="2">
        <v>4.6552182940118902E-6</v>
      </c>
      <c r="D48095" s="2">
        <v>0</v>
      </c>
      <c r="E48095" s="2">
        <v>4.3010567696482999E-6</v>
      </c>
      <c r="F48095" s="2">
        <v>4.3419969988906098E-6</v>
      </c>
    </row>
    <row r="48096" spans="1:6" x14ac:dyDescent="0.25">
      <c r="A48096" s="1" t="str">
        <f t="shared" si="1555"/>
        <v>99999</v>
      </c>
      <c r="B48096" s="1" t="str">
        <f>"59339"</f>
        <v>59339</v>
      </c>
      <c r="C48096" s="2">
        <v>1.05013063841663E-5</v>
      </c>
      <c r="D48096" s="2">
        <v>4.5171266858293203E-6</v>
      </c>
      <c r="E48096" s="2">
        <v>4.3010567696482999E-6</v>
      </c>
      <c r="F48096" s="2">
        <v>9.9668567474534592E-6</v>
      </c>
    </row>
    <row r="48097" spans="1:6" x14ac:dyDescent="0.25">
      <c r="A48097" s="1" t="str">
        <f t="shared" si="1555"/>
        <v>99999</v>
      </c>
      <c r="B48097" s="1" t="str">
        <f>"59530"</f>
        <v>59530</v>
      </c>
      <c r="C48097" s="2">
        <v>6.6039143240633804E-6</v>
      </c>
      <c r="D48097" s="2">
        <v>0</v>
      </c>
      <c r="E48097" s="2">
        <v>4.3010567696482999E-6</v>
      </c>
      <c r="F48097" s="2">
        <v>6.1182684984367804E-6</v>
      </c>
    </row>
    <row r="48098" spans="1:6" x14ac:dyDescent="0.25">
      <c r="A48098" s="1" t="str">
        <f t="shared" si="1555"/>
        <v>99999</v>
      </c>
      <c r="B48098" s="1" t="str">
        <f>"62997"</f>
        <v>62997</v>
      </c>
      <c r="C48098" s="2">
        <v>3.4210441416459502E-5</v>
      </c>
      <c r="D48098" s="2">
        <v>9.0342533716586405E-6</v>
      </c>
      <c r="E48098" s="2">
        <v>8.6021135392965999E-6</v>
      </c>
      <c r="F48098" s="2">
        <v>3.19728869918309E-5</v>
      </c>
    </row>
    <row r="48099" spans="1:6" x14ac:dyDescent="0.25">
      <c r="A48099" s="1" t="str">
        <f t="shared" si="1555"/>
        <v>99999</v>
      </c>
      <c r="B48099" s="1" t="str">
        <f>"66753"</f>
        <v>66753</v>
      </c>
      <c r="C48099" s="2">
        <v>1.0284784603049499E-5</v>
      </c>
      <c r="D48099" s="2">
        <v>6.0228355811057601E-6</v>
      </c>
      <c r="E48099" s="2">
        <v>0</v>
      </c>
      <c r="F48099" s="2">
        <v>9.7694932475038906E-6</v>
      </c>
    </row>
    <row r="48100" spans="1:6" x14ac:dyDescent="0.25">
      <c r="A48100" s="1" t="str">
        <f t="shared" si="1555"/>
        <v>99999</v>
      </c>
      <c r="B48100" s="1" t="str">
        <f>"68350"</f>
        <v>68350</v>
      </c>
      <c r="C48100" s="2">
        <v>1.2883045976451501E-5</v>
      </c>
      <c r="D48100" s="2">
        <v>1.50570889527644E-6</v>
      </c>
      <c r="E48100" s="2">
        <v>1.29031703089449E-5</v>
      </c>
      <c r="F48100" s="2">
        <v>1.2137855246898699E-5</v>
      </c>
    </row>
    <row r="48101" spans="1:6" x14ac:dyDescent="0.25">
      <c r="A48101" s="1" t="str">
        <f t="shared" si="1555"/>
        <v>99999</v>
      </c>
      <c r="B48101" s="1" t="str">
        <f>"76873"</f>
        <v>76873</v>
      </c>
      <c r="C48101" s="2">
        <v>4.3304356223366396E-6</v>
      </c>
      <c r="D48101" s="2">
        <v>0</v>
      </c>
      <c r="E48101" s="2">
        <v>8.6021135392965999E-6</v>
      </c>
      <c r="F48101" s="2">
        <v>4.1446334989410403E-6</v>
      </c>
    </row>
    <row r="48102" spans="1:6" x14ac:dyDescent="0.25">
      <c r="A48102" s="1" t="str">
        <f t="shared" si="1555"/>
        <v>99999</v>
      </c>
      <c r="B48102" s="1" t="str">
        <f>"79251"</f>
        <v>79251</v>
      </c>
      <c r="C48102" s="2">
        <v>6.3873925429465503E-6</v>
      </c>
      <c r="D48102" s="2">
        <v>4.5171266858293203E-6</v>
      </c>
      <c r="E48102" s="2">
        <v>4.3010567696482999E-6</v>
      </c>
      <c r="F48102" s="2">
        <v>6.2169502484115596E-6</v>
      </c>
    </row>
    <row r="48103" spans="1:6" x14ac:dyDescent="0.25">
      <c r="A48103" s="1" t="str">
        <f t="shared" si="1555"/>
        <v>99999</v>
      </c>
      <c r="B48103" s="1" t="str">
        <f>"83469"</f>
        <v>83469</v>
      </c>
      <c r="C48103" s="2">
        <v>4.5469574034534697E-6</v>
      </c>
      <c r="D48103" s="2">
        <v>1.50570889527644E-6</v>
      </c>
      <c r="E48103" s="2">
        <v>0</v>
      </c>
      <c r="F48103" s="2">
        <v>4.2433152489158297E-6</v>
      </c>
    </row>
    <row r="48104" spans="1:6" x14ac:dyDescent="0.25">
      <c r="A48104" s="1" t="str">
        <f t="shared" si="1555"/>
        <v>99999</v>
      </c>
      <c r="B48104" s="1" t="str">
        <f>"83128"</f>
        <v>83128</v>
      </c>
      <c r="C48104" s="2">
        <v>9.5269583691406202E-5</v>
      </c>
      <c r="D48104" s="2">
        <v>1.0991674935517999E-4</v>
      </c>
      <c r="E48104" s="2">
        <v>1.72042270785932E-5</v>
      </c>
      <c r="F48104" s="2">
        <v>9.4438434725870895E-5</v>
      </c>
    </row>
    <row r="48105" spans="1:6" x14ac:dyDescent="0.25">
      <c r="A48105" s="1" t="str">
        <f t="shared" si="1555"/>
        <v>99999</v>
      </c>
      <c r="B48105" s="1" t="str">
        <f>"95526"</f>
        <v>95526</v>
      </c>
      <c r="C48105" s="2">
        <v>1.7971307832697E-5</v>
      </c>
      <c r="D48105" s="2">
        <v>1.20456711622115E-5</v>
      </c>
      <c r="E48105" s="2">
        <v>4.3010567696482999E-6</v>
      </c>
      <c r="F48105" s="2">
        <v>1.7269306245587602E-5</v>
      </c>
    </row>
    <row r="48106" spans="1:6" x14ac:dyDescent="0.25">
      <c r="A48106" s="1" t="str">
        <f t="shared" si="1555"/>
        <v>99999</v>
      </c>
      <c r="B48106" s="1" t="str">
        <f>"96039"</f>
        <v>96039</v>
      </c>
      <c r="C48106" s="2">
        <v>8.4443494635564601E-6</v>
      </c>
      <c r="D48106" s="2">
        <v>1.35513800574879E-5</v>
      </c>
      <c r="E48106" s="2">
        <v>4.3010567696482999E-6</v>
      </c>
      <c r="F48106" s="2">
        <v>8.6839939977812298E-6</v>
      </c>
    </row>
    <row r="48107" spans="1:6" x14ac:dyDescent="0.25">
      <c r="A48107" s="1" t="str">
        <f t="shared" si="1555"/>
        <v>99999</v>
      </c>
      <c r="B48107" s="1" t="str">
        <f>"04625"</f>
        <v>04625</v>
      </c>
      <c r="C48107" s="2">
        <v>4.0056529506613898E-6</v>
      </c>
      <c r="D48107" s="2">
        <v>0</v>
      </c>
      <c r="E48107" s="2">
        <v>4.3010567696482999E-6</v>
      </c>
      <c r="F48107" s="2">
        <v>3.7499064990418899E-6</v>
      </c>
    </row>
    <row r="48108" spans="1:6" x14ac:dyDescent="0.25">
      <c r="A48108" s="1" t="str">
        <f t="shared" si="1555"/>
        <v>99999</v>
      </c>
      <c r="B48108" s="1" t="str">
        <f>"18829"</f>
        <v>18829</v>
      </c>
      <c r="C48108" s="2">
        <v>1.1908697961425701E-6</v>
      </c>
      <c r="D48108" s="2">
        <v>0</v>
      </c>
      <c r="E48108" s="2">
        <v>0</v>
      </c>
      <c r="F48108" s="2">
        <v>1.0854992497226499E-6</v>
      </c>
    </row>
    <row r="48109" spans="1:6" x14ac:dyDescent="0.25">
      <c r="A48109" s="1" t="str">
        <f t="shared" si="1555"/>
        <v>99999</v>
      </c>
      <c r="B48109" s="1" t="str">
        <f>"31022"</f>
        <v>31022</v>
      </c>
      <c r="C48109" s="2">
        <v>2.1652178111683198E-6</v>
      </c>
      <c r="D48109" s="2">
        <v>0</v>
      </c>
      <c r="E48109" s="2">
        <v>0</v>
      </c>
      <c r="F48109" s="2">
        <v>1.9736349994957299E-6</v>
      </c>
    </row>
    <row r="48110" spans="1:6" x14ac:dyDescent="0.25">
      <c r="A48110" s="1" t="str">
        <f t="shared" si="1555"/>
        <v>99999</v>
      </c>
      <c r="B48110" s="1" t="str">
        <f>"43555"</f>
        <v>43555</v>
      </c>
      <c r="C48110" s="2">
        <v>4.6552182940118902E-6</v>
      </c>
      <c r="D48110" s="2">
        <v>1.50570889527644E-6</v>
      </c>
      <c r="E48110" s="2">
        <v>8.6021135392965999E-6</v>
      </c>
      <c r="F48110" s="2">
        <v>4.5393604988401904E-6</v>
      </c>
    </row>
    <row r="48111" spans="1:6" x14ac:dyDescent="0.25">
      <c r="A48111" s="1" t="str">
        <f t="shared" si="1555"/>
        <v>99999</v>
      </c>
      <c r="B48111" s="1" t="str">
        <f>"40484"</f>
        <v>40484</v>
      </c>
      <c r="C48111" s="2">
        <v>6.3873925429465503E-6</v>
      </c>
      <c r="D48111" s="2">
        <v>1.50570889527644E-6</v>
      </c>
      <c r="E48111" s="2">
        <v>1.29031703089449E-5</v>
      </c>
      <c r="F48111" s="2">
        <v>6.2169502484115596E-6</v>
      </c>
    </row>
    <row r="48112" spans="1:6" x14ac:dyDescent="0.25">
      <c r="A48112" s="1" t="str">
        <f t="shared" si="1555"/>
        <v>99999</v>
      </c>
      <c r="B48112" s="1" t="str">
        <f>"49822"</f>
        <v>49822</v>
      </c>
      <c r="C48112" s="2">
        <v>1.0176523712491101E-5</v>
      </c>
      <c r="D48112" s="2">
        <v>4.5171266858293203E-6</v>
      </c>
      <c r="E48112" s="2">
        <v>4.3010567696482999E-6</v>
      </c>
      <c r="F48112" s="2">
        <v>9.6708114975291003E-6</v>
      </c>
    </row>
    <row r="48113" spans="1:6" x14ac:dyDescent="0.25">
      <c r="A48113" s="1" t="str">
        <f t="shared" si="1555"/>
        <v>99999</v>
      </c>
      <c r="B48113" s="1" t="str">
        <f>"49009"</f>
        <v>49009</v>
      </c>
      <c r="C48113" s="2">
        <v>1.8404351394930699E-5</v>
      </c>
      <c r="D48113" s="2">
        <v>4.5171266858293203E-6</v>
      </c>
      <c r="E48113" s="2">
        <v>0</v>
      </c>
      <c r="F48113" s="2">
        <v>1.7071942745638099E-5</v>
      </c>
    </row>
    <row r="48114" spans="1:6" x14ac:dyDescent="0.25">
      <c r="A48114" s="1" t="str">
        <f t="shared" si="1555"/>
        <v>99999</v>
      </c>
      <c r="B48114" s="1" t="str">
        <f>"56226"</f>
        <v>56226</v>
      </c>
      <c r="C48114" s="2">
        <v>7.3617405579722903E-6</v>
      </c>
      <c r="D48114" s="2">
        <v>4.5171266858293203E-6</v>
      </c>
      <c r="E48114" s="2">
        <v>4.3010567696482999E-6</v>
      </c>
      <c r="F48114" s="2">
        <v>7.10508599818465E-6</v>
      </c>
    </row>
    <row r="48115" spans="1:6" x14ac:dyDescent="0.25">
      <c r="A48115" s="1" t="str">
        <f t="shared" si="1555"/>
        <v>99999</v>
      </c>
      <c r="B48115" s="1" t="str">
        <f>"59535"</f>
        <v>59535</v>
      </c>
      <c r="C48115" s="2">
        <v>4.8717400751287203E-6</v>
      </c>
      <c r="D48115" s="2">
        <v>3.01141779055288E-6</v>
      </c>
      <c r="E48115" s="2">
        <v>8.6021135392965999E-6</v>
      </c>
      <c r="F48115" s="2">
        <v>4.8354057487645501E-6</v>
      </c>
    </row>
    <row r="48116" spans="1:6" x14ac:dyDescent="0.25">
      <c r="A48116" s="1" t="str">
        <f t="shared" si="1555"/>
        <v>99999</v>
      </c>
      <c r="B48116" s="1" t="str">
        <f>"58415"</f>
        <v>58415</v>
      </c>
      <c r="C48116" s="2">
        <v>7.9030450107643795E-6</v>
      </c>
      <c r="D48116" s="2">
        <v>3.01141779055288E-6</v>
      </c>
      <c r="E48116" s="2">
        <v>0</v>
      </c>
      <c r="F48116" s="2">
        <v>7.4011312481090098E-6</v>
      </c>
    </row>
    <row r="48117" spans="1:6" x14ac:dyDescent="0.25">
      <c r="A48117" s="1" t="str">
        <f t="shared" si="1555"/>
        <v>99999</v>
      </c>
      <c r="B48117" s="1" t="str">
        <f>"62445"</f>
        <v>62445</v>
      </c>
      <c r="C48117" s="2">
        <v>1.05013063841663E-5</v>
      </c>
      <c r="D48117" s="2">
        <v>1.20456711622115E-5</v>
      </c>
      <c r="E48117" s="2">
        <v>0</v>
      </c>
      <c r="F48117" s="2">
        <v>1.03615837473526E-5</v>
      </c>
    </row>
    <row r="48118" spans="1:6" x14ac:dyDescent="0.25">
      <c r="A48118" s="1" t="str">
        <f t="shared" si="1555"/>
        <v>99999</v>
      </c>
      <c r="B48118" s="1" t="str">
        <f>"64855"</f>
        <v>64855</v>
      </c>
      <c r="C48118" s="2">
        <v>4.4386965128950601E-6</v>
      </c>
      <c r="D48118" s="2">
        <v>0</v>
      </c>
      <c r="E48118" s="2">
        <v>0</v>
      </c>
      <c r="F48118" s="2">
        <v>4.0459517489662501E-6</v>
      </c>
    </row>
    <row r="48119" spans="1:6" x14ac:dyDescent="0.25">
      <c r="A48119" s="1" t="str">
        <f t="shared" si="1555"/>
        <v>99999</v>
      </c>
      <c r="B48119" s="1" t="str">
        <f>"63350"</f>
        <v>63350</v>
      </c>
      <c r="C48119" s="2">
        <v>3.2045223605291098E-5</v>
      </c>
      <c r="D48119" s="2">
        <v>2.55970512196994E-5</v>
      </c>
      <c r="E48119" s="2">
        <v>2.15052838482415E-5</v>
      </c>
      <c r="F48119" s="2">
        <v>3.1380796491982199E-5</v>
      </c>
    </row>
    <row r="48120" spans="1:6" x14ac:dyDescent="0.25">
      <c r="A48120" s="1" t="str">
        <f t="shared" si="1555"/>
        <v>99999</v>
      </c>
      <c r="B48120" s="1" t="str">
        <f>"76937"</f>
        <v>76937</v>
      </c>
      <c r="C48120" s="2">
        <v>1.4073915772594101E-6</v>
      </c>
      <c r="D48120" s="2">
        <v>0</v>
      </c>
      <c r="E48120" s="2">
        <v>3.01073973875381E-5</v>
      </c>
      <c r="F48120" s="2">
        <v>1.9736349994957299E-6</v>
      </c>
    </row>
    <row r="48121" spans="1:6" x14ac:dyDescent="0.25">
      <c r="A48121" s="1" t="str">
        <f t="shared" si="1555"/>
        <v>99999</v>
      </c>
      <c r="B48121" s="1" t="str">
        <f>"78635"</f>
        <v>78635</v>
      </c>
      <c r="C48121" s="2">
        <v>5.95434898071288E-6</v>
      </c>
      <c r="D48121" s="2">
        <v>6.0228355811057601E-6</v>
      </c>
      <c r="E48121" s="2">
        <v>0</v>
      </c>
      <c r="F48121" s="2">
        <v>5.8222232485124198E-6</v>
      </c>
    </row>
    <row r="48122" spans="1:6" x14ac:dyDescent="0.25">
      <c r="A48122" s="1" t="str">
        <f t="shared" si="1555"/>
        <v>99999</v>
      </c>
      <c r="B48122" s="1" t="str">
        <f>"82640"</f>
        <v>82640</v>
      </c>
      <c r="C48122" s="2">
        <v>9.7434801502574508E-7</v>
      </c>
      <c r="D48122" s="2">
        <v>0</v>
      </c>
      <c r="E48122" s="2">
        <v>4.3010567696482999E-6</v>
      </c>
      <c r="F48122" s="2">
        <v>9.8681749974786791E-7</v>
      </c>
    </row>
    <row r="48123" spans="1:6" x14ac:dyDescent="0.25">
      <c r="A48123" s="1" t="str">
        <f t="shared" si="1555"/>
        <v>99999</v>
      </c>
      <c r="B48123" s="1" t="str">
        <f>"84535"</f>
        <v>84535</v>
      </c>
      <c r="C48123" s="2">
        <v>1.8837394957164399E-5</v>
      </c>
      <c r="D48123" s="2">
        <v>6.0228355811057601E-6</v>
      </c>
      <c r="E48123" s="2">
        <v>8.6021135392965999E-6</v>
      </c>
      <c r="F48123" s="2">
        <v>1.77627149954616E-5</v>
      </c>
    </row>
    <row r="48124" spans="1:6" x14ac:dyDescent="0.25">
      <c r="A48124" s="1" t="str">
        <f t="shared" si="1555"/>
        <v>99999</v>
      </c>
      <c r="B48124" s="1" t="str">
        <f>"97735"</f>
        <v>97735</v>
      </c>
      <c r="C48124" s="2">
        <v>1.08260890558416E-5</v>
      </c>
      <c r="D48124" s="2">
        <v>3.01141779055288E-6</v>
      </c>
      <c r="E48124" s="2">
        <v>4.3010567696482999E-6</v>
      </c>
      <c r="F48124" s="2">
        <v>1.0164220247403001E-5</v>
      </c>
    </row>
    <row r="48125" spans="1:6" x14ac:dyDescent="0.25">
      <c r="A48125" s="1" t="str">
        <f t="shared" si="1555"/>
        <v>99999</v>
      </c>
      <c r="B48125" s="1" t="str">
        <f>"83874"</f>
        <v>83874</v>
      </c>
      <c r="C48125" s="2">
        <v>6.3873925429465503E-6</v>
      </c>
      <c r="D48125" s="2">
        <v>6.0228355811057601E-6</v>
      </c>
      <c r="E48125" s="2">
        <v>4.3010567696482999E-6</v>
      </c>
      <c r="F48125" s="2">
        <v>6.3156319983863499E-6</v>
      </c>
    </row>
    <row r="48126" spans="1:6" x14ac:dyDescent="0.25">
      <c r="A48126" s="1" t="str">
        <f t="shared" si="1555"/>
        <v>99999</v>
      </c>
      <c r="B48126" s="1" t="str">
        <f>"12480"</f>
        <v>12480</v>
      </c>
      <c r="C48126" s="2">
        <v>5.4130445279208001E-6</v>
      </c>
      <c r="D48126" s="2">
        <v>1.50570889527644E-6</v>
      </c>
      <c r="E48126" s="2">
        <v>0</v>
      </c>
      <c r="F48126" s="2">
        <v>5.0327692487141197E-6</v>
      </c>
    </row>
    <row r="48127" spans="1:6" x14ac:dyDescent="0.25">
      <c r="A48127" s="1" t="str">
        <f t="shared" si="1555"/>
        <v>99999</v>
      </c>
      <c r="B48127" s="1" t="str">
        <f>"23192"</f>
        <v>23192</v>
      </c>
      <c r="C48127" s="2">
        <v>1.6347394474320801E-5</v>
      </c>
      <c r="D48127" s="2">
        <v>4.5171266858293203E-6</v>
      </c>
      <c r="E48127" s="2">
        <v>0</v>
      </c>
      <c r="F48127" s="2">
        <v>1.5196989496117099E-5</v>
      </c>
    </row>
    <row r="48128" spans="1:6" x14ac:dyDescent="0.25">
      <c r="A48128" s="1" t="str">
        <f t="shared" si="1555"/>
        <v>99999</v>
      </c>
      <c r="B48128" s="1" t="str">
        <f>"24557"</f>
        <v>24557</v>
      </c>
      <c r="C48128" s="2">
        <v>1.7321742489346499E-6</v>
      </c>
      <c r="D48128" s="2">
        <v>0</v>
      </c>
      <c r="E48128" s="2">
        <v>0</v>
      </c>
      <c r="F48128" s="2">
        <v>1.5789079995965801E-6</v>
      </c>
    </row>
    <row r="48129" spans="1:6" x14ac:dyDescent="0.25">
      <c r="A48129" s="1" t="str">
        <f t="shared" si="1555"/>
        <v>99999</v>
      </c>
      <c r="B48129" s="1" t="str">
        <f>"26662"</f>
        <v>26662</v>
      </c>
      <c r="C48129" s="2">
        <v>1.50482637876198E-5</v>
      </c>
      <c r="D48129" s="2">
        <v>3.01141779055288E-6</v>
      </c>
      <c r="E48129" s="2">
        <v>0</v>
      </c>
      <c r="F48129" s="2">
        <v>1.39141267464449E-5</v>
      </c>
    </row>
    <row r="48130" spans="1:6" x14ac:dyDescent="0.25">
      <c r="A48130" s="1" t="str">
        <f t="shared" si="1555"/>
        <v>99999</v>
      </c>
      <c r="B48130" s="1" t="str">
        <f>"30456"</f>
        <v>30456</v>
      </c>
      <c r="C48130" s="2">
        <v>1.08260890558416E-7</v>
      </c>
      <c r="D48130" s="2">
        <v>0</v>
      </c>
      <c r="E48130" s="2">
        <v>0</v>
      </c>
      <c r="F48130" s="2">
        <v>9.8681749974786797E-8</v>
      </c>
    </row>
    <row r="48131" spans="1:6" x14ac:dyDescent="0.25">
      <c r="A48131" s="1" t="str">
        <f t="shared" si="1555"/>
        <v>99999</v>
      </c>
      <c r="B48131" s="1" t="str">
        <f>"36256"</f>
        <v>36256</v>
      </c>
      <c r="C48131" s="2">
        <v>4.1139138412198104E-6</v>
      </c>
      <c r="D48131" s="2">
        <v>1.50570889527644E-6</v>
      </c>
      <c r="E48131" s="2">
        <v>0</v>
      </c>
      <c r="F48131" s="2">
        <v>3.8485882490166797E-6</v>
      </c>
    </row>
    <row r="48132" spans="1:6" x14ac:dyDescent="0.25">
      <c r="A48132" s="1" t="str">
        <f t="shared" si="1555"/>
        <v>99999</v>
      </c>
      <c r="B48132" s="1" t="str">
        <f>"38737"</f>
        <v>38737</v>
      </c>
      <c r="C48132" s="2">
        <v>9.7434801502574508E-7</v>
      </c>
      <c r="D48132" s="2">
        <v>0</v>
      </c>
      <c r="E48132" s="2">
        <v>0</v>
      </c>
      <c r="F48132" s="2">
        <v>8.8813574977308104E-7</v>
      </c>
    </row>
    <row r="48133" spans="1:6" x14ac:dyDescent="0.25">
      <c r="A48133" s="1" t="str">
        <f t="shared" si="1555"/>
        <v>99999</v>
      </c>
      <c r="B48133" s="1" t="str">
        <f>"42085"</f>
        <v>42085</v>
      </c>
      <c r="C48133" s="2">
        <v>1.13673935086336E-5</v>
      </c>
      <c r="D48133" s="2">
        <v>0</v>
      </c>
      <c r="E48133" s="2">
        <v>0</v>
      </c>
      <c r="F48133" s="2">
        <v>1.03615837473526E-5</v>
      </c>
    </row>
    <row r="48134" spans="1:6" x14ac:dyDescent="0.25">
      <c r="A48134" s="1" t="str">
        <f t="shared" ref="A48134:A48197" si="1556">"99999"</f>
        <v>99999</v>
      </c>
      <c r="B48134" s="1" t="str">
        <f>"41651"</f>
        <v>41651</v>
      </c>
      <c r="C48134" s="2">
        <v>2.0244786534423801E-5</v>
      </c>
      <c r="D48134" s="2">
        <v>0</v>
      </c>
      <c r="E48134" s="2">
        <v>1.3333275985909701E-4</v>
      </c>
      <c r="F48134" s="2">
        <v>2.1512621494503498E-5</v>
      </c>
    </row>
    <row r="48135" spans="1:6" x14ac:dyDescent="0.25">
      <c r="A48135" s="1" t="str">
        <f t="shared" si="1556"/>
        <v>99999</v>
      </c>
      <c r="B48135" s="1" t="str">
        <f>"49757"</f>
        <v>49757</v>
      </c>
      <c r="C48135" s="2">
        <v>8.2278276824396208E-6</v>
      </c>
      <c r="D48135" s="2">
        <v>1.20456711622115E-5</v>
      </c>
      <c r="E48135" s="2">
        <v>0</v>
      </c>
      <c r="F48135" s="2">
        <v>8.2892669978820908E-6</v>
      </c>
    </row>
    <row r="48136" spans="1:6" x14ac:dyDescent="0.25">
      <c r="A48136" s="1" t="str">
        <f t="shared" si="1556"/>
        <v>99999</v>
      </c>
      <c r="B48136" s="1" t="str">
        <f>"50427"</f>
        <v>50427</v>
      </c>
      <c r="C48136" s="2">
        <v>3.2478267167524799E-6</v>
      </c>
      <c r="D48136" s="2">
        <v>3.01141779055288E-6</v>
      </c>
      <c r="E48136" s="2">
        <v>4.3010567696482999E-6</v>
      </c>
      <c r="F48136" s="2">
        <v>3.2564977491679601E-6</v>
      </c>
    </row>
    <row r="48137" spans="1:6" x14ac:dyDescent="0.25">
      <c r="A48137" s="1" t="str">
        <f t="shared" si="1556"/>
        <v>99999</v>
      </c>
      <c r="B48137" s="1" t="str">
        <f>"50070"</f>
        <v>50070</v>
      </c>
      <c r="C48137" s="2">
        <v>6.7121752146218001E-6</v>
      </c>
      <c r="D48137" s="2">
        <v>0</v>
      </c>
      <c r="E48137" s="2">
        <v>0</v>
      </c>
      <c r="F48137" s="2">
        <v>6.1182684984367804E-6</v>
      </c>
    </row>
    <row r="48138" spans="1:6" x14ac:dyDescent="0.25">
      <c r="A48138" s="1" t="str">
        <f t="shared" si="1556"/>
        <v>99999</v>
      </c>
      <c r="B48138" s="1" t="str">
        <f>"52236"</f>
        <v>52236</v>
      </c>
      <c r="C48138" s="2">
        <v>2.4358700375643599E-5</v>
      </c>
      <c r="D48138" s="2">
        <v>3.01141779055288E-5</v>
      </c>
      <c r="E48138" s="2">
        <v>8.6021135392965999E-6</v>
      </c>
      <c r="F48138" s="2">
        <v>2.4374392243772301E-5</v>
      </c>
    </row>
    <row r="48139" spans="1:6" x14ac:dyDescent="0.25">
      <c r="A48139" s="1" t="str">
        <f t="shared" si="1556"/>
        <v>99999</v>
      </c>
      <c r="B48139" s="1" t="str">
        <f>"56319"</f>
        <v>56319</v>
      </c>
      <c r="C48139" s="2">
        <v>2.59826137340198E-6</v>
      </c>
      <c r="D48139" s="2">
        <v>0</v>
      </c>
      <c r="E48139" s="2">
        <v>4.3010567696482999E-6</v>
      </c>
      <c r="F48139" s="2">
        <v>2.4670437493696702E-6</v>
      </c>
    </row>
    <row r="48140" spans="1:6" x14ac:dyDescent="0.25">
      <c r="A48140" s="1" t="str">
        <f t="shared" si="1556"/>
        <v>99999</v>
      </c>
      <c r="B48140" s="1" t="str">
        <f>"56565"</f>
        <v>56565</v>
      </c>
      <c r="C48140" s="2">
        <v>6.49565343350497E-7</v>
      </c>
      <c r="D48140" s="2">
        <v>0</v>
      </c>
      <c r="E48140" s="2">
        <v>0</v>
      </c>
      <c r="F48140" s="2">
        <v>5.9209049984871999E-7</v>
      </c>
    </row>
    <row r="48141" spans="1:6" x14ac:dyDescent="0.25">
      <c r="A48141" s="1" t="str">
        <f t="shared" si="1556"/>
        <v>99999</v>
      </c>
      <c r="B48141" s="1" t="str">
        <f>"57501"</f>
        <v>57501</v>
      </c>
      <c r="C48141" s="2">
        <v>2.0136525643865401E-5</v>
      </c>
      <c r="D48141" s="2">
        <v>1.65627978480408E-5</v>
      </c>
      <c r="E48141" s="2">
        <v>2.15052838482415E-5</v>
      </c>
      <c r="F48141" s="2">
        <v>1.9933713494906902E-5</v>
      </c>
    </row>
    <row r="48142" spans="1:6" x14ac:dyDescent="0.25">
      <c r="A48142" s="1" t="str">
        <f t="shared" si="1556"/>
        <v>99999</v>
      </c>
      <c r="B48142" s="1" t="str">
        <f>"59319"</f>
        <v>59319</v>
      </c>
      <c r="C48142" s="2">
        <v>2.7065222639604001E-6</v>
      </c>
      <c r="D48142" s="2">
        <v>1.50570889527644E-6</v>
      </c>
      <c r="E48142" s="2">
        <v>4.3010567696482999E-6</v>
      </c>
      <c r="F48142" s="2">
        <v>2.6644072493192401E-6</v>
      </c>
    </row>
    <row r="48143" spans="1:6" x14ac:dyDescent="0.25">
      <c r="A48143" s="1" t="str">
        <f t="shared" si="1556"/>
        <v>99999</v>
      </c>
      <c r="B48143" s="1" t="str">
        <f>"58428"</f>
        <v>58428</v>
      </c>
      <c r="C48143" s="2">
        <v>1.4506959334827701E-5</v>
      </c>
      <c r="D48143" s="2">
        <v>3.01141779055288E-6</v>
      </c>
      <c r="E48143" s="2">
        <v>1.29031703089449E-5</v>
      </c>
      <c r="F48143" s="2">
        <v>1.37167632464953E-5</v>
      </c>
    </row>
    <row r="48144" spans="1:6" x14ac:dyDescent="0.25">
      <c r="A48144" s="1" t="str">
        <f t="shared" si="1556"/>
        <v>99999</v>
      </c>
      <c r="B48144" s="1" t="str">
        <f>"60974"</f>
        <v>60974</v>
      </c>
      <c r="C48144" s="2">
        <v>7.5782623390891299E-7</v>
      </c>
      <c r="D48144" s="2">
        <v>1.50570889527644E-6</v>
      </c>
      <c r="E48144" s="2">
        <v>4.3010567696482999E-6</v>
      </c>
      <c r="F48144" s="2">
        <v>8.8813574977308104E-7</v>
      </c>
    </row>
    <row r="48145" spans="1:6" x14ac:dyDescent="0.25">
      <c r="A48145" s="1" t="str">
        <f t="shared" si="1556"/>
        <v>99999</v>
      </c>
      <c r="B48145" s="1" t="str">
        <f>"64420"</f>
        <v>64420</v>
      </c>
      <c r="C48145" s="2">
        <v>2.3817395922851499E-6</v>
      </c>
      <c r="D48145" s="2">
        <v>1.20456711622115E-5</v>
      </c>
      <c r="E48145" s="2">
        <v>4.3010567696482999E-6</v>
      </c>
      <c r="F48145" s="2">
        <v>3.0591342492183902E-6</v>
      </c>
    </row>
    <row r="48146" spans="1:6" x14ac:dyDescent="0.25">
      <c r="A48146" s="1" t="str">
        <f t="shared" si="1556"/>
        <v>99999</v>
      </c>
      <c r="B48146" s="1" t="str">
        <f>"66724"</f>
        <v>66724</v>
      </c>
      <c r="C48146" s="2">
        <v>6.0626098712712997E-6</v>
      </c>
      <c r="D48146" s="2">
        <v>3.01141779055288E-6</v>
      </c>
      <c r="E48146" s="2">
        <v>0</v>
      </c>
      <c r="F48146" s="2">
        <v>5.7235414985376303E-6</v>
      </c>
    </row>
    <row r="48147" spans="1:6" x14ac:dyDescent="0.25">
      <c r="A48147" s="1" t="str">
        <f t="shared" si="1556"/>
        <v>99999</v>
      </c>
      <c r="B48147" s="1" t="str">
        <f>"80733"</f>
        <v>80733</v>
      </c>
      <c r="C48147" s="2">
        <v>6.0626098712712997E-6</v>
      </c>
      <c r="D48147" s="2">
        <v>3.01141779055288E-6</v>
      </c>
      <c r="E48147" s="2">
        <v>0</v>
      </c>
      <c r="F48147" s="2">
        <v>5.7235414985376303E-6</v>
      </c>
    </row>
    <row r="48148" spans="1:6" x14ac:dyDescent="0.25">
      <c r="A48148" s="1" t="str">
        <f t="shared" si="1556"/>
        <v>99999</v>
      </c>
      <c r="B48148" s="1" t="str">
        <f>"87831"</f>
        <v>87831</v>
      </c>
      <c r="C48148" s="2">
        <v>1.0393045493607899E-5</v>
      </c>
      <c r="D48148" s="2">
        <v>1.50570889527644E-6</v>
      </c>
      <c r="E48148" s="2">
        <v>4.3010567696482999E-6</v>
      </c>
      <c r="F48148" s="2">
        <v>9.6708114975291003E-6</v>
      </c>
    </row>
    <row r="48149" spans="1:6" x14ac:dyDescent="0.25">
      <c r="A48149" s="1" t="str">
        <f t="shared" si="1556"/>
        <v>99999</v>
      </c>
      <c r="B48149" s="1" t="str">
        <f>"95389"</f>
        <v>95389</v>
      </c>
      <c r="C48149" s="2">
        <v>1.16921761803089E-5</v>
      </c>
      <c r="D48149" s="2">
        <v>3.01141779055288E-6</v>
      </c>
      <c r="E48149" s="2">
        <v>2.15052838482415E-5</v>
      </c>
      <c r="F48149" s="2">
        <v>1.1348401247100399E-5</v>
      </c>
    </row>
    <row r="48150" spans="1:6" x14ac:dyDescent="0.25">
      <c r="A48150" s="1" t="str">
        <f t="shared" si="1556"/>
        <v>99999</v>
      </c>
      <c r="B48150" s="1" t="str">
        <f>"17731"</f>
        <v>17731</v>
      </c>
      <c r="C48150" s="2">
        <v>6.49565343350497E-7</v>
      </c>
      <c r="D48150" s="2">
        <v>1.50570889527644E-6</v>
      </c>
      <c r="E48150" s="2">
        <v>0</v>
      </c>
      <c r="F48150" s="2">
        <v>6.9077224982350697E-7</v>
      </c>
    </row>
    <row r="48151" spans="1:6" x14ac:dyDescent="0.25">
      <c r="A48151" s="1" t="str">
        <f t="shared" si="1556"/>
        <v>99999</v>
      </c>
      <c r="B48151" s="1" t="str">
        <f>"41559"</f>
        <v>41559</v>
      </c>
      <c r="C48151" s="2">
        <v>1.24500024142178E-5</v>
      </c>
      <c r="D48151" s="2">
        <v>0</v>
      </c>
      <c r="E48151" s="2">
        <v>4.3010567696482999E-6</v>
      </c>
      <c r="F48151" s="2">
        <v>1.14470829970752E-5</v>
      </c>
    </row>
    <row r="48152" spans="1:6" x14ac:dyDescent="0.25">
      <c r="A48152" s="1" t="str">
        <f t="shared" si="1556"/>
        <v>99999</v>
      </c>
      <c r="B48152" s="1" t="str">
        <f>"43974"</f>
        <v>43974</v>
      </c>
      <c r="C48152" s="2">
        <v>3.7891311695445602E-6</v>
      </c>
      <c r="D48152" s="2">
        <v>0</v>
      </c>
      <c r="E48152" s="2">
        <v>4.3010567696482999E-6</v>
      </c>
      <c r="F48152" s="2">
        <v>3.5525429990923199E-6</v>
      </c>
    </row>
    <row r="48153" spans="1:6" x14ac:dyDescent="0.25">
      <c r="A48153" s="1" t="str">
        <f t="shared" si="1556"/>
        <v>99999</v>
      </c>
      <c r="B48153" s="1" t="str">
        <f>"79529"</f>
        <v>79529</v>
      </c>
      <c r="C48153" s="2">
        <v>5.4671749732000101E-5</v>
      </c>
      <c r="D48153" s="2">
        <v>4.9688393544122498E-5</v>
      </c>
      <c r="E48153" s="2">
        <v>1.63440157246635E-4</v>
      </c>
      <c r="F48153" s="2">
        <v>5.68406879854772E-5</v>
      </c>
    </row>
    <row r="48154" spans="1:6" x14ac:dyDescent="0.25">
      <c r="A48154" s="1" t="str">
        <f t="shared" si="1556"/>
        <v>99999</v>
      </c>
      <c r="B48154" s="1" t="str">
        <f>"79545"</f>
        <v>79545</v>
      </c>
      <c r="C48154" s="2">
        <v>1.84043513949307E-6</v>
      </c>
      <c r="D48154" s="2">
        <v>0</v>
      </c>
      <c r="E48154" s="2">
        <v>4.3010567696482999E-6</v>
      </c>
      <c r="F48154" s="2">
        <v>1.77627149954616E-6</v>
      </c>
    </row>
    <row r="48155" spans="1:6" x14ac:dyDescent="0.25">
      <c r="A48155" s="1" t="str">
        <f t="shared" si="1556"/>
        <v>99999</v>
      </c>
      <c r="B48155" s="1" t="str">
        <f>"76426"</f>
        <v>76426</v>
      </c>
      <c r="C48155" s="2">
        <v>1.6455655364879201E-5</v>
      </c>
      <c r="D48155" s="2">
        <v>9.0342533716586405E-6</v>
      </c>
      <c r="E48155" s="2">
        <v>0</v>
      </c>
      <c r="F48155" s="2">
        <v>1.5591716496016299E-5</v>
      </c>
    </row>
    <row r="48156" spans="1:6" x14ac:dyDescent="0.25">
      <c r="A48156" s="1" t="str">
        <f t="shared" si="1556"/>
        <v>99999</v>
      </c>
      <c r="B48156" s="1" t="str">
        <f>"79087"</f>
        <v>79087</v>
      </c>
      <c r="C48156" s="2">
        <v>1.51565246781782E-5</v>
      </c>
      <c r="D48156" s="2">
        <v>0</v>
      </c>
      <c r="E48156" s="2">
        <v>0</v>
      </c>
      <c r="F48156" s="2">
        <v>1.38154449964701E-5</v>
      </c>
    </row>
    <row r="48157" spans="1:6" x14ac:dyDescent="0.25">
      <c r="A48157" s="1" t="str">
        <f t="shared" si="1556"/>
        <v>99999</v>
      </c>
      <c r="B48157" s="1" t="str">
        <f>"75904"</f>
        <v>75904</v>
      </c>
      <c r="C48157" s="2">
        <v>8.6608712446732898E-7</v>
      </c>
      <c r="D48157" s="2">
        <v>3.01141779055288E-6</v>
      </c>
      <c r="E48157" s="2">
        <v>0</v>
      </c>
      <c r="F48157" s="2">
        <v>9.8681749974786791E-7</v>
      </c>
    </row>
    <row r="48158" spans="1:6" x14ac:dyDescent="0.25">
      <c r="A48158" s="1" t="str">
        <f t="shared" si="1556"/>
        <v>99999</v>
      </c>
      <c r="B48158" s="1" t="str">
        <f>"78007"</f>
        <v>78007</v>
      </c>
      <c r="C48158" s="2">
        <v>4.8717400751287203E-6</v>
      </c>
      <c r="D48158" s="2">
        <v>1.35513800574879E-5</v>
      </c>
      <c r="E48158" s="2">
        <v>8.6021135392965999E-6</v>
      </c>
      <c r="F48158" s="2">
        <v>5.52617799858806E-6</v>
      </c>
    </row>
    <row r="48159" spans="1:6" x14ac:dyDescent="0.25">
      <c r="A48159" s="1" t="str">
        <f t="shared" si="1556"/>
        <v>99999</v>
      </c>
      <c r="B48159" s="1" t="str">
        <f>"76653"</f>
        <v>76653</v>
      </c>
      <c r="C48159" s="2">
        <v>5.0124792328546601E-5</v>
      </c>
      <c r="D48159" s="2">
        <v>2.7102760114975901E-5</v>
      </c>
      <c r="E48159" s="2">
        <v>4.3010567696482999E-5</v>
      </c>
      <c r="F48159" s="2">
        <v>4.8452739237620299E-5</v>
      </c>
    </row>
    <row r="48160" spans="1:6" x14ac:dyDescent="0.25">
      <c r="A48160" s="1" t="str">
        <f t="shared" si="1556"/>
        <v>99999</v>
      </c>
      <c r="B48160" s="1" t="str">
        <f>"76621"</f>
        <v>76621</v>
      </c>
      <c r="C48160" s="2">
        <v>5.0449575000221899E-5</v>
      </c>
      <c r="D48160" s="2">
        <v>1.35513800574879E-5</v>
      </c>
      <c r="E48160" s="2">
        <v>4.3010567696482999E-6</v>
      </c>
      <c r="F48160" s="2">
        <v>4.6972512987998499E-5</v>
      </c>
    </row>
    <row r="48161" spans="1:6" x14ac:dyDescent="0.25">
      <c r="A48161" s="1" t="str">
        <f t="shared" si="1556"/>
        <v>99999</v>
      </c>
      <c r="B48161" s="1" t="str">
        <f>"78950"</f>
        <v>78950</v>
      </c>
      <c r="C48161" s="2">
        <v>5.0557835890780303E-5</v>
      </c>
      <c r="D48161" s="2">
        <v>1.65627978480408E-5</v>
      </c>
      <c r="E48161" s="2">
        <v>0</v>
      </c>
      <c r="F48161" s="2">
        <v>4.7169876487947998E-5</v>
      </c>
    </row>
    <row r="48162" spans="1:6" x14ac:dyDescent="0.25">
      <c r="A48162" s="1" t="str">
        <f t="shared" si="1556"/>
        <v>99999</v>
      </c>
      <c r="B48162" s="1" t="str">
        <f>"81045"</f>
        <v>81045</v>
      </c>
      <c r="C48162" s="2">
        <v>6.9286969957386301E-6</v>
      </c>
      <c r="D48162" s="2">
        <v>0</v>
      </c>
      <c r="E48162" s="2">
        <v>4.3010567696482999E-6</v>
      </c>
      <c r="F48162" s="2">
        <v>6.4143137483611402E-6</v>
      </c>
    </row>
    <row r="48163" spans="1:6" x14ac:dyDescent="0.25">
      <c r="A48163" s="1" t="str">
        <f t="shared" si="1556"/>
        <v>99999</v>
      </c>
      <c r="B48163" s="1" t="str">
        <f>"83272"</f>
        <v>83272</v>
      </c>
      <c r="C48163" s="2">
        <v>1.18004370708673E-5</v>
      </c>
      <c r="D48163" s="2">
        <v>7.5285444763821999E-6</v>
      </c>
      <c r="E48163" s="2">
        <v>4.3010567696482999E-6</v>
      </c>
      <c r="F48163" s="2">
        <v>1.1348401247100399E-5</v>
      </c>
    </row>
    <row r="48164" spans="1:6" x14ac:dyDescent="0.25">
      <c r="A48164" s="1" t="str">
        <f t="shared" si="1556"/>
        <v>99999</v>
      </c>
      <c r="B48164" s="1" t="str">
        <f>"82423"</f>
        <v>82423</v>
      </c>
      <c r="C48164" s="2">
        <v>1.0284784603049499E-5</v>
      </c>
      <c r="D48164" s="2">
        <v>0</v>
      </c>
      <c r="E48164" s="2">
        <v>4.3010567696482999E-6</v>
      </c>
      <c r="F48164" s="2">
        <v>9.4734479975795299E-6</v>
      </c>
    </row>
    <row r="48165" spans="1:6" x14ac:dyDescent="0.25">
      <c r="A48165" s="1" t="str">
        <f t="shared" si="1556"/>
        <v>99999</v>
      </c>
      <c r="B48165" s="1" t="str">
        <f>"84636"</f>
        <v>84636</v>
      </c>
      <c r="C48165" s="2">
        <v>7.5782623390891297E-6</v>
      </c>
      <c r="D48165" s="2">
        <v>6.0228355811057601E-6</v>
      </c>
      <c r="E48165" s="2">
        <v>4.3010567696482999E-6</v>
      </c>
      <c r="F48165" s="2">
        <v>7.4011312481090098E-6</v>
      </c>
    </row>
    <row r="48166" spans="1:6" x14ac:dyDescent="0.25">
      <c r="A48166" s="1" t="str">
        <f t="shared" si="1556"/>
        <v>99999</v>
      </c>
      <c r="B48166" s="1" t="str">
        <f>"84536"</f>
        <v>84536</v>
      </c>
      <c r="C48166" s="2">
        <v>2.2734787017267302E-6</v>
      </c>
      <c r="D48166" s="2">
        <v>3.01141779055288E-6</v>
      </c>
      <c r="E48166" s="2">
        <v>4.3010567696482999E-6</v>
      </c>
      <c r="F48166" s="2">
        <v>2.3683619993948799E-6</v>
      </c>
    </row>
    <row r="48167" spans="1:6" x14ac:dyDescent="0.25">
      <c r="A48167" s="1" t="str">
        <f t="shared" si="1556"/>
        <v>99999</v>
      </c>
      <c r="B48167" s="1" t="str">
        <f>"88427"</f>
        <v>88427</v>
      </c>
      <c r="C48167" s="2">
        <v>9.7434801502574508E-6</v>
      </c>
      <c r="D48167" s="2">
        <v>6.0228355811057601E-6</v>
      </c>
      <c r="E48167" s="2">
        <v>4.3010567696482999E-6</v>
      </c>
      <c r="F48167" s="2">
        <v>9.3747662476047397E-6</v>
      </c>
    </row>
    <row r="48168" spans="1:6" x14ac:dyDescent="0.25">
      <c r="A48168" s="1" t="str">
        <f t="shared" si="1556"/>
        <v>99999</v>
      </c>
      <c r="B48168" s="1" t="str">
        <f>"87743"</f>
        <v>87743</v>
      </c>
      <c r="C48168" s="2">
        <v>1.09343499464E-5</v>
      </c>
      <c r="D48168" s="2">
        <v>0</v>
      </c>
      <c r="E48168" s="2">
        <v>4.3010567696482999E-6</v>
      </c>
      <c r="F48168" s="2">
        <v>1.00655384974282E-5</v>
      </c>
    </row>
    <row r="48169" spans="1:6" x14ac:dyDescent="0.25">
      <c r="A48169" s="1" t="str">
        <f t="shared" si="1556"/>
        <v>99999</v>
      </c>
      <c r="B48169" s="1" t="str">
        <f>"97736"</f>
        <v>97736</v>
      </c>
      <c r="C48169" s="2">
        <v>7.5782623390891297E-6</v>
      </c>
      <c r="D48169" s="2">
        <v>6.0228355811057601E-6</v>
      </c>
      <c r="E48169" s="2">
        <v>4.3010567696482999E-6</v>
      </c>
      <c r="F48169" s="2">
        <v>7.4011312481090098E-6</v>
      </c>
    </row>
    <row r="48170" spans="1:6" x14ac:dyDescent="0.25">
      <c r="A48170" s="1" t="str">
        <f t="shared" si="1556"/>
        <v>99999</v>
      </c>
      <c r="B48170" s="1" t="str">
        <f>"97750"</f>
        <v>97750</v>
      </c>
      <c r="C48170" s="2">
        <v>3.2911310729758503E-5</v>
      </c>
      <c r="D48170" s="2">
        <v>9.0342533716586405E-6</v>
      </c>
      <c r="E48170" s="2">
        <v>4.3010567696482999E-6</v>
      </c>
      <c r="F48170" s="2">
        <v>3.06900242421586E-5</v>
      </c>
    </row>
    <row r="48171" spans="1:6" x14ac:dyDescent="0.25">
      <c r="A48171" s="1" t="str">
        <f t="shared" si="1556"/>
        <v>99999</v>
      </c>
      <c r="B48171" s="1" t="str">
        <f>"97884"</f>
        <v>97884</v>
      </c>
      <c r="C48171" s="2">
        <v>1.15839152897505E-5</v>
      </c>
      <c r="D48171" s="2">
        <v>0</v>
      </c>
      <c r="E48171" s="2">
        <v>1.29031703089449E-5</v>
      </c>
      <c r="F48171" s="2">
        <v>1.08549924972265E-5</v>
      </c>
    </row>
    <row r="48172" spans="1:6" x14ac:dyDescent="0.25">
      <c r="A48172" s="1" t="str">
        <f t="shared" si="1556"/>
        <v>99999</v>
      </c>
      <c r="B48172" s="1" t="str">
        <f>"99103"</f>
        <v>99103</v>
      </c>
      <c r="C48172" s="2">
        <v>1.76465251610218E-5</v>
      </c>
      <c r="D48172" s="2">
        <v>1.50570889527644E-6</v>
      </c>
      <c r="E48172" s="2">
        <v>2.0214966817347E-4</v>
      </c>
      <c r="F48172" s="2">
        <v>2.082184924468E-5</v>
      </c>
    </row>
    <row r="48173" spans="1:6" x14ac:dyDescent="0.25">
      <c r="A48173" s="1" t="str">
        <f t="shared" si="1556"/>
        <v>99999</v>
      </c>
      <c r="B48173" s="1" t="str">
        <f>"13353"</f>
        <v>13353</v>
      </c>
      <c r="C48173" s="2">
        <v>2.8147831545188202E-6</v>
      </c>
      <c r="D48173" s="2">
        <v>0</v>
      </c>
      <c r="E48173" s="2">
        <v>4.3010567696482999E-6</v>
      </c>
      <c r="F48173" s="2">
        <v>2.6644072493192401E-6</v>
      </c>
    </row>
    <row r="48174" spans="1:6" x14ac:dyDescent="0.25">
      <c r="A48174" s="1" t="str">
        <f t="shared" si="1556"/>
        <v>99999</v>
      </c>
      <c r="B48174" s="1" t="str">
        <f>"17729"</f>
        <v>17729</v>
      </c>
      <c r="C48174" s="2">
        <v>2.2734787017267302E-6</v>
      </c>
      <c r="D48174" s="2">
        <v>9.0342533716586405E-6</v>
      </c>
      <c r="E48174" s="2">
        <v>0</v>
      </c>
      <c r="F48174" s="2">
        <v>2.6644072493192401E-6</v>
      </c>
    </row>
    <row r="48175" spans="1:6" x14ac:dyDescent="0.25">
      <c r="A48175" s="1" t="str">
        <f t="shared" si="1556"/>
        <v>99999</v>
      </c>
      <c r="B48175" s="1" t="str">
        <f>"18828"</f>
        <v>18828</v>
      </c>
      <c r="C48175" s="2">
        <v>1.6563916255437601E-5</v>
      </c>
      <c r="D48175" s="2">
        <v>1.0539962266935E-5</v>
      </c>
      <c r="E48175" s="2">
        <v>4.3010567696482999E-5</v>
      </c>
      <c r="F48175" s="2">
        <v>1.6775897495713701E-5</v>
      </c>
    </row>
    <row r="48176" spans="1:6" x14ac:dyDescent="0.25">
      <c r="A48176" s="1" t="str">
        <f t="shared" si="1556"/>
        <v>99999</v>
      </c>
      <c r="B48176" s="1" t="str">
        <f>"21522"</f>
        <v>21522</v>
      </c>
      <c r="C48176" s="2">
        <v>0</v>
      </c>
      <c r="D48176" s="2">
        <v>1.50570889527644E-6</v>
      </c>
      <c r="E48176" s="2">
        <v>0</v>
      </c>
      <c r="F48176" s="2">
        <v>9.8681749974786797E-8</v>
      </c>
    </row>
    <row r="48177" spans="1:6" x14ac:dyDescent="0.25">
      <c r="A48177" s="1" t="str">
        <f t="shared" si="1556"/>
        <v>99999</v>
      </c>
      <c r="B48177" s="1" t="str">
        <f>"23032"</f>
        <v>23032</v>
      </c>
      <c r="C48177" s="2">
        <v>9.6352192596990302E-6</v>
      </c>
      <c r="D48177" s="2">
        <v>3.01141779055288E-6</v>
      </c>
      <c r="E48177" s="2">
        <v>1.29031703089449E-5</v>
      </c>
      <c r="F48177" s="2">
        <v>9.2760844976299596E-6</v>
      </c>
    </row>
    <row r="48178" spans="1:6" x14ac:dyDescent="0.25">
      <c r="A48178" s="1" t="str">
        <f t="shared" si="1556"/>
        <v>99999</v>
      </c>
      <c r="B48178" s="1" t="str">
        <f>"24603"</f>
        <v>24603</v>
      </c>
      <c r="C48178" s="2">
        <v>2.74982662018377E-5</v>
      </c>
      <c r="D48178" s="2">
        <v>7.5285444763821999E-6</v>
      </c>
      <c r="E48178" s="2">
        <v>0</v>
      </c>
      <c r="F48178" s="2">
        <v>2.5558573243469699E-5</v>
      </c>
    </row>
    <row r="48179" spans="1:6" x14ac:dyDescent="0.25">
      <c r="A48179" s="1" t="str">
        <f t="shared" si="1556"/>
        <v>99999</v>
      </c>
      <c r="B48179" s="1" t="str">
        <f>"27537"</f>
        <v>27537</v>
      </c>
      <c r="C48179" s="2">
        <v>2.1327395440007902E-5</v>
      </c>
      <c r="D48179" s="2">
        <v>7.5285444763821999E-6</v>
      </c>
      <c r="E48179" s="2">
        <v>4.3010567696482999E-6</v>
      </c>
      <c r="F48179" s="2">
        <v>2.0032395244881699E-5</v>
      </c>
    </row>
    <row r="48180" spans="1:6" x14ac:dyDescent="0.25">
      <c r="A48180" s="1" t="str">
        <f t="shared" si="1556"/>
        <v>99999</v>
      </c>
      <c r="B48180" s="1" t="str">
        <f>"30633"</f>
        <v>30633</v>
      </c>
      <c r="C48180" s="2">
        <v>8.4443494635564601E-6</v>
      </c>
      <c r="D48180" s="2">
        <v>0</v>
      </c>
      <c r="E48180" s="2">
        <v>0</v>
      </c>
      <c r="F48180" s="2">
        <v>7.6971764980333696E-6</v>
      </c>
    </row>
    <row r="48181" spans="1:6" x14ac:dyDescent="0.25">
      <c r="A48181" s="1" t="str">
        <f t="shared" si="1556"/>
        <v>99999</v>
      </c>
      <c r="B48181" s="1" t="str">
        <f>"36477"</f>
        <v>36477</v>
      </c>
      <c r="C48181" s="2">
        <v>6.49565343350497E-7</v>
      </c>
      <c r="D48181" s="2">
        <v>1.50570889527644E-6</v>
      </c>
      <c r="E48181" s="2">
        <v>0</v>
      </c>
      <c r="F48181" s="2">
        <v>6.9077224982350697E-7</v>
      </c>
    </row>
    <row r="48182" spans="1:6" x14ac:dyDescent="0.25">
      <c r="A48182" s="1" t="str">
        <f t="shared" si="1556"/>
        <v>99999</v>
      </c>
      <c r="B48182" s="1" t="str">
        <f>"41714"</f>
        <v>41714</v>
      </c>
      <c r="C48182" s="2">
        <v>7.2534796674138799E-6</v>
      </c>
      <c r="D48182" s="2">
        <v>0</v>
      </c>
      <c r="E48182" s="2">
        <v>4.3010567696482999E-6</v>
      </c>
      <c r="F48182" s="2">
        <v>6.7103589982854999E-6</v>
      </c>
    </row>
    <row r="48183" spans="1:6" x14ac:dyDescent="0.25">
      <c r="A48183" s="1" t="str">
        <f t="shared" si="1556"/>
        <v>99999</v>
      </c>
      <c r="B48183" s="1" t="str">
        <f>"47929"</f>
        <v>47929</v>
      </c>
      <c r="C48183" s="2">
        <v>2.7065222639604001E-5</v>
      </c>
      <c r="D48183" s="2">
        <v>1.0539962266935E-5</v>
      </c>
      <c r="E48183" s="2">
        <v>3.01073973875381E-5</v>
      </c>
      <c r="F48183" s="2">
        <v>2.6051981993343701E-5</v>
      </c>
    </row>
    <row r="48184" spans="1:6" x14ac:dyDescent="0.25">
      <c r="A48184" s="1" t="str">
        <f t="shared" si="1556"/>
        <v>99999</v>
      </c>
      <c r="B48184" s="1" t="str">
        <f>"49601"</f>
        <v>49601</v>
      </c>
      <c r="C48184" s="2">
        <v>1.4073915772594101E-6</v>
      </c>
      <c r="D48184" s="2">
        <v>0</v>
      </c>
      <c r="E48184" s="2">
        <v>0</v>
      </c>
      <c r="F48184" s="2">
        <v>1.2828627496722201E-6</v>
      </c>
    </row>
    <row r="48185" spans="1:6" x14ac:dyDescent="0.25">
      <c r="A48185" s="1" t="str">
        <f t="shared" si="1556"/>
        <v>99999</v>
      </c>
      <c r="B48185" s="1" t="str">
        <f>"50835"</f>
        <v>50835</v>
      </c>
      <c r="C48185" s="2">
        <v>3.8973920601029803E-6</v>
      </c>
      <c r="D48185" s="2">
        <v>4.5171266858293203E-6</v>
      </c>
      <c r="E48185" s="2">
        <v>4.3010567696482999E-6</v>
      </c>
      <c r="F48185" s="2">
        <v>3.94726999899147E-6</v>
      </c>
    </row>
    <row r="48186" spans="1:6" x14ac:dyDescent="0.25">
      <c r="A48186" s="1" t="str">
        <f t="shared" si="1556"/>
        <v>99999</v>
      </c>
      <c r="B48186" s="1" t="str">
        <f>"50567"</f>
        <v>50567</v>
      </c>
      <c r="C48186" s="2">
        <v>1.24500024142178E-5</v>
      </c>
      <c r="D48186" s="2">
        <v>1.50570889527644E-6</v>
      </c>
      <c r="E48186" s="2">
        <v>4.3010567696482999E-6</v>
      </c>
      <c r="F48186" s="2">
        <v>1.154576474705E-5</v>
      </c>
    </row>
    <row r="48187" spans="1:6" x14ac:dyDescent="0.25">
      <c r="A48187" s="1" t="str">
        <f t="shared" si="1556"/>
        <v>99999</v>
      </c>
      <c r="B48187" s="1" t="str">
        <f>"50106"</f>
        <v>50106</v>
      </c>
      <c r="C48187" s="2">
        <v>5.6295663090376404E-6</v>
      </c>
      <c r="D48187" s="2">
        <v>0</v>
      </c>
      <c r="E48187" s="2">
        <v>0</v>
      </c>
      <c r="F48187" s="2">
        <v>5.1314509986889099E-6</v>
      </c>
    </row>
    <row r="48188" spans="1:6" x14ac:dyDescent="0.25">
      <c r="A48188" s="1" t="str">
        <f t="shared" si="1556"/>
        <v>99999</v>
      </c>
      <c r="B48188" s="1" t="str">
        <f>"49970"</f>
        <v>49970</v>
      </c>
      <c r="C48188" s="2">
        <v>1.7213481598788101E-5</v>
      </c>
      <c r="D48188" s="2">
        <v>1.50570889527644E-6</v>
      </c>
      <c r="E48188" s="2">
        <v>4.3010567696482999E-6</v>
      </c>
      <c r="F48188" s="2">
        <v>1.5887761745940599E-5</v>
      </c>
    </row>
    <row r="48189" spans="1:6" x14ac:dyDescent="0.25">
      <c r="A48189" s="1" t="str">
        <f t="shared" si="1556"/>
        <v>99999</v>
      </c>
      <c r="B48189" s="1" t="str">
        <f>"52140"</f>
        <v>52140</v>
      </c>
      <c r="C48189" s="2">
        <v>3.0421310246914899E-5</v>
      </c>
      <c r="D48189" s="2">
        <v>7.5285444763821999E-6</v>
      </c>
      <c r="E48189" s="2">
        <v>0</v>
      </c>
      <c r="F48189" s="2">
        <v>2.8222980492788999E-5</v>
      </c>
    </row>
    <row r="48190" spans="1:6" x14ac:dyDescent="0.25">
      <c r="A48190" s="1" t="str">
        <f t="shared" si="1556"/>
        <v>99999</v>
      </c>
      <c r="B48190" s="1" t="str">
        <f>"61044"</f>
        <v>61044</v>
      </c>
      <c r="C48190" s="2">
        <v>3.3560876073109E-6</v>
      </c>
      <c r="D48190" s="2">
        <v>1.50570889527644E-6</v>
      </c>
      <c r="E48190" s="2">
        <v>0</v>
      </c>
      <c r="F48190" s="2">
        <v>3.1578159991931699E-6</v>
      </c>
    </row>
    <row r="48191" spans="1:6" x14ac:dyDescent="0.25">
      <c r="A48191" s="1" t="str">
        <f t="shared" si="1556"/>
        <v>99999</v>
      </c>
      <c r="B48191" s="1" t="str">
        <f>"57214"</f>
        <v>57214</v>
      </c>
      <c r="C48191" s="2">
        <v>6.49565343350497E-6</v>
      </c>
      <c r="D48191" s="2">
        <v>1.50570889527644E-6</v>
      </c>
      <c r="E48191" s="2">
        <v>4.3010567696482999E-6</v>
      </c>
      <c r="F48191" s="2">
        <v>6.1182684984367804E-6</v>
      </c>
    </row>
    <row r="48192" spans="1:6" x14ac:dyDescent="0.25">
      <c r="A48192" s="1" t="str">
        <f t="shared" si="1556"/>
        <v>99999</v>
      </c>
      <c r="B48192" s="1" t="str">
        <f>"57382"</f>
        <v>57382</v>
      </c>
      <c r="C48192" s="2">
        <v>2.59826137340198E-6</v>
      </c>
      <c r="D48192" s="2">
        <v>0</v>
      </c>
      <c r="E48192" s="2">
        <v>4.3010567696482999E-6</v>
      </c>
      <c r="F48192" s="2">
        <v>2.4670437493696702E-6</v>
      </c>
    </row>
    <row r="48193" spans="1:6" x14ac:dyDescent="0.25">
      <c r="A48193" s="1" t="str">
        <f t="shared" si="1556"/>
        <v>99999</v>
      </c>
      <c r="B48193" s="1" t="str">
        <f>"58528"</f>
        <v>58528</v>
      </c>
      <c r="C48193" s="2">
        <v>4.3304356223366396E-6</v>
      </c>
      <c r="D48193" s="2">
        <v>3.01141779055288E-6</v>
      </c>
      <c r="E48193" s="2">
        <v>4.3010567696482999E-6</v>
      </c>
      <c r="F48193" s="2">
        <v>4.2433152489158297E-6</v>
      </c>
    </row>
    <row r="48194" spans="1:6" x14ac:dyDescent="0.25">
      <c r="A48194" s="1" t="str">
        <f t="shared" si="1556"/>
        <v>99999</v>
      </c>
      <c r="B48194" s="1" t="str">
        <f>"59039"</f>
        <v>59039</v>
      </c>
      <c r="C48194" s="2">
        <v>2.59826137340198E-6</v>
      </c>
      <c r="D48194" s="2">
        <v>0</v>
      </c>
      <c r="E48194" s="2">
        <v>8.6021135392965999E-6</v>
      </c>
      <c r="F48194" s="2">
        <v>2.5657254993444499E-6</v>
      </c>
    </row>
    <row r="48195" spans="1:6" x14ac:dyDescent="0.25">
      <c r="A48195" s="1" t="str">
        <f t="shared" si="1556"/>
        <v>99999</v>
      </c>
      <c r="B48195" s="1" t="str">
        <f>"59069"</f>
        <v>59069</v>
      </c>
      <c r="C48195" s="2">
        <v>9.96000193137428E-6</v>
      </c>
      <c r="D48195" s="2">
        <v>0</v>
      </c>
      <c r="E48195" s="2">
        <v>4.3010567696482999E-6</v>
      </c>
      <c r="F48195" s="2">
        <v>9.1774027476551693E-6</v>
      </c>
    </row>
    <row r="48196" spans="1:6" x14ac:dyDescent="0.25">
      <c r="A48196" s="1" t="str">
        <f t="shared" si="1556"/>
        <v>99999</v>
      </c>
      <c r="B48196" s="1" t="str">
        <f>"59211"</f>
        <v>59211</v>
      </c>
      <c r="C48196" s="2">
        <v>1.14756543991921E-5</v>
      </c>
      <c r="D48196" s="2">
        <v>0</v>
      </c>
      <c r="E48196" s="2">
        <v>1.29031703089449E-5</v>
      </c>
      <c r="F48196" s="2">
        <v>1.07563107472517E-5</v>
      </c>
    </row>
    <row r="48197" spans="1:6" x14ac:dyDescent="0.25">
      <c r="A48197" s="1" t="str">
        <f t="shared" si="1556"/>
        <v>99999</v>
      </c>
      <c r="B48197" s="1" t="str">
        <f>"59643"</f>
        <v>59643</v>
      </c>
      <c r="C48197" s="2">
        <v>2.8039570654629701E-5</v>
      </c>
      <c r="D48197" s="2">
        <v>2.4091342324423E-5</v>
      </c>
      <c r="E48197" s="2">
        <v>8.6021135392965999E-6</v>
      </c>
      <c r="F48197" s="2">
        <v>2.73348447430159E-5</v>
      </c>
    </row>
    <row r="48198" spans="1:6" x14ac:dyDescent="0.25">
      <c r="A48198" s="1" t="str">
        <f t="shared" ref="A48198:A48261" si="1557">"99999"</f>
        <v>99999</v>
      </c>
      <c r="B48198" s="1" t="str">
        <f>"61745"</f>
        <v>61745</v>
      </c>
      <c r="C48198" s="2">
        <v>7.2534796674138799E-6</v>
      </c>
      <c r="D48198" s="2">
        <v>1.50570889527644E-6</v>
      </c>
      <c r="E48198" s="2">
        <v>0</v>
      </c>
      <c r="F48198" s="2">
        <v>6.7103589982854999E-6</v>
      </c>
    </row>
    <row r="48199" spans="1:6" x14ac:dyDescent="0.25">
      <c r="A48199" s="1" t="str">
        <f t="shared" si="1557"/>
        <v>99999</v>
      </c>
      <c r="B48199" s="1" t="str">
        <f>"65081"</f>
        <v>65081</v>
      </c>
      <c r="C48199" s="2">
        <v>5.4130445279208001E-6</v>
      </c>
      <c r="D48199" s="2">
        <v>0</v>
      </c>
      <c r="E48199" s="2">
        <v>0</v>
      </c>
      <c r="F48199" s="2">
        <v>4.9340874987393404E-6</v>
      </c>
    </row>
    <row r="48200" spans="1:6" x14ac:dyDescent="0.25">
      <c r="A48200" s="1" t="str">
        <f t="shared" si="1557"/>
        <v>99999</v>
      </c>
      <c r="B48200" s="1" t="str">
        <f>"65548"</f>
        <v>65548</v>
      </c>
      <c r="C48200" s="2">
        <v>1.0284784603049499E-5</v>
      </c>
      <c r="D48200" s="2">
        <v>1.50570889527644E-6</v>
      </c>
      <c r="E48200" s="2">
        <v>0</v>
      </c>
      <c r="F48200" s="2">
        <v>9.4734479975795299E-6</v>
      </c>
    </row>
    <row r="48201" spans="1:6" x14ac:dyDescent="0.25">
      <c r="A48201" s="1" t="str">
        <f t="shared" si="1557"/>
        <v>99999</v>
      </c>
      <c r="B48201" s="1" t="str">
        <f>"67109"</f>
        <v>67109</v>
      </c>
      <c r="C48201" s="2">
        <v>2.1760439002241601E-5</v>
      </c>
      <c r="D48201" s="2">
        <v>1.80685067433172E-5</v>
      </c>
      <c r="E48201" s="2">
        <v>4.3010567696482999E-6</v>
      </c>
      <c r="F48201" s="2">
        <v>2.11178944946043E-5</v>
      </c>
    </row>
    <row r="48202" spans="1:6" x14ac:dyDescent="0.25">
      <c r="A48202" s="1" t="str">
        <f t="shared" si="1557"/>
        <v>99999</v>
      </c>
      <c r="B48202" s="1" t="str">
        <f>"67744"</f>
        <v>67744</v>
      </c>
      <c r="C48202" s="2">
        <v>1.42904375537109E-5</v>
      </c>
      <c r="D48202" s="2">
        <v>6.0228355811057601E-6</v>
      </c>
      <c r="E48202" s="2">
        <v>0</v>
      </c>
      <c r="F48202" s="2">
        <v>1.3420717996571E-5</v>
      </c>
    </row>
    <row r="48203" spans="1:6" x14ac:dyDescent="0.25">
      <c r="A48203" s="1" t="str">
        <f t="shared" si="1557"/>
        <v>99999</v>
      </c>
      <c r="B48203" s="1" t="str">
        <f>"68981"</f>
        <v>68981</v>
      </c>
      <c r="C48203" s="2">
        <v>1.15839152897505E-5</v>
      </c>
      <c r="D48203" s="2">
        <v>0</v>
      </c>
      <c r="E48203" s="2">
        <v>4.3010567696482999E-6</v>
      </c>
      <c r="F48203" s="2">
        <v>1.06576289972769E-5</v>
      </c>
    </row>
    <row r="48204" spans="1:6" x14ac:dyDescent="0.25">
      <c r="A48204" s="1" t="str">
        <f t="shared" si="1557"/>
        <v>99999</v>
      </c>
      <c r="B48204" s="1" t="str">
        <f>"71748"</f>
        <v>71748</v>
      </c>
      <c r="C48204" s="2">
        <v>4.3304356223366396E-6</v>
      </c>
      <c r="D48204" s="2">
        <v>0</v>
      </c>
      <c r="E48204" s="2">
        <v>4.3010567696482999E-6</v>
      </c>
      <c r="F48204" s="2">
        <v>4.0459517489662501E-6</v>
      </c>
    </row>
    <row r="48205" spans="1:6" x14ac:dyDescent="0.25">
      <c r="A48205" s="1" t="str">
        <f t="shared" si="1557"/>
        <v>99999</v>
      </c>
      <c r="B48205" s="1" t="str">
        <f>"73401"</f>
        <v>73401</v>
      </c>
      <c r="C48205" s="2">
        <v>6.6039143240633804E-6</v>
      </c>
      <c r="D48205" s="2">
        <v>0</v>
      </c>
      <c r="E48205" s="2">
        <v>0</v>
      </c>
      <c r="F48205" s="2">
        <v>6.0195867484619901E-6</v>
      </c>
    </row>
    <row r="48206" spans="1:6" x14ac:dyDescent="0.25">
      <c r="A48206" s="1" t="str">
        <f t="shared" si="1557"/>
        <v>99999</v>
      </c>
      <c r="B48206" s="1" t="str">
        <f>"80498"</f>
        <v>80498</v>
      </c>
      <c r="C48206" s="2">
        <v>1.50482637876198E-5</v>
      </c>
      <c r="D48206" s="2">
        <v>0</v>
      </c>
      <c r="E48206" s="2">
        <v>8.6021135392965999E-6</v>
      </c>
      <c r="F48206" s="2">
        <v>1.39141267464449E-5</v>
      </c>
    </row>
    <row r="48207" spans="1:6" x14ac:dyDescent="0.25">
      <c r="A48207" s="1" t="str">
        <f t="shared" si="1557"/>
        <v>99999</v>
      </c>
      <c r="B48207" s="1" t="str">
        <f>"96014"</f>
        <v>96014</v>
      </c>
      <c r="C48207" s="2">
        <v>9.96000193137428E-6</v>
      </c>
      <c r="D48207" s="2">
        <v>1.50570889527644E-6</v>
      </c>
      <c r="E48207" s="2">
        <v>1.29031703089449E-5</v>
      </c>
      <c r="F48207" s="2">
        <v>9.4734479975795299E-6</v>
      </c>
    </row>
    <row r="48208" spans="1:6" x14ac:dyDescent="0.25">
      <c r="A48208" s="1" t="str">
        <f t="shared" si="1557"/>
        <v>99999</v>
      </c>
      <c r="B48208" s="1" t="str">
        <f>"83827"</f>
        <v>83827</v>
      </c>
      <c r="C48208" s="2">
        <v>3.2478267167524802E-7</v>
      </c>
      <c r="D48208" s="2">
        <v>1.50570889527644E-6</v>
      </c>
      <c r="E48208" s="2">
        <v>2.0645072494311799E-4</v>
      </c>
      <c r="F48208" s="2">
        <v>5.1314509986889099E-6</v>
      </c>
    </row>
    <row r="48209" spans="1:6" x14ac:dyDescent="0.25">
      <c r="A48209" s="1" t="str">
        <f t="shared" si="1557"/>
        <v>99999</v>
      </c>
      <c r="B48209" s="1" t="str">
        <f>"99781"</f>
        <v>99781</v>
      </c>
      <c r="C48209" s="2">
        <v>2.1652178111683201E-7</v>
      </c>
      <c r="D48209" s="2">
        <v>0</v>
      </c>
      <c r="E48209" s="2">
        <v>4.3010567696482999E-6</v>
      </c>
      <c r="F48209" s="2">
        <v>2.9604524992435999E-7</v>
      </c>
    </row>
    <row r="48210" spans="1:6" x14ac:dyDescent="0.25">
      <c r="A48210" s="1" t="str">
        <f t="shared" si="1557"/>
        <v>99999</v>
      </c>
      <c r="B48210" s="1" t="str">
        <f>"12989"</f>
        <v>12989</v>
      </c>
      <c r="C48210" s="2">
        <v>1.29913068670099E-6</v>
      </c>
      <c r="D48210" s="2">
        <v>0</v>
      </c>
      <c r="E48210" s="2">
        <v>0</v>
      </c>
      <c r="F48210" s="2">
        <v>1.18418099969744E-6</v>
      </c>
    </row>
    <row r="48211" spans="1:6" x14ac:dyDescent="0.25">
      <c r="A48211" s="1" t="str">
        <f t="shared" si="1557"/>
        <v>99999</v>
      </c>
      <c r="B48211" s="1" t="str">
        <f>"14054"</f>
        <v>14054</v>
      </c>
      <c r="C48211" s="2">
        <v>1.62391335837624E-6</v>
      </c>
      <c r="D48211" s="2">
        <v>1.50570889527644E-6</v>
      </c>
      <c r="E48211" s="2">
        <v>0</v>
      </c>
      <c r="F48211" s="2">
        <v>1.5789079995965801E-6</v>
      </c>
    </row>
    <row r="48212" spans="1:6" x14ac:dyDescent="0.25">
      <c r="A48212" s="1" t="str">
        <f t="shared" si="1557"/>
        <v>99999</v>
      </c>
      <c r="B48212" s="1" t="str">
        <f>"18628"</f>
        <v>18628</v>
      </c>
      <c r="C48212" s="2">
        <v>1.0284784603049499E-5</v>
      </c>
      <c r="D48212" s="2">
        <v>3.01141779055288E-6</v>
      </c>
      <c r="E48212" s="2">
        <v>0</v>
      </c>
      <c r="F48212" s="2">
        <v>9.5721297475543202E-6</v>
      </c>
    </row>
    <row r="48213" spans="1:6" x14ac:dyDescent="0.25">
      <c r="A48213" s="1" t="str">
        <f t="shared" si="1557"/>
        <v>99999</v>
      </c>
      <c r="B48213" s="1" t="str">
        <f>"24459"</f>
        <v>24459</v>
      </c>
      <c r="C48213" s="2">
        <v>3.8973920601029803E-6</v>
      </c>
      <c r="D48213" s="2">
        <v>1.50570889527644E-6</v>
      </c>
      <c r="E48213" s="2">
        <v>0</v>
      </c>
      <c r="F48213" s="2">
        <v>3.6512247490671102E-6</v>
      </c>
    </row>
    <row r="48214" spans="1:6" x14ac:dyDescent="0.25">
      <c r="A48214" s="1" t="str">
        <f t="shared" si="1557"/>
        <v>99999</v>
      </c>
      <c r="B48214" s="1" t="str">
        <f>"35651"</f>
        <v>35651</v>
      </c>
      <c r="C48214" s="2">
        <v>3.2478267167524802E-7</v>
      </c>
      <c r="D48214" s="2">
        <v>0</v>
      </c>
      <c r="E48214" s="2">
        <v>0</v>
      </c>
      <c r="F48214" s="2">
        <v>2.9604524992435999E-7</v>
      </c>
    </row>
    <row r="48215" spans="1:6" x14ac:dyDescent="0.25">
      <c r="A48215" s="1" t="str">
        <f t="shared" si="1557"/>
        <v>99999</v>
      </c>
      <c r="B48215" s="1" t="str">
        <f>"38573"</f>
        <v>38573</v>
      </c>
      <c r="C48215" s="2">
        <v>4.43869651289506E-5</v>
      </c>
      <c r="D48215" s="2">
        <v>1.50570889527644E-5</v>
      </c>
      <c r="E48215" s="2">
        <v>0</v>
      </c>
      <c r="F48215" s="2">
        <v>4.14463349894104E-5</v>
      </c>
    </row>
    <row r="48216" spans="1:6" x14ac:dyDescent="0.25">
      <c r="A48216" s="1" t="str">
        <f t="shared" si="1557"/>
        <v>99999</v>
      </c>
      <c r="B48216" s="1" t="str">
        <f>"43931"</f>
        <v>43931</v>
      </c>
      <c r="C48216" s="2">
        <v>8.7691321352316998E-6</v>
      </c>
      <c r="D48216" s="2">
        <v>0</v>
      </c>
      <c r="E48216" s="2">
        <v>4.3010567696482999E-6</v>
      </c>
      <c r="F48216" s="2">
        <v>8.0919034979325103E-6</v>
      </c>
    </row>
    <row r="48217" spans="1:6" x14ac:dyDescent="0.25">
      <c r="A48217" s="1" t="str">
        <f t="shared" si="1557"/>
        <v>99999</v>
      </c>
      <c r="B48217" s="1" t="str">
        <f>"24565"</f>
        <v>24565</v>
      </c>
      <c r="C48217" s="2">
        <v>7.7947841202059606E-6</v>
      </c>
      <c r="D48217" s="2">
        <v>4.5171266858293203E-6</v>
      </c>
      <c r="E48217" s="2">
        <v>0</v>
      </c>
      <c r="F48217" s="2">
        <v>7.4011312481090098E-6</v>
      </c>
    </row>
    <row r="48218" spans="1:6" x14ac:dyDescent="0.25">
      <c r="A48218" s="1" t="str">
        <f t="shared" si="1557"/>
        <v>99999</v>
      </c>
      <c r="B48218" s="1" t="str">
        <f>"24993"</f>
        <v>24993</v>
      </c>
      <c r="C48218" s="2">
        <v>6.1708707618297202E-6</v>
      </c>
      <c r="D48218" s="2">
        <v>3.01141779055288E-6</v>
      </c>
      <c r="E48218" s="2">
        <v>0</v>
      </c>
      <c r="F48218" s="2">
        <v>5.8222232485124198E-6</v>
      </c>
    </row>
    <row r="48219" spans="1:6" x14ac:dyDescent="0.25">
      <c r="A48219" s="1" t="str">
        <f t="shared" si="1557"/>
        <v>99999</v>
      </c>
      <c r="B48219" s="1" t="str">
        <f>"26210"</f>
        <v>26210</v>
      </c>
      <c r="C48219" s="2">
        <v>4.3304356223366396E-6</v>
      </c>
      <c r="D48219" s="2">
        <v>4.5171266858293203E-6</v>
      </c>
      <c r="E48219" s="2">
        <v>0</v>
      </c>
      <c r="F48219" s="2">
        <v>4.2433152489158297E-6</v>
      </c>
    </row>
    <row r="48220" spans="1:6" x14ac:dyDescent="0.25">
      <c r="A48220" s="1" t="str">
        <f t="shared" si="1557"/>
        <v>99999</v>
      </c>
      <c r="B48220" s="1" t="str">
        <f>"26720"</f>
        <v>26720</v>
      </c>
      <c r="C48220" s="2">
        <v>7.0369578862970498E-6</v>
      </c>
      <c r="D48220" s="2">
        <v>6.0228355811057601E-6</v>
      </c>
      <c r="E48220" s="2">
        <v>0</v>
      </c>
      <c r="F48220" s="2">
        <v>6.8090407482602902E-6</v>
      </c>
    </row>
    <row r="48221" spans="1:6" x14ac:dyDescent="0.25">
      <c r="A48221" s="1" t="str">
        <f t="shared" si="1557"/>
        <v>99999</v>
      </c>
      <c r="B48221" s="1" t="str">
        <f>"27942"</f>
        <v>27942</v>
      </c>
      <c r="C48221" s="2">
        <v>3.3669136963667403E-5</v>
      </c>
      <c r="D48221" s="2">
        <v>1.35513800574879E-5</v>
      </c>
      <c r="E48221" s="2">
        <v>0</v>
      </c>
      <c r="F48221" s="2">
        <v>3.1578159991931699E-5</v>
      </c>
    </row>
    <row r="48222" spans="1:6" x14ac:dyDescent="0.25">
      <c r="A48222" s="1" t="str">
        <f t="shared" si="1557"/>
        <v>99999</v>
      </c>
      <c r="B48222" s="1" t="str">
        <f>"31096"</f>
        <v>31096</v>
      </c>
      <c r="C48222" s="2">
        <v>1.0284784603049499E-5</v>
      </c>
      <c r="D48222" s="2">
        <v>3.01141779055288E-6</v>
      </c>
      <c r="E48222" s="2">
        <v>8.6021135392965999E-6</v>
      </c>
      <c r="F48222" s="2">
        <v>9.7694932475038906E-6</v>
      </c>
    </row>
    <row r="48223" spans="1:6" x14ac:dyDescent="0.25">
      <c r="A48223" s="1" t="str">
        <f t="shared" si="1557"/>
        <v>99999</v>
      </c>
      <c r="B48223" s="1" t="str">
        <f>"35460"</f>
        <v>35460</v>
      </c>
      <c r="C48223" s="2">
        <v>2.23017434550337E-5</v>
      </c>
      <c r="D48223" s="2">
        <v>1.20456711622115E-5</v>
      </c>
      <c r="E48223" s="2">
        <v>0</v>
      </c>
      <c r="F48223" s="2">
        <v>2.11178944946043E-5</v>
      </c>
    </row>
    <row r="48224" spans="1:6" x14ac:dyDescent="0.25">
      <c r="A48224" s="1" t="str">
        <f t="shared" si="1557"/>
        <v>99999</v>
      </c>
      <c r="B48224" s="1" t="str">
        <f>"36773"</f>
        <v>36773</v>
      </c>
      <c r="C48224" s="2">
        <v>7.3617405579722903E-6</v>
      </c>
      <c r="D48224" s="2">
        <v>0</v>
      </c>
      <c r="E48224" s="2">
        <v>0</v>
      </c>
      <c r="F48224" s="2">
        <v>6.7103589982854999E-6</v>
      </c>
    </row>
    <row r="48225" spans="1:6" x14ac:dyDescent="0.25">
      <c r="A48225" s="1" t="str">
        <f t="shared" si="1557"/>
        <v>99999</v>
      </c>
      <c r="B48225" s="1" t="str">
        <f>"38459"</f>
        <v>38459</v>
      </c>
      <c r="C48225" s="2">
        <v>2.68487008584872E-5</v>
      </c>
      <c r="D48225" s="2">
        <v>7.5285444763821999E-6</v>
      </c>
      <c r="E48225" s="2">
        <v>0</v>
      </c>
      <c r="F48225" s="2">
        <v>2.4966482743620998E-5</v>
      </c>
    </row>
    <row r="48226" spans="1:6" x14ac:dyDescent="0.25">
      <c r="A48226" s="1" t="str">
        <f t="shared" si="1557"/>
        <v>99999</v>
      </c>
      <c r="B48226" s="1" t="str">
        <f>"40055"</f>
        <v>40055</v>
      </c>
      <c r="C48226" s="2">
        <v>3.3344354291992097E-5</v>
      </c>
      <c r="D48226" s="2">
        <v>7.5285444763821999E-6</v>
      </c>
      <c r="E48226" s="2">
        <v>1.72042270785932E-5</v>
      </c>
      <c r="F48226" s="2">
        <v>3.1282114742007402E-5</v>
      </c>
    </row>
    <row r="48227" spans="1:6" x14ac:dyDescent="0.25">
      <c r="A48227" s="1" t="str">
        <f t="shared" si="1557"/>
        <v>99999</v>
      </c>
      <c r="B48227" s="1" t="str">
        <f>"41605"</f>
        <v>41605</v>
      </c>
      <c r="C48227" s="2">
        <v>2.8797396888538699E-5</v>
      </c>
      <c r="D48227" s="2">
        <v>1.0539962266935E-5</v>
      </c>
      <c r="E48227" s="2">
        <v>4.3010567696482999E-6</v>
      </c>
      <c r="F48227" s="2">
        <v>2.7038799493091499E-5</v>
      </c>
    </row>
    <row r="48228" spans="1:6" x14ac:dyDescent="0.25">
      <c r="A48228" s="1" t="str">
        <f t="shared" si="1557"/>
        <v>99999</v>
      </c>
      <c r="B48228" s="1" t="str">
        <f>"47601"</f>
        <v>47601</v>
      </c>
      <c r="C48228" s="2">
        <v>6.6039143240633804E-6</v>
      </c>
      <c r="D48228" s="2">
        <v>3.01141779055288E-6</v>
      </c>
      <c r="E48228" s="2">
        <v>0</v>
      </c>
      <c r="F48228" s="2">
        <v>6.2169502484115596E-6</v>
      </c>
    </row>
    <row r="48229" spans="1:6" x14ac:dyDescent="0.25">
      <c r="A48229" s="1" t="str">
        <f t="shared" si="1557"/>
        <v>99999</v>
      </c>
      <c r="B48229" s="1" t="str">
        <f>"41234"</f>
        <v>41234</v>
      </c>
      <c r="C48229" s="2">
        <v>2.4250439485085199E-5</v>
      </c>
      <c r="D48229" s="2">
        <v>0</v>
      </c>
      <c r="E48229" s="2">
        <v>4.3010567696482999E-6</v>
      </c>
      <c r="F48229" s="2">
        <v>2.2203393744327E-5</v>
      </c>
    </row>
    <row r="48230" spans="1:6" x14ac:dyDescent="0.25">
      <c r="A48230" s="1" t="str">
        <f t="shared" si="1557"/>
        <v>99999</v>
      </c>
      <c r="B48230" s="1" t="str">
        <f>"40464"</f>
        <v>40464</v>
      </c>
      <c r="C48230" s="2">
        <v>3.8973920601029803E-6</v>
      </c>
      <c r="D48230" s="2">
        <v>0</v>
      </c>
      <c r="E48230" s="2">
        <v>0</v>
      </c>
      <c r="F48230" s="2">
        <v>3.5525429990923199E-6</v>
      </c>
    </row>
    <row r="48231" spans="1:6" x14ac:dyDescent="0.25">
      <c r="A48231" s="1" t="str">
        <f t="shared" si="1557"/>
        <v>99999</v>
      </c>
      <c r="B48231" s="1" t="str">
        <f>"45836"</f>
        <v>45836</v>
      </c>
      <c r="C48231" s="2">
        <v>7.2967840236372403E-5</v>
      </c>
      <c r="D48231" s="2">
        <v>6.0228355811057599E-5</v>
      </c>
      <c r="E48231" s="2">
        <v>2.15052838482415E-5</v>
      </c>
      <c r="F48231" s="2">
        <v>7.0952178231871706E-5</v>
      </c>
    </row>
    <row r="48232" spans="1:6" x14ac:dyDescent="0.25">
      <c r="A48232" s="1" t="str">
        <f t="shared" si="1557"/>
        <v>99999</v>
      </c>
      <c r="B48232" s="1" t="str">
        <f>"48470"</f>
        <v>48470</v>
      </c>
      <c r="C48232" s="2">
        <v>3.7891311695445598E-5</v>
      </c>
      <c r="D48232" s="2">
        <v>1.50570889527644E-5</v>
      </c>
      <c r="E48232" s="2">
        <v>4.3010567696482999E-6</v>
      </c>
      <c r="F48232" s="2">
        <v>3.5624111740897998E-5</v>
      </c>
    </row>
    <row r="48233" spans="1:6" x14ac:dyDescent="0.25">
      <c r="A48233" s="1" t="str">
        <f t="shared" si="1557"/>
        <v>99999</v>
      </c>
      <c r="B48233" s="1" t="str">
        <f>"51231"</f>
        <v>51231</v>
      </c>
      <c r="C48233" s="2">
        <v>1.5914350912087102E-5</v>
      </c>
      <c r="D48233" s="2">
        <v>7.5285444763821999E-6</v>
      </c>
      <c r="E48233" s="2">
        <v>4.3010567696482999E-6</v>
      </c>
      <c r="F48233" s="2">
        <v>1.5098307746142301E-5</v>
      </c>
    </row>
    <row r="48234" spans="1:6" x14ac:dyDescent="0.25">
      <c r="A48234" s="1" t="str">
        <f t="shared" si="1557"/>
        <v>99999</v>
      </c>
      <c r="B48234" s="1" t="str">
        <f>"51022"</f>
        <v>51022</v>
      </c>
      <c r="C48234" s="2">
        <v>3.7891311695445598E-5</v>
      </c>
      <c r="D48234" s="2">
        <v>7.5285444763821999E-6</v>
      </c>
      <c r="E48234" s="2">
        <v>2.58063406178898E-5</v>
      </c>
      <c r="F48234" s="2">
        <v>3.5624111740897998E-5</v>
      </c>
    </row>
    <row r="48235" spans="1:6" x14ac:dyDescent="0.25">
      <c r="A48235" s="1" t="str">
        <f t="shared" si="1557"/>
        <v>99999</v>
      </c>
      <c r="B48235" s="1" t="str">
        <f>"50139"</f>
        <v>50139</v>
      </c>
      <c r="C48235" s="2">
        <v>7.7947841202059606E-6</v>
      </c>
      <c r="D48235" s="2">
        <v>0</v>
      </c>
      <c r="E48235" s="2">
        <v>0</v>
      </c>
      <c r="F48235" s="2">
        <v>7.10508599818465E-6</v>
      </c>
    </row>
    <row r="48236" spans="1:6" x14ac:dyDescent="0.25">
      <c r="A48236" s="1" t="str">
        <f t="shared" si="1557"/>
        <v>99999</v>
      </c>
      <c r="B48236" s="1" t="str">
        <f>"50473"</f>
        <v>50473</v>
      </c>
      <c r="C48236" s="2">
        <v>1.3749133100918801E-5</v>
      </c>
      <c r="D48236" s="2">
        <v>1.50570889527644E-5</v>
      </c>
      <c r="E48236" s="2">
        <v>0</v>
      </c>
      <c r="F48236" s="2">
        <v>1.35193997465457E-5</v>
      </c>
    </row>
    <row r="48237" spans="1:6" x14ac:dyDescent="0.25">
      <c r="A48237" s="1" t="str">
        <f t="shared" si="1557"/>
        <v>99999</v>
      </c>
      <c r="B48237" s="1" t="str">
        <f>"50435"</f>
        <v>50435</v>
      </c>
      <c r="C48237" s="2">
        <v>2.6740439967928698E-5</v>
      </c>
      <c r="D48237" s="2">
        <v>7.5285444763821999E-6</v>
      </c>
      <c r="E48237" s="2">
        <v>4.3010567696482999E-6</v>
      </c>
      <c r="F48237" s="2">
        <v>2.4966482743620998E-5</v>
      </c>
    </row>
    <row r="48238" spans="1:6" x14ac:dyDescent="0.25">
      <c r="A48238" s="1" t="str">
        <f t="shared" si="1557"/>
        <v>99999</v>
      </c>
      <c r="B48238" s="1" t="str">
        <f>"49895"</f>
        <v>49895</v>
      </c>
      <c r="C48238" s="2">
        <v>4.3520878004483202E-5</v>
      </c>
      <c r="D48238" s="2">
        <v>2.7102760114975901E-5</v>
      </c>
      <c r="E48238" s="2">
        <v>5.8924477744181703E-4</v>
      </c>
      <c r="F48238" s="2">
        <v>5.4965734735956198E-5</v>
      </c>
    </row>
    <row r="48239" spans="1:6" x14ac:dyDescent="0.25">
      <c r="A48239" s="1" t="str">
        <f t="shared" si="1557"/>
        <v>99999</v>
      </c>
      <c r="B48239" s="1" t="str">
        <f>"52554"</f>
        <v>52554</v>
      </c>
      <c r="C48239" s="2">
        <v>2.3817395922851499E-6</v>
      </c>
      <c r="D48239" s="2">
        <v>4.5171266858293203E-6</v>
      </c>
      <c r="E48239" s="2">
        <v>0</v>
      </c>
      <c r="F48239" s="2">
        <v>2.4670437493696702E-6</v>
      </c>
    </row>
    <row r="48240" spans="1:6" x14ac:dyDescent="0.25">
      <c r="A48240" s="1" t="str">
        <f t="shared" si="1557"/>
        <v>99999</v>
      </c>
      <c r="B48240" s="1" t="str">
        <f>"54564"</f>
        <v>54564</v>
      </c>
      <c r="C48240" s="2">
        <v>2.82560924357466E-5</v>
      </c>
      <c r="D48240" s="2">
        <v>1.35513800574879E-5</v>
      </c>
      <c r="E48240" s="2">
        <v>4.3010567696482999E-6</v>
      </c>
      <c r="F48240" s="2">
        <v>2.6742754243167199E-5</v>
      </c>
    </row>
    <row r="48241" spans="1:6" x14ac:dyDescent="0.25">
      <c r="A48241" s="1" t="str">
        <f t="shared" si="1557"/>
        <v>99999</v>
      </c>
      <c r="B48241" s="1" t="str">
        <f>"55605"</f>
        <v>55605</v>
      </c>
      <c r="C48241" s="2">
        <v>3.1828701824174298E-5</v>
      </c>
      <c r="D48241" s="2">
        <v>9.0342533716586405E-6</v>
      </c>
      <c r="E48241" s="2">
        <v>2.58063406178898E-5</v>
      </c>
      <c r="F48241" s="2">
        <v>3.0196615492284699E-5</v>
      </c>
    </row>
    <row r="48242" spans="1:6" x14ac:dyDescent="0.25">
      <c r="A48242" s="1" t="str">
        <f t="shared" si="1557"/>
        <v>99999</v>
      </c>
      <c r="B48242" s="1" t="str">
        <f>"56174"</f>
        <v>56174</v>
      </c>
      <c r="C48242" s="2">
        <v>2.1002612768332701E-5</v>
      </c>
      <c r="D48242" s="2">
        <v>1.20456711622115E-5</v>
      </c>
      <c r="E48242" s="2">
        <v>8.6021135392965999E-6</v>
      </c>
      <c r="F48242" s="2">
        <v>2.0131076994856499E-5</v>
      </c>
    </row>
    <row r="48243" spans="1:6" x14ac:dyDescent="0.25">
      <c r="A48243" s="1" t="str">
        <f t="shared" si="1557"/>
        <v>99999</v>
      </c>
      <c r="B48243" s="1" t="str">
        <f>"57465"</f>
        <v>57465</v>
      </c>
      <c r="C48243" s="2">
        <v>1.5914350912087102E-5</v>
      </c>
      <c r="D48243" s="2">
        <v>3.01141779055288E-6</v>
      </c>
      <c r="E48243" s="2">
        <v>4.3010567696482999E-6</v>
      </c>
      <c r="F48243" s="2">
        <v>1.4802262496217999E-5</v>
      </c>
    </row>
    <row r="48244" spans="1:6" x14ac:dyDescent="0.25">
      <c r="A48244" s="1" t="str">
        <f t="shared" si="1557"/>
        <v>99999</v>
      </c>
      <c r="B48244" s="1" t="str">
        <f>"59863"</f>
        <v>59863</v>
      </c>
      <c r="C48244" s="2">
        <v>6.2791316523881298E-6</v>
      </c>
      <c r="D48244" s="2">
        <v>1.65627978480408E-5</v>
      </c>
      <c r="E48244" s="2">
        <v>2.58063406178898E-5</v>
      </c>
      <c r="F48244" s="2">
        <v>7.4011312481090098E-6</v>
      </c>
    </row>
    <row r="48245" spans="1:6" x14ac:dyDescent="0.25">
      <c r="A48245" s="1" t="str">
        <f t="shared" si="1557"/>
        <v>99999</v>
      </c>
      <c r="B48245" s="1" t="str">
        <f>"58571"</f>
        <v>58571</v>
      </c>
      <c r="C48245" s="2">
        <v>2.23017434550337E-5</v>
      </c>
      <c r="D48245" s="2">
        <v>4.5171266858293203E-6</v>
      </c>
      <c r="E48245" s="2">
        <v>3.44084541571864E-5</v>
      </c>
      <c r="F48245" s="2">
        <v>2.1413939744528701E-5</v>
      </c>
    </row>
    <row r="48246" spans="1:6" x14ac:dyDescent="0.25">
      <c r="A48246" s="1" t="str">
        <f t="shared" si="1557"/>
        <v>99999</v>
      </c>
      <c r="B48246" s="1" t="str">
        <f>"58727"</f>
        <v>58727</v>
      </c>
      <c r="C48246" s="2">
        <v>1.51565246781782E-5</v>
      </c>
      <c r="D48246" s="2">
        <v>9.0342533716586405E-6</v>
      </c>
      <c r="E48246" s="2">
        <v>1.29031703089449E-5</v>
      </c>
      <c r="F48246" s="2">
        <v>1.47035807462432E-5</v>
      </c>
    </row>
    <row r="48247" spans="1:6" x14ac:dyDescent="0.25">
      <c r="A48247" s="1" t="str">
        <f t="shared" si="1557"/>
        <v>99999</v>
      </c>
      <c r="B48247" s="1" t="str">
        <f>"59258"</f>
        <v>59258</v>
      </c>
      <c r="C48247" s="2">
        <v>5.0882618562455504E-6</v>
      </c>
      <c r="D48247" s="2">
        <v>3.01141779055288E-6</v>
      </c>
      <c r="E48247" s="2">
        <v>4.3010567696482999E-6</v>
      </c>
      <c r="F48247" s="2">
        <v>4.9340874987393404E-6</v>
      </c>
    </row>
    <row r="48248" spans="1:6" x14ac:dyDescent="0.25">
      <c r="A48248" s="1" t="str">
        <f t="shared" si="1557"/>
        <v>99999</v>
      </c>
      <c r="B48248" s="1" t="str">
        <f>"59259"</f>
        <v>59259</v>
      </c>
      <c r="C48248" s="2">
        <v>2.0677830096657399E-5</v>
      </c>
      <c r="D48248" s="2">
        <v>1.50570889527644E-5</v>
      </c>
      <c r="E48248" s="2">
        <v>2.15052838482415E-5</v>
      </c>
      <c r="F48248" s="2">
        <v>2.0328440494806002E-5</v>
      </c>
    </row>
    <row r="48249" spans="1:6" x14ac:dyDescent="0.25">
      <c r="A48249" s="1" t="str">
        <f t="shared" si="1557"/>
        <v>99999</v>
      </c>
      <c r="B48249" s="1" t="str">
        <f>"59713"</f>
        <v>59713</v>
      </c>
      <c r="C48249" s="2">
        <v>9.6352192596990302E-6</v>
      </c>
      <c r="D48249" s="2">
        <v>0</v>
      </c>
      <c r="E48249" s="2">
        <v>4.3010567696482999E-6</v>
      </c>
      <c r="F48249" s="2">
        <v>8.8813574977308104E-6</v>
      </c>
    </row>
    <row r="48250" spans="1:6" x14ac:dyDescent="0.25">
      <c r="A48250" s="1" t="str">
        <f t="shared" si="1557"/>
        <v>99999</v>
      </c>
      <c r="B48250" s="1" t="str">
        <f>"59446"</f>
        <v>59446</v>
      </c>
      <c r="C48250" s="2">
        <v>1.9703482081631699E-5</v>
      </c>
      <c r="D48250" s="2">
        <v>3.01141779055288E-6</v>
      </c>
      <c r="E48250" s="2">
        <v>1.29031703089449E-5</v>
      </c>
      <c r="F48250" s="2">
        <v>1.8453487245285098E-5</v>
      </c>
    </row>
    <row r="48251" spans="1:6" x14ac:dyDescent="0.25">
      <c r="A48251" s="1" t="str">
        <f t="shared" si="1557"/>
        <v>99999</v>
      </c>
      <c r="B48251" s="1" t="str">
        <f>"59432"</f>
        <v>59432</v>
      </c>
      <c r="C48251" s="2">
        <v>7.9030450107643795E-6</v>
      </c>
      <c r="D48251" s="2">
        <v>3.01141779055288E-6</v>
      </c>
      <c r="E48251" s="2">
        <v>8.6021135392965999E-6</v>
      </c>
      <c r="F48251" s="2">
        <v>7.5984947480585801E-6</v>
      </c>
    </row>
    <row r="48252" spans="1:6" x14ac:dyDescent="0.25">
      <c r="A48252" s="1" t="str">
        <f t="shared" si="1557"/>
        <v>99999</v>
      </c>
      <c r="B48252" s="1" t="str">
        <f>"58330"</f>
        <v>58330</v>
      </c>
      <c r="C48252" s="2">
        <v>1.2774785085893101E-5</v>
      </c>
      <c r="D48252" s="2">
        <v>3.01141779055288E-6</v>
      </c>
      <c r="E48252" s="2">
        <v>4.3010567696482999E-6</v>
      </c>
      <c r="F48252" s="2">
        <v>1.19404917469492E-5</v>
      </c>
    </row>
    <row r="48253" spans="1:6" x14ac:dyDescent="0.25">
      <c r="A48253" s="1" t="str">
        <f t="shared" si="1557"/>
        <v>99999</v>
      </c>
      <c r="B48253" s="1" t="str">
        <f>"58423"</f>
        <v>58423</v>
      </c>
      <c r="C48253" s="2">
        <v>5.1965227468039701E-6</v>
      </c>
      <c r="D48253" s="2">
        <v>0</v>
      </c>
      <c r="E48253" s="2">
        <v>4.3010567696482999E-6</v>
      </c>
      <c r="F48253" s="2">
        <v>4.8354057487645501E-6</v>
      </c>
    </row>
    <row r="48254" spans="1:6" x14ac:dyDescent="0.25">
      <c r="A48254" s="1" t="str">
        <f t="shared" si="1557"/>
        <v>99999</v>
      </c>
      <c r="B48254" s="1" t="str">
        <f>"58480"</f>
        <v>58480</v>
      </c>
      <c r="C48254" s="2">
        <v>1.67804380365545E-5</v>
      </c>
      <c r="D48254" s="2">
        <v>3.01141779055288E-6</v>
      </c>
      <c r="E48254" s="2">
        <v>8.6021135392965999E-6</v>
      </c>
      <c r="F48254" s="2">
        <v>1.56903982459911E-5</v>
      </c>
    </row>
    <row r="48255" spans="1:6" x14ac:dyDescent="0.25">
      <c r="A48255" s="1" t="str">
        <f t="shared" si="1557"/>
        <v>99999</v>
      </c>
      <c r="B48255" s="1" t="str">
        <f>"61478"</f>
        <v>61478</v>
      </c>
      <c r="C48255" s="2">
        <v>1.62391335837624E-5</v>
      </c>
      <c r="D48255" s="2">
        <v>3.01141779055288E-6</v>
      </c>
      <c r="E48255" s="2">
        <v>0</v>
      </c>
      <c r="F48255" s="2">
        <v>1.49996259961675E-5</v>
      </c>
    </row>
    <row r="48256" spans="1:6" x14ac:dyDescent="0.25">
      <c r="A48256" s="1" t="str">
        <f t="shared" si="1557"/>
        <v>99999</v>
      </c>
      <c r="B48256" s="1" t="str">
        <f>"61417"</f>
        <v>61417</v>
      </c>
      <c r="C48256" s="2">
        <v>1.51565246781782E-5</v>
      </c>
      <c r="D48256" s="2">
        <v>4.5171266858293203E-6</v>
      </c>
      <c r="E48256" s="2">
        <v>8.6021135392965999E-6</v>
      </c>
      <c r="F48256" s="2">
        <v>1.4308853746344E-5</v>
      </c>
    </row>
    <row r="48257" spans="1:6" x14ac:dyDescent="0.25">
      <c r="A48257" s="1" t="str">
        <f t="shared" si="1557"/>
        <v>99999</v>
      </c>
      <c r="B48257" s="1" t="str">
        <f>"62297"</f>
        <v>62297</v>
      </c>
      <c r="C48257" s="2">
        <v>2.1002612768332701E-5</v>
      </c>
      <c r="D48257" s="2">
        <v>9.0342533716586405E-6</v>
      </c>
      <c r="E48257" s="2">
        <v>4.3010567696482999E-6</v>
      </c>
      <c r="F48257" s="2">
        <v>1.9835031744932101E-5</v>
      </c>
    </row>
    <row r="48258" spans="1:6" x14ac:dyDescent="0.25">
      <c r="A48258" s="1" t="str">
        <f t="shared" si="1557"/>
        <v>99999</v>
      </c>
      <c r="B48258" s="1" t="str">
        <f>"62086"</f>
        <v>62086</v>
      </c>
      <c r="C48258" s="2">
        <v>5.6295663090376404E-6</v>
      </c>
      <c r="D48258" s="2">
        <v>0</v>
      </c>
      <c r="E48258" s="2">
        <v>0</v>
      </c>
      <c r="F48258" s="2">
        <v>5.1314509986889099E-6</v>
      </c>
    </row>
    <row r="48259" spans="1:6" x14ac:dyDescent="0.25">
      <c r="A48259" s="1" t="str">
        <f t="shared" si="1557"/>
        <v>99999</v>
      </c>
      <c r="B48259" s="1" t="str">
        <f>"62690"</f>
        <v>62690</v>
      </c>
      <c r="C48259" s="2">
        <v>2.59826137340198E-6</v>
      </c>
      <c r="D48259" s="2">
        <v>1.50570889527644E-6</v>
      </c>
      <c r="E48259" s="2">
        <v>0</v>
      </c>
      <c r="F48259" s="2">
        <v>2.4670437493696702E-6</v>
      </c>
    </row>
    <row r="48260" spans="1:6" x14ac:dyDescent="0.25">
      <c r="A48260" s="1" t="str">
        <f t="shared" si="1557"/>
        <v>99999</v>
      </c>
      <c r="B48260" s="1" t="str">
        <f>"63654"</f>
        <v>63654</v>
      </c>
      <c r="C48260" s="2">
        <v>2.6199135515136701E-5</v>
      </c>
      <c r="D48260" s="2">
        <v>1.20456711622115E-5</v>
      </c>
      <c r="E48260" s="2">
        <v>8.6021135392965999E-6</v>
      </c>
      <c r="F48260" s="2">
        <v>2.4867800993646201E-5</v>
      </c>
    </row>
    <row r="48261" spans="1:6" x14ac:dyDescent="0.25">
      <c r="A48261" s="1" t="str">
        <f t="shared" si="1557"/>
        <v>99999</v>
      </c>
      <c r="B48261" s="1" t="str">
        <f>"63868"</f>
        <v>63868</v>
      </c>
      <c r="C48261" s="2">
        <v>3.2478267167524802E-7</v>
      </c>
      <c r="D48261" s="2">
        <v>0</v>
      </c>
      <c r="E48261" s="2">
        <v>4.3010567696482999E-6</v>
      </c>
      <c r="F48261" s="2">
        <v>3.9472699989914697E-7</v>
      </c>
    </row>
    <row r="48262" spans="1:6" x14ac:dyDescent="0.25">
      <c r="A48262" s="1" t="str">
        <f t="shared" ref="A48262:A48325" si="1558">"99999"</f>
        <v>99999</v>
      </c>
      <c r="B48262" s="1" t="str">
        <f>"65286"</f>
        <v>65286</v>
      </c>
      <c r="C48262" s="2">
        <v>9.3104365880237906E-6</v>
      </c>
      <c r="D48262" s="2">
        <v>1.50570889527644E-6</v>
      </c>
      <c r="E48262" s="2">
        <v>4.3010567696482999E-6</v>
      </c>
      <c r="F48262" s="2">
        <v>8.6839939977812298E-6</v>
      </c>
    </row>
    <row r="48263" spans="1:6" x14ac:dyDescent="0.25">
      <c r="A48263" s="1" t="str">
        <f t="shared" si="1558"/>
        <v>99999</v>
      </c>
      <c r="B48263" s="1" t="str">
        <f>"64652"</f>
        <v>64652</v>
      </c>
      <c r="C48263" s="2">
        <v>2.5766091952903002E-5</v>
      </c>
      <c r="D48263" s="2">
        <v>4.5171266858293203E-6</v>
      </c>
      <c r="E48263" s="2">
        <v>1.72042270785932E-5</v>
      </c>
      <c r="F48263" s="2">
        <v>2.41770287438227E-5</v>
      </c>
    </row>
    <row r="48264" spans="1:6" x14ac:dyDescent="0.25">
      <c r="A48264" s="1" t="str">
        <f t="shared" si="1558"/>
        <v>99999</v>
      </c>
      <c r="B48264" s="1" t="str">
        <f>"64755"</f>
        <v>64755</v>
      </c>
      <c r="C48264" s="2">
        <v>1.9270438519397999E-5</v>
      </c>
      <c r="D48264" s="2">
        <v>3.01141779055288E-6</v>
      </c>
      <c r="E48264" s="2">
        <v>0</v>
      </c>
      <c r="F48264" s="2">
        <v>1.77627149954616E-5</v>
      </c>
    </row>
    <row r="48265" spans="1:6" x14ac:dyDescent="0.25">
      <c r="A48265" s="1" t="str">
        <f t="shared" si="1558"/>
        <v>99999</v>
      </c>
      <c r="B48265" s="1" t="str">
        <f>"64644"</f>
        <v>64644</v>
      </c>
      <c r="C48265" s="2">
        <v>1.05013063841663E-5</v>
      </c>
      <c r="D48265" s="2">
        <v>0</v>
      </c>
      <c r="E48265" s="2">
        <v>0</v>
      </c>
      <c r="F48265" s="2">
        <v>9.5721297475543202E-6</v>
      </c>
    </row>
    <row r="48266" spans="1:6" x14ac:dyDescent="0.25">
      <c r="A48266" s="1" t="str">
        <f t="shared" si="1558"/>
        <v>99999</v>
      </c>
      <c r="B48266" s="1" t="str">
        <f>"64739"</f>
        <v>64739</v>
      </c>
      <c r="C48266" s="2">
        <v>1.05013063841663E-5</v>
      </c>
      <c r="D48266" s="2">
        <v>0</v>
      </c>
      <c r="E48266" s="2">
        <v>0</v>
      </c>
      <c r="F48266" s="2">
        <v>9.5721297475543202E-6</v>
      </c>
    </row>
    <row r="48267" spans="1:6" x14ac:dyDescent="0.25">
      <c r="A48267" s="1" t="str">
        <f t="shared" si="1558"/>
        <v>99999</v>
      </c>
      <c r="B48267" s="1" t="str">
        <f>"51545"</f>
        <v>51545</v>
      </c>
      <c r="C48267" s="2">
        <v>1.84043513949307E-6</v>
      </c>
      <c r="D48267" s="2">
        <v>0</v>
      </c>
      <c r="E48267" s="2">
        <v>0</v>
      </c>
      <c r="F48267" s="2">
        <v>1.6775897495713699E-6</v>
      </c>
    </row>
    <row r="48268" spans="1:6" x14ac:dyDescent="0.25">
      <c r="A48268" s="1" t="str">
        <f t="shared" si="1558"/>
        <v>99999</v>
      </c>
      <c r="B48268" s="1" t="str">
        <f>"66438"</f>
        <v>66438</v>
      </c>
      <c r="C48268" s="2">
        <v>1.67804380365545E-5</v>
      </c>
      <c r="D48268" s="2">
        <v>2.8608469010252301E-5</v>
      </c>
      <c r="E48268" s="2">
        <v>0</v>
      </c>
      <c r="F48268" s="2">
        <v>1.7170624495612899E-5</v>
      </c>
    </row>
    <row r="48269" spans="1:6" x14ac:dyDescent="0.25">
      <c r="A48269" s="1" t="str">
        <f t="shared" si="1558"/>
        <v>99999</v>
      </c>
      <c r="B48269" s="1" t="str">
        <f>"67502"</f>
        <v>67502</v>
      </c>
      <c r="C48269" s="2">
        <v>1.29913068670099E-6</v>
      </c>
      <c r="D48269" s="2">
        <v>0</v>
      </c>
      <c r="E48269" s="2">
        <v>0</v>
      </c>
      <c r="F48269" s="2">
        <v>1.18418099969744E-6</v>
      </c>
    </row>
    <row r="48270" spans="1:6" x14ac:dyDescent="0.25">
      <c r="A48270" s="1" t="str">
        <f t="shared" si="1558"/>
        <v>99999</v>
      </c>
      <c r="B48270" s="1" t="str">
        <f>"67559"</f>
        <v>67559</v>
      </c>
      <c r="C48270" s="2">
        <v>4.0056529506613898E-6</v>
      </c>
      <c r="D48270" s="2">
        <v>0</v>
      </c>
      <c r="E48270" s="2">
        <v>8.6021135392965999E-6</v>
      </c>
      <c r="F48270" s="2">
        <v>3.8485882490166797E-6</v>
      </c>
    </row>
    <row r="48271" spans="1:6" x14ac:dyDescent="0.25">
      <c r="A48271" s="1" t="str">
        <f t="shared" si="1558"/>
        <v>99999</v>
      </c>
      <c r="B48271" s="1" t="str">
        <f>"67519"</f>
        <v>67519</v>
      </c>
      <c r="C48271" s="2">
        <v>9.2021756974653701E-6</v>
      </c>
      <c r="D48271" s="2">
        <v>4.5171266858293203E-6</v>
      </c>
      <c r="E48271" s="2">
        <v>4.3010567696482999E-6</v>
      </c>
      <c r="F48271" s="2">
        <v>8.7826757477560201E-6</v>
      </c>
    </row>
    <row r="48272" spans="1:6" x14ac:dyDescent="0.25">
      <c r="A48272" s="1" t="str">
        <f t="shared" si="1558"/>
        <v>99999</v>
      </c>
      <c r="B48272" s="1" t="str">
        <f>"67447"</f>
        <v>67447</v>
      </c>
      <c r="C48272" s="2">
        <v>1.43986984442693E-5</v>
      </c>
      <c r="D48272" s="2">
        <v>1.50570889527644E-6</v>
      </c>
      <c r="E48272" s="2">
        <v>8.6021135392965999E-6</v>
      </c>
      <c r="F48272" s="2">
        <v>1.3420717996571E-5</v>
      </c>
    </row>
    <row r="48273" spans="1:6" x14ac:dyDescent="0.25">
      <c r="A48273" s="1" t="str">
        <f t="shared" si="1558"/>
        <v>99999</v>
      </c>
      <c r="B48273" s="1" t="str">
        <f>"68980"</f>
        <v>68980</v>
      </c>
      <c r="C48273" s="2">
        <v>9.96000193137428E-6</v>
      </c>
      <c r="D48273" s="2">
        <v>0</v>
      </c>
      <c r="E48273" s="2">
        <v>0</v>
      </c>
      <c r="F48273" s="2">
        <v>9.0787209976803807E-6</v>
      </c>
    </row>
    <row r="48274" spans="1:6" x14ac:dyDescent="0.25">
      <c r="A48274" s="1" t="str">
        <f t="shared" si="1558"/>
        <v>99999</v>
      </c>
      <c r="B48274" s="1" t="str">
        <f>"68881"</f>
        <v>68881</v>
      </c>
      <c r="C48274" s="2">
        <v>3.1395658261940598E-6</v>
      </c>
      <c r="D48274" s="2">
        <v>7.5285444763821999E-6</v>
      </c>
      <c r="E48274" s="2">
        <v>4.3010567696482999E-6</v>
      </c>
      <c r="F48274" s="2">
        <v>3.4538612491175301E-6</v>
      </c>
    </row>
    <row r="48275" spans="1:6" x14ac:dyDescent="0.25">
      <c r="A48275" s="1" t="str">
        <f t="shared" si="1558"/>
        <v>99999</v>
      </c>
      <c r="B48275" s="1" t="str">
        <f>"68637"</f>
        <v>68637</v>
      </c>
      <c r="C48275" s="2">
        <v>2.3167830579501E-5</v>
      </c>
      <c r="D48275" s="2">
        <v>7.5285444763821999E-6</v>
      </c>
      <c r="E48275" s="2">
        <v>8.6021135392965999E-6</v>
      </c>
      <c r="F48275" s="2">
        <v>2.1808666744427801E-5</v>
      </c>
    </row>
    <row r="48276" spans="1:6" x14ac:dyDescent="0.25">
      <c r="A48276" s="1" t="str">
        <f t="shared" si="1558"/>
        <v>99999</v>
      </c>
      <c r="B48276" s="1" t="str">
        <f>"68832"</f>
        <v>68832</v>
      </c>
      <c r="C48276" s="2">
        <v>3.2478267167524799E-6</v>
      </c>
      <c r="D48276" s="2">
        <v>1.50570889527644E-6</v>
      </c>
      <c r="E48276" s="2">
        <v>0</v>
      </c>
      <c r="F48276" s="2">
        <v>3.0591342492183902E-6</v>
      </c>
    </row>
    <row r="48277" spans="1:6" x14ac:dyDescent="0.25">
      <c r="A48277" s="1" t="str">
        <f t="shared" si="1558"/>
        <v>99999</v>
      </c>
      <c r="B48277" s="1" t="str">
        <f>"74359"</f>
        <v>74359</v>
      </c>
      <c r="C48277" s="2">
        <v>1.05013063841663E-5</v>
      </c>
      <c r="D48277" s="2">
        <v>1.50570889527644E-6</v>
      </c>
      <c r="E48277" s="2">
        <v>4.3010567696482999E-6</v>
      </c>
      <c r="F48277" s="2">
        <v>9.7694932475038906E-6</v>
      </c>
    </row>
    <row r="48278" spans="1:6" x14ac:dyDescent="0.25">
      <c r="A48278" s="1" t="str">
        <f t="shared" si="1558"/>
        <v>99999</v>
      </c>
      <c r="B48278" s="1" t="str">
        <f>"74370"</f>
        <v>74370</v>
      </c>
      <c r="C48278" s="2">
        <v>1.25582633047762E-5</v>
      </c>
      <c r="D48278" s="2">
        <v>0</v>
      </c>
      <c r="E48278" s="2">
        <v>4.3010567696482999E-6</v>
      </c>
      <c r="F48278" s="2">
        <v>1.154576474705E-5</v>
      </c>
    </row>
    <row r="48279" spans="1:6" x14ac:dyDescent="0.25">
      <c r="A48279" s="1" t="str">
        <f t="shared" si="1558"/>
        <v>99999</v>
      </c>
      <c r="B48279" s="1" t="str">
        <f>"73073"</f>
        <v>73073</v>
      </c>
      <c r="C48279" s="2">
        <v>9.5269583691406198E-6</v>
      </c>
      <c r="D48279" s="2">
        <v>0</v>
      </c>
      <c r="E48279" s="2">
        <v>0</v>
      </c>
      <c r="F48279" s="2">
        <v>8.6839939977812298E-6</v>
      </c>
    </row>
    <row r="48280" spans="1:6" x14ac:dyDescent="0.25">
      <c r="A48280" s="1" t="str">
        <f t="shared" si="1558"/>
        <v>99999</v>
      </c>
      <c r="B48280" s="1" t="str">
        <f>"79539"</f>
        <v>79539</v>
      </c>
      <c r="C48280" s="2">
        <v>8.9856539163485408E-6</v>
      </c>
      <c r="D48280" s="2">
        <v>7.5285444763821999E-6</v>
      </c>
      <c r="E48280" s="2">
        <v>8.6021135392965999E-6</v>
      </c>
      <c r="F48280" s="2">
        <v>8.8813574977308104E-6</v>
      </c>
    </row>
    <row r="48281" spans="1:6" x14ac:dyDescent="0.25">
      <c r="A48281" s="1" t="str">
        <f t="shared" si="1558"/>
        <v>99999</v>
      </c>
      <c r="B48281" s="1" t="str">
        <f>"59732"</f>
        <v>59732</v>
      </c>
      <c r="C48281" s="2">
        <v>8.1195667918812104E-6</v>
      </c>
      <c r="D48281" s="2">
        <v>0</v>
      </c>
      <c r="E48281" s="2">
        <v>1.72042270785932E-5</v>
      </c>
      <c r="F48281" s="2">
        <v>7.7958582480081497E-6</v>
      </c>
    </row>
    <row r="48282" spans="1:6" x14ac:dyDescent="0.25">
      <c r="A48282" s="1" t="str">
        <f t="shared" si="1558"/>
        <v>99999</v>
      </c>
      <c r="B48282" s="1" t="str">
        <f>"58386"</f>
        <v>58386</v>
      </c>
      <c r="C48282" s="2">
        <v>8.9856539163485408E-6</v>
      </c>
      <c r="D48282" s="2">
        <v>4.5171266858293203E-6</v>
      </c>
      <c r="E48282" s="2">
        <v>4.3010567696482999E-6</v>
      </c>
      <c r="F48282" s="2">
        <v>8.5853122478064497E-6</v>
      </c>
    </row>
    <row r="48283" spans="1:6" x14ac:dyDescent="0.25">
      <c r="A48283" s="1" t="str">
        <f t="shared" si="1558"/>
        <v>99999</v>
      </c>
      <c r="B48283" s="1" t="str">
        <f>"61401"</f>
        <v>61401</v>
      </c>
      <c r="C48283" s="2">
        <v>1.5481307349853501E-5</v>
      </c>
      <c r="D48283" s="2">
        <v>7.5285444763821999E-6</v>
      </c>
      <c r="E48283" s="2">
        <v>0</v>
      </c>
      <c r="F48283" s="2">
        <v>1.46048989962684E-5</v>
      </c>
    </row>
    <row r="48284" spans="1:6" x14ac:dyDescent="0.25">
      <c r="A48284" s="1" t="str">
        <f t="shared" si="1558"/>
        <v>99999</v>
      </c>
      <c r="B48284" s="1" t="str">
        <f>"60926"</f>
        <v>60926</v>
      </c>
      <c r="C48284" s="2">
        <v>2.8147831545188202E-6</v>
      </c>
      <c r="D48284" s="2">
        <v>3.01141779055288E-6</v>
      </c>
      <c r="E48284" s="2">
        <v>0</v>
      </c>
      <c r="F48284" s="2">
        <v>2.76308899929403E-6</v>
      </c>
    </row>
    <row r="48285" spans="1:6" x14ac:dyDescent="0.25">
      <c r="A48285" s="1" t="str">
        <f t="shared" si="1558"/>
        <v>99999</v>
      </c>
      <c r="B48285" s="1" t="str">
        <f>"62367"</f>
        <v>62367</v>
      </c>
      <c r="C48285" s="2">
        <v>9.7434801502574508E-6</v>
      </c>
      <c r="D48285" s="2">
        <v>1.50570889527644E-6</v>
      </c>
      <c r="E48285" s="2">
        <v>0</v>
      </c>
      <c r="F48285" s="2">
        <v>8.9800392477055905E-6</v>
      </c>
    </row>
    <row r="48286" spans="1:6" x14ac:dyDescent="0.25">
      <c r="A48286" s="1" t="str">
        <f t="shared" si="1558"/>
        <v>99999</v>
      </c>
      <c r="B48286" s="1" t="str">
        <f>"62375"</f>
        <v>62375</v>
      </c>
      <c r="C48286" s="2">
        <v>1.9811742972190099E-5</v>
      </c>
      <c r="D48286" s="2">
        <v>6.0228355811057601E-6</v>
      </c>
      <c r="E48286" s="2">
        <v>8.6021135392965999E-6</v>
      </c>
      <c r="F48286" s="2">
        <v>1.8650850745234699E-5</v>
      </c>
    </row>
    <row r="48287" spans="1:6" x14ac:dyDescent="0.25">
      <c r="A48287" s="1" t="str">
        <f t="shared" si="1558"/>
        <v>99999</v>
      </c>
      <c r="B48287" s="1" t="str">
        <f>"62673"</f>
        <v>62673</v>
      </c>
      <c r="C48287" s="2">
        <v>3.3560876073109E-6</v>
      </c>
      <c r="D48287" s="2">
        <v>4.5171266858293203E-6</v>
      </c>
      <c r="E48287" s="2">
        <v>0</v>
      </c>
      <c r="F48287" s="2">
        <v>3.35517949914275E-6</v>
      </c>
    </row>
    <row r="48288" spans="1:6" x14ac:dyDescent="0.25">
      <c r="A48288" s="1" t="str">
        <f t="shared" si="1558"/>
        <v>99999</v>
      </c>
      <c r="B48288" s="1" t="str">
        <f>"62478"</f>
        <v>62478</v>
      </c>
      <c r="C48288" s="2">
        <v>1.6672177145996001E-5</v>
      </c>
      <c r="D48288" s="2">
        <v>3.01141779055288E-6</v>
      </c>
      <c r="E48288" s="2">
        <v>4.3010567696482999E-6</v>
      </c>
      <c r="F48288" s="2">
        <v>1.5493034746041499E-5</v>
      </c>
    </row>
    <row r="48289" spans="1:6" x14ac:dyDescent="0.25">
      <c r="A48289" s="1" t="str">
        <f t="shared" si="1558"/>
        <v>99999</v>
      </c>
      <c r="B48289" s="1" t="str">
        <f>"63625"</f>
        <v>63625</v>
      </c>
      <c r="C48289" s="2">
        <v>2.3384352360617801E-5</v>
      </c>
      <c r="D48289" s="2">
        <v>1.20456711622115E-5</v>
      </c>
      <c r="E48289" s="2">
        <v>1.29031703089449E-5</v>
      </c>
      <c r="F48289" s="2">
        <v>2.2400757244276601E-5</v>
      </c>
    </row>
    <row r="48290" spans="1:6" x14ac:dyDescent="0.25">
      <c r="A48290" s="1" t="str">
        <f t="shared" si="1558"/>
        <v>99999</v>
      </c>
      <c r="B48290" s="1" t="str">
        <f>"65246"</f>
        <v>65246</v>
      </c>
      <c r="C48290" s="2">
        <v>8.6608712446732894E-6</v>
      </c>
      <c r="D48290" s="2">
        <v>1.50570889527644E-6</v>
      </c>
      <c r="E48290" s="2">
        <v>8.6021135392965999E-6</v>
      </c>
      <c r="F48290" s="2">
        <v>8.1905852479073005E-6</v>
      </c>
    </row>
    <row r="48291" spans="1:6" x14ac:dyDescent="0.25">
      <c r="A48291" s="1" t="str">
        <f t="shared" si="1558"/>
        <v>99999</v>
      </c>
      <c r="B48291" s="1" t="str">
        <f>"65479"</f>
        <v>65479</v>
      </c>
      <c r="C48291" s="2">
        <v>2.8039570654629701E-5</v>
      </c>
      <c r="D48291" s="2">
        <v>1.0539962266935E-5</v>
      </c>
      <c r="E48291" s="2">
        <v>4.3010567696482999E-6</v>
      </c>
      <c r="F48291" s="2">
        <v>2.6348027243268001E-5</v>
      </c>
    </row>
    <row r="48292" spans="1:6" x14ac:dyDescent="0.25">
      <c r="A48292" s="1" t="str">
        <f t="shared" si="1558"/>
        <v>99999</v>
      </c>
      <c r="B48292" s="1" t="str">
        <f>"66758"</f>
        <v>66758</v>
      </c>
      <c r="C48292" s="2">
        <v>1.6347394474320801E-5</v>
      </c>
      <c r="D48292" s="2">
        <v>6.0228355811057601E-6</v>
      </c>
      <c r="E48292" s="2">
        <v>2.8817080356643602E-4</v>
      </c>
      <c r="F48292" s="2">
        <v>2.1907348494402598E-5</v>
      </c>
    </row>
    <row r="48293" spans="1:6" x14ac:dyDescent="0.25">
      <c r="A48293" s="1" t="str">
        <f t="shared" si="1558"/>
        <v>99999</v>
      </c>
      <c r="B48293" s="1" t="str">
        <f>"51650"</f>
        <v>51650</v>
      </c>
      <c r="C48293" s="2">
        <v>2.1976960783358401E-5</v>
      </c>
      <c r="D48293" s="2">
        <v>1.50570889527644E-6</v>
      </c>
      <c r="E48293" s="2">
        <v>1.29031703089449E-5</v>
      </c>
      <c r="F48293" s="2">
        <v>2.0427122244780799E-5</v>
      </c>
    </row>
    <row r="48294" spans="1:6" x14ac:dyDescent="0.25">
      <c r="A48294" s="1" t="str">
        <f t="shared" si="1558"/>
        <v>99999</v>
      </c>
      <c r="B48294" s="1" t="str">
        <f>"67839"</f>
        <v>67839</v>
      </c>
      <c r="C48294" s="2">
        <v>4.51447913628595E-5</v>
      </c>
      <c r="D48294" s="2">
        <v>1.9574215638593701E-5</v>
      </c>
      <c r="E48294" s="2">
        <v>2.15052838482415E-5</v>
      </c>
      <c r="F48294" s="2">
        <v>4.29265612390322E-5</v>
      </c>
    </row>
    <row r="48295" spans="1:6" x14ac:dyDescent="0.25">
      <c r="A48295" s="1" t="str">
        <f t="shared" si="1558"/>
        <v>99999</v>
      </c>
      <c r="B48295" s="1" t="str">
        <f>"67579"</f>
        <v>67579</v>
      </c>
      <c r="C48295" s="2">
        <v>1.32078286481267E-4</v>
      </c>
      <c r="D48295" s="2">
        <v>1.76167940747343E-4</v>
      </c>
      <c r="E48295" s="2">
        <v>9.8924305701910905E-5</v>
      </c>
      <c r="F48295" s="2">
        <v>1.3420717996570999E-4</v>
      </c>
    </row>
    <row r="48296" spans="1:6" x14ac:dyDescent="0.25">
      <c r="A48296" s="1" t="str">
        <f t="shared" si="1558"/>
        <v>99999</v>
      </c>
      <c r="B48296" s="1" t="str">
        <f>"67513"</f>
        <v>67513</v>
      </c>
      <c r="C48296" s="2">
        <v>6.3873925429465503E-6</v>
      </c>
      <c r="D48296" s="2">
        <v>3.01141779055288E-6</v>
      </c>
      <c r="E48296" s="2">
        <v>8.6021135392965999E-6</v>
      </c>
      <c r="F48296" s="2">
        <v>6.2169502484115596E-6</v>
      </c>
    </row>
    <row r="48297" spans="1:6" x14ac:dyDescent="0.25">
      <c r="A48297" s="1" t="str">
        <f t="shared" si="1558"/>
        <v>99999</v>
      </c>
      <c r="B48297" s="1" t="str">
        <f>"67645"</f>
        <v>67645</v>
      </c>
      <c r="C48297" s="2">
        <v>2.5008265718994098E-5</v>
      </c>
      <c r="D48297" s="2">
        <v>1.50570889527644E-6</v>
      </c>
      <c r="E48297" s="2">
        <v>1.29031703089449E-5</v>
      </c>
      <c r="F48297" s="2">
        <v>2.3190211244074899E-5</v>
      </c>
    </row>
    <row r="48298" spans="1:6" x14ac:dyDescent="0.25">
      <c r="A48298" s="1" t="str">
        <f t="shared" si="1558"/>
        <v>99999</v>
      </c>
      <c r="B48298" s="1" t="str">
        <f>"67745"</f>
        <v>67745</v>
      </c>
      <c r="C48298" s="2">
        <v>1.9270438519397999E-5</v>
      </c>
      <c r="D48298" s="2">
        <v>6.0228355811057601E-6</v>
      </c>
      <c r="E48298" s="2">
        <v>0</v>
      </c>
      <c r="F48298" s="2">
        <v>1.79600784954111E-5</v>
      </c>
    </row>
    <row r="48299" spans="1:6" x14ac:dyDescent="0.25">
      <c r="A48299" s="1" t="str">
        <f t="shared" si="1558"/>
        <v>99999</v>
      </c>
      <c r="B48299" s="1" t="str">
        <f>"66849"</f>
        <v>66849</v>
      </c>
      <c r="C48299" s="2">
        <v>2.46834830473188E-5</v>
      </c>
      <c r="D48299" s="2">
        <v>4.5171266858293203E-6</v>
      </c>
      <c r="E48299" s="2">
        <v>4.3010567696482999E-6</v>
      </c>
      <c r="F48299" s="2">
        <v>2.2894165994150501E-5</v>
      </c>
    </row>
    <row r="48300" spans="1:6" x14ac:dyDescent="0.25">
      <c r="A48300" s="1" t="str">
        <f t="shared" si="1558"/>
        <v>99999</v>
      </c>
      <c r="B48300" s="1" t="str">
        <f>"67009"</f>
        <v>67009</v>
      </c>
      <c r="C48300" s="2">
        <v>4.6876965611794201E-5</v>
      </c>
      <c r="D48300" s="2">
        <v>6.0228355811057599E-5</v>
      </c>
      <c r="E48300" s="2">
        <v>8.6021135392965999E-6</v>
      </c>
      <c r="F48300" s="2">
        <v>4.6873831238023702E-5</v>
      </c>
    </row>
    <row r="48301" spans="1:6" x14ac:dyDescent="0.25">
      <c r="A48301" s="1" t="str">
        <f t="shared" si="1558"/>
        <v>99999</v>
      </c>
      <c r="B48301" s="1" t="str">
        <f>"66930"</f>
        <v>66930</v>
      </c>
      <c r="C48301" s="2">
        <v>1.1150871727516799E-5</v>
      </c>
      <c r="D48301" s="2">
        <v>7.5285444763821999E-6</v>
      </c>
      <c r="E48301" s="2">
        <v>4.3010567696482999E-6</v>
      </c>
      <c r="F48301" s="2">
        <v>1.07563107472517E-5</v>
      </c>
    </row>
    <row r="48302" spans="1:6" x14ac:dyDescent="0.25">
      <c r="A48302" s="1" t="str">
        <f t="shared" si="1558"/>
        <v>99999</v>
      </c>
      <c r="B48302" s="1" t="str">
        <f>"68852"</f>
        <v>68852</v>
      </c>
      <c r="C48302" s="2">
        <v>2.91221795602139E-5</v>
      </c>
      <c r="D48302" s="2">
        <v>4.5171266858293203E-6</v>
      </c>
      <c r="E48302" s="2">
        <v>4.3010567696482999E-6</v>
      </c>
      <c r="F48302" s="2">
        <v>2.6940117743116699E-5</v>
      </c>
    </row>
    <row r="48303" spans="1:6" x14ac:dyDescent="0.25">
      <c r="A48303" s="1" t="str">
        <f t="shared" si="1558"/>
        <v>99999</v>
      </c>
      <c r="B48303" s="1" t="str">
        <f>"69134"</f>
        <v>69134</v>
      </c>
      <c r="C48303" s="2">
        <v>1.9703482081631699E-5</v>
      </c>
      <c r="D48303" s="2">
        <v>1.20456711622115E-5</v>
      </c>
      <c r="E48303" s="2">
        <v>1.29031703089449E-5</v>
      </c>
      <c r="F48303" s="2">
        <v>1.9045577745133799E-5</v>
      </c>
    </row>
    <row r="48304" spans="1:6" x14ac:dyDescent="0.25">
      <c r="A48304" s="1" t="str">
        <f t="shared" si="1558"/>
        <v>99999</v>
      </c>
      <c r="B48304" s="1" t="str">
        <f>"69335"</f>
        <v>69335</v>
      </c>
      <c r="C48304" s="2">
        <v>4.0056529506613898E-6</v>
      </c>
      <c r="D48304" s="2">
        <v>3.01141779055288E-6</v>
      </c>
      <c r="E48304" s="2">
        <v>0</v>
      </c>
      <c r="F48304" s="2">
        <v>3.8485882490166797E-6</v>
      </c>
    </row>
    <row r="48305" spans="1:6" x14ac:dyDescent="0.25">
      <c r="A48305" s="1" t="str">
        <f t="shared" si="1558"/>
        <v>99999</v>
      </c>
      <c r="B48305" s="1" t="str">
        <f>"68864"</f>
        <v>68864</v>
      </c>
      <c r="C48305" s="2">
        <v>5.3047836373623898E-6</v>
      </c>
      <c r="D48305" s="2">
        <v>4.5171266858293203E-6</v>
      </c>
      <c r="E48305" s="2">
        <v>0</v>
      </c>
      <c r="F48305" s="2">
        <v>5.1314509986889099E-6</v>
      </c>
    </row>
    <row r="48306" spans="1:6" x14ac:dyDescent="0.25">
      <c r="A48306" s="1" t="str">
        <f t="shared" si="1558"/>
        <v>99999</v>
      </c>
      <c r="B48306" s="1" t="str">
        <f>"71039"</f>
        <v>71039</v>
      </c>
      <c r="C48306" s="2">
        <v>2.3492613251176299E-5</v>
      </c>
      <c r="D48306" s="2">
        <v>1.0539962266935E-5</v>
      </c>
      <c r="E48306" s="2">
        <v>0</v>
      </c>
      <c r="F48306" s="2">
        <v>2.2104711994352199E-5</v>
      </c>
    </row>
    <row r="48307" spans="1:6" x14ac:dyDescent="0.25">
      <c r="A48307" s="1" t="str">
        <f t="shared" si="1558"/>
        <v>99999</v>
      </c>
      <c r="B48307" s="1" t="str">
        <f>"71070"</f>
        <v>71070</v>
      </c>
      <c r="C48307" s="2">
        <v>5.3372619045299102E-5</v>
      </c>
      <c r="D48307" s="2">
        <v>2.7102760114975901E-5</v>
      </c>
      <c r="E48307" s="2">
        <v>4.3010567696482999E-6</v>
      </c>
      <c r="F48307" s="2">
        <v>5.0525055987090799E-5</v>
      </c>
    </row>
    <row r="48308" spans="1:6" x14ac:dyDescent="0.25">
      <c r="A48308" s="1" t="str">
        <f t="shared" si="1558"/>
        <v>99999</v>
      </c>
      <c r="B48308" s="1" t="str">
        <f>"68753"</f>
        <v>68753</v>
      </c>
      <c r="C48308" s="2">
        <v>4.2221747317782301E-6</v>
      </c>
      <c r="D48308" s="2">
        <v>1.50570889527644E-6</v>
      </c>
      <c r="E48308" s="2">
        <v>4.3010567696482999E-6</v>
      </c>
      <c r="F48308" s="2">
        <v>4.0459517489662501E-6</v>
      </c>
    </row>
    <row r="48309" spans="1:6" x14ac:dyDescent="0.25">
      <c r="A48309" s="1" t="str">
        <f t="shared" si="1558"/>
        <v>99999</v>
      </c>
      <c r="B48309" s="1" t="str">
        <f>"68745"</f>
        <v>68745</v>
      </c>
      <c r="C48309" s="2">
        <v>8.5850886212824004E-5</v>
      </c>
      <c r="D48309" s="2">
        <v>7.5285444763821999E-5</v>
      </c>
      <c r="E48309" s="2">
        <v>1.16128532780504E-4</v>
      </c>
      <c r="F48309" s="2">
        <v>8.5853122478064494E-5</v>
      </c>
    </row>
    <row r="48310" spans="1:6" x14ac:dyDescent="0.25">
      <c r="A48310" s="1" t="str">
        <f t="shared" si="1558"/>
        <v>99999</v>
      </c>
      <c r="B48310" s="1" t="str">
        <f>"68623"</f>
        <v>68623</v>
      </c>
      <c r="C48310" s="2">
        <v>1.40739157725941E-5</v>
      </c>
      <c r="D48310" s="2">
        <v>0</v>
      </c>
      <c r="E48310" s="2">
        <v>4.3010567696482999E-6</v>
      </c>
      <c r="F48310" s="2">
        <v>1.2927309246696999E-5</v>
      </c>
    </row>
    <row r="48311" spans="1:6" x14ac:dyDescent="0.25">
      <c r="A48311" s="1" t="str">
        <f t="shared" si="1558"/>
        <v>99999</v>
      </c>
      <c r="B48311" s="1" t="str">
        <f>"68375"</f>
        <v>68375</v>
      </c>
      <c r="C48311" s="2">
        <v>5.1965227468039701E-6</v>
      </c>
      <c r="D48311" s="2">
        <v>3.01141779055288E-6</v>
      </c>
      <c r="E48311" s="2">
        <v>4.3010567696482999E-6</v>
      </c>
      <c r="F48311" s="2">
        <v>5.0327692487141197E-6</v>
      </c>
    </row>
    <row r="48312" spans="1:6" x14ac:dyDescent="0.25">
      <c r="A48312" s="1" t="str">
        <f t="shared" si="1558"/>
        <v>99999</v>
      </c>
      <c r="B48312" s="1" t="str">
        <f>"72125"</f>
        <v>72125</v>
      </c>
      <c r="C48312" s="2">
        <v>1.62391335837624E-5</v>
      </c>
      <c r="D48312" s="2">
        <v>0</v>
      </c>
      <c r="E48312" s="2">
        <v>0</v>
      </c>
      <c r="F48312" s="2">
        <v>1.4802262496217999E-5</v>
      </c>
    </row>
    <row r="48313" spans="1:6" x14ac:dyDescent="0.25">
      <c r="A48313" s="1" t="str">
        <f t="shared" si="1558"/>
        <v>99999</v>
      </c>
      <c r="B48313" s="1" t="str">
        <f>"72585"</f>
        <v>72585</v>
      </c>
      <c r="C48313" s="2">
        <v>2.5657831062344601E-5</v>
      </c>
      <c r="D48313" s="2">
        <v>6.0228355811057601E-6</v>
      </c>
      <c r="E48313" s="2">
        <v>8.6021135392965999E-6</v>
      </c>
      <c r="F48313" s="2">
        <v>2.3979665243873099E-5</v>
      </c>
    </row>
    <row r="48314" spans="1:6" x14ac:dyDescent="0.25">
      <c r="A48314" s="1" t="str">
        <f t="shared" si="1558"/>
        <v>99999</v>
      </c>
      <c r="B48314" s="1" t="str">
        <f>"72538"</f>
        <v>72538</v>
      </c>
      <c r="C48314" s="2">
        <v>2.5766091952903002E-5</v>
      </c>
      <c r="D48314" s="2">
        <v>1.50570889527644E-5</v>
      </c>
      <c r="E48314" s="2">
        <v>4.3010567696482999E-6</v>
      </c>
      <c r="F48314" s="2">
        <v>2.4571755743721902E-5</v>
      </c>
    </row>
    <row r="48315" spans="1:6" x14ac:dyDescent="0.25">
      <c r="A48315" s="1" t="str">
        <f t="shared" si="1558"/>
        <v>99999</v>
      </c>
      <c r="B48315" s="1" t="str">
        <f>"71425"</f>
        <v>71425</v>
      </c>
      <c r="C48315" s="2">
        <v>1.0284784603049499E-5</v>
      </c>
      <c r="D48315" s="2">
        <v>1.50570889527644E-6</v>
      </c>
      <c r="E48315" s="2">
        <v>0</v>
      </c>
      <c r="F48315" s="2">
        <v>9.4734479975795299E-6</v>
      </c>
    </row>
    <row r="48316" spans="1:6" x14ac:dyDescent="0.25">
      <c r="A48316" s="1" t="str">
        <f t="shared" si="1558"/>
        <v>99999</v>
      </c>
      <c r="B48316" s="1" t="str">
        <f>"71662"</f>
        <v>71662</v>
      </c>
      <c r="C48316" s="2">
        <v>1.08260890558416E-5</v>
      </c>
      <c r="D48316" s="2">
        <v>1.0539962266935E-5</v>
      </c>
      <c r="E48316" s="2">
        <v>4.3010567696482999E-6</v>
      </c>
      <c r="F48316" s="2">
        <v>1.06576289972769E-5</v>
      </c>
    </row>
    <row r="48317" spans="1:6" x14ac:dyDescent="0.25">
      <c r="A48317" s="1" t="str">
        <f t="shared" si="1558"/>
        <v>99999</v>
      </c>
      <c r="B48317" s="1" t="str">
        <f>"71369"</f>
        <v>71369</v>
      </c>
      <c r="C48317" s="2">
        <v>6.5606099678400105E-5</v>
      </c>
      <c r="D48317" s="2">
        <v>5.5711229125228301E-5</v>
      </c>
      <c r="E48317" s="2">
        <v>1.72042270785932E-5</v>
      </c>
      <c r="F48317" s="2">
        <v>6.3847092233686997E-5</v>
      </c>
    </row>
    <row r="48318" spans="1:6" x14ac:dyDescent="0.25">
      <c r="A48318" s="1" t="str">
        <f t="shared" si="1558"/>
        <v>99999</v>
      </c>
      <c r="B48318" s="1" t="str">
        <f>"74027"</f>
        <v>74027</v>
      </c>
      <c r="C48318" s="2">
        <v>4.6985226502352598E-5</v>
      </c>
      <c r="D48318" s="2">
        <v>1.50570889527644E-5</v>
      </c>
      <c r="E48318" s="2">
        <v>4.3010567696482999E-6</v>
      </c>
      <c r="F48318" s="2">
        <v>4.3913378738780102E-5</v>
      </c>
    </row>
    <row r="48319" spans="1:6" x14ac:dyDescent="0.25">
      <c r="A48319" s="1" t="str">
        <f t="shared" si="1558"/>
        <v>99999</v>
      </c>
      <c r="B48319" s="1" t="str">
        <f>"73722"</f>
        <v>73722</v>
      </c>
      <c r="C48319" s="2">
        <v>2.9555223122447599E-5</v>
      </c>
      <c r="D48319" s="2">
        <v>2.8608469010252301E-5</v>
      </c>
      <c r="E48319" s="2">
        <v>4.3010567696482999E-6</v>
      </c>
      <c r="F48319" s="2">
        <v>2.89137527426125E-5</v>
      </c>
    </row>
    <row r="48320" spans="1:6" x14ac:dyDescent="0.25">
      <c r="A48320" s="1" t="str">
        <f t="shared" si="1558"/>
        <v>99999</v>
      </c>
      <c r="B48320" s="1" t="str">
        <f>"73739"</f>
        <v>73739</v>
      </c>
      <c r="C48320" s="2">
        <v>1.6130872693204E-5</v>
      </c>
      <c r="D48320" s="2">
        <v>6.0228355811057601E-6</v>
      </c>
      <c r="E48320" s="2">
        <v>4.3010567696482999E-6</v>
      </c>
      <c r="F48320" s="2">
        <v>1.5196989496117099E-5</v>
      </c>
    </row>
    <row r="48321" spans="1:6" x14ac:dyDescent="0.25">
      <c r="A48321" s="1" t="str">
        <f t="shared" si="1558"/>
        <v>99999</v>
      </c>
      <c r="B48321" s="1" t="str">
        <f>"74651"</f>
        <v>74651</v>
      </c>
      <c r="C48321" s="2">
        <v>2.5116526609552499E-5</v>
      </c>
      <c r="D48321" s="2">
        <v>4.0654140172463799E-5</v>
      </c>
      <c r="E48321" s="2">
        <v>1.29031703089449E-5</v>
      </c>
      <c r="F48321" s="2">
        <v>2.5854618493394101E-5</v>
      </c>
    </row>
    <row r="48322" spans="1:6" x14ac:dyDescent="0.25">
      <c r="A48322" s="1" t="str">
        <f t="shared" si="1558"/>
        <v>99999</v>
      </c>
      <c r="B48322" s="1" t="str">
        <f>"73053"</f>
        <v>73053</v>
      </c>
      <c r="C48322" s="2">
        <v>3.6483920118186202E-5</v>
      </c>
      <c r="D48322" s="2">
        <v>2.55970512196994E-5</v>
      </c>
      <c r="E48322" s="2">
        <v>4.3010567696482999E-6</v>
      </c>
      <c r="F48322" s="2">
        <v>3.5032021241049297E-5</v>
      </c>
    </row>
    <row r="48323" spans="1:6" x14ac:dyDescent="0.25">
      <c r="A48323" s="1" t="str">
        <f t="shared" si="1558"/>
        <v>99999</v>
      </c>
      <c r="B48323" s="1" t="str">
        <f>"76481"</f>
        <v>76481</v>
      </c>
      <c r="C48323" s="2">
        <v>1.5589568240411901E-5</v>
      </c>
      <c r="D48323" s="2">
        <v>6.0228355811057601E-6</v>
      </c>
      <c r="E48323" s="2">
        <v>4.3010567696482999E-6</v>
      </c>
      <c r="F48323" s="2">
        <v>1.47035807462432E-5</v>
      </c>
    </row>
    <row r="48324" spans="1:6" x14ac:dyDescent="0.25">
      <c r="A48324" s="1" t="str">
        <f t="shared" si="1558"/>
        <v>99999</v>
      </c>
      <c r="B48324" s="1" t="str">
        <f>"76885"</f>
        <v>76885</v>
      </c>
      <c r="C48324" s="2">
        <v>6.7121752146218001E-6</v>
      </c>
      <c r="D48324" s="2">
        <v>0</v>
      </c>
      <c r="E48324" s="2">
        <v>4.3010567696482999E-6</v>
      </c>
      <c r="F48324" s="2">
        <v>6.2169502484115596E-6</v>
      </c>
    </row>
    <row r="48325" spans="1:6" x14ac:dyDescent="0.25">
      <c r="A48325" s="1" t="str">
        <f t="shared" si="1558"/>
        <v>99999</v>
      </c>
      <c r="B48325" s="1" t="str">
        <f>"76431"</f>
        <v>76431</v>
      </c>
      <c r="C48325" s="2">
        <v>3.2478267167524799E-6</v>
      </c>
      <c r="D48325" s="2">
        <v>0</v>
      </c>
      <c r="E48325" s="2">
        <v>0</v>
      </c>
      <c r="F48325" s="2">
        <v>2.9604524992435999E-6</v>
      </c>
    </row>
    <row r="48326" spans="1:6" x14ac:dyDescent="0.25">
      <c r="A48326" s="1" t="str">
        <f t="shared" ref="A48326:A48389" si="1559">"99999"</f>
        <v>99999</v>
      </c>
      <c r="B48326" s="1" t="str">
        <f>"79061"</f>
        <v>79061</v>
      </c>
      <c r="C48326" s="2">
        <v>3.2478267167524801E-5</v>
      </c>
      <c r="D48326" s="2">
        <v>3.01141779055288E-6</v>
      </c>
      <c r="E48326" s="2">
        <v>8.6021135392965999E-6</v>
      </c>
      <c r="F48326" s="2">
        <v>2.9999251992335099E-5</v>
      </c>
    </row>
    <row r="48327" spans="1:6" x14ac:dyDescent="0.25">
      <c r="A48327" s="1" t="str">
        <f t="shared" si="1559"/>
        <v>99999</v>
      </c>
      <c r="B48327" s="1" t="str">
        <f>"79229"</f>
        <v>79229</v>
      </c>
      <c r="C48327" s="2">
        <v>6.2791316523881298E-6</v>
      </c>
      <c r="D48327" s="2">
        <v>1.50570889527644E-6</v>
      </c>
      <c r="E48327" s="2">
        <v>0</v>
      </c>
      <c r="F48327" s="2">
        <v>5.8222232485124198E-6</v>
      </c>
    </row>
    <row r="48328" spans="1:6" x14ac:dyDescent="0.25">
      <c r="A48328" s="1" t="str">
        <f t="shared" si="1559"/>
        <v>99999</v>
      </c>
      <c r="B48328" s="1" t="str">
        <f>"79256"</f>
        <v>79256</v>
      </c>
      <c r="C48328" s="2">
        <v>1.08260890558416E-5</v>
      </c>
      <c r="D48328" s="2">
        <v>6.0228355811057601E-6</v>
      </c>
      <c r="E48328" s="2">
        <v>0</v>
      </c>
      <c r="F48328" s="2">
        <v>1.02629019973778E-5</v>
      </c>
    </row>
    <row r="48329" spans="1:6" x14ac:dyDescent="0.25">
      <c r="A48329" s="1" t="str">
        <f t="shared" si="1559"/>
        <v>99999</v>
      </c>
      <c r="B48329" s="1" t="str">
        <f>"77455"</f>
        <v>77455</v>
      </c>
      <c r="C48329" s="2">
        <v>2.1652178111683198E-6</v>
      </c>
      <c r="D48329" s="2">
        <v>0</v>
      </c>
      <c r="E48329" s="2">
        <v>0</v>
      </c>
      <c r="F48329" s="2">
        <v>1.9736349994957299E-6</v>
      </c>
    </row>
    <row r="48330" spans="1:6" x14ac:dyDescent="0.25">
      <c r="A48330" s="1" t="str">
        <f t="shared" si="1559"/>
        <v>99999</v>
      </c>
      <c r="B48330" s="1" t="str">
        <f>"79755"</f>
        <v>79755</v>
      </c>
      <c r="C48330" s="2">
        <v>6.9286969957386301E-6</v>
      </c>
      <c r="D48330" s="2">
        <v>7.5285444763821999E-6</v>
      </c>
      <c r="E48330" s="2">
        <v>4.3010567696482999E-6</v>
      </c>
      <c r="F48330" s="2">
        <v>6.9077224982350703E-6</v>
      </c>
    </row>
    <row r="48331" spans="1:6" x14ac:dyDescent="0.25">
      <c r="A48331" s="1" t="str">
        <f t="shared" si="1559"/>
        <v>99999</v>
      </c>
      <c r="B48331" s="1" t="str">
        <f>"81036"</f>
        <v>81036</v>
      </c>
      <c r="C48331" s="2">
        <v>3.3452615182550501E-5</v>
      </c>
      <c r="D48331" s="2">
        <v>1.0539962266935E-5</v>
      </c>
      <c r="E48331" s="2">
        <v>2.15052838482415E-5</v>
      </c>
      <c r="F48331" s="2">
        <v>3.1676841741906503E-5</v>
      </c>
    </row>
    <row r="48332" spans="1:6" x14ac:dyDescent="0.25">
      <c r="A48332" s="1" t="str">
        <f t="shared" si="1559"/>
        <v>99999</v>
      </c>
      <c r="B48332" s="1" t="str">
        <f>"83610"</f>
        <v>83610</v>
      </c>
      <c r="C48332" s="2">
        <v>3.0637832028031702E-5</v>
      </c>
      <c r="D48332" s="2">
        <v>1.80685067433172E-5</v>
      </c>
      <c r="E48332" s="2">
        <v>2.15052838482415E-5</v>
      </c>
      <c r="F48332" s="2">
        <v>2.9604524992435998E-5</v>
      </c>
    </row>
    <row r="48333" spans="1:6" x14ac:dyDescent="0.25">
      <c r="A48333" s="1" t="str">
        <f t="shared" si="1559"/>
        <v>99999</v>
      </c>
      <c r="B48333" s="1" t="str">
        <f>"80861"</f>
        <v>80861</v>
      </c>
      <c r="C48333" s="2">
        <v>1.2125219742542599E-5</v>
      </c>
      <c r="D48333" s="2">
        <v>0</v>
      </c>
      <c r="E48333" s="2">
        <v>1.29031703089449E-5</v>
      </c>
      <c r="F48333" s="2">
        <v>1.1348401247100399E-5</v>
      </c>
    </row>
    <row r="48334" spans="1:6" x14ac:dyDescent="0.25">
      <c r="A48334" s="1" t="str">
        <f t="shared" si="1559"/>
        <v>99999</v>
      </c>
      <c r="B48334" s="1" t="str">
        <f>"84521"</f>
        <v>84521</v>
      </c>
      <c r="C48334" s="2">
        <v>3.6808702789861399E-5</v>
      </c>
      <c r="D48334" s="2">
        <v>2.25856334291466E-5</v>
      </c>
      <c r="E48334" s="2">
        <v>8.6021135392965999E-6</v>
      </c>
      <c r="F48334" s="2">
        <v>3.5229384740998803E-5</v>
      </c>
    </row>
    <row r="48335" spans="1:6" x14ac:dyDescent="0.25">
      <c r="A48335" s="1" t="str">
        <f t="shared" si="1559"/>
        <v>99999</v>
      </c>
      <c r="B48335" s="1" t="str">
        <f>"96112"</f>
        <v>96112</v>
      </c>
      <c r="C48335" s="2">
        <v>4.3304356223366401E-7</v>
      </c>
      <c r="D48335" s="2">
        <v>0</v>
      </c>
      <c r="E48335" s="2">
        <v>4.3010567696482999E-6</v>
      </c>
      <c r="F48335" s="2">
        <v>4.9340874987393396E-7</v>
      </c>
    </row>
    <row r="48336" spans="1:6" x14ac:dyDescent="0.25">
      <c r="A48336" s="1" t="str">
        <f t="shared" si="1559"/>
        <v>99999</v>
      </c>
      <c r="B48336" s="1" t="str">
        <f>"96050"</f>
        <v>96050</v>
      </c>
      <c r="C48336" s="2">
        <v>2.84726142168634E-5</v>
      </c>
      <c r="D48336" s="2">
        <v>1.0539962266935E-5</v>
      </c>
      <c r="E48336" s="2">
        <v>1.72042270785932E-5</v>
      </c>
      <c r="F48336" s="2">
        <v>2.7038799493091499E-5</v>
      </c>
    </row>
    <row r="48337" spans="1:6" x14ac:dyDescent="0.25">
      <c r="A48337" s="1" t="str">
        <f t="shared" si="1559"/>
        <v>99999</v>
      </c>
      <c r="B48337" s="1" t="str">
        <f>"97368"</f>
        <v>97368</v>
      </c>
      <c r="C48337" s="2">
        <v>5.7378271995960499E-6</v>
      </c>
      <c r="D48337" s="2">
        <v>1.50570889527644E-6</v>
      </c>
      <c r="E48337" s="2">
        <v>8.6021135392965999E-6</v>
      </c>
      <c r="F48337" s="2">
        <v>5.52617799858806E-6</v>
      </c>
    </row>
    <row r="48338" spans="1:6" x14ac:dyDescent="0.25">
      <c r="A48338" s="1" t="str">
        <f t="shared" si="1559"/>
        <v>99999</v>
      </c>
      <c r="B48338" s="1" t="str">
        <f>"98590"</f>
        <v>98590</v>
      </c>
      <c r="C48338" s="2">
        <v>1.09343499464E-5</v>
      </c>
      <c r="D48338" s="2">
        <v>1.0539962266935E-5</v>
      </c>
      <c r="E48338" s="2">
        <v>4.3010567696482999E-6</v>
      </c>
      <c r="F48338" s="2">
        <v>1.07563107472517E-5</v>
      </c>
    </row>
    <row r="48339" spans="1:6" x14ac:dyDescent="0.25">
      <c r="A48339" s="1" t="str">
        <f t="shared" si="1559"/>
        <v>99999</v>
      </c>
      <c r="B48339" s="1" t="str">
        <f>"83830"</f>
        <v>83830</v>
      </c>
      <c r="C48339" s="2">
        <v>4.98000096568714E-6</v>
      </c>
      <c r="D48339" s="2">
        <v>1.50570889527644E-6</v>
      </c>
      <c r="E48339" s="2">
        <v>4.3010567696482999E-6</v>
      </c>
      <c r="F48339" s="2">
        <v>4.7367239987897599E-6</v>
      </c>
    </row>
    <row r="48340" spans="1:6" x14ac:dyDescent="0.25">
      <c r="A48340" s="1" t="str">
        <f t="shared" si="1559"/>
        <v>99999</v>
      </c>
      <c r="B48340" s="1" t="str">
        <f>"03890"</f>
        <v>03890</v>
      </c>
      <c r="C48340" s="2">
        <v>9.6352192596990302E-6</v>
      </c>
      <c r="D48340" s="2">
        <v>1.20456711622115E-5</v>
      </c>
      <c r="E48340" s="2">
        <v>1.29031703089449E-5</v>
      </c>
      <c r="F48340" s="2">
        <v>9.8681749974786808E-6</v>
      </c>
    </row>
    <row r="48341" spans="1:6" x14ac:dyDescent="0.25">
      <c r="A48341" s="1" t="str">
        <f t="shared" si="1559"/>
        <v>99999</v>
      </c>
      <c r="B48341" s="1" t="str">
        <f>"04492"</f>
        <v>04492</v>
      </c>
      <c r="C48341" s="2">
        <v>8.6608712446732894E-6</v>
      </c>
      <c r="D48341" s="2">
        <v>3.01141779055288E-6</v>
      </c>
      <c r="E48341" s="2">
        <v>4.3010567696482999E-6</v>
      </c>
      <c r="F48341" s="2">
        <v>8.1905852479073005E-6</v>
      </c>
    </row>
    <row r="48342" spans="1:6" x14ac:dyDescent="0.25">
      <c r="A48342" s="1" t="str">
        <f t="shared" si="1559"/>
        <v>99999</v>
      </c>
      <c r="B48342" s="1" t="str">
        <f>"04922"</f>
        <v>04922</v>
      </c>
      <c r="C48342" s="2">
        <v>6.6905230365101097E-5</v>
      </c>
      <c r="D48342" s="2">
        <v>1.9574215638593701E-5</v>
      </c>
      <c r="E48342" s="2">
        <v>1.29031703089449E-5</v>
      </c>
      <c r="F48342" s="2">
        <v>6.2564229484014805E-5</v>
      </c>
    </row>
    <row r="48343" spans="1:6" x14ac:dyDescent="0.25">
      <c r="A48343" s="1" t="str">
        <f t="shared" si="1559"/>
        <v>99999</v>
      </c>
      <c r="B48343" s="1" t="str">
        <f>"14591"</f>
        <v>14591</v>
      </c>
      <c r="C48343" s="2">
        <v>6.9936535300736804E-5</v>
      </c>
      <c r="D48343" s="2">
        <v>4.0654140172463799E-5</v>
      </c>
      <c r="E48343" s="2">
        <v>2.58063406178898E-5</v>
      </c>
      <c r="F48343" s="2">
        <v>6.7004908232880204E-5</v>
      </c>
    </row>
    <row r="48344" spans="1:6" x14ac:dyDescent="0.25">
      <c r="A48344" s="1" t="str">
        <f t="shared" si="1559"/>
        <v>99999</v>
      </c>
      <c r="B48344" s="1" t="str">
        <f>"24599"</f>
        <v>24599</v>
      </c>
      <c r="C48344" s="2">
        <v>2.0461308315540598E-5</v>
      </c>
      <c r="D48344" s="2">
        <v>1.0539962266935E-5</v>
      </c>
      <c r="E48344" s="2">
        <v>0</v>
      </c>
      <c r="F48344" s="2">
        <v>1.9341622995058201E-5</v>
      </c>
    </row>
    <row r="48345" spans="1:6" x14ac:dyDescent="0.25">
      <c r="A48345" s="1" t="str">
        <f t="shared" si="1559"/>
        <v>99999</v>
      </c>
      <c r="B48345" s="1" t="str">
        <f>"24522"</f>
        <v>24522</v>
      </c>
      <c r="C48345" s="2">
        <v>3.7891311695445602E-6</v>
      </c>
      <c r="D48345" s="2">
        <v>3.01141779055288E-6</v>
      </c>
      <c r="E48345" s="2">
        <v>0</v>
      </c>
      <c r="F48345" s="2">
        <v>3.6512247490671102E-6</v>
      </c>
    </row>
    <row r="48346" spans="1:6" x14ac:dyDescent="0.25">
      <c r="A48346" s="1" t="str">
        <f t="shared" si="1559"/>
        <v>99999</v>
      </c>
      <c r="B48346" s="1" t="str">
        <f>"24846"</f>
        <v>24846</v>
      </c>
      <c r="C48346" s="2">
        <v>1.6563916255437601E-5</v>
      </c>
      <c r="D48346" s="2">
        <v>3.01141779055288E-6</v>
      </c>
      <c r="E48346" s="2">
        <v>4.3010567696482999E-6</v>
      </c>
      <c r="F48346" s="2">
        <v>1.5394352996066698E-5</v>
      </c>
    </row>
    <row r="48347" spans="1:6" x14ac:dyDescent="0.25">
      <c r="A48347" s="1" t="str">
        <f t="shared" si="1559"/>
        <v>99999</v>
      </c>
      <c r="B48347" s="1" t="str">
        <f>"24860"</f>
        <v>24860</v>
      </c>
      <c r="C48347" s="2">
        <v>7.0369578862970498E-6</v>
      </c>
      <c r="D48347" s="2">
        <v>1.50570889527644E-6</v>
      </c>
      <c r="E48347" s="2">
        <v>0</v>
      </c>
      <c r="F48347" s="2">
        <v>6.5129954983359203E-6</v>
      </c>
    </row>
    <row r="48348" spans="1:6" x14ac:dyDescent="0.25">
      <c r="A48348" s="1" t="str">
        <f t="shared" si="1559"/>
        <v>99999</v>
      </c>
      <c r="B48348" s="1" t="str">
        <f>"25608"</f>
        <v>25608</v>
      </c>
      <c r="C48348" s="2">
        <v>3.2586528058083198E-5</v>
      </c>
      <c r="D48348" s="2">
        <v>9.0342533716586405E-6</v>
      </c>
      <c r="E48348" s="2">
        <v>0</v>
      </c>
      <c r="F48348" s="2">
        <v>3.02952972422595E-5</v>
      </c>
    </row>
    <row r="48349" spans="1:6" x14ac:dyDescent="0.25">
      <c r="A48349" s="1" t="str">
        <f t="shared" si="1559"/>
        <v>99999</v>
      </c>
      <c r="B48349" s="1" t="str">
        <f>"26162"</f>
        <v>26162</v>
      </c>
      <c r="C48349" s="2">
        <v>6.2791316523881298E-6</v>
      </c>
      <c r="D48349" s="2">
        <v>0</v>
      </c>
      <c r="E48349" s="2">
        <v>4.3010567696482999E-6</v>
      </c>
      <c r="F48349" s="2">
        <v>5.8222232485124198E-6</v>
      </c>
    </row>
    <row r="48350" spans="1:6" x14ac:dyDescent="0.25">
      <c r="A48350" s="1" t="str">
        <f t="shared" si="1559"/>
        <v>99999</v>
      </c>
      <c r="B48350" s="1" t="str">
        <f>"26208"</f>
        <v>26208</v>
      </c>
      <c r="C48350" s="2">
        <v>4.3087834442249601E-5</v>
      </c>
      <c r="D48350" s="2">
        <v>0</v>
      </c>
      <c r="E48350" s="2">
        <v>4.3010567696482999E-6</v>
      </c>
      <c r="F48350" s="2">
        <v>3.9374018239939899E-5</v>
      </c>
    </row>
    <row r="48351" spans="1:6" x14ac:dyDescent="0.25">
      <c r="A48351" s="1" t="str">
        <f t="shared" si="1559"/>
        <v>99999</v>
      </c>
      <c r="B48351" s="1" t="str">
        <f>"26717"</f>
        <v>26717</v>
      </c>
      <c r="C48351" s="2">
        <v>7.6865232296475401E-6</v>
      </c>
      <c r="D48351" s="2">
        <v>4.5171266858293203E-6</v>
      </c>
      <c r="E48351" s="2">
        <v>0</v>
      </c>
      <c r="F48351" s="2">
        <v>7.3024494981342204E-6</v>
      </c>
    </row>
    <row r="48352" spans="1:6" x14ac:dyDescent="0.25">
      <c r="A48352" s="1" t="str">
        <f t="shared" si="1559"/>
        <v>99999</v>
      </c>
      <c r="B48352" s="1" t="str">
        <f>"26443"</f>
        <v>26443</v>
      </c>
      <c r="C48352" s="2">
        <v>1.07178281652832E-5</v>
      </c>
      <c r="D48352" s="2">
        <v>3.01141779055288E-6</v>
      </c>
      <c r="E48352" s="2">
        <v>4.3010567696482999E-6</v>
      </c>
      <c r="F48352" s="2">
        <v>1.00655384974282E-5</v>
      </c>
    </row>
    <row r="48353" spans="1:6" x14ac:dyDescent="0.25">
      <c r="A48353" s="1" t="str">
        <f t="shared" si="1559"/>
        <v>99999</v>
      </c>
      <c r="B48353" s="1" t="str">
        <f>"28578"</f>
        <v>28578</v>
      </c>
      <c r="C48353" s="2">
        <v>2.74982662018377E-5</v>
      </c>
      <c r="D48353" s="2">
        <v>1.50570889527644E-6</v>
      </c>
      <c r="E48353" s="2">
        <v>0</v>
      </c>
      <c r="F48353" s="2">
        <v>2.5163846243570599E-5</v>
      </c>
    </row>
    <row r="48354" spans="1:6" x14ac:dyDescent="0.25">
      <c r="A48354" s="1" t="str">
        <f t="shared" si="1559"/>
        <v>99999</v>
      </c>
      <c r="B48354" s="1" t="str">
        <f>"30562"</f>
        <v>30562</v>
      </c>
      <c r="C48354" s="2">
        <v>7.3184362017489305E-5</v>
      </c>
      <c r="D48354" s="2">
        <v>4.5171266858293199E-5</v>
      </c>
      <c r="E48354" s="2">
        <v>8.6021135392965999E-6</v>
      </c>
      <c r="F48354" s="2">
        <v>6.9866678982149E-5</v>
      </c>
    </row>
    <row r="48355" spans="1:6" x14ac:dyDescent="0.25">
      <c r="A48355" s="1" t="str">
        <f t="shared" si="1559"/>
        <v>99999</v>
      </c>
      <c r="B48355" s="1" t="str">
        <f>"30474"</f>
        <v>30474</v>
      </c>
      <c r="C48355" s="2">
        <v>8.9856539163485408E-6</v>
      </c>
      <c r="D48355" s="2">
        <v>1.50570889527644E-6</v>
      </c>
      <c r="E48355" s="2">
        <v>1.72042270785932E-5</v>
      </c>
      <c r="F48355" s="2">
        <v>8.6839939977812298E-6</v>
      </c>
    </row>
    <row r="48356" spans="1:6" x14ac:dyDescent="0.25">
      <c r="A48356" s="1" t="str">
        <f t="shared" si="1559"/>
        <v>99999</v>
      </c>
      <c r="B48356" s="1" t="str">
        <f>"32656"</f>
        <v>32656</v>
      </c>
      <c r="C48356" s="2">
        <v>7.81643629831764E-5</v>
      </c>
      <c r="D48356" s="2">
        <v>5.2699811334675399E-5</v>
      </c>
      <c r="E48356" s="2">
        <v>8.6021135392965999E-5</v>
      </c>
      <c r="F48356" s="2">
        <v>7.6675719730409298E-5</v>
      </c>
    </row>
    <row r="48357" spans="1:6" x14ac:dyDescent="0.25">
      <c r="A48357" s="1" t="str">
        <f t="shared" si="1559"/>
        <v>99999</v>
      </c>
      <c r="B48357" s="1" t="str">
        <f>"39601"</f>
        <v>39601</v>
      </c>
      <c r="C48357" s="2">
        <v>1.6455655364879201E-5</v>
      </c>
      <c r="D48357" s="2">
        <v>4.5171266858293203E-6</v>
      </c>
      <c r="E48357" s="2">
        <v>0</v>
      </c>
      <c r="F48357" s="2">
        <v>1.5295671246091901E-5</v>
      </c>
    </row>
    <row r="48358" spans="1:6" x14ac:dyDescent="0.25">
      <c r="A48358" s="1" t="str">
        <f t="shared" si="1559"/>
        <v>99999</v>
      </c>
      <c r="B48358" s="1" t="str">
        <f>"38588"</f>
        <v>38588</v>
      </c>
      <c r="C48358" s="2">
        <v>2.68487008584872E-5</v>
      </c>
      <c r="D48358" s="2">
        <v>2.8608469010252301E-5</v>
      </c>
      <c r="E48358" s="2">
        <v>0</v>
      </c>
      <c r="F48358" s="2">
        <v>2.6348027243268001E-5</v>
      </c>
    </row>
    <row r="48359" spans="1:6" x14ac:dyDescent="0.25">
      <c r="A48359" s="1" t="str">
        <f t="shared" si="1559"/>
        <v>99999</v>
      </c>
      <c r="B48359" s="1" t="str">
        <f>"42376"</f>
        <v>42376</v>
      </c>
      <c r="C48359" s="2">
        <v>5.44552279508833E-5</v>
      </c>
      <c r="D48359" s="2">
        <v>2.4091342324423E-5</v>
      </c>
      <c r="E48359" s="2">
        <v>0</v>
      </c>
      <c r="F48359" s="2">
        <v>5.1215828236914297E-5</v>
      </c>
    </row>
    <row r="48360" spans="1:6" x14ac:dyDescent="0.25">
      <c r="A48360" s="1" t="str">
        <f t="shared" si="1559"/>
        <v>99999</v>
      </c>
      <c r="B48360" s="1" t="str">
        <f>"42039"</f>
        <v>42039</v>
      </c>
      <c r="C48360" s="2">
        <v>3.3127832510875297E-5</v>
      </c>
      <c r="D48360" s="2">
        <v>3.01141779055288E-6</v>
      </c>
      <c r="E48360" s="2">
        <v>9.8924305701910905E-5</v>
      </c>
      <c r="F48360" s="2">
        <v>3.2663659241654398E-5</v>
      </c>
    </row>
    <row r="48361" spans="1:6" x14ac:dyDescent="0.25">
      <c r="A48361" s="1" t="str">
        <f t="shared" si="1559"/>
        <v>99999</v>
      </c>
      <c r="B48361" s="1" t="str">
        <f>"41540"</f>
        <v>41540</v>
      </c>
      <c r="C48361" s="2">
        <v>2.0136525643865401E-5</v>
      </c>
      <c r="D48361" s="2">
        <v>3.01141779055288E-6</v>
      </c>
      <c r="E48361" s="2">
        <v>4.3010567696482999E-6</v>
      </c>
      <c r="F48361" s="2">
        <v>1.8650850745234699E-5</v>
      </c>
    </row>
    <row r="48362" spans="1:6" x14ac:dyDescent="0.25">
      <c r="A48362" s="1" t="str">
        <f t="shared" si="1559"/>
        <v>99999</v>
      </c>
      <c r="B48362" s="1" t="str">
        <f>"42082"</f>
        <v>42082</v>
      </c>
      <c r="C48362" s="2">
        <v>2.0569569206098999E-5</v>
      </c>
      <c r="D48362" s="2">
        <v>1.50570889527644E-6</v>
      </c>
      <c r="E48362" s="2">
        <v>0</v>
      </c>
      <c r="F48362" s="2">
        <v>1.8848214245184198E-5</v>
      </c>
    </row>
    <row r="48363" spans="1:6" x14ac:dyDescent="0.25">
      <c r="A48363" s="1" t="str">
        <f t="shared" si="1559"/>
        <v>99999</v>
      </c>
      <c r="B48363" s="1" t="str">
        <f>"41512"</f>
        <v>41512</v>
      </c>
      <c r="C48363" s="2">
        <v>3.8107833476562398E-5</v>
      </c>
      <c r="D48363" s="2">
        <v>7.5285444763821999E-6</v>
      </c>
      <c r="E48363" s="2">
        <v>4.7311624466131299E-5</v>
      </c>
      <c r="F48363" s="2">
        <v>3.6314883990721503E-5</v>
      </c>
    </row>
    <row r="48364" spans="1:6" x14ac:dyDescent="0.25">
      <c r="A48364" s="1" t="str">
        <f t="shared" si="1559"/>
        <v>99999</v>
      </c>
      <c r="B48364" s="1" t="str">
        <f>"41713"</f>
        <v>41713</v>
      </c>
      <c r="C48364" s="2">
        <v>0</v>
      </c>
      <c r="D48364" s="2">
        <v>0</v>
      </c>
      <c r="E48364" s="2">
        <v>4.3010567696482999E-6</v>
      </c>
      <c r="F48364" s="2">
        <v>9.8681749974786797E-8</v>
      </c>
    </row>
    <row r="48365" spans="1:6" x14ac:dyDescent="0.25">
      <c r="A48365" s="1" t="str">
        <f t="shared" si="1559"/>
        <v>99999</v>
      </c>
      <c r="B48365" s="1" t="str">
        <f>"42634"</f>
        <v>42634</v>
      </c>
      <c r="C48365" s="2">
        <v>5.7919576448752602E-5</v>
      </c>
      <c r="D48365" s="2">
        <v>1.80685067433172E-5</v>
      </c>
      <c r="E48365" s="2">
        <v>5.5913738005427899E-5</v>
      </c>
      <c r="F48365" s="2">
        <v>5.5261779985880603E-5</v>
      </c>
    </row>
    <row r="48366" spans="1:6" x14ac:dyDescent="0.25">
      <c r="A48366" s="1" t="str">
        <f t="shared" si="1559"/>
        <v>99999</v>
      </c>
      <c r="B48366" s="1" t="str">
        <f>"42715"</f>
        <v>42715</v>
      </c>
      <c r="C48366" s="2">
        <v>2.6740439967928698E-5</v>
      </c>
      <c r="D48366" s="2">
        <v>1.50570889527644E-6</v>
      </c>
      <c r="E48366" s="2">
        <v>6.8816908314372799E-5</v>
      </c>
      <c r="F48366" s="2">
        <v>2.6051981993343701E-5</v>
      </c>
    </row>
    <row r="48367" spans="1:6" x14ac:dyDescent="0.25">
      <c r="A48367" s="1" t="str">
        <f t="shared" si="1559"/>
        <v>99999</v>
      </c>
      <c r="B48367" s="1" t="str">
        <f>"41365"</f>
        <v>41365</v>
      </c>
      <c r="C48367" s="2">
        <v>3.4426963197576303E-5</v>
      </c>
      <c r="D48367" s="2">
        <v>7.5285444763821999E-6</v>
      </c>
      <c r="E48367" s="2">
        <v>3.01073973875381E-5</v>
      </c>
      <c r="F48367" s="2">
        <v>3.2564977491679601E-5</v>
      </c>
    </row>
    <row r="48368" spans="1:6" x14ac:dyDescent="0.25">
      <c r="A48368" s="1" t="str">
        <f t="shared" si="1559"/>
        <v>99999</v>
      </c>
      <c r="B48368" s="1" t="str">
        <f>"40445"</f>
        <v>40445</v>
      </c>
      <c r="C48368" s="2">
        <v>3.6050876555952499E-5</v>
      </c>
      <c r="D48368" s="2">
        <v>7.5285444763821999E-6</v>
      </c>
      <c r="E48368" s="2">
        <v>2.15052838482415E-5</v>
      </c>
      <c r="F48368" s="2">
        <v>3.38478402413518E-5</v>
      </c>
    </row>
    <row r="48369" spans="1:6" x14ac:dyDescent="0.25">
      <c r="A48369" s="1" t="str">
        <f t="shared" si="1559"/>
        <v>99999</v>
      </c>
      <c r="B48369" s="1" t="str">
        <f>"40342"</f>
        <v>40342</v>
      </c>
      <c r="C48369" s="2">
        <v>1.51565246781782E-6</v>
      </c>
      <c r="D48369" s="2">
        <v>1.50570889527644E-6</v>
      </c>
      <c r="E48369" s="2">
        <v>0</v>
      </c>
      <c r="F48369" s="2">
        <v>1.4802262496218E-6</v>
      </c>
    </row>
    <row r="48370" spans="1:6" x14ac:dyDescent="0.25">
      <c r="A48370" s="1" t="str">
        <f t="shared" si="1559"/>
        <v>99999</v>
      </c>
      <c r="B48370" s="1" t="str">
        <f>"45893"</f>
        <v>45893</v>
      </c>
      <c r="C48370" s="2">
        <v>6.1708707618297202E-6</v>
      </c>
      <c r="D48370" s="2">
        <v>0</v>
      </c>
      <c r="E48370" s="2">
        <v>4.3010567696482999E-6</v>
      </c>
      <c r="F48370" s="2">
        <v>5.7235414985376303E-6</v>
      </c>
    </row>
    <row r="48371" spans="1:6" x14ac:dyDescent="0.25">
      <c r="A48371" s="1" t="str">
        <f t="shared" si="1559"/>
        <v>99999</v>
      </c>
      <c r="B48371" s="1" t="str">
        <f>"45827"</f>
        <v>45827</v>
      </c>
      <c r="C48371" s="2">
        <v>9.4944801019730896E-5</v>
      </c>
      <c r="D48371" s="2">
        <v>9.0342533716586405E-6</v>
      </c>
      <c r="E48371" s="2">
        <v>4.3010567696482999E-6</v>
      </c>
      <c r="F48371" s="2">
        <v>8.7234666977711504E-5</v>
      </c>
    </row>
    <row r="48372" spans="1:6" x14ac:dyDescent="0.25">
      <c r="A48372" s="1" t="str">
        <f t="shared" si="1559"/>
        <v>99999</v>
      </c>
      <c r="B48372" s="1" t="str">
        <f>"44844"</f>
        <v>44844</v>
      </c>
      <c r="C48372" s="2">
        <v>1.7213481598788101E-5</v>
      </c>
      <c r="D48372" s="2">
        <v>1.50570889527644E-6</v>
      </c>
      <c r="E48372" s="2">
        <v>8.6021135392965999E-6</v>
      </c>
      <c r="F48372" s="2">
        <v>1.5986443495915399E-5</v>
      </c>
    </row>
    <row r="48373" spans="1:6" x14ac:dyDescent="0.25">
      <c r="A48373" s="1" t="str">
        <f t="shared" si="1559"/>
        <v>99999</v>
      </c>
      <c r="B48373" s="1" t="str">
        <f>"46045"</f>
        <v>46045</v>
      </c>
      <c r="C48373" s="2">
        <v>6.0626098712712997E-6</v>
      </c>
      <c r="D48373" s="2">
        <v>6.0228355811057601E-6</v>
      </c>
      <c r="E48373" s="2">
        <v>4.3010567696482999E-6</v>
      </c>
      <c r="F48373" s="2">
        <v>6.0195867484619901E-6</v>
      </c>
    </row>
    <row r="48374" spans="1:6" x14ac:dyDescent="0.25">
      <c r="A48374" s="1" t="str">
        <f t="shared" si="1559"/>
        <v>99999</v>
      </c>
      <c r="B48374" s="1" t="str">
        <f>"46731"</f>
        <v>46731</v>
      </c>
      <c r="C48374" s="2">
        <v>2.68487008584872E-5</v>
      </c>
      <c r="D48374" s="2">
        <v>9.0342533716586405E-6</v>
      </c>
      <c r="E48374" s="2">
        <v>1.29031703089449E-5</v>
      </c>
      <c r="F48374" s="2">
        <v>2.53612097435202E-5</v>
      </c>
    </row>
    <row r="48375" spans="1:6" x14ac:dyDescent="0.25">
      <c r="A48375" s="1" t="str">
        <f t="shared" si="1559"/>
        <v>99999</v>
      </c>
      <c r="B48375" s="1" t="str">
        <f>"48754"</f>
        <v>48754</v>
      </c>
      <c r="C48375" s="2">
        <v>4.7959574517378298E-5</v>
      </c>
      <c r="D48375" s="2">
        <v>2.7102760114975901E-5</v>
      </c>
      <c r="E48375" s="2">
        <v>1.72042270785932E-5</v>
      </c>
      <c r="F48375" s="2">
        <v>4.5887013738275799E-5</v>
      </c>
    </row>
    <row r="48376" spans="1:6" x14ac:dyDescent="0.25">
      <c r="A48376" s="1" t="str">
        <f t="shared" si="1559"/>
        <v>99999</v>
      </c>
      <c r="B48376" s="1" t="str">
        <f>"50271"</f>
        <v>50271</v>
      </c>
      <c r="C48376" s="2">
        <v>3.5076528540926799E-5</v>
      </c>
      <c r="D48376" s="2">
        <v>1.80685067433172E-5</v>
      </c>
      <c r="E48376" s="2">
        <v>8.6021135392965999E-6</v>
      </c>
      <c r="F48376" s="2">
        <v>3.3354431491477903E-5</v>
      </c>
    </row>
    <row r="48377" spans="1:6" x14ac:dyDescent="0.25">
      <c r="A48377" s="1" t="str">
        <f t="shared" si="1559"/>
        <v>99999</v>
      </c>
      <c r="B48377" s="1" t="str">
        <f>"50454"</f>
        <v>50454</v>
      </c>
      <c r="C48377" s="2">
        <v>6.9286969957386301E-6</v>
      </c>
      <c r="D48377" s="2">
        <v>4.5171266858293203E-6</v>
      </c>
      <c r="E48377" s="2">
        <v>4.3010567696482999E-6</v>
      </c>
      <c r="F48377" s="2">
        <v>6.7103589982854999E-6</v>
      </c>
    </row>
    <row r="48378" spans="1:6" x14ac:dyDescent="0.25">
      <c r="A48378" s="1" t="str">
        <f t="shared" si="1559"/>
        <v>99999</v>
      </c>
      <c r="B48378" s="1" t="str">
        <f>"50559"</f>
        <v>50559</v>
      </c>
      <c r="C48378" s="2">
        <v>2.0028264753306899E-5</v>
      </c>
      <c r="D48378" s="2">
        <v>1.80685067433172E-5</v>
      </c>
      <c r="E48378" s="2">
        <v>4.3010567696482999E-6</v>
      </c>
      <c r="F48378" s="2">
        <v>1.95389864950077E-5</v>
      </c>
    </row>
    <row r="48379" spans="1:6" x14ac:dyDescent="0.25">
      <c r="A48379" s="1" t="str">
        <f t="shared" si="1559"/>
        <v>99999</v>
      </c>
      <c r="B48379" s="1" t="str">
        <f>"50653"</f>
        <v>50653</v>
      </c>
      <c r="C48379" s="2">
        <v>3.6916963680419897E-5</v>
      </c>
      <c r="D48379" s="2">
        <v>1.80685067433172E-5</v>
      </c>
      <c r="E48379" s="2">
        <v>1.72042270785932E-5</v>
      </c>
      <c r="F48379" s="2">
        <v>3.5229384740998803E-5</v>
      </c>
    </row>
    <row r="48380" spans="1:6" x14ac:dyDescent="0.25">
      <c r="A48380" s="1" t="str">
        <f t="shared" si="1559"/>
        <v>99999</v>
      </c>
      <c r="B48380" s="1" t="str">
        <f>"49915"</f>
        <v>49915</v>
      </c>
      <c r="C48380" s="2">
        <v>4.1030877521639702E-5</v>
      </c>
      <c r="D48380" s="2">
        <v>3.01141779055288E-6</v>
      </c>
      <c r="E48380" s="2">
        <v>4.3010567696482999E-6</v>
      </c>
      <c r="F48380" s="2">
        <v>3.7696428490368499E-5</v>
      </c>
    </row>
    <row r="48381" spans="1:6" x14ac:dyDescent="0.25">
      <c r="A48381" s="1" t="str">
        <f t="shared" si="1559"/>
        <v>99999</v>
      </c>
      <c r="B48381" s="1" t="str">
        <f>"54170"</f>
        <v>54170</v>
      </c>
      <c r="C48381" s="2">
        <v>4.3304356223366401E-7</v>
      </c>
      <c r="D48381" s="2">
        <v>0</v>
      </c>
      <c r="E48381" s="2">
        <v>0</v>
      </c>
      <c r="F48381" s="2">
        <v>3.9472699989914697E-7</v>
      </c>
    </row>
    <row r="48382" spans="1:6" x14ac:dyDescent="0.25">
      <c r="A48382" s="1" t="str">
        <f t="shared" si="1559"/>
        <v>99999</v>
      </c>
      <c r="B48382" s="1" t="str">
        <f>"53919"</f>
        <v>53919</v>
      </c>
      <c r="C48382" s="2">
        <v>3.2478267167524802E-7</v>
      </c>
      <c r="D48382" s="2">
        <v>1.50570889527644E-6</v>
      </c>
      <c r="E48382" s="2">
        <v>0</v>
      </c>
      <c r="F48382" s="2">
        <v>3.9472699989914697E-7</v>
      </c>
    </row>
    <row r="48383" spans="1:6" x14ac:dyDescent="0.25">
      <c r="A48383" s="1" t="str">
        <f t="shared" si="1559"/>
        <v>99999</v>
      </c>
      <c r="B48383" s="1" t="str">
        <f>"53818"</f>
        <v>53818</v>
      </c>
      <c r="C48383" s="2">
        <v>2.6090874624578199E-5</v>
      </c>
      <c r="D48383" s="2">
        <v>6.0228355811057601E-6</v>
      </c>
      <c r="E48383" s="2">
        <v>8.6021135392965999E-6</v>
      </c>
      <c r="F48383" s="2">
        <v>2.4374392243772301E-5</v>
      </c>
    </row>
    <row r="48384" spans="1:6" x14ac:dyDescent="0.25">
      <c r="A48384" s="1" t="str">
        <f t="shared" si="1559"/>
        <v>99999</v>
      </c>
      <c r="B48384" s="1" t="str">
        <f>"52646"</f>
        <v>52646</v>
      </c>
      <c r="C48384" s="2">
        <v>2.38173959228515E-5</v>
      </c>
      <c r="D48384" s="2">
        <v>1.50570889527644E-6</v>
      </c>
      <c r="E48384" s="2">
        <v>0</v>
      </c>
      <c r="F48384" s="2">
        <v>2.1808666744427801E-5</v>
      </c>
    </row>
    <row r="48385" spans="1:6" x14ac:dyDescent="0.25">
      <c r="A48385" s="1" t="str">
        <f t="shared" si="1559"/>
        <v>99999</v>
      </c>
      <c r="B48385" s="1" t="str">
        <f>"52649"</f>
        <v>52649</v>
      </c>
      <c r="C48385" s="2">
        <v>4.4062182457275301E-5</v>
      </c>
      <c r="D48385" s="2">
        <v>1.35513800574879E-5</v>
      </c>
      <c r="E48385" s="2">
        <v>2.58063406178898E-5</v>
      </c>
      <c r="F48385" s="2">
        <v>4.1643698489360001E-5</v>
      </c>
    </row>
    <row r="48386" spans="1:6" x14ac:dyDescent="0.25">
      <c r="A48386" s="1" t="str">
        <f t="shared" si="1559"/>
        <v>99999</v>
      </c>
      <c r="B48386" s="1" t="str">
        <f>"54009"</f>
        <v>54009</v>
      </c>
      <c r="C48386" s="2">
        <v>1.2341741523659401E-4</v>
      </c>
      <c r="D48386" s="2">
        <v>4.5171266858293199E-5</v>
      </c>
      <c r="E48386" s="2">
        <v>1.5483804370733801E-4</v>
      </c>
      <c r="F48386" s="2">
        <v>1.19010190469592E-4</v>
      </c>
    </row>
    <row r="48387" spans="1:6" x14ac:dyDescent="0.25">
      <c r="A48387" s="1" t="str">
        <f t="shared" si="1559"/>
        <v>99999</v>
      </c>
      <c r="B48387" s="1" t="str">
        <f>"54531"</f>
        <v>54531</v>
      </c>
      <c r="C48387" s="2">
        <v>9.8950453970392304E-5</v>
      </c>
      <c r="D48387" s="2">
        <v>6.6251191392163294E-5</v>
      </c>
      <c r="E48387" s="2">
        <v>3.8709510926834699E-5</v>
      </c>
      <c r="F48387" s="2">
        <v>9.5425252225618797E-5</v>
      </c>
    </row>
    <row r="48388" spans="1:6" x14ac:dyDescent="0.25">
      <c r="A48388" s="1" t="str">
        <f t="shared" si="1559"/>
        <v>99999</v>
      </c>
      <c r="B48388" s="1" t="str">
        <f>"55704"</f>
        <v>55704</v>
      </c>
      <c r="C48388" s="2">
        <v>6.2141751180530796E-5</v>
      </c>
      <c r="D48388" s="2">
        <v>1.50570889527644E-5</v>
      </c>
      <c r="E48388" s="2">
        <v>8.6021135392965999E-5</v>
      </c>
      <c r="F48388" s="2">
        <v>5.9603776984771199E-5</v>
      </c>
    </row>
    <row r="48389" spans="1:6" x14ac:dyDescent="0.25">
      <c r="A48389" s="1" t="str">
        <f t="shared" si="1559"/>
        <v>99999</v>
      </c>
      <c r="B48389" s="1" t="str">
        <f>"56735"</f>
        <v>56735</v>
      </c>
      <c r="C48389" s="2">
        <v>4.1463921083873303E-5</v>
      </c>
      <c r="D48389" s="2">
        <v>1.35513800574879E-5</v>
      </c>
      <c r="E48389" s="2">
        <v>2.15052838482415E-5</v>
      </c>
      <c r="F48389" s="2">
        <v>3.9176654739990298E-5</v>
      </c>
    </row>
    <row r="48390" spans="1:6" x14ac:dyDescent="0.25">
      <c r="A48390" s="1" t="str">
        <f t="shared" ref="A48390:A48453" si="1560">"99999"</f>
        <v>99999</v>
      </c>
      <c r="B48390" s="1" t="str">
        <f>"56654"</f>
        <v>56654</v>
      </c>
      <c r="C48390" s="2">
        <v>9.7434801502574508E-6</v>
      </c>
      <c r="D48390" s="2">
        <v>3.01141779055288E-6</v>
      </c>
      <c r="E48390" s="2">
        <v>4.3010567696482999E-6</v>
      </c>
      <c r="F48390" s="2">
        <v>9.1774027476551693E-6</v>
      </c>
    </row>
    <row r="48391" spans="1:6" x14ac:dyDescent="0.25">
      <c r="A48391" s="1" t="str">
        <f t="shared" si="1560"/>
        <v>99999</v>
      </c>
      <c r="B48391" s="1" t="str">
        <f>"56027"</f>
        <v>56027</v>
      </c>
      <c r="C48391" s="2">
        <v>4.7634791845703101E-5</v>
      </c>
      <c r="D48391" s="2">
        <v>4.5171266858293203E-6</v>
      </c>
      <c r="E48391" s="2">
        <v>1.29031703089449E-5</v>
      </c>
      <c r="F48391" s="2">
        <v>4.4012060488754899E-5</v>
      </c>
    </row>
    <row r="48392" spans="1:6" x14ac:dyDescent="0.25">
      <c r="A48392" s="1" t="str">
        <f t="shared" si="1560"/>
        <v>99999</v>
      </c>
      <c r="B48392" s="1" t="str">
        <f>"56173"</f>
        <v>56173</v>
      </c>
      <c r="C48392" s="2">
        <v>1.7321742489346501E-5</v>
      </c>
      <c r="D48392" s="2">
        <v>7.5285444763821999E-6</v>
      </c>
      <c r="E48392" s="2">
        <v>4.3010567696482999E-6</v>
      </c>
      <c r="F48392" s="2">
        <v>1.6381170495814601E-5</v>
      </c>
    </row>
    <row r="48393" spans="1:6" x14ac:dyDescent="0.25">
      <c r="A48393" s="1" t="str">
        <f t="shared" si="1560"/>
        <v>99999</v>
      </c>
      <c r="B48393" s="1" t="str">
        <f>"56227"</f>
        <v>56227</v>
      </c>
      <c r="C48393" s="2">
        <v>1.6347394474320801E-5</v>
      </c>
      <c r="D48393" s="2">
        <v>6.0228355811057601E-6</v>
      </c>
      <c r="E48393" s="2">
        <v>8.6021135392965999E-6</v>
      </c>
      <c r="F48393" s="2">
        <v>1.5493034746041499E-5</v>
      </c>
    </row>
    <row r="48394" spans="1:6" x14ac:dyDescent="0.25">
      <c r="A48394" s="1" t="str">
        <f t="shared" si="1560"/>
        <v>99999</v>
      </c>
      <c r="B48394" s="1" t="str">
        <f>"57429"</f>
        <v>57429</v>
      </c>
      <c r="C48394" s="2">
        <v>5.3047836373623898E-6</v>
      </c>
      <c r="D48394" s="2">
        <v>0</v>
      </c>
      <c r="E48394" s="2">
        <v>4.3010567696482999E-6</v>
      </c>
      <c r="F48394" s="2">
        <v>4.9340874987393404E-6</v>
      </c>
    </row>
    <row r="48395" spans="1:6" x14ac:dyDescent="0.25">
      <c r="A48395" s="1" t="str">
        <f t="shared" si="1560"/>
        <v>99999</v>
      </c>
      <c r="B48395" s="1" t="str">
        <f>"58056"</f>
        <v>58056</v>
      </c>
      <c r="C48395" s="2">
        <v>1.86208731760475E-5</v>
      </c>
      <c r="D48395" s="2">
        <v>7.5285444763821999E-6</v>
      </c>
      <c r="E48395" s="2">
        <v>0</v>
      </c>
      <c r="F48395" s="2">
        <v>1.7466669745537199E-5</v>
      </c>
    </row>
    <row r="48396" spans="1:6" x14ac:dyDescent="0.25">
      <c r="A48396" s="1" t="str">
        <f t="shared" si="1560"/>
        <v>99999</v>
      </c>
      <c r="B48396" s="1" t="str">
        <f>"58793"</f>
        <v>58793</v>
      </c>
      <c r="C48396" s="2">
        <v>2.9771744903564399E-5</v>
      </c>
      <c r="D48396" s="2">
        <v>4.2159849067740298E-5</v>
      </c>
      <c r="E48396" s="2">
        <v>3.01073973875381E-5</v>
      </c>
      <c r="F48396" s="2">
        <v>3.0591342492183898E-5</v>
      </c>
    </row>
    <row r="48397" spans="1:6" x14ac:dyDescent="0.25">
      <c r="A48397" s="1" t="str">
        <f t="shared" si="1560"/>
        <v>99999</v>
      </c>
      <c r="B48397" s="1" t="str">
        <f>"58844"</f>
        <v>58844</v>
      </c>
      <c r="C48397" s="2">
        <v>7.2534796674138799E-6</v>
      </c>
      <c r="D48397" s="2">
        <v>3.01141779055288E-6</v>
      </c>
      <c r="E48397" s="2">
        <v>1.29031703089449E-5</v>
      </c>
      <c r="F48397" s="2">
        <v>7.10508599818465E-6</v>
      </c>
    </row>
    <row r="48398" spans="1:6" x14ac:dyDescent="0.25">
      <c r="A48398" s="1" t="str">
        <f t="shared" si="1560"/>
        <v>99999</v>
      </c>
      <c r="B48398" s="1" t="str">
        <f>"58845"</f>
        <v>58845</v>
      </c>
      <c r="C48398" s="2">
        <v>5.5213054184792198E-6</v>
      </c>
      <c r="D48398" s="2">
        <v>4.5171266858293203E-6</v>
      </c>
      <c r="E48398" s="2">
        <v>4.3010567696482999E-6</v>
      </c>
      <c r="F48398" s="2">
        <v>5.4274962486132697E-6</v>
      </c>
    </row>
    <row r="48399" spans="1:6" x14ac:dyDescent="0.25">
      <c r="A48399" s="1" t="str">
        <f t="shared" si="1560"/>
        <v>99999</v>
      </c>
      <c r="B48399" s="1" t="str">
        <f>"58721"</f>
        <v>58721</v>
      </c>
      <c r="C48399" s="2">
        <v>2.7931309764071301E-5</v>
      </c>
      <c r="D48399" s="2">
        <v>1.20456711622115E-5</v>
      </c>
      <c r="E48399" s="2">
        <v>8.6021135392965999E-6</v>
      </c>
      <c r="F48399" s="2">
        <v>2.6446708993242801E-5</v>
      </c>
    </row>
    <row r="48400" spans="1:6" x14ac:dyDescent="0.25">
      <c r="A48400" s="1" t="str">
        <f t="shared" si="1560"/>
        <v>99999</v>
      </c>
      <c r="B48400" s="1" t="str">
        <f>"58772"</f>
        <v>58772</v>
      </c>
      <c r="C48400" s="2">
        <v>4.8717400751287203E-6</v>
      </c>
      <c r="D48400" s="2">
        <v>3.01141779055288E-6</v>
      </c>
      <c r="E48400" s="2">
        <v>4.3010567696482999E-6</v>
      </c>
      <c r="F48400" s="2">
        <v>4.7367239987897599E-6</v>
      </c>
    </row>
    <row r="48401" spans="1:6" x14ac:dyDescent="0.25">
      <c r="A48401" s="1" t="str">
        <f t="shared" si="1560"/>
        <v>99999</v>
      </c>
      <c r="B48401" s="1" t="str">
        <f>"58856"</f>
        <v>58856</v>
      </c>
      <c r="C48401" s="2">
        <v>3.2478267167524799E-6</v>
      </c>
      <c r="D48401" s="2">
        <v>0</v>
      </c>
      <c r="E48401" s="2">
        <v>0</v>
      </c>
      <c r="F48401" s="2">
        <v>2.9604524992435999E-6</v>
      </c>
    </row>
    <row r="48402" spans="1:6" x14ac:dyDescent="0.25">
      <c r="A48402" s="1" t="str">
        <f t="shared" si="1560"/>
        <v>99999</v>
      </c>
      <c r="B48402" s="1" t="str">
        <f>"59323"</f>
        <v>59323</v>
      </c>
      <c r="C48402" s="2">
        <v>1.2915524243619001E-4</v>
      </c>
      <c r="D48402" s="2">
        <v>1.50570889527644E-6</v>
      </c>
      <c r="E48402" s="2">
        <v>2.4516023586995298E-4</v>
      </c>
      <c r="F48402" s="2">
        <v>1.23450869218458E-4</v>
      </c>
    </row>
    <row r="48403" spans="1:6" x14ac:dyDescent="0.25">
      <c r="A48403" s="1" t="str">
        <f t="shared" si="1560"/>
        <v>99999</v>
      </c>
      <c r="B48403" s="1" t="str">
        <f>"59212"</f>
        <v>59212</v>
      </c>
      <c r="C48403" s="2">
        <v>2.3600874141734699E-5</v>
      </c>
      <c r="D48403" s="2">
        <v>3.01141779055288E-5</v>
      </c>
      <c r="E48403" s="2">
        <v>5.5913738005427899E-5</v>
      </c>
      <c r="F48403" s="2">
        <v>2.4769119243671401E-5</v>
      </c>
    </row>
    <row r="48404" spans="1:6" x14ac:dyDescent="0.25">
      <c r="A48404" s="1" t="str">
        <f t="shared" si="1560"/>
        <v>99999</v>
      </c>
      <c r="B48404" s="1" t="str">
        <f>"59542"</f>
        <v>59542</v>
      </c>
      <c r="C48404" s="2">
        <v>1.23417415236594E-5</v>
      </c>
      <c r="D48404" s="2">
        <v>7.5285444763821999E-6</v>
      </c>
      <c r="E48404" s="2">
        <v>1.29031703089449E-5</v>
      </c>
      <c r="F48404" s="2">
        <v>1.2039173496923901E-5</v>
      </c>
    </row>
    <row r="48405" spans="1:6" x14ac:dyDescent="0.25">
      <c r="A48405" s="1" t="str">
        <f t="shared" si="1560"/>
        <v>99999</v>
      </c>
      <c r="B48405" s="1" t="str">
        <f>"59275"</f>
        <v>59275</v>
      </c>
      <c r="C48405" s="2">
        <v>2.1868699892800001E-5</v>
      </c>
      <c r="D48405" s="2">
        <v>6.0228355811057601E-6</v>
      </c>
      <c r="E48405" s="2">
        <v>2.58063406178898E-5</v>
      </c>
      <c r="F48405" s="2">
        <v>2.0920530994654801E-5</v>
      </c>
    </row>
    <row r="48406" spans="1:6" x14ac:dyDescent="0.25">
      <c r="A48406" s="1" t="str">
        <f t="shared" si="1560"/>
        <v>99999</v>
      </c>
      <c r="B48406" s="1" t="str">
        <f>"59418"</f>
        <v>59418</v>
      </c>
      <c r="C48406" s="2">
        <v>7.2534796674138799E-6</v>
      </c>
      <c r="D48406" s="2">
        <v>1.0539962266935E-5</v>
      </c>
      <c r="E48406" s="2">
        <v>4.3010567696482999E-6</v>
      </c>
      <c r="F48406" s="2">
        <v>7.4011312481090098E-6</v>
      </c>
    </row>
    <row r="48407" spans="1:6" x14ac:dyDescent="0.25">
      <c r="A48407" s="1" t="str">
        <f t="shared" si="1560"/>
        <v>99999</v>
      </c>
      <c r="B48407" s="1" t="str">
        <f>"59430"</f>
        <v>59430</v>
      </c>
      <c r="C48407" s="2">
        <v>2.4900004828435702E-5</v>
      </c>
      <c r="D48407" s="2">
        <v>1.50570889527644E-6</v>
      </c>
      <c r="E48407" s="2">
        <v>4.3010567696482999E-6</v>
      </c>
      <c r="F48407" s="2">
        <v>2.2894165994150501E-5</v>
      </c>
    </row>
    <row r="48408" spans="1:6" x14ac:dyDescent="0.25">
      <c r="A48408" s="1" t="str">
        <f t="shared" si="1560"/>
        <v>99999</v>
      </c>
      <c r="B48408" s="1" t="str">
        <f>"59752"</f>
        <v>59752</v>
      </c>
      <c r="C48408" s="2">
        <v>3.4860006759809999E-5</v>
      </c>
      <c r="D48408" s="2">
        <v>2.1079924533870101E-5</v>
      </c>
      <c r="E48408" s="2">
        <v>3.01073973875381E-5</v>
      </c>
      <c r="F48408" s="2">
        <v>3.38478402413518E-5</v>
      </c>
    </row>
    <row r="48409" spans="1:6" x14ac:dyDescent="0.25">
      <c r="A48409" s="1" t="str">
        <f t="shared" si="1560"/>
        <v>99999</v>
      </c>
      <c r="B48409" s="1" t="str">
        <f>"84647"</f>
        <v>84647</v>
      </c>
      <c r="C48409" s="2">
        <v>1.8545090552656601E-4</v>
      </c>
      <c r="D48409" s="2">
        <v>2.31879169872571E-4</v>
      </c>
      <c r="E48409" s="2">
        <v>5.3763209620603697E-4</v>
      </c>
      <c r="F48409" s="2">
        <v>1.96574045949775E-4</v>
      </c>
    </row>
    <row r="48410" spans="1:6" x14ac:dyDescent="0.25">
      <c r="A48410" s="1" t="str">
        <f t="shared" si="1560"/>
        <v>99999</v>
      </c>
      <c r="B48410" s="1" t="str">
        <f>"84624"</f>
        <v>84624</v>
      </c>
      <c r="C48410" s="2">
        <v>2.4466961266202001E-4</v>
      </c>
      <c r="D48410" s="2">
        <v>3.7492151492383302E-4</v>
      </c>
      <c r="E48410" s="2">
        <v>3.1827820095397402E-4</v>
      </c>
      <c r="F48410" s="2">
        <v>2.5489496018487402E-4</v>
      </c>
    </row>
    <row r="48411" spans="1:6" x14ac:dyDescent="0.25">
      <c r="A48411" s="1" t="str">
        <f t="shared" si="1560"/>
        <v>99999</v>
      </c>
      <c r="B48411" s="1" t="str">
        <f>"84629"</f>
        <v>84629</v>
      </c>
      <c r="C48411" s="2">
        <v>1.09451760354558E-4</v>
      </c>
      <c r="D48411" s="2">
        <v>4.0654140172463799E-5</v>
      </c>
      <c r="E48411" s="2">
        <v>2.0645072494311799E-4</v>
      </c>
      <c r="F48411" s="2">
        <v>1.07168380472618E-4</v>
      </c>
    </row>
    <row r="48412" spans="1:6" x14ac:dyDescent="0.25">
      <c r="A48412" s="1" t="str">
        <f t="shared" si="1560"/>
        <v>99999</v>
      </c>
      <c r="B48412" s="1" t="str">
        <f>"88415"</f>
        <v>88415</v>
      </c>
      <c r="C48412" s="2">
        <v>2.0504612671764E-4</v>
      </c>
      <c r="D48412" s="2">
        <v>3.5986442597106901E-4</v>
      </c>
      <c r="E48412" s="2">
        <v>2.4516023586995298E-4</v>
      </c>
      <c r="F48412" s="2">
        <v>2.1611303244478301E-4</v>
      </c>
    </row>
    <row r="48413" spans="1:6" x14ac:dyDescent="0.25">
      <c r="A48413" s="1" t="str">
        <f t="shared" si="1560"/>
        <v>99999</v>
      </c>
      <c r="B48413" s="1" t="str">
        <f>"88424"</f>
        <v>88424</v>
      </c>
      <c r="C48413" s="2">
        <v>8.3360885729980396E-6</v>
      </c>
      <c r="D48413" s="2">
        <v>1.50570889527644E-6</v>
      </c>
      <c r="E48413" s="2">
        <v>4.3010567696482999E-6</v>
      </c>
      <c r="F48413" s="2">
        <v>7.7958582480081497E-6</v>
      </c>
    </row>
    <row r="48414" spans="1:6" x14ac:dyDescent="0.25">
      <c r="A48414" s="1" t="str">
        <f t="shared" si="1560"/>
        <v>99999</v>
      </c>
      <c r="B48414" s="1" t="str">
        <f>"88039"</f>
        <v>88039</v>
      </c>
      <c r="C48414" s="2">
        <v>1.4506959334827701E-5</v>
      </c>
      <c r="D48414" s="2">
        <v>6.0228355811057601E-6</v>
      </c>
      <c r="E48414" s="2">
        <v>3.01073973875381E-5</v>
      </c>
      <c r="F48414" s="2">
        <v>1.4308853746344E-5</v>
      </c>
    </row>
    <row r="48415" spans="1:6" x14ac:dyDescent="0.25">
      <c r="A48415" s="1" t="str">
        <f t="shared" si="1560"/>
        <v>99999</v>
      </c>
      <c r="B48415" s="1" t="str">
        <f>"87740"</f>
        <v>87740</v>
      </c>
      <c r="C48415" s="2">
        <v>4.5188095719082898E-4</v>
      </c>
      <c r="D48415" s="2">
        <v>7.7694578996264296E-4</v>
      </c>
      <c r="E48415" s="2">
        <v>5.33331039436389E-4</v>
      </c>
      <c r="F48415" s="2">
        <v>4.7505394437862301E-4</v>
      </c>
    </row>
    <row r="48416" spans="1:6" x14ac:dyDescent="0.25">
      <c r="A48416" s="1" t="str">
        <f t="shared" si="1560"/>
        <v>99999</v>
      </c>
      <c r="B48416" s="1" t="str">
        <f>"85534"</f>
        <v>85534</v>
      </c>
      <c r="C48416" s="2">
        <v>1.3944002703923999E-4</v>
      </c>
      <c r="D48416" s="2">
        <v>6.1734064706334002E-5</v>
      </c>
      <c r="E48416" s="2">
        <v>3.01073973875381E-5</v>
      </c>
      <c r="F48416" s="2">
        <v>1.31838817966315E-4</v>
      </c>
    </row>
    <row r="48417" spans="1:6" x14ac:dyDescent="0.25">
      <c r="A48417" s="1" t="str">
        <f t="shared" si="1560"/>
        <v>99999</v>
      </c>
      <c r="B48417" s="1" t="str">
        <f>"96129"</f>
        <v>96129</v>
      </c>
      <c r="C48417" s="2">
        <v>1.6455655364879201E-5</v>
      </c>
      <c r="D48417" s="2">
        <v>2.55970512196994E-5</v>
      </c>
      <c r="E48417" s="2">
        <v>2.15052838482415E-5</v>
      </c>
      <c r="F48417" s="2">
        <v>1.7170624495612899E-5</v>
      </c>
    </row>
    <row r="48418" spans="1:6" x14ac:dyDescent="0.25">
      <c r="A48418" s="1" t="str">
        <f t="shared" si="1560"/>
        <v>99999</v>
      </c>
      <c r="B48418" s="1" t="str">
        <f>"96122"</f>
        <v>96122</v>
      </c>
      <c r="C48418" s="2">
        <v>2.2962134887439999E-4</v>
      </c>
      <c r="D48418" s="2">
        <v>3.2824453917026399E-4</v>
      </c>
      <c r="E48418" s="2">
        <v>3.39783484802215E-4</v>
      </c>
      <c r="F48418" s="2">
        <v>2.38612471439034E-4</v>
      </c>
    </row>
    <row r="48419" spans="1:6" x14ac:dyDescent="0.25">
      <c r="A48419" s="1" t="str">
        <f t="shared" si="1560"/>
        <v>99999</v>
      </c>
      <c r="B48419" s="1" t="str">
        <f>"96103"</f>
        <v>96103</v>
      </c>
      <c r="C48419" s="2">
        <v>5.5862619528142703E-5</v>
      </c>
      <c r="D48419" s="2">
        <v>6.0228355811057601E-6</v>
      </c>
      <c r="E48419" s="2">
        <v>0</v>
      </c>
      <c r="F48419" s="2">
        <v>5.1314509986889101E-5</v>
      </c>
    </row>
    <row r="48420" spans="1:6" x14ac:dyDescent="0.25">
      <c r="A48420" s="1" t="str">
        <f t="shared" si="1560"/>
        <v>99999</v>
      </c>
      <c r="B48420" s="1" t="str">
        <f>"89418"</f>
        <v>89418</v>
      </c>
      <c r="C48420" s="2">
        <v>1.39656548820356E-5</v>
      </c>
      <c r="D48420" s="2">
        <v>6.0228355811057601E-6</v>
      </c>
      <c r="E48420" s="2">
        <v>1.72042270785932E-5</v>
      </c>
      <c r="F48420" s="2">
        <v>1.35193997465457E-5</v>
      </c>
    </row>
    <row r="48421" spans="1:6" x14ac:dyDescent="0.25">
      <c r="A48421" s="1" t="str">
        <f t="shared" si="1560"/>
        <v>99999</v>
      </c>
      <c r="B48421" s="1" t="str">
        <f>"93515"</f>
        <v>93515</v>
      </c>
      <c r="C48421" s="2">
        <v>1.0869393412064899E-4</v>
      </c>
      <c r="D48421" s="2">
        <v>2.6801618335920601E-4</v>
      </c>
      <c r="E48421" s="2">
        <v>8.6021135392965999E-6</v>
      </c>
      <c r="F48421" s="2">
        <v>1.16839191970147E-4</v>
      </c>
    </row>
    <row r="48422" spans="1:6" x14ac:dyDescent="0.25">
      <c r="A48422" s="1" t="str">
        <f t="shared" si="1560"/>
        <v>99999</v>
      </c>
      <c r="B48422" s="1" t="str">
        <f>"96052"</f>
        <v>96052</v>
      </c>
      <c r="C48422" s="2">
        <v>3.8540877038796101E-5</v>
      </c>
      <c r="D48422" s="2">
        <v>4.5171266858293203E-6</v>
      </c>
      <c r="E48422" s="2">
        <v>1.72042270785932E-5</v>
      </c>
      <c r="F48422" s="2">
        <v>3.5821475240847599E-5</v>
      </c>
    </row>
    <row r="48423" spans="1:6" x14ac:dyDescent="0.25">
      <c r="A48423" s="1" t="str">
        <f t="shared" si="1560"/>
        <v>99999</v>
      </c>
      <c r="B48423" s="1" t="str">
        <f>"95988"</f>
        <v>95988</v>
      </c>
      <c r="C48423" s="2">
        <v>3.9125485847811602E-4</v>
      </c>
      <c r="D48423" s="2">
        <v>6.3239773601610498E-4</v>
      </c>
      <c r="E48423" s="2">
        <v>7.2687859407056295E-4</v>
      </c>
      <c r="F48423" s="2">
        <v>4.1475939514402802E-4</v>
      </c>
    </row>
    <row r="48424" spans="1:6" x14ac:dyDescent="0.25">
      <c r="A48424" s="1" t="str">
        <f t="shared" si="1560"/>
        <v>99999</v>
      </c>
      <c r="B48424" s="1" t="str">
        <f>"97112"</f>
        <v>97112</v>
      </c>
      <c r="C48424" s="2">
        <v>1.4615220225386099E-4</v>
      </c>
      <c r="D48424" s="2">
        <v>1.06905331564627E-4</v>
      </c>
      <c r="E48424" s="2">
        <v>3.01073973875381E-5</v>
      </c>
      <c r="F48424" s="2">
        <v>1.4091753896399499E-4</v>
      </c>
    </row>
    <row r="48425" spans="1:6" x14ac:dyDescent="0.25">
      <c r="A48425" s="1" t="str">
        <f t="shared" si="1560"/>
        <v>99999</v>
      </c>
      <c r="B48425" s="1" t="str">
        <f>"97122"</f>
        <v>97122</v>
      </c>
      <c r="C48425" s="2">
        <v>2.0677830096657399E-5</v>
      </c>
      <c r="D48425" s="2">
        <v>6.0228355811057601E-6</v>
      </c>
      <c r="E48425" s="2">
        <v>2.58063406178898E-5</v>
      </c>
      <c r="F48425" s="2">
        <v>1.9835031744932101E-5</v>
      </c>
    </row>
    <row r="48426" spans="1:6" x14ac:dyDescent="0.25">
      <c r="A48426" s="1" t="str">
        <f t="shared" si="1560"/>
        <v>99999</v>
      </c>
      <c r="B48426" s="1" t="str">
        <f>"83523"</f>
        <v>83523</v>
      </c>
      <c r="C48426" s="2">
        <v>1.76465251610218E-5</v>
      </c>
      <c r="D48426" s="2">
        <v>1.65627978480408E-5</v>
      </c>
      <c r="E48426" s="2">
        <v>4.4730990404342298E-4</v>
      </c>
      <c r="F48426" s="2">
        <v>2.7433526492990701E-5</v>
      </c>
    </row>
    <row r="48427" spans="1:6" x14ac:dyDescent="0.25">
      <c r="A48427" s="1" t="str">
        <f t="shared" si="1560"/>
        <v>99999</v>
      </c>
      <c r="B48427" s="1" t="str">
        <f>"98612"</f>
        <v>98612</v>
      </c>
      <c r="C48427" s="2">
        <v>1.5113220321954799E-4</v>
      </c>
      <c r="D48427" s="2">
        <v>8.2813989240204205E-5</v>
      </c>
      <c r="E48427" s="2">
        <v>1.5483804370733801E-4</v>
      </c>
      <c r="F48427" s="2">
        <v>1.4673976221250701E-4</v>
      </c>
    </row>
    <row r="48428" spans="1:6" x14ac:dyDescent="0.25">
      <c r="A48428" s="1" t="str">
        <f t="shared" si="1560"/>
        <v>99999</v>
      </c>
      <c r="B48428" s="1" t="str">
        <f>"97760"</f>
        <v>97760</v>
      </c>
      <c r="C48428" s="2">
        <v>2.7173483530162402E-4</v>
      </c>
      <c r="D48428" s="2">
        <v>2.25856334291466E-5</v>
      </c>
      <c r="E48428" s="2">
        <v>4.3010567696482999E-6</v>
      </c>
      <c r="F48428" s="2">
        <v>2.4927010043631102E-4</v>
      </c>
    </row>
    <row r="48429" spans="1:6" x14ac:dyDescent="0.25">
      <c r="A48429" s="1" t="str">
        <f t="shared" si="1560"/>
        <v>99999</v>
      </c>
      <c r="B48429" s="1" t="str">
        <f>"97814"</f>
        <v>97814</v>
      </c>
      <c r="C48429" s="2">
        <v>6.96009265400057E-4</v>
      </c>
      <c r="D48429" s="2">
        <v>1.0434562644265699E-3</v>
      </c>
      <c r="E48429" s="2">
        <v>8.6021135392966004E-4</v>
      </c>
      <c r="F48429" s="2">
        <v>7.2254777331538897E-4</v>
      </c>
    </row>
    <row r="48430" spans="1:6" x14ac:dyDescent="0.25">
      <c r="A48430" s="1" t="str">
        <f t="shared" si="1560"/>
        <v>99999</v>
      </c>
      <c r="B48430" s="1" t="str">
        <f>"97834"</f>
        <v>97834</v>
      </c>
      <c r="C48430" s="2">
        <v>7.6432188734241807E-5</v>
      </c>
      <c r="D48430" s="2">
        <v>1.80685067433172E-5</v>
      </c>
      <c r="E48430" s="2">
        <v>2.15052838482415E-5</v>
      </c>
      <c r="F48430" s="2">
        <v>7.13469052317708E-5</v>
      </c>
    </row>
    <row r="48431" spans="1:6" x14ac:dyDescent="0.25">
      <c r="A48431" s="1" t="str">
        <f t="shared" si="1560"/>
        <v>99999</v>
      </c>
      <c r="B48431" s="1" t="str">
        <f>"97636"</f>
        <v>97636</v>
      </c>
      <c r="C48431" s="2">
        <v>1.51565246781782E-5</v>
      </c>
      <c r="D48431" s="2">
        <v>0</v>
      </c>
      <c r="E48431" s="2">
        <v>3.01073973875381E-5</v>
      </c>
      <c r="F48431" s="2">
        <v>1.45062172462936E-5</v>
      </c>
    </row>
    <row r="48432" spans="1:6" x14ac:dyDescent="0.25">
      <c r="A48432" s="1" t="str">
        <f t="shared" si="1560"/>
        <v>99999</v>
      </c>
      <c r="B48432" s="1" t="str">
        <f>"97845"</f>
        <v>97845</v>
      </c>
      <c r="C48432" s="2">
        <v>1.71376989753972E-4</v>
      </c>
      <c r="D48432" s="2">
        <v>3.5986442597106901E-4</v>
      </c>
      <c r="E48432" s="2">
        <v>2.5806340617889802E-4</v>
      </c>
      <c r="F48432" s="2">
        <v>1.8571905345254801E-4</v>
      </c>
    </row>
    <row r="48433" spans="1:6" x14ac:dyDescent="0.25">
      <c r="A48433" s="1" t="str">
        <f t="shared" si="1560"/>
        <v>99999</v>
      </c>
      <c r="B48433" s="1" t="str">
        <f>"97734"</f>
        <v>97734</v>
      </c>
      <c r="C48433" s="2">
        <v>2.1381525885287101E-4</v>
      </c>
      <c r="D48433" s="2">
        <v>2.7102760114975901E-5</v>
      </c>
      <c r="E48433" s="2">
        <v>8.1720078623317706E-5</v>
      </c>
      <c r="F48433" s="2">
        <v>1.9854768094927099E-4</v>
      </c>
    </row>
    <row r="48434" spans="1:6" x14ac:dyDescent="0.25">
      <c r="A48434" s="1" t="str">
        <f t="shared" si="1560"/>
        <v>99999</v>
      </c>
      <c r="B48434" s="1" t="str">
        <f>"97907"</f>
        <v>97907</v>
      </c>
      <c r="C48434" s="2">
        <v>4.08143557405228E-5</v>
      </c>
      <c r="D48434" s="2">
        <v>1.20456711622115E-5</v>
      </c>
      <c r="E48434" s="2">
        <v>2.15052838482415E-5</v>
      </c>
      <c r="F48434" s="2">
        <v>3.84858824901668E-5</v>
      </c>
    </row>
    <row r="48435" spans="1:6" x14ac:dyDescent="0.25">
      <c r="A48435" s="1" t="str">
        <f t="shared" si="1560"/>
        <v>99999</v>
      </c>
      <c r="B48435" s="1" t="str">
        <f>"97837"</f>
        <v>97837</v>
      </c>
      <c r="C48435" s="2">
        <v>7.1452187768554602E-6</v>
      </c>
      <c r="D48435" s="2">
        <v>0</v>
      </c>
      <c r="E48435" s="2">
        <v>0</v>
      </c>
      <c r="F48435" s="2">
        <v>6.5129954983359203E-6</v>
      </c>
    </row>
    <row r="48436" spans="1:6" x14ac:dyDescent="0.25">
      <c r="A48436" s="1" t="str">
        <f t="shared" si="1560"/>
        <v>99999</v>
      </c>
      <c r="B48436" s="1" t="str">
        <f>"97833"</f>
        <v>97833</v>
      </c>
      <c r="C48436" s="2">
        <v>4.3520878004483202E-5</v>
      </c>
      <c r="D48436" s="2">
        <v>0</v>
      </c>
      <c r="E48436" s="2">
        <v>4.3010567696482999E-6</v>
      </c>
      <c r="F48436" s="2">
        <v>3.9768745239838999E-5</v>
      </c>
    </row>
    <row r="48437" spans="1:6" x14ac:dyDescent="0.25">
      <c r="A48437" s="1" t="str">
        <f t="shared" si="1560"/>
        <v>99999</v>
      </c>
      <c r="B48437" s="1" t="str">
        <f>"97823"</f>
        <v>97823</v>
      </c>
      <c r="C48437" s="2">
        <v>9.6243931706431902E-5</v>
      </c>
      <c r="D48437" s="2">
        <v>3.01141779055288E-6</v>
      </c>
      <c r="E48437" s="2">
        <v>4.3010567696482999E-6</v>
      </c>
      <c r="F48437" s="2">
        <v>8.8024120977509799E-5</v>
      </c>
    </row>
    <row r="48438" spans="1:6" x14ac:dyDescent="0.25">
      <c r="A48438" s="1" t="str">
        <f t="shared" si="1560"/>
        <v>99999</v>
      </c>
      <c r="B48438" s="1" t="str">
        <f>"97825"</f>
        <v>97825</v>
      </c>
      <c r="C48438" s="2">
        <v>1.0393045493607899E-5</v>
      </c>
      <c r="D48438" s="2">
        <v>7.5285444763821999E-6</v>
      </c>
      <c r="E48438" s="2">
        <v>0</v>
      </c>
      <c r="F48438" s="2">
        <v>9.9668567474534592E-6</v>
      </c>
    </row>
    <row r="48439" spans="1:6" x14ac:dyDescent="0.25">
      <c r="A48439" s="1" t="str">
        <f t="shared" si="1560"/>
        <v>99999</v>
      </c>
      <c r="B48439" s="1" t="str">
        <f>"98833"</f>
        <v>98833</v>
      </c>
      <c r="C48439" s="2">
        <v>2.21934825644753E-5</v>
      </c>
      <c r="D48439" s="2">
        <v>9.0342533716586405E-6</v>
      </c>
      <c r="E48439" s="2">
        <v>8.6021135392965999E-6</v>
      </c>
      <c r="F48439" s="2">
        <v>2.10192127446295E-5</v>
      </c>
    </row>
    <row r="48440" spans="1:6" x14ac:dyDescent="0.25">
      <c r="A48440" s="1" t="str">
        <f t="shared" si="1560"/>
        <v>99999</v>
      </c>
      <c r="B48440" s="1" t="str">
        <f>"98320"</f>
        <v>98320</v>
      </c>
      <c r="C48440" s="2">
        <v>9.7976105955366604E-5</v>
      </c>
      <c r="D48440" s="2">
        <v>1.35513800574879E-5</v>
      </c>
      <c r="E48440" s="2">
        <v>3.44084541571864E-5</v>
      </c>
      <c r="F48440" s="2">
        <v>9.0984573476753398E-5</v>
      </c>
    </row>
    <row r="48441" spans="1:6" x14ac:dyDescent="0.25">
      <c r="A48441" s="1" t="str">
        <f t="shared" si="1560"/>
        <v>99999</v>
      </c>
      <c r="B48441" s="1" t="str">
        <f>"83554"</f>
        <v>83554</v>
      </c>
      <c r="C48441" s="2">
        <v>2.39256568134099E-5</v>
      </c>
      <c r="D48441" s="2">
        <v>9.0342533716586405E-6</v>
      </c>
      <c r="E48441" s="2">
        <v>2.9677291710573201E-4</v>
      </c>
      <c r="F48441" s="2">
        <v>2.92097979925368E-5</v>
      </c>
    </row>
    <row r="48442" spans="1:6" x14ac:dyDescent="0.25">
      <c r="A48442" s="1" t="str">
        <f t="shared" si="1560"/>
        <v>99999</v>
      </c>
      <c r="B48442" s="1" t="str">
        <f>"83845"</f>
        <v>83845</v>
      </c>
      <c r="C48442" s="2">
        <v>7.3184362017489305E-5</v>
      </c>
      <c r="D48442" s="2">
        <v>1.0539962266935E-5</v>
      </c>
      <c r="E48442" s="2">
        <v>3.8709510926834699E-5</v>
      </c>
      <c r="F48442" s="2">
        <v>6.8287770982552396E-5</v>
      </c>
    </row>
    <row r="48443" spans="1:6" x14ac:dyDescent="0.25">
      <c r="A48443" s="1" t="str">
        <f t="shared" si="1560"/>
        <v>99999</v>
      </c>
      <c r="B48443" s="1" t="str">
        <f>"99124"</f>
        <v>99124</v>
      </c>
      <c r="C48443" s="2">
        <v>0</v>
      </c>
      <c r="D48443" s="2">
        <v>0</v>
      </c>
      <c r="E48443" s="2">
        <v>3.3118137126291901E-4</v>
      </c>
      <c r="F48443" s="2">
        <v>7.5984947480585801E-6</v>
      </c>
    </row>
    <row r="48444" spans="1:6" x14ac:dyDescent="0.25">
      <c r="A48444" s="1" t="str">
        <f t="shared" si="1560"/>
        <v>99999</v>
      </c>
      <c r="B48444" s="1" t="str">
        <f>"99122"</f>
        <v>99122</v>
      </c>
      <c r="C48444" s="2">
        <v>1.92812646084539E-4</v>
      </c>
      <c r="D48444" s="2">
        <v>7.3779735868545501E-5</v>
      </c>
      <c r="E48444" s="2">
        <v>3.13977144184326E-4</v>
      </c>
      <c r="F48444" s="2">
        <v>1.87791370202019E-4</v>
      </c>
    </row>
    <row r="48445" spans="1:6" x14ac:dyDescent="0.25">
      <c r="A48445" s="1" t="str">
        <f t="shared" si="1560"/>
        <v>99999</v>
      </c>
      <c r="B48445" s="1" t="str">
        <f>"99159"</f>
        <v>99159</v>
      </c>
      <c r="C48445" s="2">
        <v>2.78230488735129E-5</v>
      </c>
      <c r="D48445" s="2">
        <v>1.65627978480408E-5</v>
      </c>
      <c r="E48445" s="2">
        <v>8.8601769454755002E-4</v>
      </c>
      <c r="F48445" s="2">
        <v>4.6775149488048898E-5</v>
      </c>
    </row>
    <row r="48446" spans="1:6" x14ac:dyDescent="0.25">
      <c r="A48446" s="1" t="str">
        <f t="shared" si="1560"/>
        <v>99999</v>
      </c>
      <c r="B48446" s="1" t="str">
        <f>"99359"</f>
        <v>99359</v>
      </c>
      <c r="C48446" s="2">
        <v>0</v>
      </c>
      <c r="D48446" s="2">
        <v>0</v>
      </c>
      <c r="E48446" s="2">
        <v>1.97848611403821E-4</v>
      </c>
      <c r="F48446" s="2">
        <v>4.5393604988401904E-6</v>
      </c>
    </row>
    <row r="48447" spans="1:6" x14ac:dyDescent="0.25">
      <c r="A48447" s="1" t="str">
        <f t="shared" si="1560"/>
        <v>99999</v>
      </c>
      <c r="B48447" s="1" t="str">
        <f>"03845"</f>
        <v>03845</v>
      </c>
      <c r="C48447" s="2">
        <v>1.21901762768776E-4</v>
      </c>
      <c r="D48447" s="2">
        <v>3.58358717075792E-4</v>
      </c>
      <c r="E48447" s="2">
        <v>1.72042270785932E-5</v>
      </c>
      <c r="F48447" s="2">
        <v>1.3499663396550801E-4</v>
      </c>
    </row>
    <row r="48448" spans="1:6" x14ac:dyDescent="0.25">
      <c r="A48448" s="1" t="str">
        <f t="shared" si="1560"/>
        <v>99999</v>
      </c>
      <c r="B48448" s="1" t="str">
        <f>"04290"</f>
        <v>04290</v>
      </c>
      <c r="C48448" s="2">
        <v>7.1235665987437797E-5</v>
      </c>
      <c r="D48448" s="2">
        <v>2.4091342324423E-5</v>
      </c>
      <c r="E48448" s="2">
        <v>8.6021135392965999E-6</v>
      </c>
      <c r="F48448" s="2">
        <v>6.6708862982955806E-5</v>
      </c>
    </row>
    <row r="48449" spans="1:6" x14ac:dyDescent="0.25">
      <c r="A48449" s="1" t="str">
        <f t="shared" si="1560"/>
        <v>99999</v>
      </c>
      <c r="B48449" s="1" t="str">
        <f>"04231"</f>
        <v>04231</v>
      </c>
      <c r="C48449" s="2">
        <v>1.8404351394930699E-5</v>
      </c>
      <c r="D48449" s="2">
        <v>6.0228355811057601E-6</v>
      </c>
      <c r="E48449" s="2">
        <v>4.3010567696482999E-6</v>
      </c>
      <c r="F48449" s="2">
        <v>1.7269306245587602E-5</v>
      </c>
    </row>
    <row r="48450" spans="1:6" x14ac:dyDescent="0.25">
      <c r="A48450" s="1" t="str">
        <f t="shared" si="1560"/>
        <v>99999</v>
      </c>
      <c r="B48450" s="1" t="str">
        <f>"05069"</f>
        <v>05069</v>
      </c>
      <c r="C48450" s="2">
        <v>1.6563916255437601E-5</v>
      </c>
      <c r="D48450" s="2">
        <v>7.5285444763821999E-6</v>
      </c>
      <c r="E48450" s="2">
        <v>0</v>
      </c>
      <c r="F48450" s="2">
        <v>1.5591716496016299E-5</v>
      </c>
    </row>
    <row r="48451" spans="1:6" x14ac:dyDescent="0.25">
      <c r="A48451" s="1" t="str">
        <f t="shared" si="1560"/>
        <v>99999</v>
      </c>
      <c r="B48451" s="1" t="str">
        <f>"04761"</f>
        <v>04761</v>
      </c>
      <c r="C48451" s="2">
        <v>3.83243552576793E-5</v>
      </c>
      <c r="D48451" s="2">
        <v>1.20456711622115E-5</v>
      </c>
      <c r="E48451" s="2">
        <v>2.58063406178898E-5</v>
      </c>
      <c r="F48451" s="2">
        <v>3.6314883990721503E-5</v>
      </c>
    </row>
    <row r="48452" spans="1:6" x14ac:dyDescent="0.25">
      <c r="A48452" s="1" t="str">
        <f t="shared" si="1560"/>
        <v>99999</v>
      </c>
      <c r="B48452" s="1" t="str">
        <f>"04746"</f>
        <v>04746</v>
      </c>
      <c r="C48452" s="2">
        <v>2.0028264753306899E-5</v>
      </c>
      <c r="D48452" s="2">
        <v>3.01141779055288E-6</v>
      </c>
      <c r="E48452" s="2">
        <v>1.29031703089449E-5</v>
      </c>
      <c r="F48452" s="2">
        <v>1.8749532495209401E-5</v>
      </c>
    </row>
    <row r="48453" spans="1:6" x14ac:dyDescent="0.25">
      <c r="A48453" s="1" t="str">
        <f t="shared" si="1560"/>
        <v>99999</v>
      </c>
      <c r="B48453" s="1" t="str">
        <f>"04617"</f>
        <v>04617</v>
      </c>
      <c r="C48453" s="2">
        <v>5.8027837339310999E-5</v>
      </c>
      <c r="D48453" s="2">
        <v>1.0539962266935E-5</v>
      </c>
      <c r="E48453" s="2">
        <v>1.29031703089449E-5</v>
      </c>
      <c r="F48453" s="2">
        <v>5.3880235486233499E-5</v>
      </c>
    </row>
    <row r="48454" spans="1:6" x14ac:dyDescent="0.25">
      <c r="A48454" s="1" t="str">
        <f t="shared" ref="A48454:A48517" si="1561">"99999"</f>
        <v>99999</v>
      </c>
      <c r="B48454" s="1" t="str">
        <f>"04655"</f>
        <v>04655</v>
      </c>
      <c r="C48454" s="2">
        <v>5.44552279508833E-5</v>
      </c>
      <c r="D48454" s="2">
        <v>9.0342533716586405E-6</v>
      </c>
      <c r="E48454" s="2">
        <v>1.72042270785932E-5</v>
      </c>
      <c r="F48454" s="2">
        <v>5.0623737737065603E-5</v>
      </c>
    </row>
    <row r="48455" spans="1:6" x14ac:dyDescent="0.25">
      <c r="A48455" s="1" t="str">
        <f t="shared" si="1561"/>
        <v>99999</v>
      </c>
      <c r="B48455" s="1" t="str">
        <f>"04653"</f>
        <v>04653</v>
      </c>
      <c r="C48455" s="2">
        <v>1.8079568723255499E-5</v>
      </c>
      <c r="D48455" s="2">
        <v>7.5285444763821999E-6</v>
      </c>
      <c r="E48455" s="2">
        <v>2.15052838482415E-5</v>
      </c>
      <c r="F48455" s="2">
        <v>1.7466669745537199E-5</v>
      </c>
    </row>
    <row r="48456" spans="1:6" x14ac:dyDescent="0.25">
      <c r="A48456" s="1" t="str">
        <f t="shared" si="1561"/>
        <v>99999</v>
      </c>
      <c r="B48456" s="1" t="str">
        <f>"05461"</f>
        <v>05461</v>
      </c>
      <c r="C48456" s="2">
        <v>8.3360885729980396E-6</v>
      </c>
      <c r="D48456" s="2">
        <v>0</v>
      </c>
      <c r="E48456" s="2">
        <v>0</v>
      </c>
      <c r="F48456" s="2">
        <v>7.5984947480585801E-6</v>
      </c>
    </row>
    <row r="48457" spans="1:6" x14ac:dyDescent="0.25">
      <c r="A48457" s="1" t="str">
        <f t="shared" si="1561"/>
        <v>99999</v>
      </c>
      <c r="B48457" s="1" t="str">
        <f>"12406"</f>
        <v>12406</v>
      </c>
      <c r="C48457" s="2">
        <v>1.7213481598788101E-5</v>
      </c>
      <c r="D48457" s="2">
        <v>9.0342533716586405E-6</v>
      </c>
      <c r="E48457" s="2">
        <v>2.15052838482415E-5</v>
      </c>
      <c r="F48457" s="2">
        <v>1.6775897495713701E-5</v>
      </c>
    </row>
    <row r="48458" spans="1:6" x14ac:dyDescent="0.25">
      <c r="A48458" s="1" t="str">
        <f t="shared" si="1561"/>
        <v>99999</v>
      </c>
      <c r="B48458" s="1" t="str">
        <f>"13345"</f>
        <v>13345</v>
      </c>
      <c r="C48458" s="2">
        <v>1.0068262821932701E-5</v>
      </c>
      <c r="D48458" s="2">
        <v>7.5285444763821999E-6</v>
      </c>
      <c r="E48458" s="2">
        <v>1.29031703089449E-5</v>
      </c>
      <c r="F48458" s="2">
        <v>9.9668567474534592E-6</v>
      </c>
    </row>
    <row r="48459" spans="1:6" x14ac:dyDescent="0.25">
      <c r="A48459" s="1" t="str">
        <f t="shared" si="1561"/>
        <v>99999</v>
      </c>
      <c r="B48459" s="1" t="str">
        <f>"13360"</f>
        <v>13360</v>
      </c>
      <c r="C48459" s="2">
        <v>4.2763051770574302E-5</v>
      </c>
      <c r="D48459" s="2">
        <v>9.0342533716586405E-6</v>
      </c>
      <c r="E48459" s="2">
        <v>1.72042270785932E-5</v>
      </c>
      <c r="F48459" s="2">
        <v>3.99661087397886E-5</v>
      </c>
    </row>
    <row r="48460" spans="1:6" x14ac:dyDescent="0.25">
      <c r="A48460" s="1" t="str">
        <f t="shared" si="1561"/>
        <v>99999</v>
      </c>
      <c r="B48460" s="1" t="str">
        <f>"13804"</f>
        <v>13804</v>
      </c>
      <c r="C48460" s="2">
        <v>5.4130445279208001E-6</v>
      </c>
      <c r="D48460" s="2">
        <v>1.35513800574879E-5</v>
      </c>
      <c r="E48460" s="2">
        <v>4.3010567696482999E-6</v>
      </c>
      <c r="F48460" s="2">
        <v>5.9209049984871999E-6</v>
      </c>
    </row>
    <row r="48461" spans="1:6" x14ac:dyDescent="0.25">
      <c r="A48461" s="1" t="str">
        <f t="shared" si="1561"/>
        <v>99999</v>
      </c>
      <c r="B48461" s="1" t="str">
        <f>"13471"</f>
        <v>13471</v>
      </c>
      <c r="C48461" s="2">
        <v>2.3817395922851499E-6</v>
      </c>
      <c r="D48461" s="2">
        <v>0</v>
      </c>
      <c r="E48461" s="2">
        <v>0</v>
      </c>
      <c r="F48461" s="2">
        <v>2.1709984994452998E-6</v>
      </c>
    </row>
    <row r="48462" spans="1:6" x14ac:dyDescent="0.25">
      <c r="A48462" s="1" t="str">
        <f t="shared" si="1561"/>
        <v>99999</v>
      </c>
      <c r="B48462" s="1" t="str">
        <f>"14145"</f>
        <v>14145</v>
      </c>
      <c r="C48462" s="2">
        <v>6.3873925429465498E-5</v>
      </c>
      <c r="D48462" s="2">
        <v>4.0654140172463799E-5</v>
      </c>
      <c r="E48462" s="2">
        <v>4.7311624466131299E-5</v>
      </c>
      <c r="F48462" s="2">
        <v>6.1972138984166104E-5</v>
      </c>
    </row>
    <row r="48463" spans="1:6" x14ac:dyDescent="0.25">
      <c r="A48463" s="1" t="str">
        <f t="shared" si="1561"/>
        <v>99999</v>
      </c>
      <c r="B48463" s="1" t="str">
        <f>"15764"</f>
        <v>15764</v>
      </c>
      <c r="C48463" s="2">
        <v>5.7378271995960499E-6</v>
      </c>
      <c r="D48463" s="2">
        <v>1.65627978480408E-5</v>
      </c>
      <c r="E48463" s="2">
        <v>0</v>
      </c>
      <c r="F48463" s="2">
        <v>6.3156319983863499E-6</v>
      </c>
    </row>
    <row r="48464" spans="1:6" x14ac:dyDescent="0.25">
      <c r="A48464" s="1" t="str">
        <f t="shared" si="1561"/>
        <v>99999</v>
      </c>
      <c r="B48464" s="1" t="str">
        <f>"16932"</f>
        <v>16932</v>
      </c>
      <c r="C48464" s="2">
        <v>3.3127832510875297E-5</v>
      </c>
      <c r="D48464" s="2">
        <v>1.35513800574879E-5</v>
      </c>
      <c r="E48464" s="2">
        <v>8.6021135392965999E-6</v>
      </c>
      <c r="F48464" s="2">
        <v>3.1282114742007402E-5</v>
      </c>
    </row>
    <row r="48465" spans="1:6" x14ac:dyDescent="0.25">
      <c r="A48465" s="1" t="str">
        <f t="shared" si="1561"/>
        <v>99999</v>
      </c>
      <c r="B48465" s="1" t="str">
        <f>"17223"</f>
        <v>17223</v>
      </c>
      <c r="C48465" s="2">
        <v>1.68886989271129E-5</v>
      </c>
      <c r="D48465" s="2">
        <v>1.9574215638593701E-5</v>
      </c>
      <c r="E48465" s="2">
        <v>8.6021135392965999E-6</v>
      </c>
      <c r="F48465" s="2">
        <v>1.6874579245688502E-5</v>
      </c>
    </row>
    <row r="48466" spans="1:6" x14ac:dyDescent="0.25">
      <c r="A48466" s="1" t="str">
        <f t="shared" si="1561"/>
        <v>99999</v>
      </c>
      <c r="B48466" s="1" t="str">
        <f>"18616"</f>
        <v>18616</v>
      </c>
      <c r="C48466" s="2">
        <v>3.7133485461536698E-5</v>
      </c>
      <c r="D48466" s="2">
        <v>3.01141779055288E-5</v>
      </c>
      <c r="E48466" s="2">
        <v>0</v>
      </c>
      <c r="F48466" s="2">
        <v>3.5821475240847599E-5</v>
      </c>
    </row>
    <row r="48467" spans="1:6" x14ac:dyDescent="0.25">
      <c r="A48467" s="1" t="str">
        <f t="shared" si="1561"/>
        <v>99999</v>
      </c>
      <c r="B48467" s="1" t="str">
        <f>"22476"</f>
        <v>22476</v>
      </c>
      <c r="C48467" s="2">
        <v>1.68886989271129E-5</v>
      </c>
      <c r="D48467" s="2">
        <v>3.01141779055288E-6</v>
      </c>
      <c r="E48467" s="2">
        <v>4.3010567696482999E-6</v>
      </c>
      <c r="F48467" s="2">
        <v>1.56903982459911E-5</v>
      </c>
    </row>
    <row r="48468" spans="1:6" x14ac:dyDescent="0.25">
      <c r="A48468" s="1" t="str">
        <f t="shared" si="1561"/>
        <v>99999</v>
      </c>
      <c r="B48468" s="1" t="str">
        <f>"23047"</f>
        <v>23047</v>
      </c>
      <c r="C48468" s="2">
        <v>1.49400028970614E-5</v>
      </c>
      <c r="D48468" s="2">
        <v>1.35513800574879E-5</v>
      </c>
      <c r="E48468" s="2">
        <v>0</v>
      </c>
      <c r="F48468" s="2">
        <v>1.45062172462936E-5</v>
      </c>
    </row>
    <row r="48469" spans="1:6" x14ac:dyDescent="0.25">
      <c r="A48469" s="1" t="str">
        <f t="shared" si="1561"/>
        <v>99999</v>
      </c>
      <c r="B48469" s="1" t="str">
        <f>"23921"</f>
        <v>23921</v>
      </c>
      <c r="C48469" s="2">
        <v>1.1345741330522E-4</v>
      </c>
      <c r="D48469" s="2">
        <v>4.9688393544122498E-5</v>
      </c>
      <c r="E48469" s="2">
        <v>8.6021135392965999E-6</v>
      </c>
      <c r="F48469" s="2">
        <v>1.0687233522269399E-4</v>
      </c>
    </row>
    <row r="48470" spans="1:6" x14ac:dyDescent="0.25">
      <c r="A48470" s="1" t="str">
        <f t="shared" si="1561"/>
        <v>99999</v>
      </c>
      <c r="B48470" s="1" t="str">
        <f>"24280"</f>
        <v>24280</v>
      </c>
      <c r="C48470" s="2">
        <v>2.2843047907825799E-5</v>
      </c>
      <c r="D48470" s="2">
        <v>1.9574215638593701E-5</v>
      </c>
      <c r="E48470" s="2">
        <v>1.72042270785932E-5</v>
      </c>
      <c r="F48470" s="2">
        <v>2.2499438994251299E-5</v>
      </c>
    </row>
    <row r="48471" spans="1:6" x14ac:dyDescent="0.25">
      <c r="A48471" s="1" t="str">
        <f t="shared" si="1561"/>
        <v>99999</v>
      </c>
      <c r="B48471" s="1" t="str">
        <f>"24322"</f>
        <v>24322</v>
      </c>
      <c r="C48471" s="2">
        <v>1.09343499464E-5</v>
      </c>
      <c r="D48471" s="2">
        <v>3.01141779055288E-6</v>
      </c>
      <c r="E48471" s="2">
        <v>0</v>
      </c>
      <c r="F48471" s="2">
        <v>1.0164220247403001E-5</v>
      </c>
    </row>
    <row r="48472" spans="1:6" x14ac:dyDescent="0.25">
      <c r="A48472" s="1" t="str">
        <f t="shared" si="1561"/>
        <v>99999</v>
      </c>
      <c r="B48472" s="1" t="str">
        <f>"24562"</f>
        <v>24562</v>
      </c>
      <c r="C48472" s="2">
        <v>2.23017434550337E-5</v>
      </c>
      <c r="D48472" s="2">
        <v>7.5285444763821999E-6</v>
      </c>
      <c r="E48472" s="2">
        <v>4.3010567696482999E-6</v>
      </c>
      <c r="F48472" s="2">
        <v>2.0920530994654801E-5</v>
      </c>
    </row>
    <row r="48473" spans="1:6" x14ac:dyDescent="0.25">
      <c r="A48473" s="1" t="str">
        <f t="shared" si="1561"/>
        <v>99999</v>
      </c>
      <c r="B48473" s="1" t="str">
        <f>"76239"</f>
        <v>76239</v>
      </c>
      <c r="C48473" s="2">
        <v>4.6876965611794201E-5</v>
      </c>
      <c r="D48473" s="2">
        <v>1.20456711622115E-5</v>
      </c>
      <c r="E48473" s="2">
        <v>8.6021135392965999E-6</v>
      </c>
      <c r="F48473" s="2">
        <v>4.3716015238830501E-5</v>
      </c>
    </row>
    <row r="48474" spans="1:6" x14ac:dyDescent="0.25">
      <c r="A48474" s="1" t="str">
        <f t="shared" si="1561"/>
        <v>99999</v>
      </c>
      <c r="B48474" s="1" t="str">
        <f>"75968"</f>
        <v>75968</v>
      </c>
      <c r="C48474" s="2">
        <v>9.1047408959627906E-5</v>
      </c>
      <c r="D48474" s="2">
        <v>3.9148431277187403E-5</v>
      </c>
      <c r="E48474" s="2">
        <v>4.3010567696482999E-6</v>
      </c>
      <c r="F48474" s="2">
        <v>8.56557589781149E-5</v>
      </c>
    </row>
    <row r="48475" spans="1:6" x14ac:dyDescent="0.25">
      <c r="A48475" s="1" t="str">
        <f t="shared" si="1561"/>
        <v>99999</v>
      </c>
      <c r="B48475" s="1" t="str">
        <f>"76033"</f>
        <v>76033</v>
      </c>
      <c r="C48475" s="2">
        <v>9.0939148069069495E-6</v>
      </c>
      <c r="D48475" s="2">
        <v>6.0228355811057601E-6</v>
      </c>
      <c r="E48475" s="2">
        <v>6.0214794775076199E-5</v>
      </c>
      <c r="F48475" s="2">
        <v>1.00655384974282E-5</v>
      </c>
    </row>
    <row r="48476" spans="1:6" x14ac:dyDescent="0.25">
      <c r="A48476" s="1" t="str">
        <f t="shared" si="1561"/>
        <v>99999</v>
      </c>
      <c r="B48476" s="1" t="str">
        <f>"73931"</f>
        <v>73931</v>
      </c>
      <c r="C48476" s="2">
        <v>3.0637832028031702E-5</v>
      </c>
      <c r="D48476" s="2">
        <v>5.2699811334675399E-5</v>
      </c>
      <c r="E48476" s="2">
        <v>0</v>
      </c>
      <c r="F48476" s="2">
        <v>3.1380796491982199E-5</v>
      </c>
    </row>
    <row r="48477" spans="1:6" x14ac:dyDescent="0.25">
      <c r="A48477" s="1" t="str">
        <f t="shared" si="1561"/>
        <v>99999</v>
      </c>
      <c r="B48477" s="1" t="str">
        <f>"75860"</f>
        <v>75860</v>
      </c>
      <c r="C48477" s="2">
        <v>4.0846834007690402E-4</v>
      </c>
      <c r="D48477" s="2">
        <v>3.4631304591358099E-4</v>
      </c>
      <c r="E48477" s="2">
        <v>3.2257925772362199E-4</v>
      </c>
      <c r="F48477" s="2">
        <v>4.0242417639717998E-4</v>
      </c>
    </row>
    <row r="48478" spans="1:6" x14ac:dyDescent="0.25">
      <c r="A48478" s="1" t="str">
        <f t="shared" si="1561"/>
        <v>99999</v>
      </c>
      <c r="B48478" s="1" t="str">
        <f>"75956"</f>
        <v>75956</v>
      </c>
      <c r="C48478" s="2">
        <v>4.1290703658979902E-4</v>
      </c>
      <c r="D48478" s="2">
        <v>3.6889867934272697E-4</v>
      </c>
      <c r="E48478" s="2">
        <v>5.2687945428191701E-3</v>
      </c>
      <c r="F48478" s="2">
        <v>5.2143436686677305E-4</v>
      </c>
    </row>
    <row r="48479" spans="1:6" x14ac:dyDescent="0.25">
      <c r="A48479" s="1" t="str">
        <f t="shared" si="1561"/>
        <v>99999</v>
      </c>
      <c r="B48479" s="1" t="str">
        <f>"75850"</f>
        <v>75850</v>
      </c>
      <c r="C48479" s="2">
        <v>2.9663484013005999E-5</v>
      </c>
      <c r="D48479" s="2">
        <v>1.20456711622115E-5</v>
      </c>
      <c r="E48479" s="2">
        <v>0</v>
      </c>
      <c r="F48479" s="2">
        <v>2.7828253492889801E-5</v>
      </c>
    </row>
    <row r="48480" spans="1:6" x14ac:dyDescent="0.25">
      <c r="A48480" s="1" t="str">
        <f t="shared" si="1561"/>
        <v>99999</v>
      </c>
      <c r="B48480" s="1" t="str">
        <f>"77320"</f>
        <v>77320</v>
      </c>
      <c r="C48480" s="2">
        <v>6.7771317489568502E-5</v>
      </c>
      <c r="D48480" s="2">
        <v>1.65627978480408E-5</v>
      </c>
      <c r="E48480" s="2">
        <v>0</v>
      </c>
      <c r="F48480" s="2">
        <v>6.2860274733939094E-5</v>
      </c>
    </row>
    <row r="48481" spans="1:6" x14ac:dyDescent="0.25">
      <c r="A48481" s="1" t="str">
        <f t="shared" si="1561"/>
        <v>99999</v>
      </c>
      <c r="B48481" s="1" t="str">
        <f>"77351"</f>
        <v>77351</v>
      </c>
      <c r="C48481" s="2">
        <v>1.83523861674627E-3</v>
      </c>
      <c r="D48481" s="2">
        <v>2.27813755855325E-3</v>
      </c>
      <c r="E48481" s="2">
        <v>8.0859867269387998E-4</v>
      </c>
      <c r="F48481" s="2">
        <v>1.84071068227969E-3</v>
      </c>
    </row>
    <row r="48482" spans="1:6" x14ac:dyDescent="0.25">
      <c r="A48482" s="1" t="str">
        <f t="shared" si="1561"/>
        <v>99999</v>
      </c>
      <c r="B48482" s="1" t="str">
        <f>"77364"</f>
        <v>77364</v>
      </c>
      <c r="C48482" s="2">
        <v>1.5936003090198799E-4</v>
      </c>
      <c r="D48482" s="2">
        <v>9.6365369297692093E-5</v>
      </c>
      <c r="E48482" s="2">
        <v>8.6021135392965999E-6</v>
      </c>
      <c r="F48482" s="2">
        <v>1.5177253146122201E-4</v>
      </c>
    </row>
    <row r="48483" spans="1:6" x14ac:dyDescent="0.25">
      <c r="A48483" s="1" t="str">
        <f t="shared" si="1561"/>
        <v>99999</v>
      </c>
      <c r="B48483" s="1" t="str">
        <f>"77399"</f>
        <v>77399</v>
      </c>
      <c r="C48483" s="2">
        <v>2.14356563305664E-5</v>
      </c>
      <c r="D48483" s="2">
        <v>1.50570889527644E-6</v>
      </c>
      <c r="E48483" s="2">
        <v>0</v>
      </c>
      <c r="F48483" s="2">
        <v>1.96376682449825E-5</v>
      </c>
    </row>
    <row r="48484" spans="1:6" x14ac:dyDescent="0.25">
      <c r="A48484" s="1" t="str">
        <f t="shared" si="1561"/>
        <v>99999</v>
      </c>
      <c r="B48484" s="1" t="str">
        <f>"78118"</f>
        <v>78118</v>
      </c>
      <c r="C48484" s="2">
        <v>2.15222650430131E-4</v>
      </c>
      <c r="D48484" s="2">
        <v>3.82450059400215E-4</v>
      </c>
      <c r="E48484" s="2">
        <v>1.37633816628745E-4</v>
      </c>
      <c r="F48484" s="2">
        <v>2.2440229944266501E-4</v>
      </c>
    </row>
    <row r="48485" spans="1:6" x14ac:dyDescent="0.25">
      <c r="A48485" s="1" t="str">
        <f t="shared" si="1561"/>
        <v>99999</v>
      </c>
      <c r="B48485" s="1" t="str">
        <f>"78122"</f>
        <v>78122</v>
      </c>
      <c r="C48485" s="2">
        <v>1.34243504292436E-5</v>
      </c>
      <c r="D48485" s="2">
        <v>3.01141779055288E-6</v>
      </c>
      <c r="E48485" s="2">
        <v>0</v>
      </c>
      <c r="F48485" s="2">
        <v>1.2433900496823101E-5</v>
      </c>
    </row>
    <row r="48486" spans="1:6" x14ac:dyDescent="0.25">
      <c r="A48486" s="1" t="str">
        <f t="shared" si="1561"/>
        <v>99999</v>
      </c>
      <c r="B48486" s="1" t="str">
        <f>"76692"</f>
        <v>76692</v>
      </c>
      <c r="C48486" s="2">
        <v>6.6244838932694801E-4</v>
      </c>
      <c r="D48486" s="2">
        <v>5.5259516456645304E-4</v>
      </c>
      <c r="E48486" s="2">
        <v>4.2580462019518102E-4</v>
      </c>
      <c r="F48486" s="2">
        <v>6.4981932358397097E-4</v>
      </c>
    </row>
    <row r="48487" spans="1:6" x14ac:dyDescent="0.25">
      <c r="A48487" s="1" t="str">
        <f t="shared" si="1561"/>
        <v>99999</v>
      </c>
      <c r="B48487" s="1" t="str">
        <f>"76687"</f>
        <v>76687</v>
      </c>
      <c r="C48487" s="2">
        <v>9.0397843616277498E-5</v>
      </c>
      <c r="D48487" s="2">
        <v>3.01141779055288E-5</v>
      </c>
      <c r="E48487" s="2">
        <v>6.8816908314372799E-5</v>
      </c>
      <c r="F48487" s="2">
        <v>8.5951804228039298E-5</v>
      </c>
    </row>
    <row r="48488" spans="1:6" x14ac:dyDescent="0.25">
      <c r="A48488" s="1" t="str">
        <f t="shared" si="1561"/>
        <v>99999</v>
      </c>
      <c r="B48488" s="1" t="str">
        <f>"76689"</f>
        <v>76689</v>
      </c>
      <c r="C48488" s="2">
        <v>1.1822089248979E-4</v>
      </c>
      <c r="D48488" s="2">
        <v>2.25856334291466E-5</v>
      </c>
      <c r="E48488" s="2">
        <v>6.4515851544724506E-5</v>
      </c>
      <c r="F48488" s="2">
        <v>1.1072092347171E-4</v>
      </c>
    </row>
    <row r="48489" spans="1:6" x14ac:dyDescent="0.25">
      <c r="A48489" s="1" t="str">
        <f t="shared" si="1561"/>
        <v>99999</v>
      </c>
      <c r="B48489" s="1" t="str">
        <f>"76648"</f>
        <v>76648</v>
      </c>
      <c r="C48489" s="2">
        <v>1.5015785520452299E-4</v>
      </c>
      <c r="D48489" s="2">
        <v>1.5659372510874899E-4</v>
      </c>
      <c r="E48489" s="2">
        <v>6.0214794775076199E-5</v>
      </c>
      <c r="F48489" s="2">
        <v>1.4851603371205399E-4</v>
      </c>
    </row>
    <row r="48490" spans="1:6" x14ac:dyDescent="0.25">
      <c r="A48490" s="1" t="str">
        <f t="shared" si="1561"/>
        <v>99999</v>
      </c>
      <c r="B48490" s="1" t="str">
        <f>"78164"</f>
        <v>78164</v>
      </c>
      <c r="C48490" s="2">
        <v>1.6877872838057001E-4</v>
      </c>
      <c r="D48490" s="2">
        <v>5.2699811334675399E-5</v>
      </c>
      <c r="E48490" s="2">
        <v>8.6021135392965999E-5</v>
      </c>
      <c r="F48490" s="2">
        <v>1.5927234445930501E-4</v>
      </c>
    </row>
    <row r="48491" spans="1:6" x14ac:dyDescent="0.25">
      <c r="A48491" s="1" t="str">
        <f t="shared" si="1561"/>
        <v>99999</v>
      </c>
      <c r="B48491" s="1" t="str">
        <f>"78151"</f>
        <v>78151</v>
      </c>
      <c r="C48491" s="2">
        <v>3.2153484495849597E-5</v>
      </c>
      <c r="D48491" s="2">
        <v>1.0539962266935E-5</v>
      </c>
      <c r="E48491" s="2">
        <v>3.01073973875381E-5</v>
      </c>
      <c r="F48491" s="2">
        <v>3.06900242421586E-5</v>
      </c>
    </row>
    <row r="48492" spans="1:6" x14ac:dyDescent="0.25">
      <c r="A48492" s="1" t="str">
        <f t="shared" si="1561"/>
        <v>99999</v>
      </c>
      <c r="B48492" s="1" t="str">
        <f>"76569"</f>
        <v>76569</v>
      </c>
      <c r="C48492" s="2">
        <v>8.0113059013227898E-6</v>
      </c>
      <c r="D48492" s="2">
        <v>0</v>
      </c>
      <c r="E48492" s="2">
        <v>0</v>
      </c>
      <c r="F48492" s="2">
        <v>7.3024494981342204E-6</v>
      </c>
    </row>
    <row r="48493" spans="1:6" x14ac:dyDescent="0.25">
      <c r="A48493" s="1" t="str">
        <f t="shared" si="1561"/>
        <v>99999</v>
      </c>
      <c r="B48493" s="1" t="str">
        <f>"77861"</f>
        <v>77861</v>
      </c>
      <c r="C48493" s="2">
        <v>1.5784437843416999E-4</v>
      </c>
      <c r="D48493" s="2">
        <v>2.4091342324423E-5</v>
      </c>
      <c r="E48493" s="2">
        <v>8.6021135392965999E-6</v>
      </c>
      <c r="F48493" s="2">
        <v>1.4565426296278501E-4</v>
      </c>
    </row>
    <row r="48494" spans="1:6" x14ac:dyDescent="0.25">
      <c r="A48494" s="1" t="str">
        <f t="shared" si="1561"/>
        <v>99999</v>
      </c>
      <c r="B48494" s="1" t="str">
        <f>"77868"</f>
        <v>77868</v>
      </c>
      <c r="C48494" s="2">
        <v>6.5952534528187102E-4</v>
      </c>
      <c r="D48494" s="2">
        <v>7.4532590316183798E-4</v>
      </c>
      <c r="E48494" s="2">
        <v>5.1612681235779605E-4</v>
      </c>
      <c r="F48494" s="2">
        <v>6.6185849708089498E-4</v>
      </c>
    </row>
    <row r="48495" spans="1:6" x14ac:dyDescent="0.25">
      <c r="A48495" s="1" t="str">
        <f t="shared" si="1561"/>
        <v>99999</v>
      </c>
      <c r="B48495" s="1" t="str">
        <f>"78933"</f>
        <v>78933</v>
      </c>
      <c r="C48495" s="2">
        <v>4.2113486427223799E-5</v>
      </c>
      <c r="D48495" s="2">
        <v>1.20456711622115E-5</v>
      </c>
      <c r="E48495" s="2">
        <v>0</v>
      </c>
      <c r="F48495" s="2">
        <v>3.9176654739990298E-5</v>
      </c>
    </row>
    <row r="48496" spans="1:6" x14ac:dyDescent="0.25">
      <c r="A48496" s="1" t="str">
        <f t="shared" si="1561"/>
        <v>99999</v>
      </c>
      <c r="B48496" s="1" t="str">
        <f>"78941"</f>
        <v>78941</v>
      </c>
      <c r="C48496" s="2">
        <v>1.16813500912531E-4</v>
      </c>
      <c r="D48496" s="2">
        <v>9.33539515071393E-5</v>
      </c>
      <c r="E48496" s="2">
        <v>1.41934873398393E-4</v>
      </c>
      <c r="F48496" s="2">
        <v>1.15852374470399E-4</v>
      </c>
    </row>
    <row r="48497" spans="1:6" x14ac:dyDescent="0.25">
      <c r="A48497" s="1" t="str">
        <f t="shared" si="1561"/>
        <v>99999</v>
      </c>
      <c r="B48497" s="1" t="str">
        <f>"78828"</f>
        <v>78828</v>
      </c>
      <c r="C48497" s="2">
        <v>8.1195667918812104E-6</v>
      </c>
      <c r="D48497" s="2">
        <v>4.5171266858293203E-6</v>
      </c>
      <c r="E48497" s="2">
        <v>4.3010567696482999E-6</v>
      </c>
      <c r="F48497" s="2">
        <v>7.7958582480081497E-6</v>
      </c>
    </row>
    <row r="48498" spans="1:6" x14ac:dyDescent="0.25">
      <c r="A48498" s="1" t="str">
        <f t="shared" si="1561"/>
        <v>99999</v>
      </c>
      <c r="B48498" s="1" t="str">
        <f>"78834"</f>
        <v>78834</v>
      </c>
      <c r="C48498" s="2">
        <v>3.5271398143931902E-4</v>
      </c>
      <c r="D48498" s="2">
        <v>5.6313512683338796E-4</v>
      </c>
      <c r="E48498" s="2">
        <v>4.8601941497025799E-4</v>
      </c>
      <c r="F48498" s="2">
        <v>3.69563153655576E-4</v>
      </c>
    </row>
    <row r="48499" spans="1:6" x14ac:dyDescent="0.25">
      <c r="A48499" s="1" t="str">
        <f t="shared" si="1561"/>
        <v>99999</v>
      </c>
      <c r="B48499" s="1" t="str">
        <f>"78839"</f>
        <v>78839</v>
      </c>
      <c r="C48499" s="2">
        <v>3.5260572054876099E-4</v>
      </c>
      <c r="D48499" s="2">
        <v>3.3125595696081601E-4</v>
      </c>
      <c r="E48499" s="2">
        <v>1.8924649786452501E-4</v>
      </c>
      <c r="F48499" s="2">
        <v>3.4745844166122401E-4</v>
      </c>
    </row>
    <row r="48500" spans="1:6" x14ac:dyDescent="0.25">
      <c r="A48500" s="1" t="str">
        <f t="shared" si="1561"/>
        <v>99999</v>
      </c>
      <c r="B48500" s="1" t="str">
        <f>"78948"</f>
        <v>78948</v>
      </c>
      <c r="C48500" s="2">
        <v>5.49965324036754E-5</v>
      </c>
      <c r="D48500" s="2">
        <v>1.65627978480408E-5</v>
      </c>
      <c r="E48500" s="2">
        <v>1.72042270785932E-5</v>
      </c>
      <c r="F48500" s="2">
        <v>5.1610555236813499E-5</v>
      </c>
    </row>
    <row r="48501" spans="1:6" x14ac:dyDescent="0.25">
      <c r="A48501" s="1" t="str">
        <f t="shared" si="1561"/>
        <v>99999</v>
      </c>
      <c r="B48501" s="1" t="str">
        <f>"78957"</f>
        <v>78957</v>
      </c>
      <c r="C48501" s="2">
        <v>1.3749133100918801E-5</v>
      </c>
      <c r="D48501" s="2">
        <v>4.5171266858293203E-6</v>
      </c>
      <c r="E48501" s="2">
        <v>1.72042270785932E-5</v>
      </c>
      <c r="F48501" s="2">
        <v>1.3223354496621401E-5</v>
      </c>
    </row>
    <row r="48502" spans="1:6" x14ac:dyDescent="0.25">
      <c r="A48502" s="1" t="str">
        <f t="shared" si="1561"/>
        <v>99999</v>
      </c>
      <c r="B48502" s="1" t="str">
        <f>"78963"</f>
        <v>78963</v>
      </c>
      <c r="C48502" s="2">
        <v>4.7201748283469398E-5</v>
      </c>
      <c r="D48502" s="2">
        <v>1.50570889527644E-5</v>
      </c>
      <c r="E48502" s="2">
        <v>4.3010567696482999E-6</v>
      </c>
      <c r="F48502" s="2">
        <v>4.4110742238729703E-5</v>
      </c>
    </row>
    <row r="48503" spans="1:6" x14ac:dyDescent="0.25">
      <c r="A48503" s="1" t="str">
        <f t="shared" si="1561"/>
        <v>99999</v>
      </c>
      <c r="B48503" s="1" t="str">
        <f>"79720"</f>
        <v>79720</v>
      </c>
      <c r="C48503" s="2">
        <v>5.3047836373623898E-6</v>
      </c>
      <c r="D48503" s="2">
        <v>0</v>
      </c>
      <c r="E48503" s="2">
        <v>0</v>
      </c>
      <c r="F48503" s="2">
        <v>4.8354057487645501E-6</v>
      </c>
    </row>
    <row r="48504" spans="1:6" x14ac:dyDescent="0.25">
      <c r="A48504" s="1" t="str">
        <f t="shared" si="1561"/>
        <v>99999</v>
      </c>
      <c r="B48504" s="1" t="str">
        <f>"78872"</f>
        <v>78872</v>
      </c>
      <c r="C48504" s="2">
        <v>3.7891311695445602E-6</v>
      </c>
      <c r="D48504" s="2">
        <v>4.5171266858293203E-6</v>
      </c>
      <c r="E48504" s="2">
        <v>0</v>
      </c>
      <c r="F48504" s="2">
        <v>3.7499064990418899E-6</v>
      </c>
    </row>
    <row r="48505" spans="1:6" x14ac:dyDescent="0.25">
      <c r="A48505" s="1" t="str">
        <f t="shared" si="1561"/>
        <v>99999</v>
      </c>
      <c r="B48505" s="1" t="str">
        <f>"78609"</f>
        <v>78609</v>
      </c>
      <c r="C48505" s="2">
        <v>1.30779155794566E-4</v>
      </c>
      <c r="D48505" s="2">
        <v>1.7014510516623701E-4</v>
      </c>
      <c r="E48505" s="2">
        <v>9.4623248932262599E-5</v>
      </c>
      <c r="F48505" s="2">
        <v>1.32529590216138E-4</v>
      </c>
    </row>
    <row r="48506" spans="1:6" x14ac:dyDescent="0.25">
      <c r="A48506" s="1" t="str">
        <f t="shared" si="1561"/>
        <v>99999</v>
      </c>
      <c r="B48506" s="1" t="str">
        <f>"78606"</f>
        <v>78606</v>
      </c>
      <c r="C48506" s="2">
        <v>2.59284832887406E-4</v>
      </c>
      <c r="D48506" s="2">
        <v>1.71650814061514E-4</v>
      </c>
      <c r="E48506" s="2">
        <v>2.6236446294854599E-4</v>
      </c>
      <c r="F48506" s="2">
        <v>2.5361209743520201E-4</v>
      </c>
    </row>
    <row r="48507" spans="1:6" x14ac:dyDescent="0.25">
      <c r="A48507" s="1" t="str">
        <f t="shared" si="1561"/>
        <v>99999</v>
      </c>
      <c r="B48507" s="1" t="str">
        <f>"81428"</f>
        <v>81428</v>
      </c>
      <c r="C48507" s="2">
        <v>2.2009439050525999E-4</v>
      </c>
      <c r="D48507" s="2">
        <v>4.8182684648845999E-5</v>
      </c>
      <c r="E48507" s="2">
        <v>1.41934873398393E-4</v>
      </c>
      <c r="F48507" s="2">
        <v>2.0703431144710201E-4</v>
      </c>
    </row>
    <row r="48508" spans="1:6" x14ac:dyDescent="0.25">
      <c r="A48508" s="1" t="str">
        <f t="shared" si="1561"/>
        <v>99999</v>
      </c>
      <c r="B48508" s="1" t="str">
        <f>"81236"</f>
        <v>81236</v>
      </c>
      <c r="C48508" s="2">
        <v>1.19736544957608E-4</v>
      </c>
      <c r="D48508" s="2">
        <v>1.80685067433172E-5</v>
      </c>
      <c r="E48508" s="2">
        <v>6.0214794775076199E-5</v>
      </c>
      <c r="F48508" s="2">
        <v>1.11707740971458E-4</v>
      </c>
    </row>
    <row r="48509" spans="1:6" x14ac:dyDescent="0.25">
      <c r="A48509" s="1" t="str">
        <f t="shared" si="1561"/>
        <v>99999</v>
      </c>
      <c r="B48509" s="1" t="str">
        <f>"81253"</f>
        <v>81253</v>
      </c>
      <c r="C48509" s="2">
        <v>1.5914350912087102E-5</v>
      </c>
      <c r="D48509" s="2">
        <v>1.50570889527644E-6</v>
      </c>
      <c r="E48509" s="2">
        <v>4.3010567696482999E-6</v>
      </c>
      <c r="F48509" s="2">
        <v>1.47035807462432E-5</v>
      </c>
    </row>
    <row r="48510" spans="1:6" x14ac:dyDescent="0.25">
      <c r="A48510" s="1" t="str">
        <f t="shared" si="1561"/>
        <v>99999</v>
      </c>
      <c r="B48510" s="1" t="str">
        <f>"81641"</f>
        <v>81641</v>
      </c>
      <c r="C48510" s="2">
        <v>1.3359393894908501E-4</v>
      </c>
      <c r="D48510" s="2">
        <v>1.5207659842292001E-4</v>
      </c>
      <c r="E48510" s="2">
        <v>1.93547554634173E-4</v>
      </c>
      <c r="F48510" s="2">
        <v>1.3618081496520501E-4</v>
      </c>
    </row>
    <row r="48511" spans="1:6" x14ac:dyDescent="0.25">
      <c r="A48511" s="1" t="str">
        <f t="shared" si="1561"/>
        <v>99999</v>
      </c>
      <c r="B48511" s="1" t="str">
        <f>"81067"</f>
        <v>81067</v>
      </c>
      <c r="C48511" s="2">
        <v>3.0031571040904599E-4</v>
      </c>
      <c r="D48511" s="2">
        <v>4.0804711061991501E-4</v>
      </c>
      <c r="E48511" s="2">
        <v>3.6128876865045701E-4</v>
      </c>
      <c r="F48511" s="2">
        <v>3.0877519567110699E-4</v>
      </c>
    </row>
    <row r="48512" spans="1:6" x14ac:dyDescent="0.25">
      <c r="A48512" s="1" t="str">
        <f t="shared" si="1561"/>
        <v>99999</v>
      </c>
      <c r="B48512" s="1" t="str">
        <f>"81063"</f>
        <v>81063</v>
      </c>
      <c r="C48512" s="2">
        <v>1.03605672264404E-4</v>
      </c>
      <c r="D48512" s="2">
        <v>2.3940771434895401E-4</v>
      </c>
      <c r="E48512" s="2">
        <v>2.0214966817347E-4</v>
      </c>
      <c r="F48512" s="2">
        <v>1.14766875220677E-4</v>
      </c>
    </row>
    <row r="48513" spans="1:6" x14ac:dyDescent="0.25">
      <c r="A48513" s="1" t="str">
        <f t="shared" si="1561"/>
        <v>99999</v>
      </c>
      <c r="B48513" s="1" t="str">
        <f>"81062"</f>
        <v>81062</v>
      </c>
      <c r="C48513" s="2">
        <v>3.6050876555952499E-5</v>
      </c>
      <c r="D48513" s="2">
        <v>3.01141779055288E-6</v>
      </c>
      <c r="E48513" s="2">
        <v>1.72042270785932E-5</v>
      </c>
      <c r="F48513" s="2">
        <v>3.34531132414527E-5</v>
      </c>
    </row>
    <row r="48514" spans="1:6" x14ac:dyDescent="0.25">
      <c r="A48514" s="1" t="str">
        <f t="shared" si="1561"/>
        <v>99999</v>
      </c>
      <c r="B48514" s="1" t="str">
        <f>"81140"</f>
        <v>81140</v>
      </c>
      <c r="C48514" s="2">
        <v>1.0219828068714401E-4</v>
      </c>
      <c r="D48514" s="2">
        <v>3.1619886800805203E-5</v>
      </c>
      <c r="E48514" s="2">
        <v>6.0214794775076199E-5</v>
      </c>
      <c r="F48514" s="2">
        <v>9.6609433225316199E-5</v>
      </c>
    </row>
    <row r="48515" spans="1:6" x14ac:dyDescent="0.25">
      <c r="A48515" s="1" t="str">
        <f t="shared" si="1561"/>
        <v>99999</v>
      </c>
      <c r="B48515" s="1" t="str">
        <f>"84038"</f>
        <v>84038</v>
      </c>
      <c r="C48515" s="2">
        <v>1.78630469421386E-5</v>
      </c>
      <c r="D48515" s="2">
        <v>0</v>
      </c>
      <c r="E48515" s="2">
        <v>4.3010567696482999E-6</v>
      </c>
      <c r="F48515" s="2">
        <v>1.6381170495814601E-5</v>
      </c>
    </row>
    <row r="48516" spans="1:6" x14ac:dyDescent="0.25">
      <c r="A48516" s="1" t="str">
        <f t="shared" si="1561"/>
        <v>99999</v>
      </c>
      <c r="B48516" s="1" t="str">
        <f>"83352"</f>
        <v>83352</v>
      </c>
      <c r="C48516" s="2">
        <v>1.2352567612715199E-4</v>
      </c>
      <c r="D48516" s="2">
        <v>9.7871078192968605E-5</v>
      </c>
      <c r="E48516" s="2">
        <v>1.07526419241207E-4</v>
      </c>
      <c r="F48516" s="2">
        <v>1.21477234218962E-4</v>
      </c>
    </row>
    <row r="48517" spans="1:6" x14ac:dyDescent="0.25">
      <c r="A48517" s="1" t="str">
        <f t="shared" si="1561"/>
        <v>99999</v>
      </c>
      <c r="B48517" s="1" t="str">
        <f>"82301"</f>
        <v>82301</v>
      </c>
      <c r="C48517" s="2">
        <v>4.6985226502352601E-4</v>
      </c>
      <c r="D48517" s="2">
        <v>7.8296862554374895E-4</v>
      </c>
      <c r="E48517" s="2">
        <v>9.3332931901368103E-4</v>
      </c>
      <c r="F48517" s="2">
        <v>5.0100724462199197E-4</v>
      </c>
    </row>
    <row r="48518" spans="1:6" x14ac:dyDescent="0.25">
      <c r="A48518" s="1" t="str">
        <f t="shared" ref="A48518:A48581" si="1562">"99999"</f>
        <v>99999</v>
      </c>
      <c r="B48518" s="1" t="str">
        <f>"82325"</f>
        <v>82325</v>
      </c>
      <c r="C48518" s="2">
        <v>4.2979573551691197E-5</v>
      </c>
      <c r="D48518" s="2">
        <v>2.25856334291466E-5</v>
      </c>
      <c r="E48518" s="2">
        <v>3.8709510926834699E-5</v>
      </c>
      <c r="F48518" s="2">
        <v>4.1545016739385197E-5</v>
      </c>
    </row>
    <row r="48519" spans="1:6" x14ac:dyDescent="0.25">
      <c r="A48519" s="1" t="str">
        <f t="shared" si="1562"/>
        <v>99999</v>
      </c>
      <c r="B48519" s="1" t="str">
        <f>"83226"</f>
        <v>83226</v>
      </c>
      <c r="C48519" s="2">
        <v>8.8990452039018007E-5</v>
      </c>
      <c r="D48519" s="2">
        <v>3.7642722381910999E-5</v>
      </c>
      <c r="E48519" s="2">
        <v>4.7311624466131299E-5</v>
      </c>
      <c r="F48519" s="2">
        <v>8.4668941478366997E-5</v>
      </c>
    </row>
    <row r="48520" spans="1:6" x14ac:dyDescent="0.25">
      <c r="A48520" s="1" t="str">
        <f t="shared" si="1562"/>
        <v>99999</v>
      </c>
      <c r="B48520" s="1" t="str">
        <f>"82923"</f>
        <v>82923</v>
      </c>
      <c r="C48520" s="2">
        <v>7.3617405579722903E-6</v>
      </c>
      <c r="D48520" s="2">
        <v>1.50570889527644E-6</v>
      </c>
      <c r="E48520" s="2">
        <v>4.3010567696482999E-6</v>
      </c>
      <c r="F48520" s="2">
        <v>6.9077224982350703E-6</v>
      </c>
    </row>
    <row r="48521" spans="1:6" x14ac:dyDescent="0.25">
      <c r="A48521" s="1" t="str">
        <f t="shared" si="1562"/>
        <v>99999</v>
      </c>
      <c r="B48521" s="1" t="str">
        <f>"83115"</f>
        <v>83115</v>
      </c>
      <c r="C48521" s="2">
        <v>9.6352192596990302E-6</v>
      </c>
      <c r="D48521" s="2">
        <v>0</v>
      </c>
      <c r="E48521" s="2">
        <v>2.15052838482415E-5</v>
      </c>
      <c r="F48521" s="2">
        <v>9.2760844976299596E-6</v>
      </c>
    </row>
    <row r="48522" spans="1:6" x14ac:dyDescent="0.25">
      <c r="A48522" s="1" t="str">
        <f t="shared" si="1562"/>
        <v>99999</v>
      </c>
      <c r="B48522" s="1" t="str">
        <f>"80823"</f>
        <v>80823</v>
      </c>
      <c r="C48522" s="2">
        <v>1.15839152897505E-5</v>
      </c>
      <c r="D48522" s="2">
        <v>1.50570889527644E-6</v>
      </c>
      <c r="E48522" s="2">
        <v>4.3010567696482999E-6</v>
      </c>
      <c r="F48522" s="2">
        <v>1.07563107472517E-5</v>
      </c>
    </row>
    <row r="48523" spans="1:6" x14ac:dyDescent="0.25">
      <c r="A48523" s="1" t="str">
        <f t="shared" si="1562"/>
        <v>99999</v>
      </c>
      <c r="B48523" s="1" t="str">
        <f>"80818"</f>
        <v>80818</v>
      </c>
      <c r="C48523" s="2">
        <v>1.85126122854891E-5</v>
      </c>
      <c r="D48523" s="2">
        <v>4.5171266858293203E-6</v>
      </c>
      <c r="E48523" s="2">
        <v>4.3010567696482999E-6</v>
      </c>
      <c r="F48523" s="2">
        <v>1.7269306245587602E-5</v>
      </c>
    </row>
    <row r="48524" spans="1:6" x14ac:dyDescent="0.25">
      <c r="A48524" s="1" t="str">
        <f t="shared" si="1562"/>
        <v>99999</v>
      </c>
      <c r="B48524" s="1" t="str">
        <f>"80727"</f>
        <v>80727</v>
      </c>
      <c r="C48524" s="2">
        <v>2.4900004828435702E-5</v>
      </c>
      <c r="D48524" s="2">
        <v>1.0539962266935E-5</v>
      </c>
      <c r="E48524" s="2">
        <v>4.3010567696482999E-6</v>
      </c>
      <c r="F48524" s="2">
        <v>2.3486256493999199E-5</v>
      </c>
    </row>
    <row r="48525" spans="1:6" x14ac:dyDescent="0.25">
      <c r="A48525" s="1" t="str">
        <f t="shared" si="1562"/>
        <v>99999</v>
      </c>
      <c r="B48525" s="1" t="str">
        <f>"80807"</f>
        <v>80807</v>
      </c>
      <c r="C48525" s="2">
        <v>2.3135352312333499E-4</v>
      </c>
      <c r="D48525" s="2">
        <v>5.6915796241449395E-4</v>
      </c>
      <c r="E48525" s="2">
        <v>3.7419193895940199E-4</v>
      </c>
      <c r="F48525" s="2">
        <v>2.5676991343439502E-4</v>
      </c>
    </row>
    <row r="48526" spans="1:6" x14ac:dyDescent="0.25">
      <c r="A48526" s="1" t="str">
        <f t="shared" si="1562"/>
        <v>99999</v>
      </c>
      <c r="B48526" s="1" t="str">
        <f>"80749"</f>
        <v>80749</v>
      </c>
      <c r="C48526" s="2">
        <v>2.1327395440007902E-5</v>
      </c>
      <c r="D48526" s="2">
        <v>6.0228355811057601E-6</v>
      </c>
      <c r="E48526" s="2">
        <v>4.3010567696482999E-6</v>
      </c>
      <c r="F48526" s="2">
        <v>1.9933713494906902E-5</v>
      </c>
    </row>
    <row r="48527" spans="1:6" x14ac:dyDescent="0.25">
      <c r="A48527" s="1" t="str">
        <f t="shared" si="1562"/>
        <v>99999</v>
      </c>
      <c r="B48527" s="1" t="str">
        <f>"80822"</f>
        <v>80822</v>
      </c>
      <c r="C48527" s="2">
        <v>1.3857393991477199E-5</v>
      </c>
      <c r="D48527" s="2">
        <v>1.0539962266935E-5</v>
      </c>
      <c r="E48527" s="2">
        <v>3.8709510926834699E-5</v>
      </c>
      <c r="F48527" s="2">
        <v>1.42101719963693E-5</v>
      </c>
    </row>
    <row r="48528" spans="1:6" x14ac:dyDescent="0.25">
      <c r="A48528" s="1" t="str">
        <f t="shared" si="1562"/>
        <v>99999</v>
      </c>
      <c r="B48528" s="1" t="str">
        <f>"80802"</f>
        <v>80802</v>
      </c>
      <c r="C48528" s="2">
        <v>1.18004370708673E-5</v>
      </c>
      <c r="D48528" s="2">
        <v>3.01141779055288E-6</v>
      </c>
      <c r="E48528" s="2">
        <v>4.3010567696482999E-6</v>
      </c>
      <c r="F48528" s="2">
        <v>1.10523559971761E-5</v>
      </c>
    </row>
    <row r="48529" spans="1:6" x14ac:dyDescent="0.25">
      <c r="A48529" s="1" t="str">
        <f t="shared" si="1562"/>
        <v>99999</v>
      </c>
      <c r="B48529" s="1" t="str">
        <f>"80459"</f>
        <v>80459</v>
      </c>
      <c r="C48529" s="2">
        <v>1.5373046459294999E-5</v>
      </c>
      <c r="D48529" s="2">
        <v>0</v>
      </c>
      <c r="E48529" s="2">
        <v>3.44084541571864E-5</v>
      </c>
      <c r="F48529" s="2">
        <v>1.4802262496217999E-5</v>
      </c>
    </row>
    <row r="48530" spans="1:6" x14ac:dyDescent="0.25">
      <c r="A48530" s="1" t="str">
        <f t="shared" si="1562"/>
        <v>99999</v>
      </c>
      <c r="B48530" s="1" t="str">
        <f>"84776"</f>
        <v>84776</v>
      </c>
      <c r="C48530" s="2">
        <v>1.7213481598788101E-5</v>
      </c>
      <c r="D48530" s="2">
        <v>3.31255956960816E-5</v>
      </c>
      <c r="E48530" s="2">
        <v>8.6021135392965999E-6</v>
      </c>
      <c r="F48530" s="2">
        <v>1.80587602453859E-5</v>
      </c>
    </row>
    <row r="48531" spans="1:6" x14ac:dyDescent="0.25">
      <c r="A48531" s="1" t="str">
        <f t="shared" si="1562"/>
        <v>99999</v>
      </c>
      <c r="B48531" s="1" t="str">
        <f>"84750"</f>
        <v>84750</v>
      </c>
      <c r="C48531" s="2">
        <v>2.1652178111683201E-5</v>
      </c>
      <c r="D48531" s="2">
        <v>3.01141779055288E-6</v>
      </c>
      <c r="E48531" s="2">
        <v>4.3010567696482999E-6</v>
      </c>
      <c r="F48531" s="2">
        <v>2.0032395244881699E-5</v>
      </c>
    </row>
    <row r="48532" spans="1:6" x14ac:dyDescent="0.25">
      <c r="A48532" s="1" t="str">
        <f t="shared" si="1562"/>
        <v>99999</v>
      </c>
      <c r="B48532" s="1" t="str">
        <f>"84730"</f>
        <v>84730</v>
      </c>
      <c r="C48532" s="2">
        <v>2.9013918669655499E-5</v>
      </c>
      <c r="D48532" s="2">
        <v>0</v>
      </c>
      <c r="E48532" s="2">
        <v>8.6021135392965999E-6</v>
      </c>
      <c r="F48532" s="2">
        <v>2.6644072493192399E-5</v>
      </c>
    </row>
    <row r="48533" spans="1:6" x14ac:dyDescent="0.25">
      <c r="A48533" s="1" t="str">
        <f t="shared" si="1562"/>
        <v>99999</v>
      </c>
      <c r="B48533" s="1" t="str">
        <f>"84665"</f>
        <v>84665</v>
      </c>
      <c r="C48533" s="2">
        <v>1.5914350912087102E-5</v>
      </c>
      <c r="D48533" s="2">
        <v>6.0228355811057601E-6</v>
      </c>
      <c r="E48533" s="2">
        <v>4.3010567696482999E-6</v>
      </c>
      <c r="F48533" s="2">
        <v>1.49996259961675E-5</v>
      </c>
    </row>
    <row r="48534" spans="1:6" x14ac:dyDescent="0.25">
      <c r="A48534" s="1" t="str">
        <f t="shared" si="1562"/>
        <v>99999</v>
      </c>
      <c r="B48534" s="1" t="str">
        <f>"85344"</f>
        <v>85344</v>
      </c>
      <c r="C48534" s="2">
        <v>8.5558581808316205E-4</v>
      </c>
      <c r="D48534" s="2">
        <v>1.13982163372426E-3</v>
      </c>
      <c r="E48534" s="2">
        <v>7.7419021853669396E-4</v>
      </c>
      <c r="F48534" s="2">
        <v>8.7234666977711504E-4</v>
      </c>
    </row>
    <row r="48535" spans="1:6" x14ac:dyDescent="0.25">
      <c r="A48535" s="1" t="str">
        <f t="shared" si="1562"/>
        <v>99999</v>
      </c>
      <c r="B48535" s="1" t="str">
        <f>"85334"</f>
        <v>85334</v>
      </c>
      <c r="C48535" s="2">
        <v>1.28072633530606E-4</v>
      </c>
      <c r="D48535" s="2">
        <v>8.4319698135480595E-5</v>
      </c>
      <c r="E48535" s="2">
        <v>8.6021135392965999E-6</v>
      </c>
      <c r="F48535" s="2">
        <v>1.2246405171870999E-4</v>
      </c>
    </row>
    <row r="48536" spans="1:6" x14ac:dyDescent="0.25">
      <c r="A48536" s="1" t="str">
        <f t="shared" si="1562"/>
        <v>99999</v>
      </c>
      <c r="B48536" s="1" t="str">
        <f>"84525"</f>
        <v>84525</v>
      </c>
      <c r="C48536" s="2">
        <v>3.7133485461536698E-5</v>
      </c>
      <c r="D48536" s="2">
        <v>1.89719320804831E-4</v>
      </c>
      <c r="E48536" s="2">
        <v>8.6021135392965999E-6</v>
      </c>
      <c r="F48536" s="2">
        <v>4.64791042381245E-5</v>
      </c>
    </row>
    <row r="48537" spans="1:6" x14ac:dyDescent="0.25">
      <c r="A48537" s="1" t="str">
        <f t="shared" si="1562"/>
        <v>99999</v>
      </c>
      <c r="B48537" s="1" t="str">
        <f>"71463"</f>
        <v>71463</v>
      </c>
      <c r="C48537" s="2">
        <v>4.0273051287730802E-4</v>
      </c>
      <c r="D48537" s="2">
        <v>5.9927214032002305E-4</v>
      </c>
      <c r="E48537" s="2">
        <v>3.09676087414677E-4</v>
      </c>
      <c r="F48537" s="2">
        <v>4.13476532394356E-4</v>
      </c>
    </row>
    <row r="48538" spans="1:6" x14ac:dyDescent="0.25">
      <c r="A48538" s="1" t="str">
        <f t="shared" si="1562"/>
        <v>99999</v>
      </c>
      <c r="B48538" s="1" t="str">
        <f>"71375"</f>
        <v>71375</v>
      </c>
      <c r="C48538" s="2">
        <v>2.8905657779097099E-5</v>
      </c>
      <c r="D48538" s="2">
        <v>3.4631304591358098E-5</v>
      </c>
      <c r="E48538" s="2">
        <v>4.3010567696482999E-6</v>
      </c>
      <c r="F48538" s="2">
        <v>2.87163892426629E-5</v>
      </c>
    </row>
    <row r="48539" spans="1:6" x14ac:dyDescent="0.25">
      <c r="A48539" s="1" t="str">
        <f t="shared" si="1562"/>
        <v>99999</v>
      </c>
      <c r="B48539" s="1" t="str">
        <f>"71439"</f>
        <v>71439</v>
      </c>
      <c r="C48539" s="2">
        <v>2.4142178594526799E-5</v>
      </c>
      <c r="D48539" s="2">
        <v>0</v>
      </c>
      <c r="E48539" s="2">
        <v>0</v>
      </c>
      <c r="F48539" s="2">
        <v>2.2006030244377399E-5</v>
      </c>
    </row>
    <row r="48540" spans="1:6" x14ac:dyDescent="0.25">
      <c r="A48540" s="1" t="str">
        <f t="shared" si="1562"/>
        <v>99999</v>
      </c>
      <c r="B48540" s="1" t="str">
        <f>"71462"</f>
        <v>71462</v>
      </c>
      <c r="C48540" s="2">
        <v>9.9383497532625999E-5</v>
      </c>
      <c r="D48540" s="2">
        <v>1.80685067433172E-5</v>
      </c>
      <c r="E48540" s="2">
        <v>4.3010567696482999E-6</v>
      </c>
      <c r="F48540" s="2">
        <v>9.1872709226526497E-5</v>
      </c>
    </row>
    <row r="48541" spans="1:6" x14ac:dyDescent="0.25">
      <c r="A48541" s="1" t="str">
        <f t="shared" si="1562"/>
        <v>99999</v>
      </c>
      <c r="B48541" s="1" t="str">
        <f>"71674"</f>
        <v>71674</v>
      </c>
      <c r="C48541" s="2">
        <v>4.4170443347833698E-5</v>
      </c>
      <c r="D48541" s="2">
        <v>5.5711229125228301E-5</v>
      </c>
      <c r="E48541" s="2">
        <v>4.3010567696482999E-6</v>
      </c>
      <c r="F48541" s="2">
        <v>4.4012060488754899E-5</v>
      </c>
    </row>
    <row r="48542" spans="1:6" x14ac:dyDescent="0.25">
      <c r="A48542" s="1" t="str">
        <f t="shared" si="1562"/>
        <v>99999</v>
      </c>
      <c r="B48542" s="1" t="str">
        <f>"71367"</f>
        <v>71367</v>
      </c>
      <c r="C48542" s="2">
        <v>6.2899577414439703E-5</v>
      </c>
      <c r="D48542" s="2">
        <v>1.20456711622115E-5</v>
      </c>
      <c r="E48542" s="2">
        <v>1.29031703089449E-5</v>
      </c>
      <c r="F48542" s="2">
        <v>5.8419595985073702E-5</v>
      </c>
    </row>
    <row r="48543" spans="1:6" x14ac:dyDescent="0.25">
      <c r="A48543" s="1" t="str">
        <f t="shared" si="1562"/>
        <v>99999</v>
      </c>
      <c r="B48543" s="1" t="str">
        <f>"71368"</f>
        <v>71368</v>
      </c>
      <c r="C48543" s="2">
        <v>5.8569141792103098E-5</v>
      </c>
      <c r="D48543" s="2">
        <v>2.25856334291466E-5</v>
      </c>
      <c r="E48543" s="2">
        <v>2.15052838482415E-5</v>
      </c>
      <c r="F48543" s="2">
        <v>5.53604617358554E-5</v>
      </c>
    </row>
    <row r="48544" spans="1:6" x14ac:dyDescent="0.25">
      <c r="A48544" s="1" t="str">
        <f t="shared" si="1562"/>
        <v>99999</v>
      </c>
      <c r="B48544" s="1" t="str">
        <f>"71647"</f>
        <v>71647</v>
      </c>
      <c r="C48544" s="2">
        <v>8.7691321352317001E-5</v>
      </c>
      <c r="D48544" s="2">
        <v>5.4205520229951803E-5</v>
      </c>
      <c r="E48544" s="2">
        <v>4.3010567696482999E-6</v>
      </c>
      <c r="F48544" s="2">
        <v>8.3583442228644399E-5</v>
      </c>
    </row>
    <row r="48545" spans="1:6" x14ac:dyDescent="0.25">
      <c r="A48545" s="1" t="str">
        <f t="shared" si="1562"/>
        <v>99999</v>
      </c>
      <c r="B48545" s="1" t="str">
        <f>"71658"</f>
        <v>71658</v>
      </c>
      <c r="C48545" s="2">
        <v>2.32760914700594E-5</v>
      </c>
      <c r="D48545" s="2">
        <v>1.0539962266935E-5</v>
      </c>
      <c r="E48545" s="2">
        <v>4.3010567696482999E-6</v>
      </c>
      <c r="F48545" s="2">
        <v>2.2006030244377399E-5</v>
      </c>
    </row>
    <row r="48546" spans="1:6" x14ac:dyDescent="0.25">
      <c r="A48546" s="1" t="str">
        <f t="shared" si="1562"/>
        <v>99999</v>
      </c>
      <c r="B48546" s="1" t="str">
        <f>"71351"</f>
        <v>71351</v>
      </c>
      <c r="C48546" s="2">
        <v>5.7194228482011203E-4</v>
      </c>
      <c r="D48546" s="2">
        <v>8.2362276571621297E-4</v>
      </c>
      <c r="E48546" s="2">
        <v>5.6343843682392695E-4</v>
      </c>
      <c r="F48546" s="2">
        <v>5.8824191159970402E-4</v>
      </c>
    </row>
    <row r="48547" spans="1:6" x14ac:dyDescent="0.25">
      <c r="A48547" s="1" t="str">
        <f t="shared" si="1562"/>
        <v>99999</v>
      </c>
      <c r="B48547" s="1" t="str">
        <f>"71264"</f>
        <v>71264</v>
      </c>
      <c r="C48547" s="2">
        <v>2.7390005311279201E-5</v>
      </c>
      <c r="D48547" s="2">
        <v>0</v>
      </c>
      <c r="E48547" s="2">
        <v>8.6021135392965999E-6</v>
      </c>
      <c r="F48547" s="2">
        <v>2.5163846243570599E-5</v>
      </c>
    </row>
    <row r="48548" spans="1:6" x14ac:dyDescent="0.25">
      <c r="A48548" s="1" t="str">
        <f t="shared" si="1562"/>
        <v>99999</v>
      </c>
      <c r="B48548" s="1" t="str">
        <f>"71327"</f>
        <v>71327</v>
      </c>
      <c r="C48548" s="2">
        <v>1.5026611609508101E-4</v>
      </c>
      <c r="D48548" s="2">
        <v>1.0539962266935E-4</v>
      </c>
      <c r="E48548" s="2">
        <v>6.8816908314372799E-5</v>
      </c>
      <c r="F48548" s="2">
        <v>1.4545689946283499E-4</v>
      </c>
    </row>
    <row r="48549" spans="1:6" x14ac:dyDescent="0.25">
      <c r="A48549" s="1" t="str">
        <f t="shared" si="1562"/>
        <v>99999</v>
      </c>
      <c r="B48549" s="1" t="str">
        <f>"71227"</f>
        <v>71227</v>
      </c>
      <c r="C48549" s="2">
        <v>2.99882666846812E-5</v>
      </c>
      <c r="D48549" s="2">
        <v>7.5285444763821999E-6</v>
      </c>
      <c r="E48549" s="2">
        <v>0</v>
      </c>
      <c r="F48549" s="2">
        <v>2.7828253492889801E-5</v>
      </c>
    </row>
    <row r="48550" spans="1:6" x14ac:dyDescent="0.25">
      <c r="A48550" s="1" t="str">
        <f t="shared" si="1562"/>
        <v>99999</v>
      </c>
      <c r="B48550" s="1" t="str">
        <f>"71331"</f>
        <v>71331</v>
      </c>
      <c r="C48550" s="2">
        <v>4.6768704721235703E-5</v>
      </c>
      <c r="D48550" s="2">
        <v>1.9574215638593701E-5</v>
      </c>
      <c r="E48550" s="2">
        <v>1.29031703089449E-5</v>
      </c>
      <c r="F48550" s="2">
        <v>4.4209423988704398E-5</v>
      </c>
    </row>
    <row r="48551" spans="1:6" x14ac:dyDescent="0.25">
      <c r="A48551" s="1" t="str">
        <f t="shared" si="1562"/>
        <v>99999</v>
      </c>
      <c r="B48551" s="1" t="str">
        <f>"73554"</f>
        <v>73554</v>
      </c>
      <c r="C48551" s="2">
        <v>2.22692651878662E-4</v>
      </c>
      <c r="D48551" s="2">
        <v>4.74298302012078E-4</v>
      </c>
      <c r="E48551" s="2">
        <v>1.97848611403821E-4</v>
      </c>
      <c r="F48551" s="2">
        <v>2.38612471439034E-4</v>
      </c>
    </row>
    <row r="48552" spans="1:6" x14ac:dyDescent="0.25">
      <c r="A48552" s="1" t="str">
        <f t="shared" si="1562"/>
        <v>99999</v>
      </c>
      <c r="B48552" s="1" t="str">
        <f>"73742"</f>
        <v>73742</v>
      </c>
      <c r="C48552" s="2">
        <v>2.2680656571988101E-4</v>
      </c>
      <c r="D48552" s="2">
        <v>2.9060181678835302E-4</v>
      </c>
      <c r="E48552" s="2">
        <v>8.1720078623317706E-5</v>
      </c>
      <c r="F48552" s="2">
        <v>2.2765879719183299E-4</v>
      </c>
    </row>
    <row r="48553" spans="1:6" x14ac:dyDescent="0.25">
      <c r="A48553" s="1" t="str">
        <f t="shared" si="1562"/>
        <v>99999</v>
      </c>
      <c r="B48553" s="1" t="str">
        <f>"73646"</f>
        <v>73646</v>
      </c>
      <c r="C48553" s="2">
        <v>3.7025224570978301E-5</v>
      </c>
      <c r="D48553" s="2">
        <v>2.7102760114975901E-5</v>
      </c>
      <c r="E48553" s="2">
        <v>4.3010567696482999E-6</v>
      </c>
      <c r="F48553" s="2">
        <v>3.5624111740897998E-5</v>
      </c>
    </row>
    <row r="48554" spans="1:6" x14ac:dyDescent="0.25">
      <c r="A48554" s="1" t="str">
        <f t="shared" si="1562"/>
        <v>99999</v>
      </c>
      <c r="B48554" s="1" t="str">
        <f>"73664"</f>
        <v>73664</v>
      </c>
      <c r="C48554" s="2">
        <v>3.00965275752396E-5</v>
      </c>
      <c r="D48554" s="2">
        <v>4.5171266858293203E-6</v>
      </c>
      <c r="E48554" s="2">
        <v>4.3010567696482999E-6</v>
      </c>
      <c r="F48554" s="2">
        <v>2.7828253492889801E-5</v>
      </c>
    </row>
    <row r="48555" spans="1:6" x14ac:dyDescent="0.25">
      <c r="A48555" s="1" t="str">
        <f t="shared" si="1562"/>
        <v>99999</v>
      </c>
      <c r="B48555" s="1" t="str">
        <f>"73650"</f>
        <v>73650</v>
      </c>
      <c r="C48555" s="2">
        <v>4.28713126611328E-5</v>
      </c>
      <c r="D48555" s="2">
        <v>7.5285444763821999E-6</v>
      </c>
      <c r="E48555" s="2">
        <v>4.3010567696482999E-6</v>
      </c>
      <c r="F48555" s="2">
        <v>3.9670063489864202E-5</v>
      </c>
    </row>
    <row r="48556" spans="1:6" x14ac:dyDescent="0.25">
      <c r="A48556" s="1" t="str">
        <f t="shared" si="1562"/>
        <v>99999</v>
      </c>
      <c r="B48556" s="1" t="str">
        <f>"73758"</f>
        <v>73758</v>
      </c>
      <c r="C48556" s="2">
        <v>2.2085221673916801E-5</v>
      </c>
      <c r="D48556" s="2">
        <v>1.80685067433172E-5</v>
      </c>
      <c r="E48556" s="2">
        <v>4.3010567696482999E-6</v>
      </c>
      <c r="F48556" s="2">
        <v>2.1413939744528701E-5</v>
      </c>
    </row>
    <row r="48557" spans="1:6" x14ac:dyDescent="0.25">
      <c r="A48557" s="1" t="str">
        <f t="shared" si="1562"/>
        <v>99999</v>
      </c>
      <c r="B48557" s="1" t="str">
        <f>"73766"</f>
        <v>73766</v>
      </c>
      <c r="C48557" s="2">
        <v>4.7851313626819901E-5</v>
      </c>
      <c r="D48557" s="2">
        <v>3.01141779055288E-5</v>
      </c>
      <c r="E48557" s="2">
        <v>2.15052838482415E-5</v>
      </c>
      <c r="F48557" s="2">
        <v>4.60843772382254E-5</v>
      </c>
    </row>
    <row r="48558" spans="1:6" x14ac:dyDescent="0.25">
      <c r="A48558" s="1" t="str">
        <f t="shared" si="1562"/>
        <v>99999</v>
      </c>
      <c r="B48558" s="1" t="str">
        <f>"74953"</f>
        <v>74953</v>
      </c>
      <c r="C48558" s="2">
        <v>6.7219186947720501E-4</v>
      </c>
      <c r="D48558" s="2">
        <v>1.40181498150236E-3</v>
      </c>
      <c r="E48558" s="2">
        <v>6.6236274252583801E-4</v>
      </c>
      <c r="F48558" s="2">
        <v>7.1978468431609501E-4</v>
      </c>
    </row>
    <row r="48559" spans="1:6" x14ac:dyDescent="0.25">
      <c r="A48559" s="1" t="str">
        <f t="shared" si="1562"/>
        <v>99999</v>
      </c>
      <c r="B48559" s="1" t="str">
        <f>"74432"</f>
        <v>74432</v>
      </c>
      <c r="C48559" s="2">
        <v>8.7463973482144401E-4</v>
      </c>
      <c r="D48559" s="2">
        <v>1.08260469570376E-3</v>
      </c>
      <c r="E48559" s="2">
        <v>1.2903170308944901E-4</v>
      </c>
      <c r="F48559" s="2">
        <v>8.7116248877741696E-4</v>
      </c>
    </row>
    <row r="48560" spans="1:6" x14ac:dyDescent="0.25">
      <c r="A48560" s="1" t="str">
        <f t="shared" si="1562"/>
        <v>99999</v>
      </c>
      <c r="B48560" s="1" t="str">
        <f>"74462"</f>
        <v>74462</v>
      </c>
      <c r="C48560" s="2">
        <v>4.2330008208340701E-4</v>
      </c>
      <c r="D48560" s="2">
        <v>5.5711229125228305E-4</v>
      </c>
      <c r="E48560" s="2">
        <v>4.9892258527920298E-4</v>
      </c>
      <c r="F48560" s="2">
        <v>4.3380497288916201E-4</v>
      </c>
    </row>
    <row r="48561" spans="1:6" x14ac:dyDescent="0.25">
      <c r="A48561" s="1" t="str">
        <f t="shared" si="1562"/>
        <v>99999</v>
      </c>
      <c r="B48561" s="1" t="str">
        <f>"74457"</f>
        <v>74457</v>
      </c>
      <c r="C48561" s="2">
        <v>5.0882618562455504E-6</v>
      </c>
      <c r="D48561" s="2">
        <v>0</v>
      </c>
      <c r="E48561" s="2">
        <v>0</v>
      </c>
      <c r="F48561" s="2">
        <v>4.6380422488149798E-6</v>
      </c>
    </row>
    <row r="48562" spans="1:6" x14ac:dyDescent="0.25">
      <c r="A48562" s="1" t="str">
        <f t="shared" si="1562"/>
        <v>99999</v>
      </c>
      <c r="B48562" s="1" t="str">
        <f>"74369"</f>
        <v>74369</v>
      </c>
      <c r="C48562" s="2">
        <v>1.10317847479026E-4</v>
      </c>
      <c r="D48562" s="2">
        <v>5.4205520229951803E-5</v>
      </c>
      <c r="E48562" s="2">
        <v>3.44084541571864E-5</v>
      </c>
      <c r="F48562" s="2">
        <v>1.04898700223198E-4</v>
      </c>
    </row>
    <row r="48563" spans="1:6" x14ac:dyDescent="0.25">
      <c r="A48563" s="1" t="str">
        <f t="shared" si="1562"/>
        <v>99999</v>
      </c>
      <c r="B48563" s="1" t="str">
        <f>"74571"</f>
        <v>74571</v>
      </c>
      <c r="C48563" s="2">
        <v>1.5373046459295E-4</v>
      </c>
      <c r="D48563" s="2">
        <v>1.12928167145733E-4</v>
      </c>
      <c r="E48563" s="2">
        <v>2.58063406178898E-5</v>
      </c>
      <c r="F48563" s="2">
        <v>1.48121306712155E-4</v>
      </c>
    </row>
    <row r="48564" spans="1:6" x14ac:dyDescent="0.25">
      <c r="A48564" s="1" t="str">
        <f t="shared" si="1562"/>
        <v>99999</v>
      </c>
      <c r="B48564" s="1" t="str">
        <f>"74552"</f>
        <v>74552</v>
      </c>
      <c r="C48564" s="2">
        <v>4.6768704721235703E-5</v>
      </c>
      <c r="D48564" s="2">
        <v>1.0539962266935E-5</v>
      </c>
      <c r="E48564" s="2">
        <v>3.01073973875381E-5</v>
      </c>
      <c r="F48564" s="2">
        <v>4.4012060488754899E-5</v>
      </c>
    </row>
    <row r="48565" spans="1:6" x14ac:dyDescent="0.25">
      <c r="A48565" s="1" t="str">
        <f t="shared" si="1562"/>
        <v>99999</v>
      </c>
      <c r="B48565" s="1" t="str">
        <f>"74558"</f>
        <v>74558</v>
      </c>
      <c r="C48565" s="2">
        <v>1.5697829130970301E-5</v>
      </c>
      <c r="D48565" s="2">
        <v>7.5285444763821999E-6</v>
      </c>
      <c r="E48565" s="2">
        <v>4.3010567696482999E-6</v>
      </c>
      <c r="F48565" s="2">
        <v>1.49009442461928E-5</v>
      </c>
    </row>
    <row r="48566" spans="1:6" x14ac:dyDescent="0.25">
      <c r="A48566" s="1" t="str">
        <f t="shared" si="1562"/>
        <v>99999</v>
      </c>
      <c r="B48566" s="1" t="str">
        <f>"74756"</f>
        <v>74756</v>
      </c>
      <c r="C48566" s="2">
        <v>6.3873925429465498E-5</v>
      </c>
      <c r="D48566" s="2">
        <v>2.1079924533870101E-5</v>
      </c>
      <c r="E48566" s="2">
        <v>4.3010567696482999E-6</v>
      </c>
      <c r="F48566" s="2">
        <v>5.9702458734746002E-5</v>
      </c>
    </row>
    <row r="48567" spans="1:6" x14ac:dyDescent="0.25">
      <c r="A48567" s="1" t="str">
        <f t="shared" si="1562"/>
        <v>99999</v>
      </c>
      <c r="B48567" s="1" t="str">
        <f>"74940"</f>
        <v>74940</v>
      </c>
      <c r="C48567" s="2">
        <v>1.15947413788063E-4</v>
      </c>
      <c r="D48567" s="2">
        <v>3.31255956960816E-5</v>
      </c>
      <c r="E48567" s="2">
        <v>5.5913738005427899E-5</v>
      </c>
      <c r="F48567" s="2">
        <v>1.0914201547211399E-4</v>
      </c>
    </row>
    <row r="48568" spans="1:6" x14ac:dyDescent="0.25">
      <c r="A48568" s="1" t="str">
        <f t="shared" si="1562"/>
        <v>99999</v>
      </c>
      <c r="B48568" s="1" t="str">
        <f>"74736"</f>
        <v>74736</v>
      </c>
      <c r="C48568" s="2">
        <v>6.07343596032714E-5</v>
      </c>
      <c r="D48568" s="2">
        <v>2.8608469010252301E-5</v>
      </c>
      <c r="E48568" s="2">
        <v>1.72042270785932E-5</v>
      </c>
      <c r="F48568" s="2">
        <v>5.76301419852754E-5</v>
      </c>
    </row>
    <row r="48569" spans="1:6" x14ac:dyDescent="0.25">
      <c r="A48569" s="1" t="str">
        <f t="shared" si="1562"/>
        <v>99999</v>
      </c>
      <c r="B48569" s="1" t="str">
        <f>"74860"</f>
        <v>74860</v>
      </c>
      <c r="C48569" s="2">
        <v>6.9286969957386301E-5</v>
      </c>
      <c r="D48569" s="2">
        <v>2.25856334291466E-5</v>
      </c>
      <c r="E48569" s="2">
        <v>4.3010567696482999E-6</v>
      </c>
      <c r="F48569" s="2">
        <v>6.4735227983460096E-5</v>
      </c>
    </row>
    <row r="48570" spans="1:6" x14ac:dyDescent="0.25">
      <c r="A48570" s="1" t="str">
        <f t="shared" si="1562"/>
        <v>99999</v>
      </c>
      <c r="B48570" s="1" t="str">
        <f>"74738"</f>
        <v>74738</v>
      </c>
      <c r="C48570" s="2">
        <v>1.71052207082297E-5</v>
      </c>
      <c r="D48570" s="2">
        <v>1.9574215638593701E-5</v>
      </c>
      <c r="E48570" s="2">
        <v>8.6021135392965999E-6</v>
      </c>
      <c r="F48570" s="2">
        <v>1.7071942745638099E-5</v>
      </c>
    </row>
    <row r="48571" spans="1:6" x14ac:dyDescent="0.25">
      <c r="A48571" s="1" t="str">
        <f t="shared" si="1562"/>
        <v>99999</v>
      </c>
      <c r="B48571" s="1" t="str">
        <f>"74301"</f>
        <v>74301</v>
      </c>
      <c r="C48571" s="2">
        <v>6.5476186609730001E-4</v>
      </c>
      <c r="D48571" s="2">
        <v>8.9288537489892901E-4</v>
      </c>
      <c r="E48571" s="2">
        <v>3.9569722280764303E-4</v>
      </c>
      <c r="F48571" s="2">
        <v>6.6442422258023901E-4</v>
      </c>
    </row>
    <row r="48572" spans="1:6" x14ac:dyDescent="0.25">
      <c r="A48572" s="1" t="str">
        <f t="shared" si="1562"/>
        <v>99999</v>
      </c>
      <c r="B48572" s="1" t="str">
        <f>"74333"</f>
        <v>74333</v>
      </c>
      <c r="C48572" s="2">
        <v>7.4591753594748701E-5</v>
      </c>
      <c r="D48572" s="2">
        <v>1.65627978480408E-5</v>
      </c>
      <c r="E48572" s="2">
        <v>0</v>
      </c>
      <c r="F48572" s="2">
        <v>6.9077224982350705E-5</v>
      </c>
    </row>
    <row r="48573" spans="1:6" x14ac:dyDescent="0.25">
      <c r="A48573" s="1" t="str">
        <f t="shared" si="1562"/>
        <v>99999</v>
      </c>
      <c r="B48573" s="1" t="str">
        <f>"73433"</f>
        <v>73433</v>
      </c>
      <c r="C48573" s="2">
        <v>1.2969654688898199E-4</v>
      </c>
      <c r="D48573" s="2">
        <v>6.9262609182716196E-5</v>
      </c>
      <c r="E48573" s="2">
        <v>4.3010567696482999E-6</v>
      </c>
      <c r="F48573" s="2">
        <v>1.2285877871860901E-4</v>
      </c>
    </row>
    <row r="48574" spans="1:6" x14ac:dyDescent="0.25">
      <c r="A48574" s="1" t="str">
        <f t="shared" si="1562"/>
        <v>99999</v>
      </c>
      <c r="B48574" s="1" t="str">
        <f>"73048"</f>
        <v>73048</v>
      </c>
      <c r="C48574" s="2">
        <v>1.1551437022583001E-4</v>
      </c>
      <c r="D48574" s="2">
        <v>7.5285444763821999E-5</v>
      </c>
      <c r="E48574" s="2">
        <v>7.3117965084021106E-5</v>
      </c>
      <c r="F48574" s="2">
        <v>1.11905104471408E-4</v>
      </c>
    </row>
    <row r="48575" spans="1:6" x14ac:dyDescent="0.25">
      <c r="A48575" s="1" t="str">
        <f t="shared" si="1562"/>
        <v>99999</v>
      </c>
      <c r="B48575" s="1" t="str">
        <f>"75765"</f>
        <v>75765</v>
      </c>
      <c r="C48575" s="2">
        <v>5.0417096733054397E-4</v>
      </c>
      <c r="D48575" s="2">
        <v>2.1983349871035999E-4</v>
      </c>
      <c r="E48575" s="2">
        <v>4.0860039311658801E-4</v>
      </c>
      <c r="F48575" s="2">
        <v>4.8334321137650501E-4</v>
      </c>
    </row>
    <row r="48576" spans="1:6" x14ac:dyDescent="0.25">
      <c r="A48576" s="1" t="str">
        <f t="shared" si="1562"/>
        <v>99999</v>
      </c>
      <c r="B48576" s="1" t="str">
        <f>"75778"</f>
        <v>75778</v>
      </c>
      <c r="C48576" s="2">
        <v>8.3360885729980396E-5</v>
      </c>
      <c r="D48576" s="2">
        <v>4.5171266858293203E-6</v>
      </c>
      <c r="E48576" s="2">
        <v>0</v>
      </c>
      <c r="F48576" s="2">
        <v>7.6280992730510204E-5</v>
      </c>
    </row>
    <row r="48577" spans="1:6" x14ac:dyDescent="0.25">
      <c r="A48577" s="1" t="str">
        <f t="shared" si="1562"/>
        <v>99999</v>
      </c>
      <c r="B48577" s="1" t="str">
        <f>"75426"</f>
        <v>75426</v>
      </c>
      <c r="C48577" s="2">
        <v>4.33693127577015E-4</v>
      </c>
      <c r="D48577" s="2">
        <v>4.77309719802631E-4</v>
      </c>
      <c r="E48577" s="2">
        <v>5.3763209620603697E-4</v>
      </c>
      <c r="F48577" s="2">
        <v>4.3893642388785099E-4</v>
      </c>
    </row>
    <row r="48578" spans="1:6" x14ac:dyDescent="0.25">
      <c r="A48578" s="1" t="str">
        <f t="shared" si="1562"/>
        <v>99999</v>
      </c>
      <c r="B48578" s="1" t="str">
        <f>"75450"</f>
        <v>75450</v>
      </c>
      <c r="C48578" s="2">
        <v>1.7971307832697E-5</v>
      </c>
      <c r="D48578" s="2">
        <v>6.0228355811057601E-6</v>
      </c>
      <c r="E48578" s="2">
        <v>2.1075178171276601E-4</v>
      </c>
      <c r="F48578" s="2">
        <v>2.1611303244478299E-5</v>
      </c>
    </row>
    <row r="48579" spans="1:6" x14ac:dyDescent="0.25">
      <c r="A48579" s="1" t="str">
        <f t="shared" si="1562"/>
        <v>99999</v>
      </c>
      <c r="B48579" s="1" t="str">
        <f>"75412"</f>
        <v>75412</v>
      </c>
      <c r="C48579" s="2">
        <v>6.6255665021750594E-5</v>
      </c>
      <c r="D48579" s="2">
        <v>1.20456711622115E-5</v>
      </c>
      <c r="E48579" s="2">
        <v>1.29031703089449E-5</v>
      </c>
      <c r="F48579" s="2">
        <v>6.1478730234292098E-5</v>
      </c>
    </row>
    <row r="48580" spans="1:6" x14ac:dyDescent="0.25">
      <c r="A48580" s="1" t="str">
        <f t="shared" si="1562"/>
        <v>99999</v>
      </c>
      <c r="B48580" s="1" t="str">
        <f>"75571"</f>
        <v>75571</v>
      </c>
      <c r="C48580" s="2">
        <v>2.1013438857388499E-4</v>
      </c>
      <c r="D48580" s="2">
        <v>3.01141779055288E-5</v>
      </c>
      <c r="E48580" s="2">
        <v>8.6021135392965999E-6</v>
      </c>
      <c r="F48580" s="2">
        <v>1.9371227520050601E-4</v>
      </c>
    </row>
    <row r="48581" spans="1:6" x14ac:dyDescent="0.25">
      <c r="A48581" s="1" t="str">
        <f t="shared" si="1562"/>
        <v>99999</v>
      </c>
      <c r="B48581" s="1" t="str">
        <f>"79355"</f>
        <v>79355</v>
      </c>
      <c r="C48581" s="2">
        <v>2.0569569206098999E-5</v>
      </c>
      <c r="D48581" s="2">
        <v>4.5171266858293203E-6</v>
      </c>
      <c r="E48581" s="2">
        <v>1.29031703089449E-5</v>
      </c>
      <c r="F48581" s="2">
        <v>1.9341622995058201E-5</v>
      </c>
    </row>
    <row r="48582" spans="1:6" x14ac:dyDescent="0.25">
      <c r="A48582" s="1" t="str">
        <f t="shared" ref="A48582:A48645" si="1563">"99999"</f>
        <v>99999</v>
      </c>
      <c r="B48582" s="1" t="str">
        <f>"79346"</f>
        <v>79346</v>
      </c>
      <c r="C48582" s="2">
        <v>1.2948002510786499E-4</v>
      </c>
      <c r="D48582" s="2">
        <v>2.28867752082018E-4</v>
      </c>
      <c r="E48582" s="2">
        <v>1.8494544109487701E-4</v>
      </c>
      <c r="F48582" s="2">
        <v>1.3726631421492801E-4</v>
      </c>
    </row>
    <row r="48583" spans="1:6" x14ac:dyDescent="0.25">
      <c r="A48583" s="1" t="str">
        <f t="shared" si="1563"/>
        <v>99999</v>
      </c>
      <c r="B48583" s="1" t="str">
        <f>"79532"</f>
        <v>79532</v>
      </c>
      <c r="C48583" s="2">
        <v>4.1139138412198099E-5</v>
      </c>
      <c r="D48583" s="2">
        <v>1.50570889527644E-5</v>
      </c>
      <c r="E48583" s="2">
        <v>5.5913738005427899E-5</v>
      </c>
      <c r="F48583" s="2">
        <v>3.9768745239838999E-5</v>
      </c>
    </row>
    <row r="48584" spans="1:6" x14ac:dyDescent="0.25">
      <c r="A48584" s="1" t="str">
        <f t="shared" si="1563"/>
        <v>99999</v>
      </c>
      <c r="B48584" s="1" t="str">
        <f>"76450"</f>
        <v>76450</v>
      </c>
      <c r="C48584" s="2">
        <v>9.2162496132379597E-4</v>
      </c>
      <c r="D48584" s="2">
        <v>1.9378473482207701E-3</v>
      </c>
      <c r="E48584" s="2">
        <v>9.5483460286192303E-4</v>
      </c>
      <c r="F48584" s="2">
        <v>9.8898849824731309E-4</v>
      </c>
    </row>
    <row r="48585" spans="1:6" x14ac:dyDescent="0.25">
      <c r="A48585" s="1" t="str">
        <f t="shared" si="1563"/>
        <v>99999</v>
      </c>
      <c r="B48585" s="1" t="str">
        <f>"76457"</f>
        <v>76457</v>
      </c>
      <c r="C48585" s="2">
        <v>1.84584818402099E-4</v>
      </c>
      <c r="D48585" s="2">
        <v>9.9376787088244995E-5</v>
      </c>
      <c r="E48585" s="2">
        <v>7.35480707609859E-4</v>
      </c>
      <c r="F48585" s="2">
        <v>1.91639958451035E-4</v>
      </c>
    </row>
    <row r="48586" spans="1:6" x14ac:dyDescent="0.25">
      <c r="A48586" s="1" t="str">
        <f t="shared" si="1563"/>
        <v>99999</v>
      </c>
      <c r="B48586" s="1" t="str">
        <f>"76374"</f>
        <v>76374</v>
      </c>
      <c r="C48586" s="2">
        <v>2.56578310623446E-4</v>
      </c>
      <c r="D48586" s="2">
        <v>3.7642722381910998E-4</v>
      </c>
      <c r="E48586" s="2">
        <v>3.4838559834151202E-4</v>
      </c>
      <c r="F48586" s="2">
        <v>2.6653940668189898E-4</v>
      </c>
    </row>
    <row r="48587" spans="1:6" x14ac:dyDescent="0.25">
      <c r="A48587" s="1" t="str">
        <f t="shared" si="1563"/>
        <v>99999</v>
      </c>
      <c r="B48587" s="1" t="str">
        <f>"76821"</f>
        <v>76821</v>
      </c>
      <c r="C48587" s="2">
        <v>2.6653831255482E-4</v>
      </c>
      <c r="D48587" s="2">
        <v>5.0290677102233095E-4</v>
      </c>
      <c r="E48587" s="2">
        <v>3.6558982542010497E-4</v>
      </c>
      <c r="F48587" s="2">
        <v>2.8430212167735998E-4</v>
      </c>
    </row>
    <row r="48588" spans="1:6" x14ac:dyDescent="0.25">
      <c r="A48588" s="1" t="str">
        <f t="shared" si="1563"/>
        <v>99999</v>
      </c>
      <c r="B48588" s="1" t="str">
        <f>"76446"</f>
        <v>76446</v>
      </c>
      <c r="C48588" s="2">
        <v>5.1315662124689203E-5</v>
      </c>
      <c r="D48588" s="2">
        <v>2.25856334291466E-5</v>
      </c>
      <c r="E48588" s="2">
        <v>1.72042270785932E-5</v>
      </c>
      <c r="F48588" s="2">
        <v>4.8650102737569798E-5</v>
      </c>
    </row>
    <row r="48589" spans="1:6" x14ac:dyDescent="0.25">
      <c r="A48589" s="1" t="str">
        <f t="shared" si="1563"/>
        <v>99999</v>
      </c>
      <c r="B48589" s="1" t="str">
        <f>"76871"</f>
        <v>76871</v>
      </c>
      <c r="C48589" s="2">
        <v>3.8540877038796101E-5</v>
      </c>
      <c r="D48589" s="2">
        <v>1.50570889527644E-5</v>
      </c>
      <c r="E48589" s="2">
        <v>1.29031703089449E-5</v>
      </c>
      <c r="F48589" s="2">
        <v>3.64135657406963E-5</v>
      </c>
    </row>
    <row r="48590" spans="1:6" x14ac:dyDescent="0.25">
      <c r="A48590" s="1" t="str">
        <f t="shared" si="1563"/>
        <v>99999</v>
      </c>
      <c r="B48590" s="1" t="str">
        <f>"76454"</f>
        <v>76454</v>
      </c>
      <c r="C48590" s="2">
        <v>7.0044796191295194E-5</v>
      </c>
      <c r="D48590" s="2">
        <v>1.65627978480408E-5</v>
      </c>
      <c r="E48590" s="2">
        <v>1.11827476010855E-4</v>
      </c>
      <c r="F48590" s="2">
        <v>6.7498316982754101E-5</v>
      </c>
    </row>
    <row r="48591" spans="1:6" x14ac:dyDescent="0.25">
      <c r="A48591" s="1" t="str">
        <f t="shared" si="1563"/>
        <v>99999</v>
      </c>
      <c r="B48591" s="1" t="str">
        <f>"76864"</f>
        <v>76864</v>
      </c>
      <c r="C48591" s="2">
        <v>7.1019144206321003E-5</v>
      </c>
      <c r="D48591" s="2">
        <v>1.20456711622115E-5</v>
      </c>
      <c r="E48591" s="2">
        <v>2.58063406178898E-5</v>
      </c>
      <c r="F48591" s="2">
        <v>6.6116772483107105E-5</v>
      </c>
    </row>
    <row r="48592" spans="1:6" x14ac:dyDescent="0.25">
      <c r="A48592" s="1" t="str">
        <f t="shared" si="1563"/>
        <v>99999</v>
      </c>
      <c r="B48592" s="1" t="str">
        <f>"76859"</f>
        <v>76859</v>
      </c>
      <c r="C48592" s="2">
        <v>3.7241746352095101E-5</v>
      </c>
      <c r="D48592" s="2">
        <v>6.0228355811057601E-6</v>
      </c>
      <c r="E48592" s="2">
        <v>2.58063406178898E-5</v>
      </c>
      <c r="F48592" s="2">
        <v>3.49333394910745E-5</v>
      </c>
    </row>
    <row r="48593" spans="1:6" x14ac:dyDescent="0.25">
      <c r="A48593" s="1" t="str">
        <f t="shared" si="1563"/>
        <v>99999</v>
      </c>
      <c r="B48593" s="1" t="str">
        <f>"76455"</f>
        <v>76455</v>
      </c>
      <c r="C48593" s="2">
        <v>4.8176096298495099E-5</v>
      </c>
      <c r="D48593" s="2">
        <v>3.4631304591358098E-5</v>
      </c>
      <c r="E48593" s="2">
        <v>4.3010567696482999E-5</v>
      </c>
      <c r="F48593" s="2">
        <v>4.7169876487947998E-5</v>
      </c>
    </row>
    <row r="48594" spans="1:6" x14ac:dyDescent="0.25">
      <c r="A48594" s="1" t="str">
        <f t="shared" si="1563"/>
        <v>99999</v>
      </c>
      <c r="B48594" s="1" t="str">
        <f>"76371"</f>
        <v>76371</v>
      </c>
      <c r="C48594" s="2">
        <v>7.2534796674138803E-5</v>
      </c>
      <c r="D48594" s="2">
        <v>2.25856334291466E-5</v>
      </c>
      <c r="E48594" s="2">
        <v>7.7419021853669399E-5</v>
      </c>
      <c r="F48594" s="2">
        <v>6.9373270232275103E-5</v>
      </c>
    </row>
    <row r="48595" spans="1:6" x14ac:dyDescent="0.25">
      <c r="A48595" s="1" t="str">
        <f t="shared" si="1563"/>
        <v>99999</v>
      </c>
      <c r="B48595" s="1" t="str">
        <f>"76936"</f>
        <v>76936</v>
      </c>
      <c r="C48595" s="2">
        <v>8.0113059013227895E-5</v>
      </c>
      <c r="D48595" s="2">
        <v>4.3665557963016701E-5</v>
      </c>
      <c r="E48595" s="2">
        <v>4.7311624466131299E-5</v>
      </c>
      <c r="F48595" s="2">
        <v>7.6971764980333696E-5</v>
      </c>
    </row>
    <row r="48596" spans="1:6" x14ac:dyDescent="0.25">
      <c r="A48596" s="1" t="str">
        <f t="shared" si="1563"/>
        <v>99999</v>
      </c>
      <c r="B48596" s="1" t="str">
        <f>"76933"</f>
        <v>76933</v>
      </c>
      <c r="C48596" s="2">
        <v>3.90821814915882E-5</v>
      </c>
      <c r="D48596" s="2">
        <v>2.1079924533870101E-5</v>
      </c>
      <c r="E48596" s="2">
        <v>1.07526419241207E-4</v>
      </c>
      <c r="F48596" s="2">
        <v>3.9472699989914703E-5</v>
      </c>
    </row>
    <row r="48597" spans="1:6" x14ac:dyDescent="0.25">
      <c r="A48597" s="1" t="str">
        <f t="shared" si="1563"/>
        <v>99999</v>
      </c>
      <c r="B48597" s="1" t="str">
        <f>"79045"</f>
        <v>79045</v>
      </c>
      <c r="C48597" s="2">
        <v>2.82560924357466E-5</v>
      </c>
      <c r="D48597" s="2">
        <v>3.01141779055288E-5</v>
      </c>
      <c r="E48597" s="2">
        <v>8.6021135392965999E-6</v>
      </c>
      <c r="F48597" s="2">
        <v>2.7926935242864601E-5</v>
      </c>
    </row>
    <row r="48598" spans="1:6" x14ac:dyDescent="0.25">
      <c r="A48598" s="1" t="str">
        <f t="shared" si="1563"/>
        <v>99999</v>
      </c>
      <c r="B48598" s="1" t="str">
        <f>"76935"</f>
        <v>76935</v>
      </c>
      <c r="C48598" s="2">
        <v>5.4130445279208001E-6</v>
      </c>
      <c r="D48598" s="2">
        <v>0</v>
      </c>
      <c r="E48598" s="2">
        <v>0</v>
      </c>
      <c r="F48598" s="2">
        <v>4.9340874987393404E-6</v>
      </c>
    </row>
    <row r="48599" spans="1:6" x14ac:dyDescent="0.25">
      <c r="A48599" s="1" t="str">
        <f t="shared" si="1563"/>
        <v>99999</v>
      </c>
      <c r="B48599" s="1" t="str">
        <f>"79034"</f>
        <v>79034</v>
      </c>
      <c r="C48599" s="2">
        <v>2.69569617490456E-5</v>
      </c>
      <c r="D48599" s="2">
        <v>2.7102760114975901E-5</v>
      </c>
      <c r="E48599" s="2">
        <v>4.3010567696482999E-6</v>
      </c>
      <c r="F48599" s="2">
        <v>2.6446708993242801E-5</v>
      </c>
    </row>
    <row r="48600" spans="1:6" x14ac:dyDescent="0.25">
      <c r="A48600" s="1" t="str">
        <f t="shared" si="1563"/>
        <v>99999</v>
      </c>
      <c r="B48600" s="1" t="str">
        <f>"76270"</f>
        <v>76270</v>
      </c>
      <c r="C48600" s="2">
        <v>7.6323927843683295E-5</v>
      </c>
      <c r="D48600" s="2">
        <v>1.9574215638593701E-5</v>
      </c>
      <c r="E48600" s="2">
        <v>4.3010567696482999E-6</v>
      </c>
      <c r="F48600" s="2">
        <v>7.0952178231871706E-5</v>
      </c>
    </row>
    <row r="48601" spans="1:6" x14ac:dyDescent="0.25">
      <c r="A48601" s="1" t="str">
        <f t="shared" si="1563"/>
        <v>99999</v>
      </c>
      <c r="B48601" s="1" t="str">
        <f>"69210"</f>
        <v>69210</v>
      </c>
      <c r="C48601" s="2">
        <v>1.4387872355213499E-4</v>
      </c>
      <c r="D48601" s="2">
        <v>2.9060181678835302E-4</v>
      </c>
      <c r="E48601" s="2">
        <v>1.2042958955015201E-4</v>
      </c>
      <c r="F48601" s="2">
        <v>1.52956712460919E-4</v>
      </c>
    </row>
    <row r="48602" spans="1:6" x14ac:dyDescent="0.25">
      <c r="A48602" s="1" t="str">
        <f t="shared" si="1563"/>
        <v>99999</v>
      </c>
      <c r="B48602" s="1" t="str">
        <f>"68938"</f>
        <v>68938</v>
      </c>
      <c r="C48602" s="2">
        <v>2.5549570171786201E-5</v>
      </c>
      <c r="D48602" s="2">
        <v>1.80685067433172E-5</v>
      </c>
      <c r="E48602" s="2">
        <v>1.29031703089449E-5</v>
      </c>
      <c r="F48602" s="2">
        <v>2.4769119243671401E-5</v>
      </c>
    </row>
    <row r="48603" spans="1:6" x14ac:dyDescent="0.25">
      <c r="A48603" s="1" t="str">
        <f t="shared" si="1563"/>
        <v>99999</v>
      </c>
      <c r="B48603" s="1" t="str">
        <f>"69030"</f>
        <v>69030</v>
      </c>
      <c r="C48603" s="2">
        <v>2.2518265236150501E-5</v>
      </c>
      <c r="D48603" s="2">
        <v>4.5171266858293203E-6</v>
      </c>
      <c r="E48603" s="2">
        <v>4.3010567696482999E-6</v>
      </c>
      <c r="F48603" s="2">
        <v>2.0920530994654801E-5</v>
      </c>
    </row>
    <row r="48604" spans="1:6" x14ac:dyDescent="0.25">
      <c r="A48604" s="1" t="str">
        <f t="shared" si="1563"/>
        <v>99999</v>
      </c>
      <c r="B48604" s="1" t="str">
        <f>"68966"</f>
        <v>68966</v>
      </c>
      <c r="C48604" s="2">
        <v>3.8540877038796101E-5</v>
      </c>
      <c r="D48604" s="2">
        <v>1.20456711622115E-5</v>
      </c>
      <c r="E48604" s="2">
        <v>1.29031703089449E-5</v>
      </c>
      <c r="F48604" s="2">
        <v>3.6216202240746699E-5</v>
      </c>
    </row>
    <row r="48605" spans="1:6" x14ac:dyDescent="0.25">
      <c r="A48605" s="1" t="str">
        <f t="shared" si="1563"/>
        <v>99999</v>
      </c>
      <c r="B48605" s="1" t="str">
        <f>"68978"</f>
        <v>68978</v>
      </c>
      <c r="C48605" s="2">
        <v>1.41496983959849E-4</v>
      </c>
      <c r="D48605" s="2">
        <v>2.8307327231197002E-4</v>
      </c>
      <c r="E48605" s="2">
        <v>1.5913910047698701E-4</v>
      </c>
      <c r="F48605" s="2">
        <v>1.5118044096137299E-4</v>
      </c>
    </row>
    <row r="48606" spans="1:6" x14ac:dyDescent="0.25">
      <c r="A48606" s="1" t="str">
        <f t="shared" si="1563"/>
        <v>99999</v>
      </c>
      <c r="B48606" s="1" t="str">
        <f>"68967"</f>
        <v>68967</v>
      </c>
      <c r="C48606" s="2">
        <v>6.07343596032714E-5</v>
      </c>
      <c r="D48606" s="2">
        <v>4.3665557963016701E-5</v>
      </c>
      <c r="E48606" s="2">
        <v>2.15052838482415E-5</v>
      </c>
      <c r="F48606" s="2">
        <v>5.87156412349981E-5</v>
      </c>
    </row>
    <row r="48607" spans="1:6" x14ac:dyDescent="0.25">
      <c r="A48607" s="1" t="str">
        <f t="shared" si="1563"/>
        <v>99999</v>
      </c>
      <c r="B48607" s="1" t="str">
        <f>"68882"</f>
        <v>68882</v>
      </c>
      <c r="C48607" s="2">
        <v>2.4466961266201999E-5</v>
      </c>
      <c r="D48607" s="2">
        <v>9.0342533716586405E-6</v>
      </c>
      <c r="E48607" s="2">
        <v>1.29031703089449E-5</v>
      </c>
      <c r="F48607" s="2">
        <v>2.3190211244074899E-5</v>
      </c>
    </row>
    <row r="48608" spans="1:6" x14ac:dyDescent="0.25">
      <c r="A48608" s="1" t="str">
        <f t="shared" si="1563"/>
        <v>99999</v>
      </c>
      <c r="B48608" s="1" t="str">
        <f>"69129"</f>
        <v>69129</v>
      </c>
      <c r="C48608" s="2">
        <v>7.7081754077592296E-5</v>
      </c>
      <c r="D48608" s="2">
        <v>2.55970512196994E-5</v>
      </c>
      <c r="E48608" s="2">
        <v>1.29031703089449E-5</v>
      </c>
      <c r="F48608" s="2">
        <v>7.2235040981543898E-5</v>
      </c>
    </row>
    <row r="48609" spans="1:6" x14ac:dyDescent="0.25">
      <c r="A48609" s="1" t="str">
        <f t="shared" si="1563"/>
        <v>99999</v>
      </c>
      <c r="B48609" s="1" t="str">
        <f>"69166"</f>
        <v>69166</v>
      </c>
      <c r="C48609" s="2">
        <v>3.5942615665394102E-5</v>
      </c>
      <c r="D48609" s="2">
        <v>4.0654140172463799E-5</v>
      </c>
      <c r="E48609" s="2">
        <v>1.29031703089449E-5</v>
      </c>
      <c r="F48609" s="2">
        <v>3.5722793490872802E-5</v>
      </c>
    </row>
    <row r="48610" spans="1:6" x14ac:dyDescent="0.25">
      <c r="A48610" s="1" t="str">
        <f t="shared" si="1563"/>
        <v>99999</v>
      </c>
      <c r="B48610" s="1" t="str">
        <f>"69339"</f>
        <v>69339</v>
      </c>
      <c r="C48610" s="2">
        <v>8.6283929775057605E-5</v>
      </c>
      <c r="D48610" s="2">
        <v>1.4003092726070799E-4</v>
      </c>
      <c r="E48610" s="2">
        <v>5.5913738005427899E-5</v>
      </c>
      <c r="F48610" s="2">
        <v>8.9109620227232397E-5</v>
      </c>
    </row>
    <row r="48611" spans="1:6" x14ac:dyDescent="0.25">
      <c r="A48611" s="1" t="str">
        <f t="shared" si="1563"/>
        <v>99999</v>
      </c>
      <c r="B48611" s="1" t="str">
        <f>"69347"</f>
        <v>69347</v>
      </c>
      <c r="C48611" s="2">
        <v>7.3725666470281405E-5</v>
      </c>
      <c r="D48611" s="2">
        <v>1.35513800574879E-5</v>
      </c>
      <c r="E48611" s="2">
        <v>1.29031703089449E-5</v>
      </c>
      <c r="F48611" s="2">
        <v>6.83864527325272E-5</v>
      </c>
    </row>
    <row r="48612" spans="1:6" x14ac:dyDescent="0.25">
      <c r="A48612" s="1" t="str">
        <f t="shared" si="1563"/>
        <v>99999</v>
      </c>
      <c r="B48612" s="1" t="str">
        <f>"68860"</f>
        <v>68860</v>
      </c>
      <c r="C48612" s="2">
        <v>1.9920003862748499E-5</v>
      </c>
      <c r="D48612" s="2">
        <v>3.01141779055288E-6</v>
      </c>
      <c r="E48612" s="2">
        <v>0</v>
      </c>
      <c r="F48612" s="2">
        <v>1.8354805495310301E-5</v>
      </c>
    </row>
    <row r="48613" spans="1:6" x14ac:dyDescent="0.25">
      <c r="A48613" s="1" t="str">
        <f t="shared" si="1563"/>
        <v>99999</v>
      </c>
      <c r="B48613" s="1" t="str">
        <f>"68944"</f>
        <v>68944</v>
      </c>
      <c r="C48613" s="2">
        <v>3.9190442382146597E-5</v>
      </c>
      <c r="D48613" s="2">
        <v>1.0539962266935E-5</v>
      </c>
      <c r="E48613" s="2">
        <v>5.5913738005427899E-5</v>
      </c>
      <c r="F48613" s="2">
        <v>3.7696428490368499E-5</v>
      </c>
    </row>
    <row r="48614" spans="1:6" x14ac:dyDescent="0.25">
      <c r="A48614" s="1" t="str">
        <f t="shared" si="1563"/>
        <v>99999</v>
      </c>
      <c r="B48614" s="1" t="str">
        <f>"71019"</f>
        <v>71019</v>
      </c>
      <c r="C48614" s="2">
        <v>3.5206441609596901E-4</v>
      </c>
      <c r="D48614" s="2">
        <v>3.2523312137971099E-4</v>
      </c>
      <c r="E48614" s="2">
        <v>9.8924305701910905E-5</v>
      </c>
      <c r="F48614" s="2">
        <v>3.4449798916198001E-4</v>
      </c>
    </row>
    <row r="48615" spans="1:6" x14ac:dyDescent="0.25">
      <c r="A48615" s="1" t="str">
        <f t="shared" si="1563"/>
        <v>99999</v>
      </c>
      <c r="B48615" s="1" t="str">
        <f>"71068"</f>
        <v>71068</v>
      </c>
      <c r="C48615" s="2">
        <v>1.9811742972190101E-4</v>
      </c>
      <c r="D48615" s="2">
        <v>1.0991674935517999E-4</v>
      </c>
      <c r="E48615" s="2">
        <v>4.7311624466131299E-5</v>
      </c>
      <c r="F48615" s="2">
        <v>1.88876869451741E-4</v>
      </c>
    </row>
    <row r="48616" spans="1:6" x14ac:dyDescent="0.25">
      <c r="A48616" s="1" t="str">
        <f t="shared" si="1563"/>
        <v>99999</v>
      </c>
      <c r="B48616" s="1" t="str">
        <f>"70656"</f>
        <v>70656</v>
      </c>
      <c r="C48616" s="2">
        <v>3.30195716203169E-5</v>
      </c>
      <c r="D48616" s="2">
        <v>4.5171266858293203E-6</v>
      </c>
      <c r="E48616" s="2">
        <v>0</v>
      </c>
      <c r="F48616" s="2">
        <v>3.03939789922343E-5</v>
      </c>
    </row>
    <row r="48617" spans="1:6" x14ac:dyDescent="0.25">
      <c r="A48617" s="1" t="str">
        <f t="shared" si="1563"/>
        <v>99999</v>
      </c>
      <c r="B48617" s="1" t="str">
        <f>"70654"</f>
        <v>70654</v>
      </c>
      <c r="C48617" s="2">
        <v>1.15839152897505E-5</v>
      </c>
      <c r="D48617" s="2">
        <v>0</v>
      </c>
      <c r="E48617" s="2">
        <v>4.3010567696482999E-6</v>
      </c>
      <c r="F48617" s="2">
        <v>1.06576289972769E-5</v>
      </c>
    </row>
    <row r="48618" spans="1:6" x14ac:dyDescent="0.25">
      <c r="A48618" s="1" t="str">
        <f t="shared" si="1563"/>
        <v>99999</v>
      </c>
      <c r="B48618" s="1" t="str">
        <f>"68654"</f>
        <v>68654</v>
      </c>
      <c r="C48618" s="2">
        <v>4.2438269098899098E-5</v>
      </c>
      <c r="D48618" s="2">
        <v>1.35513800574879E-5</v>
      </c>
      <c r="E48618" s="2">
        <v>1.11827476010855E-4</v>
      </c>
      <c r="F48618" s="2">
        <v>4.2137107239233898E-5</v>
      </c>
    </row>
    <row r="48619" spans="1:6" x14ac:dyDescent="0.25">
      <c r="A48619" s="1" t="str">
        <f t="shared" si="1563"/>
        <v>99999</v>
      </c>
      <c r="B48619" s="1" t="str">
        <f>"68740"</f>
        <v>68740</v>
      </c>
      <c r="C48619" s="2">
        <v>3.4968267650368402E-5</v>
      </c>
      <c r="D48619" s="2">
        <v>1.50570889527644E-6</v>
      </c>
      <c r="E48619" s="2">
        <v>0</v>
      </c>
      <c r="F48619" s="2">
        <v>3.19728869918309E-5</v>
      </c>
    </row>
    <row r="48620" spans="1:6" x14ac:dyDescent="0.25">
      <c r="A48620" s="1" t="str">
        <f t="shared" si="1563"/>
        <v>99999</v>
      </c>
      <c r="B48620" s="1" t="str">
        <f>"68746"</f>
        <v>68746</v>
      </c>
      <c r="C48620" s="2">
        <v>3.0746092918590099E-5</v>
      </c>
      <c r="D48620" s="2">
        <v>3.01141779055288E-6</v>
      </c>
      <c r="E48620" s="2">
        <v>1.29031703089449E-5</v>
      </c>
      <c r="F48620" s="2">
        <v>2.8519025742713299E-5</v>
      </c>
    </row>
    <row r="48621" spans="1:6" x14ac:dyDescent="0.25">
      <c r="A48621" s="1" t="str">
        <f t="shared" si="1563"/>
        <v>99999</v>
      </c>
      <c r="B48621" s="1" t="str">
        <f>"68666"</f>
        <v>68666</v>
      </c>
      <c r="C48621" s="2">
        <v>9.3970453004705196E-5</v>
      </c>
      <c r="D48621" s="2">
        <v>4.8182684648845999E-5</v>
      </c>
      <c r="E48621" s="2">
        <v>6.0214794775076199E-5</v>
      </c>
      <c r="F48621" s="2">
        <v>9.0195119476955103E-5</v>
      </c>
    </row>
    <row r="48622" spans="1:6" x14ac:dyDescent="0.25">
      <c r="A48622" s="1" t="str">
        <f t="shared" si="1563"/>
        <v>99999</v>
      </c>
      <c r="B48622" s="1" t="str">
        <f>"68842"</f>
        <v>68842</v>
      </c>
      <c r="C48622" s="2">
        <v>3.5834354774835699E-5</v>
      </c>
      <c r="D48622" s="2">
        <v>5.7216938020504697E-5</v>
      </c>
      <c r="E48622" s="2">
        <v>2.58063406178898E-5</v>
      </c>
      <c r="F48622" s="2">
        <v>3.7005656240545001E-5</v>
      </c>
    </row>
    <row r="48623" spans="1:6" x14ac:dyDescent="0.25">
      <c r="A48623" s="1" t="str">
        <f t="shared" si="1563"/>
        <v>99999</v>
      </c>
      <c r="B48623" s="1" t="str">
        <f>"68788"</f>
        <v>68788</v>
      </c>
      <c r="C48623" s="2">
        <v>2.46618308692072E-4</v>
      </c>
      <c r="D48623" s="2">
        <v>4.0352998393408597E-4</v>
      </c>
      <c r="E48623" s="2">
        <v>4.9462152850955404E-4</v>
      </c>
      <c r="F48623" s="2">
        <v>2.6259213668290699E-4</v>
      </c>
    </row>
    <row r="48624" spans="1:6" x14ac:dyDescent="0.25">
      <c r="A48624" s="1" t="str">
        <f t="shared" si="1563"/>
        <v>99999</v>
      </c>
      <c r="B48624" s="1" t="str">
        <f>"68713"</f>
        <v>68713</v>
      </c>
      <c r="C48624" s="2">
        <v>1.3619220032248699E-4</v>
      </c>
      <c r="D48624" s="2">
        <v>1.0088249598352101E-4</v>
      </c>
      <c r="E48624" s="2">
        <v>9.8924305701910905E-5</v>
      </c>
      <c r="F48624" s="2">
        <v>1.3302299896601199E-4</v>
      </c>
    </row>
    <row r="48625" spans="1:6" x14ac:dyDescent="0.25">
      <c r="A48625" s="1" t="str">
        <f t="shared" si="1563"/>
        <v>99999</v>
      </c>
      <c r="B48625" s="1" t="str">
        <f>"68817"</f>
        <v>68817</v>
      </c>
      <c r="C48625" s="2">
        <v>1.77547860515802E-5</v>
      </c>
      <c r="D48625" s="2">
        <v>0</v>
      </c>
      <c r="E48625" s="2">
        <v>4.3010567696482999E-6</v>
      </c>
      <c r="F48625" s="2">
        <v>1.6282488745839801E-5</v>
      </c>
    </row>
    <row r="48626" spans="1:6" x14ac:dyDescent="0.25">
      <c r="A48626" s="1" t="str">
        <f t="shared" si="1563"/>
        <v>99999</v>
      </c>
      <c r="B48626" s="1" t="str">
        <f>"68660"</f>
        <v>68660</v>
      </c>
      <c r="C48626" s="2">
        <v>5.4780010622558498E-5</v>
      </c>
      <c r="D48626" s="2">
        <v>4.3665557963016701E-5</v>
      </c>
      <c r="E48626" s="2">
        <v>1.72042270785932E-5</v>
      </c>
      <c r="F48626" s="2">
        <v>5.3189463236410001E-5</v>
      </c>
    </row>
    <row r="48627" spans="1:6" x14ac:dyDescent="0.25">
      <c r="A48627" s="1" t="str">
        <f t="shared" si="1563"/>
        <v>99999</v>
      </c>
      <c r="B48627" s="1" t="str">
        <f>"68718"</f>
        <v>68718</v>
      </c>
      <c r="C48627" s="2">
        <v>1.1205002172795999E-4</v>
      </c>
      <c r="D48627" s="2">
        <v>6.7756900287439806E-5</v>
      </c>
      <c r="E48627" s="2">
        <v>7.7419021853669399E-5</v>
      </c>
      <c r="F48627" s="2">
        <v>1.0835256147231499E-4</v>
      </c>
    </row>
    <row r="48628" spans="1:6" x14ac:dyDescent="0.25">
      <c r="A48628" s="1" t="str">
        <f t="shared" si="1563"/>
        <v>99999</v>
      </c>
      <c r="B48628" s="1" t="str">
        <f>"68771"</f>
        <v>68771</v>
      </c>
      <c r="C48628" s="2">
        <v>7.2210014002463497E-5</v>
      </c>
      <c r="D48628" s="2">
        <v>9.1848242611862802E-5</v>
      </c>
      <c r="E48628" s="2">
        <v>6.4515851544724506E-5</v>
      </c>
      <c r="F48628" s="2">
        <v>7.3320540231266605E-5</v>
      </c>
    </row>
    <row r="48629" spans="1:6" x14ac:dyDescent="0.25">
      <c r="A48629" s="1" t="str">
        <f t="shared" si="1563"/>
        <v>99999</v>
      </c>
      <c r="B48629" s="1" t="str">
        <f>"68787"</f>
        <v>68787</v>
      </c>
      <c r="C48629" s="2">
        <v>2.97392666363969E-4</v>
      </c>
      <c r="D48629" s="2">
        <v>4.80321137593184E-4</v>
      </c>
      <c r="E48629" s="2">
        <v>1.07956524918172E-3</v>
      </c>
      <c r="F48629" s="2">
        <v>3.2732736466636701E-4</v>
      </c>
    </row>
    <row r="48630" spans="1:6" x14ac:dyDescent="0.25">
      <c r="A48630" s="1" t="str">
        <f t="shared" si="1563"/>
        <v>99999</v>
      </c>
      <c r="B48630" s="1" t="str">
        <f>"68663"</f>
        <v>68663</v>
      </c>
      <c r="C48630" s="2">
        <v>1.18004370708673E-5</v>
      </c>
      <c r="D48630" s="2">
        <v>4.5171266858293203E-6</v>
      </c>
      <c r="E48630" s="2">
        <v>0</v>
      </c>
      <c r="F48630" s="2">
        <v>1.10523559971761E-5</v>
      </c>
    </row>
    <row r="48631" spans="1:6" x14ac:dyDescent="0.25">
      <c r="A48631" s="1" t="str">
        <f t="shared" si="1563"/>
        <v>99999</v>
      </c>
      <c r="B48631" s="1" t="str">
        <f>"68790"</f>
        <v>68790</v>
      </c>
      <c r="C48631" s="2">
        <v>3.9948268616055503E-5</v>
      </c>
      <c r="D48631" s="2">
        <v>4.5171266858293203E-6</v>
      </c>
      <c r="E48631" s="2">
        <v>1.72042270785932E-5</v>
      </c>
      <c r="F48631" s="2">
        <v>3.7104337990519798E-5</v>
      </c>
    </row>
    <row r="48632" spans="1:6" x14ac:dyDescent="0.25">
      <c r="A48632" s="1" t="str">
        <f t="shared" si="1563"/>
        <v>99999</v>
      </c>
      <c r="B48632" s="1" t="str">
        <f>"68333"</f>
        <v>68333</v>
      </c>
      <c r="C48632" s="2">
        <v>3.0897658165371898E-4</v>
      </c>
      <c r="D48632" s="2">
        <v>2.28566610302963E-3</v>
      </c>
      <c r="E48632" s="2">
        <v>7.5268493468845195E-4</v>
      </c>
      <c r="F48632" s="2">
        <v>4.48705917135355E-4</v>
      </c>
    </row>
    <row r="48633" spans="1:6" x14ac:dyDescent="0.25">
      <c r="A48633" s="1" t="str">
        <f t="shared" si="1563"/>
        <v>99999</v>
      </c>
      <c r="B48633" s="1" t="str">
        <f>"68424"</f>
        <v>68424</v>
      </c>
      <c r="C48633" s="2">
        <v>3.5509572103160502E-5</v>
      </c>
      <c r="D48633" s="2">
        <v>1.80685067433172E-5</v>
      </c>
      <c r="E48633" s="2">
        <v>2.58063406178898E-5</v>
      </c>
      <c r="F48633" s="2">
        <v>3.4143885491276198E-5</v>
      </c>
    </row>
    <row r="48634" spans="1:6" x14ac:dyDescent="0.25">
      <c r="A48634" s="1" t="str">
        <f t="shared" si="1563"/>
        <v>99999</v>
      </c>
      <c r="B48634" s="1" t="str">
        <f>"68465"</f>
        <v>68465</v>
      </c>
      <c r="C48634" s="2">
        <v>1.09884803916792E-4</v>
      </c>
      <c r="D48634" s="2">
        <v>3.31255956960816E-5</v>
      </c>
      <c r="E48634" s="2">
        <v>5.1612681235779599E-5</v>
      </c>
      <c r="F48634" s="2">
        <v>1.03517155723551E-4</v>
      </c>
    </row>
    <row r="48635" spans="1:6" x14ac:dyDescent="0.25">
      <c r="A48635" s="1" t="str">
        <f t="shared" si="1563"/>
        <v>99999</v>
      </c>
      <c r="B48635" s="1" t="str">
        <f>"68467"</f>
        <v>68467</v>
      </c>
      <c r="C48635" s="2">
        <v>4.8121965853215899E-4</v>
      </c>
      <c r="D48635" s="2">
        <v>8.9740250158475805E-4</v>
      </c>
      <c r="E48635" s="2">
        <v>7.8709338884563895E-4</v>
      </c>
      <c r="F48635" s="2">
        <v>5.1551346186828602E-4</v>
      </c>
    </row>
    <row r="48636" spans="1:6" x14ac:dyDescent="0.25">
      <c r="A48636" s="1" t="str">
        <f t="shared" si="1563"/>
        <v>99999</v>
      </c>
      <c r="B48636" s="1" t="str">
        <f>"68441"</f>
        <v>68441</v>
      </c>
      <c r="C48636" s="2">
        <v>1.50482637876198E-5</v>
      </c>
      <c r="D48636" s="2">
        <v>4.5171266858293203E-6</v>
      </c>
      <c r="E48636" s="2">
        <v>4.3010567696482999E-6</v>
      </c>
      <c r="F48636" s="2">
        <v>1.41114902463945E-5</v>
      </c>
    </row>
    <row r="48637" spans="1:6" x14ac:dyDescent="0.25">
      <c r="A48637" s="1" t="str">
        <f t="shared" si="1563"/>
        <v>99999</v>
      </c>
      <c r="B48637" s="1" t="str">
        <f>"68307"</f>
        <v>68307</v>
      </c>
      <c r="C48637" s="2">
        <v>5.1965227468039701E-6</v>
      </c>
      <c r="D48637" s="2">
        <v>1.50570889527644E-6</v>
      </c>
      <c r="E48637" s="2">
        <v>0</v>
      </c>
      <c r="F48637" s="2">
        <v>4.8354057487645501E-6</v>
      </c>
    </row>
    <row r="48638" spans="1:6" x14ac:dyDescent="0.25">
      <c r="A48638" s="1" t="str">
        <f t="shared" si="1563"/>
        <v>99999</v>
      </c>
      <c r="B48638" s="1" t="str">
        <f>"68442"</f>
        <v>68442</v>
      </c>
      <c r="C48638" s="2">
        <v>1.50482637876198E-5</v>
      </c>
      <c r="D48638" s="2">
        <v>3.01141779055288E-5</v>
      </c>
      <c r="E48638" s="2">
        <v>4.3010567696482999E-6</v>
      </c>
      <c r="F48638" s="2">
        <v>1.5789079995965799E-5</v>
      </c>
    </row>
    <row r="48639" spans="1:6" x14ac:dyDescent="0.25">
      <c r="A48639" s="1" t="str">
        <f t="shared" si="1563"/>
        <v>99999</v>
      </c>
      <c r="B48639" s="1" t="str">
        <f>"72112"</f>
        <v>72112</v>
      </c>
      <c r="C48639" s="2">
        <v>5.4411923594659898E-4</v>
      </c>
      <c r="D48639" s="2">
        <v>1.01183637762576E-3</v>
      </c>
      <c r="E48639" s="2">
        <v>4.6451413112201599E-4</v>
      </c>
      <c r="F48639" s="2">
        <v>5.7294624035361197E-4</v>
      </c>
    </row>
    <row r="48640" spans="1:6" x14ac:dyDescent="0.25">
      <c r="A48640" s="1" t="str">
        <f t="shared" si="1563"/>
        <v>99999</v>
      </c>
      <c r="B48640" s="1" t="str">
        <f>"72041"</f>
        <v>72041</v>
      </c>
      <c r="C48640" s="2">
        <v>1.00141323766534E-4</v>
      </c>
      <c r="D48640" s="2">
        <v>5.5711229125228301E-5</v>
      </c>
      <c r="E48640" s="2">
        <v>2.58063406178898E-5</v>
      </c>
      <c r="F48640" s="2">
        <v>9.5523933975593601E-5</v>
      </c>
    </row>
    <row r="48641" spans="1:6" x14ac:dyDescent="0.25">
      <c r="A48641" s="1" t="str">
        <f t="shared" si="1563"/>
        <v>99999</v>
      </c>
      <c r="B48641" s="1" t="str">
        <f>"72013"</f>
        <v>72013</v>
      </c>
      <c r="C48641" s="2">
        <v>1.1443176132024499E-4</v>
      </c>
      <c r="D48641" s="2">
        <v>3.1619886800805203E-5</v>
      </c>
      <c r="E48641" s="2">
        <v>1.29031703089449E-5</v>
      </c>
      <c r="F48641" s="2">
        <v>1.0667497172274401E-4</v>
      </c>
    </row>
    <row r="48642" spans="1:6" x14ac:dyDescent="0.25">
      <c r="A48642" s="1" t="str">
        <f t="shared" si="1563"/>
        <v>99999</v>
      </c>
      <c r="B48642" s="1" t="str">
        <f>"72029"</f>
        <v>72029</v>
      </c>
      <c r="C48642" s="2">
        <v>1.2536611126664501E-4</v>
      </c>
      <c r="D48642" s="2">
        <v>2.74039018940312E-4</v>
      </c>
      <c r="E48642" s="2">
        <v>4.3010567696482999E-5</v>
      </c>
      <c r="F48642" s="2">
        <v>1.33220362465962E-4</v>
      </c>
    </row>
    <row r="48643" spans="1:6" x14ac:dyDescent="0.25">
      <c r="A48643" s="1" t="str">
        <f t="shared" si="1563"/>
        <v>99999</v>
      </c>
      <c r="B48643" s="1" t="str">
        <f>"71959"</f>
        <v>71959</v>
      </c>
      <c r="C48643" s="2">
        <v>3.8216094367120903E-5</v>
      </c>
      <c r="D48643" s="2">
        <v>4.5171266858293203E-6</v>
      </c>
      <c r="E48643" s="2">
        <v>4.3010567696482999E-6</v>
      </c>
      <c r="F48643" s="2">
        <v>3.5229384740998803E-5</v>
      </c>
    </row>
    <row r="48644" spans="1:6" x14ac:dyDescent="0.25">
      <c r="A48644" s="1" t="str">
        <f t="shared" si="1563"/>
        <v>99999</v>
      </c>
      <c r="B48644" s="1" t="str">
        <f>"73005"</f>
        <v>73005</v>
      </c>
      <c r="C48644" s="2">
        <v>5.9067141888671803E-4</v>
      </c>
      <c r="D48644" s="2">
        <v>9.3956235065249805E-4</v>
      </c>
      <c r="E48644" s="2">
        <v>3.8709510926834698E-4</v>
      </c>
      <c r="F48644" s="2">
        <v>6.0886639734443395E-4</v>
      </c>
    </row>
    <row r="48645" spans="1:6" x14ac:dyDescent="0.25">
      <c r="A48645" s="1" t="str">
        <f t="shared" si="1563"/>
        <v>99999</v>
      </c>
      <c r="B48645" s="1" t="str">
        <f>"73016"</f>
        <v>73016</v>
      </c>
      <c r="C48645" s="2">
        <v>3.9406964163263397E-5</v>
      </c>
      <c r="D48645" s="2">
        <v>1.20456711622115E-5</v>
      </c>
      <c r="E48645" s="2">
        <v>4.3010567696482999E-6</v>
      </c>
      <c r="F48645" s="2">
        <v>3.68082927405954E-5</v>
      </c>
    </row>
    <row r="48646" spans="1:6" x14ac:dyDescent="0.25">
      <c r="A48646" s="1" t="str">
        <f t="shared" ref="A48646:A48709" si="1564">"99999"</f>
        <v>99999</v>
      </c>
      <c r="B48646" s="1" t="str">
        <f>"73021"</f>
        <v>73021</v>
      </c>
      <c r="C48646" s="2">
        <v>2.5333048390669299E-5</v>
      </c>
      <c r="D48646" s="2">
        <v>6.0228355811057601E-6</v>
      </c>
      <c r="E48646" s="2">
        <v>0</v>
      </c>
      <c r="F48646" s="2">
        <v>2.3486256493999199E-5</v>
      </c>
    </row>
    <row r="48647" spans="1:6" x14ac:dyDescent="0.25">
      <c r="A48647" s="1" t="str">
        <f t="shared" si="1564"/>
        <v>99999</v>
      </c>
      <c r="B48647" s="1" t="str">
        <f>"72631"</f>
        <v>72631</v>
      </c>
      <c r="C48647" s="2">
        <v>2.9804223170731901E-4</v>
      </c>
      <c r="D48647" s="2">
        <v>2.34890587663124E-4</v>
      </c>
      <c r="E48647" s="2">
        <v>2.0645072494311799E-4</v>
      </c>
      <c r="F48647" s="2">
        <v>2.9180193467544398E-4</v>
      </c>
    </row>
    <row r="48648" spans="1:6" x14ac:dyDescent="0.25">
      <c r="A48648" s="1" t="str">
        <f t="shared" si="1564"/>
        <v>99999</v>
      </c>
      <c r="B48648" s="1" t="str">
        <f>"72638"</f>
        <v>72638</v>
      </c>
      <c r="C48648" s="2">
        <v>3.3539223894997298E-4</v>
      </c>
      <c r="D48648" s="2">
        <v>1.97247865281213E-4</v>
      </c>
      <c r="E48648" s="2">
        <v>1.8494544109487701E-4</v>
      </c>
      <c r="F48648" s="2">
        <v>3.2288668591750198E-4</v>
      </c>
    </row>
    <row r="48649" spans="1:6" x14ac:dyDescent="0.25">
      <c r="A48649" s="1" t="str">
        <f t="shared" si="1564"/>
        <v>99999</v>
      </c>
      <c r="B48649" s="1" t="str">
        <f>"72529"</f>
        <v>72529</v>
      </c>
      <c r="C48649" s="2">
        <v>5.4022184388649598E-5</v>
      </c>
      <c r="D48649" s="2">
        <v>4.5171266858293203E-6</v>
      </c>
      <c r="E48649" s="2">
        <v>0</v>
      </c>
      <c r="F48649" s="2">
        <v>4.9538238487342903E-5</v>
      </c>
    </row>
    <row r="48650" spans="1:6" x14ac:dyDescent="0.25">
      <c r="A48650" s="1" t="str">
        <f t="shared" si="1564"/>
        <v>99999</v>
      </c>
      <c r="B48650" s="1" t="str">
        <f>"72675"</f>
        <v>72675</v>
      </c>
      <c r="C48650" s="2">
        <v>1.4257959286543401E-4</v>
      </c>
      <c r="D48650" s="2">
        <v>3.1619886800805203E-5</v>
      </c>
      <c r="E48650" s="2">
        <v>8.6021135392965999E-6</v>
      </c>
      <c r="F48650" s="2">
        <v>1.3223354496621399E-4</v>
      </c>
    </row>
    <row r="48651" spans="1:6" x14ac:dyDescent="0.25">
      <c r="A48651" s="1" t="str">
        <f t="shared" si="1564"/>
        <v>99999</v>
      </c>
      <c r="B48651" s="1" t="str">
        <f>"72687"</f>
        <v>72687</v>
      </c>
      <c r="C48651" s="2">
        <v>3.4957441561312498E-4</v>
      </c>
      <c r="D48651" s="2">
        <v>1.26479547203221E-4</v>
      </c>
      <c r="E48651" s="2">
        <v>2.7741816164231501E-3</v>
      </c>
      <c r="F48651" s="2">
        <v>3.9058236640020601E-4</v>
      </c>
    </row>
    <row r="48652" spans="1:6" x14ac:dyDescent="0.25">
      <c r="A48652" s="1" t="str">
        <f t="shared" si="1564"/>
        <v>99999</v>
      </c>
      <c r="B48652" s="1" t="str">
        <f>"72581"</f>
        <v>72581</v>
      </c>
      <c r="C48652" s="2">
        <v>7.03695788629705E-5</v>
      </c>
      <c r="D48652" s="2">
        <v>4.2159849067740298E-5</v>
      </c>
      <c r="E48652" s="2">
        <v>4.3010567696482999E-6</v>
      </c>
      <c r="F48652" s="2">
        <v>6.7004908232880204E-5</v>
      </c>
    </row>
    <row r="48653" spans="1:6" x14ac:dyDescent="0.25">
      <c r="A48653" s="1" t="str">
        <f t="shared" si="1564"/>
        <v>99999</v>
      </c>
      <c r="B48653" s="1" t="str">
        <f>"72533"</f>
        <v>72533</v>
      </c>
      <c r="C48653" s="2">
        <v>2.3384352360617801E-5</v>
      </c>
      <c r="D48653" s="2">
        <v>1.50570889527644E-5</v>
      </c>
      <c r="E48653" s="2">
        <v>4.3010567696482999E-6</v>
      </c>
      <c r="F48653" s="2">
        <v>2.2400757244276601E-5</v>
      </c>
    </row>
    <row r="48654" spans="1:6" x14ac:dyDescent="0.25">
      <c r="A48654" s="1" t="str">
        <f t="shared" si="1564"/>
        <v>99999</v>
      </c>
      <c r="B48654" s="1" t="str">
        <f>"72583"</f>
        <v>72583</v>
      </c>
      <c r="C48654" s="2">
        <v>9.4728279238614102E-5</v>
      </c>
      <c r="D48654" s="2">
        <v>3.31255956960816E-5</v>
      </c>
      <c r="E48654" s="2">
        <v>4.3010567696482999E-6</v>
      </c>
      <c r="F48654" s="2">
        <v>8.8616211477358499E-5</v>
      </c>
    </row>
    <row r="48655" spans="1:6" x14ac:dyDescent="0.25">
      <c r="A48655" s="1" t="str">
        <f t="shared" si="1564"/>
        <v>99999</v>
      </c>
      <c r="B48655" s="1" t="str">
        <f>"72528"</f>
        <v>72528</v>
      </c>
      <c r="C48655" s="2">
        <v>1.67804380365545E-5</v>
      </c>
      <c r="D48655" s="2">
        <v>0</v>
      </c>
      <c r="E48655" s="2">
        <v>8.6021135392965999E-6</v>
      </c>
      <c r="F48655" s="2">
        <v>1.5493034746041499E-5</v>
      </c>
    </row>
    <row r="48656" spans="1:6" x14ac:dyDescent="0.25">
      <c r="A48656" s="1" t="str">
        <f t="shared" si="1564"/>
        <v>99999</v>
      </c>
      <c r="B48656" s="1" t="str">
        <f>"72478"</f>
        <v>72478</v>
      </c>
      <c r="C48656" s="2">
        <v>2.5441309281227699E-5</v>
      </c>
      <c r="D48656" s="2">
        <v>3.01141779055288E-6</v>
      </c>
      <c r="E48656" s="2">
        <v>8.6021135392965999E-6</v>
      </c>
      <c r="F48656" s="2">
        <v>2.3584938243973999E-5</v>
      </c>
    </row>
    <row r="48657" spans="1:6" x14ac:dyDescent="0.25">
      <c r="A48657" s="1" t="str">
        <f t="shared" si="1564"/>
        <v>99999</v>
      </c>
      <c r="B48657" s="1" t="str">
        <f>"72830"</f>
        <v>72830</v>
      </c>
      <c r="C48657" s="2">
        <v>8.7669669174205399E-4</v>
      </c>
      <c r="D48657" s="2">
        <v>1.26479547203221E-3</v>
      </c>
      <c r="E48657" s="2">
        <v>5.33331039436389E-4</v>
      </c>
      <c r="F48657" s="2">
        <v>8.9425401827151801E-4</v>
      </c>
    </row>
    <row r="48658" spans="1:6" x14ac:dyDescent="0.25">
      <c r="A48658" s="1" t="str">
        <f t="shared" si="1564"/>
        <v>99999</v>
      </c>
      <c r="B48658" s="1" t="str">
        <f>"72846"</f>
        <v>72846</v>
      </c>
      <c r="C48658" s="2">
        <v>2.85483968402543E-4</v>
      </c>
      <c r="D48658" s="2">
        <v>9.1848242611862802E-5</v>
      </c>
      <c r="E48658" s="2">
        <v>3.8709510926834699E-5</v>
      </c>
      <c r="F48658" s="2">
        <v>2.6713149718174699E-4</v>
      </c>
    </row>
    <row r="48659" spans="1:6" x14ac:dyDescent="0.25">
      <c r="A48659" s="1" t="str">
        <f t="shared" si="1564"/>
        <v>99999</v>
      </c>
      <c r="B48659" s="1" t="str">
        <f>"72845"</f>
        <v>72845</v>
      </c>
      <c r="C48659" s="2">
        <v>8.29278421677467E-5</v>
      </c>
      <c r="D48659" s="2">
        <v>5.1194102439398901E-5</v>
      </c>
      <c r="E48659" s="2">
        <v>8.6021135392965999E-5</v>
      </c>
      <c r="F48659" s="2">
        <v>8.0919034979325103E-5</v>
      </c>
    </row>
    <row r="48660" spans="1:6" x14ac:dyDescent="0.25">
      <c r="A48660" s="1" t="str">
        <f t="shared" si="1564"/>
        <v>99999</v>
      </c>
      <c r="B48660" s="1" t="str">
        <f>"72832"</f>
        <v>72832</v>
      </c>
      <c r="C48660" s="2">
        <v>3.9731746834938703E-5</v>
      </c>
      <c r="D48660" s="2">
        <v>1.80685067433172E-5</v>
      </c>
      <c r="E48660" s="2">
        <v>1.29031703089449E-5</v>
      </c>
      <c r="F48660" s="2">
        <v>3.7696428490368499E-5</v>
      </c>
    </row>
    <row r="48661" spans="1:6" x14ac:dyDescent="0.25">
      <c r="A48661" s="1" t="str">
        <f t="shared" si="1564"/>
        <v>99999</v>
      </c>
      <c r="B48661" s="1" t="str">
        <f>"72847"</f>
        <v>72847</v>
      </c>
      <c r="C48661" s="2">
        <v>4.5902617596768399E-5</v>
      </c>
      <c r="D48661" s="2">
        <v>7.5285444763821999E-6</v>
      </c>
      <c r="E48661" s="2">
        <v>0</v>
      </c>
      <c r="F48661" s="2">
        <v>4.2334470739183499E-5</v>
      </c>
    </row>
    <row r="48662" spans="1:6" x14ac:dyDescent="0.25">
      <c r="A48662" s="1" t="str">
        <f t="shared" si="1564"/>
        <v>99999</v>
      </c>
      <c r="B48662" s="1" t="str">
        <f>"72422"</f>
        <v>72422</v>
      </c>
      <c r="C48662" s="2">
        <v>2.8808222977594501E-4</v>
      </c>
      <c r="D48662" s="2">
        <v>4.1256423730574399E-4</v>
      </c>
      <c r="E48662" s="2">
        <v>2.0645072494311799E-4</v>
      </c>
      <c r="F48662" s="2">
        <v>2.9436766017478899E-4</v>
      </c>
    </row>
    <row r="48663" spans="1:6" x14ac:dyDescent="0.25">
      <c r="A48663" s="1" t="str">
        <f t="shared" si="1564"/>
        <v>99999</v>
      </c>
      <c r="B48663" s="1" t="str">
        <f>"72434"</f>
        <v>72434</v>
      </c>
      <c r="C48663" s="2">
        <v>1.05121324732222E-4</v>
      </c>
      <c r="D48663" s="2">
        <v>3.9148431277187403E-5</v>
      </c>
      <c r="E48663" s="2">
        <v>2.15052838482415E-5</v>
      </c>
      <c r="F48663" s="2">
        <v>9.8879113474736294E-5</v>
      </c>
    </row>
    <row r="48664" spans="1:6" x14ac:dyDescent="0.25">
      <c r="A48664" s="1" t="str">
        <f t="shared" si="1564"/>
        <v>99999</v>
      </c>
      <c r="B48664" s="1" t="str">
        <f>"72433"</f>
        <v>72433</v>
      </c>
      <c r="C48664" s="2">
        <v>1.5059089876675601E-4</v>
      </c>
      <c r="D48664" s="2">
        <v>1.92730738595384E-4</v>
      </c>
      <c r="E48664" s="2">
        <v>1.2473064631979999E-4</v>
      </c>
      <c r="F48664" s="2">
        <v>1.5275934896096901E-4</v>
      </c>
    </row>
    <row r="48665" spans="1:6" x14ac:dyDescent="0.25">
      <c r="A48665" s="1" t="str">
        <f t="shared" si="1564"/>
        <v>99999</v>
      </c>
      <c r="B48665" s="1" t="str">
        <f>"64625"</f>
        <v>64625</v>
      </c>
      <c r="C48665" s="2">
        <v>5.0882618562455504E-6</v>
      </c>
      <c r="D48665" s="2">
        <v>0</v>
      </c>
      <c r="E48665" s="2">
        <v>4.3010567696482999E-6</v>
      </c>
      <c r="F48665" s="2">
        <v>4.7367239987897599E-6</v>
      </c>
    </row>
    <row r="48666" spans="1:6" x14ac:dyDescent="0.25">
      <c r="A48666" s="1" t="str">
        <f t="shared" si="1564"/>
        <v>99999</v>
      </c>
      <c r="B48666" s="1" t="str">
        <f>"64631"</f>
        <v>64631</v>
      </c>
      <c r="C48666" s="2">
        <v>5.52130541847922E-5</v>
      </c>
      <c r="D48666" s="2">
        <v>2.1079924533870101E-5</v>
      </c>
      <c r="E48666" s="2">
        <v>8.6021135392965999E-6</v>
      </c>
      <c r="F48666" s="2">
        <v>5.1906600486737802E-5</v>
      </c>
    </row>
    <row r="48667" spans="1:6" x14ac:dyDescent="0.25">
      <c r="A48667" s="1" t="str">
        <f t="shared" si="1564"/>
        <v>99999</v>
      </c>
      <c r="B48667" s="1" t="str">
        <f>"64496"</f>
        <v>64496</v>
      </c>
      <c r="C48667" s="2">
        <v>1.1908697961425701E-5</v>
      </c>
      <c r="D48667" s="2">
        <v>4.5171266858293203E-6</v>
      </c>
      <c r="E48667" s="2">
        <v>1.29031703089449E-5</v>
      </c>
      <c r="F48667" s="2">
        <v>1.14470829970752E-5</v>
      </c>
    </row>
    <row r="48668" spans="1:6" x14ac:dyDescent="0.25">
      <c r="A48668" s="1" t="str">
        <f t="shared" si="1564"/>
        <v>99999</v>
      </c>
      <c r="B48668" s="1" t="str">
        <f>"64770"</f>
        <v>64770</v>
      </c>
      <c r="C48668" s="2">
        <v>6.4198708101140695E-5</v>
      </c>
      <c r="D48668" s="2">
        <v>1.65627978480408E-5</v>
      </c>
      <c r="E48668" s="2">
        <v>1.29031703089449E-5</v>
      </c>
      <c r="F48668" s="2">
        <v>5.9899822234695502E-5</v>
      </c>
    </row>
    <row r="48669" spans="1:6" x14ac:dyDescent="0.25">
      <c r="A48669" s="1" t="str">
        <f t="shared" si="1564"/>
        <v>99999</v>
      </c>
      <c r="B48669" s="1" t="str">
        <f>"64740"</f>
        <v>64740</v>
      </c>
      <c r="C48669" s="2">
        <v>1.5037437698563999E-4</v>
      </c>
      <c r="D48669" s="2">
        <v>3.6137013486634501E-5</v>
      </c>
      <c r="E48669" s="2">
        <v>2.15052838482415E-5</v>
      </c>
      <c r="F48669" s="2">
        <v>1.3993072146424701E-4</v>
      </c>
    </row>
    <row r="48670" spans="1:6" x14ac:dyDescent="0.25">
      <c r="A48670" s="1" t="str">
        <f t="shared" si="1564"/>
        <v>99999</v>
      </c>
      <c r="B48670" s="1" t="str">
        <f>"64744"</f>
        <v>64744</v>
      </c>
      <c r="C48670" s="2">
        <v>4.7190922194413599E-4</v>
      </c>
      <c r="D48670" s="2">
        <v>4.77309719802631E-4</v>
      </c>
      <c r="E48670" s="2">
        <v>2.49461292639601E-4</v>
      </c>
      <c r="F48670" s="2">
        <v>4.6715940438064001E-4</v>
      </c>
    </row>
    <row r="48671" spans="1:6" x14ac:dyDescent="0.25">
      <c r="A48671" s="1" t="str">
        <f t="shared" si="1564"/>
        <v>99999</v>
      </c>
      <c r="B48671" s="1" t="str">
        <f>"64748"</f>
        <v>64748</v>
      </c>
      <c r="C48671" s="2">
        <v>7.4700014485307105E-5</v>
      </c>
      <c r="D48671" s="2">
        <v>5.5711229125228301E-5</v>
      </c>
      <c r="E48671" s="2">
        <v>9.8924305701910905E-5</v>
      </c>
      <c r="F48671" s="2">
        <v>7.4011312481090096E-5</v>
      </c>
    </row>
    <row r="48672" spans="1:6" x14ac:dyDescent="0.25">
      <c r="A48672" s="1" t="str">
        <f t="shared" si="1564"/>
        <v>99999</v>
      </c>
      <c r="B48672" s="1" t="str">
        <f>"64437"</f>
        <v>64437</v>
      </c>
      <c r="C48672" s="2">
        <v>6.7446534817893196E-5</v>
      </c>
      <c r="D48672" s="2">
        <v>4.2159849067740298E-5</v>
      </c>
      <c r="E48672" s="2">
        <v>1.29031703089449E-5</v>
      </c>
      <c r="F48672" s="2">
        <v>6.4537864483510502E-5</v>
      </c>
    </row>
    <row r="48673" spans="1:6" x14ac:dyDescent="0.25">
      <c r="A48673" s="1" t="str">
        <f t="shared" si="1564"/>
        <v>99999</v>
      </c>
      <c r="B48673" s="1" t="str">
        <f>"63944"</f>
        <v>63944</v>
      </c>
      <c r="C48673" s="2">
        <v>1.3359393894908501E-4</v>
      </c>
      <c r="D48673" s="2">
        <v>3.4631304591358098E-5</v>
      </c>
      <c r="E48673" s="2">
        <v>4.3010567696482999E-6</v>
      </c>
      <c r="F48673" s="2">
        <v>1.24141641468281E-4</v>
      </c>
    </row>
    <row r="48674" spans="1:6" x14ac:dyDescent="0.25">
      <c r="A48674" s="1" t="str">
        <f t="shared" si="1564"/>
        <v>99999</v>
      </c>
      <c r="B48674" s="1" t="str">
        <f>"63451"</f>
        <v>63451</v>
      </c>
      <c r="C48674" s="2">
        <v>1.69969598176713E-5</v>
      </c>
      <c r="D48674" s="2">
        <v>9.0342533716586405E-6</v>
      </c>
      <c r="E48674" s="2">
        <v>4.3010567696482999E-6</v>
      </c>
      <c r="F48674" s="2">
        <v>1.6183806995865E-5</v>
      </c>
    </row>
    <row r="48675" spans="1:6" x14ac:dyDescent="0.25">
      <c r="A48675" s="1" t="str">
        <f t="shared" si="1564"/>
        <v>99999</v>
      </c>
      <c r="B48675" s="1" t="str">
        <f>"63446"</f>
        <v>63446</v>
      </c>
      <c r="C48675" s="2">
        <v>2.4142178594526799E-5</v>
      </c>
      <c r="D48675" s="2">
        <v>3.01141779055288E-6</v>
      </c>
      <c r="E48675" s="2">
        <v>1.29031703089449E-5</v>
      </c>
      <c r="F48675" s="2">
        <v>2.2499438994251299E-5</v>
      </c>
    </row>
    <row r="48676" spans="1:6" x14ac:dyDescent="0.25">
      <c r="A48676" s="1" t="str">
        <f t="shared" si="1564"/>
        <v>99999</v>
      </c>
      <c r="B48676" s="1" t="str">
        <f>"65032"</f>
        <v>65032</v>
      </c>
      <c r="C48676" s="2">
        <v>3.9948268616055503E-5</v>
      </c>
      <c r="D48676" s="2">
        <v>1.35513800574879E-5</v>
      </c>
      <c r="E48676" s="2">
        <v>8.6021135392965999E-6</v>
      </c>
      <c r="F48676" s="2">
        <v>3.7499064990418898E-5</v>
      </c>
    </row>
    <row r="48677" spans="1:6" x14ac:dyDescent="0.25">
      <c r="A48677" s="1" t="str">
        <f t="shared" si="1564"/>
        <v>99999</v>
      </c>
      <c r="B48677" s="1" t="str">
        <f>"63443"</f>
        <v>63443</v>
      </c>
      <c r="C48677" s="2">
        <v>2.5441309281227699E-5</v>
      </c>
      <c r="D48677" s="2">
        <v>2.25856334291466E-5</v>
      </c>
      <c r="E48677" s="2">
        <v>4.3010567696482999E-6</v>
      </c>
      <c r="F48677" s="2">
        <v>2.4769119243671401E-5</v>
      </c>
    </row>
    <row r="48678" spans="1:6" x14ac:dyDescent="0.25">
      <c r="A48678" s="1" t="str">
        <f t="shared" si="1564"/>
        <v>99999</v>
      </c>
      <c r="B48678" s="1" t="str">
        <f>"65017"</f>
        <v>65017</v>
      </c>
      <c r="C48678" s="2">
        <v>8.6608712446732897E-5</v>
      </c>
      <c r="D48678" s="2">
        <v>2.7102760114975901E-5</v>
      </c>
      <c r="E48678" s="2">
        <v>1.29031703089449E-5</v>
      </c>
      <c r="F48678" s="2">
        <v>8.1017716729299907E-5</v>
      </c>
    </row>
    <row r="48679" spans="1:6" x14ac:dyDescent="0.25">
      <c r="A48679" s="1" t="str">
        <f t="shared" si="1564"/>
        <v>99999</v>
      </c>
      <c r="B48679" s="1" t="str">
        <f>"66713"</f>
        <v>66713</v>
      </c>
      <c r="C48679" s="2">
        <v>3.0876005987260198E-4</v>
      </c>
      <c r="D48679" s="2">
        <v>3.6438155265689799E-4</v>
      </c>
      <c r="E48679" s="2">
        <v>1.67741214016283E-4</v>
      </c>
      <c r="F48679" s="2">
        <v>3.0916992267100701E-4</v>
      </c>
    </row>
    <row r="48680" spans="1:6" x14ac:dyDescent="0.25">
      <c r="A48680" s="1" t="str">
        <f t="shared" si="1564"/>
        <v>99999</v>
      </c>
      <c r="B48680" s="1" t="str">
        <f>"51601"</f>
        <v>51601</v>
      </c>
      <c r="C48680" s="2">
        <v>3.2651484592418299E-4</v>
      </c>
      <c r="D48680" s="2">
        <v>5.7668650689087604E-4</v>
      </c>
      <c r="E48680" s="2">
        <v>4.8601941497025799E-4</v>
      </c>
      <c r="F48680" s="2">
        <v>3.4657030591145099E-4</v>
      </c>
    </row>
    <row r="48681" spans="1:6" x14ac:dyDescent="0.25">
      <c r="A48681" s="1" t="str">
        <f t="shared" si="1564"/>
        <v>99999</v>
      </c>
      <c r="B48681" s="1" t="str">
        <f>"66757"</f>
        <v>66757</v>
      </c>
      <c r="C48681" s="2">
        <v>2.0558743117043201E-4</v>
      </c>
      <c r="D48681" s="2">
        <v>2.7102760114975901E-4</v>
      </c>
      <c r="E48681" s="2">
        <v>1.5053698693768999E-4</v>
      </c>
      <c r="F48681" s="2">
        <v>2.08613219446699E-4</v>
      </c>
    </row>
    <row r="48682" spans="1:6" x14ac:dyDescent="0.25">
      <c r="A48682" s="1" t="str">
        <f t="shared" si="1564"/>
        <v>99999</v>
      </c>
      <c r="B48682" s="1" t="str">
        <f>"51632"</f>
        <v>51632</v>
      </c>
      <c r="C48682" s="2">
        <v>3.2673136770529902E-4</v>
      </c>
      <c r="D48682" s="2">
        <v>5.7819221578615299E-4</v>
      </c>
      <c r="E48682" s="2">
        <v>5.3763209620603697E-4</v>
      </c>
      <c r="F48682" s="2">
        <v>3.48050532161073E-4</v>
      </c>
    </row>
    <row r="48683" spans="1:6" x14ac:dyDescent="0.25">
      <c r="A48683" s="1" t="str">
        <f t="shared" si="1564"/>
        <v>99999</v>
      </c>
      <c r="B48683" s="1" t="str">
        <f>"66783"</f>
        <v>66783</v>
      </c>
      <c r="C48683" s="2">
        <v>1.3359393894908501E-4</v>
      </c>
      <c r="D48683" s="2">
        <v>2.7554472783558799E-4</v>
      </c>
      <c r="E48683" s="2">
        <v>1.2903170308944899E-3</v>
      </c>
      <c r="F48683" s="2">
        <v>1.6943656470670801E-4</v>
      </c>
    </row>
    <row r="48684" spans="1:6" x14ac:dyDescent="0.25">
      <c r="A48684" s="1" t="str">
        <f t="shared" si="1564"/>
        <v>99999</v>
      </c>
      <c r="B48684" s="1" t="str">
        <f>"66404"</f>
        <v>66404</v>
      </c>
      <c r="C48684" s="2">
        <v>2.32760914700594E-5</v>
      </c>
      <c r="D48684" s="2">
        <v>1.50570889527644E-5</v>
      </c>
      <c r="E48684" s="2">
        <v>8.6021135392965999E-6</v>
      </c>
      <c r="F48684" s="2">
        <v>2.2400757244276601E-5</v>
      </c>
    </row>
    <row r="48685" spans="1:6" x14ac:dyDescent="0.25">
      <c r="A48685" s="1" t="str">
        <f t="shared" si="1564"/>
        <v>99999</v>
      </c>
      <c r="B48685" s="1" t="str">
        <f>"51562"</f>
        <v>51562</v>
      </c>
      <c r="C48685" s="2">
        <v>2.3600874141734699E-5</v>
      </c>
      <c r="D48685" s="2">
        <v>2.8608469010252301E-5</v>
      </c>
      <c r="E48685" s="2">
        <v>8.6021135392965999E-6</v>
      </c>
      <c r="F48685" s="2">
        <v>2.3584938243973999E-5</v>
      </c>
    </row>
    <row r="48686" spans="1:6" x14ac:dyDescent="0.25">
      <c r="A48686" s="1" t="str">
        <f t="shared" si="1564"/>
        <v>99999</v>
      </c>
      <c r="B48686" s="1" t="str">
        <f>"66425"</f>
        <v>66425</v>
      </c>
      <c r="C48686" s="2">
        <v>2.6415657296253501E-5</v>
      </c>
      <c r="D48686" s="2">
        <v>1.20456711622115E-5</v>
      </c>
      <c r="E48686" s="2">
        <v>2.15052838482415E-5</v>
      </c>
      <c r="F48686" s="2">
        <v>2.53612097435202E-5</v>
      </c>
    </row>
    <row r="48687" spans="1:6" x14ac:dyDescent="0.25">
      <c r="A48687" s="1" t="str">
        <f t="shared" si="1564"/>
        <v>99999</v>
      </c>
      <c r="B48687" s="1" t="str">
        <f>"66740"</f>
        <v>66740</v>
      </c>
      <c r="C48687" s="2">
        <v>2.0028264753306899E-5</v>
      </c>
      <c r="D48687" s="2">
        <v>6.0228355811057601E-6</v>
      </c>
      <c r="E48687" s="2">
        <v>4.3010567696482999E-6</v>
      </c>
      <c r="F48687" s="2">
        <v>1.8749532495209401E-5</v>
      </c>
    </row>
    <row r="48688" spans="1:6" x14ac:dyDescent="0.25">
      <c r="A48688" s="1" t="str">
        <f t="shared" si="1564"/>
        <v>99999</v>
      </c>
      <c r="B48688" s="1" t="str">
        <f>"51558"</f>
        <v>51558</v>
      </c>
      <c r="C48688" s="2">
        <v>3.0204788465798102E-5</v>
      </c>
      <c r="D48688" s="2">
        <v>3.6137013486634501E-5</v>
      </c>
      <c r="E48688" s="2">
        <v>8.6021135392965999E-6</v>
      </c>
      <c r="F48688" s="2">
        <v>3.0097933742309899E-5</v>
      </c>
    </row>
    <row r="48689" spans="1:6" x14ac:dyDescent="0.25">
      <c r="A48689" s="1" t="str">
        <f t="shared" si="1564"/>
        <v>99999</v>
      </c>
      <c r="B48689" s="1" t="str">
        <f>"66080"</f>
        <v>66080</v>
      </c>
      <c r="C48689" s="2">
        <v>6.7121752146218001E-6</v>
      </c>
      <c r="D48689" s="2">
        <v>0</v>
      </c>
      <c r="E48689" s="2">
        <v>0</v>
      </c>
      <c r="F48689" s="2">
        <v>6.1182684984367804E-6</v>
      </c>
    </row>
    <row r="48690" spans="1:6" x14ac:dyDescent="0.25">
      <c r="A48690" s="1" t="str">
        <f t="shared" si="1564"/>
        <v>99999</v>
      </c>
      <c r="B48690" s="1" t="str">
        <f>"68038"</f>
        <v>68038</v>
      </c>
      <c r="C48690" s="2">
        <v>7.7731319420942799E-5</v>
      </c>
      <c r="D48690" s="2">
        <v>3.7642722381910999E-5</v>
      </c>
      <c r="E48690" s="2">
        <v>3.01073973875381E-5</v>
      </c>
      <c r="F48690" s="2">
        <v>7.4011312481090096E-5</v>
      </c>
    </row>
    <row r="48691" spans="1:6" x14ac:dyDescent="0.25">
      <c r="A48691" s="1" t="str">
        <f t="shared" si="1564"/>
        <v>99999</v>
      </c>
      <c r="B48691" s="1" t="str">
        <f>"67835"</f>
        <v>67835</v>
      </c>
      <c r="C48691" s="2">
        <v>5.1856966577481302E-5</v>
      </c>
      <c r="D48691" s="2">
        <v>6.4745482496886904E-5</v>
      </c>
      <c r="E48691" s="2">
        <v>6.0214794775076199E-5</v>
      </c>
      <c r="F48691" s="2">
        <v>5.2893417986485698E-5</v>
      </c>
    </row>
    <row r="48692" spans="1:6" x14ac:dyDescent="0.25">
      <c r="A48692" s="1" t="str">
        <f t="shared" si="1564"/>
        <v>99999</v>
      </c>
      <c r="B48692" s="1" t="str">
        <f>"67878"</f>
        <v>67878</v>
      </c>
      <c r="C48692" s="2">
        <v>8.9748278272926995E-5</v>
      </c>
      <c r="D48692" s="2">
        <v>1.12928167145733E-4</v>
      </c>
      <c r="E48692" s="2">
        <v>1.41934873398393E-4</v>
      </c>
      <c r="F48692" s="2">
        <v>9.2464799726375198E-5</v>
      </c>
    </row>
    <row r="48693" spans="1:6" x14ac:dyDescent="0.25">
      <c r="A48693" s="1" t="str">
        <f t="shared" si="1564"/>
        <v>99999</v>
      </c>
      <c r="B48693" s="1" t="str">
        <f>"67841"</f>
        <v>67841</v>
      </c>
      <c r="C48693" s="2">
        <v>1.24500024142178E-5</v>
      </c>
      <c r="D48693" s="2">
        <v>1.20456711622115E-5</v>
      </c>
      <c r="E48693" s="2">
        <v>4.3010567696482999E-6</v>
      </c>
      <c r="F48693" s="2">
        <v>1.22365369968735E-5</v>
      </c>
    </row>
    <row r="48694" spans="1:6" x14ac:dyDescent="0.25">
      <c r="A48694" s="1" t="str">
        <f t="shared" si="1564"/>
        <v>99999</v>
      </c>
      <c r="B48694" s="1" t="str">
        <f>"67849"</f>
        <v>67849</v>
      </c>
      <c r="C48694" s="2">
        <v>2.2626526126708901E-5</v>
      </c>
      <c r="D48694" s="2">
        <v>4.2159849067740298E-5</v>
      </c>
      <c r="E48694" s="2">
        <v>1.72042270785932E-5</v>
      </c>
      <c r="F48694" s="2">
        <v>2.37823017439236E-5</v>
      </c>
    </row>
    <row r="48695" spans="1:6" x14ac:dyDescent="0.25">
      <c r="A48695" s="1" t="str">
        <f t="shared" si="1564"/>
        <v>99999</v>
      </c>
      <c r="B48695" s="1" t="str">
        <f>"67122"</f>
        <v>67122</v>
      </c>
      <c r="C48695" s="2">
        <v>1.23417415236594E-5</v>
      </c>
      <c r="D48695" s="2">
        <v>3.01141779055288E-6</v>
      </c>
      <c r="E48695" s="2">
        <v>4.3010567696482999E-6</v>
      </c>
      <c r="F48695" s="2">
        <v>1.154576474705E-5</v>
      </c>
    </row>
    <row r="48696" spans="1:6" x14ac:dyDescent="0.25">
      <c r="A48696" s="1" t="str">
        <f t="shared" si="1564"/>
        <v>99999</v>
      </c>
      <c r="B48696" s="1" t="str">
        <f>"67138"</f>
        <v>67138</v>
      </c>
      <c r="C48696" s="2">
        <v>2.3600874141734699E-5</v>
      </c>
      <c r="D48696" s="2">
        <v>4.5171266858293203E-6</v>
      </c>
      <c r="E48696" s="2">
        <v>4.3010567696482999E-6</v>
      </c>
      <c r="F48696" s="2">
        <v>2.1907348494402598E-5</v>
      </c>
    </row>
    <row r="48697" spans="1:6" x14ac:dyDescent="0.25">
      <c r="A48697" s="1" t="str">
        <f t="shared" si="1564"/>
        <v>99999</v>
      </c>
      <c r="B48697" s="1" t="str">
        <f>"67112"</f>
        <v>67112</v>
      </c>
      <c r="C48697" s="2">
        <v>1.6563916255437601E-5</v>
      </c>
      <c r="D48697" s="2">
        <v>1.9574215638593701E-5</v>
      </c>
      <c r="E48697" s="2">
        <v>8.6021135392965999E-6</v>
      </c>
      <c r="F48697" s="2">
        <v>1.65785339957641E-5</v>
      </c>
    </row>
    <row r="48698" spans="1:6" x14ac:dyDescent="0.25">
      <c r="A48698" s="1" t="str">
        <f t="shared" si="1564"/>
        <v>99999</v>
      </c>
      <c r="B48698" s="1" t="str">
        <f>"67563"</f>
        <v>67563</v>
      </c>
      <c r="C48698" s="2">
        <v>1.5697829130970301E-5</v>
      </c>
      <c r="D48698" s="2">
        <v>2.25856334291466E-5</v>
      </c>
      <c r="E48698" s="2">
        <v>0</v>
      </c>
      <c r="F48698" s="2">
        <v>1.5789079995965799E-5</v>
      </c>
    </row>
    <row r="48699" spans="1:6" x14ac:dyDescent="0.25">
      <c r="A48699" s="1" t="str">
        <f t="shared" si="1564"/>
        <v>99999</v>
      </c>
      <c r="B48699" s="1" t="str">
        <f>"67550"</f>
        <v>67550</v>
      </c>
      <c r="C48699" s="2">
        <v>3.1103353857432902E-4</v>
      </c>
      <c r="D48699" s="2">
        <v>4.0503569282936201E-4</v>
      </c>
      <c r="E48699" s="2">
        <v>4.3010567696483002E-4</v>
      </c>
      <c r="F48699" s="2">
        <v>3.1992623341825797E-4</v>
      </c>
    </row>
    <row r="48700" spans="1:6" x14ac:dyDescent="0.25">
      <c r="A48700" s="1" t="str">
        <f t="shared" si="1564"/>
        <v>99999</v>
      </c>
      <c r="B48700" s="1" t="str">
        <f>"67732"</f>
        <v>67732</v>
      </c>
      <c r="C48700" s="2">
        <v>2.8147831545188199E-5</v>
      </c>
      <c r="D48700" s="2">
        <v>0</v>
      </c>
      <c r="E48700" s="2">
        <v>4.3010567696482999E-6</v>
      </c>
      <c r="F48700" s="2">
        <v>2.57559367434193E-5</v>
      </c>
    </row>
    <row r="48701" spans="1:6" x14ac:dyDescent="0.25">
      <c r="A48701" s="1" t="str">
        <f t="shared" si="1564"/>
        <v>99999</v>
      </c>
      <c r="B48701" s="1" t="str">
        <f>"67748"</f>
        <v>67748</v>
      </c>
      <c r="C48701" s="2">
        <v>1.4290437553710899E-4</v>
      </c>
      <c r="D48701" s="2">
        <v>2.95118943474182E-4</v>
      </c>
      <c r="E48701" s="2">
        <v>1.67741214016283E-4</v>
      </c>
      <c r="F48701" s="2">
        <v>1.5345012121079299E-4</v>
      </c>
    </row>
    <row r="48702" spans="1:6" x14ac:dyDescent="0.25">
      <c r="A48702" s="1" t="str">
        <f t="shared" si="1564"/>
        <v>99999</v>
      </c>
      <c r="B48702" s="1" t="str">
        <f>"67749"</f>
        <v>67749</v>
      </c>
      <c r="C48702" s="2">
        <v>1.45719158691628E-4</v>
      </c>
      <c r="D48702" s="2">
        <v>3.1318745021749901E-4</v>
      </c>
      <c r="E48702" s="2">
        <v>3.2688031449327001E-4</v>
      </c>
      <c r="F48702" s="2">
        <v>1.60851252458902E-4</v>
      </c>
    </row>
    <row r="48703" spans="1:6" x14ac:dyDescent="0.25">
      <c r="A48703" s="1" t="str">
        <f t="shared" si="1564"/>
        <v>99999</v>
      </c>
      <c r="B48703" s="1" t="str">
        <f>"67753"</f>
        <v>67753</v>
      </c>
      <c r="C48703" s="2">
        <v>2.7173483530162401E-5</v>
      </c>
      <c r="D48703" s="2">
        <v>1.65627978480408E-5</v>
      </c>
      <c r="E48703" s="2">
        <v>4.3010567696482999E-6</v>
      </c>
      <c r="F48703" s="2">
        <v>2.5953300243368901E-5</v>
      </c>
    </row>
    <row r="48704" spans="1:6" x14ac:dyDescent="0.25">
      <c r="A48704" s="1" t="str">
        <f t="shared" si="1564"/>
        <v>99999</v>
      </c>
      <c r="B48704" s="1" t="str">
        <f>"67451"</f>
        <v>67451</v>
      </c>
      <c r="C48704" s="2">
        <v>5.2614792811390202E-5</v>
      </c>
      <c r="D48704" s="2">
        <v>1.65627978480408E-5</v>
      </c>
      <c r="E48704" s="2">
        <v>1.29031703089449E-5</v>
      </c>
      <c r="F48704" s="2">
        <v>4.9340874987393397E-5</v>
      </c>
    </row>
    <row r="48705" spans="1:6" x14ac:dyDescent="0.25">
      <c r="A48705" s="1" t="str">
        <f t="shared" si="1564"/>
        <v>99999</v>
      </c>
      <c r="B48705" s="1" t="str">
        <f>"67647"</f>
        <v>67647</v>
      </c>
      <c r="C48705" s="2">
        <v>1.51565246781782E-5</v>
      </c>
      <c r="D48705" s="2">
        <v>4.5171266858293203E-6</v>
      </c>
      <c r="E48705" s="2">
        <v>0</v>
      </c>
      <c r="F48705" s="2">
        <v>1.41114902463945E-5</v>
      </c>
    </row>
    <row r="48706" spans="1:6" x14ac:dyDescent="0.25">
      <c r="A48706" s="1" t="str">
        <f t="shared" si="1564"/>
        <v>99999</v>
      </c>
      <c r="B48706" s="1" t="str">
        <f>"67361"</f>
        <v>67361</v>
      </c>
      <c r="C48706" s="2">
        <v>1.2374219790826899E-4</v>
      </c>
      <c r="D48706" s="2">
        <v>2.2585633429146601E-4</v>
      </c>
      <c r="E48706" s="2">
        <v>8.6021135392965999E-5</v>
      </c>
      <c r="F48706" s="2">
        <v>1.29569137716895E-4</v>
      </c>
    </row>
    <row r="48707" spans="1:6" x14ac:dyDescent="0.25">
      <c r="A48707" s="1" t="str">
        <f t="shared" si="1564"/>
        <v>99999</v>
      </c>
      <c r="B48707" s="1" t="str">
        <f>"67736"</f>
        <v>67736</v>
      </c>
      <c r="C48707" s="2">
        <v>1.49400028970614E-5</v>
      </c>
      <c r="D48707" s="2">
        <v>6.1734064706334002E-5</v>
      </c>
      <c r="E48707" s="2">
        <v>3.01073973875381E-5</v>
      </c>
      <c r="F48707" s="2">
        <v>1.8354805495310301E-5</v>
      </c>
    </row>
    <row r="48708" spans="1:6" x14ac:dyDescent="0.25">
      <c r="A48708" s="1" t="str">
        <f t="shared" si="1564"/>
        <v>99999</v>
      </c>
      <c r="B48708" s="1" t="str">
        <f>"67743"</f>
        <v>67743</v>
      </c>
      <c r="C48708" s="2">
        <v>1.0176523712491101E-5</v>
      </c>
      <c r="D48708" s="2">
        <v>1.50570889527644E-5</v>
      </c>
      <c r="E48708" s="2">
        <v>4.3010567696482999E-6</v>
      </c>
      <c r="F48708" s="2">
        <v>1.03615837473526E-5</v>
      </c>
    </row>
    <row r="48709" spans="1:6" x14ac:dyDescent="0.25">
      <c r="A48709" s="1" t="str">
        <f t="shared" si="1564"/>
        <v>99999</v>
      </c>
      <c r="B48709" s="1" t="str">
        <f>"67454"</f>
        <v>67454</v>
      </c>
      <c r="C48709" s="2">
        <v>3.6592181008744599E-5</v>
      </c>
      <c r="D48709" s="2">
        <v>2.25856334291466E-5</v>
      </c>
      <c r="E48709" s="2">
        <v>4.3010567696482999E-6</v>
      </c>
      <c r="F48709" s="2">
        <v>3.49333394910745E-5</v>
      </c>
    </row>
    <row r="48710" spans="1:6" x14ac:dyDescent="0.25">
      <c r="A48710" s="1" t="str">
        <f t="shared" ref="A48710:A48773" si="1565">"99999"</f>
        <v>99999</v>
      </c>
      <c r="B48710" s="1" t="str">
        <f>"67336"</f>
        <v>67336</v>
      </c>
      <c r="C48710" s="2">
        <v>9.8517410408158696E-6</v>
      </c>
      <c r="D48710" s="2">
        <v>6.0228355811057601E-6</v>
      </c>
      <c r="E48710" s="2">
        <v>4.3010567696482999E-6</v>
      </c>
      <c r="F48710" s="2">
        <v>9.4734479975795299E-6</v>
      </c>
    </row>
    <row r="48711" spans="1:6" x14ac:dyDescent="0.25">
      <c r="A48711" s="1" t="str">
        <f t="shared" si="1565"/>
        <v>99999</v>
      </c>
      <c r="B48711" s="1" t="str">
        <f>"66962"</f>
        <v>66962</v>
      </c>
      <c r="C48711" s="2">
        <v>1.78630469421386E-5</v>
      </c>
      <c r="D48711" s="2">
        <v>1.50570889527644E-5</v>
      </c>
      <c r="E48711" s="2">
        <v>0</v>
      </c>
      <c r="F48711" s="2">
        <v>1.7269306245587602E-5</v>
      </c>
    </row>
    <row r="48712" spans="1:6" x14ac:dyDescent="0.25">
      <c r="A48712" s="1" t="str">
        <f t="shared" si="1565"/>
        <v>99999</v>
      </c>
      <c r="B48712" s="1" t="str">
        <f>"67025"</f>
        <v>67025</v>
      </c>
      <c r="C48712" s="2">
        <v>2.8797396888538699E-5</v>
      </c>
      <c r="D48712" s="2">
        <v>7.5285444763821999E-6</v>
      </c>
      <c r="E48712" s="2">
        <v>9.8924305701910905E-5</v>
      </c>
      <c r="F48712" s="2">
        <v>2.9012434492587301E-5</v>
      </c>
    </row>
    <row r="48713" spans="1:6" x14ac:dyDescent="0.25">
      <c r="A48713" s="1" t="str">
        <f t="shared" si="1565"/>
        <v>99999</v>
      </c>
      <c r="B48713" s="1" t="str">
        <f>"67029"</f>
        <v>67029</v>
      </c>
      <c r="C48713" s="2">
        <v>6.6796969474542693E-5</v>
      </c>
      <c r="D48713" s="2">
        <v>2.1079924533870101E-5</v>
      </c>
      <c r="E48713" s="2">
        <v>3.8709510926834699E-5</v>
      </c>
      <c r="F48713" s="2">
        <v>6.3156319983863506E-5</v>
      </c>
    </row>
    <row r="48714" spans="1:6" x14ac:dyDescent="0.25">
      <c r="A48714" s="1" t="str">
        <f t="shared" si="1565"/>
        <v>99999</v>
      </c>
      <c r="B48714" s="1" t="str">
        <f>"67035"</f>
        <v>67035</v>
      </c>
      <c r="C48714" s="2">
        <v>5.0233053219105099E-5</v>
      </c>
      <c r="D48714" s="2">
        <v>3.9148431277187403E-5</v>
      </c>
      <c r="E48714" s="2">
        <v>4.3010567696482999E-6</v>
      </c>
      <c r="F48714" s="2">
        <v>4.8452739237620299E-5</v>
      </c>
    </row>
    <row r="48715" spans="1:6" x14ac:dyDescent="0.25">
      <c r="A48715" s="1" t="str">
        <f t="shared" si="1565"/>
        <v>99999</v>
      </c>
      <c r="B48715" s="1" t="str">
        <f>"66852"</f>
        <v>66852</v>
      </c>
      <c r="C48715" s="2">
        <v>3.7999572586004001E-5</v>
      </c>
      <c r="D48715" s="2">
        <v>6.0228355811057601E-6</v>
      </c>
      <c r="E48715" s="2">
        <v>5.1612681235779599E-5</v>
      </c>
      <c r="F48715" s="2">
        <v>3.6216202240746699E-5</v>
      </c>
    </row>
    <row r="48716" spans="1:6" x14ac:dyDescent="0.25">
      <c r="A48716" s="1" t="str">
        <f t="shared" si="1565"/>
        <v>99999</v>
      </c>
      <c r="B48716" s="1" t="str">
        <f>"66939"</f>
        <v>66939</v>
      </c>
      <c r="C48716" s="2">
        <v>3.3669136963667403E-5</v>
      </c>
      <c r="D48716" s="2">
        <v>5.2699811334675399E-5</v>
      </c>
      <c r="E48716" s="2">
        <v>4.3010567696482999E-6</v>
      </c>
      <c r="F48716" s="2">
        <v>3.4242567241251002E-5</v>
      </c>
    </row>
    <row r="48717" spans="1:6" x14ac:dyDescent="0.25">
      <c r="A48717" s="1" t="str">
        <f t="shared" si="1565"/>
        <v>99999</v>
      </c>
      <c r="B48717" s="1" t="str">
        <f>"67028"</f>
        <v>67028</v>
      </c>
      <c r="C48717" s="2">
        <v>1.6672177145996001E-5</v>
      </c>
      <c r="D48717" s="2">
        <v>3.01141779055288E-6</v>
      </c>
      <c r="E48717" s="2">
        <v>4.3010567696482999E-6</v>
      </c>
      <c r="F48717" s="2">
        <v>1.5493034746041499E-5</v>
      </c>
    </row>
    <row r="48718" spans="1:6" x14ac:dyDescent="0.25">
      <c r="A48718" s="1" t="str">
        <f t="shared" si="1565"/>
        <v>99999</v>
      </c>
      <c r="B48718" s="1" t="str">
        <f>"65787"</f>
        <v>65787</v>
      </c>
      <c r="C48718" s="2">
        <v>1.88049166899968E-4</v>
      </c>
      <c r="D48718" s="2">
        <v>2.55970512196994E-5</v>
      </c>
      <c r="E48718" s="2">
        <v>4.3010567696482999E-6</v>
      </c>
      <c r="F48718" s="2">
        <v>1.7318647120574999E-4</v>
      </c>
    </row>
    <row r="48719" spans="1:6" x14ac:dyDescent="0.25">
      <c r="A48719" s="1" t="str">
        <f t="shared" si="1565"/>
        <v>99999</v>
      </c>
      <c r="B48719" s="1" t="str">
        <f>"65760"</f>
        <v>65760</v>
      </c>
      <c r="C48719" s="2">
        <v>3.9515225053821902E-5</v>
      </c>
      <c r="D48719" s="2">
        <v>6.0228355811057601E-6</v>
      </c>
      <c r="E48719" s="2">
        <v>1.29031703089449E-5</v>
      </c>
      <c r="F48719" s="2">
        <v>3.6709610990620603E-5</v>
      </c>
    </row>
    <row r="48720" spans="1:6" x14ac:dyDescent="0.25">
      <c r="A48720" s="1" t="str">
        <f t="shared" si="1565"/>
        <v>99999</v>
      </c>
      <c r="B48720" s="1" t="str">
        <f>"65778"</f>
        <v>65778</v>
      </c>
      <c r="C48720" s="2">
        <v>5.7703054667635801E-5</v>
      </c>
      <c r="D48720" s="2">
        <v>1.80685067433172E-5</v>
      </c>
      <c r="E48720" s="2">
        <v>4.3010567696482999E-6</v>
      </c>
      <c r="F48720" s="2">
        <v>5.3880235486233499E-5</v>
      </c>
    </row>
    <row r="48721" spans="1:6" x14ac:dyDescent="0.25">
      <c r="A48721" s="1" t="str">
        <f t="shared" si="1565"/>
        <v>99999</v>
      </c>
      <c r="B48721" s="1" t="str">
        <f>"65773"</f>
        <v>65773</v>
      </c>
      <c r="C48721" s="2">
        <v>3.7241746352095101E-5</v>
      </c>
      <c r="D48721" s="2">
        <v>6.0228355811057601E-6</v>
      </c>
      <c r="E48721" s="2">
        <v>4.3010567696482999E-6</v>
      </c>
      <c r="F48721" s="2">
        <v>3.4439930741200501E-5</v>
      </c>
    </row>
    <row r="48722" spans="1:6" x14ac:dyDescent="0.25">
      <c r="A48722" s="1" t="str">
        <f t="shared" si="1565"/>
        <v>99999</v>
      </c>
      <c r="B48722" s="1" t="str">
        <f>"65686"</f>
        <v>65686</v>
      </c>
      <c r="C48722" s="2">
        <v>4.3553356271650799E-4</v>
      </c>
      <c r="D48722" s="2">
        <v>4.2611561736323201E-4</v>
      </c>
      <c r="E48722" s="2">
        <v>4.1720250665588498E-4</v>
      </c>
      <c r="F48722" s="2">
        <v>4.3449574513898602E-4</v>
      </c>
    </row>
    <row r="48723" spans="1:6" x14ac:dyDescent="0.25">
      <c r="A48723" s="1" t="str">
        <f t="shared" si="1565"/>
        <v>99999</v>
      </c>
      <c r="B48723" s="1" t="str">
        <f>"65606"</f>
        <v>65606</v>
      </c>
      <c r="C48723" s="2">
        <v>3.6137485268399299E-4</v>
      </c>
      <c r="D48723" s="2">
        <v>1.65627978480408E-4</v>
      </c>
      <c r="E48723" s="2">
        <v>3.01073973875381E-5</v>
      </c>
      <c r="F48723" s="2">
        <v>3.4094544616288799E-4</v>
      </c>
    </row>
    <row r="48724" spans="1:6" x14ac:dyDescent="0.25">
      <c r="A48724" s="1" t="str">
        <f t="shared" si="1565"/>
        <v>99999</v>
      </c>
      <c r="B48724" s="1" t="str">
        <f>"65624"</f>
        <v>65624</v>
      </c>
      <c r="C48724" s="2">
        <v>1.06853498981156E-4</v>
      </c>
      <c r="D48724" s="2">
        <v>2.25856334291466E-5</v>
      </c>
      <c r="E48724" s="2">
        <v>8.6021135392965999E-6</v>
      </c>
      <c r="F48724" s="2">
        <v>9.9076476974685902E-5</v>
      </c>
    </row>
    <row r="48725" spans="1:6" x14ac:dyDescent="0.25">
      <c r="A48725" s="1" t="str">
        <f t="shared" si="1565"/>
        <v>99999</v>
      </c>
      <c r="B48725" s="1" t="str">
        <f>"65723"</f>
        <v>65723</v>
      </c>
      <c r="C48725" s="2">
        <v>1.4896698540838E-4</v>
      </c>
      <c r="D48725" s="2">
        <v>1.0088249598352101E-4</v>
      </c>
      <c r="E48725" s="2">
        <v>1.16128532780504E-4</v>
      </c>
      <c r="F48725" s="2">
        <v>1.45062172462936E-4</v>
      </c>
    </row>
    <row r="48726" spans="1:6" x14ac:dyDescent="0.25">
      <c r="A48726" s="1" t="str">
        <f t="shared" si="1565"/>
        <v>99999</v>
      </c>
      <c r="B48726" s="1" t="str">
        <f>"65745"</f>
        <v>65745</v>
      </c>
      <c r="C48726" s="2">
        <v>1.4095567950705699E-4</v>
      </c>
      <c r="D48726" s="2">
        <v>3.6137013486634501E-5</v>
      </c>
      <c r="E48726" s="2">
        <v>2.15052838482415E-5</v>
      </c>
      <c r="F48726" s="2">
        <v>1.31345409216441E-4</v>
      </c>
    </row>
    <row r="48727" spans="1:6" x14ac:dyDescent="0.25">
      <c r="A48727" s="1" t="str">
        <f t="shared" si="1565"/>
        <v>99999</v>
      </c>
      <c r="B48727" s="1" t="str">
        <f>"65692"</f>
        <v>65692</v>
      </c>
      <c r="C48727" s="2">
        <v>4.7418270064586199E-5</v>
      </c>
      <c r="D48727" s="2">
        <v>1.50570889527644E-5</v>
      </c>
      <c r="E48727" s="2">
        <v>0</v>
      </c>
      <c r="F48727" s="2">
        <v>4.4209423988704398E-5</v>
      </c>
    </row>
    <row r="48728" spans="1:6" x14ac:dyDescent="0.25">
      <c r="A48728" s="1" t="str">
        <f t="shared" si="1565"/>
        <v>99999</v>
      </c>
      <c r="B48728" s="1" t="str">
        <f>"68928"</f>
        <v>68928</v>
      </c>
      <c r="C48728" s="2">
        <v>1.6672177145996001E-5</v>
      </c>
      <c r="D48728" s="2">
        <v>4.5171266858293203E-6</v>
      </c>
      <c r="E48728" s="2">
        <v>4.3010567696482999E-6</v>
      </c>
      <c r="F48728" s="2">
        <v>1.5591716496016299E-5</v>
      </c>
    </row>
    <row r="48729" spans="1:6" x14ac:dyDescent="0.25">
      <c r="A48729" s="1" t="str">
        <f t="shared" si="1565"/>
        <v>99999</v>
      </c>
      <c r="B48729" s="1" t="str">
        <f>"58650"</f>
        <v>58650</v>
      </c>
      <c r="C48729" s="2">
        <v>3.0204788465798102E-5</v>
      </c>
      <c r="D48729" s="2">
        <v>1.50570889527644E-6</v>
      </c>
      <c r="E48729" s="2">
        <v>2.15052838482415E-5</v>
      </c>
      <c r="F48729" s="2">
        <v>2.8124298742814199E-5</v>
      </c>
    </row>
    <row r="48730" spans="1:6" x14ac:dyDescent="0.25">
      <c r="A48730" s="1" t="str">
        <f t="shared" si="1565"/>
        <v>99999</v>
      </c>
      <c r="B48730" s="1" t="str">
        <f>"58575"</f>
        <v>58575</v>
      </c>
      <c r="C48730" s="2">
        <v>4.2221747317782297E-5</v>
      </c>
      <c r="D48730" s="2">
        <v>1.65627978480408E-5</v>
      </c>
      <c r="E48730" s="2">
        <v>6.8816908314372799E-5</v>
      </c>
      <c r="F48730" s="2">
        <v>4.1150289739486097E-5</v>
      </c>
    </row>
    <row r="48731" spans="1:6" x14ac:dyDescent="0.25">
      <c r="A48731" s="1" t="str">
        <f t="shared" si="1565"/>
        <v>99999</v>
      </c>
      <c r="B48731" s="1" t="str">
        <f>"58711"</f>
        <v>58711</v>
      </c>
      <c r="C48731" s="2">
        <v>1.16921761803089E-5</v>
      </c>
      <c r="D48731" s="2">
        <v>6.0228355811057601E-6</v>
      </c>
      <c r="E48731" s="2">
        <v>4.3010567696482999E-6</v>
      </c>
      <c r="F48731" s="2">
        <v>1.11510377471509E-5</v>
      </c>
    </row>
    <row r="48732" spans="1:6" x14ac:dyDescent="0.25">
      <c r="A48732" s="1" t="str">
        <f t="shared" si="1565"/>
        <v>99999</v>
      </c>
      <c r="B48732" s="1" t="str">
        <f>"58625"</f>
        <v>58625</v>
      </c>
      <c r="C48732" s="2">
        <v>7.1452187768554602E-6</v>
      </c>
      <c r="D48732" s="2">
        <v>6.0228355811057601E-6</v>
      </c>
      <c r="E48732" s="2">
        <v>8.6021135392965999E-6</v>
      </c>
      <c r="F48732" s="2">
        <v>7.10508599818465E-6</v>
      </c>
    </row>
    <row r="48733" spans="1:6" x14ac:dyDescent="0.25">
      <c r="A48733" s="1" t="str">
        <f t="shared" si="1565"/>
        <v>99999</v>
      </c>
      <c r="B48733" s="1" t="str">
        <f>"59016"</f>
        <v>59016</v>
      </c>
      <c r="C48733" s="2">
        <v>1.6563916255437601E-5</v>
      </c>
      <c r="D48733" s="2">
        <v>0</v>
      </c>
      <c r="E48733" s="2">
        <v>4.3010567696482999E-6</v>
      </c>
      <c r="F48733" s="2">
        <v>1.5196989496117099E-5</v>
      </c>
    </row>
    <row r="48734" spans="1:6" x14ac:dyDescent="0.25">
      <c r="A48734" s="1" t="str">
        <f t="shared" si="1565"/>
        <v>99999</v>
      </c>
      <c r="B48734" s="1" t="str">
        <f>"59058"</f>
        <v>59058</v>
      </c>
      <c r="C48734" s="2">
        <v>6.0626098712712997E-6</v>
      </c>
      <c r="D48734" s="2">
        <v>1.50570889527644E-6</v>
      </c>
      <c r="E48734" s="2">
        <v>4.3010567696482999E-6</v>
      </c>
      <c r="F48734" s="2">
        <v>5.7235414985376303E-6</v>
      </c>
    </row>
    <row r="48735" spans="1:6" x14ac:dyDescent="0.25">
      <c r="A48735" s="1" t="str">
        <f t="shared" si="1565"/>
        <v>99999</v>
      </c>
      <c r="B48735" s="1" t="str">
        <f>"59315"</f>
        <v>59315</v>
      </c>
      <c r="C48735" s="2">
        <v>7.7947841202059606E-6</v>
      </c>
      <c r="D48735" s="2">
        <v>7.5285444763821999E-6</v>
      </c>
      <c r="E48735" s="2">
        <v>4.3010567696482999E-6</v>
      </c>
      <c r="F48735" s="2">
        <v>7.6971764980333696E-6</v>
      </c>
    </row>
    <row r="48736" spans="1:6" x14ac:dyDescent="0.25">
      <c r="A48736" s="1" t="str">
        <f t="shared" si="1565"/>
        <v>99999</v>
      </c>
      <c r="B48736" s="1" t="str">
        <f>"59201"</f>
        <v>59201</v>
      </c>
      <c r="C48736" s="2">
        <v>2.1706308556962401E-4</v>
      </c>
      <c r="D48736" s="2">
        <v>3.5083017259941003E-4</v>
      </c>
      <c r="E48736" s="2">
        <v>3.5698771188080898E-4</v>
      </c>
      <c r="F48736" s="2">
        <v>2.2904034169148E-4</v>
      </c>
    </row>
    <row r="48737" spans="1:6" x14ac:dyDescent="0.25">
      <c r="A48737" s="1" t="str">
        <f t="shared" si="1565"/>
        <v>99999</v>
      </c>
      <c r="B48737" s="1" t="str">
        <f>"59248"</f>
        <v>59248</v>
      </c>
      <c r="C48737" s="2">
        <v>4.3520878004483202E-5</v>
      </c>
      <c r="D48737" s="2">
        <v>1.35513800574879E-5</v>
      </c>
      <c r="E48737" s="2">
        <v>1.29031703089449E-5</v>
      </c>
      <c r="F48737" s="2">
        <v>4.0854244489561699E-5</v>
      </c>
    </row>
    <row r="48738" spans="1:6" x14ac:dyDescent="0.25">
      <c r="A48738" s="1" t="str">
        <f t="shared" si="1565"/>
        <v>99999</v>
      </c>
      <c r="B48738" s="1" t="str">
        <f>"59540"</f>
        <v>59540</v>
      </c>
      <c r="C48738" s="2">
        <v>1.6455655364879201E-5</v>
      </c>
      <c r="D48738" s="2">
        <v>4.5171266858293203E-6</v>
      </c>
      <c r="E48738" s="2">
        <v>4.3010567696482999E-6</v>
      </c>
      <c r="F48738" s="2">
        <v>1.5394352996066698E-5</v>
      </c>
    </row>
    <row r="48739" spans="1:6" x14ac:dyDescent="0.25">
      <c r="A48739" s="1" t="str">
        <f t="shared" si="1565"/>
        <v>99999</v>
      </c>
      <c r="B48739" s="1" t="str">
        <f>"59230"</f>
        <v>59230</v>
      </c>
      <c r="C48739" s="2">
        <v>2.8645831641756903E-4</v>
      </c>
      <c r="D48739" s="2">
        <v>7.1370601636103204E-4</v>
      </c>
      <c r="E48739" s="2">
        <v>6.2795428836865199E-4</v>
      </c>
      <c r="F48739" s="2">
        <v>3.22294595417653E-4</v>
      </c>
    </row>
    <row r="48740" spans="1:6" x14ac:dyDescent="0.25">
      <c r="A48740" s="1" t="str">
        <f t="shared" si="1565"/>
        <v>99999</v>
      </c>
      <c r="B48740" s="1" t="str">
        <f>"59484"</f>
        <v>59484</v>
      </c>
      <c r="C48740" s="2">
        <v>1.1150871727516799E-5</v>
      </c>
      <c r="D48740" s="2">
        <v>1.50570889527644E-5</v>
      </c>
      <c r="E48740" s="2">
        <v>8.6021135392965999E-6</v>
      </c>
      <c r="F48740" s="2">
        <v>1.1348401247100399E-5</v>
      </c>
    </row>
    <row r="48741" spans="1:6" x14ac:dyDescent="0.25">
      <c r="A48741" s="1" t="str">
        <f t="shared" si="1565"/>
        <v>99999</v>
      </c>
      <c r="B48741" s="1" t="str">
        <f>"59526"</f>
        <v>59526</v>
      </c>
      <c r="C48741" s="2">
        <v>1.09235238573441E-4</v>
      </c>
      <c r="D48741" s="2">
        <v>5.5711229125228301E-5</v>
      </c>
      <c r="E48741" s="2">
        <v>8.6021135392965999E-5</v>
      </c>
      <c r="F48741" s="2">
        <v>1.05194745473122E-4</v>
      </c>
    </row>
    <row r="48742" spans="1:6" x14ac:dyDescent="0.25">
      <c r="A48742" s="1" t="str">
        <f t="shared" si="1565"/>
        <v>99999</v>
      </c>
      <c r="B48742" s="1" t="str">
        <f>"59351"</f>
        <v>59351</v>
      </c>
      <c r="C48742" s="2">
        <v>1.1259132618075199E-5</v>
      </c>
      <c r="D48742" s="2">
        <v>0</v>
      </c>
      <c r="E48742" s="2">
        <v>4.3010567696482999E-6</v>
      </c>
      <c r="F48742" s="2">
        <v>1.03615837473526E-5</v>
      </c>
    </row>
    <row r="48743" spans="1:6" x14ac:dyDescent="0.25">
      <c r="A48743" s="1" t="str">
        <f t="shared" si="1565"/>
        <v>99999</v>
      </c>
      <c r="B48743" s="1" t="str">
        <f>"59255"</f>
        <v>59255</v>
      </c>
      <c r="C48743" s="2">
        <v>9.96000193137428E-6</v>
      </c>
      <c r="D48743" s="2">
        <v>7.5285444763821999E-6</v>
      </c>
      <c r="E48743" s="2">
        <v>1.29031703089449E-5</v>
      </c>
      <c r="F48743" s="2">
        <v>9.8681749974786808E-6</v>
      </c>
    </row>
    <row r="48744" spans="1:6" x14ac:dyDescent="0.25">
      <c r="A48744" s="1" t="str">
        <f t="shared" si="1565"/>
        <v>99999</v>
      </c>
      <c r="B48744" s="1" t="str">
        <f>"58361"</f>
        <v>58361</v>
      </c>
      <c r="C48744" s="2">
        <v>8.8773930257901203E-6</v>
      </c>
      <c r="D48744" s="2">
        <v>3.01141779055288E-6</v>
      </c>
      <c r="E48744" s="2">
        <v>4.3010567696482999E-6</v>
      </c>
      <c r="F48744" s="2">
        <v>8.3879487478568692E-6</v>
      </c>
    </row>
    <row r="48745" spans="1:6" x14ac:dyDescent="0.25">
      <c r="A48745" s="1" t="str">
        <f t="shared" si="1565"/>
        <v>99999</v>
      </c>
      <c r="B48745" s="1" t="str">
        <f>"58474"</f>
        <v>58474</v>
      </c>
      <c r="C48745" s="2">
        <v>1.45502636910511E-4</v>
      </c>
      <c r="D48745" s="2">
        <v>2.7554472783558799E-4</v>
      </c>
      <c r="E48745" s="2">
        <v>4.0429933634693999E-4</v>
      </c>
      <c r="F48745" s="2">
        <v>1.5996311670912899E-4</v>
      </c>
    </row>
    <row r="48746" spans="1:6" x14ac:dyDescent="0.25">
      <c r="A48746" s="1" t="str">
        <f t="shared" si="1565"/>
        <v>99999</v>
      </c>
      <c r="B48746" s="1" t="str">
        <f>"58482"</f>
        <v>58482</v>
      </c>
      <c r="C48746" s="2">
        <v>4.8176096298495099E-5</v>
      </c>
      <c r="D48746" s="2">
        <v>2.4091342324423E-5</v>
      </c>
      <c r="E48746" s="2">
        <v>1.11827476010855E-4</v>
      </c>
      <c r="F48746" s="2">
        <v>4.8058012237721097E-5</v>
      </c>
    </row>
    <row r="48747" spans="1:6" x14ac:dyDescent="0.25">
      <c r="A48747" s="1" t="str">
        <f t="shared" si="1565"/>
        <v>99999</v>
      </c>
      <c r="B48747" s="1" t="str">
        <f>"58352"</f>
        <v>58352</v>
      </c>
      <c r="C48747" s="2">
        <v>1.3532611319802E-5</v>
      </c>
      <c r="D48747" s="2">
        <v>4.5171266858293203E-6</v>
      </c>
      <c r="E48747" s="2">
        <v>1.29031703089449E-5</v>
      </c>
      <c r="F48747" s="2">
        <v>1.2927309246696999E-5</v>
      </c>
    </row>
    <row r="48748" spans="1:6" x14ac:dyDescent="0.25">
      <c r="A48748" s="1" t="str">
        <f t="shared" si="1565"/>
        <v>99999</v>
      </c>
      <c r="B48748" s="1" t="str">
        <f>"58353"</f>
        <v>58353</v>
      </c>
      <c r="C48748" s="2">
        <v>9.6352192596990302E-6</v>
      </c>
      <c r="D48748" s="2">
        <v>0</v>
      </c>
      <c r="E48748" s="2">
        <v>0</v>
      </c>
      <c r="F48748" s="2">
        <v>8.7826757477560201E-6</v>
      </c>
    </row>
    <row r="48749" spans="1:6" x14ac:dyDescent="0.25">
      <c r="A48749" s="1" t="str">
        <f t="shared" si="1565"/>
        <v>99999</v>
      </c>
      <c r="B48749" s="1" t="str">
        <f>"58233"</f>
        <v>58233</v>
      </c>
      <c r="C48749" s="2">
        <v>1.0284784603049499E-5</v>
      </c>
      <c r="D48749" s="2">
        <v>4.5171266858293203E-6</v>
      </c>
      <c r="E48749" s="2">
        <v>4.3010567696482999E-6</v>
      </c>
      <c r="F48749" s="2">
        <v>9.7694932475038906E-6</v>
      </c>
    </row>
    <row r="48750" spans="1:6" x14ac:dyDescent="0.25">
      <c r="A48750" s="1" t="str">
        <f t="shared" si="1565"/>
        <v>99999</v>
      </c>
      <c r="B48750" s="1" t="str">
        <f>"60924"</f>
        <v>60924</v>
      </c>
      <c r="C48750" s="2">
        <v>8.0221319903786299E-5</v>
      </c>
      <c r="D48750" s="2">
        <v>3.7642722381910999E-5</v>
      </c>
      <c r="E48750" s="2">
        <v>1.11827476010855E-4</v>
      </c>
      <c r="F48750" s="2">
        <v>7.8155945980031097E-5</v>
      </c>
    </row>
    <row r="48751" spans="1:6" x14ac:dyDescent="0.25">
      <c r="A48751" s="1" t="str">
        <f t="shared" si="1565"/>
        <v>99999</v>
      </c>
      <c r="B48751" s="1" t="str">
        <f>"60953"</f>
        <v>60953</v>
      </c>
      <c r="C48751" s="2">
        <v>1.2536611126664501E-4</v>
      </c>
      <c r="D48751" s="2">
        <v>1.3852521836543201E-4</v>
      </c>
      <c r="E48751" s="2">
        <v>2.01719562496505E-3</v>
      </c>
      <c r="F48751" s="2">
        <v>1.69633928206658E-4</v>
      </c>
    </row>
    <row r="48752" spans="1:6" x14ac:dyDescent="0.25">
      <c r="A48752" s="1" t="str">
        <f t="shared" si="1565"/>
        <v>99999</v>
      </c>
      <c r="B48752" s="1" t="str">
        <f>"62413"</f>
        <v>62413</v>
      </c>
      <c r="C48752" s="2">
        <v>2.23017434550337E-5</v>
      </c>
      <c r="D48752" s="2">
        <v>4.5171266858293203E-6</v>
      </c>
      <c r="E48752" s="2">
        <v>4.3010567696482999E-6</v>
      </c>
      <c r="F48752" s="2">
        <v>2.07231674947052E-5</v>
      </c>
    </row>
    <row r="48753" spans="1:6" x14ac:dyDescent="0.25">
      <c r="A48753" s="1" t="str">
        <f t="shared" si="1565"/>
        <v>99999</v>
      </c>
      <c r="B48753" s="1" t="str">
        <f>"62288"</f>
        <v>62288</v>
      </c>
      <c r="C48753" s="2">
        <v>1.52214812125133E-4</v>
      </c>
      <c r="D48753" s="2">
        <v>1.7767364964261899E-4</v>
      </c>
      <c r="E48753" s="2">
        <v>2.0214966817347E-4</v>
      </c>
      <c r="F48753" s="2">
        <v>1.5502902921038999E-4</v>
      </c>
    </row>
    <row r="48754" spans="1:6" x14ac:dyDescent="0.25">
      <c r="A48754" s="1" t="str">
        <f t="shared" si="1565"/>
        <v>99999</v>
      </c>
      <c r="B48754" s="1" t="str">
        <f>"62370"</f>
        <v>62370</v>
      </c>
      <c r="C48754" s="2">
        <v>2.7390005311279201E-5</v>
      </c>
      <c r="D48754" s="2">
        <v>2.4091342324423E-5</v>
      </c>
      <c r="E48754" s="2">
        <v>4.3010567696482999E-6</v>
      </c>
      <c r="F48754" s="2">
        <v>2.6644072493192399E-5</v>
      </c>
    </row>
    <row r="48755" spans="1:6" x14ac:dyDescent="0.25">
      <c r="A48755" s="1" t="str">
        <f t="shared" si="1565"/>
        <v>99999</v>
      </c>
      <c r="B48755" s="1" t="str">
        <f>"62357"</f>
        <v>62357</v>
      </c>
      <c r="C48755" s="2">
        <v>9.96000193137428E-6</v>
      </c>
      <c r="D48755" s="2">
        <v>3.01141779055288E-6</v>
      </c>
      <c r="E48755" s="2">
        <v>8.6021135392965999E-6</v>
      </c>
      <c r="F48755" s="2">
        <v>9.4734479975795299E-6</v>
      </c>
    </row>
    <row r="48756" spans="1:6" x14ac:dyDescent="0.25">
      <c r="A48756" s="1" t="str">
        <f t="shared" si="1565"/>
        <v>99999</v>
      </c>
      <c r="B48756" s="1" t="str">
        <f>"61951"</f>
        <v>61951</v>
      </c>
      <c r="C48756" s="2">
        <v>3.8908964066694703E-4</v>
      </c>
      <c r="D48756" s="2">
        <v>5.1194102439398902E-4</v>
      </c>
      <c r="E48756" s="2">
        <v>5.33331039436389E-4</v>
      </c>
      <c r="F48756" s="2">
        <v>4.0045054139768401E-4</v>
      </c>
    </row>
    <row r="48757" spans="1:6" x14ac:dyDescent="0.25">
      <c r="A48757" s="1" t="str">
        <f t="shared" si="1565"/>
        <v>99999</v>
      </c>
      <c r="B48757" s="1" t="str">
        <f>"61953"</f>
        <v>61953</v>
      </c>
      <c r="C48757" s="2">
        <v>3.39506152791193E-4</v>
      </c>
      <c r="D48757" s="2">
        <v>6.3089202712082802E-4</v>
      </c>
      <c r="E48757" s="2">
        <v>6.1505111805970701E-4</v>
      </c>
      <c r="F48757" s="2">
        <v>3.6492511140676098E-4</v>
      </c>
    </row>
    <row r="48758" spans="1:6" x14ac:dyDescent="0.25">
      <c r="A48758" s="1" t="str">
        <f t="shared" si="1565"/>
        <v>99999</v>
      </c>
      <c r="B48758" s="1" t="str">
        <f>"61917"</f>
        <v>61917</v>
      </c>
      <c r="C48758" s="2">
        <v>2.7173483530162401E-5</v>
      </c>
      <c r="D48758" s="2">
        <v>1.9574215638593701E-5</v>
      </c>
      <c r="E48758" s="2">
        <v>0</v>
      </c>
      <c r="F48758" s="2">
        <v>2.6051981993343701E-5</v>
      </c>
    </row>
    <row r="48759" spans="1:6" x14ac:dyDescent="0.25">
      <c r="A48759" s="1" t="str">
        <f t="shared" si="1565"/>
        <v>99999</v>
      </c>
      <c r="B48759" s="1" t="str">
        <f>"62049"</f>
        <v>62049</v>
      </c>
      <c r="C48759" s="2">
        <v>3.3636658696499901E-4</v>
      </c>
      <c r="D48759" s="2">
        <v>5.0892960660343597E-4</v>
      </c>
      <c r="E48759" s="2">
        <v>3.6989088218975403E-4</v>
      </c>
      <c r="F48759" s="2">
        <v>3.48445259160972E-4</v>
      </c>
    </row>
    <row r="48760" spans="1:6" x14ac:dyDescent="0.25">
      <c r="A48760" s="1" t="str">
        <f t="shared" si="1565"/>
        <v>99999</v>
      </c>
      <c r="B48760" s="1" t="str">
        <f>"61930"</f>
        <v>61930</v>
      </c>
      <c r="C48760" s="2">
        <v>2.38173959228515E-5</v>
      </c>
      <c r="D48760" s="2">
        <v>1.50570889527644E-5</v>
      </c>
      <c r="E48760" s="2">
        <v>0</v>
      </c>
      <c r="F48760" s="2">
        <v>2.26968024942009E-5</v>
      </c>
    </row>
    <row r="48761" spans="1:6" x14ac:dyDescent="0.25">
      <c r="A48761" s="1" t="str">
        <f t="shared" si="1565"/>
        <v>99999</v>
      </c>
      <c r="B48761" s="1" t="str">
        <f>"62092"</f>
        <v>62092</v>
      </c>
      <c r="C48761" s="2">
        <v>1.6379872741488299E-4</v>
      </c>
      <c r="D48761" s="2">
        <v>1.68639396270961E-4</v>
      </c>
      <c r="E48761" s="2">
        <v>7.3117965084021106E-5</v>
      </c>
      <c r="F48761" s="2">
        <v>1.62035433458599E-4</v>
      </c>
    </row>
    <row r="48762" spans="1:6" x14ac:dyDescent="0.25">
      <c r="A48762" s="1" t="str">
        <f t="shared" si="1565"/>
        <v>99999</v>
      </c>
      <c r="B48762" s="1" t="str">
        <f>"62011"</f>
        <v>62011</v>
      </c>
      <c r="C48762" s="2">
        <v>1.6347394474320801E-5</v>
      </c>
      <c r="D48762" s="2">
        <v>6.0228355811057601E-6</v>
      </c>
      <c r="E48762" s="2">
        <v>4.3010567696482999E-6</v>
      </c>
      <c r="F48762" s="2">
        <v>1.5394352996066698E-5</v>
      </c>
    </row>
    <row r="48763" spans="1:6" x14ac:dyDescent="0.25">
      <c r="A48763" s="1" t="str">
        <f t="shared" si="1565"/>
        <v>99999</v>
      </c>
      <c r="B48763" s="1" t="str">
        <f>"62214"</f>
        <v>62214</v>
      </c>
      <c r="C48763" s="2">
        <v>5.6403923980934802E-5</v>
      </c>
      <c r="D48763" s="2">
        <v>3.7642722381910999E-5</v>
      </c>
      <c r="E48763" s="2">
        <v>4.3010567696482999E-6</v>
      </c>
      <c r="F48763" s="2">
        <v>5.3978917236208303E-5</v>
      </c>
    </row>
    <row r="48764" spans="1:6" x14ac:dyDescent="0.25">
      <c r="A48764" s="1" t="str">
        <f t="shared" si="1565"/>
        <v>99999</v>
      </c>
      <c r="B48764" s="1" t="str">
        <f>"62217"</f>
        <v>62217</v>
      </c>
      <c r="C48764" s="2">
        <v>4.6443922049560499E-5</v>
      </c>
      <c r="D48764" s="2">
        <v>1.35513800574879E-5</v>
      </c>
      <c r="E48764" s="2">
        <v>4.3010567696482999E-6</v>
      </c>
      <c r="F48764" s="2">
        <v>4.3321288238931401E-5</v>
      </c>
    </row>
    <row r="48765" spans="1:6" x14ac:dyDescent="0.25">
      <c r="A48765" s="1" t="str">
        <f t="shared" si="1565"/>
        <v>99999</v>
      </c>
      <c r="B48765" s="1" t="str">
        <f>"62681"</f>
        <v>62681</v>
      </c>
      <c r="C48765" s="2">
        <v>2.7519918379949299E-4</v>
      </c>
      <c r="D48765" s="2">
        <v>3.82450059400215E-4</v>
      </c>
      <c r="E48765" s="2">
        <v>3.3118137126291901E-4</v>
      </c>
      <c r="F48765" s="2">
        <v>2.8351266767756198E-4</v>
      </c>
    </row>
    <row r="48766" spans="1:6" x14ac:dyDescent="0.25">
      <c r="A48766" s="1" t="str">
        <f t="shared" si="1565"/>
        <v>99999</v>
      </c>
      <c r="B48766" s="1" t="str">
        <f>"62832"</f>
        <v>62832</v>
      </c>
      <c r="C48766" s="2">
        <v>5.1283183857521702E-4</v>
      </c>
      <c r="D48766" s="2">
        <v>6.5197195165469797E-4</v>
      </c>
      <c r="E48766" s="2">
        <v>4.1720250665588498E-4</v>
      </c>
      <c r="F48766" s="2">
        <v>5.1975677711720198E-4</v>
      </c>
    </row>
    <row r="48767" spans="1:6" x14ac:dyDescent="0.25">
      <c r="A48767" s="1" t="str">
        <f t="shared" si="1565"/>
        <v>99999</v>
      </c>
      <c r="B48767" s="1" t="str">
        <f>"62979"</f>
        <v>62979</v>
      </c>
      <c r="C48767" s="2">
        <v>5.90021853543368E-5</v>
      </c>
      <c r="D48767" s="2">
        <v>7.5285444763821999E-5</v>
      </c>
      <c r="E48767" s="2">
        <v>2.58063406178898E-5</v>
      </c>
      <c r="F48767" s="2">
        <v>5.9307731734846801E-5</v>
      </c>
    </row>
    <row r="48768" spans="1:6" x14ac:dyDescent="0.25">
      <c r="A48768" s="1" t="str">
        <f t="shared" si="1565"/>
        <v>99999</v>
      </c>
      <c r="B48768" s="1" t="str">
        <f>"62912"</f>
        <v>62912</v>
      </c>
      <c r="C48768" s="2">
        <v>3.0746092918590099E-5</v>
      </c>
      <c r="D48768" s="2">
        <v>2.7102760114975901E-5</v>
      </c>
      <c r="E48768" s="2">
        <v>0</v>
      </c>
      <c r="F48768" s="2">
        <v>2.9801888492385599E-5</v>
      </c>
    </row>
    <row r="48769" spans="1:6" x14ac:dyDescent="0.25">
      <c r="A48769" s="1" t="str">
        <f t="shared" si="1565"/>
        <v>99999</v>
      </c>
      <c r="B48769" s="1" t="str">
        <f>"62905"</f>
        <v>62905</v>
      </c>
      <c r="C48769" s="2">
        <v>3.3885658744784197E-5</v>
      </c>
      <c r="D48769" s="2">
        <v>2.4091342324423E-5</v>
      </c>
      <c r="E48769" s="2">
        <v>1.29031703089449E-5</v>
      </c>
      <c r="F48769" s="2">
        <v>3.2762340991629202E-5</v>
      </c>
    </row>
    <row r="48770" spans="1:6" x14ac:dyDescent="0.25">
      <c r="A48770" s="1" t="str">
        <f t="shared" si="1565"/>
        <v>99999</v>
      </c>
      <c r="B48770" s="1" t="str">
        <f>"62420"</f>
        <v>62420</v>
      </c>
      <c r="C48770" s="2">
        <v>2.2951308798384201E-4</v>
      </c>
      <c r="D48770" s="2">
        <v>3.6889867934272697E-4</v>
      </c>
      <c r="E48770" s="2">
        <v>2.1505283848241501E-4</v>
      </c>
      <c r="F48770" s="2">
        <v>2.3831642618910999E-4</v>
      </c>
    </row>
    <row r="48771" spans="1:6" x14ac:dyDescent="0.25">
      <c r="A48771" s="1" t="str">
        <f t="shared" si="1565"/>
        <v>99999</v>
      </c>
      <c r="B48771" s="1" t="str">
        <f>"62474"</f>
        <v>62474</v>
      </c>
      <c r="C48771" s="2">
        <v>2.6632179077370302E-5</v>
      </c>
      <c r="D48771" s="2">
        <v>1.20456711622115E-5</v>
      </c>
      <c r="E48771" s="2">
        <v>1.29031703089449E-5</v>
      </c>
      <c r="F48771" s="2">
        <v>2.53612097435202E-5</v>
      </c>
    </row>
    <row r="48772" spans="1:6" x14ac:dyDescent="0.25">
      <c r="A48772" s="1" t="str">
        <f t="shared" si="1565"/>
        <v>99999</v>
      </c>
      <c r="B48772" s="1" t="str">
        <f>"62572"</f>
        <v>62572</v>
      </c>
      <c r="C48772" s="2">
        <v>1.68886989271129E-5</v>
      </c>
      <c r="D48772" s="2">
        <v>4.5171266858293203E-6</v>
      </c>
      <c r="E48772" s="2">
        <v>8.6021135392965999E-6</v>
      </c>
      <c r="F48772" s="2">
        <v>1.5887761745940599E-5</v>
      </c>
    </row>
    <row r="48773" spans="1:6" x14ac:dyDescent="0.25">
      <c r="A48773" s="1" t="str">
        <f t="shared" si="1565"/>
        <v>99999</v>
      </c>
      <c r="B48773" s="1" t="str">
        <f>"65355"</f>
        <v>65355</v>
      </c>
      <c r="C48773" s="2">
        <v>7.5901710370505503E-4</v>
      </c>
      <c r="D48773" s="2">
        <v>4.14069946201021E-4</v>
      </c>
      <c r="E48773" s="2">
        <v>2.7096657648784301E-4</v>
      </c>
      <c r="F48773" s="2">
        <v>7.2521218056470797E-4</v>
      </c>
    </row>
    <row r="48774" spans="1:6" x14ac:dyDescent="0.25">
      <c r="A48774" s="1" t="str">
        <f t="shared" ref="A48774:A48837" si="1566">"99999"</f>
        <v>99999</v>
      </c>
      <c r="B48774" s="1" t="str">
        <f>"63650"</f>
        <v>63650</v>
      </c>
      <c r="C48774" s="2">
        <v>1.968182990352E-4</v>
      </c>
      <c r="D48774" s="2">
        <v>2.3940771434895401E-4</v>
      </c>
      <c r="E48774" s="2">
        <v>1.11827476010855E-4</v>
      </c>
      <c r="F48774" s="2">
        <v>1.97659545199497E-4</v>
      </c>
    </row>
    <row r="48775" spans="1:6" x14ac:dyDescent="0.25">
      <c r="A48775" s="1" t="str">
        <f t="shared" si="1566"/>
        <v>99999</v>
      </c>
      <c r="B48775" s="1" t="str">
        <f>"63867"</f>
        <v>63867</v>
      </c>
      <c r="C48775" s="2">
        <v>2.7173483530162401E-5</v>
      </c>
      <c r="D48775" s="2">
        <v>4.8182684648845999E-5</v>
      </c>
      <c r="E48775" s="2">
        <v>4.3010567696482999E-6</v>
      </c>
      <c r="F48775" s="2">
        <v>2.8025616992839402E-5</v>
      </c>
    </row>
    <row r="48776" spans="1:6" x14ac:dyDescent="0.25">
      <c r="A48776" s="1" t="str">
        <f t="shared" si="1566"/>
        <v>99999</v>
      </c>
      <c r="B48776" s="1" t="str">
        <f>"63801"</f>
        <v>63801</v>
      </c>
      <c r="C48776" s="2">
        <v>1.8112046990423E-4</v>
      </c>
      <c r="D48776" s="2">
        <v>2.5597051219699402E-4</v>
      </c>
      <c r="E48776" s="2">
        <v>1.37633816628745E-4</v>
      </c>
      <c r="F48776" s="2">
        <v>1.8502828120272501E-4</v>
      </c>
    </row>
    <row r="48777" spans="1:6" x14ac:dyDescent="0.25">
      <c r="A48777" s="1" t="str">
        <f t="shared" si="1566"/>
        <v>99999</v>
      </c>
      <c r="B48777" s="1" t="str">
        <f>"63827"</f>
        <v>63827</v>
      </c>
      <c r="C48777" s="2">
        <v>4.36291388950417E-5</v>
      </c>
      <c r="D48777" s="2">
        <v>1.35513800574879E-5</v>
      </c>
      <c r="E48777" s="2">
        <v>1.29031703089449E-5</v>
      </c>
      <c r="F48777" s="2">
        <v>4.0952926239536503E-5</v>
      </c>
    </row>
    <row r="48778" spans="1:6" x14ac:dyDescent="0.25">
      <c r="A48778" s="1" t="str">
        <f t="shared" si="1566"/>
        <v>99999</v>
      </c>
      <c r="B48778" s="1" t="str">
        <f>"65065"</f>
        <v>65065</v>
      </c>
      <c r="C48778" s="2">
        <v>6.9676709163396598E-4</v>
      </c>
      <c r="D48778" s="2">
        <v>1.89418179025776E-3</v>
      </c>
      <c r="E48778" s="2">
        <v>1.5096709261465499E-3</v>
      </c>
      <c r="F48778" s="2">
        <v>7.9389467854715896E-4</v>
      </c>
    </row>
    <row r="48779" spans="1:6" x14ac:dyDescent="0.25">
      <c r="A48779" s="1" t="str">
        <f t="shared" si="1566"/>
        <v>99999</v>
      </c>
      <c r="B48779" s="1" t="str">
        <f>"65079"</f>
        <v>65079</v>
      </c>
      <c r="C48779" s="2">
        <v>6.4555969039983504E-4</v>
      </c>
      <c r="D48779" s="2">
        <v>5.1495244218454196E-4</v>
      </c>
      <c r="E48779" s="2">
        <v>4.1720250665588498E-4</v>
      </c>
      <c r="F48779" s="2">
        <v>6.3176056333858496E-4</v>
      </c>
    </row>
    <row r="48780" spans="1:6" x14ac:dyDescent="0.25">
      <c r="A48780" s="1" t="str">
        <f t="shared" si="1566"/>
        <v>99999</v>
      </c>
      <c r="B48780" s="1" t="str">
        <f>"65078"</f>
        <v>65078</v>
      </c>
      <c r="C48780" s="2">
        <v>3.0951788610651101E-4</v>
      </c>
      <c r="D48780" s="2">
        <v>9.6365369297692093E-5</v>
      </c>
      <c r="E48780" s="2">
        <v>5.1612681235779599E-5</v>
      </c>
      <c r="F48780" s="2">
        <v>2.89630936175999E-4</v>
      </c>
    </row>
    <row r="48781" spans="1:6" x14ac:dyDescent="0.25">
      <c r="A48781" s="1" t="str">
        <f t="shared" si="1566"/>
        <v>99999</v>
      </c>
      <c r="B48781" s="1" t="str">
        <f>"65275"</f>
        <v>65275</v>
      </c>
      <c r="C48781" s="2">
        <v>1.4561089780106901E-4</v>
      </c>
      <c r="D48781" s="2">
        <v>2.3037346097729499E-4</v>
      </c>
      <c r="E48781" s="2">
        <v>1.37633816628745E-4</v>
      </c>
      <c r="F48781" s="2">
        <v>1.5098307746142301E-4</v>
      </c>
    </row>
    <row r="48782" spans="1:6" x14ac:dyDescent="0.25">
      <c r="A48782" s="1" t="str">
        <f t="shared" si="1566"/>
        <v>99999</v>
      </c>
      <c r="B48782" s="1" t="str">
        <f>"65323"</f>
        <v>65323</v>
      </c>
      <c r="C48782" s="2">
        <v>6.3873925429465498E-5</v>
      </c>
      <c r="D48782" s="2">
        <v>1.9574215638593701E-5</v>
      </c>
      <c r="E48782" s="2">
        <v>2.15052838482415E-5</v>
      </c>
      <c r="F48782" s="2">
        <v>5.9998503984670299E-5</v>
      </c>
    </row>
    <row r="48783" spans="1:6" x14ac:dyDescent="0.25">
      <c r="A48783" s="1" t="str">
        <f t="shared" si="1566"/>
        <v>99999</v>
      </c>
      <c r="B48783" s="1" t="str">
        <f>"65325"</f>
        <v>65325</v>
      </c>
      <c r="C48783" s="2">
        <v>1.5719481309082E-4</v>
      </c>
      <c r="D48783" s="2">
        <v>1.12928167145733E-4</v>
      </c>
      <c r="E48783" s="2">
        <v>2.58063406178898E-5</v>
      </c>
      <c r="F48783" s="2">
        <v>1.5127912271134801E-4</v>
      </c>
    </row>
    <row r="48784" spans="1:6" x14ac:dyDescent="0.25">
      <c r="A48784" s="1" t="str">
        <f t="shared" si="1566"/>
        <v>99999</v>
      </c>
      <c r="B48784" s="1" t="str">
        <f>"65261"</f>
        <v>65261</v>
      </c>
      <c r="C48784" s="2">
        <v>7.9030450107643805E-5</v>
      </c>
      <c r="D48784" s="2">
        <v>1.2045671162211499E-4</v>
      </c>
      <c r="E48784" s="2">
        <v>1.2042958955015201E-4</v>
      </c>
      <c r="F48784" s="2">
        <v>8.26953064788713E-5</v>
      </c>
    </row>
    <row r="48785" spans="1:6" x14ac:dyDescent="0.25">
      <c r="A48785" s="1" t="str">
        <f t="shared" si="1566"/>
        <v>99999</v>
      </c>
      <c r="B48785" s="1" t="str">
        <f>"65453"</f>
        <v>65453</v>
      </c>
      <c r="C48785" s="2">
        <v>4.68553134336825E-4</v>
      </c>
      <c r="D48785" s="2">
        <v>5.4657232898534705E-4</v>
      </c>
      <c r="E48785" s="2">
        <v>5.4623420974533399E-4</v>
      </c>
      <c r="F48785" s="2">
        <v>4.7544867137852201E-4</v>
      </c>
    </row>
    <row r="48786" spans="1:6" x14ac:dyDescent="0.25">
      <c r="A48786" s="1" t="str">
        <f t="shared" si="1566"/>
        <v>99999</v>
      </c>
      <c r="B48786" s="1" t="str">
        <f>"64783"</f>
        <v>64783</v>
      </c>
      <c r="C48786" s="2">
        <v>4.4062182457275301E-5</v>
      </c>
      <c r="D48786" s="2">
        <v>3.6137013486634501E-5</v>
      </c>
      <c r="E48786" s="2">
        <v>8.6021135392965999E-6</v>
      </c>
      <c r="F48786" s="2">
        <v>4.2729197739082599E-5</v>
      </c>
    </row>
    <row r="48787" spans="1:6" x14ac:dyDescent="0.25">
      <c r="A48787" s="1" t="str">
        <f t="shared" si="1566"/>
        <v>99999</v>
      </c>
      <c r="B48787" s="1" t="str">
        <f>"64843"</f>
        <v>64843</v>
      </c>
      <c r="C48787" s="2">
        <v>1.4582741958218601E-4</v>
      </c>
      <c r="D48787" s="2">
        <v>5.8722646915781101E-5</v>
      </c>
      <c r="E48787" s="2">
        <v>1.72042270785932E-5</v>
      </c>
      <c r="F48787" s="2">
        <v>1.3716763246495299E-4</v>
      </c>
    </row>
    <row r="48788" spans="1:6" x14ac:dyDescent="0.25">
      <c r="A48788" s="1" t="str">
        <f t="shared" si="1566"/>
        <v>99999</v>
      </c>
      <c r="B48788" s="1" t="str">
        <f>"65555"</f>
        <v>65555</v>
      </c>
      <c r="C48788" s="2">
        <v>6.1492185837180293E-5</v>
      </c>
      <c r="D48788" s="2">
        <v>3.1619886800805203E-5</v>
      </c>
      <c r="E48788" s="2">
        <v>2.58063406178898E-5</v>
      </c>
      <c r="F48788" s="2">
        <v>5.87156412349981E-5</v>
      </c>
    </row>
    <row r="48789" spans="1:6" x14ac:dyDescent="0.25">
      <c r="A48789" s="1" t="str">
        <f t="shared" si="1566"/>
        <v>99999</v>
      </c>
      <c r="B48789" s="1" t="str">
        <f>"65449"</f>
        <v>65449</v>
      </c>
      <c r="C48789" s="2">
        <v>2.46834830473188E-5</v>
      </c>
      <c r="D48789" s="2">
        <v>1.0539962266935E-5</v>
      </c>
      <c r="E48789" s="2">
        <v>2.3655812233065599E-4</v>
      </c>
      <c r="F48789" s="2">
        <v>2.8617707492688099E-5</v>
      </c>
    </row>
    <row r="48790" spans="1:6" x14ac:dyDescent="0.25">
      <c r="A48790" s="1" t="str">
        <f t="shared" si="1566"/>
        <v>99999</v>
      </c>
      <c r="B48790" s="1" t="str">
        <f>"65462"</f>
        <v>65462</v>
      </c>
      <c r="C48790" s="2">
        <v>6.0626098712712997E-6</v>
      </c>
      <c r="D48790" s="2">
        <v>1.50570889527644E-6</v>
      </c>
      <c r="E48790" s="2">
        <v>0</v>
      </c>
      <c r="F48790" s="2">
        <v>5.6248597485628401E-6</v>
      </c>
    </row>
    <row r="48791" spans="1:6" x14ac:dyDescent="0.25">
      <c r="A48791" s="1" t="str">
        <f t="shared" si="1566"/>
        <v>99999</v>
      </c>
      <c r="B48791" s="1" t="str">
        <f>"65501"</f>
        <v>65501</v>
      </c>
      <c r="C48791" s="2">
        <v>2.7281744420720801E-5</v>
      </c>
      <c r="D48791" s="2">
        <v>6.0228355811057601E-6</v>
      </c>
      <c r="E48791" s="2">
        <v>4.3010567696482999E-6</v>
      </c>
      <c r="F48791" s="2">
        <v>2.53612097435202E-5</v>
      </c>
    </row>
    <row r="48792" spans="1:6" x14ac:dyDescent="0.25">
      <c r="A48792" s="1" t="str">
        <f t="shared" si="1566"/>
        <v>99999</v>
      </c>
      <c r="B48792" s="1" t="str">
        <f>"64848"</f>
        <v>64848</v>
      </c>
      <c r="C48792" s="2">
        <v>2.6199135515136701E-5</v>
      </c>
      <c r="D48792" s="2">
        <v>4.5171266858293203E-6</v>
      </c>
      <c r="E48792" s="2">
        <v>0</v>
      </c>
      <c r="F48792" s="2">
        <v>2.41770287438227E-5</v>
      </c>
    </row>
    <row r="48793" spans="1:6" x14ac:dyDescent="0.25">
      <c r="A48793" s="1" t="str">
        <f t="shared" si="1566"/>
        <v>99999</v>
      </c>
      <c r="B48793" s="1" t="str">
        <f>"54538"</f>
        <v>54538</v>
      </c>
      <c r="C48793" s="2">
        <v>2.5452135370283602E-4</v>
      </c>
      <c r="D48793" s="2">
        <v>1.76167940747343E-4</v>
      </c>
      <c r="E48793" s="2">
        <v>4.3010567696482999E-5</v>
      </c>
      <c r="F48793" s="2">
        <v>2.4453337643752098E-4</v>
      </c>
    </row>
    <row r="48794" spans="1:6" x14ac:dyDescent="0.25">
      <c r="A48794" s="1" t="str">
        <f t="shared" si="1566"/>
        <v>99999</v>
      </c>
      <c r="B48794" s="1" t="str">
        <f>"54554"</f>
        <v>54554</v>
      </c>
      <c r="C48794" s="2">
        <v>1.0880219501120799E-4</v>
      </c>
      <c r="D48794" s="2">
        <v>4.9688393544122498E-5</v>
      </c>
      <c r="E48794" s="2">
        <v>3.8709510926834699E-5</v>
      </c>
      <c r="F48794" s="2">
        <v>1.03319792223601E-4</v>
      </c>
    </row>
    <row r="48795" spans="1:6" x14ac:dyDescent="0.25">
      <c r="A48795" s="1" t="str">
        <f t="shared" si="1566"/>
        <v>99999</v>
      </c>
      <c r="B48795" s="1" t="str">
        <f>"54491"</f>
        <v>54491</v>
      </c>
      <c r="C48795" s="2">
        <v>1.15081326663596E-4</v>
      </c>
      <c r="D48795" s="2">
        <v>2.1079924533870101E-5</v>
      </c>
      <c r="E48795" s="2">
        <v>5.1612681235779599E-5</v>
      </c>
      <c r="F48795" s="2">
        <v>1.07464425722542E-4</v>
      </c>
    </row>
    <row r="48796" spans="1:6" x14ac:dyDescent="0.25">
      <c r="A48796" s="1" t="str">
        <f t="shared" si="1566"/>
        <v>99999</v>
      </c>
      <c r="B48796" s="1" t="str">
        <f>"54559"</f>
        <v>54559</v>
      </c>
      <c r="C48796" s="2">
        <v>6.2466533852206102E-5</v>
      </c>
      <c r="D48796" s="2">
        <v>1.0539962266935E-5</v>
      </c>
      <c r="E48796" s="2">
        <v>4.3010567696482999E-6</v>
      </c>
      <c r="F48796" s="2">
        <v>5.7728823735250197E-5</v>
      </c>
    </row>
    <row r="48797" spans="1:6" x14ac:dyDescent="0.25">
      <c r="A48797" s="1" t="str">
        <f t="shared" si="1566"/>
        <v>99999</v>
      </c>
      <c r="B48797" s="1" t="str">
        <f>"54446"</f>
        <v>54446</v>
      </c>
      <c r="C48797" s="2">
        <v>1.3619220032248699E-4</v>
      </c>
      <c r="D48797" s="2">
        <v>4.0654140172463799E-5</v>
      </c>
      <c r="E48797" s="2">
        <v>6.4515851544724506E-5</v>
      </c>
      <c r="F48797" s="2">
        <v>1.28286274967222E-4</v>
      </c>
    </row>
    <row r="48798" spans="1:6" x14ac:dyDescent="0.25">
      <c r="A48798" s="1" t="str">
        <f t="shared" si="1566"/>
        <v>99999</v>
      </c>
      <c r="B48798" s="1" t="str">
        <f>"54562"</f>
        <v>54562</v>
      </c>
      <c r="C48798" s="2">
        <v>2.02772648015913E-4</v>
      </c>
      <c r="D48798" s="2">
        <v>9.7871078192968605E-5</v>
      </c>
      <c r="E48798" s="2">
        <v>5.5913738005427899E-5</v>
      </c>
      <c r="F48798" s="2">
        <v>1.9252809420080899E-4</v>
      </c>
    </row>
    <row r="48799" spans="1:6" x14ac:dyDescent="0.25">
      <c r="A48799" s="1" t="str">
        <f t="shared" si="1566"/>
        <v>99999</v>
      </c>
      <c r="B48799" s="1" t="str">
        <f>"54539"</f>
        <v>54539</v>
      </c>
      <c r="C48799" s="2">
        <v>1.2244306722156801E-4</v>
      </c>
      <c r="D48799" s="2">
        <v>1.20456711622115E-5</v>
      </c>
      <c r="E48799" s="2">
        <v>4.7311624466131299E-5</v>
      </c>
      <c r="F48799" s="2">
        <v>1.1348401247100401E-4</v>
      </c>
    </row>
    <row r="48800" spans="1:6" x14ac:dyDescent="0.25">
      <c r="A48800" s="1" t="str">
        <f t="shared" si="1566"/>
        <v>99999</v>
      </c>
      <c r="B48800" s="1" t="str">
        <f>"54542"</f>
        <v>54542</v>
      </c>
      <c r="C48800" s="2">
        <v>1.86208731760475E-5</v>
      </c>
      <c r="D48800" s="2">
        <v>6.0228355811057601E-6</v>
      </c>
      <c r="E48800" s="2">
        <v>0</v>
      </c>
      <c r="F48800" s="2">
        <v>1.7367987995562399E-5</v>
      </c>
    </row>
    <row r="48801" spans="1:6" x14ac:dyDescent="0.25">
      <c r="A48801" s="1" t="str">
        <f t="shared" si="1566"/>
        <v>99999</v>
      </c>
      <c r="B48801" s="1" t="str">
        <f>"54548"</f>
        <v>54548</v>
      </c>
      <c r="C48801" s="2">
        <v>5.2917923304953796E-4</v>
      </c>
      <c r="D48801" s="2">
        <v>9.4859660402415698E-4</v>
      </c>
      <c r="E48801" s="2">
        <v>4.5591201758272E-4</v>
      </c>
      <c r="F48801" s="2">
        <v>5.5498616185820104E-4</v>
      </c>
    </row>
    <row r="48802" spans="1:6" x14ac:dyDescent="0.25">
      <c r="A48802" s="1" t="str">
        <f t="shared" si="1566"/>
        <v>99999</v>
      </c>
      <c r="B48802" s="1" t="str">
        <f>"55783"</f>
        <v>55783</v>
      </c>
      <c r="C48802" s="2">
        <v>1.5979307446422201E-4</v>
      </c>
      <c r="D48802" s="2">
        <v>5.5711229125228301E-5</v>
      </c>
      <c r="E48802" s="2">
        <v>5.1612681235779599E-5</v>
      </c>
      <c r="F48802" s="2">
        <v>1.5048966871154899E-4</v>
      </c>
    </row>
    <row r="48803" spans="1:6" x14ac:dyDescent="0.25">
      <c r="A48803" s="1" t="str">
        <f t="shared" si="1566"/>
        <v>99999</v>
      </c>
      <c r="B48803" s="1" t="str">
        <f>"55604"</f>
        <v>55604</v>
      </c>
      <c r="C48803" s="2">
        <v>1.9616873369184999E-4</v>
      </c>
      <c r="D48803" s="2">
        <v>1.23468129412668E-4</v>
      </c>
      <c r="E48803" s="2">
        <v>4.4730990404342298E-4</v>
      </c>
      <c r="F48803" s="2">
        <v>1.9716613644962401E-4</v>
      </c>
    </row>
    <row r="48804" spans="1:6" x14ac:dyDescent="0.25">
      <c r="A48804" s="1" t="str">
        <f t="shared" si="1566"/>
        <v>99999</v>
      </c>
      <c r="B48804" s="1" t="str">
        <f>"55612"</f>
        <v>55612</v>
      </c>
      <c r="C48804" s="2">
        <v>3.2478267167524801E-5</v>
      </c>
      <c r="D48804" s="2">
        <v>3.4631304591358098E-5</v>
      </c>
      <c r="E48804" s="2">
        <v>2.58063406178898E-5</v>
      </c>
      <c r="F48804" s="2">
        <v>3.2466295741704798E-5</v>
      </c>
    </row>
    <row r="48805" spans="1:6" x14ac:dyDescent="0.25">
      <c r="A48805" s="1" t="str">
        <f t="shared" si="1566"/>
        <v>99999</v>
      </c>
      <c r="B48805" s="1" t="str">
        <f>"57042"</f>
        <v>57042</v>
      </c>
      <c r="C48805" s="2">
        <v>4.6736226454068198E-4</v>
      </c>
      <c r="D48805" s="2">
        <v>8.1609422123983001E-4</v>
      </c>
      <c r="E48805" s="2">
        <v>1.14838215749609E-3</v>
      </c>
      <c r="F48805" s="2">
        <v>5.0584265037075698E-4</v>
      </c>
    </row>
    <row r="48806" spans="1:6" x14ac:dyDescent="0.25">
      <c r="A48806" s="1" t="str">
        <f t="shared" si="1566"/>
        <v>99999</v>
      </c>
      <c r="B48806" s="1" t="str">
        <f>"57026"</f>
        <v>57026</v>
      </c>
      <c r="C48806" s="2">
        <v>7.7947841202059606E-6</v>
      </c>
      <c r="D48806" s="2">
        <v>6.0228355811057601E-6</v>
      </c>
      <c r="E48806" s="2">
        <v>0</v>
      </c>
      <c r="F48806" s="2">
        <v>7.4998129980837899E-6</v>
      </c>
    </row>
    <row r="48807" spans="1:6" x14ac:dyDescent="0.25">
      <c r="A48807" s="1" t="str">
        <f t="shared" si="1566"/>
        <v>99999</v>
      </c>
      <c r="B48807" s="1" t="str">
        <f>"57075"</f>
        <v>57075</v>
      </c>
      <c r="C48807" s="2">
        <v>7.5999145172008097E-5</v>
      </c>
      <c r="D48807" s="2">
        <v>2.25856334291466E-5</v>
      </c>
      <c r="E48807" s="2">
        <v>8.1720078623317706E-5</v>
      </c>
      <c r="F48807" s="2">
        <v>7.2629767981443005E-5</v>
      </c>
    </row>
    <row r="48808" spans="1:6" x14ac:dyDescent="0.25">
      <c r="A48808" s="1" t="str">
        <f t="shared" si="1566"/>
        <v>99999</v>
      </c>
      <c r="B48808" s="1" t="str">
        <f>"57065"</f>
        <v>57065</v>
      </c>
      <c r="C48808" s="2">
        <v>1.8296090504372299E-5</v>
      </c>
      <c r="D48808" s="2">
        <v>0</v>
      </c>
      <c r="E48808" s="2">
        <v>3.01073973875381E-5</v>
      </c>
      <c r="F48808" s="2">
        <v>1.7367987995562399E-5</v>
      </c>
    </row>
    <row r="48809" spans="1:6" x14ac:dyDescent="0.25">
      <c r="A48809" s="1" t="str">
        <f t="shared" si="1566"/>
        <v>99999</v>
      </c>
      <c r="B48809" s="1" t="str">
        <f>"57226"</f>
        <v>57226</v>
      </c>
      <c r="C48809" s="2">
        <v>9.0397843616277498E-5</v>
      </c>
      <c r="D48809" s="2">
        <v>6.7756900287439806E-5</v>
      </c>
      <c r="E48809" s="2">
        <v>1.11827476010855E-4</v>
      </c>
      <c r="F48809" s="2">
        <v>8.9405665477156794E-5</v>
      </c>
    </row>
    <row r="48810" spans="1:6" x14ac:dyDescent="0.25">
      <c r="A48810" s="1" t="str">
        <f t="shared" si="1566"/>
        <v>99999</v>
      </c>
      <c r="B48810" s="1" t="str">
        <f>"57213"</f>
        <v>57213</v>
      </c>
      <c r="C48810" s="2">
        <v>1.15839152897505E-5</v>
      </c>
      <c r="D48810" s="2">
        <v>4.5171266858293203E-6</v>
      </c>
      <c r="E48810" s="2">
        <v>2.15052838482415E-5</v>
      </c>
      <c r="F48810" s="2">
        <v>1.1348401247100399E-5</v>
      </c>
    </row>
    <row r="48811" spans="1:6" x14ac:dyDescent="0.25">
      <c r="A48811" s="1" t="str">
        <f t="shared" si="1566"/>
        <v>99999</v>
      </c>
      <c r="B48811" s="1" t="str">
        <f>"57315"</f>
        <v>57315</v>
      </c>
      <c r="C48811" s="2">
        <v>5.0449575000221899E-5</v>
      </c>
      <c r="D48811" s="2">
        <v>3.01141779055288E-6</v>
      </c>
      <c r="E48811" s="2">
        <v>3.01073973875381E-5</v>
      </c>
      <c r="F48811" s="2">
        <v>4.6873831238023702E-5</v>
      </c>
    </row>
    <row r="48812" spans="1:6" x14ac:dyDescent="0.25">
      <c r="A48812" s="1" t="str">
        <f t="shared" si="1566"/>
        <v>99999</v>
      </c>
      <c r="B48812" s="1" t="str">
        <f>"57337"</f>
        <v>57337</v>
      </c>
      <c r="C48812" s="2">
        <v>9.4186974785821993E-6</v>
      </c>
      <c r="D48812" s="2">
        <v>1.50570889527644E-6</v>
      </c>
      <c r="E48812" s="2">
        <v>4.3010567696482999E-6</v>
      </c>
      <c r="F48812" s="2">
        <v>8.7826757477560201E-6</v>
      </c>
    </row>
    <row r="48813" spans="1:6" x14ac:dyDescent="0.25">
      <c r="A48813" s="1" t="str">
        <f t="shared" si="1566"/>
        <v>99999</v>
      </c>
      <c r="B48813" s="1" t="str">
        <f>"56334"</f>
        <v>56334</v>
      </c>
      <c r="C48813" s="2">
        <v>3.54987460141046E-4</v>
      </c>
      <c r="D48813" s="2">
        <v>4.5020695968765501E-4</v>
      </c>
      <c r="E48813" s="2">
        <v>4.7311624466131301E-4</v>
      </c>
      <c r="F48813" s="2">
        <v>3.63938293907013E-4</v>
      </c>
    </row>
    <row r="48814" spans="1:6" x14ac:dyDescent="0.25">
      <c r="A48814" s="1" t="str">
        <f t="shared" si="1566"/>
        <v>99999</v>
      </c>
      <c r="B48814" s="1" t="str">
        <f>"56345"</f>
        <v>56345</v>
      </c>
      <c r="C48814" s="2">
        <v>7.5999145172008105E-4</v>
      </c>
      <c r="D48814" s="2">
        <v>9.3203380617611596E-4</v>
      </c>
      <c r="E48814" s="2">
        <v>1.1655863845746899E-3</v>
      </c>
      <c r="F48814" s="2">
        <v>7.8057264230056299E-4</v>
      </c>
    </row>
    <row r="48815" spans="1:6" x14ac:dyDescent="0.25">
      <c r="A48815" s="1" t="str">
        <f t="shared" si="1566"/>
        <v>99999</v>
      </c>
      <c r="B48815" s="1" t="str">
        <f>"56358"</f>
        <v>56358</v>
      </c>
      <c r="C48815" s="2">
        <v>1.5925177001143001E-4</v>
      </c>
      <c r="D48815" s="2">
        <v>4.3665557963016701E-5</v>
      </c>
      <c r="E48815" s="2">
        <v>1.16128532780504E-4</v>
      </c>
      <c r="F48815" s="2">
        <v>1.50687032211499E-4</v>
      </c>
    </row>
    <row r="48816" spans="1:6" x14ac:dyDescent="0.25">
      <c r="A48816" s="1" t="str">
        <f t="shared" si="1566"/>
        <v>99999</v>
      </c>
      <c r="B48816" s="1" t="str">
        <f>"56360"</f>
        <v>56360</v>
      </c>
      <c r="C48816" s="2">
        <v>9.8409149517600204E-5</v>
      </c>
      <c r="D48816" s="2">
        <v>7.5285444763821999E-6</v>
      </c>
      <c r="E48816" s="2">
        <v>5.1612681235779599E-5</v>
      </c>
      <c r="F48816" s="2">
        <v>9.1379300476652505E-5</v>
      </c>
    </row>
    <row r="48817" spans="1:6" x14ac:dyDescent="0.25">
      <c r="A48817" s="1" t="str">
        <f t="shared" si="1566"/>
        <v>99999</v>
      </c>
      <c r="B48817" s="1" t="str">
        <f>"56342"</f>
        <v>56342</v>
      </c>
      <c r="C48817" s="2">
        <v>8.7041756008966498E-5</v>
      </c>
      <c r="D48817" s="2">
        <v>2.4091342324423E-5</v>
      </c>
      <c r="E48817" s="2">
        <v>3.44084541571864E-5</v>
      </c>
      <c r="F48817" s="2">
        <v>8.1708488979123398E-5</v>
      </c>
    </row>
    <row r="48818" spans="1:6" x14ac:dyDescent="0.25">
      <c r="A48818" s="1" t="str">
        <f t="shared" si="1566"/>
        <v>99999</v>
      </c>
      <c r="B48818" s="1" t="str">
        <f>"56339"</f>
        <v>56339</v>
      </c>
      <c r="C48818" s="2">
        <v>4.9800009656871403E-5</v>
      </c>
      <c r="D48818" s="2">
        <v>1.0539962266935E-5</v>
      </c>
      <c r="E48818" s="2">
        <v>6.0214794775076199E-5</v>
      </c>
      <c r="F48818" s="2">
        <v>4.7465921737872403E-5</v>
      </c>
    </row>
    <row r="48819" spans="1:6" x14ac:dyDescent="0.25">
      <c r="A48819" s="1" t="str">
        <f t="shared" si="1566"/>
        <v>99999</v>
      </c>
      <c r="B48819" s="1" t="str">
        <f>"56633"</f>
        <v>56633</v>
      </c>
      <c r="C48819" s="2">
        <v>3.7350007242653498E-5</v>
      </c>
      <c r="D48819" s="2">
        <v>4.5171266858293203E-6</v>
      </c>
      <c r="E48819" s="2">
        <v>5.1612681235779599E-5</v>
      </c>
      <c r="F48819" s="2">
        <v>3.5525429990923201E-5</v>
      </c>
    </row>
    <row r="48820" spans="1:6" x14ac:dyDescent="0.25">
      <c r="A48820" s="1" t="str">
        <f t="shared" si="1566"/>
        <v>99999</v>
      </c>
      <c r="B48820" s="1" t="str">
        <f>"56531"</f>
        <v>56531</v>
      </c>
      <c r="C48820" s="2">
        <v>1.11075673712934E-4</v>
      </c>
      <c r="D48820" s="2">
        <v>1.02388204878797E-4</v>
      </c>
      <c r="E48820" s="2">
        <v>1.7634332755557999E-4</v>
      </c>
      <c r="F48820" s="2">
        <v>1.1200378622138301E-4</v>
      </c>
    </row>
    <row r="48821" spans="1:6" x14ac:dyDescent="0.25">
      <c r="A48821" s="1" t="str">
        <f t="shared" si="1566"/>
        <v>99999</v>
      </c>
      <c r="B48821" s="1" t="str">
        <f>"56737"</f>
        <v>56737</v>
      </c>
      <c r="C48821" s="2">
        <v>4.7851313626819901E-5</v>
      </c>
      <c r="D48821" s="2">
        <v>9.0342533716586405E-6</v>
      </c>
      <c r="E48821" s="2">
        <v>1.72042270785932E-5</v>
      </c>
      <c r="F48821" s="2">
        <v>4.46041509886036E-5</v>
      </c>
    </row>
    <row r="48822" spans="1:6" x14ac:dyDescent="0.25">
      <c r="A48822" s="1" t="str">
        <f t="shared" si="1566"/>
        <v>99999</v>
      </c>
      <c r="B48822" s="1" t="str">
        <f>"56589"</f>
        <v>56589</v>
      </c>
      <c r="C48822" s="2">
        <v>1.21901762768776E-4</v>
      </c>
      <c r="D48822" s="2">
        <v>3.6137013486634501E-5</v>
      </c>
      <c r="E48822" s="2">
        <v>9.4623248932262599E-5</v>
      </c>
      <c r="F48822" s="2">
        <v>1.1565501097045E-4</v>
      </c>
    </row>
    <row r="48823" spans="1:6" x14ac:dyDescent="0.25">
      <c r="A48823" s="1" t="str">
        <f t="shared" si="1566"/>
        <v>99999</v>
      </c>
      <c r="B48823" s="1" t="str">
        <f>"56572"</f>
        <v>56572</v>
      </c>
      <c r="C48823" s="2">
        <v>1.13673935086336E-5</v>
      </c>
      <c r="D48823" s="2">
        <v>1.65627978480408E-5</v>
      </c>
      <c r="E48823" s="2">
        <v>0</v>
      </c>
      <c r="F48823" s="2">
        <v>1.14470829970752E-5</v>
      </c>
    </row>
    <row r="48824" spans="1:6" x14ac:dyDescent="0.25">
      <c r="A48824" s="1" t="str">
        <f t="shared" si="1566"/>
        <v>99999</v>
      </c>
      <c r="B48824" s="1" t="str">
        <f>"56574"</f>
        <v>56574</v>
      </c>
      <c r="C48824" s="2">
        <v>1.39656548820356E-5</v>
      </c>
      <c r="D48824" s="2">
        <v>4.5171266858293203E-6</v>
      </c>
      <c r="E48824" s="2">
        <v>8.6021135392965999E-6</v>
      </c>
      <c r="F48824" s="2">
        <v>1.3223354496621401E-5</v>
      </c>
    </row>
    <row r="48825" spans="1:6" x14ac:dyDescent="0.25">
      <c r="A48825" s="1" t="str">
        <f t="shared" si="1566"/>
        <v>99999</v>
      </c>
      <c r="B48825" s="1" t="str">
        <f>"56734"</f>
        <v>56734</v>
      </c>
      <c r="C48825" s="2">
        <v>2.5766091952903002E-5</v>
      </c>
      <c r="D48825" s="2">
        <v>1.35513800574879E-5</v>
      </c>
      <c r="E48825" s="2">
        <v>1.29031703089449E-5</v>
      </c>
      <c r="F48825" s="2">
        <v>2.4670437493696699E-5</v>
      </c>
    </row>
    <row r="48826" spans="1:6" x14ac:dyDescent="0.25">
      <c r="A48826" s="1" t="str">
        <f t="shared" si="1566"/>
        <v>99999</v>
      </c>
      <c r="B48826" s="1" t="str">
        <f>"57017"</f>
        <v>57017</v>
      </c>
      <c r="C48826" s="2">
        <v>5.8569141792103098E-5</v>
      </c>
      <c r="D48826" s="2">
        <v>2.4091342324423E-5</v>
      </c>
      <c r="E48826" s="2">
        <v>9.4623248932262599E-5</v>
      </c>
      <c r="F48826" s="2">
        <v>5.7136733235401503E-5</v>
      </c>
    </row>
    <row r="48827" spans="1:6" x14ac:dyDescent="0.25">
      <c r="A48827" s="1" t="str">
        <f t="shared" si="1566"/>
        <v>99999</v>
      </c>
      <c r="B48827" s="1" t="str">
        <f>"56141"</f>
        <v>56141</v>
      </c>
      <c r="C48827" s="2">
        <v>1.6347394474320801E-5</v>
      </c>
      <c r="D48827" s="2">
        <v>9.0342533716586405E-6</v>
      </c>
      <c r="E48827" s="2">
        <v>4.3010567696482999E-6</v>
      </c>
      <c r="F48827" s="2">
        <v>1.5591716496016299E-5</v>
      </c>
    </row>
    <row r="48828" spans="1:6" x14ac:dyDescent="0.25">
      <c r="A48828" s="1" t="str">
        <f t="shared" si="1566"/>
        <v>99999</v>
      </c>
      <c r="B48828" s="1" t="str">
        <f>"56044"</f>
        <v>56044</v>
      </c>
      <c r="C48828" s="2">
        <v>9.6785236159224001E-5</v>
      </c>
      <c r="D48828" s="2">
        <v>1.35513800574879E-5</v>
      </c>
      <c r="E48828" s="2">
        <v>8.6021135392965999E-6</v>
      </c>
      <c r="F48828" s="2">
        <v>8.9306983727182004E-5</v>
      </c>
    </row>
    <row r="48829" spans="1:6" x14ac:dyDescent="0.25">
      <c r="A48829" s="1" t="str">
        <f t="shared" si="1566"/>
        <v>99999</v>
      </c>
      <c r="B48829" s="1" t="str">
        <f>"56093"</f>
        <v>56093</v>
      </c>
      <c r="C48829" s="2">
        <v>5.8677402682661502E-4</v>
      </c>
      <c r="D48829" s="2">
        <v>6.5498336944525102E-4</v>
      </c>
      <c r="E48829" s="2">
        <v>9.0322192162614297E-4</v>
      </c>
      <c r="F48829" s="2">
        <v>5.9850481359708199E-4</v>
      </c>
    </row>
    <row r="48830" spans="1:6" x14ac:dyDescent="0.25">
      <c r="A48830" s="1" t="str">
        <f t="shared" si="1566"/>
        <v>99999</v>
      </c>
      <c r="B48830" s="1" t="str">
        <f>"56101"</f>
        <v>56101</v>
      </c>
      <c r="C48830" s="2">
        <v>3.0876005987260198E-4</v>
      </c>
      <c r="D48830" s="2">
        <v>5.1796385997509502E-4</v>
      </c>
      <c r="E48830" s="2">
        <v>5.1182575558814797E-4</v>
      </c>
      <c r="F48830" s="2">
        <v>3.27130001166418E-4</v>
      </c>
    </row>
    <row r="48831" spans="1:6" x14ac:dyDescent="0.25">
      <c r="A48831" s="1" t="str">
        <f t="shared" si="1566"/>
        <v>99999</v>
      </c>
      <c r="B48831" s="1" t="str">
        <f>"56011"</f>
        <v>56011</v>
      </c>
      <c r="C48831" s="2">
        <v>2.40339177039683E-5</v>
      </c>
      <c r="D48831" s="2">
        <v>0</v>
      </c>
      <c r="E48831" s="2">
        <v>0</v>
      </c>
      <c r="F48831" s="2">
        <v>2.1907348494402598E-5</v>
      </c>
    </row>
    <row r="48832" spans="1:6" x14ac:dyDescent="0.25">
      <c r="A48832" s="1" t="str">
        <f t="shared" si="1566"/>
        <v>99999</v>
      </c>
      <c r="B48832" s="1" t="str">
        <f>"56143"</f>
        <v>56143</v>
      </c>
      <c r="C48832" s="2">
        <v>2.6361526850974301E-4</v>
      </c>
      <c r="D48832" s="2">
        <v>3.89978603876598E-4</v>
      </c>
      <c r="E48832" s="2">
        <v>3.9569722280764303E-4</v>
      </c>
      <c r="F48832" s="2">
        <v>2.74927355429756E-4</v>
      </c>
    </row>
    <row r="48833" spans="1:6" x14ac:dyDescent="0.25">
      <c r="A48833" s="1" t="str">
        <f t="shared" si="1566"/>
        <v>99999</v>
      </c>
      <c r="B48833" s="1" t="str">
        <f>"56172"</f>
        <v>56172</v>
      </c>
      <c r="C48833" s="2">
        <v>1.8068742634199601E-4</v>
      </c>
      <c r="D48833" s="2">
        <v>2.9963607016001098E-4</v>
      </c>
      <c r="E48833" s="2">
        <v>2.1935389525206301E-4</v>
      </c>
      <c r="F48833" s="2">
        <v>1.89370278201615E-4</v>
      </c>
    </row>
    <row r="48834" spans="1:6" x14ac:dyDescent="0.25">
      <c r="A48834" s="1" t="str">
        <f t="shared" si="1566"/>
        <v>99999</v>
      </c>
      <c r="B48834" s="1" t="str">
        <f>"56228"</f>
        <v>56228</v>
      </c>
      <c r="C48834" s="2">
        <v>4.08143557405228E-5</v>
      </c>
      <c r="D48834" s="2">
        <v>3.4631304591358098E-5</v>
      </c>
      <c r="E48834" s="2">
        <v>1.29031703089449E-5</v>
      </c>
      <c r="F48834" s="2">
        <v>3.9768745239838999E-5</v>
      </c>
    </row>
    <row r="48835" spans="1:6" x14ac:dyDescent="0.25">
      <c r="A48835" s="1" t="str">
        <f t="shared" si="1566"/>
        <v>99999</v>
      </c>
      <c r="B48835" s="1" t="str">
        <f>"56097"</f>
        <v>56097</v>
      </c>
      <c r="C48835" s="2">
        <v>1.8231133970037199E-4</v>
      </c>
      <c r="D48835" s="2">
        <v>2.3639629655840101E-4</v>
      </c>
      <c r="E48835" s="2">
        <v>1.41934873398393E-4</v>
      </c>
      <c r="F48835" s="2">
        <v>1.8492959945274999E-4</v>
      </c>
    </row>
    <row r="48836" spans="1:6" x14ac:dyDescent="0.25">
      <c r="A48836" s="1" t="str">
        <f t="shared" si="1566"/>
        <v>99999</v>
      </c>
      <c r="B48836" s="1" t="str">
        <f>"56222"</f>
        <v>56222</v>
      </c>
      <c r="C48836" s="2">
        <v>8.3144363948863602E-5</v>
      </c>
      <c r="D48836" s="2">
        <v>3.6137013486634501E-5</v>
      </c>
      <c r="E48836" s="2">
        <v>6.0214794775076199E-5</v>
      </c>
      <c r="F48836" s="2">
        <v>7.9537490479678093E-5</v>
      </c>
    </row>
    <row r="48837" spans="1:6" x14ac:dyDescent="0.25">
      <c r="A48837" s="1" t="str">
        <f t="shared" si="1566"/>
        <v>99999</v>
      </c>
      <c r="B48837" s="1" t="str">
        <f>"56232"</f>
        <v>56232</v>
      </c>
      <c r="C48837" s="2">
        <v>1.07827846996182E-4</v>
      </c>
      <c r="D48837" s="2">
        <v>4.5171266858293199E-5</v>
      </c>
      <c r="E48837" s="2">
        <v>6.0214794775076199E-5</v>
      </c>
      <c r="F48837" s="2">
        <v>1.02629019973778E-4</v>
      </c>
    </row>
    <row r="48838" spans="1:6" x14ac:dyDescent="0.25">
      <c r="A48838" s="1" t="str">
        <f t="shared" ref="A48838:A48901" si="1567">"99999"</f>
        <v>99999</v>
      </c>
      <c r="B48838" s="1" t="str">
        <f>"56241"</f>
        <v>56241</v>
      </c>
      <c r="C48838" s="2">
        <v>2.15222650430131E-4</v>
      </c>
      <c r="D48838" s="2">
        <v>3.2372741248443398E-4</v>
      </c>
      <c r="E48838" s="2">
        <v>3.5698771188080898E-4</v>
      </c>
      <c r="F48838" s="2">
        <v>2.2558648044236201E-4</v>
      </c>
    </row>
    <row r="48839" spans="1:6" x14ac:dyDescent="0.25">
      <c r="A48839" s="1" t="str">
        <f t="shared" si="1567"/>
        <v>99999</v>
      </c>
      <c r="B48839" s="1" t="str">
        <f>"56276"</f>
        <v>56276</v>
      </c>
      <c r="C48839" s="2">
        <v>1.9053916738281199E-5</v>
      </c>
      <c r="D48839" s="2">
        <v>1.20456711622115E-5</v>
      </c>
      <c r="E48839" s="2">
        <v>4.3010567696482999E-6</v>
      </c>
      <c r="F48839" s="2">
        <v>1.8256123745335501E-5</v>
      </c>
    </row>
    <row r="48840" spans="1:6" x14ac:dyDescent="0.25">
      <c r="A48840" s="1" t="str">
        <f t="shared" si="1567"/>
        <v>99999</v>
      </c>
      <c r="B48840" s="1" t="str">
        <f>"56212"</f>
        <v>56212</v>
      </c>
      <c r="C48840" s="2">
        <v>1.9162177628839599E-5</v>
      </c>
      <c r="D48840" s="2">
        <v>1.50570889527644E-5</v>
      </c>
      <c r="E48840" s="2">
        <v>8.6021135392965999E-6</v>
      </c>
      <c r="F48840" s="2">
        <v>1.8650850745234699E-5</v>
      </c>
    </row>
    <row r="48841" spans="1:6" x14ac:dyDescent="0.25">
      <c r="A48841" s="1" t="str">
        <f t="shared" si="1567"/>
        <v>99999</v>
      </c>
      <c r="B48841" s="1" t="str">
        <f>"56252"</f>
        <v>56252</v>
      </c>
      <c r="C48841" s="2">
        <v>3.8973920601029803E-5</v>
      </c>
      <c r="D48841" s="2">
        <v>1.9574215638593701E-5</v>
      </c>
      <c r="E48841" s="2">
        <v>6.0214794775076199E-5</v>
      </c>
      <c r="F48841" s="2">
        <v>3.8189837240242402E-5</v>
      </c>
    </row>
    <row r="48842" spans="1:6" x14ac:dyDescent="0.25">
      <c r="A48842" s="1" t="str">
        <f t="shared" si="1567"/>
        <v>99999</v>
      </c>
      <c r="B48842" s="1" t="str">
        <f>"55335"</f>
        <v>55335</v>
      </c>
      <c r="C48842" s="2">
        <v>5.8893924463778302E-5</v>
      </c>
      <c r="D48842" s="2">
        <v>7.5285444763821999E-6</v>
      </c>
      <c r="E48842" s="2">
        <v>3.01073973875381E-5</v>
      </c>
      <c r="F48842" s="2">
        <v>5.4867052985981401E-5</v>
      </c>
    </row>
    <row r="48843" spans="1:6" x14ac:dyDescent="0.25">
      <c r="A48843" s="1" t="str">
        <f t="shared" si="1567"/>
        <v>99999</v>
      </c>
      <c r="B48843" s="1" t="str">
        <f>"55307"</f>
        <v>55307</v>
      </c>
      <c r="C48843" s="2">
        <v>1.5113220321954799E-4</v>
      </c>
      <c r="D48843" s="2">
        <v>1.2045671162211499E-4</v>
      </c>
      <c r="E48843" s="2">
        <v>1.5913910047698701E-4</v>
      </c>
      <c r="F48843" s="2">
        <v>1.4930548771185199E-4</v>
      </c>
    </row>
    <row r="48844" spans="1:6" x14ac:dyDescent="0.25">
      <c r="A48844" s="1" t="str">
        <f t="shared" si="1567"/>
        <v>99999</v>
      </c>
      <c r="B48844" s="1" t="str">
        <f>"55336"</f>
        <v>55336</v>
      </c>
      <c r="C48844" s="2">
        <v>1.8296090504372299E-5</v>
      </c>
      <c r="D48844" s="2">
        <v>0</v>
      </c>
      <c r="E48844" s="2">
        <v>0</v>
      </c>
      <c r="F48844" s="2">
        <v>1.6677215745738901E-5</v>
      </c>
    </row>
    <row r="48845" spans="1:6" x14ac:dyDescent="0.25">
      <c r="A48845" s="1" t="str">
        <f t="shared" si="1567"/>
        <v>99999</v>
      </c>
      <c r="B48845" s="1" t="str">
        <f>"57424"</f>
        <v>57424</v>
      </c>
      <c r="C48845" s="2">
        <v>2.1327395440007902E-5</v>
      </c>
      <c r="D48845" s="2">
        <v>6.0228355811057601E-6</v>
      </c>
      <c r="E48845" s="2">
        <v>8.6021135392965999E-6</v>
      </c>
      <c r="F48845" s="2">
        <v>2.0032395244881699E-5</v>
      </c>
    </row>
    <row r="48846" spans="1:6" x14ac:dyDescent="0.25">
      <c r="A48846" s="1" t="str">
        <f t="shared" si="1567"/>
        <v>99999</v>
      </c>
      <c r="B48846" s="1" t="str">
        <f>"57579"</f>
        <v>57579</v>
      </c>
      <c r="C48846" s="2">
        <v>3.1179136480823802E-5</v>
      </c>
      <c r="D48846" s="2">
        <v>1.35513800574879E-5</v>
      </c>
      <c r="E48846" s="2">
        <v>2.58063406178898E-5</v>
      </c>
      <c r="F48846" s="2">
        <v>2.99005702423604E-5</v>
      </c>
    </row>
    <row r="48847" spans="1:6" x14ac:dyDescent="0.25">
      <c r="A48847" s="1" t="str">
        <f t="shared" si="1567"/>
        <v>99999</v>
      </c>
      <c r="B48847" s="1" t="str">
        <f>"57656"</f>
        <v>57656</v>
      </c>
      <c r="C48847" s="2">
        <v>3.2478267167524801E-5</v>
      </c>
      <c r="D48847" s="2">
        <v>1.0539962266935E-5</v>
      </c>
      <c r="E48847" s="2">
        <v>2.58063406178898E-5</v>
      </c>
      <c r="F48847" s="2">
        <v>3.0887387742108201E-5</v>
      </c>
    </row>
    <row r="48848" spans="1:6" x14ac:dyDescent="0.25">
      <c r="A48848" s="1" t="str">
        <f t="shared" si="1567"/>
        <v>99999</v>
      </c>
      <c r="B48848" s="1" t="str">
        <f>"57626"</f>
        <v>57626</v>
      </c>
      <c r="C48848" s="2">
        <v>8.9856539163485408E-6</v>
      </c>
      <c r="D48848" s="2">
        <v>3.01141779055288E-6</v>
      </c>
      <c r="E48848" s="2">
        <v>0</v>
      </c>
      <c r="F48848" s="2">
        <v>8.3879487478568692E-6</v>
      </c>
    </row>
    <row r="48849" spans="1:6" x14ac:dyDescent="0.25">
      <c r="A48849" s="1" t="str">
        <f t="shared" si="1567"/>
        <v>99999</v>
      </c>
      <c r="B48849" s="1" t="str">
        <f>"57642"</f>
        <v>57642</v>
      </c>
      <c r="C48849" s="2">
        <v>4.0164790397172297E-5</v>
      </c>
      <c r="D48849" s="2">
        <v>6.0228355811057601E-6</v>
      </c>
      <c r="E48849" s="2">
        <v>8.6021135392965999E-6</v>
      </c>
      <c r="F48849" s="2">
        <v>3.7203019740494601E-5</v>
      </c>
    </row>
    <row r="48850" spans="1:6" x14ac:dyDescent="0.25">
      <c r="A48850" s="1" t="str">
        <f t="shared" si="1567"/>
        <v>99999</v>
      </c>
      <c r="B48850" s="1" t="str">
        <f>"57455"</f>
        <v>57455</v>
      </c>
      <c r="C48850" s="2">
        <v>8.6608712446732894E-6</v>
      </c>
      <c r="D48850" s="2">
        <v>1.0539962266935E-5</v>
      </c>
      <c r="E48850" s="2">
        <v>8.6021135392965999E-6</v>
      </c>
      <c r="F48850" s="2">
        <v>8.7826757477560201E-6</v>
      </c>
    </row>
    <row r="48851" spans="1:6" x14ac:dyDescent="0.25">
      <c r="A48851" s="1" t="str">
        <f t="shared" si="1567"/>
        <v>99999</v>
      </c>
      <c r="B48851" s="1" t="str">
        <f>"57528"</f>
        <v>57528</v>
      </c>
      <c r="C48851" s="2">
        <v>3.6267398337069401E-5</v>
      </c>
      <c r="D48851" s="2">
        <v>1.20456711622115E-5</v>
      </c>
      <c r="E48851" s="2">
        <v>4.3010567696482999E-6</v>
      </c>
      <c r="F48851" s="2">
        <v>3.3946521991326597E-5</v>
      </c>
    </row>
    <row r="48852" spans="1:6" x14ac:dyDescent="0.25">
      <c r="A48852" s="1" t="str">
        <f t="shared" si="1567"/>
        <v>99999</v>
      </c>
      <c r="B48852" s="1" t="str">
        <f>"59866"</f>
        <v>59866</v>
      </c>
      <c r="C48852" s="2">
        <v>8.7799582242875499E-5</v>
      </c>
      <c r="D48852" s="2">
        <v>2.1079924533870101E-5</v>
      </c>
      <c r="E48852" s="2">
        <v>1.2473064631979999E-4</v>
      </c>
      <c r="F48852" s="2">
        <v>8.4274214478467904E-5</v>
      </c>
    </row>
    <row r="48853" spans="1:6" x14ac:dyDescent="0.25">
      <c r="A48853" s="1" t="str">
        <f t="shared" si="1567"/>
        <v>99999</v>
      </c>
      <c r="B48853" s="1" t="str">
        <f>"59858"</f>
        <v>59858</v>
      </c>
      <c r="C48853" s="2">
        <v>8.9640017382368496E-5</v>
      </c>
      <c r="D48853" s="2">
        <v>2.7102760114975901E-5</v>
      </c>
      <c r="E48853" s="2">
        <v>6.0214794775076199E-5</v>
      </c>
      <c r="F48853" s="2">
        <v>8.4866304978316605E-5</v>
      </c>
    </row>
    <row r="48854" spans="1:6" x14ac:dyDescent="0.25">
      <c r="A48854" s="1" t="str">
        <f t="shared" si="1567"/>
        <v>99999</v>
      </c>
      <c r="B48854" s="1" t="str">
        <f>"59820"</f>
        <v>59820</v>
      </c>
      <c r="C48854" s="2">
        <v>3.7241746352095101E-5</v>
      </c>
      <c r="D48854" s="2">
        <v>6.0228355811057601E-6</v>
      </c>
      <c r="E48854" s="2">
        <v>5.5913738005427899E-5</v>
      </c>
      <c r="F48854" s="2">
        <v>3.5624111740897998E-5</v>
      </c>
    </row>
    <row r="48855" spans="1:6" x14ac:dyDescent="0.25">
      <c r="A48855" s="1" t="str">
        <f t="shared" si="1567"/>
        <v>99999</v>
      </c>
      <c r="B48855" s="1" t="str">
        <f>"58783"</f>
        <v>58783</v>
      </c>
      <c r="C48855" s="2">
        <v>2.7281744420720801E-5</v>
      </c>
      <c r="D48855" s="2">
        <v>1.50570889527644E-5</v>
      </c>
      <c r="E48855" s="2">
        <v>1.29031703089449E-5</v>
      </c>
      <c r="F48855" s="2">
        <v>2.6150663743318498E-5</v>
      </c>
    </row>
    <row r="48856" spans="1:6" x14ac:dyDescent="0.25">
      <c r="A48856" s="1" t="str">
        <f t="shared" si="1567"/>
        <v>99999</v>
      </c>
      <c r="B48856" s="1" t="str">
        <f>"58573"</f>
        <v>58573</v>
      </c>
      <c r="C48856" s="2">
        <v>3.0313049356356498E-5</v>
      </c>
      <c r="D48856" s="2">
        <v>4.5171266858293203E-6</v>
      </c>
      <c r="E48856" s="2">
        <v>4.7311624466131299E-5</v>
      </c>
      <c r="F48856" s="2">
        <v>2.9012434492587301E-5</v>
      </c>
    </row>
    <row r="48857" spans="1:6" x14ac:dyDescent="0.25">
      <c r="A48857" s="1" t="str">
        <f t="shared" si="1567"/>
        <v>99999</v>
      </c>
      <c r="B48857" s="1" t="str">
        <f>"51037"</f>
        <v>51037</v>
      </c>
      <c r="C48857" s="2">
        <v>1.87291340666059E-5</v>
      </c>
      <c r="D48857" s="2">
        <v>4.5171266858293203E-6</v>
      </c>
      <c r="E48857" s="2">
        <v>2.15052838482415E-5</v>
      </c>
      <c r="F48857" s="2">
        <v>1.7861396745436401E-5</v>
      </c>
    </row>
    <row r="48858" spans="1:6" x14ac:dyDescent="0.25">
      <c r="A48858" s="1" t="str">
        <f t="shared" si="1567"/>
        <v>99999</v>
      </c>
      <c r="B48858" s="1" t="str">
        <f>"51010"</f>
        <v>51010</v>
      </c>
      <c r="C48858" s="2">
        <v>2.85808751074218E-5</v>
      </c>
      <c r="D48858" s="2">
        <v>7.5285444763821999E-6</v>
      </c>
      <c r="E48858" s="2">
        <v>4.3010567696482999E-6</v>
      </c>
      <c r="F48858" s="2">
        <v>2.6644072493192399E-5</v>
      </c>
    </row>
    <row r="48859" spans="1:6" x14ac:dyDescent="0.25">
      <c r="A48859" s="1" t="str">
        <f t="shared" si="1567"/>
        <v>99999</v>
      </c>
      <c r="B48859" s="1" t="str">
        <f>"50250"</f>
        <v>50250</v>
      </c>
      <c r="C48859" s="2">
        <v>7.5024797156982397E-5</v>
      </c>
      <c r="D48859" s="2">
        <v>7.5285444763821999E-5</v>
      </c>
      <c r="E48859" s="2">
        <v>6.8816908314372799E-5</v>
      </c>
      <c r="F48859" s="2">
        <v>7.48994482308631E-5</v>
      </c>
    </row>
    <row r="48860" spans="1:6" x14ac:dyDescent="0.25">
      <c r="A48860" s="1" t="str">
        <f t="shared" si="1567"/>
        <v>99999</v>
      </c>
      <c r="B48860" s="1" t="str">
        <f>"50242"</f>
        <v>50242</v>
      </c>
      <c r="C48860" s="2">
        <v>2.1760439002241601E-5</v>
      </c>
      <c r="D48860" s="2">
        <v>7.5285444763821999E-6</v>
      </c>
      <c r="E48860" s="2">
        <v>2.15052838482415E-5</v>
      </c>
      <c r="F48860" s="2">
        <v>2.082184924468E-5</v>
      </c>
    </row>
    <row r="48861" spans="1:6" x14ac:dyDescent="0.25">
      <c r="A48861" s="1" t="str">
        <f t="shared" si="1567"/>
        <v>99999</v>
      </c>
      <c r="B48861" s="1" t="str">
        <f>"50468"</f>
        <v>50468</v>
      </c>
      <c r="C48861" s="2">
        <v>7.7081754077592296E-5</v>
      </c>
      <c r="D48861" s="2">
        <v>5.8722646915781101E-5</v>
      </c>
      <c r="E48861" s="2">
        <v>5.1612681235779599E-5</v>
      </c>
      <c r="F48861" s="2">
        <v>7.5294175230762302E-5</v>
      </c>
    </row>
    <row r="48862" spans="1:6" x14ac:dyDescent="0.25">
      <c r="A48862" s="1" t="str">
        <f t="shared" si="1567"/>
        <v>99999</v>
      </c>
      <c r="B48862" s="1" t="str">
        <f>"50511"</f>
        <v>50511</v>
      </c>
      <c r="C48862" s="2">
        <v>4.0673616582796902E-4</v>
      </c>
      <c r="D48862" s="2">
        <v>8.8385112152726997E-4</v>
      </c>
      <c r="E48862" s="2">
        <v>7.7849127530634204E-4</v>
      </c>
      <c r="F48862" s="2">
        <v>4.4653491863591002E-4</v>
      </c>
    </row>
    <row r="48863" spans="1:6" x14ac:dyDescent="0.25">
      <c r="A48863" s="1" t="str">
        <f t="shared" si="1567"/>
        <v>99999</v>
      </c>
      <c r="B48863" s="1" t="str">
        <f>"50579"</f>
        <v>50579</v>
      </c>
      <c r="C48863" s="2">
        <v>1.37274809228071E-4</v>
      </c>
      <c r="D48863" s="2">
        <v>2.1531637202453101E-4</v>
      </c>
      <c r="E48863" s="2">
        <v>6.8816908314372799E-5</v>
      </c>
      <c r="F48863" s="2">
        <v>1.4081885721402E-4</v>
      </c>
    </row>
    <row r="48864" spans="1:6" x14ac:dyDescent="0.25">
      <c r="A48864" s="1" t="str">
        <f t="shared" si="1567"/>
        <v>99999</v>
      </c>
      <c r="B48864" s="1" t="str">
        <f>"50461"</f>
        <v>50461</v>
      </c>
      <c r="C48864" s="2">
        <v>3.0053223219016299E-4</v>
      </c>
      <c r="D48864" s="2">
        <v>4.2762132625850902E-4</v>
      </c>
      <c r="E48864" s="2">
        <v>2.4516023586995298E-4</v>
      </c>
      <c r="F48864" s="2">
        <v>3.0759101467140999E-4</v>
      </c>
    </row>
    <row r="48865" spans="1:6" x14ac:dyDescent="0.25">
      <c r="A48865" s="1" t="str">
        <f t="shared" si="1567"/>
        <v>99999</v>
      </c>
      <c r="B48865" s="1" t="str">
        <f>"50593"</f>
        <v>50593</v>
      </c>
      <c r="C48865" s="2">
        <v>4.6552182940118902E-6</v>
      </c>
      <c r="D48865" s="2">
        <v>9.0342533716586405E-6</v>
      </c>
      <c r="E48865" s="2">
        <v>0</v>
      </c>
      <c r="F48865" s="2">
        <v>4.8354057487645501E-6</v>
      </c>
    </row>
    <row r="48866" spans="1:6" x14ac:dyDescent="0.25">
      <c r="A48866" s="1" t="str">
        <f t="shared" si="1567"/>
        <v>99999</v>
      </c>
      <c r="B48866" s="1" t="str">
        <f>"50644"</f>
        <v>50644</v>
      </c>
      <c r="C48866" s="2">
        <v>4.5491226212646401E-4</v>
      </c>
      <c r="D48866" s="2">
        <v>6.5347766054997503E-4</v>
      </c>
      <c r="E48866" s="2">
        <v>6.3225534513829996E-4</v>
      </c>
      <c r="F48866" s="2">
        <v>4.7199481012940501E-4</v>
      </c>
    </row>
    <row r="48867" spans="1:6" x14ac:dyDescent="0.25">
      <c r="A48867" s="1" t="str">
        <f t="shared" si="1567"/>
        <v>99999</v>
      </c>
      <c r="B48867" s="1" t="str">
        <f>"50658"</f>
        <v>50658</v>
      </c>
      <c r="C48867" s="2">
        <v>1.4214654930319999E-4</v>
      </c>
      <c r="D48867" s="2">
        <v>3.01141779055288E-5</v>
      </c>
      <c r="E48867" s="2">
        <v>7.7419021853669399E-5</v>
      </c>
      <c r="F48867" s="2">
        <v>1.33319044215936E-4</v>
      </c>
    </row>
    <row r="48868" spans="1:6" x14ac:dyDescent="0.25">
      <c r="A48868" s="1" t="str">
        <f t="shared" si="1567"/>
        <v>99999</v>
      </c>
      <c r="B48868" s="1" t="str">
        <f>"50519"</f>
        <v>50519</v>
      </c>
      <c r="C48868" s="2">
        <v>3.4318702307017899E-5</v>
      </c>
      <c r="D48868" s="2">
        <v>1.65627978480408E-5</v>
      </c>
      <c r="E48868" s="2">
        <v>5.1612681235779599E-5</v>
      </c>
      <c r="F48868" s="2">
        <v>3.3551794991427497E-5</v>
      </c>
    </row>
    <row r="48869" spans="1:6" x14ac:dyDescent="0.25">
      <c r="A48869" s="1" t="str">
        <f t="shared" si="1567"/>
        <v>99999</v>
      </c>
      <c r="B48869" s="1" t="str">
        <f>"50558"</f>
        <v>50558</v>
      </c>
      <c r="C48869" s="2">
        <v>3.6050876555952499E-5</v>
      </c>
      <c r="D48869" s="2">
        <v>1.65627978480408E-5</v>
      </c>
      <c r="E48869" s="2">
        <v>3.01073973875381E-5</v>
      </c>
      <c r="F48869" s="2">
        <v>3.4637294241150102E-5</v>
      </c>
    </row>
    <row r="48870" spans="1:6" x14ac:dyDescent="0.25">
      <c r="A48870" s="1" t="str">
        <f t="shared" si="1567"/>
        <v>99999</v>
      </c>
      <c r="B48870" s="1" t="str">
        <f>"50650"</f>
        <v>50650</v>
      </c>
      <c r="C48870" s="2">
        <v>3.4968267650368402E-5</v>
      </c>
      <c r="D48870" s="2">
        <v>9.0342533716586405E-6</v>
      </c>
      <c r="E48870" s="2">
        <v>2.15052838482415E-5</v>
      </c>
      <c r="F48870" s="2">
        <v>3.2959704491578701E-5</v>
      </c>
    </row>
    <row r="48871" spans="1:6" x14ac:dyDescent="0.25">
      <c r="A48871" s="1" t="str">
        <f t="shared" si="1567"/>
        <v>99999</v>
      </c>
      <c r="B48871" s="1" t="str">
        <f>"50666"</f>
        <v>50666</v>
      </c>
      <c r="C48871" s="2">
        <v>5.0882618562455504E-6</v>
      </c>
      <c r="D48871" s="2">
        <v>0</v>
      </c>
      <c r="E48871" s="2">
        <v>0</v>
      </c>
      <c r="F48871" s="2">
        <v>4.6380422488149798E-6</v>
      </c>
    </row>
    <row r="48872" spans="1:6" x14ac:dyDescent="0.25">
      <c r="A48872" s="1" t="str">
        <f t="shared" si="1567"/>
        <v>99999</v>
      </c>
      <c r="B48872" s="1" t="str">
        <f>"50675"</f>
        <v>50675</v>
      </c>
      <c r="C48872" s="2">
        <v>1.23092632564919E-4</v>
      </c>
      <c r="D48872" s="2">
        <v>1.55088016213473E-4</v>
      </c>
      <c r="E48872" s="2">
        <v>1.11827476010855E-4</v>
      </c>
      <c r="F48872" s="2">
        <v>1.2493109546808E-4</v>
      </c>
    </row>
    <row r="48873" spans="1:6" x14ac:dyDescent="0.25">
      <c r="A48873" s="1" t="str">
        <f t="shared" si="1567"/>
        <v>99999</v>
      </c>
      <c r="B48873" s="1" t="str">
        <f>"50654"</f>
        <v>50654</v>
      </c>
      <c r="C48873" s="2">
        <v>2.4142178594526799E-5</v>
      </c>
      <c r="D48873" s="2">
        <v>4.5171266858293203E-6</v>
      </c>
      <c r="E48873" s="2">
        <v>1.29031703089449E-5</v>
      </c>
      <c r="F48873" s="2">
        <v>2.25981207442261E-5</v>
      </c>
    </row>
    <row r="48874" spans="1:6" x14ac:dyDescent="0.25">
      <c r="A48874" s="1" t="str">
        <f t="shared" si="1567"/>
        <v>99999</v>
      </c>
      <c r="B48874" s="1" t="str">
        <f>"50022"</f>
        <v>50022</v>
      </c>
      <c r="C48874" s="2">
        <v>4.4711747800625802E-4</v>
      </c>
      <c r="D48874" s="2">
        <v>7.6791153659098402E-4</v>
      </c>
      <c r="E48874" s="2">
        <v>8.6451241069930801E-4</v>
      </c>
      <c r="F48874" s="2">
        <v>4.7771835162794201E-4</v>
      </c>
    </row>
    <row r="48875" spans="1:6" x14ac:dyDescent="0.25">
      <c r="A48875" s="1" t="str">
        <f t="shared" si="1567"/>
        <v>99999</v>
      </c>
      <c r="B48875" s="1" t="str">
        <f>"50060"</f>
        <v>50060</v>
      </c>
      <c r="C48875" s="2">
        <v>1.3814089635253899E-4</v>
      </c>
      <c r="D48875" s="2">
        <v>2.3940771434895401E-4</v>
      </c>
      <c r="E48875" s="2">
        <v>1.5913910047698701E-4</v>
      </c>
      <c r="F48875" s="2">
        <v>1.4525953596288601E-4</v>
      </c>
    </row>
    <row r="48876" spans="1:6" x14ac:dyDescent="0.25">
      <c r="A48876" s="1" t="str">
        <f t="shared" si="1567"/>
        <v>99999</v>
      </c>
      <c r="B48876" s="1" t="str">
        <f>"50075"</f>
        <v>50075</v>
      </c>
      <c r="C48876" s="2">
        <v>4.5577834925093202E-5</v>
      </c>
      <c r="D48876" s="2">
        <v>3.1619886800805203E-5</v>
      </c>
      <c r="E48876" s="2">
        <v>6.4515851544724506E-5</v>
      </c>
      <c r="F48876" s="2">
        <v>4.5097559738477497E-5</v>
      </c>
    </row>
    <row r="48877" spans="1:6" x14ac:dyDescent="0.25">
      <c r="A48877" s="1" t="str">
        <f t="shared" si="1567"/>
        <v>99999</v>
      </c>
      <c r="B48877" s="1" t="str">
        <f>"49045"</f>
        <v>49045</v>
      </c>
      <c r="C48877" s="2">
        <v>2.5603700617065402E-4</v>
      </c>
      <c r="D48877" s="2">
        <v>2.3338487876784801E-4</v>
      </c>
      <c r="E48877" s="2">
        <v>1.63440157246635E-4</v>
      </c>
      <c r="F48877" s="2">
        <v>2.5242791643550398E-4</v>
      </c>
    </row>
    <row r="48878" spans="1:6" x14ac:dyDescent="0.25">
      <c r="A48878" s="1" t="str">
        <f t="shared" si="1567"/>
        <v>99999</v>
      </c>
      <c r="B48878" s="1" t="str">
        <f>"49079"</f>
        <v>49079</v>
      </c>
      <c r="C48878" s="2">
        <v>7.19393617760675E-4</v>
      </c>
      <c r="D48878" s="2">
        <v>9.6365369297692104E-4</v>
      </c>
      <c r="E48878" s="2">
        <v>1.07956524918172E-3</v>
      </c>
      <c r="F48878" s="2">
        <v>7.4366566780999298E-4</v>
      </c>
    </row>
    <row r="48879" spans="1:6" x14ac:dyDescent="0.25">
      <c r="A48879" s="1" t="str">
        <f t="shared" si="1567"/>
        <v>99999</v>
      </c>
      <c r="B48879" s="1" t="str">
        <f>"54213"</f>
        <v>54213</v>
      </c>
      <c r="C48879" s="2">
        <v>5.8785663573219898E-5</v>
      </c>
      <c r="D48879" s="2">
        <v>9.0342533716586405E-6</v>
      </c>
      <c r="E48879" s="2">
        <v>2.15052838482415E-5</v>
      </c>
      <c r="F48879" s="2">
        <v>5.4669689486031801E-5</v>
      </c>
    </row>
    <row r="48880" spans="1:6" x14ac:dyDescent="0.25">
      <c r="A48880" s="1" t="str">
        <f t="shared" si="1567"/>
        <v>99999</v>
      </c>
      <c r="B48880" s="1" t="str">
        <f>"53581"</f>
        <v>53581</v>
      </c>
      <c r="C48880" s="2">
        <v>5.3448401668690002E-4</v>
      </c>
      <c r="D48880" s="2">
        <v>7.9652000560123703E-4</v>
      </c>
      <c r="E48880" s="2">
        <v>7.6988916176704599E-4</v>
      </c>
      <c r="F48880" s="2">
        <v>5.57058478607671E-4</v>
      </c>
    </row>
    <row r="48881" spans="1:6" x14ac:dyDescent="0.25">
      <c r="A48881" s="1" t="str">
        <f t="shared" si="1567"/>
        <v>99999</v>
      </c>
      <c r="B48881" s="1" t="str">
        <f>"53807"</f>
        <v>53807</v>
      </c>
      <c r="C48881" s="2">
        <v>4.2438269098899098E-5</v>
      </c>
      <c r="D48881" s="2">
        <v>1.20456711622115E-5</v>
      </c>
      <c r="E48881" s="2">
        <v>0</v>
      </c>
      <c r="F48881" s="2">
        <v>3.9472699989914703E-5</v>
      </c>
    </row>
    <row r="48882" spans="1:6" x14ac:dyDescent="0.25">
      <c r="A48882" s="1" t="str">
        <f t="shared" si="1567"/>
        <v>99999</v>
      </c>
      <c r="B48882" s="1" t="str">
        <f>"52645"</f>
        <v>52645</v>
      </c>
      <c r="C48882" s="2">
        <v>1.4333741909934301E-4</v>
      </c>
      <c r="D48882" s="2">
        <v>1.26479547203221E-4</v>
      </c>
      <c r="E48882" s="2">
        <v>9.4623248932262599E-5</v>
      </c>
      <c r="F48882" s="2">
        <v>1.4111490246394501E-4</v>
      </c>
    </row>
    <row r="48883" spans="1:6" x14ac:dyDescent="0.25">
      <c r="A48883" s="1" t="str">
        <f t="shared" si="1567"/>
        <v>99999</v>
      </c>
      <c r="B48883" s="1" t="str">
        <f>"52731"</f>
        <v>52731</v>
      </c>
      <c r="C48883" s="2">
        <v>8.6608712446732898E-7</v>
      </c>
      <c r="D48883" s="2">
        <v>0</v>
      </c>
      <c r="E48883" s="2">
        <v>0</v>
      </c>
      <c r="F48883" s="2">
        <v>7.8945399979829395E-7</v>
      </c>
    </row>
    <row r="48884" spans="1:6" x14ac:dyDescent="0.25">
      <c r="A48884" s="1" t="str">
        <f t="shared" si="1567"/>
        <v>99999</v>
      </c>
      <c r="B48884" s="1" t="str">
        <f>"52565"</f>
        <v>52565</v>
      </c>
      <c r="C48884" s="2">
        <v>1.15189587554154E-4</v>
      </c>
      <c r="D48884" s="2">
        <v>1.4153663615598501E-4</v>
      </c>
      <c r="E48884" s="2">
        <v>4.7311624466131299E-5</v>
      </c>
      <c r="F48884" s="2">
        <v>1.1535896572052499E-4</v>
      </c>
    </row>
    <row r="48885" spans="1:6" x14ac:dyDescent="0.25">
      <c r="A48885" s="1" t="str">
        <f t="shared" si="1567"/>
        <v>99999</v>
      </c>
      <c r="B48885" s="1" t="str">
        <f>"52574"</f>
        <v>52574</v>
      </c>
      <c r="C48885" s="2">
        <v>4.6010878487326803E-5</v>
      </c>
      <c r="D48885" s="2">
        <v>9.0342533716586405E-6</v>
      </c>
      <c r="E48885" s="2">
        <v>1.29031703089449E-5</v>
      </c>
      <c r="F48885" s="2">
        <v>4.2827879489057403E-5</v>
      </c>
    </row>
    <row r="48886" spans="1:6" x14ac:dyDescent="0.25">
      <c r="A48886" s="1" t="str">
        <f t="shared" si="1567"/>
        <v>99999</v>
      </c>
      <c r="B48886" s="1" t="str">
        <f>"52644"</f>
        <v>52644</v>
      </c>
      <c r="C48886" s="2">
        <v>1.39656548820356E-5</v>
      </c>
      <c r="D48886" s="2">
        <v>4.5171266858293203E-6</v>
      </c>
      <c r="E48886" s="2">
        <v>0</v>
      </c>
      <c r="F48886" s="2">
        <v>1.30259909966718E-5</v>
      </c>
    </row>
    <row r="48887" spans="1:6" x14ac:dyDescent="0.25">
      <c r="A48887" s="1" t="str">
        <f t="shared" si="1567"/>
        <v>99999</v>
      </c>
      <c r="B48887" s="1" t="str">
        <f>"52583"</f>
        <v>52583</v>
      </c>
      <c r="C48887" s="2">
        <v>2.0569569206098999E-5</v>
      </c>
      <c r="D48887" s="2">
        <v>1.35513800574879E-5</v>
      </c>
      <c r="E48887" s="2">
        <v>8.6021135392965999E-6</v>
      </c>
      <c r="F48887" s="2">
        <v>1.9835031744932101E-5</v>
      </c>
    </row>
    <row r="48888" spans="1:6" x14ac:dyDescent="0.25">
      <c r="A48888" s="1" t="str">
        <f t="shared" si="1567"/>
        <v>99999</v>
      </c>
      <c r="B48888" s="1" t="str">
        <f>"52154"</f>
        <v>52154</v>
      </c>
      <c r="C48888" s="2">
        <v>4.9800009656871403E-5</v>
      </c>
      <c r="D48888" s="2">
        <v>2.8608469010252301E-5</v>
      </c>
      <c r="E48888" s="2">
        <v>3.01073973875381E-5</v>
      </c>
      <c r="F48888" s="2">
        <v>4.79593304877463E-5</v>
      </c>
    </row>
    <row r="48889" spans="1:6" x14ac:dyDescent="0.25">
      <c r="A48889" s="1" t="str">
        <f t="shared" si="1567"/>
        <v>99999</v>
      </c>
      <c r="B48889" s="1" t="str">
        <f>"52301"</f>
        <v>52301</v>
      </c>
      <c r="C48889" s="2">
        <v>2.0017438664251099E-4</v>
      </c>
      <c r="D48889" s="2">
        <v>2.5145338551116499E-4</v>
      </c>
      <c r="E48889" s="2">
        <v>3.6558982542010497E-4</v>
      </c>
      <c r="F48889" s="2">
        <v>2.0733035669702701E-4</v>
      </c>
    </row>
    <row r="48890" spans="1:6" x14ac:dyDescent="0.25">
      <c r="A48890" s="1" t="str">
        <f t="shared" si="1567"/>
        <v>99999</v>
      </c>
      <c r="B48890" s="1" t="str">
        <f>"52330"</f>
        <v>52330</v>
      </c>
      <c r="C48890" s="2">
        <v>4.1572181974431801E-5</v>
      </c>
      <c r="D48890" s="2">
        <v>7.5285444763821999E-6</v>
      </c>
      <c r="E48890" s="2">
        <v>1.29031703089449E-5</v>
      </c>
      <c r="F48890" s="2">
        <v>3.8683245990116401E-5</v>
      </c>
    </row>
    <row r="48891" spans="1:6" x14ac:dyDescent="0.25">
      <c r="A48891" s="1" t="str">
        <f t="shared" si="1567"/>
        <v>99999</v>
      </c>
      <c r="B48891" s="1" t="str">
        <f>"52218"</f>
        <v>52218</v>
      </c>
      <c r="C48891" s="2">
        <v>1.41821766631525E-5</v>
      </c>
      <c r="D48891" s="2">
        <v>1.50570889527644E-6</v>
      </c>
      <c r="E48891" s="2">
        <v>0</v>
      </c>
      <c r="F48891" s="2">
        <v>1.30259909966718E-5</v>
      </c>
    </row>
    <row r="48892" spans="1:6" x14ac:dyDescent="0.25">
      <c r="A48892" s="1" t="str">
        <f t="shared" si="1567"/>
        <v>99999</v>
      </c>
      <c r="B48892" s="1" t="str">
        <f>"52203"</f>
        <v>52203</v>
      </c>
      <c r="C48892" s="2">
        <v>9.5702627253639803E-5</v>
      </c>
      <c r="D48892" s="2">
        <v>1.2949096499377299E-4</v>
      </c>
      <c r="E48892" s="2">
        <v>1.2473064631979999E-4</v>
      </c>
      <c r="F48892" s="2">
        <v>9.8583068224812004E-5</v>
      </c>
    </row>
    <row r="48893" spans="1:6" x14ac:dyDescent="0.25">
      <c r="A48893" s="1" t="str">
        <f t="shared" si="1567"/>
        <v>99999</v>
      </c>
      <c r="B48893" s="1" t="str">
        <f>"52134"</f>
        <v>52134</v>
      </c>
      <c r="C48893" s="2">
        <v>1.9162177628839599E-5</v>
      </c>
      <c r="D48893" s="2">
        <v>2.25856334291466E-5</v>
      </c>
      <c r="E48893" s="2">
        <v>4.3010567696482999E-6</v>
      </c>
      <c r="F48893" s="2">
        <v>1.9045577745133799E-5</v>
      </c>
    </row>
    <row r="48894" spans="1:6" x14ac:dyDescent="0.25">
      <c r="A48894" s="1" t="str">
        <f t="shared" si="1567"/>
        <v>99999</v>
      </c>
      <c r="B48894" s="1" t="str">
        <f>"52146"</f>
        <v>52146</v>
      </c>
      <c r="C48894" s="2">
        <v>8.0546102575461604E-5</v>
      </c>
      <c r="D48894" s="2">
        <v>1.20456711622115E-5</v>
      </c>
      <c r="E48894" s="2">
        <v>4.7311624466131299E-5</v>
      </c>
      <c r="F48894" s="2">
        <v>7.5294175230762302E-5</v>
      </c>
    </row>
    <row r="48895" spans="1:6" x14ac:dyDescent="0.25">
      <c r="A48895" s="1" t="str">
        <f t="shared" si="1567"/>
        <v>99999</v>
      </c>
      <c r="B48895" s="1" t="str">
        <f>"52162"</f>
        <v>52162</v>
      </c>
      <c r="C48895" s="2">
        <v>1.6434003186767499E-4</v>
      </c>
      <c r="D48895" s="2">
        <v>2.0176499196704299E-4</v>
      </c>
      <c r="E48895" s="2">
        <v>4.1720250665588498E-4</v>
      </c>
      <c r="F48895" s="2">
        <v>1.7259438070590201E-4</v>
      </c>
    </row>
    <row r="48896" spans="1:6" x14ac:dyDescent="0.25">
      <c r="A48896" s="1" t="str">
        <f t="shared" si="1567"/>
        <v>99999</v>
      </c>
      <c r="B48896" s="1" t="str">
        <f>"52157"</f>
        <v>52157</v>
      </c>
      <c r="C48896" s="2">
        <v>1.07394803433948E-4</v>
      </c>
      <c r="D48896" s="2">
        <v>3.7642722381910999E-5</v>
      </c>
      <c r="E48896" s="2">
        <v>9.4623248932262599E-5</v>
      </c>
      <c r="F48896" s="2">
        <v>1.0253033822380301E-4</v>
      </c>
    </row>
    <row r="48897" spans="1:6" x14ac:dyDescent="0.25">
      <c r="A48897" s="1" t="str">
        <f t="shared" si="1567"/>
        <v>99999</v>
      </c>
      <c r="B48897" s="1" t="str">
        <f>"52224"</f>
        <v>52224</v>
      </c>
      <c r="C48897" s="2">
        <v>6.6688708583984303E-5</v>
      </c>
      <c r="D48897" s="2">
        <v>3.31255956960816E-5</v>
      </c>
      <c r="E48897" s="2">
        <v>3.01073973875381E-5</v>
      </c>
      <c r="F48897" s="2">
        <v>6.3649728733737403E-5</v>
      </c>
    </row>
    <row r="48898" spans="1:6" x14ac:dyDescent="0.25">
      <c r="A48898" s="1" t="str">
        <f t="shared" si="1567"/>
        <v>99999</v>
      </c>
      <c r="B48898" s="1" t="str">
        <f>"52334"</f>
        <v>52334</v>
      </c>
      <c r="C48898" s="2">
        <v>1.71052207082297E-5</v>
      </c>
      <c r="D48898" s="2">
        <v>4.5171266858293203E-6</v>
      </c>
      <c r="E48898" s="2">
        <v>8.6021135392965999E-6</v>
      </c>
      <c r="F48898" s="2">
        <v>1.60851252458902E-5</v>
      </c>
    </row>
    <row r="48899" spans="1:6" x14ac:dyDescent="0.25">
      <c r="A48899" s="1" t="str">
        <f t="shared" si="1567"/>
        <v>99999</v>
      </c>
      <c r="B48899" s="1" t="str">
        <f>"52217"</f>
        <v>52217</v>
      </c>
      <c r="C48899" s="2">
        <v>3.0962614699707001E-5</v>
      </c>
      <c r="D48899" s="2">
        <v>2.4091342324423E-5</v>
      </c>
      <c r="E48899" s="2">
        <v>4.3010567696482999E-6</v>
      </c>
      <c r="F48899" s="2">
        <v>2.99005702423604E-5</v>
      </c>
    </row>
    <row r="48900" spans="1:6" x14ac:dyDescent="0.25">
      <c r="A48900" s="1" t="str">
        <f t="shared" si="1567"/>
        <v>99999</v>
      </c>
      <c r="B48900" s="1" t="str">
        <f>"61025"</f>
        <v>61025</v>
      </c>
      <c r="C48900" s="2">
        <v>2.4499439533369499E-4</v>
      </c>
      <c r="D48900" s="2">
        <v>2.3037346097729499E-4</v>
      </c>
      <c r="E48900" s="2">
        <v>2.4085917910030401E-4</v>
      </c>
      <c r="F48900" s="2">
        <v>2.4394128593767299E-4</v>
      </c>
    </row>
    <row r="48901" spans="1:6" x14ac:dyDescent="0.25">
      <c r="A48901" s="1" t="str">
        <f t="shared" si="1567"/>
        <v>99999</v>
      </c>
      <c r="B48901" s="1" t="str">
        <f>"61041"</f>
        <v>61041</v>
      </c>
      <c r="C48901" s="2">
        <v>8.8016104023992307E-5</v>
      </c>
      <c r="D48901" s="2">
        <v>5.1194102439398901E-5</v>
      </c>
      <c r="E48901" s="2">
        <v>1.07526419241207E-4</v>
      </c>
      <c r="F48901" s="2">
        <v>8.6050485978014102E-5</v>
      </c>
    </row>
    <row r="48902" spans="1:6" x14ac:dyDescent="0.25">
      <c r="A48902" s="1" t="str">
        <f t="shared" ref="A48902:A48965" si="1568">"99999"</f>
        <v>99999</v>
      </c>
      <c r="B48902" s="1" t="str">
        <f>"54728"</f>
        <v>54728</v>
      </c>
      <c r="C48902" s="2">
        <v>3.68628332351407E-4</v>
      </c>
      <c r="D48902" s="2">
        <v>2.6952189225448199E-4</v>
      </c>
      <c r="E48902" s="2">
        <v>2.8386974679678702E-4</v>
      </c>
      <c r="F48902" s="2">
        <v>3.6018838740797099E-4</v>
      </c>
    </row>
    <row r="48903" spans="1:6" x14ac:dyDescent="0.25">
      <c r="A48903" s="1" t="str">
        <f t="shared" si="1568"/>
        <v>99999</v>
      </c>
      <c r="B48903" s="1" t="str">
        <f>"54653"</f>
        <v>54653</v>
      </c>
      <c r="C48903" s="2">
        <v>8.7691321352316998E-6</v>
      </c>
      <c r="D48903" s="2">
        <v>4.5171266858293203E-6</v>
      </c>
      <c r="E48903" s="2">
        <v>4.3010567696482999E-6</v>
      </c>
      <c r="F48903" s="2">
        <v>8.3879487478568692E-6</v>
      </c>
    </row>
    <row r="48904" spans="1:6" x14ac:dyDescent="0.25">
      <c r="A48904" s="1" t="str">
        <f t="shared" si="1568"/>
        <v>99999</v>
      </c>
      <c r="B48904" s="1" t="str">
        <f>"54832"</f>
        <v>54832</v>
      </c>
      <c r="C48904" s="2">
        <v>3.39939196353426E-5</v>
      </c>
      <c r="D48904" s="2">
        <v>1.50570889527644E-5</v>
      </c>
      <c r="E48904" s="2">
        <v>2.15052838482415E-5</v>
      </c>
      <c r="F48904" s="2">
        <v>3.2466295741704798E-5</v>
      </c>
    </row>
    <row r="48905" spans="1:6" x14ac:dyDescent="0.25">
      <c r="A48905" s="1" t="str">
        <f t="shared" si="1568"/>
        <v>99999</v>
      </c>
      <c r="B48905" s="1" t="str">
        <f>"54840"</f>
        <v>54840</v>
      </c>
      <c r="C48905" s="2">
        <v>2.7628179270507798E-4</v>
      </c>
      <c r="D48905" s="2">
        <v>1.2949096499377299E-4</v>
      </c>
      <c r="E48905" s="2">
        <v>2.0645072494311799E-4</v>
      </c>
      <c r="F48905" s="2">
        <v>2.6505918043227697E-4</v>
      </c>
    </row>
    <row r="48906" spans="1:6" x14ac:dyDescent="0.25">
      <c r="A48906" s="1" t="str">
        <f t="shared" si="1568"/>
        <v>99999</v>
      </c>
      <c r="B48906" s="1" t="str">
        <f>"54657"</f>
        <v>54657</v>
      </c>
      <c r="C48906" s="2">
        <v>2.0028264753306899E-5</v>
      </c>
      <c r="D48906" s="2">
        <v>0</v>
      </c>
      <c r="E48906" s="2">
        <v>4.3010567696482999E-6</v>
      </c>
      <c r="F48906" s="2">
        <v>1.8354805495310301E-5</v>
      </c>
    </row>
    <row r="48907" spans="1:6" x14ac:dyDescent="0.25">
      <c r="A48907" s="1" t="str">
        <f t="shared" si="1568"/>
        <v>99999</v>
      </c>
      <c r="B48907" s="1" t="str">
        <f>"54655"</f>
        <v>54655</v>
      </c>
      <c r="C48907" s="2">
        <v>9.4944801019730896E-5</v>
      </c>
      <c r="D48907" s="2">
        <v>2.7102760114975901E-5</v>
      </c>
      <c r="E48907" s="2">
        <v>6.4515851544724506E-5</v>
      </c>
      <c r="F48907" s="2">
        <v>8.9800392477055901E-5</v>
      </c>
    </row>
    <row r="48908" spans="1:6" x14ac:dyDescent="0.25">
      <c r="A48908" s="1" t="str">
        <f t="shared" si="1568"/>
        <v>99999</v>
      </c>
      <c r="B48908" s="1" t="str">
        <f>"54822"</f>
        <v>54822</v>
      </c>
      <c r="C48908" s="2">
        <v>2.39364829024658E-4</v>
      </c>
      <c r="D48908" s="2">
        <v>8.5825407030757094E-5</v>
      </c>
      <c r="E48908" s="2">
        <v>1.67741214016283E-4</v>
      </c>
      <c r="F48908" s="2">
        <v>2.2765879719183299E-4</v>
      </c>
    </row>
    <row r="48909" spans="1:6" x14ac:dyDescent="0.25">
      <c r="A48909" s="1" t="str">
        <f t="shared" si="1568"/>
        <v>99999</v>
      </c>
      <c r="B48909" s="1" t="str">
        <f>"54870"</f>
        <v>54870</v>
      </c>
      <c r="C48909" s="2">
        <v>1.2720654640613799E-4</v>
      </c>
      <c r="D48909" s="2">
        <v>4.0654140172463799E-5</v>
      </c>
      <c r="E48909" s="2">
        <v>2.15052838482415E-5</v>
      </c>
      <c r="F48909" s="2">
        <v>1.19108872219567E-4</v>
      </c>
    </row>
    <row r="48910" spans="1:6" x14ac:dyDescent="0.25">
      <c r="A48910" s="1" t="str">
        <f t="shared" si="1568"/>
        <v>99999</v>
      </c>
      <c r="B48910" s="1" t="str">
        <f>"54871"</f>
        <v>54871</v>
      </c>
      <c r="C48910" s="2">
        <v>1.968182990352E-4</v>
      </c>
      <c r="D48910" s="2">
        <v>6.6251191392163294E-5</v>
      </c>
      <c r="E48910" s="2">
        <v>1.2473064631979999E-4</v>
      </c>
      <c r="F48910" s="2">
        <v>1.86607189202321E-4</v>
      </c>
    </row>
    <row r="48911" spans="1:6" x14ac:dyDescent="0.25">
      <c r="A48911" s="1" t="str">
        <f t="shared" si="1568"/>
        <v>99999</v>
      </c>
      <c r="B48911" s="1" t="str">
        <f>"54856"</f>
        <v>54856</v>
      </c>
      <c r="C48911" s="2">
        <v>9.0073060944602205E-5</v>
      </c>
      <c r="D48911" s="2">
        <v>3.01141779055288E-5</v>
      </c>
      <c r="E48911" s="2">
        <v>2.58063406178898E-5</v>
      </c>
      <c r="F48911" s="2">
        <v>8.4668941478366997E-5</v>
      </c>
    </row>
    <row r="48912" spans="1:6" x14ac:dyDescent="0.25">
      <c r="A48912" s="1" t="str">
        <f t="shared" si="1568"/>
        <v>99999</v>
      </c>
      <c r="B48912" s="1" t="str">
        <f>"54850"</f>
        <v>54850</v>
      </c>
      <c r="C48912" s="2">
        <v>3.0746092918590099E-5</v>
      </c>
      <c r="D48912" s="2">
        <v>3.01141779055288E-6</v>
      </c>
      <c r="E48912" s="2">
        <v>0</v>
      </c>
      <c r="F48912" s="2">
        <v>2.8222980492788999E-5</v>
      </c>
    </row>
    <row r="48913" spans="1:6" x14ac:dyDescent="0.25">
      <c r="A48913" s="1" t="str">
        <f t="shared" si="1568"/>
        <v>99999</v>
      </c>
      <c r="B48913" s="1" t="str">
        <f>"55063"</f>
        <v>55063</v>
      </c>
      <c r="C48913" s="2">
        <v>5.1229053412242499E-4</v>
      </c>
      <c r="D48913" s="2">
        <v>4.8784968206956603E-4</v>
      </c>
      <c r="E48913" s="2">
        <v>4.9462152850955404E-4</v>
      </c>
      <c r="F48913" s="2">
        <v>5.1028332911962201E-4</v>
      </c>
    </row>
    <row r="48914" spans="1:6" x14ac:dyDescent="0.25">
      <c r="A48914" s="1" t="str">
        <f t="shared" si="1568"/>
        <v>99999</v>
      </c>
      <c r="B48914" s="1" t="str">
        <f>"54004"</f>
        <v>54004</v>
      </c>
      <c r="C48914" s="2">
        <v>1.09343499464E-4</v>
      </c>
      <c r="D48914" s="2">
        <v>4.3665557963016701E-5</v>
      </c>
      <c r="E48914" s="2">
        <v>1.37633816628745E-4</v>
      </c>
      <c r="F48914" s="2">
        <v>1.05688154222996E-4</v>
      </c>
    </row>
    <row r="48915" spans="1:6" x14ac:dyDescent="0.25">
      <c r="A48915" s="1" t="str">
        <f t="shared" si="1568"/>
        <v>99999</v>
      </c>
      <c r="B48915" s="1" t="str">
        <f>"54615"</f>
        <v>54615</v>
      </c>
      <c r="C48915" s="2">
        <v>5.2062662269542295E-4</v>
      </c>
      <c r="D48915" s="2">
        <v>6.5799478723580396E-4</v>
      </c>
      <c r="E48915" s="2">
        <v>9.8494200024946098E-4</v>
      </c>
      <c r="F48915" s="2">
        <v>5.4028258111195695E-4</v>
      </c>
    </row>
    <row r="48916" spans="1:6" x14ac:dyDescent="0.25">
      <c r="A48916" s="1" t="str">
        <f t="shared" si="1568"/>
        <v>99999</v>
      </c>
      <c r="B48916" s="1" t="str">
        <f>"54632"</f>
        <v>54632</v>
      </c>
      <c r="C48916" s="2">
        <v>5.2073488358598103E-5</v>
      </c>
      <c r="D48916" s="2">
        <v>1.9574215638593701E-5</v>
      </c>
      <c r="E48916" s="2">
        <v>5.5913738005427899E-5</v>
      </c>
      <c r="F48916" s="2">
        <v>5.0031647237216902E-5</v>
      </c>
    </row>
    <row r="48917" spans="1:6" x14ac:dyDescent="0.25">
      <c r="A48917" s="1" t="str">
        <f t="shared" si="1568"/>
        <v>99999</v>
      </c>
      <c r="B48917" s="1" t="str">
        <f>"61087"</f>
        <v>61087</v>
      </c>
      <c r="C48917" s="2">
        <v>9.4511757457497295E-5</v>
      </c>
      <c r="D48917" s="2">
        <v>6.4745482496886904E-5</v>
      </c>
      <c r="E48917" s="2">
        <v>1.11827476010855E-4</v>
      </c>
      <c r="F48917" s="2">
        <v>9.2958208476249095E-5</v>
      </c>
    </row>
    <row r="48918" spans="1:6" x14ac:dyDescent="0.25">
      <c r="A48918" s="1" t="str">
        <f t="shared" si="1568"/>
        <v>99999</v>
      </c>
      <c r="B48918" s="1" t="str">
        <f>"54983"</f>
        <v>54983</v>
      </c>
      <c r="C48918" s="2">
        <v>2.3351874093450301E-4</v>
      </c>
      <c r="D48918" s="2">
        <v>1.6713368737568399E-4</v>
      </c>
      <c r="E48918" s="2">
        <v>1.5913910047698701E-4</v>
      </c>
      <c r="F48918" s="2">
        <v>2.2746143369188301E-4</v>
      </c>
    </row>
    <row r="48919" spans="1:6" x14ac:dyDescent="0.25">
      <c r="A48919" s="1" t="str">
        <f t="shared" si="1568"/>
        <v>99999</v>
      </c>
      <c r="B48919" s="1" t="str">
        <f>"54490"</f>
        <v>54490</v>
      </c>
      <c r="C48919" s="2">
        <v>5.1640444796364502E-5</v>
      </c>
      <c r="D48919" s="2">
        <v>1.65627978480408E-5</v>
      </c>
      <c r="E48919" s="2">
        <v>2.15052838482415E-5</v>
      </c>
      <c r="F48919" s="2">
        <v>4.8650102737569798E-5</v>
      </c>
    </row>
    <row r="48920" spans="1:6" x14ac:dyDescent="0.25">
      <c r="A48920" s="1" t="str">
        <f t="shared" si="1568"/>
        <v>99999</v>
      </c>
      <c r="B48920" s="1" t="str">
        <f>"54524"</f>
        <v>54524</v>
      </c>
      <c r="C48920" s="2">
        <v>3.8649137929354497E-5</v>
      </c>
      <c r="D48920" s="2">
        <v>3.01141779055288E-6</v>
      </c>
      <c r="E48920" s="2">
        <v>1.29031703089449E-5</v>
      </c>
      <c r="F48920" s="2">
        <v>3.5722793490872802E-5</v>
      </c>
    </row>
    <row r="48921" spans="1:6" x14ac:dyDescent="0.25">
      <c r="A48921" s="1" t="str">
        <f t="shared" si="1568"/>
        <v>99999</v>
      </c>
      <c r="B48921" s="1" t="str">
        <f>"41301"</f>
        <v>41301</v>
      </c>
      <c r="C48921" s="2">
        <v>3.7176789817760099E-4</v>
      </c>
      <c r="D48921" s="2">
        <v>1.0991674935517999E-4</v>
      </c>
      <c r="E48921" s="2">
        <v>4.2580462019518102E-4</v>
      </c>
      <c r="F48921" s="2">
        <v>3.5584639040908098E-4</v>
      </c>
    </row>
    <row r="48922" spans="1:6" x14ac:dyDescent="0.25">
      <c r="A48922" s="1" t="str">
        <f t="shared" si="1568"/>
        <v>99999</v>
      </c>
      <c r="B48922" s="1" t="str">
        <f>"41204"</f>
        <v>41204</v>
      </c>
      <c r="C48922" s="2">
        <v>3.1395658261940602E-5</v>
      </c>
      <c r="D48922" s="2">
        <v>3.01141779055288E-6</v>
      </c>
      <c r="E48922" s="2">
        <v>4.3010567696482999E-6</v>
      </c>
      <c r="F48922" s="2">
        <v>2.89137527426125E-5</v>
      </c>
    </row>
    <row r="48923" spans="1:6" x14ac:dyDescent="0.25">
      <c r="A48923" s="1" t="str">
        <f t="shared" si="1568"/>
        <v>99999</v>
      </c>
      <c r="B48923" s="1" t="str">
        <f>"41255"</f>
        <v>41255</v>
      </c>
      <c r="C48923" s="2">
        <v>5.6079141309259497E-5</v>
      </c>
      <c r="D48923" s="2">
        <v>1.80685067433172E-5</v>
      </c>
      <c r="E48923" s="2">
        <v>4.3010567696482999E-6</v>
      </c>
      <c r="F48923" s="2">
        <v>5.2400009236611699E-5</v>
      </c>
    </row>
    <row r="48924" spans="1:6" x14ac:dyDescent="0.25">
      <c r="A48924" s="1" t="str">
        <f t="shared" si="1568"/>
        <v>99999</v>
      </c>
      <c r="B48924" s="1" t="str">
        <f>"40444"</f>
        <v>40444</v>
      </c>
      <c r="C48924" s="2">
        <v>7.4635057950972103E-4</v>
      </c>
      <c r="D48924" s="2">
        <v>6.0228355811057599E-4</v>
      </c>
      <c r="E48924" s="2">
        <v>4.51610960813071E-4</v>
      </c>
      <c r="F48924" s="2">
        <v>7.3014626806344697E-4</v>
      </c>
    </row>
    <row r="48925" spans="1:6" x14ac:dyDescent="0.25">
      <c r="A48925" s="1" t="str">
        <f t="shared" si="1568"/>
        <v>99999</v>
      </c>
      <c r="B48925" s="1" t="str">
        <f>"40330"</f>
        <v>40330</v>
      </c>
      <c r="C48925" s="2">
        <v>1.1525454408848901E-3</v>
      </c>
      <c r="D48925" s="2">
        <v>1.0344220110549099E-3</v>
      </c>
      <c r="E48925" s="2">
        <v>9.59135659631571E-4</v>
      </c>
      <c r="F48925" s="2">
        <v>1.1403663027086299E-3</v>
      </c>
    </row>
    <row r="48926" spans="1:6" x14ac:dyDescent="0.25">
      <c r="A48926" s="1" t="str">
        <f t="shared" si="1568"/>
        <v>99999</v>
      </c>
      <c r="B48926" s="1" t="str">
        <f>"40409"</f>
        <v>40409</v>
      </c>
      <c r="C48926" s="2">
        <v>1.8350220949651499E-4</v>
      </c>
      <c r="D48926" s="2">
        <v>5.2699811334675399E-5</v>
      </c>
      <c r="E48926" s="2">
        <v>1.67741214016283E-4</v>
      </c>
      <c r="F48926" s="2">
        <v>1.74568015705397E-4</v>
      </c>
    </row>
    <row r="48927" spans="1:6" x14ac:dyDescent="0.25">
      <c r="A48927" s="1" t="str">
        <f t="shared" si="1568"/>
        <v>99999</v>
      </c>
      <c r="B48927" s="1" t="str">
        <f>"40380"</f>
        <v>40380</v>
      </c>
      <c r="C48927" s="2">
        <v>3.5552876459383798E-4</v>
      </c>
      <c r="D48927" s="2">
        <v>3.2523312137971099E-4</v>
      </c>
      <c r="E48927" s="2">
        <v>3.2688031449327001E-4</v>
      </c>
      <c r="F48927" s="2">
        <v>3.5288593790983697E-4</v>
      </c>
    </row>
    <row r="48928" spans="1:6" x14ac:dyDescent="0.25">
      <c r="A48928" s="1" t="str">
        <f t="shared" si="1568"/>
        <v>99999</v>
      </c>
      <c r="B48928" s="1" t="str">
        <f>"44681"</f>
        <v>44681</v>
      </c>
      <c r="C48928" s="2">
        <v>9.3645670333029904E-5</v>
      </c>
      <c r="D48928" s="2">
        <v>7.3779735868545501E-5</v>
      </c>
      <c r="E48928" s="2">
        <v>8.6021135392965999E-6</v>
      </c>
      <c r="F48928" s="2">
        <v>9.0392482976904697E-5</v>
      </c>
    </row>
    <row r="48929" spans="1:6" x14ac:dyDescent="0.25">
      <c r="A48929" s="1" t="str">
        <f t="shared" si="1568"/>
        <v>99999</v>
      </c>
      <c r="B48929" s="1" t="str">
        <f>"41083"</f>
        <v>41083</v>
      </c>
      <c r="C48929" s="2">
        <v>3.75665290237704E-5</v>
      </c>
      <c r="D48929" s="2">
        <v>1.20456711622115E-5</v>
      </c>
      <c r="E48929" s="2">
        <v>1.72042270785932E-5</v>
      </c>
      <c r="F48929" s="2">
        <v>3.5426748240948397E-5</v>
      </c>
    </row>
    <row r="48930" spans="1:6" x14ac:dyDescent="0.25">
      <c r="A48930" s="1" t="str">
        <f t="shared" si="1568"/>
        <v>99999</v>
      </c>
      <c r="B48930" s="1" t="str">
        <f>"41045"</f>
        <v>41045</v>
      </c>
      <c r="C48930" s="2">
        <v>4.3304356223366401E-5</v>
      </c>
      <c r="D48930" s="2">
        <v>4.2159849067740298E-5</v>
      </c>
      <c r="E48930" s="2">
        <v>4.3010567696482999E-5</v>
      </c>
      <c r="F48930" s="2">
        <v>4.3222606488956597E-5</v>
      </c>
    </row>
    <row r="48931" spans="1:6" x14ac:dyDescent="0.25">
      <c r="A48931" s="1" t="str">
        <f t="shared" si="1568"/>
        <v>99999</v>
      </c>
      <c r="B48931" s="1" t="str">
        <f>"41093"</f>
        <v>41093</v>
      </c>
      <c r="C48931" s="2">
        <v>1.6574742344493501E-4</v>
      </c>
      <c r="D48931" s="2">
        <v>4.8182684648845999E-5</v>
      </c>
      <c r="E48931" s="2">
        <v>3.01073973875381E-5</v>
      </c>
      <c r="F48931" s="2">
        <v>1.54930347460415E-4</v>
      </c>
    </row>
    <row r="48932" spans="1:6" x14ac:dyDescent="0.25">
      <c r="A48932" s="1" t="str">
        <f t="shared" si="1568"/>
        <v>99999</v>
      </c>
      <c r="B48932" s="1" t="str">
        <f>"46148"</f>
        <v>46148</v>
      </c>
      <c r="C48932" s="2">
        <v>2.0569569206098999E-5</v>
      </c>
      <c r="D48932" s="2">
        <v>1.20456711622115E-5</v>
      </c>
      <c r="E48932" s="2">
        <v>0</v>
      </c>
      <c r="F48932" s="2">
        <v>1.95389864950077E-5</v>
      </c>
    </row>
    <row r="48933" spans="1:6" x14ac:dyDescent="0.25">
      <c r="A48933" s="1" t="str">
        <f t="shared" si="1568"/>
        <v>99999</v>
      </c>
      <c r="B48933" s="1" t="str">
        <f>"45775"</f>
        <v>45775</v>
      </c>
      <c r="C48933" s="2">
        <v>8.3793929292214105E-5</v>
      </c>
      <c r="D48933" s="2">
        <v>1.20456711622115E-5</v>
      </c>
      <c r="E48933" s="2">
        <v>0</v>
      </c>
      <c r="F48933" s="2">
        <v>7.7169128480283195E-5</v>
      </c>
    </row>
    <row r="48934" spans="1:6" x14ac:dyDescent="0.25">
      <c r="A48934" s="1" t="str">
        <f t="shared" si="1568"/>
        <v>99999</v>
      </c>
      <c r="B48934" s="1" t="str">
        <f>"47037"</f>
        <v>47037</v>
      </c>
      <c r="C48934" s="2">
        <v>2.0320569157814699E-4</v>
      </c>
      <c r="D48934" s="2">
        <v>2.00259283071766E-4</v>
      </c>
      <c r="E48934" s="2">
        <v>1.2042958955015201E-4</v>
      </c>
      <c r="F48934" s="2">
        <v>2.01113406448615E-4</v>
      </c>
    </row>
    <row r="48935" spans="1:6" x14ac:dyDescent="0.25">
      <c r="A48935" s="1" t="str">
        <f t="shared" si="1568"/>
        <v>99999</v>
      </c>
      <c r="B48935" s="1" t="str">
        <f>"47017"</f>
        <v>47017</v>
      </c>
      <c r="C48935" s="2">
        <v>2.9880005794122799E-5</v>
      </c>
      <c r="D48935" s="2">
        <v>1.20456711622115E-5</v>
      </c>
      <c r="E48935" s="2">
        <v>0</v>
      </c>
      <c r="F48935" s="2">
        <v>2.8025616992839402E-5</v>
      </c>
    </row>
    <row r="48936" spans="1:6" x14ac:dyDescent="0.25">
      <c r="A48936" s="1" t="str">
        <f t="shared" si="1568"/>
        <v>99999</v>
      </c>
      <c r="B48936" s="1" t="str">
        <f>"45697"</f>
        <v>45697</v>
      </c>
      <c r="C48936" s="2">
        <v>1.6055090069813099E-4</v>
      </c>
      <c r="D48936" s="2">
        <v>4.6676975753569603E-5</v>
      </c>
      <c r="E48936" s="2">
        <v>1.03225362471559E-4</v>
      </c>
      <c r="F48936" s="2">
        <v>1.5177253146122201E-4</v>
      </c>
    </row>
    <row r="48937" spans="1:6" x14ac:dyDescent="0.25">
      <c r="A48937" s="1" t="str">
        <f t="shared" si="1568"/>
        <v>99999</v>
      </c>
      <c r="B48937" s="1" t="str">
        <f>"45767"</f>
        <v>45767</v>
      </c>
      <c r="C48937" s="2">
        <v>3.7458268133211902E-5</v>
      </c>
      <c r="D48937" s="2">
        <v>1.0539962266935E-5</v>
      </c>
      <c r="E48937" s="2">
        <v>8.6021135392965999E-6</v>
      </c>
      <c r="F48937" s="2">
        <v>3.5032021241049297E-5</v>
      </c>
    </row>
    <row r="48938" spans="1:6" x14ac:dyDescent="0.25">
      <c r="A48938" s="1" t="str">
        <f t="shared" si="1568"/>
        <v>99999</v>
      </c>
      <c r="B48938" s="1" t="str">
        <f>"45671"</f>
        <v>45671</v>
      </c>
      <c r="C48938" s="2">
        <v>6.3873925429465503E-6</v>
      </c>
      <c r="D48938" s="2">
        <v>0</v>
      </c>
      <c r="E48938" s="2">
        <v>0</v>
      </c>
      <c r="F48938" s="2">
        <v>5.8222232485124198E-6</v>
      </c>
    </row>
    <row r="48939" spans="1:6" x14ac:dyDescent="0.25">
      <c r="A48939" s="1" t="str">
        <f t="shared" si="1568"/>
        <v>99999</v>
      </c>
      <c r="B48939" s="1" t="str">
        <f>"47042"</f>
        <v>47042</v>
      </c>
      <c r="C48939" s="2">
        <v>2.2225960831642801E-4</v>
      </c>
      <c r="D48939" s="2">
        <v>2.21339207605636E-4</v>
      </c>
      <c r="E48939" s="2">
        <v>3.0537503064502898E-4</v>
      </c>
      <c r="F48939" s="2">
        <v>2.2410625419274E-4</v>
      </c>
    </row>
    <row r="48940" spans="1:6" x14ac:dyDescent="0.25">
      <c r="A48940" s="1" t="str">
        <f t="shared" si="1568"/>
        <v>99999</v>
      </c>
      <c r="B48940" s="1" t="str">
        <f>"45770"</f>
        <v>45770</v>
      </c>
      <c r="C48940" s="2">
        <v>3.7999572586004001E-5</v>
      </c>
      <c r="D48940" s="2">
        <v>1.0539962266935E-5</v>
      </c>
      <c r="E48940" s="2">
        <v>0</v>
      </c>
      <c r="F48940" s="2">
        <v>3.53280664909736E-5</v>
      </c>
    </row>
    <row r="48941" spans="1:6" x14ac:dyDescent="0.25">
      <c r="A48941" s="1" t="str">
        <f t="shared" si="1568"/>
        <v>99999</v>
      </c>
      <c r="B48941" s="1" t="str">
        <f>"45634"</f>
        <v>45634</v>
      </c>
      <c r="C48941" s="2">
        <v>1.00790889109885E-4</v>
      </c>
      <c r="D48941" s="2">
        <v>2.7102760114975901E-5</v>
      </c>
      <c r="E48941" s="2">
        <v>0</v>
      </c>
      <c r="F48941" s="2">
        <v>9.36489807260726E-5</v>
      </c>
    </row>
    <row r="48942" spans="1:6" x14ac:dyDescent="0.25">
      <c r="A48942" s="1" t="str">
        <f t="shared" si="1568"/>
        <v>99999</v>
      </c>
      <c r="B48942" s="1" t="str">
        <f>"43351"</f>
        <v>43351</v>
      </c>
      <c r="C48942" s="2">
        <v>5.1813662221257897E-4</v>
      </c>
      <c r="D48942" s="2">
        <v>7.5586586542877301E-4</v>
      </c>
      <c r="E48942" s="2">
        <v>5.8494372067216895E-4</v>
      </c>
      <c r="F48942" s="2">
        <v>5.3524981186324299E-4</v>
      </c>
    </row>
    <row r="48943" spans="1:6" x14ac:dyDescent="0.25">
      <c r="A48943" s="1" t="str">
        <f t="shared" si="1568"/>
        <v>99999</v>
      </c>
      <c r="B48943" s="1" t="str">
        <f>"43345"</f>
        <v>43345</v>
      </c>
      <c r="C48943" s="2">
        <v>2.2626526126708901E-5</v>
      </c>
      <c r="D48943" s="2">
        <v>4.5171266858293203E-6</v>
      </c>
      <c r="E48943" s="2">
        <v>0</v>
      </c>
      <c r="F48943" s="2">
        <v>2.0920530994654801E-5</v>
      </c>
    </row>
    <row r="48944" spans="1:6" x14ac:dyDescent="0.25">
      <c r="A48944" s="1" t="str">
        <f t="shared" si="1568"/>
        <v>99999</v>
      </c>
      <c r="B48944" s="1" t="str">
        <f>"45003"</f>
        <v>45003</v>
      </c>
      <c r="C48944" s="2">
        <v>2.85808751074218E-5</v>
      </c>
      <c r="D48944" s="2">
        <v>4.5171266858293203E-6</v>
      </c>
      <c r="E48944" s="2">
        <v>3.01073973875381E-5</v>
      </c>
      <c r="F48944" s="2">
        <v>2.7038799493091499E-5</v>
      </c>
    </row>
    <row r="48945" spans="1:6" x14ac:dyDescent="0.25">
      <c r="A48945" s="1" t="str">
        <f t="shared" si="1568"/>
        <v>99999</v>
      </c>
      <c r="B48945" s="1" t="str">
        <f>"46534"</f>
        <v>46534</v>
      </c>
      <c r="C48945" s="2">
        <v>6.1578794549627103E-4</v>
      </c>
      <c r="D48945" s="2">
        <v>6.3691486270193401E-4</v>
      </c>
      <c r="E48945" s="2">
        <v>4.4730990404342298E-4</v>
      </c>
      <c r="F48945" s="2">
        <v>6.1330707609329996E-4</v>
      </c>
    </row>
    <row r="48946" spans="1:6" x14ac:dyDescent="0.25">
      <c r="A48946" s="1" t="str">
        <f t="shared" si="1568"/>
        <v>99999</v>
      </c>
      <c r="B48946" s="1" t="str">
        <f>"46539"</f>
        <v>46539</v>
      </c>
      <c r="C48946" s="2">
        <v>3.0313049356356498E-6</v>
      </c>
      <c r="D48946" s="2">
        <v>0</v>
      </c>
      <c r="E48946" s="2">
        <v>0</v>
      </c>
      <c r="F48946" s="2">
        <v>2.76308899929403E-6</v>
      </c>
    </row>
    <row r="48947" spans="1:6" x14ac:dyDescent="0.25">
      <c r="A48947" s="1" t="str">
        <f t="shared" si="1568"/>
        <v>99999</v>
      </c>
      <c r="B48947" s="1" t="str">
        <f>"47453"</f>
        <v>47453</v>
      </c>
      <c r="C48947" s="2">
        <v>3.2261745386408E-5</v>
      </c>
      <c r="D48947" s="2">
        <v>2.8608469010252301E-5</v>
      </c>
      <c r="E48947" s="2">
        <v>4.3010567696482999E-6</v>
      </c>
      <c r="F48947" s="2">
        <v>3.1380796491982199E-5</v>
      </c>
    </row>
    <row r="48948" spans="1:6" x14ac:dyDescent="0.25">
      <c r="A48948" s="1" t="str">
        <f t="shared" si="1568"/>
        <v>99999</v>
      </c>
      <c r="B48948" s="1" t="str">
        <f>"47462"</f>
        <v>47462</v>
      </c>
      <c r="C48948" s="2">
        <v>6.3657403648348704E-5</v>
      </c>
      <c r="D48948" s="2">
        <v>1.9574215638593701E-5</v>
      </c>
      <c r="E48948" s="2">
        <v>0</v>
      </c>
      <c r="F48948" s="2">
        <v>5.9307731734846801E-5</v>
      </c>
    </row>
    <row r="48949" spans="1:6" x14ac:dyDescent="0.25">
      <c r="A48949" s="1" t="str">
        <f t="shared" si="1568"/>
        <v>99999</v>
      </c>
      <c r="B48949" s="1" t="str">
        <f>"47352"</f>
        <v>47352</v>
      </c>
      <c r="C48949" s="2">
        <v>7.6865232296475401E-6</v>
      </c>
      <c r="D48949" s="2">
        <v>4.5171266858293203E-6</v>
      </c>
      <c r="E48949" s="2">
        <v>0</v>
      </c>
      <c r="F48949" s="2">
        <v>7.3024494981342204E-6</v>
      </c>
    </row>
    <row r="48950" spans="1:6" x14ac:dyDescent="0.25">
      <c r="A48950" s="1" t="str">
        <f t="shared" si="1568"/>
        <v>99999</v>
      </c>
      <c r="B48950" s="1" t="str">
        <f>"47553"</f>
        <v>47553</v>
      </c>
      <c r="C48950" s="2">
        <v>3.0226440643909701E-4</v>
      </c>
      <c r="D48950" s="2">
        <v>3.2824453917026399E-4</v>
      </c>
      <c r="E48950" s="2">
        <v>1.4623593016804199E-4</v>
      </c>
      <c r="F48950" s="2">
        <v>3.0038724692325099E-4</v>
      </c>
    </row>
    <row r="48951" spans="1:6" x14ac:dyDescent="0.25">
      <c r="A48951" s="1" t="str">
        <f t="shared" si="1568"/>
        <v>99999</v>
      </c>
      <c r="B48951" s="1" t="str">
        <f>"47586"</f>
        <v>47586</v>
      </c>
      <c r="C48951" s="2">
        <v>6.4859099533547105E-4</v>
      </c>
      <c r="D48951" s="2">
        <v>7.8296862554374895E-4</v>
      </c>
      <c r="E48951" s="2">
        <v>7.2257753730091401E-4</v>
      </c>
      <c r="F48951" s="2">
        <v>6.5909540808160101E-4</v>
      </c>
    </row>
    <row r="48952" spans="1:6" x14ac:dyDescent="0.25">
      <c r="A48952" s="1" t="str">
        <f t="shared" si="1568"/>
        <v>99999</v>
      </c>
      <c r="B48952" s="1" t="str">
        <f>"47946"</f>
        <v>47946</v>
      </c>
      <c r="C48952" s="2">
        <v>6.3116099195556605E-5</v>
      </c>
      <c r="D48952" s="2">
        <v>5.1194102439398901E-5</v>
      </c>
      <c r="E48952" s="2">
        <v>7.3117965084021106E-5</v>
      </c>
      <c r="F48952" s="2">
        <v>6.2564229484014805E-5</v>
      </c>
    </row>
    <row r="48953" spans="1:6" x14ac:dyDescent="0.25">
      <c r="A48953" s="1" t="str">
        <f t="shared" si="1568"/>
        <v>99999</v>
      </c>
      <c r="B48953" s="1" t="str">
        <f>"48728"</f>
        <v>48728</v>
      </c>
      <c r="C48953" s="2">
        <v>3.9515225053821902E-5</v>
      </c>
      <c r="D48953" s="2">
        <v>1.50570889527644E-5</v>
      </c>
      <c r="E48953" s="2">
        <v>0</v>
      </c>
      <c r="F48953" s="2">
        <v>3.7005656240545001E-5</v>
      </c>
    </row>
    <row r="48954" spans="1:6" x14ac:dyDescent="0.25">
      <c r="A48954" s="1" t="str">
        <f t="shared" si="1568"/>
        <v>99999</v>
      </c>
      <c r="B48954" s="1" t="str">
        <f>"48739"</f>
        <v>48739</v>
      </c>
      <c r="C48954" s="2">
        <v>3.5531224281272098E-4</v>
      </c>
      <c r="D48954" s="2">
        <v>1.71650814061514E-4</v>
      </c>
      <c r="E48954" s="2">
        <v>5.1612681235779599E-5</v>
      </c>
      <c r="F48954" s="2">
        <v>3.3630740391407302E-4</v>
      </c>
    </row>
    <row r="48955" spans="1:6" x14ac:dyDescent="0.25">
      <c r="A48955" s="1" t="str">
        <f t="shared" si="1568"/>
        <v>99999</v>
      </c>
      <c r="B48955" s="1" t="str">
        <f>"48624"</f>
        <v>48624</v>
      </c>
      <c r="C48955" s="2">
        <v>1.17354805365323E-3</v>
      </c>
      <c r="D48955" s="2">
        <v>8.3566843687842398E-4</v>
      </c>
      <c r="E48955" s="2">
        <v>5.6343843682392695E-4</v>
      </c>
      <c r="F48955" s="2">
        <v>1.1374058502093901E-3</v>
      </c>
    </row>
    <row r="48956" spans="1:6" x14ac:dyDescent="0.25">
      <c r="A48956" s="1" t="str">
        <f t="shared" si="1568"/>
        <v>99999</v>
      </c>
      <c r="B48956" s="1" t="str">
        <f>"48746"</f>
        <v>48746</v>
      </c>
      <c r="C48956" s="2">
        <v>3.5791050418612299E-4</v>
      </c>
      <c r="D48956" s="2">
        <v>1.6412226958513199E-4</v>
      </c>
      <c r="E48956" s="2">
        <v>1.63440157246635E-4</v>
      </c>
      <c r="F48956" s="2">
        <v>3.40748082662938E-4</v>
      </c>
    </row>
    <row r="48957" spans="1:6" x14ac:dyDescent="0.25">
      <c r="A48957" s="1" t="str">
        <f t="shared" si="1568"/>
        <v>99999</v>
      </c>
      <c r="B48957" s="1" t="str">
        <f>"48661"</f>
        <v>48661</v>
      </c>
      <c r="C48957" s="2">
        <v>6.6082447596857202E-4</v>
      </c>
      <c r="D48957" s="2">
        <v>9.0944817274697003E-4</v>
      </c>
      <c r="E48957" s="2">
        <v>5.5053526651498196E-4</v>
      </c>
      <c r="F48957" s="2">
        <v>6.7458844282764201E-4</v>
      </c>
    </row>
    <row r="48958" spans="1:6" x14ac:dyDescent="0.25">
      <c r="A48958" s="1" t="str">
        <f t="shared" si="1568"/>
        <v>99999</v>
      </c>
      <c r="B48958" s="1" t="str">
        <f>"48720"</f>
        <v>48720</v>
      </c>
      <c r="C48958" s="2">
        <v>6.8529143723477395E-5</v>
      </c>
      <c r="D48958" s="2">
        <v>3.1619886800805203E-5</v>
      </c>
      <c r="E48958" s="2">
        <v>2.58063406178898E-5</v>
      </c>
      <c r="F48958" s="2">
        <v>6.5129954983359203E-5</v>
      </c>
    </row>
    <row r="48959" spans="1:6" x14ac:dyDescent="0.25">
      <c r="A48959" s="1" t="str">
        <f t="shared" si="1568"/>
        <v>99999</v>
      </c>
      <c r="B48959" s="1" t="str">
        <f>"48632"</f>
        <v>48632</v>
      </c>
      <c r="C48959" s="2">
        <v>3.40805283477894E-4</v>
      </c>
      <c r="D48959" s="2">
        <v>4.5171266858293199E-5</v>
      </c>
      <c r="E48959" s="2">
        <v>2.58063406178898E-5</v>
      </c>
      <c r="F48959" s="2">
        <v>3.1420269191972098E-4</v>
      </c>
    </row>
    <row r="48960" spans="1:6" x14ac:dyDescent="0.25">
      <c r="A48960" s="1" t="str">
        <f t="shared" si="1568"/>
        <v>99999</v>
      </c>
      <c r="B48960" s="1" t="str">
        <f>"48654"</f>
        <v>48654</v>
      </c>
      <c r="C48960" s="2">
        <v>1.7354220756514099E-4</v>
      </c>
      <c r="D48960" s="2">
        <v>1.4906518063236701E-4</v>
      </c>
      <c r="E48960" s="2">
        <v>9.4623248932262599E-5</v>
      </c>
      <c r="F48960" s="2">
        <v>1.7012733695653199E-4</v>
      </c>
    </row>
    <row r="48961" spans="1:6" x14ac:dyDescent="0.25">
      <c r="A48961" s="1" t="str">
        <f t="shared" si="1568"/>
        <v>99999</v>
      </c>
      <c r="B48961" s="1" t="str">
        <f>"48612"</f>
        <v>48612</v>
      </c>
      <c r="C48961" s="2">
        <v>6.0636924801768803E-4</v>
      </c>
      <c r="D48961" s="2">
        <v>2.8608469010252301E-4</v>
      </c>
      <c r="E48961" s="2">
        <v>1.63440157246635E-4</v>
      </c>
      <c r="F48961" s="2">
        <v>5.7521592060303197E-4</v>
      </c>
    </row>
    <row r="48962" spans="1:6" x14ac:dyDescent="0.25">
      <c r="A48962" s="1" t="str">
        <f t="shared" si="1568"/>
        <v>99999</v>
      </c>
      <c r="B48962" s="1" t="str">
        <f>"48741"</f>
        <v>48741</v>
      </c>
      <c r="C48962" s="2">
        <v>1.02847846030495E-4</v>
      </c>
      <c r="D48962" s="2">
        <v>3.7642722381910999E-5</v>
      </c>
      <c r="E48962" s="2">
        <v>2.58063406178898E-5</v>
      </c>
      <c r="F48962" s="2">
        <v>9.6806796725265793E-5</v>
      </c>
    </row>
    <row r="48963" spans="1:6" x14ac:dyDescent="0.25">
      <c r="A48963" s="1" t="str">
        <f t="shared" si="1568"/>
        <v>99999</v>
      </c>
      <c r="B48963" s="1" t="str">
        <f>"48761"</f>
        <v>48761</v>
      </c>
      <c r="C48963" s="2">
        <v>9.8517410408158703E-5</v>
      </c>
      <c r="D48963" s="2">
        <v>1.50570889527644E-5</v>
      </c>
      <c r="E48963" s="2">
        <v>0</v>
      </c>
      <c r="F48963" s="2">
        <v>9.0787209976803804E-5</v>
      </c>
    </row>
    <row r="48964" spans="1:6" x14ac:dyDescent="0.25">
      <c r="A48964" s="1" t="str">
        <f t="shared" si="1568"/>
        <v>99999</v>
      </c>
      <c r="B48964" s="1" t="str">
        <f>"48413"</f>
        <v>48413</v>
      </c>
      <c r="C48964" s="2">
        <v>3.8107833476562399E-4</v>
      </c>
      <c r="D48964" s="2">
        <v>8.5975977920284697E-4</v>
      </c>
      <c r="E48964" s="2">
        <v>7.0107225345267298E-4</v>
      </c>
      <c r="F48964" s="2">
        <v>4.1979216439274301E-4</v>
      </c>
    </row>
    <row r="48965" spans="1:6" x14ac:dyDescent="0.25">
      <c r="A48965" s="1" t="str">
        <f t="shared" si="1568"/>
        <v>99999</v>
      </c>
      <c r="B48965" s="1" t="str">
        <f>"48435"</f>
        <v>48435</v>
      </c>
      <c r="C48965" s="2">
        <v>5.2506531920831798E-5</v>
      </c>
      <c r="D48965" s="2">
        <v>9.0342533716586405E-6</v>
      </c>
      <c r="E48965" s="2">
        <v>1.29031703089449E-5</v>
      </c>
      <c r="F48965" s="2">
        <v>4.8748784487544602E-5</v>
      </c>
    </row>
    <row r="48966" spans="1:6" x14ac:dyDescent="0.25">
      <c r="A48966" s="1" t="str">
        <f t="shared" ref="A48966:A49029" si="1569">"99999"</f>
        <v>99999</v>
      </c>
      <c r="B48966" s="1" t="str">
        <f>"49679"</f>
        <v>49679</v>
      </c>
      <c r="C48966" s="2">
        <v>7.13439268779962E-5</v>
      </c>
      <c r="D48966" s="2">
        <v>2.55970512196994E-5</v>
      </c>
      <c r="E48966" s="2">
        <v>1.72042270785932E-5</v>
      </c>
      <c r="F48966" s="2">
        <v>6.7103589982854994E-5</v>
      </c>
    </row>
    <row r="48967" spans="1:6" x14ac:dyDescent="0.25">
      <c r="A48967" s="1" t="str">
        <f t="shared" si="1569"/>
        <v>99999</v>
      </c>
      <c r="B48967" s="1" t="str">
        <f>"49720"</f>
        <v>49720</v>
      </c>
      <c r="C48967" s="2">
        <v>6.9178709066827901E-4</v>
      </c>
      <c r="D48967" s="2">
        <v>7.4080877647600797E-4</v>
      </c>
      <c r="E48967" s="2">
        <v>9.0322192162614297E-4</v>
      </c>
      <c r="F48967" s="2">
        <v>6.99850970821188E-4</v>
      </c>
    </row>
    <row r="48968" spans="1:6" x14ac:dyDescent="0.25">
      <c r="A48968" s="1" t="str">
        <f t="shared" si="1569"/>
        <v>99999</v>
      </c>
      <c r="B48968" s="1" t="str">
        <f>"49747"</f>
        <v>49747</v>
      </c>
      <c r="C48968" s="2">
        <v>7.3076101126930902E-5</v>
      </c>
      <c r="D48968" s="2">
        <v>3.01141779055288E-5</v>
      </c>
      <c r="E48968" s="2">
        <v>1.72042270785932E-5</v>
      </c>
      <c r="F48968" s="2">
        <v>6.8978543232375901E-5</v>
      </c>
    </row>
    <row r="48969" spans="1:6" x14ac:dyDescent="0.25">
      <c r="A48969" s="1" t="str">
        <f t="shared" si="1569"/>
        <v>99999</v>
      </c>
      <c r="B48969" s="1" t="str">
        <f>"49755"</f>
        <v>49755</v>
      </c>
      <c r="C48969" s="2">
        <v>1.40739157725941E-4</v>
      </c>
      <c r="D48969" s="2">
        <v>7.5285444763821999E-6</v>
      </c>
      <c r="E48969" s="2">
        <v>8.6021135392965999E-6</v>
      </c>
      <c r="F48969" s="2">
        <v>1.2897704721704601E-4</v>
      </c>
    </row>
    <row r="48970" spans="1:6" x14ac:dyDescent="0.25">
      <c r="A48970" s="1" t="str">
        <f t="shared" si="1569"/>
        <v>99999</v>
      </c>
      <c r="B48970" s="1" t="str">
        <f>"49655"</f>
        <v>49655</v>
      </c>
      <c r="C48970" s="2">
        <v>1.9043090649225401E-4</v>
      </c>
      <c r="D48970" s="2">
        <v>3.9148431277187403E-5</v>
      </c>
      <c r="E48970" s="2">
        <v>0</v>
      </c>
      <c r="F48970" s="2">
        <v>1.7614692370499399E-4</v>
      </c>
    </row>
    <row r="48971" spans="1:6" x14ac:dyDescent="0.25">
      <c r="A48971" s="1" t="str">
        <f t="shared" si="1569"/>
        <v>99999</v>
      </c>
      <c r="B48971" s="1" t="str">
        <f>"49769"</f>
        <v>49769</v>
      </c>
      <c r="C48971" s="2">
        <v>1.02414802468261E-4</v>
      </c>
      <c r="D48971" s="2">
        <v>8.1308280344927694E-5</v>
      </c>
      <c r="E48971" s="2">
        <v>3.01073973875381E-5</v>
      </c>
      <c r="F48971" s="2">
        <v>9.9372522224610299E-5</v>
      </c>
    </row>
    <row r="48972" spans="1:6" x14ac:dyDescent="0.25">
      <c r="A48972" s="1" t="str">
        <f t="shared" si="1569"/>
        <v>99999</v>
      </c>
      <c r="B48972" s="1" t="str">
        <f>"49816"</f>
        <v>49816</v>
      </c>
      <c r="C48972" s="2">
        <v>1.77547860515802E-5</v>
      </c>
      <c r="D48972" s="2">
        <v>4.5171266858293203E-6</v>
      </c>
      <c r="E48972" s="2">
        <v>4.3010567696482999E-6</v>
      </c>
      <c r="F48972" s="2">
        <v>1.65785339957641E-5</v>
      </c>
    </row>
    <row r="48973" spans="1:6" x14ac:dyDescent="0.25">
      <c r="A48973" s="1" t="str">
        <f t="shared" si="1569"/>
        <v>99999</v>
      </c>
      <c r="B48973" s="1" t="str">
        <f>"49452"</f>
        <v>49452</v>
      </c>
      <c r="C48973" s="2">
        <v>1.00790889109885E-4</v>
      </c>
      <c r="D48973" s="2">
        <v>3.6137013486634501E-5</v>
      </c>
      <c r="E48973" s="2">
        <v>8.6021135392965999E-6</v>
      </c>
      <c r="F48973" s="2">
        <v>9.4438434725870895E-5</v>
      </c>
    </row>
    <row r="48974" spans="1:6" x14ac:dyDescent="0.25">
      <c r="A48974" s="1" t="str">
        <f t="shared" si="1569"/>
        <v>99999</v>
      </c>
      <c r="B48974" s="1" t="str">
        <f>"49625"</f>
        <v>49625</v>
      </c>
      <c r="C48974" s="2">
        <v>7.0477839753528904E-5</v>
      </c>
      <c r="D48974" s="2">
        <v>3.01141779055288E-5</v>
      </c>
      <c r="E48974" s="2">
        <v>8.6021135392965999E-6</v>
      </c>
      <c r="F48974" s="2">
        <v>6.6412817733031503E-5</v>
      </c>
    </row>
    <row r="48975" spans="1:6" x14ac:dyDescent="0.25">
      <c r="A48975" s="1" t="str">
        <f t="shared" si="1569"/>
        <v>99999</v>
      </c>
      <c r="B48975" s="1" t="str">
        <f>"49639"</f>
        <v>49639</v>
      </c>
      <c r="C48975" s="2">
        <v>1.14973065773037E-4</v>
      </c>
      <c r="D48975" s="2">
        <v>1.02388204878797E-4</v>
      </c>
      <c r="E48975" s="2">
        <v>1.72042270785932E-5</v>
      </c>
      <c r="F48975" s="2">
        <v>1.11905104471408E-4</v>
      </c>
    </row>
    <row r="48976" spans="1:6" x14ac:dyDescent="0.25">
      <c r="A48976" s="1" t="str">
        <f t="shared" si="1569"/>
        <v>99999</v>
      </c>
      <c r="B48976" s="1" t="str">
        <f>"49614"</f>
        <v>49614</v>
      </c>
      <c r="C48976" s="2">
        <v>1.9205481985063E-4</v>
      </c>
      <c r="D48976" s="2">
        <v>6.1734064706334002E-5</v>
      </c>
      <c r="E48976" s="2">
        <v>5.5913738005427899E-5</v>
      </c>
      <c r="F48976" s="2">
        <v>1.8039023895390999E-4</v>
      </c>
    </row>
    <row r="48977" spans="1:6" x14ac:dyDescent="0.25">
      <c r="A48977" s="1" t="str">
        <f t="shared" si="1569"/>
        <v>99999</v>
      </c>
      <c r="B48977" s="1" t="str">
        <f>"49459"</f>
        <v>49459</v>
      </c>
      <c r="C48977" s="2">
        <v>9.1913496084095297E-5</v>
      </c>
      <c r="D48977" s="2">
        <v>3.4631304591358098E-5</v>
      </c>
      <c r="E48977" s="2">
        <v>8.6021135392965999E-6</v>
      </c>
      <c r="F48977" s="2">
        <v>8.6247849477963601E-5</v>
      </c>
    </row>
    <row r="48978" spans="1:6" x14ac:dyDescent="0.25">
      <c r="A48978" s="1" t="str">
        <f t="shared" si="1569"/>
        <v>99999</v>
      </c>
      <c r="B48978" s="1" t="str">
        <f>"51041"</f>
        <v>51041</v>
      </c>
      <c r="C48978" s="2">
        <v>4.2752225681518501E-4</v>
      </c>
      <c r="D48978" s="2">
        <v>4.9236680875539604E-4</v>
      </c>
      <c r="E48978" s="2">
        <v>7.0107225345267298E-4</v>
      </c>
      <c r="F48978" s="2">
        <v>4.3804828813807798E-4</v>
      </c>
    </row>
    <row r="48979" spans="1:6" x14ac:dyDescent="0.25">
      <c r="A48979" s="1" t="str">
        <f t="shared" si="1569"/>
        <v>99999</v>
      </c>
      <c r="B48979" s="1" t="str">
        <f>"51049"</f>
        <v>51049</v>
      </c>
      <c r="C48979" s="2">
        <v>2.85808751074218E-5</v>
      </c>
      <c r="D48979" s="2">
        <v>3.01141779055288E-5</v>
      </c>
      <c r="E48979" s="2">
        <v>4.3010567696482999E-6</v>
      </c>
      <c r="F48979" s="2">
        <v>2.8124298742814199E-5</v>
      </c>
    </row>
    <row r="48980" spans="1:6" x14ac:dyDescent="0.25">
      <c r="A48980" s="1" t="str">
        <f t="shared" si="1569"/>
        <v>99999</v>
      </c>
      <c r="B48980" s="1" t="str">
        <f>"51450"</f>
        <v>51450</v>
      </c>
      <c r="C48980" s="2">
        <v>1.1540610933527101E-4</v>
      </c>
      <c r="D48980" s="2">
        <v>3.7642722381910999E-5</v>
      </c>
      <c r="E48980" s="2">
        <v>7.7419021853669399E-5</v>
      </c>
      <c r="F48980" s="2">
        <v>1.09438060722038E-4</v>
      </c>
    </row>
    <row r="48981" spans="1:6" x14ac:dyDescent="0.25">
      <c r="A48981" s="1" t="str">
        <f t="shared" si="1569"/>
        <v>99999</v>
      </c>
      <c r="B48981" s="1" t="str">
        <f>"51465"</f>
        <v>51465</v>
      </c>
      <c r="C48981" s="2">
        <v>3.5726093884277302E-5</v>
      </c>
      <c r="D48981" s="2">
        <v>7.5285444763821999E-6</v>
      </c>
      <c r="E48981" s="2">
        <v>3.01073973875381E-5</v>
      </c>
      <c r="F48981" s="2">
        <v>3.3749158491377003E-5</v>
      </c>
    </row>
    <row r="48982" spans="1:6" x14ac:dyDescent="0.25">
      <c r="A48982" s="1" t="str">
        <f t="shared" si="1569"/>
        <v>99999</v>
      </c>
      <c r="B48982" s="1" t="str">
        <f>"51036"</f>
        <v>51036</v>
      </c>
      <c r="C48982" s="2">
        <v>2.9771744903564399E-5</v>
      </c>
      <c r="D48982" s="2">
        <v>2.1079924533870101E-5</v>
      </c>
      <c r="E48982" s="2">
        <v>0</v>
      </c>
      <c r="F48982" s="2">
        <v>2.8519025742713299E-5</v>
      </c>
    </row>
    <row r="48983" spans="1:6" x14ac:dyDescent="0.25">
      <c r="A48983" s="1" t="str">
        <f t="shared" si="1569"/>
        <v>99999</v>
      </c>
      <c r="B48983" s="1" t="str">
        <f>"51241"</f>
        <v>51241</v>
      </c>
      <c r="C48983" s="2">
        <v>8.2819581277188297E-5</v>
      </c>
      <c r="D48983" s="2">
        <v>1.9574215638593701E-5</v>
      </c>
      <c r="E48983" s="2">
        <v>3.8709510926834699E-5</v>
      </c>
      <c r="F48983" s="2">
        <v>7.76625372301572E-5</v>
      </c>
    </row>
    <row r="48984" spans="1:6" x14ac:dyDescent="0.25">
      <c r="A48984" s="1" t="str">
        <f t="shared" si="1569"/>
        <v>99999</v>
      </c>
      <c r="B48984" s="1" t="str">
        <f>"51005"</f>
        <v>51005</v>
      </c>
      <c r="C48984" s="2">
        <v>7.2534796674138803E-5</v>
      </c>
      <c r="D48984" s="2">
        <v>5.7216938020504697E-5</v>
      </c>
      <c r="E48984" s="2">
        <v>3.01073973875381E-5</v>
      </c>
      <c r="F48984" s="2">
        <v>7.0557451231972505E-5</v>
      </c>
    </row>
    <row r="48985" spans="1:6" x14ac:dyDescent="0.25">
      <c r="A48985" s="1" t="str">
        <f t="shared" si="1569"/>
        <v>99999</v>
      </c>
      <c r="B48985" s="1" t="str">
        <f>"38061"</f>
        <v>38061</v>
      </c>
      <c r="C48985" s="2">
        <v>6.75547957084516E-5</v>
      </c>
      <c r="D48985" s="2">
        <v>3.9148431277187403E-5</v>
      </c>
      <c r="E48985" s="2">
        <v>0</v>
      </c>
      <c r="F48985" s="2">
        <v>6.4143137483611395E-5</v>
      </c>
    </row>
    <row r="48986" spans="1:6" x14ac:dyDescent="0.25">
      <c r="A48986" s="1" t="str">
        <f t="shared" si="1569"/>
        <v>99999</v>
      </c>
      <c r="B48986" s="1" t="str">
        <f>"38075"</f>
        <v>38075</v>
      </c>
      <c r="C48986" s="2">
        <v>1.28830459764515E-4</v>
      </c>
      <c r="D48986" s="2">
        <v>1.17445293831562E-4</v>
      </c>
      <c r="E48986" s="2">
        <v>2.58063406178898E-5</v>
      </c>
      <c r="F48986" s="2">
        <v>1.25720549467878E-4</v>
      </c>
    </row>
    <row r="48987" spans="1:6" x14ac:dyDescent="0.25">
      <c r="A48987" s="1" t="str">
        <f t="shared" si="1569"/>
        <v>99999</v>
      </c>
      <c r="B48987" s="1" t="str">
        <f>"38201"</f>
        <v>38201</v>
      </c>
      <c r="C48987" s="2">
        <v>4.2990399640747002E-4</v>
      </c>
      <c r="D48987" s="2">
        <v>6.9413180072243905E-4</v>
      </c>
      <c r="E48987" s="2">
        <v>2.79568690027139E-4</v>
      </c>
      <c r="F48987" s="2">
        <v>4.43771829636616E-4</v>
      </c>
    </row>
    <row r="48988" spans="1:6" x14ac:dyDescent="0.25">
      <c r="A48988" s="1" t="str">
        <f t="shared" si="1569"/>
        <v>99999</v>
      </c>
      <c r="B48988" s="1" t="str">
        <f>"37852"</f>
        <v>37852</v>
      </c>
      <c r="C48988" s="2">
        <v>1.3067089490400799E-4</v>
      </c>
      <c r="D48988" s="2">
        <v>4.6676975753569603E-5</v>
      </c>
      <c r="E48988" s="2">
        <v>0</v>
      </c>
      <c r="F48988" s="2">
        <v>1.2216800646878601E-4</v>
      </c>
    </row>
    <row r="48989" spans="1:6" x14ac:dyDescent="0.25">
      <c r="A48989" s="1" t="str">
        <f t="shared" si="1569"/>
        <v>99999</v>
      </c>
      <c r="B48989" s="1" t="str">
        <f>"37166"</f>
        <v>37166</v>
      </c>
      <c r="C48989" s="2">
        <v>7.1798622618341596E-4</v>
      </c>
      <c r="D48989" s="2">
        <v>9.2601097059500997E-4</v>
      </c>
      <c r="E48989" s="2">
        <v>4.4300884727377501E-4</v>
      </c>
      <c r="F48989" s="2">
        <v>7.2531086231468304E-4</v>
      </c>
    </row>
    <row r="48990" spans="1:6" x14ac:dyDescent="0.25">
      <c r="A48990" s="1" t="str">
        <f t="shared" si="1569"/>
        <v>99999</v>
      </c>
      <c r="B48990" s="1" t="str">
        <f>"39140"</f>
        <v>39140</v>
      </c>
      <c r="C48990" s="2">
        <v>1.18329153380348E-4</v>
      </c>
      <c r="D48990" s="2">
        <v>4.6676975753569603E-5</v>
      </c>
      <c r="E48990" s="2">
        <v>0</v>
      </c>
      <c r="F48990" s="2">
        <v>1.1091828697166E-4</v>
      </c>
    </row>
    <row r="48991" spans="1:6" x14ac:dyDescent="0.25">
      <c r="A48991" s="1" t="str">
        <f t="shared" si="1569"/>
        <v>99999</v>
      </c>
      <c r="B48991" s="1" t="str">
        <f>"39057"</f>
        <v>39057</v>
      </c>
      <c r="C48991" s="2">
        <v>1.0533784651333799E-4</v>
      </c>
      <c r="D48991" s="2">
        <v>2.4091342324423E-5</v>
      </c>
      <c r="E48991" s="2">
        <v>8.6021135392965999E-6</v>
      </c>
      <c r="F48991" s="2">
        <v>9.7793614225013696E-5</v>
      </c>
    </row>
    <row r="48992" spans="1:6" x14ac:dyDescent="0.25">
      <c r="A48992" s="1" t="str">
        <f t="shared" si="1569"/>
        <v>99999</v>
      </c>
      <c r="B48992" s="1" t="str">
        <f>"39661"</f>
        <v>39661</v>
      </c>
      <c r="C48992" s="2">
        <v>1.3543437408857799E-4</v>
      </c>
      <c r="D48992" s="2">
        <v>1.80685067433172E-5</v>
      </c>
      <c r="E48992" s="2">
        <v>0</v>
      </c>
      <c r="F48992" s="2">
        <v>1.2463505021815499E-4</v>
      </c>
    </row>
    <row r="48993" spans="1:6" x14ac:dyDescent="0.25">
      <c r="A48993" s="1" t="str">
        <f t="shared" si="1569"/>
        <v>99999</v>
      </c>
      <c r="B48993" s="1" t="str">
        <f>"39656"</f>
        <v>39656</v>
      </c>
      <c r="C48993" s="2">
        <v>6.6255665021750594E-5</v>
      </c>
      <c r="D48993" s="2">
        <v>2.4091342324423E-5</v>
      </c>
      <c r="E48993" s="2">
        <v>0</v>
      </c>
      <c r="F48993" s="2">
        <v>6.1972138984166104E-5</v>
      </c>
    </row>
    <row r="48994" spans="1:6" x14ac:dyDescent="0.25">
      <c r="A48994" s="1" t="str">
        <f t="shared" si="1569"/>
        <v>99999</v>
      </c>
      <c r="B48994" s="1" t="str">
        <f>"39746"</f>
        <v>39746</v>
      </c>
      <c r="C48994" s="2">
        <v>1.7949655654585399E-4</v>
      </c>
      <c r="D48994" s="2">
        <v>9.33539515071393E-5</v>
      </c>
      <c r="E48994" s="2">
        <v>3.01073973875381E-5</v>
      </c>
      <c r="F48994" s="2">
        <v>1.70423382206456E-4</v>
      </c>
    </row>
    <row r="48995" spans="1:6" x14ac:dyDescent="0.25">
      <c r="A48995" s="1" t="str">
        <f t="shared" si="1569"/>
        <v>99999</v>
      </c>
      <c r="B48995" s="1" t="str">
        <f>"40006"</f>
        <v>40006</v>
      </c>
      <c r="C48995" s="2">
        <v>2.6534744275867801E-4</v>
      </c>
      <c r="D48995" s="2">
        <v>1.03893913774074E-4</v>
      </c>
      <c r="E48995" s="2">
        <v>4.3010567696483002E-4</v>
      </c>
      <c r="F48995" s="2">
        <v>2.5854618493394101E-4</v>
      </c>
    </row>
    <row r="48996" spans="1:6" x14ac:dyDescent="0.25">
      <c r="A48996" s="1" t="str">
        <f t="shared" si="1569"/>
        <v>99999</v>
      </c>
      <c r="B48996" s="1" t="str">
        <f>"40033"</f>
        <v>40033</v>
      </c>
      <c r="C48996" s="2">
        <v>6.4989012602217195E-4</v>
      </c>
      <c r="D48996" s="2">
        <v>8.88368248213099E-4</v>
      </c>
      <c r="E48996" s="2">
        <v>1.29891914443378E-3</v>
      </c>
      <c r="F48996" s="2">
        <v>6.8041066607615495E-4</v>
      </c>
    </row>
    <row r="48997" spans="1:6" x14ac:dyDescent="0.25">
      <c r="A48997" s="1" t="str">
        <f t="shared" si="1569"/>
        <v>99999</v>
      </c>
      <c r="B48997" s="1" t="str">
        <f>"39739"</f>
        <v>39739</v>
      </c>
      <c r="C48997" s="2">
        <v>1.10642630150701E-4</v>
      </c>
      <c r="D48997" s="2">
        <v>7.3779735868545501E-5</v>
      </c>
      <c r="E48997" s="2">
        <v>6.8816908314372799E-5</v>
      </c>
      <c r="F48997" s="2">
        <v>1.0726706222259301E-4</v>
      </c>
    </row>
    <row r="48998" spans="1:6" x14ac:dyDescent="0.25">
      <c r="A48998" s="1" t="str">
        <f t="shared" si="1569"/>
        <v>99999</v>
      </c>
      <c r="B48998" s="1" t="str">
        <f>"40144"</f>
        <v>40144</v>
      </c>
      <c r="C48998" s="2">
        <v>8.4443494635564595E-5</v>
      </c>
      <c r="D48998" s="2">
        <v>3.7642722381910999E-5</v>
      </c>
      <c r="E48998" s="2">
        <v>1.5913910047698701E-4</v>
      </c>
      <c r="F48998" s="2">
        <v>8.3090033478770394E-5</v>
      </c>
    </row>
    <row r="48999" spans="1:6" x14ac:dyDescent="0.25">
      <c r="A48999" s="1" t="str">
        <f t="shared" si="1569"/>
        <v>99999</v>
      </c>
      <c r="B48999" s="1" t="str">
        <f>"40009"</f>
        <v>40009</v>
      </c>
      <c r="C48999" s="2">
        <v>5.59708804187011E-5</v>
      </c>
      <c r="D48999" s="2">
        <v>2.4091342324423E-5</v>
      </c>
      <c r="E48999" s="2">
        <v>2.1935389525206301E-4</v>
      </c>
      <c r="F48999" s="2">
        <v>5.76301419852754E-5</v>
      </c>
    </row>
    <row r="49000" spans="1:6" x14ac:dyDescent="0.25">
      <c r="A49000" s="1" t="str">
        <f t="shared" si="1569"/>
        <v>99999</v>
      </c>
      <c r="B49000" s="1" t="str">
        <f>"39429"</f>
        <v>39429</v>
      </c>
      <c r="C49000" s="2">
        <v>1.0085584564421999E-3</v>
      </c>
      <c r="D49000" s="2">
        <v>1.7827593320073E-3</v>
      </c>
      <c r="E49000" s="2">
        <v>5.2902998266674103E-4</v>
      </c>
      <c r="F49000" s="2">
        <v>1.04829622998216E-3</v>
      </c>
    </row>
    <row r="49001" spans="1:6" x14ac:dyDescent="0.25">
      <c r="A49001" s="1" t="str">
        <f t="shared" si="1569"/>
        <v>99999</v>
      </c>
      <c r="B49001" s="1" t="str">
        <f>"39474"</f>
        <v>39474</v>
      </c>
      <c r="C49001" s="2">
        <v>2.76714836267311E-4</v>
      </c>
      <c r="D49001" s="2">
        <v>8.88368248213099E-5</v>
      </c>
      <c r="E49001" s="2">
        <v>4.7311624466131299E-5</v>
      </c>
      <c r="F49001" s="2">
        <v>2.5913827543378999E-4</v>
      </c>
    </row>
    <row r="49002" spans="1:6" x14ac:dyDescent="0.25">
      <c r="A49002" s="1" t="str">
        <f t="shared" si="1569"/>
        <v>99999</v>
      </c>
      <c r="B49002" s="1" t="str">
        <f>"39360"</f>
        <v>39360</v>
      </c>
      <c r="C49002" s="2">
        <v>7.4483492704190298E-5</v>
      </c>
      <c r="D49002" s="2">
        <v>3.31255956960816E-5</v>
      </c>
      <c r="E49002" s="2">
        <v>0</v>
      </c>
      <c r="F49002" s="2">
        <v>7.0064042482098594E-5</v>
      </c>
    </row>
    <row r="49003" spans="1:6" x14ac:dyDescent="0.25">
      <c r="A49003" s="1" t="str">
        <f t="shared" si="1569"/>
        <v>99999</v>
      </c>
      <c r="B49003" s="1" t="str">
        <f>"38748"</f>
        <v>38748</v>
      </c>
      <c r="C49003" s="2">
        <v>8.2278276824396208E-6</v>
      </c>
      <c r="D49003" s="2">
        <v>1.50570889527644E-6</v>
      </c>
      <c r="E49003" s="2">
        <v>0</v>
      </c>
      <c r="F49003" s="2">
        <v>7.5984947480585801E-6</v>
      </c>
    </row>
    <row r="49004" spans="1:6" x14ac:dyDescent="0.25">
      <c r="A49004" s="1" t="str">
        <f t="shared" si="1569"/>
        <v>99999</v>
      </c>
      <c r="B49004" s="1" t="str">
        <f>"38821"</f>
        <v>38821</v>
      </c>
      <c r="C49004" s="2">
        <v>6.7630578331842497E-4</v>
      </c>
      <c r="D49004" s="2">
        <v>1.1262702536667701E-3</v>
      </c>
      <c r="E49004" s="2">
        <v>4.4300884727377501E-4</v>
      </c>
      <c r="F49004" s="2">
        <v>7.0044306132103595E-4</v>
      </c>
    </row>
    <row r="49005" spans="1:6" x14ac:dyDescent="0.25">
      <c r="A49005" s="1" t="str">
        <f t="shared" si="1569"/>
        <v>99999</v>
      </c>
      <c r="B49005" s="1" t="str">
        <f>"38683"</f>
        <v>38683</v>
      </c>
      <c r="C49005" s="2">
        <v>2.32869175591153E-4</v>
      </c>
      <c r="D49005" s="2">
        <v>9.0342533716586399E-5</v>
      </c>
      <c r="E49005" s="2">
        <v>1.29031703089449E-5</v>
      </c>
      <c r="F49005" s="2">
        <v>2.18481394444178E-4</v>
      </c>
    </row>
    <row r="49006" spans="1:6" x14ac:dyDescent="0.25">
      <c r="A49006" s="1" t="str">
        <f t="shared" si="1569"/>
        <v>99999</v>
      </c>
      <c r="B49006" s="1" t="str">
        <f>"38666"</f>
        <v>38666</v>
      </c>
      <c r="C49006" s="2">
        <v>3.7025224570978298E-4</v>
      </c>
      <c r="D49006" s="2">
        <v>3.2975024806554003E-4</v>
      </c>
      <c r="E49006" s="2">
        <v>6.0214794775076199E-5</v>
      </c>
      <c r="F49006" s="2">
        <v>3.60484432657896E-4</v>
      </c>
    </row>
    <row r="49007" spans="1:6" x14ac:dyDescent="0.25">
      <c r="A49007" s="1" t="str">
        <f t="shared" si="1569"/>
        <v>99999</v>
      </c>
      <c r="B49007" s="1" t="str">
        <f>"38721"</f>
        <v>38721</v>
      </c>
      <c r="C49007" s="2">
        <v>5.6620445762051603E-5</v>
      </c>
      <c r="D49007" s="2">
        <v>3.7642722381910999E-5</v>
      </c>
      <c r="E49007" s="2">
        <v>0</v>
      </c>
      <c r="F49007" s="2">
        <v>5.40775989861831E-5</v>
      </c>
    </row>
    <row r="49008" spans="1:6" x14ac:dyDescent="0.25">
      <c r="A49008" s="1" t="str">
        <f t="shared" si="1569"/>
        <v>99999</v>
      </c>
      <c r="B49008" s="1" t="str">
        <f>"38827"</f>
        <v>38827</v>
      </c>
      <c r="C49008" s="2">
        <v>1.2666524195334601E-4</v>
      </c>
      <c r="D49008" s="2">
        <v>6.4745482496886904E-5</v>
      </c>
      <c r="E49008" s="2">
        <v>7.7419021853669399E-5</v>
      </c>
      <c r="F49008" s="2">
        <v>1.21477234218962E-4</v>
      </c>
    </row>
    <row r="49009" spans="1:6" x14ac:dyDescent="0.25">
      <c r="A49009" s="1" t="str">
        <f t="shared" si="1569"/>
        <v>99999</v>
      </c>
      <c r="B49009" s="1" t="str">
        <f>"38559"</f>
        <v>38559</v>
      </c>
      <c r="C49009" s="2">
        <v>8.1412189699928901E-5</v>
      </c>
      <c r="D49009" s="2">
        <v>3.6137013486634501E-5</v>
      </c>
      <c r="E49009" s="2">
        <v>0</v>
      </c>
      <c r="F49009" s="2">
        <v>7.6577037980434494E-5</v>
      </c>
    </row>
    <row r="49010" spans="1:6" x14ac:dyDescent="0.25">
      <c r="A49010" s="1" t="str">
        <f t="shared" si="1569"/>
        <v>99999</v>
      </c>
      <c r="B49010" s="1" t="str">
        <f>"38583"</f>
        <v>38583</v>
      </c>
      <c r="C49010" s="2">
        <v>1.2429432845011701E-3</v>
      </c>
      <c r="D49010" s="2">
        <v>1.3747122213873899E-3</v>
      </c>
      <c r="E49010" s="2">
        <v>2.5806340617889802E-4</v>
      </c>
      <c r="F49010" s="2">
        <v>1.22898251418599E-3</v>
      </c>
    </row>
    <row r="49011" spans="1:6" x14ac:dyDescent="0.25">
      <c r="A49011" s="1" t="str">
        <f t="shared" si="1569"/>
        <v>99999</v>
      </c>
      <c r="B49011" s="1" t="str">
        <f>"36915"</f>
        <v>36915</v>
      </c>
      <c r="C49011" s="2">
        <v>4.3087834442249601E-5</v>
      </c>
      <c r="D49011" s="2">
        <v>1.0539962266935E-5</v>
      </c>
      <c r="E49011" s="2">
        <v>8.6021135392965999E-6</v>
      </c>
      <c r="F49011" s="2">
        <v>4.0163472239738201E-5</v>
      </c>
    </row>
    <row r="49012" spans="1:6" x14ac:dyDescent="0.25">
      <c r="A49012" s="1" t="str">
        <f t="shared" si="1569"/>
        <v>99999</v>
      </c>
      <c r="B49012" s="1" t="str">
        <f>"38575"</f>
        <v>38575</v>
      </c>
      <c r="C49012" s="2">
        <v>1.21793501878218E-4</v>
      </c>
      <c r="D49012" s="2">
        <v>8.4319698135480595E-5</v>
      </c>
      <c r="E49012" s="2">
        <v>0</v>
      </c>
      <c r="F49012" s="2">
        <v>1.1654314672022301E-4</v>
      </c>
    </row>
    <row r="49013" spans="1:6" x14ac:dyDescent="0.25">
      <c r="A49013" s="1" t="str">
        <f t="shared" si="1569"/>
        <v>99999</v>
      </c>
      <c r="B49013" s="1" t="str">
        <f>"36916"</f>
        <v>36916</v>
      </c>
      <c r="C49013" s="2">
        <v>3.5076528540926799E-5</v>
      </c>
      <c r="D49013" s="2">
        <v>2.55970512196994E-5</v>
      </c>
      <c r="E49013" s="2">
        <v>0</v>
      </c>
      <c r="F49013" s="2">
        <v>3.3650476741402301E-5</v>
      </c>
    </row>
    <row r="49014" spans="1:6" x14ac:dyDescent="0.25">
      <c r="A49014" s="1" t="str">
        <f t="shared" si="1569"/>
        <v>99999</v>
      </c>
      <c r="B49014" s="1" t="str">
        <f>"38642"</f>
        <v>38642</v>
      </c>
      <c r="C49014" s="2">
        <v>7.2210014002463497E-5</v>
      </c>
      <c r="D49014" s="2">
        <v>3.31255956960816E-5</v>
      </c>
      <c r="E49014" s="2">
        <v>8.6021135392965999E-6</v>
      </c>
      <c r="F49014" s="2">
        <v>6.8189089232577606E-5</v>
      </c>
    </row>
    <row r="49015" spans="1:6" x14ac:dyDescent="0.25">
      <c r="A49015" s="1" t="str">
        <f t="shared" si="1569"/>
        <v>99999</v>
      </c>
      <c r="B49015" s="1" t="str">
        <f>"42256"</f>
        <v>42256</v>
      </c>
      <c r="C49015" s="2">
        <v>2.6264092049471698E-4</v>
      </c>
      <c r="D49015" s="2">
        <v>8.4319698135480595E-5</v>
      </c>
      <c r="E49015" s="2">
        <v>4.7311624466131299E-5</v>
      </c>
      <c r="F49015" s="2">
        <v>2.4601360268714298E-4</v>
      </c>
    </row>
    <row r="49016" spans="1:6" x14ac:dyDescent="0.25">
      <c r="A49016" s="1" t="str">
        <f t="shared" si="1569"/>
        <v>99999</v>
      </c>
      <c r="B49016" s="1" t="str">
        <f>"42408"</f>
        <v>42408</v>
      </c>
      <c r="C49016" s="2">
        <v>5.4130445279208001E-5</v>
      </c>
      <c r="D49016" s="2">
        <v>4.5171266858293203E-6</v>
      </c>
      <c r="E49016" s="2">
        <v>3.44084541571864E-5</v>
      </c>
      <c r="F49016" s="2">
        <v>5.0426374237116002E-5</v>
      </c>
    </row>
    <row r="49017" spans="1:6" x14ac:dyDescent="0.25">
      <c r="A49017" s="1" t="str">
        <f t="shared" si="1569"/>
        <v>99999</v>
      </c>
      <c r="B49017" s="1" t="str">
        <f>"42349"</f>
        <v>42349</v>
      </c>
      <c r="C49017" s="2">
        <v>7.4266970923073396E-5</v>
      </c>
      <c r="D49017" s="2">
        <v>2.25856334291466E-5</v>
      </c>
      <c r="E49017" s="2">
        <v>0</v>
      </c>
      <c r="F49017" s="2">
        <v>6.9175906732325495E-5</v>
      </c>
    </row>
    <row r="49018" spans="1:6" x14ac:dyDescent="0.25">
      <c r="A49018" s="1" t="str">
        <f t="shared" si="1569"/>
        <v>99999</v>
      </c>
      <c r="B49018" s="1" t="str">
        <f>"42409"</f>
        <v>42409</v>
      </c>
      <c r="C49018" s="2">
        <v>1.1129219549405101E-4</v>
      </c>
      <c r="D49018" s="2">
        <v>7.82968625543749E-5</v>
      </c>
      <c r="E49018" s="2">
        <v>2.58063406178898E-5</v>
      </c>
      <c r="F49018" s="2">
        <v>1.07168380472618E-4</v>
      </c>
    </row>
    <row r="49019" spans="1:6" x14ac:dyDescent="0.25">
      <c r="A49019" s="1" t="str">
        <f t="shared" si="1569"/>
        <v>99999</v>
      </c>
      <c r="B49019" s="1" t="str">
        <f>"42025"</f>
        <v>42025</v>
      </c>
      <c r="C49019" s="2">
        <v>1.1793941417433799E-3</v>
      </c>
      <c r="D49019" s="2">
        <v>1.41988348824568E-3</v>
      </c>
      <c r="E49019" s="2">
        <v>8.8601769454755002E-4</v>
      </c>
      <c r="F49019" s="2">
        <v>1.18842431494635E-3</v>
      </c>
    </row>
    <row r="49020" spans="1:6" x14ac:dyDescent="0.25">
      <c r="A49020" s="1" t="str">
        <f t="shared" si="1569"/>
        <v>99999</v>
      </c>
      <c r="B49020" s="1" t="str">
        <f>"41831"</f>
        <v>41831</v>
      </c>
      <c r="C49020" s="2">
        <v>4.1680442864990198E-5</v>
      </c>
      <c r="D49020" s="2">
        <v>4.5171266858293203E-6</v>
      </c>
      <c r="E49020" s="2">
        <v>3.8709510926834699E-5</v>
      </c>
      <c r="F49020" s="2">
        <v>3.9176654739990298E-5</v>
      </c>
    </row>
    <row r="49021" spans="1:6" x14ac:dyDescent="0.25">
      <c r="A49021" s="1" t="str">
        <f t="shared" si="1569"/>
        <v>99999</v>
      </c>
      <c r="B49021" s="1" t="str">
        <f>"41858"</f>
        <v>41858</v>
      </c>
      <c r="C49021" s="2">
        <v>3.35067456278298E-4</v>
      </c>
      <c r="D49021" s="2">
        <v>5.5861800014755903E-4</v>
      </c>
      <c r="E49021" s="2">
        <v>1.13547898718715E-3</v>
      </c>
      <c r="F49021" s="2">
        <v>3.68082927405954E-4</v>
      </c>
    </row>
    <row r="49022" spans="1:6" x14ac:dyDescent="0.25">
      <c r="A49022" s="1" t="str">
        <f t="shared" si="1569"/>
        <v>99999</v>
      </c>
      <c r="B49022" s="1" t="str">
        <f>"41749"</f>
        <v>41749</v>
      </c>
      <c r="C49022" s="2">
        <v>9.8300888627041801E-5</v>
      </c>
      <c r="D49022" s="2">
        <v>7.2274026973269097E-5</v>
      </c>
      <c r="E49022" s="2">
        <v>3.44084541571864E-5</v>
      </c>
      <c r="F49022" s="2">
        <v>9.5129206975694399E-5</v>
      </c>
    </row>
    <row r="49023" spans="1:6" x14ac:dyDescent="0.25">
      <c r="A49023" s="1" t="str">
        <f t="shared" si="1569"/>
        <v>99999</v>
      </c>
      <c r="B49023" s="1" t="str">
        <f>"41847"</f>
        <v>41847</v>
      </c>
      <c r="C49023" s="2">
        <v>1.7213481598788101E-5</v>
      </c>
      <c r="D49023" s="2">
        <v>1.50570889527644E-6</v>
      </c>
      <c r="E49023" s="2">
        <v>2.15052838482415E-5</v>
      </c>
      <c r="F49023" s="2">
        <v>1.6282488745839801E-5</v>
      </c>
    </row>
    <row r="49024" spans="1:6" x14ac:dyDescent="0.25">
      <c r="A49024" s="1" t="str">
        <f t="shared" si="1569"/>
        <v>99999</v>
      </c>
      <c r="B49024" s="1" t="str">
        <f>"41645"</f>
        <v>41645</v>
      </c>
      <c r="C49024" s="2">
        <v>5.97600115882457E-5</v>
      </c>
      <c r="D49024" s="2">
        <v>7.5285444763821999E-6</v>
      </c>
      <c r="E49024" s="2">
        <v>2.3225706556100799E-4</v>
      </c>
      <c r="F49024" s="2">
        <v>6.0294549234594703E-5</v>
      </c>
    </row>
    <row r="49025" spans="1:6" x14ac:dyDescent="0.25">
      <c r="A49025" s="1" t="str">
        <f t="shared" si="1569"/>
        <v>99999</v>
      </c>
      <c r="B49025" s="1" t="str">
        <f>"41558"</f>
        <v>41558</v>
      </c>
      <c r="C49025" s="2">
        <v>3.6159137446510998E-5</v>
      </c>
      <c r="D49025" s="2">
        <v>1.50570889527644E-6</v>
      </c>
      <c r="E49025" s="2">
        <v>4.3010567696482999E-6</v>
      </c>
      <c r="F49025" s="2">
        <v>3.3157067991528302E-5</v>
      </c>
    </row>
    <row r="49026" spans="1:6" x14ac:dyDescent="0.25">
      <c r="A49026" s="1" t="str">
        <f t="shared" si="1569"/>
        <v>99999</v>
      </c>
      <c r="B49026" s="1" t="str">
        <f>"41572"</f>
        <v>41572</v>
      </c>
      <c r="C49026" s="2">
        <v>2.00282647533069E-4</v>
      </c>
      <c r="D49026" s="2">
        <v>1.65627978480408E-5</v>
      </c>
      <c r="E49026" s="2">
        <v>4.7311624466131299E-5</v>
      </c>
      <c r="F49026" s="2">
        <v>1.847322359528E-4</v>
      </c>
    </row>
    <row r="49027" spans="1:6" x14ac:dyDescent="0.25">
      <c r="A49027" s="1" t="str">
        <f t="shared" si="1569"/>
        <v>99999</v>
      </c>
      <c r="B49027" s="1" t="str">
        <f>"41754"</f>
        <v>41754</v>
      </c>
      <c r="C49027" s="2">
        <v>2.1002612768332701E-5</v>
      </c>
      <c r="D49027" s="2">
        <v>6.0228355811057601E-6</v>
      </c>
      <c r="E49027" s="2">
        <v>8.6021135392965999E-6</v>
      </c>
      <c r="F49027" s="2">
        <v>1.9736349994957301E-5</v>
      </c>
    </row>
    <row r="49028" spans="1:6" x14ac:dyDescent="0.25">
      <c r="A49028" s="1" t="str">
        <f t="shared" si="1569"/>
        <v>99999</v>
      </c>
      <c r="B49028" s="1" t="str">
        <f>"41649"</f>
        <v>41649</v>
      </c>
      <c r="C49028" s="2">
        <v>1.10859151931818E-4</v>
      </c>
      <c r="D49028" s="2">
        <v>4.9688393544122498E-5</v>
      </c>
      <c r="E49028" s="2">
        <v>1.2903170308944901E-4</v>
      </c>
      <c r="F49028" s="2">
        <v>1.0726706222259301E-4</v>
      </c>
    </row>
    <row r="49029" spans="1:6" x14ac:dyDescent="0.25">
      <c r="A49029" s="1" t="str">
        <f t="shared" si="1569"/>
        <v>99999</v>
      </c>
      <c r="B49029" s="1" t="str">
        <f>"41731"</f>
        <v>41731</v>
      </c>
      <c r="C49029" s="2">
        <v>5.2181749249156499E-5</v>
      </c>
      <c r="D49029" s="2">
        <v>7.5285444763821999E-6</v>
      </c>
      <c r="E49029" s="2">
        <v>6.4515851544724506E-5</v>
      </c>
      <c r="F49029" s="2">
        <v>4.9538238487342903E-5</v>
      </c>
    </row>
    <row r="49030" spans="1:6" x14ac:dyDescent="0.25">
      <c r="A49030" s="1" t="str">
        <f t="shared" ref="A49030:A49093" si="1570">"99999"</f>
        <v>99999</v>
      </c>
      <c r="B49030" s="1" t="str">
        <f>"41603"</f>
        <v>41603</v>
      </c>
      <c r="C49030" s="2">
        <v>7.2643057564697206E-5</v>
      </c>
      <c r="D49030" s="2">
        <v>4.5171266858293203E-6</v>
      </c>
      <c r="E49030" s="2">
        <v>3.01073973875381E-5</v>
      </c>
      <c r="F49030" s="2">
        <v>6.7202271732829798E-5</v>
      </c>
    </row>
    <row r="49031" spans="1:6" x14ac:dyDescent="0.25">
      <c r="A49031" s="1" t="str">
        <f t="shared" si="1570"/>
        <v>99999</v>
      </c>
      <c r="B49031" s="1" t="str">
        <f>"47648"</f>
        <v>47648</v>
      </c>
      <c r="C49031" s="2">
        <v>2.2680656571988101E-4</v>
      </c>
      <c r="D49031" s="2">
        <v>1.71650814061514E-4</v>
      </c>
      <c r="E49031" s="2">
        <v>2.6236446294854599E-4</v>
      </c>
      <c r="F49031" s="2">
        <v>2.2400757244276601E-4</v>
      </c>
    </row>
    <row r="49032" spans="1:6" x14ac:dyDescent="0.25">
      <c r="A49032" s="1" t="str">
        <f t="shared" si="1570"/>
        <v>99999</v>
      </c>
      <c r="B49032" s="1" t="str">
        <f>"47611"</f>
        <v>47611</v>
      </c>
      <c r="C49032" s="2">
        <v>5.7270011105402099E-5</v>
      </c>
      <c r="D49032" s="2">
        <v>2.55970512196994E-5</v>
      </c>
      <c r="E49032" s="2">
        <v>1.29031703089449E-5</v>
      </c>
      <c r="F49032" s="2">
        <v>5.4176280736157897E-5</v>
      </c>
    </row>
    <row r="49033" spans="1:6" x14ac:dyDescent="0.25">
      <c r="A49033" s="1" t="str">
        <f t="shared" si="1570"/>
        <v>99999</v>
      </c>
      <c r="B49033" s="1" t="str">
        <f>"43502"</f>
        <v>43502</v>
      </c>
      <c r="C49033" s="2">
        <v>3.5293050322043599E-5</v>
      </c>
      <c r="D49033" s="2">
        <v>3.01141779055288E-5</v>
      </c>
      <c r="E49033" s="2">
        <v>3.8709510926834699E-5</v>
      </c>
      <c r="F49033" s="2">
        <v>3.5032021241049297E-5</v>
      </c>
    </row>
    <row r="49034" spans="1:6" x14ac:dyDescent="0.25">
      <c r="A49034" s="1" t="str">
        <f t="shared" si="1570"/>
        <v>99999</v>
      </c>
      <c r="B49034" s="1" t="str">
        <f>"43532"</f>
        <v>43532</v>
      </c>
      <c r="C49034" s="2">
        <v>1.69861337286154E-4</v>
      </c>
      <c r="D49034" s="2">
        <v>7.5285444763821999E-5</v>
      </c>
      <c r="E49034" s="2">
        <v>6.8816908314372799E-5</v>
      </c>
      <c r="F49034" s="2">
        <v>1.61344661208776E-4</v>
      </c>
    </row>
    <row r="49035" spans="1:6" x14ac:dyDescent="0.25">
      <c r="A49035" s="1" t="str">
        <f t="shared" si="1570"/>
        <v>99999</v>
      </c>
      <c r="B49035" s="1" t="str">
        <f>"42629"</f>
        <v>42629</v>
      </c>
      <c r="C49035" s="2">
        <v>3.0648658117087598E-4</v>
      </c>
      <c r="D49035" s="2">
        <v>1.68639396270961E-4</v>
      </c>
      <c r="E49035" s="2">
        <v>3.8709510926834698E-4</v>
      </c>
      <c r="F49035" s="2">
        <v>2.9930174767352799E-4</v>
      </c>
    </row>
    <row r="49036" spans="1:6" x14ac:dyDescent="0.25">
      <c r="A49036" s="1" t="str">
        <f t="shared" si="1570"/>
        <v>99999</v>
      </c>
      <c r="B49036" s="1" t="str">
        <f>"42653"</f>
        <v>42653</v>
      </c>
      <c r="C49036" s="2">
        <v>1.78846991202503E-4</v>
      </c>
      <c r="D49036" s="2">
        <v>1.2798525609849701E-4</v>
      </c>
      <c r="E49036" s="2">
        <v>2.1935389525206301E-4</v>
      </c>
      <c r="F49036" s="2">
        <v>1.76442968954918E-4</v>
      </c>
    </row>
    <row r="49037" spans="1:6" x14ac:dyDescent="0.25">
      <c r="A49037" s="1" t="str">
        <f t="shared" si="1570"/>
        <v>99999</v>
      </c>
      <c r="B49037" s="1" t="str">
        <f>"42753"</f>
        <v>42753</v>
      </c>
      <c r="C49037" s="2">
        <v>3.8432616148237697E-5</v>
      </c>
      <c r="D49037" s="2">
        <v>1.35513800574879E-5</v>
      </c>
      <c r="E49037" s="2">
        <v>7.7419021853669399E-5</v>
      </c>
      <c r="F49037" s="2">
        <v>3.7696428490368499E-5</v>
      </c>
    </row>
    <row r="49038" spans="1:6" x14ac:dyDescent="0.25">
      <c r="A49038" s="1" t="str">
        <f t="shared" si="1570"/>
        <v>99999</v>
      </c>
      <c r="B49038" s="1" t="str">
        <f>"42757"</f>
        <v>42757</v>
      </c>
      <c r="C49038" s="2">
        <v>8.3036103058305199E-5</v>
      </c>
      <c r="D49038" s="2">
        <v>3.6137013486634501E-5</v>
      </c>
      <c r="E49038" s="2">
        <v>8.6021135392965999E-5</v>
      </c>
      <c r="F49038" s="2">
        <v>8.0030899229552099E-5</v>
      </c>
    </row>
    <row r="49039" spans="1:6" x14ac:dyDescent="0.25">
      <c r="A49039" s="1" t="str">
        <f t="shared" si="1570"/>
        <v>99999</v>
      </c>
      <c r="B49039" s="1" t="str">
        <f>"47145"</f>
        <v>47145</v>
      </c>
      <c r="C49039" s="2">
        <v>1.06636977200039E-4</v>
      </c>
      <c r="D49039" s="2">
        <v>1.9574215638593701E-5</v>
      </c>
      <c r="E49039" s="2">
        <v>1.8064438432522799E-4</v>
      </c>
      <c r="F49039" s="2">
        <v>1.02629019973778E-4</v>
      </c>
    </row>
    <row r="49040" spans="1:6" x14ac:dyDescent="0.25">
      <c r="A49040" s="1" t="str">
        <f t="shared" si="1570"/>
        <v>99999</v>
      </c>
      <c r="B49040" s="1" t="str">
        <f>"42712"</f>
        <v>42712</v>
      </c>
      <c r="C49040" s="2">
        <v>7.7081754077592296E-5</v>
      </c>
      <c r="D49040" s="2">
        <v>3.6137013486634501E-5</v>
      </c>
      <c r="E49040" s="2">
        <v>1.93547554634173E-4</v>
      </c>
      <c r="F49040" s="2">
        <v>7.7070446730308499E-5</v>
      </c>
    </row>
    <row r="49041" spans="1:6" x14ac:dyDescent="0.25">
      <c r="A49041" s="1" t="str">
        <f t="shared" si="1570"/>
        <v>99999</v>
      </c>
      <c r="B49041" s="1" t="str">
        <f>"42729"</f>
        <v>42729</v>
      </c>
      <c r="C49041" s="2">
        <v>7.2967840236372403E-5</v>
      </c>
      <c r="D49041" s="2">
        <v>1.65627978480408E-5</v>
      </c>
      <c r="E49041" s="2">
        <v>2.2795600879136E-4</v>
      </c>
      <c r="F49041" s="2">
        <v>7.2827131481392599E-5</v>
      </c>
    </row>
    <row r="49042" spans="1:6" x14ac:dyDescent="0.25">
      <c r="A49042" s="1" t="str">
        <f t="shared" si="1570"/>
        <v>99999</v>
      </c>
      <c r="B49042" s="1" t="str">
        <f>"42746"</f>
        <v>42746</v>
      </c>
      <c r="C49042" s="2">
        <v>8.9098712929576505E-5</v>
      </c>
      <c r="D49042" s="2">
        <v>4.6676975753569603E-5</v>
      </c>
      <c r="E49042" s="2">
        <v>1.8494544109487701E-4</v>
      </c>
      <c r="F49042" s="2">
        <v>8.8517529727383696E-5</v>
      </c>
    </row>
    <row r="49043" spans="1:6" x14ac:dyDescent="0.25">
      <c r="A49043" s="1" t="str">
        <f t="shared" si="1570"/>
        <v>99999</v>
      </c>
      <c r="B49043" s="1" t="str">
        <f>"42649"</f>
        <v>42649</v>
      </c>
      <c r="C49043" s="2">
        <v>8.3360885729980396E-5</v>
      </c>
      <c r="D49043" s="2">
        <v>1.50570889527644E-5</v>
      </c>
      <c r="E49043" s="2">
        <v>4.7311624466131299E-5</v>
      </c>
      <c r="F49043" s="2">
        <v>7.8057264230056294E-5</v>
      </c>
    </row>
    <row r="49044" spans="1:6" x14ac:dyDescent="0.25">
      <c r="A49044" s="1" t="str">
        <f t="shared" si="1570"/>
        <v>99999</v>
      </c>
      <c r="B49044" s="1" t="str">
        <f>"40873"</f>
        <v>40873</v>
      </c>
      <c r="C49044" s="2">
        <v>8.87739302579012E-5</v>
      </c>
      <c r="D49044" s="2">
        <v>4.5171266858293203E-6</v>
      </c>
      <c r="E49044" s="2">
        <v>6.8816908314372799E-5</v>
      </c>
      <c r="F49044" s="2">
        <v>8.2793988228846104E-5</v>
      </c>
    </row>
    <row r="49045" spans="1:6" x14ac:dyDescent="0.25">
      <c r="A49045" s="1" t="str">
        <f t="shared" si="1570"/>
        <v>99999</v>
      </c>
      <c r="B49045" s="1" t="str">
        <f>"40831"</f>
        <v>40831</v>
      </c>
      <c r="C49045" s="2">
        <v>2.8137005456132299E-4</v>
      </c>
      <c r="D49045" s="2">
        <v>7.5737157432404899E-4</v>
      </c>
      <c r="E49045" s="2">
        <v>5.5913738005427898E-4</v>
      </c>
      <c r="F49045" s="2">
        <v>3.1893941591850999E-4</v>
      </c>
    </row>
    <row r="49046" spans="1:6" x14ac:dyDescent="0.25">
      <c r="A49046" s="1" t="str">
        <f t="shared" si="1570"/>
        <v>99999</v>
      </c>
      <c r="B49046" s="1" t="str">
        <f>"41311"</f>
        <v>41311</v>
      </c>
      <c r="C49046" s="2">
        <v>4.2708921325295101E-4</v>
      </c>
      <c r="D49046" s="2">
        <v>2.18327789815083E-4</v>
      </c>
      <c r="E49046" s="2">
        <v>3.8709510926834698E-4</v>
      </c>
      <c r="F49046" s="2">
        <v>4.1248971489460802E-4</v>
      </c>
    </row>
    <row r="49047" spans="1:6" x14ac:dyDescent="0.25">
      <c r="A49047" s="1" t="str">
        <f t="shared" si="1570"/>
        <v>99999</v>
      </c>
      <c r="B49047" s="1" t="str">
        <f>"41367"</f>
        <v>41367</v>
      </c>
      <c r="C49047" s="2">
        <v>1.34243504292436E-5</v>
      </c>
      <c r="D49047" s="2">
        <v>0</v>
      </c>
      <c r="E49047" s="2">
        <v>0</v>
      </c>
      <c r="F49047" s="2">
        <v>1.22365369968735E-5</v>
      </c>
    </row>
    <row r="49048" spans="1:6" x14ac:dyDescent="0.25">
      <c r="A49048" s="1" t="str">
        <f t="shared" si="1570"/>
        <v>99999</v>
      </c>
      <c r="B49048" s="1" t="str">
        <f>"41465"</f>
        <v>41465</v>
      </c>
      <c r="C49048" s="2">
        <v>8.8719799812621996E-4</v>
      </c>
      <c r="D49048" s="2">
        <v>3.3276166585609302E-4</v>
      </c>
      <c r="E49048" s="2">
        <v>7.2257753730091401E-4</v>
      </c>
      <c r="F49048" s="2">
        <v>8.4708414178357003E-4</v>
      </c>
    </row>
    <row r="49049" spans="1:6" x14ac:dyDescent="0.25">
      <c r="A49049" s="1" t="str">
        <f t="shared" si="1570"/>
        <v>99999</v>
      </c>
      <c r="B49049" s="1" t="str">
        <f>"30521"</f>
        <v>30521</v>
      </c>
      <c r="C49049" s="2">
        <v>2.6383179029086E-4</v>
      </c>
      <c r="D49049" s="2">
        <v>2.1230495423397799E-4</v>
      </c>
      <c r="E49049" s="2">
        <v>3.44084541571864E-5</v>
      </c>
      <c r="F49049" s="2">
        <v>2.55191005434798E-4</v>
      </c>
    </row>
    <row r="49050" spans="1:6" x14ac:dyDescent="0.25">
      <c r="A49050" s="1" t="str">
        <f t="shared" si="1570"/>
        <v>99999</v>
      </c>
      <c r="B49050" s="1" t="str">
        <f>"30522"</f>
        <v>30522</v>
      </c>
      <c r="C49050" s="2">
        <v>8.3360885729980396E-5</v>
      </c>
      <c r="D49050" s="2">
        <v>4.5171266858293203E-6</v>
      </c>
      <c r="E49050" s="2">
        <v>1.29031703089449E-5</v>
      </c>
      <c r="F49050" s="2">
        <v>7.6577037980434494E-5</v>
      </c>
    </row>
    <row r="49051" spans="1:6" x14ac:dyDescent="0.25">
      <c r="A49051" s="1" t="str">
        <f t="shared" si="1570"/>
        <v>99999</v>
      </c>
      <c r="B49051" s="1" t="str">
        <f>"30553"</f>
        <v>30553</v>
      </c>
      <c r="C49051" s="2">
        <v>4.84467485248912E-4</v>
      </c>
      <c r="D49051" s="2">
        <v>7.15211725256309E-4</v>
      </c>
      <c r="E49051" s="2">
        <v>2.4085917910030401E-4</v>
      </c>
      <c r="F49051" s="2">
        <v>4.9400084037378204E-4</v>
      </c>
    </row>
    <row r="49052" spans="1:6" x14ac:dyDescent="0.25">
      <c r="A49052" s="1" t="str">
        <f t="shared" si="1570"/>
        <v>99999</v>
      </c>
      <c r="B49052" s="1" t="str">
        <f>"30558"</f>
        <v>30558</v>
      </c>
      <c r="C49052" s="2">
        <v>1.27314807296697E-4</v>
      </c>
      <c r="D49052" s="2">
        <v>2.8608469010252301E-5</v>
      </c>
      <c r="E49052" s="2">
        <v>1.29031703089449E-5</v>
      </c>
      <c r="F49052" s="2">
        <v>1.1822073646979401E-4</v>
      </c>
    </row>
    <row r="49053" spans="1:6" x14ac:dyDescent="0.25">
      <c r="A49053" s="1" t="str">
        <f t="shared" si="1570"/>
        <v>99999</v>
      </c>
      <c r="B49053" s="1" t="str">
        <f>"30554"</f>
        <v>30554</v>
      </c>
      <c r="C49053" s="2">
        <v>1.15622631116388E-4</v>
      </c>
      <c r="D49053" s="2">
        <v>1.20456711622115E-5</v>
      </c>
      <c r="E49053" s="2">
        <v>8.6021135392965999E-6</v>
      </c>
      <c r="F49053" s="2">
        <v>1.0637892647282E-4</v>
      </c>
    </row>
    <row r="49054" spans="1:6" x14ac:dyDescent="0.25">
      <c r="A49054" s="1" t="str">
        <f t="shared" si="1570"/>
        <v>99999</v>
      </c>
      <c r="B49054" s="1" t="str">
        <f>"30564"</f>
        <v>30564</v>
      </c>
      <c r="C49054" s="2">
        <v>8.2603059496071503E-5</v>
      </c>
      <c r="D49054" s="2">
        <v>3.7642722381910999E-5</v>
      </c>
      <c r="E49054" s="2">
        <v>0</v>
      </c>
      <c r="F49054" s="2">
        <v>7.7761218980132004E-5</v>
      </c>
    </row>
    <row r="49055" spans="1:6" x14ac:dyDescent="0.25">
      <c r="A49055" s="1" t="str">
        <f t="shared" si="1570"/>
        <v>99999</v>
      </c>
      <c r="B49055" s="1" t="str">
        <f>"30537"</f>
        <v>30537</v>
      </c>
      <c r="C49055" s="2">
        <v>1.7570742537630901E-4</v>
      </c>
      <c r="D49055" s="2">
        <v>1.8369648522372501E-4</v>
      </c>
      <c r="E49055" s="2">
        <v>1.63440157246635E-4</v>
      </c>
      <c r="F49055" s="2">
        <v>1.7594956020504401E-4</v>
      </c>
    </row>
    <row r="49056" spans="1:6" x14ac:dyDescent="0.25">
      <c r="A49056" s="1" t="str">
        <f t="shared" si="1570"/>
        <v>99999</v>
      </c>
      <c r="B49056" s="1" t="str">
        <f>"29835"</f>
        <v>29835</v>
      </c>
      <c r="C49056" s="2">
        <v>3.8346007435790998E-4</v>
      </c>
      <c r="D49056" s="2">
        <v>2.18327789815083E-4</v>
      </c>
      <c r="E49056" s="2">
        <v>2.0214966817347E-4</v>
      </c>
      <c r="F49056" s="2">
        <v>3.68477654405853E-4</v>
      </c>
    </row>
    <row r="49057" spans="1:6" x14ac:dyDescent="0.25">
      <c r="A49057" s="1" t="str">
        <f t="shared" si="1570"/>
        <v>99999</v>
      </c>
      <c r="B49057" s="1" t="str">
        <f>"29821"</f>
        <v>29821</v>
      </c>
      <c r="C49057" s="2">
        <v>4.08143557405228E-5</v>
      </c>
      <c r="D49057" s="2">
        <v>2.8608469010252301E-5</v>
      </c>
      <c r="E49057" s="2">
        <v>0</v>
      </c>
      <c r="F49057" s="2">
        <v>3.9077972990015501E-5</v>
      </c>
    </row>
    <row r="49058" spans="1:6" x14ac:dyDescent="0.25">
      <c r="A49058" s="1" t="str">
        <f t="shared" si="1570"/>
        <v>99999</v>
      </c>
      <c r="B49058" s="1" t="str">
        <f>"30828"</f>
        <v>30828</v>
      </c>
      <c r="C49058" s="2">
        <v>2.4153004683582599E-4</v>
      </c>
      <c r="D49058" s="2">
        <v>2.9210752568362901E-4</v>
      </c>
      <c r="E49058" s="2">
        <v>1.07526419241207E-4</v>
      </c>
      <c r="F49058" s="2">
        <v>2.4177028743822701E-4</v>
      </c>
    </row>
    <row r="49059" spans="1:6" x14ac:dyDescent="0.25">
      <c r="A49059" s="1" t="str">
        <f t="shared" si="1570"/>
        <v>99999</v>
      </c>
      <c r="B49059" s="1" t="str">
        <f>"30439"</f>
        <v>30439</v>
      </c>
      <c r="C49059" s="2">
        <v>4.8684922484119701E-4</v>
      </c>
      <c r="D49059" s="2">
        <v>5.9626072252947E-4</v>
      </c>
      <c r="E49059" s="2">
        <v>1.3333275985909701E-4</v>
      </c>
      <c r="F49059" s="2">
        <v>4.8590893687585002E-4</v>
      </c>
    </row>
    <row r="49060" spans="1:6" x14ac:dyDescent="0.25">
      <c r="A49060" s="1" t="str">
        <f t="shared" si="1570"/>
        <v>99999</v>
      </c>
      <c r="B49060" s="1" t="str">
        <f>"30427"</f>
        <v>30427</v>
      </c>
      <c r="C49060" s="2">
        <v>4.6162443734108598E-4</v>
      </c>
      <c r="D49060" s="2">
        <v>5.0892960660343597E-4</v>
      </c>
      <c r="E49060" s="2">
        <v>1.97848611403821E-4</v>
      </c>
      <c r="F49060" s="2">
        <v>4.5867277388280899E-4</v>
      </c>
    </row>
    <row r="49061" spans="1:6" x14ac:dyDescent="0.25">
      <c r="A49061" s="1" t="str">
        <f t="shared" si="1570"/>
        <v>99999</v>
      </c>
      <c r="B49061" s="1" t="str">
        <f>"30442"</f>
        <v>30442</v>
      </c>
      <c r="C49061" s="2">
        <v>4.4116312902554503E-4</v>
      </c>
      <c r="D49061" s="2">
        <v>4.2762132625850902E-4</v>
      </c>
      <c r="E49061" s="2">
        <v>1.41934873398393E-4</v>
      </c>
      <c r="F49061" s="2">
        <v>4.3341024588926301E-4</v>
      </c>
    </row>
    <row r="49062" spans="1:6" x14ac:dyDescent="0.25">
      <c r="A49062" s="1" t="str">
        <f t="shared" si="1570"/>
        <v>99999</v>
      </c>
      <c r="B49062" s="1" t="str">
        <f>"30436"</f>
        <v>30436</v>
      </c>
      <c r="C49062" s="2">
        <v>5.2073488358598103E-5</v>
      </c>
      <c r="D49062" s="2">
        <v>3.01141779055288E-5</v>
      </c>
      <c r="E49062" s="2">
        <v>1.72042270785932E-5</v>
      </c>
      <c r="F49062" s="2">
        <v>4.9834283737267301E-5</v>
      </c>
    </row>
    <row r="49063" spans="1:6" x14ac:dyDescent="0.25">
      <c r="A49063" s="1" t="str">
        <f t="shared" si="1570"/>
        <v>99999</v>
      </c>
      <c r="B49063" s="1" t="str">
        <f>"31071"</f>
        <v>31071</v>
      </c>
      <c r="C49063" s="2">
        <v>5.49965324036754E-5</v>
      </c>
      <c r="D49063" s="2">
        <v>3.4631304591358098E-5</v>
      </c>
      <c r="E49063" s="2">
        <v>0</v>
      </c>
      <c r="F49063" s="2">
        <v>5.2400009236611699E-5</v>
      </c>
    </row>
    <row r="49064" spans="1:6" x14ac:dyDescent="0.25">
      <c r="A49064" s="1" t="str">
        <f t="shared" si="1570"/>
        <v>99999</v>
      </c>
      <c r="B49064" s="1" t="str">
        <f>"31037"</f>
        <v>31037</v>
      </c>
      <c r="C49064" s="2">
        <v>1.11075673712934E-4</v>
      </c>
      <c r="D49064" s="2">
        <v>7.2274026973269097E-5</v>
      </c>
      <c r="E49064" s="2">
        <v>2.58063406178898E-5</v>
      </c>
      <c r="F49064" s="2">
        <v>1.06576289972769E-4</v>
      </c>
    </row>
    <row r="49065" spans="1:6" x14ac:dyDescent="0.25">
      <c r="A49065" s="1" t="str">
        <f t="shared" si="1570"/>
        <v>99999</v>
      </c>
      <c r="B49065" s="1" t="str">
        <f>"31006"</f>
        <v>31006</v>
      </c>
      <c r="C49065" s="2">
        <v>2.0093221287641999E-4</v>
      </c>
      <c r="D49065" s="2">
        <v>1.55088016213473E-4</v>
      </c>
      <c r="E49065" s="2">
        <v>9.0322192162614306E-5</v>
      </c>
      <c r="F49065" s="2">
        <v>1.95389864950077E-4</v>
      </c>
    </row>
    <row r="49066" spans="1:6" x14ac:dyDescent="0.25">
      <c r="A49066" s="1" t="str">
        <f t="shared" si="1570"/>
        <v>99999</v>
      </c>
      <c r="B49066" s="1" t="str">
        <f>"31012"</f>
        <v>31012</v>
      </c>
      <c r="C49066" s="2">
        <v>6.7771317489568502E-5</v>
      </c>
      <c r="D49066" s="2">
        <v>1.0539962266935E-5</v>
      </c>
      <c r="E49066" s="2">
        <v>8.6021135392965999E-6</v>
      </c>
      <c r="F49066" s="2">
        <v>6.2662911233989595E-5</v>
      </c>
    </row>
    <row r="49067" spans="1:6" x14ac:dyDescent="0.25">
      <c r="A49067" s="1" t="str">
        <f t="shared" si="1570"/>
        <v>99999</v>
      </c>
      <c r="B49067" s="1" t="str">
        <f>"31092"</f>
        <v>31092</v>
      </c>
      <c r="C49067" s="2">
        <v>3.5422963390713697E-4</v>
      </c>
      <c r="D49067" s="2">
        <v>6.2938631822555204E-4</v>
      </c>
      <c r="E49067" s="2">
        <v>2.7096657648784301E-4</v>
      </c>
      <c r="F49067" s="2">
        <v>3.70352607655374E-4</v>
      </c>
    </row>
    <row r="49068" spans="1:6" x14ac:dyDescent="0.25">
      <c r="A49068" s="1" t="str">
        <f t="shared" si="1570"/>
        <v>99999</v>
      </c>
      <c r="B49068" s="1" t="str">
        <f>"31090"</f>
        <v>31090</v>
      </c>
      <c r="C49068" s="2">
        <v>5.1640444796364502E-5</v>
      </c>
      <c r="D49068" s="2">
        <v>3.9148431277187403E-5</v>
      </c>
      <c r="E49068" s="2">
        <v>0</v>
      </c>
      <c r="F49068" s="2">
        <v>4.96369202373177E-5</v>
      </c>
    </row>
    <row r="49069" spans="1:6" x14ac:dyDescent="0.25">
      <c r="A49069" s="1" t="str">
        <f t="shared" si="1570"/>
        <v>99999</v>
      </c>
      <c r="B49069" s="1" t="str">
        <f>"31551"</f>
        <v>31551</v>
      </c>
      <c r="C49069" s="2">
        <v>2.5549570171786201E-5</v>
      </c>
      <c r="D49069" s="2">
        <v>9.0342533716586405E-6</v>
      </c>
      <c r="E49069" s="2">
        <v>0</v>
      </c>
      <c r="F49069" s="2">
        <v>2.38809834938984E-5</v>
      </c>
    </row>
    <row r="49070" spans="1:6" x14ac:dyDescent="0.25">
      <c r="A49070" s="1" t="str">
        <f t="shared" si="1570"/>
        <v>99999</v>
      </c>
      <c r="B49070" s="1" t="str">
        <f>"31563"</f>
        <v>31563</v>
      </c>
      <c r="C49070" s="2">
        <v>8.3252624839422006E-5</v>
      </c>
      <c r="D49070" s="2">
        <v>4.6676975753569603E-5</v>
      </c>
      <c r="E49070" s="2">
        <v>0</v>
      </c>
      <c r="F49070" s="2">
        <v>7.8945399979829406E-5</v>
      </c>
    </row>
    <row r="49071" spans="1:6" x14ac:dyDescent="0.25">
      <c r="A49071" s="1" t="str">
        <f t="shared" si="1570"/>
        <v>99999</v>
      </c>
      <c r="B49071" s="1" t="str">
        <f>"31711"</f>
        <v>31711</v>
      </c>
      <c r="C49071" s="2">
        <v>1.9811742972190099E-5</v>
      </c>
      <c r="D49071" s="2">
        <v>3.01141779055288E-6</v>
      </c>
      <c r="E49071" s="2">
        <v>0</v>
      </c>
      <c r="F49071" s="2">
        <v>1.8256123745335501E-5</v>
      </c>
    </row>
    <row r="49072" spans="1:6" x14ac:dyDescent="0.25">
      <c r="A49072" s="1" t="str">
        <f t="shared" si="1570"/>
        <v>99999</v>
      </c>
      <c r="B49072" s="1" t="str">
        <f>"31794"</f>
        <v>31794</v>
      </c>
      <c r="C49072" s="2">
        <v>2.46834830473188E-5</v>
      </c>
      <c r="D49072" s="2">
        <v>7.5285444763821999E-6</v>
      </c>
      <c r="E49072" s="2">
        <v>4.3010567696482999E-6</v>
      </c>
      <c r="F49072" s="2">
        <v>2.3091529494100098E-5</v>
      </c>
    </row>
    <row r="49073" spans="1:6" x14ac:dyDescent="0.25">
      <c r="A49073" s="1" t="str">
        <f t="shared" si="1570"/>
        <v>99999</v>
      </c>
      <c r="B49073" s="1" t="str">
        <f>"32071"</f>
        <v>32071</v>
      </c>
      <c r="C49073" s="2">
        <v>2.3157004490445199E-4</v>
      </c>
      <c r="D49073" s="2">
        <v>6.9262609182716196E-5</v>
      </c>
      <c r="E49073" s="2">
        <v>8.6021135392965999E-6</v>
      </c>
      <c r="F49073" s="2">
        <v>2.15816987194858E-4</v>
      </c>
    </row>
    <row r="49074" spans="1:6" x14ac:dyDescent="0.25">
      <c r="A49074" s="1" t="str">
        <f t="shared" si="1570"/>
        <v>99999</v>
      </c>
      <c r="B49074" s="1" t="str">
        <f>"32425"</f>
        <v>32425</v>
      </c>
      <c r="C49074" s="2">
        <v>7.2643057564697195E-4</v>
      </c>
      <c r="D49074" s="2">
        <v>8.0103713228706595E-4</v>
      </c>
      <c r="E49074" s="2">
        <v>1.5483804370733801E-4</v>
      </c>
      <c r="F49074" s="2">
        <v>7.1820577631649804E-4</v>
      </c>
    </row>
    <row r="49075" spans="1:6" x14ac:dyDescent="0.25">
      <c r="A49075" s="1" t="str">
        <f t="shared" si="1570"/>
        <v>99999</v>
      </c>
      <c r="B49075" s="1" t="str">
        <f>"32456"</f>
        <v>32456</v>
      </c>
      <c r="C49075" s="2">
        <v>7.1322274699884495E-4</v>
      </c>
      <c r="D49075" s="2">
        <v>9.9979070646355602E-4</v>
      </c>
      <c r="E49075" s="2">
        <v>2.6666551971819401E-4</v>
      </c>
      <c r="F49075" s="2">
        <v>7.2175831931559E-4</v>
      </c>
    </row>
    <row r="49076" spans="1:6" x14ac:dyDescent="0.25">
      <c r="A49076" s="1" t="str">
        <f t="shared" si="1570"/>
        <v>99999</v>
      </c>
      <c r="B49076" s="1" t="str">
        <f>"32460"</f>
        <v>32460</v>
      </c>
      <c r="C49076" s="2">
        <v>2.1976960783358401E-4</v>
      </c>
      <c r="D49076" s="2">
        <v>1.4605376284181399E-4</v>
      </c>
      <c r="E49076" s="2">
        <v>1.63440157246635E-4</v>
      </c>
      <c r="F49076" s="2">
        <v>2.1364598869541299E-4</v>
      </c>
    </row>
    <row r="49077" spans="1:6" x14ac:dyDescent="0.25">
      <c r="A49077" s="1" t="str">
        <f t="shared" si="1570"/>
        <v>99999</v>
      </c>
      <c r="B49077" s="1" t="str">
        <f>"32449"</f>
        <v>32449</v>
      </c>
      <c r="C49077" s="2">
        <v>4.3412617113924798E-5</v>
      </c>
      <c r="D49077" s="2">
        <v>7.5285444763821999E-6</v>
      </c>
      <c r="E49077" s="2">
        <v>1.29031703089449E-5</v>
      </c>
      <c r="F49077" s="2">
        <v>4.0360835739687802E-5</v>
      </c>
    </row>
    <row r="49078" spans="1:6" x14ac:dyDescent="0.25">
      <c r="A49078" s="1" t="str">
        <f t="shared" si="1570"/>
        <v>99999</v>
      </c>
      <c r="B49078" s="1" t="str">
        <f>"32438"</f>
        <v>32438</v>
      </c>
      <c r="C49078" s="2">
        <v>2.2843047907825799E-5</v>
      </c>
      <c r="D49078" s="2">
        <v>6.0228355811057601E-6</v>
      </c>
      <c r="E49078" s="2">
        <v>0</v>
      </c>
      <c r="F49078" s="2">
        <v>2.12165762445791E-5</v>
      </c>
    </row>
    <row r="49079" spans="1:6" x14ac:dyDescent="0.25">
      <c r="A49079" s="1" t="str">
        <f t="shared" si="1570"/>
        <v>99999</v>
      </c>
      <c r="B49079" s="1" t="str">
        <f>"32447"</f>
        <v>32447</v>
      </c>
      <c r="C49079" s="2">
        <v>1.20602632082075E-4</v>
      </c>
      <c r="D49079" s="2">
        <v>3.9148431277187399E-4</v>
      </c>
      <c r="E49079" s="2">
        <v>8.6021135392965999E-6</v>
      </c>
      <c r="F49079" s="2">
        <v>1.3578608796530601E-4</v>
      </c>
    </row>
    <row r="49080" spans="1:6" x14ac:dyDescent="0.25">
      <c r="A49080" s="1" t="str">
        <f t="shared" si="1570"/>
        <v>99999</v>
      </c>
      <c r="B49080" s="1" t="str">
        <f>"39836"</f>
        <v>39836</v>
      </c>
      <c r="C49080" s="2">
        <v>2.24100043455921E-5</v>
      </c>
      <c r="D49080" s="2">
        <v>1.20456711622115E-5</v>
      </c>
      <c r="E49080" s="2">
        <v>0</v>
      </c>
      <c r="F49080" s="2">
        <v>2.12165762445791E-5</v>
      </c>
    </row>
    <row r="49081" spans="1:6" x14ac:dyDescent="0.25">
      <c r="A49081" s="1" t="str">
        <f t="shared" si="1570"/>
        <v>99999</v>
      </c>
      <c r="B49081" s="1" t="str">
        <f>"39886"</f>
        <v>39886</v>
      </c>
      <c r="C49081" s="2">
        <v>6.1383924946621903E-5</v>
      </c>
      <c r="D49081" s="2">
        <v>6.7756900287439806E-5</v>
      </c>
      <c r="E49081" s="2">
        <v>3.8709510926834699E-5</v>
      </c>
      <c r="F49081" s="2">
        <v>6.1281366734342599E-5</v>
      </c>
    </row>
    <row r="49082" spans="1:6" x14ac:dyDescent="0.25">
      <c r="A49082" s="1" t="str">
        <f t="shared" si="1570"/>
        <v>99999</v>
      </c>
      <c r="B49082" s="1" t="str">
        <f>"32348"</f>
        <v>32348</v>
      </c>
      <c r="C49082" s="2">
        <v>5.7053489324285298E-4</v>
      </c>
      <c r="D49082" s="2">
        <v>6.0378926700585197E-4</v>
      </c>
      <c r="E49082" s="2">
        <v>2.49461292639601E-4</v>
      </c>
      <c r="F49082" s="2">
        <v>5.65347745605553E-4</v>
      </c>
    </row>
    <row r="49083" spans="1:6" x14ac:dyDescent="0.25">
      <c r="A49083" s="1" t="str">
        <f t="shared" si="1570"/>
        <v>99999</v>
      </c>
      <c r="B49083" s="1" t="str">
        <f>"32350"</f>
        <v>32350</v>
      </c>
      <c r="C49083" s="2">
        <v>7.81643629831764E-5</v>
      </c>
      <c r="D49083" s="2">
        <v>2.55970512196994E-5</v>
      </c>
      <c r="E49083" s="2">
        <v>4.3010567696482999E-6</v>
      </c>
      <c r="F49083" s="2">
        <v>7.3024494981342193E-5</v>
      </c>
    </row>
    <row r="49084" spans="1:6" x14ac:dyDescent="0.25">
      <c r="A49084" s="1" t="str">
        <f t="shared" si="1570"/>
        <v>99999</v>
      </c>
      <c r="B49084" s="1" t="str">
        <f>"35464"</f>
        <v>35464</v>
      </c>
      <c r="C49084" s="2">
        <v>1.77547860515802E-5</v>
      </c>
      <c r="D49084" s="2">
        <v>6.0228355811057601E-6</v>
      </c>
      <c r="E49084" s="2">
        <v>1.29031703089449E-5</v>
      </c>
      <c r="F49084" s="2">
        <v>1.6874579245688502E-5</v>
      </c>
    </row>
    <row r="49085" spans="1:6" x14ac:dyDescent="0.25">
      <c r="A49085" s="1" t="str">
        <f t="shared" si="1570"/>
        <v>99999</v>
      </c>
      <c r="B49085" s="1" t="str">
        <f>"36401"</f>
        <v>36401</v>
      </c>
      <c r="C49085" s="2">
        <v>5.40763148339288E-4</v>
      </c>
      <c r="D49085" s="2">
        <v>9.3805664175722195E-4</v>
      </c>
      <c r="E49085" s="2">
        <v>3.3548242803256698E-4</v>
      </c>
      <c r="F49085" s="2">
        <v>5.6209124785638496E-4</v>
      </c>
    </row>
    <row r="49086" spans="1:6" x14ac:dyDescent="0.25">
      <c r="A49086" s="1" t="str">
        <f t="shared" si="1570"/>
        <v>99999</v>
      </c>
      <c r="B49086" s="1" t="str">
        <f>"36264"</f>
        <v>36264</v>
      </c>
      <c r="C49086" s="2">
        <v>5.3567488648304299E-4</v>
      </c>
      <c r="D49086" s="2">
        <v>5.8722646915781095E-4</v>
      </c>
      <c r="E49086" s="2">
        <v>3.6558982542010497E-4</v>
      </c>
      <c r="F49086" s="2">
        <v>5.3515113011326802E-4</v>
      </c>
    </row>
    <row r="49087" spans="1:6" x14ac:dyDescent="0.25">
      <c r="A49087" s="1" t="str">
        <f t="shared" si="1570"/>
        <v>99999</v>
      </c>
      <c r="B49087" s="1" t="str">
        <f>"36269"</f>
        <v>36269</v>
      </c>
      <c r="C49087" s="2">
        <v>8.1412189699928901E-5</v>
      </c>
      <c r="D49087" s="2">
        <v>1.9574215638593701E-5</v>
      </c>
      <c r="E49087" s="2">
        <v>3.01073973875381E-5</v>
      </c>
      <c r="F49087" s="2">
        <v>7.6182310980535401E-5</v>
      </c>
    </row>
    <row r="49088" spans="1:6" x14ac:dyDescent="0.25">
      <c r="A49088" s="1" t="str">
        <f t="shared" si="1570"/>
        <v>99999</v>
      </c>
      <c r="B49088" s="1" t="str">
        <f>"36263"</f>
        <v>36263</v>
      </c>
      <c r="C49088" s="2">
        <v>4.28713126611328E-5</v>
      </c>
      <c r="D49088" s="2">
        <v>9.0342533716586405E-6</v>
      </c>
      <c r="E49088" s="2">
        <v>2.15052838482415E-5</v>
      </c>
      <c r="F49088" s="2">
        <v>4.0163472239738201E-5</v>
      </c>
    </row>
    <row r="49089" spans="1:6" x14ac:dyDescent="0.25">
      <c r="A49089" s="1" t="str">
        <f t="shared" si="1570"/>
        <v>99999</v>
      </c>
      <c r="B49089" s="1" t="str">
        <f>"37096"</f>
        <v>37096</v>
      </c>
      <c r="C49089" s="2">
        <v>3.8172790010897498E-4</v>
      </c>
      <c r="D49089" s="2">
        <v>3.2071599469388098E-4</v>
      </c>
      <c r="E49089" s="2">
        <v>1.41934873398393E-4</v>
      </c>
      <c r="F49089" s="2">
        <v>3.72227560904895E-4</v>
      </c>
    </row>
    <row r="49090" spans="1:6" x14ac:dyDescent="0.25">
      <c r="A49090" s="1" t="str">
        <f t="shared" si="1570"/>
        <v>99999</v>
      </c>
      <c r="B49090" s="1" t="str">
        <f>"37140"</f>
        <v>37140</v>
      </c>
      <c r="C49090" s="2">
        <v>1.0393045493607899E-5</v>
      </c>
      <c r="D49090" s="2">
        <v>1.35513800574879E-5</v>
      </c>
      <c r="E49090" s="2">
        <v>0</v>
      </c>
      <c r="F49090" s="2">
        <v>1.03615837473526E-5</v>
      </c>
    </row>
    <row r="49091" spans="1:6" x14ac:dyDescent="0.25">
      <c r="A49091" s="1" t="str">
        <f t="shared" si="1570"/>
        <v>99999</v>
      </c>
      <c r="B49091" s="1" t="str">
        <f>"36783"</f>
        <v>36783</v>
      </c>
      <c r="C49091" s="2">
        <v>4.7093487392911002E-5</v>
      </c>
      <c r="D49091" s="2">
        <v>3.6137013486634501E-5</v>
      </c>
      <c r="E49091" s="2">
        <v>3.44084541571864E-5</v>
      </c>
      <c r="F49091" s="2">
        <v>4.60843772382254E-5</v>
      </c>
    </row>
    <row r="49092" spans="1:6" x14ac:dyDescent="0.25">
      <c r="A49092" s="1" t="str">
        <f t="shared" si="1570"/>
        <v>99999</v>
      </c>
      <c r="B49092" s="1" t="str">
        <f>"36742"</f>
        <v>36742</v>
      </c>
      <c r="C49092" s="2">
        <v>1.38790461695889E-4</v>
      </c>
      <c r="D49092" s="2">
        <v>6.7756900287439806E-5</v>
      </c>
      <c r="E49092" s="2">
        <v>9.4623248932262599E-5</v>
      </c>
      <c r="F49092" s="2">
        <v>1.3312168071598701E-4</v>
      </c>
    </row>
    <row r="49093" spans="1:6" x14ac:dyDescent="0.25">
      <c r="A49093" s="1" t="str">
        <f t="shared" si="1570"/>
        <v>99999</v>
      </c>
      <c r="B49093" s="1" t="str">
        <f>"36751"</f>
        <v>36751</v>
      </c>
      <c r="C49093" s="2">
        <v>5.2506531920831798E-5</v>
      </c>
      <c r="D49093" s="2">
        <v>1.9574215638593701E-5</v>
      </c>
      <c r="E49093" s="2">
        <v>1.29031703089449E-5</v>
      </c>
      <c r="F49093" s="2">
        <v>4.94395567373681E-5</v>
      </c>
    </row>
    <row r="49094" spans="1:6" x14ac:dyDescent="0.25">
      <c r="A49094" s="1" t="str">
        <f t="shared" ref="A49094:A49157" si="1571">"99999"</f>
        <v>99999</v>
      </c>
      <c r="B49094" s="1" t="str">
        <f>"36028"</f>
        <v>36028</v>
      </c>
      <c r="C49094" s="2">
        <v>1.4084741861649901E-4</v>
      </c>
      <c r="D49094" s="2">
        <v>5.7216938020504697E-5</v>
      </c>
      <c r="E49094" s="2">
        <v>2.58063406178898E-5</v>
      </c>
      <c r="F49094" s="2">
        <v>1.3272695371608801E-4</v>
      </c>
    </row>
    <row r="49095" spans="1:6" x14ac:dyDescent="0.25">
      <c r="A49095" s="1" t="str">
        <f t="shared" si="1571"/>
        <v>99999</v>
      </c>
      <c r="B49095" s="1" t="str">
        <f>"36030"</f>
        <v>36030</v>
      </c>
      <c r="C49095" s="2">
        <v>3.9190442382146597E-5</v>
      </c>
      <c r="D49095" s="2">
        <v>3.01141779055288E-5</v>
      </c>
      <c r="E49095" s="2">
        <v>0</v>
      </c>
      <c r="F49095" s="2">
        <v>3.7696428490368499E-5</v>
      </c>
    </row>
    <row r="49096" spans="1:6" x14ac:dyDescent="0.25">
      <c r="A49096" s="1" t="str">
        <f t="shared" si="1571"/>
        <v>99999</v>
      </c>
      <c r="B49096" s="1" t="str">
        <f>"35961"</f>
        <v>35961</v>
      </c>
      <c r="C49096" s="2">
        <v>3.0962614699707001E-5</v>
      </c>
      <c r="D49096" s="2">
        <v>1.50570889527644E-5</v>
      </c>
      <c r="E49096" s="2">
        <v>0</v>
      </c>
      <c r="F49096" s="2">
        <v>2.92097979925368E-5</v>
      </c>
    </row>
    <row r="49097" spans="1:6" x14ac:dyDescent="0.25">
      <c r="A49097" s="1" t="str">
        <f t="shared" si="1571"/>
        <v>99999</v>
      </c>
      <c r="B49097" s="1" t="str">
        <f>"35983"</f>
        <v>35983</v>
      </c>
      <c r="C49097" s="2">
        <v>2.29404827093283E-4</v>
      </c>
      <c r="D49097" s="2">
        <v>1.5659372510874899E-4</v>
      </c>
      <c r="E49097" s="2">
        <v>9.4623248932262599E-5</v>
      </c>
      <c r="F49097" s="2">
        <v>2.21540528693396E-4</v>
      </c>
    </row>
    <row r="49098" spans="1:6" x14ac:dyDescent="0.25">
      <c r="A49098" s="1" t="str">
        <f t="shared" si="1571"/>
        <v>99999</v>
      </c>
      <c r="B49098" s="1" t="str">
        <f>"38344"</f>
        <v>38344</v>
      </c>
      <c r="C49098" s="2">
        <v>5.08934446515114E-4</v>
      </c>
      <c r="D49098" s="2">
        <v>7.5887728321932595E-4</v>
      </c>
      <c r="E49098" s="2">
        <v>2.2795600879136E-4</v>
      </c>
      <c r="F49098" s="2">
        <v>5.1886864136742902E-4</v>
      </c>
    </row>
    <row r="49099" spans="1:6" x14ac:dyDescent="0.25">
      <c r="A49099" s="1" t="str">
        <f t="shared" si="1571"/>
        <v>99999</v>
      </c>
      <c r="B49099" s="1" t="str">
        <f>"38368"</f>
        <v>38368</v>
      </c>
      <c r="C49099" s="2">
        <v>9.3212626770796303E-5</v>
      </c>
      <c r="D49099" s="2">
        <v>6.0228355811057599E-5</v>
      </c>
      <c r="E49099" s="2">
        <v>0</v>
      </c>
      <c r="F49099" s="2">
        <v>8.8912256727282897E-5</v>
      </c>
    </row>
    <row r="49100" spans="1:6" x14ac:dyDescent="0.25">
      <c r="A49100" s="1" t="str">
        <f t="shared" si="1571"/>
        <v>99999</v>
      </c>
      <c r="B49100" s="1" t="str">
        <f>"38425"</f>
        <v>38425</v>
      </c>
      <c r="C49100" s="2">
        <v>1.18653936052024E-4</v>
      </c>
      <c r="D49100" s="2">
        <v>6.0228355811057599E-5</v>
      </c>
      <c r="E49100" s="2">
        <v>4.3010567696482999E-5</v>
      </c>
      <c r="F49100" s="2">
        <v>1.1308928547110499E-4</v>
      </c>
    </row>
    <row r="49101" spans="1:6" x14ac:dyDescent="0.25">
      <c r="A49101" s="1" t="str">
        <f t="shared" si="1571"/>
        <v>99999</v>
      </c>
      <c r="B49101" s="1" t="str">
        <f>"38452"</f>
        <v>38452</v>
      </c>
      <c r="C49101" s="2">
        <v>6.3007838304998201E-5</v>
      </c>
      <c r="D49101" s="2">
        <v>3.1619886800805203E-5</v>
      </c>
      <c r="E49101" s="2">
        <v>0</v>
      </c>
      <c r="F49101" s="2">
        <v>5.9505095234796402E-5</v>
      </c>
    </row>
    <row r="49102" spans="1:6" x14ac:dyDescent="0.25">
      <c r="A49102" s="1" t="str">
        <f t="shared" si="1571"/>
        <v>99999</v>
      </c>
      <c r="B49102" s="1" t="str">
        <f>"38462"</f>
        <v>38462</v>
      </c>
      <c r="C49102" s="2">
        <v>5.6317315268487997E-4</v>
      </c>
      <c r="D49102" s="2">
        <v>7.7092295438153696E-4</v>
      </c>
      <c r="E49102" s="2">
        <v>7.7419021853669399E-5</v>
      </c>
      <c r="F49102" s="2">
        <v>5.6564379085547801E-4</v>
      </c>
    </row>
    <row r="49103" spans="1:6" x14ac:dyDescent="0.25">
      <c r="A49103" s="1" t="str">
        <f t="shared" si="1571"/>
        <v>99999</v>
      </c>
      <c r="B49103" s="1" t="str">
        <f>"38326"</f>
        <v>38326</v>
      </c>
      <c r="C49103" s="2">
        <v>2.16954824679066E-4</v>
      </c>
      <c r="D49103" s="2">
        <v>2.03270700862319E-4</v>
      </c>
      <c r="E49103" s="2">
        <v>7.7419021853669399E-5</v>
      </c>
      <c r="F49103" s="2">
        <v>2.12856534695615E-4</v>
      </c>
    </row>
    <row r="49104" spans="1:6" x14ac:dyDescent="0.25">
      <c r="A49104" s="1" t="str">
        <f t="shared" si="1571"/>
        <v>99999</v>
      </c>
      <c r="B49104" s="1" t="str">
        <f>"38359"</f>
        <v>38359</v>
      </c>
      <c r="C49104" s="2">
        <v>1.76465251610218E-5</v>
      </c>
      <c r="D49104" s="2">
        <v>3.31255956960816E-5</v>
      </c>
      <c r="E49104" s="2">
        <v>0</v>
      </c>
      <c r="F49104" s="2">
        <v>1.8256123745335501E-5</v>
      </c>
    </row>
    <row r="49105" spans="1:6" x14ac:dyDescent="0.25">
      <c r="A49105" s="1" t="str">
        <f t="shared" si="1571"/>
        <v>99999</v>
      </c>
      <c r="B49105" s="1" t="str">
        <f>"38374"</f>
        <v>38374</v>
      </c>
      <c r="C49105" s="2">
        <v>1.2276784989324299E-4</v>
      </c>
      <c r="D49105" s="2">
        <v>1.3551380057487899E-4</v>
      </c>
      <c r="E49105" s="2">
        <v>8.6021135392965999E-6</v>
      </c>
      <c r="F49105" s="2">
        <v>1.20983825469088E-4</v>
      </c>
    </row>
    <row r="49106" spans="1:6" x14ac:dyDescent="0.25">
      <c r="A49106" s="1" t="str">
        <f t="shared" si="1571"/>
        <v>99999</v>
      </c>
      <c r="B49106" s="1" t="str">
        <f>"38478"</f>
        <v>38478</v>
      </c>
      <c r="C49106" s="2">
        <v>1.01462106631347E-3</v>
      </c>
      <c r="D49106" s="2">
        <v>1.3912750192354301E-3</v>
      </c>
      <c r="E49106" s="2">
        <v>7.6988916176704599E-4</v>
      </c>
      <c r="F49106" s="2">
        <v>1.0336913309858899E-3</v>
      </c>
    </row>
    <row r="49107" spans="1:6" x14ac:dyDescent="0.25">
      <c r="A49107" s="1" t="str">
        <f t="shared" si="1571"/>
        <v>99999</v>
      </c>
      <c r="B49107" s="1" t="str">
        <f>"38483"</f>
        <v>38483</v>
      </c>
      <c r="C49107" s="2">
        <v>9.5702627253639803E-5</v>
      </c>
      <c r="D49107" s="2">
        <v>6.4745482496886904E-5</v>
      </c>
      <c r="E49107" s="2">
        <v>4.3010567696482999E-5</v>
      </c>
      <c r="F49107" s="2">
        <v>9.2464799726375198E-5</v>
      </c>
    </row>
    <row r="49108" spans="1:6" x14ac:dyDescent="0.25">
      <c r="A49108" s="1" t="str">
        <f t="shared" si="1571"/>
        <v>99999</v>
      </c>
      <c r="B49108" s="1" t="str">
        <f>"38388"</f>
        <v>38388</v>
      </c>
      <c r="C49108" s="2">
        <v>8.8124364914550697E-5</v>
      </c>
      <c r="D49108" s="2">
        <v>7.3779735868545501E-5</v>
      </c>
      <c r="E49108" s="2">
        <v>2.58063406178898E-5</v>
      </c>
      <c r="F49108" s="2">
        <v>8.5754440728089704E-5</v>
      </c>
    </row>
    <row r="49109" spans="1:6" x14ac:dyDescent="0.25">
      <c r="A49109" s="1" t="str">
        <f t="shared" si="1571"/>
        <v>99999</v>
      </c>
      <c r="B49109" s="1" t="str">
        <f>"38488"</f>
        <v>38488</v>
      </c>
      <c r="C49109" s="2">
        <v>1.3142872113791699E-4</v>
      </c>
      <c r="D49109" s="2">
        <v>7.3779735868545501E-5</v>
      </c>
      <c r="E49109" s="2">
        <v>3.01073973875381E-5</v>
      </c>
      <c r="F49109" s="2">
        <v>1.25325822467979E-4</v>
      </c>
    </row>
    <row r="49110" spans="1:6" x14ac:dyDescent="0.25">
      <c r="A49110" s="1" t="str">
        <f t="shared" si="1571"/>
        <v>99999</v>
      </c>
      <c r="B49110" s="1" t="str">
        <f>"38341"</f>
        <v>38341</v>
      </c>
      <c r="C49110" s="2">
        <v>1.6260785761874099E-4</v>
      </c>
      <c r="D49110" s="2">
        <v>1.26479547203221E-4</v>
      </c>
      <c r="E49110" s="2">
        <v>0</v>
      </c>
      <c r="F49110" s="2">
        <v>1.5650925546001099E-4</v>
      </c>
    </row>
    <row r="49111" spans="1:6" x14ac:dyDescent="0.25">
      <c r="A49111" s="1" t="str">
        <f t="shared" si="1571"/>
        <v>99999</v>
      </c>
      <c r="B49111" s="1" t="str">
        <f>"38472"</f>
        <v>38472</v>
      </c>
      <c r="C49111" s="2">
        <v>1.5113220321954799E-4</v>
      </c>
      <c r="D49111" s="2">
        <v>9.7871078192968605E-5</v>
      </c>
      <c r="E49111" s="2">
        <v>0</v>
      </c>
      <c r="F49111" s="2">
        <v>1.4417403671316301E-4</v>
      </c>
    </row>
    <row r="49112" spans="1:6" x14ac:dyDescent="0.25">
      <c r="A49112" s="1" t="str">
        <f t="shared" si="1571"/>
        <v>99999</v>
      </c>
      <c r="B49112" s="1" t="str">
        <f>"38456"</f>
        <v>38456</v>
      </c>
      <c r="C49112" s="2">
        <v>3.9731746834938703E-5</v>
      </c>
      <c r="D49112" s="2">
        <v>3.4631304591358098E-5</v>
      </c>
      <c r="E49112" s="2">
        <v>0</v>
      </c>
      <c r="F49112" s="2">
        <v>3.84858824901668E-5</v>
      </c>
    </row>
    <row r="49113" spans="1:6" x14ac:dyDescent="0.25">
      <c r="A49113" s="1" t="str">
        <f t="shared" si="1571"/>
        <v>99999</v>
      </c>
      <c r="B49113" s="1" t="str">
        <f>"22480"</f>
        <v>22480</v>
      </c>
      <c r="C49113" s="2">
        <v>5.59708804187011E-5</v>
      </c>
      <c r="D49113" s="2">
        <v>3.1619886800805203E-5</v>
      </c>
      <c r="E49113" s="2">
        <v>1.72042270785932E-5</v>
      </c>
      <c r="F49113" s="2">
        <v>5.3485508486334399E-5</v>
      </c>
    </row>
    <row r="49114" spans="1:6" x14ac:dyDescent="0.25">
      <c r="A49114" s="1" t="str">
        <f t="shared" si="1571"/>
        <v>99999</v>
      </c>
      <c r="B49114" s="1" t="str">
        <f>"22644"</f>
        <v>22644</v>
      </c>
      <c r="C49114" s="2">
        <v>1.16596979131414E-4</v>
      </c>
      <c r="D49114" s="2">
        <v>3.7642722381910999E-5</v>
      </c>
      <c r="E49114" s="2">
        <v>1.29031703089449E-5</v>
      </c>
      <c r="F49114" s="2">
        <v>1.09043333722139E-4</v>
      </c>
    </row>
    <row r="49115" spans="1:6" x14ac:dyDescent="0.25">
      <c r="A49115" s="1" t="str">
        <f t="shared" si="1571"/>
        <v>99999</v>
      </c>
      <c r="B49115" s="1" t="str">
        <f>"22701"</f>
        <v>22701</v>
      </c>
      <c r="C49115" s="2">
        <v>4.1572181974431801E-5</v>
      </c>
      <c r="D49115" s="2">
        <v>7.5285444763821999E-6</v>
      </c>
      <c r="E49115" s="2">
        <v>4.3010567696482999E-6</v>
      </c>
      <c r="F49115" s="2">
        <v>3.84858824901668E-5</v>
      </c>
    </row>
    <row r="49116" spans="1:6" x14ac:dyDescent="0.25">
      <c r="A49116" s="1" t="str">
        <f t="shared" si="1571"/>
        <v>99999</v>
      </c>
      <c r="B49116" s="1" t="str">
        <f>"22427"</f>
        <v>22427</v>
      </c>
      <c r="C49116" s="2">
        <v>1.33052634496293E-4</v>
      </c>
      <c r="D49116" s="2">
        <v>1.3250238278432599E-4</v>
      </c>
      <c r="E49116" s="2">
        <v>1.1096726465692601E-3</v>
      </c>
      <c r="F49116" s="2">
        <v>1.5542375621028899E-4</v>
      </c>
    </row>
    <row r="49117" spans="1:6" x14ac:dyDescent="0.25">
      <c r="A49117" s="1" t="str">
        <f t="shared" si="1571"/>
        <v>99999</v>
      </c>
      <c r="B49117" s="1" t="str">
        <f>"22435"</f>
        <v>22435</v>
      </c>
      <c r="C49117" s="2">
        <v>1.14215239539129E-4</v>
      </c>
      <c r="D49117" s="2">
        <v>4.8182684648845999E-5</v>
      </c>
      <c r="E49117" s="2">
        <v>4.3010567696482999E-6</v>
      </c>
      <c r="F49117" s="2">
        <v>1.07365743972568E-4</v>
      </c>
    </row>
    <row r="49118" spans="1:6" x14ac:dyDescent="0.25">
      <c r="A49118" s="1" t="str">
        <f t="shared" si="1571"/>
        <v>99999</v>
      </c>
      <c r="B49118" s="1" t="str">
        <f>"22436"</f>
        <v>22436</v>
      </c>
      <c r="C49118" s="2">
        <v>3.5401311212602003E-5</v>
      </c>
      <c r="D49118" s="2">
        <v>3.01141779055288E-6</v>
      </c>
      <c r="E49118" s="2">
        <v>4.3010567696482999E-6</v>
      </c>
      <c r="F49118" s="2">
        <v>3.2564977491679601E-5</v>
      </c>
    </row>
    <row r="49119" spans="1:6" x14ac:dyDescent="0.25">
      <c r="A49119" s="1" t="str">
        <f t="shared" si="1571"/>
        <v>99999</v>
      </c>
      <c r="B49119" s="1" t="str">
        <f>"22960"</f>
        <v>22960</v>
      </c>
      <c r="C49119" s="2">
        <v>4.6346487248057901E-4</v>
      </c>
      <c r="D49119" s="2">
        <v>7.6791153659098402E-4</v>
      </c>
      <c r="E49119" s="2">
        <v>4.3870779050412601E-4</v>
      </c>
      <c r="F49119" s="2">
        <v>4.82849802626631E-4</v>
      </c>
    </row>
    <row r="49120" spans="1:6" x14ac:dyDescent="0.25">
      <c r="A49120" s="1" t="str">
        <f t="shared" si="1571"/>
        <v>99999</v>
      </c>
      <c r="B49120" s="1" t="str">
        <f>"22580"</f>
        <v>22580</v>
      </c>
      <c r="C49120" s="2">
        <v>2.2085221673916799E-4</v>
      </c>
      <c r="D49120" s="2">
        <v>7.0768318077992694E-5</v>
      </c>
      <c r="E49120" s="2">
        <v>8.6021135392965999E-6</v>
      </c>
      <c r="F49120" s="2">
        <v>2.0614617569732899E-4</v>
      </c>
    </row>
    <row r="49121" spans="1:6" x14ac:dyDescent="0.25">
      <c r="A49121" s="1" t="str">
        <f t="shared" si="1571"/>
        <v>99999</v>
      </c>
      <c r="B49121" s="1" t="str">
        <f>"23169"</f>
        <v>23169</v>
      </c>
      <c r="C49121" s="2">
        <v>5.7703054667635801E-5</v>
      </c>
      <c r="D49121" s="2">
        <v>3.9148431277187403E-5</v>
      </c>
      <c r="E49121" s="2">
        <v>2.58063406178898E-5</v>
      </c>
      <c r="F49121" s="2">
        <v>5.57551887357545E-5</v>
      </c>
    </row>
    <row r="49122" spans="1:6" x14ac:dyDescent="0.25">
      <c r="A49122" s="1" t="str">
        <f t="shared" si="1571"/>
        <v>99999</v>
      </c>
      <c r="B49122" s="1" t="str">
        <f>"23418"</f>
        <v>23418</v>
      </c>
      <c r="C49122" s="2">
        <v>1.75382642704634E-5</v>
      </c>
      <c r="D49122" s="2">
        <v>5.7216938020504697E-5</v>
      </c>
      <c r="E49122" s="2">
        <v>8.6021135392965999E-6</v>
      </c>
      <c r="F49122" s="2">
        <v>1.9933713494906902E-5</v>
      </c>
    </row>
    <row r="49123" spans="1:6" x14ac:dyDescent="0.25">
      <c r="A49123" s="1" t="str">
        <f t="shared" si="1571"/>
        <v>99999</v>
      </c>
      <c r="B49123" s="1" t="str">
        <f>"23308"</f>
        <v>23308</v>
      </c>
      <c r="C49123" s="2">
        <v>7.8922189217085306E-5</v>
      </c>
      <c r="D49123" s="2">
        <v>1.9574215638593701E-5</v>
      </c>
      <c r="E49123" s="2">
        <v>1.72042270785932E-5</v>
      </c>
      <c r="F49123" s="2">
        <v>7.3616585481190894E-5</v>
      </c>
    </row>
    <row r="49124" spans="1:6" x14ac:dyDescent="0.25">
      <c r="A49124" s="1" t="str">
        <f t="shared" si="1571"/>
        <v>99999</v>
      </c>
      <c r="B49124" s="1" t="str">
        <f>"23821"</f>
        <v>23821</v>
      </c>
      <c r="C49124" s="2">
        <v>8.2386537714954696E-5</v>
      </c>
      <c r="D49124" s="2">
        <v>2.7102760114975901E-5</v>
      </c>
      <c r="E49124" s="2">
        <v>2.15052838482415E-5</v>
      </c>
      <c r="F49124" s="2">
        <v>7.7366491980232802E-5</v>
      </c>
    </row>
    <row r="49125" spans="1:6" x14ac:dyDescent="0.25">
      <c r="A49125" s="1" t="str">
        <f t="shared" si="1571"/>
        <v>99999</v>
      </c>
      <c r="B49125" s="1" t="str">
        <f>"23901"</f>
        <v>23901</v>
      </c>
      <c r="C49125" s="2">
        <v>8.83084084285E-4</v>
      </c>
      <c r="D49125" s="2">
        <v>1.2542555097652701E-3</v>
      </c>
      <c r="E49125" s="2">
        <v>1.4623593016804199E-3</v>
      </c>
      <c r="F49125" s="2">
        <v>9.2070072726476002E-4</v>
      </c>
    </row>
    <row r="49126" spans="1:6" x14ac:dyDescent="0.25">
      <c r="A49126" s="1" t="str">
        <f t="shared" si="1571"/>
        <v>99999</v>
      </c>
      <c r="B49126" s="1" t="str">
        <f>"23923"</f>
        <v>23923</v>
      </c>
      <c r="C49126" s="2">
        <v>1.29263503326748E-4</v>
      </c>
      <c r="D49126" s="2">
        <v>6.6251191392163294E-5</v>
      </c>
      <c r="E49126" s="2">
        <v>4.3010567696482999E-5</v>
      </c>
      <c r="F49126" s="2">
        <v>1.2315482396853299E-4</v>
      </c>
    </row>
    <row r="49127" spans="1:6" x14ac:dyDescent="0.25">
      <c r="A49127" s="1" t="str">
        <f t="shared" si="1571"/>
        <v>99999</v>
      </c>
      <c r="B49127" s="1" t="str">
        <f>"24426"</f>
        <v>24426</v>
      </c>
      <c r="C49127" s="2">
        <v>8.49956251774125E-4</v>
      </c>
      <c r="D49127" s="2">
        <v>1.0163535043115901E-3</v>
      </c>
      <c r="E49127" s="2">
        <v>5.2902998266674103E-4</v>
      </c>
      <c r="F49127" s="2">
        <v>8.5349845553193103E-4</v>
      </c>
    </row>
    <row r="49128" spans="1:6" x14ac:dyDescent="0.25">
      <c r="A49128" s="1" t="str">
        <f t="shared" si="1571"/>
        <v>99999</v>
      </c>
      <c r="B49128" s="1" t="str">
        <f>"24435"</f>
        <v>24435</v>
      </c>
      <c r="C49128" s="2">
        <v>9.3212626770796303E-5</v>
      </c>
      <c r="D49128" s="2">
        <v>5.1194102439398901E-5</v>
      </c>
      <c r="E49128" s="2">
        <v>3.8709510926834699E-5</v>
      </c>
      <c r="F49128" s="2">
        <v>8.92083019772072E-5</v>
      </c>
    </row>
    <row r="49129" spans="1:6" x14ac:dyDescent="0.25">
      <c r="A49129" s="1" t="str">
        <f t="shared" si="1571"/>
        <v>99999</v>
      </c>
      <c r="B49129" s="1" t="str">
        <f>"23974"</f>
        <v>23974</v>
      </c>
      <c r="C49129" s="2">
        <v>1.8988960203946101E-4</v>
      </c>
      <c r="D49129" s="2">
        <v>6.6251191392163294E-5</v>
      </c>
      <c r="E49129" s="2">
        <v>3.01073973875381E-5</v>
      </c>
      <c r="F49129" s="2">
        <v>1.7812055870448999E-4</v>
      </c>
    </row>
    <row r="49130" spans="1:6" x14ac:dyDescent="0.25">
      <c r="A49130" s="1" t="str">
        <f t="shared" si="1571"/>
        <v>99999</v>
      </c>
      <c r="B49130" s="1" t="str">
        <f>"23962"</f>
        <v>23962</v>
      </c>
      <c r="C49130" s="2">
        <v>4.4170443347833698E-5</v>
      </c>
      <c r="D49130" s="2">
        <v>1.0539962266935E-5</v>
      </c>
      <c r="E49130" s="2">
        <v>4.3010567696482999E-6</v>
      </c>
      <c r="F49130" s="2">
        <v>4.10516079895113E-5</v>
      </c>
    </row>
    <row r="49131" spans="1:6" x14ac:dyDescent="0.25">
      <c r="A49131" s="1" t="str">
        <f t="shared" si="1571"/>
        <v>99999</v>
      </c>
      <c r="B49131" s="1" t="str">
        <f>"23868"</f>
        <v>23868</v>
      </c>
      <c r="C49131" s="2">
        <v>2.5960961555908098E-4</v>
      </c>
      <c r="D49131" s="2">
        <v>3.5384159038996302E-4</v>
      </c>
      <c r="E49131" s="2">
        <v>2.3655812233065599E-4</v>
      </c>
      <c r="F49131" s="2">
        <v>2.6525654393222598E-4</v>
      </c>
    </row>
    <row r="49132" spans="1:6" x14ac:dyDescent="0.25">
      <c r="A49132" s="1" t="str">
        <f t="shared" si="1571"/>
        <v>99999</v>
      </c>
      <c r="B49132" s="1" t="str">
        <f>"23843"</f>
        <v>23843</v>
      </c>
      <c r="C49132" s="2">
        <v>3.7674789914328797E-5</v>
      </c>
      <c r="D49132" s="2">
        <v>1.50570889527644E-5</v>
      </c>
      <c r="E49132" s="2">
        <v>4.3010567696482999E-6</v>
      </c>
      <c r="F49132" s="2">
        <v>3.5426748240948397E-5</v>
      </c>
    </row>
    <row r="49133" spans="1:6" x14ac:dyDescent="0.25">
      <c r="A49133" s="1" t="str">
        <f t="shared" si="1571"/>
        <v>99999</v>
      </c>
      <c r="B49133" s="1" t="str">
        <f>"24120"</f>
        <v>24120</v>
      </c>
      <c r="C49133" s="2">
        <v>1.2980480777954E-4</v>
      </c>
      <c r="D49133" s="2">
        <v>1.12928167145733E-4</v>
      </c>
      <c r="E49133" s="2">
        <v>1.72042270785932E-5</v>
      </c>
      <c r="F49133" s="2">
        <v>1.26115276467777E-4</v>
      </c>
    </row>
    <row r="49134" spans="1:6" x14ac:dyDescent="0.25">
      <c r="A49134" s="1" t="str">
        <f t="shared" si="1571"/>
        <v>99999</v>
      </c>
      <c r="B49134" s="1" t="str">
        <f>"24053"</f>
        <v>24053</v>
      </c>
      <c r="C49134" s="2">
        <v>1.4734307205000401E-4</v>
      </c>
      <c r="D49134" s="2">
        <v>3.1619886800805203E-5</v>
      </c>
      <c r="E49134" s="2">
        <v>1.72042270785932E-5</v>
      </c>
      <c r="F49134" s="2">
        <v>1.3677290546505399E-4</v>
      </c>
    </row>
    <row r="49135" spans="1:6" x14ac:dyDescent="0.25">
      <c r="A49135" s="1" t="str">
        <f t="shared" si="1571"/>
        <v>99999</v>
      </c>
      <c r="B49135" s="1" t="str">
        <f>"24378"</f>
        <v>24378</v>
      </c>
      <c r="C49135" s="2">
        <v>8.7583060461758597E-5</v>
      </c>
      <c r="D49135" s="2">
        <v>4.2159849067740298E-5</v>
      </c>
      <c r="E49135" s="2">
        <v>1.72042270785932E-5</v>
      </c>
      <c r="F49135" s="2">
        <v>8.2991351728795698E-5</v>
      </c>
    </row>
    <row r="49136" spans="1:6" x14ac:dyDescent="0.25">
      <c r="A49136" s="1" t="str">
        <f t="shared" si="1571"/>
        <v>99999</v>
      </c>
      <c r="B49136" s="1" t="str">
        <f>"24352"</f>
        <v>24352</v>
      </c>
      <c r="C49136" s="2">
        <v>6.7771317489568502E-5</v>
      </c>
      <c r="D49136" s="2">
        <v>3.7642722381910999E-5</v>
      </c>
      <c r="E49136" s="2">
        <v>2.15052838482415E-5</v>
      </c>
      <c r="F49136" s="2">
        <v>6.4735227983460096E-5</v>
      </c>
    </row>
    <row r="49137" spans="1:6" x14ac:dyDescent="0.25">
      <c r="A49137" s="1" t="str">
        <f t="shared" si="1571"/>
        <v>99999</v>
      </c>
      <c r="B49137" s="1" t="str">
        <f>"24263"</f>
        <v>24263</v>
      </c>
      <c r="C49137" s="2">
        <v>2.9771744903564398E-4</v>
      </c>
      <c r="D49137" s="2">
        <v>1.3551380057487899E-4</v>
      </c>
      <c r="E49137" s="2">
        <v>3.0537503064502898E-4</v>
      </c>
      <c r="F49137" s="2">
        <v>2.8726257417660398E-4</v>
      </c>
    </row>
    <row r="49138" spans="1:6" x14ac:dyDescent="0.25">
      <c r="A49138" s="1" t="str">
        <f t="shared" si="1571"/>
        <v>99999</v>
      </c>
      <c r="B49138" s="1" t="str">
        <f>"24230"</f>
        <v>24230</v>
      </c>
      <c r="C49138" s="2">
        <v>8.8340886695667504E-5</v>
      </c>
      <c r="D49138" s="2">
        <v>9.0342533716586405E-6</v>
      </c>
      <c r="E49138" s="2">
        <v>0</v>
      </c>
      <c r="F49138" s="2">
        <v>8.1116398479274697E-5</v>
      </c>
    </row>
    <row r="49139" spans="1:6" x14ac:dyDescent="0.25">
      <c r="A49139" s="1" t="str">
        <f t="shared" si="1571"/>
        <v>99999</v>
      </c>
      <c r="B49139" s="1" t="str">
        <f>"24283"</f>
        <v>24283</v>
      </c>
      <c r="C49139" s="2">
        <v>2.91221795602139E-5</v>
      </c>
      <c r="D49139" s="2">
        <v>1.50570889527644E-5</v>
      </c>
      <c r="E49139" s="2">
        <v>8.6021135392965999E-6</v>
      </c>
      <c r="F49139" s="2">
        <v>2.7729571742915E-5</v>
      </c>
    </row>
    <row r="49140" spans="1:6" x14ac:dyDescent="0.25">
      <c r="A49140" s="1" t="str">
        <f t="shared" si="1571"/>
        <v>99999</v>
      </c>
      <c r="B49140" s="1" t="str">
        <f>"24226"</f>
        <v>24226</v>
      </c>
      <c r="C49140" s="2">
        <v>6.6796969474542693E-5</v>
      </c>
      <c r="D49140" s="2">
        <v>2.4091342324423E-5</v>
      </c>
      <c r="E49140" s="2">
        <v>0</v>
      </c>
      <c r="F49140" s="2">
        <v>6.2465547734040001E-5</v>
      </c>
    </row>
    <row r="49141" spans="1:6" x14ac:dyDescent="0.25">
      <c r="A49141" s="1" t="str">
        <f t="shared" si="1571"/>
        <v>99999</v>
      </c>
      <c r="B49141" s="1" t="str">
        <f>"24555"</f>
        <v>24555</v>
      </c>
      <c r="C49141" s="2">
        <v>1.85342644636008E-4</v>
      </c>
      <c r="D49141" s="2">
        <v>7.6791153659098402E-5</v>
      </c>
      <c r="E49141" s="2">
        <v>3.44084541571864E-5</v>
      </c>
      <c r="F49141" s="2">
        <v>1.7476537920534701E-4</v>
      </c>
    </row>
    <row r="49142" spans="1:6" x14ac:dyDescent="0.25">
      <c r="A49142" s="1" t="str">
        <f t="shared" si="1571"/>
        <v>99999</v>
      </c>
      <c r="B49142" s="1" t="str">
        <f>"25063"</f>
        <v>25063</v>
      </c>
      <c r="C49142" s="2">
        <v>4.5794356706210002E-5</v>
      </c>
      <c r="D49142" s="2">
        <v>1.80685067433172E-5</v>
      </c>
      <c r="E49142" s="2">
        <v>0</v>
      </c>
      <c r="F49142" s="2">
        <v>4.29265612390322E-5</v>
      </c>
    </row>
    <row r="49143" spans="1:6" x14ac:dyDescent="0.25">
      <c r="A49143" s="1" t="str">
        <f t="shared" si="1571"/>
        <v>99999</v>
      </c>
      <c r="B49143" s="1" t="str">
        <f>"25005"</f>
        <v>25005</v>
      </c>
      <c r="C49143" s="2">
        <v>1.71052207082297E-5</v>
      </c>
      <c r="D49143" s="2">
        <v>9.0342533716586405E-6</v>
      </c>
      <c r="E49143" s="2">
        <v>4.3010567696482999E-6</v>
      </c>
      <c r="F49143" s="2">
        <v>1.6282488745839801E-5</v>
      </c>
    </row>
    <row r="49144" spans="1:6" x14ac:dyDescent="0.25">
      <c r="A49144" s="1" t="str">
        <f t="shared" si="1571"/>
        <v>99999</v>
      </c>
      <c r="B49144" s="1" t="str">
        <f>"24941"</f>
        <v>24941</v>
      </c>
      <c r="C49144" s="2">
        <v>1.03497411373845E-4</v>
      </c>
      <c r="D49144" s="2">
        <v>2.25856334291466E-5</v>
      </c>
      <c r="E49144" s="2">
        <v>1.72042270785932E-5</v>
      </c>
      <c r="F49144" s="2">
        <v>9.6214706225417106E-5</v>
      </c>
    </row>
    <row r="49145" spans="1:6" x14ac:dyDescent="0.25">
      <c r="A49145" s="1" t="str">
        <f t="shared" si="1571"/>
        <v>99999</v>
      </c>
      <c r="B49145" s="1" t="str">
        <f>"26378"</f>
        <v>26378</v>
      </c>
      <c r="C49145" s="2">
        <v>1.54921334389093E-4</v>
      </c>
      <c r="D49145" s="2">
        <v>1.6412226958513199E-4</v>
      </c>
      <c r="E49145" s="2">
        <v>8.6021135392965999E-5</v>
      </c>
      <c r="F49145" s="2">
        <v>1.5394352996066701E-4</v>
      </c>
    </row>
    <row r="49146" spans="1:6" x14ac:dyDescent="0.25">
      <c r="A49146" s="1" t="str">
        <f t="shared" si="1571"/>
        <v>99999</v>
      </c>
      <c r="B49146" s="1" t="str">
        <f>"26342"</f>
        <v>26342</v>
      </c>
      <c r="C49146" s="2">
        <v>3.0313049356356498E-5</v>
      </c>
      <c r="D49146" s="2">
        <v>6.0228355811057601E-6</v>
      </c>
      <c r="E49146" s="2">
        <v>4.3010567696482999E-6</v>
      </c>
      <c r="F49146" s="2">
        <v>2.8124298742814199E-5</v>
      </c>
    </row>
    <row r="49147" spans="1:6" x14ac:dyDescent="0.25">
      <c r="A49147" s="1" t="str">
        <f t="shared" si="1571"/>
        <v>99999</v>
      </c>
      <c r="B49147" s="1" t="str">
        <f>"26175"</f>
        <v>26175</v>
      </c>
      <c r="C49147" s="2">
        <v>2.28213957297141E-4</v>
      </c>
      <c r="D49147" s="2">
        <v>1.86707903014278E-4</v>
      </c>
      <c r="E49147" s="2">
        <v>7.7419021853669399E-5</v>
      </c>
      <c r="F49147" s="2">
        <v>2.2203393744326999E-4</v>
      </c>
    </row>
    <row r="49148" spans="1:6" x14ac:dyDescent="0.25">
      <c r="A49148" s="1" t="str">
        <f t="shared" si="1571"/>
        <v>99999</v>
      </c>
      <c r="B49148" s="1" t="str">
        <f>"26155"</f>
        <v>26155</v>
      </c>
      <c r="C49148" s="2">
        <v>4.86957485731755E-4</v>
      </c>
      <c r="D49148" s="2">
        <v>6.2637490043499899E-4</v>
      </c>
      <c r="E49148" s="2">
        <v>3.6128876865045701E-4</v>
      </c>
      <c r="F49148" s="2">
        <v>4.9321138637398404E-4</v>
      </c>
    </row>
    <row r="49149" spans="1:6" x14ac:dyDescent="0.25">
      <c r="A49149" s="1" t="str">
        <f t="shared" si="1571"/>
        <v>99999</v>
      </c>
      <c r="B49149" s="1" t="str">
        <f>"26288"</f>
        <v>26288</v>
      </c>
      <c r="C49149" s="2">
        <v>2.3167830579501E-4</v>
      </c>
      <c r="D49149" s="2">
        <v>1.92730738595384E-4</v>
      </c>
      <c r="E49149" s="2">
        <v>1.67741214016283E-4</v>
      </c>
      <c r="F49149" s="2">
        <v>2.2765879719183299E-4</v>
      </c>
    </row>
    <row r="49150" spans="1:6" x14ac:dyDescent="0.25">
      <c r="A49150" s="1" t="str">
        <f t="shared" si="1571"/>
        <v>99999</v>
      </c>
      <c r="B49150" s="1" t="str">
        <f>"26287"</f>
        <v>26287</v>
      </c>
      <c r="C49150" s="2">
        <v>1.74841338251842E-4</v>
      </c>
      <c r="D49150" s="2">
        <v>2.31879169872571E-4</v>
      </c>
      <c r="E49150" s="2">
        <v>1.03225362471559E-4</v>
      </c>
      <c r="F49150" s="2">
        <v>1.7693637770479199E-4</v>
      </c>
    </row>
    <row r="49151" spans="1:6" x14ac:dyDescent="0.25">
      <c r="A49151" s="1" t="str">
        <f t="shared" si="1571"/>
        <v>99999</v>
      </c>
      <c r="B49151" s="1" t="str">
        <f>"26237"</f>
        <v>26237</v>
      </c>
      <c r="C49151" s="2">
        <v>3.0854353809148598E-5</v>
      </c>
      <c r="D49151" s="2">
        <v>4.5171266858293203E-6</v>
      </c>
      <c r="E49151" s="2">
        <v>0</v>
      </c>
      <c r="F49151" s="2">
        <v>2.84203439927386E-5</v>
      </c>
    </row>
    <row r="49152" spans="1:6" x14ac:dyDescent="0.25">
      <c r="A49152" s="1" t="str">
        <f t="shared" si="1571"/>
        <v>99999</v>
      </c>
      <c r="B49152" s="1" t="str">
        <f>"25979"</f>
        <v>25979</v>
      </c>
      <c r="C49152" s="2">
        <v>4.8825661641845601E-5</v>
      </c>
      <c r="D49152" s="2">
        <v>1.20456711622115E-5</v>
      </c>
      <c r="E49152" s="2">
        <v>4.3010567696482999E-6</v>
      </c>
      <c r="F49152" s="2">
        <v>4.5393604988401902E-5</v>
      </c>
    </row>
    <row r="49153" spans="1:6" x14ac:dyDescent="0.25">
      <c r="A49153" s="1" t="str">
        <f t="shared" si="1571"/>
        <v>99999</v>
      </c>
      <c r="B49153" s="1" t="str">
        <f>"26851"</f>
        <v>26851</v>
      </c>
      <c r="C49153" s="2">
        <v>1.0057436732876801E-4</v>
      </c>
      <c r="D49153" s="2">
        <v>1.50570889527644E-5</v>
      </c>
      <c r="E49153" s="2">
        <v>1.29031703089449E-5</v>
      </c>
      <c r="F49153" s="2">
        <v>9.2958208476249095E-5</v>
      </c>
    </row>
    <row r="49154" spans="1:6" x14ac:dyDescent="0.25">
      <c r="A49154" s="1" t="str">
        <f t="shared" si="1571"/>
        <v>99999</v>
      </c>
      <c r="B49154" s="1" t="str">
        <f>"26611"</f>
        <v>26611</v>
      </c>
      <c r="C49154" s="2">
        <v>1.4723481115944499E-5</v>
      </c>
      <c r="D49154" s="2">
        <v>3.01141779055288E-6</v>
      </c>
      <c r="E49154" s="2">
        <v>4.3010567696482999E-6</v>
      </c>
      <c r="F49154" s="2">
        <v>1.37167632464953E-5</v>
      </c>
    </row>
    <row r="49155" spans="1:6" x14ac:dyDescent="0.25">
      <c r="A49155" s="1" t="str">
        <f t="shared" si="1571"/>
        <v>99999</v>
      </c>
      <c r="B49155" s="1" t="str">
        <f>"26619"</f>
        <v>26619</v>
      </c>
      <c r="C49155" s="2">
        <v>3.2261745386408E-5</v>
      </c>
      <c r="D49155" s="2">
        <v>4.5171266858293203E-6</v>
      </c>
      <c r="E49155" s="2">
        <v>0</v>
      </c>
      <c r="F49155" s="2">
        <v>2.9703206742410799E-5</v>
      </c>
    </row>
    <row r="49156" spans="1:6" x14ac:dyDescent="0.25">
      <c r="A49156" s="1" t="str">
        <f t="shared" si="1571"/>
        <v>99999</v>
      </c>
      <c r="B49156" s="1" t="str">
        <f>"26581"</f>
        <v>26581</v>
      </c>
      <c r="C49156" s="2">
        <v>4.8609139860728801E-5</v>
      </c>
      <c r="D49156" s="2">
        <v>7.5285444763821999E-6</v>
      </c>
      <c r="E49156" s="2">
        <v>0</v>
      </c>
      <c r="F49156" s="2">
        <v>4.4801514488553201E-5</v>
      </c>
    </row>
    <row r="49157" spans="1:6" x14ac:dyDescent="0.25">
      <c r="A49157" s="1" t="str">
        <f t="shared" si="1571"/>
        <v>99999</v>
      </c>
      <c r="B49157" s="1" t="str">
        <f>"26739"</f>
        <v>26739</v>
      </c>
      <c r="C49157" s="2">
        <v>4.1355660193314899E-5</v>
      </c>
      <c r="D49157" s="2">
        <v>1.65627978480408E-5</v>
      </c>
      <c r="E49157" s="2">
        <v>8.6021135392965999E-6</v>
      </c>
      <c r="F49157" s="2">
        <v>3.8979291240040697E-5</v>
      </c>
    </row>
    <row r="49158" spans="1:6" x14ac:dyDescent="0.25">
      <c r="A49158" s="1" t="str">
        <f t="shared" ref="A49158:A49221" si="1572">"99999"</f>
        <v>99999</v>
      </c>
      <c r="B49158" s="1" t="str">
        <f>"27889"</f>
        <v>27889</v>
      </c>
      <c r="C49158" s="2">
        <v>3.6808702789861401E-6</v>
      </c>
      <c r="D49158" s="2">
        <v>0</v>
      </c>
      <c r="E49158" s="2">
        <v>0</v>
      </c>
      <c r="F49158" s="2">
        <v>3.35517949914275E-6</v>
      </c>
    </row>
    <row r="49159" spans="1:6" x14ac:dyDescent="0.25">
      <c r="A49159" s="1" t="str">
        <f t="shared" si="1572"/>
        <v>99999</v>
      </c>
      <c r="B49159" s="1" t="str">
        <f>"27828"</f>
        <v>27828</v>
      </c>
      <c r="C49159" s="2">
        <v>4.99082705474298E-5</v>
      </c>
      <c r="D49159" s="2">
        <v>1.35513800574879E-5</v>
      </c>
      <c r="E49159" s="2">
        <v>0</v>
      </c>
      <c r="F49159" s="2">
        <v>4.6380422488149798E-5</v>
      </c>
    </row>
    <row r="49160" spans="1:6" x14ac:dyDescent="0.25">
      <c r="A49160" s="1" t="str">
        <f t="shared" si="1572"/>
        <v>99999</v>
      </c>
      <c r="B49160" s="1" t="str">
        <f>"27986"</f>
        <v>27986</v>
      </c>
      <c r="C49160" s="2">
        <v>5.61874021998179E-5</v>
      </c>
      <c r="D49160" s="2">
        <v>6.4745482496886904E-5</v>
      </c>
      <c r="E49160" s="2">
        <v>2.15052838482415E-5</v>
      </c>
      <c r="F49160" s="2">
        <v>5.5952552235704101E-5</v>
      </c>
    </row>
    <row r="49161" spans="1:6" x14ac:dyDescent="0.25">
      <c r="A49161" s="1" t="str">
        <f t="shared" si="1572"/>
        <v>99999</v>
      </c>
      <c r="B49161" s="1" t="str">
        <f>"28672"</f>
        <v>28672</v>
      </c>
      <c r="C49161" s="2">
        <v>6.3873925429465503E-6</v>
      </c>
      <c r="D49161" s="2">
        <v>3.01141779055288E-6</v>
      </c>
      <c r="E49161" s="2">
        <v>4.3010567696482999E-6</v>
      </c>
      <c r="F49161" s="2">
        <v>6.1182684984367804E-6</v>
      </c>
    </row>
    <row r="49162" spans="1:6" x14ac:dyDescent="0.25">
      <c r="A49162" s="1" t="str">
        <f t="shared" si="1572"/>
        <v>99999</v>
      </c>
      <c r="B49162" s="1" t="str">
        <f>"28663"</f>
        <v>28663</v>
      </c>
      <c r="C49162" s="2">
        <v>6.0626098712712997E-5</v>
      </c>
      <c r="D49162" s="2">
        <v>1.9574215638593701E-5</v>
      </c>
      <c r="E49162" s="2">
        <v>4.3010567696482999E-6</v>
      </c>
      <c r="F49162" s="2">
        <v>5.6643324485527599E-5</v>
      </c>
    </row>
    <row r="49163" spans="1:6" x14ac:dyDescent="0.25">
      <c r="A49163" s="1" t="str">
        <f t="shared" si="1572"/>
        <v>99999</v>
      </c>
      <c r="B49163" s="1" t="str">
        <f>"28306"</f>
        <v>28306</v>
      </c>
      <c r="C49163" s="2">
        <v>8.0113059013227898E-6</v>
      </c>
      <c r="D49163" s="2">
        <v>3.01141779055288E-6</v>
      </c>
      <c r="E49163" s="2">
        <v>0</v>
      </c>
      <c r="F49163" s="2">
        <v>7.4998129980837899E-6</v>
      </c>
    </row>
    <row r="49164" spans="1:6" x14ac:dyDescent="0.25">
      <c r="A49164" s="1" t="str">
        <f t="shared" si="1572"/>
        <v>99999</v>
      </c>
      <c r="B49164" s="1" t="str">
        <f>"28366"</f>
        <v>28366</v>
      </c>
      <c r="C49164" s="2">
        <v>2.06236996513782E-4</v>
      </c>
      <c r="D49164" s="2">
        <v>1.08411040459903E-4</v>
      </c>
      <c r="E49164" s="2">
        <v>3.01073973875381E-5</v>
      </c>
      <c r="F49164" s="2">
        <v>1.95784591949977E-4</v>
      </c>
    </row>
    <row r="49165" spans="1:6" x14ac:dyDescent="0.25">
      <c r="A49165" s="1" t="str">
        <f t="shared" si="1572"/>
        <v>99999</v>
      </c>
      <c r="B49165" s="1" t="str">
        <f>"28349"</f>
        <v>28349</v>
      </c>
      <c r="C49165" s="2">
        <v>1.74408294689608E-4</v>
      </c>
      <c r="D49165" s="2">
        <v>1.61110851794579E-4</v>
      </c>
      <c r="E49165" s="2">
        <v>8.6021135392965999E-6</v>
      </c>
      <c r="F49165" s="2">
        <v>1.6973260995663299E-4</v>
      </c>
    </row>
    <row r="49166" spans="1:6" x14ac:dyDescent="0.25">
      <c r="A49166" s="1" t="str">
        <f t="shared" si="1572"/>
        <v>99999</v>
      </c>
      <c r="B49166" s="1" t="str">
        <f>"28344"</f>
        <v>28344</v>
      </c>
      <c r="C49166" s="2">
        <v>1.03930454936079E-4</v>
      </c>
      <c r="D49166" s="2">
        <v>2.8608469010252301E-5</v>
      </c>
      <c r="E49166" s="2">
        <v>0</v>
      </c>
      <c r="F49166" s="2">
        <v>9.6609433225316199E-5</v>
      </c>
    </row>
    <row r="49167" spans="1:6" x14ac:dyDescent="0.25">
      <c r="A49167" s="1" t="str">
        <f t="shared" si="1572"/>
        <v>99999</v>
      </c>
      <c r="B49167" s="1" t="str">
        <f>"28508"</f>
        <v>28508</v>
      </c>
      <c r="C49167" s="2">
        <v>1.04904802951105E-4</v>
      </c>
      <c r="D49167" s="2">
        <v>2.7102760114975901E-5</v>
      </c>
      <c r="E49167" s="2">
        <v>0</v>
      </c>
      <c r="F49167" s="2">
        <v>9.7398887225114494E-5</v>
      </c>
    </row>
    <row r="49168" spans="1:6" x14ac:dyDescent="0.25">
      <c r="A49168" s="1" t="str">
        <f t="shared" si="1572"/>
        <v>99999</v>
      </c>
      <c r="B49168" s="1" t="str">
        <f>"28518"</f>
        <v>28518</v>
      </c>
      <c r="C49168" s="2">
        <v>3.5607006904663001E-4</v>
      </c>
      <c r="D49168" s="2">
        <v>3.5233588149468698E-4</v>
      </c>
      <c r="E49168" s="2">
        <v>5.1612681235779599E-5</v>
      </c>
      <c r="F49168" s="2">
        <v>3.4883998616087099E-4</v>
      </c>
    </row>
    <row r="49169" spans="1:6" x14ac:dyDescent="0.25">
      <c r="A49169" s="1" t="str">
        <f t="shared" si="1572"/>
        <v>99999</v>
      </c>
      <c r="B49169" s="1" t="str">
        <f>"28432"</f>
        <v>28432</v>
      </c>
      <c r="C49169" s="2">
        <v>9.9600019313742807E-5</v>
      </c>
      <c r="D49169" s="2">
        <v>3.4631304591358098E-5</v>
      </c>
      <c r="E49169" s="2">
        <v>0</v>
      </c>
      <c r="F49169" s="2">
        <v>9.3056890226223899E-5</v>
      </c>
    </row>
    <row r="49170" spans="1:6" x14ac:dyDescent="0.25">
      <c r="A49170" s="1" t="str">
        <f t="shared" si="1572"/>
        <v>99999</v>
      </c>
      <c r="B49170" s="1" t="str">
        <f>"28740"</f>
        <v>28740</v>
      </c>
      <c r="C49170" s="2">
        <v>1.6130872693203999E-4</v>
      </c>
      <c r="D49170" s="2">
        <v>2.7102760114975901E-5</v>
      </c>
      <c r="E49170" s="2">
        <v>8.6021135392965999E-6</v>
      </c>
      <c r="F49170" s="2">
        <v>1.4900944246192801E-4</v>
      </c>
    </row>
    <row r="49171" spans="1:6" x14ac:dyDescent="0.25">
      <c r="A49171" s="1" t="str">
        <f t="shared" si="1572"/>
        <v>99999</v>
      </c>
      <c r="B49171" s="1" t="str">
        <f>"29003"</f>
        <v>29003</v>
      </c>
      <c r="C49171" s="2">
        <v>3.4719267602084002E-4</v>
      </c>
      <c r="D49171" s="2">
        <v>5.5560658235700598E-4</v>
      </c>
      <c r="E49171" s="2">
        <v>7.3117965084021106E-5</v>
      </c>
      <c r="F49171" s="2">
        <v>3.5456352765940902E-4</v>
      </c>
    </row>
    <row r="49172" spans="1:6" x14ac:dyDescent="0.25">
      <c r="A49172" s="1" t="str">
        <f t="shared" si="1572"/>
        <v>99999</v>
      </c>
      <c r="B49172" s="1" t="str">
        <f>"28909"</f>
        <v>28909</v>
      </c>
      <c r="C49172" s="2">
        <v>7.18852313307883E-5</v>
      </c>
      <c r="D49172" s="2">
        <v>2.1079924533870101E-5</v>
      </c>
      <c r="E49172" s="2">
        <v>0</v>
      </c>
      <c r="F49172" s="2">
        <v>6.69062264829054E-5</v>
      </c>
    </row>
    <row r="49173" spans="1:6" x14ac:dyDescent="0.25">
      <c r="A49173" s="1" t="str">
        <f t="shared" si="1572"/>
        <v>99999</v>
      </c>
      <c r="B49173" s="1" t="str">
        <f>"29438"</f>
        <v>29438</v>
      </c>
      <c r="C49173" s="2">
        <v>1.32078286481267E-4</v>
      </c>
      <c r="D49173" s="2">
        <v>9.33539515071393E-5</v>
      </c>
      <c r="E49173" s="2">
        <v>2.58063406178898E-5</v>
      </c>
      <c r="F49173" s="2">
        <v>1.2710209396752501E-4</v>
      </c>
    </row>
    <row r="49174" spans="1:6" x14ac:dyDescent="0.25">
      <c r="A49174" s="1" t="str">
        <f t="shared" si="1572"/>
        <v>99999</v>
      </c>
      <c r="B49174" s="1" t="str">
        <f>"29590"</f>
        <v>29590</v>
      </c>
      <c r="C49174" s="2">
        <v>1.44961332457719E-4</v>
      </c>
      <c r="D49174" s="2">
        <v>7.82968625543749E-5</v>
      </c>
      <c r="E49174" s="2">
        <v>4.3010567696482999E-6</v>
      </c>
      <c r="F49174" s="2">
        <v>1.3736499596490301E-4</v>
      </c>
    </row>
    <row r="49175" spans="1:6" x14ac:dyDescent="0.25">
      <c r="A49175" s="1" t="str">
        <f t="shared" si="1572"/>
        <v>99999</v>
      </c>
      <c r="B49175" s="1" t="str">
        <f>"29918"</f>
        <v>29918</v>
      </c>
      <c r="C49175" s="2">
        <v>2.7270918331664999E-4</v>
      </c>
      <c r="D49175" s="2">
        <v>1.03893913774074E-4</v>
      </c>
      <c r="E49175" s="2">
        <v>1.8064438432522799E-4</v>
      </c>
      <c r="F49175" s="2">
        <v>2.5953300243368899E-4</v>
      </c>
    </row>
    <row r="49176" spans="1:6" x14ac:dyDescent="0.25">
      <c r="A49176" s="1" t="str">
        <f t="shared" si="1572"/>
        <v>99999</v>
      </c>
      <c r="B49176" s="1" t="str">
        <f>"30533"</f>
        <v>30533</v>
      </c>
      <c r="C49176" s="2">
        <v>1.4170267965191001E-3</v>
      </c>
      <c r="D49176" s="2">
        <v>1.92580167705856E-3</v>
      </c>
      <c r="E49176" s="2">
        <v>1.5956920615395199E-3</v>
      </c>
      <c r="F49176" s="2">
        <v>1.4544703128783799E-3</v>
      </c>
    </row>
    <row r="49177" spans="1:6" x14ac:dyDescent="0.25">
      <c r="A49177" s="1" t="str">
        <f t="shared" si="1572"/>
        <v>99999</v>
      </c>
      <c r="B49177" s="1" t="str">
        <f>"04781"</f>
        <v>04781</v>
      </c>
      <c r="C49177" s="2">
        <v>3.2803049839199998E-5</v>
      </c>
      <c r="D49177" s="2">
        <v>1.50570889527644E-6</v>
      </c>
      <c r="E49177" s="2">
        <v>2.15052838482415E-5</v>
      </c>
      <c r="F49177" s="2">
        <v>3.0492660742209101E-5</v>
      </c>
    </row>
    <row r="49178" spans="1:6" x14ac:dyDescent="0.25">
      <c r="A49178" s="1" t="str">
        <f t="shared" si="1572"/>
        <v>99999</v>
      </c>
      <c r="B49178" s="1" t="str">
        <f>"04930"</f>
        <v>04930</v>
      </c>
      <c r="C49178" s="2">
        <v>2.9555223122447599E-5</v>
      </c>
      <c r="D49178" s="2">
        <v>3.01141779055288E-6</v>
      </c>
      <c r="E49178" s="2">
        <v>4.3010567696482999E-5</v>
      </c>
      <c r="F49178" s="2">
        <v>2.8124298742814199E-5</v>
      </c>
    </row>
    <row r="49179" spans="1:6" x14ac:dyDescent="0.25">
      <c r="A49179" s="1" t="str">
        <f t="shared" si="1572"/>
        <v>99999</v>
      </c>
      <c r="B49179" s="1" t="str">
        <f>"04947"</f>
        <v>04947</v>
      </c>
      <c r="C49179" s="2">
        <v>1.19303501395374E-4</v>
      </c>
      <c r="D49179" s="2">
        <v>1.12928167145733E-4</v>
      </c>
      <c r="E49179" s="2">
        <v>1.4365529610625299E-3</v>
      </c>
      <c r="F49179" s="2">
        <v>1.49108124211902E-4</v>
      </c>
    </row>
    <row r="49180" spans="1:6" x14ac:dyDescent="0.25">
      <c r="A49180" s="1" t="str">
        <f t="shared" si="1572"/>
        <v>99999</v>
      </c>
      <c r="B49180" s="1" t="str">
        <f>"04937"</f>
        <v>04937</v>
      </c>
      <c r="C49180" s="2">
        <v>3.2326701920742999E-4</v>
      </c>
      <c r="D49180" s="2">
        <v>2.95118943474182E-4</v>
      </c>
      <c r="E49180" s="2">
        <v>7.4838387791880399E-4</v>
      </c>
      <c r="F49180" s="2">
        <v>3.3117595291538398E-4</v>
      </c>
    </row>
    <row r="49181" spans="1:6" x14ac:dyDescent="0.25">
      <c r="A49181" s="1" t="str">
        <f t="shared" si="1572"/>
        <v>99999</v>
      </c>
      <c r="B49181" s="1" t="str">
        <f>"04957"</f>
        <v>04957</v>
      </c>
      <c r="C49181" s="2">
        <v>1.8891525402443601E-4</v>
      </c>
      <c r="D49181" s="2">
        <v>4.0654140172463799E-5</v>
      </c>
      <c r="E49181" s="2">
        <v>2.5806340617889802E-4</v>
      </c>
      <c r="F49181" s="2">
        <v>1.8078496595380899E-4</v>
      </c>
    </row>
    <row r="49182" spans="1:6" x14ac:dyDescent="0.25">
      <c r="A49182" s="1" t="str">
        <f t="shared" si="1572"/>
        <v>99999</v>
      </c>
      <c r="B49182" s="1" t="str">
        <f>"04978"</f>
        <v>04978</v>
      </c>
      <c r="C49182" s="2">
        <v>5.4780010622558498E-5</v>
      </c>
      <c r="D49182" s="2">
        <v>2.7102760114975901E-5</v>
      </c>
      <c r="E49182" s="2">
        <v>7.3117965084021106E-5</v>
      </c>
      <c r="F49182" s="2">
        <v>5.3386826736359602E-5</v>
      </c>
    </row>
    <row r="49183" spans="1:6" x14ac:dyDescent="0.25">
      <c r="A49183" s="1" t="str">
        <f t="shared" si="1572"/>
        <v>99999</v>
      </c>
      <c r="B49183" s="1" t="str">
        <f>"04658"</f>
        <v>04658</v>
      </c>
      <c r="C49183" s="2">
        <v>7.2426535783580399E-5</v>
      </c>
      <c r="D49183" s="2">
        <v>2.7102760114975901E-5</v>
      </c>
      <c r="E49183" s="2">
        <v>1.11827476010855E-4</v>
      </c>
      <c r="F49183" s="2">
        <v>7.0360087732022897E-5</v>
      </c>
    </row>
    <row r="49184" spans="1:6" x14ac:dyDescent="0.25">
      <c r="A49184" s="1" t="str">
        <f t="shared" si="1572"/>
        <v>99999</v>
      </c>
      <c r="B49184" s="1" t="str">
        <f>"04684"</f>
        <v>04684</v>
      </c>
      <c r="C49184" s="2">
        <v>9.6676975268665598E-5</v>
      </c>
      <c r="D49184" s="2">
        <v>1.35513800574879E-5</v>
      </c>
      <c r="E49184" s="2">
        <v>3.44084541571864E-5</v>
      </c>
      <c r="F49184" s="2">
        <v>8.9800392477055901E-5</v>
      </c>
    </row>
    <row r="49185" spans="1:6" x14ac:dyDescent="0.25">
      <c r="A49185" s="1" t="str">
        <f t="shared" si="1572"/>
        <v>99999</v>
      </c>
      <c r="B49185" s="1" t="str">
        <f>"04574"</f>
        <v>04574</v>
      </c>
      <c r="C49185" s="2">
        <v>7.5241318938099204E-5</v>
      </c>
      <c r="D49185" s="2">
        <v>4.8182684648845999E-5</v>
      </c>
      <c r="E49185" s="2">
        <v>8.6021135392965999E-6</v>
      </c>
      <c r="F49185" s="2">
        <v>7.19389957316195E-5</v>
      </c>
    </row>
    <row r="49186" spans="1:6" x14ac:dyDescent="0.25">
      <c r="A49186" s="1" t="str">
        <f t="shared" si="1572"/>
        <v>99999</v>
      </c>
      <c r="B49186" s="1" t="str">
        <f>"05656"</f>
        <v>05656</v>
      </c>
      <c r="C49186" s="2">
        <v>1.5080742054787301E-4</v>
      </c>
      <c r="D49186" s="2">
        <v>3.6137013486634501E-5</v>
      </c>
      <c r="E49186" s="2">
        <v>2.8386974679678702E-4</v>
      </c>
      <c r="F49186" s="2">
        <v>1.4634503521260801E-4</v>
      </c>
    </row>
    <row r="49187" spans="1:6" x14ac:dyDescent="0.25">
      <c r="A49187" s="1" t="str">
        <f t="shared" si="1572"/>
        <v>99999</v>
      </c>
      <c r="B49187" s="1" t="str">
        <f>"05680"</f>
        <v>05680</v>
      </c>
      <c r="C49187" s="2">
        <v>9.7326540612016101E-5</v>
      </c>
      <c r="D49187" s="2">
        <v>1.9574215638593701E-5</v>
      </c>
      <c r="E49187" s="2">
        <v>1.29031703089449E-5</v>
      </c>
      <c r="F49187" s="2">
        <v>9.0293801226929893E-5</v>
      </c>
    </row>
    <row r="49188" spans="1:6" x14ac:dyDescent="0.25">
      <c r="A49188" s="1" t="str">
        <f t="shared" si="1572"/>
        <v>99999</v>
      </c>
      <c r="B49188" s="1" t="str">
        <f>"05473"</f>
        <v>05473</v>
      </c>
      <c r="C49188" s="2">
        <v>7.5241318938099204E-5</v>
      </c>
      <c r="D49188" s="2">
        <v>3.31255956960816E-5</v>
      </c>
      <c r="E49188" s="2">
        <v>3.01073973875381E-5</v>
      </c>
      <c r="F49188" s="2">
        <v>7.1445586981745603E-5</v>
      </c>
    </row>
    <row r="49189" spans="1:6" x14ac:dyDescent="0.25">
      <c r="A49189" s="1" t="str">
        <f t="shared" si="1572"/>
        <v>99999</v>
      </c>
      <c r="B49189" s="1" t="str">
        <f>"05148"</f>
        <v>05148</v>
      </c>
      <c r="C49189" s="2">
        <v>5.0774357671897097E-5</v>
      </c>
      <c r="D49189" s="2">
        <v>2.7102760114975901E-5</v>
      </c>
      <c r="E49189" s="2">
        <v>8.6021135392965999E-6</v>
      </c>
      <c r="F49189" s="2">
        <v>4.8255375737670698E-5</v>
      </c>
    </row>
    <row r="49190" spans="1:6" x14ac:dyDescent="0.25">
      <c r="A49190" s="1" t="str">
        <f t="shared" si="1572"/>
        <v>99999</v>
      </c>
      <c r="B49190" s="1" t="str">
        <f>"05156"</f>
        <v>05156</v>
      </c>
      <c r="C49190" s="2">
        <v>1.1908697961425701E-6</v>
      </c>
      <c r="D49190" s="2">
        <v>0</v>
      </c>
      <c r="E49190" s="2">
        <v>0</v>
      </c>
      <c r="F49190" s="2">
        <v>1.0854992497226499E-6</v>
      </c>
    </row>
    <row r="49191" spans="1:6" x14ac:dyDescent="0.25">
      <c r="A49191" s="1" t="str">
        <f t="shared" si="1572"/>
        <v>99999</v>
      </c>
      <c r="B49191" s="1" t="str">
        <f>"05860"</f>
        <v>05860</v>
      </c>
      <c r="C49191" s="2">
        <v>1.53189160140158E-4</v>
      </c>
      <c r="D49191" s="2">
        <v>1.12928167145733E-4</v>
      </c>
      <c r="E49191" s="2">
        <v>2.5376234940924903E-4</v>
      </c>
      <c r="F49191" s="2">
        <v>1.5285803071094401E-4</v>
      </c>
    </row>
    <row r="49192" spans="1:6" x14ac:dyDescent="0.25">
      <c r="A49192" s="1" t="str">
        <f t="shared" si="1572"/>
        <v>99999</v>
      </c>
      <c r="B49192" s="1" t="str">
        <f>"05906"</f>
        <v>05906</v>
      </c>
      <c r="C49192" s="2">
        <v>6.3765664538907094E-5</v>
      </c>
      <c r="D49192" s="2">
        <v>6.0228355811057601E-6</v>
      </c>
      <c r="E49192" s="2">
        <v>1.72042270785932E-5</v>
      </c>
      <c r="F49192" s="2">
        <v>5.8913004734947701E-5</v>
      </c>
    </row>
    <row r="49193" spans="1:6" x14ac:dyDescent="0.25">
      <c r="A49193" s="1" t="str">
        <f t="shared" si="1572"/>
        <v>99999</v>
      </c>
      <c r="B49193" s="1" t="str">
        <f>"05874"</f>
        <v>05874</v>
      </c>
      <c r="C49193" s="2">
        <v>3.7350007242653498E-5</v>
      </c>
      <c r="D49193" s="2">
        <v>2.25856334291466E-5</v>
      </c>
      <c r="E49193" s="2">
        <v>1.29031703089449E-5</v>
      </c>
      <c r="F49193" s="2">
        <v>3.5821475240847599E-5</v>
      </c>
    </row>
    <row r="49194" spans="1:6" x14ac:dyDescent="0.25">
      <c r="A49194" s="1" t="str">
        <f t="shared" si="1572"/>
        <v>99999</v>
      </c>
      <c r="B49194" s="1" t="str">
        <f>"05837"</f>
        <v>05837</v>
      </c>
      <c r="C49194" s="2">
        <v>1.18004370708673E-5</v>
      </c>
      <c r="D49194" s="2">
        <v>4.5171266858293203E-6</v>
      </c>
      <c r="E49194" s="2">
        <v>0</v>
      </c>
      <c r="F49194" s="2">
        <v>1.10523559971761E-5</v>
      </c>
    </row>
    <row r="49195" spans="1:6" x14ac:dyDescent="0.25">
      <c r="A49195" s="1" t="str">
        <f t="shared" si="1572"/>
        <v>99999</v>
      </c>
      <c r="B49195" s="1" t="str">
        <f>"05830"</f>
        <v>05830</v>
      </c>
      <c r="C49195" s="2">
        <v>5.8569141792103098E-5</v>
      </c>
      <c r="D49195" s="2">
        <v>2.55970512196994E-5</v>
      </c>
      <c r="E49195" s="2">
        <v>5.5913738005427899E-5</v>
      </c>
      <c r="F49195" s="2">
        <v>5.6347279235603201E-5</v>
      </c>
    </row>
    <row r="49196" spans="1:6" x14ac:dyDescent="0.25">
      <c r="A49196" s="1" t="str">
        <f t="shared" si="1572"/>
        <v>99999</v>
      </c>
      <c r="B49196" s="1" t="str">
        <f>"05733"</f>
        <v>05733</v>
      </c>
      <c r="C49196" s="2">
        <v>6.65804476934259E-5</v>
      </c>
      <c r="D49196" s="2">
        <v>1.35513800574879E-5</v>
      </c>
      <c r="E49196" s="2">
        <v>8.6021135392965999E-6</v>
      </c>
      <c r="F49196" s="2">
        <v>6.1774775484216496E-5</v>
      </c>
    </row>
    <row r="49197" spans="1:6" x14ac:dyDescent="0.25">
      <c r="A49197" s="1" t="str">
        <f t="shared" si="1572"/>
        <v>99999</v>
      </c>
      <c r="B49197" s="1" t="str">
        <f>"12413"</f>
        <v>12413</v>
      </c>
      <c r="C49197" s="2">
        <v>1.4712655026888699E-4</v>
      </c>
      <c r="D49197" s="2">
        <v>1.03893913774074E-4</v>
      </c>
      <c r="E49197" s="2">
        <v>4.2580462019518102E-4</v>
      </c>
      <c r="F49197" s="2">
        <v>1.50687032211499E-4</v>
      </c>
    </row>
    <row r="49198" spans="1:6" x14ac:dyDescent="0.25">
      <c r="A49198" s="1" t="str">
        <f t="shared" si="1572"/>
        <v>99999</v>
      </c>
      <c r="B49198" s="1" t="str">
        <f>"12444"</f>
        <v>12444</v>
      </c>
      <c r="C49198" s="2">
        <v>2.5008265718994098E-5</v>
      </c>
      <c r="D49198" s="2">
        <v>3.01141779055288E-6</v>
      </c>
      <c r="E49198" s="2">
        <v>2.15052838482415E-5</v>
      </c>
      <c r="F49198" s="2">
        <v>2.3486256493999199E-5</v>
      </c>
    </row>
    <row r="49199" spans="1:6" x14ac:dyDescent="0.25">
      <c r="A49199" s="1" t="str">
        <f t="shared" si="1572"/>
        <v>99999</v>
      </c>
      <c r="B49199" s="1" t="str">
        <f>"12421"</f>
        <v>12421</v>
      </c>
      <c r="C49199" s="2">
        <v>2.1327395440007902E-5</v>
      </c>
      <c r="D49199" s="2">
        <v>0</v>
      </c>
      <c r="E49199" s="2">
        <v>1.29031703089449E-5</v>
      </c>
      <c r="F49199" s="2">
        <v>1.9736349994957301E-5</v>
      </c>
    </row>
    <row r="49200" spans="1:6" x14ac:dyDescent="0.25">
      <c r="A49200" s="1" t="str">
        <f t="shared" si="1572"/>
        <v>99999</v>
      </c>
      <c r="B49200" s="1" t="str">
        <f>"12758"</f>
        <v>12758</v>
      </c>
      <c r="C49200" s="2">
        <v>1.9140525450727901E-4</v>
      </c>
      <c r="D49200" s="2">
        <v>9.1848242611862802E-5</v>
      </c>
      <c r="E49200" s="2">
        <v>1.2473064631979999E-4</v>
      </c>
      <c r="F49200" s="2">
        <v>1.8335069145315299E-4</v>
      </c>
    </row>
    <row r="49201" spans="1:6" x14ac:dyDescent="0.25">
      <c r="A49201" s="1" t="str">
        <f t="shared" si="1572"/>
        <v>99999</v>
      </c>
      <c r="B49201" s="1" t="str">
        <f>"12748"</f>
        <v>12748</v>
      </c>
      <c r="C49201" s="2">
        <v>8.7691321352317001E-5</v>
      </c>
      <c r="D49201" s="2">
        <v>6.0228355811057599E-5</v>
      </c>
      <c r="E49201" s="2">
        <v>4.7311624466131299E-5</v>
      </c>
      <c r="F49201" s="2">
        <v>8.4964986728291395E-5</v>
      </c>
    </row>
    <row r="49202" spans="1:6" x14ac:dyDescent="0.25">
      <c r="A49202" s="1" t="str">
        <f t="shared" si="1572"/>
        <v>99999</v>
      </c>
      <c r="B49202" s="1" t="str">
        <f>"12721"</f>
        <v>12721</v>
      </c>
      <c r="C49202" s="2">
        <v>2.4748439581653901E-4</v>
      </c>
      <c r="D49202" s="2">
        <v>5.1194102439398901E-5</v>
      </c>
      <c r="E49202" s="2">
        <v>1.7634332755557999E-4</v>
      </c>
      <c r="F49202" s="2">
        <v>2.3298761169047099E-4</v>
      </c>
    </row>
    <row r="49203" spans="1:6" x14ac:dyDescent="0.25">
      <c r="A49203" s="1" t="str">
        <f t="shared" si="1572"/>
        <v>99999</v>
      </c>
      <c r="B49203" s="1" t="str">
        <f>"12733"</f>
        <v>12733</v>
      </c>
      <c r="C49203" s="2">
        <v>6.60391432406338E-5</v>
      </c>
      <c r="D49203" s="2">
        <v>1.50570889527644E-6</v>
      </c>
      <c r="E49203" s="2">
        <v>7.3117965084021106E-5</v>
      </c>
      <c r="F49203" s="2">
        <v>6.1972138984166104E-5</v>
      </c>
    </row>
    <row r="49204" spans="1:6" x14ac:dyDescent="0.25">
      <c r="A49204" s="1" t="str">
        <f t="shared" si="1572"/>
        <v>99999</v>
      </c>
      <c r="B49204" s="1" t="str">
        <f>"12058"</f>
        <v>12058</v>
      </c>
      <c r="C49204" s="2">
        <v>7.3725666470281405E-5</v>
      </c>
      <c r="D49204" s="2">
        <v>1.20456711622115E-5</v>
      </c>
      <c r="E49204" s="2">
        <v>3.44084541571864E-5</v>
      </c>
      <c r="F49204" s="2">
        <v>6.8781179732426402E-5</v>
      </c>
    </row>
    <row r="49205" spans="1:6" x14ac:dyDescent="0.25">
      <c r="A49205" s="1" t="str">
        <f t="shared" si="1572"/>
        <v>99999</v>
      </c>
      <c r="B49205" s="1" t="str">
        <f>"13648"</f>
        <v>13648</v>
      </c>
      <c r="C49205" s="2">
        <v>6.2574794742764506E-5</v>
      </c>
      <c r="D49205" s="2">
        <v>1.50570889527644E-5</v>
      </c>
      <c r="E49205" s="2">
        <v>5.5913738005427899E-5</v>
      </c>
      <c r="F49205" s="2">
        <v>5.9307731734846801E-5</v>
      </c>
    </row>
    <row r="49206" spans="1:6" x14ac:dyDescent="0.25">
      <c r="A49206" s="1" t="str">
        <f t="shared" si="1572"/>
        <v>99999</v>
      </c>
      <c r="B49206" s="1" t="str">
        <f>"13754"</f>
        <v>13754</v>
      </c>
      <c r="C49206" s="2">
        <v>7.5999145172008097E-5</v>
      </c>
      <c r="D49206" s="2">
        <v>9.33539515071393E-5</v>
      </c>
      <c r="E49206" s="2">
        <v>7.7419021853669399E-5</v>
      </c>
      <c r="F49206" s="2">
        <v>7.7169128480283195E-5</v>
      </c>
    </row>
    <row r="49207" spans="1:6" x14ac:dyDescent="0.25">
      <c r="A49207" s="1" t="str">
        <f t="shared" si="1572"/>
        <v>99999</v>
      </c>
      <c r="B49207" s="1" t="str">
        <f>"13746"</f>
        <v>13746</v>
      </c>
      <c r="C49207" s="2">
        <v>3.37773978542258E-5</v>
      </c>
      <c r="D49207" s="2">
        <v>1.20456711622115E-5</v>
      </c>
      <c r="E49207" s="2">
        <v>1.29031703089449E-5</v>
      </c>
      <c r="F49207" s="2">
        <v>3.1874205241856103E-5</v>
      </c>
    </row>
    <row r="49208" spans="1:6" x14ac:dyDescent="0.25">
      <c r="A49208" s="1" t="str">
        <f t="shared" si="1572"/>
        <v>99999</v>
      </c>
      <c r="B49208" s="1" t="str">
        <f>"13753"</f>
        <v>13753</v>
      </c>
      <c r="C49208" s="2">
        <v>2.3427656716841201E-4</v>
      </c>
      <c r="D49208" s="2">
        <v>3.2222170358915799E-4</v>
      </c>
      <c r="E49208" s="2">
        <v>4.4730990404342298E-4</v>
      </c>
      <c r="F49208" s="2">
        <v>2.4492810343741998E-4</v>
      </c>
    </row>
    <row r="49209" spans="1:6" x14ac:dyDescent="0.25">
      <c r="A49209" s="1" t="str">
        <f t="shared" si="1572"/>
        <v>99999</v>
      </c>
      <c r="B49209" s="1" t="str">
        <f>"13755"</f>
        <v>13755</v>
      </c>
      <c r="C49209" s="2">
        <v>3.9948268616055503E-5</v>
      </c>
      <c r="D49209" s="2">
        <v>1.9574215638593701E-5</v>
      </c>
      <c r="E49209" s="2">
        <v>1.29031703089449E-5</v>
      </c>
      <c r="F49209" s="2">
        <v>3.7992473740292903E-5</v>
      </c>
    </row>
    <row r="49210" spans="1:6" x14ac:dyDescent="0.25">
      <c r="A49210" s="1" t="str">
        <f t="shared" si="1572"/>
        <v>99999</v>
      </c>
      <c r="B49210" s="1" t="str">
        <f>"13665"</f>
        <v>13665</v>
      </c>
      <c r="C49210" s="2">
        <v>1.71052207082297E-5</v>
      </c>
      <c r="D49210" s="2">
        <v>1.50570889527644E-6</v>
      </c>
      <c r="E49210" s="2">
        <v>0</v>
      </c>
      <c r="F49210" s="2">
        <v>1.56903982459911E-5</v>
      </c>
    </row>
    <row r="49211" spans="1:6" x14ac:dyDescent="0.25">
      <c r="A49211" s="1" t="str">
        <f t="shared" si="1572"/>
        <v>99999</v>
      </c>
      <c r="B49211" s="1" t="str">
        <f>"14549"</f>
        <v>14549</v>
      </c>
      <c r="C49211" s="2">
        <v>2.39256568134099E-5</v>
      </c>
      <c r="D49211" s="2">
        <v>0</v>
      </c>
      <c r="E49211" s="2">
        <v>8.6021135392965999E-6</v>
      </c>
      <c r="F49211" s="2">
        <v>2.2006030244377399E-5</v>
      </c>
    </row>
    <row r="49212" spans="1:6" x14ac:dyDescent="0.25">
      <c r="A49212" s="1" t="str">
        <f t="shared" si="1572"/>
        <v>99999</v>
      </c>
      <c r="B49212" s="1" t="str">
        <f>"14550"</f>
        <v>14550</v>
      </c>
      <c r="C49212" s="2">
        <v>8.1953494152721E-5</v>
      </c>
      <c r="D49212" s="2">
        <v>3.31255956960816E-5</v>
      </c>
      <c r="E49212" s="2">
        <v>5.5913738005427899E-5</v>
      </c>
      <c r="F49212" s="2">
        <v>7.8155945980031097E-5</v>
      </c>
    </row>
    <row r="49213" spans="1:6" x14ac:dyDescent="0.25">
      <c r="A49213" s="1" t="str">
        <f t="shared" si="1572"/>
        <v>99999</v>
      </c>
      <c r="B49213" s="1" t="str">
        <f>"14878"</f>
        <v>14878</v>
      </c>
      <c r="C49213" s="2">
        <v>2.86891359979802E-5</v>
      </c>
      <c r="D49213" s="2">
        <v>1.80685067433172E-5</v>
      </c>
      <c r="E49213" s="2">
        <v>1.72042270785932E-5</v>
      </c>
      <c r="F49213" s="2">
        <v>2.7729571742915E-5</v>
      </c>
    </row>
    <row r="49214" spans="1:6" x14ac:dyDescent="0.25">
      <c r="A49214" s="1" t="str">
        <f t="shared" si="1572"/>
        <v>99999</v>
      </c>
      <c r="B49214" s="1" t="str">
        <f>"14739"</f>
        <v>14739</v>
      </c>
      <c r="C49214" s="2">
        <v>1.5037437698563999E-4</v>
      </c>
      <c r="D49214" s="2">
        <v>3.1619886800805203E-5</v>
      </c>
      <c r="E49214" s="2">
        <v>1.8924649786452501E-4</v>
      </c>
      <c r="F49214" s="2">
        <v>1.4348326446334E-4</v>
      </c>
    </row>
    <row r="49215" spans="1:6" x14ac:dyDescent="0.25">
      <c r="A49215" s="1" t="str">
        <f t="shared" si="1572"/>
        <v>99999</v>
      </c>
      <c r="B49215" s="1" t="str">
        <f>"14804"</f>
        <v>14804</v>
      </c>
      <c r="C49215" s="2">
        <v>5.49965324036754E-5</v>
      </c>
      <c r="D49215" s="2">
        <v>1.65627978480408E-5</v>
      </c>
      <c r="E49215" s="2">
        <v>3.0107397387538101E-4</v>
      </c>
      <c r="F49215" s="2">
        <v>5.8123550735149399E-5</v>
      </c>
    </row>
    <row r="49216" spans="1:6" x14ac:dyDescent="0.25">
      <c r="A49216" s="1" t="str">
        <f t="shared" si="1572"/>
        <v>99999</v>
      </c>
      <c r="B49216" s="1" t="str">
        <f>"14895"</f>
        <v>14895</v>
      </c>
      <c r="C49216" s="2">
        <v>5.1662096974476102E-4</v>
      </c>
      <c r="D49216" s="2">
        <v>7.09188889675203E-4</v>
      </c>
      <c r="E49216" s="2">
        <v>1.1053715897996099E-3</v>
      </c>
      <c r="F49216" s="2">
        <v>5.4274962486132699E-4</v>
      </c>
    </row>
    <row r="49217" spans="1:6" x14ac:dyDescent="0.25">
      <c r="A49217" s="1" t="str">
        <f t="shared" si="1572"/>
        <v>99999</v>
      </c>
      <c r="B49217" s="1" t="str">
        <f>"15534"</f>
        <v>15534</v>
      </c>
      <c r="C49217" s="2">
        <v>4.2113486427223799E-5</v>
      </c>
      <c r="D49217" s="2">
        <v>6.0228355811057601E-6</v>
      </c>
      <c r="E49217" s="2">
        <v>0</v>
      </c>
      <c r="F49217" s="2">
        <v>3.8781927740091198E-5</v>
      </c>
    </row>
    <row r="49218" spans="1:6" x14ac:dyDescent="0.25">
      <c r="A49218" s="1" t="str">
        <f t="shared" si="1572"/>
        <v>99999</v>
      </c>
      <c r="B49218" s="1" t="str">
        <f>"15545"</f>
        <v>15545</v>
      </c>
      <c r="C49218" s="2">
        <v>9.2671322318004204E-5</v>
      </c>
      <c r="D49218" s="2">
        <v>2.25856334291466E-5</v>
      </c>
      <c r="E49218" s="2">
        <v>1.7634332755557999E-4</v>
      </c>
      <c r="F49218" s="2">
        <v>8.9997755977005495E-5</v>
      </c>
    </row>
    <row r="49219" spans="1:6" x14ac:dyDescent="0.25">
      <c r="A49219" s="1" t="str">
        <f t="shared" si="1572"/>
        <v>99999</v>
      </c>
      <c r="B49219" s="1" t="str">
        <f>"15860"</f>
        <v>15860</v>
      </c>
      <c r="C49219" s="2">
        <v>5.8569141792103098E-5</v>
      </c>
      <c r="D49219" s="2">
        <v>2.8608469010252301E-5</v>
      </c>
      <c r="E49219" s="2">
        <v>0</v>
      </c>
      <c r="F49219" s="2">
        <v>5.5261779985880603E-5</v>
      </c>
    </row>
    <row r="49220" spans="1:6" x14ac:dyDescent="0.25">
      <c r="A49220" s="1" t="str">
        <f t="shared" si="1572"/>
        <v>99999</v>
      </c>
      <c r="B49220" s="1" t="str">
        <f>"16373"</f>
        <v>16373</v>
      </c>
      <c r="C49220" s="2">
        <v>3.83243552576793E-5</v>
      </c>
      <c r="D49220" s="2">
        <v>1.65627978480408E-5</v>
      </c>
      <c r="E49220" s="2">
        <v>0</v>
      </c>
      <c r="F49220" s="2">
        <v>3.6018838740797098E-5</v>
      </c>
    </row>
    <row r="49221" spans="1:6" x14ac:dyDescent="0.25">
      <c r="A49221" s="1" t="str">
        <f t="shared" si="1572"/>
        <v>99999</v>
      </c>
      <c r="B49221" s="1" t="str">
        <f>"16233"</f>
        <v>16233</v>
      </c>
      <c r="C49221" s="2">
        <v>5.1315662124689203E-5</v>
      </c>
      <c r="D49221" s="2">
        <v>9.0342533716586405E-6</v>
      </c>
      <c r="E49221" s="2">
        <v>3.44084541571864E-5</v>
      </c>
      <c r="F49221" s="2">
        <v>4.8156693987695901E-5</v>
      </c>
    </row>
    <row r="49222" spans="1:6" x14ac:dyDescent="0.25">
      <c r="A49222" s="1" t="str">
        <f t="shared" ref="A49222:A49285" si="1573">"99999"</f>
        <v>99999</v>
      </c>
      <c r="B49222" s="1" t="str">
        <f>"16746"</f>
        <v>16746</v>
      </c>
      <c r="C49222" s="2">
        <v>5.9976533369362501E-5</v>
      </c>
      <c r="D49222" s="2">
        <v>2.8608469010252301E-5</v>
      </c>
      <c r="E49222" s="2">
        <v>1.29031703089449E-5</v>
      </c>
      <c r="F49222" s="2">
        <v>5.68406879854772E-5</v>
      </c>
    </row>
    <row r="49223" spans="1:6" x14ac:dyDescent="0.25">
      <c r="A49223" s="1" t="str">
        <f t="shared" si="1573"/>
        <v>99999</v>
      </c>
      <c r="B49223" s="1" t="str">
        <f>"16650"</f>
        <v>16650</v>
      </c>
      <c r="C49223" s="2">
        <v>9.5161322800847798E-5</v>
      </c>
      <c r="D49223" s="2">
        <v>4.0654140172463799E-5</v>
      </c>
      <c r="E49223" s="2">
        <v>1.72042270785932E-5</v>
      </c>
      <c r="F49223" s="2">
        <v>8.9800392477055901E-5</v>
      </c>
    </row>
    <row r="49224" spans="1:6" x14ac:dyDescent="0.25">
      <c r="A49224" s="1" t="str">
        <f t="shared" si="1573"/>
        <v>99999</v>
      </c>
      <c r="B49224" s="1" t="str">
        <f>"16915"</f>
        <v>16915</v>
      </c>
      <c r="C49224" s="2">
        <v>3.2738093304865001E-4</v>
      </c>
      <c r="D49224" s="2">
        <v>5.1495244218454196E-4</v>
      </c>
      <c r="E49224" s="2">
        <v>4.81718358200609E-4</v>
      </c>
      <c r="F49224" s="2">
        <v>3.4321512641230799E-4</v>
      </c>
    </row>
    <row r="49225" spans="1:6" x14ac:dyDescent="0.25">
      <c r="A49225" s="1" t="str">
        <f t="shared" si="1573"/>
        <v>99999</v>
      </c>
      <c r="B49225" s="1" t="str">
        <f>"17021"</f>
        <v>17021</v>
      </c>
      <c r="C49225" s="2">
        <v>4.7093487392911002E-5</v>
      </c>
      <c r="D49225" s="2">
        <v>7.5285444763821999E-6</v>
      </c>
      <c r="E49225" s="2">
        <v>8.6021135392965999E-6</v>
      </c>
      <c r="F49225" s="2">
        <v>4.3617333488855698E-5</v>
      </c>
    </row>
    <row r="49226" spans="1:6" x14ac:dyDescent="0.25">
      <c r="A49226" s="1" t="str">
        <f t="shared" si="1573"/>
        <v>99999</v>
      </c>
      <c r="B49226" s="1" t="str">
        <f>"17094"</f>
        <v>17094</v>
      </c>
      <c r="C49226" s="2">
        <v>1.12699587071311E-4</v>
      </c>
      <c r="D49226" s="2">
        <v>5.2699811334675399E-5</v>
      </c>
      <c r="E49226" s="2">
        <v>1.07526419241207E-4</v>
      </c>
      <c r="F49226" s="2">
        <v>1.0864860672224E-4</v>
      </c>
    </row>
    <row r="49227" spans="1:6" x14ac:dyDescent="0.25">
      <c r="A49227" s="1" t="str">
        <f t="shared" si="1573"/>
        <v>99999</v>
      </c>
      <c r="B49227" s="1" t="str">
        <f>"17233"</f>
        <v>17233</v>
      </c>
      <c r="C49227" s="2">
        <v>2.7325048776944203E-4</v>
      </c>
      <c r="D49227" s="2">
        <v>4.3966699742071998E-4</v>
      </c>
      <c r="E49227" s="2">
        <v>3.7849299572905002E-4</v>
      </c>
      <c r="F49227" s="2">
        <v>2.8657180192677998E-4</v>
      </c>
    </row>
    <row r="49228" spans="1:6" x14ac:dyDescent="0.25">
      <c r="A49228" s="1" t="str">
        <f t="shared" si="1573"/>
        <v>99999</v>
      </c>
      <c r="B49228" s="1" t="str">
        <f>"17228"</f>
        <v>17228</v>
      </c>
      <c r="C49228" s="2">
        <v>6.05178378221546E-5</v>
      </c>
      <c r="D49228" s="2">
        <v>1.9574215638593701E-5</v>
      </c>
      <c r="E49228" s="2">
        <v>3.44084541571864E-5</v>
      </c>
      <c r="F49228" s="2">
        <v>5.72354149853763E-5</v>
      </c>
    </row>
    <row r="49229" spans="1:6" x14ac:dyDescent="0.25">
      <c r="A49229" s="1" t="str">
        <f t="shared" si="1573"/>
        <v>99999</v>
      </c>
      <c r="B49229" s="1" t="str">
        <f>"17049"</f>
        <v>17049</v>
      </c>
      <c r="C49229" s="2">
        <v>1.3933176614868101E-4</v>
      </c>
      <c r="D49229" s="2">
        <v>7.2274026973269097E-5</v>
      </c>
      <c r="E49229" s="2">
        <v>1.2042958955015201E-4</v>
      </c>
      <c r="F49229" s="2">
        <v>1.3450322521563399E-4</v>
      </c>
    </row>
    <row r="49230" spans="1:6" x14ac:dyDescent="0.25">
      <c r="A49230" s="1" t="str">
        <f t="shared" si="1573"/>
        <v>99999</v>
      </c>
      <c r="B49230" s="1" t="str">
        <f>"18444"</f>
        <v>18444</v>
      </c>
      <c r="C49230" s="2">
        <v>7.5782623390891304E-5</v>
      </c>
      <c r="D49230" s="2">
        <v>1.20456711622115E-5</v>
      </c>
      <c r="E49230" s="2">
        <v>8.1720078623317706E-5</v>
      </c>
      <c r="F49230" s="2">
        <v>7.1741632231670001E-5</v>
      </c>
    </row>
    <row r="49231" spans="1:6" x14ac:dyDescent="0.25">
      <c r="A49231" s="1" t="str">
        <f t="shared" si="1573"/>
        <v>99999</v>
      </c>
      <c r="B49231" s="1" t="str">
        <f>"18439"</f>
        <v>18439</v>
      </c>
      <c r="C49231" s="2">
        <v>2.91221795602139E-5</v>
      </c>
      <c r="D49231" s="2">
        <v>3.1619886800805203E-5</v>
      </c>
      <c r="E49231" s="2">
        <v>8.6021135392965999E-6</v>
      </c>
      <c r="F49231" s="2">
        <v>2.88150709926377E-5</v>
      </c>
    </row>
    <row r="49232" spans="1:6" x14ac:dyDescent="0.25">
      <c r="A49232" s="1" t="str">
        <f t="shared" si="1573"/>
        <v>99999</v>
      </c>
      <c r="B49232" s="1" t="str">
        <f>"18405"</f>
        <v>18405</v>
      </c>
      <c r="C49232" s="2">
        <v>1.16705240021972E-4</v>
      </c>
      <c r="D49232" s="2">
        <v>5.5711229125228301E-5</v>
      </c>
      <c r="E49232" s="2">
        <v>7.3117965084021106E-5</v>
      </c>
      <c r="F49232" s="2">
        <v>1.11707740971458E-4</v>
      </c>
    </row>
    <row r="49233" spans="1:6" x14ac:dyDescent="0.25">
      <c r="A49233" s="1" t="str">
        <f t="shared" si="1573"/>
        <v>99999</v>
      </c>
      <c r="B49233" s="1" t="str">
        <f>"21655"</f>
        <v>21655</v>
      </c>
      <c r="C49233" s="2">
        <v>2.33193958262828E-4</v>
      </c>
      <c r="D49233" s="2">
        <v>8.88368248213099E-5</v>
      </c>
      <c r="E49233" s="2">
        <v>8.1720078623317706E-5</v>
      </c>
      <c r="F49233" s="2">
        <v>2.2025766594372401E-4</v>
      </c>
    </row>
    <row r="49234" spans="1:6" x14ac:dyDescent="0.25">
      <c r="A49234" s="1" t="str">
        <f t="shared" si="1573"/>
        <v>99999</v>
      </c>
      <c r="B49234" s="1" t="str">
        <f>"21667"</f>
        <v>21667</v>
      </c>
      <c r="C49234" s="2">
        <v>1.23417415236594E-5</v>
      </c>
      <c r="D49234" s="2">
        <v>1.20456711622115E-5</v>
      </c>
      <c r="E49234" s="2">
        <v>8.6021135392965999E-6</v>
      </c>
      <c r="F49234" s="2">
        <v>1.22365369968735E-5</v>
      </c>
    </row>
    <row r="49235" spans="1:6" x14ac:dyDescent="0.25">
      <c r="A49235" s="1" t="str">
        <f t="shared" si="1573"/>
        <v>99999</v>
      </c>
      <c r="B49235" s="1" t="str">
        <f>"21532"</f>
        <v>21532</v>
      </c>
      <c r="C49235" s="2">
        <v>6.8853926395152606E-5</v>
      </c>
      <c r="D49235" s="2">
        <v>3.01141779055288E-5</v>
      </c>
      <c r="E49235" s="2">
        <v>2.15052838482415E-5</v>
      </c>
      <c r="F49235" s="2">
        <v>6.5228636733334006E-5</v>
      </c>
    </row>
    <row r="49236" spans="1:6" x14ac:dyDescent="0.25">
      <c r="A49236" s="1" t="str">
        <f t="shared" si="1573"/>
        <v>99999</v>
      </c>
      <c r="B49236" s="1" t="str">
        <f>"21645"</f>
        <v>21645</v>
      </c>
      <c r="C49236" s="2">
        <v>6.4848273444491198E-5</v>
      </c>
      <c r="D49236" s="2">
        <v>2.4091342324423E-5</v>
      </c>
      <c r="E49236" s="2">
        <v>3.01073973875381E-5</v>
      </c>
      <c r="F49236" s="2">
        <v>6.1380048484317295E-5</v>
      </c>
    </row>
    <row r="49237" spans="1:6" x14ac:dyDescent="0.25">
      <c r="A49237" s="1" t="str">
        <f t="shared" si="1573"/>
        <v>99999</v>
      </c>
      <c r="B49237" s="1" t="str">
        <f>"22508"</f>
        <v>22508</v>
      </c>
      <c r="C49237" s="2">
        <v>6.4707534286765299E-4</v>
      </c>
      <c r="D49237" s="2">
        <v>3.5083017259941003E-4</v>
      </c>
      <c r="E49237" s="2">
        <v>1.16128532780504E-4</v>
      </c>
      <c r="F49237" s="2">
        <v>6.1547807459274499E-4</v>
      </c>
    </row>
    <row r="49238" spans="1:6" x14ac:dyDescent="0.25">
      <c r="A49238" s="1" t="str">
        <f t="shared" si="1573"/>
        <v>99999</v>
      </c>
      <c r="B49238" s="1" t="str">
        <f>"22520"</f>
        <v>22520</v>
      </c>
      <c r="C49238" s="2">
        <v>3.1742093111727601E-4</v>
      </c>
      <c r="D49238" s="2">
        <v>1.5960514289930201E-4</v>
      </c>
      <c r="E49238" s="2">
        <v>1.2473064631979999E-4</v>
      </c>
      <c r="F49238" s="2">
        <v>3.0265692717267099E-4</v>
      </c>
    </row>
    <row r="49239" spans="1:6" x14ac:dyDescent="0.25">
      <c r="A49239" s="1" t="str">
        <f t="shared" si="1573"/>
        <v>99999</v>
      </c>
      <c r="B49239" s="1" t="str">
        <f>"22542"</f>
        <v>22542</v>
      </c>
      <c r="C49239" s="2">
        <v>8.7907843133433903E-5</v>
      </c>
      <c r="D49239" s="2">
        <v>3.1619886800805203E-5</v>
      </c>
      <c r="E49239" s="2">
        <v>0</v>
      </c>
      <c r="F49239" s="2">
        <v>8.2201897728997403E-5</v>
      </c>
    </row>
    <row r="49240" spans="1:6" x14ac:dyDescent="0.25">
      <c r="A49240" s="1" t="str">
        <f t="shared" si="1573"/>
        <v>99999</v>
      </c>
      <c r="B49240" s="1" t="str">
        <f>"22454"</f>
        <v>22454</v>
      </c>
      <c r="C49240" s="2">
        <v>1.0804436877729901E-4</v>
      </c>
      <c r="D49240" s="2">
        <v>1.20456711622115E-5</v>
      </c>
      <c r="E49240" s="2">
        <v>4.3010567696482999E-6</v>
      </c>
      <c r="F49240" s="2">
        <v>9.9372522224610299E-5</v>
      </c>
    </row>
    <row r="49241" spans="1:6" x14ac:dyDescent="0.25">
      <c r="A49241" s="1" t="str">
        <f t="shared" si="1573"/>
        <v>99999</v>
      </c>
      <c r="B49241" s="1" t="str">
        <f>"27967"</f>
        <v>27967</v>
      </c>
      <c r="C49241" s="2">
        <v>0</v>
      </c>
      <c r="D49241" s="2">
        <v>0</v>
      </c>
      <c r="E49241" s="2">
        <v>4.3010567696482999E-6</v>
      </c>
      <c r="F49241" s="2">
        <v>9.8681749974786797E-8</v>
      </c>
    </row>
    <row r="49242" spans="1:6" x14ac:dyDescent="0.25">
      <c r="A49242" s="1" t="str">
        <f t="shared" si="1573"/>
        <v>99999</v>
      </c>
      <c r="B49242" s="1" t="str">
        <f>"95226"</f>
        <v>95226</v>
      </c>
      <c r="C49242" s="2">
        <v>0</v>
      </c>
      <c r="D49242" s="2">
        <v>0</v>
      </c>
      <c r="E49242" s="2">
        <v>4.3010567696482999E-6</v>
      </c>
      <c r="F49242" s="2">
        <v>9.8681749974786797E-8</v>
      </c>
    </row>
    <row r="49243" spans="1:6" x14ac:dyDescent="0.25">
      <c r="A49243" s="1" t="str">
        <f t="shared" si="1573"/>
        <v>99999</v>
      </c>
      <c r="B49243" s="1" t="str">
        <f>"31003"</f>
        <v>31003</v>
      </c>
      <c r="C49243" s="2">
        <v>0</v>
      </c>
      <c r="D49243" s="2">
        <v>0</v>
      </c>
      <c r="E49243" s="2">
        <v>4.3010567696482999E-6</v>
      </c>
      <c r="F49243" s="2">
        <v>9.8681749974786797E-8</v>
      </c>
    </row>
    <row r="49244" spans="1:6" x14ac:dyDescent="0.25">
      <c r="A49244" s="1" t="str">
        <f t="shared" si="1573"/>
        <v>99999</v>
      </c>
      <c r="B49244" s="1" t="str">
        <f>"36766"</f>
        <v>36766</v>
      </c>
      <c r="C49244" s="2">
        <v>0</v>
      </c>
      <c r="D49244" s="2">
        <v>0</v>
      </c>
      <c r="E49244" s="2">
        <v>4.3010567696482999E-6</v>
      </c>
      <c r="F49244" s="2">
        <v>9.8681749974786797E-8</v>
      </c>
    </row>
    <row r="49245" spans="1:6" x14ac:dyDescent="0.25">
      <c r="A49245" s="1" t="str">
        <f t="shared" si="1573"/>
        <v>99999</v>
      </c>
      <c r="B49245" s="1" t="str">
        <f>"79504"</f>
        <v>79504</v>
      </c>
      <c r="C49245" s="2">
        <v>1.08260890558416E-7</v>
      </c>
      <c r="D49245" s="2">
        <v>0</v>
      </c>
      <c r="E49245" s="2">
        <v>0</v>
      </c>
      <c r="F49245" s="2">
        <v>9.8681749974786797E-8</v>
      </c>
    </row>
    <row r="49246" spans="1:6" x14ac:dyDescent="0.25">
      <c r="A49246" s="1" t="str">
        <f t="shared" si="1573"/>
        <v>99999</v>
      </c>
      <c r="B49246" s="1" t="str">
        <f>"71426"</f>
        <v>71426</v>
      </c>
      <c r="C49246" s="2">
        <v>0</v>
      </c>
      <c r="D49246" s="2">
        <v>0</v>
      </c>
      <c r="E49246" s="2">
        <v>4.3010567696482999E-6</v>
      </c>
      <c r="F49246" s="2">
        <v>9.8681749974786797E-8</v>
      </c>
    </row>
    <row r="49247" spans="1:6" x14ac:dyDescent="0.25">
      <c r="A49247" s="1" t="str">
        <f t="shared" si="1573"/>
        <v>99999</v>
      </c>
      <c r="B49247" s="1" t="str">
        <f>"39061"</f>
        <v>39061</v>
      </c>
      <c r="C49247" s="2">
        <v>0</v>
      </c>
      <c r="D49247" s="2">
        <v>1.50570889527644E-6</v>
      </c>
      <c r="E49247" s="2">
        <v>0</v>
      </c>
      <c r="F49247" s="2">
        <v>9.8681749974786797E-8</v>
      </c>
    </row>
    <row r="49248" spans="1:6" x14ac:dyDescent="0.25">
      <c r="A49248" s="1" t="str">
        <f t="shared" si="1573"/>
        <v>99999</v>
      </c>
      <c r="B49248" s="1" t="str">
        <f>"28616"</f>
        <v>28616</v>
      </c>
      <c r="C49248" s="2">
        <v>0</v>
      </c>
      <c r="D49248" s="2">
        <v>0</v>
      </c>
      <c r="E49248" s="2">
        <v>4.3010567696482999E-6</v>
      </c>
      <c r="F49248" s="2">
        <v>9.8681749974786797E-8</v>
      </c>
    </row>
    <row r="49249" spans="1:6" x14ac:dyDescent="0.25">
      <c r="A49249" s="1" t="str">
        <f t="shared" si="1573"/>
        <v>99999</v>
      </c>
      <c r="B49249" s="1" t="str">
        <f>"80826"</f>
        <v>80826</v>
      </c>
      <c r="C49249" s="2">
        <v>0</v>
      </c>
      <c r="D49249" s="2">
        <v>1.50570889527644E-6</v>
      </c>
      <c r="E49249" s="2">
        <v>0</v>
      </c>
      <c r="F49249" s="2">
        <v>9.8681749974786797E-8</v>
      </c>
    </row>
    <row r="49250" spans="1:6" x14ac:dyDescent="0.25">
      <c r="A49250" s="1" t="str">
        <f t="shared" si="1573"/>
        <v>99999</v>
      </c>
      <c r="B49250" s="1" t="str">
        <f>"04940"</f>
        <v>04940</v>
      </c>
      <c r="C49250" s="2">
        <v>0</v>
      </c>
      <c r="D49250" s="2">
        <v>0</v>
      </c>
      <c r="E49250" s="2">
        <v>4.3010567696482999E-6</v>
      </c>
      <c r="F49250" s="2">
        <v>9.8681749974786797E-8</v>
      </c>
    </row>
    <row r="49251" spans="1:6" x14ac:dyDescent="0.25">
      <c r="A49251" s="1" t="str">
        <f t="shared" si="1573"/>
        <v>99999</v>
      </c>
      <c r="B49251" s="1" t="str">
        <f>"51549"</f>
        <v>51549</v>
      </c>
      <c r="C49251" s="2">
        <v>1.08260890558416E-7</v>
      </c>
      <c r="D49251" s="2">
        <v>0</v>
      </c>
      <c r="E49251" s="2">
        <v>0</v>
      </c>
      <c r="F49251" s="2">
        <v>9.8681749974786797E-8</v>
      </c>
    </row>
    <row r="49252" spans="1:6" x14ac:dyDescent="0.25">
      <c r="A49252" s="1" t="str">
        <f t="shared" si="1573"/>
        <v>99999</v>
      </c>
      <c r="B49252" s="1" t="str">
        <f>"79083"</f>
        <v>79083</v>
      </c>
      <c r="C49252" s="2">
        <v>3.2478267167524802E-7</v>
      </c>
      <c r="D49252" s="2">
        <v>0</v>
      </c>
      <c r="E49252" s="2">
        <v>0</v>
      </c>
      <c r="F49252" s="2">
        <v>2.9604524992435999E-7</v>
      </c>
    </row>
    <row r="49253" spans="1:6" x14ac:dyDescent="0.25">
      <c r="A49253" s="1" t="str">
        <f t="shared" si="1573"/>
        <v>99999</v>
      </c>
      <c r="B49253" s="1" t="str">
        <f>"23422"</f>
        <v>23422</v>
      </c>
      <c r="C49253" s="2">
        <v>0</v>
      </c>
      <c r="D49253" s="2">
        <v>1.50570889527644E-6</v>
      </c>
      <c r="E49253" s="2">
        <v>0</v>
      </c>
      <c r="F49253" s="2">
        <v>9.8681749974786797E-8</v>
      </c>
    </row>
    <row r="49254" spans="1:6" x14ac:dyDescent="0.25">
      <c r="A49254" s="1" t="str">
        <f t="shared" si="1573"/>
        <v>99999</v>
      </c>
      <c r="B49254" s="1" t="str">
        <f>"24861"</f>
        <v>24861</v>
      </c>
      <c r="C49254" s="2">
        <v>0</v>
      </c>
      <c r="D49254" s="2">
        <v>3.01141779055288E-6</v>
      </c>
      <c r="E49254" s="2">
        <v>0</v>
      </c>
      <c r="F49254" s="2">
        <v>1.9736349994957301E-7</v>
      </c>
    </row>
    <row r="49255" spans="1:6" x14ac:dyDescent="0.25">
      <c r="A49255" s="1" t="str">
        <f t="shared" si="1573"/>
        <v>99999</v>
      </c>
      <c r="B49255" s="1" t="str">
        <f>"26865"</f>
        <v>26865</v>
      </c>
      <c r="C49255" s="2">
        <v>3.2478267167524802E-7</v>
      </c>
      <c r="D49255" s="2">
        <v>0</v>
      </c>
      <c r="E49255" s="2">
        <v>0</v>
      </c>
      <c r="F49255" s="2">
        <v>2.9604524992435999E-7</v>
      </c>
    </row>
    <row r="49256" spans="1:6" x14ac:dyDescent="0.25">
      <c r="A49256" s="1" t="str">
        <f t="shared" si="1573"/>
        <v>99999</v>
      </c>
      <c r="B49256" s="1" t="str">
        <f>"29846"</f>
        <v>29846</v>
      </c>
      <c r="C49256" s="2">
        <v>0</v>
      </c>
      <c r="D49256" s="2">
        <v>1.50570889527644E-6</v>
      </c>
      <c r="E49256" s="2">
        <v>0</v>
      </c>
      <c r="F49256" s="2">
        <v>9.8681749974786797E-8</v>
      </c>
    </row>
    <row r="49257" spans="1:6" x14ac:dyDescent="0.25">
      <c r="A49257" s="1" t="str">
        <f t="shared" si="1573"/>
        <v>99999</v>
      </c>
      <c r="B49257" s="1" t="str">
        <f>"41081"</f>
        <v>41081</v>
      </c>
      <c r="C49257" s="2">
        <v>0</v>
      </c>
      <c r="D49257" s="2">
        <v>0</v>
      </c>
      <c r="E49257" s="2">
        <v>4.3010567696482999E-6</v>
      </c>
      <c r="F49257" s="2">
        <v>9.8681749974786797E-8</v>
      </c>
    </row>
    <row r="49258" spans="1:6" x14ac:dyDescent="0.25">
      <c r="A49258" s="1" t="str">
        <f t="shared" si="1573"/>
        <v>99999</v>
      </c>
      <c r="B49258" s="1" t="str">
        <f>"40434"</f>
        <v>40434</v>
      </c>
      <c r="C49258" s="2">
        <v>0</v>
      </c>
      <c r="D49258" s="2">
        <v>0</v>
      </c>
      <c r="E49258" s="2">
        <v>4.3010567696482999E-6</v>
      </c>
      <c r="F49258" s="2">
        <v>9.8681749974786797E-8</v>
      </c>
    </row>
    <row r="49259" spans="1:6" x14ac:dyDescent="0.25">
      <c r="A49259" s="1" t="str">
        <f t="shared" si="1573"/>
        <v>99999</v>
      </c>
      <c r="B49259" s="1" t="str">
        <f>"35082"</f>
        <v>35082</v>
      </c>
      <c r="C49259" s="2">
        <v>0</v>
      </c>
      <c r="D49259" s="2">
        <v>1.50570889527644E-6</v>
      </c>
      <c r="E49259" s="2">
        <v>0</v>
      </c>
      <c r="F49259" s="2">
        <v>9.8681749974786797E-8</v>
      </c>
    </row>
    <row r="49260" spans="1:6" x14ac:dyDescent="0.25">
      <c r="A49260" s="1" t="str">
        <f t="shared" si="1573"/>
        <v>99999</v>
      </c>
      <c r="B49260" s="1" t="str">
        <f>"54969"</f>
        <v>54969</v>
      </c>
      <c r="C49260" s="2">
        <v>0</v>
      </c>
      <c r="D49260" s="2">
        <v>0</v>
      </c>
      <c r="E49260" s="2">
        <v>4.3010567696482999E-6</v>
      </c>
      <c r="F49260" s="2">
        <v>9.8681749974786797E-8</v>
      </c>
    </row>
    <row r="49261" spans="1:6" x14ac:dyDescent="0.25">
      <c r="A49261" s="1" t="str">
        <f t="shared" si="1573"/>
        <v>99999</v>
      </c>
      <c r="B49261" s="1" t="str">
        <f>"32357"</f>
        <v>32357</v>
      </c>
      <c r="C49261" s="2">
        <v>0</v>
      </c>
      <c r="D49261" s="2">
        <v>0</v>
      </c>
      <c r="E49261" s="2">
        <v>4.3010567696482999E-6</v>
      </c>
      <c r="F49261" s="2">
        <v>9.8681749974786797E-8</v>
      </c>
    </row>
    <row r="49262" spans="1:6" x14ac:dyDescent="0.25">
      <c r="A49262" s="1" t="str">
        <f t="shared" si="1573"/>
        <v>99999</v>
      </c>
      <c r="B49262" s="1" t="str">
        <f>"38623"</f>
        <v>38623</v>
      </c>
      <c r="C49262" s="2">
        <v>0</v>
      </c>
      <c r="D49262" s="2">
        <v>1.50570889527644E-6</v>
      </c>
      <c r="E49262" s="2">
        <v>0</v>
      </c>
      <c r="F49262" s="2">
        <v>9.8681749974786797E-8</v>
      </c>
    </row>
    <row r="49263" spans="1:6" x14ac:dyDescent="0.25">
      <c r="A49263" s="1" t="str">
        <f t="shared" si="1573"/>
        <v>99999</v>
      </c>
      <c r="B49263" s="1" t="str">
        <f>"22548"</f>
        <v>22548</v>
      </c>
      <c r="C49263" s="2">
        <v>0</v>
      </c>
      <c r="D49263" s="2">
        <v>0</v>
      </c>
      <c r="E49263" s="2">
        <v>4.3010567696482999E-6</v>
      </c>
      <c r="F49263" s="2">
        <v>9.8681749974786797E-8</v>
      </c>
    </row>
    <row r="49264" spans="1:6" x14ac:dyDescent="0.25">
      <c r="A49264" s="1" t="str">
        <f t="shared" si="1573"/>
        <v>99999</v>
      </c>
      <c r="B49264" s="1" t="str">
        <f>"40061"</f>
        <v>40061</v>
      </c>
      <c r="C49264" s="2">
        <v>0</v>
      </c>
      <c r="D49264" s="2">
        <v>4.5171266858293203E-6</v>
      </c>
      <c r="E49264" s="2">
        <v>0</v>
      </c>
      <c r="F49264" s="2">
        <v>2.9604524992435999E-7</v>
      </c>
    </row>
    <row r="49265" spans="1:6" x14ac:dyDescent="0.25">
      <c r="A49265" s="1" t="str">
        <f t="shared" si="1573"/>
        <v>99999</v>
      </c>
      <c r="B49265" s="1" t="str">
        <f>"96037"</f>
        <v>96037</v>
      </c>
      <c r="C49265" s="2">
        <v>0</v>
      </c>
      <c r="D49265" s="2">
        <v>0</v>
      </c>
      <c r="E49265" s="2">
        <v>4.3010567696482999E-6</v>
      </c>
      <c r="F49265" s="2">
        <v>9.8681749974786797E-8</v>
      </c>
    </row>
    <row r="49266" spans="1:6" x14ac:dyDescent="0.25">
      <c r="A49266" s="1" t="str">
        <f t="shared" si="1573"/>
        <v>99999</v>
      </c>
      <c r="B49266" s="1" t="str">
        <f>"42463"</f>
        <v>42463</v>
      </c>
      <c r="C49266" s="2">
        <v>0</v>
      </c>
      <c r="D49266" s="2">
        <v>0</v>
      </c>
      <c r="E49266" s="2">
        <v>4.3010567696482999E-6</v>
      </c>
      <c r="F49266" s="2">
        <v>9.8681749974786797E-8</v>
      </c>
    </row>
    <row r="49267" spans="1:6" x14ac:dyDescent="0.25">
      <c r="A49267" s="1" t="str">
        <f t="shared" si="1573"/>
        <v>99999</v>
      </c>
      <c r="B49267" s="1" t="str">
        <f>"74556"</f>
        <v>74556</v>
      </c>
      <c r="C49267" s="2">
        <v>1.08260890558416E-7</v>
      </c>
      <c r="D49267" s="2">
        <v>0</v>
      </c>
      <c r="E49267" s="2">
        <v>4.3010567696482999E-6</v>
      </c>
      <c r="F49267" s="2">
        <v>1.9736349994957301E-7</v>
      </c>
    </row>
    <row r="49268" spans="1:6" x14ac:dyDescent="0.25">
      <c r="A49268" s="1" t="str">
        <f t="shared" si="1573"/>
        <v>99999</v>
      </c>
      <c r="B49268" s="1" t="str">
        <f>"99685"</f>
        <v>99685</v>
      </c>
      <c r="C49268" s="2">
        <v>0</v>
      </c>
      <c r="D49268" s="2">
        <v>0</v>
      </c>
      <c r="E49268" s="2">
        <v>4.3010567696482999E-6</v>
      </c>
      <c r="F49268" s="2">
        <v>9.8681749974786797E-8</v>
      </c>
    </row>
    <row r="49269" spans="1:6" x14ac:dyDescent="0.25">
      <c r="A49269" s="1" t="str">
        <f t="shared" si="1573"/>
        <v>99999</v>
      </c>
      <c r="B49269" s="1" t="str">
        <f>"56679"</f>
        <v>56679</v>
      </c>
      <c r="C49269" s="2">
        <v>0</v>
      </c>
      <c r="D49269" s="2">
        <v>0</v>
      </c>
      <c r="E49269" s="2">
        <v>4.3010567696482999E-6</v>
      </c>
      <c r="F49269" s="2">
        <v>9.8681749974786797E-8</v>
      </c>
    </row>
    <row r="49270" spans="1:6" x14ac:dyDescent="0.25">
      <c r="A49270" s="1" t="str">
        <f t="shared" si="1573"/>
        <v>99999</v>
      </c>
      <c r="B49270" s="1" t="str">
        <f>"72482"</f>
        <v>72482</v>
      </c>
      <c r="C49270" s="2">
        <v>1.08260890558416E-7</v>
      </c>
      <c r="D49270" s="2">
        <v>0</v>
      </c>
      <c r="E49270" s="2">
        <v>0</v>
      </c>
      <c r="F49270" s="2">
        <v>9.8681749974786797E-8</v>
      </c>
    </row>
    <row r="49271" spans="1:6" x14ac:dyDescent="0.25">
      <c r="A49271" s="1" t="str">
        <f t="shared" si="1573"/>
        <v>99999</v>
      </c>
      <c r="B49271" s="1" t="str">
        <f>"73448"</f>
        <v>73448</v>
      </c>
      <c r="C49271" s="2">
        <v>2.1652178111683201E-7</v>
      </c>
      <c r="D49271" s="2">
        <v>0</v>
      </c>
      <c r="E49271" s="2">
        <v>0</v>
      </c>
      <c r="F49271" s="2">
        <v>1.9736349994957301E-7</v>
      </c>
    </row>
    <row r="49272" spans="1:6" x14ac:dyDescent="0.25">
      <c r="A49272" s="1" t="str">
        <f t="shared" si="1573"/>
        <v>99999</v>
      </c>
      <c r="B49272" s="1" t="str">
        <f>"18434"</f>
        <v>18434</v>
      </c>
      <c r="C49272" s="2">
        <v>0</v>
      </c>
      <c r="D49272" s="2">
        <v>1.50570889527644E-6</v>
      </c>
      <c r="E49272" s="2">
        <v>0</v>
      </c>
      <c r="F49272" s="2">
        <v>9.8681749974786797E-8</v>
      </c>
    </row>
    <row r="49273" spans="1:6" x14ac:dyDescent="0.25">
      <c r="A49273" s="1" t="str">
        <f t="shared" si="1573"/>
        <v>99999</v>
      </c>
      <c r="B49273" s="1" t="str">
        <f>"63850"</f>
        <v>63850</v>
      </c>
      <c r="C49273" s="2">
        <v>0</v>
      </c>
      <c r="D49273" s="2">
        <v>0</v>
      </c>
      <c r="E49273" s="2">
        <v>4.3010567696482999E-6</v>
      </c>
      <c r="F49273" s="2">
        <v>9.8681749974786797E-8</v>
      </c>
    </row>
    <row r="49274" spans="1:6" x14ac:dyDescent="0.25">
      <c r="A49274" s="1" t="str">
        <f t="shared" si="1573"/>
        <v>99999</v>
      </c>
      <c r="B49274" s="1" t="str">
        <f>"63881"</f>
        <v>63881</v>
      </c>
      <c r="C49274" s="2">
        <v>0</v>
      </c>
      <c r="D49274" s="2">
        <v>0</v>
      </c>
      <c r="E49274" s="2">
        <v>4.3010567696482999E-6</v>
      </c>
      <c r="F49274" s="2">
        <v>9.8681749974786797E-8</v>
      </c>
    </row>
    <row r="49275" spans="1:6" x14ac:dyDescent="0.25">
      <c r="A49275" s="1" t="str">
        <f t="shared" si="1573"/>
        <v>99999</v>
      </c>
      <c r="B49275" s="1" t="str">
        <f>"95221"</f>
        <v>95221</v>
      </c>
      <c r="C49275" s="2">
        <v>0</v>
      </c>
      <c r="D49275" s="2">
        <v>0</v>
      </c>
      <c r="E49275" s="2">
        <v>4.3010567696482999E-6</v>
      </c>
      <c r="F49275" s="2">
        <v>9.8681749974786797E-8</v>
      </c>
    </row>
    <row r="49276" spans="1:6" x14ac:dyDescent="0.25">
      <c r="A49276" s="1" t="str">
        <f t="shared" si="1573"/>
        <v>99999</v>
      </c>
      <c r="B49276" s="1" t="str">
        <f>"98554"</f>
        <v>98554</v>
      </c>
      <c r="C49276" s="2">
        <v>0</v>
      </c>
      <c r="D49276" s="2">
        <v>1.50570889527644E-6</v>
      </c>
      <c r="E49276" s="2">
        <v>0</v>
      </c>
      <c r="F49276" s="2">
        <v>9.8681749974786797E-8</v>
      </c>
    </row>
    <row r="49277" spans="1:6" x14ac:dyDescent="0.25">
      <c r="A49277" s="1" t="str">
        <f t="shared" si="1573"/>
        <v>99999</v>
      </c>
      <c r="B49277" s="1" t="str">
        <f>"52752"</f>
        <v>52752</v>
      </c>
      <c r="C49277" s="2">
        <v>0</v>
      </c>
      <c r="D49277" s="2">
        <v>0</v>
      </c>
      <c r="E49277" s="2">
        <v>4.3010567696482999E-6</v>
      </c>
      <c r="F49277" s="2">
        <v>9.8681749974786797E-8</v>
      </c>
    </row>
    <row r="49278" spans="1:6" x14ac:dyDescent="0.25">
      <c r="A49278" s="1" t="str">
        <f t="shared" si="1573"/>
        <v>99999</v>
      </c>
      <c r="B49278" s="1" t="str">
        <f>"30451"</f>
        <v>30451</v>
      </c>
      <c r="C49278" s="2">
        <v>0</v>
      </c>
      <c r="D49278" s="2">
        <v>1.50570889527644E-6</v>
      </c>
      <c r="E49278" s="2">
        <v>0</v>
      </c>
      <c r="F49278" s="2">
        <v>9.8681749974786797E-8</v>
      </c>
    </row>
    <row r="49279" spans="1:6" x14ac:dyDescent="0.25">
      <c r="A49279" s="1" t="str">
        <f t="shared" si="1573"/>
        <v>99999</v>
      </c>
      <c r="B49279" s="1" t="str">
        <f>"16361"</f>
        <v>16361</v>
      </c>
      <c r="C49279" s="2">
        <v>0</v>
      </c>
      <c r="D49279" s="2">
        <v>0</v>
      </c>
      <c r="E49279" s="2">
        <v>4.3010567696482999E-6</v>
      </c>
      <c r="F49279" s="2">
        <v>9.8681749974786797E-8</v>
      </c>
    </row>
    <row r="49280" spans="1:6" x14ac:dyDescent="0.25">
      <c r="A49280" s="1" t="str">
        <f t="shared" si="1573"/>
        <v>99999</v>
      </c>
      <c r="B49280" s="1" t="str">
        <f>"30581"</f>
        <v>30581</v>
      </c>
      <c r="C49280" s="2">
        <v>0</v>
      </c>
      <c r="D49280" s="2">
        <v>0</v>
      </c>
      <c r="E49280" s="2">
        <v>4.3010567696482999E-6</v>
      </c>
      <c r="F49280" s="2">
        <v>9.8681749974786797E-8</v>
      </c>
    </row>
    <row r="49281" spans="1:6" x14ac:dyDescent="0.25">
      <c r="A49281" s="1" t="str">
        <f t="shared" si="1573"/>
        <v>99999</v>
      </c>
      <c r="B49281" s="1" t="str">
        <f>"62834"</f>
        <v>62834</v>
      </c>
      <c r="C49281" s="2">
        <v>0</v>
      </c>
      <c r="D49281" s="2">
        <v>0</v>
      </c>
      <c r="E49281" s="2">
        <v>4.3010567696482999E-6</v>
      </c>
      <c r="F49281" s="2">
        <v>9.8681749974786797E-8</v>
      </c>
    </row>
    <row r="49282" spans="1:6" x14ac:dyDescent="0.25">
      <c r="A49282" s="1" t="str">
        <f t="shared" si="1573"/>
        <v>99999</v>
      </c>
      <c r="B49282" s="1" t="str">
        <f>"59412"</f>
        <v>59412</v>
      </c>
      <c r="C49282" s="2">
        <v>2.1652178111683201E-7</v>
      </c>
      <c r="D49282" s="2">
        <v>0</v>
      </c>
      <c r="E49282" s="2">
        <v>0</v>
      </c>
      <c r="F49282" s="2">
        <v>1.9736349994957301E-7</v>
      </c>
    </row>
    <row r="49283" spans="1:6" x14ac:dyDescent="0.25">
      <c r="A49283" s="1" t="str">
        <f t="shared" si="1573"/>
        <v>99999</v>
      </c>
      <c r="B49283" s="1" t="str">
        <f>"99662"</f>
        <v>99662</v>
      </c>
      <c r="C49283" s="2">
        <v>0</v>
      </c>
      <c r="D49283" s="2">
        <v>0</v>
      </c>
      <c r="E49283" s="2">
        <v>4.3010567696482999E-6</v>
      </c>
      <c r="F49283" s="2">
        <v>9.8681749974786797E-8</v>
      </c>
    </row>
    <row r="49284" spans="1:6" x14ac:dyDescent="0.25">
      <c r="A49284" s="1" t="str">
        <f t="shared" si="1573"/>
        <v>99999</v>
      </c>
      <c r="B49284" s="1" t="str">
        <f>"41517"</f>
        <v>41517</v>
      </c>
      <c r="C49284" s="2">
        <v>0</v>
      </c>
      <c r="D49284" s="2">
        <v>0</v>
      </c>
      <c r="E49284" s="2">
        <v>4.3010567696482999E-6</v>
      </c>
      <c r="F49284" s="2">
        <v>9.8681749974786797E-8</v>
      </c>
    </row>
    <row r="49285" spans="1:6" x14ac:dyDescent="0.25">
      <c r="A49285" s="1" t="str">
        <f t="shared" si="1573"/>
        <v>99999</v>
      </c>
      <c r="B49285" s="1" t="str">
        <f>"62892"</f>
        <v>62892</v>
      </c>
      <c r="C49285" s="2">
        <v>1.08260890558416E-7</v>
      </c>
      <c r="D49285" s="2">
        <v>0</v>
      </c>
      <c r="E49285" s="2">
        <v>0</v>
      </c>
      <c r="F49285" s="2">
        <v>9.8681749974786797E-8</v>
      </c>
    </row>
    <row r="49286" spans="1:6" x14ac:dyDescent="0.25">
      <c r="A49286" s="1" t="str">
        <f t="shared" ref="A49286:A49349" si="1574">"99999"</f>
        <v>99999</v>
      </c>
      <c r="B49286" s="1" t="str">
        <f>"37345"</f>
        <v>37345</v>
      </c>
      <c r="C49286" s="2">
        <v>3.2478267167524802E-7</v>
      </c>
      <c r="D49286" s="2">
        <v>0</v>
      </c>
      <c r="E49286" s="2">
        <v>0</v>
      </c>
      <c r="F49286" s="2">
        <v>2.9604524992435999E-7</v>
      </c>
    </row>
    <row r="49287" spans="1:6" x14ac:dyDescent="0.25">
      <c r="A49287" s="1" t="str">
        <f t="shared" si="1574"/>
        <v>99999</v>
      </c>
      <c r="B49287" s="1" t="str">
        <f>"04225"</f>
        <v>04225</v>
      </c>
      <c r="C49287" s="2">
        <v>0</v>
      </c>
      <c r="D49287" s="2">
        <v>0</v>
      </c>
      <c r="E49287" s="2">
        <v>4.3010567696482999E-6</v>
      </c>
      <c r="F49287" s="2">
        <v>9.8681749974786797E-8</v>
      </c>
    </row>
    <row r="49288" spans="1:6" x14ac:dyDescent="0.25">
      <c r="A49288" s="1" t="str">
        <f t="shared" si="1574"/>
        <v>99999</v>
      </c>
      <c r="B49288" s="1" t="str">
        <f>"17727"</f>
        <v>17727</v>
      </c>
      <c r="C49288" s="2">
        <v>1.08260890558416E-7</v>
      </c>
      <c r="D49288" s="2">
        <v>0</v>
      </c>
      <c r="E49288" s="2">
        <v>0</v>
      </c>
      <c r="F49288" s="2">
        <v>9.8681749974786797E-8</v>
      </c>
    </row>
    <row r="49289" spans="1:6" x14ac:dyDescent="0.25">
      <c r="A49289" s="1" t="str">
        <f t="shared" si="1574"/>
        <v>99999</v>
      </c>
      <c r="B49289" s="1" t="str">
        <f>"56668"</f>
        <v>56668</v>
      </c>
      <c r="C49289" s="2">
        <v>0</v>
      </c>
      <c r="D49289" s="2">
        <v>0</v>
      </c>
      <c r="E49289" s="2">
        <v>4.3010567696482999E-6</v>
      </c>
      <c r="F49289" s="2">
        <v>9.8681749974786797E-8</v>
      </c>
    </row>
    <row r="49290" spans="1:6" x14ac:dyDescent="0.25">
      <c r="A49290" s="1" t="str">
        <f t="shared" si="1574"/>
        <v>99999</v>
      </c>
      <c r="B49290" s="1" t="str">
        <f>"98527"</f>
        <v>98527</v>
      </c>
      <c r="C49290" s="2">
        <v>0</v>
      </c>
      <c r="D49290" s="2">
        <v>0</v>
      </c>
      <c r="E49290" s="2">
        <v>4.3010567696482999E-6</v>
      </c>
      <c r="F49290" s="2">
        <v>9.8681749974786797E-8</v>
      </c>
    </row>
    <row r="49291" spans="1:6" x14ac:dyDescent="0.25">
      <c r="A49291" s="1" t="str">
        <f t="shared" si="1574"/>
        <v>99999</v>
      </c>
      <c r="B49291" s="1" t="str">
        <f>"71080"</f>
        <v>71080</v>
      </c>
      <c r="C49291" s="2">
        <v>0</v>
      </c>
      <c r="D49291" s="2">
        <v>0</v>
      </c>
      <c r="E49291" s="2">
        <v>4.3010567696482999E-6</v>
      </c>
      <c r="F49291" s="2">
        <v>9.8681749974786797E-8</v>
      </c>
    </row>
    <row r="49292" spans="1:6" x14ac:dyDescent="0.25">
      <c r="A49292" s="1" t="str">
        <f t="shared" si="1574"/>
        <v>99999</v>
      </c>
      <c r="B49292" s="1" t="str">
        <f>"03813"</f>
        <v>03813</v>
      </c>
      <c r="C49292" s="2">
        <v>2.1760439002241599E-4</v>
      </c>
      <c r="D49292" s="2">
        <v>1.97247865281213E-4</v>
      </c>
      <c r="E49292" s="2">
        <v>7.7419021853669399E-5</v>
      </c>
      <c r="F49292" s="2">
        <v>2.1305389819556401E-4</v>
      </c>
    </row>
    <row r="49293" spans="1:6" x14ac:dyDescent="0.25">
      <c r="A49293" s="1" t="str">
        <f t="shared" si="1574"/>
        <v>99999</v>
      </c>
      <c r="B49293" s="1" t="str">
        <f>"03830"</f>
        <v>03830</v>
      </c>
      <c r="C49293" s="2">
        <v>9.4836540129172506E-5</v>
      </c>
      <c r="D49293" s="2">
        <v>1.65627978480408E-5</v>
      </c>
      <c r="E49293" s="2">
        <v>1.29031703089449E-5</v>
      </c>
      <c r="F49293" s="2">
        <v>8.7826757477560204E-5</v>
      </c>
    </row>
    <row r="49294" spans="1:6" x14ac:dyDescent="0.25">
      <c r="A49294" s="1" t="str">
        <f t="shared" si="1574"/>
        <v>99999</v>
      </c>
      <c r="B49294" s="1" t="str">
        <f>"03864"</f>
        <v>03864</v>
      </c>
      <c r="C49294" s="2">
        <v>1.2839741620228101E-4</v>
      </c>
      <c r="D49294" s="2">
        <v>5.0742389770815999E-4</v>
      </c>
      <c r="E49294" s="2">
        <v>2.58063406178898E-5</v>
      </c>
      <c r="F49294" s="2">
        <v>1.5088439571144899E-4</v>
      </c>
    </row>
    <row r="49295" spans="1:6" x14ac:dyDescent="0.25">
      <c r="A49295" s="1" t="str">
        <f t="shared" si="1574"/>
        <v>99999</v>
      </c>
      <c r="B49295" s="1" t="str">
        <f>"04421"</f>
        <v>04421</v>
      </c>
      <c r="C49295" s="2">
        <v>3.8432616148237697E-5</v>
      </c>
      <c r="D49295" s="2">
        <v>1.50570889527644E-6</v>
      </c>
      <c r="E49295" s="2">
        <v>1.29031703089449E-5</v>
      </c>
      <c r="F49295" s="2">
        <v>3.5426748240948397E-5</v>
      </c>
    </row>
    <row r="49296" spans="1:6" x14ac:dyDescent="0.25">
      <c r="A49296" s="1" t="str">
        <f t="shared" si="1574"/>
        <v>99999</v>
      </c>
      <c r="B49296" s="1" t="str">
        <f>"04541"</f>
        <v>04541</v>
      </c>
      <c r="C49296" s="2">
        <v>6.1708707618297202E-6</v>
      </c>
      <c r="D49296" s="2">
        <v>0</v>
      </c>
      <c r="E49296" s="2">
        <v>4.3010567696482999E-6</v>
      </c>
      <c r="F49296" s="2">
        <v>5.7235414985376303E-6</v>
      </c>
    </row>
    <row r="49297" spans="1:6" x14ac:dyDescent="0.25">
      <c r="A49297" s="1" t="str">
        <f t="shared" si="1574"/>
        <v>99999</v>
      </c>
      <c r="B49297" s="1" t="str">
        <f>"04443"</f>
        <v>04443</v>
      </c>
      <c r="C49297" s="2">
        <v>1.3283611271517601E-4</v>
      </c>
      <c r="D49297" s="2">
        <v>3.9148431277187403E-5</v>
      </c>
      <c r="E49297" s="2">
        <v>4.7311624466131299E-5</v>
      </c>
      <c r="F49297" s="2">
        <v>1.2473373196812999E-4</v>
      </c>
    </row>
    <row r="49298" spans="1:6" x14ac:dyDescent="0.25">
      <c r="A49298" s="1" t="str">
        <f t="shared" si="1574"/>
        <v>99999</v>
      </c>
      <c r="B49298" s="1" t="str">
        <f>"04496"</f>
        <v>04496</v>
      </c>
      <c r="C49298" s="2">
        <v>1.6726307591275201E-4</v>
      </c>
      <c r="D49298" s="2">
        <v>4.0654140172463799E-5</v>
      </c>
      <c r="E49298" s="2">
        <v>1.72042270785932E-4</v>
      </c>
      <c r="F49298" s="2">
        <v>1.59074980959356E-4</v>
      </c>
    </row>
    <row r="49299" spans="1:6" x14ac:dyDescent="0.25">
      <c r="A49299" s="1" t="str">
        <f t="shared" si="1574"/>
        <v>99999</v>
      </c>
      <c r="B49299" s="1" t="str">
        <f>"04239"</f>
        <v>04239</v>
      </c>
      <c r="C49299" s="2">
        <v>2.4770091759765601E-4</v>
      </c>
      <c r="D49299" s="2">
        <v>1.55088016213473E-4</v>
      </c>
      <c r="E49299" s="2">
        <v>5.2042786912744401E-4</v>
      </c>
      <c r="F49299" s="2">
        <v>2.4788855593666398E-4</v>
      </c>
    </row>
    <row r="49300" spans="1:6" x14ac:dyDescent="0.25">
      <c r="A49300" s="1" t="str">
        <f t="shared" si="1574"/>
        <v>99999</v>
      </c>
      <c r="B49300" s="1" t="str">
        <f>"04271"</f>
        <v>04271</v>
      </c>
      <c r="C49300" s="2">
        <v>6.49565343350497E-6</v>
      </c>
      <c r="D49300" s="2">
        <v>0</v>
      </c>
      <c r="E49300" s="2">
        <v>4.3010567696482999E-6</v>
      </c>
      <c r="F49300" s="2">
        <v>6.0195867484619901E-6</v>
      </c>
    </row>
    <row r="49301" spans="1:6" x14ac:dyDescent="0.25">
      <c r="A49301" s="1" t="str">
        <f t="shared" si="1574"/>
        <v>99999</v>
      </c>
      <c r="B49301" s="1" t="str">
        <f>"04281"</f>
        <v>04281</v>
      </c>
      <c r="C49301" s="2">
        <v>3.0756919007645999E-4</v>
      </c>
      <c r="D49301" s="2">
        <v>3.8696718608604501E-4</v>
      </c>
      <c r="E49301" s="2">
        <v>8.3870607008141901E-4</v>
      </c>
      <c r="F49301" s="2">
        <v>3.2495900266697199E-4</v>
      </c>
    </row>
    <row r="49302" spans="1:6" x14ac:dyDescent="0.25">
      <c r="A49302" s="1" t="str">
        <f t="shared" si="1574"/>
        <v>99999</v>
      </c>
      <c r="B49302" s="1" t="str">
        <f>"04219"</f>
        <v>04219</v>
      </c>
      <c r="C49302" s="2">
        <v>8.2278276824396197E-5</v>
      </c>
      <c r="D49302" s="2">
        <v>1.50570889527644E-5</v>
      </c>
      <c r="E49302" s="2">
        <v>1.72042270785932E-5</v>
      </c>
      <c r="F49302" s="2">
        <v>7.63796744804849E-5</v>
      </c>
    </row>
    <row r="49303" spans="1:6" x14ac:dyDescent="0.25">
      <c r="A49303" s="1" t="str">
        <f t="shared" si="1574"/>
        <v>99999</v>
      </c>
      <c r="B49303" s="1" t="str">
        <f>"04860"</f>
        <v>04860</v>
      </c>
      <c r="C49303" s="2">
        <v>8.0437841684903201E-5</v>
      </c>
      <c r="D49303" s="2">
        <v>2.55970512196994E-5</v>
      </c>
      <c r="E49303" s="2">
        <v>2.58063406178898E-5</v>
      </c>
      <c r="F49303" s="2">
        <v>7.5590220480686605E-5</v>
      </c>
    </row>
    <row r="49304" spans="1:6" x14ac:dyDescent="0.25">
      <c r="A49304" s="1" t="str">
        <f t="shared" si="1574"/>
        <v>99999</v>
      </c>
      <c r="B49304" s="1" t="str">
        <f>"04742"</f>
        <v>04742</v>
      </c>
      <c r="C49304" s="2">
        <v>1.8112046990423E-4</v>
      </c>
      <c r="D49304" s="2">
        <v>1.5358230731819599E-4</v>
      </c>
      <c r="E49304" s="2">
        <v>3.6128876865045701E-4</v>
      </c>
      <c r="F49304" s="2">
        <v>1.8344937320312801E-4</v>
      </c>
    </row>
    <row r="49305" spans="1:6" x14ac:dyDescent="0.25">
      <c r="A49305" s="1" t="str">
        <f t="shared" si="1574"/>
        <v>99999</v>
      </c>
      <c r="B49305" s="1" t="str">
        <f>"37397"</f>
        <v>37397</v>
      </c>
      <c r="C49305" s="2">
        <v>1.08260890558416E-7</v>
      </c>
      <c r="D49305" s="2">
        <v>0</v>
      </c>
      <c r="E49305" s="2">
        <v>0</v>
      </c>
      <c r="F49305" s="2">
        <v>9.8681749974786797E-8</v>
      </c>
    </row>
    <row r="49306" spans="1:6" x14ac:dyDescent="0.25">
      <c r="A49306" s="1" t="str">
        <f t="shared" si="1574"/>
        <v>99999</v>
      </c>
      <c r="B49306" s="1" t="str">
        <f>"66961"</f>
        <v>66961</v>
      </c>
      <c r="C49306" s="2">
        <v>1.1908697961425701E-6</v>
      </c>
      <c r="D49306" s="2">
        <v>3.01141779055288E-6</v>
      </c>
      <c r="E49306" s="2">
        <v>0</v>
      </c>
      <c r="F49306" s="2">
        <v>1.2828627496722201E-6</v>
      </c>
    </row>
    <row r="49307" spans="1:6" x14ac:dyDescent="0.25">
      <c r="A49307" s="1" t="str">
        <f t="shared" si="1574"/>
        <v>99999</v>
      </c>
      <c r="B49307" s="1" t="str">
        <f>"75636"</f>
        <v>75636</v>
      </c>
      <c r="C49307" s="2">
        <v>0</v>
      </c>
      <c r="D49307" s="2">
        <v>0</v>
      </c>
      <c r="E49307" s="2">
        <v>4.3010567696482999E-6</v>
      </c>
      <c r="F49307" s="2">
        <v>9.8681749974786797E-8</v>
      </c>
    </row>
    <row r="49308" spans="1:6" x14ac:dyDescent="0.25">
      <c r="A49308" s="1" t="str">
        <f t="shared" si="1574"/>
        <v>99999</v>
      </c>
      <c r="B49308" s="1" t="str">
        <f>"16633"</f>
        <v>16633</v>
      </c>
      <c r="C49308" s="2">
        <v>0</v>
      </c>
      <c r="D49308" s="2">
        <v>1.50570889527644E-6</v>
      </c>
      <c r="E49308" s="2">
        <v>0</v>
      </c>
      <c r="F49308" s="2">
        <v>9.8681749974786797E-8</v>
      </c>
    </row>
    <row r="49309" spans="1:6" x14ac:dyDescent="0.25">
      <c r="A49309" s="1" t="str">
        <f t="shared" si="1574"/>
        <v>99999</v>
      </c>
      <c r="B49309" s="1" t="str">
        <f>"56658"</f>
        <v>56658</v>
      </c>
      <c r="C49309" s="2">
        <v>9.7434801502574508E-7</v>
      </c>
      <c r="D49309" s="2">
        <v>0</v>
      </c>
      <c r="E49309" s="2">
        <v>4.3010567696482999E-6</v>
      </c>
      <c r="F49309" s="2">
        <v>9.8681749974786791E-7</v>
      </c>
    </row>
    <row r="49310" spans="1:6" x14ac:dyDescent="0.25">
      <c r="A49310" s="1" t="str">
        <f t="shared" si="1574"/>
        <v>99999</v>
      </c>
      <c r="B49310" s="1" t="str">
        <f>"56646"</f>
        <v>56646</v>
      </c>
      <c r="C49310" s="2">
        <v>3.2478267167524802E-7</v>
      </c>
      <c r="D49310" s="2">
        <v>0</v>
      </c>
      <c r="E49310" s="2">
        <v>0</v>
      </c>
      <c r="F49310" s="2">
        <v>2.9604524992435999E-7</v>
      </c>
    </row>
    <row r="49311" spans="1:6" x14ac:dyDescent="0.25">
      <c r="A49311" s="1" t="str">
        <f t="shared" si="1574"/>
        <v>99999</v>
      </c>
      <c r="B49311" s="1" t="str">
        <f>"71480"</f>
        <v>71480</v>
      </c>
      <c r="C49311" s="2">
        <v>0</v>
      </c>
      <c r="D49311" s="2">
        <v>0</v>
      </c>
      <c r="E49311" s="2">
        <v>4.3010567696482999E-6</v>
      </c>
      <c r="F49311" s="2">
        <v>9.8681749974786797E-8</v>
      </c>
    </row>
    <row r="49312" spans="1:6" x14ac:dyDescent="0.25">
      <c r="A49312" s="1" t="str">
        <f t="shared" si="1574"/>
        <v>99999</v>
      </c>
      <c r="B49312" s="1" t="str">
        <f>"41143"</f>
        <v>41143</v>
      </c>
      <c r="C49312" s="2">
        <v>1.08260890558416E-7</v>
      </c>
      <c r="D49312" s="2">
        <v>0</v>
      </c>
      <c r="E49312" s="2">
        <v>0</v>
      </c>
      <c r="F49312" s="2">
        <v>9.8681749974786797E-8</v>
      </c>
    </row>
    <row r="49313" spans="1:6" x14ac:dyDescent="0.25">
      <c r="A49313" s="1" t="str">
        <f t="shared" si="1574"/>
        <v>99999</v>
      </c>
      <c r="B49313" s="1" t="str">
        <f>"50057"</f>
        <v>50057</v>
      </c>
      <c r="C49313" s="2">
        <v>3.2478267167524802E-7</v>
      </c>
      <c r="D49313" s="2">
        <v>0</v>
      </c>
      <c r="E49313" s="2">
        <v>0</v>
      </c>
      <c r="F49313" s="2">
        <v>2.9604524992435999E-7</v>
      </c>
    </row>
    <row r="49314" spans="1:6" x14ac:dyDescent="0.25">
      <c r="A49314" s="1" t="str">
        <f t="shared" si="1574"/>
        <v>99999</v>
      </c>
      <c r="B49314" s="1" t="str">
        <f>"72043"</f>
        <v>72043</v>
      </c>
      <c r="C49314" s="2">
        <v>0</v>
      </c>
      <c r="D49314" s="2">
        <v>0</v>
      </c>
      <c r="E49314" s="2">
        <v>4.3010567696482999E-6</v>
      </c>
      <c r="F49314" s="2">
        <v>9.8681749974786797E-8</v>
      </c>
    </row>
    <row r="49315" spans="1:6" x14ac:dyDescent="0.25">
      <c r="A49315" s="1" t="str">
        <f t="shared" si="1574"/>
        <v>99999</v>
      </c>
      <c r="B49315" s="1" t="str">
        <f>"43720"</f>
        <v>43720</v>
      </c>
      <c r="C49315" s="2">
        <v>1.29913068670099E-6</v>
      </c>
      <c r="D49315" s="2">
        <v>0</v>
      </c>
      <c r="E49315" s="2">
        <v>0</v>
      </c>
      <c r="F49315" s="2">
        <v>1.18418099969744E-6</v>
      </c>
    </row>
    <row r="49316" spans="1:6" x14ac:dyDescent="0.25">
      <c r="A49316" s="1" t="str">
        <f t="shared" si="1574"/>
        <v>99999</v>
      </c>
      <c r="B49316" s="1" t="str">
        <f>"78026"</f>
        <v>78026</v>
      </c>
      <c r="C49316" s="2">
        <v>3.2478267167524802E-7</v>
      </c>
      <c r="D49316" s="2">
        <v>0</v>
      </c>
      <c r="E49316" s="2">
        <v>0</v>
      </c>
      <c r="F49316" s="2">
        <v>2.9604524992435999E-7</v>
      </c>
    </row>
    <row r="49317" spans="1:6" x14ac:dyDescent="0.25">
      <c r="A49317" s="1" t="str">
        <f t="shared" si="1574"/>
        <v>99999</v>
      </c>
      <c r="B49317" s="1" t="str">
        <f>"99721"</f>
        <v>99721</v>
      </c>
      <c r="C49317" s="2">
        <v>0</v>
      </c>
      <c r="D49317" s="2">
        <v>0</v>
      </c>
      <c r="E49317" s="2">
        <v>4.3010567696482999E-6</v>
      </c>
      <c r="F49317" s="2">
        <v>9.8681749974786797E-8</v>
      </c>
    </row>
    <row r="49318" spans="1:6" x14ac:dyDescent="0.25">
      <c r="A49318" s="1" t="str">
        <f t="shared" si="1574"/>
        <v>99999</v>
      </c>
      <c r="B49318" s="1" t="str">
        <f>"04927"</f>
        <v>04927</v>
      </c>
      <c r="C49318" s="2">
        <v>1.1908697961425701E-6</v>
      </c>
      <c r="D49318" s="2">
        <v>0</v>
      </c>
      <c r="E49318" s="2">
        <v>0</v>
      </c>
      <c r="F49318" s="2">
        <v>1.0854992497226499E-6</v>
      </c>
    </row>
    <row r="49319" spans="1:6" x14ac:dyDescent="0.25">
      <c r="A49319" s="1" t="str">
        <f t="shared" si="1574"/>
        <v>99999</v>
      </c>
      <c r="B49319" s="1" t="str">
        <f>"37732"</f>
        <v>37732</v>
      </c>
      <c r="C49319" s="2">
        <v>0</v>
      </c>
      <c r="D49319" s="2">
        <v>1.50570889527644E-6</v>
      </c>
      <c r="E49319" s="2">
        <v>0</v>
      </c>
      <c r="F49319" s="2">
        <v>9.8681749974786797E-8</v>
      </c>
    </row>
    <row r="49320" spans="1:6" x14ac:dyDescent="0.25">
      <c r="A49320" s="1" t="str">
        <f t="shared" si="1574"/>
        <v>99999</v>
      </c>
      <c r="B49320" s="1" t="str">
        <f>"79258"</f>
        <v>79258</v>
      </c>
      <c r="C49320" s="2">
        <v>1.08260890558416E-7</v>
      </c>
      <c r="D49320" s="2">
        <v>0</v>
      </c>
      <c r="E49320" s="2">
        <v>0</v>
      </c>
      <c r="F49320" s="2">
        <v>9.8681749974786797E-8</v>
      </c>
    </row>
    <row r="49321" spans="1:6" x14ac:dyDescent="0.25">
      <c r="A49321" s="1" t="str">
        <f t="shared" si="1574"/>
        <v>99999</v>
      </c>
      <c r="B49321" s="1" t="str">
        <f>"89404"</f>
        <v>89404</v>
      </c>
      <c r="C49321" s="2">
        <v>0</v>
      </c>
      <c r="D49321" s="2">
        <v>1.50570889527644E-6</v>
      </c>
      <c r="E49321" s="2">
        <v>8.6021135392965999E-6</v>
      </c>
      <c r="F49321" s="2">
        <v>2.9604524992435999E-7</v>
      </c>
    </row>
    <row r="49322" spans="1:6" x14ac:dyDescent="0.25">
      <c r="A49322" s="1" t="str">
        <f t="shared" si="1574"/>
        <v>99999</v>
      </c>
      <c r="B49322" s="1" t="str">
        <f>"52257"</f>
        <v>52257</v>
      </c>
      <c r="C49322" s="2">
        <v>2.1652178111683201E-7</v>
      </c>
      <c r="D49322" s="2">
        <v>0</v>
      </c>
      <c r="E49322" s="2">
        <v>4.3010567696482999E-6</v>
      </c>
      <c r="F49322" s="2">
        <v>2.9604524992435999E-7</v>
      </c>
    </row>
    <row r="49323" spans="1:6" x14ac:dyDescent="0.25">
      <c r="A49323" s="1" t="str">
        <f t="shared" si="1574"/>
        <v>99999</v>
      </c>
      <c r="B49323" s="1" t="str">
        <f>"56307"</f>
        <v>56307</v>
      </c>
      <c r="C49323" s="2">
        <v>7.5782623390891299E-7</v>
      </c>
      <c r="D49323" s="2">
        <v>0</v>
      </c>
      <c r="E49323" s="2">
        <v>0</v>
      </c>
      <c r="F49323" s="2">
        <v>6.9077224982350697E-7</v>
      </c>
    </row>
    <row r="49324" spans="1:6" x14ac:dyDescent="0.25">
      <c r="A49324" s="1" t="str">
        <f t="shared" si="1574"/>
        <v>99999</v>
      </c>
      <c r="B49324" s="1" t="str">
        <f>"63826"</f>
        <v>63826</v>
      </c>
      <c r="C49324" s="2">
        <v>1.08260890558416E-7</v>
      </c>
      <c r="D49324" s="2">
        <v>0</v>
      </c>
      <c r="E49324" s="2">
        <v>4.3010567696482999E-6</v>
      </c>
      <c r="F49324" s="2">
        <v>1.9736349994957301E-7</v>
      </c>
    </row>
    <row r="49325" spans="1:6" x14ac:dyDescent="0.25">
      <c r="A49325" s="1" t="str">
        <f t="shared" si="1574"/>
        <v>99999</v>
      </c>
      <c r="B49325" s="1" t="str">
        <f>"63837"</f>
        <v>63837</v>
      </c>
      <c r="C49325" s="2">
        <v>1.08260890558416E-7</v>
      </c>
      <c r="D49325" s="2">
        <v>0</v>
      </c>
      <c r="E49325" s="2">
        <v>0</v>
      </c>
      <c r="F49325" s="2">
        <v>9.8681749974786797E-8</v>
      </c>
    </row>
    <row r="49326" spans="1:6" x14ac:dyDescent="0.25">
      <c r="A49326" s="1" t="str">
        <f t="shared" si="1574"/>
        <v>99999</v>
      </c>
      <c r="B49326" s="1" t="str">
        <f>"66778"</f>
        <v>66778</v>
      </c>
      <c r="C49326" s="2">
        <v>0</v>
      </c>
      <c r="D49326" s="2">
        <v>1.50570889527644E-6</v>
      </c>
      <c r="E49326" s="2">
        <v>0</v>
      </c>
      <c r="F49326" s="2">
        <v>9.8681749974786797E-8</v>
      </c>
    </row>
    <row r="49327" spans="1:6" x14ac:dyDescent="0.25">
      <c r="A49327" s="1" t="str">
        <f t="shared" si="1574"/>
        <v>99999</v>
      </c>
      <c r="B49327" s="1" t="str">
        <f>"42345"</f>
        <v>42345</v>
      </c>
      <c r="C49327" s="2">
        <v>4.3304356223366401E-7</v>
      </c>
      <c r="D49327" s="2">
        <v>0</v>
      </c>
      <c r="E49327" s="2">
        <v>0</v>
      </c>
      <c r="F49327" s="2">
        <v>3.9472699989914697E-7</v>
      </c>
    </row>
    <row r="49328" spans="1:6" x14ac:dyDescent="0.25">
      <c r="A49328" s="1" t="str">
        <f t="shared" si="1574"/>
        <v>99999</v>
      </c>
      <c r="B49328" s="1" t="str">
        <f>"77475"</f>
        <v>77475</v>
      </c>
      <c r="C49328" s="2">
        <v>0</v>
      </c>
      <c r="D49328" s="2">
        <v>1.50570889527644E-6</v>
      </c>
      <c r="E49328" s="2">
        <v>0</v>
      </c>
      <c r="F49328" s="2">
        <v>9.8681749974786797E-8</v>
      </c>
    </row>
    <row r="49329" spans="1:6" x14ac:dyDescent="0.25">
      <c r="A49329" s="1" t="str">
        <f t="shared" si="1574"/>
        <v>99999</v>
      </c>
      <c r="B49329" s="1" t="str">
        <f>"52149"</f>
        <v>52149</v>
      </c>
      <c r="C49329" s="2">
        <v>0</v>
      </c>
      <c r="D49329" s="2">
        <v>1.50570889527644E-6</v>
      </c>
      <c r="E49329" s="2">
        <v>0</v>
      </c>
      <c r="F49329" s="2">
        <v>9.8681749974786797E-8</v>
      </c>
    </row>
    <row r="49330" spans="1:6" x14ac:dyDescent="0.25">
      <c r="A49330" s="1" t="str">
        <f t="shared" si="1574"/>
        <v>99999</v>
      </c>
      <c r="B49330" s="1" t="str">
        <f>"86556"</f>
        <v>86556</v>
      </c>
      <c r="C49330" s="2">
        <v>0</v>
      </c>
      <c r="D49330" s="2">
        <v>0</v>
      </c>
      <c r="E49330" s="2">
        <v>4.3010567696482999E-6</v>
      </c>
      <c r="F49330" s="2">
        <v>9.8681749974786797E-8</v>
      </c>
    </row>
    <row r="49331" spans="1:6" x14ac:dyDescent="0.25">
      <c r="A49331" s="1" t="str">
        <f t="shared" si="1574"/>
        <v>99999</v>
      </c>
      <c r="B49331" s="1" t="str">
        <f>"98637"</f>
        <v>98637</v>
      </c>
      <c r="C49331" s="2">
        <v>0</v>
      </c>
      <c r="D49331" s="2">
        <v>1.50570889527644E-6</v>
      </c>
      <c r="E49331" s="2">
        <v>0</v>
      </c>
      <c r="F49331" s="2">
        <v>9.8681749974786797E-8</v>
      </c>
    </row>
    <row r="49332" spans="1:6" x14ac:dyDescent="0.25">
      <c r="A49332" s="1" t="str">
        <f t="shared" si="1574"/>
        <v>99999</v>
      </c>
      <c r="B49332" s="1" t="str">
        <f>"52647"</f>
        <v>52647</v>
      </c>
      <c r="C49332" s="2">
        <v>0</v>
      </c>
      <c r="D49332" s="2">
        <v>0</v>
      </c>
      <c r="E49332" s="2">
        <v>4.3010567696482999E-6</v>
      </c>
      <c r="F49332" s="2">
        <v>9.8681749974786797E-8</v>
      </c>
    </row>
    <row r="49333" spans="1:6" x14ac:dyDescent="0.25">
      <c r="A49333" s="1" t="str">
        <f t="shared" si="1574"/>
        <v>99999</v>
      </c>
      <c r="B49333" s="1" t="str">
        <f>"36275"</f>
        <v>36275</v>
      </c>
      <c r="C49333" s="2">
        <v>0</v>
      </c>
      <c r="D49333" s="2">
        <v>1.50570889527644E-6</v>
      </c>
      <c r="E49333" s="2">
        <v>0</v>
      </c>
      <c r="F49333" s="2">
        <v>9.8681749974786797E-8</v>
      </c>
    </row>
    <row r="49334" spans="1:6" x14ac:dyDescent="0.25">
      <c r="A49334" s="1" t="str">
        <f t="shared" si="1574"/>
        <v>99999</v>
      </c>
      <c r="B49334" s="1" t="str">
        <f>"40855"</f>
        <v>40855</v>
      </c>
      <c r="C49334" s="2">
        <v>2.1652178111683201E-7</v>
      </c>
      <c r="D49334" s="2">
        <v>0</v>
      </c>
      <c r="E49334" s="2">
        <v>4.3010567696482999E-6</v>
      </c>
      <c r="F49334" s="2">
        <v>2.9604524992435999E-7</v>
      </c>
    </row>
    <row r="49335" spans="1:6" x14ac:dyDescent="0.25">
      <c r="A49335" s="1" t="str">
        <f t="shared" si="1574"/>
        <v>99999</v>
      </c>
      <c r="B49335" s="1" t="str">
        <f>"36761"</f>
        <v>36761</v>
      </c>
      <c r="C49335" s="2">
        <v>2.0569569206099001E-6</v>
      </c>
      <c r="D49335" s="2">
        <v>0</v>
      </c>
      <c r="E49335" s="2">
        <v>0</v>
      </c>
      <c r="F49335" s="2">
        <v>1.8749532495209401E-6</v>
      </c>
    </row>
    <row r="49336" spans="1:6" x14ac:dyDescent="0.25">
      <c r="A49336" s="1" t="str">
        <f t="shared" si="1574"/>
        <v>99999</v>
      </c>
      <c r="B49336" s="1" t="str">
        <f>"49611"</f>
        <v>49611</v>
      </c>
      <c r="C49336" s="2">
        <v>1.08260890558416E-7</v>
      </c>
      <c r="D49336" s="2">
        <v>1.50570889527644E-6</v>
      </c>
      <c r="E49336" s="2">
        <v>0</v>
      </c>
      <c r="F49336" s="2">
        <v>1.9736349994957301E-7</v>
      </c>
    </row>
    <row r="49337" spans="1:6" x14ac:dyDescent="0.25">
      <c r="A49337" s="1" t="str">
        <f t="shared" si="1574"/>
        <v>99999</v>
      </c>
      <c r="B49337" s="1" t="str">
        <f>"55798"</f>
        <v>55798</v>
      </c>
      <c r="C49337" s="2">
        <v>1.08260890558416E-7</v>
      </c>
      <c r="D49337" s="2">
        <v>0</v>
      </c>
      <c r="E49337" s="2">
        <v>0</v>
      </c>
      <c r="F49337" s="2">
        <v>9.8681749974786797E-8</v>
      </c>
    </row>
    <row r="49338" spans="1:6" x14ac:dyDescent="0.25">
      <c r="A49338" s="1" t="str">
        <f t="shared" si="1574"/>
        <v>99999</v>
      </c>
      <c r="B49338" s="1" t="str">
        <f>"96010"</f>
        <v>96010</v>
      </c>
      <c r="C49338" s="2">
        <v>9.7434801502574508E-7</v>
      </c>
      <c r="D49338" s="2">
        <v>3.01141779055288E-6</v>
      </c>
      <c r="E49338" s="2">
        <v>4.3010567696482999E-6</v>
      </c>
      <c r="F49338" s="2">
        <v>1.18418099969744E-6</v>
      </c>
    </row>
    <row r="49339" spans="1:6" x14ac:dyDescent="0.25">
      <c r="A49339" s="1" t="str">
        <f t="shared" si="1574"/>
        <v>99999</v>
      </c>
      <c r="B49339" s="1" t="str">
        <f>"24628"</f>
        <v>24628</v>
      </c>
      <c r="C49339" s="2">
        <v>0</v>
      </c>
      <c r="D49339" s="2">
        <v>1.50570889527644E-6</v>
      </c>
      <c r="E49339" s="2">
        <v>0</v>
      </c>
      <c r="F49339" s="2">
        <v>9.8681749974786797E-8</v>
      </c>
    </row>
    <row r="49340" spans="1:6" x14ac:dyDescent="0.25">
      <c r="A49340" s="1" t="str">
        <f t="shared" si="1574"/>
        <v>99999</v>
      </c>
      <c r="B49340" s="1" t="str">
        <f>"76523"</f>
        <v>76523</v>
      </c>
      <c r="C49340" s="2">
        <v>0</v>
      </c>
      <c r="D49340" s="2">
        <v>3.01141779055288E-6</v>
      </c>
      <c r="E49340" s="2">
        <v>0</v>
      </c>
      <c r="F49340" s="2">
        <v>1.9736349994957301E-7</v>
      </c>
    </row>
    <row r="49341" spans="1:6" x14ac:dyDescent="0.25">
      <c r="A49341" s="1" t="str">
        <f t="shared" si="1574"/>
        <v>99999</v>
      </c>
      <c r="B49341" s="1" t="str">
        <f>"46733"</f>
        <v>46733</v>
      </c>
      <c r="C49341" s="2">
        <v>3.2478267167524802E-7</v>
      </c>
      <c r="D49341" s="2">
        <v>0</v>
      </c>
      <c r="E49341" s="2">
        <v>0</v>
      </c>
      <c r="F49341" s="2">
        <v>2.9604524992435999E-7</v>
      </c>
    </row>
    <row r="49342" spans="1:6" x14ac:dyDescent="0.25">
      <c r="A49342" s="1" t="str">
        <f t="shared" si="1574"/>
        <v>99999</v>
      </c>
      <c r="B49342" s="1" t="str">
        <f>"54986"</f>
        <v>54986</v>
      </c>
      <c r="C49342" s="2">
        <v>1.84043513949307E-6</v>
      </c>
      <c r="D49342" s="2">
        <v>0</v>
      </c>
      <c r="E49342" s="2">
        <v>0</v>
      </c>
      <c r="F49342" s="2">
        <v>1.6775897495713699E-6</v>
      </c>
    </row>
    <row r="49343" spans="1:6" x14ac:dyDescent="0.25">
      <c r="A49343" s="1" t="str">
        <f t="shared" si="1574"/>
        <v>99999</v>
      </c>
      <c r="B49343" s="1" t="str">
        <f>"23316"</f>
        <v>23316</v>
      </c>
      <c r="C49343" s="2">
        <v>0</v>
      </c>
      <c r="D49343" s="2">
        <v>1.50570889527644E-6</v>
      </c>
      <c r="E49343" s="2">
        <v>0</v>
      </c>
      <c r="F49343" s="2">
        <v>9.8681749974786797E-8</v>
      </c>
    </row>
    <row r="49344" spans="1:6" x14ac:dyDescent="0.25">
      <c r="A49344" s="1" t="str">
        <f t="shared" si="1574"/>
        <v>99999</v>
      </c>
      <c r="B49344" s="1" t="str">
        <f>"54743"</f>
        <v>54743</v>
      </c>
      <c r="C49344" s="2">
        <v>0</v>
      </c>
      <c r="D49344" s="2">
        <v>1.50570889527644E-6</v>
      </c>
      <c r="E49344" s="2">
        <v>0</v>
      </c>
      <c r="F49344" s="2">
        <v>9.8681749974786797E-8</v>
      </c>
    </row>
    <row r="49345" spans="1:6" x14ac:dyDescent="0.25">
      <c r="A49345" s="1" t="str">
        <f t="shared" si="1574"/>
        <v>99999</v>
      </c>
      <c r="B49345" s="1" t="str">
        <f>"62852"</f>
        <v>62852</v>
      </c>
      <c r="C49345" s="2">
        <v>0</v>
      </c>
      <c r="D49345" s="2">
        <v>0</v>
      </c>
      <c r="E49345" s="2">
        <v>4.3010567696482999E-6</v>
      </c>
      <c r="F49345" s="2">
        <v>9.8681749974786797E-8</v>
      </c>
    </row>
    <row r="49346" spans="1:6" x14ac:dyDescent="0.25">
      <c r="A49346" s="1" t="str">
        <f t="shared" si="1574"/>
        <v>99999</v>
      </c>
      <c r="B49346" s="1" t="str">
        <f>"74947"</f>
        <v>74947</v>
      </c>
      <c r="C49346" s="2">
        <v>0</v>
      </c>
      <c r="D49346" s="2">
        <v>0</v>
      </c>
      <c r="E49346" s="2">
        <v>4.3010567696482999E-6</v>
      </c>
      <c r="F49346" s="2">
        <v>9.8681749974786797E-8</v>
      </c>
    </row>
    <row r="49347" spans="1:6" x14ac:dyDescent="0.25">
      <c r="A49347" s="1" t="str">
        <f t="shared" si="1574"/>
        <v>99999</v>
      </c>
      <c r="B49347" s="1" t="str">
        <f>"78008"</f>
        <v>78008</v>
      </c>
      <c r="C49347" s="2">
        <v>6.49565343350497E-7</v>
      </c>
      <c r="D49347" s="2">
        <v>0</v>
      </c>
      <c r="E49347" s="2">
        <v>0</v>
      </c>
      <c r="F49347" s="2">
        <v>5.9209049984871999E-7</v>
      </c>
    </row>
    <row r="49348" spans="1:6" x14ac:dyDescent="0.25">
      <c r="A49348" s="1" t="str">
        <f t="shared" si="1574"/>
        <v>99999</v>
      </c>
      <c r="B49348" s="1" t="str">
        <f>"81043"</f>
        <v>81043</v>
      </c>
      <c r="C49348" s="2">
        <v>0</v>
      </c>
      <c r="D49348" s="2">
        <v>0</v>
      </c>
      <c r="E49348" s="2">
        <v>4.3010567696482999E-6</v>
      </c>
      <c r="F49348" s="2">
        <v>9.8681749974786797E-8</v>
      </c>
    </row>
    <row r="49349" spans="1:6" x14ac:dyDescent="0.25">
      <c r="A49349" s="1" t="str">
        <f t="shared" si="1574"/>
        <v>99999</v>
      </c>
      <c r="B49349" s="1" t="str">
        <f>"22428"</f>
        <v>22428</v>
      </c>
      <c r="C49349" s="2">
        <v>0</v>
      </c>
      <c r="D49349" s="2">
        <v>1.50570889527644E-6</v>
      </c>
      <c r="E49349" s="2">
        <v>0</v>
      </c>
      <c r="F49349" s="2">
        <v>9.8681749974786797E-8</v>
      </c>
    </row>
    <row r="49350" spans="1:6" x14ac:dyDescent="0.25">
      <c r="A49350" s="1" t="str">
        <f t="shared" ref="A49350:A49413" si="1575">"99999"</f>
        <v>99999</v>
      </c>
      <c r="B49350" s="1" t="str">
        <f>"75562"</f>
        <v>75562</v>
      </c>
      <c r="C49350" s="2">
        <v>0</v>
      </c>
      <c r="D49350" s="2">
        <v>0</v>
      </c>
      <c r="E49350" s="2">
        <v>4.3010567696482999E-6</v>
      </c>
      <c r="F49350" s="2">
        <v>9.8681749974786797E-8</v>
      </c>
    </row>
    <row r="49351" spans="1:6" x14ac:dyDescent="0.25">
      <c r="A49351" s="1" t="str">
        <f t="shared" si="1575"/>
        <v>99999</v>
      </c>
      <c r="B49351" s="1" t="str">
        <f>"16223"</f>
        <v>16223</v>
      </c>
      <c r="C49351" s="2">
        <v>0</v>
      </c>
      <c r="D49351" s="2">
        <v>0</v>
      </c>
      <c r="E49351" s="2">
        <v>8.6021135392965999E-6</v>
      </c>
      <c r="F49351" s="2">
        <v>1.9736349994957301E-7</v>
      </c>
    </row>
    <row r="49352" spans="1:6" x14ac:dyDescent="0.25">
      <c r="A49352" s="1" t="str">
        <f t="shared" si="1575"/>
        <v>99999</v>
      </c>
      <c r="B49352" s="1" t="str">
        <f>"41549"</f>
        <v>41549</v>
      </c>
      <c r="C49352" s="2">
        <v>0</v>
      </c>
      <c r="D49352" s="2">
        <v>0</v>
      </c>
      <c r="E49352" s="2">
        <v>4.3010567696482999E-6</v>
      </c>
      <c r="F49352" s="2">
        <v>9.8681749974786797E-8</v>
      </c>
    </row>
    <row r="49353" spans="1:6" x14ac:dyDescent="0.25">
      <c r="A49353" s="1" t="str">
        <f t="shared" si="1575"/>
        <v>99999</v>
      </c>
      <c r="B49353" s="1" t="str">
        <f>"99548"</f>
        <v>99548</v>
      </c>
      <c r="C49353" s="2">
        <v>0</v>
      </c>
      <c r="D49353" s="2">
        <v>0</v>
      </c>
      <c r="E49353" s="2">
        <v>4.3010567696482999E-6</v>
      </c>
      <c r="F49353" s="2">
        <v>9.8681749974786797E-8</v>
      </c>
    </row>
    <row r="49354" spans="1:6" x14ac:dyDescent="0.25">
      <c r="A49354" s="1" t="str">
        <f t="shared" si="1575"/>
        <v>99999</v>
      </c>
      <c r="B49354" s="1" t="str">
        <f>"99660"</f>
        <v>99660</v>
      </c>
      <c r="C49354" s="2">
        <v>1.08260890558416E-7</v>
      </c>
      <c r="D49354" s="2">
        <v>0</v>
      </c>
      <c r="E49354" s="2">
        <v>4.3010567696482999E-6</v>
      </c>
      <c r="F49354" s="2">
        <v>1.9736349994957301E-7</v>
      </c>
    </row>
    <row r="49355" spans="1:6" x14ac:dyDescent="0.25">
      <c r="A49355" s="1" t="str">
        <f t="shared" si="1575"/>
        <v>99999</v>
      </c>
      <c r="B49355" s="1" t="str">
        <f>"49627"</f>
        <v>49627</v>
      </c>
      <c r="C49355" s="2">
        <v>1.08260890558416E-7</v>
      </c>
      <c r="D49355" s="2">
        <v>1.50570889527644E-6</v>
      </c>
      <c r="E49355" s="2">
        <v>0</v>
      </c>
      <c r="F49355" s="2">
        <v>1.9736349994957301E-7</v>
      </c>
    </row>
    <row r="49356" spans="1:6" x14ac:dyDescent="0.25">
      <c r="A49356" s="1" t="str">
        <f t="shared" si="1575"/>
        <v>99999</v>
      </c>
      <c r="B49356" s="1" t="str">
        <f>"50154"</f>
        <v>50154</v>
      </c>
      <c r="C49356" s="2">
        <v>7.5782623390891299E-7</v>
      </c>
      <c r="D49356" s="2">
        <v>1.50570889527644E-6</v>
      </c>
      <c r="E49356" s="2">
        <v>0</v>
      </c>
      <c r="F49356" s="2">
        <v>7.8945399979829395E-7</v>
      </c>
    </row>
    <row r="49357" spans="1:6" x14ac:dyDescent="0.25">
      <c r="A49357" s="1" t="str">
        <f t="shared" si="1575"/>
        <v>99999</v>
      </c>
      <c r="B49357" s="1" t="str">
        <f>"99630"</f>
        <v>99630</v>
      </c>
      <c r="C49357" s="2">
        <v>0</v>
      </c>
      <c r="D49357" s="2">
        <v>0</v>
      </c>
      <c r="E49357" s="2">
        <v>4.3010567696482999E-6</v>
      </c>
      <c r="F49357" s="2">
        <v>9.8681749974786797E-8</v>
      </c>
    </row>
    <row r="49358" spans="1:6" x14ac:dyDescent="0.25">
      <c r="A49358" s="1" t="str">
        <f t="shared" si="1575"/>
        <v>99999</v>
      </c>
      <c r="B49358" s="1" t="str">
        <f>"42460"</f>
        <v>42460</v>
      </c>
      <c r="C49358" s="2">
        <v>0</v>
      </c>
      <c r="D49358" s="2">
        <v>0</v>
      </c>
      <c r="E49358" s="2">
        <v>4.3010567696482999E-6</v>
      </c>
      <c r="F49358" s="2">
        <v>9.8681749974786797E-8</v>
      </c>
    </row>
    <row r="49359" spans="1:6" x14ac:dyDescent="0.25">
      <c r="A49359" s="1" t="str">
        <f t="shared" si="1575"/>
        <v>99999</v>
      </c>
      <c r="B49359" s="1" t="str">
        <f>"70524"</f>
        <v>70524</v>
      </c>
      <c r="C49359" s="2">
        <v>2.1652178111683201E-7</v>
      </c>
      <c r="D49359" s="2">
        <v>0</v>
      </c>
      <c r="E49359" s="2">
        <v>4.3010567696482999E-6</v>
      </c>
      <c r="F49359" s="2">
        <v>2.9604524992435999E-7</v>
      </c>
    </row>
    <row r="49360" spans="1:6" x14ac:dyDescent="0.25">
      <c r="A49360" s="1" t="str">
        <f t="shared" si="1575"/>
        <v>99999</v>
      </c>
      <c r="B49360" s="1" t="str">
        <f>"43786"</f>
        <v>43786</v>
      </c>
      <c r="C49360" s="2">
        <v>0</v>
      </c>
      <c r="D49360" s="2">
        <v>1.50570889527644E-6</v>
      </c>
      <c r="E49360" s="2">
        <v>0</v>
      </c>
      <c r="F49360" s="2">
        <v>9.8681749974786797E-8</v>
      </c>
    </row>
    <row r="49361" spans="1:6" x14ac:dyDescent="0.25">
      <c r="A49361" s="1" t="str">
        <f t="shared" si="1575"/>
        <v>99999</v>
      </c>
      <c r="B49361" s="1" t="str">
        <f>"99677"</f>
        <v>99677</v>
      </c>
      <c r="C49361" s="2">
        <v>0</v>
      </c>
      <c r="D49361" s="2">
        <v>0</v>
      </c>
      <c r="E49361" s="2">
        <v>4.3010567696482999E-6</v>
      </c>
      <c r="F49361" s="2">
        <v>9.8681749974786797E-8</v>
      </c>
    </row>
    <row r="49362" spans="1:6" x14ac:dyDescent="0.25">
      <c r="A49362" s="1" t="str">
        <f t="shared" si="1575"/>
        <v>99999</v>
      </c>
      <c r="B49362" s="1" t="str">
        <f>"27841"</f>
        <v>27841</v>
      </c>
      <c r="C49362" s="2">
        <v>0</v>
      </c>
      <c r="D49362" s="2">
        <v>1.50570889527644E-6</v>
      </c>
      <c r="E49362" s="2">
        <v>0</v>
      </c>
      <c r="F49362" s="2">
        <v>9.8681749974786797E-8</v>
      </c>
    </row>
    <row r="49363" spans="1:6" x14ac:dyDescent="0.25">
      <c r="A49363" s="1" t="str">
        <f t="shared" si="1575"/>
        <v>99999</v>
      </c>
      <c r="B49363" s="1" t="str">
        <f>"16234"</f>
        <v>16234</v>
      </c>
      <c r="C49363" s="2">
        <v>0</v>
      </c>
      <c r="D49363" s="2">
        <v>0</v>
      </c>
      <c r="E49363" s="2">
        <v>4.3010567696482999E-6</v>
      </c>
      <c r="F49363" s="2">
        <v>9.8681749974786797E-8</v>
      </c>
    </row>
    <row r="49364" spans="1:6" x14ac:dyDescent="0.25">
      <c r="A49364" s="1" t="str">
        <f t="shared" si="1575"/>
        <v>99999</v>
      </c>
      <c r="B49364" s="1" t="str">
        <f>"23440"</f>
        <v>23440</v>
      </c>
      <c r="C49364" s="2">
        <v>0</v>
      </c>
      <c r="D49364" s="2">
        <v>1.50570889527644E-6</v>
      </c>
      <c r="E49364" s="2">
        <v>0</v>
      </c>
      <c r="F49364" s="2">
        <v>9.8681749974786797E-8</v>
      </c>
    </row>
    <row r="49365" spans="1:6" x14ac:dyDescent="0.25">
      <c r="A49365" s="1" t="str">
        <f t="shared" si="1575"/>
        <v>99999</v>
      </c>
      <c r="B49365" s="1" t="str">
        <f>"62973"</f>
        <v>62973</v>
      </c>
      <c r="C49365" s="2">
        <v>0</v>
      </c>
      <c r="D49365" s="2">
        <v>0</v>
      </c>
      <c r="E49365" s="2">
        <v>4.3010567696482999E-6</v>
      </c>
      <c r="F49365" s="2">
        <v>9.8681749974786797E-8</v>
      </c>
    </row>
    <row r="49366" spans="1:6" x14ac:dyDescent="0.25">
      <c r="A49366" s="1" t="str">
        <f t="shared" si="1575"/>
        <v>99999</v>
      </c>
      <c r="B49366" s="1" t="str">
        <f>"72441"</f>
        <v>72441</v>
      </c>
      <c r="C49366" s="2">
        <v>0</v>
      </c>
      <c r="D49366" s="2">
        <v>0</v>
      </c>
      <c r="E49366" s="2">
        <v>4.3010567696482999E-6</v>
      </c>
      <c r="F49366" s="2">
        <v>9.8681749974786797E-8</v>
      </c>
    </row>
    <row r="49367" spans="1:6" x14ac:dyDescent="0.25">
      <c r="A49367" s="1" t="str">
        <f t="shared" si="1575"/>
        <v>99999</v>
      </c>
      <c r="B49367" s="1" t="str">
        <f>"83876"</f>
        <v>83876</v>
      </c>
      <c r="C49367" s="2">
        <v>3.2478267167524802E-7</v>
      </c>
      <c r="D49367" s="2">
        <v>0</v>
      </c>
      <c r="E49367" s="2">
        <v>0</v>
      </c>
      <c r="F49367" s="2">
        <v>2.9604524992435999E-7</v>
      </c>
    </row>
    <row r="49368" spans="1:6" x14ac:dyDescent="0.25">
      <c r="A49368" s="1" t="str">
        <f t="shared" si="1575"/>
        <v>99999</v>
      </c>
      <c r="B49368" s="1" t="str">
        <f>"17056"</f>
        <v>17056</v>
      </c>
      <c r="C49368" s="2">
        <v>4.3304356223366401E-7</v>
      </c>
      <c r="D49368" s="2">
        <v>1.50570889527644E-6</v>
      </c>
      <c r="E49368" s="2">
        <v>0</v>
      </c>
      <c r="F49368" s="2">
        <v>4.9340874987393396E-7</v>
      </c>
    </row>
    <row r="49369" spans="1:6" x14ac:dyDescent="0.25">
      <c r="A49369" s="1" t="str">
        <f t="shared" si="1575"/>
        <v>99999</v>
      </c>
      <c r="B49369" s="1" t="str">
        <f>"50638"</f>
        <v>50638</v>
      </c>
      <c r="C49369" s="2">
        <v>5.4130445279207995E-7</v>
      </c>
      <c r="D49369" s="2">
        <v>0</v>
      </c>
      <c r="E49369" s="2">
        <v>0</v>
      </c>
      <c r="F49369" s="2">
        <v>4.9340874987393396E-7</v>
      </c>
    </row>
    <row r="49370" spans="1:6" x14ac:dyDescent="0.25">
      <c r="A49370" s="1" t="str">
        <f t="shared" si="1575"/>
        <v>99999</v>
      </c>
      <c r="B49370" s="1" t="str">
        <f>"56731"</f>
        <v>56731</v>
      </c>
      <c r="C49370" s="2">
        <v>4.1139138412198104E-6</v>
      </c>
      <c r="D49370" s="2">
        <v>7.5285444763821999E-6</v>
      </c>
      <c r="E49370" s="2">
        <v>4.3010567696482999E-6</v>
      </c>
      <c r="F49370" s="2">
        <v>4.3419969988906098E-6</v>
      </c>
    </row>
    <row r="49371" spans="1:6" x14ac:dyDescent="0.25">
      <c r="A49371" s="1" t="str">
        <f t="shared" si="1575"/>
        <v>99999</v>
      </c>
      <c r="B49371" s="1" t="str">
        <f>"25918"</f>
        <v>25918</v>
      </c>
      <c r="C49371" s="2">
        <v>8.6608712446732898E-7</v>
      </c>
      <c r="D49371" s="2">
        <v>0</v>
      </c>
      <c r="E49371" s="2">
        <v>0</v>
      </c>
      <c r="F49371" s="2">
        <v>7.8945399979829395E-7</v>
      </c>
    </row>
    <row r="49372" spans="1:6" x14ac:dyDescent="0.25">
      <c r="A49372" s="1" t="str">
        <f t="shared" si="1575"/>
        <v>99999</v>
      </c>
      <c r="B49372" s="1" t="str">
        <f>"28731"</f>
        <v>28731</v>
      </c>
      <c r="C49372" s="2">
        <v>2.59826137340198E-6</v>
      </c>
      <c r="D49372" s="2">
        <v>0</v>
      </c>
      <c r="E49372" s="2">
        <v>0</v>
      </c>
      <c r="F49372" s="2">
        <v>2.3683619993948799E-6</v>
      </c>
    </row>
    <row r="49373" spans="1:6" x14ac:dyDescent="0.25">
      <c r="A49373" s="1" t="str">
        <f t="shared" si="1575"/>
        <v>99999</v>
      </c>
      <c r="B49373" s="1" t="str">
        <f>"36267"</f>
        <v>36267</v>
      </c>
      <c r="C49373" s="2">
        <v>0</v>
      </c>
      <c r="D49373" s="2">
        <v>1.50570889527644E-6</v>
      </c>
      <c r="E49373" s="2">
        <v>0</v>
      </c>
      <c r="F49373" s="2">
        <v>9.8681749974786797E-8</v>
      </c>
    </row>
    <row r="49374" spans="1:6" x14ac:dyDescent="0.25">
      <c r="A49374" s="1" t="str">
        <f t="shared" si="1575"/>
        <v>99999</v>
      </c>
      <c r="B49374" s="1" t="str">
        <f>"45817"</f>
        <v>45817</v>
      </c>
      <c r="C49374" s="2">
        <v>2.9230440450772301E-6</v>
      </c>
      <c r="D49374" s="2">
        <v>0</v>
      </c>
      <c r="E49374" s="2">
        <v>8.6021135392965999E-6</v>
      </c>
      <c r="F49374" s="2">
        <v>2.8617707492688101E-6</v>
      </c>
    </row>
    <row r="49375" spans="1:6" x14ac:dyDescent="0.25">
      <c r="A49375" s="1" t="str">
        <f t="shared" si="1575"/>
        <v>99999</v>
      </c>
      <c r="B49375" s="1" t="str">
        <f>"64781"</f>
        <v>64781</v>
      </c>
      <c r="C49375" s="2">
        <v>1.08260890558416E-7</v>
      </c>
      <c r="D49375" s="2">
        <v>0</v>
      </c>
      <c r="E49375" s="2">
        <v>4.3010567696482999E-6</v>
      </c>
      <c r="F49375" s="2">
        <v>1.9736349994957301E-7</v>
      </c>
    </row>
    <row r="49376" spans="1:6" x14ac:dyDescent="0.25">
      <c r="A49376" s="1" t="str">
        <f t="shared" si="1575"/>
        <v>99999</v>
      </c>
      <c r="B49376" s="1" t="str">
        <f>"68845"</f>
        <v>68845</v>
      </c>
      <c r="C49376" s="2">
        <v>1.4073915772594101E-6</v>
      </c>
      <c r="D49376" s="2">
        <v>0</v>
      </c>
      <c r="E49376" s="2">
        <v>0</v>
      </c>
      <c r="F49376" s="2">
        <v>1.2828627496722201E-6</v>
      </c>
    </row>
    <row r="49377" spans="1:6" x14ac:dyDescent="0.25">
      <c r="A49377" s="1" t="str">
        <f t="shared" si="1575"/>
        <v>99999</v>
      </c>
      <c r="B49377" s="1" t="str">
        <f>"79062"</f>
        <v>79062</v>
      </c>
      <c r="C49377" s="2">
        <v>1.4073915772594101E-6</v>
      </c>
      <c r="D49377" s="2">
        <v>0</v>
      </c>
      <c r="E49377" s="2">
        <v>0</v>
      </c>
      <c r="F49377" s="2">
        <v>1.2828627496722201E-6</v>
      </c>
    </row>
    <row r="49378" spans="1:6" x14ac:dyDescent="0.25">
      <c r="A49378" s="1" t="str">
        <f t="shared" si="1575"/>
        <v>99999</v>
      </c>
      <c r="B49378" s="1" t="str">
        <f>"99568"</f>
        <v>99568</v>
      </c>
      <c r="C49378" s="2">
        <v>5.6295663090376404E-6</v>
      </c>
      <c r="D49378" s="2">
        <v>0</v>
      </c>
      <c r="E49378" s="2">
        <v>4.3010567696482999E-6</v>
      </c>
      <c r="F49378" s="2">
        <v>5.2301327486637002E-6</v>
      </c>
    </row>
    <row r="49379" spans="1:6" x14ac:dyDescent="0.25">
      <c r="A49379" s="1" t="str">
        <f t="shared" si="1575"/>
        <v>99999</v>
      </c>
      <c r="B49379" s="1" t="str">
        <f>"24878"</f>
        <v>24878</v>
      </c>
      <c r="C49379" s="2">
        <v>0</v>
      </c>
      <c r="D49379" s="2">
        <v>1.50570889527644E-6</v>
      </c>
      <c r="E49379" s="2">
        <v>0</v>
      </c>
      <c r="F49379" s="2">
        <v>9.8681749974786797E-8</v>
      </c>
    </row>
    <row r="49380" spans="1:6" x14ac:dyDescent="0.25">
      <c r="A49380" s="1" t="str">
        <f t="shared" si="1575"/>
        <v>99999</v>
      </c>
      <c r="B49380" s="1" t="str">
        <f>"30824"</f>
        <v>30824</v>
      </c>
      <c r="C49380" s="2">
        <v>1.84043513949307E-6</v>
      </c>
      <c r="D49380" s="2">
        <v>0</v>
      </c>
      <c r="E49380" s="2">
        <v>4.3010567696482999E-6</v>
      </c>
      <c r="F49380" s="2">
        <v>1.77627149954616E-6</v>
      </c>
    </row>
    <row r="49381" spans="1:6" x14ac:dyDescent="0.25">
      <c r="A49381" s="1" t="str">
        <f t="shared" si="1575"/>
        <v>99999</v>
      </c>
      <c r="B49381" s="1" t="str">
        <f>"50847"</f>
        <v>50847</v>
      </c>
      <c r="C49381" s="2">
        <v>3.2478267167524802E-7</v>
      </c>
      <c r="D49381" s="2">
        <v>1.50570889527644E-6</v>
      </c>
      <c r="E49381" s="2">
        <v>4.3010567696482999E-6</v>
      </c>
      <c r="F49381" s="2">
        <v>4.9340874987393396E-7</v>
      </c>
    </row>
    <row r="49382" spans="1:6" x14ac:dyDescent="0.25">
      <c r="A49382" s="1" t="str">
        <f t="shared" si="1575"/>
        <v>99999</v>
      </c>
      <c r="B49382" s="1" t="str">
        <f>"83119"</f>
        <v>83119</v>
      </c>
      <c r="C49382" s="2">
        <v>0</v>
      </c>
      <c r="D49382" s="2">
        <v>0</v>
      </c>
      <c r="E49382" s="2">
        <v>4.3010567696482999E-6</v>
      </c>
      <c r="F49382" s="2">
        <v>9.8681749974786797E-8</v>
      </c>
    </row>
    <row r="49383" spans="1:6" x14ac:dyDescent="0.25">
      <c r="A49383" s="1" t="str">
        <f t="shared" si="1575"/>
        <v>99999</v>
      </c>
      <c r="B49383" s="1" t="str">
        <f>"61752"</f>
        <v>61752</v>
      </c>
      <c r="C49383" s="2">
        <v>1.0826089055841599E-6</v>
      </c>
      <c r="D49383" s="2">
        <v>0</v>
      </c>
      <c r="E49383" s="2">
        <v>0</v>
      </c>
      <c r="F49383" s="2">
        <v>9.8681749974786791E-7</v>
      </c>
    </row>
    <row r="49384" spans="1:6" x14ac:dyDescent="0.25">
      <c r="A49384" s="1" t="str">
        <f t="shared" si="1575"/>
        <v>99999</v>
      </c>
      <c r="B49384" s="1" t="str">
        <f>"56324"</f>
        <v>56324</v>
      </c>
      <c r="C49384" s="2">
        <v>3.2478267167524802E-7</v>
      </c>
      <c r="D49384" s="2">
        <v>0</v>
      </c>
      <c r="E49384" s="2">
        <v>0</v>
      </c>
      <c r="F49384" s="2">
        <v>2.9604524992435999E-7</v>
      </c>
    </row>
    <row r="49385" spans="1:6" x14ac:dyDescent="0.25">
      <c r="A49385" s="1" t="str">
        <f t="shared" si="1575"/>
        <v>99999</v>
      </c>
      <c r="B49385" s="1" t="str">
        <f>"58563"</f>
        <v>58563</v>
      </c>
      <c r="C49385" s="2">
        <v>3.2478267167524802E-7</v>
      </c>
      <c r="D49385" s="2">
        <v>0</v>
      </c>
      <c r="E49385" s="2">
        <v>0</v>
      </c>
      <c r="F49385" s="2">
        <v>2.9604524992435999E-7</v>
      </c>
    </row>
    <row r="49386" spans="1:6" x14ac:dyDescent="0.25">
      <c r="A49386" s="1" t="str">
        <f t="shared" si="1575"/>
        <v>99999</v>
      </c>
      <c r="B49386" s="1" t="str">
        <f>"59435"</f>
        <v>59435</v>
      </c>
      <c r="C49386" s="2">
        <v>2.2734787017267302E-6</v>
      </c>
      <c r="D49386" s="2">
        <v>3.01141779055288E-6</v>
      </c>
      <c r="E49386" s="2">
        <v>4.3010567696482999E-6</v>
      </c>
      <c r="F49386" s="2">
        <v>2.3683619993948799E-6</v>
      </c>
    </row>
    <row r="49387" spans="1:6" x14ac:dyDescent="0.25">
      <c r="A49387" s="1" t="str">
        <f t="shared" si="1575"/>
        <v>99999</v>
      </c>
      <c r="B49387" s="1" t="str">
        <f>"74864"</f>
        <v>74864</v>
      </c>
      <c r="C49387" s="2">
        <v>5.4130445279207995E-7</v>
      </c>
      <c r="D49387" s="2">
        <v>0</v>
      </c>
      <c r="E49387" s="2">
        <v>0</v>
      </c>
      <c r="F49387" s="2">
        <v>4.9340874987393396E-7</v>
      </c>
    </row>
    <row r="49388" spans="1:6" x14ac:dyDescent="0.25">
      <c r="A49388" s="1" t="str">
        <f t="shared" si="1575"/>
        <v>99999</v>
      </c>
      <c r="B49388" s="1" t="str">
        <f>"17701"</f>
        <v>17701</v>
      </c>
      <c r="C49388" s="2">
        <v>4.3304356223366401E-7</v>
      </c>
      <c r="D49388" s="2">
        <v>0</v>
      </c>
      <c r="E49388" s="2">
        <v>0</v>
      </c>
      <c r="F49388" s="2">
        <v>3.9472699989914697E-7</v>
      </c>
    </row>
    <row r="49389" spans="1:6" x14ac:dyDescent="0.25">
      <c r="A49389" s="1" t="str">
        <f t="shared" si="1575"/>
        <v>99999</v>
      </c>
      <c r="B49389" s="1" t="str">
        <f>"24845"</f>
        <v>24845</v>
      </c>
      <c r="C49389" s="2">
        <v>4.3304356223366401E-7</v>
      </c>
      <c r="D49389" s="2">
        <v>1.50570889527644E-6</v>
      </c>
      <c r="E49389" s="2">
        <v>0</v>
      </c>
      <c r="F49389" s="2">
        <v>4.9340874987393396E-7</v>
      </c>
    </row>
    <row r="49390" spans="1:6" x14ac:dyDescent="0.25">
      <c r="A49390" s="1" t="str">
        <f t="shared" si="1575"/>
        <v>99999</v>
      </c>
      <c r="B49390" s="1" t="str">
        <f>"46047"</f>
        <v>46047</v>
      </c>
      <c r="C49390" s="2">
        <v>0</v>
      </c>
      <c r="D49390" s="2">
        <v>0</v>
      </c>
      <c r="E49390" s="2">
        <v>4.3010567696482999E-6</v>
      </c>
      <c r="F49390" s="2">
        <v>9.8681749974786797E-8</v>
      </c>
    </row>
    <row r="49391" spans="1:6" x14ac:dyDescent="0.25">
      <c r="A49391" s="1" t="str">
        <f t="shared" si="1575"/>
        <v>99999</v>
      </c>
      <c r="B49391" s="1" t="str">
        <f>"43730"</f>
        <v>43730</v>
      </c>
      <c r="C49391" s="2">
        <v>6.49565343350497E-7</v>
      </c>
      <c r="D49391" s="2">
        <v>0</v>
      </c>
      <c r="E49391" s="2">
        <v>0</v>
      </c>
      <c r="F49391" s="2">
        <v>5.9209049984871999E-7</v>
      </c>
    </row>
    <row r="49392" spans="1:6" x14ac:dyDescent="0.25">
      <c r="A49392" s="1" t="str">
        <f t="shared" si="1575"/>
        <v>99999</v>
      </c>
      <c r="B49392" s="1" t="str">
        <f>"58756"</f>
        <v>58756</v>
      </c>
      <c r="C49392" s="2">
        <v>1.7321742489346499E-6</v>
      </c>
      <c r="D49392" s="2">
        <v>0</v>
      </c>
      <c r="E49392" s="2">
        <v>0</v>
      </c>
      <c r="F49392" s="2">
        <v>1.5789079995965801E-6</v>
      </c>
    </row>
    <row r="49393" spans="1:6" x14ac:dyDescent="0.25">
      <c r="A49393" s="1" t="str">
        <f t="shared" si="1575"/>
        <v>99999</v>
      </c>
      <c r="B49393" s="1" t="str">
        <f>"71643"</f>
        <v>71643</v>
      </c>
      <c r="C49393" s="2">
        <v>1.0826089055841599E-6</v>
      </c>
      <c r="D49393" s="2">
        <v>1.50570889527644E-6</v>
      </c>
      <c r="E49393" s="2">
        <v>0</v>
      </c>
      <c r="F49393" s="2">
        <v>1.0854992497226499E-6</v>
      </c>
    </row>
    <row r="49394" spans="1:6" x14ac:dyDescent="0.25">
      <c r="A49394" s="1" t="str">
        <f t="shared" si="1575"/>
        <v>99999</v>
      </c>
      <c r="B49394" s="1" t="str">
        <f>"85940"</f>
        <v>85940</v>
      </c>
      <c r="C49394" s="2">
        <v>1.08260890558416E-7</v>
      </c>
      <c r="D49394" s="2">
        <v>0</v>
      </c>
      <c r="E49394" s="2">
        <v>4.3010567696482999E-6</v>
      </c>
      <c r="F49394" s="2">
        <v>1.9736349994957301E-7</v>
      </c>
    </row>
    <row r="49395" spans="1:6" x14ac:dyDescent="0.25">
      <c r="A49395" s="1" t="str">
        <f t="shared" si="1575"/>
        <v>99999</v>
      </c>
      <c r="B49395" s="1" t="str">
        <f>"54644"</f>
        <v>54644</v>
      </c>
      <c r="C49395" s="2">
        <v>1.1908697961425701E-6</v>
      </c>
      <c r="D49395" s="2">
        <v>0</v>
      </c>
      <c r="E49395" s="2">
        <v>0</v>
      </c>
      <c r="F49395" s="2">
        <v>1.0854992497226499E-6</v>
      </c>
    </row>
    <row r="49396" spans="1:6" x14ac:dyDescent="0.25">
      <c r="A49396" s="1" t="str">
        <f t="shared" si="1575"/>
        <v>99999</v>
      </c>
      <c r="B49396" s="1" t="str">
        <f>"80482"</f>
        <v>80482</v>
      </c>
      <c r="C49396" s="2">
        <v>0</v>
      </c>
      <c r="D49396" s="2">
        <v>3.01141779055288E-6</v>
      </c>
      <c r="E49396" s="2">
        <v>4.3010567696482999E-6</v>
      </c>
      <c r="F49396" s="2">
        <v>2.9604524992435999E-7</v>
      </c>
    </row>
    <row r="49397" spans="1:6" x14ac:dyDescent="0.25">
      <c r="A49397" s="1" t="str">
        <f t="shared" si="1575"/>
        <v>99999</v>
      </c>
      <c r="B49397" s="1" t="str">
        <f>"95318"</f>
        <v>95318</v>
      </c>
      <c r="C49397" s="2">
        <v>0</v>
      </c>
      <c r="D49397" s="2">
        <v>0</v>
      </c>
      <c r="E49397" s="2">
        <v>8.6021135392965999E-6</v>
      </c>
      <c r="F49397" s="2">
        <v>1.9736349994957301E-7</v>
      </c>
    </row>
    <row r="49398" spans="1:6" x14ac:dyDescent="0.25">
      <c r="A49398" s="1" t="str">
        <f t="shared" si="1575"/>
        <v>99999</v>
      </c>
      <c r="B49398" s="1" t="str">
        <f>"99763"</f>
        <v>99763</v>
      </c>
      <c r="C49398" s="2">
        <v>0</v>
      </c>
      <c r="D49398" s="2">
        <v>0</v>
      </c>
      <c r="E49398" s="2">
        <v>4.3010567696482999E-6</v>
      </c>
      <c r="F49398" s="2">
        <v>9.8681749974786797E-8</v>
      </c>
    </row>
    <row r="49399" spans="1:6" x14ac:dyDescent="0.25">
      <c r="A49399" s="1" t="str">
        <f t="shared" si="1575"/>
        <v>99999</v>
      </c>
      <c r="B49399" s="1" t="str">
        <f>"46784"</f>
        <v>46784</v>
      </c>
      <c r="C49399" s="2">
        <v>4.3304356223366401E-7</v>
      </c>
      <c r="D49399" s="2">
        <v>0</v>
      </c>
      <c r="E49399" s="2">
        <v>0</v>
      </c>
      <c r="F49399" s="2">
        <v>3.9472699989914697E-7</v>
      </c>
    </row>
    <row r="49400" spans="1:6" x14ac:dyDescent="0.25">
      <c r="A49400" s="1" t="str">
        <f t="shared" si="1575"/>
        <v>99999</v>
      </c>
      <c r="B49400" s="1" t="str">
        <f>"53599"</f>
        <v>53599</v>
      </c>
      <c r="C49400" s="2">
        <v>2.9230440450772301E-6</v>
      </c>
      <c r="D49400" s="2">
        <v>0</v>
      </c>
      <c r="E49400" s="2">
        <v>4.3010567696482999E-6</v>
      </c>
      <c r="F49400" s="2">
        <v>2.76308899929403E-6</v>
      </c>
    </row>
    <row r="49401" spans="1:6" x14ac:dyDescent="0.25">
      <c r="A49401" s="1" t="str">
        <f t="shared" si="1575"/>
        <v>99999</v>
      </c>
      <c r="B49401" s="1" t="str">
        <f>"58467"</f>
        <v>58467</v>
      </c>
      <c r="C49401" s="2">
        <v>2.2734787017267302E-6</v>
      </c>
      <c r="D49401" s="2">
        <v>1.50570889527644E-6</v>
      </c>
      <c r="E49401" s="2">
        <v>0</v>
      </c>
      <c r="F49401" s="2">
        <v>2.1709984994452998E-6</v>
      </c>
    </row>
    <row r="49402" spans="1:6" x14ac:dyDescent="0.25">
      <c r="A49402" s="1" t="str">
        <f t="shared" si="1575"/>
        <v>99999</v>
      </c>
      <c r="B49402" s="1" t="str">
        <f>"80746"</f>
        <v>80746</v>
      </c>
      <c r="C49402" s="2">
        <v>3.1395658261940598E-6</v>
      </c>
      <c r="D49402" s="2">
        <v>9.0342533716586405E-6</v>
      </c>
      <c r="E49402" s="2">
        <v>0</v>
      </c>
      <c r="F49402" s="2">
        <v>3.4538612491175301E-6</v>
      </c>
    </row>
    <row r="49403" spans="1:6" x14ac:dyDescent="0.25">
      <c r="A49403" s="1" t="str">
        <f t="shared" si="1575"/>
        <v>99999</v>
      </c>
      <c r="B49403" s="1" t="str">
        <f>"15926"</f>
        <v>15926</v>
      </c>
      <c r="C49403" s="2">
        <v>1.29913068670099E-6</v>
      </c>
      <c r="D49403" s="2">
        <v>0</v>
      </c>
      <c r="E49403" s="2">
        <v>0</v>
      </c>
      <c r="F49403" s="2">
        <v>1.18418099969744E-6</v>
      </c>
    </row>
    <row r="49404" spans="1:6" x14ac:dyDescent="0.25">
      <c r="A49404" s="1" t="str">
        <f t="shared" si="1575"/>
        <v>99999</v>
      </c>
      <c r="B49404" s="1" t="str">
        <f>"66711"</f>
        <v>66711</v>
      </c>
      <c r="C49404" s="2">
        <v>4.3304356223366401E-7</v>
      </c>
      <c r="D49404" s="2">
        <v>0</v>
      </c>
      <c r="E49404" s="2">
        <v>0</v>
      </c>
      <c r="F49404" s="2">
        <v>3.9472699989914697E-7</v>
      </c>
    </row>
    <row r="49405" spans="1:6" x14ac:dyDescent="0.25">
      <c r="A49405" s="1" t="str">
        <f t="shared" si="1575"/>
        <v>99999</v>
      </c>
      <c r="B49405" s="1" t="str">
        <f>"85932"</f>
        <v>85932</v>
      </c>
      <c r="C49405" s="2">
        <v>0</v>
      </c>
      <c r="D49405" s="2">
        <v>0</v>
      </c>
      <c r="E49405" s="2">
        <v>8.6021135392965999E-6</v>
      </c>
      <c r="F49405" s="2">
        <v>1.9736349994957301E-7</v>
      </c>
    </row>
    <row r="49406" spans="1:6" x14ac:dyDescent="0.25">
      <c r="A49406" s="1" t="str">
        <f t="shared" si="1575"/>
        <v>99999</v>
      </c>
      <c r="B49406" s="1" t="str">
        <f>"51541"</f>
        <v>51541</v>
      </c>
      <c r="C49406" s="2">
        <v>1.4073915772594101E-6</v>
      </c>
      <c r="D49406" s="2">
        <v>0</v>
      </c>
      <c r="E49406" s="2">
        <v>0</v>
      </c>
      <c r="F49406" s="2">
        <v>1.2828627496722201E-6</v>
      </c>
    </row>
    <row r="49407" spans="1:6" x14ac:dyDescent="0.25">
      <c r="A49407" s="1" t="str">
        <f t="shared" si="1575"/>
        <v>99999</v>
      </c>
      <c r="B49407" s="1" t="str">
        <f>"74010"</f>
        <v>74010</v>
      </c>
      <c r="C49407" s="2">
        <v>1.0826089055841599E-6</v>
      </c>
      <c r="D49407" s="2">
        <v>0</v>
      </c>
      <c r="E49407" s="2">
        <v>0</v>
      </c>
      <c r="F49407" s="2">
        <v>9.8681749974786791E-7</v>
      </c>
    </row>
    <row r="49408" spans="1:6" x14ac:dyDescent="0.25">
      <c r="A49408" s="1" t="str">
        <f t="shared" si="1575"/>
        <v>99999</v>
      </c>
      <c r="B49408" s="1" t="str">
        <f>"99622"</f>
        <v>99622</v>
      </c>
      <c r="C49408" s="2">
        <v>0</v>
      </c>
      <c r="D49408" s="2">
        <v>0</v>
      </c>
      <c r="E49408" s="2">
        <v>4.3010567696482999E-6</v>
      </c>
      <c r="F49408" s="2">
        <v>9.8681749974786797E-8</v>
      </c>
    </row>
    <row r="49409" spans="1:6" x14ac:dyDescent="0.25">
      <c r="A49409" s="1" t="str">
        <f t="shared" si="1575"/>
        <v>99999</v>
      </c>
      <c r="B49409" s="1" t="str">
        <f>"18466"</f>
        <v>18466</v>
      </c>
      <c r="C49409" s="2">
        <v>2.3817395922851499E-6</v>
      </c>
      <c r="D49409" s="2">
        <v>1.50570889527644E-6</v>
      </c>
      <c r="E49409" s="2">
        <v>0</v>
      </c>
      <c r="F49409" s="2">
        <v>2.2696802494200901E-6</v>
      </c>
    </row>
    <row r="49410" spans="1:6" x14ac:dyDescent="0.25">
      <c r="A49410" s="1" t="str">
        <f t="shared" si="1575"/>
        <v>99999</v>
      </c>
      <c r="B49410" s="1" t="str">
        <f>"28435"</f>
        <v>28435</v>
      </c>
      <c r="C49410" s="2">
        <v>1.0826089055841599E-6</v>
      </c>
      <c r="D49410" s="2">
        <v>0</v>
      </c>
      <c r="E49410" s="2">
        <v>0</v>
      </c>
      <c r="F49410" s="2">
        <v>9.8681749974786791E-7</v>
      </c>
    </row>
    <row r="49411" spans="1:6" x14ac:dyDescent="0.25">
      <c r="A49411" s="1" t="str">
        <f t="shared" si="1575"/>
        <v>99999</v>
      </c>
      <c r="B49411" s="1" t="str">
        <f>"36038"</f>
        <v>36038</v>
      </c>
      <c r="C49411" s="2">
        <v>0</v>
      </c>
      <c r="D49411" s="2">
        <v>0</v>
      </c>
      <c r="E49411" s="2">
        <v>8.6021135392965999E-6</v>
      </c>
      <c r="F49411" s="2">
        <v>1.9736349994957301E-7</v>
      </c>
    </row>
    <row r="49412" spans="1:6" x14ac:dyDescent="0.25">
      <c r="A49412" s="1" t="str">
        <f t="shared" si="1575"/>
        <v>99999</v>
      </c>
      <c r="B49412" s="1" t="str">
        <f>"45070"</f>
        <v>45070</v>
      </c>
      <c r="C49412" s="2">
        <v>1.08260890558416E-7</v>
      </c>
      <c r="D49412" s="2">
        <v>0</v>
      </c>
      <c r="E49412" s="2">
        <v>4.3010567696482999E-6</v>
      </c>
      <c r="F49412" s="2">
        <v>1.9736349994957301E-7</v>
      </c>
    </row>
    <row r="49413" spans="1:6" x14ac:dyDescent="0.25">
      <c r="A49413" s="1" t="str">
        <f t="shared" si="1575"/>
        <v>99999</v>
      </c>
      <c r="B49413" s="1" t="str">
        <f>"04487"</f>
        <v>04487</v>
      </c>
      <c r="C49413" s="2">
        <v>1.08260890558416E-7</v>
      </c>
      <c r="D49413" s="2">
        <v>0</v>
      </c>
      <c r="E49413" s="2">
        <v>0</v>
      </c>
      <c r="F49413" s="2">
        <v>9.8681749974786797E-8</v>
      </c>
    </row>
    <row r="49414" spans="1:6" x14ac:dyDescent="0.25">
      <c r="A49414" s="1" t="str">
        <f t="shared" ref="A49414:A49477" si="1576">"99999"</f>
        <v>99999</v>
      </c>
      <c r="B49414" s="1" t="str">
        <f>"15530"</f>
        <v>15530</v>
      </c>
      <c r="C49414" s="2">
        <v>5.4130445279207995E-7</v>
      </c>
      <c r="D49414" s="2">
        <v>0</v>
      </c>
      <c r="E49414" s="2">
        <v>0</v>
      </c>
      <c r="F49414" s="2">
        <v>4.9340874987393396E-7</v>
      </c>
    </row>
    <row r="49415" spans="1:6" x14ac:dyDescent="0.25">
      <c r="A49415" s="1" t="str">
        <f t="shared" si="1576"/>
        <v>99999</v>
      </c>
      <c r="B49415" s="1" t="str">
        <f>"04454"</f>
        <v>04454</v>
      </c>
      <c r="C49415" s="2">
        <v>5.1965227468039701E-6</v>
      </c>
      <c r="D49415" s="2">
        <v>0</v>
      </c>
      <c r="E49415" s="2">
        <v>4.3010567696482999E-6</v>
      </c>
      <c r="F49415" s="2">
        <v>4.8354057487645501E-6</v>
      </c>
    </row>
    <row r="49416" spans="1:6" x14ac:dyDescent="0.25">
      <c r="A49416" s="1" t="str">
        <f t="shared" si="1576"/>
        <v>99999</v>
      </c>
      <c r="B49416" s="1" t="str">
        <f>"05344"</f>
        <v>05344</v>
      </c>
      <c r="C49416" s="2">
        <v>0</v>
      </c>
      <c r="D49416" s="2">
        <v>0</v>
      </c>
      <c r="E49416" s="2">
        <v>8.6021135392965999E-6</v>
      </c>
      <c r="F49416" s="2">
        <v>1.9736349994957301E-7</v>
      </c>
    </row>
    <row r="49417" spans="1:6" x14ac:dyDescent="0.25">
      <c r="A49417" s="1" t="str">
        <f t="shared" si="1576"/>
        <v>99999</v>
      </c>
      <c r="B49417" s="1" t="str">
        <f>"25810"</f>
        <v>25810</v>
      </c>
      <c r="C49417" s="2">
        <v>2.2734787017267302E-6</v>
      </c>
      <c r="D49417" s="2">
        <v>1.50570889527644E-6</v>
      </c>
      <c r="E49417" s="2">
        <v>0</v>
      </c>
      <c r="F49417" s="2">
        <v>2.1709984994452998E-6</v>
      </c>
    </row>
    <row r="49418" spans="1:6" x14ac:dyDescent="0.25">
      <c r="A49418" s="1" t="str">
        <f t="shared" si="1576"/>
        <v>99999</v>
      </c>
      <c r="B49418" s="1" t="str">
        <f>"46039"</f>
        <v>46039</v>
      </c>
      <c r="C49418" s="2">
        <v>1.08260890558416E-7</v>
      </c>
      <c r="D49418" s="2">
        <v>0</v>
      </c>
      <c r="E49418" s="2">
        <v>0</v>
      </c>
      <c r="F49418" s="2">
        <v>9.8681749974786797E-8</v>
      </c>
    </row>
    <row r="49419" spans="1:6" x14ac:dyDescent="0.25">
      <c r="A49419" s="1" t="str">
        <f t="shared" si="1576"/>
        <v>99999</v>
      </c>
      <c r="B49419" s="1" t="str">
        <f>"47992"</f>
        <v>47992</v>
      </c>
      <c r="C49419" s="2">
        <v>1.0826089055841599E-6</v>
      </c>
      <c r="D49419" s="2">
        <v>0</v>
      </c>
      <c r="E49419" s="2">
        <v>0</v>
      </c>
      <c r="F49419" s="2">
        <v>9.8681749974786791E-7</v>
      </c>
    </row>
    <row r="49420" spans="1:6" x14ac:dyDescent="0.25">
      <c r="A49420" s="1" t="str">
        <f t="shared" si="1576"/>
        <v>99999</v>
      </c>
      <c r="B49420" s="1" t="str">
        <f>"59718"</f>
        <v>59718</v>
      </c>
      <c r="C49420" s="2">
        <v>2.1652178111683201E-7</v>
      </c>
      <c r="D49420" s="2">
        <v>0</v>
      </c>
      <c r="E49420" s="2">
        <v>0</v>
      </c>
      <c r="F49420" s="2">
        <v>1.9736349994957301E-7</v>
      </c>
    </row>
    <row r="49421" spans="1:6" x14ac:dyDescent="0.25">
      <c r="A49421" s="1" t="str">
        <f t="shared" si="1576"/>
        <v>99999</v>
      </c>
      <c r="B49421" s="1" t="str">
        <f>"05848"</f>
        <v>05848</v>
      </c>
      <c r="C49421" s="2">
        <v>1.08260890558416E-7</v>
      </c>
      <c r="D49421" s="2">
        <v>0</v>
      </c>
      <c r="E49421" s="2">
        <v>0</v>
      </c>
      <c r="F49421" s="2">
        <v>9.8681749974786797E-8</v>
      </c>
    </row>
    <row r="49422" spans="1:6" x14ac:dyDescent="0.25">
      <c r="A49422" s="1" t="str">
        <f t="shared" si="1576"/>
        <v>99999</v>
      </c>
      <c r="B49422" s="1" t="str">
        <f>"22645"</f>
        <v>22645</v>
      </c>
      <c r="C49422" s="2">
        <v>7.5782623390891299E-7</v>
      </c>
      <c r="D49422" s="2">
        <v>0</v>
      </c>
      <c r="E49422" s="2">
        <v>0</v>
      </c>
      <c r="F49422" s="2">
        <v>6.9077224982350697E-7</v>
      </c>
    </row>
    <row r="49423" spans="1:6" x14ac:dyDescent="0.25">
      <c r="A49423" s="1" t="str">
        <f t="shared" si="1576"/>
        <v>99999</v>
      </c>
      <c r="B49423" s="1" t="str">
        <f>"43950"</f>
        <v>43950</v>
      </c>
      <c r="C49423" s="2">
        <v>5.4130445279207995E-7</v>
      </c>
      <c r="D49423" s="2">
        <v>0</v>
      </c>
      <c r="E49423" s="2">
        <v>0</v>
      </c>
      <c r="F49423" s="2">
        <v>4.9340874987393396E-7</v>
      </c>
    </row>
    <row r="49424" spans="1:6" x14ac:dyDescent="0.25">
      <c r="A49424" s="1" t="str">
        <f t="shared" si="1576"/>
        <v>99999</v>
      </c>
      <c r="B49424" s="1" t="str">
        <f>"84621"</f>
        <v>84621</v>
      </c>
      <c r="C49424" s="2">
        <v>1.40739157725941E-5</v>
      </c>
      <c r="D49424" s="2">
        <v>0</v>
      </c>
      <c r="E49424" s="2">
        <v>4.3010567696482999E-6</v>
      </c>
      <c r="F49424" s="2">
        <v>1.2927309246696999E-5</v>
      </c>
    </row>
    <row r="49425" spans="1:6" x14ac:dyDescent="0.25">
      <c r="A49425" s="1" t="str">
        <f t="shared" si="1576"/>
        <v>99999</v>
      </c>
      <c r="B49425" s="1" t="str">
        <f>"40844"</f>
        <v>40844</v>
      </c>
      <c r="C49425" s="2">
        <v>3.2478267167524802E-7</v>
      </c>
      <c r="D49425" s="2">
        <v>1.50570889527644E-6</v>
      </c>
      <c r="E49425" s="2">
        <v>4.3010567696482999E-6</v>
      </c>
      <c r="F49425" s="2">
        <v>4.9340874987393396E-7</v>
      </c>
    </row>
    <row r="49426" spans="1:6" x14ac:dyDescent="0.25">
      <c r="A49426" s="1" t="str">
        <f t="shared" si="1576"/>
        <v>99999</v>
      </c>
      <c r="B49426" s="1" t="str">
        <f>"81148"</f>
        <v>81148</v>
      </c>
      <c r="C49426" s="2">
        <v>0</v>
      </c>
      <c r="D49426" s="2">
        <v>0</v>
      </c>
      <c r="E49426" s="2">
        <v>8.6021135392965999E-6</v>
      </c>
      <c r="F49426" s="2">
        <v>1.9736349994957301E-7</v>
      </c>
    </row>
    <row r="49427" spans="1:6" x14ac:dyDescent="0.25">
      <c r="A49427" s="1" t="str">
        <f t="shared" si="1576"/>
        <v>99999</v>
      </c>
      <c r="B49427" s="1" t="str">
        <f>"99656"</f>
        <v>99656</v>
      </c>
      <c r="C49427" s="2">
        <v>0</v>
      </c>
      <c r="D49427" s="2">
        <v>0</v>
      </c>
      <c r="E49427" s="2">
        <v>4.3010567696482999E-6</v>
      </c>
      <c r="F49427" s="2">
        <v>9.8681749974786797E-8</v>
      </c>
    </row>
    <row r="49428" spans="1:6" x14ac:dyDescent="0.25">
      <c r="A49428" s="1" t="str">
        <f t="shared" si="1576"/>
        <v>99999</v>
      </c>
      <c r="B49428" s="1" t="str">
        <f>"74438"</f>
        <v>74438</v>
      </c>
      <c r="C49428" s="2">
        <v>2.1652178111683201E-7</v>
      </c>
      <c r="D49428" s="2">
        <v>0</v>
      </c>
      <c r="E49428" s="2">
        <v>4.3010567696482999E-6</v>
      </c>
      <c r="F49428" s="2">
        <v>2.9604524992435999E-7</v>
      </c>
    </row>
    <row r="49429" spans="1:6" x14ac:dyDescent="0.25">
      <c r="A49429" s="1" t="str">
        <f t="shared" si="1576"/>
        <v>99999</v>
      </c>
      <c r="B49429" s="1" t="str">
        <f>"78062"</f>
        <v>78062</v>
      </c>
      <c r="C49429" s="2">
        <v>1.08260890558416E-7</v>
      </c>
      <c r="D49429" s="2">
        <v>3.01141779055288E-6</v>
      </c>
      <c r="E49429" s="2">
        <v>0</v>
      </c>
      <c r="F49429" s="2">
        <v>2.9604524992435999E-7</v>
      </c>
    </row>
    <row r="49430" spans="1:6" x14ac:dyDescent="0.25">
      <c r="A49430" s="1" t="str">
        <f t="shared" si="1576"/>
        <v>99999</v>
      </c>
      <c r="B49430" s="1" t="str">
        <f>"95229"</f>
        <v>95229</v>
      </c>
      <c r="C49430" s="2">
        <v>1.08260890558416E-7</v>
      </c>
      <c r="D49430" s="2">
        <v>0</v>
      </c>
      <c r="E49430" s="2">
        <v>4.3010567696482999E-6</v>
      </c>
      <c r="F49430" s="2">
        <v>1.9736349994957301E-7</v>
      </c>
    </row>
    <row r="49431" spans="1:6" x14ac:dyDescent="0.25">
      <c r="A49431" s="1" t="str">
        <f t="shared" si="1576"/>
        <v>99999</v>
      </c>
      <c r="B49431" s="1" t="str">
        <f>"98628"</f>
        <v>98628</v>
      </c>
      <c r="C49431" s="2">
        <v>1.62391335837624E-6</v>
      </c>
      <c r="D49431" s="2">
        <v>1.50570889527644E-6</v>
      </c>
      <c r="E49431" s="2">
        <v>0</v>
      </c>
      <c r="F49431" s="2">
        <v>1.5789079995965801E-6</v>
      </c>
    </row>
    <row r="49432" spans="1:6" x14ac:dyDescent="0.25">
      <c r="A49432" s="1" t="str">
        <f t="shared" si="1576"/>
        <v>99999</v>
      </c>
      <c r="B49432" s="1" t="str">
        <f>"68461"</f>
        <v>68461</v>
      </c>
      <c r="C49432" s="2">
        <v>7.5782623390891299E-7</v>
      </c>
      <c r="D49432" s="2">
        <v>0</v>
      </c>
      <c r="E49432" s="2">
        <v>0</v>
      </c>
      <c r="F49432" s="2">
        <v>6.9077224982350697E-7</v>
      </c>
    </row>
    <row r="49433" spans="1:6" x14ac:dyDescent="0.25">
      <c r="A49433" s="1" t="str">
        <f t="shared" si="1576"/>
        <v>99999</v>
      </c>
      <c r="B49433" s="1" t="str">
        <f>"84731"</f>
        <v>84731</v>
      </c>
      <c r="C49433" s="2">
        <v>6.3873925429465503E-6</v>
      </c>
      <c r="D49433" s="2">
        <v>3.01141779055288E-6</v>
      </c>
      <c r="E49433" s="2">
        <v>8.6021135392965999E-6</v>
      </c>
      <c r="F49433" s="2">
        <v>6.2169502484115596E-6</v>
      </c>
    </row>
    <row r="49434" spans="1:6" x14ac:dyDescent="0.25">
      <c r="A49434" s="1" t="str">
        <f t="shared" si="1576"/>
        <v>99999</v>
      </c>
      <c r="B49434" s="1" t="str">
        <f>"98619"</f>
        <v>98619</v>
      </c>
      <c r="C49434" s="2">
        <v>3.0421310246914899E-5</v>
      </c>
      <c r="D49434" s="2">
        <v>9.0342533716586405E-6</v>
      </c>
      <c r="E49434" s="2">
        <v>8.6021135392965999E-6</v>
      </c>
      <c r="F49434" s="2">
        <v>2.8519025742713299E-5</v>
      </c>
    </row>
    <row r="49435" spans="1:6" x14ac:dyDescent="0.25">
      <c r="A49435" s="1" t="str">
        <f t="shared" si="1576"/>
        <v>99999</v>
      </c>
      <c r="B49435" s="1" t="str">
        <f>"12791"</f>
        <v>12791</v>
      </c>
      <c r="C49435" s="2">
        <v>7.7947841202059606E-6</v>
      </c>
      <c r="D49435" s="2">
        <v>9.0342533716586405E-6</v>
      </c>
      <c r="E49435" s="2">
        <v>8.6021135392965999E-6</v>
      </c>
      <c r="F49435" s="2">
        <v>7.8945399979829399E-6</v>
      </c>
    </row>
    <row r="49436" spans="1:6" x14ac:dyDescent="0.25">
      <c r="A49436" s="1" t="str">
        <f t="shared" si="1576"/>
        <v>99999</v>
      </c>
      <c r="B49436" s="1" t="str">
        <f>"14708"</f>
        <v>14708</v>
      </c>
      <c r="C49436" s="2">
        <v>1.05013063841663E-5</v>
      </c>
      <c r="D49436" s="2">
        <v>0</v>
      </c>
      <c r="E49436" s="2">
        <v>4.3010567696482999E-6</v>
      </c>
      <c r="F49436" s="2">
        <v>9.6708114975291003E-6</v>
      </c>
    </row>
    <row r="49437" spans="1:6" x14ac:dyDescent="0.25">
      <c r="A49437" s="1" t="str">
        <f t="shared" si="1576"/>
        <v>99999</v>
      </c>
      <c r="B49437" s="1" t="str">
        <f>"28679"</f>
        <v>28679</v>
      </c>
      <c r="C49437" s="2">
        <v>5.1965227468039701E-6</v>
      </c>
      <c r="D49437" s="2">
        <v>3.01141779055288E-6</v>
      </c>
      <c r="E49437" s="2">
        <v>0</v>
      </c>
      <c r="F49437" s="2">
        <v>4.9340874987393404E-6</v>
      </c>
    </row>
    <row r="49438" spans="1:6" x14ac:dyDescent="0.25">
      <c r="A49438" s="1" t="str">
        <f t="shared" si="1576"/>
        <v>99999</v>
      </c>
      <c r="B49438" s="1" t="str">
        <f>"45867"</f>
        <v>45867</v>
      </c>
      <c r="C49438" s="2">
        <v>2.1652178111683198E-6</v>
      </c>
      <c r="D49438" s="2">
        <v>0</v>
      </c>
      <c r="E49438" s="2">
        <v>0</v>
      </c>
      <c r="F49438" s="2">
        <v>1.9736349994957299E-6</v>
      </c>
    </row>
    <row r="49439" spans="1:6" x14ac:dyDescent="0.25">
      <c r="A49439" s="1" t="str">
        <f t="shared" si="1576"/>
        <v>99999</v>
      </c>
      <c r="B49439" s="1" t="str">
        <f>"62074"</f>
        <v>62074</v>
      </c>
      <c r="C49439" s="2">
        <v>9.7434801502574508E-7</v>
      </c>
      <c r="D49439" s="2">
        <v>0</v>
      </c>
      <c r="E49439" s="2">
        <v>0</v>
      </c>
      <c r="F49439" s="2">
        <v>8.8813574977308104E-7</v>
      </c>
    </row>
    <row r="49440" spans="1:6" x14ac:dyDescent="0.25">
      <c r="A49440" s="1" t="str">
        <f t="shared" si="1576"/>
        <v>99999</v>
      </c>
      <c r="B49440" s="1" t="str">
        <f>"88430"</f>
        <v>88430</v>
      </c>
      <c r="C49440" s="2">
        <v>6.8204361051802096E-6</v>
      </c>
      <c r="D49440" s="2">
        <v>0</v>
      </c>
      <c r="E49440" s="2">
        <v>4.3010567696482999E-6</v>
      </c>
      <c r="F49440" s="2">
        <v>6.3156319983863499E-6</v>
      </c>
    </row>
    <row r="49441" spans="1:6" x14ac:dyDescent="0.25">
      <c r="A49441" s="1" t="str">
        <f t="shared" si="1576"/>
        <v>99999</v>
      </c>
      <c r="B49441" s="1" t="str">
        <f>"96105"</f>
        <v>96105</v>
      </c>
      <c r="C49441" s="2">
        <v>2.8147831545188202E-6</v>
      </c>
      <c r="D49441" s="2">
        <v>3.01141779055288E-6</v>
      </c>
      <c r="E49441" s="2">
        <v>8.6021135392965999E-6</v>
      </c>
      <c r="F49441" s="2">
        <v>2.9604524992435999E-6</v>
      </c>
    </row>
    <row r="49442" spans="1:6" x14ac:dyDescent="0.25">
      <c r="A49442" s="1" t="str">
        <f t="shared" si="1576"/>
        <v>99999</v>
      </c>
      <c r="B49442" s="1" t="str">
        <f>"95223"</f>
        <v>95223</v>
      </c>
      <c r="C49442" s="2">
        <v>1.84043513949307E-6</v>
      </c>
      <c r="D49442" s="2">
        <v>9.0342533716586405E-6</v>
      </c>
      <c r="E49442" s="2">
        <v>8.6021135392965999E-6</v>
      </c>
      <c r="F49442" s="2">
        <v>2.4670437493696702E-6</v>
      </c>
    </row>
    <row r="49443" spans="1:6" x14ac:dyDescent="0.25">
      <c r="A49443" s="1" t="str">
        <f t="shared" si="1576"/>
        <v>99999</v>
      </c>
      <c r="B49443" s="1" t="str">
        <f>"12749"</f>
        <v>12749</v>
      </c>
      <c r="C49443" s="2">
        <v>8.6608712446732898E-7</v>
      </c>
      <c r="D49443" s="2">
        <v>0</v>
      </c>
      <c r="E49443" s="2">
        <v>4.3010567696482999E-6</v>
      </c>
      <c r="F49443" s="2">
        <v>8.8813574977308104E-7</v>
      </c>
    </row>
    <row r="49444" spans="1:6" x14ac:dyDescent="0.25">
      <c r="A49444" s="1" t="str">
        <f t="shared" si="1576"/>
        <v>99999</v>
      </c>
      <c r="B49444" s="1" t="str">
        <f>"21657"</f>
        <v>21657</v>
      </c>
      <c r="C49444" s="2">
        <v>7.0369578862970498E-6</v>
      </c>
      <c r="D49444" s="2">
        <v>0</v>
      </c>
      <c r="E49444" s="2">
        <v>0</v>
      </c>
      <c r="F49444" s="2">
        <v>6.4143137483611402E-6</v>
      </c>
    </row>
    <row r="49445" spans="1:6" x14ac:dyDescent="0.25">
      <c r="A49445" s="1" t="str">
        <f t="shared" si="1576"/>
        <v>99999</v>
      </c>
      <c r="B49445" s="1" t="str">
        <f>"38940"</f>
        <v>38940</v>
      </c>
      <c r="C49445" s="2">
        <v>5.95434898071288E-6</v>
      </c>
      <c r="D49445" s="2">
        <v>1.50570889527644E-6</v>
      </c>
      <c r="E49445" s="2">
        <v>0</v>
      </c>
      <c r="F49445" s="2">
        <v>5.52617799858806E-6</v>
      </c>
    </row>
    <row r="49446" spans="1:6" x14ac:dyDescent="0.25">
      <c r="A49446" s="1" t="str">
        <f t="shared" si="1576"/>
        <v>99999</v>
      </c>
      <c r="B49446" s="1" t="str">
        <f>"45868"</f>
        <v>45868</v>
      </c>
      <c r="C49446" s="2">
        <v>4.3304356223366401E-7</v>
      </c>
      <c r="D49446" s="2">
        <v>1.50570889527644E-6</v>
      </c>
      <c r="E49446" s="2">
        <v>0</v>
      </c>
      <c r="F49446" s="2">
        <v>4.9340874987393396E-7</v>
      </c>
    </row>
    <row r="49447" spans="1:6" x14ac:dyDescent="0.25">
      <c r="A49447" s="1" t="str">
        <f t="shared" si="1576"/>
        <v>99999</v>
      </c>
      <c r="B49447" s="1" t="str">
        <f>"56328"</f>
        <v>56328</v>
      </c>
      <c r="C49447" s="2">
        <v>5.8460880901544696E-6</v>
      </c>
      <c r="D49447" s="2">
        <v>0</v>
      </c>
      <c r="E49447" s="2">
        <v>4.3010567696482999E-6</v>
      </c>
      <c r="F49447" s="2">
        <v>5.4274962486132697E-6</v>
      </c>
    </row>
    <row r="49448" spans="1:6" x14ac:dyDescent="0.25">
      <c r="A49448" s="1" t="str">
        <f t="shared" si="1576"/>
        <v>99999</v>
      </c>
      <c r="B49448" s="1" t="str">
        <f>"61851"</f>
        <v>61851</v>
      </c>
      <c r="C49448" s="2">
        <v>2.1652178111683201E-7</v>
      </c>
      <c r="D49448" s="2">
        <v>0</v>
      </c>
      <c r="E49448" s="2">
        <v>0</v>
      </c>
      <c r="F49448" s="2">
        <v>1.9736349994957301E-7</v>
      </c>
    </row>
    <row r="49449" spans="1:6" x14ac:dyDescent="0.25">
      <c r="A49449" s="1" t="str">
        <f t="shared" si="1576"/>
        <v>99999</v>
      </c>
      <c r="B49449" s="1" t="str">
        <f>"77961"</f>
        <v>77961</v>
      </c>
      <c r="C49449" s="2">
        <v>0</v>
      </c>
      <c r="D49449" s="2">
        <v>1.50570889527644E-6</v>
      </c>
      <c r="E49449" s="2">
        <v>0</v>
      </c>
      <c r="F49449" s="2">
        <v>9.8681749974786797E-8</v>
      </c>
    </row>
    <row r="49450" spans="1:6" x14ac:dyDescent="0.25">
      <c r="A49450" s="1" t="str">
        <f t="shared" si="1576"/>
        <v>99999</v>
      </c>
      <c r="B49450" s="1" t="str">
        <f>"79766"</f>
        <v>79766</v>
      </c>
      <c r="C49450" s="2">
        <v>7.47000144853071E-6</v>
      </c>
      <c r="D49450" s="2">
        <v>1.50570889527644E-6</v>
      </c>
      <c r="E49450" s="2">
        <v>8.6021135392965999E-6</v>
      </c>
      <c r="F49450" s="2">
        <v>7.10508599818465E-6</v>
      </c>
    </row>
    <row r="49451" spans="1:6" x14ac:dyDescent="0.25">
      <c r="A49451" s="1" t="str">
        <f t="shared" si="1576"/>
        <v>99999</v>
      </c>
      <c r="B49451" s="1" t="str">
        <f>"04613"</f>
        <v>04613</v>
      </c>
      <c r="C49451" s="2">
        <v>6.2791316523881298E-6</v>
      </c>
      <c r="D49451" s="2">
        <v>1.50570889527644E-6</v>
      </c>
      <c r="E49451" s="2">
        <v>8.6021135392965999E-6</v>
      </c>
      <c r="F49451" s="2">
        <v>6.0195867484619901E-6</v>
      </c>
    </row>
    <row r="49452" spans="1:6" x14ac:dyDescent="0.25">
      <c r="A49452" s="1" t="str">
        <f t="shared" si="1576"/>
        <v>99999</v>
      </c>
      <c r="B49452" s="1" t="str">
        <f>"28325"</f>
        <v>28325</v>
      </c>
      <c r="C49452" s="2">
        <v>0</v>
      </c>
      <c r="D49452" s="2">
        <v>0</v>
      </c>
      <c r="E49452" s="2">
        <v>4.3010567696482999E-6</v>
      </c>
      <c r="F49452" s="2">
        <v>9.8681749974786797E-8</v>
      </c>
    </row>
    <row r="49453" spans="1:6" x14ac:dyDescent="0.25">
      <c r="A49453" s="1" t="str">
        <f t="shared" si="1576"/>
        <v>99999</v>
      </c>
      <c r="B49453" s="1" t="str">
        <f>"29477"</f>
        <v>29477</v>
      </c>
      <c r="C49453" s="2">
        <v>2.1652178111683201E-7</v>
      </c>
      <c r="D49453" s="2">
        <v>0</v>
      </c>
      <c r="E49453" s="2">
        <v>0</v>
      </c>
      <c r="F49453" s="2">
        <v>1.9736349994957301E-7</v>
      </c>
    </row>
    <row r="49454" spans="1:6" x14ac:dyDescent="0.25">
      <c r="A49454" s="1" t="str">
        <f t="shared" si="1576"/>
        <v>99999</v>
      </c>
      <c r="B49454" s="1" t="str">
        <f>"40310"</f>
        <v>40310</v>
      </c>
      <c r="C49454" s="2">
        <v>0</v>
      </c>
      <c r="D49454" s="2">
        <v>0</v>
      </c>
      <c r="E49454" s="2">
        <v>4.3010567696482999E-6</v>
      </c>
      <c r="F49454" s="2">
        <v>9.8681749974786797E-8</v>
      </c>
    </row>
    <row r="49455" spans="1:6" x14ac:dyDescent="0.25">
      <c r="A49455" s="1" t="str">
        <f t="shared" si="1576"/>
        <v>99999</v>
      </c>
      <c r="B49455" s="1" t="str">
        <f>"44802"</f>
        <v>44802</v>
      </c>
      <c r="C49455" s="2">
        <v>3.2478267167524802E-7</v>
      </c>
      <c r="D49455" s="2">
        <v>0</v>
      </c>
      <c r="E49455" s="2">
        <v>0</v>
      </c>
      <c r="F49455" s="2">
        <v>2.9604524992435999E-7</v>
      </c>
    </row>
    <row r="49456" spans="1:6" x14ac:dyDescent="0.25">
      <c r="A49456" s="1" t="str">
        <f t="shared" si="1576"/>
        <v>99999</v>
      </c>
      <c r="B49456" s="1" t="str">
        <f>"53522"</f>
        <v>53522</v>
      </c>
      <c r="C49456" s="2">
        <v>4.4386965128950601E-6</v>
      </c>
      <c r="D49456" s="2">
        <v>1.50570889527644E-6</v>
      </c>
      <c r="E49456" s="2">
        <v>8.6021135392965999E-6</v>
      </c>
      <c r="F49456" s="2">
        <v>4.3419969988906098E-6</v>
      </c>
    </row>
    <row r="49457" spans="1:6" x14ac:dyDescent="0.25">
      <c r="A49457" s="1" t="str">
        <f t="shared" si="1576"/>
        <v>99999</v>
      </c>
      <c r="B49457" s="1" t="str">
        <f>"57018"</f>
        <v>57018</v>
      </c>
      <c r="C49457" s="2">
        <v>1.62391335837624E-6</v>
      </c>
      <c r="D49457" s="2">
        <v>0</v>
      </c>
      <c r="E49457" s="2">
        <v>0</v>
      </c>
      <c r="F49457" s="2">
        <v>1.4802262496218E-6</v>
      </c>
    </row>
    <row r="49458" spans="1:6" x14ac:dyDescent="0.25">
      <c r="A49458" s="1" t="str">
        <f t="shared" si="1576"/>
        <v>99999</v>
      </c>
      <c r="B49458" s="1" t="str">
        <f>"56028"</f>
        <v>56028</v>
      </c>
      <c r="C49458" s="2">
        <v>2.2734787017267302E-6</v>
      </c>
      <c r="D49458" s="2">
        <v>0</v>
      </c>
      <c r="E49458" s="2">
        <v>0</v>
      </c>
      <c r="F49458" s="2">
        <v>2.0723167494705202E-6</v>
      </c>
    </row>
    <row r="49459" spans="1:6" x14ac:dyDescent="0.25">
      <c r="A49459" s="1" t="str">
        <f t="shared" si="1576"/>
        <v>99999</v>
      </c>
      <c r="B49459" s="1" t="str">
        <f>"71052"</f>
        <v>71052</v>
      </c>
      <c r="C49459" s="2">
        <v>3.1395658261940598E-6</v>
      </c>
      <c r="D49459" s="2">
        <v>1.50570889527644E-6</v>
      </c>
      <c r="E49459" s="2">
        <v>0</v>
      </c>
      <c r="F49459" s="2">
        <v>2.9604524992435999E-6</v>
      </c>
    </row>
    <row r="49460" spans="1:6" x14ac:dyDescent="0.25">
      <c r="A49460" s="1" t="str">
        <f t="shared" si="1576"/>
        <v>99999</v>
      </c>
      <c r="B49460" s="1" t="str">
        <f>"81241"</f>
        <v>81241</v>
      </c>
      <c r="C49460" s="2">
        <v>0</v>
      </c>
      <c r="D49460" s="2">
        <v>0</v>
      </c>
      <c r="E49460" s="2">
        <v>4.3010567696482999E-6</v>
      </c>
      <c r="F49460" s="2">
        <v>9.8681749974786797E-8</v>
      </c>
    </row>
    <row r="49461" spans="1:6" x14ac:dyDescent="0.25">
      <c r="A49461" s="1" t="str">
        <f t="shared" si="1576"/>
        <v>99999</v>
      </c>
      <c r="B49461" s="1" t="str">
        <f>"84051"</f>
        <v>84051</v>
      </c>
      <c r="C49461" s="2">
        <v>1.3857393991477199E-5</v>
      </c>
      <c r="D49461" s="2">
        <v>1.50570889527644E-6</v>
      </c>
      <c r="E49461" s="2">
        <v>0</v>
      </c>
      <c r="F49461" s="2">
        <v>1.27299457467474E-5</v>
      </c>
    </row>
    <row r="49462" spans="1:6" x14ac:dyDescent="0.25">
      <c r="A49462" s="1" t="str">
        <f t="shared" si="1576"/>
        <v>99999</v>
      </c>
      <c r="B49462" s="1" t="str">
        <f>"84533"</f>
        <v>84533</v>
      </c>
      <c r="C49462" s="2">
        <v>2.6199135515136701E-5</v>
      </c>
      <c r="D49462" s="2">
        <v>1.65627978480408E-5</v>
      </c>
      <c r="E49462" s="2">
        <v>1.72042270785932E-5</v>
      </c>
      <c r="F49462" s="2">
        <v>2.53612097435202E-5</v>
      </c>
    </row>
    <row r="49463" spans="1:6" x14ac:dyDescent="0.25">
      <c r="A49463" s="1" t="str">
        <f t="shared" si="1576"/>
        <v>99999</v>
      </c>
      <c r="B49463" s="1" t="str">
        <f>"95645"</f>
        <v>95645</v>
      </c>
      <c r="C49463" s="2">
        <v>1.9486960300514902E-6</v>
      </c>
      <c r="D49463" s="2">
        <v>0</v>
      </c>
      <c r="E49463" s="2">
        <v>0</v>
      </c>
      <c r="F49463" s="2">
        <v>1.77627149954616E-6</v>
      </c>
    </row>
    <row r="49464" spans="1:6" x14ac:dyDescent="0.25">
      <c r="A49464" s="1" t="str">
        <f t="shared" si="1576"/>
        <v>99999</v>
      </c>
      <c r="B49464" s="1" t="str">
        <f>"25043"</f>
        <v>25043</v>
      </c>
      <c r="C49464" s="2">
        <v>2.3817395922851499E-6</v>
      </c>
      <c r="D49464" s="2">
        <v>0</v>
      </c>
      <c r="E49464" s="2">
        <v>0</v>
      </c>
      <c r="F49464" s="2">
        <v>2.1709984994452998E-6</v>
      </c>
    </row>
    <row r="49465" spans="1:6" x14ac:dyDescent="0.25">
      <c r="A49465" s="1" t="str">
        <f t="shared" si="1576"/>
        <v>99999</v>
      </c>
      <c r="B49465" s="1" t="str">
        <f>"52348"</f>
        <v>52348</v>
      </c>
      <c r="C49465" s="2">
        <v>6.49565343350497E-7</v>
      </c>
      <c r="D49465" s="2">
        <v>0</v>
      </c>
      <c r="E49465" s="2">
        <v>4.3010567696482999E-6</v>
      </c>
      <c r="F49465" s="2">
        <v>6.9077224982350697E-7</v>
      </c>
    </row>
    <row r="49466" spans="1:6" x14ac:dyDescent="0.25">
      <c r="A49466" s="1" t="str">
        <f t="shared" si="1576"/>
        <v>99999</v>
      </c>
      <c r="B49466" s="1" t="str">
        <f>"58520"</f>
        <v>58520</v>
      </c>
      <c r="C49466" s="2">
        <v>1.9486960300514902E-6</v>
      </c>
      <c r="D49466" s="2">
        <v>0</v>
      </c>
      <c r="E49466" s="2">
        <v>0</v>
      </c>
      <c r="F49466" s="2">
        <v>1.77627149954616E-6</v>
      </c>
    </row>
    <row r="49467" spans="1:6" x14ac:dyDescent="0.25">
      <c r="A49467" s="1" t="str">
        <f t="shared" si="1576"/>
        <v>99999</v>
      </c>
      <c r="B49467" s="1" t="str">
        <f>"83278"</f>
        <v>83278</v>
      </c>
      <c r="C49467" s="2">
        <v>1.16921761803089E-5</v>
      </c>
      <c r="D49467" s="2">
        <v>1.0539962266935E-5</v>
      </c>
      <c r="E49467" s="2">
        <v>4.3010567696482999E-6</v>
      </c>
      <c r="F49467" s="2">
        <v>1.14470829970752E-5</v>
      </c>
    </row>
    <row r="49468" spans="1:6" x14ac:dyDescent="0.25">
      <c r="A49468" s="1" t="str">
        <f t="shared" si="1576"/>
        <v>99999</v>
      </c>
      <c r="B49468" s="1" t="str">
        <f>"04635"</f>
        <v>04635</v>
      </c>
      <c r="C49468" s="2">
        <v>0</v>
      </c>
      <c r="D49468" s="2">
        <v>0</v>
      </c>
      <c r="E49468" s="2">
        <v>4.3010567696482999E-6</v>
      </c>
      <c r="F49468" s="2">
        <v>9.8681749974786797E-8</v>
      </c>
    </row>
    <row r="49469" spans="1:6" x14ac:dyDescent="0.25">
      <c r="A49469" s="1" t="str">
        <f t="shared" si="1576"/>
        <v>99999</v>
      </c>
      <c r="B49469" s="1" t="str">
        <f>"42441"</f>
        <v>42441</v>
      </c>
      <c r="C49469" s="2">
        <v>3.0313049356356498E-6</v>
      </c>
      <c r="D49469" s="2">
        <v>0</v>
      </c>
      <c r="E49469" s="2">
        <v>0</v>
      </c>
      <c r="F49469" s="2">
        <v>2.76308899929403E-6</v>
      </c>
    </row>
    <row r="49470" spans="1:6" x14ac:dyDescent="0.25">
      <c r="A49470" s="1" t="str">
        <f t="shared" si="1576"/>
        <v>99999</v>
      </c>
      <c r="B49470" s="1" t="str">
        <f>"40824"</f>
        <v>40824</v>
      </c>
      <c r="C49470" s="2">
        <v>1.5589568240411901E-5</v>
      </c>
      <c r="D49470" s="2">
        <v>0</v>
      </c>
      <c r="E49470" s="2">
        <v>1.29031703089449E-5</v>
      </c>
      <c r="F49470" s="2">
        <v>1.45062172462936E-5</v>
      </c>
    </row>
    <row r="49471" spans="1:6" x14ac:dyDescent="0.25">
      <c r="A49471" s="1" t="str">
        <f t="shared" si="1576"/>
        <v>99999</v>
      </c>
      <c r="B49471" s="1" t="str">
        <f>"47944"</f>
        <v>47944</v>
      </c>
      <c r="C49471" s="2">
        <v>4.3304356223366401E-7</v>
      </c>
      <c r="D49471" s="2">
        <v>0</v>
      </c>
      <c r="E49471" s="2">
        <v>0</v>
      </c>
      <c r="F49471" s="2">
        <v>3.9472699989914697E-7</v>
      </c>
    </row>
    <row r="49472" spans="1:6" x14ac:dyDescent="0.25">
      <c r="A49472" s="1" t="str">
        <f t="shared" si="1576"/>
        <v>99999</v>
      </c>
      <c r="B49472" s="1" t="str">
        <f>"49346"</f>
        <v>49346</v>
      </c>
      <c r="C49472" s="2">
        <v>9.7434801502574508E-7</v>
      </c>
      <c r="D49472" s="2">
        <v>0</v>
      </c>
      <c r="E49472" s="2">
        <v>0</v>
      </c>
      <c r="F49472" s="2">
        <v>8.8813574977308104E-7</v>
      </c>
    </row>
    <row r="49473" spans="1:6" x14ac:dyDescent="0.25">
      <c r="A49473" s="1" t="str">
        <f t="shared" si="1576"/>
        <v>99999</v>
      </c>
      <c r="B49473" s="1" t="str">
        <f>"49010"</f>
        <v>49010</v>
      </c>
      <c r="C49473" s="2">
        <v>3.6808702789861401E-6</v>
      </c>
      <c r="D49473" s="2">
        <v>0</v>
      </c>
      <c r="E49473" s="2">
        <v>0</v>
      </c>
      <c r="F49473" s="2">
        <v>3.35517949914275E-6</v>
      </c>
    </row>
    <row r="49474" spans="1:6" x14ac:dyDescent="0.25">
      <c r="A49474" s="1" t="str">
        <f t="shared" si="1576"/>
        <v>99999</v>
      </c>
      <c r="B49474" s="1" t="str">
        <f>"59842"</f>
        <v>59842</v>
      </c>
      <c r="C49474" s="2">
        <v>3.2478267167524799E-6</v>
      </c>
      <c r="D49474" s="2">
        <v>0</v>
      </c>
      <c r="E49474" s="2">
        <v>0</v>
      </c>
      <c r="F49474" s="2">
        <v>2.9604524992435999E-6</v>
      </c>
    </row>
    <row r="49475" spans="1:6" x14ac:dyDescent="0.25">
      <c r="A49475" s="1" t="str">
        <f t="shared" si="1576"/>
        <v>99999</v>
      </c>
      <c r="B49475" s="1" t="str">
        <f>"61775"</f>
        <v>61775</v>
      </c>
      <c r="C49475" s="2">
        <v>2.1652178111683201E-7</v>
      </c>
      <c r="D49475" s="2">
        <v>0</v>
      </c>
      <c r="E49475" s="2">
        <v>0</v>
      </c>
      <c r="F49475" s="2">
        <v>1.9736349994957301E-7</v>
      </c>
    </row>
    <row r="49476" spans="1:6" x14ac:dyDescent="0.25">
      <c r="A49476" s="1" t="str">
        <f t="shared" si="1576"/>
        <v>99999</v>
      </c>
      <c r="B49476" s="1" t="str">
        <f>"99657"</f>
        <v>99657</v>
      </c>
      <c r="C49476" s="2">
        <v>0</v>
      </c>
      <c r="D49476" s="2">
        <v>0</v>
      </c>
      <c r="E49476" s="2">
        <v>4.3010567696482999E-6</v>
      </c>
      <c r="F49476" s="2">
        <v>9.8681749974786797E-8</v>
      </c>
    </row>
    <row r="49477" spans="1:6" x14ac:dyDescent="0.25">
      <c r="A49477" s="1" t="str">
        <f t="shared" si="1576"/>
        <v>99999</v>
      </c>
      <c r="B49477" s="1" t="str">
        <f>"12972"</f>
        <v>12972</v>
      </c>
      <c r="C49477" s="2">
        <v>1.4073915772594101E-6</v>
      </c>
      <c r="D49477" s="2">
        <v>0</v>
      </c>
      <c r="E49477" s="2">
        <v>0</v>
      </c>
      <c r="F49477" s="2">
        <v>1.2828627496722201E-6</v>
      </c>
    </row>
    <row r="49478" spans="1:6" x14ac:dyDescent="0.25">
      <c r="A49478" s="1" t="str">
        <f t="shared" ref="A49478:A49541" si="1577">"99999"</f>
        <v>99999</v>
      </c>
      <c r="B49478" s="1" t="str">
        <f>"42216"</f>
        <v>42216</v>
      </c>
      <c r="C49478" s="2">
        <v>0</v>
      </c>
      <c r="D49478" s="2">
        <v>0</v>
      </c>
      <c r="E49478" s="2">
        <v>4.3010567696482999E-6</v>
      </c>
      <c r="F49478" s="2">
        <v>9.8681749974786797E-8</v>
      </c>
    </row>
    <row r="49479" spans="1:6" x14ac:dyDescent="0.25">
      <c r="A49479" s="1" t="str">
        <f t="shared" si="1577"/>
        <v>99999</v>
      </c>
      <c r="B49479" s="1" t="str">
        <f>"59443"</f>
        <v>59443</v>
      </c>
      <c r="C49479" s="2">
        <v>1.29913068670099E-6</v>
      </c>
      <c r="D49479" s="2">
        <v>0</v>
      </c>
      <c r="E49479" s="2">
        <v>0</v>
      </c>
      <c r="F49479" s="2">
        <v>1.18418099969744E-6</v>
      </c>
    </row>
    <row r="49480" spans="1:6" x14ac:dyDescent="0.25">
      <c r="A49480" s="1" t="str">
        <f t="shared" si="1577"/>
        <v>99999</v>
      </c>
      <c r="B49480" s="1" t="str">
        <f>"79719"</f>
        <v>79719</v>
      </c>
      <c r="C49480" s="2">
        <v>1.08260890558416E-7</v>
      </c>
      <c r="D49480" s="2">
        <v>4.5171266858293203E-6</v>
      </c>
      <c r="E49480" s="2">
        <v>0</v>
      </c>
      <c r="F49480" s="2">
        <v>3.9472699989914697E-7</v>
      </c>
    </row>
    <row r="49481" spans="1:6" x14ac:dyDescent="0.25">
      <c r="A49481" s="1" t="str">
        <f t="shared" si="1577"/>
        <v>99999</v>
      </c>
      <c r="B49481" s="1" t="str">
        <f>"82441"</f>
        <v>82441</v>
      </c>
      <c r="C49481" s="2">
        <v>8.5526103541148705E-6</v>
      </c>
      <c r="D49481" s="2">
        <v>4.5171266858293203E-6</v>
      </c>
      <c r="E49481" s="2">
        <v>4.3010567696482999E-6</v>
      </c>
      <c r="F49481" s="2">
        <v>8.1905852479073005E-6</v>
      </c>
    </row>
    <row r="49482" spans="1:6" x14ac:dyDescent="0.25">
      <c r="A49482" s="1" t="str">
        <f t="shared" si="1577"/>
        <v>99999</v>
      </c>
      <c r="B49482" s="1" t="str">
        <f>"82922"</f>
        <v>82922</v>
      </c>
      <c r="C49482" s="2">
        <v>1.0826089055841599E-6</v>
      </c>
      <c r="D49482" s="2">
        <v>3.01141779055288E-6</v>
      </c>
      <c r="E49482" s="2">
        <v>0</v>
      </c>
      <c r="F49482" s="2">
        <v>1.18418099969744E-6</v>
      </c>
    </row>
    <row r="49483" spans="1:6" x14ac:dyDescent="0.25">
      <c r="A49483" s="1" t="str">
        <f t="shared" si="1577"/>
        <v>99999</v>
      </c>
      <c r="B49483" s="1" t="str">
        <f>"99747"</f>
        <v>99747</v>
      </c>
      <c r="C49483" s="2">
        <v>0</v>
      </c>
      <c r="D49483" s="2">
        <v>0</v>
      </c>
      <c r="E49483" s="2">
        <v>4.3010567696482999E-6</v>
      </c>
      <c r="F49483" s="2">
        <v>9.8681749974786797E-8</v>
      </c>
    </row>
    <row r="49484" spans="1:6" x14ac:dyDescent="0.25">
      <c r="A49484" s="1" t="str">
        <f t="shared" si="1577"/>
        <v>99999</v>
      </c>
      <c r="B49484" s="1" t="str">
        <f>"14845"</f>
        <v>14845</v>
      </c>
      <c r="C49484" s="2">
        <v>4.3304356223366401E-7</v>
      </c>
      <c r="D49484" s="2">
        <v>0</v>
      </c>
      <c r="E49484" s="2">
        <v>0</v>
      </c>
      <c r="F49484" s="2">
        <v>3.9472699989914697E-7</v>
      </c>
    </row>
    <row r="49485" spans="1:6" x14ac:dyDescent="0.25">
      <c r="A49485" s="1" t="str">
        <f t="shared" si="1577"/>
        <v>99999</v>
      </c>
      <c r="B49485" s="1" t="str">
        <f>"74545"</f>
        <v>74545</v>
      </c>
      <c r="C49485" s="2">
        <v>0</v>
      </c>
      <c r="D49485" s="2">
        <v>0</v>
      </c>
      <c r="E49485" s="2">
        <v>8.6021135392965999E-6</v>
      </c>
      <c r="F49485" s="2">
        <v>1.9736349994957301E-7</v>
      </c>
    </row>
    <row r="49486" spans="1:6" x14ac:dyDescent="0.25">
      <c r="A49486" s="1" t="str">
        <f t="shared" si="1577"/>
        <v>99999</v>
      </c>
      <c r="B49486" s="1" t="str">
        <f>"80740"</f>
        <v>80740</v>
      </c>
      <c r="C49486" s="2">
        <v>5.7378271995960499E-6</v>
      </c>
      <c r="D49486" s="2">
        <v>0</v>
      </c>
      <c r="E49486" s="2">
        <v>4.3010567696482999E-6</v>
      </c>
      <c r="F49486" s="2">
        <v>5.3288144986384803E-6</v>
      </c>
    </row>
    <row r="49487" spans="1:6" x14ac:dyDescent="0.25">
      <c r="A49487" s="1" t="str">
        <f t="shared" si="1577"/>
        <v>99999</v>
      </c>
      <c r="B49487" s="1" t="str">
        <f>"95910"</f>
        <v>95910</v>
      </c>
      <c r="C49487" s="2">
        <v>1.29913068670099E-6</v>
      </c>
      <c r="D49487" s="2">
        <v>0</v>
      </c>
      <c r="E49487" s="2">
        <v>4.3010567696482999E-6</v>
      </c>
      <c r="F49487" s="2">
        <v>1.2828627496722201E-6</v>
      </c>
    </row>
    <row r="49488" spans="1:6" x14ac:dyDescent="0.25">
      <c r="A49488" s="1" t="str">
        <f t="shared" si="1577"/>
        <v>99999</v>
      </c>
      <c r="B49488" s="1" t="str">
        <f>"31021"</f>
        <v>31021</v>
      </c>
      <c r="C49488" s="2">
        <v>1.08260890558416E-7</v>
      </c>
      <c r="D49488" s="2">
        <v>4.5171266858293203E-6</v>
      </c>
      <c r="E49488" s="2">
        <v>0</v>
      </c>
      <c r="F49488" s="2">
        <v>3.9472699989914697E-7</v>
      </c>
    </row>
    <row r="49489" spans="1:6" x14ac:dyDescent="0.25">
      <c r="A49489" s="1" t="str">
        <f t="shared" si="1577"/>
        <v>99999</v>
      </c>
      <c r="B49489" s="1" t="str">
        <f>"59841"</f>
        <v>59841</v>
      </c>
      <c r="C49489" s="2">
        <v>1.08260890558416E-7</v>
      </c>
      <c r="D49489" s="2">
        <v>0</v>
      </c>
      <c r="E49489" s="2">
        <v>4.3010567696482999E-6</v>
      </c>
      <c r="F49489" s="2">
        <v>1.9736349994957301E-7</v>
      </c>
    </row>
    <row r="49490" spans="1:6" x14ac:dyDescent="0.25">
      <c r="A49490" s="1" t="str">
        <f t="shared" si="1577"/>
        <v>99999</v>
      </c>
      <c r="B49490" s="1" t="str">
        <f>"59747"</f>
        <v>59747</v>
      </c>
      <c r="C49490" s="2">
        <v>1.08260890558416E-7</v>
      </c>
      <c r="D49490" s="2">
        <v>0</v>
      </c>
      <c r="E49490" s="2">
        <v>4.3010567696482999E-6</v>
      </c>
      <c r="F49490" s="2">
        <v>1.9736349994957301E-7</v>
      </c>
    </row>
    <row r="49491" spans="1:6" x14ac:dyDescent="0.25">
      <c r="A49491" s="1" t="str">
        <f t="shared" si="1577"/>
        <v>99999</v>
      </c>
      <c r="B49491" s="1" t="str">
        <f>"76628"</f>
        <v>76628</v>
      </c>
      <c r="C49491" s="2">
        <v>0</v>
      </c>
      <c r="D49491" s="2">
        <v>1.50570889527644E-6</v>
      </c>
      <c r="E49491" s="2">
        <v>0</v>
      </c>
      <c r="F49491" s="2">
        <v>9.8681749974786797E-8</v>
      </c>
    </row>
    <row r="49492" spans="1:6" x14ac:dyDescent="0.25">
      <c r="A49492" s="1" t="str">
        <f t="shared" si="1577"/>
        <v>99999</v>
      </c>
      <c r="B49492" s="1" t="str">
        <f>"99627"</f>
        <v>99627</v>
      </c>
      <c r="C49492" s="2">
        <v>0</v>
      </c>
      <c r="D49492" s="2">
        <v>0</v>
      </c>
      <c r="E49492" s="2">
        <v>4.3010567696482999E-6</v>
      </c>
      <c r="F49492" s="2">
        <v>9.8681749974786797E-8</v>
      </c>
    </row>
    <row r="49493" spans="1:6" x14ac:dyDescent="0.25">
      <c r="A49493" s="1" t="str">
        <f t="shared" si="1577"/>
        <v>99999</v>
      </c>
      <c r="B49493" s="1" t="str">
        <f>"04415"</f>
        <v>04415</v>
      </c>
      <c r="C49493" s="2">
        <v>2.1652178111683201E-7</v>
      </c>
      <c r="D49493" s="2">
        <v>0</v>
      </c>
      <c r="E49493" s="2">
        <v>4.3010567696482999E-6</v>
      </c>
      <c r="F49493" s="2">
        <v>2.9604524992435999E-7</v>
      </c>
    </row>
    <row r="49494" spans="1:6" x14ac:dyDescent="0.25">
      <c r="A49494" s="1" t="str">
        <f t="shared" si="1577"/>
        <v>99999</v>
      </c>
      <c r="B49494" s="1" t="str">
        <f>"21562"</f>
        <v>21562</v>
      </c>
      <c r="C49494" s="2">
        <v>1.51565246781782E-6</v>
      </c>
      <c r="D49494" s="2">
        <v>1.50570889527644E-6</v>
      </c>
      <c r="E49494" s="2">
        <v>0</v>
      </c>
      <c r="F49494" s="2">
        <v>1.4802262496218E-6</v>
      </c>
    </row>
    <row r="49495" spans="1:6" x14ac:dyDescent="0.25">
      <c r="A49495" s="1" t="str">
        <f t="shared" si="1577"/>
        <v>99999</v>
      </c>
      <c r="B49495" s="1" t="str">
        <f>"31026"</f>
        <v>31026</v>
      </c>
      <c r="C49495" s="2">
        <v>0</v>
      </c>
      <c r="D49495" s="2">
        <v>1.50570889527644E-6</v>
      </c>
      <c r="E49495" s="2">
        <v>0</v>
      </c>
      <c r="F49495" s="2">
        <v>9.8681749974786797E-8</v>
      </c>
    </row>
    <row r="49496" spans="1:6" x14ac:dyDescent="0.25">
      <c r="A49496" s="1" t="str">
        <f t="shared" si="1577"/>
        <v>99999</v>
      </c>
      <c r="B49496" s="1" t="str">
        <f>"39109"</f>
        <v>39109</v>
      </c>
      <c r="C49496" s="2">
        <v>1.08260890558416E-7</v>
      </c>
      <c r="D49496" s="2">
        <v>1.50570889527644E-6</v>
      </c>
      <c r="E49496" s="2">
        <v>0</v>
      </c>
      <c r="F49496" s="2">
        <v>1.9736349994957301E-7</v>
      </c>
    </row>
    <row r="49497" spans="1:6" x14ac:dyDescent="0.25">
      <c r="A49497" s="1" t="str">
        <f t="shared" si="1577"/>
        <v>99999</v>
      </c>
      <c r="B49497" s="1" t="str">
        <f>"26680"</f>
        <v>26680</v>
      </c>
      <c r="C49497" s="2">
        <v>1.09343499464E-5</v>
      </c>
      <c r="D49497" s="2">
        <v>3.01141779055288E-6</v>
      </c>
      <c r="E49497" s="2">
        <v>0</v>
      </c>
      <c r="F49497" s="2">
        <v>1.0164220247403001E-5</v>
      </c>
    </row>
    <row r="49498" spans="1:6" x14ac:dyDescent="0.25">
      <c r="A49498" s="1" t="str">
        <f t="shared" si="1577"/>
        <v>99999</v>
      </c>
      <c r="B49498" s="1" t="str">
        <f>"27844"</f>
        <v>27844</v>
      </c>
      <c r="C49498" s="2">
        <v>2.7931309764071301E-5</v>
      </c>
      <c r="D49498" s="2">
        <v>9.0342533716586405E-6</v>
      </c>
      <c r="E49498" s="2">
        <v>0</v>
      </c>
      <c r="F49498" s="2">
        <v>2.6051981993343701E-5</v>
      </c>
    </row>
    <row r="49499" spans="1:6" x14ac:dyDescent="0.25">
      <c r="A49499" s="1" t="str">
        <f t="shared" si="1577"/>
        <v>99999</v>
      </c>
      <c r="B49499" s="1" t="str">
        <f>"39750"</f>
        <v>39750</v>
      </c>
      <c r="C49499" s="2">
        <v>1.29913068670099E-6</v>
      </c>
      <c r="D49499" s="2">
        <v>1.50570889527644E-6</v>
      </c>
      <c r="E49499" s="2">
        <v>0</v>
      </c>
      <c r="F49499" s="2">
        <v>1.2828627496722201E-6</v>
      </c>
    </row>
    <row r="49500" spans="1:6" x14ac:dyDescent="0.25">
      <c r="A49500" s="1" t="str">
        <f t="shared" si="1577"/>
        <v>99999</v>
      </c>
      <c r="B49500" s="1" t="str">
        <f>"41669"</f>
        <v>41669</v>
      </c>
      <c r="C49500" s="2">
        <v>1.5806090021528701E-5</v>
      </c>
      <c r="D49500" s="2">
        <v>0</v>
      </c>
      <c r="E49500" s="2">
        <v>3.8709510926834699E-5</v>
      </c>
      <c r="F49500" s="2">
        <v>1.5295671246091901E-5</v>
      </c>
    </row>
    <row r="49501" spans="1:6" x14ac:dyDescent="0.25">
      <c r="A49501" s="1" t="str">
        <f t="shared" si="1577"/>
        <v>99999</v>
      </c>
      <c r="B49501" s="1" t="str">
        <f>"47906"</f>
        <v>47906</v>
      </c>
      <c r="C49501" s="2">
        <v>2.1652178111683198E-6</v>
      </c>
      <c r="D49501" s="2">
        <v>0</v>
      </c>
      <c r="E49501" s="2">
        <v>0</v>
      </c>
      <c r="F49501" s="2">
        <v>1.9736349994957299E-6</v>
      </c>
    </row>
    <row r="49502" spans="1:6" x14ac:dyDescent="0.25">
      <c r="A49502" s="1" t="str">
        <f t="shared" si="1577"/>
        <v>99999</v>
      </c>
      <c r="B49502" s="1" t="str">
        <f>"51018"</f>
        <v>51018</v>
      </c>
      <c r="C49502" s="2">
        <v>5.1965227468039701E-6</v>
      </c>
      <c r="D49502" s="2">
        <v>1.50570889527644E-6</v>
      </c>
      <c r="E49502" s="2">
        <v>0</v>
      </c>
      <c r="F49502" s="2">
        <v>4.8354057487645501E-6</v>
      </c>
    </row>
    <row r="49503" spans="1:6" x14ac:dyDescent="0.25">
      <c r="A49503" s="1" t="str">
        <f t="shared" si="1577"/>
        <v>99999</v>
      </c>
      <c r="B49503" s="1" t="str">
        <f>"50041"</f>
        <v>50041</v>
      </c>
      <c r="C49503" s="2">
        <v>6.2791316523881298E-6</v>
      </c>
      <c r="D49503" s="2">
        <v>1.50570889527644E-6</v>
      </c>
      <c r="E49503" s="2">
        <v>1.29031703089449E-5</v>
      </c>
      <c r="F49503" s="2">
        <v>6.1182684984367804E-6</v>
      </c>
    </row>
    <row r="49504" spans="1:6" x14ac:dyDescent="0.25">
      <c r="A49504" s="1" t="str">
        <f t="shared" si="1577"/>
        <v>99999</v>
      </c>
      <c r="B49504" s="1" t="str">
        <f>"52320"</f>
        <v>52320</v>
      </c>
      <c r="C49504" s="2">
        <v>3.3560876073109E-6</v>
      </c>
      <c r="D49504" s="2">
        <v>1.50570889527644E-6</v>
      </c>
      <c r="E49504" s="2">
        <v>0</v>
      </c>
      <c r="F49504" s="2">
        <v>3.1578159991931699E-6</v>
      </c>
    </row>
    <row r="49505" spans="1:6" x14ac:dyDescent="0.25">
      <c r="A49505" s="1" t="str">
        <f t="shared" si="1577"/>
        <v>99999</v>
      </c>
      <c r="B49505" s="1" t="str">
        <f>"56323"</f>
        <v>56323</v>
      </c>
      <c r="C49505" s="2">
        <v>2.3492613251176299E-5</v>
      </c>
      <c r="D49505" s="2">
        <v>3.01141779055288E-6</v>
      </c>
      <c r="E49505" s="2">
        <v>3.44084541571864E-5</v>
      </c>
      <c r="F49505" s="2">
        <v>2.2400757244276601E-5</v>
      </c>
    </row>
    <row r="49506" spans="1:6" x14ac:dyDescent="0.25">
      <c r="A49506" s="1" t="str">
        <f t="shared" si="1577"/>
        <v>99999</v>
      </c>
      <c r="B49506" s="1" t="str">
        <f>"57006"</f>
        <v>57006</v>
      </c>
      <c r="C49506" s="2">
        <v>6.7121752146218001E-6</v>
      </c>
      <c r="D49506" s="2">
        <v>1.50570889527644E-6</v>
      </c>
      <c r="E49506" s="2">
        <v>4.3010567696482999E-6</v>
      </c>
      <c r="F49506" s="2">
        <v>6.3156319983863499E-6</v>
      </c>
    </row>
    <row r="49507" spans="1:6" x14ac:dyDescent="0.25">
      <c r="A49507" s="1" t="str">
        <f t="shared" si="1577"/>
        <v>99999</v>
      </c>
      <c r="B49507" s="1" t="str">
        <f>"59537"</f>
        <v>59537</v>
      </c>
      <c r="C49507" s="2">
        <v>3.3560876073109E-6</v>
      </c>
      <c r="D49507" s="2">
        <v>4.5171266858293203E-6</v>
      </c>
      <c r="E49507" s="2">
        <v>4.3010567696482999E-6</v>
      </c>
      <c r="F49507" s="2">
        <v>3.4538612491175301E-6</v>
      </c>
    </row>
    <row r="49508" spans="1:6" x14ac:dyDescent="0.25">
      <c r="A49508" s="1" t="str">
        <f t="shared" si="1577"/>
        <v>99999</v>
      </c>
      <c r="B49508" s="1" t="str">
        <f>"51630"</f>
        <v>51630</v>
      </c>
      <c r="C49508" s="2">
        <v>7.7947841202059606E-6</v>
      </c>
      <c r="D49508" s="2">
        <v>1.50570889527644E-6</v>
      </c>
      <c r="E49508" s="2">
        <v>4.3010567696482999E-6</v>
      </c>
      <c r="F49508" s="2">
        <v>7.3024494981342204E-6</v>
      </c>
    </row>
    <row r="49509" spans="1:6" x14ac:dyDescent="0.25">
      <c r="A49509" s="1" t="str">
        <f t="shared" si="1577"/>
        <v>99999</v>
      </c>
      <c r="B49509" s="1" t="str">
        <f>"67485"</f>
        <v>67485</v>
      </c>
      <c r="C49509" s="2">
        <v>1.6672177145996001E-5</v>
      </c>
      <c r="D49509" s="2">
        <v>1.0539962266935E-5</v>
      </c>
      <c r="E49509" s="2">
        <v>1.29031703089449E-5</v>
      </c>
      <c r="F49509" s="2">
        <v>1.6183806995865E-5</v>
      </c>
    </row>
    <row r="49510" spans="1:6" x14ac:dyDescent="0.25">
      <c r="A49510" s="1" t="str">
        <f t="shared" si="1577"/>
        <v>99999</v>
      </c>
      <c r="B49510" s="1" t="str">
        <f>"65618"</f>
        <v>65618</v>
      </c>
      <c r="C49510" s="2">
        <v>1.16921761803089E-5</v>
      </c>
      <c r="D49510" s="2">
        <v>3.01141779055288E-6</v>
      </c>
      <c r="E49510" s="2">
        <v>4.3010567696482999E-6</v>
      </c>
      <c r="F49510" s="2">
        <v>1.0953674247201299E-5</v>
      </c>
    </row>
    <row r="49511" spans="1:6" x14ac:dyDescent="0.25">
      <c r="A49511" s="1" t="str">
        <f t="shared" si="1577"/>
        <v>99999</v>
      </c>
      <c r="B49511" s="1" t="str">
        <f>"76890"</f>
        <v>76890</v>
      </c>
      <c r="C49511" s="2">
        <v>5.1965227468039701E-6</v>
      </c>
      <c r="D49511" s="2">
        <v>1.50570889527644E-6</v>
      </c>
      <c r="E49511" s="2">
        <v>0</v>
      </c>
      <c r="F49511" s="2">
        <v>4.8354057487645501E-6</v>
      </c>
    </row>
    <row r="49512" spans="1:6" x14ac:dyDescent="0.25">
      <c r="A49512" s="1" t="str">
        <f t="shared" si="1577"/>
        <v>99999</v>
      </c>
      <c r="B49512" s="1" t="str">
        <f>"78111"</f>
        <v>78111</v>
      </c>
      <c r="C49512" s="2">
        <v>2.0569569206099001E-6</v>
      </c>
      <c r="D49512" s="2">
        <v>1.50570889527644E-6</v>
      </c>
      <c r="E49512" s="2">
        <v>1.29031703089449E-5</v>
      </c>
      <c r="F49512" s="2">
        <v>2.2696802494200901E-6</v>
      </c>
    </row>
    <row r="49513" spans="1:6" x14ac:dyDescent="0.25">
      <c r="A49513" s="1" t="str">
        <f t="shared" si="1577"/>
        <v>99999</v>
      </c>
      <c r="B49513" s="1" t="str">
        <f>"82083"</f>
        <v>82083</v>
      </c>
      <c r="C49513" s="2">
        <v>5.6295663090376404E-6</v>
      </c>
      <c r="D49513" s="2">
        <v>1.20456711622115E-5</v>
      </c>
      <c r="E49513" s="2">
        <v>4.7311624466131299E-5</v>
      </c>
      <c r="F49513" s="2">
        <v>7.0064042482098597E-6</v>
      </c>
    </row>
    <row r="49514" spans="1:6" x14ac:dyDescent="0.25">
      <c r="A49514" s="1" t="str">
        <f t="shared" si="1577"/>
        <v>99999</v>
      </c>
      <c r="B49514" s="1" t="str">
        <f>"83520"</f>
        <v>83520</v>
      </c>
      <c r="C49514" s="2">
        <v>8.5526103541148705E-6</v>
      </c>
      <c r="D49514" s="2">
        <v>4.5171266858293203E-6</v>
      </c>
      <c r="E49514" s="2">
        <v>8.6021135392965999E-5</v>
      </c>
      <c r="F49514" s="2">
        <v>1.00655384974282E-5</v>
      </c>
    </row>
    <row r="49515" spans="1:6" x14ac:dyDescent="0.25">
      <c r="A49515" s="1" t="str">
        <f t="shared" si="1577"/>
        <v>99999</v>
      </c>
      <c r="B49515" s="1" t="str">
        <f>"98643"</f>
        <v>98643</v>
      </c>
      <c r="C49515" s="2">
        <v>5.0557835890780303E-5</v>
      </c>
      <c r="D49515" s="2">
        <v>1.20456711622115E-5</v>
      </c>
      <c r="E49515" s="2">
        <v>4.3010567696482999E-6</v>
      </c>
      <c r="F49515" s="2">
        <v>4.6972512987998499E-5</v>
      </c>
    </row>
    <row r="49516" spans="1:6" x14ac:dyDescent="0.25">
      <c r="A49516" s="1" t="str">
        <f t="shared" si="1577"/>
        <v>99999</v>
      </c>
      <c r="B49516" s="1" t="str">
        <f>"99737"</f>
        <v>99737</v>
      </c>
      <c r="C49516" s="2">
        <v>5.5754358637584299E-5</v>
      </c>
      <c r="D49516" s="2">
        <v>3.7642722381910999E-5</v>
      </c>
      <c r="E49516" s="2">
        <v>8.6021135392965999E-6</v>
      </c>
      <c r="F49516" s="2">
        <v>5.3485508486334399E-5</v>
      </c>
    </row>
    <row r="49517" spans="1:6" x14ac:dyDescent="0.25">
      <c r="A49517" s="1" t="str">
        <f t="shared" si="1577"/>
        <v>99999</v>
      </c>
      <c r="B49517" s="1" t="str">
        <f>"12778"</f>
        <v>12778</v>
      </c>
      <c r="C49517" s="2">
        <v>2.49000048284357E-6</v>
      </c>
      <c r="D49517" s="2">
        <v>0</v>
      </c>
      <c r="E49517" s="2">
        <v>4.3010567696482999E-6</v>
      </c>
      <c r="F49517" s="2">
        <v>2.3683619993948799E-6</v>
      </c>
    </row>
    <row r="49518" spans="1:6" x14ac:dyDescent="0.25">
      <c r="A49518" s="1" t="str">
        <f t="shared" si="1577"/>
        <v>99999</v>
      </c>
      <c r="B49518" s="1" t="str">
        <f>"18456"</f>
        <v>18456</v>
      </c>
      <c r="C49518" s="2">
        <v>2.0136525643865401E-5</v>
      </c>
      <c r="D49518" s="2">
        <v>9.0342533716586405E-6</v>
      </c>
      <c r="E49518" s="2">
        <v>2.58063406178898E-5</v>
      </c>
      <c r="F49518" s="2">
        <v>1.95389864950077E-5</v>
      </c>
    </row>
    <row r="49519" spans="1:6" x14ac:dyDescent="0.25">
      <c r="A49519" s="1" t="str">
        <f t="shared" si="1577"/>
        <v>99999</v>
      </c>
      <c r="B49519" s="1" t="str">
        <f>"24239"</f>
        <v>24239</v>
      </c>
      <c r="C49519" s="2">
        <v>3.2478267167524799E-6</v>
      </c>
      <c r="D49519" s="2">
        <v>3.01141779055288E-6</v>
      </c>
      <c r="E49519" s="2">
        <v>0</v>
      </c>
      <c r="F49519" s="2">
        <v>3.1578159991931699E-6</v>
      </c>
    </row>
    <row r="49520" spans="1:6" x14ac:dyDescent="0.25">
      <c r="A49520" s="1" t="str">
        <f t="shared" si="1577"/>
        <v>99999</v>
      </c>
      <c r="B49520" s="1" t="str">
        <f>"26327"</f>
        <v>26327</v>
      </c>
      <c r="C49520" s="2">
        <v>4.6552182940118902E-6</v>
      </c>
      <c r="D49520" s="2">
        <v>1.50570889527644E-6</v>
      </c>
      <c r="E49520" s="2">
        <v>4.3010567696482999E-6</v>
      </c>
      <c r="F49520" s="2">
        <v>4.4406787488654001E-6</v>
      </c>
    </row>
    <row r="49521" spans="1:6" x14ac:dyDescent="0.25">
      <c r="A49521" s="1" t="str">
        <f t="shared" si="1577"/>
        <v>99999</v>
      </c>
      <c r="B49521" s="1" t="str">
        <f>"36454"</f>
        <v>36454</v>
      </c>
      <c r="C49521" s="2">
        <v>5.5213054184792198E-6</v>
      </c>
      <c r="D49521" s="2">
        <v>4.5171266858293203E-6</v>
      </c>
      <c r="E49521" s="2">
        <v>4.3010567696482999E-6</v>
      </c>
      <c r="F49521" s="2">
        <v>5.4274962486132697E-6</v>
      </c>
    </row>
    <row r="49522" spans="1:6" x14ac:dyDescent="0.25">
      <c r="A49522" s="1" t="str">
        <f t="shared" si="1577"/>
        <v>99999</v>
      </c>
      <c r="B49522" s="1" t="str">
        <f>"47616"</f>
        <v>47616</v>
      </c>
      <c r="C49522" s="2">
        <v>2.8147831545188202E-6</v>
      </c>
      <c r="D49522" s="2">
        <v>0</v>
      </c>
      <c r="E49522" s="2">
        <v>0</v>
      </c>
      <c r="F49522" s="2">
        <v>2.5657254993444499E-6</v>
      </c>
    </row>
    <row r="49523" spans="1:6" x14ac:dyDescent="0.25">
      <c r="A49523" s="1" t="str">
        <f t="shared" si="1577"/>
        <v>99999</v>
      </c>
      <c r="B49523" s="1" t="str">
        <f>"40874"</f>
        <v>40874</v>
      </c>
      <c r="C49523" s="2">
        <v>1.30995677575683E-5</v>
      </c>
      <c r="D49523" s="2">
        <v>6.0228355811057601E-6</v>
      </c>
      <c r="E49523" s="2">
        <v>0</v>
      </c>
      <c r="F49523" s="2">
        <v>1.23352187468483E-5</v>
      </c>
    </row>
    <row r="49524" spans="1:6" x14ac:dyDescent="0.25">
      <c r="A49524" s="1" t="str">
        <f t="shared" si="1577"/>
        <v>99999</v>
      </c>
      <c r="B49524" s="1" t="str">
        <f>"49012"</f>
        <v>49012</v>
      </c>
      <c r="C49524" s="2">
        <v>2.0569569206099001E-6</v>
      </c>
      <c r="D49524" s="2">
        <v>0</v>
      </c>
      <c r="E49524" s="2">
        <v>0</v>
      </c>
      <c r="F49524" s="2">
        <v>1.8749532495209401E-6</v>
      </c>
    </row>
    <row r="49525" spans="1:6" x14ac:dyDescent="0.25">
      <c r="A49525" s="1" t="str">
        <f t="shared" si="1577"/>
        <v>99999</v>
      </c>
      <c r="B49525" s="1" t="str">
        <f>"56484"</f>
        <v>56484</v>
      </c>
      <c r="C49525" s="2">
        <v>2.0569569206099001E-6</v>
      </c>
      <c r="D49525" s="2">
        <v>1.50570889527644E-6</v>
      </c>
      <c r="E49525" s="2">
        <v>0</v>
      </c>
      <c r="F49525" s="2">
        <v>1.9736349994957299E-6</v>
      </c>
    </row>
    <row r="49526" spans="1:6" x14ac:dyDescent="0.25">
      <c r="A49526" s="1" t="str">
        <f t="shared" si="1577"/>
        <v>99999</v>
      </c>
      <c r="B49526" s="1" t="str">
        <f>"69219"</f>
        <v>69219</v>
      </c>
      <c r="C49526" s="2">
        <v>5.7378271995960499E-6</v>
      </c>
      <c r="D49526" s="2">
        <v>4.5171266858293203E-6</v>
      </c>
      <c r="E49526" s="2">
        <v>4.3010567696482999E-6</v>
      </c>
      <c r="F49526" s="2">
        <v>5.6248597485628401E-6</v>
      </c>
    </row>
    <row r="49527" spans="1:6" x14ac:dyDescent="0.25">
      <c r="A49527" s="1" t="str">
        <f t="shared" si="1577"/>
        <v>99999</v>
      </c>
      <c r="B49527" s="1" t="str">
        <f>"68934"</f>
        <v>68934</v>
      </c>
      <c r="C49527" s="2">
        <v>8.4443494635564601E-6</v>
      </c>
      <c r="D49527" s="2">
        <v>4.5171266858293203E-6</v>
      </c>
      <c r="E49527" s="2">
        <v>4.3010567696482999E-6</v>
      </c>
      <c r="F49527" s="2">
        <v>8.0919034979325103E-6</v>
      </c>
    </row>
    <row r="49528" spans="1:6" x14ac:dyDescent="0.25">
      <c r="A49528" s="1" t="str">
        <f t="shared" si="1577"/>
        <v>99999</v>
      </c>
      <c r="B49528" s="1" t="str">
        <f>"70580"</f>
        <v>70580</v>
      </c>
      <c r="C49528" s="2">
        <v>0</v>
      </c>
      <c r="D49528" s="2">
        <v>0</v>
      </c>
      <c r="E49528" s="2">
        <v>8.6021135392965999E-6</v>
      </c>
      <c r="F49528" s="2">
        <v>1.9736349994957301E-7</v>
      </c>
    </row>
    <row r="49529" spans="1:6" x14ac:dyDescent="0.25">
      <c r="A49529" s="1" t="str">
        <f t="shared" si="1577"/>
        <v>99999</v>
      </c>
      <c r="B49529" s="1" t="str">
        <f>"68669"</f>
        <v>68669</v>
      </c>
      <c r="C49529" s="2">
        <v>2.6632179077370302E-5</v>
      </c>
      <c r="D49529" s="2">
        <v>1.50570889527644E-5</v>
      </c>
      <c r="E49529" s="2">
        <v>8.6021135392965999E-6</v>
      </c>
      <c r="F49529" s="2">
        <v>2.5459891493494899E-5</v>
      </c>
    </row>
    <row r="49530" spans="1:6" x14ac:dyDescent="0.25">
      <c r="A49530" s="1" t="str">
        <f t="shared" si="1577"/>
        <v>99999</v>
      </c>
      <c r="B49530" s="1" t="str">
        <f>"72166"</f>
        <v>72166</v>
      </c>
      <c r="C49530" s="2">
        <v>2.0136525643865401E-5</v>
      </c>
      <c r="D49530" s="2">
        <v>1.0539962266935E-5</v>
      </c>
      <c r="E49530" s="2">
        <v>4.3010567696482999E-6</v>
      </c>
      <c r="F49530" s="2">
        <v>1.91442594951086E-5</v>
      </c>
    </row>
    <row r="49531" spans="1:6" x14ac:dyDescent="0.25">
      <c r="A49531" s="1" t="str">
        <f t="shared" si="1577"/>
        <v>99999</v>
      </c>
      <c r="B49531" s="1" t="str">
        <f>"83220"</f>
        <v>83220</v>
      </c>
      <c r="C49531" s="2">
        <v>6.0626098712712997E-6</v>
      </c>
      <c r="D49531" s="2">
        <v>0</v>
      </c>
      <c r="E49531" s="2">
        <v>4.3010567696482999E-6</v>
      </c>
      <c r="F49531" s="2">
        <v>5.6248597485628401E-6</v>
      </c>
    </row>
    <row r="49532" spans="1:6" x14ac:dyDescent="0.25">
      <c r="A49532" s="1" t="str">
        <f t="shared" si="1577"/>
        <v>99999</v>
      </c>
      <c r="B49532" s="1" t="str">
        <f>"96006"</f>
        <v>96006</v>
      </c>
      <c r="C49532" s="2">
        <v>2.9230440450772301E-6</v>
      </c>
      <c r="D49532" s="2">
        <v>0</v>
      </c>
      <c r="E49532" s="2">
        <v>4.3010567696482999E-6</v>
      </c>
      <c r="F49532" s="2">
        <v>2.76308899929403E-6</v>
      </c>
    </row>
    <row r="49533" spans="1:6" x14ac:dyDescent="0.25">
      <c r="A49533" s="1" t="str">
        <f t="shared" si="1577"/>
        <v>99999</v>
      </c>
      <c r="B49533" s="1" t="str">
        <f>"99348"</f>
        <v>99348</v>
      </c>
      <c r="C49533" s="2">
        <v>7.5782623390891299E-7</v>
      </c>
      <c r="D49533" s="2">
        <v>0</v>
      </c>
      <c r="E49533" s="2">
        <v>0</v>
      </c>
      <c r="F49533" s="2">
        <v>6.9077224982350697E-7</v>
      </c>
    </row>
    <row r="49534" spans="1:6" x14ac:dyDescent="0.25">
      <c r="A49534" s="1" t="str">
        <f t="shared" si="1577"/>
        <v>99999</v>
      </c>
      <c r="B49534" s="1" t="str">
        <f>"23894"</f>
        <v>23894</v>
      </c>
      <c r="C49534" s="2">
        <v>5.1965227468039701E-6</v>
      </c>
      <c r="D49534" s="2">
        <v>0</v>
      </c>
      <c r="E49534" s="2">
        <v>0</v>
      </c>
      <c r="F49534" s="2">
        <v>4.7367239987897599E-6</v>
      </c>
    </row>
    <row r="49535" spans="1:6" x14ac:dyDescent="0.25">
      <c r="A49535" s="1" t="str">
        <f t="shared" si="1577"/>
        <v>99999</v>
      </c>
      <c r="B49535" s="1" t="str">
        <f>"39773"</f>
        <v>39773</v>
      </c>
      <c r="C49535" s="2">
        <v>1.0176523712491101E-5</v>
      </c>
      <c r="D49535" s="2">
        <v>0</v>
      </c>
      <c r="E49535" s="2">
        <v>0</v>
      </c>
      <c r="F49535" s="2">
        <v>9.2760844976299596E-6</v>
      </c>
    </row>
    <row r="49536" spans="1:6" x14ac:dyDescent="0.25">
      <c r="A49536" s="1" t="str">
        <f t="shared" si="1577"/>
        <v>99999</v>
      </c>
      <c r="B49536" s="1" t="str">
        <f>"42352"</f>
        <v>42352</v>
      </c>
      <c r="C49536" s="2">
        <v>7.3617405579722903E-6</v>
      </c>
      <c r="D49536" s="2">
        <v>4.5171266858293203E-6</v>
      </c>
      <c r="E49536" s="2">
        <v>0</v>
      </c>
      <c r="F49536" s="2">
        <v>7.0064042482098597E-6</v>
      </c>
    </row>
    <row r="49537" spans="1:6" x14ac:dyDescent="0.25">
      <c r="A49537" s="1" t="str">
        <f t="shared" si="1577"/>
        <v>99999</v>
      </c>
      <c r="B49537" s="1" t="str">
        <f>"50036"</f>
        <v>50036</v>
      </c>
      <c r="C49537" s="2">
        <v>9.7434801502574508E-7</v>
      </c>
      <c r="D49537" s="2">
        <v>0</v>
      </c>
      <c r="E49537" s="2">
        <v>0</v>
      </c>
      <c r="F49537" s="2">
        <v>8.8813574977308104E-7</v>
      </c>
    </row>
    <row r="49538" spans="1:6" x14ac:dyDescent="0.25">
      <c r="A49538" s="1" t="str">
        <f t="shared" si="1577"/>
        <v>99999</v>
      </c>
      <c r="B49538" s="1" t="str">
        <f>"57071"</f>
        <v>57071</v>
      </c>
      <c r="C49538" s="2">
        <v>3.7891311695445602E-6</v>
      </c>
      <c r="D49538" s="2">
        <v>0</v>
      </c>
      <c r="E49538" s="2">
        <v>0</v>
      </c>
      <c r="F49538" s="2">
        <v>3.4538612491175301E-6</v>
      </c>
    </row>
    <row r="49539" spans="1:6" x14ac:dyDescent="0.25">
      <c r="A49539" s="1" t="str">
        <f t="shared" si="1577"/>
        <v>99999</v>
      </c>
      <c r="B49539" s="1" t="str">
        <f>"59314"</f>
        <v>59314</v>
      </c>
      <c r="C49539" s="2">
        <v>4.0056529506613898E-6</v>
      </c>
      <c r="D49539" s="2">
        <v>0</v>
      </c>
      <c r="E49539" s="2">
        <v>4.3010567696482999E-6</v>
      </c>
      <c r="F49539" s="2">
        <v>3.7499064990418899E-6</v>
      </c>
    </row>
    <row r="49540" spans="1:6" x14ac:dyDescent="0.25">
      <c r="A49540" s="1" t="str">
        <f t="shared" si="1577"/>
        <v>99999</v>
      </c>
      <c r="B49540" s="1" t="str">
        <f>"58262"</f>
        <v>58262</v>
      </c>
      <c r="C49540" s="2">
        <v>4.98000096568714E-6</v>
      </c>
      <c r="D49540" s="2">
        <v>7.5285444763821999E-6</v>
      </c>
      <c r="E49540" s="2">
        <v>3.01073973875381E-5</v>
      </c>
      <c r="F49540" s="2">
        <v>5.7235414985376303E-6</v>
      </c>
    </row>
    <row r="49541" spans="1:6" x14ac:dyDescent="0.25">
      <c r="A49541" s="1" t="str">
        <f t="shared" si="1577"/>
        <v>99999</v>
      </c>
      <c r="B49541" s="1" t="str">
        <f>"65345"</f>
        <v>65345</v>
      </c>
      <c r="C49541" s="2">
        <v>1.07178281652832E-5</v>
      </c>
      <c r="D49541" s="2">
        <v>4.5171266858293203E-6</v>
      </c>
      <c r="E49541" s="2">
        <v>4.3010567696482999E-6</v>
      </c>
      <c r="F49541" s="2">
        <v>1.0164220247403001E-5</v>
      </c>
    </row>
    <row r="49542" spans="1:6" x14ac:dyDescent="0.25">
      <c r="A49542" s="1" t="str">
        <f t="shared" ref="A49542:A49605" si="1578">"99999"</f>
        <v>99999</v>
      </c>
      <c r="B49542" s="1" t="str">
        <f>"68382"</f>
        <v>68382</v>
      </c>
      <c r="C49542" s="2">
        <v>2.49000048284357E-6</v>
      </c>
      <c r="D49542" s="2">
        <v>0</v>
      </c>
      <c r="E49542" s="2">
        <v>4.3010567696482999E-6</v>
      </c>
      <c r="F49542" s="2">
        <v>2.3683619993948799E-6</v>
      </c>
    </row>
    <row r="49543" spans="1:6" x14ac:dyDescent="0.25">
      <c r="A49543" s="1" t="str">
        <f t="shared" si="1578"/>
        <v>99999</v>
      </c>
      <c r="B49543" s="1" t="str">
        <f>"77836"</f>
        <v>77836</v>
      </c>
      <c r="C49543" s="2">
        <v>3.46434849786931E-6</v>
      </c>
      <c r="D49543" s="2">
        <v>0</v>
      </c>
      <c r="E49543" s="2">
        <v>0</v>
      </c>
      <c r="F49543" s="2">
        <v>3.1578159991931699E-6</v>
      </c>
    </row>
    <row r="49544" spans="1:6" x14ac:dyDescent="0.25">
      <c r="A49544" s="1" t="str">
        <f t="shared" si="1578"/>
        <v>99999</v>
      </c>
      <c r="B49544" s="1" t="str">
        <f>"83466"</f>
        <v>83466</v>
      </c>
      <c r="C49544" s="2">
        <v>1.75382642704634E-5</v>
      </c>
      <c r="D49544" s="2">
        <v>6.0228355811057601E-6</v>
      </c>
      <c r="E49544" s="2">
        <v>4.3010567696482999E-6</v>
      </c>
      <c r="F49544" s="2">
        <v>1.64798522457893E-5</v>
      </c>
    </row>
    <row r="49545" spans="1:6" x14ac:dyDescent="0.25">
      <c r="A49545" s="1" t="str">
        <f t="shared" si="1578"/>
        <v>99999</v>
      </c>
      <c r="B49545" s="1" t="str">
        <f>"82229"</f>
        <v>82229</v>
      </c>
      <c r="C49545" s="2">
        <v>2.49000048284357E-6</v>
      </c>
      <c r="D49545" s="2">
        <v>0</v>
      </c>
      <c r="E49545" s="2">
        <v>0</v>
      </c>
      <c r="F49545" s="2">
        <v>2.2696802494200901E-6</v>
      </c>
    </row>
    <row r="49546" spans="1:6" x14ac:dyDescent="0.25">
      <c r="A49546" s="1" t="str">
        <f t="shared" si="1578"/>
        <v>99999</v>
      </c>
      <c r="B49546" s="1" t="str">
        <f>"86503"</f>
        <v>86503</v>
      </c>
      <c r="C49546" s="2">
        <v>1.08260890558416E-7</v>
      </c>
      <c r="D49546" s="2">
        <v>1.9574215638593701E-5</v>
      </c>
      <c r="E49546" s="2">
        <v>1.29031703089449E-5</v>
      </c>
      <c r="F49546" s="2">
        <v>1.6775897495713699E-6</v>
      </c>
    </row>
    <row r="49547" spans="1:6" x14ac:dyDescent="0.25">
      <c r="A49547" s="1" t="str">
        <f t="shared" si="1578"/>
        <v>99999</v>
      </c>
      <c r="B49547" s="1" t="str">
        <f>"93527"</f>
        <v>93527</v>
      </c>
      <c r="C49547" s="2">
        <v>2.9230440450772301E-6</v>
      </c>
      <c r="D49547" s="2">
        <v>0</v>
      </c>
      <c r="E49547" s="2">
        <v>0</v>
      </c>
      <c r="F49547" s="2">
        <v>2.6644072493192401E-6</v>
      </c>
    </row>
    <row r="49548" spans="1:6" x14ac:dyDescent="0.25">
      <c r="A49548" s="1" t="str">
        <f t="shared" si="1578"/>
        <v>99999</v>
      </c>
      <c r="B49548" s="1" t="str">
        <f>"95236"</f>
        <v>95236</v>
      </c>
      <c r="C49548" s="2">
        <v>2.8147831545188202E-6</v>
      </c>
      <c r="D49548" s="2">
        <v>0</v>
      </c>
      <c r="E49548" s="2">
        <v>0</v>
      </c>
      <c r="F49548" s="2">
        <v>2.5657254993444499E-6</v>
      </c>
    </row>
    <row r="49549" spans="1:6" x14ac:dyDescent="0.25">
      <c r="A49549" s="1" t="str">
        <f t="shared" si="1578"/>
        <v>99999</v>
      </c>
      <c r="B49549" s="1" t="str">
        <f>"96023"</f>
        <v>96023</v>
      </c>
      <c r="C49549" s="2">
        <v>9.4186974785821993E-6</v>
      </c>
      <c r="D49549" s="2">
        <v>1.50570889527644E-6</v>
      </c>
      <c r="E49549" s="2">
        <v>4.3010567696482999E-6</v>
      </c>
      <c r="F49549" s="2">
        <v>8.7826757477560201E-6</v>
      </c>
    </row>
    <row r="49550" spans="1:6" x14ac:dyDescent="0.25">
      <c r="A49550" s="1" t="str">
        <f t="shared" si="1578"/>
        <v>99999</v>
      </c>
      <c r="B49550" s="1" t="str">
        <f>"97710"</f>
        <v>97710</v>
      </c>
      <c r="C49550" s="2">
        <v>9.2021756974653701E-6</v>
      </c>
      <c r="D49550" s="2">
        <v>1.50570889527644E-6</v>
      </c>
      <c r="E49550" s="2">
        <v>3.44084541571864E-5</v>
      </c>
      <c r="F49550" s="2">
        <v>9.2760844976299596E-6</v>
      </c>
    </row>
    <row r="49551" spans="1:6" x14ac:dyDescent="0.25">
      <c r="A49551" s="1" t="str">
        <f t="shared" si="1578"/>
        <v>99999</v>
      </c>
      <c r="B49551" s="1" t="str">
        <f>"17243"</f>
        <v>17243</v>
      </c>
      <c r="C49551" s="2">
        <v>2.59826137340198E-6</v>
      </c>
      <c r="D49551" s="2">
        <v>1.50570889527644E-6</v>
      </c>
      <c r="E49551" s="2">
        <v>0</v>
      </c>
      <c r="F49551" s="2">
        <v>2.4670437493696702E-6</v>
      </c>
    </row>
    <row r="49552" spans="1:6" x14ac:dyDescent="0.25">
      <c r="A49552" s="1" t="str">
        <f t="shared" si="1578"/>
        <v>99999</v>
      </c>
      <c r="B49552" s="1" t="str">
        <f>"25977"</f>
        <v>25977</v>
      </c>
      <c r="C49552" s="2">
        <v>6.7121752146218001E-6</v>
      </c>
      <c r="D49552" s="2">
        <v>1.50570889527644E-6</v>
      </c>
      <c r="E49552" s="2">
        <v>0</v>
      </c>
      <c r="F49552" s="2">
        <v>6.2169502484115596E-6</v>
      </c>
    </row>
    <row r="49553" spans="1:6" x14ac:dyDescent="0.25">
      <c r="A49553" s="1" t="str">
        <f t="shared" si="1578"/>
        <v>99999</v>
      </c>
      <c r="B49553" s="1" t="str">
        <f>"39330"</f>
        <v>39330</v>
      </c>
      <c r="C49553" s="2">
        <v>2.7065222639604001E-6</v>
      </c>
      <c r="D49553" s="2">
        <v>0</v>
      </c>
      <c r="E49553" s="2">
        <v>0</v>
      </c>
      <c r="F49553" s="2">
        <v>2.4670437493696702E-6</v>
      </c>
    </row>
    <row r="49554" spans="1:6" x14ac:dyDescent="0.25">
      <c r="A49554" s="1" t="str">
        <f t="shared" si="1578"/>
        <v>99999</v>
      </c>
      <c r="B49554" s="1" t="str">
        <f>"46982"</f>
        <v>46982</v>
      </c>
      <c r="C49554" s="2">
        <v>3.7891311695445602E-6</v>
      </c>
      <c r="D49554" s="2">
        <v>4.5171266858293203E-6</v>
      </c>
      <c r="E49554" s="2">
        <v>0</v>
      </c>
      <c r="F49554" s="2">
        <v>3.7499064990418899E-6</v>
      </c>
    </row>
    <row r="49555" spans="1:6" x14ac:dyDescent="0.25">
      <c r="A49555" s="1" t="str">
        <f t="shared" si="1578"/>
        <v>99999</v>
      </c>
      <c r="B49555" s="1" t="str">
        <f>"50231"</f>
        <v>50231</v>
      </c>
      <c r="C49555" s="2">
        <v>1.18004370708673E-5</v>
      </c>
      <c r="D49555" s="2">
        <v>0</v>
      </c>
      <c r="E49555" s="2">
        <v>4.3010567696482999E-6</v>
      </c>
      <c r="F49555" s="2">
        <v>1.08549924972265E-5</v>
      </c>
    </row>
    <row r="49556" spans="1:6" x14ac:dyDescent="0.25">
      <c r="A49556" s="1" t="str">
        <f t="shared" si="1578"/>
        <v>99999</v>
      </c>
      <c r="B49556" s="1" t="str">
        <f>"50568"</f>
        <v>50568</v>
      </c>
      <c r="C49556" s="2">
        <v>2.3817395922851499E-6</v>
      </c>
      <c r="D49556" s="2">
        <v>0</v>
      </c>
      <c r="E49556" s="2">
        <v>0</v>
      </c>
      <c r="F49556" s="2">
        <v>2.1709984994452998E-6</v>
      </c>
    </row>
    <row r="49557" spans="1:6" x14ac:dyDescent="0.25">
      <c r="A49557" s="1" t="str">
        <f t="shared" si="1578"/>
        <v>99999</v>
      </c>
      <c r="B49557" s="1" t="str">
        <f>"57058"</f>
        <v>57058</v>
      </c>
      <c r="C49557" s="2">
        <v>6.49565343350497E-7</v>
      </c>
      <c r="D49557" s="2">
        <v>0</v>
      </c>
      <c r="E49557" s="2">
        <v>0</v>
      </c>
      <c r="F49557" s="2">
        <v>5.9209049984871999E-7</v>
      </c>
    </row>
    <row r="49558" spans="1:6" x14ac:dyDescent="0.25">
      <c r="A49558" s="1" t="str">
        <f t="shared" si="1578"/>
        <v>99999</v>
      </c>
      <c r="B49558" s="1" t="str">
        <f>"56085"</f>
        <v>56085</v>
      </c>
      <c r="C49558" s="2">
        <v>3.0313049356356498E-6</v>
      </c>
      <c r="D49558" s="2">
        <v>0</v>
      </c>
      <c r="E49558" s="2">
        <v>0</v>
      </c>
      <c r="F49558" s="2">
        <v>2.76308899929403E-6</v>
      </c>
    </row>
    <row r="49559" spans="1:6" x14ac:dyDescent="0.25">
      <c r="A49559" s="1" t="str">
        <f t="shared" si="1578"/>
        <v>99999</v>
      </c>
      <c r="B49559" s="1" t="str">
        <f>"57658"</f>
        <v>57658</v>
      </c>
      <c r="C49559" s="2">
        <v>6.7121752146218001E-6</v>
      </c>
      <c r="D49559" s="2">
        <v>1.50570889527644E-6</v>
      </c>
      <c r="E49559" s="2">
        <v>4.3010567696482999E-6</v>
      </c>
      <c r="F49559" s="2">
        <v>6.3156319983863499E-6</v>
      </c>
    </row>
    <row r="49560" spans="1:6" x14ac:dyDescent="0.25">
      <c r="A49560" s="1" t="str">
        <f t="shared" si="1578"/>
        <v>99999</v>
      </c>
      <c r="B49560" s="1" t="str">
        <f>"73095"</f>
        <v>73095</v>
      </c>
      <c r="C49560" s="2">
        <v>5.4130445279207995E-7</v>
      </c>
      <c r="D49560" s="2">
        <v>0</v>
      </c>
      <c r="E49560" s="2">
        <v>0</v>
      </c>
      <c r="F49560" s="2">
        <v>4.9340874987393396E-7</v>
      </c>
    </row>
    <row r="49561" spans="1:6" x14ac:dyDescent="0.25">
      <c r="A49561" s="1" t="str">
        <f t="shared" si="1578"/>
        <v>99999</v>
      </c>
      <c r="B49561" s="1" t="str">
        <f>"57758"</f>
        <v>57758</v>
      </c>
      <c r="C49561" s="2">
        <v>1.7321742489346499E-6</v>
      </c>
      <c r="D49561" s="2">
        <v>1.50570889527644E-6</v>
      </c>
      <c r="E49561" s="2">
        <v>0</v>
      </c>
      <c r="F49561" s="2">
        <v>1.6775897495713699E-6</v>
      </c>
    </row>
    <row r="49562" spans="1:6" x14ac:dyDescent="0.25">
      <c r="A49562" s="1" t="str">
        <f t="shared" si="1578"/>
        <v>99999</v>
      </c>
      <c r="B49562" s="1" t="str">
        <f>"57420"</f>
        <v>57420</v>
      </c>
      <c r="C49562" s="2">
        <v>8.6608712446732894E-6</v>
      </c>
      <c r="D49562" s="2">
        <v>6.0228355811057601E-6</v>
      </c>
      <c r="E49562" s="2">
        <v>4.3010567696482999E-6</v>
      </c>
      <c r="F49562" s="2">
        <v>8.3879487478568692E-6</v>
      </c>
    </row>
    <row r="49563" spans="1:6" x14ac:dyDescent="0.25">
      <c r="A49563" s="1" t="str">
        <f t="shared" si="1578"/>
        <v>99999</v>
      </c>
      <c r="B49563" s="1" t="str">
        <f>"58838"</f>
        <v>58838</v>
      </c>
      <c r="C49563" s="2">
        <v>1.08260890558416E-5</v>
      </c>
      <c r="D49563" s="2">
        <v>1.20456711622115E-5</v>
      </c>
      <c r="E49563" s="2">
        <v>4.3010567696482999E-6</v>
      </c>
      <c r="F49563" s="2">
        <v>1.07563107472517E-5</v>
      </c>
    </row>
    <row r="49564" spans="1:6" x14ac:dyDescent="0.25">
      <c r="A49564" s="1" t="str">
        <f t="shared" si="1578"/>
        <v>99999</v>
      </c>
      <c r="B49564" s="1" t="str">
        <f>"58757"</f>
        <v>58757</v>
      </c>
      <c r="C49564" s="2">
        <v>2.1760439002241601E-5</v>
      </c>
      <c r="D49564" s="2">
        <v>3.01141779055288E-6</v>
      </c>
      <c r="E49564" s="2">
        <v>8.6021135392965999E-6</v>
      </c>
      <c r="F49564" s="2">
        <v>2.0229758744831201E-5</v>
      </c>
    </row>
    <row r="49565" spans="1:6" x14ac:dyDescent="0.25">
      <c r="A49565" s="1" t="str">
        <f t="shared" si="1578"/>
        <v>99999</v>
      </c>
      <c r="B49565" s="1" t="str">
        <f>"59085"</f>
        <v>59085</v>
      </c>
      <c r="C49565" s="2">
        <v>5.8460880901544696E-6</v>
      </c>
      <c r="D49565" s="2">
        <v>0</v>
      </c>
      <c r="E49565" s="2">
        <v>4.3010567696482999E-6</v>
      </c>
      <c r="F49565" s="2">
        <v>5.4274962486132697E-6</v>
      </c>
    </row>
    <row r="49566" spans="1:6" x14ac:dyDescent="0.25">
      <c r="A49566" s="1" t="str">
        <f t="shared" si="1578"/>
        <v>99999</v>
      </c>
      <c r="B49566" s="1" t="str">
        <f>"59336"</f>
        <v>59336</v>
      </c>
      <c r="C49566" s="2">
        <v>1.3640872210360401E-5</v>
      </c>
      <c r="D49566" s="2">
        <v>1.20456711622115E-5</v>
      </c>
      <c r="E49566" s="2">
        <v>4.3010567696482999E-6</v>
      </c>
      <c r="F49566" s="2">
        <v>1.3322036246596199E-5</v>
      </c>
    </row>
    <row r="49567" spans="1:6" x14ac:dyDescent="0.25">
      <c r="A49567" s="1" t="str">
        <f t="shared" si="1578"/>
        <v>99999</v>
      </c>
      <c r="B49567" s="1" t="str">
        <f>"58338"</f>
        <v>58338</v>
      </c>
      <c r="C49567" s="2">
        <v>2.8147831545188202E-6</v>
      </c>
      <c r="D49567" s="2">
        <v>1.50570889527644E-6</v>
      </c>
      <c r="E49567" s="2">
        <v>4.3010567696482999E-6</v>
      </c>
      <c r="F49567" s="2">
        <v>2.76308899929403E-6</v>
      </c>
    </row>
    <row r="49568" spans="1:6" x14ac:dyDescent="0.25">
      <c r="A49568" s="1" t="str">
        <f t="shared" si="1578"/>
        <v>99999</v>
      </c>
      <c r="B49568" s="1" t="str">
        <f>"58239"</f>
        <v>58239</v>
      </c>
      <c r="C49568" s="2">
        <v>4.3304356223366396E-6</v>
      </c>
      <c r="D49568" s="2">
        <v>3.01141779055288E-6</v>
      </c>
      <c r="E49568" s="2">
        <v>4.3010567696482999E-6</v>
      </c>
      <c r="F49568" s="2">
        <v>4.2433152489158297E-6</v>
      </c>
    </row>
    <row r="49569" spans="1:6" x14ac:dyDescent="0.25">
      <c r="A49569" s="1" t="str">
        <f t="shared" si="1578"/>
        <v>99999</v>
      </c>
      <c r="B49569" s="1" t="str">
        <f>"58260"</f>
        <v>58260</v>
      </c>
      <c r="C49569" s="2">
        <v>1.25582633047762E-5</v>
      </c>
      <c r="D49569" s="2">
        <v>1.50570889527644E-5</v>
      </c>
      <c r="E49569" s="2">
        <v>4.3010567696482999E-6</v>
      </c>
      <c r="F49569" s="2">
        <v>1.2532582246797899E-5</v>
      </c>
    </row>
    <row r="49570" spans="1:6" x14ac:dyDescent="0.25">
      <c r="A49570" s="1" t="str">
        <f t="shared" si="1578"/>
        <v>99999</v>
      </c>
      <c r="B49570" s="1" t="str">
        <f>"62261"</f>
        <v>62261</v>
      </c>
      <c r="C49570" s="2">
        <v>9.8517410408158696E-6</v>
      </c>
      <c r="D49570" s="2">
        <v>3.01141779055288E-6</v>
      </c>
      <c r="E49570" s="2">
        <v>8.6021135392965999E-6</v>
      </c>
      <c r="F49570" s="2">
        <v>9.3747662476047397E-6</v>
      </c>
    </row>
    <row r="49571" spans="1:6" x14ac:dyDescent="0.25">
      <c r="A49571" s="1" t="str">
        <f t="shared" si="1578"/>
        <v>99999</v>
      </c>
      <c r="B49571" s="1" t="str">
        <f>"62553"</f>
        <v>62553</v>
      </c>
      <c r="C49571" s="2">
        <v>2.5116526609552499E-5</v>
      </c>
      <c r="D49571" s="2">
        <v>7.5285444763821999E-6</v>
      </c>
      <c r="E49571" s="2">
        <v>0</v>
      </c>
      <c r="F49571" s="2">
        <v>2.3387574744024402E-5</v>
      </c>
    </row>
    <row r="49572" spans="1:6" x14ac:dyDescent="0.25">
      <c r="A49572" s="1" t="str">
        <f t="shared" si="1578"/>
        <v>99999</v>
      </c>
      <c r="B49572" s="1" t="str">
        <f>"64741"</f>
        <v>64741</v>
      </c>
      <c r="C49572" s="2">
        <v>1.4506959334827701E-5</v>
      </c>
      <c r="D49572" s="2">
        <v>9.0342533716586405E-6</v>
      </c>
      <c r="E49572" s="2">
        <v>8.6021135392965999E-6</v>
      </c>
      <c r="F49572" s="2">
        <v>1.4012808496419701E-5</v>
      </c>
    </row>
    <row r="49573" spans="1:6" x14ac:dyDescent="0.25">
      <c r="A49573" s="1" t="str">
        <f t="shared" si="1578"/>
        <v>99999</v>
      </c>
      <c r="B49573" s="1" t="str">
        <f>"66095"</f>
        <v>66095</v>
      </c>
      <c r="C49573" s="2">
        <v>1.1908697961425701E-6</v>
      </c>
      <c r="D49573" s="2">
        <v>0</v>
      </c>
      <c r="E49573" s="2">
        <v>0</v>
      </c>
      <c r="F49573" s="2">
        <v>1.0854992497226499E-6</v>
      </c>
    </row>
    <row r="49574" spans="1:6" x14ac:dyDescent="0.25">
      <c r="A49574" s="1" t="str">
        <f t="shared" si="1578"/>
        <v>99999</v>
      </c>
      <c r="B49574" s="1" t="str">
        <f>"66091"</f>
        <v>66091</v>
      </c>
      <c r="C49574" s="2">
        <v>1.86208731760475E-5</v>
      </c>
      <c r="D49574" s="2">
        <v>1.35513800574879E-5</v>
      </c>
      <c r="E49574" s="2">
        <v>4.3010567696482999E-6</v>
      </c>
      <c r="F49574" s="2">
        <v>1.79600784954111E-5</v>
      </c>
    </row>
    <row r="49575" spans="1:6" x14ac:dyDescent="0.25">
      <c r="A49575" s="1" t="str">
        <f t="shared" si="1578"/>
        <v>99999</v>
      </c>
      <c r="B49575" s="1" t="str">
        <f>"67656"</f>
        <v>67656</v>
      </c>
      <c r="C49575" s="2">
        <v>9.8517410408158696E-6</v>
      </c>
      <c r="D49575" s="2">
        <v>1.50570889527644E-6</v>
      </c>
      <c r="E49575" s="2">
        <v>8.6021135392965999E-6</v>
      </c>
      <c r="F49575" s="2">
        <v>9.2760844976299596E-6</v>
      </c>
    </row>
    <row r="49576" spans="1:6" x14ac:dyDescent="0.25">
      <c r="A49576" s="1" t="str">
        <f t="shared" si="1578"/>
        <v>99999</v>
      </c>
      <c r="B49576" s="1" t="str">
        <f>"67635"</f>
        <v>67635</v>
      </c>
      <c r="C49576" s="2">
        <v>9.2021756974653701E-6</v>
      </c>
      <c r="D49576" s="2">
        <v>4.5171266858293203E-6</v>
      </c>
      <c r="E49576" s="2">
        <v>8.6021135392965999E-6</v>
      </c>
      <c r="F49576" s="2">
        <v>8.8813574977308104E-6</v>
      </c>
    </row>
    <row r="49577" spans="1:6" x14ac:dyDescent="0.25">
      <c r="A49577" s="1" t="str">
        <f t="shared" si="1578"/>
        <v>99999</v>
      </c>
      <c r="B49577" s="1" t="str">
        <f>"68969"</f>
        <v>68969</v>
      </c>
      <c r="C49577" s="2">
        <v>2.1652178111683198E-6</v>
      </c>
      <c r="D49577" s="2">
        <v>3.01141779055288E-6</v>
      </c>
      <c r="E49577" s="2">
        <v>0</v>
      </c>
      <c r="F49577" s="2">
        <v>2.1709984994452998E-6</v>
      </c>
    </row>
    <row r="49578" spans="1:6" x14ac:dyDescent="0.25">
      <c r="A49578" s="1" t="str">
        <f t="shared" si="1578"/>
        <v>99999</v>
      </c>
      <c r="B49578" s="1" t="str">
        <f>"68742"</f>
        <v>68742</v>
      </c>
      <c r="C49578" s="2">
        <v>1.50482637876198E-5</v>
      </c>
      <c r="D49578" s="2">
        <v>4.5171266858293203E-6</v>
      </c>
      <c r="E49578" s="2">
        <v>0</v>
      </c>
      <c r="F49578" s="2">
        <v>1.4012808496419701E-5</v>
      </c>
    </row>
    <row r="49579" spans="1:6" x14ac:dyDescent="0.25">
      <c r="A49579" s="1" t="str">
        <f t="shared" si="1578"/>
        <v>99999</v>
      </c>
      <c r="B49579" s="1" t="str">
        <f>"68749"</f>
        <v>68749</v>
      </c>
      <c r="C49579" s="2">
        <v>4.3304356223366396E-6</v>
      </c>
      <c r="D49579" s="2">
        <v>3.01141779055288E-6</v>
      </c>
      <c r="E49579" s="2">
        <v>4.3010567696482999E-6</v>
      </c>
      <c r="F49579" s="2">
        <v>4.2433152489158297E-6</v>
      </c>
    </row>
    <row r="49580" spans="1:6" x14ac:dyDescent="0.25">
      <c r="A49580" s="1" t="str">
        <f t="shared" si="1578"/>
        <v>99999</v>
      </c>
      <c r="B49580" s="1" t="str">
        <f>"71952"</f>
        <v>71952</v>
      </c>
      <c r="C49580" s="2">
        <v>3.8973920601029803E-6</v>
      </c>
      <c r="D49580" s="2">
        <v>0</v>
      </c>
      <c r="E49580" s="2">
        <v>4.3010567696482999E-6</v>
      </c>
      <c r="F49580" s="2">
        <v>3.6512247490671102E-6</v>
      </c>
    </row>
    <row r="49581" spans="1:6" x14ac:dyDescent="0.25">
      <c r="A49581" s="1" t="str">
        <f t="shared" si="1578"/>
        <v>99999</v>
      </c>
      <c r="B49581" s="1" t="str">
        <f>"71676"</f>
        <v>71676</v>
      </c>
      <c r="C49581" s="2">
        <v>1.86208731760475E-5</v>
      </c>
      <c r="D49581" s="2">
        <v>2.4091342324423E-5</v>
      </c>
      <c r="E49581" s="2">
        <v>8.6021135392965999E-6</v>
      </c>
      <c r="F49581" s="2">
        <v>1.8749532495209401E-5</v>
      </c>
    </row>
    <row r="49582" spans="1:6" x14ac:dyDescent="0.25">
      <c r="A49582" s="1" t="str">
        <f t="shared" si="1578"/>
        <v>99999</v>
      </c>
      <c r="B49582" s="1" t="str">
        <f>"71230"</f>
        <v>71230</v>
      </c>
      <c r="C49582" s="2">
        <v>0</v>
      </c>
      <c r="D49582" s="2">
        <v>0</v>
      </c>
      <c r="E49582" s="2">
        <v>4.3010567696482999E-6</v>
      </c>
      <c r="F49582" s="2">
        <v>9.8681749974786797E-8</v>
      </c>
    </row>
    <row r="49583" spans="1:6" x14ac:dyDescent="0.25">
      <c r="A49583" s="1" t="str">
        <f t="shared" si="1578"/>
        <v>99999</v>
      </c>
      <c r="B49583" s="1" t="str">
        <f>"71356"</f>
        <v>71356</v>
      </c>
      <c r="C49583" s="2">
        <v>5.8460880901544696E-6</v>
      </c>
      <c r="D49583" s="2">
        <v>0</v>
      </c>
      <c r="E49583" s="2">
        <v>0</v>
      </c>
      <c r="F49583" s="2">
        <v>5.3288144986384803E-6</v>
      </c>
    </row>
    <row r="49584" spans="1:6" x14ac:dyDescent="0.25">
      <c r="A49584" s="1" t="str">
        <f t="shared" si="1578"/>
        <v>99999</v>
      </c>
      <c r="B49584" s="1" t="str">
        <f>"74349"</f>
        <v>74349</v>
      </c>
      <c r="C49584" s="2">
        <v>3.8973920601029803E-6</v>
      </c>
      <c r="D49584" s="2">
        <v>2.25856334291466E-5</v>
      </c>
      <c r="E49584" s="2">
        <v>4.3010567696482999E-6</v>
      </c>
      <c r="F49584" s="2">
        <v>5.1314509986889099E-6</v>
      </c>
    </row>
    <row r="49585" spans="1:6" x14ac:dyDescent="0.25">
      <c r="A49585" s="1" t="str">
        <f t="shared" si="1578"/>
        <v>99999</v>
      </c>
      <c r="B49585" s="1" t="str">
        <f>"74534"</f>
        <v>74534</v>
      </c>
      <c r="C49585" s="2">
        <v>2.6632179077370302E-5</v>
      </c>
      <c r="D49585" s="2">
        <v>9.0342533716586405E-6</v>
      </c>
      <c r="E49585" s="2">
        <v>4.3010567696482999E-6</v>
      </c>
      <c r="F49585" s="2">
        <v>2.4966482743620998E-5</v>
      </c>
    </row>
    <row r="49586" spans="1:6" x14ac:dyDescent="0.25">
      <c r="A49586" s="1" t="str">
        <f t="shared" si="1578"/>
        <v>99999</v>
      </c>
      <c r="B49586" s="1" t="str">
        <f>"75755"</f>
        <v>75755</v>
      </c>
      <c r="C49586" s="2">
        <v>9.2021756974653701E-6</v>
      </c>
      <c r="D49586" s="2">
        <v>1.50570889527644E-6</v>
      </c>
      <c r="E49586" s="2">
        <v>0</v>
      </c>
      <c r="F49586" s="2">
        <v>8.4866304978316595E-6</v>
      </c>
    </row>
    <row r="49587" spans="1:6" x14ac:dyDescent="0.25">
      <c r="A49587" s="1" t="str">
        <f t="shared" si="1578"/>
        <v>99999</v>
      </c>
      <c r="B49587" s="1" t="str">
        <f>"76459"</f>
        <v>76459</v>
      </c>
      <c r="C49587" s="2">
        <v>8.7691321352316998E-6</v>
      </c>
      <c r="D49587" s="2">
        <v>1.50570889527644E-6</v>
      </c>
      <c r="E49587" s="2">
        <v>1.72042270785932E-5</v>
      </c>
      <c r="F49587" s="2">
        <v>8.4866304978316595E-6</v>
      </c>
    </row>
    <row r="49588" spans="1:6" x14ac:dyDescent="0.25">
      <c r="A49588" s="1" t="str">
        <f t="shared" si="1578"/>
        <v>99999</v>
      </c>
      <c r="B49588" s="1" t="str">
        <f>"77474"</f>
        <v>77474</v>
      </c>
      <c r="C49588" s="2">
        <v>2.3817395922851499E-6</v>
      </c>
      <c r="D49588" s="2">
        <v>1.50570889527644E-6</v>
      </c>
      <c r="E49588" s="2">
        <v>0</v>
      </c>
      <c r="F49588" s="2">
        <v>2.2696802494200901E-6</v>
      </c>
    </row>
    <row r="49589" spans="1:6" x14ac:dyDescent="0.25">
      <c r="A49589" s="1" t="str">
        <f t="shared" si="1578"/>
        <v>99999</v>
      </c>
      <c r="B49589" s="1" t="str">
        <f>"83464"</f>
        <v>83464</v>
      </c>
      <c r="C49589" s="2">
        <v>2.0244786534423801E-5</v>
      </c>
      <c r="D49589" s="2">
        <v>6.0228355811057601E-6</v>
      </c>
      <c r="E49589" s="2">
        <v>2.15052838482415E-5</v>
      </c>
      <c r="F49589" s="2">
        <v>1.9341622995058201E-5</v>
      </c>
    </row>
    <row r="49590" spans="1:6" x14ac:dyDescent="0.25">
      <c r="A49590" s="1" t="str">
        <f t="shared" si="1578"/>
        <v>99999</v>
      </c>
      <c r="B49590" s="1" t="str">
        <f>"82212"</f>
        <v>82212</v>
      </c>
      <c r="C49590" s="2">
        <v>1.8945655847722799E-5</v>
      </c>
      <c r="D49590" s="2">
        <v>0</v>
      </c>
      <c r="E49590" s="2">
        <v>2.7526763325749098E-4</v>
      </c>
      <c r="F49590" s="2">
        <v>2.3584938243973999E-5</v>
      </c>
    </row>
    <row r="49591" spans="1:6" x14ac:dyDescent="0.25">
      <c r="A49591" s="1" t="str">
        <f t="shared" si="1578"/>
        <v>99999</v>
      </c>
      <c r="B49591" s="1" t="str">
        <f>"80815"</f>
        <v>80815</v>
      </c>
      <c r="C49591" s="2">
        <v>4.7851313626819901E-5</v>
      </c>
      <c r="D49591" s="2">
        <v>1.80685067433172E-5</v>
      </c>
      <c r="E49591" s="2">
        <v>4.7311624466131299E-5</v>
      </c>
      <c r="F49591" s="2">
        <v>4.5887013738275799E-5</v>
      </c>
    </row>
    <row r="49592" spans="1:6" x14ac:dyDescent="0.25">
      <c r="A49592" s="1" t="str">
        <f t="shared" si="1578"/>
        <v>99999</v>
      </c>
      <c r="B49592" s="1" t="str">
        <f>"97050"</f>
        <v>97050</v>
      </c>
      <c r="C49592" s="2">
        <v>1.77547860515802E-5</v>
      </c>
      <c r="D49592" s="2">
        <v>1.50570889527644E-6</v>
      </c>
      <c r="E49592" s="2">
        <v>8.6021135392965999E-6</v>
      </c>
      <c r="F49592" s="2">
        <v>1.64798522457893E-5</v>
      </c>
    </row>
    <row r="49593" spans="1:6" x14ac:dyDescent="0.25">
      <c r="A49593" s="1" t="str">
        <f t="shared" si="1578"/>
        <v>99999</v>
      </c>
      <c r="B49593" s="1" t="str">
        <f>"04734"</f>
        <v>04734</v>
      </c>
      <c r="C49593" s="2">
        <v>2.0461308315540598E-5</v>
      </c>
      <c r="D49593" s="2">
        <v>1.50570889527644E-6</v>
      </c>
      <c r="E49593" s="2">
        <v>4.3010567696482999E-6</v>
      </c>
      <c r="F49593" s="2">
        <v>1.8848214245184198E-5</v>
      </c>
    </row>
    <row r="49594" spans="1:6" x14ac:dyDescent="0.25">
      <c r="A49594" s="1" t="str">
        <f t="shared" si="1578"/>
        <v>99999</v>
      </c>
      <c r="B49594" s="1" t="str">
        <f>"04673"</f>
        <v>04673</v>
      </c>
      <c r="C49594" s="2">
        <v>1.26665241953346E-5</v>
      </c>
      <c r="D49594" s="2">
        <v>7.5285444763821999E-6</v>
      </c>
      <c r="E49594" s="2">
        <v>4.3010567696482999E-6</v>
      </c>
      <c r="F49594" s="2">
        <v>1.2137855246898699E-5</v>
      </c>
    </row>
    <row r="49595" spans="1:6" x14ac:dyDescent="0.25">
      <c r="A49595" s="1" t="str">
        <f t="shared" si="1578"/>
        <v>99999</v>
      </c>
      <c r="B49595" s="1" t="str">
        <f>"16937"</f>
        <v>16937</v>
      </c>
      <c r="C49595" s="2">
        <v>8.7691321352316998E-6</v>
      </c>
      <c r="D49595" s="2">
        <v>1.50570889527644E-6</v>
      </c>
      <c r="E49595" s="2">
        <v>0</v>
      </c>
      <c r="F49595" s="2">
        <v>8.0919034979325103E-6</v>
      </c>
    </row>
    <row r="49596" spans="1:6" x14ac:dyDescent="0.25">
      <c r="A49596" s="1" t="str">
        <f t="shared" si="1578"/>
        <v>99999</v>
      </c>
      <c r="B49596" s="1" t="str">
        <f>"30807"</f>
        <v>30807</v>
      </c>
      <c r="C49596" s="2">
        <v>5.8460880901544696E-6</v>
      </c>
      <c r="D49596" s="2">
        <v>1.50570889527644E-5</v>
      </c>
      <c r="E49596" s="2">
        <v>0</v>
      </c>
      <c r="F49596" s="2">
        <v>6.3156319983863499E-6</v>
      </c>
    </row>
    <row r="49597" spans="1:6" x14ac:dyDescent="0.25">
      <c r="A49597" s="1" t="str">
        <f t="shared" si="1578"/>
        <v>99999</v>
      </c>
      <c r="B49597" s="1" t="str">
        <f>"38333"</f>
        <v>38333</v>
      </c>
      <c r="C49597" s="2">
        <v>3.4860006759809999E-5</v>
      </c>
      <c r="D49597" s="2">
        <v>7.5285444763821999E-6</v>
      </c>
      <c r="E49597" s="2">
        <v>0</v>
      </c>
      <c r="F49597" s="2">
        <v>3.2268932241755197E-5</v>
      </c>
    </row>
    <row r="49598" spans="1:6" x14ac:dyDescent="0.25">
      <c r="A49598" s="1" t="str">
        <f t="shared" si="1578"/>
        <v>99999</v>
      </c>
      <c r="B49598" s="1" t="str">
        <f>"40868"</f>
        <v>40868</v>
      </c>
      <c r="C49598" s="2">
        <v>9.2021756974653701E-6</v>
      </c>
      <c r="D49598" s="2">
        <v>3.01141779055288E-6</v>
      </c>
      <c r="E49598" s="2">
        <v>1.29031703089449E-5</v>
      </c>
      <c r="F49598" s="2">
        <v>8.8813574977308104E-6</v>
      </c>
    </row>
    <row r="49599" spans="1:6" x14ac:dyDescent="0.25">
      <c r="A49599" s="1" t="str">
        <f t="shared" si="1578"/>
        <v>99999</v>
      </c>
      <c r="B49599" s="1" t="str">
        <f>"51463"</f>
        <v>51463</v>
      </c>
      <c r="C49599" s="2">
        <v>3.2478267167524802E-7</v>
      </c>
      <c r="D49599" s="2">
        <v>0</v>
      </c>
      <c r="E49599" s="2">
        <v>0</v>
      </c>
      <c r="F49599" s="2">
        <v>2.9604524992435999E-7</v>
      </c>
    </row>
    <row r="49600" spans="1:6" x14ac:dyDescent="0.25">
      <c r="A49600" s="1" t="str">
        <f t="shared" si="1578"/>
        <v>99999</v>
      </c>
      <c r="B49600" s="1" t="str">
        <f>"50529"</f>
        <v>50529</v>
      </c>
      <c r="C49600" s="2">
        <v>4.6010878487326803E-5</v>
      </c>
      <c r="D49600" s="2">
        <v>3.9148431277187403E-5</v>
      </c>
      <c r="E49600" s="2">
        <v>2.58063406178898E-5</v>
      </c>
      <c r="F49600" s="2">
        <v>4.5097559738477497E-5</v>
      </c>
    </row>
    <row r="49601" spans="1:6" x14ac:dyDescent="0.25">
      <c r="A49601" s="1" t="str">
        <f t="shared" si="1578"/>
        <v>99999</v>
      </c>
      <c r="B49601" s="1" t="str">
        <f>"49878"</f>
        <v>49878</v>
      </c>
      <c r="C49601" s="2">
        <v>8.9856539163485408E-6</v>
      </c>
      <c r="D49601" s="2">
        <v>1.50570889527644E-6</v>
      </c>
      <c r="E49601" s="2">
        <v>1.8924649786452501E-4</v>
      </c>
      <c r="F49601" s="2">
        <v>1.26312639967727E-5</v>
      </c>
    </row>
    <row r="49602" spans="1:6" x14ac:dyDescent="0.25">
      <c r="A49602" s="1" t="str">
        <f t="shared" si="1578"/>
        <v>99999</v>
      </c>
      <c r="B49602" s="1" t="str">
        <f>"52133"</f>
        <v>52133</v>
      </c>
      <c r="C49602" s="2">
        <v>2.6199135515136701E-5</v>
      </c>
      <c r="D49602" s="2">
        <v>6.0228355811057601E-6</v>
      </c>
      <c r="E49602" s="2">
        <v>1.29031703089449E-5</v>
      </c>
      <c r="F49602" s="2">
        <v>2.4571755743721902E-5</v>
      </c>
    </row>
    <row r="49603" spans="1:6" x14ac:dyDescent="0.25">
      <c r="A49603" s="1" t="str">
        <f t="shared" si="1578"/>
        <v>99999</v>
      </c>
      <c r="B49603" s="1" t="str">
        <f>"56711"</f>
        <v>56711</v>
      </c>
      <c r="C49603" s="2">
        <v>8.3360885729980396E-6</v>
      </c>
      <c r="D49603" s="2">
        <v>1.50570889527644E-6</v>
      </c>
      <c r="E49603" s="2">
        <v>4.3010567696482999E-6</v>
      </c>
      <c r="F49603" s="2">
        <v>7.7958582480081497E-6</v>
      </c>
    </row>
    <row r="49604" spans="1:6" x14ac:dyDescent="0.25">
      <c r="A49604" s="1" t="str">
        <f t="shared" si="1578"/>
        <v>99999</v>
      </c>
      <c r="B49604" s="1" t="str">
        <f>"56132"</f>
        <v>56132</v>
      </c>
      <c r="C49604" s="2">
        <v>1.6672177145996001E-5</v>
      </c>
      <c r="D49604" s="2">
        <v>1.50570889527644E-6</v>
      </c>
      <c r="E49604" s="2">
        <v>0</v>
      </c>
      <c r="F49604" s="2">
        <v>1.5295671246091901E-5</v>
      </c>
    </row>
    <row r="49605" spans="1:6" x14ac:dyDescent="0.25">
      <c r="A49605" s="1" t="str">
        <f t="shared" si="1578"/>
        <v>99999</v>
      </c>
      <c r="B49605" s="1" t="str">
        <f>"59854"</f>
        <v>59854</v>
      </c>
      <c r="C49605" s="2">
        <v>1.13673935086336E-5</v>
      </c>
      <c r="D49605" s="2">
        <v>3.01141779055288E-6</v>
      </c>
      <c r="E49605" s="2">
        <v>4.3010567696482999E-6</v>
      </c>
      <c r="F49605" s="2">
        <v>1.06576289972769E-5</v>
      </c>
    </row>
    <row r="49606" spans="1:6" x14ac:dyDescent="0.25">
      <c r="A49606" s="1" t="str">
        <f t="shared" ref="A49606:A49669" si="1579">"99999"</f>
        <v>99999</v>
      </c>
      <c r="B49606" s="1" t="str">
        <f>"58216"</f>
        <v>58216</v>
      </c>
      <c r="C49606" s="2">
        <v>8.7691321352316998E-6</v>
      </c>
      <c r="D49606" s="2">
        <v>1.0539962266935E-5</v>
      </c>
      <c r="E49606" s="2">
        <v>1.29031703089449E-5</v>
      </c>
      <c r="F49606" s="2">
        <v>8.9800392477055905E-6</v>
      </c>
    </row>
    <row r="49607" spans="1:6" x14ac:dyDescent="0.25">
      <c r="A49607" s="1" t="str">
        <f t="shared" si="1579"/>
        <v>99999</v>
      </c>
      <c r="B49607" s="1" t="str">
        <f>"58478"</f>
        <v>58478</v>
      </c>
      <c r="C49607" s="2">
        <v>8.4443494635564601E-6</v>
      </c>
      <c r="D49607" s="2">
        <v>0</v>
      </c>
      <c r="E49607" s="2">
        <v>4.3010567696482999E-6</v>
      </c>
      <c r="F49607" s="2">
        <v>7.7958582480081497E-6</v>
      </c>
    </row>
    <row r="49608" spans="1:6" x14ac:dyDescent="0.25">
      <c r="A49608" s="1" t="str">
        <f t="shared" si="1579"/>
        <v>99999</v>
      </c>
      <c r="B49608" s="1" t="str">
        <f>"62932"</f>
        <v>62932</v>
      </c>
      <c r="C49608" s="2">
        <v>2.1652178111683201E-7</v>
      </c>
      <c r="D49608" s="2">
        <v>1.50570889527644E-6</v>
      </c>
      <c r="E49608" s="2">
        <v>0</v>
      </c>
      <c r="F49608" s="2">
        <v>2.9604524992435999E-7</v>
      </c>
    </row>
    <row r="49609" spans="1:6" x14ac:dyDescent="0.25">
      <c r="A49609" s="1" t="str">
        <f t="shared" si="1579"/>
        <v>99999</v>
      </c>
      <c r="B49609" s="1" t="str">
        <f>"63014"</f>
        <v>63014</v>
      </c>
      <c r="C49609" s="2">
        <v>5.6295663090376404E-6</v>
      </c>
      <c r="D49609" s="2">
        <v>3.01141779055288E-6</v>
      </c>
      <c r="E49609" s="2">
        <v>1.72042270785932E-5</v>
      </c>
      <c r="F49609" s="2">
        <v>5.7235414985376303E-6</v>
      </c>
    </row>
    <row r="49610" spans="1:6" x14ac:dyDescent="0.25">
      <c r="A49610" s="1" t="str">
        <f t="shared" si="1579"/>
        <v>99999</v>
      </c>
      <c r="B49610" s="1" t="str">
        <f>"63833"</f>
        <v>63833</v>
      </c>
      <c r="C49610" s="2">
        <v>7.6865232296475401E-6</v>
      </c>
      <c r="D49610" s="2">
        <v>1.50570889527644E-6</v>
      </c>
      <c r="E49610" s="2">
        <v>4.3010567696482999E-6</v>
      </c>
      <c r="F49610" s="2">
        <v>7.2037677481594301E-6</v>
      </c>
    </row>
    <row r="49611" spans="1:6" x14ac:dyDescent="0.25">
      <c r="A49611" s="1" t="str">
        <f t="shared" si="1579"/>
        <v>99999</v>
      </c>
      <c r="B49611" s="1" t="str">
        <f>"67831"</f>
        <v>67831</v>
      </c>
      <c r="C49611" s="2">
        <v>2.7281744420720801E-5</v>
      </c>
      <c r="D49611" s="2">
        <v>7.2274026973269097E-5</v>
      </c>
      <c r="E49611" s="2">
        <v>2.58063406178898E-5</v>
      </c>
      <c r="F49611" s="2">
        <v>3.0196615492284699E-5</v>
      </c>
    </row>
    <row r="49612" spans="1:6" x14ac:dyDescent="0.25">
      <c r="A49612" s="1" t="str">
        <f t="shared" si="1579"/>
        <v>99999</v>
      </c>
      <c r="B49612" s="1" t="str">
        <f>"67347"</f>
        <v>67347</v>
      </c>
      <c r="C49612" s="2">
        <v>6.49565343350497E-6</v>
      </c>
      <c r="D49612" s="2">
        <v>4.5171266858293203E-6</v>
      </c>
      <c r="E49612" s="2">
        <v>4.3010567696482999E-6</v>
      </c>
      <c r="F49612" s="2">
        <v>6.3156319983863499E-6</v>
      </c>
    </row>
    <row r="49613" spans="1:6" x14ac:dyDescent="0.25">
      <c r="A49613" s="1" t="str">
        <f t="shared" si="1579"/>
        <v>99999</v>
      </c>
      <c r="B49613" s="1" t="str">
        <f>"67673"</f>
        <v>67673</v>
      </c>
      <c r="C49613" s="2">
        <v>9.5269583691406198E-6</v>
      </c>
      <c r="D49613" s="2">
        <v>4.5171266858293203E-6</v>
      </c>
      <c r="E49613" s="2">
        <v>0</v>
      </c>
      <c r="F49613" s="2">
        <v>8.9800392477055905E-6</v>
      </c>
    </row>
    <row r="49614" spans="1:6" x14ac:dyDescent="0.25">
      <c r="A49614" s="1" t="str">
        <f t="shared" si="1579"/>
        <v>99999</v>
      </c>
      <c r="B49614" s="1" t="str">
        <f>"68733"</f>
        <v>68733</v>
      </c>
      <c r="C49614" s="2">
        <v>1.2774785085893101E-5</v>
      </c>
      <c r="D49614" s="2">
        <v>6.0228355811057601E-6</v>
      </c>
      <c r="E49614" s="2">
        <v>8.6021135392965999E-6</v>
      </c>
      <c r="F49614" s="2">
        <v>1.22365369968735E-5</v>
      </c>
    </row>
    <row r="49615" spans="1:6" x14ac:dyDescent="0.25">
      <c r="A49615" s="1" t="str">
        <f t="shared" si="1579"/>
        <v>99999</v>
      </c>
      <c r="B49615" s="1" t="str">
        <f>"74865"</f>
        <v>74865</v>
      </c>
      <c r="C49615" s="2">
        <v>8.3360885729980396E-6</v>
      </c>
      <c r="D49615" s="2">
        <v>0</v>
      </c>
      <c r="E49615" s="2">
        <v>0</v>
      </c>
      <c r="F49615" s="2">
        <v>7.5984947480585801E-6</v>
      </c>
    </row>
    <row r="49616" spans="1:6" x14ac:dyDescent="0.25">
      <c r="A49616" s="1" t="str">
        <f t="shared" si="1579"/>
        <v>99999</v>
      </c>
      <c r="B49616" s="1" t="str">
        <f>"78801"</f>
        <v>78801</v>
      </c>
      <c r="C49616" s="2">
        <v>1.7321742489346499E-6</v>
      </c>
      <c r="D49616" s="2">
        <v>0</v>
      </c>
      <c r="E49616" s="2">
        <v>0</v>
      </c>
      <c r="F49616" s="2">
        <v>1.5789079995965801E-6</v>
      </c>
    </row>
    <row r="49617" spans="1:6" x14ac:dyDescent="0.25">
      <c r="A49617" s="1" t="str">
        <f t="shared" si="1579"/>
        <v>99999</v>
      </c>
      <c r="B49617" s="1" t="str">
        <f>"81021"</f>
        <v>81021</v>
      </c>
      <c r="C49617" s="2">
        <v>2.0569569206099001E-6</v>
      </c>
      <c r="D49617" s="2">
        <v>1.50570889527644E-6</v>
      </c>
      <c r="E49617" s="2">
        <v>0</v>
      </c>
      <c r="F49617" s="2">
        <v>1.9736349994957299E-6</v>
      </c>
    </row>
    <row r="49618" spans="1:6" x14ac:dyDescent="0.25">
      <c r="A49618" s="1" t="str">
        <f t="shared" si="1579"/>
        <v>99999</v>
      </c>
      <c r="B49618" s="1" t="str">
        <f>"83465"</f>
        <v>83465</v>
      </c>
      <c r="C49618" s="2">
        <v>6.49565343350497E-7</v>
      </c>
      <c r="D49618" s="2">
        <v>0</v>
      </c>
      <c r="E49618" s="2">
        <v>4.3010567696482999E-6</v>
      </c>
      <c r="F49618" s="2">
        <v>6.9077224982350697E-7</v>
      </c>
    </row>
    <row r="49619" spans="1:6" x14ac:dyDescent="0.25">
      <c r="A49619" s="1" t="str">
        <f t="shared" si="1579"/>
        <v>99999</v>
      </c>
      <c r="B49619" s="1" t="str">
        <f>"83233"</f>
        <v>83233</v>
      </c>
      <c r="C49619" s="2">
        <v>5.95434898071288E-6</v>
      </c>
      <c r="D49619" s="2">
        <v>0</v>
      </c>
      <c r="E49619" s="2">
        <v>4.3010567696482999E-6</v>
      </c>
      <c r="F49619" s="2">
        <v>5.52617799858806E-6</v>
      </c>
    </row>
    <row r="49620" spans="1:6" x14ac:dyDescent="0.25">
      <c r="A49620" s="1" t="str">
        <f t="shared" si="1579"/>
        <v>99999</v>
      </c>
      <c r="B49620" s="1" t="str">
        <f>"80468"</f>
        <v>80468</v>
      </c>
      <c r="C49620" s="2">
        <v>8.3360885729980396E-6</v>
      </c>
      <c r="D49620" s="2">
        <v>1.80685067433172E-5</v>
      </c>
      <c r="E49620" s="2">
        <v>2.58063406178898E-5</v>
      </c>
      <c r="F49620" s="2">
        <v>9.3747662476047397E-6</v>
      </c>
    </row>
    <row r="49621" spans="1:6" x14ac:dyDescent="0.25">
      <c r="A49621" s="1" t="str">
        <f t="shared" si="1579"/>
        <v>99999</v>
      </c>
      <c r="B49621" s="1" t="str">
        <f>"84716"</f>
        <v>84716</v>
      </c>
      <c r="C49621" s="2">
        <v>5.4130445279207995E-7</v>
      </c>
      <c r="D49621" s="2">
        <v>0</v>
      </c>
      <c r="E49621" s="2">
        <v>4.3010567696482999E-6</v>
      </c>
      <c r="F49621" s="2">
        <v>5.9209049984871999E-7</v>
      </c>
    </row>
    <row r="49622" spans="1:6" x14ac:dyDescent="0.25">
      <c r="A49622" s="1" t="str">
        <f t="shared" si="1579"/>
        <v>99999</v>
      </c>
      <c r="B49622" s="1" t="str">
        <f>"85920"</f>
        <v>85920</v>
      </c>
      <c r="C49622" s="2">
        <v>5.4130445279207995E-7</v>
      </c>
      <c r="D49622" s="2">
        <v>1.50570889527644E-6</v>
      </c>
      <c r="E49622" s="2">
        <v>0</v>
      </c>
      <c r="F49622" s="2">
        <v>5.9209049984871999E-7</v>
      </c>
    </row>
    <row r="49623" spans="1:6" x14ac:dyDescent="0.25">
      <c r="A49623" s="1" t="str">
        <f t="shared" si="1579"/>
        <v>99999</v>
      </c>
      <c r="B49623" s="1" t="str">
        <f>"04683"</f>
        <v>04683</v>
      </c>
      <c r="C49623" s="2">
        <v>4.8717400751287203E-6</v>
      </c>
      <c r="D49623" s="2">
        <v>0</v>
      </c>
      <c r="E49623" s="2">
        <v>4.3010567696482999E-6</v>
      </c>
      <c r="F49623" s="2">
        <v>4.5393604988401904E-6</v>
      </c>
    </row>
    <row r="49624" spans="1:6" x14ac:dyDescent="0.25">
      <c r="A49624" s="1" t="str">
        <f t="shared" si="1579"/>
        <v>99999</v>
      </c>
      <c r="B49624" s="1" t="str">
        <f>"24829"</f>
        <v>24829</v>
      </c>
      <c r="C49624" s="2">
        <v>2.9230440450772301E-6</v>
      </c>
      <c r="D49624" s="2">
        <v>1.50570889527644E-6</v>
      </c>
      <c r="E49624" s="2">
        <v>4.3010567696482999E-5</v>
      </c>
      <c r="F49624" s="2">
        <v>3.7499064990418899E-6</v>
      </c>
    </row>
    <row r="49625" spans="1:6" x14ac:dyDescent="0.25">
      <c r="A49625" s="1" t="str">
        <f t="shared" si="1579"/>
        <v>99999</v>
      </c>
      <c r="B49625" s="1" t="str">
        <f>"41630"</f>
        <v>41630</v>
      </c>
      <c r="C49625" s="2">
        <v>4.3304356223366401E-5</v>
      </c>
      <c r="D49625" s="2">
        <v>4.5171266858293203E-6</v>
      </c>
      <c r="E49625" s="2">
        <v>1.29031703089449E-5</v>
      </c>
      <c r="F49625" s="2">
        <v>4.0064790489763397E-5</v>
      </c>
    </row>
    <row r="49626" spans="1:6" x14ac:dyDescent="0.25">
      <c r="A49626" s="1" t="str">
        <f t="shared" si="1579"/>
        <v>99999</v>
      </c>
      <c r="B49626" s="1" t="str">
        <f>"41563"</f>
        <v>41563</v>
      </c>
      <c r="C49626" s="2">
        <v>2.21934825644753E-5</v>
      </c>
      <c r="D49626" s="2">
        <v>0</v>
      </c>
      <c r="E49626" s="2">
        <v>8.6021135392965999E-6</v>
      </c>
      <c r="F49626" s="2">
        <v>2.0427122244780799E-5</v>
      </c>
    </row>
    <row r="49627" spans="1:6" x14ac:dyDescent="0.25">
      <c r="A49627" s="1" t="str">
        <f t="shared" si="1579"/>
        <v>99999</v>
      </c>
      <c r="B49627" s="1" t="str">
        <f>"43512"</f>
        <v>43512</v>
      </c>
      <c r="C49627" s="2">
        <v>5.1856966577481302E-5</v>
      </c>
      <c r="D49627" s="2">
        <v>1.9574215638593701E-5</v>
      </c>
      <c r="E49627" s="2">
        <v>6.8816908314372799E-5</v>
      </c>
      <c r="F49627" s="2">
        <v>5.0130328987191699E-5</v>
      </c>
    </row>
    <row r="49628" spans="1:6" x14ac:dyDescent="0.25">
      <c r="A49628" s="1" t="str">
        <f t="shared" si="1579"/>
        <v>99999</v>
      </c>
      <c r="B49628" s="1" t="str">
        <f>"41271"</f>
        <v>41271</v>
      </c>
      <c r="C49628" s="2">
        <v>1.9486960300514902E-5</v>
      </c>
      <c r="D49628" s="2">
        <v>4.5171266858293203E-6</v>
      </c>
      <c r="E49628" s="2">
        <v>4.3010567696482999E-6</v>
      </c>
      <c r="F49628" s="2">
        <v>1.81574419953607E-5</v>
      </c>
    </row>
    <row r="49629" spans="1:6" x14ac:dyDescent="0.25">
      <c r="A49629" s="1" t="str">
        <f t="shared" si="1579"/>
        <v>99999</v>
      </c>
      <c r="B49629" s="1" t="str">
        <f>"49791"</f>
        <v>49791</v>
      </c>
      <c r="C49629" s="2">
        <v>4.4386965128950601E-6</v>
      </c>
      <c r="D49629" s="2">
        <v>1.50570889527644E-6</v>
      </c>
      <c r="E49629" s="2">
        <v>0</v>
      </c>
      <c r="F49629" s="2">
        <v>4.1446334989410403E-6</v>
      </c>
    </row>
    <row r="49630" spans="1:6" x14ac:dyDescent="0.25">
      <c r="A49630" s="1" t="str">
        <f t="shared" si="1579"/>
        <v>99999</v>
      </c>
      <c r="B49630" s="1" t="str">
        <f>"51026"</f>
        <v>51026</v>
      </c>
      <c r="C49630" s="2">
        <v>6.1708707618297202E-6</v>
      </c>
      <c r="D49630" s="2">
        <v>0</v>
      </c>
      <c r="E49630" s="2">
        <v>0</v>
      </c>
      <c r="F49630" s="2">
        <v>5.6248597485628401E-6</v>
      </c>
    </row>
    <row r="49631" spans="1:6" x14ac:dyDescent="0.25">
      <c r="A49631" s="1" t="str">
        <f t="shared" si="1579"/>
        <v>99999</v>
      </c>
      <c r="B49631" s="1" t="str">
        <f>"50520"</f>
        <v>50520</v>
      </c>
      <c r="C49631" s="2">
        <v>7.5782623390891297E-6</v>
      </c>
      <c r="D49631" s="2">
        <v>1.50570889527644E-6</v>
      </c>
      <c r="E49631" s="2">
        <v>4.3010567696482999E-6</v>
      </c>
      <c r="F49631" s="2">
        <v>7.10508599818465E-6</v>
      </c>
    </row>
    <row r="49632" spans="1:6" x14ac:dyDescent="0.25">
      <c r="A49632" s="1" t="str">
        <f t="shared" si="1579"/>
        <v>99999</v>
      </c>
      <c r="B49632" s="1" t="str">
        <f>"56754"</f>
        <v>56754</v>
      </c>
      <c r="C49632" s="2">
        <v>1.67804380365545E-5</v>
      </c>
      <c r="D49632" s="2">
        <v>7.5285444763821999E-6</v>
      </c>
      <c r="E49632" s="2">
        <v>4.3010567696482999E-6</v>
      </c>
      <c r="F49632" s="2">
        <v>1.5887761745940599E-5</v>
      </c>
    </row>
    <row r="49633" spans="1:6" x14ac:dyDescent="0.25">
      <c r="A49633" s="1" t="str">
        <f t="shared" si="1579"/>
        <v>99999</v>
      </c>
      <c r="B49633" s="1" t="str">
        <f>"57724"</f>
        <v>57724</v>
      </c>
      <c r="C49633" s="2">
        <v>1.1042610836958401E-5</v>
      </c>
      <c r="D49633" s="2">
        <v>3.01141779055288E-6</v>
      </c>
      <c r="E49633" s="2">
        <v>4.3010567696482999E-6</v>
      </c>
      <c r="F49633" s="2">
        <v>1.03615837473526E-5</v>
      </c>
    </row>
    <row r="49634" spans="1:6" x14ac:dyDescent="0.25">
      <c r="A49634" s="1" t="str">
        <f t="shared" si="1579"/>
        <v>99999</v>
      </c>
      <c r="B49634" s="1" t="str">
        <f>"57460"</f>
        <v>57460</v>
      </c>
      <c r="C49634" s="2">
        <v>4.2221747317782301E-6</v>
      </c>
      <c r="D49634" s="2">
        <v>0</v>
      </c>
      <c r="E49634" s="2">
        <v>4.3010567696482999E-6</v>
      </c>
      <c r="F49634" s="2">
        <v>3.94726999899147E-6</v>
      </c>
    </row>
    <row r="49635" spans="1:6" x14ac:dyDescent="0.25">
      <c r="A49635" s="1" t="str">
        <f t="shared" si="1579"/>
        <v>99999</v>
      </c>
      <c r="B49635" s="1" t="str">
        <f>"58053"</f>
        <v>58053</v>
      </c>
      <c r="C49635" s="2">
        <v>8.2278276824396208E-6</v>
      </c>
      <c r="D49635" s="2">
        <v>3.01141779055288E-6</v>
      </c>
      <c r="E49635" s="2">
        <v>0</v>
      </c>
      <c r="F49635" s="2">
        <v>7.6971764980333696E-6</v>
      </c>
    </row>
    <row r="49636" spans="1:6" x14ac:dyDescent="0.25">
      <c r="A49636" s="1" t="str">
        <f t="shared" si="1579"/>
        <v>99999</v>
      </c>
      <c r="B49636" s="1" t="str">
        <f>"58569"</f>
        <v>58569</v>
      </c>
      <c r="C49636" s="2">
        <v>6.8204361051802096E-6</v>
      </c>
      <c r="D49636" s="2">
        <v>1.50570889527644E-6</v>
      </c>
      <c r="E49636" s="2">
        <v>0</v>
      </c>
      <c r="F49636" s="2">
        <v>6.3156319983863499E-6</v>
      </c>
    </row>
    <row r="49637" spans="1:6" x14ac:dyDescent="0.25">
      <c r="A49637" s="1" t="str">
        <f t="shared" si="1579"/>
        <v>99999</v>
      </c>
      <c r="B49637" s="1" t="str">
        <f>"58538"</f>
        <v>58538</v>
      </c>
      <c r="C49637" s="2">
        <v>2.6199135515136701E-5</v>
      </c>
      <c r="D49637" s="2">
        <v>7.5285444763821999E-6</v>
      </c>
      <c r="E49637" s="2">
        <v>3.8709510926834699E-5</v>
      </c>
      <c r="F49637" s="2">
        <v>2.52625279935454E-5</v>
      </c>
    </row>
    <row r="49638" spans="1:6" x14ac:dyDescent="0.25">
      <c r="A49638" s="1" t="str">
        <f t="shared" si="1579"/>
        <v>99999</v>
      </c>
      <c r="B49638" s="1" t="str">
        <f>"58620"</f>
        <v>58620</v>
      </c>
      <c r="C49638" s="2">
        <v>9.7434801502574508E-6</v>
      </c>
      <c r="D49638" s="2">
        <v>2.1079924533870101E-5</v>
      </c>
      <c r="E49638" s="2">
        <v>4.3010567696482999E-6</v>
      </c>
      <c r="F49638" s="2">
        <v>1.03615837473526E-5</v>
      </c>
    </row>
    <row r="49639" spans="1:6" x14ac:dyDescent="0.25">
      <c r="A49639" s="1" t="str">
        <f t="shared" si="1579"/>
        <v>99999</v>
      </c>
      <c r="B49639" s="1" t="str">
        <f>"59010"</f>
        <v>59010</v>
      </c>
      <c r="C49639" s="2">
        <v>8.7691321352316998E-6</v>
      </c>
      <c r="D49639" s="2">
        <v>9.0342533716586405E-6</v>
      </c>
      <c r="E49639" s="2">
        <v>8.6021135392965999E-6</v>
      </c>
      <c r="F49639" s="2">
        <v>8.7826757477560201E-6</v>
      </c>
    </row>
    <row r="49640" spans="1:6" x14ac:dyDescent="0.25">
      <c r="A49640" s="1" t="str">
        <f t="shared" si="1579"/>
        <v>99999</v>
      </c>
      <c r="B49640" s="1" t="str">
        <f>"59489"</f>
        <v>59489</v>
      </c>
      <c r="C49640" s="2">
        <v>1.39656548820356E-5</v>
      </c>
      <c r="D49640" s="2">
        <v>0</v>
      </c>
      <c r="E49640" s="2">
        <v>4.3010567696482999E-6</v>
      </c>
      <c r="F49640" s="2">
        <v>1.2828627496722201E-5</v>
      </c>
    </row>
    <row r="49641" spans="1:6" x14ac:dyDescent="0.25">
      <c r="A49641" s="1" t="str">
        <f t="shared" si="1579"/>
        <v>99999</v>
      </c>
      <c r="B49641" s="1" t="str">
        <f>"61773"</f>
        <v>61773</v>
      </c>
      <c r="C49641" s="2">
        <v>2.4142178594526799E-5</v>
      </c>
      <c r="D49641" s="2">
        <v>2.55970512196994E-5</v>
      </c>
      <c r="E49641" s="2">
        <v>0</v>
      </c>
      <c r="F49641" s="2">
        <v>2.3683619993948799E-5</v>
      </c>
    </row>
    <row r="49642" spans="1:6" x14ac:dyDescent="0.25">
      <c r="A49642" s="1" t="str">
        <f t="shared" si="1579"/>
        <v>99999</v>
      </c>
      <c r="B49642" s="1" t="str">
        <f>"63538"</f>
        <v>63538</v>
      </c>
      <c r="C49642" s="2">
        <v>1.85126122854891E-5</v>
      </c>
      <c r="D49642" s="2">
        <v>1.50570889527644E-6</v>
      </c>
      <c r="E49642" s="2">
        <v>4.3010567696482999E-6</v>
      </c>
      <c r="F49642" s="2">
        <v>1.7071942745638099E-5</v>
      </c>
    </row>
    <row r="49643" spans="1:6" x14ac:dyDescent="0.25">
      <c r="A49643" s="1" t="str">
        <f t="shared" si="1579"/>
        <v>99999</v>
      </c>
      <c r="B49643" s="1" t="str">
        <f>"66780"</f>
        <v>66780</v>
      </c>
      <c r="C49643" s="2">
        <v>9.2021756974653701E-6</v>
      </c>
      <c r="D49643" s="2">
        <v>4.5171266858293203E-6</v>
      </c>
      <c r="E49643" s="2">
        <v>0</v>
      </c>
      <c r="F49643" s="2">
        <v>8.6839939977812298E-6</v>
      </c>
    </row>
    <row r="49644" spans="1:6" x14ac:dyDescent="0.25">
      <c r="A49644" s="1" t="str">
        <f t="shared" si="1579"/>
        <v>99999</v>
      </c>
      <c r="B49644" s="1" t="str">
        <f>"51648"</f>
        <v>51648</v>
      </c>
      <c r="C49644" s="2">
        <v>1.42904375537109E-5</v>
      </c>
      <c r="D49644" s="2">
        <v>2.55970512196994E-5</v>
      </c>
      <c r="E49644" s="2">
        <v>1.72042270785932E-5</v>
      </c>
      <c r="F49644" s="2">
        <v>1.5098307746142301E-5</v>
      </c>
    </row>
    <row r="49645" spans="1:6" x14ac:dyDescent="0.25">
      <c r="A49645" s="1" t="str">
        <f t="shared" si="1579"/>
        <v>99999</v>
      </c>
      <c r="B49645" s="1" t="str">
        <f>"67850"</f>
        <v>67850</v>
      </c>
      <c r="C49645" s="2">
        <v>2.0786090987215901E-5</v>
      </c>
      <c r="D49645" s="2">
        <v>2.1079924533870101E-5</v>
      </c>
      <c r="E49645" s="2">
        <v>3.01073973875381E-5</v>
      </c>
      <c r="F49645" s="2">
        <v>2.10192127446295E-5</v>
      </c>
    </row>
    <row r="49646" spans="1:6" x14ac:dyDescent="0.25">
      <c r="A49646" s="1" t="str">
        <f t="shared" si="1579"/>
        <v>99999</v>
      </c>
      <c r="B49646" s="1" t="str">
        <f>"65741"</f>
        <v>65741</v>
      </c>
      <c r="C49646" s="2">
        <v>2.1652178111683201E-7</v>
      </c>
      <c r="D49646" s="2">
        <v>1.50570889527644E-6</v>
      </c>
      <c r="E49646" s="2">
        <v>4.3010567696482999E-6</v>
      </c>
      <c r="F49646" s="2">
        <v>3.9472699989914697E-7</v>
      </c>
    </row>
    <row r="49647" spans="1:6" x14ac:dyDescent="0.25">
      <c r="A49647" s="1" t="str">
        <f t="shared" si="1579"/>
        <v>99999</v>
      </c>
      <c r="B49647" s="1" t="str">
        <f>"69131"</f>
        <v>69131</v>
      </c>
      <c r="C49647" s="2">
        <v>2.5116526609552499E-5</v>
      </c>
      <c r="D49647" s="2">
        <v>1.50570889527644E-5</v>
      </c>
      <c r="E49647" s="2">
        <v>4.3010567696482999E-6</v>
      </c>
      <c r="F49647" s="2">
        <v>2.3979665243873099E-5</v>
      </c>
    </row>
    <row r="49648" spans="1:6" x14ac:dyDescent="0.25">
      <c r="A49648" s="1" t="str">
        <f t="shared" si="1579"/>
        <v>99999</v>
      </c>
      <c r="B49648" s="1" t="str">
        <f>"68947"</f>
        <v>68947</v>
      </c>
      <c r="C49648" s="2">
        <v>2.4466961266201999E-5</v>
      </c>
      <c r="D49648" s="2">
        <v>1.50570889527644E-6</v>
      </c>
      <c r="E49648" s="2">
        <v>1.07526419241207E-4</v>
      </c>
      <c r="F49648" s="2">
        <v>2.4867800993646201E-5</v>
      </c>
    </row>
    <row r="49649" spans="1:6" x14ac:dyDescent="0.25">
      <c r="A49649" s="1" t="str">
        <f t="shared" si="1579"/>
        <v>99999</v>
      </c>
      <c r="B49649" s="1" t="str">
        <f>"71055"</f>
        <v>71055</v>
      </c>
      <c r="C49649" s="2">
        <v>2.46834830473188E-5</v>
      </c>
      <c r="D49649" s="2">
        <v>1.35513800574879E-5</v>
      </c>
      <c r="E49649" s="2">
        <v>0</v>
      </c>
      <c r="F49649" s="2">
        <v>2.3387574744024402E-5</v>
      </c>
    </row>
    <row r="49650" spans="1:6" x14ac:dyDescent="0.25">
      <c r="A49650" s="1" t="str">
        <f t="shared" si="1579"/>
        <v>99999</v>
      </c>
      <c r="B49650" s="1" t="str">
        <f>"68821"</f>
        <v>68821</v>
      </c>
      <c r="C49650" s="2">
        <v>8.9856539163485408E-6</v>
      </c>
      <c r="D49650" s="2">
        <v>6.0228355811057601E-6</v>
      </c>
      <c r="E49650" s="2">
        <v>4.3010567696482999E-6</v>
      </c>
      <c r="F49650" s="2">
        <v>8.6839939977812298E-6</v>
      </c>
    </row>
    <row r="49651" spans="1:6" x14ac:dyDescent="0.25">
      <c r="A49651" s="1" t="str">
        <f t="shared" si="1579"/>
        <v>99999</v>
      </c>
      <c r="B49651" s="1" t="str">
        <f>"68445"</f>
        <v>68445</v>
      </c>
      <c r="C49651" s="2">
        <v>9.0939148069069495E-6</v>
      </c>
      <c r="D49651" s="2">
        <v>0</v>
      </c>
      <c r="E49651" s="2">
        <v>4.3010567696482999E-6</v>
      </c>
      <c r="F49651" s="2">
        <v>8.3879487478568692E-6</v>
      </c>
    </row>
    <row r="49652" spans="1:6" x14ac:dyDescent="0.25">
      <c r="A49652" s="1" t="str">
        <f t="shared" si="1579"/>
        <v>99999</v>
      </c>
      <c r="B49652" s="1" t="str">
        <f>"72951"</f>
        <v>72951</v>
      </c>
      <c r="C49652" s="2">
        <v>2.85808751074218E-5</v>
      </c>
      <c r="D49652" s="2">
        <v>2.7102760114975901E-5</v>
      </c>
      <c r="E49652" s="2">
        <v>4.3010567696482999E-6</v>
      </c>
      <c r="F49652" s="2">
        <v>2.7926935242864601E-5</v>
      </c>
    </row>
    <row r="49653" spans="1:6" x14ac:dyDescent="0.25">
      <c r="A49653" s="1" t="str">
        <f t="shared" si="1579"/>
        <v>99999</v>
      </c>
      <c r="B49653" s="1" t="str">
        <f>"72355"</f>
        <v>72355</v>
      </c>
      <c r="C49653" s="2">
        <v>1.8945655847722799E-5</v>
      </c>
      <c r="D49653" s="2">
        <v>1.65627978480408E-5</v>
      </c>
      <c r="E49653" s="2">
        <v>0</v>
      </c>
      <c r="F49653" s="2">
        <v>1.8354805495310301E-5</v>
      </c>
    </row>
    <row r="49654" spans="1:6" x14ac:dyDescent="0.25">
      <c r="A49654" s="1" t="str">
        <f t="shared" si="1579"/>
        <v>99999</v>
      </c>
      <c r="B49654" s="1" t="str">
        <f>"72430"</f>
        <v>72430</v>
      </c>
      <c r="C49654" s="2">
        <v>2.2843047907825799E-5</v>
      </c>
      <c r="D49654" s="2">
        <v>4.5171266858293203E-6</v>
      </c>
      <c r="E49654" s="2">
        <v>4.3010567696482999E-6</v>
      </c>
      <c r="F49654" s="2">
        <v>2.12165762445791E-5</v>
      </c>
    </row>
    <row r="49655" spans="1:6" x14ac:dyDescent="0.25">
      <c r="A49655" s="1" t="str">
        <f t="shared" si="1579"/>
        <v>99999</v>
      </c>
      <c r="B49655" s="1" t="str">
        <f>"71663"</f>
        <v>71663</v>
      </c>
      <c r="C49655" s="2">
        <v>2.24100043455921E-5</v>
      </c>
      <c r="D49655" s="2">
        <v>2.1079924533870101E-5</v>
      </c>
      <c r="E49655" s="2">
        <v>4.3010567696482999E-6</v>
      </c>
      <c r="F49655" s="2">
        <v>2.1907348494402598E-5</v>
      </c>
    </row>
    <row r="49656" spans="1:6" x14ac:dyDescent="0.25">
      <c r="A49656" s="1" t="str">
        <f t="shared" si="1579"/>
        <v>99999</v>
      </c>
      <c r="B49656" s="1" t="str">
        <f>"73642"</f>
        <v>73642</v>
      </c>
      <c r="C49656" s="2">
        <v>1.86208731760475E-5</v>
      </c>
      <c r="D49656" s="2">
        <v>3.01141779055288E-6</v>
      </c>
      <c r="E49656" s="2">
        <v>4.3010567696482999E-6</v>
      </c>
      <c r="F49656" s="2">
        <v>1.7269306245587602E-5</v>
      </c>
    </row>
    <row r="49657" spans="1:6" x14ac:dyDescent="0.25">
      <c r="A49657" s="1" t="str">
        <f t="shared" si="1579"/>
        <v>99999</v>
      </c>
      <c r="B49657" s="1" t="str">
        <f>"74820"</f>
        <v>74820</v>
      </c>
      <c r="C49657" s="2">
        <v>8.7691321352316998E-6</v>
      </c>
      <c r="D49657" s="2">
        <v>3.01141779055288E-6</v>
      </c>
      <c r="E49657" s="2">
        <v>0</v>
      </c>
      <c r="F49657" s="2">
        <v>8.1905852479073005E-6</v>
      </c>
    </row>
    <row r="49658" spans="1:6" x14ac:dyDescent="0.25">
      <c r="A49658" s="1" t="str">
        <f t="shared" si="1579"/>
        <v>99999</v>
      </c>
      <c r="B49658" s="1" t="str">
        <f>"76848"</f>
        <v>76848</v>
      </c>
      <c r="C49658" s="2">
        <v>7.2534796674138799E-6</v>
      </c>
      <c r="D49658" s="2">
        <v>0</v>
      </c>
      <c r="E49658" s="2">
        <v>4.3010567696482999E-6</v>
      </c>
      <c r="F49658" s="2">
        <v>6.7103589982854999E-6</v>
      </c>
    </row>
    <row r="49659" spans="1:6" x14ac:dyDescent="0.25">
      <c r="A49659" s="1" t="str">
        <f t="shared" si="1579"/>
        <v>99999</v>
      </c>
      <c r="B49659" s="1" t="str">
        <f>"81327"</f>
        <v>81327</v>
      </c>
      <c r="C49659" s="2">
        <v>2.8797396888538699E-5</v>
      </c>
      <c r="D49659" s="2">
        <v>0</v>
      </c>
      <c r="E49659" s="2">
        <v>2.58063406178898E-5</v>
      </c>
      <c r="F49659" s="2">
        <v>2.6841435993142E-5</v>
      </c>
    </row>
    <row r="49660" spans="1:6" x14ac:dyDescent="0.25">
      <c r="A49660" s="1" t="str">
        <f t="shared" si="1579"/>
        <v>99999</v>
      </c>
      <c r="B49660" s="1" t="str">
        <f>"88353"</f>
        <v>88353</v>
      </c>
      <c r="C49660" s="2">
        <v>0</v>
      </c>
      <c r="D49660" s="2">
        <v>1.50570889527644E-6</v>
      </c>
      <c r="E49660" s="2">
        <v>4.0429933634693999E-4</v>
      </c>
      <c r="F49660" s="2">
        <v>9.3747662476047397E-6</v>
      </c>
    </row>
    <row r="49661" spans="1:6" x14ac:dyDescent="0.25">
      <c r="A49661" s="1" t="str">
        <f t="shared" si="1579"/>
        <v>99999</v>
      </c>
      <c r="B49661" s="1" t="str">
        <f>"93545"</f>
        <v>93545</v>
      </c>
      <c r="C49661" s="2">
        <v>3.6916963680419897E-5</v>
      </c>
      <c r="D49661" s="2">
        <v>1.80685067433172E-5</v>
      </c>
      <c r="E49661" s="2">
        <v>6.8816908314372799E-5</v>
      </c>
      <c r="F49661" s="2">
        <v>3.64135657406963E-5</v>
      </c>
    </row>
    <row r="49662" spans="1:6" x14ac:dyDescent="0.25">
      <c r="A49662" s="1" t="str">
        <f t="shared" si="1579"/>
        <v>99999</v>
      </c>
      <c r="B49662" s="1" t="str">
        <f>"93526"</f>
        <v>93526</v>
      </c>
      <c r="C49662" s="2">
        <v>2.9771744903564399E-5</v>
      </c>
      <c r="D49662" s="2">
        <v>3.01141779055288E-6</v>
      </c>
      <c r="E49662" s="2">
        <v>8.6021135392965999E-6</v>
      </c>
      <c r="F49662" s="2">
        <v>2.7532208242965501E-5</v>
      </c>
    </row>
    <row r="49663" spans="1:6" x14ac:dyDescent="0.25">
      <c r="A49663" s="1" t="str">
        <f t="shared" si="1579"/>
        <v>99999</v>
      </c>
      <c r="B49663" s="1" t="str">
        <f>"96020"</f>
        <v>96020</v>
      </c>
      <c r="C49663" s="2">
        <v>8.5417842650590295E-5</v>
      </c>
      <c r="D49663" s="2">
        <v>4.5171266858293203E-6</v>
      </c>
      <c r="E49663" s="2">
        <v>2.15052838482415E-5</v>
      </c>
      <c r="F49663" s="2">
        <v>7.8649354729904995E-5</v>
      </c>
    </row>
    <row r="49664" spans="1:6" x14ac:dyDescent="0.25">
      <c r="A49664" s="1" t="str">
        <f t="shared" si="1579"/>
        <v>99999</v>
      </c>
      <c r="B49664" s="1" t="str">
        <f>"99144"</f>
        <v>99144</v>
      </c>
      <c r="C49664" s="2">
        <v>1.9486960300514902E-6</v>
      </c>
      <c r="D49664" s="2">
        <v>1.50570889527644E-6</v>
      </c>
      <c r="E49664" s="2">
        <v>8.6021135392965999E-6</v>
      </c>
      <c r="F49664" s="2">
        <v>2.0723167494705202E-6</v>
      </c>
    </row>
    <row r="49665" spans="1:6" x14ac:dyDescent="0.25">
      <c r="A49665" s="1" t="str">
        <f t="shared" si="1579"/>
        <v>99999</v>
      </c>
      <c r="B49665" s="1" t="str">
        <f>"99588"</f>
        <v>99588</v>
      </c>
      <c r="C49665" s="2">
        <v>2.8039570654629701E-5</v>
      </c>
      <c r="D49665" s="2">
        <v>1.65627978480408E-5</v>
      </c>
      <c r="E49665" s="2">
        <v>4.3010567696482999E-6</v>
      </c>
      <c r="F49665" s="2">
        <v>2.6742754243167199E-5</v>
      </c>
    </row>
    <row r="49666" spans="1:6" x14ac:dyDescent="0.25">
      <c r="A49666" s="1" t="str">
        <f t="shared" si="1579"/>
        <v>99999</v>
      </c>
      <c r="B49666" s="1" t="str">
        <f>"99726"</f>
        <v>99726</v>
      </c>
      <c r="C49666" s="2">
        <v>0</v>
      </c>
      <c r="D49666" s="2">
        <v>0</v>
      </c>
      <c r="E49666" s="2">
        <v>4.3010567696482999E-6</v>
      </c>
      <c r="F49666" s="2">
        <v>9.8681749974786797E-8</v>
      </c>
    </row>
    <row r="49667" spans="1:6" x14ac:dyDescent="0.25">
      <c r="A49667" s="1" t="str">
        <f t="shared" si="1579"/>
        <v>99999</v>
      </c>
      <c r="B49667" s="1" t="str">
        <f>"05081"</f>
        <v>05081</v>
      </c>
      <c r="C49667" s="2">
        <v>6.9286969957386301E-6</v>
      </c>
      <c r="D49667" s="2">
        <v>1.50570889527644E-6</v>
      </c>
      <c r="E49667" s="2">
        <v>8.6021135392965999E-6</v>
      </c>
      <c r="F49667" s="2">
        <v>6.6116772483107097E-6</v>
      </c>
    </row>
    <row r="49668" spans="1:6" x14ac:dyDescent="0.25">
      <c r="A49668" s="1" t="str">
        <f t="shared" si="1579"/>
        <v>99999</v>
      </c>
      <c r="B49668" s="1" t="str">
        <f>"12964"</f>
        <v>12964</v>
      </c>
      <c r="C49668" s="2">
        <v>7.1452187768554602E-6</v>
      </c>
      <c r="D49668" s="2">
        <v>0</v>
      </c>
      <c r="E49668" s="2">
        <v>1.29031703089449E-5</v>
      </c>
      <c r="F49668" s="2">
        <v>6.8090407482602902E-6</v>
      </c>
    </row>
    <row r="49669" spans="1:6" x14ac:dyDescent="0.25">
      <c r="A49669" s="1" t="str">
        <f t="shared" si="1579"/>
        <v>99999</v>
      </c>
      <c r="B49669" s="1" t="str">
        <f>"14525"</f>
        <v>14525</v>
      </c>
      <c r="C49669" s="2">
        <v>3.7025224570978301E-5</v>
      </c>
      <c r="D49669" s="2">
        <v>2.1079924533870101E-5</v>
      </c>
      <c r="E49669" s="2">
        <v>2.15052838482415E-5</v>
      </c>
      <c r="F49669" s="2">
        <v>3.5624111740897998E-5</v>
      </c>
    </row>
    <row r="49670" spans="1:6" x14ac:dyDescent="0.25">
      <c r="A49670" s="1" t="str">
        <f t="shared" ref="A49670:A49733" si="1580">"99999"</f>
        <v>99999</v>
      </c>
      <c r="B49670" s="1" t="str">
        <f>"22733"</f>
        <v>22733</v>
      </c>
      <c r="C49670" s="2">
        <v>2.38173959228515E-5</v>
      </c>
      <c r="D49670" s="2">
        <v>7.5285444763821999E-6</v>
      </c>
      <c r="E49670" s="2">
        <v>0</v>
      </c>
      <c r="F49670" s="2">
        <v>2.2203393744327E-5</v>
      </c>
    </row>
    <row r="49671" spans="1:6" x14ac:dyDescent="0.25">
      <c r="A49671" s="1" t="str">
        <f t="shared" si="1580"/>
        <v>99999</v>
      </c>
      <c r="B49671" s="1" t="str">
        <f>"24827"</f>
        <v>24827</v>
      </c>
      <c r="C49671" s="2">
        <v>2.76065270923961E-5</v>
      </c>
      <c r="D49671" s="2">
        <v>6.0228355811057601E-6</v>
      </c>
      <c r="E49671" s="2">
        <v>0</v>
      </c>
      <c r="F49671" s="2">
        <v>2.5558573243469699E-5</v>
      </c>
    </row>
    <row r="49672" spans="1:6" x14ac:dyDescent="0.25">
      <c r="A49672" s="1" t="str">
        <f t="shared" si="1580"/>
        <v>99999</v>
      </c>
      <c r="B49672" s="1" t="str">
        <f>"26743"</f>
        <v>26743</v>
      </c>
      <c r="C49672" s="2">
        <v>1.5589568240411901E-5</v>
      </c>
      <c r="D49672" s="2">
        <v>1.50570889527644E-6</v>
      </c>
      <c r="E49672" s="2">
        <v>0</v>
      </c>
      <c r="F49672" s="2">
        <v>1.4308853746344E-5</v>
      </c>
    </row>
    <row r="49673" spans="1:6" x14ac:dyDescent="0.25">
      <c r="A49673" s="1" t="str">
        <f t="shared" si="1580"/>
        <v>99999</v>
      </c>
      <c r="B49673" s="1" t="str">
        <f>"31553"</f>
        <v>31553</v>
      </c>
      <c r="C49673" s="2">
        <v>2.0569569206099001E-6</v>
      </c>
      <c r="D49673" s="2">
        <v>0</v>
      </c>
      <c r="E49673" s="2">
        <v>0</v>
      </c>
      <c r="F49673" s="2">
        <v>1.8749532495209401E-6</v>
      </c>
    </row>
    <row r="49674" spans="1:6" x14ac:dyDescent="0.25">
      <c r="A49674" s="1" t="str">
        <f t="shared" si="1580"/>
        <v>99999</v>
      </c>
      <c r="B49674" s="1" t="str">
        <f>"37055"</f>
        <v>37055</v>
      </c>
      <c r="C49674" s="2">
        <v>1.8079568723255499E-5</v>
      </c>
      <c r="D49674" s="2">
        <v>4.5171266858293203E-6</v>
      </c>
      <c r="E49674" s="2">
        <v>0</v>
      </c>
      <c r="F49674" s="2">
        <v>1.6775897495713701E-5</v>
      </c>
    </row>
    <row r="49675" spans="1:6" x14ac:dyDescent="0.25">
      <c r="A49675" s="1" t="str">
        <f t="shared" si="1580"/>
        <v>99999</v>
      </c>
      <c r="B49675" s="1" t="str">
        <f>"38486"</f>
        <v>38486</v>
      </c>
      <c r="C49675" s="2">
        <v>1.1150871727516799E-5</v>
      </c>
      <c r="D49675" s="2">
        <v>1.50570889527644E-6</v>
      </c>
      <c r="E49675" s="2">
        <v>0</v>
      </c>
      <c r="F49675" s="2">
        <v>1.02629019973778E-5</v>
      </c>
    </row>
    <row r="49676" spans="1:6" x14ac:dyDescent="0.25">
      <c r="A49676" s="1" t="str">
        <f t="shared" si="1580"/>
        <v>99999</v>
      </c>
      <c r="B49676" s="1" t="str">
        <f>"38474"</f>
        <v>38474</v>
      </c>
      <c r="C49676" s="2">
        <v>8.9856539163485408E-6</v>
      </c>
      <c r="D49676" s="2">
        <v>3.01141779055288E-6</v>
      </c>
      <c r="E49676" s="2">
        <v>0</v>
      </c>
      <c r="F49676" s="2">
        <v>8.3879487478568692E-6</v>
      </c>
    </row>
    <row r="49677" spans="1:6" x14ac:dyDescent="0.25">
      <c r="A49677" s="1" t="str">
        <f t="shared" si="1580"/>
        <v>99999</v>
      </c>
      <c r="B49677" s="1" t="str">
        <f>"37357"</f>
        <v>37357</v>
      </c>
      <c r="C49677" s="2">
        <v>1.2883045976451501E-5</v>
      </c>
      <c r="D49677" s="2">
        <v>1.50570889527644E-6</v>
      </c>
      <c r="E49677" s="2">
        <v>0</v>
      </c>
      <c r="F49677" s="2">
        <v>1.18418099969744E-5</v>
      </c>
    </row>
    <row r="49678" spans="1:6" x14ac:dyDescent="0.25">
      <c r="A49678" s="1" t="str">
        <f t="shared" si="1580"/>
        <v>99999</v>
      </c>
      <c r="B49678" s="1" t="str">
        <f>"42369"</f>
        <v>42369</v>
      </c>
      <c r="C49678" s="2">
        <v>9.96000193137428E-6</v>
      </c>
      <c r="D49678" s="2">
        <v>4.5171266858293203E-6</v>
      </c>
      <c r="E49678" s="2">
        <v>4.3010567696482999E-6</v>
      </c>
      <c r="F49678" s="2">
        <v>9.4734479975795299E-6</v>
      </c>
    </row>
    <row r="49679" spans="1:6" x14ac:dyDescent="0.25">
      <c r="A49679" s="1" t="str">
        <f t="shared" si="1580"/>
        <v>99999</v>
      </c>
      <c r="B49679" s="1" t="str">
        <f>"41736"</f>
        <v>41736</v>
      </c>
      <c r="C49679" s="2">
        <v>0</v>
      </c>
      <c r="D49679" s="2">
        <v>0</v>
      </c>
      <c r="E49679" s="2">
        <v>4.3010567696482999E-6</v>
      </c>
      <c r="F49679" s="2">
        <v>9.8681749974786797E-8</v>
      </c>
    </row>
    <row r="49680" spans="1:6" x14ac:dyDescent="0.25">
      <c r="A49680" s="1" t="str">
        <f t="shared" si="1580"/>
        <v>99999</v>
      </c>
      <c r="B49680" s="1" t="str">
        <f>"47612"</f>
        <v>47612</v>
      </c>
      <c r="C49680" s="2">
        <v>4.98000096568714E-6</v>
      </c>
      <c r="D49680" s="2">
        <v>1.50570889527644E-6</v>
      </c>
      <c r="E49680" s="2">
        <v>0</v>
      </c>
      <c r="F49680" s="2">
        <v>4.6380422488149798E-6</v>
      </c>
    </row>
    <row r="49681" spans="1:6" x14ac:dyDescent="0.25">
      <c r="A49681" s="1" t="str">
        <f t="shared" si="1580"/>
        <v>99999</v>
      </c>
      <c r="B49681" s="1" t="str">
        <f>"41274"</f>
        <v>41274</v>
      </c>
      <c r="C49681" s="2">
        <v>2.6415657296253501E-5</v>
      </c>
      <c r="D49681" s="2">
        <v>4.5171266858293203E-6</v>
      </c>
      <c r="E49681" s="2">
        <v>9.0322192162614306E-5</v>
      </c>
      <c r="F49681" s="2">
        <v>2.6446708993242801E-5</v>
      </c>
    </row>
    <row r="49682" spans="1:6" x14ac:dyDescent="0.25">
      <c r="A49682" s="1" t="str">
        <f t="shared" si="1580"/>
        <v>99999</v>
      </c>
      <c r="B49682" s="1" t="str">
        <f>"46799"</f>
        <v>46799</v>
      </c>
      <c r="C49682" s="2">
        <v>1.2991306867009899E-5</v>
      </c>
      <c r="D49682" s="2">
        <v>0</v>
      </c>
      <c r="E49682" s="2">
        <v>0</v>
      </c>
      <c r="F49682" s="2">
        <v>1.18418099969744E-5</v>
      </c>
    </row>
    <row r="49683" spans="1:6" x14ac:dyDescent="0.25">
      <c r="A49683" s="1" t="str">
        <f t="shared" si="1580"/>
        <v>99999</v>
      </c>
      <c r="B49683" s="1" t="str">
        <f>"50254"</f>
        <v>50254</v>
      </c>
      <c r="C49683" s="2">
        <v>2.0677830096657399E-5</v>
      </c>
      <c r="D49683" s="2">
        <v>1.50570889527644E-6</v>
      </c>
      <c r="E49683" s="2">
        <v>4.3010567696482999E-6</v>
      </c>
      <c r="F49683" s="2">
        <v>1.9045577745133799E-5</v>
      </c>
    </row>
    <row r="49684" spans="1:6" x14ac:dyDescent="0.25">
      <c r="A49684" s="1" t="str">
        <f t="shared" si="1580"/>
        <v>99999</v>
      </c>
      <c r="B49684" s="1" t="str">
        <f>"54946"</f>
        <v>54946</v>
      </c>
      <c r="C49684" s="2">
        <v>0</v>
      </c>
      <c r="D49684" s="2">
        <v>1.0539962266935E-5</v>
      </c>
      <c r="E49684" s="2">
        <v>4.3010567696482999E-6</v>
      </c>
      <c r="F49684" s="2">
        <v>7.8945399979829395E-7</v>
      </c>
    </row>
    <row r="49685" spans="1:6" x14ac:dyDescent="0.25">
      <c r="A49685" s="1" t="str">
        <f t="shared" si="1580"/>
        <v>99999</v>
      </c>
      <c r="B49685" s="1" t="str">
        <f>"56327"</f>
        <v>56327</v>
      </c>
      <c r="C49685" s="2">
        <v>1.09343499464E-5</v>
      </c>
      <c r="D49685" s="2">
        <v>0</v>
      </c>
      <c r="E49685" s="2">
        <v>8.6021135392965999E-6</v>
      </c>
      <c r="F49685" s="2">
        <v>1.0164220247403001E-5</v>
      </c>
    </row>
    <row r="49686" spans="1:6" x14ac:dyDescent="0.25">
      <c r="A49686" s="1" t="str">
        <f t="shared" si="1580"/>
        <v>99999</v>
      </c>
      <c r="B49686" s="1" t="str">
        <f>"56583"</f>
        <v>56583</v>
      </c>
      <c r="C49686" s="2">
        <v>7.9030450107643795E-6</v>
      </c>
      <c r="D49686" s="2">
        <v>9.0342533716586405E-6</v>
      </c>
      <c r="E49686" s="2">
        <v>4.3010567696482999E-6</v>
      </c>
      <c r="F49686" s="2">
        <v>7.8945399979829399E-6</v>
      </c>
    </row>
    <row r="49687" spans="1:6" x14ac:dyDescent="0.25">
      <c r="A49687" s="1" t="str">
        <f t="shared" si="1580"/>
        <v>99999</v>
      </c>
      <c r="B49687" s="1" t="str">
        <f>"56166"</f>
        <v>56166</v>
      </c>
      <c r="C49687" s="2">
        <v>1.1150871727516799E-5</v>
      </c>
      <c r="D49687" s="2">
        <v>1.35513800574879E-5</v>
      </c>
      <c r="E49687" s="2">
        <v>4.3010567696482999E-6</v>
      </c>
      <c r="F49687" s="2">
        <v>1.11510377471509E-5</v>
      </c>
    </row>
    <row r="49688" spans="1:6" x14ac:dyDescent="0.25">
      <c r="A49688" s="1" t="str">
        <f t="shared" si="1580"/>
        <v>99999</v>
      </c>
      <c r="B49688" s="1" t="str">
        <f>"57585"</f>
        <v>57585</v>
      </c>
      <c r="C49688" s="2">
        <v>1.2883045976451501E-5</v>
      </c>
      <c r="D49688" s="2">
        <v>1.50570889527644E-6</v>
      </c>
      <c r="E49688" s="2">
        <v>4.3010567696482999E-6</v>
      </c>
      <c r="F49688" s="2">
        <v>1.19404917469492E-5</v>
      </c>
    </row>
    <row r="49689" spans="1:6" x14ac:dyDescent="0.25">
      <c r="A49689" s="1" t="str">
        <f t="shared" si="1580"/>
        <v>99999</v>
      </c>
      <c r="B49689" s="1" t="str">
        <f>"64453"</f>
        <v>64453</v>
      </c>
      <c r="C49689" s="2">
        <v>9.7434801502574508E-6</v>
      </c>
      <c r="D49689" s="2">
        <v>4.5171266858293203E-6</v>
      </c>
      <c r="E49689" s="2">
        <v>1.29031703089449E-5</v>
      </c>
      <c r="F49689" s="2">
        <v>9.4734479975795299E-6</v>
      </c>
    </row>
    <row r="49690" spans="1:6" x14ac:dyDescent="0.25">
      <c r="A49690" s="1" t="str">
        <f t="shared" si="1580"/>
        <v>99999</v>
      </c>
      <c r="B49690" s="1" t="str">
        <f>"66773"</f>
        <v>66773</v>
      </c>
      <c r="C49690" s="2">
        <v>5.6403923980934802E-5</v>
      </c>
      <c r="D49690" s="2">
        <v>1.0539962266935E-5</v>
      </c>
      <c r="E49690" s="2">
        <v>2.0214966817347E-4</v>
      </c>
      <c r="F49690" s="2">
        <v>5.6742006235502403E-5</v>
      </c>
    </row>
    <row r="49691" spans="1:6" x14ac:dyDescent="0.25">
      <c r="A49691" s="1" t="str">
        <f t="shared" si="1580"/>
        <v>99999</v>
      </c>
      <c r="B49691" s="1" t="str">
        <f>"51529"</f>
        <v>51529</v>
      </c>
      <c r="C49691" s="2">
        <v>1.69969598176713E-5</v>
      </c>
      <c r="D49691" s="2">
        <v>3.01141779055288E-6</v>
      </c>
      <c r="E49691" s="2">
        <v>0</v>
      </c>
      <c r="F49691" s="2">
        <v>1.56903982459911E-5</v>
      </c>
    </row>
    <row r="49692" spans="1:6" x14ac:dyDescent="0.25">
      <c r="A49692" s="1" t="str">
        <f t="shared" si="1580"/>
        <v>99999</v>
      </c>
      <c r="B49692" s="1" t="str">
        <f>"51577"</f>
        <v>51577</v>
      </c>
      <c r="C49692" s="2">
        <v>7.1452187768554602E-6</v>
      </c>
      <c r="D49692" s="2">
        <v>1.50570889527644E-6</v>
      </c>
      <c r="E49692" s="2">
        <v>0</v>
      </c>
      <c r="F49692" s="2">
        <v>6.6116772483107097E-6</v>
      </c>
    </row>
    <row r="49693" spans="1:6" x14ac:dyDescent="0.25">
      <c r="A49693" s="1" t="str">
        <f t="shared" si="1580"/>
        <v>99999</v>
      </c>
      <c r="B49693" s="1" t="str">
        <f>"51654"</f>
        <v>51654</v>
      </c>
      <c r="C49693" s="2">
        <v>2.74982662018377E-5</v>
      </c>
      <c r="D49693" s="2">
        <v>1.50570889527644E-6</v>
      </c>
      <c r="E49693" s="2">
        <v>1.29031703089449E-5</v>
      </c>
      <c r="F49693" s="2">
        <v>2.5459891493494899E-5</v>
      </c>
    </row>
    <row r="49694" spans="1:6" x14ac:dyDescent="0.25">
      <c r="A49694" s="1" t="str">
        <f t="shared" si="1580"/>
        <v>99999</v>
      </c>
      <c r="B49694" s="1" t="str">
        <f>"67876"</f>
        <v>67876</v>
      </c>
      <c r="C49694" s="2">
        <v>3.3560876073109E-6</v>
      </c>
      <c r="D49694" s="2">
        <v>3.01141779055288E-6</v>
      </c>
      <c r="E49694" s="2">
        <v>0</v>
      </c>
      <c r="F49694" s="2">
        <v>3.2564977491679601E-6</v>
      </c>
    </row>
    <row r="49695" spans="1:6" x14ac:dyDescent="0.25">
      <c r="A49695" s="1" t="str">
        <f t="shared" si="1580"/>
        <v>99999</v>
      </c>
      <c r="B49695" s="1" t="str">
        <f>"67159"</f>
        <v>67159</v>
      </c>
      <c r="C49695" s="2">
        <v>1.6130872693204E-5</v>
      </c>
      <c r="D49695" s="2">
        <v>7.5285444763821999E-6</v>
      </c>
      <c r="E49695" s="2">
        <v>4.3010567696482999E-6</v>
      </c>
      <c r="F49695" s="2">
        <v>1.5295671246091901E-5</v>
      </c>
    </row>
    <row r="49696" spans="1:6" x14ac:dyDescent="0.25">
      <c r="A49696" s="1" t="str">
        <f t="shared" si="1580"/>
        <v>99999</v>
      </c>
      <c r="B49696" s="1" t="str">
        <f>"67474"</f>
        <v>67474</v>
      </c>
      <c r="C49696" s="2">
        <v>1.43986984442693E-5</v>
      </c>
      <c r="D49696" s="2">
        <v>3.01141779055288E-6</v>
      </c>
      <c r="E49696" s="2">
        <v>4.3010567696482999E-6</v>
      </c>
      <c r="F49696" s="2">
        <v>1.3420717996571E-5</v>
      </c>
    </row>
    <row r="49697" spans="1:6" x14ac:dyDescent="0.25">
      <c r="A49697" s="1" t="str">
        <f t="shared" si="1580"/>
        <v>99999</v>
      </c>
      <c r="B49697" s="1" t="str">
        <f>"66851"</f>
        <v>66851</v>
      </c>
      <c r="C49697" s="2">
        <v>3.8865659710471399E-5</v>
      </c>
      <c r="D49697" s="2">
        <v>7.0768318077992694E-5</v>
      </c>
      <c r="E49697" s="2">
        <v>4.3010567696482999E-6</v>
      </c>
      <c r="F49697" s="2">
        <v>4.0163472239738201E-5</v>
      </c>
    </row>
    <row r="49698" spans="1:6" x14ac:dyDescent="0.25">
      <c r="A49698" s="1" t="str">
        <f t="shared" si="1580"/>
        <v>99999</v>
      </c>
      <c r="B49698" s="1" t="str">
        <f>"66944"</f>
        <v>66944</v>
      </c>
      <c r="C49698" s="2">
        <v>1.7213481598788101E-5</v>
      </c>
      <c r="D49698" s="2">
        <v>1.20456711622115E-5</v>
      </c>
      <c r="E49698" s="2">
        <v>1.29031703089449E-5</v>
      </c>
      <c r="F49698" s="2">
        <v>1.6775897495713701E-5</v>
      </c>
    </row>
    <row r="49699" spans="1:6" x14ac:dyDescent="0.25">
      <c r="A49699" s="1" t="str">
        <f t="shared" si="1580"/>
        <v>99999</v>
      </c>
      <c r="B49699" s="1" t="str">
        <f>"68759"</f>
        <v>68759</v>
      </c>
      <c r="C49699" s="2">
        <v>1.77547860515802E-5</v>
      </c>
      <c r="D49699" s="2">
        <v>1.0539962266935E-5</v>
      </c>
      <c r="E49699" s="2">
        <v>8.6021135392965999E-6</v>
      </c>
      <c r="F49699" s="2">
        <v>1.7071942745638099E-5</v>
      </c>
    </row>
    <row r="49700" spans="1:6" x14ac:dyDescent="0.25">
      <c r="A49700" s="1" t="str">
        <f t="shared" si="1580"/>
        <v>99999</v>
      </c>
      <c r="B49700" s="1" t="str">
        <f>"68789"</f>
        <v>68789</v>
      </c>
      <c r="C49700" s="2">
        <v>1.2016958851984099E-5</v>
      </c>
      <c r="D49700" s="2">
        <v>1.0539962266935E-5</v>
      </c>
      <c r="E49700" s="2">
        <v>0</v>
      </c>
      <c r="F49700" s="2">
        <v>1.1644446497024801E-5</v>
      </c>
    </row>
    <row r="49701" spans="1:6" x14ac:dyDescent="0.25">
      <c r="A49701" s="1" t="str">
        <f t="shared" si="1580"/>
        <v>99999</v>
      </c>
      <c r="B49701" s="1" t="str">
        <f>"68766"</f>
        <v>68766</v>
      </c>
      <c r="C49701" s="2">
        <v>2.39256568134099E-5</v>
      </c>
      <c r="D49701" s="2">
        <v>1.50570889527644E-5</v>
      </c>
      <c r="E49701" s="2">
        <v>4.3010567696482999E-6</v>
      </c>
      <c r="F49701" s="2">
        <v>2.2894165994150501E-5</v>
      </c>
    </row>
    <row r="49702" spans="1:6" x14ac:dyDescent="0.25">
      <c r="A49702" s="1" t="str">
        <f t="shared" si="1580"/>
        <v>99999</v>
      </c>
      <c r="B49702" s="1" t="str">
        <f>"68405"</f>
        <v>68405</v>
      </c>
      <c r="C49702" s="2">
        <v>7.5782623390891299E-7</v>
      </c>
      <c r="D49702" s="2">
        <v>0</v>
      </c>
      <c r="E49702" s="2">
        <v>0</v>
      </c>
      <c r="F49702" s="2">
        <v>6.9077224982350697E-7</v>
      </c>
    </row>
    <row r="49703" spans="1:6" x14ac:dyDescent="0.25">
      <c r="A49703" s="1" t="str">
        <f t="shared" si="1580"/>
        <v>99999</v>
      </c>
      <c r="B49703" s="1" t="str">
        <f>"68444"</f>
        <v>68444</v>
      </c>
      <c r="C49703" s="2">
        <v>6.1708707618297202E-6</v>
      </c>
      <c r="D49703" s="2">
        <v>6.0228355811057601E-6</v>
      </c>
      <c r="E49703" s="2">
        <v>4.3010567696482999E-6</v>
      </c>
      <c r="F49703" s="2">
        <v>6.1182684984367804E-6</v>
      </c>
    </row>
    <row r="49704" spans="1:6" x14ac:dyDescent="0.25">
      <c r="A49704" s="1" t="str">
        <f t="shared" si="1580"/>
        <v>99999</v>
      </c>
      <c r="B49704" s="1" t="str">
        <f>"68454"</f>
        <v>68454</v>
      </c>
      <c r="C49704" s="2">
        <v>3.3885658744784197E-5</v>
      </c>
      <c r="D49704" s="2">
        <v>4.5171266858293203E-6</v>
      </c>
      <c r="E49704" s="2">
        <v>8.6021135392965999E-6</v>
      </c>
      <c r="F49704" s="2">
        <v>3.1380796491982199E-5</v>
      </c>
    </row>
    <row r="49705" spans="1:6" x14ac:dyDescent="0.25">
      <c r="A49705" s="1" t="str">
        <f t="shared" si="1580"/>
        <v>99999</v>
      </c>
      <c r="B49705" s="1" t="str">
        <f>"68342"</f>
        <v>68342</v>
      </c>
      <c r="C49705" s="2">
        <v>2.7065222639604001E-5</v>
      </c>
      <c r="D49705" s="2">
        <v>1.0539962266935E-5</v>
      </c>
      <c r="E49705" s="2">
        <v>4.3010567696482999E-6</v>
      </c>
      <c r="F49705" s="2">
        <v>2.5459891493494899E-5</v>
      </c>
    </row>
    <row r="49706" spans="1:6" x14ac:dyDescent="0.25">
      <c r="A49706" s="1" t="str">
        <f t="shared" si="1580"/>
        <v>99999</v>
      </c>
      <c r="B49706" s="1" t="str">
        <f>"68418"</f>
        <v>68418</v>
      </c>
      <c r="C49706" s="2">
        <v>5.8677402682661502E-5</v>
      </c>
      <c r="D49706" s="2">
        <v>1.35513800574879E-5</v>
      </c>
      <c r="E49706" s="2">
        <v>2.15052838482415E-5</v>
      </c>
      <c r="F49706" s="2">
        <v>5.4867052985981401E-5</v>
      </c>
    </row>
    <row r="49707" spans="1:6" x14ac:dyDescent="0.25">
      <c r="A49707" s="1" t="str">
        <f t="shared" si="1580"/>
        <v>99999</v>
      </c>
      <c r="B49707" s="1" t="str">
        <f>"71923"</f>
        <v>71923</v>
      </c>
      <c r="C49707" s="2">
        <v>4.98000096568714E-6</v>
      </c>
      <c r="D49707" s="2">
        <v>3.01141779055288E-6</v>
      </c>
      <c r="E49707" s="2">
        <v>0</v>
      </c>
      <c r="F49707" s="2">
        <v>4.7367239987897599E-6</v>
      </c>
    </row>
    <row r="49708" spans="1:6" x14ac:dyDescent="0.25">
      <c r="A49708" s="1" t="str">
        <f t="shared" si="1580"/>
        <v>99999</v>
      </c>
      <c r="B49708" s="1" t="str">
        <f>"72663"</f>
        <v>72663</v>
      </c>
      <c r="C49708" s="2">
        <v>3.0746092918590099E-5</v>
      </c>
      <c r="D49708" s="2">
        <v>3.01141779055288E-6</v>
      </c>
      <c r="E49708" s="2">
        <v>4.3010567696482999E-6</v>
      </c>
      <c r="F49708" s="2">
        <v>2.83216622427638E-5</v>
      </c>
    </row>
    <row r="49709" spans="1:6" x14ac:dyDescent="0.25">
      <c r="A49709" s="1" t="str">
        <f t="shared" si="1580"/>
        <v>99999</v>
      </c>
      <c r="B49709" s="1" t="str">
        <f>"72372"</f>
        <v>72372</v>
      </c>
      <c r="C49709" s="2">
        <v>1.0068262821932701E-5</v>
      </c>
      <c r="D49709" s="2">
        <v>4.5171266858293203E-6</v>
      </c>
      <c r="E49709" s="2">
        <v>0</v>
      </c>
      <c r="F49709" s="2">
        <v>9.4734479975795299E-6</v>
      </c>
    </row>
    <row r="49710" spans="1:6" x14ac:dyDescent="0.25">
      <c r="A49710" s="1" t="str">
        <f t="shared" si="1580"/>
        <v>99999</v>
      </c>
      <c r="B49710" s="1" t="str">
        <f>"71720"</f>
        <v>71720</v>
      </c>
      <c r="C49710" s="2">
        <v>1.51565246781782E-6</v>
      </c>
      <c r="D49710" s="2">
        <v>0</v>
      </c>
      <c r="E49710" s="2">
        <v>0</v>
      </c>
      <c r="F49710" s="2">
        <v>1.3815444996470099E-6</v>
      </c>
    </row>
    <row r="49711" spans="1:6" x14ac:dyDescent="0.25">
      <c r="A49711" s="1" t="str">
        <f t="shared" si="1580"/>
        <v>99999</v>
      </c>
      <c r="B49711" s="1" t="str">
        <f>"71222"</f>
        <v>71222</v>
      </c>
      <c r="C49711" s="2">
        <v>2.23017434550337E-5</v>
      </c>
      <c r="D49711" s="2">
        <v>4.5171266858293203E-6</v>
      </c>
      <c r="E49711" s="2">
        <v>0</v>
      </c>
      <c r="F49711" s="2">
        <v>2.0624485744730399E-5</v>
      </c>
    </row>
    <row r="49712" spans="1:6" x14ac:dyDescent="0.25">
      <c r="A49712" s="1" t="str">
        <f t="shared" si="1580"/>
        <v>99999</v>
      </c>
      <c r="B49712" s="1" t="str">
        <f>"74006"</f>
        <v>74006</v>
      </c>
      <c r="C49712" s="2">
        <v>1.84043513949307E-6</v>
      </c>
      <c r="D49712" s="2">
        <v>0</v>
      </c>
      <c r="E49712" s="2">
        <v>0</v>
      </c>
      <c r="F49712" s="2">
        <v>1.6775897495713699E-6</v>
      </c>
    </row>
    <row r="49713" spans="1:6" x14ac:dyDescent="0.25">
      <c r="A49713" s="1" t="str">
        <f t="shared" si="1580"/>
        <v>99999</v>
      </c>
      <c r="B49713" s="1" t="str">
        <f>"73747"</f>
        <v>73747</v>
      </c>
      <c r="C49713" s="2">
        <v>2.6199135515136701E-5</v>
      </c>
      <c r="D49713" s="2">
        <v>9.0342533716586405E-6</v>
      </c>
      <c r="E49713" s="2">
        <v>4.3010567696482999E-6</v>
      </c>
      <c r="F49713" s="2">
        <v>2.4571755743721902E-5</v>
      </c>
    </row>
    <row r="49714" spans="1:6" x14ac:dyDescent="0.25">
      <c r="A49714" s="1" t="str">
        <f t="shared" si="1580"/>
        <v>99999</v>
      </c>
      <c r="B49714" s="1" t="str">
        <f>"74562"</f>
        <v>74562</v>
      </c>
      <c r="C49714" s="2">
        <v>4.6985226502352598E-5</v>
      </c>
      <c r="D49714" s="2">
        <v>7.5285444763821999E-6</v>
      </c>
      <c r="E49714" s="2">
        <v>4.7311624466131299E-5</v>
      </c>
      <c r="F49714" s="2">
        <v>4.4406787488653999E-5</v>
      </c>
    </row>
    <row r="49715" spans="1:6" x14ac:dyDescent="0.25">
      <c r="A49715" s="1" t="str">
        <f t="shared" si="1580"/>
        <v>99999</v>
      </c>
      <c r="B49715" s="1" t="str">
        <f>"74760"</f>
        <v>74760</v>
      </c>
      <c r="C49715" s="2">
        <v>1.78630469421386E-5</v>
      </c>
      <c r="D49715" s="2">
        <v>3.01141779055288E-6</v>
      </c>
      <c r="E49715" s="2">
        <v>4.3010567696482999E-6</v>
      </c>
      <c r="F49715" s="2">
        <v>1.65785339957641E-5</v>
      </c>
    </row>
    <row r="49716" spans="1:6" x14ac:dyDescent="0.25">
      <c r="A49716" s="1" t="str">
        <f t="shared" si="1580"/>
        <v>99999</v>
      </c>
      <c r="B49716" s="1" t="str">
        <f>"73061"</f>
        <v>73061</v>
      </c>
      <c r="C49716" s="2">
        <v>6.5281317006724894E-5</v>
      </c>
      <c r="D49716" s="2">
        <v>4.3665557963016701E-5</v>
      </c>
      <c r="E49716" s="2">
        <v>2.15052838482415E-5</v>
      </c>
      <c r="F49716" s="2">
        <v>6.2860274733939094E-5</v>
      </c>
    </row>
    <row r="49717" spans="1:6" x14ac:dyDescent="0.25">
      <c r="A49717" s="1" t="str">
        <f t="shared" si="1580"/>
        <v>99999</v>
      </c>
      <c r="B49717" s="1" t="str">
        <f>"73041"</f>
        <v>73041</v>
      </c>
      <c r="C49717" s="2">
        <v>1.9486960300514902E-5</v>
      </c>
      <c r="D49717" s="2">
        <v>1.50570889527644E-5</v>
      </c>
      <c r="E49717" s="2">
        <v>4.3010567696482999E-6</v>
      </c>
      <c r="F49717" s="2">
        <v>1.8848214245184198E-5</v>
      </c>
    </row>
    <row r="49718" spans="1:6" x14ac:dyDescent="0.25">
      <c r="A49718" s="1" t="str">
        <f t="shared" si="1580"/>
        <v>99999</v>
      </c>
      <c r="B49718" s="1" t="str">
        <f>"75559"</f>
        <v>75559</v>
      </c>
      <c r="C49718" s="2">
        <v>5.4130445279208001E-6</v>
      </c>
      <c r="D49718" s="2">
        <v>1.50570889527644E-6</v>
      </c>
      <c r="E49718" s="2">
        <v>0</v>
      </c>
      <c r="F49718" s="2">
        <v>5.0327692487141197E-6</v>
      </c>
    </row>
    <row r="49719" spans="1:6" x14ac:dyDescent="0.25">
      <c r="A49719" s="1" t="str">
        <f t="shared" si="1580"/>
        <v>99999</v>
      </c>
      <c r="B49719" s="1" t="str">
        <f>"79259"</f>
        <v>79259</v>
      </c>
      <c r="C49719" s="2">
        <v>4.6552182940118902E-6</v>
      </c>
      <c r="D49719" s="2">
        <v>0</v>
      </c>
      <c r="E49719" s="2">
        <v>0</v>
      </c>
      <c r="F49719" s="2">
        <v>4.2433152489158297E-6</v>
      </c>
    </row>
    <row r="49720" spans="1:6" x14ac:dyDescent="0.25">
      <c r="A49720" s="1" t="str">
        <f t="shared" si="1580"/>
        <v>99999</v>
      </c>
      <c r="B49720" s="1" t="str">
        <f>"79082"</f>
        <v>79082</v>
      </c>
      <c r="C49720" s="2">
        <v>1.08260890558416E-5</v>
      </c>
      <c r="D49720" s="2">
        <v>9.0342533716586405E-6</v>
      </c>
      <c r="E49720" s="2">
        <v>8.6021135392965999E-6</v>
      </c>
      <c r="F49720" s="2">
        <v>1.06576289972769E-5</v>
      </c>
    </row>
    <row r="49721" spans="1:6" x14ac:dyDescent="0.25">
      <c r="A49721" s="1" t="str">
        <f t="shared" si="1580"/>
        <v>99999</v>
      </c>
      <c r="B49721" s="1" t="str">
        <f>"75839"</f>
        <v>75839</v>
      </c>
      <c r="C49721" s="2">
        <v>3.2478267167524799E-6</v>
      </c>
      <c r="D49721" s="2">
        <v>0</v>
      </c>
      <c r="E49721" s="2">
        <v>0</v>
      </c>
      <c r="F49721" s="2">
        <v>2.9604524992435999E-6</v>
      </c>
    </row>
    <row r="49722" spans="1:6" x14ac:dyDescent="0.25">
      <c r="A49722" s="1" t="str">
        <f t="shared" si="1580"/>
        <v>99999</v>
      </c>
      <c r="B49722" s="1" t="str">
        <f>"76527"</f>
        <v>76527</v>
      </c>
      <c r="C49722" s="2">
        <v>6.3873925429465503E-6</v>
      </c>
      <c r="D49722" s="2">
        <v>0</v>
      </c>
      <c r="E49722" s="2">
        <v>0</v>
      </c>
      <c r="F49722" s="2">
        <v>5.8222232485124198E-6</v>
      </c>
    </row>
    <row r="49723" spans="1:6" x14ac:dyDescent="0.25">
      <c r="A49723" s="1" t="str">
        <f t="shared" si="1580"/>
        <v>99999</v>
      </c>
      <c r="B49723" s="1" t="str">
        <f>"81076"</f>
        <v>81076</v>
      </c>
      <c r="C49723" s="2">
        <v>2.4466961266201999E-5</v>
      </c>
      <c r="D49723" s="2">
        <v>1.50570889527644E-6</v>
      </c>
      <c r="E49723" s="2">
        <v>4.3010567696482999E-6</v>
      </c>
      <c r="F49723" s="2">
        <v>2.2499438994251299E-5</v>
      </c>
    </row>
    <row r="49724" spans="1:6" x14ac:dyDescent="0.25">
      <c r="A49724" s="1" t="str">
        <f t="shared" si="1580"/>
        <v>99999</v>
      </c>
      <c r="B49724" s="1" t="str">
        <f>"84064"</f>
        <v>84064</v>
      </c>
      <c r="C49724" s="2">
        <v>2.9555223122447599E-5</v>
      </c>
      <c r="D49724" s="2">
        <v>4.5171266858293203E-6</v>
      </c>
      <c r="E49724" s="2">
        <v>3.8709510926834699E-5</v>
      </c>
      <c r="F49724" s="2">
        <v>2.8124298742814199E-5</v>
      </c>
    </row>
    <row r="49725" spans="1:6" x14ac:dyDescent="0.25">
      <c r="A49725" s="1" t="str">
        <f t="shared" si="1580"/>
        <v>99999</v>
      </c>
      <c r="B49725" s="1" t="str">
        <f>"83338"</f>
        <v>83338</v>
      </c>
      <c r="C49725" s="2">
        <v>1.0068262821932701E-5</v>
      </c>
      <c r="D49725" s="2">
        <v>7.5285444763821999E-6</v>
      </c>
      <c r="E49725" s="2">
        <v>0</v>
      </c>
      <c r="F49725" s="2">
        <v>9.6708114975291003E-6</v>
      </c>
    </row>
    <row r="49726" spans="1:6" x14ac:dyDescent="0.25">
      <c r="A49726" s="1" t="str">
        <f t="shared" si="1580"/>
        <v>99999</v>
      </c>
      <c r="B49726" s="1" t="str">
        <f>"82941"</f>
        <v>82941</v>
      </c>
      <c r="C49726" s="2">
        <v>2.3535917607399599E-4</v>
      </c>
      <c r="D49726" s="2">
        <v>4.6074692195458998E-4</v>
      </c>
      <c r="E49726" s="2">
        <v>2.58063406178898E-5</v>
      </c>
      <c r="F49726" s="2">
        <v>2.4532283043732E-4</v>
      </c>
    </row>
    <row r="49727" spans="1:6" x14ac:dyDescent="0.25">
      <c r="A49727" s="1" t="str">
        <f t="shared" si="1580"/>
        <v>99999</v>
      </c>
      <c r="B49727" s="1" t="str">
        <f>"82225"</f>
        <v>82225</v>
      </c>
      <c r="C49727" s="2">
        <v>3.0962614699707001E-5</v>
      </c>
      <c r="D49727" s="2">
        <v>7.5285444763821999E-6</v>
      </c>
      <c r="E49727" s="2">
        <v>5.1612681235779599E-5</v>
      </c>
      <c r="F49727" s="2">
        <v>2.99005702423604E-5</v>
      </c>
    </row>
    <row r="49728" spans="1:6" x14ac:dyDescent="0.25">
      <c r="A49728" s="1" t="str">
        <f t="shared" si="1580"/>
        <v>99999</v>
      </c>
      <c r="B49728" s="1" t="str">
        <f>"84726"</f>
        <v>84726</v>
      </c>
      <c r="C49728" s="2">
        <v>8.0221319903786299E-5</v>
      </c>
      <c r="D49728" s="2">
        <v>0</v>
      </c>
      <c r="E49728" s="2">
        <v>4.3010567696482999E-6</v>
      </c>
      <c r="F49728" s="2">
        <v>7.3221858481291801E-5</v>
      </c>
    </row>
    <row r="49729" spans="1:6" x14ac:dyDescent="0.25">
      <c r="A49729" s="1" t="str">
        <f t="shared" si="1580"/>
        <v>99999</v>
      </c>
      <c r="B49729" s="1" t="str">
        <f>"85357"</f>
        <v>85357</v>
      </c>
      <c r="C49729" s="2">
        <v>0</v>
      </c>
      <c r="D49729" s="2">
        <v>0</v>
      </c>
      <c r="E49729" s="2">
        <v>4.3010567696482999E-6</v>
      </c>
      <c r="F49729" s="2">
        <v>9.8681749974786797E-8</v>
      </c>
    </row>
    <row r="49730" spans="1:6" x14ac:dyDescent="0.25">
      <c r="A49730" s="1" t="str">
        <f t="shared" si="1580"/>
        <v>99999</v>
      </c>
      <c r="B49730" s="1" t="str">
        <f>"87930"</f>
        <v>87930</v>
      </c>
      <c r="C49730" s="2">
        <v>3.6808702789861401E-6</v>
      </c>
      <c r="D49730" s="2">
        <v>1.50570889527644E-6</v>
      </c>
      <c r="E49730" s="2">
        <v>4.3010567696482999E-6</v>
      </c>
      <c r="F49730" s="2">
        <v>3.5525429990923199E-6</v>
      </c>
    </row>
    <row r="49731" spans="1:6" x14ac:dyDescent="0.25">
      <c r="A49731" s="1" t="str">
        <f t="shared" si="1580"/>
        <v>99999</v>
      </c>
      <c r="B49731" s="1" t="str">
        <f>"85540"</f>
        <v>85540</v>
      </c>
      <c r="C49731" s="2">
        <v>1.3446002607355199E-4</v>
      </c>
      <c r="D49731" s="2">
        <v>9.0342533716586405E-6</v>
      </c>
      <c r="E49731" s="2">
        <v>1.29031703089449E-5</v>
      </c>
      <c r="F49731" s="2">
        <v>1.23450869218458E-4</v>
      </c>
    </row>
    <row r="49732" spans="1:6" x14ac:dyDescent="0.25">
      <c r="A49732" s="1" t="str">
        <f t="shared" si="1580"/>
        <v>99999</v>
      </c>
      <c r="B49732" s="1" t="str">
        <f>"97029"</f>
        <v>97029</v>
      </c>
      <c r="C49732" s="2">
        <v>1.8296090504372299E-5</v>
      </c>
      <c r="D49732" s="2">
        <v>3.01141779055288E-6</v>
      </c>
      <c r="E49732" s="2">
        <v>0</v>
      </c>
      <c r="F49732" s="2">
        <v>1.6874579245688502E-5</v>
      </c>
    </row>
    <row r="49733" spans="1:6" x14ac:dyDescent="0.25">
      <c r="A49733" s="1" t="str">
        <f t="shared" si="1580"/>
        <v>99999</v>
      </c>
      <c r="B49733" s="1" t="str">
        <f>"99918"</f>
        <v>99918</v>
      </c>
      <c r="C49733" s="2">
        <v>0</v>
      </c>
      <c r="D49733" s="2">
        <v>1.50570889527644E-6</v>
      </c>
      <c r="E49733" s="2">
        <v>4.3010567696482999E-6</v>
      </c>
      <c r="F49733" s="2">
        <v>1.9736349994957301E-7</v>
      </c>
    </row>
    <row r="49734" spans="1:6" x14ac:dyDescent="0.25">
      <c r="A49734" s="1" t="str">
        <f t="shared" ref="A49734:A49797" si="1581">"99999"</f>
        <v>99999</v>
      </c>
      <c r="B49734" s="1" t="str">
        <f>"04745"</f>
        <v>04745</v>
      </c>
      <c r="C49734" s="2">
        <v>4.2438269098899098E-5</v>
      </c>
      <c r="D49734" s="2">
        <v>1.80685067433172E-5</v>
      </c>
      <c r="E49734" s="2">
        <v>3.01073973875381E-5</v>
      </c>
      <c r="F49734" s="2">
        <v>4.0558199239637301E-5</v>
      </c>
    </row>
    <row r="49735" spans="1:6" x14ac:dyDescent="0.25">
      <c r="A49735" s="1" t="str">
        <f t="shared" si="1581"/>
        <v>99999</v>
      </c>
      <c r="B49735" s="1" t="str">
        <f>"12725"</f>
        <v>12725</v>
      </c>
      <c r="C49735" s="2">
        <v>4.7634791845703099E-6</v>
      </c>
      <c r="D49735" s="2">
        <v>1.50570889527644E-6</v>
      </c>
      <c r="E49735" s="2">
        <v>4.3010567696482999E-6</v>
      </c>
      <c r="F49735" s="2">
        <v>4.5393604988401904E-6</v>
      </c>
    </row>
    <row r="49736" spans="1:6" x14ac:dyDescent="0.25">
      <c r="A49736" s="1" t="str">
        <f t="shared" si="1581"/>
        <v>99999</v>
      </c>
      <c r="B49736" s="1" t="str">
        <f>"12745"</f>
        <v>12745</v>
      </c>
      <c r="C49736" s="2">
        <v>4.2221747317782301E-6</v>
      </c>
      <c r="D49736" s="2">
        <v>0</v>
      </c>
      <c r="E49736" s="2">
        <v>4.3010567696482999E-6</v>
      </c>
      <c r="F49736" s="2">
        <v>3.94726999899147E-6</v>
      </c>
    </row>
    <row r="49737" spans="1:6" x14ac:dyDescent="0.25">
      <c r="A49737" s="1" t="str">
        <f t="shared" si="1581"/>
        <v>99999</v>
      </c>
      <c r="B49737" s="1" t="str">
        <f>"12143"</f>
        <v>12143</v>
      </c>
      <c r="C49737" s="2">
        <v>1.42904375537109E-5</v>
      </c>
      <c r="D49737" s="2">
        <v>6.0228355811057601E-6</v>
      </c>
      <c r="E49737" s="2">
        <v>8.6021135392965999E-6</v>
      </c>
      <c r="F49737" s="2">
        <v>1.3618081496520501E-5</v>
      </c>
    </row>
    <row r="49738" spans="1:6" x14ac:dyDescent="0.25">
      <c r="A49738" s="1" t="str">
        <f t="shared" si="1581"/>
        <v>99999</v>
      </c>
      <c r="B49738" s="1" t="str">
        <f>"13312"</f>
        <v>13312</v>
      </c>
      <c r="C49738" s="2">
        <v>2.30595696889426E-5</v>
      </c>
      <c r="D49738" s="2">
        <v>0</v>
      </c>
      <c r="E49738" s="2">
        <v>4.3010567696482999E-6</v>
      </c>
      <c r="F49738" s="2">
        <v>2.11178944946043E-5</v>
      </c>
    </row>
    <row r="49739" spans="1:6" x14ac:dyDescent="0.25">
      <c r="A49739" s="1" t="str">
        <f t="shared" si="1581"/>
        <v>99999</v>
      </c>
      <c r="B49739" s="1" t="str">
        <f>"14066"</f>
        <v>14066</v>
      </c>
      <c r="C49739" s="2">
        <v>4.4495226019509003E-5</v>
      </c>
      <c r="D49739" s="2">
        <v>2.55970512196994E-5</v>
      </c>
      <c r="E49739" s="2">
        <v>3.01073973875381E-5</v>
      </c>
      <c r="F49739" s="2">
        <v>4.29265612390322E-5</v>
      </c>
    </row>
    <row r="49740" spans="1:6" x14ac:dyDescent="0.25">
      <c r="A49740" s="1" t="str">
        <f t="shared" si="1581"/>
        <v>99999</v>
      </c>
      <c r="B49740" s="1" t="str">
        <f>"16743"</f>
        <v>16743</v>
      </c>
      <c r="C49740" s="2">
        <v>5.8460880901544696E-6</v>
      </c>
      <c r="D49740" s="2">
        <v>7.5285444763821999E-6</v>
      </c>
      <c r="E49740" s="2">
        <v>0</v>
      </c>
      <c r="F49740" s="2">
        <v>5.8222232485124198E-6</v>
      </c>
    </row>
    <row r="49741" spans="1:6" x14ac:dyDescent="0.25">
      <c r="A49741" s="1" t="str">
        <f t="shared" si="1581"/>
        <v>99999</v>
      </c>
      <c r="B49741" s="1" t="str">
        <f>"18469"</f>
        <v>18469</v>
      </c>
      <c r="C49741" s="2">
        <v>2.6740439967928698E-5</v>
      </c>
      <c r="D49741" s="2">
        <v>1.80685067433172E-5</v>
      </c>
      <c r="E49741" s="2">
        <v>8.6021135392965999E-6</v>
      </c>
      <c r="F49741" s="2">
        <v>2.57559367434193E-5</v>
      </c>
    </row>
    <row r="49742" spans="1:6" x14ac:dyDescent="0.25">
      <c r="A49742" s="1" t="str">
        <f t="shared" si="1581"/>
        <v>99999</v>
      </c>
      <c r="B49742" s="1" t="str">
        <f>"21641"</f>
        <v>21641</v>
      </c>
      <c r="C49742" s="2">
        <v>6.3873925429465503E-6</v>
      </c>
      <c r="D49742" s="2">
        <v>0</v>
      </c>
      <c r="E49742" s="2">
        <v>1.29031703089449E-5</v>
      </c>
      <c r="F49742" s="2">
        <v>6.1182684984367804E-6</v>
      </c>
    </row>
    <row r="49743" spans="1:6" x14ac:dyDescent="0.25">
      <c r="A49743" s="1" t="str">
        <f t="shared" si="1581"/>
        <v>99999</v>
      </c>
      <c r="B49743" s="1" t="str">
        <f>"23404"</f>
        <v>23404</v>
      </c>
      <c r="C49743" s="2">
        <v>1.1908697961425701E-6</v>
      </c>
      <c r="D49743" s="2">
        <v>4.5171266858293203E-6</v>
      </c>
      <c r="E49743" s="2">
        <v>0</v>
      </c>
      <c r="F49743" s="2">
        <v>1.3815444996470099E-6</v>
      </c>
    </row>
    <row r="49744" spans="1:6" x14ac:dyDescent="0.25">
      <c r="A49744" s="1" t="str">
        <f t="shared" si="1581"/>
        <v>99999</v>
      </c>
      <c r="B49744" s="1" t="str">
        <f>"23426"</f>
        <v>23426</v>
      </c>
      <c r="C49744" s="2">
        <v>1.09343499464E-5</v>
      </c>
      <c r="D49744" s="2">
        <v>0</v>
      </c>
      <c r="E49744" s="2">
        <v>0</v>
      </c>
      <c r="F49744" s="2">
        <v>9.9668567474534592E-6</v>
      </c>
    </row>
    <row r="49745" spans="1:6" x14ac:dyDescent="0.25">
      <c r="A49745" s="1" t="str">
        <f t="shared" si="1581"/>
        <v>99999</v>
      </c>
      <c r="B49745" s="1" t="str">
        <f>"27818"</f>
        <v>27818</v>
      </c>
      <c r="C49745" s="2">
        <v>7.6323927843683295E-5</v>
      </c>
      <c r="D49745" s="2">
        <v>1.50570889527644E-5</v>
      </c>
      <c r="E49745" s="2">
        <v>0</v>
      </c>
      <c r="F49745" s="2">
        <v>7.0557451231972505E-5</v>
      </c>
    </row>
    <row r="49746" spans="1:6" x14ac:dyDescent="0.25">
      <c r="A49746" s="1" t="str">
        <f t="shared" si="1581"/>
        <v>99999</v>
      </c>
      <c r="B49746" s="1" t="str">
        <f>"28554"</f>
        <v>28554</v>
      </c>
      <c r="C49746" s="2">
        <v>0</v>
      </c>
      <c r="D49746" s="2">
        <v>1.50570889527644E-6</v>
      </c>
      <c r="E49746" s="2">
        <v>4.3010567696482999E-6</v>
      </c>
      <c r="F49746" s="2">
        <v>1.9736349994957301E-7</v>
      </c>
    </row>
    <row r="49747" spans="1:6" x14ac:dyDescent="0.25">
      <c r="A49747" s="1" t="str">
        <f t="shared" si="1581"/>
        <v>99999</v>
      </c>
      <c r="B49747" s="1" t="str">
        <f>"29555"</f>
        <v>29555</v>
      </c>
      <c r="C49747" s="2">
        <v>9.3104365880237906E-6</v>
      </c>
      <c r="D49747" s="2">
        <v>4.5171266858293203E-6</v>
      </c>
      <c r="E49747" s="2">
        <v>0</v>
      </c>
      <c r="F49747" s="2">
        <v>8.7826757477560201E-6</v>
      </c>
    </row>
    <row r="49748" spans="1:6" x14ac:dyDescent="0.25">
      <c r="A49748" s="1" t="str">
        <f t="shared" si="1581"/>
        <v>99999</v>
      </c>
      <c r="B49748" s="1" t="str">
        <f>"39825"</f>
        <v>39825</v>
      </c>
      <c r="C49748" s="2">
        <v>5.0882618562455504E-6</v>
      </c>
      <c r="D49748" s="2">
        <v>3.01141779055288E-6</v>
      </c>
      <c r="E49748" s="2">
        <v>0</v>
      </c>
      <c r="F49748" s="2">
        <v>4.8354057487645501E-6</v>
      </c>
    </row>
    <row r="49749" spans="1:6" x14ac:dyDescent="0.25">
      <c r="A49749" s="1" t="str">
        <f t="shared" si="1581"/>
        <v>99999</v>
      </c>
      <c r="B49749" s="1" t="str">
        <f>"35042"</f>
        <v>35042</v>
      </c>
      <c r="C49749" s="2">
        <v>7.3617405579722903E-6</v>
      </c>
      <c r="D49749" s="2">
        <v>1.50570889527644E-6</v>
      </c>
      <c r="E49749" s="2">
        <v>0</v>
      </c>
      <c r="F49749" s="2">
        <v>6.8090407482602902E-6</v>
      </c>
    </row>
    <row r="49750" spans="1:6" x14ac:dyDescent="0.25">
      <c r="A49750" s="1" t="str">
        <f t="shared" si="1581"/>
        <v>99999</v>
      </c>
      <c r="B49750" s="1" t="str">
        <f>"36207"</f>
        <v>36207</v>
      </c>
      <c r="C49750" s="2">
        <v>3.0313049356356498E-6</v>
      </c>
      <c r="D49750" s="2">
        <v>0</v>
      </c>
      <c r="E49750" s="2">
        <v>0</v>
      </c>
      <c r="F49750" s="2">
        <v>2.76308899929403E-6</v>
      </c>
    </row>
    <row r="49751" spans="1:6" x14ac:dyDescent="0.25">
      <c r="A49751" s="1" t="str">
        <f t="shared" si="1581"/>
        <v>99999</v>
      </c>
      <c r="B49751" s="1" t="str">
        <f>"36034"</f>
        <v>36034</v>
      </c>
      <c r="C49751" s="2">
        <v>4.6552182940118902E-6</v>
      </c>
      <c r="D49751" s="2">
        <v>0</v>
      </c>
      <c r="E49751" s="2">
        <v>4.3010567696482999E-6</v>
      </c>
      <c r="F49751" s="2">
        <v>4.3419969988906098E-6</v>
      </c>
    </row>
    <row r="49752" spans="1:6" x14ac:dyDescent="0.25">
      <c r="A49752" s="1" t="str">
        <f t="shared" si="1581"/>
        <v>99999</v>
      </c>
      <c r="B49752" s="1" t="str">
        <f>"37881"</f>
        <v>37881</v>
      </c>
      <c r="C49752" s="2">
        <v>4.5036530472301103E-5</v>
      </c>
      <c r="D49752" s="2">
        <v>4.5171266858293203E-6</v>
      </c>
      <c r="E49752" s="2">
        <v>0</v>
      </c>
      <c r="F49752" s="2">
        <v>4.1347653239435603E-5</v>
      </c>
    </row>
    <row r="49753" spans="1:6" x14ac:dyDescent="0.25">
      <c r="A49753" s="1" t="str">
        <f t="shared" si="1581"/>
        <v>99999</v>
      </c>
      <c r="B49753" s="1" t="str">
        <f>"38473"</f>
        <v>38473</v>
      </c>
      <c r="C49753" s="2">
        <v>6.0409576931596203E-5</v>
      </c>
      <c r="D49753" s="2">
        <v>5.2699811334675399E-5</v>
      </c>
      <c r="E49753" s="2">
        <v>0</v>
      </c>
      <c r="F49753" s="2">
        <v>5.8518277735048499E-5</v>
      </c>
    </row>
    <row r="49754" spans="1:6" x14ac:dyDescent="0.25">
      <c r="A49754" s="1" t="str">
        <f t="shared" si="1581"/>
        <v>99999</v>
      </c>
      <c r="B49754" s="1" t="str">
        <f>"39097"</f>
        <v>39097</v>
      </c>
      <c r="C49754" s="2">
        <v>2.3384352360617801E-5</v>
      </c>
      <c r="D49754" s="2">
        <v>1.20456711622115E-5</v>
      </c>
      <c r="E49754" s="2">
        <v>0</v>
      </c>
      <c r="F49754" s="2">
        <v>2.2104711994352199E-5</v>
      </c>
    </row>
    <row r="49755" spans="1:6" x14ac:dyDescent="0.25">
      <c r="A49755" s="1" t="str">
        <f t="shared" si="1581"/>
        <v>99999</v>
      </c>
      <c r="B49755" s="1" t="str">
        <f>"38548"</f>
        <v>38548</v>
      </c>
      <c r="C49755" s="2">
        <v>1.84043513949307E-6</v>
      </c>
      <c r="D49755" s="2">
        <v>1.50570889527644E-6</v>
      </c>
      <c r="E49755" s="2">
        <v>0</v>
      </c>
      <c r="F49755" s="2">
        <v>1.77627149954616E-6</v>
      </c>
    </row>
    <row r="49756" spans="1:6" x14ac:dyDescent="0.25">
      <c r="A49756" s="1" t="str">
        <f t="shared" si="1581"/>
        <v>99999</v>
      </c>
      <c r="B49756" s="1" t="str">
        <f>"41543"</f>
        <v>41543</v>
      </c>
      <c r="C49756" s="2">
        <v>2.0569569206098999E-5</v>
      </c>
      <c r="D49756" s="2">
        <v>9.0342533716586405E-6</v>
      </c>
      <c r="E49756" s="2">
        <v>1.72042270785932E-5</v>
      </c>
      <c r="F49756" s="2">
        <v>1.9736349994957301E-5</v>
      </c>
    </row>
    <row r="49757" spans="1:6" x14ac:dyDescent="0.25">
      <c r="A49757" s="1" t="str">
        <f t="shared" si="1581"/>
        <v>99999</v>
      </c>
      <c r="B49757" s="1" t="str">
        <f>"41859"</f>
        <v>41859</v>
      </c>
      <c r="C49757" s="2">
        <v>1.43986984442693E-5</v>
      </c>
      <c r="D49757" s="2">
        <v>0</v>
      </c>
      <c r="E49757" s="2">
        <v>1.29031703089449E-5</v>
      </c>
      <c r="F49757" s="2">
        <v>1.3420717996571E-5</v>
      </c>
    </row>
    <row r="49758" spans="1:6" x14ac:dyDescent="0.25">
      <c r="A49758" s="1" t="str">
        <f t="shared" si="1581"/>
        <v>99999</v>
      </c>
      <c r="B49758" s="1" t="str">
        <f>"41824"</f>
        <v>41824</v>
      </c>
      <c r="C49758" s="2">
        <v>3.0204788465798102E-5</v>
      </c>
      <c r="D49758" s="2">
        <v>3.01141779055288E-6</v>
      </c>
      <c r="E49758" s="2">
        <v>8.6021135392965999E-6</v>
      </c>
      <c r="F49758" s="2">
        <v>2.7926935242864601E-5</v>
      </c>
    </row>
    <row r="49759" spans="1:6" x14ac:dyDescent="0.25">
      <c r="A49759" s="1" t="str">
        <f t="shared" si="1581"/>
        <v>99999</v>
      </c>
      <c r="B49759" s="1" t="str">
        <f>"41260"</f>
        <v>41260</v>
      </c>
      <c r="C49759" s="2">
        <v>3.9948268616055503E-5</v>
      </c>
      <c r="D49759" s="2">
        <v>1.50570889527644E-6</v>
      </c>
      <c r="E49759" s="2">
        <v>1.5913910047698701E-4</v>
      </c>
      <c r="F49759" s="2">
        <v>4.0163472239738201E-5</v>
      </c>
    </row>
    <row r="49760" spans="1:6" x14ac:dyDescent="0.25">
      <c r="A49760" s="1" t="str">
        <f t="shared" si="1581"/>
        <v>99999</v>
      </c>
      <c r="B49760" s="1" t="str">
        <f>"40355"</f>
        <v>40355</v>
      </c>
      <c r="C49760" s="2">
        <v>1.6563916255437601E-5</v>
      </c>
      <c r="D49760" s="2">
        <v>4.5171266858293203E-6</v>
      </c>
      <c r="E49760" s="2">
        <v>1.72042270785932E-5</v>
      </c>
      <c r="F49760" s="2">
        <v>1.5789079995965799E-5</v>
      </c>
    </row>
    <row r="49761" spans="1:6" x14ac:dyDescent="0.25">
      <c r="A49761" s="1" t="str">
        <f t="shared" si="1581"/>
        <v>99999</v>
      </c>
      <c r="B49761" s="1" t="str">
        <f>"45654"</f>
        <v>45654</v>
      </c>
      <c r="C49761" s="2">
        <v>2.9555223122447599E-5</v>
      </c>
      <c r="D49761" s="2">
        <v>7.5285444763821999E-6</v>
      </c>
      <c r="E49761" s="2">
        <v>0</v>
      </c>
      <c r="F49761" s="2">
        <v>2.7433526492990701E-5</v>
      </c>
    </row>
    <row r="49762" spans="1:6" x14ac:dyDescent="0.25">
      <c r="A49762" s="1" t="str">
        <f t="shared" si="1581"/>
        <v>99999</v>
      </c>
      <c r="B49762" s="1" t="str">
        <f>"49734"</f>
        <v>49734</v>
      </c>
      <c r="C49762" s="2">
        <v>1.4582741958218601E-4</v>
      </c>
      <c r="D49762" s="2">
        <v>6.14329229272787E-4</v>
      </c>
      <c r="E49762" s="2">
        <v>8.6021135392965999E-6</v>
      </c>
      <c r="F49762" s="2">
        <v>1.733838347057E-4</v>
      </c>
    </row>
    <row r="49763" spans="1:6" x14ac:dyDescent="0.25">
      <c r="A49763" s="1" t="str">
        <f t="shared" si="1581"/>
        <v>99999</v>
      </c>
      <c r="B49763" s="1" t="str">
        <f>"51056"</f>
        <v>51056</v>
      </c>
      <c r="C49763" s="2">
        <v>3.2478267167524799E-6</v>
      </c>
      <c r="D49763" s="2">
        <v>6.0228355811057601E-6</v>
      </c>
      <c r="E49763" s="2">
        <v>0</v>
      </c>
      <c r="F49763" s="2">
        <v>3.35517949914275E-6</v>
      </c>
    </row>
    <row r="49764" spans="1:6" x14ac:dyDescent="0.25">
      <c r="A49764" s="1" t="str">
        <f t="shared" si="1581"/>
        <v>99999</v>
      </c>
      <c r="B49764" s="1" t="str">
        <f>"50859"</f>
        <v>50859</v>
      </c>
      <c r="C49764" s="2">
        <v>2.86891359979802E-5</v>
      </c>
      <c r="D49764" s="2">
        <v>4.5171266858293203E-6</v>
      </c>
      <c r="E49764" s="2">
        <v>1.29031703089449E-5</v>
      </c>
      <c r="F49764" s="2">
        <v>2.6742754243167199E-5</v>
      </c>
    </row>
    <row r="49765" spans="1:6" x14ac:dyDescent="0.25">
      <c r="A49765" s="1" t="str">
        <f t="shared" si="1581"/>
        <v>99999</v>
      </c>
      <c r="B49765" s="1" t="str">
        <f>"51364"</f>
        <v>51364</v>
      </c>
      <c r="C49765" s="2">
        <v>3.0313049356356498E-6</v>
      </c>
      <c r="D49765" s="2">
        <v>1.50570889527644E-6</v>
      </c>
      <c r="E49765" s="2">
        <v>0</v>
      </c>
      <c r="F49765" s="2">
        <v>2.8617707492688101E-6</v>
      </c>
    </row>
    <row r="49766" spans="1:6" x14ac:dyDescent="0.25">
      <c r="A49766" s="1" t="str">
        <f t="shared" si="1581"/>
        <v>99999</v>
      </c>
      <c r="B49766" s="1" t="str">
        <f>"50147"</f>
        <v>50147</v>
      </c>
      <c r="C49766" s="2">
        <v>2.5549570171786201E-5</v>
      </c>
      <c r="D49766" s="2">
        <v>1.20456711622115E-5</v>
      </c>
      <c r="E49766" s="2">
        <v>1.29031703089449E-5</v>
      </c>
      <c r="F49766" s="2">
        <v>2.4374392243772301E-5</v>
      </c>
    </row>
    <row r="49767" spans="1:6" x14ac:dyDescent="0.25">
      <c r="A49767" s="1" t="str">
        <f t="shared" si="1581"/>
        <v>99999</v>
      </c>
      <c r="B49767" s="1" t="str">
        <f>"50561"</f>
        <v>50561</v>
      </c>
      <c r="C49767" s="2">
        <v>2.8039570654629701E-5</v>
      </c>
      <c r="D49767" s="2">
        <v>1.50570889527644E-6</v>
      </c>
      <c r="E49767" s="2">
        <v>4.3010567696482999E-6</v>
      </c>
      <c r="F49767" s="2">
        <v>2.57559367434193E-5</v>
      </c>
    </row>
    <row r="49768" spans="1:6" x14ac:dyDescent="0.25">
      <c r="A49768" s="1" t="str">
        <f t="shared" si="1581"/>
        <v>99999</v>
      </c>
      <c r="B49768" s="1" t="str">
        <f>"50551"</f>
        <v>50551</v>
      </c>
      <c r="C49768" s="2">
        <v>6.8204361051802096E-6</v>
      </c>
      <c r="D49768" s="2">
        <v>0</v>
      </c>
      <c r="E49768" s="2">
        <v>4.3010567696482999E-6</v>
      </c>
      <c r="F49768" s="2">
        <v>6.3156319983863499E-6</v>
      </c>
    </row>
    <row r="49769" spans="1:6" x14ac:dyDescent="0.25">
      <c r="A49769" s="1" t="str">
        <f t="shared" si="1581"/>
        <v>99999</v>
      </c>
      <c r="B49769" s="1" t="str">
        <f>"50433"</f>
        <v>50433</v>
      </c>
      <c r="C49769" s="2">
        <v>4.2221747317782301E-6</v>
      </c>
      <c r="D49769" s="2">
        <v>0</v>
      </c>
      <c r="E49769" s="2">
        <v>0</v>
      </c>
      <c r="F49769" s="2">
        <v>3.8485882490166797E-6</v>
      </c>
    </row>
    <row r="49770" spans="1:6" x14ac:dyDescent="0.25">
      <c r="A49770" s="1" t="str">
        <f t="shared" si="1581"/>
        <v>99999</v>
      </c>
      <c r="B49770" s="1" t="str">
        <f>"50531"</f>
        <v>50531</v>
      </c>
      <c r="C49770" s="2">
        <v>1.09343499464E-5</v>
      </c>
      <c r="D49770" s="2">
        <v>1.50570889527644E-6</v>
      </c>
      <c r="E49770" s="2">
        <v>8.6021135392965999E-6</v>
      </c>
      <c r="F49770" s="2">
        <v>1.02629019973778E-5</v>
      </c>
    </row>
    <row r="49771" spans="1:6" x14ac:dyDescent="0.25">
      <c r="A49771" s="1" t="str">
        <f t="shared" si="1581"/>
        <v>99999</v>
      </c>
      <c r="B49771" s="1" t="str">
        <f>"50671"</f>
        <v>50671</v>
      </c>
      <c r="C49771" s="2">
        <v>1.2991306867009899E-5</v>
      </c>
      <c r="D49771" s="2">
        <v>9.0342533716586405E-6</v>
      </c>
      <c r="E49771" s="2">
        <v>4.3010567696482999E-6</v>
      </c>
      <c r="F49771" s="2">
        <v>1.2532582246797899E-5</v>
      </c>
    </row>
    <row r="49772" spans="1:6" x14ac:dyDescent="0.25">
      <c r="A49772" s="1" t="str">
        <f t="shared" si="1581"/>
        <v>99999</v>
      </c>
      <c r="B49772" s="1" t="str">
        <f>"50681"</f>
        <v>50681</v>
      </c>
      <c r="C49772" s="2">
        <v>2.3167830579501E-5</v>
      </c>
      <c r="D49772" s="2">
        <v>1.9574215638593701E-5</v>
      </c>
      <c r="E49772" s="2">
        <v>3.01073973875381E-5</v>
      </c>
      <c r="F49772" s="2">
        <v>2.3091529494100098E-5</v>
      </c>
    </row>
    <row r="49773" spans="1:6" x14ac:dyDescent="0.25">
      <c r="A49773" s="1" t="str">
        <f t="shared" si="1581"/>
        <v>99999</v>
      </c>
      <c r="B49773" s="1" t="str">
        <f>"50050"</f>
        <v>50050</v>
      </c>
      <c r="C49773" s="2">
        <v>4.0597833959405999E-5</v>
      </c>
      <c r="D49773" s="2">
        <v>0</v>
      </c>
      <c r="E49773" s="2">
        <v>1.29031703089449E-5</v>
      </c>
      <c r="F49773" s="2">
        <v>3.7301701490469398E-5</v>
      </c>
    </row>
    <row r="49774" spans="1:6" x14ac:dyDescent="0.25">
      <c r="A49774" s="1" t="str">
        <f t="shared" si="1581"/>
        <v>99999</v>
      </c>
      <c r="B49774" s="1" t="str">
        <f>"49891"</f>
        <v>49891</v>
      </c>
      <c r="C49774" s="2">
        <v>2.8905657779097099E-5</v>
      </c>
      <c r="D49774" s="2">
        <v>3.01141779055288E-6</v>
      </c>
      <c r="E49774" s="2">
        <v>4.3010567696482999E-6</v>
      </c>
      <c r="F49774" s="2">
        <v>2.6644072493192399E-5</v>
      </c>
    </row>
    <row r="49775" spans="1:6" x14ac:dyDescent="0.25">
      <c r="A49775" s="1" t="str">
        <f t="shared" si="1581"/>
        <v>99999</v>
      </c>
      <c r="B49775" s="1" t="str">
        <f>"54211"</f>
        <v>54211</v>
      </c>
      <c r="C49775" s="2">
        <v>2.8797396888538699E-5</v>
      </c>
      <c r="D49775" s="2">
        <v>0</v>
      </c>
      <c r="E49775" s="2">
        <v>9.4623248932262599E-5</v>
      </c>
      <c r="F49775" s="2">
        <v>2.84203439927386E-5</v>
      </c>
    </row>
    <row r="49776" spans="1:6" x14ac:dyDescent="0.25">
      <c r="A49776" s="1" t="str">
        <f t="shared" si="1581"/>
        <v>99999</v>
      </c>
      <c r="B49776" s="1" t="str">
        <f>"53510"</f>
        <v>53510</v>
      </c>
      <c r="C49776" s="2">
        <v>7.1235665987437797E-5</v>
      </c>
      <c r="D49776" s="2">
        <v>4.3665557963016701E-5</v>
      </c>
      <c r="E49776" s="2">
        <v>7.3117965084021106E-5</v>
      </c>
      <c r="F49776" s="2">
        <v>6.9471951982249907E-5</v>
      </c>
    </row>
    <row r="49777" spans="1:6" x14ac:dyDescent="0.25">
      <c r="A49777" s="1" t="str">
        <f t="shared" si="1581"/>
        <v>99999</v>
      </c>
      <c r="B49777" s="1" t="str">
        <f>"52209"</f>
        <v>52209</v>
      </c>
      <c r="C49777" s="2">
        <v>1.62391335837624E-6</v>
      </c>
      <c r="D49777" s="2">
        <v>0</v>
      </c>
      <c r="E49777" s="2">
        <v>0</v>
      </c>
      <c r="F49777" s="2">
        <v>1.4802262496218E-6</v>
      </c>
    </row>
    <row r="49778" spans="1:6" x14ac:dyDescent="0.25">
      <c r="A49778" s="1" t="str">
        <f t="shared" si="1581"/>
        <v>99999</v>
      </c>
      <c r="B49778" s="1" t="str">
        <f>"54648"</f>
        <v>54648</v>
      </c>
      <c r="C49778" s="2">
        <v>7.0910883315762505E-5</v>
      </c>
      <c r="D49778" s="2">
        <v>3.1619886800805203E-5</v>
      </c>
      <c r="E49778" s="2">
        <v>4.7311624466131299E-5</v>
      </c>
      <c r="F49778" s="2">
        <v>6.7794362232678499E-5</v>
      </c>
    </row>
    <row r="49779" spans="1:6" x14ac:dyDescent="0.25">
      <c r="A49779" s="1" t="str">
        <f t="shared" si="1581"/>
        <v>99999</v>
      </c>
      <c r="B49779" s="1" t="str">
        <f>"54612"</f>
        <v>54612</v>
      </c>
      <c r="C49779" s="2">
        <v>2.61017007136341E-4</v>
      </c>
      <c r="D49779" s="2">
        <v>2.7102760114975901E-4</v>
      </c>
      <c r="E49779" s="2">
        <v>5.8494372067216895E-4</v>
      </c>
      <c r="F49779" s="2">
        <v>2.6910513218124301E-4</v>
      </c>
    </row>
    <row r="49780" spans="1:6" x14ac:dyDescent="0.25">
      <c r="A49780" s="1" t="str">
        <f t="shared" si="1581"/>
        <v>99999</v>
      </c>
      <c r="B49780" s="1" t="str">
        <f>"54449"</f>
        <v>54449</v>
      </c>
      <c r="C49780" s="2">
        <v>9.7434801502574508E-7</v>
      </c>
      <c r="D49780" s="2">
        <v>0</v>
      </c>
      <c r="E49780" s="2">
        <v>0</v>
      </c>
      <c r="F49780" s="2">
        <v>8.8813574977308104E-7</v>
      </c>
    </row>
    <row r="49781" spans="1:6" x14ac:dyDescent="0.25">
      <c r="A49781" s="1" t="str">
        <f t="shared" si="1581"/>
        <v>99999</v>
      </c>
      <c r="B49781" s="1" t="str">
        <f>"55771"</f>
        <v>55771</v>
      </c>
      <c r="C49781" s="2">
        <v>9.3104365880237906E-6</v>
      </c>
      <c r="D49781" s="2">
        <v>3.01141779055288E-6</v>
      </c>
      <c r="E49781" s="2">
        <v>0</v>
      </c>
      <c r="F49781" s="2">
        <v>8.6839939977812298E-6</v>
      </c>
    </row>
    <row r="49782" spans="1:6" x14ac:dyDescent="0.25">
      <c r="A49782" s="1" t="str">
        <f t="shared" si="1581"/>
        <v>99999</v>
      </c>
      <c r="B49782" s="1" t="str">
        <f>"55749"</f>
        <v>55749</v>
      </c>
      <c r="C49782" s="2">
        <v>7.2534796674138799E-6</v>
      </c>
      <c r="D49782" s="2">
        <v>1.50570889527644E-6</v>
      </c>
      <c r="E49782" s="2">
        <v>0</v>
      </c>
      <c r="F49782" s="2">
        <v>6.7103589982854999E-6</v>
      </c>
    </row>
    <row r="49783" spans="1:6" x14ac:dyDescent="0.25">
      <c r="A49783" s="1" t="str">
        <f t="shared" si="1581"/>
        <v>99999</v>
      </c>
      <c r="B49783" s="1" t="str">
        <f>"57238"</f>
        <v>57238</v>
      </c>
      <c r="C49783" s="2">
        <v>1.5589568240411901E-5</v>
      </c>
      <c r="D49783" s="2">
        <v>3.01141779055288E-6</v>
      </c>
      <c r="E49783" s="2">
        <v>4.3010567696482999E-6</v>
      </c>
      <c r="F49783" s="2">
        <v>1.45062172462936E-5</v>
      </c>
    </row>
    <row r="49784" spans="1:6" x14ac:dyDescent="0.25">
      <c r="A49784" s="1" t="str">
        <f t="shared" si="1581"/>
        <v>99999</v>
      </c>
      <c r="B49784" s="1" t="str">
        <f>"57239"</f>
        <v>57239</v>
      </c>
      <c r="C49784" s="2">
        <v>2.6415657296253501E-5</v>
      </c>
      <c r="D49784" s="2">
        <v>4.5171266858293203E-6</v>
      </c>
      <c r="E49784" s="2">
        <v>4.3010567696482999E-6</v>
      </c>
      <c r="F49784" s="2">
        <v>2.4473073993747101E-5</v>
      </c>
    </row>
    <row r="49785" spans="1:6" x14ac:dyDescent="0.25">
      <c r="A49785" s="1" t="str">
        <f t="shared" si="1581"/>
        <v>99999</v>
      </c>
      <c r="B49785" s="1" t="str">
        <f>"56755"</f>
        <v>56755</v>
      </c>
      <c r="C49785" s="2">
        <v>7.5782623390891297E-6</v>
      </c>
      <c r="D49785" s="2">
        <v>9.0342533716586405E-6</v>
      </c>
      <c r="E49785" s="2">
        <v>4.3010567696482999E-6</v>
      </c>
      <c r="F49785" s="2">
        <v>7.5984947480585801E-6</v>
      </c>
    </row>
    <row r="49786" spans="1:6" x14ac:dyDescent="0.25">
      <c r="A49786" s="1" t="str">
        <f t="shared" si="1581"/>
        <v>99999</v>
      </c>
      <c r="B49786" s="1" t="str">
        <f>"56255"</f>
        <v>56255</v>
      </c>
      <c r="C49786" s="2">
        <v>1.33160895386851E-5</v>
      </c>
      <c r="D49786" s="2">
        <v>3.01141779055288E-6</v>
      </c>
      <c r="E49786" s="2">
        <v>0</v>
      </c>
      <c r="F49786" s="2">
        <v>1.23352187468483E-5</v>
      </c>
    </row>
    <row r="49787" spans="1:6" x14ac:dyDescent="0.25">
      <c r="A49787" s="1" t="str">
        <f t="shared" si="1581"/>
        <v>99999</v>
      </c>
      <c r="B49787" s="1" t="str">
        <f>"55353"</f>
        <v>55353</v>
      </c>
      <c r="C49787" s="2">
        <v>2.68487008584872E-5</v>
      </c>
      <c r="D49787" s="2">
        <v>6.0228355811057601E-6</v>
      </c>
      <c r="E49787" s="2">
        <v>8.6021135392965999E-6</v>
      </c>
      <c r="F49787" s="2">
        <v>2.5065164493595799E-5</v>
      </c>
    </row>
    <row r="49788" spans="1:6" x14ac:dyDescent="0.25">
      <c r="A49788" s="1" t="str">
        <f t="shared" si="1581"/>
        <v>99999</v>
      </c>
      <c r="B49788" s="1" t="str">
        <f>"57772"</f>
        <v>57772</v>
      </c>
      <c r="C49788" s="2">
        <v>8.1195667918812094E-5</v>
      </c>
      <c r="D49788" s="2">
        <v>1.50570889527644E-5</v>
      </c>
      <c r="E49788" s="2">
        <v>2.15052838482415E-5</v>
      </c>
      <c r="F49788" s="2">
        <v>7.5491538730711896E-5</v>
      </c>
    </row>
    <row r="49789" spans="1:6" x14ac:dyDescent="0.25">
      <c r="A49789" s="1" t="str">
        <f t="shared" si="1581"/>
        <v>99999</v>
      </c>
      <c r="B49789" s="1" t="str">
        <f>"57562"</f>
        <v>57562</v>
      </c>
      <c r="C49789" s="2">
        <v>5.8460880901544696E-6</v>
      </c>
      <c r="D49789" s="2">
        <v>1.50570889527644E-6</v>
      </c>
      <c r="E49789" s="2">
        <v>4.3010567696482999E-6</v>
      </c>
      <c r="F49789" s="2">
        <v>5.52617799858806E-6</v>
      </c>
    </row>
    <row r="49790" spans="1:6" x14ac:dyDescent="0.25">
      <c r="A49790" s="1" t="str">
        <f t="shared" si="1581"/>
        <v>99999</v>
      </c>
      <c r="B49790" s="1" t="str">
        <f>"57564"</f>
        <v>57564</v>
      </c>
      <c r="C49790" s="2">
        <v>4.8067835407936702E-5</v>
      </c>
      <c r="D49790" s="2">
        <v>2.1079924533870101E-5</v>
      </c>
      <c r="E49790" s="2">
        <v>5.5913738005427899E-5</v>
      </c>
      <c r="F49790" s="2">
        <v>4.64791042381245E-5</v>
      </c>
    </row>
    <row r="49791" spans="1:6" x14ac:dyDescent="0.25">
      <c r="A49791" s="1" t="str">
        <f t="shared" si="1581"/>
        <v>99999</v>
      </c>
      <c r="B49791" s="1" t="str">
        <f>"57639"</f>
        <v>57639</v>
      </c>
      <c r="C49791" s="2">
        <v>3.2478267167524802E-7</v>
      </c>
      <c r="D49791" s="2">
        <v>0</v>
      </c>
      <c r="E49791" s="2">
        <v>1.29031703089449E-5</v>
      </c>
      <c r="F49791" s="2">
        <v>5.9209049984871999E-7</v>
      </c>
    </row>
    <row r="49792" spans="1:6" x14ac:dyDescent="0.25">
      <c r="A49792" s="1" t="str">
        <f t="shared" si="1581"/>
        <v>99999</v>
      </c>
      <c r="B49792" s="1" t="str">
        <f>"57630"</f>
        <v>57630</v>
      </c>
      <c r="C49792" s="2">
        <v>4.1139138412198104E-6</v>
      </c>
      <c r="D49792" s="2">
        <v>4.5171266858293203E-6</v>
      </c>
      <c r="E49792" s="2">
        <v>4.3010567696482999E-6</v>
      </c>
      <c r="F49792" s="2">
        <v>4.1446334989410403E-6</v>
      </c>
    </row>
    <row r="49793" spans="1:6" x14ac:dyDescent="0.25">
      <c r="A49793" s="1" t="str">
        <f t="shared" si="1581"/>
        <v>99999</v>
      </c>
      <c r="B49793" s="1" t="str">
        <f>"59843"</f>
        <v>59843</v>
      </c>
      <c r="C49793" s="2">
        <v>1.87291340666059E-5</v>
      </c>
      <c r="D49793" s="2">
        <v>7.5285444763821999E-6</v>
      </c>
      <c r="E49793" s="2">
        <v>2.15052838482415E-5</v>
      </c>
      <c r="F49793" s="2">
        <v>1.80587602453859E-5</v>
      </c>
    </row>
    <row r="49794" spans="1:6" x14ac:dyDescent="0.25">
      <c r="A49794" s="1" t="str">
        <f t="shared" si="1581"/>
        <v>99999</v>
      </c>
      <c r="B49794" s="1" t="str">
        <f>"59915"</f>
        <v>59915</v>
      </c>
      <c r="C49794" s="2">
        <v>1.1150871727516799E-5</v>
      </c>
      <c r="D49794" s="2">
        <v>1.50570889527644E-6</v>
      </c>
      <c r="E49794" s="2">
        <v>4.3010567696482999E-6</v>
      </c>
      <c r="F49794" s="2">
        <v>1.03615837473526E-5</v>
      </c>
    </row>
    <row r="49795" spans="1:6" x14ac:dyDescent="0.25">
      <c r="A49795" s="1" t="str">
        <f t="shared" si="1581"/>
        <v>99999</v>
      </c>
      <c r="B49795" s="1" t="str">
        <f>"58758"</f>
        <v>58758</v>
      </c>
      <c r="C49795" s="2">
        <v>1.3532611319802E-5</v>
      </c>
      <c r="D49795" s="2">
        <v>6.0228355811057601E-6</v>
      </c>
      <c r="E49795" s="2">
        <v>8.6021135392965999E-6</v>
      </c>
      <c r="F49795" s="2">
        <v>1.2927309246696999E-5</v>
      </c>
    </row>
    <row r="49796" spans="1:6" x14ac:dyDescent="0.25">
      <c r="A49796" s="1" t="str">
        <f t="shared" si="1581"/>
        <v>99999</v>
      </c>
      <c r="B49796" s="1" t="str">
        <f>"58761"</f>
        <v>58761</v>
      </c>
      <c r="C49796" s="2">
        <v>6.2791316523881298E-6</v>
      </c>
      <c r="D49796" s="2">
        <v>4.5171266858293203E-6</v>
      </c>
      <c r="E49796" s="2">
        <v>0</v>
      </c>
      <c r="F49796" s="2">
        <v>6.0195867484619901E-6</v>
      </c>
    </row>
    <row r="49797" spans="1:6" x14ac:dyDescent="0.25">
      <c r="A49797" s="1" t="str">
        <f t="shared" si="1581"/>
        <v>99999</v>
      </c>
      <c r="B49797" s="1" t="str">
        <f>"58723"</f>
        <v>58723</v>
      </c>
      <c r="C49797" s="2">
        <v>1.5806090021528701E-5</v>
      </c>
      <c r="D49797" s="2">
        <v>0</v>
      </c>
      <c r="E49797" s="2">
        <v>0</v>
      </c>
      <c r="F49797" s="2">
        <v>1.4407535496318799E-5</v>
      </c>
    </row>
    <row r="49798" spans="1:6" x14ac:dyDescent="0.25">
      <c r="A49798" s="1" t="str">
        <f t="shared" ref="A49798:A49861" si="1582">"99999"</f>
        <v>99999</v>
      </c>
      <c r="B49798" s="1" t="str">
        <f>"59003"</f>
        <v>59003</v>
      </c>
      <c r="C49798" s="2">
        <v>1.8079568723255499E-5</v>
      </c>
      <c r="D49798" s="2">
        <v>1.50570889527644E-6</v>
      </c>
      <c r="E49798" s="2">
        <v>1.29031703089449E-5</v>
      </c>
      <c r="F49798" s="2">
        <v>1.6874579245688502E-5</v>
      </c>
    </row>
    <row r="49799" spans="1:6" x14ac:dyDescent="0.25">
      <c r="A49799" s="1" t="str">
        <f t="shared" si="1582"/>
        <v>99999</v>
      </c>
      <c r="B49799" s="1" t="str">
        <f>"59344"</f>
        <v>59344</v>
      </c>
      <c r="C49799" s="2">
        <v>1.07178281652832E-5</v>
      </c>
      <c r="D49799" s="2">
        <v>0</v>
      </c>
      <c r="E49799" s="2">
        <v>4.3010567696482999E-6</v>
      </c>
      <c r="F49799" s="2">
        <v>9.8681749974786808E-6</v>
      </c>
    </row>
    <row r="49800" spans="1:6" x14ac:dyDescent="0.25">
      <c r="A49800" s="1" t="str">
        <f t="shared" si="1582"/>
        <v>99999</v>
      </c>
      <c r="B49800" s="1" t="str">
        <f>"59349"</f>
        <v>59349</v>
      </c>
      <c r="C49800" s="2">
        <v>2.9880005794122799E-5</v>
      </c>
      <c r="D49800" s="2">
        <v>3.31255956960816E-5</v>
      </c>
      <c r="E49800" s="2">
        <v>2.58063406178898E-5</v>
      </c>
      <c r="F49800" s="2">
        <v>2.9999251992335099E-5</v>
      </c>
    </row>
    <row r="49801" spans="1:6" x14ac:dyDescent="0.25">
      <c r="A49801" s="1" t="str">
        <f t="shared" si="1582"/>
        <v>99999</v>
      </c>
      <c r="B49801" s="1" t="str">
        <f>"58444"</f>
        <v>58444</v>
      </c>
      <c r="C49801" s="2">
        <v>1.08260890558416E-5</v>
      </c>
      <c r="D49801" s="2">
        <v>0</v>
      </c>
      <c r="E49801" s="2">
        <v>1.29031703089449E-5</v>
      </c>
      <c r="F49801" s="2">
        <v>1.0164220247403001E-5</v>
      </c>
    </row>
    <row r="49802" spans="1:6" x14ac:dyDescent="0.25">
      <c r="A49802" s="1" t="str">
        <f t="shared" si="1582"/>
        <v>99999</v>
      </c>
      <c r="B49802" s="1" t="str">
        <f>"58472"</f>
        <v>58472</v>
      </c>
      <c r="C49802" s="2">
        <v>1.05013063841663E-5</v>
      </c>
      <c r="D49802" s="2">
        <v>9.0342533716586405E-6</v>
      </c>
      <c r="E49802" s="2">
        <v>0</v>
      </c>
      <c r="F49802" s="2">
        <v>1.0164220247403001E-5</v>
      </c>
    </row>
    <row r="49803" spans="1:6" x14ac:dyDescent="0.25">
      <c r="A49803" s="1" t="str">
        <f t="shared" si="1582"/>
        <v>99999</v>
      </c>
      <c r="B49803" s="1" t="str">
        <f>"58370"</f>
        <v>58370</v>
      </c>
      <c r="C49803" s="2">
        <v>2.7281744420720801E-5</v>
      </c>
      <c r="D49803" s="2">
        <v>3.01141779055288E-6</v>
      </c>
      <c r="E49803" s="2">
        <v>3.44084541571864E-5</v>
      </c>
      <c r="F49803" s="2">
        <v>2.5854618493394101E-5</v>
      </c>
    </row>
    <row r="49804" spans="1:6" x14ac:dyDescent="0.25">
      <c r="A49804" s="1" t="str">
        <f t="shared" si="1582"/>
        <v>99999</v>
      </c>
      <c r="B49804" s="1" t="str">
        <f>"61919"</f>
        <v>61919</v>
      </c>
      <c r="C49804" s="2">
        <v>4.4170443347833698E-5</v>
      </c>
      <c r="D49804" s="2">
        <v>2.8608469010252301E-5</v>
      </c>
      <c r="E49804" s="2">
        <v>8.6021135392965999E-6</v>
      </c>
      <c r="F49804" s="2">
        <v>4.2334470739183499E-5</v>
      </c>
    </row>
    <row r="49805" spans="1:6" x14ac:dyDescent="0.25">
      <c r="A49805" s="1" t="str">
        <f t="shared" si="1582"/>
        <v>99999</v>
      </c>
      <c r="B49805" s="1" t="str">
        <f>"61925"</f>
        <v>61925</v>
      </c>
      <c r="C49805" s="2">
        <v>2.6632179077370302E-5</v>
      </c>
      <c r="D49805" s="2">
        <v>9.0342533716586405E-6</v>
      </c>
      <c r="E49805" s="2">
        <v>2.15052838482415E-5</v>
      </c>
      <c r="F49805" s="2">
        <v>2.53612097435202E-5</v>
      </c>
    </row>
    <row r="49806" spans="1:6" x14ac:dyDescent="0.25">
      <c r="A49806" s="1" t="str">
        <f t="shared" si="1582"/>
        <v>99999</v>
      </c>
      <c r="B49806" s="1" t="str">
        <f>"62089"</f>
        <v>62089</v>
      </c>
      <c r="C49806" s="2">
        <v>2.68487008584872E-5</v>
      </c>
      <c r="D49806" s="2">
        <v>0</v>
      </c>
      <c r="E49806" s="2">
        <v>4.3010567696482999E-6</v>
      </c>
      <c r="F49806" s="2">
        <v>2.4571755743721902E-5</v>
      </c>
    </row>
    <row r="49807" spans="1:6" x14ac:dyDescent="0.25">
      <c r="A49807" s="1" t="str">
        <f t="shared" si="1582"/>
        <v>99999</v>
      </c>
      <c r="B49807" s="1" t="str">
        <f>"62808"</f>
        <v>62808</v>
      </c>
      <c r="C49807" s="2">
        <v>5.6079141309259497E-5</v>
      </c>
      <c r="D49807" s="2">
        <v>1.65627978480408E-5</v>
      </c>
      <c r="E49807" s="2">
        <v>3.8709510926834699E-5</v>
      </c>
      <c r="F49807" s="2">
        <v>5.3090781486435299E-5</v>
      </c>
    </row>
    <row r="49808" spans="1:6" x14ac:dyDescent="0.25">
      <c r="A49808" s="1" t="str">
        <f t="shared" si="1582"/>
        <v>99999</v>
      </c>
      <c r="B49808" s="1" t="str">
        <f>"62999"</f>
        <v>62999</v>
      </c>
      <c r="C49808" s="2">
        <v>9.1913496084095297E-5</v>
      </c>
      <c r="D49808" s="2">
        <v>8.88368248213099E-5</v>
      </c>
      <c r="E49808" s="2">
        <v>2.15052838482415E-5</v>
      </c>
      <c r="F49808" s="2">
        <v>9.0096437726980299E-5</v>
      </c>
    </row>
    <row r="49809" spans="1:6" x14ac:dyDescent="0.25">
      <c r="A49809" s="1" t="str">
        <f t="shared" si="1582"/>
        <v>99999</v>
      </c>
      <c r="B49809" s="1" t="str">
        <f>"62976"</f>
        <v>62976</v>
      </c>
      <c r="C49809" s="2">
        <v>2.24100043455921E-5</v>
      </c>
      <c r="D49809" s="2">
        <v>1.65627978480408E-5</v>
      </c>
      <c r="E49809" s="2">
        <v>4.3010567696482999E-6</v>
      </c>
      <c r="F49809" s="2">
        <v>2.1611303244478299E-5</v>
      </c>
    </row>
    <row r="49810" spans="1:6" x14ac:dyDescent="0.25">
      <c r="A49810" s="1" t="str">
        <f t="shared" si="1582"/>
        <v>99999</v>
      </c>
      <c r="B49810" s="1" t="str">
        <f>"62557"</f>
        <v>62557</v>
      </c>
      <c r="C49810" s="2">
        <v>4.1680442864990198E-5</v>
      </c>
      <c r="D49810" s="2">
        <v>4.5171266858293203E-6</v>
      </c>
      <c r="E49810" s="2">
        <v>0</v>
      </c>
      <c r="F49810" s="2">
        <v>3.8288518990217199E-5</v>
      </c>
    </row>
    <row r="49811" spans="1:6" x14ac:dyDescent="0.25">
      <c r="A49811" s="1" t="str">
        <f t="shared" si="1582"/>
        <v>99999</v>
      </c>
      <c r="B49811" s="1" t="str">
        <f>"62510"</f>
        <v>62510</v>
      </c>
      <c r="C49811" s="2">
        <v>1.0176523712491101E-5</v>
      </c>
      <c r="D49811" s="2">
        <v>3.01141779055288E-6</v>
      </c>
      <c r="E49811" s="2">
        <v>0</v>
      </c>
      <c r="F49811" s="2">
        <v>9.4734479975795299E-6</v>
      </c>
    </row>
    <row r="49812" spans="1:6" x14ac:dyDescent="0.25">
      <c r="A49812" s="1" t="str">
        <f t="shared" si="1582"/>
        <v>99999</v>
      </c>
      <c r="B49812" s="1" t="str">
        <f>"62538"</f>
        <v>62538</v>
      </c>
      <c r="C49812" s="2">
        <v>1.3857393991477199E-5</v>
      </c>
      <c r="D49812" s="2">
        <v>9.0342533716586405E-6</v>
      </c>
      <c r="E49812" s="2">
        <v>0</v>
      </c>
      <c r="F49812" s="2">
        <v>1.3223354496621401E-5</v>
      </c>
    </row>
    <row r="49813" spans="1:6" x14ac:dyDescent="0.25">
      <c r="A49813" s="1" t="str">
        <f t="shared" si="1582"/>
        <v>99999</v>
      </c>
      <c r="B49813" s="1" t="str">
        <f>"65446"</f>
        <v>65446</v>
      </c>
      <c r="C49813" s="2">
        <v>1.9162177628839599E-5</v>
      </c>
      <c r="D49813" s="2">
        <v>6.0228355811057601E-6</v>
      </c>
      <c r="E49813" s="2">
        <v>2.49461292639601E-4</v>
      </c>
      <c r="F49813" s="2">
        <v>2.3584938243973999E-5</v>
      </c>
    </row>
    <row r="49814" spans="1:6" x14ac:dyDescent="0.25">
      <c r="A49814" s="1" t="str">
        <f t="shared" si="1582"/>
        <v>99999</v>
      </c>
      <c r="B49814" s="1" t="str">
        <f>"64664"</f>
        <v>64664</v>
      </c>
      <c r="C49814" s="2">
        <v>1.6455655364879201E-5</v>
      </c>
      <c r="D49814" s="2">
        <v>1.50570889527644E-6</v>
      </c>
      <c r="E49814" s="2">
        <v>3.8709510926834698E-4</v>
      </c>
      <c r="F49814" s="2">
        <v>2.3979665243873099E-5</v>
      </c>
    </row>
    <row r="49815" spans="1:6" x14ac:dyDescent="0.25">
      <c r="A49815" s="1" t="str">
        <f t="shared" si="1582"/>
        <v>99999</v>
      </c>
      <c r="B49815" s="1" t="str">
        <f>"64441"</f>
        <v>64441</v>
      </c>
      <c r="C49815" s="2">
        <v>1.85126122854891E-5</v>
      </c>
      <c r="D49815" s="2">
        <v>1.80685067433172E-5</v>
      </c>
      <c r="E49815" s="2">
        <v>9.8924305701910905E-5</v>
      </c>
      <c r="F49815" s="2">
        <v>2.0328440494806002E-5</v>
      </c>
    </row>
    <row r="49816" spans="1:6" x14ac:dyDescent="0.25">
      <c r="A49816" s="1" t="str">
        <f t="shared" si="1582"/>
        <v>99999</v>
      </c>
      <c r="B49816" s="1" t="str">
        <f>"64657"</f>
        <v>64657</v>
      </c>
      <c r="C49816" s="2">
        <v>2.4575222156760399E-5</v>
      </c>
      <c r="D49816" s="2">
        <v>9.0342533716586405E-6</v>
      </c>
      <c r="E49816" s="2">
        <v>8.6021135392965999E-6</v>
      </c>
      <c r="F49816" s="2">
        <v>2.3190211244074899E-5</v>
      </c>
    </row>
    <row r="49817" spans="1:6" x14ac:dyDescent="0.25">
      <c r="A49817" s="1" t="str">
        <f t="shared" si="1582"/>
        <v>99999</v>
      </c>
      <c r="B49817" s="1" t="str">
        <f>"95249"</f>
        <v>95249</v>
      </c>
      <c r="C49817" s="2">
        <v>1.4279611464655E-4</v>
      </c>
      <c r="D49817" s="2">
        <v>1.02388204878797E-4</v>
      </c>
      <c r="E49817" s="2">
        <v>1.5053698693768999E-4</v>
      </c>
      <c r="F49817" s="2">
        <v>1.4032544846414601E-4</v>
      </c>
    </row>
    <row r="49818" spans="1:6" x14ac:dyDescent="0.25">
      <c r="A49818" s="1" t="str">
        <f t="shared" si="1582"/>
        <v>99999</v>
      </c>
      <c r="B49818" s="1" t="str">
        <f>"95329"</f>
        <v>95329</v>
      </c>
      <c r="C49818" s="2">
        <v>5.90021853543368E-5</v>
      </c>
      <c r="D49818" s="2">
        <v>1.0539962266935E-5</v>
      </c>
      <c r="E49818" s="2">
        <v>8.6021135392965999E-6</v>
      </c>
      <c r="F49818" s="2">
        <v>5.4669689486031801E-5</v>
      </c>
    </row>
    <row r="49819" spans="1:6" x14ac:dyDescent="0.25">
      <c r="A49819" s="1" t="str">
        <f t="shared" si="1582"/>
        <v>99999</v>
      </c>
      <c r="B49819" s="1" t="str">
        <f>"95246"</f>
        <v>95246</v>
      </c>
      <c r="C49819" s="2">
        <v>7.4050449141956602E-5</v>
      </c>
      <c r="D49819" s="2">
        <v>3.01141779055288E-6</v>
      </c>
      <c r="E49819" s="2">
        <v>4.3010567696482999E-6</v>
      </c>
      <c r="F49819" s="2">
        <v>6.7794362232678499E-5</v>
      </c>
    </row>
    <row r="49820" spans="1:6" x14ac:dyDescent="0.25">
      <c r="A49820" s="1" t="str">
        <f t="shared" si="1582"/>
        <v>99999</v>
      </c>
      <c r="B49820" s="1" t="str">
        <f>"96025"</f>
        <v>96025</v>
      </c>
      <c r="C49820" s="2">
        <v>1.4658524581609501E-4</v>
      </c>
      <c r="D49820" s="2">
        <v>2.0477640975759501E-4</v>
      </c>
      <c r="E49820" s="2">
        <v>5.8064266390252001E-4</v>
      </c>
      <c r="F49820" s="2">
        <v>1.6035784370902801E-4</v>
      </c>
    </row>
    <row r="49821" spans="1:6" x14ac:dyDescent="0.25">
      <c r="A49821" s="1" t="str">
        <f t="shared" si="1582"/>
        <v>99999</v>
      </c>
      <c r="B49821" s="1" t="str">
        <f>"96094"</f>
        <v>96094</v>
      </c>
      <c r="C49821" s="2">
        <v>3.7631485558105402E-4</v>
      </c>
      <c r="D49821" s="2">
        <v>3.0264748795056398E-4</v>
      </c>
      <c r="E49821" s="2">
        <v>8.17200786233177E-4</v>
      </c>
      <c r="F49821" s="2">
        <v>3.8160232715250001E-4</v>
      </c>
    </row>
    <row r="49822" spans="1:6" x14ac:dyDescent="0.25">
      <c r="A49822" s="1" t="str">
        <f t="shared" si="1582"/>
        <v>99999</v>
      </c>
      <c r="B49822" s="1" t="str">
        <f>"96031"</f>
        <v>96031</v>
      </c>
      <c r="C49822" s="2">
        <v>1.0068262821932701E-5</v>
      </c>
      <c r="D49822" s="2">
        <v>9.0342533716586405E-6</v>
      </c>
      <c r="E49822" s="2">
        <v>7.3117965084021106E-5</v>
      </c>
      <c r="F49822" s="2">
        <v>1.14470829970752E-5</v>
      </c>
    </row>
    <row r="49823" spans="1:6" x14ac:dyDescent="0.25">
      <c r="A49823" s="1" t="str">
        <f t="shared" si="1582"/>
        <v>99999</v>
      </c>
      <c r="B49823" s="1" t="str">
        <f>"95963"</f>
        <v>95963</v>
      </c>
      <c r="C49823" s="2">
        <v>6.5324621362948304E-4</v>
      </c>
      <c r="D49823" s="2">
        <v>6.5197195165469797E-4</v>
      </c>
      <c r="E49823" s="2">
        <v>7.7849127530634204E-4</v>
      </c>
      <c r="F49823" s="2">
        <v>6.5603627383238204E-4</v>
      </c>
    </row>
    <row r="49824" spans="1:6" x14ac:dyDescent="0.25">
      <c r="A49824" s="1" t="str">
        <f t="shared" si="1582"/>
        <v>99999</v>
      </c>
      <c r="B49824" s="1" t="str">
        <f>"95947"</f>
        <v>95947</v>
      </c>
      <c r="C49824" s="2">
        <v>6.75547957084516E-5</v>
      </c>
      <c r="D49824" s="2">
        <v>2.25856334291466E-5</v>
      </c>
      <c r="E49824" s="2">
        <v>1.2473064631979999E-4</v>
      </c>
      <c r="F49824" s="2">
        <v>6.5919408983157498E-5</v>
      </c>
    </row>
    <row r="49825" spans="1:6" x14ac:dyDescent="0.25">
      <c r="A49825" s="1" t="str">
        <f t="shared" si="1582"/>
        <v>99999</v>
      </c>
      <c r="B49825" s="1" t="str">
        <f>"95912"</f>
        <v>95912</v>
      </c>
      <c r="C49825" s="2">
        <v>1.2969654688898199E-4</v>
      </c>
      <c r="D49825" s="2">
        <v>3.6137013486634501E-5</v>
      </c>
      <c r="E49825" s="2">
        <v>6.4515851544724506E-5</v>
      </c>
      <c r="F49825" s="2">
        <v>1.22069324718811E-4</v>
      </c>
    </row>
    <row r="49826" spans="1:6" x14ac:dyDescent="0.25">
      <c r="A49826" s="1" t="str">
        <f t="shared" si="1582"/>
        <v>99999</v>
      </c>
      <c r="B49826" s="1" t="str">
        <f>"95666"</f>
        <v>95666</v>
      </c>
      <c r="C49826" s="2">
        <v>3.22076149411288E-4</v>
      </c>
      <c r="D49826" s="2">
        <v>1.0539962266935E-4</v>
      </c>
      <c r="E49826" s="2">
        <v>7.3117965084021106E-5</v>
      </c>
      <c r="F49826" s="2">
        <v>3.0216351842279697E-4</v>
      </c>
    </row>
    <row r="49827" spans="1:6" x14ac:dyDescent="0.25">
      <c r="A49827" s="1" t="str">
        <f t="shared" si="1582"/>
        <v>99999</v>
      </c>
      <c r="B49827" s="1" t="str">
        <f>"97141"</f>
        <v>97141</v>
      </c>
      <c r="C49827" s="2">
        <v>8.6305581953169299E-4</v>
      </c>
      <c r="D49827" s="2">
        <v>1.2467269652888899E-3</v>
      </c>
      <c r="E49827" s="2">
        <v>1.1698874413443301E-3</v>
      </c>
      <c r="F49827" s="2">
        <v>8.9524083577126497E-4</v>
      </c>
    </row>
    <row r="49828" spans="1:6" x14ac:dyDescent="0.25">
      <c r="A49828" s="1" t="str">
        <f t="shared" si="1582"/>
        <v>99999</v>
      </c>
      <c r="B49828" s="1" t="str">
        <f>"97131"</f>
        <v>97131</v>
      </c>
      <c r="C49828" s="2">
        <v>2.1565569399236499E-4</v>
      </c>
      <c r="D49828" s="2">
        <v>4.2159849067740298E-5</v>
      </c>
      <c r="E49828" s="2">
        <v>7.7419021853669399E-5</v>
      </c>
      <c r="F49828" s="2">
        <v>2.01113406448615E-4</v>
      </c>
    </row>
    <row r="49829" spans="1:6" x14ac:dyDescent="0.25">
      <c r="A49829" s="1" t="str">
        <f t="shared" si="1582"/>
        <v>99999</v>
      </c>
      <c r="B49829" s="1" t="str">
        <f>"98631"</f>
        <v>98631</v>
      </c>
      <c r="C49829" s="2">
        <v>3.5228093787708601E-4</v>
      </c>
      <c r="D49829" s="2">
        <v>1.5358230731819599E-4</v>
      </c>
      <c r="E49829" s="2">
        <v>4.0860039311658801E-4</v>
      </c>
      <c r="F49829" s="2">
        <v>3.4055071916298899E-4</v>
      </c>
    </row>
    <row r="49830" spans="1:6" x14ac:dyDescent="0.25">
      <c r="A49830" s="1" t="str">
        <f t="shared" si="1582"/>
        <v>99999</v>
      </c>
      <c r="B49830" s="1" t="str">
        <f>"83530"</f>
        <v>83530</v>
      </c>
      <c r="C49830" s="2">
        <v>2.8981440402488001E-4</v>
      </c>
      <c r="D49830" s="2">
        <v>4.4719554189710201E-4</v>
      </c>
      <c r="E49830" s="2">
        <v>4.0429933634693999E-4</v>
      </c>
      <c r="F49830" s="2">
        <v>3.0275560892264498E-4</v>
      </c>
    </row>
    <row r="49831" spans="1:6" x14ac:dyDescent="0.25">
      <c r="A49831" s="1" t="str">
        <f t="shared" si="1582"/>
        <v>99999</v>
      </c>
      <c r="B49831" s="1" t="str">
        <f>"98673"</f>
        <v>98673</v>
      </c>
      <c r="C49831" s="2">
        <v>3.7458268133211902E-5</v>
      </c>
      <c r="D49831" s="2">
        <v>1.50570889527644E-6</v>
      </c>
      <c r="E49831" s="2">
        <v>8.6021135392965999E-6</v>
      </c>
      <c r="F49831" s="2">
        <v>3.4439930741200501E-5</v>
      </c>
    </row>
    <row r="49832" spans="1:6" x14ac:dyDescent="0.25">
      <c r="A49832" s="1" t="str">
        <f t="shared" si="1582"/>
        <v>99999</v>
      </c>
      <c r="B49832" s="1" t="str">
        <f>"83526"</f>
        <v>83526</v>
      </c>
      <c r="C49832" s="2">
        <v>3.0313049356356498E-6</v>
      </c>
      <c r="D49832" s="2">
        <v>1.50570889527644E-6</v>
      </c>
      <c r="E49832" s="2">
        <v>2.7096657648784301E-4</v>
      </c>
      <c r="F49832" s="2">
        <v>9.0787209976803807E-6</v>
      </c>
    </row>
    <row r="49833" spans="1:6" x14ac:dyDescent="0.25">
      <c r="A49833" s="1" t="str">
        <f t="shared" si="1582"/>
        <v>99999</v>
      </c>
      <c r="B49833" s="1" t="str">
        <f>"98621"</f>
        <v>98621</v>
      </c>
      <c r="C49833" s="2">
        <v>3.1287397371382199E-5</v>
      </c>
      <c r="D49833" s="2">
        <v>4.5171266858293203E-6</v>
      </c>
      <c r="E49833" s="2">
        <v>1.72042270785932E-5</v>
      </c>
      <c r="F49833" s="2">
        <v>2.92097979925368E-5</v>
      </c>
    </row>
    <row r="49834" spans="1:6" x14ac:dyDescent="0.25">
      <c r="A49834" s="1" t="str">
        <f t="shared" si="1582"/>
        <v>99999</v>
      </c>
      <c r="B49834" s="1" t="str">
        <f>"97830"</f>
        <v>97830</v>
      </c>
      <c r="C49834" s="2">
        <v>5.8244359120427799E-5</v>
      </c>
      <c r="D49834" s="2">
        <v>4.5171266858293203E-6</v>
      </c>
      <c r="E49834" s="2">
        <v>0</v>
      </c>
      <c r="F49834" s="2">
        <v>5.3386826736359602E-5</v>
      </c>
    </row>
    <row r="49835" spans="1:6" x14ac:dyDescent="0.25">
      <c r="A49835" s="1" t="str">
        <f t="shared" si="1582"/>
        <v>99999</v>
      </c>
      <c r="B49835" s="1" t="str">
        <f>"98331"</f>
        <v>98331</v>
      </c>
      <c r="C49835" s="2">
        <v>1.6672177145996001E-5</v>
      </c>
      <c r="D49835" s="2">
        <v>2.1079924533870101E-5</v>
      </c>
      <c r="E49835" s="2">
        <v>8.6021135392965999E-6</v>
      </c>
      <c r="F49835" s="2">
        <v>1.6775897495713701E-5</v>
      </c>
    </row>
    <row r="49836" spans="1:6" x14ac:dyDescent="0.25">
      <c r="A49836" s="1" t="str">
        <f t="shared" si="1582"/>
        <v>99999</v>
      </c>
      <c r="B49836" s="1" t="str">
        <f>"98250"</f>
        <v>98250</v>
      </c>
      <c r="C49836" s="2">
        <v>7.3335927264271098E-4</v>
      </c>
      <c r="D49836" s="2">
        <v>1.3912750192354301E-3</v>
      </c>
      <c r="E49836" s="2">
        <v>5.8924477744181697E-3</v>
      </c>
      <c r="F49836" s="2">
        <v>8.9484610877136597E-4</v>
      </c>
    </row>
    <row r="49837" spans="1:6" x14ac:dyDescent="0.25">
      <c r="A49837" s="1" t="str">
        <f t="shared" si="1582"/>
        <v>99999</v>
      </c>
      <c r="B49837" s="1" t="str">
        <f>"98286"</f>
        <v>98286</v>
      </c>
      <c r="C49837" s="2">
        <v>1.08260890558416E-7</v>
      </c>
      <c r="D49837" s="2">
        <v>0</v>
      </c>
      <c r="E49837" s="2">
        <v>8.3870607008141901E-4</v>
      </c>
      <c r="F49837" s="2">
        <v>1.9341622995058201E-5</v>
      </c>
    </row>
    <row r="49838" spans="1:6" x14ac:dyDescent="0.25">
      <c r="A49838" s="1" t="str">
        <f t="shared" si="1582"/>
        <v>99999</v>
      </c>
      <c r="B49838" s="1" t="str">
        <f>"83539"</f>
        <v>83539</v>
      </c>
      <c r="C49838" s="2">
        <v>8.2170015933837794E-5</v>
      </c>
      <c r="D49838" s="2">
        <v>2.4091342324423E-5</v>
      </c>
      <c r="E49838" s="2">
        <v>1.2473064631979999E-4</v>
      </c>
      <c r="F49838" s="2">
        <v>7.9340126979728499E-5</v>
      </c>
    </row>
    <row r="49839" spans="1:6" x14ac:dyDescent="0.25">
      <c r="A49839" s="1" t="str">
        <f t="shared" si="1582"/>
        <v>99999</v>
      </c>
      <c r="B49839" s="1" t="str">
        <f>"83555"</f>
        <v>83555</v>
      </c>
      <c r="C49839" s="2">
        <v>7.6865232296475401E-6</v>
      </c>
      <c r="D49839" s="2">
        <v>1.50570889527644E-6</v>
      </c>
      <c r="E49839" s="2">
        <v>3.3118137126291901E-4</v>
      </c>
      <c r="F49839" s="2">
        <v>1.47035807462432E-5</v>
      </c>
    </row>
    <row r="49840" spans="1:6" x14ac:dyDescent="0.25">
      <c r="A49840" s="1" t="str">
        <f t="shared" si="1582"/>
        <v>99999</v>
      </c>
      <c r="B49840" s="1" t="str">
        <f>"83839"</f>
        <v>83839</v>
      </c>
      <c r="C49840" s="2">
        <v>9.1588713412420005E-5</v>
      </c>
      <c r="D49840" s="2">
        <v>3.7642722381910999E-5</v>
      </c>
      <c r="E49840" s="2">
        <v>2.15052838482415E-5</v>
      </c>
      <c r="F49840" s="2">
        <v>8.6445212977913195E-5</v>
      </c>
    </row>
    <row r="49841" spans="1:6" x14ac:dyDescent="0.25">
      <c r="A49841" s="1" t="str">
        <f t="shared" si="1582"/>
        <v>99999</v>
      </c>
      <c r="B49841" s="1" t="str">
        <f>"83847"</f>
        <v>83847</v>
      </c>
      <c r="C49841" s="2">
        <v>7.6432188734241807E-5</v>
      </c>
      <c r="D49841" s="2">
        <v>6.0228355811057601E-6</v>
      </c>
      <c r="E49841" s="2">
        <v>1.11827476010855E-4</v>
      </c>
      <c r="F49841" s="2">
        <v>7.2629767981443005E-5</v>
      </c>
    </row>
    <row r="49842" spans="1:6" x14ac:dyDescent="0.25">
      <c r="A49842" s="1" t="str">
        <f t="shared" si="1582"/>
        <v>99999</v>
      </c>
      <c r="B49842" s="1" t="str">
        <f>"99032"</f>
        <v>99032</v>
      </c>
      <c r="C49842" s="2">
        <v>1.9595221191073298E-5</v>
      </c>
      <c r="D49842" s="2">
        <v>2.1079924533870101E-5</v>
      </c>
      <c r="E49842" s="2">
        <v>3.9569722280764303E-4</v>
      </c>
      <c r="F49842" s="2">
        <v>2.83216622427638E-5</v>
      </c>
    </row>
    <row r="49843" spans="1:6" x14ac:dyDescent="0.25">
      <c r="A49843" s="1" t="str">
        <f t="shared" si="1582"/>
        <v>99999</v>
      </c>
      <c r="B49843" s="1" t="str">
        <f>"03259"</f>
        <v>03259</v>
      </c>
      <c r="C49843" s="2">
        <v>1.4723481115944499E-5</v>
      </c>
      <c r="D49843" s="2">
        <v>0</v>
      </c>
      <c r="E49843" s="2">
        <v>4.3010567696482999E-6</v>
      </c>
      <c r="F49843" s="2">
        <v>1.35193997465457E-5</v>
      </c>
    </row>
    <row r="49844" spans="1:6" x14ac:dyDescent="0.25">
      <c r="A49844" s="1" t="str">
        <f t="shared" si="1582"/>
        <v>99999</v>
      </c>
      <c r="B49844" s="1" t="str">
        <f>"03812"</f>
        <v>03812</v>
      </c>
      <c r="C49844" s="2">
        <v>1.16921761803089E-5</v>
      </c>
      <c r="D49844" s="2">
        <v>3.01141779055288E-6</v>
      </c>
      <c r="E49844" s="2">
        <v>4.3010567696482999E-6</v>
      </c>
      <c r="F49844" s="2">
        <v>1.0953674247201299E-5</v>
      </c>
    </row>
    <row r="49845" spans="1:6" x14ac:dyDescent="0.25">
      <c r="A49845" s="1" t="str">
        <f t="shared" si="1582"/>
        <v>99999</v>
      </c>
      <c r="B49845" s="1" t="str">
        <f>"04216"</f>
        <v>04216</v>
      </c>
      <c r="C49845" s="2">
        <v>3.0637832028031702E-5</v>
      </c>
      <c r="D49845" s="2">
        <v>4.5171266858293203E-6</v>
      </c>
      <c r="E49845" s="2">
        <v>4.3010567696482999E-6</v>
      </c>
      <c r="F49845" s="2">
        <v>2.83216622427638E-5</v>
      </c>
    </row>
    <row r="49846" spans="1:6" x14ac:dyDescent="0.25">
      <c r="A49846" s="1" t="str">
        <f t="shared" si="1582"/>
        <v>99999</v>
      </c>
      <c r="B49846" s="1" t="str">
        <f>"04971"</f>
        <v>04971</v>
      </c>
      <c r="C49846" s="2">
        <v>1.0544610740389699E-4</v>
      </c>
      <c r="D49846" s="2">
        <v>3.1619886800805203E-5</v>
      </c>
      <c r="E49846" s="2">
        <v>1.29031703089449E-5</v>
      </c>
      <c r="F49846" s="2">
        <v>9.8484386474837201E-5</v>
      </c>
    </row>
    <row r="49847" spans="1:6" x14ac:dyDescent="0.25">
      <c r="A49847" s="1" t="str">
        <f t="shared" si="1582"/>
        <v>99999</v>
      </c>
      <c r="B49847" s="1" t="str">
        <f>"04964"</f>
        <v>04964</v>
      </c>
      <c r="C49847" s="2">
        <v>1.9486960300514902E-5</v>
      </c>
      <c r="D49847" s="2">
        <v>0</v>
      </c>
      <c r="E49847" s="2">
        <v>4.3010567696482999E-6</v>
      </c>
      <c r="F49847" s="2">
        <v>1.7861396745436401E-5</v>
      </c>
    </row>
    <row r="49848" spans="1:6" x14ac:dyDescent="0.25">
      <c r="A49848" s="1" t="str">
        <f t="shared" si="1582"/>
        <v>99999</v>
      </c>
      <c r="B49848" s="1" t="str">
        <f>"04606"</f>
        <v>04606</v>
      </c>
      <c r="C49848" s="2">
        <v>6.6905230365101097E-5</v>
      </c>
      <c r="D49848" s="2">
        <v>1.20456711622115E-5</v>
      </c>
      <c r="E49848" s="2">
        <v>7.3117965084021106E-5</v>
      </c>
      <c r="F49848" s="2">
        <v>6.3452365233787904E-5</v>
      </c>
    </row>
    <row r="49849" spans="1:6" x14ac:dyDescent="0.25">
      <c r="A49849" s="1" t="str">
        <f t="shared" si="1582"/>
        <v>99999</v>
      </c>
      <c r="B49849" s="1" t="str">
        <f>"05361"</f>
        <v>05361</v>
      </c>
      <c r="C49849" s="2">
        <v>4.4928269581742699E-5</v>
      </c>
      <c r="D49849" s="2">
        <v>6.0228355811057601E-6</v>
      </c>
      <c r="E49849" s="2">
        <v>1.29031703089449E-5</v>
      </c>
      <c r="F49849" s="2">
        <v>4.1643698489360001E-5</v>
      </c>
    </row>
    <row r="49850" spans="1:6" x14ac:dyDescent="0.25">
      <c r="A49850" s="1" t="str">
        <f t="shared" si="1582"/>
        <v>99999</v>
      </c>
      <c r="B49850" s="1" t="str">
        <f>"05907"</f>
        <v>05907</v>
      </c>
      <c r="C49850" s="2">
        <v>8.1195667918812104E-6</v>
      </c>
      <c r="D49850" s="2">
        <v>7.5285444763821999E-6</v>
      </c>
      <c r="E49850" s="2">
        <v>0</v>
      </c>
      <c r="F49850" s="2">
        <v>7.8945399979829399E-6</v>
      </c>
    </row>
    <row r="49851" spans="1:6" x14ac:dyDescent="0.25">
      <c r="A49851" s="1" t="str">
        <f t="shared" si="1582"/>
        <v>99999</v>
      </c>
      <c r="B49851" s="1" t="str">
        <f>"12042"</f>
        <v>12042</v>
      </c>
      <c r="C49851" s="2">
        <v>2.1110873658891101E-5</v>
      </c>
      <c r="D49851" s="2">
        <v>6.0228355811057601E-6</v>
      </c>
      <c r="E49851" s="2">
        <v>1.29031703089449E-5</v>
      </c>
      <c r="F49851" s="2">
        <v>1.9933713494906902E-5</v>
      </c>
    </row>
    <row r="49852" spans="1:6" x14ac:dyDescent="0.25">
      <c r="A49852" s="1" t="str">
        <f t="shared" si="1582"/>
        <v>99999</v>
      </c>
      <c r="B49852" s="1" t="str">
        <f>"12913"</f>
        <v>12913</v>
      </c>
      <c r="C49852" s="2">
        <v>3.7025224570978301E-5</v>
      </c>
      <c r="D49852" s="2">
        <v>3.01141779055288E-6</v>
      </c>
      <c r="E49852" s="2">
        <v>3.44084541571864E-5</v>
      </c>
      <c r="F49852" s="2">
        <v>3.4735975991124899E-5</v>
      </c>
    </row>
    <row r="49853" spans="1:6" x14ac:dyDescent="0.25">
      <c r="A49853" s="1" t="str">
        <f t="shared" si="1582"/>
        <v>99999</v>
      </c>
      <c r="B49853" s="1" t="str">
        <f>"12950"</f>
        <v>12950</v>
      </c>
      <c r="C49853" s="2">
        <v>2.38173959228515E-5</v>
      </c>
      <c r="D49853" s="2">
        <v>1.50570889527644E-5</v>
      </c>
      <c r="E49853" s="2">
        <v>2.15052838482415E-5</v>
      </c>
      <c r="F49853" s="2">
        <v>2.3190211244074899E-5</v>
      </c>
    </row>
    <row r="49854" spans="1:6" x14ac:dyDescent="0.25">
      <c r="A49854" s="1" t="str">
        <f t="shared" si="1582"/>
        <v>99999</v>
      </c>
      <c r="B49854" s="1" t="str">
        <f>"13327"</f>
        <v>13327</v>
      </c>
      <c r="C49854" s="2">
        <v>8.0221319903786299E-5</v>
      </c>
      <c r="D49854" s="2">
        <v>3.01141779055288E-5</v>
      </c>
      <c r="E49854" s="2">
        <v>4.3010567696482999E-5</v>
      </c>
      <c r="F49854" s="2">
        <v>7.6083629230560597E-5</v>
      </c>
    </row>
    <row r="49855" spans="1:6" x14ac:dyDescent="0.25">
      <c r="A49855" s="1" t="str">
        <f t="shared" si="1582"/>
        <v>99999</v>
      </c>
      <c r="B49855" s="1" t="str">
        <f>"13437"</f>
        <v>13437</v>
      </c>
      <c r="C49855" s="2">
        <v>5.1965227468039701E-6</v>
      </c>
      <c r="D49855" s="2">
        <v>0</v>
      </c>
      <c r="E49855" s="2">
        <v>0</v>
      </c>
      <c r="F49855" s="2">
        <v>4.7367239987897599E-6</v>
      </c>
    </row>
    <row r="49856" spans="1:6" x14ac:dyDescent="0.25">
      <c r="A49856" s="1" t="str">
        <f t="shared" si="1582"/>
        <v>99999</v>
      </c>
      <c r="B49856" s="1" t="str">
        <f>"14427"</f>
        <v>14427</v>
      </c>
      <c r="C49856" s="2">
        <v>1.02739585139936E-4</v>
      </c>
      <c r="D49856" s="2">
        <v>4.2159849067740298E-5</v>
      </c>
      <c r="E49856" s="2">
        <v>9.8924305701910905E-5</v>
      </c>
      <c r="F49856" s="2">
        <v>9.8681749974786795E-5</v>
      </c>
    </row>
    <row r="49857" spans="1:6" x14ac:dyDescent="0.25">
      <c r="A49857" s="1" t="str">
        <f t="shared" si="1582"/>
        <v>99999</v>
      </c>
      <c r="B49857" s="1" t="str">
        <f>"14824"</f>
        <v>14824</v>
      </c>
      <c r="C49857" s="2">
        <v>2.2734787017267301E-5</v>
      </c>
      <c r="D49857" s="2">
        <v>1.80685067433172E-5</v>
      </c>
      <c r="E49857" s="2">
        <v>3.8709510926834699E-5</v>
      </c>
      <c r="F49857" s="2">
        <v>2.2795484244175701E-5</v>
      </c>
    </row>
    <row r="49858" spans="1:6" x14ac:dyDescent="0.25">
      <c r="A49858" s="1" t="str">
        <f t="shared" si="1582"/>
        <v>99999</v>
      </c>
      <c r="B49858" s="1" t="str">
        <f>"14836"</f>
        <v>14836</v>
      </c>
      <c r="C49858" s="2">
        <v>1.4506959334827701E-5</v>
      </c>
      <c r="D49858" s="2">
        <v>1.50570889527644E-6</v>
      </c>
      <c r="E49858" s="2">
        <v>0</v>
      </c>
      <c r="F49858" s="2">
        <v>1.3322036246596199E-5</v>
      </c>
    </row>
    <row r="49859" spans="1:6" x14ac:dyDescent="0.25">
      <c r="A49859" s="1" t="str">
        <f t="shared" si="1582"/>
        <v>99999</v>
      </c>
      <c r="B49859" s="1" t="str">
        <f>"14841"</f>
        <v>14841</v>
      </c>
      <c r="C49859" s="2">
        <v>4.3087834442249601E-5</v>
      </c>
      <c r="D49859" s="2">
        <v>2.55970512196994E-5</v>
      </c>
      <c r="E49859" s="2">
        <v>4.3010567696482999E-6</v>
      </c>
      <c r="F49859" s="2">
        <v>4.10516079895113E-5</v>
      </c>
    </row>
    <row r="49860" spans="1:6" x14ac:dyDescent="0.25">
      <c r="A49860" s="1" t="str">
        <f t="shared" si="1582"/>
        <v>99999</v>
      </c>
      <c r="B49860" s="1" t="str">
        <f>"17062"</f>
        <v>17062</v>
      </c>
      <c r="C49860" s="2">
        <v>3.98400077254971E-5</v>
      </c>
      <c r="D49860" s="2">
        <v>1.35513800574879E-5</v>
      </c>
      <c r="E49860" s="2">
        <v>0</v>
      </c>
      <c r="F49860" s="2">
        <v>3.7203019740494601E-5</v>
      </c>
    </row>
    <row r="49861" spans="1:6" x14ac:dyDescent="0.25">
      <c r="A49861" s="1" t="str">
        <f t="shared" si="1582"/>
        <v>99999</v>
      </c>
      <c r="B49861" s="1" t="str">
        <f>"18437"</f>
        <v>18437</v>
      </c>
      <c r="C49861" s="2">
        <v>1.07178281652832E-5</v>
      </c>
      <c r="D49861" s="2">
        <v>1.0539962266935E-5</v>
      </c>
      <c r="E49861" s="2">
        <v>0</v>
      </c>
      <c r="F49861" s="2">
        <v>1.04602654973274E-5</v>
      </c>
    </row>
    <row r="49862" spans="1:6" x14ac:dyDescent="0.25">
      <c r="A49862" s="1" t="str">
        <f t="shared" ref="A49862:A49925" si="1583">"99999"</f>
        <v>99999</v>
      </c>
      <c r="B49862" s="1" t="str">
        <f>"23015"</f>
        <v>23015</v>
      </c>
      <c r="C49862" s="2">
        <v>2.5982613734019799E-5</v>
      </c>
      <c r="D49862" s="2">
        <v>4.5171266858293203E-6</v>
      </c>
      <c r="E49862" s="2">
        <v>0</v>
      </c>
      <c r="F49862" s="2">
        <v>2.3979665243873099E-5</v>
      </c>
    </row>
    <row r="49863" spans="1:6" x14ac:dyDescent="0.25">
      <c r="A49863" s="1" t="str">
        <f t="shared" si="1583"/>
        <v>99999</v>
      </c>
      <c r="B49863" s="1" t="str">
        <f>"23879"</f>
        <v>23879</v>
      </c>
      <c r="C49863" s="2">
        <v>3.7133485461536698E-5</v>
      </c>
      <c r="D49863" s="2">
        <v>2.25856334291466E-5</v>
      </c>
      <c r="E49863" s="2">
        <v>4.3010567696482999E-6</v>
      </c>
      <c r="F49863" s="2">
        <v>3.5426748240948397E-5</v>
      </c>
    </row>
    <row r="49864" spans="1:6" x14ac:dyDescent="0.25">
      <c r="A49864" s="1" t="str">
        <f t="shared" si="1583"/>
        <v>99999</v>
      </c>
      <c r="B49864" s="1" t="str">
        <f>"24141"</f>
        <v>24141</v>
      </c>
      <c r="C49864" s="2">
        <v>8.1195667918812104E-6</v>
      </c>
      <c r="D49864" s="2">
        <v>3.01141779055288E-6</v>
      </c>
      <c r="E49864" s="2">
        <v>0</v>
      </c>
      <c r="F49864" s="2">
        <v>7.5984947480585801E-6</v>
      </c>
    </row>
    <row r="49865" spans="1:6" x14ac:dyDescent="0.25">
      <c r="A49865" s="1" t="str">
        <f t="shared" si="1583"/>
        <v>99999</v>
      </c>
      <c r="B49865" s="1" t="str">
        <f>"24528"</f>
        <v>24528</v>
      </c>
      <c r="C49865" s="2">
        <v>3.2694788948641601E-5</v>
      </c>
      <c r="D49865" s="2">
        <v>9.0342533716586405E-6</v>
      </c>
      <c r="E49865" s="2">
        <v>8.6021135392965999E-6</v>
      </c>
      <c r="F49865" s="2">
        <v>3.0591342492183898E-5</v>
      </c>
    </row>
    <row r="49866" spans="1:6" x14ac:dyDescent="0.25">
      <c r="A49866" s="1" t="str">
        <f t="shared" si="1583"/>
        <v>99999</v>
      </c>
      <c r="B49866" s="1" t="str">
        <f>"24853"</f>
        <v>24853</v>
      </c>
      <c r="C49866" s="2">
        <v>1.07178281652832E-5</v>
      </c>
      <c r="D49866" s="2">
        <v>4.5171266858293203E-6</v>
      </c>
      <c r="E49866" s="2">
        <v>0</v>
      </c>
      <c r="F49866" s="2">
        <v>1.00655384974282E-5</v>
      </c>
    </row>
    <row r="49867" spans="1:6" x14ac:dyDescent="0.25">
      <c r="A49867" s="1" t="str">
        <f t="shared" si="1583"/>
        <v>99999</v>
      </c>
      <c r="B49867" s="1" t="str">
        <f>"26411"</f>
        <v>26411</v>
      </c>
      <c r="C49867" s="2">
        <v>9.7434801502574508E-7</v>
      </c>
      <c r="D49867" s="2">
        <v>0</v>
      </c>
      <c r="E49867" s="2">
        <v>0</v>
      </c>
      <c r="F49867" s="2">
        <v>8.8813574977308104E-7</v>
      </c>
    </row>
    <row r="49868" spans="1:6" x14ac:dyDescent="0.25">
      <c r="A49868" s="1" t="str">
        <f t="shared" si="1583"/>
        <v>99999</v>
      </c>
      <c r="B49868" s="1" t="str">
        <f>"26384"</f>
        <v>26384</v>
      </c>
      <c r="C49868" s="2">
        <v>2.7390005311279201E-5</v>
      </c>
      <c r="D49868" s="2">
        <v>9.0342533716586405E-6</v>
      </c>
      <c r="E49868" s="2">
        <v>4.3010567696482999E-6</v>
      </c>
      <c r="F49868" s="2">
        <v>2.56572549934445E-5</v>
      </c>
    </row>
    <row r="49869" spans="1:6" x14ac:dyDescent="0.25">
      <c r="A49869" s="1" t="str">
        <f t="shared" si="1583"/>
        <v>99999</v>
      </c>
      <c r="B49869" s="1" t="str">
        <f>"26141"</f>
        <v>26141</v>
      </c>
      <c r="C49869" s="2">
        <v>1.3532611319802E-5</v>
      </c>
      <c r="D49869" s="2">
        <v>0</v>
      </c>
      <c r="E49869" s="2">
        <v>0</v>
      </c>
      <c r="F49869" s="2">
        <v>1.23352187468483E-5</v>
      </c>
    </row>
    <row r="49870" spans="1:6" x14ac:dyDescent="0.25">
      <c r="A49870" s="1" t="str">
        <f t="shared" si="1583"/>
        <v>99999</v>
      </c>
      <c r="B49870" s="1" t="str">
        <f>"26852"</f>
        <v>26852</v>
      </c>
      <c r="C49870" s="2">
        <v>1.4831742006502999E-5</v>
      </c>
      <c r="D49870" s="2">
        <v>1.50570889527644E-6</v>
      </c>
      <c r="E49870" s="2">
        <v>0</v>
      </c>
      <c r="F49870" s="2">
        <v>1.3618081496520501E-5</v>
      </c>
    </row>
    <row r="49871" spans="1:6" x14ac:dyDescent="0.25">
      <c r="A49871" s="1" t="str">
        <f t="shared" si="1583"/>
        <v>99999</v>
      </c>
      <c r="B49871" s="1" t="str">
        <f>"26636"</f>
        <v>26636</v>
      </c>
      <c r="C49871" s="2">
        <v>2.93387013413307E-5</v>
      </c>
      <c r="D49871" s="2">
        <v>9.0342533716586405E-6</v>
      </c>
      <c r="E49871" s="2">
        <v>4.3010567696482999E-6</v>
      </c>
      <c r="F49871" s="2">
        <v>2.7433526492990701E-5</v>
      </c>
    </row>
    <row r="49872" spans="1:6" x14ac:dyDescent="0.25">
      <c r="A49872" s="1" t="str">
        <f t="shared" si="1583"/>
        <v>99999</v>
      </c>
      <c r="B49872" s="1" t="str">
        <f>"26731"</f>
        <v>26731</v>
      </c>
      <c r="C49872" s="2">
        <v>1.5481307349853501E-5</v>
      </c>
      <c r="D49872" s="2">
        <v>1.50570889527644E-6</v>
      </c>
      <c r="E49872" s="2">
        <v>0</v>
      </c>
      <c r="F49872" s="2">
        <v>1.42101719963693E-5</v>
      </c>
    </row>
    <row r="49873" spans="1:6" x14ac:dyDescent="0.25">
      <c r="A49873" s="1" t="str">
        <f t="shared" si="1583"/>
        <v>99999</v>
      </c>
      <c r="B49873" s="1" t="str">
        <f>"27863"</f>
        <v>27863</v>
      </c>
      <c r="C49873" s="2">
        <v>7.6865232296475401E-6</v>
      </c>
      <c r="D49873" s="2">
        <v>1.50570889527644E-6</v>
      </c>
      <c r="E49873" s="2">
        <v>0</v>
      </c>
      <c r="F49873" s="2">
        <v>7.10508599818465E-6</v>
      </c>
    </row>
    <row r="49874" spans="1:6" x14ac:dyDescent="0.25">
      <c r="A49874" s="1" t="str">
        <f t="shared" si="1583"/>
        <v>99999</v>
      </c>
      <c r="B49874" s="1" t="str">
        <f>"27919"</f>
        <v>27919</v>
      </c>
      <c r="C49874" s="2">
        <v>9.96000193137428E-6</v>
      </c>
      <c r="D49874" s="2">
        <v>0</v>
      </c>
      <c r="E49874" s="2">
        <v>0</v>
      </c>
      <c r="F49874" s="2">
        <v>9.0787209976803807E-6</v>
      </c>
    </row>
    <row r="49875" spans="1:6" x14ac:dyDescent="0.25">
      <c r="A49875" s="1" t="str">
        <f t="shared" si="1583"/>
        <v>99999</v>
      </c>
      <c r="B49875" s="1" t="str">
        <f>"29069"</f>
        <v>29069</v>
      </c>
      <c r="C49875" s="2">
        <v>2.3167830579501E-5</v>
      </c>
      <c r="D49875" s="2">
        <v>7.5285444763821999E-6</v>
      </c>
      <c r="E49875" s="2">
        <v>0</v>
      </c>
      <c r="F49875" s="2">
        <v>2.1611303244478299E-5</v>
      </c>
    </row>
    <row r="49876" spans="1:6" x14ac:dyDescent="0.25">
      <c r="A49876" s="1" t="str">
        <f t="shared" si="1583"/>
        <v>99999</v>
      </c>
      <c r="B49876" s="1" t="str">
        <f>"30543"</f>
        <v>30543</v>
      </c>
      <c r="C49876" s="2">
        <v>4.1247399302756502E-5</v>
      </c>
      <c r="D49876" s="2">
        <v>9.0342533716586405E-6</v>
      </c>
      <c r="E49876" s="2">
        <v>0</v>
      </c>
      <c r="F49876" s="2">
        <v>3.8189837240242402E-5</v>
      </c>
    </row>
    <row r="49877" spans="1:6" x14ac:dyDescent="0.25">
      <c r="A49877" s="1" t="str">
        <f t="shared" si="1583"/>
        <v>99999</v>
      </c>
      <c r="B49877" s="1" t="str">
        <f>"30650"</f>
        <v>30650</v>
      </c>
      <c r="C49877" s="2">
        <v>3.4968267650368402E-5</v>
      </c>
      <c r="D49877" s="2">
        <v>9.0342533716586405E-6</v>
      </c>
      <c r="E49877" s="2">
        <v>0</v>
      </c>
      <c r="F49877" s="2">
        <v>3.2466295741704798E-5</v>
      </c>
    </row>
    <row r="49878" spans="1:6" x14ac:dyDescent="0.25">
      <c r="A49878" s="1" t="str">
        <f t="shared" si="1583"/>
        <v>99999</v>
      </c>
      <c r="B49878" s="1" t="str">
        <f>"31049"</f>
        <v>31049</v>
      </c>
      <c r="C49878" s="2">
        <v>2.77147879829545E-5</v>
      </c>
      <c r="D49878" s="2">
        <v>6.0228355811057601E-6</v>
      </c>
      <c r="E49878" s="2">
        <v>0</v>
      </c>
      <c r="F49878" s="2">
        <v>2.56572549934445E-5</v>
      </c>
    </row>
    <row r="49879" spans="1:6" x14ac:dyDescent="0.25">
      <c r="A49879" s="1" t="str">
        <f t="shared" si="1583"/>
        <v>99999</v>
      </c>
      <c r="B49879" s="1" t="str">
        <f>"36722"</f>
        <v>36722</v>
      </c>
      <c r="C49879" s="2">
        <v>2.0461308315540598E-5</v>
      </c>
      <c r="D49879" s="2">
        <v>6.0228355811057601E-6</v>
      </c>
      <c r="E49879" s="2">
        <v>4.3010567696482999E-6</v>
      </c>
      <c r="F49879" s="2">
        <v>1.91442594951086E-5</v>
      </c>
    </row>
    <row r="49880" spans="1:6" x14ac:dyDescent="0.25">
      <c r="A49880" s="1" t="str">
        <f t="shared" si="1583"/>
        <v>99999</v>
      </c>
      <c r="B49880" s="1" t="str">
        <f>"37801"</f>
        <v>37801</v>
      </c>
      <c r="C49880" s="2">
        <v>4.6660443830677299E-5</v>
      </c>
      <c r="D49880" s="2">
        <v>1.35513800574879E-5</v>
      </c>
      <c r="E49880" s="2">
        <v>0</v>
      </c>
      <c r="F49880" s="2">
        <v>4.3419969988906097E-5</v>
      </c>
    </row>
    <row r="49881" spans="1:6" x14ac:dyDescent="0.25">
      <c r="A49881" s="1" t="str">
        <f t="shared" si="1583"/>
        <v>99999</v>
      </c>
      <c r="B49881" s="1" t="str">
        <f>"79096"</f>
        <v>79096</v>
      </c>
      <c r="C49881" s="2">
        <v>5.7270011105402099E-5</v>
      </c>
      <c r="D49881" s="2">
        <v>4.8182684648845999E-5</v>
      </c>
      <c r="E49881" s="2">
        <v>9.4623248932262599E-5</v>
      </c>
      <c r="F49881" s="2">
        <v>5.7531460235300698E-5</v>
      </c>
    </row>
    <row r="49882" spans="1:6" x14ac:dyDescent="0.25">
      <c r="A49882" s="1" t="str">
        <f t="shared" si="1583"/>
        <v>99999</v>
      </c>
      <c r="B49882" s="1" t="str">
        <f>"79225"</f>
        <v>79225</v>
      </c>
      <c r="C49882" s="2">
        <v>2.9013918669655499E-5</v>
      </c>
      <c r="D49882" s="2">
        <v>1.0539962266935E-5</v>
      </c>
      <c r="E49882" s="2">
        <v>2.58063406178898E-5</v>
      </c>
      <c r="F49882" s="2">
        <v>2.7729571742915E-5</v>
      </c>
    </row>
    <row r="49883" spans="1:6" x14ac:dyDescent="0.25">
      <c r="A49883" s="1" t="str">
        <f t="shared" si="1583"/>
        <v>99999</v>
      </c>
      <c r="B49883" s="1" t="str">
        <f>"79235"</f>
        <v>79235</v>
      </c>
      <c r="C49883" s="2">
        <v>2.34168306277854E-4</v>
      </c>
      <c r="D49883" s="2">
        <v>4.1256423730574399E-4</v>
      </c>
      <c r="E49883" s="2">
        <v>4.6881518789166401E-4</v>
      </c>
      <c r="F49883" s="2">
        <v>2.5124373543580699E-4</v>
      </c>
    </row>
    <row r="49884" spans="1:6" x14ac:dyDescent="0.25">
      <c r="A49884" s="1" t="str">
        <f t="shared" si="1583"/>
        <v>99999</v>
      </c>
      <c r="B49884" s="1" t="str">
        <f>"79312"</f>
        <v>79312</v>
      </c>
      <c r="C49884" s="2">
        <v>4.6443922049560499E-5</v>
      </c>
      <c r="D49884" s="2">
        <v>4.2159849067740298E-5</v>
      </c>
      <c r="E49884" s="2">
        <v>5.1612681235779599E-5</v>
      </c>
      <c r="F49884" s="2">
        <v>4.6281740738175001E-5</v>
      </c>
    </row>
    <row r="49885" spans="1:6" x14ac:dyDescent="0.25">
      <c r="A49885" s="1" t="str">
        <f t="shared" si="1583"/>
        <v>99999</v>
      </c>
      <c r="B49885" s="1" t="str">
        <f>"79220"</f>
        <v>79220</v>
      </c>
      <c r="C49885" s="2">
        <v>9.2021756974653701E-6</v>
      </c>
      <c r="D49885" s="2">
        <v>1.50570889527644E-6</v>
      </c>
      <c r="E49885" s="2">
        <v>0</v>
      </c>
      <c r="F49885" s="2">
        <v>8.4866304978316595E-6</v>
      </c>
    </row>
    <row r="49886" spans="1:6" x14ac:dyDescent="0.25">
      <c r="A49886" s="1" t="str">
        <f t="shared" si="1583"/>
        <v>99999</v>
      </c>
      <c r="B49886" s="1" t="str">
        <f>"76230"</f>
        <v>76230</v>
      </c>
      <c r="C49886" s="2">
        <v>5.6133271754538704E-4</v>
      </c>
      <c r="D49886" s="2">
        <v>8.5373694362174098E-4</v>
      </c>
      <c r="E49886" s="2">
        <v>7.4408282114915602E-4</v>
      </c>
      <c r="F49886" s="2">
        <v>5.8468936860061097E-4</v>
      </c>
    </row>
    <row r="49887" spans="1:6" x14ac:dyDescent="0.25">
      <c r="A49887" s="1" t="str">
        <f t="shared" si="1583"/>
        <v>99999</v>
      </c>
      <c r="B49887" s="1" t="str">
        <f>"76265"</f>
        <v>76265</v>
      </c>
      <c r="C49887" s="2">
        <v>6.5822621459517007E-5</v>
      </c>
      <c r="D49887" s="2">
        <v>1.0539962266935E-5</v>
      </c>
      <c r="E49887" s="2">
        <v>6.0214794775076199E-5</v>
      </c>
      <c r="F49887" s="2">
        <v>6.2070820734140894E-5</v>
      </c>
    </row>
    <row r="49888" spans="1:6" x14ac:dyDescent="0.25">
      <c r="A49888" s="1" t="str">
        <f t="shared" si="1583"/>
        <v>99999</v>
      </c>
      <c r="B49888" s="1" t="str">
        <f>"73932"</f>
        <v>73932</v>
      </c>
      <c r="C49888" s="2">
        <v>8.34691466205388E-5</v>
      </c>
      <c r="D49888" s="2">
        <v>6.9262609182716196E-5</v>
      </c>
      <c r="E49888" s="2">
        <v>1.29031703089449E-5</v>
      </c>
      <c r="F49888" s="2">
        <v>8.0919034979325103E-5</v>
      </c>
    </row>
    <row r="49889" spans="1:6" x14ac:dyDescent="0.25">
      <c r="A49889" s="1" t="str">
        <f t="shared" si="1583"/>
        <v>99999</v>
      </c>
      <c r="B49889" s="1" t="str">
        <f>"75846"</f>
        <v>75846</v>
      </c>
      <c r="C49889" s="2">
        <v>1.3413524340187701E-4</v>
      </c>
      <c r="D49889" s="2">
        <v>9.33539515071393E-5</v>
      </c>
      <c r="E49889" s="2">
        <v>3.01073973875381E-5</v>
      </c>
      <c r="F49889" s="2">
        <v>1.29075728967021E-4</v>
      </c>
    </row>
    <row r="49890" spans="1:6" x14ac:dyDescent="0.25">
      <c r="A49890" s="1" t="str">
        <f t="shared" si="1583"/>
        <v>99999</v>
      </c>
      <c r="B49890" s="1" t="str">
        <f>"75851"</f>
        <v>75851</v>
      </c>
      <c r="C49890" s="2">
        <v>1.6683003235051899E-4</v>
      </c>
      <c r="D49890" s="2">
        <v>3.31255956960816E-5</v>
      </c>
      <c r="E49890" s="2">
        <v>6.0214794775076199E-5</v>
      </c>
      <c r="F49890" s="2">
        <v>1.55621119710238E-4</v>
      </c>
    </row>
    <row r="49891" spans="1:6" x14ac:dyDescent="0.25">
      <c r="A49891" s="1" t="str">
        <f t="shared" si="1583"/>
        <v>99999</v>
      </c>
      <c r="B49891" s="1" t="str">
        <f>"77335"</f>
        <v>77335</v>
      </c>
      <c r="C49891" s="2">
        <v>1.6336568385264899E-4</v>
      </c>
      <c r="D49891" s="2">
        <v>9.33539515071393E-5</v>
      </c>
      <c r="E49891" s="2">
        <v>3.01073973875381E-5</v>
      </c>
      <c r="F49891" s="2">
        <v>1.5571980146021299E-4</v>
      </c>
    </row>
    <row r="49892" spans="1:6" x14ac:dyDescent="0.25">
      <c r="A49892" s="1" t="str">
        <f t="shared" si="1583"/>
        <v>99999</v>
      </c>
      <c r="B49892" s="1" t="str">
        <f>"77358"</f>
        <v>77358</v>
      </c>
      <c r="C49892" s="2">
        <v>3.9515225053821902E-5</v>
      </c>
      <c r="D49892" s="2">
        <v>1.20456711622115E-5</v>
      </c>
      <c r="E49892" s="2">
        <v>0</v>
      </c>
      <c r="F49892" s="2">
        <v>3.68082927405954E-5</v>
      </c>
    </row>
    <row r="49893" spans="1:6" x14ac:dyDescent="0.25">
      <c r="A49893" s="1" t="str">
        <f t="shared" si="1583"/>
        <v>99999</v>
      </c>
      <c r="B49893" s="1" t="str">
        <f>"77378"</f>
        <v>77378</v>
      </c>
      <c r="C49893" s="2">
        <v>6.8312621942360601E-5</v>
      </c>
      <c r="D49893" s="2">
        <v>2.1079924533870101E-5</v>
      </c>
      <c r="E49893" s="2">
        <v>0</v>
      </c>
      <c r="F49893" s="2">
        <v>6.3649728733737403E-5</v>
      </c>
    </row>
    <row r="49894" spans="1:6" x14ac:dyDescent="0.25">
      <c r="A49894" s="1" t="str">
        <f t="shared" si="1583"/>
        <v>99999</v>
      </c>
      <c r="B49894" s="1" t="str">
        <f>"78014"</f>
        <v>78014</v>
      </c>
      <c r="C49894" s="2">
        <v>2.5625352795177102E-4</v>
      </c>
      <c r="D49894" s="2">
        <v>3.8847289498132099E-4</v>
      </c>
      <c r="E49894" s="2">
        <v>3.8279405249869798E-4</v>
      </c>
      <c r="F49894" s="2">
        <v>2.6782226943157099E-4</v>
      </c>
    </row>
    <row r="49895" spans="1:6" x14ac:dyDescent="0.25">
      <c r="A49895" s="1" t="str">
        <f t="shared" si="1583"/>
        <v>99999</v>
      </c>
      <c r="B49895" s="1" t="str">
        <f>"76645"</f>
        <v>76645</v>
      </c>
      <c r="C49895" s="2">
        <v>5.4152097457319697E-4</v>
      </c>
      <c r="D49895" s="2">
        <v>1.14885588709592E-3</v>
      </c>
      <c r="E49895" s="2">
        <v>4.3440673373447799E-4</v>
      </c>
      <c r="F49895" s="2">
        <v>5.7886714535209901E-4</v>
      </c>
    </row>
    <row r="49896" spans="1:6" x14ac:dyDescent="0.25">
      <c r="A49896" s="1" t="str">
        <f t="shared" si="1583"/>
        <v>99999</v>
      </c>
      <c r="B49896" s="1" t="str">
        <f>"77954"</f>
        <v>77954</v>
      </c>
      <c r="C49896" s="2">
        <v>5.5970880418701105E-4</v>
      </c>
      <c r="D49896" s="2">
        <v>8.0555425897289499E-4</v>
      </c>
      <c r="E49896" s="2">
        <v>3.8709510926834698E-4</v>
      </c>
      <c r="F49896" s="2">
        <v>5.7186074110388897E-4</v>
      </c>
    </row>
    <row r="49897" spans="1:6" x14ac:dyDescent="0.25">
      <c r="A49897" s="1" t="str">
        <f t="shared" si="1583"/>
        <v>99999</v>
      </c>
      <c r="B49897" s="1" t="str">
        <f>"76678"</f>
        <v>76678</v>
      </c>
      <c r="C49897" s="2">
        <v>7.1452187768554602E-6</v>
      </c>
      <c r="D49897" s="2">
        <v>1.50570889527644E-6</v>
      </c>
      <c r="E49897" s="2">
        <v>0</v>
      </c>
      <c r="F49897" s="2">
        <v>6.6116772483107097E-6</v>
      </c>
    </row>
    <row r="49898" spans="1:6" x14ac:dyDescent="0.25">
      <c r="A49898" s="1" t="str">
        <f t="shared" si="1583"/>
        <v>99999</v>
      </c>
      <c r="B49898" s="1" t="str">
        <f>"76652"</f>
        <v>76652</v>
      </c>
      <c r="C49898" s="2">
        <v>6.65804476934259E-5</v>
      </c>
      <c r="D49898" s="2">
        <v>9.0342533716586405E-6</v>
      </c>
      <c r="E49898" s="2">
        <v>3.44084541571864E-5</v>
      </c>
      <c r="F49898" s="2">
        <v>6.2070820734140894E-5</v>
      </c>
    </row>
    <row r="49899" spans="1:6" x14ac:dyDescent="0.25">
      <c r="A49899" s="1" t="str">
        <f t="shared" si="1583"/>
        <v>99999</v>
      </c>
      <c r="B49899" s="1" t="str">
        <f>"78140"</f>
        <v>78140</v>
      </c>
      <c r="C49899" s="2">
        <v>1.52972638359042E-4</v>
      </c>
      <c r="D49899" s="2">
        <v>1.06905331564627E-4</v>
      </c>
      <c r="E49899" s="2">
        <v>1.5053698693768999E-4</v>
      </c>
      <c r="F49899" s="2">
        <v>1.49897578211701E-4</v>
      </c>
    </row>
    <row r="49900" spans="1:6" x14ac:dyDescent="0.25">
      <c r="A49900" s="1" t="str">
        <f t="shared" si="1583"/>
        <v>99999</v>
      </c>
      <c r="B49900" s="1" t="str">
        <f>"78141"</f>
        <v>78141</v>
      </c>
      <c r="C49900" s="2">
        <v>3.8432616148237697E-5</v>
      </c>
      <c r="D49900" s="2">
        <v>2.1079924533870101E-5</v>
      </c>
      <c r="E49900" s="2">
        <v>1.29031703089449E-5</v>
      </c>
      <c r="F49900" s="2">
        <v>3.6709610990620603E-5</v>
      </c>
    </row>
    <row r="49901" spans="1:6" x14ac:dyDescent="0.25">
      <c r="A49901" s="1" t="str">
        <f t="shared" si="1583"/>
        <v>99999</v>
      </c>
      <c r="B49901" s="1" t="str">
        <f>"76531"</f>
        <v>76531</v>
      </c>
      <c r="C49901" s="2">
        <v>2.7931309764071301E-4</v>
      </c>
      <c r="D49901" s="2">
        <v>5.2850382224203004E-4</v>
      </c>
      <c r="E49901" s="2">
        <v>1.72042270785932E-4</v>
      </c>
      <c r="F49901" s="2">
        <v>2.9318347917509102E-4</v>
      </c>
    </row>
    <row r="49902" spans="1:6" x14ac:dyDescent="0.25">
      <c r="A49902" s="1" t="str">
        <f t="shared" si="1583"/>
        <v>99999</v>
      </c>
      <c r="B49902" s="1" t="str">
        <f>"77864"</f>
        <v>77864</v>
      </c>
      <c r="C49902" s="2">
        <v>3.5065702451870899E-4</v>
      </c>
      <c r="D49902" s="2">
        <v>7.1370601636103204E-4</v>
      </c>
      <c r="E49902" s="2">
        <v>6.0214794775076202E-4</v>
      </c>
      <c r="F49902" s="2">
        <v>3.8022078265285302E-4</v>
      </c>
    </row>
    <row r="49903" spans="1:6" x14ac:dyDescent="0.25">
      <c r="A49903" s="1" t="str">
        <f t="shared" si="1583"/>
        <v>99999</v>
      </c>
      <c r="B49903" s="1" t="str">
        <f>"78959"</f>
        <v>78959</v>
      </c>
      <c r="C49903" s="2">
        <v>4.2654790880015898E-5</v>
      </c>
      <c r="D49903" s="2">
        <v>2.4091342324423E-5</v>
      </c>
      <c r="E49903" s="2">
        <v>8.6021135392965999E-6</v>
      </c>
      <c r="F49903" s="2">
        <v>4.0656880989612098E-5</v>
      </c>
    </row>
    <row r="49904" spans="1:6" x14ac:dyDescent="0.25">
      <c r="A49904" s="1" t="str">
        <f t="shared" si="1583"/>
        <v>99999</v>
      </c>
      <c r="B49904" s="1" t="str">
        <f>"78880"</f>
        <v>78880</v>
      </c>
      <c r="C49904" s="2">
        <v>2.8147831545188199E-5</v>
      </c>
      <c r="D49904" s="2">
        <v>1.20456711622115E-5</v>
      </c>
      <c r="E49904" s="2">
        <v>4.3010567696482999E-6</v>
      </c>
      <c r="F49904" s="2">
        <v>2.6545390743217599E-5</v>
      </c>
    </row>
    <row r="49905" spans="1:6" x14ac:dyDescent="0.25">
      <c r="A49905" s="1" t="str">
        <f t="shared" si="1583"/>
        <v>99999</v>
      </c>
      <c r="B49905" s="1" t="str">
        <f>"78879"</f>
        <v>78879</v>
      </c>
      <c r="C49905" s="2">
        <v>1.0393045493607899E-5</v>
      </c>
      <c r="D49905" s="2">
        <v>1.50570889527644E-6</v>
      </c>
      <c r="E49905" s="2">
        <v>4.3010567696482999E-6</v>
      </c>
      <c r="F49905" s="2">
        <v>9.6708114975291003E-6</v>
      </c>
    </row>
    <row r="49906" spans="1:6" x14ac:dyDescent="0.25">
      <c r="A49906" s="1" t="str">
        <f t="shared" si="1583"/>
        <v>99999</v>
      </c>
      <c r="B49906" s="1" t="str">
        <f>"79852"</f>
        <v>79852</v>
      </c>
      <c r="C49906" s="2">
        <v>1.78630469421386E-5</v>
      </c>
      <c r="D49906" s="2">
        <v>2.55970512196994E-5</v>
      </c>
      <c r="E49906" s="2">
        <v>8.6021135392965999E-6</v>
      </c>
      <c r="F49906" s="2">
        <v>1.81574419953607E-5</v>
      </c>
    </row>
    <row r="49907" spans="1:6" x14ac:dyDescent="0.25">
      <c r="A49907" s="1" t="str">
        <f t="shared" si="1583"/>
        <v>99999</v>
      </c>
      <c r="B49907" s="1" t="str">
        <f>"78605"</f>
        <v>78605</v>
      </c>
      <c r="C49907" s="2">
        <v>2.6166657247969101E-4</v>
      </c>
      <c r="D49907" s="2">
        <v>1.7315652295679001E-4</v>
      </c>
      <c r="E49907" s="2">
        <v>1.8924649786452501E-4</v>
      </c>
      <c r="F49907" s="2">
        <v>2.5420418793505002E-4</v>
      </c>
    </row>
    <row r="49908" spans="1:6" x14ac:dyDescent="0.25">
      <c r="A49908" s="1" t="str">
        <f t="shared" si="1583"/>
        <v>99999</v>
      </c>
      <c r="B49908" s="1" t="str">
        <f>"78629"</f>
        <v>78629</v>
      </c>
      <c r="C49908" s="2">
        <v>5.9684228964854797E-4</v>
      </c>
      <c r="D49908" s="2">
        <v>8.2512847461148895E-4</v>
      </c>
      <c r="E49908" s="2">
        <v>6.8816908314372799E-4</v>
      </c>
      <c r="F49908" s="2">
        <v>6.1389916659314802E-4</v>
      </c>
    </row>
    <row r="49909" spans="1:6" x14ac:dyDescent="0.25">
      <c r="A49909" s="1" t="str">
        <f t="shared" si="1583"/>
        <v>99999</v>
      </c>
      <c r="B49909" s="1" t="str">
        <f>"78608"</f>
        <v>78608</v>
      </c>
      <c r="C49909" s="2">
        <v>2.69569617490456E-5</v>
      </c>
      <c r="D49909" s="2">
        <v>1.35513800574879E-5</v>
      </c>
      <c r="E49909" s="2">
        <v>3.8709510926834699E-5</v>
      </c>
      <c r="F49909" s="2">
        <v>2.6348027243268001E-5</v>
      </c>
    </row>
    <row r="49910" spans="1:6" x14ac:dyDescent="0.25">
      <c r="A49910" s="1" t="str">
        <f t="shared" si="1583"/>
        <v>99999</v>
      </c>
      <c r="B49910" s="1" t="str">
        <f>"81418"</f>
        <v>81418</v>
      </c>
      <c r="C49910" s="2">
        <v>1.50699159657315E-4</v>
      </c>
      <c r="D49910" s="2">
        <v>6.1734064706334002E-5</v>
      </c>
      <c r="E49910" s="2">
        <v>8.6021135392965999E-5</v>
      </c>
      <c r="F49910" s="2">
        <v>1.4338458271336501E-4</v>
      </c>
    </row>
    <row r="49911" spans="1:6" x14ac:dyDescent="0.25">
      <c r="A49911" s="1" t="str">
        <f t="shared" si="1583"/>
        <v>99999</v>
      </c>
      <c r="B49911" s="1" t="str">
        <f>"81419"</f>
        <v>81419</v>
      </c>
      <c r="C49911" s="2">
        <v>3.28788324625909E-4</v>
      </c>
      <c r="D49911" s="2">
        <v>4.1557565509629698E-4</v>
      </c>
      <c r="E49911" s="2">
        <v>9.8924305701910905E-5</v>
      </c>
      <c r="F49911" s="2">
        <v>3.2920231791588802E-4</v>
      </c>
    </row>
    <row r="49912" spans="1:6" x14ac:dyDescent="0.25">
      <c r="A49912" s="1" t="str">
        <f t="shared" si="1583"/>
        <v>99999</v>
      </c>
      <c r="B49912" s="1" t="str">
        <f>"81251"</f>
        <v>81251</v>
      </c>
      <c r="C49912" s="2">
        <v>2.3492613251176299E-5</v>
      </c>
      <c r="D49912" s="2">
        <v>1.80685067433172E-5</v>
      </c>
      <c r="E49912" s="2">
        <v>3.01073973875381E-5</v>
      </c>
      <c r="F49912" s="2">
        <v>2.3288892994049601E-5</v>
      </c>
    </row>
    <row r="49913" spans="1:6" x14ac:dyDescent="0.25">
      <c r="A49913" s="1" t="str">
        <f t="shared" si="1583"/>
        <v>99999</v>
      </c>
      <c r="B49913" s="1" t="str">
        <f>"81648"</f>
        <v>81648</v>
      </c>
      <c r="C49913" s="2">
        <v>1.60442639807572E-4</v>
      </c>
      <c r="D49913" s="2">
        <v>2.6952189225448199E-4</v>
      </c>
      <c r="E49913" s="2">
        <v>1.7634332755557999E-4</v>
      </c>
      <c r="F49913" s="2">
        <v>1.6795633845708701E-4</v>
      </c>
    </row>
    <row r="49914" spans="1:6" x14ac:dyDescent="0.25">
      <c r="A49914" s="1" t="str">
        <f t="shared" si="1583"/>
        <v>99999</v>
      </c>
      <c r="B49914" s="1" t="str">
        <f>"81089"</f>
        <v>81089</v>
      </c>
      <c r="C49914" s="2">
        <v>2.8764918621371102E-4</v>
      </c>
      <c r="D49914" s="2">
        <v>4.3966699742071998E-4</v>
      </c>
      <c r="E49914" s="2">
        <v>4.2580462019518102E-4</v>
      </c>
      <c r="F49914" s="2">
        <v>3.0078197392314999E-4</v>
      </c>
    </row>
    <row r="49915" spans="1:6" x14ac:dyDescent="0.25">
      <c r="A49915" s="1" t="str">
        <f t="shared" si="1583"/>
        <v>99999</v>
      </c>
      <c r="B49915" s="1" t="str">
        <f>"81125"</f>
        <v>81125</v>
      </c>
      <c r="C49915" s="2">
        <v>8.9206973820134895E-5</v>
      </c>
      <c r="D49915" s="2">
        <v>5.8722646915781101E-5</v>
      </c>
      <c r="E49915" s="2">
        <v>1.7634332755557999E-4</v>
      </c>
      <c r="F49915" s="2">
        <v>8.92083019772072E-5</v>
      </c>
    </row>
    <row r="49916" spans="1:6" x14ac:dyDescent="0.25">
      <c r="A49916" s="1" t="str">
        <f t="shared" si="1583"/>
        <v>99999</v>
      </c>
      <c r="B49916" s="1" t="str">
        <f>"81132"</f>
        <v>81132</v>
      </c>
      <c r="C49916" s="2">
        <v>1.9519438567682399E-4</v>
      </c>
      <c r="D49916" s="2">
        <v>1.8369648522372501E-4</v>
      </c>
      <c r="E49916" s="2">
        <v>2.23654952021711E-4</v>
      </c>
      <c r="F49916" s="2">
        <v>1.9509381970015299E-4</v>
      </c>
    </row>
    <row r="49917" spans="1:6" x14ac:dyDescent="0.25">
      <c r="A49917" s="1" t="str">
        <f t="shared" si="1583"/>
        <v>99999</v>
      </c>
      <c r="B49917" s="1" t="str">
        <f>"81081"</f>
        <v>81081</v>
      </c>
      <c r="C49917" s="2">
        <v>4.7634791845703099E-6</v>
      </c>
      <c r="D49917" s="2">
        <v>1.50570889527644E-6</v>
      </c>
      <c r="E49917" s="2">
        <v>4.3010567696482999E-6</v>
      </c>
      <c r="F49917" s="2">
        <v>4.5393604988401904E-6</v>
      </c>
    </row>
    <row r="49918" spans="1:6" x14ac:dyDescent="0.25">
      <c r="A49918" s="1" t="str">
        <f t="shared" si="1583"/>
        <v>99999</v>
      </c>
      <c r="B49918" s="1" t="str">
        <f>"81091"</f>
        <v>81091</v>
      </c>
      <c r="C49918" s="2">
        <v>6.0193055150479301E-5</v>
      </c>
      <c r="D49918" s="2">
        <v>7.5285444763821999E-6</v>
      </c>
      <c r="E49918" s="2">
        <v>3.8709510926834699E-5</v>
      </c>
      <c r="F49918" s="2">
        <v>5.6248597485628397E-5</v>
      </c>
    </row>
    <row r="49919" spans="1:6" x14ac:dyDescent="0.25">
      <c r="A49919" s="1" t="str">
        <f t="shared" si="1583"/>
        <v>99999</v>
      </c>
      <c r="B49919" s="1" t="str">
        <f>"83332"</f>
        <v>83332</v>
      </c>
      <c r="C49919" s="2">
        <v>9.7651323283691298E-5</v>
      </c>
      <c r="D49919" s="2">
        <v>4.3665557963016701E-5</v>
      </c>
      <c r="E49919" s="2">
        <v>8.1720078623317706E-5</v>
      </c>
      <c r="F49919" s="2">
        <v>9.3747662476047403E-5</v>
      </c>
    </row>
    <row r="49920" spans="1:6" x14ac:dyDescent="0.25">
      <c r="A49920" s="1" t="str">
        <f t="shared" si="1583"/>
        <v>99999</v>
      </c>
      <c r="B49920" s="1" t="str">
        <f>"83252"</f>
        <v>83252</v>
      </c>
      <c r="C49920" s="2">
        <v>2.0742786630992499E-4</v>
      </c>
      <c r="D49920" s="2">
        <v>2.7102760114975901E-4</v>
      </c>
      <c r="E49920" s="2">
        <v>1.5053698693768999E-4</v>
      </c>
      <c r="F49920" s="2">
        <v>2.1029080919626999E-4</v>
      </c>
    </row>
    <row r="49921" spans="1:6" x14ac:dyDescent="0.25">
      <c r="A49921" s="1" t="str">
        <f t="shared" si="1583"/>
        <v>99999</v>
      </c>
      <c r="B49921" s="1" t="str">
        <f>"83611"</f>
        <v>83611</v>
      </c>
      <c r="C49921" s="2">
        <v>3.1114179946488798E-4</v>
      </c>
      <c r="D49921" s="2">
        <v>2.6952189225448199E-4</v>
      </c>
      <c r="E49921" s="2">
        <v>6.8816908314372799E-5</v>
      </c>
      <c r="F49921" s="2">
        <v>3.0285429067262E-4</v>
      </c>
    </row>
    <row r="49922" spans="1:6" x14ac:dyDescent="0.25">
      <c r="A49922" s="1" t="str">
        <f t="shared" si="1583"/>
        <v>99999</v>
      </c>
      <c r="B49922" s="1" t="str">
        <f>"82440"</f>
        <v>82440</v>
      </c>
      <c r="C49922" s="2">
        <v>5.8460880901544696E-6</v>
      </c>
      <c r="D49922" s="2">
        <v>0</v>
      </c>
      <c r="E49922" s="2">
        <v>1.29031703089449E-5</v>
      </c>
      <c r="F49922" s="2">
        <v>5.6248597485628401E-6</v>
      </c>
    </row>
    <row r="49923" spans="1:6" x14ac:dyDescent="0.25">
      <c r="A49923" s="1" t="str">
        <f t="shared" si="1583"/>
        <v>99999</v>
      </c>
      <c r="B49923" s="1" t="str">
        <f>"82227"</f>
        <v>82227</v>
      </c>
      <c r="C49923" s="2">
        <v>5.7378271995960499E-6</v>
      </c>
      <c r="D49923" s="2">
        <v>0</v>
      </c>
      <c r="E49923" s="2">
        <v>8.6021135392965999E-6</v>
      </c>
      <c r="F49923" s="2">
        <v>5.4274962486132697E-6</v>
      </c>
    </row>
    <row r="49924" spans="1:6" x14ac:dyDescent="0.25">
      <c r="A49924" s="1" t="str">
        <f t="shared" si="1583"/>
        <v>99999</v>
      </c>
      <c r="B49924" s="1" t="str">
        <f>"83101"</f>
        <v>83101</v>
      </c>
      <c r="C49924" s="2">
        <v>1.4442002800492699E-4</v>
      </c>
      <c r="D49924" s="2">
        <v>2.8307327231197002E-4</v>
      </c>
      <c r="E49924" s="2">
        <v>4.81718358200609E-4</v>
      </c>
      <c r="F49924" s="2">
        <v>1.61245979458801E-4</v>
      </c>
    </row>
    <row r="49925" spans="1:6" x14ac:dyDescent="0.25">
      <c r="A49925" s="1" t="str">
        <f t="shared" si="1583"/>
        <v>99999</v>
      </c>
      <c r="B49925" s="1" t="str">
        <f>"83110"</f>
        <v>83110</v>
      </c>
      <c r="C49925" s="2">
        <v>8.6825234227849704E-5</v>
      </c>
      <c r="D49925" s="2">
        <v>1.0539962266935E-4</v>
      </c>
      <c r="E49925" s="2">
        <v>8.6021135392965999E-5</v>
      </c>
      <c r="F49925" s="2">
        <v>8.8024120977509799E-5</v>
      </c>
    </row>
    <row r="49926" spans="1:6" x14ac:dyDescent="0.25">
      <c r="A49926" s="1" t="str">
        <f t="shared" ref="A49926:A49989" si="1584">"99999"</f>
        <v>99999</v>
      </c>
      <c r="B49926" s="1" t="str">
        <f>"82426"</f>
        <v>82426</v>
      </c>
      <c r="C49926" s="2">
        <v>1.4831742006503001E-4</v>
      </c>
      <c r="D49926" s="2">
        <v>2.6048763888282398E-4</v>
      </c>
      <c r="E49926" s="2">
        <v>2.1505283848241501E-4</v>
      </c>
      <c r="F49926" s="2">
        <v>1.57200027709835E-4</v>
      </c>
    </row>
    <row r="49927" spans="1:6" x14ac:dyDescent="0.25">
      <c r="A49927" s="1" t="str">
        <f t="shared" si="1584"/>
        <v>99999</v>
      </c>
      <c r="B49927" s="1" t="str">
        <f>"83123"</f>
        <v>83123</v>
      </c>
      <c r="C49927" s="2">
        <v>2.9013918669655499E-5</v>
      </c>
      <c r="D49927" s="2">
        <v>0</v>
      </c>
      <c r="E49927" s="2">
        <v>4.3010567696482999E-6</v>
      </c>
      <c r="F49927" s="2">
        <v>2.6545390743217599E-5</v>
      </c>
    </row>
    <row r="49928" spans="1:6" x14ac:dyDescent="0.25">
      <c r="A49928" s="1" t="str">
        <f t="shared" si="1584"/>
        <v>99999</v>
      </c>
      <c r="B49928" s="1" t="str">
        <f>"80735"</f>
        <v>80735</v>
      </c>
      <c r="C49928" s="2">
        <v>1.86208731760475E-5</v>
      </c>
      <c r="D49928" s="2">
        <v>2.7102760114975901E-5</v>
      </c>
      <c r="E49928" s="2">
        <v>5.5913738005427899E-5</v>
      </c>
      <c r="F49928" s="2">
        <v>2.0032395244881699E-5</v>
      </c>
    </row>
    <row r="49929" spans="1:6" x14ac:dyDescent="0.25">
      <c r="A49929" s="1" t="str">
        <f t="shared" si="1584"/>
        <v>99999</v>
      </c>
      <c r="B49929" s="1" t="str">
        <f>"80461"</f>
        <v>80461</v>
      </c>
      <c r="C49929" s="2">
        <v>4.0976747076360497E-4</v>
      </c>
      <c r="D49929" s="2">
        <v>4.11058528410468E-4</v>
      </c>
      <c r="E49929" s="2">
        <v>9.0752297839579105E-4</v>
      </c>
      <c r="F49929" s="2">
        <v>4.2127239064236398E-4</v>
      </c>
    </row>
    <row r="49930" spans="1:6" x14ac:dyDescent="0.25">
      <c r="A49930" s="1" t="str">
        <f t="shared" si="1584"/>
        <v>99999</v>
      </c>
      <c r="B49930" s="1" t="str">
        <f>"80480"</f>
        <v>80480</v>
      </c>
      <c r="C49930" s="2">
        <v>5.0990879453013999E-5</v>
      </c>
      <c r="D49930" s="2">
        <v>1.20456711622115E-5</v>
      </c>
      <c r="E49930" s="2">
        <v>9.4623248932262599E-5</v>
      </c>
      <c r="F49930" s="2">
        <v>4.94395567373681E-5</v>
      </c>
    </row>
    <row r="49931" spans="1:6" x14ac:dyDescent="0.25">
      <c r="A49931" s="1" t="str">
        <f t="shared" si="1584"/>
        <v>99999</v>
      </c>
      <c r="B49931" s="1" t="str">
        <f>"84701"</f>
        <v>84701</v>
      </c>
      <c r="C49931" s="2">
        <v>3.9320355450816699E-4</v>
      </c>
      <c r="D49931" s="2">
        <v>1.0630304800651599E-3</v>
      </c>
      <c r="E49931" s="2">
        <v>1.0107483408673501E-3</v>
      </c>
      <c r="F49931" s="2">
        <v>4.5127164263470001E-4</v>
      </c>
    </row>
    <row r="49932" spans="1:6" x14ac:dyDescent="0.25">
      <c r="A49932" s="1" t="str">
        <f t="shared" si="1584"/>
        <v>99999</v>
      </c>
      <c r="B49932" s="1" t="str">
        <f>"84711"</f>
        <v>84711</v>
      </c>
      <c r="C49932" s="2">
        <v>4.0922616631081298E-5</v>
      </c>
      <c r="D49932" s="2">
        <v>0</v>
      </c>
      <c r="E49932" s="2">
        <v>4.3010567696482999E-6</v>
      </c>
      <c r="F49932" s="2">
        <v>3.7400383240444202E-5</v>
      </c>
    </row>
    <row r="49933" spans="1:6" x14ac:dyDescent="0.25">
      <c r="A49933" s="1" t="str">
        <f t="shared" si="1584"/>
        <v>99999</v>
      </c>
      <c r="B49933" s="1" t="str">
        <f>"84762"</f>
        <v>84762</v>
      </c>
      <c r="C49933" s="2">
        <v>4.4278704238392203E-5</v>
      </c>
      <c r="D49933" s="2">
        <v>6.0228355811057601E-6</v>
      </c>
      <c r="E49933" s="2">
        <v>4.3010567696482999E-6</v>
      </c>
      <c r="F49933" s="2">
        <v>4.0854244489561699E-5</v>
      </c>
    </row>
    <row r="49934" spans="1:6" x14ac:dyDescent="0.25">
      <c r="A49934" s="1" t="str">
        <f t="shared" si="1584"/>
        <v>99999</v>
      </c>
      <c r="B49934" s="1" t="str">
        <f>"84744"</f>
        <v>84744</v>
      </c>
      <c r="C49934" s="2">
        <v>3.1612180043057497E-5</v>
      </c>
      <c r="D49934" s="2">
        <v>1.50570889527644E-6</v>
      </c>
      <c r="E49934" s="2">
        <v>4.3010567696482999E-6</v>
      </c>
      <c r="F49934" s="2">
        <v>2.9012434492587301E-5</v>
      </c>
    </row>
    <row r="49935" spans="1:6" x14ac:dyDescent="0.25">
      <c r="A49935" s="1" t="str">
        <f t="shared" si="1584"/>
        <v>99999</v>
      </c>
      <c r="B49935" s="1" t="str">
        <f>"84631"</f>
        <v>84631</v>
      </c>
      <c r="C49935" s="2">
        <v>1.23092632564919E-4</v>
      </c>
      <c r="D49935" s="2">
        <v>2.13810663129254E-4</v>
      </c>
      <c r="E49935" s="2">
        <v>2.79568690027139E-4</v>
      </c>
      <c r="F49935" s="2">
        <v>1.3262827196611299E-4</v>
      </c>
    </row>
    <row r="49936" spans="1:6" x14ac:dyDescent="0.25">
      <c r="A49936" s="1" t="str">
        <f t="shared" si="1584"/>
        <v>99999</v>
      </c>
      <c r="B49936" s="1" t="str">
        <f>"84635"</f>
        <v>84635</v>
      </c>
      <c r="C49936" s="2">
        <v>1.5806090021528701E-5</v>
      </c>
      <c r="D49936" s="2">
        <v>3.01141779055288E-6</v>
      </c>
      <c r="E49936" s="2">
        <v>2.15052838482415E-5</v>
      </c>
      <c r="F49936" s="2">
        <v>1.5098307746142301E-5</v>
      </c>
    </row>
    <row r="49937" spans="1:6" x14ac:dyDescent="0.25">
      <c r="A49937" s="1" t="str">
        <f t="shared" si="1584"/>
        <v>99999</v>
      </c>
      <c r="B49937" s="1" t="str">
        <f>"84652"</f>
        <v>84652</v>
      </c>
      <c r="C49937" s="2">
        <v>4.3196095332807998E-5</v>
      </c>
      <c r="D49937" s="2">
        <v>1.50570889527644E-6</v>
      </c>
      <c r="E49937" s="2">
        <v>4.3010567696482999E-6</v>
      </c>
      <c r="F49937" s="2">
        <v>3.95713817398895E-5</v>
      </c>
    </row>
    <row r="49938" spans="1:6" x14ac:dyDescent="0.25">
      <c r="A49938" s="1" t="str">
        <f t="shared" si="1584"/>
        <v>99999</v>
      </c>
      <c r="B49938" s="1" t="str">
        <f>"87028"</f>
        <v>87028</v>
      </c>
      <c r="C49938" s="2">
        <v>6.0626098712712997E-6</v>
      </c>
      <c r="D49938" s="2">
        <v>3.01141779055288E-6</v>
      </c>
      <c r="E49938" s="2">
        <v>4.3010567696482999E-6</v>
      </c>
      <c r="F49938" s="2">
        <v>5.8222232485124198E-6</v>
      </c>
    </row>
    <row r="49939" spans="1:6" x14ac:dyDescent="0.25">
      <c r="A49939" s="1" t="str">
        <f t="shared" si="1584"/>
        <v>99999</v>
      </c>
      <c r="B49939" s="1" t="str">
        <f>"88119"</f>
        <v>88119</v>
      </c>
      <c r="C49939" s="2">
        <v>7.3617405579722906E-5</v>
      </c>
      <c r="D49939" s="2">
        <v>3.01141779055288E-5</v>
      </c>
      <c r="E49939" s="2">
        <v>4.3010567696482999E-5</v>
      </c>
      <c r="F49939" s="2">
        <v>7.0064042482098594E-5</v>
      </c>
    </row>
    <row r="49940" spans="1:6" x14ac:dyDescent="0.25">
      <c r="A49940" s="1" t="str">
        <f t="shared" si="1584"/>
        <v>99999</v>
      </c>
      <c r="B49940" s="1" t="str">
        <f>"87829"</f>
        <v>87829</v>
      </c>
      <c r="C49940" s="2">
        <v>5.7053489324285298E-5</v>
      </c>
      <c r="D49940" s="2">
        <v>9.0342533716586405E-6</v>
      </c>
      <c r="E49940" s="2">
        <v>8.6021135392965999E-6</v>
      </c>
      <c r="F49940" s="2">
        <v>5.2794736236510901E-5</v>
      </c>
    </row>
    <row r="49941" spans="1:6" x14ac:dyDescent="0.25">
      <c r="A49941" s="1" t="str">
        <f t="shared" si="1584"/>
        <v>99999</v>
      </c>
      <c r="B49941" s="1" t="str">
        <f>"87901"</f>
        <v>87901</v>
      </c>
      <c r="C49941" s="2">
        <v>4.7959574517378301E-4</v>
      </c>
      <c r="D49941" s="2">
        <v>6.8509754735078001E-4</v>
      </c>
      <c r="E49941" s="2">
        <v>1.02795256794594E-3</v>
      </c>
      <c r="F49941" s="2">
        <v>5.0564528687080704E-4</v>
      </c>
    </row>
    <row r="49942" spans="1:6" x14ac:dyDescent="0.25">
      <c r="A49942" s="1" t="str">
        <f t="shared" si="1584"/>
        <v>99999</v>
      </c>
      <c r="B49942" s="1" t="str">
        <f>"87729"</f>
        <v>87729</v>
      </c>
      <c r="C49942" s="2">
        <v>9.7434801502574508E-6</v>
      </c>
      <c r="D49942" s="2">
        <v>3.01141779055288E-6</v>
      </c>
      <c r="E49942" s="2">
        <v>4.3010567696482999E-6</v>
      </c>
      <c r="F49942" s="2">
        <v>9.1774027476551693E-6</v>
      </c>
    </row>
    <row r="49943" spans="1:6" x14ac:dyDescent="0.25">
      <c r="A49943" s="1" t="str">
        <f t="shared" si="1584"/>
        <v>99999</v>
      </c>
      <c r="B49943" s="1" t="str">
        <f>"87714"</f>
        <v>87714</v>
      </c>
      <c r="C49943" s="2">
        <v>3.4968267650368402E-5</v>
      </c>
      <c r="D49943" s="2">
        <v>4.6676975753569603E-5</v>
      </c>
      <c r="E49943" s="2">
        <v>1.29031703089449E-5</v>
      </c>
      <c r="F49943" s="2">
        <v>3.5229384740998803E-5</v>
      </c>
    </row>
    <row r="49944" spans="1:6" x14ac:dyDescent="0.25">
      <c r="A49944" s="1" t="str">
        <f t="shared" si="1584"/>
        <v>99999</v>
      </c>
      <c r="B49944" s="1" t="str">
        <f>"96120"</f>
        <v>96120</v>
      </c>
      <c r="C49944" s="2">
        <v>4.4928269581742699E-5</v>
      </c>
      <c r="D49944" s="2">
        <v>6.0228355811057599E-5</v>
      </c>
      <c r="E49944" s="2">
        <v>4.3010567696482999E-5</v>
      </c>
      <c r="F49944" s="2">
        <v>4.5887013738275799E-5</v>
      </c>
    </row>
    <row r="49945" spans="1:6" x14ac:dyDescent="0.25">
      <c r="A49945" s="1" t="str">
        <f t="shared" si="1584"/>
        <v>99999</v>
      </c>
      <c r="B49945" s="1" t="str">
        <f>"68329"</f>
        <v>68329</v>
      </c>
      <c r="C49945" s="2">
        <v>3.3669136963667403E-5</v>
      </c>
      <c r="D49945" s="2">
        <v>4.0654140172463799E-5</v>
      </c>
      <c r="E49945" s="2">
        <v>1.29031703089449E-5</v>
      </c>
      <c r="F49945" s="2">
        <v>3.3650476741402301E-5</v>
      </c>
    </row>
    <row r="49946" spans="1:6" x14ac:dyDescent="0.25">
      <c r="A49946" s="1" t="str">
        <f t="shared" si="1584"/>
        <v>99999</v>
      </c>
      <c r="B49946" s="1" t="str">
        <f>"68453"</f>
        <v>68453</v>
      </c>
      <c r="C49946" s="2">
        <v>1.87291340666059E-5</v>
      </c>
      <c r="D49946" s="2">
        <v>3.01141779055288E-6</v>
      </c>
      <c r="E49946" s="2">
        <v>0</v>
      </c>
      <c r="F49946" s="2">
        <v>1.7269306245587602E-5</v>
      </c>
    </row>
    <row r="49947" spans="1:6" x14ac:dyDescent="0.25">
      <c r="A49947" s="1" t="str">
        <f t="shared" si="1584"/>
        <v>99999</v>
      </c>
      <c r="B49947" s="1" t="str">
        <f>"68401"</f>
        <v>68401</v>
      </c>
      <c r="C49947" s="2">
        <v>3.5293050322043599E-5</v>
      </c>
      <c r="D49947" s="2">
        <v>1.20456711622115E-5</v>
      </c>
      <c r="E49947" s="2">
        <v>3.01073973875381E-5</v>
      </c>
      <c r="F49947" s="2">
        <v>3.3650476741402301E-5</v>
      </c>
    </row>
    <row r="49948" spans="1:6" x14ac:dyDescent="0.25">
      <c r="A49948" s="1" t="str">
        <f t="shared" si="1584"/>
        <v>99999</v>
      </c>
      <c r="B49948" s="1" t="str">
        <f>"72110"</f>
        <v>72110</v>
      </c>
      <c r="C49948" s="2">
        <v>6.5292143095780698E-4</v>
      </c>
      <c r="D49948" s="2">
        <v>1.15789014046758E-3</v>
      </c>
      <c r="E49948" s="2">
        <v>4.51610960813071E-4</v>
      </c>
      <c r="F49948" s="2">
        <v>6.8139748357590201E-4</v>
      </c>
    </row>
    <row r="49949" spans="1:6" x14ac:dyDescent="0.25">
      <c r="A49949" s="1" t="str">
        <f t="shared" si="1584"/>
        <v>99999</v>
      </c>
      <c r="B49949" s="1" t="str">
        <f>"72044"</f>
        <v>72044</v>
      </c>
      <c r="C49949" s="2">
        <v>7.18852313307883E-5</v>
      </c>
      <c r="D49949" s="2">
        <v>1.50570889527644E-5</v>
      </c>
      <c r="E49949" s="2">
        <v>4.3010567696482999E-6</v>
      </c>
      <c r="F49949" s="2">
        <v>6.6610181232981002E-5</v>
      </c>
    </row>
    <row r="49950" spans="1:6" x14ac:dyDescent="0.25">
      <c r="A49950" s="1" t="str">
        <f t="shared" si="1584"/>
        <v>99999</v>
      </c>
      <c r="B49950" s="1" t="str">
        <f>"72073"</f>
        <v>72073</v>
      </c>
      <c r="C49950" s="2">
        <v>3.6592181008744599E-5</v>
      </c>
      <c r="D49950" s="2">
        <v>2.4091342324423E-5</v>
      </c>
      <c r="E49950" s="2">
        <v>0</v>
      </c>
      <c r="F49950" s="2">
        <v>3.49333394910745E-5</v>
      </c>
    </row>
    <row r="49951" spans="1:6" x14ac:dyDescent="0.25">
      <c r="A49951" s="1" t="str">
        <f t="shared" si="1584"/>
        <v>99999</v>
      </c>
      <c r="B49951" s="1" t="str">
        <f>"71852"</f>
        <v>71852</v>
      </c>
      <c r="C49951" s="2">
        <v>4.9453574807084501E-4</v>
      </c>
      <c r="D49951" s="2">
        <v>7.5737157432404899E-4</v>
      </c>
      <c r="E49951" s="2">
        <v>3.0107397387538101E-4</v>
      </c>
      <c r="F49951" s="2">
        <v>5.0732287662037898E-4</v>
      </c>
    </row>
    <row r="49952" spans="1:6" x14ac:dyDescent="0.25">
      <c r="A49952" s="1" t="str">
        <f t="shared" si="1584"/>
        <v>99999</v>
      </c>
      <c r="B49952" s="1" t="str">
        <f>"71953"</f>
        <v>71953</v>
      </c>
      <c r="C49952" s="2">
        <v>8.8860538970347901E-4</v>
      </c>
      <c r="D49952" s="2">
        <v>1.2346812941266801E-3</v>
      </c>
      <c r="E49952" s="2">
        <v>2.1935389525206301E-4</v>
      </c>
      <c r="F49952" s="2">
        <v>8.9593160802108897E-4</v>
      </c>
    </row>
    <row r="49953" spans="1:6" x14ac:dyDescent="0.25">
      <c r="A49953" s="1" t="str">
        <f t="shared" si="1584"/>
        <v>99999</v>
      </c>
      <c r="B49953" s="1" t="str">
        <f>"71935"</f>
        <v>71935</v>
      </c>
      <c r="C49953" s="2">
        <v>4.2979573551691197E-5</v>
      </c>
      <c r="D49953" s="2">
        <v>1.0539962266935E-5</v>
      </c>
      <c r="E49953" s="2">
        <v>8.6021135392965999E-6</v>
      </c>
      <c r="F49953" s="2">
        <v>4.0064790489763397E-5</v>
      </c>
    </row>
    <row r="49954" spans="1:6" x14ac:dyDescent="0.25">
      <c r="A49954" s="1" t="str">
        <f t="shared" si="1584"/>
        <v>99999</v>
      </c>
      <c r="B49954" s="1" t="str">
        <f>"72003"</f>
        <v>72003</v>
      </c>
      <c r="C49954" s="2">
        <v>3.5076528540926799E-5</v>
      </c>
      <c r="D49954" s="2">
        <v>9.0342533716586405E-6</v>
      </c>
      <c r="E49954" s="2">
        <v>4.3010567696482999E-6</v>
      </c>
      <c r="F49954" s="2">
        <v>3.2663659241654398E-5</v>
      </c>
    </row>
    <row r="49955" spans="1:6" x14ac:dyDescent="0.25">
      <c r="A49955" s="1" t="str">
        <f t="shared" si="1584"/>
        <v>99999</v>
      </c>
      <c r="B49955" s="1" t="str">
        <f>"73017"</f>
        <v>73017</v>
      </c>
      <c r="C49955" s="2">
        <v>1.7430003379904999E-5</v>
      </c>
      <c r="D49955" s="2">
        <v>4.5171266858293203E-6</v>
      </c>
      <c r="E49955" s="2">
        <v>4.3010567696482999E-6</v>
      </c>
      <c r="F49955" s="2">
        <v>1.6282488745839801E-5</v>
      </c>
    </row>
    <row r="49956" spans="1:6" x14ac:dyDescent="0.25">
      <c r="A49956" s="1" t="str">
        <f t="shared" si="1584"/>
        <v>99999</v>
      </c>
      <c r="B49956" s="1" t="str">
        <f>"72686"</f>
        <v>72686</v>
      </c>
      <c r="C49956" s="2">
        <v>2.0353047424982201E-5</v>
      </c>
      <c r="D49956" s="2">
        <v>1.50570889527644E-6</v>
      </c>
      <c r="E49956" s="2">
        <v>4.3010567696482999E-6</v>
      </c>
      <c r="F49956" s="2">
        <v>1.8749532495209401E-5</v>
      </c>
    </row>
    <row r="49957" spans="1:6" x14ac:dyDescent="0.25">
      <c r="A49957" s="1" t="str">
        <f t="shared" si="1584"/>
        <v>99999</v>
      </c>
      <c r="B49957" s="1" t="str">
        <f>"72546"</f>
        <v>72546</v>
      </c>
      <c r="C49957" s="2">
        <v>1.07178281652832E-5</v>
      </c>
      <c r="D49957" s="2">
        <v>3.01141779055288E-6</v>
      </c>
      <c r="E49957" s="2">
        <v>4.3010567696482999E-6</v>
      </c>
      <c r="F49957" s="2">
        <v>1.00655384974282E-5</v>
      </c>
    </row>
    <row r="49958" spans="1:6" x14ac:dyDescent="0.25">
      <c r="A49958" s="1" t="str">
        <f t="shared" si="1584"/>
        <v>99999</v>
      </c>
      <c r="B49958" s="1" t="str">
        <f>"72542"</f>
        <v>72542</v>
      </c>
      <c r="C49958" s="2">
        <v>3.1612180043057497E-5</v>
      </c>
      <c r="D49958" s="2">
        <v>1.0539962266935E-5</v>
      </c>
      <c r="E49958" s="2">
        <v>0</v>
      </c>
      <c r="F49958" s="2">
        <v>2.9505843242461201E-5</v>
      </c>
    </row>
    <row r="49959" spans="1:6" x14ac:dyDescent="0.25">
      <c r="A49959" s="1" t="str">
        <f t="shared" si="1584"/>
        <v>99999</v>
      </c>
      <c r="B49959" s="1" t="str">
        <f>"72534"</f>
        <v>72534</v>
      </c>
      <c r="C49959" s="2">
        <v>6.0626098712712997E-6</v>
      </c>
      <c r="D49959" s="2">
        <v>0</v>
      </c>
      <c r="E49959" s="2">
        <v>0</v>
      </c>
      <c r="F49959" s="2">
        <v>5.52617799858806E-6</v>
      </c>
    </row>
    <row r="49960" spans="1:6" x14ac:dyDescent="0.25">
      <c r="A49960" s="1" t="str">
        <f t="shared" si="1584"/>
        <v>99999</v>
      </c>
      <c r="B49960" s="1" t="str">
        <f>"72840"</f>
        <v>72840</v>
      </c>
      <c r="C49960" s="2">
        <v>1.12483065290194E-4</v>
      </c>
      <c r="D49960" s="2">
        <v>3.6137013486634501E-5</v>
      </c>
      <c r="E49960" s="2">
        <v>8.6021135392965999E-6</v>
      </c>
      <c r="F49960" s="2">
        <v>1.05096063723147E-4</v>
      </c>
    </row>
    <row r="49961" spans="1:6" x14ac:dyDescent="0.25">
      <c r="A49961" s="1" t="str">
        <f t="shared" si="1584"/>
        <v>99999</v>
      </c>
      <c r="B49961" s="1" t="str">
        <f>"72863"</f>
        <v>72863</v>
      </c>
      <c r="C49961" s="2">
        <v>8.6283929775057605E-5</v>
      </c>
      <c r="D49961" s="2">
        <v>2.4091342324423E-5</v>
      </c>
      <c r="E49961" s="2">
        <v>1.72042270785932E-5</v>
      </c>
      <c r="F49961" s="2">
        <v>8.06229897294008E-5</v>
      </c>
    </row>
    <row r="49962" spans="1:6" x14ac:dyDescent="0.25">
      <c r="A49962" s="1" t="str">
        <f t="shared" si="1584"/>
        <v>99999</v>
      </c>
      <c r="B49962" s="1" t="str">
        <f>"72373"</f>
        <v>72373</v>
      </c>
      <c r="C49962" s="2">
        <v>2.74982662018377E-5</v>
      </c>
      <c r="D49962" s="2">
        <v>4.5171266858293199E-5</v>
      </c>
      <c r="E49962" s="2">
        <v>4.3010567696482999E-6</v>
      </c>
      <c r="F49962" s="2">
        <v>2.8124298742814199E-5</v>
      </c>
    </row>
    <row r="49963" spans="1:6" x14ac:dyDescent="0.25">
      <c r="A49963" s="1" t="str">
        <f t="shared" si="1584"/>
        <v>99999</v>
      </c>
      <c r="B49963" s="1" t="str">
        <f>"72415"</f>
        <v>72415</v>
      </c>
      <c r="C49963" s="2">
        <v>7.1127405096879407E-5</v>
      </c>
      <c r="D49963" s="2">
        <v>2.4091342324423E-5</v>
      </c>
      <c r="E49963" s="2">
        <v>1.29031703089449E-5</v>
      </c>
      <c r="F49963" s="2">
        <v>6.6708862982955806E-5</v>
      </c>
    </row>
    <row r="49964" spans="1:6" x14ac:dyDescent="0.25">
      <c r="A49964" s="1" t="str">
        <f t="shared" si="1584"/>
        <v>99999</v>
      </c>
      <c r="B49964" s="1" t="str">
        <f>"71639"</f>
        <v>71639</v>
      </c>
      <c r="C49964" s="2">
        <v>3.0919310343483598E-4</v>
      </c>
      <c r="D49964" s="2">
        <v>5.3753807561368898E-4</v>
      </c>
      <c r="E49964" s="2">
        <v>2.5806340617889802E-4</v>
      </c>
      <c r="F49964" s="2">
        <v>3.22985367667477E-4</v>
      </c>
    </row>
    <row r="49965" spans="1:6" x14ac:dyDescent="0.25">
      <c r="A49965" s="1" t="str">
        <f t="shared" si="1584"/>
        <v>99999</v>
      </c>
      <c r="B49965" s="1" t="str">
        <f>"71378"</f>
        <v>71378</v>
      </c>
      <c r="C49965" s="2">
        <v>7.8272623873734803E-5</v>
      </c>
      <c r="D49965" s="2">
        <v>3.6137013486634501E-5</v>
      </c>
      <c r="E49965" s="2">
        <v>3.01073973875381E-5</v>
      </c>
      <c r="F49965" s="2">
        <v>7.4406039480989203E-5</v>
      </c>
    </row>
    <row r="49966" spans="1:6" x14ac:dyDescent="0.25">
      <c r="A49966" s="1" t="str">
        <f t="shared" si="1584"/>
        <v>99999</v>
      </c>
      <c r="B49966" s="1" t="str">
        <f>"71671"</f>
        <v>71671</v>
      </c>
      <c r="C49966" s="2">
        <v>4.5372139233032201E-4</v>
      </c>
      <c r="D49966" s="2">
        <v>6.7305187618856802E-4</v>
      </c>
      <c r="E49966" s="2">
        <v>1.63440157246635E-4</v>
      </c>
      <c r="F49966" s="2">
        <v>4.6143586288210301E-4</v>
      </c>
    </row>
    <row r="49967" spans="1:6" x14ac:dyDescent="0.25">
      <c r="A49967" s="1" t="str">
        <f t="shared" si="1584"/>
        <v>99999</v>
      </c>
      <c r="B49967" s="1" t="str">
        <f>"71457"</f>
        <v>71457</v>
      </c>
      <c r="C49967" s="2">
        <v>2.2626526126708901E-5</v>
      </c>
      <c r="D49967" s="2">
        <v>4.5171266858293203E-6</v>
      </c>
      <c r="E49967" s="2">
        <v>0</v>
      </c>
      <c r="F49967" s="2">
        <v>2.0920530994654801E-5</v>
      </c>
    </row>
    <row r="49968" spans="1:6" x14ac:dyDescent="0.25">
      <c r="A49968" s="1" t="str">
        <f t="shared" si="1584"/>
        <v>99999</v>
      </c>
      <c r="B49968" s="1" t="str">
        <f>"71406"</f>
        <v>71406</v>
      </c>
      <c r="C49968" s="2">
        <v>1.41821766631525E-5</v>
      </c>
      <c r="D49968" s="2">
        <v>9.0342533716586405E-6</v>
      </c>
      <c r="E49968" s="2">
        <v>4.3010567696482999E-6</v>
      </c>
      <c r="F49968" s="2">
        <v>1.3618081496520501E-5</v>
      </c>
    </row>
    <row r="49969" spans="1:6" x14ac:dyDescent="0.25">
      <c r="A49969" s="1" t="str">
        <f t="shared" si="1584"/>
        <v>99999</v>
      </c>
      <c r="B49969" s="1" t="str">
        <f>"71415"</f>
        <v>71415</v>
      </c>
      <c r="C49969" s="2">
        <v>4.3304356223366401E-7</v>
      </c>
      <c r="D49969" s="2">
        <v>0</v>
      </c>
      <c r="E49969" s="2">
        <v>4.3010567696482999E-6</v>
      </c>
      <c r="F49969" s="2">
        <v>4.9340874987393396E-7</v>
      </c>
    </row>
    <row r="49970" spans="1:6" x14ac:dyDescent="0.25">
      <c r="A49970" s="1" t="str">
        <f t="shared" si="1584"/>
        <v>99999</v>
      </c>
      <c r="B49970" s="1" t="str">
        <f>"71342"</f>
        <v>71342</v>
      </c>
      <c r="C49970" s="2">
        <v>2.9944962328457898E-4</v>
      </c>
      <c r="D49970" s="2">
        <v>2.0628211865287199E-4</v>
      </c>
      <c r="E49970" s="2">
        <v>1.67741214016283E-4</v>
      </c>
      <c r="F49970" s="2">
        <v>2.9032170842582198E-4</v>
      </c>
    </row>
    <row r="49971" spans="1:6" x14ac:dyDescent="0.25">
      <c r="A49971" s="1" t="str">
        <f t="shared" si="1584"/>
        <v>99999</v>
      </c>
      <c r="B49971" s="1" t="str">
        <f>"71343"</f>
        <v>71343</v>
      </c>
      <c r="C49971" s="2">
        <v>3.6797876700805601E-4</v>
      </c>
      <c r="D49971" s="2">
        <v>4.3665557963016698E-4</v>
      </c>
      <c r="E49971" s="2">
        <v>1.11827476010855E-4</v>
      </c>
      <c r="F49971" s="2">
        <v>3.6660270115633302E-4</v>
      </c>
    </row>
    <row r="49972" spans="1:6" x14ac:dyDescent="0.25">
      <c r="A49972" s="1" t="str">
        <f t="shared" si="1584"/>
        <v>99999</v>
      </c>
      <c r="B49972" s="1" t="str">
        <f>"71237"</f>
        <v>71237</v>
      </c>
      <c r="C49972" s="2">
        <v>3.5726093884277302E-5</v>
      </c>
      <c r="D49972" s="2">
        <v>1.0539962266935E-5</v>
      </c>
      <c r="E49972" s="2">
        <v>4.3010567696482999E-6</v>
      </c>
      <c r="F49972" s="2">
        <v>3.3354431491477903E-5</v>
      </c>
    </row>
    <row r="49973" spans="1:6" x14ac:dyDescent="0.25">
      <c r="A49973" s="1" t="str">
        <f t="shared" si="1584"/>
        <v>99999</v>
      </c>
      <c r="B49973" s="1" t="str">
        <f>"74016"</f>
        <v>74016</v>
      </c>
      <c r="C49973" s="2">
        <v>3.0962614699707001E-5</v>
      </c>
      <c r="D49973" s="2">
        <v>7.5285444763821999E-6</v>
      </c>
      <c r="E49973" s="2">
        <v>0</v>
      </c>
      <c r="F49973" s="2">
        <v>2.87163892426629E-5</v>
      </c>
    </row>
    <row r="49974" spans="1:6" x14ac:dyDescent="0.25">
      <c r="A49974" s="1" t="str">
        <f t="shared" si="1584"/>
        <v>99999</v>
      </c>
      <c r="B49974" s="1" t="str">
        <f>"73673"</f>
        <v>73673</v>
      </c>
      <c r="C49974" s="2">
        <v>1.75382642704634E-5</v>
      </c>
      <c r="D49974" s="2">
        <v>7.5285444763821999E-6</v>
      </c>
      <c r="E49974" s="2">
        <v>4.3010567696482999E-6</v>
      </c>
      <c r="F49974" s="2">
        <v>1.65785339957641E-5</v>
      </c>
    </row>
    <row r="49975" spans="1:6" x14ac:dyDescent="0.25">
      <c r="A49975" s="1" t="str">
        <f t="shared" si="1584"/>
        <v>99999</v>
      </c>
      <c r="B49975" s="1" t="str">
        <f>"73667"</f>
        <v>73667</v>
      </c>
      <c r="C49975" s="2">
        <v>3.30195716203169E-5</v>
      </c>
      <c r="D49975" s="2">
        <v>1.50570889527644E-5</v>
      </c>
      <c r="E49975" s="2">
        <v>4.3010567696482999E-6</v>
      </c>
      <c r="F49975" s="2">
        <v>3.1183432992032599E-5</v>
      </c>
    </row>
    <row r="49976" spans="1:6" x14ac:dyDescent="0.25">
      <c r="A49976" s="1" t="str">
        <f t="shared" si="1584"/>
        <v>99999</v>
      </c>
      <c r="B49976" s="1" t="str">
        <f>"73647"</f>
        <v>73647</v>
      </c>
      <c r="C49976" s="2">
        <v>9.4944801019730896E-5</v>
      </c>
      <c r="D49976" s="2">
        <v>5.1194102439398901E-5</v>
      </c>
      <c r="E49976" s="2">
        <v>3.8709510926834699E-5</v>
      </c>
      <c r="F49976" s="2">
        <v>9.0787209976803804E-5</v>
      </c>
    </row>
    <row r="49977" spans="1:6" x14ac:dyDescent="0.25">
      <c r="A49977" s="1" t="str">
        <f t="shared" si="1584"/>
        <v>99999</v>
      </c>
      <c r="B49977" s="1" t="str">
        <f>"73851"</f>
        <v>73851</v>
      </c>
      <c r="C49977" s="2">
        <v>9.96000193137428E-6</v>
      </c>
      <c r="D49977" s="2">
        <v>3.01141779055288E-6</v>
      </c>
      <c r="E49977" s="2">
        <v>4.3010567696482999E-6</v>
      </c>
      <c r="F49977" s="2">
        <v>9.3747662476047397E-6</v>
      </c>
    </row>
    <row r="49978" spans="1:6" x14ac:dyDescent="0.25">
      <c r="A49978" s="1" t="str">
        <f t="shared" si="1584"/>
        <v>99999</v>
      </c>
      <c r="B49978" s="1" t="str">
        <f>"73761"</f>
        <v>73761</v>
      </c>
      <c r="C49978" s="2">
        <v>2.7065222639604001E-5</v>
      </c>
      <c r="D49978" s="2">
        <v>2.8608469010252301E-5</v>
      </c>
      <c r="E49978" s="2">
        <v>4.3010567696482999E-6</v>
      </c>
      <c r="F49978" s="2">
        <v>2.6644072493192399E-5</v>
      </c>
    </row>
    <row r="49979" spans="1:6" x14ac:dyDescent="0.25">
      <c r="A49979" s="1" t="str">
        <f t="shared" si="1584"/>
        <v>99999</v>
      </c>
      <c r="B49979" s="1" t="str">
        <f>"73729"</f>
        <v>73729</v>
      </c>
      <c r="C49979" s="2">
        <v>3.6592181008744599E-5</v>
      </c>
      <c r="D49979" s="2">
        <v>2.4091342324423E-5</v>
      </c>
      <c r="E49979" s="2">
        <v>0</v>
      </c>
      <c r="F49979" s="2">
        <v>3.49333394910745E-5</v>
      </c>
    </row>
    <row r="49980" spans="1:6" x14ac:dyDescent="0.25">
      <c r="A49980" s="1" t="str">
        <f t="shared" si="1584"/>
        <v>99999</v>
      </c>
      <c r="B49980" s="1" t="str">
        <f>"74956"</f>
        <v>74956</v>
      </c>
      <c r="C49980" s="2">
        <v>8.6067407993940798E-5</v>
      </c>
      <c r="D49980" s="2">
        <v>3.9148431277187403E-5</v>
      </c>
      <c r="E49980" s="2">
        <v>1.29031703089449E-5</v>
      </c>
      <c r="F49980" s="2">
        <v>8.1313761979224305E-5</v>
      </c>
    </row>
    <row r="49981" spans="1:6" x14ac:dyDescent="0.25">
      <c r="A49981" s="1" t="str">
        <f t="shared" si="1584"/>
        <v>99999</v>
      </c>
      <c r="B49981" s="1" t="str">
        <f>"74347"</f>
        <v>74347</v>
      </c>
      <c r="C49981" s="2">
        <v>1.6607220611660999E-4</v>
      </c>
      <c r="D49981" s="2">
        <v>7.3779735868545501E-5</v>
      </c>
      <c r="E49981" s="2">
        <v>3.01073973875381E-5</v>
      </c>
      <c r="F49981" s="2">
        <v>1.5690398245991099E-4</v>
      </c>
    </row>
    <row r="49982" spans="1:6" x14ac:dyDescent="0.25">
      <c r="A49982" s="1" t="str">
        <f t="shared" si="1584"/>
        <v>99999</v>
      </c>
      <c r="B49982" s="1" t="str">
        <f>"74367"</f>
        <v>74367</v>
      </c>
      <c r="C49982" s="2">
        <v>5.1099140343572402E-5</v>
      </c>
      <c r="D49982" s="2">
        <v>3.01141779055288E-6</v>
      </c>
      <c r="E49982" s="2">
        <v>2.15052838482415E-5</v>
      </c>
      <c r="F49982" s="2">
        <v>4.7268558237922802E-5</v>
      </c>
    </row>
    <row r="49983" spans="1:6" x14ac:dyDescent="0.25">
      <c r="A49983" s="1" t="str">
        <f t="shared" si="1584"/>
        <v>99999</v>
      </c>
      <c r="B49983" s="1" t="str">
        <f>"74525"</f>
        <v>74525</v>
      </c>
      <c r="C49983" s="2">
        <v>8.6034929726773305E-4</v>
      </c>
      <c r="D49983" s="2">
        <v>1.21360136959281E-3</v>
      </c>
      <c r="E49983" s="2">
        <v>1.28601597412484E-3</v>
      </c>
      <c r="F49983" s="2">
        <v>8.9326720077176998E-4</v>
      </c>
    </row>
    <row r="49984" spans="1:6" x14ac:dyDescent="0.25">
      <c r="A49984" s="1" t="str">
        <f t="shared" si="1584"/>
        <v>99999</v>
      </c>
      <c r="B49984" s="1" t="str">
        <f>"74563"</f>
        <v>74563</v>
      </c>
      <c r="C49984" s="2">
        <v>7.2859579345814E-5</v>
      </c>
      <c r="D49984" s="2">
        <v>3.1619886800805203E-5</v>
      </c>
      <c r="E49984" s="2">
        <v>4.3010567696482999E-6</v>
      </c>
      <c r="F49984" s="2">
        <v>6.8583816232476794E-5</v>
      </c>
    </row>
    <row r="49985" spans="1:6" x14ac:dyDescent="0.25">
      <c r="A49985" s="1" t="str">
        <f t="shared" si="1584"/>
        <v>99999</v>
      </c>
      <c r="B49985" s="1" t="str">
        <f>"74764"</f>
        <v>74764</v>
      </c>
      <c r="C49985" s="2">
        <v>1.65639162554376E-4</v>
      </c>
      <c r="D49985" s="2">
        <v>1.2045671162211499E-4</v>
      </c>
      <c r="E49985" s="2">
        <v>4.7311624466131299E-5</v>
      </c>
      <c r="F49985" s="2">
        <v>1.5996311670912899E-4</v>
      </c>
    </row>
    <row r="49986" spans="1:6" x14ac:dyDescent="0.25">
      <c r="A49986" s="1" t="str">
        <f t="shared" si="1584"/>
        <v>99999</v>
      </c>
      <c r="B49986" s="1" t="str">
        <f>"74845"</f>
        <v>74845</v>
      </c>
      <c r="C49986" s="2">
        <v>2.4900004828435702E-5</v>
      </c>
      <c r="D49986" s="2">
        <v>1.20456711622115E-5</v>
      </c>
      <c r="E49986" s="2">
        <v>4.3010567696482999E-6</v>
      </c>
      <c r="F49986" s="2">
        <v>2.3584938243973999E-5</v>
      </c>
    </row>
    <row r="49987" spans="1:6" x14ac:dyDescent="0.25">
      <c r="A49987" s="1" t="str">
        <f t="shared" si="1584"/>
        <v>99999</v>
      </c>
      <c r="B49987" s="1" t="str">
        <f>"74759"</f>
        <v>74759</v>
      </c>
      <c r="C49987" s="2">
        <v>6.3440881867231802E-5</v>
      </c>
      <c r="D49987" s="2">
        <v>6.0228355811057601E-6</v>
      </c>
      <c r="E49987" s="2">
        <v>4.3010567696482999E-6</v>
      </c>
      <c r="F49987" s="2">
        <v>5.8320914235099E-5</v>
      </c>
    </row>
    <row r="49988" spans="1:6" x14ac:dyDescent="0.25">
      <c r="A49988" s="1" t="str">
        <f t="shared" si="1584"/>
        <v>99999</v>
      </c>
      <c r="B49988" s="1" t="str">
        <f>"74941"</f>
        <v>74941</v>
      </c>
      <c r="C49988" s="2">
        <v>9.3212626770796303E-5</v>
      </c>
      <c r="D49988" s="2">
        <v>2.25856334291466E-5</v>
      </c>
      <c r="E49988" s="2">
        <v>1.72042270785932E-4</v>
      </c>
      <c r="F49988" s="2">
        <v>9.0392482976904697E-5</v>
      </c>
    </row>
    <row r="49989" spans="1:6" x14ac:dyDescent="0.25">
      <c r="A49989" s="1" t="str">
        <f t="shared" si="1584"/>
        <v>99999</v>
      </c>
      <c r="B49989" s="1" t="str">
        <f>"74840"</f>
        <v>74840</v>
      </c>
      <c r="C49989" s="2">
        <v>4.38456606761585E-5</v>
      </c>
      <c r="D49989" s="2">
        <v>6.0228355811057601E-6</v>
      </c>
      <c r="E49989" s="2">
        <v>1.72042270785932E-5</v>
      </c>
      <c r="F49989" s="2">
        <v>4.0755562739586902E-5</v>
      </c>
    </row>
    <row r="49990" spans="1:6" x14ac:dyDescent="0.25">
      <c r="A49990" s="1" t="str">
        <f t="shared" ref="A49990:A50053" si="1585">"99999"</f>
        <v>99999</v>
      </c>
      <c r="B49990" s="1" t="str">
        <f>"74854"</f>
        <v>74854</v>
      </c>
      <c r="C49990" s="2">
        <v>3.7241746352095101E-5</v>
      </c>
      <c r="D49990" s="2">
        <v>7.5285444763821999E-6</v>
      </c>
      <c r="E49990" s="2">
        <v>0</v>
      </c>
      <c r="F49990" s="2">
        <v>3.4439930741200501E-5</v>
      </c>
    </row>
    <row r="49991" spans="1:6" x14ac:dyDescent="0.25">
      <c r="A49991" s="1" t="str">
        <f t="shared" si="1585"/>
        <v>99999</v>
      </c>
      <c r="B49991" s="1" t="str">
        <f>"73460"</f>
        <v>73460</v>
      </c>
      <c r="C49991" s="2">
        <v>2.6177483337025002E-4</v>
      </c>
      <c r="D49991" s="2">
        <v>4.7128688422152501E-4</v>
      </c>
      <c r="E49991" s="2">
        <v>1.72042270785932E-4</v>
      </c>
      <c r="F49991" s="2">
        <v>2.73447129180134E-4</v>
      </c>
    </row>
    <row r="49992" spans="1:6" x14ac:dyDescent="0.25">
      <c r="A49992" s="1" t="str">
        <f t="shared" si="1585"/>
        <v>99999</v>
      </c>
      <c r="B49992" s="1" t="str">
        <f>"75140"</f>
        <v>75140</v>
      </c>
      <c r="C49992" s="2">
        <v>3.5065702451870899E-4</v>
      </c>
      <c r="D49992" s="2">
        <v>3.5986442597106901E-4</v>
      </c>
      <c r="E49992" s="2">
        <v>1.19999483873187E-3</v>
      </c>
      <c r="F49992" s="2">
        <v>3.7074733465527403E-4</v>
      </c>
    </row>
    <row r="49993" spans="1:6" x14ac:dyDescent="0.25">
      <c r="A49993" s="1" t="str">
        <f t="shared" si="1585"/>
        <v>99999</v>
      </c>
      <c r="B49993" s="1" t="str">
        <f>"75752"</f>
        <v>75752</v>
      </c>
      <c r="C49993" s="2">
        <v>2.4250439485085199E-5</v>
      </c>
      <c r="D49993" s="2">
        <v>3.01141779055288E-6</v>
      </c>
      <c r="E49993" s="2">
        <v>0</v>
      </c>
      <c r="F49993" s="2">
        <v>2.23020754943018E-5</v>
      </c>
    </row>
    <row r="49994" spans="1:6" x14ac:dyDescent="0.25">
      <c r="A49994" s="1" t="str">
        <f t="shared" si="1585"/>
        <v>99999</v>
      </c>
      <c r="B49994" s="1" t="str">
        <f>"75480"</f>
        <v>75480</v>
      </c>
      <c r="C49994" s="2">
        <v>1.5946829179254701E-4</v>
      </c>
      <c r="D49994" s="2">
        <v>5.4205520229951803E-5</v>
      </c>
      <c r="E49994" s="2">
        <v>1.2473064631979999E-4</v>
      </c>
      <c r="F49994" s="2">
        <v>1.5177253146122201E-4</v>
      </c>
    </row>
    <row r="49995" spans="1:6" x14ac:dyDescent="0.25">
      <c r="A49995" s="1" t="str">
        <f t="shared" si="1585"/>
        <v>99999</v>
      </c>
      <c r="B49995" s="1" t="str">
        <f>"75441"</f>
        <v>75441</v>
      </c>
      <c r="C49995" s="2">
        <v>3.8973920601029803E-6</v>
      </c>
      <c r="D49995" s="2">
        <v>0</v>
      </c>
      <c r="E49995" s="2">
        <v>4.3010567696482999E-6</v>
      </c>
      <c r="F49995" s="2">
        <v>3.6512247490671102E-6</v>
      </c>
    </row>
    <row r="49996" spans="1:6" x14ac:dyDescent="0.25">
      <c r="A49996" s="1" t="str">
        <f t="shared" si="1585"/>
        <v>99999</v>
      </c>
      <c r="B49996" s="1" t="str">
        <f>"75572"</f>
        <v>75572</v>
      </c>
      <c r="C49996" s="2">
        <v>2.4835048294100603E-4</v>
      </c>
      <c r="D49996" s="2">
        <v>1.9875357417648999E-4</v>
      </c>
      <c r="E49996" s="2">
        <v>1.8924649786452501E-4</v>
      </c>
      <c r="F49996" s="2">
        <v>2.4374392243772301E-4</v>
      </c>
    </row>
    <row r="49997" spans="1:6" x14ac:dyDescent="0.25">
      <c r="A49997" s="1" t="str">
        <f t="shared" si="1585"/>
        <v>99999</v>
      </c>
      <c r="B49997" s="1" t="str">
        <f>"75550"</f>
        <v>75550</v>
      </c>
      <c r="C49997" s="2">
        <v>6.3116099195556605E-5</v>
      </c>
      <c r="D49997" s="2">
        <v>2.4091342324423E-5</v>
      </c>
      <c r="E49997" s="2">
        <v>8.6021135392965999E-6</v>
      </c>
      <c r="F49997" s="2">
        <v>5.9307731734846801E-5</v>
      </c>
    </row>
    <row r="49998" spans="1:6" x14ac:dyDescent="0.25">
      <c r="A49998" s="1" t="str">
        <f t="shared" si="1585"/>
        <v>99999</v>
      </c>
      <c r="B49998" s="1" t="str">
        <f>"75568"</f>
        <v>75568</v>
      </c>
      <c r="C49998" s="2">
        <v>2.5668657151400398E-4</v>
      </c>
      <c r="D49998" s="2">
        <v>8.5825407030757094E-5</v>
      </c>
      <c r="E49998" s="2">
        <v>1.07526419241207E-4</v>
      </c>
      <c r="F49998" s="2">
        <v>2.4206633268815199E-4</v>
      </c>
    </row>
    <row r="49999" spans="1:6" x14ac:dyDescent="0.25">
      <c r="A49999" s="1" t="str">
        <f t="shared" si="1585"/>
        <v>99999</v>
      </c>
      <c r="B49999" s="1" t="str">
        <f>"79325"</f>
        <v>79325</v>
      </c>
      <c r="C49999" s="2">
        <v>8.5093059978915098E-5</v>
      </c>
      <c r="D49999" s="2">
        <v>1.2497383830794399E-4</v>
      </c>
      <c r="E49999" s="2">
        <v>5.5913738005427898E-4</v>
      </c>
      <c r="F49999" s="2">
        <v>9.8583068224812004E-5</v>
      </c>
    </row>
    <row r="50000" spans="1:6" x14ac:dyDescent="0.25">
      <c r="A50000" s="1" t="str">
        <f t="shared" si="1585"/>
        <v>99999</v>
      </c>
      <c r="B50000" s="1" t="str">
        <f>"79512"</f>
        <v>79512</v>
      </c>
      <c r="C50000" s="2">
        <v>3.59209634872824E-4</v>
      </c>
      <c r="D50000" s="2">
        <v>5.1043531549871304E-4</v>
      </c>
      <c r="E50000" s="2">
        <v>3.6989088218975403E-4</v>
      </c>
      <c r="F50000" s="2">
        <v>3.6936579015562699E-4</v>
      </c>
    </row>
    <row r="50001" spans="1:6" x14ac:dyDescent="0.25">
      <c r="A50001" s="1" t="str">
        <f t="shared" si="1585"/>
        <v>99999</v>
      </c>
      <c r="B50001" s="1" t="str">
        <f>"79521"</f>
        <v>79521</v>
      </c>
      <c r="C50001" s="2">
        <v>2.1565569399236499E-4</v>
      </c>
      <c r="D50001" s="2">
        <v>4.2611561736323201E-4</v>
      </c>
      <c r="E50001" s="2">
        <v>3.5268665511115999E-4</v>
      </c>
      <c r="F50001" s="2">
        <v>2.3259288469057199E-4</v>
      </c>
    </row>
    <row r="50002" spans="1:6" x14ac:dyDescent="0.25">
      <c r="A50002" s="1" t="str">
        <f t="shared" si="1585"/>
        <v>99999</v>
      </c>
      <c r="B50002" s="1" t="str">
        <f>"79546"</f>
        <v>79546</v>
      </c>
      <c r="C50002" s="2">
        <v>1.21360458315984E-4</v>
      </c>
      <c r="D50002" s="2">
        <v>1.5358230731819599E-4</v>
      </c>
      <c r="E50002" s="2">
        <v>5.5913738005427899E-5</v>
      </c>
      <c r="F50002" s="2">
        <v>1.21970642968836E-4</v>
      </c>
    </row>
    <row r="50003" spans="1:6" x14ac:dyDescent="0.25">
      <c r="A50003" s="1" t="str">
        <f t="shared" si="1585"/>
        <v>99999</v>
      </c>
      <c r="B50003" s="1" t="str">
        <f>"79601"</f>
        <v>79601</v>
      </c>
      <c r="C50003" s="2">
        <v>1.75382642704634E-5</v>
      </c>
      <c r="D50003" s="2">
        <v>1.35513800574879E-5</v>
      </c>
      <c r="E50003" s="2">
        <v>1.72042270785932E-5</v>
      </c>
      <c r="F50003" s="2">
        <v>1.7269306245587602E-5</v>
      </c>
    </row>
    <row r="50004" spans="1:6" x14ac:dyDescent="0.25">
      <c r="A50004" s="1" t="str">
        <f t="shared" si="1585"/>
        <v>99999</v>
      </c>
      <c r="B50004" s="1" t="str">
        <f>"76460"</f>
        <v>76460</v>
      </c>
      <c r="C50004" s="2">
        <v>3.1936962714732702E-5</v>
      </c>
      <c r="D50004" s="2">
        <v>2.1079924533870101E-5</v>
      </c>
      <c r="E50004" s="2">
        <v>8.6021135392965999E-6</v>
      </c>
      <c r="F50004" s="2">
        <v>3.06900242421586E-5</v>
      </c>
    </row>
    <row r="50005" spans="1:6" x14ac:dyDescent="0.25">
      <c r="A50005" s="1" t="str">
        <f t="shared" si="1585"/>
        <v>99999</v>
      </c>
      <c r="B50005" s="1" t="str">
        <f>"76483"</f>
        <v>76483</v>
      </c>
      <c r="C50005" s="2">
        <v>4.7201748283469398E-5</v>
      </c>
      <c r="D50005" s="2">
        <v>2.8608469010252301E-5</v>
      </c>
      <c r="E50005" s="2">
        <v>4.7311624466131299E-5</v>
      </c>
      <c r="F50005" s="2">
        <v>4.5985695488250603E-5</v>
      </c>
    </row>
    <row r="50006" spans="1:6" x14ac:dyDescent="0.25">
      <c r="A50006" s="1" t="str">
        <f t="shared" si="1585"/>
        <v>99999</v>
      </c>
      <c r="B50006" s="1" t="str">
        <f>"76875"</f>
        <v>76875</v>
      </c>
      <c r="C50006" s="2">
        <v>3.3560876073108999E-5</v>
      </c>
      <c r="D50006" s="2">
        <v>3.7642722381910999E-5</v>
      </c>
      <c r="E50006" s="2">
        <v>1.72042270785932E-5</v>
      </c>
      <c r="F50006" s="2">
        <v>3.34531132414527E-5</v>
      </c>
    </row>
    <row r="50007" spans="1:6" x14ac:dyDescent="0.25">
      <c r="A50007" s="1" t="str">
        <f t="shared" si="1585"/>
        <v>99999</v>
      </c>
      <c r="B50007" s="1" t="str">
        <f>"76436"</f>
        <v>76436</v>
      </c>
      <c r="C50007" s="2">
        <v>1.62391335837624E-5</v>
      </c>
      <c r="D50007" s="2">
        <v>0</v>
      </c>
      <c r="E50007" s="2">
        <v>4.3010567696482999E-6</v>
      </c>
      <c r="F50007" s="2">
        <v>1.49009442461928E-5</v>
      </c>
    </row>
    <row r="50008" spans="1:6" x14ac:dyDescent="0.25">
      <c r="A50008" s="1" t="str">
        <f t="shared" si="1585"/>
        <v>99999</v>
      </c>
      <c r="B50008" s="1" t="str">
        <f>"79079"</f>
        <v>79079</v>
      </c>
      <c r="C50008" s="2">
        <v>1.8718307977550101E-4</v>
      </c>
      <c r="D50008" s="2">
        <v>3.2222170358915799E-4</v>
      </c>
      <c r="E50008" s="2">
        <v>9.8924305701910905E-5</v>
      </c>
      <c r="F50008" s="2">
        <v>1.9400832045042999E-4</v>
      </c>
    </row>
    <row r="50009" spans="1:6" x14ac:dyDescent="0.25">
      <c r="A50009" s="1" t="str">
        <f t="shared" si="1585"/>
        <v>99999</v>
      </c>
      <c r="B50009" s="1" t="str">
        <f>"51531"</f>
        <v>51531</v>
      </c>
      <c r="C50009" s="2">
        <v>4.6660443830677299E-5</v>
      </c>
      <c r="D50009" s="2">
        <v>3.31255956960816E-5</v>
      </c>
      <c r="E50009" s="2">
        <v>3.01073973875381E-5</v>
      </c>
      <c r="F50009" s="2">
        <v>4.5393604988401902E-5</v>
      </c>
    </row>
    <row r="50010" spans="1:6" x14ac:dyDescent="0.25">
      <c r="A50010" s="1" t="str">
        <f t="shared" si="1585"/>
        <v>99999</v>
      </c>
      <c r="B50010" s="1" t="str">
        <f>"66754"</f>
        <v>66754</v>
      </c>
      <c r="C50010" s="2">
        <v>3.0529571137473299E-5</v>
      </c>
      <c r="D50010" s="2">
        <v>7.5285444763821999E-6</v>
      </c>
      <c r="E50010" s="2">
        <v>4.3010567696482999E-6</v>
      </c>
      <c r="F50010" s="2">
        <v>2.84203439927386E-5</v>
      </c>
    </row>
    <row r="50011" spans="1:6" x14ac:dyDescent="0.25">
      <c r="A50011" s="1" t="str">
        <f t="shared" si="1585"/>
        <v>99999</v>
      </c>
      <c r="B50011" s="1" t="str">
        <f>"66762"</f>
        <v>66762</v>
      </c>
      <c r="C50011" s="2">
        <v>1.5264785568736599E-5</v>
      </c>
      <c r="D50011" s="2">
        <v>1.35513800574879E-5</v>
      </c>
      <c r="E50011" s="2">
        <v>0</v>
      </c>
      <c r="F50011" s="2">
        <v>1.4802262496217999E-5</v>
      </c>
    </row>
    <row r="50012" spans="1:6" x14ac:dyDescent="0.25">
      <c r="A50012" s="1" t="str">
        <f t="shared" si="1585"/>
        <v>99999</v>
      </c>
      <c r="B50012" s="1" t="str">
        <f>"66777"</f>
        <v>66777</v>
      </c>
      <c r="C50012" s="2">
        <v>5.3264358154740698E-5</v>
      </c>
      <c r="D50012" s="2">
        <v>2.7102760114975901E-5</v>
      </c>
      <c r="E50012" s="2">
        <v>8.5591029716001197E-4</v>
      </c>
      <c r="F50012" s="2">
        <v>6.9965360732123804E-5</v>
      </c>
    </row>
    <row r="50013" spans="1:6" x14ac:dyDescent="0.25">
      <c r="A50013" s="1" t="str">
        <f t="shared" si="1585"/>
        <v>99999</v>
      </c>
      <c r="B50013" s="1" t="str">
        <f>"66424"</f>
        <v>66424</v>
      </c>
      <c r="C50013" s="2">
        <v>2.9013918669655499E-5</v>
      </c>
      <c r="D50013" s="2">
        <v>2.7102760114975901E-5</v>
      </c>
      <c r="E50013" s="2">
        <v>3.01073973875381E-5</v>
      </c>
      <c r="F50013" s="2">
        <v>2.89137527426125E-5</v>
      </c>
    </row>
    <row r="50014" spans="1:6" x14ac:dyDescent="0.25">
      <c r="A50014" s="1" t="str">
        <f t="shared" si="1585"/>
        <v>99999</v>
      </c>
      <c r="B50014" s="1" t="str">
        <f>"67952"</f>
        <v>67952</v>
      </c>
      <c r="C50014" s="2">
        <v>2.4466961266201999E-5</v>
      </c>
      <c r="D50014" s="2">
        <v>7.5285444763821999E-6</v>
      </c>
      <c r="E50014" s="2">
        <v>4.3010567696482999E-6</v>
      </c>
      <c r="F50014" s="2">
        <v>2.2894165994150501E-5</v>
      </c>
    </row>
    <row r="50015" spans="1:6" x14ac:dyDescent="0.25">
      <c r="A50015" s="1" t="str">
        <f t="shared" si="1585"/>
        <v>99999</v>
      </c>
      <c r="B50015" s="1" t="str">
        <f>"68062"</f>
        <v>68062</v>
      </c>
      <c r="C50015" s="2">
        <v>1.5589568240411901E-5</v>
      </c>
      <c r="D50015" s="2">
        <v>1.50570889527644E-6</v>
      </c>
      <c r="E50015" s="2">
        <v>0</v>
      </c>
      <c r="F50015" s="2">
        <v>1.4308853746344E-5</v>
      </c>
    </row>
    <row r="50016" spans="1:6" x14ac:dyDescent="0.25">
      <c r="A50016" s="1" t="str">
        <f t="shared" si="1585"/>
        <v>99999</v>
      </c>
      <c r="B50016" s="1" t="str">
        <f>"68071"</f>
        <v>68071</v>
      </c>
      <c r="C50016" s="2">
        <v>4.4495226019509003E-5</v>
      </c>
      <c r="D50016" s="2">
        <v>3.31255956960816E-5</v>
      </c>
      <c r="E50016" s="2">
        <v>1.2473064631979999E-4</v>
      </c>
      <c r="F50016" s="2">
        <v>4.5590968488351503E-5</v>
      </c>
    </row>
    <row r="50017" spans="1:6" x14ac:dyDescent="0.25">
      <c r="A50017" s="1" t="str">
        <f t="shared" si="1585"/>
        <v>99999</v>
      </c>
      <c r="B50017" s="1" t="str">
        <f>"67953"</f>
        <v>67953</v>
      </c>
      <c r="C50017" s="2">
        <v>6.7121752146218001E-6</v>
      </c>
      <c r="D50017" s="2">
        <v>0</v>
      </c>
      <c r="E50017" s="2">
        <v>4.3010567696482999E-6</v>
      </c>
      <c r="F50017" s="2">
        <v>6.2169502484115596E-6</v>
      </c>
    </row>
    <row r="50018" spans="1:6" x14ac:dyDescent="0.25">
      <c r="A50018" s="1" t="str">
        <f t="shared" si="1585"/>
        <v>99999</v>
      </c>
      <c r="B50018" s="1" t="str">
        <f>"67950"</f>
        <v>67950</v>
      </c>
      <c r="C50018" s="2">
        <v>3.3344354291992097E-5</v>
      </c>
      <c r="D50018" s="2">
        <v>1.14433876041009E-4</v>
      </c>
      <c r="E50018" s="2">
        <v>1.29031703089449E-5</v>
      </c>
      <c r="F50018" s="2">
        <v>3.8189837240242402E-5</v>
      </c>
    </row>
    <row r="50019" spans="1:6" x14ac:dyDescent="0.25">
      <c r="A50019" s="1" t="str">
        <f t="shared" si="1585"/>
        <v>99999</v>
      </c>
      <c r="B50019" s="1" t="str">
        <f>"67869"</f>
        <v>67869</v>
      </c>
      <c r="C50019" s="2">
        <v>6.4848273444491198E-5</v>
      </c>
      <c r="D50019" s="2">
        <v>8.2813989240204205E-5</v>
      </c>
      <c r="E50019" s="2">
        <v>5.1612681235779599E-5</v>
      </c>
      <c r="F50019" s="2">
        <v>6.5722045483207998E-5</v>
      </c>
    </row>
    <row r="50020" spans="1:6" x14ac:dyDescent="0.25">
      <c r="A50020" s="1" t="str">
        <f t="shared" si="1585"/>
        <v>99999</v>
      </c>
      <c r="B50020" s="1" t="str">
        <f>"67857"</f>
        <v>67857</v>
      </c>
      <c r="C50020" s="2">
        <v>5.7378271995960499E-6</v>
      </c>
      <c r="D50020" s="2">
        <v>1.50570889527644E-6</v>
      </c>
      <c r="E50020" s="2">
        <v>4.3010567696482999E-6</v>
      </c>
      <c r="F50020" s="2">
        <v>5.4274962486132697E-6</v>
      </c>
    </row>
    <row r="50021" spans="1:6" x14ac:dyDescent="0.25">
      <c r="A50021" s="1" t="str">
        <f t="shared" si="1585"/>
        <v>99999</v>
      </c>
      <c r="B50021" s="1" t="str">
        <f>"67127"</f>
        <v>67127</v>
      </c>
      <c r="C50021" s="2">
        <v>3.2478267167524801E-5</v>
      </c>
      <c r="D50021" s="2">
        <v>3.01141779055288E-6</v>
      </c>
      <c r="E50021" s="2">
        <v>4.3010567696482999E-6</v>
      </c>
      <c r="F50021" s="2">
        <v>2.99005702423604E-5</v>
      </c>
    </row>
    <row r="50022" spans="1:6" x14ac:dyDescent="0.25">
      <c r="A50022" s="1" t="str">
        <f t="shared" si="1585"/>
        <v>99999</v>
      </c>
      <c r="B50022" s="1" t="str">
        <f>"67449"</f>
        <v>67449</v>
      </c>
      <c r="C50022" s="2">
        <v>1.7494959914240001E-4</v>
      </c>
      <c r="D50022" s="2">
        <v>2.2585633429146601E-4</v>
      </c>
      <c r="E50022" s="2">
        <v>1.37633816628745E-4</v>
      </c>
      <c r="F50022" s="2">
        <v>1.7742978645466601E-4</v>
      </c>
    </row>
    <row r="50023" spans="1:6" x14ac:dyDescent="0.25">
      <c r="A50023" s="1" t="str">
        <f t="shared" si="1585"/>
        <v>99999</v>
      </c>
      <c r="B50023" s="1" t="str">
        <f>"67560"</f>
        <v>67560</v>
      </c>
      <c r="C50023" s="2">
        <v>1.02739585139936E-4</v>
      </c>
      <c r="D50023" s="2">
        <v>2.3790200545367699E-4</v>
      </c>
      <c r="E50023" s="2">
        <v>1.5053698693768999E-4</v>
      </c>
      <c r="F50023" s="2">
        <v>1.12694558471206E-4</v>
      </c>
    </row>
    <row r="50024" spans="1:6" x14ac:dyDescent="0.25">
      <c r="A50024" s="1" t="str">
        <f t="shared" si="1585"/>
        <v>99999</v>
      </c>
      <c r="B50024" s="1" t="str">
        <f>"67576"</f>
        <v>67576</v>
      </c>
      <c r="C50024" s="2">
        <v>1.07394803433948E-4</v>
      </c>
      <c r="D50024" s="2">
        <v>2.3639629655840101E-4</v>
      </c>
      <c r="E50024" s="2">
        <v>9.8924305701910905E-5</v>
      </c>
      <c r="F50024" s="2">
        <v>1.1565501097045E-4</v>
      </c>
    </row>
    <row r="50025" spans="1:6" x14ac:dyDescent="0.25">
      <c r="A50025" s="1" t="str">
        <f t="shared" si="1585"/>
        <v>99999</v>
      </c>
      <c r="B50025" s="1" t="str">
        <f>"67427"</f>
        <v>67427</v>
      </c>
      <c r="C50025" s="2">
        <v>2.39256568134099E-5</v>
      </c>
      <c r="D50025" s="2">
        <v>2.55970512196994E-5</v>
      </c>
      <c r="E50025" s="2">
        <v>8.6021135392965999E-6</v>
      </c>
      <c r="F50025" s="2">
        <v>2.3683619993948799E-5</v>
      </c>
    </row>
    <row r="50026" spans="1:6" x14ac:dyDescent="0.25">
      <c r="A50026" s="1" t="str">
        <f t="shared" si="1585"/>
        <v>99999</v>
      </c>
      <c r="B50026" s="1" t="str">
        <f>"67492"</f>
        <v>67492</v>
      </c>
      <c r="C50026" s="2">
        <v>1.2125219742542599E-5</v>
      </c>
      <c r="D50026" s="2">
        <v>7.5285444763821999E-6</v>
      </c>
      <c r="E50026" s="2">
        <v>4.3010567696482999E-6</v>
      </c>
      <c r="F50026" s="2">
        <v>1.1644446497024801E-5</v>
      </c>
    </row>
    <row r="50027" spans="1:6" x14ac:dyDescent="0.25">
      <c r="A50027" s="1" t="str">
        <f t="shared" si="1585"/>
        <v>99999</v>
      </c>
      <c r="B50027" s="1" t="str">
        <f>"67665"</f>
        <v>67665</v>
      </c>
      <c r="C50027" s="2">
        <v>3.0009918862792899E-4</v>
      </c>
      <c r="D50027" s="2">
        <v>6.6853474950273899E-4</v>
      </c>
      <c r="E50027" s="2">
        <v>3.4838559834151202E-4</v>
      </c>
      <c r="F50027" s="2">
        <v>3.2535372966687202E-4</v>
      </c>
    </row>
    <row r="50028" spans="1:6" x14ac:dyDescent="0.25">
      <c r="A50028" s="1" t="str">
        <f t="shared" si="1585"/>
        <v>99999</v>
      </c>
      <c r="B50028" s="1" t="str">
        <f>"67672"</f>
        <v>67672</v>
      </c>
      <c r="C50028" s="2">
        <v>1.3619220032248699E-4</v>
      </c>
      <c r="D50028" s="2">
        <v>2.9361323457890499E-4</v>
      </c>
      <c r="E50028" s="2">
        <v>1.41934873398393E-4</v>
      </c>
      <c r="F50028" s="2">
        <v>1.4664108046253299E-4</v>
      </c>
    </row>
    <row r="50029" spans="1:6" x14ac:dyDescent="0.25">
      <c r="A50029" s="1" t="str">
        <f t="shared" si="1585"/>
        <v>99999</v>
      </c>
      <c r="B50029" s="1" t="str">
        <f>"67730"</f>
        <v>67730</v>
      </c>
      <c r="C50029" s="2">
        <v>1.05013063841663E-4</v>
      </c>
      <c r="D50029" s="2">
        <v>2.45430549930059E-4</v>
      </c>
      <c r="E50029" s="2">
        <v>2.1505283848241501E-4</v>
      </c>
      <c r="F50029" s="2">
        <v>1.16740510220172E-4</v>
      </c>
    </row>
    <row r="50030" spans="1:6" x14ac:dyDescent="0.25">
      <c r="A50030" s="1" t="str">
        <f t="shared" si="1585"/>
        <v>99999</v>
      </c>
      <c r="B50030" s="1" t="str">
        <f>"67637"</f>
        <v>67637</v>
      </c>
      <c r="C50030" s="2">
        <v>1.07178281652832E-5</v>
      </c>
      <c r="D50030" s="2">
        <v>1.50570889527644E-6</v>
      </c>
      <c r="E50030" s="2">
        <v>0</v>
      </c>
      <c r="F50030" s="2">
        <v>9.8681749974786808E-6</v>
      </c>
    </row>
    <row r="50031" spans="1:6" x14ac:dyDescent="0.25">
      <c r="A50031" s="1" t="str">
        <f t="shared" si="1585"/>
        <v>99999</v>
      </c>
      <c r="B50031" s="1" t="str">
        <f>"67448"</f>
        <v>67448</v>
      </c>
      <c r="C50031" s="2">
        <v>1.0284784603049499E-5</v>
      </c>
      <c r="D50031" s="2">
        <v>3.01141779055288E-6</v>
      </c>
      <c r="E50031" s="2">
        <v>4.3010567696482999E-6</v>
      </c>
      <c r="F50031" s="2">
        <v>9.6708114975291003E-6</v>
      </c>
    </row>
    <row r="50032" spans="1:6" x14ac:dyDescent="0.25">
      <c r="A50032" s="1" t="str">
        <f t="shared" si="1585"/>
        <v>99999</v>
      </c>
      <c r="B50032" s="1" t="str">
        <f>"67643"</f>
        <v>67643</v>
      </c>
      <c r="C50032" s="2">
        <v>1.30995677575683E-5</v>
      </c>
      <c r="D50032" s="2">
        <v>9.0342533716586405E-6</v>
      </c>
      <c r="E50032" s="2">
        <v>1.29031703089449E-5</v>
      </c>
      <c r="F50032" s="2">
        <v>1.2828627496722201E-5</v>
      </c>
    </row>
    <row r="50033" spans="1:6" x14ac:dyDescent="0.25">
      <c r="A50033" s="1" t="str">
        <f t="shared" si="1585"/>
        <v>99999</v>
      </c>
      <c r="B50033" s="1" t="str">
        <f>"67649"</f>
        <v>67649</v>
      </c>
      <c r="C50033" s="2">
        <v>1.39656548820356E-5</v>
      </c>
      <c r="D50033" s="2">
        <v>1.0539962266935E-5</v>
      </c>
      <c r="E50033" s="2">
        <v>1.29031703089449E-5</v>
      </c>
      <c r="F50033" s="2">
        <v>1.37167632464953E-5</v>
      </c>
    </row>
    <row r="50034" spans="1:6" x14ac:dyDescent="0.25">
      <c r="A50034" s="1" t="str">
        <f t="shared" si="1585"/>
        <v>99999</v>
      </c>
      <c r="B50034" s="1" t="str">
        <f>"67675"</f>
        <v>67675</v>
      </c>
      <c r="C50034" s="2">
        <v>1.4723481115944499E-5</v>
      </c>
      <c r="D50034" s="2">
        <v>1.50570889527644E-6</v>
      </c>
      <c r="E50034" s="2">
        <v>4.3010567696482999E-6</v>
      </c>
      <c r="F50034" s="2">
        <v>1.3618081496520501E-5</v>
      </c>
    </row>
    <row r="50035" spans="1:6" x14ac:dyDescent="0.25">
      <c r="A50035" s="1" t="str">
        <f t="shared" si="1585"/>
        <v>99999</v>
      </c>
      <c r="B50035" s="1" t="str">
        <f>"66856"</f>
        <v>66856</v>
      </c>
      <c r="C50035" s="2">
        <v>8.1087407028253704E-5</v>
      </c>
      <c r="D50035" s="2">
        <v>2.7102760114975901E-5</v>
      </c>
      <c r="E50035" s="2">
        <v>6.0214794775076199E-5</v>
      </c>
      <c r="F50035" s="2">
        <v>7.7070446730308499E-5</v>
      </c>
    </row>
    <row r="50036" spans="1:6" x14ac:dyDescent="0.25">
      <c r="A50036" s="1" t="str">
        <f t="shared" si="1585"/>
        <v>99999</v>
      </c>
      <c r="B50036" s="1" t="str">
        <f>"66859"</f>
        <v>66859</v>
      </c>
      <c r="C50036" s="2">
        <v>1.06095672747247E-5</v>
      </c>
      <c r="D50036" s="2">
        <v>9.0342533716586405E-6</v>
      </c>
      <c r="E50036" s="2">
        <v>4.3010567696482999E-6</v>
      </c>
      <c r="F50036" s="2">
        <v>1.03615837473526E-5</v>
      </c>
    </row>
    <row r="50037" spans="1:6" x14ac:dyDescent="0.25">
      <c r="A50037" s="1" t="str">
        <f t="shared" si="1585"/>
        <v>99999</v>
      </c>
      <c r="B50037" s="1" t="str">
        <f>"66544"</f>
        <v>66544</v>
      </c>
      <c r="C50037" s="2">
        <v>2.1219134549449501E-5</v>
      </c>
      <c r="D50037" s="2">
        <v>1.80685067433172E-5</v>
      </c>
      <c r="E50037" s="2">
        <v>0</v>
      </c>
      <c r="F50037" s="2">
        <v>2.0525803994755599E-5</v>
      </c>
    </row>
    <row r="50038" spans="1:6" x14ac:dyDescent="0.25">
      <c r="A50038" s="1" t="str">
        <f t="shared" si="1585"/>
        <v>99999</v>
      </c>
      <c r="B50038" s="1" t="str">
        <f>"66963"</f>
        <v>66963</v>
      </c>
      <c r="C50038" s="2">
        <v>1.05013063841663E-5</v>
      </c>
      <c r="D50038" s="2">
        <v>1.50570889527644E-6</v>
      </c>
      <c r="E50038" s="2">
        <v>4.3010567696482999E-6</v>
      </c>
      <c r="F50038" s="2">
        <v>9.7694932475038906E-6</v>
      </c>
    </row>
    <row r="50039" spans="1:6" x14ac:dyDescent="0.25">
      <c r="A50039" s="1" t="str">
        <f t="shared" si="1585"/>
        <v>99999</v>
      </c>
      <c r="B50039" s="1" t="str">
        <f>"66960"</f>
        <v>66960</v>
      </c>
      <c r="C50039" s="2">
        <v>1.1908697961425701E-5</v>
      </c>
      <c r="D50039" s="2">
        <v>1.50570889527644E-6</v>
      </c>
      <c r="E50039" s="2">
        <v>4.3010567696482999E-6</v>
      </c>
      <c r="F50039" s="2">
        <v>1.10523559971761E-5</v>
      </c>
    </row>
    <row r="50040" spans="1:6" x14ac:dyDescent="0.25">
      <c r="A50040" s="1" t="str">
        <f t="shared" si="1585"/>
        <v>99999</v>
      </c>
      <c r="B50040" s="1" t="str">
        <f>"65755"</f>
        <v>65755</v>
      </c>
      <c r="C50040" s="2">
        <v>3.39939196353426E-5</v>
      </c>
      <c r="D50040" s="2">
        <v>4.5171266858293203E-6</v>
      </c>
      <c r="E50040" s="2">
        <v>4.3010567696482999E-6</v>
      </c>
      <c r="F50040" s="2">
        <v>3.1380796491982199E-5</v>
      </c>
    </row>
    <row r="50041" spans="1:6" x14ac:dyDescent="0.25">
      <c r="A50041" s="1" t="str">
        <f t="shared" si="1585"/>
        <v>99999</v>
      </c>
      <c r="B50041" s="1" t="str">
        <f>"65641"</f>
        <v>65641</v>
      </c>
      <c r="C50041" s="2">
        <v>1.4734307205000401E-4</v>
      </c>
      <c r="D50041" s="2">
        <v>8.5825407030757094E-5</v>
      </c>
      <c r="E50041" s="2">
        <v>3.01073973875381E-5</v>
      </c>
      <c r="F50041" s="2">
        <v>1.4062149371407099E-4</v>
      </c>
    </row>
    <row r="50042" spans="1:6" x14ac:dyDescent="0.25">
      <c r="A50042" s="1" t="str">
        <f t="shared" si="1585"/>
        <v>99999</v>
      </c>
      <c r="B50042" s="1" t="str">
        <f>"65656"</f>
        <v>65656</v>
      </c>
      <c r="C50042" s="2">
        <v>3.93095293617609E-4</v>
      </c>
      <c r="D50042" s="2">
        <v>8.5825407030757094E-5</v>
      </c>
      <c r="E50042" s="2">
        <v>6.8816908314372799E-5</v>
      </c>
      <c r="F50042" s="2">
        <v>3.6551720190661002E-4</v>
      </c>
    </row>
    <row r="50043" spans="1:6" x14ac:dyDescent="0.25">
      <c r="A50043" s="1" t="str">
        <f t="shared" si="1585"/>
        <v>99999</v>
      </c>
      <c r="B50043" s="1" t="str">
        <f>"65704"</f>
        <v>65704</v>
      </c>
      <c r="C50043" s="2">
        <v>2.21934825644753E-4</v>
      </c>
      <c r="D50043" s="2">
        <v>1.8821361190955499E-4</v>
      </c>
      <c r="E50043" s="2">
        <v>1.2473064631979999E-4</v>
      </c>
      <c r="F50043" s="2">
        <v>2.1749457694442999E-4</v>
      </c>
    </row>
    <row r="50044" spans="1:6" x14ac:dyDescent="0.25">
      <c r="A50044" s="1" t="str">
        <f t="shared" si="1585"/>
        <v>99999</v>
      </c>
      <c r="B50044" s="1" t="str">
        <f>"65655"</f>
        <v>65655</v>
      </c>
      <c r="C50044" s="2">
        <v>2.7877179318792098E-4</v>
      </c>
      <c r="D50044" s="2">
        <v>1.1142245825045601E-4</v>
      </c>
      <c r="E50044" s="2">
        <v>1.8494544109487701E-4</v>
      </c>
      <c r="F50044" s="2">
        <v>2.6565127093212601E-4</v>
      </c>
    </row>
    <row r="50045" spans="1:6" x14ac:dyDescent="0.25">
      <c r="A50045" s="1" t="str">
        <f t="shared" si="1585"/>
        <v>99999</v>
      </c>
      <c r="B50045" s="1" t="str">
        <f>"65588"</f>
        <v>65588</v>
      </c>
      <c r="C50045" s="2">
        <v>1.97576125269109E-4</v>
      </c>
      <c r="D50045" s="2">
        <v>7.0768318077992694E-5</v>
      </c>
      <c r="E50045" s="2">
        <v>3.01073973875381E-5</v>
      </c>
      <c r="F50045" s="2">
        <v>1.8542300820262401E-4</v>
      </c>
    </row>
    <row r="50046" spans="1:6" x14ac:dyDescent="0.25">
      <c r="A50046" s="1" t="str">
        <f t="shared" si="1585"/>
        <v>99999</v>
      </c>
      <c r="B50046" s="1" t="str">
        <f>"65608"</f>
        <v>65608</v>
      </c>
      <c r="C50046" s="2">
        <v>1.55246117060768E-4</v>
      </c>
      <c r="D50046" s="2">
        <v>1.3551380057487899E-4</v>
      </c>
      <c r="E50046" s="2">
        <v>1.8494544109487701E-4</v>
      </c>
      <c r="F50046" s="2">
        <v>1.5463430221048999E-4</v>
      </c>
    </row>
    <row r="50047" spans="1:6" x14ac:dyDescent="0.25">
      <c r="A50047" s="1" t="str">
        <f t="shared" si="1585"/>
        <v>99999</v>
      </c>
      <c r="B50047" s="1" t="str">
        <f>"69140"</f>
        <v>69140</v>
      </c>
      <c r="C50047" s="2">
        <v>8.7691321352317001E-5</v>
      </c>
      <c r="D50047" s="2">
        <v>2.10799245338701E-4</v>
      </c>
      <c r="E50047" s="2">
        <v>4.3010567696482999E-5</v>
      </c>
      <c r="F50047" s="2">
        <v>9.4734479975795306E-5</v>
      </c>
    </row>
    <row r="50048" spans="1:6" x14ac:dyDescent="0.25">
      <c r="A50048" s="1" t="str">
        <f t="shared" si="1585"/>
        <v>99999</v>
      </c>
      <c r="B50048" s="1" t="str">
        <f>"69201"</f>
        <v>69201</v>
      </c>
      <c r="C50048" s="2">
        <v>2.4651004780151299E-4</v>
      </c>
      <c r="D50048" s="2">
        <v>4.5020695968765501E-4</v>
      </c>
      <c r="E50048" s="2">
        <v>3.5268665511115999E-4</v>
      </c>
      <c r="F50048" s="2">
        <v>2.6229609143298301E-4</v>
      </c>
    </row>
    <row r="50049" spans="1:6" x14ac:dyDescent="0.25">
      <c r="A50049" s="1" t="str">
        <f t="shared" si="1585"/>
        <v>99999</v>
      </c>
      <c r="B50049" s="1" t="str">
        <f>"69001"</f>
        <v>69001</v>
      </c>
      <c r="C50049" s="2">
        <v>5.0460401089277699E-4</v>
      </c>
      <c r="D50049" s="2">
        <v>9.9226216198717394E-4</v>
      </c>
      <c r="E50049" s="2">
        <v>7.35480707609859E-4</v>
      </c>
      <c r="F50049" s="2">
        <v>5.4186148911155403E-4</v>
      </c>
    </row>
    <row r="50050" spans="1:6" x14ac:dyDescent="0.25">
      <c r="A50050" s="1" t="str">
        <f t="shared" si="1585"/>
        <v>99999</v>
      </c>
      <c r="B50050" s="1" t="str">
        <f>"68982"</f>
        <v>68982</v>
      </c>
      <c r="C50050" s="2">
        <v>7.1452187768554602E-6</v>
      </c>
      <c r="D50050" s="2">
        <v>0</v>
      </c>
      <c r="E50050" s="2">
        <v>0</v>
      </c>
      <c r="F50050" s="2">
        <v>6.5129954983359203E-6</v>
      </c>
    </row>
    <row r="50051" spans="1:6" x14ac:dyDescent="0.25">
      <c r="A50051" s="1" t="str">
        <f t="shared" si="1585"/>
        <v>99999</v>
      </c>
      <c r="B50051" s="1" t="str">
        <f>"69032"</f>
        <v>69032</v>
      </c>
      <c r="C50051" s="2">
        <v>3.0529571137473299E-5</v>
      </c>
      <c r="D50051" s="2">
        <v>2.1079924533870101E-5</v>
      </c>
      <c r="E50051" s="2">
        <v>4.3010567696482999E-6</v>
      </c>
      <c r="F50051" s="2">
        <v>2.9308479742511601E-5</v>
      </c>
    </row>
    <row r="50052" spans="1:6" x14ac:dyDescent="0.25">
      <c r="A50052" s="1" t="str">
        <f t="shared" si="1585"/>
        <v>99999</v>
      </c>
      <c r="B50052" s="1" t="str">
        <f>"68939"</f>
        <v>68939</v>
      </c>
      <c r="C50052" s="2">
        <v>7.1560448659112994E-5</v>
      </c>
      <c r="D50052" s="2">
        <v>2.0176499196704299E-4</v>
      </c>
      <c r="E50052" s="2">
        <v>5.5913738005427899E-5</v>
      </c>
      <c r="F50052" s="2">
        <v>7.9734853979627701E-5</v>
      </c>
    </row>
    <row r="50053" spans="1:6" x14ac:dyDescent="0.25">
      <c r="A50053" s="1" t="str">
        <f t="shared" si="1585"/>
        <v>99999</v>
      </c>
      <c r="B50053" s="1" t="str">
        <f>"69040"</f>
        <v>69040</v>
      </c>
      <c r="C50053" s="2">
        <v>3.7891311695445598E-5</v>
      </c>
      <c r="D50053" s="2">
        <v>3.1619886800805203E-5</v>
      </c>
      <c r="E50053" s="2">
        <v>8.6021135392965999E-6</v>
      </c>
      <c r="F50053" s="2">
        <v>3.68082927405954E-5</v>
      </c>
    </row>
    <row r="50054" spans="1:6" x14ac:dyDescent="0.25">
      <c r="A50054" s="1" t="str">
        <f t="shared" ref="A50054:A50117" si="1586">"99999"</f>
        <v>99999</v>
      </c>
      <c r="B50054" s="1" t="str">
        <f>"68874"</f>
        <v>68874</v>
      </c>
      <c r="C50054" s="2">
        <v>5.4130445279208001E-5</v>
      </c>
      <c r="D50054" s="2">
        <v>2.1079924533870101E-5</v>
      </c>
      <c r="E50054" s="2">
        <v>3.44084541571864E-5</v>
      </c>
      <c r="F50054" s="2">
        <v>5.1511873486838702E-5</v>
      </c>
    </row>
    <row r="50055" spans="1:6" x14ac:dyDescent="0.25">
      <c r="A50055" s="1" t="str">
        <f t="shared" si="1586"/>
        <v>99999</v>
      </c>
      <c r="B50055" s="1" t="str">
        <f>"69021"</f>
        <v>69021</v>
      </c>
      <c r="C50055" s="2">
        <v>8.5742625322265601E-5</v>
      </c>
      <c r="D50055" s="2">
        <v>7.5285444763821999E-5</v>
      </c>
      <c r="E50055" s="2">
        <v>4.3010567696482999E-5</v>
      </c>
      <c r="F50055" s="2">
        <v>8.4076850978518296E-5</v>
      </c>
    </row>
    <row r="50056" spans="1:6" x14ac:dyDescent="0.25">
      <c r="A50056" s="1" t="str">
        <f t="shared" si="1586"/>
        <v>99999</v>
      </c>
      <c r="B50056" s="1" t="str">
        <f>"68936"</f>
        <v>68936</v>
      </c>
      <c r="C50056" s="2">
        <v>7.0369578862970498E-6</v>
      </c>
      <c r="D50056" s="2">
        <v>4.5171266858293203E-6</v>
      </c>
      <c r="E50056" s="2">
        <v>4.3010567696482999E-6</v>
      </c>
      <c r="F50056" s="2">
        <v>6.8090407482602902E-6</v>
      </c>
    </row>
    <row r="50057" spans="1:6" x14ac:dyDescent="0.25">
      <c r="A50057" s="1" t="str">
        <f t="shared" si="1586"/>
        <v>99999</v>
      </c>
      <c r="B50057" s="1" t="str">
        <f>"69333"</f>
        <v>69333</v>
      </c>
      <c r="C50057" s="2">
        <v>1.3532611319802E-5</v>
      </c>
      <c r="D50057" s="2">
        <v>9.0342533716586405E-6</v>
      </c>
      <c r="E50057" s="2">
        <v>4.3010567696482999E-6</v>
      </c>
      <c r="F50057" s="2">
        <v>1.30259909966718E-5</v>
      </c>
    </row>
    <row r="50058" spans="1:6" x14ac:dyDescent="0.25">
      <c r="A50058" s="1" t="str">
        <f t="shared" si="1586"/>
        <v>99999</v>
      </c>
      <c r="B50058" s="1" t="str">
        <f>"68943"</f>
        <v>68943</v>
      </c>
      <c r="C50058" s="2">
        <v>1.3749133100918801E-5</v>
      </c>
      <c r="D50058" s="2">
        <v>7.5285444763821999E-6</v>
      </c>
      <c r="E50058" s="2">
        <v>4.3010567696482999E-6</v>
      </c>
      <c r="F50058" s="2">
        <v>1.31246727466466E-5</v>
      </c>
    </row>
    <row r="50059" spans="1:6" x14ac:dyDescent="0.25">
      <c r="A50059" s="1" t="str">
        <f t="shared" si="1586"/>
        <v>99999</v>
      </c>
      <c r="B50059" s="1" t="str">
        <f>"69022"</f>
        <v>69022</v>
      </c>
      <c r="C50059" s="2">
        <v>9.4403496566938797E-5</v>
      </c>
      <c r="D50059" s="2">
        <v>6.6251191392163294E-5</v>
      </c>
      <c r="E50059" s="2">
        <v>9.0322192162614306E-5</v>
      </c>
      <c r="F50059" s="2">
        <v>9.2464799726375198E-5</v>
      </c>
    </row>
    <row r="50060" spans="1:6" x14ac:dyDescent="0.25">
      <c r="A50060" s="1" t="str">
        <f t="shared" si="1586"/>
        <v>99999</v>
      </c>
      <c r="B50060" s="1" t="str">
        <f>"69360"</f>
        <v>69360</v>
      </c>
      <c r="C50060" s="2">
        <v>7.2751318455255596E-5</v>
      </c>
      <c r="D50060" s="2">
        <v>1.50570889527644E-5</v>
      </c>
      <c r="E50060" s="2">
        <v>6.0214794775076199E-5</v>
      </c>
      <c r="F50060" s="2">
        <v>6.8682497982451598E-5</v>
      </c>
    </row>
    <row r="50061" spans="1:6" x14ac:dyDescent="0.25">
      <c r="A50061" s="1" t="str">
        <f t="shared" si="1586"/>
        <v>99999</v>
      </c>
      <c r="B50061" s="1" t="str">
        <f>"70648"</f>
        <v>70648</v>
      </c>
      <c r="C50061" s="2">
        <v>2.1229960638505401E-4</v>
      </c>
      <c r="D50061" s="2">
        <v>1.2196242051739101E-4</v>
      </c>
      <c r="E50061" s="2">
        <v>1.07526419241207E-4</v>
      </c>
      <c r="F50061" s="2">
        <v>2.0397517719788401E-4</v>
      </c>
    </row>
    <row r="50062" spans="1:6" x14ac:dyDescent="0.25">
      <c r="A50062" s="1" t="str">
        <f t="shared" si="1586"/>
        <v>99999</v>
      </c>
      <c r="B50062" s="1" t="str">
        <f>"68632"</f>
        <v>68632</v>
      </c>
      <c r="C50062" s="2">
        <v>1.98009168831343E-4</v>
      </c>
      <c r="D50062" s="2">
        <v>2.8608469010252301E-4</v>
      </c>
      <c r="E50062" s="2">
        <v>2.8386974679678702E-4</v>
      </c>
      <c r="F50062" s="2">
        <v>2.0575144869742999E-4</v>
      </c>
    </row>
    <row r="50063" spans="1:6" x14ac:dyDescent="0.25">
      <c r="A50063" s="1" t="str">
        <f t="shared" si="1586"/>
        <v>99999</v>
      </c>
      <c r="B50063" s="1" t="str">
        <f>"68622"</f>
        <v>68622</v>
      </c>
      <c r="C50063" s="2">
        <v>1.7971307832697E-5</v>
      </c>
      <c r="D50063" s="2">
        <v>0</v>
      </c>
      <c r="E50063" s="2">
        <v>1.29031703089449E-5</v>
      </c>
      <c r="F50063" s="2">
        <v>1.6677215745738901E-5</v>
      </c>
    </row>
    <row r="50064" spans="1:6" x14ac:dyDescent="0.25">
      <c r="A50064" s="1" t="str">
        <f t="shared" si="1586"/>
        <v>99999</v>
      </c>
      <c r="B50064" s="1" t="str">
        <f>"68818"</f>
        <v>68818</v>
      </c>
      <c r="C50064" s="2">
        <v>2.7725614072010303E-4</v>
      </c>
      <c r="D50064" s="2">
        <v>4.8182684648845998E-4</v>
      </c>
      <c r="E50064" s="2">
        <v>2.5806340617889802E-4</v>
      </c>
      <c r="F50064" s="2">
        <v>2.9022302667584799E-4</v>
      </c>
    </row>
    <row r="50065" spans="1:6" x14ac:dyDescent="0.25">
      <c r="A50065" s="1" t="str">
        <f t="shared" si="1586"/>
        <v>99999</v>
      </c>
      <c r="B50065" s="1" t="str">
        <f>"68641"</f>
        <v>68641</v>
      </c>
      <c r="C50065" s="2">
        <v>5.4671749732000101E-5</v>
      </c>
      <c r="D50065" s="2">
        <v>5.2699811334675399E-5</v>
      </c>
      <c r="E50065" s="2">
        <v>3.01073973875381E-5</v>
      </c>
      <c r="F50065" s="2">
        <v>5.3978917236208303E-5</v>
      </c>
    </row>
    <row r="50066" spans="1:6" x14ac:dyDescent="0.25">
      <c r="A50066" s="1" t="str">
        <f t="shared" si="1586"/>
        <v>99999</v>
      </c>
      <c r="B50066" s="1" t="str">
        <f>"68730"</f>
        <v>68730</v>
      </c>
      <c r="C50066" s="2">
        <v>1.20169588519841E-4</v>
      </c>
      <c r="D50066" s="2">
        <v>3.01141779055288E-5</v>
      </c>
      <c r="E50066" s="2">
        <v>1.41934873398393E-4</v>
      </c>
      <c r="F50066" s="2">
        <v>1.14766875220677E-4</v>
      </c>
    </row>
    <row r="50067" spans="1:6" x14ac:dyDescent="0.25">
      <c r="A50067" s="1" t="str">
        <f t="shared" si="1586"/>
        <v>99999</v>
      </c>
      <c r="B50067" s="1" t="str">
        <f>"68739"</f>
        <v>68739</v>
      </c>
      <c r="C50067" s="2">
        <v>1.60226118026455E-4</v>
      </c>
      <c r="D50067" s="2">
        <v>1.1142245825045601E-4</v>
      </c>
      <c r="E50067" s="2">
        <v>1.37633816628745E-4</v>
      </c>
      <c r="F50067" s="2">
        <v>1.5650925546001099E-4</v>
      </c>
    </row>
    <row r="50068" spans="1:6" x14ac:dyDescent="0.25">
      <c r="A50068" s="1" t="str">
        <f t="shared" si="1586"/>
        <v>99999</v>
      </c>
      <c r="B50068" s="1" t="str">
        <f>"68825"</f>
        <v>68825</v>
      </c>
      <c r="C50068" s="2">
        <v>5.3264358154740698E-5</v>
      </c>
      <c r="D50068" s="2">
        <v>3.7642722381910999E-5</v>
      </c>
      <c r="E50068" s="2">
        <v>1.72042270785932E-5</v>
      </c>
      <c r="F50068" s="2">
        <v>5.1413191736863898E-5</v>
      </c>
    </row>
    <row r="50069" spans="1:6" x14ac:dyDescent="0.25">
      <c r="A50069" s="1" t="str">
        <f t="shared" si="1586"/>
        <v>99999</v>
      </c>
      <c r="B50069" s="1" t="str">
        <f>"68781"</f>
        <v>68781</v>
      </c>
      <c r="C50069" s="2">
        <v>3.1395658261940602E-5</v>
      </c>
      <c r="D50069" s="2">
        <v>9.0342533716586405E-6</v>
      </c>
      <c r="E50069" s="2">
        <v>1.72042270785932E-5</v>
      </c>
      <c r="F50069" s="2">
        <v>2.9604524992435998E-5</v>
      </c>
    </row>
    <row r="50070" spans="1:6" x14ac:dyDescent="0.25">
      <c r="A50070" s="1" t="str">
        <f t="shared" si="1586"/>
        <v>99999</v>
      </c>
      <c r="B50070" s="1" t="str">
        <f>"68354"</f>
        <v>68354</v>
      </c>
      <c r="C50070" s="2">
        <v>4.8717400751287198E-5</v>
      </c>
      <c r="D50070" s="2">
        <v>3.1619886800805203E-5</v>
      </c>
      <c r="E50070" s="2">
        <v>5.5913738005427899E-5</v>
      </c>
      <c r="F50070" s="2">
        <v>4.7761966987796801E-5</v>
      </c>
    </row>
    <row r="50071" spans="1:6" x14ac:dyDescent="0.25">
      <c r="A50071" s="1" t="str">
        <f t="shared" si="1586"/>
        <v>99999</v>
      </c>
      <c r="B50071" s="1" t="str">
        <f>"68325"</f>
        <v>68325</v>
      </c>
      <c r="C50071" s="2">
        <v>1.41821766631525E-5</v>
      </c>
      <c r="D50071" s="2">
        <v>0</v>
      </c>
      <c r="E50071" s="2">
        <v>4.3010567696482999E-6</v>
      </c>
      <c r="F50071" s="2">
        <v>1.30259909966718E-5</v>
      </c>
    </row>
    <row r="50072" spans="1:6" x14ac:dyDescent="0.25">
      <c r="A50072" s="1" t="str">
        <f t="shared" si="1586"/>
        <v>99999</v>
      </c>
      <c r="B50072" s="1" t="str">
        <f>"68417"</f>
        <v>68417</v>
      </c>
      <c r="C50072" s="2">
        <v>1.6455655364879201E-5</v>
      </c>
      <c r="D50072" s="2">
        <v>3.01141779055288E-6</v>
      </c>
      <c r="E50072" s="2">
        <v>4.3010567696482999E-6</v>
      </c>
      <c r="F50072" s="2">
        <v>1.5295671246091901E-5</v>
      </c>
    </row>
    <row r="50073" spans="1:6" x14ac:dyDescent="0.25">
      <c r="A50073" s="1" t="str">
        <f t="shared" si="1586"/>
        <v>99999</v>
      </c>
      <c r="B50073" s="1" t="str">
        <f>"61727"</f>
        <v>61727</v>
      </c>
      <c r="C50073" s="2">
        <v>5.2668923256669398E-4</v>
      </c>
      <c r="D50073" s="2">
        <v>6.7455758508384498E-4</v>
      </c>
      <c r="E50073" s="2">
        <v>1.0107483408673501E-3</v>
      </c>
      <c r="F50073" s="2">
        <v>5.4748634886011703E-4</v>
      </c>
    </row>
    <row r="50074" spans="1:6" x14ac:dyDescent="0.25">
      <c r="A50074" s="1" t="str">
        <f t="shared" si="1586"/>
        <v>99999</v>
      </c>
      <c r="B50074" s="1" t="str">
        <f>"60928"</f>
        <v>60928</v>
      </c>
      <c r="C50074" s="2">
        <v>3.83243552576793E-5</v>
      </c>
      <c r="D50074" s="2">
        <v>1.50570889527644E-6</v>
      </c>
      <c r="E50074" s="2">
        <v>9.0322192162614306E-5</v>
      </c>
      <c r="F50074" s="2">
        <v>3.7104337990519798E-5</v>
      </c>
    </row>
    <row r="50075" spans="1:6" x14ac:dyDescent="0.25">
      <c r="A50075" s="1" t="str">
        <f t="shared" si="1586"/>
        <v>99999</v>
      </c>
      <c r="B50075" s="1" t="str">
        <f>"60933"</f>
        <v>60933</v>
      </c>
      <c r="C50075" s="2">
        <v>9.96000193137428E-6</v>
      </c>
      <c r="D50075" s="2">
        <v>6.0228355811057601E-6</v>
      </c>
      <c r="E50075" s="2">
        <v>0</v>
      </c>
      <c r="F50075" s="2">
        <v>9.4734479975795299E-6</v>
      </c>
    </row>
    <row r="50076" spans="1:6" x14ac:dyDescent="0.25">
      <c r="A50076" s="1" t="str">
        <f t="shared" si="1586"/>
        <v>99999</v>
      </c>
      <c r="B50076" s="1" t="str">
        <f>"62356"</f>
        <v>62356</v>
      </c>
      <c r="C50076" s="2">
        <v>3.2694788948641601E-5</v>
      </c>
      <c r="D50076" s="2">
        <v>7.5285444763821999E-6</v>
      </c>
      <c r="E50076" s="2">
        <v>1.29031703089449E-5</v>
      </c>
      <c r="F50076" s="2">
        <v>3.0591342492183898E-5</v>
      </c>
    </row>
    <row r="50077" spans="1:6" x14ac:dyDescent="0.25">
      <c r="A50077" s="1" t="str">
        <f t="shared" si="1586"/>
        <v>99999</v>
      </c>
      <c r="B50077" s="1" t="str">
        <f>"62410"</f>
        <v>62410</v>
      </c>
      <c r="C50077" s="2">
        <v>4.8825661641845601E-5</v>
      </c>
      <c r="D50077" s="2">
        <v>3.1619886800805203E-5</v>
      </c>
      <c r="E50077" s="2">
        <v>1.72042270785932E-5</v>
      </c>
      <c r="F50077" s="2">
        <v>4.6972512987998499E-5</v>
      </c>
    </row>
    <row r="50078" spans="1:6" x14ac:dyDescent="0.25">
      <c r="A50078" s="1" t="str">
        <f t="shared" si="1586"/>
        <v>99999</v>
      </c>
      <c r="B50078" s="1" t="str">
        <f>"62015"</f>
        <v>62015</v>
      </c>
      <c r="C50078" s="2">
        <v>2.7173483530162401E-5</v>
      </c>
      <c r="D50078" s="2">
        <v>7.5285444763821999E-6</v>
      </c>
      <c r="E50078" s="2">
        <v>4.3010567696482999E-6</v>
      </c>
      <c r="F50078" s="2">
        <v>2.53612097435202E-5</v>
      </c>
    </row>
    <row r="50079" spans="1:6" x14ac:dyDescent="0.25">
      <c r="A50079" s="1" t="str">
        <f t="shared" si="1586"/>
        <v>99999</v>
      </c>
      <c r="B50079" s="1" t="str">
        <f>"61937"</f>
        <v>61937</v>
      </c>
      <c r="C50079" s="2">
        <v>9.5161322800847798E-5</v>
      </c>
      <c r="D50079" s="2">
        <v>5.1194102439398901E-5</v>
      </c>
      <c r="E50079" s="2">
        <v>8.6021135392965999E-5</v>
      </c>
      <c r="F50079" s="2">
        <v>9.2070072726475996E-5</v>
      </c>
    </row>
    <row r="50080" spans="1:6" x14ac:dyDescent="0.25">
      <c r="A50080" s="1" t="str">
        <f t="shared" si="1586"/>
        <v>99999</v>
      </c>
      <c r="B50080" s="1" t="str">
        <f>"61943"</f>
        <v>61943</v>
      </c>
      <c r="C50080" s="2">
        <v>1.07178281652832E-5</v>
      </c>
      <c r="D50080" s="2">
        <v>4.5171266858293203E-6</v>
      </c>
      <c r="E50080" s="2">
        <v>0</v>
      </c>
      <c r="F50080" s="2">
        <v>1.00655384974282E-5</v>
      </c>
    </row>
    <row r="50081" spans="1:6" x14ac:dyDescent="0.25">
      <c r="A50081" s="1" t="str">
        <f t="shared" si="1586"/>
        <v>99999</v>
      </c>
      <c r="B50081" s="1" t="str">
        <f>"63071"</f>
        <v>63071</v>
      </c>
      <c r="C50081" s="2">
        <v>6.05178378221546E-5</v>
      </c>
      <c r="D50081" s="2">
        <v>1.50570889527644E-5</v>
      </c>
      <c r="E50081" s="2">
        <v>4.3010567696482999E-6</v>
      </c>
      <c r="F50081" s="2">
        <v>5.6248597485628397E-5</v>
      </c>
    </row>
    <row r="50082" spans="1:6" x14ac:dyDescent="0.25">
      <c r="A50082" s="1" t="str">
        <f t="shared" si="1586"/>
        <v>99999</v>
      </c>
      <c r="B50082" s="1" t="str">
        <f>"63060"</f>
        <v>63060</v>
      </c>
      <c r="C50082" s="2">
        <v>3.3560876073109E-6</v>
      </c>
      <c r="D50082" s="2">
        <v>0</v>
      </c>
      <c r="E50082" s="2">
        <v>0</v>
      </c>
      <c r="F50082" s="2">
        <v>3.0591342492183902E-6</v>
      </c>
    </row>
    <row r="50083" spans="1:6" x14ac:dyDescent="0.25">
      <c r="A50083" s="1" t="str">
        <f t="shared" si="1586"/>
        <v>99999</v>
      </c>
      <c r="B50083" s="1" t="str">
        <f>"62835"</f>
        <v>62835</v>
      </c>
      <c r="C50083" s="2">
        <v>6.3224360086114995E-5</v>
      </c>
      <c r="D50083" s="2">
        <v>2.25856334291466E-5</v>
      </c>
      <c r="E50083" s="2">
        <v>2.15052838482415E-5</v>
      </c>
      <c r="F50083" s="2">
        <v>5.9603776984771199E-5</v>
      </c>
    </row>
    <row r="50084" spans="1:6" x14ac:dyDescent="0.25">
      <c r="A50084" s="1" t="str">
        <f t="shared" si="1586"/>
        <v>99999</v>
      </c>
      <c r="B50084" s="1" t="str">
        <f>"62837"</f>
        <v>62837</v>
      </c>
      <c r="C50084" s="2">
        <v>4.9107139957297501E-4</v>
      </c>
      <c r="D50084" s="2">
        <v>8.2211705682093601E-4</v>
      </c>
      <c r="E50084" s="2">
        <v>5.6343843682392695E-4</v>
      </c>
      <c r="F50084" s="2">
        <v>5.1442796261856301E-4</v>
      </c>
    </row>
    <row r="50085" spans="1:6" x14ac:dyDescent="0.25">
      <c r="A50085" s="1" t="str">
        <f t="shared" si="1586"/>
        <v>99999</v>
      </c>
      <c r="B50085" s="1" t="str">
        <f>"62859"</f>
        <v>62859</v>
      </c>
      <c r="C50085" s="2">
        <v>3.3430963004438898E-4</v>
      </c>
      <c r="D50085" s="2">
        <v>4.5472408637348502E-4</v>
      </c>
      <c r="E50085" s="2">
        <v>2.3655812233065599E-4</v>
      </c>
      <c r="F50085" s="2">
        <v>3.3995862866314001E-4</v>
      </c>
    </row>
    <row r="50086" spans="1:6" x14ac:dyDescent="0.25">
      <c r="A50086" s="1" t="str">
        <f t="shared" si="1586"/>
        <v>99999</v>
      </c>
      <c r="B50086" s="1" t="str">
        <f>"62803"</f>
        <v>62803</v>
      </c>
      <c r="C50086" s="2">
        <v>4.2654790880015898E-5</v>
      </c>
      <c r="D50086" s="2">
        <v>2.4091342324423E-5</v>
      </c>
      <c r="E50086" s="2">
        <v>4.3010567696482999E-6</v>
      </c>
      <c r="F50086" s="2">
        <v>4.0558199239637301E-5</v>
      </c>
    </row>
    <row r="50087" spans="1:6" x14ac:dyDescent="0.25">
      <c r="A50087" s="1" t="str">
        <f t="shared" si="1586"/>
        <v>99999</v>
      </c>
      <c r="B50087" s="1" t="str">
        <f>"62884"</f>
        <v>62884</v>
      </c>
      <c r="C50087" s="2">
        <v>1.5557089973244399E-4</v>
      </c>
      <c r="D50087" s="2">
        <v>1.0991674935517999E-4</v>
      </c>
      <c r="E50087" s="2">
        <v>4.7311624466131299E-5</v>
      </c>
      <c r="F50087" s="2">
        <v>1.5009494171164999E-4</v>
      </c>
    </row>
    <row r="50088" spans="1:6" x14ac:dyDescent="0.25">
      <c r="A50088" s="1" t="str">
        <f t="shared" si="1586"/>
        <v>99999</v>
      </c>
      <c r="B50088" s="1" t="str">
        <f>"62842"</f>
        <v>62842</v>
      </c>
      <c r="C50088" s="2">
        <v>4.1463921083873303E-5</v>
      </c>
      <c r="D50088" s="2">
        <v>1.20456711622115E-5</v>
      </c>
      <c r="E50088" s="2">
        <v>4.3010567696482999E-6</v>
      </c>
      <c r="F50088" s="2">
        <v>3.8683245990116401E-5</v>
      </c>
    </row>
    <row r="50089" spans="1:6" x14ac:dyDescent="0.25">
      <c r="A50089" s="1" t="str">
        <f t="shared" si="1586"/>
        <v>99999</v>
      </c>
      <c r="B50089" s="1" t="str">
        <f>"62874"</f>
        <v>62874</v>
      </c>
      <c r="C50089" s="2">
        <v>2.2518265236150501E-5</v>
      </c>
      <c r="D50089" s="2">
        <v>3.01141779055288E-6</v>
      </c>
      <c r="E50089" s="2">
        <v>4.3010567696482999E-6</v>
      </c>
      <c r="F50089" s="2">
        <v>2.082184924468E-5</v>
      </c>
    </row>
    <row r="50090" spans="1:6" x14ac:dyDescent="0.25">
      <c r="A50090" s="1" t="str">
        <f t="shared" si="1586"/>
        <v>99999</v>
      </c>
      <c r="B50090" s="1" t="str">
        <f>"62875"</f>
        <v>62875</v>
      </c>
      <c r="C50090" s="2">
        <v>9.5269583691406198E-6</v>
      </c>
      <c r="D50090" s="2">
        <v>1.50570889527644E-6</v>
      </c>
      <c r="E50090" s="2">
        <v>0</v>
      </c>
      <c r="F50090" s="2">
        <v>8.7826757477560201E-6</v>
      </c>
    </row>
    <row r="50091" spans="1:6" x14ac:dyDescent="0.25">
      <c r="A50091" s="1" t="str">
        <f t="shared" si="1586"/>
        <v>99999</v>
      </c>
      <c r="B50091" s="1" t="str">
        <f>"62946"</f>
        <v>62946</v>
      </c>
      <c r="C50091" s="2">
        <v>7.4721666663418805E-4</v>
      </c>
      <c r="D50091" s="2">
        <v>1.2467269652888899E-3</v>
      </c>
      <c r="E50091" s="2">
        <v>8.8171663777790205E-4</v>
      </c>
      <c r="F50091" s="2">
        <v>7.8303968604993303E-4</v>
      </c>
    </row>
    <row r="50092" spans="1:6" x14ac:dyDescent="0.25">
      <c r="A50092" s="1" t="str">
        <f t="shared" si="1586"/>
        <v>99999</v>
      </c>
      <c r="B50092" s="1" t="str">
        <f>"62982"</f>
        <v>62982</v>
      </c>
      <c r="C50092" s="2">
        <v>3.83243552576793E-5</v>
      </c>
      <c r="D50092" s="2">
        <v>2.1079924533870101E-5</v>
      </c>
      <c r="E50092" s="2">
        <v>6.8816908314372799E-5</v>
      </c>
      <c r="F50092" s="2">
        <v>3.7893791990318099E-5</v>
      </c>
    </row>
    <row r="50093" spans="1:6" x14ac:dyDescent="0.25">
      <c r="A50093" s="1" t="str">
        <f t="shared" si="1586"/>
        <v>99999</v>
      </c>
      <c r="B50093" s="1" t="str">
        <f>"62983"</f>
        <v>62983</v>
      </c>
      <c r="C50093" s="2">
        <v>7.9246971888760598E-5</v>
      </c>
      <c r="D50093" s="2">
        <v>1.35513800574879E-5</v>
      </c>
      <c r="E50093" s="2">
        <v>8.6021135392965999E-6</v>
      </c>
      <c r="F50093" s="2">
        <v>7.3320540231266605E-5</v>
      </c>
    </row>
    <row r="50094" spans="1:6" x14ac:dyDescent="0.25">
      <c r="A50094" s="1" t="str">
        <f t="shared" si="1586"/>
        <v>99999</v>
      </c>
      <c r="B50094" s="1" t="str">
        <f>"62998"</f>
        <v>62998</v>
      </c>
      <c r="C50094" s="2">
        <v>2.1327395440007902E-5</v>
      </c>
      <c r="D50094" s="2">
        <v>9.0342533716586405E-6</v>
      </c>
      <c r="E50094" s="2">
        <v>4.3010567696482999E-6</v>
      </c>
      <c r="F50094" s="2">
        <v>2.0131076994856499E-5</v>
      </c>
    </row>
    <row r="50095" spans="1:6" x14ac:dyDescent="0.25">
      <c r="A50095" s="1" t="str">
        <f t="shared" si="1586"/>
        <v>99999</v>
      </c>
      <c r="B50095" s="1" t="str">
        <f>"62977"</f>
        <v>62977</v>
      </c>
      <c r="C50095" s="2">
        <v>3.8865659710471399E-5</v>
      </c>
      <c r="D50095" s="2">
        <v>2.1079924533870101E-5</v>
      </c>
      <c r="E50095" s="2">
        <v>2.15052838482415E-5</v>
      </c>
      <c r="F50095" s="2">
        <v>3.7301701490469398E-5</v>
      </c>
    </row>
    <row r="50096" spans="1:6" x14ac:dyDescent="0.25">
      <c r="A50096" s="1" t="str">
        <f t="shared" si="1586"/>
        <v>99999</v>
      </c>
      <c r="B50096" s="1" t="str">
        <f>"62560"</f>
        <v>62560</v>
      </c>
      <c r="C50096" s="2">
        <v>7.5024797156982397E-5</v>
      </c>
      <c r="D50096" s="2">
        <v>7.0768318077992694E-5</v>
      </c>
      <c r="E50096" s="2">
        <v>1.03225362471559E-4</v>
      </c>
      <c r="F50096" s="2">
        <v>7.5392856980737106E-5</v>
      </c>
    </row>
    <row r="50097" spans="1:6" x14ac:dyDescent="0.25">
      <c r="A50097" s="1" t="str">
        <f t="shared" si="1586"/>
        <v>99999</v>
      </c>
      <c r="B50097" s="1" t="str">
        <f>"62533"</f>
        <v>62533</v>
      </c>
      <c r="C50097" s="2">
        <v>5.0449575000221899E-5</v>
      </c>
      <c r="D50097" s="2">
        <v>3.1619886800805203E-5</v>
      </c>
      <c r="E50097" s="2">
        <v>6.8816908314372799E-5</v>
      </c>
      <c r="F50097" s="2">
        <v>4.96369202373177E-5</v>
      </c>
    </row>
    <row r="50098" spans="1:6" x14ac:dyDescent="0.25">
      <c r="A50098" s="1" t="str">
        <f t="shared" si="1586"/>
        <v>99999</v>
      </c>
      <c r="B50098" s="1" t="str">
        <f>"62624"</f>
        <v>62624</v>
      </c>
      <c r="C50098" s="2">
        <v>2.6740439967928698E-5</v>
      </c>
      <c r="D50098" s="2">
        <v>4.5171266858293203E-6</v>
      </c>
      <c r="E50098" s="2">
        <v>0</v>
      </c>
      <c r="F50098" s="2">
        <v>2.4670437493696699E-5</v>
      </c>
    </row>
    <row r="50099" spans="1:6" x14ac:dyDescent="0.25">
      <c r="A50099" s="1" t="str">
        <f t="shared" si="1586"/>
        <v>99999</v>
      </c>
      <c r="B50099" s="1" t="str">
        <f>"62426"</f>
        <v>62426</v>
      </c>
      <c r="C50099" s="2">
        <v>1.7971307832697E-5</v>
      </c>
      <c r="D50099" s="2">
        <v>1.50570889527644E-6</v>
      </c>
      <c r="E50099" s="2">
        <v>0</v>
      </c>
      <c r="F50099" s="2">
        <v>1.64798522457893E-5</v>
      </c>
    </row>
    <row r="50100" spans="1:6" x14ac:dyDescent="0.25">
      <c r="A50100" s="1" t="str">
        <f t="shared" si="1586"/>
        <v>99999</v>
      </c>
      <c r="B50100" s="1" t="str">
        <f>"62465"</f>
        <v>62465</v>
      </c>
      <c r="C50100" s="2">
        <v>4.4711747800625797E-5</v>
      </c>
      <c r="D50100" s="2">
        <v>3.7642722381910999E-5</v>
      </c>
      <c r="E50100" s="2">
        <v>4.3010567696482999E-6</v>
      </c>
      <c r="F50100" s="2">
        <v>4.3321288238931401E-5</v>
      </c>
    </row>
    <row r="50101" spans="1:6" x14ac:dyDescent="0.25">
      <c r="A50101" s="1" t="str">
        <f t="shared" si="1586"/>
        <v>99999</v>
      </c>
      <c r="B50101" s="1" t="str">
        <f>"62460"</f>
        <v>62460</v>
      </c>
      <c r="C50101" s="2">
        <v>6.5930882350075397E-5</v>
      </c>
      <c r="D50101" s="2">
        <v>2.7102760114975901E-5</v>
      </c>
      <c r="E50101" s="2">
        <v>4.3010567696482999E-6</v>
      </c>
      <c r="F50101" s="2">
        <v>6.1972138984166104E-5</v>
      </c>
    </row>
    <row r="50102" spans="1:6" x14ac:dyDescent="0.25">
      <c r="A50102" s="1" t="str">
        <f t="shared" si="1586"/>
        <v>99999</v>
      </c>
      <c r="B50102" s="1" t="str">
        <f>"65338"</f>
        <v>65338</v>
      </c>
      <c r="C50102" s="2">
        <v>1.8999786293001999E-4</v>
      </c>
      <c r="D50102" s="2">
        <v>9.33539515071393E-5</v>
      </c>
      <c r="E50102" s="2">
        <v>1.41934873398393E-4</v>
      </c>
      <c r="F50102" s="2">
        <v>1.82561237453355E-4</v>
      </c>
    </row>
    <row r="50103" spans="1:6" x14ac:dyDescent="0.25">
      <c r="A50103" s="1" t="str">
        <f t="shared" si="1586"/>
        <v>99999</v>
      </c>
      <c r="B50103" s="1" t="str">
        <f>"65326"</f>
        <v>65326</v>
      </c>
      <c r="C50103" s="2">
        <v>2.2106873852028501E-4</v>
      </c>
      <c r="D50103" s="2">
        <v>3.6137013486634501E-5</v>
      </c>
      <c r="E50103" s="2">
        <v>3.44084541571864E-5</v>
      </c>
      <c r="F50103" s="2">
        <v>2.0466594944770701E-4</v>
      </c>
    </row>
    <row r="50104" spans="1:6" x14ac:dyDescent="0.25">
      <c r="A50104" s="1" t="str">
        <f t="shared" si="1586"/>
        <v>99999</v>
      </c>
      <c r="B50104" s="1" t="str">
        <f>"63673"</f>
        <v>63673</v>
      </c>
      <c r="C50104" s="2">
        <v>1.14323500429687E-4</v>
      </c>
      <c r="D50104" s="2">
        <v>5.1194102439398901E-5</v>
      </c>
      <c r="E50104" s="2">
        <v>1.29031703089449E-5</v>
      </c>
      <c r="F50104" s="2">
        <v>1.07859152722441E-4</v>
      </c>
    </row>
    <row r="50105" spans="1:6" x14ac:dyDescent="0.25">
      <c r="A50105" s="1" t="str">
        <f t="shared" si="1586"/>
        <v>99999</v>
      </c>
      <c r="B50105" s="1" t="str">
        <f>"63834"</f>
        <v>63834</v>
      </c>
      <c r="C50105" s="2">
        <v>2.5354700568780999E-4</v>
      </c>
      <c r="D50105" s="2">
        <v>4.35149870734891E-4</v>
      </c>
      <c r="E50105" s="2">
        <v>1.5913910047698701E-4</v>
      </c>
      <c r="F50105" s="2">
        <v>2.6328290893273099E-4</v>
      </c>
    </row>
    <row r="50106" spans="1:6" x14ac:dyDescent="0.25">
      <c r="A50106" s="1" t="str">
        <f t="shared" si="1586"/>
        <v>99999</v>
      </c>
      <c r="B50106" s="1" t="str">
        <f>"63846"</f>
        <v>63846</v>
      </c>
      <c r="C50106" s="2">
        <v>7.2318274893021995E-5</v>
      </c>
      <c r="D50106" s="2">
        <v>3.4631304591358098E-5</v>
      </c>
      <c r="E50106" s="2">
        <v>2.15052838482415E-5</v>
      </c>
      <c r="F50106" s="2">
        <v>6.8682497982451598E-5</v>
      </c>
    </row>
    <row r="50107" spans="1:6" x14ac:dyDescent="0.25">
      <c r="A50107" s="1" t="str">
        <f t="shared" si="1586"/>
        <v>99999</v>
      </c>
      <c r="B50107" s="1" t="str">
        <f>"63869"</f>
        <v>63869</v>
      </c>
      <c r="C50107" s="2">
        <v>1.8859047135276E-4</v>
      </c>
      <c r="D50107" s="2">
        <v>2.9662465236945799E-4</v>
      </c>
      <c r="E50107" s="2">
        <v>3.91396166037995E-4</v>
      </c>
      <c r="F50107" s="2">
        <v>2.00323952448817E-4</v>
      </c>
    </row>
    <row r="50108" spans="1:6" x14ac:dyDescent="0.25">
      <c r="A50108" s="1" t="str">
        <f t="shared" si="1586"/>
        <v>99999</v>
      </c>
      <c r="B50108" s="1" t="str">
        <f>"63627"</f>
        <v>63627</v>
      </c>
      <c r="C50108" s="2">
        <v>1.4387872355213499E-4</v>
      </c>
      <c r="D50108" s="2">
        <v>9.7871078192968605E-5</v>
      </c>
      <c r="E50108" s="2">
        <v>6.0214794775076199E-5</v>
      </c>
      <c r="F50108" s="2">
        <v>1.38943903964499E-4</v>
      </c>
    </row>
    <row r="50109" spans="1:6" x14ac:dyDescent="0.25">
      <c r="A50109" s="1" t="str">
        <f t="shared" si="1586"/>
        <v>99999</v>
      </c>
      <c r="B50109" s="1" t="str">
        <f>"65066"</f>
        <v>65066</v>
      </c>
      <c r="C50109" s="2">
        <v>3.5596180815607203E-4</v>
      </c>
      <c r="D50109" s="2">
        <v>4.8634397317428999E-4</v>
      </c>
      <c r="E50109" s="2">
        <v>2.9677291710573201E-4</v>
      </c>
      <c r="F50109" s="2">
        <v>3.63148839907215E-4</v>
      </c>
    </row>
    <row r="50110" spans="1:6" x14ac:dyDescent="0.25">
      <c r="A50110" s="1" t="str">
        <f t="shared" si="1586"/>
        <v>99999</v>
      </c>
      <c r="B50110" s="1" t="str">
        <f>"65456"</f>
        <v>65456</v>
      </c>
      <c r="C50110" s="2">
        <v>2.69569617490456E-5</v>
      </c>
      <c r="D50110" s="2">
        <v>3.01141779055288E-6</v>
      </c>
      <c r="E50110" s="2">
        <v>3.4838559834151202E-4</v>
      </c>
      <c r="F50110" s="2">
        <v>3.2762340991629202E-5</v>
      </c>
    </row>
    <row r="50111" spans="1:6" x14ac:dyDescent="0.25">
      <c r="A50111" s="1" t="str">
        <f t="shared" si="1586"/>
        <v>99999</v>
      </c>
      <c r="B50111" s="1" t="str">
        <f>"64788"</f>
        <v>64788</v>
      </c>
      <c r="C50111" s="2">
        <v>8.3685668401655593E-5</v>
      </c>
      <c r="D50111" s="2">
        <v>2.4091342324423E-5</v>
      </c>
      <c r="E50111" s="2">
        <v>5.1612681235779599E-5</v>
      </c>
      <c r="F50111" s="2">
        <v>7.9044081729804196E-5</v>
      </c>
    </row>
    <row r="50112" spans="1:6" x14ac:dyDescent="0.25">
      <c r="A50112" s="1" t="str">
        <f t="shared" si="1586"/>
        <v>99999</v>
      </c>
      <c r="B50112" s="1" t="str">
        <f>"65567"</f>
        <v>65567</v>
      </c>
      <c r="C50112" s="2">
        <v>6.1167403165505096E-5</v>
      </c>
      <c r="D50112" s="2">
        <v>1.35513800574879E-5</v>
      </c>
      <c r="E50112" s="2">
        <v>8.6021135392965999E-6</v>
      </c>
      <c r="F50112" s="2">
        <v>5.68406879854772E-5</v>
      </c>
    </row>
    <row r="50113" spans="1:6" x14ac:dyDescent="0.25">
      <c r="A50113" s="1" t="str">
        <f t="shared" si="1586"/>
        <v>99999</v>
      </c>
      <c r="B50113" s="1" t="str">
        <f>"65565"</f>
        <v>65565</v>
      </c>
      <c r="C50113" s="2">
        <v>2.6220787693248299E-4</v>
      </c>
      <c r="D50113" s="2">
        <v>9.4859660402415704E-5</v>
      </c>
      <c r="E50113" s="2">
        <v>6.7956696960443097E-4</v>
      </c>
      <c r="F50113" s="2">
        <v>2.6081586518336101E-4</v>
      </c>
    </row>
    <row r="50114" spans="1:6" x14ac:dyDescent="0.25">
      <c r="A50114" s="1" t="str">
        <f t="shared" si="1586"/>
        <v>99999</v>
      </c>
      <c r="B50114" s="1" t="str">
        <f>"65466"</f>
        <v>65466</v>
      </c>
      <c r="C50114" s="2">
        <v>1.00141323766534E-4</v>
      </c>
      <c r="D50114" s="2">
        <v>1.12928167145733E-4</v>
      </c>
      <c r="E50114" s="2">
        <v>2.58063406178898E-5</v>
      </c>
      <c r="F50114" s="2">
        <v>9.9273840474635496E-5</v>
      </c>
    </row>
    <row r="50115" spans="1:6" x14ac:dyDescent="0.25">
      <c r="A50115" s="1" t="str">
        <f t="shared" si="1586"/>
        <v>99999</v>
      </c>
      <c r="B50115" s="1" t="str">
        <f>"64622"</f>
        <v>64622</v>
      </c>
      <c r="C50115" s="2">
        <v>3.5401311212602003E-5</v>
      </c>
      <c r="D50115" s="2">
        <v>2.1079924533870101E-5</v>
      </c>
      <c r="E50115" s="2">
        <v>4.3010567696482999E-6</v>
      </c>
      <c r="F50115" s="2">
        <v>3.3749158491377003E-5</v>
      </c>
    </row>
    <row r="50116" spans="1:6" x14ac:dyDescent="0.25">
      <c r="A50116" s="1" t="str">
        <f t="shared" si="1586"/>
        <v>99999</v>
      </c>
      <c r="B50116" s="1" t="str">
        <f>"64628"</f>
        <v>64628</v>
      </c>
      <c r="C50116" s="2">
        <v>3.3517571716885599E-4</v>
      </c>
      <c r="D50116" s="2">
        <v>5.7518079799560005E-4</v>
      </c>
      <c r="E50116" s="2">
        <v>1.7634332755557999E-4</v>
      </c>
      <c r="F50116" s="2">
        <v>3.4726107816127402E-4</v>
      </c>
    </row>
    <row r="50117" spans="1:6" x14ac:dyDescent="0.25">
      <c r="A50117" s="1" t="str">
        <f t="shared" si="1586"/>
        <v>99999</v>
      </c>
      <c r="B50117" s="1" t="str">
        <f>"64658"</f>
        <v>64658</v>
      </c>
      <c r="C50117" s="2">
        <v>1.83610470387073E-4</v>
      </c>
      <c r="D50117" s="2">
        <v>2.3338487876784801E-4</v>
      </c>
      <c r="E50117" s="2">
        <v>9.4623248932262599E-5</v>
      </c>
      <c r="F50117" s="2">
        <v>1.84830917702775E-4</v>
      </c>
    </row>
    <row r="50118" spans="1:6" x14ac:dyDescent="0.25">
      <c r="A50118" s="1" t="str">
        <f t="shared" ref="A50118:A50181" si="1587">"99999"</f>
        <v>99999</v>
      </c>
      <c r="B50118" s="1" t="str">
        <f>"64623"</f>
        <v>64623</v>
      </c>
      <c r="C50118" s="2">
        <v>3.2694788948641601E-5</v>
      </c>
      <c r="D50118" s="2">
        <v>2.55970512196994E-5</v>
      </c>
      <c r="E50118" s="2">
        <v>4.3010567696482999E-6</v>
      </c>
      <c r="F50118" s="2">
        <v>3.1578159991931699E-5</v>
      </c>
    </row>
    <row r="50119" spans="1:6" x14ac:dyDescent="0.25">
      <c r="A50119" s="1" t="str">
        <f t="shared" si="1587"/>
        <v>99999</v>
      </c>
      <c r="B50119" s="1" t="str">
        <f>"64458"</f>
        <v>64458</v>
      </c>
      <c r="C50119" s="2">
        <v>1.5914350912087102E-5</v>
      </c>
      <c r="D50119" s="2">
        <v>1.0539962266935E-5</v>
      </c>
      <c r="E50119" s="2">
        <v>4.3010567696482999E-6</v>
      </c>
      <c r="F50119" s="2">
        <v>1.5295671246091901E-5</v>
      </c>
    </row>
    <row r="50120" spans="1:6" x14ac:dyDescent="0.25">
      <c r="A50120" s="1" t="str">
        <f t="shared" si="1587"/>
        <v>99999</v>
      </c>
      <c r="B50120" s="1" t="str">
        <f>"64651"</f>
        <v>64651</v>
      </c>
      <c r="C50120" s="2">
        <v>3.2261745386408E-5</v>
      </c>
      <c r="D50120" s="2">
        <v>1.20456711622115E-5</v>
      </c>
      <c r="E50120" s="2">
        <v>1.29031703089449E-5</v>
      </c>
      <c r="F50120" s="2">
        <v>3.0492660742209101E-5</v>
      </c>
    </row>
    <row r="50121" spans="1:6" x14ac:dyDescent="0.25">
      <c r="A50121" s="1" t="str">
        <f t="shared" si="1587"/>
        <v>99999</v>
      </c>
      <c r="B50121" s="1" t="str">
        <f>"64756"</f>
        <v>64756</v>
      </c>
      <c r="C50121" s="2">
        <v>4.0164790397172297E-5</v>
      </c>
      <c r="D50121" s="2">
        <v>9.0342533716586405E-6</v>
      </c>
      <c r="E50121" s="2">
        <v>4.3010567696482999E-6</v>
      </c>
      <c r="F50121" s="2">
        <v>3.7301701490469398E-5</v>
      </c>
    </row>
    <row r="50122" spans="1:6" x14ac:dyDescent="0.25">
      <c r="A50122" s="1" t="str">
        <f t="shared" si="1587"/>
        <v>99999</v>
      </c>
      <c r="B50122" s="1" t="str">
        <f>"64759"</f>
        <v>64759</v>
      </c>
      <c r="C50122" s="2">
        <v>4.0760225295243598E-4</v>
      </c>
      <c r="D50122" s="2">
        <v>6.0077784921529903E-4</v>
      </c>
      <c r="E50122" s="2">
        <v>2.23654952021711E-4</v>
      </c>
      <c r="F50122" s="2">
        <v>4.1604225789370101E-4</v>
      </c>
    </row>
    <row r="50123" spans="1:6" x14ac:dyDescent="0.25">
      <c r="A50123" s="1" t="str">
        <f t="shared" si="1587"/>
        <v>99999</v>
      </c>
      <c r="B50123" s="1" t="str">
        <f>"64763"</f>
        <v>64763</v>
      </c>
      <c r="C50123" s="2">
        <v>9.9924801985418099E-5</v>
      </c>
      <c r="D50123" s="2">
        <v>2.7102760114975901E-5</v>
      </c>
      <c r="E50123" s="2">
        <v>5.1612681235779599E-5</v>
      </c>
      <c r="F50123" s="2">
        <v>9.4043707725971801E-5</v>
      </c>
    </row>
    <row r="50124" spans="1:6" x14ac:dyDescent="0.25">
      <c r="A50124" s="1" t="str">
        <f t="shared" si="1587"/>
        <v>99999</v>
      </c>
      <c r="B50124" s="1" t="str">
        <f>"64471"</f>
        <v>64471</v>
      </c>
      <c r="C50124" s="2">
        <v>2.76065270923961E-5</v>
      </c>
      <c r="D50124" s="2">
        <v>9.0342533716586405E-6</v>
      </c>
      <c r="E50124" s="2">
        <v>8.6021135392965999E-6</v>
      </c>
      <c r="F50124" s="2">
        <v>2.5953300243368901E-5</v>
      </c>
    </row>
    <row r="50125" spans="1:6" x14ac:dyDescent="0.25">
      <c r="A50125" s="1" t="str">
        <f t="shared" si="1587"/>
        <v>99999</v>
      </c>
      <c r="B50125" s="1" t="str">
        <f>"64655"</f>
        <v>64655</v>
      </c>
      <c r="C50125" s="2">
        <v>1.3640872210360401E-5</v>
      </c>
      <c r="D50125" s="2">
        <v>7.5285444763821999E-6</v>
      </c>
      <c r="E50125" s="2">
        <v>4.3010567696482999E-6</v>
      </c>
      <c r="F50125" s="2">
        <v>1.30259909966718E-5</v>
      </c>
    </row>
    <row r="50126" spans="1:6" x14ac:dyDescent="0.25">
      <c r="A50126" s="1" t="str">
        <f t="shared" si="1587"/>
        <v>99999</v>
      </c>
      <c r="B50126" s="1" t="str">
        <f>"64750"</f>
        <v>64750</v>
      </c>
      <c r="C50126" s="2">
        <v>2.15439172211248E-5</v>
      </c>
      <c r="D50126" s="2">
        <v>1.20456711622115E-5</v>
      </c>
      <c r="E50126" s="2">
        <v>4.3010567696482999E-6</v>
      </c>
      <c r="F50126" s="2">
        <v>2.0525803994755599E-5</v>
      </c>
    </row>
    <row r="50127" spans="1:6" x14ac:dyDescent="0.25">
      <c r="A50127" s="1" t="str">
        <f t="shared" si="1587"/>
        <v>99999</v>
      </c>
      <c r="B50127" s="1" t="str">
        <f>"64486"</f>
        <v>64486</v>
      </c>
      <c r="C50127" s="2">
        <v>1.86208731760475E-5</v>
      </c>
      <c r="D50127" s="2">
        <v>9.0342533716586405E-6</v>
      </c>
      <c r="E50127" s="2">
        <v>4.3010567696482999E-6</v>
      </c>
      <c r="F50127" s="2">
        <v>1.76640332454868E-5</v>
      </c>
    </row>
    <row r="50128" spans="1:6" x14ac:dyDescent="0.25">
      <c r="A50128" s="1" t="str">
        <f t="shared" si="1587"/>
        <v>99999</v>
      </c>
      <c r="B50128" s="1" t="str">
        <f>"63468"</f>
        <v>63468</v>
      </c>
      <c r="C50128" s="2">
        <v>1.6423177097711701E-4</v>
      </c>
      <c r="D50128" s="2">
        <v>3.4179591922775201E-4</v>
      </c>
      <c r="E50128" s="2">
        <v>1.07526419241207E-4</v>
      </c>
      <c r="F50128" s="2">
        <v>1.74568015705397E-4</v>
      </c>
    </row>
    <row r="50129" spans="1:6" x14ac:dyDescent="0.25">
      <c r="A50129" s="1" t="str">
        <f t="shared" si="1587"/>
        <v>99999</v>
      </c>
      <c r="B50129" s="1" t="str">
        <f>"63552"</f>
        <v>63552</v>
      </c>
      <c r="C50129" s="2">
        <v>4.49390956707985E-4</v>
      </c>
      <c r="D50129" s="2">
        <v>8.7481686815561201E-4</v>
      </c>
      <c r="E50129" s="2">
        <v>6.75265912834783E-4</v>
      </c>
      <c r="F50129" s="2">
        <v>4.82455075626732E-4</v>
      </c>
    </row>
    <row r="50130" spans="1:6" x14ac:dyDescent="0.25">
      <c r="A50130" s="1" t="str">
        <f t="shared" si="1587"/>
        <v>99999</v>
      </c>
      <c r="B50130" s="1" t="str">
        <f>"63558"</f>
        <v>63558</v>
      </c>
      <c r="C50130" s="2">
        <v>5.0124792328546601E-5</v>
      </c>
      <c r="D50130" s="2">
        <v>3.6137013486634501E-5</v>
      </c>
      <c r="E50130" s="2">
        <v>6.4515851544724506E-5</v>
      </c>
      <c r="F50130" s="2">
        <v>4.9538238487342903E-5</v>
      </c>
    </row>
    <row r="50131" spans="1:6" x14ac:dyDescent="0.25">
      <c r="A50131" s="1" t="str">
        <f t="shared" si="1587"/>
        <v>99999</v>
      </c>
      <c r="B50131" s="1" t="str">
        <f>"65041"</f>
        <v>65041</v>
      </c>
      <c r="C50131" s="2">
        <v>3.3355180381048E-4</v>
      </c>
      <c r="D50131" s="2">
        <v>5.01401062127054E-4</v>
      </c>
      <c r="E50131" s="2">
        <v>3.5698771188080898E-4</v>
      </c>
      <c r="F50131" s="2">
        <v>3.4509007966182899E-4</v>
      </c>
    </row>
    <row r="50132" spans="1:6" x14ac:dyDescent="0.25">
      <c r="A50132" s="1" t="str">
        <f t="shared" si="1587"/>
        <v>99999</v>
      </c>
      <c r="B50132" s="1" t="str">
        <f>"63441"</f>
        <v>63441</v>
      </c>
      <c r="C50132" s="2">
        <v>5.7053489324285298E-5</v>
      </c>
      <c r="D50132" s="2">
        <v>2.25856334291466E-5</v>
      </c>
      <c r="E50132" s="2">
        <v>3.8709510926834699E-5</v>
      </c>
      <c r="F50132" s="2">
        <v>5.4373644236107498E-5</v>
      </c>
    </row>
    <row r="50133" spans="1:6" x14ac:dyDescent="0.25">
      <c r="A50133" s="1" t="str">
        <f t="shared" si="1587"/>
        <v>99999</v>
      </c>
      <c r="B50133" s="1" t="str">
        <f>"65047"</f>
        <v>65047</v>
      </c>
      <c r="C50133" s="2">
        <v>8.4010451073330899E-5</v>
      </c>
      <c r="D50133" s="2">
        <v>9.1848242611862802E-5</v>
      </c>
      <c r="E50133" s="2">
        <v>2.1075178171276601E-4</v>
      </c>
      <c r="F50133" s="2">
        <v>8.7432030477661098E-5</v>
      </c>
    </row>
    <row r="50134" spans="1:6" x14ac:dyDescent="0.25">
      <c r="A50134" s="1" t="str">
        <f t="shared" si="1587"/>
        <v>99999</v>
      </c>
      <c r="B50134" s="1" t="str">
        <f>"63344"</f>
        <v>63344</v>
      </c>
      <c r="C50134" s="2">
        <v>5.52130541847922E-5</v>
      </c>
      <c r="D50134" s="2">
        <v>4.0654140172463799E-5</v>
      </c>
      <c r="E50134" s="2">
        <v>3.8709510926834699E-5</v>
      </c>
      <c r="F50134" s="2">
        <v>5.3880235486233499E-5</v>
      </c>
    </row>
    <row r="50135" spans="1:6" x14ac:dyDescent="0.25">
      <c r="A50135" s="1" t="str">
        <f t="shared" si="1587"/>
        <v>99999</v>
      </c>
      <c r="B50135" s="1" t="str">
        <f>"63333"</f>
        <v>63333</v>
      </c>
      <c r="C50135" s="2">
        <v>4.6660443830677299E-5</v>
      </c>
      <c r="D50135" s="2">
        <v>2.4091342324423E-5</v>
      </c>
      <c r="E50135" s="2">
        <v>4.3010567696482999E-6</v>
      </c>
      <c r="F50135" s="2">
        <v>4.4209423988704398E-5</v>
      </c>
    </row>
    <row r="50136" spans="1:6" x14ac:dyDescent="0.25">
      <c r="A50136" s="1" t="str">
        <f t="shared" si="1587"/>
        <v>99999</v>
      </c>
      <c r="B50136" s="1" t="str">
        <f>"63330"</f>
        <v>63330</v>
      </c>
      <c r="C50136" s="2">
        <v>1.41821766631525E-5</v>
      </c>
      <c r="D50136" s="2">
        <v>1.0539962266935E-5</v>
      </c>
      <c r="E50136" s="2">
        <v>8.6021135392965999E-6</v>
      </c>
      <c r="F50136" s="2">
        <v>1.38154449964701E-5</v>
      </c>
    </row>
    <row r="50137" spans="1:6" x14ac:dyDescent="0.25">
      <c r="A50137" s="1" t="str">
        <f t="shared" si="1587"/>
        <v>99999</v>
      </c>
      <c r="B50137" s="1" t="str">
        <f>"56750"</f>
        <v>56750</v>
      </c>
      <c r="C50137" s="2">
        <v>1.29046981545632E-4</v>
      </c>
      <c r="D50137" s="2">
        <v>1.4304234505126099E-4</v>
      </c>
      <c r="E50137" s="2">
        <v>1.16128532780504E-4</v>
      </c>
      <c r="F50137" s="2">
        <v>1.2966781946686901E-4</v>
      </c>
    </row>
    <row r="50138" spans="1:6" x14ac:dyDescent="0.25">
      <c r="A50138" s="1" t="str">
        <f t="shared" si="1587"/>
        <v>99999</v>
      </c>
      <c r="B50138" s="1" t="str">
        <f>"56758"</f>
        <v>56758</v>
      </c>
      <c r="C50138" s="2">
        <v>2.1002612768332701E-5</v>
      </c>
      <c r="D50138" s="2">
        <v>4.5171266858293203E-6</v>
      </c>
      <c r="E50138" s="2">
        <v>4.3010567696482999E-6</v>
      </c>
      <c r="F50138" s="2">
        <v>1.95389864950077E-5</v>
      </c>
    </row>
    <row r="50139" spans="1:6" x14ac:dyDescent="0.25">
      <c r="A50139" s="1" t="str">
        <f t="shared" si="1587"/>
        <v>99999</v>
      </c>
      <c r="B50139" s="1" t="str">
        <f>"56545"</f>
        <v>56545</v>
      </c>
      <c r="C50139" s="2">
        <v>3.6050876555952499E-5</v>
      </c>
      <c r="D50139" s="2">
        <v>9.0342533716586405E-6</v>
      </c>
      <c r="E50139" s="2">
        <v>3.01073973875381E-5</v>
      </c>
      <c r="F50139" s="2">
        <v>3.4143885491276198E-5</v>
      </c>
    </row>
    <row r="50140" spans="1:6" x14ac:dyDescent="0.25">
      <c r="A50140" s="1" t="str">
        <f t="shared" si="1587"/>
        <v>99999</v>
      </c>
      <c r="B50140" s="1" t="str">
        <f>"56756"</f>
        <v>56756</v>
      </c>
      <c r="C50140" s="2">
        <v>4.9475226985196098E-5</v>
      </c>
      <c r="D50140" s="2">
        <v>1.50570889527644E-6</v>
      </c>
      <c r="E50140" s="2">
        <v>3.8709510926834699E-5</v>
      </c>
      <c r="F50140" s="2">
        <v>4.60843772382254E-5</v>
      </c>
    </row>
    <row r="50141" spans="1:6" x14ac:dyDescent="0.25">
      <c r="A50141" s="1" t="str">
        <f t="shared" si="1587"/>
        <v>99999</v>
      </c>
      <c r="B50141" s="1" t="str">
        <f>"56575"</f>
        <v>56575</v>
      </c>
      <c r="C50141" s="2">
        <v>5.1640444796364502E-5</v>
      </c>
      <c r="D50141" s="2">
        <v>9.0342533716586405E-6</v>
      </c>
      <c r="E50141" s="2">
        <v>2.58063406178898E-5</v>
      </c>
      <c r="F50141" s="2">
        <v>4.8255375737670698E-5</v>
      </c>
    </row>
    <row r="50142" spans="1:6" x14ac:dyDescent="0.25">
      <c r="A50142" s="1" t="str">
        <f t="shared" si="1587"/>
        <v>99999</v>
      </c>
      <c r="B50142" s="1" t="str">
        <f>"56729"</f>
        <v>56729</v>
      </c>
      <c r="C50142" s="2">
        <v>8.2278276824396208E-6</v>
      </c>
      <c r="D50142" s="2">
        <v>7.5285444763821999E-6</v>
      </c>
      <c r="E50142" s="2">
        <v>4.3010567696482999E-6</v>
      </c>
      <c r="F50142" s="2">
        <v>8.0919034979325103E-6</v>
      </c>
    </row>
    <row r="50143" spans="1:6" x14ac:dyDescent="0.25">
      <c r="A50143" s="1" t="str">
        <f t="shared" si="1587"/>
        <v>99999</v>
      </c>
      <c r="B50143" s="1" t="str">
        <f>"56131"</f>
        <v>56131</v>
      </c>
      <c r="C50143" s="2">
        <v>1.0382219404552099E-4</v>
      </c>
      <c r="D50143" s="2">
        <v>4.0654140172463799E-5</v>
      </c>
      <c r="E50143" s="2">
        <v>2.8817080356643602E-4</v>
      </c>
      <c r="F50143" s="2">
        <v>1.0391188272345E-4</v>
      </c>
    </row>
    <row r="50144" spans="1:6" x14ac:dyDescent="0.25">
      <c r="A50144" s="1" t="str">
        <f t="shared" si="1587"/>
        <v>99999</v>
      </c>
      <c r="B50144" s="1" t="str">
        <f>"56145"</f>
        <v>56145</v>
      </c>
      <c r="C50144" s="2">
        <v>3.5401311212602003E-5</v>
      </c>
      <c r="D50144" s="2">
        <v>3.01141779055288E-5</v>
      </c>
      <c r="E50144" s="2">
        <v>8.6021135392965999E-6</v>
      </c>
      <c r="F50144" s="2">
        <v>3.4439930741200501E-5</v>
      </c>
    </row>
    <row r="50145" spans="1:6" x14ac:dyDescent="0.25">
      <c r="A50145" s="1" t="str">
        <f t="shared" si="1587"/>
        <v>99999</v>
      </c>
      <c r="B50145" s="1" t="str">
        <f>"56142"</f>
        <v>56142</v>
      </c>
      <c r="C50145" s="2">
        <v>6.5389577897283297E-5</v>
      </c>
      <c r="D50145" s="2">
        <v>4.8182684648845999E-5</v>
      </c>
      <c r="E50145" s="2">
        <v>6.4515851544724506E-5</v>
      </c>
      <c r="F50145" s="2">
        <v>6.4241819233586199E-5</v>
      </c>
    </row>
    <row r="50146" spans="1:6" x14ac:dyDescent="0.25">
      <c r="A50146" s="1" t="str">
        <f t="shared" si="1587"/>
        <v>99999</v>
      </c>
      <c r="B50146" s="1" t="str">
        <f>"56128"</f>
        <v>56128</v>
      </c>
      <c r="C50146" s="2">
        <v>9.6243931706431902E-5</v>
      </c>
      <c r="D50146" s="2">
        <v>4.9688393544122498E-5</v>
      </c>
      <c r="E50146" s="2">
        <v>5.1612681235779599E-5</v>
      </c>
      <c r="F50146" s="2">
        <v>9.21687544764508E-5</v>
      </c>
    </row>
    <row r="50147" spans="1:6" x14ac:dyDescent="0.25">
      <c r="A50147" s="1" t="str">
        <f t="shared" si="1587"/>
        <v>99999</v>
      </c>
      <c r="B50147" s="1" t="str">
        <f>"56207"</f>
        <v>56207</v>
      </c>
      <c r="C50147" s="2">
        <v>1.1042610836958401E-5</v>
      </c>
      <c r="D50147" s="2">
        <v>7.5285444763821999E-6</v>
      </c>
      <c r="E50147" s="2">
        <v>1.29031703089449E-5</v>
      </c>
      <c r="F50147" s="2">
        <v>1.08549924972265E-5</v>
      </c>
    </row>
    <row r="50148" spans="1:6" x14ac:dyDescent="0.25">
      <c r="A50148" s="1" t="str">
        <f t="shared" si="1587"/>
        <v>99999</v>
      </c>
      <c r="B50148" s="1" t="str">
        <f>"56078"</f>
        <v>56078</v>
      </c>
      <c r="C50148" s="2">
        <v>5.8460880901544696E-6</v>
      </c>
      <c r="D50148" s="2">
        <v>0</v>
      </c>
      <c r="E50148" s="2">
        <v>0</v>
      </c>
      <c r="F50148" s="2">
        <v>5.3288144986384803E-6</v>
      </c>
    </row>
    <row r="50149" spans="1:6" x14ac:dyDescent="0.25">
      <c r="A50149" s="1" t="str">
        <f t="shared" si="1587"/>
        <v>99999</v>
      </c>
      <c r="B50149" s="1" t="str">
        <f>"56139"</f>
        <v>56139</v>
      </c>
      <c r="C50149" s="2">
        <v>2.3167830579501E-5</v>
      </c>
      <c r="D50149" s="2">
        <v>1.50570889527644E-5</v>
      </c>
      <c r="E50149" s="2">
        <v>0</v>
      </c>
      <c r="F50149" s="2">
        <v>2.2104711994352199E-5</v>
      </c>
    </row>
    <row r="50150" spans="1:6" x14ac:dyDescent="0.25">
      <c r="A50150" s="1" t="str">
        <f t="shared" si="1587"/>
        <v>99999</v>
      </c>
      <c r="B50150" s="1" t="str">
        <f>"56096"</f>
        <v>56096</v>
      </c>
      <c r="C50150" s="2">
        <v>7.0369578862970498E-6</v>
      </c>
      <c r="D50150" s="2">
        <v>0</v>
      </c>
      <c r="E50150" s="2">
        <v>0</v>
      </c>
      <c r="F50150" s="2">
        <v>6.4143137483611402E-6</v>
      </c>
    </row>
    <row r="50151" spans="1:6" x14ac:dyDescent="0.25">
      <c r="A50151" s="1" t="str">
        <f t="shared" si="1587"/>
        <v>99999</v>
      </c>
      <c r="B50151" s="1" t="str">
        <f>"56060"</f>
        <v>56060</v>
      </c>
      <c r="C50151" s="2">
        <v>1.1042610836958401E-5</v>
      </c>
      <c r="D50151" s="2">
        <v>9.0342533716586405E-6</v>
      </c>
      <c r="E50151" s="2">
        <v>4.3010567696482999E-6</v>
      </c>
      <c r="F50151" s="2">
        <v>1.07563107472517E-5</v>
      </c>
    </row>
    <row r="50152" spans="1:6" x14ac:dyDescent="0.25">
      <c r="A50152" s="1" t="str">
        <f t="shared" si="1587"/>
        <v>99999</v>
      </c>
      <c r="B50152" s="1" t="str">
        <f>"56244"</f>
        <v>56244</v>
      </c>
      <c r="C50152" s="2">
        <v>7.5241318938099204E-5</v>
      </c>
      <c r="D50152" s="2">
        <v>3.01141779055288E-5</v>
      </c>
      <c r="E50152" s="2">
        <v>8.6021135392965999E-5</v>
      </c>
      <c r="F50152" s="2">
        <v>7.2531086231468296E-5</v>
      </c>
    </row>
    <row r="50153" spans="1:6" x14ac:dyDescent="0.25">
      <c r="A50153" s="1" t="str">
        <f t="shared" si="1587"/>
        <v>99999</v>
      </c>
      <c r="B50153" s="1" t="str">
        <f>"55389"</f>
        <v>55389</v>
      </c>
      <c r="C50153" s="2">
        <v>1.0999306480735E-4</v>
      </c>
      <c r="D50153" s="2">
        <v>5.7216938020504697E-5</v>
      </c>
      <c r="E50153" s="2">
        <v>1.03225362471559E-4</v>
      </c>
      <c r="F50153" s="2">
        <v>1.0637892647282E-4</v>
      </c>
    </row>
    <row r="50154" spans="1:6" x14ac:dyDescent="0.25">
      <c r="A50154" s="1" t="str">
        <f t="shared" si="1587"/>
        <v>99999</v>
      </c>
      <c r="B50154" s="1" t="str">
        <f>"55334"</f>
        <v>55334</v>
      </c>
      <c r="C50154" s="2">
        <v>1.45177854238836E-4</v>
      </c>
      <c r="D50154" s="2">
        <v>7.82968625543749E-5</v>
      </c>
      <c r="E50154" s="2">
        <v>1.72042270785932E-4</v>
      </c>
      <c r="F50154" s="2">
        <v>1.4141094771386899E-4</v>
      </c>
    </row>
    <row r="50155" spans="1:6" x14ac:dyDescent="0.25">
      <c r="A50155" s="1" t="str">
        <f t="shared" si="1587"/>
        <v>99999</v>
      </c>
      <c r="B50155" s="1" t="str">
        <f>"57770"</f>
        <v>57770</v>
      </c>
      <c r="C50155" s="2">
        <v>1.8350220949651499E-4</v>
      </c>
      <c r="D50155" s="2">
        <v>7.5285444763821999E-6</v>
      </c>
      <c r="E50155" s="2">
        <v>8.6021135392965999E-6</v>
      </c>
      <c r="F50155" s="2">
        <v>1.6795633845708701E-4</v>
      </c>
    </row>
    <row r="50156" spans="1:6" x14ac:dyDescent="0.25">
      <c r="A50156" s="1" t="str">
        <f t="shared" si="1587"/>
        <v>99999</v>
      </c>
      <c r="B50156" s="1" t="str">
        <f>"57456"</f>
        <v>57456</v>
      </c>
      <c r="C50156" s="2">
        <v>3.00965275752396E-5</v>
      </c>
      <c r="D50156" s="2">
        <v>2.55970512196994E-5</v>
      </c>
      <c r="E50156" s="2">
        <v>4.3010567696482999E-6</v>
      </c>
      <c r="F50156" s="2">
        <v>2.92097979925368E-5</v>
      </c>
    </row>
    <row r="50157" spans="1:6" x14ac:dyDescent="0.25">
      <c r="A50157" s="1" t="str">
        <f t="shared" si="1587"/>
        <v>99999</v>
      </c>
      <c r="B50157" s="1" t="str">
        <f>"57529"</f>
        <v>57529</v>
      </c>
      <c r="C50157" s="2">
        <v>2.5116526609552499E-5</v>
      </c>
      <c r="D50157" s="2">
        <v>2.1079924533870101E-5</v>
      </c>
      <c r="E50157" s="2">
        <v>1.29031703089449E-5</v>
      </c>
      <c r="F50157" s="2">
        <v>2.4571755743721902E-5</v>
      </c>
    </row>
    <row r="50158" spans="1:6" x14ac:dyDescent="0.25">
      <c r="A50158" s="1" t="str">
        <f t="shared" si="1587"/>
        <v>99999</v>
      </c>
      <c r="B50158" s="1" t="str">
        <f>"57448"</f>
        <v>57448</v>
      </c>
      <c r="C50158" s="2">
        <v>6.1708707618297202E-6</v>
      </c>
      <c r="D50158" s="2">
        <v>0</v>
      </c>
      <c r="E50158" s="2">
        <v>4.3010567696482999E-6</v>
      </c>
      <c r="F50158" s="2">
        <v>5.7235414985376303E-6</v>
      </c>
    </row>
    <row r="50159" spans="1:6" x14ac:dyDescent="0.25">
      <c r="A50159" s="1" t="str">
        <f t="shared" si="1587"/>
        <v>99999</v>
      </c>
      <c r="B50159" s="1" t="str">
        <f>"58054"</f>
        <v>58054</v>
      </c>
      <c r="C50159" s="2">
        <v>1.7754786051580199E-4</v>
      </c>
      <c r="D50159" s="2">
        <v>1.02388204878797E-4</v>
      </c>
      <c r="E50159" s="2">
        <v>2.6236446294854599E-4</v>
      </c>
      <c r="F50159" s="2">
        <v>1.74568015705397E-4</v>
      </c>
    </row>
    <row r="50160" spans="1:6" x14ac:dyDescent="0.25">
      <c r="A50160" s="1" t="str">
        <f t="shared" si="1587"/>
        <v>99999</v>
      </c>
      <c r="B50160" s="1" t="str">
        <f>"58060"</f>
        <v>58060</v>
      </c>
      <c r="C50160" s="2">
        <v>6.5281317006724894E-5</v>
      </c>
      <c r="D50160" s="2">
        <v>2.8608469010252301E-5</v>
      </c>
      <c r="E50160" s="2">
        <v>8.1720078623317706E-5</v>
      </c>
      <c r="F50160" s="2">
        <v>6.3255001733838296E-5</v>
      </c>
    </row>
    <row r="50161" spans="1:6" x14ac:dyDescent="0.25">
      <c r="A50161" s="1" t="str">
        <f t="shared" si="1587"/>
        <v>99999</v>
      </c>
      <c r="B50161" s="1" t="str">
        <f>"57470"</f>
        <v>57470</v>
      </c>
      <c r="C50161" s="2">
        <v>9.0939148069069495E-6</v>
      </c>
      <c r="D50161" s="2">
        <v>1.50570889527644E-6</v>
      </c>
      <c r="E50161" s="2">
        <v>8.6021135392965999E-6</v>
      </c>
      <c r="F50161" s="2">
        <v>8.5853122478064497E-6</v>
      </c>
    </row>
    <row r="50162" spans="1:6" x14ac:dyDescent="0.25">
      <c r="A50162" s="1" t="str">
        <f t="shared" si="1587"/>
        <v>99999</v>
      </c>
      <c r="B50162" s="1" t="str">
        <f>"57783"</f>
        <v>57783</v>
      </c>
      <c r="C50162" s="2">
        <v>8.6608712446732898E-7</v>
      </c>
      <c r="D50162" s="2">
        <v>0</v>
      </c>
      <c r="E50162" s="2">
        <v>0</v>
      </c>
      <c r="F50162" s="2">
        <v>7.8945399979829395E-7</v>
      </c>
    </row>
    <row r="50163" spans="1:6" x14ac:dyDescent="0.25">
      <c r="A50163" s="1" t="str">
        <f t="shared" si="1587"/>
        <v>99999</v>
      </c>
      <c r="B50163" s="1" t="str">
        <f>"57640"</f>
        <v>57640</v>
      </c>
      <c r="C50163" s="2">
        <v>6.9286969957386301E-6</v>
      </c>
      <c r="D50163" s="2">
        <v>7.5285444763821999E-6</v>
      </c>
      <c r="E50163" s="2">
        <v>0</v>
      </c>
      <c r="F50163" s="2">
        <v>6.8090407482602902E-6</v>
      </c>
    </row>
    <row r="50164" spans="1:6" x14ac:dyDescent="0.25">
      <c r="A50164" s="1" t="str">
        <f t="shared" si="1587"/>
        <v>99999</v>
      </c>
      <c r="B50164" s="1" t="str">
        <f>"57452"</f>
        <v>57452</v>
      </c>
      <c r="C50164" s="2">
        <v>1.68886989271129E-5</v>
      </c>
      <c r="D50164" s="2">
        <v>4.5171266858293203E-6</v>
      </c>
      <c r="E50164" s="2">
        <v>1.72042270785932E-5</v>
      </c>
      <c r="F50164" s="2">
        <v>1.60851252458902E-5</v>
      </c>
    </row>
    <row r="50165" spans="1:6" x14ac:dyDescent="0.25">
      <c r="A50165" s="1" t="str">
        <f t="shared" si="1587"/>
        <v>99999</v>
      </c>
      <c r="B50165" s="1" t="str">
        <f>"57744"</f>
        <v>57744</v>
      </c>
      <c r="C50165" s="2">
        <v>9.0289582725718999E-5</v>
      </c>
      <c r="D50165" s="2">
        <v>1.20456711622115E-5</v>
      </c>
      <c r="E50165" s="2">
        <v>6.0214794775076199E-5</v>
      </c>
      <c r="F50165" s="2">
        <v>8.4471577978417498E-5</v>
      </c>
    </row>
    <row r="50166" spans="1:6" x14ac:dyDescent="0.25">
      <c r="A50166" s="1" t="str">
        <f t="shared" si="1587"/>
        <v>99999</v>
      </c>
      <c r="B50166" s="1" t="str">
        <f>"57533"</f>
        <v>57533</v>
      </c>
      <c r="C50166" s="2">
        <v>1.1789610981811499E-4</v>
      </c>
      <c r="D50166" s="2">
        <v>2.3037346097729499E-4</v>
      </c>
      <c r="E50166" s="2">
        <v>1.37633816628745E-4</v>
      </c>
      <c r="F50166" s="2">
        <v>1.25720549467878E-4</v>
      </c>
    </row>
    <row r="50167" spans="1:6" x14ac:dyDescent="0.25">
      <c r="A50167" s="1" t="str">
        <f t="shared" si="1587"/>
        <v>99999</v>
      </c>
      <c r="B50167" s="1" t="str">
        <f>"57632"</f>
        <v>57632</v>
      </c>
      <c r="C50167" s="2">
        <v>2.92304404507723E-5</v>
      </c>
      <c r="D50167" s="2">
        <v>7.5285444763821999E-6</v>
      </c>
      <c r="E50167" s="2">
        <v>2.58063406178898E-5</v>
      </c>
      <c r="F50167" s="2">
        <v>2.7729571742915E-5</v>
      </c>
    </row>
    <row r="50168" spans="1:6" x14ac:dyDescent="0.25">
      <c r="A50168" s="1" t="str">
        <f t="shared" si="1587"/>
        <v>99999</v>
      </c>
      <c r="B50168" s="1" t="str">
        <f>"57644"</f>
        <v>57644</v>
      </c>
      <c r="C50168" s="2">
        <v>2.0136525643865401E-5</v>
      </c>
      <c r="D50168" s="2">
        <v>3.01141779055288E-6</v>
      </c>
      <c r="E50168" s="2">
        <v>4.3010567696482999E-6</v>
      </c>
      <c r="F50168" s="2">
        <v>1.8650850745234699E-5</v>
      </c>
    </row>
    <row r="50169" spans="1:6" x14ac:dyDescent="0.25">
      <c r="A50169" s="1" t="str">
        <f t="shared" si="1587"/>
        <v>99999</v>
      </c>
      <c r="B50169" s="1" t="str">
        <f>"58040"</f>
        <v>58040</v>
      </c>
      <c r="C50169" s="2">
        <v>5.0557835890780303E-5</v>
      </c>
      <c r="D50169" s="2">
        <v>4.8182684648845999E-5</v>
      </c>
      <c r="E50169" s="2">
        <v>1.2473064631979999E-4</v>
      </c>
      <c r="F50169" s="2">
        <v>5.2103963986687403E-5</v>
      </c>
    </row>
    <row r="50170" spans="1:6" x14ac:dyDescent="0.25">
      <c r="A50170" s="1" t="str">
        <f t="shared" si="1587"/>
        <v>99999</v>
      </c>
      <c r="B50170" s="1" t="str">
        <f>"59840"</f>
        <v>59840</v>
      </c>
      <c r="C50170" s="2">
        <v>9.4576713991832305E-4</v>
      </c>
      <c r="D50170" s="2">
        <v>1.9709729439168601E-3</v>
      </c>
      <c r="E50170" s="2">
        <v>1.87526075156665E-3</v>
      </c>
      <c r="F50170" s="2">
        <v>1.03428342148574E-3</v>
      </c>
    </row>
    <row r="50171" spans="1:6" x14ac:dyDescent="0.25">
      <c r="A50171" s="1" t="str">
        <f t="shared" si="1587"/>
        <v>99999</v>
      </c>
      <c r="B50171" s="1" t="str">
        <f>"59923"</f>
        <v>59923</v>
      </c>
      <c r="C50171" s="2">
        <v>7.8196841250343903E-4</v>
      </c>
      <c r="D50171" s="2">
        <v>1.03893913774074E-3</v>
      </c>
      <c r="E50171" s="2">
        <v>6.6666379929548598E-4</v>
      </c>
      <c r="F50171" s="2">
        <v>7.9616435879658004E-4</v>
      </c>
    </row>
    <row r="50172" spans="1:6" x14ac:dyDescent="0.25">
      <c r="A50172" s="1" t="str">
        <f t="shared" si="1587"/>
        <v>99999</v>
      </c>
      <c r="B50172" s="1" t="str">
        <f>"59830"</f>
        <v>59830</v>
      </c>
      <c r="C50172" s="2">
        <v>4.98000096568714E-6</v>
      </c>
      <c r="D50172" s="2">
        <v>0</v>
      </c>
      <c r="E50172" s="2">
        <v>4.3010567696482999E-6</v>
      </c>
      <c r="F50172" s="2">
        <v>4.6380422488149798E-6</v>
      </c>
    </row>
    <row r="50173" spans="1:6" x14ac:dyDescent="0.25">
      <c r="A50173" s="1" t="str">
        <f t="shared" si="1587"/>
        <v>99999</v>
      </c>
      <c r="B50173" s="1" t="str">
        <f>"59824"</f>
        <v>59824</v>
      </c>
      <c r="C50173" s="2">
        <v>7.3725666470281405E-5</v>
      </c>
      <c r="D50173" s="2">
        <v>2.25856334291466E-5</v>
      </c>
      <c r="E50173" s="2">
        <v>2.15052838482415E-5</v>
      </c>
      <c r="F50173" s="2">
        <v>6.9175906732325495E-5</v>
      </c>
    </row>
    <row r="50174" spans="1:6" x14ac:dyDescent="0.25">
      <c r="A50174" s="1" t="str">
        <f t="shared" si="1587"/>
        <v>99999</v>
      </c>
      <c r="B50174" s="1" t="str">
        <f>"59859"</f>
        <v>59859</v>
      </c>
      <c r="C50174" s="2">
        <v>1.2049437119151701E-4</v>
      </c>
      <c r="D50174" s="2">
        <v>2.1079924533870101E-5</v>
      </c>
      <c r="E50174" s="2">
        <v>5.5913738005427899E-5</v>
      </c>
      <c r="F50174" s="2">
        <v>1.12497194971256E-4</v>
      </c>
    </row>
    <row r="50175" spans="1:6" x14ac:dyDescent="0.25">
      <c r="A50175" s="1" t="str">
        <f t="shared" si="1587"/>
        <v>99999</v>
      </c>
      <c r="B50175" s="1" t="str">
        <f>"58763"</f>
        <v>58763</v>
      </c>
      <c r="C50175" s="2">
        <v>3.1471440885331498E-4</v>
      </c>
      <c r="D50175" s="2">
        <v>3.5384159038996302E-4</v>
      </c>
      <c r="E50175" s="2">
        <v>2.23654952021711E-4</v>
      </c>
      <c r="F50175" s="2">
        <v>3.1518950941946902E-4</v>
      </c>
    </row>
    <row r="50176" spans="1:6" x14ac:dyDescent="0.25">
      <c r="A50176" s="1" t="str">
        <f t="shared" si="1587"/>
        <v>99999</v>
      </c>
      <c r="B50176" s="1" t="str">
        <f>"58773"</f>
        <v>58773</v>
      </c>
      <c r="C50176" s="2">
        <v>2.6632179077370302E-5</v>
      </c>
      <c r="D50176" s="2">
        <v>1.50570889527644E-6</v>
      </c>
      <c r="E50176" s="2">
        <v>4.3010567696482999E-6</v>
      </c>
      <c r="F50176" s="2">
        <v>2.4473073993747101E-5</v>
      </c>
    </row>
    <row r="50177" spans="1:6" x14ac:dyDescent="0.25">
      <c r="A50177" s="1" t="str">
        <f t="shared" si="1587"/>
        <v>99999</v>
      </c>
      <c r="B50177" s="1" t="str">
        <f>"59038"</f>
        <v>59038</v>
      </c>
      <c r="C50177" s="2">
        <v>4.2221747317782297E-5</v>
      </c>
      <c r="D50177" s="2">
        <v>2.8608469010252301E-5</v>
      </c>
      <c r="E50177" s="2">
        <v>2.15052838482415E-5</v>
      </c>
      <c r="F50177" s="2">
        <v>4.0854244489561699E-5</v>
      </c>
    </row>
    <row r="50178" spans="1:6" x14ac:dyDescent="0.25">
      <c r="A50178" s="1" t="str">
        <f t="shared" si="1587"/>
        <v>99999</v>
      </c>
      <c r="B50178" s="1" t="str">
        <f>"58577"</f>
        <v>58577</v>
      </c>
      <c r="C50178" s="2">
        <v>8.8016104023992307E-5</v>
      </c>
      <c r="D50178" s="2">
        <v>4.2159849067740298E-5</v>
      </c>
      <c r="E50178" s="2">
        <v>9.4623248932262599E-5</v>
      </c>
      <c r="F50178" s="2">
        <v>8.5162350228241003E-5</v>
      </c>
    </row>
    <row r="50179" spans="1:6" x14ac:dyDescent="0.25">
      <c r="A50179" s="1" t="str">
        <f t="shared" si="1587"/>
        <v>99999</v>
      </c>
      <c r="B50179" s="1" t="str">
        <f>"59317"</f>
        <v>59317</v>
      </c>
      <c r="C50179" s="2">
        <v>4.1030877521639702E-5</v>
      </c>
      <c r="D50179" s="2">
        <v>2.1079924533870101E-5</v>
      </c>
      <c r="E50179" s="2">
        <v>3.01073973875381E-5</v>
      </c>
      <c r="F50179" s="2">
        <v>3.9472699989914703E-5</v>
      </c>
    </row>
    <row r="50180" spans="1:6" x14ac:dyDescent="0.25">
      <c r="A50180" s="1" t="str">
        <f t="shared" si="1587"/>
        <v>99999</v>
      </c>
      <c r="B50180" s="1" t="str">
        <f>"59479"</f>
        <v>59479</v>
      </c>
      <c r="C50180" s="2">
        <v>3.1828701824174298E-5</v>
      </c>
      <c r="D50180" s="2">
        <v>4.5171266858293203E-6</v>
      </c>
      <c r="E50180" s="2">
        <v>3.44084541571864E-5</v>
      </c>
      <c r="F50180" s="2">
        <v>3.0097933742309899E-5</v>
      </c>
    </row>
    <row r="50181" spans="1:6" x14ac:dyDescent="0.25">
      <c r="A50181" s="1" t="str">
        <f t="shared" si="1587"/>
        <v>99999</v>
      </c>
      <c r="B50181" s="1" t="str">
        <f>"59468"</f>
        <v>59468</v>
      </c>
      <c r="C50181" s="2">
        <v>2.7390005311279201E-5</v>
      </c>
      <c r="D50181" s="2">
        <v>1.50570889527644E-6</v>
      </c>
      <c r="E50181" s="2">
        <v>4.3010567696482999E-6</v>
      </c>
      <c r="F50181" s="2">
        <v>2.5163846243570599E-5</v>
      </c>
    </row>
    <row r="50182" spans="1:6" x14ac:dyDescent="0.25">
      <c r="A50182" s="1" t="str">
        <f t="shared" ref="A50182:A50245" si="1588">"99999"</f>
        <v>99999</v>
      </c>
      <c r="B50182" s="1" t="str">
        <f>"59462"</f>
        <v>59462</v>
      </c>
      <c r="C50182" s="2">
        <v>1.06095672747247E-5</v>
      </c>
      <c r="D50182" s="2">
        <v>6.0228355811057601E-6</v>
      </c>
      <c r="E50182" s="2">
        <v>4.3010567696482999E-6</v>
      </c>
      <c r="F50182" s="2">
        <v>1.0164220247403001E-5</v>
      </c>
    </row>
    <row r="50183" spans="1:6" x14ac:dyDescent="0.25">
      <c r="A50183" s="1" t="str">
        <f t="shared" si="1588"/>
        <v>99999</v>
      </c>
      <c r="B50183" s="1" t="str">
        <f>"59725"</f>
        <v>59725</v>
      </c>
      <c r="C50183" s="2">
        <v>4.4051356368219501E-4</v>
      </c>
      <c r="D50183" s="2">
        <v>6.67029040607463E-4</v>
      </c>
      <c r="E50183" s="2">
        <v>1.1569842710353901E-3</v>
      </c>
      <c r="F50183" s="2">
        <v>4.7179744662945497E-4</v>
      </c>
    </row>
    <row r="50184" spans="1:6" x14ac:dyDescent="0.25">
      <c r="A50184" s="1" t="str">
        <f t="shared" si="1588"/>
        <v>99999</v>
      </c>
      <c r="B50184" s="1" t="str">
        <f>"59424"</f>
        <v>59424</v>
      </c>
      <c r="C50184" s="2">
        <v>4.5469574034534697E-6</v>
      </c>
      <c r="D50184" s="2">
        <v>0</v>
      </c>
      <c r="E50184" s="2">
        <v>4.3010567696482999E-6</v>
      </c>
      <c r="F50184" s="2">
        <v>4.2433152489158297E-6</v>
      </c>
    </row>
    <row r="50185" spans="1:6" x14ac:dyDescent="0.25">
      <c r="A50185" s="1" t="str">
        <f t="shared" si="1588"/>
        <v>99999</v>
      </c>
      <c r="B50185" s="1" t="str">
        <f>"59425"</f>
        <v>59425</v>
      </c>
      <c r="C50185" s="2">
        <v>1.8328568771539799E-4</v>
      </c>
      <c r="D50185" s="2">
        <v>3.8546147719076799E-4</v>
      </c>
      <c r="E50185" s="2">
        <v>3.0107397387538101E-4</v>
      </c>
      <c r="F50185" s="2">
        <v>1.9923845319909399E-4</v>
      </c>
    </row>
    <row r="50186" spans="1:6" x14ac:dyDescent="0.25">
      <c r="A50186" s="1" t="str">
        <f t="shared" si="1588"/>
        <v>99999</v>
      </c>
      <c r="B50186" s="1" t="str">
        <f>"59256"</f>
        <v>59256</v>
      </c>
      <c r="C50186" s="2">
        <v>4.0056529506613898E-6</v>
      </c>
      <c r="D50186" s="2">
        <v>0</v>
      </c>
      <c r="E50186" s="2">
        <v>4.3010567696482999E-6</v>
      </c>
      <c r="F50186" s="2">
        <v>3.7499064990418899E-6</v>
      </c>
    </row>
    <row r="50187" spans="1:6" x14ac:dyDescent="0.25">
      <c r="A50187" s="1" t="str">
        <f t="shared" si="1588"/>
        <v>99999</v>
      </c>
      <c r="B50187" s="1" t="str">
        <f>"58329"</f>
        <v>58329</v>
      </c>
      <c r="C50187" s="2">
        <v>6.3873925429465498E-5</v>
      </c>
      <c r="D50187" s="2">
        <v>2.8608469010252301E-5</v>
      </c>
      <c r="E50187" s="2">
        <v>4.3010567696482999E-6</v>
      </c>
      <c r="F50187" s="2">
        <v>6.01958674846199E-5</v>
      </c>
    </row>
    <row r="50188" spans="1:6" x14ac:dyDescent="0.25">
      <c r="A50188" s="1" t="str">
        <f t="shared" si="1588"/>
        <v>99999</v>
      </c>
      <c r="B50188" s="1" t="str">
        <f>"58380"</f>
        <v>58380</v>
      </c>
      <c r="C50188" s="2">
        <v>1.76465251610218E-5</v>
      </c>
      <c r="D50188" s="2">
        <v>9.0342533716586405E-6</v>
      </c>
      <c r="E50188" s="2">
        <v>1.29031703089449E-5</v>
      </c>
      <c r="F50188" s="2">
        <v>1.6973260995663299E-5</v>
      </c>
    </row>
    <row r="50189" spans="1:6" x14ac:dyDescent="0.25">
      <c r="A50189" s="1" t="str">
        <f t="shared" si="1588"/>
        <v>99999</v>
      </c>
      <c r="B50189" s="1" t="str">
        <f>"58249"</f>
        <v>58249</v>
      </c>
      <c r="C50189" s="2">
        <v>1.6011785713589699E-4</v>
      </c>
      <c r="D50189" s="2">
        <v>2.74039018940312E-4</v>
      </c>
      <c r="E50189" s="2">
        <v>3.2688031449327001E-4</v>
      </c>
      <c r="F50189" s="2">
        <v>1.7141019970620401E-4</v>
      </c>
    </row>
    <row r="50190" spans="1:6" x14ac:dyDescent="0.25">
      <c r="A50190" s="1" t="str">
        <f t="shared" si="1588"/>
        <v>99999</v>
      </c>
      <c r="B50190" s="1" t="str">
        <f>"58433"</f>
        <v>58433</v>
      </c>
      <c r="C50190" s="2">
        <v>5.49965324036754E-5</v>
      </c>
      <c r="D50190" s="2">
        <v>3.01141779055288E-5</v>
      </c>
      <c r="E50190" s="2">
        <v>5.5913738005427899E-5</v>
      </c>
      <c r="F50190" s="2">
        <v>5.3386826736359602E-5</v>
      </c>
    </row>
    <row r="50191" spans="1:6" x14ac:dyDescent="0.25">
      <c r="A50191" s="1" t="str">
        <f t="shared" si="1588"/>
        <v>99999</v>
      </c>
      <c r="B50191" s="1" t="str">
        <f>"58368"</f>
        <v>58368</v>
      </c>
      <c r="C50191" s="2">
        <v>2.00823951985861E-4</v>
      </c>
      <c r="D50191" s="2">
        <v>3.3878450143719901E-4</v>
      </c>
      <c r="E50191" s="2">
        <v>3.7849299572905002E-4</v>
      </c>
      <c r="F50191" s="2">
        <v>2.13942033945337E-4</v>
      </c>
    </row>
    <row r="50192" spans="1:6" x14ac:dyDescent="0.25">
      <c r="A50192" s="1" t="str">
        <f t="shared" si="1588"/>
        <v>99999</v>
      </c>
      <c r="B50192" s="1" t="str">
        <f>"58384"</f>
        <v>58384</v>
      </c>
      <c r="C50192" s="2">
        <v>3.8107833476562398E-5</v>
      </c>
      <c r="D50192" s="2">
        <v>1.35513800574879E-5</v>
      </c>
      <c r="E50192" s="2">
        <v>1.72042270785932E-5</v>
      </c>
      <c r="F50192" s="2">
        <v>3.6018838740797098E-5</v>
      </c>
    </row>
    <row r="50193" spans="1:6" x14ac:dyDescent="0.25">
      <c r="A50193" s="1" t="str">
        <f t="shared" si="1588"/>
        <v>99999</v>
      </c>
      <c r="B50193" s="1" t="str">
        <f>"58421"</f>
        <v>58421</v>
      </c>
      <c r="C50193" s="2">
        <v>1.65639162554376E-4</v>
      </c>
      <c r="D50193" s="2">
        <v>3.19210285798605E-4</v>
      </c>
      <c r="E50193" s="2">
        <v>2.9247186033608399E-4</v>
      </c>
      <c r="F50193" s="2">
        <v>1.7861396745436401E-4</v>
      </c>
    </row>
    <row r="50194" spans="1:6" x14ac:dyDescent="0.25">
      <c r="A50194" s="1" t="str">
        <f t="shared" si="1588"/>
        <v>99999</v>
      </c>
      <c r="B50194" s="1" t="str">
        <f>"58483"</f>
        <v>58483</v>
      </c>
      <c r="C50194" s="2">
        <v>5.7378271995960499E-6</v>
      </c>
      <c r="D50194" s="2">
        <v>3.01141779055288E-6</v>
      </c>
      <c r="E50194" s="2">
        <v>0</v>
      </c>
      <c r="F50194" s="2">
        <v>5.4274962486132697E-6</v>
      </c>
    </row>
    <row r="50195" spans="1:6" x14ac:dyDescent="0.25">
      <c r="A50195" s="1" t="str">
        <f t="shared" si="1588"/>
        <v>99999</v>
      </c>
      <c r="B50195" s="1" t="str">
        <f>"58271"</f>
        <v>58271</v>
      </c>
      <c r="C50195" s="2">
        <v>3.47517458692515E-5</v>
      </c>
      <c r="D50195" s="2">
        <v>7.5285444763821999E-5</v>
      </c>
      <c r="E50195" s="2">
        <v>4.7311624466131299E-5</v>
      </c>
      <c r="F50195" s="2">
        <v>3.7696428490368499E-5</v>
      </c>
    </row>
    <row r="50196" spans="1:6" x14ac:dyDescent="0.25">
      <c r="A50196" s="1" t="str">
        <f t="shared" si="1588"/>
        <v>99999</v>
      </c>
      <c r="B50196" s="1" t="str">
        <f>"58327"</f>
        <v>58327</v>
      </c>
      <c r="C50196" s="2">
        <v>1.86208731760475E-5</v>
      </c>
      <c r="D50196" s="2">
        <v>7.5285444763821999E-6</v>
      </c>
      <c r="E50196" s="2">
        <v>4.3010567696482999E-6</v>
      </c>
      <c r="F50196" s="2">
        <v>1.7565351495512E-5</v>
      </c>
    </row>
    <row r="50197" spans="1:6" x14ac:dyDescent="0.25">
      <c r="A50197" s="1" t="str">
        <f t="shared" si="1588"/>
        <v>99999</v>
      </c>
      <c r="B50197" s="1" t="str">
        <f>"58273"</f>
        <v>58273</v>
      </c>
      <c r="C50197" s="2">
        <v>1.24500024142178E-5</v>
      </c>
      <c r="D50197" s="2">
        <v>1.50570889527644E-6</v>
      </c>
      <c r="E50197" s="2">
        <v>1.29031703089449E-5</v>
      </c>
      <c r="F50197" s="2">
        <v>1.1743128246999599E-5</v>
      </c>
    </row>
    <row r="50198" spans="1:6" x14ac:dyDescent="0.25">
      <c r="A50198" s="1" t="str">
        <f t="shared" si="1588"/>
        <v>99999</v>
      </c>
      <c r="B50198" s="1" t="str">
        <f>"58379"</f>
        <v>58379</v>
      </c>
      <c r="C50198" s="2">
        <v>5.0882618562455504E-6</v>
      </c>
      <c r="D50198" s="2">
        <v>0</v>
      </c>
      <c r="E50198" s="2">
        <v>1.29031703089449E-5</v>
      </c>
      <c r="F50198" s="2">
        <v>4.9340874987393404E-6</v>
      </c>
    </row>
    <row r="50199" spans="1:6" x14ac:dyDescent="0.25">
      <c r="A50199" s="1" t="str">
        <f t="shared" si="1588"/>
        <v>99999</v>
      </c>
      <c r="B50199" s="1" t="str">
        <f>"58212"</f>
        <v>58212</v>
      </c>
      <c r="C50199" s="2">
        <v>2.7065222639604001E-5</v>
      </c>
      <c r="D50199" s="2">
        <v>1.50570889527644E-6</v>
      </c>
      <c r="E50199" s="2">
        <v>6.4515851544724506E-5</v>
      </c>
      <c r="F50199" s="2">
        <v>2.6249345493293201E-5</v>
      </c>
    </row>
    <row r="50200" spans="1:6" x14ac:dyDescent="0.25">
      <c r="A50200" s="1" t="str">
        <f t="shared" si="1588"/>
        <v>99999</v>
      </c>
      <c r="B50200" s="1" t="str">
        <f>"61462"</f>
        <v>61462</v>
      </c>
      <c r="C50200" s="2">
        <v>6.0723533514215602E-4</v>
      </c>
      <c r="D50200" s="2">
        <v>1.04646768221712E-3</v>
      </c>
      <c r="E50200" s="2">
        <v>9.2042614870473604E-4</v>
      </c>
      <c r="F50200" s="2">
        <v>6.4320764633566004E-4</v>
      </c>
    </row>
    <row r="50201" spans="1:6" x14ac:dyDescent="0.25">
      <c r="A50201" s="1" t="str">
        <f t="shared" si="1588"/>
        <v>99999</v>
      </c>
      <c r="B50201" s="1" t="str">
        <f>"54212"</f>
        <v>54212</v>
      </c>
      <c r="C50201" s="2">
        <v>8.4660016416681402E-5</v>
      </c>
      <c r="D50201" s="2">
        <v>5.2699811334675399E-5</v>
      </c>
      <c r="E50201" s="2">
        <v>6.0214794775076199E-5</v>
      </c>
      <c r="F50201" s="2">
        <v>8.2004534229047796E-5</v>
      </c>
    </row>
    <row r="50202" spans="1:6" x14ac:dyDescent="0.25">
      <c r="A50202" s="1" t="str">
        <f t="shared" si="1588"/>
        <v>99999</v>
      </c>
      <c r="B50202" s="1" t="str">
        <f>"53556"</f>
        <v>53556</v>
      </c>
      <c r="C50202" s="2">
        <v>1.26340459281671E-4</v>
      </c>
      <c r="D50202" s="2">
        <v>1.35513800574879E-5</v>
      </c>
      <c r="E50202" s="2">
        <v>6.4515851544724506E-5</v>
      </c>
      <c r="F50202" s="2">
        <v>1.17529964219971E-4</v>
      </c>
    </row>
    <row r="50203" spans="1:6" x14ac:dyDescent="0.25">
      <c r="A50203" s="1" t="str">
        <f t="shared" si="1588"/>
        <v>99999</v>
      </c>
      <c r="B50203" s="1" t="str">
        <f>"53586"</f>
        <v>53586</v>
      </c>
      <c r="C50203" s="2">
        <v>1.10209586588467E-4</v>
      </c>
      <c r="D50203" s="2">
        <v>1.02388204878797E-4</v>
      </c>
      <c r="E50203" s="2">
        <v>9.8924305701910905E-5</v>
      </c>
      <c r="F50203" s="2">
        <v>1.09438060722038E-4</v>
      </c>
    </row>
    <row r="50204" spans="1:6" x14ac:dyDescent="0.25">
      <c r="A50204" s="1" t="str">
        <f t="shared" si="1588"/>
        <v>99999</v>
      </c>
      <c r="B50204" s="1" t="str">
        <f>"53936"</f>
        <v>53936</v>
      </c>
      <c r="C50204" s="2">
        <v>1.19628284067049E-4</v>
      </c>
      <c r="D50204" s="2">
        <v>2.55970512196994E-5</v>
      </c>
      <c r="E50204" s="2">
        <v>8.6021135392965999E-6</v>
      </c>
      <c r="F50204" s="2">
        <v>1.1091828697166E-4</v>
      </c>
    </row>
    <row r="50205" spans="1:6" x14ac:dyDescent="0.25">
      <c r="A50205" s="1" t="str">
        <f t="shared" si="1588"/>
        <v>99999</v>
      </c>
      <c r="B50205" s="1" t="str">
        <f>"53941"</f>
        <v>53941</v>
      </c>
      <c r="C50205" s="2">
        <v>3.2478267167524799E-6</v>
      </c>
      <c r="D50205" s="2">
        <v>0</v>
      </c>
      <c r="E50205" s="2">
        <v>0</v>
      </c>
      <c r="F50205" s="2">
        <v>2.9604524992435999E-6</v>
      </c>
    </row>
    <row r="50206" spans="1:6" x14ac:dyDescent="0.25">
      <c r="A50206" s="1" t="str">
        <f t="shared" si="1588"/>
        <v>99999</v>
      </c>
      <c r="B50206" s="1" t="str">
        <f>"52563"</f>
        <v>52563</v>
      </c>
      <c r="C50206" s="2">
        <v>6.4090447210582305E-5</v>
      </c>
      <c r="D50206" s="2">
        <v>9.0342533716586405E-6</v>
      </c>
      <c r="E50206" s="2">
        <v>6.0214794775076199E-5</v>
      </c>
      <c r="F50206" s="2">
        <v>6.03932309845695E-5</v>
      </c>
    </row>
    <row r="50207" spans="1:6" x14ac:dyDescent="0.25">
      <c r="A50207" s="1" t="str">
        <f t="shared" si="1588"/>
        <v>99999</v>
      </c>
      <c r="B50207" s="1" t="str">
        <f>"52531"</f>
        <v>52531</v>
      </c>
      <c r="C50207" s="2">
        <v>3.1374006083828999E-4</v>
      </c>
      <c r="D50207" s="2">
        <v>4.6676975753569603E-4</v>
      </c>
      <c r="E50207" s="2">
        <v>4.8601941497025799E-4</v>
      </c>
      <c r="F50207" s="2">
        <v>3.2772209166626699E-4</v>
      </c>
    </row>
    <row r="50208" spans="1:6" x14ac:dyDescent="0.25">
      <c r="A50208" s="1" t="str">
        <f t="shared" si="1588"/>
        <v>99999</v>
      </c>
      <c r="B50208" s="1" t="str">
        <f>"52537"</f>
        <v>52537</v>
      </c>
      <c r="C50208" s="2">
        <v>3.3127832510875302E-4</v>
      </c>
      <c r="D50208" s="2">
        <v>5.4506662009007095E-4</v>
      </c>
      <c r="E50208" s="2">
        <v>5.9784689098111405E-4</v>
      </c>
      <c r="F50208" s="2">
        <v>3.5140571166021503E-4</v>
      </c>
    </row>
    <row r="50209" spans="1:6" x14ac:dyDescent="0.25">
      <c r="A50209" s="1" t="str">
        <f t="shared" si="1588"/>
        <v>99999</v>
      </c>
      <c r="B50209" s="1" t="str">
        <f>"52550"</f>
        <v>52550</v>
      </c>
      <c r="C50209" s="2">
        <v>2.78230488735129E-5</v>
      </c>
      <c r="D50209" s="2">
        <v>1.50570889527644E-5</v>
      </c>
      <c r="E50209" s="2">
        <v>2.15052838482415E-5</v>
      </c>
      <c r="F50209" s="2">
        <v>2.6841435993142E-5</v>
      </c>
    </row>
    <row r="50210" spans="1:6" x14ac:dyDescent="0.25">
      <c r="A50210" s="1" t="str">
        <f t="shared" si="1588"/>
        <v>99999</v>
      </c>
      <c r="B50210" s="1" t="str">
        <f>"52155"</f>
        <v>52155</v>
      </c>
      <c r="C50210" s="2">
        <v>6.2791316523881299E-5</v>
      </c>
      <c r="D50210" s="2">
        <v>3.1619886800805203E-5</v>
      </c>
      <c r="E50210" s="2">
        <v>4.7311624466131299E-5</v>
      </c>
      <c r="F50210" s="2">
        <v>6.03932309845695E-5</v>
      </c>
    </row>
    <row r="50211" spans="1:6" x14ac:dyDescent="0.25">
      <c r="A50211" s="1" t="str">
        <f t="shared" si="1588"/>
        <v>99999</v>
      </c>
      <c r="B50211" s="1" t="str">
        <f>"52144"</f>
        <v>52144</v>
      </c>
      <c r="C50211" s="2">
        <v>6.60391432406338E-5</v>
      </c>
      <c r="D50211" s="2">
        <v>2.8608469010252301E-5</v>
      </c>
      <c r="E50211" s="2">
        <v>1.29031703089449E-5</v>
      </c>
      <c r="F50211" s="2">
        <v>6.2366865984065197E-5</v>
      </c>
    </row>
    <row r="50212" spans="1:6" x14ac:dyDescent="0.25">
      <c r="A50212" s="1" t="str">
        <f t="shared" si="1588"/>
        <v>99999</v>
      </c>
      <c r="B50212" s="1" t="str">
        <f>"52339"</f>
        <v>52339</v>
      </c>
      <c r="C50212" s="2">
        <v>2.03530474249822E-4</v>
      </c>
      <c r="D50212" s="2">
        <v>2.5747622109227098E-4</v>
      </c>
      <c r="E50212" s="2">
        <v>2.49461292639601E-4</v>
      </c>
      <c r="F50212" s="2">
        <v>2.0811981069682501E-4</v>
      </c>
    </row>
    <row r="50213" spans="1:6" x14ac:dyDescent="0.25">
      <c r="A50213" s="1" t="str">
        <f t="shared" si="1588"/>
        <v>99999</v>
      </c>
      <c r="B50213" s="1" t="str">
        <f>"52237"</f>
        <v>52237</v>
      </c>
      <c r="C50213" s="2">
        <v>7.5890884281449694E-5</v>
      </c>
      <c r="D50213" s="2">
        <v>1.50570889527644E-5</v>
      </c>
      <c r="E50213" s="2">
        <v>6.8816908314372799E-5</v>
      </c>
      <c r="F50213" s="2">
        <v>7.1741632231670001E-5</v>
      </c>
    </row>
    <row r="50214" spans="1:6" x14ac:dyDescent="0.25">
      <c r="A50214" s="1" t="str">
        <f t="shared" si="1588"/>
        <v>99999</v>
      </c>
      <c r="B50214" s="1" t="str">
        <f>"52076"</f>
        <v>52076</v>
      </c>
      <c r="C50214" s="2">
        <v>1.14864804882479E-4</v>
      </c>
      <c r="D50214" s="2">
        <v>1.12928167145733E-4</v>
      </c>
      <c r="E50214" s="2">
        <v>8.1720078623317706E-5</v>
      </c>
      <c r="F50214" s="2">
        <v>1.13977421220878E-4</v>
      </c>
    </row>
    <row r="50215" spans="1:6" x14ac:dyDescent="0.25">
      <c r="A50215" s="1" t="str">
        <f t="shared" si="1588"/>
        <v>99999</v>
      </c>
      <c r="B50215" s="1" t="str">
        <f>"52050"</f>
        <v>52050</v>
      </c>
      <c r="C50215" s="2">
        <v>2.68487008584872E-5</v>
      </c>
      <c r="D50215" s="2">
        <v>7.5285444763821999E-6</v>
      </c>
      <c r="E50215" s="2">
        <v>4.3010567696482999E-6</v>
      </c>
      <c r="F50215" s="2">
        <v>2.5065164493595799E-5</v>
      </c>
    </row>
    <row r="50216" spans="1:6" x14ac:dyDescent="0.25">
      <c r="A50216" s="1" t="str">
        <f t="shared" si="1588"/>
        <v>99999</v>
      </c>
      <c r="B50216" s="1" t="str">
        <f>"61046"</f>
        <v>61046</v>
      </c>
      <c r="C50216" s="2">
        <v>2.1154178015114501E-4</v>
      </c>
      <c r="D50216" s="2">
        <v>1.7014510516623701E-4</v>
      </c>
      <c r="E50216" s="2">
        <v>7.7419021853669399E-5</v>
      </c>
      <c r="F50216" s="2">
        <v>2.0575144869742999E-4</v>
      </c>
    </row>
    <row r="50217" spans="1:6" x14ac:dyDescent="0.25">
      <c r="A50217" s="1" t="str">
        <f t="shared" si="1588"/>
        <v>99999</v>
      </c>
      <c r="B50217" s="1" t="str">
        <f>"61014"</f>
        <v>61014</v>
      </c>
      <c r="C50217" s="2">
        <v>5.6295663090376399E-5</v>
      </c>
      <c r="D50217" s="2">
        <v>1.80685067433172E-5</v>
      </c>
      <c r="E50217" s="2">
        <v>1.29031703089449E-5</v>
      </c>
      <c r="F50217" s="2">
        <v>5.2794736236510901E-5</v>
      </c>
    </row>
    <row r="50218" spans="1:6" x14ac:dyDescent="0.25">
      <c r="A50218" s="1" t="str">
        <f t="shared" si="1588"/>
        <v>99999</v>
      </c>
      <c r="B50218" s="1" t="str">
        <f>"54638"</f>
        <v>54638</v>
      </c>
      <c r="C50218" s="2">
        <v>7.0802622425204101E-5</v>
      </c>
      <c r="D50218" s="2">
        <v>2.55970512196994E-5</v>
      </c>
      <c r="E50218" s="2">
        <v>4.3010567696482999E-5</v>
      </c>
      <c r="F50218" s="2">
        <v>6.7202271732829798E-5</v>
      </c>
    </row>
    <row r="50219" spans="1:6" x14ac:dyDescent="0.25">
      <c r="A50219" s="1" t="str">
        <f t="shared" si="1588"/>
        <v>99999</v>
      </c>
      <c r="B50219" s="1" t="str">
        <f>"54639"</f>
        <v>54639</v>
      </c>
      <c r="C50219" s="2">
        <v>1.2536611126664501E-4</v>
      </c>
      <c r="D50219" s="2">
        <v>4.0654140172463799E-5</v>
      </c>
      <c r="E50219" s="2">
        <v>8.6021135392965999E-5</v>
      </c>
      <c r="F50219" s="2">
        <v>1.18911508719618E-4</v>
      </c>
    </row>
    <row r="50220" spans="1:6" x14ac:dyDescent="0.25">
      <c r="A50220" s="1" t="str">
        <f t="shared" si="1588"/>
        <v>99999</v>
      </c>
      <c r="B50220" s="1" t="str">
        <f>"54738"</f>
        <v>54738</v>
      </c>
      <c r="C50220" s="2">
        <v>7.2318274893021995E-5</v>
      </c>
      <c r="D50220" s="2">
        <v>2.25856334291466E-5</v>
      </c>
      <c r="E50220" s="2">
        <v>7.3117965084021106E-5</v>
      </c>
      <c r="F50220" s="2">
        <v>6.9077224982350705E-5</v>
      </c>
    </row>
    <row r="50221" spans="1:6" x14ac:dyDescent="0.25">
      <c r="A50221" s="1" t="str">
        <f t="shared" si="1588"/>
        <v>99999</v>
      </c>
      <c r="B50221" s="1" t="str">
        <f>"54806"</f>
        <v>54806</v>
      </c>
      <c r="C50221" s="2">
        <v>5.9316141936956201E-4</v>
      </c>
      <c r="D50221" s="2">
        <v>9.3504522396666901E-4</v>
      </c>
      <c r="E50221" s="2">
        <v>9.2472720547438498E-4</v>
      </c>
      <c r="F50221" s="2">
        <v>6.2317525109077795E-4</v>
      </c>
    </row>
    <row r="50222" spans="1:6" x14ac:dyDescent="0.25">
      <c r="A50222" s="1" t="str">
        <f t="shared" si="1588"/>
        <v>99999</v>
      </c>
      <c r="B50222" s="1" t="str">
        <f>"54812"</f>
        <v>54812</v>
      </c>
      <c r="C50222" s="2">
        <v>2.7108526995827401E-4</v>
      </c>
      <c r="D50222" s="2">
        <v>3.5233588149468698E-4</v>
      </c>
      <c r="E50222" s="2">
        <v>5.0752469881849903E-4</v>
      </c>
      <c r="F50222" s="2">
        <v>2.8183507792799102E-4</v>
      </c>
    </row>
    <row r="50223" spans="1:6" x14ac:dyDescent="0.25">
      <c r="A50223" s="1" t="str">
        <f t="shared" si="1588"/>
        <v>99999</v>
      </c>
      <c r="B50223" s="1" t="str">
        <f>"54814"</f>
        <v>54814</v>
      </c>
      <c r="C50223" s="2">
        <v>1.51240464110107E-4</v>
      </c>
      <c r="D50223" s="2">
        <v>7.82968625543749E-5</v>
      </c>
      <c r="E50223" s="2">
        <v>2.1505283848241501E-4</v>
      </c>
      <c r="F50223" s="2">
        <v>1.4792394321220501E-4</v>
      </c>
    </row>
    <row r="50224" spans="1:6" x14ac:dyDescent="0.25">
      <c r="A50224" s="1" t="str">
        <f t="shared" si="1588"/>
        <v>99999</v>
      </c>
      <c r="B50224" s="1" t="str">
        <f>"54821"</f>
        <v>54821</v>
      </c>
      <c r="C50224" s="2">
        <v>1.19628284067049E-4</v>
      </c>
      <c r="D50224" s="2">
        <v>4.8182684648845999E-5</v>
      </c>
      <c r="E50224" s="2">
        <v>6.0214794775076199E-5</v>
      </c>
      <c r="F50224" s="2">
        <v>1.13582694220979E-4</v>
      </c>
    </row>
    <row r="50225" spans="1:6" x14ac:dyDescent="0.25">
      <c r="A50225" s="1" t="str">
        <f t="shared" si="1588"/>
        <v>99999</v>
      </c>
      <c r="B50225" s="1" t="str">
        <f>"54670"</f>
        <v>54670</v>
      </c>
      <c r="C50225" s="2">
        <v>6.9178709066827898E-5</v>
      </c>
      <c r="D50225" s="2">
        <v>4.2159849067740298E-5</v>
      </c>
      <c r="E50225" s="2">
        <v>3.01073973875381E-5</v>
      </c>
      <c r="F50225" s="2">
        <v>6.6511499483006293E-5</v>
      </c>
    </row>
    <row r="50226" spans="1:6" x14ac:dyDescent="0.25">
      <c r="A50226" s="1" t="str">
        <f t="shared" si="1588"/>
        <v>99999</v>
      </c>
      <c r="B50226" s="1" t="str">
        <f>"54642"</f>
        <v>54642</v>
      </c>
      <c r="C50226" s="2">
        <v>1.0371393315496199E-4</v>
      </c>
      <c r="D50226" s="2">
        <v>6.9262609182716196E-5</v>
      </c>
      <c r="E50226" s="2">
        <v>4.7311624466131299E-5</v>
      </c>
      <c r="F50226" s="2">
        <v>1.00161976224408E-4</v>
      </c>
    </row>
    <row r="50227" spans="1:6" x14ac:dyDescent="0.25">
      <c r="A50227" s="1" t="str">
        <f t="shared" si="1588"/>
        <v>99999</v>
      </c>
      <c r="B50227" s="1" t="str">
        <f>"54746"</f>
        <v>54746</v>
      </c>
      <c r="C50227" s="2">
        <v>3.9948268616055503E-5</v>
      </c>
      <c r="D50227" s="2">
        <v>1.20456711622115E-5</v>
      </c>
      <c r="E50227" s="2">
        <v>4.3010567696482999E-6</v>
      </c>
      <c r="F50227" s="2">
        <v>3.7301701490469398E-5</v>
      </c>
    </row>
    <row r="50228" spans="1:6" x14ac:dyDescent="0.25">
      <c r="A50228" s="1" t="str">
        <f t="shared" si="1588"/>
        <v>99999</v>
      </c>
      <c r="B50228" s="1" t="str">
        <f>"54824"</f>
        <v>54824</v>
      </c>
      <c r="C50228" s="2">
        <v>1.13565674195778E-4</v>
      </c>
      <c r="D50228" s="2">
        <v>2.8608469010252301E-5</v>
      </c>
      <c r="E50228" s="2">
        <v>9.0322192162614306E-5</v>
      </c>
      <c r="F50228" s="2">
        <v>1.07464425722542E-4</v>
      </c>
    </row>
    <row r="50229" spans="1:6" x14ac:dyDescent="0.25">
      <c r="A50229" s="1" t="str">
        <f t="shared" si="1588"/>
        <v>99999</v>
      </c>
      <c r="B50229" s="1" t="str">
        <f>"54826"</f>
        <v>54826</v>
      </c>
      <c r="C50229" s="2">
        <v>5.6079141309259497E-5</v>
      </c>
      <c r="D50229" s="2">
        <v>4.5171266858293203E-6</v>
      </c>
      <c r="E50229" s="2">
        <v>1.29031703089449E-5</v>
      </c>
      <c r="F50229" s="2">
        <v>5.1709236986788201E-5</v>
      </c>
    </row>
    <row r="50230" spans="1:6" x14ac:dyDescent="0.25">
      <c r="A50230" s="1" t="str">
        <f t="shared" si="1588"/>
        <v>99999</v>
      </c>
      <c r="B50230" s="1" t="str">
        <f>"55037"</f>
        <v>55037</v>
      </c>
      <c r="C50230" s="2">
        <v>2.79962662984064E-4</v>
      </c>
      <c r="D50230" s="2">
        <v>1.6412226958513199E-4</v>
      </c>
      <c r="E50230" s="2">
        <v>2.6236446294854599E-4</v>
      </c>
      <c r="F50230" s="2">
        <v>2.7196690293051199E-4</v>
      </c>
    </row>
    <row r="50231" spans="1:6" x14ac:dyDescent="0.25">
      <c r="A50231" s="1" t="str">
        <f t="shared" si="1588"/>
        <v>99999</v>
      </c>
      <c r="B50231" s="1" t="str">
        <f>"54896"</f>
        <v>54896</v>
      </c>
      <c r="C50231" s="2">
        <v>1.5264785568736599E-4</v>
      </c>
      <c r="D50231" s="2">
        <v>5.7216938020504697E-5</v>
      </c>
      <c r="E50231" s="2">
        <v>8.1720078623317706E-5</v>
      </c>
      <c r="F50231" s="2">
        <v>1.4476612721301199E-4</v>
      </c>
    </row>
    <row r="50232" spans="1:6" x14ac:dyDescent="0.25">
      <c r="A50232" s="1" t="str">
        <f t="shared" si="1588"/>
        <v>99999</v>
      </c>
      <c r="B50232" s="1" t="str">
        <f>"54630"</f>
        <v>54630</v>
      </c>
      <c r="C50232" s="2">
        <v>2.2150178208251901E-4</v>
      </c>
      <c r="D50232" s="2">
        <v>1.08411040459903E-4</v>
      </c>
      <c r="E50232" s="2">
        <v>2.3655812233065599E-4</v>
      </c>
      <c r="F50232" s="2">
        <v>2.1443544269521099E-4</v>
      </c>
    </row>
    <row r="50233" spans="1:6" x14ac:dyDescent="0.25">
      <c r="A50233" s="1" t="str">
        <f t="shared" si="1588"/>
        <v>99999</v>
      </c>
      <c r="B50233" s="1" t="str">
        <f>"54950"</f>
        <v>54950</v>
      </c>
      <c r="C50233" s="2">
        <v>1.1789610981811499E-4</v>
      </c>
      <c r="D50233" s="2">
        <v>5.5711229125228301E-5</v>
      </c>
      <c r="E50233" s="2">
        <v>1.2903170308944901E-4</v>
      </c>
      <c r="F50233" s="2">
        <v>1.1407610297085301E-4</v>
      </c>
    </row>
    <row r="50234" spans="1:6" x14ac:dyDescent="0.25">
      <c r="A50234" s="1" t="str">
        <f t="shared" si="1588"/>
        <v>99999</v>
      </c>
      <c r="B50234" s="1" t="str">
        <f>"54929"</f>
        <v>54929</v>
      </c>
      <c r="C50234" s="2">
        <v>3.88331814433038E-4</v>
      </c>
      <c r="D50234" s="2">
        <v>4.38161288525444E-4</v>
      </c>
      <c r="E50234" s="2">
        <v>4.21503563425533E-4</v>
      </c>
      <c r="F50234" s="2">
        <v>3.92358637899752E-4</v>
      </c>
    </row>
    <row r="50235" spans="1:6" x14ac:dyDescent="0.25">
      <c r="A50235" s="1" t="str">
        <f t="shared" si="1588"/>
        <v>99999</v>
      </c>
      <c r="B50235" s="1" t="str">
        <f>"54984"</f>
        <v>54984</v>
      </c>
      <c r="C50235" s="2">
        <v>2.2355873900312901E-4</v>
      </c>
      <c r="D50235" s="2">
        <v>1.06905331564627E-4</v>
      </c>
      <c r="E50235" s="2">
        <v>5.1612681235779599E-5</v>
      </c>
      <c r="F50235" s="2">
        <v>2.1196839894584201E-4</v>
      </c>
    </row>
    <row r="50236" spans="1:6" x14ac:dyDescent="0.25">
      <c r="A50236" s="1" t="str">
        <f t="shared" si="1588"/>
        <v>99999</v>
      </c>
      <c r="B50236" s="1" t="str">
        <f>"54941"</f>
        <v>54941</v>
      </c>
      <c r="C50236" s="2">
        <v>2.0742786630992499E-4</v>
      </c>
      <c r="D50236" s="2">
        <v>1.15939584936285E-4</v>
      </c>
      <c r="E50236" s="2">
        <v>2.3655812233065599E-4</v>
      </c>
      <c r="F50236" s="2">
        <v>2.0210022394836301E-4</v>
      </c>
    </row>
    <row r="50237" spans="1:6" x14ac:dyDescent="0.25">
      <c r="A50237" s="1" t="str">
        <f t="shared" si="1588"/>
        <v>99999</v>
      </c>
      <c r="B50237" s="1" t="str">
        <f>"54459"</f>
        <v>54459</v>
      </c>
      <c r="C50237" s="2">
        <v>7.9355232779319002E-5</v>
      </c>
      <c r="D50237" s="2">
        <v>1.65627978480408E-5</v>
      </c>
      <c r="E50237" s="2">
        <v>8.6021135392965999E-6</v>
      </c>
      <c r="F50237" s="2">
        <v>7.3616585481190894E-5</v>
      </c>
    </row>
    <row r="50238" spans="1:6" x14ac:dyDescent="0.25">
      <c r="A50238" s="1" t="str">
        <f t="shared" si="1588"/>
        <v>99999</v>
      </c>
      <c r="B50238" s="1" t="str">
        <f>"54487"</f>
        <v>54487</v>
      </c>
      <c r="C50238" s="2">
        <v>1.42254810193758E-4</v>
      </c>
      <c r="D50238" s="2">
        <v>4.2159849067740298E-5</v>
      </c>
      <c r="E50238" s="2">
        <v>1.72042270785932E-5</v>
      </c>
      <c r="F50238" s="2">
        <v>1.3282563546606301E-4</v>
      </c>
    </row>
    <row r="50239" spans="1:6" x14ac:dyDescent="0.25">
      <c r="A50239" s="1" t="str">
        <f t="shared" si="1588"/>
        <v>99999</v>
      </c>
      <c r="B50239" s="1" t="str">
        <f>"54493"</f>
        <v>54493</v>
      </c>
      <c r="C50239" s="2">
        <v>4.7959574517378298E-5</v>
      </c>
      <c r="D50239" s="2">
        <v>1.20456711622115E-5</v>
      </c>
      <c r="E50239" s="2">
        <v>4.3010567696482999E-6</v>
      </c>
      <c r="F50239" s="2">
        <v>4.46041509886036E-5</v>
      </c>
    </row>
    <row r="50240" spans="1:6" x14ac:dyDescent="0.25">
      <c r="A50240" s="1" t="str">
        <f t="shared" si="1588"/>
        <v>99999</v>
      </c>
      <c r="B50240" s="1" t="str">
        <f>"54437"</f>
        <v>54437</v>
      </c>
      <c r="C50240" s="2">
        <v>1.4528611512939401E-4</v>
      </c>
      <c r="D50240" s="2">
        <v>7.2274026973269097E-5</v>
      </c>
      <c r="E50240" s="2">
        <v>6.4515851544724506E-5</v>
      </c>
      <c r="F50240" s="2">
        <v>1.38647858714575E-4</v>
      </c>
    </row>
    <row r="50241" spans="1:6" x14ac:dyDescent="0.25">
      <c r="A50241" s="1" t="str">
        <f t="shared" si="1588"/>
        <v>99999</v>
      </c>
      <c r="B50241" s="1" t="str">
        <f>"54568"</f>
        <v>54568</v>
      </c>
      <c r="C50241" s="2">
        <v>5.0189748862881705E-4</v>
      </c>
      <c r="D50241" s="2">
        <v>5.0290677102233095E-4</v>
      </c>
      <c r="E50241" s="2">
        <v>2.3655812233065599E-4</v>
      </c>
      <c r="F50241" s="2">
        <v>4.9587579362330304E-4</v>
      </c>
    </row>
    <row r="50242" spans="1:6" x14ac:dyDescent="0.25">
      <c r="A50242" s="1" t="str">
        <f t="shared" si="1588"/>
        <v>99999</v>
      </c>
      <c r="B50242" s="1" t="str">
        <f>"54479"</f>
        <v>54479</v>
      </c>
      <c r="C50242" s="2">
        <v>4.1788703755548602E-5</v>
      </c>
      <c r="D50242" s="2">
        <v>1.20456711622115E-5</v>
      </c>
      <c r="E50242" s="2">
        <v>0</v>
      </c>
      <c r="F50242" s="2">
        <v>3.8880609490066002E-5</v>
      </c>
    </row>
    <row r="50243" spans="1:6" x14ac:dyDescent="0.25">
      <c r="A50243" s="1" t="str">
        <f t="shared" si="1588"/>
        <v>99999</v>
      </c>
      <c r="B50243" s="1" t="str">
        <f>"54541"</f>
        <v>54541</v>
      </c>
      <c r="C50243" s="2">
        <v>8.0654363466019994E-5</v>
      </c>
      <c r="D50243" s="2">
        <v>2.7102760114975901E-5</v>
      </c>
      <c r="E50243" s="2">
        <v>3.8709510926834699E-5</v>
      </c>
      <c r="F50243" s="2">
        <v>7.6182310980535401E-5</v>
      </c>
    </row>
    <row r="50244" spans="1:6" x14ac:dyDescent="0.25">
      <c r="A50244" s="1" t="str">
        <f t="shared" si="1588"/>
        <v>99999</v>
      </c>
      <c r="B50244" s="1" t="str">
        <f>"54545"</f>
        <v>54545</v>
      </c>
      <c r="C50244" s="2">
        <v>9.4620018348055699E-5</v>
      </c>
      <c r="D50244" s="2">
        <v>8.5825407030757094E-5</v>
      </c>
      <c r="E50244" s="2">
        <v>3.01073973875381E-5</v>
      </c>
      <c r="F50244" s="2">
        <v>9.2563481476350002E-5</v>
      </c>
    </row>
    <row r="50245" spans="1:6" x14ac:dyDescent="0.25">
      <c r="A50245" s="1" t="str">
        <f t="shared" si="1588"/>
        <v>99999</v>
      </c>
      <c r="B50245" s="1" t="str">
        <f>"55752"</f>
        <v>55752</v>
      </c>
      <c r="C50245" s="2">
        <v>3.1828701824174298E-5</v>
      </c>
      <c r="D50245" s="2">
        <v>1.0539962266935E-5</v>
      </c>
      <c r="E50245" s="2">
        <v>4.3010567696482999E-6</v>
      </c>
      <c r="F50245" s="2">
        <v>2.9801888492385599E-5</v>
      </c>
    </row>
    <row r="50246" spans="1:6" x14ac:dyDescent="0.25">
      <c r="A50246" s="1" t="str">
        <f t="shared" ref="A50246:A50309" si="1589">"99999"</f>
        <v>99999</v>
      </c>
      <c r="B50246" s="1" t="str">
        <f>"55712"</f>
        <v>55712</v>
      </c>
      <c r="C50246" s="2">
        <v>2.4250439485085199E-5</v>
      </c>
      <c r="D50246" s="2">
        <v>4.5171266858293203E-6</v>
      </c>
      <c r="E50246" s="2">
        <v>4.3010567696482999E-6</v>
      </c>
      <c r="F50246" s="2">
        <v>2.2499438994251299E-5</v>
      </c>
    </row>
    <row r="50247" spans="1:6" x14ac:dyDescent="0.25">
      <c r="A50247" s="1" t="str">
        <f t="shared" si="1589"/>
        <v>99999</v>
      </c>
      <c r="B50247" s="1" t="str">
        <f>"57246"</f>
        <v>57246</v>
      </c>
      <c r="C50247" s="2">
        <v>1.24500024142178E-5</v>
      </c>
      <c r="D50247" s="2">
        <v>3.01141779055288E-6</v>
      </c>
      <c r="E50247" s="2">
        <v>4.3010567696482999E-6</v>
      </c>
      <c r="F50247" s="2">
        <v>1.1644446497024801E-5</v>
      </c>
    </row>
    <row r="50248" spans="1:6" x14ac:dyDescent="0.25">
      <c r="A50248" s="1" t="str">
        <f t="shared" si="1589"/>
        <v>99999</v>
      </c>
      <c r="B50248" s="1" t="str">
        <f>"57076"</f>
        <v>57076</v>
      </c>
      <c r="C50248" s="2">
        <v>1.6347394474320801E-5</v>
      </c>
      <c r="D50248" s="2">
        <v>1.35513800574879E-5</v>
      </c>
      <c r="E50248" s="2">
        <v>2.58063406178898E-5</v>
      </c>
      <c r="F50248" s="2">
        <v>1.6381170495814601E-5</v>
      </c>
    </row>
    <row r="50249" spans="1:6" x14ac:dyDescent="0.25">
      <c r="A50249" s="1" t="str">
        <f t="shared" si="1589"/>
        <v>99999</v>
      </c>
      <c r="B50249" s="1" t="str">
        <f>"57365"</f>
        <v>57365</v>
      </c>
      <c r="C50249" s="2">
        <v>2.0028264753306899E-5</v>
      </c>
      <c r="D50249" s="2">
        <v>2.55970512196994E-5</v>
      </c>
      <c r="E50249" s="2">
        <v>6.0214794775076199E-5</v>
      </c>
      <c r="F50249" s="2">
        <v>2.1315257994553901E-5</v>
      </c>
    </row>
    <row r="50250" spans="1:6" x14ac:dyDescent="0.25">
      <c r="A50250" s="1" t="str">
        <f t="shared" si="1589"/>
        <v>99999</v>
      </c>
      <c r="B50250" s="1" t="str">
        <f>"57063"</f>
        <v>57063</v>
      </c>
      <c r="C50250" s="2">
        <v>3.8107833476562398E-5</v>
      </c>
      <c r="D50250" s="2">
        <v>1.80685067433172E-5</v>
      </c>
      <c r="E50250" s="2">
        <v>5.5913738005427899E-5</v>
      </c>
      <c r="F50250" s="2">
        <v>3.7203019740494601E-5</v>
      </c>
    </row>
    <row r="50251" spans="1:6" x14ac:dyDescent="0.25">
      <c r="A50251" s="1" t="str">
        <f t="shared" si="1589"/>
        <v>99999</v>
      </c>
      <c r="B50251" s="1" t="str">
        <f>"57279"</f>
        <v>57279</v>
      </c>
      <c r="C50251" s="2">
        <v>5.97600115882457E-5</v>
      </c>
      <c r="D50251" s="2">
        <v>1.50570889527644E-5</v>
      </c>
      <c r="E50251" s="2">
        <v>5.1612681235779599E-5</v>
      </c>
      <c r="F50251" s="2">
        <v>5.6643324485527599E-5</v>
      </c>
    </row>
    <row r="50252" spans="1:6" x14ac:dyDescent="0.25">
      <c r="A50252" s="1" t="str">
        <f t="shared" si="1589"/>
        <v>99999</v>
      </c>
      <c r="B50252" s="1" t="str">
        <f>"57349"</f>
        <v>57349</v>
      </c>
      <c r="C50252" s="2">
        <v>8.1953494152721E-5</v>
      </c>
      <c r="D50252" s="2">
        <v>3.31255956960816E-5</v>
      </c>
      <c r="E50252" s="2">
        <v>1.2473064631979999E-4</v>
      </c>
      <c r="F50252" s="2">
        <v>7.9734853979627701E-5</v>
      </c>
    </row>
    <row r="50253" spans="1:6" x14ac:dyDescent="0.25">
      <c r="A50253" s="1" t="str">
        <f t="shared" si="1589"/>
        <v>99999</v>
      </c>
      <c r="B50253" s="1" t="str">
        <f>"57252"</f>
        <v>57252</v>
      </c>
      <c r="C50253" s="2">
        <v>2.5452135370283602E-4</v>
      </c>
      <c r="D50253" s="2">
        <v>5.1796385997509502E-4</v>
      </c>
      <c r="E50253" s="2">
        <v>6.2795428836865199E-4</v>
      </c>
      <c r="F50253" s="2">
        <v>2.8035485167836902E-4</v>
      </c>
    </row>
    <row r="50254" spans="1:6" x14ac:dyDescent="0.25">
      <c r="A50254" s="1" t="str">
        <f t="shared" si="1589"/>
        <v>99999</v>
      </c>
      <c r="B50254" s="1" t="str">
        <f>"57255"</f>
        <v>57255</v>
      </c>
      <c r="C50254" s="2">
        <v>2.4791743937877301E-5</v>
      </c>
      <c r="D50254" s="2">
        <v>9.0342533716586405E-6</v>
      </c>
      <c r="E50254" s="2">
        <v>2.15052838482415E-5</v>
      </c>
      <c r="F50254" s="2">
        <v>2.3683619993948799E-5</v>
      </c>
    </row>
    <row r="50255" spans="1:6" x14ac:dyDescent="0.25">
      <c r="A50255" s="1" t="str">
        <f t="shared" si="1589"/>
        <v>99999</v>
      </c>
      <c r="B50255" s="1" t="str">
        <f>"57375"</f>
        <v>57375</v>
      </c>
      <c r="C50255" s="2">
        <v>2.99882666846812E-5</v>
      </c>
      <c r="D50255" s="2">
        <v>1.50570889527644E-5</v>
      </c>
      <c r="E50255" s="2">
        <v>2.15052838482415E-5</v>
      </c>
      <c r="F50255" s="2">
        <v>2.88150709926377E-5</v>
      </c>
    </row>
    <row r="50256" spans="1:6" x14ac:dyDescent="0.25">
      <c r="A50256" s="1" t="str">
        <f t="shared" si="1589"/>
        <v>99999</v>
      </c>
      <c r="B50256" s="1" t="str">
        <f>"57257"</f>
        <v>57257</v>
      </c>
      <c r="C50256" s="2">
        <v>2.4791743937877301E-5</v>
      </c>
      <c r="D50256" s="2">
        <v>3.01141779055288E-6</v>
      </c>
      <c r="E50256" s="2">
        <v>4.3010567696482999E-6</v>
      </c>
      <c r="F50256" s="2">
        <v>2.2894165994150501E-5</v>
      </c>
    </row>
    <row r="50257" spans="1:6" x14ac:dyDescent="0.25">
      <c r="A50257" s="1" t="str">
        <f t="shared" si="1589"/>
        <v>99999</v>
      </c>
      <c r="B50257" s="1" t="str">
        <f>"56381"</f>
        <v>56381</v>
      </c>
      <c r="C50257" s="2">
        <v>1.3489306963578601E-4</v>
      </c>
      <c r="D50257" s="2">
        <v>6.0228355811057599E-5</v>
      </c>
      <c r="E50257" s="2">
        <v>8.1720078623317706E-5</v>
      </c>
      <c r="F50257" s="2">
        <v>1.28779683717096E-4</v>
      </c>
    </row>
    <row r="50258" spans="1:6" x14ac:dyDescent="0.25">
      <c r="A50258" s="1" t="str">
        <f t="shared" si="1589"/>
        <v>99999</v>
      </c>
      <c r="B50258" s="1" t="str">
        <f>"56318"</f>
        <v>56318</v>
      </c>
      <c r="C50258" s="2">
        <v>7.0910883315762505E-5</v>
      </c>
      <c r="D50258" s="2">
        <v>1.0539962266935E-5</v>
      </c>
      <c r="E50258" s="2">
        <v>4.3010567696482999E-6</v>
      </c>
      <c r="F50258" s="2">
        <v>6.5426000233283601E-5</v>
      </c>
    </row>
    <row r="50259" spans="1:6" x14ac:dyDescent="0.25">
      <c r="A50259" s="1" t="str">
        <f t="shared" si="1589"/>
        <v>99999</v>
      </c>
      <c r="B50259" s="1" t="str">
        <f>"56314"</f>
        <v>56314</v>
      </c>
      <c r="C50259" s="2">
        <v>4.8176096298495099E-5</v>
      </c>
      <c r="D50259" s="2">
        <v>6.0228355811057601E-6</v>
      </c>
      <c r="E50259" s="2">
        <v>1.29031703089449E-5</v>
      </c>
      <c r="F50259" s="2">
        <v>4.46041509886036E-5</v>
      </c>
    </row>
    <row r="50260" spans="1:6" x14ac:dyDescent="0.25">
      <c r="A50260" s="1" t="str">
        <f t="shared" si="1589"/>
        <v>99999</v>
      </c>
      <c r="B50260" s="1" t="str">
        <f>"56284"</f>
        <v>56284</v>
      </c>
      <c r="C50260" s="2">
        <v>4.5686095815651599E-5</v>
      </c>
      <c r="D50260" s="2">
        <v>2.4091342324423E-5</v>
      </c>
      <c r="E50260" s="2">
        <v>4.7311624466131299E-5</v>
      </c>
      <c r="F50260" s="2">
        <v>4.4308105738679202E-5</v>
      </c>
    </row>
    <row r="50261" spans="1:6" x14ac:dyDescent="0.25">
      <c r="A50261" s="1" t="str">
        <f t="shared" si="1589"/>
        <v>99999</v>
      </c>
      <c r="B50261" s="1" t="str">
        <f>"56291"</f>
        <v>56291</v>
      </c>
      <c r="C50261" s="2">
        <v>1.06095672747247E-5</v>
      </c>
      <c r="D50261" s="2">
        <v>1.50570889527644E-6</v>
      </c>
      <c r="E50261" s="2">
        <v>0</v>
      </c>
      <c r="F50261" s="2">
        <v>9.7694932475038906E-6</v>
      </c>
    </row>
    <row r="50262" spans="1:6" x14ac:dyDescent="0.25">
      <c r="A50262" s="1" t="str">
        <f t="shared" si="1589"/>
        <v>99999</v>
      </c>
      <c r="B50262" s="1" t="str">
        <f>"56570"</f>
        <v>56570</v>
      </c>
      <c r="C50262" s="2">
        <v>7.6540449624800197E-5</v>
      </c>
      <c r="D50262" s="2">
        <v>2.8608469010252301E-5</v>
      </c>
      <c r="E50262" s="2">
        <v>3.44084541571864E-5</v>
      </c>
      <c r="F50262" s="2">
        <v>7.2432404481493506E-5</v>
      </c>
    </row>
    <row r="50263" spans="1:6" x14ac:dyDescent="0.25">
      <c r="A50263" s="1" t="str">
        <f t="shared" si="1589"/>
        <v>99999</v>
      </c>
      <c r="B50263" s="1" t="str">
        <f>"56510"</f>
        <v>56510</v>
      </c>
      <c r="C50263" s="2">
        <v>1.2948002510786499E-4</v>
      </c>
      <c r="D50263" s="2">
        <v>2.6199334777810002E-4</v>
      </c>
      <c r="E50263" s="2">
        <v>2.1935389525206301E-4</v>
      </c>
      <c r="F50263" s="2">
        <v>1.4022676671417199E-4</v>
      </c>
    </row>
    <row r="50264" spans="1:6" x14ac:dyDescent="0.25">
      <c r="A50264" s="1" t="str">
        <f t="shared" si="1589"/>
        <v>99999</v>
      </c>
      <c r="B50264" s="1" t="str">
        <f>"56732"</f>
        <v>56732</v>
      </c>
      <c r="C50264" s="2">
        <v>5.6403923980934802E-5</v>
      </c>
      <c r="D50264" s="2">
        <v>2.1079924533870101E-5</v>
      </c>
      <c r="E50264" s="2">
        <v>7.7419021853669399E-5</v>
      </c>
      <c r="F50264" s="2">
        <v>5.4571007736057098E-5</v>
      </c>
    </row>
    <row r="50265" spans="1:6" x14ac:dyDescent="0.25">
      <c r="A50265" s="1" t="str">
        <f t="shared" si="1589"/>
        <v>99999</v>
      </c>
      <c r="B50265" s="1" t="str">
        <f>"48766"</f>
        <v>48766</v>
      </c>
      <c r="C50265" s="2">
        <v>6.9070448176269494E-5</v>
      </c>
      <c r="D50265" s="2">
        <v>4.8182684648845999E-5</v>
      </c>
      <c r="E50265" s="2">
        <v>8.6021135392965999E-6</v>
      </c>
      <c r="F50265" s="2">
        <v>6.6314135983056699E-5</v>
      </c>
    </row>
    <row r="50266" spans="1:6" x14ac:dyDescent="0.25">
      <c r="A50266" s="1" t="str">
        <f t="shared" si="1589"/>
        <v>99999</v>
      </c>
      <c r="B50266" s="1" t="str">
        <f>"48767"</f>
        <v>48767</v>
      </c>
      <c r="C50266" s="2">
        <v>1.10642630150701E-4</v>
      </c>
      <c r="D50266" s="2">
        <v>6.0228355811057599E-5</v>
      </c>
      <c r="E50266" s="2">
        <v>3.01073973875381E-5</v>
      </c>
      <c r="F50266" s="2">
        <v>1.05490790723047E-4</v>
      </c>
    </row>
    <row r="50267" spans="1:6" x14ac:dyDescent="0.25">
      <c r="A50267" s="1" t="str">
        <f t="shared" si="1589"/>
        <v>99999</v>
      </c>
      <c r="B50267" s="1" t="str">
        <f>"48756"</f>
        <v>48756</v>
      </c>
      <c r="C50267" s="2">
        <v>2.88190490666503E-4</v>
      </c>
      <c r="D50267" s="2">
        <v>1.2798525609849701E-4</v>
      </c>
      <c r="E50267" s="2">
        <v>2.58063406178898E-5</v>
      </c>
      <c r="F50267" s="2">
        <v>2.7167085768058802E-4</v>
      </c>
    </row>
    <row r="50268" spans="1:6" x14ac:dyDescent="0.25">
      <c r="A50268" s="1" t="str">
        <f t="shared" si="1589"/>
        <v>99999</v>
      </c>
      <c r="B50268" s="1" t="str">
        <f>"48419"</f>
        <v>48419</v>
      </c>
      <c r="C50268" s="2">
        <v>1.57952639324729E-4</v>
      </c>
      <c r="D50268" s="2">
        <v>5.8722646915781101E-5</v>
      </c>
      <c r="E50268" s="2">
        <v>3.01073973875381E-5</v>
      </c>
      <c r="F50268" s="2">
        <v>1.4851603371205399E-4</v>
      </c>
    </row>
    <row r="50269" spans="1:6" x14ac:dyDescent="0.25">
      <c r="A50269" s="1" t="str">
        <f t="shared" si="1589"/>
        <v>99999</v>
      </c>
      <c r="B50269" s="1" t="str">
        <f>"48453"</f>
        <v>48453</v>
      </c>
      <c r="C50269" s="2">
        <v>2.26698304829323E-4</v>
      </c>
      <c r="D50269" s="2">
        <v>3.7040438823800399E-4</v>
      </c>
      <c r="E50269" s="2">
        <v>3.13977144184326E-4</v>
      </c>
      <c r="F50269" s="2">
        <v>2.3811906268916E-4</v>
      </c>
    </row>
    <row r="50270" spans="1:6" x14ac:dyDescent="0.25">
      <c r="A50270" s="1" t="str">
        <f t="shared" si="1589"/>
        <v>99999</v>
      </c>
      <c r="B50270" s="1" t="str">
        <f>"48450"</f>
        <v>48450</v>
      </c>
      <c r="C50270" s="2">
        <v>4.2957921373579499E-4</v>
      </c>
      <c r="D50270" s="2">
        <v>2.42419132139506E-4</v>
      </c>
      <c r="E50270" s="2">
        <v>4.21503563425533E-4</v>
      </c>
      <c r="F50270" s="2">
        <v>4.1712775714342298E-4</v>
      </c>
    </row>
    <row r="50271" spans="1:6" x14ac:dyDescent="0.25">
      <c r="A50271" s="1" t="str">
        <f t="shared" si="1589"/>
        <v>99999</v>
      </c>
      <c r="B50271" s="1" t="str">
        <f>"48427"</f>
        <v>48427</v>
      </c>
      <c r="C50271" s="2">
        <v>1.86533514432151E-4</v>
      </c>
      <c r="D50271" s="2">
        <v>1.0539962266935E-4</v>
      </c>
      <c r="E50271" s="2">
        <v>1.37633816628745E-4</v>
      </c>
      <c r="F50271" s="2">
        <v>1.8009419370398501E-4</v>
      </c>
    </row>
    <row r="50272" spans="1:6" x14ac:dyDescent="0.25">
      <c r="A50272" s="1" t="str">
        <f t="shared" si="1589"/>
        <v>99999</v>
      </c>
      <c r="B50272" s="1" t="str">
        <f>"49735"</f>
        <v>49735</v>
      </c>
      <c r="C50272" s="2">
        <v>1.1576337027411399E-3</v>
      </c>
      <c r="D50272" s="2">
        <v>1.7872764586931301E-3</v>
      </c>
      <c r="E50272" s="2">
        <v>1.4838645855286599E-3</v>
      </c>
      <c r="F50272" s="2">
        <v>1.2063843934417601E-3</v>
      </c>
    </row>
    <row r="50273" spans="1:6" x14ac:dyDescent="0.25">
      <c r="A50273" s="1" t="str">
        <f t="shared" si="1589"/>
        <v>99999</v>
      </c>
      <c r="B50273" s="1" t="str">
        <f>"49749"</f>
        <v>49749</v>
      </c>
      <c r="C50273" s="2">
        <v>3.5639485171830602E-4</v>
      </c>
      <c r="D50273" s="2">
        <v>3.0565890574111697E-4</v>
      </c>
      <c r="E50273" s="2">
        <v>1.67741214016283E-4</v>
      </c>
      <c r="F50273" s="2">
        <v>3.4874130441089603E-4</v>
      </c>
    </row>
    <row r="50274" spans="1:6" x14ac:dyDescent="0.25">
      <c r="A50274" s="1" t="str">
        <f t="shared" si="1589"/>
        <v>99999</v>
      </c>
      <c r="B50274" s="1" t="str">
        <f>"49706"</f>
        <v>49706</v>
      </c>
      <c r="C50274" s="2">
        <v>2.9035570847767199E-4</v>
      </c>
      <c r="D50274" s="2">
        <v>7.6791153659098402E-5</v>
      </c>
      <c r="E50274" s="2">
        <v>1.41934873398393E-4</v>
      </c>
      <c r="F50274" s="2">
        <v>2.7295372043025998E-4</v>
      </c>
    </row>
    <row r="50275" spans="1:6" x14ac:dyDescent="0.25">
      <c r="A50275" s="1" t="str">
        <f t="shared" si="1589"/>
        <v>99999</v>
      </c>
      <c r="B50275" s="1" t="str">
        <f>"49701"</f>
        <v>49701</v>
      </c>
      <c r="C50275" s="2">
        <v>7.5133058047540801E-5</v>
      </c>
      <c r="D50275" s="2">
        <v>1.7014510516623701E-4</v>
      </c>
      <c r="E50275" s="2">
        <v>2.58063406178898E-5</v>
      </c>
      <c r="F50275" s="2">
        <v>8.0228262729501598E-5</v>
      </c>
    </row>
    <row r="50276" spans="1:6" x14ac:dyDescent="0.25">
      <c r="A50276" s="1" t="str">
        <f t="shared" si="1589"/>
        <v>99999</v>
      </c>
      <c r="B50276" s="1" t="str">
        <f>"49836"</f>
        <v>49836</v>
      </c>
      <c r="C50276" s="2">
        <v>6.3765664538907094E-5</v>
      </c>
      <c r="D50276" s="2">
        <v>1.80685067433172E-5</v>
      </c>
      <c r="E50276" s="2">
        <v>1.29031703089449E-5</v>
      </c>
      <c r="F50276" s="2">
        <v>5.9603776984771199E-5</v>
      </c>
    </row>
    <row r="50277" spans="1:6" x14ac:dyDescent="0.25">
      <c r="A50277" s="1" t="str">
        <f t="shared" si="1589"/>
        <v>99999</v>
      </c>
      <c r="B50277" s="1" t="str">
        <f>"49690"</f>
        <v>49690</v>
      </c>
      <c r="C50277" s="2">
        <v>1.9162177628839599E-5</v>
      </c>
      <c r="D50277" s="2">
        <v>3.01141779055288E-6</v>
      </c>
      <c r="E50277" s="2">
        <v>0</v>
      </c>
      <c r="F50277" s="2">
        <v>1.76640332454868E-5</v>
      </c>
    </row>
    <row r="50278" spans="1:6" x14ac:dyDescent="0.25">
      <c r="A50278" s="1" t="str">
        <f t="shared" si="1589"/>
        <v>99999</v>
      </c>
      <c r="B50278" s="1" t="str">
        <f>"49854"</f>
        <v>49854</v>
      </c>
      <c r="C50278" s="2">
        <v>4.1236573213700699E-4</v>
      </c>
      <c r="D50278" s="2">
        <v>4.8634397317428999E-4</v>
      </c>
      <c r="E50278" s="2">
        <v>2.3655812233065599E-4</v>
      </c>
      <c r="F50278" s="2">
        <v>4.1318048714443202E-4</v>
      </c>
    </row>
    <row r="50279" spans="1:6" x14ac:dyDescent="0.25">
      <c r="A50279" s="1" t="str">
        <f t="shared" si="1589"/>
        <v>99999</v>
      </c>
      <c r="B50279" s="1" t="str">
        <f>"49779"</f>
        <v>49779</v>
      </c>
      <c r="C50279" s="2">
        <v>2.9490266588112502E-4</v>
      </c>
      <c r="D50279" s="2">
        <v>4.14069946201021E-4</v>
      </c>
      <c r="E50279" s="2">
        <v>2.2795600879136E-4</v>
      </c>
      <c r="F50279" s="2">
        <v>3.0117670092304899E-4</v>
      </c>
    </row>
    <row r="50280" spans="1:6" x14ac:dyDescent="0.25">
      <c r="A50280" s="1" t="str">
        <f t="shared" si="1589"/>
        <v>99999</v>
      </c>
      <c r="B50280" s="1" t="str">
        <f>"49853"</f>
        <v>49853</v>
      </c>
      <c r="C50280" s="2">
        <v>8.8449147586226002E-5</v>
      </c>
      <c r="D50280" s="2">
        <v>4.6676975753569603E-5</v>
      </c>
      <c r="E50280" s="2">
        <v>1.29031703089449E-5</v>
      </c>
      <c r="F50280" s="2">
        <v>8.3978169228543506E-5</v>
      </c>
    </row>
    <row r="50281" spans="1:6" x14ac:dyDescent="0.25">
      <c r="A50281" s="1" t="str">
        <f t="shared" si="1589"/>
        <v>99999</v>
      </c>
      <c r="B50281" s="1" t="str">
        <f>"49745"</f>
        <v>49745</v>
      </c>
      <c r="C50281" s="2">
        <v>7.4700014485307105E-5</v>
      </c>
      <c r="D50281" s="2">
        <v>1.20456711622115E-5</v>
      </c>
      <c r="E50281" s="2">
        <v>0</v>
      </c>
      <c r="F50281" s="2">
        <v>6.8879861482401097E-5</v>
      </c>
    </row>
    <row r="50282" spans="1:6" x14ac:dyDescent="0.25">
      <c r="A50282" s="1" t="str">
        <f t="shared" si="1589"/>
        <v>99999</v>
      </c>
      <c r="B50282" s="1" t="str">
        <f>"49795"</f>
        <v>49795</v>
      </c>
      <c r="C50282" s="2">
        <v>1.4582741958218601E-4</v>
      </c>
      <c r="D50282" s="2">
        <v>7.9802571449651304E-5</v>
      </c>
      <c r="E50282" s="2">
        <v>6.8816908314372799E-5</v>
      </c>
      <c r="F50282" s="2">
        <v>1.39733357964298E-4</v>
      </c>
    </row>
    <row r="50283" spans="1:6" x14ac:dyDescent="0.25">
      <c r="A50283" s="1" t="str">
        <f t="shared" si="1589"/>
        <v>99999</v>
      </c>
      <c r="B50283" s="1" t="str">
        <f>"49760"</f>
        <v>49760</v>
      </c>
      <c r="C50283" s="2">
        <v>5.1315662124689203E-5</v>
      </c>
      <c r="D50283" s="2">
        <v>2.1079924533870101E-5</v>
      </c>
      <c r="E50283" s="2">
        <v>5.1612681235779599E-5</v>
      </c>
      <c r="F50283" s="2">
        <v>4.9340874987393397E-5</v>
      </c>
    </row>
    <row r="50284" spans="1:6" x14ac:dyDescent="0.25">
      <c r="A50284" s="1" t="str">
        <f t="shared" si="1589"/>
        <v>99999</v>
      </c>
      <c r="B50284" s="1" t="str">
        <f>"49765"</f>
        <v>49765</v>
      </c>
      <c r="C50284" s="2">
        <v>2.8764918621371102E-4</v>
      </c>
      <c r="D50284" s="2">
        <v>1.3250238278432599E-4</v>
      </c>
      <c r="E50284" s="2">
        <v>5.5913738005427899E-5</v>
      </c>
      <c r="F50284" s="2">
        <v>2.7216426643046198E-4</v>
      </c>
    </row>
    <row r="50285" spans="1:6" x14ac:dyDescent="0.25">
      <c r="A50285" s="1" t="str">
        <f t="shared" si="1589"/>
        <v>99999</v>
      </c>
      <c r="B50285" s="1" t="str">
        <f>"49615"</f>
        <v>49615</v>
      </c>
      <c r="C50285" s="2">
        <v>3.1189962569879597E-4</v>
      </c>
      <c r="D50285" s="2">
        <v>2.31879169872571E-4</v>
      </c>
      <c r="E50285" s="2">
        <v>2.0645072494311799E-4</v>
      </c>
      <c r="F50285" s="2">
        <v>3.0423583517226699E-4</v>
      </c>
    </row>
    <row r="50286" spans="1:6" x14ac:dyDescent="0.25">
      <c r="A50286" s="1" t="str">
        <f t="shared" si="1589"/>
        <v>99999</v>
      </c>
      <c r="B50286" s="1" t="str">
        <f>"49622"</f>
        <v>49622</v>
      </c>
      <c r="C50286" s="2">
        <v>1.7105220708229699E-4</v>
      </c>
      <c r="D50286" s="2">
        <v>6.9262609182716196E-5</v>
      </c>
      <c r="E50286" s="2">
        <v>5.1612681235779599E-5</v>
      </c>
      <c r="F50286" s="2">
        <v>1.616407064587E-4</v>
      </c>
    </row>
    <row r="50287" spans="1:6" x14ac:dyDescent="0.25">
      <c r="A50287" s="1" t="str">
        <f t="shared" si="1589"/>
        <v>99999</v>
      </c>
      <c r="B50287" s="1" t="str">
        <f>"49645"</f>
        <v>49645</v>
      </c>
      <c r="C50287" s="2">
        <v>1.01873498015469E-4</v>
      </c>
      <c r="D50287" s="2">
        <v>9.9376787088244995E-5</v>
      </c>
      <c r="E50287" s="2">
        <v>5.5913738005427899E-5</v>
      </c>
      <c r="F50287" s="2">
        <v>1.00655384974282E-4</v>
      </c>
    </row>
    <row r="50288" spans="1:6" x14ac:dyDescent="0.25">
      <c r="A50288" s="1" t="str">
        <f t="shared" si="1589"/>
        <v>99999</v>
      </c>
      <c r="B50288" s="1" t="str">
        <f>"49642"</f>
        <v>49642</v>
      </c>
      <c r="C50288" s="2">
        <v>5.90021853543368E-5</v>
      </c>
      <c r="D50288" s="2">
        <v>1.65627978480408E-5</v>
      </c>
      <c r="E50288" s="2">
        <v>9.4623248932262599E-5</v>
      </c>
      <c r="F50288" s="2">
        <v>5.7038051485426699E-5</v>
      </c>
    </row>
    <row r="50289" spans="1:6" x14ac:dyDescent="0.25">
      <c r="A50289" s="1" t="str">
        <f t="shared" si="1589"/>
        <v>99999</v>
      </c>
      <c r="B50289" s="1" t="str">
        <f>"51248"</f>
        <v>51248</v>
      </c>
      <c r="C50289" s="2">
        <v>9.5810888144198301E-5</v>
      </c>
      <c r="D50289" s="2">
        <v>9.0342533716586399E-5</v>
      </c>
      <c r="E50289" s="2">
        <v>1.2042958955015201E-4</v>
      </c>
      <c r="F50289" s="2">
        <v>9.6017342725467498E-5</v>
      </c>
    </row>
    <row r="50290" spans="1:6" x14ac:dyDescent="0.25">
      <c r="A50290" s="1" t="str">
        <f t="shared" si="1589"/>
        <v>99999</v>
      </c>
      <c r="B50290" s="1" t="str">
        <f>"51031"</f>
        <v>51031</v>
      </c>
      <c r="C50290" s="2">
        <v>6.2964533948774799E-4</v>
      </c>
      <c r="D50290" s="2">
        <v>9.5311373070998602E-4</v>
      </c>
      <c r="E50290" s="2">
        <v>1.1569842710353901E-3</v>
      </c>
      <c r="F50290" s="2">
        <v>6.6294399633061701E-4</v>
      </c>
    </row>
    <row r="50291" spans="1:6" x14ac:dyDescent="0.25">
      <c r="A50291" s="1" t="str">
        <f t="shared" si="1589"/>
        <v>99999</v>
      </c>
      <c r="B50291" s="1" t="str">
        <f>"51250"</f>
        <v>51250</v>
      </c>
      <c r="C50291" s="2">
        <v>5.7713880756691605E-4</v>
      </c>
      <c r="D50291" s="2">
        <v>5.2549240445147699E-4</v>
      </c>
      <c r="E50291" s="2">
        <v>2.5806340617889802E-4</v>
      </c>
      <c r="F50291" s="2">
        <v>5.66433244855276E-4</v>
      </c>
    </row>
    <row r="50292" spans="1:6" x14ac:dyDescent="0.25">
      <c r="A50292" s="1" t="str">
        <f t="shared" si="1589"/>
        <v>99999</v>
      </c>
      <c r="B50292" s="1" t="str">
        <f>"50801"</f>
        <v>50801</v>
      </c>
      <c r="C50292" s="2">
        <v>5.4411923594659898E-4</v>
      </c>
      <c r="D50292" s="2">
        <v>9.5612514850053896E-4</v>
      </c>
      <c r="E50292" s="2">
        <v>9.8494200024946098E-4</v>
      </c>
      <c r="F50292" s="2">
        <v>5.8123550735149397E-4</v>
      </c>
    </row>
    <row r="50293" spans="1:6" x14ac:dyDescent="0.25">
      <c r="A50293" s="1" t="str">
        <f t="shared" si="1589"/>
        <v>99999</v>
      </c>
      <c r="B50293" s="1" t="str">
        <f>"50845"</f>
        <v>50845</v>
      </c>
      <c r="C50293" s="2">
        <v>4.2221747317782297E-5</v>
      </c>
      <c r="D50293" s="2">
        <v>4.3665557963016701E-5</v>
      </c>
      <c r="E50293" s="2">
        <v>4.3010567696482999E-6</v>
      </c>
      <c r="F50293" s="2">
        <v>4.14463349894104E-5</v>
      </c>
    </row>
    <row r="50294" spans="1:6" x14ac:dyDescent="0.25">
      <c r="A50294" s="1" t="str">
        <f t="shared" si="1589"/>
        <v>99999</v>
      </c>
      <c r="B50294" s="1" t="str">
        <f>"51442"</f>
        <v>51442</v>
      </c>
      <c r="C50294" s="2">
        <v>4.1734573310269401E-4</v>
      </c>
      <c r="D50294" s="2">
        <v>7.3779735868545503E-4</v>
      </c>
      <c r="E50294" s="2">
        <v>1.01504939763699E-3</v>
      </c>
      <c r="F50294" s="2">
        <v>4.52061096634498E-4</v>
      </c>
    </row>
    <row r="50295" spans="1:6" x14ac:dyDescent="0.25">
      <c r="A50295" s="1" t="str">
        <f t="shared" si="1589"/>
        <v>99999</v>
      </c>
      <c r="B50295" s="1" t="str">
        <f>"51024"</f>
        <v>51024</v>
      </c>
      <c r="C50295" s="2">
        <v>9.8950453970392304E-5</v>
      </c>
      <c r="D50295" s="2">
        <v>2.8608469010252301E-5</v>
      </c>
      <c r="E50295" s="2">
        <v>4.7311624466131299E-5</v>
      </c>
      <c r="F50295" s="2">
        <v>9.3155571976198703E-5</v>
      </c>
    </row>
    <row r="50296" spans="1:6" x14ac:dyDescent="0.25">
      <c r="A50296" s="1" t="str">
        <f t="shared" si="1589"/>
        <v>99999</v>
      </c>
      <c r="B50296" s="1" t="str">
        <f>"50863"</f>
        <v>50863</v>
      </c>
      <c r="C50296" s="2">
        <v>1.6022611802645498E-5</v>
      </c>
      <c r="D50296" s="2">
        <v>7.5285444763821999E-6</v>
      </c>
      <c r="E50296" s="2">
        <v>1.29031703089449E-5</v>
      </c>
      <c r="F50296" s="2">
        <v>1.5394352996066698E-5</v>
      </c>
    </row>
    <row r="50297" spans="1:6" x14ac:dyDescent="0.25">
      <c r="A50297" s="1" t="str">
        <f t="shared" si="1589"/>
        <v>99999</v>
      </c>
      <c r="B50297" s="1" t="str">
        <f>"50864"</f>
        <v>50864</v>
      </c>
      <c r="C50297" s="2">
        <v>1.09884803916792E-4</v>
      </c>
      <c r="D50297" s="2">
        <v>1.47559471737091E-4</v>
      </c>
      <c r="E50297" s="2">
        <v>8.6021135392965999E-5</v>
      </c>
      <c r="F50297" s="2">
        <v>1.1180642272143301E-4</v>
      </c>
    </row>
    <row r="50298" spans="1:6" x14ac:dyDescent="0.25">
      <c r="A50298" s="1" t="str">
        <f t="shared" si="1589"/>
        <v>99999</v>
      </c>
      <c r="B50298" s="1" t="str">
        <f>"52035"</f>
        <v>52035</v>
      </c>
      <c r="C50298" s="2">
        <v>4.4820008691184201E-5</v>
      </c>
      <c r="D50298" s="2">
        <v>1.65627978480408E-5</v>
      </c>
      <c r="E50298" s="2">
        <v>1.29031703089449E-5</v>
      </c>
      <c r="F50298" s="2">
        <v>4.2235788989208702E-5</v>
      </c>
    </row>
    <row r="50299" spans="1:6" x14ac:dyDescent="0.25">
      <c r="A50299" s="1" t="str">
        <f t="shared" si="1589"/>
        <v>99999</v>
      </c>
      <c r="B50299" s="1" t="str">
        <f>"50213"</f>
        <v>50213</v>
      </c>
      <c r="C50299" s="2">
        <v>3.66679636321355E-4</v>
      </c>
      <c r="D50299" s="2">
        <v>4.8182684648845998E-4</v>
      </c>
      <c r="E50299" s="2">
        <v>6.0644900452040999E-4</v>
      </c>
      <c r="F50299" s="2">
        <v>3.79727373902979E-4</v>
      </c>
    </row>
    <row r="50300" spans="1:6" x14ac:dyDescent="0.25">
      <c r="A50300" s="1" t="str">
        <f t="shared" si="1589"/>
        <v>99999</v>
      </c>
      <c r="B50300" s="1" t="str">
        <f>"50217"</f>
        <v>50217</v>
      </c>
      <c r="C50300" s="2">
        <v>2.8147831545188199E-5</v>
      </c>
      <c r="D50300" s="2">
        <v>2.4091342324423E-5</v>
      </c>
      <c r="E50300" s="2">
        <v>4.3010567696482999E-6</v>
      </c>
      <c r="F50300" s="2">
        <v>2.73348447430159E-5</v>
      </c>
    </row>
    <row r="50301" spans="1:6" x14ac:dyDescent="0.25">
      <c r="A50301" s="1" t="str">
        <f t="shared" si="1589"/>
        <v>99999</v>
      </c>
      <c r="B50301" s="1" t="str">
        <f>"50140"</f>
        <v>50140</v>
      </c>
      <c r="C50301" s="2">
        <v>1.3326915627741E-4</v>
      </c>
      <c r="D50301" s="2">
        <v>1.8520219411900199E-4</v>
      </c>
      <c r="E50301" s="2">
        <v>3.09676087414677E-4</v>
      </c>
      <c r="F50301" s="2">
        <v>1.4072017546404501E-4</v>
      </c>
    </row>
    <row r="50302" spans="1:6" x14ac:dyDescent="0.25">
      <c r="A50302" s="1" t="str">
        <f t="shared" si="1589"/>
        <v>99999</v>
      </c>
      <c r="B50302" s="1" t="str">
        <f>"50230"</f>
        <v>50230</v>
      </c>
      <c r="C50302" s="2">
        <v>6.1816968508855599E-5</v>
      </c>
      <c r="D50302" s="2">
        <v>1.0539962266935E-5</v>
      </c>
      <c r="E50302" s="2">
        <v>3.8709510926834699E-5</v>
      </c>
      <c r="F50302" s="2">
        <v>5.7926187235199798E-5</v>
      </c>
    </row>
    <row r="50303" spans="1:6" x14ac:dyDescent="0.25">
      <c r="A50303" s="1" t="str">
        <f t="shared" si="1589"/>
        <v>99999</v>
      </c>
      <c r="B50303" s="1" t="str">
        <f>"50151"</f>
        <v>50151</v>
      </c>
      <c r="C50303" s="2">
        <v>3.98400077254971E-5</v>
      </c>
      <c r="D50303" s="2">
        <v>1.65627978480408E-5</v>
      </c>
      <c r="E50303" s="2">
        <v>1.29031703089449E-5</v>
      </c>
      <c r="F50303" s="2">
        <v>3.7696428490368499E-5</v>
      </c>
    </row>
    <row r="50304" spans="1:6" x14ac:dyDescent="0.25">
      <c r="A50304" s="1" t="str">
        <f t="shared" si="1589"/>
        <v>99999</v>
      </c>
      <c r="B50304" s="1" t="str">
        <f>"50570"</f>
        <v>50570</v>
      </c>
      <c r="C50304" s="2">
        <v>1.05013063841663E-5</v>
      </c>
      <c r="D50304" s="2">
        <v>1.50570889527644E-6</v>
      </c>
      <c r="E50304" s="2">
        <v>4.3010567696482999E-6</v>
      </c>
      <c r="F50304" s="2">
        <v>9.7694932475038906E-6</v>
      </c>
    </row>
    <row r="50305" spans="1:6" x14ac:dyDescent="0.25">
      <c r="A50305" s="1" t="str">
        <f t="shared" si="1589"/>
        <v>99999</v>
      </c>
      <c r="B50305" s="1" t="str">
        <f>"50447"</f>
        <v>50447</v>
      </c>
      <c r="C50305" s="2">
        <v>6.2033490289972406E-5</v>
      </c>
      <c r="D50305" s="2">
        <v>3.31255956960816E-5</v>
      </c>
      <c r="E50305" s="2">
        <v>1.16128532780504E-4</v>
      </c>
      <c r="F50305" s="2">
        <v>6.1380048484317295E-5</v>
      </c>
    </row>
    <row r="50306" spans="1:6" x14ac:dyDescent="0.25">
      <c r="A50306" s="1" t="str">
        <f t="shared" si="1589"/>
        <v>99999</v>
      </c>
      <c r="B50306" s="1" t="str">
        <f>"50533"</f>
        <v>50533</v>
      </c>
      <c r="C50306" s="2">
        <v>2.02556126234796E-4</v>
      </c>
      <c r="D50306" s="2">
        <v>2.7855614562614098E-4</v>
      </c>
      <c r="E50306" s="2">
        <v>2.0645072494311799E-4</v>
      </c>
      <c r="F50306" s="2">
        <v>2.0762640194695099E-4</v>
      </c>
    </row>
    <row r="50307" spans="1:6" x14ac:dyDescent="0.25">
      <c r="A50307" s="1" t="str">
        <f t="shared" si="1589"/>
        <v>99999</v>
      </c>
      <c r="B50307" s="1" t="str">
        <f>"50562"</f>
        <v>50562</v>
      </c>
      <c r="C50307" s="2">
        <v>2.7390005311279201E-5</v>
      </c>
      <c r="D50307" s="2">
        <v>3.1619886800805203E-5</v>
      </c>
      <c r="E50307" s="2">
        <v>1.72042270785932E-5</v>
      </c>
      <c r="F50307" s="2">
        <v>2.7433526492990701E-5</v>
      </c>
    </row>
    <row r="50308" spans="1:6" x14ac:dyDescent="0.25">
      <c r="A50308" s="1" t="str">
        <f t="shared" si="1589"/>
        <v>99999</v>
      </c>
      <c r="B50308" s="1" t="str">
        <f>"50574"</f>
        <v>50574</v>
      </c>
      <c r="C50308" s="2">
        <v>1.26556981062788E-4</v>
      </c>
      <c r="D50308" s="2">
        <v>2.6801618335920601E-4</v>
      </c>
      <c r="E50308" s="2">
        <v>1.5913910047698701E-4</v>
      </c>
      <c r="F50308" s="2">
        <v>1.3657554196510401E-4</v>
      </c>
    </row>
    <row r="50309" spans="1:6" x14ac:dyDescent="0.25">
      <c r="A50309" s="1" t="str">
        <f t="shared" si="1589"/>
        <v>99999</v>
      </c>
      <c r="B50309" s="1" t="str">
        <f>"50581"</f>
        <v>50581</v>
      </c>
      <c r="C50309" s="2">
        <v>5.3156097264182301E-5</v>
      </c>
      <c r="D50309" s="2">
        <v>8.7331115926033497E-5</v>
      </c>
      <c r="E50309" s="2">
        <v>6.4515851544724506E-5</v>
      </c>
      <c r="F50309" s="2">
        <v>5.5656506985779703E-5</v>
      </c>
    </row>
    <row r="50310" spans="1:6" x14ac:dyDescent="0.25">
      <c r="A50310" s="1" t="str">
        <f t="shared" ref="A50310:A50373" si="1590">"99999"</f>
        <v>99999</v>
      </c>
      <c r="B50310" s="1" t="str">
        <f>"50453"</f>
        <v>50453</v>
      </c>
      <c r="C50310" s="2">
        <v>3.1503919152499101E-5</v>
      </c>
      <c r="D50310" s="2">
        <v>3.01141779055288E-6</v>
      </c>
      <c r="E50310" s="2">
        <v>4.7311624466131299E-5</v>
      </c>
      <c r="F50310" s="2">
        <v>2.9999251992335099E-5</v>
      </c>
    </row>
    <row r="50311" spans="1:6" x14ac:dyDescent="0.25">
      <c r="A50311" s="1" t="str">
        <f t="shared" si="1590"/>
        <v>99999</v>
      </c>
      <c r="B50311" s="1" t="str">
        <f>"50575"</f>
        <v>50575</v>
      </c>
      <c r="C50311" s="2">
        <v>5.5646097747025903E-5</v>
      </c>
      <c r="D50311" s="2">
        <v>1.35513800574879E-5</v>
      </c>
      <c r="E50311" s="2">
        <v>3.8709510926834699E-5</v>
      </c>
      <c r="F50311" s="2">
        <v>5.2498690986586503E-5</v>
      </c>
    </row>
    <row r="50312" spans="1:6" x14ac:dyDescent="0.25">
      <c r="A50312" s="1" t="str">
        <f t="shared" si="1590"/>
        <v>99999</v>
      </c>
      <c r="B50312" s="1" t="str">
        <f>"50662"</f>
        <v>50662</v>
      </c>
      <c r="C50312" s="2">
        <v>3.78588334282781E-4</v>
      </c>
      <c r="D50312" s="2">
        <v>5.6915796241449395E-4</v>
      </c>
      <c r="E50312" s="2">
        <v>3.6128876865045701E-4</v>
      </c>
      <c r="F50312" s="2">
        <v>3.9068104815018001E-4</v>
      </c>
    </row>
    <row r="50313" spans="1:6" x14ac:dyDescent="0.25">
      <c r="A50313" s="1" t="str">
        <f t="shared" si="1590"/>
        <v>99999</v>
      </c>
      <c r="B50313" s="1" t="str">
        <f>"50665"</f>
        <v>50665</v>
      </c>
      <c r="C50313" s="2">
        <v>1.3857393991477201E-4</v>
      </c>
      <c r="D50313" s="2">
        <v>7.0768318077992694E-5</v>
      </c>
      <c r="E50313" s="2">
        <v>1.4623593016804199E-4</v>
      </c>
      <c r="F50313" s="2">
        <v>1.3430586171568401E-4</v>
      </c>
    </row>
    <row r="50314" spans="1:6" x14ac:dyDescent="0.25">
      <c r="A50314" s="1" t="str">
        <f t="shared" si="1590"/>
        <v>99999</v>
      </c>
      <c r="B50314" s="1" t="str">
        <f>"50470"</f>
        <v>50470</v>
      </c>
      <c r="C50314" s="2">
        <v>1.68886989271129E-5</v>
      </c>
      <c r="D50314" s="2">
        <v>7.5285444763821999E-6</v>
      </c>
      <c r="E50314" s="2">
        <v>4.3010567696482999E-6</v>
      </c>
      <c r="F50314" s="2">
        <v>1.5986443495915399E-5</v>
      </c>
    </row>
    <row r="50315" spans="1:6" x14ac:dyDescent="0.25">
      <c r="A50315" s="1" t="str">
        <f t="shared" si="1590"/>
        <v>99999</v>
      </c>
      <c r="B50315" s="1" t="str">
        <f>"50466"</f>
        <v>50466</v>
      </c>
      <c r="C50315" s="2">
        <v>9.4295235676380407E-5</v>
      </c>
      <c r="D50315" s="2">
        <v>5.1194102439398901E-5</v>
      </c>
      <c r="E50315" s="2">
        <v>6.4515851544724506E-5</v>
      </c>
      <c r="F50315" s="2">
        <v>9.0787209976803804E-5</v>
      </c>
    </row>
    <row r="50316" spans="1:6" x14ac:dyDescent="0.25">
      <c r="A50316" s="1" t="str">
        <f t="shared" si="1590"/>
        <v>99999</v>
      </c>
      <c r="B50316" s="1" t="str">
        <f>"50471"</f>
        <v>50471</v>
      </c>
      <c r="C50316" s="2">
        <v>3.5617832993718898E-5</v>
      </c>
      <c r="D50316" s="2">
        <v>1.50570889527644E-6</v>
      </c>
      <c r="E50316" s="2">
        <v>3.01073973875381E-5</v>
      </c>
      <c r="F50316" s="2">
        <v>3.3255749741503099E-5</v>
      </c>
    </row>
    <row r="50317" spans="1:6" x14ac:dyDescent="0.25">
      <c r="A50317" s="1" t="str">
        <f t="shared" si="1590"/>
        <v>99999</v>
      </c>
      <c r="B50317" s="1" t="str">
        <f>"49935"</f>
        <v>49935</v>
      </c>
      <c r="C50317" s="2">
        <v>4.2438269098899102E-4</v>
      </c>
      <c r="D50317" s="2">
        <v>4.4418412410654901E-4</v>
      </c>
      <c r="E50317" s="2">
        <v>2.6666551971819401E-4</v>
      </c>
      <c r="F50317" s="2">
        <v>4.2206184464216301E-4</v>
      </c>
    </row>
    <row r="50318" spans="1:6" x14ac:dyDescent="0.25">
      <c r="A50318" s="1" t="str">
        <f t="shared" si="1590"/>
        <v>99999</v>
      </c>
      <c r="B50318" s="1" t="str">
        <f>"50136"</f>
        <v>50136</v>
      </c>
      <c r="C50318" s="2">
        <v>2.4791743937877301E-5</v>
      </c>
      <c r="D50318" s="2">
        <v>1.65627978480408E-5</v>
      </c>
      <c r="E50318" s="2">
        <v>4.3010567696482999E-6</v>
      </c>
      <c r="F50318" s="2">
        <v>2.37823017439236E-5</v>
      </c>
    </row>
    <row r="50319" spans="1:6" x14ac:dyDescent="0.25">
      <c r="A50319" s="1" t="str">
        <f t="shared" si="1590"/>
        <v>99999</v>
      </c>
      <c r="B50319" s="1" t="str">
        <f>"50107"</f>
        <v>50107</v>
      </c>
      <c r="C50319" s="2">
        <v>5.2831314592507002E-5</v>
      </c>
      <c r="D50319" s="2">
        <v>1.35513800574879E-5</v>
      </c>
      <c r="E50319" s="2">
        <v>4.7311624466131299E-5</v>
      </c>
      <c r="F50319" s="2">
        <v>5.0130328987191699E-5</v>
      </c>
    </row>
    <row r="50320" spans="1:6" x14ac:dyDescent="0.25">
      <c r="A50320" s="1" t="str">
        <f t="shared" si="1590"/>
        <v>99999</v>
      </c>
      <c r="B50320" s="1" t="str">
        <f>"50002"</f>
        <v>50002</v>
      </c>
      <c r="C50320" s="2">
        <v>6.5930882350075397E-5</v>
      </c>
      <c r="D50320" s="2">
        <v>2.7102760114975901E-5</v>
      </c>
      <c r="E50320" s="2">
        <v>5.1612681235779599E-5</v>
      </c>
      <c r="F50320" s="2">
        <v>6.3057638233888702E-5</v>
      </c>
    </row>
    <row r="50321" spans="1:6" x14ac:dyDescent="0.25">
      <c r="A50321" s="1" t="str">
        <f t="shared" si="1590"/>
        <v>99999</v>
      </c>
      <c r="B50321" s="1" t="str">
        <f>"50103"</f>
        <v>50103</v>
      </c>
      <c r="C50321" s="2">
        <v>3.1070875590265398E-5</v>
      </c>
      <c r="D50321" s="2">
        <v>4.5171266858293203E-6</v>
      </c>
      <c r="E50321" s="2">
        <v>8.6021135392965999E-6</v>
      </c>
      <c r="F50321" s="2">
        <v>2.88150709926377E-5</v>
      </c>
    </row>
    <row r="50322" spans="1:6" x14ac:dyDescent="0.25">
      <c r="A50322" s="1" t="str">
        <f t="shared" si="1590"/>
        <v>99999</v>
      </c>
      <c r="B50322" s="1" t="str">
        <f>"49337"</f>
        <v>49337</v>
      </c>
      <c r="C50322" s="2">
        <v>7.1820274796453203E-4</v>
      </c>
      <c r="D50322" s="2">
        <v>4.8483826427901298E-4</v>
      </c>
      <c r="E50322" s="2">
        <v>3.9569722280764303E-4</v>
      </c>
      <c r="F50322" s="2">
        <v>6.9550897382229695E-4</v>
      </c>
    </row>
    <row r="50323" spans="1:6" x14ac:dyDescent="0.25">
      <c r="A50323" s="1" t="str">
        <f t="shared" si="1590"/>
        <v>99999</v>
      </c>
      <c r="B50323" s="1" t="str">
        <f>"49348"</f>
        <v>49348</v>
      </c>
      <c r="C50323" s="2">
        <v>1.4842568095558799E-4</v>
      </c>
      <c r="D50323" s="2">
        <v>4.8182684648845999E-5</v>
      </c>
      <c r="E50323" s="2">
        <v>3.44084541571864E-5</v>
      </c>
      <c r="F50323" s="2">
        <v>1.3923994921442401E-4</v>
      </c>
    </row>
    <row r="50324" spans="1:6" x14ac:dyDescent="0.25">
      <c r="A50324" s="1" t="str">
        <f t="shared" si="1590"/>
        <v>99999</v>
      </c>
      <c r="B50324" s="1" t="str">
        <f>"49304"</f>
        <v>49304</v>
      </c>
      <c r="C50324" s="2">
        <v>3.5109006808094298E-4</v>
      </c>
      <c r="D50324" s="2">
        <v>2.24350625396189E-4</v>
      </c>
      <c r="E50324" s="2">
        <v>3.09676087414677E-4</v>
      </c>
      <c r="F50324" s="2">
        <v>3.4183358191266101E-4</v>
      </c>
    </row>
    <row r="50325" spans="1:6" x14ac:dyDescent="0.25">
      <c r="A50325" s="1" t="str">
        <f t="shared" si="1590"/>
        <v>99999</v>
      </c>
      <c r="B50325" s="1" t="str">
        <f>"49316"</f>
        <v>49316</v>
      </c>
      <c r="C50325" s="2">
        <v>3.6808702789861399E-5</v>
      </c>
      <c r="D50325" s="2">
        <v>0</v>
      </c>
      <c r="E50325" s="2">
        <v>0</v>
      </c>
      <c r="F50325" s="2">
        <v>3.3551794991427497E-5</v>
      </c>
    </row>
    <row r="50326" spans="1:6" x14ac:dyDescent="0.25">
      <c r="A50326" s="1" t="str">
        <f t="shared" si="1590"/>
        <v>99999</v>
      </c>
      <c r="B50326" s="1" t="str">
        <f>"49046"</f>
        <v>49046</v>
      </c>
      <c r="C50326" s="2">
        <v>3.8540877038796101E-4</v>
      </c>
      <c r="D50326" s="2">
        <v>1.82190776328449E-4</v>
      </c>
      <c r="E50326" s="2">
        <v>1.11827476010855E-4</v>
      </c>
      <c r="F50326" s="2">
        <v>3.65813247156534E-4</v>
      </c>
    </row>
    <row r="50327" spans="1:6" x14ac:dyDescent="0.25">
      <c r="A50327" s="1" t="str">
        <f t="shared" si="1590"/>
        <v>99999</v>
      </c>
      <c r="B50327" s="1" t="str">
        <f>"49055"</f>
        <v>49055</v>
      </c>
      <c r="C50327" s="2">
        <v>2.9046396936822997E-4</v>
      </c>
      <c r="D50327" s="2">
        <v>1.02388204878797E-4</v>
      </c>
      <c r="E50327" s="2">
        <v>1.37633816628745E-4</v>
      </c>
      <c r="F50327" s="2">
        <v>2.7463131017983099E-4</v>
      </c>
    </row>
    <row r="50328" spans="1:6" x14ac:dyDescent="0.25">
      <c r="A50328" s="1" t="str">
        <f t="shared" si="1590"/>
        <v>99999</v>
      </c>
      <c r="B50328" s="1" t="str">
        <f>"49060"</f>
        <v>49060</v>
      </c>
      <c r="C50328" s="2">
        <v>5.8785663573219898E-5</v>
      </c>
      <c r="D50328" s="2">
        <v>2.55970512196994E-5</v>
      </c>
      <c r="E50328" s="2">
        <v>3.44084541571864E-5</v>
      </c>
      <c r="F50328" s="2">
        <v>5.6051233985678898E-5</v>
      </c>
    </row>
    <row r="50329" spans="1:6" x14ac:dyDescent="0.25">
      <c r="A50329" s="1" t="str">
        <f t="shared" si="1590"/>
        <v>99999</v>
      </c>
      <c r="B50329" s="1" t="str">
        <f>"42134"</f>
        <v>42134</v>
      </c>
      <c r="C50329" s="2">
        <v>9.0971626336237095E-4</v>
      </c>
      <c r="D50329" s="2">
        <v>1.0946503668659701E-3</v>
      </c>
      <c r="E50329" s="2">
        <v>1.21289800904082E-3</v>
      </c>
      <c r="F50329" s="2">
        <v>9.2879263076269295E-4</v>
      </c>
    </row>
    <row r="50330" spans="1:6" x14ac:dyDescent="0.25">
      <c r="A50330" s="1" t="str">
        <f t="shared" si="1590"/>
        <v>99999</v>
      </c>
      <c r="B50330" s="1" t="str">
        <f>"42038"</f>
        <v>42038</v>
      </c>
      <c r="C50330" s="2">
        <v>3.0800223363869399E-4</v>
      </c>
      <c r="D50330" s="2">
        <v>3.6588726155217501E-4</v>
      </c>
      <c r="E50330" s="2">
        <v>2.1505283848241501E-4</v>
      </c>
      <c r="F50330" s="2">
        <v>3.0966333142088098E-4</v>
      </c>
    </row>
    <row r="50331" spans="1:6" x14ac:dyDescent="0.25">
      <c r="A50331" s="1" t="str">
        <f t="shared" si="1590"/>
        <v>99999</v>
      </c>
      <c r="B50331" s="1" t="str">
        <f>"41635"</f>
        <v>41635</v>
      </c>
      <c r="C50331" s="2">
        <v>1.4582741958218601E-4</v>
      </c>
      <c r="D50331" s="2">
        <v>3.01141779055288E-5</v>
      </c>
      <c r="E50331" s="2">
        <v>1.63440157246635E-4</v>
      </c>
      <c r="F50331" s="2">
        <v>1.38647858714575E-4</v>
      </c>
    </row>
    <row r="50332" spans="1:6" x14ac:dyDescent="0.25">
      <c r="A50332" s="1" t="str">
        <f t="shared" si="1590"/>
        <v>99999</v>
      </c>
      <c r="B50332" s="1" t="str">
        <f>"42133"</f>
        <v>42133</v>
      </c>
      <c r="C50332" s="2">
        <v>4.3737399785600097E-5</v>
      </c>
      <c r="D50332" s="2">
        <v>1.50570889527644E-5</v>
      </c>
      <c r="E50332" s="2">
        <v>1.29031703089449E-5</v>
      </c>
      <c r="F50332" s="2">
        <v>4.1150289739486097E-5</v>
      </c>
    </row>
    <row r="50333" spans="1:6" x14ac:dyDescent="0.25">
      <c r="A50333" s="1" t="str">
        <f t="shared" si="1590"/>
        <v>99999</v>
      </c>
      <c r="B50333" s="1" t="str">
        <f>"41774"</f>
        <v>41774</v>
      </c>
      <c r="C50333" s="2">
        <v>1.15622631116388E-4</v>
      </c>
      <c r="D50333" s="2">
        <v>1.50570889527644E-5</v>
      </c>
      <c r="E50333" s="2">
        <v>5.1612681235779599E-5</v>
      </c>
      <c r="F50333" s="2">
        <v>1.07563107472517E-4</v>
      </c>
    </row>
    <row r="50334" spans="1:6" x14ac:dyDescent="0.25">
      <c r="A50334" s="1" t="str">
        <f t="shared" si="1590"/>
        <v>99999</v>
      </c>
      <c r="B50334" s="1" t="str">
        <f>"41832"</f>
        <v>41832</v>
      </c>
      <c r="C50334" s="2">
        <v>2.0028264753306899E-5</v>
      </c>
      <c r="D50334" s="2">
        <v>1.50570889527644E-6</v>
      </c>
      <c r="E50334" s="2">
        <v>1.29031703089449E-5</v>
      </c>
      <c r="F50334" s="2">
        <v>1.8650850745234699E-5</v>
      </c>
    </row>
    <row r="50335" spans="1:6" x14ac:dyDescent="0.25">
      <c r="A50335" s="1" t="str">
        <f t="shared" si="1590"/>
        <v>99999</v>
      </c>
      <c r="B50335" s="1" t="str">
        <f>"41531"</f>
        <v>41531</v>
      </c>
      <c r="C50335" s="2">
        <v>4.1247399302756502E-5</v>
      </c>
      <c r="D50335" s="2">
        <v>1.20456711622115E-5</v>
      </c>
      <c r="E50335" s="2">
        <v>1.29031703089449E-5</v>
      </c>
      <c r="F50335" s="2">
        <v>3.8683245990116401E-5</v>
      </c>
    </row>
    <row r="50336" spans="1:6" x14ac:dyDescent="0.25">
      <c r="A50336" s="1" t="str">
        <f t="shared" si="1590"/>
        <v>99999</v>
      </c>
      <c r="B50336" s="1" t="str">
        <f>"41616"</f>
        <v>41616</v>
      </c>
      <c r="C50336" s="2">
        <v>2.94469622318891E-5</v>
      </c>
      <c r="D50336" s="2">
        <v>3.01141779055288E-6</v>
      </c>
      <c r="E50336" s="2">
        <v>4.3010567696482999E-6</v>
      </c>
      <c r="F50336" s="2">
        <v>2.7137481243066299E-5</v>
      </c>
    </row>
    <row r="50337" spans="1:6" x14ac:dyDescent="0.25">
      <c r="A50337" s="1" t="str">
        <f t="shared" si="1590"/>
        <v>99999</v>
      </c>
      <c r="B50337" s="1" t="str">
        <f>"41725"</f>
        <v>41725</v>
      </c>
      <c r="C50337" s="2">
        <v>2.23017434550337E-5</v>
      </c>
      <c r="D50337" s="2">
        <v>0</v>
      </c>
      <c r="E50337" s="2">
        <v>4.3010567696482999E-6</v>
      </c>
      <c r="F50337" s="2">
        <v>2.0427122244780799E-5</v>
      </c>
    </row>
    <row r="50338" spans="1:6" x14ac:dyDescent="0.25">
      <c r="A50338" s="1" t="str">
        <f t="shared" si="1590"/>
        <v>99999</v>
      </c>
      <c r="B50338" s="1" t="str">
        <f>"41647"</f>
        <v>41647</v>
      </c>
      <c r="C50338" s="2">
        <v>4.4928269581742699E-5</v>
      </c>
      <c r="D50338" s="2">
        <v>7.5285444763821999E-6</v>
      </c>
      <c r="E50338" s="2">
        <v>1.72042270785932E-5</v>
      </c>
      <c r="F50338" s="2">
        <v>4.1841061989309602E-5</v>
      </c>
    </row>
    <row r="50339" spans="1:6" x14ac:dyDescent="0.25">
      <c r="A50339" s="1" t="str">
        <f t="shared" si="1590"/>
        <v>99999</v>
      </c>
      <c r="B50339" s="1" t="str">
        <f>"41776"</f>
        <v>41776</v>
      </c>
      <c r="C50339" s="2">
        <v>3.3344354291992097E-5</v>
      </c>
      <c r="D50339" s="2">
        <v>4.5171266858293203E-6</v>
      </c>
      <c r="E50339" s="2">
        <v>8.6021135392965999E-6</v>
      </c>
      <c r="F50339" s="2">
        <v>3.0887387742108201E-5</v>
      </c>
    </row>
    <row r="50340" spans="1:6" x14ac:dyDescent="0.25">
      <c r="A50340" s="1" t="str">
        <f t="shared" si="1590"/>
        <v>99999</v>
      </c>
      <c r="B50340" s="1" t="str">
        <f>"41826"</f>
        <v>41826</v>
      </c>
      <c r="C50340" s="2">
        <v>4.6443922049560499E-5</v>
      </c>
      <c r="D50340" s="2">
        <v>9.0342533716586405E-6</v>
      </c>
      <c r="E50340" s="2">
        <v>3.8709510926834699E-5</v>
      </c>
      <c r="F50340" s="2">
        <v>4.3814696988805298E-5</v>
      </c>
    </row>
    <row r="50341" spans="1:6" x14ac:dyDescent="0.25">
      <c r="A50341" s="1" t="str">
        <f t="shared" si="1590"/>
        <v>99999</v>
      </c>
      <c r="B50341" s="1" t="str">
        <f>"43988"</f>
        <v>43988</v>
      </c>
      <c r="C50341" s="2">
        <v>1.1952002317649099E-4</v>
      </c>
      <c r="D50341" s="2">
        <v>4.8182684648845999E-5</v>
      </c>
      <c r="E50341" s="2">
        <v>4.3010567696482999E-5</v>
      </c>
      <c r="F50341" s="2">
        <v>1.1308928547110499E-4</v>
      </c>
    </row>
    <row r="50342" spans="1:6" x14ac:dyDescent="0.25">
      <c r="A50342" s="1" t="str">
        <f t="shared" si="1590"/>
        <v>99999</v>
      </c>
      <c r="B50342" s="1" t="str">
        <f>"43527"</f>
        <v>43527</v>
      </c>
      <c r="C50342" s="2">
        <v>9.9058714860950694E-5</v>
      </c>
      <c r="D50342" s="2">
        <v>3.4631304591358098E-5</v>
      </c>
      <c r="E50342" s="2">
        <v>8.6021135392965999E-6</v>
      </c>
      <c r="F50342" s="2">
        <v>9.2760844976299596E-5</v>
      </c>
    </row>
    <row r="50343" spans="1:6" x14ac:dyDescent="0.25">
      <c r="A50343" s="1" t="str">
        <f t="shared" si="1590"/>
        <v>99999</v>
      </c>
      <c r="B50343" s="1" t="str">
        <f>"43554"</f>
        <v>43554</v>
      </c>
      <c r="C50343" s="2">
        <v>1.2666524195334601E-4</v>
      </c>
      <c r="D50343" s="2">
        <v>1.17445293831562E-4</v>
      </c>
      <c r="E50343" s="2">
        <v>2.23654952021711E-4</v>
      </c>
      <c r="F50343" s="2">
        <v>1.28286274967222E-4</v>
      </c>
    </row>
    <row r="50344" spans="1:6" x14ac:dyDescent="0.25">
      <c r="A50344" s="1" t="str">
        <f t="shared" si="1590"/>
        <v>99999</v>
      </c>
      <c r="B50344" s="1" t="str">
        <f>"43946"</f>
        <v>43946</v>
      </c>
      <c r="C50344" s="2">
        <v>1.08585673230091E-4</v>
      </c>
      <c r="D50344" s="2">
        <v>3.4631304591358098E-5</v>
      </c>
      <c r="E50344" s="2">
        <v>3.8709510926834699E-5</v>
      </c>
      <c r="F50344" s="2">
        <v>1.0213561122390401E-4</v>
      </c>
    </row>
    <row r="50345" spans="1:6" x14ac:dyDescent="0.25">
      <c r="A50345" s="1" t="str">
        <f t="shared" si="1590"/>
        <v>99999</v>
      </c>
      <c r="B50345" s="1" t="str">
        <f>"42544"</f>
        <v>42544</v>
      </c>
      <c r="C50345" s="2">
        <v>1.0458002027943E-4</v>
      </c>
      <c r="D50345" s="2">
        <v>6.0228355811057601E-6</v>
      </c>
      <c r="E50345" s="2">
        <v>8.6021135392965999E-5</v>
      </c>
      <c r="F50345" s="2">
        <v>9.7694932475038906E-5</v>
      </c>
    </row>
    <row r="50346" spans="1:6" x14ac:dyDescent="0.25">
      <c r="A50346" s="1" t="str">
        <f t="shared" si="1590"/>
        <v>99999</v>
      </c>
      <c r="B50346" s="1" t="str">
        <f>"42722"</f>
        <v>42722</v>
      </c>
      <c r="C50346" s="2">
        <v>3.90821814915882E-5</v>
      </c>
      <c r="D50346" s="2">
        <v>1.35513800574879E-5</v>
      </c>
      <c r="E50346" s="2">
        <v>2.23654952021711E-4</v>
      </c>
      <c r="F50346" s="2">
        <v>4.1643698489360001E-5</v>
      </c>
    </row>
    <row r="50347" spans="1:6" x14ac:dyDescent="0.25">
      <c r="A50347" s="1" t="str">
        <f t="shared" si="1590"/>
        <v>99999</v>
      </c>
      <c r="B50347" s="1" t="str">
        <f>"40830"</f>
        <v>40830</v>
      </c>
      <c r="C50347" s="2">
        <v>9.5269583691406198E-6</v>
      </c>
      <c r="D50347" s="2">
        <v>0</v>
      </c>
      <c r="E50347" s="2">
        <v>4.3010567696482999E-6</v>
      </c>
      <c r="F50347" s="2">
        <v>8.7826757477560201E-6</v>
      </c>
    </row>
    <row r="50348" spans="1:6" x14ac:dyDescent="0.25">
      <c r="A50348" s="1" t="str">
        <f t="shared" si="1590"/>
        <v>99999</v>
      </c>
      <c r="B50348" s="1" t="str">
        <f>"40862"</f>
        <v>40862</v>
      </c>
      <c r="C50348" s="2">
        <v>2.21934825644753E-5</v>
      </c>
      <c r="D50348" s="2">
        <v>1.50570889527644E-6</v>
      </c>
      <c r="E50348" s="2">
        <v>2.58063406178898E-5</v>
      </c>
      <c r="F50348" s="2">
        <v>2.0920530994654801E-5</v>
      </c>
    </row>
    <row r="50349" spans="1:6" x14ac:dyDescent="0.25">
      <c r="A50349" s="1" t="str">
        <f t="shared" si="1590"/>
        <v>99999</v>
      </c>
      <c r="B50349" s="1" t="str">
        <f>"41179"</f>
        <v>41179</v>
      </c>
      <c r="C50349" s="2">
        <v>4.1810355933660299E-4</v>
      </c>
      <c r="D50349" s="2">
        <v>3.16198868008052E-4</v>
      </c>
      <c r="E50349" s="2">
        <v>6.3225534513829996E-4</v>
      </c>
      <c r="F50349" s="2">
        <v>4.1633830314362499E-4</v>
      </c>
    </row>
    <row r="50350" spans="1:6" x14ac:dyDescent="0.25">
      <c r="A50350" s="1" t="str">
        <f t="shared" si="1590"/>
        <v>99999</v>
      </c>
      <c r="B50350" s="1" t="str">
        <f>"41256"</f>
        <v>41256</v>
      </c>
      <c r="C50350" s="2">
        <v>1.04796542060546E-4</v>
      </c>
      <c r="D50350" s="2">
        <v>1.65627978480408E-5</v>
      </c>
      <c r="E50350" s="2">
        <v>4.7311624466131299E-5</v>
      </c>
      <c r="F50350" s="2">
        <v>9.7694932475038906E-5</v>
      </c>
    </row>
    <row r="50351" spans="1:6" x14ac:dyDescent="0.25">
      <c r="A50351" s="1" t="str">
        <f t="shared" si="1590"/>
        <v>99999</v>
      </c>
      <c r="B50351" s="1" t="str">
        <f>"40806"</f>
        <v>40806</v>
      </c>
      <c r="C50351" s="2">
        <v>9.6785236159224001E-5</v>
      </c>
      <c r="D50351" s="2">
        <v>8.1308280344927694E-5</v>
      </c>
      <c r="E50351" s="2">
        <v>5.5913738005427899E-5</v>
      </c>
      <c r="F50351" s="2">
        <v>9.4833161725770096E-5</v>
      </c>
    </row>
    <row r="50352" spans="1:6" x14ac:dyDescent="0.25">
      <c r="A50352" s="1" t="str">
        <f t="shared" si="1590"/>
        <v>99999</v>
      </c>
      <c r="B50352" s="1" t="str">
        <f>"41265"</f>
        <v>41265</v>
      </c>
      <c r="C50352" s="2">
        <v>8.0870885247136801E-5</v>
      </c>
      <c r="D50352" s="2">
        <v>3.01141779055288E-6</v>
      </c>
      <c r="E50352" s="2">
        <v>3.01073973875381E-5</v>
      </c>
      <c r="F50352" s="2">
        <v>7.4603402980938797E-5</v>
      </c>
    </row>
    <row r="50353" spans="1:6" x14ac:dyDescent="0.25">
      <c r="A50353" s="1" t="str">
        <f t="shared" si="1590"/>
        <v>99999</v>
      </c>
      <c r="B50353" s="1" t="str">
        <f>"40854"</f>
        <v>40854</v>
      </c>
      <c r="C50353" s="2">
        <v>5.2181749249156499E-5</v>
      </c>
      <c r="D50353" s="2">
        <v>0</v>
      </c>
      <c r="E50353" s="2">
        <v>3.44084541571864E-5</v>
      </c>
      <c r="F50353" s="2">
        <v>4.8354057487645501E-5</v>
      </c>
    </row>
    <row r="50354" spans="1:6" x14ac:dyDescent="0.25">
      <c r="A50354" s="1" t="str">
        <f t="shared" si="1590"/>
        <v>99999</v>
      </c>
      <c r="B50354" s="1" t="str">
        <f>"40815"</f>
        <v>40815</v>
      </c>
      <c r="C50354" s="2">
        <v>4.7201748283469398E-5</v>
      </c>
      <c r="D50354" s="2">
        <v>6.0228355811057601E-6</v>
      </c>
      <c r="E50354" s="2">
        <v>3.01073973875381E-5</v>
      </c>
      <c r="F50354" s="2">
        <v>4.4110742238729703E-5</v>
      </c>
    </row>
    <row r="50355" spans="1:6" x14ac:dyDescent="0.25">
      <c r="A50355" s="1" t="str">
        <f t="shared" si="1590"/>
        <v>99999</v>
      </c>
      <c r="B50355" s="1" t="str">
        <f>"40456"</f>
        <v>40456</v>
      </c>
      <c r="C50355" s="2">
        <v>4.45385303757324E-4</v>
      </c>
      <c r="D50355" s="2">
        <v>3.19210285798605E-4</v>
      </c>
      <c r="E50355" s="2">
        <v>2.9677291710573201E-4</v>
      </c>
      <c r="F50355" s="2">
        <v>4.3370629113918802E-4</v>
      </c>
    </row>
    <row r="50356" spans="1:6" x14ac:dyDescent="0.25">
      <c r="A50356" s="1" t="str">
        <f t="shared" si="1590"/>
        <v>99999</v>
      </c>
      <c r="B50356" s="1" t="str">
        <f>"40486"</f>
        <v>40486</v>
      </c>
      <c r="C50356" s="2">
        <v>1.10642630150701E-4</v>
      </c>
      <c r="D50356" s="2">
        <v>1.9574215638593701E-5</v>
      </c>
      <c r="E50356" s="2">
        <v>3.8709510926834699E-5</v>
      </c>
      <c r="F50356" s="2">
        <v>1.03023746973677E-4</v>
      </c>
    </row>
    <row r="50357" spans="1:6" x14ac:dyDescent="0.25">
      <c r="A50357" s="1" t="str">
        <f t="shared" si="1590"/>
        <v>99999</v>
      </c>
      <c r="B50357" s="1" t="str">
        <f>"40372"</f>
        <v>40372</v>
      </c>
      <c r="C50357" s="2">
        <v>1.202778494104E-4</v>
      </c>
      <c r="D50357" s="2">
        <v>2.4091342324423E-5</v>
      </c>
      <c r="E50357" s="2">
        <v>3.01073973875381E-5</v>
      </c>
      <c r="F50357" s="2">
        <v>1.11905104471408E-4</v>
      </c>
    </row>
    <row r="50358" spans="1:6" x14ac:dyDescent="0.25">
      <c r="A50358" s="1" t="str">
        <f t="shared" si="1590"/>
        <v>99999</v>
      </c>
      <c r="B50358" s="1" t="str">
        <f>"41003"</f>
        <v>41003</v>
      </c>
      <c r="C50358" s="2">
        <v>1.05770890075572E-4</v>
      </c>
      <c r="D50358" s="2">
        <v>1.0539962266935E-5</v>
      </c>
      <c r="E50358" s="2">
        <v>0</v>
      </c>
      <c r="F50358" s="2">
        <v>9.7102841975190205E-5</v>
      </c>
    </row>
    <row r="50359" spans="1:6" x14ac:dyDescent="0.25">
      <c r="A50359" s="1" t="str">
        <f t="shared" si="1590"/>
        <v>99999</v>
      </c>
      <c r="B50359" s="1" t="str">
        <f>"41010"</f>
        <v>41010</v>
      </c>
      <c r="C50359" s="2">
        <v>7.7731319420942799E-5</v>
      </c>
      <c r="D50359" s="2">
        <v>4.5171266858293203E-6</v>
      </c>
      <c r="E50359" s="2">
        <v>4.3010567696482999E-6</v>
      </c>
      <c r="F50359" s="2">
        <v>7.1248223481795996E-5</v>
      </c>
    </row>
    <row r="50360" spans="1:6" x14ac:dyDescent="0.25">
      <c r="A50360" s="1" t="str">
        <f t="shared" si="1590"/>
        <v>99999</v>
      </c>
      <c r="B50360" s="1" t="str">
        <f>"41008"</f>
        <v>41008</v>
      </c>
      <c r="C50360" s="2">
        <v>3.7230920263039302E-4</v>
      </c>
      <c r="D50360" s="2">
        <v>6.7455758508384498E-4</v>
      </c>
      <c r="E50360" s="2">
        <v>7.7419021853669396E-4</v>
      </c>
      <c r="F50360" s="2">
        <v>4.0133867714745697E-4</v>
      </c>
    </row>
    <row r="50361" spans="1:6" x14ac:dyDescent="0.25">
      <c r="A50361" s="1" t="str">
        <f t="shared" si="1590"/>
        <v>99999</v>
      </c>
      <c r="B50361" s="1" t="str">
        <f>"41086"</f>
        <v>41086</v>
      </c>
      <c r="C50361" s="2">
        <v>3.3127832510875297E-5</v>
      </c>
      <c r="D50361" s="2">
        <v>9.0342533716586405E-6</v>
      </c>
      <c r="E50361" s="2">
        <v>4.3010567696482999E-6</v>
      </c>
      <c r="F50361" s="2">
        <v>3.0887387742108201E-5</v>
      </c>
    </row>
    <row r="50362" spans="1:6" x14ac:dyDescent="0.25">
      <c r="A50362" s="1" t="str">
        <f t="shared" si="1590"/>
        <v>99999</v>
      </c>
      <c r="B50362" s="1" t="str">
        <f>"45311"</f>
        <v>45311</v>
      </c>
      <c r="C50362" s="2">
        <v>2.8191135901411502E-4</v>
      </c>
      <c r="D50362" s="2">
        <v>1.4906518063236701E-4</v>
      </c>
      <c r="E50362" s="2">
        <v>1.7634332755557999E-4</v>
      </c>
      <c r="F50362" s="2">
        <v>2.70782721930815E-4</v>
      </c>
    </row>
    <row r="50363" spans="1:6" x14ac:dyDescent="0.25">
      <c r="A50363" s="1" t="str">
        <f t="shared" si="1590"/>
        <v>99999</v>
      </c>
      <c r="B50363" s="1" t="str">
        <f>"46173"</f>
        <v>46173</v>
      </c>
      <c r="C50363" s="2">
        <v>5.3426749490578297E-4</v>
      </c>
      <c r="D50363" s="2">
        <v>8.4169127245952997E-4</v>
      </c>
      <c r="E50363" s="2">
        <v>6.6236274252583801E-4</v>
      </c>
      <c r="F50363" s="2">
        <v>5.5735452385759503E-4</v>
      </c>
    </row>
    <row r="50364" spans="1:6" x14ac:dyDescent="0.25">
      <c r="A50364" s="1" t="str">
        <f t="shared" si="1590"/>
        <v>99999</v>
      </c>
      <c r="B50364" s="1" t="str">
        <f>"45679"</f>
        <v>45679</v>
      </c>
      <c r="C50364" s="2">
        <v>1.34784808745228E-4</v>
      </c>
      <c r="D50364" s="2">
        <v>6.3239773601610501E-5</v>
      </c>
      <c r="E50364" s="2">
        <v>7.3117965084021106E-5</v>
      </c>
      <c r="F50364" s="2">
        <v>1.2868100196712201E-4</v>
      </c>
    </row>
    <row r="50365" spans="1:6" x14ac:dyDescent="0.25">
      <c r="A50365" s="1" t="str">
        <f t="shared" si="1590"/>
        <v>99999</v>
      </c>
      <c r="B50365" s="1" t="str">
        <f>"47011"</f>
        <v>47011</v>
      </c>
      <c r="C50365" s="2">
        <v>4.3087834442249601E-5</v>
      </c>
      <c r="D50365" s="2">
        <v>4.5171266858293203E-6</v>
      </c>
      <c r="E50365" s="2">
        <v>1.29031703089449E-5</v>
      </c>
      <c r="F50365" s="2">
        <v>3.9867426989813803E-5</v>
      </c>
    </row>
    <row r="50366" spans="1:6" x14ac:dyDescent="0.25">
      <c r="A50366" s="1" t="str">
        <f t="shared" si="1590"/>
        <v>99999</v>
      </c>
      <c r="B50366" s="1" t="str">
        <f>"47040"</f>
        <v>47040</v>
      </c>
      <c r="C50366" s="2">
        <v>7.8922189217085306E-5</v>
      </c>
      <c r="D50366" s="2">
        <v>1.65627978480408E-5</v>
      </c>
      <c r="E50366" s="2">
        <v>8.6021135392965999E-6</v>
      </c>
      <c r="F50366" s="2">
        <v>7.3221858481291801E-5</v>
      </c>
    </row>
    <row r="50367" spans="1:6" x14ac:dyDescent="0.25">
      <c r="A50367" s="1" t="str">
        <f t="shared" si="1590"/>
        <v>99999</v>
      </c>
      <c r="B50367" s="1" t="str">
        <f>"45744"</f>
        <v>45744</v>
      </c>
      <c r="C50367" s="2">
        <v>6.2791316523881298E-6</v>
      </c>
      <c r="D50367" s="2">
        <v>3.01141779055288E-6</v>
      </c>
      <c r="E50367" s="2">
        <v>0</v>
      </c>
      <c r="F50367" s="2">
        <v>5.9209049984871999E-6</v>
      </c>
    </row>
    <row r="50368" spans="1:6" x14ac:dyDescent="0.25">
      <c r="A50368" s="1" t="str">
        <f t="shared" si="1590"/>
        <v>99999</v>
      </c>
      <c r="B50368" s="1" t="str">
        <f>"45695"</f>
        <v>45695</v>
      </c>
      <c r="C50368" s="2">
        <v>3.1612180043057497E-5</v>
      </c>
      <c r="D50368" s="2">
        <v>1.50570889527644E-6</v>
      </c>
      <c r="E50368" s="2">
        <v>4.3010567696482999E-6</v>
      </c>
      <c r="F50368" s="2">
        <v>2.9012434492587301E-5</v>
      </c>
    </row>
    <row r="50369" spans="1:6" x14ac:dyDescent="0.25">
      <c r="A50369" s="1" t="str">
        <f t="shared" si="1590"/>
        <v>99999</v>
      </c>
      <c r="B50369" s="1" t="str">
        <f>"46068"</f>
        <v>46068</v>
      </c>
      <c r="C50369" s="2">
        <v>1.2980480777954E-4</v>
      </c>
      <c r="D50369" s="2">
        <v>4.5171266858293199E-5</v>
      </c>
      <c r="E50369" s="2">
        <v>3.8709510926834699E-5</v>
      </c>
      <c r="F50369" s="2">
        <v>1.2216800646878601E-4</v>
      </c>
    </row>
    <row r="50370" spans="1:6" x14ac:dyDescent="0.25">
      <c r="A50370" s="1" t="str">
        <f t="shared" si="1590"/>
        <v>99999</v>
      </c>
      <c r="B50370" s="1" t="str">
        <f>"46036"</f>
        <v>46036</v>
      </c>
      <c r="C50370" s="2">
        <v>3.83243552576793E-5</v>
      </c>
      <c r="D50370" s="2">
        <v>2.8608469010252301E-5</v>
      </c>
      <c r="E50370" s="2">
        <v>1.72042270785932E-5</v>
      </c>
      <c r="F50370" s="2">
        <v>3.7203019740494601E-5</v>
      </c>
    </row>
    <row r="50371" spans="1:6" x14ac:dyDescent="0.25">
      <c r="A50371" s="1" t="str">
        <f t="shared" si="1590"/>
        <v>99999</v>
      </c>
      <c r="B50371" s="1" t="str">
        <f>"45064"</f>
        <v>45064</v>
      </c>
      <c r="C50371" s="2">
        <v>6.3765664538907094E-5</v>
      </c>
      <c r="D50371" s="2">
        <v>6.0228355811057601E-6</v>
      </c>
      <c r="E50371" s="2">
        <v>4.3010567696482999E-5</v>
      </c>
      <c r="F50371" s="2">
        <v>5.9505095234796402E-5</v>
      </c>
    </row>
    <row r="50372" spans="1:6" x14ac:dyDescent="0.25">
      <c r="A50372" s="1" t="str">
        <f t="shared" si="1590"/>
        <v>99999</v>
      </c>
      <c r="B50372" s="1" t="str">
        <f>"45144"</f>
        <v>45144</v>
      </c>
      <c r="C50372" s="2">
        <v>2.4975787451826599E-4</v>
      </c>
      <c r="D50372" s="2">
        <v>2.18327789815083E-4</v>
      </c>
      <c r="E50372" s="2">
        <v>4.0860039311658801E-4</v>
      </c>
      <c r="F50372" s="2">
        <v>2.5134241718578201E-4</v>
      </c>
    </row>
    <row r="50373" spans="1:6" x14ac:dyDescent="0.25">
      <c r="A50373" s="1" t="str">
        <f t="shared" si="1590"/>
        <v>99999</v>
      </c>
      <c r="B50373" s="1" t="str">
        <f>"45142"</f>
        <v>45142</v>
      </c>
      <c r="C50373" s="2">
        <v>1.13565674195778E-4</v>
      </c>
      <c r="D50373" s="2">
        <v>1.50570889527644E-5</v>
      </c>
      <c r="E50373" s="2">
        <v>4.3010567696482999E-6</v>
      </c>
      <c r="F50373" s="2">
        <v>1.0460265497327399E-4</v>
      </c>
    </row>
    <row r="50374" spans="1:6" x14ac:dyDescent="0.25">
      <c r="A50374" s="1" t="str">
        <f t="shared" ref="A50374:A50437" si="1591">"99999"</f>
        <v>99999</v>
      </c>
      <c r="B50374" s="1" t="str">
        <f>"43359"</f>
        <v>43359</v>
      </c>
      <c r="C50374" s="2">
        <v>2.24100043455921E-5</v>
      </c>
      <c r="D50374" s="2">
        <v>1.50570889527644E-6</v>
      </c>
      <c r="E50374" s="2">
        <v>0</v>
      </c>
      <c r="F50374" s="2">
        <v>2.0525803994755599E-5</v>
      </c>
    </row>
    <row r="50375" spans="1:6" x14ac:dyDescent="0.25">
      <c r="A50375" s="1" t="str">
        <f t="shared" si="1591"/>
        <v>99999</v>
      </c>
      <c r="B50375" s="1" t="str">
        <f>"43779"</f>
        <v>43779</v>
      </c>
      <c r="C50375" s="2">
        <v>4.7743052736261498E-5</v>
      </c>
      <c r="D50375" s="2">
        <v>2.55970512196994E-5</v>
      </c>
      <c r="E50375" s="2">
        <v>4.3010567696482999E-6</v>
      </c>
      <c r="F50375" s="2">
        <v>4.5294923238427098E-5</v>
      </c>
    </row>
    <row r="50376" spans="1:6" x14ac:dyDescent="0.25">
      <c r="A50376" s="1" t="str">
        <f t="shared" si="1591"/>
        <v>99999</v>
      </c>
      <c r="B50376" s="1" t="str">
        <f>"46910"</f>
        <v>46910</v>
      </c>
      <c r="C50376" s="2">
        <v>1.20061327629283E-4</v>
      </c>
      <c r="D50376" s="2">
        <v>3.1619886800805203E-5</v>
      </c>
      <c r="E50376" s="2">
        <v>4.3010567696482999E-5</v>
      </c>
      <c r="F50376" s="2">
        <v>1.12497194971256E-4</v>
      </c>
    </row>
    <row r="50377" spans="1:6" x14ac:dyDescent="0.25">
      <c r="A50377" s="1" t="str">
        <f t="shared" si="1591"/>
        <v>99999</v>
      </c>
      <c r="B50377" s="1" t="str">
        <f>"46540"</f>
        <v>46540</v>
      </c>
      <c r="C50377" s="2">
        <v>3.5617832993718898E-5</v>
      </c>
      <c r="D50377" s="2">
        <v>2.55970512196994E-5</v>
      </c>
      <c r="E50377" s="2">
        <v>4.3010567696482999E-6</v>
      </c>
      <c r="F50377" s="2">
        <v>3.4242567241251002E-5</v>
      </c>
    </row>
    <row r="50378" spans="1:6" x14ac:dyDescent="0.25">
      <c r="A50378" s="1" t="str">
        <f t="shared" si="1591"/>
        <v>99999</v>
      </c>
      <c r="B50378" s="1" t="str">
        <f>"47980"</f>
        <v>47980</v>
      </c>
      <c r="C50378" s="2">
        <v>5.1856966577481302E-5</v>
      </c>
      <c r="D50378" s="2">
        <v>8.5825407030757094E-5</v>
      </c>
      <c r="E50378" s="2">
        <v>4.3010567696482999E-5</v>
      </c>
      <c r="F50378" s="2">
        <v>5.3880235486233499E-5</v>
      </c>
    </row>
    <row r="50379" spans="1:6" x14ac:dyDescent="0.25">
      <c r="A50379" s="1" t="str">
        <f t="shared" si="1591"/>
        <v>99999</v>
      </c>
      <c r="B50379" s="1" t="str">
        <f>"47359"</f>
        <v>47359</v>
      </c>
      <c r="C50379" s="2">
        <v>1.54704812607976E-4</v>
      </c>
      <c r="D50379" s="2">
        <v>1.7315652295679001E-4</v>
      </c>
      <c r="E50379" s="2">
        <v>1.8494544109487701E-4</v>
      </c>
      <c r="F50379" s="2">
        <v>1.5660793720998601E-4</v>
      </c>
    </row>
    <row r="50380" spans="1:6" x14ac:dyDescent="0.25">
      <c r="A50380" s="1" t="str">
        <f t="shared" si="1591"/>
        <v>99999</v>
      </c>
      <c r="B50380" s="1" t="str">
        <f>"47393"</f>
        <v>47393</v>
      </c>
      <c r="C50380" s="2">
        <v>5.95434898071288E-6</v>
      </c>
      <c r="D50380" s="2">
        <v>0</v>
      </c>
      <c r="E50380" s="2">
        <v>0</v>
      </c>
      <c r="F50380" s="2">
        <v>5.4274962486132697E-6</v>
      </c>
    </row>
    <row r="50381" spans="1:6" x14ac:dyDescent="0.25">
      <c r="A50381" s="1" t="str">
        <f t="shared" si="1591"/>
        <v>99999</v>
      </c>
      <c r="B50381" s="1" t="str">
        <f>"47441"</f>
        <v>47441</v>
      </c>
      <c r="C50381" s="2">
        <v>6.9406056937000604E-4</v>
      </c>
      <c r="D50381" s="2">
        <v>7.15211725256309E-4</v>
      </c>
      <c r="E50381" s="2">
        <v>3.5698771188080898E-4</v>
      </c>
      <c r="F50381" s="2">
        <v>6.8771311557428902E-4</v>
      </c>
    </row>
    <row r="50382" spans="1:6" x14ac:dyDescent="0.25">
      <c r="A50382" s="1" t="str">
        <f t="shared" si="1591"/>
        <v>99999</v>
      </c>
      <c r="B50382" s="1" t="str">
        <f>"47932"</f>
        <v>47932</v>
      </c>
      <c r="C50382" s="2">
        <v>2.3774091566628101E-4</v>
      </c>
      <c r="D50382" s="2">
        <v>2.6952189225448199E-4</v>
      </c>
      <c r="E50382" s="2">
        <v>2.9247186033608399E-4</v>
      </c>
      <c r="F50382" s="2">
        <v>2.4107951518840401E-4</v>
      </c>
    </row>
    <row r="50383" spans="1:6" x14ac:dyDescent="0.25">
      <c r="A50383" s="1" t="str">
        <f t="shared" si="1591"/>
        <v>99999</v>
      </c>
      <c r="B50383" s="1" t="str">
        <f>"47537"</f>
        <v>47537</v>
      </c>
      <c r="C50383" s="2">
        <v>3.3344354291992097E-5</v>
      </c>
      <c r="D50383" s="2">
        <v>1.50570889527644E-5</v>
      </c>
      <c r="E50383" s="2">
        <v>4.3010567696482999E-6</v>
      </c>
      <c r="F50383" s="2">
        <v>3.1479478241956902E-5</v>
      </c>
    </row>
    <row r="50384" spans="1:6" x14ac:dyDescent="0.25">
      <c r="A50384" s="1" t="str">
        <f t="shared" si="1591"/>
        <v>99999</v>
      </c>
      <c r="B50384" s="1" t="str">
        <f>"46960"</f>
        <v>46960</v>
      </c>
      <c r="C50384" s="2">
        <v>5.6836967543168403E-5</v>
      </c>
      <c r="D50384" s="2">
        <v>2.1079924533870101E-5</v>
      </c>
      <c r="E50384" s="2">
        <v>1.72042270785932E-5</v>
      </c>
      <c r="F50384" s="2">
        <v>5.3584190236309203E-5</v>
      </c>
    </row>
    <row r="50385" spans="1:6" x14ac:dyDescent="0.25">
      <c r="A50385" s="1" t="str">
        <f t="shared" si="1591"/>
        <v>99999</v>
      </c>
      <c r="B50385" s="1" t="str">
        <f>"47320"</f>
        <v>47320</v>
      </c>
      <c r="C50385" s="2">
        <v>1.3640872210360401E-5</v>
      </c>
      <c r="D50385" s="2">
        <v>3.01141779055288E-6</v>
      </c>
      <c r="E50385" s="2">
        <v>3.2688031449327001E-4</v>
      </c>
      <c r="F50385" s="2">
        <v>2.0131076994856499E-5</v>
      </c>
    </row>
    <row r="50386" spans="1:6" x14ac:dyDescent="0.25">
      <c r="A50386" s="1" t="str">
        <f t="shared" si="1591"/>
        <v>99999</v>
      </c>
      <c r="B50386" s="1" t="str">
        <f>"46374"</f>
        <v>46374</v>
      </c>
      <c r="C50386" s="2">
        <v>4.08143557405228E-5</v>
      </c>
      <c r="D50386" s="2">
        <v>1.65627978480408E-5</v>
      </c>
      <c r="E50386" s="2">
        <v>2.15052838482415E-5</v>
      </c>
      <c r="F50386" s="2">
        <v>3.8781927740091198E-5</v>
      </c>
    </row>
    <row r="50387" spans="1:6" x14ac:dyDescent="0.25">
      <c r="A50387" s="1" t="str">
        <f t="shared" si="1591"/>
        <v>99999</v>
      </c>
      <c r="B50387" s="1" t="str">
        <f>"48467"</f>
        <v>48467</v>
      </c>
      <c r="C50387" s="2">
        <v>2.37416132994606E-4</v>
      </c>
      <c r="D50387" s="2">
        <v>1.58099434004026E-4</v>
      </c>
      <c r="E50387" s="2">
        <v>1.41934873398393E-4</v>
      </c>
      <c r="F50387" s="2">
        <v>2.3002715919122799E-4</v>
      </c>
    </row>
    <row r="50388" spans="1:6" x14ac:dyDescent="0.25">
      <c r="A50388" s="1" t="str">
        <f t="shared" si="1591"/>
        <v>99999</v>
      </c>
      <c r="B50388" s="1" t="str">
        <f>"48472"</f>
        <v>48472</v>
      </c>
      <c r="C50388" s="2">
        <v>8.87739302579012E-5</v>
      </c>
      <c r="D50388" s="2">
        <v>3.4631304591358098E-5</v>
      </c>
      <c r="E50388" s="2">
        <v>2.58063406178898E-5</v>
      </c>
      <c r="F50388" s="2">
        <v>8.3780805728593993E-5</v>
      </c>
    </row>
    <row r="50389" spans="1:6" x14ac:dyDescent="0.25">
      <c r="A50389" s="1" t="str">
        <f t="shared" si="1591"/>
        <v>99999</v>
      </c>
      <c r="B50389" s="1" t="str">
        <f>"48629"</f>
        <v>48629</v>
      </c>
      <c r="C50389" s="2">
        <v>6.8204361051802103E-4</v>
      </c>
      <c r="D50389" s="2">
        <v>7.1671743415158498E-4</v>
      </c>
      <c r="E50389" s="2">
        <v>4.81718358200609E-4</v>
      </c>
      <c r="F50389" s="2">
        <v>6.7971989382633105E-4</v>
      </c>
    </row>
    <row r="50390" spans="1:6" x14ac:dyDescent="0.25">
      <c r="A50390" s="1" t="str">
        <f t="shared" si="1591"/>
        <v>99999</v>
      </c>
      <c r="B50390" s="1" t="str">
        <f>"48653"</f>
        <v>48653</v>
      </c>
      <c r="C50390" s="2">
        <v>8.39671467171075E-4</v>
      </c>
      <c r="D50390" s="2">
        <v>3.6438155265689799E-4</v>
      </c>
      <c r="E50390" s="2">
        <v>2.0645072494311799E-4</v>
      </c>
      <c r="F50390" s="2">
        <v>7.9399336029713403E-4</v>
      </c>
    </row>
    <row r="50391" spans="1:6" x14ac:dyDescent="0.25">
      <c r="A50391" s="1" t="str">
        <f t="shared" si="1591"/>
        <v>99999</v>
      </c>
      <c r="B50391" s="1" t="str">
        <f>"48763"</f>
        <v>48763</v>
      </c>
      <c r="C50391" s="2">
        <v>3.2532397612804003E-4</v>
      </c>
      <c r="D50391" s="2">
        <v>3.16198868008052E-4</v>
      </c>
      <c r="E50391" s="2">
        <v>1.8924649786452501E-4</v>
      </c>
      <c r="F50391" s="2">
        <v>3.2160382316783002E-4</v>
      </c>
    </row>
    <row r="50392" spans="1:6" x14ac:dyDescent="0.25">
      <c r="A50392" s="1" t="str">
        <f t="shared" si="1591"/>
        <v>99999</v>
      </c>
      <c r="B50392" s="1" t="str">
        <f>"48701"</f>
        <v>48701</v>
      </c>
      <c r="C50392" s="2">
        <v>7.18852313307883E-5</v>
      </c>
      <c r="D50392" s="2">
        <v>4.5171266858293199E-5</v>
      </c>
      <c r="E50392" s="2">
        <v>2.58063406178898E-5</v>
      </c>
      <c r="F50392" s="2">
        <v>6.9077224982350705E-5</v>
      </c>
    </row>
    <row r="50393" spans="1:6" x14ac:dyDescent="0.25">
      <c r="A50393" s="1" t="str">
        <f t="shared" si="1591"/>
        <v>99999</v>
      </c>
      <c r="B50393" s="1" t="str">
        <f>"32062"</f>
        <v>32062</v>
      </c>
      <c r="C50393" s="2">
        <v>1.4268785375599199E-4</v>
      </c>
      <c r="D50393" s="2">
        <v>4.6676975753569603E-5</v>
      </c>
      <c r="E50393" s="2">
        <v>1.29031703089449E-5</v>
      </c>
      <c r="F50393" s="2">
        <v>1.3341772596591099E-4</v>
      </c>
    </row>
    <row r="50394" spans="1:6" x14ac:dyDescent="0.25">
      <c r="A50394" s="1" t="str">
        <f t="shared" si="1591"/>
        <v>99999</v>
      </c>
      <c r="B50394" s="1" t="str">
        <f>"32059"</f>
        <v>32059</v>
      </c>
      <c r="C50394" s="2">
        <v>1.47234811159445E-4</v>
      </c>
      <c r="D50394" s="2">
        <v>6.1734064706334002E-5</v>
      </c>
      <c r="E50394" s="2">
        <v>8.6021135392965999E-6</v>
      </c>
      <c r="F50394" s="2">
        <v>1.3845049521462501E-4</v>
      </c>
    </row>
    <row r="50395" spans="1:6" x14ac:dyDescent="0.25">
      <c r="A50395" s="1" t="str">
        <f t="shared" si="1591"/>
        <v>99999</v>
      </c>
      <c r="B50395" s="1" t="str">
        <f>"32421"</f>
        <v>32421</v>
      </c>
      <c r="C50395" s="2">
        <v>2.3535917607399599E-4</v>
      </c>
      <c r="D50395" s="2">
        <v>6.1734064706334002E-5</v>
      </c>
      <c r="E50395" s="2">
        <v>7.3117965084021106E-5</v>
      </c>
      <c r="F50395" s="2">
        <v>2.2025766594372401E-4</v>
      </c>
    </row>
    <row r="50396" spans="1:6" x14ac:dyDescent="0.25">
      <c r="A50396" s="1" t="str">
        <f t="shared" si="1591"/>
        <v>99999</v>
      </c>
      <c r="B50396" s="1" t="str">
        <f>"39861"</f>
        <v>39861</v>
      </c>
      <c r="C50396" s="2">
        <v>5.7919576448752602E-5</v>
      </c>
      <c r="D50396" s="2">
        <v>2.7102760114975901E-5</v>
      </c>
      <c r="E50396" s="2">
        <v>0</v>
      </c>
      <c r="F50396" s="2">
        <v>5.4571007736057098E-5</v>
      </c>
    </row>
    <row r="50397" spans="1:6" x14ac:dyDescent="0.25">
      <c r="A50397" s="1" t="str">
        <f t="shared" si="1591"/>
        <v>99999</v>
      </c>
      <c r="B50397" s="1" t="str">
        <f>"39859"</f>
        <v>39859</v>
      </c>
      <c r="C50397" s="2">
        <v>6.8204361051802103E-5</v>
      </c>
      <c r="D50397" s="2">
        <v>3.7642722381910999E-5</v>
      </c>
      <c r="E50397" s="2">
        <v>8.6021135392965999E-6</v>
      </c>
      <c r="F50397" s="2">
        <v>6.48339097334349E-5</v>
      </c>
    </row>
    <row r="50398" spans="1:6" x14ac:dyDescent="0.25">
      <c r="A50398" s="1" t="str">
        <f t="shared" si="1591"/>
        <v>99999</v>
      </c>
      <c r="B50398" s="1" t="str">
        <f>"32359"</f>
        <v>32359</v>
      </c>
      <c r="C50398" s="2">
        <v>9.4944801019730896E-5</v>
      </c>
      <c r="D50398" s="2">
        <v>3.01141779055288E-5</v>
      </c>
      <c r="E50398" s="2">
        <v>4.3010567696482999E-6</v>
      </c>
      <c r="F50398" s="2">
        <v>8.8616211477358499E-5</v>
      </c>
    </row>
    <row r="50399" spans="1:6" x14ac:dyDescent="0.25">
      <c r="A50399" s="1" t="str">
        <f t="shared" si="1591"/>
        <v>99999</v>
      </c>
      <c r="B50399" s="1" t="str">
        <f>"33935"</f>
        <v>33935</v>
      </c>
      <c r="C50399" s="2">
        <v>1.7830568674971099E-4</v>
      </c>
      <c r="D50399" s="2">
        <v>2.7102760114975901E-5</v>
      </c>
      <c r="E50399" s="2">
        <v>7.7419021853669399E-5</v>
      </c>
      <c r="F50399" s="2">
        <v>1.6608138520756601E-4</v>
      </c>
    </row>
    <row r="50400" spans="1:6" x14ac:dyDescent="0.25">
      <c r="A50400" s="1" t="str">
        <f t="shared" si="1591"/>
        <v>99999</v>
      </c>
      <c r="B50400" s="1" t="str">
        <f>"35442"</f>
        <v>35442</v>
      </c>
      <c r="C50400" s="2">
        <v>2.91221795602139E-5</v>
      </c>
      <c r="D50400" s="2">
        <v>7.5285444763821999E-6</v>
      </c>
      <c r="E50400" s="2">
        <v>0</v>
      </c>
      <c r="F50400" s="2">
        <v>2.7038799493091499E-5</v>
      </c>
    </row>
    <row r="50401" spans="1:6" x14ac:dyDescent="0.25">
      <c r="A50401" s="1" t="str">
        <f t="shared" si="1591"/>
        <v>99999</v>
      </c>
      <c r="B50401" s="1" t="str">
        <f>"35593"</f>
        <v>35593</v>
      </c>
      <c r="C50401" s="2">
        <v>1.1410697864857E-4</v>
      </c>
      <c r="D50401" s="2">
        <v>3.31255956960816E-5</v>
      </c>
      <c r="E50401" s="2">
        <v>2.15052838482415E-5</v>
      </c>
      <c r="F50401" s="2">
        <v>1.0667497172274401E-4</v>
      </c>
    </row>
    <row r="50402" spans="1:6" x14ac:dyDescent="0.25">
      <c r="A50402" s="1" t="str">
        <f t="shared" si="1591"/>
        <v>99999</v>
      </c>
      <c r="B50402" s="1" t="str">
        <f>"35555"</f>
        <v>35555</v>
      </c>
      <c r="C50402" s="2">
        <v>5.9110446244895203E-4</v>
      </c>
      <c r="D50402" s="2">
        <v>9.22999552804458E-4</v>
      </c>
      <c r="E50402" s="2">
        <v>7.1397542376161797E-4</v>
      </c>
      <c r="F50402" s="2">
        <v>6.1567543809269395E-4</v>
      </c>
    </row>
    <row r="50403" spans="1:6" x14ac:dyDescent="0.25">
      <c r="A50403" s="1" t="str">
        <f t="shared" si="1591"/>
        <v>99999</v>
      </c>
      <c r="B50403" s="1" t="str">
        <f>"35160"</f>
        <v>35160</v>
      </c>
      <c r="C50403" s="2">
        <v>4.9475226985196098E-5</v>
      </c>
      <c r="D50403" s="2">
        <v>1.50570889527644E-6</v>
      </c>
      <c r="E50403" s="2">
        <v>4.3010567696482999E-6</v>
      </c>
      <c r="F50403" s="2">
        <v>4.5294923238427098E-5</v>
      </c>
    </row>
    <row r="50404" spans="1:6" x14ac:dyDescent="0.25">
      <c r="A50404" s="1" t="str">
        <f t="shared" si="1591"/>
        <v>99999</v>
      </c>
      <c r="B50404" s="1" t="str">
        <f>"36436"</f>
        <v>36436</v>
      </c>
      <c r="C50404" s="2">
        <v>3.0854353809148598E-5</v>
      </c>
      <c r="D50404" s="2">
        <v>1.0539962266935E-5</v>
      </c>
      <c r="E50404" s="2">
        <v>4.3010567696482999E-6</v>
      </c>
      <c r="F50404" s="2">
        <v>2.89137527426125E-5</v>
      </c>
    </row>
    <row r="50405" spans="1:6" x14ac:dyDescent="0.25">
      <c r="A50405" s="1" t="str">
        <f t="shared" si="1591"/>
        <v>99999</v>
      </c>
      <c r="B50405" s="1" t="str">
        <f>"36444"</f>
        <v>36444</v>
      </c>
      <c r="C50405" s="2">
        <v>4.36291388950417E-5</v>
      </c>
      <c r="D50405" s="2">
        <v>1.0539962266935E-5</v>
      </c>
      <c r="E50405" s="2">
        <v>0</v>
      </c>
      <c r="F50405" s="2">
        <v>4.0459517489662497E-5</v>
      </c>
    </row>
    <row r="50406" spans="1:6" x14ac:dyDescent="0.25">
      <c r="A50406" s="1" t="str">
        <f t="shared" si="1591"/>
        <v>99999</v>
      </c>
      <c r="B50406" s="1" t="str">
        <f>"36425"</f>
        <v>36425</v>
      </c>
      <c r="C50406" s="2">
        <v>4.2005225536665402E-5</v>
      </c>
      <c r="D50406" s="2">
        <v>1.35513800574879E-5</v>
      </c>
      <c r="E50406" s="2">
        <v>1.29031703089449E-5</v>
      </c>
      <c r="F50406" s="2">
        <v>3.9472699989914703E-5</v>
      </c>
    </row>
    <row r="50407" spans="1:6" x14ac:dyDescent="0.25">
      <c r="A50407" s="1" t="str">
        <f t="shared" si="1591"/>
        <v>99999</v>
      </c>
      <c r="B50407" s="1" t="str">
        <f>"36276"</f>
        <v>36276</v>
      </c>
      <c r="C50407" s="2">
        <v>1.19411762285933E-4</v>
      </c>
      <c r="D50407" s="2">
        <v>6.3239773601610501E-5</v>
      </c>
      <c r="E50407" s="2">
        <v>3.01073973875381E-5</v>
      </c>
      <c r="F50407" s="2">
        <v>1.1368137597095399E-4</v>
      </c>
    </row>
    <row r="50408" spans="1:6" x14ac:dyDescent="0.25">
      <c r="A50408" s="1" t="str">
        <f t="shared" si="1591"/>
        <v>99999</v>
      </c>
      <c r="B50408" s="1" t="str">
        <f>"36280"</f>
        <v>36280</v>
      </c>
      <c r="C50408" s="2">
        <v>2.6264092049471698E-4</v>
      </c>
      <c r="D50408" s="2">
        <v>1.5960514289930201E-4</v>
      </c>
      <c r="E50408" s="2">
        <v>5.5913738005427899E-5</v>
      </c>
      <c r="F50408" s="2">
        <v>2.5114505368583202E-4</v>
      </c>
    </row>
    <row r="50409" spans="1:6" x14ac:dyDescent="0.25">
      <c r="A50409" s="1" t="str">
        <f t="shared" si="1591"/>
        <v>99999</v>
      </c>
      <c r="B50409" s="1" t="str">
        <f>"36266"</f>
        <v>36266</v>
      </c>
      <c r="C50409" s="2">
        <v>3.90063988681973E-4</v>
      </c>
      <c r="D50409" s="2">
        <v>2.1682208091980699E-4</v>
      </c>
      <c r="E50409" s="2">
        <v>2.3655812233065599E-4</v>
      </c>
      <c r="F50409" s="2">
        <v>3.75188013404139E-4</v>
      </c>
    </row>
    <row r="50410" spans="1:6" x14ac:dyDescent="0.25">
      <c r="A50410" s="1" t="str">
        <f t="shared" si="1591"/>
        <v>99999</v>
      </c>
      <c r="B50410" s="1" t="str">
        <f>"37095"</f>
        <v>37095</v>
      </c>
      <c r="C50410" s="2">
        <v>9.9275236642067596E-5</v>
      </c>
      <c r="D50410" s="2">
        <v>4.8182684648845999E-5</v>
      </c>
      <c r="E50410" s="2">
        <v>1.29031703089449E-5</v>
      </c>
      <c r="F50410" s="2">
        <v>9.3945025975996998E-5</v>
      </c>
    </row>
    <row r="50411" spans="1:6" x14ac:dyDescent="0.25">
      <c r="A50411" s="1" t="str">
        <f t="shared" si="1591"/>
        <v>99999</v>
      </c>
      <c r="B50411" s="1" t="str">
        <f>"36768"</f>
        <v>36768</v>
      </c>
      <c r="C50411" s="2">
        <v>7.13439268779962E-5</v>
      </c>
      <c r="D50411" s="2">
        <v>2.55970512196994E-5</v>
      </c>
      <c r="E50411" s="2">
        <v>4.3010567696482999E-6</v>
      </c>
      <c r="F50411" s="2">
        <v>6.6807544732930596E-5</v>
      </c>
    </row>
    <row r="50412" spans="1:6" x14ac:dyDescent="0.25">
      <c r="A50412" s="1" t="str">
        <f t="shared" si="1591"/>
        <v>99999</v>
      </c>
      <c r="B50412" s="1" t="str">
        <f>"36088"</f>
        <v>36088</v>
      </c>
      <c r="C50412" s="2">
        <v>5.3740706073197701E-4</v>
      </c>
      <c r="D50412" s="2">
        <v>2.5597051219699402E-4</v>
      </c>
      <c r="E50412" s="2">
        <v>8.7311452423860503E-4</v>
      </c>
      <c r="F50412" s="2">
        <v>5.2666449961543695E-4</v>
      </c>
    </row>
    <row r="50413" spans="1:6" x14ac:dyDescent="0.25">
      <c r="A50413" s="1" t="str">
        <f t="shared" si="1591"/>
        <v>99999</v>
      </c>
      <c r="B50413" s="1" t="str">
        <f>"36071"</f>
        <v>36071</v>
      </c>
      <c r="C50413" s="2">
        <v>5.2614792811390202E-5</v>
      </c>
      <c r="D50413" s="2">
        <v>2.7102760114975901E-5</v>
      </c>
      <c r="E50413" s="2">
        <v>3.44084541571864E-5</v>
      </c>
      <c r="F50413" s="2">
        <v>5.0525055987090799E-5</v>
      </c>
    </row>
    <row r="50414" spans="1:6" x14ac:dyDescent="0.25">
      <c r="A50414" s="1" t="str">
        <f t="shared" si="1591"/>
        <v>99999</v>
      </c>
      <c r="B50414" s="1" t="str">
        <f>"35967"</f>
        <v>35967</v>
      </c>
      <c r="C50414" s="2">
        <v>1.8837394957164399E-5</v>
      </c>
      <c r="D50414" s="2">
        <v>7.5285444763821999E-6</v>
      </c>
      <c r="E50414" s="2">
        <v>0</v>
      </c>
      <c r="F50414" s="2">
        <v>1.76640332454868E-5</v>
      </c>
    </row>
    <row r="50415" spans="1:6" x14ac:dyDescent="0.25">
      <c r="A50415" s="1" t="str">
        <f t="shared" si="1591"/>
        <v>99999</v>
      </c>
      <c r="B50415" s="1" t="str">
        <f>"37724"</f>
        <v>37724</v>
      </c>
      <c r="C50415" s="2">
        <v>1.73109164002907E-4</v>
      </c>
      <c r="D50415" s="2">
        <v>1.08411040459903E-4</v>
      </c>
      <c r="E50415" s="2">
        <v>3.5268665511115999E-4</v>
      </c>
      <c r="F50415" s="2">
        <v>1.72989107705801E-4</v>
      </c>
    </row>
    <row r="50416" spans="1:6" x14ac:dyDescent="0.25">
      <c r="A50416" s="1" t="str">
        <f t="shared" si="1591"/>
        <v>99999</v>
      </c>
      <c r="B50416" s="1" t="str">
        <f>"37755"</f>
        <v>37755</v>
      </c>
      <c r="C50416" s="2">
        <v>1.6282437939985699E-4</v>
      </c>
      <c r="D50416" s="2">
        <v>1.18951002726838E-4</v>
      </c>
      <c r="E50416" s="2">
        <v>4.7311624466131299E-5</v>
      </c>
      <c r="F50416" s="2">
        <v>1.5729870945980999E-4</v>
      </c>
    </row>
    <row r="50417" spans="1:6" x14ac:dyDescent="0.25">
      <c r="A50417" s="1" t="str">
        <f t="shared" si="1591"/>
        <v>99999</v>
      </c>
      <c r="B50417" s="1" t="str">
        <f>"37691"</f>
        <v>37691</v>
      </c>
      <c r="C50417" s="2">
        <v>5.5754358637584299E-5</v>
      </c>
      <c r="D50417" s="2">
        <v>1.50570889527644E-5</v>
      </c>
      <c r="E50417" s="2">
        <v>2.15052838482415E-5</v>
      </c>
      <c r="F50417" s="2">
        <v>5.2301327486636997E-5</v>
      </c>
    </row>
    <row r="50418" spans="1:6" x14ac:dyDescent="0.25">
      <c r="A50418" s="1" t="str">
        <f t="shared" si="1591"/>
        <v>99999</v>
      </c>
      <c r="B50418" s="1" t="str">
        <f>"38390"</f>
        <v>38390</v>
      </c>
      <c r="C50418" s="2">
        <v>5.3913923498091201E-5</v>
      </c>
      <c r="D50418" s="2">
        <v>2.25856334291466E-5</v>
      </c>
      <c r="E50418" s="2">
        <v>8.6021135392965999E-6</v>
      </c>
      <c r="F50418" s="2">
        <v>5.0821101237015197E-5</v>
      </c>
    </row>
    <row r="50419" spans="1:6" x14ac:dyDescent="0.25">
      <c r="A50419" s="1" t="str">
        <f t="shared" si="1591"/>
        <v>99999</v>
      </c>
      <c r="B50419" s="1" t="str">
        <f>"38449"</f>
        <v>38449</v>
      </c>
      <c r="C50419" s="2">
        <v>1.6011785713589699E-4</v>
      </c>
      <c r="D50419" s="2">
        <v>1.7315652295679001E-4</v>
      </c>
      <c r="E50419" s="2">
        <v>6.0214794775076199E-5</v>
      </c>
      <c r="F50419" s="2">
        <v>1.58680253959457E-4</v>
      </c>
    </row>
    <row r="50420" spans="1:6" x14ac:dyDescent="0.25">
      <c r="A50420" s="1" t="str">
        <f t="shared" si="1591"/>
        <v>99999</v>
      </c>
      <c r="B50420" s="1" t="str">
        <f>"38310"</f>
        <v>38310</v>
      </c>
      <c r="C50420" s="2">
        <v>3.3679963052723197E-4</v>
      </c>
      <c r="D50420" s="2">
        <v>3.6739297044745099E-4</v>
      </c>
      <c r="E50420" s="2">
        <v>4.3010567696482999E-5</v>
      </c>
      <c r="F50420" s="2">
        <v>3.32064088665157E-4</v>
      </c>
    </row>
    <row r="50421" spans="1:6" x14ac:dyDescent="0.25">
      <c r="A50421" s="1" t="str">
        <f t="shared" si="1591"/>
        <v>99999</v>
      </c>
      <c r="B50421" s="1" t="str">
        <f>"38315"</f>
        <v>38315</v>
      </c>
      <c r="C50421" s="2">
        <v>2.0169003911032899E-4</v>
      </c>
      <c r="D50421" s="2">
        <v>1.23468129412668E-4</v>
      </c>
      <c r="E50421" s="2">
        <v>0</v>
      </c>
      <c r="F50421" s="2">
        <v>1.9193600370096E-4</v>
      </c>
    </row>
    <row r="50422" spans="1:6" x14ac:dyDescent="0.25">
      <c r="A50422" s="1" t="str">
        <f t="shared" si="1591"/>
        <v>99999</v>
      </c>
      <c r="B50422" s="1" t="str">
        <f>"38485"</f>
        <v>38485</v>
      </c>
      <c r="C50422" s="2">
        <v>3.9093007580644001E-4</v>
      </c>
      <c r="D50422" s="2">
        <v>4.3966699742071998E-4</v>
      </c>
      <c r="E50422" s="2">
        <v>2.1075178171276601E-4</v>
      </c>
      <c r="F50422" s="2">
        <v>3.8999027590035698E-4</v>
      </c>
    </row>
    <row r="50423" spans="1:6" x14ac:dyDescent="0.25">
      <c r="A50423" s="1" t="str">
        <f t="shared" si="1591"/>
        <v>99999</v>
      </c>
      <c r="B50423" s="1" t="str">
        <f>"38339"</f>
        <v>38339</v>
      </c>
      <c r="C50423" s="2">
        <v>4.08143557405228E-5</v>
      </c>
      <c r="D50423" s="2">
        <v>2.7102760114975901E-5</v>
      </c>
      <c r="E50423" s="2">
        <v>0</v>
      </c>
      <c r="F50423" s="2">
        <v>3.8979291240040697E-5</v>
      </c>
    </row>
    <row r="50424" spans="1:6" x14ac:dyDescent="0.25">
      <c r="A50424" s="1" t="str">
        <f t="shared" si="1591"/>
        <v>99999</v>
      </c>
      <c r="B50424" s="1" t="str">
        <f>"38345"</f>
        <v>38345</v>
      </c>
      <c r="C50424" s="2">
        <v>1.07394803433948E-4</v>
      </c>
      <c r="D50424" s="2">
        <v>2.55970512196994E-5</v>
      </c>
      <c r="E50424" s="2">
        <v>8.6021135392965999E-6</v>
      </c>
      <c r="F50424" s="2">
        <v>9.9767249224509406E-5</v>
      </c>
    </row>
    <row r="50425" spans="1:6" x14ac:dyDescent="0.25">
      <c r="A50425" s="1" t="str">
        <f t="shared" si="1591"/>
        <v>99999</v>
      </c>
      <c r="B50425" s="1" t="str">
        <f>"38504"</f>
        <v>38504</v>
      </c>
      <c r="C50425" s="2">
        <v>5.5754358637584299E-5</v>
      </c>
      <c r="D50425" s="2">
        <v>1.0539962266935E-5</v>
      </c>
      <c r="E50425" s="2">
        <v>0</v>
      </c>
      <c r="F50425" s="2">
        <v>5.1511873486838702E-5</v>
      </c>
    </row>
    <row r="50426" spans="1:6" x14ac:dyDescent="0.25">
      <c r="A50426" s="1" t="str">
        <f t="shared" si="1591"/>
        <v>99999</v>
      </c>
      <c r="B50426" s="1" t="str">
        <f>"38461"</f>
        <v>38461</v>
      </c>
      <c r="C50426" s="2">
        <v>3.5617832993718898E-5</v>
      </c>
      <c r="D50426" s="2">
        <v>1.0539962266935E-5</v>
      </c>
      <c r="E50426" s="2">
        <v>0</v>
      </c>
      <c r="F50426" s="2">
        <v>3.3157067991528302E-5</v>
      </c>
    </row>
    <row r="50427" spans="1:6" x14ac:dyDescent="0.25">
      <c r="A50427" s="1" t="str">
        <f t="shared" si="1591"/>
        <v>99999</v>
      </c>
      <c r="B50427" s="1" t="str">
        <f>"38464"</f>
        <v>38464</v>
      </c>
      <c r="C50427" s="2">
        <v>7.18852313307883E-5</v>
      </c>
      <c r="D50427" s="2">
        <v>3.7642722381910999E-5</v>
      </c>
      <c r="E50427" s="2">
        <v>1.29031703089449E-5</v>
      </c>
      <c r="F50427" s="2">
        <v>6.8287770982552396E-5</v>
      </c>
    </row>
    <row r="50428" spans="1:6" x14ac:dyDescent="0.25">
      <c r="A50428" s="1" t="str">
        <f t="shared" si="1591"/>
        <v>99999</v>
      </c>
      <c r="B50428" s="1" t="str">
        <f>"38008"</f>
        <v>38008</v>
      </c>
      <c r="C50428" s="2">
        <v>5.0806835939064699E-4</v>
      </c>
      <c r="D50428" s="2">
        <v>8.5373694362174098E-4</v>
      </c>
      <c r="E50428" s="2">
        <v>5.8494372067216895E-4</v>
      </c>
      <c r="F50428" s="2">
        <v>5.3248672286394902E-4</v>
      </c>
    </row>
    <row r="50429" spans="1:6" x14ac:dyDescent="0.25">
      <c r="A50429" s="1" t="str">
        <f t="shared" si="1591"/>
        <v>99999</v>
      </c>
      <c r="B50429" s="1" t="str">
        <f>"38052"</f>
        <v>38052</v>
      </c>
      <c r="C50429" s="2">
        <v>2.1782091180353301E-4</v>
      </c>
      <c r="D50429" s="2">
        <v>1.9574215638593699E-4</v>
      </c>
      <c r="E50429" s="2">
        <v>9.4623248932262599E-5</v>
      </c>
      <c r="F50429" s="2">
        <v>2.13547306945438E-4</v>
      </c>
    </row>
    <row r="50430" spans="1:6" x14ac:dyDescent="0.25">
      <c r="A50430" s="1" t="str">
        <f t="shared" si="1591"/>
        <v>99999</v>
      </c>
      <c r="B50430" s="1" t="str">
        <f>"38067"</f>
        <v>38067</v>
      </c>
      <c r="C50430" s="2">
        <v>1.03497411373845E-4</v>
      </c>
      <c r="D50430" s="2">
        <v>2.4091342324423E-5</v>
      </c>
      <c r="E50430" s="2">
        <v>0</v>
      </c>
      <c r="F50430" s="2">
        <v>9.5918660975492694E-5</v>
      </c>
    </row>
    <row r="50431" spans="1:6" x14ac:dyDescent="0.25">
      <c r="A50431" s="1" t="str">
        <f t="shared" si="1591"/>
        <v>99999</v>
      </c>
      <c r="B50431" s="1" t="str">
        <f>"37328"</f>
        <v>37328</v>
      </c>
      <c r="C50431" s="2">
        <v>7.1668709549671506E-5</v>
      </c>
      <c r="D50431" s="2">
        <v>5.2699811334675399E-5</v>
      </c>
      <c r="E50431" s="2">
        <v>3.44084541571864E-5</v>
      </c>
      <c r="F50431" s="2">
        <v>6.9570633732224697E-5</v>
      </c>
    </row>
    <row r="50432" spans="1:6" x14ac:dyDescent="0.25">
      <c r="A50432" s="1" t="str">
        <f t="shared" si="1591"/>
        <v>99999</v>
      </c>
      <c r="B50432" s="1" t="str">
        <f>"37335"</f>
        <v>37335</v>
      </c>
      <c r="C50432" s="2">
        <v>1.4084741861649901E-4</v>
      </c>
      <c r="D50432" s="2">
        <v>6.4745482496886904E-5</v>
      </c>
      <c r="E50432" s="2">
        <v>1.07526419241207E-4</v>
      </c>
      <c r="F50432" s="2">
        <v>1.3509531571548301E-4</v>
      </c>
    </row>
    <row r="50433" spans="1:6" x14ac:dyDescent="0.25">
      <c r="A50433" s="1" t="str">
        <f t="shared" si="1591"/>
        <v>99999</v>
      </c>
      <c r="B50433" s="1" t="str">
        <f>"37327"</f>
        <v>37327</v>
      </c>
      <c r="C50433" s="2">
        <v>5.5321315075350597E-5</v>
      </c>
      <c r="D50433" s="2">
        <v>1.35513800574879E-5</v>
      </c>
      <c r="E50433" s="2">
        <v>0</v>
      </c>
      <c r="F50433" s="2">
        <v>5.1314509986889101E-5</v>
      </c>
    </row>
    <row r="50434" spans="1:6" x14ac:dyDescent="0.25">
      <c r="A50434" s="1" t="str">
        <f t="shared" si="1591"/>
        <v>99999</v>
      </c>
      <c r="B50434" s="1" t="str">
        <f>"37305"</f>
        <v>37305</v>
      </c>
      <c r="C50434" s="2">
        <v>2.0569569206098999E-5</v>
      </c>
      <c r="D50434" s="2">
        <v>7.5285444763821999E-6</v>
      </c>
      <c r="E50434" s="2">
        <v>0</v>
      </c>
      <c r="F50434" s="2">
        <v>1.92429412450834E-5</v>
      </c>
    </row>
    <row r="50435" spans="1:6" x14ac:dyDescent="0.25">
      <c r="A50435" s="1" t="str">
        <f t="shared" si="1591"/>
        <v>99999</v>
      </c>
      <c r="B50435" s="1" t="str">
        <f>"39189"</f>
        <v>39189</v>
      </c>
      <c r="C50435" s="2">
        <v>1.84368296620982E-4</v>
      </c>
      <c r="D50435" s="2">
        <v>7.2274026973269097E-5</v>
      </c>
      <c r="E50435" s="2">
        <v>4.3010567696482999E-5</v>
      </c>
      <c r="F50435" s="2">
        <v>1.73778561705599E-4</v>
      </c>
    </row>
    <row r="50436" spans="1:6" x14ac:dyDescent="0.25">
      <c r="A50436" s="1" t="str">
        <f t="shared" si="1591"/>
        <v>99999</v>
      </c>
      <c r="B50436" s="1" t="str">
        <f>"39337"</f>
        <v>39337</v>
      </c>
      <c r="C50436" s="2">
        <v>1.03389150483287E-4</v>
      </c>
      <c r="D50436" s="2">
        <v>2.4091342324423E-5</v>
      </c>
      <c r="E50436" s="2">
        <v>8.6021135392965999E-6</v>
      </c>
      <c r="F50436" s="2">
        <v>9.6017342725467498E-5</v>
      </c>
    </row>
    <row r="50437" spans="1:6" x14ac:dyDescent="0.25">
      <c r="A50437" s="1" t="str">
        <f t="shared" si="1591"/>
        <v>99999</v>
      </c>
      <c r="B50437" s="1" t="str">
        <f>"38953"</f>
        <v>38953</v>
      </c>
      <c r="C50437" s="2">
        <v>4.0597833959405999E-5</v>
      </c>
      <c r="D50437" s="2">
        <v>9.0342533716586405E-6</v>
      </c>
      <c r="E50437" s="2">
        <v>0</v>
      </c>
      <c r="F50437" s="2">
        <v>3.7597746740393702E-5</v>
      </c>
    </row>
    <row r="50438" spans="1:6" x14ac:dyDescent="0.25">
      <c r="A50438" s="1" t="str">
        <f t="shared" ref="A50438:A50501" si="1592">"99999"</f>
        <v>99999</v>
      </c>
      <c r="B50438" s="1" t="str">
        <f>"38965"</f>
        <v>38965</v>
      </c>
      <c r="C50438" s="2">
        <v>4.4549356464788198E-4</v>
      </c>
      <c r="D50438" s="2">
        <v>4.8634397317428999E-4</v>
      </c>
      <c r="E50438" s="2">
        <v>2.3655812233065599E-4</v>
      </c>
      <c r="F50438" s="2">
        <v>4.43377102636717E-4</v>
      </c>
    </row>
    <row r="50439" spans="1:6" x14ac:dyDescent="0.25">
      <c r="A50439" s="1" t="str">
        <f t="shared" si="1592"/>
        <v>99999</v>
      </c>
      <c r="B50439" s="1" t="str">
        <f>"38921"</f>
        <v>38921</v>
      </c>
      <c r="C50439" s="2">
        <v>4.7439922242697898E-4</v>
      </c>
      <c r="D50439" s="2">
        <v>6.5950049613108005E-4</v>
      </c>
      <c r="E50439" s="2">
        <v>2.8386974679678702E-4</v>
      </c>
      <c r="F50439" s="2">
        <v>4.8215903037680802E-4</v>
      </c>
    </row>
    <row r="50440" spans="1:6" x14ac:dyDescent="0.25">
      <c r="A50440" s="1" t="str">
        <f t="shared" si="1592"/>
        <v>99999</v>
      </c>
      <c r="B50440" s="1" t="str">
        <f>"39119"</f>
        <v>39119</v>
      </c>
      <c r="C50440" s="2">
        <v>6.9503491738503095E-5</v>
      </c>
      <c r="D50440" s="2">
        <v>1.20456711622115E-5</v>
      </c>
      <c r="E50440" s="2">
        <v>0</v>
      </c>
      <c r="F50440" s="2">
        <v>6.4143137483611395E-5</v>
      </c>
    </row>
    <row r="50441" spans="1:6" x14ac:dyDescent="0.25">
      <c r="A50441" s="1" t="str">
        <f t="shared" si="1592"/>
        <v>99999</v>
      </c>
      <c r="B50441" s="1" t="str">
        <f>"38966"</f>
        <v>38966</v>
      </c>
      <c r="C50441" s="2">
        <v>2.1652178111683201E-7</v>
      </c>
      <c r="D50441" s="2">
        <v>1.50570889527644E-6</v>
      </c>
      <c r="E50441" s="2">
        <v>0</v>
      </c>
      <c r="F50441" s="2">
        <v>2.9604524992435999E-7</v>
      </c>
    </row>
    <row r="50442" spans="1:6" x14ac:dyDescent="0.25">
      <c r="A50442" s="1" t="str">
        <f t="shared" si="1592"/>
        <v>99999</v>
      </c>
      <c r="B50442" s="1" t="str">
        <f>"40176"</f>
        <v>40176</v>
      </c>
      <c r="C50442" s="2">
        <v>3.2261745386408E-5</v>
      </c>
      <c r="D50442" s="2">
        <v>0</v>
      </c>
      <c r="E50442" s="2">
        <v>1.4623593016804199E-4</v>
      </c>
      <c r="F50442" s="2">
        <v>3.2762340991629202E-5</v>
      </c>
    </row>
    <row r="50443" spans="1:6" x14ac:dyDescent="0.25">
      <c r="A50443" s="1" t="str">
        <f t="shared" si="1592"/>
        <v>99999</v>
      </c>
      <c r="B50443" s="1" t="str">
        <f>"39630"</f>
        <v>39630</v>
      </c>
      <c r="C50443" s="2">
        <v>3.5834354774835699E-5</v>
      </c>
      <c r="D50443" s="2">
        <v>3.9148431277187403E-5</v>
      </c>
      <c r="E50443" s="2">
        <v>7.7419021853669399E-5</v>
      </c>
      <c r="F50443" s="2">
        <v>3.7005656240545001E-5</v>
      </c>
    </row>
    <row r="50444" spans="1:6" x14ac:dyDescent="0.25">
      <c r="A50444" s="1" t="str">
        <f t="shared" si="1592"/>
        <v>99999</v>
      </c>
      <c r="B50444" s="1" t="str">
        <f>"39653"</f>
        <v>39653</v>
      </c>
      <c r="C50444" s="2">
        <v>1.7949655654585399E-4</v>
      </c>
      <c r="D50444" s="2">
        <v>7.9802571449651304E-5</v>
      </c>
      <c r="E50444" s="2">
        <v>0</v>
      </c>
      <c r="F50444" s="2">
        <v>1.6884447420686E-4</v>
      </c>
    </row>
    <row r="50445" spans="1:6" x14ac:dyDescent="0.25">
      <c r="A50445" s="1" t="str">
        <f t="shared" si="1592"/>
        <v>99999</v>
      </c>
      <c r="B50445" s="1" t="str">
        <f>"39735"</f>
        <v>39735</v>
      </c>
      <c r="C50445" s="2">
        <v>2.23233956331454E-4</v>
      </c>
      <c r="D50445" s="2">
        <v>1.61110851794579E-4</v>
      </c>
      <c r="E50445" s="2">
        <v>1.3333275985909701E-4</v>
      </c>
      <c r="F50445" s="2">
        <v>2.1709984994452999E-4</v>
      </c>
    </row>
    <row r="50446" spans="1:6" x14ac:dyDescent="0.25">
      <c r="A50446" s="1" t="str">
        <f t="shared" si="1592"/>
        <v>99999</v>
      </c>
      <c r="B50446" s="1" t="str">
        <f>"39667"</f>
        <v>39667</v>
      </c>
      <c r="C50446" s="2">
        <v>7.13439268779962E-4</v>
      </c>
      <c r="D50446" s="2">
        <v>6.7907471176967401E-4</v>
      </c>
      <c r="E50446" s="2">
        <v>2.6236446294854599E-4</v>
      </c>
      <c r="F50446" s="2">
        <v>7.0083778832093495E-4</v>
      </c>
    </row>
    <row r="50447" spans="1:6" x14ac:dyDescent="0.25">
      <c r="A50447" s="1" t="str">
        <f t="shared" si="1592"/>
        <v>99999</v>
      </c>
      <c r="B50447" s="1" t="str">
        <f>"39365"</f>
        <v>39365</v>
      </c>
      <c r="C50447" s="2">
        <v>4.17453993993252E-4</v>
      </c>
      <c r="D50447" s="2">
        <v>3.7040438823800399E-4</v>
      </c>
      <c r="E50447" s="2">
        <v>6.8816908314372799E-5</v>
      </c>
      <c r="F50447" s="2">
        <v>4.0637144639617202E-4</v>
      </c>
    </row>
    <row r="50448" spans="1:6" x14ac:dyDescent="0.25">
      <c r="A50448" s="1" t="str">
        <f t="shared" si="1592"/>
        <v>99999</v>
      </c>
      <c r="B50448" s="1" t="str">
        <f>"39452"</f>
        <v>39452</v>
      </c>
      <c r="C50448" s="2">
        <v>1.4085824470555499E-3</v>
      </c>
      <c r="D50448" s="2">
        <v>1.21510707848808E-3</v>
      </c>
      <c r="E50448" s="2">
        <v>5.2472892589709198E-4</v>
      </c>
      <c r="F50448" s="2">
        <v>1.37562359464852E-3</v>
      </c>
    </row>
    <row r="50449" spans="1:6" x14ac:dyDescent="0.25">
      <c r="A50449" s="1" t="str">
        <f t="shared" si="1592"/>
        <v>99999</v>
      </c>
      <c r="B50449" s="1" t="str">
        <f>"39345"</f>
        <v>39345</v>
      </c>
      <c r="C50449" s="2">
        <v>3.4860006759809999E-4</v>
      </c>
      <c r="D50449" s="2">
        <v>5.7668650689087604E-4</v>
      </c>
      <c r="E50449" s="2">
        <v>1.41934873398393E-4</v>
      </c>
      <c r="F50449" s="2">
        <v>3.5880684290832401E-4</v>
      </c>
    </row>
    <row r="50450" spans="1:6" x14ac:dyDescent="0.25">
      <c r="A50450" s="1" t="str">
        <f t="shared" si="1592"/>
        <v>99999</v>
      </c>
      <c r="B50450" s="1" t="str">
        <f>"38833"</f>
        <v>38833</v>
      </c>
      <c r="C50450" s="2">
        <v>1.4680176759721201E-4</v>
      </c>
      <c r="D50450" s="2">
        <v>1.6412226958513199E-4</v>
      </c>
      <c r="E50450" s="2">
        <v>3.8709510926834699E-5</v>
      </c>
      <c r="F50450" s="2">
        <v>1.4545689946283499E-4</v>
      </c>
    </row>
    <row r="50451" spans="1:6" x14ac:dyDescent="0.25">
      <c r="A50451" s="1" t="str">
        <f t="shared" si="1592"/>
        <v>99999</v>
      </c>
      <c r="B50451" s="1" t="str">
        <f>"38852"</f>
        <v>38852</v>
      </c>
      <c r="C50451" s="2">
        <v>6.3830621073242104E-4</v>
      </c>
      <c r="D50451" s="2">
        <v>7.0166034519882103E-4</v>
      </c>
      <c r="E50451" s="2">
        <v>1.63440157246635E-4</v>
      </c>
      <c r="F50451" s="2">
        <v>6.3156319983863503E-4</v>
      </c>
    </row>
    <row r="50452" spans="1:6" x14ac:dyDescent="0.25">
      <c r="A50452" s="1" t="str">
        <f t="shared" si="1592"/>
        <v>99999</v>
      </c>
      <c r="B50452" s="1" t="str">
        <f>"38870"</f>
        <v>38870</v>
      </c>
      <c r="C50452" s="2">
        <v>1.4680176759721201E-4</v>
      </c>
      <c r="D50452" s="2">
        <v>6.1734064706334002E-5</v>
      </c>
      <c r="E50452" s="2">
        <v>4.7311624466131299E-5</v>
      </c>
      <c r="F50452" s="2">
        <v>1.38943903964499E-4</v>
      </c>
    </row>
    <row r="50453" spans="1:6" x14ac:dyDescent="0.25">
      <c r="A50453" s="1" t="str">
        <f t="shared" si="1592"/>
        <v>99999</v>
      </c>
      <c r="B50453" s="1" t="str">
        <f>"38674"</f>
        <v>38674</v>
      </c>
      <c r="C50453" s="2">
        <v>6.2899577414439703E-5</v>
      </c>
      <c r="D50453" s="2">
        <v>1.35513800574879E-5</v>
      </c>
      <c r="E50453" s="2">
        <v>0</v>
      </c>
      <c r="F50453" s="2">
        <v>5.8222232485124203E-5</v>
      </c>
    </row>
    <row r="50454" spans="1:6" x14ac:dyDescent="0.25">
      <c r="A50454" s="1" t="str">
        <f t="shared" si="1592"/>
        <v>99999</v>
      </c>
      <c r="B50454" s="1" t="str">
        <f>"36907"</f>
        <v>36907</v>
      </c>
      <c r="C50454" s="2">
        <v>1.11833499946843E-4</v>
      </c>
      <c r="D50454" s="2">
        <v>3.01141779055288E-5</v>
      </c>
      <c r="E50454" s="2">
        <v>0</v>
      </c>
      <c r="F50454" s="2">
        <v>1.0391188272345E-4</v>
      </c>
    </row>
    <row r="50455" spans="1:6" x14ac:dyDescent="0.25">
      <c r="A50455" s="1" t="str">
        <f t="shared" si="1592"/>
        <v>99999</v>
      </c>
      <c r="B50455" s="1" t="str">
        <f>"36912"</f>
        <v>36912</v>
      </c>
      <c r="C50455" s="2">
        <v>1.18004370708673E-4</v>
      </c>
      <c r="D50455" s="2">
        <v>1.0539962266935E-5</v>
      </c>
      <c r="E50455" s="2">
        <v>4.3010567696482999E-6</v>
      </c>
      <c r="F50455" s="2">
        <v>1.0835256147231499E-4</v>
      </c>
    </row>
    <row r="50456" spans="1:6" x14ac:dyDescent="0.25">
      <c r="A50456" s="1" t="str">
        <f t="shared" si="1592"/>
        <v>99999</v>
      </c>
      <c r="B50456" s="1" t="str">
        <f>"38581"</f>
        <v>38581</v>
      </c>
      <c r="C50456" s="2">
        <v>5.3372619045299102E-5</v>
      </c>
      <c r="D50456" s="2">
        <v>1.80685067433172E-5</v>
      </c>
      <c r="E50456" s="2">
        <v>0</v>
      </c>
      <c r="F50456" s="2">
        <v>4.9834283737267301E-5</v>
      </c>
    </row>
    <row r="50457" spans="1:6" x14ac:dyDescent="0.25">
      <c r="A50457" s="1" t="str">
        <f t="shared" si="1592"/>
        <v>99999</v>
      </c>
      <c r="B50457" s="1" t="str">
        <f>"26347"</f>
        <v>26347</v>
      </c>
      <c r="C50457" s="2">
        <v>8.1195667918812104E-6</v>
      </c>
      <c r="D50457" s="2">
        <v>1.50570889527644E-6</v>
      </c>
      <c r="E50457" s="2">
        <v>0</v>
      </c>
      <c r="F50457" s="2">
        <v>7.4998129980837899E-6</v>
      </c>
    </row>
    <row r="50458" spans="1:6" x14ac:dyDescent="0.25">
      <c r="A50458" s="1" t="str">
        <f t="shared" si="1592"/>
        <v>99999</v>
      </c>
      <c r="B50458" s="1" t="str">
        <f>"26147"</f>
        <v>26147</v>
      </c>
      <c r="C50458" s="2">
        <v>8.5634364431707102E-5</v>
      </c>
      <c r="D50458" s="2">
        <v>7.9802571449651304E-5</v>
      </c>
      <c r="E50458" s="2">
        <v>3.01073973875381E-5</v>
      </c>
      <c r="F50458" s="2">
        <v>8.3978169228543506E-5</v>
      </c>
    </row>
    <row r="50459" spans="1:6" x14ac:dyDescent="0.25">
      <c r="A50459" s="1" t="str">
        <f t="shared" si="1592"/>
        <v>99999</v>
      </c>
      <c r="B50459" s="1" t="str">
        <f>"26148"</f>
        <v>26148</v>
      </c>
      <c r="C50459" s="2">
        <v>1.34243504292436E-5</v>
      </c>
      <c r="D50459" s="2">
        <v>1.0539962266935E-5</v>
      </c>
      <c r="E50459" s="2">
        <v>0</v>
      </c>
      <c r="F50459" s="2">
        <v>1.2927309246696999E-5</v>
      </c>
    </row>
    <row r="50460" spans="1:6" x14ac:dyDescent="0.25">
      <c r="A50460" s="1" t="str">
        <f t="shared" si="1592"/>
        <v>99999</v>
      </c>
      <c r="B50460" s="1" t="str">
        <f>"26203"</f>
        <v>26203</v>
      </c>
      <c r="C50460" s="2">
        <v>1.6563916255437601E-5</v>
      </c>
      <c r="D50460" s="2">
        <v>0</v>
      </c>
      <c r="E50460" s="2">
        <v>4.3010567696482999E-6</v>
      </c>
      <c r="F50460" s="2">
        <v>1.5196989496117099E-5</v>
      </c>
    </row>
    <row r="50461" spans="1:6" x14ac:dyDescent="0.25">
      <c r="A50461" s="1" t="str">
        <f t="shared" si="1592"/>
        <v>99999</v>
      </c>
      <c r="B50461" s="1" t="str">
        <f>"26222"</f>
        <v>26222</v>
      </c>
      <c r="C50461" s="2">
        <v>3.4643484978693103E-5</v>
      </c>
      <c r="D50461" s="2">
        <v>1.65627978480408E-5</v>
      </c>
      <c r="E50461" s="2">
        <v>0</v>
      </c>
      <c r="F50461" s="2">
        <v>3.2663659241654398E-5</v>
      </c>
    </row>
    <row r="50462" spans="1:6" x14ac:dyDescent="0.25">
      <c r="A50462" s="1" t="str">
        <f t="shared" si="1592"/>
        <v>99999</v>
      </c>
      <c r="B50462" s="1" t="str">
        <f>"26263"</f>
        <v>26263</v>
      </c>
      <c r="C50462" s="2">
        <v>2.3384352360617801E-5</v>
      </c>
      <c r="D50462" s="2">
        <v>1.0539962266935E-5</v>
      </c>
      <c r="E50462" s="2">
        <v>0</v>
      </c>
      <c r="F50462" s="2">
        <v>2.2006030244377399E-5</v>
      </c>
    </row>
    <row r="50463" spans="1:6" x14ac:dyDescent="0.25">
      <c r="A50463" s="1" t="str">
        <f t="shared" si="1592"/>
        <v>99999</v>
      </c>
      <c r="B50463" s="1" t="str">
        <f>"26136"</f>
        <v>26136</v>
      </c>
      <c r="C50463" s="2">
        <v>3.1936962714732702E-5</v>
      </c>
      <c r="D50463" s="2">
        <v>4.5171266858293203E-6</v>
      </c>
      <c r="E50463" s="2">
        <v>0</v>
      </c>
      <c r="F50463" s="2">
        <v>2.9407161492486401E-5</v>
      </c>
    </row>
    <row r="50464" spans="1:6" x14ac:dyDescent="0.25">
      <c r="A50464" s="1" t="str">
        <f t="shared" si="1592"/>
        <v>99999</v>
      </c>
      <c r="B50464" s="1" t="str">
        <f>"26884"</f>
        <v>26884</v>
      </c>
      <c r="C50464" s="2">
        <v>3.4860006759809999E-5</v>
      </c>
      <c r="D50464" s="2">
        <v>1.35513800574879E-5</v>
      </c>
      <c r="E50464" s="2">
        <v>0</v>
      </c>
      <c r="F50464" s="2">
        <v>3.2663659241654398E-5</v>
      </c>
    </row>
    <row r="50465" spans="1:6" x14ac:dyDescent="0.25">
      <c r="A50465" s="1" t="str">
        <f t="shared" si="1592"/>
        <v>99999</v>
      </c>
      <c r="B50465" s="1" t="str">
        <f>"26624"</f>
        <v>26624</v>
      </c>
      <c r="C50465" s="2">
        <v>1.6434003186767499E-4</v>
      </c>
      <c r="D50465" s="2">
        <v>3.0264748795056398E-4</v>
      </c>
      <c r="E50465" s="2">
        <v>1.2473064631979999E-4</v>
      </c>
      <c r="F50465" s="2">
        <v>1.7249569895592701E-4</v>
      </c>
    </row>
    <row r="50466" spans="1:6" x14ac:dyDescent="0.25">
      <c r="A50466" s="1" t="str">
        <f t="shared" si="1592"/>
        <v>99999</v>
      </c>
      <c r="B50466" s="1" t="str">
        <f>"26678"</f>
        <v>26678</v>
      </c>
      <c r="C50466" s="2">
        <v>3.2911310729758503E-5</v>
      </c>
      <c r="D50466" s="2">
        <v>1.50570889527644E-6</v>
      </c>
      <c r="E50466" s="2">
        <v>4.3010567696482999E-6</v>
      </c>
      <c r="F50466" s="2">
        <v>3.0196615492284699E-5</v>
      </c>
    </row>
    <row r="50467" spans="1:6" x14ac:dyDescent="0.25">
      <c r="A50467" s="1" t="str">
        <f t="shared" si="1592"/>
        <v>99999</v>
      </c>
      <c r="B50467" s="1" t="str">
        <f>"26627"</f>
        <v>26627</v>
      </c>
      <c r="C50467" s="2">
        <v>2.2626526126708901E-5</v>
      </c>
      <c r="D50467" s="2">
        <v>1.50570889527644E-6</v>
      </c>
      <c r="E50467" s="2">
        <v>0</v>
      </c>
      <c r="F50467" s="2">
        <v>2.07231674947052E-5</v>
      </c>
    </row>
    <row r="50468" spans="1:6" x14ac:dyDescent="0.25">
      <c r="A50468" s="1" t="str">
        <f t="shared" si="1592"/>
        <v>99999</v>
      </c>
      <c r="B50468" s="1" t="str">
        <f>"26623"</f>
        <v>26623</v>
      </c>
      <c r="C50468" s="2">
        <v>7.4266970923073396E-5</v>
      </c>
      <c r="D50468" s="2">
        <v>1.65627978480408E-5</v>
      </c>
      <c r="E50468" s="2">
        <v>4.3010567696482999E-6</v>
      </c>
      <c r="F50468" s="2">
        <v>6.8879861482401097E-5</v>
      </c>
    </row>
    <row r="50469" spans="1:6" x14ac:dyDescent="0.25">
      <c r="A50469" s="1" t="str">
        <f t="shared" si="1592"/>
        <v>99999</v>
      </c>
      <c r="B50469" s="1" t="str">
        <f>"26585"</f>
        <v>26585</v>
      </c>
      <c r="C50469" s="2">
        <v>5.5213054184792198E-6</v>
      </c>
      <c r="D50469" s="2">
        <v>0</v>
      </c>
      <c r="E50469" s="2">
        <v>0</v>
      </c>
      <c r="F50469" s="2">
        <v>5.0327692487141197E-6</v>
      </c>
    </row>
    <row r="50470" spans="1:6" x14ac:dyDescent="0.25">
      <c r="A50470" s="1" t="str">
        <f t="shared" si="1592"/>
        <v>99999</v>
      </c>
      <c r="B50470" s="1" t="str">
        <f>"26610"</f>
        <v>26610</v>
      </c>
      <c r="C50470" s="2">
        <v>4.8392618079612001E-5</v>
      </c>
      <c r="D50470" s="2">
        <v>1.50570889527644E-6</v>
      </c>
      <c r="E50470" s="2">
        <v>4.3010567696482999E-6</v>
      </c>
      <c r="F50470" s="2">
        <v>4.4308105738679202E-5</v>
      </c>
    </row>
    <row r="50471" spans="1:6" x14ac:dyDescent="0.25">
      <c r="A50471" s="1" t="str">
        <f t="shared" si="1592"/>
        <v>99999</v>
      </c>
      <c r="B50471" s="1" t="str">
        <f>"26656"</f>
        <v>26656</v>
      </c>
      <c r="C50471" s="2">
        <v>1.26665241953346E-5</v>
      </c>
      <c r="D50471" s="2">
        <v>3.01141779055288E-6</v>
      </c>
      <c r="E50471" s="2">
        <v>0</v>
      </c>
      <c r="F50471" s="2">
        <v>1.1743128246999599E-5</v>
      </c>
    </row>
    <row r="50472" spans="1:6" x14ac:dyDescent="0.25">
      <c r="A50472" s="1" t="str">
        <f t="shared" si="1592"/>
        <v>99999</v>
      </c>
      <c r="B50472" s="1" t="str">
        <f>"26804"</f>
        <v>26804</v>
      </c>
      <c r="C50472" s="2">
        <v>2.8905657779097099E-5</v>
      </c>
      <c r="D50472" s="2">
        <v>6.0228355811057601E-6</v>
      </c>
      <c r="E50472" s="2">
        <v>0</v>
      </c>
      <c r="F50472" s="2">
        <v>2.6742754243167199E-5</v>
      </c>
    </row>
    <row r="50473" spans="1:6" x14ac:dyDescent="0.25">
      <c r="A50473" s="1" t="str">
        <f t="shared" si="1592"/>
        <v>99999</v>
      </c>
      <c r="B50473" s="1" t="str">
        <f>"26681"</f>
        <v>26681</v>
      </c>
      <c r="C50473" s="2">
        <v>6.03013160410378E-5</v>
      </c>
      <c r="D50473" s="2">
        <v>7.5285444763821999E-6</v>
      </c>
      <c r="E50473" s="2">
        <v>1.29031703089449E-5</v>
      </c>
      <c r="F50473" s="2">
        <v>5.57551887357545E-5</v>
      </c>
    </row>
    <row r="50474" spans="1:6" x14ac:dyDescent="0.25">
      <c r="A50474" s="1" t="str">
        <f t="shared" si="1592"/>
        <v>99999</v>
      </c>
      <c r="B50474" s="1" t="str">
        <f>"26452"</f>
        <v>26452</v>
      </c>
      <c r="C50474" s="2">
        <v>5.8482533079656405E-4</v>
      </c>
      <c r="D50474" s="2">
        <v>7.6038299211460205E-4</v>
      </c>
      <c r="E50474" s="2">
        <v>5.7204055036322397E-4</v>
      </c>
      <c r="F50474" s="2">
        <v>5.9603776984771205E-4</v>
      </c>
    </row>
    <row r="50475" spans="1:6" x14ac:dyDescent="0.25">
      <c r="A50475" s="1" t="str">
        <f t="shared" si="1592"/>
        <v>99999</v>
      </c>
      <c r="B50475" s="1" t="str">
        <f>"26437"</f>
        <v>26437</v>
      </c>
      <c r="C50475" s="2">
        <v>2.7173483530162401E-5</v>
      </c>
      <c r="D50475" s="2">
        <v>1.20456711622115E-5</v>
      </c>
      <c r="E50475" s="2">
        <v>0</v>
      </c>
      <c r="F50475" s="2">
        <v>2.5558573243469699E-5</v>
      </c>
    </row>
    <row r="50476" spans="1:6" x14ac:dyDescent="0.25">
      <c r="A50476" s="1" t="str">
        <f t="shared" si="1592"/>
        <v>99999</v>
      </c>
      <c r="B50476" s="1" t="str">
        <f>"27209"</f>
        <v>27209</v>
      </c>
      <c r="C50476" s="2">
        <v>1.2720654640613799E-4</v>
      </c>
      <c r="D50476" s="2">
        <v>2.1983349871035999E-4</v>
      </c>
      <c r="E50476" s="2">
        <v>2.58063406178898E-5</v>
      </c>
      <c r="F50476" s="2">
        <v>1.30950682216542E-4</v>
      </c>
    </row>
    <row r="50477" spans="1:6" x14ac:dyDescent="0.25">
      <c r="A50477" s="1" t="str">
        <f t="shared" si="1592"/>
        <v>99999</v>
      </c>
      <c r="B50477" s="1" t="str">
        <f>"27212"</f>
        <v>27212</v>
      </c>
      <c r="C50477" s="2">
        <v>8.29278421677467E-5</v>
      </c>
      <c r="D50477" s="2">
        <v>2.55970512196994E-5</v>
      </c>
      <c r="E50477" s="2">
        <v>8.6021135392965999E-6</v>
      </c>
      <c r="F50477" s="2">
        <v>7.7465173730207606E-5</v>
      </c>
    </row>
    <row r="50478" spans="1:6" x14ac:dyDescent="0.25">
      <c r="A50478" s="1" t="str">
        <f t="shared" si="1592"/>
        <v>99999</v>
      </c>
      <c r="B50478" s="1" t="str">
        <f>"27311"</f>
        <v>27311</v>
      </c>
      <c r="C50478" s="2">
        <v>1.63149162071533E-4</v>
      </c>
      <c r="D50478" s="2">
        <v>4.5171266858293199E-5</v>
      </c>
      <c r="E50478" s="2">
        <v>3.44084541571864E-5</v>
      </c>
      <c r="F50478" s="2">
        <v>1.5246330371104501E-4</v>
      </c>
    </row>
    <row r="50479" spans="1:6" x14ac:dyDescent="0.25">
      <c r="A50479" s="1" t="str">
        <f t="shared" si="1592"/>
        <v>99999</v>
      </c>
      <c r="B50479" s="1" t="str">
        <f>"27885"</f>
        <v>27885</v>
      </c>
      <c r="C50479" s="2">
        <v>5.7378271995960502E-5</v>
      </c>
      <c r="D50479" s="2">
        <v>7.6791153659098402E-5</v>
      </c>
      <c r="E50479" s="2">
        <v>0</v>
      </c>
      <c r="F50479" s="2">
        <v>5.7334096735351097E-5</v>
      </c>
    </row>
    <row r="50480" spans="1:6" x14ac:dyDescent="0.25">
      <c r="A50480" s="1" t="str">
        <f t="shared" si="1592"/>
        <v>99999</v>
      </c>
      <c r="B50480" s="1" t="str">
        <f>"27810"</f>
        <v>27810</v>
      </c>
      <c r="C50480" s="2">
        <v>2.9771744903564399E-5</v>
      </c>
      <c r="D50480" s="2">
        <v>1.20456711622115E-5</v>
      </c>
      <c r="E50480" s="2">
        <v>0</v>
      </c>
      <c r="F50480" s="2">
        <v>2.7926935242864601E-5</v>
      </c>
    </row>
    <row r="50481" spans="1:6" x14ac:dyDescent="0.25">
      <c r="A50481" s="1" t="str">
        <f t="shared" si="1592"/>
        <v>99999</v>
      </c>
      <c r="B50481" s="1" t="str">
        <f>"28640"</f>
        <v>28640</v>
      </c>
      <c r="C50481" s="2">
        <v>3.9352833717984202E-4</v>
      </c>
      <c r="D50481" s="2">
        <v>5.6162941793811197E-4</v>
      </c>
      <c r="E50481" s="2">
        <v>3.8709510926834698E-4</v>
      </c>
      <c r="F50481" s="2">
        <v>4.04397811396676E-4</v>
      </c>
    </row>
    <row r="50482" spans="1:6" x14ac:dyDescent="0.25">
      <c r="A50482" s="1" t="str">
        <f t="shared" si="1592"/>
        <v>99999</v>
      </c>
      <c r="B50482" s="1" t="str">
        <f>"28643"</f>
        <v>28643</v>
      </c>
      <c r="C50482" s="2">
        <v>2.1359873707175501E-4</v>
      </c>
      <c r="D50482" s="2">
        <v>6.9262609182716196E-5</v>
      </c>
      <c r="E50482" s="2">
        <v>1.67741214016283E-4</v>
      </c>
      <c r="F50482" s="2">
        <v>2.0308704144811099E-4</v>
      </c>
    </row>
    <row r="50483" spans="1:6" x14ac:dyDescent="0.25">
      <c r="A50483" s="1" t="str">
        <f t="shared" si="1592"/>
        <v>99999</v>
      </c>
      <c r="B50483" s="1" t="str">
        <f>"28644"</f>
        <v>28644</v>
      </c>
      <c r="C50483" s="2">
        <v>1.15081326663596E-4</v>
      </c>
      <c r="D50483" s="2">
        <v>4.8182684648845999E-5</v>
      </c>
      <c r="E50483" s="2">
        <v>3.01073973875381E-5</v>
      </c>
      <c r="F50483" s="2">
        <v>1.08747288472215E-4</v>
      </c>
    </row>
    <row r="50484" spans="1:6" x14ac:dyDescent="0.25">
      <c r="A50484" s="1" t="str">
        <f t="shared" si="1592"/>
        <v>99999</v>
      </c>
      <c r="B50484" s="1" t="str">
        <f>"27910"</f>
        <v>27910</v>
      </c>
      <c r="C50484" s="2">
        <v>6.1340620590398596E-4</v>
      </c>
      <c r="D50484" s="2">
        <v>1.0795932779132001E-3</v>
      </c>
      <c r="E50484" s="2">
        <v>5.8924477744181703E-4</v>
      </c>
      <c r="F50484" s="2">
        <v>6.4340500983560997E-4</v>
      </c>
    </row>
    <row r="50485" spans="1:6" x14ac:dyDescent="0.25">
      <c r="A50485" s="1" t="str">
        <f t="shared" si="1592"/>
        <v>99999</v>
      </c>
      <c r="B50485" s="1" t="str">
        <f>"27924"</f>
        <v>27924</v>
      </c>
      <c r="C50485" s="2">
        <v>1.6282437939985699E-4</v>
      </c>
      <c r="D50485" s="2">
        <v>8.7331115926033497E-5</v>
      </c>
      <c r="E50485" s="2">
        <v>0</v>
      </c>
      <c r="F50485" s="2">
        <v>1.54140893460617E-4</v>
      </c>
    </row>
    <row r="50486" spans="1:6" x14ac:dyDescent="0.25">
      <c r="A50486" s="1" t="str">
        <f t="shared" si="1592"/>
        <v>99999</v>
      </c>
      <c r="B50486" s="1" t="str">
        <f>"28684"</f>
        <v>28684</v>
      </c>
      <c r="C50486" s="2">
        <v>9.1155669850186404E-5</v>
      </c>
      <c r="D50486" s="2">
        <v>1.35513800574879E-5</v>
      </c>
      <c r="E50486" s="2">
        <v>5.1612681235779599E-5</v>
      </c>
      <c r="F50486" s="2">
        <v>8.5162350228241003E-5</v>
      </c>
    </row>
    <row r="50487" spans="1:6" x14ac:dyDescent="0.25">
      <c r="A50487" s="1" t="str">
        <f t="shared" si="1592"/>
        <v>99999</v>
      </c>
      <c r="B50487" s="1" t="str">
        <f>"28337"</f>
        <v>28337</v>
      </c>
      <c r="C50487" s="2">
        <v>7.9593406738547501E-4</v>
      </c>
      <c r="D50487" s="2">
        <v>9.6666511076747398E-4</v>
      </c>
      <c r="E50487" s="2">
        <v>3.9999827957729202E-4</v>
      </c>
      <c r="F50487" s="2">
        <v>7.9803931204609996E-4</v>
      </c>
    </row>
    <row r="50488" spans="1:6" x14ac:dyDescent="0.25">
      <c r="A50488" s="1" t="str">
        <f t="shared" si="1592"/>
        <v>99999</v>
      </c>
      <c r="B50488" s="1" t="str">
        <f>"28329"</f>
        <v>28329</v>
      </c>
      <c r="C50488" s="2">
        <v>2.4954135273714899E-4</v>
      </c>
      <c r="D50488" s="2">
        <v>5.5560658235700598E-4</v>
      </c>
      <c r="E50488" s="2">
        <v>8.6021135392965999E-6</v>
      </c>
      <c r="F50488" s="2">
        <v>2.6407236293252899E-4</v>
      </c>
    </row>
    <row r="50489" spans="1:6" x14ac:dyDescent="0.25">
      <c r="A50489" s="1" t="str">
        <f t="shared" si="1592"/>
        <v>99999</v>
      </c>
      <c r="B50489" s="1" t="str">
        <f>"28392"</f>
        <v>28392</v>
      </c>
      <c r="C50489" s="2">
        <v>7.5457840719215998E-5</v>
      </c>
      <c r="D50489" s="2">
        <v>3.01141779055288E-5</v>
      </c>
      <c r="E50489" s="2">
        <v>0</v>
      </c>
      <c r="F50489" s="2">
        <v>7.0754814731922099E-5</v>
      </c>
    </row>
    <row r="50490" spans="1:6" x14ac:dyDescent="0.25">
      <c r="A50490" s="1" t="str">
        <f t="shared" si="1592"/>
        <v>99999</v>
      </c>
      <c r="B50490" s="1" t="str">
        <f>"28438"</f>
        <v>28438</v>
      </c>
      <c r="C50490" s="2">
        <v>9.2671322318004204E-5</v>
      </c>
      <c r="D50490" s="2">
        <v>4.2159849067740298E-5</v>
      </c>
      <c r="E50490" s="2">
        <v>8.6021135392965999E-6</v>
      </c>
      <c r="F50490" s="2">
        <v>8.7432030477661098E-5</v>
      </c>
    </row>
    <row r="50491" spans="1:6" x14ac:dyDescent="0.25">
      <c r="A50491" s="1" t="str">
        <f t="shared" si="1592"/>
        <v>99999</v>
      </c>
      <c r="B50491" s="1" t="str">
        <f>"28436"</f>
        <v>28436</v>
      </c>
      <c r="C50491" s="2">
        <v>1.0728654254339E-4</v>
      </c>
      <c r="D50491" s="2">
        <v>1.3551380057487899E-4</v>
      </c>
      <c r="E50491" s="2">
        <v>4.7311624466131299E-5</v>
      </c>
      <c r="F50491" s="2">
        <v>1.07760470972467E-4</v>
      </c>
    </row>
    <row r="50492" spans="1:6" x14ac:dyDescent="0.25">
      <c r="A50492" s="1" t="str">
        <f t="shared" si="1592"/>
        <v>99999</v>
      </c>
      <c r="B50492" s="1" t="str">
        <f>"28423"</f>
        <v>28423</v>
      </c>
      <c r="C50492" s="2">
        <v>1.05987411856689E-4</v>
      </c>
      <c r="D50492" s="2">
        <v>6.3239773601610501E-5</v>
      </c>
      <c r="E50492" s="2">
        <v>0</v>
      </c>
      <c r="F50492" s="2">
        <v>1.00754066724257E-4</v>
      </c>
    </row>
    <row r="50493" spans="1:6" x14ac:dyDescent="0.25">
      <c r="A50493" s="1" t="str">
        <f t="shared" si="1592"/>
        <v>99999</v>
      </c>
      <c r="B50493" s="1" t="str">
        <f>"28572"</f>
        <v>28572</v>
      </c>
      <c r="C50493" s="2">
        <v>1.7971307832697001E-4</v>
      </c>
      <c r="D50493" s="2">
        <v>8.7331115926033497E-5</v>
      </c>
      <c r="E50493" s="2">
        <v>4.3010567696482999E-6</v>
      </c>
      <c r="F50493" s="2">
        <v>1.69633928206658E-4</v>
      </c>
    </row>
    <row r="50494" spans="1:6" x14ac:dyDescent="0.25">
      <c r="A50494" s="1" t="str">
        <f t="shared" si="1592"/>
        <v>99999</v>
      </c>
      <c r="B50494" s="1" t="str">
        <f>"28714"</f>
        <v>28714</v>
      </c>
      <c r="C50494" s="2">
        <v>1.0131054138456501E-3</v>
      </c>
      <c r="D50494" s="2">
        <v>9.0493104606114002E-4</v>
      </c>
      <c r="E50494" s="2">
        <v>7.6988916176704599E-4</v>
      </c>
      <c r="F50494" s="2">
        <v>1.0004355812443799E-3</v>
      </c>
    </row>
    <row r="50495" spans="1:6" x14ac:dyDescent="0.25">
      <c r="A50495" s="1" t="str">
        <f t="shared" si="1592"/>
        <v>99999</v>
      </c>
      <c r="B50495" s="1" t="str">
        <f>"28777"</f>
        <v>28777</v>
      </c>
      <c r="C50495" s="2">
        <v>6.0701881336103897E-4</v>
      </c>
      <c r="D50495" s="2">
        <v>1.06754760675099E-3</v>
      </c>
      <c r="E50495" s="2">
        <v>6.0214794775076202E-4</v>
      </c>
      <c r="F50495" s="2">
        <v>6.3708937783722296E-4</v>
      </c>
    </row>
    <row r="50496" spans="1:6" x14ac:dyDescent="0.25">
      <c r="A50496" s="1" t="str">
        <f t="shared" si="1592"/>
        <v>99999</v>
      </c>
      <c r="B50496" s="1" t="str">
        <f>"28781"</f>
        <v>28781</v>
      </c>
      <c r="C50496" s="2">
        <v>9.50530619102893E-5</v>
      </c>
      <c r="D50496" s="2">
        <v>4.2159849067740298E-5</v>
      </c>
      <c r="E50496" s="2">
        <v>0</v>
      </c>
      <c r="F50496" s="2">
        <v>8.9405665477156794E-5</v>
      </c>
    </row>
    <row r="50497" spans="1:6" x14ac:dyDescent="0.25">
      <c r="A50497" s="1" t="str">
        <f t="shared" si="1592"/>
        <v>99999</v>
      </c>
      <c r="B50497" s="1" t="str">
        <f>"28744"</f>
        <v>28744</v>
      </c>
      <c r="C50497" s="2">
        <v>2.03530474249822E-4</v>
      </c>
      <c r="D50497" s="2">
        <v>3.2975024806554003E-4</v>
      </c>
      <c r="E50497" s="2">
        <v>8.6021135392965999E-6</v>
      </c>
      <c r="F50497" s="2">
        <v>2.0733035669702701E-4</v>
      </c>
    </row>
    <row r="50498" spans="1:6" x14ac:dyDescent="0.25">
      <c r="A50498" s="1" t="str">
        <f t="shared" si="1592"/>
        <v>99999</v>
      </c>
      <c r="B50498" s="1" t="str">
        <f>"28906"</f>
        <v>28906</v>
      </c>
      <c r="C50498" s="2">
        <v>1.58147508927734E-3</v>
      </c>
      <c r="D50498" s="2">
        <v>1.59454572009775E-3</v>
      </c>
      <c r="E50498" s="2">
        <v>4.7741730143096097E-4</v>
      </c>
      <c r="F50498" s="2">
        <v>1.55700065110218E-3</v>
      </c>
    </row>
    <row r="50499" spans="1:6" x14ac:dyDescent="0.25">
      <c r="A50499" s="1" t="str">
        <f t="shared" si="1592"/>
        <v>99999</v>
      </c>
      <c r="B50499" s="1" t="str">
        <f>"29082"</f>
        <v>29082</v>
      </c>
      <c r="C50499" s="2">
        <v>3.75665290237704E-5</v>
      </c>
      <c r="D50499" s="2">
        <v>1.35513800574879E-5</v>
      </c>
      <c r="E50499" s="2">
        <v>4.3010567696482999E-6</v>
      </c>
      <c r="F50499" s="2">
        <v>3.5229384740998803E-5</v>
      </c>
    </row>
    <row r="50500" spans="1:6" x14ac:dyDescent="0.25">
      <c r="A50500" s="1" t="str">
        <f t="shared" si="1592"/>
        <v>99999</v>
      </c>
      <c r="B50500" s="1" t="str">
        <f>"29472"</f>
        <v>29472</v>
      </c>
      <c r="C50500" s="2">
        <v>4.9258705204079297E-5</v>
      </c>
      <c r="D50500" s="2">
        <v>1.0539962266935E-5</v>
      </c>
      <c r="E50500" s="2">
        <v>0</v>
      </c>
      <c r="F50500" s="2">
        <v>4.5590968488351503E-5</v>
      </c>
    </row>
    <row r="50501" spans="1:6" x14ac:dyDescent="0.25">
      <c r="A50501" s="1" t="str">
        <f t="shared" si="1592"/>
        <v>99999</v>
      </c>
      <c r="B50501" s="1" t="str">
        <f>"29584"</f>
        <v>29584</v>
      </c>
      <c r="C50501" s="2">
        <v>1.52431333906249E-4</v>
      </c>
      <c r="D50501" s="2">
        <v>4.0654140172463799E-5</v>
      </c>
      <c r="E50501" s="2">
        <v>4.3010567696482999E-6</v>
      </c>
      <c r="F50501" s="2">
        <v>1.4170699296379299E-4</v>
      </c>
    </row>
    <row r="50502" spans="1:6" x14ac:dyDescent="0.25">
      <c r="A50502" s="1" t="str">
        <f t="shared" ref="A50502:A50565" si="1593">"99999"</f>
        <v>99999</v>
      </c>
      <c r="B50502" s="1" t="str">
        <f>"30175"</f>
        <v>30175</v>
      </c>
      <c r="C50502" s="2">
        <v>9.0073060944602205E-5</v>
      </c>
      <c r="D50502" s="2">
        <v>1.9574215638593701E-5</v>
      </c>
      <c r="E50502" s="2">
        <v>0</v>
      </c>
      <c r="F50502" s="2">
        <v>8.3386078728694805E-5</v>
      </c>
    </row>
    <row r="50503" spans="1:6" x14ac:dyDescent="0.25">
      <c r="A50503" s="1" t="str">
        <f t="shared" si="1593"/>
        <v>99999</v>
      </c>
      <c r="B50503" s="1" t="str">
        <f>"30624"</f>
        <v>30624</v>
      </c>
      <c r="C50503" s="2">
        <v>1.4409524533325101E-4</v>
      </c>
      <c r="D50503" s="2">
        <v>1.08411040459903E-4</v>
      </c>
      <c r="E50503" s="2">
        <v>3.8709510926834699E-5</v>
      </c>
      <c r="F50503" s="2">
        <v>1.39338630964398E-4</v>
      </c>
    </row>
    <row r="50504" spans="1:6" x14ac:dyDescent="0.25">
      <c r="A50504" s="1" t="str">
        <f t="shared" si="1593"/>
        <v>99999</v>
      </c>
      <c r="B50504" s="1" t="str">
        <f>"30559"</f>
        <v>30559</v>
      </c>
      <c r="C50504" s="2">
        <v>3.8075355209394901E-4</v>
      </c>
      <c r="D50504" s="2">
        <v>1.6412226958513199E-4</v>
      </c>
      <c r="E50504" s="2">
        <v>4.3010567696482999E-5</v>
      </c>
      <c r="F50504" s="2">
        <v>3.5880684290832401E-4</v>
      </c>
    </row>
    <row r="50505" spans="1:6" x14ac:dyDescent="0.25">
      <c r="A50505" s="1" t="str">
        <f t="shared" si="1593"/>
        <v>99999</v>
      </c>
      <c r="B50505" s="1" t="str">
        <f>"30576"</f>
        <v>30576</v>
      </c>
      <c r="C50505" s="2">
        <v>1.84368296620982E-4</v>
      </c>
      <c r="D50505" s="2">
        <v>1.55088016213473E-4</v>
      </c>
      <c r="E50505" s="2">
        <v>2.15052838482415E-5</v>
      </c>
      <c r="F50505" s="2">
        <v>1.78712649204338E-4</v>
      </c>
    </row>
    <row r="50506" spans="1:6" x14ac:dyDescent="0.25">
      <c r="A50506" s="1" t="str">
        <f t="shared" si="1593"/>
        <v>99999</v>
      </c>
      <c r="B50506" s="1" t="str">
        <f>"30571"</f>
        <v>30571</v>
      </c>
      <c r="C50506" s="2">
        <v>2.37199611213489E-4</v>
      </c>
      <c r="D50506" s="2">
        <v>1.15939584936285E-4</v>
      </c>
      <c r="E50506" s="2">
        <v>9.8924305701910905E-5</v>
      </c>
      <c r="F50506" s="2">
        <v>2.26079889192236E-4</v>
      </c>
    </row>
    <row r="50507" spans="1:6" x14ac:dyDescent="0.25">
      <c r="A50507" s="1" t="str">
        <f t="shared" si="1593"/>
        <v>99999</v>
      </c>
      <c r="B50507" s="1" t="str">
        <f>"30540"</f>
        <v>30540</v>
      </c>
      <c r="C50507" s="2">
        <v>1.28873764120738E-3</v>
      </c>
      <c r="D50507" s="2">
        <v>2.0251784641468098E-3</v>
      </c>
      <c r="E50507" s="2">
        <v>1.0064472840976999E-3</v>
      </c>
      <c r="F50507" s="2">
        <v>1.33052603491005E-3</v>
      </c>
    </row>
    <row r="50508" spans="1:6" x14ac:dyDescent="0.25">
      <c r="A50508" s="1" t="str">
        <f t="shared" si="1593"/>
        <v>99999</v>
      </c>
      <c r="B50508" s="1" t="str">
        <f>"30411"</f>
        <v>30411</v>
      </c>
      <c r="C50508" s="2">
        <v>8.1520450590487304E-5</v>
      </c>
      <c r="D50508" s="2">
        <v>6.1734064706334002E-5</v>
      </c>
      <c r="E50508" s="2">
        <v>2.58063406178898E-5</v>
      </c>
      <c r="F50508" s="2">
        <v>7.8945399979829406E-5</v>
      </c>
    </row>
    <row r="50509" spans="1:6" x14ac:dyDescent="0.25">
      <c r="A50509" s="1" t="str">
        <f t="shared" si="1593"/>
        <v>99999</v>
      </c>
      <c r="B50509" s="1" t="str">
        <f>"29843"</f>
        <v>29843</v>
      </c>
      <c r="C50509" s="2">
        <v>7.2534796674138803E-5</v>
      </c>
      <c r="D50509" s="2">
        <v>4.6676975753569603E-5</v>
      </c>
      <c r="E50509" s="2">
        <v>0</v>
      </c>
      <c r="F50509" s="2">
        <v>6.9175906732325495E-5</v>
      </c>
    </row>
    <row r="50510" spans="1:6" x14ac:dyDescent="0.25">
      <c r="A50510" s="1" t="str">
        <f t="shared" si="1593"/>
        <v>99999</v>
      </c>
      <c r="B50510" s="1" t="str">
        <f>"29836"</f>
        <v>29836</v>
      </c>
      <c r="C50510" s="2">
        <v>3.5617832993718898E-5</v>
      </c>
      <c r="D50510" s="2">
        <v>2.1079924533870101E-5</v>
      </c>
      <c r="E50510" s="2">
        <v>0</v>
      </c>
      <c r="F50510" s="2">
        <v>3.38478402413518E-5</v>
      </c>
    </row>
    <row r="50511" spans="1:6" x14ac:dyDescent="0.25">
      <c r="A50511" s="1" t="str">
        <f t="shared" si="1593"/>
        <v>99999</v>
      </c>
      <c r="B50511" s="1" t="str">
        <f>"29817"</f>
        <v>29817</v>
      </c>
      <c r="C50511" s="2">
        <v>2.8158657634243998E-4</v>
      </c>
      <c r="D50511" s="2">
        <v>2.45430549930059E-4</v>
      </c>
      <c r="E50511" s="2">
        <v>1.3032202012034299E-3</v>
      </c>
      <c r="F50511" s="2">
        <v>3.0265692717267099E-4</v>
      </c>
    </row>
    <row r="50512" spans="1:6" x14ac:dyDescent="0.25">
      <c r="A50512" s="1" t="str">
        <f t="shared" si="1593"/>
        <v>99999</v>
      </c>
      <c r="B50512" s="1" t="str">
        <f>"30634"</f>
        <v>30634</v>
      </c>
      <c r="C50512" s="2">
        <v>1.30562634013449E-4</v>
      </c>
      <c r="D50512" s="2">
        <v>4.6676975753569603E-5</v>
      </c>
      <c r="E50512" s="2">
        <v>1.72042270785932E-5</v>
      </c>
      <c r="F50512" s="2">
        <v>1.2246405171870999E-4</v>
      </c>
    </row>
    <row r="50513" spans="1:6" x14ac:dyDescent="0.25">
      <c r="A50513" s="1" t="str">
        <f t="shared" si="1593"/>
        <v>99999</v>
      </c>
      <c r="B50513" s="1" t="str">
        <f>"30467"</f>
        <v>30467</v>
      </c>
      <c r="C50513" s="2">
        <v>6.7944534914461902E-4</v>
      </c>
      <c r="D50513" s="2">
        <v>7.2876310531379696E-4</v>
      </c>
      <c r="E50513" s="2">
        <v>2.2795600879136E-4</v>
      </c>
      <c r="F50513" s="2">
        <v>6.7231876257822201E-4</v>
      </c>
    </row>
    <row r="50514" spans="1:6" x14ac:dyDescent="0.25">
      <c r="A50514" s="1" t="str">
        <f t="shared" si="1593"/>
        <v>99999</v>
      </c>
      <c r="B50514" s="1" t="str">
        <f>"30821"</f>
        <v>30821</v>
      </c>
      <c r="C50514" s="2">
        <v>5.5104793294233803E-5</v>
      </c>
      <c r="D50514" s="2">
        <v>1.65627978480408E-5</v>
      </c>
      <c r="E50514" s="2">
        <v>0</v>
      </c>
      <c r="F50514" s="2">
        <v>5.1314509986889101E-5</v>
      </c>
    </row>
    <row r="50515" spans="1:6" x14ac:dyDescent="0.25">
      <c r="A50515" s="1" t="str">
        <f t="shared" si="1593"/>
        <v>99999</v>
      </c>
      <c r="B50515" s="1" t="str">
        <f>"30446"</f>
        <v>30446</v>
      </c>
      <c r="C50515" s="2">
        <v>6.5497838787841701E-5</v>
      </c>
      <c r="D50515" s="2">
        <v>2.1079924533870101E-5</v>
      </c>
      <c r="E50515" s="2">
        <v>0</v>
      </c>
      <c r="F50515" s="2">
        <v>6.1084003234393005E-5</v>
      </c>
    </row>
    <row r="50516" spans="1:6" x14ac:dyDescent="0.25">
      <c r="A50516" s="1" t="str">
        <f t="shared" si="1593"/>
        <v>99999</v>
      </c>
      <c r="B50516" s="1" t="str">
        <f>"31036"</f>
        <v>31036</v>
      </c>
      <c r="C50516" s="2">
        <v>4.43436607727272E-4</v>
      </c>
      <c r="D50516" s="2">
        <v>5.9174359584364096E-4</v>
      </c>
      <c r="E50516" s="2">
        <v>1.72042270785932E-4</v>
      </c>
      <c r="F50516" s="2">
        <v>4.4692964563580902E-4</v>
      </c>
    </row>
    <row r="50517" spans="1:6" x14ac:dyDescent="0.25">
      <c r="A50517" s="1" t="str">
        <f t="shared" si="1593"/>
        <v>99999</v>
      </c>
      <c r="B50517" s="1" t="str">
        <f>"31562"</f>
        <v>31562</v>
      </c>
      <c r="C50517" s="2">
        <v>1.3197002559070899E-4</v>
      </c>
      <c r="D50517" s="2">
        <v>7.6791153659098402E-5</v>
      </c>
      <c r="E50517" s="2">
        <v>8.6021135392965999E-6</v>
      </c>
      <c r="F50517" s="2">
        <v>1.2552318596792801E-4</v>
      </c>
    </row>
    <row r="50518" spans="1:6" x14ac:dyDescent="0.25">
      <c r="A50518" s="1" t="str">
        <f t="shared" si="1593"/>
        <v>99999</v>
      </c>
      <c r="B50518" s="1" t="str">
        <f>"31557"</f>
        <v>31557</v>
      </c>
      <c r="C50518" s="2">
        <v>3.46434849786931E-6</v>
      </c>
      <c r="D50518" s="2">
        <v>1.50570889527644E-6</v>
      </c>
      <c r="E50518" s="2">
        <v>0</v>
      </c>
      <c r="F50518" s="2">
        <v>3.2564977491679601E-6</v>
      </c>
    </row>
    <row r="50519" spans="1:6" x14ac:dyDescent="0.25">
      <c r="A50519" s="1" t="str">
        <f t="shared" si="1593"/>
        <v>99999</v>
      </c>
      <c r="B50519" s="1" t="str">
        <f>"31773"</f>
        <v>31773</v>
      </c>
      <c r="C50519" s="2">
        <v>5.1965227468039699E-5</v>
      </c>
      <c r="D50519" s="2">
        <v>6.0228355811057601E-6</v>
      </c>
      <c r="E50519" s="2">
        <v>1.8064438432522799E-4</v>
      </c>
      <c r="F50519" s="2">
        <v>5.1906600486737802E-5</v>
      </c>
    </row>
    <row r="50520" spans="1:6" x14ac:dyDescent="0.25">
      <c r="A50520" s="1" t="str">
        <f t="shared" si="1593"/>
        <v>99999</v>
      </c>
      <c r="B50520" s="1" t="str">
        <f>"31825"</f>
        <v>31825</v>
      </c>
      <c r="C50520" s="2">
        <v>2.76065270923961E-5</v>
      </c>
      <c r="D50520" s="2">
        <v>1.50570889527644E-6</v>
      </c>
      <c r="E50520" s="2">
        <v>0</v>
      </c>
      <c r="F50520" s="2">
        <v>2.52625279935454E-5</v>
      </c>
    </row>
    <row r="50521" spans="1:6" x14ac:dyDescent="0.25">
      <c r="A50521" s="1" t="str">
        <f t="shared" si="1593"/>
        <v>99999</v>
      </c>
      <c r="B50521" s="1" t="str">
        <f>"14897"</f>
        <v>14897</v>
      </c>
      <c r="C50521" s="2">
        <v>3.5401311212602003E-5</v>
      </c>
      <c r="D50521" s="2">
        <v>1.50570889527644E-6</v>
      </c>
      <c r="E50521" s="2">
        <v>1.29031703089449E-5</v>
      </c>
      <c r="F50521" s="2">
        <v>3.2663659241654398E-5</v>
      </c>
    </row>
    <row r="50522" spans="1:6" x14ac:dyDescent="0.25">
      <c r="A50522" s="1" t="str">
        <f t="shared" si="1593"/>
        <v>99999</v>
      </c>
      <c r="B50522" s="1" t="str">
        <f>"15539"</f>
        <v>15539</v>
      </c>
      <c r="C50522" s="2">
        <v>2.30595696889426E-5</v>
      </c>
      <c r="D50522" s="2">
        <v>1.35513800574879E-5</v>
      </c>
      <c r="E50522" s="2">
        <v>0</v>
      </c>
      <c r="F50522" s="2">
        <v>2.1907348494402598E-5</v>
      </c>
    </row>
    <row r="50523" spans="1:6" x14ac:dyDescent="0.25">
      <c r="A50523" s="1" t="str">
        <f t="shared" si="1593"/>
        <v>99999</v>
      </c>
      <c r="B50523" s="1" t="str">
        <f>"15338"</f>
        <v>15338</v>
      </c>
      <c r="C50523" s="2">
        <v>6.8637404614035799E-5</v>
      </c>
      <c r="D50523" s="2">
        <v>4.0654140172463799E-5</v>
      </c>
      <c r="E50523" s="2">
        <v>3.44084541571864E-5</v>
      </c>
      <c r="F50523" s="2">
        <v>6.6018090733132301E-5</v>
      </c>
    </row>
    <row r="50524" spans="1:6" x14ac:dyDescent="0.25">
      <c r="A50524" s="1" t="str">
        <f t="shared" si="1593"/>
        <v>99999</v>
      </c>
      <c r="B50524" s="1" t="str">
        <f>"15327"</f>
        <v>15327</v>
      </c>
      <c r="C50524" s="2">
        <v>6.75547957084516E-5</v>
      </c>
      <c r="D50524" s="2">
        <v>1.35513800574879E-5</v>
      </c>
      <c r="E50524" s="2">
        <v>2.15052838482415E-5</v>
      </c>
      <c r="F50524" s="2">
        <v>6.2958956483913898E-5</v>
      </c>
    </row>
    <row r="50525" spans="1:6" x14ac:dyDescent="0.25">
      <c r="A50525" s="1" t="str">
        <f t="shared" si="1593"/>
        <v>99999</v>
      </c>
      <c r="B50525" s="1" t="str">
        <f>"15825"</f>
        <v>15825</v>
      </c>
      <c r="C50525" s="2">
        <v>4.9984053170820696E-4</v>
      </c>
      <c r="D50525" s="2">
        <v>8.5674836141229403E-4</v>
      </c>
      <c r="E50525" s="2">
        <v>1.1053715897996099E-3</v>
      </c>
      <c r="F50525" s="2">
        <v>5.3712476511276399E-4</v>
      </c>
    </row>
    <row r="50526" spans="1:6" x14ac:dyDescent="0.25">
      <c r="A50526" s="1" t="str">
        <f t="shared" si="1593"/>
        <v>99999</v>
      </c>
      <c r="B50526" s="1" t="str">
        <f>"15840"</f>
        <v>15840</v>
      </c>
      <c r="C50526" s="2">
        <v>7.3833927360839795E-5</v>
      </c>
      <c r="D50526" s="2">
        <v>3.4631304591358098E-5</v>
      </c>
      <c r="E50526" s="2">
        <v>9.0322192162614306E-5</v>
      </c>
      <c r="F50526" s="2">
        <v>7.1642950481695197E-5</v>
      </c>
    </row>
    <row r="50527" spans="1:6" x14ac:dyDescent="0.25">
      <c r="A50527" s="1" t="str">
        <f t="shared" si="1593"/>
        <v>99999</v>
      </c>
      <c r="B50527" s="1" t="str">
        <f>"16235"</f>
        <v>16235</v>
      </c>
      <c r="C50527" s="2">
        <v>5.9326968026011998E-5</v>
      </c>
      <c r="D50527" s="2">
        <v>2.4091342324423E-5</v>
      </c>
      <c r="E50527" s="2">
        <v>1.29031703089449E-5</v>
      </c>
      <c r="F50527" s="2">
        <v>5.5952552235704101E-5</v>
      </c>
    </row>
    <row r="50528" spans="1:6" x14ac:dyDescent="0.25">
      <c r="A50528" s="1" t="str">
        <f t="shared" si="1593"/>
        <v>99999</v>
      </c>
      <c r="B50528" s="1" t="str">
        <f>"16667"</f>
        <v>16667</v>
      </c>
      <c r="C50528" s="2">
        <v>7.0153057081853598E-5</v>
      </c>
      <c r="D50528" s="2">
        <v>2.1079924533870101E-5</v>
      </c>
      <c r="E50528" s="2">
        <v>3.44084541571864E-5</v>
      </c>
      <c r="F50528" s="2">
        <v>6.6116772483107105E-5</v>
      </c>
    </row>
    <row r="50529" spans="1:6" x14ac:dyDescent="0.25">
      <c r="A50529" s="1" t="str">
        <f t="shared" si="1593"/>
        <v>99999</v>
      </c>
      <c r="B50529" s="1" t="str">
        <f>"16664"</f>
        <v>16664</v>
      </c>
      <c r="C50529" s="2">
        <v>8.5850886212824004E-5</v>
      </c>
      <c r="D50529" s="2">
        <v>4.3665557963016701E-5</v>
      </c>
      <c r="E50529" s="2">
        <v>8.6021135392965999E-6</v>
      </c>
      <c r="F50529" s="2">
        <v>8.1313761979224305E-5</v>
      </c>
    </row>
    <row r="50530" spans="1:6" x14ac:dyDescent="0.25">
      <c r="A50530" s="1" t="str">
        <f t="shared" si="1593"/>
        <v>99999</v>
      </c>
      <c r="B50530" s="1" t="str">
        <f>"16678"</f>
        <v>16678</v>
      </c>
      <c r="C50530" s="2">
        <v>1.20710892972634E-4</v>
      </c>
      <c r="D50530" s="2">
        <v>1.4605376284181399E-4</v>
      </c>
      <c r="E50530" s="2">
        <v>1.63440157246635E-4</v>
      </c>
      <c r="F50530" s="2">
        <v>1.2335218746848301E-4</v>
      </c>
    </row>
    <row r="50531" spans="1:6" x14ac:dyDescent="0.25">
      <c r="A50531" s="1" t="str">
        <f t="shared" si="1593"/>
        <v>99999</v>
      </c>
      <c r="B50531" s="1" t="str">
        <f>"17045"</f>
        <v>17045</v>
      </c>
      <c r="C50531" s="2">
        <v>3.6700441899303002E-5</v>
      </c>
      <c r="D50531" s="2">
        <v>1.80685067433172E-5</v>
      </c>
      <c r="E50531" s="2">
        <v>0</v>
      </c>
      <c r="F50531" s="2">
        <v>3.4637294241150102E-5</v>
      </c>
    </row>
    <row r="50532" spans="1:6" x14ac:dyDescent="0.25">
      <c r="A50532" s="1" t="str">
        <f t="shared" si="1593"/>
        <v>99999</v>
      </c>
      <c r="B50532" s="1" t="str">
        <f>"16917"</f>
        <v>16917</v>
      </c>
      <c r="C50532" s="2">
        <v>6.9828274410178401E-5</v>
      </c>
      <c r="D50532" s="2">
        <v>4.3665557963016701E-5</v>
      </c>
      <c r="E50532" s="2">
        <v>8.6021135392965999E-6</v>
      </c>
      <c r="F50532" s="2">
        <v>6.6708862982955806E-5</v>
      </c>
    </row>
    <row r="50533" spans="1:6" x14ac:dyDescent="0.25">
      <c r="A50533" s="1" t="str">
        <f t="shared" si="1593"/>
        <v>99999</v>
      </c>
      <c r="B50533" s="1" t="str">
        <f>"16912"</f>
        <v>16912</v>
      </c>
      <c r="C50533" s="2">
        <v>1.09018716792325E-4</v>
      </c>
      <c r="D50533" s="2">
        <v>1.0088249598352101E-4</v>
      </c>
      <c r="E50533" s="2">
        <v>1.67741214016283E-4</v>
      </c>
      <c r="F50533" s="2">
        <v>1.09832787721937E-4</v>
      </c>
    </row>
    <row r="50534" spans="1:6" x14ac:dyDescent="0.25">
      <c r="A50534" s="1" t="str">
        <f t="shared" si="1593"/>
        <v>99999</v>
      </c>
      <c r="B50534" s="1" t="str">
        <f>"16947"</f>
        <v>16947</v>
      </c>
      <c r="C50534" s="2">
        <v>1.2883045976451501E-5</v>
      </c>
      <c r="D50534" s="2">
        <v>0</v>
      </c>
      <c r="E50534" s="2">
        <v>0</v>
      </c>
      <c r="F50534" s="2">
        <v>1.1743128246999599E-5</v>
      </c>
    </row>
    <row r="50535" spans="1:6" x14ac:dyDescent="0.25">
      <c r="A50535" s="1" t="str">
        <f t="shared" si="1593"/>
        <v>99999</v>
      </c>
      <c r="B50535" s="1" t="str">
        <f>"16948"</f>
        <v>16948</v>
      </c>
      <c r="C50535" s="2">
        <v>9.0939148069069502E-5</v>
      </c>
      <c r="D50535" s="2">
        <v>6.6251191392163294E-5</v>
      </c>
      <c r="E50535" s="2">
        <v>9.0322192162614306E-5</v>
      </c>
      <c r="F50535" s="2">
        <v>8.9306983727182004E-5</v>
      </c>
    </row>
    <row r="50536" spans="1:6" x14ac:dyDescent="0.25">
      <c r="A50536" s="1" t="str">
        <f t="shared" si="1593"/>
        <v>99999</v>
      </c>
      <c r="B50536" s="1" t="str">
        <f>"17082"</f>
        <v>17082</v>
      </c>
      <c r="C50536" s="2">
        <v>1.4604394136330301E-4</v>
      </c>
      <c r="D50536" s="2">
        <v>4.6676975753569603E-5</v>
      </c>
      <c r="E50536" s="2">
        <v>1.72042270785932E-5</v>
      </c>
      <c r="F50536" s="2">
        <v>1.3657554196510401E-4</v>
      </c>
    </row>
    <row r="50537" spans="1:6" x14ac:dyDescent="0.25">
      <c r="A50537" s="1" t="str">
        <f t="shared" si="1593"/>
        <v>99999</v>
      </c>
      <c r="B50537" s="1" t="str">
        <f>"17236"</f>
        <v>17236</v>
      </c>
      <c r="C50537" s="2">
        <v>1.4723481115944499E-5</v>
      </c>
      <c r="D50537" s="2">
        <v>0</v>
      </c>
      <c r="E50537" s="2">
        <v>0</v>
      </c>
      <c r="F50537" s="2">
        <v>1.3420717996571E-5</v>
      </c>
    </row>
    <row r="50538" spans="1:6" x14ac:dyDescent="0.25">
      <c r="A50538" s="1" t="str">
        <f t="shared" si="1593"/>
        <v>99999</v>
      </c>
      <c r="B50538" s="1" t="str">
        <f>"18465"</f>
        <v>18465</v>
      </c>
      <c r="C50538" s="2">
        <v>9.35374094424715E-5</v>
      </c>
      <c r="D50538" s="2">
        <v>1.65627978480408E-5</v>
      </c>
      <c r="E50538" s="2">
        <v>3.8709510926834699E-5</v>
      </c>
      <c r="F50538" s="2">
        <v>8.7234666977711504E-5</v>
      </c>
    </row>
    <row r="50539" spans="1:6" x14ac:dyDescent="0.25">
      <c r="A50539" s="1" t="str">
        <f t="shared" si="1593"/>
        <v>99999</v>
      </c>
      <c r="B50539" s="1" t="str">
        <f>"18428"</f>
        <v>18428</v>
      </c>
      <c r="C50539" s="2">
        <v>2.72059617973299E-4</v>
      </c>
      <c r="D50539" s="2">
        <v>2.9361323457890499E-4</v>
      </c>
      <c r="E50539" s="2">
        <v>3.7419193895940199E-4</v>
      </c>
      <c r="F50539" s="2">
        <v>2.7581549117952902E-4</v>
      </c>
    </row>
    <row r="50540" spans="1:6" x14ac:dyDescent="0.25">
      <c r="A50540" s="1" t="str">
        <f t="shared" si="1593"/>
        <v>99999</v>
      </c>
      <c r="B50540" s="1" t="str">
        <f>"18424"</f>
        <v>18424</v>
      </c>
      <c r="C50540" s="2">
        <v>1.3510959141690301E-4</v>
      </c>
      <c r="D50540" s="2">
        <v>4.5171266858293199E-5</v>
      </c>
      <c r="E50540" s="2">
        <v>8.6021135392965999E-6</v>
      </c>
      <c r="F50540" s="2">
        <v>1.2631263996772701E-4</v>
      </c>
    </row>
    <row r="50541" spans="1:6" x14ac:dyDescent="0.25">
      <c r="A50541" s="1" t="str">
        <f t="shared" si="1593"/>
        <v>99999</v>
      </c>
      <c r="B50541" s="1" t="str">
        <f>"18462"</f>
        <v>18462</v>
      </c>
      <c r="C50541" s="2">
        <v>3.1287397371382199E-5</v>
      </c>
      <c r="D50541" s="2">
        <v>4.5171266858293203E-6</v>
      </c>
      <c r="E50541" s="2">
        <v>2.15052838482415E-5</v>
      </c>
      <c r="F50541" s="2">
        <v>2.9308479742511601E-5</v>
      </c>
    </row>
    <row r="50542" spans="1:6" x14ac:dyDescent="0.25">
      <c r="A50542" s="1" t="str">
        <f t="shared" si="1593"/>
        <v>99999</v>
      </c>
      <c r="B50542" s="1" t="str">
        <f>"18472"</f>
        <v>18472</v>
      </c>
      <c r="C50542" s="2">
        <v>2.11758301932262E-4</v>
      </c>
      <c r="D50542" s="2">
        <v>1.2949096499377299E-4</v>
      </c>
      <c r="E50542" s="2">
        <v>2.0214966817347E-4</v>
      </c>
      <c r="F50542" s="2">
        <v>2.0614617569732899E-4</v>
      </c>
    </row>
    <row r="50543" spans="1:6" x14ac:dyDescent="0.25">
      <c r="A50543" s="1" t="str">
        <f t="shared" si="1593"/>
        <v>99999</v>
      </c>
      <c r="B50543" s="1" t="str">
        <f>"18821"</f>
        <v>18821</v>
      </c>
      <c r="C50543" s="2">
        <v>5.5646097747025903E-5</v>
      </c>
      <c r="D50543" s="2">
        <v>4.3665557963016701E-5</v>
      </c>
      <c r="E50543" s="2">
        <v>1.2473064631979999E-4</v>
      </c>
      <c r="F50543" s="2">
        <v>5.6445960985577998E-5</v>
      </c>
    </row>
    <row r="50544" spans="1:6" x14ac:dyDescent="0.25">
      <c r="A50544" s="1" t="str">
        <f t="shared" si="1593"/>
        <v>99999</v>
      </c>
      <c r="B50544" s="1" t="str">
        <f>"18825"</f>
        <v>18825</v>
      </c>
      <c r="C50544" s="2">
        <v>8.3360885729980396E-6</v>
      </c>
      <c r="D50544" s="2">
        <v>4.5171266858293203E-6</v>
      </c>
      <c r="E50544" s="2">
        <v>0</v>
      </c>
      <c r="F50544" s="2">
        <v>7.8945399979829399E-6</v>
      </c>
    </row>
    <row r="50545" spans="1:6" x14ac:dyDescent="0.25">
      <c r="A50545" s="1" t="str">
        <f t="shared" si="1593"/>
        <v>99999</v>
      </c>
      <c r="B50545" s="1" t="str">
        <f>"18824"</f>
        <v>18824</v>
      </c>
      <c r="C50545" s="2">
        <v>6.4956534335049697E-5</v>
      </c>
      <c r="D50545" s="2">
        <v>1.80685067433172E-5</v>
      </c>
      <c r="E50545" s="2">
        <v>2.58063406178898E-5</v>
      </c>
      <c r="F50545" s="2">
        <v>6.0985321484418201E-5</v>
      </c>
    </row>
    <row r="50546" spans="1:6" x14ac:dyDescent="0.25">
      <c r="A50546" s="1" t="str">
        <f t="shared" si="1593"/>
        <v>99999</v>
      </c>
      <c r="B50546" s="1" t="str">
        <f>"22503"</f>
        <v>22503</v>
      </c>
      <c r="C50546" s="2">
        <v>2.5387178835948498E-4</v>
      </c>
      <c r="D50546" s="2">
        <v>8.5825407030757094E-5</v>
      </c>
      <c r="E50546" s="2">
        <v>1.72042270785932E-5</v>
      </c>
      <c r="F50546" s="2">
        <v>2.37428290439337E-4</v>
      </c>
    </row>
    <row r="50547" spans="1:6" x14ac:dyDescent="0.25">
      <c r="A50547" s="1" t="str">
        <f t="shared" si="1593"/>
        <v>99999</v>
      </c>
      <c r="B50547" s="1" t="str">
        <f>"22504"</f>
        <v>22504</v>
      </c>
      <c r="C50547" s="2">
        <v>2.0461308315540598E-5</v>
      </c>
      <c r="D50547" s="2">
        <v>6.0228355811057601E-6</v>
      </c>
      <c r="E50547" s="2">
        <v>4.3010567696482999E-6</v>
      </c>
      <c r="F50547" s="2">
        <v>1.91442594951086E-5</v>
      </c>
    </row>
    <row r="50548" spans="1:6" x14ac:dyDescent="0.25">
      <c r="A50548" s="1" t="str">
        <f t="shared" si="1593"/>
        <v>99999</v>
      </c>
      <c r="B50548" s="1" t="str">
        <f>"22657"</f>
        <v>22657</v>
      </c>
      <c r="C50548" s="2">
        <v>5.2484879742720105E-4</v>
      </c>
      <c r="D50548" s="2">
        <v>3.9600143945770302E-4</v>
      </c>
      <c r="E50548" s="2">
        <v>8.17200786233177E-4</v>
      </c>
      <c r="F50548" s="2">
        <v>5.2311195661634401E-4</v>
      </c>
    </row>
    <row r="50549" spans="1:6" x14ac:dyDescent="0.25">
      <c r="A50549" s="1" t="str">
        <f t="shared" si="1593"/>
        <v>99999</v>
      </c>
      <c r="B50549" s="1" t="str">
        <f>"23024"</f>
        <v>23024</v>
      </c>
      <c r="C50549" s="2">
        <v>3.8064529120339098E-4</v>
      </c>
      <c r="D50549" s="2">
        <v>6.0228355811057599E-5</v>
      </c>
      <c r="E50549" s="2">
        <v>4.3010567696482999E-6</v>
      </c>
      <c r="F50549" s="2">
        <v>3.5101098466031603E-4</v>
      </c>
    </row>
    <row r="50550" spans="1:6" x14ac:dyDescent="0.25">
      <c r="A50550" s="1" t="str">
        <f t="shared" si="1593"/>
        <v>99999</v>
      </c>
      <c r="B50550" s="1" t="str">
        <f>"23043"</f>
        <v>23043</v>
      </c>
      <c r="C50550" s="2">
        <v>1.06961759871715E-4</v>
      </c>
      <c r="D50550" s="2">
        <v>9.4859660402415704E-5</v>
      </c>
      <c r="E50550" s="2">
        <v>1.07526419241207E-4</v>
      </c>
      <c r="F50550" s="2">
        <v>1.0618156297287E-4</v>
      </c>
    </row>
    <row r="50551" spans="1:6" x14ac:dyDescent="0.25">
      <c r="A50551" s="1" t="str">
        <f t="shared" si="1593"/>
        <v>99999</v>
      </c>
      <c r="B50551" s="1" t="str">
        <f>"22845"</f>
        <v>22845</v>
      </c>
      <c r="C50551" s="2">
        <v>3.0313049356356498E-6</v>
      </c>
      <c r="D50551" s="2">
        <v>1.50570889527644E-6</v>
      </c>
      <c r="E50551" s="2">
        <v>4.3010567696482999E-6</v>
      </c>
      <c r="F50551" s="2">
        <v>2.9604524992435999E-6</v>
      </c>
    </row>
    <row r="50552" spans="1:6" x14ac:dyDescent="0.25">
      <c r="A50552" s="1" t="str">
        <f t="shared" si="1593"/>
        <v>99999</v>
      </c>
      <c r="B50552" s="1" t="str">
        <f>"23356"</f>
        <v>23356</v>
      </c>
      <c r="C50552" s="2">
        <v>1.13132630633544E-4</v>
      </c>
      <c r="D50552" s="2">
        <v>6.0228355811057601E-6</v>
      </c>
      <c r="E50552" s="2">
        <v>4.3010567696482999E-6</v>
      </c>
      <c r="F50552" s="2">
        <v>1.03615837473526E-4</v>
      </c>
    </row>
    <row r="50553" spans="1:6" x14ac:dyDescent="0.25">
      <c r="A50553" s="1" t="str">
        <f t="shared" si="1593"/>
        <v>99999</v>
      </c>
      <c r="B50553" s="1" t="str">
        <f>"23307"</f>
        <v>23307</v>
      </c>
      <c r="C50553" s="2">
        <v>1.9053916738281199E-5</v>
      </c>
      <c r="D50553" s="2">
        <v>7.5285444763821999E-6</v>
      </c>
      <c r="E50553" s="2">
        <v>0</v>
      </c>
      <c r="F50553" s="2">
        <v>1.7861396745436401E-5</v>
      </c>
    </row>
    <row r="50554" spans="1:6" x14ac:dyDescent="0.25">
      <c r="A50554" s="1" t="str">
        <f t="shared" si="1593"/>
        <v>99999</v>
      </c>
      <c r="B50554" s="1" t="str">
        <f>"24473"</f>
        <v>24473</v>
      </c>
      <c r="C50554" s="2">
        <v>5.4346967060324897E-5</v>
      </c>
      <c r="D50554" s="2">
        <v>9.0342533716586405E-6</v>
      </c>
      <c r="E50554" s="2">
        <v>8.6021135392965999E-6</v>
      </c>
      <c r="F50554" s="2">
        <v>5.0327692487141198E-5</v>
      </c>
    </row>
    <row r="50555" spans="1:6" x14ac:dyDescent="0.25">
      <c r="A50555" s="1" t="str">
        <f t="shared" si="1593"/>
        <v>99999</v>
      </c>
      <c r="B50555" s="1" t="str">
        <f>"23924"</f>
        <v>23924</v>
      </c>
      <c r="C50555" s="2">
        <v>3.5033224184703401E-4</v>
      </c>
      <c r="D50555" s="2">
        <v>3.82450059400215E-4</v>
      </c>
      <c r="E50555" s="2">
        <v>2.0645072494311799E-4</v>
      </c>
      <c r="F50555" s="2">
        <v>3.4913603141079503E-4</v>
      </c>
    </row>
    <row r="50556" spans="1:6" x14ac:dyDescent="0.25">
      <c r="A50556" s="1" t="str">
        <f t="shared" si="1593"/>
        <v>99999</v>
      </c>
      <c r="B50556" s="1" t="str">
        <f>"23920"</f>
        <v>23920</v>
      </c>
      <c r="C50556" s="2">
        <v>1.71160467972855E-4</v>
      </c>
      <c r="D50556" s="2">
        <v>3.01141779055288E-5</v>
      </c>
      <c r="E50556" s="2">
        <v>1.72042270785932E-5</v>
      </c>
      <c r="F50556" s="2">
        <v>1.5838420870953199E-4</v>
      </c>
    </row>
    <row r="50557" spans="1:6" x14ac:dyDescent="0.25">
      <c r="A50557" s="1" t="str">
        <f t="shared" si="1593"/>
        <v>99999</v>
      </c>
      <c r="B50557" s="1" t="str">
        <f>"23893"</f>
        <v>23893</v>
      </c>
      <c r="C50557" s="2">
        <v>2.7931309764071301E-5</v>
      </c>
      <c r="D50557" s="2">
        <v>3.01141779055288E-6</v>
      </c>
      <c r="E50557" s="2">
        <v>4.3010567696482999E-6</v>
      </c>
      <c r="F50557" s="2">
        <v>2.57559367434193E-5</v>
      </c>
    </row>
    <row r="50558" spans="1:6" x14ac:dyDescent="0.25">
      <c r="A50558" s="1" t="str">
        <f t="shared" si="1593"/>
        <v>99999</v>
      </c>
      <c r="B50558" s="1" t="str">
        <f>"23970"</f>
        <v>23970</v>
      </c>
      <c r="C50558" s="2">
        <v>4.6389791604281301E-4</v>
      </c>
      <c r="D50558" s="2">
        <v>9.4257376844305099E-4</v>
      </c>
      <c r="E50558" s="2">
        <v>4.8601941497025799E-4</v>
      </c>
      <c r="F50558" s="2">
        <v>4.9577711187332796E-4</v>
      </c>
    </row>
    <row r="50559" spans="1:6" x14ac:dyDescent="0.25">
      <c r="A50559" s="1" t="str">
        <f t="shared" si="1593"/>
        <v>99999</v>
      </c>
      <c r="B50559" s="1" t="str">
        <f>"24433"</f>
        <v>24433</v>
      </c>
      <c r="C50559" s="2">
        <v>1.4506959334827701E-5</v>
      </c>
      <c r="D50559" s="2">
        <v>1.50570889527644E-6</v>
      </c>
      <c r="E50559" s="2">
        <v>0</v>
      </c>
      <c r="F50559" s="2">
        <v>1.3322036246596199E-5</v>
      </c>
    </row>
    <row r="50560" spans="1:6" x14ac:dyDescent="0.25">
      <c r="A50560" s="1" t="str">
        <f t="shared" si="1593"/>
        <v>99999</v>
      </c>
      <c r="B50560" s="1" t="str">
        <f>"23845"</f>
        <v>23845</v>
      </c>
      <c r="C50560" s="2">
        <v>2.5224787500110899E-5</v>
      </c>
      <c r="D50560" s="2">
        <v>7.5285444763821999E-6</v>
      </c>
      <c r="E50560" s="2">
        <v>4.3010567696482999E-6</v>
      </c>
      <c r="F50560" s="2">
        <v>2.3584938243973999E-5</v>
      </c>
    </row>
    <row r="50561" spans="1:6" x14ac:dyDescent="0.25">
      <c r="A50561" s="1" t="str">
        <f t="shared" si="1593"/>
        <v>99999</v>
      </c>
      <c r="B50561" s="1" t="str">
        <f>"23857"</f>
        <v>23857</v>
      </c>
      <c r="C50561" s="2">
        <v>3.1612180043057497E-5</v>
      </c>
      <c r="D50561" s="2">
        <v>1.20456711622115E-5</v>
      </c>
      <c r="E50561" s="2">
        <v>8.6021135392965999E-6</v>
      </c>
      <c r="F50561" s="2">
        <v>2.9801888492385599E-5</v>
      </c>
    </row>
    <row r="50562" spans="1:6" x14ac:dyDescent="0.25">
      <c r="A50562" s="1" t="str">
        <f t="shared" si="1593"/>
        <v>99999</v>
      </c>
      <c r="B50562" s="1" t="str">
        <f>"24171"</f>
        <v>24171</v>
      </c>
      <c r="C50562" s="2">
        <v>4.5231400075306199E-4</v>
      </c>
      <c r="D50562" s="2">
        <v>3.4179591922775201E-4</v>
      </c>
      <c r="E50562" s="2">
        <v>1.67741214016283E-4</v>
      </c>
      <c r="F50562" s="2">
        <v>4.38541696887952E-4</v>
      </c>
    </row>
    <row r="50563" spans="1:6" x14ac:dyDescent="0.25">
      <c r="A50563" s="1" t="str">
        <f t="shared" si="1593"/>
        <v>99999</v>
      </c>
      <c r="B50563" s="1" t="str">
        <f>"24149"</f>
        <v>24149</v>
      </c>
      <c r="C50563" s="2">
        <v>4.6660443830677299E-5</v>
      </c>
      <c r="D50563" s="2">
        <v>1.50570889527644E-5</v>
      </c>
      <c r="E50563" s="2">
        <v>8.6021135392965999E-6</v>
      </c>
      <c r="F50563" s="2">
        <v>4.3716015238830501E-5</v>
      </c>
    </row>
    <row r="50564" spans="1:6" x14ac:dyDescent="0.25">
      <c r="A50564" s="1" t="str">
        <f t="shared" si="1593"/>
        <v>99999</v>
      </c>
      <c r="B50564" s="1" t="str">
        <f>"24091"</f>
        <v>24091</v>
      </c>
      <c r="C50564" s="2">
        <v>4.1290703658979902E-4</v>
      </c>
      <c r="D50564" s="2">
        <v>4.5773550416403698E-4</v>
      </c>
      <c r="E50564" s="2">
        <v>2.0645072494311799E-4</v>
      </c>
      <c r="F50564" s="2">
        <v>4.1110817039496098E-4</v>
      </c>
    </row>
    <row r="50565" spans="1:6" x14ac:dyDescent="0.25">
      <c r="A50565" s="1" t="str">
        <f t="shared" si="1593"/>
        <v>99999</v>
      </c>
      <c r="B50565" s="1" t="str">
        <f>"24076"</f>
        <v>24076</v>
      </c>
      <c r="C50565" s="2">
        <v>6.2033490289972406E-5</v>
      </c>
      <c r="D50565" s="2">
        <v>1.65627978480408E-5</v>
      </c>
      <c r="E50565" s="2">
        <v>4.3010567696482999E-6</v>
      </c>
      <c r="F50565" s="2">
        <v>5.7728823735250197E-5</v>
      </c>
    </row>
    <row r="50566" spans="1:6" x14ac:dyDescent="0.25">
      <c r="A50566" s="1" t="str">
        <f t="shared" ref="A50566:A50629" si="1594">"99999"</f>
        <v>99999</v>
      </c>
      <c r="B50566" s="1" t="str">
        <f>"24277"</f>
        <v>24277</v>
      </c>
      <c r="C50566" s="2">
        <v>2.83535272372491E-4</v>
      </c>
      <c r="D50566" s="2">
        <v>3.0565890574111697E-4</v>
      </c>
      <c r="E50566" s="2">
        <v>3.7849299572905002E-4</v>
      </c>
      <c r="F50566" s="2">
        <v>2.8716389242662902E-4</v>
      </c>
    </row>
    <row r="50567" spans="1:6" x14ac:dyDescent="0.25">
      <c r="A50567" s="1" t="str">
        <f t="shared" si="1594"/>
        <v>99999</v>
      </c>
      <c r="B50567" s="1" t="str">
        <f>"24256"</f>
        <v>24256</v>
      </c>
      <c r="C50567" s="2">
        <v>1.5362220370239199E-4</v>
      </c>
      <c r="D50567" s="2">
        <v>3.7642722381910999E-5</v>
      </c>
      <c r="E50567" s="2">
        <v>9.0322192162614306E-5</v>
      </c>
      <c r="F50567" s="2">
        <v>1.44568763713062E-4</v>
      </c>
    </row>
    <row r="50568" spans="1:6" x14ac:dyDescent="0.25">
      <c r="A50568" s="1" t="str">
        <f t="shared" si="1594"/>
        <v>99999</v>
      </c>
      <c r="B50568" s="1" t="str">
        <f>"24269"</f>
        <v>24269</v>
      </c>
      <c r="C50568" s="2">
        <v>1.33160895386851E-5</v>
      </c>
      <c r="D50568" s="2">
        <v>9.0342533716586405E-6</v>
      </c>
      <c r="E50568" s="2">
        <v>8.6021135392965999E-6</v>
      </c>
      <c r="F50568" s="2">
        <v>1.2927309246696999E-5</v>
      </c>
    </row>
    <row r="50569" spans="1:6" x14ac:dyDescent="0.25">
      <c r="A50569" s="1" t="str">
        <f t="shared" si="1594"/>
        <v>99999</v>
      </c>
      <c r="B50569" s="1" t="str">
        <f>"24328"</f>
        <v>24328</v>
      </c>
      <c r="C50569" s="2">
        <v>1.30995677575683E-4</v>
      </c>
      <c r="D50569" s="2">
        <v>8.7331115926033497E-5</v>
      </c>
      <c r="E50569" s="2">
        <v>4.3010567696482999E-6</v>
      </c>
      <c r="F50569" s="2">
        <v>1.2522714071800401E-4</v>
      </c>
    </row>
    <row r="50570" spans="1:6" x14ac:dyDescent="0.25">
      <c r="A50570" s="1" t="str">
        <f t="shared" si="1594"/>
        <v>99999</v>
      </c>
      <c r="B50570" s="1" t="str">
        <f>"24313"</f>
        <v>24313</v>
      </c>
      <c r="C50570" s="2">
        <v>3.83243552576793E-5</v>
      </c>
      <c r="D50570" s="2">
        <v>1.50570889527644E-5</v>
      </c>
      <c r="E50570" s="2">
        <v>4.3010567696482999E-6</v>
      </c>
      <c r="F50570" s="2">
        <v>3.6018838740797098E-5</v>
      </c>
    </row>
    <row r="50571" spans="1:6" x14ac:dyDescent="0.25">
      <c r="A50571" s="1" t="str">
        <f t="shared" si="1594"/>
        <v>99999</v>
      </c>
      <c r="B50571" s="1" t="str">
        <f>"24219"</f>
        <v>24219</v>
      </c>
      <c r="C50571" s="2">
        <v>4.9258705204079297E-5</v>
      </c>
      <c r="D50571" s="2">
        <v>4.5171266858293203E-6</v>
      </c>
      <c r="E50571" s="2">
        <v>0</v>
      </c>
      <c r="F50571" s="2">
        <v>4.5196241488452301E-5</v>
      </c>
    </row>
    <row r="50572" spans="1:6" x14ac:dyDescent="0.25">
      <c r="A50572" s="1" t="str">
        <f t="shared" si="1594"/>
        <v>99999</v>
      </c>
      <c r="B50572" s="1" t="str">
        <f>"24594"</f>
        <v>24594</v>
      </c>
      <c r="C50572" s="2">
        <v>2.9663484013005999E-5</v>
      </c>
      <c r="D50572" s="2">
        <v>1.35513800574879E-5</v>
      </c>
      <c r="E50572" s="2">
        <v>0</v>
      </c>
      <c r="F50572" s="2">
        <v>2.7926935242864601E-5</v>
      </c>
    </row>
    <row r="50573" spans="1:6" x14ac:dyDescent="0.25">
      <c r="A50573" s="1" t="str">
        <f t="shared" si="1594"/>
        <v>99999</v>
      </c>
      <c r="B50573" s="1" t="str">
        <f>"24577"</f>
        <v>24577</v>
      </c>
      <c r="C50573" s="2">
        <v>3.0724440740478501E-4</v>
      </c>
      <c r="D50573" s="2">
        <v>1.08411040459903E-4</v>
      </c>
      <c r="E50573" s="2">
        <v>1.29031703089449E-5</v>
      </c>
      <c r="F50573" s="2">
        <v>2.8745993767655299E-4</v>
      </c>
    </row>
    <row r="50574" spans="1:6" x14ac:dyDescent="0.25">
      <c r="A50574" s="1" t="str">
        <f t="shared" si="1594"/>
        <v>99999</v>
      </c>
      <c r="B50574" s="1" t="str">
        <f>"24590"</f>
        <v>24590</v>
      </c>
      <c r="C50574" s="2">
        <v>8.8990452039018007E-5</v>
      </c>
      <c r="D50574" s="2">
        <v>2.7102760114975901E-5</v>
      </c>
      <c r="E50574" s="2">
        <v>0</v>
      </c>
      <c r="F50574" s="2">
        <v>8.2892669978820895E-5</v>
      </c>
    </row>
    <row r="50575" spans="1:6" x14ac:dyDescent="0.25">
      <c r="A50575" s="1" t="str">
        <f t="shared" si="1594"/>
        <v>99999</v>
      </c>
      <c r="B50575" s="1" t="str">
        <f>"25276"</f>
        <v>25276</v>
      </c>
      <c r="C50575" s="2">
        <v>4.3834834587102699E-4</v>
      </c>
      <c r="D50575" s="2">
        <v>4.8634397317428999E-4</v>
      </c>
      <c r="E50575" s="2">
        <v>3.3548242803256698E-4</v>
      </c>
      <c r="F50575" s="2">
        <v>4.3913378738780098E-4</v>
      </c>
    </row>
    <row r="50576" spans="1:6" x14ac:dyDescent="0.25">
      <c r="A50576" s="1" t="str">
        <f t="shared" si="1594"/>
        <v>99999</v>
      </c>
      <c r="B50576" s="1" t="str">
        <f>"24966"</f>
        <v>24966</v>
      </c>
      <c r="C50576" s="2">
        <v>1.0966828213567501E-4</v>
      </c>
      <c r="D50576" s="2">
        <v>3.6137013486634501E-5</v>
      </c>
      <c r="E50576" s="2">
        <v>0</v>
      </c>
      <c r="F50576" s="2">
        <v>1.02332974723853E-4</v>
      </c>
    </row>
    <row r="50577" spans="1:6" x14ac:dyDescent="0.25">
      <c r="A50577" s="1" t="str">
        <f t="shared" si="1594"/>
        <v>99999</v>
      </c>
      <c r="B50577" s="1" t="str">
        <f>"24931"</f>
        <v>24931</v>
      </c>
      <c r="C50577" s="2">
        <v>1.1042610836958399E-4</v>
      </c>
      <c r="D50577" s="2">
        <v>2.4091342324423E-5</v>
      </c>
      <c r="E50577" s="2">
        <v>0</v>
      </c>
      <c r="F50577" s="2">
        <v>1.02234292973879E-4</v>
      </c>
    </row>
    <row r="50578" spans="1:6" x14ac:dyDescent="0.25">
      <c r="A50578" s="1" t="str">
        <f t="shared" si="1594"/>
        <v>99999</v>
      </c>
      <c r="B50578" s="1" t="str">
        <f>"24915"</f>
        <v>24915</v>
      </c>
      <c r="C50578" s="2">
        <v>3.0637832028031702E-5</v>
      </c>
      <c r="D50578" s="2">
        <v>6.0228355811057601E-6</v>
      </c>
      <c r="E50578" s="2">
        <v>4.3010567696482999E-6</v>
      </c>
      <c r="F50578" s="2">
        <v>2.84203439927386E-5</v>
      </c>
    </row>
    <row r="50579" spans="1:6" x14ac:dyDescent="0.25">
      <c r="A50579" s="1" t="str">
        <f t="shared" si="1594"/>
        <v>99999</v>
      </c>
      <c r="B50579" s="1" t="str">
        <f>"24818"</f>
        <v>24818</v>
      </c>
      <c r="C50579" s="2">
        <v>2.1760439002241601E-5</v>
      </c>
      <c r="D50579" s="2">
        <v>3.01141779055288E-6</v>
      </c>
      <c r="E50579" s="2">
        <v>0</v>
      </c>
      <c r="F50579" s="2">
        <v>2.0032395244881699E-5</v>
      </c>
    </row>
    <row r="50580" spans="1:6" x14ac:dyDescent="0.25">
      <c r="A50580" s="1" t="str">
        <f t="shared" si="1594"/>
        <v>99999</v>
      </c>
      <c r="B50580" s="1" t="str">
        <f>"25671"</f>
        <v>25671</v>
      </c>
      <c r="C50580" s="2">
        <v>7.3076101126930902E-5</v>
      </c>
      <c r="D50580" s="2">
        <v>6.0228355811057601E-6</v>
      </c>
      <c r="E50580" s="2">
        <v>4.3010567696482999E-6</v>
      </c>
      <c r="F50580" s="2">
        <v>6.7103589982854994E-5</v>
      </c>
    </row>
    <row r="50581" spans="1:6" x14ac:dyDescent="0.25">
      <c r="A50581" s="1" t="str">
        <f t="shared" si="1594"/>
        <v>99999</v>
      </c>
      <c r="B50581" s="1" t="str">
        <f>"25650"</f>
        <v>25650</v>
      </c>
      <c r="C50581" s="2">
        <v>2.1652178111683198E-6</v>
      </c>
      <c r="D50581" s="2">
        <v>1.50570889527644E-6</v>
      </c>
      <c r="E50581" s="2">
        <v>0</v>
      </c>
      <c r="F50581" s="2">
        <v>2.0723167494705202E-6</v>
      </c>
    </row>
    <row r="50582" spans="1:6" x14ac:dyDescent="0.25">
      <c r="A50582" s="1" t="str">
        <f t="shared" si="1594"/>
        <v>99999</v>
      </c>
      <c r="B50582" s="1" t="str">
        <f>"26416"</f>
        <v>26416</v>
      </c>
      <c r="C50582" s="2">
        <v>3.6873659324196498E-4</v>
      </c>
      <c r="D50582" s="2">
        <v>3.1770457690332799E-4</v>
      </c>
      <c r="E50582" s="2">
        <v>1.8064438432522799E-4</v>
      </c>
      <c r="F50582" s="2">
        <v>3.6107652315774401E-4</v>
      </c>
    </row>
    <row r="50583" spans="1:6" x14ac:dyDescent="0.25">
      <c r="A50583" s="1" t="str">
        <f t="shared" si="1594"/>
        <v>99999</v>
      </c>
      <c r="B50583" s="1" t="str">
        <f>"26335"</f>
        <v>26335</v>
      </c>
      <c r="C50583" s="2">
        <v>5.1748705686922899E-5</v>
      </c>
      <c r="D50583" s="2">
        <v>2.4091342324423E-5</v>
      </c>
      <c r="E50583" s="2">
        <v>1.72042270785932E-5</v>
      </c>
      <c r="F50583" s="2">
        <v>4.9143511487443803E-5</v>
      </c>
    </row>
    <row r="50584" spans="1:6" x14ac:dyDescent="0.25">
      <c r="A50584" s="1" t="str">
        <f t="shared" si="1594"/>
        <v>99999</v>
      </c>
      <c r="B50584" s="1" t="str">
        <f>"26337"</f>
        <v>26337</v>
      </c>
      <c r="C50584" s="2">
        <v>6.1383924946621903E-5</v>
      </c>
      <c r="D50584" s="2">
        <v>1.9574215638593701E-5</v>
      </c>
      <c r="E50584" s="2">
        <v>8.6021135392965999E-6</v>
      </c>
      <c r="F50584" s="2">
        <v>5.7432778485325901E-5</v>
      </c>
    </row>
    <row r="50585" spans="1:6" x14ac:dyDescent="0.25">
      <c r="A50585" s="1" t="str">
        <f t="shared" si="1594"/>
        <v>99999</v>
      </c>
      <c r="B50585" s="1" t="str">
        <f>"02554"</f>
        <v>02554</v>
      </c>
      <c r="C50585" s="2">
        <v>1.0744893387922799E-3</v>
      </c>
      <c r="D50585" s="2">
        <v>1.52980023760086E-3</v>
      </c>
      <c r="E50585" s="2">
        <v>9.2902826224403295E-4</v>
      </c>
      <c r="F50585" s="2">
        <v>1.10099228446869E-3</v>
      </c>
    </row>
    <row r="50586" spans="1:6" x14ac:dyDescent="0.25">
      <c r="A50586" s="1" t="str">
        <f t="shared" si="1594"/>
        <v>99999</v>
      </c>
      <c r="B50586" s="1" t="str">
        <f>"03254"</f>
        <v>03254</v>
      </c>
      <c r="C50586" s="2">
        <v>2.8104527188964801E-4</v>
      </c>
      <c r="D50586" s="2">
        <v>1.7466223185206699E-4</v>
      </c>
      <c r="E50586" s="2">
        <v>2.3655812233065599E-4</v>
      </c>
      <c r="F50586" s="2">
        <v>2.73052402180235E-4</v>
      </c>
    </row>
    <row r="50587" spans="1:6" x14ac:dyDescent="0.25">
      <c r="A50587" s="1" t="str">
        <f t="shared" si="1594"/>
        <v>99999</v>
      </c>
      <c r="B50587" s="1" t="str">
        <f>"03886"</f>
        <v>03886</v>
      </c>
      <c r="C50587" s="2">
        <v>7.5133058047540801E-5</v>
      </c>
      <c r="D50587" s="2">
        <v>9.0342533716586399E-5</v>
      </c>
      <c r="E50587" s="2">
        <v>3.8709510926834699E-5</v>
      </c>
      <c r="F50587" s="2">
        <v>7.5294175230762302E-5</v>
      </c>
    </row>
    <row r="50588" spans="1:6" x14ac:dyDescent="0.25">
      <c r="A50588" s="1" t="str">
        <f t="shared" si="1594"/>
        <v>99999</v>
      </c>
      <c r="B50588" s="1" t="str">
        <f>"04037"</f>
        <v>04037</v>
      </c>
      <c r="C50588" s="2">
        <v>1.9367873320900601E-4</v>
      </c>
      <c r="D50588" s="2">
        <v>2.2284491650091301E-4</v>
      </c>
      <c r="E50588" s="2">
        <v>3.7849299572905002E-4</v>
      </c>
      <c r="F50588" s="2">
        <v>1.9983054369894301E-4</v>
      </c>
    </row>
    <row r="50589" spans="1:6" x14ac:dyDescent="0.25">
      <c r="A50589" s="1" t="str">
        <f t="shared" si="1594"/>
        <v>99999</v>
      </c>
      <c r="B50589" s="1" t="str">
        <f>"04041"</f>
        <v>04041</v>
      </c>
      <c r="C50589" s="2">
        <v>7.8056102092617996E-5</v>
      </c>
      <c r="D50589" s="2">
        <v>3.01141779055288E-5</v>
      </c>
      <c r="E50589" s="2">
        <v>3.44084541571864E-5</v>
      </c>
      <c r="F50589" s="2">
        <v>7.3912630731115306E-5</v>
      </c>
    </row>
    <row r="50590" spans="1:6" x14ac:dyDescent="0.25">
      <c r="A50590" s="1" t="str">
        <f t="shared" si="1594"/>
        <v>99999</v>
      </c>
      <c r="B50590" s="1" t="str">
        <f>"04022"</f>
        <v>04022</v>
      </c>
      <c r="C50590" s="2">
        <v>6.8420882832919005E-5</v>
      </c>
      <c r="D50590" s="2">
        <v>2.1079924533870101E-5</v>
      </c>
      <c r="E50590" s="2">
        <v>1.29031703089449E-5</v>
      </c>
      <c r="F50590" s="2">
        <v>6.4044455733636605E-5</v>
      </c>
    </row>
    <row r="50591" spans="1:6" x14ac:dyDescent="0.25">
      <c r="A50591" s="1" t="str">
        <f t="shared" si="1594"/>
        <v>99999</v>
      </c>
      <c r="B50591" s="1" t="str">
        <f>"03814"</f>
        <v>03814</v>
      </c>
      <c r="C50591" s="2">
        <v>1.3608393943192901E-4</v>
      </c>
      <c r="D50591" s="2">
        <v>6.3239773601610501E-5</v>
      </c>
      <c r="E50591" s="2">
        <v>7.3117965084021106E-5</v>
      </c>
      <c r="F50591" s="2">
        <v>1.29865182966819E-4</v>
      </c>
    </row>
    <row r="50592" spans="1:6" x14ac:dyDescent="0.25">
      <c r="A50592" s="1" t="str">
        <f t="shared" si="1594"/>
        <v>99999</v>
      </c>
      <c r="B50592" s="1" t="str">
        <f>"03853"</f>
        <v>03853</v>
      </c>
      <c r="C50592" s="2">
        <v>3.4102180525900997E-5</v>
      </c>
      <c r="D50592" s="2">
        <v>9.0342533716586405E-6</v>
      </c>
      <c r="E50592" s="2">
        <v>1.29031703089449E-5</v>
      </c>
      <c r="F50592" s="2">
        <v>3.19728869918309E-5</v>
      </c>
    </row>
    <row r="50593" spans="1:6" x14ac:dyDescent="0.25">
      <c r="A50593" s="1" t="str">
        <f t="shared" si="1594"/>
        <v>99999</v>
      </c>
      <c r="B50593" s="1" t="str">
        <f>"04497"</f>
        <v>04497</v>
      </c>
      <c r="C50593" s="2">
        <v>2.1868699892800001E-5</v>
      </c>
      <c r="D50593" s="2">
        <v>1.35513800574879E-5</v>
      </c>
      <c r="E50593" s="2">
        <v>8.6021135392965999E-6</v>
      </c>
      <c r="F50593" s="2">
        <v>2.10192127446295E-5</v>
      </c>
    </row>
    <row r="50594" spans="1:6" x14ac:dyDescent="0.25">
      <c r="A50594" s="1" t="str">
        <f t="shared" si="1594"/>
        <v>99999</v>
      </c>
      <c r="B50594" s="1" t="str">
        <f>"04551"</f>
        <v>04551</v>
      </c>
      <c r="C50594" s="2">
        <v>4.6768704721235703E-5</v>
      </c>
      <c r="D50594" s="2">
        <v>1.50570889527644E-6</v>
      </c>
      <c r="E50594" s="2">
        <v>1.72042270785932E-5</v>
      </c>
      <c r="F50594" s="2">
        <v>4.31239247389818E-5</v>
      </c>
    </row>
    <row r="50595" spans="1:6" x14ac:dyDescent="0.25">
      <c r="A50595" s="1" t="str">
        <f t="shared" si="1594"/>
        <v>99999</v>
      </c>
      <c r="B50595" s="1" t="str">
        <f>"04424"</f>
        <v>04424</v>
      </c>
      <c r="C50595" s="2">
        <v>4.7634791845703101E-5</v>
      </c>
      <c r="D50595" s="2">
        <v>1.80685067433172E-5</v>
      </c>
      <c r="E50595" s="2">
        <v>1.29031703089449E-5</v>
      </c>
      <c r="F50595" s="2">
        <v>4.4900196238527903E-5</v>
      </c>
    </row>
    <row r="50596" spans="1:6" x14ac:dyDescent="0.25">
      <c r="A50596" s="1" t="str">
        <f t="shared" si="1594"/>
        <v>99999</v>
      </c>
      <c r="B50596" s="1" t="str">
        <f>"04438"</f>
        <v>04438</v>
      </c>
      <c r="C50596" s="2">
        <v>5.5321315075350597E-5</v>
      </c>
      <c r="D50596" s="2">
        <v>1.80685067433172E-5</v>
      </c>
      <c r="E50596" s="2">
        <v>8.1720078623317706E-5</v>
      </c>
      <c r="F50596" s="2">
        <v>5.3485508486334399E-5</v>
      </c>
    </row>
    <row r="50597" spans="1:6" x14ac:dyDescent="0.25">
      <c r="A50597" s="1" t="str">
        <f t="shared" si="1594"/>
        <v>99999</v>
      </c>
      <c r="B50597" s="1" t="str">
        <f>"04429"</f>
        <v>04429</v>
      </c>
      <c r="C50597" s="2">
        <v>8.5634364431707102E-5</v>
      </c>
      <c r="D50597" s="2">
        <v>2.55970512196994E-5</v>
      </c>
      <c r="E50597" s="2">
        <v>2.15052838482415E-5</v>
      </c>
      <c r="F50597" s="2">
        <v>8.0228262729501598E-5</v>
      </c>
    </row>
    <row r="50598" spans="1:6" x14ac:dyDescent="0.25">
      <c r="A50598" s="1" t="str">
        <f t="shared" si="1594"/>
        <v>99999</v>
      </c>
      <c r="B50598" s="1" t="str">
        <f>"04276"</f>
        <v>04276</v>
      </c>
      <c r="C50598" s="2">
        <v>3.54987460141046E-4</v>
      </c>
      <c r="D50598" s="2">
        <v>4.4568983300182603E-4</v>
      </c>
      <c r="E50598" s="2">
        <v>1.60429417507881E-3</v>
      </c>
      <c r="F50598" s="2">
        <v>3.8959554890045798E-4</v>
      </c>
    </row>
    <row r="50599" spans="1:6" x14ac:dyDescent="0.25">
      <c r="A50599" s="1" t="str">
        <f t="shared" si="1594"/>
        <v>99999</v>
      </c>
      <c r="B50599" s="1" t="str">
        <f>"04285"</f>
        <v>04285</v>
      </c>
      <c r="C50599" s="2">
        <v>2.4142178594526799E-5</v>
      </c>
      <c r="D50599" s="2">
        <v>6.0228355811057601E-6</v>
      </c>
      <c r="E50599" s="2">
        <v>4.3010567696482999E-6</v>
      </c>
      <c r="F50599" s="2">
        <v>2.2499438994251299E-5</v>
      </c>
    </row>
    <row r="50600" spans="1:6" x14ac:dyDescent="0.25">
      <c r="A50600" s="1" t="str">
        <f t="shared" si="1594"/>
        <v>99999</v>
      </c>
      <c r="B50600" s="1" t="str">
        <f>"04270"</f>
        <v>04270</v>
      </c>
      <c r="C50600" s="2">
        <v>3.1384832172884802E-4</v>
      </c>
      <c r="D50600" s="2">
        <v>2.2284491650091301E-4</v>
      </c>
      <c r="E50600" s="2">
        <v>1.03225362471559E-4</v>
      </c>
      <c r="F50600" s="2">
        <v>3.0305165417256999E-4</v>
      </c>
    </row>
    <row r="50601" spans="1:6" x14ac:dyDescent="0.25">
      <c r="A50601" s="1" t="str">
        <f t="shared" si="1594"/>
        <v>99999</v>
      </c>
      <c r="B50601" s="1" t="str">
        <f>"04406"</f>
        <v>04406</v>
      </c>
      <c r="C50601" s="2">
        <v>4.1680442864990198E-5</v>
      </c>
      <c r="D50601" s="2">
        <v>1.0539962266935E-5</v>
      </c>
      <c r="E50601" s="2">
        <v>1.29031703089449E-5</v>
      </c>
      <c r="F50601" s="2">
        <v>3.8979291240040697E-5</v>
      </c>
    </row>
    <row r="50602" spans="1:6" x14ac:dyDescent="0.25">
      <c r="A50602" s="1" t="str">
        <f t="shared" si="1594"/>
        <v>99999</v>
      </c>
      <c r="B50602" s="1" t="str">
        <f>"05046"</f>
        <v>05046</v>
      </c>
      <c r="C50602" s="2">
        <v>7.5349579828657594E-5</v>
      </c>
      <c r="D50602" s="2">
        <v>1.65627978480408E-5</v>
      </c>
      <c r="E50602" s="2">
        <v>6.0214794775076199E-5</v>
      </c>
      <c r="F50602" s="2">
        <v>7.1149541731821205E-5</v>
      </c>
    </row>
    <row r="50603" spans="1:6" x14ac:dyDescent="0.25">
      <c r="A50603" s="1" t="str">
        <f t="shared" si="1594"/>
        <v>99999</v>
      </c>
      <c r="B50603" s="1" t="str">
        <f>"04736"</f>
        <v>04736</v>
      </c>
      <c r="C50603" s="2">
        <v>5.1294009946577495E-4</v>
      </c>
      <c r="D50603" s="2">
        <v>6.2486919153972203E-4</v>
      </c>
      <c r="E50603" s="2">
        <v>1.4752624719893599E-3</v>
      </c>
      <c r="F50603" s="2">
        <v>5.4235489786142799E-4</v>
      </c>
    </row>
    <row r="50604" spans="1:6" x14ac:dyDescent="0.25">
      <c r="A50604" s="1" t="str">
        <f t="shared" si="1594"/>
        <v>99999</v>
      </c>
      <c r="B50604" s="1" t="str">
        <f>"04848"</f>
        <v>04848</v>
      </c>
      <c r="C50604" s="2">
        <v>4.8067835407936702E-5</v>
      </c>
      <c r="D50604" s="2">
        <v>2.4091342324423E-5</v>
      </c>
      <c r="E50604" s="2">
        <v>2.58063406178898E-5</v>
      </c>
      <c r="F50604" s="2">
        <v>4.5985695488250603E-5</v>
      </c>
    </row>
    <row r="50605" spans="1:6" x14ac:dyDescent="0.25">
      <c r="A50605" s="1" t="str">
        <f t="shared" si="1594"/>
        <v>99999</v>
      </c>
      <c r="B50605" s="1" t="str">
        <f>"04774"</f>
        <v>04774</v>
      </c>
      <c r="C50605" s="2">
        <v>4.46034869100674E-5</v>
      </c>
      <c r="D50605" s="2">
        <v>2.8608469010252301E-5</v>
      </c>
      <c r="E50605" s="2">
        <v>7.3117965084021106E-5</v>
      </c>
      <c r="F50605" s="2">
        <v>4.4209423988704398E-5</v>
      </c>
    </row>
    <row r="50606" spans="1:6" x14ac:dyDescent="0.25">
      <c r="A50606" s="1" t="str">
        <f t="shared" si="1594"/>
        <v>99999</v>
      </c>
      <c r="B50606" s="1" t="str">
        <f>"04863"</f>
        <v>04863</v>
      </c>
      <c r="C50606" s="2">
        <v>6.1059142274946706E-5</v>
      </c>
      <c r="D50606" s="2">
        <v>1.0539962266935E-5</v>
      </c>
      <c r="E50606" s="2">
        <v>3.44084541571864E-5</v>
      </c>
      <c r="F50606" s="2">
        <v>5.7136733235401503E-5</v>
      </c>
    </row>
    <row r="50607" spans="1:6" x14ac:dyDescent="0.25">
      <c r="A50607" s="1" t="str">
        <f t="shared" si="1594"/>
        <v>99999</v>
      </c>
      <c r="B50607" s="1" t="str">
        <f>"04757"</f>
        <v>04757</v>
      </c>
      <c r="C50607" s="2">
        <v>1.1703002269364701E-4</v>
      </c>
      <c r="D50607" s="2">
        <v>2.4091342324423E-5</v>
      </c>
      <c r="E50607" s="2">
        <v>3.8709510926834699E-5</v>
      </c>
      <c r="F50607" s="2">
        <v>1.0914201547211399E-4</v>
      </c>
    </row>
    <row r="50608" spans="1:6" x14ac:dyDescent="0.25">
      <c r="A50608" s="1" t="str">
        <f t="shared" si="1594"/>
        <v>99999</v>
      </c>
      <c r="B50608" s="1" t="str">
        <f>"04979"</f>
        <v>04979</v>
      </c>
      <c r="C50608" s="2">
        <v>5.5321315075350597E-5</v>
      </c>
      <c r="D50608" s="2">
        <v>1.65627978480408E-5</v>
      </c>
      <c r="E50608" s="2">
        <v>6.0214794775076199E-5</v>
      </c>
      <c r="F50608" s="2">
        <v>5.2893417986485698E-5</v>
      </c>
    </row>
    <row r="50609" spans="1:6" x14ac:dyDescent="0.25">
      <c r="A50609" s="1" t="str">
        <f t="shared" si="1594"/>
        <v>99999</v>
      </c>
      <c r="B50609" s="1" t="str">
        <f>"04929"</f>
        <v>04929</v>
      </c>
      <c r="C50609" s="2">
        <v>4.3520878004483202E-5</v>
      </c>
      <c r="D50609" s="2">
        <v>2.25856334291466E-5</v>
      </c>
      <c r="E50609" s="2">
        <v>1.3333275985909701E-4</v>
      </c>
      <c r="F50609" s="2">
        <v>4.4209423988704398E-5</v>
      </c>
    </row>
    <row r="50610" spans="1:6" x14ac:dyDescent="0.25">
      <c r="A50610" s="1" t="str">
        <f t="shared" si="1594"/>
        <v>99999</v>
      </c>
      <c r="B50610" s="1" t="str">
        <f>"04970"</f>
        <v>04970</v>
      </c>
      <c r="C50610" s="2">
        <v>5.7161750214843702E-5</v>
      </c>
      <c r="D50610" s="2">
        <v>4.2159849067740298E-5</v>
      </c>
      <c r="E50610" s="2">
        <v>3.8709510926834699E-5</v>
      </c>
      <c r="F50610" s="2">
        <v>5.57551887357545E-5</v>
      </c>
    </row>
    <row r="50611" spans="1:6" x14ac:dyDescent="0.25">
      <c r="A50611" s="1" t="str">
        <f t="shared" si="1594"/>
        <v>99999</v>
      </c>
      <c r="B50611" s="1" t="str">
        <f>"04576"</f>
        <v>04576</v>
      </c>
      <c r="C50611" s="2">
        <v>4.7201748283469398E-5</v>
      </c>
      <c r="D50611" s="2">
        <v>1.0539962266935E-5</v>
      </c>
      <c r="E50611" s="2">
        <v>8.6021135392965999E-6</v>
      </c>
      <c r="F50611" s="2">
        <v>4.3913378738780102E-5</v>
      </c>
    </row>
    <row r="50612" spans="1:6" x14ac:dyDescent="0.25">
      <c r="A50612" s="1" t="str">
        <f t="shared" si="1594"/>
        <v>99999</v>
      </c>
      <c r="B50612" s="1" t="str">
        <f>"04622"</f>
        <v>04622</v>
      </c>
      <c r="C50612" s="2">
        <v>8.2603059496071503E-5</v>
      </c>
      <c r="D50612" s="2">
        <v>5.1194102439398901E-5</v>
      </c>
      <c r="E50612" s="2">
        <v>9.4623248932262599E-5</v>
      </c>
      <c r="F50612" s="2">
        <v>8.0820353229350299E-5</v>
      </c>
    </row>
    <row r="50613" spans="1:6" x14ac:dyDescent="0.25">
      <c r="A50613" s="1" t="str">
        <f t="shared" si="1594"/>
        <v>99999</v>
      </c>
      <c r="B50613" s="1" t="str">
        <f>"04631"</f>
        <v>04631</v>
      </c>
      <c r="C50613" s="2">
        <v>1.1952002317649099E-4</v>
      </c>
      <c r="D50613" s="2">
        <v>1.7466223185206699E-4</v>
      </c>
      <c r="E50613" s="2">
        <v>1.5483804370733801E-4</v>
      </c>
      <c r="F50613" s="2">
        <v>1.2394427796833199E-4</v>
      </c>
    </row>
    <row r="50614" spans="1:6" x14ac:dyDescent="0.25">
      <c r="A50614" s="1" t="str">
        <f t="shared" si="1594"/>
        <v>99999</v>
      </c>
      <c r="B50614" s="1" t="str">
        <f>"04564"</f>
        <v>04564</v>
      </c>
      <c r="C50614" s="2">
        <v>3.1936962714732702E-5</v>
      </c>
      <c r="D50614" s="2">
        <v>1.50570889527644E-5</v>
      </c>
      <c r="E50614" s="2">
        <v>1.29031703089449E-5</v>
      </c>
      <c r="F50614" s="2">
        <v>3.03939789922343E-5</v>
      </c>
    </row>
    <row r="50615" spans="1:6" x14ac:dyDescent="0.25">
      <c r="A50615" s="1" t="str">
        <f t="shared" si="1594"/>
        <v>99999</v>
      </c>
      <c r="B50615" s="1" t="str">
        <f>"05653"</f>
        <v>05653</v>
      </c>
      <c r="C50615" s="2">
        <v>2.23017434550337E-5</v>
      </c>
      <c r="D50615" s="2">
        <v>3.01141779055288E-6</v>
      </c>
      <c r="E50615" s="2">
        <v>1.29031703089449E-5</v>
      </c>
      <c r="F50615" s="2">
        <v>2.082184924468E-5</v>
      </c>
    </row>
    <row r="50616" spans="1:6" x14ac:dyDescent="0.25">
      <c r="A50616" s="1" t="str">
        <f t="shared" si="1594"/>
        <v>99999</v>
      </c>
      <c r="B50616" s="1" t="str">
        <f>"05443"</f>
        <v>05443</v>
      </c>
      <c r="C50616" s="2">
        <v>3.34526151825505E-4</v>
      </c>
      <c r="D50616" s="2">
        <v>2.7253331004503499E-4</v>
      </c>
      <c r="E50616" s="2">
        <v>4.4300884727377501E-4</v>
      </c>
      <c r="F50616" s="2">
        <v>3.3295222441493002E-4</v>
      </c>
    </row>
    <row r="50617" spans="1:6" x14ac:dyDescent="0.25">
      <c r="A50617" s="1" t="str">
        <f t="shared" si="1594"/>
        <v>99999</v>
      </c>
      <c r="B50617" s="1" t="str">
        <f>"05487"</f>
        <v>05487</v>
      </c>
      <c r="C50617" s="2">
        <v>7.0910883315762505E-5</v>
      </c>
      <c r="D50617" s="2">
        <v>1.0539962266935E-5</v>
      </c>
      <c r="E50617" s="2">
        <v>2.15052838482415E-5</v>
      </c>
      <c r="F50617" s="2">
        <v>6.5820727233182802E-5</v>
      </c>
    </row>
    <row r="50618" spans="1:6" x14ac:dyDescent="0.25">
      <c r="A50618" s="1" t="str">
        <f t="shared" si="1594"/>
        <v>99999</v>
      </c>
      <c r="B50618" s="1" t="str">
        <f>"05345"</f>
        <v>05345</v>
      </c>
      <c r="C50618" s="2">
        <v>7.56743625003329E-5</v>
      </c>
      <c r="D50618" s="2">
        <v>2.4091342324423E-5</v>
      </c>
      <c r="E50618" s="2">
        <v>3.01073973875381E-5</v>
      </c>
      <c r="F50618" s="2">
        <v>7.1248223481795996E-5</v>
      </c>
    </row>
    <row r="50619" spans="1:6" x14ac:dyDescent="0.25">
      <c r="A50619" s="1" t="str">
        <f t="shared" si="1594"/>
        <v>99999</v>
      </c>
      <c r="B50619" s="1" t="str">
        <f>"05905"</f>
        <v>05905</v>
      </c>
      <c r="C50619" s="2">
        <v>4.7310009174027802E-5</v>
      </c>
      <c r="D50619" s="2">
        <v>1.0539962266935E-5</v>
      </c>
      <c r="E50619" s="2">
        <v>0</v>
      </c>
      <c r="F50619" s="2">
        <v>4.3814696988805298E-5</v>
      </c>
    </row>
    <row r="50620" spans="1:6" x14ac:dyDescent="0.25">
      <c r="A50620" s="1" t="str">
        <f t="shared" si="1594"/>
        <v>99999</v>
      </c>
      <c r="B50620" s="1" t="str">
        <f>"05873"</f>
        <v>05873</v>
      </c>
      <c r="C50620" s="2">
        <v>3.30195716203169E-5</v>
      </c>
      <c r="D50620" s="2">
        <v>6.0228355811057601E-6</v>
      </c>
      <c r="E50620" s="2">
        <v>1.29031703089449E-5</v>
      </c>
      <c r="F50620" s="2">
        <v>3.0788705992133397E-5</v>
      </c>
    </row>
    <row r="50621" spans="1:6" x14ac:dyDescent="0.25">
      <c r="A50621" s="1" t="str">
        <f t="shared" si="1594"/>
        <v>99999</v>
      </c>
      <c r="B50621" s="1" t="str">
        <f>"05825"</f>
        <v>05825</v>
      </c>
      <c r="C50621" s="2">
        <v>4.7634791845703099E-6</v>
      </c>
      <c r="D50621" s="2">
        <v>1.50570889527644E-6</v>
      </c>
      <c r="E50621" s="2">
        <v>8.6021135392965999E-6</v>
      </c>
      <c r="F50621" s="2">
        <v>4.6380422488149798E-6</v>
      </c>
    </row>
    <row r="50622" spans="1:6" x14ac:dyDescent="0.25">
      <c r="A50622" s="1" t="str">
        <f t="shared" si="1594"/>
        <v>99999</v>
      </c>
      <c r="B50622" s="1" t="str">
        <f>"05867"</f>
        <v>05867</v>
      </c>
      <c r="C50622" s="2">
        <v>3.75665290237704E-5</v>
      </c>
      <c r="D50622" s="2">
        <v>7.5285444763821999E-6</v>
      </c>
      <c r="E50622" s="2">
        <v>0</v>
      </c>
      <c r="F50622" s="2">
        <v>3.4735975991124899E-5</v>
      </c>
    </row>
    <row r="50623" spans="1:6" x14ac:dyDescent="0.25">
      <c r="A50623" s="1" t="str">
        <f t="shared" si="1594"/>
        <v>99999</v>
      </c>
      <c r="B50623" s="1" t="str">
        <f>"05829"</f>
        <v>05829</v>
      </c>
      <c r="C50623" s="2">
        <v>9.1588713412420005E-5</v>
      </c>
      <c r="D50623" s="2">
        <v>7.5285444763821999E-5</v>
      </c>
      <c r="E50623" s="2">
        <v>1.4623593016804199E-4</v>
      </c>
      <c r="F50623" s="2">
        <v>9.1774027476551707E-5</v>
      </c>
    </row>
    <row r="50624" spans="1:6" x14ac:dyDescent="0.25">
      <c r="A50624" s="1" t="str">
        <f t="shared" si="1594"/>
        <v>99999</v>
      </c>
      <c r="B50624" s="1" t="str">
        <f>"05846"</f>
        <v>05846</v>
      </c>
      <c r="C50624" s="2">
        <v>6.2033490289972406E-5</v>
      </c>
      <c r="D50624" s="2">
        <v>9.0342533716586405E-6</v>
      </c>
      <c r="E50624" s="2">
        <v>4.3010567696482999E-5</v>
      </c>
      <c r="F50624" s="2">
        <v>5.8123550735149399E-5</v>
      </c>
    </row>
    <row r="50625" spans="1:6" x14ac:dyDescent="0.25">
      <c r="A50625" s="1" t="str">
        <f t="shared" si="1594"/>
        <v>99999</v>
      </c>
      <c r="B50625" s="1" t="str">
        <f>"05819"</f>
        <v>05819</v>
      </c>
      <c r="C50625" s="2">
        <v>4.59567480420476E-4</v>
      </c>
      <c r="D50625" s="2">
        <v>9.6967652855802704E-4</v>
      </c>
      <c r="E50625" s="2">
        <v>2.55912877794074E-3</v>
      </c>
      <c r="F50625" s="2">
        <v>5.4117071686173002E-4</v>
      </c>
    </row>
    <row r="50626" spans="1:6" x14ac:dyDescent="0.25">
      <c r="A50626" s="1" t="str">
        <f t="shared" si="1594"/>
        <v>99999</v>
      </c>
      <c r="B50626" s="1" t="str">
        <f>"12470"</f>
        <v>12470</v>
      </c>
      <c r="C50626" s="2">
        <v>3.7025224570978301E-5</v>
      </c>
      <c r="D50626" s="2">
        <v>3.01141779055288E-6</v>
      </c>
      <c r="E50626" s="2">
        <v>8.6021135392965999E-5</v>
      </c>
      <c r="F50626" s="2">
        <v>3.5920156990822301E-5</v>
      </c>
    </row>
    <row r="50627" spans="1:6" x14ac:dyDescent="0.25">
      <c r="A50627" s="1" t="str">
        <f t="shared" si="1594"/>
        <v>99999</v>
      </c>
      <c r="B50627" s="1" t="str">
        <f>"12422"</f>
        <v>12422</v>
      </c>
      <c r="C50627" s="2">
        <v>1.7971307832697E-5</v>
      </c>
      <c r="D50627" s="2">
        <v>1.20456711622115E-5</v>
      </c>
      <c r="E50627" s="2">
        <v>1.72042270785932E-5</v>
      </c>
      <c r="F50627" s="2">
        <v>1.7565351495512E-5</v>
      </c>
    </row>
    <row r="50628" spans="1:6" x14ac:dyDescent="0.25">
      <c r="A50628" s="1" t="str">
        <f t="shared" si="1594"/>
        <v>99999</v>
      </c>
      <c r="B50628" s="1" t="str">
        <f>"12786"</f>
        <v>12786</v>
      </c>
      <c r="C50628" s="2">
        <v>2.94469622318891E-5</v>
      </c>
      <c r="D50628" s="2">
        <v>4.3665557963016701E-5</v>
      </c>
      <c r="E50628" s="2">
        <v>5.1612681235779599E-5</v>
      </c>
      <c r="F50628" s="2">
        <v>3.0887387742108201E-5</v>
      </c>
    </row>
    <row r="50629" spans="1:6" x14ac:dyDescent="0.25">
      <c r="A50629" s="1" t="str">
        <f t="shared" si="1594"/>
        <v>99999</v>
      </c>
      <c r="B50629" s="1" t="str">
        <f>"12762"</f>
        <v>12762</v>
      </c>
      <c r="C50629" s="2">
        <v>8.0113059013227898E-6</v>
      </c>
      <c r="D50629" s="2">
        <v>1.35513800574879E-5</v>
      </c>
      <c r="E50629" s="2">
        <v>2.58063406178898E-5</v>
      </c>
      <c r="F50629" s="2">
        <v>8.7826757477560201E-6</v>
      </c>
    </row>
    <row r="50630" spans="1:6" x14ac:dyDescent="0.25">
      <c r="A50630" s="1" t="str">
        <f t="shared" ref="A50630:A50648" si="1595">"99999"</f>
        <v>99999</v>
      </c>
      <c r="B50630" s="1" t="str">
        <f>"12777"</f>
        <v>12777</v>
      </c>
      <c r="C50630" s="2">
        <v>4.7851313626819901E-5</v>
      </c>
      <c r="D50630" s="2">
        <v>2.1079924533870101E-5</v>
      </c>
      <c r="E50630" s="2">
        <v>4.3010567696482999E-6</v>
      </c>
      <c r="F50630" s="2">
        <v>4.5097559738477497E-5</v>
      </c>
    </row>
    <row r="50631" spans="1:6" x14ac:dyDescent="0.25">
      <c r="A50631" s="1" t="str">
        <f t="shared" si="1595"/>
        <v>99999</v>
      </c>
      <c r="B50631" s="1" t="str">
        <f>"12870"</f>
        <v>12870</v>
      </c>
      <c r="C50631" s="2">
        <v>7.6215666953124904E-5</v>
      </c>
      <c r="D50631" s="2">
        <v>5.8722646915781101E-5</v>
      </c>
      <c r="E50631" s="2">
        <v>4.3010567696482999E-5</v>
      </c>
      <c r="F50631" s="2">
        <v>7.4307357731014399E-5</v>
      </c>
    </row>
    <row r="50632" spans="1:6" x14ac:dyDescent="0.25">
      <c r="A50632" s="1" t="str">
        <f t="shared" si="1595"/>
        <v>99999</v>
      </c>
      <c r="B50632" s="1" t="str">
        <f>"12996"</f>
        <v>12996</v>
      </c>
      <c r="C50632" s="2">
        <v>1.08369151448974E-4</v>
      </c>
      <c r="D50632" s="2">
        <v>3.9148431277187403E-5</v>
      </c>
      <c r="E50632" s="2">
        <v>5.1612681235779599E-5</v>
      </c>
      <c r="F50632" s="2">
        <v>1.0253033822380301E-4</v>
      </c>
    </row>
    <row r="50633" spans="1:6" x14ac:dyDescent="0.25">
      <c r="A50633" s="1" t="str">
        <f t="shared" si="1595"/>
        <v>99999</v>
      </c>
      <c r="B50633" s="1" t="str">
        <f>"13343"</f>
        <v>13343</v>
      </c>
      <c r="C50633" s="2">
        <v>8.87739302579012E-5</v>
      </c>
      <c r="D50633" s="2">
        <v>2.1079924533870101E-5</v>
      </c>
      <c r="E50633" s="2">
        <v>3.8709510926834699E-5</v>
      </c>
      <c r="F50633" s="2">
        <v>8.3188715228745198E-5</v>
      </c>
    </row>
    <row r="50634" spans="1:6" x14ac:dyDescent="0.25">
      <c r="A50634" s="1" t="str">
        <f t="shared" si="1595"/>
        <v>99999</v>
      </c>
      <c r="B50634" s="1" t="str">
        <f>"13411"</f>
        <v>13411</v>
      </c>
      <c r="C50634" s="2">
        <v>6.9286969957386301E-5</v>
      </c>
      <c r="D50634" s="2">
        <v>2.7102760114975901E-5</v>
      </c>
      <c r="E50634" s="2">
        <v>5.5913738005427899E-5</v>
      </c>
      <c r="F50634" s="2">
        <v>6.6215454233081896E-5</v>
      </c>
    </row>
    <row r="50635" spans="1:6" x14ac:dyDescent="0.25">
      <c r="A50635" s="1" t="str">
        <f t="shared" si="1595"/>
        <v>99999</v>
      </c>
      <c r="B50635" s="1" t="str">
        <f>"13778"</f>
        <v>13778</v>
      </c>
      <c r="C50635" s="2">
        <v>2.81478315451882E-4</v>
      </c>
      <c r="D50635" s="2">
        <v>2.2585633429146601E-4</v>
      </c>
      <c r="E50635" s="2">
        <v>4.51610960813071E-4</v>
      </c>
      <c r="F50635" s="2">
        <v>2.81736396178016E-4</v>
      </c>
    </row>
    <row r="50636" spans="1:6" x14ac:dyDescent="0.25">
      <c r="A50636" s="1" t="str">
        <f t="shared" si="1595"/>
        <v>99999</v>
      </c>
      <c r="B50636" s="1" t="str">
        <f>"13838"</f>
        <v>13838</v>
      </c>
      <c r="C50636" s="2">
        <v>2.4142178594526801E-4</v>
      </c>
      <c r="D50636" s="2">
        <v>3.4781875480885697E-4</v>
      </c>
      <c r="E50636" s="2">
        <v>4.9892258527920298E-4</v>
      </c>
      <c r="F50636" s="2">
        <v>2.5430286968502498E-4</v>
      </c>
    </row>
    <row r="50637" spans="1:6" x14ac:dyDescent="0.25">
      <c r="A50637" s="1" t="str">
        <f t="shared" si="1595"/>
        <v>99999</v>
      </c>
      <c r="B50637" s="1" t="str">
        <f>"13780"</f>
        <v>13780</v>
      </c>
      <c r="C50637" s="2">
        <v>4.6227400268443698E-5</v>
      </c>
      <c r="D50637" s="2">
        <v>3.01141779055288E-6</v>
      </c>
      <c r="E50637" s="2">
        <v>8.6021135392965999E-6</v>
      </c>
      <c r="F50637" s="2">
        <v>4.25318342391331E-5</v>
      </c>
    </row>
    <row r="50638" spans="1:6" x14ac:dyDescent="0.25">
      <c r="A50638" s="1" t="str">
        <f t="shared" si="1595"/>
        <v>99999</v>
      </c>
      <c r="B50638" s="1" t="str">
        <f>"13801"</f>
        <v>13801</v>
      </c>
      <c r="C50638" s="2">
        <v>7.4808275375865495E-5</v>
      </c>
      <c r="D50638" s="2">
        <v>1.50570889527644E-6</v>
      </c>
      <c r="E50638" s="2">
        <v>4.3010567696482999E-6</v>
      </c>
      <c r="F50638" s="2">
        <v>6.83864527325272E-5</v>
      </c>
    </row>
    <row r="50639" spans="1:6" x14ac:dyDescent="0.25">
      <c r="A50639" s="1" t="str">
        <f t="shared" si="1595"/>
        <v>99999</v>
      </c>
      <c r="B50639" s="1" t="str">
        <f>"13730"</f>
        <v>13730</v>
      </c>
      <c r="C50639" s="2">
        <v>1.3695002655639599E-4</v>
      </c>
      <c r="D50639" s="2">
        <v>5.1194102439398901E-5</v>
      </c>
      <c r="E50639" s="2">
        <v>4.7311624466131299E-5</v>
      </c>
      <c r="F50639" s="2">
        <v>1.2927309246696999E-4</v>
      </c>
    </row>
    <row r="50640" spans="1:6" x14ac:dyDescent="0.25">
      <c r="A50640" s="1" t="str">
        <f t="shared" si="1595"/>
        <v>99999</v>
      </c>
      <c r="B50640" s="1" t="str">
        <f>"13460"</f>
        <v>13460</v>
      </c>
      <c r="C50640" s="2">
        <v>1.7949655654585399E-4</v>
      </c>
      <c r="D50640" s="2">
        <v>1.0539962266935E-4</v>
      </c>
      <c r="E50640" s="2">
        <v>1.5053698693768999E-4</v>
      </c>
      <c r="F50640" s="2">
        <v>1.7397592520554899E-4</v>
      </c>
    </row>
    <row r="50641" spans="1:6" x14ac:dyDescent="0.25">
      <c r="A50641" s="1" t="str">
        <f t="shared" si="1595"/>
        <v>99999</v>
      </c>
      <c r="B50641" s="1" t="str">
        <f>"13489"</f>
        <v>13489</v>
      </c>
      <c r="C50641" s="2">
        <v>1.9053916738281199E-5</v>
      </c>
      <c r="D50641" s="2">
        <v>6.0228355811057601E-6</v>
      </c>
      <c r="E50641" s="2">
        <v>4.3010567696482999E-6</v>
      </c>
      <c r="F50641" s="2">
        <v>1.7861396745436401E-5</v>
      </c>
    </row>
    <row r="50642" spans="1:6" x14ac:dyDescent="0.25">
      <c r="A50642" s="1" t="str">
        <f t="shared" si="1595"/>
        <v>99999</v>
      </c>
      <c r="B50642" s="1" t="str">
        <f>"14167"</f>
        <v>14167</v>
      </c>
      <c r="C50642" s="2">
        <v>7.6323927843683295E-5</v>
      </c>
      <c r="D50642" s="2">
        <v>6.6251191392163294E-5</v>
      </c>
      <c r="E50642" s="2">
        <v>7.3117965084021106E-5</v>
      </c>
      <c r="F50642" s="2">
        <v>7.5590220480686605E-5</v>
      </c>
    </row>
    <row r="50643" spans="1:6" x14ac:dyDescent="0.25">
      <c r="A50643" s="1" t="str">
        <f t="shared" si="1595"/>
        <v>99999</v>
      </c>
      <c r="B50643" s="1" t="str">
        <f>"13842"</f>
        <v>13842</v>
      </c>
      <c r="C50643" s="2">
        <v>2.3384352360617801E-5</v>
      </c>
      <c r="D50643" s="2">
        <v>1.0539962266935E-5</v>
      </c>
      <c r="E50643" s="2">
        <v>1.29031703089449E-5</v>
      </c>
      <c r="F50643" s="2">
        <v>2.23020754943018E-5</v>
      </c>
    </row>
    <row r="50644" spans="1:6" x14ac:dyDescent="0.25">
      <c r="A50644" s="1" t="str">
        <f t="shared" si="1595"/>
        <v>99999</v>
      </c>
      <c r="B50644" s="1" t="str">
        <f>"14846"</f>
        <v>14846</v>
      </c>
      <c r="C50644" s="2">
        <v>8.3360885729980396E-6</v>
      </c>
      <c r="D50644" s="2">
        <v>0</v>
      </c>
      <c r="E50644" s="2">
        <v>0</v>
      </c>
      <c r="F50644" s="2">
        <v>7.5984947480585801E-6</v>
      </c>
    </row>
    <row r="50645" spans="1:6" x14ac:dyDescent="0.25">
      <c r="A50645" s="1" t="str">
        <f t="shared" si="1595"/>
        <v>99999</v>
      </c>
      <c r="B50645" s="1" t="str">
        <f>"14869"</f>
        <v>14869</v>
      </c>
      <c r="C50645" s="2">
        <v>5.6945228433726902E-5</v>
      </c>
      <c r="D50645" s="2">
        <v>3.6137013486634501E-5</v>
      </c>
      <c r="E50645" s="2">
        <v>2.58063406178898E-5</v>
      </c>
      <c r="F50645" s="2">
        <v>5.4867052985981401E-5</v>
      </c>
    </row>
    <row r="50646" spans="1:6" x14ac:dyDescent="0.25">
      <c r="A50646" s="1" t="str">
        <f t="shared" si="1595"/>
        <v>99999</v>
      </c>
      <c r="B50646" s="1" t="str">
        <f>"14770"</f>
        <v>14770</v>
      </c>
      <c r="C50646" s="2">
        <v>3.6700441899303002E-5</v>
      </c>
      <c r="D50646" s="2">
        <v>0</v>
      </c>
      <c r="E50646" s="2">
        <v>1.29031703089449E-5</v>
      </c>
      <c r="F50646" s="2">
        <v>3.3749158491377003E-5</v>
      </c>
    </row>
    <row r="50647" spans="1:6" x14ac:dyDescent="0.25">
      <c r="A50647" s="1" t="str">
        <f t="shared" si="1595"/>
        <v>99999</v>
      </c>
      <c r="B50647" s="1" t="str">
        <f>"14812"</f>
        <v>14812</v>
      </c>
      <c r="C50647" s="2">
        <v>7.81643629831764E-5</v>
      </c>
      <c r="D50647" s="2">
        <v>3.9148431277187403E-5</v>
      </c>
      <c r="E50647" s="2">
        <v>3.01073973875381E-5</v>
      </c>
      <c r="F50647" s="2">
        <v>7.4504721230964007E-5</v>
      </c>
    </row>
    <row r="50648" spans="1:6" x14ac:dyDescent="0.25">
      <c r="A50648" s="1" t="str">
        <f t="shared" si="1595"/>
        <v>99999</v>
      </c>
      <c r="B50648" s="1" t="str">
        <f>"14774"</f>
        <v>14774</v>
      </c>
      <c r="C50648" s="2">
        <v>6.49565343350497E-6</v>
      </c>
      <c r="D50648" s="2">
        <v>0</v>
      </c>
      <c r="E50648" s="2">
        <v>4.3010567696482999E-6</v>
      </c>
      <c r="F50648" s="2">
        <v>6.0195867484619901E-6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 (Ctr), Shivangi</dc:creator>
  <cp:lastModifiedBy>Singh (Ctr), Shivangi</cp:lastModifiedBy>
  <dcterms:created xsi:type="dcterms:W3CDTF">2019-10-09T19:10:41Z</dcterms:created>
  <dcterms:modified xsi:type="dcterms:W3CDTF">2019-10-09T19:11:21Z</dcterms:modified>
</cp:coreProperties>
</file>